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U" sheetId="1" r:id="rId4"/>
    <sheet state="visible" name="DATABASE" sheetId="2" r:id="rId5"/>
    <sheet state="visible" name="NO KONTRAK" sheetId="3" r:id="rId6"/>
    <sheet state="visible" name="TEMPLATE QONTAK" sheetId="4" r:id="rId7"/>
    <sheet state="visible" name="Maindata" sheetId="5" r:id="rId8"/>
    <sheet state="visible" name="Daily Performance" sheetId="6" r:id="rId9"/>
    <sheet state="visible" name="TEMPLATE SALES" sheetId="7" r:id="rId10"/>
    <sheet state="hidden" name="LAGI TESTING" sheetId="8" r:id="rId11"/>
    <sheet state="visible" name="TEMPLATE AWARENESS" sheetId="9" r:id="rId12"/>
    <sheet state="visible" name="OMG SKINCARE" sheetId="10" r:id="rId13"/>
    <sheet state="visible" name="SALSA COSME" sheetId="11" r:id="rId14"/>
    <sheet state="visible" name="OMG MAKEUP" sheetId="12" r:id="rId15"/>
    <sheet state="visible" name="SALSA M&amp;B" sheetId="13" r:id="rId16"/>
    <sheet state="visible" name="WARDAH" sheetId="14" r:id="rId17"/>
    <sheet state="visible" name="PWS" sheetId="15" r:id="rId18"/>
    <sheet state="visible" name="KIMME" sheetId="16" r:id="rId19"/>
    <sheet state="visible" name="QAHIRA" sheetId="17" r:id="rId20"/>
    <sheet state="visible" name="SYB" sheetId="18" r:id="rId21"/>
    <sheet state="visible" name="DIOLY" sheetId="19" r:id="rId22"/>
    <sheet state="visible" name="SKINMOLOGY" sheetId="20" r:id="rId23"/>
    <sheet state="visible" name="NAISDAY" sheetId="21" r:id="rId24"/>
    <sheet state="visible" name="ISWHITE" sheetId="22" r:id="rId25"/>
    <sheet state="visible" name="MSGLOWBEAUTY" sheetId="23" r:id="rId26"/>
    <sheet state="visible" name="MSGLOWFORMEN" sheetId="24" r:id="rId27"/>
    <sheet state="hidden" name="RAW_organic" sheetId="25" r:id="rId28"/>
    <sheet state="hidden" name="RAW_ads" sheetId="26" r:id="rId29"/>
  </sheets>
  <definedNames>
    <definedName hidden="1" localSheetId="13" name="_xlnm._FilterDatabase">WARDAH!$A$15:$U$202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tc={04cf4e4d-6201-4ce1-93a0-132ba92d08ac}</author>
    <author>tc={29b32431-69ac-4ac3-bd3c-773856bf884e}</author>
    <author>tc={397ee56e-916c-4ce6-9986-b8a0a9ac2794}</author>
    <author>tc={5d97cbed-38dc-4689-a75d-88398850ff9d}</author>
    <author>tc={61017453-36e4-4682-bc04-4387ad646266}</author>
    <author>tc={78f24fe2-9cc2-47ee-b0a7-2cd9215581f0}</author>
    <author>tc={7c1371b8-bc17-4304-a92e-1128e3e73072}</author>
    <author>tc={978d737a-a009-44a5-b001-89675a6e3d12}</author>
    <author>tc={d58cb7c7-b897-43d2-ac57-49997e160806}</author>
    <author>tc={dcbf1e00-8e7d-4560-816f-7c3af206ac98}</author>
    <author>tc={de841324-708d-4b37-a7cb-83b078b6744f}</author>
    <author>tc={f2cad09d-584f-42c8-9fde-dd7e1fcc956f}</author>
  </authors>
  <commentList>
    <comment authorId="0" ref="A18">
      <text>
        <t xml:space="preserve">ganti nama ncaaaaaaa24_  &gt;&gt;kesyaputrihsr</t>
      </text>
    </comment>
    <comment authorId="1" xr:uid="{04cf4e4d-6201-4ce1-93a0-132ba92d08ac}" ref="J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payment jumat 4 juni
</t>
      </text>
    </comment>
    <comment authorId="2" xr:uid="{29b32431-69ac-4ac3-bd3c-773856bf884e}" ref="S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payment jumat 4 juni
</t>
      </text>
    </comment>
    <comment authorId="3" xr:uid="{397ee56e-916c-4ce6-9986-b8a0a9ac2794}" ref="S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payment tgl 8 mei
</t>
      </text>
    </comment>
    <comment authorId="4" xr:uid="{5d97cbed-38dc-4689-a75d-88398850ff9d}" ref="S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payment 22 mei
</t>
      </text>
    </comment>
    <comment authorId="5" xr:uid="{61017453-36e4-4682-bc04-4387ad646266}" ref="J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payment jumat 5 juni
</t>
      </text>
    </comment>
    <comment authorId="6" xr:uid="{78f24fe2-9cc2-47ee-b0a7-2cd9215581f0}" ref="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paymet 22 mei
</t>
      </text>
    </comment>
    <comment authorId="7" xr:uid="{7c1371b8-bc17-4304-a92e-1128e3e73072}" ref="S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payment jumat 4 juni
</t>
      </text>
    </comment>
    <comment authorId="8" xr:uid="{978d737a-a009-44a5-b001-89675a6e3d12}" ref="A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jumat 6 mei
</t>
      </text>
    </comment>
    <comment authorId="9" xr:uid="{d58cb7c7-b897-43d2-ac57-49997e160806}" ref="A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jumat 6 mei
</t>
      </text>
    </comment>
    <comment authorId="10" xr:uid="{dcbf1e00-8e7d-4560-816f-7c3af206ac98}" ref="A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payment 19 mei
</t>
      </text>
    </comment>
    <comment authorId="11" xr:uid="{de841324-708d-4b37-a7cb-83b078b6744f}" ref="J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payment jumat 5 juni
</t>
      </text>
    </comment>
    <comment authorId="12" xr:uid="{f2cad09d-584f-42c8-9fde-dd7e1fcc956f}" ref="A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jumat 6 mei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2">
      <text>
        <t xml:space="preserve">soon pegang gmvmaxnya dia
</t>
      </text>
    </comment>
    <comment authorId="0" ref="I19">
      <text>
        <t xml:space="preserve">Micro &amp; Macro</t>
      </text>
    </comment>
    <comment authorId="0" ref="I18">
      <text>
        <t xml:space="preserve">50 creator Nano
20 Creator Micro</t>
      </text>
    </comment>
    <comment authorId="0" ref="I17">
      <text>
        <t xml:space="preserve">MEGA 19 Creator
MACRO 731 Creator
MICRO 3.000 Creator</t>
      </text>
    </comment>
    <comment authorId="0" ref="L13">
      <text>
        <t xml:space="preserve">soon pegang gmvmaxnya dia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tc={00ebb746-6c4e-4d40-b8ac-ee5b189dd42c}</author>
  </authors>
  <commentList>
    <comment authorId="0" ref="F79">
      <text>
        <t xml:space="preserve">tgl 13-20 april Kerkun brand kena violation sampai tanggal 20 April</t>
      </text>
    </comment>
    <comment authorId="0" ref="A7">
      <text>
        <t xml:space="preserve">perhitungan dr 27 April</t>
      </text>
    </comment>
    <comment authorId="1" xr:uid="{00ebb746-6c4e-4d40-b8ac-ee5b189dd42c}" ref="L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ads mati karna kena GMV Max brand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tc={066696dc-e18f-4a28-82cb-bcdbe35af840}</author>
    <author>tc={0f42a726-8186-4103-8ac5-22480789a1a0}</author>
    <author>tc={2a0df932-3a43-4bbf-8717-fbfed877feb9}</author>
  </authors>
  <commentList>
    <comment authorId="0" xr:uid="{066696dc-e18f-4a28-82cb-bcdbe35af840}" ref="K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#zIvFzcYvlmERQesN1XOR6xTicZg5KPts9N2jL20aK/F4AqjEfsIH7z2Z5zn7ojo=
</t>
      </text>
    </comment>
    <comment authorId="1" xr:uid="{0f42a726-8186-4103-8ac5-22480789a1a0}" ref="K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#5F3lYuQFHUahzZak/u22nCGZVEjkjxa4CISx776ku0HMF0aGzK8pqj6QsXZUuq8=
</t>
      </text>
    </comment>
    <comment authorId="2" xr:uid="{2a0df932-3a43-4bbf-8717-fbfed877feb9}" ref="K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#jrXYJDP5kUP29O4mnZ6zF4eL/6ssp3QIw//PO5Sg21WQf3g+MlEKP8W24xgQopY=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tc={10ac409a-f14d-419f-bca7-bace7ecc1622}</author>
    <author>tc={15df8741-b343-4db4-b424-259e6caabba8}</author>
    <author>tc={2b4b0c16-6f84-4394-a2b8-3f5c6d40ef74}</author>
    <author>tc={2ffa078b-cd88-47ac-baf7-6b1a32750bce}</author>
    <author>tc={42242bd9-c49d-4a3a-918a-1a0e83f02d42}</author>
    <author>tc={556de97b-fe00-45f9-80d0-ef590b7e1be4}</author>
    <author>tc={5672bfbd-6e1f-4bca-9054-a9cdbd9caebe}</author>
    <author>tc={83c090f7-b361-4c3b-88de-54181448c1bc}</author>
    <author>tc={852c8d60-8e47-46a7-aee8-0562874aeb67}</author>
    <author>tc={9299f4de-2599-4536-8864-b6c7f8b9b6ac}</author>
    <author>tc={92fa38a1-a886-4b7f-bf16-39ab5cb3fd9f}</author>
    <author>tc={a9efe089-6bad-4b00-acf6-f93bf1fb75cf}</author>
    <author>tc={ac47c01b-22ba-418e-8cb0-25354e21c489}</author>
    <author>tc={dc07250c-4521-4392-b839-3fd127fcce17}</author>
    <author>tc={ddd61b4a-9af7-48b7-ab8c-343c5e36b40e}</author>
  </authors>
  <commentList>
    <comment authorId="0" ref="B33">
      <text>
        <t xml:space="preserve">wa lyora</t>
      </text>
    </comment>
    <comment authorId="0" ref="B31">
      <text>
        <t xml:space="preserve">wa lyora</t>
      </text>
    </comment>
    <comment authorId="0" ref="B30">
      <text>
        <t xml:space="preserve">wa lyora</t>
      </text>
    </comment>
    <comment authorId="0" ref="B29">
      <text>
        <t xml:space="preserve">wa lyora</t>
      </text>
    </comment>
    <comment authorId="0" ref="B28">
      <text>
        <t xml:space="preserve">wa lyora</t>
      </text>
    </comment>
    <comment authorId="0" ref="B27">
      <text>
        <t xml:space="preserve">wa lyora</t>
      </text>
    </comment>
    <comment authorId="0" ref="B23">
      <text>
        <t xml:space="preserve">no lyora</t>
      </text>
    </comment>
    <comment authorId="0" ref="B22">
      <text>
        <t xml:space="preserve">no lyora</t>
      </text>
    </comment>
    <comment authorId="0" ref="B21">
      <text>
        <t xml:space="preserve">no lyora</t>
      </text>
    </comment>
    <comment authorId="0" ref="B20">
      <text>
        <t xml:space="preserve">no lyora</t>
      </text>
    </comment>
    <comment authorId="0" ref="B19">
      <text>
        <t xml:space="preserve">no lyora</t>
      </text>
    </comment>
    <comment authorId="0" ref="B18">
      <text>
        <t xml:space="preserve">no lyora</t>
      </text>
    </comment>
    <comment authorId="0" ref="B17">
      <text>
        <t xml:space="preserve">no lyora</t>
      </text>
    </comment>
    <comment authorId="0" ref="B16">
      <text>
        <t xml:space="preserve">no lyora</t>
      </text>
    </comment>
    <comment authorId="0" ref="B47">
      <text>
        <t xml:space="preserve">wa lyora</t>
      </text>
    </comment>
    <comment authorId="0" ref="B41">
      <text>
        <t xml:space="preserve">wa lyora</t>
      </text>
    </comment>
    <comment authorId="0" ref="B40">
      <text>
        <t xml:space="preserve">wa lyora</t>
      </text>
    </comment>
    <comment authorId="0" ref="B39">
      <text>
        <t xml:space="preserve">wa lyora</t>
      </text>
    </comment>
    <comment authorId="0" ref="B38">
      <text>
        <t xml:space="preserve">wa lyora</t>
      </text>
    </comment>
    <comment authorId="0" ref="B37">
      <text>
        <t xml:space="preserve">wa lyora</t>
      </text>
    </comment>
    <comment authorId="0" ref="B36">
      <text>
        <t xml:space="preserve">wa lyora</t>
      </text>
    </comment>
    <comment authorId="1" xr:uid="{10ac409a-f14d-419f-bca7-bace7ecc1622}" ref="B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2" xr:uid="{15df8741-b343-4db4-b424-259e6caabba8}" ref="B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3" xr:uid="{2b4b0c16-6f84-4394-a2b8-3f5c6d40ef74}" ref="I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malem kirim alamatnya
</t>
      </text>
    </comment>
    <comment authorId="4" xr:uid="{2ffa078b-cd88-47ac-baf7-6b1a32750bce}" ref="B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5" xr:uid="{42242bd9-c49d-4a3a-918a-1a0e83f02d42}" ref="B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6" xr:uid="{556de97b-fe00-45f9-80d0-ef590b7e1be4}" ref="H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nunggu alamat
</t>
      </text>
    </comment>
    <comment authorId="7" xr:uid="{5672bfbd-6e1f-4bca-9054-a9cdbd9caebe}" ref="H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sakit, akan konfirmasi jika sudah sehat
</t>
      </text>
    </comment>
    <comment authorId="8" xr:uid="{83c090f7-b361-4c3b-88de-54181448c1bc}" ref="B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9" xr:uid="{852c8d60-8e47-46a7-aee8-0562874aeb67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10" xr:uid="{9299f4de-2599-4536-8864-b6c7f8b9b6ac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11" xr:uid="{92fa38a1-a886-4b7f-bf16-39ab5cb3fd9f}" ref="H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nunggu alamat
</t>
      </text>
    </comment>
    <comment authorId="12" xr:uid="{a9efe089-6bad-4b00-acf6-f93bf1fb75cf}" ref="B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13" xr:uid="{ac47c01b-22ba-418e-8cb0-25354e21c489}" ref="B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14" xr:uid="{dc07250c-4521-4392-b839-3fd127fcce17}" ref="B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15" xr:uid="{ddd61b4a-9af7-48b7-ab8c-343c5e36b40e}" ref="B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tc={04b5f149-01e9-475b-b0b0-96324e05459b}</author>
    <author>tc={107d8156-6f6a-466d-9530-74ad3bb69fe8}</author>
    <author>tc={1c5b4890-19ee-4b8c-8578-df187438c3a8}</author>
    <author>tc={263e4c6c-5e0e-4bd5-9616-995b86997ce4}</author>
    <author>tc={28b1e638-b165-4bd3-a893-257a4c1eeac3}</author>
    <author>tc={2a3dc5f9-7bf1-4ebd-92f7-1940f2e3b79e}</author>
    <author>tc={2e71ffb0-b005-4a2e-b45a-726efff8e087}</author>
    <author>tc={3748db56-af79-4da1-b737-8863b427e8ad}</author>
    <author>tc={3999b1cb-7c4b-4054-90ad-fb5a5704c7b4}</author>
    <author>tc={3a365774-9fe4-4023-9716-26aa864e9e90}</author>
    <author>tc={4ea8b9c3-e1f6-4c0e-9348-188890a26225}</author>
    <author>tc={53087ee6-3e90-494f-a880-cd4c0636d22b}</author>
    <author>tc={534f3d3f-3dd0-4124-88c2-61433d563f35}</author>
    <author>tc={69c6ce71-42b6-46ce-b3a5-281412d95843}</author>
    <author>tc={6bc8d950-0d39-4aa1-981c-e56c8a93a1b3}</author>
    <author>tc={70ea7afe-8ab5-4a32-8383-a74870424e5a}</author>
    <author>tc={7428cd5c-9e7c-40fa-b19b-9a0ba3320436}</author>
    <author>tc={80177aca-4104-4a8f-8363-0f35ec9f342f}</author>
    <author>tc={962943b6-837a-4f6f-b59c-513f4ea06a20}</author>
    <author>tc={9a4f8829-6d0d-4f8d-8b75-1c02ab79b59a}</author>
    <author>tc={a441f543-8343-414d-a60f-4b72a67d89f5}</author>
    <author>tc={a57a5de7-0592-454e-bb77-903dace1708a}</author>
    <author>tc={a83c74bb-c5eb-4864-abb1-d12b07467ea7}</author>
    <author>tc={ab046f2a-2751-418f-8993-d599272741ba}</author>
    <author>tc={abdac9a9-8bfc-4818-bc8f-1404663470d1}</author>
    <author>tc={acd5410d-ce4c-4f88-bade-3fb056b4f18d}</author>
    <author>tc={af81078f-8207-45e3-99e5-77b1f9e57db1}</author>
    <author>tc={afaa01bd-9641-4da6-a308-b9bf6dddcd46}</author>
    <author>tc={b984de50-f732-4f71-be25-abe3bfcea5f6}</author>
    <author>tc={bf8e21d9-a998-4f8a-ab28-7ebc6d2efc71}</author>
    <author>tc={c0300b02-0c6f-47bb-a700-3d02c18fa719}</author>
    <author>tc={c7caef24-99c4-4b79-b5ed-fcc1b6b0882f}</author>
    <author>tc={ce850030-5edf-4ca6-9238-1e0ba572dd93}</author>
    <author>tc={cf92e744-9f9a-461a-95d1-e7f801a20e1c}</author>
    <author>tc={d5c050d9-b261-427f-b229-ab805862a7ac}</author>
    <author>tc={d79ae280-713f-4021-9551-b66d7dc4dbf3}</author>
    <author>tc={e1526b7b-b00b-43da-a03d-e7489a4313ed}</author>
    <author>tc={e2261fdd-fb62-4925-9cf7-6ef513273190}</author>
    <author>tc={e6343503-d26c-4949-b99d-33708a74d220}</author>
    <author>tc={ed867e46-40a8-4c7c-9a80-a719b56b68b5}</author>
    <author>tc={f290fb04-f2cd-4dda-b0dd-1a9aa18b0f5b}</author>
    <author>tc={f2e6642d-a593-4c7c-af90-9ba30e5434cd}</author>
    <author>tc={f428ba5b-b9ac-4405-b07b-dc3ee7550498}</author>
    <author>tc={f72c97b0-21d0-4e44-89cb-651ac5bbb393}</author>
  </authors>
  <commentList>
    <comment authorId="0" ref="B34">
      <text>
        <t xml:space="preserve">wa lyora</t>
      </text>
    </comment>
    <comment authorId="0" ref="B32">
      <text>
        <t xml:space="preserve">wa lyora</t>
      </text>
    </comment>
    <comment authorId="0" ref="B30">
      <text>
        <t xml:space="preserve">wa lyora</t>
      </text>
    </comment>
    <comment authorId="0" ref="B28">
      <text>
        <t xml:space="preserve">wa lyora</t>
      </text>
    </comment>
    <comment authorId="0" ref="B57">
      <text>
        <t xml:space="preserve">wa lyora</t>
      </text>
    </comment>
    <comment authorId="0" ref="B55">
      <text>
        <t xml:space="preserve">wa lyora</t>
      </text>
    </comment>
    <comment authorId="0" ref="B86">
      <text>
        <t xml:space="preserve">wa lyora</t>
      </text>
    </comment>
    <comment authorId="0" ref="B84">
      <text>
        <t xml:space="preserve">wa lyora</t>
      </text>
    </comment>
    <comment authorId="0" ref="B82">
      <text>
        <t xml:space="preserve">wa lyora
</t>
      </text>
    </comment>
    <comment authorId="0" ref="B49">
      <text>
        <t xml:space="preserve">wa lyora</t>
      </text>
    </comment>
    <comment authorId="0" ref="B80">
      <text>
        <t xml:space="preserve">wa lyora</t>
      </text>
    </comment>
    <comment authorId="0" ref="B47">
      <text>
        <t xml:space="preserve">wa lyora</t>
      </text>
    </comment>
    <comment authorId="0" ref="B45">
      <text>
        <t xml:space="preserve">wa lyora</t>
      </text>
    </comment>
    <comment authorId="0" ref="B43">
      <text>
        <t xml:space="preserve">wa lyora</t>
      </text>
    </comment>
    <comment authorId="0" ref="B39">
      <text>
        <t xml:space="preserve">wa lyora</t>
      </text>
    </comment>
    <comment authorId="0" ref="B37">
      <text>
        <t xml:space="preserve">wa lyora</t>
      </text>
    </comment>
    <comment authorId="0" ref="B68">
      <text>
        <t xml:space="preserve">wa lyora</t>
      </text>
    </comment>
    <comment authorId="0" ref="B35">
      <text>
        <t xml:space="preserve">wa lyora</t>
      </text>
    </comment>
    <comment authorId="0" ref="B33">
      <text>
        <t xml:space="preserve">wa lyora</t>
      </text>
    </comment>
    <comment authorId="0" ref="B31">
      <text>
        <t xml:space="preserve">wa lyora</t>
      </text>
    </comment>
    <comment authorId="0" ref="B29">
      <text>
        <t xml:space="preserve">wa lyora</t>
      </text>
    </comment>
    <comment authorId="0" ref="B27">
      <text>
        <t xml:space="preserve">wa lyora</t>
      </text>
    </comment>
    <comment authorId="0" ref="B56">
      <text>
        <t xml:space="preserve">wa lyora</t>
      </text>
    </comment>
    <comment authorId="0" ref="B87">
      <text>
        <t xml:space="preserve">wa lyora
</t>
      </text>
    </comment>
    <comment authorId="0" ref="B85">
      <text>
        <t xml:space="preserve">wa lyora</t>
      </text>
    </comment>
    <comment authorId="0" ref="B83">
      <text>
        <t xml:space="preserve">wa lyora</t>
      </text>
    </comment>
    <comment authorId="0" ref="B81">
      <text>
        <t xml:space="preserve">wa lyora</t>
      </text>
    </comment>
    <comment authorId="0" ref="B44">
      <text>
        <t xml:space="preserve">wa lyora</t>
      </text>
    </comment>
    <comment authorId="0" ref="B42">
      <text>
        <t xml:space="preserve">wa lyora</t>
      </text>
    </comment>
    <comment authorId="0" ref="B38">
      <text>
        <t xml:space="preserve">wa lyora</t>
      </text>
    </comment>
    <comment authorId="0" ref="B36">
      <text>
        <t xml:space="preserve">wa lyora</t>
      </text>
    </comment>
    <comment authorId="0" ref="B67">
      <text>
        <t xml:space="preserve">wa lyora</t>
      </text>
    </comment>
    <comment authorId="1" xr:uid="{04b5f149-01e9-475b-b0b0-96324e05459b}" ref="B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2" xr:uid="{107d8156-6f6a-466d-9530-74ad3bb69fe8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april
</t>
      </text>
    </comment>
    <comment authorId="3" xr:uid="{1c5b4890-19ee-4b8c-8578-df187438c3a8}" ref="K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selasa
</t>
      </text>
    </comment>
    <comment authorId="4" xr:uid="{263e4c6c-5e0e-4bd5-9616-995b86997ce4}" ref="B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5" xr:uid="{28b1e638-b165-4bd3-a893-257a4c1eeac3}" ref="B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6" xr:uid="{2a3dc5f9-7bf1-4ebd-92f7-1940f2e3b79e}" ref="K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rabu post
</t>
      </text>
    </comment>
    <comment authorId="7" xr:uid="{2e71ffb0-b005-4a2e-b45a-726efff8e087}" ref="B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8" xr:uid="{3748db56-af79-4da1-b737-8863b427e8ad}" ref="B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9" xr:uid="{3999b1cb-7c4b-4054-90ad-fb5a5704c7b4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april
</t>
      </text>
    </comment>
    <comment authorId="10" xr:uid="{3a365774-9fe4-4023-9716-26aa864e9e90}" ref="B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11" xr:uid="{4ea8b9c3-e1f6-4c0e-9348-188890a26225}" ref="B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12" xr:uid="{53087ee6-3e90-494f-a880-cd4c0636d22b}" ref="B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13" xr:uid="{534f3d3f-3dd0-4124-88c2-61433d563f35}" ref="B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14" xr:uid="{69c6ce71-42b6-46ce-b3a5-281412d95843}" ref="B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april
</t>
      </text>
    </comment>
    <comment authorId="15" xr:uid="{6bc8d950-0d39-4aa1-981c-e56c8a93a1b3}" ref="B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16" xr:uid="{70ea7afe-8ab5-4a32-8383-a74870424e5a}" ref="B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17" xr:uid="{7428cd5c-9e7c-40fa-b19b-9a0ba3320436}" ref="B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kommo
</t>
      </text>
    </comment>
    <comment authorId="18" xr:uid="{80177aca-4104-4a8f-8363-0f35ec9f342f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april
</t>
      </text>
    </comment>
    <comment authorId="19" xr:uid="{962943b6-837a-4f6f-b59c-513f4ea06a20}" ref="B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20" xr:uid="{9a4f8829-6d0d-4f8d-8b75-1c02ab79b59a}" ref="B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21" xr:uid="{a441f543-8343-414d-a60f-4b72a67d89f5}" ref="B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kommo
</t>
      </text>
    </comment>
    <comment authorId="22" xr:uid="{a57a5de7-0592-454e-bb77-903dace1708a}" ref="K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selasa
</t>
      </text>
    </comment>
    <comment authorId="23" xr:uid="{a83c74bb-c5eb-4864-abb1-d12b07467ea7}" ref="B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24" xr:uid="{ab046f2a-2751-418f-8993-d599272741ba}" ref="B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25" xr:uid="{abdac9a9-8bfc-4818-bc8f-1404663470d1}" ref="B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26" xr:uid="{acd5410d-ce4c-4f88-bade-3fb056b4f18d}" ref="B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27" xr:uid="{af81078f-8207-45e3-99e5-77b1f9e57db1}" ref="B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 / april
</t>
      </text>
    </comment>
    <comment authorId="28" xr:uid="{afaa01bd-9641-4da6-a308-b9bf6dddcd46}" ref="B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kommo
</t>
      </text>
    </comment>
    <comment authorId="29" xr:uid="{b984de50-f732-4f71-be25-abe3bfcea5f6}" ref="B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kommo
</t>
      </text>
    </comment>
    <comment authorId="30" xr:uid="{bf8e21d9-a998-4f8a-ab28-7ebc6d2efc71}" ref="B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31" xr:uid="{c0300b02-0c6f-47bb-a700-3d02c18fa719}" ref="B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32" xr:uid="{c7caef24-99c4-4b79-b5ed-fcc1b6b0882f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april
</t>
      </text>
    </comment>
    <comment authorId="33" xr:uid="{ce850030-5edf-4ca6-9238-1e0ba572dd93}" ref="B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34" xr:uid="{cf92e744-9f9a-461a-95d1-e7f801a20e1c}" ref="B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35" xr:uid="{d5c050d9-b261-427f-b229-ab805862a7ac}" ref="B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36" xr:uid="{d79ae280-713f-4021-9551-b66d7dc4dbf3}" ref="B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aurel
</t>
      </text>
    </comment>
    <comment authorId="37" xr:uid="{e1526b7b-b00b-43da-a03d-e7489a4313ed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april
</t>
      </text>
    </comment>
    <comment authorId="38" xr:uid="{e2261fdd-fb62-4925-9cf7-6ef513273190}" ref="K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rabu post
</t>
      </text>
    </comment>
    <comment authorId="39" xr:uid="{e6343503-d26c-4949-b99d-33708a74d220}" ref="B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april
</t>
      </text>
    </comment>
    <comment authorId="40" xr:uid="{ed867e46-40a8-4c7c-9a80-a719b56b68b5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april
</t>
      </text>
    </comment>
    <comment authorId="41" xr:uid="{f290fb04-f2cd-4dda-b0dd-1a9aa18b0f5b}" ref="B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kommo &gt; wa aurel
</t>
      </text>
    </comment>
    <comment authorId="42" xr:uid="{f2e6642d-a593-4c7c-af90-9ba30e5434cd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april
</t>
      </text>
    </comment>
    <comment authorId="43" xr:uid="{f428ba5b-b9ac-4405-b07b-dc3ee7550498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 april
</t>
      </text>
    </comment>
    <comment authorId="44" xr:uid="{f72c97b0-21d0-4e44-89cb-651ac5bbb393}" ref="B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kommo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nyambung ke sheet budgeting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semua di kolom concept isi manual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tc={470d4c29-b097-4670-bb31-b02e54710edb}</author>
  </authors>
  <commentList>
    <comment authorId="0" xr:uid="{470d4c29-b097-4670-bb31-b02e54710edb}" ref="M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ini SYB bukan iswhite
</t>
      </text>
    </comment>
  </commentList>
</comments>
</file>

<file path=xl/sharedStrings.xml><?xml version="1.0" encoding="utf-8"?>
<sst xmlns="http://schemas.openxmlformats.org/spreadsheetml/2006/main" count="1964" uniqueCount="567">
  <si>
    <t>Campaign</t>
  </si>
  <si>
    <t>Link GMV MAX/ VSA</t>
  </si>
  <si>
    <t>Nama Produk</t>
  </si>
  <si>
    <t>Product ID</t>
  </si>
  <si>
    <t>Satuan/ Bundle</t>
  </si>
  <si>
    <t>Link TAP</t>
  </si>
  <si>
    <t>Commision</t>
  </si>
  <si>
    <t>Salsa Cosmetics</t>
  </si>
  <si>
    <t>VSA</t>
  </si>
  <si>
    <t>[SALSA x TNT] [BUNDLE SUPER HEMAT] SALSA Body B.L.E.A.C.H - Body Glow Serum Symphony | Body Serum Handbody Lotion | Body Lotion Mencerahkan | Body Care | Hand Body Lotion untuk Mencerahkan dan Melembabkan Kulit dengan 10+ Whitening Agent (Agen Pencerah)</t>
  </si>
  <si>
    <t>1731683767804069499</t>
  </si>
  <si>
    <t>Bundling</t>
  </si>
  <si>
    <t>https://affiliate-id.tokopedia.com/api/v1/share/AKSHh8Gb5ttm</t>
  </si>
  <si>
    <t>[SALSA x TNT] SALSA Body B.L.E.A.C.H - Body Glow Serum Symphony | Hand Body Lotion untuk Mencerahkan dan Melembabkan Kulit dengan 10+ Whitening Agent (Agen Pencerah)</t>
  </si>
  <si>
    <t>1732274522754877051</t>
  </si>
  <si>
    <t>Satuan</t>
  </si>
  <si>
    <t>https://affiliate-id.tokopedia.com/api/v1/share/AKSHX12B2ZEc</t>
  </si>
  <si>
    <t>[SALSA x TNT] SALSA Healthy Hair Serum - Vitamin Rambut Spray|Hair Vitamin|Perawatan Rambut Anti Rontok Ketombe Gatal Mengembang Lepek|Vitamin Rambut|Serum Rambut | Hair Tonic | Hair Tonic Vitamin | Vitamin Hair</t>
  </si>
  <si>
    <t>1733603538440717947</t>
  </si>
  <si>
    <t>https://affiliate-id.tokopedia.com/api/v1/share/AKSHX9h525me</t>
  </si>
  <si>
    <t>[SALSA x TNT] SALSA Skincare Series - Perawatan Wajah Mencerahkan Glowing Berjerawat Samarkan Noda Hitam| Facial Wash Brightening &amp; Low pH Sabun Cuci Muka|Acne Spot|Sunscreen|Krim Malam InstaGlow|Krim Pagi Siang Tone Up|Essence Serum</t>
  </si>
  <si>
    <t>1733603981401818747</t>
  </si>
  <si>
    <t>https://affiliate-id.tokopedia.com/api/v1/share/AKSHmVVN6KFl</t>
  </si>
  <si>
    <t>[SALSA x TNT] Paket Sedekah Bebas Jerawat | Instaglow Cream | Acne Spot | Facial Wash Low pH | Skincare Routine | Perawatan Kulit | Hilangkan Jerawat | Facial Wash | Jerawat Solution | Harga Terjangkau | Acne Treatment | Sabun Cuci Muka</t>
  </si>
  <si>
    <t>1734947448473618043</t>
  </si>
  <si>
    <t>https://affiliate-id.tokopedia.com/api/v1/share/AKSHmZQfG93j</t>
  </si>
  <si>
    <t>[SALSA x TNT] Paket Sedekah Glowing dan Cerah | Krim Malam Instaglow | Krim Siang Tone Up | Facial Wash Brightening | Sabun Cuci Muka | Wajah Glowing | Skincare Routine | Mencerahkan Kulit | Moisturizer | Brightening | Harga Terjangkau Perawatan</t>
  </si>
  <si>
    <t>1734947544692786811</t>
  </si>
  <si>
    <t>https://affiliate-id.tokopedia.com/api/v1/share/AKSHpEKODLxf</t>
  </si>
  <si>
    <t>[SALSA x TNT] Paket Komplit Booster Glow Skincare | Krim Malam Krim Siang | Tone up Cream | Facial Wash | Acne Spot | Sunscreen | Serum Wajah | Skincare Routine | Menyamarkan Noda Hitam | Anti Jerawat | Mencerahkan Kulit | Hasil Maksimal | Tone Up Cream</t>
  </si>
  <si>
    <t>1734947546425427579</t>
  </si>
  <si>
    <t>https://affiliate-id.tokopedia.com/api/v1/share/AKSHigzlOIvs</t>
  </si>
  <si>
    <t>[SALSA x TNT] Paket Komplit Glowing dan Cerah | Krim Malam Krim Siang | Brightening Essence | Tone Up Cream | Glowing | Skincare Routine | Mencerahkan Kulit | Hasil Maksimal | Daily Use | Gentle Formula Perawatan Kulit | Serum Wajah</t>
  </si>
  <si>
    <t>1734947548571928187</t>
  </si>
  <si>
    <t>https://affiliate-id.tokopedia.com/api/v1/share/AKSHpT5QeZtI</t>
  </si>
  <si>
    <t>[SALSA x TNT] Paket Pemula Glowing dan Cerah | Instaglow Krim Malam | Tone Up Krim Siang | Facial Wash Brightening | Glowing | Perlindungan UV | Skincare Routine | Skin Brightening | Harga Terjangkau | Daily Use Perawatan Kulit | Sabun Cuci Muka</t>
  </si>
  <si>
    <t>1734947596179244667</t>
  </si>
  <si>
    <t>https://affiliate-id.tokopedia.com/api/v1/share/AKE5hv8jxRJr</t>
  </si>
  <si>
    <t>[SALSA x TNT] Paket Pemula Bebas Jerawat | Instaglow Cream | Acne Spot | Krim Siang Tone Up | Anti Jerawat | Acne Treatment | Solusi Jerawat | Perlindungan UV | Daily Use | Harga Terjangkau Perawatan Kulit | Sun Blok</t>
  </si>
  <si>
    <t>1734947596477236859</t>
  </si>
  <si>
    <t>https://affiliate-id.tokopedia.com/api/v1/share/AKSHpZ5Ip3dH</t>
  </si>
  <si>
    <t>Salsa M&amp;B</t>
  </si>
  <si>
    <t>[SALSA BABY x TNT] SALSA BABY Fresh Oil Telon – Minyak Telon | Minyak Bayi | Minyak Bayi Anti Nyamuk | Menghangatkan | Newborn</t>
  </si>
  <si>
    <t>1733607790132495849</t>
  </si>
  <si>
    <t>https://affiliate-id.tokopedia.com/api/v1/share/AJePEe6jD3sW</t>
  </si>
  <si>
    <t>[SALSA BABY x TNT] SALSA BABY Sunscreen SPF30+ PA++++ – Sunscreen bayi | Tabir Surya Bayi | perlindungan sinar UV</t>
  </si>
  <si>
    <t>1733607796563477993</t>
  </si>
  <si>
    <t>https://affiliate-id.tokopedia.com/api/v1/share/AJePEgzrkRjs</t>
  </si>
  <si>
    <t>[SALSA BABY x TNT] SALSA BABY Rash Cream - Krim ruam bayi | Perawatan ruam bayi | Krim ruam popok bayi</t>
  </si>
  <si>
    <t>1733607798366963177</t>
  </si>
  <si>
    <t>https://affiliate-id.tokopedia.com/api/v1/share/AJePEk1QTidX</t>
  </si>
  <si>
    <t>OMG Makeup</t>
  </si>
  <si>
    <t>Organic (GMV MAX BRAND)</t>
  </si>
  <si>
    <t>OMG Oh My Glam Coverlast Two Way Cake 12 g - Bedak Padat Kontrol Minyak Hingga 8 Jam</t>
  </si>
  <si>
    <t>1729572933903878547</t>
  </si>
  <si>
    <t>https://affiliate-id.tokopedia.com/api/v1/share/AJcxMeMFZ1Zx</t>
  </si>
  <si>
    <t>[SHEILA DARA'S PICK] OMG OH MY GLAM Mattelast Lip Cream 2.9 g - Lip Cream Matte Dengan Warna Intense, Tahan Lama &amp; Ringan</t>
  </si>
  <si>
    <t>1729615507258049939</t>
  </si>
  <si>
    <t>https://affiliate-id.tokopedia.com/api/v1/share/AJcxL1S8Q6dA</t>
  </si>
  <si>
    <t>[NEW SHADE!] OMG Coverlast Cushion 15g | High Coverage Dewy | No-Oxidize 12H I Poreless I Halus &amp; Flawless</t>
  </si>
  <si>
    <t>1730259561940878739</t>
  </si>
  <si>
    <t>https://affiliate-id.tokopedia.com/api/v1/share/AJeTAoy3WV0y</t>
  </si>
  <si>
    <t>[NEW SHADE!] OMG OH MY GLAM Colorlast Lip Vinyl 2.5 g - Transferproof Gloss - Longlasting Stain- Intense Color - Plumpy &amp; Comfortable On Lips</t>
  </si>
  <si>
    <t>1732063036417148307</t>
  </si>
  <si>
    <t>https://affiliate-id.tokopedia.com/api/v1/share/AJeTFTpbHsOQ</t>
  </si>
  <si>
    <t>[EXCLUSIVE TOP CREATOR] OMG OH MY GLAM Colorlast Lip Vinyl 2.5 g - Transferproof Gloss - Longlasting Stain- Intense Color - Plumpy &amp; Comfortable On Lips - SHEILA DARA'S PICK</t>
  </si>
  <si>
    <t>1734425714136941971</t>
  </si>
  <si>
    <t>https://affiliate-id.tokopedia.com/api/v1/share/AJxCL5X0vFYE</t>
  </si>
  <si>
    <t>[EXCLUSIVE TOP CREATOR] OMG OH MY GLAM Mattelast Lip Cream 2.9 g - Lip Cream Matte Dengan Warna Intense, Tahan Lama &amp; Ringan</t>
  </si>
  <si>
    <t>1734425894899516819</t>
  </si>
  <si>
    <t>https://affiliate-id.tokopedia.com/api/v1/share/AJxCLC0X4tEC</t>
  </si>
  <si>
    <t>[EXCLUSIVE TOP CREATOR] OMG Oh My Glam Coverlast Cushion 15g - Cushion Foundation Concealer Skin Tint Make Up - High Coverage Dewy Finish - Poreless Cushion - Glow Cushion - Tahan Lama Hingga 12 Jam Tanpa Oksidasi - Menyamarkan Kemerahan, Bekas Jerawat</t>
  </si>
  <si>
    <t>1734425681374184851</t>
  </si>
  <si>
    <t>https://affiliate-id.tokopedia.com/api/v1/share/AJxCJpomnGKm</t>
  </si>
  <si>
    <t>[EXCLUSIVE TOP CREATOR] OMG Oh My Glam Coverlast Two Way Cake 12 g - Bedak Padat Kontrol Minyak</t>
  </si>
  <si>
    <t>1734425966429635987</t>
  </si>
  <si>
    <t>https://affiliate-id.tokopedia.com/api/v1/share/AJxCKLTgZIyS</t>
  </si>
  <si>
    <t>OMG Skincare</t>
  </si>
  <si>
    <t>[NEW!] OMG Oh My Glow Brightening &amp; Soothing Toner - Mencerahkan, Menenangkan, Mengandung Niacinamide + Hyaluronic &amp; CicaBoost + Panthenol</t>
  </si>
  <si>
    <t>1733551239648413075</t>
  </si>
  <si>
    <t>https://affiliate-id.tokopedia.com/api/v1/share/AJeTAioWiZo9</t>
  </si>
  <si>
    <t>[BELI BANYAK, LEBIH MURAH!] OMG Oh My Glow Bright Tone Up UV Barrier Sunscreen SPF 50 PA++ 25 ml - Mencerahkan, Melindungi UV, Ringan &amp; Cepat Meresap</t>
  </si>
  <si>
    <t>1729991116494375315</t>
  </si>
  <si>
    <t>https://affiliate-id.tokopedia.com/api/v1/share/AJcxSzHBOOXI</t>
  </si>
  <si>
    <t>NEW! OMG Acne &amp; Oil Control UV Barrier Sunscreen SPF50 PA++++ I Mengandung Mugwort + Allantoin + Salicylic Acid - No Whitecast - Mengurangi Jerawat &amp; Kemerahan</t>
  </si>
  <si>
    <t>1731793046946547091</t>
  </si>
  <si>
    <t>https://affiliate-id.tokopedia.com/api/v1/share/AJePSygRNlgQ</t>
  </si>
  <si>
    <t>OMG OH MY GLOW UV Barrier Sunscreen SPF 50 PA++++ 60 ml - Sunscreen - Mencerahkan dengan kandungan Serum Vit B3+C+E - Cepat Meresap - Tidak Berminyak</t>
  </si>
  <si>
    <t>1731334333969302931</t>
  </si>
  <si>
    <t>https://affiliate-id.tokopedia.com/api/v1/share/AJePT01D6WjH</t>
  </si>
  <si>
    <t>[EXCLUSIVE TOP CREATOR] OMG Acne &amp; Oil Control UV Barrier Sunscreen SPF50 PA++++ I Mengandung  Mugwort + Allantoin + Salicylic Acid - No Whitecast - Mengurangi Jerawat &amp; Kemerahan</t>
  </si>
  <si>
    <t>1734428338733221267</t>
  </si>
  <si>
    <t>https://affiliate-id.tokopedia.com/api/v1/share/AJurY03SyviB</t>
  </si>
  <si>
    <t>[EXCLUSIVE TOP CREATOR] OMG Oh My Glow Bright Tone Up UV Barrier Sunscreen SPF 50 PA++ 25 ml - Mencerahkan, Melindungi UV, Ringan &amp; Cepat Meresap</t>
  </si>
  <si>
    <t>1734428324539958675</t>
  </si>
  <si>
    <t>https://affiliate-id.tokopedia.com/api/v1/share/AJurXzcruhl2</t>
  </si>
  <si>
    <t>[EXCLUSIVE TOP CREATOR] OMG Oh My Glow Brightening &amp; Soothing Toner - Mencerahkan, Menenangkan, Mengandung Niacinamide + Hyaluronic &amp; CicaBoost + Panthenol</t>
  </si>
  <si>
    <t>1734428346458932627</t>
  </si>
  <si>
    <t>https://affiliate-id.tokopedia.com/api/v1/share/AJurXzU6H0ki</t>
  </si>
  <si>
    <t>[EXCLUSIVE TOP CREATOR] OMG OH MY GLOW UV Barrier Sunscreen SPF 50 PA++++ 60 ml - Sunscreen - Mencerahkan dengan kandungan Serum Vit B3+C+E - Cepat Meresap - Tidak Berminyak</t>
  </si>
  <si>
    <t>1734425989485397395</t>
  </si>
  <si>
    <t>https://affiliate-id.tokopedia.com/api/v1/share/AJurY1VxRn3o</t>
  </si>
  <si>
    <t>Wardah</t>
  </si>
  <si>
    <t>WARDAH Lip Cream Glossy Glasting Liquid Lip - Hi-Pigmented Glass Color, Ringan, Tidak Lengket, Transferproof Liptint-Lipgloss-Lipstik-Lip Tint-Lip Matte-Lipstick-Lipcream- Glossy Lip Longlasting Waterproof Tahan Lama- Makeup</t>
  </si>
  <si>
    <t>1729921275998997399</t>
  </si>
  <si>
    <t>https://affiliate-id.tokopedia.com/api/v1/share/AJpsDQ7qZLvj</t>
  </si>
  <si>
    <t>[OMBRE COVER BIBIR GELAP] WARDAH Ombre Glasting Liquid Lip + Matte Lip Cream -Lip-Stain-Lipgloss-Lipstik-Lip Matte-Lipcream-Lip Cream- Glossy Longlasting Waterproof Tahan Lama - Glaze Lip - Makeup - Liptin Anak Sekolah</t>
  </si>
  <si>
    <t>1729937223777225623</t>
  </si>
  <si>
    <t>https://affiliate-id.tokopedia.com/api/v1/share/AJpsJNwYoQDW</t>
  </si>
  <si>
    <t>Qahira</t>
  </si>
  <si>
    <t xml:space="preserve">Promo Qahira Varian-Suplemen Kesehatan-Bantu  Meredakan Bendjolan, Terbuat dari Bajakah Asli Indonesia-Obat Herbal Benjolan-Pengobatan Alternatif-Obat Herbal </t>
  </si>
  <si>
    <t>1729917357927597223</t>
  </si>
  <si>
    <t xml:space="preserve">Mix </t>
  </si>
  <si>
    <t>https://affiliate-id.tokopedia.com/api/v1/share/AJjNS4Px3M3J</t>
  </si>
  <si>
    <t xml:space="preserve">Minyak Oles Qahira-Minyak Oles Benjolan, Terverifikasi BPOM dan Halal MUI-Minyak Tubuh &amp; Pijat </t>
  </si>
  <si>
    <t>1729744224888456359</t>
  </si>
  <si>
    <t>https://affiliate-id.tokopedia.com/api/v1/share/AJjNS1jxI2rC</t>
  </si>
  <si>
    <t>Naisday</t>
  </si>
  <si>
    <t>Bundle EDP Young Boss - Parfum laki - laki Unisex Extra Long Lasting Minyak Wangi Tahan Lama Segar Fresh 30ml</t>
  </si>
  <si>
    <t>1734280312245159881</t>
  </si>
  <si>
    <t>https://affiliate-id.tokopedia.com/api/v1/share/AKKL7WK9pNE8</t>
  </si>
  <si>
    <t>[BEST SELLER] NAISDAY Thousand Kisses Parfum Tahan Lama Wanita - Extrait de Parfum Long lasting Floral Fruity Wangi Manis Cocok Untuk Indoor Outdoor Cewek 30ml</t>
  </si>
  <si>
    <t>1730583511121233865</t>
  </si>
  <si>
    <t>https://affiliate-id.tokopedia.com/api/v1/share/AKKLpJJ6AR0G</t>
  </si>
  <si>
    <t>[BEST SELLER] NAISDAY O.N.S Parfum Pria Wanita Tahan Lama - Extrait de Parfum Long Lasting Fresh Citrus Almond Wangi Segar Cocok Untuk Indoor Outdoor Cewek Cowok Unisex 30ml</t>
  </si>
  <si>
    <t>1730639652497229769</t>
  </si>
  <si>
    <t>https://affiliate-id.tokopedia.com/api/v1/share/AKKLqQRUsl2E</t>
  </si>
  <si>
    <t>Iswhite</t>
  </si>
  <si>
    <t>[ NEW PRODUCT ] ISWHITE Retinol Infusion Body Serum 200 ML | Serum Pencerah Badan Untuk Memudarkan Stretch Marks Anti Aging Mengencangkan Kulit</t>
  </si>
  <si>
    <t>1733994191119943294</t>
  </si>
  <si>
    <t>https://affiliate-id.tokopedia.com/api/v1/share/AKLRPkYK1Vty</t>
  </si>
  <si>
    <t>[ NEW PRODUCT ] ISWHITE Vitamin C Infusion Body Serum Duo Package | Paket Pencerah Badan</t>
  </si>
  <si>
    <t>1733993987756951166</t>
  </si>
  <si>
    <t>https://affiliate-id.tokopedia.com/api/v1/share/AKLRRYaZnYww</t>
  </si>
  <si>
    <t>[ NEW PRODUCT ] ISWHITE Whitening Expert Body Serum Complete Package | Serum Pencerah Badan Body Lotion Meratakan Warna Kulit</t>
  </si>
  <si>
    <t>1733993897950938750</t>
  </si>
  <si>
    <t>https://affiliate-id.tokopedia.com/api/v1/share/AKLRPjv8peOC</t>
  </si>
  <si>
    <t>ISWHITE Whitening Expert Body Serum 7% Niacinamide 200ml - Body Lotion Whitening Body Serum Glowing Mencerahkan Kulit</t>
  </si>
  <si>
    <t>1729422443551820414</t>
  </si>
  <si>
    <t>https://affiliate-id.tokopedia.com/api/v1/share/AKLRPkYKZgrR</t>
  </si>
  <si>
    <t>ISWHITE 10 Niaboost Glow Sleeping Body Mask 150gr Body Mask Iswhite Masker Badan Pencerah Tubuh Perawatan Tubuh Body Care Glowing Body Masker Body Whitening Body Brightening</t>
  </si>
  <si>
    <t>1730862762781279870</t>
  </si>
  <si>
    <t>https://affiliate-id.tokopedia.com/api/v1/share/AKLRRYaa4emw</t>
  </si>
  <si>
    <t>ISWHITE Glow Body Sunscreen Body lotion SPF 45 PA+++ 100ml - Tone Up Body Sunscreen Hybrid Sunscreen Badan Body SPF Sun Screen Sunblock Badan Tone Up Cream Brightening Sunscreen SPF Glowing Body</t>
  </si>
  <si>
    <t>1729579915792254590</t>
  </si>
  <si>
    <t>https://affiliate-id.tokopedia.com/api/v1/share/AKLRPjv96bYK</t>
  </si>
  <si>
    <t>[ BUY 1 GET 1 ] ISWHITE Glow Body Sunscreen Body lotion SPF 45 PA+++ 100ml - Tone Up Body Sunscreen Hybrid Sunscreen Badan SPF Sun Screen Sunblock Badan Tone Up Cream Body Whitening Brightening Sunscreen SPF Glowing</t>
  </si>
  <si>
    <t>1729579867365672574</t>
  </si>
  <si>
    <t>https://affiliate-id.tokopedia.com/api/v1/share/AKLRPkYKqjjo</t>
  </si>
  <si>
    <t>ISWHITE Ultimate Brightening Body Mask 200gr- Body Mask Masker Badan Pencerah Tubuh Glowing Perawatan Tubuh</t>
  </si>
  <si>
    <t>1729688131472034430</t>
  </si>
  <si>
    <t>https://affiliate-id.tokopedia.com/api/v1/share/AKLRLIXm2yBl</t>
  </si>
  <si>
    <t>[ EKSTRA HEMAT ] ISWHITE Ultimate Brightening Body Mask 200gr- Body Mask Masker Badan Pencerah Tubuh Glowing</t>
  </si>
  <si>
    <t>1729607316247578238</t>
  </si>
  <si>
    <t>https://affiliate-id.tokopedia.com/api/v1/share/AKLROhgkVOnH</t>
  </si>
  <si>
    <t>File</t>
  </si>
  <si>
    <t>Sheet</t>
  </si>
  <si>
    <t>Link Sheet</t>
  </si>
  <si>
    <t xml:space="preserve">Database </t>
  </si>
  <si>
    <t>Internal</t>
  </si>
  <si>
    <t>Database TNT</t>
  </si>
  <si>
    <t>SKINMOLOGY</t>
  </si>
  <si>
    <t>QAHIRA</t>
  </si>
  <si>
    <t>WARDAH</t>
  </si>
  <si>
    <t>SALSA BABY</t>
  </si>
  <si>
    <t>SALSA COSMETIC</t>
  </si>
  <si>
    <t>DIOLY</t>
  </si>
  <si>
    <t>ISWHITE</t>
  </si>
  <si>
    <t>SYB</t>
  </si>
  <si>
    <t>NAISDAY</t>
  </si>
  <si>
    <t>MS GLOW BEAUTY</t>
  </si>
  <si>
    <t>Username</t>
  </si>
  <si>
    <t>No Surat</t>
  </si>
  <si>
    <t>thya_pookie</t>
  </si>
  <si>
    <t>001</t>
  </si>
  <si>
    <t>shavirapuspitacitra</t>
  </si>
  <si>
    <t>itscendi</t>
  </si>
  <si>
    <t xml:space="preserve">talithazi_ 
</t>
  </si>
  <si>
    <t>oinlubis_</t>
  </si>
  <si>
    <t>lisdapr</t>
  </si>
  <si>
    <t xml:space="preserve"> thnlykai</t>
  </si>
  <si>
    <t>moodtiaraaaaa</t>
  </si>
  <si>
    <t>gabolegalakya</t>
  </si>
  <si>
    <t>zihanokta</t>
  </si>
  <si>
    <t>mia07024</t>
  </si>
  <si>
    <t>002</t>
  </si>
  <si>
    <t>ekbardiary</t>
  </si>
  <si>
    <t>ko.pepen</t>
  </si>
  <si>
    <t>yourbesties77</t>
  </si>
  <si>
    <t>lidyafebriy</t>
  </si>
  <si>
    <t>ummashanum</t>
  </si>
  <si>
    <t>thnlykai</t>
  </si>
  <si>
    <t>lilyisnotflowerrr</t>
  </si>
  <si>
    <t>stuffbbydiy</t>
  </si>
  <si>
    <t>003</t>
  </si>
  <si>
    <t>nris9</t>
  </si>
  <si>
    <t>fitrianahisnainy</t>
  </si>
  <si>
    <t>ekaretnowati</t>
  </si>
  <si>
    <t>araanrml</t>
  </si>
  <si>
    <t>ajtwinziee_</t>
  </si>
  <si>
    <t>euphoriatz</t>
  </si>
  <si>
    <t>ndaahq</t>
  </si>
  <si>
    <t>004</t>
  </si>
  <si>
    <t>azahrahf</t>
  </si>
  <si>
    <t>ferenaceta</t>
  </si>
  <si>
    <t>teungkuridhwan</t>
  </si>
  <si>
    <t>Umiwahyuni04</t>
  </si>
  <si>
    <t>ayuulestariii31</t>
  </si>
  <si>
    <t>gadisaries97</t>
  </si>
  <si>
    <t>005</t>
  </si>
  <si>
    <t>arnilawati</t>
  </si>
  <si>
    <t>itsmeevaniii</t>
  </si>
  <si>
    <t>riskadiana22_</t>
  </si>
  <si>
    <t>Momhiroki</t>
  </si>
  <si>
    <t>pch992</t>
  </si>
  <si>
    <t>arranrml</t>
  </si>
  <si>
    <t>006</t>
  </si>
  <si>
    <t>mood.umrah</t>
  </si>
  <si>
    <t>nonazawa</t>
  </si>
  <si>
    <t>honeyhanyy</t>
  </si>
  <si>
    <t>007</t>
  </si>
  <si>
    <t>mei_arifin180899</t>
  </si>
  <si>
    <t>syahvitridewi</t>
  </si>
  <si>
    <t>andriani.26</t>
  </si>
  <si>
    <t>mrsrepiew</t>
  </si>
  <si>
    <t>lehabottoh</t>
  </si>
  <si>
    <t>008</t>
  </si>
  <si>
    <t>pinkskieslova</t>
  </si>
  <si>
    <t>bunda.saba1</t>
  </si>
  <si>
    <t>intnwulnn_</t>
  </si>
  <si>
    <t>babyzaraa_</t>
  </si>
  <si>
    <t>elzahiraa25</t>
  </si>
  <si>
    <t>andyraka</t>
  </si>
  <si>
    <t>009</t>
  </si>
  <si>
    <t>omaliherbal</t>
  </si>
  <si>
    <t>Biinbiinstore</t>
  </si>
  <si>
    <t>sabinaaccura</t>
  </si>
  <si>
    <t>sygkmu__3</t>
  </si>
  <si>
    <t>si.imel</t>
  </si>
  <si>
    <t>010</t>
  </si>
  <si>
    <t>mutiaraaarv</t>
  </si>
  <si>
    <t>nadiapurba53</t>
  </si>
  <si>
    <t>mamanyacila28</t>
  </si>
  <si>
    <t>rika_yusnia</t>
  </si>
  <si>
    <t>011</t>
  </si>
  <si>
    <t>_cipo07</t>
  </si>
  <si>
    <t>shatikah04</t>
  </si>
  <si>
    <t>baby.cyrania</t>
  </si>
  <si>
    <t>013</t>
  </si>
  <si>
    <t>inii.dyan</t>
  </si>
  <si>
    <t>bbydreamer</t>
  </si>
  <si>
    <t>012</t>
  </si>
  <si>
    <t>gentongku</t>
  </si>
  <si>
    <t>callin_lim</t>
  </si>
  <si>
    <t>hayndep</t>
  </si>
  <si>
    <t>014</t>
  </si>
  <si>
    <t>anayeppeo77</t>
  </si>
  <si>
    <t>azzazhr21</t>
  </si>
  <si>
    <t>maiaannisa</t>
  </si>
  <si>
    <t>muhannah.fitria</t>
  </si>
  <si>
    <t>015</t>
  </si>
  <si>
    <t>itsme_enjesyn</t>
  </si>
  <si>
    <t>aaaratted</t>
  </si>
  <si>
    <t>tesazakia</t>
  </si>
  <si>
    <t>016</t>
  </si>
  <si>
    <t>aghania02</t>
  </si>
  <si>
    <t>anindalsp_</t>
  </si>
  <si>
    <t>lisna_tanjung</t>
  </si>
  <si>
    <t>gabolehgalakya</t>
  </si>
  <si>
    <t>017</t>
  </si>
  <si>
    <t>reviewofbeauty</t>
  </si>
  <si>
    <t>ncaaaaaaa24_</t>
  </si>
  <si>
    <t xml:space="preserve">duonisaa_ </t>
  </si>
  <si>
    <t>018</t>
  </si>
  <si>
    <t>review.erna27</t>
  </si>
  <si>
    <t>dratcyunnn</t>
  </si>
  <si>
    <t>letssgloow</t>
  </si>
  <si>
    <t>92herlina</t>
  </si>
  <si>
    <t>019</t>
  </si>
  <si>
    <t>meirayu2</t>
  </si>
  <si>
    <t>iwantu2ndmoon</t>
  </si>
  <si>
    <t>nam.bar3</t>
  </si>
  <si>
    <t>afrillamuthiia</t>
  </si>
  <si>
    <t>020</t>
  </si>
  <si>
    <t>haymawardah12</t>
  </si>
  <si>
    <t>choconad22</t>
  </si>
  <si>
    <t>rannmovv</t>
  </si>
  <si>
    <t>nul.minul</t>
  </si>
  <si>
    <t>inidinddaaa</t>
  </si>
  <si>
    <t>021</t>
  </si>
  <si>
    <t>raninuraeni143</t>
  </si>
  <si>
    <t>muhannah.fitris</t>
  </si>
  <si>
    <t>zoom_experimental</t>
  </si>
  <si>
    <t>022</t>
  </si>
  <si>
    <t>isnainimaria2</t>
  </si>
  <si>
    <t>egaarmwt</t>
  </si>
  <si>
    <t>dokterpuja</t>
  </si>
  <si>
    <t>hnrusdiana</t>
  </si>
  <si>
    <t>023</t>
  </si>
  <si>
    <t>cherry_review21</t>
  </si>
  <si>
    <t>meihrdnt_</t>
  </si>
  <si>
    <t>tika_dewi027</t>
  </si>
  <si>
    <t>arsykhumairah27</t>
  </si>
  <si>
    <t>sii.lifa</t>
  </si>
  <si>
    <t>depeyyyy</t>
  </si>
  <si>
    <t>024</t>
  </si>
  <si>
    <t>semestakamuu</t>
  </si>
  <si>
    <t>025</t>
  </si>
  <si>
    <t>daily_rosse</t>
  </si>
  <si>
    <t>026</t>
  </si>
  <si>
    <t>hananugroho_</t>
  </si>
  <si>
    <t>027</t>
  </si>
  <si>
    <t>dindaaprd_</t>
  </si>
  <si>
    <t>028</t>
  </si>
  <si>
    <t>029</t>
  </si>
  <si>
    <t xml:space="preserve">  </t>
  </si>
  <si>
    <t>030</t>
  </si>
  <si>
    <t>Template</t>
  </si>
  <si>
    <t>Status Qontak</t>
  </si>
  <si>
    <t>Sales Campaign</t>
  </si>
  <si>
    <t xml:space="preserve">     No</t>
  </si>
  <si>
    <t>14 Days Preparation</t>
  </si>
  <si>
    <t>Start Date</t>
  </si>
  <si>
    <t>End Date</t>
  </si>
  <si>
    <t>! Countdown !</t>
  </si>
  <si>
    <t>Budget Creator (Sisa)</t>
  </si>
  <si>
    <t>Budget ADS (Sisa)</t>
  </si>
  <si>
    <t>Target</t>
  </si>
  <si>
    <t>Achievement</t>
  </si>
  <si>
    <t>Percentage (%)</t>
  </si>
  <si>
    <t>VSA/ GMV MAX</t>
  </si>
  <si>
    <t>PIC</t>
  </si>
  <si>
    <t>Assist</t>
  </si>
  <si>
    <t>Link External</t>
  </si>
  <si>
    <t xml:space="preserve">File Concept </t>
  </si>
  <si>
    <t>05 - 25 Januari</t>
  </si>
  <si>
    <t>26 Januari 2026</t>
  </si>
  <si>
    <t>Tiara</t>
  </si>
  <si>
    <t>Wahyu</t>
  </si>
  <si>
    <t>Konsep OMG Skincare</t>
  </si>
  <si>
    <t xml:space="preserve">05 - 25 Januari </t>
  </si>
  <si>
    <t>April</t>
  </si>
  <si>
    <t>Maria</t>
  </si>
  <si>
    <t>Konsep OMG Makeup</t>
  </si>
  <si>
    <t>29 Januari - 18 Februari</t>
  </si>
  <si>
    <t>18 Februari 2026</t>
  </si>
  <si>
    <t>Konsep Qahira</t>
  </si>
  <si>
    <t xml:space="preserve">05 - 22 Januari </t>
  </si>
  <si>
    <t>22 Februari 2026</t>
  </si>
  <si>
    <t>Konsep Salsa Cosmetics</t>
  </si>
  <si>
    <t>Salsa Mom &amp; Baby</t>
  </si>
  <si>
    <t>Marini</t>
  </si>
  <si>
    <t>Konsep Salsa M&amp;B</t>
  </si>
  <si>
    <t xml:space="preserve">12 - 26 Januari </t>
  </si>
  <si>
    <t>02 Maret 2026</t>
  </si>
  <si>
    <t>Konsep Wardah</t>
  </si>
  <si>
    <t>06 - 20 April</t>
  </si>
  <si>
    <t>Konsep Iswhite</t>
  </si>
  <si>
    <t>08 - 22 April</t>
  </si>
  <si>
    <t>Konsep Naisday</t>
  </si>
  <si>
    <t>21 April - 5 Mei</t>
  </si>
  <si>
    <t>Konsep SYB</t>
  </si>
  <si>
    <t>Ms Glow Beauty</t>
  </si>
  <si>
    <t>20 Mei - 2 Juni</t>
  </si>
  <si>
    <t>3 Juni 2026</t>
  </si>
  <si>
    <t>MSGLOWBEAUTY</t>
  </si>
  <si>
    <t>Konsep MSGlowBeauty</t>
  </si>
  <si>
    <t>Ms Glow for Men</t>
  </si>
  <si>
    <t>6 Juni 2026</t>
  </si>
  <si>
    <t>Dafa</t>
  </si>
  <si>
    <t>MSGLOWFORMEN</t>
  </si>
  <si>
    <t>Konsep MSGlowMen</t>
  </si>
  <si>
    <t>Awareness Campaign</t>
  </si>
  <si>
    <t>Budget Ads (Sisa)</t>
  </si>
  <si>
    <t>Target Creator</t>
  </si>
  <si>
    <t>Target Video</t>
  </si>
  <si>
    <t>Achievement Creator</t>
  </si>
  <si>
    <t>Achievement Video</t>
  </si>
  <si>
    <t>Achievement Views</t>
  </si>
  <si>
    <t>Kimme</t>
  </si>
  <si>
    <t>21 Januari - 3 Februari</t>
  </si>
  <si>
    <t>11 Februari 2026</t>
  </si>
  <si>
    <t>Natali, April, Selfi</t>
  </si>
  <si>
    <t>Konsep Kimme</t>
  </si>
  <si>
    <t>Skinmology</t>
  </si>
  <si>
    <t>23 - 31 Januari</t>
  </si>
  <si>
    <t>1 Februari 2026</t>
  </si>
  <si>
    <t>01 Maret 2026</t>
  </si>
  <si>
    <t>SKINMOLOGY X TNT</t>
  </si>
  <si>
    <t>Konsep Skinmology</t>
  </si>
  <si>
    <t>Dioly</t>
  </si>
  <si>
    <t>18 - 3 Maret</t>
  </si>
  <si>
    <t>4 Maret 2026</t>
  </si>
  <si>
    <t>DIOLY X TNT</t>
  </si>
  <si>
    <t>Konsep Dioly</t>
  </si>
  <si>
    <t>PWS</t>
  </si>
  <si>
    <t>14-30 April 2026</t>
  </si>
  <si>
    <t>65.000.000</t>
  </si>
  <si>
    <t>PWS X TNT</t>
  </si>
  <si>
    <t>Konsep PWS</t>
  </si>
  <si>
    <t>Campaign OMG Skincare</t>
  </si>
  <si>
    <t>Grand Total</t>
  </si>
  <si>
    <t>January</t>
  </si>
  <si>
    <t>Februari</t>
  </si>
  <si>
    <t>Maret</t>
  </si>
  <si>
    <t>Mei</t>
  </si>
  <si>
    <t>Order Organic</t>
  </si>
  <si>
    <t>Total Target</t>
  </si>
  <si>
    <t>Percentage</t>
  </si>
  <si>
    <t>Total Video</t>
  </si>
  <si>
    <t>Target Harian</t>
  </si>
  <si>
    <t>Total Live</t>
  </si>
  <si>
    <t>Total Live Exclusive</t>
  </si>
  <si>
    <t>Target GMV/Hari</t>
  </si>
  <si>
    <t>Rp21,835,025</t>
  </si>
  <si>
    <t>Target %/Hari</t>
  </si>
  <si>
    <t>2,18%</t>
  </si>
  <si>
    <t>End Date: 26 April 2026</t>
  </si>
  <si>
    <t>\</t>
  </si>
  <si>
    <t>Campaign OMG Make Up</t>
  </si>
  <si>
    <t>2,88%</t>
  </si>
  <si>
    <t>Campaign Qahira</t>
  </si>
  <si>
    <t>5,21%</t>
  </si>
  <si>
    <t>End Date: 18 Mei 2026</t>
  </si>
  <si>
    <t>Campaign Kime</t>
  </si>
  <si>
    <t>Januari</t>
  </si>
  <si>
    <t>Creator</t>
  </si>
  <si>
    <t>Video</t>
  </si>
  <si>
    <t>Target Creator/ Hari</t>
  </si>
  <si>
    <t>Target Video/ Hari</t>
  </si>
  <si>
    <t>End Date:</t>
  </si>
  <si>
    <t>Campaign Skinmology</t>
  </si>
  <si>
    <t>Target Harian Creator</t>
  </si>
  <si>
    <t>Target Harian Video</t>
  </si>
  <si>
    <t>Campaign Wardah</t>
  </si>
  <si>
    <t>3,08%</t>
  </si>
  <si>
    <t>End Date: 02 Juni 2026</t>
  </si>
  <si>
    <t>Campaign Salsa Cosmetic</t>
  </si>
  <si>
    <t>4,24%</t>
  </si>
  <si>
    <t>End Date: 22 Mei 2026</t>
  </si>
  <si>
    <t>Campaign Salsa M&amp;B</t>
  </si>
  <si>
    <t>4,18%</t>
  </si>
  <si>
    <t>Campaign DIOLY</t>
  </si>
  <si>
    <t>Februari 18-28</t>
  </si>
  <si>
    <t>DIOLY FACIAL WASH</t>
  </si>
  <si>
    <t>Campaign ISWHITE</t>
  </si>
  <si>
    <t>1,19%</t>
  </si>
  <si>
    <t>Campaign NAISDAY</t>
  </si>
  <si>
    <t>1,20%</t>
  </si>
  <si>
    <t>Campaign SYB</t>
  </si>
  <si>
    <t>1,03%</t>
  </si>
  <si>
    <t>Campaign PWS</t>
  </si>
  <si>
    <t>Campaign MSGlow Beauty</t>
  </si>
  <si>
    <t>MSGlow Beauty</t>
  </si>
  <si>
    <t>MSGlow for Men</t>
  </si>
  <si>
    <t>Concept</t>
  </si>
  <si>
    <t>Budget Campaign</t>
  </si>
  <si>
    <t>Product</t>
  </si>
  <si>
    <t>Budget Awal</t>
  </si>
  <si>
    <t>CAMPAIGN</t>
  </si>
  <si>
    <t>ADS</t>
  </si>
  <si>
    <t>Progress</t>
  </si>
  <si>
    <t>Budget Terpakai</t>
  </si>
  <si>
    <t>Sisa Budget</t>
  </si>
  <si>
    <t>Organic Sales</t>
  </si>
  <si>
    <t>Sales By Ads</t>
  </si>
  <si>
    <t>Tier</t>
  </si>
  <si>
    <t>Username Creator</t>
  </si>
  <si>
    <t>Link Account</t>
  </si>
  <si>
    <t>No. Whatsapp</t>
  </si>
  <si>
    <t>Price</t>
  </si>
  <si>
    <t>Qty Video</t>
  </si>
  <si>
    <t>Sample Progress</t>
  </si>
  <si>
    <t>Link Video 1</t>
  </si>
  <si>
    <t>Link Video 2</t>
  </si>
  <si>
    <t>Link Video 3</t>
  </si>
  <si>
    <t>Link Video 4</t>
  </si>
  <si>
    <t>Livestream</t>
  </si>
  <si>
    <t>Key Message</t>
  </si>
  <si>
    <t>Target Views</t>
  </si>
  <si>
    <t>MANUAL</t>
  </si>
  <si>
    <t>Total Creator</t>
  </si>
  <si>
    <t>Total Views</t>
  </si>
  <si>
    <t>Notes</t>
  </si>
  <si>
    <t>GMV</t>
  </si>
  <si>
    <t>Link Video 5</t>
  </si>
  <si>
    <t>Link Video 6</t>
  </si>
  <si>
    <t xml:space="preserve"> </t>
  </si>
  <si>
    <t>micro</t>
  </si>
  <si>
    <t>macro</t>
  </si>
  <si>
    <t>Konsep</t>
  </si>
  <si>
    <t>Funnel</t>
  </si>
  <si>
    <t>Concept 1</t>
  </si>
  <si>
    <t>REAL EXPERIENCE</t>
  </si>
  <si>
    <t xml:space="preserve">Mengangkat pengalaman nyata pengguna sejak awal menemukan masalah hingga memutuskan memulai perawatan luar. </t>
  </si>
  <si>
    <t>Concept 2</t>
  </si>
  <si>
    <t>Concept 3</t>
  </si>
  <si>
    <t>PILIH YANG JELAS &amp; AMAN</t>
  </si>
  <si>
    <t>Di tengah banyaknya produk dengan klaim berlebihan, Ulama/ustadz diposisikan sebagai figur yang memberi rasa tenang dan keyakinan, bukan menjanjikan hasil instan.</t>
  </si>
  <si>
    <t>Concept 4</t>
  </si>
  <si>
    <t>Concept 5</t>
  </si>
  <si>
    <t>sample sampai</t>
  </si>
  <si>
    <t>SEBELUM MAKIN PARAH</t>
  </si>
  <si>
    <t>Banyak orang menunda perawatan karena merasa “nanti saja”. Padahal, langkah kecil yang dilakukan lebih awal sering kali lebih masuk akal dibanding menunggu sampai kondisi terasa makin mengganggu.</t>
  </si>
  <si>
    <t>JANGAN SAMPAI SALAH PILIH</t>
  </si>
  <si>
    <t>Mengangkat keresahan audiens saat memilih produk: takut salah, khawatir klaim berlebihan, dan bingung menentukan yang aman. Qahira hadir sebagai pilihan yang jelas, legal, dan dapat dipercaya.</t>
  </si>
  <si>
    <t>SYB AHA Skinboost Body Toner</t>
  </si>
  <si>
    <r>
      <rPr>
        <rFont val="Arial"/>
        <b/>
      </rPr>
      <t xml:space="preserve">1. Real Proof Daki Terangkat
</t>
    </r>
    <r>
      <rPr>
        <rFont val="Arial"/>
        <b val="0"/>
      </rPr>
      <t>Menampilkan bukti nyata pengangkatan daki/kotoran dan sel kulit mati secara langsung di kulit. Fokus pada perubahan instan dari kulit kusam menjadi lebih bersih dan cerah dalam satu kali pemakaian.</t>
    </r>
  </si>
  <si>
    <r>
      <rPr>
        <rFont val="Arial"/>
        <b/>
      </rPr>
      <t xml:space="preserve">2. Skin Tone Comparison (Pakai vs Tidak)
</t>
    </r>
    <r>
      <rPr>
        <rFont val="Arial"/>
        <b val="0"/>
      </rPr>
      <t>Menampilkan perbandingan langsung antara kulit yang menggunakan toner dan yang tidak, untuk menunjukkan perbedaan warna kulit yang lebih cerah, bersih, dan merata secara visual.</t>
    </r>
  </si>
  <si>
    <r>
      <rPr>
        <rFont val="Arial"/>
        <b/>
      </rPr>
      <t xml:space="preserve">3. Dull Skin Problem Solution
</t>
    </r>
    <r>
      <rPr>
        <rFont val="Arial"/>
        <b val="0"/>
      </rPr>
      <t>Mengangkat masalah kulit kusam yang tidak teratasi hanya dengan mandi, lalu diposisikan sebagai solusi melalui eksfoliasi yang membantu mengangkat sel kulit mati dan mencerahkan kulit.</t>
    </r>
  </si>
  <si>
    <t>SYB Facial Glowing Peeling Gel</t>
  </si>
  <si>
    <r>
      <rPr>
        <rFont val="Arial"/>
        <b/>
      </rPr>
      <t xml:space="preserve">1.  Smooth Skin for Better Makeup
</t>
    </r>
    <r>
      <rPr>
        <rFont val="Arial"/>
        <b val="0"/>
      </rPr>
      <t>Menyoroti masalah kulit gradakan dan komedo yang membuat makeup tidak menempel sempurna (crack), lalu diposisikan sebagai solusi melalui eksfoliasi untuk hasil kulit lebih halus.</t>
    </r>
  </si>
  <si>
    <r>
      <rPr>
        <rFont val="Arial"/>
        <b/>
      </rPr>
      <t xml:space="preserve">2. Satisfying Exfoliation (Daki Rontok)
</t>
    </r>
    <r>
      <rPr>
        <rFont val="Arial"/>
        <b val="0"/>
      </rPr>
      <t>Menampilkan proses eksfoliasi secara langsung (gosok → kotoran/sel kulit mati rontok) yang memberikan efek visual satisfying dan menarik perhatian.</t>
    </r>
  </si>
  <si>
    <r>
      <rPr>
        <rFont val="Arial"/>
        <b/>
      </rPr>
      <t xml:space="preserve">3. Skincare Not Working (Barrier Issue)
</t>
    </r>
    <r>
      <rPr>
        <rFont val="Arial"/>
        <b val="0"/>
      </rPr>
      <t>Mengangkat masalah skincare yang tidak bekerja maksimal karena kulit belum bersih dari sel kulit mati, lalu diposisikan sebagai solusi awal sebelum skincare lain.</t>
    </r>
  </si>
  <si>
    <t>SYB White Essence Moisturizing Spray</t>
  </si>
  <si>
    <r>
      <rPr>
        <rFont val="Arial"/>
        <b/>
      </rPr>
      <t xml:space="preserve">1. Instant Glow for Special Moments
</t>
    </r>
    <r>
      <rPr>
        <rFont val="Arial"/>
        <b val="0"/>
      </rPr>
      <t>Mengangkat kebutuhan tampil cerah secara instan untuk momen penting (wisuda, nikahan, event), sebagai solusi cepat tanpa harus menunggu perawatan jangka panjang.</t>
    </r>
  </si>
  <si>
    <r>
      <rPr>
        <rFont val="Arial"/>
        <b/>
      </rPr>
      <t xml:space="preserve">2. Waterproof Proof Test
</t>
    </r>
    <r>
      <rPr>
        <rFont val="Arial"/>
        <b val="0"/>
      </rPr>
      <t>Menampilkan pembuktian langsung bahwa produk tidak luntur saat terkena air, untuk menghilangkan keraguan terhadap produk tone up.</t>
    </r>
  </si>
  <si>
    <r>
      <rPr>
        <rFont val="Arial"/>
        <b/>
      </rPr>
      <t xml:space="preserve">3. Before–After Transformation
</t>
    </r>
    <r>
      <rPr>
        <rFont val="Arial"/>
        <b val="0"/>
      </rPr>
      <t>Menampilkan perubahan instan warna kulit (belang → lebih cerah merata) sebagai bukti visual yang kuat dan mudah dipahami.</t>
    </r>
  </si>
  <si>
    <t xml:space="preserve">       </t>
  </si>
  <si>
    <t>Code Boost</t>
  </si>
  <si>
    <t>Link VT 3</t>
  </si>
  <si>
    <t>Link VT 4</t>
  </si>
  <si>
    <t>TANGGAL</t>
  </si>
  <si>
    <t>Source.Name</t>
  </si>
  <si>
    <t>Order ID</t>
  </si>
  <si>
    <t>Sub orderid</t>
  </si>
  <si>
    <t>Creator Username</t>
  </si>
  <si>
    <t>Product Name</t>
  </si>
  <si>
    <t>SKU</t>
  </si>
  <si>
    <t>Quantity</t>
  </si>
  <si>
    <t>Shop name</t>
  </si>
  <si>
    <t>Shop code</t>
  </si>
  <si>
    <t>Order Status</t>
  </si>
  <si>
    <t>Content Type</t>
  </si>
  <si>
    <t>Content id</t>
  </si>
  <si>
    <t>Affiliate partner commission rate</t>
  </si>
  <si>
    <t>Creator commission rate</t>
  </si>
  <si>
    <t>Partner commission reward rate</t>
  </si>
  <si>
    <t>Creator commission reward rate</t>
  </si>
  <si>
    <t>Affiliate partner shop ads commission rate</t>
  </si>
  <si>
    <t>Creator shop ads commission rate</t>
  </si>
  <si>
    <t>Est. Commission Base</t>
  </si>
  <si>
    <t>Est. affiliate partner commission</t>
  </si>
  <si>
    <t>Est. partner commission reward fee</t>
  </si>
  <si>
    <t>Est. creator commission reward fee</t>
  </si>
  <si>
    <t>Est. creator commission</t>
  </si>
  <si>
    <t>Est. Creator shop ads commission payment</t>
  </si>
  <si>
    <t>Est. Affiliate partner shop ads commission payment</t>
  </si>
  <si>
    <t>Actual Commission Base</t>
  </si>
  <si>
    <t>Actual affiliate partner commission</t>
  </si>
  <si>
    <t>Actual creator commission</t>
  </si>
  <si>
    <t>Actual partner commission reward fee</t>
  </si>
  <si>
    <t>Actual creator commission reward fee</t>
  </si>
  <si>
    <t>Actual Affiliate partner shop ads commission payment</t>
  </si>
  <si>
    <t>Actual Creator shop ads commission payment</t>
  </si>
  <si>
    <t>Quantity returned</t>
  </si>
  <si>
    <t>Quantity refunded</t>
  </si>
  <si>
    <t>Time Created</t>
  </si>
  <si>
    <t>Time order delivered</t>
  </si>
  <si>
    <t>Time Commission Paid</t>
  </si>
  <si>
    <t>Payment ID</t>
  </si>
  <si>
    <t>Payment method</t>
  </si>
  <si>
    <t>Payment account</t>
  </si>
  <si>
    <t>IVA</t>
  </si>
  <si>
    <t>ISR</t>
  </si>
  <si>
    <t>Platform</t>
  </si>
  <si>
    <t>Attribution 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</si>
</sst>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#,##0_);(#,##0)"/>
    <numFmt numFmtId="165" formatCode="[$Rp]#,##0"/>
    <numFmt numFmtId="166" formatCode="d mmmm yyyy"/>
    <numFmt numFmtId="167" formatCode="[$Rp-421]#,##0"/>
    <numFmt numFmtId="168" formatCode="dd/MM/yyyy"/>
    <numFmt numFmtId="169" formatCode="M/d/yyyy"/>
    <numFmt numFmtId="170" formatCode="mm/dd/yyyy"/>
    <numFmt numFmtId="171" formatCode="[$Rp ]#,##0.00"/>
    <numFmt numFmtId="172" formatCode="[$Rp ]#,##0"/>
    <numFmt numFmtId="173" formatCode="[$Rp]#,##0.00"/>
    <numFmt numFmtId="174" formatCode="Rp#,##0_);-Rp#,##0"/>
    <numFmt numFmtId="175" formatCode="[$Rp]#,##0.000"/>
  </numFmts>
  <fonts count="68">
    <font>
      <sz val="10.0"/>
      <color rgb="FF000000"/>
      <name val="Arial"/>
    </font>
    <font>
      <b/>
      <color rgb="FFFFFFFF"/>
    </font>
    <font/>
    <font>
      <u/>
      <color rgb="FF0000FF"/>
    </font>
    <font>
      <u/>
      <sz val="10.0"/>
      <color rgb="FF4472C4"/>
      <name val="&quot;TikTok Font&quot;"/>
    </font>
    <font>
      <u/>
      <color rgb="FF0000FF"/>
    </font>
    <font>
      <b/>
      <sz val="11.0"/>
      <color rgb="FFFFFFFF"/>
    </font>
    <font>
      <u/>
      <color rgb="FF0000FF"/>
    </font>
    <font>
      <name val="Arial"/>
    </font>
    <font>
      <sz val="10.0"/>
      <color rgb="FF000000"/>
    </font>
    <font>
      <b/>
      <color rgb="FFFFFFFF"/>
      <name val="Arial"/>
    </font>
    <font>
      <u/>
      <color rgb="FF0000FF"/>
      <name val="Arial"/>
    </font>
    <font>
      <sz val="10.0"/>
      <name val="Arial"/>
    </font>
    <font>
      <color rgb="FF000000"/>
      <name val="Arial"/>
    </font>
    <font>
      <b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color rgb="FF000000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FFFFFF"/>
      <name val="Arial"/>
    </font>
    <font>
      <b/>
      <sz val="11.0"/>
      <color rgb="FF000000"/>
      <name val="Calibri"/>
    </font>
    <font>
      <sz val="11.0"/>
      <color rgb="FF000000"/>
      <name val="&quot;Aptos Narrow&quot;"/>
    </font>
    <font>
      <sz val="11.0"/>
      <color rgb="FF000000"/>
      <name val="Calibri"/>
    </font>
    <font>
      <b/>
      <sz val="21.0"/>
      <color rgb="FFFFFFFF"/>
      <name val="Arial"/>
    </font>
    <font>
      <b/>
      <sz val="20.0"/>
      <color rgb="FFFFFFFF"/>
      <name val="Arial"/>
    </font>
    <font>
      <b/>
      <sz val="11.0"/>
      <color rgb="FFFFFFFF"/>
      <name val="Arial"/>
    </font>
    <font>
      <b/>
      <sz val="16.0"/>
      <name val="Arial"/>
    </font>
    <font>
      <color rgb="FFFFFF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sz val="10.0"/>
      <name val="Arial"/>
    </font>
    <font>
      <u/>
      <color rgb="FF0000FF"/>
      <name val="Arial"/>
    </font>
    <font>
      <sz val="12.0"/>
      <color rgb="FF1F1F1F"/>
      <name val="Roboto"/>
    </font>
    <font>
      <u/>
      <color rgb="FF0000FF"/>
    </font>
    <font>
      <u/>
      <color rgb="FF0000FF"/>
    </font>
    <font>
      <color rgb="FF000000"/>
      <name val="Roboto"/>
    </font>
    <font>
      <b/>
      <sz val="11.0"/>
      <color rgb="FF000000"/>
      <name val="&quot;Aptos Narrow&quot;"/>
    </font>
    <font>
      <u/>
      <color rgb="FF0000FF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00"/>
    </font>
    <font>
      <u/>
      <color rgb="FF0000FF"/>
    </font>
    <font>
      <color rgb="FF1F1F1F"/>
    </font>
    <font>
      <b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u/>
      <sz val="11.0"/>
      <color rgb="FFFFFFFF"/>
      <name val="Calibri"/>
    </font>
    <font>
      <b/>
      <sz val="11.0"/>
      <color rgb="FFFFFFFF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69138"/>
        <bgColor rgb="FFE69138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7F6000"/>
        <bgColor rgb="FF7F6000"/>
      </patternFill>
    </fill>
    <fill>
      <patternFill patternType="solid">
        <fgColor rgb="FFEA9999"/>
        <bgColor rgb="FFEA9999"/>
      </patternFill>
    </fill>
    <fill>
      <patternFill patternType="solid">
        <fgColor rgb="FFD9E1F2"/>
        <bgColor rgb="FFD9E1F2"/>
      </patternFill>
    </fill>
    <fill>
      <patternFill patternType="solid">
        <fgColor rgb="FFFFD966"/>
        <bgColor rgb="FFFFD966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bottom style="thin">
        <color rgb="FF8EA9DB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44B3E1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</borders>
  <cellStyleXfs count="1">
    <xf borderId="0" fillId="0" fontId="0" numFmtId="0" applyAlignment="1" applyFont="1"/>
  </cellStyleXfs>
  <cellXfs count="6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2" numFmtId="9" xfId="0" applyAlignment="1" applyFont="1" applyNumberFormat="1">
      <alignment horizontal="center" readingOrder="0" shrinkToFit="0" wrapText="0"/>
    </xf>
    <xf borderId="0" fillId="0" fontId="2" numFmtId="9" xfId="0" applyAlignment="1" applyFont="1" applyNumberFormat="1">
      <alignment horizontal="center" readingOrder="0" shrinkToFit="0" wrapText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horizontal="center" shrinkToFit="0" wrapText="0"/>
    </xf>
    <xf borderId="1" fillId="2" fontId="6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Alignment="1" applyBorder="1" applyFill="1" applyFont="1">
      <alignment horizontal="center" readingOrder="0"/>
    </xf>
    <xf borderId="1" fillId="3" fontId="2" numFmtId="4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5" fontId="2" numFmtId="0" xfId="0" applyBorder="1" applyFill="1" applyFont="1"/>
    <xf borderId="1" fillId="0" fontId="2" numFmtId="49" xfId="0" applyAlignment="1" applyBorder="1" applyFont="1" applyNumberFormat="1">
      <alignment horizontal="center" readingOrder="0"/>
    </xf>
    <xf borderId="1" fillId="5" fontId="2" numFmtId="0" xfId="0" applyAlignment="1" applyBorder="1" applyFont="1">
      <alignment horizontal="center" readingOrder="0"/>
    </xf>
    <xf borderId="0" fillId="0" fontId="2" numFmtId="49" xfId="0" applyAlignment="1" applyFont="1" applyNumberForma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1" fillId="3" fontId="8" numFmtId="0" xfId="0" applyAlignment="1" applyBorder="1" applyFont="1">
      <alignment horizontal="center" vertical="bottom"/>
    </xf>
    <xf borderId="1" fillId="0" fontId="8" numFmtId="49" xfId="0" applyAlignment="1" applyBorder="1" applyFont="1" applyNumberFormat="1">
      <alignment horizontal="center" readingOrder="0" vertical="bottom"/>
    </xf>
    <xf borderId="1" fillId="5" fontId="8" numFmtId="0" xfId="0" applyAlignment="1" applyBorder="1" applyFont="1">
      <alignment horizontal="center" vertical="bottom"/>
    </xf>
    <xf borderId="0" fillId="0" fontId="8" numFmtId="49" xfId="0" applyAlignment="1" applyFont="1" applyNumberFormat="1">
      <alignment horizontal="center" readingOrder="0" vertical="bottom"/>
    </xf>
    <xf borderId="1" fillId="5" fontId="8" numFmtId="0" xfId="0" applyAlignment="1" applyBorder="1" applyFont="1">
      <alignment shrinkToFit="0" vertical="bottom" wrapText="0"/>
    </xf>
    <xf borderId="1" fillId="5" fontId="8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/>
    </xf>
    <xf borderId="1" fillId="0" fontId="8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 vertical="center"/>
    </xf>
    <xf borderId="1" fillId="3" fontId="9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/>
    </xf>
    <xf borderId="1" fillId="6" fontId="2" numFmtId="49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center" vertical="bottom"/>
    </xf>
    <xf borderId="1" fillId="5" fontId="8" numFmtId="0" xfId="0" applyAlignment="1" applyBorder="1" applyFont="1">
      <alignment horizontal="center" vertical="bottom"/>
    </xf>
    <xf borderId="1" fillId="0" fontId="2" numFmtId="49" xfId="0" applyAlignment="1" applyBorder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1" fillId="2" fontId="1" numFmtId="0" xfId="0" applyAlignment="1" applyBorder="1" applyFont="1">
      <alignment horizontal="center" readingOrder="0"/>
    </xf>
    <xf borderId="0" fillId="2" fontId="10" numFmtId="0" xfId="0" applyAlignment="1" applyFont="1">
      <alignment horizontal="center" readingOrder="0" vertical="bottom"/>
    </xf>
    <xf borderId="0" fillId="5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2" fillId="2" fontId="10" numFmtId="0" xfId="0" applyAlignment="1" applyBorder="1" applyFont="1">
      <alignment horizontal="center" readingOrder="0" vertical="bottom"/>
    </xf>
    <xf borderId="2" fillId="2" fontId="10" numFmtId="0" xfId="0" applyAlignment="1" applyBorder="1" applyFont="1">
      <alignment horizontal="center" vertical="bottom"/>
    </xf>
    <xf borderId="2" fillId="7" fontId="10" numFmtId="0" xfId="0" applyAlignment="1" applyBorder="1" applyFill="1" applyFont="1">
      <alignment horizontal="center" readingOrder="0" vertical="bottom"/>
    </xf>
    <xf borderId="2" fillId="2" fontId="10" numFmtId="165" xfId="0" applyAlignment="1" applyBorder="1" applyFont="1" applyNumberFormat="1">
      <alignment horizontal="center" vertical="bottom"/>
    </xf>
    <xf borderId="1" fillId="2" fontId="10" numFmtId="0" xfId="0" applyAlignment="1" applyBorder="1" applyFont="1">
      <alignment horizontal="center" readingOrder="0" vertical="bottom"/>
    </xf>
    <xf borderId="0" fillId="2" fontId="10" numFmtId="0" xfId="0" applyAlignment="1" applyFont="1">
      <alignment horizontal="center" vertical="bottom"/>
    </xf>
    <xf borderId="3" fillId="5" fontId="8" numFmtId="0" xfId="0" applyAlignment="1" applyBorder="1" applyFont="1">
      <alignment horizontal="center" vertical="bottom"/>
    </xf>
    <xf borderId="1" fillId="0" fontId="11" numFmtId="0" xfId="0" applyAlignment="1" applyBorder="1" applyFont="1">
      <alignment readingOrder="0" vertical="bottom"/>
    </xf>
    <xf borderId="4" fillId="0" fontId="12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bottom"/>
    </xf>
    <xf borderId="1" fillId="0" fontId="8" numFmtId="166" xfId="0" applyAlignment="1" applyBorder="1" applyFont="1" applyNumberFormat="1">
      <alignment horizontal="center" readingOrder="0" vertical="bottom"/>
    </xf>
    <xf borderId="1" fillId="8" fontId="13" numFmtId="166" xfId="0" applyAlignment="1" applyBorder="1" applyFill="1" applyFont="1" applyNumberFormat="1">
      <alignment horizontal="center" readingOrder="0" vertical="bottom"/>
    </xf>
    <xf borderId="1" fillId="0" fontId="8" numFmtId="165" xfId="0" applyAlignment="1" applyBorder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/>
    </xf>
    <xf borderId="1" fillId="5" fontId="8" numFmtId="167" xfId="0" applyAlignment="1" applyBorder="1" applyFont="1" applyNumberFormat="1">
      <alignment horizontal="center" vertical="bottom"/>
    </xf>
    <xf borderId="3" fillId="5" fontId="8" numFmtId="10" xfId="0" applyAlignment="1" applyBorder="1" applyFont="1" applyNumberFormat="1">
      <alignment horizontal="center" vertical="bottom"/>
    </xf>
    <xf borderId="1" fillId="0" fontId="14" numFmtId="0" xfId="0" applyAlignment="1" applyBorder="1" applyFont="1">
      <alignment horizontal="center" readingOrder="0" shrinkToFit="0" textRotation="0" vertical="top" wrapText="1"/>
    </xf>
    <xf borderId="1" fillId="0" fontId="13" numFmtId="0" xfId="0" applyAlignment="1" applyBorder="1" applyFont="1">
      <alignment horizontal="center" readingOrder="0" textRotation="0"/>
    </xf>
    <xf borderId="1" fillId="0" fontId="15" numFmtId="0" xfId="0" applyAlignment="1" applyBorder="1" applyFont="1">
      <alignment horizontal="center" readingOrder="0" textRotation="0"/>
    </xf>
    <xf borderId="1" fillId="0" fontId="16" numFmtId="0" xfId="0" applyAlignment="1" applyBorder="1" applyFont="1">
      <alignment horizontal="left" readingOrder="0" shrinkToFit="0" textRotation="0" wrapText="0"/>
    </xf>
    <xf borderId="0" fillId="0" fontId="8" numFmtId="0" xfId="0" applyFont="1"/>
    <xf borderId="1" fillId="5" fontId="8" numFmtId="10" xfId="0" applyAlignment="1" applyBorder="1" applyFont="1" applyNumberFormat="1">
      <alignment horizontal="center" vertical="bottom"/>
    </xf>
    <xf borderId="5" fillId="0" fontId="14" numFmtId="0" xfId="0" applyAlignment="1" applyBorder="1" applyFont="1">
      <alignment horizontal="center" readingOrder="0" shrinkToFit="0" textRotation="0" vertical="top" wrapText="1"/>
    </xf>
    <xf borderId="5" fillId="0" fontId="13" numFmtId="0" xfId="0" applyAlignment="1" applyBorder="1" applyFont="1">
      <alignment horizontal="center" readingOrder="0" textRotation="0"/>
    </xf>
    <xf borderId="1" fillId="0" fontId="17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166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18" numFmtId="0" xfId="0" applyAlignment="1" applyBorder="1" applyFont="1">
      <alignment horizontal="center" readingOrder="0"/>
    </xf>
    <xf borderId="1" fillId="0" fontId="19" numFmtId="0" xfId="0" applyAlignment="1" applyBorder="1" applyFont="1">
      <alignment horizontal="center" readingOrder="0"/>
    </xf>
    <xf borderId="1" fillId="0" fontId="20" numFmtId="0" xfId="0" applyAlignment="1" applyBorder="1" applyFont="1">
      <alignment readingOrder="0" shrinkToFit="0" wrapText="0"/>
    </xf>
    <xf borderId="1" fillId="5" fontId="21" numFmtId="0" xfId="0" applyAlignment="1" applyBorder="1" applyFont="1">
      <alignment readingOrder="0" vertical="bottom"/>
    </xf>
    <xf borderId="1" fillId="0" fontId="22" numFmtId="0" xfId="0" applyAlignment="1" applyBorder="1" applyFont="1">
      <alignment horizontal="left" readingOrder="0" textRotation="0"/>
    </xf>
    <xf borderId="4" fillId="0" fontId="12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 shrinkToFit="0" textRotation="0" vertical="top" wrapText="1"/>
    </xf>
    <xf borderId="1" fillId="0" fontId="13" numFmtId="0" xfId="0" applyAlignment="1" applyBorder="1" applyFont="1">
      <alignment horizontal="center" readingOrder="0" vertical="bottom"/>
    </xf>
    <xf borderId="1" fillId="0" fontId="23" numFmtId="0" xfId="0" applyAlignment="1" applyBorder="1" applyFont="1">
      <alignment horizontal="center" readingOrder="0" vertical="bottom"/>
    </xf>
    <xf borderId="1" fillId="4" fontId="13" numFmtId="166" xfId="0" applyAlignment="1" applyBorder="1" applyFont="1" applyNumberFormat="1">
      <alignment horizontal="center" readingOrder="0" vertical="bottom"/>
    </xf>
    <xf borderId="6" fillId="0" fontId="8" numFmtId="165" xfId="0" applyAlignment="1" applyBorder="1" applyFont="1" applyNumberFormat="1">
      <alignment horizontal="center" vertical="bottom"/>
    </xf>
    <xf borderId="1" fillId="0" fontId="2" numFmtId="167" xfId="0" applyAlignment="1" applyBorder="1" applyFont="1" applyNumberFormat="1">
      <alignment horizontal="center"/>
    </xf>
    <xf borderId="3" fillId="0" fontId="24" numFmtId="0" xfId="0" applyAlignment="1" applyBorder="1" applyFont="1">
      <alignment readingOrder="0"/>
    </xf>
    <xf borderId="7" fillId="0" fontId="2" numFmtId="0" xfId="0" applyBorder="1" applyFont="1"/>
    <xf borderId="6" fillId="0" fontId="2" numFmtId="165" xfId="0" applyAlignment="1" applyBorder="1" applyFont="1" applyNumberFormat="1">
      <alignment horizontal="center" readingOrder="0"/>
    </xf>
    <xf borderId="1" fillId="0" fontId="2" numFmtId="10" xfId="0" applyAlignment="1" applyBorder="1" applyFont="1" applyNumberFormat="1">
      <alignment horizontal="center"/>
    </xf>
    <xf borderId="1" fillId="0" fontId="25" numFmtId="0" xfId="0" applyAlignment="1" applyBorder="1" applyFont="1">
      <alignment readingOrder="0" vertical="center"/>
    </xf>
    <xf borderId="1" fillId="0" fontId="13" numFmtId="166" xfId="0" applyAlignment="1" applyBorder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horizontal="center"/>
    </xf>
    <xf borderId="2" fillId="2" fontId="10" numFmtId="0" xfId="0" applyAlignment="1" applyBorder="1" applyFont="1">
      <alignment horizontal="right" readingOrder="0" vertical="bottom"/>
    </xf>
    <xf borderId="1" fillId="5" fontId="8" numFmtId="0" xfId="0" applyAlignment="1" applyBorder="1" applyFont="1">
      <alignment horizontal="center" readingOrder="0" vertical="bottom"/>
    </xf>
    <xf borderId="1" fillId="0" fontId="2" numFmtId="3" xfId="0" applyAlignment="1" applyBorder="1" applyFont="1" applyNumberFormat="1">
      <alignment horizontal="center" readingOrder="0"/>
    </xf>
    <xf borderId="1" fillId="0" fontId="2" numFmtId="3" xfId="0" applyAlignment="1" applyBorder="1" applyFont="1" applyNumberFormat="1">
      <alignment horizontal="center" readingOrder="0" shrinkToFit="0" wrapText="0"/>
    </xf>
    <xf borderId="1" fillId="0" fontId="8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0"/>
    </xf>
    <xf borderId="1" fillId="0" fontId="26" numFmtId="0" xfId="0" applyAlignment="1" applyBorder="1" applyFont="1">
      <alignment horizontal="center" readingOrder="0" shrinkToFit="0" wrapText="0"/>
    </xf>
    <xf borderId="1" fillId="9" fontId="27" numFmtId="0" xfId="0" applyAlignment="1" applyBorder="1" applyFill="1" applyFont="1">
      <alignment readingOrder="0"/>
    </xf>
    <xf borderId="1" fillId="8" fontId="18" numFmtId="0" xfId="0" applyAlignment="1" applyBorder="1" applyFont="1">
      <alignment horizontal="center" readingOrder="0"/>
    </xf>
    <xf borderId="1" fillId="0" fontId="8" numFmtId="3" xfId="0" applyAlignment="1" applyBorder="1" applyFont="1" applyNumberFormat="1">
      <alignment horizontal="center" vertical="bottom"/>
    </xf>
    <xf borderId="1" fillId="2" fontId="2" numFmtId="0" xfId="0" applyBorder="1" applyFont="1"/>
    <xf borderId="1" fillId="0" fontId="28" numFmtId="0" xfId="0" applyAlignment="1" applyBorder="1" applyFont="1">
      <alignment horizontal="left" readingOrder="0"/>
    </xf>
    <xf borderId="1" fillId="2" fontId="2" numFmtId="0" xfId="0" applyAlignment="1" applyBorder="1" applyFont="1">
      <alignment horizontal="center"/>
    </xf>
    <xf borderId="1" fillId="0" fontId="29" numFmtId="0" xfId="0" applyAlignment="1" applyBorder="1" applyFont="1">
      <alignment horizontal="center" readingOrder="0"/>
    </xf>
    <xf borderId="0" fillId="0" fontId="2" numFmtId="165" xfId="0" applyAlignment="1" applyFont="1" applyNumberFormat="1">
      <alignment horizontal="center"/>
    </xf>
    <xf borderId="3" fillId="10" fontId="8" numFmtId="49" xfId="0" applyAlignment="1" applyBorder="1" applyFill="1" applyFont="1" applyNumberFormat="1">
      <alignment horizontal="center" readingOrder="0"/>
    </xf>
    <xf borderId="6" fillId="0" fontId="2" numFmtId="0" xfId="0" applyBorder="1" applyFont="1"/>
    <xf borderId="8" fillId="2" fontId="30" numFmtId="49" xfId="0" applyAlignment="1" applyBorder="1" applyFont="1" applyNumberFormat="1">
      <alignment horizontal="center"/>
    </xf>
    <xf borderId="1" fillId="2" fontId="30" numFmtId="0" xfId="0" applyAlignment="1" applyBorder="1" applyFont="1">
      <alignment horizontal="center" readingOrder="0" vertical="bottom"/>
    </xf>
    <xf borderId="1" fillId="2" fontId="30" numFmtId="168" xfId="0" applyAlignment="1" applyBorder="1" applyFont="1" applyNumberFormat="1">
      <alignment horizontal="center" readingOrder="0" vertical="bottom"/>
    </xf>
    <xf borderId="0" fillId="2" fontId="30" numFmtId="168" xfId="0" applyAlignment="1" applyFont="1" applyNumberFormat="1">
      <alignment horizontal="center" readingOrder="0" vertical="bottom"/>
    </xf>
    <xf borderId="2" fillId="5" fontId="8" numFmtId="165" xfId="0" applyAlignment="1" applyBorder="1" applyFont="1" applyNumberFormat="1">
      <alignment horizontal="center" readingOrder="0" vertical="center"/>
    </xf>
    <xf borderId="1" fillId="0" fontId="8" numFmtId="165" xfId="0" applyAlignment="1" applyBorder="1" applyFont="1" applyNumberFormat="1">
      <alignment horizontal="center"/>
    </xf>
    <xf borderId="1" fillId="0" fontId="8" numFmtId="167" xfId="0" applyAlignment="1" applyBorder="1" applyFont="1" applyNumberFormat="1">
      <alignment horizontal="center"/>
    </xf>
    <xf borderId="1" fillId="0" fontId="8" numFmtId="165" xfId="0" applyAlignment="1" applyBorder="1" applyFont="1" applyNumberFormat="1">
      <alignment horizontal="center" readingOrder="0"/>
    </xf>
    <xf borderId="0" fillId="0" fontId="8" numFmtId="165" xfId="0" applyAlignment="1" applyFont="1" applyNumberFormat="1">
      <alignment horizontal="center" readingOrder="0"/>
    </xf>
    <xf borderId="2" fillId="0" fontId="2" numFmtId="0" xfId="0" applyBorder="1" applyFont="1"/>
    <xf borderId="1" fillId="0" fontId="8" numFmtId="167" xfId="0" applyAlignment="1" applyBorder="1" applyFont="1" applyNumberFormat="1">
      <alignment horizontal="center" vertical="bottom"/>
    </xf>
    <xf borderId="1" fillId="0" fontId="8" numFmtId="165" xfId="0" applyAlignment="1" applyBorder="1" applyFont="1" applyNumberFormat="1">
      <alignment horizontal="center" readingOrder="0" vertical="bottom"/>
    </xf>
    <xf borderId="1" fillId="11" fontId="8" numFmtId="165" xfId="0" applyAlignment="1" applyBorder="1" applyFill="1" applyFont="1" applyNumberFormat="1">
      <alignment horizontal="center"/>
    </xf>
    <xf borderId="1" fillId="11" fontId="8" numFmtId="167" xfId="0" applyAlignment="1" applyBorder="1" applyFont="1" applyNumberFormat="1">
      <alignment horizontal="center" readingOrder="0"/>
    </xf>
    <xf borderId="1" fillId="12" fontId="8" numFmtId="10" xfId="0" applyAlignment="1" applyBorder="1" applyFill="1" applyFont="1" applyNumberFormat="1">
      <alignment horizontal="center"/>
    </xf>
    <xf borderId="0" fillId="12" fontId="8" numFmtId="10" xfId="0" applyAlignment="1" applyFont="1" applyNumberFormat="1">
      <alignment horizontal="center"/>
    </xf>
    <xf borderId="1" fillId="11" fontId="8" numFmtId="165" xfId="0" applyAlignment="1" applyBorder="1" applyFont="1" applyNumberFormat="1">
      <alignment horizontal="center" readingOrder="0"/>
    </xf>
    <xf borderId="0" fillId="11" fontId="8" numFmtId="0" xfId="0" applyAlignment="1" applyFont="1">
      <alignment horizontal="center"/>
    </xf>
    <xf borderId="1" fillId="12" fontId="8" numFmtId="0" xfId="0" applyAlignment="1" applyBorder="1" applyFont="1">
      <alignment horizontal="center"/>
    </xf>
    <xf borderId="1" fillId="12" fontId="8" numFmtId="0" xfId="0" applyAlignment="1" applyBorder="1" applyFont="1">
      <alignment horizontal="center" readingOrder="0"/>
    </xf>
    <xf borderId="1" fillId="12" fontId="8" numFmtId="0" xfId="0" applyAlignment="1" applyBorder="1" applyFont="1">
      <alignment horizontal="center" readingOrder="0" vertical="bottom"/>
    </xf>
    <xf borderId="0" fillId="12" fontId="8" numFmtId="0" xfId="0" applyAlignment="1" applyFont="1">
      <alignment horizontal="center" readingOrder="0"/>
    </xf>
    <xf borderId="1" fillId="11" fontId="8" numFmtId="0" xfId="0" applyAlignment="1" applyBorder="1" applyFont="1">
      <alignment horizontal="center"/>
    </xf>
    <xf borderId="1" fillId="12" fontId="8" numFmtId="0" xfId="0" applyAlignment="1" applyBorder="1" applyFont="1">
      <alignment horizontal="center" vertical="bottom"/>
    </xf>
    <xf borderId="1" fillId="12" fontId="8" numFmtId="0" xfId="0" applyAlignment="1" applyBorder="1" applyFont="1">
      <alignment vertical="bottom"/>
    </xf>
    <xf borderId="1" fillId="12" fontId="8" numFmtId="0" xfId="0" applyAlignment="1" applyBorder="1" applyFont="1">
      <alignment horizontal="center" vertical="bottom"/>
    </xf>
    <xf borderId="1" fillId="12" fontId="8" numFmtId="0" xfId="0" applyAlignment="1" applyBorder="1" applyFont="1">
      <alignment vertical="bottom"/>
    </xf>
    <xf borderId="1" fillId="12" fontId="8" numFmtId="0" xfId="0" applyBorder="1" applyFont="1"/>
    <xf borderId="1" fillId="12" fontId="8" numFmtId="0" xfId="0" applyBorder="1" applyFont="1"/>
    <xf borderId="0" fillId="12" fontId="8" numFmtId="0" xfId="0" applyFont="1"/>
    <xf borderId="1" fillId="12" fontId="8" numFmtId="165" xfId="0" applyAlignment="1" applyBorder="1" applyFont="1" applyNumberFormat="1">
      <alignment vertical="bottom"/>
    </xf>
    <xf borderId="1" fillId="11" fontId="8" numFmtId="0" xfId="0" applyAlignment="1" applyBorder="1" applyFont="1">
      <alignment horizontal="left" readingOrder="0"/>
    </xf>
    <xf borderId="1" fillId="12" fontId="8" numFmtId="165" xfId="0" applyAlignment="1" applyBorder="1" applyFont="1" applyNumberFormat="1">
      <alignment horizontal="center" readingOrder="0"/>
    </xf>
    <xf borderId="1" fillId="11" fontId="8" numFmtId="0" xfId="0" applyAlignment="1" applyBorder="1" applyFont="1">
      <alignment horizontal="center" readingOrder="0"/>
    </xf>
    <xf borderId="0" fillId="2" fontId="10" numFmtId="0" xfId="0" applyAlignment="1" applyFont="1">
      <alignment horizontal="center" readingOrder="0"/>
    </xf>
    <xf borderId="0" fillId="2" fontId="30" numFmtId="169" xfId="0" applyAlignment="1" applyFont="1" applyNumberFormat="1">
      <alignment horizontal="center" readingOrder="0"/>
    </xf>
    <xf borderId="9" fillId="2" fontId="10" numFmtId="0" xfId="0" applyAlignment="1" applyBorder="1" applyFont="1">
      <alignment readingOrder="0"/>
    </xf>
    <xf borderId="0" fillId="2" fontId="8" numFmtId="0" xfId="0" applyFont="1"/>
    <xf borderId="0" fillId="2" fontId="8" numFmtId="165" xfId="0" applyFont="1" applyNumberFormat="1"/>
    <xf borderId="0" fillId="2" fontId="8" numFmtId="0" xfId="0" applyAlignment="1" applyFont="1">
      <alignment horizontal="center"/>
    </xf>
    <xf borderId="1" fillId="2" fontId="8" numFmtId="0" xfId="0" applyBorder="1" applyFont="1"/>
    <xf borderId="0" fillId="0" fontId="2" numFmtId="165" xfId="0" applyAlignment="1" applyFont="1" applyNumberFormat="1">
      <alignment horizontal="center" readingOrder="0"/>
    </xf>
    <xf borderId="1" fillId="12" fontId="8" numFmtId="0" xfId="0" applyAlignment="1" applyBorder="1" applyFont="1">
      <alignment readingOrder="0" vertical="bottom"/>
    </xf>
    <xf borderId="1" fillId="11" fontId="8" numFmtId="165" xfId="0" applyAlignment="1" applyBorder="1" applyFont="1" applyNumberFormat="1">
      <alignment horizontal="left" readingOrder="0"/>
    </xf>
    <xf borderId="1" fillId="12" fontId="8" numFmtId="165" xfId="0" applyAlignment="1" applyBorder="1" applyFont="1" applyNumberFormat="1">
      <alignment horizontal="center"/>
    </xf>
    <xf borderId="1" fillId="12" fontId="8" numFmtId="165" xfId="0" applyBorder="1" applyFont="1" applyNumberFormat="1"/>
    <xf borderId="0" fillId="12" fontId="8" numFmtId="165" xfId="0" applyFont="1" applyNumberFormat="1"/>
    <xf borderId="0" fillId="2" fontId="10" numFmtId="0" xfId="0" applyAlignment="1" applyFont="1">
      <alignment readingOrder="0"/>
    </xf>
    <xf borderId="3" fillId="10" fontId="8" numFmtId="49" xfId="0" applyAlignment="1" applyBorder="1" applyFont="1" applyNumberFormat="1">
      <alignment horizontal="center" readingOrder="0" vertical="bottom"/>
    </xf>
    <xf borderId="8" fillId="2" fontId="30" numFmtId="49" xfId="0" applyAlignment="1" applyBorder="1" applyFont="1" applyNumberFormat="1">
      <alignment horizontal="center" vertical="bottom"/>
    </xf>
    <xf borderId="1" fillId="0" fontId="8" numFmtId="167" xfId="0" applyAlignment="1" applyBorder="1" applyFont="1" applyNumberFormat="1">
      <alignment horizontal="center" readingOrder="0" vertical="bottom"/>
    </xf>
    <xf borderId="0" fillId="2" fontId="30" numFmtId="0" xfId="0" applyAlignment="1" applyFont="1">
      <alignment horizontal="center" readingOrder="0"/>
    </xf>
    <xf borderId="2" fillId="5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/>
    </xf>
    <xf borderId="3" fillId="0" fontId="8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1" fillId="11" fontId="8" numFmtId="3" xfId="0" applyAlignment="1" applyBorder="1" applyFont="1" applyNumberFormat="1">
      <alignment horizontal="center" readingOrder="0"/>
    </xf>
    <xf borderId="1" fillId="12" fontId="8" numFmtId="10" xfId="0" applyAlignment="1" applyBorder="1" applyFont="1" applyNumberFormat="1">
      <alignment horizontal="center" vertical="bottom"/>
    </xf>
    <xf borderId="0" fillId="12" fontId="8" numFmtId="10" xfId="0" applyAlignment="1" applyFont="1" applyNumberFormat="1">
      <alignment horizontal="center" vertical="bottom"/>
    </xf>
    <xf borderId="1" fillId="2" fontId="30" numFmtId="170" xfId="0" applyAlignment="1" applyBorder="1" applyFont="1" applyNumberFormat="1">
      <alignment horizontal="center" readingOrder="0" vertical="bottom"/>
    </xf>
    <xf borderId="1" fillId="2" fontId="30" numFmtId="168" xfId="0" applyAlignment="1" applyBorder="1" applyFont="1" applyNumberFormat="1">
      <alignment horizontal="center" vertical="bottom"/>
    </xf>
    <xf borderId="0" fillId="2" fontId="30" numFmtId="168" xfId="0" applyAlignment="1" applyFont="1" applyNumberFormat="1">
      <alignment horizontal="center" vertical="bottom"/>
    </xf>
    <xf borderId="2" fillId="5" fontId="8" numFmtId="3" xfId="0" applyAlignment="1" applyBorder="1" applyFont="1" applyNumberFormat="1">
      <alignment horizontal="center" readingOrder="0" vertical="center"/>
    </xf>
    <xf borderId="1" fillId="0" fontId="8" numFmtId="3" xfId="0" applyAlignment="1" applyBorder="1" applyFont="1" applyNumberFormat="1">
      <alignment horizontal="center" readingOrder="0"/>
    </xf>
    <xf borderId="1" fillId="0" fontId="8" numFmtId="3" xfId="0" applyAlignment="1" applyBorder="1" applyFont="1" applyNumberFormat="1">
      <alignment horizontal="center"/>
    </xf>
    <xf borderId="1" fillId="0" fontId="8" numFmtId="3" xfId="0" applyAlignment="1" applyBorder="1" applyFont="1" applyNumberFormat="1">
      <alignment horizontal="center" readingOrder="0" vertical="bottom"/>
    </xf>
    <xf borderId="0" fillId="0" fontId="8" numFmtId="3" xfId="0" applyAlignment="1" applyFont="1" applyNumberFormat="1">
      <alignment horizontal="center"/>
    </xf>
    <xf borderId="1" fillId="0" fontId="8" numFmtId="49" xfId="0" applyAlignment="1" applyBorder="1" applyFont="1" applyNumberFormat="1">
      <alignment horizontal="center" readingOrder="0"/>
    </xf>
    <xf borderId="0" fillId="0" fontId="8" numFmtId="165" xfId="0" applyAlignment="1" applyFont="1" applyNumberFormat="1">
      <alignment horizontal="center"/>
    </xf>
    <xf borderId="1" fillId="2" fontId="8" numFmtId="0" xfId="0" applyAlignment="1" applyBorder="1" applyFont="1">
      <alignment horizontal="center"/>
    </xf>
    <xf borderId="1" fillId="2" fontId="8" numFmtId="0" xfId="0" applyAlignment="1" applyBorder="1" applyFont="1">
      <alignment horizontal="center" vertical="bottom"/>
    </xf>
    <xf borderId="1" fillId="2" fontId="8" numFmtId="0" xfId="0" applyAlignment="1" applyBorder="1" applyFont="1">
      <alignment vertical="bottom"/>
    </xf>
    <xf borderId="1" fillId="2" fontId="8" numFmtId="165" xfId="0" applyAlignment="1" applyBorder="1" applyFont="1" applyNumberFormat="1">
      <alignment vertical="bottom"/>
    </xf>
    <xf borderId="0" fillId="0" fontId="31" numFmtId="165" xfId="0" applyAlignment="1" applyFont="1" applyNumberFormat="1">
      <alignment horizontal="right" readingOrder="0" shrinkToFit="0" vertical="bottom" wrapText="0"/>
    </xf>
    <xf borderId="0" fillId="0" fontId="32" numFmtId="165" xfId="0" applyAlignment="1" applyFont="1" applyNumberFormat="1">
      <alignment horizontal="right" readingOrder="0" shrinkToFit="0" vertical="bottom" wrapText="0"/>
    </xf>
    <xf borderId="0" fillId="0" fontId="33" numFmtId="165" xfId="0" applyAlignment="1" applyFont="1" applyNumberFormat="1">
      <alignment horizontal="right" readingOrder="0" shrinkToFit="0" vertical="bottom" wrapText="0"/>
    </xf>
    <xf borderId="0" fillId="12" fontId="8" numFmtId="165" xfId="0" applyAlignment="1" applyFont="1" applyNumberFormat="1">
      <alignment horizontal="center" readingOrder="0"/>
    </xf>
    <xf borderId="1" fillId="0" fontId="8" numFmtId="165" xfId="0" applyAlignment="1" applyBorder="1" applyFont="1" applyNumberFormat="1">
      <alignment horizontal="center"/>
    </xf>
    <xf borderId="1" fillId="0" fontId="8" numFmtId="165" xfId="0" applyAlignment="1" applyBorder="1" applyFont="1" applyNumberFormat="1">
      <alignment horizontal="center" readingOrder="0"/>
    </xf>
    <xf borderId="3" fillId="0" fontId="8" numFmtId="165" xfId="0" applyAlignment="1" applyBorder="1" applyFont="1" applyNumberFormat="1">
      <alignment horizontal="center" readingOrder="0"/>
    </xf>
    <xf borderId="10" fillId="0" fontId="33" numFmtId="165" xfId="0" applyAlignment="1" applyBorder="1" applyFont="1" applyNumberFormat="1">
      <alignment horizontal="center" readingOrder="0" shrinkToFit="0" vertical="bottom" wrapText="0"/>
    </xf>
    <xf borderId="0" fillId="0" fontId="33" numFmtId="165" xfId="0" applyAlignment="1" applyFont="1" applyNumberFormat="1">
      <alignment horizontal="center" readingOrder="0" shrinkToFit="0" vertical="bottom" wrapText="0"/>
    </xf>
    <xf borderId="1" fillId="5" fontId="8" numFmtId="165" xfId="0" applyAlignment="1" applyBorder="1" applyFont="1" applyNumberFormat="1">
      <alignment horizontal="center" readingOrder="0" shrinkToFit="0" vertical="bottom" wrapText="0"/>
    </xf>
    <xf borderId="3" fillId="0" fontId="8" numFmtId="3" xfId="0" applyAlignment="1" applyBorder="1" applyFont="1" applyNumberFormat="1">
      <alignment horizontal="center" readingOrder="0"/>
    </xf>
    <xf borderId="11" fillId="5" fontId="0" numFmtId="3" xfId="0" applyAlignment="1" applyBorder="1" applyFont="1" applyNumberFormat="1">
      <alignment horizontal="center" readingOrder="0"/>
    </xf>
    <xf borderId="12" fillId="5" fontId="0" numFmtId="3" xfId="0" applyAlignment="1" applyBorder="1" applyFont="1" applyNumberFormat="1">
      <alignment horizontal="center" readingOrder="0"/>
    </xf>
    <xf borderId="0" fillId="0" fontId="8" numFmtId="3" xfId="0" applyAlignment="1" applyFont="1" applyNumberFormat="1">
      <alignment horizontal="center" readingOrder="0"/>
    </xf>
    <xf borderId="3" fillId="0" fontId="8" numFmtId="3" xfId="0" applyAlignment="1" applyBorder="1" applyFont="1" applyNumberFormat="1">
      <alignment horizontal="center" readingOrder="0" vertical="bottom"/>
    </xf>
    <xf borderId="1" fillId="5" fontId="13" numFmtId="3" xfId="0" applyAlignment="1" applyBorder="1" applyFont="1" applyNumberFormat="1">
      <alignment horizontal="center" readingOrder="0" vertical="bottom"/>
    </xf>
    <xf borderId="1" fillId="5" fontId="8" numFmtId="3" xfId="0" applyAlignment="1" applyBorder="1" applyFont="1" applyNumberFormat="1">
      <alignment horizontal="center" readingOrder="0" vertical="bottom"/>
    </xf>
    <xf borderId="1" fillId="5" fontId="8" numFmtId="3" xfId="0" applyAlignment="1" applyBorder="1" applyFont="1" applyNumberFormat="1">
      <alignment horizontal="center" readingOrder="0" vertical="bottom"/>
    </xf>
    <xf borderId="1" fillId="5" fontId="14" numFmtId="3" xfId="0" applyAlignment="1" applyBorder="1" applyFont="1" applyNumberFormat="1">
      <alignment horizontal="center" readingOrder="0" vertical="bottom"/>
    </xf>
    <xf borderId="0" fillId="11" fontId="8" numFmtId="0" xfId="0" applyAlignment="1" applyFont="1">
      <alignment horizontal="center" readingOrder="0"/>
    </xf>
    <xf borderId="12" fillId="12" fontId="0" numFmtId="10" xfId="0" applyAlignment="1" applyBorder="1" applyFont="1" applyNumberFormat="1">
      <alignment horizontal="center" readingOrder="0"/>
    </xf>
    <xf borderId="0" fillId="0" fontId="2" numFmtId="3" xfId="0" applyAlignment="1" applyFont="1" applyNumberFormat="1">
      <alignment horizontal="center" readingOrder="0"/>
    </xf>
    <xf borderId="1" fillId="12" fontId="8" numFmtId="0" xfId="0" applyAlignment="1" applyBorder="1" applyFont="1">
      <alignment readingOrder="0"/>
    </xf>
    <xf borderId="5" fillId="2" fontId="8" numFmtId="0" xfId="0" applyBorder="1" applyFont="1"/>
    <xf borderId="13" fillId="2" fontId="34" numFmtId="0" xfId="0" applyAlignment="1" applyBorder="1" applyFont="1">
      <alignment horizontal="center" readingOrder="0" vertical="bottom"/>
    </xf>
    <xf borderId="14" fillId="0" fontId="2" numFmtId="0" xfId="0" applyBorder="1" applyFont="1"/>
    <xf borderId="0" fillId="5" fontId="34" numFmtId="0" xfId="0" applyAlignment="1" applyFont="1">
      <alignment horizontal="center" readingOrder="0" vertical="bottom"/>
    </xf>
    <xf borderId="15" fillId="0" fontId="2" numFmtId="0" xfId="0" applyBorder="1" applyFont="1"/>
    <xf borderId="13" fillId="2" fontId="35" numFmtId="0" xfId="0" applyAlignment="1" applyBorder="1" applyFont="1">
      <alignment horizontal="center" readingOrder="0" shrinkToFit="0" vertical="bottom" wrapText="0"/>
    </xf>
    <xf borderId="0" fillId="0" fontId="2" numFmtId="171" xfId="0" applyFont="1" applyNumberFormat="1"/>
    <xf borderId="16" fillId="13" fontId="10" numFmtId="0" xfId="0" applyAlignment="1" applyBorder="1" applyFill="1" applyFont="1">
      <alignment horizontal="center" readingOrder="0" vertical="bottom"/>
    </xf>
    <xf borderId="17" fillId="0" fontId="2" numFmtId="0" xfId="0" applyBorder="1" applyFont="1"/>
    <xf borderId="13" fillId="13" fontId="36" numFmtId="0" xfId="0" applyAlignment="1" applyBorder="1" applyFont="1">
      <alignment horizontal="center" vertical="bottom"/>
    </xf>
    <xf borderId="13" fillId="13" fontId="36" numFmtId="0" xfId="0" applyAlignment="1" applyBorder="1" applyFont="1">
      <alignment horizontal="center" shrinkToFit="0" vertical="bottom" wrapText="0"/>
    </xf>
    <xf borderId="18" fillId="0" fontId="2" numFmtId="0" xfId="0" applyAlignment="1" applyBorder="1" applyFont="1">
      <alignment horizontal="center" readingOrder="0" vertical="center"/>
    </xf>
    <xf borderId="19" fillId="0" fontId="2" numFmtId="0" xfId="0" applyBorder="1" applyFont="1"/>
    <xf borderId="1" fillId="5" fontId="14" numFmtId="0" xfId="0" applyAlignment="1" applyBorder="1" applyFont="1">
      <alignment horizontal="center" readingOrder="0"/>
    </xf>
    <xf borderId="20" fillId="0" fontId="37" numFmtId="165" xfId="0" applyAlignment="1" applyBorder="1" applyFont="1" applyNumberFormat="1">
      <alignment horizontal="center"/>
    </xf>
    <xf borderId="21" fillId="0" fontId="2" numFmtId="0" xfId="0" applyBorder="1" applyFont="1"/>
    <xf borderId="22" fillId="0" fontId="2" numFmtId="0" xfId="0" applyBorder="1" applyFont="1"/>
    <xf borderId="13" fillId="2" fontId="36" numFmtId="0" xfId="0" applyAlignment="1" applyBorder="1" applyFont="1">
      <alignment horizontal="center" shrinkToFit="0" vertical="bottom" wrapText="0"/>
    </xf>
    <xf borderId="13" fillId="2" fontId="10" numFmtId="0" xfId="0" applyAlignment="1" applyBorder="1" applyFont="1">
      <alignment horizontal="center" vertical="bottom"/>
    </xf>
    <xf borderId="16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0" fillId="0" fontId="37" numFmtId="165" xfId="0" applyAlignment="1" applyBorder="1" applyFont="1" applyNumberFormat="1">
      <alignment horizontal="center" shrinkToFit="0" wrapText="0"/>
    </xf>
    <xf borderId="18" fillId="0" fontId="8" numFmtId="0" xfId="0" applyAlignment="1" applyBorder="1" applyFont="1">
      <alignment horizontal="center" readingOrder="0" vertical="center"/>
    </xf>
    <xf borderId="13" fillId="13" fontId="36" numFmtId="165" xfId="0" applyAlignment="1" applyBorder="1" applyFont="1" applyNumberFormat="1">
      <alignment horizontal="center"/>
    </xf>
    <xf borderId="13" fillId="13" fontId="36" numFmtId="165" xfId="0" applyAlignment="1" applyBorder="1" applyFont="1" applyNumberFormat="1">
      <alignment horizontal="center" shrinkToFit="0" wrapText="0"/>
    </xf>
    <xf borderId="13" fillId="13" fontId="36" numFmtId="0" xfId="0" applyAlignment="1" applyBorder="1" applyFont="1">
      <alignment horizontal="center"/>
    </xf>
    <xf borderId="20" fillId="0" fontId="37" numFmtId="10" xfId="0" applyAlignment="1" applyBorder="1" applyFont="1" applyNumberFormat="1">
      <alignment horizontal="center"/>
    </xf>
    <xf borderId="13" fillId="13" fontId="36" numFmtId="0" xfId="0" applyAlignment="1" applyBorder="1" applyFont="1">
      <alignment horizontal="center" shrinkToFit="0" wrapText="0"/>
    </xf>
    <xf borderId="0" fillId="5" fontId="34" numFmtId="0" xfId="0" applyAlignment="1" applyFont="1">
      <alignment horizontal="center" readingOrder="0" shrinkToFit="0" vertical="bottom" wrapText="0"/>
    </xf>
    <xf borderId="0" fillId="5" fontId="36" numFmtId="0" xfId="0" applyAlignment="1" applyFont="1">
      <alignment horizontal="center" shrinkToFit="0" vertical="center" wrapText="0"/>
    </xf>
    <xf borderId="0" fillId="5" fontId="8" numFmtId="171" xfId="0" applyAlignment="1" applyFont="1" applyNumberFormat="1">
      <alignment vertical="bottom"/>
    </xf>
    <xf borderId="0" fillId="5" fontId="36" numFmtId="0" xfId="0" applyAlignment="1" applyFont="1">
      <alignment horizontal="center" shrinkToFit="0" vertical="center" wrapText="1"/>
    </xf>
    <xf borderId="1" fillId="2" fontId="38" numFmtId="0" xfId="0" applyAlignment="1" applyBorder="1" applyFont="1">
      <alignment readingOrder="0"/>
    </xf>
    <xf borderId="1" fillId="2" fontId="38" numFmtId="0" xfId="0" applyAlignment="1" applyBorder="1" applyFont="1">
      <alignment readingOrder="0" shrinkToFit="0" wrapText="0"/>
    </xf>
    <xf borderId="1" fillId="2" fontId="36" numFmtId="171" xfId="0" applyAlignment="1" applyBorder="1" applyFont="1" applyNumberFormat="1">
      <alignment horizontal="center" shrinkToFit="0" vertical="center" wrapText="0"/>
    </xf>
    <xf borderId="1" fillId="2" fontId="36" numFmtId="171" xfId="0" applyAlignment="1" applyBorder="1" applyFont="1" applyNumberFormat="1">
      <alignment horizontal="center" readingOrder="0" shrinkToFit="0" vertical="center" wrapText="0"/>
    </xf>
    <xf borderId="1" fillId="2" fontId="36" numFmtId="0" xfId="0" applyAlignment="1" applyBorder="1" applyFont="1">
      <alignment horizontal="center" shrinkToFit="0" vertical="center" wrapText="1"/>
    </xf>
    <xf borderId="1" fillId="2" fontId="36" numFmtId="0" xfId="0" applyAlignment="1" applyBorder="1" applyFont="1">
      <alignment horizontal="center" shrinkToFit="0" vertical="center" wrapText="0"/>
    </xf>
    <xf borderId="1" fillId="2" fontId="36" numFmtId="0" xfId="0" applyAlignment="1" applyBorder="1" applyFont="1">
      <alignment horizontal="center" vertical="center"/>
    </xf>
    <xf borderId="1" fillId="2" fontId="36" numFmtId="165" xfId="0" applyAlignment="1" applyBorder="1" applyFont="1" applyNumberFormat="1">
      <alignment horizontal="center" readingOrder="0" shrinkToFit="0" vertical="center" wrapText="1"/>
    </xf>
    <xf borderId="1" fillId="2" fontId="36" numFmtId="0" xfId="0" applyAlignment="1" applyBorder="1" applyFont="1">
      <alignment horizontal="center" readingOrder="0" shrinkToFit="0" vertical="center" wrapText="1"/>
    </xf>
    <xf borderId="1" fillId="5" fontId="8" numFmtId="0" xfId="0" applyAlignment="1" applyBorder="1" applyFont="1">
      <alignment horizontal="center" readingOrder="0" shrinkToFit="0" vertical="bottom" wrapText="0"/>
    </xf>
    <xf borderId="1" fillId="5" fontId="2" numFmtId="0" xfId="0" applyAlignment="1" applyBorder="1" applyFont="1">
      <alignment readingOrder="0"/>
    </xf>
    <xf borderId="1" fillId="5" fontId="39" numFmtId="0" xfId="0" applyBorder="1" applyFont="1"/>
    <xf borderId="1" fillId="5" fontId="2" numFmtId="165" xfId="0" applyAlignment="1" applyBorder="1" applyFont="1" applyNumberFormat="1">
      <alignment horizontal="center" readingOrder="0"/>
    </xf>
    <xf borderId="1" fillId="5" fontId="8" numFmtId="0" xfId="0" applyAlignment="1" applyBorder="1" applyFont="1">
      <alignment vertical="bottom"/>
    </xf>
    <xf borderId="1" fillId="5" fontId="8" numFmtId="165" xfId="0" applyAlignment="1" applyBorder="1" applyFont="1" applyNumberFormat="1">
      <alignment readingOrder="0" shrinkToFit="0" wrapText="0"/>
    </xf>
    <xf borderId="1" fillId="5" fontId="8" numFmtId="0" xfId="0" applyAlignment="1" applyBorder="1" applyFont="1">
      <alignment vertical="bottom"/>
    </xf>
    <xf borderId="1" fillId="0" fontId="2" numFmtId="0" xfId="0" applyAlignment="1" applyBorder="1" applyFont="1">
      <alignment shrinkToFit="0" wrapText="0"/>
    </xf>
    <xf borderId="1" fillId="0" fontId="2" numFmtId="165" xfId="0" applyAlignment="1" applyBorder="1" applyFont="1" applyNumberFormat="1">
      <alignment readingOrder="0"/>
    </xf>
    <xf borderId="1" fillId="0" fontId="2" numFmtId="172" xfId="0" applyAlignment="1" applyBorder="1" applyFont="1" applyNumberFormat="1">
      <alignment readingOrder="0"/>
    </xf>
    <xf borderId="1" fillId="0" fontId="2" numFmtId="171" xfId="0" applyAlignment="1" applyBorder="1" applyFont="1" applyNumberFormat="1">
      <alignment readingOrder="0"/>
    </xf>
    <xf borderId="1" fillId="0" fontId="2" numFmtId="171" xfId="0" applyBorder="1" applyFont="1" applyNumberFormat="1"/>
    <xf borderId="1" fillId="0" fontId="2" numFmtId="0" xfId="0" applyAlignment="1" applyBorder="1" applyFont="1">
      <alignment readingOrder="0" shrinkToFit="0" wrapText="0"/>
    </xf>
    <xf borderId="1" fillId="5" fontId="2" numFmtId="0" xfId="0" applyAlignment="1" applyBorder="1" applyFont="1">
      <alignment shrinkToFit="0" wrapText="0"/>
    </xf>
    <xf borderId="1" fillId="5" fontId="2" numFmtId="165" xfId="0" applyAlignment="1" applyBorder="1" applyFont="1" applyNumberFormat="1">
      <alignment horizontal="center" readingOrder="0"/>
    </xf>
    <xf borderId="1" fillId="5" fontId="2" numFmtId="0" xfId="0" applyAlignment="1" applyBorder="1" applyFont="1">
      <alignment horizontal="center"/>
    </xf>
    <xf borderId="1" fillId="5" fontId="2" numFmtId="165" xfId="0" applyAlignment="1" applyBorder="1" applyFont="1" applyNumberFormat="1">
      <alignment horizontal="center"/>
    </xf>
    <xf borderId="0" fillId="5" fontId="2" numFmtId="0" xfId="0" applyFont="1"/>
    <xf borderId="0" fillId="5" fontId="2" numFmtId="0" xfId="0" applyAlignment="1" applyFont="1">
      <alignment horizontal="center"/>
    </xf>
    <xf borderId="0" fillId="5" fontId="2" numFmtId="165" xfId="0" applyAlignment="1" applyFont="1" applyNumberFormat="1">
      <alignment horizontal="center"/>
    </xf>
    <xf borderId="7" fillId="5" fontId="10" numFmtId="0" xfId="0" applyAlignment="1" applyBorder="1" applyFont="1">
      <alignment horizontal="center" vertical="bottom"/>
    </xf>
    <xf borderId="0" fillId="5" fontId="10" numFmtId="0" xfId="0" applyAlignment="1" applyFont="1">
      <alignment horizontal="center" vertical="bottom"/>
    </xf>
    <xf borderId="1" fillId="0" fontId="8" numFmtId="0" xfId="0" applyAlignment="1" applyBorder="1" applyFont="1">
      <alignment readingOrder="0" vertical="bottom"/>
    </xf>
    <xf borderId="1" fillId="0" fontId="40" numFmtId="0" xfId="0" applyAlignment="1" applyBorder="1" applyFont="1">
      <alignment shrinkToFit="0" wrapText="0"/>
    </xf>
    <xf borderId="1" fillId="0" fontId="41" numFmtId="0" xfId="0" applyBorder="1" applyFont="1"/>
    <xf borderId="1" fillId="0" fontId="42" numFmtId="0" xfId="0" applyAlignment="1" applyBorder="1" applyFont="1">
      <alignment readingOrder="0" shrinkToFit="0" wrapText="0"/>
    </xf>
    <xf borderId="1" fillId="5" fontId="43" numFmtId="0" xfId="0" applyAlignment="1" applyBorder="1" applyFont="1">
      <alignment shrinkToFit="0" wrapText="0"/>
    </xf>
    <xf borderId="0" fillId="5" fontId="8" numFmtId="0" xfId="0" applyAlignment="1" applyFont="1">
      <alignment horizontal="center" readingOrder="0" shrinkToFit="0" vertical="bottom" wrapText="0"/>
    </xf>
    <xf borderId="0" fillId="5" fontId="44" numFmtId="0" xfId="0" applyFont="1"/>
    <xf borderId="13" fillId="2" fontId="34" numFmtId="0" xfId="0" applyAlignment="1" applyBorder="1" applyFont="1">
      <alignment horizontal="center" readingOrder="0" vertical="center"/>
    </xf>
    <xf borderId="0" fillId="5" fontId="34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13" fillId="2" fontId="35" numFmtId="0" xfId="0" applyAlignment="1" applyBorder="1" applyFont="1">
      <alignment horizontal="center" readingOrder="0" shrinkToFit="0" vertical="center" wrapText="0"/>
    </xf>
    <xf borderId="16" fillId="13" fontId="10" numFmtId="0" xfId="0" applyAlignment="1" applyBorder="1" applyFont="1">
      <alignment horizontal="center" readingOrder="0" vertical="center"/>
    </xf>
    <xf borderId="20" fillId="13" fontId="36" numFmtId="0" xfId="0" applyAlignment="1" applyBorder="1" applyFont="1">
      <alignment horizontal="center" readingOrder="0" vertical="center"/>
    </xf>
    <xf borderId="21" fillId="13" fontId="36" numFmtId="0" xfId="0" applyAlignment="1" applyBorder="1" applyFont="1">
      <alignment horizontal="center" readingOrder="0" vertical="center"/>
    </xf>
    <xf borderId="22" fillId="13" fontId="36" numFmtId="0" xfId="0" applyAlignment="1" applyBorder="1" applyFont="1">
      <alignment horizontal="center" readingOrder="0" vertical="center"/>
    </xf>
    <xf borderId="13" fillId="13" fontId="36" numFmtId="0" xfId="0" applyAlignment="1" applyBorder="1" applyFont="1">
      <alignment horizontal="center" shrinkToFit="0" vertical="center" wrapText="0"/>
    </xf>
    <xf borderId="1" fillId="5" fontId="14" numFmtId="0" xfId="0" applyAlignment="1" applyBorder="1" applyFont="1">
      <alignment horizontal="center" readingOrder="0" vertical="center"/>
    </xf>
    <xf borderId="26" fillId="0" fontId="45" numFmtId="165" xfId="0" applyAlignment="1" applyBorder="1" applyFont="1" applyNumberFormat="1">
      <alignment horizontal="center" readingOrder="0" shrinkToFit="0" vertical="center" wrapText="1"/>
    </xf>
    <xf borderId="13" fillId="2" fontId="36" numFmtId="0" xfId="0" applyAlignment="1" applyBorder="1" applyFont="1">
      <alignment horizontal="center" shrinkToFit="0" vertical="center" wrapText="0"/>
    </xf>
    <xf borderId="13" fillId="2" fontId="10" numFmtId="0" xfId="0" applyAlignment="1" applyBorder="1" applyFont="1">
      <alignment horizontal="center" vertical="center"/>
    </xf>
    <xf borderId="27" fillId="0" fontId="2" numFmtId="0" xfId="0" applyBorder="1" applyFont="1"/>
    <xf borderId="20" fillId="0" fontId="37" numFmtId="165" xfId="0" applyAlignment="1" applyBorder="1" applyFont="1" applyNumberFormat="1">
      <alignment horizontal="center" shrinkToFit="0" vertical="center" wrapText="0"/>
    </xf>
    <xf borderId="20" fillId="0" fontId="37" numFmtId="165" xfId="0" applyAlignment="1" applyBorder="1" applyFont="1" applyNumberFormat="1">
      <alignment horizontal="center" vertical="center"/>
    </xf>
    <xf borderId="28" fillId="13" fontId="36" numFmtId="0" xfId="0" applyAlignment="1" applyBorder="1" applyFont="1">
      <alignment horizontal="center" readingOrder="0" vertical="center"/>
    </xf>
    <xf borderId="26" fillId="0" fontId="37" numFmtId="0" xfId="0" applyAlignment="1" applyBorder="1" applyFont="1">
      <alignment horizontal="center" vertical="center"/>
    </xf>
    <xf borderId="13" fillId="13" fontId="36" numFmtId="165" xfId="0" applyAlignment="1" applyBorder="1" applyFont="1" applyNumberFormat="1">
      <alignment horizontal="center" shrinkToFit="0" vertical="center" wrapText="0"/>
    </xf>
    <xf borderId="23" fillId="13" fontId="36" numFmtId="0" xfId="0" applyAlignment="1" applyBorder="1" applyFont="1">
      <alignment horizontal="center" vertical="center"/>
    </xf>
    <xf borderId="26" fillId="0" fontId="37" numFmtId="10" xfId="0" applyAlignment="1" applyBorder="1" applyFont="1" applyNumberFormat="1">
      <alignment horizontal="center" vertical="center"/>
    </xf>
    <xf borderId="0" fillId="5" fontId="3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  <xf borderId="1" fillId="5" fontId="8" numFmtId="0" xfId="0" applyAlignment="1" applyBorder="1" applyFont="1">
      <alignment horizontal="center" readingOrder="0" shrinkToFit="0" vertical="center" wrapText="0"/>
    </xf>
    <xf borderId="1" fillId="5" fontId="18" numFmtId="0" xfId="0" applyAlignment="1" applyBorder="1" applyFont="1">
      <alignment vertical="center"/>
    </xf>
    <xf borderId="1" fillId="5" fontId="13" numFmtId="0" xfId="0" applyAlignment="1" applyBorder="1" applyFont="1">
      <alignment horizontal="center" readingOrder="0" vertical="center"/>
    </xf>
    <xf borderId="1" fillId="5" fontId="18" numFmtId="165" xfId="0" applyAlignment="1" applyBorder="1" applyFont="1" applyNumberForma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1" fillId="5" fontId="0" numFmtId="0" xfId="0" applyAlignment="1" applyBorder="1" applyFont="1">
      <alignment horizontal="center" readingOrder="0" vertical="center"/>
    </xf>
    <xf borderId="1" fillId="5" fontId="13" numFmtId="0" xfId="0" applyAlignment="1" applyBorder="1" applyFont="1">
      <alignment shrinkToFit="0" vertical="center" wrapText="0"/>
    </xf>
    <xf borderId="1" fillId="5" fontId="13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5" fontId="18" numFmtId="165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vertical="center"/>
    </xf>
    <xf borderId="1" fillId="5" fontId="2" numFmtId="165" xfId="0" applyAlignment="1" applyBorder="1" applyFont="1" applyNumberFormat="1">
      <alignment horizontal="center" vertical="center"/>
    </xf>
    <xf borderId="0" fillId="5" fontId="8" numFmtId="0" xfId="0" applyAlignment="1" applyFont="1">
      <alignment horizontal="center" readingOrder="0" shrinkToFit="0" vertical="center" wrapText="0"/>
    </xf>
    <xf borderId="0" fillId="5" fontId="2" numFmtId="0" xfId="0" applyAlignment="1" applyFont="1">
      <alignment vertical="center"/>
    </xf>
    <xf borderId="0" fillId="5" fontId="2" numFmtId="0" xfId="0" applyAlignment="1" applyFont="1">
      <alignment horizontal="center" vertical="center"/>
    </xf>
    <xf borderId="13" fillId="2" fontId="34" numFmtId="0" xfId="0" applyAlignment="1" applyBorder="1" applyFont="1">
      <alignment horizontal="center" readingOrder="0" shrinkToFit="0" vertical="center" wrapText="1"/>
    </xf>
    <xf borderId="16" fillId="13" fontId="10" numFmtId="0" xfId="0" applyAlignment="1" applyBorder="1" applyFont="1">
      <alignment horizontal="center" readingOrder="0" shrinkToFit="0" vertical="center" wrapText="1"/>
    </xf>
    <xf borderId="13" fillId="13" fontId="36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readingOrder="0" shrinkToFit="0" vertical="center" wrapText="1"/>
    </xf>
    <xf borderId="1" fillId="5" fontId="14" numFmtId="0" xfId="0" applyAlignment="1" applyBorder="1" applyFont="1">
      <alignment horizontal="center" readingOrder="0" shrinkToFit="0" vertical="center" wrapText="1"/>
    </xf>
    <xf borderId="18" fillId="0" fontId="8" numFmtId="0" xfId="0" applyAlignment="1" applyBorder="1" applyFont="1">
      <alignment horizontal="center" readingOrder="0" shrinkToFit="0" vertical="center" wrapText="1"/>
    </xf>
    <xf borderId="13" fillId="13" fontId="36" numFmtId="165" xfId="0" applyAlignment="1" applyBorder="1" applyFont="1" applyNumberFormat="1">
      <alignment horizontal="center" vertical="center"/>
    </xf>
    <xf borderId="20" fillId="0" fontId="37" numFmtId="10" xfId="0" applyAlignment="1" applyBorder="1" applyFont="1" applyNumberFormat="1">
      <alignment horizontal="center" vertical="center"/>
    </xf>
    <xf borderId="1" fillId="2" fontId="38" numFmtId="0" xfId="0" applyAlignment="1" applyBorder="1" applyFont="1">
      <alignment horizontal="center" readingOrder="0"/>
    </xf>
    <xf borderId="1" fillId="2" fontId="36" numFmtId="0" xfId="0" applyAlignment="1" applyBorder="1" applyFont="1">
      <alignment horizontal="center" readingOrder="0" shrinkToFit="0" vertical="center" wrapText="0"/>
    </xf>
    <xf borderId="1" fillId="5" fontId="8" numFmtId="0" xfId="0" applyAlignment="1" applyBorder="1" applyFont="1">
      <alignment readingOrder="0" vertical="bottom"/>
    </xf>
    <xf borderId="1" fillId="5" fontId="46" numFmtId="0" xfId="0" applyAlignment="1" applyBorder="1" applyFont="1">
      <alignment horizontal="center" shrinkToFit="0" vertical="bottom" wrapText="0"/>
    </xf>
    <xf borderId="1" fillId="0" fontId="2" numFmtId="172" xfId="0" applyAlignment="1" applyBorder="1" applyFont="1" applyNumberFormat="1">
      <alignment horizontal="center"/>
    </xf>
    <xf borderId="0" fillId="5" fontId="2" numFmtId="0" xfId="0" applyAlignment="1" applyFont="1">
      <alignment shrinkToFit="0" wrapText="0"/>
    </xf>
    <xf borderId="21" fillId="5" fontId="34" numFmtId="0" xfId="0" applyAlignment="1" applyBorder="1" applyFont="1">
      <alignment horizontal="center" readingOrder="0" vertical="bottom"/>
    </xf>
    <xf borderId="16" fillId="13" fontId="10" numFmtId="0" xfId="0" applyAlignment="1" applyBorder="1" applyFont="1">
      <alignment horizontal="center" readingOrder="0" shrinkToFit="0" vertical="bottom" wrapText="0"/>
    </xf>
    <xf borderId="1" fillId="5" fontId="14" numFmtId="0" xfId="0" applyAlignment="1" applyBorder="1" applyFont="1">
      <alignment horizontal="center" readingOrder="0" shrinkToFit="0" wrapText="0"/>
    </xf>
    <xf borderId="20" fillId="0" fontId="37" numFmtId="165" xfId="0" applyAlignment="1" applyBorder="1" applyFont="1" applyNumberFormat="1">
      <alignment horizontal="center" readingOrder="0"/>
    </xf>
    <xf borderId="0" fillId="2" fontId="2" numFmtId="0" xfId="0" applyFont="1"/>
    <xf borderId="0" fillId="2" fontId="2" numFmtId="0" xfId="0" applyAlignment="1" applyFont="1">
      <alignment shrinkToFit="0" wrapText="0"/>
    </xf>
    <xf borderId="18" fillId="2" fontId="36" numFmtId="171" xfId="0" applyAlignment="1" applyBorder="1" applyFont="1" applyNumberFormat="1">
      <alignment horizontal="center" shrinkToFit="0" vertical="center" wrapText="0"/>
    </xf>
    <xf borderId="19" fillId="2" fontId="36" numFmtId="171" xfId="0" applyAlignment="1" applyBorder="1" applyFont="1" applyNumberFormat="1">
      <alignment horizontal="center" shrinkToFit="0" vertical="center" wrapText="0"/>
    </xf>
    <xf borderId="5" fillId="2" fontId="36" numFmtId="0" xfId="0" applyAlignment="1" applyBorder="1" applyFont="1">
      <alignment horizontal="center" shrinkToFit="0" vertical="center" wrapText="1"/>
    </xf>
    <xf borderId="5" fillId="2" fontId="36" numFmtId="0" xfId="0" applyAlignment="1" applyBorder="1" applyFont="1">
      <alignment horizontal="center" shrinkToFit="0" vertical="center" wrapText="0"/>
    </xf>
    <xf borderId="5" fillId="2" fontId="36" numFmtId="0" xfId="0" applyAlignment="1" applyBorder="1" applyFont="1">
      <alignment horizontal="center" vertical="center"/>
    </xf>
    <xf borderId="5" fillId="2" fontId="36" numFmtId="165" xfId="0" applyAlignment="1" applyBorder="1" applyFont="1" applyNumberFormat="1">
      <alignment horizontal="center" readingOrder="0" shrinkToFit="0" vertical="center" wrapText="1"/>
    </xf>
    <xf borderId="5" fillId="2" fontId="36" numFmtId="0" xfId="0" applyAlignment="1" applyBorder="1" applyFont="1">
      <alignment horizontal="center" readingOrder="0" shrinkToFit="0" vertical="center" wrapText="0"/>
    </xf>
    <xf borderId="18" fillId="2" fontId="36" numFmtId="0" xfId="0" applyAlignment="1" applyBorder="1" applyFont="1">
      <alignment horizontal="center" shrinkToFit="0" vertical="center" wrapText="0"/>
    </xf>
    <xf borderId="5" fillId="2" fontId="36" numFmtId="0" xfId="0" applyAlignment="1" applyBorder="1" applyFont="1">
      <alignment horizontal="center" readingOrder="0" shrinkToFit="0" vertical="center" wrapText="1"/>
    </xf>
    <xf borderId="19" fillId="2" fontId="36" numFmtId="0" xfId="0" applyAlignment="1" applyBorder="1" applyFont="1">
      <alignment horizontal="center" shrinkToFit="0" vertical="center" wrapText="0"/>
    </xf>
    <xf borderId="5" fillId="2" fontId="36" numFmtId="171" xfId="0" applyAlignment="1" applyBorder="1" applyFont="1" applyNumberFormat="1">
      <alignment horizontal="center" shrinkToFit="0" vertical="center" wrapText="0"/>
    </xf>
    <xf borderId="0" fillId="0" fontId="47" numFmtId="0" xfId="0" applyFont="1"/>
    <xf borderId="1" fillId="5" fontId="0" numFmtId="0" xfId="0" applyAlignment="1" applyBorder="1" applyFont="1">
      <alignment horizontal="left" readingOrder="0" shrinkToFit="0" vertical="center" wrapText="0"/>
    </xf>
    <xf borderId="1" fillId="0" fontId="8" numFmtId="165" xfId="0" applyAlignment="1" applyBorder="1" applyFont="1" applyNumberFormat="1">
      <alignment readingOrder="0" shrinkToFit="0" wrapText="0"/>
    </xf>
    <xf borderId="1" fillId="5" fontId="8" numFmtId="0" xfId="0" applyAlignment="1" applyBorder="1" applyFont="1">
      <alignment vertical="bottom"/>
    </xf>
    <xf borderId="1" fillId="0" fontId="48" numFmtId="165" xfId="0" applyAlignment="1" applyBorder="1" applyFont="1" applyNumberFormat="1">
      <alignment horizontal="center" readingOrder="0"/>
    </xf>
    <xf borderId="1" fillId="5" fontId="2" numFmtId="0" xfId="0" applyBorder="1" applyFont="1"/>
    <xf borderId="1" fillId="5" fontId="2" numFmtId="0" xfId="0" applyAlignment="1" applyBorder="1" applyFont="1">
      <alignment readingOrder="0"/>
    </xf>
    <xf borderId="1" fillId="5" fontId="2" numFmtId="0" xfId="0" applyBorder="1" applyFont="1"/>
    <xf borderId="1" fillId="5" fontId="2" numFmtId="165" xfId="0" applyAlignment="1" applyBorder="1" applyFont="1" applyNumberFormat="1">
      <alignment horizontal="center"/>
    </xf>
    <xf borderId="1" fillId="6" fontId="2" numFmtId="0" xfId="0" applyBorder="1" applyFont="1"/>
    <xf borderId="1" fillId="0" fontId="2" numFmtId="165" xfId="0" applyAlignment="1" applyBorder="1" applyFont="1" applyNumberFormat="1">
      <alignment horizontal="center"/>
    </xf>
    <xf borderId="1" fillId="0" fontId="2" numFmtId="165" xfId="0" applyBorder="1" applyFont="1" applyNumberFormat="1"/>
    <xf borderId="0" fillId="0" fontId="2" numFmtId="165" xfId="0" applyAlignment="1" applyFont="1" applyNumberFormat="1">
      <alignment horizontal="center"/>
    </xf>
    <xf borderId="0" fillId="5" fontId="34" numFmtId="49" xfId="0" applyAlignment="1" applyFont="1" applyNumberFormat="1">
      <alignment horizontal="center" readingOrder="0" vertical="bottom"/>
    </xf>
    <xf borderId="0" fillId="0" fontId="2" numFmtId="49" xfId="0" applyFont="1" applyNumberFormat="1"/>
    <xf borderId="1" fillId="2" fontId="38" numFmtId="49" xfId="0" applyAlignment="1" applyBorder="1" applyFont="1" applyNumberFormat="1">
      <alignment readingOrder="0"/>
    </xf>
    <xf borderId="4" fillId="2" fontId="36" numFmtId="171" xfId="0" applyAlignment="1" applyBorder="1" applyFont="1" applyNumberFormat="1">
      <alignment horizontal="center" shrinkToFit="0" vertical="center" wrapText="0"/>
    </xf>
    <xf borderId="3" fillId="2" fontId="36" numFmtId="171" xfId="0" applyAlignment="1" applyBorder="1" applyFont="1" applyNumberFormat="1">
      <alignment horizontal="center" shrinkToFit="0" vertical="center" wrapText="0"/>
    </xf>
    <xf borderId="1" fillId="2" fontId="36" numFmtId="49" xfId="0" applyAlignment="1" applyBorder="1" applyFont="1" applyNumberFormat="1">
      <alignment horizontal="center" vertical="center"/>
    </xf>
    <xf borderId="1" fillId="5" fontId="49" numFmtId="0" xfId="0" applyAlignment="1" applyBorder="1" applyFont="1">
      <alignment horizontal="center" readingOrder="0"/>
    </xf>
    <xf borderId="1" fillId="5" fontId="2" numFmtId="49" xfId="0" applyBorder="1" applyFont="1" applyNumberFormat="1"/>
    <xf borderId="1" fillId="5" fontId="13" numFmtId="0" xfId="0" applyAlignment="1" applyBorder="1" applyFont="1">
      <alignment horizontal="center" readingOrder="0" shrinkToFit="0" vertical="bottom" wrapText="0"/>
    </xf>
    <xf borderId="1" fillId="5" fontId="2" numFmtId="4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 shrinkToFit="0" wrapText="0"/>
    </xf>
    <xf borderId="1" fillId="0" fontId="2" numFmtId="165" xfId="0" applyAlignment="1" applyBorder="1" applyFont="1" applyNumberFormat="1">
      <alignment readingOrder="0" shrinkToFit="0" wrapText="0"/>
    </xf>
    <xf borderId="1" fillId="5" fontId="50" numFmtId="0" xfId="0" applyAlignment="1" applyBorder="1" applyFont="1">
      <alignment readingOrder="0" shrinkToFit="0" vertical="center" wrapText="0"/>
    </xf>
    <xf borderId="1" fillId="0" fontId="2" numFmtId="165" xfId="0" applyAlignment="1" applyBorder="1" applyFont="1" applyNumberFormat="1">
      <alignment shrinkToFit="0" wrapText="0"/>
    </xf>
    <xf borderId="1" fillId="5" fontId="2" numFmtId="49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center" readingOrder="0" shrinkToFit="0" wrapText="0"/>
    </xf>
    <xf borderId="1" fillId="0" fontId="2" numFmtId="165" xfId="0" applyAlignment="1" applyBorder="1" applyFont="1" applyNumberFormat="1">
      <alignment horizontal="center" shrinkToFit="0" wrapText="0"/>
    </xf>
    <xf borderId="1" fillId="0" fontId="2" numFmtId="173" xfId="0" applyBorder="1" applyFont="1" applyNumberFormat="1"/>
    <xf borderId="1" fillId="5" fontId="2" numFmtId="0" xfId="0" applyAlignment="1" applyBorder="1" applyFont="1">
      <alignment horizontal="left"/>
    </xf>
    <xf borderId="1" fillId="5" fontId="8" numFmtId="0" xfId="0" applyAlignment="1" applyBorder="1" applyFont="1">
      <alignment horizontal="left" vertical="bottom"/>
    </xf>
    <xf borderId="1" fillId="0" fontId="8" numFmtId="0" xfId="0" applyAlignment="1" applyBorder="1" applyFont="1">
      <alignment horizontal="left" vertical="bottom"/>
    </xf>
    <xf borderId="0" fillId="5" fontId="2" numFmtId="49" xfId="0" applyAlignment="1" applyFont="1" applyNumberFormat="1">
      <alignment horizontal="center"/>
    </xf>
    <xf borderId="1" fillId="5" fontId="12" numFmtId="0" xfId="0" applyAlignment="1" applyBorder="1" applyFont="1">
      <alignment horizontal="center" readingOrder="0" shrinkToFit="0" wrapText="0"/>
    </xf>
    <xf borderId="1" fillId="6" fontId="2" numFmtId="0" xfId="0" applyAlignment="1" applyBorder="1" applyFont="1">
      <alignment shrinkToFit="0" wrapText="0"/>
    </xf>
    <xf borderId="1" fillId="6" fontId="2" numFmtId="0" xfId="0" applyAlignment="1" applyBorder="1" applyFont="1">
      <alignment horizontal="center"/>
    </xf>
    <xf borderId="29" fillId="0" fontId="51" numFmtId="172" xfId="0" applyAlignment="1" applyBorder="1" applyFont="1" applyNumberFormat="1">
      <alignment horizontal="right" readingOrder="0" shrinkToFit="0" vertical="bottom" wrapText="0"/>
    </xf>
    <xf borderId="13" fillId="2" fontId="34" numFmtId="0" xfId="0" applyAlignment="1" applyBorder="1" applyFont="1">
      <alignment horizontal="center" readingOrder="0" shrinkToFit="0" vertical="bottom" wrapText="1"/>
    </xf>
    <xf borderId="0" fillId="5" fontId="34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shrinkToFit="0" wrapText="1"/>
    </xf>
    <xf borderId="13" fillId="2" fontId="35" numFmtId="0" xfId="0" applyAlignment="1" applyBorder="1" applyFont="1">
      <alignment horizontal="center" readingOrder="0" shrinkToFit="0" vertical="bottom" wrapText="1"/>
    </xf>
    <xf borderId="16" fillId="13" fontId="10" numFmtId="0" xfId="0" applyAlignment="1" applyBorder="1" applyFont="1">
      <alignment horizontal="center" readingOrder="0" shrinkToFit="0" vertical="bottom" wrapText="1"/>
    </xf>
    <xf borderId="13" fillId="13" fontId="36" numFmtId="0" xfId="0" applyAlignment="1" applyBorder="1" applyFont="1">
      <alignment horizontal="center" shrinkToFit="0" vertical="bottom" wrapText="1"/>
    </xf>
    <xf borderId="1" fillId="5" fontId="14" numFmtId="0" xfId="0" applyAlignment="1" applyBorder="1" applyFont="1">
      <alignment horizontal="center" readingOrder="0" shrinkToFit="0" wrapText="1"/>
    </xf>
    <xf borderId="20" fillId="0" fontId="37" numFmtId="165" xfId="0" applyAlignment="1" applyBorder="1" applyFont="1" applyNumberFormat="1">
      <alignment horizontal="center" shrinkToFit="0" wrapText="1"/>
    </xf>
    <xf borderId="13" fillId="2" fontId="36" numFmtId="0" xfId="0" applyAlignment="1" applyBorder="1" applyFont="1">
      <alignment horizontal="center" shrinkToFit="0" vertical="bottom" wrapText="1"/>
    </xf>
    <xf borderId="13" fillId="2" fontId="10" numFmtId="0" xfId="0" applyAlignment="1" applyBorder="1" applyFont="1">
      <alignment horizontal="center" shrinkToFit="0" vertical="bottom" wrapText="1"/>
    </xf>
    <xf borderId="13" fillId="13" fontId="36" numFmtId="165" xfId="0" applyAlignment="1" applyBorder="1" applyFont="1" applyNumberFormat="1">
      <alignment horizontal="center" shrinkToFit="0" wrapText="1"/>
    </xf>
    <xf borderId="13" fillId="13" fontId="36" numFmtId="0" xfId="0" applyAlignment="1" applyBorder="1" applyFont="1">
      <alignment horizontal="center" shrinkToFit="0" wrapText="1"/>
    </xf>
    <xf borderId="20" fillId="0" fontId="37" numFmtId="10" xfId="0" applyAlignment="1" applyBorder="1" applyFont="1" applyNumberFormat="1">
      <alignment horizontal="center" shrinkToFit="0" wrapText="1"/>
    </xf>
    <xf borderId="0" fillId="5" fontId="8" numFmtId="0" xfId="0" applyAlignment="1" applyFont="1">
      <alignment shrinkToFit="0" vertical="bottom" wrapText="1"/>
    </xf>
    <xf borderId="0" fillId="2" fontId="2" numFmtId="0" xfId="0" applyAlignment="1" applyFont="1">
      <alignment shrinkToFit="0" vertical="center" wrapText="1"/>
    </xf>
    <xf borderId="18" fillId="2" fontId="36" numFmtId="171" xfId="0" applyAlignment="1" applyBorder="1" applyFont="1" applyNumberFormat="1">
      <alignment horizontal="center" shrinkToFit="0" vertical="center" wrapText="1"/>
    </xf>
    <xf borderId="18" fillId="2" fontId="36" numFmtId="0" xfId="0" applyAlignment="1" applyBorder="1" applyFont="1">
      <alignment horizontal="center" shrinkToFit="0" vertical="center" wrapText="1"/>
    </xf>
    <xf borderId="19" fillId="2" fontId="36" numFmtId="0" xfId="0" applyAlignment="1" applyBorder="1" applyFont="1">
      <alignment horizontal="center" shrinkToFit="0" vertical="center" wrapText="1"/>
    </xf>
    <xf borderId="5" fillId="2" fontId="36" numFmtId="171" xfId="0" applyAlignment="1" applyBorder="1" applyFont="1" applyNumberFormat="1">
      <alignment horizontal="center" shrinkToFit="0" vertical="center" wrapText="1"/>
    </xf>
    <xf borderId="1" fillId="5" fontId="8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ont="1">
      <alignment shrinkToFit="0" vertical="center" wrapText="1"/>
    </xf>
    <xf borderId="1" fillId="5" fontId="52" numFmtId="0" xfId="0" applyAlignment="1" applyBorder="1" applyFont="1">
      <alignment shrinkToFit="0" vertical="center" wrapText="1"/>
    </xf>
    <xf borderId="1" fillId="5" fontId="2" numFmtId="0" xfId="0" applyAlignment="1" applyBorder="1" applyFont="1">
      <alignment shrinkToFit="0" vertical="center" wrapText="1"/>
    </xf>
    <xf borderId="1" fillId="5" fontId="2" numFmtId="165" xfId="0" applyAlignment="1" applyBorder="1" applyFont="1" applyNumberFormat="1">
      <alignment horizontal="center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5" fontId="8" numFmtId="165" xfId="0" applyAlignment="1" applyBorder="1" applyFont="1" applyNumberFormat="1">
      <alignment shrinkToFit="0" vertical="center" wrapText="1"/>
    </xf>
    <xf borderId="1" fillId="5" fontId="8" numFmtId="0" xfId="0" applyAlignment="1" applyBorder="1" applyFont="1">
      <alignment shrinkToFit="0" vertical="center" wrapText="1"/>
    </xf>
    <xf borderId="1" fillId="0" fontId="53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172" xfId="0" applyAlignment="1" applyBorder="1" applyFont="1" applyNumberFormat="1">
      <alignment readingOrder="0" shrinkToFit="0" vertical="center" wrapText="1"/>
    </xf>
    <xf borderId="1" fillId="0" fontId="2" numFmtId="165" xfId="0" applyAlignment="1" applyBorder="1" applyFont="1" applyNumberFormat="1">
      <alignment shrinkToFit="0" vertical="center" wrapText="1"/>
    </xf>
    <xf borderId="1" fillId="6" fontId="54" numFmtId="0" xfId="0" applyAlignment="1" applyBorder="1" applyFont="1">
      <alignment shrinkToFit="0" vertical="center" wrapText="1"/>
    </xf>
    <xf borderId="1" fillId="0" fontId="2" numFmtId="171" xfId="0" applyAlignment="1" applyBorder="1" applyFont="1" applyNumberFormat="1">
      <alignment readingOrder="0" shrinkToFit="0" vertical="center" wrapText="1"/>
    </xf>
    <xf borderId="1" fillId="0" fontId="8" numFmtId="165" xfId="0" applyAlignment="1" applyBorder="1" applyFont="1" applyNumberFormat="1">
      <alignment shrinkToFit="0" vertical="center" wrapText="1"/>
    </xf>
    <xf borderId="1" fillId="0" fontId="2" numFmtId="165" xfId="0" applyAlignment="1" applyBorder="1" applyFont="1" applyNumberFormat="1">
      <alignment horizontal="center" shrinkToFit="0" vertical="center" wrapText="1"/>
    </xf>
    <xf borderId="1" fillId="5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right" shrinkToFit="0" vertical="center" wrapText="1"/>
    </xf>
    <xf borderId="1" fillId="0" fontId="55" numFmtId="0" xfId="0" applyAlignment="1" applyBorder="1" applyFont="1">
      <alignment shrinkToFit="0" vertical="center" wrapText="1"/>
    </xf>
    <xf borderId="1" fillId="5" fontId="8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shrinkToFit="0" wrapText="1"/>
    </xf>
    <xf borderId="1" fillId="0" fontId="56" numFmtId="0" xfId="0" applyAlignment="1" applyBorder="1" applyFont="1">
      <alignment shrinkToFit="0" wrapText="1"/>
    </xf>
    <xf borderId="1" fillId="0" fontId="2" numFmtId="165" xfId="0" applyAlignment="1" applyBorder="1" applyFont="1" applyNumberFormat="1">
      <alignment shrinkToFit="0" wrapText="1"/>
    </xf>
    <xf borderId="1" fillId="0" fontId="8" numFmtId="0" xfId="0" applyAlignment="1" applyBorder="1" applyFont="1">
      <alignment shrinkToFit="0" vertical="bottom" wrapText="1"/>
    </xf>
    <xf borderId="1" fillId="0" fontId="8" numFmtId="165" xfId="0" applyAlignment="1" applyBorder="1" applyFont="1" applyNumberFormat="1">
      <alignment shrinkToFit="0" vertical="bottom" wrapText="1"/>
    </xf>
    <xf borderId="20" fillId="13" fontId="36" numFmtId="0" xfId="0" applyAlignment="1" applyBorder="1" applyFont="1">
      <alignment horizontal="center" readingOrder="0" vertical="bottom"/>
    </xf>
    <xf borderId="21" fillId="13" fontId="36" numFmtId="0" xfId="0" applyAlignment="1" applyBorder="1" applyFont="1">
      <alignment horizontal="center" readingOrder="0" vertical="bottom"/>
    </xf>
    <xf borderId="22" fillId="13" fontId="36" numFmtId="0" xfId="0" applyAlignment="1" applyBorder="1" applyFont="1">
      <alignment horizontal="center" readingOrder="0" vertical="bottom"/>
    </xf>
    <xf borderId="26" fillId="0" fontId="45" numFmtId="165" xfId="0" applyAlignment="1" applyBorder="1" applyFont="1" applyNumberFormat="1">
      <alignment horizontal="center" readingOrder="0" shrinkToFit="0" wrapText="1"/>
    </xf>
    <xf borderId="20" fillId="0" fontId="37" numFmtId="165" xfId="0" applyAlignment="1" applyBorder="1" applyFont="1" applyNumberFormat="1">
      <alignment horizontal="center" readingOrder="0" shrinkToFit="0" wrapText="0"/>
    </xf>
    <xf borderId="28" fillId="13" fontId="36" numFmtId="0" xfId="0" applyAlignment="1" applyBorder="1" applyFont="1">
      <alignment horizontal="center" readingOrder="0" vertical="bottom"/>
    </xf>
    <xf borderId="26" fillId="0" fontId="37" numFmtId="0" xfId="0" applyAlignment="1" applyBorder="1" applyFont="1">
      <alignment horizontal="center"/>
    </xf>
    <xf borderId="26" fillId="2" fontId="37" numFmtId="0" xfId="0" applyAlignment="1" applyBorder="1" applyFont="1">
      <alignment horizontal="center"/>
    </xf>
    <xf borderId="23" fillId="13" fontId="36" numFmtId="0" xfId="0" applyAlignment="1" applyBorder="1" applyFont="1">
      <alignment horizontal="center"/>
    </xf>
    <xf borderId="26" fillId="0" fontId="37" numFmtId="10" xfId="0" applyAlignment="1" applyBorder="1" applyFont="1" applyNumberFormat="1">
      <alignment horizontal="center"/>
    </xf>
    <xf borderId="26" fillId="2" fontId="37" numFmtId="10" xfId="0" applyAlignment="1" applyBorder="1" applyFont="1" applyNumberFormat="1">
      <alignment horizontal="center"/>
    </xf>
    <xf borderId="1" fillId="5" fontId="18" numFmtId="0" xfId="0" applyBorder="1" applyFont="1"/>
    <xf borderId="1" fillId="5" fontId="57" numFmtId="0" xfId="0" applyBorder="1" applyFont="1"/>
    <xf borderId="1" fillId="5" fontId="13" numFmtId="0" xfId="0" applyAlignment="1" applyBorder="1" applyFont="1">
      <alignment horizontal="center" readingOrder="0" vertical="bottom"/>
    </xf>
    <xf borderId="1" fillId="5" fontId="18" numFmtId="165" xfId="0" applyAlignment="1" applyBorder="1" applyFont="1" applyNumberFormat="1">
      <alignment horizontal="center" readingOrder="0"/>
    </xf>
    <xf borderId="1" fillId="5" fontId="13" numFmtId="0" xfId="0" applyAlignment="1" applyBorder="1" applyFont="1">
      <alignment shrinkToFit="0" vertical="bottom" wrapText="0"/>
    </xf>
    <xf borderId="1" fillId="5" fontId="13" numFmtId="0" xfId="0" applyAlignment="1" applyBorder="1" applyFont="1">
      <alignment horizontal="center" vertical="bottom"/>
    </xf>
    <xf borderId="1" fillId="5" fontId="18" numFmtId="165" xfId="0" applyAlignment="1" applyBorder="1" applyFont="1" applyNumberFormat="1">
      <alignment horizontal="center"/>
    </xf>
    <xf borderId="1" fillId="5" fontId="2" numFmtId="174" xfId="0" applyAlignment="1" applyBorder="1" applyFont="1" applyNumberFormat="1">
      <alignment horizontal="center"/>
    </xf>
    <xf borderId="0" fillId="5" fontId="2" numFmtId="174" xfId="0" applyAlignment="1" applyFont="1" applyNumberFormat="1">
      <alignment horizontal="center"/>
    </xf>
    <xf borderId="26" fillId="0" fontId="37" numFmtId="3" xfId="0" applyAlignment="1" applyBorder="1" applyFont="1" applyNumberFormat="1">
      <alignment horizontal="center" readingOrder="0" shrinkToFit="0" wrapText="1"/>
    </xf>
    <xf borderId="26" fillId="2" fontId="37" numFmtId="10" xfId="0" applyAlignment="1" applyBorder="1" applyFont="1" applyNumberFormat="1">
      <alignment horizontal="center" readingOrder="0" shrinkToFit="0" wrapText="1"/>
    </xf>
    <xf borderId="0" fillId="0" fontId="2" numFmtId="3" xfId="0" applyFont="1" applyNumberFormat="1"/>
    <xf borderId="0" fillId="2" fontId="2" numFmtId="0" xfId="0" applyAlignment="1" applyFont="1">
      <alignment horizontal="center"/>
    </xf>
    <xf borderId="1" fillId="5" fontId="8" numFmtId="165" xfId="0" applyAlignment="1" applyBorder="1" applyFont="1" applyNumberFormat="1">
      <alignment readingOrder="0" shrinkToFit="0" vertical="center" wrapText="0"/>
    </xf>
    <xf borderId="1" fillId="0" fontId="18" numFmtId="0" xfId="0" applyBorder="1" applyFont="1"/>
    <xf borderId="1" fillId="5" fontId="12" numFmtId="0" xfId="0" applyAlignment="1" applyBorder="1" applyFont="1">
      <alignment horizontal="center" readingOrder="0" vertical="center"/>
    </xf>
    <xf borderId="1" fillId="5" fontId="8" numFmtId="0" xfId="0" applyAlignment="1" applyBorder="1" applyFont="1">
      <alignment shrinkToFit="0" vertical="bottom" wrapText="0"/>
    </xf>
    <xf borderId="1" fillId="5" fontId="8" numFmtId="0" xfId="0" applyAlignment="1" applyBorder="1" applyFont="1">
      <alignment horizontal="center" vertical="bottom"/>
    </xf>
    <xf borderId="0" fillId="5" fontId="2" numFmtId="0" xfId="0" applyFont="1"/>
    <xf borderId="0" fillId="5" fontId="8" numFmtId="165" xfId="0" applyAlignment="1" applyFont="1" applyNumberFormat="1">
      <alignment readingOrder="0" shrinkToFit="0" vertical="center" wrapText="0"/>
    </xf>
    <xf borderId="0" fillId="0" fontId="18" numFmtId="0" xfId="0" applyFont="1"/>
    <xf borderId="0" fillId="0" fontId="58" numFmtId="0" xfId="0" applyFont="1"/>
    <xf borderId="0" fillId="0" fontId="2" numFmtId="0" xfId="0" applyAlignment="1" applyFont="1">
      <alignment horizontal="left"/>
    </xf>
    <xf borderId="16" fillId="13" fontId="10" numFmtId="0" xfId="0" applyAlignment="1" applyBorder="1" applyFont="1">
      <alignment horizontal="center" vertical="bottom"/>
    </xf>
    <xf borderId="30" fillId="13" fontId="10" numFmtId="0" xfId="0" applyAlignment="1" applyBorder="1" applyFont="1">
      <alignment horizontal="center" vertical="bottom"/>
    </xf>
    <xf borderId="0" fillId="5" fontId="36" numFmtId="0" xfId="0" applyAlignment="1" applyFont="1">
      <alignment horizontal="center" vertical="bottom"/>
    </xf>
    <xf borderId="18" fillId="0" fontId="8" numFmtId="0" xfId="0" applyAlignment="1" applyBorder="1" applyFont="1">
      <alignment readingOrder="0"/>
    </xf>
    <xf borderId="5" fillId="5" fontId="14" numFmtId="0" xfId="0" applyAlignment="1" applyBorder="1" applyFont="1">
      <alignment horizontal="center"/>
    </xf>
    <xf borderId="18" fillId="0" fontId="8" numFmtId="0" xfId="0" applyAlignment="1" applyBorder="1" applyFont="1">
      <alignment readingOrder="0" shrinkToFit="0" vertical="top" wrapText="1"/>
    </xf>
    <xf borderId="0" fillId="5" fontId="37" numFmtId="165" xfId="0" applyAlignment="1" applyFont="1" applyNumberFormat="1">
      <alignment horizontal="center"/>
    </xf>
    <xf borderId="30" fillId="0" fontId="2" numFmtId="0" xfId="0" applyBorder="1" applyFont="1"/>
    <xf borderId="18" fillId="0" fontId="8" numFmtId="0" xfId="0" applyAlignment="1" applyBorder="1" applyFont="1">
      <alignment readingOrder="0" shrinkToFit="0" wrapText="1"/>
    </xf>
    <xf borderId="0" fillId="5" fontId="36" numFmtId="165" xfId="0" applyAlignment="1" applyFont="1" applyNumberFormat="1">
      <alignment horizontal="center"/>
    </xf>
    <xf borderId="31" fillId="0" fontId="2" numFmtId="0" xfId="0" applyBorder="1" applyFont="1"/>
    <xf borderId="0" fillId="5" fontId="36" numFmtId="0" xfId="0" applyAlignment="1" applyFont="1">
      <alignment horizontal="center"/>
    </xf>
    <xf borderId="0" fillId="5" fontId="37" numFmtId="10" xfId="0" applyAlignment="1" applyFont="1" applyNumberFormat="1">
      <alignment horizontal="center"/>
    </xf>
    <xf borderId="0" fillId="5" fontId="34" numFmtId="0" xfId="0" applyAlignment="1" applyFont="1">
      <alignment horizontal="left" readingOrder="0" vertical="bottom"/>
    </xf>
    <xf borderId="1" fillId="2" fontId="38" numFmtId="0" xfId="0" applyAlignment="1" applyBorder="1" applyFont="1">
      <alignment horizontal="center" readingOrder="0" shrinkToFit="0" wrapText="0"/>
    </xf>
    <xf borderId="1" fillId="2" fontId="38" numFmtId="0" xfId="0" applyAlignment="1" applyBorder="1" applyFont="1">
      <alignment horizontal="left" readingOrder="0" shrinkToFit="0" wrapText="0"/>
    </xf>
    <xf borderId="1" fillId="2" fontId="36" numFmtId="165" xfId="0" applyAlignment="1" applyBorder="1" applyFont="1" applyNumberFormat="1">
      <alignment horizontal="center" readingOrder="0" shrinkToFit="0" vertical="center" wrapText="0"/>
    </xf>
    <xf borderId="1" fillId="5" fontId="2" numFmtId="0" xfId="0" applyAlignment="1" applyBorder="1" applyFont="1">
      <alignment readingOrder="0" shrinkToFit="0" wrapText="0"/>
    </xf>
    <xf borderId="1" fillId="5" fontId="2" numFmtId="0" xfId="0" applyAlignment="1" applyBorder="1" applyFont="1">
      <alignment horizontal="center" readingOrder="0" shrinkToFit="0" wrapText="0"/>
    </xf>
    <xf borderId="1" fillId="5" fontId="2" numFmtId="165" xfId="0" applyAlignment="1" applyBorder="1" applyFont="1" applyNumberFormat="1">
      <alignment horizontal="center" readingOrder="0" shrinkToFit="0" wrapText="0"/>
    </xf>
    <xf borderId="1" fillId="5" fontId="8" numFmtId="0" xfId="0" applyAlignment="1" applyBorder="1" applyFont="1">
      <alignment horizontal="center" shrinkToFit="0" vertical="bottom" wrapText="0"/>
    </xf>
    <xf borderId="1" fillId="5" fontId="8" numFmtId="0" xfId="0" applyAlignment="1" applyBorder="1" applyFont="1">
      <alignment horizontal="left" shrinkToFit="0" vertical="bottom" wrapText="0"/>
    </xf>
    <xf borderId="1" fillId="5" fontId="8" numFmtId="0" xfId="0" applyAlignment="1" applyBorder="1" applyFont="1">
      <alignment shrinkToFit="0" vertical="bottom" wrapText="0"/>
    </xf>
    <xf borderId="1" fillId="0" fontId="59" numFmtId="0" xfId="0" applyAlignment="1" applyBorder="1" applyFont="1">
      <alignment readingOrder="0" shrinkToFit="0" wrapText="0"/>
    </xf>
    <xf borderId="1" fillId="0" fontId="2" numFmtId="165" xfId="0" applyAlignment="1" applyBorder="1" applyFont="1" applyNumberFormat="1">
      <alignment readingOrder="0" shrinkToFit="0" wrapText="0"/>
    </xf>
    <xf borderId="1" fillId="0" fontId="2" numFmtId="172" xfId="0" applyAlignment="1" applyBorder="1" applyFont="1" applyNumberFormat="1">
      <alignment readingOrder="0" shrinkToFit="0" wrapText="0"/>
    </xf>
    <xf borderId="1" fillId="0" fontId="2" numFmtId="172" xfId="0" applyAlignment="1" applyBorder="1" applyFont="1" applyNumberFormat="1">
      <alignment shrinkToFit="0" wrapText="0"/>
    </xf>
    <xf borderId="1" fillId="5" fontId="8" numFmtId="0" xfId="0" applyAlignment="1" applyBorder="1" applyFont="1">
      <alignment horizontal="left" readingOrder="0" shrinkToFit="0" vertical="bottom" wrapText="0"/>
    </xf>
    <xf borderId="1" fillId="5" fontId="2" numFmtId="165" xfId="0" applyAlignment="1" applyBorder="1" applyFont="1" applyNumberFormat="1">
      <alignment horizontal="center" readingOrder="0" shrinkToFit="0" wrapText="0"/>
    </xf>
    <xf borderId="1" fillId="5" fontId="2" numFmtId="0" xfId="0" applyAlignment="1" applyBorder="1" applyFont="1">
      <alignment horizontal="center" shrinkToFit="0" wrapText="0"/>
    </xf>
    <xf borderId="1" fillId="5" fontId="2" numFmtId="165" xfId="0" applyAlignment="1" applyBorder="1" applyFont="1" applyNumberFormat="1">
      <alignment horizontal="center" shrinkToFit="0" wrapText="0"/>
    </xf>
    <xf borderId="1" fillId="0" fontId="2" numFmtId="171" xfId="0" applyAlignment="1" applyBorder="1" applyFont="1" applyNumberFormat="1">
      <alignment shrinkToFit="0" wrapText="0"/>
    </xf>
    <xf borderId="1" fillId="0" fontId="2" numFmtId="0" xfId="0" applyAlignment="1" applyBorder="1" applyFont="1">
      <alignment horizontal="left"/>
    </xf>
    <xf borderId="1" fillId="5" fontId="14" numFmtId="0" xfId="0" applyAlignment="1" applyBorder="1" applyFont="1">
      <alignment horizontal="left" readingOrder="0" shrinkToFit="0" wrapText="0"/>
    </xf>
    <xf borderId="0" fillId="0" fontId="2" numFmtId="0" xfId="0" applyAlignment="1" applyFont="1">
      <alignment horizontal="center" readingOrder="0" vertical="center"/>
    </xf>
    <xf borderId="0" fillId="5" fontId="14" numFmtId="0" xfId="0" applyAlignment="1" applyFont="1">
      <alignment horizontal="center" readingOrder="0"/>
    </xf>
    <xf borderId="13" fillId="2" fontId="34" numFmtId="0" xfId="0" applyAlignment="1" applyBorder="1" applyFont="1">
      <alignment horizontal="center" vertical="center"/>
    </xf>
    <xf borderId="7" fillId="5" fontId="35" numFmtId="0" xfId="0" applyAlignment="1" applyBorder="1" applyFont="1">
      <alignment horizontal="center" readingOrder="0" shrinkToFit="0" vertical="center" wrapText="0"/>
    </xf>
    <xf borderId="0" fillId="5" fontId="35" numFmtId="0" xfId="0" applyAlignment="1" applyFont="1">
      <alignment horizontal="center" readingOrder="0" shrinkToFit="0" vertical="center" wrapText="0"/>
    </xf>
    <xf borderId="16" fillId="13" fontId="10" numFmtId="0" xfId="0" applyAlignment="1" applyBorder="1" applyFont="1">
      <alignment horizontal="center" vertical="center"/>
    </xf>
    <xf borderId="16" fillId="13" fontId="10" numFmtId="0" xfId="0" applyAlignment="1" applyBorder="1" applyFont="1">
      <alignment horizontal="center" shrinkToFit="0" vertical="center" wrapText="0"/>
    </xf>
    <xf borderId="7" fillId="5" fontId="36" numFmtId="0" xfId="0" applyAlignment="1" applyBorder="1" applyFont="1">
      <alignment horizontal="center" shrinkToFit="0" vertical="center" wrapText="0"/>
    </xf>
    <xf borderId="18" fillId="0" fontId="8" numFmtId="0" xfId="0" applyAlignment="1" applyBorder="1" applyFont="1">
      <alignment horizontal="center" vertical="center"/>
    </xf>
    <xf borderId="1" fillId="5" fontId="14" numFmtId="0" xfId="0" applyAlignment="1" applyBorder="1" applyFont="1">
      <alignment horizontal="center" shrinkToFit="0" vertical="center" wrapText="0"/>
    </xf>
    <xf borderId="26" fillId="0" fontId="37" numFmtId="3" xfId="0" applyAlignment="1" applyBorder="1" applyFont="1" applyNumberFormat="1">
      <alignment horizontal="center" readingOrder="0" shrinkToFit="0" vertical="center" wrapText="1"/>
    </xf>
    <xf borderId="26" fillId="2" fontId="45" numFmtId="165" xfId="0" applyAlignment="1" applyBorder="1" applyFont="1" applyNumberFormat="1">
      <alignment horizontal="center" readingOrder="0" shrinkToFit="0" vertical="center" wrapText="1"/>
    </xf>
    <xf borderId="7" fillId="5" fontId="10" numFmtId="0" xfId="0" applyAlignment="1" applyBorder="1" applyFont="1">
      <alignment horizontal="center" shrinkToFit="0" vertical="center" wrapText="0"/>
    </xf>
    <xf borderId="0" fillId="5" fontId="10" numFmtId="0" xfId="0" applyAlignment="1" applyFont="1">
      <alignment horizontal="center" shrinkToFit="0" vertical="center" wrapText="0"/>
    </xf>
    <xf borderId="7" fillId="5" fontId="2" numFmtId="0" xfId="0" applyAlignment="1" applyBorder="1" applyFont="1">
      <alignment shrinkToFit="0" vertical="center" wrapText="0"/>
    </xf>
    <xf borderId="0" fillId="5" fontId="37" numFmtId="165" xfId="0" applyAlignment="1" applyFont="1" applyNumberFormat="1">
      <alignment horizontal="center" shrinkToFit="0" vertical="center" wrapText="0"/>
    </xf>
    <xf borderId="18" fillId="0" fontId="8" numFmtId="0" xfId="0" applyAlignment="1" applyBorder="1" applyFont="1">
      <alignment horizontal="center" vertical="center"/>
    </xf>
    <xf borderId="26" fillId="2" fontId="37" numFmtId="0" xfId="0" applyAlignment="1" applyBorder="1" applyFont="1">
      <alignment horizontal="center" vertical="center"/>
    </xf>
    <xf borderId="7" fillId="5" fontId="36" numFmtId="165" xfId="0" applyAlignment="1" applyBorder="1" applyFont="1" applyNumberFormat="1">
      <alignment horizontal="center" shrinkToFit="0" vertical="center" wrapText="0"/>
    </xf>
    <xf borderId="0" fillId="5" fontId="36" numFmtId="165" xfId="0" applyAlignment="1" applyFont="1" applyNumberFormat="1">
      <alignment horizontal="center" shrinkToFit="0" vertical="center" wrapText="0"/>
    </xf>
    <xf borderId="20" fillId="0" fontId="37" numFmtId="165" xfId="0" applyAlignment="1" applyBorder="1" applyFont="1" applyNumberFormat="1">
      <alignment horizontal="center" readingOrder="0" vertical="center"/>
    </xf>
    <xf borderId="0" fillId="0" fontId="60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0"/>
    </xf>
    <xf borderId="0" fillId="2" fontId="2" numFmtId="0" xfId="0" applyAlignment="1" applyFont="1">
      <alignment vertical="center"/>
    </xf>
    <xf borderId="0" fillId="2" fontId="2" numFmtId="0" xfId="0" applyAlignment="1" applyFont="1">
      <alignment shrinkToFit="0" vertical="center" wrapText="0"/>
    </xf>
    <xf borderId="0" fillId="2" fontId="2" numFmtId="0" xfId="0" applyAlignment="1" applyFont="1">
      <alignment horizontal="center" vertical="center"/>
    </xf>
    <xf borderId="0" fillId="2" fontId="60" numFmtId="0" xfId="0" applyAlignment="1" applyFont="1">
      <alignment horizontal="center" vertical="center"/>
    </xf>
    <xf borderId="19" fillId="2" fontId="36" numFmtId="0" xfId="0" applyAlignment="1" applyBorder="1" applyFont="1">
      <alignment horizontal="center" readingOrder="0" shrinkToFit="0" vertical="center" wrapText="0"/>
    </xf>
    <xf borderId="1" fillId="5" fontId="61" numFmtId="0" xfId="0" applyAlignment="1" applyBorder="1" applyFont="1">
      <alignment shrinkToFit="0" vertical="center" wrapText="0"/>
    </xf>
    <xf borderId="1" fillId="5" fontId="8" numFmtId="0" xfId="0" applyAlignment="1" applyBorder="1" applyFont="1">
      <alignment horizontal="center" readingOrder="0" vertical="center"/>
    </xf>
    <xf borderId="1" fillId="5" fontId="2" numFmtId="165" xfId="0" applyAlignment="1" applyBorder="1" applyFont="1" applyNumberFormat="1">
      <alignment horizontal="center" readingOrder="0" vertical="center"/>
    </xf>
    <xf borderId="1" fillId="0" fontId="14" numFmtId="0" xfId="0" applyAlignment="1" applyBorder="1" applyFont="1">
      <alignment horizontal="center" vertical="center"/>
    </xf>
    <xf borderId="1" fillId="5" fontId="8" numFmtId="0" xfId="0" applyAlignment="1" applyBorder="1" applyFont="1">
      <alignment readingOrder="0" shrinkToFit="0" vertical="center" wrapText="0"/>
    </xf>
    <xf borderId="1" fillId="0" fontId="6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5" fontId="8" numFmtId="0" xfId="0" applyAlignment="1" applyBorder="1" applyFont="1">
      <alignment shrinkToFit="0" vertical="center" wrapText="0"/>
    </xf>
    <xf borderId="1" fillId="5" fontId="8" numFmtId="0" xfId="0" applyAlignment="1" applyBorder="1" applyFont="1">
      <alignment horizontal="center" vertical="center"/>
    </xf>
    <xf borderId="1" fillId="5" fontId="63" numFmtId="0" xfId="0" applyAlignment="1" applyBorder="1" applyFont="1">
      <alignment vertical="center"/>
    </xf>
    <xf borderId="1" fillId="5" fontId="2" numFmtId="165" xfId="0" applyAlignment="1" applyBorder="1" applyFont="1" applyNumberFormat="1">
      <alignment horizontal="center" vertical="center"/>
    </xf>
    <xf borderId="1" fillId="5" fontId="8" numFmtId="0" xfId="0" applyAlignment="1" applyBorder="1" applyFont="1">
      <alignment readingOrder="0" vertical="center"/>
    </xf>
    <xf borderId="1" fillId="5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" fillId="0" fontId="60" numFmtId="0" xfId="0" applyAlignment="1" applyBorder="1" applyFont="1">
      <alignment horizontal="center" vertical="center"/>
    </xf>
    <xf borderId="1" fillId="5" fontId="0" numFmtId="0" xfId="0" applyAlignment="1" applyBorder="1" applyFont="1">
      <alignment horizontal="center" readingOrder="0" shrinkToFit="0" vertical="center" wrapText="0"/>
    </xf>
    <xf borderId="1" fillId="5" fontId="2" numFmtId="174" xfId="0" applyAlignment="1" applyBorder="1" applyFont="1" applyNumberFormat="1">
      <alignment horizontal="center" vertical="center"/>
    </xf>
    <xf borderId="1" fillId="14" fontId="8" numFmtId="0" xfId="0" applyAlignment="1" applyBorder="1" applyFill="1" applyFont="1">
      <alignment horizontal="center" readingOrder="0" shrinkToFit="0" vertical="center" wrapText="0"/>
    </xf>
    <xf borderId="1" fillId="14" fontId="2" numFmtId="0" xfId="0" applyAlignment="1" applyBorder="1" applyFont="1">
      <alignment vertical="center"/>
    </xf>
    <xf borderId="1" fillId="14" fontId="64" numFmtId="0" xfId="0" applyAlignment="1" applyBorder="1" applyFont="1">
      <alignment shrinkToFit="0" vertical="center" wrapText="0"/>
    </xf>
    <xf borderId="1" fillId="14" fontId="2" numFmtId="0" xfId="0" applyAlignment="1" applyBorder="1" applyFont="1">
      <alignment horizontal="center" vertical="center"/>
    </xf>
    <xf borderId="1" fillId="14" fontId="2" numFmtId="174" xfId="0" applyAlignment="1" applyBorder="1" applyFont="1" applyNumberFormat="1">
      <alignment horizontal="center" vertical="center"/>
    </xf>
    <xf borderId="1" fillId="14" fontId="0" numFmtId="0" xfId="0" applyAlignment="1" applyBorder="1" applyFont="1">
      <alignment horizontal="center" readingOrder="0" shrinkToFit="0" vertical="center" wrapText="0"/>
    </xf>
    <xf borderId="1" fillId="14" fontId="8" numFmtId="165" xfId="0" applyAlignment="1" applyBorder="1" applyFont="1" applyNumberFormat="1">
      <alignment readingOrder="0" shrinkToFit="0" vertical="center" wrapText="0"/>
    </xf>
    <xf borderId="1" fillId="14" fontId="8" numFmtId="0" xfId="0" applyAlignment="1" applyBorder="1" applyFont="1">
      <alignment readingOrder="0" vertical="center"/>
    </xf>
    <xf borderId="1" fillId="14" fontId="2" numFmtId="0" xfId="0" applyAlignment="1" applyBorder="1" applyFont="1">
      <alignment shrinkToFit="0" vertical="center" wrapText="0"/>
    </xf>
    <xf borderId="0" fillId="14" fontId="2" numFmtId="0" xfId="0" applyAlignment="1" applyFont="1">
      <alignment vertical="center"/>
    </xf>
    <xf borderId="1" fillId="5" fontId="2" numFmtId="0" xfId="0" applyAlignment="1" applyBorder="1" applyFont="1">
      <alignment shrinkToFit="0" vertical="center" wrapText="0"/>
    </xf>
    <xf borderId="0" fillId="5" fontId="2" numFmtId="0" xfId="0" applyAlignment="1" applyFont="1">
      <alignment shrinkToFit="0" vertical="center" wrapText="0"/>
    </xf>
    <xf borderId="0" fillId="0" fontId="2" numFmtId="171" xfId="0" applyAlignment="1" applyFont="1" applyNumberFormat="1">
      <alignment horizontal="center"/>
    </xf>
    <xf borderId="0" fillId="5" fontId="8" numFmtId="171" xfId="0" applyAlignment="1" applyFont="1" applyNumberFormat="1">
      <alignment horizontal="center" vertical="bottom"/>
    </xf>
    <xf borderId="1" fillId="5" fontId="2" numFmtId="165" xfId="0" applyAlignment="1" applyBorder="1" applyFont="1" applyNumberFormat="1">
      <alignment readingOrder="0" shrinkToFit="0" vertical="center" wrapText="0"/>
    </xf>
    <xf borderId="1" fillId="0" fontId="2" numFmtId="172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2" numFmtId="171" xfId="0" applyAlignment="1" applyBorder="1" applyFont="1" applyNumberFormat="1">
      <alignment horizontal="center" readingOrder="0"/>
    </xf>
    <xf borderId="1" fillId="0" fontId="2" numFmtId="171" xfId="0" applyAlignment="1" applyBorder="1" applyFont="1" applyNumberFormat="1">
      <alignment horizontal="center"/>
    </xf>
    <xf borderId="1" fillId="0" fontId="2" numFmtId="175" xfId="0" applyAlignment="1" applyBorder="1" applyFont="1" applyNumberFormat="1">
      <alignment horizontal="center" readingOrder="0"/>
    </xf>
    <xf borderId="1" fillId="0" fontId="8" numFmtId="165" xfId="0" applyAlignment="1" applyBorder="1" applyFont="1" applyNumberFormat="1">
      <alignment horizontal="center" readingOrder="0" vertical="bottom"/>
    </xf>
    <xf borderId="0" fillId="0" fontId="2" numFmtId="172" xfId="0" applyFont="1" applyNumberFormat="1"/>
    <xf borderId="1" fillId="5" fontId="65" numFmtId="0" xfId="0" applyAlignment="1" applyBorder="1" applyFont="1">
      <alignment readingOrder="0"/>
    </xf>
    <xf borderId="1" fillId="5" fontId="2" numFmtId="172" xfId="0" applyAlignment="1" applyBorder="1" applyFont="1" applyNumberFormat="1">
      <alignment horizontal="center" readingOrder="0"/>
    </xf>
    <xf borderId="1" fillId="5" fontId="2" numFmtId="172" xfId="0" applyAlignment="1" applyBorder="1" applyFont="1" applyNumberFormat="1">
      <alignment horizontal="center"/>
    </xf>
    <xf borderId="0" fillId="0" fontId="2" numFmtId="171" xfId="0" applyAlignment="1" applyFont="1" applyNumberFormat="1">
      <alignment vertical="center"/>
    </xf>
    <xf borderId="16" fillId="13" fontId="10" numFmtId="0" xfId="0" applyAlignment="1" applyBorder="1" applyFont="1">
      <alignment horizontal="center" readingOrder="0" shrinkToFit="0" vertical="center" wrapText="0"/>
    </xf>
    <xf borderId="1" fillId="5" fontId="14" numFmtId="0" xfId="0" applyAlignment="1" applyBorder="1" applyFont="1">
      <alignment horizontal="center" readingOrder="0" shrinkToFit="0" vertical="center" wrapText="0"/>
    </xf>
    <xf borderId="0" fillId="0" fontId="60" numFmtId="0" xfId="0" applyAlignment="1" applyFont="1">
      <alignment vertical="center"/>
    </xf>
    <xf borderId="0" fillId="5" fontId="8" numFmtId="171" xfId="0" applyAlignment="1" applyFont="1" applyNumberFormat="1">
      <alignment vertical="center"/>
    </xf>
    <xf borderId="1" fillId="2" fontId="38" numFmtId="0" xfId="0" applyAlignment="1" applyBorder="1" applyFont="1">
      <alignment readingOrder="0" vertical="center"/>
    </xf>
    <xf borderId="1" fillId="2" fontId="38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vertical="center"/>
    </xf>
    <xf borderId="1" fillId="5" fontId="2" numFmtId="0" xfId="0" applyAlignment="1" applyBorder="1" applyFont="1">
      <alignment readingOrder="0" vertical="center"/>
    </xf>
    <xf borderId="1" fillId="5" fontId="14" numFmtId="0" xfId="0" applyBorder="1" applyFont="1"/>
    <xf borderId="1" fillId="5" fontId="8" numFmtId="0" xfId="0" applyAlignment="1" applyBorder="1" applyFont="1">
      <alignment vertical="center"/>
    </xf>
    <xf borderId="1" fillId="0" fontId="2" numFmtId="165" xfId="0" applyAlignment="1" applyBorder="1" applyFont="1" applyNumberFormat="1">
      <alignment readingOrder="0" vertical="center"/>
    </xf>
    <xf borderId="1" fillId="0" fontId="2" numFmtId="172" xfId="0" applyAlignment="1" applyBorder="1" applyFont="1" applyNumberFormat="1">
      <alignment readingOrder="0" vertical="center"/>
    </xf>
    <xf borderId="1" fillId="0" fontId="2" numFmtId="171" xfId="0" applyAlignment="1" applyBorder="1" applyFont="1" applyNumberFormat="1">
      <alignment readingOrder="0" vertical="center"/>
    </xf>
    <xf borderId="1" fillId="0" fontId="2" numFmtId="171" xfId="0" applyAlignment="1" applyBorder="1" applyFont="1" applyNumberFormat="1">
      <alignment vertical="center"/>
    </xf>
    <xf borderId="1" fillId="0" fontId="2" numFmtId="0" xfId="0" applyAlignment="1" applyBorder="1" applyFont="1">
      <alignment readingOrder="0" shrinkToFit="0" vertical="center" wrapText="0"/>
    </xf>
    <xf borderId="1" fillId="5" fontId="2" numFmtId="165" xfId="0" applyAlignment="1" applyBorder="1" applyFont="1" applyNumberFormat="1">
      <alignment horizontal="center" readingOrder="0" vertical="center"/>
    </xf>
    <xf borderId="1" fillId="0" fontId="14" numFmtId="0" xfId="0" applyBorder="1" applyFont="1"/>
    <xf borderId="1" fillId="5" fontId="14" numFmtId="0" xfId="0" applyAlignment="1" applyBorder="1" applyFont="1">
      <alignment vertical="center"/>
    </xf>
    <xf borderId="0" fillId="5" fontId="2" numFmtId="165" xfId="0" applyAlignment="1" applyFont="1" applyNumberFormat="1">
      <alignment horizontal="center" vertical="center"/>
    </xf>
    <xf borderId="0" fillId="0" fontId="60" numFmtId="0" xfId="0" applyAlignment="1" applyFont="1">
      <alignment shrinkToFit="0" vertical="center" wrapText="0"/>
    </xf>
    <xf borderId="0" fillId="0" fontId="2" numFmtId="165" xfId="0" applyAlignment="1" applyFont="1" applyNumberFormat="1">
      <alignment horizontal="center" vertical="center"/>
    </xf>
    <xf borderId="0" fillId="8" fontId="31" numFmtId="0" xfId="0" applyAlignment="1" applyFont="1">
      <alignment readingOrder="0" shrinkToFit="0" vertical="bottom" wrapText="0"/>
    </xf>
    <xf borderId="32" fillId="15" fontId="66" numFmtId="0" xfId="0" applyAlignment="1" applyBorder="1" applyFill="1" applyFont="1">
      <alignment readingOrder="0" shrinkToFit="0" vertical="bottom" wrapText="0"/>
    </xf>
    <xf borderId="33" fillId="15" fontId="67" numFmtId="0" xfId="0" applyAlignment="1" applyBorder="1" applyFont="1">
      <alignment readingOrder="0" shrinkToFit="0" vertical="bottom" wrapText="0"/>
    </xf>
    <xf borderId="33" fillId="16" fontId="67" numFmtId="0" xfId="0" applyAlignment="1" applyBorder="1" applyFill="1" applyFont="1">
      <alignment readingOrder="0" shrinkToFit="0" vertical="bottom" wrapText="0"/>
    </xf>
    <xf borderId="34" fillId="15" fontId="67" numFmtId="0" xfId="0" applyAlignment="1" applyBorder="1" applyFont="1">
      <alignment readingOrder="0" shrinkToFit="0" vertical="bottom" wrapText="0"/>
    </xf>
    <xf borderId="0" fillId="17" fontId="33" numFmtId="0" xfId="0" applyAlignment="1" applyFill="1" applyFont="1">
      <alignment readingOrder="0" shrinkToFit="0" vertical="bottom" wrapText="0"/>
    </xf>
    <xf borderId="32" fillId="18" fontId="33" numFmtId="0" xfId="0" applyAlignment="1" applyBorder="1" applyFill="1" applyFont="1">
      <alignment readingOrder="0" shrinkToFit="0" vertical="bottom" wrapText="0"/>
    </xf>
    <xf borderId="33" fillId="18" fontId="33" numFmtId="11" xfId="0" applyAlignment="1" applyBorder="1" applyFont="1" applyNumberFormat="1">
      <alignment horizontal="right" readingOrder="0" shrinkToFit="0" vertical="bottom" wrapText="0"/>
    </xf>
    <xf borderId="33" fillId="19" fontId="33" numFmtId="0" xfId="0" applyAlignment="1" applyBorder="1" applyFill="1" applyFont="1">
      <alignment horizontal="right" readingOrder="0" shrinkToFit="0" vertical="bottom" wrapText="0"/>
    </xf>
    <xf borderId="33" fillId="18" fontId="33" numFmtId="0" xfId="0" applyAlignment="1" applyBorder="1" applyFont="1">
      <alignment readingOrder="0" shrinkToFit="0" vertical="bottom" wrapText="0"/>
    </xf>
    <xf borderId="33" fillId="18" fontId="33" numFmtId="0" xfId="0" applyAlignment="1" applyBorder="1" applyFont="1">
      <alignment horizontal="right" readingOrder="0" shrinkToFit="0" vertical="bottom" wrapText="0"/>
    </xf>
    <xf borderId="33" fillId="19" fontId="33" numFmtId="1" xfId="0" applyAlignment="1" applyBorder="1" applyFont="1" applyNumberFormat="1">
      <alignment horizontal="right" readingOrder="0" shrinkToFit="0" vertical="bottom" wrapText="0"/>
    </xf>
    <xf borderId="33" fillId="0" fontId="33" numFmtId="49" xfId="0" applyAlignment="1" applyBorder="1" applyFont="1" applyNumberFormat="1">
      <alignment horizontal="right" readingOrder="0" shrinkToFit="0" vertical="bottom" wrapText="0"/>
    </xf>
    <xf borderId="33" fillId="18" fontId="33" numFmtId="0" xfId="0" applyAlignment="1" applyBorder="1" applyFont="1">
      <alignment shrinkToFit="0" vertical="bottom" wrapText="0"/>
    </xf>
    <xf borderId="34" fillId="18" fontId="33" numFmtId="0" xfId="0" applyAlignment="1" applyBorder="1" applyFont="1">
      <alignment readingOrder="0" shrinkToFit="0" vertical="bottom" wrapText="0"/>
    </xf>
    <xf borderId="0" fillId="17" fontId="2" numFmtId="0" xfId="0" applyFont="1"/>
    <xf borderId="0" fillId="19" fontId="2" numFmtId="0" xfId="0" applyFont="1"/>
  </cellXfs>
  <cellStyles count="1">
    <cellStyle xfId="0" name="Normal" builtinId="0"/>
  </cellStyles>
  <dxfs count="6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</dxfs>
  <tableStyles count="4">
    <tableStyle count="2" pivot="0" name="OMG SKINCARE-style">
      <tableStyleElement dxfId="4" type="firstRowStripe"/>
      <tableStyleElement dxfId="5" type="secondRowStripe"/>
    </tableStyle>
    <tableStyle count="2" pivot="0" name="OMG SKINCARE-style 2">
      <tableStyleElement dxfId="4" type="firstRowStripe"/>
      <tableStyleElement dxfId="5" type="secondRowStripe"/>
    </tableStyle>
    <tableStyle count="2" pivot="0" name="OMG SKINCARE-style 3">
      <tableStyleElement dxfId="4" type="firstRowStripe"/>
      <tableStyleElement dxfId="5" type="secondRowStripe"/>
    </tableStyle>
    <tableStyle count="2" pivot="0" name="MSGLOWBEAUTY-style"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prilia" id="{5dfb00bd-3e90-4ab1-b3cd-4f5fcfec2085}" providerId="google-sheets"/>
  <x18tc:person displayName="Fira" id="{9d973d32-85c5-419a-96db-ae1ac448464d}" providerId="google-sheets"/>
  <x18tc:person displayName="Tiara Aphrodita" id="{abbf30bb-7d6d-45e6-b9f9-3765ceae72e4}" providerId="google-sheets"/>
</x18tc:personList>
</file>

<file path=xl/tables/table1.xml><?xml version="1.0" encoding="utf-8"?>
<table xmlns="http://schemas.openxmlformats.org/spreadsheetml/2006/main" headerRowCount="0" ref="J25" displayName="Table_1" name="Table_1" id="1">
  <tableColumns count="1">
    <tableColumn name="Column1" id="1"/>
  </tableColumns>
  <tableStyleInfo name="OMG SKINCARE-style" showColumnStripes="0" showFirstColumn="1" showLastColumn="1" showRowStripes="1"/>
</table>
</file>

<file path=xl/tables/table2.xml><?xml version="1.0" encoding="utf-8"?>
<table xmlns="http://schemas.openxmlformats.org/spreadsheetml/2006/main" headerRowCount="0" ref="L25" displayName="Table_2" name="Table_2" id="2">
  <tableColumns count="1">
    <tableColumn name="Column1" id="1"/>
  </tableColumns>
  <tableStyleInfo name="OMG SKINCARE-style 2" showColumnStripes="0" showFirstColumn="1" showLastColumn="1" showRowStripes="1"/>
</table>
</file>

<file path=xl/tables/table3.xml><?xml version="1.0" encoding="utf-8"?>
<table xmlns="http://schemas.openxmlformats.org/spreadsheetml/2006/main" headerRowCount="0" ref="M25:P25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OMG SKINCARE-style 3" showColumnStripes="0" showFirstColumn="1" showLastColumn="1" showRowStripes="1"/>
</table>
</file>

<file path=xl/tables/table4.xml><?xml version="1.0" encoding="utf-8"?>
<table xmlns="http://schemas.openxmlformats.org/spreadsheetml/2006/main" headerRowCount="0" ref="H16:H20" displayName="Table_4" name="Table_4" id="4">
  <tableColumns count="1">
    <tableColumn name="Column1" id="1"/>
  </tableColumns>
  <tableStyleInfo name="MSGLOWBEAUTY-style" showColumnStripes="0" showFirstColumn="1" showLastColumn="1" showRowStripes="1"/>
</tabl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1" dT="2026-05-21T02:42:25.00" personId="{5dfb00bd-3e90-4ab1-b3cd-4f5fcfec2085}" id="{dcbf1e00-8e7d-4560-816f-7c3af206ac98}" done="1">
    <x18tc:text xml:space="preserve">payment 19 mei</x18tc:text>
  </x18tc:threadedComment>
  <x18tc:threadedComment ref="A29" dT="2026-05-06T10:29:37.00" personId="{5dfb00bd-3e90-4ab1-b3cd-4f5fcfec2085}" id="{d58cb7c7-b897-43d2-ac57-49997e160806}" done="1">
    <x18tc:text xml:space="preserve">jumat 6 mei</x18tc:text>
  </x18tc:threadedComment>
  <x18tc:threadedComment ref="A27" dT="2026-05-06T10:29:46.00" personId="{5dfb00bd-3e90-4ab1-b3cd-4f5fcfec2085}" id="{f2cad09d-584f-42c8-9fde-dd7e1fcc956f}" done="1">
    <x18tc:text xml:space="preserve">jumat 6 mei</x18tc:text>
  </x18tc:threadedComment>
  <x18tc:threadedComment ref="S19" dT="2026-05-08T03:39:28.00" personId="{5dfb00bd-3e90-4ab1-b3cd-4f5fcfec2085}" id="{397ee56e-916c-4ce6-9986-b8a0a9ac2794}" done="1">
    <x18tc:text xml:space="preserve">payment tgl 8 mei</x18tc:text>
  </x18tc:threadedComment>
  <x18tc:threadedComment ref="S21" dT="2026-05-21T02:51:20.00" personId="{5dfb00bd-3e90-4ab1-b3cd-4f5fcfec2085}" id="{5d97cbed-38dc-4689-a75d-88398850ff9d}" done="1">
    <x18tc:text xml:space="preserve">payment 22 mei</x18tc:text>
  </x18tc:threadedComment>
  <x18tc:threadedComment ref="J25" dT="2026-06-04T07:20:53.00" personId="{5dfb00bd-3e90-4ab1-b3cd-4f5fcfec2085}" id="{04cf4e4d-6201-4ce1-93a0-132ba92d08ac}" done="0">
    <x18tc:text xml:space="preserve">payment jumat 4 juni</x18tc:text>
  </x18tc:threadedComment>
  <x18tc:threadedComment ref="A30" dT="2026-05-21T02:36:18.00" personId="{5dfb00bd-3e90-4ab1-b3cd-4f5fcfec2085}" id="{78f24fe2-9cc2-47ee-b0a7-2cd9215581f0}" done="1">
    <x18tc:text xml:space="preserve">paymet 22 mei</x18tc:text>
  </x18tc:threadedComment>
  <x18tc:threadedComment ref="J24" dT="2026-06-04T07:21:29.00" personId="{5dfb00bd-3e90-4ab1-b3cd-4f5fcfec2085}" id="{de841324-708d-4b37-a7cb-83b078b6744f}" done="0">
    <x18tc:text xml:space="preserve">payment jumat 5 juni</x18tc:text>
  </x18tc:threadedComment>
  <x18tc:threadedComment ref="J26" dT="2026-06-04T07:22:06.00" personId="{5dfb00bd-3e90-4ab1-b3cd-4f5fcfec2085}" id="{61017453-36e4-4682-bc04-4387ad646266}" done="0">
    <x18tc:text xml:space="preserve">payment jumat 5 juni</x18tc:text>
  </x18tc:threadedComment>
  <x18tc:threadedComment ref="S22" dT="2026-06-04T07:02:08.00" personId="{5dfb00bd-3e90-4ab1-b3cd-4f5fcfec2085}" id="{29b32431-69ac-4ac3-bd3c-773856bf884e}" done="0">
    <x18tc:text xml:space="preserve">payment jumat 4 juni</x18tc:text>
  </x18tc:threadedComment>
  <x18tc:threadedComment ref="S23" dT="2026-06-04T07:04:23.00" personId="{5dfb00bd-3e90-4ab1-b3cd-4f5fcfec2085}" id="{7c1371b8-bc17-4304-a92e-1128e3e73072}" done="0">
    <x18tc:text xml:space="preserve">payment jumat 4 juni</x18tc:text>
  </x18tc:threadedComment>
  <x18tc:threadedComment ref="A23" dT="2026-05-06T10:30:14.00" personId="{5dfb00bd-3e90-4ab1-b3cd-4f5fcfec2085}" id="{978d737a-a009-44a5-b001-89675a6e3d12}" done="1">
    <x18tc:text xml:space="preserve">jumat 6 mei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3" dT="2026-04-13T08:53:23.00" personId="{abbf30bb-7d6d-45e6-b9f9-3765ceae72e4}" id="{00ebb746-6c4e-4d40-b8ac-ee5b189dd42c}" done="1">
    <x18tc:text xml:space="preserve">ads mati karna kena GMV Max brand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20" dT="2026-01-30T09:27:16.00" personId="{abbf30bb-7d6d-45e6-b9f9-3765ceae72e4}" id="{066696dc-e18f-4a28-82cb-bcdbe35af840}" done="1">
    <x18tc:text xml:space="preserve">#zIvFzcYvlmERQesN1XOR6xTicZg5KPts9N2jL20aK/F4AqjEfsIH7z2Z5zn7ojo=</x18tc:text>
  </x18tc:threadedComment>
  <x18tc:threadedComment ref="K22" dT="2026-01-29T07:42:58.00" personId="{abbf30bb-7d6d-45e6-b9f9-3765ceae72e4}" id="{2a0df932-3a43-4bbf-8717-fbfed877feb9}" done="1">
    <x18tc:text xml:space="preserve">#jrXYJDP5kUP29O4mnZ6zF4eL/6ssp3QIw//PO5Sg21WQf3g+MlEKP8W24xgQopY=</x18tc:text>
  </x18tc:threadedComment>
  <x18tc:threadedComment ref="K19" dT="2026-01-29T07:01:51.00" personId="{abbf30bb-7d6d-45e6-b9f9-3765ceae72e4}" id="{0f42a726-8186-4103-8ac5-22480789a1a0}" done="1">
    <x18tc:text xml:space="preserve">#5F3lYuQFHUahzZak/u22nCGZVEjkjxa4CISx776ku0HMF0aGzK8pqj6QsXZUuq8=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3" dT="2026-01-26T07:39:08.00" personId="{5dfb00bd-3e90-4ab1-b3cd-4f5fcfec2085}" id="{15df8741-b343-4db4-b424-259e6caabba8}" done="0">
    <x18tc:text xml:space="preserve">wa aurel</x18tc:text>
  </x18tc:threadedComment>
  <x18tc:threadedComment ref="B35" dT="2026-01-26T07:40:49.00" personId="{5dfb00bd-3e90-4ab1-b3cd-4f5fcfec2085}" id="{10ac409a-f14d-419f-bca7-bace7ecc1622}" done="0">
    <x18tc:text xml:space="preserve">wa aurel</x18tc:text>
  </x18tc:threadedComment>
  <x18tc:threadedComment ref="B42" dT="2026-01-26T07:39:15.00" personId="{5dfb00bd-3e90-4ab1-b3cd-4f5fcfec2085}" id="{ac47c01b-22ba-418e-8cb0-25354e21c489}" done="0">
    <x18tc:text xml:space="preserve">wa aurel</x18tc:text>
  </x18tc:threadedComment>
  <x18tc:threadedComment ref="B34" dT="2026-01-26T07:40:59.00" personId="{5dfb00bd-3e90-4ab1-b3cd-4f5fcfec2085}" id="{ddd61b4a-9af7-48b7-ab8c-343c5e36b40e}" done="0">
    <x18tc:text xml:space="preserve">wa aurel</x18tc:text>
  </x18tc:threadedComment>
  <x18tc:threadedComment ref="B24" dT="2026-01-26T07:43:49.00" personId="{5dfb00bd-3e90-4ab1-b3cd-4f5fcfec2085}" id="{2ffa078b-cd88-47ac-baf7-6b1a32750bce}" done="0">
    <x18tc:text xml:space="preserve">wa aurel</x18tc:text>
  </x18tc:threadedComment>
  <x18tc:threadedComment ref="B32" dT="2026-01-26T07:41:21.00" personId="{5dfb00bd-3e90-4ab1-b3cd-4f5fcfec2085}" id="{852c8d60-8e47-46a7-aee8-0562874aeb67}" done="0">
    <x18tc:text xml:space="preserve">wa aurel</x18tc:text>
  </x18tc:threadedComment>
  <x18tc:threadedComment ref="B26" dT="2026-01-26T07:44:19.00" personId="{5dfb00bd-3e90-4ab1-b3cd-4f5fcfec2085}" id="{42242bd9-c49d-4a3a-918a-1a0e83f02d42}" done="0">
    <x18tc:text xml:space="preserve">wa aurel</x18tc:text>
  </x18tc:threadedComment>
  <x18tc:threadedComment ref="B25" dT="2026-01-26T07:43:58.00" personId="{5dfb00bd-3e90-4ab1-b3cd-4f5fcfec2085}" id="{9299f4de-2599-4536-8864-b6c7f8b9b6ac}" done="0">
    <x18tc:text xml:space="preserve">wa aurel</x18tc:text>
  </x18tc:threadedComment>
  <x18tc:threadedComment ref="B46" dT="2026-01-26T07:38:51.00" personId="{5dfb00bd-3e90-4ab1-b3cd-4f5fcfec2085}" id="{dc07250c-4521-4392-b839-3fd127fcce17}" done="0">
    <x18tc:text xml:space="preserve">wa aurel</x18tc:text>
  </x18tc:threadedComment>
  <x18tc:threadedComment ref="H26" dT="2026-01-26T09:51:56.00" personId="{5dfb00bd-3e90-4ab1-b3cd-4f5fcfec2085}" id="{556de97b-fe00-45f9-80d0-ef590b7e1be4}" done="1">
    <x18tc:text xml:space="preserve">nunggu alamat</x18tc:text>
  </x18tc:threadedComment>
  <x18tc:threadedComment ref="B44" dT="2026-01-26T07:39:02.00" personId="{5dfb00bd-3e90-4ab1-b3cd-4f5fcfec2085}" id="{83c090f7-b361-4c3b-88de-54181448c1bc}" done="0">
    <x18tc:text xml:space="preserve">wa aurel</x18tc:text>
  </x18tc:threadedComment>
  <x18tc:threadedComment ref="I46" dT="2026-01-26T09:50:19.00" personId="{5dfb00bd-3e90-4ab1-b3cd-4f5fcfec2085}" id="{2b4b0c16-6f84-4394-a2b8-3f5c6d40ef74}" done="0">
    <x18tc:text xml:space="preserve">malem kirim alamatnya</x18tc:text>
  </x18tc:threadedComment>
  <x18tc:threadedComment ref="B45" dT="2026-01-26T07:38:56.00" personId="{5dfb00bd-3e90-4ab1-b3cd-4f5fcfec2085}" id="{a9efe089-6bad-4b00-acf6-f93bf1fb75cf}" done="0">
    <x18tc:text xml:space="preserve">wa aurel</x18tc:text>
  </x18tc:threadedComment>
  <x18tc:threadedComment ref="H24" dT="2026-01-26T09:52:13.00" personId="{5dfb00bd-3e90-4ab1-b3cd-4f5fcfec2085}" id="{92fa38a1-a886-4b7f-bf16-39ab5cb3fd9f}" done="1">
    <x18tc:text xml:space="preserve">nunggu alamat</x18tc:text>
  </x18tc:threadedComment>
  <x18tc:threadedComment ref="H24" dT="2026-01-26T10:04:47.00" personId="{5dfb00bd-3e90-4ab1-b3cd-4f5fcfec2085}" id="{5672bfbd-6e1f-4bca-9054-a9cdbd9caebe}" done="0">
    <x18tc:text xml:space="preserve">sakit, akan konfirmasi jika sudah sehat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4" dT="2026-01-20T09:02:50.00" personId="{5dfb00bd-3e90-4ab1-b3cd-4f5fcfec2085}" id="{69c6ce71-42b6-46ce-b3a5-281412d95843}" done="0">
    <x18tc:text xml:space="preserve">wa april</x18tc:text>
  </x18tc:threadedComment>
  <x18tc:threadedComment ref="B23" dT="2026-01-20T09:02:38.00" personId="{5dfb00bd-3e90-4ab1-b3cd-4f5fcfec2085}" id="{107d8156-6f6a-466d-9530-74ad3bb69fe8}" done="0">
    <x18tc:text xml:space="preserve">wa april</x18tc:text>
  </x18tc:threadedComment>
  <x18tc:threadedComment ref="K24" dT="2026-01-27T10:59:09.00" personId="{5dfb00bd-3e90-4ab1-b3cd-4f5fcfec2085}" id="{e2261fdd-fb62-4925-9cf7-6ef513273190}" done="1">
    <x18tc:text xml:space="preserve">rabu post</x18tc:text>
  </x18tc:threadedComment>
  <x18tc:threadedComment ref="B54" dT="2026-01-26T07:59:01.00" personId="{5dfb00bd-3e90-4ab1-b3cd-4f5fcfec2085}" id="{acd5410d-ce4c-4f88-bade-3fb056b4f18d}" done="0">
    <x18tc:text xml:space="preserve">wa aurel</x18tc:text>
  </x18tc:threadedComment>
  <x18tc:threadedComment ref="B63" dT="2026-01-28T08:10:33.00" personId="{5dfb00bd-3e90-4ab1-b3cd-4f5fcfec2085}" id="{534f3d3f-3dd0-4124-88c2-61433d563f35}" done="0">
    <x18tc:text xml:space="preserve">wa aurel</x18tc:text>
  </x18tc:threadedComment>
  <x18tc:threadedComment ref="B64" dT="2026-01-28T08:10:43.00" personId="{5dfb00bd-3e90-4ab1-b3cd-4f5fcfec2085}" id="{3748db56-af79-4da1-b737-8863b427e8ad}" done="0">
    <x18tc:text xml:space="preserve">wa aurel</x18tc:text>
  </x18tc:threadedComment>
  <x18tc:threadedComment ref="B65" dT="2026-01-28T08:10:50.00" personId="{5dfb00bd-3e90-4ab1-b3cd-4f5fcfec2085}" id="{d79ae280-713f-4021-9551-b66d7dc4dbf3}" done="0">
    <x18tc:text xml:space="preserve">wa aurel</x18tc:text>
  </x18tc:threadedComment>
  <x18tc:threadedComment ref="B66" dT="2026-01-28T08:11:01.00" personId="{5dfb00bd-3e90-4ab1-b3cd-4f5fcfec2085}" id="{263e4c6c-5e0e-4bd5-9616-995b86997ce4}" done="0">
    <x18tc:text xml:space="preserve">wa aurel</x18tc:text>
  </x18tc:threadedComment>
  <x18tc:threadedComment ref="B52" dT="2026-01-22T08:18:48.00" personId="{5dfb00bd-3e90-4ab1-b3cd-4f5fcfec2085}" id="{a441f543-8343-414d-a60f-4b72a67d89f5}" done="0">
    <x18tc:text xml:space="preserve">kommo</x18tc:text>
  </x18tc:threadedComment>
  <x18tc:threadedComment ref="B62" dT="2026-01-28T08:10:11.00" personId="{5dfb00bd-3e90-4ab1-b3cd-4f5fcfec2085}" id="{70ea7afe-8ab5-4a32-8383-a74870424e5a}" done="0">
    <x18tc:text xml:space="preserve">wa aurel</x18tc:text>
  </x18tc:threadedComment>
  <x18tc:threadedComment ref="B78" dT="2026-01-30T07:53:28.00" personId="{5dfb00bd-3e90-4ab1-b3cd-4f5fcfec2085}" id="{abdac9a9-8bfc-4818-bc8f-1404663470d1}" done="0">
    <x18tc:text xml:space="preserve">wa aurel</x18tc:text>
  </x18tc:threadedComment>
  <x18tc:threadedComment ref="B70" dT="2026-01-30T07:52:40.00" personId="{5dfb00bd-3e90-4ab1-b3cd-4f5fcfec2085}" id="{3a365774-9fe4-4023-9716-26aa864e9e90}" done="0">
    <x18tc:text xml:space="preserve">wa aurel</x18tc:text>
  </x18tc:threadedComment>
  <x18tc:threadedComment ref="B51" dT="2026-01-20T09:05:08.00" personId="{5dfb00bd-3e90-4ab1-b3cd-4f5fcfec2085}" id="{b984de50-f732-4f71-be25-abe3bfcea5f6}" done="0">
    <x18tc:text xml:space="preserve">kommo</x18tc:text>
  </x18tc:threadedComment>
  <x18tc:threadedComment ref="B71" dT="2026-01-30T07:52:46.00" personId="{5dfb00bd-3e90-4ab1-b3cd-4f5fcfec2085}" id="{bf8e21d9-a998-4f8a-ab28-7ebc6d2efc71}" done="0">
    <x18tc:text xml:space="preserve">wa aurel</x18tc:text>
  </x18tc:threadedComment>
  <x18tc:threadedComment ref="B76" dT="2026-01-30T07:53:18.00" personId="{5dfb00bd-3e90-4ab1-b3cd-4f5fcfec2085}" id="{d5c050d9-b261-427f-b229-ab805862a7ac}" done="0">
    <x18tc:text xml:space="preserve">wa aurel</x18tc:text>
  </x18tc:threadedComment>
  <x18tc:threadedComment ref="B22" dT="2026-01-20T09:02:30.00" personId="{5dfb00bd-3e90-4ab1-b3cd-4f5fcfec2085}" id="{e1526b7b-b00b-43da-a03d-e7489a4313ed}" done="0">
    <x18tc:text xml:space="preserve">wa april</x18tc:text>
  </x18tc:threadedComment>
  <x18tc:threadedComment ref="B50" dT="2026-01-20T09:05:03.00" personId="{5dfb00bd-3e90-4ab1-b3cd-4f5fcfec2085}" id="{7428cd5c-9e7c-40fa-b19b-9a0ba3320436}" done="0">
    <x18tc:text xml:space="preserve">kommo</x18tc:text>
  </x18tc:threadedComment>
  <x18tc:threadedComment ref="B77" dT="2026-01-30T07:53:23.00" personId="{5dfb00bd-3e90-4ab1-b3cd-4f5fcfec2085}" id="{ce850030-5edf-4ca6-9238-1e0ba572dd93}" done="0">
    <x18tc:text xml:space="preserve">wa aurel</x18tc:text>
  </x18tc:threadedComment>
  <x18tc:threadedComment ref="B69" dT="2026-01-30T07:52:32.00" personId="{5dfb00bd-3e90-4ab1-b3cd-4f5fcfec2085}" id="{c0300b02-0c6f-47bb-a700-3d02c18fa719}" done="0">
    <x18tc:text xml:space="preserve">wa aurel</x18tc:text>
  </x18tc:threadedComment>
  <x18tc:threadedComment ref="B61" dT="2026-01-26T07:53:25.00" personId="{5dfb00bd-3e90-4ab1-b3cd-4f5fcfec2085}" id="{4ea8b9c3-e1f6-4c0e-9348-188890a26225}" done="0">
    <x18tc:text xml:space="preserve">wa aurel</x18tc:text>
  </x18tc:threadedComment>
  <x18tc:threadedComment ref="B21" dT="2026-01-20T09:02:24.00" personId="{5dfb00bd-3e90-4ab1-b3cd-4f5fcfec2085}" id="{f428ba5b-b9ac-4405-b07b-dc3ee7550498}" done="0">
    <x18tc:text xml:space="preserve">wa april</x18tc:text>
  </x18tc:threadedComment>
  <x18tc:threadedComment ref="B49" dT="2026-01-20T09:04:59.00" personId="{5dfb00bd-3e90-4ab1-b3cd-4f5fcfec2085}" id="{f72c97b0-21d0-4e44-89cb-651ac5bbb393}" done="1">
    <x18tc:text xml:space="preserve">kommo</x18tc:text>
  </x18tc:threadedComment>
  <x18tc:threadedComment ref="B74" dT="2026-01-30T07:53:07.00" personId="{5dfb00bd-3e90-4ab1-b3cd-4f5fcfec2085}" id="{28b1e638-b165-4bd3-a893-257a4c1eeac3}" done="0">
    <x18tc:text xml:space="preserve">wa aurel</x18tc:text>
  </x18tc:threadedComment>
  <x18tc:threadedComment ref="B20" dT="2026-01-20T09:02:18.00" personId="{5dfb00bd-3e90-4ab1-b3cd-4f5fcfec2085}" id="{ed867e46-40a8-4c7c-9a80-a719b56b68b5}" done="0">
    <x18tc:text xml:space="preserve">wa april</x18tc:text>
  </x18tc:threadedComment>
  <x18tc:threadedComment ref="B48" dT="2026-01-20T09:04:47.00" personId="{5dfb00bd-3e90-4ab1-b3cd-4f5fcfec2085}" id="{9a4f8829-6d0d-4f8d-8b75-1c02ab79b59a}" done="0">
    <x18tc:text xml:space="preserve">wa aurel</x18tc:text>
  </x18tc:threadedComment>
  <x18tc:threadedComment ref="B75" dT="2026-01-30T07:53:13.00" personId="{5dfb00bd-3e90-4ab1-b3cd-4f5fcfec2085}" id="{962943b6-837a-4f6f-b59c-513f4ea06a20}" done="0">
    <x18tc:text xml:space="preserve">wa aurel</x18tc:text>
  </x18tc:threadedComment>
  <x18tc:threadedComment ref="B19" dT="2026-01-20T09:02:12.00" personId="{5dfb00bd-3e90-4ab1-b3cd-4f5fcfec2085}" id="{80177aca-4104-4a8f-8363-0f35ec9f342f}" done="0">
    <x18tc:text xml:space="preserve">wa april</x18tc:text>
  </x18tc:threadedComment>
  <x18tc:threadedComment ref="B46" dT="2026-01-20T09:04:33.00" personId="{5dfb00bd-3e90-4ab1-b3cd-4f5fcfec2085}" id="{04b5f149-01e9-475b-b0b0-96324e05459b}" done="0">
    <x18tc:text xml:space="preserve">wa aurel</x18tc:text>
  </x18tc:threadedComment>
  <x18tc:threadedComment ref="B53" dT="2026-01-26T07:59:16.00" personId="{5dfb00bd-3e90-4ab1-b3cd-4f5fcfec2085}" id="{af81078f-8207-45e3-99e5-77b1f9e57db1}" done="0">
    <x18tc:text xml:space="preserve">wa aurel / april</x18tc:text>
  </x18tc:threadedComment>
  <x18tc:threadedComment ref="B18" dT="2026-01-20T09:02:05.00" personId="{5dfb00bd-3e90-4ab1-b3cd-4f5fcfec2085}" id="{c7caef24-99c4-4b79-b5ed-fcc1b6b0882f}" done="0">
    <x18tc:text xml:space="preserve">wa april</x18tc:text>
  </x18tc:threadedComment>
  <x18tc:threadedComment ref="B41" dT="2026-01-20T09:03:57.00" personId="{5dfb00bd-3e90-4ab1-b3cd-4f5fcfec2085}" id="{afaa01bd-9641-4da6-a308-b9bf6dddcd46}" done="0">
    <x18tc:text xml:space="preserve">kommo</x18tc:text>
  </x18tc:threadedComment>
  <x18tc:threadedComment ref="B17" dT="2026-01-20T09:01:55.00" personId="{5dfb00bd-3e90-4ab1-b3cd-4f5fcfec2085}" id="{f2e6642d-a593-4c7c-af90-9ba30e5434cd}" done="0">
    <x18tc:text xml:space="preserve">wa april</x18tc:text>
  </x18tc:threadedComment>
  <x18tc:threadedComment ref="B40" dT="2026-01-20T09:03:52.00" personId="{5dfb00bd-3e90-4ab1-b3cd-4f5fcfec2085}" id="{f290fb04-f2cd-4dda-b0dd-1a9aa18b0f5b}" done="0">
    <x18tc:text xml:space="preserve">kommo &gt; wa aurel</x18tc:text>
  </x18tc:threadedComment>
  <x18tc:threadedComment ref="B26" dT="2026-01-20T09:03:33.00" personId="{5dfb00bd-3e90-4ab1-b3cd-4f5fcfec2085}" id="{e6343503-d26c-4949-b99d-33708a74d220}" done="0">
    <x18tc:text xml:space="preserve">wa april</x18tc:text>
  </x18tc:threadedComment>
  <x18tc:threadedComment ref="K21" dT="2026-01-26T09:53:22.00" personId="{5dfb00bd-3e90-4ab1-b3cd-4f5fcfec2085}" id="{a57a5de7-0592-454e-bb77-903dace1708a}" done="1">
    <x18tc:text xml:space="preserve">selasa</x18tc:text>
  </x18tc:threadedComment>
  <x18tc:threadedComment ref="K25" dT="2026-01-27T11:00:22.00" personId="{5dfb00bd-3e90-4ab1-b3cd-4f5fcfec2085}" id="{2a3dc5f9-7bf1-4ebd-92f7-1940f2e3b79e}" done="1">
    <x18tc:text xml:space="preserve">rabu post</x18tc:text>
  </x18tc:threadedComment>
  <x18tc:threadedComment ref="B73" dT="2026-01-30T07:53:02.00" personId="{5dfb00bd-3e90-4ab1-b3cd-4f5fcfec2085}" id="{2e71ffb0-b005-4a2e-b45a-726efff8e087}" done="0">
    <x18tc:text xml:space="preserve">wa aurel</x18tc:text>
  </x18tc:threadedComment>
  <x18tc:threadedComment ref="B60" dT="2026-01-26T07:53:33.00" personId="{5dfb00bd-3e90-4ab1-b3cd-4f5fcfec2085}" id="{cf92e744-9f9a-461a-95d1-e7f801a20e1c}" done="0">
    <x18tc:text xml:space="preserve">wa aurel</x18tc:text>
  </x18tc:threadedComment>
  <x18tc:threadedComment ref="B72" dT="2026-01-30T07:52:54.00" personId="{5dfb00bd-3e90-4ab1-b3cd-4f5fcfec2085}" id="{53087ee6-3e90-494f-a880-cd4c0636d22b}" done="0">
    <x18tc:text xml:space="preserve">wa aurel</x18tc:text>
  </x18tc:threadedComment>
  <x18tc:threadedComment ref="B58" dT="2026-01-26T07:56:02.00" personId="{5dfb00bd-3e90-4ab1-b3cd-4f5fcfec2085}" id="{6bc8d950-0d39-4aa1-981c-e56c8a93a1b3}" done="0">
    <x18tc:text xml:space="preserve">wa aurel</x18tc:text>
  </x18tc:threadedComment>
  <x18tc:threadedComment ref="K24" dT="2026-01-26T09:54:29.00" personId="{5dfb00bd-3e90-4ab1-b3cd-4f5fcfec2085}" id="{1c5b4890-19ee-4b8c-8578-df187438c3a8}" done="1">
    <x18tc:text xml:space="preserve">selasa</x18tc:text>
  </x18tc:threadedComment>
  <x18tc:threadedComment ref="B59" dT="2026-01-26T07:53:41.00" personId="{5dfb00bd-3e90-4ab1-b3cd-4f5fcfec2085}" id="{a83c74bb-c5eb-4864-abb1-d12b07467ea7}" done="0">
    <x18tc:text xml:space="preserve">wa aurel</x18tc:text>
  </x18tc:threadedComment>
  <x18tc:threadedComment ref="B79" dT="2026-02-02T09:09:57.00" personId="{5dfb00bd-3e90-4ab1-b3cd-4f5fcfec2085}" id="{ab046f2a-2751-418f-8993-d599272741ba}" done="0">
    <x18tc:text xml:space="preserve">wa aurel</x18tc:text>
  </x18tc:threadedComment>
  <x18tc:threadedComment ref="B25" dT="2026-01-20T09:03:11.00" personId="{5dfb00bd-3e90-4ab1-b3cd-4f5fcfec2085}" id="{3999b1cb-7c4b-4054-90ad-fb5a5704c7b4}" done="0">
    <x18tc:text xml:space="preserve">wa april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23" dT="2026-05-21T11:22:06.00" personId="{9d973d32-85c5-419a-96db-ae1ac448464d}" id="{470d4c29-b097-4670-bb31-b02e54710edb}" done="0">
    <x18tc:text xml:space="preserve">ini SYB bukan iswhite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ffiliate-id.tokopedia.com/api/v1/share/AKLRPkYKZgrR" TargetMode="External"/><Relationship Id="rId20" Type="http://schemas.openxmlformats.org/officeDocument/2006/relationships/hyperlink" Target="https://affiliate-id.tokopedia.com/api/v1/share/AJxCJpomnGKm" TargetMode="External"/><Relationship Id="rId42" Type="http://schemas.openxmlformats.org/officeDocument/2006/relationships/hyperlink" Target="https://affiliate-id.tokopedia.com/api/v1/share/AKLRPjv96bYK" TargetMode="External"/><Relationship Id="rId41" Type="http://schemas.openxmlformats.org/officeDocument/2006/relationships/hyperlink" Target="https://affiliate-id.tokopedia.com/api/v1/share/AKLRRYaa4emw" TargetMode="External"/><Relationship Id="rId22" Type="http://schemas.openxmlformats.org/officeDocument/2006/relationships/hyperlink" Target="https://affiliate-id.tokopedia.com/api/v1/share/AJeSHBhJg28u" TargetMode="External"/><Relationship Id="rId44" Type="http://schemas.openxmlformats.org/officeDocument/2006/relationships/hyperlink" Target="https://affiliate-id.tokopedia.com/api/v1/share/AKLRLIXm2yBl" TargetMode="External"/><Relationship Id="rId21" Type="http://schemas.openxmlformats.org/officeDocument/2006/relationships/hyperlink" Target="https://affiliate-id.tokopedia.com/api/v1/share/AJxCKLTgZIyS" TargetMode="External"/><Relationship Id="rId43" Type="http://schemas.openxmlformats.org/officeDocument/2006/relationships/hyperlink" Target="https://affiliate-id.tokopedia.com/api/v1/share/AKLRPkYKqjjo" TargetMode="External"/><Relationship Id="rId24" Type="http://schemas.openxmlformats.org/officeDocument/2006/relationships/hyperlink" Target="https://affiliate-id.tokopedia.com/api/v1/share/AJcxTnAAgAng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affiliate-id.tokopedia.com/api/v1/share/AJcxSzHBOOXI" TargetMode="External"/><Relationship Id="rId45" Type="http://schemas.openxmlformats.org/officeDocument/2006/relationships/hyperlink" Target="https://affiliate-id.tokopedia.com/api/v1/share/AKLROhgkVOnH" TargetMode="External"/><Relationship Id="rId1" Type="http://schemas.openxmlformats.org/officeDocument/2006/relationships/hyperlink" Target="https://affiliate-id.tokopedia.com/api/v1/share/AKSHh8Gb5ttm" TargetMode="External"/><Relationship Id="rId2" Type="http://schemas.openxmlformats.org/officeDocument/2006/relationships/hyperlink" Target="https://affiliate-id.tokopedia.com/api/v1/share/AKSHX12B2ZEc" TargetMode="External"/><Relationship Id="rId3" Type="http://schemas.openxmlformats.org/officeDocument/2006/relationships/hyperlink" Target="https://affiliate-id.tokopedia.com/api/v1/share/AKSHX9h525me" TargetMode="External"/><Relationship Id="rId4" Type="http://schemas.openxmlformats.org/officeDocument/2006/relationships/hyperlink" Target="https://affiliate-id.tokopedia.com/api/v1/share/AKSHmVVN6KFl" TargetMode="External"/><Relationship Id="rId9" Type="http://schemas.openxmlformats.org/officeDocument/2006/relationships/hyperlink" Target="https://affiliate-id.tokopedia.com/api/v1/share/AKE4yiWSSQyJ" TargetMode="External"/><Relationship Id="rId26" Type="http://schemas.openxmlformats.org/officeDocument/2006/relationships/hyperlink" Target="https://affiliate-id.tokopedia.com/api/v1/share/AJurY03SyviB" TargetMode="External"/><Relationship Id="rId25" Type="http://schemas.openxmlformats.org/officeDocument/2006/relationships/hyperlink" Target="https://affiliate-id.tokopedia.com/api/v1/share/AJcxTK4LyD97" TargetMode="External"/><Relationship Id="rId28" Type="http://schemas.openxmlformats.org/officeDocument/2006/relationships/hyperlink" Target="https://affiliate-id.tokopedia.com/api/v1/share/AJurXzU6H0ki" TargetMode="External"/><Relationship Id="rId27" Type="http://schemas.openxmlformats.org/officeDocument/2006/relationships/hyperlink" Target="https://affiliate-id.tokopedia.com/api/v1/share/AJurXzcruhl2" TargetMode="External"/><Relationship Id="rId5" Type="http://schemas.openxmlformats.org/officeDocument/2006/relationships/hyperlink" Target="https://affiliate-id.tokopedia.com/api/v1/share/AKSHmZQfG93j" TargetMode="External"/><Relationship Id="rId6" Type="http://schemas.openxmlformats.org/officeDocument/2006/relationships/hyperlink" Target="https://affiliate-id.tokopedia.com/api/v1/share/AKSHpEKODLxf" TargetMode="External"/><Relationship Id="rId29" Type="http://schemas.openxmlformats.org/officeDocument/2006/relationships/hyperlink" Target="https://affiliate-id.tokopedia.com/api/v1/share/AJurY1VxRn3o" TargetMode="External"/><Relationship Id="rId7" Type="http://schemas.openxmlformats.org/officeDocument/2006/relationships/hyperlink" Target="https://affiliate-id.tokopedia.com/api/v1/share/AKSHigzlOIvs" TargetMode="External"/><Relationship Id="rId8" Type="http://schemas.openxmlformats.org/officeDocument/2006/relationships/hyperlink" Target="https://affiliate-id.tokopedia.com/api/v1/share/AKSHpT5QeZtI" TargetMode="External"/><Relationship Id="rId31" Type="http://schemas.openxmlformats.org/officeDocument/2006/relationships/hyperlink" Target="https://affiliate-id.tokopedia.com/api/v1/share/AJpsJNwYoQDW" TargetMode="External"/><Relationship Id="rId30" Type="http://schemas.openxmlformats.org/officeDocument/2006/relationships/hyperlink" Target="https://affiliate-id.tokopedia.com/api/v1/share/AJpsDQ7qZLvj" TargetMode="External"/><Relationship Id="rId11" Type="http://schemas.openxmlformats.org/officeDocument/2006/relationships/hyperlink" Target="https://affiliate-id.tokopedia.com/api/v1/share/AJePEe6jD3sW" TargetMode="External"/><Relationship Id="rId33" Type="http://schemas.openxmlformats.org/officeDocument/2006/relationships/hyperlink" Target="https://affiliate-id.tokopedia.com/api/v1/share/AJjNS1jxI2rC" TargetMode="External"/><Relationship Id="rId10" Type="http://schemas.openxmlformats.org/officeDocument/2006/relationships/hyperlink" Target="https://affiliate-id.tokopedia.com/api/v1/share/AKSHpZ5Ip3dH" TargetMode="External"/><Relationship Id="rId32" Type="http://schemas.openxmlformats.org/officeDocument/2006/relationships/hyperlink" Target="https://affiliate-id.tokopedia.com/api/v1/share/AJjNS4Px3M3J" TargetMode="External"/><Relationship Id="rId13" Type="http://schemas.openxmlformats.org/officeDocument/2006/relationships/hyperlink" Target="https://affiliate-id.tokopedia.com/api/v1/share/AJcx6T3Eg0st" TargetMode="External"/><Relationship Id="rId35" Type="http://schemas.openxmlformats.org/officeDocument/2006/relationships/hyperlink" Target="https://affiliate-id.tokopedia.com/api/v1/share/AKKLpJJ6AR0G" TargetMode="External"/><Relationship Id="rId12" Type="http://schemas.openxmlformats.org/officeDocument/2006/relationships/hyperlink" Target="https://affiliate-id.tokopedia.com/api/v1/share/AJePEgzrkRjs" TargetMode="External"/><Relationship Id="rId34" Type="http://schemas.openxmlformats.org/officeDocument/2006/relationships/hyperlink" Target="https://affiliate-id.tokopedia.com/api/v1/share/AKKL7WK9pNE8" TargetMode="External"/><Relationship Id="rId15" Type="http://schemas.openxmlformats.org/officeDocument/2006/relationships/hyperlink" Target="https://affiliate-id.tokopedia.com/api/v1/share/AJcxJtXTtRSA" TargetMode="External"/><Relationship Id="rId37" Type="http://schemas.openxmlformats.org/officeDocument/2006/relationships/hyperlink" Target="https://affiliate-id.tokopedia.com/api/v1/share/AKLRPkYK1Vty" TargetMode="External"/><Relationship Id="rId14" Type="http://schemas.openxmlformats.org/officeDocument/2006/relationships/hyperlink" Target="https://affiliate-id.tokopedia.com/api/v1/share/AJcxIkBs2ofX" TargetMode="External"/><Relationship Id="rId36" Type="http://schemas.openxmlformats.org/officeDocument/2006/relationships/hyperlink" Target="https://affiliate-id.tokopedia.com/api/v1/share/AKKLqQRUsl2E" TargetMode="External"/><Relationship Id="rId17" Type="http://schemas.openxmlformats.org/officeDocument/2006/relationships/hyperlink" Target="https://affiliate-id.tokopedia.com/api/v1/share/AJeTFTpbHsOQ" TargetMode="External"/><Relationship Id="rId39" Type="http://schemas.openxmlformats.org/officeDocument/2006/relationships/hyperlink" Target="https://affiliate-id.tokopedia.com/api/v1/share/AKLRPjv8peOC" TargetMode="External"/><Relationship Id="rId16" Type="http://schemas.openxmlformats.org/officeDocument/2006/relationships/hyperlink" Target="https://affiliate-id.tokopedia.com/api/v1/share/AJcxJtXTtRSA" TargetMode="External"/><Relationship Id="rId38" Type="http://schemas.openxmlformats.org/officeDocument/2006/relationships/hyperlink" Target="https://affiliate-id.tokopedia.com/api/v1/share/AKLRRYaZnYww" TargetMode="External"/><Relationship Id="rId19" Type="http://schemas.openxmlformats.org/officeDocument/2006/relationships/hyperlink" Target="https://affiliate-id.tokopedia.com/api/v1/share/AJxCLC0X4tEC" TargetMode="External"/><Relationship Id="rId18" Type="http://schemas.openxmlformats.org/officeDocument/2006/relationships/hyperlink" Target="https://affiliate-id.tokopedia.com/api/v1/share/AJxCL5X0vFY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0wdjc5GKQIqHka9D7QGq1b4WkRuVqG0ylA8lw57ns-I/edit?gid=0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z8PZpC-yFEVu6JxKKNXw_aN14uWpZl6ieytLojnYOn0/edit?usp=sharing" TargetMode="External"/><Relationship Id="rId22" Type="http://schemas.openxmlformats.org/officeDocument/2006/relationships/hyperlink" Target="https://docs.google.com/spreadsheets/d/1MX1vJFSMgrufDl6wYOC0UTVrn-O02YYvqwij2gBBfbE/edit?usp=sharing" TargetMode="External"/><Relationship Id="rId21" Type="http://schemas.openxmlformats.org/officeDocument/2006/relationships/hyperlink" Target="https://www.canva.com/design/DAHJi-K9gZs/mh_uqMHBBJ4TDWTsFeaEeA/edit" TargetMode="External"/><Relationship Id="rId24" Type="http://schemas.openxmlformats.org/officeDocument/2006/relationships/hyperlink" Target="https://docs.google.com/spreadsheets/d/1DoEzZxtxuvgsegi2QPvuW5TqQ0Dw_pCwlHdkKcc0vO4/edit?usp=sharing" TargetMode="External"/><Relationship Id="rId23" Type="http://schemas.openxmlformats.org/officeDocument/2006/relationships/hyperlink" Target="https://www.canva.com/design/DAHJsWms048/zEOyAOqCG58b1JJ-o63KYg/edit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docs.google.com/spreadsheets/d/1W8MauSowLNOulI1KkqEdxhA8j_oOR4W-yptDdTVFibo/edit?gid=0" TargetMode="External"/><Relationship Id="rId3" Type="http://schemas.openxmlformats.org/officeDocument/2006/relationships/hyperlink" Target="https://drive.google.com/file/d/16NyKNgQi292wWY2nTJu74DbLG5HH7B8s/view?usp=drive_link" TargetMode="External"/><Relationship Id="rId4" Type="http://schemas.openxmlformats.org/officeDocument/2006/relationships/hyperlink" Target="https://docs.google.com/spreadsheets/d/1a99t7a7ltNu0j5ezzJq5ifBP_UHirgqmd3-1eEcrjyg/edit?gid=277101169" TargetMode="External"/><Relationship Id="rId9" Type="http://schemas.openxmlformats.org/officeDocument/2006/relationships/hyperlink" Target="https://www.canva.com/design/DAG92_K9E8o/nrVYQaad3IVm5gt6vgL_aQ/edit?utm_content=DAG92_K9E8o&amp;utm_campaign=designshare&amp;utm_medium=link2&amp;utm_source=sharebutton" TargetMode="External"/><Relationship Id="rId26" Type="http://schemas.openxmlformats.org/officeDocument/2006/relationships/hyperlink" Target="https://docs.google.com/spreadsheets/d/1x3rSyeCtkp58_GeAwjSAFdqQVbq3hfzNkNNS_hlBRZA/edit?gid=0" TargetMode="External"/><Relationship Id="rId25" Type="http://schemas.openxmlformats.org/officeDocument/2006/relationships/hyperlink" Target="https://www.canva.com/design/DAG_B4dLGw0/JjMOEnKb6GlYFbrU5Pboow/view?utm_content=DAG_B4dLGw0&amp;utm_campaign=designshare&amp;utm_medium=link2&amp;utm_source=uniquelinks&amp;utlId=h4af5e3703e" TargetMode="External"/><Relationship Id="rId28" Type="http://schemas.openxmlformats.org/officeDocument/2006/relationships/hyperlink" Target="https://docs.google.com/spreadsheets/d/114RjJZHWnFxJncesCaQJ8H8pK1y4X5rXIpuqiO5K9Pc/edit?usp=sharing" TargetMode="External"/><Relationship Id="rId27" Type="http://schemas.openxmlformats.org/officeDocument/2006/relationships/hyperlink" Target="https://drive.google.com/file/d/1Vfry8T3friwbZ_imufIFz-R0l3sjn5ol/view?usp=drive_link" TargetMode="External"/><Relationship Id="rId5" Type="http://schemas.openxmlformats.org/officeDocument/2006/relationships/hyperlink" Target="https://drive.google.com/file/d/1sruoAKKgHVr1HIRxM7l9tfiDAEGKETLw/view?usp=drive_link" TargetMode="External"/><Relationship Id="rId6" Type="http://schemas.openxmlformats.org/officeDocument/2006/relationships/hyperlink" Target="https://docs.google.com/spreadsheets/d/1_A9Iolw-kgvEGCKKorHaG6Xr7rRPnxcEIzh02jF6jKA/edit?gid=2007227611" TargetMode="External"/><Relationship Id="rId29" Type="http://schemas.openxmlformats.org/officeDocument/2006/relationships/hyperlink" Target="https://www.canva.com/design/DAHA5276gqI/464o4TUYBLQ2wfHEXw1RRg/edit?utm_content=DAHA5276gqI&amp;utm_campaign=designshare&amp;utm_medium=link2&amp;utm_source=sharebutton" TargetMode="External"/><Relationship Id="rId7" Type="http://schemas.openxmlformats.org/officeDocument/2006/relationships/hyperlink" Target="https://www.canva.com/design/DAG_flVrcgk/cSkkYc32v5yZnMFoKdo0Wg/edit" TargetMode="External"/><Relationship Id="rId8" Type="http://schemas.openxmlformats.org/officeDocument/2006/relationships/hyperlink" Target="https://docs.google.com/spreadsheets/d/1iq2iKLufDIeoLWMSr73BrNrovn6adWUwdGlZxgpUJLg/edit?gid=0" TargetMode="External"/><Relationship Id="rId31" Type="http://schemas.openxmlformats.org/officeDocument/2006/relationships/hyperlink" Target="https://www.canva.com/design/DAHHFhPRip8/RYSCWoSmiBvyVHDNvzmP2Q/edit" TargetMode="External"/><Relationship Id="rId30" Type="http://schemas.openxmlformats.org/officeDocument/2006/relationships/hyperlink" Target="https://docs.google.com/spreadsheets/d/1RotBE9olVbILCxPgxyXDwt43LdLXEbiI099zoDUBeNo/edit?gid=687753557" TargetMode="External"/><Relationship Id="rId11" Type="http://schemas.openxmlformats.org/officeDocument/2006/relationships/hyperlink" Target="https://drive.google.com/file/d/1ljBLgOtGsXib3YDAR3E9JNLIq-L-YXU9/view?usp=drive_link" TargetMode="External"/><Relationship Id="rId33" Type="http://schemas.openxmlformats.org/officeDocument/2006/relationships/vmlDrawing" Target="../drawings/vmlDrawing2.vml"/><Relationship Id="rId10" Type="http://schemas.openxmlformats.org/officeDocument/2006/relationships/hyperlink" Target="https://docs.google.com/spreadsheets/d/1yJ3yvnmYAjtNob4G9r0VNpCTTxE6Mx_ZDJhmzkARqO8/edit?gid=1912522919" TargetMode="External"/><Relationship Id="rId32" Type="http://schemas.openxmlformats.org/officeDocument/2006/relationships/drawing" Target="../drawings/drawing5.xml"/><Relationship Id="rId13" Type="http://schemas.openxmlformats.org/officeDocument/2006/relationships/hyperlink" Target="https://canva.link/3t701suwagkvxdy" TargetMode="External"/><Relationship Id="rId12" Type="http://schemas.openxmlformats.org/officeDocument/2006/relationships/hyperlink" Target="https://docs.google.com/spreadsheets/d/17iJVvbYgeo5naK1EOri7jzyBxFiU3J4JIVsgj5l6fUo/edit?gid=0" TargetMode="External"/><Relationship Id="rId15" Type="http://schemas.openxmlformats.org/officeDocument/2006/relationships/hyperlink" Target="https://canva.link/dbpiv7s75um6c5c" TargetMode="External"/><Relationship Id="rId14" Type="http://schemas.openxmlformats.org/officeDocument/2006/relationships/hyperlink" Target="https://docs.google.com/spreadsheets/u/0/d/1_yZWZcqkmYzwZNBkIRkgHxgwqGhXBjeP1oY4RIuYEQQ/edit" TargetMode="External"/><Relationship Id="rId17" Type="http://schemas.openxmlformats.org/officeDocument/2006/relationships/hyperlink" Target="https://canva.link/qu2vtfe0lmixhjd" TargetMode="External"/><Relationship Id="rId16" Type="http://schemas.openxmlformats.org/officeDocument/2006/relationships/hyperlink" Target="https://docs.google.com/spreadsheets/d/1s9kZ8M0OAyhlOGUc8EVcGffdUUnHsFQ0iuMV3ct2IDc/edit?usp=sharing" TargetMode="External"/><Relationship Id="rId19" Type="http://schemas.openxmlformats.org/officeDocument/2006/relationships/hyperlink" Target="https://www.canva.com/design/DAHG-wIocW4/BnuoZQDM387O-8JZUvgBJQ/edit" TargetMode="External"/><Relationship Id="rId18" Type="http://schemas.openxmlformats.org/officeDocument/2006/relationships/hyperlink" Target="https://docs.google.com/spreadsheets/d/1WzOt3iD2ggE9OcUSxSsEOfz9YGIdqLP4KhxiBWPtV0U/edit?gid=0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iktok.com/@A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://dinif.sa" TargetMode="External"/><Relationship Id="rId42" Type="http://schemas.openxmlformats.org/officeDocument/2006/relationships/hyperlink" Target="https://www.tiktok.com/@amdwt_" TargetMode="External"/><Relationship Id="rId41" Type="http://schemas.openxmlformats.org/officeDocument/2006/relationships/hyperlink" Target="https://www.tiktok.com/@dinif.sa" TargetMode="External"/><Relationship Id="rId44" Type="http://schemas.openxmlformats.org/officeDocument/2006/relationships/hyperlink" Target="https://www.tiktok.com/@azzazhr21" TargetMode="External"/><Relationship Id="rId43" Type="http://schemas.openxmlformats.org/officeDocument/2006/relationships/hyperlink" Target="https://www.tiktok.com/@melani.makeup17" TargetMode="External"/><Relationship Id="rId46" Type="http://schemas.openxmlformats.org/officeDocument/2006/relationships/hyperlink" Target="https://www.tiktok.com/@liansseptiana" TargetMode="External"/><Relationship Id="rId45" Type="http://schemas.openxmlformats.org/officeDocument/2006/relationships/hyperlink" Target="https://www.tiktok.com/@frdqus" TargetMode="External"/><Relationship Id="rId1" Type="http://schemas.openxmlformats.org/officeDocument/2006/relationships/hyperlink" Target="https://www.tiktok.com/@arnilawati" TargetMode="External"/><Relationship Id="rId2" Type="http://schemas.openxmlformats.org/officeDocument/2006/relationships/hyperlink" Target="https://www.tiktok.com/@ekbardiary" TargetMode="External"/><Relationship Id="rId3" Type="http://schemas.openxmlformats.org/officeDocument/2006/relationships/hyperlink" Target="https://vt.tiktok.com/ZSa9JWV6x/" TargetMode="External"/><Relationship Id="rId4" Type="http://schemas.openxmlformats.org/officeDocument/2006/relationships/hyperlink" Target="https://vt.tiktok.com/ZSa9JWV6x/" TargetMode="External"/><Relationship Id="rId9" Type="http://schemas.openxmlformats.org/officeDocument/2006/relationships/hyperlink" Target="https://www.tiktok.com/@mood.umrah" TargetMode="External"/><Relationship Id="rId48" Type="http://schemas.openxmlformats.org/officeDocument/2006/relationships/hyperlink" Target="https://www.tiktok.com/@rkmyng" TargetMode="External"/><Relationship Id="rId47" Type="http://schemas.openxmlformats.org/officeDocument/2006/relationships/hyperlink" Target="https://www.tiktok.com/@neng.ofii" TargetMode="External"/><Relationship Id="rId49" Type="http://schemas.openxmlformats.org/officeDocument/2006/relationships/hyperlink" Target="https://www.tiktok.com/@Pinkskieslova" TargetMode="External"/><Relationship Id="rId5" Type="http://schemas.openxmlformats.org/officeDocument/2006/relationships/hyperlink" Target="https://vt.tiktok.com/ZSa9JWV6x/" TargetMode="External"/><Relationship Id="rId6" Type="http://schemas.openxmlformats.org/officeDocument/2006/relationships/hyperlink" Target="https://www.tiktok.com/@queenhannisss" TargetMode="External"/><Relationship Id="rId7" Type="http://schemas.openxmlformats.org/officeDocument/2006/relationships/hyperlink" Target="https://vt.tiktok.com/ZSa9JWV6x/" TargetMode="External"/><Relationship Id="rId8" Type="http://schemas.openxmlformats.org/officeDocument/2006/relationships/hyperlink" Target="https://www.tiktok.com/@dreamm.png" TargetMode="External"/><Relationship Id="rId31" Type="http://schemas.openxmlformats.org/officeDocument/2006/relationships/hyperlink" Target="https://www.tiktok.com/@shavirapuspitacitra" TargetMode="External"/><Relationship Id="rId30" Type="http://schemas.openxmlformats.org/officeDocument/2006/relationships/hyperlink" Target="https://www.tiktok.com/@mayang_skincare" TargetMode="External"/><Relationship Id="rId33" Type="http://schemas.openxmlformats.org/officeDocument/2006/relationships/hyperlink" Target="https://www.tiktok.com/@azahrahf" TargetMode="External"/><Relationship Id="rId32" Type="http://schemas.openxmlformats.org/officeDocument/2006/relationships/hyperlink" Target="https://www.tiktok.com/@rysa_mon" TargetMode="External"/><Relationship Id="rId35" Type="http://schemas.openxmlformats.org/officeDocument/2006/relationships/hyperlink" Target="https://www.tiktok.com/@sinispill.id" TargetMode="External"/><Relationship Id="rId34" Type="http://schemas.openxmlformats.org/officeDocument/2006/relationships/hyperlink" Target="http://sinispill.id" TargetMode="External"/><Relationship Id="rId37" Type="http://schemas.openxmlformats.org/officeDocument/2006/relationships/hyperlink" Target="https://www.tiktok.com/@oinlubis_" TargetMode="External"/><Relationship Id="rId36" Type="http://schemas.openxmlformats.org/officeDocument/2006/relationships/hyperlink" Target="https://www.tiktok.com/@rahayuuuu_2" TargetMode="External"/><Relationship Id="rId39" Type="http://schemas.openxmlformats.org/officeDocument/2006/relationships/hyperlink" Target="https://www.tiktok.com/@bdhabits" TargetMode="External"/><Relationship Id="rId38" Type="http://schemas.openxmlformats.org/officeDocument/2006/relationships/hyperlink" Target="https://www.tiktok.com/@julianierina" TargetMode="External"/><Relationship Id="rId20" Type="http://schemas.openxmlformats.org/officeDocument/2006/relationships/hyperlink" Target="https://www.tiktok.com/@ferenaceta" TargetMode="External"/><Relationship Id="rId22" Type="http://schemas.openxmlformats.org/officeDocument/2006/relationships/hyperlink" Target="https://www.tiktok.com/@vernikaariani" TargetMode="External"/><Relationship Id="rId21" Type="http://schemas.openxmlformats.org/officeDocument/2006/relationships/hyperlink" Target="https://www.tiktok.com/@melisadyp" TargetMode="External"/><Relationship Id="rId24" Type="http://schemas.openxmlformats.org/officeDocument/2006/relationships/hyperlink" Target="https://www.tiktok.com/@randomtrn" TargetMode="External"/><Relationship Id="rId23" Type="http://schemas.openxmlformats.org/officeDocument/2006/relationships/hyperlink" Target="https://www.tiktok.com/@thya_pookie" TargetMode="External"/><Relationship Id="rId26" Type="http://schemas.openxmlformats.org/officeDocument/2006/relationships/hyperlink" Target="https://www.tiktok.com/@indysabillah" TargetMode="External"/><Relationship Id="rId25" Type="http://schemas.openxmlformats.org/officeDocument/2006/relationships/hyperlink" Target="https://www.tiktok.com/@sinanr18" TargetMode="External"/><Relationship Id="rId28" Type="http://schemas.openxmlformats.org/officeDocument/2006/relationships/hyperlink" Target="https://www.tiktok.com/@ceisyaandr" TargetMode="External"/><Relationship Id="rId27" Type="http://schemas.openxmlformats.org/officeDocument/2006/relationships/hyperlink" Target="https://www.tiktok.com/@pildaindah" TargetMode="External"/><Relationship Id="rId29" Type="http://schemas.openxmlformats.org/officeDocument/2006/relationships/hyperlink" Target="https://www.tiktok.com/@claudya.dona" TargetMode="External"/><Relationship Id="rId51" Type="http://schemas.openxmlformats.org/officeDocument/2006/relationships/hyperlink" Target="https://www.tiktok.com/@_cipo07" TargetMode="External"/><Relationship Id="rId50" Type="http://schemas.openxmlformats.org/officeDocument/2006/relationships/hyperlink" Target="https://www.tiktok.com/@oinlubis_" TargetMode="External"/><Relationship Id="rId53" Type="http://schemas.openxmlformats.org/officeDocument/2006/relationships/hyperlink" Target="https://www.tiktok.com/@cl0v3r577" TargetMode="External"/><Relationship Id="rId52" Type="http://schemas.openxmlformats.org/officeDocument/2006/relationships/hyperlink" Target="https://www.tiktok.com/@syaciymi" TargetMode="External"/><Relationship Id="rId11" Type="http://schemas.openxmlformats.org/officeDocument/2006/relationships/hyperlink" Target="https://vt.tiktok.com/ZSa9bTQGn/" TargetMode="External"/><Relationship Id="rId10" Type="http://schemas.openxmlformats.org/officeDocument/2006/relationships/hyperlink" Target="https://www.tiktok.com/@nris9" TargetMode="External"/><Relationship Id="rId54" Type="http://schemas.openxmlformats.org/officeDocument/2006/relationships/drawing" Target="../drawings/drawing8.xml"/><Relationship Id="rId13" Type="http://schemas.openxmlformats.org/officeDocument/2006/relationships/hyperlink" Target="https://www.tiktok.com/@lina_chubby94" TargetMode="External"/><Relationship Id="rId12" Type="http://schemas.openxmlformats.org/officeDocument/2006/relationships/hyperlink" Target="https://www.tiktok.com/@beranteminjerawat" TargetMode="External"/><Relationship Id="rId15" Type="http://schemas.openxmlformats.org/officeDocument/2006/relationships/hyperlink" Target="https://www.tiktok.com/@girltigerr" TargetMode="External"/><Relationship Id="rId14" Type="http://schemas.openxmlformats.org/officeDocument/2006/relationships/hyperlink" Target="https://vt.tiktok.com/ZSaut274T/" TargetMode="External"/><Relationship Id="rId17" Type="http://schemas.openxmlformats.org/officeDocument/2006/relationships/hyperlink" Target="https://www.tiktok.com/@naomiifarsya" TargetMode="External"/><Relationship Id="rId16" Type="http://schemas.openxmlformats.org/officeDocument/2006/relationships/hyperlink" Target="https://vt.tiktok.com/ZSauTYh5E/" TargetMode="External"/><Relationship Id="rId19" Type="http://schemas.openxmlformats.org/officeDocument/2006/relationships/hyperlink" Target="https://www.tiktok.com/@putri.antris" TargetMode="External"/><Relationship Id="rId18" Type="http://schemas.openxmlformats.org/officeDocument/2006/relationships/hyperlink" Target="https://www.tiktok.com/@thnlykai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vt.tiktok.com/ZSmCJVDqT/" TargetMode="External"/><Relationship Id="rId190" Type="http://schemas.openxmlformats.org/officeDocument/2006/relationships/hyperlink" Target="https://www.tiktok.com/@qoriadesuri" TargetMode="External"/><Relationship Id="rId42" Type="http://schemas.openxmlformats.org/officeDocument/2006/relationships/hyperlink" Target="https://www.tiktok.com/@ferenaceta" TargetMode="External"/><Relationship Id="rId41" Type="http://schemas.openxmlformats.org/officeDocument/2006/relationships/hyperlink" Target="https://vt.tiktok.com/ZSmCJq6aG/" TargetMode="External"/><Relationship Id="rId44" Type="http://schemas.openxmlformats.org/officeDocument/2006/relationships/hyperlink" Target="https://vt.tiktok.com/ZSmmj5onS/" TargetMode="External"/><Relationship Id="rId194" Type="http://schemas.openxmlformats.org/officeDocument/2006/relationships/hyperlink" Target="https://www.tiktok.com/@itscendi" TargetMode="External"/><Relationship Id="rId43" Type="http://schemas.openxmlformats.org/officeDocument/2006/relationships/hyperlink" Target="https://vt.tiktok.com/ZSm6V5MbA/" TargetMode="External"/><Relationship Id="rId193" Type="http://schemas.openxmlformats.org/officeDocument/2006/relationships/hyperlink" Target="https://www.tiktok.com/@merahmudastore1" TargetMode="External"/><Relationship Id="rId46" Type="http://schemas.openxmlformats.org/officeDocument/2006/relationships/hyperlink" Target="https://vt.tiktok.com/ZSagPxp1U/" TargetMode="External"/><Relationship Id="rId192" Type="http://schemas.openxmlformats.org/officeDocument/2006/relationships/hyperlink" Target="https://www.tiktok.com/@azizahrisqi" TargetMode="External"/><Relationship Id="rId45" Type="http://schemas.openxmlformats.org/officeDocument/2006/relationships/hyperlink" Target="https://www.tiktok.com/@melisadyp" TargetMode="External"/><Relationship Id="rId191" Type="http://schemas.openxmlformats.org/officeDocument/2006/relationships/hyperlink" Target="https://www.tiktok.com/@papiipaw" TargetMode="External"/><Relationship Id="rId48" Type="http://schemas.openxmlformats.org/officeDocument/2006/relationships/hyperlink" Target="https://vt.tiktok.com/ZSmfET7Ru/" TargetMode="External"/><Relationship Id="rId187" Type="http://schemas.openxmlformats.org/officeDocument/2006/relationships/hyperlink" Target="https://www.tiktok.com/@storyandine" TargetMode="External"/><Relationship Id="rId47" Type="http://schemas.openxmlformats.org/officeDocument/2006/relationships/hyperlink" Target="https://www.tiktok.com/@vernikaariani" TargetMode="External"/><Relationship Id="rId186" Type="http://schemas.openxmlformats.org/officeDocument/2006/relationships/hyperlink" Target="https://vt.tiktok.com/ZSuL4ofVt/" TargetMode="External"/><Relationship Id="rId185" Type="http://schemas.openxmlformats.org/officeDocument/2006/relationships/hyperlink" Target="https://www.tiktok.com/@Naylaazhrni" TargetMode="External"/><Relationship Id="rId49" Type="http://schemas.openxmlformats.org/officeDocument/2006/relationships/hyperlink" Target="https://vt.tiktok.com/ZSmfo2gdY/" TargetMode="External"/><Relationship Id="rId184" Type="http://schemas.openxmlformats.org/officeDocument/2006/relationships/hyperlink" Target="https://vt.tiktok.com/ZSuL4TYB9/" TargetMode="External"/><Relationship Id="rId189" Type="http://schemas.openxmlformats.org/officeDocument/2006/relationships/hyperlink" Target="https://www.tiktok.com/@storyandine/video/7612568138705554706?_r=1&amp;u_code=d1970cc1egk2ec&amp;region=&amp;mid=7612568178052303637&amp;preview_pb=0&amp;sharer_language=&amp;_d=0&amp;ec_shared_reflux_dynamic_params=%7B%22placeholder_material_id%22%3A%227612568138705554706%22%2C%22placeholder_origin_cover%22%3A%22https%253A%252F%252Fp16-sign-sg.tiktokcdn.com%252Ftos-alisg-p-0037%252FosSigRHmIF3Cuj0ACl7BfAzIMbAiBXqwdgC0I3~tplv-tiktokx-origin.jpeg%253Fdr%253D14572%2526refresh_token%253D163e5713%2526x-expires%253D1804672800%2526x-signature%253DHEPH8kK%25252FnyR0X7iYtcHAXLhxOk4%25253D%2526t%253D4d5b0474%2526ps%253D13740610%2526shp%253Dd05b14bd%2526shcp%253D34ff8df6%2526idc%253Dmy2%2526s%253DTIKTOK_AFFILIATE_VIRAL_VIDEO%22%2C%22placeholder_product_id%22%3A%221734428338733221267%22%2C%22placeholder_video_id%22%3A%227612568138705554706%22%7D&amp;ec_shared_reflux_scene=shop_tab_feed&amp;share_item_id=7612568138705554706&amp;source=h5_t" TargetMode="External"/><Relationship Id="rId188" Type="http://schemas.openxmlformats.org/officeDocument/2006/relationships/hyperlink" Target="https://vt.tiktok.com/ZSurAoEjU/" TargetMode="External"/><Relationship Id="rId31" Type="http://schemas.openxmlformats.org/officeDocument/2006/relationships/hyperlink" Target="https://vt.tiktok.com/ZSauTffgy/" TargetMode="External"/><Relationship Id="rId30" Type="http://schemas.openxmlformats.org/officeDocument/2006/relationships/hyperlink" Target="https://vt.tiktok.com/ZSauTYh5E/" TargetMode="External"/><Relationship Id="rId33" Type="http://schemas.openxmlformats.org/officeDocument/2006/relationships/hyperlink" Target="https://www.tiktok.com/@girltigerr/video/7599885506456980756?_r=1&amp;u_code=clkm3k9dlfm8a7&amp;region=&amp;mid=7576345407526766608&amp;preview_pb=0&amp;sharer_language=&amp;_d=0&amp;ec_shared_reflux_dynamic_params=%7B%22placeholder_material_id%22%3A%227599885506456980756%22%2C%22placeholder_origin_cover%22%3A%22https%253A%252F%252Fp16-sign-sg.tiktokcdn.com%252Ftos-alisg-p-0037%252FowCEA3c8uLXanIGKgSIGYoe4gdffA7TqD4g3Aj~tplv-tiktokx-origin.jpeg%253Fdr%253D14572%2526refresh_token%253D7cd696b1%2526x-expires%253D1804150800%2526x-signature%253D0VsOEO8QPgM4KUmHQ7pqW7N%25252FchY%25253D%2526t%253D4d5b0474%2526ps%253D13740610%2526shp%253Dd05b14bd%2526shcp%253D34ff8df6%2526idc%253Dmy2%2526s%253DTIKTOK_AFFILIATE_VIRAL_VIDEO%22%2C%22placeholder_product_id%22%3A%221733551239648413075%22%2C%22placeholder_video_id%22%3A%227599885506456980756%22%7D&amp;ec_shared_reflux_scene=shop_tab_feed&amp;share_item_id=7599885506456980756&amp;source=h5_t" TargetMode="External"/><Relationship Id="rId183" Type="http://schemas.openxmlformats.org/officeDocument/2006/relationships/hyperlink" Target="https://www.tiktok.com/@Naylaazhrni" TargetMode="External"/><Relationship Id="rId32" Type="http://schemas.openxmlformats.org/officeDocument/2006/relationships/hyperlink" Target="https://vt.tiktok.com/ZSauTH545/" TargetMode="External"/><Relationship Id="rId182" Type="http://schemas.openxmlformats.org/officeDocument/2006/relationships/hyperlink" Target="https://vt.tiktok.com/ZSHySEkJb/" TargetMode="External"/><Relationship Id="rId35" Type="http://schemas.openxmlformats.org/officeDocument/2006/relationships/hyperlink" Target="https://www.tiktok.com/@thnlykai" TargetMode="External"/><Relationship Id="rId181" Type="http://schemas.openxmlformats.org/officeDocument/2006/relationships/hyperlink" Target="https://www.tiktok.com/@nonazawa" TargetMode="External"/><Relationship Id="rId34" Type="http://schemas.openxmlformats.org/officeDocument/2006/relationships/hyperlink" Target="https://www.tiktok.com/@naomiifarsya" TargetMode="External"/><Relationship Id="rId180" Type="http://schemas.openxmlformats.org/officeDocument/2006/relationships/hyperlink" Target="https://www.tiktok.com/@ameccaa.id/video/7615195532595563796?_r=1&amp;u_code=ei15i31605mlec&amp;region=&amp;mid=7349266765980043265&amp;preview_pb=0&amp;sharer_language=&amp;_d=0&amp;ec_shared_reflux_dynamic_params=%7B%22placeholder_material_id%22%3A%227615195532595563796%22%2C%22placeholder_origin_cover%22%3A%22https%253A%252F%252Fp16-sign-sg.tiktokcdn.com%252Ftos-alisg-p-0037%252FoUSALDneAueRm7QmGR9FGf8rAEI3IBFu6aGufD~tplv-tiktokx-origin.jpeg%253Fdr%253D14572%2526refresh_token%253D4ca3bbd6%2526x-expires%253D1804672800%2526x-signature%253DOm0G7CF5nOb0sx8nKTfQGwEGsCk%25253D%2526t%253D4d5b0474%2526ps%253D13740610%2526shp%253Dd05b14bd%2526shcp%253D34ff8df6%2526idc%253Dmy2%2526s%253DTIKTOK_AFFILIATE_VIRAL_VIDEO%22%2C%22placeholder_product_id%22%3A%221731334333969302931%22%2C%22placeholder_video_id%22%3A%227615195532595563796%22%7D&amp;ec_shared_reflux_scene=shop_tab_feed&amp;share_item_id=7615195532595563796&amp;source=h5_t" TargetMode="External"/><Relationship Id="rId37" Type="http://schemas.openxmlformats.org/officeDocument/2006/relationships/hyperlink" Target="https://vt.tiktok.com/ZSudoK2y8/" TargetMode="External"/><Relationship Id="rId176" Type="http://schemas.openxmlformats.org/officeDocument/2006/relationships/hyperlink" Target="https://www.tiktok.com/@bucinskincare_2" TargetMode="External"/><Relationship Id="rId297" Type="http://schemas.openxmlformats.org/officeDocument/2006/relationships/hyperlink" Target="https://www.tiktok.com/@beauty.iidd/video/7633667797490486546?_r=1&amp;u_code=ebjf03139m95gf&amp;region=&amp;mid=7594443310195329041&amp;preview_pb=0&amp;sharer_language=&amp;_d=0&amp;ec_shared_reflux_dynamic_params=%7B%22placeholder_material_id%22%3A%227633667797490486546%22%2C%22placeholder_origin_cover%22%3A%22https%253A%252F%252Fp16-common-sign.tiktokcdn.com%252Ftos-alisg-p-0037%252Fo0iSj7REIBAfHIXwApdgmlwVcBi4CPeBBrcvT0~tplv-tiktokx-origin.jpeg%253Fdr%253D14572%2526refresh_token%253D48824ed9%2526x-expires%253D1809507600%2526x-signature%253D6%25252F%25252FO4eDWFU6FupUMBWfWV9SNkX0%25253D%2526t%253D4d5b0474%2526ps%253D13740610%2526shp%253Dd05b14bd%2526shcp%253D34ff8df6%2526idc%253Dmy%2526s%253DTIKTOK_AFFILIATE_VIRAL_VIDEO%22%2C%22placeholder_product_id%22%3A%221733551239648413075%22%2C%22placeholder_video_id%22%3A%227633667797490486546%22%7D&amp;ec_shared_reflux_scene=shop_tab_feed&amp;share_item_id=7633667797490486546&amp;source=h5_t" TargetMode="External"/><Relationship Id="rId36" Type="http://schemas.openxmlformats.org/officeDocument/2006/relationships/hyperlink" Target="https://www.tiktok.com/@thnlykai/video/7612306316182244626?is_from_webapp=1&amp;sender_device=pc" TargetMode="External"/><Relationship Id="rId175" Type="http://schemas.openxmlformats.org/officeDocument/2006/relationships/hyperlink" Target="https://www.tiktok.com/@dwk0612/video/7642263358661774613?_r=1&amp;u_code=cmhak854bc0ci9&amp;region=&amp;mid=7511374913752827920&amp;preview_pb=0&amp;sharer_language=&amp;_d=0&amp;ec_shared_reflux_dynamic_params=%7B%22placeholder_material_id%22%3A%227642263358661774613%22%2C%22placeholder_origin_cover%22%3A%22https%253A%252F%252Fp16-common-sign.tiktokcdn.com%252Ftos-alisg-p-0037%252FoQ7FgsXDBxGiaikE7CYAUhIOOI4BCL6AgzBhP~tplv-tiktokx-origin.jpeg%253Fdr%253D14572%2526refresh_token%253Df7d5c699%2526x-expires%253D1811239200%2526x-signature%253Dk9%25252BArLTU21AqqsOel3vgGYAv53A%25253D%2526t%253D4d5b0474%2526ps%253D13740610%2526shp%253Dd05b14bd%2526shcp%253D34ff8df6%2526idc%253Dmy3%2526s%253DTIKTOK_AFFILIATE_VIRAL_VIDEO%22%2C%22placeholder_product_id%22%3A%221729991116494375315%22%2C%22placeholder_video_id%22%3A%227642263358661774613%22%7D&amp;ec_shared_reflux_scene=shop_tab_feed&amp;share_item_id=7642263358661774613&amp;source=h5_t" TargetMode="External"/><Relationship Id="rId296" Type="http://schemas.openxmlformats.org/officeDocument/2006/relationships/hyperlink" Target="https://www.tiktok.com/@beauty.iidd/video/7633621210512854280?_r=1&amp;u_code=ebjf03139m95gf&amp;region=&amp;mid=7601238861501040657&amp;preview_pb=0&amp;sharer_language=&amp;_d=0&amp;ec_shared_reflux_dynamic_params=%7B%22placeholder_material_id%22%3A%227633621210512854280%22%2C%22placeholder_origin_cover%22%3A%22https%253A%252F%252Fp16-common-sign.tiktokcdn.com%252Ftos-alisg-p-0037%252Fo08DTOTCDJjIIlxILCAfjggGgAO44ZwC4felCU~tplv-tiktokx-origin.jpeg%253Fdr%253D14572%2526refresh_token%253De71d3e62%2526x-expires%253D1808906400%2526x-signature%253D8Yysrs87vz%25252FB3sZsKf7PeTILig4%25253D%2526t%253D4d5b0474%2526ps%253D13740610%2526shp%253Dd05b14bd%2526shcp%253D34ff8df6%2526idc%253Dmy3%2526s%253DTIKTOK_AFFILIATE_VIRAL_VIDEO%22%2C%22placeholder_product_id%22%3A%221733551239648413075%22%2C%22placeholder_video_id%22%3A%227633621210512854280%22%7D&amp;ec_shared_reflux_scene=shop_tab_feed&amp;share_item_id=7633621210512854280&amp;source=h5_t" TargetMode="External"/><Relationship Id="rId39" Type="http://schemas.openxmlformats.org/officeDocument/2006/relationships/hyperlink" Target="https://vt.tiktok.com/ZSmjYoJr6/" TargetMode="External"/><Relationship Id="rId174" Type="http://schemas.openxmlformats.org/officeDocument/2006/relationships/hyperlink" Target="https://vt.tiktok.com/ZSm79Sq93/" TargetMode="External"/><Relationship Id="rId295" Type="http://schemas.openxmlformats.org/officeDocument/2006/relationships/hyperlink" Target="https://www.tiktok.com/@beauty.iidd" TargetMode="External"/><Relationship Id="rId38" Type="http://schemas.openxmlformats.org/officeDocument/2006/relationships/hyperlink" Target="https://www.tiktok.com/@putri.antris" TargetMode="External"/><Relationship Id="rId173" Type="http://schemas.openxmlformats.org/officeDocument/2006/relationships/hyperlink" Target="https://vt.tiktok.com/ZSm79kBy7/" TargetMode="External"/><Relationship Id="rId294" Type="http://schemas.openxmlformats.org/officeDocument/2006/relationships/hyperlink" Target="https://www.tiktok.com/@skincaredaily96/video/7646738796976917781?is_from_webapp=1&amp;sender_device=pc" TargetMode="External"/><Relationship Id="rId179" Type="http://schemas.openxmlformats.org/officeDocument/2006/relationships/hyperlink" Target="https://www.tiktok.com/@ameccaa.id" TargetMode="External"/><Relationship Id="rId178" Type="http://schemas.openxmlformats.org/officeDocument/2006/relationships/hyperlink" Target="http://ameccaa.id" TargetMode="External"/><Relationship Id="rId299" Type="http://schemas.openxmlformats.org/officeDocument/2006/relationships/hyperlink" Target="https://www.tiktok.com/@beauty.iidd/video/7636031847516114184?_r=1&amp;u_code=ebjf03139m95gf&amp;region=&amp;mid=7620330197195295506&amp;preview_pb=0&amp;sharer_language=&amp;_d=0&amp;ec_shared_reflux_dynamic_params=%7B%22placeholder_material_id%22%3A%227636031847516114184%22%2C%22placeholder_origin_cover%22%3A%22https%253A%252F%252Fp16-common-sign.tiktokcdn.com%252Ftos-alisg-p-0037%252FowjfNDQsAkJQ3BoT4K4FEGReQCLfQXh4FADoI6~tplv-tiktokx-origin.jpeg%253Fdr%253D14572%2526refresh_token%253D66c77f95%2526x-expires%253D1809597600%2526x-signature%253D1c4DVsiko4CN%25252FoTZfZgixTSTL9k%25253D%2526t%253D4d5b0474%2526ps%253D13740610%2526shp%253Dd05b14bd%2526shcp%253D34ff8df6%2526idc%253Dmy%2526s%253DTIKTOK_AFFILIATE_VIRAL_VIDEO%22%2C%22placeholder_product_id%22%3A%221733551239648413075%22%2C%22placeholder_video_id%22%3A%227636031847516114184%22%7D&amp;ec_shared_reflux_scene=shop_tab_feed&amp;share_item_id=7636031847516114184&amp;source=h5_t" TargetMode="External"/><Relationship Id="rId177" Type="http://schemas.openxmlformats.org/officeDocument/2006/relationships/hyperlink" Target="https://vt.tiktok.com/ZSuYr2mDT/" TargetMode="External"/><Relationship Id="rId298" Type="http://schemas.openxmlformats.org/officeDocument/2006/relationships/hyperlink" Target="https://www.tiktok.com/@beauty.iidd/video/7634842342737841426?_r=1&amp;u_code=ebjf03139m95gf&amp;region=&amp;mid=7622622325444545300&amp;preview_pb=0&amp;sharer_language=&amp;_d=0&amp;ec_shared_reflux_dynamic_params=%7B%22placeholder_material_id%22%3A%227634842342737841426%22%2C%22placeholder_origin_cover%22%3A%22https%253A%252F%252Fp19-common-sign.tiktokcdn.com%252Ftos-alisg-p-0037%252Fo0gjE4TANYwRE50oMDgeh6Xfe5CCCA8LQ0IgAW~tplv-tiktokx-origin.jpeg%253Fdr%253D14572%2526refresh_token%253D34f91561%2526x-expires%253D1809507600%2526x-signature%253D3NcXaWWdZg0FfNg8e9OgHEQ2i7A%25253D%2526t%253D4d5b0474%2526ps%253D13740610%2526shp%253Dd05b14bd%2526shcp%253D34ff8df6%2526idc%253Dmy%2526s%253DTIKTOK_AFFILIATE_VIRAL_VIDEO%22%2C%22placeholder_product_id%22%3A%221733551239648413075%22%2C%22placeholder_video_id%22%3A%227634842342737841426%22%7D&amp;ec_shared_reflux_scene=shop_tab_feed&amp;share_item_id=7634842342737841426&amp;source=h5_t" TargetMode="External"/><Relationship Id="rId20" Type="http://schemas.openxmlformats.org/officeDocument/2006/relationships/hyperlink" Target="https://www.tiktok.com/@dreamm.png/video/7613324666005949704?_r=1&amp;u_code=e36al7997c2gli&amp;region=&amp;mid=7603367141978442504&amp;preview_pb=0&amp;sharer_language=&amp;_d=0&amp;ec_shared_reflux_dynamic_params=%7B%22placeholder_material_id%22%3A%227613324666005949704%22%2C%22placeholder_origin_cover%22%3A%22https%253A%252F%252Fp16-sign-sg.tiktokcdn.com%252Ftos-alisg-p-0037%252FoUIFQQfeePVQxvRGd7nmGDLzUk9GSdAGAesgPF~tplv-tiktokx-origin.jpeg%253Fdr%253D14572%2526refresh_token%253D94ccf0e2%2526x-expires%253D1804150800%2526x-signature%253DQI301F6s4HlurHACPo0L2fkKp9k%25253D%2526t%253D4d5b0474%2526ps%253D13740610%2526shp%253Dd05b14bd%2526shcp%253D34ff8df6%2526idc%253Dmy2%2526s%253DTIKTOK_AFFILIATE_VIRAL_VIDEO%22%2C%22placeholder_product_id%22%3A%221731793046946547091%22%2C%22placeholder_video_id%22%3A%227613324666005949704%22%7D&amp;ec_shared_reflux_scene=shop_tab_feed&amp;share_item_id=7613324666005949704&amp;source=h5_t" TargetMode="External"/><Relationship Id="rId22" Type="http://schemas.openxmlformats.org/officeDocument/2006/relationships/hyperlink" Target="https://vt.tiktok.com/ZSm2s3A3f/" TargetMode="External"/><Relationship Id="rId21" Type="http://schemas.openxmlformats.org/officeDocument/2006/relationships/hyperlink" Target="https://www.tiktok.com/@mood.umrah" TargetMode="External"/><Relationship Id="rId24" Type="http://schemas.openxmlformats.org/officeDocument/2006/relationships/hyperlink" Target="https://vt.tiktok.com/ZSa9bTQGn/" TargetMode="External"/><Relationship Id="rId23" Type="http://schemas.openxmlformats.org/officeDocument/2006/relationships/hyperlink" Target="https://www.tiktok.com/@nris9" TargetMode="External"/><Relationship Id="rId26" Type="http://schemas.openxmlformats.org/officeDocument/2006/relationships/hyperlink" Target="https://vt.tiktok.com/ZSmFdfJhf/" TargetMode="External"/><Relationship Id="rId25" Type="http://schemas.openxmlformats.org/officeDocument/2006/relationships/hyperlink" Target="https://www.tiktok.com/@beranteminjerawat" TargetMode="External"/><Relationship Id="rId28" Type="http://schemas.openxmlformats.org/officeDocument/2006/relationships/hyperlink" Target="https://vt.tiktok.com/ZSaut274T/" TargetMode="External"/><Relationship Id="rId27" Type="http://schemas.openxmlformats.org/officeDocument/2006/relationships/hyperlink" Target="https://www.tiktok.com/@lina_chubby94" TargetMode="External"/><Relationship Id="rId29" Type="http://schemas.openxmlformats.org/officeDocument/2006/relationships/hyperlink" Target="https://www.tiktok.com/@girltigerr" TargetMode="External"/><Relationship Id="rId11" Type="http://schemas.openxmlformats.org/officeDocument/2006/relationships/hyperlink" Target="https://www.tiktok.com/@queenhannisss" TargetMode="External"/><Relationship Id="rId10" Type="http://schemas.openxmlformats.org/officeDocument/2006/relationships/hyperlink" Target="https://vt.tiktok.com/ZSagQogg4/" TargetMode="External"/><Relationship Id="rId13" Type="http://schemas.openxmlformats.org/officeDocument/2006/relationships/hyperlink" Target="https://vt.tiktok.com/ZSa7naQyx/" TargetMode="External"/><Relationship Id="rId12" Type="http://schemas.openxmlformats.org/officeDocument/2006/relationships/hyperlink" Target="https://vt.tiktok.com/ZSa9JWV6x/" TargetMode="External"/><Relationship Id="rId15" Type="http://schemas.openxmlformats.org/officeDocument/2006/relationships/hyperlink" Target="https://vt.tiktok.com/ZSm2REBTe/" TargetMode="External"/><Relationship Id="rId198" Type="http://schemas.openxmlformats.org/officeDocument/2006/relationships/hyperlink" Target="https://vt.tiktok.com/ZSuQykRTr/" TargetMode="External"/><Relationship Id="rId14" Type="http://schemas.openxmlformats.org/officeDocument/2006/relationships/hyperlink" Target="https://vt.tiktok.com/ZSmFHDS48/" TargetMode="External"/><Relationship Id="rId197" Type="http://schemas.openxmlformats.org/officeDocument/2006/relationships/hyperlink" Target="https://vt.tiktok.com/ZSuQyrX17/" TargetMode="External"/><Relationship Id="rId17" Type="http://schemas.openxmlformats.org/officeDocument/2006/relationships/hyperlink" Target="https://vt.tiktok.com/ZSaCdMpBQ/" TargetMode="External"/><Relationship Id="rId196" Type="http://schemas.openxmlformats.org/officeDocument/2006/relationships/hyperlink" Target="https://www.tiktok.com/@estehmatchaaa._" TargetMode="External"/><Relationship Id="rId16" Type="http://schemas.openxmlformats.org/officeDocument/2006/relationships/hyperlink" Target="https://www.tiktok.com/@dreamm.png" TargetMode="External"/><Relationship Id="rId195" Type="http://schemas.openxmlformats.org/officeDocument/2006/relationships/hyperlink" Target="https://vt.tiktok.com/ZSHhjLAdc/" TargetMode="External"/><Relationship Id="rId19" Type="http://schemas.openxmlformats.org/officeDocument/2006/relationships/hyperlink" Target="https://www.tiktok.com/@dreamm.png/video/7607242130444061960?_r=1&amp;u_code=e36al7997c2gli&amp;region=&amp;mid=7536222757655350032&amp;preview_pb=0&amp;sharer_language=&amp;_d=0&amp;ec_shared_reflux_dynamic_params=%7B%22placeholder_material_id%22%3A%227607242130444061960%22%2C%22placeholder_origin_cover%22%3A%22https%253A%252F%252Fp16-sign-sg.tiktokcdn.com%252Ftos-alisg-p-0037%252Foo7SZArAEIPxiBtBGqsqBIKSVYvQarankViWJ~tplv-tiktokx-origin.jpeg%253Fdr%253D14572%2526refresh_token%253D96c6b403%2526x-expires%253D1803110400%2526x-signature%253DqPQvAGqzAY9NRz4kn1sIYFTsF7I%25253D%2526t%253D4d5b0474%2526ps%253D13740610%2526shp%253Dd05b14bd%2526shcp%253D34ff8df6%2526idc%253Dmy%2526s%253DTIKTOK_AFFILIATE_VIRAL_VIDEO%22%2C%22placeholder_product_id%22%3A%221731793046946547091%22%2C%22placeholder_video_id%22%3A%227607242130444061960%22%7D&amp;ec_shared_reflux_scene=shop_tab_feed&amp;share_item_id=7607242130444061960&amp;source=h5_t" TargetMode="External"/><Relationship Id="rId18" Type="http://schemas.openxmlformats.org/officeDocument/2006/relationships/hyperlink" Target="https://www.tiktok.com/@dreamm.png/video/7601491998746414343?_r=1&amp;u_code=e36al7997c2gli&amp;region=&amp;mid=7514003816174454785&amp;preview_pb=0&amp;sharer_language=&amp;_d=0&amp;ec_shared_reflux_dynamic_params=%7B%22placeholder_material_id%22%3A%227601491998746414343%22%2C%22placeholder_origin_cover%22%3A%22https%253A%252F%252Fp16-sign-sg.tiktokcdn.com%252Ftos-alisg-p-0037%252FoEI9IAGTG7feAoDlBFtxf2YsQxjRSE8AQbeLFh~tplv-tiktokx-origin.jpeg%253Fdr%253D14572%2526refresh_token%253D8e93053f%2526x-expires%253D1801904400%2526x-signature%253D%25252Fd65rcYVLUil7GAOP85H5HZVvcA%25253D%2526t%253D4d5b0474%2526ps%253D13740610%2526shp%253Dd05b14bd%2526shcp%253D34ff8df6%2526idc%253Dmy2%2526s%253DTIKTOK_AFFILIATE_VIRAL_VIDEO%22%2C%22placeholder_product_id%22%3A%221731793046946547091%22%2C%22placeholder_video_id%22%3A%227601491998746414343%22%7D&amp;ec_shared_reflux_scene=shop_tab_feed&amp;share_item_id=7601491998746414343&amp;source=h5_t" TargetMode="External"/><Relationship Id="rId199" Type="http://schemas.openxmlformats.org/officeDocument/2006/relationships/hyperlink" Target="https://www.tiktok.com/@ariantiw_" TargetMode="External"/><Relationship Id="rId84" Type="http://schemas.openxmlformats.org/officeDocument/2006/relationships/hyperlink" Target="https://www.tiktok.com/@sinispill.id/video/7613574578383621396?is_from_webapp=1&amp;sender_device=pc" TargetMode="External"/><Relationship Id="rId83" Type="http://schemas.openxmlformats.org/officeDocument/2006/relationships/hyperlink" Target="https://vt.tiktok.com/ZSm3aSoEo/" TargetMode="External"/><Relationship Id="rId86" Type="http://schemas.openxmlformats.org/officeDocument/2006/relationships/hyperlink" Target="https://vt.tiktok.com/ZSmRUDGS7/" TargetMode="External"/><Relationship Id="rId85" Type="http://schemas.openxmlformats.org/officeDocument/2006/relationships/hyperlink" Target="https://www.tiktok.com/@rahayuuuu_2" TargetMode="External"/><Relationship Id="rId88" Type="http://schemas.openxmlformats.org/officeDocument/2006/relationships/hyperlink" Target="https://www.tiktok.com/@rahayuuuu_2/video/7605503595668196615?_r=1&amp;u_code=dhb5c4bm0f2l5k&amp;region=&amp;mid=7605503632775072520&amp;preview_pb=0&amp;sharer_language=&amp;_d=0&amp;ec_shared_reflux_dynamic_params=%7B%22placeholder_material_id%22%3A%227605503595668196615%22%2C%22placeholder_origin_cover%22%3A%22https%253A%252F%252Fp16-sign-sg.tiktokcdn.com%252Ftos-alisg-p-0037%252FoAUfj4pRCIhcELOBEpCgByD7FrfAABW2KIZM74~tplv-tiktokx-origin.jpeg%253Fdr%253D14572%2526refresh_token%253D3c660902%2526x-expires%253D1804237200%2526x-signature%253DBT%25252FStQzvFtyqgtKpmtAwKVHsUP0%25253D%2526t%253D4d5b0474%2526ps%253D13740610%2526shp%253Dd05b14bd%2526shcp%253D34ff8df6%2526idc%253Dmy2%2526s%253DTIKTOK_AFFILIATE_VIRAL_VIDEO%22%2C%22placeholder_product_id%22%3A%221733551239648413075%22%2C%22placeholder_video_id%22%3A%227605503595668196615%22%7D&amp;ec_shared_reflux_scene=shop_tab_feed&amp;share_item_id=7605503595668196615&amp;source=h5_t" TargetMode="External"/><Relationship Id="rId150" Type="http://schemas.openxmlformats.org/officeDocument/2006/relationships/hyperlink" Target="https://vt.tiktok.com/ZSuj4nfEj/" TargetMode="External"/><Relationship Id="rId271" Type="http://schemas.openxmlformats.org/officeDocument/2006/relationships/hyperlink" Target="https://www.tiktok.com/@_karisma__01/video/7636251044250520853?_r=1&amp;u_code=e7k3i65e352394&amp;region=&amp;mid=7636256234337962760&amp;preview_pb=0&amp;sharer_language=&amp;_d=0&amp;ec_shared_reflux_dynamic_params=%7B%22placeholder_material_id%22%3A%227636251044250520853%22%2C%22placeholder_origin_cover%22%3A%22https%253A%252F%252Fp16-common-sign.tiktokcdn.com%252Ftos-alisg-p-0037%252FoAfIG0A8gnMI4B8Cuy0GeDUjKxALFrtA2fVTgp~tplv-tiktokx-origin.jpeg%253Fdr%253D14572%2526refresh_token%253Df440eb40%2526x-expires%253D1810634400%2526x-signature%253DeLfZUhtD1TfCEytsG5vdo42k7dE%25253D%2526t%253D4d5b0474%2526ps%253D13740610%2526shp%253Dd05b14bd%2526shcp%253D34ff8df6%2526idc%253Dmy3%2526s%253DTIKTOK_AFFILIATE_VIRAL_VIDEO%22%2C%22placeholder_product_id%22%3A%221733551239648413075%22%2C%22placeholder_video_id%22%3A%227636251044250520853%22%7D&amp;ec_shared_reflux_scene=shop_tab_feed&amp;share_item_id=7636251044250520853&amp;source=h5_t" TargetMode="External"/><Relationship Id="rId87" Type="http://schemas.openxmlformats.org/officeDocument/2006/relationships/hyperlink" Target="https://vt.tiktok.com/ZSmjhBF43/" TargetMode="External"/><Relationship Id="rId270" Type="http://schemas.openxmlformats.org/officeDocument/2006/relationships/hyperlink" Target="https://www.tiktok.com/@_karisma__01/video/7635535058941512980?_r=1&amp;u_code=e7k3i65e352394&amp;region=&amp;mid=7635535086104513288&amp;preview_pb=0&amp;sharer_language=&amp;_d=0&amp;ec_shared_reflux_dynamic_params=%7B%22placeholder_material_id%22%3A%227635535058941512980%22%2C%22placeholder_origin_cover%22%3A%22https%253A%252F%252Fp16-common-sign.tiktokcdn.com%252Ftos-alisg-p-0037%252FoMfZvb3BMAPWBtEuANXH4ejlQC8aTfDBQxAVI7~tplv-tiktokx-origin.jpeg%253Fdr%253D14572%2526refresh_token%253D9a0ef0f7%2526x-expires%253D1810634400%2526x-signature%253DZkZrrPaU1iaFuc5h1sWDpit6vRY%25253D%2526t%253D4d5b0474%2526ps%253D13740610%2526shp%253Dd05b14bd%2526shcp%253D34ff8df6%2526idc%253Dmy3%2526s%253DTIKTOK_AFFILIATE_VIRAL_VIDEO%22%2C%22placeholder_product_id%22%3A%221733551239648413075%22%2C%22placeholder_video_id%22%3A%227635535058941512980%22%7D&amp;ec_shared_reflux_scene=shop_tab_feed&amp;share_item_id=7635535058941512980&amp;source=h5_t" TargetMode="External"/><Relationship Id="rId89" Type="http://schemas.openxmlformats.org/officeDocument/2006/relationships/hyperlink" Target="http://dinif.sa" TargetMode="External"/><Relationship Id="rId80" Type="http://schemas.openxmlformats.org/officeDocument/2006/relationships/hyperlink" Target="http://sinispill.id" TargetMode="External"/><Relationship Id="rId82" Type="http://schemas.openxmlformats.org/officeDocument/2006/relationships/hyperlink" Target="https://vt.tiktok.com/ZSmBeFAJ2/" TargetMode="External"/><Relationship Id="rId81" Type="http://schemas.openxmlformats.org/officeDocument/2006/relationships/hyperlink" Target="https://www.tiktok.com/@sinispill.id" TargetMode="External"/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149" Type="http://schemas.openxmlformats.org/officeDocument/2006/relationships/hyperlink" Target="https://vt.tiktok.com/ZSuj4bgHr/" TargetMode="External"/><Relationship Id="rId4" Type="http://schemas.openxmlformats.org/officeDocument/2006/relationships/hyperlink" Target="https://www.tiktok.com/@arnilawati" TargetMode="External"/><Relationship Id="rId148" Type="http://schemas.openxmlformats.org/officeDocument/2006/relationships/hyperlink" Target="https://www.tiktok.com/@Rnggrn_" TargetMode="External"/><Relationship Id="rId269" Type="http://schemas.openxmlformats.org/officeDocument/2006/relationships/hyperlink" Target="https://www.tiktok.com/@_karisma__01/video/7634156642119994644?_r=1&amp;u_code=e7k3i65e352394&amp;region=&amp;mid=7634156678329535252&amp;preview_pb=0&amp;sharer_language=&amp;_d=0&amp;ec_shared_reflux_dynamic_params=%7B%22placeholder_material_id%22%3A%227634156642119994644%22%2C%22placeholder_origin_cover%22%3A%22https%253A%252F%252Fp16-common-sign.tiktokcdn.com%252Ftos-alisg-p-0037%252FooM3MDQGnFevQPVLI7heRAgqRGWjexsAJGgQfp~tplv-tiktokx-origin.jpeg%253Fdr%253D14572%2526refresh_token%253D89313fe2%2526x-expires%253D1810116000%2526x-signature%253DdJlOfqK%25252FqB9Ust5atFlZFjEi2nI%25253D%2526t%253D4d5b0474%2526ps%253D13740610%2526shp%253Dd05b14bd%2526shcp%253D34ff8df6%2526idc%253Dmy%2526s%253DTIKTOK_AFFILIATE_VIRAL_VIDEO%22%2C%22placeholder_product_id%22%3A%221733551239648413075%22%2C%22placeholder_video_id%22%3A%227634156642119994644%22%7D&amp;ec_shared_reflux_scene=shop_tab_feed&amp;share_item_id=7634156642119994644&amp;source=h5_t" TargetMode="External"/><Relationship Id="rId9" Type="http://schemas.openxmlformats.org/officeDocument/2006/relationships/hyperlink" Target="https://www.tiktok.com/@ekbardiary" TargetMode="External"/><Relationship Id="rId143" Type="http://schemas.openxmlformats.org/officeDocument/2006/relationships/hyperlink" Target="https://www.tiktok.com/@delladewintaaa" TargetMode="External"/><Relationship Id="rId264" Type="http://schemas.openxmlformats.org/officeDocument/2006/relationships/hyperlink" Target="https://vt.tiktok.com/ZSHMB4tQa/" TargetMode="External"/><Relationship Id="rId142" Type="http://schemas.openxmlformats.org/officeDocument/2006/relationships/hyperlink" Target="https://www.tiktok.com/@pinkiesgurl/video/7612845322011725073?_r=1&amp;u_code=d0b2eik403830m&amp;region=&amp;mid=7195511642566478619&amp;preview_pb=0&amp;sharer_language=&amp;_d=0&amp;ec_shared_reflux_dynamic_params=%7B%22placeholder_material_id%22%3A%227612845322011725073%22%2C%22placeholder_origin_cover%22%3A%22https%253A%252F%252Fp16-sign-sg.tiktokcdn.com%252Ftos-alisg-p-0037%252FoAkpBmqGEIsFAeQAHgIQpiVxRKWADBCmEfOQqc~tplv-tiktokx-origin.jpeg%253Fdr%253D14572%2526refresh_token%253D268b3cd9%2526x-expires%253D1804230000%2526x-signature%253DVVHBA9wtOmj7SCv4tBJmMy9QAUg%25253D%2526t%253D4d5b0474%2526ps%253D13740610%2526shp%253Dd05b14bd%2526shcp%253D34ff8df6%2526idc%253Dmy2%2526s%253DTIKTOK_AFFILIATE_VIRAL_VIDEO%22%2C%22placeholder_product_id%22%3A%221734425989485397395%22%2C%22placeholder_video_id%22%3A%227612845322011725073%22%7D&amp;ec_shared_reflux_scene=shop_tab_feed&amp;share_item_id=7612845322011725073&amp;source=h5_t" TargetMode="External"/><Relationship Id="rId263" Type="http://schemas.openxmlformats.org/officeDocument/2006/relationships/hyperlink" Target="https://vt.tiktok.com/ZSHMBwpJW/" TargetMode="External"/><Relationship Id="rId141" Type="http://schemas.openxmlformats.org/officeDocument/2006/relationships/hyperlink" Target="https://vt.tiktok.com/ZSmwNXD5A/" TargetMode="External"/><Relationship Id="rId262" Type="http://schemas.openxmlformats.org/officeDocument/2006/relationships/hyperlink" Target="https://www.tiktok.com/@family_skincare" TargetMode="External"/><Relationship Id="rId140" Type="http://schemas.openxmlformats.org/officeDocument/2006/relationships/hyperlink" Target="https://vt.tiktok.com/ZSmcvPCeh/" TargetMode="External"/><Relationship Id="rId261" Type="http://schemas.openxmlformats.org/officeDocument/2006/relationships/hyperlink" Target="https://vt.tiktok.com/ZSHuxpbja/" TargetMode="External"/><Relationship Id="rId5" Type="http://schemas.openxmlformats.org/officeDocument/2006/relationships/hyperlink" Target="https://vt.tiktok.com/ZSmBLpaBx/" TargetMode="External"/><Relationship Id="rId147" Type="http://schemas.openxmlformats.org/officeDocument/2006/relationships/hyperlink" Target="https://www.tiktok.com/@delladewintaaa/video/7609610422215281941?is_from_webapp=1&amp;sender_device=pc" TargetMode="External"/><Relationship Id="rId268" Type="http://schemas.openxmlformats.org/officeDocument/2006/relationships/hyperlink" Target="https://www.tiktok.com/@_karisma__01/video/7634068799242685716?_r=1&amp;u_code=e7k3i65e352394&amp;region=&amp;mid=7634068835745745681&amp;preview_pb=0&amp;sharer_language=&amp;_d=0&amp;ec_shared_reflux_dynamic_params=%7B%22placeholder_material_id%22%3A%227634068799242685716%22%2C%22placeholder_origin_cover%22%3A%22https%253A%252F%252Fp16-common-sign.tiktokcdn.com%252Ftos-alisg-p-0037%252FocCEwHF89IDYBeBAhNTgf6EJpxIrRMHBUCSaqB~tplv-tiktokx-origin.jpeg%253Fdr%253D14572%2526refresh_token%253Deac68272%2526x-expires%253D1808992800%2526x-signature%253DDfvdpoLL6QBOcKx1JnE2WliJF%25252BY%25253D%2526t%253D4d5b0474%2526ps%253D13740610%2526shp%253Dd05b14bd%2526shcp%253D34ff8df6%2526idc%253Dmy2%2526s%253DTIKTOK_AFFILIATE_VIRAL_VIDEO%22%2C%22placeholder_product_id%22%3A%221731793046946547091%22%2C%22placeholder_video_id%22%3A%227634068799242685716%22%7D&amp;ec_shared_reflux_scene=shop_tab_feed&amp;share_item_id=7634068799242685716&amp;source=h5_t" TargetMode="External"/><Relationship Id="rId6" Type="http://schemas.openxmlformats.org/officeDocument/2006/relationships/hyperlink" Target="https://vt.tiktok.com/ZSmBLWkCc/" TargetMode="External"/><Relationship Id="rId146" Type="http://schemas.openxmlformats.org/officeDocument/2006/relationships/hyperlink" Target="https://www.tiktok.com/@delladewintaaa/video/7609594251629890837?_r=1&amp;u_code=de97d9d4i39854&amp;region=&amp;mid=7585495322411961089&amp;preview_pb=0&amp;sharer_language=&amp;_d=0&amp;ec_shared_reflux_dynamic_params=%7B%22placeholder_material_id%22%3A%227609594251629890837%22%2C%22placeholder_origin_cover%22%3A%22https%253A%252F%252Fp16-sign-sg.tiktokcdn.com%252Ftos-alisg-p-0037%252Fo8rFcFD9REBZmQOkTaEQ3WBAtBvgb3Akmpfyve~tplv-tiktokx-origin.jpeg%253Fdr%253D14572%2526refresh_token%253Dd776a877%2526x-expires%253D1803380400%2526x-signature%253DEmiOZmemmrrQjhoNAAYArPUUpD0%25253D%2526t%253D4d5b0474%2526ps%253D13740610%2526shp%253Dd05b14bd%2526shcp%253D34ff8df6%2526idc%253Dmy%2526s%253DTIKTOK_AFFILIATE_VIRAL_VIDEO%22%2C%22placeholder_product_id%22%3A%221733551239648413075%22%2C%22placeholder_video_id%22%3A%227609594251629890837%22%7D&amp;ec_shared_reflux_scene=shop_tab_feed&amp;share_item_id=7609594251629890837&amp;source=h5_t" TargetMode="External"/><Relationship Id="rId267" Type="http://schemas.openxmlformats.org/officeDocument/2006/relationships/hyperlink" Target="https://www.tiktok.com/@_karisma__01" TargetMode="External"/><Relationship Id="rId7" Type="http://schemas.openxmlformats.org/officeDocument/2006/relationships/hyperlink" Target="https://www.tiktok.com/@arnillawati/video/7607349199042022677?_r=1&amp;u_code=118ekm6ha&amp;region=&amp;mid=7576002677943831328&amp;preview_pb=0&amp;sharer_language=&amp;_d=0&amp;ec_shared_reflux_dynamic_params=%7B%22placeholder_material_id%22%3A%227607349199042022677%22%2C%22placeholder_origin_cover%22%3A%22https%253A%252F%252Fp16-sign-sg.tiktokcdn.com%252Ftos-alisg-p-0037%252FocBATprB4QuEEcFRtuQCfuAUndgfSLvluckQ6D~tplv-tiktokx-origin.jpeg%253Fdr%253D14572%2526refresh_token%253De63f14a5%2526x-expires%253D1803031200%2526x-signature%253DLI%25252F5IW3W63H7aklw1kDm76WRfnc%25253D%2526t%253D4d5b0474%2526ps%253D13740610%2526shp%253Dd05b14bd%2526shcp%253D34ff8df6%2526idc%253Dmy%2526s%253DTIKTOK_AFFILIATE_VIRAL_VIDEO%22%2C%22placeholder_product_id%22%3A%221729991116494375315%22%2C%22placeholder_video_id%22%3A%227607349199042022677%22%7D&amp;ec_shared_reflux_scene=shop_tab_feed&amp;share_item_id=7607349199042022677&amp;source=h5_t" TargetMode="External"/><Relationship Id="rId145" Type="http://schemas.openxmlformats.org/officeDocument/2006/relationships/hyperlink" Target="https://www.tiktok.com/@delladewintaaa/video/7609594251629890837?_r=1&amp;u_code=de97d9d4i39854&amp;region=&amp;mid=7585495322411961089&amp;preview_pb=0&amp;sharer_language=&amp;_d=0&amp;ec_shared_reflux_dynamic_params=%7B%22placeholder_material_id%22%3A%227609594251629890837%22%2C%22placeholder_origin_cover%22%3A%22https%253A%252F%252Fp16-sign-sg.tiktokcdn.com%252Ftos-alisg-p-0037%252Fo8rFcFD9REBZmQOkTaEQ3WBAtBvgb3Akmpfyve~tplv-tiktokx-origin.jpeg%253Fdr%253D14572%2526refresh_token%253Dd776a877%2526x-expires%253D1803380400%2526x-signature%253DEmiOZmemmrrQjhoNAAYArPUUpD0%25253D%2526t%253D4d5b0474%2526ps%253D13740610%2526shp%253Dd05b14bd%2526shcp%253D34ff8df6%2526idc%253Dmy%2526s%253DTIKTOK_AFFILIATE_VIRAL_VIDEO%22%2C%22placeholder_product_id%22%3A%221733551239648413075%22%2C%22placeholder_video_id%22%3A%227609594251629890837%22%7D&amp;ec_shared_reflux_scene=shop_tab_feed&amp;share_item_id=7609594251629890837&amp;source=h5_t" TargetMode="External"/><Relationship Id="rId266" Type="http://schemas.openxmlformats.org/officeDocument/2006/relationships/hyperlink" Target="https://www.tiktok.com/@family_skincare/video/7624083265821216008?_r=1&amp;u_code=e9ci4k1c37j6dg&amp;region=&amp;mid=7291195404551490309&amp;preview_pb=0&amp;sharer_language=&amp;_d=0&amp;ec_shared_reflux_dynamic_params=%7B%22placeholder_material_id%22%3A%227624083265821216008%22%2C%22placeholder_origin_cover%22%3A%22https%253A%252F%252Fp16-sign-sg.tiktokcdn.com%252Ftos-alisg-p-0037%252FooU6zZ2RhIszEL7BipigHeB6ikfEAB1ObIVOJC~tplv-tiktokx-origin.jpeg%253Fdr%253D14572%2526refresh_token%253D4e8229d5%2526x-expires%253D1807092000%2526x-signature%253DlfR0LXQz0NdAFKKxM6J6pYNbpSM%25253D%2526t%253D4d5b0474%2526ps%253D13740610%2526shp%253Dd05b14bd%2526shcp%253D34ff8df6%2526idc%253Dmy2%2526s%253DTIKTOK_AFFILIATE_VIRAL_VIDEO%22%2C%22placeholder_product_id%22%3A%221733551239648413075%22%2C%22placeholder_video_id%22%3A%227624083265821216008%22%7D&amp;ec_shared_reflux_scene=shop_tab_feed&amp;share_item_id=7624083265821216008&amp;source=h5_t" TargetMode="External"/><Relationship Id="rId8" Type="http://schemas.openxmlformats.org/officeDocument/2006/relationships/hyperlink" Target="https://vt.tiktok.com/ZSuA2QRNB/" TargetMode="External"/><Relationship Id="rId144" Type="http://schemas.openxmlformats.org/officeDocument/2006/relationships/hyperlink" Target="https://www.tiktok.com/@delladewintaaa/video/7609573910312537364?is_from_webapp=1&amp;sender_device=pc" TargetMode="External"/><Relationship Id="rId265" Type="http://schemas.openxmlformats.org/officeDocument/2006/relationships/hyperlink" Target="https://vt.tiktok.com/ZSHMShhSy/" TargetMode="External"/><Relationship Id="rId73" Type="http://schemas.openxmlformats.org/officeDocument/2006/relationships/hyperlink" Target="https://www.tiktok.com/@shavirapuspitacitra" TargetMode="External"/><Relationship Id="rId72" Type="http://schemas.openxmlformats.org/officeDocument/2006/relationships/hyperlink" Target="https://vt.tiktok.com/ZSmUWqqSR/" TargetMode="External"/><Relationship Id="rId75" Type="http://schemas.openxmlformats.org/officeDocument/2006/relationships/hyperlink" Target="https://www.tiktok.com/@rysa_mon" TargetMode="External"/><Relationship Id="rId74" Type="http://schemas.openxmlformats.org/officeDocument/2006/relationships/hyperlink" Target="https://vt.tiktok.com/ZSaQkHAae/" TargetMode="External"/><Relationship Id="rId77" Type="http://schemas.openxmlformats.org/officeDocument/2006/relationships/hyperlink" Target="https://vt.tiktok.com/ZSmDVmnGM/" TargetMode="External"/><Relationship Id="rId260" Type="http://schemas.openxmlformats.org/officeDocument/2006/relationships/hyperlink" Target="https://www.tiktok.com/@rannmovv" TargetMode="External"/><Relationship Id="rId76" Type="http://schemas.openxmlformats.org/officeDocument/2006/relationships/hyperlink" Target="https://vt.tiktok.com/ZSm2Egj8k/" TargetMode="External"/><Relationship Id="rId79" Type="http://schemas.openxmlformats.org/officeDocument/2006/relationships/hyperlink" Target="https://vt.tiktok.com/ZSmLGDxLk/" TargetMode="External"/><Relationship Id="rId78" Type="http://schemas.openxmlformats.org/officeDocument/2006/relationships/hyperlink" Target="https://www.tiktok.com/@azahrahf" TargetMode="External"/><Relationship Id="rId71" Type="http://schemas.openxmlformats.org/officeDocument/2006/relationships/hyperlink" Target="https://vt.tiktok.com/ZSmMuKVdf/" TargetMode="External"/><Relationship Id="rId70" Type="http://schemas.openxmlformats.org/officeDocument/2006/relationships/hyperlink" Target="https://vt.tiktok.com/ZSmY2qsC4/" TargetMode="External"/><Relationship Id="rId139" Type="http://schemas.openxmlformats.org/officeDocument/2006/relationships/hyperlink" Target="https://vt.tiktok.com/ZSm4JJWMX/" TargetMode="External"/><Relationship Id="rId138" Type="http://schemas.openxmlformats.org/officeDocument/2006/relationships/hyperlink" Target="https://www.tiktok.com/@pinkiesgurl" TargetMode="External"/><Relationship Id="rId259" Type="http://schemas.openxmlformats.org/officeDocument/2006/relationships/hyperlink" Target="https://vt.tiktok.com/ZSHxj33eH/" TargetMode="External"/><Relationship Id="rId137" Type="http://schemas.openxmlformats.org/officeDocument/2006/relationships/hyperlink" Target="https://vt.tiktok.com/ZS9pbVtAV/" TargetMode="External"/><Relationship Id="rId258" Type="http://schemas.openxmlformats.org/officeDocument/2006/relationships/hyperlink" Target="https://www.tiktok.com/@nanadd0.7" TargetMode="External"/><Relationship Id="rId132" Type="http://schemas.openxmlformats.org/officeDocument/2006/relationships/hyperlink" Target="https://www.tiktok.com/@innaahhiyan/video/7635589837059263751?_r=1&amp;u_code=lb2cgb29&amp;region=&amp;mid=7592932992264276756&amp;preview_pb=0&amp;sharer_language=&amp;_d=0&amp;ec_shared_reflux_dynamic_params=%7B%22placeholder_material_id%22%3A%227635589837059263751%22%2C%22placeholder_origin_cover%22%3A%22https%253A%252F%252Fp16-common-sign.tiktokcdn.com%252Ftos-alisg-p-0037%252Fowc3l8AIevjvCQcQXCLTAEXGA2o2YD8Iei7Ine~tplv-tiktokx-origin.jpeg%253Fdr%253D14572%2526refresh_token%253Dc98ea776%2526x-expires%253D1810980000%2526x-signature%253DvjDj4ogZoO%25252BmAqHxryZnuUCKcBI%25253D%2526t%253D4d5b0474%2526ps%253D13740610%2526shp%253Dd05b14bd%2526shcp%253D34ff8df6%2526idc%253Dmy2%2526s%253DTIKTOK_AFFILIATE_VIRAL_VIDEO%22%2C%22placeholder_product_id%22%3A%221734425989485397395%22%2C%22placeholder_video_id%22%3A%227635589837059263751%22%7D&amp;ec_shared_reflux_scene=shop_tab_feed&amp;share_item_id=7635589837059263751&amp;source=h5_t" TargetMode="External"/><Relationship Id="rId253" Type="http://schemas.openxmlformats.org/officeDocument/2006/relationships/hyperlink" Target="https://www.tiktok.com/@_nidini_/video/7614519537182035220?_r=1&amp;u_code=dg51ha65hgcb2f&amp;region=&amp;mid=7610948525825034256&amp;preview_pb=0&amp;sharer_language=&amp;_d=0&amp;ec_shared_reflux_dynamic_params=%7B%22placeholder_material_id%22%3A%227614519537182035220%22%2C%22placeholder_origin_cover%22%3A%22https%253A%252F%252Fp16-sign-sg.tiktokcdn.com%252Ftos-alisg-p-0037%252FokcAXYWAINai1hIBWXxiEWlvaBsCWBwkTasHJ~tplv-tiktokx-origin.jpeg%253Fdr%253D14572%2526refresh_token%253D79834e8a%2526x-expires%253D1804564800%2526x-signature%253DFkJ091STV85Sgm5aBYhUo9aRXB0%25253D%2526t%253D4d5b0474%2526ps%253D13740610%2526shp%253Dd05b14bd%2526shcp%253D34ff8df6%2526idc%253Dmy2%2526s%253DTIKTOK_AFFILIATE_VIRAL_VIDEO%22%2C%22placeholder_product_id%22%3A%221733551239648413075%22%2C%22placeholder_video_id%22%3A%227614519537182035220%22%7D&amp;ec_shared_reflux_scene=shop_tab_feed&amp;share_item_id=7614519537182035220&amp;source=h5_t" TargetMode="External"/><Relationship Id="rId131" Type="http://schemas.openxmlformats.org/officeDocument/2006/relationships/hyperlink" Target="https://vt.tiktok.com/ZS9gwtG5p/" TargetMode="External"/><Relationship Id="rId252" Type="http://schemas.openxmlformats.org/officeDocument/2006/relationships/hyperlink" Target="https://www.tiktok.com/@_nidini_/video/7614394165325008148?_r=1&amp;u_code=dg51ha65hgcb2f&amp;region=&amp;mid=7611563246771800848&amp;preview_pb=0&amp;sharer_language=&amp;_d=0&amp;ec_shared_reflux_dynamic_params=%7B%22placeholder_material_id%22%3A%227614394165325008148%22%2C%22placeholder_origin_cover%22%3A%22https%253A%252F%252Fp16-sign-sg.tiktokcdn.com%252Ftos-alisg-p-0037%252FoETA4zvlvCvg4ALjoDtgSM9IyVInAfe6eYDGI4~tplv-tiktokx-origin.jpeg%253Fdr%253D14572%2526refresh_token%253D05e8efc3%2526x-expires%253D1804564800%2526x-signature%253Dd1cgGGNMMwpK9LqgjuLKP9oJQlU%25253D%2526t%253D4d5b0474%2526ps%253D13740610%2526shp%253Dd05b14bd%2526shcp%253D34ff8df6%2526idc%253Dmy2%2526s%253DTIKTOK_AFFILIATE_VIRAL_VIDEO%22%2C%22placeholder_product_id%22%3A%221733551239648413075%22%2C%22placeholder_video_id%22%3A%227614394165325008148%22%7D&amp;ec_shared_reflux_scene=shop_tab_feed&amp;share_item_id=7614394165325008148&amp;source=h5_t" TargetMode="External"/><Relationship Id="rId130" Type="http://schemas.openxmlformats.org/officeDocument/2006/relationships/hyperlink" Target="https://vt.tiktok.com/ZSuDsGnLo/" TargetMode="External"/><Relationship Id="rId251" Type="http://schemas.openxmlformats.org/officeDocument/2006/relationships/hyperlink" Target="https://www.tiktok.com/@_nidini_" TargetMode="External"/><Relationship Id="rId250" Type="http://schemas.openxmlformats.org/officeDocument/2006/relationships/hyperlink" Target="https://www.tiktok.com/@meamore42/video/7628128422148984082?_r=1&amp;u_code=ee8d791ik7h785&amp;region=&amp;mid=7593347977686599681&amp;preview_pb=0&amp;sharer_language=&amp;_d=0&amp;ec_shared_reflux_dynamic_params=%7B%22placeholder_material_id%22%3A%227628128422148984082%22%2C%22placeholder_origin_cover%22%3A%22https%253A%252F%252Fp16-common-sign.tiktokcdn.com%252Ftos-alisg-p-0037%252FowuV7xlIwI0aCjuAi0kwQbByiFfCAAm1HIpc6B~tplv-tiktokx-origin.jpeg%253Fdr%253D14572%2526refresh_token%253D4ab62ee8%2526x-expires%253D1807956000%2526x-signature%253DSJAUzwgyWMtQF9Pv5r3LlJaiMyc%25253D%2526t%253D4d5b0474%2526ps%253D13740610%2526shp%253Dd05b14bd%2526shcp%253D34ff8df6%2526idc%253Dmy3%2526s%253DTIKTOK_AFFILIATE_VIRAL_VIDEO%22%2C%22placeholder_product_id%22%3A%221734428324539958675%22%2C%22placeholder_video_id%22%3A%227628128422148984082%22%7D&amp;ec_shared_reflux_scene=shop_tab_feed&amp;share_item_id=7628128422148984082&amp;source=h5_t" TargetMode="External"/><Relationship Id="rId136" Type="http://schemas.openxmlformats.org/officeDocument/2006/relationships/hyperlink" Target="https://vt.tiktok.com/ZSmgLKpuk/" TargetMode="External"/><Relationship Id="rId257" Type="http://schemas.openxmlformats.org/officeDocument/2006/relationships/hyperlink" Target="https://vt.tiktok.com/ZSHuK4yCM/" TargetMode="External"/><Relationship Id="rId135" Type="http://schemas.openxmlformats.org/officeDocument/2006/relationships/hyperlink" Target="https://www.tiktok.com/@euis.nry" TargetMode="External"/><Relationship Id="rId256" Type="http://schemas.openxmlformats.org/officeDocument/2006/relationships/hyperlink" Target="https://www.tiktok.com/@muhannah.fitria" TargetMode="External"/><Relationship Id="rId134" Type="http://schemas.openxmlformats.org/officeDocument/2006/relationships/hyperlink" Target="https://vt.tiktok.com/ZSmwvD1MQ/" TargetMode="External"/><Relationship Id="rId255" Type="http://schemas.openxmlformats.org/officeDocument/2006/relationships/hyperlink" Target="https://www.tiktok.com/@_nidini_/video/7621744686964788500?_r=1&amp;u_code=dg51ha65hgcb2f&amp;region=&amp;mid=7601737673280195348&amp;preview_pb=0&amp;sharer_language=&amp;_d=0&amp;ec_shared_reflux_dynamic_params=%7B%22placeholder_material_id%22%3A%227621744686964788500%22%2C%22placeholder_origin_cover%22%3A%22https%253A%252F%252Fp16-sign-sg.tiktokcdn.com%252Ftos-alisg-p-0037%252FoQ4QAIPDGf3QnA4eFswFf3HgqzLGRFL7Qf2GPI~tplv-tiktokx-origin.jpeg%253Fdr%253D14572%2526refresh_token%253D800d418f%2526x-expires%253D1806483600%2526x-signature%253DjJvYWc1e8mUo7aWxN9x%25252FieFCPGI%25253D%2526t%253D4d5b0474%2526ps%253D13740610%2526shp%253Dd05b14bd%2526shcp%253D34ff8df6%2526idc%253Dmy%2526s%253DTIKTOK_AFFILIATE_VIRAL_VIDEO%22%2C%22placeholder_product_id%22%3A%221733551239648413075%22%2C%22placeholder_video_id%22%3A%227621744686964788500%22%7D&amp;ec_shared_reflux_scene=shop_tab_feed&amp;share_item_id=7621744686964788500&amp;source=h5_t" TargetMode="External"/><Relationship Id="rId133" Type="http://schemas.openxmlformats.org/officeDocument/2006/relationships/hyperlink" Target="https://www.tiktok.com/@spillskincarebymee" TargetMode="External"/><Relationship Id="rId254" Type="http://schemas.openxmlformats.org/officeDocument/2006/relationships/hyperlink" Target="https://www.tiktok.com/@_nidini_/video/7620861927677545748?_r=1&amp;u_code=dg51ha65hgcb2f&amp;region=&amp;mid=7517218437312678672&amp;preview_pb=0&amp;sharer_language=&amp;_d=0&amp;ec_shared_reflux_dynamic_params=%7B%22placeholder_material_id%22%3A%227620861927677545748%22%2C%22placeholder_origin_cover%22%3A%22https%253A%252F%252Fp16-sign-sg.tiktokcdn.com%252Ftos-alisg-p-0037%252FosLIoIv4AArDDaXejLevXTGCiAhRbIIcZZfjCC~tplv-tiktokx-origin.jpeg%253Fdr%253D14572%2526refresh_token%253Db2ffd9f6%2526x-expires%253D1805940000%2526x-signature%253DilQeFsusCgK50gspgjqAHNMGRUo%25253D%2526t%253D4d5b0474%2526ps%253D13740610%2526shp%253Dd05b14bd%2526shcp%253D34ff8df6%2526idc%253Dmy2%2526s%253DTIKTOK_AFFILIATE_VIRAL_VIDEO%22%2C%22placeholder_product_id%22%3A%221733551239648413075%22%2C%22placeholder_video_id%22%3A%227620861927677545748%22%7D&amp;ec_shared_reflux_scene=shop_tab_feed&amp;share_item_id=7620861927677545748&amp;source=h5_t" TargetMode="External"/><Relationship Id="rId62" Type="http://schemas.openxmlformats.org/officeDocument/2006/relationships/hyperlink" Target="https://vt.tiktok.com/ZSavd7WM3/" TargetMode="External"/><Relationship Id="rId61" Type="http://schemas.openxmlformats.org/officeDocument/2006/relationships/hyperlink" Target="https://www.tiktok.com/@pildaindah" TargetMode="External"/><Relationship Id="rId64" Type="http://schemas.openxmlformats.org/officeDocument/2006/relationships/hyperlink" Target="https://www.tiktok.com/@ceisyaandr" TargetMode="External"/><Relationship Id="rId63" Type="http://schemas.openxmlformats.org/officeDocument/2006/relationships/hyperlink" Target="https://www.tiktok.com/@pildaindah/video/7608163883563371784?_r=1&amp;u_code=cl78h3mbdgb43g&amp;region=&amp;mid=7413181787679034145&amp;preview_pb=0&amp;sharer_language=&amp;_d=0&amp;ec_shared_reflux_dynamic_params=%7B%22placeholder_material_id%22%3A%227608163883563371784%22%2C%22placeholder_origin_cover%22%3A%22https%253A%252F%252Fp16-sign-sg.tiktokcdn.com%252Ftos-alisg-p-0037%252Fog2IoIo0AAfODhfUjFflzTDCUCKjTEI0MBjlBV~tplv-tiktokx-origin.jpeg%253Fdr%253D14572%2526refresh_token%253D80aaa591%2526x-expires%253D1803031200%2526x-signature%253DaSR5MKwpLBSjSyfqnysejfyVC0w%25253D%2526t%253D4d5b0474%2526ps%253D13740610%2526shp%253Dd05b14bd%2526shcp%253D34ff8df6%2526idc%253Dmy%2526s%253DTIKTOK_AFFILIATE_VIRAL_VIDEO%22%2C%22placeholder_product_id%22%3A%221729991116494375315%22%2C%22placeholder_video_id%22%3A%227608163883563371784%22%7D&amp;ec_shared_reflux_scene=shop_tab_feed&amp;share_item_id=7608163883563371784&amp;source=h5_t" TargetMode="External"/><Relationship Id="rId66" Type="http://schemas.openxmlformats.org/officeDocument/2006/relationships/hyperlink" Target="https://www.tiktok.com/@ceisyaandr/video/7608019415833103637?_r=1&amp;u_code=dic64lib4hd2hj&amp;region=&amp;mid=7608019489464044308&amp;preview_pb=0&amp;sharer_language=&amp;_d=0&amp;ec_shared_reflux_dynamic_params=%7B%22placeholder_material_id%22%3A%227608019415833103637%22%2C%22placeholder_origin_cover%22%3A%22https%253A%252F%252Fp16-sign-sg.tiktokcdn.com%252Ftos-alisg-p-0037%252FokI8UpWiPkdo3VAa6VBEIgB8BHAxYA8GCYiZa~tplv-tiktokx-origin.jpeg%253Fdr%253D14572%2526refresh_token%253Da34e8eda%2526x-expires%253D1803981600%2526x-signature%253D9%25252BvHOEEN3QMKszh2WOlQQyDnFAQ%25253D%2526t%253D4d5b0474%2526ps%253D13740610%2526shp%253Dd05b14bd%2526shcp%253D34ff8df6%2526idc%253Dmy%2526s%253DTIKTOK_AFFILIATE_VIRAL_VIDEO%22%2C%22placeholder_product_id%22%3A%221729991116494375315%22%2C%22placeholder_video_id%22%3A%227608019415833103637%22%7D&amp;ec_shared_reflux_scene=shop_tab_feed&amp;share_item_id=7608019415833103637&amp;source=h5_t" TargetMode="External"/><Relationship Id="rId172" Type="http://schemas.openxmlformats.org/officeDocument/2006/relationships/hyperlink" Target="https://www.tiktok.com/@Dwk0612" TargetMode="External"/><Relationship Id="rId293" Type="http://schemas.openxmlformats.org/officeDocument/2006/relationships/hyperlink" Target="https://www.tiktok.com/@skincaredaily96/video/7639122037839023380?_r=1&amp;u_code=dgbh14bdm35bg9&amp;region=&amp;mid=7639122091479993096&amp;preview_pb=0&amp;sharer_language=&amp;_d=0&amp;ec_shared_reflux_dynamic_params=%7B%22placeholder_material_id%22%3A%227639122037839023380%22%2C%22placeholder_origin_cover%22%3A%22https%253A%252F%252Fp16-common-sign.tiktokcdn.com%252Ftos-alisg-p-0037%252FoE9XgPcB1mVAiDsrNIABaBREXpHIY9PBinK0O~tplv-tiktokx-origin.jpeg%253Fdr%253D14572%2526refresh_token%253D57ecb24a%2526x-expires%253D1810202400%2526x-signature%253DaPqyCmFw4ql8Ae6xmuNRqi5DHdE%25253D%2526t%253D4d5b0474%2526ps%253D13740610%2526shp%253Dd05b14bd%2526shcp%253D34ff8df6%2526idc%253Dmy2%2526s%253DTIKTOK_AFFILIATE_VIRAL_VIDEO%22%2C%22placeholder_product_id%22%3A%221729991116494375315%22%2C%22placeholder_video_id%22%3A%227639122037839023380%22%7D&amp;ec_shared_reflux_scene=shop_tab_feed&amp;share_item_id=7639122037839023380&amp;source=h5_t" TargetMode="External"/><Relationship Id="rId65" Type="http://schemas.openxmlformats.org/officeDocument/2006/relationships/hyperlink" Target="https://vt.tiktok.com/ZSmYN2JdJ/" TargetMode="External"/><Relationship Id="rId171" Type="http://schemas.openxmlformats.org/officeDocument/2006/relationships/hyperlink" Target="https://vt.tiktok.com/ZSmwBRocE/" TargetMode="External"/><Relationship Id="rId292" Type="http://schemas.openxmlformats.org/officeDocument/2006/relationships/hyperlink" Target="https://www.tiktok.com/@skincaredaily96/video/7637912893127740693?_r=1&amp;u_code=dgbh14bdm35bg9&amp;region=&amp;mid=7637912919615376136&amp;preview_pb=0&amp;sharer_language=&amp;_d=0&amp;ec_shared_reflux_dynamic_params=%7B%22placeholder_material_id%22%3A%227637912893127740693%22%2C%22placeholder_origin_cover%22%3A%22https%253A%252F%252Fp16-common-sign.tiktokcdn.com%252Ftos-alisg-p-0037%252FokUKguYUNiM5fAeTZegC1ULAodrAqZb5fP4Skf~tplv-tiktokx-origin.jpeg%253Fdr%253D14572%2526refresh_token%253D4a0aa74d%2526x-expires%253D1810033200%2526x-signature%253DU%25252BSLKWzig9u7trNTk27VB5PqOvI%25253D%2526t%253D4d5b0474%2526ps%253D13740610%2526shp%253Dd05b14bd%2526shcp%253D34ff8df6%2526idc%253Dmy%2526s%253DTIKTOK_AFFILIATE_VIRAL_VIDEO%22%2C%22placeholder_product_id%22%3A%221729991116494375315%22%2C%22placeholder_video_id%22%3A%227637912893127740693%22%7D&amp;ec_shared_reflux_scene=shop_tab_feed&amp;share_item_id=7637912893127740693&amp;source=h5_t" TargetMode="External"/><Relationship Id="rId68" Type="http://schemas.openxmlformats.org/officeDocument/2006/relationships/hyperlink" Target="https://vt.tiktok.com/ZSuHtoh5q/" TargetMode="External"/><Relationship Id="rId170" Type="http://schemas.openxmlformats.org/officeDocument/2006/relationships/hyperlink" Target="https://www.tiktok.com/@ndrfadh/video/7610820245179075847?is_from_webapp=1&amp;sender_device=pc" TargetMode="External"/><Relationship Id="rId291" Type="http://schemas.openxmlformats.org/officeDocument/2006/relationships/hyperlink" Target="https://www.tiktok.com/@skincaredaily96/video/7637896835310390549?_r=1&amp;u_code=dgbh14bdm35bg9&amp;region=&amp;mid=7637896861043821313&amp;preview_pb=0&amp;sharer_language=&amp;_d=0&amp;ec_shared_reflux_dynamic_params=%7B%22placeholder_material_id%22%3A%227637896835310390549%22%2C%22placeholder_origin_cover%22%3A%22https%253A%252F%252Fp16-common-sign.tiktokcdn.com%252Ftos-alisg-p-0037%252FooyKQ40DqDArQx93T0F2DjTCHIMAoCBfQuf6fE~tplv-tiktokx-origin.jpeg%253Fdr%253D14572%2526refresh_token%253D953b93b7%2526x-expires%253D1810033200%2526x-signature%253D3ForllG08f7XtqTYUXJWUIj%25252Fa9o%25253D%2526t%253D4d5b0474%2526ps%253D13740610%2526shp%253Dd05b14bd%2526shcp%253D34ff8df6%2526idc%253Dmy%2526s%253DTIKTOK_AFFILIATE_VIRAL_VIDEO%22%2C%22placeholder_product_id%22%3A%221729991116494375315%22%2C%22placeholder_video_id%22%3A%227637896835310390549%22%7D&amp;ec_shared_reflux_scene=shop_tab_feed&amp;share_item_id=7637896835310390549&amp;source=h5_t" TargetMode="External"/><Relationship Id="rId67" Type="http://schemas.openxmlformats.org/officeDocument/2006/relationships/hyperlink" Target="https://vt.tiktok.com/ZSm3mjo1o/" TargetMode="External"/><Relationship Id="rId290" Type="http://schemas.openxmlformats.org/officeDocument/2006/relationships/hyperlink" Target="https://www.tiktok.com/@skincaredaily96" TargetMode="External"/><Relationship Id="rId60" Type="http://schemas.openxmlformats.org/officeDocument/2006/relationships/hyperlink" Target="https://www.tiktok.com/@dinif.sa/video/7622297896691485973?is_from_webapp=1&amp;sender_device=pc" TargetMode="External"/><Relationship Id="rId165" Type="http://schemas.openxmlformats.org/officeDocument/2006/relationships/hyperlink" Target="https://vt.tiktok.com/ZSmwsYb4W/" TargetMode="External"/><Relationship Id="rId286" Type="http://schemas.openxmlformats.org/officeDocument/2006/relationships/hyperlink" Target="https://vt.tiktok.com/ZS9fJthGE/" TargetMode="External"/><Relationship Id="rId69" Type="http://schemas.openxmlformats.org/officeDocument/2006/relationships/hyperlink" Target="https://www.tiktok.com/@mayang_skincare" TargetMode="External"/><Relationship Id="rId164" Type="http://schemas.openxmlformats.org/officeDocument/2006/relationships/hyperlink" Target="https://www.tiktok.com/@a.etikk" TargetMode="External"/><Relationship Id="rId285" Type="http://schemas.openxmlformats.org/officeDocument/2006/relationships/hyperlink" Target="https://www.tiktok.com/@gabolegalakya" TargetMode="External"/><Relationship Id="rId163" Type="http://schemas.openxmlformats.org/officeDocument/2006/relationships/hyperlink" Target="https://www.tiktok.com/@anakkeciiiiiiiil" TargetMode="External"/><Relationship Id="rId284" Type="http://schemas.openxmlformats.org/officeDocument/2006/relationships/hyperlink" Target="https://www.tiktok.com/@jeezythingz" TargetMode="External"/><Relationship Id="rId162" Type="http://schemas.openxmlformats.org/officeDocument/2006/relationships/hyperlink" Target="https://vt.tiktok.com/ZSmXcyrhW/" TargetMode="External"/><Relationship Id="rId283" Type="http://schemas.openxmlformats.org/officeDocument/2006/relationships/hyperlink" Target="https://www.tiktok.com/@karaskinbeauty" TargetMode="External"/><Relationship Id="rId169" Type="http://schemas.openxmlformats.org/officeDocument/2006/relationships/hyperlink" Target="https://www.tiktok.com/@ndrfadh" TargetMode="External"/><Relationship Id="rId168" Type="http://schemas.openxmlformats.org/officeDocument/2006/relationships/hyperlink" Target="https://www.tiktok.com/@m00diegurlz/video/7612174549811105045?_r=1&amp;u_code=df3lk5bckb7aik&amp;region=&amp;mid=7557549850489817877&amp;preview_pb=0&amp;sharer_language=&amp;_d=0&amp;ec_shared_reflux_dynamic_params=%7B%22placeholder_material_id%22%3A%227612174549811105045%22%2C%22placeholder_origin_cover%22%3A%22https%253A%252F%252Fp16-sign-sg.tiktokcdn.com%252Ftos-alisg-p-0037%252FoAjOxNgIjQbAH4qfyOQC3rDTfmmFEDMeCAdA4R~tplv-tiktokx-origin.jpeg%253Fdr%253D14572%2526refresh_token%253Ddbee8ce5%2526x-expires%253D1804068000%2526x-signature%253D82cwXOkBg7DK5xyZNDyWyxZlZ%25252FA%25253D%2526t%253D4d5b0474%2526ps%253D13740610%2526shp%253Dd05b14bd%2526shcp%253D34ff8df6%2526idc%253Dmy2%2526s%253DTIKTOK_AFFILIATE_VIRAL_VIDEO%22%2C%22placeholder_product_id%22%3A%221731334333969302931%22%2C%22placeholder_video_id%22%3A%227612174549811105045%22%7D&amp;ec_shared_reflux_scene=shop_tab_feed&amp;share_item_id=7612174549811105045&amp;source=h5_t" TargetMode="External"/><Relationship Id="rId289" Type="http://schemas.openxmlformats.org/officeDocument/2006/relationships/hyperlink" Target="https://www.tiktok.com/@dianasepti210/video/7633077273305959688?_r=1&amp;u_code=e3lb4fe3b626el&amp;region=&amp;mid=7406831923794414342&amp;preview_pb=0&amp;sharer_language=&amp;_d=0&amp;ec_shared_reflux_dynamic_params=%7B%22placeholder_material_id%22%3A%227633077273305959688%22%2C%22placeholder_origin_cover%22%3A%22https%253A%252F%252Fp16-common-sign.tiktokcdn.com%252Ftos-alisg-p-0037%252FosuzIqcRWE4ixbD9B7gFr71vIfI1pVEBfAIkuA~tplv-tiktokx-origin.jpeg%253Fdr%253D14572%2526refresh_token%253D4c5ed116%2526x-expires%253D1809424800%2526x-signature%253DVz5N5lmvYiRSJyOPT6sbD8q%25252BEvM%25253D%2526t%253D4d5b0474%2526ps%253D13740610%2526shp%253Dd05b14bd%2526shcp%253D34ff8df6%2526idc%253Dmy3%2526s%253DTIKTOK_AFFILIATE_VIRAL_VIDEO%22%2C%22placeholder_product_id%22%3A%221731334333969302931%22%2C%22placeholder_video_id%22%3A%227633077273305959688%22%7D&amp;ec_shared_reflux_scene=shop_tab_feed&amp;share_item_id=7633077273305959688&amp;source=h5_t" TargetMode="External"/><Relationship Id="rId167" Type="http://schemas.openxmlformats.org/officeDocument/2006/relationships/hyperlink" Target="https://www.tiktok.com/@m00diegurlz" TargetMode="External"/><Relationship Id="rId288" Type="http://schemas.openxmlformats.org/officeDocument/2006/relationships/hyperlink" Target="https://www.tiktok.com/@dianasepti210" TargetMode="External"/><Relationship Id="rId166" Type="http://schemas.openxmlformats.org/officeDocument/2006/relationships/hyperlink" Target="https://vt.tiktok.com/ZSuuv5A1w/" TargetMode="External"/><Relationship Id="rId287" Type="http://schemas.openxmlformats.org/officeDocument/2006/relationships/hyperlink" Target="https://www.tiktok.com/@arsykhumairah27" TargetMode="External"/><Relationship Id="rId51" Type="http://schemas.openxmlformats.org/officeDocument/2006/relationships/hyperlink" Target="https://www.tiktok.com/@thya_pookie" TargetMode="External"/><Relationship Id="rId50" Type="http://schemas.openxmlformats.org/officeDocument/2006/relationships/hyperlink" Target="https://vt.tiktok.com/ZSmQDse1d/" TargetMode="External"/><Relationship Id="rId53" Type="http://schemas.openxmlformats.org/officeDocument/2006/relationships/hyperlink" Target="https://www.tiktok.com/@randomtrn" TargetMode="External"/><Relationship Id="rId52" Type="http://schemas.openxmlformats.org/officeDocument/2006/relationships/hyperlink" Target="https://vt.tiktok.com/ZSmFKE1fW/" TargetMode="External"/><Relationship Id="rId55" Type="http://schemas.openxmlformats.org/officeDocument/2006/relationships/hyperlink" Target="https://vt.tiktok.com/ZSa95FAnQ/" TargetMode="External"/><Relationship Id="rId161" Type="http://schemas.openxmlformats.org/officeDocument/2006/relationships/hyperlink" Target="https://www.tiktok.com/@marizarizka_" TargetMode="External"/><Relationship Id="rId282" Type="http://schemas.openxmlformats.org/officeDocument/2006/relationships/hyperlink" Target="https://vt.tiktok.com/ZS96xBxjN/" TargetMode="External"/><Relationship Id="rId54" Type="http://schemas.openxmlformats.org/officeDocument/2006/relationships/hyperlink" Target="https://vt.tiktok.com/ZSaubfoWd/" TargetMode="External"/><Relationship Id="rId160" Type="http://schemas.openxmlformats.org/officeDocument/2006/relationships/hyperlink" Target="https://vt.tiktok.com/ZSu6yV2J7/" TargetMode="External"/><Relationship Id="rId281" Type="http://schemas.openxmlformats.org/officeDocument/2006/relationships/hyperlink" Target="https://www.tiktok.com/@mezamahira/video/7631899966289497365?_r=1&amp;u_code=dj86m56bc50mg2&amp;region=&amp;mid=7395415388382824464&amp;preview_pb=0&amp;sharer_language=&amp;_d=0&amp;ec_shared_reflux_dynamic_params=%7B%22placeholder_material_id%22%3A%227631899966289497365%22%2C%22placeholder_origin_cover%22%3A%22https%253A%252F%252Fp16-sign-sg.tiktokcdn.com%252Ftos-alisg-p-0037%252FoovGgTGkLnUdp6TbeGiYAFpRtqpggwEeAneUfI~tplv-tiktokx-origin.jpeg%253Fdr%253D14572%2526refresh_token%253D55c3331f%2526x-expires%253D1808553600%2526x-signature%253Dl%25252FsAcYJfFwV6ugw5faUGN%25252BrF92w%25253D%2526t%253D4d5b0474%2526ps%253D13740610%2526shp%253Dd05b14bd%2526shcp%253D34ff8df6%2526idc%253Dmy3%2526s%253DTIKTOK_AFFILIATE_VIRAL_VIDEO%22%2C%22placeholder_product_id%22%3A%221733551239648413075%22%2C%22placeholder_video_id%22%3A%227631899966289497365%22%7D&amp;ec_shared_reflux_scene=shop_tab_feed&amp;share_item_id=7631899966289497365&amp;source=h5_t" TargetMode="External"/><Relationship Id="rId57" Type="http://schemas.openxmlformats.org/officeDocument/2006/relationships/hyperlink" Target="https://vt.tiktok.com/ZSaXKrPqK/" TargetMode="External"/><Relationship Id="rId280" Type="http://schemas.openxmlformats.org/officeDocument/2006/relationships/hyperlink" Target="https://vt.tiktok.com/ZSHbB7oNc/" TargetMode="External"/><Relationship Id="rId56" Type="http://schemas.openxmlformats.org/officeDocument/2006/relationships/hyperlink" Target="https://www.tiktok.com/@sinanr18" TargetMode="External"/><Relationship Id="rId159" Type="http://schemas.openxmlformats.org/officeDocument/2006/relationships/hyperlink" Target="https://www.tiktok.com/@mutiaraaarv" TargetMode="External"/><Relationship Id="rId59" Type="http://schemas.openxmlformats.org/officeDocument/2006/relationships/hyperlink" Target="https://www.tiktok.com/@dinif.sa/video/7621893246985489685?is_from_webapp=1&amp;sender_device=pc" TargetMode="External"/><Relationship Id="rId154" Type="http://schemas.openxmlformats.org/officeDocument/2006/relationships/hyperlink" Target="https://vt.tiktok.com/ZSuAje5sT/" TargetMode="External"/><Relationship Id="rId275" Type="http://schemas.openxmlformats.org/officeDocument/2006/relationships/hyperlink" Target="https://www.tiktok.com/@bungejasmin98" TargetMode="External"/><Relationship Id="rId58" Type="http://schemas.openxmlformats.org/officeDocument/2006/relationships/hyperlink" Target="https://www.tiktok.com/@indysabillah" TargetMode="External"/><Relationship Id="rId153" Type="http://schemas.openxmlformats.org/officeDocument/2006/relationships/hyperlink" Target="https://www.tiktok.com/@qrtlaenii_" TargetMode="External"/><Relationship Id="rId274" Type="http://schemas.openxmlformats.org/officeDocument/2006/relationships/hyperlink" Target="https://www.tiktok.com/@rsmaw31/video/7643806384902933778?is_from_webapp=1&amp;sender_device=pc" TargetMode="External"/><Relationship Id="rId152" Type="http://schemas.openxmlformats.org/officeDocument/2006/relationships/hyperlink" Target="https://vt.tiktok.com/ZSm4yRB8W/" TargetMode="External"/><Relationship Id="rId273" Type="http://schemas.openxmlformats.org/officeDocument/2006/relationships/hyperlink" Target="https://vt.tiktok.com/ZS9RRYLRx/" TargetMode="External"/><Relationship Id="rId151" Type="http://schemas.openxmlformats.org/officeDocument/2006/relationships/hyperlink" Target="https://www.tiktok.com/@diindiinaa" TargetMode="External"/><Relationship Id="rId272" Type="http://schemas.openxmlformats.org/officeDocument/2006/relationships/hyperlink" Target="https://www.tiktok.com/@rsmaw31" TargetMode="External"/><Relationship Id="rId158" Type="http://schemas.openxmlformats.org/officeDocument/2006/relationships/hyperlink" Target="https://vt.tiktok.com/ZS9Lp9aed/" TargetMode="External"/><Relationship Id="rId279" Type="http://schemas.openxmlformats.org/officeDocument/2006/relationships/hyperlink" Target="https://www.tiktok.com/@mezamahira" TargetMode="External"/><Relationship Id="rId157" Type="http://schemas.openxmlformats.org/officeDocument/2006/relationships/hyperlink" Target="https://vt.tiktok.com/ZS9LpBk7q/" TargetMode="External"/><Relationship Id="rId278" Type="http://schemas.openxmlformats.org/officeDocument/2006/relationships/hyperlink" Target="https://vt.tiktok.com/ZS9DMGyCA/" TargetMode="External"/><Relationship Id="rId156" Type="http://schemas.openxmlformats.org/officeDocument/2006/relationships/hyperlink" Target="https://www.tiktok.com/@iniziraajuga" TargetMode="External"/><Relationship Id="rId277" Type="http://schemas.openxmlformats.org/officeDocument/2006/relationships/hyperlink" Target="https://www.tiktok.com/@bbydreamer93" TargetMode="External"/><Relationship Id="rId155" Type="http://schemas.openxmlformats.org/officeDocument/2006/relationships/hyperlink" Target="https://www.tiktok.com/@qrtlaenii_/video/7618737148300348693?_r=1&amp;u_code=ej64dh5167i2cf&amp;region=&amp;mid=7605046453416758037&amp;preview_pb=0&amp;sharer_language=&amp;_d=0&amp;ec_shared_reflux_dynamic_params=%7B%22placeholder_material_id%22%3A%227618737148300348693%22%2C%22placeholder_origin_cover%22%3A%22https%253A%252F%252Fp16-sign-sg.tiktokcdn.com%252Ftos-alisg-p-0037%252FoMRABJ0I7BWBCAaZwNoJbfiIiBAK6A3699Ud7I~tplv-tiktokx-origin.jpeg%253Fdr%253D14572%2526refresh_token%253De8578a5d%2526x-expires%253D1805940000%2526x-signature%253DxL%25252FyGaYrfaHtL0jqn0RZQmLkFcw%25253D%2526t%253D4d5b0474%2526ps%253D13740610%2526shp%253Dd05b14bd%2526shcp%253D34ff8df6%2526idc%253Dmy2%2526s%253DTIKTOK_AFFILIATE_VIRAL_VIDEO%22%2C%22placeholder_product_id%22%3A%221733551239648413075%22%2C%22placeholder_video_id%22%3A%227618737148300348693%22%7D&amp;ec_shared_reflux_scene=shop_tab_feed&amp;share_item_id=7618737148300348693&amp;source=h5_t" TargetMode="External"/><Relationship Id="rId276" Type="http://schemas.openxmlformats.org/officeDocument/2006/relationships/hyperlink" Target="https://www.tiktok.com/@shopingiin" TargetMode="External"/><Relationship Id="rId107" Type="http://schemas.openxmlformats.org/officeDocument/2006/relationships/hyperlink" Target="https://www.tiktok.com/@frdqus" TargetMode="External"/><Relationship Id="rId228" Type="http://schemas.openxmlformats.org/officeDocument/2006/relationships/hyperlink" Target="https://www.tiktok.com/@mell.nt/video/7636710898979097876?_r=1&amp;u_code=dk55im6hjml075&amp;region=&amp;mid=7624657111119153938&amp;preview_pb=0&amp;sharer_language=&amp;_d=0&amp;ec_shared_reflux_dynamic_params=%7B%22placeholder_material_id%22%3A%227636710898979097876%22%2C%22placeholder_origin_cover%22%3A%22https%253A%252F%252Fp16-common-sign.tiktokcdn.com%252Ftos-alisg-p-0037%252Fog37D0wfPAIUlMLgBBI0lCALDiAqiCPKIsWIn7~tplv-tiktokx-origin.jpeg%253Fdr%253D14572%2526refresh_token%253D852b45ac%2526x-expires%253D1809597600%2526x-signature%253D89LQBD8IVCbjPTqpWTGmg3jtgGs%25253D%2526t%253D4d5b0474%2526ps%253D13740610%2526shp%253Dd05b14bd%2526shcp%253D34ff8df6%2526idc%253Dmy%2526s%253DTIKTOK_AFFILIATE_VIRAL_VIDEO%22%2C%22placeholder_product_id%22%3A%221731334333969302931%22%2C%22placeholder_video_id%22%3A%227636710898979097876%22%7D&amp;ec_shared_reflux_scene=shop_tab_feed&amp;share_item_id=7636710898979097876&amp;source=h5_t" TargetMode="External"/><Relationship Id="rId349" Type="http://schemas.openxmlformats.org/officeDocument/2006/relationships/hyperlink" Target="https://www.tiktok.com/@notyourbaeee6/video/7641244788368346386?_r=1&amp;u_code=dgj9fj87m48ke1&amp;region=&amp;mid=7638981916192852756&amp;preview_pb=0&amp;sharer_language=&amp;_d=0&amp;ec_shared_reflux_dynamic_params=%7B%22placeholder_material_id%22%3A%227641244788368346386%22%2C%22placeholder_origin_cover%22%3A%22https%253A%252F%252Fp16-common-sign.tiktokcdn.com%252Ftos-alisg-p-0037%252FoAE5BZjIIDAf6IQLBUgAezEVoCFe7JFDkXzZp5~tplv-tiktokx-origin.jpeg%253Fdr%253D14572%2526refresh_token%253Da99d27ab%2526x-expires%253D1810980000%2526x-signature%253DrF7jjr%25252Fjoy5SHJ7mZavPgdil1gg%25253D%2526t%253D4d5b0474%2526ps%253D13740610%2526shp%253Dd05b14bd%2526shcp%253D34ff8df6%2526idc%253Dmy2%2526s%253DTIKTOK_AFFILIATE_VIRAL_VIDEO%22%2C%22placeholder_product_id%22%3A%221731793046946547091%22%2C%22placeholder_video_id%22%3A%227641244788368346386%22%7D&amp;ec_shared_reflux_scene=shop_tab_feed&amp;share_item_id=7641244788368346386&amp;source=h5_t" TargetMode="External"/><Relationship Id="rId106" Type="http://schemas.openxmlformats.org/officeDocument/2006/relationships/hyperlink" Target="https://vt.tiktok.com/ZSmKyTfhG/" TargetMode="External"/><Relationship Id="rId227" Type="http://schemas.openxmlformats.org/officeDocument/2006/relationships/hyperlink" Target="https://www.tiktok.com/@mell.nt/video/7632969321307753748?_r=1&amp;u_code=dk55im6hjml075&amp;region=&amp;mid=7615505674093234177&amp;preview_pb=0&amp;sharer_language=&amp;_d=0&amp;ec_shared_reflux_dynamic_params=%7B%22placeholder_material_id%22%3A%227632969321307753748%22%2C%22placeholder_origin_cover%22%3A%22https%253A%252F%252Fp16-common-sign.tiktokcdn.com%252Ftos-alisg-p-0037%252FoYDntE9CEQw7BFkE9cNfHZ9TIjfGBRgZtpQcAB~tplv-tiktokx-origin.jpeg%253Fdr%253D14572%2526refresh_token%253D96b67b91%2526x-expires%253D1808820000%2526x-signature%253Dst7CLqFrSz0nnMUqsYClFeNQJc0%25253D%2526t%253D4d5b0474%2526ps%253D13740610%2526shp%253Dd05b14bd%2526shcp%253D34ff8df6%2526idc%253Dmy3%2526s%253DTIKTOK_AFFILIATE_VIRAL_VIDEO%22%2C%22placeholder_product_id%22%3A%221731334333969302931%22%2C%22placeholder_video_id%22%3A%227632969321307753748%22%7D&amp;ec_shared_reflux_scene=shop_tab_feed&amp;share_item_id=7632969321307753748&amp;source=h5_t" TargetMode="External"/><Relationship Id="rId348" Type="http://schemas.openxmlformats.org/officeDocument/2006/relationships/hyperlink" Target="https://www.tiktok.com/@notyourbaeee6/video/7641244788368346386?_r=1&amp;u_code=dgj9fj87m48ke1&amp;region=&amp;mid=7638981916192852756&amp;preview_pb=0&amp;sharer_language=&amp;_d=0&amp;ec_shared_reflux_dynamic_params=%7B%22placeholder_material_id%22%3A%227641244788368346386%22%2C%22placeholder_origin_cover%22%3A%22https%253A%252F%252Fp16-common-sign.tiktokcdn.com%252Ftos-alisg-p-0037%252FoAE5BZjIIDAf6IQLBUgAezEVoCFe7JFDkXzZp5~tplv-tiktokx-origin.jpeg%253Fdr%253D14572%2526refresh_token%253D11b65c24%2526x-expires%253D1810720800%2526x-signature%253DCwVzSZzbc0fLrpWGFSOvjucXlY4%25253D%2526t%253D4d5b0474%2526ps%253D13740610%2526shp%253Dd05b14bd%2526shcp%253D34ff8df6%2526idc%253Dmy3%2526s%253DTIKTOK_AFFILIATE_VIRAL_VIDEO%22%2C%22placeholder_product_id%22%3A%221731793046946547091%22%2C%22placeholder_video_id%22%3A%227641244788368346386%22%7D&amp;ec_shared_reflux_scene=shop_tab_feed&amp;share_item_id=7641244788368346386&amp;source=h5_t" TargetMode="External"/><Relationship Id="rId105" Type="http://schemas.openxmlformats.org/officeDocument/2006/relationships/hyperlink" Target="https://www.tiktok.com/@azzazhr21" TargetMode="External"/><Relationship Id="rId226" Type="http://schemas.openxmlformats.org/officeDocument/2006/relationships/hyperlink" Target="https://vt.tiktok.com/ZSHqPysNv/" TargetMode="External"/><Relationship Id="rId347" Type="http://schemas.openxmlformats.org/officeDocument/2006/relationships/hyperlink" Target="https://www.tiktok.com/@notyourbaeee6" TargetMode="External"/><Relationship Id="rId104" Type="http://schemas.openxmlformats.org/officeDocument/2006/relationships/hyperlink" Target="https://vt.tiktok.com/ZSao95PbC/" TargetMode="External"/><Relationship Id="rId225" Type="http://schemas.openxmlformats.org/officeDocument/2006/relationships/hyperlink" Target="https://vt.tiktok.com/ZSHkjVmmQ/" TargetMode="External"/><Relationship Id="rId346" Type="http://schemas.openxmlformats.org/officeDocument/2006/relationships/hyperlink" Target="https://www.tiktok.com/@ginafathonah_" TargetMode="External"/><Relationship Id="rId109" Type="http://schemas.openxmlformats.org/officeDocument/2006/relationships/hyperlink" Target="https://vt.tiktok.com/ZSmB1CLWg/" TargetMode="External"/><Relationship Id="rId108" Type="http://schemas.openxmlformats.org/officeDocument/2006/relationships/hyperlink" Target="https://vt.tiktok.com/ZSmLa3b32/" TargetMode="External"/><Relationship Id="rId229" Type="http://schemas.openxmlformats.org/officeDocument/2006/relationships/hyperlink" Target="https://www.tiktok.com/@letssgloow" TargetMode="External"/><Relationship Id="rId220" Type="http://schemas.openxmlformats.org/officeDocument/2006/relationships/hyperlink" Target="https://www.tiktok.com/@thespillroom_" TargetMode="External"/><Relationship Id="rId341" Type="http://schemas.openxmlformats.org/officeDocument/2006/relationships/hyperlink" Target="https://www.tiktok.com/@crakersluf/video/7639582949599399176?_r=1&amp;u_code=dih634fd6mh9bc&amp;region=&amp;mid=7558368334434159371&amp;preview_pb=0&amp;sharer_language=&amp;_d=0&amp;ec_shared_reflux_dynamic_params=%7B%22placeholder_material_id%22%3A%227639582949599399176%22%2C%22placeholder_origin_cover%22%3A%22https%253A%252F%252Fp16-common-sign.tiktokcdn.com%252Ftos-alisg-p-0037%252FoAIFIAAkIQ8AA6B1zi0cPrbNhf4CginwuppDAZ~tplv-tiktokx-origin.jpeg%253Fdr%253D14572%2526refresh_token%253D10a4f8fc%2526x-expires%253D1810634400%2526x-signature%253DrCab8uIV1fvUMUrByJAZiuMEYwE%25253D%2526t%253D4d5b0474%2526ps%253D13740610%2526shp%253Dd05b14bd%2526shcp%253D34ff8df6%2526idc%253Dmy3%2526s%253DTIKTOK_AFFILIATE_VIRAL_VIDEO%22%2C%22placeholder_product_id%22%3A%221733551239648413075%22%2C%22placeholder_video_id%22%3A%227639582949599399176%22%7D&amp;ec_shared_reflux_scene=shop_tab_feed&amp;share_item_id=7639582949599399176&amp;source=h5_t" TargetMode="External"/><Relationship Id="rId340" Type="http://schemas.openxmlformats.org/officeDocument/2006/relationships/hyperlink" Target="https://vt.tiktok.com/ZSxJVdXu7/" TargetMode="External"/><Relationship Id="rId103" Type="http://schemas.openxmlformats.org/officeDocument/2006/relationships/hyperlink" Target="https://vt.tiktok.com/ZSaoPXpjw/" TargetMode="External"/><Relationship Id="rId224" Type="http://schemas.openxmlformats.org/officeDocument/2006/relationships/hyperlink" Target="https://www.tiktok.com/@mell.nt" TargetMode="External"/><Relationship Id="rId345" Type="http://schemas.openxmlformats.org/officeDocument/2006/relationships/hyperlink" Target="https://www.tiktok.com/@naniinan09/video/7615892816526331156?is_from_webapp=1&amp;sender_device=pc" TargetMode="External"/><Relationship Id="rId102" Type="http://schemas.openxmlformats.org/officeDocument/2006/relationships/hyperlink" Target="https://vt.tiktok.com/ZSaw2GfT4/" TargetMode="External"/><Relationship Id="rId223" Type="http://schemas.openxmlformats.org/officeDocument/2006/relationships/hyperlink" Target="https://www.tiktok.com/@thespillroom_/video/7632166629916331282?_r=1&amp;u_code=e24308bk181a90&amp;region=&amp;mid=7604121927885359105&amp;preview_pb=0&amp;sharer_language=&amp;_d=0&amp;ec_shared_reflux_dynamic_params=%7B%22placeholder_material_id%22%3A%227632166629916331282%22%2C%22placeholder_origin_cover%22%3A%22https%253A%252F%252Fp16-common-sign.tiktokcdn.com%252Ftos-alisg-p-0037%252FoErwuiBzICAOsIKEsqiImnAA5DUwy059e0PMT7~tplv-tiktokx-origin.jpeg%253Fdr%253D14572%2526refresh_token%253Da713f638%2526x-expires%253D1808553600%2526x-signature%253D4Qpn839vfB2e%25252BtZvyGIK%25252BJmGZbQ%25253D%2526t%253D4d5b0474%2526ps%253D13740610%2526shp%253Dd05b14bd%2526shcp%253D34ff8df6%2526idc%253Dmy3%2526s%253DTIKTOK_AFFILIATE_VIRAL_VIDEO%22%2C%22placeholder_product_id%22%3A%221733551239648413075%22%2C%22placeholder_video_id%22%3A%227632166629916331282%22%7D&amp;ec_shared_reflux_scene=shop_tab_feed&amp;share_item_id=7632166629916331282&amp;source=h5_t" TargetMode="External"/><Relationship Id="rId344" Type="http://schemas.openxmlformats.org/officeDocument/2006/relationships/hyperlink" Target="https://www.tiktok.com/@naniinan09/video/7615892816526331156?is_from_webapp=1&amp;sender_device=pc" TargetMode="External"/><Relationship Id="rId101" Type="http://schemas.openxmlformats.org/officeDocument/2006/relationships/hyperlink" Target="https://vt.tiktok.com/ZSa3paXey/" TargetMode="External"/><Relationship Id="rId222" Type="http://schemas.openxmlformats.org/officeDocument/2006/relationships/hyperlink" Target="https://vt.tiktok.com/ZS9LgUB8D/" TargetMode="External"/><Relationship Id="rId343" Type="http://schemas.openxmlformats.org/officeDocument/2006/relationships/hyperlink" Target="https://www.tiktok.com/@naniinan09" TargetMode="External"/><Relationship Id="rId100" Type="http://schemas.openxmlformats.org/officeDocument/2006/relationships/hyperlink" Target="https://www.tiktok.com/@melani.makeup17" TargetMode="External"/><Relationship Id="rId221" Type="http://schemas.openxmlformats.org/officeDocument/2006/relationships/hyperlink" Target="https://www.tiktok.com/@thespillroom_/video/7631528151356640519?_r=1&amp;u_code=e24308bk181a90&amp;region=&amp;mid=7476696512706186000&amp;preview_pb=0&amp;sharer_language=&amp;_d=0&amp;ec_shared_reflux_dynamic_params=%7B%22placeholder_material_id%22%3A%227631528151356640519%22%2C%22placeholder_origin_cover%22%3A%22https%253A%252F%252Fp16-common-sign.tiktokcdn.com%252Ftos-alisg-p-0037%252Fo0C9Bf06Ci9uInokrB0wiAuoIYIFAzAoDALIUN~tplv-tiktokx-origin.jpeg%253Fdr%253D14572%2526refresh_token%253D4a3e6b48%2526x-expires%253D1808460000%2526x-signature%253DTGbs9s6q%25252FZl7P7g8XpZEwolG2qs%25253D%2526t%253D4d5b0474%2526ps%253D13740610%2526shp%253Dd05b14bd%2526shcp%253D34ff8df6%2526idc%253Dmy3%2526s%253DTIKTOK_AFFILIATE_VIRAL_VIDEO%22%2C%22placeholder_product_id%22%3A%221733551239648413075%22%2C%22placeholder_video_id%22%3A%227631528151356640519%22%7D&amp;ec_shared_reflux_scene=shop_tab_feed&amp;share_item_id=7631528151356640519&amp;source=h5_t" TargetMode="External"/><Relationship Id="rId342" Type="http://schemas.openxmlformats.org/officeDocument/2006/relationships/hyperlink" Target="https://www.tiktok.com/@crakersluf/video/7639945558462975240?_r=1&amp;u_code=dih634fd6mh9bc&amp;region=&amp;mid=7636739860161727253&amp;preview_pb=0&amp;sharer_language=&amp;_d=0&amp;ec_shared_reflux_dynamic_params=%7B%22placeholder_material_id%22%3A%227639945558462975240%22%2C%22placeholder_origin_cover%22%3A%22https%253A%252F%252Fp16-common-sign.tiktokcdn.com%252Ftos-alisg-p-0037%252FoIjBNAPWR4BGRIQUoDLeDCA1iFfDMeQrjcGuIl~tplv-tiktokx-origin.jpeg%253Fdr%253D14572%2526refresh_token%253D481f9e89%2526x-expires%253D1810634400%2526x-signature%253D021DfHGVtXhYz1YVT6I6QaBaxnc%25253D%2526t%253D4d5b0474%2526ps%253D13740610%2526shp%253Dd05b14bd%2526shcp%253D34ff8df6%2526idc%253Dmy3%2526s%253DTIKTOK_AFFILIATE_VIRAL_VIDEO%22%2C%22placeholder_product_id%22%3A%221733551239648413075%22%2C%22placeholder_video_id%22%3A%227639945558462975240%22%7D&amp;ec_shared_reflux_scene=shop_tab_feed&amp;share_item_id=7639945558462975240&amp;source=h5_t" TargetMode="External"/><Relationship Id="rId217" Type="http://schemas.openxmlformats.org/officeDocument/2006/relationships/hyperlink" Target="https://www.tiktok.com/@infopromoaja/video/7619252597546831120?_r=1&amp;u_code=f0j3bk1fa00ii3&amp;region=&amp;mid=7586667641051007745&amp;preview_pb=0&amp;sharer_language=&amp;_d=0&amp;ec_shared_reflux_dynamic_params=%7B%22placeholder_material_id%22%3A%227619252597546831120%22%2C%22placeholder_origin_cover%22%3A%22https%253A%252F%252Fp16-sign-sg.tiktokcdn.com%252Ftos-alisg-p-0037%252FokGVNGPcAMFQmCemegQLIv6eQFBe7T06PAGCR2~tplv-tiktokx-origin.jpeg%253Fdr%253D14572%2526refresh_token%253D65045e35%2526x-expires%253D1805968800%2526x-signature%253D3bQKtrfumAavURNsdWK223AIp%25252FY%25253D%2526t%253D4d5b0474%2526ps%253D13740610%2526shp%253Dd05b14bd%2526shcp%253D34ff8df6%2526idc%253Dmy2%2526s%253DTIKTOK_AFFILIATE_VIRAL_VIDEO%22%2C%22placeholder_product_id%22%3A%221731334333969302931%22%2C%22placeholder_video_id%22%3A%227619252597546831120%22%7D&amp;ec_shared_reflux_scene=shop_tab_feed&amp;share_item_id=7619252597546831120&amp;source=h5_t" TargetMode="External"/><Relationship Id="rId338" Type="http://schemas.openxmlformats.org/officeDocument/2006/relationships/hyperlink" Target="https://www.tiktok.com/@crakersluf" TargetMode="External"/><Relationship Id="rId216" Type="http://schemas.openxmlformats.org/officeDocument/2006/relationships/hyperlink" Target="https://www.tiktok.com/@infopromoaja/video/7619162397621652737?_d=0&amp;_r=1&amp;ec_shared_reflux_dynamic_params=%7B%22placeholder_material_id%22%3A%227619162397621652737%22%2C%22placeholder_origin_cover%22%3A%22https%253A%252F%252Fp16-sign-sg.tiktokcdn.com%252Ftos-alisg-p-0037%252FoQimAQC03AbdA9sBi7klqItAqF8fIJGzCBswIB~tplv-tiktokx-origin.jpeg%253Fdr%253D14572%2526refresh_token%253D5a0aa919%2526x-expires%253D1805940000%2526x-signature%253DFWnV9CC%25252FRv1NLH493YBMAnXiwFk%25253D%2526t%253D4d5b0474%2526ps%253D13740610%2526shp%253Dd05b14bd%2526shcp%253D34ff8df6%2526idc%253Dmy2%2526s%253DTIKTOK_AFFILIATE_VIRAL_VIDEO%22%2C%22placeholder_product_id%22%3A%221731334333969302931%22%2C%22placeholder_video_id%22%3A%227619162397621652737%22%7D&amp;ec_shared_reflux_scene=shop_tab_feed&amp;mid=7362193631252728581&amp;preview_pb=0&amp;region=&amp;share_item_id=7619162397621652737&amp;sharer_language=&amp;source=h5_t&amp;u_code=f0j3bk1fa00ii3" TargetMode="External"/><Relationship Id="rId337" Type="http://schemas.openxmlformats.org/officeDocument/2006/relationships/hyperlink" Target="https://www.tiktok.com/@racunskincarefiqi" TargetMode="External"/><Relationship Id="rId215" Type="http://schemas.openxmlformats.org/officeDocument/2006/relationships/hyperlink" Target="https://www.tiktok.com/@infopromoaja" TargetMode="External"/><Relationship Id="rId336" Type="http://schemas.openxmlformats.org/officeDocument/2006/relationships/hyperlink" Target="https://www.tiktok.com/@sintakurniawati.61" TargetMode="External"/><Relationship Id="rId214" Type="http://schemas.openxmlformats.org/officeDocument/2006/relationships/hyperlink" Target="https://www.tiktok.com/@storetheskincare/video/7620461933510003988?_r=1&amp;u_code=ehl4kibe50lhm3&amp;region=&amp;mid=7558786414730300171&amp;preview_pb=0&amp;sharer_language=&amp;_d=0&amp;ec_shared_reflux_dynamic_params=%7B%22placeholder_material_id%22%3A%227620461933510003988%22%2C%22placeholder_origin_cover%22%3A%22https%253A%252F%252Fp16-sign-sg.tiktokcdn.com%252Ftos-alisg-p-0037%252FoYeCNTPIIXeqALFmbC4Q3ADoxxSgCQGoIQ5ej5~tplv-tiktokx-origin.jpeg%253Fdr%253D14572%2526refresh_token%253Df3ba226a%2526x-expires%253D1805940000%2526x-signature%253D7EL6w36UTVvanr686F8mtme8lQA%25253D%2526t%253D4d5b0474%2526ps%253D13740610%2526shp%253Dd05b14bd%2526shcp%253D34ff8df6%2526idc%253Dmy2%2526s%253DTIKTOK_AFFILIATE_VIRAL_VIDEO%22%2C%22placeholder_product_id%22%3A%221729991116494375315%22%2C%22placeholder_video_id%22%3A%227620461933510003988%22%7D&amp;ec_shared_reflux_scene=shop_tab_feed&amp;share_item_id=7620461933510003988&amp;source=h5_t" TargetMode="External"/><Relationship Id="rId335" Type="http://schemas.openxmlformats.org/officeDocument/2006/relationships/hyperlink" Target="https://www.tiktok.com/@Internal" TargetMode="External"/><Relationship Id="rId219" Type="http://schemas.openxmlformats.org/officeDocument/2006/relationships/hyperlink" Target="https://www.tiktok.com/@infopromoaja/video/7620774424853122305?_r=1&amp;u_code=f0j3bk1fa00ii3&amp;region=&amp;mid=7415463043465201680&amp;preview_pb=0&amp;sharer_language=&amp;_d=0&amp;ec_shared_reflux_dynamic_params=%7B%22placeholder_material_id%22%3A%227620774424853122305%22%2C%22placeholder_origin_cover%22%3A%22https%253A%252F%252Fp16-sign-sg.tiktokcdn.com%252Ftos-alisg-p-0037%252FoMgfMEwINlQnhtETA6CQj3qLxe2seNI4DGaCA4~tplv-tiktokx-origin.jpeg%253Fdr%253D14572%2526refresh_token%253D85da4b3f%2526x-expires%253D1806055200%2526x-signature%253Dp%25252FAuE3Qy1xRtHjwTo56xrADNPb0%25253D%2526t%253D4d5b0474%2526ps%253D13740610%2526shp%253Dd05b14bd%2526shcp%253D34ff8df6%2526idc%253Dmy2%2526s%253DTIKTOK_AFFILIATE_VIRAL_VIDEO%22%2C%22placeholder_product_id%22%3A%221731334333969302931%22%2C%22placeholder_video_id%22%3A%227620774424853122305%22%7D&amp;ec_shared_reflux_scene=shop_tab_feed&amp;share_item_id=7620774424853122305&amp;source=h5_t" TargetMode="External"/><Relationship Id="rId218" Type="http://schemas.openxmlformats.org/officeDocument/2006/relationships/hyperlink" Target="https://www.tiktok.com/@infopromoaja/video/7620022924145200385?_r=1&amp;u_code=f0j3bk1fa00ii3&amp;region=&amp;mid=7594264901795728136&amp;preview_pb=0&amp;sharer_language=&amp;_d=0&amp;ec_shared_reflux_dynamic_params=%7B%22placeholder_material_id%22%3A%227620022924145200385%22%2C%22placeholder_origin_cover%22%3A%22https%253A%252F%252Fp16-sign-sg.tiktokcdn.com%252Ftos-alisg-p-0037%252Fo4GiyIYDSghfJLeRPQ4eLtnUpYM0FGAtfmg4AG~tplv-tiktokx-origin.jpeg%253Fdr%253D14572%2526refresh_token%253D4a37d36d%2526x-expires%253D1806055200%2526x-signature%253DrwA%25252BNnRiTXAwIPU5fC3FikF7NSA%25253D%2526t%253D4d5b0474%2526ps%253D13740610%2526shp%253Dd05b14bd%2526shcp%253D34ff8df6%2526idc%253Dmy2%2526s%253DTIKTOK_AFFILIATE_VIRAL_VIDEO%22%2C%22placeholder_product_id%22%3A%221731334333969302931%22%2C%22placeholder_video_id%22%3A%227620022924145200385%22%7D&amp;ec_shared_reflux_scene=shop_tab_feed&amp;share_item_id=7620022924145200385&amp;source=h5_t" TargetMode="External"/><Relationship Id="rId339" Type="http://schemas.openxmlformats.org/officeDocument/2006/relationships/hyperlink" Target="https://vt.tiktok.com/ZSxJ4EwM4/" TargetMode="External"/><Relationship Id="rId330" Type="http://schemas.openxmlformats.org/officeDocument/2006/relationships/hyperlink" Target="https://www.tiktok.com/@ptsabbythrds" TargetMode="External"/><Relationship Id="rId213" Type="http://schemas.openxmlformats.org/officeDocument/2006/relationships/hyperlink" Target="https://www.tiktok.com/@storetheskincare/video/7619464445089123605?_r=1&amp;u_code=ehl4kibe50lhm3&amp;region=&amp;mid=7580087028324616193&amp;preview_pb=0&amp;sharer_language=&amp;_d=0&amp;ec_shared_reflux_dynamic_params=%7B%22placeholder_material_id%22%3A%227619464445089123605%22%2C%22placeholder_origin_cover%22%3A%22https%253A%252F%252Fp16-sign-sg.tiktokcdn.com%252Ftos-alisg-p-0037%252FowOmeEGGgGFIfl6TeRAAgGALg47vJwAzTfxGwj~tplv-tiktokx-origin.jpeg%253Fdr%253D14572%2526refresh_token%253D04a816c5%2526x-expires%253D1805940000%2526x-signature%253DeqHoCl9D%25252FRzK7hp5husD5jmemLQ%25253D%2526t%253D4d5b0474%2526ps%253D13740610%2526shp%253Dd05b14bd%2526shcp%253D34ff8df6%2526idc%253Dmy2%2526s%253DTIKTOK_AFFILIATE_VIRAL_VIDEO%22%2C%22placeholder_product_id%22%3A%221729991116494375315%22%2C%22placeholder_video_id%22%3A%227619464445089123605%22%7D&amp;ec_shared_reflux_scene=shop_tab_feed&amp;share_item_id=7619464445089123605&amp;source=h5_t" TargetMode="External"/><Relationship Id="rId334" Type="http://schemas.openxmlformats.org/officeDocument/2006/relationships/hyperlink" Target="https://www.tiktok.com/@ptsabbythrds" TargetMode="External"/><Relationship Id="rId212" Type="http://schemas.openxmlformats.org/officeDocument/2006/relationships/hyperlink" Target="https://vt.tiktok.com/ZSuB581KX/" TargetMode="External"/><Relationship Id="rId333" Type="http://schemas.openxmlformats.org/officeDocument/2006/relationships/hyperlink" Target="https://www.tiktok.com/@mamak_kao/video/7645709028278013204?is_from_webapp=1&amp;sender_device=pc" TargetMode="External"/><Relationship Id="rId211" Type="http://schemas.openxmlformats.org/officeDocument/2006/relationships/hyperlink" Target="https://www.tiktok.com/@storetheskincare" TargetMode="External"/><Relationship Id="rId332" Type="http://schemas.openxmlformats.org/officeDocument/2006/relationships/hyperlink" Target="https://www.tiktok.com/@mamak_kao/video/7645708886913191188?is_from_webapp=1&amp;sender_device=pc" TargetMode="External"/><Relationship Id="rId210" Type="http://schemas.openxmlformats.org/officeDocument/2006/relationships/hyperlink" Target="https://vt.tiktok.com/ZSu3YDFbG/" TargetMode="External"/><Relationship Id="rId331" Type="http://schemas.openxmlformats.org/officeDocument/2006/relationships/hyperlink" Target="https://www.tiktok.com/@mamak_kao/video/7641730122462104852?_r=1&amp;u_code=d039e0h2dj1lcf&amp;region=&amp;mid=7638565651757599495&amp;preview_pb=0&amp;sharer_language=&amp;_d=0&amp;ec_shared_reflux_dynamic_params=%7B%22placeholder_material_id%22%3A%227641730122462104852%22%2C%22placeholder_origin_cover%22%3A%22https%253A%252F%252Fp16-common-sign.tiktokcdn.com%252Ftos-alisg-p-0037%252FosZgAGGCrQU2Lg4GI4eCjeTej1ADwcISAIDGaQ~tplv-tiktokx-origin.jpeg%253Fdr%253D14572%2526refresh_token%253Dccff93ad%2526x-expires%253D1810980000%2526x-signature%253DjrgqQouOMGkMYjqPHrXf%25252BFplET0%25253D%2526t%253D4d5b0474%2526ps%253D13740610%2526shp%253Dd05b14bd%2526shcp%253D34ff8df6%2526idc%253Dmy2%2526s%253DTIKTOK_AFFILIATE_VIRAL_VIDEO%22%2C%22placeholder_product_id%22%3A%221734428346458932627%22%2C%22placeholder_video_id%22%3A%227641730122462104852%22%7D&amp;ec_shared_reflux_scene=shop_tab_feed&amp;share_item_id=7641730122462104852&amp;source=h5_t" TargetMode="External"/><Relationship Id="rId129" Type="http://schemas.openxmlformats.org/officeDocument/2006/relationships/hyperlink" Target="https://www.tiktok.com/@Innahhiyan" TargetMode="External"/><Relationship Id="rId128" Type="http://schemas.openxmlformats.org/officeDocument/2006/relationships/hyperlink" Target="https://www.tiktok.com/@_cipo07/video/7612646448441707797?_r=1&amp;u_code=df9egdb78gif3g&amp;region=&amp;mid=7136445672676411393&amp;preview_pb=0&amp;sharer_language=&amp;_d=0&amp;ec_shared_reflux_dynamic_params=%7B%22placeholder_material_id%22%3A%227612646448441707797%22%2C%22placeholder_origin_cover%22%3A%22https%253A%252F%252Fp16-sign-sg.tiktokcdn.com%252Ftos-alisg-p-0037%252FokTSexLjQrxMCqPIQeXlbDAQBjFau4fTkAXDqE~tplv-tiktokx-origin.jpeg%253Fdr%253D14572%2526refresh_token%253D42e1386e%2526x-expires%253D1804068000%2526x-signature%253DFjvzP8F0YvKTOva71YWeI4Mqsoc%25253D%2526t%253D4d5b0474%2526ps%253D13740610%2526shp%253Dd05b14bd%2526shcp%253D34ff8df6%2526idc%253Dmy2%2526s%253DTIKTOK_AFFILIATE_VIRAL_VIDEO%22%2C%22placeholder_product_id%22%3A%221729991116494375315%22%2C%22placeholder_video_id%22%3A%227612646448441707797%22%7D&amp;ec_shared_reflux_scene=shop_tab_feed&amp;share_item_id=7612646448441707797&amp;source=h5_t" TargetMode="External"/><Relationship Id="rId249" Type="http://schemas.openxmlformats.org/officeDocument/2006/relationships/hyperlink" Target="https://vt.tiktok.com/ZSHbNnwcM/" TargetMode="External"/><Relationship Id="rId127" Type="http://schemas.openxmlformats.org/officeDocument/2006/relationships/hyperlink" Target="https://www.tiktok.com/@_cipo07/video/7611274876485225749?_r=1&amp;u_code=df9egdb78gif3g&amp;region=&amp;mid=6817306569852585985&amp;preview_pb=0&amp;sharer_language=&amp;_d=0&amp;ec_shared_reflux_dynamic_params=%7B%22placeholder_material_id%22%3A%227611274876485225749%22%2C%22placeholder_origin_cover%22%3A%22https%253A%252F%252Fp16-sign-sg.tiktokcdn.com%252Ftos-alisg-p-0037%252FowDegjf4AmgKpFrEVXlBAacpEoIBrItgRj2yaV~tplv-tiktokx-origin.jpeg%253Fdr%253D14572%2526refresh_token%253D9bce676a%2526x-expires%253D1803711600%2526x-signature%253DBzmkRDdunKcIUWATc4XLq%25252BMPaJI%25253D%2526t%253D4d5b0474%2526ps%253D13740610%2526shp%253Dd05b14bd%2526shcp%253D34ff8df6%2526idc%253Dmy2%2526s%253DTIKTOK_AFFILIATE_VIRAL_VIDEO%22%2C%22placeholder_product_id%22%3A%221729991116494375315%22%2C%22placeholder_video_id%22%3A%227611274876485225749%22%7D&amp;ec_shared_reflux_scene=shop_tab_feed&amp;share_item_id=7611274876485225749&amp;source=h5_t" TargetMode="External"/><Relationship Id="rId248" Type="http://schemas.openxmlformats.org/officeDocument/2006/relationships/hyperlink" Target="https://www.tiktok.com/@meamore42" TargetMode="External"/><Relationship Id="rId126" Type="http://schemas.openxmlformats.org/officeDocument/2006/relationships/hyperlink" Target="https://www.tiktok.com/@_cipo07" TargetMode="External"/><Relationship Id="rId247" Type="http://schemas.openxmlformats.org/officeDocument/2006/relationships/hyperlink" Target="https://www.tiktok.com/@niacamallo/video/7626616771738438919?_r=1&amp;u_code=dah368f8m5cege&amp;region=&amp;mid=7596631294790142741&amp;preview_pb=0&amp;sharer_language=&amp;_d=0&amp;ec_shared_reflux_dynamic_params=%7B%22placeholder_material_id%22%3A%227626616771738438919%22%2C%22placeholder_origin_cover%22%3A%22https%253A%252F%252Fp16-common-sign.tiktokcdn.com%252Ftos-alisg-p-0037%252Fo45yGD1TIAUjeZCEvBLEKP93TIDRgqFDpXBhXf~tplv-tiktokx-origin.jpeg%253Fdr%253D14572%2526refresh_token%253Dacf86f8b%2526x-expires%253D1811239200%2526x-signature%253DhPN5SO6DDqXgfpoSOB3BrdiNj08%25253D%2526t%253D4d5b0474%2526ps%253D13740610%2526shp%253Dd05b14bd%2526shcp%253D34ff8df6%2526idc%253Dmy3%2526s%253DTIKTOK_AFFILIATE_VIRAL_VIDEO%22%2C%22placeholder_product_id%22%3A%221734428346458932627%22%2C%22placeholder_video_id%22%3A%227626616771738438919%22%7D&amp;ec_shared_reflux_scene=shop_tab_feed&amp;share_item_id=7626616771738438919&amp;source=h5_t" TargetMode="External"/><Relationship Id="rId368" Type="http://schemas.openxmlformats.org/officeDocument/2006/relationships/table" Target="../tables/table3.xml"/><Relationship Id="rId121" Type="http://schemas.openxmlformats.org/officeDocument/2006/relationships/hyperlink" Target="https://www.tiktok.com/@rkmyng" TargetMode="External"/><Relationship Id="rId242" Type="http://schemas.openxmlformats.org/officeDocument/2006/relationships/hyperlink" Target="https://www.tiktok.com/@prettygirls.www" TargetMode="External"/><Relationship Id="rId120" Type="http://schemas.openxmlformats.org/officeDocument/2006/relationships/hyperlink" Target="https://www.tiktok.com/@neng.ofii/video/7613367496367770901?_r=1&amp;u_code=e8laed2miiaebb&amp;region=&amp;mid=7086563693013518338&amp;preview_pb=0&amp;sharer_language=&amp;_d=0&amp;ec_shared_reflux_dynamic_params=%7B%22placeholder_material_id%22%3A%227613367496367770901%22%2C%22placeholder_origin_cover%22%3A%22https%253A%252F%252Fp16-sign-sg.tiktokcdn.com%252Ftos-alisg-p-0037%252FoIf1upXmA0XMIwiIHGviZCOBAwpE1IIo56uAAA~tplv-tiktokx-origin.jpeg%253Fdr%253D14572%2526refresh_token%253D964c2bb2%2526x-expires%253D1807092000%2526x-signature%253DJ1arFBJp7aqYIJvDDmKYlY3IVyU%25253D%2526t%253D4d5b0474%2526ps%253D13740610%2526shp%253Dd05b14bd%2526shcp%253D34ff8df6%2526idc%253Dmy2%2526s%253DTIKTOK_AFFILIATE_VIRAL_VIDEO%22%2C%22placeholder_product_id%22%3A%221729991116494375315%22%2C%22placeholder_video_id%22%3A%227613367496367770901%22%7D&amp;ec_shared_reflux_scene=shop_tab_feed&amp;share_item_id=7613367496367770901&amp;source=h5_t" TargetMode="External"/><Relationship Id="rId241" Type="http://schemas.openxmlformats.org/officeDocument/2006/relationships/hyperlink" Target="https://www.tiktok.com/@bygurlsspil" TargetMode="External"/><Relationship Id="rId362" Type="http://schemas.openxmlformats.org/officeDocument/2006/relationships/vmlDrawing" Target="../drawings/vmlDrawing4.vml"/><Relationship Id="rId240" Type="http://schemas.openxmlformats.org/officeDocument/2006/relationships/hyperlink" Target="https://vt.tiktok.com/ZSuVvkpBr/" TargetMode="External"/><Relationship Id="rId361" Type="http://schemas.openxmlformats.org/officeDocument/2006/relationships/drawing" Target="../drawings/drawing10.xml"/><Relationship Id="rId360" Type="http://schemas.openxmlformats.org/officeDocument/2006/relationships/hyperlink" Target="https://www.tiktok.com/@beautynfinity_" TargetMode="External"/><Relationship Id="rId125" Type="http://schemas.openxmlformats.org/officeDocument/2006/relationships/hyperlink" Target="https://vt.tiktok.com/ZSmgtXACW/" TargetMode="External"/><Relationship Id="rId246" Type="http://schemas.openxmlformats.org/officeDocument/2006/relationships/hyperlink" Target="https://www.tiktok.com/@niacamallo/video/7626616771738438919?_r=1&amp;u_code=dah368f8m5cege&amp;region=&amp;mid=7596631294790142741&amp;preview_pb=0&amp;sharer_language=&amp;_d=0&amp;ec_shared_reflux_dynamic_params=%7B%22placeholder_material_id%22%3A%227626616771738438919%22%2C%22placeholder_origin_cover%22%3A%22https%253A%252F%252Fp16-common-sign.tiktokcdn.com%252Ftos-alisg-p-0037%252Fo45yGD1TIAUjeZCEvBLEKP93TIDRgqFDpXBhXf~tplv-tiktokx-origin.jpeg%253Fdr%253D14572%2526refresh_token%253D46daa140%2526x-expires%253D1810980000%2526x-signature%253DUqDaywd6lniO5xNgFddr%25252F0fWiVI%25253D%2526t%253D4d5b0474%2526ps%253D13740610%2526shp%253Dd05b14bd%2526shcp%253D34ff8df6%2526idc%253Dmy2%2526s%253DTIKTOK_AFFILIATE_VIRAL_VIDEO%22%2C%22placeholder_product_id%22%3A%221734428346458932627%22%2C%22placeholder_video_id%22%3A%227626616771738438919%22%7D&amp;ec_shared_reflux_scene=shop_tab_feed&amp;share_item_id=7626616771738438919&amp;source=h5_t" TargetMode="External"/><Relationship Id="rId367" Type="http://schemas.openxmlformats.org/officeDocument/2006/relationships/table" Target="../tables/table2.xml"/><Relationship Id="rId124" Type="http://schemas.openxmlformats.org/officeDocument/2006/relationships/hyperlink" Target="https://www.tiktok.com/@Pinkskieslova" TargetMode="External"/><Relationship Id="rId245" Type="http://schemas.openxmlformats.org/officeDocument/2006/relationships/hyperlink" Target="https://vt.tiktok.com/ZSHu3oS2P/" TargetMode="External"/><Relationship Id="rId366" Type="http://schemas.openxmlformats.org/officeDocument/2006/relationships/table" Target="../tables/table1.xml"/><Relationship Id="rId123" Type="http://schemas.openxmlformats.org/officeDocument/2006/relationships/hyperlink" Target="https://vt.tiktok.com/ZS9Lgcd1L/" TargetMode="External"/><Relationship Id="rId244" Type="http://schemas.openxmlformats.org/officeDocument/2006/relationships/hyperlink" Target="https://www.tiktok.com/@niacamallo" TargetMode="External"/><Relationship Id="rId122" Type="http://schemas.openxmlformats.org/officeDocument/2006/relationships/hyperlink" Target="https://www.tiktok.com/@rkmyng/video/7618138776006675733?_r=1&amp;u_code=d6ekdaheggk4le&amp;region=&amp;mid=7477315942379932421&amp;preview_pb=0&amp;sharer_language=&amp;_d=0&amp;ec_shared_reflux_dynamic_params=%7B%22placeholder_material_id%22%3A%227618138776006675733%22%2C%22placeholder_origin_cover%22%3A%22https%253A%252F%252Fp16-sign-sg.tiktokcdn.com%252Ftos-alisg-p-0037%252FoAIiTDQ6DBGaAwARQjVICefyk4Ldjc9IG5MReT~tplv-tiktokx-origin.jpeg%253Fdr%253D14572%2526refresh_token%253Dcf7e7f6e%2526x-expires%253D1805274000%2526x-signature%253DNgHti4yYoaD7P973qxuNBuaCZ60%25253D%2526t%253D4d5b0474%2526ps%253D13740610%2526shp%253Dd05b14bd%2526shcp%253D34ff8df6%2526idc%253Dmy%2526s%253DTIKTOK_AFFILIATE_VIRAL_VIDEO%22%2C%22placeholder_product_id%22%3A%221729991116494375315%22%2C%22placeholder_video_id%22%3A%227618138776006675733%22%7D&amp;ec_shared_reflux_scene=shop_tab_feed&amp;share_item_id=7618138776006675733&amp;source=h5_t" TargetMode="External"/><Relationship Id="rId243" Type="http://schemas.openxmlformats.org/officeDocument/2006/relationships/hyperlink" Target="https://www.tiktok.com/@kim.ivy18" TargetMode="External"/><Relationship Id="rId95" Type="http://schemas.openxmlformats.org/officeDocument/2006/relationships/hyperlink" Target="https://www.tiktok.com/@amdwt_" TargetMode="External"/><Relationship Id="rId94" Type="http://schemas.openxmlformats.org/officeDocument/2006/relationships/hyperlink" Target="https://www.tiktok.com/@dinif.sa/video/7609975617034931477?_r=1&amp;u_code=dbghm7c96hifg4&amp;region=&amp;mid=7361113482927934254&amp;preview_pb=0&amp;sharer_language=&amp;_d=0&amp;ec_shared_reflux_dynamic_params=%7B%22placeholder_material_id%22%3A%227609975617034931477%22%2C%22placeholder_origin_cover%22%3A%22https%253A%252F%252Fp16-sign-sg.tiktokcdn.com%252Ftos-alisg-p-0037%252Fowscw0gnfAIVkB2iCDRpcJBdEEBUFEIVsBhIXe~tplv-tiktokx-origin.jpeg%253Fdr%253D14572%2526refresh_token%253D364e1219%2526x-expires%253D1803380400%2526x-signature%253DNf%25252FIpgTsg%25252FnU2psp33rbBkV8qkw%25253D%2526t%253D4d5b0474%2526ps%253D13740610%2526shp%253Dd05b14bd%2526shcp%253D34ff8df6%2526idc%253Dmy%2526s%253DTIKTOK_AFFILIATE_VIRAL_VIDEO%22%2C%22placeholder_product_id%22%3A%221733551239648413075%22%2C%22placeholder_video_id%22%3A%227609975617034931477%22%7D&amp;ec_shared_reflux_scene=shop_tab_feed&amp;share_item_id=7609975617034931477&amp;source=h5_t" TargetMode="External"/><Relationship Id="rId97" Type="http://schemas.openxmlformats.org/officeDocument/2006/relationships/hyperlink" Target="https://www.tiktok.com/@amdwt_/video/7607408303215234320?_r=1&amp;u_code=e1hfcbaag95l92&amp;region=&amp;mid=7586098842886621973&amp;preview_pb=0&amp;sharer_language=&amp;_d=0&amp;ec_shared_reflux_dynamic_params=%7B%22placeholder_material_id%22%3A%227607408303215234320%22%2C%22placeholder_origin_cover%22%3A%22https%253A%252F%252Fp16-sign-sg.tiktokcdn.com%252Ftos-alisg-p-0037%252FooAkC0XAM0iiCQiIP5IBpjAu68wPsf0SMuyIbB~tplv-tiktokx-origin.jpeg%253Fdr%253D14572%2526refresh_token%253Da96a3159%2526x-expires%253D1802944800%2526x-signature%253DSTu3oJYb38r5OaCIWWI6c%25252FY7mls%25253D%2526t%253D4d5b0474%2526ps%253D13740610%2526shp%253Dd05b14bd%2526shcp%253D34ff8df6%2526idc%253Dmy%2526s%253DTIKTOK_AFFILIATE_VIRAL_VIDEO%22%2C%22placeholder_product_id%22%3A%221729991116494375315%22%2C%22placeholder_video_id%22%3A%227607408303215234320%22%7D&amp;ec_shared_reflux_scene=shop_tab_feed&amp;share_item_id=7607408303215234320&amp;source=h5_t" TargetMode="External"/><Relationship Id="rId96" Type="http://schemas.openxmlformats.org/officeDocument/2006/relationships/hyperlink" Target="https://www.tiktok.com/@amdwt_/video/7607406813390146817?_r=1&amp;u_code=e1hfcbaag95l92&amp;region=&amp;mid=7586522350683441927&amp;preview_pb=0&amp;sharer_language=&amp;_d=0&amp;ec_shared_reflux_dynamic_params=%7B%22placeholder_material_id%22%3A%227607406813390146817%22%2C%22placeholder_origin_cover%22%3A%22https%253A%252F%252Fp16-sign-sg.tiktokcdn.com%252Ftos-alisg-p-0037%252FogCyuIFIBnYgXA89wifFAxAziiMx80ACm1zI3S~tplv-tiktokx-origin.jpeg%253Fdr%253D14572%2526refresh_token%253D617923fe%2526x-expires%253D1802944800%2526x-signature%253DxKWgwZ%25252BG9dE364oCjQKcT4tex%25252Bk%25253D%2526t%253D4d5b0474%2526ps%253D13740610%2526shp%253Dd05b14bd%2526shcp%253D34ff8df6%2526idc%253Dmy%2526s%253DTIKTOK_AFFILIATE_VIRAL_VIDEO%22%2C%22placeholder_product_id%22%3A%221729991116494375315%22%2C%22placeholder_video_id%22%3A%227607406813390146817%22%7D&amp;ec_shared_reflux_scene=shop_tab_feed&amp;share_item_id=7607406813390146817&amp;source=h5_t" TargetMode="External"/><Relationship Id="rId99" Type="http://schemas.openxmlformats.org/officeDocument/2006/relationships/hyperlink" Target="https://www.tiktok.com/@amdwt_/video/7610279444728548624?is_from_webapp=1&amp;sender_device=pc" TargetMode="External"/><Relationship Id="rId98" Type="http://schemas.openxmlformats.org/officeDocument/2006/relationships/hyperlink" Target="https://www.tiktok.com/@amdwt_/video/7607479414678359313?_r=1&amp;u_code=e1hfcbaag95l92&amp;region=&amp;mid=7471609139404294913&amp;preview_pb=0&amp;sharer_language=&amp;_d=0&amp;ec_shared_reflux_dynamic_params=%7B%22placeholder_material_id%22%3A%227607479414678359313%22%2C%22placeholder_origin_cover%22%3A%22https%253A%252F%252Fp16-sign-sg.tiktokcdn.com%252Ftos-alisg-p-0037%252FoMyXOTIgJiSAylYFBmDMzMvZI3iBnJizBaAPE~tplv-tiktokx-origin.jpeg%253Fdr%253D14572%2526refresh_token%253De08b4db3%2526x-expires%253D1802944800%2526x-signature%253D9AwJb2RhaLxp7rxS%25252BGnAFtHsfow%25253D%2526t%253D4d5b0474%2526ps%253D13740610%2526shp%253Dd05b14bd%2526shcp%253D34ff8df6%2526idc%253Dmy%2526s%253DTIKTOK_AFFILIATE_VIRAL_VIDEO%22%2C%22placeholder_product_id%22%3A%221729991116494375315%22%2C%22placeholder_video_id%22%3A%227607479414678359313%22%7D&amp;ec_shared_reflux_scene=shop_tab_feed&amp;share_item_id=7607479414678359313&amp;source=h5_t" TargetMode="External"/><Relationship Id="rId91" Type="http://schemas.openxmlformats.org/officeDocument/2006/relationships/hyperlink" Target="https://www.tiktok.com/@dinif.sa/video/7607043133674671380?_r=1&amp;u_code=dbghm7c96hifg4&amp;region=&amp;mid=7570976337012230913&amp;preview_pb=0&amp;sharer_language=&amp;_d=0&amp;ec_shared_reflux_dynamic_params=%7B%22placeholder_material_id%22%3A%227607043133674671380%22%2C%22placeholder_origin_cover%22%3A%22https%253A%252F%252Fp16-sign-sg.tiktokcdn.com%252Ftos-alisg-p-0037%252FoY3LYICvQtjoGnT3IeuzRQ0eTXepIGm5IFIAAD~tplv-tiktokx-origin.jpeg%253Fdr%253D14572%2526refresh_token%253D525c79d0%2526x-expires%253D1803031200%2526x-signature%253DB9bdSSuznSfVWc262Dq%25252FJPW%25252BKlw%25253D%2526t%253D4d5b0474%2526ps%253D13740610%2526shp%253Dd05b14bd%2526shcp%253D34ff8df6%2526idc%253Dmy%2526s%253DTIKTOK_AFFILIATE_VIRAL_VIDEO%22%2C%22placeholder_product_id%22%3A%221733551239648413075%22%2C%22placeholder_video_id%22%3A%227607043133674671380%22%7D&amp;ec_shared_reflux_scene=shop_tab_feed&amp;share_item_id=7607043133674671380&amp;source=h5_t" TargetMode="External"/><Relationship Id="rId90" Type="http://schemas.openxmlformats.org/officeDocument/2006/relationships/hyperlink" Target="https://www.tiktok.com/@dinif.sa" TargetMode="External"/><Relationship Id="rId93" Type="http://schemas.openxmlformats.org/officeDocument/2006/relationships/hyperlink" Target="https://www.tiktok.com/@dinif.sa/video/7609297164916903189?_r=1&amp;u_code=dbghm7c96hifg4&amp;region=&amp;mid=7576309970312989454&amp;preview_pb=0&amp;sharer_language=&amp;_d=0&amp;ec_shared_reflux_dynamic_params=%7B%22placeholder_material_id%22%3A%227609297164916903189%22%2C%22placeholder_origin_cover%22%3A%22https%253A%252F%252Fp16-sign-sg.tiktokcdn.com%252Ftos-alisg-p-0037%252FoQD6zwfdFXVapFQE7ejBAXcYEmQBTQ7gR9UjEW~tplv-tiktokx-origin.jpeg%253Fdr%253D14572%2526refresh_token%253D8c060a3b%2526x-expires%253D1803380400%2526x-signature%253D0FE9gIkb3qzbkBF%25252FK6oNfIPVjWs%25253D%2526t%253D4d5b0474%2526ps%253D13740610%2526shp%253Dd05b14bd%2526shcp%253D34ff8df6%2526idc%253Dmy%2526s%253DTIKTOK_AFFILIATE_VIRAL_VIDEO%22%2C%22placeholder_product_id%22%3A%221733551239648413075%22%2C%22placeholder_video_id%22%3A%227609297164916903189%22%7D&amp;ec_shared_reflux_scene=shop_tab_feed&amp;share_item_id=7609297164916903189&amp;source=h5_t" TargetMode="External"/><Relationship Id="rId92" Type="http://schemas.openxmlformats.org/officeDocument/2006/relationships/hyperlink" Target="https://www.tiktok.com/@dinif.sa/video/7608039221126843668?_r=1&amp;u_code=dbghm7c96hifg4&amp;region=&amp;mid=7535381417631713281&amp;preview_pb=0&amp;sharer_language=&amp;_d=0&amp;ec_shared_reflux_dynamic_params=%7B%22placeholder_material_id%22%3A%227608039221126843668%22%2C%22placeholder_origin_cover%22%3A%22https%253A%252F%252Fp16-sign-sg.tiktokcdn.com%252Ftos-alisg-p-0037%252Fo4QVQFBGRLylAWDpFFeHf1OK62pE0ECgUJS2BM~tplv-tiktokx-origin.jpeg%253Fdr%253D14572%2526refresh_token%253D93412ca6%2526x-expires%253D1803031200%2526x-signature%253Du4NKzy3F%25252FoMC1TfKzsY5vVC4kWY%25253D%2526t%253D4d5b0474%2526ps%253D13740610%2526shp%253Dd05b14bd%2526shcp%253D34ff8df6%2526idc%253Dmy%2526s%253DTIKTOK_AFFILIATE_VIRAL_VIDEO%22%2C%22placeholder_product_id%22%3A%221734193621636318611%22%2C%22placeholder_video_id%22%3A%227608039221126843668%22%7D&amp;ec_shared_reflux_scene=shop_tab_feed&amp;share_item_id=7608039221126843668&amp;source=h5_t" TargetMode="External"/><Relationship Id="rId118" Type="http://schemas.openxmlformats.org/officeDocument/2006/relationships/hyperlink" Target="https://www.tiktok.com/@neng.ofii/video/7613367496367770901?_r=1&amp;u_code=e8laed2miiaebb&amp;region=&amp;mid=7086563693013518338&amp;preview_pb=0&amp;sharer_language=&amp;_d=0&amp;ec_shared_reflux_dynamic_params=%7B%22placeholder_material_id%22%3A%227613367496367770901%22%2C%22placeholder_origin_cover%22%3A%22https%253A%252F%252Fp16-sign-sg.tiktokcdn.com%252Ftos-alisg-p-0037%252FoIf1upXmA0XMIwiIHGviZCOBAwpE1IIo56uAAA~tplv-tiktokx-origin.jpeg%253Fdr%253D14572%2526refresh_token%253D97e40453%2526x-expires%253D1804230000%2526x-signature%253DL%25252FdBp9c1P3KGaic28q7ub5FSBbU%25253D%2526t%253D4d5b0474%2526ps%253D13740610%2526shp%253Dd05b14bd%2526shcp%253D34ff8df6%2526idc%253Dmy2%2526s%253DTIKTOK_AFFILIATE_VIRAL_VIDEO%22%2C%22placeholder_product_id%22%3A%221729991116494375315%22%2C%22placeholder_video_id%22%3A%227613367496367770901%22%7D&amp;ec_shared_reflux_scene=shop_tab_feed&amp;share_item_id=7613367496367770901&amp;source=h5_t" TargetMode="External"/><Relationship Id="rId239" Type="http://schemas.openxmlformats.org/officeDocument/2006/relationships/hyperlink" Target="https://www.tiktok.com/@iwantu2dmoon" TargetMode="External"/><Relationship Id="rId117" Type="http://schemas.openxmlformats.org/officeDocument/2006/relationships/hyperlink" Target="https://www.tiktok.com/@neng.ofii" TargetMode="External"/><Relationship Id="rId238" Type="http://schemas.openxmlformats.org/officeDocument/2006/relationships/hyperlink" Target="https://vt.tiktok.com/ZSH9Ty1JC/" TargetMode="External"/><Relationship Id="rId359" Type="http://schemas.openxmlformats.org/officeDocument/2006/relationships/hyperlink" Target="https://www.tiktok.com/@anasthetixs" TargetMode="External"/><Relationship Id="rId116" Type="http://schemas.openxmlformats.org/officeDocument/2006/relationships/hyperlink" Target="https://www.tiktok.com/@rysa_mon/video/7610400939828202773?is_from_webapp=1&amp;sender_device=pc" TargetMode="External"/><Relationship Id="rId237" Type="http://schemas.openxmlformats.org/officeDocument/2006/relationships/hyperlink" Target="https://vt.tiktok.com/ZSHfEjVRe/" TargetMode="External"/><Relationship Id="rId358" Type="http://schemas.openxmlformats.org/officeDocument/2006/relationships/hyperlink" Target="https://www.tiktok.com/@serbaserbishp" TargetMode="External"/><Relationship Id="rId115" Type="http://schemas.openxmlformats.org/officeDocument/2006/relationships/hyperlink" Target="https://vt.tiktok.com/ZSmDq29Fu/" TargetMode="External"/><Relationship Id="rId236" Type="http://schemas.openxmlformats.org/officeDocument/2006/relationships/hyperlink" Target="https://www.tiktok.com/@kylaaagirl" TargetMode="External"/><Relationship Id="rId357" Type="http://schemas.openxmlformats.org/officeDocument/2006/relationships/hyperlink" Target="https://www.tiktok.com/@moona.things" TargetMode="External"/><Relationship Id="rId119" Type="http://schemas.openxmlformats.org/officeDocument/2006/relationships/hyperlink" Target="https://vt.tiktok.com/ZSuMneLta/" TargetMode="External"/><Relationship Id="rId110" Type="http://schemas.openxmlformats.org/officeDocument/2006/relationships/hyperlink" Target="https://vt.tiktok.com/ZSmB1DDBc/" TargetMode="External"/><Relationship Id="rId231" Type="http://schemas.openxmlformats.org/officeDocument/2006/relationships/hyperlink" Target="https://www.tiktok.com/@callmeqoory" TargetMode="External"/><Relationship Id="rId352" Type="http://schemas.openxmlformats.org/officeDocument/2006/relationships/hyperlink" Target="https://www.tiktok.com/@puspitajasmine26/video/7639644891030637832?_r=1&amp;u_code=dicfhiec9dj8ch&amp;region=&amp;mid=7639644931363031824&amp;preview_pb=0&amp;sharer_language=&amp;_d=0&amp;ec_shared_reflux_dynamic_params=%7B%22placeholder_material_id%22%3A%227639644891030637832%22%2C%22placeholder_origin_cover%22%3A%22https%253A%252F%252Fp16-common-sign.tiktokcdn.com%252Ftos-alisg-p-0037%252FoIKd8XrvDQoSMKphAVFCURRYLBf7q0BQEeglEB~tplv-tiktokx-origin.jpeg%253Fdr%253D14572%2526refresh_token%253D38b5b0db%2526x-expires%253D1810720800%2526x-signature%253DuiTJ%25252Bdv4D3PM7cDs9abPWWp%25252BJJg%25253D%2526t%253D4d5b0474%2526ps%253D13740610%2526shp%253Dd05b14bd%2526shcp%253D34ff8df6%2526idc%253Dmy3%2526s%253DTIKTOK_AFFILIATE_VIRAL_VIDEO%22%2C%22placeholder_product_id%22%3A%221734425989485397395%22%2C%22placeholder_video_id%22%3A%227639644891030637832%22%7D&amp;ec_shared_reflux_scene=shop_tab_feed&amp;share_item_id=7639644891030637832&amp;source=h5_t" TargetMode="External"/><Relationship Id="rId230" Type="http://schemas.openxmlformats.org/officeDocument/2006/relationships/hyperlink" Target="https://vt.tiktok.com/ZSHFU7TNQ/" TargetMode="External"/><Relationship Id="rId351" Type="http://schemas.openxmlformats.org/officeDocument/2006/relationships/hyperlink" Target="https://www.tiktok.com/@puspitajasmine26" TargetMode="External"/><Relationship Id="rId350" Type="http://schemas.openxmlformats.org/officeDocument/2006/relationships/hyperlink" Target="https://www.tiktok.com/@notyourbaeee6/video/7644103498283437330?is_from_webapp=1&amp;sender_device=pc" TargetMode="External"/><Relationship Id="rId114" Type="http://schemas.openxmlformats.org/officeDocument/2006/relationships/hyperlink" Target="https://www.tiktok.com/@rysa_mon" TargetMode="External"/><Relationship Id="rId235" Type="http://schemas.openxmlformats.org/officeDocument/2006/relationships/hyperlink" Target="https://www.tiktok.com/@wwzn13" TargetMode="External"/><Relationship Id="rId356" Type="http://schemas.openxmlformats.org/officeDocument/2006/relationships/hyperlink" Target="https://www.tiktok.com/@sye.stuff" TargetMode="External"/><Relationship Id="rId113" Type="http://schemas.openxmlformats.org/officeDocument/2006/relationships/hyperlink" Target="https://vt.tiktok.com/ZSmUUK86g/" TargetMode="External"/><Relationship Id="rId234" Type="http://schemas.openxmlformats.org/officeDocument/2006/relationships/hyperlink" Target="https://vt.tiktok.com/ZSHdfnGxT/" TargetMode="External"/><Relationship Id="rId355" Type="http://schemas.openxmlformats.org/officeDocument/2006/relationships/hyperlink" Target="https://www.tiktok.com/@haulbyping" TargetMode="External"/><Relationship Id="rId112" Type="http://schemas.openxmlformats.org/officeDocument/2006/relationships/hyperlink" Target="https://www.tiktok.com/@liansseptiana" TargetMode="External"/><Relationship Id="rId233" Type="http://schemas.openxmlformats.org/officeDocument/2006/relationships/hyperlink" Target="https://vt.tiktok.com/ZSHdft4SM/" TargetMode="External"/><Relationship Id="rId354" Type="http://schemas.openxmlformats.org/officeDocument/2006/relationships/hyperlink" Target="https://www.tiktok.com/@mamak_kao" TargetMode="External"/><Relationship Id="rId111" Type="http://schemas.openxmlformats.org/officeDocument/2006/relationships/hyperlink" Target="https://vt.tiktok.com/ZSmB1Qcuw/" TargetMode="External"/><Relationship Id="rId232" Type="http://schemas.openxmlformats.org/officeDocument/2006/relationships/hyperlink" Target="https://vt.tiktok.com/ZSHdffBHC/" TargetMode="External"/><Relationship Id="rId353" Type="http://schemas.openxmlformats.org/officeDocument/2006/relationships/hyperlink" Target="https://www.tiktok.com/@puspitajasmine26/video/7640457316818570503?_r=1&amp;u_code=dicfhiec9dj8ch&amp;region=&amp;mid=7640458470516935444&amp;preview_pb=0&amp;sharer_language=&amp;_d=0&amp;ec_shared_reflux_dynamic_params=%7B%22placeholder_material_id%22%3A%227640457316818570503%22%2C%22placeholder_origin_cover%22%3A%22https%253A%252F%252Fp19-common-sign.tiktokcdn.com%252Ftos-alisg-p-0037%252FoYAmBCHqQE4BnV5IxbIfBFXC8DX7UFI690cpfg~tplv-tiktokx-origin.jpeg%253Fdr%253D14572%2526refresh_token%253Dfbe8b05e%2526x-expires%253D1810980000%2526x-signature%253DQepaQyrwQSl0JKEpnA96ZcOh5MM%25253D%2526t%253D4d5b0474%2526ps%253D13740610%2526shp%253Dd05b14bd%2526shcp%253D34ff8df6%2526idc%253Dmy2%2526s%253DTIKTOK_AFFILIATE_VIRAL_VIDEO%22%2C%22placeholder_product_id%22%3A%221734425989485397395%22%2C%22placeholder_video_id%22%3A%227640457316818570503%22%7D&amp;ec_shared_reflux_scene=shop_tab_feed&amp;share_item_id=7640457316818570503&amp;source=h5_t" TargetMode="External"/><Relationship Id="rId305" Type="http://schemas.openxmlformats.org/officeDocument/2006/relationships/hyperlink" Target="https://www.tiktok.com/@dinif.sa/video/7613613556050791700?_r=1&amp;u_code=dbghm7c96hifg4&amp;region=&amp;mid=7575135744474254098&amp;preview_pb=0&amp;sharer_language=&amp;_d=0&amp;ec_shared_reflux_dynamic_params=%7B%22placeholder_material_id%22%3A%227613613556050791700%22%2C%22placeholder_origin_cover%22%3A%22https%253A%252F%252Fp16-common-sign.tiktokcdn.com%252Ftos-alisg-p-0037%252FoMRWqFBRcDpNqEE0fgnCAaT1Qf9YB4BEURQnPD~tplv-tiktokx-origin.jpeg%253Fdr%253D14572%2526refresh_token%253D568af14a%2526x-expires%253D1808820000%2526x-signature%253DeghHxpYs2o3MPBBnC6rkSztCMRw%25253D%2526t%253D4d5b0474%2526ps%253D13740610%2526shp%253Dd05b14bd%2526shcp%253D34ff8df6%2526idc%253Dmy3%2526s%253DTIKTOK_AFFILIATE_VIRAL_VIDEO%22%2C%22placeholder_product_id%22%3A%221733551239648413075%22%2C%22placeholder_video_id%22%3A%227613613556050791700%22%7D&amp;ec_shared_reflux_scene=shop_tab_feed&amp;share_item_id=7613613556050791700&amp;source=h5_t" TargetMode="External"/><Relationship Id="rId304" Type="http://schemas.openxmlformats.org/officeDocument/2006/relationships/hyperlink" Target="https://www.tiktok.com/@dinif.sa" TargetMode="External"/><Relationship Id="rId303" Type="http://schemas.openxmlformats.org/officeDocument/2006/relationships/hyperlink" Target="http://dinif.sa" TargetMode="External"/><Relationship Id="rId302" Type="http://schemas.openxmlformats.org/officeDocument/2006/relationships/hyperlink" Target="https://www.tiktok.com/@pipittindah_/video/7633407063917464840?_r=1&amp;u_code=ei7f388mlfm824&amp;region=&amp;mid=7367338564638837521&amp;preview_pb=0&amp;sharer_language=&amp;_d=0&amp;ec_shared_reflux_dynamic_params=%7B%22placeholder_material_id%22%3A%227633407063917464840%22%2C%22placeholder_origin_cover%22%3A%22https%253A%252F%252Fp16-common-sign.tiktokcdn.com%252Ftos-alisg-p-0037%252FoIV1leQABDATjw38znX4eleWRp41FIAiMCpjOZ~tplv-tiktokx-origin.jpeg%253Fdr%253D14572%2526refresh_token%253D7e0659bf%2526x-expires%253D1811325600%2526x-signature%253DnD%25252BEGfn6l83uAyNWY6UEXHY4h3o%25253D%2526t%253D4d5b0474%2526ps%253D13740610%2526shp%253Dd05b14bd%2526shcp%253D34ff8df6%2526idc%253Dmy2%2526s%253DTIKTOK_AFFILIATE_VIRAL_VIDEO%22%2C%22placeholder_product_id%22%3A%221734428324539958675%22%2C%22placeholder_video_id%22%3A%227633407063917464840%22%7D&amp;ec_shared_reflux_scene=shop_tab_feed&amp;share_item_id=7633407063917464840&amp;source=h5_t" TargetMode="External"/><Relationship Id="rId309" Type="http://schemas.openxmlformats.org/officeDocument/2006/relationships/hyperlink" Target="https://www.tiktok.com/@toko.yaa_" TargetMode="External"/><Relationship Id="rId308" Type="http://schemas.openxmlformats.org/officeDocument/2006/relationships/hyperlink" Target="https://www.tiktok.com/@dinif.sa/video/7621129696100633876?is_from_webapp=1&amp;sender_device=pc" TargetMode="External"/><Relationship Id="rId307" Type="http://schemas.openxmlformats.org/officeDocument/2006/relationships/hyperlink" Target="https://www.tiktok.com/@dinif.sa/video/7616717267576868116?is_from_webapp=1&amp;sender_device=pc" TargetMode="External"/><Relationship Id="rId306" Type="http://schemas.openxmlformats.org/officeDocument/2006/relationships/hyperlink" Target="https://www.tiktok.com/@dinif.sa/video/7613750988062723349?_r=1&amp;u_code=dbghm7c96hifg4&amp;region=&amp;mid=7543200900451273488&amp;preview_pb=0&amp;sharer_language=&amp;_d=0&amp;ec_shared_reflux_dynamic_params=%7B%22placeholder_material_id%22%3A%227613750988062723349%22%2C%22placeholder_origin_cover%22%3A%22https%253A%252F%252Fp16-sign-sg.tiktokcdn.com%252Ftos-alisg-p-0037%252FogEjQccfXkYQvPERUeqpyEFo6j3D79gBAjnGSB~tplv-tiktokx-origin.jpeg%253Fdr%253D14572%2526refresh_token%253Dd695cbf2%2526x-expires%253D1808820000%2526x-signature%253DMmAebnfMRJ2j4hhXvgbNvTgwM7E%25253D%2526t%253D4d5b0474%2526ps%253D13740610%2526shp%253Dd05b14bd%2526shcp%253D34ff8df6%2526idc%253Dmy3%2526s%253DTIKTOK_AFFILIATE_VIRAL_VIDEO%22%2C%22placeholder_product_id%22%3A%221733551239648413075%22%2C%22placeholder_video_id%22%3A%227613750988062723349%22%7D&amp;ec_shared_reflux_scene=shop_tab_feed&amp;share_item_id=7613750988062723349&amp;source=h5_t" TargetMode="External"/><Relationship Id="rId301" Type="http://schemas.openxmlformats.org/officeDocument/2006/relationships/hyperlink" Target="https://vt.tiktok.com/ZS9Xw6BJn/" TargetMode="External"/><Relationship Id="rId300" Type="http://schemas.openxmlformats.org/officeDocument/2006/relationships/hyperlink" Target="https://www.tiktok.com/@pipittindah_" TargetMode="External"/><Relationship Id="rId206" Type="http://schemas.openxmlformats.org/officeDocument/2006/relationships/hyperlink" Target="https://www.tiktok.com/@spill_by02_" TargetMode="External"/><Relationship Id="rId327" Type="http://schemas.openxmlformats.org/officeDocument/2006/relationships/hyperlink" Target="https://www.tiktok.com/@pch992" TargetMode="External"/><Relationship Id="rId205" Type="http://schemas.openxmlformats.org/officeDocument/2006/relationships/hyperlink" Target="https://vt.tiktok.com/ZSuAab9Ts/" TargetMode="External"/><Relationship Id="rId326" Type="http://schemas.openxmlformats.org/officeDocument/2006/relationships/hyperlink" Target="https://www.tiktok.com/@tiktokshopp017_" TargetMode="External"/><Relationship Id="rId204" Type="http://schemas.openxmlformats.org/officeDocument/2006/relationships/hyperlink" Target="https://vt.tiktok.com/ZSuBLwgPN/" TargetMode="External"/><Relationship Id="rId325" Type="http://schemas.openxmlformats.org/officeDocument/2006/relationships/hyperlink" Target="https://vt.tiktok.com/ZS9npU5JK/" TargetMode="External"/><Relationship Id="rId203" Type="http://schemas.openxmlformats.org/officeDocument/2006/relationships/hyperlink" Target="https://www.tiktok.com/@naniinan09" TargetMode="External"/><Relationship Id="rId324" Type="http://schemas.openxmlformats.org/officeDocument/2006/relationships/hyperlink" Target="https://www.tiktok.com/@vinya.skincare/video/7634095568926559509?_r=1&amp;u_code=e5e0d4ff523558&amp;region=&amp;mid=7611414933255670546&amp;preview_pb=0&amp;sharer_language=&amp;_d=0&amp;ec_shared_reflux_dynamic_params=%7B%22placeholder_material_id%22%3A%227634095568926559509%22%2C%22placeholder_origin_cover%22%3A%22https%253A%252F%252Fp16-common-sign.tiktokcdn.com%252Ftos-alisg-p-0037%252Fo4AIwUfIJbjwAK0GJiHaCZiCxBxYPDAgICABLq~tplv-tiktokx-origin.jpeg%253Fdr%253D14572%2526refresh_token%253D17adbfa3%2526x-expires%253D1809424800%2526x-signature%253D2%25252B%25252BOoopwtl7lisgIy5GicSWLUXw%25253D%2526t%253D4d5b0474%2526ps%253D13740610%2526shp%253Dd05b14bd%2526shcp%253D34ff8df6%2526idc%253Dmy3%2526s%253DTIKTOK_AFFILIATE_VIRAL_VIDEO%22%2C%22placeholder_product_id%22%3A%221733551239648413075%22%2C%22placeholder_video_id%22%3A%227634095568926559509%22%7D&amp;ec_shared_reflux_scene=shop_tab_feed&amp;share_item_id=7634095568926559509&amp;source=h5_t" TargetMode="External"/><Relationship Id="rId209" Type="http://schemas.openxmlformats.org/officeDocument/2006/relationships/hyperlink" Target="https://www.tiktok.com/@moodtiaraaaaa" TargetMode="External"/><Relationship Id="rId208" Type="http://schemas.openxmlformats.org/officeDocument/2006/relationships/hyperlink" Target="https://vt.tiktok.com/ZSHbq5QSB/" TargetMode="External"/><Relationship Id="rId329" Type="http://schemas.openxmlformats.org/officeDocument/2006/relationships/hyperlink" Target="https://www.tiktok.com/@vansswan" TargetMode="External"/><Relationship Id="rId207" Type="http://schemas.openxmlformats.org/officeDocument/2006/relationships/hyperlink" Target="https://www.tiktok.com/@lusitaadyaa" TargetMode="External"/><Relationship Id="rId328" Type="http://schemas.openxmlformats.org/officeDocument/2006/relationships/hyperlink" Target="https://vt.tiktok.com/ZS9K88B7o/" TargetMode="External"/><Relationship Id="rId202" Type="http://schemas.openxmlformats.org/officeDocument/2006/relationships/hyperlink" Target="https://vt.tiktok.com/ZSH6XSj82/" TargetMode="External"/><Relationship Id="rId323" Type="http://schemas.openxmlformats.org/officeDocument/2006/relationships/hyperlink" Target="https://www.tiktok.com/@vinya.skincare/video/7634100632999218453?_r=1&amp;u_code=e5e0d4ff523558&amp;region=&amp;mid=7155467080018429954&amp;preview_pb=0&amp;sharer_language=&amp;_d=0&amp;ec_shared_reflux_dynamic_params=%7B%22placeholder_material_id%22%3A%227634100632999218453%22%2C%22placeholder_origin_cover%22%3A%22https%253A%252F%252Fp19-common-sign.tiktokcdn.com%252Ftos-alisg-p-0037%252Fo0mhxAl7cUB2IEIp38FfBBgqvxPwX8IeRzD0Eq~tplv-tiktokx-origin.jpeg%253Fdr%253D14572%2526refresh_token%253Df215cba1%2526x-expires%253D1809424800%2526x-signature%253D%25252FI43VAoKbv7zvNhBwjq7ZkN8ooY%25253D%2526t%253D4d5b0474%2526ps%253D13740610%2526shp%253Dd05b14bd%2526shcp%253D34ff8df6%2526idc%253Dmy3%2526s%253DTIKTOK_AFFILIATE_VIRAL_VIDEO%22%2C%22placeholder_product_id%22%3A%221733551239648413075%22%2C%22placeholder_video_id%22%3A%227634100632999218453%22%7D&amp;ec_shared_reflux_scene=shop_tab_feed&amp;share_item_id=7634100632999218453&amp;source=h5_t" TargetMode="External"/><Relationship Id="rId201" Type="http://schemas.openxmlformats.org/officeDocument/2006/relationships/hyperlink" Target="https://vt.tiktok.com/ZSH6XLsmm/" TargetMode="External"/><Relationship Id="rId322" Type="http://schemas.openxmlformats.org/officeDocument/2006/relationships/hyperlink" Target="https://www.tiktok.com/@vinya.skincare/video/7634120495579041044?_r=1&amp;u_code=e5e0d4ff523558&amp;region=&amp;mid=7615874061603719953&amp;preview_pb=0&amp;sharer_language=&amp;_d=0&amp;ec_shared_reflux_dynamic_params=%7B%22placeholder_material_id%22%3A%227634120495579041044%22%2C%22placeholder_origin_cover%22%3A%22https%253A%252F%252Fp16-common-sign.tiktokcdn.com%252Ftos-alisg-p-0037%252FokG2CD2YTfDwXCkxC1FEA8DfI4Ajj7lQQxfT46~tplv-tiktokx-origin.jpeg%253Fdr%253D14572%2526refresh_token%253D6cec8cbe%2526x-expires%253D1809424800%2526x-signature%253DWi7LapDCqhnz%25252FS6H9xRTzN%25252BIBOI%25253D%2526t%253D4d5b0474%2526ps%253D13740610%2526shp%253Dd05b14bd%2526shcp%253D34ff8df6%2526idc%253Dmy3%2526s%253DTIKTOK_AFFILIATE_VIRAL_VIDEO%22%2C%22placeholder_product_id%22%3A%221733551239648413075%22%2C%22placeholder_video_id%22%3A%227634120495579041044%22%7D&amp;ec_shared_reflux_scene=shop_tab_feed&amp;share_item_id=7634120495579041044&amp;source=h5_t" TargetMode="External"/><Relationship Id="rId200" Type="http://schemas.openxmlformats.org/officeDocument/2006/relationships/hyperlink" Target="https://vt.tiktok.com/ZSH6XRt3J/" TargetMode="External"/><Relationship Id="rId321" Type="http://schemas.openxmlformats.org/officeDocument/2006/relationships/hyperlink" Target="https://www.tiktok.com/@vinya.skincare" TargetMode="External"/><Relationship Id="rId320" Type="http://schemas.openxmlformats.org/officeDocument/2006/relationships/hyperlink" Target="https://vt.tiktok.com/ZS9y6qek4/" TargetMode="External"/><Relationship Id="rId316" Type="http://schemas.openxmlformats.org/officeDocument/2006/relationships/hyperlink" Target="https://www.tiktok.com/@puspitajasmine26" TargetMode="External"/><Relationship Id="rId315" Type="http://schemas.openxmlformats.org/officeDocument/2006/relationships/hyperlink" Target="https://www.tiktok.com/@affiliatee482/video/7636732719040482578?_d=0&amp;_r=1&amp;ec_shared_reflux_dynamic_params=%7B%22placeholder_material_id%22%3A%227636732719040482578%22%2C%22placeholder_origin_cover%22%3A%22https%253A%252F%252Fp16-common-sign.tiktokcdn.com%252Ftos-alisg-p-0037%252FoQ2YfiA24ACIHUfIYYNPLfLSfgMguiIWwPUAeT~tplv-tiktokx-origin.jpeg%253Fdr%253D14572%2526refresh_token%253Da7d1d196%2526x-expires%253D1810980000%2526x-signature%253DmBV98v5tTIcGFB5B3Ft9yyoLUB8%25253D%2526t%253D4d5b0474%2526ps%253D13740610%2526shp%253Dd05b14bd%2526shcp%253D34ff8df6%2526idc%253Dmy2%2526s%253DTIKTOK_AFFILIATE_VIRAL_VIDEO%22%2C%22placeholder_product_id%22%3A%221733551239648413075%22%2C%22placeholder_video_id%22%3A%227636732719040482578%22%7D&amp;ec_shared_reflux_scene=shop_tab_feed&amp;mid=7359400463302740768&amp;preview_pb=0&amp;region=&amp;share_item_id=7636732719040482578&amp;sharer_language=&amp;source=h5_t&amp;u_code=ei93hjm8hm70ef" TargetMode="External"/><Relationship Id="rId314" Type="http://schemas.openxmlformats.org/officeDocument/2006/relationships/hyperlink" Target="https://vt.tiktok.com/ZS9bFgXfN/" TargetMode="External"/><Relationship Id="rId313" Type="http://schemas.openxmlformats.org/officeDocument/2006/relationships/hyperlink" Target="https://www.tiktok.com/@affiliatee482" TargetMode="External"/><Relationship Id="rId319" Type="http://schemas.openxmlformats.org/officeDocument/2006/relationships/hyperlink" Target="https://vt.tiktok.com/ZS9UsDAdy/" TargetMode="External"/><Relationship Id="rId318" Type="http://schemas.openxmlformats.org/officeDocument/2006/relationships/hyperlink" Target="https://www.tiktok.com/@iganisaadheliaas" TargetMode="External"/><Relationship Id="rId317" Type="http://schemas.openxmlformats.org/officeDocument/2006/relationships/hyperlink" Target="https://www.tiktok.com/@aradumpie.__" TargetMode="External"/><Relationship Id="rId312" Type="http://schemas.openxmlformats.org/officeDocument/2006/relationships/hyperlink" Target="https://vt.tiktok.com/ZS9pRkecX/" TargetMode="External"/><Relationship Id="rId311" Type="http://schemas.openxmlformats.org/officeDocument/2006/relationships/hyperlink" Target="https://vt.tiktok.com/ZS9pR6r26/" TargetMode="External"/><Relationship Id="rId310" Type="http://schemas.openxmlformats.org/officeDocument/2006/relationships/hyperlink" Target="https://vt.tiktok.com/ZS9pR9AvT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vt.tiktok.com/ZS9RTehqk/" TargetMode="External"/><Relationship Id="rId190" Type="http://schemas.openxmlformats.org/officeDocument/2006/relationships/hyperlink" Target="https://vt.tiktok.com/ZSHPtnTD8/" TargetMode="External"/><Relationship Id="rId42" Type="http://schemas.openxmlformats.org/officeDocument/2006/relationships/hyperlink" Target="https://vt.tiktok.com/ZSH4mq8sj/" TargetMode="External"/><Relationship Id="rId41" Type="http://schemas.openxmlformats.org/officeDocument/2006/relationships/hyperlink" Target="https://www.tiktok.com/@arnillawati" TargetMode="External"/><Relationship Id="rId44" Type="http://schemas.openxmlformats.org/officeDocument/2006/relationships/hyperlink" Target="https://www.tiktok.com/@sunny.beaute" TargetMode="External"/><Relationship Id="rId194" Type="http://schemas.openxmlformats.org/officeDocument/2006/relationships/hyperlink" Target="https://vt.tiktok.com/ZSHCkUYLS/" TargetMode="External"/><Relationship Id="rId43" Type="http://schemas.openxmlformats.org/officeDocument/2006/relationships/hyperlink" Target="https://vt.tiktok.com/ZS9F73RxK/" TargetMode="External"/><Relationship Id="rId193" Type="http://schemas.openxmlformats.org/officeDocument/2006/relationships/hyperlink" Target="https://www.tiktok.com/@nelaa574/video/7624137737846738197?_r=1&amp;_t=ZS-95Kw25V2PGC" TargetMode="External"/><Relationship Id="rId46" Type="http://schemas.openxmlformats.org/officeDocument/2006/relationships/hyperlink" Target="https://www.tiktok.com/@sunny.beaute/video/7623303020633246983?_r=1&amp;_t=ZS-958oShpsnwN" TargetMode="External"/><Relationship Id="rId192" Type="http://schemas.openxmlformats.org/officeDocument/2006/relationships/hyperlink" Target="https://www.tiktok.com/@nelaa574" TargetMode="External"/><Relationship Id="rId45" Type="http://schemas.openxmlformats.org/officeDocument/2006/relationships/hyperlink" Target="https://vt.tiktok.com/ZSuHNNKB5/" TargetMode="External"/><Relationship Id="rId191" Type="http://schemas.openxmlformats.org/officeDocument/2006/relationships/hyperlink" Target="https://vt.tiktok.com/ZSHbV7uVK/" TargetMode="External"/><Relationship Id="rId48" Type="http://schemas.openxmlformats.org/officeDocument/2006/relationships/hyperlink" Target="https://www.tiktok.com/@nris9/video/7613330311622987029?_r=1&amp;_t=ZS-94PFRhrRf8a" TargetMode="External"/><Relationship Id="rId187" Type="http://schemas.openxmlformats.org/officeDocument/2006/relationships/hyperlink" Target="https://www.tiktok.com/@nandajeliss/video/7625254207347608850?_r=1&amp;_t=ZS-95KuxZVWlrl" TargetMode="External"/><Relationship Id="rId47" Type="http://schemas.openxmlformats.org/officeDocument/2006/relationships/hyperlink" Target="https://www.tiktok.com/@nris9" TargetMode="External"/><Relationship Id="rId186" Type="http://schemas.openxmlformats.org/officeDocument/2006/relationships/hyperlink" Target="https://www.tiktok.com/@nandajeliss" TargetMode="External"/><Relationship Id="rId185" Type="http://schemas.openxmlformats.org/officeDocument/2006/relationships/hyperlink" Target="https://vt.tiktok.com/ZSHtLge3A/" TargetMode="External"/><Relationship Id="rId49" Type="http://schemas.openxmlformats.org/officeDocument/2006/relationships/hyperlink" Target="https://www.tiktok.com/@they.callmelst" TargetMode="External"/><Relationship Id="rId184" Type="http://schemas.openxmlformats.org/officeDocument/2006/relationships/hyperlink" Target="https://vt.tiktok.com/ZSHHa3PJx/" TargetMode="External"/><Relationship Id="rId189" Type="http://schemas.openxmlformats.org/officeDocument/2006/relationships/hyperlink" Target="https://www.tiktok.com/@kaaaaast" TargetMode="External"/><Relationship Id="rId188" Type="http://schemas.openxmlformats.org/officeDocument/2006/relationships/hyperlink" Target="https://vt.tiktok.com/ZSHxjGWDp/" TargetMode="External"/><Relationship Id="rId31" Type="http://schemas.openxmlformats.org/officeDocument/2006/relationships/hyperlink" Target="https://www.tiktok.com/@dreamm.png" TargetMode="External"/><Relationship Id="rId30" Type="http://schemas.openxmlformats.org/officeDocument/2006/relationships/hyperlink" Target="https://vt.tiktok.com/ZSujcFyBt/" TargetMode="External"/><Relationship Id="rId33" Type="http://schemas.openxmlformats.org/officeDocument/2006/relationships/hyperlink" Target="http://dinif.sa" TargetMode="External"/><Relationship Id="rId183" Type="http://schemas.openxmlformats.org/officeDocument/2006/relationships/hyperlink" Target="https://www.tiktok.com/@Prettygirls.www" TargetMode="External"/><Relationship Id="rId32" Type="http://schemas.openxmlformats.org/officeDocument/2006/relationships/hyperlink" Target="https://www.tiktok.com/@dreamm.png/video/7617696048705834248?_r=1&amp;_t=ZS-94j8Oa92BOC" TargetMode="External"/><Relationship Id="rId182" Type="http://schemas.openxmlformats.org/officeDocument/2006/relationships/hyperlink" Target="https://vt.tiktok.com/ZSHnE1WNX/" TargetMode="External"/><Relationship Id="rId35" Type="http://schemas.openxmlformats.org/officeDocument/2006/relationships/hyperlink" Target="https://www.tiktok.com/@dinif.sa/video/7616568549540187413?_r=1&amp;_t=ZS-94e0Dg3BkhQ" TargetMode="External"/><Relationship Id="rId181" Type="http://schemas.openxmlformats.org/officeDocument/2006/relationships/hyperlink" Target="https://vt.tiktok.com/ZSHbfmDet/" TargetMode="External"/><Relationship Id="rId34" Type="http://schemas.openxmlformats.org/officeDocument/2006/relationships/hyperlink" Target="https://www.tiktok.com/@dinif.sa" TargetMode="External"/><Relationship Id="rId180" Type="http://schemas.openxmlformats.org/officeDocument/2006/relationships/hyperlink" Target="https://www.tiktok.com/@cipawwanisa" TargetMode="External"/><Relationship Id="rId37" Type="http://schemas.openxmlformats.org/officeDocument/2006/relationships/hyperlink" Target="https://vt.tiktok.com/ZSxhpDtwU/" TargetMode="External"/><Relationship Id="rId176" Type="http://schemas.openxmlformats.org/officeDocument/2006/relationships/hyperlink" Target="https://vt.tiktok.com/ZS91kGJAc/" TargetMode="External"/><Relationship Id="rId297" Type="http://schemas.openxmlformats.org/officeDocument/2006/relationships/hyperlink" Target="https://vt.tiktok.com/ZSxqFMt7V/" TargetMode="External"/><Relationship Id="rId36" Type="http://schemas.openxmlformats.org/officeDocument/2006/relationships/hyperlink" Target="https://vt.tiktok.com/ZSxhpYEAY/" TargetMode="External"/><Relationship Id="rId175" Type="http://schemas.openxmlformats.org/officeDocument/2006/relationships/hyperlink" Target="https://vt.tiktok.com/ZSHb964G7/" TargetMode="External"/><Relationship Id="rId296" Type="http://schemas.openxmlformats.org/officeDocument/2006/relationships/hyperlink" Target="https://www.tiktok.com/@Mbakadeklaris17" TargetMode="External"/><Relationship Id="rId39" Type="http://schemas.openxmlformats.org/officeDocument/2006/relationships/hyperlink" Target="https://vt.tiktok.com/ZSHAKBvCs/" TargetMode="External"/><Relationship Id="rId174" Type="http://schemas.openxmlformats.org/officeDocument/2006/relationships/hyperlink" Target="https://www.tiktok.com/@mell.nt" TargetMode="External"/><Relationship Id="rId295" Type="http://schemas.openxmlformats.org/officeDocument/2006/relationships/hyperlink" Target="https://vt.tiktok.com/ZS94HKwg7/" TargetMode="External"/><Relationship Id="rId38" Type="http://schemas.openxmlformats.org/officeDocument/2006/relationships/hyperlink" Target="https://www.tiktok.com/@ifanasyiffa" TargetMode="External"/><Relationship Id="rId173" Type="http://schemas.openxmlformats.org/officeDocument/2006/relationships/hyperlink" Target="https://vt.tiktok.com/ZSHVLnb9A/" TargetMode="External"/><Relationship Id="rId294" Type="http://schemas.openxmlformats.org/officeDocument/2006/relationships/hyperlink" Target="https://vt.tiktok.com/ZS94DPmfA/" TargetMode="External"/><Relationship Id="rId179" Type="http://schemas.openxmlformats.org/officeDocument/2006/relationships/hyperlink" Target="https://vt.tiktok.com/ZSHboHUtU/" TargetMode="External"/><Relationship Id="rId178" Type="http://schemas.openxmlformats.org/officeDocument/2006/relationships/hyperlink" Target="https://vt.tiktok.com/ZSHByaM7s/" TargetMode="External"/><Relationship Id="rId299" Type="http://schemas.openxmlformats.org/officeDocument/2006/relationships/hyperlink" Target="https://www.tiktok.com/@qrtlaenii_" TargetMode="External"/><Relationship Id="rId177" Type="http://schemas.openxmlformats.org/officeDocument/2006/relationships/hyperlink" Target="https://www.tiktok.com/@naylaazhrni" TargetMode="External"/><Relationship Id="rId298" Type="http://schemas.openxmlformats.org/officeDocument/2006/relationships/hyperlink" Target="https://vt.tiktok.com/ZSxTqNwBr/" TargetMode="External"/><Relationship Id="rId20" Type="http://schemas.openxmlformats.org/officeDocument/2006/relationships/hyperlink" Target="https://www.tiktok.com/@thnlykai" TargetMode="External"/><Relationship Id="rId22" Type="http://schemas.openxmlformats.org/officeDocument/2006/relationships/hyperlink" Target="https://vt.tiktok.com/ZSuyYUnNJ/" TargetMode="External"/><Relationship Id="rId21" Type="http://schemas.openxmlformats.org/officeDocument/2006/relationships/hyperlink" Target="https://vt.tiktok.com/ZSaGUMaNp/" TargetMode="External"/><Relationship Id="rId24" Type="http://schemas.openxmlformats.org/officeDocument/2006/relationships/hyperlink" Target="https://vt.tiktok.com/ZSu6hnusf/" TargetMode="External"/><Relationship Id="rId23" Type="http://schemas.openxmlformats.org/officeDocument/2006/relationships/hyperlink" Target="https://www.tiktok.com/@beranteminjerawat" TargetMode="External"/><Relationship Id="rId26" Type="http://schemas.openxmlformats.org/officeDocument/2006/relationships/hyperlink" Target="https://vt.tiktok.com/ZSuMvVmqR/" TargetMode="External"/><Relationship Id="rId25" Type="http://schemas.openxmlformats.org/officeDocument/2006/relationships/hyperlink" Target="https://www.tiktok.com/@ferenaceta" TargetMode="External"/><Relationship Id="rId28" Type="http://schemas.openxmlformats.org/officeDocument/2006/relationships/hyperlink" Target="https://www.tiktok.com/@queenhannisss" TargetMode="External"/><Relationship Id="rId27" Type="http://schemas.openxmlformats.org/officeDocument/2006/relationships/hyperlink" Target="https://vt.tiktok.com/ZSuHu4uE9/" TargetMode="External"/><Relationship Id="rId29" Type="http://schemas.openxmlformats.org/officeDocument/2006/relationships/hyperlink" Target="https://vt.tiktok.com/ZSmwGAdLo/" TargetMode="External"/><Relationship Id="rId11" Type="http://schemas.openxmlformats.org/officeDocument/2006/relationships/hyperlink" Target="https://vt.tiktok.com/ZSmwW9s9s/" TargetMode="External"/><Relationship Id="rId10" Type="http://schemas.openxmlformats.org/officeDocument/2006/relationships/hyperlink" Target="https://vt.tiktok.com/ZSa6H4NKP/" TargetMode="External"/><Relationship Id="rId13" Type="http://schemas.openxmlformats.org/officeDocument/2006/relationships/hyperlink" Target="https://vt.tiktok.com/ZSmwWxCXa/" TargetMode="External"/><Relationship Id="rId12" Type="http://schemas.openxmlformats.org/officeDocument/2006/relationships/hyperlink" Target="https://vt.tiktok.com/ZSmwWfrwe/" TargetMode="External"/><Relationship Id="rId15" Type="http://schemas.openxmlformats.org/officeDocument/2006/relationships/hyperlink" Target="https://vt.tiktok.com/ZSHsDfJwN/" TargetMode="External"/><Relationship Id="rId198" Type="http://schemas.openxmlformats.org/officeDocument/2006/relationships/hyperlink" Target="https://vt.tiktok.com/ZSHpCu1co/" TargetMode="External"/><Relationship Id="rId14" Type="http://schemas.openxmlformats.org/officeDocument/2006/relationships/hyperlink" Target="https://www.tiktok.com/@shinndiii_" TargetMode="External"/><Relationship Id="rId197" Type="http://schemas.openxmlformats.org/officeDocument/2006/relationships/hyperlink" Target="https://www.tiktok.com/@Mariaalalamakeup" TargetMode="External"/><Relationship Id="rId17" Type="http://schemas.openxmlformats.org/officeDocument/2006/relationships/hyperlink" Target="https://vt.tiktok.com/ZSaaQg2Sc/" TargetMode="External"/><Relationship Id="rId196" Type="http://schemas.openxmlformats.org/officeDocument/2006/relationships/hyperlink" Target="https://vt.tiktok.com/ZSHHTfJrH/" TargetMode="External"/><Relationship Id="rId16" Type="http://schemas.openxmlformats.org/officeDocument/2006/relationships/hyperlink" Target="https://www.tiktok.com/@putri.antris" TargetMode="External"/><Relationship Id="rId195" Type="http://schemas.openxmlformats.org/officeDocument/2006/relationships/hyperlink" Target="https://www.tiktok.com/@diindiinaa" TargetMode="External"/><Relationship Id="rId19" Type="http://schemas.openxmlformats.org/officeDocument/2006/relationships/hyperlink" Target="https://vt.tiktok.com/ZSucuYBHF/" TargetMode="External"/><Relationship Id="rId18" Type="http://schemas.openxmlformats.org/officeDocument/2006/relationships/hyperlink" Target="https://vt.tiktok.com/ZSucuNVts/" TargetMode="External"/><Relationship Id="rId199" Type="http://schemas.openxmlformats.org/officeDocument/2006/relationships/hyperlink" Target="https://vt.tiktok.com/ZSHE35cHx/" TargetMode="External"/><Relationship Id="rId84" Type="http://schemas.openxmlformats.org/officeDocument/2006/relationships/hyperlink" Target="https://vt.tiktok.com/ZSu4rkK5K/" TargetMode="External"/><Relationship Id="rId83" Type="http://schemas.openxmlformats.org/officeDocument/2006/relationships/hyperlink" Target="https://vt.tiktok.com/ZSu4rkohR/" TargetMode="External"/><Relationship Id="rId86" Type="http://schemas.openxmlformats.org/officeDocument/2006/relationships/hyperlink" Target="https://vt.tiktok.com/ZSu4rP517/" TargetMode="External"/><Relationship Id="rId85" Type="http://schemas.openxmlformats.org/officeDocument/2006/relationships/hyperlink" Target="https://vt.tiktok.com/ZSu4r5P8M/" TargetMode="External"/><Relationship Id="rId88" Type="http://schemas.openxmlformats.org/officeDocument/2006/relationships/hyperlink" Target="https://www.tiktok.com/@nurridn___/video/7611073358695812372?_r=1&amp;_t=ZS-94EnUzefcG4" TargetMode="External"/><Relationship Id="rId150" Type="http://schemas.openxmlformats.org/officeDocument/2006/relationships/hyperlink" Target="https://www.tiktok.com/@naniinan09/video/7623604969677131029?is_from_webapp=1&amp;sender_device=pc" TargetMode="External"/><Relationship Id="rId271" Type="http://schemas.openxmlformats.org/officeDocument/2006/relationships/hyperlink" Target="https://www.tiktok.com/@tiktokshopp017" TargetMode="External"/><Relationship Id="rId87" Type="http://schemas.openxmlformats.org/officeDocument/2006/relationships/hyperlink" Target="https://www.tiktok.com/@nurridn___" TargetMode="External"/><Relationship Id="rId270" Type="http://schemas.openxmlformats.org/officeDocument/2006/relationships/hyperlink" Target="https://vt.tiktok.com/ZSxbmSeoH/" TargetMode="External"/><Relationship Id="rId89" Type="http://schemas.openxmlformats.org/officeDocument/2006/relationships/hyperlink" Target="https://www.tiktok.com/@rfitriaaanii" TargetMode="External"/><Relationship Id="rId80" Type="http://schemas.openxmlformats.org/officeDocument/2006/relationships/hyperlink" Target="https://www.tiktok.com/@naadeblue/video/7602281199331233044?_r=1&amp;_t=ZS-94GeBJXEdxl" TargetMode="External"/><Relationship Id="rId82" Type="http://schemas.openxmlformats.org/officeDocument/2006/relationships/hyperlink" Target="https://www.tiktok.com/@amdwt_" TargetMode="External"/><Relationship Id="rId81" Type="http://schemas.openxmlformats.org/officeDocument/2006/relationships/hyperlink" Target="https://www.tiktok.com/@naadeblue/video/7604729511191563541?_r=1&amp;_t=ZS-94GeDpnwg5N" TargetMode="External"/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149" Type="http://schemas.openxmlformats.org/officeDocument/2006/relationships/hyperlink" Target="https://www.tiktok.com/@naniinan09" TargetMode="External"/><Relationship Id="rId4" Type="http://schemas.openxmlformats.org/officeDocument/2006/relationships/hyperlink" Target="https://www.tiktok.com/@Racunversiaku" TargetMode="External"/><Relationship Id="rId148" Type="http://schemas.openxmlformats.org/officeDocument/2006/relationships/hyperlink" Target="https://vt.tiktok.com/ZSHpeUQ8j/" TargetMode="External"/><Relationship Id="rId269" Type="http://schemas.openxmlformats.org/officeDocument/2006/relationships/hyperlink" Target="https://www.tiktok.com/@thespillroom_" TargetMode="External"/><Relationship Id="rId9" Type="http://schemas.openxmlformats.org/officeDocument/2006/relationships/hyperlink" Target="https://vt.tiktok.com/ZSa6HCtv8/" TargetMode="External"/><Relationship Id="rId143" Type="http://schemas.openxmlformats.org/officeDocument/2006/relationships/hyperlink" Target="https://vt.tiktok.com/ZSHpCehVP/" TargetMode="External"/><Relationship Id="rId264" Type="http://schemas.openxmlformats.org/officeDocument/2006/relationships/hyperlink" Target="https://vt.tiktok.com/ZSxMcGUJ5/" TargetMode="External"/><Relationship Id="rId142" Type="http://schemas.openxmlformats.org/officeDocument/2006/relationships/hyperlink" Target="https://www.tiktok.com/@a.etikk/video/7623788505499700501?_r=1&amp;_t=ZS-95Bfih3RPwj" TargetMode="External"/><Relationship Id="rId263" Type="http://schemas.openxmlformats.org/officeDocument/2006/relationships/hyperlink" Target="https://www.tiktok.com/@arinvias" TargetMode="External"/><Relationship Id="rId141" Type="http://schemas.openxmlformats.org/officeDocument/2006/relationships/hyperlink" Target="https://www.tiktok.com/@a.etikk" TargetMode="External"/><Relationship Id="rId262" Type="http://schemas.openxmlformats.org/officeDocument/2006/relationships/hyperlink" Target="https://vt.tiktok.com/ZSxEqjUtV/" TargetMode="External"/><Relationship Id="rId140" Type="http://schemas.openxmlformats.org/officeDocument/2006/relationships/hyperlink" Target="https://www.tiktok.com/@chaaaajalahyah/video/7626710484493864213?_r=1&amp;u_code=dj2k0jidgm4gi4&amp;region=ID&amp;mid=7623328329927510800&amp;preview_pb=0&amp;sharer_language=id&amp;_d=f0ijka1d33egf4&amp;share_item_id=7626710484493864213&amp;source=h5_t&amp;timestamp=1775735741&amp;item_author_type=1&amp;utm_source=copy&amp;tt_from=copy&amp;enable_checksum=1&amp;utm_medium=ios&amp;share_link_id=1A9F6E43-CDDC-4CB5-BA8D-4FE8D917F3C7&amp;user_id=6971586270351803394&amp;sec_user_id=MS4wLjABAAAAnyNB-gwMTbRX9xqUVt7-gil3WK3FT-3AdHuX9WSXfu4Qx7z5q1oURsP91eqhOHrn&amp;social_share_type=0&amp;ug_btm=b8727,b2878&amp;utm_campaign=client_share&amp;link_reflow_popup_iteration_sharer=%7B%22dynamic_cover%22:1,%22profile_clickable%22:1,%22follow_to_play_duration%22:-1,%22click_empty_to_play%22:1%7D&amp;share_app_id=1180" TargetMode="External"/><Relationship Id="rId261" Type="http://schemas.openxmlformats.org/officeDocument/2006/relationships/hyperlink" Target="https://www.tiktok.com/@panggilhanny" TargetMode="External"/><Relationship Id="rId5" Type="http://schemas.openxmlformats.org/officeDocument/2006/relationships/hyperlink" Target="https://vt.tiktok.com/ZSay2VXc9/" TargetMode="External"/><Relationship Id="rId147" Type="http://schemas.openxmlformats.org/officeDocument/2006/relationships/hyperlink" Target="https://vt.tiktok.com/ZSHHmct4j/" TargetMode="External"/><Relationship Id="rId268" Type="http://schemas.openxmlformats.org/officeDocument/2006/relationships/hyperlink" Target="https://vt.tiktok.com/ZS9R2VtgE/" TargetMode="External"/><Relationship Id="rId6" Type="http://schemas.openxmlformats.org/officeDocument/2006/relationships/hyperlink" Target="https://vt.tiktok.com/ZSay2XH6R/" TargetMode="External"/><Relationship Id="rId146" Type="http://schemas.openxmlformats.org/officeDocument/2006/relationships/hyperlink" Target="https://www.tiktok.com/@elsachawul_/video/7625624202745220370?_r=1&amp;_t=ZS-95Ksc1CE4cK" TargetMode="External"/><Relationship Id="rId267" Type="http://schemas.openxmlformats.org/officeDocument/2006/relationships/hyperlink" Target="https://vt.tiktok.com/ZSHWmugKU/" TargetMode="External"/><Relationship Id="rId7" Type="http://schemas.openxmlformats.org/officeDocument/2006/relationships/hyperlink" Target="https://www.tiktok.com/@sinanr18" TargetMode="External"/><Relationship Id="rId145" Type="http://schemas.openxmlformats.org/officeDocument/2006/relationships/hyperlink" Target="https://www.tiktok.com/@elsachawul_" TargetMode="External"/><Relationship Id="rId266" Type="http://schemas.openxmlformats.org/officeDocument/2006/relationships/hyperlink" Target="https://www.tiktok.com/@anotherbinaa_" TargetMode="External"/><Relationship Id="rId8" Type="http://schemas.openxmlformats.org/officeDocument/2006/relationships/hyperlink" Target="https://vt.tiktok.com/ZSa6Had98/" TargetMode="External"/><Relationship Id="rId144" Type="http://schemas.openxmlformats.org/officeDocument/2006/relationships/hyperlink" Target="https://www.tiktok.com/@taritaauliaa" TargetMode="External"/><Relationship Id="rId265" Type="http://schemas.openxmlformats.org/officeDocument/2006/relationships/hyperlink" Target="https://vt.tiktok.com/ZSQJnQcNu/" TargetMode="External"/><Relationship Id="rId73" Type="http://schemas.openxmlformats.org/officeDocument/2006/relationships/hyperlink" Target="https://www.tiktok.com/@xyblabla2/video/7612452440276864276?_r=1&amp;_t=ZS-94NyQAZFcpg" TargetMode="External"/><Relationship Id="rId72" Type="http://schemas.openxmlformats.org/officeDocument/2006/relationships/hyperlink" Target="https://www.tiktok.com/@xyblabla2" TargetMode="External"/><Relationship Id="rId75" Type="http://schemas.openxmlformats.org/officeDocument/2006/relationships/hyperlink" Target="https://www.tiktok.com/@itsyeeelllaaa" TargetMode="External"/><Relationship Id="rId74" Type="http://schemas.openxmlformats.org/officeDocument/2006/relationships/hyperlink" Target="https://www.tiktok.com/@xyblabla2/video/7613004755987729684?_r=1&amp;_t=ZS-94NyRuGv18e" TargetMode="External"/><Relationship Id="rId77" Type="http://schemas.openxmlformats.org/officeDocument/2006/relationships/hyperlink" Target="https://www.tiktok.com/@itsyeeelllaaa/video/7615535985983524116?_r=1&amp;_t=ZS-94ZLse9KmxM" TargetMode="External"/><Relationship Id="rId260" Type="http://schemas.openxmlformats.org/officeDocument/2006/relationships/hyperlink" Target="https://vt.tiktok.com/ZS9DTWWf4/" TargetMode="External"/><Relationship Id="rId76" Type="http://schemas.openxmlformats.org/officeDocument/2006/relationships/hyperlink" Target="https://www.tiktok.com/@itsyeeelllaaa/video/7612621544136707348?_r=1&amp;_t=ZS-94Qh5z1Thw1" TargetMode="External"/><Relationship Id="rId79" Type="http://schemas.openxmlformats.org/officeDocument/2006/relationships/hyperlink" Target="https://www.tiktok.com/@naadeblue" TargetMode="External"/><Relationship Id="rId78" Type="http://schemas.openxmlformats.org/officeDocument/2006/relationships/hyperlink" Target="https://www.tiktok.com/@itsyeeelllaaa/video/7615561496126295317?_r=1&amp;_t=ZS-94ZLtD3jhWz" TargetMode="External"/><Relationship Id="rId71" Type="http://schemas.openxmlformats.org/officeDocument/2006/relationships/hyperlink" Target="https://vt.tiktok.com/ZS94rDEkm/" TargetMode="External"/><Relationship Id="rId70" Type="http://schemas.openxmlformats.org/officeDocument/2006/relationships/hyperlink" Target="https://www.tiktok.com/@sforsheilaww/video/7626228227198946581?_r=1&amp;_t=ZS-95MDEOBXkZx" TargetMode="External"/><Relationship Id="rId139" Type="http://schemas.openxmlformats.org/officeDocument/2006/relationships/hyperlink" Target="https://www.tiktok.com/@chaaaajalahyah" TargetMode="External"/><Relationship Id="rId138" Type="http://schemas.openxmlformats.org/officeDocument/2006/relationships/hyperlink" Target="https://vt.tiktok.com/ZSHtoATcd/" TargetMode="External"/><Relationship Id="rId259" Type="http://schemas.openxmlformats.org/officeDocument/2006/relationships/hyperlink" Target="https://www.tiktok.com/@ifha_raisya" TargetMode="External"/><Relationship Id="rId137" Type="http://schemas.openxmlformats.org/officeDocument/2006/relationships/hyperlink" Target="https://www.tiktok.com/@queenrfl/video/7626249938506108178?_r=1&amp;_t=ZS-95MJ3vBQ3bJ" TargetMode="External"/><Relationship Id="rId258" Type="http://schemas.openxmlformats.org/officeDocument/2006/relationships/hyperlink" Target="https://vt.tiktok.com/ZSHo1LVAT/" TargetMode="External"/><Relationship Id="rId132" Type="http://schemas.openxmlformats.org/officeDocument/2006/relationships/hyperlink" Target="https://www.tiktok.com/@si.tiiiii" TargetMode="External"/><Relationship Id="rId253" Type="http://schemas.openxmlformats.org/officeDocument/2006/relationships/hyperlink" Target="https://vt.tiktok.com/ZS9QL1bCc/" TargetMode="External"/><Relationship Id="rId131" Type="http://schemas.openxmlformats.org/officeDocument/2006/relationships/hyperlink" Target="https://vt.tiktok.com/ZSxrJckC2/" TargetMode="External"/><Relationship Id="rId252" Type="http://schemas.openxmlformats.org/officeDocument/2006/relationships/hyperlink" Target="https://vt.tiktok.com/ZS9d3tjfp/" TargetMode="External"/><Relationship Id="rId130" Type="http://schemas.openxmlformats.org/officeDocument/2006/relationships/hyperlink" Target="https://vt.tiktok.com/ZS9U1fc2L//" TargetMode="External"/><Relationship Id="rId251" Type="http://schemas.openxmlformats.org/officeDocument/2006/relationships/hyperlink" Target="https://www.tiktok.com/@titiaja12" TargetMode="External"/><Relationship Id="rId250" Type="http://schemas.openxmlformats.org/officeDocument/2006/relationships/hyperlink" Target="https://vt.tiktok.com/ZSxM9NmDr/" TargetMode="External"/><Relationship Id="rId136" Type="http://schemas.openxmlformats.org/officeDocument/2006/relationships/hyperlink" Target="https://www.tiktok.com/@queenrfl" TargetMode="External"/><Relationship Id="rId257" Type="http://schemas.openxmlformats.org/officeDocument/2006/relationships/hyperlink" Target="https://vt.tiktok.com/ZSHo1NHsR/" TargetMode="External"/><Relationship Id="rId135" Type="http://schemas.openxmlformats.org/officeDocument/2006/relationships/hyperlink" Target="https://www.tiktok.com/@mrsrepiew" TargetMode="External"/><Relationship Id="rId256" Type="http://schemas.openxmlformats.org/officeDocument/2006/relationships/hyperlink" Target="https://vt.tiktok.com/ZSHEoTNMG/" TargetMode="External"/><Relationship Id="rId134" Type="http://schemas.openxmlformats.org/officeDocument/2006/relationships/hyperlink" Target="https://www.tiktok.com/@moodtiaraaaaa/video/7623784347404913928?_r=1&amp;_t=ZS-95B13SsA6D6" TargetMode="External"/><Relationship Id="rId255" Type="http://schemas.openxmlformats.org/officeDocument/2006/relationships/hyperlink" Target="https://www.tiktok.com/@febrianggunn" TargetMode="External"/><Relationship Id="rId133" Type="http://schemas.openxmlformats.org/officeDocument/2006/relationships/hyperlink" Target="https://www.tiktok.com/@moodtiaraaaaa" TargetMode="External"/><Relationship Id="rId254" Type="http://schemas.openxmlformats.org/officeDocument/2006/relationships/hyperlink" Target="https://vt.tiktok.com/ZSxD2378G/" TargetMode="External"/><Relationship Id="rId62" Type="http://schemas.openxmlformats.org/officeDocument/2006/relationships/hyperlink" Target="https://www.tiktok.com/@itscendi" TargetMode="External"/><Relationship Id="rId61" Type="http://schemas.openxmlformats.org/officeDocument/2006/relationships/hyperlink" Target="https://www.tiktok.com/@yourbesties77/video/7611148703276993799?_r=1&amp;_t=ZS-94GpRTfnCPi" TargetMode="External"/><Relationship Id="rId64" Type="http://schemas.openxmlformats.org/officeDocument/2006/relationships/hyperlink" Target="https://www.tiktok.com/@umashanum" TargetMode="External"/><Relationship Id="rId63" Type="http://schemas.openxmlformats.org/officeDocument/2006/relationships/hyperlink" Target="https://vt.tiktok.com/ZSHgTG8BJ/" TargetMode="External"/><Relationship Id="rId66" Type="http://schemas.openxmlformats.org/officeDocument/2006/relationships/hyperlink" Target="https://www.tiktok.com/@umashanum/video/7616972921671552263?_r=1&amp;_t=ZS-94fopbLe933" TargetMode="External"/><Relationship Id="rId172" Type="http://schemas.openxmlformats.org/officeDocument/2006/relationships/hyperlink" Target="https://vt.tiktok.com/ZSHVLtL1F/" TargetMode="External"/><Relationship Id="rId293" Type="http://schemas.openxmlformats.org/officeDocument/2006/relationships/hyperlink" Target="https://www.tiktok.com/@hanasofianaa" TargetMode="External"/><Relationship Id="rId65" Type="http://schemas.openxmlformats.org/officeDocument/2006/relationships/hyperlink" Target="https://www.tiktok.com/@umashanum/video/7616791007102979346?_r=1&amp;_t=ZS-94folYwbE3N" TargetMode="External"/><Relationship Id="rId171" Type="http://schemas.openxmlformats.org/officeDocument/2006/relationships/hyperlink" Target="https://www.tiktok.com/@Anitanursyifa" TargetMode="External"/><Relationship Id="rId292" Type="http://schemas.openxmlformats.org/officeDocument/2006/relationships/hyperlink" Target="https://vt.tiktok.com/ZSxrMu5FT/" TargetMode="External"/><Relationship Id="rId68" Type="http://schemas.openxmlformats.org/officeDocument/2006/relationships/hyperlink" Target="https://www.tiktok.com/@gadisaries97/video/7616564896960007445?_r=1&amp;_t=ZS-94eJswIH0FR" TargetMode="External"/><Relationship Id="rId170" Type="http://schemas.openxmlformats.org/officeDocument/2006/relationships/hyperlink" Target="https://vt.tiktok.com/ZS9JG73uR/" TargetMode="External"/><Relationship Id="rId291" Type="http://schemas.openxmlformats.org/officeDocument/2006/relationships/hyperlink" Target="https://vt.tiktok.com/ZS9pQDVyX/" TargetMode="External"/><Relationship Id="rId67" Type="http://schemas.openxmlformats.org/officeDocument/2006/relationships/hyperlink" Target="https://www.tiktok.com/@gadisaries97" TargetMode="External"/><Relationship Id="rId290" Type="http://schemas.openxmlformats.org/officeDocument/2006/relationships/hyperlink" Target="https://www.tiktok.com/@zrshafaaaa" TargetMode="External"/><Relationship Id="rId60" Type="http://schemas.openxmlformats.org/officeDocument/2006/relationships/hyperlink" Target="https://www.tiktok.com/@yourbesties77/video/7611104014616349959?_r=1&amp;_t=ZS-94GpLloGxdg" TargetMode="External"/><Relationship Id="rId165" Type="http://schemas.openxmlformats.org/officeDocument/2006/relationships/hyperlink" Target="https://www.tiktok.com/@Nvstore8" TargetMode="External"/><Relationship Id="rId286" Type="http://schemas.openxmlformats.org/officeDocument/2006/relationships/hyperlink" Target="https://vt.tiktok.com/ZS94d7NC9/" TargetMode="External"/><Relationship Id="rId69" Type="http://schemas.openxmlformats.org/officeDocument/2006/relationships/hyperlink" Target="https://www.tiktok.com/@sforsheilaww" TargetMode="External"/><Relationship Id="rId164" Type="http://schemas.openxmlformats.org/officeDocument/2006/relationships/hyperlink" Target="https://www.tiktok.com/@nirzabalqis_/video/7626369586333486343?is_from_webapp=1&amp;sender_device=pc" TargetMode="External"/><Relationship Id="rId285" Type="http://schemas.openxmlformats.org/officeDocument/2006/relationships/hyperlink" Target="https://vt.tiktok.com/ZS94d7NC9/" TargetMode="External"/><Relationship Id="rId163" Type="http://schemas.openxmlformats.org/officeDocument/2006/relationships/hyperlink" Target="https://www.tiktok.com/@nirzabalqis_/video/7623760103916850440?is_from_webapp=1&amp;sender_device=pc" TargetMode="External"/><Relationship Id="rId284" Type="http://schemas.openxmlformats.org/officeDocument/2006/relationships/hyperlink" Target="https://vt.tiktok.com/ZS9fkJE3y/" TargetMode="External"/><Relationship Id="rId162" Type="http://schemas.openxmlformats.org/officeDocument/2006/relationships/hyperlink" Target="https://www.tiktok.com/@nirzabalqis_/video/7622911247884930322?is_from_webapp=1&amp;sender_device=pc" TargetMode="External"/><Relationship Id="rId283" Type="http://schemas.openxmlformats.org/officeDocument/2006/relationships/hyperlink" Target="https://www.tiktok.com/@rsmaw31" TargetMode="External"/><Relationship Id="rId169" Type="http://schemas.openxmlformats.org/officeDocument/2006/relationships/hyperlink" Target="https://vt.tiktok.com/ZSHWAsPH1/" TargetMode="External"/><Relationship Id="rId168" Type="http://schemas.openxmlformats.org/officeDocument/2006/relationships/hyperlink" Target="https://www.tiktok.com/@storyandine" TargetMode="External"/><Relationship Id="rId289" Type="http://schemas.openxmlformats.org/officeDocument/2006/relationships/hyperlink" Target="https://vt.tiktok.com/ZSxJwLVkx/" TargetMode="External"/><Relationship Id="rId167" Type="http://schemas.openxmlformats.org/officeDocument/2006/relationships/hyperlink" Target="https://www.tiktok.com/@nvstore8/video/7625179343169260820?is_from_webapp=1&amp;sender_device=pc" TargetMode="External"/><Relationship Id="rId288" Type="http://schemas.openxmlformats.org/officeDocument/2006/relationships/hyperlink" Target="https://vt.tiktok.com/ZS9usaNNA/" TargetMode="External"/><Relationship Id="rId166" Type="http://schemas.openxmlformats.org/officeDocument/2006/relationships/hyperlink" Target="https://www.tiktok.com/@nvstore8/video/7623663945940733204?is_from_webapp=1&amp;sender_device=pc" TargetMode="External"/><Relationship Id="rId287" Type="http://schemas.openxmlformats.org/officeDocument/2006/relationships/hyperlink" Target="https://www.tiktok.com/@niarahmania25" TargetMode="External"/><Relationship Id="rId51" Type="http://schemas.openxmlformats.org/officeDocument/2006/relationships/hyperlink" Target="https://vt.tiktok.com/ZSuNHYvUt/" TargetMode="External"/><Relationship Id="rId50" Type="http://schemas.openxmlformats.org/officeDocument/2006/relationships/hyperlink" Target="https://vt.tiktok.com/ZSuNH61gj/" TargetMode="External"/><Relationship Id="rId53" Type="http://schemas.openxmlformats.org/officeDocument/2006/relationships/hyperlink" Target="https://vt.tiktok.com/ZSuNuKaMN/" TargetMode="External"/><Relationship Id="rId52" Type="http://schemas.openxmlformats.org/officeDocument/2006/relationships/hyperlink" Target="https://vt.tiktok.com/ZSuNuwTDS/" TargetMode="External"/><Relationship Id="rId55" Type="http://schemas.openxmlformats.org/officeDocument/2006/relationships/hyperlink" Target="https://vt.tiktok.com/ZSuNHFBbu/" TargetMode="External"/><Relationship Id="rId161" Type="http://schemas.openxmlformats.org/officeDocument/2006/relationships/hyperlink" Target="https://www.tiktok.com/@nirzabalqis_" TargetMode="External"/><Relationship Id="rId282" Type="http://schemas.openxmlformats.org/officeDocument/2006/relationships/hyperlink" Target="https://vt.tiktok.com/ZS9jPqyw9/" TargetMode="External"/><Relationship Id="rId54" Type="http://schemas.openxmlformats.org/officeDocument/2006/relationships/hyperlink" Target="https://vt.tiktok.com/ZSuNuEYBH/" TargetMode="External"/><Relationship Id="rId160" Type="http://schemas.openxmlformats.org/officeDocument/2006/relationships/hyperlink" Target="https://www.tiktok.com/@kak.uung/video/7629920681274133780?is_from_webapp=1&amp;sender_device=pc" TargetMode="External"/><Relationship Id="rId281" Type="http://schemas.openxmlformats.org/officeDocument/2006/relationships/hyperlink" Target="https://www.tiktok.com/@gabolegalakya" TargetMode="External"/><Relationship Id="rId57" Type="http://schemas.openxmlformats.org/officeDocument/2006/relationships/hyperlink" Target="https://www.tiktok.com/@d.lestarinp/video/7613332103144459528?_r=1&amp;_t=ZS-94P8svtVWqY" TargetMode="External"/><Relationship Id="rId280" Type="http://schemas.openxmlformats.org/officeDocument/2006/relationships/hyperlink" Target="https://vt.tiktok.com/ZSH37eKLv/" TargetMode="External"/><Relationship Id="rId56" Type="http://schemas.openxmlformats.org/officeDocument/2006/relationships/hyperlink" Target="https://www.tiktok.com/@d.lestarinp" TargetMode="External"/><Relationship Id="rId159" Type="http://schemas.openxmlformats.org/officeDocument/2006/relationships/hyperlink" Target="https://www.tiktok.com/@kak.uung/video/7625233676346969365?is_from_webapp=1&amp;sender_device=pc" TargetMode="External"/><Relationship Id="rId59" Type="http://schemas.openxmlformats.org/officeDocument/2006/relationships/hyperlink" Target="https://www.tiktok.com/@yourbesties77" TargetMode="External"/><Relationship Id="rId154" Type="http://schemas.openxmlformats.org/officeDocument/2006/relationships/hyperlink" Target="https://www.tiktok.com/@mamak_kao/video/7621116886519958805?is_from_webapp=1&amp;sender_device=pc" TargetMode="External"/><Relationship Id="rId275" Type="http://schemas.openxmlformats.org/officeDocument/2006/relationships/hyperlink" Target="https://vt.tiktok.com/ZSx18VCPW/" TargetMode="External"/><Relationship Id="rId58" Type="http://schemas.openxmlformats.org/officeDocument/2006/relationships/hyperlink" Target="https://www.tiktok.com/@d.lestarinp/video/7616670520162929928?_r=1&amp;_t=ZS-94jP32uUNLG" TargetMode="External"/><Relationship Id="rId153" Type="http://schemas.openxmlformats.org/officeDocument/2006/relationships/hyperlink" Target="https://www.tiktok.com/@mamak_kao" TargetMode="External"/><Relationship Id="rId274" Type="http://schemas.openxmlformats.org/officeDocument/2006/relationships/hyperlink" Target="https://vt.tiktok.com/ZSx18TA7A/" TargetMode="External"/><Relationship Id="rId152" Type="http://schemas.openxmlformats.org/officeDocument/2006/relationships/hyperlink" Target="https://vt.tiktok.com/ZSHhk7uF5/" TargetMode="External"/><Relationship Id="rId273" Type="http://schemas.openxmlformats.org/officeDocument/2006/relationships/hyperlink" Target="https://vt.tiktok.com/ZS9ySLNRa/" TargetMode="External"/><Relationship Id="rId151" Type="http://schemas.openxmlformats.org/officeDocument/2006/relationships/hyperlink" Target="https://vt.tiktok.com/ZSHhkbHGt/" TargetMode="External"/><Relationship Id="rId272" Type="http://schemas.openxmlformats.org/officeDocument/2006/relationships/hyperlink" Target="https://vt.tiktok.com/ZS9FrYTAr/" TargetMode="External"/><Relationship Id="rId158" Type="http://schemas.openxmlformats.org/officeDocument/2006/relationships/hyperlink" Target="https://www.tiktok.com/@kak.uung" TargetMode="External"/><Relationship Id="rId279" Type="http://schemas.openxmlformats.org/officeDocument/2006/relationships/hyperlink" Target="https://www.tiktok.com/@muhannah.fitria" TargetMode="External"/><Relationship Id="rId157" Type="http://schemas.openxmlformats.org/officeDocument/2006/relationships/hyperlink" Target="https://vt.tiktok.com/ZS9KBfVSL/" TargetMode="External"/><Relationship Id="rId278" Type="http://schemas.openxmlformats.org/officeDocument/2006/relationships/hyperlink" Target="https://vt.tiktok.com/ZS9SscpQU/" TargetMode="External"/><Relationship Id="rId156" Type="http://schemas.openxmlformats.org/officeDocument/2006/relationships/hyperlink" Target="https://www.tiktok.com/@armiheppii" TargetMode="External"/><Relationship Id="rId277" Type="http://schemas.openxmlformats.org/officeDocument/2006/relationships/hyperlink" Target="https://vt.tiktok.com/ZSHcuSBrF/" TargetMode="External"/><Relationship Id="rId155" Type="http://schemas.openxmlformats.org/officeDocument/2006/relationships/hyperlink" Target="https://www.tiktok.com/@mamak_kao/video/7621117083304086804?is_from_webapp=1&amp;sender_device=pc" TargetMode="External"/><Relationship Id="rId276" Type="http://schemas.openxmlformats.org/officeDocument/2006/relationships/hyperlink" Target="https://www.tiktok.com/@nnfshah" TargetMode="External"/><Relationship Id="rId107" Type="http://schemas.openxmlformats.org/officeDocument/2006/relationships/hyperlink" Target="https://vt.tiktok.com/ZSH2pDKVP/" TargetMode="External"/><Relationship Id="rId228" Type="http://schemas.openxmlformats.org/officeDocument/2006/relationships/hyperlink" Target="https://vt.tiktok.com/ZS9Bw45Jq/" TargetMode="External"/><Relationship Id="rId349" Type="http://schemas.openxmlformats.org/officeDocument/2006/relationships/hyperlink" Target="https://www.tiktok.com/@puspitajasmine26" TargetMode="External"/><Relationship Id="rId106" Type="http://schemas.openxmlformats.org/officeDocument/2006/relationships/hyperlink" Target="https://vt.tiktok.com/ZSuHjvH9N/" TargetMode="External"/><Relationship Id="rId227" Type="http://schemas.openxmlformats.org/officeDocument/2006/relationships/hyperlink" Target="https://vt.tiktok.com/ZS9eJAuf5/" TargetMode="External"/><Relationship Id="rId348" Type="http://schemas.openxmlformats.org/officeDocument/2006/relationships/hyperlink" Target="https://www.tiktok.com/@auroraanzh" TargetMode="External"/><Relationship Id="rId105" Type="http://schemas.openxmlformats.org/officeDocument/2006/relationships/hyperlink" Target="https://www.tiktok.com/@_ikaawdwnty" TargetMode="External"/><Relationship Id="rId226" Type="http://schemas.openxmlformats.org/officeDocument/2006/relationships/hyperlink" Target="https://www.tiktok.com/@Swtty___" TargetMode="External"/><Relationship Id="rId347" Type="http://schemas.openxmlformats.org/officeDocument/2006/relationships/hyperlink" Target="https://vt.tiktok.com/ZSxTkg5PL/" TargetMode="External"/><Relationship Id="rId104" Type="http://schemas.openxmlformats.org/officeDocument/2006/relationships/hyperlink" Target="https://vt.tiktok.com/ZSHLJadwp/" TargetMode="External"/><Relationship Id="rId225" Type="http://schemas.openxmlformats.org/officeDocument/2006/relationships/hyperlink" Target="https://vt.tiktok.com/ZSxkWLxCL/" TargetMode="External"/><Relationship Id="rId346" Type="http://schemas.openxmlformats.org/officeDocument/2006/relationships/hyperlink" Target="https://www.tiktok.com/@hnrusdiana" TargetMode="External"/><Relationship Id="rId109" Type="http://schemas.openxmlformats.org/officeDocument/2006/relationships/hyperlink" Target="https://www.tiktok.com/@hi_jaenaa/video/7621566677863435538?_r=1&amp;_t=ZS-956oYT9ZsKA" TargetMode="External"/><Relationship Id="rId108" Type="http://schemas.openxmlformats.org/officeDocument/2006/relationships/hyperlink" Target="https://www.tiktok.com/@hi_jaenaa" TargetMode="External"/><Relationship Id="rId229" Type="http://schemas.openxmlformats.org/officeDocument/2006/relationships/hyperlink" Target="https://vt.tiktok.com/ZS9D5r2Uw/" TargetMode="External"/><Relationship Id="rId220" Type="http://schemas.openxmlformats.org/officeDocument/2006/relationships/hyperlink" Target="https://www.tiktok.com/@fhateeem/video/7624530054428495111?_r=1&amp;_t=ZS-95Ktm5wfNUy" TargetMode="External"/><Relationship Id="rId341" Type="http://schemas.openxmlformats.org/officeDocument/2006/relationships/hyperlink" Target="https://www.tiktok.com/@m00diegurlz" TargetMode="External"/><Relationship Id="rId340" Type="http://schemas.openxmlformats.org/officeDocument/2006/relationships/hyperlink" Target="https://www.tiktok.com/@shopingiin" TargetMode="External"/><Relationship Id="rId103" Type="http://schemas.openxmlformats.org/officeDocument/2006/relationships/hyperlink" Target="https://www.tiktok.com/@arfatus.sh" TargetMode="External"/><Relationship Id="rId224" Type="http://schemas.openxmlformats.org/officeDocument/2006/relationships/hyperlink" Target="https://www.tiktok.com/@inidinddaaa" TargetMode="External"/><Relationship Id="rId345" Type="http://schemas.openxmlformats.org/officeDocument/2006/relationships/hyperlink" Target="https://www.tiktok.com/@skindairybyrere" TargetMode="External"/><Relationship Id="rId102" Type="http://schemas.openxmlformats.org/officeDocument/2006/relationships/hyperlink" Target="http://arfatus.sh" TargetMode="External"/><Relationship Id="rId223" Type="http://schemas.openxmlformats.org/officeDocument/2006/relationships/hyperlink" Target="https://vt.tiktok.com/ZSHjtTPJJ/" TargetMode="External"/><Relationship Id="rId344" Type="http://schemas.openxmlformats.org/officeDocument/2006/relationships/hyperlink" Target="https://www.tiktok.com/@lilieesel" TargetMode="External"/><Relationship Id="rId101" Type="http://schemas.openxmlformats.org/officeDocument/2006/relationships/hyperlink" Target="https://www.tiktok.com/@tamiputriars/video/7622169444797795602?_r=1&amp;_t=ZS-957A6yNNQOY" TargetMode="External"/><Relationship Id="rId222" Type="http://schemas.openxmlformats.org/officeDocument/2006/relationships/hyperlink" Target="https://www.tiktok.com/@sabinaaccura" TargetMode="External"/><Relationship Id="rId343" Type="http://schemas.openxmlformats.org/officeDocument/2006/relationships/hyperlink" Target="https://www.tiktok.com/@indysabillah" TargetMode="External"/><Relationship Id="rId100" Type="http://schemas.openxmlformats.org/officeDocument/2006/relationships/hyperlink" Target="https://www.tiktok.com/@tamiputriars/video/7618093094486969618?_r=1&amp;_t=ZS-9579zn9Iv2I" TargetMode="External"/><Relationship Id="rId221" Type="http://schemas.openxmlformats.org/officeDocument/2006/relationships/hyperlink" Target="https://www.tiktok.com/@fhateeem/video/7629627389068561671" TargetMode="External"/><Relationship Id="rId342" Type="http://schemas.openxmlformats.org/officeDocument/2006/relationships/hyperlink" Target="https://www.tiktok.com/@nanadd0.7" TargetMode="External"/><Relationship Id="rId217" Type="http://schemas.openxmlformats.org/officeDocument/2006/relationships/hyperlink" Target="https://vt.tiktok.com/ZSHbv7uxW/" TargetMode="External"/><Relationship Id="rId338" Type="http://schemas.openxmlformats.org/officeDocument/2006/relationships/hyperlink" Target="https://www.tiktok.com/@ndaahq" TargetMode="External"/><Relationship Id="rId216" Type="http://schemas.openxmlformats.org/officeDocument/2006/relationships/hyperlink" Target="https://www.tiktok.com/@beningtyasw" TargetMode="External"/><Relationship Id="rId337" Type="http://schemas.openxmlformats.org/officeDocument/2006/relationships/hyperlink" Target="https://www.tiktok.com/@ariantiw_" TargetMode="External"/><Relationship Id="rId215" Type="http://schemas.openxmlformats.org/officeDocument/2006/relationships/hyperlink" Target="https://vt.tiktok.com/ZSHtj3AY3/" TargetMode="External"/><Relationship Id="rId336" Type="http://schemas.openxmlformats.org/officeDocument/2006/relationships/hyperlink" Target="https://vt.tiktok.com/ZSQ1KCs84/" TargetMode="External"/><Relationship Id="rId214" Type="http://schemas.openxmlformats.org/officeDocument/2006/relationships/hyperlink" Target="https://vt.tiktok.com/ZSHt6Jxsk/" TargetMode="External"/><Relationship Id="rId335" Type="http://schemas.openxmlformats.org/officeDocument/2006/relationships/hyperlink" Target="https://vt.tiktok.com/ZSQ1KhpPT/" TargetMode="External"/><Relationship Id="rId219" Type="http://schemas.openxmlformats.org/officeDocument/2006/relationships/hyperlink" Target="https://www.tiktok.com/@fhateeem" TargetMode="External"/><Relationship Id="rId218" Type="http://schemas.openxmlformats.org/officeDocument/2006/relationships/hyperlink" Target="https://vt.tiktok.com/ZSHvVBV3D/" TargetMode="External"/><Relationship Id="rId339" Type="http://schemas.openxmlformats.org/officeDocument/2006/relationships/hyperlink" Target="https://vt.tiktok.com/ZSxGcahCa/" TargetMode="External"/><Relationship Id="rId330" Type="http://schemas.openxmlformats.org/officeDocument/2006/relationships/hyperlink" Target="https://www.tiktok.com/@azizahrisqi" TargetMode="External"/><Relationship Id="rId213" Type="http://schemas.openxmlformats.org/officeDocument/2006/relationships/hyperlink" Target="https://www.tiktok.com/@kakaklin_" TargetMode="External"/><Relationship Id="rId334" Type="http://schemas.openxmlformats.org/officeDocument/2006/relationships/hyperlink" Target="https://www.tiktok.com/@ameccaa.id" TargetMode="External"/><Relationship Id="rId212" Type="http://schemas.openxmlformats.org/officeDocument/2006/relationships/hyperlink" Target="https://www.tiktok.com/@pipittindah_/video/7623993927804144914?_r=1&amp;_t=ZS-95DjiIVAjEF" TargetMode="External"/><Relationship Id="rId333" Type="http://schemas.openxmlformats.org/officeDocument/2006/relationships/hyperlink" Target="http://ameccaa.id" TargetMode="External"/><Relationship Id="rId211" Type="http://schemas.openxmlformats.org/officeDocument/2006/relationships/hyperlink" Target="https://www.tiktok.com/@pipittindah_" TargetMode="External"/><Relationship Id="rId332" Type="http://schemas.openxmlformats.org/officeDocument/2006/relationships/hyperlink" Target="https://www.tiktok.com/@bygurlsspill" TargetMode="External"/><Relationship Id="rId210" Type="http://schemas.openxmlformats.org/officeDocument/2006/relationships/hyperlink" Target="https://vt.tiktok.com/ZSHxRRTMv/" TargetMode="External"/><Relationship Id="rId331" Type="http://schemas.openxmlformats.org/officeDocument/2006/relationships/hyperlink" Target="https://vt.tiktok.com/ZSxre6PKw/" TargetMode="External"/><Relationship Id="rId129" Type="http://schemas.openxmlformats.org/officeDocument/2006/relationships/hyperlink" Target="https://www.tiktok.com/@naomiifarsya/video/7634851793377217810" TargetMode="External"/><Relationship Id="rId128" Type="http://schemas.openxmlformats.org/officeDocument/2006/relationships/hyperlink" Target="https://www.tiktok.com/@naomiifarsya" TargetMode="External"/><Relationship Id="rId249" Type="http://schemas.openxmlformats.org/officeDocument/2006/relationships/hyperlink" Target="https://vt.tiktok.com/ZSxjkSBVS/" TargetMode="External"/><Relationship Id="rId127" Type="http://schemas.openxmlformats.org/officeDocument/2006/relationships/hyperlink" Target="https://www.tiktok.com/@sye.stuff/video/7617891530186968336?_r=1&amp;_t=ZS-94lBOM1T04n" TargetMode="External"/><Relationship Id="rId248" Type="http://schemas.openxmlformats.org/officeDocument/2006/relationships/hyperlink" Target="https://www.tiktok.com/@aradumpie.__" TargetMode="External"/><Relationship Id="rId126" Type="http://schemas.openxmlformats.org/officeDocument/2006/relationships/hyperlink" Target="https://www.tiktok.com/@sye.stuff/video/7616234790441733393?_r=1&amp;_t=ZS-94ccY6AjgIL" TargetMode="External"/><Relationship Id="rId247" Type="http://schemas.openxmlformats.org/officeDocument/2006/relationships/hyperlink" Target="https://www.tiktok.com/@unboxingtime___" TargetMode="External"/><Relationship Id="rId121" Type="http://schemas.openxmlformats.org/officeDocument/2006/relationships/hyperlink" Target="https://vt.tiktok.com/ZS9CCpyTL/" TargetMode="External"/><Relationship Id="rId242" Type="http://schemas.openxmlformats.org/officeDocument/2006/relationships/hyperlink" Target="https://www.tiktok.com/@marizarizka_" TargetMode="External"/><Relationship Id="rId120" Type="http://schemas.openxmlformats.org/officeDocument/2006/relationships/hyperlink" Target="https://vt.tiktok.com/ZS9NPA8er/" TargetMode="External"/><Relationship Id="rId241" Type="http://schemas.openxmlformats.org/officeDocument/2006/relationships/hyperlink" Target="https://vt.tiktok.com/ZSHtJnq4g/" TargetMode="External"/><Relationship Id="rId240" Type="http://schemas.openxmlformats.org/officeDocument/2006/relationships/hyperlink" Target="https://www.tiktok.com/@ekbardiary" TargetMode="External"/><Relationship Id="rId125" Type="http://schemas.openxmlformats.org/officeDocument/2006/relationships/hyperlink" Target="https://www.tiktok.com/@sye.stuff" TargetMode="External"/><Relationship Id="rId246" Type="http://schemas.openxmlformats.org/officeDocument/2006/relationships/hyperlink" Target="https://vt.tiktok.com/ZSHoFT2m2/" TargetMode="External"/><Relationship Id="rId124" Type="http://schemas.openxmlformats.org/officeDocument/2006/relationships/hyperlink" Target="https://www.tiktok.com/@aisahtrii_/video/7616645903633386772?_r=1&amp;_t=ZS-94eKaUe0ae1" TargetMode="External"/><Relationship Id="rId245" Type="http://schemas.openxmlformats.org/officeDocument/2006/relationships/hyperlink" Target="https://www.tiktok.com/@tesazakia?lang=en" TargetMode="External"/><Relationship Id="rId123" Type="http://schemas.openxmlformats.org/officeDocument/2006/relationships/hyperlink" Target="https://www.tiktok.com/@aisahtrii_/video/7615930925662194964?_r=1&amp;_t=ZS-94b3nkOFk5R" TargetMode="External"/><Relationship Id="rId244" Type="http://schemas.openxmlformats.org/officeDocument/2006/relationships/hyperlink" Target="https://www.tiktok.com/@audiatunnuzul.11" TargetMode="External"/><Relationship Id="rId122" Type="http://schemas.openxmlformats.org/officeDocument/2006/relationships/hyperlink" Target="https://www.tiktok.com/@aisahtrii_" TargetMode="External"/><Relationship Id="rId243" Type="http://schemas.openxmlformats.org/officeDocument/2006/relationships/hyperlink" Target="https://vt.tiktok.com/ZS9KHLR7j/" TargetMode="External"/><Relationship Id="rId95" Type="http://schemas.openxmlformats.org/officeDocument/2006/relationships/hyperlink" Target="https://www.tiktok.com/@tentangapiy" TargetMode="External"/><Relationship Id="rId94" Type="http://schemas.openxmlformats.org/officeDocument/2006/relationships/hyperlink" Target="https://www.tiktok.com/@ismifadhilah29/video/7623743321889901845?_r=1&amp;_t=ZS-95ApY5ydrQD" TargetMode="External"/><Relationship Id="rId97" Type="http://schemas.openxmlformats.org/officeDocument/2006/relationships/hyperlink" Target="https://www.tiktok.com/@tentangapiy/video/7622744228048735496?_r=1&amp;_t=ZS-956zjtMq09v" TargetMode="External"/><Relationship Id="rId96" Type="http://schemas.openxmlformats.org/officeDocument/2006/relationships/hyperlink" Target="https://www.tiktok.com/@tentangapiy/video/7622599138923924744?_r=1&amp;_t=ZS-956zgIr0JNP" TargetMode="External"/><Relationship Id="rId99" Type="http://schemas.openxmlformats.org/officeDocument/2006/relationships/hyperlink" Target="https://www.tiktok.com/@tamiputriars/video/7617750921312881927?_r=1&amp;_t=ZS-9579uGwjlq6" TargetMode="External"/><Relationship Id="rId98" Type="http://schemas.openxmlformats.org/officeDocument/2006/relationships/hyperlink" Target="https://www.tiktok.com/@tamiputriars" TargetMode="External"/><Relationship Id="rId91" Type="http://schemas.openxmlformats.org/officeDocument/2006/relationships/hyperlink" Target="https://vt.tiktok.com/ZSukVqAUH/" TargetMode="External"/><Relationship Id="rId90" Type="http://schemas.openxmlformats.org/officeDocument/2006/relationships/hyperlink" Target="https://vt.tiktok.com/ZSmosx59K/" TargetMode="External"/><Relationship Id="rId93" Type="http://schemas.openxmlformats.org/officeDocument/2006/relationships/hyperlink" Target="https://www.tiktok.com/@ismifadhilah29/video/7616635810086915349?_r=1&amp;_t=ZS-94eI5yGoVIA" TargetMode="External"/><Relationship Id="rId92" Type="http://schemas.openxmlformats.org/officeDocument/2006/relationships/hyperlink" Target="https://www.tiktok.com/@ismifadhilah29" TargetMode="External"/><Relationship Id="rId118" Type="http://schemas.openxmlformats.org/officeDocument/2006/relationships/hyperlink" Target="https://vt.tiktok.com/ZSHbmuV5R/" TargetMode="External"/><Relationship Id="rId239" Type="http://schemas.openxmlformats.org/officeDocument/2006/relationships/hyperlink" Target="https://vt.tiktok.com/ZS9UwT1WB/" TargetMode="External"/><Relationship Id="rId117" Type="http://schemas.openxmlformats.org/officeDocument/2006/relationships/hyperlink" Target="https://www.tiktok.com/@lilis_sfr/video/7616641601992969492?_r=1&amp;_t=ZS-94eIhkBBBdU" TargetMode="External"/><Relationship Id="rId238" Type="http://schemas.openxmlformats.org/officeDocument/2006/relationships/hyperlink" Target="https://www.tiktok.com/@intnwulnn_" TargetMode="External"/><Relationship Id="rId116" Type="http://schemas.openxmlformats.org/officeDocument/2006/relationships/hyperlink" Target="https://www.tiktok.com/@lilis_sfr" TargetMode="External"/><Relationship Id="rId237" Type="http://schemas.openxmlformats.org/officeDocument/2006/relationships/hyperlink" Target="https://vt.tiktok.com/ZSHcdJK11/" TargetMode="External"/><Relationship Id="rId115" Type="http://schemas.openxmlformats.org/officeDocument/2006/relationships/hyperlink" Target="https://www.tiktok.com/@thya_pookie/video/7615597757436398868?_r=1&amp;_t=ZS-94ZWEKeGSdk" TargetMode="External"/><Relationship Id="rId236" Type="http://schemas.openxmlformats.org/officeDocument/2006/relationships/hyperlink" Target="https://www.tiktok.com/@hayndep" TargetMode="External"/><Relationship Id="rId119" Type="http://schemas.openxmlformats.org/officeDocument/2006/relationships/hyperlink" Target="https://www.tiktok.com/@angelmatondang14" TargetMode="External"/><Relationship Id="rId110" Type="http://schemas.openxmlformats.org/officeDocument/2006/relationships/hyperlink" Target="https://vt.tiktok.com/ZSHHPhfKv/" TargetMode="External"/><Relationship Id="rId231" Type="http://schemas.openxmlformats.org/officeDocument/2006/relationships/hyperlink" Target="https://vt.tiktok.com/ZSHHWMQb2/" TargetMode="External"/><Relationship Id="rId352" Type="http://schemas.openxmlformats.org/officeDocument/2006/relationships/vmlDrawing" Target="../drawings/vmlDrawing5.vml"/><Relationship Id="rId230" Type="http://schemas.openxmlformats.org/officeDocument/2006/relationships/hyperlink" Target="https://www.tiktok.com/@fitrianahisnainy" TargetMode="External"/><Relationship Id="rId351" Type="http://schemas.openxmlformats.org/officeDocument/2006/relationships/drawing" Target="../drawings/drawing11.xml"/><Relationship Id="rId350" Type="http://schemas.openxmlformats.org/officeDocument/2006/relationships/hyperlink" Target="https://www.tiktok.com/@yanti_nainggolan" TargetMode="External"/><Relationship Id="rId114" Type="http://schemas.openxmlformats.org/officeDocument/2006/relationships/hyperlink" Target="https://www.tiktok.com/@thya_pookie" TargetMode="External"/><Relationship Id="rId235" Type="http://schemas.openxmlformats.org/officeDocument/2006/relationships/hyperlink" Target="https://vt.tiktok.com/ZS9foU7NS/" TargetMode="External"/><Relationship Id="rId113" Type="http://schemas.openxmlformats.org/officeDocument/2006/relationships/hyperlink" Target="https://www.tiktok.com/@focusonmeehh/video/7617112417423609108?_r=1&amp;_t=ZS-94gSO5TX8ia" TargetMode="External"/><Relationship Id="rId234" Type="http://schemas.openxmlformats.org/officeDocument/2006/relationships/hyperlink" Target="https://vt.tiktok.com/ZS9foLX5L/" TargetMode="External"/><Relationship Id="rId112" Type="http://schemas.openxmlformats.org/officeDocument/2006/relationships/hyperlink" Target="https://www.tiktok.com/@focusonmeehh" TargetMode="External"/><Relationship Id="rId233" Type="http://schemas.openxmlformats.org/officeDocument/2006/relationships/hyperlink" Target="https://vt.tiktok.com/ZS91h6nrH/" TargetMode="External"/><Relationship Id="rId111" Type="http://schemas.openxmlformats.org/officeDocument/2006/relationships/hyperlink" Target="https://vt.tiktok.com/ZS9YCkFpQ/" TargetMode="External"/><Relationship Id="rId232" Type="http://schemas.openxmlformats.org/officeDocument/2006/relationships/hyperlink" Target="https://www.tiktok.com/@by.titaaa" TargetMode="External"/><Relationship Id="rId305" Type="http://schemas.openxmlformats.org/officeDocument/2006/relationships/hyperlink" Target="https://www.tiktok.com/@vika_deanda" TargetMode="External"/><Relationship Id="rId304" Type="http://schemas.openxmlformats.org/officeDocument/2006/relationships/hyperlink" Target="https://vt.tiktok.com/ZSxDU8VH8/" TargetMode="External"/><Relationship Id="rId303" Type="http://schemas.openxmlformats.org/officeDocument/2006/relationships/hyperlink" Target="https://vt.tiktok.com/ZSxr2b7Da/" TargetMode="External"/><Relationship Id="rId302" Type="http://schemas.openxmlformats.org/officeDocument/2006/relationships/hyperlink" Target="https://vt.tiktok.com/ZSxRLvLdu/" TargetMode="External"/><Relationship Id="rId309" Type="http://schemas.openxmlformats.org/officeDocument/2006/relationships/hyperlink" Target="https://www.tiktok.com/@4beey" TargetMode="External"/><Relationship Id="rId308" Type="http://schemas.openxmlformats.org/officeDocument/2006/relationships/hyperlink" Target="https://vt.tiktok.com/ZSxAY2ejT/" TargetMode="External"/><Relationship Id="rId307" Type="http://schemas.openxmlformats.org/officeDocument/2006/relationships/hyperlink" Target="https://vt.tiktok.com/ZS9DwVwPQ/" TargetMode="External"/><Relationship Id="rId306" Type="http://schemas.openxmlformats.org/officeDocument/2006/relationships/hyperlink" Target="https://vt.tiktok.com/ZS9DwVwPQ/" TargetMode="External"/><Relationship Id="rId301" Type="http://schemas.openxmlformats.org/officeDocument/2006/relationships/hyperlink" Target="https://vt.tiktok.com/ZS9sKWfbj/" TargetMode="External"/><Relationship Id="rId300" Type="http://schemas.openxmlformats.org/officeDocument/2006/relationships/hyperlink" Target="https://vt.tiktok.com/ZS9XGK2MW/" TargetMode="External"/><Relationship Id="rId206" Type="http://schemas.openxmlformats.org/officeDocument/2006/relationships/hyperlink" Target="https://www.tiktok.com/@byliyah/video/7624071779463482632?_r=1&amp;_t=ZS-95GkEXMMy8O" TargetMode="External"/><Relationship Id="rId327" Type="http://schemas.openxmlformats.org/officeDocument/2006/relationships/hyperlink" Target="https://vt.tiktok.com/ZS9oGAjpP/" TargetMode="External"/><Relationship Id="rId205" Type="http://schemas.openxmlformats.org/officeDocument/2006/relationships/hyperlink" Target="https://www.tiktok.com/@byliyah/video/7623602252757994770?_r=1&amp;_t=ZS-95B27p4ncYS" TargetMode="External"/><Relationship Id="rId326" Type="http://schemas.openxmlformats.org/officeDocument/2006/relationships/hyperlink" Target="https://www.tiktok.com/@sherilsftr" TargetMode="External"/><Relationship Id="rId204" Type="http://schemas.openxmlformats.org/officeDocument/2006/relationships/hyperlink" Target="https://www.tiktok.com/@Byliyah" TargetMode="External"/><Relationship Id="rId325" Type="http://schemas.openxmlformats.org/officeDocument/2006/relationships/hyperlink" Target="https://vt.tiktok.com/ZSxMJVVTH/" TargetMode="External"/><Relationship Id="rId203" Type="http://schemas.openxmlformats.org/officeDocument/2006/relationships/hyperlink" Target="https://vt.tiktok.com/ZSHpB1wc5/" TargetMode="External"/><Relationship Id="rId324" Type="http://schemas.openxmlformats.org/officeDocument/2006/relationships/hyperlink" Target="https://www.tiktok.com/@afrillamuthiia" TargetMode="External"/><Relationship Id="rId209" Type="http://schemas.openxmlformats.org/officeDocument/2006/relationships/hyperlink" Target="https://www.tiktok.com/@shiintamiiftaa/video/7624776789503511816?_r=1&amp;_t=ZS-95KwYFrWHBq" TargetMode="External"/><Relationship Id="rId208" Type="http://schemas.openxmlformats.org/officeDocument/2006/relationships/hyperlink" Target="https://www.tiktok.com/@shiintamiiftaa" TargetMode="External"/><Relationship Id="rId329" Type="http://schemas.openxmlformats.org/officeDocument/2006/relationships/hyperlink" Target="https://www.tiktok.com/@rahayuuuu_2" TargetMode="External"/><Relationship Id="rId207" Type="http://schemas.openxmlformats.org/officeDocument/2006/relationships/hyperlink" Target="https://www.tiktok.com/@byliyah/video/7624769265408675090?_r=1&amp;_t=ZS-95GkI5IMdbb" TargetMode="External"/><Relationship Id="rId328" Type="http://schemas.openxmlformats.org/officeDocument/2006/relationships/hyperlink" Target="https://vt.tiktok.com/ZSxQyC8Yj/" TargetMode="External"/><Relationship Id="rId202" Type="http://schemas.openxmlformats.org/officeDocument/2006/relationships/hyperlink" Target="https://vt.tiktok.com/ZSHpkvYNK/" TargetMode="External"/><Relationship Id="rId323" Type="http://schemas.openxmlformats.org/officeDocument/2006/relationships/hyperlink" Target="https://vt.tiktok.com/ZSxprvDLW/" TargetMode="External"/><Relationship Id="rId201" Type="http://schemas.openxmlformats.org/officeDocument/2006/relationships/hyperlink" Target="https://vt.tiktok.com/ZSHpkvvRA/" TargetMode="External"/><Relationship Id="rId322" Type="http://schemas.openxmlformats.org/officeDocument/2006/relationships/hyperlink" Target="https://vt.tiktok.com/ZSxphe9Rp/" TargetMode="External"/><Relationship Id="rId200" Type="http://schemas.openxmlformats.org/officeDocument/2006/relationships/hyperlink" Target="https://www.tiktok.com/@azurayumna.s" TargetMode="External"/><Relationship Id="rId321" Type="http://schemas.openxmlformats.org/officeDocument/2006/relationships/hyperlink" Target="https://www.tiktok.com/@shand_id" TargetMode="External"/><Relationship Id="rId320" Type="http://schemas.openxmlformats.org/officeDocument/2006/relationships/hyperlink" Target="https://www.tiktok.com/@rafael_dionisius" TargetMode="External"/><Relationship Id="rId316" Type="http://schemas.openxmlformats.org/officeDocument/2006/relationships/hyperlink" Target="https://vt.tiktok.com/ZS9oMsVeS/" TargetMode="External"/><Relationship Id="rId315" Type="http://schemas.openxmlformats.org/officeDocument/2006/relationships/hyperlink" Target="https://vt.tiktok.com/ZS9KaW7gS/" TargetMode="External"/><Relationship Id="rId314" Type="http://schemas.openxmlformats.org/officeDocument/2006/relationships/hyperlink" Target="https://www.tiktok.com/@farasdanii" TargetMode="External"/><Relationship Id="rId313" Type="http://schemas.openxmlformats.org/officeDocument/2006/relationships/hyperlink" Target="https://vt.tiktok.com/ZS9HtjDDD/" TargetMode="External"/><Relationship Id="rId319" Type="http://schemas.openxmlformats.org/officeDocument/2006/relationships/hyperlink" Target="https://vt.tiktok.com/ZS9oye7Tp/" TargetMode="External"/><Relationship Id="rId318" Type="http://schemas.openxmlformats.org/officeDocument/2006/relationships/hyperlink" Target="https://vt.tiktok.com/ZS9oUwXaE/" TargetMode="External"/><Relationship Id="rId317" Type="http://schemas.openxmlformats.org/officeDocument/2006/relationships/hyperlink" Target="https://www.tiktok.com/@panggilajadodo" TargetMode="External"/><Relationship Id="rId312" Type="http://schemas.openxmlformats.org/officeDocument/2006/relationships/hyperlink" Target="https://www.tiktok.com/@dsmanlase" TargetMode="External"/><Relationship Id="rId311" Type="http://schemas.openxmlformats.org/officeDocument/2006/relationships/hyperlink" Target="https://vt.tiktok.com/ZS9EgDFyo/" TargetMode="External"/><Relationship Id="rId310" Type="http://schemas.openxmlformats.org/officeDocument/2006/relationships/hyperlink" Target="https://vt.tiktok.com/ZS9U8UTYQ/" TargetMode="External"/></Relationships>
</file>

<file path=xl/worksheets/_rels/sheet12.xml.rels><?xml version="1.0" encoding="UTF-8" standalone="yes"?><Relationships xmlns="http://schemas.openxmlformats.org/package/2006/relationships"><Relationship Id="rId190" Type="http://schemas.openxmlformats.org/officeDocument/2006/relationships/hyperlink" Target="https://vt.tiktok.com/ZS94kXW2p/" TargetMode="External"/><Relationship Id="rId194" Type="http://schemas.openxmlformats.org/officeDocument/2006/relationships/hyperlink" Target="https://www.tiktok.com/@jenymarc.makeup" TargetMode="External"/><Relationship Id="rId193" Type="http://schemas.openxmlformats.org/officeDocument/2006/relationships/hyperlink" Target="https://vt.tiktok.com/ZSmf7BgAL/" TargetMode="External"/><Relationship Id="rId192" Type="http://schemas.openxmlformats.org/officeDocument/2006/relationships/hyperlink" Target="https://vt.tiktok.com/ZSmf71HNr/" TargetMode="External"/><Relationship Id="rId191" Type="http://schemas.openxmlformats.org/officeDocument/2006/relationships/hyperlink" Target="https://www.tiktok.com/@zrshafaaaa" TargetMode="External"/><Relationship Id="rId187" Type="http://schemas.openxmlformats.org/officeDocument/2006/relationships/hyperlink" Target="https://vt.tiktok.com/ZSHoqyaE2/" TargetMode="External"/><Relationship Id="rId186" Type="http://schemas.openxmlformats.org/officeDocument/2006/relationships/hyperlink" Target="https://vt.tiktok.com/ZSHm2vBTw/" TargetMode="External"/><Relationship Id="rId185" Type="http://schemas.openxmlformats.org/officeDocument/2006/relationships/hyperlink" Target="https://www.tiktok.com/@ssndeti" TargetMode="External"/><Relationship Id="rId184" Type="http://schemas.openxmlformats.org/officeDocument/2006/relationships/hyperlink" Target="https://www.tiktok.com/@sanclavvd/video/7607407111206735122?_r=1&amp;_t=ZS-93zZR5WWs2J" TargetMode="External"/><Relationship Id="rId189" Type="http://schemas.openxmlformats.org/officeDocument/2006/relationships/hyperlink" Target="https://vt.tiktok.com/ZSm91D1S6/" TargetMode="External"/><Relationship Id="rId188" Type="http://schemas.openxmlformats.org/officeDocument/2006/relationships/hyperlink" Target="https://www.tiktok.com/@dinifu1" TargetMode="External"/><Relationship Id="rId183" Type="http://schemas.openxmlformats.org/officeDocument/2006/relationships/hyperlink" Target="https://www.tiktok.com/@sanclavvd/video/7606261124832464146?_r=1&amp;_t=ZS-93xyfW0PYP4" TargetMode="External"/><Relationship Id="rId182" Type="http://schemas.openxmlformats.org/officeDocument/2006/relationships/hyperlink" Target="https://www.tiktok.com/@sanclavvd" TargetMode="External"/><Relationship Id="rId181" Type="http://schemas.openxmlformats.org/officeDocument/2006/relationships/hyperlink" Target="https://www.tiktok.com/@neirdgurrlll/video/7609468413014019348?_r=1&amp;_t=ZS-947kZl0tfgS" TargetMode="External"/><Relationship Id="rId180" Type="http://schemas.openxmlformats.org/officeDocument/2006/relationships/hyperlink" Target="https://www.tiktok.com/@neirdgurrlll" TargetMode="External"/><Relationship Id="rId176" Type="http://schemas.openxmlformats.org/officeDocument/2006/relationships/hyperlink" Target="https://www.tiktok.com/@amdwt_/video/7611809390189956368?_r=1&amp;_t=ZS-94JlNxzoeLh" TargetMode="External"/><Relationship Id="rId297" Type="http://schemas.openxmlformats.org/officeDocument/2006/relationships/hyperlink" Target="https://vt.tiktok.com/ZSx5PrEj3/" TargetMode="External"/><Relationship Id="rId175" Type="http://schemas.openxmlformats.org/officeDocument/2006/relationships/hyperlink" Target="https://www.tiktok.com/@amdwt_/video/7611810561604586769?_r=1&amp;_t=ZS-94JlQ16NwAr" TargetMode="External"/><Relationship Id="rId296" Type="http://schemas.openxmlformats.org/officeDocument/2006/relationships/hyperlink" Target="https://vt.tiktok.com/ZSxM3fvCe/" TargetMode="External"/><Relationship Id="rId174" Type="http://schemas.openxmlformats.org/officeDocument/2006/relationships/hyperlink" Target="https://www.tiktok.com/@amdwt_/video/7611812847487667472?_r=1&amp;_t=ZS-94JlPRaooHQ" TargetMode="External"/><Relationship Id="rId295" Type="http://schemas.openxmlformats.org/officeDocument/2006/relationships/hyperlink" Target="https://www.tiktok.com/@okiethamrin98/video/7616233656893345044?_r=1&amp;_t=ZS-95KkpMIzqGj" TargetMode="External"/><Relationship Id="rId173" Type="http://schemas.openxmlformats.org/officeDocument/2006/relationships/hyperlink" Target="https://www.tiktok.com/@amdwt_/video/7612028221613296913?_r=1&amp;_t=ZS-94JlPRao7eq" TargetMode="External"/><Relationship Id="rId294" Type="http://schemas.openxmlformats.org/officeDocument/2006/relationships/hyperlink" Target="https://www.tiktok.com/@Okiethamrin98" TargetMode="External"/><Relationship Id="rId179" Type="http://schemas.openxmlformats.org/officeDocument/2006/relationships/hyperlink" Target="https://www.tiktok.com/@naylaazhrni/video/7611521266125671701?_r=1&amp;_t=ZS-94HTxbNz3WS" TargetMode="External"/><Relationship Id="rId178" Type="http://schemas.openxmlformats.org/officeDocument/2006/relationships/hyperlink" Target="https://www.tiktok.com/@neirdgurrlll/video/7609468413014019348?_r=1&amp;_t=ZS-947kZl0tfgS" TargetMode="External"/><Relationship Id="rId299" Type="http://schemas.openxmlformats.org/officeDocument/2006/relationships/hyperlink" Target="https://www.tiktok.com/@ncaaaaaaa24_" TargetMode="External"/><Relationship Id="rId177" Type="http://schemas.openxmlformats.org/officeDocument/2006/relationships/hyperlink" Target="https://www.tiktok.com/@naylaazhrni" TargetMode="External"/><Relationship Id="rId298" Type="http://schemas.openxmlformats.org/officeDocument/2006/relationships/hyperlink" Target="https://www.tiktok.com/@dwitriyant" TargetMode="External"/><Relationship Id="rId198" Type="http://schemas.openxmlformats.org/officeDocument/2006/relationships/hyperlink" Target="https://vt.tiktok.com/ZSmKDT56c/" TargetMode="External"/><Relationship Id="rId197" Type="http://schemas.openxmlformats.org/officeDocument/2006/relationships/hyperlink" Target="https://vt.tiktok.com/ZSmKDtppK/" TargetMode="External"/><Relationship Id="rId196" Type="http://schemas.openxmlformats.org/officeDocument/2006/relationships/hyperlink" Target="https://www.tiktok.com/@marifatul_mahmudah3" TargetMode="External"/><Relationship Id="rId195" Type="http://schemas.openxmlformats.org/officeDocument/2006/relationships/hyperlink" Target="https://vt.tiktok.com/ZSuhdQeSe/" TargetMode="External"/><Relationship Id="rId199" Type="http://schemas.openxmlformats.org/officeDocument/2006/relationships/hyperlink" Target="https://vt.tiktok.com/ZSmKD9L8v/" TargetMode="External"/><Relationship Id="rId150" Type="http://schemas.openxmlformats.org/officeDocument/2006/relationships/hyperlink" Target="https://www.tiktok.com/@apriliakartiningsih" TargetMode="External"/><Relationship Id="rId271" Type="http://schemas.openxmlformats.org/officeDocument/2006/relationships/hyperlink" Target="https://www.tiktok.com/@cutarsyilla/video/7613009196614716693?_r=1&amp;_t=ZS-94Q2OqoG837" TargetMode="External"/><Relationship Id="rId392" Type="http://schemas.openxmlformats.org/officeDocument/2006/relationships/hyperlink" Target="https://www.tiktok.com/@egaarmwt" TargetMode="External"/><Relationship Id="rId270" Type="http://schemas.openxmlformats.org/officeDocument/2006/relationships/hyperlink" Target="https://www.tiktok.com/@cutarsyilla" TargetMode="External"/><Relationship Id="rId391" Type="http://schemas.openxmlformats.org/officeDocument/2006/relationships/hyperlink" Target="https://vt.tiktok.com/ZS9pykACs/" TargetMode="External"/><Relationship Id="rId390" Type="http://schemas.openxmlformats.org/officeDocument/2006/relationships/hyperlink" Target="https://vt.tiktok.com/ZS9pykNBJ/" TargetMode="External"/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149" Type="http://schemas.openxmlformats.org/officeDocument/2006/relationships/hyperlink" Target="https://vt.tiktok.com/ZSHWhVKac/" TargetMode="External"/><Relationship Id="rId4" Type="http://schemas.openxmlformats.org/officeDocument/2006/relationships/hyperlink" Target="https://www.tiktok.com/@stuffbydiy" TargetMode="External"/><Relationship Id="rId148" Type="http://schemas.openxmlformats.org/officeDocument/2006/relationships/hyperlink" Target="https://vt.tiktok.com/ZSuEfbfRQ/" TargetMode="External"/><Relationship Id="rId269" Type="http://schemas.openxmlformats.org/officeDocument/2006/relationships/hyperlink" Target="https://www.tiktok.com/@araanrml/video/7611486949991386386?_r=1&amp;_t=ZS-94GhJ5qFIDn" TargetMode="External"/><Relationship Id="rId9" Type="http://schemas.openxmlformats.org/officeDocument/2006/relationships/hyperlink" Target="https://www.tiktok.com/@siska285/video/7600735644683373844?_r=1&amp;_t=ZS-93TSReJm9AH" TargetMode="External"/><Relationship Id="rId143" Type="http://schemas.openxmlformats.org/officeDocument/2006/relationships/hyperlink" Target="https://www.tiktok.com/@tentangapiy/video/7605260135929351442?_r=1&amp;_t=ZS-93oCODukeb1" TargetMode="External"/><Relationship Id="rId264" Type="http://schemas.openxmlformats.org/officeDocument/2006/relationships/hyperlink" Target="https://vt.tiktok.com/ZS9RnPHVS/" TargetMode="External"/><Relationship Id="rId385" Type="http://schemas.openxmlformats.org/officeDocument/2006/relationships/hyperlink" Target="https://www.tiktok.com/@iyainimutiii" TargetMode="External"/><Relationship Id="rId142" Type="http://schemas.openxmlformats.org/officeDocument/2006/relationships/hyperlink" Target="https://www.tiktok.com/@tentangapiy" TargetMode="External"/><Relationship Id="rId263" Type="http://schemas.openxmlformats.org/officeDocument/2006/relationships/hyperlink" Target="https://www.tiktok.com/@rahasiacantique/video/7615882048321916180?_r=1&amp;_t=ZS-95Kj3VXy3Qj" TargetMode="External"/><Relationship Id="rId384" Type="http://schemas.openxmlformats.org/officeDocument/2006/relationships/hyperlink" Target="https://vt.tiktok.com/ZS94fkmFd/" TargetMode="External"/><Relationship Id="rId141" Type="http://schemas.openxmlformats.org/officeDocument/2006/relationships/hyperlink" Target="https://www.tiktok.com/@bdhabits/video/7605925858150518037?_r=1&amp;_t=ZS-93rDtBpehEr" TargetMode="External"/><Relationship Id="rId262" Type="http://schemas.openxmlformats.org/officeDocument/2006/relationships/hyperlink" Target="https://www.tiktok.com/@rahasiacantique" TargetMode="External"/><Relationship Id="rId383" Type="http://schemas.openxmlformats.org/officeDocument/2006/relationships/hyperlink" Target="https://www.tiktok.com/@Sifaaa.97" TargetMode="External"/><Relationship Id="rId140" Type="http://schemas.openxmlformats.org/officeDocument/2006/relationships/hyperlink" Target="https://www.tiktok.com/@bdhabits" TargetMode="External"/><Relationship Id="rId261" Type="http://schemas.openxmlformats.org/officeDocument/2006/relationships/hyperlink" Target="https://vt.tiktok.com/ZSHW8N4bL/" TargetMode="External"/><Relationship Id="rId382" Type="http://schemas.openxmlformats.org/officeDocument/2006/relationships/hyperlink" Target="https://vt.tiktok.com/ZS95s8ofr/" TargetMode="External"/><Relationship Id="rId5" Type="http://schemas.openxmlformats.org/officeDocument/2006/relationships/hyperlink" Target="https://www.tiktok.com/@stuffbydiy/video/7603285519681768724?_r=1&amp;_t=ZS-93fk5x7pYmr" TargetMode="External"/><Relationship Id="rId147" Type="http://schemas.openxmlformats.org/officeDocument/2006/relationships/hyperlink" Target="https://vt.tiktok.com/ZSurvBkKe/" TargetMode="External"/><Relationship Id="rId268" Type="http://schemas.openxmlformats.org/officeDocument/2006/relationships/hyperlink" Target="https://www.tiktok.com/@araanrml" TargetMode="External"/><Relationship Id="rId389" Type="http://schemas.openxmlformats.org/officeDocument/2006/relationships/hyperlink" Target="https://www.tiktok.com/@shand_id" TargetMode="External"/><Relationship Id="rId6" Type="http://schemas.openxmlformats.org/officeDocument/2006/relationships/hyperlink" Target="https://www.tiktok.com/@zepihyr" TargetMode="External"/><Relationship Id="rId146" Type="http://schemas.openxmlformats.org/officeDocument/2006/relationships/hyperlink" Target="https://www.tiktok.com/@justnedder" TargetMode="External"/><Relationship Id="rId267" Type="http://schemas.openxmlformats.org/officeDocument/2006/relationships/hyperlink" Target="https://vt.tiktok.com/ZSHgrsoSU/" TargetMode="External"/><Relationship Id="rId388" Type="http://schemas.openxmlformats.org/officeDocument/2006/relationships/hyperlink" Target="https://vt.tiktok.com/ZSxMwk5ry/" TargetMode="External"/><Relationship Id="rId7" Type="http://schemas.openxmlformats.org/officeDocument/2006/relationships/hyperlink" Target="https://www.tiktok.com/@Siska285" TargetMode="External"/><Relationship Id="rId145" Type="http://schemas.openxmlformats.org/officeDocument/2006/relationships/hyperlink" Target="https://www.tiktok.com/@tentangapiy/video/7606332327643401480?_r=1&amp;_t=ZS-93t5XrlJJU0" TargetMode="External"/><Relationship Id="rId266" Type="http://schemas.openxmlformats.org/officeDocument/2006/relationships/hyperlink" Target="https://www.tiktok.com/@dratcyunnn" TargetMode="External"/><Relationship Id="rId387" Type="http://schemas.openxmlformats.org/officeDocument/2006/relationships/hyperlink" Target="https://vt.tiktok.com/ZSxMwBkLp/" TargetMode="External"/><Relationship Id="rId8" Type="http://schemas.openxmlformats.org/officeDocument/2006/relationships/hyperlink" Target="https://www.tiktok.com/@siska285/video/7598162268039220500?_r=1&amp;_t=ZS-93OAe9uRLDE" TargetMode="External"/><Relationship Id="rId144" Type="http://schemas.openxmlformats.org/officeDocument/2006/relationships/hyperlink" Target="https://www.tiktok.com/@tentangapiy/video/7605918410693692680?_r=1&amp;_t=ZS-93rBgLNAfWk" TargetMode="External"/><Relationship Id="rId265" Type="http://schemas.openxmlformats.org/officeDocument/2006/relationships/hyperlink" Target="https://vt.tiktok.com/ZS9WttavR/" TargetMode="External"/><Relationship Id="rId386" Type="http://schemas.openxmlformats.org/officeDocument/2006/relationships/hyperlink" Target="https://vt.tiktok.com/ZS9G78VRk/" TargetMode="External"/><Relationship Id="rId260" Type="http://schemas.openxmlformats.org/officeDocument/2006/relationships/hyperlink" Target="https://www.tiktok.com/@mbakadeklaris17/video/7625907502034685204?_r=1&amp;_t=ZS-95KjtSsksVB" TargetMode="External"/><Relationship Id="rId381" Type="http://schemas.openxmlformats.org/officeDocument/2006/relationships/hyperlink" Target="https://www.tiktok.com/@choconad22" TargetMode="External"/><Relationship Id="rId380" Type="http://schemas.openxmlformats.org/officeDocument/2006/relationships/hyperlink" Target="https://vt.tiktok.com/ZS9Gh82dB/" TargetMode="External"/><Relationship Id="rId139" Type="http://schemas.openxmlformats.org/officeDocument/2006/relationships/hyperlink" Target="https://www.tiktok.com/@anindalsp_/video/7625910995352915207?_r=1&amp;_t=ZS-95KlGcWvZdH" TargetMode="External"/><Relationship Id="rId138" Type="http://schemas.openxmlformats.org/officeDocument/2006/relationships/hyperlink" Target="https://www.tiktok.com/@anindalsp_" TargetMode="External"/><Relationship Id="rId259" Type="http://schemas.openxmlformats.org/officeDocument/2006/relationships/hyperlink" Target="https://www.tiktok.com/@Mbakadeklaris17" TargetMode="External"/><Relationship Id="rId137" Type="http://schemas.openxmlformats.org/officeDocument/2006/relationships/hyperlink" Target="https://www.tiktok.com/@armiheppii/video/7613460473115102484?_r=1&amp;_t=ZS-94PtvLeCwez" TargetMode="External"/><Relationship Id="rId258" Type="http://schemas.openxmlformats.org/officeDocument/2006/relationships/hyperlink" Target="https://vt.tiktok.com/ZSuExw17j/" TargetMode="External"/><Relationship Id="rId379" Type="http://schemas.openxmlformats.org/officeDocument/2006/relationships/hyperlink" Target="https://www.tiktok.com/@dindaaprd_" TargetMode="External"/><Relationship Id="rId132" Type="http://schemas.openxmlformats.org/officeDocument/2006/relationships/hyperlink" Target="https://www.tiktok.com/@melani.makeup17/video/7605040268630363412?_r=1&amp;_t=ZS-93nAFiixpXU" TargetMode="External"/><Relationship Id="rId253" Type="http://schemas.openxmlformats.org/officeDocument/2006/relationships/hyperlink" Target="https://vt.tiktok.com/ZSukV8bDh/" TargetMode="External"/><Relationship Id="rId374" Type="http://schemas.openxmlformats.org/officeDocument/2006/relationships/hyperlink" Target="https://vt.tiktok.com/ZS9f8S5Cj/" TargetMode="External"/><Relationship Id="rId131" Type="http://schemas.openxmlformats.org/officeDocument/2006/relationships/hyperlink" Target="https://www.tiktok.com/@melani.makeup17" TargetMode="External"/><Relationship Id="rId252" Type="http://schemas.openxmlformats.org/officeDocument/2006/relationships/hyperlink" Target="https://www.tiktok.com/@angelmatondang14" TargetMode="External"/><Relationship Id="rId373" Type="http://schemas.openxmlformats.org/officeDocument/2006/relationships/hyperlink" Target="https://www.tiktok.com/@tthnenden685" TargetMode="External"/><Relationship Id="rId130" Type="http://schemas.openxmlformats.org/officeDocument/2006/relationships/hyperlink" Target="https://vt.tiktok.com/ZSmGc9hqp/" TargetMode="External"/><Relationship Id="rId251" Type="http://schemas.openxmlformats.org/officeDocument/2006/relationships/hyperlink" Target="https://www.tiktok.com/@by.titaaa/video/7611792286451600658?_r=1&amp;_t=ZS-94ahriEmrAd" TargetMode="External"/><Relationship Id="rId372" Type="http://schemas.openxmlformats.org/officeDocument/2006/relationships/hyperlink" Target="https://vt.tiktok.com/ZS9fscvWt/" TargetMode="External"/><Relationship Id="rId250" Type="http://schemas.openxmlformats.org/officeDocument/2006/relationships/hyperlink" Target="https://www.tiktok.com/@by.titaaa/video/7610465735927696648?_r=1&amp;_t=ZS-94GjQ0B1hBA" TargetMode="External"/><Relationship Id="rId371" Type="http://schemas.openxmlformats.org/officeDocument/2006/relationships/hyperlink" Target="https://www.tiktok.com/@si.imel" TargetMode="External"/><Relationship Id="rId136" Type="http://schemas.openxmlformats.org/officeDocument/2006/relationships/hyperlink" Target="https://www.tiktok.com/@armiheppii/video/7610771809377586453?_r=1&amp;_t=ZS-94DyBNWEQTt" TargetMode="External"/><Relationship Id="rId257" Type="http://schemas.openxmlformats.org/officeDocument/2006/relationships/hyperlink" Target="https://vt.tiktok.com/ZSuyGYAfq/" TargetMode="External"/><Relationship Id="rId378" Type="http://schemas.openxmlformats.org/officeDocument/2006/relationships/hyperlink" Target="https://vt.tiktok.com/ZSxUQq8p9/" TargetMode="External"/><Relationship Id="rId135" Type="http://schemas.openxmlformats.org/officeDocument/2006/relationships/hyperlink" Target="https://www.tiktok.com/@armiheppii" TargetMode="External"/><Relationship Id="rId256" Type="http://schemas.openxmlformats.org/officeDocument/2006/relationships/hyperlink" Target="https://www.tiktok.com/@pinkiesgurl" TargetMode="External"/><Relationship Id="rId377" Type="http://schemas.openxmlformats.org/officeDocument/2006/relationships/hyperlink" Target="https://www.tiktok.com/@depeyyyy" TargetMode="External"/><Relationship Id="rId134" Type="http://schemas.openxmlformats.org/officeDocument/2006/relationships/hyperlink" Target="https://www.tiktok.com/@melani.makeup17/video/7605462411272834325?_r=1&amp;_t=ZS-93p6zH0rJQ0" TargetMode="External"/><Relationship Id="rId255" Type="http://schemas.openxmlformats.org/officeDocument/2006/relationships/hyperlink" Target="https://www.tiktok.com/@wafimsyarfh_" TargetMode="External"/><Relationship Id="rId376" Type="http://schemas.openxmlformats.org/officeDocument/2006/relationships/hyperlink" Target="https://vt.tiktok.com/ZSxxaVALK//" TargetMode="External"/><Relationship Id="rId133" Type="http://schemas.openxmlformats.org/officeDocument/2006/relationships/hyperlink" Target="https://www.tiktok.com/@melani.makeup17/video/7605150280086310165?_r=1&amp;_t=ZS-93nfYJBpmAT" TargetMode="External"/><Relationship Id="rId254" Type="http://schemas.openxmlformats.org/officeDocument/2006/relationships/hyperlink" Target="https://vt.tiktok.com/ZSuH37sTJ/" TargetMode="External"/><Relationship Id="rId375" Type="http://schemas.openxmlformats.org/officeDocument/2006/relationships/hyperlink" Target="https://vt.tiktok.com/ZSxxa5CYu/" TargetMode="External"/><Relationship Id="rId172" Type="http://schemas.openxmlformats.org/officeDocument/2006/relationships/hyperlink" Target="https://www.tiktok.com/@amdwt_/video/7611950304954797329?_r=1&amp;_t=ZS-94JlNxdeQRE" TargetMode="External"/><Relationship Id="rId293" Type="http://schemas.openxmlformats.org/officeDocument/2006/relationships/hyperlink" Target="https://www.tiktok.com/@woomentum/video/7626382740501318932?_r=1&amp;_t=ZS-95Mv2lbaKIO" TargetMode="External"/><Relationship Id="rId171" Type="http://schemas.openxmlformats.org/officeDocument/2006/relationships/hyperlink" Target="https://www.tiktok.com/@amdwt_/video/7611953025602571536?_r=1&amp;_t=ZS-94JlN5NyccL" TargetMode="External"/><Relationship Id="rId292" Type="http://schemas.openxmlformats.org/officeDocument/2006/relationships/hyperlink" Target="https://www.tiktok.com/@woomentum" TargetMode="External"/><Relationship Id="rId170" Type="http://schemas.openxmlformats.org/officeDocument/2006/relationships/hyperlink" Target="https://www.tiktok.com/@amdwt_" TargetMode="External"/><Relationship Id="rId291" Type="http://schemas.openxmlformats.org/officeDocument/2006/relationships/hyperlink" Target="https://vt.tiktok.com/ZS9KFVgM2/" TargetMode="External"/><Relationship Id="rId290" Type="http://schemas.openxmlformats.org/officeDocument/2006/relationships/hyperlink" Target="https://vt.tiktok.com/ZS98NxYDU/" TargetMode="External"/><Relationship Id="rId165" Type="http://schemas.openxmlformats.org/officeDocument/2006/relationships/hyperlink" Target="https://www.tiktok.com/@septiaammelia/video/7608823265636650258?_r=1&amp;_t=ZS-944Vy3BkJQQ" TargetMode="External"/><Relationship Id="rId286" Type="http://schemas.openxmlformats.org/officeDocument/2006/relationships/hyperlink" Target="https://vt.tiktok.com/ZSaPjE1GW/" TargetMode="External"/><Relationship Id="rId164" Type="http://schemas.openxmlformats.org/officeDocument/2006/relationships/hyperlink" Target="https://www.tiktok.com/@septiaammelia" TargetMode="External"/><Relationship Id="rId285" Type="http://schemas.openxmlformats.org/officeDocument/2006/relationships/hyperlink" Target="https://www.tiktok.com/@oshiomoshi/video/7585424682162162951?_r=1&amp;_t=ZS-93OAarJuTNoc" TargetMode="External"/><Relationship Id="rId163" Type="http://schemas.openxmlformats.org/officeDocument/2006/relationships/hyperlink" Target="https://www.tiktok.com/@nurridn___/video/7608458264942021908?_r=1&amp;_t=ZS-9446XOGu6pU" TargetMode="External"/><Relationship Id="rId284" Type="http://schemas.openxmlformats.org/officeDocument/2006/relationships/hyperlink" Target="https://www.tiktok.com/@oshiomoshi" TargetMode="External"/><Relationship Id="rId162" Type="http://schemas.openxmlformats.org/officeDocument/2006/relationships/hyperlink" Target="https://www.tiktok.com/@nurridn___" TargetMode="External"/><Relationship Id="rId283" Type="http://schemas.openxmlformats.org/officeDocument/2006/relationships/hyperlink" Target="https://www.tiktok.com/@bbydreamer93/video/7613006997411155220?_r=1&amp;_t=ZS-94Nem6inDQS" TargetMode="External"/><Relationship Id="rId169" Type="http://schemas.openxmlformats.org/officeDocument/2006/relationships/hyperlink" Target="https://www.tiktok.com/@xyblabla2/video/7611487559314590996?_r=1&amp;_t=ZS-94GiNJonMmb" TargetMode="External"/><Relationship Id="rId168" Type="http://schemas.openxmlformats.org/officeDocument/2006/relationships/hyperlink" Target="https://www.tiktok.com/@xyblabla2/video/7610364903488081172?_r=1&amp;_t=ZS-94BYgOBlK8S" TargetMode="External"/><Relationship Id="rId289" Type="http://schemas.openxmlformats.org/officeDocument/2006/relationships/hyperlink" Target="https://www.tiktok.com/@vivikimss" TargetMode="External"/><Relationship Id="rId167" Type="http://schemas.openxmlformats.org/officeDocument/2006/relationships/hyperlink" Target="https://www.tiktok.com/@xyblabla2" TargetMode="External"/><Relationship Id="rId288" Type="http://schemas.openxmlformats.org/officeDocument/2006/relationships/hyperlink" Target="https://vt.tiktok.com/ZSaPjutrC/" TargetMode="External"/><Relationship Id="rId166" Type="http://schemas.openxmlformats.org/officeDocument/2006/relationships/hyperlink" Target="https://www.tiktok.com/@septiaammelia/video/7610759252424117512?_r=1&amp;_t=ZS-94ElQG3Mhei" TargetMode="External"/><Relationship Id="rId287" Type="http://schemas.openxmlformats.org/officeDocument/2006/relationships/hyperlink" Target="https://vt.tiktok.com/ZSaPjnKon/" TargetMode="External"/><Relationship Id="rId161" Type="http://schemas.openxmlformats.org/officeDocument/2006/relationships/hyperlink" Target="https://www.tiktok.com/@ismifadhilah29/video/7606682164301679892?_r=1&amp;_t=ZS-93uxnE71zNQ" TargetMode="External"/><Relationship Id="rId282" Type="http://schemas.openxmlformats.org/officeDocument/2006/relationships/hyperlink" Target="https://www.tiktok.com/@bbydreamer93" TargetMode="External"/><Relationship Id="rId160" Type="http://schemas.openxmlformats.org/officeDocument/2006/relationships/hyperlink" Target="https://www.tiktok.com/@ismifadhilah29/video/7605861290233335060?_r=1&amp;_t=ZS-93r4yaZJZI8" TargetMode="External"/><Relationship Id="rId281" Type="http://schemas.openxmlformats.org/officeDocument/2006/relationships/hyperlink" Target="https://vt.tiktok.com/ZSxjANwMC/" TargetMode="External"/><Relationship Id="rId280" Type="http://schemas.openxmlformats.org/officeDocument/2006/relationships/hyperlink" Target="https://vt.tiktok.com/ZS9qTo81u/" TargetMode="External"/><Relationship Id="rId159" Type="http://schemas.openxmlformats.org/officeDocument/2006/relationships/hyperlink" Target="https://www.tiktok.com/@ismifadhilah29" TargetMode="External"/><Relationship Id="rId154" Type="http://schemas.openxmlformats.org/officeDocument/2006/relationships/hyperlink" Target="https://vt.tiktok.com/ZSHAkAVYQ/" TargetMode="External"/><Relationship Id="rId275" Type="http://schemas.openxmlformats.org/officeDocument/2006/relationships/hyperlink" Target="https://vt.tiktok.com/ZSmCFbe1H/" TargetMode="External"/><Relationship Id="rId396" Type="http://schemas.openxmlformats.org/officeDocument/2006/relationships/hyperlink" Target="https://www.tiktok.com/@raudhatussyifaaa" TargetMode="External"/><Relationship Id="rId153" Type="http://schemas.openxmlformats.org/officeDocument/2006/relationships/hyperlink" Target="https://vt.tiktok.com/ZSHMVfetn/" TargetMode="External"/><Relationship Id="rId274" Type="http://schemas.openxmlformats.org/officeDocument/2006/relationships/hyperlink" Target="https://www.tiktok.com/@ridathoughts" TargetMode="External"/><Relationship Id="rId395" Type="http://schemas.openxmlformats.org/officeDocument/2006/relationships/hyperlink" Target="https://vt.tiktok.com/ZS9qq9Ckw/" TargetMode="External"/><Relationship Id="rId152" Type="http://schemas.openxmlformats.org/officeDocument/2006/relationships/hyperlink" Target="https://vt.tiktok.com/ZSmps9XN4/" TargetMode="External"/><Relationship Id="rId273" Type="http://schemas.openxmlformats.org/officeDocument/2006/relationships/hyperlink" Target="https://www.tiktok.com/@stmuliani18/video/7615985693264940308?_r=1&amp;_t=ZS-94bKETOKf2r" TargetMode="External"/><Relationship Id="rId394" Type="http://schemas.openxmlformats.org/officeDocument/2006/relationships/hyperlink" Target="https://vt.tiktok.com/ZS9X7qEP3/c" TargetMode="External"/><Relationship Id="rId151" Type="http://schemas.openxmlformats.org/officeDocument/2006/relationships/hyperlink" Target="https://vt.tiktok.com/ZSmUUvvGN/" TargetMode="External"/><Relationship Id="rId272" Type="http://schemas.openxmlformats.org/officeDocument/2006/relationships/hyperlink" Target="https://www.tiktok.com/@stmuliani18" TargetMode="External"/><Relationship Id="rId393" Type="http://schemas.openxmlformats.org/officeDocument/2006/relationships/hyperlink" Target="https://vt.tiktok.com/ZS9LaLpPg/" TargetMode="External"/><Relationship Id="rId158" Type="http://schemas.openxmlformats.org/officeDocument/2006/relationships/hyperlink" Target="https://www.tiktok.com/@tamiputriars/video/7615159576425434376?_r=1&amp;_t=ZS-94XavoUzbAG" TargetMode="External"/><Relationship Id="rId279" Type="http://schemas.openxmlformats.org/officeDocument/2006/relationships/hyperlink" Target="https://www.tiktok.com/@thnlykai" TargetMode="External"/><Relationship Id="rId157" Type="http://schemas.openxmlformats.org/officeDocument/2006/relationships/hyperlink" Target="https://www.tiktok.com/@tamiputriars/video/7612983405755632903?_r=1&amp;_t=ZS-94OF1Yt3zTs" TargetMode="External"/><Relationship Id="rId278" Type="http://schemas.openxmlformats.org/officeDocument/2006/relationships/hyperlink" Target="https://vt.tiktok.com/ZS9WeUSmA/" TargetMode="External"/><Relationship Id="rId399" Type="http://schemas.openxmlformats.org/officeDocument/2006/relationships/hyperlink" Target="https://www.tiktok.com/@sherilsftr" TargetMode="External"/><Relationship Id="rId156" Type="http://schemas.openxmlformats.org/officeDocument/2006/relationships/hyperlink" Target="https://www.tiktok.com/@tamiputriars/video/7611856343238053128?_r=1&amp;_t=ZS-94IaKTOJtix" TargetMode="External"/><Relationship Id="rId277" Type="http://schemas.openxmlformats.org/officeDocument/2006/relationships/hyperlink" Target="https://vt.tiktok.com/ZS9qpfQL3/" TargetMode="External"/><Relationship Id="rId398" Type="http://schemas.openxmlformats.org/officeDocument/2006/relationships/hyperlink" Target="https://vt.tiktok.com/ZSxyCTPW3/" TargetMode="External"/><Relationship Id="rId155" Type="http://schemas.openxmlformats.org/officeDocument/2006/relationships/hyperlink" Target="https://www.tiktok.com/@tamiputriars" TargetMode="External"/><Relationship Id="rId276" Type="http://schemas.openxmlformats.org/officeDocument/2006/relationships/hyperlink" Target="https://www.tiktok.com/@anasthetixs" TargetMode="External"/><Relationship Id="rId397" Type="http://schemas.openxmlformats.org/officeDocument/2006/relationships/hyperlink" Target="https://vt.tiktok.com/ZSxMwAnfm/" TargetMode="External"/><Relationship Id="rId40" Type="http://schemas.openxmlformats.org/officeDocument/2006/relationships/hyperlink" Target="http://arfatus.sh" TargetMode="External"/><Relationship Id="rId42" Type="http://schemas.openxmlformats.org/officeDocument/2006/relationships/hyperlink" Target="https://vt.tiktok.com/ZSmR8MPNn/" TargetMode="External"/><Relationship Id="rId41" Type="http://schemas.openxmlformats.org/officeDocument/2006/relationships/hyperlink" Target="https://www.tiktok.com/@arfatus.sh" TargetMode="External"/><Relationship Id="rId44" Type="http://schemas.openxmlformats.org/officeDocument/2006/relationships/hyperlink" Target="https://vt.tiktok.com/ZSH6gsaTk/" TargetMode="External"/><Relationship Id="rId43" Type="http://schemas.openxmlformats.org/officeDocument/2006/relationships/hyperlink" Target="https://www.tiktok.com/@melisadyp" TargetMode="External"/><Relationship Id="rId46" Type="http://schemas.openxmlformats.org/officeDocument/2006/relationships/hyperlink" Target="https://www.tiktok.com/@aboutpipita" TargetMode="External"/><Relationship Id="rId45" Type="http://schemas.openxmlformats.org/officeDocument/2006/relationships/hyperlink" Target="https://www.tiktok.com/@melisadyp/video/7627274196539772177" TargetMode="External"/><Relationship Id="rId48" Type="http://schemas.openxmlformats.org/officeDocument/2006/relationships/hyperlink" Target="https://www.tiktok.com/@dvirh9" TargetMode="External"/><Relationship Id="rId47" Type="http://schemas.openxmlformats.org/officeDocument/2006/relationships/hyperlink" Target="https://vt.tiktok.com/ZSauFrsbQ/" TargetMode="External"/><Relationship Id="rId49" Type="http://schemas.openxmlformats.org/officeDocument/2006/relationships/hyperlink" Target="https://vt.tiktok.com/ZSaaYQACA/" TargetMode="External"/><Relationship Id="rId31" Type="http://schemas.openxmlformats.org/officeDocument/2006/relationships/hyperlink" Target="https://vt.tiktok.com/ZSauqjsdR/" TargetMode="External"/><Relationship Id="rId30" Type="http://schemas.openxmlformats.org/officeDocument/2006/relationships/hyperlink" Target="https://vt.tiktok.com/ZSaaUngnj/" TargetMode="External"/><Relationship Id="rId33" Type="http://schemas.openxmlformats.org/officeDocument/2006/relationships/hyperlink" Target="https://www.tiktok.com/@shinndiii_" TargetMode="External"/><Relationship Id="rId32" Type="http://schemas.openxmlformats.org/officeDocument/2006/relationships/hyperlink" Target="https://www.tiktok.com/@sinanr18/video/7601287884821237012?_r=1&amp;_t=ZS-93WUPy0lQ1c" TargetMode="External"/><Relationship Id="rId35" Type="http://schemas.openxmlformats.org/officeDocument/2006/relationships/hyperlink" Target="https://www.tiktok.com/@racunversiaku/video/7601178185862270215?_r=1&amp;_t=ZS-93Zwdp7jRcC" TargetMode="External"/><Relationship Id="rId34" Type="http://schemas.openxmlformats.org/officeDocument/2006/relationships/hyperlink" Target="https://www.tiktok.com/@Racunversiaku" TargetMode="External"/><Relationship Id="rId37" Type="http://schemas.openxmlformats.org/officeDocument/2006/relationships/hyperlink" Target="https://www.tiktok.com/@racunversiaku/video/7601115618015776007?_r=1&amp;_t=ZS-93Zwcchk7CH" TargetMode="External"/><Relationship Id="rId36" Type="http://schemas.openxmlformats.org/officeDocument/2006/relationships/hyperlink" Target="https://www.tiktok.com/@racunversiaku/video/7601348450516503815?_r=1&amp;_t=ZS-93ZwdqsBS1U" TargetMode="External"/><Relationship Id="rId39" Type="http://schemas.openxmlformats.org/officeDocument/2006/relationships/hyperlink" Target="https://www.tiktok.com/@Wulandarisabda" TargetMode="External"/><Relationship Id="rId38" Type="http://schemas.openxmlformats.org/officeDocument/2006/relationships/hyperlink" Target="https://www.tiktok.com/@racunversiaku/video/7601392819109907719?_r=1&amp;_t=ZS-93Zwe6rwBwT" TargetMode="External"/><Relationship Id="rId20" Type="http://schemas.openxmlformats.org/officeDocument/2006/relationships/hyperlink" Target="https://www.tiktok.com/@focusonmeehh" TargetMode="External"/><Relationship Id="rId22" Type="http://schemas.openxmlformats.org/officeDocument/2006/relationships/hyperlink" Target="https://www.tiktok.com/@thya_pookie" TargetMode="External"/><Relationship Id="rId21" Type="http://schemas.openxmlformats.org/officeDocument/2006/relationships/hyperlink" Target="https://www.tiktok.com/@focusonmeehh/video/7599929286908218644?_r=1&amp;_t=ZS-93PlOHxjNw1" TargetMode="External"/><Relationship Id="rId24" Type="http://schemas.openxmlformats.org/officeDocument/2006/relationships/hyperlink" Target="https://www.tiktok.com/@Putriliayanasari94" TargetMode="External"/><Relationship Id="rId23" Type="http://schemas.openxmlformats.org/officeDocument/2006/relationships/hyperlink" Target="https://www.tiktok.com/@thya_pookie/video/7600015699817418005?_r=1&amp;_t=ZS-93QBfZQ1A3d" TargetMode="External"/><Relationship Id="rId409" Type="http://schemas.openxmlformats.org/officeDocument/2006/relationships/hyperlink" Target="https://vt.tiktok.com/ZSxE4yUP3/" TargetMode="External"/><Relationship Id="rId404" Type="http://schemas.openxmlformats.org/officeDocument/2006/relationships/hyperlink" Target="https://vt.tiktok.com/ZSxrkKAVU/" TargetMode="External"/><Relationship Id="rId403" Type="http://schemas.openxmlformats.org/officeDocument/2006/relationships/hyperlink" Target="https://vt.tiktok.com/ZSxrkQTM1/" TargetMode="External"/><Relationship Id="rId402" Type="http://schemas.openxmlformats.org/officeDocument/2006/relationships/hyperlink" Target="https://www.tiktok.com/@vansswan" TargetMode="External"/><Relationship Id="rId401" Type="http://schemas.openxmlformats.org/officeDocument/2006/relationships/hyperlink" Target="https://vt.tiktok.com/ZSxTNswP3/" TargetMode="External"/><Relationship Id="rId408" Type="http://schemas.openxmlformats.org/officeDocument/2006/relationships/hyperlink" Target="https://www.tiktok.com/@nanadd0.7" TargetMode="External"/><Relationship Id="rId407" Type="http://schemas.openxmlformats.org/officeDocument/2006/relationships/hyperlink" Target="https://www.tiktok.com/@deni_febrianti2" TargetMode="External"/><Relationship Id="rId406" Type="http://schemas.openxmlformats.org/officeDocument/2006/relationships/hyperlink" Target="https://vt.tiktok.com/ZSxQoSwA9/" TargetMode="External"/><Relationship Id="rId405" Type="http://schemas.openxmlformats.org/officeDocument/2006/relationships/hyperlink" Target="https://www.tiktok.com/@zihanokta" TargetMode="External"/><Relationship Id="rId26" Type="http://schemas.openxmlformats.org/officeDocument/2006/relationships/hyperlink" Target="https://www.tiktok.com/@putriliyanasari94/video/7611311736200744199?_r=1&amp;_t=ZS-95KZ42R16GX" TargetMode="External"/><Relationship Id="rId25" Type="http://schemas.openxmlformats.org/officeDocument/2006/relationships/hyperlink" Target="https://www.tiktok.com/@putriliyanasari94/video/7611311736200744199?_r=1&amp;_t=ZS-94Gam9qojmT" TargetMode="External"/><Relationship Id="rId28" Type="http://schemas.openxmlformats.org/officeDocument/2006/relationships/hyperlink" Target="https://www.tiktok.com/@sinanr18" TargetMode="External"/><Relationship Id="rId27" Type="http://schemas.openxmlformats.org/officeDocument/2006/relationships/hyperlink" Target="https://www.tiktok.com/@putriliyanasari94/video/7625881901131205895?_r=1&amp;_t=ZS-95KcfXWkylE" TargetMode="External"/><Relationship Id="rId400" Type="http://schemas.openxmlformats.org/officeDocument/2006/relationships/hyperlink" Target="https://vt.tiktok.com/ZSxHB6nex/" TargetMode="External"/><Relationship Id="rId29" Type="http://schemas.openxmlformats.org/officeDocument/2006/relationships/hyperlink" Target="https://vt.tiktok.com/ZSayjBKcK/" TargetMode="External"/><Relationship Id="rId11" Type="http://schemas.openxmlformats.org/officeDocument/2006/relationships/hyperlink" Target="https://www.tiktok.com/@syaashi" TargetMode="External"/><Relationship Id="rId10" Type="http://schemas.openxmlformats.org/officeDocument/2006/relationships/hyperlink" Target="https://www.tiktok.com/@siska285/video/7602160800526077205?_r=1&amp;_t=ZS-93a3uCWl8t7" TargetMode="External"/><Relationship Id="rId13" Type="http://schemas.openxmlformats.org/officeDocument/2006/relationships/hyperlink" Target="https://www.tiktok.com/@mia07024" TargetMode="External"/><Relationship Id="rId12" Type="http://schemas.openxmlformats.org/officeDocument/2006/relationships/hyperlink" Target="https://www.tiktok.com/@syaashi/video/7601853994239151378?_r=1&amp;_t=ZS-93Zho7Kb6FM" TargetMode="External"/><Relationship Id="rId15" Type="http://schemas.openxmlformats.org/officeDocument/2006/relationships/hyperlink" Target="https://www.tiktok.com/@urchocobite" TargetMode="External"/><Relationship Id="rId14" Type="http://schemas.openxmlformats.org/officeDocument/2006/relationships/hyperlink" Target="https://www.tiktok.com/@mia07024/video/7601317529809636626?_r=1&amp;_t=ZS-93ZYRYLSrsy" TargetMode="External"/><Relationship Id="rId17" Type="http://schemas.openxmlformats.org/officeDocument/2006/relationships/hyperlink" Target="https://www.tiktok.com/@urchocobite/video/7601458314731343122?_r=1&amp;_t=ZS-93Wlj8Q92KG" TargetMode="External"/><Relationship Id="rId16" Type="http://schemas.openxmlformats.org/officeDocument/2006/relationships/hyperlink" Target="https://www.tiktok.com/@urchocobite/video/7599583553365609736?_r=1&amp;_t=ZS-93OB5uNjeuQ" TargetMode="External"/><Relationship Id="rId19" Type="http://schemas.openxmlformats.org/officeDocument/2006/relationships/hyperlink" Target="https://www.tiktok.com/@gadisaries97/video/7605523363620097301?_r=1&amp;_t=ZS-93rhOg0Tsaj" TargetMode="External"/><Relationship Id="rId18" Type="http://schemas.openxmlformats.org/officeDocument/2006/relationships/hyperlink" Target="https://www.tiktok.com/@gadisaries97" TargetMode="External"/><Relationship Id="rId84" Type="http://schemas.openxmlformats.org/officeDocument/2006/relationships/hyperlink" Target="https://vt.tiktok.com/ZSm6DTYqp/" TargetMode="External"/><Relationship Id="rId83" Type="http://schemas.openxmlformats.org/officeDocument/2006/relationships/hyperlink" Target="https://vt.tiktok.com/ZSm6DKmCW/" TargetMode="External"/><Relationship Id="rId86" Type="http://schemas.openxmlformats.org/officeDocument/2006/relationships/hyperlink" Target="https://vt.tiktok.com/ZSm6PPQNn/" TargetMode="External"/><Relationship Id="rId85" Type="http://schemas.openxmlformats.org/officeDocument/2006/relationships/hyperlink" Target="https://vt.tiktok.com/ZSm6P2mNf/" TargetMode="External"/><Relationship Id="rId88" Type="http://schemas.openxmlformats.org/officeDocument/2006/relationships/hyperlink" Target="https://www.tiktok.com/@nris9" TargetMode="External"/><Relationship Id="rId87" Type="http://schemas.openxmlformats.org/officeDocument/2006/relationships/hyperlink" Target="https://vt.tiktok.com/ZSm6PRUBd/" TargetMode="External"/><Relationship Id="rId89" Type="http://schemas.openxmlformats.org/officeDocument/2006/relationships/hyperlink" Target="https://www.tiktok.com/@nris9/video/7602572734345858324?_r=1&amp;_t=ZS-93idYfLDl21" TargetMode="External"/><Relationship Id="rId80" Type="http://schemas.openxmlformats.org/officeDocument/2006/relationships/hyperlink" Target="https://www.tiktok.com/@nurnnyas/video/7610393031270812948?_r=1&amp;_t=ZS-94CihvyDVhs" TargetMode="External"/><Relationship Id="rId82" Type="http://schemas.openxmlformats.org/officeDocument/2006/relationships/hyperlink" Target="https://vt.tiktok.com/ZSmFXqfxP/" TargetMode="External"/><Relationship Id="rId81" Type="http://schemas.openxmlformats.org/officeDocument/2006/relationships/hyperlink" Target="https://www.tiktok.com/@they.callmelst" TargetMode="External"/><Relationship Id="rId73" Type="http://schemas.openxmlformats.org/officeDocument/2006/relationships/hyperlink" Target="https://vt.tiktok.com/ZSmvEUKmK/" TargetMode="External"/><Relationship Id="rId72" Type="http://schemas.openxmlformats.org/officeDocument/2006/relationships/hyperlink" Target="https://vt.tiktok.com/ZSm6nRXYY/" TargetMode="External"/><Relationship Id="rId75" Type="http://schemas.openxmlformats.org/officeDocument/2006/relationships/hyperlink" Target="https://vt.tiktok.com/ZSmBfpbEw/" TargetMode="External"/><Relationship Id="rId74" Type="http://schemas.openxmlformats.org/officeDocument/2006/relationships/hyperlink" Target="https://www.tiktok.com/@sunny.beaute" TargetMode="External"/><Relationship Id="rId77" Type="http://schemas.openxmlformats.org/officeDocument/2006/relationships/hyperlink" Target="https://www.tiktok.com/@nurnnyas" TargetMode="External"/><Relationship Id="rId76" Type="http://schemas.openxmlformats.org/officeDocument/2006/relationships/hyperlink" Target="https://vt.tiktok.com/ZSuQ6HmQ5/" TargetMode="External"/><Relationship Id="rId79" Type="http://schemas.openxmlformats.org/officeDocument/2006/relationships/hyperlink" Target="https://www.tiktok.com/@nurnnyas/video/7605156295678758165?_r=1&amp;_t=ZS-93nm4kThxQb" TargetMode="External"/><Relationship Id="rId78" Type="http://schemas.openxmlformats.org/officeDocument/2006/relationships/hyperlink" Target="https://www.tiktok.com/@nurnnyas/video/7603028149043072276?_r=1&amp;_t=ZS-93dy5Bg7UDk" TargetMode="External"/><Relationship Id="rId71" Type="http://schemas.openxmlformats.org/officeDocument/2006/relationships/hyperlink" Target="https://www.tiktok.com/@arnillawati" TargetMode="External"/><Relationship Id="rId70" Type="http://schemas.openxmlformats.org/officeDocument/2006/relationships/hyperlink" Target="https://vt.tiktok.com/ZSmwsvuwb/" TargetMode="External"/><Relationship Id="rId62" Type="http://schemas.openxmlformats.org/officeDocument/2006/relationships/hyperlink" Target="https://www.tiktok.com/@appuccii/video/7612582228878560519?_r=1&amp;_t=ZS-94Li4j2SrRM" TargetMode="External"/><Relationship Id="rId61" Type="http://schemas.openxmlformats.org/officeDocument/2006/relationships/hyperlink" Target="https://www.tiktok.com/@appuccii" TargetMode="External"/><Relationship Id="rId64" Type="http://schemas.openxmlformats.org/officeDocument/2006/relationships/hyperlink" Target="https://www.tiktok.com/@iniziraajuga" TargetMode="External"/><Relationship Id="rId63" Type="http://schemas.openxmlformats.org/officeDocument/2006/relationships/hyperlink" Target="https://www.tiktok.com/@appuccii/video/7613366144870780168?_r=1&amp;_t=ZS-94PIoR5aJxk" TargetMode="External"/><Relationship Id="rId66" Type="http://schemas.openxmlformats.org/officeDocument/2006/relationships/hyperlink" Target="https://www.tiktok.com/@iniziraajuga/video/7605550254586432788?_r=1&amp;_t=ZS-944KOWD9hzQ" TargetMode="External"/><Relationship Id="rId65" Type="http://schemas.openxmlformats.org/officeDocument/2006/relationships/hyperlink" Target="https://www.tiktok.com/@iniziraajuga/video/7604660073192869141?_r=1&amp;_t=ZS-944KNJUy7u8" TargetMode="External"/><Relationship Id="rId68" Type="http://schemas.openxmlformats.org/officeDocument/2006/relationships/hyperlink" Target="https://www.tiktok.com/@ifanasyiffa" TargetMode="External"/><Relationship Id="rId67" Type="http://schemas.openxmlformats.org/officeDocument/2006/relationships/hyperlink" Target="https://www.tiktok.com/@iniziraajuga/video/7611117732851141909?_r=1&amp;_t=ZS-94GjLJ5OQNg" TargetMode="External"/><Relationship Id="rId60" Type="http://schemas.openxmlformats.org/officeDocument/2006/relationships/hyperlink" Target="https://vt.tiktok.com/ZSmfQHdWr/" TargetMode="External"/><Relationship Id="rId69" Type="http://schemas.openxmlformats.org/officeDocument/2006/relationships/hyperlink" Target="https://vt.tiktok.com/ZSm2meoPs/" TargetMode="External"/><Relationship Id="rId51" Type="http://schemas.openxmlformats.org/officeDocument/2006/relationships/hyperlink" Target="https://vt.tiktok.com/ZSmY8eHfa/" TargetMode="External"/><Relationship Id="rId50" Type="http://schemas.openxmlformats.org/officeDocument/2006/relationships/hyperlink" Target="https://vt.tiktok.com/ZSaXuGgeF/" TargetMode="External"/><Relationship Id="rId53" Type="http://schemas.openxmlformats.org/officeDocument/2006/relationships/hyperlink" Target="https://www.tiktok.com/@sillviaaagr/video/7600318882993196305?_r=1&amp;_t=ZS-93UftD2tk9Y" TargetMode="External"/><Relationship Id="rId52" Type="http://schemas.openxmlformats.org/officeDocument/2006/relationships/hyperlink" Target="https://www.tiktok.com/@sillviaaagr" TargetMode="External"/><Relationship Id="rId55" Type="http://schemas.openxmlformats.org/officeDocument/2006/relationships/hyperlink" Target="https://www.tiktok.com/@rfitriaaanii" TargetMode="External"/><Relationship Id="rId54" Type="http://schemas.openxmlformats.org/officeDocument/2006/relationships/hyperlink" Target="https://vt.tiktok.com/ZSmJRRFxh/" TargetMode="External"/><Relationship Id="rId57" Type="http://schemas.openxmlformats.org/officeDocument/2006/relationships/hyperlink" Target="https://vt.tiktok.com/ZSmosDPff/" TargetMode="External"/><Relationship Id="rId56" Type="http://schemas.openxmlformats.org/officeDocument/2006/relationships/hyperlink" Target="https://vt.tiktok.com/ZSmosaq2j/" TargetMode="External"/><Relationship Id="rId59" Type="http://schemas.openxmlformats.org/officeDocument/2006/relationships/hyperlink" Target="https://vt.tiktok.com/ZSa3AgTBS/" TargetMode="External"/><Relationship Id="rId58" Type="http://schemas.openxmlformats.org/officeDocument/2006/relationships/hyperlink" Target="https://www.tiktok.com/@queenhannisss" TargetMode="External"/><Relationship Id="rId107" Type="http://schemas.openxmlformats.org/officeDocument/2006/relationships/hyperlink" Target="https://www.tiktok.com/@itscendi" TargetMode="External"/><Relationship Id="rId228" Type="http://schemas.openxmlformats.org/officeDocument/2006/relationships/hyperlink" Target="https://www.tiktok.com/@xkaalina" TargetMode="External"/><Relationship Id="rId349" Type="http://schemas.openxmlformats.org/officeDocument/2006/relationships/hyperlink" Target="https://vt.tiktok.com/ZS9HUfQkf/" TargetMode="External"/><Relationship Id="rId106" Type="http://schemas.openxmlformats.org/officeDocument/2006/relationships/hyperlink" Target="https://www.tiktok.com/@yourbesties77/video/7603711243202858248?_r=1&amp;_t=ZS-93mGdmBa7df" TargetMode="External"/><Relationship Id="rId227" Type="http://schemas.openxmlformats.org/officeDocument/2006/relationships/hyperlink" Target="https://vt.tiktok.com/ZS9X3pkfN/" TargetMode="External"/><Relationship Id="rId348" Type="http://schemas.openxmlformats.org/officeDocument/2006/relationships/hyperlink" Target="https://www.tiktok.com/@shavirapuspitacitra" TargetMode="External"/><Relationship Id="rId105" Type="http://schemas.openxmlformats.org/officeDocument/2006/relationships/hyperlink" Target="https://www.tiktok.com/@yourbesties77" TargetMode="External"/><Relationship Id="rId226" Type="http://schemas.openxmlformats.org/officeDocument/2006/relationships/hyperlink" Target="https://www.tiktok.com/@andinee__/video/7616997900350164245?_r=1&amp;_t=ZS-94fxh43Q0az" TargetMode="External"/><Relationship Id="rId347" Type="http://schemas.openxmlformats.org/officeDocument/2006/relationships/hyperlink" Target="https://vt.tiktok.com/ZS94VAAvb/" TargetMode="External"/><Relationship Id="rId104" Type="http://schemas.openxmlformats.org/officeDocument/2006/relationships/hyperlink" Target="https://www.tiktok.com/@d.lestarinp/video/7602959986666327314?_r=1&amp;_t=ZS-93f4RYNCKTi" TargetMode="External"/><Relationship Id="rId225" Type="http://schemas.openxmlformats.org/officeDocument/2006/relationships/hyperlink" Target="https://www.tiktok.com/@andinee__" TargetMode="External"/><Relationship Id="rId346" Type="http://schemas.openxmlformats.org/officeDocument/2006/relationships/hyperlink" Target="https://vt.tiktok.com/ZS9UJx4Pf/" TargetMode="External"/><Relationship Id="rId109" Type="http://schemas.openxmlformats.org/officeDocument/2006/relationships/hyperlink" Target="https://www.tiktok.com/@umashanum" TargetMode="External"/><Relationship Id="rId108" Type="http://schemas.openxmlformats.org/officeDocument/2006/relationships/hyperlink" Target="https://vt.tiktok.com/ZSuJExAV2/" TargetMode="External"/><Relationship Id="rId229" Type="http://schemas.openxmlformats.org/officeDocument/2006/relationships/hyperlink" Target="https://www.tiktok.com/@xkaalina/video/7615434225621159188?_r=1&amp;_t=ZS-94ZW5O0K2cq" TargetMode="External"/><Relationship Id="rId220" Type="http://schemas.openxmlformats.org/officeDocument/2006/relationships/hyperlink" Target="https://www.tiktok.com/@st_zahara99/video/7612713776810396949?_r=1&amp;_t=ZS-94RRA9zrzGv" TargetMode="External"/><Relationship Id="rId341" Type="http://schemas.openxmlformats.org/officeDocument/2006/relationships/hyperlink" Target="http://klambi.jo" TargetMode="External"/><Relationship Id="rId340" Type="http://schemas.openxmlformats.org/officeDocument/2006/relationships/hyperlink" Target="https://vt.tiktok.com/ZS9pMkPQY/" TargetMode="External"/><Relationship Id="rId103" Type="http://schemas.openxmlformats.org/officeDocument/2006/relationships/hyperlink" Target="https://www.tiktok.com/@d.lestarinp" TargetMode="External"/><Relationship Id="rId224" Type="http://schemas.openxmlformats.org/officeDocument/2006/relationships/hyperlink" Target="https://vt.tiktok.com/ZSxpRa2xd/" TargetMode="External"/><Relationship Id="rId345" Type="http://schemas.openxmlformats.org/officeDocument/2006/relationships/hyperlink" Target="https://www.tiktok.com/@ceisyaandr" TargetMode="External"/><Relationship Id="rId102" Type="http://schemas.openxmlformats.org/officeDocument/2006/relationships/hyperlink" Target="https://www.tiktok.com/@m00diegurlz/video/7611008187776371989?_r=1&amp;_t=ZS-94EqQUdDnIf" TargetMode="External"/><Relationship Id="rId223" Type="http://schemas.openxmlformats.org/officeDocument/2006/relationships/hyperlink" Target="https://www.tiktok.com/@nunuhiidd95/video/7617102430781689096?_r=1&amp;u_code=de1245kfej94al&amp;region=ID&amp;mid=7572197239009118984&amp;preview_pb=0&amp;sharer_language=id&amp;_d=ej1di3lme6ad54&amp;ec_shared_reflux_dynamic_params=%7B%22placeholder_material_id%22:%227617102430781689096%22,%22placeholder_origin_cover%22:%22https%253A%252F%252Fp16-common-sign.tiktokcdn.com%252Ftos-alisg-p-0037%252Foc5DI9B7IEBoWtEBWYpE1DlBtIsfc3UfgAIFGR~tplv-tiktokx-origin.jpeg%253Fdr%253D14572%2526refresh_token%253Dc5f492ac%2526x-expires%253D1807077600%2526x-signature%253D4nke0FyUsmA1rYNeSqpkTQGvLF8%25253D%2526t%253D4d5b0474%2526ps%253D13740610%2526shp%253Dd05b14bd%2526shcp%253D34ff8df6%2526idc%253Dmy%2526s%253DPUBLISH%22,%22placeholder_product_id%22:%221732063036417148307%22,%22placeholder_video_id%22" TargetMode="External"/><Relationship Id="rId344" Type="http://schemas.openxmlformats.org/officeDocument/2006/relationships/hyperlink" Target="https://www.tiktok.com/@klambi.jo/video/7629603930024021268?_r=1&amp;u_code=dbe2kdg7k5f797&amp;region=&amp;mid=7629603973444029202&amp;preview_pb=0&amp;sharer_language=&amp;_d=0&amp;ec_shared_reflux_dynamic_params=%7B%22placeholder_material_id%22%3A%227629603930024021268%22%2C%22placeholder_origin_cover%22%3A%22https%253A%252F%252Fp16-sign-sg.tiktokcdn.com%252Ftos-alisg-p-0037%252Fow03IhFCABiTOwjQmzJAfiG7YAuvhIkYIO88jB~tplv-tiktokx-origin.jpeg%253Fdr%253D14572%2526refresh_token%253D7629b1ad%2526x-expires%253D1809763200%2526x-signature%253DvnF2vULxqrVKxhjZ7eIwrxp8lRw%25253D%2526t%253D4d5b0474%2526ps%253D13740610%2526shp%253Dd05b14bd%2526shcp%253D34ff8df6%2526idc%253Dmy%2526s%253DTIKTOK_AFFILIATE_VIRAL_VIDEO%22%2C%22placeholder_product_id%22%3A%221730259561940878739%22%2C%22placeholder_video_id%22%3A%227629603930024021268%22%7D&amp;ec_shared_reflux_scene=shop_tab_feed&amp;share_item_id=7629603930024021268&amp;source=h5_t" TargetMode="External"/><Relationship Id="rId101" Type="http://schemas.openxmlformats.org/officeDocument/2006/relationships/hyperlink" Target="https://www.tiktok.com/@m00diegurlz/video/7606222736595193108?_r=1&amp;_t=ZS-93y5aCsRGsq" TargetMode="External"/><Relationship Id="rId222" Type="http://schemas.openxmlformats.org/officeDocument/2006/relationships/hyperlink" Target="https://www.tiktok.com/@Nunuhiidd95" TargetMode="External"/><Relationship Id="rId343" Type="http://schemas.openxmlformats.org/officeDocument/2006/relationships/hyperlink" Target="https://vt.tiktok.com/ZSHWG3KXG/" TargetMode="External"/><Relationship Id="rId100" Type="http://schemas.openxmlformats.org/officeDocument/2006/relationships/hyperlink" Target="https://www.tiktok.com/@m00diegurlz" TargetMode="External"/><Relationship Id="rId221" Type="http://schemas.openxmlformats.org/officeDocument/2006/relationships/hyperlink" Target="https://www.tiktok.com/@st_zahara99/video/7612722888818380052?_r=1&amp;_t=ZS-94RRAuDw4fM" TargetMode="External"/><Relationship Id="rId342" Type="http://schemas.openxmlformats.org/officeDocument/2006/relationships/hyperlink" Target="https://www.tiktok.com/@klambi.jo" TargetMode="External"/><Relationship Id="rId217" Type="http://schemas.openxmlformats.org/officeDocument/2006/relationships/hyperlink" Target="https://vt.tiktok.com/ZSm4rfh6d/" TargetMode="External"/><Relationship Id="rId338" Type="http://schemas.openxmlformats.org/officeDocument/2006/relationships/hyperlink" Target="https://www.tiktok.com/@unboxingtime___" TargetMode="External"/><Relationship Id="rId216" Type="http://schemas.openxmlformats.org/officeDocument/2006/relationships/hyperlink" Target="https://www.tiktok.com/@afi2828" TargetMode="External"/><Relationship Id="rId337" Type="http://schemas.openxmlformats.org/officeDocument/2006/relationships/hyperlink" Target="https://www.tiktok.com/@nddrs" TargetMode="External"/><Relationship Id="rId215" Type="http://schemas.openxmlformats.org/officeDocument/2006/relationships/hyperlink" Target="https://vt.tiktok.com/ZS9DTHQoT/" TargetMode="External"/><Relationship Id="rId336" Type="http://schemas.openxmlformats.org/officeDocument/2006/relationships/hyperlink" Target="https://vt.tiktok.com/ZS9R2sYL1/" TargetMode="External"/><Relationship Id="rId214" Type="http://schemas.openxmlformats.org/officeDocument/2006/relationships/hyperlink" Target="https://vt.tiktok.com/ZSHpBwgfw/" TargetMode="External"/><Relationship Id="rId335" Type="http://schemas.openxmlformats.org/officeDocument/2006/relationships/hyperlink" Target="https://www.tiktok.com/@ekbardiary" TargetMode="External"/><Relationship Id="rId219" Type="http://schemas.openxmlformats.org/officeDocument/2006/relationships/hyperlink" Target="https://www.tiktok.com/@st_zahara99" TargetMode="External"/><Relationship Id="rId218" Type="http://schemas.openxmlformats.org/officeDocument/2006/relationships/hyperlink" Target="https://vt.tiktok.com/ZSud2mHau/" TargetMode="External"/><Relationship Id="rId339" Type="http://schemas.openxmlformats.org/officeDocument/2006/relationships/hyperlink" Target="https://vt.tiktok.com/ZS94AYbv1/" TargetMode="External"/><Relationship Id="rId330" Type="http://schemas.openxmlformats.org/officeDocument/2006/relationships/hyperlink" Target="https://vt.tiktok.com/ZS9Rgu49U/" TargetMode="External"/><Relationship Id="rId213" Type="http://schemas.openxmlformats.org/officeDocument/2006/relationships/hyperlink" Target="https://www.tiktok.com/@mardi_yanti" TargetMode="External"/><Relationship Id="rId334" Type="http://schemas.openxmlformats.org/officeDocument/2006/relationships/hyperlink" Target="https://vt.tiktok.com/ZS92No3c1/" TargetMode="External"/><Relationship Id="rId212" Type="http://schemas.openxmlformats.org/officeDocument/2006/relationships/hyperlink" Target="https://vt.tiktok.com/ZSHMqo68s/" TargetMode="External"/><Relationship Id="rId333" Type="http://schemas.openxmlformats.org/officeDocument/2006/relationships/hyperlink" Target="https://www.tiktok.com/@tika_dewi027" TargetMode="External"/><Relationship Id="rId211" Type="http://schemas.openxmlformats.org/officeDocument/2006/relationships/hyperlink" Target="https://vt.tiktok.com/ZSmTNjxfW/" TargetMode="External"/><Relationship Id="rId332" Type="http://schemas.openxmlformats.org/officeDocument/2006/relationships/hyperlink" Target="https://vt.tiktok.com/ZSHASrKgm/" TargetMode="External"/><Relationship Id="rId210" Type="http://schemas.openxmlformats.org/officeDocument/2006/relationships/hyperlink" Target="https://www.tiktok.com/@itsmeevaniii" TargetMode="External"/><Relationship Id="rId331" Type="http://schemas.openxmlformats.org/officeDocument/2006/relationships/hyperlink" Target="https://www.tiktok.com/@mtmnhhsn" TargetMode="External"/><Relationship Id="rId370" Type="http://schemas.openxmlformats.org/officeDocument/2006/relationships/hyperlink" Target="https://vt.tiktok.com/ZS9GwP91f/" TargetMode="External"/><Relationship Id="rId129" Type="http://schemas.openxmlformats.org/officeDocument/2006/relationships/hyperlink" Target="https://vt.tiktok.com/ZSmGcaWtR/" TargetMode="External"/><Relationship Id="rId128" Type="http://schemas.openxmlformats.org/officeDocument/2006/relationships/hyperlink" Target="https://vt.tiktok.com/ZSmj2LDvE/" TargetMode="External"/><Relationship Id="rId249" Type="http://schemas.openxmlformats.org/officeDocument/2006/relationships/hyperlink" Target="https://www.tiktok.com/@by.titaaa/video/7610309538431929607?_r=1&amp;_t=ZS-94GjOECtkV6" TargetMode="External"/><Relationship Id="rId127" Type="http://schemas.openxmlformats.org/officeDocument/2006/relationships/hyperlink" Target="https://www.tiktok.com/@putri.antris" TargetMode="External"/><Relationship Id="rId248" Type="http://schemas.openxmlformats.org/officeDocument/2006/relationships/hyperlink" Target="https://www.tiktok.com/@by.titaaa" TargetMode="External"/><Relationship Id="rId369" Type="http://schemas.openxmlformats.org/officeDocument/2006/relationships/hyperlink" Target="https://www.tiktok.com/@lilyisnotflowerrr" TargetMode="External"/><Relationship Id="rId126" Type="http://schemas.openxmlformats.org/officeDocument/2006/relationships/hyperlink" Target="https://www.tiktok.com/@hi_jaenaa/video/7611173496164601095?_r=1&amp;_t=ZS-94SRnhVA2rf" TargetMode="External"/><Relationship Id="rId247" Type="http://schemas.openxmlformats.org/officeDocument/2006/relationships/hyperlink" Target="https://www.tiktok.com/@randomtrn/video/7610042684878769428?_r=1&amp;_t=ZS-94BFG98eF53" TargetMode="External"/><Relationship Id="rId368" Type="http://schemas.openxmlformats.org/officeDocument/2006/relationships/hyperlink" Target="https://vt.tiktok.com/ZS9DTrY8A/" TargetMode="External"/><Relationship Id="rId121" Type="http://schemas.openxmlformats.org/officeDocument/2006/relationships/hyperlink" Target="https://www.tiktok.com/@naadeblue/video/7605136181155712276?_r=1&amp;_t=ZS-93nqvqT7QxA" TargetMode="External"/><Relationship Id="rId242" Type="http://schemas.openxmlformats.org/officeDocument/2006/relationships/hyperlink" Target="https://www.tiktok.com/@liayulianti1278" TargetMode="External"/><Relationship Id="rId363" Type="http://schemas.openxmlformats.org/officeDocument/2006/relationships/hyperlink" Target="https://vt.tiktok.com/ZS9Wf1vqx/" TargetMode="External"/><Relationship Id="rId120" Type="http://schemas.openxmlformats.org/officeDocument/2006/relationships/hyperlink" Target="https://www.tiktok.com/@naadeblue/video/7605135049398226196?_r=1&amp;_t=ZS-93nqrd37u3Y" TargetMode="External"/><Relationship Id="rId241" Type="http://schemas.openxmlformats.org/officeDocument/2006/relationships/hyperlink" Target="https://vt.tiktok.com/ZSuQyLfSK/" TargetMode="External"/><Relationship Id="rId362" Type="http://schemas.openxmlformats.org/officeDocument/2006/relationships/hyperlink" Target="https://vt.tiktok.com/ZS9U1svLH/" TargetMode="External"/><Relationship Id="rId240" Type="http://schemas.openxmlformats.org/officeDocument/2006/relationships/hyperlink" Target="https://www.tiktok.com/@mrsrepiew" TargetMode="External"/><Relationship Id="rId361" Type="http://schemas.openxmlformats.org/officeDocument/2006/relationships/hyperlink" Target="https://www.tiktok.com/@naylanayla_yh1" TargetMode="External"/><Relationship Id="rId360" Type="http://schemas.openxmlformats.org/officeDocument/2006/relationships/hyperlink" Target="https://vt.tiktok.com/ZSx8YbyC9/" TargetMode="External"/><Relationship Id="rId125" Type="http://schemas.openxmlformats.org/officeDocument/2006/relationships/hyperlink" Target="https://vt.tiktok.com/ZSm3fFE9M/" TargetMode="External"/><Relationship Id="rId246" Type="http://schemas.openxmlformats.org/officeDocument/2006/relationships/hyperlink" Target="https://www.tiktok.com/@randomtrn/video/7609234715895270676?_r=1&amp;_t=ZS-94BFCzQnSdw" TargetMode="External"/><Relationship Id="rId367" Type="http://schemas.openxmlformats.org/officeDocument/2006/relationships/hyperlink" Target="https://www.tiktok.com/@sabinaaccura" TargetMode="External"/><Relationship Id="rId124" Type="http://schemas.openxmlformats.org/officeDocument/2006/relationships/hyperlink" Target="https://www.tiktok.com/@hi_jaenaa/video/7607621535137795336?_r=1&amp;_t=ZS-93yzs0M7zrM" TargetMode="External"/><Relationship Id="rId245" Type="http://schemas.openxmlformats.org/officeDocument/2006/relationships/hyperlink" Target="https://www.tiktok.com/@randomtrn" TargetMode="External"/><Relationship Id="rId366" Type="http://schemas.openxmlformats.org/officeDocument/2006/relationships/hyperlink" Target="https://www.tiktok.com/@wulanpdla3" TargetMode="External"/><Relationship Id="rId123" Type="http://schemas.openxmlformats.org/officeDocument/2006/relationships/hyperlink" Target="https://www.tiktok.com/@hi_jaenaa/video/7604807014505663752?_r=1&amp;_t=ZS-93mE00149vm" TargetMode="External"/><Relationship Id="rId244" Type="http://schemas.openxmlformats.org/officeDocument/2006/relationships/hyperlink" Target="https://vt.tiktok.com/ZSuj5Kfa3/" TargetMode="External"/><Relationship Id="rId365" Type="http://schemas.openxmlformats.org/officeDocument/2006/relationships/hyperlink" Target="https://vt.tiktok.com/ZSxagDxdH/" TargetMode="External"/><Relationship Id="rId122" Type="http://schemas.openxmlformats.org/officeDocument/2006/relationships/hyperlink" Target="https://www.tiktok.com/@hi_jaenaa" TargetMode="External"/><Relationship Id="rId243" Type="http://schemas.openxmlformats.org/officeDocument/2006/relationships/hyperlink" Target="https://vt.tiktok.com/ZSuj5cmXq/" TargetMode="External"/><Relationship Id="rId364" Type="http://schemas.openxmlformats.org/officeDocument/2006/relationships/hyperlink" Target="https://www.tiktok.com/@hellomayaa_" TargetMode="External"/><Relationship Id="rId95" Type="http://schemas.openxmlformats.org/officeDocument/2006/relationships/hyperlink" Target="https://www.tiktok.com/@racun.beauty12/video/7612160073288240402?_r=1&amp;_t=ZS-94LjyGC3EqQ" TargetMode="External"/><Relationship Id="rId94" Type="http://schemas.openxmlformats.org/officeDocument/2006/relationships/hyperlink" Target="https://www.tiktok.com/@racun.beauty12" TargetMode="External"/><Relationship Id="rId97" Type="http://schemas.openxmlformats.org/officeDocument/2006/relationships/hyperlink" Target="https://www.tiktok.com/@_ikaawdwnty" TargetMode="External"/><Relationship Id="rId96" Type="http://schemas.openxmlformats.org/officeDocument/2006/relationships/hyperlink" Target="https://www.tiktok.com/@racun.beauty12/video/7612020334388186386?_r=1&amp;_t=ZS-94LjylxhoQ6" TargetMode="External"/><Relationship Id="rId99" Type="http://schemas.openxmlformats.org/officeDocument/2006/relationships/hyperlink" Target="https://www.tiktok.com/@_ikaawdwnty/video/7606952309838613778?_r=1&amp;_t=ZS-93vvJjaUexj" TargetMode="External"/><Relationship Id="rId98" Type="http://schemas.openxmlformats.org/officeDocument/2006/relationships/hyperlink" Target="https://vt.tiktok.com/ZSmJXoVK2/" TargetMode="External"/><Relationship Id="rId91" Type="http://schemas.openxmlformats.org/officeDocument/2006/relationships/hyperlink" Target="https://vt.tiktok.com/ZSm6PgdBq/" TargetMode="External"/><Relationship Id="rId90" Type="http://schemas.openxmlformats.org/officeDocument/2006/relationships/hyperlink" Target="https://www.tiktok.com/@beranteminjerawat" TargetMode="External"/><Relationship Id="rId93" Type="http://schemas.openxmlformats.org/officeDocument/2006/relationships/hyperlink" Target="https://vt.tiktok.com/ZSmvXEoyG/" TargetMode="External"/><Relationship Id="rId92" Type="http://schemas.openxmlformats.org/officeDocument/2006/relationships/hyperlink" Target="https://vt.tiktok.com/ZSmfShFYH/" TargetMode="External"/><Relationship Id="rId118" Type="http://schemas.openxmlformats.org/officeDocument/2006/relationships/hyperlink" Target="https://www.tiktok.com/@itsyeeelllaaa/video/7607346878488923413?_r=1&amp;_t=ZS-941IV7g5WTZ" TargetMode="External"/><Relationship Id="rId239" Type="http://schemas.openxmlformats.org/officeDocument/2006/relationships/hyperlink" Target="https://vt.tiktok.com/ZSHpogMPq/" TargetMode="External"/><Relationship Id="rId117" Type="http://schemas.openxmlformats.org/officeDocument/2006/relationships/hyperlink" Target="https://www.tiktok.com/@itsyeeelllaaa/video/7605929867003055380?_r=1&amp;_t=ZS-93rG2iCrQMz" TargetMode="External"/><Relationship Id="rId238" Type="http://schemas.openxmlformats.org/officeDocument/2006/relationships/hyperlink" Target="https://vt.tiktok.com/ZSHrtexeY/" TargetMode="External"/><Relationship Id="rId359" Type="http://schemas.openxmlformats.org/officeDocument/2006/relationships/hyperlink" Target="https://vt.tiktok.com/ZS9SscpQU/" TargetMode="External"/><Relationship Id="rId116" Type="http://schemas.openxmlformats.org/officeDocument/2006/relationships/hyperlink" Target="https://www.tiktok.com/@itsyeeelllaaa/video/7603679942290722068?_r=1&amp;_t=ZS-93gvwQExdVg" TargetMode="External"/><Relationship Id="rId237" Type="http://schemas.openxmlformats.org/officeDocument/2006/relationships/hyperlink" Target="https://www.tiktok.com/@upaahsn" TargetMode="External"/><Relationship Id="rId358" Type="http://schemas.openxmlformats.org/officeDocument/2006/relationships/hyperlink" Target="https://www.tiktok.com/@nnfshah" TargetMode="External"/><Relationship Id="rId115" Type="http://schemas.openxmlformats.org/officeDocument/2006/relationships/hyperlink" Target="https://www.tiktok.com/@itsyeeelllaaa" TargetMode="External"/><Relationship Id="rId236" Type="http://schemas.openxmlformats.org/officeDocument/2006/relationships/hyperlink" Target="https://www.tiktok.com/@fitrianahisnainy/video/7616369965498780949?_r=1&amp;_t=ZS-94d3fPQ30ar" TargetMode="External"/><Relationship Id="rId357" Type="http://schemas.openxmlformats.org/officeDocument/2006/relationships/hyperlink" Target="https://vt.tiktok.com/ZS9UAsSGp/" TargetMode="External"/><Relationship Id="rId119" Type="http://schemas.openxmlformats.org/officeDocument/2006/relationships/hyperlink" Target="https://www.tiktok.com/@naadeblue" TargetMode="External"/><Relationship Id="rId110" Type="http://schemas.openxmlformats.org/officeDocument/2006/relationships/hyperlink" Target="https://vt.tiktok.com/ZSmgxctcn/" TargetMode="External"/><Relationship Id="rId231" Type="http://schemas.openxmlformats.org/officeDocument/2006/relationships/hyperlink" Target="https://www.tiktok.com/@xkaalina/video/7614125073246883092?_r=1&amp;_t=ZS-94ZWDRJ3Ma8" TargetMode="External"/><Relationship Id="rId352" Type="http://schemas.openxmlformats.org/officeDocument/2006/relationships/hyperlink" Target="https://www.tiktok.com/@syahvitridewi" TargetMode="External"/><Relationship Id="rId230" Type="http://schemas.openxmlformats.org/officeDocument/2006/relationships/hyperlink" Target="https://www.tiktok.com/@xkaalina/video/7614324141860195605?_r=1&amp;_t=ZS-94ZW84Bdl5N" TargetMode="External"/><Relationship Id="rId351" Type="http://schemas.openxmlformats.org/officeDocument/2006/relationships/hyperlink" Target="https://vt.tiktok.com/ZS9b8PtCH/" TargetMode="External"/><Relationship Id="rId350" Type="http://schemas.openxmlformats.org/officeDocument/2006/relationships/hyperlink" Target="https://www.tiktok.com/@hananugroho_" TargetMode="External"/><Relationship Id="rId114" Type="http://schemas.openxmlformats.org/officeDocument/2006/relationships/hyperlink" Target="https://vt.tiktok.com/ZSHPbmc1n/" TargetMode="External"/><Relationship Id="rId235" Type="http://schemas.openxmlformats.org/officeDocument/2006/relationships/hyperlink" Target="https://www.tiktok.com/@fitrianahisnainy" TargetMode="External"/><Relationship Id="rId356" Type="http://schemas.openxmlformats.org/officeDocument/2006/relationships/hyperlink" Target="https://www.tiktok.com/@marizarizka_" TargetMode="External"/><Relationship Id="rId113" Type="http://schemas.openxmlformats.org/officeDocument/2006/relationships/hyperlink" Target="https://vt.tiktok.com/ZSaTeCuYc/" TargetMode="External"/><Relationship Id="rId234" Type="http://schemas.openxmlformats.org/officeDocument/2006/relationships/hyperlink" Target="https://vt.tiktok.com/ZSu9E2La1/" TargetMode="External"/><Relationship Id="rId355" Type="http://schemas.openxmlformats.org/officeDocument/2006/relationships/hyperlink" Target="https://vt.tiktok.com/ZS98DTGJQ/" TargetMode="External"/><Relationship Id="rId112" Type="http://schemas.openxmlformats.org/officeDocument/2006/relationships/hyperlink" Target="https://www.tiktok.com/@sforsheilaww" TargetMode="External"/><Relationship Id="rId233" Type="http://schemas.openxmlformats.org/officeDocument/2006/relationships/hyperlink" Target="https://vt.tiktok.com/ZSurPKEGj/" TargetMode="External"/><Relationship Id="rId354" Type="http://schemas.openxmlformats.org/officeDocument/2006/relationships/hyperlink" Target="https://www.tiktok.com/@liansseptiana" TargetMode="External"/><Relationship Id="rId111" Type="http://schemas.openxmlformats.org/officeDocument/2006/relationships/hyperlink" Target="https://vt.tiktok.com/ZSueyFtjC/" TargetMode="External"/><Relationship Id="rId232" Type="http://schemas.openxmlformats.org/officeDocument/2006/relationships/hyperlink" Target="https://www.tiktok.com/@sis.915" TargetMode="External"/><Relationship Id="rId353" Type="http://schemas.openxmlformats.org/officeDocument/2006/relationships/hyperlink" Target="https://vt.tiktok.com/ZS9U2QJaj/" TargetMode="External"/><Relationship Id="rId305" Type="http://schemas.openxmlformats.org/officeDocument/2006/relationships/hyperlink" Target="https://vt.tiktok.com/ZSHpptAVc/" TargetMode="External"/><Relationship Id="rId426" Type="http://schemas.openxmlformats.org/officeDocument/2006/relationships/hyperlink" Target="https://www.tiktok.com/@taalestarii1" TargetMode="External"/><Relationship Id="rId304" Type="http://schemas.openxmlformats.org/officeDocument/2006/relationships/hyperlink" Target="https://vt.tiktok.com/ZSHH6fJrg/" TargetMode="External"/><Relationship Id="rId425" Type="http://schemas.openxmlformats.org/officeDocument/2006/relationships/hyperlink" Target="https://www.tiktok.com/@meamore42" TargetMode="External"/><Relationship Id="rId303" Type="http://schemas.openxmlformats.org/officeDocument/2006/relationships/hyperlink" Target="https://vt.tiktok.com/ZSHH6rRm1/" TargetMode="External"/><Relationship Id="rId424" Type="http://schemas.openxmlformats.org/officeDocument/2006/relationships/hyperlink" Target="https://www.tiktok.com/@jeonjungkey" TargetMode="External"/><Relationship Id="rId302" Type="http://schemas.openxmlformats.org/officeDocument/2006/relationships/hyperlink" Target="https://vt.tiktok.com/ZSHH6kPwT/" TargetMode="External"/><Relationship Id="rId423" Type="http://schemas.openxmlformats.org/officeDocument/2006/relationships/hyperlink" Target="https://www.tiktok.com/@kikiromli89" TargetMode="External"/><Relationship Id="rId309" Type="http://schemas.openxmlformats.org/officeDocument/2006/relationships/hyperlink" Target="https://www.tiktok.com/@ka.nisha/video/7620260981788118289?_r=1&amp;_t=ZS-91MJsUHKhNa" TargetMode="External"/><Relationship Id="rId308" Type="http://schemas.openxmlformats.org/officeDocument/2006/relationships/hyperlink" Target="https://www.tiktok.com/@ka.nisha/video/7619905720301014273?_r=1&amp;_t=ZS-91MJsUHKhNa" TargetMode="External"/><Relationship Id="rId429" Type="http://schemas.openxmlformats.org/officeDocument/2006/relationships/hyperlink" Target="https://www.tiktok.com/@bulllll1220" TargetMode="External"/><Relationship Id="rId307" Type="http://schemas.openxmlformats.org/officeDocument/2006/relationships/hyperlink" Target="https://www.tiktok.com/@ka.nisha/video/7618057180784200961?_r=1&amp;_t=ZS-91MJsUHKhNa" TargetMode="External"/><Relationship Id="rId428" Type="http://schemas.openxmlformats.org/officeDocument/2006/relationships/hyperlink" Target="https://www.tiktok.com/@slvistory" TargetMode="External"/><Relationship Id="rId306" Type="http://schemas.openxmlformats.org/officeDocument/2006/relationships/hyperlink" Target="https://www.tiktok.com/@ka.nisha" TargetMode="External"/><Relationship Id="rId427" Type="http://schemas.openxmlformats.org/officeDocument/2006/relationships/hyperlink" Target="https://www.tiktok.com/@racunskincarefiqi" TargetMode="External"/><Relationship Id="rId301" Type="http://schemas.openxmlformats.org/officeDocument/2006/relationships/hyperlink" Target="https://www.tiktok.com/@mamanyabashir" TargetMode="External"/><Relationship Id="rId422" Type="http://schemas.openxmlformats.org/officeDocument/2006/relationships/hyperlink" Target="https://www.tiktok.com/@tiarasalsabella23" TargetMode="External"/><Relationship Id="rId300" Type="http://schemas.openxmlformats.org/officeDocument/2006/relationships/hyperlink" Target="https://vt.tiktok.com/ZSHpcrDxA/" TargetMode="External"/><Relationship Id="rId421" Type="http://schemas.openxmlformats.org/officeDocument/2006/relationships/hyperlink" Target="https://www.tiktok.com/@yullyan_yl" TargetMode="External"/><Relationship Id="rId420" Type="http://schemas.openxmlformats.org/officeDocument/2006/relationships/hyperlink" Target="https://www.tiktok.com/@tokomama08_" TargetMode="External"/><Relationship Id="rId415" Type="http://schemas.openxmlformats.org/officeDocument/2006/relationships/hyperlink" Target="https://www.tiktok.com/@azizahrisqi" TargetMode="External"/><Relationship Id="rId414" Type="http://schemas.openxmlformats.org/officeDocument/2006/relationships/hyperlink" Target="https://vt.tiktok.com/ZSxE4peYX/" TargetMode="External"/><Relationship Id="rId413" Type="http://schemas.openxmlformats.org/officeDocument/2006/relationships/hyperlink" Target="https://vt.tiktok.com/ZSxE4Ncj6/" TargetMode="External"/><Relationship Id="rId412" Type="http://schemas.openxmlformats.org/officeDocument/2006/relationships/hyperlink" Target="https://vt.tiktok.com/ZSxE4fsJ3/" TargetMode="External"/><Relationship Id="rId419" Type="http://schemas.openxmlformats.org/officeDocument/2006/relationships/hyperlink" Target="https://www.tiktok.com/@auroraanzh" TargetMode="External"/><Relationship Id="rId418" Type="http://schemas.openxmlformats.org/officeDocument/2006/relationships/hyperlink" Target="https://www.tiktok.com/@floraluxe.lmj" TargetMode="External"/><Relationship Id="rId417" Type="http://schemas.openxmlformats.org/officeDocument/2006/relationships/hyperlink" Target="https://www.tiktok.com/@puspitajasmine26" TargetMode="External"/><Relationship Id="rId416" Type="http://schemas.openxmlformats.org/officeDocument/2006/relationships/hyperlink" Target="https://www.tiktok.com/@hasyaas__" TargetMode="External"/><Relationship Id="rId411" Type="http://schemas.openxmlformats.org/officeDocument/2006/relationships/hyperlink" Target="https://vt.tiktok.com/ZSxE4NEFV/" TargetMode="External"/><Relationship Id="rId410" Type="http://schemas.openxmlformats.org/officeDocument/2006/relationships/hyperlink" Target="https://vt.tiktok.com/ZSxE4N57e/" TargetMode="External"/><Relationship Id="rId206" Type="http://schemas.openxmlformats.org/officeDocument/2006/relationships/hyperlink" Target="https://vt.tiktok.com/ZSmKjCwBm/" TargetMode="External"/><Relationship Id="rId327" Type="http://schemas.openxmlformats.org/officeDocument/2006/relationships/hyperlink" Target="https://vt.tiktok.com/ZSHfxk58u/" TargetMode="External"/><Relationship Id="rId205" Type="http://schemas.openxmlformats.org/officeDocument/2006/relationships/hyperlink" Target="https://vt.tiktok.com/ZSmUPM9dU/" TargetMode="External"/><Relationship Id="rId326" Type="http://schemas.openxmlformats.org/officeDocument/2006/relationships/hyperlink" Target="https://www.tiktok.com/@nandajeliss" TargetMode="External"/><Relationship Id="rId204" Type="http://schemas.openxmlformats.org/officeDocument/2006/relationships/hyperlink" Target="https://www.tiktok.com/@anifanadifa" TargetMode="External"/><Relationship Id="rId325" Type="http://schemas.openxmlformats.org/officeDocument/2006/relationships/hyperlink" Target="https://vt.tiktok.com/ZS9XTav53/" TargetMode="External"/><Relationship Id="rId203" Type="http://schemas.openxmlformats.org/officeDocument/2006/relationships/hyperlink" Target="https://vt.tiktok.com/ZSmhujnVX/" TargetMode="External"/><Relationship Id="rId324" Type="http://schemas.openxmlformats.org/officeDocument/2006/relationships/hyperlink" Target="https://vt.tiktok.com/ZSHCUUoKn/" TargetMode="External"/><Relationship Id="rId209" Type="http://schemas.openxmlformats.org/officeDocument/2006/relationships/hyperlink" Target="https://vt.tiktok.com/ZSuESfkDW/" TargetMode="External"/><Relationship Id="rId208" Type="http://schemas.openxmlformats.org/officeDocument/2006/relationships/hyperlink" Target="https://vt.tiktok.com/ZSuBaFxdH/" TargetMode="External"/><Relationship Id="rId329" Type="http://schemas.openxmlformats.org/officeDocument/2006/relationships/hyperlink" Target="https://vt.tiktok.com/ZS9Rgf9bW/" TargetMode="External"/><Relationship Id="rId207" Type="http://schemas.openxmlformats.org/officeDocument/2006/relationships/hyperlink" Target="https://www.tiktok.com/@amalnfr" TargetMode="External"/><Relationship Id="rId328" Type="http://schemas.openxmlformats.org/officeDocument/2006/relationships/hyperlink" Target="https://vt.tiktok.com/ZSHxjBnR4/" TargetMode="External"/><Relationship Id="rId202" Type="http://schemas.openxmlformats.org/officeDocument/2006/relationships/hyperlink" Target="https://vt.tiktok.com/ZSm6bUfaa/" TargetMode="External"/><Relationship Id="rId323" Type="http://schemas.openxmlformats.org/officeDocument/2006/relationships/hyperlink" Target="https://www.tiktok.com/@shinta.deput" TargetMode="External"/><Relationship Id="rId201" Type="http://schemas.openxmlformats.org/officeDocument/2006/relationships/hyperlink" Target="https://www.tiktok.com/@nuraeniaripin" TargetMode="External"/><Relationship Id="rId322" Type="http://schemas.openxmlformats.org/officeDocument/2006/relationships/hyperlink" Target="https://vt.tiktok.com/ZS9ARULdT/" TargetMode="External"/><Relationship Id="rId200" Type="http://schemas.openxmlformats.org/officeDocument/2006/relationships/hyperlink" Target="https://vt.tiktok.com/ZSuBk1Mfb/" TargetMode="External"/><Relationship Id="rId321" Type="http://schemas.openxmlformats.org/officeDocument/2006/relationships/hyperlink" Target="https://www.tiktok.com/@chaaaajalahyah" TargetMode="External"/><Relationship Id="rId320" Type="http://schemas.openxmlformats.org/officeDocument/2006/relationships/hyperlink" Target="https://www.tiktok.com/@moodtiaraaaaa/video/7626054968813948168?_r=1&amp;_t=ZS-95LUKZIanVi" TargetMode="External"/><Relationship Id="rId316" Type="http://schemas.openxmlformats.org/officeDocument/2006/relationships/hyperlink" Target="https://www.tiktok.com/@nirzabalqis_" TargetMode="External"/><Relationship Id="rId315" Type="http://schemas.openxmlformats.org/officeDocument/2006/relationships/hyperlink" Target="https://vt.tiktok.com/ZSHshw587/" TargetMode="External"/><Relationship Id="rId436" Type="http://schemas.openxmlformats.org/officeDocument/2006/relationships/vmlDrawing" Target="../drawings/vmlDrawing6.vml"/><Relationship Id="rId314" Type="http://schemas.openxmlformats.org/officeDocument/2006/relationships/hyperlink" Target="https://www.tiktok.com/@aisahtrii_/video/7625997795039677716?_r=1&amp;_t=ZS-95L9xFSBmd7" TargetMode="External"/><Relationship Id="rId435" Type="http://schemas.openxmlformats.org/officeDocument/2006/relationships/drawing" Target="../drawings/drawing12.xml"/><Relationship Id="rId313" Type="http://schemas.openxmlformats.org/officeDocument/2006/relationships/hyperlink" Target="https://www.tiktok.com/@aisahtrii_" TargetMode="External"/><Relationship Id="rId434" Type="http://schemas.openxmlformats.org/officeDocument/2006/relationships/hyperlink" Target="https://www.tiktok.com/@ayunurmalani" TargetMode="External"/><Relationship Id="rId319" Type="http://schemas.openxmlformats.org/officeDocument/2006/relationships/hyperlink" Target="https://www.tiktok.com/@moodtiaraaaaa" TargetMode="External"/><Relationship Id="rId318" Type="http://schemas.openxmlformats.org/officeDocument/2006/relationships/hyperlink" Target="https://www.tiktok.com/@nirzabalqis_/video/7624356849910910216?_r=1&amp;_t=ZS-95DdhThYMUu" TargetMode="External"/><Relationship Id="rId317" Type="http://schemas.openxmlformats.org/officeDocument/2006/relationships/hyperlink" Target="https://www.tiktok.com/@nirzabalqis_/video/7622485270922808594?_r=1&amp;_t=ZS-95Ddfu8vmzM" TargetMode="External"/><Relationship Id="rId312" Type="http://schemas.openxmlformats.org/officeDocument/2006/relationships/hyperlink" Target="https://www.tiktok.com/@sye.stuff/video/7623420841530772753?_r=1&amp;_t=ZS-95MHt6AwzBY" TargetMode="External"/><Relationship Id="rId433" Type="http://schemas.openxmlformats.org/officeDocument/2006/relationships/hyperlink" Target="https://www.tiktok.com/@jiararaa" TargetMode="External"/><Relationship Id="rId311" Type="http://schemas.openxmlformats.org/officeDocument/2006/relationships/hyperlink" Target="https://www.tiktok.com/@sye.stuff/video/7618596325403168016?_r=1&amp;_t=ZS-952aDszbDJR" TargetMode="External"/><Relationship Id="rId432" Type="http://schemas.openxmlformats.org/officeDocument/2006/relationships/hyperlink" Target="https://www.tiktok.com/@ayulestarii1777" TargetMode="External"/><Relationship Id="rId310" Type="http://schemas.openxmlformats.org/officeDocument/2006/relationships/hyperlink" Target="https://www.tiktok.com/@sye.stuff" TargetMode="External"/><Relationship Id="rId431" Type="http://schemas.openxmlformats.org/officeDocument/2006/relationships/hyperlink" Target="https://www.tiktok.com/@kaaaaast" TargetMode="External"/><Relationship Id="rId430" Type="http://schemas.openxmlformats.org/officeDocument/2006/relationships/hyperlink" Target="https://www.tiktok.com/@bilqiesky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7.vml"/></Relationships>
</file>

<file path=xl/worksheets/_rels/sheet14.xml.rels><?xml version="1.0" encoding="UTF-8" standalone="yes"?><Relationships xmlns="http://schemas.openxmlformats.org/package/2006/relationships"><Relationship Id="rId190" Type="http://schemas.openxmlformats.org/officeDocument/2006/relationships/hyperlink" Target="https://vt.tiktok.com/ZSuuoGgu7/" TargetMode="External"/><Relationship Id="rId194" Type="http://schemas.openxmlformats.org/officeDocument/2006/relationships/hyperlink" Target="https://www.tiktok.com/@nandajeliss/video/7634119999656856850?_r=1&amp;u_code=e764lld7374f0j&amp;region=&amp;mid=7576314167990585361&amp;preview_pb=0&amp;sharer_language=&amp;_d=0&amp;ec_shared_reflux_dynamic_params=%7B%22placeholder_material_id%22%3A%227634119999656856850%22%2C%22placeholder_origin_cover%22%3A%22https%253A%252F%252Fp16-common-sign.tiktokcdn.com%252Ftos-alisg-p-0037%252FokIRyeiTYu8R3xU7EVu31NgIBfARiBAxQBcpOI~tplv-tiktokx-origin.jpeg%253Fdr%253D14572%2526refresh_token%253D7d9445d3%2526x-expires%253D1811577600%2526x-signature%253D1k5nBgPcSAzA7bA2SIAArFrPmFY%25253D%2526t%253D4d5b0474%2526ps%253D13740610%2526shp%253Dd05b14bd%2526shcp%253D34ff8df6%2526idc%253Dmy%2526s%253DTIKTOK_AFFILIATE_VIRAL_VIDEO%22%2C%22placeholder_product_id%22%3A%221729921275998997399%22%2C%22placeholder_video_id%22%3A%227634119999656856850%22%7D&amp;ec_shared_reflux_scene=shop_tab_feed&amp;share_item_id=7634119999656856850&amp;source=h5_t" TargetMode="External"/><Relationship Id="rId193" Type="http://schemas.openxmlformats.org/officeDocument/2006/relationships/hyperlink" Target="https://vt.tiktok.com/ZSurhUSN5/" TargetMode="External"/><Relationship Id="rId192" Type="http://schemas.openxmlformats.org/officeDocument/2006/relationships/hyperlink" Target="https://vt.tiktok.com/ZSuj9WeT7/" TargetMode="External"/><Relationship Id="rId191" Type="http://schemas.openxmlformats.org/officeDocument/2006/relationships/hyperlink" Target="https://www.tiktok.com/@nandajeliss" TargetMode="External"/><Relationship Id="rId187" Type="http://schemas.openxmlformats.org/officeDocument/2006/relationships/hyperlink" Target="https://www.tiktok.com/@vivikimss" TargetMode="External"/><Relationship Id="rId186" Type="http://schemas.openxmlformats.org/officeDocument/2006/relationships/hyperlink" Target="https://www.tiktok.com/@cikakrnisa13" TargetMode="External"/><Relationship Id="rId185" Type="http://schemas.openxmlformats.org/officeDocument/2006/relationships/hyperlink" Target="https://vt.tiktok.com/ZS9ptjMUx/" TargetMode="External"/><Relationship Id="rId184" Type="http://schemas.openxmlformats.org/officeDocument/2006/relationships/hyperlink" Target="https://vt.tiktok.com/ZSHuVkF4d/" TargetMode="External"/><Relationship Id="rId189" Type="http://schemas.openxmlformats.org/officeDocument/2006/relationships/hyperlink" Target="https://vt.tiktok.com/ZSuSHXTfJ/" TargetMode="External"/><Relationship Id="rId188" Type="http://schemas.openxmlformats.org/officeDocument/2006/relationships/hyperlink" Target="https://vt.tiktok.com/ZSuj9v7TD/" TargetMode="External"/><Relationship Id="rId183" Type="http://schemas.openxmlformats.org/officeDocument/2006/relationships/hyperlink" Target="https://vt.tiktok.com/ZSHjYBBdW/" TargetMode="External"/><Relationship Id="rId182" Type="http://schemas.openxmlformats.org/officeDocument/2006/relationships/hyperlink" Target="https://www.tiktok.com/@epay.y_" TargetMode="External"/><Relationship Id="rId181" Type="http://schemas.openxmlformats.org/officeDocument/2006/relationships/hyperlink" Target="https://vt.tiktok.com/ZSuBy8otV/" TargetMode="External"/><Relationship Id="rId180" Type="http://schemas.openxmlformats.org/officeDocument/2006/relationships/hyperlink" Target="https://www.tiktok.com/@underthesamemoonnn" TargetMode="External"/><Relationship Id="rId176" Type="http://schemas.openxmlformats.org/officeDocument/2006/relationships/hyperlink" Target="https://www.tiktok.com/@mariaalalamakeup/video/7615854462317513991?is_from_webapp=1&amp;sender_device=pc" TargetMode="External"/><Relationship Id="rId297" Type="http://schemas.openxmlformats.org/officeDocument/2006/relationships/hyperlink" Target="https://www.tiktok.com/@Sifaaa.97" TargetMode="External"/><Relationship Id="rId175" Type="http://schemas.openxmlformats.org/officeDocument/2006/relationships/hyperlink" Target="https://vt.tiktok.com/ZSHqTXvf9/" TargetMode="External"/><Relationship Id="rId296" Type="http://schemas.openxmlformats.org/officeDocument/2006/relationships/hyperlink" Target="https://vt.tiktok.com/ZS9p5TPFf/" TargetMode="External"/><Relationship Id="rId174" Type="http://schemas.openxmlformats.org/officeDocument/2006/relationships/hyperlink" Target="https://vt.tiktok.com/ZSHUGqkGe/" TargetMode="External"/><Relationship Id="rId295" Type="http://schemas.openxmlformats.org/officeDocument/2006/relationships/hyperlink" Target="https://vt.tiktok.com/ZS9DMqw4E/" TargetMode="External"/><Relationship Id="rId173" Type="http://schemas.openxmlformats.org/officeDocument/2006/relationships/hyperlink" Target="https://www.tiktok.com/@Mariaalalamakeup" TargetMode="External"/><Relationship Id="rId294" Type="http://schemas.openxmlformats.org/officeDocument/2006/relationships/hyperlink" Target="https://vt.tiktok.com/ZSH8XyNYD/" TargetMode="External"/><Relationship Id="rId179" Type="http://schemas.openxmlformats.org/officeDocument/2006/relationships/hyperlink" Target="https://vt.tiktok.com/ZSuQ63bHW/" TargetMode="External"/><Relationship Id="rId178" Type="http://schemas.openxmlformats.org/officeDocument/2006/relationships/hyperlink" Target="https://vt.tiktok.com/ZSmccQMyW/" TargetMode="External"/><Relationship Id="rId299" Type="http://schemas.openxmlformats.org/officeDocument/2006/relationships/hyperlink" Target="https://vt.tiktok.com/ZSuFecLxp/" TargetMode="External"/><Relationship Id="rId177" Type="http://schemas.openxmlformats.org/officeDocument/2006/relationships/hyperlink" Target="https://www.tiktok.com/@rkmyng" TargetMode="External"/><Relationship Id="rId298" Type="http://schemas.openxmlformats.org/officeDocument/2006/relationships/hyperlink" Target="https://www.tiktok.com/@sifaaa.97/video/7613341619403623700?is_from_webapp=1&amp;sender_device=pc" TargetMode="External"/><Relationship Id="rId198" Type="http://schemas.openxmlformats.org/officeDocument/2006/relationships/hyperlink" Target="https://vt.tiktok.com/ZSuHRKe6S/" TargetMode="External"/><Relationship Id="rId197" Type="http://schemas.openxmlformats.org/officeDocument/2006/relationships/hyperlink" Target="https://vt.tiktok.com/ZSm3Lh1GT/" TargetMode="External"/><Relationship Id="rId196" Type="http://schemas.openxmlformats.org/officeDocument/2006/relationships/hyperlink" Target="https://www.tiktok.com/@seli.desi.liani" TargetMode="External"/><Relationship Id="rId195" Type="http://schemas.openxmlformats.org/officeDocument/2006/relationships/hyperlink" Target="https://www.tiktok.com/@wafimsyarfh_" TargetMode="External"/><Relationship Id="rId199" Type="http://schemas.openxmlformats.org/officeDocument/2006/relationships/hyperlink" Target="https://www.tiktok.com/@salmahsrii" TargetMode="External"/><Relationship Id="rId150" Type="http://schemas.openxmlformats.org/officeDocument/2006/relationships/hyperlink" Target="https://vt.tiktok.com/ZSHXdP8PT/" TargetMode="External"/><Relationship Id="rId271" Type="http://schemas.openxmlformats.org/officeDocument/2006/relationships/hyperlink" Target="https://vt.tiktok.com/ZSufgYK7J/" TargetMode="External"/><Relationship Id="rId392" Type="http://schemas.openxmlformats.org/officeDocument/2006/relationships/hyperlink" Target="https://vt.tiktok.com/ZSuyhyL9J/" TargetMode="External"/><Relationship Id="rId270" Type="http://schemas.openxmlformats.org/officeDocument/2006/relationships/hyperlink" Target="https://www.tiktok.com/@nomnom_0505" TargetMode="External"/><Relationship Id="rId391" Type="http://schemas.openxmlformats.org/officeDocument/2006/relationships/hyperlink" Target="https://www.tiktok.com/@zillalfasih" TargetMode="External"/><Relationship Id="rId390" Type="http://schemas.openxmlformats.org/officeDocument/2006/relationships/hyperlink" Target="https://vt.tiktok.com/ZSHBAyaYs/" TargetMode="External"/><Relationship Id="rId1" Type="http://schemas.openxmlformats.org/officeDocument/2006/relationships/hyperlink" Target="http://arfatus.sh" TargetMode="External"/><Relationship Id="rId2" Type="http://schemas.openxmlformats.org/officeDocument/2006/relationships/hyperlink" Target="https://www.tiktok.com/@arfatus.sh" TargetMode="External"/><Relationship Id="rId3" Type="http://schemas.openxmlformats.org/officeDocument/2006/relationships/hyperlink" Target="https://vt.tiktok.com/ZSuwFCSUT/" TargetMode="External"/><Relationship Id="rId149" Type="http://schemas.openxmlformats.org/officeDocument/2006/relationships/hyperlink" Target="https://vt.tiktok.com/ZSuB1e2jR/" TargetMode="External"/><Relationship Id="rId4" Type="http://schemas.openxmlformats.org/officeDocument/2006/relationships/hyperlink" Target="https://www.tiktok.com/@nuraeniaripin" TargetMode="External"/><Relationship Id="rId148" Type="http://schemas.openxmlformats.org/officeDocument/2006/relationships/hyperlink" Target="https://www.tiktok.com/@sforsheilaww" TargetMode="External"/><Relationship Id="rId269" Type="http://schemas.openxmlformats.org/officeDocument/2006/relationships/hyperlink" Target="https://vt.tiktok.com/ZSHGnBpNS/" TargetMode="External"/><Relationship Id="rId9" Type="http://schemas.openxmlformats.org/officeDocument/2006/relationships/hyperlink" Target="https://www.tiktok.com/@Nnaaanazz" TargetMode="External"/><Relationship Id="rId143" Type="http://schemas.openxmlformats.org/officeDocument/2006/relationships/hyperlink" Target="https://www.tiktok.com/@Justnedder" TargetMode="External"/><Relationship Id="rId264" Type="http://schemas.openxmlformats.org/officeDocument/2006/relationships/hyperlink" Target="https://www.tiktok.com/@hanasofianaa" TargetMode="External"/><Relationship Id="rId385" Type="http://schemas.openxmlformats.org/officeDocument/2006/relationships/hyperlink" Target="https://vt.tiktok.com/ZSHYjecG2/" TargetMode="External"/><Relationship Id="rId142" Type="http://schemas.openxmlformats.org/officeDocument/2006/relationships/hyperlink" Target="https://vt.tiktok.com/ZSxSQAXRR/" TargetMode="External"/><Relationship Id="rId263" Type="http://schemas.openxmlformats.org/officeDocument/2006/relationships/hyperlink" Target="https://vt.tiktok.com/ZS93qWr1G/" TargetMode="External"/><Relationship Id="rId384" Type="http://schemas.openxmlformats.org/officeDocument/2006/relationships/hyperlink" Target="https://vt.tiktok.com/ZSHYjeKs3/" TargetMode="External"/><Relationship Id="rId141" Type="http://schemas.openxmlformats.org/officeDocument/2006/relationships/hyperlink" Target="https://vt.tiktok.com/ZSH84dFRN/" TargetMode="External"/><Relationship Id="rId262" Type="http://schemas.openxmlformats.org/officeDocument/2006/relationships/hyperlink" Target="https://vt.tiktok.com/ZSHFsu9tP/" TargetMode="External"/><Relationship Id="rId383" Type="http://schemas.openxmlformats.org/officeDocument/2006/relationships/hyperlink" Target="https://vt.tiktok.com/ZSHY2sDW2/" TargetMode="External"/><Relationship Id="rId140" Type="http://schemas.openxmlformats.org/officeDocument/2006/relationships/hyperlink" Target="https://vt.tiktok.com/ZSuJPu1kD/" TargetMode="External"/><Relationship Id="rId261" Type="http://schemas.openxmlformats.org/officeDocument/2006/relationships/hyperlink" Target="https://www.tiktok.com/@upaahsn" TargetMode="External"/><Relationship Id="rId382" Type="http://schemas.openxmlformats.org/officeDocument/2006/relationships/hyperlink" Target="https://vt.tiktok.com/ZSucy5mxg/" TargetMode="External"/><Relationship Id="rId5" Type="http://schemas.openxmlformats.org/officeDocument/2006/relationships/hyperlink" Target="https://vt.tiktok.com/ZSmKYAnag/" TargetMode="External"/><Relationship Id="rId147" Type="http://schemas.openxmlformats.org/officeDocument/2006/relationships/hyperlink" Target="https://vt.tiktok.com/ZS9qQ2f8W/" TargetMode="External"/><Relationship Id="rId268" Type="http://schemas.openxmlformats.org/officeDocument/2006/relationships/hyperlink" Target="https://www.tiktok.com/@dwitriyant" TargetMode="External"/><Relationship Id="rId389" Type="http://schemas.openxmlformats.org/officeDocument/2006/relationships/hyperlink" Target="https://vt.tiktok.com/ZSHBAq8vW/" TargetMode="External"/><Relationship Id="rId6" Type="http://schemas.openxmlformats.org/officeDocument/2006/relationships/hyperlink" Target="https://vt.tiktok.com/ZSmoqwvPN/" TargetMode="External"/><Relationship Id="rId146" Type="http://schemas.openxmlformats.org/officeDocument/2006/relationships/hyperlink" Target="https://vt.tiktok.com/ZSHfor9a7/" TargetMode="External"/><Relationship Id="rId267" Type="http://schemas.openxmlformats.org/officeDocument/2006/relationships/hyperlink" Target="https://vt.tiktok.com/ZSH2WHBoG/" TargetMode="External"/><Relationship Id="rId388" Type="http://schemas.openxmlformats.org/officeDocument/2006/relationships/hyperlink" Target="https://vt.tiktok.com/ZSHBA9Kre/" TargetMode="External"/><Relationship Id="rId7" Type="http://schemas.openxmlformats.org/officeDocument/2006/relationships/hyperlink" Target="https://vt.tiktok.com/ZSuejVQ2q/" TargetMode="External"/><Relationship Id="rId145" Type="http://schemas.openxmlformats.org/officeDocument/2006/relationships/hyperlink" Target="https://vt.tiktok.com/ZSuTwJfxM/" TargetMode="External"/><Relationship Id="rId266" Type="http://schemas.openxmlformats.org/officeDocument/2006/relationships/hyperlink" Target="https://vt.tiktok.com/ZSuHNkShR/" TargetMode="External"/><Relationship Id="rId387" Type="http://schemas.openxmlformats.org/officeDocument/2006/relationships/hyperlink" Target="https://vt.tiktok.com/ZSHBACBJn/" TargetMode="External"/><Relationship Id="rId8" Type="http://schemas.openxmlformats.org/officeDocument/2006/relationships/hyperlink" Target="https://vt.tiktok.com/ZSudBSmkY/" TargetMode="External"/><Relationship Id="rId144" Type="http://schemas.openxmlformats.org/officeDocument/2006/relationships/hyperlink" Target="https://vt.tiktok.com/ZSuuojaFu/" TargetMode="External"/><Relationship Id="rId265" Type="http://schemas.openxmlformats.org/officeDocument/2006/relationships/hyperlink" Target="https://vt.tiktok.com/ZSue5fEw7/" TargetMode="External"/><Relationship Id="rId386" Type="http://schemas.openxmlformats.org/officeDocument/2006/relationships/hyperlink" Target="https://www.tiktok.com/@Byliyah" TargetMode="External"/><Relationship Id="rId260" Type="http://schemas.openxmlformats.org/officeDocument/2006/relationships/hyperlink" Target="https://vt.tiktok.com/ZSuR929Uk/" TargetMode="External"/><Relationship Id="rId381" Type="http://schemas.openxmlformats.org/officeDocument/2006/relationships/hyperlink" Target="https://www.tiktok.com/@sye.stuff" TargetMode="External"/><Relationship Id="rId380" Type="http://schemas.openxmlformats.org/officeDocument/2006/relationships/hyperlink" Target="https://vt.tiktok.com/ZSH9Keo6K/" TargetMode="External"/><Relationship Id="rId139" Type="http://schemas.openxmlformats.org/officeDocument/2006/relationships/hyperlink" Target="https://www.tiktok.com/@popynoviana_" TargetMode="External"/><Relationship Id="rId138" Type="http://schemas.openxmlformats.org/officeDocument/2006/relationships/hyperlink" Target="https://vt.tiktok.com/ZSHYtotjF/" TargetMode="External"/><Relationship Id="rId259" Type="http://schemas.openxmlformats.org/officeDocument/2006/relationships/hyperlink" Target="https://vt.tiktok.com/ZSuRH4CPK/" TargetMode="External"/><Relationship Id="rId137" Type="http://schemas.openxmlformats.org/officeDocument/2006/relationships/hyperlink" Target="https://vt.tiktok.com/ZSuQLrDnD/" TargetMode="External"/><Relationship Id="rId258" Type="http://schemas.openxmlformats.org/officeDocument/2006/relationships/hyperlink" Target="https://vt.tiktok.com/ZSmETDuoL/" TargetMode="External"/><Relationship Id="rId379" Type="http://schemas.openxmlformats.org/officeDocument/2006/relationships/hyperlink" Target="https://vt.tiktok.com/ZSH9Kyp3C/" TargetMode="External"/><Relationship Id="rId132" Type="http://schemas.openxmlformats.org/officeDocument/2006/relationships/hyperlink" Target="https://www.tiktok.com/@sinanr18" TargetMode="External"/><Relationship Id="rId253" Type="http://schemas.openxmlformats.org/officeDocument/2006/relationships/hyperlink" Target="https://www.tiktok.com/@kaaaaast" TargetMode="External"/><Relationship Id="rId374" Type="http://schemas.openxmlformats.org/officeDocument/2006/relationships/hyperlink" Target="https://vt.tiktok.com/ZSuBUh5B6/" TargetMode="External"/><Relationship Id="rId495" Type="http://schemas.openxmlformats.org/officeDocument/2006/relationships/hyperlink" Target="https://www.tiktok.com/@jinggaradiksaa" TargetMode="External"/><Relationship Id="rId131" Type="http://schemas.openxmlformats.org/officeDocument/2006/relationships/hyperlink" Target="https://vt.tiktok.com/ZSuASK6fC/" TargetMode="External"/><Relationship Id="rId252" Type="http://schemas.openxmlformats.org/officeDocument/2006/relationships/hyperlink" Target="https://www.tiktok.com/@naomiifarsya" TargetMode="External"/><Relationship Id="rId373" Type="http://schemas.openxmlformats.org/officeDocument/2006/relationships/hyperlink" Target="https://vt.tiktok.com/ZSuMwrBSS/" TargetMode="External"/><Relationship Id="rId494" Type="http://schemas.openxmlformats.org/officeDocument/2006/relationships/hyperlink" Target="https://vt.tiktok.com/ZS9FMdtVf/" TargetMode="External"/><Relationship Id="rId130" Type="http://schemas.openxmlformats.org/officeDocument/2006/relationships/hyperlink" Target="https://vt.tiktok.com/ZSujK6UHC/" TargetMode="External"/><Relationship Id="rId251" Type="http://schemas.openxmlformats.org/officeDocument/2006/relationships/hyperlink" Target="https://vt.tiktok.com/ZSHj27Cup/" TargetMode="External"/><Relationship Id="rId372" Type="http://schemas.openxmlformats.org/officeDocument/2006/relationships/hyperlink" Target="https://vt.tiktok.com/ZSujCPHGo/" TargetMode="External"/><Relationship Id="rId493" Type="http://schemas.openxmlformats.org/officeDocument/2006/relationships/hyperlink" Target="https://vt.tiktok.com/ZS9JCGmS2/" TargetMode="External"/><Relationship Id="rId250" Type="http://schemas.openxmlformats.org/officeDocument/2006/relationships/hyperlink" Target="https://vt.tiktok.com/ZSuQMuuNu/" TargetMode="External"/><Relationship Id="rId371" Type="http://schemas.openxmlformats.org/officeDocument/2006/relationships/hyperlink" Target="https://www.tiktok.com/@araa1107" TargetMode="External"/><Relationship Id="rId492" Type="http://schemas.openxmlformats.org/officeDocument/2006/relationships/hyperlink" Target="https://vt.tiktok.com/ZS9JxxXqB/" TargetMode="External"/><Relationship Id="rId136" Type="http://schemas.openxmlformats.org/officeDocument/2006/relationships/hyperlink" Target="https://vt.tiktok.com/ZSu9BHMUe/" TargetMode="External"/><Relationship Id="rId257" Type="http://schemas.openxmlformats.org/officeDocument/2006/relationships/hyperlink" Target="https://www.tiktok.com/@weni_ilham" TargetMode="External"/><Relationship Id="rId378" Type="http://schemas.openxmlformats.org/officeDocument/2006/relationships/hyperlink" Target="https://vt.tiktok.com/ZSu31T9vj/" TargetMode="External"/><Relationship Id="rId499" Type="http://schemas.openxmlformats.org/officeDocument/2006/relationships/hyperlink" Target="https://www.tiktok.com/@lala41376/video/7637299276053220629?is_from_webapp=1&amp;sender_device=pc" TargetMode="External"/><Relationship Id="rId135" Type="http://schemas.openxmlformats.org/officeDocument/2006/relationships/hyperlink" Target="https://www.tiktok.com/@pumpkinscarf" TargetMode="External"/><Relationship Id="rId256" Type="http://schemas.openxmlformats.org/officeDocument/2006/relationships/hyperlink" Target="https://vt.tiktok.com/ZSH53g7rM/" TargetMode="External"/><Relationship Id="rId377" Type="http://schemas.openxmlformats.org/officeDocument/2006/relationships/hyperlink" Target="https://vt.tiktok.com/ZSu31C2Xj/" TargetMode="External"/><Relationship Id="rId498" Type="http://schemas.openxmlformats.org/officeDocument/2006/relationships/hyperlink" Target="https://vt.tiktok.com/ZS9WLwoCA/" TargetMode="External"/><Relationship Id="rId134" Type="http://schemas.openxmlformats.org/officeDocument/2006/relationships/hyperlink" Target="https://vt.tiktok.com/ZSu6T78xX/" TargetMode="External"/><Relationship Id="rId255" Type="http://schemas.openxmlformats.org/officeDocument/2006/relationships/hyperlink" Target="https://vt.tiktok.com/ZSH27WGKM/" TargetMode="External"/><Relationship Id="rId376" Type="http://schemas.openxmlformats.org/officeDocument/2006/relationships/hyperlink" Target="https://www.tiktok.com/@Cameccaa21" TargetMode="External"/><Relationship Id="rId497" Type="http://schemas.openxmlformats.org/officeDocument/2006/relationships/hyperlink" Target="https://www.tiktok.com/@lala41376" TargetMode="External"/><Relationship Id="rId133" Type="http://schemas.openxmlformats.org/officeDocument/2006/relationships/hyperlink" Target="https://vt.tiktok.com/ZSuL2Y9hq/" TargetMode="External"/><Relationship Id="rId254" Type="http://schemas.openxmlformats.org/officeDocument/2006/relationships/hyperlink" Target="https://vt.tiktok.com/ZSuHGdB2s/" TargetMode="External"/><Relationship Id="rId375" Type="http://schemas.openxmlformats.org/officeDocument/2006/relationships/hyperlink" Target="https://vt.tiktok.com/ZSuDsG7Xp/" TargetMode="External"/><Relationship Id="rId496" Type="http://schemas.openxmlformats.org/officeDocument/2006/relationships/hyperlink" Target="https://www.tiktok.com/@kencanahati" TargetMode="External"/><Relationship Id="rId172" Type="http://schemas.openxmlformats.org/officeDocument/2006/relationships/hyperlink" Target="https://vt.tiktok.com/ZSuXfesJt/" TargetMode="External"/><Relationship Id="rId293" Type="http://schemas.openxmlformats.org/officeDocument/2006/relationships/hyperlink" Target="https://vt.tiktok.com/ZSH8XSBLj/" TargetMode="External"/><Relationship Id="rId171" Type="http://schemas.openxmlformats.org/officeDocument/2006/relationships/hyperlink" Target="https://vt.tiktok.com/ZSuk4HMrF/" TargetMode="External"/><Relationship Id="rId292" Type="http://schemas.openxmlformats.org/officeDocument/2006/relationships/hyperlink" Target="https://www.tiktok.com/@bbydreamer93" TargetMode="External"/><Relationship Id="rId170" Type="http://schemas.openxmlformats.org/officeDocument/2006/relationships/hyperlink" Target="https://vt.tiktok.com/ZSmwHqjFU/" TargetMode="External"/><Relationship Id="rId291" Type="http://schemas.openxmlformats.org/officeDocument/2006/relationships/hyperlink" Target="https://vt.tiktok.com/ZSHB7Eaab/" TargetMode="External"/><Relationship Id="rId290" Type="http://schemas.openxmlformats.org/officeDocument/2006/relationships/hyperlink" Target="https://www.tiktok.com/@sabinaaccura" TargetMode="External"/><Relationship Id="rId165" Type="http://schemas.openxmlformats.org/officeDocument/2006/relationships/hyperlink" Target="https://vt.tiktok.com/ZS91oWmmX/" TargetMode="External"/><Relationship Id="rId286" Type="http://schemas.openxmlformats.org/officeDocument/2006/relationships/hyperlink" Target="https://vt.tiktok.com/ZSuUWETMR/" TargetMode="External"/><Relationship Id="rId164" Type="http://schemas.openxmlformats.org/officeDocument/2006/relationships/hyperlink" Target="https://vt.tiktok.com/ZSHoqyaE2/" TargetMode="External"/><Relationship Id="rId285" Type="http://schemas.openxmlformats.org/officeDocument/2006/relationships/hyperlink" Target="https://www.tiktok.com/@destikadwip24" TargetMode="External"/><Relationship Id="rId163" Type="http://schemas.openxmlformats.org/officeDocument/2006/relationships/hyperlink" Target="https://vt.tiktok.com/ZSHQycamA/" TargetMode="External"/><Relationship Id="rId284" Type="http://schemas.openxmlformats.org/officeDocument/2006/relationships/hyperlink" Target="https://vt.tiktok.com/ZSuL4tvG4/" TargetMode="External"/><Relationship Id="rId162" Type="http://schemas.openxmlformats.org/officeDocument/2006/relationships/hyperlink" Target="https://www.tiktok.com/@ssndeti" TargetMode="External"/><Relationship Id="rId283" Type="http://schemas.openxmlformats.org/officeDocument/2006/relationships/hyperlink" Target="https://vt.tiktok.com/ZSuL4oBgq/" TargetMode="External"/><Relationship Id="rId169" Type="http://schemas.openxmlformats.org/officeDocument/2006/relationships/hyperlink" Target="https://www.tiktok.com/@nelaa574" TargetMode="External"/><Relationship Id="rId168" Type="http://schemas.openxmlformats.org/officeDocument/2006/relationships/hyperlink" Target="https://www.tiktok.com/@dianaputri715/video/7628080076357225746?_r=1&amp;u_code=d701ei55cajal2&amp;region=&amp;mid=7572626763932764176&amp;preview_pb=0&amp;sharer_language=&amp;_d=0&amp;ec_shared_reflux_dynamic_params=%7B%22placeholder_material_id%22%3A%227628080076357225746%22%2C%22placeholder_origin_cover%22%3A%22https%253A%252F%252Fp19-common-sign.tiktokcdn.com%252Ftos-alisg-p-0037%252FooDvxEiBIQY3NFRECUIffwzntxggBRg6cpQGAB~tplv-tiktokx-origin.jpeg%253Fdr%253D14572%2526refresh_token%253Dfb22aace%2526x-expires%253D1811570400%2526x-signature%253DncsV9jAI4dFkhrLI30B1vHNdGM8%25253D%2526t%253D4d5b0474%2526ps%253D13740610%2526shp%253Dd05b14bd%2526shcp%253D34ff8df6%2526idc%253Dmy%2526s%253DTIKTOK_AFFILIATE_VIRAL_VIDEO%22%2C%22placeholder_product_id%22%3A%221729921275998997399%22%2C%22placeholder_video_id%22%3A%227628080076357225746%22%7D&amp;ec_shared_reflux_scene=shop_tab_feed&amp;share_item_id=7628080076357225746&amp;source=h5_t" TargetMode="External"/><Relationship Id="rId289" Type="http://schemas.openxmlformats.org/officeDocument/2006/relationships/hyperlink" Target="https://vt.tiktok.com/ZS9DmsVnW/" TargetMode="External"/><Relationship Id="rId167" Type="http://schemas.openxmlformats.org/officeDocument/2006/relationships/hyperlink" Target="https://vt.tiktok.com/ZSukQRtQH/" TargetMode="External"/><Relationship Id="rId288" Type="http://schemas.openxmlformats.org/officeDocument/2006/relationships/hyperlink" Target="https://vt.tiktok.com/ZSuxvb42Y/" TargetMode="External"/><Relationship Id="rId166" Type="http://schemas.openxmlformats.org/officeDocument/2006/relationships/hyperlink" Target="https://www.tiktok.com/@dianaputri715" TargetMode="External"/><Relationship Id="rId287" Type="http://schemas.openxmlformats.org/officeDocument/2006/relationships/hyperlink" Target="https://vt.tiktok.com/ZSH72NS1f/" TargetMode="External"/><Relationship Id="rId161" Type="http://schemas.openxmlformats.org/officeDocument/2006/relationships/hyperlink" Target="https://www.tiktok.com/@anyagabrielles/video/7618404070159715605?is_from_webapp=1&amp;sender_device=pc" TargetMode="External"/><Relationship Id="rId282" Type="http://schemas.openxmlformats.org/officeDocument/2006/relationships/hyperlink" Target="https://vt.tiktok.com/ZSuJpg7vr/" TargetMode="External"/><Relationship Id="rId160" Type="http://schemas.openxmlformats.org/officeDocument/2006/relationships/hyperlink" Target="https://www.tiktok.com/@anyagabrielles" TargetMode="External"/><Relationship Id="rId281" Type="http://schemas.openxmlformats.org/officeDocument/2006/relationships/hyperlink" Target="https://vt.tiktok.com/ZSuJs8tPp/" TargetMode="External"/><Relationship Id="rId280" Type="http://schemas.openxmlformats.org/officeDocument/2006/relationships/hyperlink" Target="https://www.tiktok.com/@febrianggunn" TargetMode="External"/><Relationship Id="rId159" Type="http://schemas.openxmlformats.org/officeDocument/2006/relationships/hyperlink" Target="https://vt.tiktok.com/ZSuBU1Uou/" TargetMode="External"/><Relationship Id="rId154" Type="http://schemas.openxmlformats.org/officeDocument/2006/relationships/hyperlink" Target="https://vt.tiktok.com/ZSuRqP86G/" TargetMode="External"/><Relationship Id="rId275" Type="http://schemas.openxmlformats.org/officeDocument/2006/relationships/hyperlink" Target="https://www.tiktok.com/@bilaaabc_" TargetMode="External"/><Relationship Id="rId396" Type="http://schemas.openxmlformats.org/officeDocument/2006/relationships/hyperlink" Target="https://www.tiktok.com/@meamore42" TargetMode="External"/><Relationship Id="rId153" Type="http://schemas.openxmlformats.org/officeDocument/2006/relationships/hyperlink" Target="https://vt.tiktok.com/ZSmKt7QfR/" TargetMode="External"/><Relationship Id="rId274" Type="http://schemas.openxmlformats.org/officeDocument/2006/relationships/hyperlink" Target="https://vt.tiktok.com/ZSuc3h1xG/" TargetMode="External"/><Relationship Id="rId395" Type="http://schemas.openxmlformats.org/officeDocument/2006/relationships/hyperlink" Target="https://vt.tiktok.com/ZSuyhupqT/" TargetMode="External"/><Relationship Id="rId152" Type="http://schemas.openxmlformats.org/officeDocument/2006/relationships/hyperlink" Target="https://vt.tiktok.com/ZSmTYbHCa/" TargetMode="External"/><Relationship Id="rId273" Type="http://schemas.openxmlformats.org/officeDocument/2006/relationships/hyperlink" Target="https://vt.tiktok.com/ZSuV7EGwP/" TargetMode="External"/><Relationship Id="rId394" Type="http://schemas.openxmlformats.org/officeDocument/2006/relationships/hyperlink" Target="https://vt.tiktok.com/ZSuyha8Qa/" TargetMode="External"/><Relationship Id="rId151" Type="http://schemas.openxmlformats.org/officeDocument/2006/relationships/hyperlink" Target="https://www.tiktok.com/@Aisyahshop14" TargetMode="External"/><Relationship Id="rId272" Type="http://schemas.openxmlformats.org/officeDocument/2006/relationships/hyperlink" Target="https://vt.tiktok.com/ZSufgYK7J/" TargetMode="External"/><Relationship Id="rId393" Type="http://schemas.openxmlformats.org/officeDocument/2006/relationships/hyperlink" Target="https://vt.tiktok.com/ZSuyhD7By/" TargetMode="External"/><Relationship Id="rId158" Type="http://schemas.openxmlformats.org/officeDocument/2006/relationships/hyperlink" Target="https://vt.tiktok.com/ZSuMEba8A/" TargetMode="External"/><Relationship Id="rId279" Type="http://schemas.openxmlformats.org/officeDocument/2006/relationships/hyperlink" Target="https://vt.tiktok.com/ZSuqj3XcU/" TargetMode="External"/><Relationship Id="rId157" Type="http://schemas.openxmlformats.org/officeDocument/2006/relationships/hyperlink" Target="https://vt.tiktok.com/ZSuRvveD8/" TargetMode="External"/><Relationship Id="rId278" Type="http://schemas.openxmlformats.org/officeDocument/2006/relationships/hyperlink" Target="https://vt.tiktok.com/ZSuXrb7De/" TargetMode="External"/><Relationship Id="rId399" Type="http://schemas.openxmlformats.org/officeDocument/2006/relationships/hyperlink" Target="https://vt.tiktok.com/ZSH9Kjj8q/" TargetMode="External"/><Relationship Id="rId156" Type="http://schemas.openxmlformats.org/officeDocument/2006/relationships/hyperlink" Target="https://www.tiktok.com/@yourbesties77" TargetMode="External"/><Relationship Id="rId277" Type="http://schemas.openxmlformats.org/officeDocument/2006/relationships/hyperlink" Target="https://vt.tiktok.com/ZSuvsHM1T/" TargetMode="External"/><Relationship Id="rId398" Type="http://schemas.openxmlformats.org/officeDocument/2006/relationships/hyperlink" Target="https://www.tiktok.com/@meamore42/video/7624877522949328136?is_from_webapp=1&amp;sender_device=pc" TargetMode="External"/><Relationship Id="rId155" Type="http://schemas.openxmlformats.org/officeDocument/2006/relationships/hyperlink" Target="https://www.tiktok.com/@sanclavvd" TargetMode="External"/><Relationship Id="rId276" Type="http://schemas.openxmlformats.org/officeDocument/2006/relationships/hyperlink" Target="https://vt.tiktok.com/ZSuvpo3TY/" TargetMode="External"/><Relationship Id="rId397" Type="http://schemas.openxmlformats.org/officeDocument/2006/relationships/hyperlink" Target="https://www.tiktok.com/@meamore42/video/7624137391976107271?is_from_webapp=1&amp;sender_device=pc" TargetMode="External"/><Relationship Id="rId40" Type="http://schemas.openxmlformats.org/officeDocument/2006/relationships/hyperlink" Target="https://vt.tiktok.com/ZSuPCVxrR/" TargetMode="External"/><Relationship Id="rId42" Type="http://schemas.openxmlformats.org/officeDocument/2006/relationships/hyperlink" Target="https://www.tiktok.com/@ismifadhilah29/video/7617036641953205525?is_from_webapp=1&amp;sender_device=pc" TargetMode="External"/><Relationship Id="rId41" Type="http://schemas.openxmlformats.org/officeDocument/2006/relationships/hyperlink" Target="https://www.tiktok.com/@ismifadhilah29" TargetMode="External"/><Relationship Id="rId44" Type="http://schemas.openxmlformats.org/officeDocument/2006/relationships/hyperlink" Target="https://vt.tiktok.com/ZSuvt3kgc/" TargetMode="External"/><Relationship Id="rId43" Type="http://schemas.openxmlformats.org/officeDocument/2006/relationships/hyperlink" Target="https://www.tiktok.com/@ismifadhilah29/video/7617345636635233557?is_from_webapp=1&amp;sender_device=pc" TargetMode="External"/><Relationship Id="rId46" Type="http://schemas.openxmlformats.org/officeDocument/2006/relationships/hyperlink" Target="https://www.tiktok.com/@Armiheppii" TargetMode="External"/><Relationship Id="rId45" Type="http://schemas.openxmlformats.org/officeDocument/2006/relationships/hyperlink" Target="https://vt.tiktok.com/ZSHrb8SuN/" TargetMode="External"/><Relationship Id="rId509" Type="http://schemas.openxmlformats.org/officeDocument/2006/relationships/hyperlink" Target="https://vt.tiktok.com/ZS9GGnyUa/" TargetMode="External"/><Relationship Id="rId508" Type="http://schemas.openxmlformats.org/officeDocument/2006/relationships/hyperlink" Target="https://www.tiktok.com/@nnfshah" TargetMode="External"/><Relationship Id="rId503" Type="http://schemas.openxmlformats.org/officeDocument/2006/relationships/hyperlink" Target="https://vt.tiktok.com/ZS9DKyJGm/" TargetMode="External"/><Relationship Id="rId502" Type="http://schemas.openxmlformats.org/officeDocument/2006/relationships/hyperlink" Target="https://www.tiktok.com/@ariskanih" TargetMode="External"/><Relationship Id="rId501" Type="http://schemas.openxmlformats.org/officeDocument/2006/relationships/hyperlink" Target="https://www.tiktok.com/@lala41376/video/7637566873499995412?is_from_webapp=1&amp;sender_device=pc" TargetMode="External"/><Relationship Id="rId500" Type="http://schemas.openxmlformats.org/officeDocument/2006/relationships/hyperlink" Target="https://www.tiktok.com/@lala41376/video/7637298866269785364?is_from_webapp=1&amp;sender_device=pc" TargetMode="External"/><Relationship Id="rId507" Type="http://schemas.openxmlformats.org/officeDocument/2006/relationships/hyperlink" Target="https://www.tiktok.com/@oohriska20" TargetMode="External"/><Relationship Id="rId506" Type="http://schemas.openxmlformats.org/officeDocument/2006/relationships/hyperlink" Target="https://vt.tiktok.com/ZS9LEwVmH/" TargetMode="External"/><Relationship Id="rId505" Type="http://schemas.openxmlformats.org/officeDocument/2006/relationships/hyperlink" Target="https://www.tiktok.com/@jenahzhen" TargetMode="External"/><Relationship Id="rId504" Type="http://schemas.openxmlformats.org/officeDocument/2006/relationships/hyperlink" Target="https://vt.tiktok.com/ZS9DKhs3d/" TargetMode="External"/><Relationship Id="rId48" Type="http://schemas.openxmlformats.org/officeDocument/2006/relationships/hyperlink" Target="https://vt.tiktok.com/ZSuL7XKKT/" TargetMode="External"/><Relationship Id="rId47" Type="http://schemas.openxmlformats.org/officeDocument/2006/relationships/hyperlink" Target="https://vt.tiktok.com/ZSuJNCSUb/" TargetMode="External"/><Relationship Id="rId49" Type="http://schemas.openxmlformats.org/officeDocument/2006/relationships/hyperlink" Target="https://vt.tiktok.com/ZSuM2DKQX/" TargetMode="External"/><Relationship Id="rId31" Type="http://schemas.openxmlformats.org/officeDocument/2006/relationships/hyperlink" Target="https://www.tiktok.com/@xyblabla2" TargetMode="External"/><Relationship Id="rId30" Type="http://schemas.openxmlformats.org/officeDocument/2006/relationships/hyperlink" Target="https://vt.tiktok.com/ZSHnXUxh9/" TargetMode="External"/><Relationship Id="rId33" Type="http://schemas.openxmlformats.org/officeDocument/2006/relationships/hyperlink" Target="https://www.tiktok.com/@xyblabla2/video/7613654922558557460?is_from_webapp=1&amp;sender_device=pc" TargetMode="External"/><Relationship Id="rId32" Type="http://schemas.openxmlformats.org/officeDocument/2006/relationships/hyperlink" Target="https://vt.tiktok.com/ZSu1hr9s2/" TargetMode="External"/><Relationship Id="rId35" Type="http://schemas.openxmlformats.org/officeDocument/2006/relationships/hyperlink" Target="https://vt.tiktok.com/ZSuLqxCg5/" TargetMode="External"/><Relationship Id="rId34" Type="http://schemas.openxmlformats.org/officeDocument/2006/relationships/hyperlink" Target="https://vt.tiktok.com/ZSu8HxvDQ/" TargetMode="External"/><Relationship Id="rId612" Type="http://schemas.openxmlformats.org/officeDocument/2006/relationships/drawing" Target="../drawings/drawing14.xml"/><Relationship Id="rId611" Type="http://schemas.openxmlformats.org/officeDocument/2006/relationships/hyperlink" Target="https://www.tiktok.com/@tiarasalsabella23" TargetMode="External"/><Relationship Id="rId610" Type="http://schemas.openxmlformats.org/officeDocument/2006/relationships/hyperlink" Target="https://www.tiktok.com/@nirvanamutia/video/7637330061179309333?_r=1&amp;u_code=cm102mlj93hg41&amp;region=&amp;mid=7624069700628695815&amp;preview_pb=0&amp;sharer_language=&amp;_d=0&amp;ec_shared_reflux_dynamic_params=%7B%22placeholder_material_id%22%3A%227637330061179309333%22%2C%22placeholder_origin_cover%22%3A%22https%253A%252F%252Fp16-common-sign.tiktokcdn.com%252Ftos-alisg-p-0037%252Fok09RpLGfj0iEPrOBAIDT29fQSdgViIBB5cBQp~tplv-tiktokx-origin.jpeg%253Fdr%253D14572%2526refresh_token%253Deb10ec11%2526x-expires%253D1811574000%2526x-signature%253DVREjZv%25252FvNDdJ7bY9pydgrqFTADg%25253D%2526t%253D4d5b0474%2526ps%253D13740610%2526shp%253Dd05b14bd%2526shcp%253D34ff8df6%2526idc%253Dmy%2526s%253DTIKTOK_AFFILIATE_VIRAL_VIDEO%22%2C%22placeholder_product_id%22%3A%221729921275998997399%22%2C%22placeholder_video_id%22%3A%227637330061179309333%22%7D&amp;ec_shared_reflux_scene=shop_tab_feed&amp;share_item_id=7637330061179309333&amp;source=h5_t" TargetMode="External"/><Relationship Id="rId37" Type="http://schemas.openxmlformats.org/officeDocument/2006/relationships/hyperlink" Target="https://vt.tiktok.com/ZSukMkwM9/" TargetMode="External"/><Relationship Id="rId36" Type="http://schemas.openxmlformats.org/officeDocument/2006/relationships/hyperlink" Target="https://www.tiktok.com/@tamiputriars" TargetMode="External"/><Relationship Id="rId39" Type="http://schemas.openxmlformats.org/officeDocument/2006/relationships/hyperlink" Target="https://vt.tiktok.com/ZSuPNGUty/" TargetMode="External"/><Relationship Id="rId38" Type="http://schemas.openxmlformats.org/officeDocument/2006/relationships/hyperlink" Target="https://vt.tiktok.com/ZSuyV5k6M/" TargetMode="External"/><Relationship Id="rId20" Type="http://schemas.openxmlformats.org/officeDocument/2006/relationships/hyperlink" Target="https://vt.tiktok.com/ZS99QnFf6/" TargetMode="External"/><Relationship Id="rId22" Type="http://schemas.openxmlformats.org/officeDocument/2006/relationships/hyperlink" Target="https://vt.tiktok.com/ZSHyAEgSm/" TargetMode="External"/><Relationship Id="rId21" Type="http://schemas.openxmlformats.org/officeDocument/2006/relationships/hyperlink" Target="https://www.tiktok.com/@naadeblue" TargetMode="External"/><Relationship Id="rId24" Type="http://schemas.openxmlformats.org/officeDocument/2006/relationships/hyperlink" Target="https://vt.tiktok.com/ZSHavMvLV/" TargetMode="External"/><Relationship Id="rId23" Type="http://schemas.openxmlformats.org/officeDocument/2006/relationships/hyperlink" Target="https://vt.tiktok.com/ZSHyDLK3j/" TargetMode="External"/><Relationship Id="rId409" Type="http://schemas.openxmlformats.org/officeDocument/2006/relationships/hyperlink" Target="https://vt.tiktok.com/ZSHHh8CjS/" TargetMode="External"/><Relationship Id="rId404" Type="http://schemas.openxmlformats.org/officeDocument/2006/relationships/hyperlink" Target="https://www.tiktok.com/@beershinee_/video/7622175530195963143?is_from_webapp=1&amp;sender_device=pc" TargetMode="External"/><Relationship Id="rId525" Type="http://schemas.openxmlformats.org/officeDocument/2006/relationships/hyperlink" Target="https://www.tiktok.com/@dylanstore.01" TargetMode="External"/><Relationship Id="rId403" Type="http://schemas.openxmlformats.org/officeDocument/2006/relationships/hyperlink" Target="https://www.tiktok.com/@beershinee_/video/7620996734918855943?is_from_webapp=1&amp;sender_device=pc" TargetMode="External"/><Relationship Id="rId524" Type="http://schemas.openxmlformats.org/officeDocument/2006/relationships/hyperlink" Target="https://www.tiktok.com/@racunpikacu02/video/7632184297960656146?is_from_webapp=1&amp;sender_device=pc" TargetMode="External"/><Relationship Id="rId402" Type="http://schemas.openxmlformats.org/officeDocument/2006/relationships/hyperlink" Target="https://www.tiktok.com/@beershinee_" TargetMode="External"/><Relationship Id="rId523" Type="http://schemas.openxmlformats.org/officeDocument/2006/relationships/hyperlink" Target="https://vt.tiktok.com/ZS9GvesEd/" TargetMode="External"/><Relationship Id="rId401" Type="http://schemas.openxmlformats.org/officeDocument/2006/relationships/hyperlink" Target="https://www.tiktok.com/@vinchamss" TargetMode="External"/><Relationship Id="rId522" Type="http://schemas.openxmlformats.org/officeDocument/2006/relationships/hyperlink" Target="https://www.tiktok.com/@racunpikacu02" TargetMode="External"/><Relationship Id="rId408" Type="http://schemas.openxmlformats.org/officeDocument/2006/relationships/hyperlink" Target="https://www.tiktok.com/@fhateeem" TargetMode="External"/><Relationship Id="rId529" Type="http://schemas.openxmlformats.org/officeDocument/2006/relationships/hyperlink" Target="https://www.tiktok.com/@nurulakhmalia/video/7641161995219193109?_r=1&amp;u_code=d6ffi7l94i021g&amp;region=&amp;mid=7381462145991346977&amp;preview_pb=0&amp;sharer_language=&amp;_d=0&amp;ec_shared_reflux_dynamic_params=%7B%22placeholder_material_id%22%3A%227641161995219193109%22%2C%22placeholder_origin_cover%22%3A%22https%253A%252F%252Fp16-common-sign.tiktokcdn.com%252Ftos-alisg-p-0037%252Fos4GIyo9IAaCQMLAUqgAfube6hEjCzIFVQDfWN~tplv-tiktokx-origin.jpeg%253Fdr%253D14572%2526refresh_token%253D3b71e36b%2526x-expires%253D1811574000%2526x-signature%253D3gSxq4HUz42vqOcSpgZKAgIEM20%25253D%2526t%253D4d5b0474%2526ps%253D13740610%2526shp%253Dd05b14bd%2526shcp%253D34ff8df6%2526idc%253Dmy%2526s%253DTIKTOK_AFFILIATE_VIRAL_VIDEO%22%2C%22placeholder_product_id%22%3A%221729921275998997399%22%2C%22placeholder_video_id%22%3A%227641161995219193109%22%7D&amp;ec_shared_reflux_scene=shop_tab_feed&amp;share_item_id=7641161995219193109&amp;source=h5_t" TargetMode="External"/><Relationship Id="rId407" Type="http://schemas.openxmlformats.org/officeDocument/2006/relationships/hyperlink" Target="https://www.tiktok.com/@Ciky288" TargetMode="External"/><Relationship Id="rId528" Type="http://schemas.openxmlformats.org/officeDocument/2006/relationships/hyperlink" Target="https://vt.tiktok.com/ZS9tAYYg6/" TargetMode="External"/><Relationship Id="rId406" Type="http://schemas.openxmlformats.org/officeDocument/2006/relationships/hyperlink" Target="https://vt.tiktok.com/ZSH9wsXQe/" TargetMode="External"/><Relationship Id="rId527" Type="http://schemas.openxmlformats.org/officeDocument/2006/relationships/hyperlink" Target="https://vt.tiktok.com/ZS9qq2umP/" TargetMode="External"/><Relationship Id="rId405" Type="http://schemas.openxmlformats.org/officeDocument/2006/relationships/hyperlink" Target="https://vt.tiktok.com/ZSH9wpJxH/" TargetMode="External"/><Relationship Id="rId526" Type="http://schemas.openxmlformats.org/officeDocument/2006/relationships/hyperlink" Target="https://www.tiktok.com/@nurulakhmalia" TargetMode="External"/><Relationship Id="rId26" Type="http://schemas.openxmlformats.org/officeDocument/2006/relationships/hyperlink" Target="https://www.tiktok.com/@itsyeeelllaaa" TargetMode="External"/><Relationship Id="rId25" Type="http://schemas.openxmlformats.org/officeDocument/2006/relationships/hyperlink" Target="https://vt.tiktok.com/ZSHnCGa8X/" TargetMode="External"/><Relationship Id="rId28" Type="http://schemas.openxmlformats.org/officeDocument/2006/relationships/hyperlink" Target="https://vt.tiktok.com/ZSH8C4U8T/" TargetMode="External"/><Relationship Id="rId27" Type="http://schemas.openxmlformats.org/officeDocument/2006/relationships/hyperlink" Target="https://vt.tiktok.com/ZSH8ucb41/" TargetMode="External"/><Relationship Id="rId400" Type="http://schemas.openxmlformats.org/officeDocument/2006/relationships/hyperlink" Target="https://vt.tiktok.com/ZSH9K2eYH/" TargetMode="External"/><Relationship Id="rId521" Type="http://schemas.openxmlformats.org/officeDocument/2006/relationships/hyperlink" Target="https://www.tiktok.com/@storyandine/video/7637788075938073874?is_from_webapp=1&amp;sender_device=pc" TargetMode="External"/><Relationship Id="rId29" Type="http://schemas.openxmlformats.org/officeDocument/2006/relationships/hyperlink" Target="https://vt.tiktok.com/ZSH8TcFD1/" TargetMode="External"/><Relationship Id="rId520" Type="http://schemas.openxmlformats.org/officeDocument/2006/relationships/hyperlink" Target="https://www.tiktok.com/@storyandine/video/7637036855103425810?is_from_webapp=1&amp;sender_device=pc" TargetMode="External"/><Relationship Id="rId11" Type="http://schemas.openxmlformats.org/officeDocument/2006/relationships/hyperlink" Target="https://vt.tiktok.com/ZSHyrE1JU/" TargetMode="External"/><Relationship Id="rId10" Type="http://schemas.openxmlformats.org/officeDocument/2006/relationships/hyperlink" Target="https://vt.tiktok.com/ZSHyh8vNN/" TargetMode="External"/><Relationship Id="rId13" Type="http://schemas.openxmlformats.org/officeDocument/2006/relationships/hyperlink" Target="https://vt.tiktok.com/ZSHXjkTrg/" TargetMode="External"/><Relationship Id="rId12" Type="http://schemas.openxmlformats.org/officeDocument/2006/relationships/hyperlink" Target="https://vt.tiktok.com/ZSHyhdVRh/" TargetMode="External"/><Relationship Id="rId519" Type="http://schemas.openxmlformats.org/officeDocument/2006/relationships/hyperlink" Target="https://www.tiktok.com/@storyandine" TargetMode="External"/><Relationship Id="rId514" Type="http://schemas.openxmlformats.org/officeDocument/2006/relationships/hyperlink" Target="https://www.tiktok.com/@intnwulnn_/video/7638602477893389576?is_from_webapp=1&amp;sender_device=pc" TargetMode="External"/><Relationship Id="rId513" Type="http://schemas.openxmlformats.org/officeDocument/2006/relationships/hyperlink" Target="https://www.tiktok.com/@intnwulnn_" TargetMode="External"/><Relationship Id="rId512" Type="http://schemas.openxmlformats.org/officeDocument/2006/relationships/hyperlink" Target="https://www.tiktok.com/@arinvias/video/7644112009134460167?_d=0&amp;_r=1&amp;ec_shared_reflux_dynamic_params=%7B%22placeholder_material_id%22%3A%227644112009134460167%22%2C%22placeholder_origin_cover%22%3A%22https%253A%252F%252Fp16-common-sign.tiktokcdn.com%252Ftos-alisg-p-0037%252FowihdBEhYyA1XVAVBMVVIInGItPVSMi2hwBia~tplv-tiktokx-origin.jpeg%253Fdr%253D14572%2526refresh_token%253Dd132cc7d%2526x-expires%253D1811469600%2526x-signature%253DdAT1459lCjSCozgAixlkpNuDC1M%25253D%2526t%253D4d5b0474%2526ps%253D13740610%2526shp%253Dd05b14bd%2526shcp%253D34ff8df6%2526idc%253Dmy%2526s%253DTIKTOK_AFFILIATE_VIRAL_VIDEO%22%2C%22placeholder_product_id%22%3A%221729937223777225623%22%2C%22placeholder_video_id%22%3A%227644112009134460167%22%7D&amp;ec_shared_reflux_scene=shop_tab_feed&amp;mid=6925827158761801730&amp;preview_pb=0&amp;region=&amp;share_item_id=7644112009134460167&amp;sharer_language=&amp;source=h5_t&amp;u_code=cl9i41g794h548" TargetMode="External"/><Relationship Id="rId511" Type="http://schemas.openxmlformats.org/officeDocument/2006/relationships/hyperlink" Target="https://vt.tiktok.com/ZS9GLFEH9/" TargetMode="External"/><Relationship Id="rId518" Type="http://schemas.openxmlformats.org/officeDocument/2006/relationships/hyperlink" Target="https://vt.tiktok.com/ZS94Ctarn/" TargetMode="External"/><Relationship Id="rId517" Type="http://schemas.openxmlformats.org/officeDocument/2006/relationships/hyperlink" Target="https://vt.tiktok.com/ZS94Cvvm8/" TargetMode="External"/><Relationship Id="rId516" Type="http://schemas.openxmlformats.org/officeDocument/2006/relationships/hyperlink" Target="https://vt.tiktok.com/ZS94Cm2dL/" TargetMode="External"/><Relationship Id="rId515" Type="http://schemas.openxmlformats.org/officeDocument/2006/relationships/hyperlink" Target="https://www.tiktok.com/@gabolegalakya" TargetMode="External"/><Relationship Id="rId15" Type="http://schemas.openxmlformats.org/officeDocument/2006/relationships/hyperlink" Target="https://vt.tiktok.com/ZSuPdr4Kg/" TargetMode="External"/><Relationship Id="rId14" Type="http://schemas.openxmlformats.org/officeDocument/2006/relationships/hyperlink" Target="https://www.tiktok.com/@Floraluxe.lmj" TargetMode="External"/><Relationship Id="rId17" Type="http://schemas.openxmlformats.org/officeDocument/2006/relationships/hyperlink" Target="https://www.tiktok.com/@zrshafaaaa" TargetMode="External"/><Relationship Id="rId16" Type="http://schemas.openxmlformats.org/officeDocument/2006/relationships/hyperlink" Target="https://vt.tiktok.com/ZSuP8YNR4/" TargetMode="External"/><Relationship Id="rId19" Type="http://schemas.openxmlformats.org/officeDocument/2006/relationships/hyperlink" Target="https://vt.tiktok.com/ZS9fbg8Qc/" TargetMode="External"/><Relationship Id="rId510" Type="http://schemas.openxmlformats.org/officeDocument/2006/relationships/hyperlink" Target="https://www.tiktok.com/@arinvias" TargetMode="External"/><Relationship Id="rId18" Type="http://schemas.openxmlformats.org/officeDocument/2006/relationships/hyperlink" Target="https://vt.tiktok.com/ZSH3LmAJn/" TargetMode="External"/><Relationship Id="rId84" Type="http://schemas.openxmlformats.org/officeDocument/2006/relationships/hyperlink" Target="https://vt.tiktok.com/ZSuqguuFs/" TargetMode="External"/><Relationship Id="rId83" Type="http://schemas.openxmlformats.org/officeDocument/2006/relationships/hyperlink" Target="https://vt.tiktok.com/ZSu617GD7/" TargetMode="External"/><Relationship Id="rId86" Type="http://schemas.openxmlformats.org/officeDocument/2006/relationships/hyperlink" Target="https://www.tiktok.com/@sunny.beaute" TargetMode="External"/><Relationship Id="rId85" Type="http://schemas.openxmlformats.org/officeDocument/2006/relationships/hyperlink" Target="https://vt.tiktok.com/ZSHAcW9PG/" TargetMode="External"/><Relationship Id="rId88" Type="http://schemas.openxmlformats.org/officeDocument/2006/relationships/hyperlink" Target="https://vt.tiktok.com/ZSuAC4CwU/" TargetMode="External"/><Relationship Id="rId87" Type="http://schemas.openxmlformats.org/officeDocument/2006/relationships/hyperlink" Target="https://vt.tiktok.com/ZSuJakUKL/" TargetMode="External"/><Relationship Id="rId89" Type="http://schemas.openxmlformats.org/officeDocument/2006/relationships/hyperlink" Target="https://vt.tiktok.com/ZSuK8ke68/" TargetMode="External"/><Relationship Id="rId80" Type="http://schemas.openxmlformats.org/officeDocument/2006/relationships/hyperlink" Target="https://vt.tiktok.com/ZSucdvCRv/" TargetMode="External"/><Relationship Id="rId82" Type="http://schemas.openxmlformats.org/officeDocument/2006/relationships/hyperlink" Target="https://www.tiktok.com/@beautysan_" TargetMode="External"/><Relationship Id="rId81" Type="http://schemas.openxmlformats.org/officeDocument/2006/relationships/hyperlink" Target="https://vt.tiktok.com/ZSucdpbpw/" TargetMode="External"/><Relationship Id="rId73" Type="http://schemas.openxmlformats.org/officeDocument/2006/relationships/hyperlink" Target="https://vt.tiktok.com/ZSuUDrvXw/" TargetMode="External"/><Relationship Id="rId72" Type="http://schemas.openxmlformats.org/officeDocument/2006/relationships/hyperlink" Target="https://www.tiktok.com/@Nunuhiidd95" TargetMode="External"/><Relationship Id="rId75" Type="http://schemas.openxmlformats.org/officeDocument/2006/relationships/hyperlink" Target="https://vt.tiktok.com/ZSmEnFfdq/" TargetMode="External"/><Relationship Id="rId74" Type="http://schemas.openxmlformats.org/officeDocument/2006/relationships/hyperlink" Target="https://www.tiktok.com/@by.titaaa" TargetMode="External"/><Relationship Id="rId77" Type="http://schemas.openxmlformats.org/officeDocument/2006/relationships/hyperlink" Target="https://vt.tiktok.com/ZSuRmyCwj/" TargetMode="External"/><Relationship Id="rId76" Type="http://schemas.openxmlformats.org/officeDocument/2006/relationships/hyperlink" Target="https://vt.tiktok.com/ZSuRmh6Cw/" TargetMode="External"/><Relationship Id="rId79" Type="http://schemas.openxmlformats.org/officeDocument/2006/relationships/hyperlink" Target="https://vt.tiktok.com/ZSucdfswP/" TargetMode="External"/><Relationship Id="rId78" Type="http://schemas.openxmlformats.org/officeDocument/2006/relationships/hyperlink" Target="https://www.tiktok.com/@xkaalina" TargetMode="External"/><Relationship Id="rId71" Type="http://schemas.openxmlformats.org/officeDocument/2006/relationships/hyperlink" Target="https://www.tiktok.com/@azurayumna.s/video/7622126204375665940?is_from_webapp=1&amp;sender_device=pc" TargetMode="External"/><Relationship Id="rId70" Type="http://schemas.openxmlformats.org/officeDocument/2006/relationships/hyperlink" Target="https://www.tiktok.com/@azurayumna.s/video/7609885912247356692?is_from_webapp=1&amp;sender_device=pc" TargetMode="External"/><Relationship Id="rId62" Type="http://schemas.openxmlformats.org/officeDocument/2006/relationships/hyperlink" Target="https://vt.tiktok.com/ZSukGHoLB/" TargetMode="External"/><Relationship Id="rId61" Type="http://schemas.openxmlformats.org/officeDocument/2006/relationships/hyperlink" Target="https://www.tiktok.com/@winaseptiani_24" TargetMode="External"/><Relationship Id="rId64" Type="http://schemas.openxmlformats.org/officeDocument/2006/relationships/hyperlink" Target="https://vt.tiktok.com/ZSufwQTDa/" TargetMode="External"/><Relationship Id="rId63" Type="http://schemas.openxmlformats.org/officeDocument/2006/relationships/hyperlink" Target="https://vt.tiktok.com/ZSuAury6S/" TargetMode="External"/><Relationship Id="rId66" Type="http://schemas.openxmlformats.org/officeDocument/2006/relationships/hyperlink" Target="https://www.tiktok.com/@tentangapiy" TargetMode="External"/><Relationship Id="rId65" Type="http://schemas.openxmlformats.org/officeDocument/2006/relationships/hyperlink" Target="https://vt.tiktok.com/ZSumeMwUC/" TargetMode="External"/><Relationship Id="rId68" Type="http://schemas.openxmlformats.org/officeDocument/2006/relationships/hyperlink" Target="https://www.tiktok.com/@azurayumna.s/video/7609655237275684117?is_from_webapp=1&amp;sender_device=pc" TargetMode="External"/><Relationship Id="rId67" Type="http://schemas.openxmlformats.org/officeDocument/2006/relationships/hyperlink" Target="https://www.tiktok.com/@azurayumna.s" TargetMode="External"/><Relationship Id="rId609" Type="http://schemas.openxmlformats.org/officeDocument/2006/relationships/hyperlink" Target="https://www.tiktok.com/@nirvanamutia/video/7637330061179309333?_r=1&amp;u_code=cm102mlj93hg41&amp;region=&amp;mid=7624069700628695815&amp;preview_pb=0&amp;sharer_language=&amp;_d=0&amp;ec_shared_reflux_dynamic_params=%7B%22placeholder_material_id%22%3A%227637330061179309333%22%2C%22placeholder_origin_cover%22%3A%22https%253A%252F%252Fp16-common-sign.tiktokcdn.com%252Ftos-alisg-p-0037%252Fok09RpLGfj0iEPrOBAIDT29fQSdgViIBB5cBQp~tplv-tiktokx-origin.jpeg%253Fdr%253D14572%2526refresh_token%253Deb10ec11%2526x-expires%253D1811574000%2526x-signature%253DVREjZv%25252FvNDdJ7bY9pydgrqFTADg%25253D%2526t%253D4d5b0474%2526ps%253D13740610%2526shp%253Dd05b14bd%2526shcp%253D34ff8df6%2526idc%253Dmy%2526s%253DTIKTOK_AFFILIATE_VIRAL_VIDEO%22%2C%22placeholder_product_id%22%3A%221729921275998997399%22%2C%22placeholder_video_id%22%3A%227637330061179309333%22%7D&amp;ec_shared_reflux_scene=shop_tab_feed&amp;share_item_id=7637330061179309333&amp;source=h5_t" TargetMode="External"/><Relationship Id="rId608" Type="http://schemas.openxmlformats.org/officeDocument/2006/relationships/hyperlink" Target="https://www.tiktok.com/@nirvanamutia/video/7637384286496247060?_r=1&amp;u_code=cm102mlj93hg41&amp;region=&amp;mid=7477989018875677462&amp;preview_pb=0&amp;sharer_language=&amp;_d=0&amp;ec_shared_reflux_dynamic_params=%7B%22placeholder_material_id%22%3A%227637384286496247060%22%2C%22placeholder_origin_cover%22%3A%22https%253A%252F%252Fp16-common-sign.tiktokcdn.com%252Ftos-alisg-p-0037%252FokbfcIoIB5NarBcNgifKACA0tiHv1pBEV38RM9~tplv-tiktokx-origin.jpeg%253Fdr%253D14572%2526refresh_token%253Dc0b83205%2526x-expires%253D1811574000%2526x-signature%253DDj2yMg%25252BUcu1ztdexcMtNYAv0Rm0%25253D%2526t%253D4d5b0474%2526ps%253D13740610%2526shp%253Dd05b14bd%2526shcp%253D34ff8df6%2526idc%253Dmy%2526s%253DTIKTOK_AFFILIATE_VIRAL_VIDEO%22%2C%22placeholder_product_id%22%3A%221729921275998997399%22%2C%22placeholder_video_id%22%3A%227637384286496247060%22%7D&amp;ec_shared_reflux_scene=shop_tab_feed&amp;share_item_id=7637384286496247060&amp;source=h5_t" TargetMode="External"/><Relationship Id="rId607" Type="http://schemas.openxmlformats.org/officeDocument/2006/relationships/hyperlink" Target="https://www.tiktok.com/@nirvanamutia/video/7637378248766131476?_r=1&amp;u_code=cm102mlj93hg41&amp;region=&amp;mid=6965202790818171653&amp;preview_pb=0&amp;sharer_language=&amp;_d=0&amp;ec_shared_reflux_dynamic_params=%7B%22placeholder_material_id%22%3A%227637378248766131476%22%2C%22placeholder_origin_cover%22%3A%22https%253A%252F%252Fp16-common-sign.tiktokcdn.com%252Ftos-alisg-p-0037%252FoUIdgwhetirgWeRGV1enLDLTke8GM3AGAbWy6F~tplv-tiktokx-origin.jpeg%253Fdr%253D14572%2526refresh_token%253Da7f13725%2526x-expires%253D1811574000%2526x-signature%253DldGWgWBeD2BUHpOcZmFsfYT5%25252Bo8%25253D%2526t%253D4d5b0474%2526ps%253D13740610%2526shp%253Dd05b14bd%2526shcp%253D34ff8df6%2526idc%253Dmy%2526s%253DTIKTOK_AFFILIATE_VIRAL_VIDEO%22%2C%22placeholder_product_id%22%3A%221729921275998997399%22%2C%22placeholder_video_id%22%3A%227637378248766131476%22%7D&amp;ec_shared_reflux_scene=shop_tab_feed&amp;share_item_id=7637378248766131476&amp;source=h5_t" TargetMode="External"/><Relationship Id="rId60" Type="http://schemas.openxmlformats.org/officeDocument/2006/relationships/hyperlink" Target="https://vt.tiktok.com/ZSudHCTUF/" TargetMode="External"/><Relationship Id="rId602" Type="http://schemas.openxmlformats.org/officeDocument/2006/relationships/hyperlink" Target="https://www.tiktok.com/@naniinan09" TargetMode="External"/><Relationship Id="rId601" Type="http://schemas.openxmlformats.org/officeDocument/2006/relationships/hyperlink" Target="https://www.tiktok.com/@sunny.beaute" TargetMode="External"/><Relationship Id="rId600" Type="http://schemas.openxmlformats.org/officeDocument/2006/relationships/hyperlink" Target="https://www.tiktok.com/@annawkwk" TargetMode="External"/><Relationship Id="rId606" Type="http://schemas.openxmlformats.org/officeDocument/2006/relationships/hyperlink" Target="https://www.tiktok.com/@nirvanamutia/video/7637370673286909205?_r=1&amp;u_code=cm102mlj93hg41&amp;region=&amp;mid=7632536758063909648&amp;preview_pb=0&amp;sharer_language=&amp;_d=0&amp;ec_shared_reflux_dynamic_params=%7B%22placeholder_material_id%22%3A%227637370673286909205%22%2C%22placeholder_origin_cover%22%3A%22https%253A%252F%252Fp16-common-sign.tiktokcdn.com%252Ftos-alisg-p-0037%252FogtAIk0I9cTBxAaZwJuD1PiHiCAIDBf1SqJENI~tplv-tiktokx-origin.jpeg%253Fdr%253D14572%2526refresh_token%253D6d566b2b%2526x-expires%253D1811574000%2526x-signature%253D6beu%25252B%25252BlkLiCed4XDAohLmJjiJn8%25253D%2526t%253D4d5b0474%2526ps%253D13740610%2526shp%253Dd05b14bd%2526shcp%253D34ff8df6%2526idc%253Dmy%2526s%253DTIKTOK_AFFILIATE_VIRAL_VIDEO%22%2C%22placeholder_product_id%22%3A%221729921275998997399%22%2C%22placeholder_video_id%22%3A%227637370673286909205%22%7D&amp;ec_shared_reflux_scene=shop_tab_feed&amp;share_item_id=7637370673286909205&amp;source=h5_t" TargetMode="External"/><Relationship Id="rId605" Type="http://schemas.openxmlformats.org/officeDocument/2006/relationships/hyperlink" Target="https://www.tiktok.com/@nirvanamutia/video/7637226740498173204?_r=1&amp;u_code=cm102mlj93hg41&amp;region=&amp;mid=7227929680970926874&amp;preview_pb=0&amp;sharer_language=&amp;_d=0&amp;ec_shared_reflux_dynamic_params=%7B%22placeholder_material_id%22%3A%227637226740498173204%22%2C%22placeholder_origin_cover%22%3A%22https%253A%252F%252Fp16-common-sign.tiktokcdn.com%252Ftos-alisg-p-0037%252FoUigUPv0fAnJAj1Bi2OzXI4Aul8PIdybCBuwIB~tplv-tiktokx-origin.jpeg%253Fdr%253D14572%2526refresh_token%253D68f14582%2526x-expires%253D1811574000%2526x-signature%253DddakdIARLoP8%25252BQHDJh7DtSY7UbM%25253D%2526t%253D4d5b0474%2526ps%253D13740610%2526shp%253Dd05b14bd%2526shcp%253D34ff8df6%2526idc%253Dmy%2526s%253DTIKTOK_AFFILIATE_VIRAL_VIDEO%22%2C%22placeholder_product_id%22%3A%221729921275998997399%22%2C%22placeholder_video_id%22%3A%227637226740498173204%22%7D&amp;ec_shared_reflux_scene=shop_tab_feed&amp;share_item_id=7637226740498173204&amp;source=h5_t" TargetMode="External"/><Relationship Id="rId604" Type="http://schemas.openxmlformats.org/officeDocument/2006/relationships/hyperlink" Target="https://www.tiktok.com/@nirvanamutia/video/7637244897233341717?_r=1&amp;u_code=cm102mlj93hg41&amp;region=&amp;mid=7614441852116290311&amp;preview_pb=0&amp;sharer_language=&amp;_d=0&amp;ec_shared_reflux_dynamic_params=%7B%22placeholder_material_id%22%3A%227637244897233341717%22%2C%22placeholder_origin_cover%22%3A%22https%253A%252F%252Fp16-common-sign.tiktokcdn.com%252Ftos-alisg-p-0037%252FoIYBqBfiQgfcpQRcRIBhRMAEUmI7iBEtB7jn88~tplv-tiktokx-origin.jpeg%253Fdr%253D14572%2526refresh_token%253D9fab79df%2526x-expires%253D1811574000%2526x-signature%253DWq7jnxrIwk2u%25252BioBh7rpzfLikU0%25253D%2526t%253D4d5b0474%2526ps%253D13740610%2526shp%253Dd05b14bd%2526shcp%253D34ff8df6%2526idc%253Dmy%2526s%253DTIKTOK_AFFILIATE_VIRAL_VIDEO%22%2C%22placeholder_product_id%22%3A%221729921275998997399%22%2C%22placeholder_video_id%22%3A%227637244897233341717%22%7D&amp;ec_shared_reflux_scene=shop_tab_feed&amp;share_item_id=7637244897233341717&amp;source=h5_t" TargetMode="External"/><Relationship Id="rId603" Type="http://schemas.openxmlformats.org/officeDocument/2006/relationships/hyperlink" Target="https://www.tiktok.com/@nirvanamutia" TargetMode="External"/><Relationship Id="rId69" Type="http://schemas.openxmlformats.org/officeDocument/2006/relationships/hyperlink" Target="https://www.tiktok.com/@azurayumna.s/video/7609673667160591637?is_from_webapp=1&amp;sender_device=pc" TargetMode="External"/><Relationship Id="rId51" Type="http://schemas.openxmlformats.org/officeDocument/2006/relationships/hyperlink" Target="https://www.tiktok.com/@septiaammelia" TargetMode="External"/><Relationship Id="rId50" Type="http://schemas.openxmlformats.org/officeDocument/2006/relationships/hyperlink" Target="https://vt.tiktok.com/ZSuMxggt5/" TargetMode="External"/><Relationship Id="rId53" Type="http://schemas.openxmlformats.org/officeDocument/2006/relationships/hyperlink" Target="https://vt.tiktok.com/ZSuaoQLj8/" TargetMode="External"/><Relationship Id="rId52" Type="http://schemas.openxmlformats.org/officeDocument/2006/relationships/hyperlink" Target="https://vt.tiktok.com/ZSuyQkhRe/" TargetMode="External"/><Relationship Id="rId55" Type="http://schemas.openxmlformats.org/officeDocument/2006/relationships/hyperlink" Target="https://vt.tiktok.com/ZSHrHkU9R/" TargetMode="External"/><Relationship Id="rId54" Type="http://schemas.openxmlformats.org/officeDocument/2006/relationships/hyperlink" Target="https://vt.tiktok.com/ZSubrwWT5/" TargetMode="External"/><Relationship Id="rId57" Type="http://schemas.openxmlformats.org/officeDocument/2006/relationships/hyperlink" Target="https://vt.tiktok.com/ZSmEPo1JU/" TargetMode="External"/><Relationship Id="rId56" Type="http://schemas.openxmlformats.org/officeDocument/2006/relationships/hyperlink" Target="https://www.tiktok.com/@nurridn___" TargetMode="External"/><Relationship Id="rId59" Type="http://schemas.openxmlformats.org/officeDocument/2006/relationships/hyperlink" Target="https://vt.tiktok.com/ZSudHxb4y/" TargetMode="External"/><Relationship Id="rId58" Type="http://schemas.openxmlformats.org/officeDocument/2006/relationships/hyperlink" Target="https://vt.tiktok.com/ZSmEPq3B8/" TargetMode="External"/><Relationship Id="rId590" Type="http://schemas.openxmlformats.org/officeDocument/2006/relationships/hyperlink" Target="https://www.tiktok.com/@racunskincarefiqi" TargetMode="External"/><Relationship Id="rId107" Type="http://schemas.openxmlformats.org/officeDocument/2006/relationships/hyperlink" Target="https://www.tiktok.com/@nris9" TargetMode="External"/><Relationship Id="rId228" Type="http://schemas.openxmlformats.org/officeDocument/2006/relationships/hyperlink" Target="https://vt.tiktok.com/ZSuuSoBwa/" TargetMode="External"/><Relationship Id="rId349" Type="http://schemas.openxmlformats.org/officeDocument/2006/relationships/hyperlink" Target="https://www.tiktok.com/@aisahtrii_/video/7615430934837366036?is_from_webapp=1&amp;sender_device=pc" TargetMode="External"/><Relationship Id="rId106" Type="http://schemas.openxmlformats.org/officeDocument/2006/relationships/hyperlink" Target="https://www.tiktok.com/@dinifu1" TargetMode="External"/><Relationship Id="rId227" Type="http://schemas.openxmlformats.org/officeDocument/2006/relationships/hyperlink" Target="https://vt.tiktok.com/ZSuuSv6ES/" TargetMode="External"/><Relationship Id="rId348" Type="http://schemas.openxmlformats.org/officeDocument/2006/relationships/hyperlink" Target="https://vt.tiktok.com/ZSuYtM4Gy/" TargetMode="External"/><Relationship Id="rId469" Type="http://schemas.openxmlformats.org/officeDocument/2006/relationships/hyperlink" Target="https://vt.tiktok.com/ZS9hbNCty/" TargetMode="External"/><Relationship Id="rId105" Type="http://schemas.openxmlformats.org/officeDocument/2006/relationships/hyperlink" Target="https://www.tiktok.com/@oinlubis_/video/7617805830951554324?_r=1&amp;u_code=d8g0ajjhb7g114&amp;region=&amp;mid=7617805865143683847&amp;preview_pb=0&amp;sharer_language=&amp;_d=0&amp;ec_shared_reflux_dynamic_params=%7B%22placeholder_material_id%22%3A%227617805830951554324%22%2C%22placeholder_origin_cover%22%3A%22https%253A%252F%252Fp16-common-sign.tiktokcdn.com%252Ftos-alisg-p-0037%252FoI8IYbAKeF0JAC4o4T7ejBA5LEI5fDjDI34hQu~tplv-tiktokx-origin.jpeg%253Fdr%253D14572%2526refresh_token%253D444d2d68%2526x-expires%253D1811574000%2526x-signature%253Dmn%25252BHwZbMjKvLHrpOlMG0bMWqE18%25253D%2526t%253D4d5b0474%2526ps%253D13740610%2526shp%253Dd05b14bd%2526shcp%253D34ff8df6%2526idc%253Dmy%2526s%253DTIKTOK_AFFILIATE_VIRAL_VIDEO%22%2C%22placeholder_product_id%22%3A%221729937223777225623%22%2C%22placeholder_video_id%22%3A%227617805830951554324%22%7D&amp;ec_shared_reflux_scene=shop_tab_feed&amp;share_item_id=7617805830951554324&amp;source=h5_t" TargetMode="External"/><Relationship Id="rId226" Type="http://schemas.openxmlformats.org/officeDocument/2006/relationships/hyperlink" Target="https://vt.tiktok.com/ZSuuSXQ7H/" TargetMode="External"/><Relationship Id="rId347" Type="http://schemas.openxmlformats.org/officeDocument/2006/relationships/hyperlink" Target="https://vt.tiktok.com/ZSuYpsDL3/" TargetMode="External"/><Relationship Id="rId468" Type="http://schemas.openxmlformats.org/officeDocument/2006/relationships/hyperlink" Target="https://www.tiktok.com/@3ka9907" TargetMode="External"/><Relationship Id="rId589" Type="http://schemas.openxmlformats.org/officeDocument/2006/relationships/hyperlink" Target="https://www.tiktok.com/@wwzn13" TargetMode="External"/><Relationship Id="rId104" Type="http://schemas.openxmlformats.org/officeDocument/2006/relationships/hyperlink" Target="https://vt.tiktok.com/ZSu91Hk99/" TargetMode="External"/><Relationship Id="rId225" Type="http://schemas.openxmlformats.org/officeDocument/2006/relationships/hyperlink" Target="https://vt.tiktok.com/ZSuuAJyLF/" TargetMode="External"/><Relationship Id="rId346" Type="http://schemas.openxmlformats.org/officeDocument/2006/relationships/hyperlink" Target="https://www.tiktok.com/@aisahtrii_" TargetMode="External"/><Relationship Id="rId467" Type="http://schemas.openxmlformats.org/officeDocument/2006/relationships/hyperlink" Target="https://vt.tiktok.com/ZS9k6eK8v/" TargetMode="External"/><Relationship Id="rId588" Type="http://schemas.openxmlformats.org/officeDocument/2006/relationships/hyperlink" Target="https://www.tiktok.com/@dian.wulan_sari" TargetMode="External"/><Relationship Id="rId109" Type="http://schemas.openxmlformats.org/officeDocument/2006/relationships/hyperlink" Target="https://www.tiktok.com/@taalestarii1" TargetMode="External"/><Relationship Id="rId108" Type="http://schemas.openxmlformats.org/officeDocument/2006/relationships/hyperlink" Target="https://vt.tiktok.com/ZSuw5xJfu/" TargetMode="External"/><Relationship Id="rId229" Type="http://schemas.openxmlformats.org/officeDocument/2006/relationships/hyperlink" Target="https://www.tiktok.com/@fitrianahisnainy" TargetMode="External"/><Relationship Id="rId220" Type="http://schemas.openxmlformats.org/officeDocument/2006/relationships/hyperlink" Target="https://vt.tiktok.com/ZSHucHFrS/" TargetMode="External"/><Relationship Id="rId341" Type="http://schemas.openxmlformats.org/officeDocument/2006/relationships/hyperlink" Target="https://www.tiktok.com/@anotherbinaa_" TargetMode="External"/><Relationship Id="rId462" Type="http://schemas.openxmlformats.org/officeDocument/2006/relationships/hyperlink" Target="https://vt.tiktok.com/ZSHCf87hb/" TargetMode="External"/><Relationship Id="rId583" Type="http://schemas.openxmlformats.org/officeDocument/2006/relationships/hyperlink" Target="https://www.tiktok.com/@bulllll1220/video/7637835227359874325?is_from_webapp=1&amp;sender_device=pc" TargetMode="External"/><Relationship Id="rId340" Type="http://schemas.openxmlformats.org/officeDocument/2006/relationships/hyperlink" Target="https://vt.tiktok.com/ZSuheym4N/" TargetMode="External"/><Relationship Id="rId461" Type="http://schemas.openxmlformats.org/officeDocument/2006/relationships/hyperlink" Target="https://vt.tiktok.com/ZSHCfjPgj/" TargetMode="External"/><Relationship Id="rId582" Type="http://schemas.openxmlformats.org/officeDocument/2006/relationships/hyperlink" Target="https://vt.tiktok.com/ZS9GK9D4y/" TargetMode="External"/><Relationship Id="rId460" Type="http://schemas.openxmlformats.org/officeDocument/2006/relationships/hyperlink" Target="https://www.tiktok.com/@abcdera_14" TargetMode="External"/><Relationship Id="rId581" Type="http://schemas.openxmlformats.org/officeDocument/2006/relationships/hyperlink" Target="https://www.tiktok.com/@bulllll1220" TargetMode="External"/><Relationship Id="rId580" Type="http://schemas.openxmlformats.org/officeDocument/2006/relationships/hyperlink" Target="https://www.tiktok.com/@racunnya_riska" TargetMode="External"/><Relationship Id="rId103" Type="http://schemas.openxmlformats.org/officeDocument/2006/relationships/hyperlink" Target="https://www.tiktok.com/@oinlubis_" TargetMode="External"/><Relationship Id="rId224" Type="http://schemas.openxmlformats.org/officeDocument/2006/relationships/hyperlink" Target="https://www.tiktok.com/@letssgloow" TargetMode="External"/><Relationship Id="rId345" Type="http://schemas.openxmlformats.org/officeDocument/2006/relationships/hyperlink" Target="https://vt.tiktok.com/ZSH5Afubx/" TargetMode="External"/><Relationship Id="rId466" Type="http://schemas.openxmlformats.org/officeDocument/2006/relationships/hyperlink" Target="https://vt.tiktok.com/ZSHSacc8F/" TargetMode="External"/><Relationship Id="rId587" Type="http://schemas.openxmlformats.org/officeDocument/2006/relationships/hyperlink" Target="https://www.tiktok.com/@innaahhiyan" TargetMode="External"/><Relationship Id="rId102" Type="http://schemas.openxmlformats.org/officeDocument/2006/relationships/hyperlink" Target="https://vt.tiktok.com/ZSmEGHmwD/" TargetMode="External"/><Relationship Id="rId223" Type="http://schemas.openxmlformats.org/officeDocument/2006/relationships/hyperlink" Target="https://vt.tiktok.com/ZSm76fRfK/" TargetMode="External"/><Relationship Id="rId344" Type="http://schemas.openxmlformats.org/officeDocument/2006/relationships/hyperlink" Target="https://vt.tiktok.com/ZSHF42qYx/" TargetMode="External"/><Relationship Id="rId465" Type="http://schemas.openxmlformats.org/officeDocument/2006/relationships/hyperlink" Target="https://www.tiktok.com/@anggyrd27" TargetMode="External"/><Relationship Id="rId586" Type="http://schemas.openxmlformats.org/officeDocument/2006/relationships/hyperlink" Target="https://www.tiktok.com/@slvistory" TargetMode="External"/><Relationship Id="rId101" Type="http://schemas.openxmlformats.org/officeDocument/2006/relationships/hyperlink" Target="https://vt.tiktok.com/ZSmcqaf5P/" TargetMode="External"/><Relationship Id="rId222" Type="http://schemas.openxmlformats.org/officeDocument/2006/relationships/hyperlink" Target="https://vt.tiktok.com/ZSmsfXTMv/" TargetMode="External"/><Relationship Id="rId343" Type="http://schemas.openxmlformats.org/officeDocument/2006/relationships/hyperlink" Target="https://vt.tiktok.com/ZSurhAbnK/" TargetMode="External"/><Relationship Id="rId464" Type="http://schemas.openxmlformats.org/officeDocument/2006/relationships/hyperlink" Target="https://vt.tiktok.com/ZSHCyW3Mb/" TargetMode="External"/><Relationship Id="rId585" Type="http://schemas.openxmlformats.org/officeDocument/2006/relationships/hyperlink" Target="https://www.tiktok.com/@bulllll1220/video/7639351425742540053?is_from_webapp=1&amp;sender_device=pc" TargetMode="External"/><Relationship Id="rId100" Type="http://schemas.openxmlformats.org/officeDocument/2006/relationships/hyperlink" Target="https://www.tiktok.com/@elsachawul_" TargetMode="External"/><Relationship Id="rId221" Type="http://schemas.openxmlformats.org/officeDocument/2006/relationships/hyperlink" Target="https://www.tiktok.com/@nbillahnc" TargetMode="External"/><Relationship Id="rId342" Type="http://schemas.openxmlformats.org/officeDocument/2006/relationships/hyperlink" Target="https://vt.tiktok.com/ZSuNdac97/" TargetMode="External"/><Relationship Id="rId463" Type="http://schemas.openxmlformats.org/officeDocument/2006/relationships/hyperlink" Target="https://vt.tiktok.com/ZSHCfD7Wp/" TargetMode="External"/><Relationship Id="rId584" Type="http://schemas.openxmlformats.org/officeDocument/2006/relationships/hyperlink" Target="https://www.tiktok.com/@bulllll1220/video/7638088838895684885?is_from_webapp=1&amp;sender_device=pc" TargetMode="External"/><Relationship Id="rId217" Type="http://schemas.openxmlformats.org/officeDocument/2006/relationships/hyperlink" Target="https://www.tiktok.com/@Jhstorage" TargetMode="External"/><Relationship Id="rId338" Type="http://schemas.openxmlformats.org/officeDocument/2006/relationships/hyperlink" Target="https://vt.tiktok.com/ZSu6RHPw1/" TargetMode="External"/><Relationship Id="rId459" Type="http://schemas.openxmlformats.org/officeDocument/2006/relationships/hyperlink" Target="https://vt.tiktok.com/ZSHppGYkK/" TargetMode="External"/><Relationship Id="rId216" Type="http://schemas.openxmlformats.org/officeDocument/2006/relationships/hyperlink" Target="https://vt.tiktok.com/ZSHuphN7H/" TargetMode="External"/><Relationship Id="rId337" Type="http://schemas.openxmlformats.org/officeDocument/2006/relationships/hyperlink" Target="https://vt.tiktok.com/ZSujRAey4/" TargetMode="External"/><Relationship Id="rId458" Type="http://schemas.openxmlformats.org/officeDocument/2006/relationships/hyperlink" Target="https://vt.tiktok.com/ZSHp2y81T/" TargetMode="External"/><Relationship Id="rId579" Type="http://schemas.openxmlformats.org/officeDocument/2006/relationships/hyperlink" Target="https://www.tiktok.com/@eni.makeupgresik" TargetMode="External"/><Relationship Id="rId215" Type="http://schemas.openxmlformats.org/officeDocument/2006/relationships/hyperlink" Target="https://www.tiktok.com/@araanrml" TargetMode="External"/><Relationship Id="rId336" Type="http://schemas.openxmlformats.org/officeDocument/2006/relationships/hyperlink" Target="https://www.tiktok.com/@Rodiahhinata" TargetMode="External"/><Relationship Id="rId457" Type="http://schemas.openxmlformats.org/officeDocument/2006/relationships/hyperlink" Target="https://vt.tiktok.com/ZSHp2Nsn7/" TargetMode="External"/><Relationship Id="rId578" Type="http://schemas.openxmlformats.org/officeDocument/2006/relationships/hyperlink" Target="https://www.tiktok.com/@putciew" TargetMode="External"/><Relationship Id="rId214" Type="http://schemas.openxmlformats.org/officeDocument/2006/relationships/hyperlink" Target="https://www.tiktok.com/@hi_jaenaa" TargetMode="External"/><Relationship Id="rId335" Type="http://schemas.openxmlformats.org/officeDocument/2006/relationships/hyperlink" Target="https://vt.tiktok.com/ZSH67ajCN/" TargetMode="External"/><Relationship Id="rId456" Type="http://schemas.openxmlformats.org/officeDocument/2006/relationships/hyperlink" Target="https://www.tiktok.com/@rzynaaa" TargetMode="External"/><Relationship Id="rId577" Type="http://schemas.openxmlformats.org/officeDocument/2006/relationships/hyperlink" Target="https://vt.tiktok.com/ZSxepGVuE/" TargetMode="External"/><Relationship Id="rId219" Type="http://schemas.openxmlformats.org/officeDocument/2006/relationships/hyperlink" Target="https://vt.tiktok.com/ZSHucLmTA/" TargetMode="External"/><Relationship Id="rId218" Type="http://schemas.openxmlformats.org/officeDocument/2006/relationships/hyperlink" Target="https://vt.tiktok.com/ZSHucjjHE/" TargetMode="External"/><Relationship Id="rId339" Type="http://schemas.openxmlformats.org/officeDocument/2006/relationships/hyperlink" Target="https://vt.tiktok.com/ZSuhJnnC2/" TargetMode="External"/><Relationship Id="rId330" Type="http://schemas.openxmlformats.org/officeDocument/2006/relationships/hyperlink" Target="https://vt.tiktok.com/ZS9se49H1/" TargetMode="External"/><Relationship Id="rId451" Type="http://schemas.openxmlformats.org/officeDocument/2006/relationships/hyperlink" Target="https://vt.tiktok.com/ZSHugKPKm/" TargetMode="External"/><Relationship Id="rId572" Type="http://schemas.openxmlformats.org/officeDocument/2006/relationships/hyperlink" Target="https://vt.tiktok.com/ZS9G3HV21/" TargetMode="External"/><Relationship Id="rId450" Type="http://schemas.openxmlformats.org/officeDocument/2006/relationships/hyperlink" Target="https://www.tiktok.com/@triastore27" TargetMode="External"/><Relationship Id="rId571" Type="http://schemas.openxmlformats.org/officeDocument/2006/relationships/hyperlink" Target="https://vt.tiktok.com/ZS9qSh7FR/" TargetMode="External"/><Relationship Id="rId570" Type="http://schemas.openxmlformats.org/officeDocument/2006/relationships/hyperlink" Target="https://www.tiktok.com/@dewa_mua" TargetMode="External"/><Relationship Id="rId213" Type="http://schemas.openxmlformats.org/officeDocument/2006/relationships/hyperlink" Target="https://vt.tiktok.com/ZS9eHpnQC/" TargetMode="External"/><Relationship Id="rId334" Type="http://schemas.openxmlformats.org/officeDocument/2006/relationships/hyperlink" Target="https://vt.tiktok.com/ZSH2gkYpw/" TargetMode="External"/><Relationship Id="rId455" Type="http://schemas.openxmlformats.org/officeDocument/2006/relationships/hyperlink" Target="https://vt.tiktok.com/ZS9JHhS37/" TargetMode="External"/><Relationship Id="rId576" Type="http://schemas.openxmlformats.org/officeDocument/2006/relationships/hyperlink" Target="https://vt.tiktok.com/ZSxepua1W/" TargetMode="External"/><Relationship Id="rId212" Type="http://schemas.openxmlformats.org/officeDocument/2006/relationships/hyperlink" Target="https://vt.tiktok.com/ZSHsyRQL3/" TargetMode="External"/><Relationship Id="rId333" Type="http://schemas.openxmlformats.org/officeDocument/2006/relationships/hyperlink" Target="https://www.tiktok.com/@moodtiaraaaaa" TargetMode="External"/><Relationship Id="rId454" Type="http://schemas.openxmlformats.org/officeDocument/2006/relationships/hyperlink" Target="https://vt.tiktok.com/ZSHGtwyqC/" TargetMode="External"/><Relationship Id="rId575" Type="http://schemas.openxmlformats.org/officeDocument/2006/relationships/hyperlink" Target="https://www.tiktok.com/@vansswan" TargetMode="External"/><Relationship Id="rId211" Type="http://schemas.openxmlformats.org/officeDocument/2006/relationships/hyperlink" Target="https://vt.tiktok.com/ZSuWUkT7S/" TargetMode="External"/><Relationship Id="rId332" Type="http://schemas.openxmlformats.org/officeDocument/2006/relationships/hyperlink" Target="https://vt.tiktok.com/ZSxr6vghj/" TargetMode="External"/><Relationship Id="rId453" Type="http://schemas.openxmlformats.org/officeDocument/2006/relationships/hyperlink" Target="https://www.tiktok.com/@liansseptiana" TargetMode="External"/><Relationship Id="rId574" Type="http://schemas.openxmlformats.org/officeDocument/2006/relationships/hyperlink" Target="https://www.tiktok.com/@dewa_mua/video/7638450118013848853?is_from_webapp=1&amp;sender_device=pc" TargetMode="External"/><Relationship Id="rId210" Type="http://schemas.openxmlformats.org/officeDocument/2006/relationships/hyperlink" Target="https://www.tiktok.com/@daenapsyche" TargetMode="External"/><Relationship Id="rId331" Type="http://schemas.openxmlformats.org/officeDocument/2006/relationships/hyperlink" Target="https://vt.tiktok.com/ZS9712cU6/" TargetMode="External"/><Relationship Id="rId452" Type="http://schemas.openxmlformats.org/officeDocument/2006/relationships/hyperlink" Target="https://vt.tiktok.com/ZSHugE8Dw/" TargetMode="External"/><Relationship Id="rId573" Type="http://schemas.openxmlformats.org/officeDocument/2006/relationships/hyperlink" Target="https://vt.tiktok.com/ZS9G3QmkL/" TargetMode="External"/><Relationship Id="rId370" Type="http://schemas.openxmlformats.org/officeDocument/2006/relationships/hyperlink" Target="https://www.tiktok.com/@mamanyabashir/video/7625816229185424641?is_from_webapp=1&amp;sender_device=pc" TargetMode="External"/><Relationship Id="rId491" Type="http://schemas.openxmlformats.org/officeDocument/2006/relationships/hyperlink" Target="https://www.tiktok.com/@iirna710" TargetMode="External"/><Relationship Id="rId490" Type="http://schemas.openxmlformats.org/officeDocument/2006/relationships/hyperlink" Target="https://vt.tiktok.com/ZS9vpu7KQ/" TargetMode="External"/><Relationship Id="rId129" Type="http://schemas.openxmlformats.org/officeDocument/2006/relationships/hyperlink" Target="https://vt.tiktok.com/ZSmc4NxmX/" TargetMode="External"/><Relationship Id="rId128" Type="http://schemas.openxmlformats.org/officeDocument/2006/relationships/hyperlink" Target="https://www.tiktok.com/@iam._indah" TargetMode="External"/><Relationship Id="rId249" Type="http://schemas.openxmlformats.org/officeDocument/2006/relationships/hyperlink" Target="https://vt.tiktok.com/ZSue185Tf/" TargetMode="External"/><Relationship Id="rId127" Type="http://schemas.openxmlformats.org/officeDocument/2006/relationships/hyperlink" Target="https://vt.tiktok.com/ZSmwrbJEQ/" TargetMode="External"/><Relationship Id="rId248" Type="http://schemas.openxmlformats.org/officeDocument/2006/relationships/hyperlink" Target="https://www.tiktok.com/@nurnnyas" TargetMode="External"/><Relationship Id="rId369" Type="http://schemas.openxmlformats.org/officeDocument/2006/relationships/hyperlink" Target="https://www.tiktok.com/@mamanyabashir/video/7623347694324452624?is_from_webapp=1&amp;sender_device=pc" TargetMode="External"/><Relationship Id="rId126" Type="http://schemas.openxmlformats.org/officeDocument/2006/relationships/hyperlink" Target="https://vt.tiktok.com/ZSmwrtd9p/" TargetMode="External"/><Relationship Id="rId247" Type="http://schemas.openxmlformats.org/officeDocument/2006/relationships/hyperlink" Target="https://vt.tiktok.com/ZSHjjLEVy/" TargetMode="External"/><Relationship Id="rId368" Type="http://schemas.openxmlformats.org/officeDocument/2006/relationships/hyperlink" Target="https://www.tiktok.com/@mamanyabashir/video/7622115019253124353?is_from_webapp=1&amp;sender_device=pc" TargetMode="External"/><Relationship Id="rId489" Type="http://schemas.openxmlformats.org/officeDocument/2006/relationships/hyperlink" Target="https://www.tiktok.com/@beautystore.officia" TargetMode="External"/><Relationship Id="rId121" Type="http://schemas.openxmlformats.org/officeDocument/2006/relationships/hyperlink" Target="https://www.tiktok.com/@melani.makeup17" TargetMode="External"/><Relationship Id="rId242" Type="http://schemas.openxmlformats.org/officeDocument/2006/relationships/hyperlink" Target="https://vt.tiktok.com/ZSuH3PXSU/" TargetMode="External"/><Relationship Id="rId363" Type="http://schemas.openxmlformats.org/officeDocument/2006/relationships/hyperlink" Target="https://vt.tiktok.com/ZSHGXmwcA/" TargetMode="External"/><Relationship Id="rId484" Type="http://schemas.openxmlformats.org/officeDocument/2006/relationships/hyperlink" Target="https://www.tiktok.com/@milaaacahy14/video/7637548648561265928?is_from_webapp=1&amp;sender_device=pc" TargetMode="External"/><Relationship Id="rId120" Type="http://schemas.openxmlformats.org/officeDocument/2006/relationships/hyperlink" Target="https://vt.tiktok.com/ZSuoT3j4h/" TargetMode="External"/><Relationship Id="rId241" Type="http://schemas.openxmlformats.org/officeDocument/2006/relationships/hyperlink" Target="https://vt.tiktok.com/ZSuPbofSS/" TargetMode="External"/><Relationship Id="rId362" Type="http://schemas.openxmlformats.org/officeDocument/2006/relationships/hyperlink" Target="https://www.tiktok.com/@_ciaashop/video/7626065402933546261?is_from_webapp=1&amp;sender_device=pc" TargetMode="External"/><Relationship Id="rId483" Type="http://schemas.openxmlformats.org/officeDocument/2006/relationships/hyperlink" Target="https://www.tiktok.com/@milaaacahy14" TargetMode="External"/><Relationship Id="rId240" Type="http://schemas.openxmlformats.org/officeDocument/2006/relationships/hyperlink" Target="https://www.tiktok.com/@angelmatondang14" TargetMode="External"/><Relationship Id="rId361" Type="http://schemas.openxmlformats.org/officeDocument/2006/relationships/hyperlink" Target="https://www.tiktok.com/@_ciaashop" TargetMode="External"/><Relationship Id="rId482" Type="http://schemas.openxmlformats.org/officeDocument/2006/relationships/hyperlink" Target="https://vt.tiktok.com/ZS9bXw4yq/" TargetMode="External"/><Relationship Id="rId360" Type="http://schemas.openxmlformats.org/officeDocument/2006/relationships/hyperlink" Target="https://vt.tiktok.com/ZSuXkuk61/" TargetMode="External"/><Relationship Id="rId481" Type="http://schemas.openxmlformats.org/officeDocument/2006/relationships/hyperlink" Target="https://vt.tiktok.com/ZSHGQX6jk/" TargetMode="External"/><Relationship Id="rId125" Type="http://schemas.openxmlformats.org/officeDocument/2006/relationships/hyperlink" Target="https://vt.tiktok.com/ZSmwrYwM1/" TargetMode="External"/><Relationship Id="rId246" Type="http://schemas.openxmlformats.org/officeDocument/2006/relationships/hyperlink" Target="https://vt.tiktok.com/ZSHjj1ppC/" TargetMode="External"/><Relationship Id="rId367" Type="http://schemas.openxmlformats.org/officeDocument/2006/relationships/hyperlink" Target="https://www.tiktok.com/@mamanyabashir/video/7621054959554972945?is_from_webapp=1&amp;sender_device=pc" TargetMode="External"/><Relationship Id="rId488" Type="http://schemas.openxmlformats.org/officeDocument/2006/relationships/hyperlink" Target="https://www.tiktok.com/@racuntiktokarrahmi" TargetMode="External"/><Relationship Id="rId124" Type="http://schemas.openxmlformats.org/officeDocument/2006/relationships/hyperlink" Target="https://www.tiktok.com/@Racunversiaku" TargetMode="External"/><Relationship Id="rId245" Type="http://schemas.openxmlformats.org/officeDocument/2006/relationships/hyperlink" Target="https://vt.tiktok.com/ZSHjje1GM/" TargetMode="External"/><Relationship Id="rId366" Type="http://schemas.openxmlformats.org/officeDocument/2006/relationships/hyperlink" Target="https://www.tiktok.com/@mamanyabashir" TargetMode="External"/><Relationship Id="rId487" Type="http://schemas.openxmlformats.org/officeDocument/2006/relationships/hyperlink" Target="https://www.tiktok.com/@milaaacahy14/video/7640341744793570568?is_from_webapp=1&amp;sender_device=pc" TargetMode="External"/><Relationship Id="rId123" Type="http://schemas.openxmlformats.org/officeDocument/2006/relationships/hyperlink" Target="https://vt.tiktok.com/ZSudwBPk3/" TargetMode="External"/><Relationship Id="rId244" Type="http://schemas.openxmlformats.org/officeDocument/2006/relationships/hyperlink" Target="https://www.tiktok.com/@marizarizka_" TargetMode="External"/><Relationship Id="rId365" Type="http://schemas.openxmlformats.org/officeDocument/2006/relationships/hyperlink" Target="https://vt.tiktok.com/ZSHcmNPnP/" TargetMode="External"/><Relationship Id="rId486" Type="http://schemas.openxmlformats.org/officeDocument/2006/relationships/hyperlink" Target="https://www.tiktok.com/@milaaacahy14/video/7639467692759518471?is_from_webapp=1&amp;sender_device=pc" TargetMode="External"/><Relationship Id="rId122" Type="http://schemas.openxmlformats.org/officeDocument/2006/relationships/hyperlink" Target="https://vt.tiktok.com/ZSudT3Y1D/" TargetMode="External"/><Relationship Id="rId243" Type="http://schemas.openxmlformats.org/officeDocument/2006/relationships/hyperlink" Target="https://vt.tiktok.com/ZSHya5UYm/" TargetMode="External"/><Relationship Id="rId364" Type="http://schemas.openxmlformats.org/officeDocument/2006/relationships/hyperlink" Target="https://vt.tiktok.com/ZSHcmJAsQ/" TargetMode="External"/><Relationship Id="rId485" Type="http://schemas.openxmlformats.org/officeDocument/2006/relationships/hyperlink" Target="https://www.tiktok.com/@milaaacahy14/video/7637711695170833682?is_from_webapp=1&amp;sender_device=pc" TargetMode="External"/><Relationship Id="rId95" Type="http://schemas.openxmlformats.org/officeDocument/2006/relationships/hyperlink" Target="https://www.tiktok.com/@liayulianti1278" TargetMode="External"/><Relationship Id="rId94" Type="http://schemas.openxmlformats.org/officeDocument/2006/relationships/hyperlink" Target="https://vt.tiktok.com/ZSujPV9WN/" TargetMode="External"/><Relationship Id="rId97" Type="http://schemas.openxmlformats.org/officeDocument/2006/relationships/hyperlink" Target="https://vt.tiktok.com/ZSujshw1p/" TargetMode="External"/><Relationship Id="rId96" Type="http://schemas.openxmlformats.org/officeDocument/2006/relationships/hyperlink" Target="https://vt.tiktok.com/ZSuJbfBHm/" TargetMode="External"/><Relationship Id="rId99" Type="http://schemas.openxmlformats.org/officeDocument/2006/relationships/hyperlink" Target="https://vt.tiktok.com/ZSuHm969x/" TargetMode="External"/><Relationship Id="rId480" Type="http://schemas.openxmlformats.org/officeDocument/2006/relationships/hyperlink" Target="https://www.tiktok.com/@bellapurnama" TargetMode="External"/><Relationship Id="rId98" Type="http://schemas.openxmlformats.org/officeDocument/2006/relationships/hyperlink" Target="https://vt.tiktok.com/ZSuHmGeFP/" TargetMode="External"/><Relationship Id="rId91" Type="http://schemas.openxmlformats.org/officeDocument/2006/relationships/hyperlink" Target="https://vt.tiktok.com/ZSuru3Bq6/" TargetMode="External"/><Relationship Id="rId90" Type="http://schemas.openxmlformats.org/officeDocument/2006/relationships/hyperlink" Target="https://www.tiktok.com/@randomtrn" TargetMode="External"/><Relationship Id="rId93" Type="http://schemas.openxmlformats.org/officeDocument/2006/relationships/hyperlink" Target="https://www.tiktok.com/@mardi_yanti" TargetMode="External"/><Relationship Id="rId92" Type="http://schemas.openxmlformats.org/officeDocument/2006/relationships/hyperlink" Target="https://vt.tiktok.com/ZSuH19RDH/" TargetMode="External"/><Relationship Id="rId118" Type="http://schemas.openxmlformats.org/officeDocument/2006/relationships/hyperlink" Target="https://vt.tiktok.com/ZSu91TDUR/" TargetMode="External"/><Relationship Id="rId239" Type="http://schemas.openxmlformats.org/officeDocument/2006/relationships/hyperlink" Target="https://vt.tiktok.com/ZS9A9taNf/" TargetMode="External"/><Relationship Id="rId117" Type="http://schemas.openxmlformats.org/officeDocument/2006/relationships/hyperlink" Target="https://www.tiktok.com/@Prettygirls.www" TargetMode="External"/><Relationship Id="rId238" Type="http://schemas.openxmlformats.org/officeDocument/2006/relationships/hyperlink" Target="https://www.tiktok.com/@friskafrl/video/7628437089280904468?is_from_webapp=1&amp;sender_device=pc" TargetMode="External"/><Relationship Id="rId359" Type="http://schemas.openxmlformats.org/officeDocument/2006/relationships/hyperlink" Target="https://vt.tiktok.com/ZSumSk6GT/" TargetMode="External"/><Relationship Id="rId116" Type="http://schemas.openxmlformats.org/officeDocument/2006/relationships/hyperlink" Target="https://vt.tiktok.com/ZSHjYWXCt/" TargetMode="External"/><Relationship Id="rId237" Type="http://schemas.openxmlformats.org/officeDocument/2006/relationships/hyperlink" Target="https://vt.tiktok.com/ZSHPABF1c/" TargetMode="External"/><Relationship Id="rId358" Type="http://schemas.openxmlformats.org/officeDocument/2006/relationships/hyperlink" Target="https://vt.tiktok.com/ZSuh2EgKy/" TargetMode="External"/><Relationship Id="rId479" Type="http://schemas.openxmlformats.org/officeDocument/2006/relationships/hyperlink" Target="https://www.tiktok.com/@akunkeduaema_" TargetMode="External"/><Relationship Id="rId115" Type="http://schemas.openxmlformats.org/officeDocument/2006/relationships/hyperlink" Target="https://vt.tiktok.com/ZSH2Vs1bq/" TargetMode="External"/><Relationship Id="rId236" Type="http://schemas.openxmlformats.org/officeDocument/2006/relationships/hyperlink" Target="https://www.tiktok.com/@Friskafrl" TargetMode="External"/><Relationship Id="rId357" Type="http://schemas.openxmlformats.org/officeDocument/2006/relationships/hyperlink" Target="https://vt.tiktok.com/ZSuekr7nh/" TargetMode="External"/><Relationship Id="rId478" Type="http://schemas.openxmlformats.org/officeDocument/2006/relationships/hyperlink" Target="https://www.tiktok.com/@bycitraariella" TargetMode="External"/><Relationship Id="rId599" Type="http://schemas.openxmlformats.org/officeDocument/2006/relationships/hyperlink" Target="https://www.tiktok.com/@rikhalaila" TargetMode="External"/><Relationship Id="rId119" Type="http://schemas.openxmlformats.org/officeDocument/2006/relationships/hyperlink" Target="https://vt.tiktok.com/ZSuoTGBpw/" TargetMode="External"/><Relationship Id="rId110" Type="http://schemas.openxmlformats.org/officeDocument/2006/relationships/hyperlink" Target="https://vt.tiktok.com/ZSuw6HqHa/" TargetMode="External"/><Relationship Id="rId231" Type="http://schemas.openxmlformats.org/officeDocument/2006/relationships/hyperlink" Target="https://vt.tiktok.com/ZSuB63gRG/" TargetMode="External"/><Relationship Id="rId352" Type="http://schemas.openxmlformats.org/officeDocument/2006/relationships/hyperlink" Target="https://www.tiktok.com/@bywday/video/7613606638896958738?is_from_webapp=1&amp;sender_device=pc" TargetMode="External"/><Relationship Id="rId473" Type="http://schemas.openxmlformats.org/officeDocument/2006/relationships/hyperlink" Target="https://vt.tiktok.com/ZSxU8HX5F/" TargetMode="External"/><Relationship Id="rId594" Type="http://schemas.openxmlformats.org/officeDocument/2006/relationships/hyperlink" Target="https://www.tiktok.com/@yuni_atus" TargetMode="External"/><Relationship Id="rId230" Type="http://schemas.openxmlformats.org/officeDocument/2006/relationships/hyperlink" Target="https://vt.tiktok.com/ZSue6W1N1/" TargetMode="External"/><Relationship Id="rId351" Type="http://schemas.openxmlformats.org/officeDocument/2006/relationships/hyperlink" Target="https://www.tiktok.com/@bywday" TargetMode="External"/><Relationship Id="rId472" Type="http://schemas.openxmlformats.org/officeDocument/2006/relationships/hyperlink" Target="https://www.tiktok.com/@reginamaliaa" TargetMode="External"/><Relationship Id="rId593" Type="http://schemas.openxmlformats.org/officeDocument/2006/relationships/hyperlink" Target="https://www.tiktok.com/@rikayunitadamayanti" TargetMode="External"/><Relationship Id="rId350" Type="http://schemas.openxmlformats.org/officeDocument/2006/relationships/hyperlink" Target="https://vt.tiktok.com/ZSurXphQE/" TargetMode="External"/><Relationship Id="rId471" Type="http://schemas.openxmlformats.org/officeDocument/2006/relationships/hyperlink" Target="https://vt.tiktok.com/ZS9Gc1F4m/" TargetMode="External"/><Relationship Id="rId592" Type="http://schemas.openxmlformats.org/officeDocument/2006/relationships/hyperlink" Target="https://vt.tiktok.com/ZSxU21ueb/" TargetMode="External"/><Relationship Id="rId470" Type="http://schemas.openxmlformats.org/officeDocument/2006/relationships/hyperlink" Target="https://vt.tiktok.com/ZS9hqwqHF/" TargetMode="External"/><Relationship Id="rId591" Type="http://schemas.openxmlformats.org/officeDocument/2006/relationships/hyperlink" Target="https://vt.tiktok.com/ZSxM7ae4R/" TargetMode="External"/><Relationship Id="rId114" Type="http://schemas.openxmlformats.org/officeDocument/2006/relationships/hyperlink" Target="https://vt.tiktok.com/ZSuToAnvF/" TargetMode="External"/><Relationship Id="rId235" Type="http://schemas.openxmlformats.org/officeDocument/2006/relationships/hyperlink" Target="https://vt.tiktok.com/ZSHXksFgw/" TargetMode="External"/><Relationship Id="rId356" Type="http://schemas.openxmlformats.org/officeDocument/2006/relationships/hyperlink" Target="https://www.tiktok.com/@nirzabalqis_" TargetMode="External"/><Relationship Id="rId477" Type="http://schemas.openxmlformats.org/officeDocument/2006/relationships/hyperlink" Target="https://vt.tiktok.com/ZSxULrm8k/" TargetMode="External"/><Relationship Id="rId598" Type="http://schemas.openxmlformats.org/officeDocument/2006/relationships/hyperlink" Target="https://www.tiktok.com/@joys.co" TargetMode="External"/><Relationship Id="rId113" Type="http://schemas.openxmlformats.org/officeDocument/2006/relationships/hyperlink" Target="https://www.tiktok.com/@queenhannisss" TargetMode="External"/><Relationship Id="rId234" Type="http://schemas.openxmlformats.org/officeDocument/2006/relationships/hyperlink" Target="https://vt.tiktok.com/ZSHXBRbCM/" TargetMode="External"/><Relationship Id="rId355" Type="http://schemas.openxmlformats.org/officeDocument/2006/relationships/hyperlink" Target="https://www.tiktok.com/@bywday/video/7614009064942570760?is_from_webapp=1&amp;sender_device=pc" TargetMode="External"/><Relationship Id="rId476" Type="http://schemas.openxmlformats.org/officeDocument/2006/relationships/hyperlink" Target="https://vt.tiktok.com/ZS9JXegxt/" TargetMode="External"/><Relationship Id="rId597" Type="http://schemas.openxmlformats.org/officeDocument/2006/relationships/hyperlink" Target="http://joys.co" TargetMode="External"/><Relationship Id="rId112" Type="http://schemas.openxmlformats.org/officeDocument/2006/relationships/hyperlink" Target="https://vt.tiktok.com/ZSHHrPA5c/" TargetMode="External"/><Relationship Id="rId233" Type="http://schemas.openxmlformats.org/officeDocument/2006/relationships/hyperlink" Target="https://www.tiktok.com/@thnlykai" TargetMode="External"/><Relationship Id="rId354" Type="http://schemas.openxmlformats.org/officeDocument/2006/relationships/hyperlink" Target="https://vt.tiktok.com/ZSuRTq6kB/" TargetMode="External"/><Relationship Id="rId475" Type="http://schemas.openxmlformats.org/officeDocument/2006/relationships/hyperlink" Target="https://www.tiktok.com/@naylanayla_yh1" TargetMode="External"/><Relationship Id="rId596" Type="http://schemas.openxmlformats.org/officeDocument/2006/relationships/hyperlink" Target="https://www.tiktok.com/@lagistasenja17" TargetMode="External"/><Relationship Id="rId111" Type="http://schemas.openxmlformats.org/officeDocument/2006/relationships/hyperlink" Target="https://vt.tiktok.com/ZSHPTHLQP/" TargetMode="External"/><Relationship Id="rId232" Type="http://schemas.openxmlformats.org/officeDocument/2006/relationships/hyperlink" Target="https://www.tiktok.com/@bucinskincare_2" TargetMode="External"/><Relationship Id="rId353" Type="http://schemas.openxmlformats.org/officeDocument/2006/relationships/hyperlink" Target="https://www.tiktok.com/@bywday/video/7613631011422817544?is_from_webapp=1&amp;sender_device=pc" TargetMode="External"/><Relationship Id="rId474" Type="http://schemas.openxmlformats.org/officeDocument/2006/relationships/hyperlink" Target="https://vt.tiktok.com/ZSxU8qaNt/" TargetMode="External"/><Relationship Id="rId595" Type="http://schemas.openxmlformats.org/officeDocument/2006/relationships/hyperlink" Target="https://www.tiktok.com/@yullyan_yl" TargetMode="External"/><Relationship Id="rId305" Type="http://schemas.openxmlformats.org/officeDocument/2006/relationships/hyperlink" Target="https://vt.tiktok.com/ZSuyGujnB/" TargetMode="External"/><Relationship Id="rId426" Type="http://schemas.openxmlformats.org/officeDocument/2006/relationships/hyperlink" Target="https://vt.tiktok.com/ZSHbFJDE1/" TargetMode="External"/><Relationship Id="rId547" Type="http://schemas.openxmlformats.org/officeDocument/2006/relationships/hyperlink" Target="https://vt.tiktok.com/ZS9CNe6PU/" TargetMode="External"/><Relationship Id="rId304" Type="http://schemas.openxmlformats.org/officeDocument/2006/relationships/hyperlink" Target="https://vt.tiktok.com/ZSuysnKSe/" TargetMode="External"/><Relationship Id="rId425" Type="http://schemas.openxmlformats.org/officeDocument/2006/relationships/hyperlink" Target="https://www.tiktok.com/@beningtyasw" TargetMode="External"/><Relationship Id="rId546" Type="http://schemas.openxmlformats.org/officeDocument/2006/relationships/hyperlink" Target="https://vt.tiktok.com/ZS9AhUc3e/" TargetMode="External"/><Relationship Id="rId303" Type="http://schemas.openxmlformats.org/officeDocument/2006/relationships/hyperlink" Target="https://www.tiktok.com/@okiethamrin98/video/7614788525938035988?is_from_webapp=1&amp;sender_device=pc" TargetMode="External"/><Relationship Id="rId424" Type="http://schemas.openxmlformats.org/officeDocument/2006/relationships/hyperlink" Target="https://vt.tiktok.com/ZSHcjBgRG/" TargetMode="External"/><Relationship Id="rId545" Type="http://schemas.openxmlformats.org/officeDocument/2006/relationships/hyperlink" Target="https://www.tiktok.com/@rsmaw31" TargetMode="External"/><Relationship Id="rId302" Type="http://schemas.openxmlformats.org/officeDocument/2006/relationships/hyperlink" Target="https://www.tiktok.com/@Okiethamrin98" TargetMode="External"/><Relationship Id="rId423" Type="http://schemas.openxmlformats.org/officeDocument/2006/relationships/hyperlink" Target="https://vt.tiktok.com/ZSHcjxnBv/" TargetMode="External"/><Relationship Id="rId544" Type="http://schemas.openxmlformats.org/officeDocument/2006/relationships/hyperlink" Target="https://www.tiktok.com/@apriliakartiningsih/video/7641915517455977749?_r=1&amp;u_code=dbj2mk1a1gf5gh&amp;region=&amp;mid=7629634610690886401&amp;preview_pb=0&amp;sharer_language=&amp;_d=0&amp;ec_shared_reflux_dynamic_params=%7B%22placeholder_material_id%22%3A%227641915517455977749%22%2C%22placeholder_origin_cover%22%3A%22https%253A%252F%252Fp16-common-sign.tiktokcdn.com%252Ftos-alisg-p-0037%252FoY4CGOMAwxeGGnR1CLoj2veMIjDLbEIUAQSQof~tplv-tiktokx-origin.jpeg%253Fdr%253D14572%2526refresh_token%253D60fce7de%2526x-expires%253D1811574000%2526x-signature%253D8LDs3EglDXYPWpLlk%25252FSvDCB6By4%25253D%2526t%253D4d5b0474%2526ps%253D13740610%2526shp%253Dd05b14bd%2526shcp%253D34ff8df6%2526idc%253Dmy%2526s%253DTIKTOK_AFFILIATE_VIRAL_VIDEO%22%2C%22placeholder_product_id%22%3A%221729921275998997399%22%2C%22placeholder_video_id%22%3A%227641915517455977749%22%7D&amp;ec_shared_reflux_scene=shop_tab_feed&amp;share_item_id=7641915517455977749&amp;source=h5_t" TargetMode="External"/><Relationship Id="rId309" Type="http://schemas.openxmlformats.org/officeDocument/2006/relationships/hyperlink" Target="https://vt.tiktok.com/ZSuAuh8Wc/" TargetMode="External"/><Relationship Id="rId308" Type="http://schemas.openxmlformats.org/officeDocument/2006/relationships/hyperlink" Target="https://vt.tiktok.com/ZSuAmwM7b/" TargetMode="External"/><Relationship Id="rId429" Type="http://schemas.openxmlformats.org/officeDocument/2006/relationships/hyperlink" Target="https://vt.tiktok.com/ZSH97Tbm5/" TargetMode="External"/><Relationship Id="rId307" Type="http://schemas.openxmlformats.org/officeDocument/2006/relationships/hyperlink" Target="https://www.tiktok.com/@woomentum" TargetMode="External"/><Relationship Id="rId428" Type="http://schemas.openxmlformats.org/officeDocument/2006/relationships/hyperlink" Target="https://www.tiktok.com/@malanafisaa" TargetMode="External"/><Relationship Id="rId549" Type="http://schemas.openxmlformats.org/officeDocument/2006/relationships/hyperlink" Target="https://www.tiktok.com/@hanisasarah18" TargetMode="External"/><Relationship Id="rId306" Type="http://schemas.openxmlformats.org/officeDocument/2006/relationships/hyperlink" Target="https://vt.tiktok.com/ZSH82XwWX/" TargetMode="External"/><Relationship Id="rId427" Type="http://schemas.openxmlformats.org/officeDocument/2006/relationships/hyperlink" Target="https://vt.tiktok.com/ZSHbF6hnW/" TargetMode="External"/><Relationship Id="rId548" Type="http://schemas.openxmlformats.org/officeDocument/2006/relationships/hyperlink" Target="https://vt.tiktok.com/ZS9sdSQyY/" TargetMode="External"/><Relationship Id="rId301" Type="http://schemas.openxmlformats.org/officeDocument/2006/relationships/hyperlink" Target="https://vt.tiktok.com/ZSuyFt7qJ/" TargetMode="External"/><Relationship Id="rId422" Type="http://schemas.openxmlformats.org/officeDocument/2006/relationships/hyperlink" Target="https://vt.tiktok.com/ZSHcjayMG/" TargetMode="External"/><Relationship Id="rId543" Type="http://schemas.openxmlformats.org/officeDocument/2006/relationships/hyperlink" Target="https://vt.tiktok.com/ZS9tQcuVY/" TargetMode="External"/><Relationship Id="rId300" Type="http://schemas.openxmlformats.org/officeDocument/2006/relationships/hyperlink" Target="https://vt.tiktok.com/ZSuheHHwL/" TargetMode="External"/><Relationship Id="rId421" Type="http://schemas.openxmlformats.org/officeDocument/2006/relationships/hyperlink" Target="https://www.tiktok.com/@lyaliiaaa" TargetMode="External"/><Relationship Id="rId542" Type="http://schemas.openxmlformats.org/officeDocument/2006/relationships/hyperlink" Target="https://vt.tiktok.com/ZS9maGdx6/" TargetMode="External"/><Relationship Id="rId420" Type="http://schemas.openxmlformats.org/officeDocument/2006/relationships/hyperlink" Target="https://vt.tiktok.com/ZS9tb5C8U/" TargetMode="External"/><Relationship Id="rId541" Type="http://schemas.openxmlformats.org/officeDocument/2006/relationships/hyperlink" Target="https://www.tiktok.com/@apriliakartiningsih" TargetMode="External"/><Relationship Id="rId540" Type="http://schemas.openxmlformats.org/officeDocument/2006/relationships/hyperlink" Target="https://vt.tiktok.com/ZS9T8vr12/" TargetMode="External"/><Relationship Id="rId415" Type="http://schemas.openxmlformats.org/officeDocument/2006/relationships/hyperlink" Target="https://www.tiktok.com/@pipittindah_" TargetMode="External"/><Relationship Id="rId536" Type="http://schemas.openxmlformats.org/officeDocument/2006/relationships/hyperlink" Target="https://www.tiktok.com/@ifha_raisya" TargetMode="External"/><Relationship Id="rId414" Type="http://schemas.openxmlformats.org/officeDocument/2006/relationships/hyperlink" Target="https://vt.tiktok.com/ZSHXDL6kL/" TargetMode="External"/><Relationship Id="rId535" Type="http://schemas.openxmlformats.org/officeDocument/2006/relationships/hyperlink" Target="https://vt.tiktok.com/ZSxhK4Qth/" TargetMode="External"/><Relationship Id="rId413" Type="http://schemas.openxmlformats.org/officeDocument/2006/relationships/hyperlink" Target="https://vt.tiktok.com/ZSHuWoxSn/" TargetMode="External"/><Relationship Id="rId534" Type="http://schemas.openxmlformats.org/officeDocument/2006/relationships/hyperlink" Target="https://www.tiktok.com/@ferrennabila" TargetMode="External"/><Relationship Id="rId412" Type="http://schemas.openxmlformats.org/officeDocument/2006/relationships/hyperlink" Target="https://vt.tiktok.com/ZSHyd4Mt9/" TargetMode="External"/><Relationship Id="rId533" Type="http://schemas.openxmlformats.org/officeDocument/2006/relationships/hyperlink" Target="https://vt.tiktok.com/ZS9XWQ95N/" TargetMode="External"/><Relationship Id="rId419" Type="http://schemas.openxmlformats.org/officeDocument/2006/relationships/hyperlink" Target="https://vt.tiktok.com/ZS9tb6mg1/" TargetMode="External"/><Relationship Id="rId418" Type="http://schemas.openxmlformats.org/officeDocument/2006/relationships/hyperlink" Target="https://www.tiktok.com/@itsditul" TargetMode="External"/><Relationship Id="rId539" Type="http://schemas.openxmlformats.org/officeDocument/2006/relationships/hyperlink" Target="https://vt.tiktok.com/ZS9phdgSS/" TargetMode="External"/><Relationship Id="rId417" Type="http://schemas.openxmlformats.org/officeDocument/2006/relationships/hyperlink" Target="https://vt.tiktok.com/ZSHpCCCq5/" TargetMode="External"/><Relationship Id="rId538" Type="http://schemas.openxmlformats.org/officeDocument/2006/relationships/hyperlink" Target="https://vt.tiktok.com/ZS9qrVbEc/" TargetMode="External"/><Relationship Id="rId416" Type="http://schemas.openxmlformats.org/officeDocument/2006/relationships/hyperlink" Target="https://vt.tiktok.com/ZSHqK2dKE/" TargetMode="External"/><Relationship Id="rId537" Type="http://schemas.openxmlformats.org/officeDocument/2006/relationships/hyperlink" Target="https://www.tiktok.com/@urchocobite" TargetMode="External"/><Relationship Id="rId411" Type="http://schemas.openxmlformats.org/officeDocument/2006/relationships/hyperlink" Target="https://vt.tiktok.com/ZSHB7mTpn/" TargetMode="External"/><Relationship Id="rId532" Type="http://schemas.openxmlformats.org/officeDocument/2006/relationships/hyperlink" Target="https://vt.tiktok.com/ZS9XWCPqo/" TargetMode="External"/><Relationship Id="rId410" Type="http://schemas.openxmlformats.org/officeDocument/2006/relationships/hyperlink" Target="https://www.tiktok.com/@shiintamiifta" TargetMode="External"/><Relationship Id="rId531" Type="http://schemas.openxmlformats.org/officeDocument/2006/relationships/hyperlink" Target="https://vt.tiktok.com/ZS9XWu9f7/" TargetMode="External"/><Relationship Id="rId530" Type="http://schemas.openxmlformats.org/officeDocument/2006/relationships/hyperlink" Target="https://www.tiktok.com/@ayuni_can" TargetMode="External"/><Relationship Id="rId206" Type="http://schemas.openxmlformats.org/officeDocument/2006/relationships/hyperlink" Target="https://vt.tiktok.com/ZSuhdQjY2/" TargetMode="External"/><Relationship Id="rId327" Type="http://schemas.openxmlformats.org/officeDocument/2006/relationships/hyperlink" Target="https://www.tiktok.com/@kakaklin_/video/7627014290872028424?is_from_webapp=1&amp;sender_device=pc" TargetMode="External"/><Relationship Id="rId448" Type="http://schemas.openxmlformats.org/officeDocument/2006/relationships/hyperlink" Target="https://vt.tiktok.com/ZSHyr3n56/" TargetMode="External"/><Relationship Id="rId569" Type="http://schemas.openxmlformats.org/officeDocument/2006/relationships/hyperlink" Target="https://www.tiktok.com/@fentina5502/video/7639711021212519688?is_from_webapp=1&amp;sender_device=pc" TargetMode="External"/><Relationship Id="rId205" Type="http://schemas.openxmlformats.org/officeDocument/2006/relationships/hyperlink" Target="https://vt.tiktok.com/ZSmKypNxQ/" TargetMode="External"/><Relationship Id="rId326" Type="http://schemas.openxmlformats.org/officeDocument/2006/relationships/hyperlink" Target="https://www.tiktok.com/@kakaklin_/video/7626733123480358152?is_from_webapp=1&amp;sender_device=pc" TargetMode="External"/><Relationship Id="rId447" Type="http://schemas.openxmlformats.org/officeDocument/2006/relationships/hyperlink" Target="https://www.tiktok.com/@tiktokshopp017" TargetMode="External"/><Relationship Id="rId568" Type="http://schemas.openxmlformats.org/officeDocument/2006/relationships/hyperlink" Target="https://www.tiktok.com/@fentina5502/video/7639710920234585362?is_from_webapp=1&amp;sender_device=pc" TargetMode="External"/><Relationship Id="rId204" Type="http://schemas.openxmlformats.org/officeDocument/2006/relationships/hyperlink" Target="https://www.tiktok.com/@chae.caaa" TargetMode="External"/><Relationship Id="rId325" Type="http://schemas.openxmlformats.org/officeDocument/2006/relationships/hyperlink" Target="https://www.tiktok.com/@kakaklin_" TargetMode="External"/><Relationship Id="rId446" Type="http://schemas.openxmlformats.org/officeDocument/2006/relationships/hyperlink" Target="https://vt.tiktok.com/ZSHxRGYL4/" TargetMode="External"/><Relationship Id="rId567" Type="http://schemas.openxmlformats.org/officeDocument/2006/relationships/hyperlink" Target="https://www.tiktok.com/@fentina5502/video/7639711100816166151?is_from_webapp=1&amp;sender_device=pc" TargetMode="External"/><Relationship Id="rId203" Type="http://schemas.openxmlformats.org/officeDocument/2006/relationships/hyperlink" Target="https://vt.tiktok.com/ZSHnxUfg9/" TargetMode="External"/><Relationship Id="rId324" Type="http://schemas.openxmlformats.org/officeDocument/2006/relationships/hyperlink" Target="https://vt.tiktok.com/ZSutNHgbP/" TargetMode="External"/><Relationship Id="rId445" Type="http://schemas.openxmlformats.org/officeDocument/2006/relationships/hyperlink" Target="https://www.tiktok.com/@syahvitridewi" TargetMode="External"/><Relationship Id="rId566" Type="http://schemas.openxmlformats.org/officeDocument/2006/relationships/hyperlink" Target="https://www.tiktok.com/@fentina5502" TargetMode="External"/><Relationship Id="rId209" Type="http://schemas.openxmlformats.org/officeDocument/2006/relationships/hyperlink" Target="https://vt.tiktok.com/ZS9J5SyQd/" TargetMode="External"/><Relationship Id="rId208" Type="http://schemas.openxmlformats.org/officeDocument/2006/relationships/hyperlink" Target="https://vt.tiktok.com/ZSmEo19rP/" TargetMode="External"/><Relationship Id="rId329" Type="http://schemas.openxmlformats.org/officeDocument/2006/relationships/hyperlink" Target="https://www.tiktok.com/@racuntiktok426" TargetMode="External"/><Relationship Id="rId207" Type="http://schemas.openxmlformats.org/officeDocument/2006/relationships/hyperlink" Target="https://www.tiktok.com/@dewidewor_20" TargetMode="External"/><Relationship Id="rId328" Type="http://schemas.openxmlformats.org/officeDocument/2006/relationships/hyperlink" Target="https://www.tiktok.com/@kakaklin_/video/7627438886549064967?is_from_webapp=1&amp;sender_device=pc" TargetMode="External"/><Relationship Id="rId449" Type="http://schemas.openxmlformats.org/officeDocument/2006/relationships/hyperlink" Target="https://vt.tiktok.com/ZSHbsjhuL/" TargetMode="External"/><Relationship Id="rId440" Type="http://schemas.openxmlformats.org/officeDocument/2006/relationships/hyperlink" Target="https://vt.tiktok.com/ZS9hgYAUC/" TargetMode="External"/><Relationship Id="rId561" Type="http://schemas.openxmlformats.org/officeDocument/2006/relationships/hyperlink" Target="https://vt.tiktok.com/ZS9nUaBHD/" TargetMode="External"/><Relationship Id="rId560" Type="http://schemas.openxmlformats.org/officeDocument/2006/relationships/hyperlink" Target="https://vt.tiktok.com/ZS9GSHmGb/" TargetMode="External"/><Relationship Id="rId202" Type="http://schemas.openxmlformats.org/officeDocument/2006/relationships/hyperlink" Target="https://www.tiktok.com/@harumpertiwi12" TargetMode="External"/><Relationship Id="rId323" Type="http://schemas.openxmlformats.org/officeDocument/2006/relationships/hyperlink" Target="https://vt.tiktok.com/ZSutNXH3r/" TargetMode="External"/><Relationship Id="rId444" Type="http://schemas.openxmlformats.org/officeDocument/2006/relationships/hyperlink" Target="https://vt.tiktok.com/ZS9jjaJjC/" TargetMode="External"/><Relationship Id="rId565" Type="http://schemas.openxmlformats.org/officeDocument/2006/relationships/hyperlink" Target="https://www.tiktok.com/@alviradevikaa/video/7638140824487808274?is_from_webapp=1&amp;sender_device=pc" TargetMode="External"/><Relationship Id="rId201" Type="http://schemas.openxmlformats.org/officeDocument/2006/relationships/hyperlink" Target="https://vt.tiktok.com/ZSHj2Sxtx/" TargetMode="External"/><Relationship Id="rId322" Type="http://schemas.openxmlformats.org/officeDocument/2006/relationships/hyperlink" Target="https://vt.tiktok.com/ZSutN1c5c/" TargetMode="External"/><Relationship Id="rId443" Type="http://schemas.openxmlformats.org/officeDocument/2006/relationships/hyperlink" Target="https://www.tiktok.com/@panggilhanny/video/7624363744965020936?is_from_webapp=1&amp;sender_device=pc" TargetMode="External"/><Relationship Id="rId564" Type="http://schemas.openxmlformats.org/officeDocument/2006/relationships/hyperlink" Target="https://vt.tiktok.com/ZS9WfyBj7/" TargetMode="External"/><Relationship Id="rId200" Type="http://schemas.openxmlformats.org/officeDocument/2006/relationships/hyperlink" Target="https://vt.tiktok.com/ZSuJXBxsF/" TargetMode="External"/><Relationship Id="rId321" Type="http://schemas.openxmlformats.org/officeDocument/2006/relationships/hyperlink" Target="https://www.tiktok.com/@Spallspill.sonia" TargetMode="External"/><Relationship Id="rId442" Type="http://schemas.openxmlformats.org/officeDocument/2006/relationships/hyperlink" Target="https://www.tiktok.com/@panggilhanny/video/7623715048334069010?is_from_webapp=1&amp;sender_device=pc" TargetMode="External"/><Relationship Id="rId563" Type="http://schemas.openxmlformats.org/officeDocument/2006/relationships/hyperlink" Target="https://www.tiktok.com/@alviradevikaa" TargetMode="External"/><Relationship Id="rId320" Type="http://schemas.openxmlformats.org/officeDocument/2006/relationships/hyperlink" Target="https://vt.tiktok.com/ZSuj48WJo/" TargetMode="External"/><Relationship Id="rId441" Type="http://schemas.openxmlformats.org/officeDocument/2006/relationships/hyperlink" Target="https://www.tiktok.com/@panggilhanny" TargetMode="External"/><Relationship Id="rId562" Type="http://schemas.openxmlformats.org/officeDocument/2006/relationships/hyperlink" Target="https://vt.tiktok.com/ZS9v2o195/" TargetMode="External"/><Relationship Id="rId316" Type="http://schemas.openxmlformats.org/officeDocument/2006/relationships/hyperlink" Target="https://www.tiktok.com/@meloveminee" TargetMode="External"/><Relationship Id="rId437" Type="http://schemas.openxmlformats.org/officeDocument/2006/relationships/hyperlink" Target="https://vt.tiktok.com/ZS9edWnHA/" TargetMode="External"/><Relationship Id="rId558" Type="http://schemas.openxmlformats.org/officeDocument/2006/relationships/hyperlink" Target="https://vt.tiktok.com/ZSxMFBbrW/" TargetMode="External"/><Relationship Id="rId315" Type="http://schemas.openxmlformats.org/officeDocument/2006/relationships/hyperlink" Target="https://www.tiktok.com/@hellomayaa_" TargetMode="External"/><Relationship Id="rId436" Type="http://schemas.openxmlformats.org/officeDocument/2006/relationships/hyperlink" Target="https://www.tiktok.com/@mell.nt" TargetMode="External"/><Relationship Id="rId557" Type="http://schemas.openxmlformats.org/officeDocument/2006/relationships/hyperlink" Target="https://vt.tiktok.com/ZSxMFg7Rs/" TargetMode="External"/><Relationship Id="rId314" Type="http://schemas.openxmlformats.org/officeDocument/2006/relationships/hyperlink" Target="https://vt.tiktok.com/ZSuUv7Eug/" TargetMode="External"/><Relationship Id="rId435" Type="http://schemas.openxmlformats.org/officeDocument/2006/relationships/hyperlink" Target="https://www.tiktok.com/@bettertogoo" TargetMode="External"/><Relationship Id="rId556" Type="http://schemas.openxmlformats.org/officeDocument/2006/relationships/hyperlink" Target="https://vt.tiktok.com/ZSxMFC28n/" TargetMode="External"/><Relationship Id="rId313" Type="http://schemas.openxmlformats.org/officeDocument/2006/relationships/hyperlink" Target="https://vt.tiktok.com/ZSur5gT9H/" TargetMode="External"/><Relationship Id="rId434" Type="http://schemas.openxmlformats.org/officeDocument/2006/relationships/hyperlink" Target="https://www.tiktok.com/@niarahmania25/video/7624408263026625812?is_from_webapp=1&amp;sender_device=pc" TargetMode="External"/><Relationship Id="rId555" Type="http://schemas.openxmlformats.org/officeDocument/2006/relationships/hyperlink" Target="https://www.tiktok.com/@vaniaahmad101" TargetMode="External"/><Relationship Id="rId319" Type="http://schemas.openxmlformats.org/officeDocument/2006/relationships/hyperlink" Target="https://vt.tiktok.com/ZSujXKGsk/" TargetMode="External"/><Relationship Id="rId318" Type="http://schemas.openxmlformats.org/officeDocument/2006/relationships/hyperlink" Target="https://www.tiktok.com/@meloveminee/video/7613607322086067476?is_from_webapp=1&amp;sender_device=pc" TargetMode="External"/><Relationship Id="rId439" Type="http://schemas.openxmlformats.org/officeDocument/2006/relationships/hyperlink" Target="https://vt.tiktok.com/ZSHqEknWG/" TargetMode="External"/><Relationship Id="rId317" Type="http://schemas.openxmlformats.org/officeDocument/2006/relationships/hyperlink" Target="https://www.tiktok.com/@meloveminee/video/7613570054445124885?is_from_webapp=1&amp;sender_device=pc" TargetMode="External"/><Relationship Id="rId438" Type="http://schemas.openxmlformats.org/officeDocument/2006/relationships/hyperlink" Target="https://www.tiktok.com/@vika_deanda" TargetMode="External"/><Relationship Id="rId559" Type="http://schemas.openxmlformats.org/officeDocument/2006/relationships/hyperlink" Target="https://www.tiktok.com/@cahayakoleksi27" TargetMode="External"/><Relationship Id="rId550" Type="http://schemas.openxmlformats.org/officeDocument/2006/relationships/hyperlink" Target="https://vt.tiktok.com/ZS9q6kKeg/" TargetMode="External"/><Relationship Id="rId312" Type="http://schemas.openxmlformats.org/officeDocument/2006/relationships/hyperlink" Target="https://www.tiktok.com/@thya_pookie" TargetMode="External"/><Relationship Id="rId433" Type="http://schemas.openxmlformats.org/officeDocument/2006/relationships/hyperlink" Target="https://vt.tiktok.com/ZSHapSGPY/" TargetMode="External"/><Relationship Id="rId554" Type="http://schemas.openxmlformats.org/officeDocument/2006/relationships/hyperlink" Target="https://vt.tiktok.com/ZSxNqmboc/" TargetMode="External"/><Relationship Id="rId311" Type="http://schemas.openxmlformats.org/officeDocument/2006/relationships/hyperlink" Target="https://vt.tiktok.com/ZSuAu6vwM/" TargetMode="External"/><Relationship Id="rId432" Type="http://schemas.openxmlformats.org/officeDocument/2006/relationships/hyperlink" Target="https://vt.tiktok.com/ZSHhb198M/" TargetMode="External"/><Relationship Id="rId553" Type="http://schemas.openxmlformats.org/officeDocument/2006/relationships/hyperlink" Target="https://vt.tiktok.com/ZS9CCHQBu/" TargetMode="External"/><Relationship Id="rId310" Type="http://schemas.openxmlformats.org/officeDocument/2006/relationships/hyperlink" Target="https://vt.tiktok.com/ZSuAmo6X2/" TargetMode="External"/><Relationship Id="rId431" Type="http://schemas.openxmlformats.org/officeDocument/2006/relationships/hyperlink" Target="https://www.tiktok.com/@niarahmania25" TargetMode="External"/><Relationship Id="rId552" Type="http://schemas.openxmlformats.org/officeDocument/2006/relationships/hyperlink" Target="https://www.tiktok.com/@raudhatussyifaaa" TargetMode="External"/><Relationship Id="rId430" Type="http://schemas.openxmlformats.org/officeDocument/2006/relationships/hyperlink" Target="https://vt.tiktok.com/ZSH9vMJb9/" TargetMode="External"/><Relationship Id="rId551" Type="http://schemas.openxmlformats.org/officeDocument/2006/relationships/hyperlink" Target="https://vt.tiktok.com/ZS9nvwMJm" TargetMode="External"/></Relationships>
</file>

<file path=xl/worksheets/_rels/sheet15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tiktok.com/@tyaa0508/video/7643661423360429333?is_from_webapp=1&amp;sender_device=pc" TargetMode="External"/><Relationship Id="rId391" Type="http://schemas.openxmlformats.org/officeDocument/2006/relationships/hyperlink" Target="https://www.tiktok.com/@tyaa0508/video/7643645049309252885?is_from_webapp=1&amp;sender_device=pc" TargetMode="External"/><Relationship Id="rId390" Type="http://schemas.openxmlformats.org/officeDocument/2006/relationships/hyperlink" Target="https://www.tiktok.com/@tyaa0508/video/7640061360847555861?is_from_webapp=1&amp;sender_device=pc" TargetMode="External"/><Relationship Id="rId1" Type="http://schemas.openxmlformats.org/officeDocument/2006/relationships/hyperlink" Target="https://www.tiktok.com/@Cipawwanisa" TargetMode="External"/><Relationship Id="rId2" Type="http://schemas.openxmlformats.org/officeDocument/2006/relationships/hyperlink" Target="https://www.tiktok.com/@aulnih3" TargetMode="External"/><Relationship Id="rId3" Type="http://schemas.openxmlformats.org/officeDocument/2006/relationships/hyperlink" Target="https://www.tiktok.com/@aulnih3/video/7642553513125465365?is_from_webapp=1&amp;sender_device=pc" TargetMode="External"/><Relationship Id="rId4" Type="http://schemas.openxmlformats.org/officeDocument/2006/relationships/hyperlink" Target="https://www.tiktok.com/@Memeyy2910_" TargetMode="External"/><Relationship Id="rId9" Type="http://schemas.openxmlformats.org/officeDocument/2006/relationships/hyperlink" Target="https://www.tiktok.com/@moms_masaru/video/7636610941546777877?is_from_webapp=1&amp;sender_device=pc" TargetMode="External"/><Relationship Id="rId385" Type="http://schemas.openxmlformats.org/officeDocument/2006/relationships/hyperlink" Target="https://www.tiktok.com/@panggilsajadewi24/video/7642157598828973333?is_from_webapp=1&amp;sender_device=pc" TargetMode="External"/><Relationship Id="rId384" Type="http://schemas.openxmlformats.org/officeDocument/2006/relationships/hyperlink" Target="https://www.tiktok.com/@Panggilsajadewi24" TargetMode="External"/><Relationship Id="rId383" Type="http://schemas.openxmlformats.org/officeDocument/2006/relationships/hyperlink" Target="https://www.tiktok.com/@herbaristu" TargetMode="External"/><Relationship Id="rId382" Type="http://schemas.openxmlformats.org/officeDocument/2006/relationships/hyperlink" Target="https://www.tiktok.com/@lina.cahyo95" TargetMode="External"/><Relationship Id="rId5" Type="http://schemas.openxmlformats.org/officeDocument/2006/relationships/hyperlink" Target="https://www.tiktok.com/@devypuspitaaa_" TargetMode="External"/><Relationship Id="rId389" Type="http://schemas.openxmlformats.org/officeDocument/2006/relationships/hyperlink" Target="https://www.tiktok.com/@Tyaa0508" TargetMode="External"/><Relationship Id="rId6" Type="http://schemas.openxmlformats.org/officeDocument/2006/relationships/hyperlink" Target="https://www.tiktok.com/@Xyme.dytaa" TargetMode="External"/><Relationship Id="rId388" Type="http://schemas.openxmlformats.org/officeDocument/2006/relationships/hyperlink" Target="https://www.tiktok.com/@seftadwirantiii/video/7643354544713305351?is_from_webapp=1&amp;sender_device=pc" TargetMode="External"/><Relationship Id="rId7" Type="http://schemas.openxmlformats.org/officeDocument/2006/relationships/hyperlink" Target="https://www.tiktok.com/@Moms_masaru" TargetMode="External"/><Relationship Id="rId387" Type="http://schemas.openxmlformats.org/officeDocument/2006/relationships/hyperlink" Target="https://www.tiktok.com/@seftadwirantiii/video/7638924988153679111?is_from_webapp=1&amp;sender_device=pc" TargetMode="External"/><Relationship Id="rId8" Type="http://schemas.openxmlformats.org/officeDocument/2006/relationships/hyperlink" Target="https://www.tiktok.com/@moms_masaru/video/7636702352954690837?is_from_webapp=1&amp;sender_device=pc" TargetMode="External"/><Relationship Id="rId386" Type="http://schemas.openxmlformats.org/officeDocument/2006/relationships/hyperlink" Target="https://www.tiktok.com/@Seftadwirantiii" TargetMode="External"/><Relationship Id="rId381" Type="http://schemas.openxmlformats.org/officeDocument/2006/relationships/hyperlink" Target="https://www.tiktok.com/@ini_uniii" TargetMode="External"/><Relationship Id="rId380" Type="http://schemas.openxmlformats.org/officeDocument/2006/relationships/hyperlink" Target="https://www.tiktok.com/@shofi_aliyatuningrum" TargetMode="External"/><Relationship Id="rId379" Type="http://schemas.openxmlformats.org/officeDocument/2006/relationships/hyperlink" Target="https://www.tiktok.com/@oomdhyan" TargetMode="External"/><Relationship Id="rId374" Type="http://schemas.openxmlformats.org/officeDocument/2006/relationships/hyperlink" Target="https://www.tiktok.com/@vialutvia_/video/7643239884211096852?is_from_webapp=1&amp;sender_device=pc" TargetMode="External"/><Relationship Id="rId373" Type="http://schemas.openxmlformats.org/officeDocument/2006/relationships/hyperlink" Target="https://www.tiktok.com/@vialutvia_/video/7639290582308801813?is_from_webapp=1&amp;sender_device=pc" TargetMode="External"/><Relationship Id="rId372" Type="http://schemas.openxmlformats.org/officeDocument/2006/relationships/hyperlink" Target="https://vt.tiktok.com/ZS9gGakJu/" TargetMode="External"/><Relationship Id="rId371" Type="http://schemas.openxmlformats.org/officeDocument/2006/relationships/hyperlink" Target="https://www.tiktok.com/@vialutvia_" TargetMode="External"/><Relationship Id="rId378" Type="http://schemas.openxmlformats.org/officeDocument/2006/relationships/hyperlink" Target="https://www.tiktok.com/@kirana.chandraluph/video/7641490248886799636?is_from_webapp=1&amp;sender_device=pc" TargetMode="External"/><Relationship Id="rId377" Type="http://schemas.openxmlformats.org/officeDocument/2006/relationships/hyperlink" Target="https://www.tiktok.com/@kirana.chandraluph/video/7637468825042062612?is_from_webapp=1&amp;sender_device=pc" TargetMode="External"/><Relationship Id="rId376" Type="http://schemas.openxmlformats.org/officeDocument/2006/relationships/hyperlink" Target="https://www.tiktok.com/@kirana.chandraluph" TargetMode="External"/><Relationship Id="rId375" Type="http://schemas.openxmlformats.org/officeDocument/2006/relationships/hyperlink" Target="https://vt.tiktok.com/ZSxG3tjMj/" TargetMode="External"/><Relationship Id="rId396" Type="http://schemas.openxmlformats.org/officeDocument/2006/relationships/hyperlink" Target="https://vt.tiktok.com/ZS9nMCbPt/" TargetMode="External"/><Relationship Id="rId395" Type="http://schemas.openxmlformats.org/officeDocument/2006/relationships/hyperlink" Target="https://www.tiktok.com/@Itsyournaa_a" TargetMode="External"/><Relationship Id="rId394" Type="http://schemas.openxmlformats.org/officeDocument/2006/relationships/hyperlink" Target="https://www.tiktok.com/@true.skinstore" TargetMode="External"/><Relationship Id="rId393" Type="http://schemas.openxmlformats.org/officeDocument/2006/relationships/hyperlink" Target="https://www.tiktok.com/@tyaa0508/video/7643681467326909716?is_from_webapp=1&amp;sender_device=pc" TargetMode="External"/><Relationship Id="rId399" Type="http://schemas.openxmlformats.org/officeDocument/2006/relationships/hyperlink" Target="https://vt.tiktok.com/ZSQeHDtU5/" TargetMode="External"/><Relationship Id="rId398" Type="http://schemas.openxmlformats.org/officeDocument/2006/relationships/hyperlink" Target="https://vt.tiktok.com/ZSxGvwehk/" TargetMode="External"/><Relationship Id="rId397" Type="http://schemas.openxmlformats.org/officeDocument/2006/relationships/hyperlink" Target="https://vt.tiktok.com/ZSxQ7KCmq/" TargetMode="External"/><Relationship Id="rId1730" Type="http://schemas.openxmlformats.org/officeDocument/2006/relationships/hyperlink" Target="https://www.tiktok.com/@ariff.ratnaa" TargetMode="External"/><Relationship Id="rId1731" Type="http://schemas.openxmlformats.org/officeDocument/2006/relationships/hyperlink" Target="https://www.tiktok.com/@dewimsrrh21" TargetMode="External"/><Relationship Id="rId1732" Type="http://schemas.openxmlformats.org/officeDocument/2006/relationships/hyperlink" Target="https://www.tiktok.com/@rosliannaputr" TargetMode="External"/><Relationship Id="rId1733" Type="http://schemas.openxmlformats.org/officeDocument/2006/relationships/hyperlink" Target="https://www.tiktok.com/@Kharis0802" TargetMode="External"/><Relationship Id="rId1734" Type="http://schemas.openxmlformats.org/officeDocument/2006/relationships/hyperlink" Target="https://www.tiktok.com/@Keykesyaa" TargetMode="External"/><Relationship Id="rId1735" Type="http://schemas.openxmlformats.org/officeDocument/2006/relationships/hyperlink" Target="https://www.tiktok.com/@abcdee.laaa6" TargetMode="External"/><Relationship Id="rId1736" Type="http://schemas.openxmlformats.org/officeDocument/2006/relationships/hyperlink" Target="https://www.tiktok.com/@kisr4_" TargetMode="External"/><Relationship Id="rId1737" Type="http://schemas.openxmlformats.org/officeDocument/2006/relationships/hyperlink" Target="https://www.tiktok.com/@aaurynz" TargetMode="External"/><Relationship Id="rId1738" Type="http://schemas.openxmlformats.org/officeDocument/2006/relationships/hyperlink" Target="https://www.tiktok.com/@pinkyby_rnr" TargetMode="External"/><Relationship Id="rId1739" Type="http://schemas.openxmlformats.org/officeDocument/2006/relationships/hyperlink" Target="https://www.tiktok.com/@ummijazilah04" TargetMode="External"/><Relationship Id="rId1720" Type="http://schemas.openxmlformats.org/officeDocument/2006/relationships/hyperlink" Target="https://www.tiktok.com/@Nurmiajha21" TargetMode="External"/><Relationship Id="rId1721" Type="http://schemas.openxmlformats.org/officeDocument/2006/relationships/hyperlink" Target="https://www.tiktok.com/@stroberry008" TargetMode="External"/><Relationship Id="rId1722" Type="http://schemas.openxmlformats.org/officeDocument/2006/relationships/hyperlink" Target="https://www.tiktok.com/@nayyasnn" TargetMode="External"/><Relationship Id="rId1723" Type="http://schemas.openxmlformats.org/officeDocument/2006/relationships/hyperlink" Target="https://www.tiktok.com/@bylathifania" TargetMode="External"/><Relationship Id="rId1724" Type="http://schemas.openxmlformats.org/officeDocument/2006/relationships/hyperlink" Target="https://www.tiktok.com/@ollalanel" TargetMode="External"/><Relationship Id="rId1725" Type="http://schemas.openxmlformats.org/officeDocument/2006/relationships/hyperlink" Target="https://www.tiktok.com/@_whyris" TargetMode="External"/><Relationship Id="rId1726" Type="http://schemas.openxmlformats.org/officeDocument/2006/relationships/hyperlink" Target="https://www.tiktok.com/@sapy_store" TargetMode="External"/><Relationship Id="rId1727" Type="http://schemas.openxmlformats.org/officeDocument/2006/relationships/hyperlink" Target="https://www.tiktok.com/@_youneedthiss" TargetMode="External"/><Relationship Id="rId1728" Type="http://schemas.openxmlformats.org/officeDocument/2006/relationships/hyperlink" Target="https://www.tiktok.com/@adelinaaprl" TargetMode="External"/><Relationship Id="rId1729" Type="http://schemas.openxmlformats.org/officeDocument/2006/relationships/hyperlink" Target="https://www.tiktok.com/@shellalaa434" TargetMode="External"/><Relationship Id="rId808" Type="http://schemas.openxmlformats.org/officeDocument/2006/relationships/hyperlink" Target="https://www.tiktok.com/@naaa_ina09/video/7642696557434785042?is_from_webapp=1&amp;sender_device=pc" TargetMode="External"/><Relationship Id="rId807" Type="http://schemas.openxmlformats.org/officeDocument/2006/relationships/hyperlink" Target="https://www.tiktok.com/@naaa_ina09/video/7642480586342354183?is_from_webapp=1&amp;sender_device=pc" TargetMode="External"/><Relationship Id="rId806" Type="http://schemas.openxmlformats.org/officeDocument/2006/relationships/hyperlink" Target="https://www.tiktok.com/@naaa_ina09/video/7641908161896549639?is_from_webapp=1&amp;sender_device=pc" TargetMode="External"/><Relationship Id="rId805" Type="http://schemas.openxmlformats.org/officeDocument/2006/relationships/hyperlink" Target="https://www.tiktok.com/@naaa_ina09/video/7641028418569506066?is_from_webapp=1&amp;sender_device=pc" TargetMode="External"/><Relationship Id="rId809" Type="http://schemas.openxmlformats.org/officeDocument/2006/relationships/hyperlink" Target="https://www.tiktok.com/@Myskincurity" TargetMode="External"/><Relationship Id="rId800" Type="http://schemas.openxmlformats.org/officeDocument/2006/relationships/hyperlink" Target="https://www.tiktok.com/@ffia22/video/7643060417010420999?is_from_webapp=1&amp;sender_device=pc" TargetMode="External"/><Relationship Id="rId804" Type="http://schemas.openxmlformats.org/officeDocument/2006/relationships/hyperlink" Target="https://www.tiktok.com/@naaa_ina09" TargetMode="External"/><Relationship Id="rId803" Type="http://schemas.openxmlformats.org/officeDocument/2006/relationships/hyperlink" Target="https://www.tiktok.com/@llffaaaa/video/7642623693348211989?is_from_webapp=1&amp;sender_device=pc" TargetMode="External"/><Relationship Id="rId802" Type="http://schemas.openxmlformats.org/officeDocument/2006/relationships/hyperlink" Target="https://www.tiktok.com/@llffaaaa/video/7641864288566594836?is_from_webapp=1&amp;sender_device=pc" TargetMode="External"/><Relationship Id="rId801" Type="http://schemas.openxmlformats.org/officeDocument/2006/relationships/hyperlink" Target="https://www.tiktok.com/@llffaaaa" TargetMode="External"/><Relationship Id="rId1741" Type="http://schemas.openxmlformats.org/officeDocument/2006/relationships/drawing" Target="../drawings/drawing15.xml"/><Relationship Id="rId1740" Type="http://schemas.openxmlformats.org/officeDocument/2006/relationships/hyperlink" Target="https://www.tiktok.com/@shyniaa39" TargetMode="External"/><Relationship Id="rId1710" Type="http://schemas.openxmlformats.org/officeDocument/2006/relationships/hyperlink" Target="https://www.tiktok.com/@srimz5" TargetMode="External"/><Relationship Id="rId1711" Type="http://schemas.openxmlformats.org/officeDocument/2006/relationships/hyperlink" Target="https://www.tiktok.com/@ndrta" TargetMode="External"/><Relationship Id="rId1712" Type="http://schemas.openxmlformats.org/officeDocument/2006/relationships/hyperlink" Target="https://www.tiktok.com/@mamakahfi10_" TargetMode="External"/><Relationship Id="rId1713" Type="http://schemas.openxmlformats.org/officeDocument/2006/relationships/hyperlink" Target="https://www.tiktok.com/@syafira.zahara" TargetMode="External"/><Relationship Id="rId1714" Type="http://schemas.openxmlformats.org/officeDocument/2006/relationships/hyperlink" Target="https://www.tiktok.com/@naandaaoo" TargetMode="External"/><Relationship Id="rId1715" Type="http://schemas.openxmlformats.org/officeDocument/2006/relationships/hyperlink" Target="https://www.tiktok.com/@imnrmh" TargetMode="External"/><Relationship Id="rId1716" Type="http://schemas.openxmlformats.org/officeDocument/2006/relationships/hyperlink" Target="https://www.tiktok.com/@etikawati15" TargetMode="External"/><Relationship Id="rId1717" Type="http://schemas.openxmlformats.org/officeDocument/2006/relationships/hyperlink" Target="https://www.tiktok.com/@nafishafish" TargetMode="External"/><Relationship Id="rId1718" Type="http://schemas.openxmlformats.org/officeDocument/2006/relationships/hyperlink" Target="https://www.tiktok.com/@Justt.rndomp" TargetMode="External"/><Relationship Id="rId1719" Type="http://schemas.openxmlformats.org/officeDocument/2006/relationships/hyperlink" Target="https://www.tiktok.com/@Ayuumiana" TargetMode="External"/><Relationship Id="rId1700" Type="http://schemas.openxmlformats.org/officeDocument/2006/relationships/hyperlink" Target="https://www.tiktok.com/@Alfa08" TargetMode="External"/><Relationship Id="rId1701" Type="http://schemas.openxmlformats.org/officeDocument/2006/relationships/hyperlink" Target="https://www.tiktok.com/@by.skincare5" TargetMode="External"/><Relationship Id="rId1702" Type="http://schemas.openxmlformats.org/officeDocument/2006/relationships/hyperlink" Target="https://www.tiktok.com/@Almahyranasywaa" TargetMode="External"/><Relationship Id="rId1703" Type="http://schemas.openxmlformats.org/officeDocument/2006/relationships/hyperlink" Target="https://www.tiktok.com/@putriaycaaa" TargetMode="External"/><Relationship Id="rId1704" Type="http://schemas.openxmlformats.org/officeDocument/2006/relationships/hyperlink" Target="https://www.tiktok.com/@spalspilhapp" TargetMode="External"/><Relationship Id="rId1705" Type="http://schemas.openxmlformats.org/officeDocument/2006/relationships/hyperlink" Target="https://www.tiktok.com/@anggarawati22" TargetMode="External"/><Relationship Id="rId1706" Type="http://schemas.openxmlformats.org/officeDocument/2006/relationships/hyperlink" Target="https://www.tiktok.com/@janeeeurbaby" TargetMode="External"/><Relationship Id="rId1707" Type="http://schemas.openxmlformats.org/officeDocument/2006/relationships/hyperlink" Target="https://www.tiktok.com/@ellaylstr" TargetMode="External"/><Relationship Id="rId1708" Type="http://schemas.openxmlformats.org/officeDocument/2006/relationships/hyperlink" Target="https://www.tiktok.com/@v4ndut" TargetMode="External"/><Relationship Id="rId1709" Type="http://schemas.openxmlformats.org/officeDocument/2006/relationships/hyperlink" Target="https://www.tiktok.com/@aueiaiaiaauaa" TargetMode="External"/><Relationship Id="rId40" Type="http://schemas.openxmlformats.org/officeDocument/2006/relationships/hyperlink" Target="https://www.tiktok.com/@yenifaaaaa/video/7639769336848190740?is_from_webapp=1&amp;sender_device=pc" TargetMode="External"/><Relationship Id="rId1334" Type="http://schemas.openxmlformats.org/officeDocument/2006/relationships/hyperlink" Target="https://www.tiktok.com/@Winnersho" TargetMode="External"/><Relationship Id="rId1335" Type="http://schemas.openxmlformats.org/officeDocument/2006/relationships/hyperlink" Target="https://www.tiktok.com/@sweetgrils.store" TargetMode="External"/><Relationship Id="rId42" Type="http://schemas.openxmlformats.org/officeDocument/2006/relationships/hyperlink" Target="https://www.tiktok.com/@mrs.sitinurlela" TargetMode="External"/><Relationship Id="rId1336" Type="http://schemas.openxmlformats.org/officeDocument/2006/relationships/hyperlink" Target="https://www.tiktok.com/@zaskiaa721" TargetMode="External"/><Relationship Id="rId41" Type="http://schemas.openxmlformats.org/officeDocument/2006/relationships/hyperlink" Target="https://www.tiktok.com/@yenifaaaaa/video/7643444695275736341?is_from_webapp=1&amp;sender_device=pc" TargetMode="External"/><Relationship Id="rId1337" Type="http://schemas.openxmlformats.org/officeDocument/2006/relationships/hyperlink" Target="https://www.tiktok.com/@vinaselviana11_" TargetMode="External"/><Relationship Id="rId44" Type="http://schemas.openxmlformats.org/officeDocument/2006/relationships/hyperlink" Target="https://www.tiktok.com/@mrs.sitinurlela/video/7638855699451088148?is_from_webapp=1&amp;sender_device=pc" TargetMode="External"/><Relationship Id="rId1338" Type="http://schemas.openxmlformats.org/officeDocument/2006/relationships/hyperlink" Target="https://www.tiktok.com/@spillbysalsabila" TargetMode="External"/><Relationship Id="rId43" Type="http://schemas.openxmlformats.org/officeDocument/2006/relationships/hyperlink" Target="https://vt.tiktok.com/ZS9pDSR1k/" TargetMode="External"/><Relationship Id="rId1339" Type="http://schemas.openxmlformats.org/officeDocument/2006/relationships/hyperlink" Target="https://www.tiktok.com/@spillbysalsabila/video/7642971245247761684?is_from_webapp=1&amp;sender_device=pc" TargetMode="External"/><Relationship Id="rId46" Type="http://schemas.openxmlformats.org/officeDocument/2006/relationships/hyperlink" Target="https://www.tiktok.com/@megha.nrsptr_/video/7639653696682462484?is_from_webapp=1&amp;sender_device=pc" TargetMode="External"/><Relationship Id="rId45" Type="http://schemas.openxmlformats.org/officeDocument/2006/relationships/hyperlink" Target="https://www.tiktok.com/@megha.nrsptr_" TargetMode="External"/><Relationship Id="rId745" Type="http://schemas.openxmlformats.org/officeDocument/2006/relationships/hyperlink" Target="https://www.tiktok.com/@zulfaqurin" TargetMode="External"/><Relationship Id="rId744" Type="http://schemas.openxmlformats.org/officeDocument/2006/relationships/hyperlink" Target="https://www.tiktok.com/@sans.brey" TargetMode="External"/><Relationship Id="rId743" Type="http://schemas.openxmlformats.org/officeDocument/2006/relationships/hyperlink" Target="https://www.tiktok.com/@sinabilla" TargetMode="External"/><Relationship Id="rId742" Type="http://schemas.openxmlformats.org/officeDocument/2006/relationships/hyperlink" Target="https://www.tiktok.com/@shellasdiary" TargetMode="External"/><Relationship Id="rId749" Type="http://schemas.openxmlformats.org/officeDocument/2006/relationships/hyperlink" Target="https://www.tiktok.com/@anasafitri232" TargetMode="External"/><Relationship Id="rId748" Type="http://schemas.openxmlformats.org/officeDocument/2006/relationships/hyperlink" Target="https://www.tiktok.com/@shakashop04" TargetMode="External"/><Relationship Id="rId747" Type="http://schemas.openxmlformats.org/officeDocument/2006/relationships/hyperlink" Target="https://www.tiktok.com/@liasarasw" TargetMode="External"/><Relationship Id="rId746" Type="http://schemas.openxmlformats.org/officeDocument/2006/relationships/hyperlink" Target="https://www.tiktok.com/@elisacollectione" TargetMode="External"/><Relationship Id="rId48" Type="http://schemas.openxmlformats.org/officeDocument/2006/relationships/hyperlink" Target="https://www.tiktok.com/@megha.nrsptr_/video/7640123103732976916?is_from_webapp=1&amp;sender_device=pc" TargetMode="External"/><Relationship Id="rId47" Type="http://schemas.openxmlformats.org/officeDocument/2006/relationships/hyperlink" Target="https://www.tiktok.com/@megha.nrsptr_/video/7639727954968382740?is_from_webapp=1&amp;sender_device=pc" TargetMode="External"/><Relationship Id="rId49" Type="http://schemas.openxmlformats.org/officeDocument/2006/relationships/hyperlink" Target="https://www.tiktok.com/@erlinvindiawati" TargetMode="External"/><Relationship Id="rId741" Type="http://schemas.openxmlformats.org/officeDocument/2006/relationships/hyperlink" Target="https://www.tiktok.com/@itsdianity" TargetMode="External"/><Relationship Id="rId1330" Type="http://schemas.openxmlformats.org/officeDocument/2006/relationships/hyperlink" Target="https://www.tiktok.com/@spillbarengmell" TargetMode="External"/><Relationship Id="rId740" Type="http://schemas.openxmlformats.org/officeDocument/2006/relationships/hyperlink" Target="https://www.tiktok.com/@mimihgemoy1" TargetMode="External"/><Relationship Id="rId1331" Type="http://schemas.openxmlformats.org/officeDocument/2006/relationships/hyperlink" Target="https://www.tiktok.com/@spillbarengmell/video/7643405807421394194?is_from_webapp=1&amp;sender_device=pc" TargetMode="External"/><Relationship Id="rId1332" Type="http://schemas.openxmlformats.org/officeDocument/2006/relationships/hyperlink" Target="https://www.tiktok.com/@ig.ernaaaaaaaa.a" TargetMode="External"/><Relationship Id="rId1333" Type="http://schemas.openxmlformats.org/officeDocument/2006/relationships/hyperlink" Target="https://www.tiktok.com/@ig.ernaaaaaaaa.a/video/7643747177470217492?is_from_webapp=1&amp;sender_device=pc" TargetMode="External"/><Relationship Id="rId1323" Type="http://schemas.openxmlformats.org/officeDocument/2006/relationships/hyperlink" Target="https://www.tiktok.com/@Prandu06" TargetMode="External"/><Relationship Id="rId1324" Type="http://schemas.openxmlformats.org/officeDocument/2006/relationships/hyperlink" Target="https://www.tiktok.com/@glamwithlulu11" TargetMode="External"/><Relationship Id="rId31" Type="http://schemas.openxmlformats.org/officeDocument/2006/relationships/hyperlink" Target="https://www.tiktok.com/@iraawt1_/video/7640356214366407957?is_from_webapp=1&amp;sender_device=pc" TargetMode="External"/><Relationship Id="rId1325" Type="http://schemas.openxmlformats.org/officeDocument/2006/relationships/hyperlink" Target="https://www.tiktok.com/@ccolshop1" TargetMode="External"/><Relationship Id="rId30" Type="http://schemas.openxmlformats.org/officeDocument/2006/relationships/hyperlink" Target="https://www.tiktok.com/@iraawt1_/video/7638597553306586389?is_from_webapp=1&amp;sender_device=pc" TargetMode="External"/><Relationship Id="rId1326" Type="http://schemas.openxmlformats.org/officeDocument/2006/relationships/hyperlink" Target="https://www.tiktok.com/@ccolshop1/video/7643083805863054600?is_from_webapp=1&amp;sender_device=pc" TargetMode="External"/><Relationship Id="rId33" Type="http://schemas.openxmlformats.org/officeDocument/2006/relationships/hyperlink" Target="https://www.tiktok.com/@roohaniaja" TargetMode="External"/><Relationship Id="rId1327" Type="http://schemas.openxmlformats.org/officeDocument/2006/relationships/hyperlink" Target="https://www.tiktok.com/@ccolshop1/video/7643328956619328775?is_from_webapp=1&amp;sender_device=pc" TargetMode="External"/><Relationship Id="rId32" Type="http://schemas.openxmlformats.org/officeDocument/2006/relationships/hyperlink" Target="https://www.tiktok.com/@iraawt1_/video/7642706862411992340?is_from_webapp=1&amp;sender_device=pc" TargetMode="External"/><Relationship Id="rId1328" Type="http://schemas.openxmlformats.org/officeDocument/2006/relationships/hyperlink" Target="https://www.tiktok.com/@ccolshop1/video/7643674493189213447?is_from_webapp=1&amp;sender_device=pc" TargetMode="External"/><Relationship Id="rId35" Type="http://schemas.openxmlformats.org/officeDocument/2006/relationships/hyperlink" Target="https://vt.tiktok.com/ZS9vrtQT1/" TargetMode="External"/><Relationship Id="rId1329" Type="http://schemas.openxmlformats.org/officeDocument/2006/relationships/hyperlink" Target="https://www.tiktok.com/@ccolshop1/video/7644034189485935879?is_from_webapp=1&amp;sender_device=pc" TargetMode="External"/><Relationship Id="rId34" Type="http://schemas.openxmlformats.org/officeDocument/2006/relationships/hyperlink" Target="https://www.tiktok.com/@Ila_zachra" TargetMode="External"/><Relationship Id="rId739" Type="http://schemas.openxmlformats.org/officeDocument/2006/relationships/hyperlink" Target="https://www.tiktok.com/@Tinatimoty3" TargetMode="External"/><Relationship Id="rId734" Type="http://schemas.openxmlformats.org/officeDocument/2006/relationships/hyperlink" Target="https://www.tiktok.com/@rkmyng" TargetMode="External"/><Relationship Id="rId733" Type="http://schemas.openxmlformats.org/officeDocument/2006/relationships/hyperlink" Target="https://www.tiktok.com/@mindie230398" TargetMode="External"/><Relationship Id="rId732" Type="http://schemas.openxmlformats.org/officeDocument/2006/relationships/hyperlink" Target="https://www.tiktok.com/@vanessa.inkspace" TargetMode="External"/><Relationship Id="rId731" Type="http://schemas.openxmlformats.org/officeDocument/2006/relationships/hyperlink" Target="https://www.tiktok.com/@_puput815" TargetMode="External"/><Relationship Id="rId738" Type="http://schemas.openxmlformats.org/officeDocument/2006/relationships/hyperlink" Target="https://www.tiktok.com/@kutilang067" TargetMode="External"/><Relationship Id="rId737" Type="http://schemas.openxmlformats.org/officeDocument/2006/relationships/hyperlink" Target="https://www.tiktok.com/@bingbang_salonpurwakarta" TargetMode="External"/><Relationship Id="rId736" Type="http://schemas.openxmlformats.org/officeDocument/2006/relationships/hyperlink" Target="https://www.tiktok.com/@wattpadstoryy_3" TargetMode="External"/><Relationship Id="rId735" Type="http://schemas.openxmlformats.org/officeDocument/2006/relationships/hyperlink" Target="https://www.tiktok.com/@beautyfandaaa" TargetMode="External"/><Relationship Id="rId37" Type="http://schemas.openxmlformats.org/officeDocument/2006/relationships/hyperlink" Target="https://www.tiktok.com/@ila_zachra/video/7636927943452724488?is_from_webapp=1&amp;sender_device=pc" TargetMode="External"/><Relationship Id="rId36" Type="http://schemas.openxmlformats.org/officeDocument/2006/relationships/hyperlink" Target="https://www.tiktok.com/@ila_zachra/video/7636645370281430279?is_from_webapp=1&amp;sender_device=pc" TargetMode="External"/><Relationship Id="rId39" Type="http://schemas.openxmlformats.org/officeDocument/2006/relationships/hyperlink" Target="https://www.tiktok.com/@yenifaaaaa" TargetMode="External"/><Relationship Id="rId38" Type="http://schemas.openxmlformats.org/officeDocument/2006/relationships/hyperlink" Target="https://www.tiktok.com/@ila_zachra/video/7637664125920873746?is_from_webapp=1&amp;sender_device=pc" TargetMode="External"/><Relationship Id="rId730" Type="http://schemas.openxmlformats.org/officeDocument/2006/relationships/hyperlink" Target="https://www.tiktok.com/@ceisyaandr/video/7641556621553847572?is_from_webapp=1&amp;sender_device=pc" TargetMode="External"/><Relationship Id="rId1320" Type="http://schemas.openxmlformats.org/officeDocument/2006/relationships/hyperlink" Target="https://www.tiktok.com/@zizaashopp/video/7643434902251130133?is_from_webapp=1&amp;sender_device=pc" TargetMode="External"/><Relationship Id="rId1321" Type="http://schemas.openxmlformats.org/officeDocument/2006/relationships/hyperlink" Target="https://www.tiktok.com/@dewiw0606" TargetMode="External"/><Relationship Id="rId1322" Type="http://schemas.openxmlformats.org/officeDocument/2006/relationships/hyperlink" Target="https://www.tiktok.com/@_spilyuk" TargetMode="External"/><Relationship Id="rId1356" Type="http://schemas.openxmlformats.org/officeDocument/2006/relationships/hyperlink" Target="https://www.tiktok.com/@chocolate_eskrim" TargetMode="External"/><Relationship Id="rId1357" Type="http://schemas.openxmlformats.org/officeDocument/2006/relationships/hyperlink" Target="https://www.tiktok.com/@taacutie2" TargetMode="External"/><Relationship Id="rId20" Type="http://schemas.openxmlformats.org/officeDocument/2006/relationships/hyperlink" Target="https://www.tiktok.com/@drcandraa" TargetMode="External"/><Relationship Id="rId1358" Type="http://schemas.openxmlformats.org/officeDocument/2006/relationships/hyperlink" Target="https://www.tiktok.com/@gildaabungaa" TargetMode="External"/><Relationship Id="rId1359" Type="http://schemas.openxmlformats.org/officeDocument/2006/relationships/hyperlink" Target="https://www.tiktok.com/@ggianovia" TargetMode="External"/><Relationship Id="rId22" Type="http://schemas.openxmlformats.org/officeDocument/2006/relationships/hyperlink" Target="https://www.tiktok.com/@rf.1924/video/7637406539195747604?is_from_webapp=1&amp;sender_device=pc" TargetMode="External"/><Relationship Id="rId21" Type="http://schemas.openxmlformats.org/officeDocument/2006/relationships/hyperlink" Target="https://www.tiktok.com/@Ayunitanf" TargetMode="External"/><Relationship Id="rId24" Type="http://schemas.openxmlformats.org/officeDocument/2006/relationships/hyperlink" Target="https://www.tiktok.com/@rf.1924/video/7639723935977868565?is_from_webapp=1&amp;sender_device=pc" TargetMode="External"/><Relationship Id="rId23" Type="http://schemas.openxmlformats.org/officeDocument/2006/relationships/hyperlink" Target="https://www.tiktok.com/@rf.1924/video/7638629340946828564?is_from_webapp=1&amp;sender_device=pc" TargetMode="External"/><Relationship Id="rId767" Type="http://schemas.openxmlformats.org/officeDocument/2006/relationships/hyperlink" Target="https://www.tiktok.com/@jejejeruk_" TargetMode="External"/><Relationship Id="rId766" Type="http://schemas.openxmlformats.org/officeDocument/2006/relationships/hyperlink" Target="https://www.tiktok.com/@_kafida_" TargetMode="External"/><Relationship Id="rId765" Type="http://schemas.openxmlformats.org/officeDocument/2006/relationships/hyperlink" Target="https://www.tiktok.com/@disut_" TargetMode="External"/><Relationship Id="rId764" Type="http://schemas.openxmlformats.org/officeDocument/2006/relationships/hyperlink" Target="https://www.tiktok.com/@Mirabellacik" TargetMode="External"/><Relationship Id="rId769" Type="http://schemas.openxmlformats.org/officeDocument/2006/relationships/hyperlink" Target="https://www.tiktok.com/@Naandddda" TargetMode="External"/><Relationship Id="rId768" Type="http://schemas.openxmlformats.org/officeDocument/2006/relationships/hyperlink" Target="https://www.tiktok.com/@vnaamel" TargetMode="External"/><Relationship Id="rId26" Type="http://schemas.openxmlformats.org/officeDocument/2006/relationships/hyperlink" Target="https://www.tiktok.com/@peopleleskom" TargetMode="External"/><Relationship Id="rId25" Type="http://schemas.openxmlformats.org/officeDocument/2006/relationships/hyperlink" Target="https://vt.tiktok.com/ZSxWgNSAt/" TargetMode="External"/><Relationship Id="rId28" Type="http://schemas.openxmlformats.org/officeDocument/2006/relationships/hyperlink" Target="https://www.tiktok.com/@ainiharuka" TargetMode="External"/><Relationship Id="rId1350" Type="http://schemas.openxmlformats.org/officeDocument/2006/relationships/hyperlink" Target="https://www.tiktok.com/@cintiaa._04" TargetMode="External"/><Relationship Id="rId27" Type="http://schemas.openxmlformats.org/officeDocument/2006/relationships/hyperlink" Target="https://vt.tiktok.com/ZS9T8kGvD/" TargetMode="External"/><Relationship Id="rId1351" Type="http://schemas.openxmlformats.org/officeDocument/2006/relationships/hyperlink" Target="https://www.tiktok.com/@hildaa.ra28" TargetMode="External"/><Relationship Id="rId763" Type="http://schemas.openxmlformats.org/officeDocument/2006/relationships/hyperlink" Target="https://www.tiktok.com/@titink" TargetMode="External"/><Relationship Id="rId1352" Type="http://schemas.openxmlformats.org/officeDocument/2006/relationships/hyperlink" Target="https://www.tiktok.com/@urchaa2" TargetMode="External"/><Relationship Id="rId29" Type="http://schemas.openxmlformats.org/officeDocument/2006/relationships/hyperlink" Target="https://www.tiktok.com/@iraawt1_" TargetMode="External"/><Relationship Id="rId762" Type="http://schemas.openxmlformats.org/officeDocument/2006/relationships/hyperlink" Target="https://www.tiktok.com/@wina.widiansyah" TargetMode="External"/><Relationship Id="rId1353" Type="http://schemas.openxmlformats.org/officeDocument/2006/relationships/hyperlink" Target="https://www.tiktok.com/@Beauty01shop0" TargetMode="External"/><Relationship Id="rId761" Type="http://schemas.openxmlformats.org/officeDocument/2006/relationships/hyperlink" Target="https://www.tiktok.com/@gallerymutie" TargetMode="External"/><Relationship Id="rId1354" Type="http://schemas.openxmlformats.org/officeDocument/2006/relationships/hyperlink" Target="https://www.tiktok.com/@moodbyfiaa._" TargetMode="External"/><Relationship Id="rId760" Type="http://schemas.openxmlformats.org/officeDocument/2006/relationships/hyperlink" Target="https://www.tiktok.com/@lilibeauty82" TargetMode="External"/><Relationship Id="rId1355" Type="http://schemas.openxmlformats.org/officeDocument/2006/relationships/hyperlink" Target="https://www.tiktok.com/@Hapipah3875" TargetMode="External"/><Relationship Id="rId1345" Type="http://schemas.openxmlformats.org/officeDocument/2006/relationships/hyperlink" Target="https://www.tiktok.com/@ig.jahidah_30" TargetMode="External"/><Relationship Id="rId1346" Type="http://schemas.openxmlformats.org/officeDocument/2006/relationships/hyperlink" Target="https://www.tiktok.com/@Nurulcerita" TargetMode="External"/><Relationship Id="rId1347" Type="http://schemas.openxmlformats.org/officeDocument/2006/relationships/hyperlink" Target="https://www.tiktok.com/@Listiaaadwiii18_" TargetMode="External"/><Relationship Id="rId1348" Type="http://schemas.openxmlformats.org/officeDocument/2006/relationships/hyperlink" Target="https://www.tiktok.com/@anphaja" TargetMode="External"/><Relationship Id="rId11" Type="http://schemas.openxmlformats.org/officeDocument/2006/relationships/hyperlink" Target="https://www.tiktok.com/@moms_masaru/video/7637359012727786773?is_from_webapp=1&amp;sender_device=pc" TargetMode="External"/><Relationship Id="rId1349" Type="http://schemas.openxmlformats.org/officeDocument/2006/relationships/hyperlink" Target="https://www.tiktok.com/@anphaja/video/7642668217835523349?is_from_webapp=1&amp;sender_device=pc" TargetMode="External"/><Relationship Id="rId10" Type="http://schemas.openxmlformats.org/officeDocument/2006/relationships/hyperlink" Target="https://www.tiktok.com/@moms_masaru/video/7637358531821243668?is_from_webapp=1&amp;sender_device=pc" TargetMode="External"/><Relationship Id="rId13" Type="http://schemas.openxmlformats.org/officeDocument/2006/relationships/hyperlink" Target="https://www.tiktok.com/@yaninay28" TargetMode="External"/><Relationship Id="rId12" Type="http://schemas.openxmlformats.org/officeDocument/2006/relationships/hyperlink" Target="https://www.tiktok.com/@naminajm" TargetMode="External"/><Relationship Id="rId756" Type="http://schemas.openxmlformats.org/officeDocument/2006/relationships/hyperlink" Target="https://www.tiktok.com/@marselll1_" TargetMode="External"/><Relationship Id="rId755" Type="http://schemas.openxmlformats.org/officeDocument/2006/relationships/hyperlink" Target="https://www.tiktok.com/@outfitce_" TargetMode="External"/><Relationship Id="rId754" Type="http://schemas.openxmlformats.org/officeDocument/2006/relationships/hyperlink" Target="https://www.tiktok.com/@suksesshop7" TargetMode="External"/><Relationship Id="rId753" Type="http://schemas.openxmlformats.org/officeDocument/2006/relationships/hyperlink" Target="https://www.tiktok.com/@ilmaafghoniyah16" TargetMode="External"/><Relationship Id="rId759" Type="http://schemas.openxmlformats.org/officeDocument/2006/relationships/hyperlink" Target="https://www.tiktok.com/@hikmahcamelia8" TargetMode="External"/><Relationship Id="rId758" Type="http://schemas.openxmlformats.org/officeDocument/2006/relationships/hyperlink" Target="https://www.tiktok.com/@titiaja12" TargetMode="External"/><Relationship Id="rId757" Type="http://schemas.openxmlformats.org/officeDocument/2006/relationships/hyperlink" Target="https://www.tiktok.com/@farizafgani" TargetMode="External"/><Relationship Id="rId15" Type="http://schemas.openxmlformats.org/officeDocument/2006/relationships/hyperlink" Target="https://www.tiktok.com/@yaninay28/video/7639946612093013255?is_from_webapp=1&amp;sender_device=pc" TargetMode="External"/><Relationship Id="rId14" Type="http://schemas.openxmlformats.org/officeDocument/2006/relationships/hyperlink" Target="https://www.tiktok.com/@yaninay28/video/7639596586791685394?is_from_webapp=1&amp;sender_device=pc" TargetMode="External"/><Relationship Id="rId17" Type="http://schemas.openxmlformats.org/officeDocument/2006/relationships/hyperlink" Target="https://vt.tiktok.com/ZSxMSuHmd/" TargetMode="External"/><Relationship Id="rId16" Type="http://schemas.openxmlformats.org/officeDocument/2006/relationships/hyperlink" Target="https://www.tiktok.com/@yaninay28/video/7640300482627390728?is_from_webapp=1&amp;sender_device=pc" TargetMode="External"/><Relationship Id="rId1340" Type="http://schemas.openxmlformats.org/officeDocument/2006/relationships/hyperlink" Target="https://www.tiktok.com/@riamarianaaa" TargetMode="External"/><Relationship Id="rId19" Type="http://schemas.openxmlformats.org/officeDocument/2006/relationships/hyperlink" Target="https://www.tiktok.com/@cloudyexe_/video/7637742723121843477?is_from_webapp=1&amp;sender_device=pc" TargetMode="External"/><Relationship Id="rId752" Type="http://schemas.openxmlformats.org/officeDocument/2006/relationships/hyperlink" Target="https://www.tiktok.com/@rizkaalvnnn" TargetMode="External"/><Relationship Id="rId1341" Type="http://schemas.openxmlformats.org/officeDocument/2006/relationships/hyperlink" Target="https://www.tiktok.com/@riamarianaaa/video/7642563883219176722?is_from_webapp=1&amp;sender_device=pc" TargetMode="External"/><Relationship Id="rId18" Type="http://schemas.openxmlformats.org/officeDocument/2006/relationships/hyperlink" Target="https://www.tiktok.com/@cloudyexe_" TargetMode="External"/><Relationship Id="rId751" Type="http://schemas.openxmlformats.org/officeDocument/2006/relationships/hyperlink" Target="https://www.tiktok.com/@dian_novitasari98" TargetMode="External"/><Relationship Id="rId1342" Type="http://schemas.openxmlformats.org/officeDocument/2006/relationships/hyperlink" Target="https://www.tiktok.com/@riamarianaaa/video/7642994651145850120?is_from_webapp=1&amp;sender_device=pc" TargetMode="External"/><Relationship Id="rId750" Type="http://schemas.openxmlformats.org/officeDocument/2006/relationships/hyperlink" Target="https://www.tiktok.com/@ghea.beauty" TargetMode="External"/><Relationship Id="rId1343" Type="http://schemas.openxmlformats.org/officeDocument/2006/relationships/hyperlink" Target="https://www.tiktok.com/@riamarianaaa/video/7643365172379192583?is_from_webapp=1&amp;sender_device=pc" TargetMode="External"/><Relationship Id="rId1344" Type="http://schemas.openxmlformats.org/officeDocument/2006/relationships/hyperlink" Target="https://www.tiktok.com/@nofakurnia24" TargetMode="External"/><Relationship Id="rId84" Type="http://schemas.openxmlformats.org/officeDocument/2006/relationships/hyperlink" Target="https://www.tiktok.com/@hasanatul.amalia7/video/7638365070476496135?is_from_webapp=1&amp;sender_device=pc" TargetMode="External"/><Relationship Id="rId83" Type="http://schemas.openxmlformats.org/officeDocument/2006/relationships/hyperlink" Target="https://vt.tiktok.com/ZS9cgNTkv/" TargetMode="External"/><Relationship Id="rId86" Type="http://schemas.openxmlformats.org/officeDocument/2006/relationships/hyperlink" Target="https://www.tiktok.com/@hasanatul.amalia7/video/7639389334386380040?is_from_webapp=1&amp;sender_device=pc" TargetMode="External"/><Relationship Id="rId85" Type="http://schemas.openxmlformats.org/officeDocument/2006/relationships/hyperlink" Target="https://www.tiktok.com/@hasanatul.amalia7/video/7639034159490469138?is_from_webapp=1&amp;sender_device=pc" TargetMode="External"/><Relationship Id="rId88" Type="http://schemas.openxmlformats.org/officeDocument/2006/relationships/hyperlink" Target="https://vt.tiktok.com/ZS9pP74Hn/" TargetMode="External"/><Relationship Id="rId87" Type="http://schemas.openxmlformats.org/officeDocument/2006/relationships/hyperlink" Target="https://www.tiktok.com/@aquarius_mav.09" TargetMode="External"/><Relationship Id="rId89" Type="http://schemas.openxmlformats.org/officeDocument/2006/relationships/hyperlink" Target="https://vt.tiktok.com/ZS97jte3C/" TargetMode="External"/><Relationship Id="rId709" Type="http://schemas.openxmlformats.org/officeDocument/2006/relationships/hyperlink" Target="https://www.tiktok.com/@putrinidahilalafi" TargetMode="External"/><Relationship Id="rId708" Type="http://schemas.openxmlformats.org/officeDocument/2006/relationships/hyperlink" Target="https://www.tiktok.com/@ammah.tes" TargetMode="External"/><Relationship Id="rId707" Type="http://schemas.openxmlformats.org/officeDocument/2006/relationships/hyperlink" Target="https://www.tiktok.com/@qiqiske2/video/7642788474432556304?is_from_webapp=1&amp;sender_device=pc" TargetMode="External"/><Relationship Id="rId706" Type="http://schemas.openxmlformats.org/officeDocument/2006/relationships/hyperlink" Target="https://www.tiktok.com/@qiqiske2" TargetMode="External"/><Relationship Id="rId80" Type="http://schemas.openxmlformats.org/officeDocument/2006/relationships/hyperlink" Target="https://www.tiktok.com/@mariyakahono/video/7640413865532214536?is_from_webapp=1&amp;sender_device=pc" TargetMode="External"/><Relationship Id="rId82" Type="http://schemas.openxmlformats.org/officeDocument/2006/relationships/hyperlink" Target="https://www.tiktok.com/@hasanatul.amalia7" TargetMode="External"/><Relationship Id="rId81" Type="http://schemas.openxmlformats.org/officeDocument/2006/relationships/hyperlink" Target="https://www.tiktok.com/@mariyakahono/video/7642772610421427464?is_from_webapp=1&amp;sender_device=pc" TargetMode="External"/><Relationship Id="rId701" Type="http://schemas.openxmlformats.org/officeDocument/2006/relationships/hyperlink" Target="https://www.tiktok.com/@riskaikha1231/video/7639697307599932680?is_from_webapp=1&amp;sender_device=pc" TargetMode="External"/><Relationship Id="rId700" Type="http://schemas.openxmlformats.org/officeDocument/2006/relationships/hyperlink" Target="https://www.tiktok.com/@riskaikha1231" TargetMode="External"/><Relationship Id="rId705" Type="http://schemas.openxmlformats.org/officeDocument/2006/relationships/hyperlink" Target="https://www.tiktok.com/@byolin" TargetMode="External"/><Relationship Id="rId704" Type="http://schemas.openxmlformats.org/officeDocument/2006/relationships/hyperlink" Target="https://www.tiktok.com/@berliannacahyaningrum" TargetMode="External"/><Relationship Id="rId703" Type="http://schemas.openxmlformats.org/officeDocument/2006/relationships/hyperlink" Target="https://www.tiktok.com/@riskaikha1231/video/7640331339593436423?is_from_webapp=1&amp;sender_device=pc" TargetMode="External"/><Relationship Id="rId702" Type="http://schemas.openxmlformats.org/officeDocument/2006/relationships/hyperlink" Target="https://www.tiktok.com/@riskaikha1231/video/7639938574166576402?is_from_webapp=1&amp;sender_device=pc" TargetMode="External"/><Relationship Id="rId73" Type="http://schemas.openxmlformats.org/officeDocument/2006/relationships/hyperlink" Target="https://vt.tiktok.com/ZS9n57eT5/" TargetMode="External"/><Relationship Id="rId72" Type="http://schemas.openxmlformats.org/officeDocument/2006/relationships/hyperlink" Target="https://www.tiktok.com/@nurulaini280902" TargetMode="External"/><Relationship Id="rId75" Type="http://schemas.openxmlformats.org/officeDocument/2006/relationships/hyperlink" Target="https://www.tiktok.com/@nurulaini280902/video/7639573132172381456?is_from_webapp=1&amp;sender_device=pc" TargetMode="External"/><Relationship Id="rId74" Type="http://schemas.openxmlformats.org/officeDocument/2006/relationships/hyperlink" Target="https://www.tiktok.com/@nurulaini280902/video/7638547039084662033?is_from_webapp=1&amp;sender_device=pc" TargetMode="External"/><Relationship Id="rId77" Type="http://schemas.openxmlformats.org/officeDocument/2006/relationships/hyperlink" Target="https://www.tiktok.com/@Mariyakahono" TargetMode="External"/><Relationship Id="rId76" Type="http://schemas.openxmlformats.org/officeDocument/2006/relationships/hyperlink" Target="https://www.tiktok.com/@nurulaini280902/video/7641567650140687617?is_from_webapp=1&amp;sender_device=pc" TargetMode="External"/><Relationship Id="rId79" Type="http://schemas.openxmlformats.org/officeDocument/2006/relationships/hyperlink" Target="https://www.tiktok.com/@mariyakahono/video/7639696511151901959?is_from_webapp=1&amp;sender_device=pc" TargetMode="External"/><Relationship Id="rId78" Type="http://schemas.openxmlformats.org/officeDocument/2006/relationships/hyperlink" Target="https://www.tiktok.com/@mariyakahono/video/7638662147379039495?is_from_webapp=1&amp;sender_device=pc" TargetMode="External"/><Relationship Id="rId71" Type="http://schemas.openxmlformats.org/officeDocument/2006/relationships/hyperlink" Target="https://vt.tiktok.com/ZSxwFf7mk/" TargetMode="External"/><Relationship Id="rId70" Type="http://schemas.openxmlformats.org/officeDocument/2006/relationships/hyperlink" Target="https://www.tiktok.com/@akuuyay/video/7641514122651192584?is_from_webapp=1&amp;sender_device=pc" TargetMode="External"/><Relationship Id="rId62" Type="http://schemas.openxmlformats.org/officeDocument/2006/relationships/hyperlink" Target="https://www.tiktok.com/@Aquagurls4" TargetMode="External"/><Relationship Id="rId1312" Type="http://schemas.openxmlformats.org/officeDocument/2006/relationships/hyperlink" Target="https://www.tiktok.com/@syi_syi" TargetMode="External"/><Relationship Id="rId61" Type="http://schemas.openxmlformats.org/officeDocument/2006/relationships/hyperlink" Target="https://www.tiktok.com/@Meivizar" TargetMode="External"/><Relationship Id="rId1313" Type="http://schemas.openxmlformats.org/officeDocument/2006/relationships/hyperlink" Target="https://www.tiktok.com/@syi_syi/video/7643396429196578069?is_from_webapp=1&amp;sender_device=pc" TargetMode="External"/><Relationship Id="rId64" Type="http://schemas.openxmlformats.org/officeDocument/2006/relationships/hyperlink" Target="https://www.tiktok.com/@aquagurls4/video/7637791876011248916?is_from_webapp=1&amp;sender_device=pc" TargetMode="External"/><Relationship Id="rId1314" Type="http://schemas.openxmlformats.org/officeDocument/2006/relationships/hyperlink" Target="https://www.tiktok.com/@Des_yannn" TargetMode="External"/><Relationship Id="rId63" Type="http://schemas.openxmlformats.org/officeDocument/2006/relationships/hyperlink" Target="https://www.tiktok.com/@aquagurls4/video/7637010833813327125?is_from_webapp=1&amp;sender_device=pc" TargetMode="External"/><Relationship Id="rId1315" Type="http://schemas.openxmlformats.org/officeDocument/2006/relationships/hyperlink" Target="https://www.tiktok.com/@marchgirl__" TargetMode="External"/><Relationship Id="rId66" Type="http://schemas.openxmlformats.org/officeDocument/2006/relationships/hyperlink" Target="https://vt.tiktok.com/ZSxgF3QuF/" TargetMode="External"/><Relationship Id="rId1316" Type="http://schemas.openxmlformats.org/officeDocument/2006/relationships/hyperlink" Target="https://www.tiktok.com/@marchgirl__/video/7643261705107164437?is_from_webapp=1&amp;sender_device=pc" TargetMode="External"/><Relationship Id="rId65" Type="http://schemas.openxmlformats.org/officeDocument/2006/relationships/hyperlink" Target="https://www.tiktok.com/@aquagurls4/video/7639431099755629844?is_from_webapp=1&amp;sender_device=pc" TargetMode="External"/><Relationship Id="rId1317" Type="http://schemas.openxmlformats.org/officeDocument/2006/relationships/hyperlink" Target="https://www.tiktok.com/@marchgirl__/video/7643295494252317973?is_from_webapp=1&amp;sender_device=pc" TargetMode="External"/><Relationship Id="rId68" Type="http://schemas.openxmlformats.org/officeDocument/2006/relationships/hyperlink" Target="https://www.tiktok.com/@akuuyay/video/7637385117912009991?is_from_webapp=1&amp;sender_device=pc&amp;web_id=7529345225590146568" TargetMode="External"/><Relationship Id="rId1318" Type="http://schemas.openxmlformats.org/officeDocument/2006/relationships/hyperlink" Target="https://www.tiktok.com/@marchgirl__/video/7643632154978618644?is_from_webapp=1&amp;sender_device=pc" TargetMode="External"/><Relationship Id="rId67" Type="http://schemas.openxmlformats.org/officeDocument/2006/relationships/hyperlink" Target="https://www.tiktok.com/@akuuyay" TargetMode="External"/><Relationship Id="rId1319" Type="http://schemas.openxmlformats.org/officeDocument/2006/relationships/hyperlink" Target="https://www.tiktok.com/@zizaashopp" TargetMode="External"/><Relationship Id="rId729" Type="http://schemas.openxmlformats.org/officeDocument/2006/relationships/hyperlink" Target="https://www.tiktok.com/@ceisyaandr/video/7640850315788717333?is_from_webapp=1&amp;sender_device=pc" TargetMode="External"/><Relationship Id="rId728" Type="http://schemas.openxmlformats.org/officeDocument/2006/relationships/hyperlink" Target="https://www.tiktok.com/@Ceisyaandr" TargetMode="External"/><Relationship Id="rId60" Type="http://schemas.openxmlformats.org/officeDocument/2006/relationships/hyperlink" Target="https://www.tiktok.com/@Egigitya" TargetMode="External"/><Relationship Id="rId723" Type="http://schemas.openxmlformats.org/officeDocument/2006/relationships/hyperlink" Target="https://www.tiktok.com/@sohibhasanah_/video/7641890557991619847?is_from_webapp=1&amp;sender_device=pc" TargetMode="External"/><Relationship Id="rId722" Type="http://schemas.openxmlformats.org/officeDocument/2006/relationships/hyperlink" Target="https://www.tiktok.com/@sohibhasanah_" TargetMode="External"/><Relationship Id="rId721" Type="http://schemas.openxmlformats.org/officeDocument/2006/relationships/hyperlink" Target="https://www.tiktok.com/@devioktapiani17" TargetMode="External"/><Relationship Id="rId720" Type="http://schemas.openxmlformats.org/officeDocument/2006/relationships/hyperlink" Target="https://www.tiktok.com/@fiaa_cancerr" TargetMode="External"/><Relationship Id="rId727" Type="http://schemas.openxmlformats.org/officeDocument/2006/relationships/hyperlink" Target="https://www.tiktok.com/@meloveminee" TargetMode="External"/><Relationship Id="rId726" Type="http://schemas.openxmlformats.org/officeDocument/2006/relationships/hyperlink" Target="https://www.tiktok.com/@indriminyo" TargetMode="External"/><Relationship Id="rId725" Type="http://schemas.openxmlformats.org/officeDocument/2006/relationships/hyperlink" Target="https://www.tiktok.com/@yurialendaaa" TargetMode="External"/><Relationship Id="rId724" Type="http://schemas.openxmlformats.org/officeDocument/2006/relationships/hyperlink" Target="https://www.tiktok.com/@_hallo.yis" TargetMode="External"/><Relationship Id="rId69" Type="http://schemas.openxmlformats.org/officeDocument/2006/relationships/hyperlink" Target="https://www.tiktok.com/@akuuyay/video/7640675285830225170?is_from_webapp=1&amp;sender_device=pc" TargetMode="External"/><Relationship Id="rId1310" Type="http://schemas.openxmlformats.org/officeDocument/2006/relationships/hyperlink" Target="https://www.tiktok.com/@d127604" TargetMode="External"/><Relationship Id="rId1311" Type="http://schemas.openxmlformats.org/officeDocument/2006/relationships/hyperlink" Target="https://www.tiktok.com/@d127604/video/7644049223461211399?is_from_webapp=1&amp;sender_device=pc" TargetMode="External"/><Relationship Id="rId51" Type="http://schemas.openxmlformats.org/officeDocument/2006/relationships/hyperlink" Target="https://www.tiktok.com/@ervnptri" TargetMode="External"/><Relationship Id="rId1301" Type="http://schemas.openxmlformats.org/officeDocument/2006/relationships/hyperlink" Target="https://www.tiktok.com/@Milkzywayx09" TargetMode="External"/><Relationship Id="rId50" Type="http://schemas.openxmlformats.org/officeDocument/2006/relationships/hyperlink" Target="https://www.tiktok.com/@erlinvindiawati/video/7643452620547460372?is_from_webapp=1&amp;sender_device=pc" TargetMode="External"/><Relationship Id="rId1302" Type="http://schemas.openxmlformats.org/officeDocument/2006/relationships/hyperlink" Target="https://www.tiktok.com/@firdaamaliaaa_" TargetMode="External"/><Relationship Id="rId53" Type="http://schemas.openxmlformats.org/officeDocument/2006/relationships/hyperlink" Target="https://www.tiktok.com/@aijooleea" TargetMode="External"/><Relationship Id="rId1303" Type="http://schemas.openxmlformats.org/officeDocument/2006/relationships/hyperlink" Target="https://www.tiktok.com/@putriulandari___" TargetMode="External"/><Relationship Id="rId52" Type="http://schemas.openxmlformats.org/officeDocument/2006/relationships/hyperlink" Target="https://www.tiktok.com/@4ilha14" TargetMode="External"/><Relationship Id="rId1304" Type="http://schemas.openxmlformats.org/officeDocument/2006/relationships/hyperlink" Target="https://www.tiktok.com/@maow2e" TargetMode="External"/><Relationship Id="rId55" Type="http://schemas.openxmlformats.org/officeDocument/2006/relationships/hyperlink" Target="https://vt.tiktok.com/ZS9gCNv3k/" TargetMode="External"/><Relationship Id="rId1305" Type="http://schemas.openxmlformats.org/officeDocument/2006/relationships/hyperlink" Target="https://www.tiktok.com/@maow2e/video/7643477470598991125?is_from_webapp=1&amp;sender_device=pc" TargetMode="External"/><Relationship Id="rId54" Type="http://schemas.openxmlformats.org/officeDocument/2006/relationships/hyperlink" Target="https://vt.tiktok.com/ZS9V2W8hy/" TargetMode="External"/><Relationship Id="rId1306" Type="http://schemas.openxmlformats.org/officeDocument/2006/relationships/hyperlink" Target="https://www.tiktok.com/@Derramedesp" TargetMode="External"/><Relationship Id="rId57" Type="http://schemas.openxmlformats.org/officeDocument/2006/relationships/hyperlink" Target="https://www.tiktok.com/@aijooleea/video/7637801641609055508?is_from_webapp=1&amp;sender_device=pc" TargetMode="External"/><Relationship Id="rId1307" Type="http://schemas.openxmlformats.org/officeDocument/2006/relationships/hyperlink" Target="https://www.tiktok.com/@zeeya2024" TargetMode="External"/><Relationship Id="rId56" Type="http://schemas.openxmlformats.org/officeDocument/2006/relationships/hyperlink" Target="https://www.tiktok.com/@aijooleea/video/7637434222117981460?is_from_webapp=1&amp;sender_device=pc" TargetMode="External"/><Relationship Id="rId1308" Type="http://schemas.openxmlformats.org/officeDocument/2006/relationships/hyperlink" Target="https://www.tiktok.com/@Dsty0306" TargetMode="External"/><Relationship Id="rId1309" Type="http://schemas.openxmlformats.org/officeDocument/2006/relationships/hyperlink" Target="https://www.tiktok.com/@land13_" TargetMode="External"/><Relationship Id="rId719" Type="http://schemas.openxmlformats.org/officeDocument/2006/relationships/hyperlink" Target="https://www.tiktok.com/@astrlatte__" TargetMode="External"/><Relationship Id="rId718" Type="http://schemas.openxmlformats.org/officeDocument/2006/relationships/hyperlink" Target="https://www.tiktok.com/@racun.forall" TargetMode="External"/><Relationship Id="rId717" Type="http://schemas.openxmlformats.org/officeDocument/2006/relationships/hyperlink" Target="https://www.tiktok.com/@keyrena.yuki" TargetMode="External"/><Relationship Id="rId712" Type="http://schemas.openxmlformats.org/officeDocument/2006/relationships/hyperlink" Target="https://www.tiktok.com/@dewiana.beaufash" TargetMode="External"/><Relationship Id="rId711" Type="http://schemas.openxmlformats.org/officeDocument/2006/relationships/hyperlink" Target="https://www.tiktok.com/@salsaamelll_" TargetMode="External"/><Relationship Id="rId710" Type="http://schemas.openxmlformats.org/officeDocument/2006/relationships/hyperlink" Target="https://www.tiktok.com/@iniicaaaaa_19" TargetMode="External"/><Relationship Id="rId716" Type="http://schemas.openxmlformats.org/officeDocument/2006/relationships/hyperlink" Target="https://www.tiktok.com/@Itsdinihari" TargetMode="External"/><Relationship Id="rId715" Type="http://schemas.openxmlformats.org/officeDocument/2006/relationships/hyperlink" Target="https://www.tiktok.com/@novi10668" TargetMode="External"/><Relationship Id="rId714" Type="http://schemas.openxmlformats.org/officeDocument/2006/relationships/hyperlink" Target="https://www.tiktok.com/@isviewulandaaaa" TargetMode="External"/><Relationship Id="rId713" Type="http://schemas.openxmlformats.org/officeDocument/2006/relationships/hyperlink" Target="https://www.tiktok.com/@aloveme77" TargetMode="External"/><Relationship Id="rId59" Type="http://schemas.openxmlformats.org/officeDocument/2006/relationships/hyperlink" Target="https://www.tiktok.com/@rsm_amalia9/video/7639281734969806100?is_from_webapp=1&amp;sender_device=pc" TargetMode="External"/><Relationship Id="rId58" Type="http://schemas.openxmlformats.org/officeDocument/2006/relationships/hyperlink" Target="https://www.tiktok.com/@rsm_amalia9" TargetMode="External"/><Relationship Id="rId1300" Type="http://schemas.openxmlformats.org/officeDocument/2006/relationships/hyperlink" Target="https://vt.tiktok.com/ZSxgAodv7/" TargetMode="External"/><Relationship Id="rId349" Type="http://schemas.openxmlformats.org/officeDocument/2006/relationships/hyperlink" Target="https://www.tiktok.com/@tokokhaira13/video/7639337150139567380?is_from_webapp=1&amp;sender_device=pc" TargetMode="External"/><Relationship Id="rId348" Type="http://schemas.openxmlformats.org/officeDocument/2006/relationships/hyperlink" Target="https://www.tiktok.com/@tokokhaira13/video/7639244003418033428?is_from_webapp=1&amp;sender_device=pc" TargetMode="External"/><Relationship Id="rId347" Type="http://schemas.openxmlformats.org/officeDocument/2006/relationships/hyperlink" Target="https://www.tiktok.com/@tokokhaira13/video/7638903462893292820?is_from_webapp=1&amp;sender_device=pc" TargetMode="External"/><Relationship Id="rId346" Type="http://schemas.openxmlformats.org/officeDocument/2006/relationships/hyperlink" Target="https://www.tiktok.com/@Tokokhaira13" TargetMode="External"/><Relationship Id="rId341" Type="http://schemas.openxmlformats.org/officeDocument/2006/relationships/hyperlink" Target="https://www.tiktok.com/@lestarie467/video/7638491765841939720?is_from_webapp=1&amp;sender_device=pc" TargetMode="External"/><Relationship Id="rId340" Type="http://schemas.openxmlformats.org/officeDocument/2006/relationships/hyperlink" Target="https://www.tiktok.com/@lestarie467/video/7637131604011470087?is_from_webapp=1&amp;sender_device=pc" TargetMode="External"/><Relationship Id="rId345" Type="http://schemas.openxmlformats.org/officeDocument/2006/relationships/hyperlink" Target="https://vt.tiktok.com/ZS937rddW/" TargetMode="External"/><Relationship Id="rId344" Type="http://schemas.openxmlformats.org/officeDocument/2006/relationships/hyperlink" Target="https://www.tiktok.com/@rndystoree01" TargetMode="External"/><Relationship Id="rId343" Type="http://schemas.openxmlformats.org/officeDocument/2006/relationships/hyperlink" Target="https://www.tiktok.com/@lestarie467/video/7642666113897204999?is_from_webapp=1&amp;sender_device=pc" TargetMode="External"/><Relationship Id="rId342" Type="http://schemas.openxmlformats.org/officeDocument/2006/relationships/hyperlink" Target="https://www.tiktok.com/@lestarie467/video/7640728364990450962?is_from_webapp=1&amp;sender_device=pc" TargetMode="External"/><Relationship Id="rId338" Type="http://schemas.openxmlformats.org/officeDocument/2006/relationships/hyperlink" Target="https://www.tiktok.com/@zeyhan95" TargetMode="External"/><Relationship Id="rId337" Type="http://schemas.openxmlformats.org/officeDocument/2006/relationships/hyperlink" Target="https://vt.tiktok.com/ZSxVENjcd/" TargetMode="External"/><Relationship Id="rId336" Type="http://schemas.openxmlformats.org/officeDocument/2006/relationships/hyperlink" Target="https://www.tiktok.com/@cahayakoleksi27/video/7643987882209791248?is_from_webapp=1&amp;sender_device=pc" TargetMode="External"/><Relationship Id="rId335" Type="http://schemas.openxmlformats.org/officeDocument/2006/relationships/hyperlink" Target="https://www.tiktok.com/@cahayakoleksi27/video/7642307631398292752?is_from_webapp=1&amp;sender_device=pc" TargetMode="External"/><Relationship Id="rId339" Type="http://schemas.openxmlformats.org/officeDocument/2006/relationships/hyperlink" Target="https://www.tiktok.com/@lestarie467" TargetMode="External"/><Relationship Id="rId330" Type="http://schemas.openxmlformats.org/officeDocument/2006/relationships/hyperlink" Target="https://www.tiktok.com/@srihartinisr12/video/7640735445919272212?is_from_webapp=1&amp;sender_device=pc" TargetMode="External"/><Relationship Id="rId334" Type="http://schemas.openxmlformats.org/officeDocument/2006/relationships/hyperlink" Target="https://vt.tiktok.com/ZS9W7GQyC/" TargetMode="External"/><Relationship Id="rId333" Type="http://schemas.openxmlformats.org/officeDocument/2006/relationships/hyperlink" Target="https://www.tiktok.com/@cahayakoleksi27" TargetMode="External"/><Relationship Id="rId332" Type="http://schemas.openxmlformats.org/officeDocument/2006/relationships/hyperlink" Target="https://www.tiktok.com/@oreohoheng02" TargetMode="External"/><Relationship Id="rId331" Type="http://schemas.openxmlformats.org/officeDocument/2006/relationships/hyperlink" Target="https://vt.tiktok.com/ZSxYdjFLL/" TargetMode="External"/><Relationship Id="rId370" Type="http://schemas.openxmlformats.org/officeDocument/2006/relationships/hyperlink" Target="https://vt.tiktok.com/ZSxRrCNM2/" TargetMode="External"/><Relationship Id="rId369" Type="http://schemas.openxmlformats.org/officeDocument/2006/relationships/hyperlink" Target="https://www.tiktok.com/@_orangbanten/video/7636642353628892436?is_from_webapp=1&amp;sender_device=pc" TargetMode="External"/><Relationship Id="rId368" Type="http://schemas.openxmlformats.org/officeDocument/2006/relationships/hyperlink" Target="https://www.tiktok.com/@_orangbanten/video/7638853614093470997?is_from_webapp=1&amp;sender_device=pc" TargetMode="External"/><Relationship Id="rId363" Type="http://schemas.openxmlformats.org/officeDocument/2006/relationships/hyperlink" Target="https://vt.tiktok.com/ZS93R8cAq/" TargetMode="External"/><Relationship Id="rId362" Type="http://schemas.openxmlformats.org/officeDocument/2006/relationships/hyperlink" Target="https://vt.tiktok.com/ZS9ngn58B/" TargetMode="External"/><Relationship Id="rId361" Type="http://schemas.openxmlformats.org/officeDocument/2006/relationships/hyperlink" Target="https://vt.tiktok.com/ZS9gP4mor/" TargetMode="External"/><Relationship Id="rId360" Type="http://schemas.openxmlformats.org/officeDocument/2006/relationships/hyperlink" Target="https://www.tiktok.com/@samanthadeliano2" TargetMode="External"/><Relationship Id="rId367" Type="http://schemas.openxmlformats.org/officeDocument/2006/relationships/hyperlink" Target="https://vt.tiktok.com/ZS9gtXSj1/" TargetMode="External"/><Relationship Id="rId366" Type="http://schemas.openxmlformats.org/officeDocument/2006/relationships/hyperlink" Target="https://www.tiktok.com/@_orangbanten" TargetMode="External"/><Relationship Id="rId365" Type="http://schemas.openxmlformats.org/officeDocument/2006/relationships/hyperlink" Target="https://www.tiktok.com/@umiaisyahser1skincer" TargetMode="External"/><Relationship Id="rId364" Type="http://schemas.openxmlformats.org/officeDocument/2006/relationships/hyperlink" Target="https://vt.tiktok.com/ZS9EcBdjX/" TargetMode="External"/><Relationship Id="rId95" Type="http://schemas.openxmlformats.org/officeDocument/2006/relationships/hyperlink" Target="https://www.tiktok.com/@piscesmarchlady/video/7636856034048462100?is_from_webapp=1&amp;sender_device=pc" TargetMode="External"/><Relationship Id="rId94" Type="http://schemas.openxmlformats.org/officeDocument/2006/relationships/hyperlink" Target="https://www.tiktok.com/@piscesmarchlady/video/7636688057978080533?is_from_webapp=1&amp;sender_device=pc" TargetMode="External"/><Relationship Id="rId97" Type="http://schemas.openxmlformats.org/officeDocument/2006/relationships/hyperlink" Target="https://www.tiktok.com/@siopettttt____" TargetMode="External"/><Relationship Id="rId96" Type="http://schemas.openxmlformats.org/officeDocument/2006/relationships/hyperlink" Target="https://www.tiktok.com/@piscesmarchlady/video/7638838673097723156?is_from_webapp=1&amp;sender_device=pc" TargetMode="External"/><Relationship Id="rId99" Type="http://schemas.openxmlformats.org/officeDocument/2006/relationships/hyperlink" Target="https://www.tiktok.com/@siopettttt____/video/7638569819821935890?is_from_webapp=1&amp;sender_device=pc" TargetMode="External"/><Relationship Id="rId98" Type="http://schemas.openxmlformats.org/officeDocument/2006/relationships/hyperlink" Target="https://vt.tiktok.com/ZS9bJLPsy/" TargetMode="External"/><Relationship Id="rId91" Type="http://schemas.openxmlformats.org/officeDocument/2006/relationships/hyperlink" Target="https://www.tiktok.com/@evaniesm" TargetMode="External"/><Relationship Id="rId90" Type="http://schemas.openxmlformats.org/officeDocument/2006/relationships/hyperlink" Target="https://vt.tiktok.com/ZSxrBKPh2/" TargetMode="External"/><Relationship Id="rId93" Type="http://schemas.openxmlformats.org/officeDocument/2006/relationships/hyperlink" Target="https://vt.tiktok.com/ZS9gJSac1/" TargetMode="External"/><Relationship Id="rId92" Type="http://schemas.openxmlformats.org/officeDocument/2006/relationships/hyperlink" Target="https://www.tiktok.com/@Piscesmarchlady" TargetMode="External"/><Relationship Id="rId359" Type="http://schemas.openxmlformats.org/officeDocument/2006/relationships/hyperlink" Target="https://www.tiktok.com/@lia.racuntiktok/video/7640042295055633682?is_from_webapp=1&amp;sender_device=pc" TargetMode="External"/><Relationship Id="rId358" Type="http://schemas.openxmlformats.org/officeDocument/2006/relationships/hyperlink" Target="https://vt.tiktok.com/ZS9gWstws/" TargetMode="External"/><Relationship Id="rId357" Type="http://schemas.openxmlformats.org/officeDocument/2006/relationships/hyperlink" Target="https://www.tiktok.com/@Lia.racuntiktok" TargetMode="External"/><Relationship Id="rId352" Type="http://schemas.openxmlformats.org/officeDocument/2006/relationships/hyperlink" Target="https://www.tiktok.com/@Sovashwa14" TargetMode="External"/><Relationship Id="rId351" Type="http://schemas.openxmlformats.org/officeDocument/2006/relationships/hyperlink" Target="https://www.tiktok.com/@apriliana.ds" TargetMode="External"/><Relationship Id="rId350" Type="http://schemas.openxmlformats.org/officeDocument/2006/relationships/hyperlink" Target="https://www.tiktok.com/@tokokhaira13/video/7641224828963327253?is_from_webapp=1&amp;sender_device=pc" TargetMode="External"/><Relationship Id="rId356" Type="http://schemas.openxmlformats.org/officeDocument/2006/relationships/hyperlink" Target="https://www.tiktok.com/@sovashwa14/video/7641046291568495879?is_from_webapp=1&amp;sender_device=pc" TargetMode="External"/><Relationship Id="rId355" Type="http://schemas.openxmlformats.org/officeDocument/2006/relationships/hyperlink" Target="https://www.tiktok.com/@sovashwa14/video/7639566714396724498?is_from_webapp=1&amp;sender_device=pc" TargetMode="External"/><Relationship Id="rId354" Type="http://schemas.openxmlformats.org/officeDocument/2006/relationships/hyperlink" Target="https://www.tiktok.com/@sovashwa14/video/7639566247801195794?is_from_webapp=1&amp;sender_device=pc" TargetMode="External"/><Relationship Id="rId353" Type="http://schemas.openxmlformats.org/officeDocument/2006/relationships/hyperlink" Target="https://www.tiktok.com/@sovashwa14/video/7639186358958820616?is_from_webapp=1&amp;sender_device=pc" TargetMode="External"/><Relationship Id="rId1378" Type="http://schemas.openxmlformats.org/officeDocument/2006/relationships/hyperlink" Target="https://www.tiktok.com/@nurintan0904" TargetMode="External"/><Relationship Id="rId1379" Type="http://schemas.openxmlformats.org/officeDocument/2006/relationships/hyperlink" Target="https://www.tiktok.com/@Sriayuuuu" TargetMode="External"/><Relationship Id="rId305" Type="http://schemas.openxmlformats.org/officeDocument/2006/relationships/hyperlink" Target="https://www.tiktok.com/@de3cey18" TargetMode="External"/><Relationship Id="rId789" Type="http://schemas.openxmlformats.org/officeDocument/2006/relationships/hyperlink" Target="https://www.tiktok.com/@xx.lissvy" TargetMode="External"/><Relationship Id="rId304" Type="http://schemas.openxmlformats.org/officeDocument/2006/relationships/hyperlink" Target="https://www.tiktok.com/@veni.aje" TargetMode="External"/><Relationship Id="rId788" Type="http://schemas.openxmlformats.org/officeDocument/2006/relationships/hyperlink" Target="https://www.tiktok.com/@cappyysa" TargetMode="External"/><Relationship Id="rId303" Type="http://schemas.openxmlformats.org/officeDocument/2006/relationships/hyperlink" Target="https://www.tiktok.com/@Ike.m.ayu" TargetMode="External"/><Relationship Id="rId787" Type="http://schemas.openxmlformats.org/officeDocument/2006/relationships/hyperlink" Target="https://www.tiktok.com/@imaaa.mr/video/7642591988138790162?is_from_webapp=1&amp;sender_device=pc" TargetMode="External"/><Relationship Id="rId302" Type="http://schemas.openxmlformats.org/officeDocument/2006/relationships/hyperlink" Target="https://www.tiktok.com/@novi_ananovy" TargetMode="External"/><Relationship Id="rId786" Type="http://schemas.openxmlformats.org/officeDocument/2006/relationships/hyperlink" Target="https://www.tiktok.com/@imaaa.mr/video/7642220866469842194?is_from_webapp=1&amp;sender_device=pc" TargetMode="External"/><Relationship Id="rId309" Type="http://schemas.openxmlformats.org/officeDocument/2006/relationships/hyperlink" Target="https://www.tiktok.com/@norhayaani/video/7636578947773369620?is_from_webapp=1&amp;sender_device=pc" TargetMode="External"/><Relationship Id="rId308" Type="http://schemas.openxmlformats.org/officeDocument/2006/relationships/hyperlink" Target="https://www.tiktok.com/@norhayaani/video/7635794078600318228?is_from_webapp=1&amp;sender_device=pc" TargetMode="External"/><Relationship Id="rId307" Type="http://schemas.openxmlformats.org/officeDocument/2006/relationships/hyperlink" Target="https://www.tiktok.com/@norhayaani" TargetMode="External"/><Relationship Id="rId306" Type="http://schemas.openxmlformats.org/officeDocument/2006/relationships/hyperlink" Target="https://www.tiktok.com/@sharing_bunda" TargetMode="External"/><Relationship Id="rId781" Type="http://schemas.openxmlformats.org/officeDocument/2006/relationships/hyperlink" Target="https://www.tiktok.com/@.anaaaaa6/video/7641434930710383879?is_from_webapp=1&amp;sender_device=pc" TargetMode="External"/><Relationship Id="rId1370" Type="http://schemas.openxmlformats.org/officeDocument/2006/relationships/hyperlink" Target="https://www.tiktok.com/@Shellashell29" TargetMode="External"/><Relationship Id="rId780" Type="http://schemas.openxmlformats.org/officeDocument/2006/relationships/hyperlink" Target="https://www.tiktok.com/@.anaaaaa6" TargetMode="External"/><Relationship Id="rId1371" Type="http://schemas.openxmlformats.org/officeDocument/2006/relationships/hyperlink" Target="https://www.tiktok.com/@its.vidaaa__" TargetMode="External"/><Relationship Id="rId1372" Type="http://schemas.openxmlformats.org/officeDocument/2006/relationships/hyperlink" Target="https://www.tiktok.com/@Hllo.sha" TargetMode="External"/><Relationship Id="rId1373" Type="http://schemas.openxmlformats.org/officeDocument/2006/relationships/hyperlink" Target="https://www.tiktok.com/@spillandshop.i" TargetMode="External"/><Relationship Id="rId301" Type="http://schemas.openxmlformats.org/officeDocument/2006/relationships/hyperlink" Target="https://www.tiktok.com/@rohmasyafa17" TargetMode="External"/><Relationship Id="rId785" Type="http://schemas.openxmlformats.org/officeDocument/2006/relationships/hyperlink" Target="https://www.tiktok.com/@imaaa.mr/video/7641849803910991112?is_from_webapp=1&amp;sender_device=pc" TargetMode="External"/><Relationship Id="rId1374" Type="http://schemas.openxmlformats.org/officeDocument/2006/relationships/hyperlink" Target="https://www.tiktok.com/@racunbyliaaa_" TargetMode="External"/><Relationship Id="rId300" Type="http://schemas.openxmlformats.org/officeDocument/2006/relationships/hyperlink" Target="https://www.tiktok.com/@indahnnah" TargetMode="External"/><Relationship Id="rId784" Type="http://schemas.openxmlformats.org/officeDocument/2006/relationships/hyperlink" Target="https://www.tiktok.com/@imaaa.mr" TargetMode="External"/><Relationship Id="rId1375" Type="http://schemas.openxmlformats.org/officeDocument/2006/relationships/hyperlink" Target="https://www.tiktok.com/@sweetypiegirll" TargetMode="External"/><Relationship Id="rId783" Type="http://schemas.openxmlformats.org/officeDocument/2006/relationships/hyperlink" Target="http://imaaa.mr" TargetMode="External"/><Relationship Id="rId1376" Type="http://schemas.openxmlformats.org/officeDocument/2006/relationships/hyperlink" Target="https://www.tiktok.com/@spillby.sofi" TargetMode="External"/><Relationship Id="rId782" Type="http://schemas.openxmlformats.org/officeDocument/2006/relationships/hyperlink" Target="https://www.tiktok.com/@.anaaaaa6/video/7641933756617592082?is_from_webapp=1&amp;sender_device=pc" TargetMode="External"/><Relationship Id="rId1377" Type="http://schemas.openxmlformats.org/officeDocument/2006/relationships/hyperlink" Target="https://www.tiktok.com/@serbabelidisini" TargetMode="External"/><Relationship Id="rId1367" Type="http://schemas.openxmlformats.org/officeDocument/2006/relationships/hyperlink" Target="https://www.tiktok.com/@indrii2914" TargetMode="External"/><Relationship Id="rId1368" Type="http://schemas.openxmlformats.org/officeDocument/2006/relationships/hyperlink" Target="https://www.tiktok.com/@mayaparamudita" TargetMode="External"/><Relationship Id="rId1369" Type="http://schemas.openxmlformats.org/officeDocument/2006/relationships/hyperlink" Target="https://www.tiktok.com/@Jualanyura" TargetMode="External"/><Relationship Id="rId778" Type="http://schemas.openxmlformats.org/officeDocument/2006/relationships/hyperlink" Target="https://www.tiktok.com/@hananalghonni1/video/7642993262315310357?is_from_webapp=1&amp;sender_device=pc" TargetMode="External"/><Relationship Id="rId777" Type="http://schemas.openxmlformats.org/officeDocument/2006/relationships/hyperlink" Target="https://www.tiktok.com/@hananalghonni1/video/7642295551521738005?is_from_webapp=1&amp;sender_device=pc" TargetMode="External"/><Relationship Id="rId776" Type="http://schemas.openxmlformats.org/officeDocument/2006/relationships/hyperlink" Target="https://www.tiktok.com/@hananalghonni1/video/7641738022882643221?is_from_webapp=1&amp;sender_device=pc" TargetMode="External"/><Relationship Id="rId775" Type="http://schemas.openxmlformats.org/officeDocument/2006/relationships/hyperlink" Target="https://www.tiktok.com/@hananalghonni1" TargetMode="External"/><Relationship Id="rId779" Type="http://schemas.openxmlformats.org/officeDocument/2006/relationships/hyperlink" Target="https://www.tiktok.com/@nniar____" TargetMode="External"/><Relationship Id="rId770" Type="http://schemas.openxmlformats.org/officeDocument/2006/relationships/hyperlink" Target="https://www.tiktok.com/@nunataehyung93" TargetMode="External"/><Relationship Id="rId1360" Type="http://schemas.openxmlformats.org/officeDocument/2006/relationships/hyperlink" Target="https://www.tiktok.com/@enggiekur" TargetMode="External"/><Relationship Id="rId1361" Type="http://schemas.openxmlformats.org/officeDocument/2006/relationships/hyperlink" Target="https://www.tiktok.com/@elshanum.zivana" TargetMode="External"/><Relationship Id="rId1362" Type="http://schemas.openxmlformats.org/officeDocument/2006/relationships/hyperlink" Target="https://www.tiktok.com/@yuniinv" TargetMode="External"/><Relationship Id="rId774" Type="http://schemas.openxmlformats.org/officeDocument/2006/relationships/hyperlink" Target="https://www.tiktok.com/@ccandypermen/video/7642903942036262164?is_from_webapp=1&amp;sender_device=pc" TargetMode="External"/><Relationship Id="rId1363" Type="http://schemas.openxmlformats.org/officeDocument/2006/relationships/hyperlink" Target="https://www.tiktok.com/@bbunna4" TargetMode="External"/><Relationship Id="rId773" Type="http://schemas.openxmlformats.org/officeDocument/2006/relationships/hyperlink" Target="https://www.tiktok.com/@ccandypermen/video/7642265711183711509?is_from_webapp=1&amp;sender_device=pc" TargetMode="External"/><Relationship Id="rId1364" Type="http://schemas.openxmlformats.org/officeDocument/2006/relationships/hyperlink" Target="https://www.tiktok.com/@itts.naiii" TargetMode="External"/><Relationship Id="rId772" Type="http://schemas.openxmlformats.org/officeDocument/2006/relationships/hyperlink" Target="https://www.tiktok.com/@ccandypermen/video/7641428471662529812?is_from_webapp=1&amp;sender_device=pc" TargetMode="External"/><Relationship Id="rId1365" Type="http://schemas.openxmlformats.org/officeDocument/2006/relationships/hyperlink" Target="https://www.tiktok.com/@srayunggrn" TargetMode="External"/><Relationship Id="rId771" Type="http://schemas.openxmlformats.org/officeDocument/2006/relationships/hyperlink" Target="https://www.tiktok.com/@ccandypermen" TargetMode="External"/><Relationship Id="rId1366" Type="http://schemas.openxmlformats.org/officeDocument/2006/relationships/hyperlink" Target="https://www.tiktok.com/@cantikaspalspil" TargetMode="External"/><Relationship Id="rId327" Type="http://schemas.openxmlformats.org/officeDocument/2006/relationships/hyperlink" Target="https://www.tiktok.com/@srihartinisr12" TargetMode="External"/><Relationship Id="rId326" Type="http://schemas.openxmlformats.org/officeDocument/2006/relationships/hyperlink" Target="https://www.tiktok.com/@alviradevikaa" TargetMode="External"/><Relationship Id="rId325" Type="http://schemas.openxmlformats.org/officeDocument/2006/relationships/hyperlink" Target="https://www.tiktok.com/@Rikhalaila" TargetMode="External"/><Relationship Id="rId324" Type="http://schemas.openxmlformats.org/officeDocument/2006/relationships/hyperlink" Target="https://www.tiktok.com/@Dewiimma03" TargetMode="External"/><Relationship Id="rId329" Type="http://schemas.openxmlformats.org/officeDocument/2006/relationships/hyperlink" Target="https://www.tiktok.com/@srihartinisr12/video/7639620499173035284?is_from_webapp=1&amp;sender_device=pc" TargetMode="External"/><Relationship Id="rId1390" Type="http://schemas.openxmlformats.org/officeDocument/2006/relationships/hyperlink" Target="https://www.tiktok.com/@nureyy_yy" TargetMode="External"/><Relationship Id="rId328" Type="http://schemas.openxmlformats.org/officeDocument/2006/relationships/hyperlink" Target="https://vt.tiktok.com/ZS9gh1XUc/" TargetMode="External"/><Relationship Id="rId1391" Type="http://schemas.openxmlformats.org/officeDocument/2006/relationships/hyperlink" Target="https://www.tiktok.com/@alfiinurr09" TargetMode="External"/><Relationship Id="rId1392" Type="http://schemas.openxmlformats.org/officeDocument/2006/relationships/hyperlink" Target="https://www.tiktok.com/@resita13_" TargetMode="External"/><Relationship Id="rId1393" Type="http://schemas.openxmlformats.org/officeDocument/2006/relationships/hyperlink" Target="https://www.tiktok.com/@dwiereyiskandar" TargetMode="External"/><Relationship Id="rId1394" Type="http://schemas.openxmlformats.org/officeDocument/2006/relationships/hyperlink" Target="https://www.tiktok.com/@nabelasetiadi" TargetMode="External"/><Relationship Id="rId1395" Type="http://schemas.openxmlformats.org/officeDocument/2006/relationships/hyperlink" Target="https://www.tiktok.com/@Ryanazivaro" TargetMode="External"/><Relationship Id="rId323" Type="http://schemas.openxmlformats.org/officeDocument/2006/relationships/hyperlink" Target="https://www.tiktok.com/@haloastrii/video/7641883131309591829?is_from_webapp=1&amp;sender_device=pc" TargetMode="External"/><Relationship Id="rId1396" Type="http://schemas.openxmlformats.org/officeDocument/2006/relationships/hyperlink" Target="https://www.tiktok.com/@abangbobiboy" TargetMode="External"/><Relationship Id="rId322" Type="http://schemas.openxmlformats.org/officeDocument/2006/relationships/hyperlink" Target="https://www.tiktok.com/@haloastrii/video/7637361815529229589?is_from_webapp=1&amp;sender_device=pc" TargetMode="External"/><Relationship Id="rId1397" Type="http://schemas.openxmlformats.org/officeDocument/2006/relationships/hyperlink" Target="https://www.tiktok.com/@rninka" TargetMode="External"/><Relationship Id="rId321" Type="http://schemas.openxmlformats.org/officeDocument/2006/relationships/hyperlink" Target="https://www.tiktok.com/@haloastrii" TargetMode="External"/><Relationship Id="rId1398" Type="http://schemas.openxmlformats.org/officeDocument/2006/relationships/hyperlink" Target="https://www.tiktok.com/@GlamRizzAang" TargetMode="External"/><Relationship Id="rId320" Type="http://schemas.openxmlformats.org/officeDocument/2006/relationships/hyperlink" Target="https://www.tiktok.com/@putridevv1" TargetMode="External"/><Relationship Id="rId1399" Type="http://schemas.openxmlformats.org/officeDocument/2006/relationships/hyperlink" Target="https://www.tiktok.com/@sasa.marissa_" TargetMode="External"/><Relationship Id="rId1389" Type="http://schemas.openxmlformats.org/officeDocument/2006/relationships/hyperlink" Target="https://www.tiktok.com/@ulfaflow7" TargetMode="External"/><Relationship Id="rId316" Type="http://schemas.openxmlformats.org/officeDocument/2006/relationships/hyperlink" Target="https://www.tiktok.com/@musniatiatika/video/7636932661629455637?is_from_webapp=1&amp;sender_device=pc" TargetMode="External"/><Relationship Id="rId315" Type="http://schemas.openxmlformats.org/officeDocument/2006/relationships/hyperlink" Target="https://www.tiktok.com/@musniatiatika/video/7636577581105417493?is_from_webapp=1&amp;sender_device=pc" TargetMode="External"/><Relationship Id="rId799" Type="http://schemas.openxmlformats.org/officeDocument/2006/relationships/hyperlink" Target="https://www.tiktok.com/@ffia22" TargetMode="External"/><Relationship Id="rId314" Type="http://schemas.openxmlformats.org/officeDocument/2006/relationships/hyperlink" Target="https://www.tiktok.com/@musniatiatika" TargetMode="External"/><Relationship Id="rId798" Type="http://schemas.openxmlformats.org/officeDocument/2006/relationships/hyperlink" Target="https://www.tiktok.com/@Dwk0612" TargetMode="External"/><Relationship Id="rId313" Type="http://schemas.openxmlformats.org/officeDocument/2006/relationships/hyperlink" Target="https://www.tiktok.com/@Rskinaputri" TargetMode="External"/><Relationship Id="rId797" Type="http://schemas.openxmlformats.org/officeDocument/2006/relationships/hyperlink" Target="https://www.tiktok.com/@meyjayanti3/video/7643448901130898708?is_from_webapp=1&amp;sender_device=pc" TargetMode="External"/><Relationship Id="rId319" Type="http://schemas.openxmlformats.org/officeDocument/2006/relationships/hyperlink" Target="https://www.tiktok.com/@Idhaaathree.__" TargetMode="External"/><Relationship Id="rId318" Type="http://schemas.openxmlformats.org/officeDocument/2006/relationships/hyperlink" Target="https://www.tiktok.com/@musniatiatika/video/7640105770297658645?is_from_webapp=1&amp;sender_device=pc" TargetMode="External"/><Relationship Id="rId317" Type="http://schemas.openxmlformats.org/officeDocument/2006/relationships/hyperlink" Target="https://www.tiktok.com/@musniatiatika/video/7638489333929938196?is_from_webapp=1&amp;sender_device=pc" TargetMode="External"/><Relationship Id="rId1380" Type="http://schemas.openxmlformats.org/officeDocument/2006/relationships/hyperlink" Target="https://www.tiktok.com/@reza.rahmawati1" TargetMode="External"/><Relationship Id="rId792" Type="http://schemas.openxmlformats.org/officeDocument/2006/relationships/hyperlink" Target="https://www.tiktok.com/@maumau_m3" TargetMode="External"/><Relationship Id="rId1381" Type="http://schemas.openxmlformats.org/officeDocument/2006/relationships/hyperlink" Target="https://www.tiktok.com/@wulancahyaputri1990" TargetMode="External"/><Relationship Id="rId791" Type="http://schemas.openxmlformats.org/officeDocument/2006/relationships/hyperlink" Target="https://www.tiktok.com/@Beautyoftanti" TargetMode="External"/><Relationship Id="rId1382" Type="http://schemas.openxmlformats.org/officeDocument/2006/relationships/hyperlink" Target="https://www.tiktok.com/@pinky_pilloww" TargetMode="External"/><Relationship Id="rId790" Type="http://schemas.openxmlformats.org/officeDocument/2006/relationships/hyperlink" Target="https://www.tiktok.com/@Dailyliyaa" TargetMode="External"/><Relationship Id="rId1383" Type="http://schemas.openxmlformats.org/officeDocument/2006/relationships/hyperlink" Target="https://www.tiktok.com/@ichapinnky1" TargetMode="External"/><Relationship Id="rId1384" Type="http://schemas.openxmlformats.org/officeDocument/2006/relationships/hyperlink" Target="https://www.tiktok.com/@rindianidestizainn" TargetMode="External"/><Relationship Id="rId312" Type="http://schemas.openxmlformats.org/officeDocument/2006/relationships/hyperlink" Target="https://www.tiktok.com/@widyafajar2" TargetMode="External"/><Relationship Id="rId796" Type="http://schemas.openxmlformats.org/officeDocument/2006/relationships/hyperlink" Target="https://www.tiktok.com/@meyjayanti3/video/7641648858308644117?is_from_webapp=1&amp;sender_device=pc" TargetMode="External"/><Relationship Id="rId1385" Type="http://schemas.openxmlformats.org/officeDocument/2006/relationships/hyperlink" Target="https://www.tiktok.com/@tiyamom8" TargetMode="External"/><Relationship Id="rId311" Type="http://schemas.openxmlformats.org/officeDocument/2006/relationships/hyperlink" Target="https://www.tiktok.com/@bidan_akasi" TargetMode="External"/><Relationship Id="rId795" Type="http://schemas.openxmlformats.org/officeDocument/2006/relationships/hyperlink" Target="https://www.tiktok.com/@meyjayanti3" TargetMode="External"/><Relationship Id="rId1386" Type="http://schemas.openxmlformats.org/officeDocument/2006/relationships/hyperlink" Target="https://www.tiktok.com/@ranggaasyra" TargetMode="External"/><Relationship Id="rId310" Type="http://schemas.openxmlformats.org/officeDocument/2006/relationships/hyperlink" Target="https://www.tiktok.com/@Yullia008" TargetMode="External"/><Relationship Id="rId794" Type="http://schemas.openxmlformats.org/officeDocument/2006/relationships/hyperlink" Target="https://www.tiktok.com/@trisaarani" TargetMode="External"/><Relationship Id="rId1387" Type="http://schemas.openxmlformats.org/officeDocument/2006/relationships/hyperlink" Target="https://www.tiktok.com/@Opanlopelope" TargetMode="External"/><Relationship Id="rId793" Type="http://schemas.openxmlformats.org/officeDocument/2006/relationships/hyperlink" Target="https://www.tiktok.com/@maumau_m3/video/7644058414770851080?is_from_webapp=1&amp;sender_device=pc" TargetMode="External"/><Relationship Id="rId1388" Type="http://schemas.openxmlformats.org/officeDocument/2006/relationships/hyperlink" Target="https://www.tiktok.com/@ayuu7267" TargetMode="External"/><Relationship Id="rId297" Type="http://schemas.openxmlformats.org/officeDocument/2006/relationships/hyperlink" Target="https://vt.tiktok.com/ZSxTh5PEx/" TargetMode="External"/><Relationship Id="rId296" Type="http://schemas.openxmlformats.org/officeDocument/2006/relationships/hyperlink" Target="https://www.tiktok.com/@riskikiki001/video/7637044506507971847?is_from_webapp=1&amp;sender_device=pc" TargetMode="External"/><Relationship Id="rId295" Type="http://schemas.openxmlformats.org/officeDocument/2006/relationships/hyperlink" Target="https://www.tiktok.com/@Riskikiki001" TargetMode="External"/><Relationship Id="rId294" Type="http://schemas.openxmlformats.org/officeDocument/2006/relationships/hyperlink" Target="https://www.tiktok.com/@niimarl/video/7642649903675575559?is_from_webapp=1&amp;sender_device=pc" TargetMode="External"/><Relationship Id="rId299" Type="http://schemas.openxmlformats.org/officeDocument/2006/relationships/hyperlink" Target="https://www.tiktok.com/@Fenifebriyanti02" TargetMode="External"/><Relationship Id="rId298" Type="http://schemas.openxmlformats.org/officeDocument/2006/relationships/hyperlink" Target="https://www.tiktok.com/@ulyaaayns" TargetMode="External"/><Relationship Id="rId271" Type="http://schemas.openxmlformats.org/officeDocument/2006/relationships/hyperlink" Target="https://www.tiktok.com/@ade.imavid/video/7643308775339773205?is_from_webapp=1&amp;sender_device=pc" TargetMode="External"/><Relationship Id="rId270" Type="http://schemas.openxmlformats.org/officeDocument/2006/relationships/hyperlink" Target="https://www.tiktok.com/@ade.imavid/video/7641209928174095636?is_from_webapp=1&amp;sender_device=pc" TargetMode="External"/><Relationship Id="rId269" Type="http://schemas.openxmlformats.org/officeDocument/2006/relationships/hyperlink" Target="https://www.tiktok.com/@ade.imavid" TargetMode="External"/><Relationship Id="rId264" Type="http://schemas.openxmlformats.org/officeDocument/2006/relationships/hyperlink" Target="https://www.tiktok.com/@arifa__nf/video/7638910383050247445?is_from_webapp=1&amp;sender_device=pc" TargetMode="External"/><Relationship Id="rId263" Type="http://schemas.openxmlformats.org/officeDocument/2006/relationships/hyperlink" Target="https://www.tiktok.com/@arifa__nf/video/7638113332376997141?is_from_webapp=1&amp;sender_device=pc" TargetMode="External"/><Relationship Id="rId262" Type="http://schemas.openxmlformats.org/officeDocument/2006/relationships/hyperlink" Target="https://www.tiktok.com/@arifa__nf" TargetMode="External"/><Relationship Id="rId261" Type="http://schemas.openxmlformats.org/officeDocument/2006/relationships/hyperlink" Target="https://www.tiktok.com/@zaaketiga/video/7642350247670205704?is_from_webapp=1&amp;sender_device=pc" TargetMode="External"/><Relationship Id="rId268" Type="http://schemas.openxmlformats.org/officeDocument/2006/relationships/hyperlink" Target="https://www.tiktok.com/@dnrbds_" TargetMode="External"/><Relationship Id="rId267" Type="http://schemas.openxmlformats.org/officeDocument/2006/relationships/hyperlink" Target="https://www.tiktok.com/@ajenggabutterus1" TargetMode="External"/><Relationship Id="rId266" Type="http://schemas.openxmlformats.org/officeDocument/2006/relationships/hyperlink" Target="https://vt.tiktok.com/ZSxWGwnNF/" TargetMode="External"/><Relationship Id="rId265" Type="http://schemas.openxmlformats.org/officeDocument/2006/relationships/hyperlink" Target="https://www.tiktok.com/@arifa__nf/video/7642715698174725397?is_from_webapp=1&amp;sender_device=pc" TargetMode="External"/><Relationship Id="rId260" Type="http://schemas.openxmlformats.org/officeDocument/2006/relationships/hyperlink" Target="https://www.tiktok.com/@zaaketiga/video/7642244776988839175?is_from_webapp=1&amp;sender_device=pc" TargetMode="External"/><Relationship Id="rId259" Type="http://schemas.openxmlformats.org/officeDocument/2006/relationships/hyperlink" Target="https://www.tiktok.com/@Zaaketiga" TargetMode="External"/><Relationship Id="rId258" Type="http://schemas.openxmlformats.org/officeDocument/2006/relationships/hyperlink" Target="https://www.tiktok.com/@mencuss10/video/7639980330388114708?is_from_webapp=1&amp;sender_device=pc" TargetMode="External"/><Relationship Id="rId253" Type="http://schemas.openxmlformats.org/officeDocument/2006/relationships/hyperlink" Target="https://www.tiktok.com/@racun.byalf/video/7639155357083782420?is_from_webapp=1&amp;sender_device=pc" TargetMode="External"/><Relationship Id="rId252" Type="http://schemas.openxmlformats.org/officeDocument/2006/relationships/hyperlink" Target="https://www.tiktok.com/@racun.byalf/video/7637328586151578900?is_from_webapp=1&amp;sender_device=pc" TargetMode="External"/><Relationship Id="rId251" Type="http://schemas.openxmlformats.org/officeDocument/2006/relationships/hyperlink" Target="https://www.tiktok.com/@racun.byalf" TargetMode="External"/><Relationship Id="rId250" Type="http://schemas.openxmlformats.org/officeDocument/2006/relationships/hyperlink" Target="https://www.tiktok.com/@choberry14" TargetMode="External"/><Relationship Id="rId257" Type="http://schemas.openxmlformats.org/officeDocument/2006/relationships/hyperlink" Target="https://www.tiktok.com/@mencuss10/video/7638877739323346197?is_from_webapp=1&amp;sender_device=pc" TargetMode="External"/><Relationship Id="rId256" Type="http://schemas.openxmlformats.org/officeDocument/2006/relationships/hyperlink" Target="https://www.tiktok.com/@Mencuss10" TargetMode="External"/><Relationship Id="rId255" Type="http://schemas.openxmlformats.org/officeDocument/2006/relationships/hyperlink" Target="https://vt.tiktok.com/ZSxp4LL2F/" TargetMode="External"/><Relationship Id="rId254" Type="http://schemas.openxmlformats.org/officeDocument/2006/relationships/hyperlink" Target="https://www.tiktok.com/@racun.byalf/video/7641783073218120981?is_from_webapp=1&amp;sender_device=pc" TargetMode="External"/><Relationship Id="rId293" Type="http://schemas.openxmlformats.org/officeDocument/2006/relationships/hyperlink" Target="https://www.tiktok.com/@niimarl" TargetMode="External"/><Relationship Id="rId292" Type="http://schemas.openxmlformats.org/officeDocument/2006/relationships/hyperlink" Target="https://vt.tiktok.com/ZSxgSUQqu/" TargetMode="External"/><Relationship Id="rId291" Type="http://schemas.openxmlformats.org/officeDocument/2006/relationships/hyperlink" Target="https://vt.tiktok.com/ZSxBxeaSy/" TargetMode="External"/><Relationship Id="rId290" Type="http://schemas.openxmlformats.org/officeDocument/2006/relationships/hyperlink" Target="https://vt.tiktok.com/ZS9oafsyu/" TargetMode="External"/><Relationship Id="rId286" Type="http://schemas.openxmlformats.org/officeDocument/2006/relationships/hyperlink" Target="https://www.tiktok.com/@desymufti96/video/7641200707546123541?is_from_webapp=1&amp;sender_device=pc" TargetMode="External"/><Relationship Id="rId285" Type="http://schemas.openxmlformats.org/officeDocument/2006/relationships/hyperlink" Target="https://www.tiktok.com/@desymufti96/video/7640867344553757972?is_from_webapp=1&amp;sender_device=pc" TargetMode="External"/><Relationship Id="rId284" Type="http://schemas.openxmlformats.org/officeDocument/2006/relationships/hyperlink" Target="https://www.tiktok.com/@DesyMufti96" TargetMode="External"/><Relationship Id="rId283" Type="http://schemas.openxmlformats.org/officeDocument/2006/relationships/hyperlink" Target="https://www.tiktok.com/@innaahhiyan/video/7637367243881385224?is_from_webapp=1&amp;sender_device=pc" TargetMode="External"/><Relationship Id="rId289" Type="http://schemas.openxmlformats.org/officeDocument/2006/relationships/hyperlink" Target="https://www.tiktok.com/@theycallmesheryl/video/7637139368129482002?is_from_webapp=1&amp;sender_device=pc" TargetMode="External"/><Relationship Id="rId288" Type="http://schemas.openxmlformats.org/officeDocument/2006/relationships/hyperlink" Target="https://www.tiktok.com/@theycallmesheryl" TargetMode="External"/><Relationship Id="rId287" Type="http://schemas.openxmlformats.org/officeDocument/2006/relationships/hyperlink" Target="https://www.tiktok.com/@dewiisma_88" TargetMode="External"/><Relationship Id="rId282" Type="http://schemas.openxmlformats.org/officeDocument/2006/relationships/hyperlink" Target="https://www.tiktok.com/@innaahhiyan/video/7637191873857211655?is_from_webapp=1&amp;sender_device=pc" TargetMode="External"/><Relationship Id="rId281" Type="http://schemas.openxmlformats.org/officeDocument/2006/relationships/hyperlink" Target="https://www.tiktok.com/@innaahhiyan" TargetMode="External"/><Relationship Id="rId280" Type="http://schemas.openxmlformats.org/officeDocument/2006/relationships/hyperlink" Target="https://www.tiktok.com/@yanti_nainggolan" TargetMode="External"/><Relationship Id="rId275" Type="http://schemas.openxmlformats.org/officeDocument/2006/relationships/hyperlink" Target="https://vt.tiktok.com/ZS9Vbpsmy/" TargetMode="External"/><Relationship Id="rId274" Type="http://schemas.openxmlformats.org/officeDocument/2006/relationships/hyperlink" Target="https://www.tiktok.com/@Laila.nj1212" TargetMode="External"/><Relationship Id="rId273" Type="http://schemas.openxmlformats.org/officeDocument/2006/relationships/hyperlink" Target="https://www.tiktok.com/@syakiraazizahnh1_" TargetMode="External"/><Relationship Id="rId272" Type="http://schemas.openxmlformats.org/officeDocument/2006/relationships/hyperlink" Target="https://www.tiktok.com/@kakaesthy" TargetMode="External"/><Relationship Id="rId279" Type="http://schemas.openxmlformats.org/officeDocument/2006/relationships/hyperlink" Target="https://www.tiktok.com/@chrnmccar" TargetMode="External"/><Relationship Id="rId278" Type="http://schemas.openxmlformats.org/officeDocument/2006/relationships/hyperlink" Target="https://www.tiktok.com/@laila.nj1212/video/7639967556899474695?is_from_webapp=1&amp;sender_device=pc" TargetMode="External"/><Relationship Id="rId277" Type="http://schemas.openxmlformats.org/officeDocument/2006/relationships/hyperlink" Target="https://www.tiktok.com/@laila.nj1212/video/7639163228345584903?is_from_webapp=1&amp;sender_device=pc" TargetMode="External"/><Relationship Id="rId276" Type="http://schemas.openxmlformats.org/officeDocument/2006/relationships/hyperlink" Target="https://vt.tiktok.com/ZS9bCoVg7/" TargetMode="External"/><Relationship Id="rId1455" Type="http://schemas.openxmlformats.org/officeDocument/2006/relationships/hyperlink" Target="https://www.tiktok.com/@detikurnia378" TargetMode="External"/><Relationship Id="rId1456" Type="http://schemas.openxmlformats.org/officeDocument/2006/relationships/hyperlink" Target="https://www.tiktok.com/@ratu.azizah94" TargetMode="External"/><Relationship Id="rId1457" Type="http://schemas.openxmlformats.org/officeDocument/2006/relationships/hyperlink" Target="https://www.tiktok.com/@1uvvlyla0" TargetMode="External"/><Relationship Id="rId1458" Type="http://schemas.openxmlformats.org/officeDocument/2006/relationships/hyperlink" Target="https://www.tiktok.com/@tasyaa_712" TargetMode="External"/><Relationship Id="rId1459" Type="http://schemas.openxmlformats.org/officeDocument/2006/relationships/hyperlink" Target="https://www.tiktok.com/@rifiaalmaidah17" TargetMode="External"/><Relationship Id="rId629" Type="http://schemas.openxmlformats.org/officeDocument/2006/relationships/hyperlink" Target="https://www.tiktok.com/@Dailyfenera" TargetMode="External"/><Relationship Id="rId624" Type="http://schemas.openxmlformats.org/officeDocument/2006/relationships/hyperlink" Target="https://www.tiktok.com/@r.amalia_mel" TargetMode="External"/><Relationship Id="rId623" Type="http://schemas.openxmlformats.org/officeDocument/2006/relationships/hyperlink" Target="https://www.tiktok.com/@nhai1612" TargetMode="External"/><Relationship Id="rId622" Type="http://schemas.openxmlformats.org/officeDocument/2006/relationships/hyperlink" Target="https://www.tiktok.com/@itsyourvinn_/video/7643259645259189525?is_from_webapp=1&amp;sender_device=pc" TargetMode="External"/><Relationship Id="rId621" Type="http://schemas.openxmlformats.org/officeDocument/2006/relationships/hyperlink" Target="https://www.tiktok.com/@itsyourvinn_/video/7641383715309948181?is_from_webapp=1&amp;sender_device=pc" TargetMode="External"/><Relationship Id="rId628" Type="http://schemas.openxmlformats.org/officeDocument/2006/relationships/hyperlink" Target="https://www.tiktok.com/@aeriiptri" TargetMode="External"/><Relationship Id="rId627" Type="http://schemas.openxmlformats.org/officeDocument/2006/relationships/hyperlink" Target="https://www.tiktok.com/@atiek_tikkk" TargetMode="External"/><Relationship Id="rId626" Type="http://schemas.openxmlformats.org/officeDocument/2006/relationships/hyperlink" Target="https://www.tiktok.com/@yeppiyippi" TargetMode="External"/><Relationship Id="rId625" Type="http://schemas.openxmlformats.org/officeDocument/2006/relationships/hyperlink" Target="https://www.tiktok.com/@marifatul_mahmudah3" TargetMode="External"/><Relationship Id="rId1450" Type="http://schemas.openxmlformats.org/officeDocument/2006/relationships/hyperlink" Target="https://www.tiktok.com/@xx.snl" TargetMode="External"/><Relationship Id="rId620" Type="http://schemas.openxmlformats.org/officeDocument/2006/relationships/hyperlink" Target="https://www.tiktok.com/@itsyourvinn_/video/7640270094253165845?is_from_webapp=1&amp;sender_device=pc" TargetMode="External"/><Relationship Id="rId1451" Type="http://schemas.openxmlformats.org/officeDocument/2006/relationships/hyperlink" Target="https://www.tiktok.com/@seoyouzie" TargetMode="External"/><Relationship Id="rId1452" Type="http://schemas.openxmlformats.org/officeDocument/2006/relationships/hyperlink" Target="https://www.tiktok.com/@Nisafahhn" TargetMode="External"/><Relationship Id="rId1453" Type="http://schemas.openxmlformats.org/officeDocument/2006/relationships/hyperlink" Target="https://www.tiktok.com/@marshaaa.l" TargetMode="External"/><Relationship Id="rId1454" Type="http://schemas.openxmlformats.org/officeDocument/2006/relationships/hyperlink" Target="https://www.tiktok.com/@Luluk.m6" TargetMode="External"/><Relationship Id="rId1444" Type="http://schemas.openxmlformats.org/officeDocument/2006/relationships/hyperlink" Target="https://www.tiktok.com/@puput.amelia017" TargetMode="External"/><Relationship Id="rId1445" Type="http://schemas.openxmlformats.org/officeDocument/2006/relationships/hyperlink" Target="https://www.tiktok.com/@noviyantivahira" TargetMode="External"/><Relationship Id="rId1446" Type="http://schemas.openxmlformats.org/officeDocument/2006/relationships/hyperlink" Target="https://www.tiktok.com/@mmialual" TargetMode="External"/><Relationship Id="rId1447" Type="http://schemas.openxmlformats.org/officeDocument/2006/relationships/hyperlink" Target="https://www.tiktok.com/@oktapia000" TargetMode="External"/><Relationship Id="rId1448" Type="http://schemas.openxmlformats.org/officeDocument/2006/relationships/hyperlink" Target="https://www.tiktok.com/@belaaa_117" TargetMode="External"/><Relationship Id="rId1449" Type="http://schemas.openxmlformats.org/officeDocument/2006/relationships/hyperlink" Target="https://www.tiktok.com/@dwie.twins" TargetMode="External"/><Relationship Id="rId619" Type="http://schemas.openxmlformats.org/officeDocument/2006/relationships/hyperlink" Target="https://www.tiktok.com/@itsyourvinn_/video/7639214616991698197?is_from_webapp=1&amp;sender_device=pc" TargetMode="External"/><Relationship Id="rId618" Type="http://schemas.openxmlformats.org/officeDocument/2006/relationships/hyperlink" Target="https://www.tiktok.com/@itsyourvinn_" TargetMode="External"/><Relationship Id="rId613" Type="http://schemas.openxmlformats.org/officeDocument/2006/relationships/hyperlink" Target="https://www.tiktok.com/@fashionbyvaraa" TargetMode="External"/><Relationship Id="rId612" Type="http://schemas.openxmlformats.org/officeDocument/2006/relationships/hyperlink" Target="https://www.tiktok.com/@spillbylisaa/video/7644100418041122055?is_from_webapp=1&amp;sender_device=pc" TargetMode="External"/><Relationship Id="rId611" Type="http://schemas.openxmlformats.org/officeDocument/2006/relationships/hyperlink" Target="https://www.tiktok.com/@spillbylisaa/video/7642175778175601928?is_from_webapp=1&amp;sender_device=pc" TargetMode="External"/><Relationship Id="rId610" Type="http://schemas.openxmlformats.org/officeDocument/2006/relationships/hyperlink" Target="https://www.tiktok.com/@spillbylisaa" TargetMode="External"/><Relationship Id="rId617" Type="http://schemas.openxmlformats.org/officeDocument/2006/relationships/hyperlink" Target="https://www.tiktok.com/@fashionbyvaraa/video/7643436095241194772?is_from_webapp=1&amp;sender_device=pc" TargetMode="External"/><Relationship Id="rId616" Type="http://schemas.openxmlformats.org/officeDocument/2006/relationships/hyperlink" Target="https://www.tiktok.com/@fashionbyvaraa/video/7643237088120294676?is_from_webapp=1&amp;sender_device=pc" TargetMode="External"/><Relationship Id="rId615" Type="http://schemas.openxmlformats.org/officeDocument/2006/relationships/hyperlink" Target="https://www.tiktok.com/@fashionbyvaraa/video/7640463639270509845?is_from_webapp=1&amp;sender_device=pc" TargetMode="External"/><Relationship Id="rId614" Type="http://schemas.openxmlformats.org/officeDocument/2006/relationships/hyperlink" Target="https://www.tiktok.com/@fashionbyvaraa/video/7640438109158526229?is_from_webapp=1&amp;sender_device=pc" TargetMode="External"/><Relationship Id="rId1440" Type="http://schemas.openxmlformats.org/officeDocument/2006/relationships/hyperlink" Target="https://www.tiktok.com/@purple.pul" TargetMode="External"/><Relationship Id="rId1441" Type="http://schemas.openxmlformats.org/officeDocument/2006/relationships/hyperlink" Target="https://www.tiktok.com/@calysta.kirei" TargetMode="External"/><Relationship Id="rId1442" Type="http://schemas.openxmlformats.org/officeDocument/2006/relationships/hyperlink" Target="https://www.tiktok.com/@Riia_309" TargetMode="External"/><Relationship Id="rId1443" Type="http://schemas.openxmlformats.org/officeDocument/2006/relationships/hyperlink" Target="https://www.tiktok.com/@orgbumi.77" TargetMode="External"/><Relationship Id="rId1477" Type="http://schemas.openxmlformats.org/officeDocument/2006/relationships/hyperlink" Target="https://www.tiktok.com/@Rismamsyyy" TargetMode="External"/><Relationship Id="rId1478" Type="http://schemas.openxmlformats.org/officeDocument/2006/relationships/hyperlink" Target="https://www.tiktok.com/@imi1__" TargetMode="External"/><Relationship Id="rId1479" Type="http://schemas.openxmlformats.org/officeDocument/2006/relationships/hyperlink" Target="https://www.tiktok.com/@Mamacilla1407" TargetMode="External"/><Relationship Id="rId646" Type="http://schemas.openxmlformats.org/officeDocument/2006/relationships/hyperlink" Target="https://www.tiktok.com/@mozza_store30/video/7639895010540211476?is_from_webapp=1&amp;sender_device=pc" TargetMode="External"/><Relationship Id="rId645" Type="http://schemas.openxmlformats.org/officeDocument/2006/relationships/hyperlink" Target="https://www.tiktok.com/@mozza_store30/video/7639237772301356308?is_from_webapp=1&amp;sender_device=pc" TargetMode="External"/><Relationship Id="rId644" Type="http://schemas.openxmlformats.org/officeDocument/2006/relationships/hyperlink" Target="https://www.tiktok.com/@mozza_store30/video/7638250448201370900?is_from_webapp=1&amp;sender_device=pc" TargetMode="External"/><Relationship Id="rId643" Type="http://schemas.openxmlformats.org/officeDocument/2006/relationships/hyperlink" Target="https://vt.tiktok.com/ZS9cjp6Uq/" TargetMode="External"/><Relationship Id="rId649" Type="http://schemas.openxmlformats.org/officeDocument/2006/relationships/hyperlink" Target="https://www.tiktok.com/@oktaviaaa11_/video/7642482117410147591?is_from_webapp=1&amp;sender_device=pc" TargetMode="External"/><Relationship Id="rId648" Type="http://schemas.openxmlformats.org/officeDocument/2006/relationships/hyperlink" Target="https://www.tiktok.com/@oktaviaaa11_/video/7640825803768466696?is_from_webapp=1&amp;sender_device=pc" TargetMode="External"/><Relationship Id="rId647" Type="http://schemas.openxmlformats.org/officeDocument/2006/relationships/hyperlink" Target="https://www.tiktok.com/@oktaviaaa11_" TargetMode="External"/><Relationship Id="rId1470" Type="http://schemas.openxmlformats.org/officeDocument/2006/relationships/hyperlink" Target="https://www.tiktok.com/@sipalingrandom08" TargetMode="External"/><Relationship Id="rId1471" Type="http://schemas.openxmlformats.org/officeDocument/2006/relationships/hyperlink" Target="https://www.tiktok.com/@siputttttt39" TargetMode="External"/><Relationship Id="rId1472" Type="http://schemas.openxmlformats.org/officeDocument/2006/relationships/hyperlink" Target="https://www.tiktok.com/@illona1230" TargetMode="External"/><Relationship Id="rId642" Type="http://schemas.openxmlformats.org/officeDocument/2006/relationships/hyperlink" Target="https://www.tiktok.com/@mozza_store30" TargetMode="External"/><Relationship Id="rId1473" Type="http://schemas.openxmlformats.org/officeDocument/2006/relationships/hyperlink" Target="https://www.tiktok.com/@animar.jafar" TargetMode="External"/><Relationship Id="rId641" Type="http://schemas.openxmlformats.org/officeDocument/2006/relationships/hyperlink" Target="https://www.tiktok.com/@aystraaa_" TargetMode="External"/><Relationship Id="rId1474" Type="http://schemas.openxmlformats.org/officeDocument/2006/relationships/hyperlink" Target="https://www.tiktok.com/@resyaputri86" TargetMode="External"/><Relationship Id="rId640" Type="http://schemas.openxmlformats.org/officeDocument/2006/relationships/hyperlink" Target="https://www.tiktok.com/@apaajauy26" TargetMode="External"/><Relationship Id="rId1475" Type="http://schemas.openxmlformats.org/officeDocument/2006/relationships/hyperlink" Target="https://www.tiktok.com/@allviyafirmansyah" TargetMode="External"/><Relationship Id="rId1476" Type="http://schemas.openxmlformats.org/officeDocument/2006/relationships/hyperlink" Target="https://www.tiktok.com/@Widiaaa_mnz" TargetMode="External"/><Relationship Id="rId1466" Type="http://schemas.openxmlformats.org/officeDocument/2006/relationships/hyperlink" Target="https://www.tiktok.com/@Yangyangg" TargetMode="External"/><Relationship Id="rId1467" Type="http://schemas.openxmlformats.org/officeDocument/2006/relationships/hyperlink" Target="https://www.tiktok.com/@_rifkadwy" TargetMode="External"/><Relationship Id="rId1468" Type="http://schemas.openxmlformats.org/officeDocument/2006/relationships/hyperlink" Target="https://www.tiktok.com/@wlynov" TargetMode="External"/><Relationship Id="rId1469" Type="http://schemas.openxmlformats.org/officeDocument/2006/relationships/hyperlink" Target="https://www.tiktok.com/@productskin" TargetMode="External"/><Relationship Id="rId635" Type="http://schemas.openxmlformats.org/officeDocument/2006/relationships/hyperlink" Target="https://www.tiktok.com/@hixybinn/video/7640777129868807444?is_from_webapp=1&amp;sender_device=pc" TargetMode="External"/><Relationship Id="rId634" Type="http://schemas.openxmlformats.org/officeDocument/2006/relationships/hyperlink" Target="https://www.tiktok.com/@hixybinn" TargetMode="External"/><Relationship Id="rId633" Type="http://schemas.openxmlformats.org/officeDocument/2006/relationships/hyperlink" Target="https://www.tiktok.com/@lathifaaa__" TargetMode="External"/><Relationship Id="rId632" Type="http://schemas.openxmlformats.org/officeDocument/2006/relationships/hyperlink" Target="https://www.tiktok.com/@officialakang_" TargetMode="External"/><Relationship Id="rId639" Type="http://schemas.openxmlformats.org/officeDocument/2006/relationships/hyperlink" Target="https://www.tiktok.com/@uniqueitem_" TargetMode="External"/><Relationship Id="rId638" Type="http://schemas.openxmlformats.org/officeDocument/2006/relationships/hyperlink" Target="https://www.tiktok.com/@ifanasyiffa" TargetMode="External"/><Relationship Id="rId637" Type="http://schemas.openxmlformats.org/officeDocument/2006/relationships/hyperlink" Target="https://www.tiktok.com/@fitrifitt_" TargetMode="External"/><Relationship Id="rId636" Type="http://schemas.openxmlformats.org/officeDocument/2006/relationships/hyperlink" Target="https://www.tiktok.com/@fashiontrenda" TargetMode="External"/><Relationship Id="rId1460" Type="http://schemas.openxmlformats.org/officeDocument/2006/relationships/hyperlink" Target="https://www.tiktok.com/@mbak.lia.kd" TargetMode="External"/><Relationship Id="rId1461" Type="http://schemas.openxmlformats.org/officeDocument/2006/relationships/hyperlink" Target="https://www.tiktok.com/@renn.ans" TargetMode="External"/><Relationship Id="rId631" Type="http://schemas.openxmlformats.org/officeDocument/2006/relationships/hyperlink" Target="https://www.tiktok.com/@cutbulann/video/7642620314123275540?is_from_webapp=1&amp;sender_device=pc" TargetMode="External"/><Relationship Id="rId1462" Type="http://schemas.openxmlformats.org/officeDocument/2006/relationships/hyperlink" Target="http://zyta.co" TargetMode="External"/><Relationship Id="rId630" Type="http://schemas.openxmlformats.org/officeDocument/2006/relationships/hyperlink" Target="https://www.tiktok.com/@cutbulann" TargetMode="External"/><Relationship Id="rId1463" Type="http://schemas.openxmlformats.org/officeDocument/2006/relationships/hyperlink" Target="https://www.tiktok.com/@Zyta.co" TargetMode="External"/><Relationship Id="rId1464" Type="http://schemas.openxmlformats.org/officeDocument/2006/relationships/hyperlink" Target="https://www.tiktok.com/@Vio_ku" TargetMode="External"/><Relationship Id="rId1465" Type="http://schemas.openxmlformats.org/officeDocument/2006/relationships/hyperlink" Target="https://www.tiktok.com/@efi7319" TargetMode="External"/><Relationship Id="rId1411" Type="http://schemas.openxmlformats.org/officeDocument/2006/relationships/hyperlink" Target="https://www.tiktok.com/@sweetieputi" TargetMode="External"/><Relationship Id="rId1412" Type="http://schemas.openxmlformats.org/officeDocument/2006/relationships/hyperlink" Target="https://www.tiktok.com/@dianpawes" TargetMode="External"/><Relationship Id="rId1413" Type="http://schemas.openxmlformats.org/officeDocument/2006/relationships/hyperlink" Target="https://www.tiktok.com/@ryka.ku" TargetMode="External"/><Relationship Id="rId1414" Type="http://schemas.openxmlformats.org/officeDocument/2006/relationships/hyperlink" Target="https://www.tiktok.com/@Triaa359" TargetMode="External"/><Relationship Id="rId1415" Type="http://schemas.openxmlformats.org/officeDocument/2006/relationships/hyperlink" Target="https://www.tiktok.com/@asniarmansur89" TargetMode="External"/><Relationship Id="rId1416" Type="http://schemas.openxmlformats.org/officeDocument/2006/relationships/hyperlink" Target="https://www.tiktok.com/@Wdzz99" TargetMode="External"/><Relationship Id="rId1417" Type="http://schemas.openxmlformats.org/officeDocument/2006/relationships/hyperlink" Target="https://www.tiktok.com/@disasalsabila00" TargetMode="External"/><Relationship Id="rId1418" Type="http://schemas.openxmlformats.org/officeDocument/2006/relationships/hyperlink" Target="https://www.tiktok.com/@pingkypingky10" TargetMode="External"/><Relationship Id="rId1419" Type="http://schemas.openxmlformats.org/officeDocument/2006/relationships/hyperlink" Target="https://www.tiktok.com/@Cumilbeauty" TargetMode="External"/><Relationship Id="rId1410" Type="http://schemas.openxmlformats.org/officeDocument/2006/relationships/hyperlink" Target="https://www.tiktok.com/@dyahoupsi" TargetMode="External"/><Relationship Id="rId1400" Type="http://schemas.openxmlformats.org/officeDocument/2006/relationships/hyperlink" Target="https://www.tiktok.com/@Yasminnkim" TargetMode="External"/><Relationship Id="rId1401" Type="http://schemas.openxmlformats.org/officeDocument/2006/relationships/hyperlink" Target="https://www.tiktok.com/@henipurwanti18" TargetMode="External"/><Relationship Id="rId1402" Type="http://schemas.openxmlformats.org/officeDocument/2006/relationships/hyperlink" Target="https://www.tiktok.com/@Bisikanmatapanda" TargetMode="External"/><Relationship Id="rId1403" Type="http://schemas.openxmlformats.org/officeDocument/2006/relationships/hyperlink" Target="https://www.tiktok.com/@arshavch" TargetMode="External"/><Relationship Id="rId1404" Type="http://schemas.openxmlformats.org/officeDocument/2006/relationships/hyperlink" Target="https://www.tiktok.com/@lusitaadyaa" TargetMode="External"/><Relationship Id="rId1405" Type="http://schemas.openxmlformats.org/officeDocument/2006/relationships/hyperlink" Target="https://www.tiktok.com/@ka.ameera" TargetMode="External"/><Relationship Id="rId1406" Type="http://schemas.openxmlformats.org/officeDocument/2006/relationships/hyperlink" Target="https://www.tiktok.com/@tiarameisynda" TargetMode="External"/><Relationship Id="rId1407" Type="http://schemas.openxmlformats.org/officeDocument/2006/relationships/hyperlink" Target="https://www.tiktok.com/@pinkyyygirl75" TargetMode="External"/><Relationship Id="rId1408" Type="http://schemas.openxmlformats.org/officeDocument/2006/relationships/hyperlink" Target="https://www.tiktok.com/@anugrahpratiwi277" TargetMode="External"/><Relationship Id="rId1409" Type="http://schemas.openxmlformats.org/officeDocument/2006/relationships/hyperlink" Target="https://www.tiktok.com/@zaleyahna" TargetMode="External"/><Relationship Id="rId1433" Type="http://schemas.openxmlformats.org/officeDocument/2006/relationships/hyperlink" Target="https://www.tiktok.com/@Anayoseoo" TargetMode="External"/><Relationship Id="rId1434" Type="http://schemas.openxmlformats.org/officeDocument/2006/relationships/hyperlink" Target="https://www.tiktok.com/@Kartiniay" TargetMode="External"/><Relationship Id="rId1435" Type="http://schemas.openxmlformats.org/officeDocument/2006/relationships/hyperlink" Target="https://www.tiktok.com/@muslimah_hijrah85" TargetMode="External"/><Relationship Id="rId1436" Type="http://schemas.openxmlformats.org/officeDocument/2006/relationships/hyperlink" Target="https://www.tiktok.com/@iamvalerie_" TargetMode="External"/><Relationship Id="rId1437" Type="http://schemas.openxmlformats.org/officeDocument/2006/relationships/hyperlink" Target="https://www.tiktok.com/@maminaegan" TargetMode="External"/><Relationship Id="rId1438" Type="http://schemas.openxmlformats.org/officeDocument/2006/relationships/hyperlink" Target="https://www.tiktok.com/@evanuryani17" TargetMode="External"/><Relationship Id="rId1439" Type="http://schemas.openxmlformats.org/officeDocument/2006/relationships/hyperlink" Target="https://www.tiktok.com/@dinitahermawan09" TargetMode="External"/><Relationship Id="rId609" Type="http://schemas.openxmlformats.org/officeDocument/2006/relationships/hyperlink" Target="https://www.tiktok.com/@sevenaque_" TargetMode="External"/><Relationship Id="rId608" Type="http://schemas.openxmlformats.org/officeDocument/2006/relationships/hyperlink" Target="https://www.tiktok.com/@indahcavalera" TargetMode="External"/><Relationship Id="rId607" Type="http://schemas.openxmlformats.org/officeDocument/2006/relationships/hyperlink" Target="https://www.tiktok.com/@elfss_i" TargetMode="External"/><Relationship Id="rId602" Type="http://schemas.openxmlformats.org/officeDocument/2006/relationships/hyperlink" Target="https://www.tiktok.com/@tiaaajaaa93/video/7641117896474692885?is_from_webapp=1&amp;sender_device=pc" TargetMode="External"/><Relationship Id="rId601" Type="http://schemas.openxmlformats.org/officeDocument/2006/relationships/hyperlink" Target="https://www.tiktok.com/@tiaaajaaa93" TargetMode="External"/><Relationship Id="rId600" Type="http://schemas.openxmlformats.org/officeDocument/2006/relationships/hyperlink" Target="https://www.tiktok.com/@hidayatibintizamzami" TargetMode="External"/><Relationship Id="rId606" Type="http://schemas.openxmlformats.org/officeDocument/2006/relationships/hyperlink" Target="https://www.tiktok.com/@.anismarsela14" TargetMode="External"/><Relationship Id="rId605" Type="http://schemas.openxmlformats.org/officeDocument/2006/relationships/hyperlink" Target="https://www.tiktok.com/@fashionkuuuu_" TargetMode="External"/><Relationship Id="rId604" Type="http://schemas.openxmlformats.org/officeDocument/2006/relationships/hyperlink" Target="https://www.tiktok.com/@dncnadya" TargetMode="External"/><Relationship Id="rId603" Type="http://schemas.openxmlformats.org/officeDocument/2006/relationships/hyperlink" Target="https://www.tiktok.com/@mutiarabintang.2" TargetMode="External"/><Relationship Id="rId1430" Type="http://schemas.openxmlformats.org/officeDocument/2006/relationships/hyperlink" Target="https://www.tiktok.com/@Mama.eve00" TargetMode="External"/><Relationship Id="rId1431" Type="http://schemas.openxmlformats.org/officeDocument/2006/relationships/hyperlink" Target="https://www.tiktok.com/@ilhamsai_store" TargetMode="External"/><Relationship Id="rId1432" Type="http://schemas.openxmlformats.org/officeDocument/2006/relationships/hyperlink" Target="https://www.tiktok.com/@Wysnta3" TargetMode="External"/><Relationship Id="rId1422" Type="http://schemas.openxmlformats.org/officeDocument/2006/relationships/hyperlink" Target="https://www.tiktok.com/@Bunyeska" TargetMode="External"/><Relationship Id="rId1423" Type="http://schemas.openxmlformats.org/officeDocument/2006/relationships/hyperlink" Target="http://beautyroutine.vi" TargetMode="External"/><Relationship Id="rId1424" Type="http://schemas.openxmlformats.org/officeDocument/2006/relationships/hyperlink" Target="https://www.tiktok.com/@beautyroutine.vi" TargetMode="External"/><Relationship Id="rId1425" Type="http://schemas.openxmlformats.org/officeDocument/2006/relationships/hyperlink" Target="https://www.tiktok.com/@Indahlindah24" TargetMode="External"/><Relationship Id="rId1426" Type="http://schemas.openxmlformats.org/officeDocument/2006/relationships/hyperlink" Target="https://www.tiktok.com/@Ucieebisnisss" TargetMode="External"/><Relationship Id="rId1427" Type="http://schemas.openxmlformats.org/officeDocument/2006/relationships/hyperlink" Target="https://www.tiktok.com/@cece_koko333" TargetMode="External"/><Relationship Id="rId1428" Type="http://schemas.openxmlformats.org/officeDocument/2006/relationships/hyperlink" Target="https://www.tiktok.com/@gitagustin18" TargetMode="External"/><Relationship Id="rId1429" Type="http://schemas.openxmlformats.org/officeDocument/2006/relationships/hyperlink" Target="https://www.tiktok.com/@Arthauli16" TargetMode="External"/><Relationship Id="rId1420" Type="http://schemas.openxmlformats.org/officeDocument/2006/relationships/hyperlink" Target="https://www.tiktok.com/@Ratnadailyfinds" TargetMode="External"/><Relationship Id="rId1421" Type="http://schemas.openxmlformats.org/officeDocument/2006/relationships/hyperlink" Target="https://www.tiktok.com/@triana_saputri12" TargetMode="External"/><Relationship Id="rId1059" Type="http://schemas.openxmlformats.org/officeDocument/2006/relationships/hyperlink" Target="https://www.tiktok.com/@salsabilla_zea/video/7643578011501038868?is_from_webapp=1&amp;sender_device=pc" TargetMode="External"/><Relationship Id="rId228" Type="http://schemas.openxmlformats.org/officeDocument/2006/relationships/hyperlink" Target="https://www.tiktok.com/@kyaraamoera" TargetMode="External"/><Relationship Id="rId227" Type="http://schemas.openxmlformats.org/officeDocument/2006/relationships/hyperlink" Target="https://www.tiktok.com/@delvygraceps" TargetMode="External"/><Relationship Id="rId226" Type="http://schemas.openxmlformats.org/officeDocument/2006/relationships/hyperlink" Target="https://www.tiktok.com/@Liynafu" TargetMode="External"/><Relationship Id="rId225" Type="http://schemas.openxmlformats.org/officeDocument/2006/relationships/hyperlink" Target="https://www.tiktok.com/@lisnawaaa/video/7643750589158984980?is_from_webapp=1&amp;sender_device=pc" TargetMode="External"/><Relationship Id="rId229" Type="http://schemas.openxmlformats.org/officeDocument/2006/relationships/hyperlink" Target="https://www.tiktok.com/@Idaooooo0" TargetMode="External"/><Relationship Id="rId1050" Type="http://schemas.openxmlformats.org/officeDocument/2006/relationships/hyperlink" Target="https://www.tiktok.com/@kheaa.kr/video/7641863455246519570?is_from_webapp=1&amp;sender_device=pc" TargetMode="External"/><Relationship Id="rId220" Type="http://schemas.openxmlformats.org/officeDocument/2006/relationships/hyperlink" Target="https://www.tiktok.com/@onja.onya/video/7639401853133868308?is_from_webapp=1&amp;sender_device=pc" TargetMode="External"/><Relationship Id="rId1051" Type="http://schemas.openxmlformats.org/officeDocument/2006/relationships/hyperlink" Target="https://www.tiktok.com/@kheaa.kr/video/7642711647630445832?is_from_webapp=1&amp;sender_device=pc" TargetMode="External"/><Relationship Id="rId1052" Type="http://schemas.openxmlformats.org/officeDocument/2006/relationships/hyperlink" Target="https://www.tiktok.com/@hiselsr" TargetMode="External"/><Relationship Id="rId1053" Type="http://schemas.openxmlformats.org/officeDocument/2006/relationships/hyperlink" Target="https://www.tiktok.com/@thia.narulita" TargetMode="External"/><Relationship Id="rId1054" Type="http://schemas.openxmlformats.org/officeDocument/2006/relationships/hyperlink" Target="https://www.tiktok.com/@geminies22" TargetMode="External"/><Relationship Id="rId224" Type="http://schemas.openxmlformats.org/officeDocument/2006/relationships/hyperlink" Target="https://www.tiktok.com/@lisnawaaa/video/7638832295163563284?is_from_webapp=1&amp;sender_device=pc" TargetMode="External"/><Relationship Id="rId1055" Type="http://schemas.openxmlformats.org/officeDocument/2006/relationships/hyperlink" Target="https://www.tiktok.com/@Lavlavooooo" TargetMode="External"/><Relationship Id="rId223" Type="http://schemas.openxmlformats.org/officeDocument/2006/relationships/hyperlink" Target="https://www.tiktok.com/@lisnawaaa/video/7639246243096464661?is_from_webapp=1&amp;sender_device=pc" TargetMode="External"/><Relationship Id="rId1056" Type="http://schemas.openxmlformats.org/officeDocument/2006/relationships/hyperlink" Target="https://www.tiktok.com/@raudhatl.azzahra_" TargetMode="External"/><Relationship Id="rId222" Type="http://schemas.openxmlformats.org/officeDocument/2006/relationships/hyperlink" Target="https://www.tiktok.com/@Lisnawaaa" TargetMode="External"/><Relationship Id="rId1057" Type="http://schemas.openxmlformats.org/officeDocument/2006/relationships/hyperlink" Target="https://www.tiktok.com/@glizara_" TargetMode="External"/><Relationship Id="rId221" Type="http://schemas.openxmlformats.org/officeDocument/2006/relationships/hyperlink" Target="https://www.tiktok.com/@onja.onya/video/7640070677323599125?is_from_webapp=1&amp;sender_device=pc" TargetMode="External"/><Relationship Id="rId1058" Type="http://schemas.openxmlformats.org/officeDocument/2006/relationships/hyperlink" Target="https://www.tiktok.com/@Salsabilla_zea" TargetMode="External"/><Relationship Id="rId1048" Type="http://schemas.openxmlformats.org/officeDocument/2006/relationships/hyperlink" Target="http://kheaa.kr" TargetMode="External"/><Relationship Id="rId1049" Type="http://schemas.openxmlformats.org/officeDocument/2006/relationships/hyperlink" Target="https://www.tiktok.com/@kheaa.kr" TargetMode="External"/><Relationship Id="rId217" Type="http://schemas.openxmlformats.org/officeDocument/2006/relationships/hyperlink" Target="https://www.tiktok.com/@Onja.onya" TargetMode="External"/><Relationship Id="rId216" Type="http://schemas.openxmlformats.org/officeDocument/2006/relationships/hyperlink" Target="https://www.tiktok.com/@galeriaha/video/7636654783587224853?is_from_webapp=1&amp;sender_device=pc" TargetMode="External"/><Relationship Id="rId215" Type="http://schemas.openxmlformats.org/officeDocument/2006/relationships/hyperlink" Target="https://www.tiktok.com/@galeriaha/video/7636381929280982293?is_from_webapp=1&amp;sender_device=pc" TargetMode="External"/><Relationship Id="rId699" Type="http://schemas.openxmlformats.org/officeDocument/2006/relationships/hyperlink" Target="https://www.tiktok.com/@simanismungil" TargetMode="External"/><Relationship Id="rId214" Type="http://schemas.openxmlformats.org/officeDocument/2006/relationships/hyperlink" Target="https://www.tiktok.com/@galeriaha/video/7638502922183003413?is_from_webapp=1&amp;sender_device=pc" TargetMode="External"/><Relationship Id="rId698" Type="http://schemas.openxmlformats.org/officeDocument/2006/relationships/hyperlink" Target="https://www.tiktok.com/@im_n4yyyy/video/7639970058998959378?is_from_webapp=1&amp;sender_device=pc" TargetMode="External"/><Relationship Id="rId219" Type="http://schemas.openxmlformats.org/officeDocument/2006/relationships/hyperlink" Target="https://www.tiktok.com/@onja.onya/video/7639072557219777812?is_from_webapp=1&amp;sender_device=pc" TargetMode="External"/><Relationship Id="rId218" Type="http://schemas.openxmlformats.org/officeDocument/2006/relationships/hyperlink" Target="https://vt.tiktok.com/ZS97YwB5M/" TargetMode="External"/><Relationship Id="rId693" Type="http://schemas.openxmlformats.org/officeDocument/2006/relationships/hyperlink" Target="https://www.tiktok.com/@evyllynepattikawa" TargetMode="External"/><Relationship Id="rId1040" Type="http://schemas.openxmlformats.org/officeDocument/2006/relationships/hyperlink" Target="https://www.tiktok.com/@cordelia_khanza14/video/7643370995000069383?is_from_webapp=1&amp;sender_device=pc" TargetMode="External"/><Relationship Id="rId692" Type="http://schemas.openxmlformats.org/officeDocument/2006/relationships/hyperlink" Target="https://www.tiktok.com/@khaakeccik17" TargetMode="External"/><Relationship Id="rId1041" Type="http://schemas.openxmlformats.org/officeDocument/2006/relationships/hyperlink" Target="https://www.tiktok.com/@cordelia_khanza14/video/7644017156811738375?is_from_webapp=1&amp;sender_device=pc" TargetMode="External"/><Relationship Id="rId691" Type="http://schemas.openxmlformats.org/officeDocument/2006/relationships/hyperlink" Target="https://www.tiktok.com/@jhuvv_/video/7641175265007226132?is_from_webapp=1&amp;sender_device=pc" TargetMode="External"/><Relationship Id="rId1042" Type="http://schemas.openxmlformats.org/officeDocument/2006/relationships/hyperlink" Target="https://www.tiktok.com/@sweetinnnn" TargetMode="External"/><Relationship Id="rId690" Type="http://schemas.openxmlformats.org/officeDocument/2006/relationships/hyperlink" Target="https://www.tiktok.com/@Jhuvv_" TargetMode="External"/><Relationship Id="rId1043" Type="http://schemas.openxmlformats.org/officeDocument/2006/relationships/hyperlink" Target="https://www.tiktok.com/@beauty.is.everyting" TargetMode="External"/><Relationship Id="rId213" Type="http://schemas.openxmlformats.org/officeDocument/2006/relationships/hyperlink" Target="https://vt.tiktok.com/ZS93Vo6sX/" TargetMode="External"/><Relationship Id="rId697" Type="http://schemas.openxmlformats.org/officeDocument/2006/relationships/hyperlink" Target="https://www.tiktok.com/@im_n4yyyy/video/7639984336330034450?is_from_webapp=1&amp;sender_device=pc" TargetMode="External"/><Relationship Id="rId1044" Type="http://schemas.openxmlformats.org/officeDocument/2006/relationships/hyperlink" Target="http://raihanalfarizi.id" TargetMode="External"/><Relationship Id="rId212" Type="http://schemas.openxmlformats.org/officeDocument/2006/relationships/hyperlink" Target="https://www.tiktok.com/@galeriaha" TargetMode="External"/><Relationship Id="rId696" Type="http://schemas.openxmlformats.org/officeDocument/2006/relationships/hyperlink" Target="https://www.tiktok.com/@im_n4yyyy/video/7640385009886498066?is_from_webapp=1&amp;sender_device=pc" TargetMode="External"/><Relationship Id="rId1045" Type="http://schemas.openxmlformats.org/officeDocument/2006/relationships/hyperlink" Target="https://www.tiktok.com/@raihanalfarizi.id" TargetMode="External"/><Relationship Id="rId211" Type="http://schemas.openxmlformats.org/officeDocument/2006/relationships/hyperlink" Target="https://www.tiktok.com/@maghfiratuww" TargetMode="External"/><Relationship Id="rId695" Type="http://schemas.openxmlformats.org/officeDocument/2006/relationships/hyperlink" Target="https://www.tiktok.com/@im_n4yyyy/video/7640393563309755656?is_from_webapp=1&amp;sender_device=pc" TargetMode="External"/><Relationship Id="rId1046" Type="http://schemas.openxmlformats.org/officeDocument/2006/relationships/hyperlink" Target="https://www.tiktok.com/@rahasiaaaaa706" TargetMode="External"/><Relationship Id="rId210" Type="http://schemas.openxmlformats.org/officeDocument/2006/relationships/hyperlink" Target="https://www.tiktok.com/@ghandi_ghinda/video/7643308704741346581?is_from_webapp=1&amp;sender_device=pc" TargetMode="External"/><Relationship Id="rId694" Type="http://schemas.openxmlformats.org/officeDocument/2006/relationships/hyperlink" Target="https://www.tiktok.com/@im_n4yyyy" TargetMode="External"/><Relationship Id="rId1047" Type="http://schemas.openxmlformats.org/officeDocument/2006/relationships/hyperlink" Target="https://www.tiktok.com/@asrinasifah43" TargetMode="External"/><Relationship Id="rId249" Type="http://schemas.openxmlformats.org/officeDocument/2006/relationships/hyperlink" Target="https://www.tiktok.com/@delarafratchy" TargetMode="External"/><Relationship Id="rId248" Type="http://schemas.openxmlformats.org/officeDocument/2006/relationships/hyperlink" Target="https://www.tiktok.com/@ov_ovii/video/7642691858186915079?is_from_webapp=1&amp;sender_device=pc" TargetMode="External"/><Relationship Id="rId247" Type="http://schemas.openxmlformats.org/officeDocument/2006/relationships/hyperlink" Target="https://www.tiktok.com/@ov_ovii/video/7637710692342107399?is_from_webapp=1&amp;sender_device=pc" TargetMode="External"/><Relationship Id="rId1070" Type="http://schemas.openxmlformats.org/officeDocument/2006/relationships/hyperlink" Target="https://www.tiktok.com/@Dianpuspitadewi29" TargetMode="External"/><Relationship Id="rId1071" Type="http://schemas.openxmlformats.org/officeDocument/2006/relationships/hyperlink" Target="https://www.tiktok.com/@copleapii" TargetMode="External"/><Relationship Id="rId1072" Type="http://schemas.openxmlformats.org/officeDocument/2006/relationships/hyperlink" Target="https://www.tiktok.com/@salnadiya93" TargetMode="External"/><Relationship Id="rId242" Type="http://schemas.openxmlformats.org/officeDocument/2006/relationships/hyperlink" Target="https://www.tiktok.com/@livia_abas" TargetMode="External"/><Relationship Id="rId1073" Type="http://schemas.openxmlformats.org/officeDocument/2006/relationships/hyperlink" Target="https://www.tiktok.com/@lisaoficial39" TargetMode="External"/><Relationship Id="rId241" Type="http://schemas.openxmlformats.org/officeDocument/2006/relationships/hyperlink" Target="https://www.tiktok.com/@ammelshop94/video/7639399535000718600?is_from_webapp=1&amp;sender_device=pc" TargetMode="External"/><Relationship Id="rId1074" Type="http://schemas.openxmlformats.org/officeDocument/2006/relationships/hyperlink" Target="https://www.tiktok.com/@lisaoficial39/video/7643729123478752532?is_from_webapp=1&amp;sender_device=pc" TargetMode="External"/><Relationship Id="rId240" Type="http://schemas.openxmlformats.org/officeDocument/2006/relationships/hyperlink" Target="https://www.tiktok.com/@ammelshop94/video/7638576257420037384?is_from_webapp=1&amp;sender_device=pc" TargetMode="External"/><Relationship Id="rId1075" Type="http://schemas.openxmlformats.org/officeDocument/2006/relationships/hyperlink" Target="https://www.tiktok.com/@tetehsunda524" TargetMode="External"/><Relationship Id="rId1076" Type="http://schemas.openxmlformats.org/officeDocument/2006/relationships/hyperlink" Target="https://www.tiktok.com/@Kitabikinfypya" TargetMode="External"/><Relationship Id="rId246" Type="http://schemas.openxmlformats.org/officeDocument/2006/relationships/hyperlink" Target="https://www.tiktok.com/@ov_ovii" TargetMode="External"/><Relationship Id="rId1077" Type="http://schemas.openxmlformats.org/officeDocument/2006/relationships/hyperlink" Target="https://www.tiktok.com/@scc.rifaa" TargetMode="External"/><Relationship Id="rId245" Type="http://schemas.openxmlformats.org/officeDocument/2006/relationships/hyperlink" Target="https://www.tiktok.com/@livia_abas/video/7640429775382662418?is_from_webapp=1&amp;sender_device=pc" TargetMode="External"/><Relationship Id="rId1078" Type="http://schemas.openxmlformats.org/officeDocument/2006/relationships/hyperlink" Target="https://www.tiktok.com/@yuli_uslina" TargetMode="External"/><Relationship Id="rId244" Type="http://schemas.openxmlformats.org/officeDocument/2006/relationships/hyperlink" Target="https://www.tiktok.com/@livia_abas/video/7640125934082837768?is_from_webapp=1&amp;sender_device=pc" TargetMode="External"/><Relationship Id="rId1079" Type="http://schemas.openxmlformats.org/officeDocument/2006/relationships/hyperlink" Target="https://www.tiktok.com/@_noviaprilia30" TargetMode="External"/><Relationship Id="rId243" Type="http://schemas.openxmlformats.org/officeDocument/2006/relationships/hyperlink" Target="https://www.tiktok.com/@livia_abas/video/7639747438277905682?is_from_webapp=1&amp;sender_device=pc" TargetMode="External"/><Relationship Id="rId239" Type="http://schemas.openxmlformats.org/officeDocument/2006/relationships/hyperlink" Target="https://www.tiktok.com/@ammelshop94/video/7638838470349245703?is_from_webapp=1&amp;sender_device=pc" TargetMode="External"/><Relationship Id="rId238" Type="http://schemas.openxmlformats.org/officeDocument/2006/relationships/hyperlink" Target="https://www.tiktok.com/@ammelshop94/video/7638465555795545351?is_from_webapp=1&amp;sender_device=pc" TargetMode="External"/><Relationship Id="rId237" Type="http://schemas.openxmlformats.org/officeDocument/2006/relationships/hyperlink" Target="https://www.tiktok.com/@ammelshop94" TargetMode="External"/><Relationship Id="rId236" Type="http://schemas.openxmlformats.org/officeDocument/2006/relationships/hyperlink" Target="https://www.tiktok.com/@slvistory" TargetMode="External"/><Relationship Id="rId1060" Type="http://schemas.openxmlformats.org/officeDocument/2006/relationships/hyperlink" Target="https://www.tiktok.com/@salsabilla_zea/video/7643638327752609044?is_from_webapp=1&amp;sender_device=pc" TargetMode="External"/><Relationship Id="rId1061" Type="http://schemas.openxmlformats.org/officeDocument/2006/relationships/hyperlink" Target="https://www.tiktok.com/@Smiling7eooo" TargetMode="External"/><Relationship Id="rId231" Type="http://schemas.openxmlformats.org/officeDocument/2006/relationships/hyperlink" Target="https://vt.tiktok.com/ZS9H6bHne/" TargetMode="External"/><Relationship Id="rId1062" Type="http://schemas.openxmlformats.org/officeDocument/2006/relationships/hyperlink" Target="https://www.tiktok.com/@Tiaratara.12" TargetMode="External"/><Relationship Id="rId230" Type="http://schemas.openxmlformats.org/officeDocument/2006/relationships/hyperlink" Target="https://vt.tiktok.com/ZS9Hjvuo5/" TargetMode="External"/><Relationship Id="rId1063" Type="http://schemas.openxmlformats.org/officeDocument/2006/relationships/hyperlink" Target="https://www.tiktok.com/@akumanusia279" TargetMode="External"/><Relationship Id="rId1064" Type="http://schemas.openxmlformats.org/officeDocument/2006/relationships/hyperlink" Target="https://www.tiktok.com/@lastfridaynite" TargetMode="External"/><Relationship Id="rId1065" Type="http://schemas.openxmlformats.org/officeDocument/2006/relationships/hyperlink" Target="https://www.tiktok.com/@nurulhsnh002" TargetMode="External"/><Relationship Id="rId235" Type="http://schemas.openxmlformats.org/officeDocument/2006/relationships/hyperlink" Target="https://www.tiktok.com/@mamianaktiga00" TargetMode="External"/><Relationship Id="rId1066" Type="http://schemas.openxmlformats.org/officeDocument/2006/relationships/hyperlink" Target="https://www.tiktok.com/@bianarashop" TargetMode="External"/><Relationship Id="rId234" Type="http://schemas.openxmlformats.org/officeDocument/2006/relationships/hyperlink" Target="https://www.tiktok.com/@storyandine" TargetMode="External"/><Relationship Id="rId1067" Type="http://schemas.openxmlformats.org/officeDocument/2006/relationships/hyperlink" Target="https://www.tiktok.com/@Alfrnnf" TargetMode="External"/><Relationship Id="rId233" Type="http://schemas.openxmlformats.org/officeDocument/2006/relationships/hyperlink" Target="https://www.tiktok.com/@uusofficial0" TargetMode="External"/><Relationship Id="rId1068" Type="http://schemas.openxmlformats.org/officeDocument/2006/relationships/hyperlink" Target="https://www.tiktok.com/@taacutie2" TargetMode="External"/><Relationship Id="rId232" Type="http://schemas.openxmlformats.org/officeDocument/2006/relationships/hyperlink" Target="https://www.tiktok.com/@idaooooo0/video/7638003665189539093?is_from_webapp=1&amp;sender_device=pc" TargetMode="External"/><Relationship Id="rId1069" Type="http://schemas.openxmlformats.org/officeDocument/2006/relationships/hyperlink" Target="https://www.tiktok.com/@mandacello26" TargetMode="External"/><Relationship Id="rId1015" Type="http://schemas.openxmlformats.org/officeDocument/2006/relationships/hyperlink" Target="https://www.tiktok.com/@190222ss" TargetMode="External"/><Relationship Id="rId1499" Type="http://schemas.openxmlformats.org/officeDocument/2006/relationships/hyperlink" Target="https://www.tiktok.com/@Zhraalfnaa_" TargetMode="External"/><Relationship Id="rId1016" Type="http://schemas.openxmlformats.org/officeDocument/2006/relationships/hyperlink" Target="https://www.tiktok.com/@190222ss/video/7643438693864197384?is_from_webapp=1&amp;sender_device=pc" TargetMode="External"/><Relationship Id="rId1017" Type="http://schemas.openxmlformats.org/officeDocument/2006/relationships/hyperlink" Target="https://www.tiktok.com/@190222ss/video/7643449914512411911?is_from_webapp=1&amp;sender_device=pc" TargetMode="External"/><Relationship Id="rId1018" Type="http://schemas.openxmlformats.org/officeDocument/2006/relationships/hyperlink" Target="https://www.tiktok.com/@190222ss/video/7643497611474783506?is_from_webapp=1&amp;sender_device=pc" TargetMode="External"/><Relationship Id="rId1019" Type="http://schemas.openxmlformats.org/officeDocument/2006/relationships/hyperlink" Target="https://www.tiktok.com/@190222ss/video/7643503417884757256?is_from_webapp=1&amp;sender_device=pc" TargetMode="External"/><Relationship Id="rId668" Type="http://schemas.openxmlformats.org/officeDocument/2006/relationships/hyperlink" Target="https://www.tiktok.com/@dianasepti210/video/7639392091704954120?is_from_webapp=1&amp;sender_device=pc" TargetMode="External"/><Relationship Id="rId667" Type="http://schemas.openxmlformats.org/officeDocument/2006/relationships/hyperlink" Target="https://www.tiktok.com/@dianasepti210/video/7639035305303084295?is_from_webapp=1&amp;sender_device=pc" TargetMode="External"/><Relationship Id="rId666" Type="http://schemas.openxmlformats.org/officeDocument/2006/relationships/hyperlink" Target="https://www.tiktok.com/@dianasepti210/video/7638595940705766674?is_from_webapp=1&amp;sender_device=pc" TargetMode="External"/><Relationship Id="rId665" Type="http://schemas.openxmlformats.org/officeDocument/2006/relationships/hyperlink" Target="https://www.tiktok.com/@dianasepti210" TargetMode="External"/><Relationship Id="rId669" Type="http://schemas.openxmlformats.org/officeDocument/2006/relationships/hyperlink" Target="https://www.tiktok.com/@dianasepti210/video/7639756841701969159?is_from_webapp=1&amp;sender_device=pc" TargetMode="External"/><Relationship Id="rId1490" Type="http://schemas.openxmlformats.org/officeDocument/2006/relationships/hyperlink" Target="https://www.tiktok.com/@dian_ranti_" TargetMode="External"/><Relationship Id="rId660" Type="http://schemas.openxmlformats.org/officeDocument/2006/relationships/hyperlink" Target="https://www.tiktok.com/@hilmaanrph" TargetMode="External"/><Relationship Id="rId1491" Type="http://schemas.openxmlformats.org/officeDocument/2006/relationships/hyperlink" Target="https://www.tiktok.com/@macitosss" TargetMode="External"/><Relationship Id="rId1492" Type="http://schemas.openxmlformats.org/officeDocument/2006/relationships/hyperlink" Target="https://www.tiktok.com/@ginnamega7" TargetMode="External"/><Relationship Id="rId1493" Type="http://schemas.openxmlformats.org/officeDocument/2006/relationships/hyperlink" Target="https://www.tiktok.com/@r_dheaanzani28" TargetMode="External"/><Relationship Id="rId1010" Type="http://schemas.openxmlformats.org/officeDocument/2006/relationships/hyperlink" Target="https://www.tiktok.com/@cheeselovely" TargetMode="External"/><Relationship Id="rId1494" Type="http://schemas.openxmlformats.org/officeDocument/2006/relationships/hyperlink" Target="https://www.tiktok.com/@Kunyitkencur" TargetMode="External"/><Relationship Id="rId664" Type="http://schemas.openxmlformats.org/officeDocument/2006/relationships/hyperlink" Target="https://www.tiktok.com/@lusianaa87/video/7642967033293917448?is_from_webapp=1&amp;sender_device=pc" TargetMode="External"/><Relationship Id="rId1011" Type="http://schemas.openxmlformats.org/officeDocument/2006/relationships/hyperlink" Target="https://www.tiktok.com/@azkiaarchive" TargetMode="External"/><Relationship Id="rId1495" Type="http://schemas.openxmlformats.org/officeDocument/2006/relationships/hyperlink" Target="https://www.tiktok.com/@apipbe" TargetMode="External"/><Relationship Id="rId663" Type="http://schemas.openxmlformats.org/officeDocument/2006/relationships/hyperlink" Target="https://www.tiktok.com/@lusianaa87/video/7642201485568249096?is_from_webapp=1&amp;sender_device=pc" TargetMode="External"/><Relationship Id="rId1012" Type="http://schemas.openxmlformats.org/officeDocument/2006/relationships/hyperlink" Target="https://www.tiktok.com/@anisa_fironika" TargetMode="External"/><Relationship Id="rId1496" Type="http://schemas.openxmlformats.org/officeDocument/2006/relationships/hyperlink" Target="https://www.tiktok.com/@mtgina" TargetMode="External"/><Relationship Id="rId662" Type="http://schemas.openxmlformats.org/officeDocument/2006/relationships/hyperlink" Target="https://www.tiktok.com/@lusianaa87/video/7640330210130349320?is_from_webapp=1&amp;sender_device=pc" TargetMode="External"/><Relationship Id="rId1013" Type="http://schemas.openxmlformats.org/officeDocument/2006/relationships/hyperlink" Target="https://www.tiktok.com/@mama_cantik99" TargetMode="External"/><Relationship Id="rId1497" Type="http://schemas.openxmlformats.org/officeDocument/2006/relationships/hyperlink" Target="https://www.tiktok.com/@tislutfna" TargetMode="External"/><Relationship Id="rId661" Type="http://schemas.openxmlformats.org/officeDocument/2006/relationships/hyperlink" Target="https://www.tiktok.com/@lusianaa87" TargetMode="External"/><Relationship Id="rId1014" Type="http://schemas.openxmlformats.org/officeDocument/2006/relationships/hyperlink" Target="https://www.tiktok.com/@mama_cantik99/video/7644055171818933522?is_from_webapp=1&amp;sender_device=pc" TargetMode="External"/><Relationship Id="rId1498" Type="http://schemas.openxmlformats.org/officeDocument/2006/relationships/hyperlink" Target="https://www.tiktok.com/@rindi.yanyan" TargetMode="External"/><Relationship Id="rId1004" Type="http://schemas.openxmlformats.org/officeDocument/2006/relationships/hyperlink" Target="https://www.tiktok.com/@classica_store8/video/7643244856856317205?is_from_webapp=1&amp;sender_device=pc" TargetMode="External"/><Relationship Id="rId1488" Type="http://schemas.openxmlformats.org/officeDocument/2006/relationships/hyperlink" Target="https://www.tiktok.com/@ayurasendriya" TargetMode="External"/><Relationship Id="rId1005" Type="http://schemas.openxmlformats.org/officeDocument/2006/relationships/hyperlink" Target="https://www.tiktok.com/@classica_store8/video/7643404803045100820?is_from_webapp=1&amp;sender_device=pc" TargetMode="External"/><Relationship Id="rId1489" Type="http://schemas.openxmlformats.org/officeDocument/2006/relationships/hyperlink" Target="https://www.tiktok.com/@fadzilah.nr_" TargetMode="External"/><Relationship Id="rId1006" Type="http://schemas.openxmlformats.org/officeDocument/2006/relationships/hyperlink" Target="https://www.tiktok.com/@Amiraastari21" TargetMode="External"/><Relationship Id="rId1007" Type="http://schemas.openxmlformats.org/officeDocument/2006/relationships/hyperlink" Target="https://www.tiktok.com/@amiraastari21/video/7642654314619473170?is_from_webapp=1&amp;sender_device=pc" TargetMode="External"/><Relationship Id="rId1008" Type="http://schemas.openxmlformats.org/officeDocument/2006/relationships/hyperlink" Target="https://www.tiktok.com/@amiraastari21/video/7643806671785004295?is_from_webapp=1&amp;sender_device=pc" TargetMode="External"/><Relationship Id="rId1009" Type="http://schemas.openxmlformats.org/officeDocument/2006/relationships/hyperlink" Target="https://www.tiktok.com/@ig_meaii17" TargetMode="External"/><Relationship Id="rId657" Type="http://schemas.openxmlformats.org/officeDocument/2006/relationships/hyperlink" Target="https://www.tiktok.com/@linaanaps" TargetMode="External"/><Relationship Id="rId656" Type="http://schemas.openxmlformats.org/officeDocument/2006/relationships/hyperlink" Target="https://www.tiktok.com/@mawarinddah" TargetMode="External"/><Relationship Id="rId655" Type="http://schemas.openxmlformats.org/officeDocument/2006/relationships/hyperlink" Target="https://www.tiktok.com/@gendhis798" TargetMode="External"/><Relationship Id="rId654" Type="http://schemas.openxmlformats.org/officeDocument/2006/relationships/hyperlink" Target="https://www.tiktok.com/@deksiti164" TargetMode="External"/><Relationship Id="rId659" Type="http://schemas.openxmlformats.org/officeDocument/2006/relationships/hyperlink" Target="https://www.tiktok.com/@linaanaps/video/7639790449430891794?is_from_webapp=1&amp;sender_device=pc" TargetMode="External"/><Relationship Id="rId658" Type="http://schemas.openxmlformats.org/officeDocument/2006/relationships/hyperlink" Target="https://www.tiktok.com/@linaanaps/video/7638824071236537618?is_from_webapp=1&amp;sender_device=pc" TargetMode="External"/><Relationship Id="rId1480" Type="http://schemas.openxmlformats.org/officeDocument/2006/relationships/hyperlink" Target="https://www.tiktok.com/@ffazzahro" TargetMode="External"/><Relationship Id="rId1481" Type="http://schemas.openxmlformats.org/officeDocument/2006/relationships/hyperlink" Target="https://www.tiktok.com/@im_ayaaa41" TargetMode="External"/><Relationship Id="rId1482" Type="http://schemas.openxmlformats.org/officeDocument/2006/relationships/hyperlink" Target="https://www.tiktok.com/@medina_aleaa" TargetMode="External"/><Relationship Id="rId1483" Type="http://schemas.openxmlformats.org/officeDocument/2006/relationships/hyperlink" Target="https://www.tiktok.com/@amilaamshol" TargetMode="External"/><Relationship Id="rId653" Type="http://schemas.openxmlformats.org/officeDocument/2006/relationships/hyperlink" Target="https://www.tiktok.com/@violinajasronadi18" TargetMode="External"/><Relationship Id="rId1000" Type="http://schemas.openxmlformats.org/officeDocument/2006/relationships/hyperlink" Target="https://www.tiktok.com/@this.fannie" TargetMode="External"/><Relationship Id="rId1484" Type="http://schemas.openxmlformats.org/officeDocument/2006/relationships/hyperlink" Target="https://www.tiktok.com/@bellvaa9" TargetMode="External"/><Relationship Id="rId652" Type="http://schemas.openxmlformats.org/officeDocument/2006/relationships/hyperlink" Target="https://www.tiktok.com/@ansnrhf" TargetMode="External"/><Relationship Id="rId1001" Type="http://schemas.openxmlformats.org/officeDocument/2006/relationships/hyperlink" Target="https://www.tiktok.com/@carissanz31" TargetMode="External"/><Relationship Id="rId1485" Type="http://schemas.openxmlformats.org/officeDocument/2006/relationships/hyperlink" Target="https://www.tiktok.com/@Racunyaulfaaa" TargetMode="External"/><Relationship Id="rId651" Type="http://schemas.openxmlformats.org/officeDocument/2006/relationships/hyperlink" Target="https://www.tiktok.com/@_ekapuspitaaaa" TargetMode="External"/><Relationship Id="rId1002" Type="http://schemas.openxmlformats.org/officeDocument/2006/relationships/hyperlink" Target="https://www.tiktok.com/@classica_store8" TargetMode="External"/><Relationship Id="rId1486" Type="http://schemas.openxmlformats.org/officeDocument/2006/relationships/hyperlink" Target="https://www.tiktok.com/@alvenda_" TargetMode="External"/><Relationship Id="rId650" Type="http://schemas.openxmlformats.org/officeDocument/2006/relationships/hyperlink" Target="https://www.tiktok.com/@kueecoklat_" TargetMode="External"/><Relationship Id="rId1003" Type="http://schemas.openxmlformats.org/officeDocument/2006/relationships/hyperlink" Target="https://www.tiktok.com/@classica_store8/video/7642982095559658772?is_from_webapp=1&amp;sender_device=pc" TargetMode="External"/><Relationship Id="rId1487" Type="http://schemas.openxmlformats.org/officeDocument/2006/relationships/hyperlink" Target="https://www.tiktok.com/@morningstars_81" TargetMode="External"/><Relationship Id="rId1037" Type="http://schemas.openxmlformats.org/officeDocument/2006/relationships/hyperlink" Target="https://www.tiktok.com/@storeismaa/video/7643471218003283221?is_from_webapp=1&amp;sender_device=pc" TargetMode="External"/><Relationship Id="rId1038" Type="http://schemas.openxmlformats.org/officeDocument/2006/relationships/hyperlink" Target="https://www.tiktok.com/@Mamanya_syaqila" TargetMode="External"/><Relationship Id="rId1039" Type="http://schemas.openxmlformats.org/officeDocument/2006/relationships/hyperlink" Target="https://www.tiktok.com/@cordelia_khanza14" TargetMode="External"/><Relationship Id="rId206" Type="http://schemas.openxmlformats.org/officeDocument/2006/relationships/hyperlink" Target="https://www.tiktok.com/@zatheaolshop" TargetMode="External"/><Relationship Id="rId205" Type="http://schemas.openxmlformats.org/officeDocument/2006/relationships/hyperlink" Target="https://www.tiktok.com/@eriyunitaa/video/7640311885585272085?is_from_webapp=1&amp;sender_device=pc" TargetMode="External"/><Relationship Id="rId689" Type="http://schemas.openxmlformats.org/officeDocument/2006/relationships/hyperlink" Target="https://www.tiktok.com/@Luphmatchaaa" TargetMode="External"/><Relationship Id="rId204" Type="http://schemas.openxmlformats.org/officeDocument/2006/relationships/hyperlink" Target="https://www.tiktok.com/@eriyunitaa/video/7640307258831686933?is_from_webapp=1&amp;sender_device=pc" TargetMode="External"/><Relationship Id="rId688" Type="http://schemas.openxmlformats.org/officeDocument/2006/relationships/hyperlink" Target="https://www.tiktok.com/@novitap11/video/7643089290049768722?is_from_webapp=1&amp;sender_device=pc" TargetMode="External"/><Relationship Id="rId203" Type="http://schemas.openxmlformats.org/officeDocument/2006/relationships/hyperlink" Target="https://www.tiktok.com/@eriyunitaa/video/7637732498788797717?is_from_webapp=1&amp;sender_device=pc" TargetMode="External"/><Relationship Id="rId687" Type="http://schemas.openxmlformats.org/officeDocument/2006/relationships/hyperlink" Target="https://www.tiktok.com/@novitap11/video/7640838550568635666?is_from_webapp=1&amp;sender_device=pc" TargetMode="External"/><Relationship Id="rId209" Type="http://schemas.openxmlformats.org/officeDocument/2006/relationships/hyperlink" Target="https://www.tiktok.com/@ghandi_ghinda/video/7642677577865317652?is_from_webapp=1&amp;sender_device=pc" TargetMode="External"/><Relationship Id="rId208" Type="http://schemas.openxmlformats.org/officeDocument/2006/relationships/hyperlink" Target="https://www.tiktok.com/@ghandi_ghinda" TargetMode="External"/><Relationship Id="rId207" Type="http://schemas.openxmlformats.org/officeDocument/2006/relationships/hyperlink" Target="https://www.tiktok.com/@Shinta.deput" TargetMode="External"/><Relationship Id="rId682" Type="http://schemas.openxmlformats.org/officeDocument/2006/relationships/hyperlink" Target="https://www.tiktok.com/@__vaaadwis/video/7638542645521878290?is_from_webapp=1&amp;sender_device=pc" TargetMode="External"/><Relationship Id="rId681" Type="http://schemas.openxmlformats.org/officeDocument/2006/relationships/hyperlink" Target="https://vt.tiktok.com/ZS93cxeoW/" TargetMode="External"/><Relationship Id="rId1030" Type="http://schemas.openxmlformats.org/officeDocument/2006/relationships/hyperlink" Target="https://www.tiktok.com/@ninayehow" TargetMode="External"/><Relationship Id="rId680" Type="http://schemas.openxmlformats.org/officeDocument/2006/relationships/hyperlink" Target="https://www.tiktok.com/@__vaaadwis" TargetMode="External"/><Relationship Id="rId1031" Type="http://schemas.openxmlformats.org/officeDocument/2006/relationships/hyperlink" Target="https://www.tiktok.com/@ninayehow/video/7642618606731169042?is_from_webapp=1&amp;sender_device=pc" TargetMode="External"/><Relationship Id="rId1032" Type="http://schemas.openxmlformats.org/officeDocument/2006/relationships/hyperlink" Target="https://www.tiktok.com/@ninayehow/video/7643683158440905992?is_from_webapp=1&amp;sender_device=pc" TargetMode="External"/><Relationship Id="rId202" Type="http://schemas.openxmlformats.org/officeDocument/2006/relationships/hyperlink" Target="https://www.tiktok.com/@eriyunitaa/video/7637729688378510613?is_from_webapp=1&amp;sender_device=pc" TargetMode="External"/><Relationship Id="rId686" Type="http://schemas.openxmlformats.org/officeDocument/2006/relationships/hyperlink" Target="https://www.tiktok.com/@novitap11" TargetMode="External"/><Relationship Id="rId1033" Type="http://schemas.openxmlformats.org/officeDocument/2006/relationships/hyperlink" Target="https://www.tiktok.com/@spillmenurutaku" TargetMode="External"/><Relationship Id="rId201" Type="http://schemas.openxmlformats.org/officeDocument/2006/relationships/hyperlink" Target="https://www.tiktok.com/@eriyunitaa" TargetMode="External"/><Relationship Id="rId685" Type="http://schemas.openxmlformats.org/officeDocument/2006/relationships/hyperlink" Target="https://www.tiktok.com/@diahayunks" TargetMode="External"/><Relationship Id="rId1034" Type="http://schemas.openxmlformats.org/officeDocument/2006/relationships/hyperlink" Target="https://www.tiktok.com/@slyvenessa" TargetMode="External"/><Relationship Id="rId200" Type="http://schemas.openxmlformats.org/officeDocument/2006/relationships/hyperlink" Target="https://www.tiktok.com/@Oksitosiiiiiin" TargetMode="External"/><Relationship Id="rId684" Type="http://schemas.openxmlformats.org/officeDocument/2006/relationships/hyperlink" Target="https://www.tiktok.com/@__vaaadwis/video/7642575172339289351?is_from_webapp=1&amp;sender_device=pc" TargetMode="External"/><Relationship Id="rId1035" Type="http://schemas.openxmlformats.org/officeDocument/2006/relationships/hyperlink" Target="https://www.tiktok.com/@yeornot" TargetMode="External"/><Relationship Id="rId683" Type="http://schemas.openxmlformats.org/officeDocument/2006/relationships/hyperlink" Target="https://www.tiktok.com/@__vaaadwis/video/7638545575339674888?is_from_webapp=1&amp;sender_device=pc" TargetMode="External"/><Relationship Id="rId1036" Type="http://schemas.openxmlformats.org/officeDocument/2006/relationships/hyperlink" Target="https://www.tiktok.com/@storeismaa" TargetMode="External"/><Relationship Id="rId1026" Type="http://schemas.openxmlformats.org/officeDocument/2006/relationships/hyperlink" Target="https://www.tiktok.com/@riayulianti1406/video/7642591676158184724?is_from_webapp=1&amp;sender_device=pc" TargetMode="External"/><Relationship Id="rId1027" Type="http://schemas.openxmlformats.org/officeDocument/2006/relationships/hyperlink" Target="https://www.tiktok.com/@riayulianti1406/video/7643020327647251733?is_from_webapp=1&amp;sender_device=pc" TargetMode="External"/><Relationship Id="rId1028" Type="http://schemas.openxmlformats.org/officeDocument/2006/relationships/hyperlink" Target="https://www.tiktok.com/@_spalspilpromo" TargetMode="External"/><Relationship Id="rId1029" Type="http://schemas.openxmlformats.org/officeDocument/2006/relationships/hyperlink" Target="https://www.tiktok.com/@mie40182" TargetMode="External"/><Relationship Id="rId679" Type="http://schemas.openxmlformats.org/officeDocument/2006/relationships/hyperlink" Target="https://www.tiktok.com/@teh_racyun_spill/video/7643471545548950805?is_from_webapp=1&amp;sender_device=pc" TargetMode="External"/><Relationship Id="rId678" Type="http://schemas.openxmlformats.org/officeDocument/2006/relationships/hyperlink" Target="https://www.tiktok.com/@teh_racyun_spill/video/7641953340527627541?is_from_webapp=1&amp;sender_device=pc" TargetMode="External"/><Relationship Id="rId677" Type="http://schemas.openxmlformats.org/officeDocument/2006/relationships/hyperlink" Target="https://www.tiktok.com/@teh_racyun_spill/video/7641233183761108244?is_from_webapp=1&amp;sender_device=pc" TargetMode="External"/><Relationship Id="rId676" Type="http://schemas.openxmlformats.org/officeDocument/2006/relationships/hyperlink" Target="https://www.tiktok.com/@teh_racyun_spill" TargetMode="External"/><Relationship Id="rId671" Type="http://schemas.openxmlformats.org/officeDocument/2006/relationships/hyperlink" Target="https://vt.tiktok.com/ZS9nQ6fCe/" TargetMode="External"/><Relationship Id="rId670" Type="http://schemas.openxmlformats.org/officeDocument/2006/relationships/hyperlink" Target="https://www.tiktok.com/@noerhfizah" TargetMode="External"/><Relationship Id="rId1020" Type="http://schemas.openxmlformats.org/officeDocument/2006/relationships/hyperlink" Target="https://www.tiktok.com/@mamanyanecen_" TargetMode="External"/><Relationship Id="rId1021" Type="http://schemas.openxmlformats.org/officeDocument/2006/relationships/hyperlink" Target="https://www.tiktok.com/@Nengyuliaaja" TargetMode="External"/><Relationship Id="rId675" Type="http://schemas.openxmlformats.org/officeDocument/2006/relationships/hyperlink" Target="https://www.tiktok.com/@delladewintaaa" TargetMode="External"/><Relationship Id="rId1022" Type="http://schemas.openxmlformats.org/officeDocument/2006/relationships/hyperlink" Target="https://www.tiktok.com/@privatebutnotsecret2" TargetMode="External"/><Relationship Id="rId674" Type="http://schemas.openxmlformats.org/officeDocument/2006/relationships/hyperlink" Target="https://www.tiktok.com/@noerhfizah/video/7640510373832985877?is_from_webapp=1&amp;sender_device=pc" TargetMode="External"/><Relationship Id="rId1023" Type="http://schemas.openxmlformats.org/officeDocument/2006/relationships/hyperlink" Target="https://www.tiktok.com/@riayulianti1406" TargetMode="External"/><Relationship Id="rId673" Type="http://schemas.openxmlformats.org/officeDocument/2006/relationships/hyperlink" Target="https://www.tiktok.com/@noerhfizah/video/7640400390046944533?is_from_webapp=1&amp;sender_device=pc" TargetMode="External"/><Relationship Id="rId1024" Type="http://schemas.openxmlformats.org/officeDocument/2006/relationships/hyperlink" Target="https://www.tiktok.com/@riayulianti1406/video/7641831726657916181?is_from_webapp=1&amp;sender_device=pc" TargetMode="External"/><Relationship Id="rId672" Type="http://schemas.openxmlformats.org/officeDocument/2006/relationships/hyperlink" Target="https://www.tiktok.com/@noerhfizah/video/7640389444553559317?is_from_webapp=1&amp;sender_device=pc" TargetMode="External"/><Relationship Id="rId1025" Type="http://schemas.openxmlformats.org/officeDocument/2006/relationships/hyperlink" Target="https://www.tiktok.com/@riayulianti1406/video/7642219252254035221?is_from_webapp=1&amp;sender_device=pc" TargetMode="External"/><Relationship Id="rId190" Type="http://schemas.openxmlformats.org/officeDocument/2006/relationships/hyperlink" Target="https://www.tiktok.com/@_yh00" TargetMode="External"/><Relationship Id="rId194" Type="http://schemas.openxmlformats.org/officeDocument/2006/relationships/hyperlink" Target="https://www.tiktok.com/@novia_aida011" TargetMode="External"/><Relationship Id="rId193" Type="http://schemas.openxmlformats.org/officeDocument/2006/relationships/hyperlink" Target="https://www.tiktok.com/@verapurn" TargetMode="External"/><Relationship Id="rId192" Type="http://schemas.openxmlformats.org/officeDocument/2006/relationships/hyperlink" Target="https://www.tiktok.com/@Alyaditami" TargetMode="External"/><Relationship Id="rId191" Type="http://schemas.openxmlformats.org/officeDocument/2006/relationships/hyperlink" Target="https://www.tiktok.com/@hi_jaenaa" TargetMode="External"/><Relationship Id="rId187" Type="http://schemas.openxmlformats.org/officeDocument/2006/relationships/hyperlink" Target="https://www.tiktok.com/@enjesoeyono/video/7641931305361345813?is_from_webapp=1&amp;sender_device=pc" TargetMode="External"/><Relationship Id="rId186" Type="http://schemas.openxmlformats.org/officeDocument/2006/relationships/hyperlink" Target="https://www.tiktok.com/@enjesoeyono/video/7640736381618244885?is_from_webapp=1&amp;sender_device=pc" TargetMode="External"/><Relationship Id="rId185" Type="http://schemas.openxmlformats.org/officeDocument/2006/relationships/hyperlink" Target="https://www.tiktok.com/@enjesoeyono/video/7639144769708657941?is_from_webapp=1&amp;sender_device=pc" TargetMode="External"/><Relationship Id="rId184" Type="http://schemas.openxmlformats.org/officeDocument/2006/relationships/hyperlink" Target="https://www.tiktok.com/@enjesoeyono" TargetMode="External"/><Relationship Id="rId189" Type="http://schemas.openxmlformats.org/officeDocument/2006/relationships/hyperlink" Target="https://www.tiktok.com/@khoiraisyah2" TargetMode="External"/><Relationship Id="rId188" Type="http://schemas.openxmlformats.org/officeDocument/2006/relationships/hyperlink" Target="https://www.tiktok.com/@enjesoeyono/video/7642176953755110677?is_from_webapp=1&amp;sender_device=pc" TargetMode="External"/><Relationship Id="rId183" Type="http://schemas.openxmlformats.org/officeDocument/2006/relationships/hyperlink" Target="https://www.tiktok.com/@aty_1602/video/7641893694450224391" TargetMode="External"/><Relationship Id="rId182" Type="http://schemas.openxmlformats.org/officeDocument/2006/relationships/hyperlink" Target="https://www.tiktok.com/@aty_1602/video/7640030382229851400?is_from_webapp=1&amp;sender_device=pc" TargetMode="External"/><Relationship Id="rId181" Type="http://schemas.openxmlformats.org/officeDocument/2006/relationships/hyperlink" Target="https://www.tiktok.com/@aty_1602/video/7638884758994341127?is_from_webapp=1&amp;sender_device=pc" TargetMode="External"/><Relationship Id="rId180" Type="http://schemas.openxmlformats.org/officeDocument/2006/relationships/hyperlink" Target="https://www.tiktok.com/@aty_1602/video/7637709197525781767?is_from_webapp=1&amp;sender_device=pc" TargetMode="External"/><Relationship Id="rId176" Type="http://schemas.openxmlformats.org/officeDocument/2006/relationships/hyperlink" Target="https://www.tiktok.com/@ibu_ninnda" TargetMode="External"/><Relationship Id="rId175" Type="http://schemas.openxmlformats.org/officeDocument/2006/relationships/hyperlink" Target="https://www.tiktok.com/@afraa_ngereview/video/7643318054385929479?is_from_webapp=1&amp;sender_device=pc" TargetMode="External"/><Relationship Id="rId174" Type="http://schemas.openxmlformats.org/officeDocument/2006/relationships/hyperlink" Target="https://www.tiktok.com/@afraa_ngereview/video/7641453043405344007?is_from_webapp=1&amp;sender_device=pc" TargetMode="External"/><Relationship Id="rId173" Type="http://schemas.openxmlformats.org/officeDocument/2006/relationships/hyperlink" Target="https://www.tiktok.com/@afraa_ngereview/video/7638938595864120584?is_from_webapp=1&amp;sender_device=pc" TargetMode="External"/><Relationship Id="rId179" Type="http://schemas.openxmlformats.org/officeDocument/2006/relationships/hyperlink" Target="https://www.tiktok.com/@aty_1602" TargetMode="External"/><Relationship Id="rId178" Type="http://schemas.openxmlformats.org/officeDocument/2006/relationships/hyperlink" Target="https://www.tiktok.com/@ditaarta_khan" TargetMode="External"/><Relationship Id="rId177" Type="http://schemas.openxmlformats.org/officeDocument/2006/relationships/hyperlink" Target="https://www.tiktok.com/@ibu_ninnda/video/7642924640104418567?is_from_webapp=1&amp;sender_device=pc" TargetMode="External"/><Relationship Id="rId198" Type="http://schemas.openxmlformats.org/officeDocument/2006/relationships/hyperlink" Target="https://www.tiktok.com/@ayuni_can/video/7639598897060433172?is_from_webapp=1&amp;sender_device=pc" TargetMode="External"/><Relationship Id="rId197" Type="http://schemas.openxmlformats.org/officeDocument/2006/relationships/hyperlink" Target="https://www.tiktok.com/@ayuni_can/video/7635823344176139540?is_from_webapp=1&amp;sender_device=pc" TargetMode="External"/><Relationship Id="rId196" Type="http://schemas.openxmlformats.org/officeDocument/2006/relationships/hyperlink" Target="https://www.tiktok.com/@ayuni_can" TargetMode="External"/><Relationship Id="rId195" Type="http://schemas.openxmlformats.org/officeDocument/2006/relationships/hyperlink" Target="https://www.tiktok.com/@Beauty_Shop361" TargetMode="External"/><Relationship Id="rId199" Type="http://schemas.openxmlformats.org/officeDocument/2006/relationships/hyperlink" Target="https://www.tiktok.com/@ayuni_can/video/7639622554742738197?is_from_webapp=1&amp;sender_device=pc" TargetMode="External"/><Relationship Id="rId150" Type="http://schemas.openxmlformats.org/officeDocument/2006/relationships/hyperlink" Target="https://www.tiktok.com/@queena_03kl" TargetMode="External"/><Relationship Id="rId149" Type="http://schemas.openxmlformats.org/officeDocument/2006/relationships/hyperlink" Target="https://www.tiktok.com/@nadirasalma11" TargetMode="External"/><Relationship Id="rId148" Type="http://schemas.openxmlformats.org/officeDocument/2006/relationships/hyperlink" Target="https://vt.tiktok.com/ZS9GQ7YmM/" TargetMode="External"/><Relationship Id="rId1090" Type="http://schemas.openxmlformats.org/officeDocument/2006/relationships/hyperlink" Target="https://www.tiktok.com/@windanovitasariwi" TargetMode="External"/><Relationship Id="rId1091" Type="http://schemas.openxmlformats.org/officeDocument/2006/relationships/hyperlink" Target="https://www.tiktok.com/@viavia____" TargetMode="External"/><Relationship Id="rId1092" Type="http://schemas.openxmlformats.org/officeDocument/2006/relationships/hyperlink" Target="https://www.tiktok.com/@desi.fadillah37" TargetMode="External"/><Relationship Id="rId1093" Type="http://schemas.openxmlformats.org/officeDocument/2006/relationships/hyperlink" Target="https://www.tiktok.com/@skincarebeuty12" TargetMode="External"/><Relationship Id="rId1094" Type="http://schemas.openxmlformats.org/officeDocument/2006/relationships/hyperlink" Target="https://www.tiktok.com/@halloinirani" TargetMode="External"/><Relationship Id="rId143" Type="http://schemas.openxmlformats.org/officeDocument/2006/relationships/hyperlink" Target="https://www.tiktok.com/@atsatsah/video/7637487619571453204?is_from_webapp=1&amp;sender_device=pc" TargetMode="External"/><Relationship Id="rId1095" Type="http://schemas.openxmlformats.org/officeDocument/2006/relationships/hyperlink" Target="https://www.tiktok.com/@ydh260" TargetMode="External"/><Relationship Id="rId142" Type="http://schemas.openxmlformats.org/officeDocument/2006/relationships/hyperlink" Target="https://www.tiktok.com/@atsatsah" TargetMode="External"/><Relationship Id="rId1096" Type="http://schemas.openxmlformats.org/officeDocument/2006/relationships/hyperlink" Target="https://www.tiktok.com/@diyaduadua" TargetMode="External"/><Relationship Id="rId141" Type="http://schemas.openxmlformats.org/officeDocument/2006/relationships/hyperlink" Target="https://www.tiktok.com/@inii.dyan/video/7640096537464425749?is_from_webapp=1&amp;sender_device=pc" TargetMode="External"/><Relationship Id="rId1097" Type="http://schemas.openxmlformats.org/officeDocument/2006/relationships/hyperlink" Target="https://www.tiktok.com/@linasrianggraeni4" TargetMode="External"/><Relationship Id="rId140" Type="http://schemas.openxmlformats.org/officeDocument/2006/relationships/hyperlink" Target="https://www.tiktok.com/@inii.dyan/video/7639176593293839636?is_from_webapp=1&amp;sender_device=pc" TargetMode="External"/><Relationship Id="rId1098" Type="http://schemas.openxmlformats.org/officeDocument/2006/relationships/hyperlink" Target="https://www.tiktok.com/@holmeday" TargetMode="External"/><Relationship Id="rId147" Type="http://schemas.openxmlformats.org/officeDocument/2006/relationships/hyperlink" Target="https://www.tiktok.com/@reviewwilda" TargetMode="External"/><Relationship Id="rId1099" Type="http://schemas.openxmlformats.org/officeDocument/2006/relationships/hyperlink" Target="https://www.tiktok.com/@holmeday/video/7637864149648690453?is_from_webapp=1&amp;sender_device=pc" TargetMode="External"/><Relationship Id="rId146" Type="http://schemas.openxmlformats.org/officeDocument/2006/relationships/hyperlink" Target="https://www.tiktok.com/@yanpuspita05/video/7641442982322883860?is_from_webapp=1&amp;sender_device=pc" TargetMode="External"/><Relationship Id="rId145" Type="http://schemas.openxmlformats.org/officeDocument/2006/relationships/hyperlink" Target="https://www.tiktok.com/@yanpuspita05" TargetMode="External"/><Relationship Id="rId144" Type="http://schemas.openxmlformats.org/officeDocument/2006/relationships/hyperlink" Target="https://www.tiktok.com/@atsatsah/video/7642205040836381973?is_from_webapp=1&amp;sender_device=pc" TargetMode="External"/><Relationship Id="rId139" Type="http://schemas.openxmlformats.org/officeDocument/2006/relationships/hyperlink" Target="https://www.tiktok.com/@inii.dyan/video/7637481127145524501?is_from_webapp=1&amp;sender_device=pc" TargetMode="External"/><Relationship Id="rId138" Type="http://schemas.openxmlformats.org/officeDocument/2006/relationships/hyperlink" Target="https://www.tiktok.com/@inii.dyan" TargetMode="External"/><Relationship Id="rId137" Type="http://schemas.openxmlformats.org/officeDocument/2006/relationships/hyperlink" Target="https://www.tiktok.com/@ndiedie_01" TargetMode="External"/><Relationship Id="rId1080" Type="http://schemas.openxmlformats.org/officeDocument/2006/relationships/hyperlink" Target="https://www.tiktok.com/@jesikafj" TargetMode="External"/><Relationship Id="rId1081" Type="http://schemas.openxmlformats.org/officeDocument/2006/relationships/hyperlink" Target="https://www.tiktok.com/@amira.ismail10" TargetMode="External"/><Relationship Id="rId1082" Type="http://schemas.openxmlformats.org/officeDocument/2006/relationships/hyperlink" Target="https://www.tiktok.com/@anggelpradita" TargetMode="External"/><Relationship Id="rId1083" Type="http://schemas.openxmlformats.org/officeDocument/2006/relationships/hyperlink" Target="https://www.tiktok.com/@nurul_mahkotadental" TargetMode="External"/><Relationship Id="rId132" Type="http://schemas.openxmlformats.org/officeDocument/2006/relationships/hyperlink" Target="https://www.tiktok.com/@luthfiiiii13" TargetMode="External"/><Relationship Id="rId1084" Type="http://schemas.openxmlformats.org/officeDocument/2006/relationships/hyperlink" Target="https://www.tiktok.com/@_nidini_" TargetMode="External"/><Relationship Id="rId131" Type="http://schemas.openxmlformats.org/officeDocument/2006/relationships/hyperlink" Target="https://www.tiktok.com/@aisyashh" TargetMode="External"/><Relationship Id="rId1085" Type="http://schemas.openxmlformats.org/officeDocument/2006/relationships/hyperlink" Target="https://www.tiktok.com/@erka.0203" TargetMode="External"/><Relationship Id="rId130" Type="http://schemas.openxmlformats.org/officeDocument/2006/relationships/hyperlink" Target="https://www.tiktok.com/@Laaya21" TargetMode="External"/><Relationship Id="rId1086" Type="http://schemas.openxmlformats.org/officeDocument/2006/relationships/hyperlink" Target="https://www.tiktok.com/@erka.0203/video/7642917760598674708?is_from_webapp=1&amp;sender_device=pc" TargetMode="External"/><Relationship Id="rId1087" Type="http://schemas.openxmlformats.org/officeDocument/2006/relationships/hyperlink" Target="https://www.tiktok.com/@ika_amanda275" TargetMode="External"/><Relationship Id="rId136" Type="http://schemas.openxmlformats.org/officeDocument/2006/relationships/hyperlink" Target="https://www.tiktok.com/@elinyuli1" TargetMode="External"/><Relationship Id="rId1088" Type="http://schemas.openxmlformats.org/officeDocument/2006/relationships/hyperlink" Target="https://www.tiktok.com/@ndian67" TargetMode="External"/><Relationship Id="rId135" Type="http://schemas.openxmlformats.org/officeDocument/2006/relationships/hyperlink" Target="https://www.tiktok.com/@review.erna27/video/7642970575677164808?is_from_webapp=1&amp;sender_device=pc" TargetMode="External"/><Relationship Id="rId1089" Type="http://schemas.openxmlformats.org/officeDocument/2006/relationships/hyperlink" Target="https://www.tiktok.com/@dewikuuu__" TargetMode="External"/><Relationship Id="rId134" Type="http://schemas.openxmlformats.org/officeDocument/2006/relationships/hyperlink" Target="https://www.tiktok.com/@review.erna27/video/7641456380972420360?is_from_webapp=1&amp;sender_device=pc" TargetMode="External"/><Relationship Id="rId133" Type="http://schemas.openxmlformats.org/officeDocument/2006/relationships/hyperlink" Target="https://www.tiktok.com/@review.erna27" TargetMode="External"/><Relationship Id="rId172" Type="http://schemas.openxmlformats.org/officeDocument/2006/relationships/hyperlink" Target="https://vt.tiktok.com/ZS9p4gp6T/" TargetMode="External"/><Relationship Id="rId171" Type="http://schemas.openxmlformats.org/officeDocument/2006/relationships/hyperlink" Target="https://www.tiktok.com/@afraa_ngereview" TargetMode="External"/><Relationship Id="rId170" Type="http://schemas.openxmlformats.org/officeDocument/2006/relationships/hyperlink" Target="https://www.tiktok.com/@reviewtetehvia/video/7637691188228934930?is_from_webapp=1&amp;sender_device=pc" TargetMode="External"/><Relationship Id="rId165" Type="http://schemas.openxmlformats.org/officeDocument/2006/relationships/hyperlink" Target="https://www.tiktok.com/@sibar0324" TargetMode="External"/><Relationship Id="rId164" Type="http://schemas.openxmlformats.org/officeDocument/2006/relationships/hyperlink" Target="https://www.tiktok.com/@ayla19553" TargetMode="External"/><Relationship Id="rId163" Type="http://schemas.openxmlformats.org/officeDocument/2006/relationships/hyperlink" Target="https://www.tiktok.com/@ria.yeya" TargetMode="External"/><Relationship Id="rId162" Type="http://schemas.openxmlformats.org/officeDocument/2006/relationships/hyperlink" Target="https://www.tiktok.com/@cherry_review21/video/7643681389044436244?is_from_webapp=1&amp;sender_device=pc" TargetMode="External"/><Relationship Id="rId169" Type="http://schemas.openxmlformats.org/officeDocument/2006/relationships/hyperlink" Target="https://www.tiktok.com/@reviewtetehvia" TargetMode="External"/><Relationship Id="rId168" Type="http://schemas.openxmlformats.org/officeDocument/2006/relationships/hyperlink" Target="https://www.tiktok.com/@ameliamoe24" TargetMode="External"/><Relationship Id="rId167" Type="http://schemas.openxmlformats.org/officeDocument/2006/relationships/hyperlink" Target="https://www.tiktok.com/@lailinalhikmah" TargetMode="External"/><Relationship Id="rId166" Type="http://schemas.openxmlformats.org/officeDocument/2006/relationships/hyperlink" Target="https://www.tiktok.com/@enikuu" TargetMode="External"/><Relationship Id="rId161" Type="http://schemas.openxmlformats.org/officeDocument/2006/relationships/hyperlink" Target="https://www.tiktok.com/@cherry_review21/video/7643059824283995413?is_from_webapp=1&amp;sender_device=pc" TargetMode="External"/><Relationship Id="rId160" Type="http://schemas.openxmlformats.org/officeDocument/2006/relationships/hyperlink" Target="https://www.tiktok.com/@Cherry_review21" TargetMode="External"/><Relationship Id="rId159" Type="http://schemas.openxmlformats.org/officeDocument/2006/relationships/hyperlink" Target="https://www.tiktok.com/@diyo_herbal" TargetMode="External"/><Relationship Id="rId154" Type="http://schemas.openxmlformats.org/officeDocument/2006/relationships/hyperlink" Target="https://www.tiktok.com/@chayna.4515/video/7641889262669073672?is_from_webapp=1&amp;sender_device=pc" TargetMode="External"/><Relationship Id="rId153" Type="http://schemas.openxmlformats.org/officeDocument/2006/relationships/hyperlink" Target="https://www.tiktok.com/@chayna.4515/video/7639707604578585874?is_from_webapp=1&amp;sender_device=pc" TargetMode="External"/><Relationship Id="rId152" Type="http://schemas.openxmlformats.org/officeDocument/2006/relationships/hyperlink" Target="https://vt.tiktok.com/ZS9GXuTPh/" TargetMode="External"/><Relationship Id="rId151" Type="http://schemas.openxmlformats.org/officeDocument/2006/relationships/hyperlink" Target="https://www.tiktok.com/@chayna.4515" TargetMode="External"/><Relationship Id="rId158" Type="http://schemas.openxmlformats.org/officeDocument/2006/relationships/hyperlink" Target="https://www.tiktok.com/@aghania02" TargetMode="External"/><Relationship Id="rId157" Type="http://schemas.openxmlformats.org/officeDocument/2006/relationships/hyperlink" Target="https://www.tiktok.com/@una.211/video/7641495300552543509?is_from_webapp=1&amp;sender_device=pc" TargetMode="External"/><Relationship Id="rId156" Type="http://schemas.openxmlformats.org/officeDocument/2006/relationships/hyperlink" Target="https://www.tiktok.com/@una.211" TargetMode="External"/><Relationship Id="rId155" Type="http://schemas.openxmlformats.org/officeDocument/2006/relationships/hyperlink" Target="https://www.tiktok.com/@evi_vhie" TargetMode="External"/><Relationship Id="rId1510" Type="http://schemas.openxmlformats.org/officeDocument/2006/relationships/hyperlink" Target="https://www.tiktok.com/@Cahyana_emalia" TargetMode="External"/><Relationship Id="rId1511" Type="http://schemas.openxmlformats.org/officeDocument/2006/relationships/hyperlink" Target="https://www.tiktok.com/@becomey2" TargetMode="External"/><Relationship Id="rId1512" Type="http://schemas.openxmlformats.org/officeDocument/2006/relationships/hyperlink" Target="https://www.tiktok.com/@pretty1mailoorh" TargetMode="External"/><Relationship Id="rId1513" Type="http://schemas.openxmlformats.org/officeDocument/2006/relationships/hyperlink" Target="https://www.tiktok.com/@Xdnytz_" TargetMode="External"/><Relationship Id="rId1514" Type="http://schemas.openxmlformats.org/officeDocument/2006/relationships/hyperlink" Target="https://www.tiktok.com/@sorayaaaaa25" TargetMode="External"/><Relationship Id="rId1515" Type="http://schemas.openxmlformats.org/officeDocument/2006/relationships/hyperlink" Target="https://www.tiktok.com/@dhelfi12" TargetMode="External"/><Relationship Id="rId1516" Type="http://schemas.openxmlformats.org/officeDocument/2006/relationships/hyperlink" Target="https://www.tiktok.com/@haeyooouuuu_" TargetMode="External"/><Relationship Id="rId1517" Type="http://schemas.openxmlformats.org/officeDocument/2006/relationships/hyperlink" Target="https://www.tiktok.com/@fi_kaa1" TargetMode="External"/><Relationship Id="rId1518" Type="http://schemas.openxmlformats.org/officeDocument/2006/relationships/hyperlink" Target="https://www.tiktok.com/@shybelaa" TargetMode="External"/><Relationship Id="rId1519" Type="http://schemas.openxmlformats.org/officeDocument/2006/relationships/hyperlink" Target="https://www.tiktok.com/@ainon499" TargetMode="External"/><Relationship Id="rId1500" Type="http://schemas.openxmlformats.org/officeDocument/2006/relationships/hyperlink" Target="https://www.tiktok.com/@spilbyaku_" TargetMode="External"/><Relationship Id="rId1501" Type="http://schemas.openxmlformats.org/officeDocument/2006/relationships/hyperlink" Target="https://www.tiktok.com/@_chamalll" TargetMode="External"/><Relationship Id="rId1502" Type="http://schemas.openxmlformats.org/officeDocument/2006/relationships/hyperlink" Target="https://www.tiktok.com/@nadilaaa_18" TargetMode="External"/><Relationship Id="rId1503" Type="http://schemas.openxmlformats.org/officeDocument/2006/relationships/hyperlink" Target="https://www.tiktok.com/@rhane0105" TargetMode="External"/><Relationship Id="rId1504" Type="http://schemas.openxmlformats.org/officeDocument/2006/relationships/hyperlink" Target="https://www.tiktok.com/@octlynnnn" TargetMode="External"/><Relationship Id="rId1505" Type="http://schemas.openxmlformats.org/officeDocument/2006/relationships/hyperlink" Target="https://www.tiktok.com/@carissaaputriii_" TargetMode="External"/><Relationship Id="rId1506" Type="http://schemas.openxmlformats.org/officeDocument/2006/relationships/hyperlink" Target="https://www.tiktok.com/@Ratu_reviewapaaja" TargetMode="External"/><Relationship Id="rId1507" Type="http://schemas.openxmlformats.org/officeDocument/2006/relationships/hyperlink" Target="https://www.tiktok.com/@bluefiremey" TargetMode="External"/><Relationship Id="rId1508" Type="http://schemas.openxmlformats.org/officeDocument/2006/relationships/hyperlink" Target="https://www.tiktok.com/@_lilula" TargetMode="External"/><Relationship Id="rId1509" Type="http://schemas.openxmlformats.org/officeDocument/2006/relationships/hyperlink" Target="https://www.tiktok.com/@Mimomtiara28" TargetMode="External"/><Relationship Id="rId1576" Type="http://schemas.openxmlformats.org/officeDocument/2006/relationships/hyperlink" Target="https://www.tiktok.com/@nda_nmld" TargetMode="External"/><Relationship Id="rId1577" Type="http://schemas.openxmlformats.org/officeDocument/2006/relationships/hyperlink" Target="https://www.tiktok.com/@disadisty01" TargetMode="External"/><Relationship Id="rId1578" Type="http://schemas.openxmlformats.org/officeDocument/2006/relationships/hyperlink" Target="http://beautyvault.id" TargetMode="External"/><Relationship Id="rId1579" Type="http://schemas.openxmlformats.org/officeDocument/2006/relationships/hyperlink" Target="https://www.tiktok.com/@beautyvault.id" TargetMode="External"/><Relationship Id="rId509" Type="http://schemas.openxmlformats.org/officeDocument/2006/relationships/hyperlink" Target="https://www.tiktok.com/@liviainhere" TargetMode="External"/><Relationship Id="rId508" Type="http://schemas.openxmlformats.org/officeDocument/2006/relationships/hyperlink" Target="https://www.tiktok.com/@chafastore_/video/7639734914161593607?is_from_webapp=1&amp;sender_device=pc" TargetMode="External"/><Relationship Id="rId503" Type="http://schemas.openxmlformats.org/officeDocument/2006/relationships/hyperlink" Target="https://www.tiktok.com/@Spillby.luna" TargetMode="External"/><Relationship Id="rId987" Type="http://schemas.openxmlformats.org/officeDocument/2006/relationships/hyperlink" Target="https://www.tiktok.com/@lilisshop80/video/7642496143313816852?is_from_webapp=1&amp;sender_device=pc" TargetMode="External"/><Relationship Id="rId502" Type="http://schemas.openxmlformats.org/officeDocument/2006/relationships/hyperlink" Target="https://www.tiktok.com/@ptyxrz0" TargetMode="External"/><Relationship Id="rId986" Type="http://schemas.openxmlformats.org/officeDocument/2006/relationships/hyperlink" Target="https://www.tiktok.com/@lilisshop80/video/7642312822537637140?is_from_webapp=1&amp;sender_device=pc" TargetMode="External"/><Relationship Id="rId501" Type="http://schemas.openxmlformats.org/officeDocument/2006/relationships/hyperlink" Target="https://www.tiktok.com/@dianace_/video/7642177833720188178?is_from_webapp=1&amp;sender_device=pc" TargetMode="External"/><Relationship Id="rId985" Type="http://schemas.openxmlformats.org/officeDocument/2006/relationships/hyperlink" Target="https://www.tiktok.com/@lilisshop80/video/7641951677817310484?is_from_webapp=1&amp;sender_device=pc" TargetMode="External"/><Relationship Id="rId500" Type="http://schemas.openxmlformats.org/officeDocument/2006/relationships/hyperlink" Target="https://www.tiktok.com/@dianace_/video/7640845083356433672?is_from_webapp=1&amp;sender_device=pc" TargetMode="External"/><Relationship Id="rId984" Type="http://schemas.openxmlformats.org/officeDocument/2006/relationships/hyperlink" Target="https://www.tiktok.com/@lilisshop80/video/7641830959955889428?is_from_webapp=1&amp;sender_device=pc" TargetMode="External"/><Relationship Id="rId507" Type="http://schemas.openxmlformats.org/officeDocument/2006/relationships/hyperlink" Target="https://www.tiktok.com/@chafastore_" TargetMode="External"/><Relationship Id="rId506" Type="http://schemas.openxmlformats.org/officeDocument/2006/relationships/hyperlink" Target="https://www.tiktok.com/@spillby.luna/video/7642347253805419792?is_from_webapp=1&amp;sender_device=pc" TargetMode="External"/><Relationship Id="rId505" Type="http://schemas.openxmlformats.org/officeDocument/2006/relationships/hyperlink" Target="https://www.tiktok.com/@spillby.luna/video/7641843391688494352?is_from_webapp=1&amp;sender_device=pc" TargetMode="External"/><Relationship Id="rId989" Type="http://schemas.openxmlformats.org/officeDocument/2006/relationships/hyperlink" Target="https://www.tiktok.com/@fitavit_" TargetMode="External"/><Relationship Id="rId504" Type="http://schemas.openxmlformats.org/officeDocument/2006/relationships/hyperlink" Target="https://www.tiktok.com/@spillby.luna/video/7641160931489238289?is_from_webapp=1&amp;sender_device=pc" TargetMode="External"/><Relationship Id="rId988" Type="http://schemas.openxmlformats.org/officeDocument/2006/relationships/hyperlink" Target="https://www.tiktok.com/@heyyraaaaa" TargetMode="External"/><Relationship Id="rId1570" Type="http://schemas.openxmlformats.org/officeDocument/2006/relationships/hyperlink" Target="https://www.tiktok.com/@Takoyaki.isi.squidward" TargetMode="External"/><Relationship Id="rId1571" Type="http://schemas.openxmlformats.org/officeDocument/2006/relationships/hyperlink" Target="https://www.tiktok.com/@bungsualshop" TargetMode="External"/><Relationship Id="rId983" Type="http://schemas.openxmlformats.org/officeDocument/2006/relationships/hyperlink" Target="https://www.tiktok.com/@lilisshop80" TargetMode="External"/><Relationship Id="rId1572" Type="http://schemas.openxmlformats.org/officeDocument/2006/relationships/hyperlink" Target="https://www.tiktok.com/@dvsoeli" TargetMode="External"/><Relationship Id="rId982" Type="http://schemas.openxmlformats.org/officeDocument/2006/relationships/hyperlink" Target="https://www.tiktok.com/@fasya.aull" TargetMode="External"/><Relationship Id="rId1573" Type="http://schemas.openxmlformats.org/officeDocument/2006/relationships/hyperlink" Target="https://www.tiktok.com/@alfarizqi204" TargetMode="External"/><Relationship Id="rId981" Type="http://schemas.openxmlformats.org/officeDocument/2006/relationships/hyperlink" Target="https://www.tiktok.com/@siapa.yakk09/video/7643517873993927954?is_from_webapp=1&amp;sender_device=pc" TargetMode="External"/><Relationship Id="rId1574" Type="http://schemas.openxmlformats.org/officeDocument/2006/relationships/hyperlink" Target="https://www.tiktok.com/@daisyyyid" TargetMode="External"/><Relationship Id="rId980" Type="http://schemas.openxmlformats.org/officeDocument/2006/relationships/hyperlink" Target="https://www.tiktok.com/@siapa.yakk09/video/7643516267671997703?is_from_webapp=1&amp;sender_device=pc" TargetMode="External"/><Relationship Id="rId1575" Type="http://schemas.openxmlformats.org/officeDocument/2006/relationships/hyperlink" Target="https://www.tiktok.com/@aeriiptri" TargetMode="External"/><Relationship Id="rId1565" Type="http://schemas.openxmlformats.org/officeDocument/2006/relationships/hyperlink" Target="https://www.tiktok.com/@salm___18" TargetMode="External"/><Relationship Id="rId1566" Type="http://schemas.openxmlformats.org/officeDocument/2006/relationships/hyperlink" Target="https://www.tiktok.com/@cokelat330" TargetMode="External"/><Relationship Id="rId1567" Type="http://schemas.openxmlformats.org/officeDocument/2006/relationships/hyperlink" Target="https://www.tiktok.com/@for.u244" TargetMode="External"/><Relationship Id="rId1568" Type="http://schemas.openxmlformats.org/officeDocument/2006/relationships/hyperlink" Target="https://www.tiktok.com/@Shaylaevelyn1" TargetMode="External"/><Relationship Id="rId1569" Type="http://schemas.openxmlformats.org/officeDocument/2006/relationships/hyperlink" Target="https://www.tiktok.com/@hima_2812" TargetMode="External"/><Relationship Id="rId976" Type="http://schemas.openxmlformats.org/officeDocument/2006/relationships/hyperlink" Target="https://www.tiktok.com/@Rosihandayani78" TargetMode="External"/><Relationship Id="rId975" Type="http://schemas.openxmlformats.org/officeDocument/2006/relationships/hyperlink" Target="https://www.tiktok.com/@cikacikoo_" TargetMode="External"/><Relationship Id="rId974" Type="http://schemas.openxmlformats.org/officeDocument/2006/relationships/hyperlink" Target="https://www.tiktok.com/@evayunda" TargetMode="External"/><Relationship Id="rId973" Type="http://schemas.openxmlformats.org/officeDocument/2006/relationships/hyperlink" Target="https://www.tiktok.com/@cindydestian" TargetMode="External"/><Relationship Id="rId979" Type="http://schemas.openxmlformats.org/officeDocument/2006/relationships/hyperlink" Target="https://www.tiktok.com/@siapa.yakk09/video/7643515571925142802?is_from_webapp=1&amp;sender_device=pc" TargetMode="External"/><Relationship Id="rId978" Type="http://schemas.openxmlformats.org/officeDocument/2006/relationships/hyperlink" Target="https://www.tiktok.com/@siapa.yakk09/video/7643513057175555336?is_from_webapp=1&amp;sender_device=pc" TargetMode="External"/><Relationship Id="rId977" Type="http://schemas.openxmlformats.org/officeDocument/2006/relationships/hyperlink" Target="https://www.tiktok.com/@siapa.yakk09" TargetMode="External"/><Relationship Id="rId1560" Type="http://schemas.openxmlformats.org/officeDocument/2006/relationships/hyperlink" Target="https://www.tiktok.com/@lehha.27" TargetMode="External"/><Relationship Id="rId972" Type="http://schemas.openxmlformats.org/officeDocument/2006/relationships/hyperlink" Target="https://www.tiktok.com/@aliyanaelulmunaaa/video/7643692894087335188?is_from_webapp=1&amp;sender_device=pc" TargetMode="External"/><Relationship Id="rId1561" Type="http://schemas.openxmlformats.org/officeDocument/2006/relationships/hyperlink" Target="https://www.tiktok.com/@putriayuwinataa_" TargetMode="External"/><Relationship Id="rId971" Type="http://schemas.openxmlformats.org/officeDocument/2006/relationships/hyperlink" Target="https://www.tiktok.com/@aliyanaelulmunaaa/video/7643148930691239188?is_from_webapp=1&amp;sender_device=pc" TargetMode="External"/><Relationship Id="rId1562" Type="http://schemas.openxmlformats.org/officeDocument/2006/relationships/hyperlink" Target="https://www.tiktok.com/@hii.eyaaa" TargetMode="External"/><Relationship Id="rId970" Type="http://schemas.openxmlformats.org/officeDocument/2006/relationships/hyperlink" Target="https://www.tiktok.com/@aliyanaelulmunaaa" TargetMode="External"/><Relationship Id="rId1563" Type="http://schemas.openxmlformats.org/officeDocument/2006/relationships/hyperlink" Target="https://www.tiktok.com/@__iniakunkuuuu" TargetMode="External"/><Relationship Id="rId1564" Type="http://schemas.openxmlformats.org/officeDocument/2006/relationships/hyperlink" Target="https://www.tiktok.com/@fitria.sondari" TargetMode="External"/><Relationship Id="rId1114" Type="http://schemas.openxmlformats.org/officeDocument/2006/relationships/hyperlink" Target="https://www.tiktok.com/@dedew.sin/video/7643416453483351314?is_from_webapp=1&amp;sender_device=pc" TargetMode="External"/><Relationship Id="rId1598" Type="http://schemas.openxmlformats.org/officeDocument/2006/relationships/hyperlink" Target="https://www.tiktok.com/@spillbynala" TargetMode="External"/><Relationship Id="rId1115" Type="http://schemas.openxmlformats.org/officeDocument/2006/relationships/hyperlink" Target="https://www.tiktok.com/@furhun_" TargetMode="External"/><Relationship Id="rId1599" Type="http://schemas.openxmlformats.org/officeDocument/2006/relationships/hyperlink" Target="https://www.tiktok.com/@nssadepeee_" TargetMode="External"/><Relationship Id="rId1116" Type="http://schemas.openxmlformats.org/officeDocument/2006/relationships/hyperlink" Target="https://www.tiktok.com/@putrianishopp" TargetMode="External"/><Relationship Id="rId1117" Type="http://schemas.openxmlformats.org/officeDocument/2006/relationships/hyperlink" Target="https://www.tiktok.com/@putrianishopp/video/7642543235922988308?is_from_webapp=1&amp;sender_device=pc" TargetMode="External"/><Relationship Id="rId1118" Type="http://schemas.openxmlformats.org/officeDocument/2006/relationships/hyperlink" Target="https://www.tiktok.com/@deyysan.01" TargetMode="External"/><Relationship Id="rId1119" Type="http://schemas.openxmlformats.org/officeDocument/2006/relationships/hyperlink" Target="https://www.tiktok.com/@Viktoria_anita" TargetMode="External"/><Relationship Id="rId525" Type="http://schemas.openxmlformats.org/officeDocument/2006/relationships/hyperlink" Target="https://www.tiktok.com/@Antikatikak_" TargetMode="External"/><Relationship Id="rId524" Type="http://schemas.openxmlformats.org/officeDocument/2006/relationships/hyperlink" Target="https://www.tiktok.com/@dialecxy/video/7639752314005327112?is_from_webapp=1&amp;sender_device=pc" TargetMode="External"/><Relationship Id="rId523" Type="http://schemas.openxmlformats.org/officeDocument/2006/relationships/hyperlink" Target="https://www.tiktok.com/@dialecxy/video/7637842501042179348?is_from_webapp=1&amp;sender_device=pc" TargetMode="External"/><Relationship Id="rId522" Type="http://schemas.openxmlformats.org/officeDocument/2006/relationships/hyperlink" Target="https://www.tiktok.com/@dialecxy" TargetMode="External"/><Relationship Id="rId529" Type="http://schemas.openxmlformats.org/officeDocument/2006/relationships/hyperlink" Target="https://www.tiktok.com/@hallo_ingri/video/7639307962946833684?is_from_webapp=1&amp;sender_device=pc" TargetMode="External"/><Relationship Id="rId528" Type="http://schemas.openxmlformats.org/officeDocument/2006/relationships/hyperlink" Target="https://www.tiktok.com/@hallo_ingri" TargetMode="External"/><Relationship Id="rId527" Type="http://schemas.openxmlformats.org/officeDocument/2006/relationships/hyperlink" Target="https://www.tiktok.com/@depiisrrr" TargetMode="External"/><Relationship Id="rId526" Type="http://schemas.openxmlformats.org/officeDocument/2006/relationships/hyperlink" Target="https://www.tiktok.com/@Sispipit" TargetMode="External"/><Relationship Id="rId1590" Type="http://schemas.openxmlformats.org/officeDocument/2006/relationships/hyperlink" Target="https://www.tiktok.com/@Wiwindarti" TargetMode="External"/><Relationship Id="rId1591" Type="http://schemas.openxmlformats.org/officeDocument/2006/relationships/hyperlink" Target="https://www.tiktok.com/@lolandapp23" TargetMode="External"/><Relationship Id="rId1592" Type="http://schemas.openxmlformats.org/officeDocument/2006/relationships/hyperlink" Target="https://www.tiktok.com/@marcella_harini" TargetMode="External"/><Relationship Id="rId1593" Type="http://schemas.openxmlformats.org/officeDocument/2006/relationships/hyperlink" Target="https://www.tiktok.com/@raiyaa.r" TargetMode="External"/><Relationship Id="rId521" Type="http://schemas.openxmlformats.org/officeDocument/2006/relationships/hyperlink" Target="https://www.tiktok.com/@una.arsyaa/video/7643058083748400405?is_from_webapp=1&amp;sender_device=pc" TargetMode="External"/><Relationship Id="rId1110" Type="http://schemas.openxmlformats.org/officeDocument/2006/relationships/hyperlink" Target="https://www.tiktok.com/@Dedew.sin" TargetMode="External"/><Relationship Id="rId1594" Type="http://schemas.openxmlformats.org/officeDocument/2006/relationships/hyperlink" Target="https://www.tiktok.com/@aries.shop_" TargetMode="External"/><Relationship Id="rId520" Type="http://schemas.openxmlformats.org/officeDocument/2006/relationships/hyperlink" Target="https://www.tiktok.com/@una.arsyaa/video/7639429685939637525?is_from_webapp=1&amp;sender_device=pc" TargetMode="External"/><Relationship Id="rId1111" Type="http://schemas.openxmlformats.org/officeDocument/2006/relationships/hyperlink" Target="https://www.tiktok.com/@dedew.sin/video/7642308513368378642?is_from_webapp=1&amp;sender_device=pc" TargetMode="External"/><Relationship Id="rId1595" Type="http://schemas.openxmlformats.org/officeDocument/2006/relationships/hyperlink" Target="https://www.tiktok.com/@_yollaa23" TargetMode="External"/><Relationship Id="rId1112" Type="http://schemas.openxmlformats.org/officeDocument/2006/relationships/hyperlink" Target="https://www.tiktok.com/@dedew.sin/video/7642709189533486343?is_from_webapp=1&amp;sender_device=pc" TargetMode="External"/><Relationship Id="rId1596" Type="http://schemas.openxmlformats.org/officeDocument/2006/relationships/hyperlink" Target="https://www.tiktok.com/@amma.niss" TargetMode="External"/><Relationship Id="rId1113" Type="http://schemas.openxmlformats.org/officeDocument/2006/relationships/hyperlink" Target="https://www.tiktok.com/@dedew.sin/video/7643047627893984519?is_from_webapp=1&amp;sender_device=pc" TargetMode="External"/><Relationship Id="rId1597" Type="http://schemas.openxmlformats.org/officeDocument/2006/relationships/hyperlink" Target="https://www.tiktok.com/@Chelfazarxx" TargetMode="External"/><Relationship Id="rId1103" Type="http://schemas.openxmlformats.org/officeDocument/2006/relationships/hyperlink" Target="https://www.tiktok.com/@nayyaakuu/video/7642868782645529876?is_from_webapp=1&amp;sender_device=pc" TargetMode="External"/><Relationship Id="rId1587" Type="http://schemas.openxmlformats.org/officeDocument/2006/relationships/hyperlink" Target="https://www.tiktok.com/@diyanah_yh" TargetMode="External"/><Relationship Id="rId1104" Type="http://schemas.openxmlformats.org/officeDocument/2006/relationships/hyperlink" Target="https://www.tiktok.com/@nayyaakuu/video/7643608722324901140?is_from_webapp=1&amp;sender_device=pc" TargetMode="External"/><Relationship Id="rId1588" Type="http://schemas.openxmlformats.org/officeDocument/2006/relationships/hyperlink" Target="https://www.tiktok.com/@andini9396" TargetMode="External"/><Relationship Id="rId1105" Type="http://schemas.openxmlformats.org/officeDocument/2006/relationships/hyperlink" Target="https://www.tiktok.com/@nayyaakuu/video/7643634293608156437?is_from_webapp=1&amp;sender_device=pc" TargetMode="External"/><Relationship Id="rId1589" Type="http://schemas.openxmlformats.org/officeDocument/2006/relationships/hyperlink" Target="https://www.tiktok.com/@bubujes_" TargetMode="External"/><Relationship Id="rId1106" Type="http://schemas.openxmlformats.org/officeDocument/2006/relationships/hyperlink" Target="https://www.tiktok.com/@biielga" TargetMode="External"/><Relationship Id="rId1107" Type="http://schemas.openxmlformats.org/officeDocument/2006/relationships/hyperlink" Target="https://www.tiktok.com/@Racuntiktokkk.22" TargetMode="External"/><Relationship Id="rId1108" Type="http://schemas.openxmlformats.org/officeDocument/2006/relationships/hyperlink" Target="https://www.tiktok.com/@ibuken_zo" TargetMode="External"/><Relationship Id="rId1109" Type="http://schemas.openxmlformats.org/officeDocument/2006/relationships/hyperlink" Target="https://www.tiktok.com/@Cindysaadah6" TargetMode="External"/><Relationship Id="rId519" Type="http://schemas.openxmlformats.org/officeDocument/2006/relationships/hyperlink" Target="https://www.tiktok.com/@Una.arsyaa" TargetMode="External"/><Relationship Id="rId514" Type="http://schemas.openxmlformats.org/officeDocument/2006/relationships/hyperlink" Target="https://www.tiktok.com/@nadhira.madhani/video/7640870551715597575?is_from_webapp=1&amp;sender_device=pc" TargetMode="External"/><Relationship Id="rId998" Type="http://schemas.openxmlformats.org/officeDocument/2006/relationships/hyperlink" Target="https://www.tiktok.com/@mytiffanyz" TargetMode="External"/><Relationship Id="rId513" Type="http://schemas.openxmlformats.org/officeDocument/2006/relationships/hyperlink" Target="https://www.tiktok.com/@nadhira.madhani" TargetMode="External"/><Relationship Id="rId997" Type="http://schemas.openxmlformats.org/officeDocument/2006/relationships/hyperlink" Target="https://www.tiktok.com/@tinaismi/video/7643369089058213127?is_from_webapp=1&amp;sender_device=pc" TargetMode="External"/><Relationship Id="rId512" Type="http://schemas.openxmlformats.org/officeDocument/2006/relationships/hyperlink" Target="https://www.tiktok.com/@tiaauciiyy" TargetMode="External"/><Relationship Id="rId996" Type="http://schemas.openxmlformats.org/officeDocument/2006/relationships/hyperlink" Target="https://www.tiktok.com/@tinaismi/video/7643365958270078226?is_from_webapp=1&amp;sender_device=pc" TargetMode="External"/><Relationship Id="rId511" Type="http://schemas.openxmlformats.org/officeDocument/2006/relationships/hyperlink" Target="https://www.tiktok.com/@zezeyaaaaa" TargetMode="External"/><Relationship Id="rId995" Type="http://schemas.openxmlformats.org/officeDocument/2006/relationships/hyperlink" Target="https://www.tiktok.com/@tinaismi/video/7643322731383065874?is_from_webapp=1&amp;sender_device=pc" TargetMode="External"/><Relationship Id="rId518" Type="http://schemas.openxmlformats.org/officeDocument/2006/relationships/hyperlink" Target="https://www.tiktok.com/@worldofpuspa" TargetMode="External"/><Relationship Id="rId517" Type="http://schemas.openxmlformats.org/officeDocument/2006/relationships/hyperlink" Target="https://www.tiktok.com/@nadhira.madhani/video/7640129562063490311?is_from_webapp=1&amp;sender_device=pc" TargetMode="External"/><Relationship Id="rId516" Type="http://schemas.openxmlformats.org/officeDocument/2006/relationships/hyperlink" Target="https://www.tiktok.com/@nadhira.madhani/video/7639385434669190418?is_from_webapp=1&amp;sender_device=pc" TargetMode="External"/><Relationship Id="rId515" Type="http://schemas.openxmlformats.org/officeDocument/2006/relationships/hyperlink" Target="https://www.tiktok.com/@nadhira.madhani/video/7641984151691775239?is_from_webapp=1&amp;sender_device=pc" TargetMode="External"/><Relationship Id="rId999" Type="http://schemas.openxmlformats.org/officeDocument/2006/relationships/hyperlink" Target="https://www.tiktok.com/@mrsladyrose.glow" TargetMode="External"/><Relationship Id="rId990" Type="http://schemas.openxmlformats.org/officeDocument/2006/relationships/hyperlink" Target="https://www.tiktok.com/@fitavit_/video/7642347672137075988?is_from_webapp=1&amp;sender_device=pc" TargetMode="External"/><Relationship Id="rId1580" Type="http://schemas.openxmlformats.org/officeDocument/2006/relationships/hyperlink" Target="https://www.tiktok.com/@rfaa.n_" TargetMode="External"/><Relationship Id="rId1581" Type="http://schemas.openxmlformats.org/officeDocument/2006/relationships/hyperlink" Target="https://www.tiktok.com/@novaa1611" TargetMode="External"/><Relationship Id="rId1582" Type="http://schemas.openxmlformats.org/officeDocument/2006/relationships/hyperlink" Target="https://www.tiktok.com/@Im.myyyyy30" TargetMode="External"/><Relationship Id="rId510" Type="http://schemas.openxmlformats.org/officeDocument/2006/relationships/hyperlink" Target="https://www.tiktok.com/@liviainhere/video/7643417005374115093?is_from_webapp=1&amp;sender_device=pc" TargetMode="External"/><Relationship Id="rId994" Type="http://schemas.openxmlformats.org/officeDocument/2006/relationships/hyperlink" Target="https://www.tiktok.com/@tinaismi/video/7643307211082485010?is_from_webapp=1&amp;sender_device=pc" TargetMode="External"/><Relationship Id="rId1583" Type="http://schemas.openxmlformats.org/officeDocument/2006/relationships/hyperlink" Target="https://www.tiktok.com/@spalspilmuti" TargetMode="External"/><Relationship Id="rId993" Type="http://schemas.openxmlformats.org/officeDocument/2006/relationships/hyperlink" Target="https://www.tiktok.com/@Tinaismi" TargetMode="External"/><Relationship Id="rId1100" Type="http://schemas.openxmlformats.org/officeDocument/2006/relationships/hyperlink" Target="https://www.tiktok.com/@holmeday/video/7638072787764006164?is_from_webapp=1&amp;sender_device=pc" TargetMode="External"/><Relationship Id="rId1584" Type="http://schemas.openxmlformats.org/officeDocument/2006/relationships/hyperlink" Target="https://www.tiktok.com/@itsmeee20072" TargetMode="External"/><Relationship Id="rId992" Type="http://schemas.openxmlformats.org/officeDocument/2006/relationships/hyperlink" Target="https://www.tiktok.com/@fitavit_/video/7643857519751810324?is_from_webapp=1&amp;sender_device=pc" TargetMode="External"/><Relationship Id="rId1101" Type="http://schemas.openxmlformats.org/officeDocument/2006/relationships/hyperlink" Target="https://www.tiktok.com/@sky.blue200331" TargetMode="External"/><Relationship Id="rId1585" Type="http://schemas.openxmlformats.org/officeDocument/2006/relationships/hyperlink" Target="https://www.tiktok.com/@karaaafashion" TargetMode="External"/><Relationship Id="rId991" Type="http://schemas.openxmlformats.org/officeDocument/2006/relationships/hyperlink" Target="https://www.tiktok.com/@fitavit_/video/7642541648219557140?is_from_webapp=1&amp;sender_device=pc" TargetMode="External"/><Relationship Id="rId1102" Type="http://schemas.openxmlformats.org/officeDocument/2006/relationships/hyperlink" Target="https://www.tiktok.com/@nayyaakuu" TargetMode="External"/><Relationship Id="rId1586" Type="http://schemas.openxmlformats.org/officeDocument/2006/relationships/hyperlink" Target="https://www.tiktok.com/@mahhnh" TargetMode="External"/><Relationship Id="rId1532" Type="http://schemas.openxmlformats.org/officeDocument/2006/relationships/hyperlink" Target="https://www.tiktok.com/@alisia.svr" TargetMode="External"/><Relationship Id="rId1533" Type="http://schemas.openxmlformats.org/officeDocument/2006/relationships/hyperlink" Target="https://www.tiktok.com/@chafastore_" TargetMode="External"/><Relationship Id="rId1534" Type="http://schemas.openxmlformats.org/officeDocument/2006/relationships/hyperlink" Target="https://www.tiktok.com/@spillskincare07" TargetMode="External"/><Relationship Id="rId1535" Type="http://schemas.openxmlformats.org/officeDocument/2006/relationships/hyperlink" Target="https://www.tiktok.com/@dianamiswar" TargetMode="External"/><Relationship Id="rId1536" Type="http://schemas.openxmlformats.org/officeDocument/2006/relationships/hyperlink" Target="https://www.tiktok.com/@liongirlie" TargetMode="External"/><Relationship Id="rId1537" Type="http://schemas.openxmlformats.org/officeDocument/2006/relationships/hyperlink" Target="https://www.tiktok.com/@Affiliatetiktok830" TargetMode="External"/><Relationship Id="rId1538" Type="http://schemas.openxmlformats.org/officeDocument/2006/relationships/hyperlink" Target="https://www.tiktok.com/@sweetly_ranaa" TargetMode="External"/><Relationship Id="rId1539" Type="http://schemas.openxmlformats.org/officeDocument/2006/relationships/hyperlink" Target="https://www.tiktok.com/@thismandya" TargetMode="External"/><Relationship Id="rId949" Type="http://schemas.openxmlformats.org/officeDocument/2006/relationships/hyperlink" Target="https://www.tiktok.com/@_tyusp/video/7643398224283192597?is_from_webapp=1&amp;sender_device=pc" TargetMode="External"/><Relationship Id="rId948" Type="http://schemas.openxmlformats.org/officeDocument/2006/relationships/hyperlink" Target="https://www.tiktok.com/@_tyusp" TargetMode="External"/><Relationship Id="rId943" Type="http://schemas.openxmlformats.org/officeDocument/2006/relationships/hyperlink" Target="https://www.tiktok.com/@saschya11" TargetMode="External"/><Relationship Id="rId942" Type="http://schemas.openxmlformats.org/officeDocument/2006/relationships/hyperlink" Target="https://www.tiktok.com/@minceu_090723/video/7643997776132558100?is_from_webapp=1&amp;sender_device=pc" TargetMode="External"/><Relationship Id="rId941" Type="http://schemas.openxmlformats.org/officeDocument/2006/relationships/hyperlink" Target="https://www.tiktok.com/@minceu_090723/video/7642352253315206420?is_from_webapp=1&amp;sender_device=pc" TargetMode="External"/><Relationship Id="rId940" Type="http://schemas.openxmlformats.org/officeDocument/2006/relationships/hyperlink" Target="https://www.tiktok.com/@minceu_090723/video/7642335159433334036?is_from_webapp=1&amp;sender_device=pc" TargetMode="External"/><Relationship Id="rId947" Type="http://schemas.openxmlformats.org/officeDocument/2006/relationships/hyperlink" Target="https://www.tiktok.com/@lelaagustina2" TargetMode="External"/><Relationship Id="rId946" Type="http://schemas.openxmlformats.org/officeDocument/2006/relationships/hyperlink" Target="https://www.tiktok.com/@sweetcocoa_" TargetMode="External"/><Relationship Id="rId945" Type="http://schemas.openxmlformats.org/officeDocument/2006/relationships/hyperlink" Target="https://www.tiktok.com/@arnukhaa_" TargetMode="External"/><Relationship Id="rId944" Type="http://schemas.openxmlformats.org/officeDocument/2006/relationships/hyperlink" Target="https://www.tiktok.com/@itsme.thanai" TargetMode="External"/><Relationship Id="rId1530" Type="http://schemas.openxmlformats.org/officeDocument/2006/relationships/hyperlink" Target="https://www.tiktok.com/@Snaura22" TargetMode="External"/><Relationship Id="rId1531" Type="http://schemas.openxmlformats.org/officeDocument/2006/relationships/hyperlink" Target="https://www.tiktok.com/@aleenalzam" TargetMode="External"/><Relationship Id="rId1521" Type="http://schemas.openxmlformats.org/officeDocument/2006/relationships/hyperlink" Target="https://www.tiktok.com/@aiyudew_" TargetMode="External"/><Relationship Id="rId1522" Type="http://schemas.openxmlformats.org/officeDocument/2006/relationships/hyperlink" Target="https://www.tiktok.com/@giteee_" TargetMode="External"/><Relationship Id="rId1523" Type="http://schemas.openxmlformats.org/officeDocument/2006/relationships/hyperlink" Target="https://www.tiktok.com/@kamiliacaa_" TargetMode="External"/><Relationship Id="rId1524" Type="http://schemas.openxmlformats.org/officeDocument/2006/relationships/hyperlink" Target="https://www.tiktok.com/@muti1007" TargetMode="External"/><Relationship Id="rId1525" Type="http://schemas.openxmlformats.org/officeDocument/2006/relationships/hyperlink" Target="https://www.tiktok.com/@White.vii" TargetMode="External"/><Relationship Id="rId1526" Type="http://schemas.openxmlformats.org/officeDocument/2006/relationships/hyperlink" Target="https://www.tiktok.com/@glamwithmiaa" TargetMode="External"/><Relationship Id="rId1527" Type="http://schemas.openxmlformats.org/officeDocument/2006/relationships/hyperlink" Target="https://www.tiktok.com/@Parveenstoreid" TargetMode="External"/><Relationship Id="rId1528" Type="http://schemas.openxmlformats.org/officeDocument/2006/relationships/hyperlink" Target="https://www.tiktok.com/@caffelovete" TargetMode="External"/><Relationship Id="rId1529" Type="http://schemas.openxmlformats.org/officeDocument/2006/relationships/hyperlink" Target="https://www.tiktok.com/@itsmeirma8" TargetMode="External"/><Relationship Id="rId939" Type="http://schemas.openxmlformats.org/officeDocument/2006/relationships/hyperlink" Target="https://www.tiktok.com/@minceu_090723" TargetMode="External"/><Relationship Id="rId938" Type="http://schemas.openxmlformats.org/officeDocument/2006/relationships/hyperlink" Target="https://www.tiktok.com/@tigaputri38/video/7643800523472211221?is_from_webapp=1&amp;sender_device=pc" TargetMode="External"/><Relationship Id="rId937" Type="http://schemas.openxmlformats.org/officeDocument/2006/relationships/hyperlink" Target="https://www.tiktok.com/@tigaputri38/video/7643294926007962900?is_from_webapp=1&amp;sender_device=pc" TargetMode="External"/><Relationship Id="rId932" Type="http://schemas.openxmlformats.org/officeDocument/2006/relationships/hyperlink" Target="https://www.tiktok.com/@withfullbye/video/7643074953021066516?is_from_webapp=1&amp;sender_device=pc" TargetMode="External"/><Relationship Id="rId931" Type="http://schemas.openxmlformats.org/officeDocument/2006/relationships/hyperlink" Target="https://www.tiktok.com/@withfullbye/video/7642967294775168277?is_from_webapp=1&amp;sender_device=pc" TargetMode="External"/><Relationship Id="rId930" Type="http://schemas.openxmlformats.org/officeDocument/2006/relationships/hyperlink" Target="https://www.tiktok.com/@Withfullbye" TargetMode="External"/><Relationship Id="rId936" Type="http://schemas.openxmlformats.org/officeDocument/2006/relationships/hyperlink" Target="https://www.tiktok.com/@tigaputri38" TargetMode="External"/><Relationship Id="rId935" Type="http://schemas.openxmlformats.org/officeDocument/2006/relationships/hyperlink" Target="https://www.tiktok.com/@hi.billll" TargetMode="External"/><Relationship Id="rId934" Type="http://schemas.openxmlformats.org/officeDocument/2006/relationships/hyperlink" Target="https://www.tiktok.com/@slayqueen_572" TargetMode="External"/><Relationship Id="rId933" Type="http://schemas.openxmlformats.org/officeDocument/2006/relationships/hyperlink" Target="https://www.tiktok.com/@withfullbye/video/7643262153461435669?is_from_webapp=1&amp;sender_device=pc" TargetMode="External"/><Relationship Id="rId1520" Type="http://schemas.openxmlformats.org/officeDocument/2006/relationships/hyperlink" Target="https://www.tiktok.com/@F34n4" TargetMode="External"/><Relationship Id="rId1554" Type="http://schemas.openxmlformats.org/officeDocument/2006/relationships/hyperlink" Target="https://www.tiktok.com/@rirayy_" TargetMode="External"/><Relationship Id="rId1555" Type="http://schemas.openxmlformats.org/officeDocument/2006/relationships/hyperlink" Target="https://www.tiktok.com/@Monoeyelid" TargetMode="External"/><Relationship Id="rId1556" Type="http://schemas.openxmlformats.org/officeDocument/2006/relationships/hyperlink" Target="https://www.tiktok.com/@Bucinnyamasagus" TargetMode="External"/><Relationship Id="rId1557" Type="http://schemas.openxmlformats.org/officeDocument/2006/relationships/hyperlink" Target="https://www.tiktok.com/@dipoo_8" TargetMode="External"/><Relationship Id="rId1558" Type="http://schemas.openxmlformats.org/officeDocument/2006/relationships/hyperlink" Target="https://www.tiktok.com/@Sdlptr" TargetMode="External"/><Relationship Id="rId1559" Type="http://schemas.openxmlformats.org/officeDocument/2006/relationships/hyperlink" Target="https://www.tiktok.com/@mayaditt" TargetMode="External"/><Relationship Id="rId965" Type="http://schemas.openxmlformats.org/officeDocument/2006/relationships/hyperlink" Target="https://www.tiktok.com/@mffaa___/video/7642305093391437072?is_from_webapp=1&amp;sender_device=pc" TargetMode="External"/><Relationship Id="rId964" Type="http://schemas.openxmlformats.org/officeDocument/2006/relationships/hyperlink" Target="https://www.tiktok.com/@mffaa___/video/7641806845656468737?is_from_webapp=1&amp;sender_device=pc" TargetMode="External"/><Relationship Id="rId963" Type="http://schemas.openxmlformats.org/officeDocument/2006/relationships/hyperlink" Target="https://www.tiktok.com/@mffaa___" TargetMode="External"/><Relationship Id="rId962" Type="http://schemas.openxmlformats.org/officeDocument/2006/relationships/hyperlink" Target="https://www.tiktok.com/@biggestwavess" TargetMode="External"/><Relationship Id="rId969" Type="http://schemas.openxmlformats.org/officeDocument/2006/relationships/hyperlink" Target="https://www.tiktok.com/@skinestishop" TargetMode="External"/><Relationship Id="rId968" Type="http://schemas.openxmlformats.org/officeDocument/2006/relationships/hyperlink" Target="https://www.tiktok.com/@my.way_id" TargetMode="External"/><Relationship Id="rId967" Type="http://schemas.openxmlformats.org/officeDocument/2006/relationships/hyperlink" Target="https://www.tiktok.com/@mffaa___/video/7643057805724847377?is_from_webapp=1&amp;sender_device=pc" TargetMode="External"/><Relationship Id="rId966" Type="http://schemas.openxmlformats.org/officeDocument/2006/relationships/hyperlink" Target="https://www.tiktok.com/@mffaa___/video/7642670174092397840?is_from_webapp=1&amp;sender_device=pc" TargetMode="External"/><Relationship Id="rId961" Type="http://schemas.openxmlformats.org/officeDocument/2006/relationships/hyperlink" Target="https://www.tiktok.com/@ziezieshi" TargetMode="External"/><Relationship Id="rId1550" Type="http://schemas.openxmlformats.org/officeDocument/2006/relationships/hyperlink" Target="https://www.tiktok.com/@hiiichataa" TargetMode="External"/><Relationship Id="rId960" Type="http://schemas.openxmlformats.org/officeDocument/2006/relationships/hyperlink" Target="https://www.tiktok.com/@ndaajaa_00/video/7643837660888304912?is_from_webapp=1&amp;sender_device=pc" TargetMode="External"/><Relationship Id="rId1551" Type="http://schemas.openxmlformats.org/officeDocument/2006/relationships/hyperlink" Target="https://www.tiktok.com/@aca.filate" TargetMode="External"/><Relationship Id="rId1552" Type="http://schemas.openxmlformats.org/officeDocument/2006/relationships/hyperlink" Target="https://www.tiktok.com/@Mitandini_" TargetMode="External"/><Relationship Id="rId1553" Type="http://schemas.openxmlformats.org/officeDocument/2006/relationships/hyperlink" Target="https://www.tiktok.com/@agustinaselayar3" TargetMode="External"/><Relationship Id="rId1543" Type="http://schemas.openxmlformats.org/officeDocument/2006/relationships/hyperlink" Target="https://www.tiktok.com/@quenzzx" TargetMode="External"/><Relationship Id="rId1544" Type="http://schemas.openxmlformats.org/officeDocument/2006/relationships/hyperlink" Target="https://www.tiktok.com/@spilbysilvi_" TargetMode="External"/><Relationship Id="rId1545" Type="http://schemas.openxmlformats.org/officeDocument/2006/relationships/hyperlink" Target="https://www.tiktok.com/@as3atri" TargetMode="External"/><Relationship Id="rId1546" Type="http://schemas.openxmlformats.org/officeDocument/2006/relationships/hyperlink" Target="https://www.tiktok.com/@renaaaadwiar" TargetMode="External"/><Relationship Id="rId1547" Type="http://schemas.openxmlformats.org/officeDocument/2006/relationships/hyperlink" Target="https://www.tiktok.com/@Nadnadtrz" TargetMode="External"/><Relationship Id="rId1548" Type="http://schemas.openxmlformats.org/officeDocument/2006/relationships/hyperlink" Target="https://www.tiktok.com/@Alexandria.1205" TargetMode="External"/><Relationship Id="rId1549" Type="http://schemas.openxmlformats.org/officeDocument/2006/relationships/hyperlink" Target="https://www.tiktok.com/@Hanakoluminara02" TargetMode="External"/><Relationship Id="rId959" Type="http://schemas.openxmlformats.org/officeDocument/2006/relationships/hyperlink" Target="https://www.tiktok.com/@ndaajaa_00/video/7642706791163251985?is_from_webapp=1&amp;sender_device=pc" TargetMode="External"/><Relationship Id="rId954" Type="http://schemas.openxmlformats.org/officeDocument/2006/relationships/hyperlink" Target="https://www.tiktok.com/@lyltlrhmadyh/video/7642325693996616967?is_from_webapp=1&amp;sender_device=pc" TargetMode="External"/><Relationship Id="rId953" Type="http://schemas.openxmlformats.org/officeDocument/2006/relationships/hyperlink" Target="https://www.tiktok.com/@lyltlrhmadyh/video/7641982239957404935?is_from_webapp=1&amp;sender_device=pc" TargetMode="External"/><Relationship Id="rId952" Type="http://schemas.openxmlformats.org/officeDocument/2006/relationships/hyperlink" Target="https://www.tiktok.com/@lyltlrhmadyh" TargetMode="External"/><Relationship Id="rId951" Type="http://schemas.openxmlformats.org/officeDocument/2006/relationships/hyperlink" Target="https://www.tiktok.com/@Asryyani" TargetMode="External"/><Relationship Id="rId958" Type="http://schemas.openxmlformats.org/officeDocument/2006/relationships/hyperlink" Target="https://www.tiktok.com/@ndaajaa_00/video/7642352233908047120?is_from_webapp=1&amp;sender_device=pc" TargetMode="External"/><Relationship Id="rId957" Type="http://schemas.openxmlformats.org/officeDocument/2006/relationships/hyperlink" Target="https://www.tiktok.com/@Ndaajaa_00" TargetMode="External"/><Relationship Id="rId956" Type="http://schemas.openxmlformats.org/officeDocument/2006/relationships/hyperlink" Target="https://www.tiktok.com/@lyltlrhmadyh/video/7642985129169652999?is_from_webapp=1&amp;sender_device=pc" TargetMode="External"/><Relationship Id="rId955" Type="http://schemas.openxmlformats.org/officeDocument/2006/relationships/hyperlink" Target="https://www.tiktok.com/@lyltlrhmadyh/video/7642332206551141650?is_from_webapp=1&amp;sender_device=pc" TargetMode="External"/><Relationship Id="rId950" Type="http://schemas.openxmlformats.org/officeDocument/2006/relationships/hyperlink" Target="https://www.tiktok.com/@_tyusp/video/7643415380383354133?is_from_webapp=1&amp;sender_device=pc" TargetMode="External"/><Relationship Id="rId1540" Type="http://schemas.openxmlformats.org/officeDocument/2006/relationships/hyperlink" Target="https://www.tiktok.com/@latiffmuha02" TargetMode="External"/><Relationship Id="rId1541" Type="http://schemas.openxmlformats.org/officeDocument/2006/relationships/hyperlink" Target="https://www.tiktok.com/@Citraabelia_" TargetMode="External"/><Relationship Id="rId1542" Type="http://schemas.openxmlformats.org/officeDocument/2006/relationships/hyperlink" Target="https://www.tiktok.com/@Windiyku" TargetMode="External"/><Relationship Id="rId590" Type="http://schemas.openxmlformats.org/officeDocument/2006/relationships/hyperlink" Target="https://www.tiktok.com/@kaaaaast/video/7642545378151238930?is_from_webapp=1&amp;sender_device=pc" TargetMode="External"/><Relationship Id="rId107" Type="http://schemas.openxmlformats.org/officeDocument/2006/relationships/hyperlink" Target="https://www.tiktok.com/@kharinaya_putri25/video/7640326114111409428?is_from_webapp=1&amp;sender_device=pc" TargetMode="External"/><Relationship Id="rId106" Type="http://schemas.openxmlformats.org/officeDocument/2006/relationships/hyperlink" Target="https://www.tiktok.com/@kharinaya_putri25/video/7639913957733436692?is_from_webapp=1&amp;sender_device=pc" TargetMode="External"/><Relationship Id="rId105" Type="http://schemas.openxmlformats.org/officeDocument/2006/relationships/hyperlink" Target="https://www.tiktok.com/@kharinaya_putri25/video/7637014503317605653?is_from_webapp=1&amp;sender_device=pc" TargetMode="External"/><Relationship Id="rId589" Type="http://schemas.openxmlformats.org/officeDocument/2006/relationships/hyperlink" Target="https://www.tiktok.com/@kaaaaast/video/7639724836599762194?is_from_webapp=1&amp;sender_device=pc" TargetMode="External"/><Relationship Id="rId104" Type="http://schemas.openxmlformats.org/officeDocument/2006/relationships/hyperlink" Target="https://vt.tiktok.com/ZS9pJb8yB/" TargetMode="External"/><Relationship Id="rId588" Type="http://schemas.openxmlformats.org/officeDocument/2006/relationships/hyperlink" Target="https://www.tiktok.com/@kaaaaast" TargetMode="External"/><Relationship Id="rId109" Type="http://schemas.openxmlformats.org/officeDocument/2006/relationships/hyperlink" Target="https://www.tiktok.com/@urccharmmerr/video/7637137810260282644?is_from_webapp=1&amp;sender_device=pc" TargetMode="External"/><Relationship Id="rId1170" Type="http://schemas.openxmlformats.org/officeDocument/2006/relationships/hyperlink" Target="https://www.tiktok.com/@ninaoele/video/7643117441723288853?is_from_webapp=1&amp;sender_device=pc" TargetMode="External"/><Relationship Id="rId108" Type="http://schemas.openxmlformats.org/officeDocument/2006/relationships/hyperlink" Target="https://www.tiktok.com/@urccharmmerr" TargetMode="External"/><Relationship Id="rId1171" Type="http://schemas.openxmlformats.org/officeDocument/2006/relationships/hyperlink" Target="https://www.tiktok.com/@arumihwd.18" TargetMode="External"/><Relationship Id="rId583" Type="http://schemas.openxmlformats.org/officeDocument/2006/relationships/hyperlink" Target="https://www.tiktok.com/@berkah.glosir/video/7638547533651873044?is_from_webapp=1&amp;sender_device=pc" TargetMode="External"/><Relationship Id="rId1172" Type="http://schemas.openxmlformats.org/officeDocument/2006/relationships/hyperlink" Target="https://www.tiktok.com/@Glowlahhh" TargetMode="External"/><Relationship Id="rId582" Type="http://schemas.openxmlformats.org/officeDocument/2006/relationships/hyperlink" Target="https://www.tiktok.com/@berkah.glosir/video/7638543352438197525?is_from_webapp=1&amp;sender_device=pc" TargetMode="External"/><Relationship Id="rId1173" Type="http://schemas.openxmlformats.org/officeDocument/2006/relationships/hyperlink" Target="https://www.tiktok.com/@glowlahhh/video/7643620297844804871?is_from_webapp=1&amp;sender_device=pc" TargetMode="External"/><Relationship Id="rId581" Type="http://schemas.openxmlformats.org/officeDocument/2006/relationships/hyperlink" Target="https://www.tiktok.com/@berkah.glosir" TargetMode="External"/><Relationship Id="rId1174" Type="http://schemas.openxmlformats.org/officeDocument/2006/relationships/hyperlink" Target="https://www.tiktok.com/@glowlahhh/video/7643686985235746055?is_from_webapp=1&amp;sender_device=pc" TargetMode="External"/><Relationship Id="rId580" Type="http://schemas.openxmlformats.org/officeDocument/2006/relationships/hyperlink" Target="https://www.tiktok.com/@cahyaa102/video/7641213158358617364?is_from_webapp=1&amp;sender_device=pc" TargetMode="External"/><Relationship Id="rId1175" Type="http://schemas.openxmlformats.org/officeDocument/2006/relationships/hyperlink" Target="https://www.tiktok.com/@nnv427" TargetMode="External"/><Relationship Id="rId103" Type="http://schemas.openxmlformats.org/officeDocument/2006/relationships/hyperlink" Target="https://www.tiktok.com/@kharinaya_putri25" TargetMode="External"/><Relationship Id="rId587" Type="http://schemas.openxmlformats.org/officeDocument/2006/relationships/hyperlink" Target="https://www.tiktok.com/@ndiranavsyari" TargetMode="External"/><Relationship Id="rId1176" Type="http://schemas.openxmlformats.org/officeDocument/2006/relationships/hyperlink" Target="https://www.tiktok.com/@nnv427/video/7643958382142983442?is_from_webapp=1&amp;sender_device=pc" TargetMode="External"/><Relationship Id="rId102" Type="http://schemas.openxmlformats.org/officeDocument/2006/relationships/hyperlink" Target="https://www.tiktok.com/@Bemyung" TargetMode="External"/><Relationship Id="rId586" Type="http://schemas.openxmlformats.org/officeDocument/2006/relationships/hyperlink" Target="https://www.tiktok.com/@santikartika95" TargetMode="External"/><Relationship Id="rId1177" Type="http://schemas.openxmlformats.org/officeDocument/2006/relationships/hyperlink" Target="https://www.tiktok.com/@noviarisky__" TargetMode="External"/><Relationship Id="rId101" Type="http://schemas.openxmlformats.org/officeDocument/2006/relationships/hyperlink" Target="https://vt.tiktok.com/ZSxc49VCr/" TargetMode="External"/><Relationship Id="rId585" Type="http://schemas.openxmlformats.org/officeDocument/2006/relationships/hyperlink" Target="https://www.tiktok.com/@berkah.glosir/video/7638549909825785108?is_from_webapp=1&amp;sender_device=pc" TargetMode="External"/><Relationship Id="rId1178" Type="http://schemas.openxmlformats.org/officeDocument/2006/relationships/hyperlink" Target="https://www.tiktok.com/@noviarisky__/video/7642238658715602196?is_from_webapp=1&amp;sender_device=pc" TargetMode="External"/><Relationship Id="rId100" Type="http://schemas.openxmlformats.org/officeDocument/2006/relationships/hyperlink" Target="https://www.tiktok.com/@siopettttt____/video/7642377184056823058?is_from_webapp=1&amp;sender_device=pc" TargetMode="External"/><Relationship Id="rId584" Type="http://schemas.openxmlformats.org/officeDocument/2006/relationships/hyperlink" Target="https://www.tiktok.com/@berkah.glosir/video/7638548121579982101?is_from_webapp=1&amp;sender_device=pc" TargetMode="External"/><Relationship Id="rId1179" Type="http://schemas.openxmlformats.org/officeDocument/2006/relationships/hyperlink" Target="https://www.tiktok.com/@noviarisky__/video/7642682011466910997?is_from_webapp=1&amp;sender_device=pc" TargetMode="External"/><Relationship Id="rId1169" Type="http://schemas.openxmlformats.org/officeDocument/2006/relationships/hyperlink" Target="https://www.tiktok.com/@ninaoele" TargetMode="External"/><Relationship Id="rId579" Type="http://schemas.openxmlformats.org/officeDocument/2006/relationships/hyperlink" Target="https://www.tiktok.com/@cahyaa102/video/7640030480892513556?is_from_webapp=1&amp;sender_device=pc" TargetMode="External"/><Relationship Id="rId578" Type="http://schemas.openxmlformats.org/officeDocument/2006/relationships/hyperlink" Target="https://www.tiktok.com/@cahyaa102/video/7639610577198812436?is_from_webapp=1&amp;sender_device=pc" TargetMode="External"/><Relationship Id="rId577" Type="http://schemas.openxmlformats.org/officeDocument/2006/relationships/hyperlink" Target="https://www.tiktok.com/@cahyaa102/video/7638820925919513877?is_from_webapp=1&amp;sender_device=pc" TargetMode="External"/><Relationship Id="rId1160" Type="http://schemas.openxmlformats.org/officeDocument/2006/relationships/hyperlink" Target="https://www.tiktok.com/@spalspill.1512/video/7644070051133328660?is_from_webapp=1&amp;sender_device=pc" TargetMode="External"/><Relationship Id="rId572" Type="http://schemas.openxmlformats.org/officeDocument/2006/relationships/hyperlink" Target="https://www.tiktok.com/@rzkamalia07_/video/7641633967808105748?is_from_webapp=1&amp;sender_device=pc" TargetMode="External"/><Relationship Id="rId1161" Type="http://schemas.openxmlformats.org/officeDocument/2006/relationships/hyperlink" Target="https://www.tiktok.com/@fidifada" TargetMode="External"/><Relationship Id="rId571" Type="http://schemas.openxmlformats.org/officeDocument/2006/relationships/hyperlink" Target="https://www.tiktok.com/@Rzkamalia07_" TargetMode="External"/><Relationship Id="rId1162" Type="http://schemas.openxmlformats.org/officeDocument/2006/relationships/hyperlink" Target="https://www.tiktok.com/@atikanurul26" TargetMode="External"/><Relationship Id="rId570" Type="http://schemas.openxmlformats.org/officeDocument/2006/relationships/hyperlink" Target="https://www.tiktok.com/@mira_sa11/video/7642488903043255570?is_from_webapp=1&amp;sender_device=pc" TargetMode="External"/><Relationship Id="rId1163" Type="http://schemas.openxmlformats.org/officeDocument/2006/relationships/hyperlink" Target="https://www.tiktok.com/@Dedea_scha" TargetMode="External"/><Relationship Id="rId1164" Type="http://schemas.openxmlformats.org/officeDocument/2006/relationships/hyperlink" Target="https://www.tiktok.com/@Siifarain" TargetMode="External"/><Relationship Id="rId576" Type="http://schemas.openxmlformats.org/officeDocument/2006/relationships/hyperlink" Target="https://www.tiktok.com/@cahyaa102" TargetMode="External"/><Relationship Id="rId1165" Type="http://schemas.openxmlformats.org/officeDocument/2006/relationships/hyperlink" Target="https://www.tiktok.com/@shinta.sabira" TargetMode="External"/><Relationship Id="rId575" Type="http://schemas.openxmlformats.org/officeDocument/2006/relationships/hyperlink" Target="https://www.tiktok.com/@ristarstya11" TargetMode="External"/><Relationship Id="rId1166" Type="http://schemas.openxmlformats.org/officeDocument/2006/relationships/hyperlink" Target="https://www.tiktok.com/@iniacha02" TargetMode="External"/><Relationship Id="rId574" Type="http://schemas.openxmlformats.org/officeDocument/2006/relationships/hyperlink" Target="https://www.tiktok.com/@rzkamalia07_/video/7642429241556176149?is_from_webapp=1&amp;sender_device=pc" TargetMode="External"/><Relationship Id="rId1167" Type="http://schemas.openxmlformats.org/officeDocument/2006/relationships/hyperlink" Target="https://www.tiktok.com/@Hikiia_" TargetMode="External"/><Relationship Id="rId573" Type="http://schemas.openxmlformats.org/officeDocument/2006/relationships/hyperlink" Target="https://www.tiktok.com/@rzkamalia07_/video/7642222654467951892?is_from_webapp=1&amp;sender_device=pc" TargetMode="External"/><Relationship Id="rId1168" Type="http://schemas.openxmlformats.org/officeDocument/2006/relationships/hyperlink" Target="https://www.tiktok.com/@nunungnurhayatii_1" TargetMode="External"/><Relationship Id="rId129" Type="http://schemas.openxmlformats.org/officeDocument/2006/relationships/hyperlink" Target="https://www.tiktok.com/@Ririsdisini" TargetMode="External"/><Relationship Id="rId128" Type="http://schemas.openxmlformats.org/officeDocument/2006/relationships/hyperlink" Target="https://www.tiktok.com/@yosephine.ell" TargetMode="External"/><Relationship Id="rId127" Type="http://schemas.openxmlformats.org/officeDocument/2006/relationships/hyperlink" Target="https://www.tiktok.com/@feninrb/video/7643507261834300693?is_from_webapp=1&amp;sender_device=pc" TargetMode="External"/><Relationship Id="rId126" Type="http://schemas.openxmlformats.org/officeDocument/2006/relationships/hyperlink" Target="https://www.tiktok.com/@feninrb/video/7638639414125825300?is_from_webapp=1&amp;sender_device=pc" TargetMode="External"/><Relationship Id="rId1190" Type="http://schemas.openxmlformats.org/officeDocument/2006/relationships/hyperlink" Target="https://www.tiktok.com/@needta3/video/7643279818242411794?is_from_webapp=1&amp;sender_device=pc" TargetMode="External"/><Relationship Id="rId1191" Type="http://schemas.openxmlformats.org/officeDocument/2006/relationships/hyperlink" Target="https://www.tiktok.com/@cysyala" TargetMode="External"/><Relationship Id="rId1192" Type="http://schemas.openxmlformats.org/officeDocument/2006/relationships/hyperlink" Target="https://www.tiktok.com/@Prety.mitaa" TargetMode="External"/><Relationship Id="rId1193" Type="http://schemas.openxmlformats.org/officeDocument/2006/relationships/hyperlink" Target="https://www.tiktok.com/@hi.inijiyan2" TargetMode="External"/><Relationship Id="rId121" Type="http://schemas.openxmlformats.org/officeDocument/2006/relationships/hyperlink" Target="https://www.tiktok.com/@0p44444" TargetMode="External"/><Relationship Id="rId1194" Type="http://schemas.openxmlformats.org/officeDocument/2006/relationships/hyperlink" Target="https://www.tiktok.com/@hi.inijiyan2/video/7644082114782039317?is_from_webapp=1&amp;sender_device=pc" TargetMode="External"/><Relationship Id="rId120" Type="http://schemas.openxmlformats.org/officeDocument/2006/relationships/hyperlink" Target="https://www.tiktok.com/@reviewerbeauty" TargetMode="External"/><Relationship Id="rId1195" Type="http://schemas.openxmlformats.org/officeDocument/2006/relationships/hyperlink" Target="https://www.tiktok.com/@ezcuttti" TargetMode="External"/><Relationship Id="rId1196" Type="http://schemas.openxmlformats.org/officeDocument/2006/relationships/hyperlink" Target="https://www.tiktok.com/@ezcuttti/video/7643874704482258197?is_from_webapp=1&amp;sender_device=pc" TargetMode="External"/><Relationship Id="rId1197" Type="http://schemas.openxmlformats.org/officeDocument/2006/relationships/hyperlink" Target="https://www.tiktok.com/@queen.ha2" TargetMode="External"/><Relationship Id="rId125" Type="http://schemas.openxmlformats.org/officeDocument/2006/relationships/hyperlink" Target="https://www.tiktok.com/@feninrb/video/7638255084765187349?is_from_webapp=1&amp;sender_device=pc" TargetMode="External"/><Relationship Id="rId1198" Type="http://schemas.openxmlformats.org/officeDocument/2006/relationships/hyperlink" Target="https://www.tiktok.com/@Ditta.14" TargetMode="External"/><Relationship Id="rId124" Type="http://schemas.openxmlformats.org/officeDocument/2006/relationships/hyperlink" Target="https://www.tiktok.com/@feninrb/video/7636417975997779221?is_from_webapp=1&amp;sender_device=pc" TargetMode="External"/><Relationship Id="rId1199" Type="http://schemas.openxmlformats.org/officeDocument/2006/relationships/hyperlink" Target="https://www.tiktok.com/@esa.anisaa" TargetMode="External"/><Relationship Id="rId123" Type="http://schemas.openxmlformats.org/officeDocument/2006/relationships/hyperlink" Target="https://www.tiktok.com/@Feninrb" TargetMode="External"/><Relationship Id="rId122" Type="http://schemas.openxmlformats.org/officeDocument/2006/relationships/hyperlink" Target="https://www.tiktok.com/@0p44444/video/7642736656612707604?is_from_webapp=1&amp;sender_device=pc" TargetMode="External"/><Relationship Id="rId118" Type="http://schemas.openxmlformats.org/officeDocument/2006/relationships/hyperlink" Target="https://www.tiktok.com/@blvdbil4/video/7636962368924290312?is_from_webapp=1&amp;sender_device=pc" TargetMode="External"/><Relationship Id="rId117" Type="http://schemas.openxmlformats.org/officeDocument/2006/relationships/hyperlink" Target="https://vt.tiktok.com/ZS9gCjc3g/" TargetMode="External"/><Relationship Id="rId116" Type="http://schemas.openxmlformats.org/officeDocument/2006/relationships/hyperlink" Target="https://vt.tiktok.com/ZS9xh5TGa/" TargetMode="External"/><Relationship Id="rId115" Type="http://schemas.openxmlformats.org/officeDocument/2006/relationships/hyperlink" Target="https://www.tiktok.com/@blvdbil4" TargetMode="External"/><Relationship Id="rId599" Type="http://schemas.openxmlformats.org/officeDocument/2006/relationships/hyperlink" Target="https://www.tiktok.com/@maydarafsha" TargetMode="External"/><Relationship Id="rId1180" Type="http://schemas.openxmlformats.org/officeDocument/2006/relationships/hyperlink" Target="https://www.tiktok.com/@nabilalaqdr" TargetMode="External"/><Relationship Id="rId1181" Type="http://schemas.openxmlformats.org/officeDocument/2006/relationships/hyperlink" Target="https://www.tiktok.com/@Hunnycaraa" TargetMode="External"/><Relationship Id="rId119" Type="http://schemas.openxmlformats.org/officeDocument/2006/relationships/hyperlink" Target="https://www.tiktok.com/@blvdbil4/video/7638451613350350098?is_from_webapp=1&amp;sender_device=pc" TargetMode="External"/><Relationship Id="rId1182" Type="http://schemas.openxmlformats.org/officeDocument/2006/relationships/hyperlink" Target="https://www.tiktok.com/@spill.byzee" TargetMode="External"/><Relationship Id="rId110" Type="http://schemas.openxmlformats.org/officeDocument/2006/relationships/hyperlink" Target="https://www.tiktok.com/@urccharmmerr/video/7637500118513667349?is_from_webapp=1&amp;sender_device=pc" TargetMode="External"/><Relationship Id="rId594" Type="http://schemas.openxmlformats.org/officeDocument/2006/relationships/hyperlink" Target="https://www.tiktok.com/@anitanursyifa/video/7641915552553880852?is_from_webapp=1&amp;sender_device=pc" TargetMode="External"/><Relationship Id="rId1183" Type="http://schemas.openxmlformats.org/officeDocument/2006/relationships/hyperlink" Target="https://www.tiktok.com/@spill.byzee/video/7643129637752573205?is_from_webapp=1&amp;sender_device=pc" TargetMode="External"/><Relationship Id="rId593" Type="http://schemas.openxmlformats.org/officeDocument/2006/relationships/hyperlink" Target="https://www.tiktok.com/@anitanursyifa/video/7638656902368414997?is_from_webapp=1&amp;sender_device=pc" TargetMode="External"/><Relationship Id="rId1184" Type="http://schemas.openxmlformats.org/officeDocument/2006/relationships/hyperlink" Target="https://www.tiktok.com/@bukan_citygirllllllll" TargetMode="External"/><Relationship Id="rId592" Type="http://schemas.openxmlformats.org/officeDocument/2006/relationships/hyperlink" Target="https://www.tiktok.com/@anitanursyifa" TargetMode="External"/><Relationship Id="rId1185" Type="http://schemas.openxmlformats.org/officeDocument/2006/relationships/hyperlink" Target="https://www.tiktok.com/@demosaic" TargetMode="External"/><Relationship Id="rId591" Type="http://schemas.openxmlformats.org/officeDocument/2006/relationships/hyperlink" Target="https://www.tiktok.com/@kaaaaast/video/7642639932342766856?is_from_webapp=1&amp;sender_device=pc" TargetMode="External"/><Relationship Id="rId1186" Type="http://schemas.openxmlformats.org/officeDocument/2006/relationships/hyperlink" Target="https://www.tiktok.com/@Ayuliewahyuni" TargetMode="External"/><Relationship Id="rId114" Type="http://schemas.openxmlformats.org/officeDocument/2006/relationships/hyperlink" Target="https://www.tiktok.com/@mirin2202" TargetMode="External"/><Relationship Id="rId598" Type="http://schemas.openxmlformats.org/officeDocument/2006/relationships/hyperlink" Target="https://www.tiktok.com/@afni01235/video/7641469400326901000?is_from_webapp=1&amp;sender_device=pc" TargetMode="External"/><Relationship Id="rId1187" Type="http://schemas.openxmlformats.org/officeDocument/2006/relationships/hyperlink" Target="https://www.tiktok.com/@nickeeen_dwi" TargetMode="External"/><Relationship Id="rId113" Type="http://schemas.openxmlformats.org/officeDocument/2006/relationships/hyperlink" Target="https://www.tiktok.com/@mentikss_" TargetMode="External"/><Relationship Id="rId597" Type="http://schemas.openxmlformats.org/officeDocument/2006/relationships/hyperlink" Target="https://www.tiktok.com/@afni01235/video/7639294597889363207?is_from_webapp=1&amp;sender_device=pc" TargetMode="External"/><Relationship Id="rId1188" Type="http://schemas.openxmlformats.org/officeDocument/2006/relationships/hyperlink" Target="https://www.tiktok.com/@nickeeen_dwi/video/7643041906372381968?is_from_webapp=1&amp;sender_device=pc" TargetMode="External"/><Relationship Id="rId112" Type="http://schemas.openxmlformats.org/officeDocument/2006/relationships/hyperlink" Target="https://www.tiktok.com/@urccharmmerr/video/7638236972217158932?is_from_webapp=1&amp;sender_device=pc" TargetMode="External"/><Relationship Id="rId596" Type="http://schemas.openxmlformats.org/officeDocument/2006/relationships/hyperlink" Target="https://www.tiktok.com/@afni01235/video/7638926689510214920?is_from_webapp=1&amp;sender_device=pc" TargetMode="External"/><Relationship Id="rId1189" Type="http://schemas.openxmlformats.org/officeDocument/2006/relationships/hyperlink" Target="https://www.tiktok.com/@needta3" TargetMode="External"/><Relationship Id="rId111" Type="http://schemas.openxmlformats.org/officeDocument/2006/relationships/hyperlink" Target="https://www.tiktok.com/@urccharmmerr/video/7637850267202964757?is_from_webapp=1&amp;sender_device=pc" TargetMode="External"/><Relationship Id="rId595" Type="http://schemas.openxmlformats.org/officeDocument/2006/relationships/hyperlink" Target="https://www.tiktok.com/@afni01235" TargetMode="External"/><Relationship Id="rId1136" Type="http://schemas.openxmlformats.org/officeDocument/2006/relationships/hyperlink" Target="https://www.tiktok.com/@perempuan.aquarius_" TargetMode="External"/><Relationship Id="rId1137" Type="http://schemas.openxmlformats.org/officeDocument/2006/relationships/hyperlink" Target="https://www.tiktok.com/@perempuan.aquarius_/video/7642685024197774600?is_from_webapp=1&amp;sender_device=pc" TargetMode="External"/><Relationship Id="rId1138" Type="http://schemas.openxmlformats.org/officeDocument/2006/relationships/hyperlink" Target="https://www.tiktok.com/@perempuan.aquarius_/video/7643838048421170440?is_from_webapp=1&amp;sender_device=pc" TargetMode="External"/><Relationship Id="rId1139" Type="http://schemas.openxmlformats.org/officeDocument/2006/relationships/hyperlink" Target="https://www.tiktok.com/@Esldyy" TargetMode="External"/><Relationship Id="rId547" Type="http://schemas.openxmlformats.org/officeDocument/2006/relationships/hyperlink" Target="https://www.tiktok.com/@varawinda/video/7639358111286906132?is_from_webapp=1&amp;sender_device=pc" TargetMode="External"/><Relationship Id="rId546" Type="http://schemas.openxmlformats.org/officeDocument/2006/relationships/hyperlink" Target="https://www.tiktok.com/@varawinda/video/7639356143810596116?is_from_webapp=1&amp;sender_device=pc" TargetMode="External"/><Relationship Id="rId545" Type="http://schemas.openxmlformats.org/officeDocument/2006/relationships/hyperlink" Target="https://www.tiktok.com/@varawinda/video/7639273224957644053?is_from_webapp=1&amp;sender_device=pc" TargetMode="External"/><Relationship Id="rId544" Type="http://schemas.openxmlformats.org/officeDocument/2006/relationships/hyperlink" Target="https://www.tiktok.com/@Varawinda" TargetMode="External"/><Relationship Id="rId549" Type="http://schemas.openxmlformats.org/officeDocument/2006/relationships/hyperlink" Target="https://www.tiktok.com/@Maya_putrifadhillah" TargetMode="External"/><Relationship Id="rId548" Type="http://schemas.openxmlformats.org/officeDocument/2006/relationships/hyperlink" Target="https://www.tiktok.com/@varawinda/video/7641468912005090581?is_from_webapp=1&amp;sender_device=pc" TargetMode="External"/><Relationship Id="rId1130" Type="http://schemas.openxmlformats.org/officeDocument/2006/relationships/hyperlink" Target="https://www.tiktok.com/@moon13111311" TargetMode="External"/><Relationship Id="rId1131" Type="http://schemas.openxmlformats.org/officeDocument/2006/relationships/hyperlink" Target="https://www.tiktok.com/@nayannazz" TargetMode="External"/><Relationship Id="rId543" Type="http://schemas.openxmlformats.org/officeDocument/2006/relationships/hyperlink" Target="https://www.tiktok.com/@nisanurulhmdy" TargetMode="External"/><Relationship Id="rId1132" Type="http://schemas.openxmlformats.org/officeDocument/2006/relationships/hyperlink" Target="https://www.tiktok.com/@nayannazz/video/7644090337811533074?is_from_webapp=1&amp;sender_device=pc" TargetMode="External"/><Relationship Id="rId542" Type="http://schemas.openxmlformats.org/officeDocument/2006/relationships/hyperlink" Target="https://www.tiktok.com/@Aslerry" TargetMode="External"/><Relationship Id="rId1133" Type="http://schemas.openxmlformats.org/officeDocument/2006/relationships/hyperlink" Target="https://www.tiktok.com/@vieeraa14" TargetMode="External"/><Relationship Id="rId541" Type="http://schemas.openxmlformats.org/officeDocument/2006/relationships/hyperlink" Target="https://www.tiktok.com/@anaknyamamalidii" TargetMode="External"/><Relationship Id="rId1134" Type="http://schemas.openxmlformats.org/officeDocument/2006/relationships/hyperlink" Target="https://www.tiktok.com/@shofiyahzahrotul" TargetMode="External"/><Relationship Id="rId540" Type="http://schemas.openxmlformats.org/officeDocument/2006/relationships/hyperlink" Target="https://www.tiktok.com/@ul.aull/video/7642977389240192264?is_from_webapp=1&amp;sender_device=pc" TargetMode="External"/><Relationship Id="rId1135" Type="http://schemas.openxmlformats.org/officeDocument/2006/relationships/hyperlink" Target="https://www.tiktok.com/@Ralinealula" TargetMode="External"/><Relationship Id="rId1125" Type="http://schemas.openxmlformats.org/officeDocument/2006/relationships/hyperlink" Target="https://www.tiktok.com/@larasratna2593/video/7641892094159768840?is_from_webapp=1&amp;sender_device=pc" TargetMode="External"/><Relationship Id="rId1126" Type="http://schemas.openxmlformats.org/officeDocument/2006/relationships/hyperlink" Target="https://www.tiktok.com/@larasratna2593/video/7642124653883886856?is_from_webapp=1&amp;sender_device=pc" TargetMode="External"/><Relationship Id="rId1127" Type="http://schemas.openxmlformats.org/officeDocument/2006/relationships/hyperlink" Target="https://www.tiktok.com/@larasratna2593/video/7642515904076483858?is_from_webapp=1&amp;sender_device=pc" TargetMode="External"/><Relationship Id="rId1128" Type="http://schemas.openxmlformats.org/officeDocument/2006/relationships/hyperlink" Target="https://www.tiktok.com/@larasratna2593/video/7642880519780322567?is_from_webapp=1&amp;sender_device=pc" TargetMode="External"/><Relationship Id="rId1129" Type="http://schemas.openxmlformats.org/officeDocument/2006/relationships/hyperlink" Target="https://www.tiktok.com/@beautifulgirl_2121" TargetMode="External"/><Relationship Id="rId536" Type="http://schemas.openxmlformats.org/officeDocument/2006/relationships/hyperlink" Target="https://www.tiktok.com/@ul.aull" TargetMode="External"/><Relationship Id="rId535" Type="http://schemas.openxmlformats.org/officeDocument/2006/relationships/hyperlink" Target="https://www.tiktok.com/@singlecuan.id" TargetMode="External"/><Relationship Id="rId534" Type="http://schemas.openxmlformats.org/officeDocument/2006/relationships/hyperlink" Target="http://singlecuan.id" TargetMode="External"/><Relationship Id="rId533" Type="http://schemas.openxmlformats.org/officeDocument/2006/relationships/hyperlink" Target="https://www.tiktok.com/@Mima.zioo" TargetMode="External"/><Relationship Id="rId539" Type="http://schemas.openxmlformats.org/officeDocument/2006/relationships/hyperlink" Target="https://www.tiktok.com/@ul.aull/video/7642228370373135623?is_from_webapp=1&amp;sender_device=pc" TargetMode="External"/><Relationship Id="rId538" Type="http://schemas.openxmlformats.org/officeDocument/2006/relationships/hyperlink" Target="https://www.tiktok.com/@ul.aull/video/7640372116063325448?is_from_webapp=1&amp;sender_device=pc" TargetMode="External"/><Relationship Id="rId537" Type="http://schemas.openxmlformats.org/officeDocument/2006/relationships/hyperlink" Target="https://www.tiktok.com/@ul.aull/video/7639622260701089031?is_from_webapp=1&amp;sender_device=pc" TargetMode="External"/><Relationship Id="rId1120" Type="http://schemas.openxmlformats.org/officeDocument/2006/relationships/hyperlink" Target="https://www.tiktok.com/@stephani.ks" TargetMode="External"/><Relationship Id="rId532" Type="http://schemas.openxmlformats.org/officeDocument/2006/relationships/hyperlink" Target="https://www.tiktok.com/@hallo_ingri/video/7642639764125994260?is_from_webapp=1&amp;sender_device=pc" TargetMode="External"/><Relationship Id="rId1121" Type="http://schemas.openxmlformats.org/officeDocument/2006/relationships/hyperlink" Target="https://www.tiktok.com/@stephani.ks/video/7642301425157934354?is_from_webapp=1&amp;sender_device=pc" TargetMode="External"/><Relationship Id="rId531" Type="http://schemas.openxmlformats.org/officeDocument/2006/relationships/hyperlink" Target="https://www.tiktok.com/@hallo_ingri/video/7640664687562067221?is_from_webapp=1&amp;sender_device=pc" TargetMode="External"/><Relationship Id="rId1122" Type="http://schemas.openxmlformats.org/officeDocument/2006/relationships/hyperlink" Target="https://www.tiktok.com/@stephani.ks/video/7643045889568722184?is_from_webapp=1&amp;sender_device=pc" TargetMode="External"/><Relationship Id="rId530" Type="http://schemas.openxmlformats.org/officeDocument/2006/relationships/hyperlink" Target="https://www.tiktok.com/@hallo_ingri/video/7640304504247815444?is_from_webapp=1&amp;sender_device=pc" TargetMode="External"/><Relationship Id="rId1123" Type="http://schemas.openxmlformats.org/officeDocument/2006/relationships/hyperlink" Target="https://www.tiktok.com/@figi0304" TargetMode="External"/><Relationship Id="rId1124" Type="http://schemas.openxmlformats.org/officeDocument/2006/relationships/hyperlink" Target="https://www.tiktok.com/@Larasratna2593" TargetMode="External"/><Relationship Id="rId1158" Type="http://schemas.openxmlformats.org/officeDocument/2006/relationships/hyperlink" Target="https://www.tiktok.com/@Spalspill.1512" TargetMode="External"/><Relationship Id="rId1159" Type="http://schemas.openxmlformats.org/officeDocument/2006/relationships/hyperlink" Target="https://www.tiktok.com/@spalspill.1512/video/7643821628413021460?is_from_webapp=1&amp;sender_device=pc" TargetMode="External"/><Relationship Id="rId569" Type="http://schemas.openxmlformats.org/officeDocument/2006/relationships/hyperlink" Target="https://www.tiktok.com/@mira_sa11/video/7642366020367158536?is_from_webapp=1&amp;sender_device=pc" TargetMode="External"/><Relationship Id="rId568" Type="http://schemas.openxmlformats.org/officeDocument/2006/relationships/hyperlink" Target="https://www.tiktok.com/@mira_sa11/video/7642309396562840839?is_from_webapp=1&amp;sender_device=pc" TargetMode="External"/><Relationship Id="rId567" Type="http://schemas.openxmlformats.org/officeDocument/2006/relationships/hyperlink" Target="https://www.tiktok.com/@mira_sa11" TargetMode="External"/><Relationship Id="rId566" Type="http://schemas.openxmlformats.org/officeDocument/2006/relationships/hyperlink" Target="https://www.tiktok.com/@user000032541/video/7639558407539789063?is_from_webapp=1&amp;sender_device=pc" TargetMode="External"/><Relationship Id="rId561" Type="http://schemas.openxmlformats.org/officeDocument/2006/relationships/hyperlink" Target="https://www.tiktok.com/@Khumairah3284" TargetMode="External"/><Relationship Id="rId1150" Type="http://schemas.openxmlformats.org/officeDocument/2006/relationships/hyperlink" Target="https://www.tiktok.com/@khadijahhh2510" TargetMode="External"/><Relationship Id="rId560" Type="http://schemas.openxmlformats.org/officeDocument/2006/relationships/hyperlink" Target="https://www.tiktok.com/@rhismayanaa" TargetMode="External"/><Relationship Id="rId1151" Type="http://schemas.openxmlformats.org/officeDocument/2006/relationships/hyperlink" Target="https://www.tiktok.com/@ig.e_erisssa" TargetMode="External"/><Relationship Id="rId1152" Type="http://schemas.openxmlformats.org/officeDocument/2006/relationships/hyperlink" Target="https://www.tiktok.com/@askara_family" TargetMode="External"/><Relationship Id="rId1153" Type="http://schemas.openxmlformats.org/officeDocument/2006/relationships/hyperlink" Target="https://www.tiktok.com/@askara_family/video/7642942894243925268?is_from_webapp=1&amp;sender_device=pc" TargetMode="External"/><Relationship Id="rId565" Type="http://schemas.openxmlformats.org/officeDocument/2006/relationships/hyperlink" Target="https://www.tiktok.com/@user000032541/video/7639067443230543122?is_from_webapp=1&amp;sender_device=pc" TargetMode="External"/><Relationship Id="rId1154" Type="http://schemas.openxmlformats.org/officeDocument/2006/relationships/hyperlink" Target="https://www.tiktok.com/@askara_family/video/7643847731005443349?is_from_webapp=1&amp;sender_device=pc" TargetMode="External"/><Relationship Id="rId564" Type="http://schemas.openxmlformats.org/officeDocument/2006/relationships/hyperlink" Target="https://www.tiktok.com/@user000032541/video/7638602436462087432?is_from_webapp=1&amp;sender_device=pc" TargetMode="External"/><Relationship Id="rId1155" Type="http://schemas.openxmlformats.org/officeDocument/2006/relationships/hyperlink" Target="https://www.tiktok.com/@ayutiyaz15" TargetMode="External"/><Relationship Id="rId563" Type="http://schemas.openxmlformats.org/officeDocument/2006/relationships/hyperlink" Target="https://www.tiktok.com/@user000032541/video/7637817204519554311?is_from_webapp=1&amp;sender_device=pc" TargetMode="External"/><Relationship Id="rId1156" Type="http://schemas.openxmlformats.org/officeDocument/2006/relationships/hyperlink" Target="https://www.tiktok.com/@0_0chocopie0_0" TargetMode="External"/><Relationship Id="rId562" Type="http://schemas.openxmlformats.org/officeDocument/2006/relationships/hyperlink" Target="https://www.tiktok.com/@user000032541" TargetMode="External"/><Relationship Id="rId1157" Type="http://schemas.openxmlformats.org/officeDocument/2006/relationships/hyperlink" Target="https://www.tiktok.com/@littledumpbb" TargetMode="External"/><Relationship Id="rId1147" Type="http://schemas.openxmlformats.org/officeDocument/2006/relationships/hyperlink" Target="https://www.tiktok.com/@piscesgirlstudio/video/7643732235144760577?is_from_webapp=1&amp;sender_device=pc" TargetMode="External"/><Relationship Id="rId1148" Type="http://schemas.openxmlformats.org/officeDocument/2006/relationships/hyperlink" Target="https://www.tiktok.com/@piscesgirlstudio/video/7643729347118910721?is_from_webapp=1&amp;sender_device=pc" TargetMode="External"/><Relationship Id="rId1149" Type="http://schemas.openxmlformats.org/officeDocument/2006/relationships/hyperlink" Target="https://www.tiktok.com/@ariatydhearisma" TargetMode="External"/><Relationship Id="rId558" Type="http://schemas.openxmlformats.org/officeDocument/2006/relationships/hyperlink" Target="https://www.tiktok.com/@its.tasyaas" TargetMode="External"/><Relationship Id="rId557" Type="http://schemas.openxmlformats.org/officeDocument/2006/relationships/hyperlink" Target="https://www.tiktok.com/@Biyyaaaa18" TargetMode="External"/><Relationship Id="rId556" Type="http://schemas.openxmlformats.org/officeDocument/2006/relationships/hyperlink" Target="https://www.tiktok.com/@tatas_aja/video/7640822529547947282?is_from_webapp=1&amp;sender_device=pc" TargetMode="External"/><Relationship Id="rId555" Type="http://schemas.openxmlformats.org/officeDocument/2006/relationships/hyperlink" Target="https://www.tiktok.com/@tatas_aja/video/7640099363121007880?is_from_webapp=1&amp;sender_device=pc" TargetMode="External"/><Relationship Id="rId559" Type="http://schemas.openxmlformats.org/officeDocument/2006/relationships/hyperlink" Target="https://www.tiktok.com/@its.tasyaas/video/7638402930005003538?is_from_webapp=1&amp;sender_device=pc" TargetMode="External"/><Relationship Id="rId550" Type="http://schemas.openxmlformats.org/officeDocument/2006/relationships/hyperlink" Target="https://www.tiktok.com/@maya_putrifadhillah/video/7639199042773372167?is_from_webapp=1&amp;sender_device=pc" TargetMode="External"/><Relationship Id="rId1140" Type="http://schemas.openxmlformats.org/officeDocument/2006/relationships/hyperlink" Target="https://www.tiktok.com/@Titha10" TargetMode="External"/><Relationship Id="rId1141" Type="http://schemas.openxmlformats.org/officeDocument/2006/relationships/hyperlink" Target="https://www.tiktok.com/@titha10/video/7643382909738470663?is_from_webapp=1&amp;sender_device=pc" TargetMode="External"/><Relationship Id="rId1142" Type="http://schemas.openxmlformats.org/officeDocument/2006/relationships/hyperlink" Target="https://www.tiktok.com/@anipzii" TargetMode="External"/><Relationship Id="rId554" Type="http://schemas.openxmlformats.org/officeDocument/2006/relationships/hyperlink" Target="https://www.tiktok.com/@tatas_aja/video/7639313942774336775?is_from_webapp=1&amp;sender_device=pc" TargetMode="External"/><Relationship Id="rId1143" Type="http://schemas.openxmlformats.org/officeDocument/2006/relationships/hyperlink" Target="https://www.tiktok.com/@anipzii/video/7643982795710221588?is_from_webapp=1&amp;sender_device=pc" TargetMode="External"/><Relationship Id="rId553" Type="http://schemas.openxmlformats.org/officeDocument/2006/relationships/hyperlink" Target="https://www.tiktok.com/@tatas_aja/video/7638667876819324167?is_from_webapp=1&amp;sender_device=pc" TargetMode="External"/><Relationship Id="rId1144" Type="http://schemas.openxmlformats.org/officeDocument/2006/relationships/hyperlink" Target="https://www.tiktok.com/@Verawindiym" TargetMode="External"/><Relationship Id="rId552" Type="http://schemas.openxmlformats.org/officeDocument/2006/relationships/hyperlink" Target="https://www.tiktok.com/@tatas_aja" TargetMode="External"/><Relationship Id="rId1145" Type="http://schemas.openxmlformats.org/officeDocument/2006/relationships/hyperlink" Target="https://www.tiktok.com/@nandaeka.j" TargetMode="External"/><Relationship Id="rId551" Type="http://schemas.openxmlformats.org/officeDocument/2006/relationships/hyperlink" Target="https://www.tiktok.com/@maya_putrifadhillah/video/7639614074199854344?is_from_webapp=1&amp;sender_device=pc" TargetMode="External"/><Relationship Id="rId1146" Type="http://schemas.openxmlformats.org/officeDocument/2006/relationships/hyperlink" Target="https://www.tiktok.com/@piscesgirlstudio" TargetMode="External"/><Relationship Id="rId495" Type="http://schemas.openxmlformats.org/officeDocument/2006/relationships/hyperlink" Target="https://www.tiktok.com/@kamily_8512" TargetMode="External"/><Relationship Id="rId494" Type="http://schemas.openxmlformats.org/officeDocument/2006/relationships/hyperlink" Target="https://www.tiktok.com/@elynovitaaaa" TargetMode="External"/><Relationship Id="rId493" Type="http://schemas.openxmlformats.org/officeDocument/2006/relationships/hyperlink" Target="https://www.tiktok.com/@alyaaaair/video/7644079891083824405?is_from_webapp=1&amp;sender_device=pc" TargetMode="External"/><Relationship Id="rId492" Type="http://schemas.openxmlformats.org/officeDocument/2006/relationships/hyperlink" Target="https://www.tiktok.com/@alyaaaair/video/7643289296656403733?is_from_webapp=1&amp;sender_device=pc" TargetMode="External"/><Relationship Id="rId499" Type="http://schemas.openxmlformats.org/officeDocument/2006/relationships/hyperlink" Target="https://www.tiktok.com/@dianace_/video/7639735787541581064?is_from_webapp=1&amp;sender_device=pc" TargetMode="External"/><Relationship Id="rId498" Type="http://schemas.openxmlformats.org/officeDocument/2006/relationships/hyperlink" Target="https://www.tiktok.com/@Dianace_" TargetMode="External"/><Relationship Id="rId497" Type="http://schemas.openxmlformats.org/officeDocument/2006/relationships/hyperlink" Target="https://www.tiktok.com/@kamily_8512/video/7641595299537931527?is_from_webapp=1&amp;sender_device=pc" TargetMode="External"/><Relationship Id="rId496" Type="http://schemas.openxmlformats.org/officeDocument/2006/relationships/hyperlink" Target="https://www.tiktok.com/@kamily_8512/video/7639687594845932807?is_from_webapp=1&amp;sender_device=pc" TargetMode="External"/><Relationship Id="rId1610" Type="http://schemas.openxmlformats.org/officeDocument/2006/relationships/hyperlink" Target="https://www.tiktok.com/@roseshxx" TargetMode="External"/><Relationship Id="rId1611" Type="http://schemas.openxmlformats.org/officeDocument/2006/relationships/hyperlink" Target="https://www.tiktok.com/@axamarixa" TargetMode="External"/><Relationship Id="rId1612" Type="http://schemas.openxmlformats.org/officeDocument/2006/relationships/hyperlink" Target="https://www.tiktok.com/@Maviraapw" TargetMode="External"/><Relationship Id="rId1613" Type="http://schemas.openxmlformats.org/officeDocument/2006/relationships/hyperlink" Target="https://www.tiktok.com/@dearlunette" TargetMode="External"/><Relationship Id="rId1614" Type="http://schemas.openxmlformats.org/officeDocument/2006/relationships/hyperlink" Target="https://www.tiktok.com/@Nanlalisaa_" TargetMode="External"/><Relationship Id="rId1615" Type="http://schemas.openxmlformats.org/officeDocument/2006/relationships/hyperlink" Target="https://www.tiktok.com/@nanariella" TargetMode="External"/><Relationship Id="rId1616" Type="http://schemas.openxmlformats.org/officeDocument/2006/relationships/hyperlink" Target="https://www.tiktok.com/@ejul69" TargetMode="External"/><Relationship Id="rId907" Type="http://schemas.openxmlformats.org/officeDocument/2006/relationships/hyperlink" Target="https://www.tiktok.com/@maulidiah.diva" TargetMode="External"/><Relationship Id="rId1617" Type="http://schemas.openxmlformats.org/officeDocument/2006/relationships/hyperlink" Target="https://www.tiktok.com/@yupiii04" TargetMode="External"/><Relationship Id="rId906" Type="http://schemas.openxmlformats.org/officeDocument/2006/relationships/hyperlink" Target="https://www.tiktok.com/@dew_hy25" TargetMode="External"/><Relationship Id="rId1618" Type="http://schemas.openxmlformats.org/officeDocument/2006/relationships/hyperlink" Target="https://www.tiktok.com/@ini_ccya" TargetMode="External"/><Relationship Id="rId905" Type="http://schemas.openxmlformats.org/officeDocument/2006/relationships/hyperlink" Target="https://www.tiktok.com/@maramara16_" TargetMode="External"/><Relationship Id="rId1619" Type="http://schemas.openxmlformats.org/officeDocument/2006/relationships/hyperlink" Target="https://www.tiktok.com/@Vitavhy" TargetMode="External"/><Relationship Id="rId904" Type="http://schemas.openxmlformats.org/officeDocument/2006/relationships/hyperlink" Target="https://www.tiktok.com/@_farida76" TargetMode="External"/><Relationship Id="rId909" Type="http://schemas.openxmlformats.org/officeDocument/2006/relationships/hyperlink" Target="https://www.tiktok.com/@sukangeracunajasi_" TargetMode="External"/><Relationship Id="rId908" Type="http://schemas.openxmlformats.org/officeDocument/2006/relationships/hyperlink" Target="https://www.tiktok.com/@maulidiah.diva/video/7643760954362072328?is_from_webapp=1&amp;sender_device=pc" TargetMode="External"/><Relationship Id="rId903" Type="http://schemas.openxmlformats.org/officeDocument/2006/relationships/hyperlink" Target="https://www.tiktok.com/@santiismawati25/video/7643830798084328722?is_from_webapp=1&amp;sender_device=pc" TargetMode="External"/><Relationship Id="rId902" Type="http://schemas.openxmlformats.org/officeDocument/2006/relationships/hyperlink" Target="https://www.tiktok.com/@santiismawati25/video/7642692838207016200?is_from_webapp=1&amp;sender_device=pc" TargetMode="External"/><Relationship Id="rId901" Type="http://schemas.openxmlformats.org/officeDocument/2006/relationships/hyperlink" Target="https://www.tiktok.com/@santiismawati25" TargetMode="External"/><Relationship Id="rId900" Type="http://schemas.openxmlformats.org/officeDocument/2006/relationships/hyperlink" Target="https://www.tiktok.com/@ruhamaaa6/video/7643618705829547271?is_from_webapp=1&amp;sender_device=pc" TargetMode="External"/><Relationship Id="rId1600" Type="http://schemas.openxmlformats.org/officeDocument/2006/relationships/hyperlink" Target="https://www.tiktok.com/@Cimomole" TargetMode="External"/><Relationship Id="rId1601" Type="http://schemas.openxmlformats.org/officeDocument/2006/relationships/hyperlink" Target="https://www.tiktok.com/@peachy.mornings16" TargetMode="External"/><Relationship Id="rId1602" Type="http://schemas.openxmlformats.org/officeDocument/2006/relationships/hyperlink" Target="https://www.tiktok.com/@wilichil" TargetMode="External"/><Relationship Id="rId1603" Type="http://schemas.openxmlformats.org/officeDocument/2006/relationships/hyperlink" Target="https://www.tiktok.com/@nes_dyd" TargetMode="External"/><Relationship Id="rId1604" Type="http://schemas.openxmlformats.org/officeDocument/2006/relationships/hyperlink" Target="https://www.tiktok.com/@tiniwinidhiti" TargetMode="External"/><Relationship Id="rId1605" Type="http://schemas.openxmlformats.org/officeDocument/2006/relationships/hyperlink" Target="https://www.tiktok.com/@fannyyshop" TargetMode="External"/><Relationship Id="rId1606" Type="http://schemas.openxmlformats.org/officeDocument/2006/relationships/hyperlink" Target="https://www.tiktok.com/@leyya" TargetMode="External"/><Relationship Id="rId1607" Type="http://schemas.openxmlformats.org/officeDocument/2006/relationships/hyperlink" Target="https://www.tiktok.com/@Novi_diana95" TargetMode="External"/><Relationship Id="rId1608" Type="http://schemas.openxmlformats.org/officeDocument/2006/relationships/hyperlink" Target="https://www.tiktok.com/@evanurfadilah44" TargetMode="External"/><Relationship Id="rId1609" Type="http://schemas.openxmlformats.org/officeDocument/2006/relationships/hyperlink" Target="https://www.tiktok.com/@spillbyanti_" TargetMode="External"/><Relationship Id="rId1631" Type="http://schemas.openxmlformats.org/officeDocument/2006/relationships/hyperlink" Target="https://www.tiktok.com/@dwilingsssss" TargetMode="External"/><Relationship Id="rId1632" Type="http://schemas.openxmlformats.org/officeDocument/2006/relationships/hyperlink" Target="https://www.tiktok.com/@Omicamb2" TargetMode="External"/><Relationship Id="rId1633" Type="http://schemas.openxmlformats.org/officeDocument/2006/relationships/hyperlink" Target="https://www.tiktok.com/@eladelio" TargetMode="External"/><Relationship Id="rId1634" Type="http://schemas.openxmlformats.org/officeDocument/2006/relationships/hyperlink" Target="https://www.tiktok.com/@rgsssss14" TargetMode="External"/><Relationship Id="rId1635" Type="http://schemas.openxmlformats.org/officeDocument/2006/relationships/hyperlink" Target="https://www.tiktok.com/@maharani.yaaa" TargetMode="External"/><Relationship Id="rId1636" Type="http://schemas.openxmlformats.org/officeDocument/2006/relationships/hyperlink" Target="https://www.tiktok.com/@laraspri" TargetMode="External"/><Relationship Id="rId1637" Type="http://schemas.openxmlformats.org/officeDocument/2006/relationships/hyperlink" Target="https://www.tiktok.com/@everytingboutyou" TargetMode="External"/><Relationship Id="rId1638" Type="http://schemas.openxmlformats.org/officeDocument/2006/relationships/hyperlink" Target="https://www.tiktok.com/@Syarifah.sarii1" TargetMode="External"/><Relationship Id="rId929" Type="http://schemas.openxmlformats.org/officeDocument/2006/relationships/hyperlink" Target="https://www.tiktok.com/@ralliine/video/7643085969771744533?is_from_webapp=1&amp;sender_device=pc" TargetMode="External"/><Relationship Id="rId1639" Type="http://schemas.openxmlformats.org/officeDocument/2006/relationships/hyperlink" Target="https://www.tiktok.com/@Shopiwww_" TargetMode="External"/><Relationship Id="rId928" Type="http://schemas.openxmlformats.org/officeDocument/2006/relationships/hyperlink" Target="https://www.tiktok.com/@ralliine/video/7642922436165635348?is_from_webapp=1&amp;sender_device=pc" TargetMode="External"/><Relationship Id="rId927" Type="http://schemas.openxmlformats.org/officeDocument/2006/relationships/hyperlink" Target="https://www.tiktok.com/@ralliine/video/7642668385431506197?is_from_webapp=1&amp;sender_device=pc" TargetMode="External"/><Relationship Id="rId926" Type="http://schemas.openxmlformats.org/officeDocument/2006/relationships/hyperlink" Target="https://www.tiktok.com/@ralliine/video/7642660454262787348?is_from_webapp=1&amp;sender_device=pc" TargetMode="External"/><Relationship Id="rId921" Type="http://schemas.openxmlformats.org/officeDocument/2006/relationships/hyperlink" Target="https://www.tiktok.com/@lenirustiani.1" TargetMode="External"/><Relationship Id="rId920" Type="http://schemas.openxmlformats.org/officeDocument/2006/relationships/hyperlink" Target="https://www.tiktok.com/@wistiani2" TargetMode="External"/><Relationship Id="rId925" Type="http://schemas.openxmlformats.org/officeDocument/2006/relationships/hyperlink" Target="https://www.tiktok.com/@Ralliine" TargetMode="External"/><Relationship Id="rId924" Type="http://schemas.openxmlformats.org/officeDocument/2006/relationships/hyperlink" Target="https://www.tiktok.com/@belluca.store/video/7642357581540773127?is_from_webapp=1&amp;sender_device=pc" TargetMode="External"/><Relationship Id="rId923" Type="http://schemas.openxmlformats.org/officeDocument/2006/relationships/hyperlink" Target="https://www.tiktok.com/@belluca.store" TargetMode="External"/><Relationship Id="rId922" Type="http://schemas.openxmlformats.org/officeDocument/2006/relationships/hyperlink" Target="https://www.tiktok.com/@lenirustiani.1/video/7643446993460792596?is_from_webapp=1&amp;sender_device=pc" TargetMode="External"/><Relationship Id="rId1630" Type="http://schemas.openxmlformats.org/officeDocument/2006/relationships/hyperlink" Target="https://www.tiktok.com/@Sherina8204" TargetMode="External"/><Relationship Id="rId1620" Type="http://schemas.openxmlformats.org/officeDocument/2006/relationships/hyperlink" Target="https://www.tiktok.com/@spalspilrandom215" TargetMode="External"/><Relationship Id="rId1621" Type="http://schemas.openxmlformats.org/officeDocument/2006/relationships/hyperlink" Target="https://www.tiktok.com/@usartrav_03" TargetMode="External"/><Relationship Id="rId1622" Type="http://schemas.openxmlformats.org/officeDocument/2006/relationships/hyperlink" Target="https://www.tiktok.com/@viiimutma" TargetMode="External"/><Relationship Id="rId1623" Type="http://schemas.openxmlformats.org/officeDocument/2006/relationships/hyperlink" Target="https://www.tiktok.com/@megayulianti90" TargetMode="External"/><Relationship Id="rId1624" Type="http://schemas.openxmlformats.org/officeDocument/2006/relationships/hyperlink" Target="https://www.tiktok.com/@xn.xls" TargetMode="External"/><Relationship Id="rId1625" Type="http://schemas.openxmlformats.org/officeDocument/2006/relationships/hyperlink" Target="https://www.tiktok.com/@itsme.ra08" TargetMode="External"/><Relationship Id="rId1626" Type="http://schemas.openxmlformats.org/officeDocument/2006/relationships/hyperlink" Target="https://www.tiktok.com/@dianambar05" TargetMode="External"/><Relationship Id="rId1627" Type="http://schemas.openxmlformats.org/officeDocument/2006/relationships/hyperlink" Target="https://www.tiktok.com/@naesarang__" TargetMode="External"/><Relationship Id="rId918" Type="http://schemas.openxmlformats.org/officeDocument/2006/relationships/hyperlink" Target="https://www.tiktok.com/@lylysss6/video/7643767027189943570?is_from_webapp=1&amp;sender_device=pc" TargetMode="External"/><Relationship Id="rId1628" Type="http://schemas.openxmlformats.org/officeDocument/2006/relationships/hyperlink" Target="https://www.tiktok.com/@Rkyylla" TargetMode="External"/><Relationship Id="rId917" Type="http://schemas.openxmlformats.org/officeDocument/2006/relationships/hyperlink" Target="https://www.tiktok.com/@lylysss6" TargetMode="External"/><Relationship Id="rId1629" Type="http://schemas.openxmlformats.org/officeDocument/2006/relationships/hyperlink" Target="https://www.tiktok.com/@Halokay_" TargetMode="External"/><Relationship Id="rId916" Type="http://schemas.openxmlformats.org/officeDocument/2006/relationships/hyperlink" Target="https://www.tiktok.com/@patmaayaa/video/7643386947448212744?is_from_webapp=1&amp;sender_device=pc" TargetMode="External"/><Relationship Id="rId915" Type="http://schemas.openxmlformats.org/officeDocument/2006/relationships/hyperlink" Target="https://www.tiktok.com/@patmaayaa/video/7642288641150110983?is_from_webapp=1&amp;sender_device=pc" TargetMode="External"/><Relationship Id="rId919" Type="http://schemas.openxmlformats.org/officeDocument/2006/relationships/hyperlink" Target="https://www.tiktok.com/@lylysss6/video/7643970606722993415?is_from_webapp=1&amp;sender_device=pc" TargetMode="External"/><Relationship Id="rId910" Type="http://schemas.openxmlformats.org/officeDocument/2006/relationships/hyperlink" Target="https://www.tiktok.com/@sukangeracunajasi_/video/7643054617705614600?is_from_webapp=1&amp;sender_device=pc" TargetMode="External"/><Relationship Id="rId914" Type="http://schemas.openxmlformats.org/officeDocument/2006/relationships/hyperlink" Target="https://www.tiktok.com/@patmaayaa" TargetMode="External"/><Relationship Id="rId913" Type="http://schemas.openxmlformats.org/officeDocument/2006/relationships/hyperlink" Target="https://www.tiktok.com/@yuayyyy06" TargetMode="External"/><Relationship Id="rId912" Type="http://schemas.openxmlformats.org/officeDocument/2006/relationships/hyperlink" Target="https://www.tiktok.com/@sukangeracunajasi_/video/7643281201641360658?is_from_webapp=1&amp;sender_device=pc" TargetMode="External"/><Relationship Id="rId911" Type="http://schemas.openxmlformats.org/officeDocument/2006/relationships/hyperlink" Target="https://www.tiktok.com/@sukangeracunajasi_/video/7643056161847069959?is_from_webapp=1&amp;sender_device=pc" TargetMode="External"/><Relationship Id="rId1213" Type="http://schemas.openxmlformats.org/officeDocument/2006/relationships/hyperlink" Target="https://www.tiktok.com/@1onlysha" TargetMode="External"/><Relationship Id="rId1697" Type="http://schemas.openxmlformats.org/officeDocument/2006/relationships/hyperlink" Target="https://www.tiktok.com/@spalspilbyrania" TargetMode="External"/><Relationship Id="rId1214" Type="http://schemas.openxmlformats.org/officeDocument/2006/relationships/hyperlink" Target="https://www.tiktok.com/@remasyaa" TargetMode="External"/><Relationship Id="rId1698" Type="http://schemas.openxmlformats.org/officeDocument/2006/relationships/hyperlink" Target="https://www.tiktok.com/@spill.byyool" TargetMode="External"/><Relationship Id="rId1215" Type="http://schemas.openxmlformats.org/officeDocument/2006/relationships/hyperlink" Target="https://www.tiktok.com/@ernitanora" TargetMode="External"/><Relationship Id="rId1699" Type="http://schemas.openxmlformats.org/officeDocument/2006/relationships/hyperlink" Target="https://www.tiktok.com/@ghitaprnmsr_" TargetMode="External"/><Relationship Id="rId1216" Type="http://schemas.openxmlformats.org/officeDocument/2006/relationships/hyperlink" Target="https://www.tiktok.com/@beautyf012" TargetMode="External"/><Relationship Id="rId1217" Type="http://schemas.openxmlformats.org/officeDocument/2006/relationships/hyperlink" Target="https://www.tiktok.com/@beautyf012/video/7642311802428214546?is_from_webapp=1&amp;sender_device=pc" TargetMode="External"/><Relationship Id="rId1218" Type="http://schemas.openxmlformats.org/officeDocument/2006/relationships/hyperlink" Target="https://www.tiktok.com/@beautyf012/video/7643118318915767560?is_from_webapp=1&amp;sender_device=pc" TargetMode="External"/><Relationship Id="rId1219" Type="http://schemas.openxmlformats.org/officeDocument/2006/relationships/hyperlink" Target="https://www.tiktok.com/@Ainaadt" TargetMode="External"/><Relationship Id="rId866" Type="http://schemas.openxmlformats.org/officeDocument/2006/relationships/hyperlink" Target="https://www.tiktok.com/@moez__2/video/7643676824597318932?is_from_webapp=1&amp;sender_device=pc" TargetMode="External"/><Relationship Id="rId865" Type="http://schemas.openxmlformats.org/officeDocument/2006/relationships/hyperlink" Target="https://www.tiktok.com/@moez__2" TargetMode="External"/><Relationship Id="rId864" Type="http://schemas.openxmlformats.org/officeDocument/2006/relationships/hyperlink" Target="https://www.tiktok.com/@najwafitrii" TargetMode="External"/><Relationship Id="rId863" Type="http://schemas.openxmlformats.org/officeDocument/2006/relationships/hyperlink" Target="https://www.tiktok.com/@ariskanih" TargetMode="External"/><Relationship Id="rId869" Type="http://schemas.openxmlformats.org/officeDocument/2006/relationships/hyperlink" Target="https://www.tiktok.com/@skincareadilah" TargetMode="External"/><Relationship Id="rId868" Type="http://schemas.openxmlformats.org/officeDocument/2006/relationships/hyperlink" Target="https://www.tiktok.com/@ana.trsyaa__" TargetMode="External"/><Relationship Id="rId867" Type="http://schemas.openxmlformats.org/officeDocument/2006/relationships/hyperlink" Target="https://www.tiktok.com/@noncilla" TargetMode="External"/><Relationship Id="rId1690" Type="http://schemas.openxmlformats.org/officeDocument/2006/relationships/hyperlink" Target="https://www.tiktok.com/@amhrrr4" TargetMode="External"/><Relationship Id="rId1691" Type="http://schemas.openxmlformats.org/officeDocument/2006/relationships/hyperlink" Target="https://www.tiktok.com/@Avrlnda_" TargetMode="External"/><Relationship Id="rId1692" Type="http://schemas.openxmlformats.org/officeDocument/2006/relationships/hyperlink" Target="https://www.tiktok.com/@rosalindaod_" TargetMode="External"/><Relationship Id="rId862" Type="http://schemas.openxmlformats.org/officeDocument/2006/relationships/hyperlink" Target="https://www.tiktok.com/@dira.lea" TargetMode="External"/><Relationship Id="rId1693" Type="http://schemas.openxmlformats.org/officeDocument/2006/relationships/hyperlink" Target="https://www.tiktok.com/@akdin_shop21" TargetMode="External"/><Relationship Id="rId861" Type="http://schemas.openxmlformats.org/officeDocument/2006/relationships/hyperlink" Target="https://www.tiktok.com/@ayuningwlnsr" TargetMode="External"/><Relationship Id="rId1210" Type="http://schemas.openxmlformats.org/officeDocument/2006/relationships/hyperlink" Target="https://www.tiktok.com/@hay.nana209/video/7642541066159410453?is_from_webapp=1&amp;sender_device=pc" TargetMode="External"/><Relationship Id="rId1694" Type="http://schemas.openxmlformats.org/officeDocument/2006/relationships/hyperlink" Target="https://www.tiktok.com/@kyaaa.prameswari" TargetMode="External"/><Relationship Id="rId860" Type="http://schemas.openxmlformats.org/officeDocument/2006/relationships/hyperlink" Target="https://www.tiktok.com/@lala41376" TargetMode="External"/><Relationship Id="rId1211" Type="http://schemas.openxmlformats.org/officeDocument/2006/relationships/hyperlink" Target="https://www.tiktok.com/@hay.nana209/video/7643626064299789589?is_from_webapp=1&amp;sender_device=pc" TargetMode="External"/><Relationship Id="rId1695" Type="http://schemas.openxmlformats.org/officeDocument/2006/relationships/hyperlink" Target="https://www.tiktok.com/@Diyaa1103" TargetMode="External"/><Relationship Id="rId1212" Type="http://schemas.openxmlformats.org/officeDocument/2006/relationships/hyperlink" Target="https://www.tiktok.com/@yourminee__8" TargetMode="External"/><Relationship Id="rId1696" Type="http://schemas.openxmlformats.org/officeDocument/2006/relationships/hyperlink" Target="https://www.tiktok.com/@anisa_liana" TargetMode="External"/><Relationship Id="rId1202" Type="http://schemas.openxmlformats.org/officeDocument/2006/relationships/hyperlink" Target="https://www.tiktok.com/@ayudwimaulia" TargetMode="External"/><Relationship Id="rId1686" Type="http://schemas.openxmlformats.org/officeDocument/2006/relationships/hyperlink" Target="https://www.tiktok.com/@liaaahanii" TargetMode="External"/><Relationship Id="rId1203" Type="http://schemas.openxmlformats.org/officeDocument/2006/relationships/hyperlink" Target="https://www.tiktok.com/@stellaclaudiaaa" TargetMode="External"/><Relationship Id="rId1687" Type="http://schemas.openxmlformats.org/officeDocument/2006/relationships/hyperlink" Target="https://www.tiktok.com/@_virgo.r8" TargetMode="External"/><Relationship Id="rId1204" Type="http://schemas.openxmlformats.org/officeDocument/2006/relationships/hyperlink" Target="https://www.tiktok.com/@twobest_review" TargetMode="External"/><Relationship Id="rId1688" Type="http://schemas.openxmlformats.org/officeDocument/2006/relationships/hyperlink" Target="https://www.tiktok.com/@ciatciatciattt" TargetMode="External"/><Relationship Id="rId1205" Type="http://schemas.openxmlformats.org/officeDocument/2006/relationships/hyperlink" Target="https://www.tiktok.com/@twobest_review/video/7642250054044028178?is_from_webapp=1&amp;sender_device=pc" TargetMode="External"/><Relationship Id="rId1689" Type="http://schemas.openxmlformats.org/officeDocument/2006/relationships/hyperlink" Target="https://www.tiktok.com/@cici_kabnani" TargetMode="External"/><Relationship Id="rId1206" Type="http://schemas.openxmlformats.org/officeDocument/2006/relationships/hyperlink" Target="https://www.tiktok.com/@twobest_review/video/7642250054044028178?is_from_webapp=1&amp;sender_device=pc" TargetMode="External"/><Relationship Id="rId1207" Type="http://schemas.openxmlformats.org/officeDocument/2006/relationships/hyperlink" Target="https://www.tiktok.com/@twobest_review/video/7643073948627766535?is_from_webapp=1&amp;sender_device=pc" TargetMode="External"/><Relationship Id="rId1208" Type="http://schemas.openxmlformats.org/officeDocument/2006/relationships/hyperlink" Target="https://www.tiktok.com/@vxmonic" TargetMode="External"/><Relationship Id="rId1209" Type="http://schemas.openxmlformats.org/officeDocument/2006/relationships/hyperlink" Target="https://www.tiktok.com/@hay.nana209" TargetMode="External"/><Relationship Id="rId855" Type="http://schemas.openxmlformats.org/officeDocument/2006/relationships/hyperlink" Target="https://www.tiktok.com/@zulfabeautycare_bwi/video/7643278162029284626?is_from_webapp=1&amp;sender_device=pc" TargetMode="External"/><Relationship Id="rId854" Type="http://schemas.openxmlformats.org/officeDocument/2006/relationships/hyperlink" Target="https://www.tiktok.com/@zulfabeautycare_bwi" TargetMode="External"/><Relationship Id="rId853" Type="http://schemas.openxmlformats.org/officeDocument/2006/relationships/hyperlink" Target="https://www.tiktok.com/@hellogirl.y" TargetMode="External"/><Relationship Id="rId852" Type="http://schemas.openxmlformats.org/officeDocument/2006/relationships/hyperlink" Target="https://www.tiktok.com/@milaaacahy14" TargetMode="External"/><Relationship Id="rId859" Type="http://schemas.openxmlformats.org/officeDocument/2006/relationships/hyperlink" Target="https://www.tiktok.com/@bbstore25" TargetMode="External"/><Relationship Id="rId858" Type="http://schemas.openxmlformats.org/officeDocument/2006/relationships/hyperlink" Target="https://www.tiktok.com/@beautywith_kadita" TargetMode="External"/><Relationship Id="rId857" Type="http://schemas.openxmlformats.org/officeDocument/2006/relationships/hyperlink" Target="https://www.tiktok.com/@ujujuhanah12" TargetMode="External"/><Relationship Id="rId856" Type="http://schemas.openxmlformats.org/officeDocument/2006/relationships/hyperlink" Target="https://www.tiktok.com/@zuellaa_" TargetMode="External"/><Relationship Id="rId1680" Type="http://schemas.openxmlformats.org/officeDocument/2006/relationships/hyperlink" Target="https://www.tiktok.com/@milkypukatt" TargetMode="External"/><Relationship Id="rId1681" Type="http://schemas.openxmlformats.org/officeDocument/2006/relationships/hyperlink" Target="https://www.tiktok.com/@nenyyrr_" TargetMode="External"/><Relationship Id="rId851" Type="http://schemas.openxmlformats.org/officeDocument/2006/relationships/hyperlink" Target="https://www.tiktok.com/@momrayyan27/video/7641558595288583432?is_from_webapp=1&amp;sender_device=pc" TargetMode="External"/><Relationship Id="rId1682" Type="http://schemas.openxmlformats.org/officeDocument/2006/relationships/hyperlink" Target="https://www.tiktok.com/@Hdyyh07" TargetMode="External"/><Relationship Id="rId850" Type="http://schemas.openxmlformats.org/officeDocument/2006/relationships/hyperlink" Target="https://www.tiktok.com/@momrayyan27/video/7641194718855957767?is_from_webapp=1&amp;sender_device=pc" TargetMode="External"/><Relationship Id="rId1683" Type="http://schemas.openxmlformats.org/officeDocument/2006/relationships/hyperlink" Target="https://www.tiktok.com/@ecagmess" TargetMode="External"/><Relationship Id="rId1200" Type="http://schemas.openxmlformats.org/officeDocument/2006/relationships/hyperlink" Target="https://www.tiktok.com/@Dailyifah" TargetMode="External"/><Relationship Id="rId1684" Type="http://schemas.openxmlformats.org/officeDocument/2006/relationships/hyperlink" Target="https://www.tiktok.com/@ngeselinbangetsi" TargetMode="External"/><Relationship Id="rId1201" Type="http://schemas.openxmlformats.org/officeDocument/2006/relationships/hyperlink" Target="https://www.tiktok.com/@dailyifah/video/7643493792397511957?is_from_webapp=1&amp;sender_device=pc" TargetMode="External"/><Relationship Id="rId1685" Type="http://schemas.openxmlformats.org/officeDocument/2006/relationships/hyperlink" Target="https://www.tiktok.com/@yalaamee_" TargetMode="External"/><Relationship Id="rId1235" Type="http://schemas.openxmlformats.org/officeDocument/2006/relationships/hyperlink" Target="https://www.tiktok.com/@gitamaliiia_" TargetMode="External"/><Relationship Id="rId1236" Type="http://schemas.openxmlformats.org/officeDocument/2006/relationships/hyperlink" Target="https://www.tiktok.com/@kaniaru_" TargetMode="External"/><Relationship Id="rId1237" Type="http://schemas.openxmlformats.org/officeDocument/2006/relationships/hyperlink" Target="http://mybyrrrrrrr.is" TargetMode="External"/><Relationship Id="rId1238" Type="http://schemas.openxmlformats.org/officeDocument/2006/relationships/hyperlink" Target="https://www.tiktok.com/@Mybyrrrrrrr.is" TargetMode="External"/><Relationship Id="rId1239" Type="http://schemas.openxmlformats.org/officeDocument/2006/relationships/hyperlink" Target="https://www.tiktok.com/@itsme_pipahhh" TargetMode="External"/><Relationship Id="rId409" Type="http://schemas.openxmlformats.org/officeDocument/2006/relationships/hyperlink" Target="https://www.tiktok.com/@Siminiii_" TargetMode="External"/><Relationship Id="rId404" Type="http://schemas.openxmlformats.org/officeDocument/2006/relationships/hyperlink" Target="https://www.tiktok.com/@itsdvyaa/video/7638043250913463573?is_from_webapp=1&amp;sender_device=pc" TargetMode="External"/><Relationship Id="rId888" Type="http://schemas.openxmlformats.org/officeDocument/2006/relationships/hyperlink" Target="https://www.tiktok.com/@dwierlangga.sari205/video/7643289677859917077?is_from_webapp=1&amp;sender_device=pc" TargetMode="External"/><Relationship Id="rId403" Type="http://schemas.openxmlformats.org/officeDocument/2006/relationships/hyperlink" Target="https://www.tiktok.com/@itsdvyaa/video/7637398945857129749?is_from_webapp=1&amp;sender_device=pc" TargetMode="External"/><Relationship Id="rId887" Type="http://schemas.openxmlformats.org/officeDocument/2006/relationships/hyperlink" Target="https://www.tiktok.com/@dwierlangga.sari205" TargetMode="External"/><Relationship Id="rId402" Type="http://schemas.openxmlformats.org/officeDocument/2006/relationships/hyperlink" Target="https://www.tiktok.com/@itsdvyaa" TargetMode="External"/><Relationship Id="rId886" Type="http://schemas.openxmlformats.org/officeDocument/2006/relationships/hyperlink" Target="https://www.tiktok.com/@cookiesscream_anna" TargetMode="External"/><Relationship Id="rId401" Type="http://schemas.openxmlformats.org/officeDocument/2006/relationships/hyperlink" Target="https://www.tiktok.com/@lina.store.official_" TargetMode="External"/><Relationship Id="rId885" Type="http://schemas.openxmlformats.org/officeDocument/2006/relationships/hyperlink" Target="https://www.tiktok.com/@riska_officiall" TargetMode="External"/><Relationship Id="rId408" Type="http://schemas.openxmlformats.org/officeDocument/2006/relationships/hyperlink" Target="https://www.tiktok.com/@hai_akumanik/video/7641456748863261972?is_from_webapp=1&amp;sender_device=pc" TargetMode="External"/><Relationship Id="rId407" Type="http://schemas.openxmlformats.org/officeDocument/2006/relationships/hyperlink" Target="https://www.tiktok.com/@hai_akumanik" TargetMode="External"/><Relationship Id="rId406" Type="http://schemas.openxmlformats.org/officeDocument/2006/relationships/hyperlink" Target="https://www.tiktok.com/@itsdvyaa/video/7642583521768246548?is_from_webapp=1&amp;sender_device=pc" TargetMode="External"/><Relationship Id="rId405" Type="http://schemas.openxmlformats.org/officeDocument/2006/relationships/hyperlink" Target="https://www.tiktok.com/@itsdvyaa/video/7641056825361681685?is_from_webapp=1&amp;sender_device=pc" TargetMode="External"/><Relationship Id="rId889" Type="http://schemas.openxmlformats.org/officeDocument/2006/relationships/hyperlink" Target="https://www.tiktok.com/@yntsr12" TargetMode="External"/><Relationship Id="rId880" Type="http://schemas.openxmlformats.org/officeDocument/2006/relationships/hyperlink" Target="https://www.tiktok.com/@aunika.nika" TargetMode="External"/><Relationship Id="rId1230" Type="http://schemas.openxmlformats.org/officeDocument/2006/relationships/hyperlink" Target="https://www.tiktok.com/@diniaptrrr_" TargetMode="External"/><Relationship Id="rId400" Type="http://schemas.openxmlformats.org/officeDocument/2006/relationships/hyperlink" Target="https://www.tiktok.com/@Velipppp" TargetMode="External"/><Relationship Id="rId884" Type="http://schemas.openxmlformats.org/officeDocument/2006/relationships/hyperlink" Target="https://www.tiktok.com/@aunika.nika/video/7644035110777441554?is_from_webapp=1&amp;sender_device=pc" TargetMode="External"/><Relationship Id="rId1231" Type="http://schemas.openxmlformats.org/officeDocument/2006/relationships/hyperlink" Target="https://www.tiktok.com/@fiqri_ar" TargetMode="External"/><Relationship Id="rId883" Type="http://schemas.openxmlformats.org/officeDocument/2006/relationships/hyperlink" Target="https://www.tiktok.com/@aunika.nika/video/7643732113962847496?is_from_webapp=1&amp;sender_device=pc" TargetMode="External"/><Relationship Id="rId1232" Type="http://schemas.openxmlformats.org/officeDocument/2006/relationships/hyperlink" Target="https://www.tiktok.com/@fiqri_ar/video/7643289335357279506?is_from_webapp=1&amp;sender_device=pc" TargetMode="External"/><Relationship Id="rId882" Type="http://schemas.openxmlformats.org/officeDocument/2006/relationships/hyperlink" Target="https://www.tiktok.com/@aunika.nika/video/7643721701070490887?is_from_webapp=1&amp;sender_device=pc" TargetMode="External"/><Relationship Id="rId1233" Type="http://schemas.openxmlformats.org/officeDocument/2006/relationships/hyperlink" Target="https://www.tiktok.com/@anggun.chelsy" TargetMode="External"/><Relationship Id="rId881" Type="http://schemas.openxmlformats.org/officeDocument/2006/relationships/hyperlink" Target="https://www.tiktok.com/@aunika.nika/video/7642625075610455303?is_from_webapp=1&amp;sender_device=pc" TargetMode="External"/><Relationship Id="rId1234" Type="http://schemas.openxmlformats.org/officeDocument/2006/relationships/hyperlink" Target="https://www.tiktok.com/@dillaaa_21" TargetMode="External"/><Relationship Id="rId1224" Type="http://schemas.openxmlformats.org/officeDocument/2006/relationships/hyperlink" Target="https://www.tiktok.com/@hurihurye/video/7643660490517925128?is_from_webapp=1&amp;sender_device=pc" TargetMode="External"/><Relationship Id="rId1225" Type="http://schemas.openxmlformats.org/officeDocument/2006/relationships/hyperlink" Target="https://www.tiktok.com/@hurihurye/video/7644064526446431506?is_from_webapp=1&amp;sender_device=pc" TargetMode="External"/><Relationship Id="rId1226" Type="http://schemas.openxmlformats.org/officeDocument/2006/relationships/hyperlink" Target="https://www.tiktok.com/@racuncitra" TargetMode="External"/><Relationship Id="rId1227" Type="http://schemas.openxmlformats.org/officeDocument/2006/relationships/hyperlink" Target="https://www.tiktok.com/@fitritanjung2503" TargetMode="External"/><Relationship Id="rId1228" Type="http://schemas.openxmlformats.org/officeDocument/2006/relationships/hyperlink" Target="https://www.tiktok.com/@meganurjanah313" TargetMode="External"/><Relationship Id="rId1229" Type="http://schemas.openxmlformats.org/officeDocument/2006/relationships/hyperlink" Target="https://www.tiktok.com/@ernieqeu" TargetMode="External"/><Relationship Id="rId877" Type="http://schemas.openxmlformats.org/officeDocument/2006/relationships/hyperlink" Target="https://www.tiktok.com/@joys.co" TargetMode="External"/><Relationship Id="rId876" Type="http://schemas.openxmlformats.org/officeDocument/2006/relationships/hyperlink" Target="http://joys.co" TargetMode="External"/><Relationship Id="rId875" Type="http://schemas.openxmlformats.org/officeDocument/2006/relationships/hyperlink" Target="https://www.tiktok.com/@hello.fira" TargetMode="External"/><Relationship Id="rId874" Type="http://schemas.openxmlformats.org/officeDocument/2006/relationships/hyperlink" Target="https://www.tiktok.com/@chocoloverrr.__" TargetMode="External"/><Relationship Id="rId879" Type="http://schemas.openxmlformats.org/officeDocument/2006/relationships/hyperlink" Target="https://www.tiktok.com/@yhumigalsaa24" TargetMode="External"/><Relationship Id="rId878" Type="http://schemas.openxmlformats.org/officeDocument/2006/relationships/hyperlink" Target="https://www.tiktok.com/@Ressaramdhan" TargetMode="External"/><Relationship Id="rId873" Type="http://schemas.openxmlformats.org/officeDocument/2006/relationships/hyperlink" Target="https://www.tiktok.com/@iirna710" TargetMode="External"/><Relationship Id="rId1220" Type="http://schemas.openxmlformats.org/officeDocument/2006/relationships/hyperlink" Target="https://www.tiktok.com/@cookiebombbie" TargetMode="External"/><Relationship Id="rId872" Type="http://schemas.openxmlformats.org/officeDocument/2006/relationships/hyperlink" Target="https://www.tiktok.com/@fhateeem" TargetMode="External"/><Relationship Id="rId1221" Type="http://schemas.openxmlformats.org/officeDocument/2006/relationships/hyperlink" Target="https://www.tiktok.com/@Diana_safitry" TargetMode="External"/><Relationship Id="rId871" Type="http://schemas.openxmlformats.org/officeDocument/2006/relationships/hyperlink" Target="https://www.tiktok.com/@yuliaendita/video/7642994220525210888?is_from_webapp=1&amp;sender_device=pc" TargetMode="External"/><Relationship Id="rId1222" Type="http://schemas.openxmlformats.org/officeDocument/2006/relationships/hyperlink" Target="https://www.tiktok.com/@wifeymasshan" TargetMode="External"/><Relationship Id="rId870" Type="http://schemas.openxmlformats.org/officeDocument/2006/relationships/hyperlink" Target="https://www.tiktok.com/@yuliaendita" TargetMode="External"/><Relationship Id="rId1223" Type="http://schemas.openxmlformats.org/officeDocument/2006/relationships/hyperlink" Target="https://www.tiktok.com/@hurihurye" TargetMode="External"/><Relationship Id="rId1653" Type="http://schemas.openxmlformats.org/officeDocument/2006/relationships/hyperlink" Target="https://www.tiktok.com/@hiinidian_" TargetMode="External"/><Relationship Id="rId1654" Type="http://schemas.openxmlformats.org/officeDocument/2006/relationships/hyperlink" Target="https://www.tiktok.com/@habibahmld12" TargetMode="External"/><Relationship Id="rId1655" Type="http://schemas.openxmlformats.org/officeDocument/2006/relationships/hyperlink" Target="https://www.tiktok.com/@riffrifawwww" TargetMode="External"/><Relationship Id="rId1656" Type="http://schemas.openxmlformats.org/officeDocument/2006/relationships/hyperlink" Target="https://www.tiktok.com/@dew_wi13" TargetMode="External"/><Relationship Id="rId1657" Type="http://schemas.openxmlformats.org/officeDocument/2006/relationships/hyperlink" Target="https://www.tiktok.com/@gigigian99" TargetMode="External"/><Relationship Id="rId1658" Type="http://schemas.openxmlformats.org/officeDocument/2006/relationships/hyperlink" Target="https://www.tiktok.com/@fluffynnaa_" TargetMode="External"/><Relationship Id="rId1659" Type="http://schemas.openxmlformats.org/officeDocument/2006/relationships/hyperlink" Target="https://www.tiktok.com/@puding.kesasar" TargetMode="External"/><Relationship Id="rId829" Type="http://schemas.openxmlformats.org/officeDocument/2006/relationships/hyperlink" Target="https://www.tiktok.com/@_a.prlyanii" TargetMode="External"/><Relationship Id="rId828" Type="http://schemas.openxmlformats.org/officeDocument/2006/relationships/hyperlink" Target="https://www.tiktok.com/@aisyahnurafe" TargetMode="External"/><Relationship Id="rId827" Type="http://schemas.openxmlformats.org/officeDocument/2006/relationships/hyperlink" Target="https://www.tiktok.com/@tongkatkayu_" TargetMode="External"/><Relationship Id="rId822" Type="http://schemas.openxmlformats.org/officeDocument/2006/relationships/hyperlink" Target="https://www.tiktok.com/@nisaaahs_" TargetMode="External"/><Relationship Id="rId821" Type="http://schemas.openxmlformats.org/officeDocument/2006/relationships/hyperlink" Target="https://www.tiktok.com/@ctnamiraa" TargetMode="External"/><Relationship Id="rId820" Type="http://schemas.openxmlformats.org/officeDocument/2006/relationships/hyperlink" Target="https://www.tiktok.com/@mamidanshop" TargetMode="External"/><Relationship Id="rId826" Type="http://schemas.openxmlformats.org/officeDocument/2006/relationships/hyperlink" Target="https://www.tiktok.com/@ceciliazebua" TargetMode="External"/><Relationship Id="rId825" Type="http://schemas.openxmlformats.org/officeDocument/2006/relationships/hyperlink" Target="https://www.tiktok.com/@ekafebi43" TargetMode="External"/><Relationship Id="rId824" Type="http://schemas.openxmlformats.org/officeDocument/2006/relationships/hyperlink" Target="https://www.tiktok.com/@nivynee/video/7643592865267879188?is_from_webapp=1&amp;sender_device=pc" TargetMode="External"/><Relationship Id="rId823" Type="http://schemas.openxmlformats.org/officeDocument/2006/relationships/hyperlink" Target="https://www.tiktok.com/@nivynee" TargetMode="External"/><Relationship Id="rId1650" Type="http://schemas.openxmlformats.org/officeDocument/2006/relationships/hyperlink" Target="https://www.tiktok.com/@Annaami22" TargetMode="External"/><Relationship Id="rId1651" Type="http://schemas.openxmlformats.org/officeDocument/2006/relationships/hyperlink" Target="https://www.tiktok.com/@herlinaaprianiiiii" TargetMode="External"/><Relationship Id="rId1652" Type="http://schemas.openxmlformats.org/officeDocument/2006/relationships/hyperlink" Target="https://www.tiktok.com/@megasmarpaung" TargetMode="External"/><Relationship Id="rId1642" Type="http://schemas.openxmlformats.org/officeDocument/2006/relationships/hyperlink" Target="https://www.tiktok.com/@mwaroon_adct" TargetMode="External"/><Relationship Id="rId1643" Type="http://schemas.openxmlformats.org/officeDocument/2006/relationships/hyperlink" Target="https://www.tiktok.com/@ristatata15" TargetMode="External"/><Relationship Id="rId1644" Type="http://schemas.openxmlformats.org/officeDocument/2006/relationships/hyperlink" Target="https://www.tiktok.com/@nabazz4" TargetMode="External"/><Relationship Id="rId1645" Type="http://schemas.openxmlformats.org/officeDocument/2006/relationships/hyperlink" Target="https://www.tiktok.com/@nvdw_4" TargetMode="External"/><Relationship Id="rId1646" Type="http://schemas.openxmlformats.org/officeDocument/2006/relationships/hyperlink" Target="https://www.tiktok.com/@Ratu_Spill" TargetMode="External"/><Relationship Id="rId1647" Type="http://schemas.openxmlformats.org/officeDocument/2006/relationships/hyperlink" Target="https://www.tiktok.com/@Ainayafth" TargetMode="External"/><Relationship Id="rId1648" Type="http://schemas.openxmlformats.org/officeDocument/2006/relationships/hyperlink" Target="https://www.tiktok.com/@anya.akm" TargetMode="External"/><Relationship Id="rId1649" Type="http://schemas.openxmlformats.org/officeDocument/2006/relationships/hyperlink" Target="https://www.tiktok.com/@diahajengsrikandini" TargetMode="External"/><Relationship Id="rId819" Type="http://schemas.openxmlformats.org/officeDocument/2006/relationships/hyperlink" Target="https://www.tiktok.com/@nurull.nuy/video/7642734149370924296?is_from_webapp=1&amp;sender_device=pc" TargetMode="External"/><Relationship Id="rId818" Type="http://schemas.openxmlformats.org/officeDocument/2006/relationships/hyperlink" Target="https://www.tiktok.com/@nurull.nuy" TargetMode="External"/><Relationship Id="rId817" Type="http://schemas.openxmlformats.org/officeDocument/2006/relationships/hyperlink" Target="https://www.tiktok.com/@quenzzx" TargetMode="External"/><Relationship Id="rId816" Type="http://schemas.openxmlformats.org/officeDocument/2006/relationships/hyperlink" Target="https://www.tiktok.com/@floraluxe.lmj" TargetMode="External"/><Relationship Id="rId811" Type="http://schemas.openxmlformats.org/officeDocument/2006/relationships/hyperlink" Target="https://www.tiktok.com/@asti94_08" TargetMode="External"/><Relationship Id="rId810" Type="http://schemas.openxmlformats.org/officeDocument/2006/relationships/hyperlink" Target="https://www.tiktok.com/@anitanovita2" TargetMode="External"/><Relationship Id="rId815" Type="http://schemas.openxmlformats.org/officeDocument/2006/relationships/hyperlink" Target="https://www.tiktok.com/@yourpinkys" TargetMode="External"/><Relationship Id="rId814" Type="http://schemas.openxmlformats.org/officeDocument/2006/relationships/hyperlink" Target="https://www.tiktok.com/@serbaserbishp" TargetMode="External"/><Relationship Id="rId813" Type="http://schemas.openxmlformats.org/officeDocument/2006/relationships/hyperlink" Target="https://www.tiktok.com/@wulan_uwu" TargetMode="External"/><Relationship Id="rId812" Type="http://schemas.openxmlformats.org/officeDocument/2006/relationships/hyperlink" Target="https://www.tiktok.com/@zelovelin" TargetMode="External"/><Relationship Id="rId1640" Type="http://schemas.openxmlformats.org/officeDocument/2006/relationships/hyperlink" Target="https://www.tiktok.com/@yourr.destinationn" TargetMode="External"/><Relationship Id="rId1641" Type="http://schemas.openxmlformats.org/officeDocument/2006/relationships/hyperlink" Target="https://www.tiktok.com/@nafi_ra06" TargetMode="External"/><Relationship Id="rId1675" Type="http://schemas.openxmlformats.org/officeDocument/2006/relationships/hyperlink" Target="https://www.tiktok.com/@lutfinurdiyana24" TargetMode="External"/><Relationship Id="rId1676" Type="http://schemas.openxmlformats.org/officeDocument/2006/relationships/hyperlink" Target="https://www.tiktok.com/@aanisanss" TargetMode="External"/><Relationship Id="rId1677" Type="http://schemas.openxmlformats.org/officeDocument/2006/relationships/hyperlink" Target="https://www.tiktok.com/@anotherchumai" TargetMode="External"/><Relationship Id="rId1678" Type="http://schemas.openxmlformats.org/officeDocument/2006/relationships/hyperlink" Target="https://www.tiktok.com/@adindapsta_" TargetMode="External"/><Relationship Id="rId1679" Type="http://schemas.openxmlformats.org/officeDocument/2006/relationships/hyperlink" Target="https://www.tiktok.com/@tyaa0226" TargetMode="External"/><Relationship Id="rId849" Type="http://schemas.openxmlformats.org/officeDocument/2006/relationships/hyperlink" Target="https://www.tiktok.com/@momrayyan27/video/7641148092493991175?is_from_webapp=1&amp;sender_device=pc" TargetMode="External"/><Relationship Id="rId844" Type="http://schemas.openxmlformats.org/officeDocument/2006/relationships/hyperlink" Target="https://www.tiktok.com/@heinia_" TargetMode="External"/><Relationship Id="rId843" Type="http://schemas.openxmlformats.org/officeDocument/2006/relationships/hyperlink" Target="https://www.tiktok.com/@ini.fenia" TargetMode="External"/><Relationship Id="rId842" Type="http://schemas.openxmlformats.org/officeDocument/2006/relationships/hyperlink" Target="https://www.tiktok.com/@susylampung92" TargetMode="External"/><Relationship Id="rId841" Type="http://schemas.openxmlformats.org/officeDocument/2006/relationships/hyperlink" Target="https://www.tiktok.com/@bubbiees__" TargetMode="External"/><Relationship Id="rId848" Type="http://schemas.openxmlformats.org/officeDocument/2006/relationships/hyperlink" Target="https://www.tiktok.com/@momrayyan27/video/7640710233752440082?is_from_webapp=1&amp;sender_device=pc" TargetMode="External"/><Relationship Id="rId847" Type="http://schemas.openxmlformats.org/officeDocument/2006/relationships/hyperlink" Target="https://www.tiktok.com/@momrayyan27" TargetMode="External"/><Relationship Id="rId846" Type="http://schemas.openxmlformats.org/officeDocument/2006/relationships/hyperlink" Target="https://www.tiktok.com/@anitanovita2" TargetMode="External"/><Relationship Id="rId845" Type="http://schemas.openxmlformats.org/officeDocument/2006/relationships/hyperlink" Target="https://www.tiktok.com/@Makeupbysheeren" TargetMode="External"/><Relationship Id="rId1670" Type="http://schemas.openxmlformats.org/officeDocument/2006/relationships/hyperlink" Target="https://www.tiktok.com/@kitaberduaid" TargetMode="External"/><Relationship Id="rId840" Type="http://schemas.openxmlformats.org/officeDocument/2006/relationships/hyperlink" Target="https://www.tiktok.com/@nadilasafff" TargetMode="External"/><Relationship Id="rId1671" Type="http://schemas.openxmlformats.org/officeDocument/2006/relationships/hyperlink" Target="https://www.tiktok.com/@dpitaaa6_" TargetMode="External"/><Relationship Id="rId1672" Type="http://schemas.openxmlformats.org/officeDocument/2006/relationships/hyperlink" Target="https://www.tiktok.com/@meilindawdr" TargetMode="External"/><Relationship Id="rId1673" Type="http://schemas.openxmlformats.org/officeDocument/2006/relationships/hyperlink" Target="https://www.tiktok.com/@xzlfzhrz" TargetMode="External"/><Relationship Id="rId1674" Type="http://schemas.openxmlformats.org/officeDocument/2006/relationships/hyperlink" Target="https://www.tiktok.com/@mowyowo" TargetMode="External"/><Relationship Id="rId1664" Type="http://schemas.openxmlformats.org/officeDocument/2006/relationships/hyperlink" Target="https://www.tiktok.com/@mama.anyachloe" TargetMode="External"/><Relationship Id="rId1665" Type="http://schemas.openxmlformats.org/officeDocument/2006/relationships/hyperlink" Target="https://www.tiktok.com/@littlelibraaa_" TargetMode="External"/><Relationship Id="rId1666" Type="http://schemas.openxmlformats.org/officeDocument/2006/relationships/hyperlink" Target="https://www.tiktok.com/@Diahayu090" TargetMode="External"/><Relationship Id="rId1667" Type="http://schemas.openxmlformats.org/officeDocument/2006/relationships/hyperlink" Target="https://www.tiktok.com/@butterfly.bloom____" TargetMode="External"/><Relationship Id="rId1668" Type="http://schemas.openxmlformats.org/officeDocument/2006/relationships/hyperlink" Target="https://www.tiktok.com/@cerryyours" TargetMode="External"/><Relationship Id="rId1669" Type="http://schemas.openxmlformats.org/officeDocument/2006/relationships/hyperlink" Target="https://www.tiktok.com/@jsicastore" TargetMode="External"/><Relationship Id="rId839" Type="http://schemas.openxmlformats.org/officeDocument/2006/relationships/hyperlink" Target="https://www.tiktok.com/@Rubybiie" TargetMode="External"/><Relationship Id="rId838" Type="http://schemas.openxmlformats.org/officeDocument/2006/relationships/hyperlink" Target="https://www.tiktok.com/@somethinlostt/video/7643807341309201685?is_from_webapp=1&amp;sender_device=pc" TargetMode="External"/><Relationship Id="rId833" Type="http://schemas.openxmlformats.org/officeDocument/2006/relationships/hyperlink" Target="https://www.tiktok.com/@Uty0_0" TargetMode="External"/><Relationship Id="rId832" Type="http://schemas.openxmlformats.org/officeDocument/2006/relationships/hyperlink" Target="https://www.tiktok.com/@_a.prlyanii/video/7642994753163808007?is_from_webapp=1&amp;sender_device=pc" TargetMode="External"/><Relationship Id="rId831" Type="http://schemas.openxmlformats.org/officeDocument/2006/relationships/hyperlink" Target="https://www.tiktok.com/@_a.prlyanii/video/7642622880588582162?is_from_webapp=1&amp;sender_device=pc" TargetMode="External"/><Relationship Id="rId830" Type="http://schemas.openxmlformats.org/officeDocument/2006/relationships/hyperlink" Target="https://www.tiktok.com/@_a.prlyanii/video/7642251806394895623?is_from_webapp=1&amp;sender_device=pc" TargetMode="External"/><Relationship Id="rId837" Type="http://schemas.openxmlformats.org/officeDocument/2006/relationships/hyperlink" Target="https://www.tiktok.com/@somethinlostt/video/7643311939728248085?is_from_webapp=1&amp;sender_device=pc" TargetMode="External"/><Relationship Id="rId836" Type="http://schemas.openxmlformats.org/officeDocument/2006/relationships/hyperlink" Target="https://www.tiktok.com/@somethinlostt" TargetMode="External"/><Relationship Id="rId835" Type="http://schemas.openxmlformats.org/officeDocument/2006/relationships/hyperlink" Target="https://www.tiktok.com/@orzora_store3" TargetMode="External"/><Relationship Id="rId834" Type="http://schemas.openxmlformats.org/officeDocument/2006/relationships/hyperlink" Target="https://www.tiktok.com/@mayuth38" TargetMode="External"/><Relationship Id="rId1660" Type="http://schemas.openxmlformats.org/officeDocument/2006/relationships/hyperlink" Target="https://www.tiktok.com/@spicabelle" TargetMode="External"/><Relationship Id="rId1661" Type="http://schemas.openxmlformats.org/officeDocument/2006/relationships/hyperlink" Target="https://www.tiktok.com/@wulanwoo09" TargetMode="External"/><Relationship Id="rId1662" Type="http://schemas.openxmlformats.org/officeDocument/2006/relationships/hyperlink" Target="https://www.tiktok.com/@meganurjananh313" TargetMode="External"/><Relationship Id="rId1663" Type="http://schemas.openxmlformats.org/officeDocument/2006/relationships/hyperlink" Target="https://www.tiktok.com/@ulfahreginaa" TargetMode="External"/><Relationship Id="rId469" Type="http://schemas.openxmlformats.org/officeDocument/2006/relationships/hyperlink" Target="https://www.tiktok.com/@falisha.chaca/video/7641127658968927496?is_from_webapp=1&amp;sender_device=pc" TargetMode="External"/><Relationship Id="rId468" Type="http://schemas.openxmlformats.org/officeDocument/2006/relationships/hyperlink" Target="https://www.tiktok.com/@Falisha.chaca" TargetMode="External"/><Relationship Id="rId467" Type="http://schemas.openxmlformats.org/officeDocument/2006/relationships/hyperlink" Target="https://www.tiktok.com/@marsca_10" TargetMode="External"/><Relationship Id="rId1290" Type="http://schemas.openxmlformats.org/officeDocument/2006/relationships/hyperlink" Target="https://www.tiktok.com/@leonora.daily" TargetMode="External"/><Relationship Id="rId1291" Type="http://schemas.openxmlformats.org/officeDocument/2006/relationships/hyperlink" Target="https://www.tiktok.com/@Ariika_90" TargetMode="External"/><Relationship Id="rId1292" Type="http://schemas.openxmlformats.org/officeDocument/2006/relationships/hyperlink" Target="https://www.tiktok.com/@ariika_90/video/7642355760415952146?is_from_webapp=1&amp;sender_device=pc" TargetMode="External"/><Relationship Id="rId462" Type="http://schemas.openxmlformats.org/officeDocument/2006/relationships/hyperlink" Target="https://www.tiktok.com/@dailykurnia" TargetMode="External"/><Relationship Id="rId1293" Type="http://schemas.openxmlformats.org/officeDocument/2006/relationships/hyperlink" Target="https://www.tiktok.com/@ariika_90/video/7642551339041557778?is_from_webapp=1&amp;sender_device=pc" TargetMode="External"/><Relationship Id="rId461" Type="http://schemas.openxmlformats.org/officeDocument/2006/relationships/hyperlink" Target="https://www.tiktok.com/@secuil_sweetly/video/7640687575547710741?is_from_webapp=1&amp;sender_device=pc" TargetMode="External"/><Relationship Id="rId1294" Type="http://schemas.openxmlformats.org/officeDocument/2006/relationships/hyperlink" Target="https://www.tiktok.com/@ariika_90/video/7642835613263154439?is_from_webapp=1&amp;sender_device=pc" TargetMode="External"/><Relationship Id="rId460" Type="http://schemas.openxmlformats.org/officeDocument/2006/relationships/hyperlink" Target="https://www.tiktok.com/@secuil_sweetly/video/7639993767067454740?is_from_webapp=1&amp;sender_device=pc" TargetMode="External"/><Relationship Id="rId1295" Type="http://schemas.openxmlformats.org/officeDocument/2006/relationships/hyperlink" Target="https://www.tiktok.com/@ariika_90/video/7643430752704564488?is_from_webapp=1&amp;sender_device=pc" TargetMode="External"/><Relationship Id="rId1296" Type="http://schemas.openxmlformats.org/officeDocument/2006/relationships/hyperlink" Target="https://www.tiktok.com/@ay_ia06" TargetMode="External"/><Relationship Id="rId466" Type="http://schemas.openxmlformats.org/officeDocument/2006/relationships/hyperlink" Target="https://www.tiktok.com/@dailykurnia/video/7640649488192802066?is_from_webapp=1&amp;sender_device=pc" TargetMode="External"/><Relationship Id="rId1297" Type="http://schemas.openxmlformats.org/officeDocument/2006/relationships/hyperlink" Target="https://www.tiktok.com/@_iaaaaa.n" TargetMode="External"/><Relationship Id="rId465" Type="http://schemas.openxmlformats.org/officeDocument/2006/relationships/hyperlink" Target="https://www.tiktok.com/@dailykurnia/video/7639626814092053778?is_from_webapp=1&amp;sender_device=pc" TargetMode="External"/><Relationship Id="rId1298" Type="http://schemas.openxmlformats.org/officeDocument/2006/relationships/hyperlink" Target="https://www.tiktok.com/@_iaaaaa.n/video/7642528860587740437?is_from_webapp=1&amp;sender_device=pc" TargetMode="External"/><Relationship Id="rId464" Type="http://schemas.openxmlformats.org/officeDocument/2006/relationships/hyperlink" Target="https://www.tiktok.com/@dailykurnia/video/7640078561059081479?is_from_webapp=1&amp;sender_device=pc" TargetMode="External"/><Relationship Id="rId1299" Type="http://schemas.openxmlformats.org/officeDocument/2006/relationships/hyperlink" Target="https://www.tiktok.com/@_iaaaaa.n/video/7643730617569414421?is_from_webapp=1&amp;sender_device=pc" TargetMode="External"/><Relationship Id="rId463" Type="http://schemas.openxmlformats.org/officeDocument/2006/relationships/hyperlink" Target="https://www.tiktok.com/@dailykurnia/video/7639352967157583122?is_from_webapp=1&amp;sender_device=pc" TargetMode="External"/><Relationship Id="rId459" Type="http://schemas.openxmlformats.org/officeDocument/2006/relationships/hyperlink" Target="https://www.tiktok.com/@secuil_sweetly/video/7639231596867882260?is_from_webapp=1&amp;sender_device=pc" TargetMode="External"/><Relationship Id="rId458" Type="http://schemas.openxmlformats.org/officeDocument/2006/relationships/hyperlink" Target="https://www.tiktok.com/@secuil_sweetly/video/7638845756614397204?is_from_webapp=1&amp;sender_device=pc" TargetMode="External"/><Relationship Id="rId457" Type="http://schemas.openxmlformats.org/officeDocument/2006/relationships/hyperlink" Target="https://www.tiktok.com/@Secuil_sweetly" TargetMode="External"/><Relationship Id="rId456" Type="http://schemas.openxmlformats.org/officeDocument/2006/relationships/hyperlink" Target="https://www.tiktok.com/@ndcuuu/video/7635333279788322056?is_from_webapp=1&amp;sender_device=pc" TargetMode="External"/><Relationship Id="rId1280" Type="http://schemas.openxmlformats.org/officeDocument/2006/relationships/hyperlink" Target="https://www.tiktok.com/@pangesti_est/video/7643826126695009554?is_from_webapp=1&amp;sender_device=pc" TargetMode="External"/><Relationship Id="rId1281" Type="http://schemas.openxmlformats.org/officeDocument/2006/relationships/hyperlink" Target="https://www.tiktok.com/@ctrameyyrani_" TargetMode="External"/><Relationship Id="rId451" Type="http://schemas.openxmlformats.org/officeDocument/2006/relationships/hyperlink" Target="https://www.tiktok.com/@gektu.tris/video/7638971203595652370?is_from_webapp=1&amp;sender_device=pc" TargetMode="External"/><Relationship Id="rId1282" Type="http://schemas.openxmlformats.org/officeDocument/2006/relationships/hyperlink" Target="https://www.tiktok.com/@ctrameyyrani_/video/7643054959315176724?is_from_webapp=1&amp;sender_device=pc" TargetMode="External"/><Relationship Id="rId450" Type="http://schemas.openxmlformats.org/officeDocument/2006/relationships/hyperlink" Target="https://www.tiktok.com/@gektu.tris" TargetMode="External"/><Relationship Id="rId1283" Type="http://schemas.openxmlformats.org/officeDocument/2006/relationships/hyperlink" Target="https://www.tiktok.com/@rendut11_" TargetMode="External"/><Relationship Id="rId1284" Type="http://schemas.openxmlformats.org/officeDocument/2006/relationships/hyperlink" Target="https://www.tiktok.com/@inii.riniiiii" TargetMode="External"/><Relationship Id="rId1285" Type="http://schemas.openxmlformats.org/officeDocument/2006/relationships/hyperlink" Target="https://www.tiktok.com/@eophanaa" TargetMode="External"/><Relationship Id="rId455" Type="http://schemas.openxmlformats.org/officeDocument/2006/relationships/hyperlink" Target="https://www.tiktok.com/@ndcuuu" TargetMode="External"/><Relationship Id="rId1286" Type="http://schemas.openxmlformats.org/officeDocument/2006/relationships/hyperlink" Target="https://www.tiktok.com/@xixiee._" TargetMode="External"/><Relationship Id="rId454" Type="http://schemas.openxmlformats.org/officeDocument/2006/relationships/hyperlink" Target="https://vt.tiktok.com/ZSxqWP6H6/" TargetMode="External"/><Relationship Id="rId1287" Type="http://schemas.openxmlformats.org/officeDocument/2006/relationships/hyperlink" Target="https://www.tiktok.com/@xixiee._/video/7643449246385048840?is_from_webapp=1&amp;sender_device=pc" TargetMode="External"/><Relationship Id="rId453" Type="http://schemas.openxmlformats.org/officeDocument/2006/relationships/hyperlink" Target="https://www.tiktok.com/@gektu.tris/video/7640122739868699912?is_from_webapp=1&amp;sender_device=pc" TargetMode="External"/><Relationship Id="rId1288" Type="http://schemas.openxmlformats.org/officeDocument/2006/relationships/hyperlink" Target="https://www.tiktok.com/@xixiee._/video/7643842566932253970?is_from_webapp=1&amp;sender_device=pc" TargetMode="External"/><Relationship Id="rId452" Type="http://schemas.openxmlformats.org/officeDocument/2006/relationships/hyperlink" Target="https://www.tiktok.com/@gektu.tris/video/7639589453270355218?is_from_webapp=1&amp;sender_device=pc" TargetMode="External"/><Relationship Id="rId1289" Type="http://schemas.openxmlformats.org/officeDocument/2006/relationships/hyperlink" Target="https://www.tiktok.com/@xixiee._/video/7643850765676629256?is_from_webapp=1&amp;sender_device=pc" TargetMode="External"/><Relationship Id="rId491" Type="http://schemas.openxmlformats.org/officeDocument/2006/relationships/hyperlink" Target="https://www.tiktok.com/@alyaaaair/video/7642580570018516244?is_from_webapp=1&amp;sender_device=pc" TargetMode="External"/><Relationship Id="rId490" Type="http://schemas.openxmlformats.org/officeDocument/2006/relationships/hyperlink" Target="https://www.tiktok.com/@alyaaaair" TargetMode="External"/><Relationship Id="rId489" Type="http://schemas.openxmlformats.org/officeDocument/2006/relationships/hyperlink" Target="https://www.tiktok.com/@pumpkinscarf" TargetMode="External"/><Relationship Id="rId484" Type="http://schemas.openxmlformats.org/officeDocument/2006/relationships/hyperlink" Target="https://www.tiktok.com/@raninuraeni143" TargetMode="External"/><Relationship Id="rId483" Type="http://schemas.openxmlformats.org/officeDocument/2006/relationships/hyperlink" Target="https://www.tiktok.com/@putvireview" TargetMode="External"/><Relationship Id="rId482" Type="http://schemas.openxmlformats.org/officeDocument/2006/relationships/hyperlink" Target="https://www.tiktok.com/@review_unaa" TargetMode="External"/><Relationship Id="rId481" Type="http://schemas.openxmlformats.org/officeDocument/2006/relationships/hyperlink" Target="https://www.tiktok.com/@nunnadesi97" TargetMode="External"/><Relationship Id="rId488" Type="http://schemas.openxmlformats.org/officeDocument/2006/relationships/hyperlink" Target="https://www.tiktok.com/@rahma_shaqile1/video/7643794371120286993?is_from_webapp=1&amp;sender_device=pc" TargetMode="External"/><Relationship Id="rId487" Type="http://schemas.openxmlformats.org/officeDocument/2006/relationships/hyperlink" Target="https://www.tiktok.com/@rahma_shaqile1" TargetMode="External"/><Relationship Id="rId486" Type="http://schemas.openxmlformats.org/officeDocument/2006/relationships/hyperlink" Target="https://www.tiktok.com/@palugada733/video/7643734880282578194?is_from_webapp=1&amp;sender_device=pc" TargetMode="External"/><Relationship Id="rId485" Type="http://schemas.openxmlformats.org/officeDocument/2006/relationships/hyperlink" Target="https://www.tiktok.com/@palugada733" TargetMode="External"/><Relationship Id="rId480" Type="http://schemas.openxmlformats.org/officeDocument/2006/relationships/hyperlink" Target="https://www.tiktok.com/@girlstuffs21/video/7642442258008100116?is_from_webapp=1&amp;sender_device=pc" TargetMode="External"/><Relationship Id="rId479" Type="http://schemas.openxmlformats.org/officeDocument/2006/relationships/hyperlink" Target="https://www.tiktok.com/@girlstuffs21/video/7642097725042969876?is_from_webapp=1&amp;sender_device=pc" TargetMode="External"/><Relationship Id="rId478" Type="http://schemas.openxmlformats.org/officeDocument/2006/relationships/hyperlink" Target="https://www.tiktok.com/@girlstuffs21/video/7639165476676848917?is_from_webapp=1&amp;sender_device=pc" TargetMode="External"/><Relationship Id="rId473" Type="http://schemas.openxmlformats.org/officeDocument/2006/relationships/hyperlink" Target="https://www.tiktok.com/@susanjuliana05" TargetMode="External"/><Relationship Id="rId472" Type="http://schemas.openxmlformats.org/officeDocument/2006/relationships/hyperlink" Target="https://www.tiktok.com/@falisha.chaca/video/7642989702705974536?is_from_webapp=1&amp;sender_device=pc" TargetMode="External"/><Relationship Id="rId471" Type="http://schemas.openxmlformats.org/officeDocument/2006/relationships/hyperlink" Target="https://www.tiktok.com/@falisha.chaca/video/7642725751929720071?is_from_webapp=1&amp;sender_device=pc" TargetMode="External"/><Relationship Id="rId470" Type="http://schemas.openxmlformats.org/officeDocument/2006/relationships/hyperlink" Target="https://www.tiktok.com/@falisha.chaca/video/7642574607597260050?is_from_webapp=1&amp;sender_device=pc" TargetMode="External"/><Relationship Id="rId477" Type="http://schemas.openxmlformats.org/officeDocument/2006/relationships/hyperlink" Target="https://www.tiktok.com/@girlstuffs21/video/7637955323923287316?is_from_webapp=1&amp;sender_device=pc" TargetMode="External"/><Relationship Id="rId476" Type="http://schemas.openxmlformats.org/officeDocument/2006/relationships/hyperlink" Target="https://www.tiktok.com/@Girlstuffs21" TargetMode="External"/><Relationship Id="rId475" Type="http://schemas.openxmlformats.org/officeDocument/2006/relationships/hyperlink" Target="https://www.tiktok.com/@_nhacyaaya/video/7639613730174569748?is_from_webapp=1&amp;sender_device=pc" TargetMode="External"/><Relationship Id="rId474" Type="http://schemas.openxmlformats.org/officeDocument/2006/relationships/hyperlink" Target="https://www.tiktok.com/@_nhacyaaya" TargetMode="External"/><Relationship Id="rId1257" Type="http://schemas.openxmlformats.org/officeDocument/2006/relationships/hyperlink" Target="https://www.tiktok.com/@delvva" TargetMode="External"/><Relationship Id="rId1258" Type="http://schemas.openxmlformats.org/officeDocument/2006/relationships/hyperlink" Target="https://www.tiktok.com/@piet_upiet" TargetMode="External"/><Relationship Id="rId1259" Type="http://schemas.openxmlformats.org/officeDocument/2006/relationships/hyperlink" Target="https://www.tiktok.com/@chocochip_232" TargetMode="External"/><Relationship Id="rId426" Type="http://schemas.openxmlformats.org/officeDocument/2006/relationships/hyperlink" Target="https://vt.tiktok.com/ZS9qBGnmo/" TargetMode="External"/><Relationship Id="rId425" Type="http://schemas.openxmlformats.org/officeDocument/2006/relationships/hyperlink" Target="https://vt.tiktok.com/ZS9qByXdo/" TargetMode="External"/><Relationship Id="rId424" Type="http://schemas.openxmlformats.org/officeDocument/2006/relationships/hyperlink" Target="https://vt.tiktok.com/ZS9qBHKfp/" TargetMode="External"/><Relationship Id="rId423" Type="http://schemas.openxmlformats.org/officeDocument/2006/relationships/hyperlink" Target="https://www.tiktok.com/@paul09._" TargetMode="External"/><Relationship Id="rId429" Type="http://schemas.openxmlformats.org/officeDocument/2006/relationships/hyperlink" Target="https://www.tiktok.com/@alayya_agp/video/7637048916785007893?is_from_webapp=1&amp;sender_device=pc" TargetMode="External"/><Relationship Id="rId428" Type="http://schemas.openxmlformats.org/officeDocument/2006/relationships/hyperlink" Target="https://www.tiktok.com/@Alayya_agp" TargetMode="External"/><Relationship Id="rId427" Type="http://schemas.openxmlformats.org/officeDocument/2006/relationships/hyperlink" Target="https://vt.tiktok.com/ZS9qBGnmo/" TargetMode="External"/><Relationship Id="rId1250" Type="http://schemas.openxmlformats.org/officeDocument/2006/relationships/hyperlink" Target="https://www.tiktok.com/@nda.taqiyyaa" TargetMode="External"/><Relationship Id="rId1251" Type="http://schemas.openxmlformats.org/officeDocument/2006/relationships/hyperlink" Target="https://www.tiktok.com/@bintisyahrialaffandy" TargetMode="External"/><Relationship Id="rId1252" Type="http://schemas.openxmlformats.org/officeDocument/2006/relationships/hyperlink" Target="https://www.tiktok.com/@ssunxiety" TargetMode="External"/><Relationship Id="rId422" Type="http://schemas.openxmlformats.org/officeDocument/2006/relationships/hyperlink" Target="https://www.tiktok.com/@_cshaani/video/7641622229653949717?is_from_webapp=1&amp;sender_device=pc" TargetMode="External"/><Relationship Id="rId1253" Type="http://schemas.openxmlformats.org/officeDocument/2006/relationships/hyperlink" Target="https://www.tiktok.com/@imyourdaay" TargetMode="External"/><Relationship Id="rId421" Type="http://schemas.openxmlformats.org/officeDocument/2006/relationships/hyperlink" Target="https://www.tiktok.com/@_cshaani/video/7641252035878489364?is_from_webapp=1&amp;sender_device=pc" TargetMode="External"/><Relationship Id="rId1254" Type="http://schemas.openxmlformats.org/officeDocument/2006/relationships/hyperlink" Target="https://www.tiktok.com/@ubeedaily" TargetMode="External"/><Relationship Id="rId420" Type="http://schemas.openxmlformats.org/officeDocument/2006/relationships/hyperlink" Target="https://www.tiktok.com/@_cshaani" TargetMode="External"/><Relationship Id="rId1255" Type="http://schemas.openxmlformats.org/officeDocument/2006/relationships/hyperlink" Target="https://www.tiktok.com/@ceo_batu_giok04" TargetMode="External"/><Relationship Id="rId1256" Type="http://schemas.openxmlformats.org/officeDocument/2006/relationships/hyperlink" Target="https://www.tiktok.com/@nisaulmmn" TargetMode="External"/><Relationship Id="rId1246" Type="http://schemas.openxmlformats.org/officeDocument/2006/relationships/hyperlink" Target="https://www.tiktok.com/@araseooo27/video/7643492073269660946?is_from_webapp=1&amp;sender_device=pc" TargetMode="External"/><Relationship Id="rId1247" Type="http://schemas.openxmlformats.org/officeDocument/2006/relationships/hyperlink" Target="https://www.tiktok.com/@araseooo27/video/7643517394001857810?is_from_webapp=1&amp;sender_device=pc" TargetMode="External"/><Relationship Id="rId1248" Type="http://schemas.openxmlformats.org/officeDocument/2006/relationships/hyperlink" Target="https://www.tiktok.com/@araseooo27/video/7643523127049211154?is_from_webapp=1&amp;sender_device=pc" TargetMode="External"/><Relationship Id="rId1249" Type="http://schemas.openxmlformats.org/officeDocument/2006/relationships/hyperlink" Target="https://www.tiktok.com/@araseooo27/video/7643752425974697223?is_from_webapp=1&amp;sender_device=pc" TargetMode="External"/><Relationship Id="rId415" Type="http://schemas.openxmlformats.org/officeDocument/2006/relationships/hyperlink" Target="https://www.tiktok.com/@Jusantimukaroma" TargetMode="External"/><Relationship Id="rId899" Type="http://schemas.openxmlformats.org/officeDocument/2006/relationships/hyperlink" Target="https://www.tiktok.com/@ruhamaaa6/video/7643251005529820434?is_from_webapp=1&amp;sender_device=pc" TargetMode="External"/><Relationship Id="rId414" Type="http://schemas.openxmlformats.org/officeDocument/2006/relationships/hyperlink" Target="https://www.tiktok.com/@sepiiin.p" TargetMode="External"/><Relationship Id="rId898" Type="http://schemas.openxmlformats.org/officeDocument/2006/relationships/hyperlink" Target="https://www.tiktok.com/@ruhamaaa6" TargetMode="External"/><Relationship Id="rId413" Type="http://schemas.openxmlformats.org/officeDocument/2006/relationships/hyperlink" Target="https://vt.tiktok.com/ZSx7JN8cS/" TargetMode="External"/><Relationship Id="rId897" Type="http://schemas.openxmlformats.org/officeDocument/2006/relationships/hyperlink" Target="https://www.tiktok.com/@chaunel99/video/7642519823217347861?is_from_webapp=1&amp;sender_device=pc" TargetMode="External"/><Relationship Id="rId412" Type="http://schemas.openxmlformats.org/officeDocument/2006/relationships/hyperlink" Target="https://vt.tiktok.com/ZSxWec1Yc/" TargetMode="External"/><Relationship Id="rId896" Type="http://schemas.openxmlformats.org/officeDocument/2006/relationships/hyperlink" Target="https://www.tiktok.com/@chaunel99" TargetMode="External"/><Relationship Id="rId419" Type="http://schemas.openxmlformats.org/officeDocument/2006/relationships/hyperlink" Target="https://www.tiktok.com/@anastasia_amelia/video/7641027291421707540?is_from_webapp=1&amp;sender_device=pc" TargetMode="External"/><Relationship Id="rId418" Type="http://schemas.openxmlformats.org/officeDocument/2006/relationships/hyperlink" Target="https://www.tiktok.com/@anastasia_amelia/video/7639694056049757461?is_from_webapp=1&amp;sender_device=pc" TargetMode="External"/><Relationship Id="rId417" Type="http://schemas.openxmlformats.org/officeDocument/2006/relationships/hyperlink" Target="https://www.tiktok.com/@anastasia_amelia" TargetMode="External"/><Relationship Id="rId416" Type="http://schemas.openxmlformats.org/officeDocument/2006/relationships/hyperlink" Target="https://www.tiktok.com/@jelinaww_" TargetMode="External"/><Relationship Id="rId891" Type="http://schemas.openxmlformats.org/officeDocument/2006/relationships/hyperlink" Target="https://www.tiktok.com/@sutanalif08/video/7644001415349751061?is_from_webapp=1&amp;sender_device=pc" TargetMode="External"/><Relationship Id="rId890" Type="http://schemas.openxmlformats.org/officeDocument/2006/relationships/hyperlink" Target="https://www.tiktok.com/@sutanalif08" TargetMode="External"/><Relationship Id="rId1240" Type="http://schemas.openxmlformats.org/officeDocument/2006/relationships/hyperlink" Target="https://www.tiktok.com/@rachmaaaaa2" TargetMode="External"/><Relationship Id="rId1241" Type="http://schemas.openxmlformats.org/officeDocument/2006/relationships/hyperlink" Target="https://www.tiktok.com/@rachmaaaaa2/video/7642655927748807954?is_from_webapp=1&amp;sender_device=pc" TargetMode="External"/><Relationship Id="rId411" Type="http://schemas.openxmlformats.org/officeDocument/2006/relationships/hyperlink" Target="https://vt.tiktok.com/ZSxsJr8yk/" TargetMode="External"/><Relationship Id="rId895" Type="http://schemas.openxmlformats.org/officeDocument/2006/relationships/hyperlink" Target="https://www.tiktok.com/@ms_9305/video/7643618293508590868?is_from_webapp=1&amp;sender_device=pc" TargetMode="External"/><Relationship Id="rId1242" Type="http://schemas.openxmlformats.org/officeDocument/2006/relationships/hyperlink" Target="https://www.tiktok.com/@rachmaaaaa2/video/7642706823673400594?is_from_webapp=1&amp;sender_device=pc" TargetMode="External"/><Relationship Id="rId410" Type="http://schemas.openxmlformats.org/officeDocument/2006/relationships/hyperlink" Target="https://www.tiktok.com/@siminiii_/video/7637176715982228757?is_from_webapp=1&amp;sender_device=pc" TargetMode="External"/><Relationship Id="rId894" Type="http://schemas.openxmlformats.org/officeDocument/2006/relationships/hyperlink" Target="https://www.tiktok.com/@ms_9305/video/7642852332362861845?is_from_webapp=1&amp;sender_device=pc" TargetMode="External"/><Relationship Id="rId1243" Type="http://schemas.openxmlformats.org/officeDocument/2006/relationships/hyperlink" Target="https://www.tiktok.com/@rachmaaaaa2/video/7642895143799901447?is_from_webapp=1&amp;sender_device=pc" TargetMode="External"/><Relationship Id="rId893" Type="http://schemas.openxmlformats.org/officeDocument/2006/relationships/hyperlink" Target="https://www.tiktok.com/@ms_9305" TargetMode="External"/><Relationship Id="rId1244" Type="http://schemas.openxmlformats.org/officeDocument/2006/relationships/hyperlink" Target="https://www.tiktok.com/@rachmaaaaa2/video/7643065348538862856?is_from_webapp=1&amp;sender_device=pc" TargetMode="External"/><Relationship Id="rId892" Type="http://schemas.openxmlformats.org/officeDocument/2006/relationships/hyperlink" Target="https://www.tiktok.com/@ebytrie02" TargetMode="External"/><Relationship Id="rId1245" Type="http://schemas.openxmlformats.org/officeDocument/2006/relationships/hyperlink" Target="https://www.tiktok.com/@araseooo27" TargetMode="External"/><Relationship Id="rId1279" Type="http://schemas.openxmlformats.org/officeDocument/2006/relationships/hyperlink" Target="https://www.tiktok.com/@pangesti_est" TargetMode="External"/><Relationship Id="rId448" Type="http://schemas.openxmlformats.org/officeDocument/2006/relationships/hyperlink" Target="https://vt.tiktok.com/ZSxjeSnLS/" TargetMode="External"/><Relationship Id="rId447" Type="http://schemas.openxmlformats.org/officeDocument/2006/relationships/hyperlink" Target="https://vt.tiktok.com/ZS9wpQKaW/" TargetMode="External"/><Relationship Id="rId446" Type="http://schemas.openxmlformats.org/officeDocument/2006/relationships/hyperlink" Target="https://www.tiktok.com/@markima_yuk" TargetMode="External"/><Relationship Id="rId445" Type="http://schemas.openxmlformats.org/officeDocument/2006/relationships/hyperlink" Target="https://www.tiktok.com/@sajidah.aulisa" TargetMode="External"/><Relationship Id="rId449" Type="http://schemas.openxmlformats.org/officeDocument/2006/relationships/hyperlink" Target="https://www.tiktok.com/@asselicaa" TargetMode="External"/><Relationship Id="rId1270" Type="http://schemas.openxmlformats.org/officeDocument/2006/relationships/hyperlink" Target="https://www.tiktok.com/@renyfeb14" TargetMode="External"/><Relationship Id="rId440" Type="http://schemas.openxmlformats.org/officeDocument/2006/relationships/hyperlink" Target="https://www.tiktok.com/@madam.frimey" TargetMode="External"/><Relationship Id="rId1271" Type="http://schemas.openxmlformats.org/officeDocument/2006/relationships/hyperlink" Target="https://www.tiktok.com/@indahpuspitasari232" TargetMode="External"/><Relationship Id="rId1272" Type="http://schemas.openxmlformats.org/officeDocument/2006/relationships/hyperlink" Target="https://www.tiktok.com/@indahpuspitasari232/video/7642585305760959765?is_from_webapp=1&amp;sender_device=pc" TargetMode="External"/><Relationship Id="rId1273" Type="http://schemas.openxmlformats.org/officeDocument/2006/relationships/hyperlink" Target="https://www.tiktok.com/@indahpuspitasari232/video/7642940478635166996?is_from_webapp=1&amp;sender_device=pc" TargetMode="External"/><Relationship Id="rId1274" Type="http://schemas.openxmlformats.org/officeDocument/2006/relationships/hyperlink" Target="https://www.tiktok.com/@lailihanikfyandanik" TargetMode="External"/><Relationship Id="rId444" Type="http://schemas.openxmlformats.org/officeDocument/2006/relationships/hyperlink" Target="https://www.tiktok.com/@hokiterusmenerus/video/7642705923126889748?is_from_webapp=1&amp;sender_device=pc" TargetMode="External"/><Relationship Id="rId1275" Type="http://schemas.openxmlformats.org/officeDocument/2006/relationships/hyperlink" Target="https://www.tiktok.com/@suritiw" TargetMode="External"/><Relationship Id="rId443" Type="http://schemas.openxmlformats.org/officeDocument/2006/relationships/hyperlink" Target="https://www.tiktok.com/@hokiterusmenerus/video/7642567028775095572?is_from_webapp=1&amp;sender_device=pc" TargetMode="External"/><Relationship Id="rId1276" Type="http://schemas.openxmlformats.org/officeDocument/2006/relationships/hyperlink" Target="https://www.tiktok.com/@recandwinata" TargetMode="External"/><Relationship Id="rId442" Type="http://schemas.openxmlformats.org/officeDocument/2006/relationships/hyperlink" Target="https://www.tiktok.com/@hokiterusmenerus/video/7642198589170568469?is_from_webapp=1&amp;sender_device=pc" TargetMode="External"/><Relationship Id="rId1277" Type="http://schemas.openxmlformats.org/officeDocument/2006/relationships/hyperlink" Target="https://www.tiktok.com/@devitaa_1" TargetMode="External"/><Relationship Id="rId441" Type="http://schemas.openxmlformats.org/officeDocument/2006/relationships/hyperlink" Target="https://www.tiktok.com/@hokiterusmenerus" TargetMode="External"/><Relationship Id="rId1278" Type="http://schemas.openxmlformats.org/officeDocument/2006/relationships/hyperlink" Target="https://www.tiktok.com/@Kennyaydha" TargetMode="External"/><Relationship Id="rId1268" Type="http://schemas.openxmlformats.org/officeDocument/2006/relationships/hyperlink" Target="https://www.tiktok.com/@casyamine" TargetMode="External"/><Relationship Id="rId1269" Type="http://schemas.openxmlformats.org/officeDocument/2006/relationships/hyperlink" Target="https://www.tiktok.com/@nanassshhhhh" TargetMode="External"/><Relationship Id="rId437" Type="http://schemas.openxmlformats.org/officeDocument/2006/relationships/hyperlink" Target="https://www.tiktok.com/@raaa.11225/video/7643641106684562708?is_from_webapp=1&amp;sender_device=pc" TargetMode="External"/><Relationship Id="rId436" Type="http://schemas.openxmlformats.org/officeDocument/2006/relationships/hyperlink" Target="https://www.tiktok.com/@raaa.11225/video/7642150786138492180?is_from_webapp=1&amp;sender_device=pc" TargetMode="External"/><Relationship Id="rId435" Type="http://schemas.openxmlformats.org/officeDocument/2006/relationships/hyperlink" Target="https://www.tiktok.com/@raaa.11225/video/7639559790670236949?is_from_webapp=1&amp;sender_device=pc" TargetMode="External"/><Relationship Id="rId434" Type="http://schemas.openxmlformats.org/officeDocument/2006/relationships/hyperlink" Target="https://www.tiktok.com/@raaa.11225" TargetMode="External"/><Relationship Id="rId439" Type="http://schemas.openxmlformats.org/officeDocument/2006/relationships/hyperlink" Target="https://www.tiktok.com/@hi__mels/video/7639414884043820308?is_from_webapp=1&amp;sender_device=pc" TargetMode="External"/><Relationship Id="rId438" Type="http://schemas.openxmlformats.org/officeDocument/2006/relationships/hyperlink" Target="https://www.tiktok.com/@hi__mels" TargetMode="External"/><Relationship Id="rId1260" Type="http://schemas.openxmlformats.org/officeDocument/2006/relationships/hyperlink" Target="https://www.tiktok.com/@sasalbela01_" TargetMode="External"/><Relationship Id="rId1261" Type="http://schemas.openxmlformats.org/officeDocument/2006/relationships/hyperlink" Target="https://www.tiktok.com/@sasalbela01_/video/7642416717536202004?is_from_webapp=1&amp;sender_device=pc" TargetMode="External"/><Relationship Id="rId1262" Type="http://schemas.openxmlformats.org/officeDocument/2006/relationships/hyperlink" Target="https://www.tiktok.com/@sasalbela01_/video/7643249106395188500?is_from_webapp=1&amp;sender_device=pc" TargetMode="External"/><Relationship Id="rId1263" Type="http://schemas.openxmlformats.org/officeDocument/2006/relationships/hyperlink" Target="https://www.tiktok.com/@sasalbela01_/video/7643816775661948181?is_from_webapp=1&amp;sender_device=pc" TargetMode="External"/><Relationship Id="rId433" Type="http://schemas.openxmlformats.org/officeDocument/2006/relationships/hyperlink" Target="https://www.tiktok.com/@arashint" TargetMode="External"/><Relationship Id="rId1264" Type="http://schemas.openxmlformats.org/officeDocument/2006/relationships/hyperlink" Target="https://www.tiktok.com/@affinesia_17" TargetMode="External"/><Relationship Id="rId432" Type="http://schemas.openxmlformats.org/officeDocument/2006/relationships/hyperlink" Target="https://www.tiktok.com/@hehdinda/video/7640990457266228501?is_from_webapp=1&amp;sender_device=pc" TargetMode="External"/><Relationship Id="rId1265" Type="http://schemas.openxmlformats.org/officeDocument/2006/relationships/hyperlink" Target="https://www.tiktok.com/@affinesia_17/video/7643804084083985685?is_from_webapp=1&amp;sender_device=pc" TargetMode="External"/><Relationship Id="rId431" Type="http://schemas.openxmlformats.org/officeDocument/2006/relationships/hyperlink" Target="https://www.tiktok.com/@hehdinda" TargetMode="External"/><Relationship Id="rId1266" Type="http://schemas.openxmlformats.org/officeDocument/2006/relationships/hyperlink" Target="https://www.tiktok.com/@Ochamoyu14" TargetMode="External"/><Relationship Id="rId430" Type="http://schemas.openxmlformats.org/officeDocument/2006/relationships/hyperlink" Target="https://www.tiktok.com/@alayya_agp/video/7639395283201297685?is_from_webapp=1&amp;sender_device=pc" TargetMode="External"/><Relationship Id="rId1267" Type="http://schemas.openxmlformats.org/officeDocument/2006/relationships/hyperlink" Target="https://www.tiktok.com/@racunbynhaa_" TargetMode="External"/></Relationships>
</file>

<file path=xl/worksheets/_rels/sheet16.xml.rels><?xml version="1.0" encoding="UTF-8" standalone="yes"?><Relationships xmlns="http://schemas.openxmlformats.org/package/2006/relationships"><Relationship Id="rId9617" Type="http://schemas.openxmlformats.org/officeDocument/2006/relationships/hyperlink" Target="https://vt.tiktok.com/ZSxH2Ddef/" TargetMode="External"/><Relationship Id="rId9618" Type="http://schemas.openxmlformats.org/officeDocument/2006/relationships/hyperlink" Target="https://www.tiktok.com/@Oktazuh" TargetMode="External"/><Relationship Id="rId9619" Type="http://schemas.openxmlformats.org/officeDocument/2006/relationships/hyperlink" Target="https://vt.tiktok.com/ZSxHY7sHo/" TargetMode="External"/><Relationship Id="rId9613" Type="http://schemas.openxmlformats.org/officeDocument/2006/relationships/hyperlink" Target="https://www.tiktok.com/@dwlinaaaa" TargetMode="External"/><Relationship Id="rId9614" Type="http://schemas.openxmlformats.org/officeDocument/2006/relationships/hyperlink" Target="https://vt.tiktok.com/ZSxH2Ddef/" TargetMode="External"/><Relationship Id="rId9615" Type="http://schemas.openxmlformats.org/officeDocument/2006/relationships/hyperlink" Target="https://vt.tiktok.com/ZSxH2hSUy/" TargetMode="External"/><Relationship Id="rId9616" Type="http://schemas.openxmlformats.org/officeDocument/2006/relationships/hyperlink" Target="https://vt.tiktok.com/ZSxH2hSUy/" TargetMode="External"/><Relationship Id="rId9610" Type="http://schemas.openxmlformats.org/officeDocument/2006/relationships/hyperlink" Target="https://vt.tiktok.com/ZSxH2jwaT/" TargetMode="External"/><Relationship Id="rId9611" Type="http://schemas.openxmlformats.org/officeDocument/2006/relationships/hyperlink" Target="https://vt.tiktok.com/ZSxH2jwaT/" TargetMode="External"/><Relationship Id="rId9612" Type="http://schemas.openxmlformats.org/officeDocument/2006/relationships/hyperlink" Target="https://vt.tiktok.com/ZSxH2hSUy/" TargetMode="External"/><Relationship Id="rId9606" Type="http://schemas.openxmlformats.org/officeDocument/2006/relationships/hyperlink" Target="https://vt.tiktok.com/ZSxHNb4j7/" TargetMode="External"/><Relationship Id="rId9607" Type="http://schemas.openxmlformats.org/officeDocument/2006/relationships/hyperlink" Target="https://vt.tiktok.com/ZSxHN7MtC/" TargetMode="External"/><Relationship Id="rId9608" Type="http://schemas.openxmlformats.org/officeDocument/2006/relationships/hyperlink" Target="https://www.tiktok.com/@egga.aqshalia" TargetMode="External"/><Relationship Id="rId9609" Type="http://schemas.openxmlformats.org/officeDocument/2006/relationships/hyperlink" Target="https://vt.tiktok.com/ZSxH2hSUy/" TargetMode="External"/><Relationship Id="rId9602" Type="http://schemas.openxmlformats.org/officeDocument/2006/relationships/hyperlink" Target="https://vt.tiktok.com/ZSxHNVn85/" TargetMode="External"/><Relationship Id="rId9603" Type="http://schemas.openxmlformats.org/officeDocument/2006/relationships/hyperlink" Target="https://www.tiktok.com/@Eniokta1" TargetMode="External"/><Relationship Id="rId9604" Type="http://schemas.openxmlformats.org/officeDocument/2006/relationships/hyperlink" Target="https://vt.tiktok.com/ZSxHN7MtC/" TargetMode="External"/><Relationship Id="rId9605" Type="http://schemas.openxmlformats.org/officeDocument/2006/relationships/hyperlink" Target="https://vt.tiktok.com/ZSxHNb4j7/" TargetMode="External"/><Relationship Id="rId9600" Type="http://schemas.openxmlformats.org/officeDocument/2006/relationships/hyperlink" Target="https://www.tiktok.com/@bymamadiran_" TargetMode="External"/><Relationship Id="rId9601" Type="http://schemas.openxmlformats.org/officeDocument/2006/relationships/hyperlink" Target="https://vt.tiktok.com/ZSxHNVn85/" TargetMode="External"/><Relationship Id="rId8309" Type="http://schemas.openxmlformats.org/officeDocument/2006/relationships/hyperlink" Target="https://vt.tiktok.com/ZS9DPmU5N/" TargetMode="External"/><Relationship Id="rId8308" Type="http://schemas.openxmlformats.org/officeDocument/2006/relationships/hyperlink" Target="https://vt.tiktok.com/ZS9DP67g8/" TargetMode="External"/><Relationship Id="rId9639" Type="http://schemas.openxmlformats.org/officeDocument/2006/relationships/hyperlink" Target="https://vt.tiktok.com/ZSxQF8683/" TargetMode="External"/><Relationship Id="rId9630" Type="http://schemas.openxmlformats.org/officeDocument/2006/relationships/hyperlink" Target="https://vt.tiktok.com/ZSxHYn4MS/" TargetMode="External"/><Relationship Id="rId8303" Type="http://schemas.openxmlformats.org/officeDocument/2006/relationships/hyperlink" Target="https://vt.tiktok.com/ZS9DPPrEn/" TargetMode="External"/><Relationship Id="rId9635" Type="http://schemas.openxmlformats.org/officeDocument/2006/relationships/hyperlink" Target="https://vt.tiktok.com/ZSxHmB8HP/" TargetMode="External"/><Relationship Id="rId8302" Type="http://schemas.openxmlformats.org/officeDocument/2006/relationships/hyperlink" Target="https://vt.tiktok.com/ZS9DP9gUq/" TargetMode="External"/><Relationship Id="rId9636" Type="http://schemas.openxmlformats.org/officeDocument/2006/relationships/hyperlink" Target="https://vt.tiktok.com/ZSxHmB8HP/" TargetMode="External"/><Relationship Id="rId8301" Type="http://schemas.openxmlformats.org/officeDocument/2006/relationships/hyperlink" Target="https://vt.tiktok.com/ZS9DP2wff/" TargetMode="External"/><Relationship Id="rId9637" Type="http://schemas.openxmlformats.org/officeDocument/2006/relationships/hyperlink" Target="https://vt.tiktok.com/ZSxHm2opj/" TargetMode="External"/><Relationship Id="rId8300" Type="http://schemas.openxmlformats.org/officeDocument/2006/relationships/hyperlink" Target="https://www.tiktok.com/@marimas7025" TargetMode="External"/><Relationship Id="rId9638" Type="http://schemas.openxmlformats.org/officeDocument/2006/relationships/hyperlink" Target="https://www.tiktok.com/@skinlove11" TargetMode="External"/><Relationship Id="rId8307" Type="http://schemas.openxmlformats.org/officeDocument/2006/relationships/hyperlink" Target="https://vt.tiktok.com/ZS9DPDvFU/" TargetMode="External"/><Relationship Id="rId9631" Type="http://schemas.openxmlformats.org/officeDocument/2006/relationships/hyperlink" Target="https://vt.tiktok.com/ZSxHYn4MS/" TargetMode="External"/><Relationship Id="rId8306" Type="http://schemas.openxmlformats.org/officeDocument/2006/relationships/hyperlink" Target="https://vt.tiktok.com/ZS9DPUo5R/" TargetMode="External"/><Relationship Id="rId9632" Type="http://schemas.openxmlformats.org/officeDocument/2006/relationships/hyperlink" Target="https://vt.tiktok.com/ZSxHYoBH2/" TargetMode="External"/><Relationship Id="rId8305" Type="http://schemas.openxmlformats.org/officeDocument/2006/relationships/hyperlink" Target="https://www.tiktok.com/@yourlovelyy99" TargetMode="External"/><Relationship Id="rId9633" Type="http://schemas.openxmlformats.org/officeDocument/2006/relationships/hyperlink" Target="https://www.tiktok.com/@racunnmuraah" TargetMode="External"/><Relationship Id="rId8304" Type="http://schemas.openxmlformats.org/officeDocument/2006/relationships/hyperlink" Target="https://vt.tiktok.com/ZS959tdWy/" TargetMode="External"/><Relationship Id="rId9634" Type="http://schemas.openxmlformats.org/officeDocument/2006/relationships/hyperlink" Target="https://vt.tiktok.com/ZSxHm2opj/" TargetMode="External"/><Relationship Id="rId9628" Type="http://schemas.openxmlformats.org/officeDocument/2006/relationships/hyperlink" Target="https://www.tiktok.com/@almahyra_mei" TargetMode="External"/><Relationship Id="rId9629" Type="http://schemas.openxmlformats.org/officeDocument/2006/relationships/hyperlink" Target="https://vt.tiktok.com/ZSxHYoBH2/" TargetMode="External"/><Relationship Id="rId9624" Type="http://schemas.openxmlformats.org/officeDocument/2006/relationships/hyperlink" Target="https://vt.tiktok.com/ZSxH21gCq/" TargetMode="External"/><Relationship Id="rId9625" Type="http://schemas.openxmlformats.org/officeDocument/2006/relationships/hyperlink" Target="https://vt.tiktok.com/ZSxHYWfhY/" TargetMode="External"/><Relationship Id="rId9626" Type="http://schemas.openxmlformats.org/officeDocument/2006/relationships/hyperlink" Target="https://vt.tiktok.com/ZSxHYWfhY/" TargetMode="External"/><Relationship Id="rId9627" Type="http://schemas.openxmlformats.org/officeDocument/2006/relationships/hyperlink" Target="https://vt.tiktok.com/ZSxH21gCq/" TargetMode="External"/><Relationship Id="rId9620" Type="http://schemas.openxmlformats.org/officeDocument/2006/relationships/hyperlink" Target="https://vt.tiktok.com/ZSxH2hHVa/" TargetMode="External"/><Relationship Id="rId9621" Type="http://schemas.openxmlformats.org/officeDocument/2006/relationships/hyperlink" Target="https://vt.tiktok.com/ZSxH2hHVa/" TargetMode="External"/><Relationship Id="rId9622" Type="http://schemas.openxmlformats.org/officeDocument/2006/relationships/hyperlink" Target="https://vt.tiktok.com/ZSxHY7sHo/" TargetMode="External"/><Relationship Id="rId9623" Type="http://schemas.openxmlformats.org/officeDocument/2006/relationships/hyperlink" Target="https://www.tiktok.com/@anitanursyifa" TargetMode="External"/><Relationship Id="rId2180" Type="http://schemas.openxmlformats.org/officeDocument/2006/relationships/hyperlink" Target="https://vt.tiktok.com/ZS9LNTYDL/" TargetMode="External"/><Relationship Id="rId2181" Type="http://schemas.openxmlformats.org/officeDocument/2006/relationships/hyperlink" Target="https://vt.tiktok.com/ZSxSxvvQT/" TargetMode="External"/><Relationship Id="rId2182" Type="http://schemas.openxmlformats.org/officeDocument/2006/relationships/hyperlink" Target="https://www.tiktok.com/@widyawiw" TargetMode="External"/><Relationship Id="rId2183" Type="http://schemas.openxmlformats.org/officeDocument/2006/relationships/hyperlink" Target="https://www.tiktok.com/@widyawiw/video/7607069552341519637?is_from_webapp=1&amp;sender_device=pc&amp;web_id=7611930277489657360" TargetMode="External"/><Relationship Id="rId2184" Type="http://schemas.openxmlformats.org/officeDocument/2006/relationships/hyperlink" Target="https://www.tiktok.com/@widyawiw/video/7607785711047019796?is_from_webapp=1&amp;sender_device=pc&amp;web_id=7611930277489657360" TargetMode="External"/><Relationship Id="rId2185" Type="http://schemas.openxmlformats.org/officeDocument/2006/relationships/hyperlink" Target="https://www.tiktok.com/@widyawiw/video/7608566971583483156?is_from_webapp=1&amp;sender_device=pc&amp;web_id=7611930277489657360" TargetMode="External"/><Relationship Id="rId2186" Type="http://schemas.openxmlformats.org/officeDocument/2006/relationships/hyperlink" Target="https://www.tiktok.com/@widyawiw/video/7619080587474783509?is_from_webapp=1&amp;sender_device=pc&amp;web_id=7611930277489657360" TargetMode="External"/><Relationship Id="rId2187" Type="http://schemas.openxmlformats.org/officeDocument/2006/relationships/hyperlink" Target="https://www.tiktok.com/@sibad_94" TargetMode="External"/><Relationship Id="rId2188" Type="http://schemas.openxmlformats.org/officeDocument/2006/relationships/hyperlink" Target="https://www.tiktok.com/@sibad_94/video/7622487073110461717?_r=1&amp;u_code=e10ekgc3ka981i&amp;region=&amp;mid=7622487171547253522&amp;preview_pb=0&amp;sharer_language=&amp;_d=0&amp;ec_shared_reflux_dynamic_params=%7B%22placeholder_material_id%22%3A%227622487073110461717%22%2C%22placeholder_origin_cover%22%3A%22https%253A%252F%252Fp16-sign-sg.tiktokcdn.com%252Ftos-alisg-p-0037%252FooQBiAw4EC8rhPFIICR7ifC1qg560IAMkAuIw6~tplv-tiktokx-origin.jpeg%253Fdr%253D14572%2526refresh_token%253D3f88b810%2526x-expires%253D1807070400%2526x-signature%253Da8q6g0XjQJC0vMY%25252FHi9ZdqfZV%25252Bw%25253D%2526t%253D4d5b0474%2526ps%253D13740610%2526shp%253Dd05b14bd%2526shcp%253D34ff8df6%2526idc%253Dmy2%2526s%253DTIKTOK_AFFILIATE_VIRAL_VIDEO%22%2C%22placeholder_product_id%22%3A%221729427766722726591%22%2C%22placeholder_video_id%22%3A%227622487073110461717%22%7D&amp;ec_shared_reflux_scene=shop_tab_feed&amp;share_item_id=7622487073110461717&amp;source=h5_t" TargetMode="External"/><Relationship Id="rId2189" Type="http://schemas.openxmlformats.org/officeDocument/2006/relationships/hyperlink" Target="https://vt.tiktok.com/ZS9tbAVny/" TargetMode="External"/><Relationship Id="rId2170" Type="http://schemas.openxmlformats.org/officeDocument/2006/relationships/hyperlink" Target="https://www.tiktok.com/@rama_agustian24" TargetMode="External"/><Relationship Id="rId2171" Type="http://schemas.openxmlformats.org/officeDocument/2006/relationships/hyperlink" Target="https://www.tiktok.com/@andinee__/video/7596504744080821512" TargetMode="External"/><Relationship Id="rId2172" Type="http://schemas.openxmlformats.org/officeDocument/2006/relationships/hyperlink" Target="https://www.tiktok.com/@andinee__/video/7596594455168290055" TargetMode="External"/><Relationship Id="rId2173" Type="http://schemas.openxmlformats.org/officeDocument/2006/relationships/hyperlink" Target="https://vt.tiktok.com/ZS9LYAHmq/" TargetMode="External"/><Relationship Id="rId2174" Type="http://schemas.openxmlformats.org/officeDocument/2006/relationships/hyperlink" Target="https://www.tiktok.com/@andrehdyt25" TargetMode="External"/><Relationship Id="rId2175" Type="http://schemas.openxmlformats.org/officeDocument/2006/relationships/hyperlink" Target="https://vt.tiktok.com/ZS9LF2kpx/" TargetMode="External"/><Relationship Id="rId2176" Type="http://schemas.openxmlformats.org/officeDocument/2006/relationships/hyperlink" Target="https://vt.tiktok.com/ZS9LFYTgA/" TargetMode="External"/><Relationship Id="rId2177" Type="http://schemas.openxmlformats.org/officeDocument/2006/relationships/hyperlink" Target="https://vt.tiktok.com/ZS9LFJJDD/" TargetMode="External"/><Relationship Id="rId2178" Type="http://schemas.openxmlformats.org/officeDocument/2006/relationships/hyperlink" Target="https://vt.tiktok.com/ZS9LNo6DN/" TargetMode="External"/><Relationship Id="rId2179" Type="http://schemas.openxmlformats.org/officeDocument/2006/relationships/hyperlink" Target="https://www.tiktok.com/@helenaarifani98" TargetMode="External"/><Relationship Id="rId2190" Type="http://schemas.openxmlformats.org/officeDocument/2006/relationships/hyperlink" Target="https://vt.tiktok.com/ZS9tCHFBo/" TargetMode="External"/><Relationship Id="rId2191" Type="http://schemas.openxmlformats.org/officeDocument/2006/relationships/hyperlink" Target="https://vt.tiktok.com/ZS9tC1enH/" TargetMode="External"/><Relationship Id="rId2192" Type="http://schemas.openxmlformats.org/officeDocument/2006/relationships/hyperlink" Target="https://www.tiktok.com/@rici_af" TargetMode="External"/><Relationship Id="rId2193" Type="http://schemas.openxmlformats.org/officeDocument/2006/relationships/hyperlink" Target="https://www.tiktok.com/@rici_af/video/7628465131298622728?is_from_webapp=1&amp;sender_device=pc" TargetMode="External"/><Relationship Id="rId2194" Type="http://schemas.openxmlformats.org/officeDocument/2006/relationships/hyperlink" Target="https://vt.tiktok.com/ZS9tCdqvp/" TargetMode="External"/><Relationship Id="rId2195" Type="http://schemas.openxmlformats.org/officeDocument/2006/relationships/hyperlink" Target="https://vt.tiktok.com/ZS9tChMAV/" TargetMode="External"/><Relationship Id="rId2196" Type="http://schemas.openxmlformats.org/officeDocument/2006/relationships/hyperlink" Target="https://vt.tiktok.com/ZS9tCAtL8/" TargetMode="External"/><Relationship Id="rId2197" Type="http://schemas.openxmlformats.org/officeDocument/2006/relationships/hyperlink" Target="https://www.tiktok.com/@annisalutfiafifah" TargetMode="External"/><Relationship Id="rId2198" Type="http://schemas.openxmlformats.org/officeDocument/2006/relationships/hyperlink" Target="https://www.tiktok.com/@carisacimbrut/video/7615649747205983509?is_from_webapp=1&amp;sender_device=pc&amp;web_id=7611930277489657360" TargetMode="External"/><Relationship Id="rId2199" Type="http://schemas.openxmlformats.org/officeDocument/2006/relationships/hyperlink" Target="https://www.tiktok.com/@carisacimbrut/video/7616082739393006869?is_from_webapp=1&amp;sender_device=pc&amp;web_id=7611930277489657360" TargetMode="External"/><Relationship Id="rId7030" Type="http://schemas.openxmlformats.org/officeDocument/2006/relationships/hyperlink" Target="https://vt.tiktok.com/ZS9fARK72/" TargetMode="External"/><Relationship Id="rId8361" Type="http://schemas.openxmlformats.org/officeDocument/2006/relationships/hyperlink" Target="https://vt.tiktok.com/ZS9DP2wff/" TargetMode="External"/><Relationship Id="rId9693" Type="http://schemas.openxmlformats.org/officeDocument/2006/relationships/hyperlink" Target="https://www.tiktok.com/@shinaaa0_" TargetMode="External"/><Relationship Id="rId8360" Type="http://schemas.openxmlformats.org/officeDocument/2006/relationships/hyperlink" Target="https://www.tiktok.com/@lovingcs1" TargetMode="External"/><Relationship Id="rId9694" Type="http://schemas.openxmlformats.org/officeDocument/2006/relationships/hyperlink" Target="https://www.tiktok.com/@harumrice/video/7619310503105416468?_r=1&amp;_t=ZS-969xoIa07zV" TargetMode="External"/><Relationship Id="rId9695" Type="http://schemas.openxmlformats.org/officeDocument/2006/relationships/hyperlink" Target="https://www.tiktok.com/@harumrice/video/7615128453184081173?_r=1&amp;_t=ZS-969xoIa07zV" TargetMode="External"/><Relationship Id="rId9696" Type="http://schemas.openxmlformats.org/officeDocument/2006/relationships/hyperlink" Target="https://www.tiktok.com/@harumrice/video/7615008778697723157?_r=1&amp;_t=ZS-969xoIa07zV" TargetMode="External"/><Relationship Id="rId7034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8365" Type="http://schemas.openxmlformats.org/officeDocument/2006/relationships/hyperlink" Target="https://www.tiktok.com/@thebestsil" TargetMode="External"/><Relationship Id="rId7033" Type="http://schemas.openxmlformats.org/officeDocument/2006/relationships/hyperlink" Target="https://www.tiktok.com/@sary8185" TargetMode="External"/><Relationship Id="rId8364" Type="http://schemas.openxmlformats.org/officeDocument/2006/relationships/hyperlink" Target="https://vt.tiktok.com/ZS959tdWy/" TargetMode="External"/><Relationship Id="rId9690" Type="http://schemas.openxmlformats.org/officeDocument/2006/relationships/hyperlink" Target="https://www.tiktok.com/@harumrice/video/7615128453184081173?_r=1&amp;_t=ZS-969xoIa07zV" TargetMode="External"/><Relationship Id="rId7032" Type="http://schemas.openxmlformats.org/officeDocument/2006/relationships/hyperlink" Target="https://vt.tiktok.com/ZS9fSTq7R/" TargetMode="External"/><Relationship Id="rId8363" Type="http://schemas.openxmlformats.org/officeDocument/2006/relationships/hyperlink" Target="https://vt.tiktok.com/ZS9DPPrEn/" TargetMode="External"/><Relationship Id="rId9691" Type="http://schemas.openxmlformats.org/officeDocument/2006/relationships/hyperlink" Target="https://www.tiktok.com/@harumrice/video/7615008778697723157?_r=1&amp;_t=ZS-969xoIa07zV" TargetMode="External"/><Relationship Id="rId7031" Type="http://schemas.openxmlformats.org/officeDocument/2006/relationships/hyperlink" Target="https://vt.tiktok.com/ZS9fAeqYT/" TargetMode="External"/><Relationship Id="rId8362" Type="http://schemas.openxmlformats.org/officeDocument/2006/relationships/hyperlink" Target="https://vt.tiktok.com/ZS9DP9gUq/" TargetMode="External"/><Relationship Id="rId9692" Type="http://schemas.openxmlformats.org/officeDocument/2006/relationships/hyperlink" Target="https://www.tiktok.com/@harumrice/video/7614652016677211412?_r=1&amp;_t=ZS-969xoIa07zV" TargetMode="External"/><Relationship Id="rId7038" Type="http://schemas.openxmlformats.org/officeDocument/2006/relationships/hyperlink" Target="https://www.tiktok.com/@rinduaisyah01" TargetMode="External"/><Relationship Id="rId8369" Type="http://schemas.openxmlformats.org/officeDocument/2006/relationships/hyperlink" Target="https://vt.tiktok.com/ZS9DPmU5N/" TargetMode="External"/><Relationship Id="rId7037" Type="http://schemas.openxmlformats.org/officeDocument/2006/relationships/hyperlink" Target="https://vt.tiktok.com/ZS9fSTq7R/" TargetMode="External"/><Relationship Id="rId8368" Type="http://schemas.openxmlformats.org/officeDocument/2006/relationships/hyperlink" Target="https://vt.tiktok.com/ZS9DP67g8/" TargetMode="External"/><Relationship Id="rId7036" Type="http://schemas.openxmlformats.org/officeDocument/2006/relationships/hyperlink" Target="https://vt.tiktok.com/ZS9fAeqYT/" TargetMode="External"/><Relationship Id="rId8367" Type="http://schemas.openxmlformats.org/officeDocument/2006/relationships/hyperlink" Target="https://vt.tiktok.com/ZS9DPDvFU/" TargetMode="External"/><Relationship Id="rId7035" Type="http://schemas.openxmlformats.org/officeDocument/2006/relationships/hyperlink" Target="https://vt.tiktok.com/ZS9fARK72/" TargetMode="External"/><Relationship Id="rId8366" Type="http://schemas.openxmlformats.org/officeDocument/2006/relationships/hyperlink" Target="https://vt.tiktok.com/ZS9DPUo5R/" TargetMode="External"/><Relationship Id="rId9697" Type="http://schemas.openxmlformats.org/officeDocument/2006/relationships/hyperlink" Target="https://www.tiktok.com/@harumrice/video/7614652016677211412?_r=1&amp;_t=ZS-969xoIa07zV" TargetMode="External"/><Relationship Id="rId9698" Type="http://schemas.openxmlformats.org/officeDocument/2006/relationships/hyperlink" Target="https://www.tiktok.com/@fashionalava" TargetMode="External"/><Relationship Id="rId9699" Type="http://schemas.openxmlformats.org/officeDocument/2006/relationships/hyperlink" Target="https://www.tiktok.com/@harumrice/video/7619310503105416468?_r=1&amp;_t=ZS-969xoIa07zV" TargetMode="External"/><Relationship Id="rId7039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8350" Type="http://schemas.openxmlformats.org/officeDocument/2006/relationships/hyperlink" Target="https://www.tiktok.com/@thaliaaprilia12" TargetMode="External"/><Relationship Id="rId9682" Type="http://schemas.openxmlformats.org/officeDocument/2006/relationships/hyperlink" Target="https://www.tiktok.com/@harumrice/video/7614652016677211412?_r=1&amp;_t=ZS-969xoIa07zV" TargetMode="External"/><Relationship Id="rId9683" Type="http://schemas.openxmlformats.org/officeDocument/2006/relationships/hyperlink" Target="https://www.tiktok.com/@annasulaiman45" TargetMode="External"/><Relationship Id="rId9684" Type="http://schemas.openxmlformats.org/officeDocument/2006/relationships/hyperlink" Target="https://www.tiktok.com/@harumrice/video/7619310503105416468?_r=1&amp;_t=ZS-969xoIa07zV" TargetMode="External"/><Relationship Id="rId9685" Type="http://schemas.openxmlformats.org/officeDocument/2006/relationships/hyperlink" Target="https://www.tiktok.com/@harumrice/video/7615128453184081173?_r=1&amp;_t=ZS-969xoIa07zV" TargetMode="External"/><Relationship Id="rId7023" Type="http://schemas.openxmlformats.org/officeDocument/2006/relationships/hyperlink" Target="https://www.tiktok.com/@anitanjung11" TargetMode="External"/><Relationship Id="rId8354" Type="http://schemas.openxmlformats.org/officeDocument/2006/relationships/hyperlink" Target="https://vt.tiktok.com/ZS959tdWy/" TargetMode="External"/><Relationship Id="rId7022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8353" Type="http://schemas.openxmlformats.org/officeDocument/2006/relationships/hyperlink" Target="https://vt.tiktok.com/ZS9DPPrEn/" TargetMode="External"/><Relationship Id="rId7021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8352" Type="http://schemas.openxmlformats.org/officeDocument/2006/relationships/hyperlink" Target="https://vt.tiktok.com/ZS9DP9gUq/" TargetMode="External"/><Relationship Id="rId9680" Type="http://schemas.openxmlformats.org/officeDocument/2006/relationships/hyperlink" Target="https://www.tiktok.com/@harumrice/video/7615128453184081173?_r=1&amp;_t=ZS-969xoIa07zV" TargetMode="External"/><Relationship Id="rId7020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8351" Type="http://schemas.openxmlformats.org/officeDocument/2006/relationships/hyperlink" Target="https://vt.tiktok.com/ZS9DP2wff/" TargetMode="External"/><Relationship Id="rId9681" Type="http://schemas.openxmlformats.org/officeDocument/2006/relationships/hyperlink" Target="https://www.tiktok.com/@harumrice/video/7615008778697723157?_r=1&amp;_t=ZS-969xoIa07zV" TargetMode="External"/><Relationship Id="rId7027" Type="http://schemas.openxmlformats.org/officeDocument/2006/relationships/hyperlink" Target="https://vt.tiktok.com/ZSxWfbMSR/" TargetMode="External"/><Relationship Id="rId8358" Type="http://schemas.openxmlformats.org/officeDocument/2006/relationships/hyperlink" Target="https://vt.tiktok.com/ZS9DP67g8/" TargetMode="External"/><Relationship Id="rId7026" Type="http://schemas.openxmlformats.org/officeDocument/2006/relationships/hyperlink" Target="https://vt.tiktok.com/ZSxWfw8XJ/" TargetMode="External"/><Relationship Id="rId8357" Type="http://schemas.openxmlformats.org/officeDocument/2006/relationships/hyperlink" Target="https://vt.tiktok.com/ZS9DPDvFU/" TargetMode="External"/><Relationship Id="rId7025" Type="http://schemas.openxmlformats.org/officeDocument/2006/relationships/hyperlink" Target="https://vt.tiktok.com/ZSxWfWm1x/" TargetMode="External"/><Relationship Id="rId8356" Type="http://schemas.openxmlformats.org/officeDocument/2006/relationships/hyperlink" Target="https://vt.tiktok.com/ZS9DPUo5R/" TargetMode="External"/><Relationship Id="rId7024" Type="http://schemas.openxmlformats.org/officeDocument/2006/relationships/hyperlink" Target="https://vt.tiktok.com/ZSxqL6ms3/" TargetMode="External"/><Relationship Id="rId8355" Type="http://schemas.openxmlformats.org/officeDocument/2006/relationships/hyperlink" Target="https://www.tiktok.com/@bywakreh" TargetMode="External"/><Relationship Id="rId9686" Type="http://schemas.openxmlformats.org/officeDocument/2006/relationships/hyperlink" Target="https://www.tiktok.com/@harumrice/video/7615008778697723157?_r=1&amp;_t=ZS-969xoIa07zV" TargetMode="External"/><Relationship Id="rId9687" Type="http://schemas.openxmlformats.org/officeDocument/2006/relationships/hyperlink" Target="https://www.tiktok.com/@harumrice/video/7614652016677211412?_r=1&amp;_t=ZS-969xoIa07zV" TargetMode="External"/><Relationship Id="rId7029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9688" Type="http://schemas.openxmlformats.org/officeDocument/2006/relationships/hyperlink" Target="https://www.tiktok.com/@burhan_saputro" TargetMode="External"/><Relationship Id="rId7028" Type="http://schemas.openxmlformats.org/officeDocument/2006/relationships/hyperlink" Target="https://www.tiktok.com/@itamaemanah" TargetMode="External"/><Relationship Id="rId8359" Type="http://schemas.openxmlformats.org/officeDocument/2006/relationships/hyperlink" Target="https://vt.tiktok.com/ZS9DPmU5N/" TargetMode="External"/><Relationship Id="rId9689" Type="http://schemas.openxmlformats.org/officeDocument/2006/relationships/hyperlink" Target="https://www.tiktok.com/@harumrice/video/7619310503105416468?_r=1&amp;_t=ZS-969xoIa07zV" TargetMode="External"/><Relationship Id="rId8390" Type="http://schemas.openxmlformats.org/officeDocument/2006/relationships/hyperlink" Target="https://www.tiktok.com/@annnauna23" TargetMode="External"/><Relationship Id="rId7052" Type="http://schemas.openxmlformats.org/officeDocument/2006/relationships/hyperlink" Target="https://vt.tiktok.com/ZS9fSTq7R/" TargetMode="External"/><Relationship Id="rId8383" Type="http://schemas.openxmlformats.org/officeDocument/2006/relationships/hyperlink" Target="https://vt.tiktok.com/ZS9DPPrEn/" TargetMode="External"/><Relationship Id="rId7051" Type="http://schemas.openxmlformats.org/officeDocument/2006/relationships/hyperlink" Target="https://vt.tiktok.com/ZS9fAeqYT/" TargetMode="External"/><Relationship Id="rId8382" Type="http://schemas.openxmlformats.org/officeDocument/2006/relationships/hyperlink" Target="https://vt.tiktok.com/ZS9DP9gUq/" TargetMode="External"/><Relationship Id="rId7050" Type="http://schemas.openxmlformats.org/officeDocument/2006/relationships/hyperlink" Target="https://vt.tiktok.com/ZS9fARK72/" TargetMode="External"/><Relationship Id="rId8381" Type="http://schemas.openxmlformats.org/officeDocument/2006/relationships/hyperlink" Target="https://vt.tiktok.com/ZS9DP2wff/" TargetMode="External"/><Relationship Id="rId8380" Type="http://schemas.openxmlformats.org/officeDocument/2006/relationships/hyperlink" Target="https://www.tiktok.com/@zhafranstore25" TargetMode="External"/><Relationship Id="rId7056" Type="http://schemas.openxmlformats.org/officeDocument/2006/relationships/hyperlink" Target="https://vt.tiktok.com/ZS9fAeqYT/" TargetMode="External"/><Relationship Id="rId8387" Type="http://schemas.openxmlformats.org/officeDocument/2006/relationships/hyperlink" Target="https://vt.tiktok.com/ZS9DPDvFU/" TargetMode="External"/><Relationship Id="rId7055" Type="http://schemas.openxmlformats.org/officeDocument/2006/relationships/hyperlink" Target="https://vt.tiktok.com/ZS9fARK72/" TargetMode="External"/><Relationship Id="rId8386" Type="http://schemas.openxmlformats.org/officeDocument/2006/relationships/hyperlink" Target="https://vt.tiktok.com/ZS9DPUo5R/" TargetMode="External"/><Relationship Id="rId7054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8385" Type="http://schemas.openxmlformats.org/officeDocument/2006/relationships/hyperlink" Target="https://www.tiktok.com/@izzaaiindahh_" TargetMode="External"/><Relationship Id="rId7053" Type="http://schemas.openxmlformats.org/officeDocument/2006/relationships/hyperlink" Target="https://www.tiktok.com/@rekaaprilianti98" TargetMode="External"/><Relationship Id="rId8384" Type="http://schemas.openxmlformats.org/officeDocument/2006/relationships/hyperlink" Target="https://vt.tiktok.com/ZS959tdWy/" TargetMode="External"/><Relationship Id="rId7059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7058" Type="http://schemas.openxmlformats.org/officeDocument/2006/relationships/hyperlink" Target="https://www.tiktok.com/@rinamardiana.rt4" TargetMode="External"/><Relationship Id="rId8389" Type="http://schemas.openxmlformats.org/officeDocument/2006/relationships/hyperlink" Target="https://vt.tiktok.com/ZS9DPmU5N/" TargetMode="External"/><Relationship Id="rId7057" Type="http://schemas.openxmlformats.org/officeDocument/2006/relationships/hyperlink" Target="https://vt.tiktok.com/ZS9fSTq7R/" TargetMode="External"/><Relationship Id="rId8388" Type="http://schemas.openxmlformats.org/officeDocument/2006/relationships/hyperlink" Target="https://vt.tiktok.com/ZS9DP67g8/" TargetMode="External"/><Relationship Id="rId7041" Type="http://schemas.openxmlformats.org/officeDocument/2006/relationships/hyperlink" Target="https://vt.tiktok.com/ZS9fAeqYT/" TargetMode="External"/><Relationship Id="rId8372" Type="http://schemas.openxmlformats.org/officeDocument/2006/relationships/hyperlink" Target="https://vt.tiktok.com/ZS9DP9gUq/" TargetMode="External"/><Relationship Id="rId7040" Type="http://schemas.openxmlformats.org/officeDocument/2006/relationships/hyperlink" Target="https://vt.tiktok.com/ZS9fARK72/" TargetMode="External"/><Relationship Id="rId8371" Type="http://schemas.openxmlformats.org/officeDocument/2006/relationships/hyperlink" Target="https://vt.tiktok.com/ZS9DP2wff/" TargetMode="External"/><Relationship Id="rId8370" Type="http://schemas.openxmlformats.org/officeDocument/2006/relationships/hyperlink" Target="https://www.tiktok.com/@yaelahsiska" TargetMode="External"/><Relationship Id="rId7045" Type="http://schemas.openxmlformats.org/officeDocument/2006/relationships/hyperlink" Target="https://vt.tiktok.com/ZS9fARK72/" TargetMode="External"/><Relationship Id="rId8376" Type="http://schemas.openxmlformats.org/officeDocument/2006/relationships/hyperlink" Target="https://vt.tiktok.com/ZS9DPUo5R/" TargetMode="External"/><Relationship Id="rId7044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8375" Type="http://schemas.openxmlformats.org/officeDocument/2006/relationships/hyperlink" Target="https://www.tiktok.com/@a_lkan9" TargetMode="External"/><Relationship Id="rId7043" Type="http://schemas.openxmlformats.org/officeDocument/2006/relationships/hyperlink" Target="https://www.tiktok.com/@kristianaditia_" TargetMode="External"/><Relationship Id="rId8374" Type="http://schemas.openxmlformats.org/officeDocument/2006/relationships/hyperlink" Target="https://vt.tiktok.com/ZS959tdWy/" TargetMode="External"/><Relationship Id="rId7042" Type="http://schemas.openxmlformats.org/officeDocument/2006/relationships/hyperlink" Target="https://vt.tiktok.com/ZS9fSTq7R/" TargetMode="External"/><Relationship Id="rId8373" Type="http://schemas.openxmlformats.org/officeDocument/2006/relationships/hyperlink" Target="https://vt.tiktok.com/ZS9DPPrEn/" TargetMode="External"/><Relationship Id="rId7049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7048" Type="http://schemas.openxmlformats.org/officeDocument/2006/relationships/hyperlink" Target="https://www.tiktok.com/@maymunaa96" TargetMode="External"/><Relationship Id="rId8379" Type="http://schemas.openxmlformats.org/officeDocument/2006/relationships/hyperlink" Target="https://vt.tiktok.com/ZS9DPmU5N/" TargetMode="External"/><Relationship Id="rId7047" Type="http://schemas.openxmlformats.org/officeDocument/2006/relationships/hyperlink" Target="https://vt.tiktok.com/ZS9fSTq7R/" TargetMode="External"/><Relationship Id="rId8378" Type="http://schemas.openxmlformats.org/officeDocument/2006/relationships/hyperlink" Target="https://vt.tiktok.com/ZS9DP67g8/" TargetMode="External"/><Relationship Id="rId7046" Type="http://schemas.openxmlformats.org/officeDocument/2006/relationships/hyperlink" Target="https://vt.tiktok.com/ZS9fAeqYT/" TargetMode="External"/><Relationship Id="rId8377" Type="http://schemas.openxmlformats.org/officeDocument/2006/relationships/hyperlink" Target="https://vt.tiktok.com/ZS9DPDvFU/" TargetMode="External"/><Relationship Id="rId9650" Type="http://schemas.openxmlformats.org/officeDocument/2006/relationships/hyperlink" Target="https://vt.tiktok.com/ZSxfQb6qP/" TargetMode="External"/><Relationship Id="rId9651" Type="http://schemas.openxmlformats.org/officeDocument/2006/relationships/hyperlink" Target="https://vt.tiktok.com/ZSxfQb6qP/" TargetMode="External"/><Relationship Id="rId9652" Type="http://schemas.openxmlformats.org/officeDocument/2006/relationships/hyperlink" Target="https://vt.tiktok.com/ZSxBLRDp4/" TargetMode="External"/><Relationship Id="rId8321" Type="http://schemas.openxmlformats.org/officeDocument/2006/relationships/hyperlink" Target="https://vt.tiktok.com/ZS9DP2wff/" TargetMode="External"/><Relationship Id="rId8320" Type="http://schemas.openxmlformats.org/officeDocument/2006/relationships/hyperlink" Target="https://www.tiktok.com/@elis_dmytt" TargetMode="External"/><Relationship Id="rId8325" Type="http://schemas.openxmlformats.org/officeDocument/2006/relationships/hyperlink" Target="https://www.tiktok.com/@n.o.v.i.l.i.a" TargetMode="External"/><Relationship Id="rId9657" Type="http://schemas.openxmlformats.org/officeDocument/2006/relationships/hyperlink" Target="https://vt.tiktok.com/ZSxBLFYsc/" TargetMode="External"/><Relationship Id="rId8324" Type="http://schemas.openxmlformats.org/officeDocument/2006/relationships/hyperlink" Target="https://vt.tiktok.com/ZS959tdWy/" TargetMode="External"/><Relationship Id="rId9658" Type="http://schemas.openxmlformats.org/officeDocument/2006/relationships/hyperlink" Target="https://www.tiktok.com/@aurorashop.id2" TargetMode="External"/><Relationship Id="rId8323" Type="http://schemas.openxmlformats.org/officeDocument/2006/relationships/hyperlink" Target="https://vt.tiktok.com/ZS9DPPrEn/" TargetMode="External"/><Relationship Id="rId9659" Type="http://schemas.openxmlformats.org/officeDocument/2006/relationships/hyperlink" Target="https://vt.tiktok.com/ZSxQNKWuA/" TargetMode="External"/><Relationship Id="rId8322" Type="http://schemas.openxmlformats.org/officeDocument/2006/relationships/hyperlink" Target="https://vt.tiktok.com/ZS9DP9gUq/" TargetMode="External"/><Relationship Id="rId8329" Type="http://schemas.openxmlformats.org/officeDocument/2006/relationships/hyperlink" Target="https://vt.tiktok.com/ZS9DPmU5N/" TargetMode="External"/><Relationship Id="rId9653" Type="http://schemas.openxmlformats.org/officeDocument/2006/relationships/hyperlink" Target="https://www.tiktok.com/@astriumd" TargetMode="External"/><Relationship Id="rId8328" Type="http://schemas.openxmlformats.org/officeDocument/2006/relationships/hyperlink" Target="https://vt.tiktok.com/ZS9DP67g8/" TargetMode="External"/><Relationship Id="rId9654" Type="http://schemas.openxmlformats.org/officeDocument/2006/relationships/hyperlink" Target="https://vt.tiktok.com/ZSxBLFYsc/" TargetMode="External"/><Relationship Id="rId8327" Type="http://schemas.openxmlformats.org/officeDocument/2006/relationships/hyperlink" Target="https://vt.tiktok.com/ZS9DPDvFU/" TargetMode="External"/><Relationship Id="rId9655" Type="http://schemas.openxmlformats.org/officeDocument/2006/relationships/hyperlink" Target="https://vt.tiktok.com/ZSxxuH65D/" TargetMode="External"/><Relationship Id="rId8326" Type="http://schemas.openxmlformats.org/officeDocument/2006/relationships/hyperlink" Target="https://vt.tiktok.com/ZS9DPUo5R/" TargetMode="External"/><Relationship Id="rId9656" Type="http://schemas.openxmlformats.org/officeDocument/2006/relationships/hyperlink" Target="https://vt.tiktok.com/ZSxxuH65D/" TargetMode="External"/><Relationship Id="rId8319" Type="http://schemas.openxmlformats.org/officeDocument/2006/relationships/hyperlink" Target="https://vt.tiktok.com/ZS9DPmU5N/" TargetMode="External"/><Relationship Id="rId9640" Type="http://schemas.openxmlformats.org/officeDocument/2006/relationships/hyperlink" Target="https://vt.tiktok.com/ZSxQF8683/" TargetMode="External"/><Relationship Id="rId9641" Type="http://schemas.openxmlformats.org/officeDocument/2006/relationships/hyperlink" Target="https://www.tiktok.com/@Anaumy19" TargetMode="External"/><Relationship Id="rId8310" Type="http://schemas.openxmlformats.org/officeDocument/2006/relationships/hyperlink" Target="https://www.tiktok.com/@vhiaamora_5" TargetMode="External"/><Relationship Id="rId8314" Type="http://schemas.openxmlformats.org/officeDocument/2006/relationships/hyperlink" Target="https://vt.tiktok.com/ZS959tdWy/" TargetMode="External"/><Relationship Id="rId9646" Type="http://schemas.openxmlformats.org/officeDocument/2006/relationships/hyperlink" Target="https://vt.tiktok.com/ZSxfQTRPv/" TargetMode="External"/><Relationship Id="rId8313" Type="http://schemas.openxmlformats.org/officeDocument/2006/relationships/hyperlink" Target="https://vt.tiktok.com/ZS9DPPrEn/" TargetMode="External"/><Relationship Id="rId9647" Type="http://schemas.openxmlformats.org/officeDocument/2006/relationships/hyperlink" Target="https://vt.tiktok.com/ZSxfQTRPv/" TargetMode="External"/><Relationship Id="rId8312" Type="http://schemas.openxmlformats.org/officeDocument/2006/relationships/hyperlink" Target="https://vt.tiktok.com/ZS9DP9gUq/" TargetMode="External"/><Relationship Id="rId9648" Type="http://schemas.openxmlformats.org/officeDocument/2006/relationships/hyperlink" Target="https://www.tiktok.com/@meamore42" TargetMode="External"/><Relationship Id="rId8311" Type="http://schemas.openxmlformats.org/officeDocument/2006/relationships/hyperlink" Target="https://vt.tiktok.com/ZS9DP2wff/" TargetMode="External"/><Relationship Id="rId9649" Type="http://schemas.openxmlformats.org/officeDocument/2006/relationships/hyperlink" Target="https://vt.tiktok.com/ZSxBLRDp4/" TargetMode="External"/><Relationship Id="rId8318" Type="http://schemas.openxmlformats.org/officeDocument/2006/relationships/hyperlink" Target="https://vt.tiktok.com/ZS9DP67g8/" TargetMode="External"/><Relationship Id="rId9642" Type="http://schemas.openxmlformats.org/officeDocument/2006/relationships/hyperlink" Target="https://vt.tiktok.com/ZSxfQ7QG8/" TargetMode="External"/><Relationship Id="rId8317" Type="http://schemas.openxmlformats.org/officeDocument/2006/relationships/hyperlink" Target="https://vt.tiktok.com/ZS9DPDvFU/" TargetMode="External"/><Relationship Id="rId9643" Type="http://schemas.openxmlformats.org/officeDocument/2006/relationships/hyperlink" Target="https://vt.tiktok.com/ZSxfQ7QG8/" TargetMode="External"/><Relationship Id="rId8316" Type="http://schemas.openxmlformats.org/officeDocument/2006/relationships/hyperlink" Target="https://vt.tiktok.com/ZS9DPUo5R/" TargetMode="External"/><Relationship Id="rId9644" Type="http://schemas.openxmlformats.org/officeDocument/2006/relationships/hyperlink" Target="https://www.tiktok.com/@Chubb_kuh01" TargetMode="External"/><Relationship Id="rId8315" Type="http://schemas.openxmlformats.org/officeDocument/2006/relationships/hyperlink" Target="https://www.tiktok.com/@nnalaaas" TargetMode="External"/><Relationship Id="rId9645" Type="http://schemas.openxmlformats.org/officeDocument/2006/relationships/hyperlink" Target="https://www.tiktok.com/@_bungaaaaf19_" TargetMode="External"/><Relationship Id="rId9671" Type="http://schemas.openxmlformats.org/officeDocument/2006/relationships/hyperlink" Target="https://vt.tiktok.com/ZSxQhfTPM/" TargetMode="External"/><Relationship Id="rId9672" Type="http://schemas.openxmlformats.org/officeDocument/2006/relationships/hyperlink" Target="https://vt.tiktok.com/ZSxQhkemB/" TargetMode="External"/><Relationship Id="rId9673" Type="http://schemas.openxmlformats.org/officeDocument/2006/relationships/hyperlink" Target="https://www.tiktok.com/@harumrice" TargetMode="External"/><Relationship Id="rId9674" Type="http://schemas.openxmlformats.org/officeDocument/2006/relationships/hyperlink" Target="https://www.tiktok.com/@harumrice/video/7619310503105416468?_r=1&amp;_t=ZS-969xoIa07zV" TargetMode="External"/><Relationship Id="rId7012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8343" Type="http://schemas.openxmlformats.org/officeDocument/2006/relationships/hyperlink" Target="https://vt.tiktok.com/ZS9DPPrEn/" TargetMode="External"/><Relationship Id="rId7011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8342" Type="http://schemas.openxmlformats.org/officeDocument/2006/relationships/hyperlink" Target="https://vt.tiktok.com/ZS9DP9gUq/" TargetMode="External"/><Relationship Id="rId7010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8341" Type="http://schemas.openxmlformats.org/officeDocument/2006/relationships/hyperlink" Target="https://vt.tiktok.com/ZS9DP2wff/" TargetMode="External"/><Relationship Id="rId8340" Type="http://schemas.openxmlformats.org/officeDocument/2006/relationships/hyperlink" Target="https://www.tiktok.com/@isti_qomah617" TargetMode="External"/><Relationship Id="rId9670" Type="http://schemas.openxmlformats.org/officeDocument/2006/relationships/hyperlink" Target="https://vt.tiktok.com/ZSxaFVBkG/" TargetMode="External"/><Relationship Id="rId7016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8347" Type="http://schemas.openxmlformats.org/officeDocument/2006/relationships/hyperlink" Target="https://vt.tiktok.com/ZS9DPDvFU/" TargetMode="External"/><Relationship Id="rId9679" Type="http://schemas.openxmlformats.org/officeDocument/2006/relationships/hyperlink" Target="https://www.tiktok.com/@harumrice/video/7619310503105416468?_r=1&amp;_t=ZS-969xoIa07zV" TargetMode="External"/><Relationship Id="rId7015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8346" Type="http://schemas.openxmlformats.org/officeDocument/2006/relationships/hyperlink" Target="https://vt.tiktok.com/ZS9DPUo5R/" TargetMode="External"/><Relationship Id="rId7014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8345" Type="http://schemas.openxmlformats.org/officeDocument/2006/relationships/hyperlink" Target="https://www.tiktok.com/@shinnn_9604" TargetMode="External"/><Relationship Id="rId7013" Type="http://schemas.openxmlformats.org/officeDocument/2006/relationships/hyperlink" Target="https://www.tiktok.com/@mardianagueen" TargetMode="External"/><Relationship Id="rId8344" Type="http://schemas.openxmlformats.org/officeDocument/2006/relationships/hyperlink" Target="https://vt.tiktok.com/ZS959tdWy/" TargetMode="External"/><Relationship Id="rId9675" Type="http://schemas.openxmlformats.org/officeDocument/2006/relationships/hyperlink" Target="https://www.tiktok.com/@harumrice/video/7615128453184081173?_r=1&amp;_t=ZS-969xoIa07zV" TargetMode="External"/><Relationship Id="rId7019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9676" Type="http://schemas.openxmlformats.org/officeDocument/2006/relationships/hyperlink" Target="https://www.tiktok.com/@harumrice/video/7615008778697723157?_r=1&amp;_t=ZS-969xoIa07zV" TargetMode="External"/><Relationship Id="rId7018" Type="http://schemas.openxmlformats.org/officeDocument/2006/relationships/hyperlink" Target="https://www.tiktok.com/@anisatulm902" TargetMode="External"/><Relationship Id="rId8349" Type="http://schemas.openxmlformats.org/officeDocument/2006/relationships/hyperlink" Target="https://vt.tiktok.com/ZS9DPmU5N/" TargetMode="External"/><Relationship Id="rId9677" Type="http://schemas.openxmlformats.org/officeDocument/2006/relationships/hyperlink" Target="https://www.tiktok.com/@harumrice/video/7614652016677211412?_r=1&amp;_t=ZS-969xoIa07zV" TargetMode="External"/><Relationship Id="rId7017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8348" Type="http://schemas.openxmlformats.org/officeDocument/2006/relationships/hyperlink" Target="https://vt.tiktok.com/ZS9DP67g8/" TargetMode="External"/><Relationship Id="rId9678" Type="http://schemas.openxmlformats.org/officeDocument/2006/relationships/hyperlink" Target="https://www.tiktok.com/@n_w0202" TargetMode="External"/><Relationship Id="rId9660" Type="http://schemas.openxmlformats.org/officeDocument/2006/relationships/hyperlink" Target="https://vt.tiktok.com/ZSxxu5DXD/" TargetMode="External"/><Relationship Id="rId9661" Type="http://schemas.openxmlformats.org/officeDocument/2006/relationships/hyperlink" Target="https://vt.tiktok.com/ZSxxu5DXD/" TargetMode="External"/><Relationship Id="rId9662" Type="http://schemas.openxmlformats.org/officeDocument/2006/relationships/hyperlink" Target="https://vt.tiktok.com/ZSxQNKWuA/" TargetMode="External"/><Relationship Id="rId9663" Type="http://schemas.openxmlformats.org/officeDocument/2006/relationships/hyperlink" Target="https://www.tiktok.com/@viestasin" TargetMode="External"/><Relationship Id="rId7001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8332" Type="http://schemas.openxmlformats.org/officeDocument/2006/relationships/hyperlink" Target="https://vt.tiktok.com/ZS9DP9gUq/" TargetMode="External"/><Relationship Id="rId7000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8331" Type="http://schemas.openxmlformats.org/officeDocument/2006/relationships/hyperlink" Target="https://vt.tiktok.com/ZS9DP2wff/" TargetMode="External"/><Relationship Id="rId8330" Type="http://schemas.openxmlformats.org/officeDocument/2006/relationships/hyperlink" Target="https://www.tiktok.com/@agij_" TargetMode="External"/><Relationship Id="rId7005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8336" Type="http://schemas.openxmlformats.org/officeDocument/2006/relationships/hyperlink" Target="https://vt.tiktok.com/ZS9DPUo5R/" TargetMode="External"/><Relationship Id="rId9668" Type="http://schemas.openxmlformats.org/officeDocument/2006/relationships/hyperlink" Target="https://www.tiktok.com/@wylina_" TargetMode="External"/><Relationship Id="rId7004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8335" Type="http://schemas.openxmlformats.org/officeDocument/2006/relationships/hyperlink" Target="https://www.tiktok.com/@inasitinurjanah30" TargetMode="External"/><Relationship Id="rId9669" Type="http://schemas.openxmlformats.org/officeDocument/2006/relationships/hyperlink" Target="https://vt.tiktok.com/ZSxaFNhYt/" TargetMode="External"/><Relationship Id="rId7003" Type="http://schemas.openxmlformats.org/officeDocument/2006/relationships/hyperlink" Target="https://www.tiktok.com/@ajierehannah" TargetMode="External"/><Relationship Id="rId8334" Type="http://schemas.openxmlformats.org/officeDocument/2006/relationships/hyperlink" Target="https://vt.tiktok.com/ZS959tdWy/" TargetMode="External"/><Relationship Id="rId7002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8333" Type="http://schemas.openxmlformats.org/officeDocument/2006/relationships/hyperlink" Target="https://vt.tiktok.com/ZS9DPPrEn/" TargetMode="External"/><Relationship Id="rId7009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9664" Type="http://schemas.openxmlformats.org/officeDocument/2006/relationships/hyperlink" Target="https://vt.tiktok.com/ZSxQhDmfK/" TargetMode="External"/><Relationship Id="rId7008" Type="http://schemas.openxmlformats.org/officeDocument/2006/relationships/hyperlink" Target="https://www.tiktok.com/@selin_ayu" TargetMode="External"/><Relationship Id="rId8339" Type="http://schemas.openxmlformats.org/officeDocument/2006/relationships/hyperlink" Target="https://vt.tiktok.com/ZS9DPmU5N/" TargetMode="External"/><Relationship Id="rId9665" Type="http://schemas.openxmlformats.org/officeDocument/2006/relationships/hyperlink" Target="https://vt.tiktok.com/ZSxQF6yLo/" TargetMode="External"/><Relationship Id="rId7007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8338" Type="http://schemas.openxmlformats.org/officeDocument/2006/relationships/hyperlink" Target="https://vt.tiktok.com/ZS9DP67g8/" TargetMode="External"/><Relationship Id="rId9666" Type="http://schemas.openxmlformats.org/officeDocument/2006/relationships/hyperlink" Target="https://vt.tiktok.com/ZSxQF6yLo/" TargetMode="External"/><Relationship Id="rId7006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8337" Type="http://schemas.openxmlformats.org/officeDocument/2006/relationships/hyperlink" Target="https://vt.tiktok.com/ZS9DPDvFU/" TargetMode="External"/><Relationship Id="rId9667" Type="http://schemas.openxmlformats.org/officeDocument/2006/relationships/hyperlink" Target="https://vt.tiktok.com/ZSxQhDmfK/" TargetMode="External"/><Relationship Id="rId3513" Type="http://schemas.openxmlformats.org/officeDocument/2006/relationships/hyperlink" Target="https://www.tiktok.com/@pipit.outfit01" TargetMode="External"/><Relationship Id="rId4844" Type="http://schemas.openxmlformats.org/officeDocument/2006/relationships/hyperlink" Target="https://vt.tiktok.com/ZS9Qf1BbT/" TargetMode="External"/><Relationship Id="rId3512" Type="http://schemas.openxmlformats.org/officeDocument/2006/relationships/hyperlink" Target="https://vt.tiktok.com/ZS9orGVtR/" TargetMode="External"/><Relationship Id="rId4843" Type="http://schemas.openxmlformats.org/officeDocument/2006/relationships/hyperlink" Target="https://www.tiktok.com/@momandggs" TargetMode="External"/><Relationship Id="rId3515" Type="http://schemas.openxmlformats.org/officeDocument/2006/relationships/hyperlink" Target="https://www.tiktok.com/@bydesi.skincare" TargetMode="External"/><Relationship Id="rId4846" Type="http://schemas.openxmlformats.org/officeDocument/2006/relationships/hyperlink" Target="https://vt.tiktok.com/ZS9fbTmfe/" TargetMode="External"/><Relationship Id="rId3514" Type="http://schemas.openxmlformats.org/officeDocument/2006/relationships/hyperlink" Target="https://vt.tiktok.com/ZS9NQYW6g/" TargetMode="External"/><Relationship Id="rId4845" Type="http://schemas.openxmlformats.org/officeDocument/2006/relationships/hyperlink" Target="https://vt.tiktok.com/ZS9fgL9Dx/" TargetMode="External"/><Relationship Id="rId3517" Type="http://schemas.openxmlformats.org/officeDocument/2006/relationships/hyperlink" Target="https://www.tiktok.com/@renni_mulandha" TargetMode="External"/><Relationship Id="rId4848" Type="http://schemas.openxmlformats.org/officeDocument/2006/relationships/hyperlink" Target="https://www.tiktok.com/@Wulans_ri" TargetMode="External"/><Relationship Id="rId3516" Type="http://schemas.openxmlformats.org/officeDocument/2006/relationships/hyperlink" Target="https://vt.tiktok.com/ZS9NQFDRT/" TargetMode="External"/><Relationship Id="rId4847" Type="http://schemas.openxmlformats.org/officeDocument/2006/relationships/hyperlink" Target="https://vt.tiktok.com/ZS9fgFPC3/" TargetMode="External"/><Relationship Id="rId3519" Type="http://schemas.openxmlformats.org/officeDocument/2006/relationships/hyperlink" Target="https://www.tiktok.com/@sophiapanjaitan" TargetMode="External"/><Relationship Id="rId3518" Type="http://schemas.openxmlformats.org/officeDocument/2006/relationships/hyperlink" Target="https://vt.tiktok.com/ZS9NQhXHD/" TargetMode="External"/><Relationship Id="rId4849" Type="http://schemas.openxmlformats.org/officeDocument/2006/relationships/hyperlink" Target="https://vt.tiktok.com/ZS9Qf1BbT/" TargetMode="External"/><Relationship Id="rId4840" Type="http://schemas.openxmlformats.org/officeDocument/2006/relationships/hyperlink" Target="https://vt.tiktok.com/ZS9fgL9Dx/" TargetMode="External"/><Relationship Id="rId3511" Type="http://schemas.openxmlformats.org/officeDocument/2006/relationships/hyperlink" Target="https://www.tiktok.com/@nrmld__" TargetMode="External"/><Relationship Id="rId4842" Type="http://schemas.openxmlformats.org/officeDocument/2006/relationships/hyperlink" Target="https://vt.tiktok.com/ZS9fgFPC3/" TargetMode="External"/><Relationship Id="rId3510" Type="http://schemas.openxmlformats.org/officeDocument/2006/relationships/hyperlink" Target="https://vt.tiktok.com/ZS9Nrce8F/" TargetMode="External"/><Relationship Id="rId4841" Type="http://schemas.openxmlformats.org/officeDocument/2006/relationships/hyperlink" Target="https://vt.tiktok.com/ZS9fbTmfe/" TargetMode="External"/><Relationship Id="rId3502" Type="http://schemas.openxmlformats.org/officeDocument/2006/relationships/hyperlink" Target="https://vt.tiktok.com/ZSxdTLKwF/" TargetMode="External"/><Relationship Id="rId4833" Type="http://schemas.openxmlformats.org/officeDocument/2006/relationships/hyperlink" Target="https://www.tiktok.com/@zakiyah574" TargetMode="External"/><Relationship Id="rId3501" Type="http://schemas.openxmlformats.org/officeDocument/2006/relationships/hyperlink" Target="https://www.tiktok.com/@lenylisna" TargetMode="External"/><Relationship Id="rId4832" Type="http://schemas.openxmlformats.org/officeDocument/2006/relationships/hyperlink" Target="https://vt.tiktok.com/ZS9fgFPC3/" TargetMode="External"/><Relationship Id="rId3504" Type="http://schemas.openxmlformats.org/officeDocument/2006/relationships/hyperlink" Target="https://www.tiktok.com/@kartikapuji_w" TargetMode="External"/><Relationship Id="rId4835" Type="http://schemas.openxmlformats.org/officeDocument/2006/relationships/hyperlink" Target="https://vt.tiktok.com/ZS9fgL9Dx/" TargetMode="External"/><Relationship Id="rId3503" Type="http://schemas.openxmlformats.org/officeDocument/2006/relationships/hyperlink" Target="https://vt.tiktok.com/ZSxdTyFEY/" TargetMode="External"/><Relationship Id="rId4834" Type="http://schemas.openxmlformats.org/officeDocument/2006/relationships/hyperlink" Target="https://vt.tiktok.com/ZS9Qf1BbT/" TargetMode="External"/><Relationship Id="rId3506" Type="http://schemas.openxmlformats.org/officeDocument/2006/relationships/hyperlink" Target="https://vt.tiktok.com/ZSxdTjqUg/" TargetMode="External"/><Relationship Id="rId4837" Type="http://schemas.openxmlformats.org/officeDocument/2006/relationships/hyperlink" Target="https://vt.tiktok.com/ZS9fgFPC3/" TargetMode="External"/><Relationship Id="rId3505" Type="http://schemas.openxmlformats.org/officeDocument/2006/relationships/hyperlink" Target="https://vt.tiktok.com/ZS9h5fj1T/" TargetMode="External"/><Relationship Id="rId4836" Type="http://schemas.openxmlformats.org/officeDocument/2006/relationships/hyperlink" Target="https://vt.tiktok.com/ZS9fbTmfe/" TargetMode="External"/><Relationship Id="rId3508" Type="http://schemas.openxmlformats.org/officeDocument/2006/relationships/hyperlink" Target="https://www.tiktok.com/@korinirmala" TargetMode="External"/><Relationship Id="rId4839" Type="http://schemas.openxmlformats.org/officeDocument/2006/relationships/hyperlink" Target="https://vt.tiktok.com/ZS9Qf1BbT/" TargetMode="External"/><Relationship Id="rId3507" Type="http://schemas.openxmlformats.org/officeDocument/2006/relationships/hyperlink" Target="https://vt.tiktok.com/ZS9oMFYqa/" TargetMode="External"/><Relationship Id="rId4838" Type="http://schemas.openxmlformats.org/officeDocument/2006/relationships/hyperlink" Target="https://www.tiktok.com/@by.salma" TargetMode="External"/><Relationship Id="rId3509" Type="http://schemas.openxmlformats.org/officeDocument/2006/relationships/hyperlink" Target="https://vt.tiktok.com/ZS9NrteoD/" TargetMode="External"/><Relationship Id="rId3500" Type="http://schemas.openxmlformats.org/officeDocument/2006/relationships/hyperlink" Target="https://vt.tiktok.com/ZS9h5uhrW/" TargetMode="External"/><Relationship Id="rId4831" Type="http://schemas.openxmlformats.org/officeDocument/2006/relationships/hyperlink" Target="https://vt.tiktok.com/ZS9fbTmfe/" TargetMode="External"/><Relationship Id="rId4830" Type="http://schemas.openxmlformats.org/officeDocument/2006/relationships/hyperlink" Target="https://vt.tiktok.com/ZS9fgL9Dx/" TargetMode="External"/><Relationship Id="rId2203" Type="http://schemas.openxmlformats.org/officeDocument/2006/relationships/hyperlink" Target="https://www.tiktok.com/@nanfeb_/video/7611028883453824274?is_from_webapp=1&amp;sender_device=pc&amp;web_id=7611930277489657360" TargetMode="External"/><Relationship Id="rId3535" Type="http://schemas.openxmlformats.org/officeDocument/2006/relationships/hyperlink" Target="https://vt.tiktok.com/ZS926jLXB/" TargetMode="External"/><Relationship Id="rId4866" Type="http://schemas.openxmlformats.org/officeDocument/2006/relationships/hyperlink" Target="https://vt.tiktok.com/ZS9fbTmfe/" TargetMode="External"/><Relationship Id="rId2204" Type="http://schemas.openxmlformats.org/officeDocument/2006/relationships/hyperlink" Target="https://www.tiktok.com/@nanfeb_/video/7613237565193243922?is_from_webapp=1&amp;sender_device=pc&amp;web_id=7611930277489657360" TargetMode="External"/><Relationship Id="rId3534" Type="http://schemas.openxmlformats.org/officeDocument/2006/relationships/hyperlink" Target="https://vt.tiktok.com/ZS9261kjf/" TargetMode="External"/><Relationship Id="rId4865" Type="http://schemas.openxmlformats.org/officeDocument/2006/relationships/hyperlink" Target="https://vt.tiktok.com/ZS9fgL9Dx/" TargetMode="External"/><Relationship Id="rId2205" Type="http://schemas.openxmlformats.org/officeDocument/2006/relationships/hyperlink" Target="https://www.tiktok.com/@nanfeb_/video/7613377594410519815?is_from_webapp=1&amp;sender_device=pc&amp;web_id=7611930277489657360" TargetMode="External"/><Relationship Id="rId3537" Type="http://schemas.openxmlformats.org/officeDocument/2006/relationships/hyperlink" Target="https://vt.tiktok.com/ZS92jKyvc/" TargetMode="External"/><Relationship Id="rId4868" Type="http://schemas.openxmlformats.org/officeDocument/2006/relationships/hyperlink" Target="https://www.tiktok.com/@clariselle18" TargetMode="External"/><Relationship Id="rId2206" Type="http://schemas.openxmlformats.org/officeDocument/2006/relationships/hyperlink" Target="https://www.tiktok.com/@nanfeb_/video/7625243167872437522?is_from_webapp=1&amp;sender_device=pc&amp;web_id=7611930277489657360" TargetMode="External"/><Relationship Id="rId3536" Type="http://schemas.openxmlformats.org/officeDocument/2006/relationships/hyperlink" Target="https://vt.tiktok.com/ZS92j7xGV/" TargetMode="External"/><Relationship Id="rId4867" Type="http://schemas.openxmlformats.org/officeDocument/2006/relationships/hyperlink" Target="https://vt.tiktok.com/ZS9fgFPC3/" TargetMode="External"/><Relationship Id="rId2207" Type="http://schemas.openxmlformats.org/officeDocument/2006/relationships/hyperlink" Target="https://www.tiktok.com/@candaaaa69" TargetMode="External"/><Relationship Id="rId3539" Type="http://schemas.openxmlformats.org/officeDocument/2006/relationships/hyperlink" Target="https://vt.tiktok.com/ZSxLXNepF/" TargetMode="External"/><Relationship Id="rId2208" Type="http://schemas.openxmlformats.org/officeDocument/2006/relationships/hyperlink" Target="https://www.tiktok.com/@candaaaa69/video/7612886696857750791?is_from_webapp=1&amp;sender_device=pc&amp;web_id=7611930277489657360" TargetMode="External"/><Relationship Id="rId3538" Type="http://schemas.openxmlformats.org/officeDocument/2006/relationships/hyperlink" Target="https://www.tiktok.com/@myd_media" TargetMode="External"/><Relationship Id="rId4869" Type="http://schemas.openxmlformats.org/officeDocument/2006/relationships/hyperlink" Target="https://vt.tiktok.com/ZS9Qf1BbT/" TargetMode="External"/><Relationship Id="rId2209" Type="http://schemas.openxmlformats.org/officeDocument/2006/relationships/hyperlink" Target="https://www.tiktok.com/@candaaaa69/video/7612892735950949650?is_from_webapp=1&amp;sender_device=pc&amp;web_id=7611930277489657360" TargetMode="External"/><Relationship Id="rId4860" Type="http://schemas.openxmlformats.org/officeDocument/2006/relationships/hyperlink" Target="https://vt.tiktok.com/ZS9fgL9Dx/" TargetMode="External"/><Relationship Id="rId3531" Type="http://schemas.openxmlformats.org/officeDocument/2006/relationships/hyperlink" Target="https://vt.tiktok.com/ZS965MmLq/" TargetMode="External"/><Relationship Id="rId4862" Type="http://schemas.openxmlformats.org/officeDocument/2006/relationships/hyperlink" Target="https://vt.tiktok.com/ZS9fgFPC3/" TargetMode="External"/><Relationship Id="rId2200" Type="http://schemas.openxmlformats.org/officeDocument/2006/relationships/hyperlink" Target="https://www.tiktok.com/@carisacimbrut/video/7616472287394532629?is_from_webapp=1&amp;sender_device=pc&amp;web_id=7611930277489657360" TargetMode="External"/><Relationship Id="rId3530" Type="http://schemas.openxmlformats.org/officeDocument/2006/relationships/hyperlink" Target="https://vt.tiktok.com/ZS96P7rrj/" TargetMode="External"/><Relationship Id="rId4861" Type="http://schemas.openxmlformats.org/officeDocument/2006/relationships/hyperlink" Target="https://vt.tiktok.com/ZS9fbTmfe/" TargetMode="External"/><Relationship Id="rId2201" Type="http://schemas.openxmlformats.org/officeDocument/2006/relationships/hyperlink" Target="https://vt.tiktok.com/ZS9tC88Kf/" TargetMode="External"/><Relationship Id="rId3533" Type="http://schemas.openxmlformats.org/officeDocument/2006/relationships/hyperlink" Target="https://www.tiktok.com/@rika.budiarwati" TargetMode="External"/><Relationship Id="rId4864" Type="http://schemas.openxmlformats.org/officeDocument/2006/relationships/hyperlink" Target="https://vt.tiktok.com/ZS9Qf1BbT/" TargetMode="External"/><Relationship Id="rId2202" Type="http://schemas.openxmlformats.org/officeDocument/2006/relationships/hyperlink" Target="https://www.tiktok.com/@nanfeb_" TargetMode="External"/><Relationship Id="rId3532" Type="http://schemas.openxmlformats.org/officeDocument/2006/relationships/hyperlink" Target="https://vt.tiktok.com/ZS965NBtr/" TargetMode="External"/><Relationship Id="rId4863" Type="http://schemas.openxmlformats.org/officeDocument/2006/relationships/hyperlink" Target="https://www.tiktok.com/@boyen_halley" TargetMode="External"/><Relationship Id="rId3524" Type="http://schemas.openxmlformats.org/officeDocument/2006/relationships/hyperlink" Target="https://www.tiktok.com/@karriiiinn" TargetMode="External"/><Relationship Id="rId4855" Type="http://schemas.openxmlformats.org/officeDocument/2006/relationships/hyperlink" Target="https://vt.tiktok.com/ZS9fgL9Dx/" TargetMode="External"/><Relationship Id="rId3523" Type="http://schemas.openxmlformats.org/officeDocument/2006/relationships/hyperlink" Target="https://www.tiktok.com/@cikgukimia_" TargetMode="External"/><Relationship Id="rId4854" Type="http://schemas.openxmlformats.org/officeDocument/2006/relationships/hyperlink" Target="https://vt.tiktok.com/ZS9Qf1BbT/" TargetMode="External"/><Relationship Id="rId3526" Type="http://schemas.openxmlformats.org/officeDocument/2006/relationships/hyperlink" Target="https://vt.tiktok.com/ZS96PEa2F/" TargetMode="External"/><Relationship Id="rId4857" Type="http://schemas.openxmlformats.org/officeDocument/2006/relationships/hyperlink" Target="https://vt.tiktok.com/ZS9fgFPC3/" TargetMode="External"/><Relationship Id="rId3525" Type="http://schemas.openxmlformats.org/officeDocument/2006/relationships/hyperlink" Target="https://vt.tiktok.com/ZS96Pw35a/" TargetMode="External"/><Relationship Id="rId4856" Type="http://schemas.openxmlformats.org/officeDocument/2006/relationships/hyperlink" Target="https://vt.tiktok.com/ZS9fbTmfe/" TargetMode="External"/><Relationship Id="rId3528" Type="http://schemas.openxmlformats.org/officeDocument/2006/relationships/hyperlink" Target="https://www.tiktok.com/@cherrybomb9511" TargetMode="External"/><Relationship Id="rId4859" Type="http://schemas.openxmlformats.org/officeDocument/2006/relationships/hyperlink" Target="https://vt.tiktok.com/ZS9Qf1BbT/" TargetMode="External"/><Relationship Id="rId3527" Type="http://schemas.openxmlformats.org/officeDocument/2006/relationships/hyperlink" Target="https://vt.tiktok.com/ZS96PWHyg/" TargetMode="External"/><Relationship Id="rId4858" Type="http://schemas.openxmlformats.org/officeDocument/2006/relationships/hyperlink" Target="https://www.tiktok.com/@pah_kalteng" TargetMode="External"/><Relationship Id="rId3529" Type="http://schemas.openxmlformats.org/officeDocument/2006/relationships/hyperlink" Target="https://vt.tiktok.com/ZS96PnQ9m/" TargetMode="External"/><Relationship Id="rId3520" Type="http://schemas.openxmlformats.org/officeDocument/2006/relationships/hyperlink" Target="https://vt.tiktok.com/ZSx1Y1TfM/" TargetMode="External"/><Relationship Id="rId4851" Type="http://schemas.openxmlformats.org/officeDocument/2006/relationships/hyperlink" Target="https://vt.tiktok.com/ZS9fbTmfe/" TargetMode="External"/><Relationship Id="rId4850" Type="http://schemas.openxmlformats.org/officeDocument/2006/relationships/hyperlink" Target="https://vt.tiktok.com/ZS9fgL9Dx/" TargetMode="External"/><Relationship Id="rId3522" Type="http://schemas.openxmlformats.org/officeDocument/2006/relationships/hyperlink" Target="https://vt.tiktok.com/ZSxLX8XMm/" TargetMode="External"/><Relationship Id="rId4853" Type="http://schemas.openxmlformats.org/officeDocument/2006/relationships/hyperlink" Target="https://www.tiktok.com/@dee.dhian" TargetMode="External"/><Relationship Id="rId3521" Type="http://schemas.openxmlformats.org/officeDocument/2006/relationships/hyperlink" Target="https://vt.tiktok.com/ZSxLXLTWp/" TargetMode="External"/><Relationship Id="rId4852" Type="http://schemas.openxmlformats.org/officeDocument/2006/relationships/hyperlink" Target="https://vt.tiktok.com/ZS9fgFPC3/" TargetMode="External"/><Relationship Id="rId4800" Type="http://schemas.openxmlformats.org/officeDocument/2006/relationships/hyperlink" Target="https://vt.tiktok.com/ZS9fgL9Dx/" TargetMode="External"/><Relationship Id="rId4802" Type="http://schemas.openxmlformats.org/officeDocument/2006/relationships/hyperlink" Target="https://vt.tiktok.com/ZS9fgFPC3/" TargetMode="External"/><Relationship Id="rId4801" Type="http://schemas.openxmlformats.org/officeDocument/2006/relationships/hyperlink" Target="https://vt.tiktok.com/ZS9fbTmfe/" TargetMode="External"/><Relationship Id="rId4804" Type="http://schemas.openxmlformats.org/officeDocument/2006/relationships/hyperlink" Target="https://vt.tiktok.com/ZS9Qf1BbT/" TargetMode="External"/><Relationship Id="rId4803" Type="http://schemas.openxmlformats.org/officeDocument/2006/relationships/hyperlink" Target="https://www.tiktok.com/@ibunglowing" TargetMode="External"/><Relationship Id="rId4806" Type="http://schemas.openxmlformats.org/officeDocument/2006/relationships/hyperlink" Target="https://vt.tiktok.com/ZS9fbTmfe/" TargetMode="External"/><Relationship Id="rId4805" Type="http://schemas.openxmlformats.org/officeDocument/2006/relationships/hyperlink" Target="https://vt.tiktok.com/ZS9fgL9Dx/" TargetMode="External"/><Relationship Id="rId4808" Type="http://schemas.openxmlformats.org/officeDocument/2006/relationships/hyperlink" Target="https://www.tiktok.com/@niimarl" TargetMode="External"/><Relationship Id="rId4807" Type="http://schemas.openxmlformats.org/officeDocument/2006/relationships/hyperlink" Target="https://vt.tiktok.com/ZS9fgFPC3/" TargetMode="External"/><Relationship Id="rId4809" Type="http://schemas.openxmlformats.org/officeDocument/2006/relationships/hyperlink" Target="https://vt.tiktok.com/ZS9Qf1BbT/" TargetMode="External"/><Relationship Id="rId7081" Type="http://schemas.openxmlformats.org/officeDocument/2006/relationships/hyperlink" Target="https://vt.tiktok.com/ZS9fAeqYT/" TargetMode="External"/><Relationship Id="rId7080" Type="http://schemas.openxmlformats.org/officeDocument/2006/relationships/hyperlink" Target="https://vt.tiktok.com/ZS9fARK72/" TargetMode="External"/><Relationship Id="rId7074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7073" Type="http://schemas.openxmlformats.org/officeDocument/2006/relationships/hyperlink" Target="https://www.tiktok.com/@aniirohaeti02" TargetMode="External"/><Relationship Id="rId7072" Type="http://schemas.openxmlformats.org/officeDocument/2006/relationships/hyperlink" Target="https://vt.tiktok.com/ZS9fSTq7R/" TargetMode="External"/><Relationship Id="rId7071" Type="http://schemas.openxmlformats.org/officeDocument/2006/relationships/hyperlink" Target="https://vt.tiktok.com/ZS9fAeqYT/" TargetMode="External"/><Relationship Id="rId7078" Type="http://schemas.openxmlformats.org/officeDocument/2006/relationships/hyperlink" Target="https://www.tiktok.com/@jardinat.official" TargetMode="External"/><Relationship Id="rId7077" Type="http://schemas.openxmlformats.org/officeDocument/2006/relationships/hyperlink" Target="https://vt.tiktok.com/ZS9fSTq7R/" TargetMode="External"/><Relationship Id="rId7076" Type="http://schemas.openxmlformats.org/officeDocument/2006/relationships/hyperlink" Target="https://vt.tiktok.com/ZS9fAeqYT/" TargetMode="External"/><Relationship Id="rId7075" Type="http://schemas.openxmlformats.org/officeDocument/2006/relationships/hyperlink" Target="https://vt.tiktok.com/ZS9fARK72/" TargetMode="External"/><Relationship Id="rId7079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7070" Type="http://schemas.openxmlformats.org/officeDocument/2006/relationships/hyperlink" Target="https://vt.tiktok.com/ZS9fARK72/" TargetMode="External"/><Relationship Id="rId7063" Type="http://schemas.openxmlformats.org/officeDocument/2006/relationships/hyperlink" Target="https://www.tiktok.com/@vivitavita06" TargetMode="External"/><Relationship Id="rId8394" Type="http://schemas.openxmlformats.org/officeDocument/2006/relationships/hyperlink" Target="https://vt.tiktok.com/ZSxgHCTwN/" TargetMode="External"/><Relationship Id="rId7062" Type="http://schemas.openxmlformats.org/officeDocument/2006/relationships/hyperlink" Target="https://vt.tiktok.com/ZS9fSTq7R/" TargetMode="External"/><Relationship Id="rId8393" Type="http://schemas.openxmlformats.org/officeDocument/2006/relationships/hyperlink" Target="https://www.tiktok.com/@wina.widiansyah" TargetMode="External"/><Relationship Id="rId7061" Type="http://schemas.openxmlformats.org/officeDocument/2006/relationships/hyperlink" Target="https://vt.tiktok.com/ZS9fAeqYT/" TargetMode="External"/><Relationship Id="rId8392" Type="http://schemas.openxmlformats.org/officeDocument/2006/relationships/hyperlink" Target="https://vt.tiktok.com/ZSxyAmmXk/" TargetMode="External"/><Relationship Id="rId7060" Type="http://schemas.openxmlformats.org/officeDocument/2006/relationships/hyperlink" Target="https://vt.tiktok.com/ZS9fARK72/" TargetMode="External"/><Relationship Id="rId8391" Type="http://schemas.openxmlformats.org/officeDocument/2006/relationships/hyperlink" Target="https://www.tiktok.com/@karinkarin012" TargetMode="External"/><Relationship Id="rId7067" Type="http://schemas.openxmlformats.org/officeDocument/2006/relationships/hyperlink" Target="https://vt.tiktok.com/ZS9fSTq7R/" TargetMode="External"/><Relationship Id="rId8398" Type="http://schemas.openxmlformats.org/officeDocument/2006/relationships/hyperlink" Target="https://vt.tiktok.com/ZSxWQNn8a/" TargetMode="External"/><Relationship Id="rId7066" Type="http://schemas.openxmlformats.org/officeDocument/2006/relationships/hyperlink" Target="https://vt.tiktok.com/ZS9fAeqYT/" TargetMode="External"/><Relationship Id="rId8397" Type="http://schemas.openxmlformats.org/officeDocument/2006/relationships/hyperlink" Target="https://vt.tiktok.com/ZSxWsbuHL/" TargetMode="External"/><Relationship Id="rId7065" Type="http://schemas.openxmlformats.org/officeDocument/2006/relationships/hyperlink" Target="https://vt.tiktok.com/ZS9fARK72/" TargetMode="External"/><Relationship Id="rId8396" Type="http://schemas.openxmlformats.org/officeDocument/2006/relationships/hyperlink" Target="https://vt.tiktok.com/ZSxULLE8C/" TargetMode="External"/><Relationship Id="rId7064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8395" Type="http://schemas.openxmlformats.org/officeDocument/2006/relationships/hyperlink" Target="https://www.tiktok.com/@karepewssssssss" TargetMode="External"/><Relationship Id="rId7069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7068" Type="http://schemas.openxmlformats.org/officeDocument/2006/relationships/hyperlink" Target="https://www.tiktok.com/@dessssssssii" TargetMode="External"/><Relationship Id="rId8399" Type="http://schemas.openxmlformats.org/officeDocument/2006/relationships/hyperlink" Target="https://vt.tiktok.com/ZSxWQYHPL/" TargetMode="External"/><Relationship Id="rId4822" Type="http://schemas.openxmlformats.org/officeDocument/2006/relationships/hyperlink" Target="https://vt.tiktok.com/ZS9fgFPC3/" TargetMode="External"/><Relationship Id="rId4821" Type="http://schemas.openxmlformats.org/officeDocument/2006/relationships/hyperlink" Target="https://vt.tiktok.com/ZS9fbTmfe/" TargetMode="External"/><Relationship Id="rId4824" Type="http://schemas.openxmlformats.org/officeDocument/2006/relationships/hyperlink" Target="https://vt.tiktok.com/ZS9Qf1BbT/" TargetMode="External"/><Relationship Id="rId4823" Type="http://schemas.openxmlformats.org/officeDocument/2006/relationships/hyperlink" Target="https://www.tiktok.com/@melatiprastitaaa" TargetMode="External"/><Relationship Id="rId4826" Type="http://schemas.openxmlformats.org/officeDocument/2006/relationships/hyperlink" Target="https://vt.tiktok.com/ZS9fbTmfe/" TargetMode="External"/><Relationship Id="rId4825" Type="http://schemas.openxmlformats.org/officeDocument/2006/relationships/hyperlink" Target="https://vt.tiktok.com/ZS9fgL9Dx/" TargetMode="External"/><Relationship Id="rId4828" Type="http://schemas.openxmlformats.org/officeDocument/2006/relationships/hyperlink" Target="https://www.tiktok.com/@Solichan82" TargetMode="External"/><Relationship Id="rId4827" Type="http://schemas.openxmlformats.org/officeDocument/2006/relationships/hyperlink" Target="https://vt.tiktok.com/ZS9fgFPC3/" TargetMode="External"/><Relationship Id="rId4829" Type="http://schemas.openxmlformats.org/officeDocument/2006/relationships/hyperlink" Target="https://vt.tiktok.com/ZS9Qf1BbT/" TargetMode="External"/><Relationship Id="rId7096" Type="http://schemas.openxmlformats.org/officeDocument/2006/relationships/hyperlink" Target="https://vt.tiktok.com/ZS9fAeqYT/" TargetMode="External"/><Relationship Id="rId7095" Type="http://schemas.openxmlformats.org/officeDocument/2006/relationships/hyperlink" Target="https://vt.tiktok.com/ZS9fARK72/" TargetMode="External"/><Relationship Id="rId7094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7093" Type="http://schemas.openxmlformats.org/officeDocument/2006/relationships/hyperlink" Target="https://www.tiktok.com/@eza.ezaaaa" TargetMode="External"/><Relationship Id="rId7099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7098" Type="http://schemas.openxmlformats.org/officeDocument/2006/relationships/hyperlink" Target="https://www.tiktok.com/@rikaamelia68175" TargetMode="External"/><Relationship Id="rId7097" Type="http://schemas.openxmlformats.org/officeDocument/2006/relationships/hyperlink" Target="https://vt.tiktok.com/ZS9fSTq7R/" TargetMode="External"/><Relationship Id="rId4820" Type="http://schemas.openxmlformats.org/officeDocument/2006/relationships/hyperlink" Target="https://vt.tiktok.com/ZS9fgL9Dx/" TargetMode="External"/><Relationship Id="rId4811" Type="http://schemas.openxmlformats.org/officeDocument/2006/relationships/hyperlink" Target="https://vt.tiktok.com/ZS9fbTmfe/" TargetMode="External"/><Relationship Id="rId4810" Type="http://schemas.openxmlformats.org/officeDocument/2006/relationships/hyperlink" Target="https://vt.tiktok.com/ZS9fgL9Dx/" TargetMode="External"/><Relationship Id="rId4813" Type="http://schemas.openxmlformats.org/officeDocument/2006/relationships/hyperlink" Target="https://www.tiktok.com/@Merahmudastore1" TargetMode="External"/><Relationship Id="rId4812" Type="http://schemas.openxmlformats.org/officeDocument/2006/relationships/hyperlink" Target="https://vt.tiktok.com/ZS9fgFPC3/" TargetMode="External"/><Relationship Id="rId4815" Type="http://schemas.openxmlformats.org/officeDocument/2006/relationships/hyperlink" Target="https://vt.tiktok.com/ZS9fgL9Dx/" TargetMode="External"/><Relationship Id="rId4814" Type="http://schemas.openxmlformats.org/officeDocument/2006/relationships/hyperlink" Target="https://vt.tiktok.com/ZS9Qf1BbT/" TargetMode="External"/><Relationship Id="rId4817" Type="http://schemas.openxmlformats.org/officeDocument/2006/relationships/hyperlink" Target="https://vt.tiktok.com/ZS9fgFPC3/" TargetMode="External"/><Relationship Id="rId4816" Type="http://schemas.openxmlformats.org/officeDocument/2006/relationships/hyperlink" Target="https://vt.tiktok.com/ZS9fbTmfe/" TargetMode="External"/><Relationship Id="rId4819" Type="http://schemas.openxmlformats.org/officeDocument/2006/relationships/hyperlink" Target="https://vt.tiktok.com/ZS9Qf1BbT/" TargetMode="External"/><Relationship Id="rId4818" Type="http://schemas.openxmlformats.org/officeDocument/2006/relationships/hyperlink" Target="https://www.tiktok.com/@Adi_bpm" TargetMode="External"/><Relationship Id="rId7092" Type="http://schemas.openxmlformats.org/officeDocument/2006/relationships/hyperlink" Target="https://vt.tiktok.com/ZS9fSTq7R/" TargetMode="External"/><Relationship Id="rId7091" Type="http://schemas.openxmlformats.org/officeDocument/2006/relationships/hyperlink" Target="https://vt.tiktok.com/ZS9fAeqYT/" TargetMode="External"/><Relationship Id="rId7090" Type="http://schemas.openxmlformats.org/officeDocument/2006/relationships/hyperlink" Target="https://vt.tiktok.com/ZS9fARK72/" TargetMode="External"/><Relationship Id="rId7085" Type="http://schemas.openxmlformats.org/officeDocument/2006/relationships/hyperlink" Target="https://vt.tiktok.com/ZS9fARK72/" TargetMode="External"/><Relationship Id="rId7084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7083" Type="http://schemas.openxmlformats.org/officeDocument/2006/relationships/hyperlink" Target="https://www.tiktok.com/@bynaiilaa" TargetMode="External"/><Relationship Id="rId7082" Type="http://schemas.openxmlformats.org/officeDocument/2006/relationships/hyperlink" Target="https://vt.tiktok.com/ZS9fSTq7R/" TargetMode="External"/><Relationship Id="rId7089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7088" Type="http://schemas.openxmlformats.org/officeDocument/2006/relationships/hyperlink" Target="https://www.tiktok.com/@bellendanandaputra" TargetMode="External"/><Relationship Id="rId7087" Type="http://schemas.openxmlformats.org/officeDocument/2006/relationships/hyperlink" Target="https://vt.tiktok.com/ZS9fSTq7R/" TargetMode="External"/><Relationship Id="rId7086" Type="http://schemas.openxmlformats.org/officeDocument/2006/relationships/hyperlink" Target="https://vt.tiktok.com/ZS9fAeqYT/" TargetMode="External"/><Relationship Id="rId2269" Type="http://schemas.openxmlformats.org/officeDocument/2006/relationships/hyperlink" Target="https://www.tiktok.com/@barokah.collection/video/7625430095251000583?is_from_webapp=1&amp;sender_device=pc" TargetMode="External"/><Relationship Id="rId3591" Type="http://schemas.openxmlformats.org/officeDocument/2006/relationships/hyperlink" Target="https://vt.tiktok.com/ZS9hscp6t/" TargetMode="External"/><Relationship Id="rId2260" Type="http://schemas.openxmlformats.org/officeDocument/2006/relationships/hyperlink" Target="https://www.tiktok.com/@spallspill_capricorn/video/7619185703586417940?is_from_webapp=1&amp;sender_device=pc&amp;web_id=7611930277489657360" TargetMode="External"/><Relationship Id="rId3590" Type="http://schemas.openxmlformats.org/officeDocument/2006/relationships/hyperlink" Target="https://www.tiktok.com/@ian_dwiyana" TargetMode="External"/><Relationship Id="rId2261" Type="http://schemas.openxmlformats.org/officeDocument/2006/relationships/hyperlink" Target="https://www.tiktok.com/@spallspill_capricorn/video/7620051204869000468?is_from_webapp=1&amp;sender_device=pc&amp;web_id=7611930277489657360" TargetMode="External"/><Relationship Id="rId3593" Type="http://schemas.openxmlformats.org/officeDocument/2006/relationships/hyperlink" Target="https://vt.tiktok.com/ZSxdTB8sE/" TargetMode="External"/><Relationship Id="rId2262" Type="http://schemas.openxmlformats.org/officeDocument/2006/relationships/hyperlink" Target="https://www.tiktok.com/@snowme.shop/video/7633391930902138133?is_from_webapp=1&amp;sender_device=pc&amp;web_id=7611930277489657360" TargetMode="External"/><Relationship Id="rId3592" Type="http://schemas.openxmlformats.org/officeDocument/2006/relationships/hyperlink" Target="https://vt.tiktok.com/ZS9hsw8E7/" TargetMode="External"/><Relationship Id="rId2263" Type="http://schemas.openxmlformats.org/officeDocument/2006/relationships/hyperlink" Target="https://www.tiktok.com/@snowme.shop/video/7633249733569531156?is_from_webapp=1&amp;sender_device=pc&amp;web_id=7611930277489657360" TargetMode="External"/><Relationship Id="rId3595" Type="http://schemas.openxmlformats.org/officeDocument/2006/relationships/hyperlink" Target="https://www.tiktok.com/@murniratnasari" TargetMode="External"/><Relationship Id="rId2264" Type="http://schemas.openxmlformats.org/officeDocument/2006/relationships/hyperlink" Target="https://vt.tiktok.com/ZSH5kSWge/" TargetMode="External"/><Relationship Id="rId3594" Type="http://schemas.openxmlformats.org/officeDocument/2006/relationships/hyperlink" Target="https://vt.tiktok.com/ZSxkKJTtJ/" TargetMode="External"/><Relationship Id="rId2265" Type="http://schemas.openxmlformats.org/officeDocument/2006/relationships/hyperlink" Target="https://www.tiktok.com/@itsdianity/video/7625851703929359634?_d=0&amp;_r=1&amp;ec_shared_reflux_dynamic_params=%7B%22placeholder_material_id%22%3A%227625851703929359634%22%2C%22placeholder_origin_cover%22%3A%22https%253A%252F%252Fp16-sign-sg.tiktokcdn.com%252Ftos-alisg-p-0037%252FoEZol7g1fAQfLdGpCDRpU3BS7EBUFEYaEHXQdq~tplv-tiktokx-origin.jpeg%253Fdr%253D14572%2526refresh_token%253D38e495c0%2526x-expires%253D1807066800%2526x-signature%253DXc3DjxClEOn8Odn9Uu597zTNACY%25253D%2526t%253D4d5b0474%2526ps%253D13740610%2526shp%253Dd05b14bd%2526shcp%253D34ff8df6%2526idc%253Dmy2%2526s%253DTIKTOK_AFFILIATE_VIRAL_VIDEO%22%2C%22placeholder_product_id%22%3A%221729427766722726591%22%2C%22placeholder_video_id%22%3A%227625851703929359634%22%7D&amp;ec_shared_reflux_scene=shop_tab_feed&amp;mid=7623043849317993224&amp;preview_pb=0&amp;region=&amp;share_item_id=7625851703929359634&amp;sharer_language=&amp;source=h5_t&amp;u_code=ehcgh78f475mdh" TargetMode="External"/><Relationship Id="rId3597" Type="http://schemas.openxmlformats.org/officeDocument/2006/relationships/hyperlink" Target="https://vt.tiktok.com/ZS9kfVwsq/" TargetMode="External"/><Relationship Id="rId2266" Type="http://schemas.openxmlformats.org/officeDocument/2006/relationships/hyperlink" Target="https://vt.tiktok.com/ZSH5kSWge/" TargetMode="External"/><Relationship Id="rId3596" Type="http://schemas.openxmlformats.org/officeDocument/2006/relationships/hyperlink" Target="https://vt.tiktok.com/ZS9kyvxpR/" TargetMode="External"/><Relationship Id="rId2267" Type="http://schemas.openxmlformats.org/officeDocument/2006/relationships/hyperlink" Target="https://vt.tiktok.com/ZSH5kCY89/" TargetMode="External"/><Relationship Id="rId3599" Type="http://schemas.openxmlformats.org/officeDocument/2006/relationships/hyperlink" Target="https://vt.tiktok.com/ZSxAPKyAk/" TargetMode="External"/><Relationship Id="rId2268" Type="http://schemas.openxmlformats.org/officeDocument/2006/relationships/hyperlink" Target="https://www.tiktok.com/@barokah.collection" TargetMode="External"/><Relationship Id="rId3598" Type="http://schemas.openxmlformats.org/officeDocument/2006/relationships/hyperlink" Target="https://vt.tiktok.com/ZSxLXUmAM/" TargetMode="External"/><Relationship Id="rId2258" Type="http://schemas.openxmlformats.org/officeDocument/2006/relationships/hyperlink" Target="https://vt.tiktok.com/ZS9tCgBjg/" TargetMode="External"/><Relationship Id="rId2259" Type="http://schemas.openxmlformats.org/officeDocument/2006/relationships/hyperlink" Target="https://www.tiktok.com/@oradanta_02" TargetMode="External"/><Relationship Id="rId3589" Type="http://schemas.openxmlformats.org/officeDocument/2006/relationships/hyperlink" Target="https://vt.tiktok.com/ZS9hs3gwn/" TargetMode="External"/><Relationship Id="rId3580" Type="http://schemas.openxmlformats.org/officeDocument/2006/relationships/hyperlink" Target="https://www.tiktok.com/@azkycunil" TargetMode="External"/><Relationship Id="rId2250" Type="http://schemas.openxmlformats.org/officeDocument/2006/relationships/hyperlink" Target="https://www.tiktok.com/@its.raraaa13/video/7621739185426287880?is_from_webapp=1&amp;sender_device=pc" TargetMode="External"/><Relationship Id="rId3582" Type="http://schemas.openxmlformats.org/officeDocument/2006/relationships/hyperlink" Target="https://vt.tiktok.com/ZS9khfT7s/" TargetMode="External"/><Relationship Id="rId2251" Type="http://schemas.openxmlformats.org/officeDocument/2006/relationships/hyperlink" Target="https://www.tiktok.com/@its.raraaa13/video/7621741618365828359?_r=1&amp;u_code=df253932a6940l&amp;region=&amp;mid=7618538954354756360&amp;preview_pb=0&amp;sharer_language=&amp;_d=0&amp;ec_shared_reflux_dynamic_params=%7B%22placeholder_material_id%22%3A%227621741618365828359%22%2C%22placeholder_origin_cover%22%3A%22https%253A%252F%252Fp16-sign-sg.tiktokcdn.com%252Ftos-alisg-p-0037%252FogDHjEzB2I3xNFOEeUbfLKgaOMXMBRgRFpIdAB~tplv-tiktokx-origin.jpeg%253Fdr%253D14572%2526refresh_token%253D22d56571%2526x-expires%253D1808204400%2526x-signature%253DB2B%25252BvDGQ0wWPPXnvuCFnS%25252FStxAg%25253D%2526t%253D4d5b0474%2526ps%253D13740610%2526shp%253Dd05b14bd%2526shcp%253D34ff8df6%2526idc%253Dmy3%2526s%253DTIKTOK_AFFILIATE_VIRAL_VIDEO%22%2C%22placeholder_product_id%22%3A%221729427766722726591%22%2C%22placeholder_video_id%22%3A%227621741618365828359%22%7D&amp;ec_shared_reflux_scene=shop_tab_feed&amp;share_item_id=7621741618365828359&amp;source=h5_t" TargetMode="External"/><Relationship Id="rId3581" Type="http://schemas.openxmlformats.org/officeDocument/2006/relationships/hyperlink" Target="https://vt.tiktok.com/ZS9khgbAv/" TargetMode="External"/><Relationship Id="rId2252" Type="http://schemas.openxmlformats.org/officeDocument/2006/relationships/hyperlink" Target="https://vt.tiktok.com/ZS9tCqJj5/" TargetMode="External"/><Relationship Id="rId3584" Type="http://schemas.openxmlformats.org/officeDocument/2006/relationships/hyperlink" Target="https://vt.tiktok.com/ZS9htbcF2/" TargetMode="External"/><Relationship Id="rId2253" Type="http://schemas.openxmlformats.org/officeDocument/2006/relationships/hyperlink" Target="https://vt.tiktok.com/ZS9tCsS57/" TargetMode="External"/><Relationship Id="rId3583" Type="http://schemas.openxmlformats.org/officeDocument/2006/relationships/hyperlink" Target="https://vt.tiktok.com/ZS9kh68K6/" TargetMode="External"/><Relationship Id="rId2254" Type="http://schemas.openxmlformats.org/officeDocument/2006/relationships/hyperlink" Target="https://www.tiktok.com/@namonyo.yunii07" TargetMode="External"/><Relationship Id="rId3586" Type="http://schemas.openxmlformats.org/officeDocument/2006/relationships/hyperlink" Target="https://vt.tiktok.com/ZS9htPLtM/" TargetMode="External"/><Relationship Id="rId2255" Type="http://schemas.openxmlformats.org/officeDocument/2006/relationships/hyperlink" Target="https://www.tiktok.com/@snowme.shop/video/7633606622887070997?is_from_webapp=1&amp;sender_device=pc&amp;web_id=7611930277489657360" TargetMode="External"/><Relationship Id="rId3585" Type="http://schemas.openxmlformats.org/officeDocument/2006/relationships/hyperlink" Target="https://www.tiktok.com/@natyaaa_" TargetMode="External"/><Relationship Id="rId2256" Type="http://schemas.openxmlformats.org/officeDocument/2006/relationships/hyperlink" Target="https://www.tiktok.com/@simas.032/video/7625940806234295559?is_from_webapp=1&amp;sender_device=pc&amp;web_id=7611930277489657360" TargetMode="External"/><Relationship Id="rId3588" Type="http://schemas.openxmlformats.org/officeDocument/2006/relationships/hyperlink" Target="https://vt.tiktok.com/ZS9hsGPXd/" TargetMode="External"/><Relationship Id="rId2257" Type="http://schemas.openxmlformats.org/officeDocument/2006/relationships/hyperlink" Target="https://vt.tiktok.com/ZS9tCsVge/" TargetMode="External"/><Relationship Id="rId3587" Type="http://schemas.openxmlformats.org/officeDocument/2006/relationships/hyperlink" Target="https://vt.tiktok.com/ZS9hG5SJN/" TargetMode="External"/><Relationship Id="rId2280" Type="http://schemas.openxmlformats.org/officeDocument/2006/relationships/hyperlink" Target="https://www.tiktok.com/@anasafitri232" TargetMode="External"/><Relationship Id="rId2281" Type="http://schemas.openxmlformats.org/officeDocument/2006/relationships/hyperlink" Target="https://vt.tiktok.com/ZSHFgwWkL/" TargetMode="External"/><Relationship Id="rId2282" Type="http://schemas.openxmlformats.org/officeDocument/2006/relationships/hyperlink" Target="https://vt.tiktok.com/ZSHpku6rQ/" TargetMode="External"/><Relationship Id="rId2283" Type="http://schemas.openxmlformats.org/officeDocument/2006/relationships/hyperlink" Target="https://vt.tiktok.com/ZS9tbdrm3/" TargetMode="External"/><Relationship Id="rId2284" Type="http://schemas.openxmlformats.org/officeDocument/2006/relationships/hyperlink" Target="https://www.tiktok.com/@cubbnaa" TargetMode="External"/><Relationship Id="rId2285" Type="http://schemas.openxmlformats.org/officeDocument/2006/relationships/hyperlink" Target="https://vt.tiktok.com/ZS9tbNyPF/" TargetMode="External"/><Relationship Id="rId2286" Type="http://schemas.openxmlformats.org/officeDocument/2006/relationships/hyperlink" Target="https://vt.tiktok.com/ZS9tbFkte/" TargetMode="External"/><Relationship Id="rId2287" Type="http://schemas.openxmlformats.org/officeDocument/2006/relationships/hyperlink" Target="https://vt.tiktok.com/ZS9tqqf2v/" TargetMode="External"/><Relationship Id="rId2288" Type="http://schemas.openxmlformats.org/officeDocument/2006/relationships/hyperlink" Target="https://vt.tiktok.com/ZS9tqnsU4/" TargetMode="External"/><Relationship Id="rId2289" Type="http://schemas.openxmlformats.org/officeDocument/2006/relationships/hyperlink" Target="https://www.tiktok.com/@ginafathonah_" TargetMode="External"/><Relationship Id="rId2270" Type="http://schemas.openxmlformats.org/officeDocument/2006/relationships/hyperlink" Target="https://www.tiktok.com/@barokah.collection/video/7612472273689201938" TargetMode="External"/><Relationship Id="rId2271" Type="http://schemas.openxmlformats.org/officeDocument/2006/relationships/hyperlink" Target="https://www.tiktok.com/@barokah.collection/video/7627815313295346965?is_from_webapp=1&amp;sender_device=pc" TargetMode="External"/><Relationship Id="rId2272" Type="http://schemas.openxmlformats.org/officeDocument/2006/relationships/hyperlink" Target="https://www.tiktok.com/@barokah.collection/video/7606586162475535624" TargetMode="External"/><Relationship Id="rId2273" Type="http://schemas.openxmlformats.org/officeDocument/2006/relationships/hyperlink" Target="https://www.tiktok.com/@bucinskincare_2" TargetMode="External"/><Relationship Id="rId2274" Type="http://schemas.openxmlformats.org/officeDocument/2006/relationships/hyperlink" Target="https://vt.tiktok.com/ZS9LFdMdE/" TargetMode="External"/><Relationship Id="rId2275" Type="http://schemas.openxmlformats.org/officeDocument/2006/relationships/hyperlink" Target="https://vt.tiktok.com/ZS9tHckD1/" TargetMode="External"/><Relationship Id="rId2276" Type="http://schemas.openxmlformats.org/officeDocument/2006/relationships/hyperlink" Target="https://www.tiktok.com/@rizkaalvnnn" TargetMode="External"/><Relationship Id="rId2277" Type="http://schemas.openxmlformats.org/officeDocument/2006/relationships/hyperlink" Target="https://vt.tiktok.com/ZSH8WA16m/" TargetMode="External"/><Relationship Id="rId2278" Type="http://schemas.openxmlformats.org/officeDocument/2006/relationships/hyperlink" Target="https://vt.tiktok.com/ZSHpPo6W9/" TargetMode="External"/><Relationship Id="rId2279" Type="http://schemas.openxmlformats.org/officeDocument/2006/relationships/hyperlink" Target="https://vt.tiktok.com/ZS9t9NT9T/" TargetMode="External"/><Relationship Id="rId2225" Type="http://schemas.openxmlformats.org/officeDocument/2006/relationships/hyperlink" Target="https://www.tiktok.com/@_produkk3po/video/7617108649529396501?is_from_webapp=1&amp;sender_device=pc&amp;web_id=7611930277489657360" TargetMode="External"/><Relationship Id="rId3557" Type="http://schemas.openxmlformats.org/officeDocument/2006/relationships/hyperlink" Target="https://www.tiktok.com/@itakmarsela" TargetMode="External"/><Relationship Id="rId4888" Type="http://schemas.openxmlformats.org/officeDocument/2006/relationships/hyperlink" Target="https://www.tiktok.com/@kmyrdhn" TargetMode="External"/><Relationship Id="rId2226" Type="http://schemas.openxmlformats.org/officeDocument/2006/relationships/hyperlink" Target="https://www.tiktok.com/@_produkk3po/video/7614702202065521941?is_from_webapp=1&amp;sender_device=pc&amp;web_id=7611930277489657360" TargetMode="External"/><Relationship Id="rId3556" Type="http://schemas.openxmlformats.org/officeDocument/2006/relationships/hyperlink" Target="https://www.tiktok.com/@wafazihny" TargetMode="External"/><Relationship Id="rId4887" Type="http://schemas.openxmlformats.org/officeDocument/2006/relationships/hyperlink" Target="https://vt.tiktok.com/ZS9fgFPC3/" TargetMode="External"/><Relationship Id="rId2227" Type="http://schemas.openxmlformats.org/officeDocument/2006/relationships/hyperlink" Target="https://www.tiktok.com/@_produkk3po/video/7612656415416667412?is_from_webapp=1&amp;sender_device=pc&amp;web_id=7611930277489657360" TargetMode="External"/><Relationship Id="rId3559" Type="http://schemas.openxmlformats.org/officeDocument/2006/relationships/hyperlink" Target="https://www.tiktok.com/@taruni.17" TargetMode="External"/><Relationship Id="rId2228" Type="http://schemas.openxmlformats.org/officeDocument/2006/relationships/hyperlink" Target="https://www.tiktok.com/@_produkk3po/video/7608768855837560084?is_from_webapp=1&amp;sender_device=pc&amp;web_id=7611930277489657360" TargetMode="External"/><Relationship Id="rId3558" Type="http://schemas.openxmlformats.org/officeDocument/2006/relationships/hyperlink" Target="https://www.tiktok.com/@awxichq" TargetMode="External"/><Relationship Id="rId4889" Type="http://schemas.openxmlformats.org/officeDocument/2006/relationships/hyperlink" Target="https://vt.tiktok.com/ZSxk6u6Mb/" TargetMode="External"/><Relationship Id="rId2229" Type="http://schemas.openxmlformats.org/officeDocument/2006/relationships/hyperlink" Target="https://www.tiktok.com/@glowwithflow_" TargetMode="External"/><Relationship Id="rId4880" Type="http://schemas.openxmlformats.org/officeDocument/2006/relationships/hyperlink" Target="https://vt.tiktok.com/ZSQM2r11Y/" TargetMode="External"/><Relationship Id="rId3551" Type="http://schemas.openxmlformats.org/officeDocument/2006/relationships/hyperlink" Target="https://vt.tiktok.com/ZS9263jGR/" TargetMode="External"/><Relationship Id="rId4882" Type="http://schemas.openxmlformats.org/officeDocument/2006/relationships/hyperlink" Target="https://vt.tiktok.com/ZS9fgFPC3/" TargetMode="External"/><Relationship Id="rId2220" Type="http://schemas.openxmlformats.org/officeDocument/2006/relationships/hyperlink" Target="https://www.tiktok.com/@carisacimbrut/video/7616844504527572244?is_from_webapp=1&amp;sender_device=pc&amp;web_id=7611930277489657360" TargetMode="External"/><Relationship Id="rId3550" Type="http://schemas.openxmlformats.org/officeDocument/2006/relationships/hyperlink" Target="https://www.tiktok.com/@_ssssshfi" TargetMode="External"/><Relationship Id="rId4881" Type="http://schemas.openxmlformats.org/officeDocument/2006/relationships/hyperlink" Target="https://vt.tiktok.com/ZS9fbTmfe/" TargetMode="External"/><Relationship Id="rId2221" Type="http://schemas.openxmlformats.org/officeDocument/2006/relationships/hyperlink" Target="https://www.tiktok.com/@carisacimbrut/video/7617162772618431764?is_from_webapp=1&amp;sender_device=pc&amp;web_id=7611930277489657360" TargetMode="External"/><Relationship Id="rId3553" Type="http://schemas.openxmlformats.org/officeDocument/2006/relationships/hyperlink" Target="https://www.tiktok.com/@betariaaaaaa_" TargetMode="External"/><Relationship Id="rId4884" Type="http://schemas.openxmlformats.org/officeDocument/2006/relationships/hyperlink" Target="https://vt.tiktok.com/ZS9Qf1BbT/" TargetMode="External"/><Relationship Id="rId2222" Type="http://schemas.openxmlformats.org/officeDocument/2006/relationships/hyperlink" Target="https://www.tiktok.com/@carisacimbrut/video/7618490263782182165?is_from_webapp=1&amp;sender_device=pc&amp;web_id=7611930277489657360" TargetMode="External"/><Relationship Id="rId3552" Type="http://schemas.openxmlformats.org/officeDocument/2006/relationships/hyperlink" Target="https://vt.tiktok.com/ZS92MJDcP/" TargetMode="External"/><Relationship Id="rId4883" Type="http://schemas.openxmlformats.org/officeDocument/2006/relationships/hyperlink" Target="https://www.tiktok.com/@oscar_yummy" TargetMode="External"/><Relationship Id="rId2223" Type="http://schemas.openxmlformats.org/officeDocument/2006/relationships/hyperlink" Target="https://vt.tiktok.com/ZS9tCveas/" TargetMode="External"/><Relationship Id="rId3555" Type="http://schemas.openxmlformats.org/officeDocument/2006/relationships/hyperlink" Target="https://www.tiktok.com/@lidyalidya253" TargetMode="External"/><Relationship Id="rId4886" Type="http://schemas.openxmlformats.org/officeDocument/2006/relationships/hyperlink" Target="https://vt.tiktok.com/ZS9fbTmfe/" TargetMode="External"/><Relationship Id="rId2224" Type="http://schemas.openxmlformats.org/officeDocument/2006/relationships/hyperlink" Target="https://www.tiktok.com/@_produkk3po" TargetMode="External"/><Relationship Id="rId3554" Type="http://schemas.openxmlformats.org/officeDocument/2006/relationships/hyperlink" Target="https://www.tiktok.com/@haiiirennn" TargetMode="External"/><Relationship Id="rId4885" Type="http://schemas.openxmlformats.org/officeDocument/2006/relationships/hyperlink" Target="https://vt.tiktok.com/ZS9fgL9Dx/" TargetMode="External"/><Relationship Id="rId2214" Type="http://schemas.openxmlformats.org/officeDocument/2006/relationships/hyperlink" Target="https://www.tiktok.com/@jennieeljasmin/video/7626207640913186055?is_from_webapp=1&amp;sender_device=pc" TargetMode="External"/><Relationship Id="rId3546" Type="http://schemas.openxmlformats.org/officeDocument/2006/relationships/hyperlink" Target="https://www.tiktok.com/@novinainggolann" TargetMode="External"/><Relationship Id="rId4877" Type="http://schemas.openxmlformats.org/officeDocument/2006/relationships/hyperlink" Target="https://vt.tiktok.com/ZS9fgFPC3/" TargetMode="External"/><Relationship Id="rId2215" Type="http://schemas.openxmlformats.org/officeDocument/2006/relationships/hyperlink" Target="https://www.tiktok.com/@jennieeljasmin/video/7631789654508932370?is_from_webapp=1&amp;sender_device=pc&amp;web_id=7611930277489657360" TargetMode="External"/><Relationship Id="rId3545" Type="http://schemas.openxmlformats.org/officeDocument/2006/relationships/hyperlink" Target="https://vt.tiktok.com/ZS96Pnost/" TargetMode="External"/><Relationship Id="rId4876" Type="http://schemas.openxmlformats.org/officeDocument/2006/relationships/hyperlink" Target="https://vt.tiktok.com/ZS9fbTmfe/" TargetMode="External"/><Relationship Id="rId2216" Type="http://schemas.openxmlformats.org/officeDocument/2006/relationships/hyperlink" Target="https://www.tiktok.com/@simas.032/video/7632105872101051666?is_from_webapp=1&amp;sender_device=pc&amp;web_id=7611930277489657360" TargetMode="External"/><Relationship Id="rId3548" Type="http://schemas.openxmlformats.org/officeDocument/2006/relationships/hyperlink" Target="https://vt.tiktok.com/ZSxLXh3oy/" TargetMode="External"/><Relationship Id="rId4879" Type="http://schemas.openxmlformats.org/officeDocument/2006/relationships/hyperlink" Target="https://vt.tiktok.com/ZSQ6bedPy/" TargetMode="External"/><Relationship Id="rId2217" Type="http://schemas.openxmlformats.org/officeDocument/2006/relationships/hyperlink" Target="https://www.tiktok.com/@i.amfajar" TargetMode="External"/><Relationship Id="rId3547" Type="http://schemas.openxmlformats.org/officeDocument/2006/relationships/hyperlink" Target="https://vt.tiktok.com/ZSxLXFfnt/" TargetMode="External"/><Relationship Id="rId4878" Type="http://schemas.openxmlformats.org/officeDocument/2006/relationships/hyperlink" Target="https://www.tiktok.com/@qorinatussaadah" TargetMode="External"/><Relationship Id="rId2218" Type="http://schemas.openxmlformats.org/officeDocument/2006/relationships/hyperlink" Target="https://vt.tiktok.com/ZS97uLmnt/" TargetMode="External"/><Relationship Id="rId2219" Type="http://schemas.openxmlformats.org/officeDocument/2006/relationships/hyperlink" Target="https://www.tiktok.com/@delladewintaaa" TargetMode="External"/><Relationship Id="rId3549" Type="http://schemas.openxmlformats.org/officeDocument/2006/relationships/hyperlink" Target="https://vt.tiktok.com/ZSxLXeP7p/" TargetMode="External"/><Relationship Id="rId3540" Type="http://schemas.openxmlformats.org/officeDocument/2006/relationships/hyperlink" Target="https://vt.tiktok.com/ZSxLXdDAp/" TargetMode="External"/><Relationship Id="rId4871" Type="http://schemas.openxmlformats.org/officeDocument/2006/relationships/hyperlink" Target="https://vt.tiktok.com/ZS9fbTmfe/" TargetMode="External"/><Relationship Id="rId4870" Type="http://schemas.openxmlformats.org/officeDocument/2006/relationships/hyperlink" Target="https://vt.tiktok.com/ZS9fgL9Dx/" TargetMode="External"/><Relationship Id="rId2210" Type="http://schemas.openxmlformats.org/officeDocument/2006/relationships/hyperlink" Target="https://www.tiktok.com/@candaaaa69/video/7626597012493880594?is_from_webapp=1&amp;sender_device=pc&amp;web_id=7611930277489657360" TargetMode="External"/><Relationship Id="rId3542" Type="http://schemas.openxmlformats.org/officeDocument/2006/relationships/hyperlink" Target="https://www.tiktok.com/@Debbyledianaa" TargetMode="External"/><Relationship Id="rId4873" Type="http://schemas.openxmlformats.org/officeDocument/2006/relationships/hyperlink" Target="https://www.tiktok.com/@yvy_agstn" TargetMode="External"/><Relationship Id="rId2211" Type="http://schemas.openxmlformats.org/officeDocument/2006/relationships/hyperlink" Target="https://www.tiktok.com/@candaaaa69/video/7627746039864298759?is_from_webapp=1&amp;sender_device=pc&amp;web_id=7611930277489657360" TargetMode="External"/><Relationship Id="rId3541" Type="http://schemas.openxmlformats.org/officeDocument/2006/relationships/hyperlink" Target="https://www.tiktok.com/@risma48" TargetMode="External"/><Relationship Id="rId4872" Type="http://schemas.openxmlformats.org/officeDocument/2006/relationships/hyperlink" Target="https://vt.tiktok.com/ZS9fgFPC3/" TargetMode="External"/><Relationship Id="rId2212" Type="http://schemas.openxmlformats.org/officeDocument/2006/relationships/hyperlink" Target="https://www.tiktok.com/@jennieeljasmin" TargetMode="External"/><Relationship Id="rId3544" Type="http://schemas.openxmlformats.org/officeDocument/2006/relationships/hyperlink" Target="https://vt.tiktok.com/ZS965JaF7/" TargetMode="External"/><Relationship Id="rId4875" Type="http://schemas.openxmlformats.org/officeDocument/2006/relationships/hyperlink" Target="https://vt.tiktok.com/ZS9fgL9Dx/" TargetMode="External"/><Relationship Id="rId2213" Type="http://schemas.openxmlformats.org/officeDocument/2006/relationships/hyperlink" Target="https://www.tiktok.com/@jennieeljasmin/video/7615150658311703826?is_from_webapp=1&amp;sender_device=pc" TargetMode="External"/><Relationship Id="rId3543" Type="http://schemas.openxmlformats.org/officeDocument/2006/relationships/hyperlink" Target="https://vt.tiktok.com/ZS96PpJyf/" TargetMode="External"/><Relationship Id="rId4874" Type="http://schemas.openxmlformats.org/officeDocument/2006/relationships/hyperlink" Target="https://vt.tiktok.com/ZS9Qf1BbT/" TargetMode="External"/><Relationship Id="rId2247" Type="http://schemas.openxmlformats.org/officeDocument/2006/relationships/hyperlink" Target="https://www.tiktok.com/@zafarabeauty/video/7625572579952151816?is_from_webapp=1&amp;sender_device=pc&amp;web_id=7611930277489657360" TargetMode="External"/><Relationship Id="rId3579" Type="http://schemas.openxmlformats.org/officeDocument/2006/relationships/hyperlink" Target="https://vt.tiktok.com/ZS9kkVwU6/" TargetMode="External"/><Relationship Id="rId2248" Type="http://schemas.openxmlformats.org/officeDocument/2006/relationships/hyperlink" Target="https://www.tiktok.com/@zafarabeauty/video/7625573845881179400?is_from_webapp=1&amp;sender_device=pc&amp;web_id=7611930277489657360" TargetMode="External"/><Relationship Id="rId3578" Type="http://schemas.openxmlformats.org/officeDocument/2006/relationships/hyperlink" Target="https://vt.tiktok.com/ZS9kBpaeM/" TargetMode="External"/><Relationship Id="rId2249" Type="http://schemas.openxmlformats.org/officeDocument/2006/relationships/hyperlink" Target="https://www.tiktok.com/@its.raraaa13" TargetMode="External"/><Relationship Id="rId3571" Type="http://schemas.openxmlformats.org/officeDocument/2006/relationships/hyperlink" Target="https://vt.tiktok.com/ZS9SyLdPL/" TargetMode="External"/><Relationship Id="rId2240" Type="http://schemas.openxmlformats.org/officeDocument/2006/relationships/hyperlink" Target="https://www.tiktok.com/@mellyshasuryani14/video/7628958183704251668" TargetMode="External"/><Relationship Id="rId3570" Type="http://schemas.openxmlformats.org/officeDocument/2006/relationships/hyperlink" Target="https://vt.tiktok.com/ZS9BE5FUN/" TargetMode="External"/><Relationship Id="rId2241" Type="http://schemas.openxmlformats.org/officeDocument/2006/relationships/hyperlink" Target="https://www.tiktok.com/@mellyshasuryani14/video/7628948219032145173" TargetMode="External"/><Relationship Id="rId3573" Type="http://schemas.openxmlformats.org/officeDocument/2006/relationships/hyperlink" Target="https://vt.tiktok.com/ZS9SyrDSx/" TargetMode="External"/><Relationship Id="rId2242" Type="http://schemas.openxmlformats.org/officeDocument/2006/relationships/hyperlink" Target="https://www.tiktok.com/@mellyshasuryani14/video/7614050130232200468" TargetMode="External"/><Relationship Id="rId3572" Type="http://schemas.openxmlformats.org/officeDocument/2006/relationships/hyperlink" Target="https://www.tiktok.com/@sambrutalmtr_" TargetMode="External"/><Relationship Id="rId2243" Type="http://schemas.openxmlformats.org/officeDocument/2006/relationships/hyperlink" Target="https://www.tiktok.com/@mellyshasuryani14/video/7611358629794417940" TargetMode="External"/><Relationship Id="rId3575" Type="http://schemas.openxmlformats.org/officeDocument/2006/relationships/hyperlink" Target="https://www.tiktok.com/@moon_haloho" TargetMode="External"/><Relationship Id="rId2244" Type="http://schemas.openxmlformats.org/officeDocument/2006/relationships/hyperlink" Target="https://www.tiktok.com/@zafarabeauty" TargetMode="External"/><Relationship Id="rId3574" Type="http://schemas.openxmlformats.org/officeDocument/2006/relationships/hyperlink" Target="https://vt.tiktok.com/ZS9SySdQy/" TargetMode="External"/><Relationship Id="rId2245" Type="http://schemas.openxmlformats.org/officeDocument/2006/relationships/hyperlink" Target="https://www.tiktok.com/@zafarabeauty/video/7625443020170693895?is_from_webapp=1&amp;sender_device=pc&amp;web_id=7611930277489657360" TargetMode="External"/><Relationship Id="rId3577" Type="http://schemas.openxmlformats.org/officeDocument/2006/relationships/hyperlink" Target="https://vt.tiktok.com/ZS9kSeAYv/" TargetMode="External"/><Relationship Id="rId2246" Type="http://schemas.openxmlformats.org/officeDocument/2006/relationships/hyperlink" Target="https://www.tiktok.com/@zafarabeauty/video/7625446297469848850?is_from_webapp=1&amp;sender_device=pc&amp;web_id=7611930277489657360" TargetMode="External"/><Relationship Id="rId3576" Type="http://schemas.openxmlformats.org/officeDocument/2006/relationships/hyperlink" Target="https://vt.tiktok.com/ZS9SyJKEC/" TargetMode="External"/><Relationship Id="rId2236" Type="http://schemas.openxmlformats.org/officeDocument/2006/relationships/hyperlink" Target="https://vt.tiktok.com/ZS9tbaYcP/" TargetMode="External"/><Relationship Id="rId3568" Type="http://schemas.openxmlformats.org/officeDocument/2006/relationships/hyperlink" Target="https://vt.tiktok.com/ZS9SSNdpM/" TargetMode="External"/><Relationship Id="rId4899" Type="http://schemas.openxmlformats.org/officeDocument/2006/relationships/hyperlink" Target="https://vt.tiktok.com/ZS9UgagQf/" TargetMode="External"/><Relationship Id="rId2237" Type="http://schemas.openxmlformats.org/officeDocument/2006/relationships/hyperlink" Target="https://vt.tiktok.com/ZS9tbkd5U/" TargetMode="External"/><Relationship Id="rId3567" Type="http://schemas.openxmlformats.org/officeDocument/2006/relationships/hyperlink" Target="https://www.tiktok.com/@haulbyping" TargetMode="External"/><Relationship Id="rId4898" Type="http://schemas.openxmlformats.org/officeDocument/2006/relationships/hyperlink" Target="https://vt.tiktok.com/ZS9mtCW37/" TargetMode="External"/><Relationship Id="rId2238" Type="http://schemas.openxmlformats.org/officeDocument/2006/relationships/hyperlink" Target="https://vt.tiktok.com/ZS9tC7JJm/" TargetMode="External"/><Relationship Id="rId2239" Type="http://schemas.openxmlformats.org/officeDocument/2006/relationships/hyperlink" Target="https://www.tiktok.com/@mellyshasuryani14" TargetMode="External"/><Relationship Id="rId3569" Type="http://schemas.openxmlformats.org/officeDocument/2006/relationships/hyperlink" Target="https://vt.tiktok.com/ZS9SBogjF/" TargetMode="External"/><Relationship Id="rId3560" Type="http://schemas.openxmlformats.org/officeDocument/2006/relationships/hyperlink" Target="https://vt.tiktok.com/ZS9BwafYc/" TargetMode="External"/><Relationship Id="rId4891" Type="http://schemas.openxmlformats.org/officeDocument/2006/relationships/hyperlink" Target="https://vt.tiktok.com/ZS9fg1BW6/" TargetMode="External"/><Relationship Id="rId4890" Type="http://schemas.openxmlformats.org/officeDocument/2006/relationships/hyperlink" Target="https://www.tiktok.com/@badgalsasa" TargetMode="External"/><Relationship Id="rId2230" Type="http://schemas.openxmlformats.org/officeDocument/2006/relationships/hyperlink" Target="https://vt.tiktok.com/ZS9tC9E2E/" TargetMode="External"/><Relationship Id="rId3562" Type="http://schemas.openxmlformats.org/officeDocument/2006/relationships/hyperlink" Target="https://www.tiktok.com/@belasabilala" TargetMode="External"/><Relationship Id="rId4893" Type="http://schemas.openxmlformats.org/officeDocument/2006/relationships/hyperlink" Target="https://vt.tiktok.com/ZS9fbE2eb/" TargetMode="External"/><Relationship Id="rId2231" Type="http://schemas.openxmlformats.org/officeDocument/2006/relationships/hyperlink" Target="https://vt.tiktok.com/ZS9tCWKYD/" TargetMode="External"/><Relationship Id="rId3561" Type="http://schemas.openxmlformats.org/officeDocument/2006/relationships/hyperlink" Target="https://vt.tiktok.com/ZSxLCWQYd/" TargetMode="External"/><Relationship Id="rId4892" Type="http://schemas.openxmlformats.org/officeDocument/2006/relationships/hyperlink" Target="https://vt.tiktok.com/ZS9fgh3uS/" TargetMode="External"/><Relationship Id="rId2232" Type="http://schemas.openxmlformats.org/officeDocument/2006/relationships/hyperlink" Target="https://vt.tiktok.com/ZS9tCqeKC/" TargetMode="External"/><Relationship Id="rId3564" Type="http://schemas.openxmlformats.org/officeDocument/2006/relationships/hyperlink" Target="https://vt.tiktok.com/ZS9SSrXDe/" TargetMode="External"/><Relationship Id="rId4895" Type="http://schemas.openxmlformats.org/officeDocument/2006/relationships/hyperlink" Target="https://www.tiktok.com/@annisapuspitaz" TargetMode="External"/><Relationship Id="rId2233" Type="http://schemas.openxmlformats.org/officeDocument/2006/relationships/hyperlink" Target="https://vt.tiktok.com/ZS9tCqMkr/" TargetMode="External"/><Relationship Id="rId3563" Type="http://schemas.openxmlformats.org/officeDocument/2006/relationships/hyperlink" Target="https://vt.tiktok.com/ZS9ky2VfT/" TargetMode="External"/><Relationship Id="rId4894" Type="http://schemas.openxmlformats.org/officeDocument/2006/relationships/hyperlink" Target="https://vt.tiktok.com/ZS9fs4mEY/" TargetMode="External"/><Relationship Id="rId2234" Type="http://schemas.openxmlformats.org/officeDocument/2006/relationships/hyperlink" Target="https://www.tiktok.com/@sofymulkiyahh" TargetMode="External"/><Relationship Id="rId3566" Type="http://schemas.openxmlformats.org/officeDocument/2006/relationships/hyperlink" Target="https://vt.tiktok.com/ZS9SBT4a4/" TargetMode="External"/><Relationship Id="rId4897" Type="http://schemas.openxmlformats.org/officeDocument/2006/relationships/hyperlink" Target="https://vt.tiktok.com/ZS9mtoXa1/" TargetMode="External"/><Relationship Id="rId2235" Type="http://schemas.openxmlformats.org/officeDocument/2006/relationships/hyperlink" Target="https://www.tiktok.com/@carisacimbrut/video/7620077861298392341?is_from_webapp=1&amp;sender_device=pc&amp;web_id=7611930277489657360" TargetMode="External"/><Relationship Id="rId3565" Type="http://schemas.openxmlformats.org/officeDocument/2006/relationships/hyperlink" Target="https://vt.tiktok.com/ZS9SS4L8R/" TargetMode="External"/><Relationship Id="rId4896" Type="http://schemas.openxmlformats.org/officeDocument/2006/relationships/hyperlink" Target="https://vt.tiktok.com/ZS9fx9kkP/" TargetMode="External"/><Relationship Id="rId8409" Type="http://schemas.openxmlformats.org/officeDocument/2006/relationships/hyperlink" Target="https://www.tiktok.com/@rositaramdani7/video/7632840621039914248?_d=0&amp;_r=1&amp;ec_shared_reflux_dynamic_params=%7B%22placeholder_material_id%22%3A%227632840621039914248%22%2C%22placeholder_origin_cover%22%3A%22https%253A%252F%252Fp16-common-sign.tiktokcdn.com%252Ftos-alisg-p-0037%252Fo4Tq0AI4XCBVwjAWIYrCAIztJuiCI9hiVLCQfh~tplv-tiktokx-origin.jpeg%253Fdr%253D14572%2526refresh_token%253D142f2fad%2526x-expires%253D1808992800%2526x-signature%253DHpeIR5KLtc6wc1RTiJXRcQO8fOs%25253D%2526t%253D4d5b0474%2526ps%253D13740610%2526shp%253Dd05b14bd%2526shcp%253D34ff8df6%2526idc%253Dmy2%2526s%253DTIKTOK_AFFILIATE_VIRAL_VIDEO%22%2C%22placeholder_product_id%22%3A%221729427766722726591%22%2C%22placeholder_video_id%22%3A%227632840621039914248%22%7D&amp;ec_shared_reflux_scene=shop_tab_feed&amp;mid=7591377536513985281&amp;preview_pb=0&amp;region=&amp;share_item_id=7632840621039914248&amp;sharer_language=&amp;source=h5_t&amp;u_code=f1489jb4bi84e9" TargetMode="External"/><Relationship Id="rId8408" Type="http://schemas.openxmlformats.org/officeDocument/2006/relationships/hyperlink" Target="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22placeholder_origin_cover%22%3A%22https%253A%252F%252Fp16-common-sign.tiktokcdn.com%252Ftos-alisg-p-0037%252Fow724I9IGp8GJCSiAIeZAtCBfL0WETDI55ejBs~tplv-tiktokx-origin.jpeg%253Fdr%253D14572%2526refresh_token%253D974a53c8%2526x-expires%253D1808992800%2526x-signature%253DbBhbMoNFUGaDXGV%25252F1hVcSOsTVPM%25253D%2526t%253D4d5b0474%2526ps%253D13740610%2526shp%253Dd05b14bd%2526shcp%253D34ff8df6%2526idc%253Dmy2%2526s%253DTIKTOK_AFFILIATE_VIRAL_VIDEO%22%2C%22placeholder_product_id%22%3A%221729427766722726591%22%2C%22placeholder_video_id%22%3A%227632556344465231122%22%7D&amp;ec_shared_reflux_scene=shop_tab_feed&amp;share_item_id=7632556344465231122&amp;source=h5_t" TargetMode="External"/><Relationship Id="rId8407" Type="http://schemas.openxmlformats.org/officeDocument/2006/relationships/hyperlink" Target="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22placeholder_origin_cover%22%3A%22https%253A%252F%252Fp16-common-sign.tiktokcdn.com%252Ftos-alisg-p-0037%252FogtrPig6fAI1VtrDCBRpT4Bw9iBciEOXRfDIQy~tplv-tiktokx-origin.jpeg%253Fdr%253D14572%2526refresh_token%253Da7dfb7b6%2526x-expires%253D1808992800%2526x-signature%253DBLfnFU%25252FucpfNa%25252FqJkuXBbFXM3IE%25253D%2526t%253D4d5b0474%2526ps%253D13740610%2526shp%253Dd05b14bd%2526shcp%253D34ff8df6%2526idc%253Dmy2%2526s%253DTIKTOK_AFFILIATE_VIRAL_VIDEO%22%2C%22placeholder_product_id%22%3A%221729427766722726591%22%2C%22placeholder_video_id%22%3A%227632466134771453202%22%7D&amp;ec_shared_reflux_scene=shop_tab_feed&amp;share_item_id=7632466134771453202&amp;source=h5_t" TargetMode="External"/><Relationship Id="rId9738" Type="http://schemas.openxmlformats.org/officeDocument/2006/relationships/hyperlink" Target="https://www.tiktok.com/@pilinskiii" TargetMode="External"/><Relationship Id="rId9739" Type="http://schemas.openxmlformats.org/officeDocument/2006/relationships/hyperlink" Target="https://www.tiktok.com/@harumrice/video/7619310503105416468?_r=1&amp;_t=ZS-969xoIa07zV" TargetMode="External"/><Relationship Id="rId8402" Type="http://schemas.openxmlformats.org/officeDocument/2006/relationships/hyperlink" Target="https://vt.tiktok.com/ZSxfQGEgj/" TargetMode="External"/><Relationship Id="rId9734" Type="http://schemas.openxmlformats.org/officeDocument/2006/relationships/hyperlink" Target="https://www.tiktok.com/@harumrice/video/7619310503105416468?_r=1&amp;_t=ZS-969xoIa07zV" TargetMode="External"/><Relationship Id="rId8401" Type="http://schemas.openxmlformats.org/officeDocument/2006/relationships/hyperlink" Target="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aceholder_origin_cover%22%3A%22https%253A%252F%252Fp16-common-sign.tiktokcdn.com%252Ftos-alisg-p-0037%252FocT3fUyagtsUCPXIgtfvGDAQDjLK9oeTHAQG2I~tplv-tiktokx-origin.jpeg%253Fdr%253D14572%2526refresh_token%253D13d7c298%2526x-expires%253D1808992800%2526x-signature%253Dm1yuhUo4JC1EwMfosEQhUBd56yw%25253D%2526t%253D4d5b0474%2526ps%253D13740610%2526shp%253Dd05b14bd%2526shcp%253D34ff8df6%2526idc%253Dmy2%2526s%253DTIKTOK_AFFILIATE_VIRAL_VIDEO%22%2C%22placeholder_product_id%22%3A%221729427766722726591%22%2C%22placeholder_video_id%22%3A%227633434949797858581%22%7D&amp;ec_shared_reflux_scene=shop_tab_feed&amp;share_item_id=7633434949797858581&amp;source=h5_t" TargetMode="External"/><Relationship Id="rId9735" Type="http://schemas.openxmlformats.org/officeDocument/2006/relationships/hyperlink" Target="https://www.tiktok.com/@harumrice/video/7615128453184081173?_r=1&amp;_t=ZS-969xoIa07zV" TargetMode="External"/><Relationship Id="rId8400" Type="http://schemas.openxmlformats.org/officeDocument/2006/relationships/hyperlink" Target="https://www.tiktok.com/@ikkasaja" TargetMode="External"/><Relationship Id="rId9736" Type="http://schemas.openxmlformats.org/officeDocument/2006/relationships/hyperlink" Target="https://www.tiktok.com/@harumrice/video/7615008778697723157?_r=1&amp;_t=ZS-969xoIa07zV" TargetMode="External"/><Relationship Id="rId9737" Type="http://schemas.openxmlformats.org/officeDocument/2006/relationships/hyperlink" Target="https://www.tiktok.com/@harumrice/video/7614652016677211412?_r=1&amp;_t=ZS-969xoIa07zV" TargetMode="External"/><Relationship Id="rId8406" Type="http://schemas.openxmlformats.org/officeDocument/2006/relationships/hyperlink" Target="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22placeholder_origin_cover%22%3A%22https%253A%252F%252Fp16-common-sign.tiktokcdn.com%252Ftos-alisg-p-0037%252Fo8fO8AM1hZeDgXj1TZgNKQoIABetCT1Aj7WrQE~tplv-tiktokx-origin.jpeg%253Fdr%253D14572%2526refresh_token%253Db34d4f83%2526x-expires%253D1808992800%2526x-signature%253D5d%25252BwOsNi1vQGg3hT4qvK4L51k%25252FQ%25253D%2526t%253D4d5b0474%2526ps%253D13740610%2526shp%253Dd05b14bd%2526shcp%253D34ff8df6%2526idc%253Dmy2%2526s%253DTIKTOK_AFFILIATE_VIRAL_VIDEO%22%2C%22placeholder_product_id%22%3A%221729427766722726591%22%2C%22placeholder_video_id%22%3A%227632292373736803591%22%7D&amp;ec_shared_reflux_scene=shop_tab_feed&amp;share_item_id=7632292373736803591&amp;source=h5_t" TargetMode="External"/><Relationship Id="rId9730" Type="http://schemas.openxmlformats.org/officeDocument/2006/relationships/hyperlink" Target="https://www.tiktok.com/@harumrice/video/7615128453184081173?_r=1&amp;_t=ZS-969xoIa07zV" TargetMode="External"/><Relationship Id="rId8405" Type="http://schemas.openxmlformats.org/officeDocument/2006/relationships/hyperlink" Target="https://www.tiktok.com/@soniadiash" TargetMode="External"/><Relationship Id="rId9731" Type="http://schemas.openxmlformats.org/officeDocument/2006/relationships/hyperlink" Target="https://www.tiktok.com/@harumrice/video/7615008778697723157?_r=1&amp;_t=ZS-969xoIa07zV" TargetMode="External"/><Relationship Id="rId8404" Type="http://schemas.openxmlformats.org/officeDocument/2006/relationships/hyperlink" Target="https://vt.tiktok.com/ZSxDYQyTW/" TargetMode="External"/><Relationship Id="rId9732" Type="http://schemas.openxmlformats.org/officeDocument/2006/relationships/hyperlink" Target="https://www.tiktok.com/@harumrice/video/7614652016677211412?_r=1&amp;_t=ZS-969xoIa07zV" TargetMode="External"/><Relationship Id="rId8403" Type="http://schemas.openxmlformats.org/officeDocument/2006/relationships/hyperlink" Target="https://vt.tiktok.com/ZSxDYhccb/" TargetMode="External"/><Relationship Id="rId9733" Type="http://schemas.openxmlformats.org/officeDocument/2006/relationships/hyperlink" Target="https://www.tiktok.com/@ffyyy144" TargetMode="External"/><Relationship Id="rId9727" Type="http://schemas.openxmlformats.org/officeDocument/2006/relationships/hyperlink" Target="https://www.tiktok.com/@harumrice/video/7614652016677211412?_r=1&amp;_t=ZS-969xoIa07zV" TargetMode="External"/><Relationship Id="rId9728" Type="http://schemas.openxmlformats.org/officeDocument/2006/relationships/hyperlink" Target="https://www.tiktok.com/@borujuntak.h.16" TargetMode="External"/><Relationship Id="rId9729" Type="http://schemas.openxmlformats.org/officeDocument/2006/relationships/hyperlink" Target="https://www.tiktok.com/@harumrice/video/7619310503105416468?_r=1&amp;_t=ZS-969xoIa07zV" TargetMode="External"/><Relationship Id="rId9723" Type="http://schemas.openxmlformats.org/officeDocument/2006/relationships/hyperlink" Target="https://www.tiktok.com/@tarielestaryy" TargetMode="External"/><Relationship Id="rId9724" Type="http://schemas.openxmlformats.org/officeDocument/2006/relationships/hyperlink" Target="https://www.tiktok.com/@harumrice/video/7619310503105416468?_r=1&amp;_t=ZS-969xoIa07zV" TargetMode="External"/><Relationship Id="rId9725" Type="http://schemas.openxmlformats.org/officeDocument/2006/relationships/hyperlink" Target="https://www.tiktok.com/@harumrice/video/7615128453184081173?_r=1&amp;_t=ZS-969xoIa07zV" TargetMode="External"/><Relationship Id="rId9726" Type="http://schemas.openxmlformats.org/officeDocument/2006/relationships/hyperlink" Target="https://www.tiktok.com/@harumrice/video/7615008778697723157?_r=1&amp;_t=ZS-969xoIa07zV" TargetMode="External"/><Relationship Id="rId9720" Type="http://schemas.openxmlformats.org/officeDocument/2006/relationships/hyperlink" Target="https://www.tiktok.com/@harumrice/video/7615128453184081173?_r=1&amp;_t=ZS-969xoIa07zV" TargetMode="External"/><Relationship Id="rId9721" Type="http://schemas.openxmlformats.org/officeDocument/2006/relationships/hyperlink" Target="https://www.tiktok.com/@harumrice/video/7615008778697723157?_r=1&amp;_t=ZS-969xoIa07zV" TargetMode="External"/><Relationship Id="rId9722" Type="http://schemas.openxmlformats.org/officeDocument/2006/relationships/hyperlink" Target="https://www.tiktok.com/@harumrice/video/7614652016677211412?_r=1&amp;_t=ZS-969xoIa07zV" TargetMode="External"/><Relationship Id="rId8429" Type="http://schemas.openxmlformats.org/officeDocument/2006/relationships/hyperlink" Target="https://www.tiktok.com/@rositaramdani7/video/7632840621039914248?_d=0&amp;_r=1&amp;ec_shared_reflux_dynamic_params=%7B%22placeholder_material_id%22%3A%227632840621039914248%22%2C%22placeholder_origin_cover%22%3A%22https%253A%252F%252Fp16-common-sign.tiktokcdn.com%252Ftos-alisg-p-0037%252Fo4Tq0AI4XCBVwjAWIYrCAIztJuiCI9hiVLCQfh~tplv-tiktokx-origin.jpeg%253Fdr%253D14572%2526refresh_token%253D142f2fad%2526x-expires%253D1808992800%2526x-signature%253DHpeIR5KLtc6wc1RTiJXRcQO8fOs%25253D%2526t%253D4d5b0474%2526ps%253D13740610%2526shp%253Dd05b14bd%2526shcp%253D34ff8df6%2526idc%253Dmy2%2526s%253DTIKTOK_AFFILIATE_VIRAL_VIDEO%22%2C%22placeholder_product_id%22%3A%221729427766722726591%22%2C%22placeholder_video_id%22%3A%227632840621039914248%22%7D&amp;ec_shared_reflux_scene=shop_tab_feed&amp;mid=7591377536513985281&amp;preview_pb=0&amp;region=&amp;share_item_id=7632840621039914248&amp;sharer_language=&amp;source=h5_t&amp;u_code=f1489jb4bi84e10" TargetMode="External"/><Relationship Id="rId9750" Type="http://schemas.openxmlformats.org/officeDocument/2006/relationships/hyperlink" Target="https://www.tiktok.com/@harumrice/video/7615128453184081173?_r=1&amp;_t=ZS-969xoIa07zV" TargetMode="External"/><Relationship Id="rId9751" Type="http://schemas.openxmlformats.org/officeDocument/2006/relationships/hyperlink" Target="https://www.tiktok.com/@harumrice/video/7615008778697723157?_r=1&amp;_t=ZS-969xoIa07zV" TargetMode="External"/><Relationship Id="rId8420" Type="http://schemas.openxmlformats.org/officeDocument/2006/relationships/hyperlink" Target="https://www.tiktok.com/@marissakhalisa5" TargetMode="External"/><Relationship Id="rId8424" Type="http://schemas.openxmlformats.org/officeDocument/2006/relationships/hyperlink" Target="https://vt.tiktok.com/ZSxDYQyTW/" TargetMode="External"/><Relationship Id="rId9756" Type="http://schemas.openxmlformats.org/officeDocument/2006/relationships/hyperlink" Target="https://www.tiktok.com/@harumrice/video/7615008778697723157?_r=1&amp;_t=ZS-969xoIa07zV" TargetMode="External"/><Relationship Id="rId8423" Type="http://schemas.openxmlformats.org/officeDocument/2006/relationships/hyperlink" Target="https://vt.tiktok.com/ZSxDYhccb/" TargetMode="External"/><Relationship Id="rId9757" Type="http://schemas.openxmlformats.org/officeDocument/2006/relationships/hyperlink" Target="https://www.tiktok.com/@harumrice/video/7614652016677211412?_r=1&amp;_t=ZS-969xoIa07zV" TargetMode="External"/><Relationship Id="rId8422" Type="http://schemas.openxmlformats.org/officeDocument/2006/relationships/hyperlink" Target="https://vt.tiktok.com/ZSxfQGEgj/" TargetMode="External"/><Relationship Id="rId9758" Type="http://schemas.openxmlformats.org/officeDocument/2006/relationships/hyperlink" Target="https://www.tiktok.com/@fiyuna_setiana" TargetMode="External"/><Relationship Id="rId8421" Type="http://schemas.openxmlformats.org/officeDocument/2006/relationships/hyperlink" Target="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aceholder_origin_cover%22%3A%22https%253A%252F%252Fp16-common-sign.tiktokcdn.com%252Ftos-alisg-p-0037%252FocT3fUyagtsUCPXIgtfvGDAQDjLK9oeTHAQG2I~tplv-tiktokx-origin.jpeg%253Fdr%253D14572%2526refresh_token%253D13d7c298%2526x-expires%253D1808992800%2526x-signature%253Dm1yuhUo4JC1EwMfosEQhUBd56yw%25253D%2526t%253D4d5b0474%2526ps%253D13740610%2526shp%253Dd05b14bd%2526shcp%253D34ff8df6%2526idc%253Dmy2%2526s%253DTIKTOK_AFFILIATE_VIRAL_VIDEO%22%2C%22placeholder_product_id%22%3A%221729427766722726591%22%2C%22placeholder_video_id%22%3A%227633434949797858581%22%7D&amp;ec_shared_reflux_scene=shop_tab_feed&amp;share_item_id=7633434949797858581&amp;source=h5_t" TargetMode="External"/><Relationship Id="rId9759" Type="http://schemas.openxmlformats.org/officeDocument/2006/relationships/hyperlink" Target="https://www.tiktok.com/@harumrice/video/7619310503105416468?_r=1&amp;_t=ZS-969xoIa07zV" TargetMode="External"/><Relationship Id="rId8428" Type="http://schemas.openxmlformats.org/officeDocument/2006/relationships/hyperlink" Target="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22placeholder_origin_cover%22%3A%22https%253A%252F%252Fp16-common-sign.tiktokcdn.com%252Ftos-alisg-p-0037%252Fow724I9IGp8GJCSiAIeZAtCBfL0WETDI55ejBs~tplv-tiktokx-origin.jpeg%253Fdr%253D14572%2526refresh_token%253D974a53c8%2526x-expires%253D1808992800%2526x-signature%253DbBhbMoNFUGaDXGV%25252F1hVcSOsTVPM%25253D%2526t%253D4d5b0474%2526ps%253D13740610%2526shp%253Dd05b14bd%2526shcp%253D34ff8df6%2526idc%253Dmy2%2526s%253DTIKTOK_AFFILIATE_VIRAL_VIDEO%22%2C%22placeholder_product_id%22%3A%221729427766722726591%22%2C%22placeholder_video_id%22%3A%227632556344465231122%22%7D&amp;ec_shared_reflux_scene=shop_tab_feed&amp;share_item_id=7632556344465231122&amp;source=h5_t" TargetMode="External"/><Relationship Id="rId9752" Type="http://schemas.openxmlformats.org/officeDocument/2006/relationships/hyperlink" Target="https://www.tiktok.com/@harumrice/video/7614652016677211412?_r=1&amp;_t=ZS-969xoIa07zV" TargetMode="External"/><Relationship Id="rId8427" Type="http://schemas.openxmlformats.org/officeDocument/2006/relationships/hyperlink" Target="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22placeholder_origin_cover%22%3A%22https%253A%252F%252Fp16-common-sign.tiktokcdn.com%252Ftos-alisg-p-0037%252FogtrPig6fAI1VtrDCBRpT4Bw9iBciEOXRfDIQy~tplv-tiktokx-origin.jpeg%253Fdr%253D14572%2526refresh_token%253Da7dfb7b6%2526x-expires%253D1808992800%2526x-signature%253DBLfnFU%25252FucpfNa%25252FqJkuXBbFXM3IE%25253D%2526t%253D4d5b0474%2526ps%253D13740610%2526shp%253Dd05b14bd%2526shcp%253D34ff8df6%2526idc%253Dmy2%2526s%253DTIKTOK_AFFILIATE_VIRAL_VIDEO%22%2C%22placeholder_product_id%22%3A%221729427766722726591%22%2C%22placeholder_video_id%22%3A%227632466134771453202%22%7D&amp;ec_shared_reflux_scene=shop_tab_feed&amp;share_item_id=7632466134771453202&amp;source=h5_t" TargetMode="External"/><Relationship Id="rId9753" Type="http://schemas.openxmlformats.org/officeDocument/2006/relationships/hyperlink" Target="https://www.tiktok.com/@niaaa_k10" TargetMode="External"/><Relationship Id="rId8426" Type="http://schemas.openxmlformats.org/officeDocument/2006/relationships/hyperlink" Target="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22placeholder_origin_cover%22%3A%22https%253A%252F%252Fp16-common-sign.tiktokcdn.com%252Ftos-alisg-p-0037%252Fo8fO8AM1hZeDgXj1TZgNKQoIABetCT1Aj7WrQE~tplv-tiktokx-origin.jpeg%253Fdr%253D14572%2526refresh_token%253Db34d4f83%2526x-expires%253D1808992800%2526x-signature%253D5d%25252BwOsNi1vQGg3hT4qvK4L51k%25252FQ%25253D%2526t%253D4d5b0474%2526ps%253D13740610%2526shp%253Dd05b14bd%2526shcp%253D34ff8df6%2526idc%253Dmy2%2526s%253DTIKTOK_AFFILIATE_VIRAL_VIDEO%22%2C%22placeholder_product_id%22%3A%221729427766722726591%22%2C%22placeholder_video_id%22%3A%227632292373736803591%22%7D&amp;ec_shared_reflux_scene=shop_tab_feed&amp;share_item_id=7632292373736803591&amp;source=h5_t" TargetMode="External"/><Relationship Id="rId9754" Type="http://schemas.openxmlformats.org/officeDocument/2006/relationships/hyperlink" Target="https://www.tiktok.com/@harumrice/video/7619310503105416468?_r=1&amp;_t=ZS-969xoIa07zV" TargetMode="External"/><Relationship Id="rId8425" Type="http://schemas.openxmlformats.org/officeDocument/2006/relationships/hyperlink" Target="https://www.tiktok.com/@nenuyasmara" TargetMode="External"/><Relationship Id="rId9755" Type="http://schemas.openxmlformats.org/officeDocument/2006/relationships/hyperlink" Target="https://www.tiktok.com/@harumrice/video/7615128453184081173?_r=1&amp;_t=ZS-969xoIa07zV" TargetMode="External"/><Relationship Id="rId8419" Type="http://schemas.openxmlformats.org/officeDocument/2006/relationships/hyperlink" Target="https://www.tiktok.com/@belanja_hemat.shop/video/7630283480441621767?_r=1&amp;u_code=ek6h2252jijmih&amp;region=&amp;mid=7615963521880558357&amp;preview_pb=0&amp;sharer_language=&amp;_d=0&amp;ec_shared_reflux_dynamic_params=%7B%22placeholder_material_id%22%3A%227630283480441621767%22%2C%22placeholder_origin_cover%22%3A%22https%253A%252F%252Fp16-sign-sg.tiktokcdn.com%252Ftos-alisg-p-0037%252FowLgThbTAvZEDmUpRgqBBrYOOEQeQEFIpPa5fD~tplv-tiktokx-origin.jpeg%253Fdr%253D14572%2526refresh_token%253D7028f3e9%2526x-expires%253D1808992800%2526x-signature%253Dm8NIDbYtD8vdd9sCzAcHHhWysZQ%25253D%2526t%253D4d5b0474%2526ps%253D13740610%2526shp%253Dd05b14bd%2526shcp%253D34ff8df6%2526idc%253Dmy2%2526s%253DTIKTOK_AFFILIATE_VIRAL_VIDEO%22%2C%22placeholder_product_id%22%3A%221729427766722726591%22%2C%22placeholder_video_id%22%3A%227630283480441621767%22%7D&amp;ec_shared_reflux_scene=shop_tab_feed&amp;share_item_id=7630283480441621767&amp;source=h5_t" TargetMode="External"/><Relationship Id="rId8418" Type="http://schemas.openxmlformats.org/officeDocument/2006/relationships/hyperlink" Target="https://www.tiktok.com/@belanja_hemat.shop/video/7630083439080852744?_r=1&amp;u_code=ek6h2252jijmih&amp;region=&amp;mid=7502446149192567607&amp;preview_pb=0&amp;sharer_language=&amp;_d=0&amp;ec_shared_reflux_dynamic_params=%7B%22placeholder_material_id%22%3A%227630083439080852744%22%2C%22placeholder_origin_cover%22%3A%22https%253A%252F%252Fp16-common-sign.tiktokcdn.com%252Ftos-alisg-p-0037%252FoEONqiBlICA7hICZgjiI3AAAgBswH8WOe0PpIT~tplv-tiktokx-origin.jpeg%253Fdr%253D14572%2526refresh_token%253Dc5a3bd01%2526x-expires%253D1808992800%2526x-signature%253DmHrmToRfBoDI76E5SnS33jucUxo%25253D%2526t%253D4d5b0474%2526ps%253D13740610%2526shp%253Dd05b14bd%2526shcp%253D34ff8df6%2526idc%253Dmy2%2526s%253DTIKTOK_AFFILIATE_VIRAL_VIDEO%22%2C%22placeholder_product_id%22%3A%221729427766722726591%22%2C%22placeholder_video_id%22%3A%227630083439080852744%22%7D&amp;ec_shared_reflux_scene=shop_tab_feed&amp;share_item_id=7630083439080852744&amp;source=h5_t" TargetMode="External"/><Relationship Id="rId9749" Type="http://schemas.openxmlformats.org/officeDocument/2006/relationships/hyperlink" Target="https://www.tiktok.com/@harumrice/video/7619310503105416468?_r=1&amp;_t=ZS-969xoIa07zV" TargetMode="External"/><Relationship Id="rId9740" Type="http://schemas.openxmlformats.org/officeDocument/2006/relationships/hyperlink" Target="https://www.tiktok.com/@harumrice/video/7615128453184081173?_r=1&amp;_t=ZS-969xoIa07zV" TargetMode="External"/><Relationship Id="rId8413" Type="http://schemas.openxmlformats.org/officeDocument/2006/relationships/hyperlink" Target="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eholder_origin_cover%22%3A%22https%253A%252F%252Fp16-sign-sg.tiktokcdn.com%252Ftos-alisg-p-0037%252Fo03hfABezYXBDiRNp9OP7BUEgIxxBiEINkwKiH~tplv-tiktokx-origin.jpeg%253Fdr%253D14572%2526refresh_token%253D2b3edbd9%2526x-expires%253D1808992800%2526x-signature%253DuF7qjx32DHmqMM4GzKo0wROx5Eg%25253D%2526t%253D4d5b0474%2526ps%253D13740610%2526shp%253Dd05b14bd%2526shcp%253D34ff8df6%2526idc%253Dmy2%2526s%253DTIKTOK_AFFILIATE_VIRAL_VIDEO%22%2C%22placeholder_product_id%22%3A%221729427766722726591%22%2C%22placeholder_video_id%22%3A%227633988561930423560%22%7D&amp;ec_shared_reflux_scene=shop_tab_feed&amp;share_item_id=7633988561930423560&amp;source=h5_t" TargetMode="External"/><Relationship Id="rId9745" Type="http://schemas.openxmlformats.org/officeDocument/2006/relationships/hyperlink" Target="https://www.tiktok.com/@harumrice/video/7615128453184081173?_r=1&amp;_t=ZS-969xoIa07zV" TargetMode="External"/><Relationship Id="rId8412" Type="http://schemas.openxmlformats.org/officeDocument/2006/relationships/hyperlink" Target="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eholder_origin_cover%22%3A%22https%253A%252F%252Fp16-common-sign.tiktokcdn.com%252Ftos-alisg-p-0037%252FoEvtB2BmQIJJbKvDCITIgGKC4QfW4c8eAAeLPj~tplv-tiktokx-origin.jpeg%253Fdr%253D14572%2526refresh_token%253D14b8e5a1%2526x-expires%253D1808992800%2526x-signature%253DsBKNRZM9NlGgABGP%25252Bi5CuTVSWFg%25253D%2526t%253D4d5b0474%2526ps%253D13740610%2526shp%253Dd05b14bd%2526shcp%253D34ff8df6%2526idc%253Dmy2%2526s%253DTIKTOK_AFFILIATE_VIRAL_VIDEO%22%2C%22placeholder_product_id%22%3A%221729427766722726591%22%2C%22placeholder_video_id%22%3A%227633619284236799240%22%7D&amp;ec_shared_reflux_scene=shop_tab_feed&amp;share_item_id=7633619284236799240&amp;source=h5_t" TargetMode="External"/><Relationship Id="rId9746" Type="http://schemas.openxmlformats.org/officeDocument/2006/relationships/hyperlink" Target="https://www.tiktok.com/@harumrice/video/7615008778697723157?_r=1&amp;_t=ZS-969xoIa07zV" TargetMode="External"/><Relationship Id="rId8411" Type="http://schemas.openxmlformats.org/officeDocument/2006/relationships/hyperlink" Target="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eholder_origin_cover%22%3A%22https%253A%252F%252Fp16-common-sign.tiktokcdn.com%252Ftos-alisg-p-0037%252Fokej83InNuARId4oIVGPkcAQGeAeLDBS0CHTZQ~tplv-tiktokx-origin.jpeg%253Fdr%253D14572%2526refresh_token%253D3b7eb85d%2526x-expires%253D1808992800%2526x-signature%253DzhyQY%25252Bd9E%25252FZMgX7MRj4vEnlPr%25252BI%25253D%2526t%253D4d5b0474%2526ps%253D13740610%2526shp%253Dd05b14bd%2526shcp%253D34ff8df6%2526idc%253Dmy2%2526s%253DTIKTOK_AFFILIATE_VIRAL_VIDEO%22%2C%22placeholder_product_id%22%3A%221729427766722726591%22%2C%22placeholder_video_id%22%3A%227633259666696391954%22%7D&amp;ec_shared_reflux_scene=shop_tab_feed&amp;share_item_id=7633259666696391954&amp;source=h5_t" TargetMode="External"/><Relationship Id="rId9747" Type="http://schemas.openxmlformats.org/officeDocument/2006/relationships/hyperlink" Target="https://www.tiktok.com/@harumrice/video/7614652016677211412?_r=1&amp;_t=ZS-969xoIa07zV" TargetMode="External"/><Relationship Id="rId8410" Type="http://schemas.openxmlformats.org/officeDocument/2006/relationships/hyperlink" Target="https://www.tiktok.com/@kelilingskincare" TargetMode="External"/><Relationship Id="rId9748" Type="http://schemas.openxmlformats.org/officeDocument/2006/relationships/hyperlink" Target="https://www.tiktok.com/@ayiemerysamaazz" TargetMode="External"/><Relationship Id="rId8417" Type="http://schemas.openxmlformats.org/officeDocument/2006/relationships/hyperlink" Target="https://www.tiktok.com/@belanja_hemat.shop/video/7630068304346074375?_r=1&amp;u_code=ek6h2252jijmih&amp;region=&amp;mid=7502446149192567607&amp;preview_pb=0&amp;sharer_language=&amp;_d=0&amp;ec_shared_reflux_dynamic_params=%7B%22placeholder_material_id%22%3A%227630068304346074375%22%2C%22placeholder_origin_cover%22%3A%22https%253A%252F%252Fp16-common-sign.tiktokcdn.com%252Ftos-alisg-p-0037%252FoY0jIj6CABiiHw6UKcYAvir4yAqkkIDPINeK4B~tplv-tiktokx-origin.jpeg%253Fdr%253D14572%2526refresh_token%253Dc394bf07%2526x-expires%253D1808992800%2526x-signature%253D%25252FXFHLg710N9EHbaT4qukgslNM%25252F0%25253D%2526t%253D4d5b0474%2526ps%253D13740610%2526shp%253Dd05b14bd%2526shcp%253D34ff8df6%2526idc%253Dmy2%2526s%253DTIKTOK_AFFILIATE_VIRAL_VIDEO%22%2C%22placeholder_product_id%22%3A%221729427766722726591%22%2C%22placeholder_video_id%22%3A%227630068304346074375%22%7D&amp;ec_shared_reflux_scene=shop_tab_feed&amp;share_item_id=7630068304346074375&amp;source=h5_t" TargetMode="External"/><Relationship Id="rId9741" Type="http://schemas.openxmlformats.org/officeDocument/2006/relationships/hyperlink" Target="https://www.tiktok.com/@harumrice/video/7615008778697723157?_r=1&amp;_t=ZS-969xoIa07zV" TargetMode="External"/><Relationship Id="rId8416" Type="http://schemas.openxmlformats.org/officeDocument/2006/relationships/hyperlink" Target="https://www.tiktok.com/@belanja_hemat.shop/video/7629926744312548615?_r=1&amp;u_code=ek6h2252jijmih&amp;region=&amp;mid=7395415388382824464&amp;preview_pb=0&amp;sharer_language=&amp;_d=0&amp;ec_shared_reflux_dynamic_params=%7B%22placeholder_material_id%22%3A%227629926744312548615%22%2C%22placeholder_origin_cover%22%3A%22https%253A%252F%252Fp16-sign-sg.tiktokcdn.com%252Ftos-alisg-p-0037%252FogARLXupOi5fMxsvG8GFedRoAQQmGeGAPnfVBh~tplv-tiktokx-origin.jpeg%253Fdr%253D14572%2526refresh_token%253D0bc3ef94%2526x-expires%253D1808992800%2526x-signature%253DCbDvTxf0YgqWOaOAOjYGyzVeMR4%25253D%2526t%253D4d5b0474%2526ps%253D13740610%2526shp%253Dd05b14bd%2526shcp%253D34ff8df6%2526idc%253Dmy2%2526s%253DTIKTOK_AFFILIATE_VIRAL_VIDEO%22%2C%22placeholder_product_id%22%3A%221729427766722726591%22%2C%22placeholder_video_id%22%3A%227629926744312548615%22%7D&amp;ec_shared_reflux_scene=shop_tab_feed&amp;share_item_id=7629926744312548615&amp;source=h5_t" TargetMode="External"/><Relationship Id="rId9742" Type="http://schemas.openxmlformats.org/officeDocument/2006/relationships/hyperlink" Target="https://www.tiktok.com/@harumrice/video/7614652016677211412?_r=1&amp;_t=ZS-969xoIa07zV" TargetMode="External"/><Relationship Id="rId8415" Type="http://schemas.openxmlformats.org/officeDocument/2006/relationships/hyperlink" Target="https://www.tiktok.com/@fhantri88" TargetMode="External"/><Relationship Id="rId9743" Type="http://schemas.openxmlformats.org/officeDocument/2006/relationships/hyperlink" Target="https://www.tiktok.com/@piglowing" TargetMode="External"/><Relationship Id="rId8414" Type="http://schemas.openxmlformats.org/officeDocument/2006/relationships/hyperlink" Target="https://vt.tiktok.com/ZSxfCLAv5/" TargetMode="External"/><Relationship Id="rId9744" Type="http://schemas.openxmlformats.org/officeDocument/2006/relationships/hyperlink" Target="https://www.tiktok.com/@harumrice/video/7619310503105416468?_r=1&amp;_t=ZS-969xoIa07zV" TargetMode="External"/><Relationship Id="rId2290" Type="http://schemas.openxmlformats.org/officeDocument/2006/relationships/hyperlink" Target="https://vt.tiktok.com/ZSHdWLe4M/" TargetMode="External"/><Relationship Id="rId2291" Type="http://schemas.openxmlformats.org/officeDocument/2006/relationships/hyperlink" Target="https://vt.tiktok.com/ZSHdWJHc6/" TargetMode="External"/><Relationship Id="rId2292" Type="http://schemas.openxmlformats.org/officeDocument/2006/relationships/hyperlink" Target="https://vt.tiktok.com/ZSHdWGjjw/" TargetMode="External"/><Relationship Id="rId2293" Type="http://schemas.openxmlformats.org/officeDocument/2006/relationships/hyperlink" Target="https://vt.tiktok.com/ZSH6c2r2g/" TargetMode="External"/><Relationship Id="rId2294" Type="http://schemas.openxmlformats.org/officeDocument/2006/relationships/hyperlink" Target="https://www.tiktok.com/@wulanmaulida056" TargetMode="External"/><Relationship Id="rId2295" Type="http://schemas.openxmlformats.org/officeDocument/2006/relationships/hyperlink" Target="https://vt.tiktok.com/ZS9tqC796/" TargetMode="External"/><Relationship Id="rId2296" Type="http://schemas.openxmlformats.org/officeDocument/2006/relationships/hyperlink" Target="https://vt.tiktok.com/ZS9tq4SsW/" TargetMode="External"/><Relationship Id="rId2297" Type="http://schemas.openxmlformats.org/officeDocument/2006/relationships/hyperlink" Target="https://vt.tiktok.com/ZS9tqXq6e/" TargetMode="External"/><Relationship Id="rId2298" Type="http://schemas.openxmlformats.org/officeDocument/2006/relationships/hyperlink" Target="https://vt.tiktok.com/ZS9tqVrXJ/" TargetMode="External"/><Relationship Id="rId2299" Type="http://schemas.openxmlformats.org/officeDocument/2006/relationships/hyperlink" Target="https://www.tiktok.com/@ujujuhanah12" TargetMode="External"/><Relationship Id="rId9716" Type="http://schemas.openxmlformats.org/officeDocument/2006/relationships/hyperlink" Target="https://www.tiktok.com/@harumrice/video/7615008778697723157?_r=1&amp;_t=ZS-969xoIa07zV" TargetMode="External"/><Relationship Id="rId9717" Type="http://schemas.openxmlformats.org/officeDocument/2006/relationships/hyperlink" Target="https://www.tiktok.com/@harumrice/video/7614652016677211412?_r=1&amp;_t=ZS-969xoIa07zV" TargetMode="External"/><Relationship Id="rId9718" Type="http://schemas.openxmlformats.org/officeDocument/2006/relationships/hyperlink" Target="https://www.tiktok.com/@mas.rifa45" TargetMode="External"/><Relationship Id="rId9719" Type="http://schemas.openxmlformats.org/officeDocument/2006/relationships/hyperlink" Target="https://www.tiktok.com/@harumrice/video/7619310503105416468?_r=1&amp;_t=ZS-969xoIa07zV" TargetMode="External"/><Relationship Id="rId9712" Type="http://schemas.openxmlformats.org/officeDocument/2006/relationships/hyperlink" Target="https://www.tiktok.com/@harumrice/video/7614652016677211412?_r=1&amp;_t=ZS-969xoIa07zV" TargetMode="External"/><Relationship Id="rId9713" Type="http://schemas.openxmlformats.org/officeDocument/2006/relationships/hyperlink" Target="https://www.tiktok.com/@she_irmaaa" TargetMode="External"/><Relationship Id="rId9714" Type="http://schemas.openxmlformats.org/officeDocument/2006/relationships/hyperlink" Target="https://www.tiktok.com/@harumrice/video/7619310503105416468?_r=1&amp;_t=ZS-969xoIa07zV" TargetMode="External"/><Relationship Id="rId9715" Type="http://schemas.openxmlformats.org/officeDocument/2006/relationships/hyperlink" Target="https://www.tiktok.com/@harumrice/video/7615128453184081173?_r=1&amp;_t=ZS-969xoIa07zV" TargetMode="External"/><Relationship Id="rId9710" Type="http://schemas.openxmlformats.org/officeDocument/2006/relationships/hyperlink" Target="https://www.tiktok.com/@harumrice/video/7615128453184081173?_r=1&amp;_t=ZS-969xoIa07zV" TargetMode="External"/><Relationship Id="rId9711" Type="http://schemas.openxmlformats.org/officeDocument/2006/relationships/hyperlink" Target="https://www.tiktok.com/@harumrice/video/7615008778697723157?_r=1&amp;_t=ZS-969xoIa07zV" TargetMode="External"/><Relationship Id="rId9709" Type="http://schemas.openxmlformats.org/officeDocument/2006/relationships/hyperlink" Target="https://www.tiktok.com/@harumrice/video/7619310503105416468?_r=1&amp;_t=ZS-969xoIa07zV" TargetMode="External"/><Relationship Id="rId9705" Type="http://schemas.openxmlformats.org/officeDocument/2006/relationships/hyperlink" Target="https://www.tiktok.com/@harumrice/video/7615128453184081173?_r=1&amp;_t=ZS-969xoIa07zV" TargetMode="External"/><Relationship Id="rId9706" Type="http://schemas.openxmlformats.org/officeDocument/2006/relationships/hyperlink" Target="https://www.tiktok.com/@harumrice/video/7615008778697723157?_r=1&amp;_t=ZS-969xoIa07zV" TargetMode="External"/><Relationship Id="rId9707" Type="http://schemas.openxmlformats.org/officeDocument/2006/relationships/hyperlink" Target="https://www.tiktok.com/@harumrice/video/7614652016677211412?_r=1&amp;_t=ZS-969xoIa07zV" TargetMode="External"/><Relationship Id="rId9708" Type="http://schemas.openxmlformats.org/officeDocument/2006/relationships/hyperlink" Target="https://www.tiktok.com/@milarosa2111" TargetMode="External"/><Relationship Id="rId9701" Type="http://schemas.openxmlformats.org/officeDocument/2006/relationships/hyperlink" Target="https://www.tiktok.com/@harumrice/video/7615008778697723157?_r=1&amp;_t=ZS-969xoIa07zV" TargetMode="External"/><Relationship Id="rId9702" Type="http://schemas.openxmlformats.org/officeDocument/2006/relationships/hyperlink" Target="https://www.tiktok.com/@harumrice/video/7614652016677211412?_r=1&amp;_t=ZS-969xoIa07zV" TargetMode="External"/><Relationship Id="rId9703" Type="http://schemas.openxmlformats.org/officeDocument/2006/relationships/hyperlink" Target="https://www.tiktok.com/@susylampung92" TargetMode="External"/><Relationship Id="rId9704" Type="http://schemas.openxmlformats.org/officeDocument/2006/relationships/hyperlink" Target="https://www.tiktok.com/@harumrice/video/7619310503105416468?_r=1&amp;_t=ZS-969xoIa07zV" TargetMode="External"/><Relationship Id="rId9700" Type="http://schemas.openxmlformats.org/officeDocument/2006/relationships/hyperlink" Target="https://www.tiktok.com/@harumrice/video/7615128453184081173?_r=1&amp;_t=ZS-969xoIa07zV" TargetMode="External"/><Relationship Id="rId7151" Type="http://schemas.openxmlformats.org/officeDocument/2006/relationships/hyperlink" Target="https://vt.tiktok.com/ZS9fAeqYT/" TargetMode="External"/><Relationship Id="rId8482" Type="http://schemas.openxmlformats.org/officeDocument/2006/relationships/hyperlink" Target="https://vt.tiktok.com/ZS9fXPD9x/" TargetMode="External"/><Relationship Id="rId7150" Type="http://schemas.openxmlformats.org/officeDocument/2006/relationships/hyperlink" Target="https://vt.tiktok.com/ZS9fARK72/" TargetMode="External"/><Relationship Id="rId8481" Type="http://schemas.openxmlformats.org/officeDocument/2006/relationships/hyperlink" Target="https://vt.tiktok.com/ZS9fXPByN/" TargetMode="External"/><Relationship Id="rId8480" Type="http://schemas.openxmlformats.org/officeDocument/2006/relationships/hyperlink" Target="https://www.tiktok.com/@ibu_kenanzhafir" TargetMode="External"/><Relationship Id="rId7155" Type="http://schemas.openxmlformats.org/officeDocument/2006/relationships/hyperlink" Target="https://vt.tiktok.com/ZS9fARK72/" TargetMode="External"/><Relationship Id="rId8486" Type="http://schemas.openxmlformats.org/officeDocument/2006/relationships/hyperlink" Target="https://vt.tiktok.com/ZS9fXPByN/" TargetMode="External"/><Relationship Id="rId7154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8485" Type="http://schemas.openxmlformats.org/officeDocument/2006/relationships/hyperlink" Target="https://www.tiktok.com/@novi_lutfiah" TargetMode="External"/><Relationship Id="rId7153" Type="http://schemas.openxmlformats.org/officeDocument/2006/relationships/hyperlink" Target="https://www.tiktok.com/@cinunk09" TargetMode="External"/><Relationship Id="rId8484" Type="http://schemas.openxmlformats.org/officeDocument/2006/relationships/hyperlink" Target="https://vt.tiktok.com/ZS9fXvH5a/" TargetMode="External"/><Relationship Id="rId7152" Type="http://schemas.openxmlformats.org/officeDocument/2006/relationships/hyperlink" Target="https://vt.tiktok.com/ZS9fSTq7R/" TargetMode="External"/><Relationship Id="rId8483" Type="http://schemas.openxmlformats.org/officeDocument/2006/relationships/hyperlink" Target="https://vt.tiktok.com/ZS9fXEaYN/" TargetMode="External"/><Relationship Id="rId7159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7158" Type="http://schemas.openxmlformats.org/officeDocument/2006/relationships/hyperlink" Target="https://www.tiktok.com/@h0lavn" TargetMode="External"/><Relationship Id="rId8489" Type="http://schemas.openxmlformats.org/officeDocument/2006/relationships/hyperlink" Target="https://vt.tiktok.com/ZS9fXvH5a/" TargetMode="External"/><Relationship Id="rId7157" Type="http://schemas.openxmlformats.org/officeDocument/2006/relationships/hyperlink" Target="https://vt.tiktok.com/ZS9fSTq7R/" TargetMode="External"/><Relationship Id="rId8488" Type="http://schemas.openxmlformats.org/officeDocument/2006/relationships/hyperlink" Target="https://vt.tiktok.com/ZS9fXEaYN/" TargetMode="External"/><Relationship Id="rId7156" Type="http://schemas.openxmlformats.org/officeDocument/2006/relationships/hyperlink" Target="https://vt.tiktok.com/ZS9fAeqYT/" TargetMode="External"/><Relationship Id="rId8487" Type="http://schemas.openxmlformats.org/officeDocument/2006/relationships/hyperlink" Target="https://vt.tiktok.com/ZS9fXPD9x/" TargetMode="External"/><Relationship Id="rId7140" Type="http://schemas.openxmlformats.org/officeDocument/2006/relationships/hyperlink" Target="https://vt.tiktok.com/ZS9fARK72/" TargetMode="External"/><Relationship Id="rId8471" Type="http://schemas.openxmlformats.org/officeDocument/2006/relationships/hyperlink" Target="https://vt.tiktok.com/ZS9fXPByN/" TargetMode="External"/><Relationship Id="rId8470" Type="http://schemas.openxmlformats.org/officeDocument/2006/relationships/hyperlink" Target="https://www.tiktok.com/@dianselfcare_" TargetMode="External"/><Relationship Id="rId7144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8475" Type="http://schemas.openxmlformats.org/officeDocument/2006/relationships/hyperlink" Target="https://www.tiktok.com/@theycallme_jeyy" TargetMode="External"/><Relationship Id="rId7143" Type="http://schemas.openxmlformats.org/officeDocument/2006/relationships/hyperlink" Target="https://www.tiktok.com/@indahazizahm" TargetMode="External"/><Relationship Id="rId8474" Type="http://schemas.openxmlformats.org/officeDocument/2006/relationships/hyperlink" Target="https://vt.tiktok.com/ZS9fXvH5a/" TargetMode="External"/><Relationship Id="rId7142" Type="http://schemas.openxmlformats.org/officeDocument/2006/relationships/hyperlink" Target="https://vt.tiktok.com/ZS9fSTq7R/" TargetMode="External"/><Relationship Id="rId8473" Type="http://schemas.openxmlformats.org/officeDocument/2006/relationships/hyperlink" Target="https://vt.tiktok.com/ZS9fXEaYN/" TargetMode="External"/><Relationship Id="rId7141" Type="http://schemas.openxmlformats.org/officeDocument/2006/relationships/hyperlink" Target="https://vt.tiktok.com/ZS9fAeqYT/" TargetMode="External"/><Relationship Id="rId8472" Type="http://schemas.openxmlformats.org/officeDocument/2006/relationships/hyperlink" Target="https://vt.tiktok.com/ZS9fXPD9x/" TargetMode="External"/><Relationship Id="rId7148" Type="http://schemas.openxmlformats.org/officeDocument/2006/relationships/hyperlink" Target="https://www.tiktok.com/@triastore27" TargetMode="External"/><Relationship Id="rId8479" Type="http://schemas.openxmlformats.org/officeDocument/2006/relationships/hyperlink" Target="https://vt.tiktok.com/ZS9fXvH5a/" TargetMode="External"/><Relationship Id="rId7147" Type="http://schemas.openxmlformats.org/officeDocument/2006/relationships/hyperlink" Target="https://vt.tiktok.com/ZS9fSTq7R/" TargetMode="External"/><Relationship Id="rId8478" Type="http://schemas.openxmlformats.org/officeDocument/2006/relationships/hyperlink" Target="https://vt.tiktok.com/ZS9fXEaYN/" TargetMode="External"/><Relationship Id="rId7146" Type="http://schemas.openxmlformats.org/officeDocument/2006/relationships/hyperlink" Target="https://vt.tiktok.com/ZS9fAeqYT/" TargetMode="External"/><Relationship Id="rId8477" Type="http://schemas.openxmlformats.org/officeDocument/2006/relationships/hyperlink" Target="https://vt.tiktok.com/ZS9fXPD9x/" TargetMode="External"/><Relationship Id="rId7145" Type="http://schemas.openxmlformats.org/officeDocument/2006/relationships/hyperlink" Target="https://vt.tiktok.com/ZS9fARK72/" TargetMode="External"/><Relationship Id="rId8476" Type="http://schemas.openxmlformats.org/officeDocument/2006/relationships/hyperlink" Target="https://vt.tiktok.com/ZS9fXPByN/" TargetMode="External"/><Relationship Id="rId7149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4901" Type="http://schemas.openxmlformats.org/officeDocument/2006/relationships/hyperlink" Target="https://vt.tiktok.com/ZS9UguNgQ/" TargetMode="External"/><Relationship Id="rId4900" Type="http://schemas.openxmlformats.org/officeDocument/2006/relationships/hyperlink" Target="https://www.tiktok.com/@dratcyunnn" TargetMode="External"/><Relationship Id="rId4903" Type="http://schemas.openxmlformats.org/officeDocument/2006/relationships/hyperlink" Target="https://www.tiktok.com/@belanja_hemat.shop/video/7634085102225542408?_r=1&amp;u_code=ek6h2252jijmih&amp;region=&amp;mid=7614079490641120021&amp;preview_pb=0&amp;sharer_language=&amp;_d=0&amp;ec_shared_reflux_dynamic_params=%7B%22placeholder_material_id%22%3A%227634085102225542408%22%2C%22placeholder_origin_cover%22%3A%22https%253A%252F%252Fp16-common-sign.tiktokcdn.com%252Ftos-alisg-p-0037%252FoMmfRMjIGQreCevabAHtyQzxQARnS1GQuPfGLF~tplv-tiktokx-origin.jpeg%253Fdr%253D14572%2526refresh_token%253D779ad59c%2526x-expires%253D1808992800%2526x-signature%253DiJIayw4W8yNI7nxtC8ZfvcXolbY%25253D%2526t%253D4d5b0474%2526ps%253D13740610%2526shp%253Dd05b14bd%2526shcp%253D34ff8df6%2526idc%253Dmy2%2526s%253DTIKTOK_AFFILIATE_VIRAL_VIDEO%22%2C%22placeholder_product_id%22%3A%221729427766722726591%22%2C%22placeholder_video_id%22%3A%227634085102225542408%22%7D&amp;ec_shared_reflux_scene=shop_tab_feed&amp;share_item_id=7634085102225542408&amp;source=h5_t" TargetMode="External"/><Relationship Id="rId4902" Type="http://schemas.openxmlformats.org/officeDocument/2006/relationships/hyperlink" Target="https://vt.tiktok.com/ZS9UgHuVH/" TargetMode="External"/><Relationship Id="rId4905" Type="http://schemas.openxmlformats.org/officeDocument/2006/relationships/hyperlink" Target="https://www.tiktok.com/@pineapple.sodaa" TargetMode="External"/><Relationship Id="rId4904" Type="http://schemas.openxmlformats.org/officeDocument/2006/relationships/hyperlink" Target="https://www.tiktok.com/@belanja_hemat.shop/video/7633349273458871570?_r=1&amp;u_code=ek6h2252jijmih&amp;region=&amp;mid=7170634321794059034&amp;preview_pb=0&amp;sharer_language=&amp;_d=0&amp;ec_shared_reflux_dynamic_params=%7B%22placeholder_material_id%22%3A%227633349273458871570%22%2C%22placeholder_origin_cover%22%3A%22https%253A%252F%252Fp16-common-sign.tiktokcdn.com%252Ftos-alisg-p-0037%252FoIqPntC6IEPe9I5BxGpEvDrB7IF8UuofgAtF7R~tplv-tiktokx-origin.jpeg%253Fdr%253D14572%2526refresh_token%253D036bc5af%2526x-expires%253D1808992800%2526x-signature%253DlITbnSShPvzZH8jXdg3wMP27SQ4%25253D%2526t%253D4d5b0474%2526ps%253D13740610%2526shp%253Dd05b14bd%2526shcp%253D34ff8df6%2526idc%253Dmy2%2526s%253DTIKTOK_AFFILIATE_VIRAL_VIDEO%22%2C%22placeholder_product_id%22%3A%221729427766722726591%22%2C%22placeholder_video_id%22%3A%227633349273458871570%22%7D&amp;ec_shared_reflux_scene=shop_tab_feed&amp;share_item_id=7633349273458871570&amp;source=h5_t" TargetMode="External"/><Relationship Id="rId4907" Type="http://schemas.openxmlformats.org/officeDocument/2006/relationships/hyperlink" Target="https://www.tiktok.com/@belanja_hemat.shop/video/7632373515714432274?_r=1&amp;u_code=ek6h2252jijmih&amp;region=&amp;mid=7574791548538964754&amp;preview_pb=0&amp;sharer_language=&amp;_d=0&amp;ec_shared_reflux_dynamic_params=%7B%22placeholder_material_id%22%3A%227632373515714432274%22%2C%22placeholder_origin_cover%22%3A%22https%253A%252F%252Fp19-common-sign.tiktokcdn.com%252Ftos-alisg-p-0037%252FokqXjT1e1n9IIRflDAQIY0Zel3KAALQGDKoCC0~tplv-tiktokx-origin.jpeg%253Fdr%253D14572%2526refresh_token%253D70d95efd%2526x-expires%253D1808992800%2526x-signature%253DjvY2c5s5gVayuJDIfaHLELqEcBU%25253D%2526t%253D4d5b0474%2526ps%253D13740610%2526shp%253Dd05b14bd%2526shcp%253D34ff8df6%2526idc%253Dmy2%2526s%253DTIKTOK_AFFILIATE_VIRAL_VIDEO%22%2C%22placeholder_product_id%22%3A%221729427766722726591%22%2C%22placeholder_video_id%22%3A%227632373515714432274%22%7D&amp;ec_shared_reflux_scene=shop_tab_feed&amp;share_item_id=7632373515714432274&amp;source=h5_t" TargetMode="External"/><Relationship Id="rId4906" Type="http://schemas.openxmlformats.org/officeDocument/2006/relationships/hyperlink" Target="https://www.tiktok.com/@belanja_hemat.shop/video/7632928686936771848?_r=1&amp;u_code=ek6h2252jijmih&amp;region=&amp;mid=7528756224239323905&amp;preview_pb=0&amp;sharer_language=&amp;_d=0&amp;ec_shared_reflux_dynamic_params=%7B%22placeholder_material_id%22%3A%227632928686936771848%22%2C%22placeholder_origin_cover%22%3A%22https%253A%252F%252Fp16-common-sign.tiktokcdn.com%252Ftos-alisg-p-0037%252FoMRIwizCIbFI0AnPtbEez2DKzJbBCAi1qX4ArP~tplv-tiktokx-origin.jpeg%253Fdr%253D14572%2526refresh_token%253Dbe9e8967%2526x-expires%253D1808992800%2526x-signature%253DWMhBk8Uwpv2wMB72LosQPsxZ5zw%25253D%2526t%253D4d5b0474%2526ps%253D13740610%2526shp%253Dd05b14bd%2526shcp%253D34ff8df6%2526idc%253Dmy2%2526s%253DTIKTOK_AFFILIATE_VIRAL_VIDEO%22%2C%22placeholder_product_id%22%3A%221729427766722726591%22%2C%22placeholder_video_id%22%3A%227632928686936771848%22%7D&amp;ec_shared_reflux_scene=shop_tab_feed&amp;share_item_id=7632928686936771848&amp;source=h5_t" TargetMode="External"/><Relationship Id="rId4909" Type="http://schemas.openxmlformats.org/officeDocument/2006/relationships/hyperlink" Target="https://www.tiktok.com/@belanja_hemat.shop/video/7632201119338335506?_r=1&amp;u_code=ek6h2252jijmih&amp;region=&amp;mid=7548167758014401285&amp;preview_pb=0&amp;sharer_language=&amp;_d=0&amp;ec_shared_reflux_dynamic_params=%7B%22placeholder_material_id%22%3A%227632201119338335506%22%2C%22placeholder_origin_cover%22%3A%22https%253A%252F%252Fp16-sign-sg.tiktokcdn.com%252Ftos-alisg-p-0037%252FoguQLGGggF7Iof1CtsKM8DQjzPAXIogAIeTTge~tplv-tiktokx-origin.jpeg%253Fdr%253D14572%2526refresh_token%253D32cf929b%2526x-expires%253D1808992800%2526x-signature%253DFb1BJBPBwY%25252FIH%25252FYy1aiGaJuz2Go%25253D%2526t%253D4d5b0474%2526ps%253D13740610%2526shp%253Dd05b14bd%2526shcp%253D34ff8df6%2526idc%253Dmy2%2526s%253DTIKTOK_AFFILIATE_VIRAL_VIDEO%22%2C%22placeholder_product_id%22%3A%221729427766722726591%22%2C%22placeholder_video_id%22%3A%227632201119338335506%22%7D&amp;ec_shared_reflux_scene=shop_tab_feed&amp;share_item_id=7632201119338335506&amp;source=h5_t" TargetMode="External"/><Relationship Id="rId4908" Type="http://schemas.openxmlformats.org/officeDocument/2006/relationships/hyperlink" Target="https://www.tiktok.com/@belanja_hemat.shop/video/7632281657520721170?_r=1&amp;u_code=ek6h2252jijmih&amp;region=&amp;mid=7574791548538964754&amp;preview_pb=0&amp;sharer_language=&amp;_d=0&amp;ec_shared_reflux_dynamic_params=%7B%22placeholder_material_id%22%3A%227632281657520721170%22%2C%22placeholder_origin_cover%22%3A%22https%253A%252F%252Fp16-common-sign.tiktokcdn.com%252Ftos-alisg-p-0037%252FoIrrP0bniJutAi8rECqI4wAT0o4eABBxCI8vIl~tplv-tiktokx-origin.jpeg%253Fdr%253D14572%2526refresh_token%253Dcc5f0500%2526x-expires%253D1808992800%2526x-signature%253Dhl0fQYXetpPDkXAKtCxrB0ysfmM%25253D%2526t%253D4d5b0474%2526ps%253D13740610%2526shp%253Dd05b14bd%2526shcp%253D34ff8df6%2526idc%253Dmy2%2526s%253DTIKTOK_AFFILIATE_VIRAL_VIDEO%22%2C%22placeholder_product_id%22%3A%221729427766722726591%22%2C%22placeholder_video_id%22%3A%227632281657520721170%22%7D&amp;ec_shared_reflux_scene=shop_tab_feed&amp;share_item_id=7632281657520721170&amp;source=h5_t" TargetMode="External"/><Relationship Id="rId7180" Type="http://schemas.openxmlformats.org/officeDocument/2006/relationships/hyperlink" Target="https://vt.tiktok.com/ZSxpYHa9E/" TargetMode="External"/><Relationship Id="rId7173" Type="http://schemas.openxmlformats.org/officeDocument/2006/relationships/hyperlink" Target="https://www.tiktok.com/@anguni.wulandari/video/7626221019090390279?_r=1&amp;u_code=dhaa4e1i8g976b&amp;region=&amp;mid=6692683186809359108&amp;preview_pb=0&amp;sharer_language=&amp;_d=0&amp;ec_shared_reflux_dynamic_params=%7B%22placeholder_material_id%22%3A%227626221019090390279%22%2C%22placeholder_origin_cover%22%3A%22https%253A%252F%252Fp16-sign-sg.tiktokcdn.com%252Ftos-alisg-p-0037%252Fo89dIUUW1DA6x6URucFoBRpBzEDgoBF1IffGVE~tplv-tiktokx-origin.jpeg%253Fdr%253D14572%2526refresh_token%253D938a7597%2526x-expires%253D1808208000%2526x-signature%253DGf%25252BtPmUdOf0t3g67eDcG81BbFgc%25253D%2526t%253D4d5b0474%2526ps%253D13740610%2526shp%253Dd05b14bd%2526shcp%253D34ff8df6%2526idc%253Dmy3%2526s%253DTIKTOK_AFFILIATE_VIRAL_VIDEO%22%2C%22placeholder_product_id%22%3A%221729427766722726591%22%2C%22placeholder_video_id%22%3A%227626221019090390279%22%7D&amp;ec_shared_reflux_scene=shop_tab_feed&amp;share_item_id=7626221019090390279&amp;source=h5_t" TargetMode="External"/><Relationship Id="rId7172" Type="http://schemas.openxmlformats.org/officeDocument/2006/relationships/hyperlink" Target="https://www.tiktok.com/@anguni.wulandari" TargetMode="External"/><Relationship Id="rId7171" Type="http://schemas.openxmlformats.org/officeDocument/2006/relationships/hyperlink" Target="https://vt.tiktok.com/ZSxpYg4Tb/" TargetMode="External"/><Relationship Id="rId7170" Type="http://schemas.openxmlformats.org/officeDocument/2006/relationships/hyperlink" Target="https://vt.tiktok.com/ZSxpYyGa9/" TargetMode="External"/><Relationship Id="rId7177" Type="http://schemas.openxmlformats.org/officeDocument/2006/relationships/hyperlink" Target="https://vt.tiktok.com/ZSxpYCbwy/" TargetMode="External"/><Relationship Id="rId7176" Type="http://schemas.openxmlformats.org/officeDocument/2006/relationships/hyperlink" Target="https://www.tiktok.com/@itsmeavinvin/video/7634020526695943445?_r=1&amp;u_code=d3hac44m7ha2fl&amp;region=&amp;mid=7634020559583529735&amp;preview_pb=0&amp;sharer_language=&amp;_d=0&amp;ec_shared_reflux_dynamic_params=%7B%22placeholder_material_id%22%3A%227634020526695943445%22%2C%22placeholder_origin_cover%22%3A%22https%253A%252F%252Fp16-common-sign.tiktokcdn.com%252Ftos-alisg-p-0037%252Fo0HQUQfEgAphBs49RFfWXpDBJD8YYEEHU1XqCi~tplv-tiktokx-origin.jpeg%253Fdr%253D14572%2526refresh_token%253Dd5ea17e8%2526x-expires%253D1809511200%2526x-signature%253DL%25252BB4ZmpUjTtNKaDnPYimN96gYGU%25253D%2526t%253D4d5b0474%2526ps%253D13740610%2526shp%253Dd05b14bd%2526shcp%253D34ff8df6%2526idc%253Dmy%2526s%253DTIKTOK_AFFILIATE_VIRAL_VIDEO%22%2C%22placeholder_product_id%22%3A%221729427766722726591%22%2C%22placeholder_video_id%22%3A%227634020526695943445%22%7D&amp;ec_shared_reflux_scene=shop_tab_feed&amp;share_item_id=7634020526695943445&amp;source=h5_t" TargetMode="External"/><Relationship Id="rId7175" Type="http://schemas.openxmlformats.org/officeDocument/2006/relationships/hyperlink" Target="https://www.tiktok.com/@itsmeavinvin/video/7627086684038974740?_r=1&amp;u_code=d3hac44m7ha2fl&amp;region=&amp;mid=7627086728456588040&amp;preview_pb=0&amp;sharer_language=&amp;_d=0&amp;ec_shared_reflux_dynamic_params=%7B%22placeholder_material_id%22%3A%227627086684038974740%22%2C%22placeholder_origin_cover%22%3A%22https%253A%252F%252Fp16-common-sign.tiktokcdn.com%252Ftos-alisg-p-0037%252FoAvQAIRBjTlQTA2eYgSsfbvCte6GICL1ojgD0N~tplv-tiktokx-origin.jpeg%253Fdr%253D14572%2526refresh_token%253Ddf1f0b30%2526x-expires%253D1808208000%2526x-signature%253DssukUNqraSvG3VNxCxw8LWtza8A%25253D%2526t%253D4d5b0474%2526ps%253D13740610%2526shp%253Dd05b14bd%2526shcp%253D34ff8df6%2526idc%253Dmy3%2526s%253DTIKTOK_AFFILIATE_VIRAL_VIDEO%22%2C%22placeholder_product_id%22%3A%221729427766722726591%22%2C%22placeholder_video_id%22%3A%227627086684038974740%22%7D&amp;ec_shared_reflux_scene=shop_tab_feed&amp;share_item_id=7627086684038974740&amp;source=h5_t" TargetMode="External"/><Relationship Id="rId7174" Type="http://schemas.openxmlformats.org/officeDocument/2006/relationships/hyperlink" Target="https://www.tiktok.com/@itsmeavinvin" TargetMode="External"/><Relationship Id="rId7179" Type="http://schemas.openxmlformats.org/officeDocument/2006/relationships/hyperlink" Target="https://www.tiktok.com/@masheddpootato/video/7612712635775192341?_r=1&amp;u_code=emlkb18cm5c4bi&amp;region=&amp;mid=7505029365265876993&amp;preview_pb=0&amp;sharer_language=&amp;_d=0&amp;ec_shared_reflux_dynamic_params=%7B%22placeholder_material_id%22%3A%227612712635775192341%22%2C%22placeholder_origin_cover%22%3A%22https%253A%252F%252Fp16-common-sign.tiktokcdn.com%252Ftos-alisg-p-0037%252FoIWIdTxFABy0OuklHxiOwSIiIA40BhyfCKA0Fu~tplv-tiktokx-origin.jpeg%253Fdr%253D14572%2526refresh_token%253D46cce25e%2526x-expires%253D1808208000%2526x-signature%253DrTkpDorIHOzcnJWKU8t8qdejIcE%25253D%2526t%253D4d5b0474%2526ps%253D13740610%2526shp%253Dd05b14bd%2526shcp%253D34ff8df6%2526idc%253Dmy3%2526s%253DTIKTOK_AFFILIATE_VIRAL_VIDEO%22%2C%22placeholder_product_id%22%3A%221729427766722726591%22%2C%22placeholder_video_id%22%3A%227612712635775192341%22%7D&amp;ec_shared_reflux_scene=shop_tab_feed&amp;share_item_id=7612712635775192341&amp;source=h5_t" TargetMode="External"/><Relationship Id="rId7178" Type="http://schemas.openxmlformats.org/officeDocument/2006/relationships/hyperlink" Target="https://www.tiktok.com/@masheddpootato" TargetMode="External"/><Relationship Id="rId7162" Type="http://schemas.openxmlformats.org/officeDocument/2006/relationships/hyperlink" Target="https://vt.tiktok.com/ZS9fSTq7R/" TargetMode="External"/><Relationship Id="rId8493" Type="http://schemas.openxmlformats.org/officeDocument/2006/relationships/hyperlink" Target="https://vt.tiktok.com/ZS9fXEaYN/" TargetMode="External"/><Relationship Id="rId7161" Type="http://schemas.openxmlformats.org/officeDocument/2006/relationships/hyperlink" Target="https://vt.tiktok.com/ZS9fAeqYT/" TargetMode="External"/><Relationship Id="rId8492" Type="http://schemas.openxmlformats.org/officeDocument/2006/relationships/hyperlink" Target="https://vt.tiktok.com/ZS9fXPD9x/" TargetMode="External"/><Relationship Id="rId7160" Type="http://schemas.openxmlformats.org/officeDocument/2006/relationships/hyperlink" Target="https://vt.tiktok.com/ZS9fARK72/" TargetMode="External"/><Relationship Id="rId8491" Type="http://schemas.openxmlformats.org/officeDocument/2006/relationships/hyperlink" Target="https://vt.tiktok.com/ZS9fXPByN/" TargetMode="External"/><Relationship Id="rId8490" Type="http://schemas.openxmlformats.org/officeDocument/2006/relationships/hyperlink" Target="https://www.tiktok.com/@dnberliani" TargetMode="External"/><Relationship Id="rId7166" Type="http://schemas.openxmlformats.org/officeDocument/2006/relationships/hyperlink" Target="https://vt.tiktok.com/ZS9fAeqYT/" TargetMode="External"/><Relationship Id="rId8497" Type="http://schemas.openxmlformats.org/officeDocument/2006/relationships/hyperlink" Target="https://vt.tiktok.com/ZS9fXPD9x/" TargetMode="External"/><Relationship Id="rId7165" Type="http://schemas.openxmlformats.org/officeDocument/2006/relationships/hyperlink" Target="https://vt.tiktok.com/ZS9fARK72/" TargetMode="External"/><Relationship Id="rId8496" Type="http://schemas.openxmlformats.org/officeDocument/2006/relationships/hyperlink" Target="https://vt.tiktok.com/ZS9fXPByN/" TargetMode="External"/><Relationship Id="rId7164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8495" Type="http://schemas.openxmlformats.org/officeDocument/2006/relationships/hyperlink" Target="https://www.tiktok.com/@danya9648" TargetMode="External"/><Relationship Id="rId7163" Type="http://schemas.openxmlformats.org/officeDocument/2006/relationships/hyperlink" Target="https://www.tiktok.com/@hairgrow.up" TargetMode="External"/><Relationship Id="rId8494" Type="http://schemas.openxmlformats.org/officeDocument/2006/relationships/hyperlink" Target="https://vt.tiktok.com/ZS9fXvH5a/" TargetMode="External"/><Relationship Id="rId7169" Type="http://schemas.openxmlformats.org/officeDocument/2006/relationships/hyperlink" Target="https://www.tiktok.com/@dewiisapitrii_/video/7626215161455594760?_r=1&amp;u_code=dg6305dj44k6hd&amp;region=&amp;mid=7533505717987805200&amp;preview_pb=0&amp;sharer_language=&amp;_d=0&amp;ec_shared_reflux_dynamic_params=%7B%22placeholder_material_id%22%3A%227626215161455594760%22%2C%22placeholder_origin_cover%22%3A%22https%253A%252F%252Fp16-common-sign.tiktokcdn.com%252Ftos-alisg-p-0037%252Fog1DONTeChj7IRHIL4AuXQQGrA14qZsCgleeKF~tplv-tiktokx-origin.jpeg%253Fdr%253D14572%2526refresh_token%253D6ce1537f%2526x-expires%253D1808204400%2526x-signature%253DrYxJ5BNvhhTtOrqF3GgJV%25252FjlW6I%25253D%2526t%253D4d5b0474%2526ps%253D13740610%2526shp%253Dd05b14bd%2526shcp%253D34ff8df6%2526idc%253Dmy3%2526s%253DTIKTOK_AFFILIATE_VIRAL_VIDEO%22%2C%22placeholder_product_id%22%3A%221729427766722726591%22%2C%22placeholder_video_id%22%3A%227626215161455594760%22%7D&amp;ec_shared_reflux_scene=shop_tab_feed&amp;share_item_id=7626215161455594760&amp;source=h5_t" TargetMode="External"/><Relationship Id="rId7168" Type="http://schemas.openxmlformats.org/officeDocument/2006/relationships/hyperlink" Target="https://www.tiktok.com/@dewiisapitrii_" TargetMode="External"/><Relationship Id="rId8499" Type="http://schemas.openxmlformats.org/officeDocument/2006/relationships/hyperlink" Target="https://vt.tiktok.com/ZS9fXvH5a/" TargetMode="External"/><Relationship Id="rId7167" Type="http://schemas.openxmlformats.org/officeDocument/2006/relationships/hyperlink" Target="https://vt.tiktok.com/ZS9fSTq7R/" TargetMode="External"/><Relationship Id="rId8498" Type="http://schemas.openxmlformats.org/officeDocument/2006/relationships/hyperlink" Target="https://vt.tiktok.com/ZS9fXEaYN/" TargetMode="External"/><Relationship Id="rId9770" Type="http://schemas.openxmlformats.org/officeDocument/2006/relationships/hyperlink" Target="https://www.tiktok.com/@harumrice/video/7615128453184081173?_r=1&amp;_t=ZS-969xoIa07zV" TargetMode="External"/><Relationship Id="rId9771" Type="http://schemas.openxmlformats.org/officeDocument/2006/relationships/hyperlink" Target="https://www.tiktok.com/@harumrice/video/7615008778697723157?_r=1&amp;_t=ZS-969xoIa07zV" TargetMode="External"/><Relationship Id="rId9772" Type="http://schemas.openxmlformats.org/officeDocument/2006/relationships/hyperlink" Target="https://www.tiktok.com/@harumrice/video/7614652016677211412?_r=1&amp;_t=ZS-969xoIa07zV" TargetMode="External"/><Relationship Id="rId9773" Type="http://schemas.openxmlformats.org/officeDocument/2006/relationships/hyperlink" Target="https://www.tiktok.com/@lala41376" TargetMode="External"/><Relationship Id="rId7111" Type="http://schemas.openxmlformats.org/officeDocument/2006/relationships/hyperlink" Target="https://vt.tiktok.com/ZS9fAeqYT/" TargetMode="External"/><Relationship Id="rId8442" Type="http://schemas.openxmlformats.org/officeDocument/2006/relationships/hyperlink" Target="https://vt.tiktok.com/ZSxfQGEgj/" TargetMode="External"/><Relationship Id="rId7110" Type="http://schemas.openxmlformats.org/officeDocument/2006/relationships/hyperlink" Target="https://vt.tiktok.com/ZS9fARK72/" TargetMode="External"/><Relationship Id="rId8441" Type="http://schemas.openxmlformats.org/officeDocument/2006/relationships/hyperlink" Target="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aceholder_origin_cover%22%3A%22https%253A%252F%252Fp16-common-sign.tiktokcdn.com%252Ftos-alisg-p-0037%252FocT3fUyagtsUCPXIgtfvGDAQDjLK9oeTHAQG2I~tplv-tiktokx-origin.jpeg%253Fdr%253D14572%2526refresh_token%253D13d7c298%2526x-expires%253D1808992800%2526x-signature%253Dm1yuhUo4JC1EwMfosEQhUBd56yw%25253D%2526t%253D4d5b0474%2526ps%253D13740610%2526shp%253Dd05b14bd%2526shcp%253D34ff8df6%2526idc%253Dmy2%2526s%253DTIKTOK_AFFILIATE_VIRAL_VIDEO%22%2C%22placeholder_product_id%22%3A%221729427766722726591%22%2C%22placeholder_video_id%22%3A%227633434949797858581%22%7D&amp;ec_shared_reflux_scene=shop_tab_feed&amp;share_item_id=7633434949797858581&amp;source=h5_t" TargetMode="External"/><Relationship Id="rId8440" Type="http://schemas.openxmlformats.org/officeDocument/2006/relationships/hyperlink" Target="https://www.tiktok.com/@_itsimon00" TargetMode="External"/><Relationship Id="rId7115" Type="http://schemas.openxmlformats.org/officeDocument/2006/relationships/hyperlink" Target="https://vt.tiktok.com/ZS9fARK72/" TargetMode="External"/><Relationship Id="rId8446" Type="http://schemas.openxmlformats.org/officeDocument/2006/relationships/hyperlink" Target="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22placeholder_origin_cover%22%3A%22https%253A%252F%252Fp16-common-sign.tiktokcdn.com%252Ftos-alisg-p-0037%252Fo8fO8AM1hZeDgXj1TZgNKQoIABetCT1Aj7WrQE~tplv-tiktokx-origin.jpeg%253Fdr%253D14572%2526refresh_token%253Db34d4f83%2526x-expires%253D1808992800%2526x-signature%253D5d%25252BwOsNi1vQGg3hT4qvK4L51k%25252FQ%25253D%2526t%253D4d5b0474%2526ps%253D13740610%2526shp%253Dd05b14bd%2526shcp%253D34ff8df6%2526idc%253Dmy2%2526s%253DTIKTOK_AFFILIATE_VIRAL_VIDEO%22%2C%22placeholder_product_id%22%3A%221729427766722726591%22%2C%22placeholder_video_id%22%3A%227632292373736803591%22%7D&amp;ec_shared_reflux_scene=shop_tab_feed&amp;share_item_id=7632292373736803591&amp;source=h5_t" TargetMode="External"/><Relationship Id="rId9778" Type="http://schemas.openxmlformats.org/officeDocument/2006/relationships/hyperlink" Target="https://www.tiktok.com/@end_dru" TargetMode="External"/><Relationship Id="rId7114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8445" Type="http://schemas.openxmlformats.org/officeDocument/2006/relationships/hyperlink" Target="https://www.tiktok.com/@vinaarya10" TargetMode="External"/><Relationship Id="rId9779" Type="http://schemas.openxmlformats.org/officeDocument/2006/relationships/hyperlink" Target="https://www.tiktok.com/@harumrice/video/7619310503105416468?_r=1&amp;_t=ZS-969xoIa07zV" TargetMode="External"/><Relationship Id="rId7113" Type="http://schemas.openxmlformats.org/officeDocument/2006/relationships/hyperlink" Target="https://www.tiktok.com/@dhayumhi" TargetMode="External"/><Relationship Id="rId8444" Type="http://schemas.openxmlformats.org/officeDocument/2006/relationships/hyperlink" Target="https://vt.tiktok.com/ZSxDYQyTW/" TargetMode="External"/><Relationship Id="rId7112" Type="http://schemas.openxmlformats.org/officeDocument/2006/relationships/hyperlink" Target="https://vt.tiktok.com/ZS9fSTq7R/" TargetMode="External"/><Relationship Id="rId8443" Type="http://schemas.openxmlformats.org/officeDocument/2006/relationships/hyperlink" Target="https://vt.tiktok.com/ZSxDYhccb/" TargetMode="External"/><Relationship Id="rId7119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9774" Type="http://schemas.openxmlformats.org/officeDocument/2006/relationships/hyperlink" Target="https://www.tiktok.com/@harumrice/video/7619310503105416468?_r=1&amp;_t=ZS-969xoIa07zV" TargetMode="External"/><Relationship Id="rId7118" Type="http://schemas.openxmlformats.org/officeDocument/2006/relationships/hyperlink" Target="https://www.tiktok.com/@racunicaaa_" TargetMode="External"/><Relationship Id="rId8449" Type="http://schemas.openxmlformats.org/officeDocument/2006/relationships/hyperlink" Target="https://www.tiktok.com/@rositaramdani7/video/7632840621039914248?_d=0&amp;_r=1&amp;ec_shared_reflux_dynamic_params=%7B%22placeholder_material_id%22%3A%227632840621039914248%22%2C%22placeholder_origin_cover%22%3A%22https%253A%252F%252Fp16-common-sign.tiktokcdn.com%252Ftos-alisg-p-0037%252Fo4Tq0AI4XCBVwjAWIYrCAIztJuiCI9hiVLCQfh~tplv-tiktokx-origin.jpeg%253Fdr%253D14572%2526refresh_token%253D142f2fad%2526x-expires%253D1808992800%2526x-signature%253DHpeIR5KLtc6wc1RTiJXRcQO8fOs%25253D%2526t%253D4d5b0474%2526ps%253D13740610%2526shp%253Dd05b14bd%2526shcp%253D34ff8df6%2526idc%253Dmy2%2526s%253DTIKTOK_AFFILIATE_VIRAL_VIDEO%22%2C%22placeholder_product_id%22%3A%221729427766722726591%22%2C%22placeholder_video_id%22%3A%227632840621039914248%22%7D&amp;ec_shared_reflux_scene=shop_tab_feed&amp;mid=7591377536513985281&amp;preview_pb=0&amp;region=&amp;share_item_id=7632840621039914248&amp;sharer_language=&amp;source=h5_t&amp;u_code=f1489jb4bi84e11" TargetMode="External"/><Relationship Id="rId9775" Type="http://schemas.openxmlformats.org/officeDocument/2006/relationships/hyperlink" Target="https://www.tiktok.com/@harumrice/video/7615128453184081173?_r=1&amp;_t=ZS-969xoIa07zV" TargetMode="External"/><Relationship Id="rId7117" Type="http://schemas.openxmlformats.org/officeDocument/2006/relationships/hyperlink" Target="https://vt.tiktok.com/ZS9fSTq7R/" TargetMode="External"/><Relationship Id="rId8448" Type="http://schemas.openxmlformats.org/officeDocument/2006/relationships/hyperlink" Target="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22placeholder_origin_cover%22%3A%22https%253A%252F%252Fp16-common-sign.tiktokcdn.com%252Ftos-alisg-p-0037%252Fow724I9IGp8GJCSiAIeZAtCBfL0WETDI55ejBs~tplv-tiktokx-origin.jpeg%253Fdr%253D14572%2526refresh_token%253D974a53c8%2526x-expires%253D1808992800%2526x-signature%253DbBhbMoNFUGaDXGV%25252F1hVcSOsTVPM%25253D%2526t%253D4d5b0474%2526ps%253D13740610%2526shp%253Dd05b14bd%2526shcp%253D34ff8df6%2526idc%253Dmy2%2526s%253DTIKTOK_AFFILIATE_VIRAL_VIDEO%22%2C%22placeholder_product_id%22%3A%221729427766722726591%22%2C%22placeholder_video_id%22%3A%227632556344465231122%22%7D&amp;ec_shared_reflux_scene=shop_tab_feed&amp;share_item_id=7632556344465231122&amp;source=h5_t" TargetMode="External"/><Relationship Id="rId9776" Type="http://schemas.openxmlformats.org/officeDocument/2006/relationships/hyperlink" Target="https://www.tiktok.com/@harumrice/video/7615008778697723157?_r=1&amp;_t=ZS-969xoIa07zV" TargetMode="External"/><Relationship Id="rId7116" Type="http://schemas.openxmlformats.org/officeDocument/2006/relationships/hyperlink" Target="https://vt.tiktok.com/ZS9fAeqYT/" TargetMode="External"/><Relationship Id="rId8447" Type="http://schemas.openxmlformats.org/officeDocument/2006/relationships/hyperlink" Target="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22placeholder_origin_cover%22%3A%22https%253A%252F%252Fp16-common-sign.tiktokcdn.com%252Ftos-alisg-p-0037%252FogtrPig6fAI1VtrDCBRpT4Bw9iBciEOXRfDIQy~tplv-tiktokx-origin.jpeg%253Fdr%253D14572%2526refresh_token%253Da7dfb7b6%2526x-expires%253D1808992800%2526x-signature%253DBLfnFU%25252FucpfNa%25252FqJkuXBbFXM3IE%25253D%2526t%253D4d5b0474%2526ps%253D13740610%2526shp%253Dd05b14bd%2526shcp%253D34ff8df6%2526idc%253Dmy2%2526s%253DTIKTOK_AFFILIATE_VIRAL_VIDEO%22%2C%22placeholder_product_id%22%3A%221729427766722726591%22%2C%22placeholder_video_id%22%3A%227632466134771453202%22%7D&amp;ec_shared_reflux_scene=shop_tab_feed&amp;share_item_id=7632466134771453202&amp;source=h5_t" TargetMode="External"/><Relationship Id="rId9777" Type="http://schemas.openxmlformats.org/officeDocument/2006/relationships/hyperlink" Target="https://www.tiktok.com/@harumrice/video/7614652016677211412?_r=1&amp;_t=ZS-969xoIa07zV" TargetMode="External"/><Relationship Id="rId7109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9760" Type="http://schemas.openxmlformats.org/officeDocument/2006/relationships/hyperlink" Target="https://www.tiktok.com/@harumrice/video/7615128453184081173?_r=1&amp;_t=ZS-969xoIa07zV" TargetMode="External"/><Relationship Id="rId9761" Type="http://schemas.openxmlformats.org/officeDocument/2006/relationships/hyperlink" Target="https://www.tiktok.com/@harumrice/video/7615008778697723157?_r=1&amp;_t=ZS-969xoIa07zV" TargetMode="External"/><Relationship Id="rId9762" Type="http://schemas.openxmlformats.org/officeDocument/2006/relationships/hyperlink" Target="https://www.tiktok.com/@harumrice/video/7614652016677211412?_r=1&amp;_t=ZS-969xoIa07zV" TargetMode="External"/><Relationship Id="rId7100" Type="http://schemas.openxmlformats.org/officeDocument/2006/relationships/hyperlink" Target="https://vt.tiktok.com/ZS9fARK72/" TargetMode="External"/><Relationship Id="rId8431" Type="http://schemas.openxmlformats.org/officeDocument/2006/relationships/hyperlink" Target="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eholder_origin_cover%22%3A%22https%253A%252F%252Fp16-common-sign.tiktokcdn.com%252Ftos-alisg-p-0037%252Fokej83InNuARId4oIVGPkcAQGeAeLDBS0CHTZQ~tplv-tiktokx-origin.jpeg%253Fdr%253D14572%2526refresh_token%253D3b7eb85d%2526x-expires%253D1808992800%2526x-signature%253DzhyQY%25252Bd9E%25252FZMgX7MRj4vEnlPr%25252BI%25253D%2526t%253D4d5b0474%2526ps%253D13740610%2526shp%253Dd05b14bd%2526shcp%253D34ff8df6%2526idc%253Dmy2%2526s%253DTIKTOK_AFFILIATE_VIRAL_VIDEO%22%2C%22placeholder_product_id%22%3A%221729427766722726591%22%2C%22placeholder_video_id%22%3A%227633259666696391954%22%7D&amp;ec_shared_reflux_scene=shop_tab_feed&amp;share_item_id=7633259666696391954&amp;source=h5_t" TargetMode="External"/><Relationship Id="rId8430" Type="http://schemas.openxmlformats.org/officeDocument/2006/relationships/hyperlink" Target="https://www.tiktok.com/@alissaa1133" TargetMode="External"/><Relationship Id="rId7104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8435" Type="http://schemas.openxmlformats.org/officeDocument/2006/relationships/hyperlink" Target="https://www.tiktok.com/@mbakujik" TargetMode="External"/><Relationship Id="rId9767" Type="http://schemas.openxmlformats.org/officeDocument/2006/relationships/hyperlink" Target="https://www.tiktok.com/@harumrice/video/7614652016677211412?_r=1&amp;_t=ZS-969xoIa07zV" TargetMode="External"/><Relationship Id="rId7103" Type="http://schemas.openxmlformats.org/officeDocument/2006/relationships/hyperlink" Target="https://www.tiktok.com/@capucinoo.77" TargetMode="External"/><Relationship Id="rId8434" Type="http://schemas.openxmlformats.org/officeDocument/2006/relationships/hyperlink" Target="https://vt.tiktok.com/ZSxfCLAv5/" TargetMode="External"/><Relationship Id="rId9768" Type="http://schemas.openxmlformats.org/officeDocument/2006/relationships/hyperlink" Target="https://www.tiktok.com/@yuni.fath" TargetMode="External"/><Relationship Id="rId7102" Type="http://schemas.openxmlformats.org/officeDocument/2006/relationships/hyperlink" Target="https://vt.tiktok.com/ZS9fSTq7R/" TargetMode="External"/><Relationship Id="rId8433" Type="http://schemas.openxmlformats.org/officeDocument/2006/relationships/hyperlink" Target="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eholder_origin_cover%22%3A%22https%253A%252F%252Fp16-sign-sg.tiktokcdn.com%252Ftos-alisg-p-0037%252Fo03hfABezYXBDiRNp9OP7BUEgIxxBiEINkwKiH~tplv-tiktokx-origin.jpeg%253Fdr%253D14572%2526refresh_token%253D2b3edbd9%2526x-expires%253D1808992800%2526x-signature%253DuF7qjx32DHmqMM4GzKo0wROx5Eg%25253D%2526t%253D4d5b0474%2526ps%253D13740610%2526shp%253Dd05b14bd%2526shcp%253D34ff8df6%2526idc%253Dmy2%2526s%253DTIKTOK_AFFILIATE_VIRAL_VIDEO%22%2C%22placeholder_product_id%22%3A%221729427766722726591%22%2C%22placeholder_video_id%22%3A%227633988561930423560%22%7D&amp;ec_shared_reflux_scene=shop_tab_feed&amp;share_item_id=7633988561930423560&amp;source=h5_t" TargetMode="External"/><Relationship Id="rId9769" Type="http://schemas.openxmlformats.org/officeDocument/2006/relationships/hyperlink" Target="https://www.tiktok.com/@harumrice/video/7619310503105416468?_r=1&amp;_t=ZS-969xoIa07zV" TargetMode="External"/><Relationship Id="rId7101" Type="http://schemas.openxmlformats.org/officeDocument/2006/relationships/hyperlink" Target="https://vt.tiktok.com/ZS9fAeqYT/" TargetMode="External"/><Relationship Id="rId8432" Type="http://schemas.openxmlformats.org/officeDocument/2006/relationships/hyperlink" Target="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eholder_origin_cover%22%3A%22https%253A%252F%252Fp16-common-sign.tiktokcdn.com%252Ftos-alisg-p-0037%252FoEvtB2BmQIJJbKvDCITIgGKC4QfW4c8eAAeLPj~tplv-tiktokx-origin.jpeg%253Fdr%253D14572%2526refresh_token%253D14b8e5a1%2526x-expires%253D1808992800%2526x-signature%253DsBKNRZM9NlGgABGP%25252Bi5CuTVSWFg%25253D%2526t%253D4d5b0474%2526ps%253D13740610%2526shp%253Dd05b14bd%2526shcp%253D34ff8df6%2526idc%253Dmy2%2526s%253DTIKTOK_AFFILIATE_VIRAL_VIDEO%22%2C%22placeholder_product_id%22%3A%221729427766722726591%22%2C%22placeholder_video_id%22%3A%227633619284236799240%22%7D&amp;ec_shared_reflux_scene=shop_tab_feed&amp;share_item_id=7633619284236799240&amp;source=h5_t" TargetMode="External"/><Relationship Id="rId7108" Type="http://schemas.openxmlformats.org/officeDocument/2006/relationships/hyperlink" Target="https://www.tiktok.com/@turtllee97" TargetMode="External"/><Relationship Id="rId8439" Type="http://schemas.openxmlformats.org/officeDocument/2006/relationships/hyperlink" Target="https://www.tiktok.com/@belanja_hemat.shop/video/7630283480441621767?_r=1&amp;u_code=ek6h2252jijmih&amp;region=&amp;mid=7615963521880558357&amp;preview_pb=0&amp;sharer_language=&amp;_d=0&amp;ec_shared_reflux_dynamic_params=%7B%22placeholder_material_id%22%3A%227630283480441621767%22%2C%22placeholder_origin_cover%22%3A%22https%253A%252F%252Fp16-sign-sg.tiktokcdn.com%252Ftos-alisg-p-0037%252FowLgThbTAvZEDmUpRgqBBrYOOEQeQEFIpPa5fD~tplv-tiktokx-origin.jpeg%253Fdr%253D14572%2526refresh_token%253D7028f3e9%2526x-expires%253D1808992800%2526x-signature%253Dm8NIDbYtD8vdd9sCzAcHHhWysZQ%25253D%2526t%253D4d5b0474%2526ps%253D13740610%2526shp%253Dd05b14bd%2526shcp%253D34ff8df6%2526idc%253Dmy2%2526s%253DTIKTOK_AFFILIATE_VIRAL_VIDEO%22%2C%22placeholder_product_id%22%3A%221729427766722726591%22%2C%22placeholder_video_id%22%3A%227630283480441621767%22%7D&amp;ec_shared_reflux_scene=shop_tab_feed&amp;share_item_id=7630283480441621767&amp;source=h5_t" TargetMode="External"/><Relationship Id="rId9763" Type="http://schemas.openxmlformats.org/officeDocument/2006/relationships/hyperlink" Target="https://www.tiktok.com/@fitrisusanti181" TargetMode="External"/><Relationship Id="rId7107" Type="http://schemas.openxmlformats.org/officeDocument/2006/relationships/hyperlink" Target="https://vt.tiktok.com/ZS9fSTq7R/" TargetMode="External"/><Relationship Id="rId8438" Type="http://schemas.openxmlformats.org/officeDocument/2006/relationships/hyperlink" Target="https://www.tiktok.com/@belanja_hemat.shop/video/7630083439080852744?_r=1&amp;u_code=ek6h2252jijmih&amp;region=&amp;mid=7502446149192567607&amp;preview_pb=0&amp;sharer_language=&amp;_d=0&amp;ec_shared_reflux_dynamic_params=%7B%22placeholder_material_id%22%3A%227630083439080852744%22%2C%22placeholder_origin_cover%22%3A%22https%253A%252F%252Fp16-common-sign.tiktokcdn.com%252Ftos-alisg-p-0037%252FoEONqiBlICA7hICZgjiI3AAAgBswH8WOe0PpIT~tplv-tiktokx-origin.jpeg%253Fdr%253D14572%2526refresh_token%253Dc5a3bd01%2526x-expires%253D1808992800%2526x-signature%253DmHrmToRfBoDI76E5SnS33jucUxo%25253D%2526t%253D4d5b0474%2526ps%253D13740610%2526shp%253Dd05b14bd%2526shcp%253D34ff8df6%2526idc%253Dmy2%2526s%253DTIKTOK_AFFILIATE_VIRAL_VIDEO%22%2C%22placeholder_product_id%22%3A%221729427766722726591%22%2C%22placeholder_video_id%22%3A%227630083439080852744%22%7D&amp;ec_shared_reflux_scene=shop_tab_feed&amp;share_item_id=7630083439080852744&amp;source=h5_t" TargetMode="External"/><Relationship Id="rId9764" Type="http://schemas.openxmlformats.org/officeDocument/2006/relationships/hyperlink" Target="https://www.tiktok.com/@harumrice/video/7619310503105416468?_r=1&amp;_t=ZS-969xoIa07zV" TargetMode="External"/><Relationship Id="rId7106" Type="http://schemas.openxmlformats.org/officeDocument/2006/relationships/hyperlink" Target="https://vt.tiktok.com/ZS9fAeqYT/" TargetMode="External"/><Relationship Id="rId8437" Type="http://schemas.openxmlformats.org/officeDocument/2006/relationships/hyperlink" Target="https://www.tiktok.com/@belanja_hemat.shop/video/7630068304346074375?_r=1&amp;u_code=ek6h2252jijmih&amp;region=&amp;mid=7502446149192567607&amp;preview_pb=0&amp;sharer_language=&amp;_d=0&amp;ec_shared_reflux_dynamic_params=%7B%22placeholder_material_id%22%3A%227630068304346074375%22%2C%22placeholder_origin_cover%22%3A%22https%253A%252F%252Fp16-common-sign.tiktokcdn.com%252Ftos-alisg-p-0037%252FoY0jIj6CABiiHw6UKcYAvir4yAqkkIDPINeK4B~tplv-tiktokx-origin.jpeg%253Fdr%253D14572%2526refresh_token%253Dc394bf07%2526x-expires%253D1808992800%2526x-signature%253D%25252FXFHLg710N9EHbaT4qukgslNM%25252F0%25253D%2526t%253D4d5b0474%2526ps%253D13740610%2526shp%253Dd05b14bd%2526shcp%253D34ff8df6%2526idc%253Dmy2%2526s%253DTIKTOK_AFFILIATE_VIRAL_VIDEO%22%2C%22placeholder_product_id%22%3A%221729427766722726591%22%2C%22placeholder_video_id%22%3A%227630068304346074375%22%7D&amp;ec_shared_reflux_scene=shop_tab_feed&amp;share_item_id=7630068304346074375&amp;source=h5_t" TargetMode="External"/><Relationship Id="rId9765" Type="http://schemas.openxmlformats.org/officeDocument/2006/relationships/hyperlink" Target="https://www.tiktok.com/@harumrice/video/7615128453184081173?_r=1&amp;_t=ZS-969xoIa07zV" TargetMode="External"/><Relationship Id="rId7105" Type="http://schemas.openxmlformats.org/officeDocument/2006/relationships/hyperlink" Target="https://vt.tiktok.com/ZS9fARK72/" TargetMode="External"/><Relationship Id="rId8436" Type="http://schemas.openxmlformats.org/officeDocument/2006/relationships/hyperlink" Target="https://www.tiktok.com/@belanja_hemat.shop/video/7629926744312548615?_r=1&amp;u_code=ek6h2252jijmih&amp;region=&amp;mid=7395415388382824464&amp;preview_pb=0&amp;sharer_language=&amp;_d=0&amp;ec_shared_reflux_dynamic_params=%7B%22placeholder_material_id%22%3A%227629926744312548615%22%2C%22placeholder_origin_cover%22%3A%22https%253A%252F%252Fp16-sign-sg.tiktokcdn.com%252Ftos-alisg-p-0037%252FogARLXupOi5fMxsvG8GFedRoAQQmGeGAPnfVBh~tplv-tiktokx-origin.jpeg%253Fdr%253D14572%2526refresh_token%253D0bc3ef94%2526x-expires%253D1808992800%2526x-signature%253DCbDvTxf0YgqWOaOAOjYGyzVeMR4%25253D%2526t%253D4d5b0474%2526ps%253D13740610%2526shp%253Dd05b14bd%2526shcp%253D34ff8df6%2526idc%253Dmy2%2526s%253DTIKTOK_AFFILIATE_VIRAL_VIDEO%22%2C%22placeholder_product_id%22%3A%221729427766722726591%22%2C%22placeholder_video_id%22%3A%227629926744312548615%22%7D&amp;ec_shared_reflux_scene=shop_tab_feed&amp;share_item_id=7629926744312548615&amp;source=h5_t" TargetMode="External"/><Relationship Id="rId9766" Type="http://schemas.openxmlformats.org/officeDocument/2006/relationships/hyperlink" Target="https://www.tiktok.com/@harumrice/video/7615008778697723157?_r=1&amp;_t=ZS-969xoIa07zV" TargetMode="External"/><Relationship Id="rId8460" Type="http://schemas.openxmlformats.org/officeDocument/2006/relationships/hyperlink" Target="https://www.tiktok.com/@abdir__ar" TargetMode="External"/><Relationship Id="rId9792" Type="http://schemas.openxmlformats.org/officeDocument/2006/relationships/hyperlink" Target="https://www.tiktok.com/@harumrice/video/7614652016677211412?_r=1&amp;_t=ZS-969xoIa07zV" TargetMode="External"/><Relationship Id="rId9793" Type="http://schemas.openxmlformats.org/officeDocument/2006/relationships/hyperlink" Target="https://www.tiktok.com/@nonnoni1" TargetMode="External"/><Relationship Id="rId9794" Type="http://schemas.openxmlformats.org/officeDocument/2006/relationships/hyperlink" Target="https://www.tiktok.com/@harumrice/video/7619310503105416468?_r=1&amp;_t=ZS-969xoIa07zV" TargetMode="External"/><Relationship Id="rId9795" Type="http://schemas.openxmlformats.org/officeDocument/2006/relationships/hyperlink" Target="https://www.tiktok.com/@harumrice/video/7615128453184081173?_r=1&amp;_t=ZS-969xoIa07zV" TargetMode="External"/><Relationship Id="rId7133" Type="http://schemas.openxmlformats.org/officeDocument/2006/relationships/hyperlink" Target="https://www.tiktok.com/@pipit.msr" TargetMode="External"/><Relationship Id="rId8464" Type="http://schemas.openxmlformats.org/officeDocument/2006/relationships/hyperlink" Target="https://vt.tiktok.com/ZSxDYQyTW/" TargetMode="External"/><Relationship Id="rId7132" Type="http://schemas.openxmlformats.org/officeDocument/2006/relationships/hyperlink" Target="https://vt.tiktok.com/ZS9fSTq7R/" TargetMode="External"/><Relationship Id="rId8463" Type="http://schemas.openxmlformats.org/officeDocument/2006/relationships/hyperlink" Target="https://vt.tiktok.com/ZSxDYhccb/" TargetMode="External"/><Relationship Id="rId7131" Type="http://schemas.openxmlformats.org/officeDocument/2006/relationships/hyperlink" Target="https://vt.tiktok.com/ZS9fAeqYT/" TargetMode="External"/><Relationship Id="rId8462" Type="http://schemas.openxmlformats.org/officeDocument/2006/relationships/hyperlink" Target="https://vt.tiktok.com/ZSxfQGEgj/" TargetMode="External"/><Relationship Id="rId9790" Type="http://schemas.openxmlformats.org/officeDocument/2006/relationships/hyperlink" Target="https://www.tiktok.com/@harumrice/video/7615128453184081173?_r=1&amp;_t=ZS-969xoIa07zV" TargetMode="External"/><Relationship Id="rId7130" Type="http://schemas.openxmlformats.org/officeDocument/2006/relationships/hyperlink" Target="https://vt.tiktok.com/ZS9fARK72/" TargetMode="External"/><Relationship Id="rId8461" Type="http://schemas.openxmlformats.org/officeDocument/2006/relationships/hyperlink" Target="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aceholder_origin_cover%22%3A%22https%253A%252F%252Fp16-common-sign.tiktokcdn.com%252Ftos-alisg-p-0037%252FocT3fUyagtsUCPXIgtfvGDAQDjLK9oeTHAQG2I~tplv-tiktokx-origin.jpeg%253Fdr%253D14572%2526refresh_token%253D13d7c298%2526x-expires%253D1808992800%2526x-signature%253Dm1yuhUo4JC1EwMfosEQhUBd56yw%25253D%2526t%253D4d5b0474%2526ps%253D13740610%2526shp%253Dd05b14bd%2526shcp%253D34ff8df6%2526idc%253Dmy2%2526s%253DTIKTOK_AFFILIATE_VIRAL_VIDEO%22%2C%22placeholder_product_id%22%3A%221729427766722726591%22%2C%22placeholder_video_id%22%3A%227633434949797858581%22%7D&amp;ec_shared_reflux_scene=shop_tab_feed&amp;share_item_id=7633434949797858581&amp;source=h5_t" TargetMode="External"/><Relationship Id="rId9791" Type="http://schemas.openxmlformats.org/officeDocument/2006/relationships/hyperlink" Target="https://www.tiktok.com/@harumrice/video/7615008778697723157?_r=1&amp;_t=ZS-969xoIa07zV" TargetMode="External"/><Relationship Id="rId7137" Type="http://schemas.openxmlformats.org/officeDocument/2006/relationships/hyperlink" Target="https://vt.tiktok.com/ZS9fSTq7R/" TargetMode="External"/><Relationship Id="rId8468" Type="http://schemas.openxmlformats.org/officeDocument/2006/relationships/hyperlink" Target="https://vt.tiktok.com/ZSxWmQBRq/" TargetMode="External"/><Relationship Id="rId7136" Type="http://schemas.openxmlformats.org/officeDocument/2006/relationships/hyperlink" Target="https://vt.tiktok.com/ZS9fAeqYT/" TargetMode="External"/><Relationship Id="rId8467" Type="http://schemas.openxmlformats.org/officeDocument/2006/relationships/hyperlink" Target="https://vt.tiktok.com/ZSxWH11t7/" TargetMode="External"/><Relationship Id="rId7135" Type="http://schemas.openxmlformats.org/officeDocument/2006/relationships/hyperlink" Target="https://vt.tiktok.com/ZS9fARK72/" TargetMode="External"/><Relationship Id="rId8466" Type="http://schemas.openxmlformats.org/officeDocument/2006/relationships/hyperlink" Target="https://vt.tiktok.com/ZSxW9d7V7/" TargetMode="External"/><Relationship Id="rId7134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8465" Type="http://schemas.openxmlformats.org/officeDocument/2006/relationships/hyperlink" Target="https://www.tiktok.com/@ndapopow" TargetMode="External"/><Relationship Id="rId9796" Type="http://schemas.openxmlformats.org/officeDocument/2006/relationships/hyperlink" Target="https://www.tiktok.com/@harumrice/video/7615008778697723157?_r=1&amp;_t=ZS-969xoIa07zV" TargetMode="External"/><Relationship Id="rId9797" Type="http://schemas.openxmlformats.org/officeDocument/2006/relationships/hyperlink" Target="https://www.tiktok.com/@harumrice/video/7614652016677211412?_r=1&amp;_t=ZS-969xoIa07zV" TargetMode="External"/><Relationship Id="rId7139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9798" Type="http://schemas.openxmlformats.org/officeDocument/2006/relationships/hyperlink" Target="https://www.tiktok.com/@intanal.amunia" TargetMode="External"/><Relationship Id="rId7138" Type="http://schemas.openxmlformats.org/officeDocument/2006/relationships/hyperlink" Target="https://www.tiktok.com/@fitriandriyani559" TargetMode="External"/><Relationship Id="rId8469" Type="http://schemas.openxmlformats.org/officeDocument/2006/relationships/hyperlink" Target="https://vt.tiktok.com/ZSxWmXmaN/" TargetMode="External"/><Relationship Id="rId9799" Type="http://schemas.openxmlformats.org/officeDocument/2006/relationships/hyperlink" Target="https://www.tiktok.com/@harumrice/video/7619310503105416468?_r=1&amp;_t=ZS-969xoIa07zV" TargetMode="External"/><Relationship Id="rId9781" Type="http://schemas.openxmlformats.org/officeDocument/2006/relationships/hyperlink" Target="https://www.tiktok.com/@harumrice/video/7615008778697723157?_r=1&amp;_t=ZS-969xoIa07zV" TargetMode="External"/><Relationship Id="rId9782" Type="http://schemas.openxmlformats.org/officeDocument/2006/relationships/hyperlink" Target="https://www.tiktok.com/@harumrice/video/7614652016677211412?_r=1&amp;_t=ZS-969xoIa07zV" TargetMode="External"/><Relationship Id="rId9783" Type="http://schemas.openxmlformats.org/officeDocument/2006/relationships/hyperlink" Target="https://www.tiktok.com/@aishsholihah" TargetMode="External"/><Relationship Id="rId9784" Type="http://schemas.openxmlformats.org/officeDocument/2006/relationships/hyperlink" Target="https://www.tiktok.com/@harumrice/video/7619310503105416468?_r=1&amp;_t=ZS-969xoIa07zV" TargetMode="External"/><Relationship Id="rId7122" Type="http://schemas.openxmlformats.org/officeDocument/2006/relationships/hyperlink" Target="https://vt.tiktok.com/ZS9fSTq7R/" TargetMode="External"/><Relationship Id="rId8453" Type="http://schemas.openxmlformats.org/officeDocument/2006/relationships/hyperlink" Target="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eholder_origin_cover%22%3A%22https%253A%252F%252Fp16-sign-sg.tiktokcdn.com%252Ftos-alisg-p-0037%252Fo03hfABezYXBDiRNp9OP7BUEgIxxBiEINkwKiH~tplv-tiktokx-origin.jpeg%253Fdr%253D14572%2526refresh_token%253D2b3edbd9%2526x-expires%253D1808992800%2526x-signature%253DuF7qjx32DHmqMM4GzKo0wROx5Eg%25253D%2526t%253D4d5b0474%2526ps%253D13740610%2526shp%253Dd05b14bd%2526shcp%253D34ff8df6%2526idc%253Dmy2%2526s%253DTIKTOK_AFFILIATE_VIRAL_VIDEO%22%2C%22placeholder_product_id%22%3A%221729427766722726591%22%2C%22placeholder_video_id%22%3A%227633988561930423560%22%7D&amp;ec_shared_reflux_scene=shop_tab_feed&amp;share_item_id=7633988561930423560&amp;source=h5_t" TargetMode="External"/><Relationship Id="rId7121" Type="http://schemas.openxmlformats.org/officeDocument/2006/relationships/hyperlink" Target="https://vt.tiktok.com/ZS9fAeqYT/" TargetMode="External"/><Relationship Id="rId8452" Type="http://schemas.openxmlformats.org/officeDocument/2006/relationships/hyperlink" Target="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eholder_origin_cover%22%3A%22https%253A%252F%252Fp16-common-sign.tiktokcdn.com%252Ftos-alisg-p-0037%252FoEvtB2BmQIJJbKvDCITIgGKC4QfW4c8eAAeLPj~tplv-tiktokx-origin.jpeg%253Fdr%253D14572%2526refresh_token%253D14b8e5a1%2526x-expires%253D1808992800%2526x-signature%253DsBKNRZM9NlGgABGP%25252Bi5CuTVSWFg%25253D%2526t%253D4d5b0474%2526ps%253D13740610%2526shp%253Dd05b14bd%2526shcp%253D34ff8df6%2526idc%253Dmy2%2526s%253DTIKTOK_AFFILIATE_VIRAL_VIDEO%22%2C%22placeholder_product_id%22%3A%221729427766722726591%22%2C%22placeholder_video_id%22%3A%227633619284236799240%22%7D&amp;ec_shared_reflux_scene=shop_tab_feed&amp;share_item_id=7633619284236799240&amp;source=h5_t" TargetMode="External"/><Relationship Id="rId7120" Type="http://schemas.openxmlformats.org/officeDocument/2006/relationships/hyperlink" Target="https://vt.tiktok.com/ZS9fARK72/" TargetMode="External"/><Relationship Id="rId8451" Type="http://schemas.openxmlformats.org/officeDocument/2006/relationships/hyperlink" Target="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eholder_origin_cover%22%3A%22https%253A%252F%252Fp16-common-sign.tiktokcdn.com%252Ftos-alisg-p-0037%252Fokej83InNuARId4oIVGPkcAQGeAeLDBS0CHTZQ~tplv-tiktokx-origin.jpeg%253Fdr%253D14572%2526refresh_token%253D3b7eb85d%2526x-expires%253D1808992800%2526x-signature%253DzhyQY%25252Bd9E%25252FZMgX7MRj4vEnlPr%25252BI%25253D%2526t%253D4d5b0474%2526ps%253D13740610%2526shp%253Dd05b14bd%2526shcp%253D34ff8df6%2526idc%253Dmy2%2526s%253DTIKTOK_AFFILIATE_VIRAL_VIDEO%22%2C%22placeholder_product_id%22%3A%221729427766722726591%22%2C%22placeholder_video_id%22%3A%227633259666696391954%22%7D&amp;ec_shared_reflux_scene=shop_tab_feed&amp;share_item_id=7633259666696391954&amp;source=h5_t" TargetMode="External"/><Relationship Id="rId8450" Type="http://schemas.openxmlformats.org/officeDocument/2006/relationships/hyperlink" Target="https://www.tiktok.com/@officialsang9" TargetMode="External"/><Relationship Id="rId9780" Type="http://schemas.openxmlformats.org/officeDocument/2006/relationships/hyperlink" Target="https://www.tiktok.com/@harumrice/video/7615128453184081173?_r=1&amp;_t=ZS-969xoIa07zV" TargetMode="External"/><Relationship Id="rId7126" Type="http://schemas.openxmlformats.org/officeDocument/2006/relationships/hyperlink" Target="https://vt.tiktok.com/ZS9fAeqYT/" TargetMode="External"/><Relationship Id="rId8457" Type="http://schemas.openxmlformats.org/officeDocument/2006/relationships/hyperlink" Target="https://www.tiktok.com/@belanja_hemat.shop/video/7630068304346074375?_r=1&amp;u_code=ek6h2252jijmih&amp;region=&amp;mid=7502446149192567607&amp;preview_pb=0&amp;sharer_language=&amp;_d=0&amp;ec_shared_reflux_dynamic_params=%7B%22placeholder_material_id%22%3A%227630068304346074375%22%2C%22placeholder_origin_cover%22%3A%22https%253A%252F%252Fp16-common-sign.tiktokcdn.com%252Ftos-alisg-p-0037%252FoY0jIj6CABiiHw6UKcYAvir4yAqkkIDPINeK4B~tplv-tiktokx-origin.jpeg%253Fdr%253D14572%2526refresh_token%253Dc394bf07%2526x-expires%253D1808992800%2526x-signature%253D%25252FXFHLg710N9EHbaT4qukgslNM%25252F0%25253D%2526t%253D4d5b0474%2526ps%253D13740610%2526shp%253Dd05b14bd%2526shcp%253D34ff8df6%2526idc%253Dmy2%2526s%253DTIKTOK_AFFILIATE_VIRAL_VIDEO%22%2C%22placeholder_product_id%22%3A%221729427766722726591%22%2C%22placeholder_video_id%22%3A%227630068304346074375%22%7D&amp;ec_shared_reflux_scene=shop_tab_feed&amp;share_item_id=7630068304346074375&amp;source=h5_t" TargetMode="External"/><Relationship Id="rId9789" Type="http://schemas.openxmlformats.org/officeDocument/2006/relationships/hyperlink" Target="https://www.tiktok.com/@harumrice/video/7619310503105416468?_r=1&amp;_t=ZS-969xoIa07zV" TargetMode="External"/><Relationship Id="rId7125" Type="http://schemas.openxmlformats.org/officeDocument/2006/relationships/hyperlink" Target="https://vt.tiktok.com/ZS9fARK72/" TargetMode="External"/><Relationship Id="rId8456" Type="http://schemas.openxmlformats.org/officeDocument/2006/relationships/hyperlink" Target="https://www.tiktok.com/@belanja_hemat.shop/video/7629926744312548615?_r=1&amp;u_code=ek6h2252jijmih&amp;region=&amp;mid=7395415388382824464&amp;preview_pb=0&amp;sharer_language=&amp;_d=0&amp;ec_shared_reflux_dynamic_params=%7B%22placeholder_material_id%22%3A%227629926744312548615%22%2C%22placeholder_origin_cover%22%3A%22https%253A%252F%252Fp16-sign-sg.tiktokcdn.com%252Ftos-alisg-p-0037%252FogARLXupOi5fMxsvG8GFedRoAQQmGeGAPnfVBh~tplv-tiktokx-origin.jpeg%253Fdr%253D14572%2526refresh_token%253D0bc3ef94%2526x-expires%253D1808992800%2526x-signature%253DCbDvTxf0YgqWOaOAOjYGyzVeMR4%25253D%2526t%253D4d5b0474%2526ps%253D13740610%2526shp%253Dd05b14bd%2526shcp%253D34ff8df6%2526idc%253Dmy2%2526s%253DTIKTOK_AFFILIATE_VIRAL_VIDEO%22%2C%22placeholder_product_id%22%3A%221729427766722726591%22%2C%22placeholder_video_id%22%3A%227629926744312548615%22%7D&amp;ec_shared_reflux_scene=shop_tab_feed&amp;share_item_id=7629926744312548615&amp;source=h5_t" TargetMode="External"/><Relationship Id="rId7124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8455" Type="http://schemas.openxmlformats.org/officeDocument/2006/relationships/hyperlink" Target="https://www.tiktok.com/@bismillahberkah.1" TargetMode="External"/><Relationship Id="rId7123" Type="http://schemas.openxmlformats.org/officeDocument/2006/relationships/hyperlink" Target="https://www.tiktok.com/@kianaska" TargetMode="External"/><Relationship Id="rId8454" Type="http://schemas.openxmlformats.org/officeDocument/2006/relationships/hyperlink" Target="https://vt.tiktok.com/ZSxfCLAv5/" TargetMode="External"/><Relationship Id="rId9785" Type="http://schemas.openxmlformats.org/officeDocument/2006/relationships/hyperlink" Target="https://www.tiktok.com/@harumrice/video/7615128453184081173?_r=1&amp;_t=ZS-969xoIa07zV" TargetMode="External"/><Relationship Id="rId7129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9786" Type="http://schemas.openxmlformats.org/officeDocument/2006/relationships/hyperlink" Target="https://www.tiktok.com/@harumrice/video/7615008778697723157?_r=1&amp;_t=ZS-969xoIa07zV" TargetMode="External"/><Relationship Id="rId7128" Type="http://schemas.openxmlformats.org/officeDocument/2006/relationships/hyperlink" Target="https://www.tiktok.com/@metatriananta0" TargetMode="External"/><Relationship Id="rId8459" Type="http://schemas.openxmlformats.org/officeDocument/2006/relationships/hyperlink" Target="https://www.tiktok.com/@belanja_hemat.shop/video/7630283480441621767?_r=1&amp;u_code=ek6h2252jijmih&amp;region=&amp;mid=7615963521880558357&amp;preview_pb=0&amp;sharer_language=&amp;_d=0&amp;ec_shared_reflux_dynamic_params=%7B%22placeholder_material_id%22%3A%227630283480441621767%22%2C%22placeholder_origin_cover%22%3A%22https%253A%252F%252Fp16-sign-sg.tiktokcdn.com%252Ftos-alisg-p-0037%252FowLgThbTAvZEDmUpRgqBBrYOOEQeQEFIpPa5fD~tplv-tiktokx-origin.jpeg%253Fdr%253D14572%2526refresh_token%253D7028f3e9%2526x-expires%253D1808992800%2526x-signature%253Dm8NIDbYtD8vdd9sCzAcHHhWysZQ%25253D%2526t%253D4d5b0474%2526ps%253D13740610%2526shp%253Dd05b14bd%2526shcp%253D34ff8df6%2526idc%253Dmy2%2526s%253DTIKTOK_AFFILIATE_VIRAL_VIDEO%22%2C%22placeholder_product_id%22%3A%221729427766722726591%22%2C%22placeholder_video_id%22%3A%227630283480441621767%22%7D&amp;ec_shared_reflux_scene=shop_tab_feed&amp;share_item_id=7630283480441621767&amp;source=h5_t" TargetMode="External"/><Relationship Id="rId9787" Type="http://schemas.openxmlformats.org/officeDocument/2006/relationships/hyperlink" Target="https://www.tiktok.com/@harumrice/video/7614652016677211412?_r=1&amp;_t=ZS-969xoIa07zV" TargetMode="External"/><Relationship Id="rId7127" Type="http://schemas.openxmlformats.org/officeDocument/2006/relationships/hyperlink" Target="https://vt.tiktok.com/ZS9fSTq7R/" TargetMode="External"/><Relationship Id="rId8458" Type="http://schemas.openxmlformats.org/officeDocument/2006/relationships/hyperlink" Target="https://www.tiktok.com/@belanja_hemat.shop/video/7630083439080852744?_r=1&amp;u_code=ek6h2252jijmih&amp;region=&amp;mid=7502446149192567607&amp;preview_pb=0&amp;sharer_language=&amp;_d=0&amp;ec_shared_reflux_dynamic_params=%7B%22placeholder_material_id%22%3A%227630083439080852744%22%2C%22placeholder_origin_cover%22%3A%22https%253A%252F%252Fp16-common-sign.tiktokcdn.com%252Ftos-alisg-p-0037%252FoEONqiBlICA7hICZgjiI3AAAgBswH8WOe0PpIT~tplv-tiktokx-origin.jpeg%253Fdr%253D14572%2526refresh_token%253Dc5a3bd01%2526x-expires%253D1808992800%2526x-signature%253DmHrmToRfBoDI76E5SnS33jucUxo%25253D%2526t%253D4d5b0474%2526ps%253D13740610%2526shp%253Dd05b14bd%2526shcp%253D34ff8df6%2526idc%253Dmy2%2526s%253DTIKTOK_AFFILIATE_VIRAL_VIDEO%22%2C%22placeholder_product_id%22%3A%221729427766722726591%22%2C%22placeholder_video_id%22%3A%227630083439080852744%22%7D&amp;ec_shared_reflux_scene=shop_tab_feed&amp;share_item_id=7630083439080852744&amp;source=h5_t" TargetMode="External"/><Relationship Id="rId9788" Type="http://schemas.openxmlformats.org/officeDocument/2006/relationships/hyperlink" Target="https://www.tiktok.com/@kalunamichell" TargetMode="External"/><Relationship Id="rId2302" Type="http://schemas.openxmlformats.org/officeDocument/2006/relationships/hyperlink" Target="https://www.tiktok.com/@ujujuhanah12/video/7634099079349341448?_r=1&amp;u_code=dkiljj4h3j2051&amp;region=&amp;mid=7634099129341266695&amp;preview_pb=0&amp;sharer_language=&amp;_d=0&amp;ec_shared_reflux_dynamic_params=%7B%22placeholder_material_id%22%3A%227634099079349341448%22%2C%22placeholder_origin_cover%22%3A%22https%253A%252F%252Fp16-sign-sg.tiktokcdn.com%252Ftos-alisg-p-0037%252FowvtOmCDIEeyyH1BcxpExDMB8I7mcK6fgA3FHR~tplv-tiktokx-origin.jpeg%253Fdr%253D14572%2526refresh_token%253D83855a9a%2526x-expires%253D1808992800%2526x-signature%253DUXBEdRSGsThSV51Ar5%25252F2YPnw6aE%25253D%2526t%253D4d5b0474%2526ps%253D13740610%2526shp%253Dd05b14bd%2526shcp%253D34ff8df6%2526idc%253Dmy2%2526s%253DTIKTOK_AFFILIATE_VIRAL_VIDEO%22%2C%22placeholder_product_id%22%3A%221729427766722726591%22%2C%22placeholder_video_id%22%3A%227634099079349341448%22%7D&amp;ec_shared_reflux_scene=shop_tab_feed&amp;share_item_id=7634099079349341448&amp;source=h5_t" TargetMode="External"/><Relationship Id="rId3634" Type="http://schemas.openxmlformats.org/officeDocument/2006/relationships/hyperlink" Target="https://vt.tiktok.com/ZS9BwRrnq/" TargetMode="External"/><Relationship Id="rId4965" Type="http://schemas.openxmlformats.org/officeDocument/2006/relationships/hyperlink" Target="https://vt.tiktok.com/ZSxyANvXC/" TargetMode="External"/><Relationship Id="rId2303" Type="http://schemas.openxmlformats.org/officeDocument/2006/relationships/hyperlink" Target="https://vt.tiktok.com/ZS9UdaJuG/" TargetMode="External"/><Relationship Id="rId3633" Type="http://schemas.openxmlformats.org/officeDocument/2006/relationships/hyperlink" Target="https://vt.tiktok.com/ZS9BwNsGd/" TargetMode="External"/><Relationship Id="rId4964" Type="http://schemas.openxmlformats.org/officeDocument/2006/relationships/hyperlink" Target="https://vt.tiktok.com/ZSxySoVWA/" TargetMode="External"/><Relationship Id="rId2304" Type="http://schemas.openxmlformats.org/officeDocument/2006/relationships/hyperlink" Target="https://www.tiktok.com/@ayuni.wulandarii" TargetMode="External"/><Relationship Id="rId3636" Type="http://schemas.openxmlformats.org/officeDocument/2006/relationships/hyperlink" Target="https://vt.tiktok.com/ZS9BTwTn8/" TargetMode="External"/><Relationship Id="rId4967" Type="http://schemas.openxmlformats.org/officeDocument/2006/relationships/hyperlink" Target="https://vt.tiktok.com/ZSxyA8wRx/" TargetMode="External"/><Relationship Id="rId2305" Type="http://schemas.openxmlformats.org/officeDocument/2006/relationships/hyperlink" Target="https://vt.tiktok.com/ZSHaapdE7/" TargetMode="External"/><Relationship Id="rId3635" Type="http://schemas.openxmlformats.org/officeDocument/2006/relationships/hyperlink" Target="https://www.tiktok.com/@erviniapermatasari" TargetMode="External"/><Relationship Id="rId4966" Type="http://schemas.openxmlformats.org/officeDocument/2006/relationships/hyperlink" Target="https://vt.tiktok.com/ZSxyAM14h/" TargetMode="External"/><Relationship Id="rId2306" Type="http://schemas.openxmlformats.org/officeDocument/2006/relationships/hyperlink" Target="https://vt.tiktok.com/ZS9tqX4k1/" TargetMode="External"/><Relationship Id="rId3638" Type="http://schemas.openxmlformats.org/officeDocument/2006/relationships/hyperlink" Target="https://www.tiktok.com/@heinia_" TargetMode="External"/><Relationship Id="rId4969" Type="http://schemas.openxmlformats.org/officeDocument/2006/relationships/hyperlink" Target="https://www.tiktok.com/@gallery.itsmykey/video/7633713659558055186?_r=1&amp;u_code=cmea1dh1i51f3i&amp;region=&amp;mid=7494258890218113025&amp;preview_pb=0&amp;sharer_language=&amp;_d=0&amp;ec_shared_reflux_dynamic_params=%7B%22placeholder_material_id%22%3A%227633713659558055186%22%2C%22placeholder_origin_cover%22%3A%22https%253A%252F%252Fp16-common-sign.tiktokcdn.com%252Ftos-alisg-p-0037%252FoYW8Df2UEEXcQiZFOBpgFBywQURGAeOcvBmsk1~tplv-tiktokx-origin.jpeg%253Fdr%253D14572%2526refresh_token%253Dcd6814dc%2526x-expires%253D1808992800%2526x-signature%253DZQNAn%25252BRDHSwlyrfzK1maxW%25252BIjGA%25253D%2526t%253D4d5b0474%2526ps%253D13740610%2526shp%253Dd05b14bd%2526shcp%253D34ff8df6%2526idc%253Dmy2%2526s%253DTIKTOK_AFFILIATE_VIRAL_VIDEO%22%2C%22placeholder_product_id%22%3A%221729427766722726591%22%2C%22placeholder_video_id%22%3A%227633713659558055186%22%7D&amp;ec_shared_reflux_scene=shop_tab_feed&amp;share_item_id=7633713659558055186&amp;source=h5_t" TargetMode="External"/><Relationship Id="rId2307" Type="http://schemas.openxmlformats.org/officeDocument/2006/relationships/hyperlink" Target="https://vt.tiktok.com/ZS9tqx38s/" TargetMode="External"/><Relationship Id="rId3637" Type="http://schemas.openxmlformats.org/officeDocument/2006/relationships/hyperlink" Target="https://vt.tiktok.com/ZS9BTTj7H/" TargetMode="External"/><Relationship Id="rId4968" Type="http://schemas.openxmlformats.org/officeDocument/2006/relationships/hyperlink" Target="https://www.tiktok.com/@gallery.itsmykey" TargetMode="External"/><Relationship Id="rId2308" Type="http://schemas.openxmlformats.org/officeDocument/2006/relationships/hyperlink" Target="https://vt.tiktok.com/ZS9tqc12c/" TargetMode="External"/><Relationship Id="rId2309" Type="http://schemas.openxmlformats.org/officeDocument/2006/relationships/hyperlink" Target="https://www.tiktok.com/@marselll1_" TargetMode="External"/><Relationship Id="rId3639" Type="http://schemas.openxmlformats.org/officeDocument/2006/relationships/hyperlink" Target="https://vt.tiktok.com/ZS9kmBNp4/" TargetMode="External"/><Relationship Id="rId3630" Type="http://schemas.openxmlformats.org/officeDocument/2006/relationships/hyperlink" Target="https://vt.tiktok.com/ZS9BTWh3m/" TargetMode="External"/><Relationship Id="rId4961" Type="http://schemas.openxmlformats.org/officeDocument/2006/relationships/hyperlink" Target="https://vt.tiktok.com/ZSxyANDsv/" TargetMode="External"/><Relationship Id="rId4960" Type="http://schemas.openxmlformats.org/officeDocument/2006/relationships/hyperlink" Target="https://vt.tiktok.com/ZSxyAaoJY/" TargetMode="External"/><Relationship Id="rId2300" Type="http://schemas.openxmlformats.org/officeDocument/2006/relationships/hyperlink" Target="https://vt.tiktok.com/ZS9RpAdbG/" TargetMode="External"/><Relationship Id="rId3632" Type="http://schemas.openxmlformats.org/officeDocument/2006/relationships/hyperlink" Target="https://www.tiktok.com/@cici_purwati1" TargetMode="External"/><Relationship Id="rId4963" Type="http://schemas.openxmlformats.org/officeDocument/2006/relationships/hyperlink" Target="https://www.tiktok.com/@Nuggetbobacokies" TargetMode="External"/><Relationship Id="rId2301" Type="http://schemas.openxmlformats.org/officeDocument/2006/relationships/hyperlink" Target="https://vt.tiktok.com/ZS9RnsHAU/" TargetMode="External"/><Relationship Id="rId3631" Type="http://schemas.openxmlformats.org/officeDocument/2006/relationships/hyperlink" Target="https://vt.tiktok.com/ZS9Bw6Y7R/" TargetMode="External"/><Relationship Id="rId4962" Type="http://schemas.openxmlformats.org/officeDocument/2006/relationships/hyperlink" Target="https://vt.tiktok.com/ZSxyAMGFy/" TargetMode="External"/><Relationship Id="rId3623" Type="http://schemas.openxmlformats.org/officeDocument/2006/relationships/hyperlink" Target="https://vt.tiktok.com/ZS9BKTKbx/" TargetMode="External"/><Relationship Id="rId4954" Type="http://schemas.openxmlformats.org/officeDocument/2006/relationships/hyperlink" Target="https://vt.tiktok.com/ZS9YkmFSb/" TargetMode="External"/><Relationship Id="rId3622" Type="http://schemas.openxmlformats.org/officeDocument/2006/relationships/hyperlink" Target="https://www.tiktok.com/@mamachoice98" TargetMode="External"/><Relationship Id="rId4953" Type="http://schemas.openxmlformats.org/officeDocument/2006/relationships/hyperlink" Target="https://www.tiktok.com/@themoon__88" TargetMode="External"/><Relationship Id="rId3625" Type="http://schemas.openxmlformats.org/officeDocument/2006/relationships/hyperlink" Target="https://vt.tiktok.com/ZS9BK7L8K/" TargetMode="External"/><Relationship Id="rId4956" Type="http://schemas.openxmlformats.org/officeDocument/2006/relationships/hyperlink" Target="https://vt.tiktok.com/ZSxyACb5D/" TargetMode="External"/><Relationship Id="rId3624" Type="http://schemas.openxmlformats.org/officeDocument/2006/relationships/hyperlink" Target="https://vt.tiktok.com/ZS9BKgAyY/" TargetMode="External"/><Relationship Id="rId4955" Type="http://schemas.openxmlformats.org/officeDocument/2006/relationships/hyperlink" Target="https://vt.tiktok.com/ZS9je2vr9/" TargetMode="External"/><Relationship Id="rId3627" Type="http://schemas.openxmlformats.org/officeDocument/2006/relationships/hyperlink" Target="https://www.tiktok.com/@nelichannels" TargetMode="External"/><Relationship Id="rId4958" Type="http://schemas.openxmlformats.org/officeDocument/2006/relationships/hyperlink" Target="https://www.tiktok.com/@Nuzhatul" TargetMode="External"/><Relationship Id="rId3626" Type="http://schemas.openxmlformats.org/officeDocument/2006/relationships/hyperlink" Target="https://vt.tiktok.com/ZS9BKTMnF/" TargetMode="External"/><Relationship Id="rId4957" Type="http://schemas.openxmlformats.org/officeDocument/2006/relationships/hyperlink" Target="https://vt.tiktok.com/ZSxyA5nwF/" TargetMode="External"/><Relationship Id="rId3629" Type="http://schemas.openxmlformats.org/officeDocument/2006/relationships/hyperlink" Target="https://vt.tiktok.com/ZS9BEeTfp/" TargetMode="External"/><Relationship Id="rId3628" Type="http://schemas.openxmlformats.org/officeDocument/2006/relationships/hyperlink" Target="https://vt.tiktok.com/ZS9BKTJH1/" TargetMode="External"/><Relationship Id="rId4959" Type="http://schemas.openxmlformats.org/officeDocument/2006/relationships/hyperlink" Target="https://vt.tiktok.com/ZSxyAAgvA/" TargetMode="External"/><Relationship Id="rId4950" Type="http://schemas.openxmlformats.org/officeDocument/2006/relationships/hyperlink" Target="https://vt.tiktok.com/ZS95xt41Q/" TargetMode="External"/><Relationship Id="rId3621" Type="http://schemas.openxmlformats.org/officeDocument/2006/relationships/hyperlink" Target="https://vt.tiktok.com/ZSxULPeJT/" TargetMode="External"/><Relationship Id="rId4952" Type="http://schemas.openxmlformats.org/officeDocument/2006/relationships/hyperlink" Target="https://vt.tiktok.com/ZS95x9DEf/" TargetMode="External"/><Relationship Id="rId3620" Type="http://schemas.openxmlformats.org/officeDocument/2006/relationships/hyperlink" Target="https://vt.tiktok.com/ZS9BKEUCR/" TargetMode="External"/><Relationship Id="rId4951" Type="http://schemas.openxmlformats.org/officeDocument/2006/relationships/hyperlink" Target="https://vt.tiktok.com/ZS95xQTwC/" TargetMode="External"/><Relationship Id="rId2324" Type="http://schemas.openxmlformats.org/officeDocument/2006/relationships/hyperlink" Target="https://vt.tiktok.com/ZS9tqXqqe/" TargetMode="External"/><Relationship Id="rId3656" Type="http://schemas.openxmlformats.org/officeDocument/2006/relationships/hyperlink" Target="https://vt.tiktok.com/ZS9SYywtN/" TargetMode="External"/><Relationship Id="rId4987" Type="http://schemas.openxmlformats.org/officeDocument/2006/relationships/hyperlink" Target="https://vt.tiktok.com/ZSxyASNre/" TargetMode="External"/><Relationship Id="rId2325" Type="http://schemas.openxmlformats.org/officeDocument/2006/relationships/hyperlink" Target="https://vt.tiktok.com/ZS9tq7UJe/" TargetMode="External"/><Relationship Id="rId3655" Type="http://schemas.openxmlformats.org/officeDocument/2006/relationships/hyperlink" Target="https://vt.tiktok.com/ZS9SYA88a/" TargetMode="External"/><Relationship Id="rId4986" Type="http://schemas.openxmlformats.org/officeDocument/2006/relationships/hyperlink" Target="https://vt.tiktok.com/ZSxyAr3NU/" TargetMode="External"/><Relationship Id="rId2326" Type="http://schemas.openxmlformats.org/officeDocument/2006/relationships/hyperlink" Target="https://vt.tiktok.com/ZS9tqPW4W/" TargetMode="External"/><Relationship Id="rId3658" Type="http://schemas.openxmlformats.org/officeDocument/2006/relationships/hyperlink" Target="https://vt.tiktok.com/ZS9SYRQqs/" TargetMode="External"/><Relationship Id="rId4989" Type="http://schemas.openxmlformats.org/officeDocument/2006/relationships/hyperlink" Target="https://www.tiktok.com/@belanja_hemat.shop/video/7630598491827391752?_r=1&amp;u_code=ek6h2252jijmih&amp;region=&amp;mid=7381176581904878342&amp;preview_pb=0&amp;sharer_language=&amp;_d=0&amp;ec_shared_reflux_dynamic_params=%7B%22placeholder_material_id%22%3A%227630598491827391752%22%2C%22placeholder_origin_cover%22%3A%22https%253A%252F%252Fp16-common-sign.tiktokcdn.com%252Ftos-alisg-p-0037%252FoACPlAYVqqCFSiI0n8ifAAwRZV3BpdI4I7B0Ci~tplv-tiktokx-origin.jpeg%253Fdr%253D14572%2526refresh_token%253D37fab94f%2526x-expires%253D1808992800%2526x-signature%253DxhSmbzhKT%25252Fm0k9lOnJssKbrnlRE%25253D%2526t%253D4d5b0474%2526ps%253D13740610%2526shp%253Dd05b14bd%2526shcp%253D34ff8df6%2526idc%253Dmy2%2526s%253DTIKTOK_AFFILIATE_VIRAL_VIDEO%22%2C%22placeholder_product_id%22%3A%221729427766722726591%22%2C%22placeholder_video_id%22%3A%227630598491827391752%22%7D&amp;ec_shared_reflux_scene=shop_tab_feed&amp;share_item_id=7630598491827391752&amp;source=h5_t" TargetMode="External"/><Relationship Id="rId2327" Type="http://schemas.openxmlformats.org/officeDocument/2006/relationships/hyperlink" Target="https://www.tiktok.com/@tatataberry" TargetMode="External"/><Relationship Id="rId3657" Type="http://schemas.openxmlformats.org/officeDocument/2006/relationships/hyperlink" Target="https://www.tiktok.com/@annasya07sf" TargetMode="External"/><Relationship Id="rId4988" Type="http://schemas.openxmlformats.org/officeDocument/2006/relationships/hyperlink" Target="https://www.tiktok.com/@Itsyournaa_a" TargetMode="External"/><Relationship Id="rId2328" Type="http://schemas.openxmlformats.org/officeDocument/2006/relationships/hyperlink" Target="https://vt.tiktok.com/ZSHCr2gMH/" TargetMode="External"/><Relationship Id="rId2329" Type="http://schemas.openxmlformats.org/officeDocument/2006/relationships/hyperlink" Target="https://vt.tiktok.com/ZS9tqLWra/" TargetMode="External"/><Relationship Id="rId3659" Type="http://schemas.openxmlformats.org/officeDocument/2006/relationships/hyperlink" Target="https://vt.tiktok.com/ZS9SYkSkc/" TargetMode="External"/><Relationship Id="rId3650" Type="http://schemas.openxmlformats.org/officeDocument/2006/relationships/hyperlink" Target="https://vt.tiktok.com/ZS9SF4pDq/" TargetMode="External"/><Relationship Id="rId4981" Type="http://schemas.openxmlformats.org/officeDocument/2006/relationships/hyperlink" Target="https://www.tiktok.com/@harumrice/video/7637478775663758612?_r=1&amp;u_code=d6j7255963058c&amp;region=&amp;mid=7571090943366695687&amp;preview_pb=0&amp;sharer_language=&amp;_d=0&amp;ec_shared_reflux_dynamic_params=%7B%22placeholder_material_id%22%3A%227637478775663758612%22%2C%22placeholder_origin_cover%22%3A%22https%253A%252F%252Fp16-common-sign.tiktokcdn.com%252Ftos-alisg-p-0037%252FoQh9KywfvAIIlGLjCBI0roAWxiAuiCovl3NIXw~tplv-tiktokx-origin.jpeg%253Fdr%253D14572%2526refresh_token%253Dd656fc90%2526x-expires%253D1810717200%2526x-signature%253D2Ts4bQ2Nnict9c4Xc69IOXEIHhA%25253D%2526t%253D4d5b0474%2526ps%253D13740610%2526shp%253Dd05b14bd%2526shcp%253D34ff8df6%2526idc%253Dmy3%2526s%253DTIKTOK_AFFILIATE_VIRAL_VIDEO%22%2C%22placeholder_product_id%22%3A%221729427766722726591%22%2C%22placeholder_video_id%22%3A%227637478775663758612%22%7D&amp;ec_shared_reflux_scene=shop_tab_feed&amp;share_item_id=7637478775663758612&amp;source=h5_t" TargetMode="External"/><Relationship Id="rId4980" Type="http://schemas.openxmlformats.org/officeDocument/2006/relationships/hyperlink" Target="https://www.tiktok.com/@harumrice/video/7637480202020359444?_r=1&amp;u_code=d6j7255963058c&amp;region=&amp;mid=7607064407760456464&amp;preview_pb=0&amp;sharer_language=&amp;_d=0&amp;ec_shared_reflux_dynamic_params=%7B%22placeholder_material_id%22%3A%227637480202020359444%22%2C%22placeholder_origin_cover%22%3A%22https%253A%252F%252Fp16-common-sign.tiktokcdn.com%252Ftos-alisg-p-0037%252FoAfs9P83cTBQIAE6xHBFfIjDC7tgfIj9cm4ABD~tplv-tiktokx-origin.jpeg%253Fdr%253D14572%2526refresh_token%253D07b25b60%2526x-expires%253D1810717200%2526x-signature%253DnFj8cZelZM7Tvl3nJQ0NpETUxS0%25253D%2526t%253D4d5b0474%2526ps%253D13740610%2526shp%253Dd05b14bd%2526shcp%253D34ff8df6%2526idc%253Dmy3%2526s%253DTIKTOK_AFFILIATE_VIRAL_VIDEO%22%2C%22placeholder_product_id%22%3A%221729427766722726591%22%2C%22placeholder_video_id%22%3A%227637480202020359444%22%7D&amp;ec_shared_reflux_scene=shop_tab_feed&amp;share_item_id=7637480202020359444&amp;source=h5_t" TargetMode="External"/><Relationship Id="rId2320" Type="http://schemas.openxmlformats.org/officeDocument/2006/relationships/hyperlink" Target="https://www.tiktok.com/@ev.viani7" TargetMode="External"/><Relationship Id="rId3652" Type="http://schemas.openxmlformats.org/officeDocument/2006/relationships/hyperlink" Target="https://www.tiktok.com/@baby.shaka24" TargetMode="External"/><Relationship Id="rId4983" Type="http://schemas.openxmlformats.org/officeDocument/2006/relationships/hyperlink" Target="https://www.tiktok.com/@Mithalatif14" TargetMode="External"/><Relationship Id="rId2321" Type="http://schemas.openxmlformats.org/officeDocument/2006/relationships/hyperlink" Target="https://vt.tiktok.com/ZS9LFd9uf/" TargetMode="External"/><Relationship Id="rId3651" Type="http://schemas.openxmlformats.org/officeDocument/2006/relationships/hyperlink" Target="https://vt.tiktok.com/ZS9SFnDtQ/" TargetMode="External"/><Relationship Id="rId4982" Type="http://schemas.openxmlformats.org/officeDocument/2006/relationships/hyperlink" Target="https://www.tiktok.com/@harumrice/video/7637478313484750100?_r=1&amp;u_code=d6j7255963058c&amp;region=&amp;mid=7575746761101265682&amp;preview_pb=0&amp;sharer_language=&amp;_d=0&amp;ec_shared_reflux_dynamic_params=%7B%22placeholder_material_id%22%3A%227637478313484750100%22%2C%22placeholder_origin_cover%22%3A%22https%253A%252F%252Fp16-common-sign.tiktokcdn.com%252Ftos-alisg-p-0037%252FoI49tVFiigIYDIgIVAi0AxbBwduhUAnhP3fCtz~tplv-tiktokx-origin.jpeg%253Fdr%253D14572%2526refresh_token%253Dac7b9ccd%2526x-expires%253D1810717200%2526x-signature%253Db9wVjxDhwO5%25252BTuFHcUCczrgIbTk%25253D%2526t%253D4d5b0474%2526ps%253D13740610%2526shp%253Dd05b14bd%2526shcp%253D34ff8df6%2526idc%253Dmy3%2526s%253DTIKTOK_AFFILIATE_VIRAL_VIDEO%22%2C%22placeholder_product_id%22%3A%221729427766722726591%22%2C%22placeholder_video_id%22%3A%227637478313484750100%22%7D&amp;ec_shared_reflux_scene=shop_tab_feed&amp;share_item_id=7637478313484750100&amp;source=h5_t" TargetMode="External"/><Relationship Id="rId2322" Type="http://schemas.openxmlformats.org/officeDocument/2006/relationships/hyperlink" Target="https://www.tiktok.com/@edewsri_" TargetMode="External"/><Relationship Id="rId3654" Type="http://schemas.openxmlformats.org/officeDocument/2006/relationships/hyperlink" Target="https://vt.tiktok.com/ZS9SYAj5K/" TargetMode="External"/><Relationship Id="rId4985" Type="http://schemas.openxmlformats.org/officeDocument/2006/relationships/hyperlink" Target="https://vt.tiktok.com/ZSxR7tCyJ/" TargetMode="External"/><Relationship Id="rId2323" Type="http://schemas.openxmlformats.org/officeDocument/2006/relationships/hyperlink" Target="https://www.tiktok.com/@edewsri_/video/7628810336438635784?is_from_webapp=1&amp;sender_device=pc" TargetMode="External"/><Relationship Id="rId3653" Type="http://schemas.openxmlformats.org/officeDocument/2006/relationships/hyperlink" Target="https://vt.tiktok.com/ZS9SFgXvg/" TargetMode="External"/><Relationship Id="rId4984" Type="http://schemas.openxmlformats.org/officeDocument/2006/relationships/hyperlink" Target="https://vt.tiktok.com/ZSxeHNGw9/" TargetMode="External"/><Relationship Id="rId2313" Type="http://schemas.openxmlformats.org/officeDocument/2006/relationships/hyperlink" Target="https://vt.tiktok.com/ZS9tqCEuX/" TargetMode="External"/><Relationship Id="rId3645" Type="http://schemas.openxmlformats.org/officeDocument/2006/relationships/hyperlink" Target="https://vt.tiktok.com/ZS9kmJPxp/" TargetMode="External"/><Relationship Id="rId4976" Type="http://schemas.openxmlformats.org/officeDocument/2006/relationships/hyperlink" Target="https://www.tiktok.com/@harumrice/video/7637475312409906452?_r=1&amp;u_code=d6j7255963058c&amp;region=&amp;mid=7609935705011178256&amp;preview_pb=0&amp;sharer_language=&amp;_d=0&amp;ec_shared_reflux_dynamic_params=%7B%22placeholder_material_id%22%3A%227637475312409906452%22%2C%22placeholder_origin_cover%22%3A%22https%253A%252F%252Fp19-common-sign.tiktokcdn.com%252Ftos-alisg-p-0037%252Fo44Av0wbAqLIc54TjncCD67p1EQLQHF9UfYffD~tplv-tiktokx-origin.jpeg%253Fdr%253D14572%2526refresh_token%253D1025d1d8%2526x-expires%253D1810717200%2526x-signature%253DcFhNmSt7ZmSsLpJuGdpL4E42cMg%25253D%2526t%253D4d5b0474%2526ps%253D13740610%2526shp%253Dd05b14bd%2526shcp%253D34ff8df6%2526idc%253Dmy3%2526s%253DTIKTOK_AFFILIATE_VIRAL_VIDEO%22%2C%22placeholder_product_id%22%3A%221729427766722726591%22%2C%22placeholder_video_id%22%3A%227637475312409906452%22%7D&amp;ec_shared_reflux_scene=shop_tab_feed&amp;share_item_id=7637475312409906452&amp;source=h5_t" TargetMode="External"/><Relationship Id="rId2314" Type="http://schemas.openxmlformats.org/officeDocument/2006/relationships/hyperlink" Target="https://www.tiktok.com/@slviiianggra" TargetMode="External"/><Relationship Id="rId3644" Type="http://schemas.openxmlformats.org/officeDocument/2006/relationships/hyperlink" Target="https://vt.tiktok.com/ZS9km1nAg/" TargetMode="External"/><Relationship Id="rId4975" Type="http://schemas.openxmlformats.org/officeDocument/2006/relationships/hyperlink" Target="https://vt.tiktok.com/ZSxHyUBmV/" TargetMode="External"/><Relationship Id="rId2315" Type="http://schemas.openxmlformats.org/officeDocument/2006/relationships/hyperlink" Target="https://vt.tiktok.com/ZSHx22PQ8/" TargetMode="External"/><Relationship Id="rId3647" Type="http://schemas.openxmlformats.org/officeDocument/2006/relationships/hyperlink" Target="https://vt.tiktok.com/ZS9km1nWd/" TargetMode="External"/><Relationship Id="rId4978" Type="http://schemas.openxmlformats.org/officeDocument/2006/relationships/hyperlink" Target="https://www.tiktok.com/@Racunskincareku1" TargetMode="External"/><Relationship Id="rId2316" Type="http://schemas.openxmlformats.org/officeDocument/2006/relationships/hyperlink" Target="https://vt.tiktok.com/ZS9tqnuqY/" TargetMode="External"/><Relationship Id="rId3646" Type="http://schemas.openxmlformats.org/officeDocument/2006/relationships/hyperlink" Target="https://vt.tiktok.com/ZS9kmLXV6/" TargetMode="External"/><Relationship Id="rId4977" Type="http://schemas.openxmlformats.org/officeDocument/2006/relationships/hyperlink" Target="https://vt.tiktok.com/ZS9MTwv1J/" TargetMode="External"/><Relationship Id="rId2317" Type="http://schemas.openxmlformats.org/officeDocument/2006/relationships/hyperlink" Target="https://vt.tiktok.com/ZS9tqpAEL/" TargetMode="External"/><Relationship Id="rId3649" Type="http://schemas.openxmlformats.org/officeDocument/2006/relationships/hyperlink" Target="https://vt.tiktok.com/ZS9kmygHr/" TargetMode="External"/><Relationship Id="rId2318" Type="http://schemas.openxmlformats.org/officeDocument/2006/relationships/hyperlink" Target="https://vt.tiktok.com/ZS9tqqH2S/" TargetMode="External"/><Relationship Id="rId3648" Type="http://schemas.openxmlformats.org/officeDocument/2006/relationships/hyperlink" Target="https://www.tiktok.com/@intanyunita20" TargetMode="External"/><Relationship Id="rId4979" Type="http://schemas.openxmlformats.org/officeDocument/2006/relationships/hyperlink" Target="https://vt.tiktok.com/ZS9MTf8mU/" TargetMode="External"/><Relationship Id="rId2319" Type="http://schemas.openxmlformats.org/officeDocument/2006/relationships/hyperlink" Target="https://www.tiktok.com/@aputtii" TargetMode="External"/><Relationship Id="rId4970" Type="http://schemas.openxmlformats.org/officeDocument/2006/relationships/hyperlink" Target="https://vt.tiktok.com/ZSH7chy4C/" TargetMode="External"/><Relationship Id="rId3641" Type="http://schemas.openxmlformats.org/officeDocument/2006/relationships/hyperlink" Target="https://vt.tiktok.com/ZS9km6AaP/" TargetMode="External"/><Relationship Id="rId4972" Type="http://schemas.openxmlformats.org/officeDocument/2006/relationships/hyperlink" Target="https://vt.tiktok.com/ZSxHytGPk/" TargetMode="External"/><Relationship Id="rId2310" Type="http://schemas.openxmlformats.org/officeDocument/2006/relationships/hyperlink" Target="https://vt.tiktok.com/ZSHpqDwpm/" TargetMode="External"/><Relationship Id="rId3640" Type="http://schemas.openxmlformats.org/officeDocument/2006/relationships/hyperlink" Target="https://vt.tiktok.com/ZS9km6c57/" TargetMode="External"/><Relationship Id="rId4971" Type="http://schemas.openxmlformats.org/officeDocument/2006/relationships/hyperlink" Target="https://vt.tiktok.com/ZSx35W2eM/" TargetMode="External"/><Relationship Id="rId2311" Type="http://schemas.openxmlformats.org/officeDocument/2006/relationships/hyperlink" Target="https://vt.tiktok.com/ZSHpT9owB/" TargetMode="External"/><Relationship Id="rId3643" Type="http://schemas.openxmlformats.org/officeDocument/2006/relationships/hyperlink" Target="https://www.tiktok.com/@rizkiamaliad" TargetMode="External"/><Relationship Id="rId4974" Type="http://schemas.openxmlformats.org/officeDocument/2006/relationships/hyperlink" Target="https://vt.tiktok.com/ZSHGwJj8G/" TargetMode="External"/><Relationship Id="rId2312" Type="http://schemas.openxmlformats.org/officeDocument/2006/relationships/hyperlink" Target="https://vt.tiktok.com/ZSHnCxhaX/" TargetMode="External"/><Relationship Id="rId3642" Type="http://schemas.openxmlformats.org/officeDocument/2006/relationships/hyperlink" Target="https://vt.tiktok.com/ZS9kmJTHK/" TargetMode="External"/><Relationship Id="rId4973" Type="http://schemas.openxmlformats.org/officeDocument/2006/relationships/hyperlink" Target="https://www.tiktok.com/@gledisaljerlianty" TargetMode="External"/><Relationship Id="rId4921" Type="http://schemas.openxmlformats.org/officeDocument/2006/relationships/hyperlink" Target="https://vt.tiktok.com/ZSxk69g6p/" TargetMode="External"/><Relationship Id="rId4920" Type="http://schemas.openxmlformats.org/officeDocument/2006/relationships/hyperlink" Target="https://www.tiktok.com/@indysabillah" TargetMode="External"/><Relationship Id="rId4923" Type="http://schemas.openxmlformats.org/officeDocument/2006/relationships/hyperlink" Target="https://www.tiktok.com/@xkaalina" TargetMode="External"/><Relationship Id="rId4922" Type="http://schemas.openxmlformats.org/officeDocument/2006/relationships/hyperlink" Target="https://vt.tiktok.com/ZSxk6XTGv/" TargetMode="External"/><Relationship Id="rId4925" Type="http://schemas.openxmlformats.org/officeDocument/2006/relationships/hyperlink" Target="https://www.tiktok.com/@belanja_hemat.shop/video/7630475688943897874?_r=1&amp;u_code=ek6h2252jijmih&amp;region=&amp;mid=7607444503808527121&amp;preview_pb=0&amp;sharer_language=&amp;_d=0&amp;ec_shared_reflux_dynamic_params=%7B%22placeholder_material_id%22%3A%227630475688943897874%22%2C%22placeholder_origin_cover%22%3A%22https%253A%252F%252Fp16-common-sign.tiktokcdn.com%252Ftos-alisg-p-0037%252FooTSo4TGxCrBcAXj7DmAGPeS8yI5Ae8eTolMQ5~tplv-tiktokx-origin.jpeg%253Fdr%253D14572%2526refresh_token%253Df667667c%2526x-expires%253D1808992800%2526x-signature%253DLPxUVcjF62CctMUjnnT82J9gU%25252Fk%25253D%2526t%253D4d5b0474%2526ps%253D13740610%2526shp%253Dd05b14bd%2526shcp%253D34ff8df6%2526idc%253Dmy2%2526s%253DTIKTOK_AFFILIATE_VIRAL_VIDEO%22%2C%22placeholder_product_id%22%3A%221729427766722726591%22%2C%22placeholder_video_id%22%3A%227630475688943897874%22%7D&amp;ec_shared_reflux_scene=shop_tab_feed&amp;share_item_id=7630475688943897874&amp;source=h5_t" TargetMode="External"/><Relationship Id="rId4924" Type="http://schemas.openxmlformats.org/officeDocument/2006/relationships/hyperlink" Target="https://www.tiktok.com/@belanja_hemat.shop/video/7630598491827391752?_r=1&amp;u_code=ek6h2252jijmih&amp;region=&amp;mid=7381176581904878342&amp;preview_pb=0&amp;sharer_language=&amp;_d=0&amp;ec_shared_reflux_dynamic_params=%7B%22placeholder_material_id%22%3A%227630598491827391752%22%2C%22placeholder_origin_cover%22%3A%22https%253A%252F%252Fp16-common-sign.tiktokcdn.com%252Ftos-alisg-p-0037%252FoACPlAYVqqCFSiI0n8ifAAwRZV3BpdI4I7B0Ci~tplv-tiktokx-origin.jpeg%253Fdr%253D14572%2526refresh_token%253D37fab94f%2526x-expires%253D1808992800%2526x-signature%253DxhSmbzhKT%25252Fm0k9lOnJssKbrnlRE%25253D%2526t%253D4d5b0474%2526ps%253D13740610%2526shp%253Dd05b14bd%2526shcp%253D34ff8df6%2526idc%253Dmy2%2526s%253DTIKTOK_AFFILIATE_VIRAL_VIDEO%22%2C%22placeholder_product_id%22%3A%221729427766722726591%22%2C%22placeholder_video_id%22%3A%227630598491827391752%22%7D&amp;ec_shared_reflux_scene=shop_tab_feed&amp;share_item_id=7630598491827391752&amp;source=h5_t" TargetMode="External"/><Relationship Id="rId4927" Type="http://schemas.openxmlformats.org/officeDocument/2006/relationships/hyperlink" Target="https://vt.tiktok.com/ZS9hqcAxh/" TargetMode="External"/><Relationship Id="rId4926" Type="http://schemas.openxmlformats.org/officeDocument/2006/relationships/hyperlink" Target="https://www.tiktok.com/@belanja_hemat.shop/video/7630318868501728530?_r=1&amp;u_code=ek6h2252jijmih&amp;region=&amp;mid=7624626297780652808&amp;preview_pb=0&amp;sharer_language=&amp;_d=0&amp;ec_shared_reflux_dynamic_params=%7B%22placeholder_material_id%22%3A%227630318868501728530%22%2C%22placeholder_origin_cover%22%3A%22https%253A%252F%252Fp16-common-sign.tiktokcdn.com%252Ftos-alisg-p-0037%252FokeOVVfQkFGLQs0gKgceaWA4zEnApnO1GRGkIf~tplv-tiktokx-origin.jpeg%253Fdr%253D14572%2526refresh_token%253D1c2a1f8c%2526x-expires%253D1808992800%2526x-signature%253Df6KbnHeOt4Ficr%25252BDHFCFYgU8wEc%25253D%2526t%253D4d5b0474%2526ps%253D13740610%2526shp%253Dd05b14bd%2526shcp%253D34ff8df6%2526idc%253Dmy2%2526s%253DTIKTOK_AFFILIATE_VIRAL_VIDEO%22%2C%22placeholder_product_id%22%3A%221729427766722726591%22%2C%22placeholder_video_id%22%3A%227630318868501728530%22%7D&amp;ec_shared_reflux_scene=shop_tab_feed&amp;share_item_id=7630318868501728530&amp;source=h5_t" TargetMode="External"/><Relationship Id="rId4929" Type="http://schemas.openxmlformats.org/officeDocument/2006/relationships/hyperlink" Target="https://vt.tiktok.com/ZS9r1RKxv/" TargetMode="External"/><Relationship Id="rId4928" Type="http://schemas.openxmlformats.org/officeDocument/2006/relationships/hyperlink" Target="https://www.tiktok.com/@myealegawa" TargetMode="External"/><Relationship Id="rId7195" Type="http://schemas.openxmlformats.org/officeDocument/2006/relationships/hyperlink" Target="https://www.tiktok.com/@amelinda.frederica" TargetMode="External"/><Relationship Id="rId7194" Type="http://schemas.openxmlformats.org/officeDocument/2006/relationships/hyperlink" Target="https://www.tiktok.com/@masheddpootato/video/7612712635775192341?_r=1&amp;u_code=emlkb18cm5c4bi&amp;region=&amp;mid=7505029365265876993&amp;preview_pb=0&amp;sharer_language=&amp;_d=0&amp;ec_shared_reflux_dynamic_params=%7B%22placeholder_material_id%22%3A%227612712635775192341%22%2C%22placeholder_origin_cover%22%3A%22https%253A%252F%252Fp16-common-sign.tiktokcdn.com%252Ftos-alisg-p-0037%252FoIWIdTxFABy0OuklHxiOwSIiIA40BhyfCKA0Fu~tplv-tiktokx-origin.jpeg%253Fdr%253D14572%2526refresh_token%253D46cce25e%2526x-expires%253D1808208000%2526x-signature%253DrTkpDorIHOzcnJWKU8t8qdejIcE%25253D%2526t%253D4d5b0474%2526ps%253D13740610%2526shp%253Dd05b14bd%2526shcp%253D34ff8df6%2526idc%253Dmy3%2526s%253DTIKTOK_AFFILIATE_VIRAL_VIDEO%22%2C%22placeholder_product_id%22%3A%221729427766722726591%22%2C%22placeholder_video_id%22%3A%227612712635775192341%22%7D&amp;ec_shared_reflux_scene=shop_tab_feed&amp;share_item_id=7612712635775192341&amp;source=h5_t" TargetMode="External"/><Relationship Id="rId7193" Type="http://schemas.openxmlformats.org/officeDocument/2006/relationships/hyperlink" Target="https://www.tiktok.com/@rere_renitaa" TargetMode="External"/><Relationship Id="rId7192" Type="http://schemas.openxmlformats.org/officeDocument/2006/relationships/hyperlink" Target="https://www.tiktok.com/@itsmeavinvin/video/7634020526695943445?_r=1&amp;u_code=d3hac44m7ha2fl&amp;region=&amp;mid=7634020559583529735&amp;preview_pb=0&amp;sharer_language=&amp;_d=0&amp;ec_shared_reflux_dynamic_params=%7B%22placeholder_material_id%22%3A%227634020526695943445%22%2C%22placeholder_origin_cover%22%3A%22https%253A%252F%252Fp16-common-sign.tiktokcdn.com%252Ftos-alisg-p-0037%252Fo0HQUQfEgAphBs49RFfWXpDBJD8YYEEHU1XqCi~tplv-tiktokx-origin.jpeg%253Fdr%253D14572%2526refresh_token%253Dd5ea17e8%2526x-expires%253D1809511200%2526x-signature%253DL%25252BB4ZmpUjTtNKaDnPYimN96gYGU%25253D%2526t%253D4d5b0474%2526ps%253D13740610%2526shp%253Dd05b14bd%2526shcp%253D34ff8df6%2526idc%253Dmy%2526s%253DTIKTOK_AFFILIATE_VIRAL_VIDEO%22%2C%22placeholder_product_id%22%3A%221729427766722726591%22%2C%22placeholder_video_id%22%3A%227634020526695943445%22%7D&amp;ec_shared_reflux_scene=shop_tab_feed&amp;share_item_id=7634020526695943445&amp;source=h5_t" TargetMode="External"/><Relationship Id="rId7199" Type="http://schemas.openxmlformats.org/officeDocument/2006/relationships/hyperlink" Target="https://vt.tiktok.com/ZS9fSTq7R/" TargetMode="External"/><Relationship Id="rId7198" Type="http://schemas.openxmlformats.org/officeDocument/2006/relationships/hyperlink" Target="https://vt.tiktok.com/ZS9fAeqYT/" TargetMode="External"/><Relationship Id="rId7197" Type="http://schemas.openxmlformats.org/officeDocument/2006/relationships/hyperlink" Target="https://vt.tiktok.com/ZS9fARK72/" TargetMode="External"/><Relationship Id="rId7196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4910" Type="http://schemas.openxmlformats.org/officeDocument/2006/relationships/hyperlink" Target="https://www.tiktok.com/@sundaywithsar" TargetMode="External"/><Relationship Id="rId4912" Type="http://schemas.openxmlformats.org/officeDocument/2006/relationships/hyperlink" Target="https://www.tiktok.com/@belanja_hemat.shop/video/7632045247387831559?_r=1&amp;u_code=ek6h2252jijmih&amp;region=&amp;mid=7581457052558707472&amp;preview_pb=0&amp;sharer_language=&amp;_d=0&amp;ec_shared_reflux_dynamic_params=%7B%22placeholder_material_id%22%3A%227632045247387831559%22%2C%22placeholder_origin_cover%22%3A%22https%253A%252F%252Fp16-common-sign.tiktokcdn.com%252Ftos-alisg-p-0037%252FooUjA1GJOgTBLfcEooeCjXpZLyW7ePISAIDEkg~tplv-tiktokx-origin.jpeg%253Fdr%253D14572%2526refresh_token%253Dd2d8bcb5%2526x-expires%253D1808992800%2526x-signature%253Dm3gBZDFgLBXkcRmkxZlTpE4u5y0%25253D%2526t%253D4d5b0474%2526ps%253D13740610%2526shp%253Dd05b14bd%2526shcp%253D34ff8df6%2526idc%253Dmy2%2526s%253DTIKTOK_AFFILIATE_VIRAL_VIDEO%22%2C%22placeholder_product_id%22%3A%221729427766722726591%22%2C%22placeholder_video_id%22%3A%227632045247387831559%22%7D&amp;ec_shared_reflux_scene=shop_tab_feed&amp;share_item_id=7632045247387831559&amp;source=h5_t" TargetMode="External"/><Relationship Id="rId4911" Type="http://schemas.openxmlformats.org/officeDocument/2006/relationships/hyperlink" Target="https://www.tiktok.com/@belanja_hemat.shop/video/7632125699414887688?_r=1&amp;u_code=ek6h2252jijmih&amp;region=&amp;mid=7548167758014401285&amp;preview_pb=0&amp;sharer_language=&amp;_d=0&amp;ec_shared_reflux_dynamic_params=%7B%22placeholder_material_id%22%3A%227632125699414887688%22%2C%22placeholder_origin_cover%22%3A%22https%253A%252F%252Fp16-common-sign.tiktokcdn.com%252Ftos-alisg-p-0037%252FoojQAaGfgLAcgrFqoLIQogRuG6wXeGKVnVffAQ~tplv-tiktokx-origin.jpeg%253Fdr%253D14572%2526refresh_token%253D019e3980%2526x-expires%253D1808992800%2526x-signature%253D0le1e%25252BIFctoBW2AaxKFq3JF5iIs%25253D%2526t%253D4d5b0474%2526ps%253D13740610%2526shp%253Dd05b14bd%2526shcp%253D34ff8df6%2526idc%253Dmy2%2526s%253DTIKTOK_AFFILIATE_VIRAL_VIDEO%22%2C%22placeholder_product_id%22%3A%221729427766722726591%22%2C%22placeholder_video_id%22%3A%227632125699414887688%22%7D&amp;ec_shared_reflux_scene=shop_tab_feed&amp;share_item_id=7632125699414887688&amp;source=h5_t" TargetMode="External"/><Relationship Id="rId4914" Type="http://schemas.openxmlformats.org/officeDocument/2006/relationships/hyperlink" Target="https://www.tiktok.com/@belanja_hemat.shop/video/7631188690487741704?_r=1&amp;u_code=ek6h2252jijmih&amp;region=&amp;mid=7450898774555872001&amp;preview_pb=0&amp;sharer_language=&amp;_d=0&amp;ec_shared_reflux_dynamic_params=%7B%22placeholder_material_id%22%3A%227631188690487741704%22%2C%22placeholder_origin_cover%22%3A%22https%253A%252F%252Fp16-common-sign.tiktokcdn.com%252Ftos-alisg-p-0037%252Fo4IEnFpS2BB9BfDXIfF1qUDgETb1w5mSkb2ARb~tplv-tiktokx-origin.jpeg%253Fdr%253D14572%2526refresh_token%253Da6aa1560%2526x-expires%253D1808992800%2526x-signature%253D6p86Fdpy7XoOkqF20DNAEMDQ9SE%25253D%2526t%253D4d5b0474%2526ps%253D13740610%2526shp%253Dd05b14bd%2526shcp%253D34ff8df6%2526idc%253Dmy2%2526s%253DTIKTOK_AFFILIATE_VIRAL_VIDEO%22%2C%22placeholder_product_id%22%3A%221729427766722726591%22%2C%22placeholder_video_id%22%3A%227631188690487741704%22%7D&amp;ec_shared_reflux_scene=shop_tab_feed&amp;share_item_id=7631188690487741704&amp;source=h5_t" TargetMode="External"/><Relationship Id="rId4913" Type="http://schemas.openxmlformats.org/officeDocument/2006/relationships/hyperlink" Target="https://www.tiktok.com/@belanja_hemat.shop/video/7631752586160344327?_r=1&amp;u_code=ek6h2252jijmih&amp;region=&amp;mid=7581457052558707472&amp;preview_pb=0&amp;sharer_language=&amp;_d=0&amp;ec_shared_reflux_dynamic_params=%7B%22placeholder_material_id%22%3A%227631752586160344327%22%2C%22placeholder_origin_cover%22%3A%22https%253A%252F%252Fp16-common-sign.tiktokcdn.com%252Ftos-alisg-p-0037%252FoEqSc5g6fAQVe432CDRpvTBo3EBUFETQDWsQS4~tplv-tiktokx-origin.jpeg%253Fdr%253D14572%2526refresh_token%253D4c4d9409%2526x-expires%253D1808992800%2526x-signature%253D8f70G40tqSfQniFBlnaIU1zppMs%25253D%2526t%253D4d5b0474%2526ps%253D13740610%2526shp%253Dd05b14bd%2526shcp%253D34ff8df6%2526idc%253Dmy2%2526s%253DTIKTOK_AFFILIATE_VIRAL_VIDEO%22%2C%22placeholder_product_id%22%3A%221729427766722726591%22%2C%22placeholder_video_id%22%3A%227631752586160344327%22%7D&amp;ec_shared_reflux_scene=shop_tab_feed&amp;share_item_id=7631752586160344327&amp;source=h5_t" TargetMode="External"/><Relationship Id="rId4916" Type="http://schemas.openxmlformats.org/officeDocument/2006/relationships/hyperlink" Target="https://www.tiktok.com/@belanja_hemat.shop/video/7631124736218615048?_r=1&amp;u_code=ek6h2252jijmih&amp;region=&amp;mid=7620387415362538256&amp;preview_pb=0&amp;sharer_language=&amp;_d=0&amp;ec_shared_reflux_dynamic_params=%7B%22placeholder_material_id%22%3A%227631124736218615048%22%2C%22placeholder_origin_cover%22%3A%22https%253A%252F%252Fp16-sign-sg.tiktokcdn.com%252Ftos-alisg-p-0037%252FooUDKPLeE7FFQ4Fgp1AAcMzf6NyRBtE5nQBXqx~tplv-tiktokx-origin.jpeg%253Fdr%253D14572%2526refresh_token%253D6032eed8%2526x-expires%253D1808992800%2526x-signature%253DoCxgTlFV65%25252FXE7q4dYQCyREeLvU%25253D%2526t%253D4d5b0474%2526ps%253D13740610%2526shp%253Dd05b14bd%2526shcp%253D34ff8df6%2526idc%253Dmy2%2526s%253DTIKTOK_AFFILIATE_VIRAL_VIDEO%22%2C%22placeholder_product_id%22%3A%221729427766722726591%22%2C%22placeholder_video_id%22%3A%227631124736218615048%22%7D&amp;ec_shared_reflux_scene=shop_tab_feed&amp;share_item_id=7631124736218615048&amp;source=h5_t" TargetMode="External"/><Relationship Id="rId4915" Type="http://schemas.openxmlformats.org/officeDocument/2006/relationships/hyperlink" Target="https://www.tiktok.com/@carameelann" TargetMode="External"/><Relationship Id="rId4918" Type="http://schemas.openxmlformats.org/officeDocument/2006/relationships/hyperlink" Target="https://www.tiktok.com/@belanja_hemat.shop/video/7630671357017083143?_r=1&amp;u_code=ek6h2252jijmih&amp;region=&amp;mid=7623938813691071240&amp;preview_pb=0&amp;sharer_language=&amp;_d=0&amp;ec_shared_reflux_dynamic_params=%7B%22placeholder_material_id%22%3A%227630671357017083143%22%2C%22placeholder_origin_cover%22%3A%22https%253A%252F%252Fp19-common-sign.tiktokcdn.com%252Ftos-alisg-p-0037%252Fowp5bwOlImZTBJeEIXIlcBAiBRFzOUfFgglDbE~tplv-tiktokx-origin.jpeg%253Fdr%253D14572%2526refresh_token%253D89e5f346%2526x-expires%253D1808992800%2526x-signature%253Dz%25252BSjxI1T9db9i7EPljTh8qcmC%25252FA%25253D%2526t%253D4d5b0474%2526ps%253D13740610%2526shp%253Dd05b14bd%2526shcp%253D34ff8df6%2526idc%253Dmy2%2526s%253DTIKTOK_AFFILIATE_VIRAL_VIDEO%22%2C%22placeholder_product_id%22%3A%221729427766722726591%22%2C%22placeholder_video_id%22%3A%227630671357017083143%22%7D&amp;ec_shared_reflux_scene=shop_tab_feed&amp;share_item_id=7630671357017083143&amp;source=h5_t" TargetMode="External"/><Relationship Id="rId4917" Type="http://schemas.openxmlformats.org/officeDocument/2006/relationships/hyperlink" Target="https://www.tiktok.com/@belanja_hemat.shop/video/7630725988426599687?_r=1&amp;u_code=ek6h2252jijmih&amp;region=&amp;mid=6572215486551952130&amp;preview_pb=0&amp;sharer_language=&amp;_d=0&amp;ec_shared_reflux_dynamic_params=%7B%22placeholder_material_id%22%3A%227630725988426599687%22%2C%22placeholder_origin_cover%22%3A%22https%253A%252F%252Fp16-common-sign.tiktokcdn.com%252Ftos-alisg-p-0037%252FoIORI9iP9TqzZnplACBAIIe8IZ0wyALCRXikvg~tplv-tiktokx-origin.jpeg%253Fdr%253D14572%2526refresh_token%253D93e35d4b%2526x-expires%253D1808992800%2526x-signature%253DjlpGpEc9kc3QAwG97OZkcE7rLsk%25253D%2526t%253D4d5b0474%2526ps%253D13740610%2526shp%253Dd05b14bd%2526shcp%253D34ff8df6%2526idc%253Dmy2%2526s%253DTIKTOK_AFFILIATE_VIRAL_VIDEO%22%2C%22placeholder_product_id%22%3A%221729427766722726591%22%2C%22placeholder_video_id%22%3A%227630725988426599687%22%7D&amp;ec_shared_reflux_scene=shop_tab_feed&amp;share_item_id=7630725988426599687&amp;source=h5_t" TargetMode="External"/><Relationship Id="rId4919" Type="http://schemas.openxmlformats.org/officeDocument/2006/relationships/hyperlink" Target="https://www.tiktok.com/@belanja_hemat.shop/video/7630645611548675336?_r=1&amp;u_code=ek6h2252jijmih&amp;region=&amp;mid=6954430693141137410&amp;preview_pb=0&amp;sharer_language=&amp;_d=0&amp;ec_shared_reflux_dynamic_params=%7B%22placeholder_material_id%22%3A%227630645611548675336%22%2C%22placeholder_origin_cover%22%3A%22https%253A%252F%252Fp16-common-sign.tiktokcdn.com%252Ftos-alisg-p-0037%252FooFZfTEHeACkGeGHI8GK5cQAMLjsvyU5doIQDA~tplv-tiktokx-origin.jpeg%253Fdr%253D14572%2526refresh_token%253Dd262356b%2526x-expires%253D1808992800%2526x-signature%253DmXa3P3zdig%25252BuXTFppayixrUQyUk%25253D%2526t%253D4d5b0474%2526ps%253D13740610%2526shp%253Dd05b14bd%2526shcp%253D34ff8df6%2526idc%253Dmy2%2526s%253DTIKTOK_AFFILIATE_VIRAL_VIDEO%22%2C%22placeholder_product_id%22%3A%221729427766722726591%22%2C%22placeholder_video_id%22%3A%227630645611548675336%22%7D&amp;ec_shared_reflux_scene=shop_tab_feed&amp;share_item_id=7630645611548675336&amp;source=h5_t" TargetMode="External"/><Relationship Id="rId7191" Type="http://schemas.openxmlformats.org/officeDocument/2006/relationships/hyperlink" Target="https://www.tiktok.com/@itsmeavinvin/video/7627086684038974740?_r=1&amp;u_code=d3hac44m7ha2fl&amp;region=&amp;mid=7627086728456588040&amp;preview_pb=0&amp;sharer_language=&amp;_d=0&amp;ec_shared_reflux_dynamic_params=%7B%22placeholder_material_id%22%3A%227627086684038974740%22%2C%22placeholder_origin_cover%22%3A%22https%253A%252F%252Fp16-common-sign.tiktokcdn.com%252Ftos-alisg-p-0037%252FoAvQAIRBjTlQTA2eYgSsfbvCte6GICL1ojgD0N~tplv-tiktokx-origin.jpeg%253Fdr%253D14572%2526refresh_token%253Ddf1f0b30%2526x-expires%253D1808208000%2526x-signature%253DssukUNqraSvG3VNxCxw8LWtza8A%25253D%2526t%253D4d5b0474%2526ps%253D13740610%2526shp%253Dd05b14bd%2526shcp%253D34ff8df6%2526idc%253Dmy3%2526s%253DTIKTOK_AFFILIATE_VIRAL_VIDEO%22%2C%22placeholder_product_id%22%3A%221729427766722726591%22%2C%22placeholder_video_id%22%3A%227627086684038974740%22%7D&amp;ec_shared_reflux_scene=shop_tab_feed&amp;share_item_id=7627086684038974740&amp;source=h5_t" TargetMode="External"/><Relationship Id="rId7190" Type="http://schemas.openxmlformats.org/officeDocument/2006/relationships/hyperlink" Target="https://www.tiktok.com/@ig.lidiaanggarita19" TargetMode="External"/><Relationship Id="rId7184" Type="http://schemas.openxmlformats.org/officeDocument/2006/relationships/hyperlink" Target="https://vt.tiktok.com/ZS9fAeqYT/" TargetMode="External"/><Relationship Id="rId7183" Type="http://schemas.openxmlformats.org/officeDocument/2006/relationships/hyperlink" Target="https://vt.tiktok.com/ZS9fARK72/" TargetMode="External"/><Relationship Id="rId7182" Type="http://schemas.openxmlformats.org/officeDocument/2006/relationships/hyperlink" Target=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" TargetMode="External"/><Relationship Id="rId7181" Type="http://schemas.openxmlformats.org/officeDocument/2006/relationships/hyperlink" Target="https://www.tiktok.com/@anisyah_makeup" TargetMode="External"/><Relationship Id="rId7188" Type="http://schemas.openxmlformats.org/officeDocument/2006/relationships/hyperlink" Target="https://www.tiktok.com/@ayobeli12" TargetMode="External"/><Relationship Id="rId7187" Type="http://schemas.openxmlformats.org/officeDocument/2006/relationships/hyperlink" Target="https://www.tiktok.com/@dewiisapitrii_/video/7626215161455594760?_r=1&amp;u_code=dg6305dj44k6hd&amp;region=&amp;mid=7533505717987805200&amp;preview_pb=0&amp;sharer_language=&amp;_d=0&amp;ec_shared_reflux_dynamic_params=%7B%22placeholder_material_id%22%3A%227626215161455594760%22%2C%22placeholder_origin_cover%22%3A%22https%253A%252F%252Fp16-common-sign.tiktokcdn.com%252Ftos-alisg-p-0037%252Fog1DONTeChj7IRHIL4AuXQQGrA14qZsCgleeKF~tplv-tiktokx-origin.jpeg%253Fdr%253D14572%2526refresh_token%253D6ce1537f%2526x-expires%253D1808204400%2526x-signature%253DrYxJ5BNvhhTtOrqF3GgJV%25252FjlW6I%25253D%2526t%253D4d5b0474%2526ps%253D13740610%2526shp%253Dd05b14bd%2526shcp%253D34ff8df6%2526idc%253Dmy3%2526s%253DTIKTOK_AFFILIATE_VIRAL_VIDEO%22%2C%22placeholder_product_id%22%3A%221729427766722726591%22%2C%22placeholder_video_id%22%3A%227626215161455594760%22%7D&amp;ec_shared_reflux_scene=shop_tab_feed&amp;share_item_id=7626215161455594760&amp;source=h5_t" TargetMode="External"/><Relationship Id="rId7186" Type="http://schemas.openxmlformats.org/officeDocument/2006/relationships/hyperlink" Target="https://www.tiktok.com/@hanimsf" TargetMode="External"/><Relationship Id="rId7185" Type="http://schemas.openxmlformats.org/officeDocument/2006/relationships/hyperlink" Target="https://vt.tiktok.com/ZS9fSTq7R/" TargetMode="External"/><Relationship Id="rId7189" Type="http://schemas.openxmlformats.org/officeDocument/2006/relationships/hyperlink" Target="https://www.tiktok.com/@anguni.wulandari/video/7626221019090390279?_r=1&amp;u_code=dhaa4e1i8g976b&amp;region=&amp;mid=6692683186809359108&amp;preview_pb=0&amp;sharer_language=&amp;_d=0&amp;ec_shared_reflux_dynamic_params=%7B%22placeholder_material_id%22%3A%227626221019090390279%22%2C%22placeholder_origin_cover%22%3A%22https%253A%252F%252Fp16-sign-sg.tiktokcdn.com%252Ftos-alisg-p-0037%252Fo89dIUUW1DA6x6URucFoBRpBzEDgoBF1IffGVE~tplv-tiktokx-origin.jpeg%253Fdr%253D14572%2526refresh_token%253D938a7597%2526x-expires%253D1808208000%2526x-signature%253DGf%25252BtPmUdOf0t3g67eDcG81BbFgc%25253D%2526t%253D4d5b0474%2526ps%253D13740610%2526shp%253Dd05b14bd%2526shcp%253D34ff8df6%2526idc%253Dmy3%2526s%253DTIKTOK_AFFILIATE_VIRAL_VIDEO%22%2C%22placeholder_product_id%22%3A%221729427766722726591%22%2C%22placeholder_video_id%22%3A%227626221019090390279%22%7D&amp;ec_shared_reflux_scene=shop_tab_feed&amp;share_item_id=7626221019090390279&amp;source=h5_t" TargetMode="External"/><Relationship Id="rId3612" Type="http://schemas.openxmlformats.org/officeDocument/2006/relationships/hyperlink" Target="https://www.tiktok.com/@moodnanat" TargetMode="External"/><Relationship Id="rId4943" Type="http://schemas.openxmlformats.org/officeDocument/2006/relationships/hyperlink" Target="https://www.tiktok.com/@milanikuy" TargetMode="External"/><Relationship Id="rId3611" Type="http://schemas.openxmlformats.org/officeDocument/2006/relationships/hyperlink" Target="https://vt.tiktok.com/ZSxkKJ22p/" TargetMode="External"/><Relationship Id="rId4942" Type="http://schemas.openxmlformats.org/officeDocument/2006/relationships/hyperlink" Target="https://vt.tiktok.com/ZS9hqcAxh/" TargetMode="External"/><Relationship Id="rId3614" Type="http://schemas.openxmlformats.org/officeDocument/2006/relationships/hyperlink" Target="https://vt.tiktok.com/ZS9BKVEaG/" TargetMode="External"/><Relationship Id="rId4945" Type="http://schemas.openxmlformats.org/officeDocument/2006/relationships/hyperlink" Target="https://vt.tiktok.com/ZS92WWk36/" TargetMode="External"/><Relationship Id="rId3613" Type="http://schemas.openxmlformats.org/officeDocument/2006/relationships/hyperlink" Target="https://vt.tiktok.com/ZS9BKtmKR/" TargetMode="External"/><Relationship Id="rId4944" Type="http://schemas.openxmlformats.org/officeDocument/2006/relationships/hyperlink" Target="https://vt.tiktok.com/ZS9r1RKxv/" TargetMode="External"/><Relationship Id="rId3616" Type="http://schemas.openxmlformats.org/officeDocument/2006/relationships/hyperlink" Target="https://vt.tiktok.com/ZSxAPwHH1/" TargetMode="External"/><Relationship Id="rId4947" Type="http://schemas.openxmlformats.org/officeDocument/2006/relationships/hyperlink" Target="https://www.tiktok.com/@rositaramdani7/video/7633284200472284434?_d=0&amp;_r=1&amp;ec_shared_reflux_dynamic_params=%7B%22placeholder_material_id%22%3A%227633284200472284434%22%2C%22placeholder_origin_cover%22%3A%22https%253A%252F%252Fp16-sign-sg.tiktokcdn.com%252Ftos-alisg-p-0037%252Fo0C9DPIwuOAi7i23nlIx59f4Y9B7AAHIjC50iu~tplv-tiktokx-origin.jpeg%253Fdr%253D14572%2526refresh_token%253D93b490f0%2526x-expires%253D1808992800%2526x-signature%253DOtQCPKxCzTZYiOf8ObRksmoNH5c%25253D%2526t%253D4d5b0474%2526ps%253D13740610%2526shp%253Dd05b14bd%2526shcp%253D34ff8df6%2526idc%253Dmy2%2526s%253DTIKTOK_AFFILIATE_VIRAL_VIDEO%22%2C%22placeholder_product_id%22%3A%221729427766722726591%22%2C%22placeholder_video_id%22%3A%227633284200472284434%22%7D&amp;ec_shared_reflux_scene=shop_tab_feed&amp;mid=7591377536513985281&amp;preview_pb=0&amp;region=&amp;share_item_id=7633284200472284434&amp;sharer_language=&amp;source=h5_t&amp;u_code=f1489jb4bi84e9" TargetMode="External"/><Relationship Id="rId3615" Type="http://schemas.openxmlformats.org/officeDocument/2006/relationships/hyperlink" Target="https://vt.tiktok.com/ZS9BKWr29/" TargetMode="External"/><Relationship Id="rId4946" Type="http://schemas.openxmlformats.org/officeDocument/2006/relationships/hyperlink" Target="https://vt.tiktok.com/ZS921GHkG/" TargetMode="External"/><Relationship Id="rId3618" Type="http://schemas.openxmlformats.org/officeDocument/2006/relationships/hyperlink" Target="https://vt.tiktok.com/ZS9BKTWc7/" TargetMode="External"/><Relationship Id="rId4949" Type="http://schemas.openxmlformats.org/officeDocument/2006/relationships/hyperlink" Target="https://www.tiktok.com/@rositaramdani7/video/7633197653253278994?_r=1&amp;u_code=f1489jb4bi84e9&amp;region=&amp;mid=7624353502927604487&amp;preview_pb=0&amp;sharer_language=&amp;_d=0&amp;ec_shared_reflux_dynamic_params=%7B%22placeholder_material_id%22%3A%227633197653253278994%22%2C%22placeholder_origin_cover%22%3A%22https%253A%252F%252Fp16-common-sign.tiktokcdn.com%252Ftos-alisg-p-0037%252FoMlkNCGgpDBSFIvuB1iigfBNE7ARj2hIIcfrco~tplv-tiktokx-origin.jpeg%253Fdr%253D14572%2526refresh_token%253D3e97f7fa%2526x-expires%253D1808992800%2526x-signature%253DfOGn5P546%25252F82frA7wreXsnR5k4c%25253D%2526t%253D4d5b0474%2526ps%253D13740610%2526shp%253Dd05b14bd%2526shcp%253D34ff8df6%2526idc%253Dmy2%2526s%253DTIKTOK_AFFILIATE_VIRAL_VIDEO%22%2C%22placeholder_product_id%22%3A%221729427766722726591%22%2C%22placeholder_video_id%22%3A%227633197653253278994%22%7D&amp;ec_shared_reflux_scene=shop_tab_feed&amp;share_item_id=7633197653253278994&amp;source=h5_t" TargetMode="External"/><Relationship Id="rId3617" Type="http://schemas.openxmlformats.org/officeDocument/2006/relationships/hyperlink" Target="https://www.tiktok.com/@ibukhemat" TargetMode="External"/><Relationship Id="rId4948" Type="http://schemas.openxmlformats.org/officeDocument/2006/relationships/hyperlink" Target="https://www.tiktok.com/@Tiwif.989" TargetMode="External"/><Relationship Id="rId3619" Type="http://schemas.openxmlformats.org/officeDocument/2006/relationships/hyperlink" Target="https://vt.tiktok.com/ZS9BKvSgH/" TargetMode="External"/><Relationship Id="rId3610" Type="http://schemas.openxmlformats.org/officeDocument/2006/relationships/hyperlink" Target="https://vt.tiktok.com/ZS9BKGmMc/" TargetMode="External"/><Relationship Id="rId4941" Type="http://schemas.openxmlformats.org/officeDocument/2006/relationships/hyperlink" Target="https://www.tiktok.com/@belanja_hemat.shop/video/7630318868501728530?_r=1&amp;u_code=ek6h2252jijmih&amp;region=&amp;mid=7624626297780652808&amp;preview_pb=0&amp;sharer_language=&amp;_d=0&amp;ec_shared_reflux_dynamic_params=%7B%22placeholder_material_id%22%3A%227630318868501728530%22%2C%22placeholder_origin_cover%22%3A%22https%253A%252F%252Fp16-common-sign.tiktokcdn.com%252Ftos-alisg-p-0037%252FokeOVVfQkFGLQs0gKgceaWA4zEnApnO1GRGkIf~tplv-tiktokx-origin.jpeg%253Fdr%253D14572%2526refresh_token%253D1c2a1f8c%2526x-expires%253D1808992800%2526x-signature%253Df6KbnHeOt4Ficr%25252BDHFCFYgU8wEc%25253D%2526t%253D4d5b0474%2526ps%253D13740610%2526shp%253Dd05b14bd%2526shcp%253D34ff8df6%2526idc%253Dmy2%2526s%253DTIKTOK_AFFILIATE_VIRAL_VIDEO%22%2C%22placeholder_product_id%22%3A%221729427766722726591%22%2C%22placeholder_video_id%22%3A%227630318868501728530%22%7D&amp;ec_shared_reflux_scene=shop_tab_feed&amp;share_item_id=7630318868501728530&amp;source=h5_t" TargetMode="External"/><Relationship Id="rId4940" Type="http://schemas.openxmlformats.org/officeDocument/2006/relationships/hyperlink" Target="https://www.tiktok.com/@belanja_hemat.shop/video/7630475688943897874?_r=1&amp;u_code=ek6h2252jijmih&amp;region=&amp;mid=7607444503808527121&amp;preview_pb=0&amp;sharer_language=&amp;_d=0&amp;ec_shared_reflux_dynamic_params=%7B%22placeholder_material_id%22%3A%227630475688943897874%22%2C%22placeholder_origin_cover%22%3A%22https%253A%252F%252Fp16-common-sign.tiktokcdn.com%252Ftos-alisg-p-0037%252FooTSo4TGxCrBcAXj7DmAGPeS8yI5Ae8eTolMQ5~tplv-tiktokx-origin.jpeg%253Fdr%253D14572%2526refresh_token%253Df667667c%2526x-expires%253D1808992800%2526x-signature%253DLPxUVcjF62CctMUjnnT82J9gU%25252Fk%25253D%2526t%253D4d5b0474%2526ps%253D13740610%2526shp%253Dd05b14bd%2526shcp%253D34ff8df6%2526idc%253Dmy2%2526s%253DTIKTOK_AFFILIATE_VIRAL_VIDEO%22%2C%22placeholder_product_id%22%3A%221729427766722726591%22%2C%22placeholder_video_id%22%3A%227630475688943897874%22%7D&amp;ec_shared_reflux_scene=shop_tab_feed&amp;share_item_id=7630475688943897874&amp;source=h5_t" TargetMode="External"/><Relationship Id="rId3601" Type="http://schemas.openxmlformats.org/officeDocument/2006/relationships/hyperlink" Target="https://vt.tiktok.com/ZS9kufjbN/" TargetMode="External"/><Relationship Id="rId4932" Type="http://schemas.openxmlformats.org/officeDocument/2006/relationships/hyperlink" Target="https://www.tiktok.com/@rositaramdani7/video/7633284200472284434?_d=0&amp;_r=1&amp;ec_shared_reflux_dynamic_params=%7B%22placeholder_material_id%22%3A%227633284200472284434%22%2C%22placeholder_origin_cover%22%3A%22https%253A%252F%252Fp16-sign-sg.tiktokcdn.com%252Ftos-alisg-p-0037%252Fo0C9DPIwuOAi7i23nlIx59f4Y9B7AAHIjC50iu~tplv-tiktokx-origin.jpeg%253Fdr%253D14572%2526refresh_token%253D93b490f0%2526x-expires%253D1808992800%2526x-signature%253DOtQCPKxCzTZYiOf8ObRksmoNH5c%25253D%2526t%253D4d5b0474%2526ps%253D13740610%2526shp%253Dd05b14bd%2526shcp%253D34ff8df6%2526idc%253Dmy2%2526s%253DTIKTOK_AFFILIATE_VIRAL_VIDEO%22%2C%22placeholder_product_id%22%3A%221729427766722726591%22%2C%22placeholder_video_id%22%3A%227633284200472284434%22%7D&amp;ec_shared_reflux_scene=shop_tab_feed&amp;mid=7591377536513985281&amp;preview_pb=0&amp;region=&amp;share_item_id=7633284200472284434&amp;sharer_language=&amp;source=h5_t&amp;u_code=f1489jb4bi84e9" TargetMode="External"/><Relationship Id="rId3600" Type="http://schemas.openxmlformats.org/officeDocument/2006/relationships/hyperlink" Target="https://www.tiktok.com/@driazhrl" TargetMode="External"/><Relationship Id="rId4931" Type="http://schemas.openxmlformats.org/officeDocument/2006/relationships/hyperlink" Target="https://vt.tiktok.com/ZS921GHkG/" TargetMode="External"/><Relationship Id="rId3603" Type="http://schemas.openxmlformats.org/officeDocument/2006/relationships/hyperlink" Target="https://www.tiktok.com/@di.rawr" TargetMode="External"/><Relationship Id="rId4934" Type="http://schemas.openxmlformats.org/officeDocument/2006/relationships/hyperlink" Target="https://www.tiktok.com/@rositaramdani7/video/7633197653253278994?_r=1&amp;u_code=f1489jb4bi84e9&amp;region=&amp;mid=7624353502927604487&amp;preview_pb=0&amp;sharer_language=&amp;_d=0&amp;ec_shared_reflux_dynamic_params=%7B%22placeholder_material_id%22%3A%227633197653253278994%22%2C%22placeholder_origin_cover%22%3A%22https%253A%252F%252Fp16-common-sign.tiktokcdn.com%252Ftos-alisg-p-0037%252FoMlkNCGgpDBSFIvuB1iigfBNE7ARj2hIIcfrco~tplv-tiktokx-origin.jpeg%253Fdr%253D14572%2526refresh_token%253D3e97f7fa%2526x-expires%253D1808992800%2526x-signature%253DfOGn5P546%25252F82frA7wreXsnR5k4c%25253D%2526t%253D4d5b0474%2526ps%253D13740610%2526shp%253Dd05b14bd%2526shcp%253D34ff8df6%2526idc%253Dmy2%2526s%253DTIKTOK_AFFILIATE_VIRAL_VIDEO%22%2C%22placeholder_product_id%22%3A%221729427766722726591%22%2C%22placeholder_video_id%22%3A%227633197653253278994%22%7D&amp;ec_shared_reflux_scene=shop_tab_feed&amp;share_item_id=7633197653253278994&amp;source=h5_t" TargetMode="External"/><Relationship Id="rId3602" Type="http://schemas.openxmlformats.org/officeDocument/2006/relationships/hyperlink" Target="https://vt.tiktok.com/ZSxAa6WJA/" TargetMode="External"/><Relationship Id="rId4933" Type="http://schemas.openxmlformats.org/officeDocument/2006/relationships/hyperlink" Target="https://www.tiktok.com/@Namarinarin" TargetMode="External"/><Relationship Id="rId3605" Type="http://schemas.openxmlformats.org/officeDocument/2006/relationships/hyperlink" Target="https://vt.tiktok.com/ZS9k9hhj9/" TargetMode="External"/><Relationship Id="rId4936" Type="http://schemas.openxmlformats.org/officeDocument/2006/relationships/hyperlink" Target="https://vt.tiktok.com/ZS95xQTwC/" TargetMode="External"/><Relationship Id="rId3604" Type="http://schemas.openxmlformats.org/officeDocument/2006/relationships/hyperlink" Target="https://vt.tiktok.com/ZS9kHV47y/" TargetMode="External"/><Relationship Id="rId4935" Type="http://schemas.openxmlformats.org/officeDocument/2006/relationships/hyperlink" Target="https://vt.tiktok.com/ZS95xt41Q/" TargetMode="External"/><Relationship Id="rId3607" Type="http://schemas.openxmlformats.org/officeDocument/2006/relationships/hyperlink" Target="https://vt.tiktok.com/ZS9kQtDAj/" TargetMode="External"/><Relationship Id="rId4938" Type="http://schemas.openxmlformats.org/officeDocument/2006/relationships/hyperlink" Target="https://www.tiktok.com/@iyaagnes" TargetMode="External"/><Relationship Id="rId3606" Type="http://schemas.openxmlformats.org/officeDocument/2006/relationships/hyperlink" Target="https://vt.tiktok.com/ZS9kxvevA/" TargetMode="External"/><Relationship Id="rId4937" Type="http://schemas.openxmlformats.org/officeDocument/2006/relationships/hyperlink" Target="https://vt.tiktok.com/ZS95x9DEf/" TargetMode="External"/><Relationship Id="rId3609" Type="http://schemas.openxmlformats.org/officeDocument/2006/relationships/hyperlink" Target="https://vt.tiktok.com/ZS9BEJG34/" TargetMode="External"/><Relationship Id="rId3608" Type="http://schemas.openxmlformats.org/officeDocument/2006/relationships/hyperlink" Target="https://www.tiktok.com/@nishrmdhni" TargetMode="External"/><Relationship Id="rId4939" Type="http://schemas.openxmlformats.org/officeDocument/2006/relationships/hyperlink" Target="https://www.tiktok.com/@belanja_hemat.shop/video/7630598491827391752?_r=1&amp;u_code=ek6h2252jijmih&amp;region=&amp;mid=7381176581904878342&amp;preview_pb=0&amp;sharer_language=&amp;_d=0&amp;ec_shared_reflux_dynamic_params=%7B%22placeholder_material_id%22%3A%227630598491827391752%22%2C%22placeholder_origin_cover%22%3A%22https%253A%252F%252Fp16-common-sign.tiktokcdn.com%252Ftos-alisg-p-0037%252FoACPlAYVqqCFSiI0n8ifAAwRZV3BpdI4I7B0Ci~tplv-tiktokx-origin.jpeg%253Fdr%253D14572%2526refresh_token%253D37fab94f%2526x-expires%253D1808992800%2526x-signature%253DxhSmbzhKT%25252Fm0k9lOnJssKbrnlRE%25253D%2526t%253D4d5b0474%2526ps%253D13740610%2526shp%253Dd05b14bd%2526shcp%253D34ff8df6%2526idc%253Dmy2%2526s%253DTIKTOK_AFFILIATE_VIRAL_VIDEO%22%2C%22placeholder_product_id%22%3A%221729427766722726591%22%2C%22placeholder_video_id%22%3A%227630598491827391752%22%7D&amp;ec_shared_reflux_scene=shop_tab_feed&amp;share_item_id=7630598491827391752&amp;source=h5_t" TargetMode="External"/><Relationship Id="rId4930" Type="http://schemas.openxmlformats.org/officeDocument/2006/relationships/hyperlink" Target="https://vt.tiktok.com/ZS92WWk36/" TargetMode="External"/><Relationship Id="rId1059" Type="http://schemas.openxmlformats.org/officeDocument/2006/relationships/hyperlink" Target="https://vt.tiktok.com/ZSHFf6e5C/" TargetMode="External"/><Relationship Id="rId2380" Type="http://schemas.openxmlformats.org/officeDocument/2006/relationships/hyperlink" Target="https://vt.tiktok.com/ZSHbCvd29/" TargetMode="External"/><Relationship Id="rId1050" Type="http://schemas.openxmlformats.org/officeDocument/2006/relationships/hyperlink" Target="https://www.tiktok.com/@racunbyyola/video/7626609730777025800?_r=1&amp;u_code=did1gld0iebd1c&amp;region=&amp;mid=7493541906289150726&amp;preview_pb=0&amp;sharer_language=&amp;_d=0&amp;ec_shared_reflux_dynamic_params=%7B%22placeholder_material_id%22%3A%227626609730777025800%22%2C%22placeholder_origin_cover%22%3A%22https%253A%252F%252Fp16-common-sign.tiktokcdn.com%252Ftos-alisg-p-0037%252FocvXVpaDuCA2EYVBXc7DApKB1ilAdBSiIIY1s~tplv-tiktokx-origin.jpeg%253Fdr%253D14572%2526refresh_token%253D79c4d873%2526x-expires%253D1808208000%2526x-signature%253Dq38jRO%25252BuckdzXthuA1kUR7OG6jY%25253D%2526t%253D4d5b0474%2526ps%253D13740610%2526shp%253Dd05b14bd%2526shcp%253D34ff8df6%2526idc%253Dmy3%2526s%253DTIKTOK_AFFILIATE_VIRAL_VIDEO%22%2C%22placeholder_product_id%22%3A%221729427766722726591%22%2C%22placeholder_video_id%22%3A%227626609730777025800%22%7D&amp;ec_shared_reflux_scene=shop_tab_feed&amp;share_item_id=7626609730777025800&amp;source=h5_t" TargetMode="External"/><Relationship Id="rId2381" Type="http://schemas.openxmlformats.org/officeDocument/2006/relationships/hyperlink" Target="https://vt.tiktok.com/ZSHGLqPxw/" TargetMode="External"/><Relationship Id="rId1051" Type="http://schemas.openxmlformats.org/officeDocument/2006/relationships/hyperlink" Target="https://www.tiktok.com/@racunbyyola/video/7627030825271332114?_r=1&amp;u_code=did1gld0iebd1c&amp;region=&amp;mid=7521278093747604280&amp;preview_pb=0&amp;sharer_language=&amp;_d=0&amp;ec_shared_reflux_dynamic_params=%7B%22placeholder_material_id%22%3A%227627030825271332114%22%2C%22placeholder_origin_cover%22%3A%22https%253A%252F%252Fp16-common-sign.tiktokcdn.com%252Ftos-alisg-p-0037%252FokeBBwZ8TYATQKnfzqueGGnLbRqAnFHYA14fFg~tplv-tiktokx-origin.jpeg%253Fdr%253D14572%2526refresh_token%253D9299b4cb%2526x-expires%253D1808208000%2526x-signature%253DmQTTvWWMbuplNx3SbTMM%25252BHIA2BQ%25253D%2526t%253D4d5b0474%2526ps%253D13740610%2526shp%253Dd05b14bd%2526shcp%253D34ff8df6%2526idc%253Dmy3%2526s%253DTIKTOK_AFFILIATE_VIRAL_VIDEO%22%2C%22placeholder_product_id%22%3A%221729427766722726591%22%2C%22placeholder_video_id%22%3A%227627030825271332114%22%7D&amp;ec_shared_reflux_scene=shop_tab_feed&amp;share_item_id=7627030825271332114&amp;source=h5_t" TargetMode="External"/><Relationship Id="rId2382" Type="http://schemas.openxmlformats.org/officeDocument/2006/relationships/hyperlink" Target="https://vt.tiktok.com/ZS9GTKeru/" TargetMode="External"/><Relationship Id="rId1052" Type="http://schemas.openxmlformats.org/officeDocument/2006/relationships/hyperlink" Target="https://www.tiktok.com/@sintarahayu1728" TargetMode="External"/><Relationship Id="rId2383" Type="http://schemas.openxmlformats.org/officeDocument/2006/relationships/hyperlink" Target="https://vt.tiktok.com/ZS9GTKxXJ/" TargetMode="External"/><Relationship Id="rId1053" Type="http://schemas.openxmlformats.org/officeDocument/2006/relationships/hyperlink" Target="https://www.tiktok.com/@sintarahayu1728/video/7608592816989670663?is_from_webapp=1&amp;sender_device=pc" TargetMode="External"/><Relationship Id="rId2384" Type="http://schemas.openxmlformats.org/officeDocument/2006/relationships/hyperlink" Target="https://www.tiktok.com/@yuniwahdini" TargetMode="External"/><Relationship Id="rId1054" Type="http://schemas.openxmlformats.org/officeDocument/2006/relationships/hyperlink" Target="https://www.tiktok.com/@sintarahayu1728/video/7614092890867895570?is_from_webapp=1&amp;sender_device=pc" TargetMode="External"/><Relationship Id="rId2385" Type="http://schemas.openxmlformats.org/officeDocument/2006/relationships/hyperlink" Target="https://www.tiktok.com/@yuniwahdini/video/7628105372401667349?is_from_webapp=1&amp;sender_device=pc" TargetMode="External"/><Relationship Id="rId1055" Type="http://schemas.openxmlformats.org/officeDocument/2006/relationships/hyperlink" Target="https://vt.tiktok.com/ZS9qh1n5v/" TargetMode="External"/><Relationship Id="rId2386" Type="http://schemas.openxmlformats.org/officeDocument/2006/relationships/hyperlink" Target="https://vt.tiktok.com/ZSHbqKcgC/" TargetMode="External"/><Relationship Id="rId1056" Type="http://schemas.openxmlformats.org/officeDocument/2006/relationships/hyperlink" Target="https://vt.tiktok.com/ZS9qhexkq/" TargetMode="External"/><Relationship Id="rId2387" Type="http://schemas.openxmlformats.org/officeDocument/2006/relationships/hyperlink" Target="https://vt.tiktok.com/ZS9GwBj93/" TargetMode="External"/><Relationship Id="rId1057" Type="http://schemas.openxmlformats.org/officeDocument/2006/relationships/hyperlink" Target="https://www.tiktok.com/@grosirndeso1" TargetMode="External"/><Relationship Id="rId2388" Type="http://schemas.openxmlformats.org/officeDocument/2006/relationships/hyperlink" Target="https://vt.tiktok.com/ZS9GTQ6Lj/" TargetMode="External"/><Relationship Id="rId1058" Type="http://schemas.openxmlformats.org/officeDocument/2006/relationships/hyperlink" Target="https://vt.tiktok.com/ZSHFyjvVp/" TargetMode="External"/><Relationship Id="rId2389" Type="http://schemas.openxmlformats.org/officeDocument/2006/relationships/hyperlink" Target="https://www.tiktok.com/@anita11114" TargetMode="External"/><Relationship Id="rId1048" Type="http://schemas.openxmlformats.org/officeDocument/2006/relationships/hyperlink" Target="https://www.tiktok.com/@racunbyyola/video/7608536634086264071?is_from_webapp=1&amp;sender_device=pc" TargetMode="External"/><Relationship Id="rId2379" Type="http://schemas.openxmlformats.org/officeDocument/2006/relationships/hyperlink" Target="https://www.tiktok.com/@helensthg" TargetMode="External"/><Relationship Id="rId1049" Type="http://schemas.openxmlformats.org/officeDocument/2006/relationships/hyperlink" Target="https://www.tiktok.com/@racunbyyola/video/7626227024658517255?_r=1&amp;u_code=did1gld0iebd1c&amp;region=&amp;mid=7626232216430906133&amp;preview_pb=0&amp;sharer_language=&amp;_d=0&amp;ec_shared_reflux_dynamic_params=%7B%22placeholder_material_id%22%3A%227626227024658517255%22%2C%22placeholder_origin_cover%22%3A%22https%253A%252F%252Fp16-common-sign.tiktokcdn.com%252Ftos-alisg-p-0037%252FokBEXrF1nIDvBeBA0CUgfnEqpVIwRVoBc0RczB~tplv-tiktokx-origin.jpeg%253Fdr%253D14572%2526refresh_token%253D529c989e%2526x-expires%253D1808208000%2526x-signature%253DA0%25252F9ORASx%25252FjRfTVvQI%25252B2nTS717g%25253D%2526t%253D4d5b0474%2526ps%253D13740610%2526shp%253Dd05b14bd%2526shcp%253D34ff8df6%2526idc%253Dmy3%2526s%253DTIKTOK_AFFILIATE_VIRAL_VIDEO%22%2C%22placeholder_product_id%22%3A%221729427766722726591%22%2C%22placeholder_video_id%22%3A%227626227024658517255%22%7D&amp;ec_shared_reflux_scene=shop_tab_feed&amp;share_item_id=7626227024658517255&amp;source=h5_t" TargetMode="External"/><Relationship Id="rId2370" Type="http://schemas.openxmlformats.org/officeDocument/2006/relationships/hyperlink" Target="https://www.tiktok.com/@iciiiiss_/video/7621513001056881940?is_from_webapp=1&amp;sender_device=pc" TargetMode="External"/><Relationship Id="rId1040" Type="http://schemas.openxmlformats.org/officeDocument/2006/relationships/hyperlink" Target="https://vt.tiktok.com/ZS9qrEREC/" TargetMode="External"/><Relationship Id="rId2371" Type="http://schemas.openxmlformats.org/officeDocument/2006/relationships/hyperlink" Target="https://www.tiktok.com/@iciiiiss_/video/7621522121285520661?is_from_webapp=1&amp;sender_device=pc" TargetMode="External"/><Relationship Id="rId1041" Type="http://schemas.openxmlformats.org/officeDocument/2006/relationships/hyperlink" Target="https://vt.tiktok.com/ZS9qrXKcY/" TargetMode="External"/><Relationship Id="rId2372" Type="http://schemas.openxmlformats.org/officeDocument/2006/relationships/hyperlink" Target="https://www.tiktok.com/@iciiiiss_/video/7621528595717967124?is_from_webapp=1&amp;sender_device=pc" TargetMode="External"/><Relationship Id="rId1042" Type="http://schemas.openxmlformats.org/officeDocument/2006/relationships/hyperlink" Target="https://www.tiktok.com/@zizee___" TargetMode="External"/><Relationship Id="rId2373" Type="http://schemas.openxmlformats.org/officeDocument/2006/relationships/hyperlink" Target="https://vt.tiktok.com/ZS9GTckCP/" TargetMode="External"/><Relationship Id="rId1043" Type="http://schemas.openxmlformats.org/officeDocument/2006/relationships/hyperlink" Target="https://www.tiktok.com/@zizee___/video/7611767153599008018?is_from_webapp=1&amp;sender_device=pc" TargetMode="External"/><Relationship Id="rId2374" Type="http://schemas.openxmlformats.org/officeDocument/2006/relationships/hyperlink" Target="https://www.tiktok.com/@tesazakia" TargetMode="External"/><Relationship Id="rId1044" Type="http://schemas.openxmlformats.org/officeDocument/2006/relationships/hyperlink" Target="https://www.tiktok.com/@zizee___/video/7612645602752580872?is_from_webapp=1&amp;sender_device=pc" TargetMode="External"/><Relationship Id="rId2375" Type="http://schemas.openxmlformats.org/officeDocument/2006/relationships/hyperlink" Target="https://vt.tiktok.com/ZSH5ofDBw/" TargetMode="External"/><Relationship Id="rId1045" Type="http://schemas.openxmlformats.org/officeDocument/2006/relationships/hyperlink" Target="https://www.tiktok.com/@zizee___/video/7617475199369301256?is_from_webapp=1&amp;sender_device=pc" TargetMode="External"/><Relationship Id="rId2376" Type="http://schemas.openxmlformats.org/officeDocument/2006/relationships/hyperlink" Target="https://vt.tiktok.com/ZS9Gwj1Ks/" TargetMode="External"/><Relationship Id="rId1046" Type="http://schemas.openxmlformats.org/officeDocument/2006/relationships/hyperlink" Target="https://www.tiktok.com/@zizee___/video/7617482376968457480?is_from_webapp=1&amp;sender_device=pc" TargetMode="External"/><Relationship Id="rId2377" Type="http://schemas.openxmlformats.org/officeDocument/2006/relationships/hyperlink" Target="https://vt.tiktok.com/ZS9GTTtDL/" TargetMode="External"/><Relationship Id="rId1047" Type="http://schemas.openxmlformats.org/officeDocument/2006/relationships/hyperlink" Target="https://www.tiktok.com/@racunbyyola" TargetMode="External"/><Relationship Id="rId2378" Type="http://schemas.openxmlformats.org/officeDocument/2006/relationships/hyperlink" Target="https://vt.tiktok.com/ZS9GTwUrP/" TargetMode="External"/><Relationship Id="rId1070" Type="http://schemas.openxmlformats.org/officeDocument/2006/relationships/hyperlink" Target="https://www.tiktok.com/@sillan.tyarn/video/7611274675368348935?is_from_webapp=1&amp;sender_device=pc" TargetMode="External"/><Relationship Id="rId1071" Type="http://schemas.openxmlformats.org/officeDocument/2006/relationships/hyperlink" Target="https://www.tiktok.com/@sillan.tyarn/video/7611361956649372935?is_from_webapp=1&amp;sender_device=pc" TargetMode="External"/><Relationship Id="rId1072" Type="http://schemas.openxmlformats.org/officeDocument/2006/relationships/hyperlink" Target="https://www.tiktok.com/@glamshineee" TargetMode="External"/><Relationship Id="rId1073" Type="http://schemas.openxmlformats.org/officeDocument/2006/relationships/hyperlink" Target="https://www.tiktok.com/@sillan.tyarn/video/7616706771142446343?is_from_webapp=1&amp;sender_device=pc" TargetMode="External"/><Relationship Id="rId1074" Type="http://schemas.openxmlformats.org/officeDocument/2006/relationships/hyperlink" Target="https://www.tiktok.com/@sillan.tyarn/video/7624508035968421127?is_from_webapp=1&amp;sender_device=pc" TargetMode="External"/><Relationship Id="rId1075" Type="http://schemas.openxmlformats.org/officeDocument/2006/relationships/hyperlink" Target="https://vt.tiktok.com/ZSHPNQccw/" TargetMode="External"/><Relationship Id="rId1076" Type="http://schemas.openxmlformats.org/officeDocument/2006/relationships/hyperlink" Target="https://www.tiktok.com/@glamshineee/video/7631122096311127303?is_from_webapp=1&amp;sender_device=pc&amp;web_id=7611930277489657360" TargetMode="External"/><Relationship Id="rId1077" Type="http://schemas.openxmlformats.org/officeDocument/2006/relationships/hyperlink" Target="https://www.tiktok.com/@rinni480" TargetMode="External"/><Relationship Id="rId1078" Type="http://schemas.openxmlformats.org/officeDocument/2006/relationships/hyperlink" Target="https://vt.tiktok.com/ZSHFyLPWn/" TargetMode="External"/><Relationship Id="rId1079" Type="http://schemas.openxmlformats.org/officeDocument/2006/relationships/hyperlink" Target="https://vt.tiktok.com/ZSHFyd7Bv/" TargetMode="External"/><Relationship Id="rId2390" Type="http://schemas.openxmlformats.org/officeDocument/2006/relationships/hyperlink" Target="https://vt.tiktok.com/ZS9GT4bjE/" TargetMode="External"/><Relationship Id="rId1060" Type="http://schemas.openxmlformats.org/officeDocument/2006/relationships/hyperlink" Target="https://vt.tiktok.com/ZSHFfkQ2P/" TargetMode="External"/><Relationship Id="rId2391" Type="http://schemas.openxmlformats.org/officeDocument/2006/relationships/hyperlink" Target="https://vt.tiktok.com/ZS9GTbTcf/" TargetMode="External"/><Relationship Id="rId1061" Type="http://schemas.openxmlformats.org/officeDocument/2006/relationships/hyperlink" Target="https://www.tiktok.com/@hdytl_masruroh/video/7624987719659179271?is_from_webapp=1&amp;sender_device=pc" TargetMode="External"/><Relationship Id="rId2392" Type="http://schemas.openxmlformats.org/officeDocument/2006/relationships/hyperlink" Target="https://vt.tiktok.com/ZS9GTajLP/" TargetMode="External"/><Relationship Id="rId1062" Type="http://schemas.openxmlformats.org/officeDocument/2006/relationships/hyperlink" Target="https://www.tiktok.com/@hdytl_masruroh" TargetMode="External"/><Relationship Id="rId2393" Type="http://schemas.openxmlformats.org/officeDocument/2006/relationships/hyperlink" Target="https://www.tiktok.com/@sdlptr" TargetMode="External"/><Relationship Id="rId1063" Type="http://schemas.openxmlformats.org/officeDocument/2006/relationships/hyperlink" Target="https://www.tiktok.com/@hdytl_masruroh/video/7614641067878599954?is_from_webapp=1&amp;sender_device=pc" TargetMode="External"/><Relationship Id="rId2394" Type="http://schemas.openxmlformats.org/officeDocument/2006/relationships/hyperlink" Target="https://www.tiktok.com/@sdlptr/video/7611627835370818834" TargetMode="External"/><Relationship Id="rId1064" Type="http://schemas.openxmlformats.org/officeDocument/2006/relationships/hyperlink" Target="https://www.tiktok.com/@hdytl_masruroh/video/7616002563397258517?is_from_webapp=1&amp;sender_device=pc" TargetMode="External"/><Relationship Id="rId2395" Type="http://schemas.openxmlformats.org/officeDocument/2006/relationships/hyperlink" Target="https://vt.tiktok.com/ZS9GT5Ju6/" TargetMode="External"/><Relationship Id="rId1065" Type="http://schemas.openxmlformats.org/officeDocument/2006/relationships/hyperlink" Target="https://www.tiktok.com/@hdytl_masruroh/video/7620071238093851925?_d=0&amp;_r=1&amp;ec_shared_reflux_dynamic_params=%7B%22placeholder_material_id%22%3A%227620071238093851925%22%2C%22placeholder_origin_cover%22%3A%22https%253A%252F%252Fp16-sign-sg.tiktokcdn.com%252Ftos-alisg-p-0037%252FoQbfGeQLmQQcR2Gx7FfFRF3EQdDF7UAHVAfBnz~tplv-tiktokx-origin.jpeg%253Fdr%253D14572%2526refresh_token%253Dc1f5728c%2526x-expires%253D1806051600%2526x-signature%253DI7gJuB%25252BY%25252FuyAR8lDiVTFWy%25252F5fUg%25253D%2526t%253D4d5b0474%2526ps%253D13740610%2526shp%253Dd05b14bd%2526shcp%253D34ff8df6%2526idc%253Dmy2%2526s%253DTIKTOK_AFFILIATE_VIRAL_VIDEO%22%2C%22placeholder_product_id%22%3A%221729427766722726591%22%2C%22placeholder_video_id%22%3A%227620071238093851925%22%7D&amp;ec_shared_reflux_scene=shop_tab_feed&amp;mid=7405822483246451461&amp;preview_pb=0&amp;region=&amp;share_item_id=7620071238093851925&amp;sharer_language=&amp;source=h5_t&amp;u_code=d8alfgjgak93j5" TargetMode="External"/><Relationship Id="rId2396" Type="http://schemas.openxmlformats.org/officeDocument/2006/relationships/hyperlink" Target="https://vt.tiktok.com/ZS9GTUKxp/" TargetMode="External"/><Relationship Id="rId1066" Type="http://schemas.openxmlformats.org/officeDocument/2006/relationships/hyperlink" Target="https://www.tiktok.com/@hdytl_masruroh/video/7621625067830512904?is_from_webapp=1&amp;sender_device=pc" TargetMode="External"/><Relationship Id="rId2397" Type="http://schemas.openxmlformats.org/officeDocument/2006/relationships/hyperlink" Target="https://vt.tiktok.com/ZS9GTtatN/" TargetMode="External"/><Relationship Id="rId1067" Type="http://schemas.openxmlformats.org/officeDocument/2006/relationships/hyperlink" Target="https://www.tiktok.com/@sillan.tyarn" TargetMode="External"/><Relationship Id="rId2398" Type="http://schemas.openxmlformats.org/officeDocument/2006/relationships/hyperlink" Target="https://www.tiktok.com/@hellogirl.y" TargetMode="External"/><Relationship Id="rId1068" Type="http://schemas.openxmlformats.org/officeDocument/2006/relationships/hyperlink" Target="https://www.tiktok.com/@sillan.tyarn/video/7610250760479149319?is_from_webapp=1&amp;sender_device=pc" TargetMode="External"/><Relationship Id="rId2399" Type="http://schemas.openxmlformats.org/officeDocument/2006/relationships/hyperlink" Target="https://www.tiktok.com/@hellogirl.y/video/7631617414504992018" TargetMode="External"/><Relationship Id="rId1069" Type="http://schemas.openxmlformats.org/officeDocument/2006/relationships/hyperlink" Target="https://www.tiktok.com/@sillan.tyarn/video/7610728804083911954?is_from_webapp=1&amp;sender_device=pc" TargetMode="External"/><Relationship Id="rId1015" Type="http://schemas.openxmlformats.org/officeDocument/2006/relationships/hyperlink" Target="https://vt.tiktok.com/ZS9qr6BGp/" TargetMode="External"/><Relationship Id="rId2346" Type="http://schemas.openxmlformats.org/officeDocument/2006/relationships/hyperlink" Target="https://vt.tiktok.com/ZS9tqAtqw/" TargetMode="External"/><Relationship Id="rId3678" Type="http://schemas.openxmlformats.org/officeDocument/2006/relationships/hyperlink" Target="https://www.tiktok.com/@ayupe_el" TargetMode="External"/><Relationship Id="rId1016" Type="http://schemas.openxmlformats.org/officeDocument/2006/relationships/hyperlink" Target="https://www.tiktok.com/@lyta_annidapranata" TargetMode="External"/><Relationship Id="rId2347" Type="http://schemas.openxmlformats.org/officeDocument/2006/relationships/hyperlink" Target="https://vt.tiktok.com/ZS9tqkoaL/" TargetMode="External"/><Relationship Id="rId3677" Type="http://schemas.openxmlformats.org/officeDocument/2006/relationships/hyperlink" Target="https://vt.tiktok.com/ZS9k6vqyg/" TargetMode="External"/><Relationship Id="rId1017" Type="http://schemas.openxmlformats.org/officeDocument/2006/relationships/hyperlink" Target="https://www.tiktok.com/@lyta_annidapranata/video/7612571940703702293?is_from_webapp=1&amp;sender_device=pc" TargetMode="External"/><Relationship Id="rId2348" Type="http://schemas.openxmlformats.org/officeDocument/2006/relationships/hyperlink" Target="https://vt.tiktok.com/ZS9tqjqPS/" TargetMode="External"/><Relationship Id="rId1018" Type="http://schemas.openxmlformats.org/officeDocument/2006/relationships/hyperlink" Target="https://www.tiktok.com/@lyta_annidapranata/video/7618161237607632148?is_from_webapp=1&amp;sender_device=pc&amp;web_id=7611930277489657360" TargetMode="External"/><Relationship Id="rId2349" Type="http://schemas.openxmlformats.org/officeDocument/2006/relationships/hyperlink" Target="https://www.tiktok.com/@gomaworder" TargetMode="External"/><Relationship Id="rId3679" Type="http://schemas.openxmlformats.org/officeDocument/2006/relationships/hyperlink" Target="https://vt.tiktok.com/ZS9k6TEEE/" TargetMode="External"/><Relationship Id="rId1019" Type="http://schemas.openxmlformats.org/officeDocument/2006/relationships/hyperlink" Target="https://www.tiktok.com/@indri_0188/video/7625596487195561234?is_from_webapp=1&amp;sender_device=pc" TargetMode="External"/><Relationship Id="rId3670" Type="http://schemas.openxmlformats.org/officeDocument/2006/relationships/hyperlink" Target="https://vt.tiktok.com/ZS9k6TEaw/" TargetMode="External"/><Relationship Id="rId2340" Type="http://schemas.openxmlformats.org/officeDocument/2006/relationships/hyperlink" Target="https://www.tiktok.com/@citrasulis19/video/7623995972044983573?is_from_webapp=1&amp;sender_device=pc" TargetMode="External"/><Relationship Id="rId3672" Type="http://schemas.openxmlformats.org/officeDocument/2006/relationships/hyperlink" Target="https://vt.tiktok.com/ZS9k6EY3K/" TargetMode="External"/><Relationship Id="rId1010" Type="http://schemas.openxmlformats.org/officeDocument/2006/relationships/hyperlink" Target="https://www.tiktok.com/@simas.032/video/7620748794296126727?is_from_webapp=1&amp;sender_device=pc" TargetMode="External"/><Relationship Id="rId2341" Type="http://schemas.openxmlformats.org/officeDocument/2006/relationships/hyperlink" Target="https://vt.tiktok.com/ZSHMnW2GU/" TargetMode="External"/><Relationship Id="rId3671" Type="http://schemas.openxmlformats.org/officeDocument/2006/relationships/hyperlink" Target="https://vt.tiktok.com/ZS9kMdDLp/" TargetMode="External"/><Relationship Id="rId1011" Type="http://schemas.openxmlformats.org/officeDocument/2006/relationships/hyperlink" Target="https://www.tiktok.com/@rettnowulan" TargetMode="External"/><Relationship Id="rId2342" Type="http://schemas.openxmlformats.org/officeDocument/2006/relationships/hyperlink" Target="https://vt.tiktok.com/ZSHMnqWU4/" TargetMode="External"/><Relationship Id="rId3674" Type="http://schemas.openxmlformats.org/officeDocument/2006/relationships/hyperlink" Target="https://vt.tiktok.com/ZS9k6KsMf/" TargetMode="External"/><Relationship Id="rId1012" Type="http://schemas.openxmlformats.org/officeDocument/2006/relationships/hyperlink" Target="https://www.tiktok.com/@rettnowulan/video/7614159212721097992?is_from_webapp=1&amp;sender_device=pc" TargetMode="External"/><Relationship Id="rId2343" Type="http://schemas.openxmlformats.org/officeDocument/2006/relationships/hyperlink" Target="https://vt.tiktok.com/ZS9tqDxNW/" TargetMode="External"/><Relationship Id="rId3673" Type="http://schemas.openxmlformats.org/officeDocument/2006/relationships/hyperlink" Target="https://www.tiktok.com/@oeni__" TargetMode="External"/><Relationship Id="rId1013" Type="http://schemas.openxmlformats.org/officeDocument/2006/relationships/hyperlink" Target="https://www.tiktok.com/@rettnowulan/video/7617456098722794772?is_from_webapp=1&amp;sender_device=pc" TargetMode="External"/><Relationship Id="rId2344" Type="http://schemas.openxmlformats.org/officeDocument/2006/relationships/hyperlink" Target="https://www.tiktok.com/@kikioktaviaa_ks" TargetMode="External"/><Relationship Id="rId3676" Type="http://schemas.openxmlformats.org/officeDocument/2006/relationships/hyperlink" Target="https://vt.tiktok.com/ZS9k6GtM4/" TargetMode="External"/><Relationship Id="rId1014" Type="http://schemas.openxmlformats.org/officeDocument/2006/relationships/hyperlink" Target="https://vt.tiktok.com/ZS9qr6ftx/" TargetMode="External"/><Relationship Id="rId2345" Type="http://schemas.openxmlformats.org/officeDocument/2006/relationships/hyperlink" Target="https://vt.tiktok.com/ZS9tqUGwu/" TargetMode="External"/><Relationship Id="rId3675" Type="http://schemas.openxmlformats.org/officeDocument/2006/relationships/hyperlink" Target="https://vt.tiktok.com/ZS9k6c28e/" TargetMode="External"/><Relationship Id="rId1004" Type="http://schemas.openxmlformats.org/officeDocument/2006/relationships/hyperlink" Target="https://www.tiktok.com/@tyasaktisetya/video/7611376033383615764?is_from_webapp=1&amp;sender_device=pc" TargetMode="External"/><Relationship Id="rId2335" Type="http://schemas.openxmlformats.org/officeDocument/2006/relationships/hyperlink" Target="https://vt.tiktok.com/ZSHpgXNT1/" TargetMode="External"/><Relationship Id="rId3667" Type="http://schemas.openxmlformats.org/officeDocument/2006/relationships/hyperlink" Target="https://vt.tiktok.com/ZS9kAyXFC/" TargetMode="External"/><Relationship Id="rId4998" Type="http://schemas.openxmlformats.org/officeDocument/2006/relationships/hyperlink" Target="https://www.tiktok.com/@Linaa2705" TargetMode="External"/><Relationship Id="rId1005" Type="http://schemas.openxmlformats.org/officeDocument/2006/relationships/hyperlink" Target="https://www.tiktok.com/@tyasaktisetya/video/7612832547437022485?is_from_webapp=1&amp;sender_device=pc" TargetMode="External"/><Relationship Id="rId2336" Type="http://schemas.openxmlformats.org/officeDocument/2006/relationships/hyperlink" Target="https://vt.tiktok.com/ZSHpgkLAp/" TargetMode="External"/><Relationship Id="rId3666" Type="http://schemas.openxmlformats.org/officeDocument/2006/relationships/hyperlink" Target="https://www.tiktok.com/@quinjennaira" TargetMode="External"/><Relationship Id="rId4997" Type="http://schemas.openxmlformats.org/officeDocument/2006/relationships/hyperlink" Target="https://vt.tiktok.com/ZS9hqcAxh/" TargetMode="External"/><Relationship Id="rId1006" Type="http://schemas.openxmlformats.org/officeDocument/2006/relationships/hyperlink" Target="https://www.tiktok.com/@dhharyati02" TargetMode="External"/><Relationship Id="rId2337" Type="http://schemas.openxmlformats.org/officeDocument/2006/relationships/hyperlink" Target="https://www.tiktok.com/@mrytalk2u" TargetMode="External"/><Relationship Id="rId3669" Type="http://schemas.openxmlformats.org/officeDocument/2006/relationships/hyperlink" Target="https://vt.tiktok.com/ZS9k6WmvM/" TargetMode="External"/><Relationship Id="rId1007" Type="http://schemas.openxmlformats.org/officeDocument/2006/relationships/hyperlink" Target="https://www.tiktok.com/@dhbeauty7/video/7609932897289555217?is_from_webapp=1&amp;sender_device=pc" TargetMode="External"/><Relationship Id="rId2338" Type="http://schemas.openxmlformats.org/officeDocument/2006/relationships/hyperlink" Target="https://vt.tiktok.com/ZS98CawuJ/" TargetMode="External"/><Relationship Id="rId3668" Type="http://schemas.openxmlformats.org/officeDocument/2006/relationships/hyperlink" Target="https://www.tiktok.com/@darrellaustinee" TargetMode="External"/><Relationship Id="rId4999" Type="http://schemas.openxmlformats.org/officeDocument/2006/relationships/hyperlink" Target="https://www.tiktok.com/@belanja_hemat.shop/video/7630598491827391752?_r=1&amp;u_code=ek6h2252jijmih&amp;region=&amp;mid=7381176581904878342&amp;preview_pb=0&amp;sharer_language=&amp;_d=0&amp;ec_shared_reflux_dynamic_params=%7B%22placeholder_material_id%22%3A%227630598491827391752%22%2C%22placeholder_origin_cover%22%3A%22https%253A%252F%252Fp16-common-sign.tiktokcdn.com%252Ftos-alisg-p-0037%252FoACPlAYVqqCFSiI0n8ifAAwRZV3BpdI4I7B0Ci~tplv-tiktokx-origin.jpeg%253Fdr%253D14572%2526refresh_token%253D37fab94f%2526x-expires%253D1808992800%2526x-signature%253DxhSmbzhKT%25252Fm0k9lOnJssKbrnlRE%25253D%2526t%253D4d5b0474%2526ps%253D13740610%2526shp%253Dd05b14bd%2526shcp%253D34ff8df6%2526idc%253Dmy2%2526s%253DTIKTOK_AFFILIATE_VIRAL_VIDEO%22%2C%22placeholder_product_id%22%3A%221729427766722726591%22%2C%22placeholder_video_id%22%3A%227630598491827391752%22%7D&amp;ec_shared_reflux_scene=shop_tab_feed&amp;share_item_id=7630598491827391752&amp;source=h5_t" TargetMode="External"/><Relationship Id="rId1008" Type="http://schemas.openxmlformats.org/officeDocument/2006/relationships/hyperlink" Target="https://www.tiktok.com/@simas.032/video/7618867579729497352?is_from_webapp=1&amp;sender_device=pc" TargetMode="External"/><Relationship Id="rId2339" Type="http://schemas.openxmlformats.org/officeDocument/2006/relationships/hyperlink" Target="https://www.tiktok.com/@citrasulis19" TargetMode="External"/><Relationship Id="rId1009" Type="http://schemas.openxmlformats.org/officeDocument/2006/relationships/hyperlink" Target="https://www.tiktok.com/@simas.032/video/7618871334205934855?is_from_webapp=1&amp;sender_device=pc" TargetMode="External"/><Relationship Id="rId4990" Type="http://schemas.openxmlformats.org/officeDocument/2006/relationships/hyperlink" Target="https://www.tiktok.com/@belanja_hemat.shop/video/7630475688943897874?_r=1&amp;u_code=ek6h2252jijmih&amp;region=&amp;mid=7607444503808527121&amp;preview_pb=0&amp;sharer_language=&amp;_d=0&amp;ec_shared_reflux_dynamic_params=%7B%22placeholder_material_id%22%3A%227630475688943897874%22%2C%22placeholder_origin_cover%22%3A%22https%253A%252F%252Fp16-common-sign.tiktokcdn.com%252Ftos-alisg-p-0037%252FooTSo4TGxCrBcAXj7DmAGPeS8yI5Ae8eTolMQ5~tplv-tiktokx-origin.jpeg%253Fdr%253D14572%2526refresh_token%253Df667667c%2526x-expires%253D1808992800%2526x-signature%253DLPxUVcjF62CctMUjnnT82J9gU%25252Fk%25253D%2526t%253D4d5b0474%2526ps%253D13740610%2526shp%253Dd05b14bd%2526shcp%253D34ff8df6%2526idc%253Dmy2%2526s%253DTIKTOK_AFFILIATE_VIRAL_VIDEO%22%2C%22placeholder_product_id%22%3A%221729427766722726591%22%2C%22placeholder_video_id%22%3A%227630475688943897874%22%7D&amp;ec_shared_reflux_scene=shop_tab_feed&amp;share_item_id=7630475688943897874&amp;source=h5_t" TargetMode="External"/><Relationship Id="rId3661" Type="http://schemas.openxmlformats.org/officeDocument/2006/relationships/hyperlink" Target="https://vt.tiktok.com/ZS9SYcRXE/" TargetMode="External"/><Relationship Id="rId4992" Type="http://schemas.openxmlformats.org/officeDocument/2006/relationships/hyperlink" Target="https://vt.tiktok.com/ZS9hqcAxh/" TargetMode="External"/><Relationship Id="rId2330" Type="http://schemas.openxmlformats.org/officeDocument/2006/relationships/hyperlink" Target="https://vt.tiktok.com/ZS9tq2KvT/" TargetMode="External"/><Relationship Id="rId3660" Type="http://schemas.openxmlformats.org/officeDocument/2006/relationships/hyperlink" Target="https://vt.tiktok.com/ZS9SYsa6y/" TargetMode="External"/><Relationship Id="rId4991" Type="http://schemas.openxmlformats.org/officeDocument/2006/relationships/hyperlink" Target="https://www.tiktok.com/@belanja_hemat.shop/video/7630318868501728530?_r=1&amp;u_code=ek6h2252jijmih&amp;region=&amp;mid=7624626297780652808&amp;preview_pb=0&amp;sharer_language=&amp;_d=0&amp;ec_shared_reflux_dynamic_params=%7B%22placeholder_material_id%22%3A%227630318868501728530%22%2C%22placeholder_origin_cover%22%3A%22https%253A%252F%252Fp16-common-sign.tiktokcdn.com%252Ftos-alisg-p-0037%252FokeOVVfQkFGLQs0gKgceaWA4zEnApnO1GRGkIf~tplv-tiktokx-origin.jpeg%253Fdr%253D14572%2526refresh_token%253D1c2a1f8c%2526x-expires%253D1808992800%2526x-signature%253Df6KbnHeOt4Ficr%25252BDHFCFYgU8wEc%25253D%2526t%253D4d5b0474%2526ps%253D13740610%2526shp%253Dd05b14bd%2526shcp%253D34ff8df6%2526idc%253Dmy2%2526s%253DTIKTOK_AFFILIATE_VIRAL_VIDEO%22%2C%22placeholder_product_id%22%3A%221729427766722726591%22%2C%22placeholder_video_id%22%3A%227630318868501728530%22%7D&amp;ec_shared_reflux_scene=shop_tab_feed&amp;share_item_id=7630318868501728530&amp;source=h5_t" TargetMode="External"/><Relationship Id="rId1000" Type="http://schemas.openxmlformats.org/officeDocument/2006/relationships/hyperlink" Target="https://www.tiktok.com/@simas.032/video/7618032046547553554?is_from_webapp=1&amp;sender_device=pc" TargetMode="External"/><Relationship Id="rId2331" Type="http://schemas.openxmlformats.org/officeDocument/2006/relationships/hyperlink" Target="https://vt.tiktok.com/ZS9tqfWbH/" TargetMode="External"/><Relationship Id="rId3663" Type="http://schemas.openxmlformats.org/officeDocument/2006/relationships/hyperlink" Target="https://vt.tiktok.com/ZS9BN5BM8/" TargetMode="External"/><Relationship Id="rId4994" Type="http://schemas.openxmlformats.org/officeDocument/2006/relationships/hyperlink" Target="https://www.tiktok.com/@belanja_hemat.shop/video/7630598491827391752?_r=1&amp;u_code=ek6h2252jijmih&amp;region=&amp;mid=7381176581904878342&amp;preview_pb=0&amp;sharer_language=&amp;_d=0&amp;ec_shared_reflux_dynamic_params=%7B%22placeholder_material_id%22%3A%227630598491827391752%22%2C%22placeholder_origin_cover%22%3A%22https%253A%252F%252Fp16-common-sign.tiktokcdn.com%252Ftos-alisg-p-0037%252FoACPlAYVqqCFSiI0n8ifAAwRZV3BpdI4I7B0Ci~tplv-tiktokx-origin.jpeg%253Fdr%253D14572%2526refresh_token%253D37fab94f%2526x-expires%253D1808992800%2526x-signature%253DxhSmbzhKT%25252Fm0k9lOnJssKbrnlRE%25253D%2526t%253D4d5b0474%2526ps%253D13740610%2526shp%253Dd05b14bd%2526shcp%253D34ff8df6%2526idc%253Dmy2%2526s%253DTIKTOK_AFFILIATE_VIRAL_VIDEO%22%2C%22placeholder_product_id%22%3A%221729427766722726591%22%2C%22placeholder_video_id%22%3A%227630598491827391752%22%7D&amp;ec_shared_reflux_scene=shop_tab_feed&amp;share_item_id=7630598491827391752&amp;source=h5_t" TargetMode="External"/><Relationship Id="rId1001" Type="http://schemas.openxmlformats.org/officeDocument/2006/relationships/hyperlink" Target="https://www.tiktok.com/@tyasaktisetya" TargetMode="External"/><Relationship Id="rId2332" Type="http://schemas.openxmlformats.org/officeDocument/2006/relationships/hyperlink" Target="https://www.tiktok.com/@yaniramadhani3" TargetMode="External"/><Relationship Id="rId3662" Type="http://schemas.openxmlformats.org/officeDocument/2006/relationships/hyperlink" Target="https://www.tiktok.com/@elmiretna" TargetMode="External"/><Relationship Id="rId4993" Type="http://schemas.openxmlformats.org/officeDocument/2006/relationships/hyperlink" Target="https://www.tiktok.com/@atikwindharti" TargetMode="External"/><Relationship Id="rId1002" Type="http://schemas.openxmlformats.org/officeDocument/2006/relationships/hyperlink" Target="https://www.tiktok.com/@tyasaktisetya/video/7609889897951825173?is_from_webapp=1&amp;sender_device=pc" TargetMode="External"/><Relationship Id="rId2333" Type="http://schemas.openxmlformats.org/officeDocument/2006/relationships/hyperlink" Target="https://www.tiktok.com/@yaniramadhani3/video/7626221765265558802?is_from_webapp=1&amp;sender_device=pc" TargetMode="External"/><Relationship Id="rId3665" Type="http://schemas.openxmlformats.org/officeDocument/2006/relationships/hyperlink" Target="https://vt.tiktok.com/ZSxHfucAy/" TargetMode="External"/><Relationship Id="rId4996" Type="http://schemas.openxmlformats.org/officeDocument/2006/relationships/hyperlink" Target="https://www.tiktok.com/@belanja_hemat.shop/video/7630318868501728530?_r=1&amp;u_code=ek6h2252jijmih&amp;region=&amp;mid=7624626297780652808&amp;preview_pb=0&amp;sharer_language=&amp;_d=0&amp;ec_shared_reflux_dynamic_params=%7B%22placeholder_material_id%22%3A%227630318868501728530%22%2C%22placeholder_origin_cover%22%3A%22https%253A%252F%252Fp16-common-sign.tiktokcdn.com%252Ftos-alisg-p-0037%252FokeOVVfQkFGLQs0gKgceaWA4zEnApnO1GRGkIf~tplv-tiktokx-origin.jpeg%253Fdr%253D14572%2526refresh_token%253D1c2a1f8c%2526x-expires%253D1808992800%2526x-signature%253Df6KbnHeOt4Ficr%25252BDHFCFYgU8wEc%25253D%2526t%253D4d5b0474%2526ps%253D13740610%2526shp%253Dd05b14bd%2526shcp%253D34ff8df6%2526idc%253Dmy2%2526s%253DTIKTOK_AFFILIATE_VIRAL_VIDEO%22%2C%22placeholder_product_id%22%3A%221729427766722726591%22%2C%22placeholder_video_id%22%3A%227630318868501728530%22%7D&amp;ec_shared_reflux_scene=shop_tab_feed&amp;share_item_id=7630318868501728530&amp;source=h5_t" TargetMode="External"/><Relationship Id="rId1003" Type="http://schemas.openxmlformats.org/officeDocument/2006/relationships/hyperlink" Target="https://www.tiktok.com/@tyasaktisetya/video/7610985610433580308?is_from_webapp=1&amp;sender_device=pc" TargetMode="External"/><Relationship Id="rId2334" Type="http://schemas.openxmlformats.org/officeDocument/2006/relationships/hyperlink" Target="https://vt.tiktok.com/ZSHpgPBak/" TargetMode="External"/><Relationship Id="rId3664" Type="http://schemas.openxmlformats.org/officeDocument/2006/relationships/hyperlink" Target="https://vt.tiktok.com/ZSxLXUbVW/" TargetMode="External"/><Relationship Id="rId4995" Type="http://schemas.openxmlformats.org/officeDocument/2006/relationships/hyperlink" Target="https://www.tiktok.com/@belanja_hemat.shop/video/7630475688943897874?_r=1&amp;u_code=ek6h2252jijmih&amp;region=&amp;mid=7607444503808527121&amp;preview_pb=0&amp;sharer_language=&amp;_d=0&amp;ec_shared_reflux_dynamic_params=%7B%22placeholder_material_id%22%3A%227630475688943897874%22%2C%22placeholder_origin_cover%22%3A%22https%253A%252F%252Fp16-common-sign.tiktokcdn.com%252Ftos-alisg-p-0037%252FooTSo4TGxCrBcAXj7DmAGPeS8yI5Ae8eTolMQ5~tplv-tiktokx-origin.jpeg%253Fdr%253D14572%2526refresh_token%253Df667667c%2526x-expires%253D1808992800%2526x-signature%253DLPxUVcjF62CctMUjnnT82J9gU%25252Fk%25253D%2526t%253D4d5b0474%2526ps%253D13740610%2526shp%253Dd05b14bd%2526shcp%253D34ff8df6%2526idc%253Dmy2%2526s%253DTIKTOK_AFFILIATE_VIRAL_VIDEO%22%2C%22placeholder_product_id%22%3A%221729427766722726591%22%2C%22placeholder_video_id%22%3A%227630475688943897874%22%7D&amp;ec_shared_reflux_scene=shop_tab_feed&amp;share_item_id=7630475688943897874&amp;source=h5_t" TargetMode="External"/><Relationship Id="rId1037" Type="http://schemas.openxmlformats.org/officeDocument/2006/relationships/hyperlink" Target="https://www.tiktok.com/@ristaglowingkuu" TargetMode="External"/><Relationship Id="rId2368" Type="http://schemas.openxmlformats.org/officeDocument/2006/relationships/hyperlink" Target="https://vt.tiktok.com/ZS9GT3teU/" TargetMode="External"/><Relationship Id="rId1038" Type="http://schemas.openxmlformats.org/officeDocument/2006/relationships/hyperlink" Target="https://vt.tiktok.com/ZSHFDBmVP/" TargetMode="External"/><Relationship Id="rId2369" Type="http://schemas.openxmlformats.org/officeDocument/2006/relationships/hyperlink" Target="https://www.tiktok.com/@iciiiiss_" TargetMode="External"/><Relationship Id="rId3699" Type="http://schemas.openxmlformats.org/officeDocument/2006/relationships/hyperlink" Target="https://www.tiktok.com/@masbahrildaily/video/7630068304346074375?_r=1&amp;u_code=ek6h2252jijmih&amp;region=&amp;mid=7502446149192567607&amp;preview_pb=0&amp;sharer_language=&amp;_d=0&amp;ec_shared_reflux_dynamic_params=%7B%22placeholder_material_id%22%3A%227630068304346074375%22%2C%22placeholder_origin_cover%22%3A%22https%253A%252F%252Fp19-common-sign.tiktokcdn.com%252Ftos-alisg-p-0037%252FoY0jIj6CABiiHw6UKcYAvir4yAqkkIDPINeK4B~tplv-tiktokx-origin.jpeg%253Fdr%253D14572%2526refresh_token%253D0dc39211%2526x-expires%253D1808204400%2526x-signature%253Duhy2Js9eAkmyoPGSUQh5WPyOMfk%25253D%2526t%253D4d5b0474%2526ps%253D13740610%2526shp%253Dd05b14bd%2526shcp%253D34ff8df6%2526idc%253Dmy3%2526s%253DTIKTOK_AFFILIATE_VIRAL_VIDEO%22%2C%22placeholder_product_id%22%3A%221729427766722726591%22%2C%22placeholder_video_id%22%3A%227630068304346074375%22%7D&amp;ec_shared_reflux_scene=shop_tab_feed&amp;share_item_id=7630068304346074375&amp;source=h5_t" TargetMode="External"/><Relationship Id="rId1039" Type="http://schemas.openxmlformats.org/officeDocument/2006/relationships/hyperlink" Target="https://vt.tiktok.com/ZS9qrGctR/" TargetMode="External"/><Relationship Id="rId3690" Type="http://schemas.openxmlformats.org/officeDocument/2006/relationships/hyperlink" Target="https://vt.tiktok.com/ZSxHfwRTL/" TargetMode="External"/><Relationship Id="rId2360" Type="http://schemas.openxmlformats.org/officeDocument/2006/relationships/hyperlink" Target="https://www.tiktok.com/@bingbang_salonpurwakarta/video/7631408841430715655?_r=1&amp;u_code=d8c70i42db39g0&amp;region=&amp;mid=7628279249921329927&amp;preview_pb=0&amp;sharer_language=&amp;_d=0&amp;ec_shared_reflux_dynamic_params=%7B%22placeholder_material_id%22%3A%227631408841430715655%22%2C%22placeholder_origin_cover%22%3A%22https%253A%252F%252Fp16-common-sign.tiktokcdn.com%252Ftos-alisg-p-0037%252FoEQCaKlERQaAec5f1PQD3zDpghuFEB4DBgwWa6~tplv-tiktokx-origin.jpeg%253Fdr%253D14572%2526refresh_token%253Ddf65d971%2526x-expires%253D1808470800%2526x-signature%253D6zDNnuovCiLb1XcMxArfWNkBNr0%25253D%2526t%253D4d5b0474%2526ps%253D13740610%2526shp%253Dd05b14bd%2526shcp%253D34ff8df6%2526idc%253Dmy3%2526s%253DTIKTOK_AFFILIATE_VIRAL_VIDEO%22%2C%22placeholder_product_id%22%3A%221729427766722726591%22%2C%22placeholder_video_id%22%3A%227631408841430715655%22%7D&amp;ec_shared_reflux_scene=shop_tab_feed&amp;share_item_id=7631408841430715655&amp;source=h5_t" TargetMode="External"/><Relationship Id="rId3692" Type="http://schemas.openxmlformats.org/officeDocument/2006/relationships/hyperlink" Target="https://www.tiktok.com/@jeannirawidny" TargetMode="External"/><Relationship Id="rId1030" Type="http://schemas.openxmlformats.org/officeDocument/2006/relationships/hyperlink" Target="https://www.tiktok.com/@giuni.shop03/video/7614001643079732501?is_from_webapp=1&amp;sender_device=pc" TargetMode="External"/><Relationship Id="rId2361" Type="http://schemas.openxmlformats.org/officeDocument/2006/relationships/hyperlink" Target="https://vt.tiktok.com/ZS9tqdLY3/" TargetMode="External"/><Relationship Id="rId3691" Type="http://schemas.openxmlformats.org/officeDocument/2006/relationships/hyperlink" Target="https://vt.tiktok.com/ZSxULjfwu/" TargetMode="External"/><Relationship Id="rId1031" Type="http://schemas.openxmlformats.org/officeDocument/2006/relationships/hyperlink" Target="https://www.tiktok.com/@racunbyyola/video/7625083876553067794?is_from_webapp=1&amp;sender_device=pc" TargetMode="External"/><Relationship Id="rId2362" Type="http://schemas.openxmlformats.org/officeDocument/2006/relationships/hyperlink" Target="https://vt.tiktok.com/ZS9GET4YS/" TargetMode="External"/><Relationship Id="rId3694" Type="http://schemas.openxmlformats.org/officeDocument/2006/relationships/hyperlink" Target="https://vt.tiktok.com/ZSxHfxRHU/" TargetMode="External"/><Relationship Id="rId1032" Type="http://schemas.openxmlformats.org/officeDocument/2006/relationships/hyperlink" Target="https://www.tiktok.com/@naomiifarsya" TargetMode="External"/><Relationship Id="rId2363" Type="http://schemas.openxmlformats.org/officeDocument/2006/relationships/hyperlink" Target="https://vt.tiktok.com/ZS9Gwdb4J/" TargetMode="External"/><Relationship Id="rId3693" Type="http://schemas.openxmlformats.org/officeDocument/2006/relationships/hyperlink" Target="https://vt.tiktok.com/ZS9SXd5DR/" TargetMode="External"/><Relationship Id="rId1033" Type="http://schemas.openxmlformats.org/officeDocument/2006/relationships/hyperlink" Target="https://vt.tiktok.com/ZSHFDtmdS/" TargetMode="External"/><Relationship Id="rId2364" Type="http://schemas.openxmlformats.org/officeDocument/2006/relationships/hyperlink" Target="https://www.tiktok.com/@_nonatidore" TargetMode="External"/><Relationship Id="rId3696" Type="http://schemas.openxmlformats.org/officeDocument/2006/relationships/hyperlink" Target="https://vt.tiktok.com/ZSxHfXG2m/" TargetMode="External"/><Relationship Id="rId1034" Type="http://schemas.openxmlformats.org/officeDocument/2006/relationships/hyperlink" Target="https://vt.tiktok.com/ZS9qrm6gs/" TargetMode="External"/><Relationship Id="rId2365" Type="http://schemas.openxmlformats.org/officeDocument/2006/relationships/hyperlink" Target="https://vt.tiktok.com/ZS9GwE7eP/" TargetMode="External"/><Relationship Id="rId3695" Type="http://schemas.openxmlformats.org/officeDocument/2006/relationships/hyperlink" Target="https://vt.tiktok.com/ZSxULAvXf/" TargetMode="External"/><Relationship Id="rId1035" Type="http://schemas.openxmlformats.org/officeDocument/2006/relationships/hyperlink" Target="https://vt.tiktok.com/ZS9qrEpC1/" TargetMode="External"/><Relationship Id="rId2366" Type="http://schemas.openxmlformats.org/officeDocument/2006/relationships/hyperlink" Target="https://vt.tiktok.com/ZS9GwW2nU/" TargetMode="External"/><Relationship Id="rId3698" Type="http://schemas.openxmlformats.org/officeDocument/2006/relationships/hyperlink" Target="https://www.tiktok.com/@masbahrildaily/video/7629926744312548615?_r=1&amp;u_code=ek6h2252jijmih&amp;region=&amp;mid=7395415388382824464&amp;preview_pb=0&amp;sharer_language=&amp;_d=0&amp;ec_shared_reflux_dynamic_params=%7B%22placeholder_material_id%22%3A%227629926744312548615%22%2C%22placeholder_origin_cover%22%3A%22https%253A%252F%252Fp16-sign-sg.tiktokcdn.com%252Ftos-alisg-p-0037%252FogARLXupOi5fMxsvG8GFedRoAQQmGeGAPnfVBh~tplv-tiktokx-origin.jpeg%253Fdr%253D14572%2526refresh_token%253Dea45c138%2526x-expires%253D1808204400%2526x-signature%253DHis%25252B2zoak2qHlEJQwgqZJwGoBiw%25253D%2526t%253D4d5b0474%2526ps%253D13740610%2526shp%253Dd05b14bd%2526shcp%253D34ff8df6%2526idc%253Dmy3%2526s%253DTIKTOK_AFFILIATE_VIRAL_VIDEO%22%2C%22placeholder_product_id%22%3A%221729427766722726591%22%2C%22placeholder_video_id%22%3A%227629926744312548615%22%7D&amp;ec_shared_reflux_scene=shop_tab_feed&amp;share_item_id=7629926744312548615&amp;source=h5_t" TargetMode="External"/><Relationship Id="rId1036" Type="http://schemas.openxmlformats.org/officeDocument/2006/relationships/hyperlink" Target="https://vt.tiktok.com/ZS9qh1P6e/" TargetMode="External"/><Relationship Id="rId2367" Type="http://schemas.openxmlformats.org/officeDocument/2006/relationships/hyperlink" Target="https://vt.tiktok.com/ZS9Gwo7xL/" TargetMode="External"/><Relationship Id="rId3697" Type="http://schemas.openxmlformats.org/officeDocument/2006/relationships/hyperlink" Target="https://www.tiktok.com/@masbahrildaily" TargetMode="External"/><Relationship Id="rId1026" Type="http://schemas.openxmlformats.org/officeDocument/2006/relationships/hyperlink" Target="https://www.tiktok.com/@skinbeauty.id/video/7628611973856480533?_r=1&amp;u_code=db2el50hhee557&amp;region=&amp;mid=7625355034217793537&amp;preview_pb=0&amp;sharer_language=&amp;_d=0&amp;ec_shared_reflux_dynamic_params=%7B%22placeholder_material_id%22%3A%227628611973856480533%22%2C%22placeholder_origin_cover%22%3A%22https%253A%252F%252Fp16-common-sign.tiktokcdn.com%252Ftos-alisg-p-0037%252FoQjkOD3vQAc1O8CEpBREKvX0WQWRg9FypeBduf~tplv-tiktokx-origin.jpeg%253Fdr%253D14572%2526refresh_token%253Df9c5aa81%2526x-expires%253D1808208000%2526x-signature%253DcQIl3Z0umu1ZWhlVn2KwMqZ2HS8%25253D%2526t%253D4d5b0474%2526ps%253D13740610%2526shp%253Dd05b14bd%2526shcp%253D34ff8df6%2526idc%253Dmy3%2526s%253DTIKTOK_AFFILIATE_VIRAL_VIDEO%22%2C%22placeholder_product_id%22%3A%221729427766722726591%22%2C%22placeholder_video_id%22%3A%227628611973856480533%22%7D&amp;ec_shared_reflux_scene=shop_tab_feed&amp;share_item_id=7628611973856480533&amp;source=h5_t" TargetMode="External"/><Relationship Id="rId2357" Type="http://schemas.openxmlformats.org/officeDocument/2006/relationships/hyperlink" Target="https://www.tiktok.com/@hii_puteri/video/7623211519530044693?is_from_webapp=1&amp;sender_device=pc&amp;web_id=7611930277489657360" TargetMode="External"/><Relationship Id="rId3689" Type="http://schemas.openxmlformats.org/officeDocument/2006/relationships/hyperlink" Target="https://vt.tiktok.com/ZSxUL6qKo/" TargetMode="External"/><Relationship Id="rId1027" Type="http://schemas.openxmlformats.org/officeDocument/2006/relationships/hyperlink" Target="https://www.tiktok.com/@giuni.shop03" TargetMode="External"/><Relationship Id="rId2358" Type="http://schemas.openxmlformats.org/officeDocument/2006/relationships/hyperlink" Target="https://vt.tiktok.com/ZS9tVKLb1/" TargetMode="External"/><Relationship Id="rId3688" Type="http://schemas.openxmlformats.org/officeDocument/2006/relationships/hyperlink" Target="https://www.tiktok.com/@shinaaa0_" TargetMode="External"/><Relationship Id="rId1028" Type="http://schemas.openxmlformats.org/officeDocument/2006/relationships/hyperlink" Target="https://www.tiktok.com/@giuni.shop03/video/7614000056538008853?is_from_webapp=1&amp;sender_device=pc" TargetMode="External"/><Relationship Id="rId2359" Type="http://schemas.openxmlformats.org/officeDocument/2006/relationships/hyperlink" Target="https://www.tiktok.com/@bingbang_salonpurwakarta" TargetMode="External"/><Relationship Id="rId1029" Type="http://schemas.openxmlformats.org/officeDocument/2006/relationships/hyperlink" Target="https://www.tiktok.com/@giuni.shop03/video/7614001121580911892?is_from_webapp=1&amp;sender_device=pc" TargetMode="External"/><Relationship Id="rId3681" Type="http://schemas.openxmlformats.org/officeDocument/2006/relationships/hyperlink" Target="https://vt.tiktok.com/ZS9M7pkd1/" TargetMode="External"/><Relationship Id="rId2350" Type="http://schemas.openxmlformats.org/officeDocument/2006/relationships/hyperlink" Target="https://www.tiktok.com/@gomaworder/video/7630819485540601109?_r=1&amp;u_code=e56gjh2b5mh44b&amp;region=&amp;mid=7630819526849858305&amp;preview_pb=0&amp;sharer_language=&amp;_d=0&amp;ec_shared_reflux_dynamic_params=%7B%22placeholder_material_id%22%3A%227630819485540601109%22%2C%22placeholder_origin_cover%22%3A%22https%253A%252F%252Fp16-common-sign.tiktokcdn.com%252Ftos-alisg-p-0037%252Fo4pLMICYgpjofrnnOe5WMgDAT9rO4GfYzIIAAD~tplv-tiktokx-origin.jpeg%253Fdr%253D14572%2526refresh_token%253D0dae3dd4%2526x-expires%253D1808301600%2526x-signature%253Dz1UOFAt2KrrECbtdnE0TN%25252FAyb7M%25253D%2526t%253D4d5b0474%2526ps%253D13740610%2526shp%253Dd05b14bd%2526shcp%253D34ff8df6%2526idc%253Dmy3%2526s%253DTIKTOK_AFFILIATE_VIRAL_VIDEO%22%2C%22placeholder_product_id%22%3A%221729427766722726591%22%2C%22placeholder_video_id%22%3A%227630819485540601109%22%7D&amp;ec_shared_reflux_scene=shop_tab_feed&amp;share_item_id=7630819485540601109&amp;source=h5_t" TargetMode="External"/><Relationship Id="rId3680" Type="http://schemas.openxmlformats.org/officeDocument/2006/relationships/hyperlink" Target="https://vt.tiktok.com/ZS9kMRDg3/" TargetMode="External"/><Relationship Id="rId1020" Type="http://schemas.openxmlformats.org/officeDocument/2006/relationships/hyperlink" Target="https://www.tiktok.com/@skinbeauty.id/video/7618545388538170644?is_from_webapp=1&amp;sender_device=pc" TargetMode="External"/><Relationship Id="rId2351" Type="http://schemas.openxmlformats.org/officeDocument/2006/relationships/hyperlink" Target="https://www.tiktok.com/@gomaworder/video/7631998461528788244?_r=1&amp;u_code=e56gjh2b5mh44b&amp;region=&amp;mid=7631998489296505607&amp;preview_pb=0&amp;sharer_language=&amp;_d=0&amp;ec_shared_reflux_dynamic_params=%7B%22placeholder_material_id%22%3A%227631998461528788244%22%2C%22placeholder_origin_cover%22%3A%22https%253A%252F%252Fp16-common-sign.tiktokcdn.com%252Ftos-alisg-p-0037%252FoEEG8uREIBAfjIvqBpgge4KkcBF2YT6DkOR7P4~tplv-tiktokx-origin.jpeg%253Fdr%253D14572%2526refresh_token%253Db2ba807a%2526x-expires%253D1809507600%2526x-signature%253DmvM%25252F0602Wm8d8AAsihCxfI%25252Fgo2k%25253D%2526t%253D4d5b0474%2526ps%253D13740610%2526shp%253Dd05b14bd%2526shcp%253D34ff8df6%2526idc%253Dmy%2526s%253DTIKTOK_AFFILIATE_VIRAL_VIDEO%22%2C%22placeholder_product_id%22%3A%221729427766722726591%22%2C%22placeholder_video_id%22%3A%227631998461528788244%22%7D&amp;ec_shared_reflux_scene=shop_tab_feed&amp;share_item_id=7631998461528788244&amp;source=h5_t" TargetMode="External"/><Relationship Id="rId3683" Type="http://schemas.openxmlformats.org/officeDocument/2006/relationships/hyperlink" Target="https://www.tiktok.com/@sabamsimamoraa" TargetMode="External"/><Relationship Id="rId1021" Type="http://schemas.openxmlformats.org/officeDocument/2006/relationships/hyperlink" Target="http://skinbeauty.id" TargetMode="External"/><Relationship Id="rId2352" Type="http://schemas.openxmlformats.org/officeDocument/2006/relationships/hyperlink" Target="https://vt.tiktok.com/ZS9tVV9nT/" TargetMode="External"/><Relationship Id="rId3682" Type="http://schemas.openxmlformats.org/officeDocument/2006/relationships/hyperlink" Target="https://vt.tiktok.com/ZS9keP8Yp/" TargetMode="External"/><Relationship Id="rId1022" Type="http://schemas.openxmlformats.org/officeDocument/2006/relationships/hyperlink" Target="https://www.tiktok.com/@skinbeauty.id" TargetMode="External"/><Relationship Id="rId2353" Type="http://schemas.openxmlformats.org/officeDocument/2006/relationships/hyperlink" Target="https://vt.tiktok.com/ZS9tV3mXQ/" TargetMode="External"/><Relationship Id="rId3685" Type="http://schemas.openxmlformats.org/officeDocument/2006/relationships/hyperlink" Target="https://vt.tiktok.com/ZS9StasYV/" TargetMode="External"/><Relationship Id="rId1023" Type="http://schemas.openxmlformats.org/officeDocument/2006/relationships/hyperlink" Target="https://www.tiktok.com/@skinbeauty.id/video/7616240057661263125?is_from_webapp=1&amp;sender_device=pc" TargetMode="External"/><Relationship Id="rId2354" Type="http://schemas.openxmlformats.org/officeDocument/2006/relationships/hyperlink" Target="https://www.tiktok.com/@hii_puteri" TargetMode="External"/><Relationship Id="rId3684" Type="http://schemas.openxmlformats.org/officeDocument/2006/relationships/hyperlink" Target="https://vt.tiktok.com/ZS9kePuSr/" TargetMode="External"/><Relationship Id="rId1024" Type="http://schemas.openxmlformats.org/officeDocument/2006/relationships/hyperlink" Target="https://www.tiktok.com/@skinbeauty.id/video/7616244700411956501?is_from_webapp=1&amp;sender_device=pc" TargetMode="External"/><Relationship Id="rId2355" Type="http://schemas.openxmlformats.org/officeDocument/2006/relationships/hyperlink" Target="https://www.tiktok.com/@hii_puteri/video/7621176298873900308?is_from_webapp=1&amp;sender_device=pc&amp;web_id=7611930277489657360" TargetMode="External"/><Relationship Id="rId3687" Type="http://schemas.openxmlformats.org/officeDocument/2006/relationships/hyperlink" Target="https://vt.tiktok.com/ZSxHf3gPr/" TargetMode="External"/><Relationship Id="rId1025" Type="http://schemas.openxmlformats.org/officeDocument/2006/relationships/hyperlink" Target="https://www.tiktok.com/@skinbeauty.id/video/7630463264421350676?_r=1&amp;u_code=db2el50hhee557&amp;region=&amp;mid=7590285635702885128&amp;preview_pb=0&amp;sharer_language=&amp;_d=0&amp;ec_shared_reflux_dynamic_params=%7B%22placeholder_material_id%22%3A%227630463264421350676%22%2C%22placeholder_origin_cover%22%3A%22https%253A%252F%252Fp16-common-sign.tiktokcdn.com%252Ftos-alisg-p-0037%252FogdbTDg4OHGZACAngLfICPgLEgLZjytIebQle0~tplv-tiktokx-origin.jpeg%253Fdr%253D14572%2526refresh_token%253Dcd3c50c3%2526x-expires%253D1808208000%2526x-signature%253DEBY9CqV%25252B79R%25252BSqDATwEw4aweSbA%25253D%2526t%253D4d5b0474%2526ps%253D13740610%2526shp%253Dd05b14bd%2526shcp%253D34ff8df6%2526idc%253Dmy3%2526s%253DTIKTOK_AFFILIATE_VIRAL_VIDEO%22%2C%22placeholder_product_id%22%3A%221729427766722726591%22%2C%22placeholder_video_id%22%3A%227630463264421350676%22%7D&amp;ec_shared_reflux_scene=shop_tab_feed&amp;share_item_id=7630463264421350676&amp;source=h5_t" TargetMode="External"/><Relationship Id="rId2356" Type="http://schemas.openxmlformats.org/officeDocument/2006/relationships/hyperlink" Target="https://www.tiktok.com/@hii_puteri/video/7621538562701282580?is_from_webapp=1&amp;sender_device=pc&amp;web_id=7611930277489657360" TargetMode="External"/><Relationship Id="rId3686" Type="http://schemas.openxmlformats.org/officeDocument/2006/relationships/hyperlink" Target="https://vt.tiktok.com/ZSxHfwHGn/" TargetMode="External"/><Relationship Id="rId8529" Type="http://schemas.openxmlformats.org/officeDocument/2006/relationships/hyperlink" Target="https://vt.tiktok.com/ZSxDYQyTW/" TargetMode="External"/><Relationship Id="rId8528" Type="http://schemas.openxmlformats.org/officeDocument/2006/relationships/hyperlink" Target="https://vt.tiktok.com/ZSxDYhccb/" TargetMode="External"/><Relationship Id="rId9859" Type="http://schemas.openxmlformats.org/officeDocument/2006/relationships/hyperlink" Target="https://www.tiktok.com/@rumiku35" TargetMode="External"/><Relationship Id="rId9850" Type="http://schemas.openxmlformats.org/officeDocument/2006/relationships/hyperlink" Target="https://www.tiktok.com/@joys.co" TargetMode="External"/><Relationship Id="rId8523" Type="http://schemas.openxmlformats.org/officeDocument/2006/relationships/hyperlink" Target="https://vt.tiktok.com/ZS9fXEaYN/" TargetMode="External"/><Relationship Id="rId9855" Type="http://schemas.openxmlformats.org/officeDocument/2006/relationships/hyperlink" Target="https://www.tiktok.com/@rantiije15" TargetMode="External"/><Relationship Id="rId8522" Type="http://schemas.openxmlformats.org/officeDocument/2006/relationships/hyperlink" Target="https://vt.tiktok.com/ZS9fXPD9x/" TargetMode="External"/><Relationship Id="rId9856" Type="http://schemas.openxmlformats.org/officeDocument/2006/relationships/hyperlink" Target="https://www.tiktok.com/@kelo0o" TargetMode="External"/><Relationship Id="rId8521" Type="http://schemas.openxmlformats.org/officeDocument/2006/relationships/hyperlink" Target="https://vt.tiktok.com/ZS9fXPByN/" TargetMode="External"/><Relationship Id="rId9857" Type="http://schemas.openxmlformats.org/officeDocument/2006/relationships/hyperlink" Target="https://www.tiktok.com/@wamoy7" TargetMode="External"/><Relationship Id="rId8520" Type="http://schemas.openxmlformats.org/officeDocument/2006/relationships/hyperlink" Target="https://www.tiktok.com/@dmyntilstri6" TargetMode="External"/><Relationship Id="rId9858" Type="http://schemas.openxmlformats.org/officeDocument/2006/relationships/hyperlink" Target="https://www.tiktok.com/@ika_amanda275" TargetMode="External"/><Relationship Id="rId8527" Type="http://schemas.openxmlformats.org/officeDocument/2006/relationships/hyperlink" Target="https://vt.tiktok.com/ZSxfQGEgj/" TargetMode="External"/><Relationship Id="rId9851" Type="http://schemas.openxmlformats.org/officeDocument/2006/relationships/hyperlink" Target="https://www.tiktok.com/@hello.fira" TargetMode="External"/><Relationship Id="rId8526" Type="http://schemas.openxmlformats.org/officeDocument/2006/relationships/hyperlink" Target="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aceholder_origin_cover%22%3A%22https%253A%252F%252Fp16-common-sign.tiktokcdn.com%252Ftos-alisg-p-0037%252FocT3fUyagtsUCPXIgtfvGDAQDjLK9oeTHAQG2I~tplv-tiktokx-origin.jpeg%253Fdr%253D14572%2526refresh_token%253D13d7c298%2526x-expires%253D1808992800%2526x-signature%253Dm1yuhUo4JC1EwMfosEQhUBd56yw%25253D%2526t%253D4d5b0474%2526ps%253D13740610%2526shp%253Dd05b14bd%2526shcp%253D34ff8df6%2526idc%253Dmy2%2526s%253DTIKTOK_AFFILIATE_VIRAL_VIDEO%22%2C%22placeholder_product_id%22%3A%221729427766722726591%22%2C%22placeholder_video_id%22%3A%227633434949797858581%22%7D&amp;ec_shared_reflux_scene=shop_tab_feed&amp;share_item_id=7633434949797858581&amp;source=h5_t" TargetMode="External"/><Relationship Id="rId9852" Type="http://schemas.openxmlformats.org/officeDocument/2006/relationships/hyperlink" Target="https://www.tiktok.com/@rdyntiii" TargetMode="External"/><Relationship Id="rId8525" Type="http://schemas.openxmlformats.org/officeDocument/2006/relationships/hyperlink" Target="https://www.tiktok.com/@rra_xyzz" TargetMode="External"/><Relationship Id="rId9853" Type="http://schemas.openxmlformats.org/officeDocument/2006/relationships/hyperlink" Target="https://www.tiktok.com/@dewikuuu__" TargetMode="External"/><Relationship Id="rId8524" Type="http://schemas.openxmlformats.org/officeDocument/2006/relationships/hyperlink" Target="https://vt.tiktok.com/ZS9fXvH5a/" TargetMode="External"/><Relationship Id="rId9854" Type="http://schemas.openxmlformats.org/officeDocument/2006/relationships/hyperlink" Target="https://www.tiktok.com/@ndian67" TargetMode="External"/><Relationship Id="rId8519" Type="http://schemas.openxmlformats.org/officeDocument/2006/relationships/hyperlink" Target="https://vt.tiktok.com/ZS9fXvH5a/" TargetMode="External"/><Relationship Id="rId8518" Type="http://schemas.openxmlformats.org/officeDocument/2006/relationships/hyperlink" Target="https://vt.tiktok.com/ZS9fXEaYN/" TargetMode="External"/><Relationship Id="rId8517" Type="http://schemas.openxmlformats.org/officeDocument/2006/relationships/hyperlink" Target="https://vt.tiktok.com/ZS9fXPD9x/" TargetMode="External"/><Relationship Id="rId9848" Type="http://schemas.openxmlformats.org/officeDocument/2006/relationships/hyperlink" Target="https://www.tiktok.com/@by.skinn" TargetMode="External"/><Relationship Id="rId9849" Type="http://schemas.openxmlformats.org/officeDocument/2006/relationships/hyperlink" Target="http://joys.co" TargetMode="External"/><Relationship Id="rId8512" Type="http://schemas.openxmlformats.org/officeDocument/2006/relationships/hyperlink" Target="https://vt.tiktok.com/ZS9fXPD9x/" TargetMode="External"/><Relationship Id="rId9844" Type="http://schemas.openxmlformats.org/officeDocument/2006/relationships/hyperlink" Target="https://www.tiktok.com/@puspitajasmine26" TargetMode="External"/><Relationship Id="rId8511" Type="http://schemas.openxmlformats.org/officeDocument/2006/relationships/hyperlink" Target="https://vt.tiktok.com/ZS9fXPByN/" TargetMode="External"/><Relationship Id="rId9845" Type="http://schemas.openxmlformats.org/officeDocument/2006/relationships/hyperlink" Target="https://www.tiktok.com/@ctnamiraa" TargetMode="External"/><Relationship Id="rId8510" Type="http://schemas.openxmlformats.org/officeDocument/2006/relationships/hyperlink" Target="https://www.tiktok.com/@skincaredaily96" TargetMode="External"/><Relationship Id="rId9846" Type="http://schemas.openxmlformats.org/officeDocument/2006/relationships/hyperlink" Target="https://www.tiktok.com/@panggilajadekcut" TargetMode="External"/><Relationship Id="rId9847" Type="http://schemas.openxmlformats.org/officeDocument/2006/relationships/hyperlink" Target="https://www.tiktok.com/@nurull.nuy" TargetMode="External"/><Relationship Id="rId8516" Type="http://schemas.openxmlformats.org/officeDocument/2006/relationships/hyperlink" Target="https://vt.tiktok.com/ZS9fXPByN/" TargetMode="External"/><Relationship Id="rId9840" Type="http://schemas.openxmlformats.org/officeDocument/2006/relationships/hyperlink" Target="https://www.tiktok.com/@viavia____" TargetMode="External"/><Relationship Id="rId8515" Type="http://schemas.openxmlformats.org/officeDocument/2006/relationships/hyperlink" Target="https://www.tiktok.com/@hanyabadutmmu" TargetMode="External"/><Relationship Id="rId9841" Type="http://schemas.openxmlformats.org/officeDocument/2006/relationships/hyperlink" Target="https://www.tiktok.com/@adeewira92" TargetMode="External"/><Relationship Id="rId8514" Type="http://schemas.openxmlformats.org/officeDocument/2006/relationships/hyperlink" Target="https://vt.tiktok.com/ZS9fXvH5a/" TargetMode="External"/><Relationship Id="rId9842" Type="http://schemas.openxmlformats.org/officeDocument/2006/relationships/hyperlink" Target="https://www.tiktok.com/@windanovitasariwi" TargetMode="External"/><Relationship Id="rId8513" Type="http://schemas.openxmlformats.org/officeDocument/2006/relationships/hyperlink" Target="https://vt.tiktok.com/ZS9fXEaYN/" TargetMode="External"/><Relationship Id="rId9843" Type="http://schemas.openxmlformats.org/officeDocument/2006/relationships/hyperlink" Target="https://www.tiktok.com/@adeliapnh" TargetMode="External"/><Relationship Id="rId7219" Type="http://schemas.openxmlformats.org/officeDocument/2006/relationships/hyperlink" Target="https://vt.tiktok.com/ZS9eqh363/" TargetMode="External"/><Relationship Id="rId9870" Type="http://schemas.openxmlformats.org/officeDocument/2006/relationships/hyperlink" Target="https://www.tiktok.com/@amira.ismail10" TargetMode="External"/><Relationship Id="rId9871" Type="http://schemas.openxmlformats.org/officeDocument/2006/relationships/hyperlink" Target="https://www.tiktok.com/@jesikafj" TargetMode="External"/><Relationship Id="rId9872" Type="http://schemas.openxmlformats.org/officeDocument/2006/relationships/hyperlink" Target="https://www.tiktok.com/@nivia_nurvitasari" TargetMode="External"/><Relationship Id="rId7210" Type="http://schemas.openxmlformats.org/officeDocument/2006/relationships/hyperlink" Target="https://www.tiktok.com/@skittles0_05" TargetMode="External"/><Relationship Id="rId8541" Type="http://schemas.openxmlformats.org/officeDocument/2006/relationships/hyperlink" Target="https://www.tiktok.com/@belanja_hemat.shop/video/7629926744312548615?_r=1&amp;u_code=ek6h2252jijmih&amp;region=&amp;mid=7395415388382824464&amp;preview_pb=0&amp;sharer_language=&amp;_d=0&amp;ec_shared_reflux_dynamic_params=%7B%22placeholder_material_id%22%3A%227629926744312548615%22%2C%22placeholder_origin_cover%22%3A%22https%253A%252F%252Fp16-sign-sg.tiktokcdn.com%252Ftos-alisg-p-0037%252FogARLXupOi5fMxsvG8GFedRoAQQmGeGAPnfVBh~tplv-tiktokx-origin.jpeg%253Fdr%253D14572%2526refresh_token%253D0bc3ef94%2526x-expires%253D1808992800%2526x-signature%253DCbDvTxf0YgqWOaOAOjYGyzVeMR4%25253D%2526t%253D4d5b0474%2526ps%253D13740610%2526shp%253Dd05b14bd%2526shcp%253D34ff8df6%2526idc%253Dmy2%2526s%253DTIKTOK_AFFILIATE_VIRAL_VIDEO%22%2C%22placeholder_product_id%22%3A%221729427766722726591%22%2C%22placeholder_video_id%22%3A%227629926744312548615%22%7D&amp;ec_shared_reflux_scene=shop_tab_feed&amp;share_item_id=7629926744312548615&amp;source=h5_t" TargetMode="External"/><Relationship Id="rId8540" Type="http://schemas.openxmlformats.org/officeDocument/2006/relationships/hyperlink" Target="https://www.tiktok.com/@nyakriana" TargetMode="External"/><Relationship Id="rId7214" Type="http://schemas.openxmlformats.org/officeDocument/2006/relationships/hyperlink" Target="https://vt.tiktok.com/ZS9eV59WU/" TargetMode="External"/><Relationship Id="rId8545" Type="http://schemas.openxmlformats.org/officeDocument/2006/relationships/hyperlink" Target="https://www.tiktok.com/@fashionkuuuu_" TargetMode="External"/><Relationship Id="rId9877" Type="http://schemas.openxmlformats.org/officeDocument/2006/relationships/hyperlink" Target="https://www.tiktok.com/@nabilarizky530" TargetMode="External"/><Relationship Id="rId7213" Type="http://schemas.openxmlformats.org/officeDocument/2006/relationships/hyperlink" Target="https://www.tiktok.com/@bundadarikiky" TargetMode="External"/><Relationship Id="rId8544" Type="http://schemas.openxmlformats.org/officeDocument/2006/relationships/hyperlink" Target="https://www.tiktok.com/@belanja_hemat.shop/video/7630283480441621767?_r=1&amp;u_code=ek6h2252jijmih&amp;region=&amp;mid=7615963521880558357&amp;preview_pb=0&amp;sharer_language=&amp;_d=0&amp;ec_shared_reflux_dynamic_params=%7B%22placeholder_material_id%22%3A%227630283480441621767%22%2C%22placeholder_origin_cover%22%3A%22https%253A%252F%252Fp16-sign-sg.tiktokcdn.com%252Ftos-alisg-p-0037%252FowLgThbTAvZEDmUpRgqBBrYOOEQeQEFIpPa5fD~tplv-tiktokx-origin.jpeg%253Fdr%253D14572%2526refresh_token%253D7028f3e9%2526x-expires%253D1808992800%2526x-signature%253Dm8NIDbYtD8vdd9sCzAcHHhWysZQ%25253D%2526t%253D4d5b0474%2526ps%253D13740610%2526shp%253Dd05b14bd%2526shcp%253D34ff8df6%2526idc%253Dmy2%2526s%253DTIKTOK_AFFILIATE_VIRAL_VIDEO%22%2C%22placeholder_product_id%22%3A%221729427766722726591%22%2C%22placeholder_video_id%22%3A%227630283480441621767%22%7D&amp;ec_shared_reflux_scene=shop_tab_feed&amp;share_item_id=7630283480441621767&amp;source=h5_t" TargetMode="External"/><Relationship Id="rId9878" Type="http://schemas.openxmlformats.org/officeDocument/2006/relationships/hyperlink" Target="https://www.tiktok.com/@kakdeesiregar" TargetMode="External"/><Relationship Id="rId7212" Type="http://schemas.openxmlformats.org/officeDocument/2006/relationships/hyperlink" Target="https://www.tiktok.com/@auliarhmaadnii" TargetMode="External"/><Relationship Id="rId8543" Type="http://schemas.openxmlformats.org/officeDocument/2006/relationships/hyperlink" Target="https://www.tiktok.com/@belanja_hemat.shop/video/7630083439080852744?_r=1&amp;u_code=ek6h2252jijmih&amp;region=&amp;mid=7502446149192567607&amp;preview_pb=0&amp;sharer_language=&amp;_d=0&amp;ec_shared_reflux_dynamic_params=%7B%22placeholder_material_id%22%3A%227630083439080852744%22%2C%22placeholder_origin_cover%22%3A%22https%253A%252F%252Fp16-common-sign.tiktokcdn.com%252Ftos-alisg-p-0037%252FoEONqiBlICA7hICZgjiI3AAAgBswH8WOe0PpIT~tplv-tiktokx-origin.jpeg%253Fdr%253D14572%2526refresh_token%253Dc5a3bd01%2526x-expires%253D1808992800%2526x-signature%253DmHrmToRfBoDI76E5SnS33jucUxo%25253D%2526t%253D4d5b0474%2526ps%253D13740610%2526shp%253Dd05b14bd%2526shcp%253D34ff8df6%2526idc%253Dmy2%2526s%253DTIKTOK_AFFILIATE_VIRAL_VIDEO%22%2C%22placeholder_product_id%22%3A%221729427766722726591%22%2C%22placeholder_video_id%22%3A%227630083439080852744%22%7D&amp;ec_shared_reflux_scene=shop_tab_feed&amp;share_item_id=7630083439080852744&amp;source=h5_t" TargetMode="External"/><Relationship Id="rId9879" Type="http://schemas.openxmlformats.org/officeDocument/2006/relationships/hyperlink" Target="https://www.tiktok.com/@ibenkcz" TargetMode="External"/><Relationship Id="rId7211" Type="http://schemas.openxmlformats.org/officeDocument/2006/relationships/hyperlink" Target="https://www.tiktok.com/@ciproet92" TargetMode="External"/><Relationship Id="rId8542" Type="http://schemas.openxmlformats.org/officeDocument/2006/relationships/hyperlink" Target="https://www.tiktok.com/@belanja_hemat.shop/video/7630068304346074375?_r=1&amp;u_code=ek6h2252jijmih&amp;region=&amp;mid=7502446149192567607&amp;preview_pb=0&amp;sharer_language=&amp;_d=0&amp;ec_shared_reflux_dynamic_params=%7B%22placeholder_material_id%22%3A%227630068304346074375%22%2C%22placeholder_origin_cover%22%3A%22https%253A%252F%252Fp16-common-sign.tiktokcdn.com%252Ftos-alisg-p-0037%252FoY0jIj6CABiiHw6UKcYAvir4yAqkkIDPINeK4B~tplv-tiktokx-origin.jpeg%253Fdr%253D14572%2526refresh_token%253Dc394bf07%2526x-expires%253D1808992800%2526x-signature%253D%25252FXFHLg710N9EHbaT4qukgslNM%25252F0%25253D%2526t%253D4d5b0474%2526ps%253D13740610%2526shp%253Dd05b14bd%2526shcp%253D34ff8df6%2526idc%253Dmy2%2526s%253DTIKTOK_AFFILIATE_VIRAL_VIDEO%22%2C%22placeholder_product_id%22%3A%221729427766722726591%22%2C%22placeholder_video_id%22%3A%227630068304346074375%22%7D&amp;ec_shared_reflux_scene=shop_tab_feed&amp;share_item_id=7630068304346074375&amp;source=h5_t" TargetMode="External"/><Relationship Id="rId7218" Type="http://schemas.openxmlformats.org/officeDocument/2006/relationships/hyperlink" Target="https://www.tiktok.com/@azniirubyzhafira" TargetMode="External"/><Relationship Id="rId8549" Type="http://schemas.openxmlformats.org/officeDocument/2006/relationships/hyperlink" Target="https://vt.tiktok.com/ZSxDYQyTW/" TargetMode="External"/><Relationship Id="rId9873" Type="http://schemas.openxmlformats.org/officeDocument/2006/relationships/hyperlink" Target="https://www.tiktok.com/@_noviaprilia30" TargetMode="External"/><Relationship Id="rId7217" Type="http://schemas.openxmlformats.org/officeDocument/2006/relationships/hyperlink" Target="https://vt.tiktok.com/ZS9eVfgqV/" TargetMode="External"/><Relationship Id="rId8548" Type="http://schemas.openxmlformats.org/officeDocument/2006/relationships/hyperlink" Target="https://vt.tiktok.com/ZSxDYhccb/" TargetMode="External"/><Relationship Id="rId9874" Type="http://schemas.openxmlformats.org/officeDocument/2006/relationships/hyperlink" Target="https://www.tiktok.com/@aidinftr" TargetMode="External"/><Relationship Id="rId7216" Type="http://schemas.openxmlformats.org/officeDocument/2006/relationships/hyperlink" Target="https://vt.tiktok.com/ZS9eVYnh4/" TargetMode="External"/><Relationship Id="rId8547" Type="http://schemas.openxmlformats.org/officeDocument/2006/relationships/hyperlink" Target="https://vt.tiktok.com/ZSxfQGEgj/" TargetMode="External"/><Relationship Id="rId9875" Type="http://schemas.openxmlformats.org/officeDocument/2006/relationships/hyperlink" Target="https://www.tiktok.com/@fifi_agnes123" TargetMode="External"/><Relationship Id="rId7215" Type="http://schemas.openxmlformats.org/officeDocument/2006/relationships/hyperlink" Target="https://vt.tiktok.com/ZS9eVPFWc/" TargetMode="External"/><Relationship Id="rId8546" Type="http://schemas.openxmlformats.org/officeDocument/2006/relationships/hyperlink" Target="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aceholder_origin_cover%22%3A%22https%253A%252F%252Fp16-common-sign.tiktokcdn.com%252Ftos-alisg-p-0037%252FocT3fUyagtsUCPXIgtfvGDAQDjLK9oeTHAQG2I~tplv-tiktokx-origin.jpeg%253Fdr%253D14572%2526refresh_token%253D13d7c298%2526x-expires%253D1808992800%2526x-signature%253Dm1yuhUo4JC1EwMfosEQhUBd56yw%25253D%2526t%253D4d5b0474%2526ps%253D13740610%2526shp%253Dd05b14bd%2526shcp%253D34ff8df6%2526idc%253Dmy2%2526s%253DTIKTOK_AFFILIATE_VIRAL_VIDEO%22%2C%22placeholder_product_id%22%3A%221729427766722726591%22%2C%22placeholder_video_id%22%3A%227633434949797858581%22%7D&amp;ec_shared_reflux_scene=shop_tab_feed&amp;share_item_id=7633434949797858581&amp;source=h5_t" TargetMode="External"/><Relationship Id="rId9876" Type="http://schemas.openxmlformats.org/officeDocument/2006/relationships/hyperlink" Target="https://www.tiktok.com/@yuli_uslina" TargetMode="External"/><Relationship Id="rId7209" Type="http://schemas.openxmlformats.org/officeDocument/2006/relationships/hyperlink" Target="https://www.tiktok.com/@nurulhsn.fs" TargetMode="External"/><Relationship Id="rId7208" Type="http://schemas.openxmlformats.org/officeDocument/2006/relationships/hyperlink" Target="https://www.tiktok.com/@kisnalogy" TargetMode="External"/><Relationship Id="rId8539" Type="http://schemas.openxmlformats.org/officeDocument/2006/relationships/hyperlink" Target="https://vt.tiktok.com/ZSxfCLAv5/" TargetMode="External"/><Relationship Id="rId9860" Type="http://schemas.openxmlformats.org/officeDocument/2006/relationships/hyperlink" Target="https://www.tiktok.com/@erka.0203" TargetMode="External"/><Relationship Id="rId9861" Type="http://schemas.openxmlformats.org/officeDocument/2006/relationships/hyperlink" Target="https://www.tiktok.com/@ellyannasalon" TargetMode="External"/><Relationship Id="rId8530" Type="http://schemas.openxmlformats.org/officeDocument/2006/relationships/hyperlink" Target="https://www.tiktok.com/@fashion_outfit2" TargetMode="External"/><Relationship Id="rId7203" Type="http://schemas.openxmlformats.org/officeDocument/2006/relationships/hyperlink" Target="https://www.tiktok.com/@fierda.amelia" TargetMode="External"/><Relationship Id="rId8534" Type="http://schemas.openxmlformats.org/officeDocument/2006/relationships/hyperlink" Target="https://www.tiktok.com/@rositaramdani7/video/7632840621039914248?_d=0&amp;_r=1&amp;ec_shared_reflux_dynamic_params=%7B%22placeholder_material_id%22%3A%227632840621039914248%22%2C%22placeholder_origin_cover%22%3A%22https%253A%252F%252Fp16-common-sign.tiktokcdn.com%252Ftos-alisg-p-0037%252Fo4Tq0AI4XCBVwjAWIYrCAIztJuiCI9hiVLCQfh~tplv-tiktokx-origin.jpeg%253Fdr%253D14572%2526refresh_token%253D142f2fad%2526x-expires%253D1808992800%2526x-signature%253DHpeIR5KLtc6wc1RTiJXRcQO8fOs%25253D%2526t%253D4d5b0474%2526ps%253D13740610%2526shp%253Dd05b14bd%2526shcp%253D34ff8df6%2526idc%253Dmy2%2526s%253DTIKTOK_AFFILIATE_VIRAL_VIDEO%22%2C%22placeholder_product_id%22%3A%221729427766722726591%22%2C%22placeholder_video_id%22%3A%227632840621039914248%22%7D&amp;ec_shared_reflux_scene=shop_tab_feed&amp;mid=7591377536513985281&amp;preview_pb=0&amp;region=&amp;share_item_id=7632840621039914248&amp;sharer_language=&amp;source=h5_t&amp;u_code=f1489jb4bi84e9" TargetMode="External"/><Relationship Id="rId9866" Type="http://schemas.openxmlformats.org/officeDocument/2006/relationships/hyperlink" Target="https://www.tiktok.com/@racunn.amell" TargetMode="External"/><Relationship Id="rId7202" Type="http://schemas.openxmlformats.org/officeDocument/2006/relationships/hyperlink" Target="https://www.tiktok.com/@dheadhelfira_" TargetMode="External"/><Relationship Id="rId8533" Type="http://schemas.openxmlformats.org/officeDocument/2006/relationships/hyperlink" Target="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22placeholder_origin_cover%22%3A%22https%253A%252F%252Fp16-common-sign.tiktokcdn.com%252Ftos-alisg-p-0037%252Fow724I9IGp8GJCSiAIeZAtCBfL0WETDI55ejBs~tplv-tiktokx-origin.jpeg%253Fdr%253D14572%2526refresh_token%253D974a53c8%2526x-expires%253D1808992800%2526x-signature%253DbBhbMoNFUGaDXGV%25252F1hVcSOsTVPM%25253D%2526t%253D4d5b0474%2526ps%253D13740610%2526shp%253Dd05b14bd%2526shcp%253D34ff8df6%2526idc%253Dmy2%2526s%253DTIKTOK_AFFILIATE_VIRAL_VIDEO%22%2C%22placeholder_product_id%22%3A%221729427766722726591%22%2C%22placeholder_video_id%22%3A%227632556344465231122%22%7D&amp;ec_shared_reflux_scene=shop_tab_feed&amp;share_item_id=7632556344465231122&amp;source=h5_t" TargetMode="External"/><Relationship Id="rId9867" Type="http://schemas.openxmlformats.org/officeDocument/2006/relationships/hyperlink" Target="https://www.tiktok.com/@anggelpradita" TargetMode="External"/><Relationship Id="rId7201" Type="http://schemas.openxmlformats.org/officeDocument/2006/relationships/hyperlink" Target="https://www.tiktok.com/@dewiisapitrii_/video/7626215161455594760?_r=1&amp;u_code=dg6305dj44k6hd&amp;region=&amp;mid=7533505717987805200&amp;preview_pb=0&amp;sharer_language=&amp;_d=0&amp;ec_shared_reflux_dynamic_params=%7B%22placeholder_material_id%22%3A%227626215161455594760%22%2C%22placeholder_origin_cover%22%3A%22https%253A%252F%252Fp16-common-sign.tiktokcdn.com%252Ftos-alisg-p-0037%252Fog1DONTeChj7IRHIL4AuXQQGrA14qZsCgleeKF~tplv-tiktokx-origin.jpeg%253Fdr%253D14572%2526refresh_token%253D6ce1537f%2526x-expires%253D1808204400%2526x-signature%253DrYxJ5BNvhhTtOrqF3GgJV%25252FjlW6I%25253D%2526t%253D4d5b0474%2526ps%253D13740610%2526shp%253Dd05b14bd%2526shcp%253D34ff8df6%2526idc%253Dmy3%2526s%253DTIKTOK_AFFILIATE_VIRAL_VIDEO%22%2C%22placeholder_product_id%22%3A%221729427766722726591%22%2C%22placeholder_video_id%22%3A%227626215161455594760%22%7D&amp;ec_shared_reflux_scene=shop_tab_feed&amp;share_item_id=7626215161455594760&amp;source=h5_t" TargetMode="External"/><Relationship Id="rId8532" Type="http://schemas.openxmlformats.org/officeDocument/2006/relationships/hyperlink" Target="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22placeholder_origin_cover%22%3A%22https%253A%252F%252Fp16-common-sign.tiktokcdn.com%252Ftos-alisg-p-0037%252FogtrPig6fAI1VtrDCBRpT4Bw9iBciEOXRfDIQy~tplv-tiktokx-origin.jpeg%253Fdr%253D14572%2526refresh_token%253Da7dfb7b6%2526x-expires%253D1808992800%2526x-signature%253DBLfnFU%25252FucpfNa%25252FqJkuXBbFXM3IE%25253D%2526t%253D4d5b0474%2526ps%253D13740610%2526shp%253Dd05b14bd%2526shcp%253D34ff8df6%2526idc%253Dmy2%2526s%253DTIKTOK_AFFILIATE_VIRAL_VIDEO%22%2C%22placeholder_product_id%22%3A%221729427766722726591%22%2C%22placeholder_video_id%22%3A%227632466134771453202%22%7D&amp;ec_shared_reflux_scene=shop_tab_feed&amp;share_item_id=7632466134771453202&amp;source=h5_t" TargetMode="External"/><Relationship Id="rId9868" Type="http://schemas.openxmlformats.org/officeDocument/2006/relationships/hyperlink" Target="https://www.tiktok.com/@adeskelvin_" TargetMode="External"/><Relationship Id="rId7200" Type="http://schemas.openxmlformats.org/officeDocument/2006/relationships/hyperlink" Target="https://www.tiktok.com/@sugirafasa" TargetMode="External"/><Relationship Id="rId8531" Type="http://schemas.openxmlformats.org/officeDocument/2006/relationships/hyperlink" Target="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22placeholder_origin_cover%22%3A%22https%253A%252F%252Fp16-common-sign.tiktokcdn.com%252Ftos-alisg-p-0037%252Fo8fO8AM1hZeDgXj1TZgNKQoIABetCT1Aj7WrQE~tplv-tiktokx-origin.jpeg%253Fdr%253D14572%2526refresh_token%253Db34d4f83%2526x-expires%253D1808992800%2526x-signature%253D5d%25252BwOsNi1vQGg3hT4qvK4L51k%25252FQ%25253D%2526t%253D4d5b0474%2526ps%253D13740610%2526shp%253Dd05b14bd%2526shcp%253D34ff8df6%2526idc%253Dmy2%2526s%253DTIKTOK_AFFILIATE_VIRAL_VIDEO%22%2C%22placeholder_product_id%22%3A%221729427766722726591%22%2C%22placeholder_video_id%22%3A%227632292373736803591%22%7D&amp;ec_shared_reflux_scene=shop_tab_feed&amp;share_item_id=7632292373736803591&amp;source=h5_t" TargetMode="External"/><Relationship Id="rId9869" Type="http://schemas.openxmlformats.org/officeDocument/2006/relationships/hyperlink" Target="https://www.tiktok.com/@ria_kosmetik91" TargetMode="External"/><Relationship Id="rId7207" Type="http://schemas.openxmlformats.org/officeDocument/2006/relationships/hyperlink" Target="https://www.tiktok.com/@haibrobrobro" TargetMode="External"/><Relationship Id="rId8538" Type="http://schemas.openxmlformats.org/officeDocument/2006/relationships/hyperlink" Target="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eholder_origin_cover%22%3A%22https%253A%252F%252Fp16-sign-sg.tiktokcdn.com%252Ftos-alisg-p-0037%252Fo03hfABezYXBDiRNp9OP7BUEgIxxBiEINkwKiH~tplv-tiktokx-origin.jpeg%253Fdr%253D14572%2526refresh_token%253D2b3edbd9%2526x-expires%253D1808992800%2526x-signature%253DuF7qjx32DHmqMM4GzKo0wROx5Eg%25253D%2526t%253D4d5b0474%2526ps%253D13740610%2526shp%253Dd05b14bd%2526shcp%253D34ff8df6%2526idc%253Dmy2%2526s%253DTIKTOK_AFFILIATE_VIRAL_VIDEO%22%2C%22placeholder_product_id%22%3A%221729427766722726591%22%2C%22placeholder_video_id%22%3A%227633988561930423560%22%7D&amp;ec_shared_reflux_scene=shop_tab_feed&amp;share_item_id=7633988561930423560&amp;source=h5_t" TargetMode="External"/><Relationship Id="rId9862" Type="http://schemas.openxmlformats.org/officeDocument/2006/relationships/hyperlink" Target="https://www.tiktok.com/@ryaanti_" TargetMode="External"/><Relationship Id="rId7206" Type="http://schemas.openxmlformats.org/officeDocument/2006/relationships/hyperlink" Target="https://www.tiktok.com/@ruthtarigann01" TargetMode="External"/><Relationship Id="rId8537" Type="http://schemas.openxmlformats.org/officeDocument/2006/relationships/hyperlink" Target="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eholder_origin_cover%22%3A%22https%253A%252F%252Fp16-common-sign.tiktokcdn.com%252Ftos-alisg-p-0037%252FoEvtB2BmQIJJbKvDCITIgGKC4QfW4c8eAAeLPj~tplv-tiktokx-origin.jpeg%253Fdr%253D14572%2526refresh_token%253D14b8e5a1%2526x-expires%253D1808992800%2526x-signature%253DsBKNRZM9NlGgABGP%25252Bi5CuTVSWFg%25253D%2526t%253D4d5b0474%2526ps%253D13740610%2526shp%253Dd05b14bd%2526shcp%253D34ff8df6%2526idc%253Dmy2%2526s%253DTIKTOK_AFFILIATE_VIRAL_VIDEO%22%2C%22placeholder_product_id%22%3A%221729427766722726591%22%2C%22placeholder_video_id%22%3A%227633619284236799240%22%7D&amp;ec_shared_reflux_scene=shop_tab_feed&amp;share_item_id=7633619284236799240&amp;source=h5_t" TargetMode="External"/><Relationship Id="rId9863" Type="http://schemas.openxmlformats.org/officeDocument/2006/relationships/hyperlink" Target="https://www.tiktok.com/@fiidaisy" TargetMode="External"/><Relationship Id="rId7205" Type="http://schemas.openxmlformats.org/officeDocument/2006/relationships/hyperlink" Target="https://www.tiktok.com/@emirhabibi89" TargetMode="External"/><Relationship Id="rId8536" Type="http://schemas.openxmlformats.org/officeDocument/2006/relationships/hyperlink" Target="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eholder_origin_cover%22%3A%22https%253A%252F%252Fp16-common-sign.tiktokcdn.com%252Ftos-alisg-p-0037%252Fokej83InNuARId4oIVGPkcAQGeAeLDBS0CHTZQ~tplv-tiktokx-origin.jpeg%253Fdr%253D14572%2526refresh_token%253D3b7eb85d%2526x-expires%253D1808992800%2526x-signature%253DzhyQY%25252Bd9E%25252FZMgX7MRj4vEnlPr%25252BI%25253D%2526t%253D4d5b0474%2526ps%253D13740610%2526shp%253Dd05b14bd%2526shcp%253D34ff8df6%2526idc%253Dmy2%2526s%253DTIKTOK_AFFILIATE_VIRAL_VIDEO%22%2C%22placeholder_product_id%22%3A%221729427766722726591%22%2C%22placeholder_video_id%22%3A%227633259666696391954%22%7D&amp;ec_shared_reflux_scene=shop_tab_feed&amp;share_item_id=7633259666696391954&amp;source=h5_t" TargetMode="External"/><Relationship Id="rId9864" Type="http://schemas.openxmlformats.org/officeDocument/2006/relationships/hyperlink" Target="https://www.tiktok.com/@nurul_mahkotadental" TargetMode="External"/><Relationship Id="rId7204" Type="http://schemas.openxmlformats.org/officeDocument/2006/relationships/hyperlink" Target="https://www.tiktok.com/@ujanghusen" TargetMode="External"/><Relationship Id="rId8535" Type="http://schemas.openxmlformats.org/officeDocument/2006/relationships/hyperlink" Target="https://www.tiktok.com/@putrifatihahrizqi28" TargetMode="External"/><Relationship Id="rId9865" Type="http://schemas.openxmlformats.org/officeDocument/2006/relationships/hyperlink" Target="https://www.tiktok.com/@sckrhyu" TargetMode="External"/><Relationship Id="rId9819" Type="http://schemas.openxmlformats.org/officeDocument/2006/relationships/hyperlink" Target="https://www.tiktok.com/@harumrice/video/7619310503105416468?_r=1&amp;_t=ZS-969xoIa07zV" TargetMode="External"/><Relationship Id="rId9815" Type="http://schemas.openxmlformats.org/officeDocument/2006/relationships/hyperlink" Target="https://www.tiktok.com/@harumrice/video/7615128453184081173?_r=1&amp;_t=ZS-969xoIa07zV" TargetMode="External"/><Relationship Id="rId9816" Type="http://schemas.openxmlformats.org/officeDocument/2006/relationships/hyperlink" Target="https://www.tiktok.com/@harumrice/video/7615008778697723157?_r=1&amp;_t=ZS-969xoIa07zV" TargetMode="External"/><Relationship Id="rId9817" Type="http://schemas.openxmlformats.org/officeDocument/2006/relationships/hyperlink" Target="https://www.tiktok.com/@harumrice/video/7614652016677211412?_r=1&amp;_t=ZS-969xoIa07zV" TargetMode="External"/><Relationship Id="rId9818" Type="http://schemas.openxmlformats.org/officeDocument/2006/relationships/hyperlink" Target="https://www.tiktok.com/@_kesayangankamu" TargetMode="External"/><Relationship Id="rId1090" Type="http://schemas.openxmlformats.org/officeDocument/2006/relationships/hyperlink" Target="https://www.tiktok.com/@lilis_sfr/video/7628824651287760148" TargetMode="External"/><Relationship Id="rId1091" Type="http://schemas.openxmlformats.org/officeDocument/2006/relationships/hyperlink" Target="https://vt.tiktok.com/ZS9qr5rA6/" TargetMode="External"/><Relationship Id="rId1092" Type="http://schemas.openxmlformats.org/officeDocument/2006/relationships/hyperlink" Target="https://www.tiktok.com/@isha_safitry" TargetMode="External"/><Relationship Id="rId1093" Type="http://schemas.openxmlformats.org/officeDocument/2006/relationships/hyperlink" Target="https://www.tiktok.com/@ikkenovi18/video/7606175527128567058?is_from_webapp=1&amp;sender_device=pc" TargetMode="External"/><Relationship Id="rId1094" Type="http://schemas.openxmlformats.org/officeDocument/2006/relationships/hyperlink" Target="https://www.tiktok.com/@ikkenovi18/video/7606267908636937480?is_from_webapp=1&amp;sender_device=pc" TargetMode="External"/><Relationship Id="rId1095" Type="http://schemas.openxmlformats.org/officeDocument/2006/relationships/hyperlink" Target="https://www.tiktok.com/@ikkenovi18/video/7608032759923166482?is_from_webapp=1&amp;sender_device=pc" TargetMode="External"/><Relationship Id="rId9811" Type="http://schemas.openxmlformats.org/officeDocument/2006/relationships/hyperlink" Target="https://www.tiktok.com/@harumrice/video/7615008778697723157?_r=1&amp;_t=ZS-969xoIa07zV" TargetMode="External"/><Relationship Id="rId1096" Type="http://schemas.openxmlformats.org/officeDocument/2006/relationships/hyperlink" Target="https://www.tiktok.com/@ikkenovi18/video/7610993190442650888?is_from_webapp=1&amp;sender_device=pc" TargetMode="External"/><Relationship Id="rId9812" Type="http://schemas.openxmlformats.org/officeDocument/2006/relationships/hyperlink" Target="https://www.tiktok.com/@harumrice/video/7614652016677211412?_r=1&amp;_t=ZS-969xoIa07zV" TargetMode="External"/><Relationship Id="rId1097" Type="http://schemas.openxmlformats.org/officeDocument/2006/relationships/hyperlink" Target="https://www.tiktok.com/@its_me.fitrii05" TargetMode="External"/><Relationship Id="rId9813" Type="http://schemas.openxmlformats.org/officeDocument/2006/relationships/hyperlink" Target="https://www.tiktok.com/@rinisusanti_123" TargetMode="External"/><Relationship Id="rId1098" Type="http://schemas.openxmlformats.org/officeDocument/2006/relationships/hyperlink" Target="https://www.tiktok.com/@its_me.fitrii05/video/7613303226305088775?is_from_webapp=1&amp;sender_device=pc" TargetMode="External"/><Relationship Id="rId9814" Type="http://schemas.openxmlformats.org/officeDocument/2006/relationships/hyperlink" Target="https://www.tiktok.com/@harumrice/video/7619310503105416468?_r=1&amp;_t=ZS-969xoIa07zV" TargetMode="External"/><Relationship Id="rId1099" Type="http://schemas.openxmlformats.org/officeDocument/2006/relationships/hyperlink" Target="https://www.tiktok.com/@sinabilla/video/7623355695982759175?is_from_webapp=1&amp;sender_device=pc" TargetMode="External"/><Relationship Id="rId9810" Type="http://schemas.openxmlformats.org/officeDocument/2006/relationships/hyperlink" Target="https://www.tiktok.com/@harumrice/video/7615128453184081173?_r=1&amp;_t=ZS-969xoIa07zV" TargetMode="External"/><Relationship Id="rId9808" Type="http://schemas.openxmlformats.org/officeDocument/2006/relationships/hyperlink" Target="https://www.tiktok.com/@antiaraqueen_" TargetMode="External"/><Relationship Id="rId9809" Type="http://schemas.openxmlformats.org/officeDocument/2006/relationships/hyperlink" Target="https://www.tiktok.com/@harumrice/video/7619310503105416468?_r=1&amp;_t=ZS-969xoIa07zV" TargetMode="External"/><Relationship Id="rId9804" Type="http://schemas.openxmlformats.org/officeDocument/2006/relationships/hyperlink" Target="https://www.tiktok.com/@harumrice/video/7619310503105416468?_r=1&amp;_t=ZS-969xoIa07zV" TargetMode="External"/><Relationship Id="rId9805" Type="http://schemas.openxmlformats.org/officeDocument/2006/relationships/hyperlink" Target="https://www.tiktok.com/@harumrice/video/7615128453184081173?_r=1&amp;_t=ZS-969xoIa07zV" TargetMode="External"/><Relationship Id="rId9806" Type="http://schemas.openxmlformats.org/officeDocument/2006/relationships/hyperlink" Target="https://www.tiktok.com/@harumrice/video/7615008778697723157?_r=1&amp;_t=ZS-969xoIa07zV" TargetMode="External"/><Relationship Id="rId9807" Type="http://schemas.openxmlformats.org/officeDocument/2006/relationships/hyperlink" Target="https://www.tiktok.com/@harumrice/video/7614652016677211412?_r=1&amp;_t=ZS-969xoIa07zV" TargetMode="External"/><Relationship Id="rId1080" Type="http://schemas.openxmlformats.org/officeDocument/2006/relationships/hyperlink" Target="https://vt.tiktok.com/ZSHFUoow4/" TargetMode="External"/><Relationship Id="rId1081" Type="http://schemas.openxmlformats.org/officeDocument/2006/relationships/hyperlink" Target="https://vt.tiktok.com/ZSHFyLDew/" TargetMode="External"/><Relationship Id="rId1082" Type="http://schemas.openxmlformats.org/officeDocument/2006/relationships/hyperlink" Target="https://www.tiktok.com/@elbystoree" TargetMode="External"/><Relationship Id="rId1083" Type="http://schemas.openxmlformats.org/officeDocument/2006/relationships/hyperlink" Target="https://vt.tiktok.com/ZSHFy8CF1/" TargetMode="External"/><Relationship Id="rId1084" Type="http://schemas.openxmlformats.org/officeDocument/2006/relationships/hyperlink" Target="https://vt.tiktok.com/ZSHFUqhc4/" TargetMode="External"/><Relationship Id="rId9800" Type="http://schemas.openxmlformats.org/officeDocument/2006/relationships/hyperlink" Target="https://www.tiktok.com/@harumrice/video/7615128453184081173?_r=1&amp;_t=ZS-969xoIa07zV" TargetMode="External"/><Relationship Id="rId1085" Type="http://schemas.openxmlformats.org/officeDocument/2006/relationships/hyperlink" Target="https://vt.tiktok.com/ZSHFyYYQW/" TargetMode="External"/><Relationship Id="rId9801" Type="http://schemas.openxmlformats.org/officeDocument/2006/relationships/hyperlink" Target="https://www.tiktok.com/@harumrice/video/7615008778697723157?_r=1&amp;_t=ZS-969xoIa07zV" TargetMode="External"/><Relationship Id="rId1086" Type="http://schemas.openxmlformats.org/officeDocument/2006/relationships/hyperlink" Target="https://vt.tiktok.com/ZSHFyr9VC/" TargetMode="External"/><Relationship Id="rId9802" Type="http://schemas.openxmlformats.org/officeDocument/2006/relationships/hyperlink" Target="https://www.tiktok.com/@harumrice/video/7614652016677211412?_r=1&amp;_t=ZS-969xoIa07zV" TargetMode="External"/><Relationship Id="rId1087" Type="http://schemas.openxmlformats.org/officeDocument/2006/relationships/hyperlink" Target="https://www.tiktok.com/@lilis_sfr" TargetMode="External"/><Relationship Id="rId9803" Type="http://schemas.openxmlformats.org/officeDocument/2006/relationships/hyperlink" Target="https://www.tiktok.com/@celynemarchelyna" TargetMode="External"/><Relationship Id="rId1088" Type="http://schemas.openxmlformats.org/officeDocument/2006/relationships/hyperlink" Target="https://vt.tiktok.com/ZSHGPhff3/" TargetMode="External"/><Relationship Id="rId1089" Type="http://schemas.openxmlformats.org/officeDocument/2006/relationships/hyperlink" Target="https://vt.tiktok.com/ZS9UPg98x/" TargetMode="External"/><Relationship Id="rId8509" Type="http://schemas.openxmlformats.org/officeDocument/2006/relationships/hyperlink" Target="https://vt.tiktok.com/ZS9fXvH5a/" TargetMode="External"/><Relationship Id="rId8508" Type="http://schemas.openxmlformats.org/officeDocument/2006/relationships/hyperlink" Target="https://vt.tiktok.com/ZS9fXEaYN/" TargetMode="External"/><Relationship Id="rId8507" Type="http://schemas.openxmlformats.org/officeDocument/2006/relationships/hyperlink" Target="https://vt.tiktok.com/ZS9fXPD9x/" TargetMode="External"/><Relationship Id="rId8506" Type="http://schemas.openxmlformats.org/officeDocument/2006/relationships/hyperlink" Target="https://vt.tiktok.com/ZS9fXPByN/" TargetMode="External"/><Relationship Id="rId9837" Type="http://schemas.openxmlformats.org/officeDocument/2006/relationships/hyperlink" Target="https://www.tiktok.com/@theycallmesheryl" TargetMode="External"/><Relationship Id="rId9838" Type="http://schemas.openxmlformats.org/officeDocument/2006/relationships/hyperlink" Target="https://www.tiktok.com/@whuland25id1" TargetMode="External"/><Relationship Id="rId9839" Type="http://schemas.openxmlformats.org/officeDocument/2006/relationships/hyperlink" Target="https://www.tiktok.com/@babyelizaica" TargetMode="External"/><Relationship Id="rId8501" Type="http://schemas.openxmlformats.org/officeDocument/2006/relationships/hyperlink" Target="https://vt.tiktok.com/ZS9fXPByN/" TargetMode="External"/><Relationship Id="rId9833" Type="http://schemas.openxmlformats.org/officeDocument/2006/relationships/hyperlink" Target="https://www.tiktok.com/@diyaduadua" TargetMode="External"/><Relationship Id="rId8500" Type="http://schemas.openxmlformats.org/officeDocument/2006/relationships/hyperlink" Target="https://www.tiktok.com/@niklabela09" TargetMode="External"/><Relationship Id="rId9834" Type="http://schemas.openxmlformats.org/officeDocument/2006/relationships/hyperlink" Target="https://www.tiktok.com/@ydh260" TargetMode="External"/><Relationship Id="rId9835" Type="http://schemas.openxmlformats.org/officeDocument/2006/relationships/hyperlink" Target="https://www.tiktok.com/@mamaknyahabib" TargetMode="External"/><Relationship Id="rId9836" Type="http://schemas.openxmlformats.org/officeDocument/2006/relationships/hyperlink" Target="https://www.tiktok.com/@krisdiadee" TargetMode="External"/><Relationship Id="rId8505" Type="http://schemas.openxmlformats.org/officeDocument/2006/relationships/hyperlink" Target="https://www.tiktok.com/@putciew" TargetMode="External"/><Relationship Id="rId8504" Type="http://schemas.openxmlformats.org/officeDocument/2006/relationships/hyperlink" Target="https://vt.tiktok.com/ZS9fXvH5a/" TargetMode="External"/><Relationship Id="rId9830" Type="http://schemas.openxmlformats.org/officeDocument/2006/relationships/hyperlink" Target="https://www.tiktok.com/@harumrice/video/7615128453184081173?_r=1&amp;_t=ZS-969xoIa07zV" TargetMode="External"/><Relationship Id="rId8503" Type="http://schemas.openxmlformats.org/officeDocument/2006/relationships/hyperlink" Target="https://vt.tiktok.com/ZS9fXEaYN/" TargetMode="External"/><Relationship Id="rId9831" Type="http://schemas.openxmlformats.org/officeDocument/2006/relationships/hyperlink" Target="https://www.tiktok.com/@harumrice/video/7615008778697723157?_r=1&amp;_t=ZS-969xoIa07zV" TargetMode="External"/><Relationship Id="rId8502" Type="http://schemas.openxmlformats.org/officeDocument/2006/relationships/hyperlink" Target="https://vt.tiktok.com/ZS9fXPD9x/" TargetMode="External"/><Relationship Id="rId9832" Type="http://schemas.openxmlformats.org/officeDocument/2006/relationships/hyperlink" Target="https://www.tiktok.com/@harumrice/video/7614652016677211412?_r=1&amp;_t=ZS-969xoIa07zV" TargetMode="External"/><Relationship Id="rId9826" Type="http://schemas.openxmlformats.org/officeDocument/2006/relationships/hyperlink" Target="https://www.tiktok.com/@harumrice/video/7615008778697723157?_r=1&amp;_t=ZS-969xoIa07zV" TargetMode="External"/><Relationship Id="rId9827" Type="http://schemas.openxmlformats.org/officeDocument/2006/relationships/hyperlink" Target="https://www.tiktok.com/@harumrice/video/7614652016677211412?_r=1&amp;_t=ZS-969xoIa07zV" TargetMode="External"/><Relationship Id="rId9828" Type="http://schemas.openxmlformats.org/officeDocument/2006/relationships/hyperlink" Target="https://www.tiktok.com/@linasrianggraeni4" TargetMode="External"/><Relationship Id="rId9829" Type="http://schemas.openxmlformats.org/officeDocument/2006/relationships/hyperlink" Target="https://www.tiktok.com/@harumrice/video/7619310503105416468?_r=1&amp;_t=ZS-969xoIa07zV" TargetMode="External"/><Relationship Id="rId9822" Type="http://schemas.openxmlformats.org/officeDocument/2006/relationships/hyperlink" Target="https://www.tiktok.com/@harumrice/video/7614652016677211412?_r=1&amp;_t=ZS-969xoIa07zV" TargetMode="External"/><Relationship Id="rId9823" Type="http://schemas.openxmlformats.org/officeDocument/2006/relationships/hyperlink" Target="https://www.tiktok.com/@yaumasyifa_" TargetMode="External"/><Relationship Id="rId9824" Type="http://schemas.openxmlformats.org/officeDocument/2006/relationships/hyperlink" Target="https://www.tiktok.com/@harumrice/video/7619310503105416468?_r=1&amp;_t=ZS-969xoIa07zV" TargetMode="External"/><Relationship Id="rId9825" Type="http://schemas.openxmlformats.org/officeDocument/2006/relationships/hyperlink" Target="https://www.tiktok.com/@harumrice/video/7615128453184081173?_r=1&amp;_t=ZS-969xoIa07zV" TargetMode="External"/><Relationship Id="rId9820" Type="http://schemas.openxmlformats.org/officeDocument/2006/relationships/hyperlink" Target="https://www.tiktok.com/@harumrice/video/7615128453184081173?_r=1&amp;_t=ZS-969xoIa07zV" TargetMode="External"/><Relationship Id="rId9821" Type="http://schemas.openxmlformats.org/officeDocument/2006/relationships/hyperlink" Target="https://www.tiktok.com/@harumrice/video/7615008778697723157?_r=1&amp;_t=ZS-969xoIa07zV" TargetMode="External"/><Relationship Id="rId7272" Type="http://schemas.openxmlformats.org/officeDocument/2006/relationships/hyperlink" Target="https://www.tiktok.com/@meituni29/video/7635176906274426133?_r=1&amp;u_code=dibcckj1hfg2cm&amp;region=&amp;mid=6981828410792216577&amp;preview_pb=0&amp;sharer_language=&amp;_d=0&amp;ec_shared_reflux_dynamic_params=%7B%22placeholder_material_id%22%3A%227635176906274426133%22%2C%22placeholder_origin_cover%22%3A%22https%253A%252F%252Fp16-common-sign.tiktokcdn.com%252Ftos-alisg-p-0037%252Fo8I1IBACIm4fAkB00iHDvYJ1uX5C5iEwqRWPAQ~tplv-tiktokx-origin.jpeg%253Fdr%253D14572%2526refresh_token%253D20d2b8ab%2526x-expires%253D1809504000%2526x-signature%253DtiX4Czx15w%25252BdaCy5Z%25252BA8oVJ0md4%25253D%2526t%253D4d5b0474%2526ps%253D13740610%2526shp%253Dd05b14bd%2526shcp%253D34ff8df6%2526idc%253Dmy%2526s%253DTIKTOK_AFFILIATE_VIRAL_VIDEO%22%2C%22placeholder_product_id%22%3A%221729427766722726591%22%2C%22placeholder_video_id%22%3A%227635176906274426133%22%7D&amp;ec_shared_reflux_scene=shop_tab_feed&amp;share_item_id=7635176906274426133&amp;source=h5_t" TargetMode="External"/><Relationship Id="rId7271" Type="http://schemas.openxmlformats.org/officeDocument/2006/relationships/hyperlink" Target="https://www.tiktok.com/@aaaaarunika" TargetMode="External"/><Relationship Id="rId7270" Type="http://schemas.openxmlformats.org/officeDocument/2006/relationships/hyperlink" Target="https://vt.tiktok.com/ZS98NGqCr/" TargetMode="External"/><Relationship Id="rId7276" Type="http://schemas.openxmlformats.org/officeDocument/2006/relationships/hyperlink" Target="https://www.tiktok.com/@amayrzki" TargetMode="External"/><Relationship Id="rId7275" Type="http://schemas.openxmlformats.org/officeDocument/2006/relationships/hyperlink" Target="https://vt.tiktok.com/ZS9ojERFm/" TargetMode="External"/><Relationship Id="rId7274" Type="http://schemas.openxmlformats.org/officeDocument/2006/relationships/hyperlink" Target="https://www.tiktok.com/@meituni29/video/7635297460130270485?_r=1&amp;u_code=dibcckj1hfg2cm&amp;region=&amp;mid=7397818121896593424&amp;preview_pb=0&amp;sharer_language=&amp;_d=0&amp;ec_shared_reflux_dynamic_params=%7B%22placeholder_material_id%22%3A%227635297460130270485%22%2C%22placeholder_origin_cover%22%3A%22https%253A%252F%252Fp16-common-sign.tiktokcdn.com%252Ftos-alisg-p-0037%252Foc2Ug9DBTIpdFvZYSUfBRebIqmDHBgEbAEBKPI~tplv-tiktokx-origin.jpeg%253Fdr%253D14572%2526refresh_token%253D165fe96c%2526x-expires%253D1809504000%2526x-signature%253D3vF6R6JXSOiE833lngAENSEoStE%25253D%2526t%253D4d5b0474%2526ps%253D13740610%2526shp%253Dd05b14bd%2526shcp%253D34ff8df6%2526idc%253Dmy%2526s%253DTIKTOK_AFFILIATE_VIRAL_VIDEO%22%2C%22placeholder_product_id%22%3A%221729427766722726591%22%2C%22placeholder_video_id%22%3A%227635297460130270485%22%7D&amp;ec_shared_reflux_scene=shop_tab_feed&amp;share_item_id=7635297460130270485&amp;source=h5_t" TargetMode="External"/><Relationship Id="rId7273" Type="http://schemas.openxmlformats.org/officeDocument/2006/relationships/hyperlink" Target="https://www.tiktok.com/@meituni29/video/7635265293807389973?_r=1&amp;u_code=dibcckj1hfg2cm&amp;region=&amp;mid=7605117866958358529&amp;preview_pb=0&amp;sharer_language=&amp;_d=0&amp;ec_shared_reflux_dynamic_params=%7B%22placeholder_material_id%22%3A%227635265293807389973%22%2C%22placeholder_origin_cover%22%3A%22https%253A%252F%252Fp19-common-sign.tiktokcdn.com%252Ftos-alisg-p-0037%252Fos7GLC6f9IezVjK1IBOVIe9Xo66qTIAQXD4jAs~tplv-tiktokx-origin.jpeg%253Fdr%253D14572%2526refresh_token%253Daad2a06c%2526x-expires%253D1809504000%2526x-signature%253Dtz%25252F0JgNDpQjJ3%25252Bci7tl0vsuN9QM%25253D%2526t%253D4d5b0474%2526ps%253D13740610%2526shp%253Dd05b14bd%2526shcp%253D34ff8df6%2526idc%253Dmy%2526s%253DTIKTOK_AFFILIATE_VIRAL_VIDEO%22%2C%22placeholder_product_id%22%3A%221729729730555512511%22%2C%22placeholder_video_id%22%3A%227635265293807389973%22%7D&amp;ec_shared_reflux_scene=shop_tab_feed&amp;share_item_id=7635265293807389973&amp;source=h5_t" TargetMode="External"/><Relationship Id="rId7279" Type="http://schemas.openxmlformats.org/officeDocument/2006/relationships/hyperlink" Target="https://vt.tiktok.com/ZS9eVPFWc/" TargetMode="External"/><Relationship Id="rId7278" Type="http://schemas.openxmlformats.org/officeDocument/2006/relationships/hyperlink" Target="https://vt.tiktok.com/ZS9eV59WU/" TargetMode="External"/><Relationship Id="rId7277" Type="http://schemas.openxmlformats.org/officeDocument/2006/relationships/hyperlink" Target="https://www.tiktok.com/@ninasara75" TargetMode="External"/><Relationship Id="rId7261" Type="http://schemas.openxmlformats.org/officeDocument/2006/relationships/hyperlink" Target="https://www.tiktok.com/@qoryrnf" TargetMode="External"/><Relationship Id="rId8592" Type="http://schemas.openxmlformats.org/officeDocument/2006/relationships/hyperlink" Target="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22placeholder_origin_cover%22%3A%22https%253A%252F%252Fp16-common-sign.tiktokcdn.com%252Ftos-alisg-p-0037%252FogtrPig6fAI1VtrDCBRpT4Bw9iBciEOXRfDIQy~tplv-tiktokx-origin.jpeg%253Fdr%253D14572%2526refresh_token%253Da7dfb7b6%2526x-expires%253D1808992800%2526x-signature%253DBLfnFU%25252FucpfNa%25252FqJkuXBbFXM3IE%25253D%2526t%253D4d5b0474%2526ps%253D13740610%2526shp%253Dd05b14bd%2526shcp%253D34ff8df6%2526idc%253Dmy2%2526s%253DTIKTOK_AFFILIATE_VIRAL_VIDEO%22%2C%22placeholder_product_id%22%3A%221729427766722726591%22%2C%22placeholder_video_id%22%3A%227632466134771453202%22%7D&amp;ec_shared_reflux_scene=shop_tab_feed&amp;share_item_id=7632466134771453202&amp;source=h5_t" TargetMode="External"/><Relationship Id="rId7260" Type="http://schemas.openxmlformats.org/officeDocument/2006/relationships/hyperlink" Target="https://www.tiktok.com/@yessaels" TargetMode="External"/><Relationship Id="rId8591" Type="http://schemas.openxmlformats.org/officeDocument/2006/relationships/hyperlink" Target="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22placeholder_origin_cover%22%3A%22https%253A%252F%252Fp16-common-sign.tiktokcdn.com%252Ftos-alisg-p-0037%252Fo8fO8AM1hZeDgXj1TZgNKQoIABetCT1Aj7WrQE~tplv-tiktokx-origin.jpeg%253Fdr%253D14572%2526refresh_token%253Db34d4f83%2526x-expires%253D1808992800%2526x-signature%253D5d%25252BwOsNi1vQGg3hT4qvK4L51k%25252FQ%25253D%2526t%253D4d5b0474%2526ps%253D13740610%2526shp%253Dd05b14bd%2526shcp%253D34ff8df6%2526idc%253Dmy2%2526s%253DTIKTOK_AFFILIATE_VIRAL_VIDEO%22%2C%22placeholder_product_id%22%3A%221729427766722726591%22%2C%22placeholder_video_id%22%3A%227632292373736803591%22%7D&amp;ec_shared_reflux_scene=shop_tab_feed&amp;share_item_id=7632292373736803591&amp;source=h5_t" TargetMode="External"/><Relationship Id="rId8590" Type="http://schemas.openxmlformats.org/officeDocument/2006/relationships/hyperlink" Target="https://www.tiktok.com/@y0urgirls8" TargetMode="External"/><Relationship Id="rId7265" Type="http://schemas.openxmlformats.org/officeDocument/2006/relationships/hyperlink" Target="https://vt.tiktok.com/ZS9eVfgqV/" TargetMode="External"/><Relationship Id="rId8596" Type="http://schemas.openxmlformats.org/officeDocument/2006/relationships/hyperlink" Target="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eholder_origin_cover%22%3A%22https%253A%252F%252Fp16-common-sign.tiktokcdn.com%252Ftos-alisg-p-0037%252Fokej83InNuARId4oIVGPkcAQGeAeLDBS0CHTZQ~tplv-tiktokx-origin.jpeg%253Fdr%253D14572%2526refresh_token%253D3b7eb85d%2526x-expires%253D1808992800%2526x-signature%253DzhyQY%25252Bd9E%25252FZMgX7MRj4vEnlPr%25252BI%25253D%2526t%253D4d5b0474%2526ps%253D13740610%2526shp%253Dd05b14bd%2526shcp%253D34ff8df6%2526idc%253Dmy2%2526s%253DTIKTOK_AFFILIATE_VIRAL_VIDEO%22%2C%22placeholder_product_id%22%3A%221729427766722726591%22%2C%22placeholder_video_id%22%3A%227633259666696391954%22%7D&amp;ec_shared_reflux_scene=shop_tab_feed&amp;share_item_id=7633259666696391954&amp;source=h5_t" TargetMode="External"/><Relationship Id="rId7264" Type="http://schemas.openxmlformats.org/officeDocument/2006/relationships/hyperlink" Target="https://vt.tiktok.com/ZS9eVYnh4/" TargetMode="External"/><Relationship Id="rId8595" Type="http://schemas.openxmlformats.org/officeDocument/2006/relationships/hyperlink" Target="https://www.tiktok.com/@mawarindah8798" TargetMode="External"/><Relationship Id="rId7263" Type="http://schemas.openxmlformats.org/officeDocument/2006/relationships/hyperlink" Target="https://vt.tiktok.com/ZS9eVPFWc/" TargetMode="External"/><Relationship Id="rId8594" Type="http://schemas.openxmlformats.org/officeDocument/2006/relationships/hyperlink" Target="https://www.tiktok.com/@rositaramdani7/video/7632840621039914248?_d=0&amp;_r=1&amp;ec_shared_reflux_dynamic_params=%7B%22placeholder_material_id%22%3A%227632840621039914248%22%2C%22placeholder_origin_cover%22%3A%22https%253A%252F%252Fp16-common-sign.tiktokcdn.com%252Ftos-alisg-p-0037%252Fo4Tq0AI4XCBVwjAWIYrCAIztJuiCI9hiVLCQfh~tplv-tiktokx-origin.jpeg%253Fdr%253D14572%2526refresh_token%253D142f2fad%2526x-expires%253D1808992800%2526x-signature%253DHpeIR5KLtc6wc1RTiJXRcQO8fOs%25253D%2526t%253D4d5b0474%2526ps%253D13740610%2526shp%253Dd05b14bd%2526shcp%253D34ff8df6%2526idc%253Dmy2%2526s%253DTIKTOK_AFFILIATE_VIRAL_VIDEO%22%2C%22placeholder_product_id%22%3A%221729427766722726591%22%2C%22placeholder_video_id%22%3A%227632840621039914248%22%7D&amp;ec_shared_reflux_scene=shop_tab_feed&amp;mid=7591377536513985281&amp;preview_pb=0&amp;region=&amp;share_item_id=7632840621039914248&amp;sharer_language=&amp;source=h5_t&amp;u_code=f1489jb4bi84e12" TargetMode="External"/><Relationship Id="rId7262" Type="http://schemas.openxmlformats.org/officeDocument/2006/relationships/hyperlink" Target="https://vt.tiktok.com/ZS9eV59WU/" TargetMode="External"/><Relationship Id="rId8593" Type="http://schemas.openxmlformats.org/officeDocument/2006/relationships/hyperlink" Target="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22placeholder_origin_cover%22%3A%22https%253A%252F%252Fp16-common-sign.tiktokcdn.com%252Ftos-alisg-p-0037%252Fow724I9IGp8GJCSiAIeZAtCBfL0WETDI55ejBs~tplv-tiktokx-origin.jpeg%253Fdr%253D14572%2526refresh_token%253D974a53c8%2526x-expires%253D1808992800%2526x-signature%253DbBhbMoNFUGaDXGV%25252F1hVcSOsTVPM%25253D%2526t%253D4d5b0474%2526ps%253D13740610%2526shp%253Dd05b14bd%2526shcp%253D34ff8df6%2526idc%253Dmy2%2526s%253DTIKTOK_AFFILIATE_VIRAL_VIDEO%22%2C%22placeholder_product_id%22%3A%221729427766722726591%22%2C%22placeholder_video_id%22%3A%227632556344465231122%22%7D&amp;ec_shared_reflux_scene=shop_tab_feed&amp;share_item_id=7632556344465231122&amp;source=h5_t" TargetMode="External"/><Relationship Id="rId7269" Type="http://schemas.openxmlformats.org/officeDocument/2006/relationships/hyperlink" Target="https://vt.tiktok.com/ZS9eqk3fq/" TargetMode="External"/><Relationship Id="rId7268" Type="http://schemas.openxmlformats.org/officeDocument/2006/relationships/hyperlink" Target="https://vt.tiktok.com/ZS9eqFr6W/" TargetMode="External"/><Relationship Id="rId8599" Type="http://schemas.openxmlformats.org/officeDocument/2006/relationships/hyperlink" Target="https://vt.tiktok.com/ZSxfCLAv5/" TargetMode="External"/><Relationship Id="rId7267" Type="http://schemas.openxmlformats.org/officeDocument/2006/relationships/hyperlink" Target="https://vt.tiktok.com/ZS9eqh363/" TargetMode="External"/><Relationship Id="rId8598" Type="http://schemas.openxmlformats.org/officeDocument/2006/relationships/hyperlink" Target="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eholder_origin_cover%22%3A%22https%253A%252F%252Fp16-sign-sg.tiktokcdn.com%252Ftos-alisg-p-0037%252Fo03hfABezYXBDiRNp9OP7BUEgIxxBiEINkwKiH~tplv-tiktokx-origin.jpeg%253Fdr%253D14572%2526refresh_token%253D2b3edbd9%2526x-expires%253D1808992800%2526x-signature%253DuF7qjx32DHmqMM4GzKo0wROx5Eg%25253D%2526t%253D4d5b0474%2526ps%253D13740610%2526shp%253Dd05b14bd%2526shcp%253D34ff8df6%2526idc%253Dmy2%2526s%253DTIKTOK_AFFILIATE_VIRAL_VIDEO%22%2C%22placeholder_product_id%22%3A%221729427766722726591%22%2C%22placeholder_video_id%22%3A%227633988561930423560%22%7D&amp;ec_shared_reflux_scene=shop_tab_feed&amp;share_item_id=7633988561930423560&amp;source=h5_t" TargetMode="External"/><Relationship Id="rId7266" Type="http://schemas.openxmlformats.org/officeDocument/2006/relationships/hyperlink" Target="https://www.tiktok.com/@pinkroseparadise" TargetMode="External"/><Relationship Id="rId8597" Type="http://schemas.openxmlformats.org/officeDocument/2006/relationships/hyperlink" Target="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eholder_origin_cover%22%3A%22https%253A%252F%252Fp16-common-sign.tiktokcdn.com%252Ftos-alisg-p-0037%252FoEvtB2BmQIJJbKvDCITIgGKC4QfW4c8eAAeLPj~tplv-tiktokx-origin.jpeg%253Fdr%253D14572%2526refresh_token%253D14b8e5a1%2526x-expires%253D1808992800%2526x-signature%253DsBKNRZM9NlGgABGP%25252Bi5CuTVSWFg%25253D%2526t%253D4d5b0474%2526ps%253D13740610%2526shp%253Dd05b14bd%2526shcp%253D34ff8df6%2526idc%253Dmy2%2526s%253DTIKTOK_AFFILIATE_VIRAL_VIDEO%22%2C%22placeholder_product_id%22%3A%221729427766722726591%22%2C%22placeholder_video_id%22%3A%227633619284236799240%22%7D&amp;ec_shared_reflux_scene=shop_tab_feed&amp;share_item_id=7633619284236799240&amp;source=h5_t" TargetMode="External"/><Relationship Id="rId7294" Type="http://schemas.openxmlformats.org/officeDocument/2006/relationships/hyperlink" Target="https://www.tiktok.com/@meituni29/video/7635265293807389973?_r=1&amp;u_code=dibcckj1hfg2cm&amp;region=&amp;mid=7605117866958358529&amp;preview_pb=0&amp;sharer_language=&amp;_d=0&amp;ec_shared_reflux_dynamic_params=%7B%22placeholder_material_id%22%3A%227635265293807389973%22%2C%22placeholder_origin_cover%22%3A%22https%253A%252F%252Fp19-common-sign.tiktokcdn.com%252Ftos-alisg-p-0037%252Fos7GLC6f9IezVjK1IBOVIe9Xo66qTIAQXD4jAs~tplv-tiktokx-origin.jpeg%253Fdr%253D14572%2526refresh_token%253Daad2a06c%2526x-expires%253D1809504000%2526x-signature%253Dtz%25252F0JgNDpQjJ3%25252Bci7tl0vsuN9QM%25253D%2526t%253D4d5b0474%2526ps%253D13740610%2526shp%253Dd05b14bd%2526shcp%253D34ff8df6%2526idc%253Dmy%2526s%253DTIKTOK_AFFILIATE_VIRAL_VIDEO%22%2C%22placeholder_product_id%22%3A%221729729730555512511%22%2C%22placeholder_video_id%22%3A%227635265293807389973%22%7D&amp;ec_shared_reflux_scene=shop_tab_feed&amp;share_item_id=7635265293807389973&amp;source=h5_t" TargetMode="External"/><Relationship Id="rId7293" Type="http://schemas.openxmlformats.org/officeDocument/2006/relationships/hyperlink" Target="https://www.tiktok.com/@meituni29/video/7635176906274426133?_r=1&amp;u_code=dibcckj1hfg2cm&amp;region=&amp;mid=6981828410792216577&amp;preview_pb=0&amp;sharer_language=&amp;_d=0&amp;ec_shared_reflux_dynamic_params=%7B%22placeholder_material_id%22%3A%227635176906274426133%22%2C%22placeholder_origin_cover%22%3A%22https%253A%252F%252Fp16-common-sign.tiktokcdn.com%252Ftos-alisg-p-0037%252Fo8I1IBACIm4fAkB00iHDvYJ1uX5C5iEwqRWPAQ~tplv-tiktokx-origin.jpeg%253Fdr%253D14572%2526refresh_token%253D20d2b8ab%2526x-expires%253D1809504000%2526x-signature%253DtiX4Czx15w%25252BdaCy5Z%25252BA8oVJ0md4%25253D%2526t%253D4d5b0474%2526ps%253D13740610%2526shp%253Dd05b14bd%2526shcp%253D34ff8df6%2526idc%253Dmy%2526s%253DTIKTOK_AFFILIATE_VIRAL_VIDEO%22%2C%22placeholder_product_id%22%3A%221729427766722726591%22%2C%22placeholder_video_id%22%3A%227635176906274426133%22%7D&amp;ec_shared_reflux_scene=shop_tab_feed&amp;share_item_id=7635176906274426133&amp;source=h5_t" TargetMode="External"/><Relationship Id="rId7292" Type="http://schemas.openxmlformats.org/officeDocument/2006/relationships/hyperlink" Target="https://www.tiktok.com/@elsadwiy17" TargetMode="External"/><Relationship Id="rId7291" Type="http://schemas.openxmlformats.org/officeDocument/2006/relationships/hyperlink" Target="https://vt.tiktok.com/ZS98NGqCr/" TargetMode="External"/><Relationship Id="rId7298" Type="http://schemas.openxmlformats.org/officeDocument/2006/relationships/hyperlink" Target="https://vt.tiktok.com/ZS9eV59WU/" TargetMode="External"/><Relationship Id="rId7297" Type="http://schemas.openxmlformats.org/officeDocument/2006/relationships/hyperlink" Target="https://www.tiktok.com/@latriftby2" TargetMode="External"/><Relationship Id="rId7296" Type="http://schemas.openxmlformats.org/officeDocument/2006/relationships/hyperlink" Target="https://vt.tiktok.com/ZS9ojERFm/" TargetMode="External"/><Relationship Id="rId7295" Type="http://schemas.openxmlformats.org/officeDocument/2006/relationships/hyperlink" Target="https://www.tiktok.com/@meituni29/video/7635297460130270485?_r=1&amp;u_code=dibcckj1hfg2cm&amp;region=&amp;mid=7397818121896593424&amp;preview_pb=0&amp;sharer_language=&amp;_d=0&amp;ec_shared_reflux_dynamic_params=%7B%22placeholder_material_id%22%3A%227635297460130270485%22%2C%22placeholder_origin_cover%22%3A%22https%253A%252F%252Fp16-common-sign.tiktokcdn.com%252Ftos-alisg-p-0037%252Foc2Ug9DBTIpdFvZYSUfBRebIqmDHBgEbAEBKPI~tplv-tiktokx-origin.jpeg%253Fdr%253D14572%2526refresh_token%253D165fe96c%2526x-expires%253D1809504000%2526x-signature%253D3vF6R6JXSOiE833lngAENSEoStE%25253D%2526t%253D4d5b0474%2526ps%253D13740610%2526shp%253Dd05b14bd%2526shcp%253D34ff8df6%2526idc%253Dmy%2526s%253DTIKTOK_AFFILIATE_VIRAL_VIDEO%22%2C%22placeholder_product_id%22%3A%221729427766722726591%22%2C%22placeholder_video_id%22%3A%227635297460130270485%22%7D&amp;ec_shared_reflux_scene=shop_tab_feed&amp;share_item_id=7635297460130270485&amp;source=h5_t" TargetMode="External"/><Relationship Id="rId7299" Type="http://schemas.openxmlformats.org/officeDocument/2006/relationships/hyperlink" Target="https://vt.tiktok.com/ZS9eVPFWc/" TargetMode="External"/><Relationship Id="rId7290" Type="http://schemas.openxmlformats.org/officeDocument/2006/relationships/hyperlink" Target="https://vt.tiktok.com/ZS9eqk3fq/" TargetMode="External"/><Relationship Id="rId7283" Type="http://schemas.openxmlformats.org/officeDocument/2006/relationships/hyperlink" Target="https://vt.tiktok.com/ZS9eV59WU/" TargetMode="External"/><Relationship Id="rId7282" Type="http://schemas.openxmlformats.org/officeDocument/2006/relationships/hyperlink" Target="https://www.tiktok.com/@mellan99" TargetMode="External"/><Relationship Id="rId7281" Type="http://schemas.openxmlformats.org/officeDocument/2006/relationships/hyperlink" Target="https://vt.tiktok.com/ZS9eVfgqV/" TargetMode="External"/><Relationship Id="rId7280" Type="http://schemas.openxmlformats.org/officeDocument/2006/relationships/hyperlink" Target="https://vt.tiktok.com/ZS9eVYnh4/" TargetMode="External"/><Relationship Id="rId7287" Type="http://schemas.openxmlformats.org/officeDocument/2006/relationships/hyperlink" Target="https://www.tiktok.com/@raraorsalwaa" TargetMode="External"/><Relationship Id="rId7286" Type="http://schemas.openxmlformats.org/officeDocument/2006/relationships/hyperlink" Target="https://vt.tiktok.com/ZS9eVfgqV/" TargetMode="External"/><Relationship Id="rId7285" Type="http://schemas.openxmlformats.org/officeDocument/2006/relationships/hyperlink" Target="https://vt.tiktok.com/ZS9eVYnh4/" TargetMode="External"/><Relationship Id="rId7284" Type="http://schemas.openxmlformats.org/officeDocument/2006/relationships/hyperlink" Target="https://vt.tiktok.com/ZS9eVPFWc/" TargetMode="External"/><Relationship Id="rId7289" Type="http://schemas.openxmlformats.org/officeDocument/2006/relationships/hyperlink" Target="https://vt.tiktok.com/ZS9eqFr6W/" TargetMode="External"/><Relationship Id="rId7288" Type="http://schemas.openxmlformats.org/officeDocument/2006/relationships/hyperlink" Target="https://vt.tiktok.com/ZS9eqh363/" TargetMode="External"/><Relationship Id="rId9891" Type="http://schemas.openxmlformats.org/officeDocument/2006/relationships/hyperlink" Target="https://www.tiktok.com/@endang.trisna" TargetMode="External"/><Relationship Id="rId9892" Type="http://schemas.openxmlformats.org/officeDocument/2006/relationships/hyperlink" Target="https://www.tiktok.com/@naraizth" TargetMode="External"/><Relationship Id="rId9893" Type="http://schemas.openxmlformats.org/officeDocument/2006/relationships/hyperlink" Target="https://www.tiktok.com/@pamellanadira" TargetMode="External"/><Relationship Id="rId9894" Type="http://schemas.openxmlformats.org/officeDocument/2006/relationships/hyperlink" Target="https://www.tiktok.com/@dididisny" TargetMode="External"/><Relationship Id="rId7232" Type="http://schemas.openxmlformats.org/officeDocument/2006/relationships/hyperlink" Target="https://vt.tiktok.com/ZS9eVfgqV/" TargetMode="External"/><Relationship Id="rId8563" Type="http://schemas.openxmlformats.org/officeDocument/2006/relationships/hyperlink" Target="https://www.tiktok.com/@belanja_hemat.shop/video/7630083439080852744?_r=1&amp;u_code=ek6h2252jijmih&amp;region=&amp;mid=7502446149192567607&amp;preview_pb=0&amp;sharer_language=&amp;_d=0&amp;ec_shared_reflux_dynamic_params=%7B%22placeholder_material_id%22%3A%227630083439080852744%22%2C%22placeholder_origin_cover%22%3A%22https%253A%252F%252Fp16-common-sign.tiktokcdn.com%252Ftos-alisg-p-0037%252FoEONqiBlICA7hICZgjiI3AAAgBswH8WOe0PpIT~tplv-tiktokx-origin.jpeg%253Fdr%253D14572%2526refresh_token%253Dc5a3bd01%2526x-expires%253D1808992800%2526x-signature%253DmHrmToRfBoDI76E5SnS33jucUxo%25253D%2526t%253D4d5b0474%2526ps%253D13740610%2526shp%253Dd05b14bd%2526shcp%253D34ff8df6%2526idc%253Dmy2%2526s%253DTIKTOK_AFFILIATE_VIRAL_VIDEO%22%2C%22placeholder_product_id%22%3A%221729427766722726591%22%2C%22placeholder_video_id%22%3A%227630083439080852744%22%7D&amp;ec_shared_reflux_scene=shop_tab_feed&amp;share_item_id=7630083439080852744&amp;source=h5_t" TargetMode="External"/><Relationship Id="rId7231" Type="http://schemas.openxmlformats.org/officeDocument/2006/relationships/hyperlink" Target="https://vt.tiktok.com/ZS9eVYnh4/" TargetMode="External"/><Relationship Id="rId8562" Type="http://schemas.openxmlformats.org/officeDocument/2006/relationships/hyperlink" Target="https://www.tiktok.com/@belanja_hemat.shop/video/7630068304346074375?_r=1&amp;u_code=ek6h2252jijmih&amp;region=&amp;mid=7502446149192567607&amp;preview_pb=0&amp;sharer_language=&amp;_d=0&amp;ec_shared_reflux_dynamic_params=%7B%22placeholder_material_id%22%3A%227630068304346074375%22%2C%22placeholder_origin_cover%22%3A%22https%253A%252F%252Fp16-common-sign.tiktokcdn.com%252Ftos-alisg-p-0037%252FoY0jIj6CABiiHw6UKcYAvir4yAqkkIDPINeK4B~tplv-tiktokx-origin.jpeg%253Fdr%253D14572%2526refresh_token%253Dc394bf07%2526x-expires%253D1808992800%2526x-signature%253D%25252FXFHLg710N9EHbaT4qukgslNM%25252F0%25253D%2526t%253D4d5b0474%2526ps%253D13740610%2526shp%253Dd05b14bd%2526shcp%253D34ff8df6%2526idc%253Dmy2%2526s%253DTIKTOK_AFFILIATE_VIRAL_VIDEO%22%2C%22placeholder_product_id%22%3A%221729427766722726591%22%2C%22placeholder_video_id%22%3A%227630068304346074375%22%7D&amp;ec_shared_reflux_scene=shop_tab_feed&amp;share_item_id=7630068304346074375&amp;source=h5_t" TargetMode="External"/><Relationship Id="rId7230" Type="http://schemas.openxmlformats.org/officeDocument/2006/relationships/hyperlink" Target="https://vt.tiktok.com/ZS9eVPFWc/" TargetMode="External"/><Relationship Id="rId8561" Type="http://schemas.openxmlformats.org/officeDocument/2006/relationships/hyperlink" Target="https://www.tiktok.com/@belanja_hemat.shop/video/7629926744312548615?_r=1&amp;u_code=ek6h2252jijmih&amp;region=&amp;mid=7395415388382824464&amp;preview_pb=0&amp;sharer_language=&amp;_d=0&amp;ec_shared_reflux_dynamic_params=%7B%22placeholder_material_id%22%3A%227629926744312548615%22%2C%22placeholder_origin_cover%22%3A%22https%253A%252F%252Fp16-sign-sg.tiktokcdn.com%252Ftos-alisg-p-0037%252FogARLXupOi5fMxsvG8GFedRoAQQmGeGAPnfVBh~tplv-tiktokx-origin.jpeg%253Fdr%253D14572%2526refresh_token%253D0bc3ef94%2526x-expires%253D1808992800%2526x-signature%253DCbDvTxf0YgqWOaOAOjYGyzVeMR4%25253D%2526t%253D4d5b0474%2526ps%253D13740610%2526shp%253Dd05b14bd%2526shcp%253D34ff8df6%2526idc%253Dmy2%2526s%253DTIKTOK_AFFILIATE_VIRAL_VIDEO%22%2C%22placeholder_product_id%22%3A%221729427766722726591%22%2C%22placeholder_video_id%22%3A%227629926744312548615%22%7D&amp;ec_shared_reflux_scene=shop_tab_feed&amp;share_item_id=7629926744312548615&amp;source=h5_t" TargetMode="External"/><Relationship Id="rId8560" Type="http://schemas.openxmlformats.org/officeDocument/2006/relationships/hyperlink" Target="https://www.tiktok.com/@dindaaaaaaaaa_____" TargetMode="External"/><Relationship Id="rId9890" Type="http://schemas.openxmlformats.org/officeDocument/2006/relationships/hyperlink" Target="https://www.tiktok.com/@ernieqeu" TargetMode="External"/><Relationship Id="rId7236" Type="http://schemas.openxmlformats.org/officeDocument/2006/relationships/hyperlink" Target="https://vt.tiktok.com/ZS9eqk3fq/" TargetMode="External"/><Relationship Id="rId8567" Type="http://schemas.openxmlformats.org/officeDocument/2006/relationships/hyperlink" Target="https://vt.tiktok.com/ZSxfQGEgj/" TargetMode="External"/><Relationship Id="rId9899" Type="http://schemas.openxmlformats.org/officeDocument/2006/relationships/hyperlink" Target="https://www.tiktok.com/@abcdefghiwuffy0u.05" TargetMode="External"/><Relationship Id="rId7235" Type="http://schemas.openxmlformats.org/officeDocument/2006/relationships/hyperlink" Target="https://vt.tiktok.com/ZS9eqFr6W/" TargetMode="External"/><Relationship Id="rId8566" Type="http://schemas.openxmlformats.org/officeDocument/2006/relationships/hyperlink" Target="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aceholder_origin_cover%22%3A%22https%253A%252F%252Fp16-common-sign.tiktokcdn.com%252Ftos-alisg-p-0037%252FocT3fUyagtsUCPXIgtfvGDAQDjLK9oeTHAQG2I~tplv-tiktokx-origin.jpeg%253Fdr%253D14572%2526refresh_token%253D13d7c298%2526x-expires%253D1808992800%2526x-signature%253Dm1yuhUo4JC1EwMfosEQhUBd56yw%25253D%2526t%253D4d5b0474%2526ps%253D13740610%2526shp%253Dd05b14bd%2526shcp%253D34ff8df6%2526idc%253Dmy2%2526s%253DTIKTOK_AFFILIATE_VIRAL_VIDEO%22%2C%22placeholder_product_id%22%3A%221729427766722726591%22%2C%22placeholder_video_id%22%3A%227633434949797858581%22%7D&amp;ec_shared_reflux_scene=shop_tab_feed&amp;share_item_id=7633434949797858581&amp;source=h5_t" TargetMode="External"/><Relationship Id="rId7234" Type="http://schemas.openxmlformats.org/officeDocument/2006/relationships/hyperlink" Target="https://vt.tiktok.com/ZS9eqh363/" TargetMode="External"/><Relationship Id="rId8565" Type="http://schemas.openxmlformats.org/officeDocument/2006/relationships/hyperlink" Target="https://www.tiktok.com/@sevenaque_" TargetMode="External"/><Relationship Id="rId7233" Type="http://schemas.openxmlformats.org/officeDocument/2006/relationships/hyperlink" Target="https://www.tiktok.com/@itsagatta" TargetMode="External"/><Relationship Id="rId8564" Type="http://schemas.openxmlformats.org/officeDocument/2006/relationships/hyperlink" Target="https://www.tiktok.com/@belanja_hemat.shop/video/7630283480441621767?_r=1&amp;u_code=ek6h2252jijmih&amp;region=&amp;mid=7615963521880558357&amp;preview_pb=0&amp;sharer_language=&amp;_d=0&amp;ec_shared_reflux_dynamic_params=%7B%22placeholder_material_id%22%3A%227630283480441621767%22%2C%22placeholder_origin_cover%22%3A%22https%253A%252F%252Fp16-sign-sg.tiktokcdn.com%252Ftos-alisg-p-0037%252FowLgThbTAvZEDmUpRgqBBrYOOEQeQEFIpPa5fD~tplv-tiktokx-origin.jpeg%253Fdr%253D14572%2526refresh_token%253D7028f3e9%2526x-expires%253D1808992800%2526x-signature%253Dm8NIDbYtD8vdd9sCzAcHHhWysZQ%25253D%2526t%253D4d5b0474%2526ps%253D13740610%2526shp%253Dd05b14bd%2526shcp%253D34ff8df6%2526idc%253Dmy2%2526s%253DTIKTOK_AFFILIATE_VIRAL_VIDEO%22%2C%22placeholder_product_id%22%3A%221729427766722726591%22%2C%22placeholder_video_id%22%3A%227630283480441621767%22%7D&amp;ec_shared_reflux_scene=shop_tab_feed&amp;share_item_id=7630283480441621767&amp;source=h5_t" TargetMode="External"/><Relationship Id="rId9895" Type="http://schemas.openxmlformats.org/officeDocument/2006/relationships/hyperlink" Target="https://www.tiktok.com/@nnnaa444_" TargetMode="External"/><Relationship Id="rId7239" Type="http://schemas.openxmlformats.org/officeDocument/2006/relationships/hyperlink" Target="https://www.tiktok.com/@meituni29/video/7635176906274426133?_r=1&amp;u_code=dibcckj1hfg2cm&amp;region=&amp;mid=6981828410792216577&amp;preview_pb=0&amp;sharer_language=&amp;_d=0&amp;ec_shared_reflux_dynamic_params=%7B%22placeholder_material_id%22%3A%227635176906274426133%22%2C%22placeholder_origin_cover%22%3A%22https%253A%252F%252Fp16-common-sign.tiktokcdn.com%252Ftos-alisg-p-0037%252Fo8I1IBACIm4fAkB00iHDvYJ1uX5C5iEwqRWPAQ~tplv-tiktokx-origin.jpeg%253Fdr%253D14572%2526refresh_token%253D20d2b8ab%2526x-expires%253D1809504000%2526x-signature%253DtiX4Czx15w%25252BdaCy5Z%25252BA8oVJ0md4%25253D%2526t%253D4d5b0474%2526ps%253D13740610%2526shp%253Dd05b14bd%2526shcp%253D34ff8df6%2526idc%253Dmy%2526s%253DTIKTOK_AFFILIATE_VIRAL_VIDEO%22%2C%22placeholder_product_id%22%3A%221729427766722726591%22%2C%22placeholder_video_id%22%3A%227635176906274426133%22%7D&amp;ec_shared_reflux_scene=shop_tab_feed&amp;share_item_id=7635176906274426133&amp;source=h5_t" TargetMode="External"/><Relationship Id="rId9896" Type="http://schemas.openxmlformats.org/officeDocument/2006/relationships/hyperlink" Target="https://www.tiktok.com/@igeeerv" TargetMode="External"/><Relationship Id="rId7238" Type="http://schemas.openxmlformats.org/officeDocument/2006/relationships/hyperlink" Target="https://www.tiktok.com/@queen_olshop_lampung" TargetMode="External"/><Relationship Id="rId8569" Type="http://schemas.openxmlformats.org/officeDocument/2006/relationships/hyperlink" Target="https://vt.tiktok.com/ZSxDYQyTW/" TargetMode="External"/><Relationship Id="rId9897" Type="http://schemas.openxmlformats.org/officeDocument/2006/relationships/hyperlink" Target="https://www.tiktok.com/@.racchelle" TargetMode="External"/><Relationship Id="rId7237" Type="http://schemas.openxmlformats.org/officeDocument/2006/relationships/hyperlink" Target="https://vt.tiktok.com/ZS98NGqCr/" TargetMode="External"/><Relationship Id="rId8568" Type="http://schemas.openxmlformats.org/officeDocument/2006/relationships/hyperlink" Target="https://vt.tiktok.com/ZSxDYhccb/" TargetMode="External"/><Relationship Id="rId9898" Type="http://schemas.openxmlformats.org/officeDocument/2006/relationships/hyperlink" Target="https://www.tiktok.com/@sundarri8" TargetMode="External"/><Relationship Id="rId9880" Type="http://schemas.openxmlformats.org/officeDocument/2006/relationships/hyperlink" Target="https://www.tiktok.com/@echialifha1808" TargetMode="External"/><Relationship Id="rId9881" Type="http://schemas.openxmlformats.org/officeDocument/2006/relationships/hyperlink" Target="https://www.tiktok.com/@dillaaa_21" TargetMode="External"/><Relationship Id="rId9882" Type="http://schemas.openxmlformats.org/officeDocument/2006/relationships/hyperlink" Target="https://www.tiktok.com/@anggun.chelsy" TargetMode="External"/><Relationship Id="rId9883" Type="http://schemas.openxmlformats.org/officeDocument/2006/relationships/hyperlink" Target="https://www.tiktok.com/@fiqri_ar" TargetMode="External"/><Relationship Id="rId7221" Type="http://schemas.openxmlformats.org/officeDocument/2006/relationships/hyperlink" Target="https://vt.tiktok.com/ZS9eqk3fq/" TargetMode="External"/><Relationship Id="rId8552" Type="http://schemas.openxmlformats.org/officeDocument/2006/relationships/hyperlink" Target="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22placeholder_origin_cover%22%3A%22https%253A%252F%252Fp16-common-sign.tiktokcdn.com%252Ftos-alisg-p-0037%252FogtrPig6fAI1VtrDCBRpT4Bw9iBciEOXRfDIQy~tplv-tiktokx-origin.jpeg%253Fdr%253D14572%2526refresh_token%253Da7dfb7b6%2526x-expires%253D1808992800%2526x-signature%253DBLfnFU%25252FucpfNa%25252FqJkuXBbFXM3IE%25253D%2526t%253D4d5b0474%2526ps%253D13740610%2526shp%253Dd05b14bd%2526shcp%253D34ff8df6%2526idc%253Dmy2%2526s%253DTIKTOK_AFFILIATE_VIRAL_VIDEO%22%2C%22placeholder_product_id%22%3A%221729427766722726591%22%2C%22placeholder_video_id%22%3A%227632466134771453202%22%7D&amp;ec_shared_reflux_scene=shop_tab_feed&amp;share_item_id=7632466134771453202&amp;source=h5_t" TargetMode="External"/><Relationship Id="rId7220" Type="http://schemas.openxmlformats.org/officeDocument/2006/relationships/hyperlink" Target="https://vt.tiktok.com/ZS9eqFr6W/" TargetMode="External"/><Relationship Id="rId8551" Type="http://schemas.openxmlformats.org/officeDocument/2006/relationships/hyperlink" Target="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22placeholder_origin_cover%22%3A%22https%253A%252F%252Fp16-common-sign.tiktokcdn.com%252Ftos-alisg-p-0037%252Fo8fO8AM1hZeDgXj1TZgNKQoIABetCT1Aj7WrQE~tplv-tiktokx-origin.jpeg%253Fdr%253D14572%2526refresh_token%253Db34d4f83%2526x-expires%253D1808992800%2526x-signature%253D5d%25252BwOsNi1vQGg3hT4qvK4L51k%25252FQ%25253D%2526t%253D4d5b0474%2526ps%253D13740610%2526shp%253Dd05b14bd%2526shcp%253D34ff8df6%2526idc%253Dmy2%2526s%253DTIKTOK_AFFILIATE_VIRAL_VIDEO%22%2C%22placeholder_product_id%22%3A%221729427766722726591%22%2C%22placeholder_video_id%22%3A%227632292373736803591%22%7D&amp;ec_shared_reflux_scene=shop_tab_feed&amp;share_item_id=7632292373736803591&amp;source=h5_t" TargetMode="External"/><Relationship Id="rId8550" Type="http://schemas.openxmlformats.org/officeDocument/2006/relationships/hyperlink" Target="https://www.tiktok.com/@_lvmtcha0" TargetMode="External"/><Relationship Id="rId7225" Type="http://schemas.openxmlformats.org/officeDocument/2006/relationships/hyperlink" Target="https://www.tiktok.com/@meituni29/video/7635265293807389973?_r=1&amp;u_code=dibcckj1hfg2cm&amp;region=&amp;mid=7605117866958358529&amp;preview_pb=0&amp;sharer_language=&amp;_d=0&amp;ec_shared_reflux_dynamic_params=%7B%22placeholder_material_id%22%3A%227635265293807389973%22%2C%22placeholder_origin_cover%22%3A%22https%253A%252F%252Fp19-common-sign.tiktokcdn.com%252Ftos-alisg-p-0037%252Fos7GLC6f9IezVjK1IBOVIe9Xo66qTIAQXD4jAs~tplv-tiktokx-origin.jpeg%253Fdr%253D14572%2526refresh_token%253Daad2a06c%2526x-expires%253D1809504000%2526x-signature%253Dtz%25252F0JgNDpQjJ3%25252Bci7tl0vsuN9QM%25253D%2526t%253D4d5b0474%2526ps%253D13740610%2526shp%253Dd05b14bd%2526shcp%253D34ff8df6%2526idc%253Dmy%2526s%253DTIKTOK_AFFILIATE_VIRAL_VIDEO%22%2C%22placeholder_product_id%22%3A%221729729730555512511%22%2C%22placeholder_video_id%22%3A%227635265293807389973%22%7D&amp;ec_shared_reflux_scene=shop_tab_feed&amp;share_item_id=7635265293807389973&amp;source=h5_t" TargetMode="External"/><Relationship Id="rId8556" Type="http://schemas.openxmlformats.org/officeDocument/2006/relationships/hyperlink" Target="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eholder_origin_cover%22%3A%22https%253A%252F%252Fp16-common-sign.tiktokcdn.com%252Ftos-alisg-p-0037%252Fokej83InNuARId4oIVGPkcAQGeAeLDBS0CHTZQ~tplv-tiktokx-origin.jpeg%253Fdr%253D14572%2526refresh_token%253D3b7eb85d%2526x-expires%253D1808992800%2526x-signature%253DzhyQY%25252Bd9E%25252FZMgX7MRj4vEnlPr%25252BI%25253D%2526t%253D4d5b0474%2526ps%253D13740610%2526shp%253Dd05b14bd%2526shcp%253D34ff8df6%2526idc%253Dmy2%2526s%253DTIKTOK_AFFILIATE_VIRAL_VIDEO%22%2C%22placeholder_product_id%22%3A%221729427766722726591%22%2C%22placeholder_video_id%22%3A%227633259666696391954%22%7D&amp;ec_shared_reflux_scene=shop_tab_feed&amp;share_item_id=7633259666696391954&amp;source=h5_t" TargetMode="External"/><Relationship Id="rId9888" Type="http://schemas.openxmlformats.org/officeDocument/2006/relationships/hyperlink" Target="https://www.tiktok.com/@niakurniawati.3" TargetMode="External"/><Relationship Id="rId7224" Type="http://schemas.openxmlformats.org/officeDocument/2006/relationships/hyperlink" Target="https://www.tiktok.com/@meituni29/video/7635176906274426133?_r=1&amp;u_code=dibcckj1hfg2cm&amp;region=&amp;mid=6981828410792216577&amp;preview_pb=0&amp;sharer_language=&amp;_d=0&amp;ec_shared_reflux_dynamic_params=%7B%22placeholder_material_id%22%3A%227635176906274426133%22%2C%22placeholder_origin_cover%22%3A%22https%253A%252F%252Fp16-common-sign.tiktokcdn.com%252Ftos-alisg-p-0037%252Fo8I1IBACIm4fAkB00iHDvYJ1uX5C5iEwqRWPAQ~tplv-tiktokx-origin.jpeg%253Fdr%253D14572%2526refresh_token%253D20d2b8ab%2526x-expires%253D1809504000%2526x-signature%253DtiX4Czx15w%25252BdaCy5Z%25252BA8oVJ0md4%25253D%2526t%253D4d5b0474%2526ps%253D13740610%2526shp%253Dd05b14bd%2526shcp%253D34ff8df6%2526idc%253Dmy%2526s%253DTIKTOK_AFFILIATE_VIRAL_VIDEO%22%2C%22placeholder_product_id%22%3A%221729427766722726591%22%2C%22placeholder_video_id%22%3A%227635176906274426133%22%7D&amp;ec_shared_reflux_scene=shop_tab_feed&amp;share_item_id=7635176906274426133&amp;source=h5_t" TargetMode="External"/><Relationship Id="rId8555" Type="http://schemas.openxmlformats.org/officeDocument/2006/relationships/hyperlink" Target="https://www.tiktok.com/@apaajauy26" TargetMode="External"/><Relationship Id="rId9889" Type="http://schemas.openxmlformats.org/officeDocument/2006/relationships/hyperlink" Target="https://www.tiktok.com/@niakurniawati.3/video/7631824259454717204?_r=1&amp;u_code=da349hj9hc6056&amp;region=&amp;mid=7541306321234070289&amp;preview_pb=0&amp;sharer_language=&amp;_d=0&amp;ec_shared_reflux_dynamic_params=%7B%22placeholder_material_id%22%3A%227631824259454717204%22%2C%22placeholder_origin_cover%22%3A%22https%253A%252F%252Fp16-common-sign.tiktokcdn.com%252Ftos-alisg-p-0037%252Fo4f6cQyQDRs5aBrWgEf8AiAwTF1napBE1mSR8p~tplv-tiktokx-origin.jpeg%253Fdr%253D14572%2526refresh_token%253D606d3e6f%2526x-expires%253D1810116000%2526x-signature%253DZzQyIZUqi1s39mDL4V8%25252FNWmY%25252Bt8%25253D%2526t%253D4d5b0474%2526ps%253D13740610%2526shp%253Dd05b14bd%2526shcp%253D34ff8df6%2526idc%253Dmy2%2526s%253DTIKTOK_AFFILIATE_VIRAL_VIDEO%22%2C%22placeholder_product_id%22%3A%221729427766722726591%22%2C%22placeholder_video_id%22%3A%227631824259454717204%22%7D&amp;ec_shared_reflux_scene=shop_tab_feed&amp;share_item_id=7631824259454717204&amp;source=h5_t" TargetMode="External"/><Relationship Id="rId7223" Type="http://schemas.openxmlformats.org/officeDocument/2006/relationships/hyperlink" Target="https://www.tiktok.com/@spalspilwithpatun_" TargetMode="External"/><Relationship Id="rId8554" Type="http://schemas.openxmlformats.org/officeDocument/2006/relationships/hyperlink" Target="https://www.tiktok.com/@rositaramdani7/video/7632840621039914248?_d=0&amp;_r=1&amp;ec_shared_reflux_dynamic_params=%7B%22placeholder_material_id%22%3A%227632840621039914248%22%2C%22placeholder_origin_cover%22%3A%22https%253A%252F%252Fp16-common-sign.tiktokcdn.com%252Ftos-alisg-p-0037%252Fo4Tq0AI4XCBVwjAWIYrCAIztJuiCI9hiVLCQfh~tplv-tiktokx-origin.jpeg%253Fdr%253D14572%2526refresh_token%253D142f2fad%2526x-expires%253D1808992800%2526x-signature%253DHpeIR5KLtc6wc1RTiJXRcQO8fOs%25253D%2526t%253D4d5b0474%2526ps%253D13740610%2526shp%253Dd05b14bd%2526shcp%253D34ff8df6%2526idc%253Dmy2%2526s%253DTIKTOK_AFFILIATE_VIRAL_VIDEO%22%2C%22placeholder_product_id%22%3A%221729427766722726591%22%2C%22placeholder_video_id%22%3A%227632840621039914248%22%7D&amp;ec_shared_reflux_scene=shop_tab_feed&amp;mid=7591377536513985281&amp;preview_pb=0&amp;region=&amp;share_item_id=7632840621039914248&amp;sharer_language=&amp;source=h5_t&amp;u_code=f1489jb4bi84e10" TargetMode="External"/><Relationship Id="rId7222" Type="http://schemas.openxmlformats.org/officeDocument/2006/relationships/hyperlink" Target="https://vt.tiktok.com/ZS98NGqCr/" TargetMode="External"/><Relationship Id="rId8553" Type="http://schemas.openxmlformats.org/officeDocument/2006/relationships/hyperlink" Target="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22placeholder_origin_cover%22%3A%22https%253A%252F%252Fp16-common-sign.tiktokcdn.com%252Ftos-alisg-p-0037%252Fow724I9IGp8GJCSiAIeZAtCBfL0WETDI55ejBs~tplv-tiktokx-origin.jpeg%253Fdr%253D14572%2526refresh_token%253D974a53c8%2526x-expires%253D1808992800%2526x-signature%253DbBhbMoNFUGaDXGV%25252F1hVcSOsTVPM%25253D%2526t%253D4d5b0474%2526ps%253D13740610%2526shp%253Dd05b14bd%2526shcp%253D34ff8df6%2526idc%253Dmy2%2526s%253DTIKTOK_AFFILIATE_VIRAL_VIDEO%22%2C%22placeholder_product_id%22%3A%221729427766722726591%22%2C%22placeholder_video_id%22%3A%227632556344465231122%22%7D&amp;ec_shared_reflux_scene=shop_tab_feed&amp;share_item_id=7632556344465231122&amp;source=h5_t" TargetMode="External"/><Relationship Id="rId7229" Type="http://schemas.openxmlformats.org/officeDocument/2006/relationships/hyperlink" Target="https://vt.tiktok.com/ZS9eV59WU/" TargetMode="External"/><Relationship Id="rId9884" Type="http://schemas.openxmlformats.org/officeDocument/2006/relationships/hyperlink" Target="https://www.tiktok.com/@risqianao" TargetMode="External"/><Relationship Id="rId7228" Type="http://schemas.openxmlformats.org/officeDocument/2006/relationships/hyperlink" Target="https://www.tiktok.com/@mezamahira" TargetMode="External"/><Relationship Id="rId8559" Type="http://schemas.openxmlformats.org/officeDocument/2006/relationships/hyperlink" Target="https://vt.tiktok.com/ZSxfCLAv5/" TargetMode="External"/><Relationship Id="rId9885" Type="http://schemas.openxmlformats.org/officeDocument/2006/relationships/hyperlink" Target="https://www.tiktok.com/@rian_riaaan" TargetMode="External"/><Relationship Id="rId7227" Type="http://schemas.openxmlformats.org/officeDocument/2006/relationships/hyperlink" Target="https://vt.tiktok.com/ZS9ojERFm/" TargetMode="External"/><Relationship Id="rId8558" Type="http://schemas.openxmlformats.org/officeDocument/2006/relationships/hyperlink" Target="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eholder_origin_cover%22%3A%22https%253A%252F%252Fp16-sign-sg.tiktokcdn.com%252Ftos-alisg-p-0037%252Fo03hfABezYXBDiRNp9OP7BUEgIxxBiEINkwKiH~tplv-tiktokx-origin.jpeg%253Fdr%253D14572%2526refresh_token%253D2b3edbd9%2526x-expires%253D1808992800%2526x-signature%253DuF7qjx32DHmqMM4GzKo0wROx5Eg%25253D%2526t%253D4d5b0474%2526ps%253D13740610%2526shp%253Dd05b14bd%2526shcp%253D34ff8df6%2526idc%253Dmy2%2526s%253DTIKTOK_AFFILIATE_VIRAL_VIDEO%22%2C%22placeholder_product_id%22%3A%221729427766722726591%22%2C%22placeholder_video_id%22%3A%227633988561930423560%22%7D&amp;ec_shared_reflux_scene=shop_tab_feed&amp;share_item_id=7633988561930423560&amp;source=h5_t" TargetMode="External"/><Relationship Id="rId9886" Type="http://schemas.openxmlformats.org/officeDocument/2006/relationships/hyperlink" Target="https://www.tiktok.com/@anto.aby" TargetMode="External"/><Relationship Id="rId7226" Type="http://schemas.openxmlformats.org/officeDocument/2006/relationships/hyperlink" Target="https://www.tiktok.com/@meituni29/video/7635297460130270485?_r=1&amp;u_code=dibcckj1hfg2cm&amp;region=&amp;mid=7397818121896593424&amp;preview_pb=0&amp;sharer_language=&amp;_d=0&amp;ec_shared_reflux_dynamic_params=%7B%22placeholder_material_id%22%3A%227635297460130270485%22%2C%22placeholder_origin_cover%22%3A%22https%253A%252F%252Fp16-common-sign.tiktokcdn.com%252Ftos-alisg-p-0037%252Foc2Ug9DBTIpdFvZYSUfBRebIqmDHBgEbAEBKPI~tplv-tiktokx-origin.jpeg%253Fdr%253D14572%2526refresh_token%253D165fe96c%2526x-expires%253D1809504000%2526x-signature%253D3vF6R6JXSOiE833lngAENSEoStE%25253D%2526t%253D4d5b0474%2526ps%253D13740610%2526shp%253Dd05b14bd%2526shcp%253D34ff8df6%2526idc%253Dmy%2526s%253DTIKTOK_AFFILIATE_VIRAL_VIDEO%22%2C%22placeholder_product_id%22%3A%221729427766722726591%22%2C%22placeholder_video_id%22%3A%227635297460130270485%22%7D&amp;ec_shared_reflux_scene=shop_tab_feed&amp;share_item_id=7635297460130270485&amp;source=h5_t" TargetMode="External"/><Relationship Id="rId8557" Type="http://schemas.openxmlformats.org/officeDocument/2006/relationships/hyperlink" Target="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eholder_origin_cover%22%3A%22https%253A%252F%252Fp16-common-sign.tiktokcdn.com%252Ftos-alisg-p-0037%252FoEvtB2BmQIJJbKvDCITIgGKC4QfW4c8eAAeLPj~tplv-tiktokx-origin.jpeg%253Fdr%253D14572%2526refresh_token%253D14b8e5a1%2526x-expires%253D1808992800%2526x-signature%253DsBKNRZM9NlGgABGP%25252Bi5CuTVSWFg%25253D%2526t%253D4d5b0474%2526ps%253D13740610%2526shp%253Dd05b14bd%2526shcp%253D34ff8df6%2526idc%253Dmy2%2526s%253DTIKTOK_AFFILIATE_VIRAL_VIDEO%22%2C%22placeholder_product_id%22%3A%221729427766722726591%22%2C%22placeholder_video_id%22%3A%227633619284236799240%22%7D&amp;ec_shared_reflux_scene=shop_tab_feed&amp;share_item_id=7633619284236799240&amp;source=h5_t" TargetMode="External"/><Relationship Id="rId9887" Type="http://schemas.openxmlformats.org/officeDocument/2006/relationships/hyperlink" Target="https://www.tiktok.com/@melilii__" TargetMode="External"/><Relationship Id="rId7250" Type="http://schemas.openxmlformats.org/officeDocument/2006/relationships/hyperlink" Target="https://vt.tiktok.com/ZS9eqFr6W/" TargetMode="External"/><Relationship Id="rId8581" Type="http://schemas.openxmlformats.org/officeDocument/2006/relationships/hyperlink" Target="https://www.tiktok.com/@belanja_hemat.shop/video/7629926744312548615?_r=1&amp;u_code=ek6h2252jijmih&amp;region=&amp;mid=7395415388382824464&amp;preview_pb=0&amp;sharer_language=&amp;_d=0&amp;ec_shared_reflux_dynamic_params=%7B%22placeholder_material_id%22%3A%227629926744312548615%22%2C%22placeholder_origin_cover%22%3A%22https%253A%252F%252Fp16-sign-sg.tiktokcdn.com%252Ftos-alisg-p-0037%252FogARLXupOi5fMxsvG8GFedRoAQQmGeGAPnfVBh~tplv-tiktokx-origin.jpeg%253Fdr%253D14572%2526refresh_token%253D0bc3ef94%2526x-expires%253D1808992800%2526x-signature%253DCbDvTxf0YgqWOaOAOjYGyzVeMR4%25253D%2526t%253D4d5b0474%2526ps%253D13740610%2526shp%253Dd05b14bd%2526shcp%253D34ff8df6%2526idc%253Dmy2%2526s%253DTIKTOK_AFFILIATE_VIRAL_VIDEO%22%2C%22placeholder_product_id%22%3A%221729427766722726591%22%2C%22placeholder_video_id%22%3A%227629926744312548615%22%7D&amp;ec_shared_reflux_scene=shop_tab_feed&amp;share_item_id=7629926744312548615&amp;source=h5_t" TargetMode="External"/><Relationship Id="rId8580" Type="http://schemas.openxmlformats.org/officeDocument/2006/relationships/hyperlink" Target="https://www.tiktok.com/@fashion_cantik999" TargetMode="External"/><Relationship Id="rId7254" Type="http://schemas.openxmlformats.org/officeDocument/2006/relationships/hyperlink" Target="https://www.tiktok.com/@meituni29/video/7635176906274426133?_r=1&amp;u_code=dibcckj1hfg2cm&amp;region=&amp;mid=6981828410792216577&amp;preview_pb=0&amp;sharer_language=&amp;_d=0&amp;ec_shared_reflux_dynamic_params=%7B%22placeholder_material_id%22%3A%227635176906274426133%22%2C%22placeholder_origin_cover%22%3A%22https%253A%252F%252Fp16-common-sign.tiktokcdn.com%252Ftos-alisg-p-0037%252Fo8I1IBACIm4fAkB00iHDvYJ1uX5C5iEwqRWPAQ~tplv-tiktokx-origin.jpeg%253Fdr%253D14572%2526refresh_token%253D20d2b8ab%2526x-expires%253D1809504000%2526x-signature%253DtiX4Czx15w%25252BdaCy5Z%25252BA8oVJ0md4%25253D%2526t%253D4d5b0474%2526ps%253D13740610%2526shp%253Dd05b14bd%2526shcp%253D34ff8df6%2526idc%253Dmy%2526s%253DTIKTOK_AFFILIATE_VIRAL_VIDEO%22%2C%22placeholder_product_id%22%3A%221729427766722726591%22%2C%22placeholder_video_id%22%3A%227635176906274426133%22%7D&amp;ec_shared_reflux_scene=shop_tab_feed&amp;share_item_id=7635176906274426133&amp;source=h5_t" TargetMode="External"/><Relationship Id="rId8585" Type="http://schemas.openxmlformats.org/officeDocument/2006/relationships/hyperlink" Target="https://www.tiktok.com/@dewiisartika2910" TargetMode="External"/><Relationship Id="rId7253" Type="http://schemas.openxmlformats.org/officeDocument/2006/relationships/hyperlink" Target="https://www.tiktok.com/@swestiii" TargetMode="External"/><Relationship Id="rId8584" Type="http://schemas.openxmlformats.org/officeDocument/2006/relationships/hyperlink" Target="https://www.tiktok.com/@belanja_hemat.shop/video/7630283480441621767?_r=1&amp;u_code=ek6h2252jijmih&amp;region=&amp;mid=7615963521880558357&amp;preview_pb=0&amp;sharer_language=&amp;_d=0&amp;ec_shared_reflux_dynamic_params=%7B%22placeholder_material_id%22%3A%227630283480441621767%22%2C%22placeholder_origin_cover%22%3A%22https%253A%252F%252Fp16-sign-sg.tiktokcdn.com%252Ftos-alisg-p-0037%252FowLgThbTAvZEDmUpRgqBBrYOOEQeQEFIpPa5fD~tplv-tiktokx-origin.jpeg%253Fdr%253D14572%2526refresh_token%253D7028f3e9%2526x-expires%253D1808992800%2526x-signature%253Dm8NIDbYtD8vdd9sCzAcHHhWysZQ%25253D%2526t%253D4d5b0474%2526ps%253D13740610%2526shp%253Dd05b14bd%2526shcp%253D34ff8df6%2526idc%253Dmy2%2526s%253DTIKTOK_AFFILIATE_VIRAL_VIDEO%22%2C%22placeholder_product_id%22%3A%221729427766722726591%22%2C%22placeholder_video_id%22%3A%227630283480441621767%22%7D&amp;ec_shared_reflux_scene=shop_tab_feed&amp;share_item_id=7630283480441621767&amp;source=h5_t" TargetMode="External"/><Relationship Id="rId7252" Type="http://schemas.openxmlformats.org/officeDocument/2006/relationships/hyperlink" Target="https://vt.tiktok.com/ZS98NGqCr/" TargetMode="External"/><Relationship Id="rId8583" Type="http://schemas.openxmlformats.org/officeDocument/2006/relationships/hyperlink" Target="https://www.tiktok.com/@belanja_hemat.shop/video/7630083439080852744?_r=1&amp;u_code=ek6h2252jijmih&amp;region=&amp;mid=7502446149192567607&amp;preview_pb=0&amp;sharer_language=&amp;_d=0&amp;ec_shared_reflux_dynamic_params=%7B%22placeholder_material_id%22%3A%227630083439080852744%22%2C%22placeholder_origin_cover%22%3A%22https%253A%252F%252Fp16-common-sign.tiktokcdn.com%252Ftos-alisg-p-0037%252FoEONqiBlICA7hICZgjiI3AAAgBswH8WOe0PpIT~tplv-tiktokx-origin.jpeg%253Fdr%253D14572%2526refresh_token%253Dc5a3bd01%2526x-expires%253D1808992800%2526x-signature%253DmHrmToRfBoDI76E5SnS33jucUxo%25253D%2526t%253D4d5b0474%2526ps%253D13740610%2526shp%253Dd05b14bd%2526shcp%253D34ff8df6%2526idc%253Dmy2%2526s%253DTIKTOK_AFFILIATE_VIRAL_VIDEO%22%2C%22placeholder_product_id%22%3A%221729427766722726591%22%2C%22placeholder_video_id%22%3A%227630083439080852744%22%7D&amp;ec_shared_reflux_scene=shop_tab_feed&amp;share_item_id=7630083439080852744&amp;source=h5_t" TargetMode="External"/><Relationship Id="rId7251" Type="http://schemas.openxmlformats.org/officeDocument/2006/relationships/hyperlink" Target="https://vt.tiktok.com/ZS9eqk3fq/" TargetMode="External"/><Relationship Id="rId8582" Type="http://schemas.openxmlformats.org/officeDocument/2006/relationships/hyperlink" Target="https://www.tiktok.com/@belanja_hemat.shop/video/7630068304346074375?_r=1&amp;u_code=ek6h2252jijmih&amp;region=&amp;mid=7502446149192567607&amp;preview_pb=0&amp;sharer_language=&amp;_d=0&amp;ec_shared_reflux_dynamic_params=%7B%22placeholder_material_id%22%3A%227630068304346074375%22%2C%22placeholder_origin_cover%22%3A%22https%253A%252F%252Fp16-common-sign.tiktokcdn.com%252Ftos-alisg-p-0037%252FoY0jIj6CABiiHw6UKcYAvir4yAqkkIDPINeK4B~tplv-tiktokx-origin.jpeg%253Fdr%253D14572%2526refresh_token%253Dc394bf07%2526x-expires%253D1808992800%2526x-signature%253D%25252FXFHLg710N9EHbaT4qukgslNM%25252F0%25253D%2526t%253D4d5b0474%2526ps%253D13740610%2526shp%253Dd05b14bd%2526shcp%253D34ff8df6%2526idc%253Dmy2%2526s%253DTIKTOK_AFFILIATE_VIRAL_VIDEO%22%2C%22placeholder_product_id%22%3A%221729427766722726591%22%2C%22placeholder_video_id%22%3A%227630068304346074375%22%7D&amp;ec_shared_reflux_scene=shop_tab_feed&amp;share_item_id=7630068304346074375&amp;source=h5_t" TargetMode="External"/><Relationship Id="rId7258" Type="http://schemas.openxmlformats.org/officeDocument/2006/relationships/hyperlink" Target="https://www.tiktok.com/@by_malissa" TargetMode="External"/><Relationship Id="rId8589" Type="http://schemas.openxmlformats.org/officeDocument/2006/relationships/hyperlink" Target="https://vt.tiktok.com/ZSxDYQyTW/" TargetMode="External"/><Relationship Id="rId7257" Type="http://schemas.openxmlformats.org/officeDocument/2006/relationships/hyperlink" Target="https://vt.tiktok.com/ZS9ojERFm/" TargetMode="External"/><Relationship Id="rId8588" Type="http://schemas.openxmlformats.org/officeDocument/2006/relationships/hyperlink" Target="https://vt.tiktok.com/ZSxDYhccb/" TargetMode="External"/><Relationship Id="rId7256" Type="http://schemas.openxmlformats.org/officeDocument/2006/relationships/hyperlink" Target="https://www.tiktok.com/@meituni29/video/7635297460130270485?_r=1&amp;u_code=dibcckj1hfg2cm&amp;region=&amp;mid=7397818121896593424&amp;preview_pb=0&amp;sharer_language=&amp;_d=0&amp;ec_shared_reflux_dynamic_params=%7B%22placeholder_material_id%22%3A%227635297460130270485%22%2C%22placeholder_origin_cover%22%3A%22https%253A%252F%252Fp16-common-sign.tiktokcdn.com%252Ftos-alisg-p-0037%252Foc2Ug9DBTIpdFvZYSUfBRebIqmDHBgEbAEBKPI~tplv-tiktokx-origin.jpeg%253Fdr%253D14572%2526refresh_token%253D165fe96c%2526x-expires%253D1809504000%2526x-signature%253D3vF6R6JXSOiE833lngAENSEoStE%25253D%2526t%253D4d5b0474%2526ps%253D13740610%2526shp%253Dd05b14bd%2526shcp%253D34ff8df6%2526idc%253Dmy%2526s%253DTIKTOK_AFFILIATE_VIRAL_VIDEO%22%2C%22placeholder_product_id%22%3A%221729427766722726591%22%2C%22placeholder_video_id%22%3A%227635297460130270485%22%7D&amp;ec_shared_reflux_scene=shop_tab_feed&amp;share_item_id=7635297460130270485&amp;source=h5_t" TargetMode="External"/><Relationship Id="rId8587" Type="http://schemas.openxmlformats.org/officeDocument/2006/relationships/hyperlink" Target="https://vt.tiktok.com/ZSxfQGEgj/" TargetMode="External"/><Relationship Id="rId7255" Type="http://schemas.openxmlformats.org/officeDocument/2006/relationships/hyperlink" Target="https://www.tiktok.com/@meituni29/video/7635265293807389973?_r=1&amp;u_code=dibcckj1hfg2cm&amp;region=&amp;mid=7605117866958358529&amp;preview_pb=0&amp;sharer_language=&amp;_d=0&amp;ec_shared_reflux_dynamic_params=%7B%22placeholder_material_id%22%3A%227635265293807389973%22%2C%22placeholder_origin_cover%22%3A%22https%253A%252F%252Fp19-common-sign.tiktokcdn.com%252Ftos-alisg-p-0037%252Fos7GLC6f9IezVjK1IBOVIe9Xo66qTIAQXD4jAs~tplv-tiktokx-origin.jpeg%253Fdr%253D14572%2526refresh_token%253Daad2a06c%2526x-expires%253D1809504000%2526x-signature%253Dtz%25252F0JgNDpQjJ3%25252Bci7tl0vsuN9QM%25253D%2526t%253D4d5b0474%2526ps%253D13740610%2526shp%253Dd05b14bd%2526shcp%253D34ff8df6%2526idc%253Dmy%2526s%253DTIKTOK_AFFILIATE_VIRAL_VIDEO%22%2C%22placeholder_product_id%22%3A%221729729730555512511%22%2C%22placeholder_video_id%22%3A%227635265293807389973%22%7D&amp;ec_shared_reflux_scene=shop_tab_feed&amp;share_item_id=7635265293807389973&amp;source=h5_t" TargetMode="External"/><Relationship Id="rId8586" Type="http://schemas.openxmlformats.org/officeDocument/2006/relationships/hyperlink" Target="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aceholder_origin_cover%22%3A%22https%253A%252F%252Fp16-common-sign.tiktokcdn.com%252Ftos-alisg-p-0037%252FocT3fUyagtsUCPXIgtfvGDAQDjLK9oeTHAQG2I~tplv-tiktokx-origin.jpeg%253Fdr%253D14572%2526refresh_token%253D13d7c298%2526x-expires%253D1808992800%2526x-signature%253Dm1yuhUo4JC1EwMfosEQhUBd56yw%25253D%2526t%253D4d5b0474%2526ps%253D13740610%2526shp%253Dd05b14bd%2526shcp%253D34ff8df6%2526idc%253Dmy2%2526s%253DTIKTOK_AFFILIATE_VIRAL_VIDEO%22%2C%22placeholder_product_id%22%3A%221729427766722726591%22%2C%22placeholder_video_id%22%3A%227633434949797858581%22%7D&amp;ec_shared_reflux_scene=shop_tab_feed&amp;share_item_id=7633434949797858581&amp;source=h5_t" TargetMode="External"/><Relationship Id="rId7259" Type="http://schemas.openxmlformats.org/officeDocument/2006/relationships/hyperlink" Target="https://vt.tiktok.com/ZSxWoo5G1/" TargetMode="External"/><Relationship Id="rId8570" Type="http://schemas.openxmlformats.org/officeDocument/2006/relationships/hyperlink" Target="https://www.tiktok.com/@elfss_i" TargetMode="External"/><Relationship Id="rId7243" Type="http://schemas.openxmlformats.org/officeDocument/2006/relationships/hyperlink" Target="https://www.tiktok.com/@cahayabodycare" TargetMode="External"/><Relationship Id="rId8574" Type="http://schemas.openxmlformats.org/officeDocument/2006/relationships/hyperlink" Target="https://www.tiktok.com/@rositaramdani7/video/7632840621039914248?_d=0&amp;_r=1&amp;ec_shared_reflux_dynamic_params=%7B%22placeholder_material_id%22%3A%227632840621039914248%22%2C%22placeholder_origin_cover%22%3A%22https%253A%252F%252Fp16-common-sign.tiktokcdn.com%252Ftos-alisg-p-0037%252Fo4Tq0AI4XCBVwjAWIYrCAIztJuiCI9hiVLCQfh~tplv-tiktokx-origin.jpeg%253Fdr%253D14572%2526refresh_token%253D142f2fad%2526x-expires%253D1808992800%2526x-signature%253DHpeIR5KLtc6wc1RTiJXRcQO8fOs%25253D%2526t%253D4d5b0474%2526ps%253D13740610%2526shp%253Dd05b14bd%2526shcp%253D34ff8df6%2526idc%253Dmy2%2526s%253DTIKTOK_AFFILIATE_VIRAL_VIDEO%22%2C%22placeholder_product_id%22%3A%221729427766722726591%22%2C%22placeholder_video_id%22%3A%227632840621039914248%22%7D&amp;ec_shared_reflux_scene=shop_tab_feed&amp;mid=7591377536513985281&amp;preview_pb=0&amp;region=&amp;share_item_id=7632840621039914248&amp;sharer_language=&amp;source=h5_t&amp;u_code=f1489jb4bi84e11" TargetMode="External"/><Relationship Id="rId7242" Type="http://schemas.openxmlformats.org/officeDocument/2006/relationships/hyperlink" Target="https://vt.tiktok.com/ZS9ojERFm/" TargetMode="External"/><Relationship Id="rId8573" Type="http://schemas.openxmlformats.org/officeDocument/2006/relationships/hyperlink" Target="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22placeholder_origin_cover%22%3A%22https%253A%252F%252Fp16-common-sign.tiktokcdn.com%252Ftos-alisg-p-0037%252Fow724I9IGp8GJCSiAIeZAtCBfL0WETDI55ejBs~tplv-tiktokx-origin.jpeg%253Fdr%253D14572%2526refresh_token%253D974a53c8%2526x-expires%253D1808992800%2526x-signature%253DbBhbMoNFUGaDXGV%25252F1hVcSOsTVPM%25253D%2526t%253D4d5b0474%2526ps%253D13740610%2526shp%253Dd05b14bd%2526shcp%253D34ff8df6%2526idc%253Dmy2%2526s%253DTIKTOK_AFFILIATE_VIRAL_VIDEO%22%2C%22placeholder_product_id%22%3A%221729427766722726591%22%2C%22placeholder_video_id%22%3A%227632556344465231122%22%7D&amp;ec_shared_reflux_scene=shop_tab_feed&amp;share_item_id=7632556344465231122&amp;source=h5_t" TargetMode="External"/><Relationship Id="rId7241" Type="http://schemas.openxmlformats.org/officeDocument/2006/relationships/hyperlink" Target="https://www.tiktok.com/@meituni29/video/7635297460130270485?_r=1&amp;u_code=dibcckj1hfg2cm&amp;region=&amp;mid=7397818121896593424&amp;preview_pb=0&amp;sharer_language=&amp;_d=0&amp;ec_shared_reflux_dynamic_params=%7B%22placeholder_material_id%22%3A%227635297460130270485%22%2C%22placeholder_origin_cover%22%3A%22https%253A%252F%252Fp16-common-sign.tiktokcdn.com%252Ftos-alisg-p-0037%252Foc2Ug9DBTIpdFvZYSUfBRebIqmDHBgEbAEBKPI~tplv-tiktokx-origin.jpeg%253Fdr%253D14572%2526refresh_token%253D165fe96c%2526x-expires%253D1809504000%2526x-signature%253D3vF6R6JXSOiE833lngAENSEoStE%25253D%2526t%253D4d5b0474%2526ps%253D13740610%2526shp%253Dd05b14bd%2526shcp%253D34ff8df6%2526idc%253Dmy%2526s%253DTIKTOK_AFFILIATE_VIRAL_VIDEO%22%2C%22placeholder_product_id%22%3A%221729427766722726591%22%2C%22placeholder_video_id%22%3A%227635297460130270485%22%7D&amp;ec_shared_reflux_scene=shop_tab_feed&amp;share_item_id=7635297460130270485&amp;source=h5_t" TargetMode="External"/><Relationship Id="rId8572" Type="http://schemas.openxmlformats.org/officeDocument/2006/relationships/hyperlink" Target="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22placeholder_origin_cover%22%3A%22https%253A%252F%252Fp16-common-sign.tiktokcdn.com%252Ftos-alisg-p-0037%252FogtrPig6fAI1VtrDCBRpT4Bw9iBciEOXRfDIQy~tplv-tiktokx-origin.jpeg%253Fdr%253D14572%2526refresh_token%253Da7dfb7b6%2526x-expires%253D1808992800%2526x-signature%253DBLfnFU%25252FucpfNa%25252FqJkuXBbFXM3IE%25253D%2526t%253D4d5b0474%2526ps%253D13740610%2526shp%253Dd05b14bd%2526shcp%253D34ff8df6%2526idc%253Dmy2%2526s%253DTIKTOK_AFFILIATE_VIRAL_VIDEO%22%2C%22placeholder_product_id%22%3A%221729427766722726591%22%2C%22placeholder_video_id%22%3A%227632466134771453202%22%7D&amp;ec_shared_reflux_scene=shop_tab_feed&amp;share_item_id=7632466134771453202&amp;source=h5_t" TargetMode="External"/><Relationship Id="rId7240" Type="http://schemas.openxmlformats.org/officeDocument/2006/relationships/hyperlink" Target="https://www.tiktok.com/@meituni29/video/7635265293807389973?_r=1&amp;u_code=dibcckj1hfg2cm&amp;region=&amp;mid=7605117866958358529&amp;preview_pb=0&amp;sharer_language=&amp;_d=0&amp;ec_shared_reflux_dynamic_params=%7B%22placeholder_material_id%22%3A%227635265293807389973%22%2C%22placeholder_origin_cover%22%3A%22https%253A%252F%252Fp19-common-sign.tiktokcdn.com%252Ftos-alisg-p-0037%252Fos7GLC6f9IezVjK1IBOVIe9Xo66qTIAQXD4jAs~tplv-tiktokx-origin.jpeg%253Fdr%253D14572%2526refresh_token%253Daad2a06c%2526x-expires%253D1809504000%2526x-signature%253Dtz%25252F0JgNDpQjJ3%25252Bci7tl0vsuN9QM%25253D%2526t%253D4d5b0474%2526ps%253D13740610%2526shp%253Dd05b14bd%2526shcp%253D34ff8df6%2526idc%253Dmy%2526s%253DTIKTOK_AFFILIATE_VIRAL_VIDEO%22%2C%22placeholder_product_id%22%3A%221729729730555512511%22%2C%22placeholder_video_id%22%3A%227635265293807389973%22%7D&amp;ec_shared_reflux_scene=shop_tab_feed&amp;share_item_id=7635265293807389973&amp;source=h5_t" TargetMode="External"/><Relationship Id="rId8571" Type="http://schemas.openxmlformats.org/officeDocument/2006/relationships/hyperlink" Target="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22placeholder_origin_cover%22%3A%22https%253A%252F%252Fp16-common-sign.tiktokcdn.com%252Ftos-alisg-p-0037%252Fo8fO8AM1hZeDgXj1TZgNKQoIABetCT1Aj7WrQE~tplv-tiktokx-origin.jpeg%253Fdr%253D14572%2526refresh_token%253Db34d4f83%2526x-expires%253D1808992800%2526x-signature%253D5d%25252BwOsNi1vQGg3hT4qvK4L51k%25252FQ%25253D%2526t%253D4d5b0474%2526ps%253D13740610%2526shp%253Dd05b14bd%2526shcp%253D34ff8df6%2526idc%253Dmy2%2526s%253DTIKTOK_AFFILIATE_VIRAL_VIDEO%22%2C%22placeholder_product_id%22%3A%221729427766722726591%22%2C%22placeholder_video_id%22%3A%227632292373736803591%22%7D&amp;ec_shared_reflux_scene=shop_tab_feed&amp;share_item_id=7632292373736803591&amp;source=h5_t" TargetMode="External"/><Relationship Id="rId7247" Type="http://schemas.openxmlformats.org/officeDocument/2006/relationships/hyperlink" Target="https://vt.tiktok.com/ZS9eVfgqV/" TargetMode="External"/><Relationship Id="rId8578" Type="http://schemas.openxmlformats.org/officeDocument/2006/relationships/hyperlink" Target="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eholder_origin_cover%22%3A%22https%253A%252F%252Fp16-sign-sg.tiktokcdn.com%252Ftos-alisg-p-0037%252Fo03hfABezYXBDiRNp9OP7BUEgIxxBiEINkwKiH~tplv-tiktokx-origin.jpeg%253Fdr%253D14572%2526refresh_token%253D2b3edbd9%2526x-expires%253D1808992800%2526x-signature%253DuF7qjx32DHmqMM4GzKo0wROx5Eg%25253D%2526t%253D4d5b0474%2526ps%253D13740610%2526shp%253Dd05b14bd%2526shcp%253D34ff8df6%2526idc%253Dmy2%2526s%253DTIKTOK_AFFILIATE_VIRAL_VIDEO%22%2C%22placeholder_product_id%22%3A%221729427766722726591%22%2C%22placeholder_video_id%22%3A%227633988561930423560%22%7D&amp;ec_shared_reflux_scene=shop_tab_feed&amp;share_item_id=7633988561930423560&amp;source=h5_t" TargetMode="External"/><Relationship Id="rId7246" Type="http://schemas.openxmlformats.org/officeDocument/2006/relationships/hyperlink" Target="https://vt.tiktok.com/ZS9eVYnh4/" TargetMode="External"/><Relationship Id="rId8577" Type="http://schemas.openxmlformats.org/officeDocument/2006/relationships/hyperlink" Target="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eholder_origin_cover%22%3A%22https%253A%252F%252Fp16-common-sign.tiktokcdn.com%252Ftos-alisg-p-0037%252FoEvtB2BmQIJJbKvDCITIgGKC4QfW4c8eAAeLPj~tplv-tiktokx-origin.jpeg%253Fdr%253D14572%2526refresh_token%253D14b8e5a1%2526x-expires%253D1808992800%2526x-signature%253DsBKNRZM9NlGgABGP%25252Bi5CuTVSWFg%25253D%2526t%253D4d5b0474%2526ps%253D13740610%2526shp%253Dd05b14bd%2526shcp%253D34ff8df6%2526idc%253Dmy2%2526s%253DTIKTOK_AFFILIATE_VIRAL_VIDEO%22%2C%22placeholder_product_id%22%3A%221729427766722726591%22%2C%22placeholder_video_id%22%3A%227633619284236799240%22%7D&amp;ec_shared_reflux_scene=shop_tab_feed&amp;share_item_id=7633619284236799240&amp;source=h5_t" TargetMode="External"/><Relationship Id="rId7245" Type="http://schemas.openxmlformats.org/officeDocument/2006/relationships/hyperlink" Target="https://vt.tiktok.com/ZS9eVPFWc/" TargetMode="External"/><Relationship Id="rId8576" Type="http://schemas.openxmlformats.org/officeDocument/2006/relationships/hyperlink" Target="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eholder_origin_cover%22%3A%22https%253A%252F%252Fp16-common-sign.tiktokcdn.com%252Ftos-alisg-p-0037%252Fokej83InNuARId4oIVGPkcAQGeAeLDBS0CHTZQ~tplv-tiktokx-origin.jpeg%253Fdr%253D14572%2526refresh_token%253D3b7eb85d%2526x-expires%253D1808992800%2526x-signature%253DzhyQY%25252Bd9E%25252FZMgX7MRj4vEnlPr%25252BI%25253D%2526t%253D4d5b0474%2526ps%253D13740610%2526shp%253Dd05b14bd%2526shcp%253D34ff8df6%2526idc%253Dmy2%2526s%253DTIKTOK_AFFILIATE_VIRAL_VIDEO%22%2C%22placeholder_product_id%22%3A%221729427766722726591%22%2C%22placeholder_video_id%22%3A%227633259666696391954%22%7D&amp;ec_shared_reflux_scene=shop_tab_feed&amp;share_item_id=7633259666696391954&amp;source=h5_t" TargetMode="External"/><Relationship Id="rId7244" Type="http://schemas.openxmlformats.org/officeDocument/2006/relationships/hyperlink" Target="https://vt.tiktok.com/ZS9eV59WU/" TargetMode="External"/><Relationship Id="rId8575" Type="http://schemas.openxmlformats.org/officeDocument/2006/relationships/hyperlink" Target="https://www.tiktok.com/@spillbylisaa" TargetMode="External"/><Relationship Id="rId7249" Type="http://schemas.openxmlformats.org/officeDocument/2006/relationships/hyperlink" Target="https://vt.tiktok.com/ZS9eqh363/" TargetMode="External"/><Relationship Id="rId7248" Type="http://schemas.openxmlformats.org/officeDocument/2006/relationships/hyperlink" Target="https://www.tiktok.com/@liwiastor" TargetMode="External"/><Relationship Id="rId8579" Type="http://schemas.openxmlformats.org/officeDocument/2006/relationships/hyperlink" Target="https://vt.tiktok.com/ZSxfCLAv5/" TargetMode="External"/><Relationship Id="rId2423" Type="http://schemas.openxmlformats.org/officeDocument/2006/relationships/hyperlink" Target="https://vt.tiktok.com/ZSHtk1hLa/" TargetMode="External"/><Relationship Id="rId3755" Type="http://schemas.openxmlformats.org/officeDocument/2006/relationships/hyperlink" Target="https://vt.tiktok.com/ZSxHyysu1/" TargetMode="External"/><Relationship Id="rId2424" Type="http://schemas.openxmlformats.org/officeDocument/2006/relationships/hyperlink" Target="https://vt.tiktok.com/ZS9GTYdsy/" TargetMode="External"/><Relationship Id="rId3754" Type="http://schemas.openxmlformats.org/officeDocument/2006/relationships/hyperlink" Target="https://vt.tiktok.com/ZSxHyBBKA/" TargetMode="External"/><Relationship Id="rId2425" Type="http://schemas.openxmlformats.org/officeDocument/2006/relationships/hyperlink" Target="https://www.tiktok.com/@nolisnurjanah21/video/7636463084164549908?_r=1&amp;u_code=e85madfeelij2j&amp;region=&amp;mid=7626822836711181074&amp;preview_pb=0&amp;sharer_language=&amp;_d=0&amp;ec_shared_reflux_dynamic_params=%7B%22placeholder_material_id%22%3A%227636463084164549908%22%2C%22placeholder_origin_cover%22%3A%22https%253A%252F%252Fp16-common-sign.tiktokcdn.com%252Ftos-alisg-p-0037%252FosDE6sfpB7riTF3Is81CAk4MEeIDKIkAjfLEBY~tplv-tiktokx-origin.jpeg%253Fdr%253D14572%2526refresh_token%253D0703708e%2526x-expires%253D1810119600%2526x-signature%253DsbFnB%25252BMaMGM19xs%25252FqGUIk1MRTvY%25253D%2526t%253D4d5b0474%2526ps%253D13740610%2526shp%253Dd05b14bd%2526shcp%253D34ff8df6%2526idc%253Dmy2%2526s%253DTIKTOK_AFFILIATE_VIRAL_VIDEO%22%2C%22placeholder_product_id%22%3A%221729729730555512511%22%2C%22placeholder_video_id%22%3A%227636463084164549908%22%7D&amp;ec_shared_reflux_scene=shop_tab_feed&amp;share_item_id=7636463084164549908&amp;source=h5_t" TargetMode="External"/><Relationship Id="rId3757" Type="http://schemas.openxmlformats.org/officeDocument/2006/relationships/hyperlink" Target="https://www.tiktok.com/@zilasamudra/video/7635872993041861902" TargetMode="External"/><Relationship Id="rId2426" Type="http://schemas.openxmlformats.org/officeDocument/2006/relationships/hyperlink" Target="https://www.tiktok.com/@nviie_a" TargetMode="External"/><Relationship Id="rId3756" Type="http://schemas.openxmlformats.org/officeDocument/2006/relationships/hyperlink" Target="https://www.tiktok.com/@faabeauty11" TargetMode="External"/><Relationship Id="rId2427" Type="http://schemas.openxmlformats.org/officeDocument/2006/relationships/hyperlink" Target="https://vt.tiktok.com/ZS98CVLE8/" TargetMode="External"/><Relationship Id="rId3759" Type="http://schemas.openxmlformats.org/officeDocument/2006/relationships/hyperlink" Target="https://www.tiktok.com/@zilasamudra/video/7634895870240132367" TargetMode="External"/><Relationship Id="rId10181" Type="http://schemas.openxmlformats.org/officeDocument/2006/relationships/hyperlink" Target="https://www.tiktok.com/@chrnmccar" TargetMode="External"/><Relationship Id="rId2428" Type="http://schemas.openxmlformats.org/officeDocument/2006/relationships/hyperlink" Target="https://www.tiktok.com/@elisacollectione" TargetMode="External"/><Relationship Id="rId3758" Type="http://schemas.openxmlformats.org/officeDocument/2006/relationships/hyperlink" Target="https://www.tiktok.com/@zilasamudra/video/7635225457511697679" TargetMode="External"/><Relationship Id="rId10182" Type="http://schemas.openxmlformats.org/officeDocument/2006/relationships/hyperlink" Target="https://www.tiktok.com/@anastasia_amelia" TargetMode="External"/><Relationship Id="rId2429" Type="http://schemas.openxmlformats.org/officeDocument/2006/relationships/hyperlink" Target="https://www.tiktok.com/@elisacollectione/video/7621780925038333191" TargetMode="External"/><Relationship Id="rId10180" Type="http://schemas.openxmlformats.org/officeDocument/2006/relationships/hyperlink" Target="https://www.tiktok.com/@hestiwulandr_" TargetMode="External"/><Relationship Id="rId10174" Type="http://schemas.openxmlformats.org/officeDocument/2006/relationships/hyperlink" Target="https://www.tiktok.com/@rhismayanaa" TargetMode="External"/><Relationship Id="rId10175" Type="http://schemas.openxmlformats.org/officeDocument/2006/relationships/hyperlink" Target="https://www.tiktok.com/@antikatikak_" TargetMode="External"/><Relationship Id="rId10172" Type="http://schemas.openxmlformats.org/officeDocument/2006/relationships/hyperlink" Target="https://www.tiktok.com/@nabelasetiadi" TargetMode="External"/><Relationship Id="rId10173" Type="http://schemas.openxmlformats.org/officeDocument/2006/relationships/hyperlink" Target="https://www.tiktok.com/@onja.onya" TargetMode="External"/><Relationship Id="rId3751" Type="http://schemas.openxmlformats.org/officeDocument/2006/relationships/hyperlink" Target="https://www.tiktok.com/@medi_s11" TargetMode="External"/><Relationship Id="rId10178" Type="http://schemas.openxmlformats.org/officeDocument/2006/relationships/hyperlink" Target="https://www.tiktok.com/@aquagurls4" TargetMode="External"/><Relationship Id="rId2420" Type="http://schemas.openxmlformats.org/officeDocument/2006/relationships/hyperlink" Target="https://vt.tiktok.com/ZSHdv4hWQ/" TargetMode="External"/><Relationship Id="rId3750" Type="http://schemas.openxmlformats.org/officeDocument/2006/relationships/hyperlink" Target="https://vt.tiktok.com/ZSxHy3kbg/" TargetMode="External"/><Relationship Id="rId10179" Type="http://schemas.openxmlformats.org/officeDocument/2006/relationships/hyperlink" Target="https://www.tiktok.com/@cloudyexe_" TargetMode="External"/><Relationship Id="rId2421" Type="http://schemas.openxmlformats.org/officeDocument/2006/relationships/hyperlink" Target="https://www.tiktok.com/@yunisecond" TargetMode="External"/><Relationship Id="rId3753" Type="http://schemas.openxmlformats.org/officeDocument/2006/relationships/hyperlink" Target="https://vt.tiktok.com/ZSxHyHnBB/" TargetMode="External"/><Relationship Id="rId10176" Type="http://schemas.openxmlformats.org/officeDocument/2006/relationships/hyperlink" Target="https://www.tiktok.com/@urccharmmerr" TargetMode="External"/><Relationship Id="rId2422" Type="http://schemas.openxmlformats.org/officeDocument/2006/relationships/hyperlink" Target="https://vt.tiktok.com/ZSHx2CATf/" TargetMode="External"/><Relationship Id="rId3752" Type="http://schemas.openxmlformats.org/officeDocument/2006/relationships/hyperlink" Target="https://vt.tiktok.com/ZSxHyo3tP/" TargetMode="External"/><Relationship Id="rId10177" Type="http://schemas.openxmlformats.org/officeDocument/2006/relationships/hyperlink" Target="https://www.tiktok.com/@bygabryiella" TargetMode="External"/><Relationship Id="rId2412" Type="http://schemas.openxmlformats.org/officeDocument/2006/relationships/hyperlink" Target="https://vt.tiktok.com/ZS9GTYWP5/" TargetMode="External"/><Relationship Id="rId3744" Type="http://schemas.openxmlformats.org/officeDocument/2006/relationships/hyperlink" Target="https://vt.tiktok.com/ZSxHfGar8/" TargetMode="External"/><Relationship Id="rId2413" Type="http://schemas.openxmlformats.org/officeDocument/2006/relationships/hyperlink" Target="https://www.tiktok.com/@lilis_sfr/video/7628824651287760148" TargetMode="External"/><Relationship Id="rId3743" Type="http://schemas.openxmlformats.org/officeDocument/2006/relationships/hyperlink" Target="https://www.tiktok.com/@hii_oplon/video/7633240381093727506?is_from_webapp=1&amp;sender_device=pc" TargetMode="External"/><Relationship Id="rId2414" Type="http://schemas.openxmlformats.org/officeDocument/2006/relationships/hyperlink" Target="https://www.tiktok.com/@bnsnyrm/video/7631782635001433365?_r=1&amp;u_code=63kci5e0k22g6&amp;region=&amp;mid=7618195374062652168&amp;preview_pb=0&amp;sharer_language=&amp;_d=0&amp;ec_shared_reflux_dynamic_params=%7B%22placeholder_material_id%22%3A%227631782635001433365%22%2C%22placeholder_origin_cover%22%3A%22https%253A%252F%252Fp16-common-sign.tiktokcdn.com%252Ftos-alisg-p-0037%252FocBfgGAvdCeVfGTAw4RpIdAi4yErY4WFwe9nDT~tplv-tiktokx-origin.jpeg%253Fdr%253D14572%2526refresh_token%253Ddd60047e%2526x-expires%253D1808474400%2526x-signature%253DS1VquVxCkERsgm5J5Wu3n84HUTw%25253D%2526t%253D4d5b0474%2526ps%253D13740610%2526shp%253Dd05b14bd%2526shcp%253D34ff8df6%2526idc%253Dmy3%2526s%253DTIKTOK_AFFILIATE_VIRAL_VIDEO%22%2C%22placeholder_product_id%22%3A%221729427766722726591%22%2C%22placeholder_video_id%22%3A%227631782635001433365%22%7D&amp;ec_shared_reflux_scene=shop_tab_feed&amp;share_item_id=7631782635001433365&amp;source=h5_t" TargetMode="External"/><Relationship Id="rId3746" Type="http://schemas.openxmlformats.org/officeDocument/2006/relationships/hyperlink" Target="https://www.tiktok.com/@iniakunjualan07" TargetMode="External"/><Relationship Id="rId2415" Type="http://schemas.openxmlformats.org/officeDocument/2006/relationships/hyperlink" Target="https://www.tiktok.com/@bnsnyrm/video/7631783715697478933?_r=1&amp;u_code=63kci5e0k22g6&amp;region=&amp;mid=7624067417425152775&amp;preview_pb=0&amp;sharer_language=&amp;_d=0&amp;ec_shared_reflux_dynamic_params=%7B%22placeholder_material_id%22%3A%227631783715697478933%22%2C%22placeholder_origin_cover%22%3A%22https%253A%252F%252Fp16-common-sign.tiktokcdn.com%252Ftos-alisg-p-0037%252FoQCIgEwBRrDIpAifpi56PYuxePBDEBFGcqRBzS~tplv-tiktokx-origin.jpeg%253Fdr%253D14572%2526refresh_token%253D51080f23%2526x-expires%253D1808474400%2526x-signature%253DvI9%25252FyxMdNdqeKUDq3TeUi1XKWRE%25253D%2526t%253D4d5b0474%2526ps%253D13740610%2526shp%253Dd05b14bd%2526shcp%253D34ff8df6%2526idc%253Dmy3%2526s%253DTIKTOK_AFFILIATE_VIRAL_VIDEO%22%2C%22placeholder_product_id%22%3A%221729427766722726591%22%2C%22placeholder_video_id%22%3A%227631783715697478933%22%7D&amp;ec_shared_reflux_scene=shop_tab_feed&amp;share_item_id=7631783715697478933&amp;source=h5_t" TargetMode="External"/><Relationship Id="rId3745" Type="http://schemas.openxmlformats.org/officeDocument/2006/relationships/hyperlink" Target="https://vt.tiktok.com/ZSxULyWUD/" TargetMode="External"/><Relationship Id="rId2416" Type="http://schemas.openxmlformats.org/officeDocument/2006/relationships/hyperlink" Target="https://www.tiktok.com/@bnsnyrm/video/7631784212680428821?_r=1&amp;u_code=63kci5e0k22g6&amp;region=&amp;mid=7621630593188743956&amp;preview_pb=0&amp;sharer_language=&amp;_d=0&amp;ec_shared_reflux_dynamic_params=%7B%22placeholder_material_id%22%3A%227631784212680428821%22%2C%22placeholder_origin_cover%22%3A%22https%253A%252F%252Fp16-common-sign.tiktokcdn.com%252Ftos-alisg-p-0037%252Fo4tgQo4j0I0xsfGJDNALN01aQeieTzICWCZhpA~tplv-tiktokx-origin.jpeg%253Fdr%253D14572%2526refresh_token%253D006bebf9%2526x-expires%253D1808474400%2526x-signature%253DizZUFh0HUBwxt5dVHPV6gfRuha4%25253D%2526t%253D4d5b0474%2526ps%253D13740610%2526shp%253Dd05b14bd%2526shcp%253D34ff8df6%2526idc%253Dmy3%2526s%253DTIKTOK_AFFILIATE_VIRAL_VIDEO%22%2C%22placeholder_product_id%22%3A%221729427766722726591%22%2C%22placeholder_video_id%22%3A%227631784212680428821%22%7D&amp;ec_shared_reflux_scene=shop_tab_feed&amp;share_item_id=7631784212680428821&amp;source=h5_t" TargetMode="External"/><Relationship Id="rId3748" Type="http://schemas.openxmlformats.org/officeDocument/2006/relationships/hyperlink" Target="https://vt.tiktok.com/ZSxHyK9kF/" TargetMode="External"/><Relationship Id="rId10192" Type="http://schemas.openxmlformats.org/officeDocument/2006/relationships/hyperlink" Target="https://www.tiktok.com/@iraawt1_" TargetMode="External"/><Relationship Id="rId2417" Type="http://schemas.openxmlformats.org/officeDocument/2006/relationships/hyperlink" Target="https://www.tiktok.com/@bnsnyrm/video/7631785933179866388?_r=1&amp;u_code=63kci5e0k22g6&amp;region=&amp;mid=7613362568048659217&amp;preview_pb=0&amp;sharer_language=&amp;_d=0&amp;ec_shared_reflux_dynamic_params=%7B%22placeholder_material_id%22%3A%227631785933179866388%22%2C%22placeholder_origin_cover%22%3A%22https%253A%252F%252Fp19-common-sign.tiktokcdn.com%252Ftos-alisg-p-0037%252FoQ2jOBKKTTDNXfepC5LIAkG3I0Ajlv9IIOea4x~tplv-tiktokx-origin.jpeg%253Fdr%253D14572%2526refresh_token%253D41fe6403%2526x-expires%253D1808474400%2526x-signature%253DXh6A%25252FXY0cV65edH%25252BTYkyEVZVmn4%25253D%2526t%253D4d5b0474%2526ps%253D13740610%2526shp%253Dd05b14bd%2526shcp%253D34ff8df6%2526idc%253Dmy3%2526s%253DTIKTOK_AFFILIATE_VIRAL_VIDEO%22%2C%22placeholder_product_id%22%3A%221729427766722726591%22%2C%22placeholder_video_id%22%3A%227631785933179866388%22%7D&amp;ec_shared_reflux_scene=shop_tab_feed&amp;share_item_id=7631785933179866388&amp;source=h5_t" TargetMode="External"/><Relationship Id="rId3747" Type="http://schemas.openxmlformats.org/officeDocument/2006/relationships/hyperlink" Target="https://vt.tiktok.com/ZSxHyWqN5/" TargetMode="External"/><Relationship Id="rId10193" Type="http://schemas.openxmlformats.org/officeDocument/2006/relationships/hyperlink" Target="https://www.tiktok.com/@dianace_" TargetMode="External"/><Relationship Id="rId2418" Type="http://schemas.openxmlformats.org/officeDocument/2006/relationships/hyperlink" Target="https://www.tiktok.com/@snlaily" TargetMode="External"/><Relationship Id="rId10190" Type="http://schemas.openxmlformats.org/officeDocument/2006/relationships/hyperlink" Target="https://www.tiktok.com/@maya_putrifadhillah" TargetMode="External"/><Relationship Id="rId2419" Type="http://schemas.openxmlformats.org/officeDocument/2006/relationships/hyperlink" Target="https://vt.tiktok.com/ZSHd73rfw/" TargetMode="External"/><Relationship Id="rId3749" Type="http://schemas.openxmlformats.org/officeDocument/2006/relationships/hyperlink" Target="https://vt.tiktok.com/ZSxHyEbuf/" TargetMode="External"/><Relationship Id="rId10191" Type="http://schemas.openxmlformats.org/officeDocument/2006/relationships/hyperlink" Target="https://www.tiktok.com/@mima.zioo" TargetMode="External"/><Relationship Id="rId10185" Type="http://schemas.openxmlformats.org/officeDocument/2006/relationships/hyperlink" Target="https://www.tiktok.com/@koleksi_byrama" TargetMode="External"/><Relationship Id="rId10186" Type="http://schemas.openxmlformats.org/officeDocument/2006/relationships/hyperlink" Target="https://www.tiktok.com/@peopleleskom" TargetMode="External"/><Relationship Id="rId10183" Type="http://schemas.openxmlformats.org/officeDocument/2006/relationships/hyperlink" Target="https://www.tiktok.com/@hallo_ingri" TargetMode="External"/><Relationship Id="rId10184" Type="http://schemas.openxmlformats.org/officeDocument/2006/relationships/hyperlink" Target="https://www.tiktok.com/@its.tasyaas" TargetMode="External"/><Relationship Id="rId3740" Type="http://schemas.openxmlformats.org/officeDocument/2006/relationships/hyperlink" Target="https://vt.tiktok.com/ZSxHf1QEy/" TargetMode="External"/><Relationship Id="rId10189" Type="http://schemas.openxmlformats.org/officeDocument/2006/relationships/hyperlink" Target="https://www.tiktok.com/@cahayakoleksi27" TargetMode="External"/><Relationship Id="rId2410" Type="http://schemas.openxmlformats.org/officeDocument/2006/relationships/hyperlink" Target="https://vt.tiktok.com/ZS9GTjn4t/" TargetMode="External"/><Relationship Id="rId3742" Type="http://schemas.openxmlformats.org/officeDocument/2006/relationships/hyperlink" Target="https://www.tiktok.com/@hii_oplon/video/7630858016627248392?is_from_webapp=1&amp;sender_device=pc" TargetMode="External"/><Relationship Id="rId10187" Type="http://schemas.openxmlformats.org/officeDocument/2006/relationships/hyperlink" Target="https://www.tiktok.com/@claudyagbrl2" TargetMode="External"/><Relationship Id="rId2411" Type="http://schemas.openxmlformats.org/officeDocument/2006/relationships/hyperlink" Target="https://vt.tiktok.com/ZS9GTjn4t/" TargetMode="External"/><Relationship Id="rId3741" Type="http://schemas.openxmlformats.org/officeDocument/2006/relationships/hyperlink" Target="https://www.tiktok.com/@hii_oplon" TargetMode="External"/><Relationship Id="rId10188" Type="http://schemas.openxmlformats.org/officeDocument/2006/relationships/hyperlink" Target="https://www.tiktok.com/@_cshaani" TargetMode="External"/><Relationship Id="rId1114" Type="http://schemas.openxmlformats.org/officeDocument/2006/relationships/hyperlink" Target="https://www.tiktok.com/@liayulianti1278/video/7610755116546673940?is_from_webapp=1&amp;sender_device=pc" TargetMode="External"/><Relationship Id="rId2445" Type="http://schemas.openxmlformats.org/officeDocument/2006/relationships/hyperlink" Target="https://vt.tiktok.com/ZSHUfrxYb/" TargetMode="External"/><Relationship Id="rId3777" Type="http://schemas.openxmlformats.org/officeDocument/2006/relationships/hyperlink" Target="https://www.tiktok.com/@zilasamudra/video/7635225457511697683" TargetMode="External"/><Relationship Id="rId1115" Type="http://schemas.openxmlformats.org/officeDocument/2006/relationships/hyperlink" Target="https://www.tiktok.com/@liayulianti1278/video/7611915904510594324?is_from_webapp=1&amp;sender_device=pc" TargetMode="External"/><Relationship Id="rId2446" Type="http://schemas.openxmlformats.org/officeDocument/2006/relationships/hyperlink" Target="https://vt.tiktok.com/ZSHP19uQM/" TargetMode="External"/><Relationship Id="rId3776" Type="http://schemas.openxmlformats.org/officeDocument/2006/relationships/hyperlink" Target="https://www.tiktok.com/@zilasamudra/video/7635872993041861906" TargetMode="External"/><Relationship Id="rId1116" Type="http://schemas.openxmlformats.org/officeDocument/2006/relationships/hyperlink" Target="https://www.tiktok.com/@liayulianti1278/video/7613287829334002965?is_from_webapp=1&amp;sender_device=pc" TargetMode="External"/><Relationship Id="rId2447" Type="http://schemas.openxmlformats.org/officeDocument/2006/relationships/hyperlink" Target="https://vt.tiktok.com/ZSHnq96wA/" TargetMode="External"/><Relationship Id="rId3779" Type="http://schemas.openxmlformats.org/officeDocument/2006/relationships/hyperlink" Target="https://www.tiktok.com/@zilasamudra/video/7634473073420438802" TargetMode="External"/><Relationship Id="rId1117" Type="http://schemas.openxmlformats.org/officeDocument/2006/relationships/hyperlink" Target="https://www.tiktok.com/@liayulianti1278/video/7613670502741052693?is_from_webapp=1&amp;sender_device=pc" TargetMode="External"/><Relationship Id="rId2448" Type="http://schemas.openxmlformats.org/officeDocument/2006/relationships/hyperlink" Target="https://www.tiktok.com/@ade_irma52" TargetMode="External"/><Relationship Id="rId3778" Type="http://schemas.openxmlformats.org/officeDocument/2006/relationships/hyperlink" Target="https://www.tiktok.com/@zilasamudra/video/7634895870240132371" TargetMode="External"/><Relationship Id="rId1118" Type="http://schemas.openxmlformats.org/officeDocument/2006/relationships/hyperlink" Target="https://www.tiktok.com/@indungbudak_" TargetMode="External"/><Relationship Id="rId2449" Type="http://schemas.openxmlformats.org/officeDocument/2006/relationships/hyperlink" Target="https://vt.tiktok.com/ZS982wYMm/" TargetMode="External"/><Relationship Id="rId1119" Type="http://schemas.openxmlformats.org/officeDocument/2006/relationships/hyperlink" Target="https://www.tiktok.com/@indungbudak_/video/7630731372029676807?_r=1&amp;u_code=e931imd5d6dbic&amp;region=&amp;mid=7450081019025017605&amp;preview_pb=0&amp;sharer_language=&amp;_d=0&amp;ec_shared_reflux_dynamic_params=%7B%22placeholder_material_id%22%3A%227630731372029676807%22%2C%22placeholder_origin_cover%22%3A%22https%253A%252F%252Fp16-common-sign.tiktokcdn.com%252Ftos-alisg-p-0037%252FoIEjzyIfZoG0XL45IkqpmbAgGeAeLDE2GCuT5g~tplv-tiktokx-origin.jpeg%253Fdr%253D14572%2526refresh_token%253D27d14d34%2526x-expires%253D1808301600%2526x-signature%253DYwm%25252BVxbkawSVp5oUF9cJopSm8jw%25253D%2526t%253D4d5b0474%2526ps%253D13740610%2526shp%253Dd05b14bd%2526shcp%253D34ff8df6%2526idc%253Dmy3%2526s%253DTIKTOK_AFFILIATE_VIRAL_VIDEO%22%2C%22placeholder_product_id%22%3A%221729427766722726591%22%2C%22placeholder_video_id%22%3A%227630731372029676807%22%7D&amp;ec_shared_reflux_scene=shop_tab_feed&amp;share_item_id=7630731372029676807&amp;source=h5_t" TargetMode="External"/><Relationship Id="rId10160" Type="http://schemas.openxmlformats.org/officeDocument/2006/relationships/hyperlink" Target="https://www.tiktok.com/@siopettttt____" TargetMode="External"/><Relationship Id="rId10158" Type="http://schemas.openxmlformats.org/officeDocument/2006/relationships/hyperlink" Target="https://www.tiktok.com/@nunataehyung93" TargetMode="External"/><Relationship Id="rId10159" Type="http://schemas.openxmlformats.org/officeDocument/2006/relationships/hyperlink" Target="https://www.tiktok.com/@cherryidn" TargetMode="External"/><Relationship Id="rId10152" Type="http://schemas.openxmlformats.org/officeDocument/2006/relationships/hyperlink" Target="https://www.tiktok.com/@megha.nrsptr_" TargetMode="External"/><Relationship Id="rId10153" Type="http://schemas.openxmlformats.org/officeDocument/2006/relationships/hyperlink" Target="https://www.tiktok.com/@fitriabdhl" TargetMode="External"/><Relationship Id="rId3771" Type="http://schemas.openxmlformats.org/officeDocument/2006/relationships/hyperlink" Target="https://www.tiktok.com/@zilasamudra/video/7635872993041861905" TargetMode="External"/><Relationship Id="rId10150" Type="http://schemas.openxmlformats.org/officeDocument/2006/relationships/hyperlink" Target="https://www.tiktok.com/@rekomendasi_36" TargetMode="External"/><Relationship Id="rId2440" Type="http://schemas.openxmlformats.org/officeDocument/2006/relationships/hyperlink" Target="https://www.tiktok.com/@nolisnurjanah21/video/7636547607841492245?_r=1&amp;u_code=e85madfeelij2j&amp;region=&amp;mid=7450054073216568081&amp;preview_pb=0&amp;sharer_language=&amp;_d=0&amp;ec_shared_reflux_dynamic_params=%7B%22placeholder_material_id%22%3A%227636547607841492245%22%2C%22placeholder_origin_cover%22%3A%22https%253A%252F%252Fp16-common-sign.tiktokcdn.com%252Ftos-alisg-p-0037%252FoYKd6BnXTzDPYfE6CrFEAdDrIeAjxYaII7fQ4n~tplv-tiktokx-origin.jpeg%253Fdr%253D14572%2526refresh_token%253Da1937286%2526x-expires%253D1810119600%2526x-signature%253DwW8yVk25OBYZD5UzzaFVe2l4slw%25253D%2526t%253D4d5b0474%2526ps%253D13740610%2526shp%253Dd05b14bd%2526shcp%253D34ff8df6%2526idc%253Dmy2%2526s%253DTIKTOK_AFFILIATE_VIRAL_VIDEO%22%2C%22placeholder_product_id%22%3A%221729729730555512511%22%2C%22placeholder_video_id%22%3A%227636547607841492245%22%7D&amp;ec_shared_reflux_scene=shop_tab_feed&amp;share_item_id=7636547607841492245&amp;source=h5_t" TargetMode="External"/><Relationship Id="rId3770" Type="http://schemas.openxmlformats.org/officeDocument/2006/relationships/hyperlink" Target="https://www.tiktok.com/@panglima_khadizah92" TargetMode="External"/><Relationship Id="rId10151" Type="http://schemas.openxmlformats.org/officeDocument/2006/relationships/hyperlink" Target="https://www.tiktok.com/@dailykurnia" TargetMode="External"/><Relationship Id="rId1110" Type="http://schemas.openxmlformats.org/officeDocument/2006/relationships/hyperlink" Target="https://www.tiktok.com/@hanisasarah18" TargetMode="External"/><Relationship Id="rId2441" Type="http://schemas.openxmlformats.org/officeDocument/2006/relationships/hyperlink" Target="https://www.tiktok.com/@racun_spalspil12/video/7636561304806755604?_r=1&amp;u_code=cllj6j6aidf05b&amp;region=&amp;mid=7497551820198398721&amp;preview_pb=0&amp;sharer_language=&amp;_d=0&amp;ec_shared_reflux_dynamic_params=%7B%22placeholder_material_id%22%3A%227636561304806755604%22%2C%22placeholder_origin_cover%22%3A%22https%253A%252F%252Fp16-common-sign.tiktokcdn.com%252Ftos-alisg-p-0037%252FoM4fehXjkICZIhUDEToAJODyFpfBACB0DIT6yi~tplv-tiktokx-origin.jpeg%253Fdr%253D14572%2526refresh_token%253Dfc9217e7%2526x-expires%253D1810116000%2526x-signature%253DDP4u7yl3UHPeRisGUV1eo9Gn1n0%25253D%2526t%253D4d5b0474%2526ps%253D13740610%2526shp%253Dd05b14bd%2526shcp%253D34ff8df6%2526idc%253Dmy2%2526s%253DTIKTOK_AFFILIATE_VIRAL_VIDEO%22%2C%22placeholder_product_id%22%3A%221729729730555512511%22%2C%22placeholder_video_id%22%3A%227636561304806755604%22%7D&amp;ec_shared_reflux_scene=shop_tab_feed&amp;share_item_id=7636561304806755604&amp;source=h5_t" TargetMode="External"/><Relationship Id="rId3773" Type="http://schemas.openxmlformats.org/officeDocument/2006/relationships/hyperlink" Target="https://www.tiktok.com/@zilasamudra/video/7634895870240132370" TargetMode="External"/><Relationship Id="rId10156" Type="http://schemas.openxmlformats.org/officeDocument/2006/relationships/hyperlink" Target="https://www.tiktok.com/@nisanurulhmdy" TargetMode="External"/><Relationship Id="rId1111" Type="http://schemas.openxmlformats.org/officeDocument/2006/relationships/hyperlink" Target="https://www.tiktok.com/@simas.032/video/7614274867940117778?is_from_webapp=1&amp;sender_device=pc" TargetMode="External"/><Relationship Id="rId2442" Type="http://schemas.openxmlformats.org/officeDocument/2006/relationships/hyperlink" Target="https://www.tiktok.com/@nolisnurjanah21/video/7636546176296242452?_r=1&amp;u_code=e85madfeelij2j&amp;region=&amp;mid=7409002695564053265&amp;preview_pb=0&amp;sharer_language=&amp;_d=0&amp;ec_shared_reflux_dynamic_params=%7B%22placeholder_material_id%22%3A%227636546176296242452%22%2C%22placeholder_origin_cover%22%3A%22https%253A%252F%252Fp16-common-sign.tiktokcdn.com%252Ftos-alisg-p-0037%252FokBIRGBdfDTfsgAI6gMpcVKiBn2iIEpnBIgAlS~tplv-tiktokx-origin.jpeg%253Fdr%253D14572%2526refresh_token%253D82c77f37%2526x-expires%253D1810119600%2526x-signature%253DEHvGF5Sopw8Xp6uEjCFXWlyTQb4%25253D%2526t%253D4d5b0474%2526ps%253D13740610%2526shp%253Dd05b14bd%2526shcp%253D34ff8df6%2526idc%253Dmy2%2526s%253DTIKTOK_AFFILIATE_VIRAL_VIDEO%22%2C%22placeholder_product_id%22%3A%221729729730555512511%22%2C%22placeholder_video_id%22%3A%227636546176296242452%22%7D&amp;ec_shared_reflux_scene=shop_tab_feed&amp;share_item_id=7636546176296242452&amp;source=h5_t" TargetMode="External"/><Relationship Id="rId3772" Type="http://schemas.openxmlformats.org/officeDocument/2006/relationships/hyperlink" Target="https://www.tiktok.com/@zilasamudra/video/7635225457511697682" TargetMode="External"/><Relationship Id="rId10157" Type="http://schemas.openxmlformats.org/officeDocument/2006/relationships/hyperlink" Target="https://www.tiktok.com/@evyllynepattikawa" TargetMode="External"/><Relationship Id="rId1112" Type="http://schemas.openxmlformats.org/officeDocument/2006/relationships/hyperlink" Target="https://vt.tiktok.com/ZSxQt9CCt/" TargetMode="External"/><Relationship Id="rId2443" Type="http://schemas.openxmlformats.org/officeDocument/2006/relationships/hyperlink" Target="https://www.tiktok.com/@widyafajar2" TargetMode="External"/><Relationship Id="rId3775" Type="http://schemas.openxmlformats.org/officeDocument/2006/relationships/hyperlink" Target="https://www.tiktok.com/@lilmiuwx" TargetMode="External"/><Relationship Id="rId10154" Type="http://schemas.openxmlformats.org/officeDocument/2006/relationships/hyperlink" Target="https://www.tiktok.com/@anaknyamamalidii" TargetMode="External"/><Relationship Id="rId1113" Type="http://schemas.openxmlformats.org/officeDocument/2006/relationships/hyperlink" Target="https://www.tiktok.com/@racunskincar3" TargetMode="External"/><Relationship Id="rId2444" Type="http://schemas.openxmlformats.org/officeDocument/2006/relationships/hyperlink" Target="https://vt.tiktok.com/ZSHNHV525/" TargetMode="External"/><Relationship Id="rId3774" Type="http://schemas.openxmlformats.org/officeDocument/2006/relationships/hyperlink" Target="https://www.tiktok.com/@zilasamudra/video/7634473073420438801" TargetMode="External"/><Relationship Id="rId10155" Type="http://schemas.openxmlformats.org/officeDocument/2006/relationships/hyperlink" Target="https://www.tiktok.com/@yaninay28" TargetMode="External"/><Relationship Id="rId1103" Type="http://schemas.openxmlformats.org/officeDocument/2006/relationships/hyperlink" Target="https://www.tiktok.com/@racuntiktok426/video/7614640024214179092?is_from_webapp=1&amp;sender_device=pc" TargetMode="External"/><Relationship Id="rId2434" Type="http://schemas.openxmlformats.org/officeDocument/2006/relationships/hyperlink" Target="https://vt.tiktok.com/ZSHo2T3ps/" TargetMode="External"/><Relationship Id="rId3766" Type="http://schemas.openxmlformats.org/officeDocument/2006/relationships/hyperlink" Target="https://www.tiktok.com/@zilasamudra/video/7635872993041861904" TargetMode="External"/><Relationship Id="rId1104" Type="http://schemas.openxmlformats.org/officeDocument/2006/relationships/hyperlink" Target="https://vt.tiktok.com/ZSHPFsuVA/" TargetMode="External"/><Relationship Id="rId2435" Type="http://schemas.openxmlformats.org/officeDocument/2006/relationships/hyperlink" Target="https://vt.tiktok.com/ZS9RuBo6M/" TargetMode="External"/><Relationship Id="rId3765" Type="http://schemas.openxmlformats.org/officeDocument/2006/relationships/hyperlink" Target="https://www.tiktok.com/@zilasamudra/video/7634473073420438799" TargetMode="External"/><Relationship Id="rId1105" Type="http://schemas.openxmlformats.org/officeDocument/2006/relationships/hyperlink" Target="https://vt.tiktok.com/ZSHPFEmkM/" TargetMode="External"/><Relationship Id="rId2436" Type="http://schemas.openxmlformats.org/officeDocument/2006/relationships/hyperlink" Target="https://www.tiktok.com/@nolisnurjanah21/video/7636549170467179796?_r=1&amp;u_code=e85madfeelij2j&amp;region=&amp;mid=7461409796990798608&amp;preview_pb=0&amp;sharer_language=&amp;_d=0&amp;ec_shared_reflux_dynamic_params=%7B%22placeholder_material_id%22%3A%227636549170467179796%22%2C%22placeholder_origin_cover%22%3A%22https%253A%252F%252Fp16-common-sign.tiktokcdn.com%252Ftos-alisg-p-0037%252FoAeQAJ9Ql39eDaTQKLPPIDIq0GtReOABjDCH34~tplv-tiktokx-origin.jpeg%253Fdr%253D14572%2526refresh_token%253D24d685c8%2526x-expires%253D1810119600%2526x-signature%253DEoEjRTh7Rsa5pZZlElrFHnvTH8U%25253D%2526t%253D4d5b0474%2526ps%253D13740610%2526shp%253Dd05b14bd%2526shcp%253D34ff8df6%2526idc%253Dmy2%2526s%253DTIKTOK_AFFILIATE_VIRAL_VIDEO%22%2C%22placeholder_product_id%22%3A%221729729730555512511%22%2C%22placeholder_video_id%22%3A%227636549170467179796%22%7D&amp;ec_shared_reflux_scene=shop_tab_feed&amp;share_item_id=7636549170467179796&amp;source=h5_t" TargetMode="External"/><Relationship Id="rId3768" Type="http://schemas.openxmlformats.org/officeDocument/2006/relationships/hyperlink" Target="https://www.tiktok.com/@zilasamudra/video/7634895870240132369" TargetMode="External"/><Relationship Id="rId1106" Type="http://schemas.openxmlformats.org/officeDocument/2006/relationships/hyperlink" Target="https://vt.tiktok.com/ZSHPYMowQ/" TargetMode="External"/><Relationship Id="rId2437" Type="http://schemas.openxmlformats.org/officeDocument/2006/relationships/hyperlink" Target="https://www.tiktok.com/@nolisnurjanah21/video/7636548071253429525?_r=1&amp;u_code=e85madfeelij2j&amp;region=&amp;mid=7631905101759875088&amp;preview_pb=0&amp;sharer_language=&amp;_d=0&amp;ec_shared_reflux_dynamic_params=%7B%22placeholder_material_id%22%3A%227636548071253429525%22%2C%22placeholder_origin_cover%22%3A%22https%253A%252F%252Fp16-common-sign.tiktokcdn.com%252Ftos-alisg-p-0037%252FoofTQIjPILD9H0rEReFfAQuBDArEQACkOUD4XA~tplv-tiktokx-origin.jpeg%253Fdr%253D14572%2526refresh_token%253D546371d5%2526x-expires%253D1810119600%2526x-signature%253D4TwW26NfNkAND0WbkNCwdxak%25252F2s%25253D%2526t%253D4d5b0474%2526ps%253D13740610%2526shp%253Dd05b14bd%2526shcp%253D34ff8df6%2526idc%253Dmy2%2526s%253DTIKTOK_AFFILIATE_VIRAL_VIDEO%22%2C%22placeholder_product_id%22%3A%221729729730555512511%22%2C%22placeholder_video_id%22%3A%227636548071253429525%22%7D&amp;ec_shared_reflux_scene=shop_tab_feed&amp;share_item_id=7636548071253429525&amp;source=h5_t" TargetMode="External"/><Relationship Id="rId3767" Type="http://schemas.openxmlformats.org/officeDocument/2006/relationships/hyperlink" Target="https://www.tiktok.com/@zilasamudra/video/7635225457511697681" TargetMode="External"/><Relationship Id="rId1107" Type="http://schemas.openxmlformats.org/officeDocument/2006/relationships/hyperlink" Target="https://www.tiktok.com/@silvalim_" TargetMode="External"/><Relationship Id="rId2438" Type="http://schemas.openxmlformats.org/officeDocument/2006/relationships/hyperlink" Target="https://www.tiktok.com/@ilmaafghoniyah16" TargetMode="External"/><Relationship Id="rId10170" Type="http://schemas.openxmlformats.org/officeDocument/2006/relationships/hyperlink" Target="https://www.tiktok.com/@falisha.chaca" TargetMode="External"/><Relationship Id="rId1108" Type="http://schemas.openxmlformats.org/officeDocument/2006/relationships/hyperlink" Target="https://www.tiktok.com/@mimianindya/video/7611724583766445333?is_from_webapp=1&amp;sender_device=pc" TargetMode="External"/><Relationship Id="rId2439" Type="http://schemas.openxmlformats.org/officeDocument/2006/relationships/hyperlink" Target="https://vt.tiktok.com/ZSH28mewB/" TargetMode="External"/><Relationship Id="rId3769" Type="http://schemas.openxmlformats.org/officeDocument/2006/relationships/hyperlink" Target="https://www.tiktok.com/@zilasamudra/video/7634473073420438800" TargetMode="External"/><Relationship Id="rId10171" Type="http://schemas.openxmlformats.org/officeDocument/2006/relationships/hyperlink" Target="https://www.tiktok.com/@woelovcha" TargetMode="External"/><Relationship Id="rId1109" Type="http://schemas.openxmlformats.org/officeDocument/2006/relationships/hyperlink" Target="https://www.tiktok.com/@mimianindya/video/7613804180372753684?is_from_webapp=1&amp;sender_device=pc" TargetMode="External"/><Relationship Id="rId10169" Type="http://schemas.openxmlformats.org/officeDocument/2006/relationships/hyperlink" Target="https://www.tiktok.com/@shawtyaaa__" TargetMode="External"/><Relationship Id="rId10163" Type="http://schemas.openxmlformats.org/officeDocument/2006/relationships/hyperlink" Target="https://www.tiktok.com/@taurusas24" TargetMode="External"/><Relationship Id="rId10164" Type="http://schemas.openxmlformats.org/officeDocument/2006/relationships/hyperlink" Target="https://www.tiktok.com/@lintangdaraghaida" TargetMode="External"/><Relationship Id="rId3760" Type="http://schemas.openxmlformats.org/officeDocument/2006/relationships/hyperlink" Target="https://www.tiktok.com/@zilasamudra/video/7634473073420438798" TargetMode="External"/><Relationship Id="rId10161" Type="http://schemas.openxmlformats.org/officeDocument/2006/relationships/hyperlink" Target="https://www.tiktok.com/@nabillamee" TargetMode="External"/><Relationship Id="rId10162" Type="http://schemas.openxmlformats.org/officeDocument/2006/relationships/hyperlink" Target="https://www.tiktok.com/@mariyakahono" TargetMode="External"/><Relationship Id="rId2430" Type="http://schemas.openxmlformats.org/officeDocument/2006/relationships/hyperlink" Target="https://www.tiktok.com/@elisacollectione/video/7621469075008539924" TargetMode="External"/><Relationship Id="rId3762" Type="http://schemas.openxmlformats.org/officeDocument/2006/relationships/hyperlink" Target="https://www.tiktok.com/@zilasamudra/video/7635872993041861903" TargetMode="External"/><Relationship Id="rId10167" Type="http://schemas.openxmlformats.org/officeDocument/2006/relationships/hyperlink" Target="https://www.tiktok.com/@bymeeva04" TargetMode="External"/><Relationship Id="rId1100" Type="http://schemas.openxmlformats.org/officeDocument/2006/relationships/hyperlink" Target="https://vt.tiktok.com/ZS9qrSoXa/" TargetMode="External"/><Relationship Id="rId2431" Type="http://schemas.openxmlformats.org/officeDocument/2006/relationships/hyperlink" Target="https://www.tiktok.com/@elisacollectione/video/7623609343035870471" TargetMode="External"/><Relationship Id="rId3761" Type="http://schemas.openxmlformats.org/officeDocument/2006/relationships/hyperlink" Target="https://www.tiktok.com/@atrilestarii" TargetMode="External"/><Relationship Id="rId10168" Type="http://schemas.openxmlformats.org/officeDocument/2006/relationships/hyperlink" Target="https://www.tiktok.com/@hananalghonni1" TargetMode="External"/><Relationship Id="rId1101" Type="http://schemas.openxmlformats.org/officeDocument/2006/relationships/hyperlink" Target="https://vt.tiktok.com/ZS9qroCLK/" TargetMode="External"/><Relationship Id="rId2432" Type="http://schemas.openxmlformats.org/officeDocument/2006/relationships/hyperlink" Target="https://www.tiktok.com/@elisacollectione/video/7622528731512327442" TargetMode="External"/><Relationship Id="rId3764" Type="http://schemas.openxmlformats.org/officeDocument/2006/relationships/hyperlink" Target="https://www.tiktok.com/@zilasamudra/video/7634895870240132368" TargetMode="External"/><Relationship Id="rId10165" Type="http://schemas.openxmlformats.org/officeDocument/2006/relationships/hyperlink" Target="https://www.tiktok.com/@is_stwti" TargetMode="External"/><Relationship Id="rId1102" Type="http://schemas.openxmlformats.org/officeDocument/2006/relationships/hyperlink" Target="https://www.tiktok.com/@racuntiktok426" TargetMode="External"/><Relationship Id="rId2433" Type="http://schemas.openxmlformats.org/officeDocument/2006/relationships/hyperlink" Target="https://www.tiktok.com/@intan14.04" TargetMode="External"/><Relationship Id="rId3763" Type="http://schemas.openxmlformats.org/officeDocument/2006/relationships/hyperlink" Target="https://www.tiktok.com/@zilasamudra/video/7635225457511697680" TargetMode="External"/><Relationship Id="rId10166" Type="http://schemas.openxmlformats.org/officeDocument/2006/relationships/hyperlink" Target="https://www.tiktok.com/@simanismungil" TargetMode="External"/><Relationship Id="rId3711" Type="http://schemas.openxmlformats.org/officeDocument/2006/relationships/hyperlink" Target="https://vt.tiktok.com/ZSxULAx4A/" TargetMode="External"/><Relationship Id="rId3710" Type="http://schemas.openxmlformats.org/officeDocument/2006/relationships/hyperlink" Target="https://vt.tiktok.com/ZSxULmurv/" TargetMode="External"/><Relationship Id="rId3713" Type="http://schemas.openxmlformats.org/officeDocument/2006/relationships/hyperlink" Target="https://vt.tiktok.com/ZSxHfh8A4/" TargetMode="External"/><Relationship Id="rId3712" Type="http://schemas.openxmlformats.org/officeDocument/2006/relationships/hyperlink" Target="https://www.tiktok.com/@hallocaca__" TargetMode="External"/><Relationship Id="rId3715" Type="http://schemas.openxmlformats.org/officeDocument/2006/relationships/hyperlink" Target="https://vt.tiktok.com/ZSxHyF2HR/" TargetMode="External"/><Relationship Id="rId3714" Type="http://schemas.openxmlformats.org/officeDocument/2006/relationships/hyperlink" Target="https://vt.tiktok.com/ZSxULMPKW/" TargetMode="External"/><Relationship Id="rId3717" Type="http://schemas.openxmlformats.org/officeDocument/2006/relationships/hyperlink" Target="https://www.tiktok.com/@diahnoprawati11" TargetMode="External"/><Relationship Id="rId3716" Type="http://schemas.openxmlformats.org/officeDocument/2006/relationships/hyperlink" Target="https://vt.tiktok.com/ZSxHyyHLM/" TargetMode="External"/><Relationship Id="rId3719" Type="http://schemas.openxmlformats.org/officeDocument/2006/relationships/hyperlink" Target="https://vt.tiktok.com/ZSxHyBJCj/" TargetMode="External"/><Relationship Id="rId3718" Type="http://schemas.openxmlformats.org/officeDocument/2006/relationships/hyperlink" Target="https://vt.tiktok.com/ZSxHfD5PH/" TargetMode="External"/><Relationship Id="rId3700" Type="http://schemas.openxmlformats.org/officeDocument/2006/relationships/hyperlink" Target="https://www.tiktok.com/@masbahrildaily/video/7630083439080852744?_r=1&amp;u_code=ek6h2252jijmih&amp;region=&amp;mid=7502446149192567607&amp;preview_pb=0&amp;sharer_language=&amp;_d=0&amp;ec_shared_reflux_dynamic_params=%7B%22placeholder_material_id%22%3A%227630083439080852744%22%2C%22placeholder_origin_cover%22%3A%22https%253A%252F%252Fp16-common-sign.tiktokcdn.com%252Ftos-alisg-p-0037%252FoEONqiBlICA7hICZgjiI3AAAgBswH8WOe0PpIT~tplv-tiktokx-origin.jpeg%253Fdr%253D14572%2526refresh_token%253Da2d481aa%2526x-expires%253D1808204400%2526x-signature%253DwUJlQFG%25252Fhhmu32s7d0pGimuz%25252FqY%25253D%2526t%253D4d5b0474%2526ps%253D13740610%2526shp%253Dd05b14bd%2526shcp%253D34ff8df6%2526idc%253Dmy3%2526s%253DTIKTOK_AFFILIATE_VIRAL_VIDEO%22%2C%22placeholder_product_id%22%3A%221729427766722726591%22%2C%22placeholder_video_id%22%3A%227630083439080852744%22%7D&amp;ec_shared_reflux_scene=shop_tab_feed&amp;share_item_id=7630083439080852744&amp;source=h5_t" TargetMode="External"/><Relationship Id="rId3702" Type="http://schemas.openxmlformats.org/officeDocument/2006/relationships/hyperlink" Target="https://www.tiktok.com/@moez__2" TargetMode="External"/><Relationship Id="rId3701" Type="http://schemas.openxmlformats.org/officeDocument/2006/relationships/hyperlink" Target="https://www.tiktok.com/@masbahrildaily/video/7630283480441621767?_r=1&amp;u_code=ek6h2252jijmih&amp;region=&amp;mid=7615963521880558357&amp;preview_pb=0&amp;sharer_language=&amp;_d=0&amp;ec_shared_reflux_dynamic_params=%7B%22placeholder_material_id%22%3A%227630283480441621767%22%2C%22placeholder_origin_cover%22%3A%22https%253A%252F%252Fp16-sign-sg.tiktokcdn.com%252Ftos-alisg-p-0037%252FowLgThbTAvZEDmUpRgqBBrYOOEQeQEFIpPa5fD~tplv-tiktokx-origin.jpeg%253Fdr%253D14572%2526refresh_token%253Da1f79d26%2526x-expires%253D1808204400%2526x-signature%253D796Lml6U%25252FQOWQT0ziou9HdPENrE%25253D%2526t%253D4d5b0474%2526ps%253D13740610%2526shp%253Dd05b14bd%2526shcp%253D34ff8df6%2526idc%253Dmy3%2526s%253DTIKTOK_AFFILIATE_VIRAL_VIDEO%22%2C%22placeholder_product_id%22%3A%221729427766722726591%22%2C%22placeholder_video_id%22%3A%227630283480441621767%22%7D&amp;ec_shared_reflux_scene=shop_tab_feed&amp;share_item_id=7630283480441621767&amp;source=h5_t" TargetMode="External"/><Relationship Id="rId3704" Type="http://schemas.openxmlformats.org/officeDocument/2006/relationships/hyperlink" Target="https://www.tiktok.com/@moez__2/video/7626974115617950997?is_from_webapp=1&amp;sender_device=pc" TargetMode="External"/><Relationship Id="rId3703" Type="http://schemas.openxmlformats.org/officeDocument/2006/relationships/hyperlink" Target="https://www.tiktok.com/@moez__2/video/7626736446891805973?is_from_webapp=1&amp;sender_device=pc" TargetMode="External"/><Relationship Id="rId3706" Type="http://schemas.openxmlformats.org/officeDocument/2006/relationships/hyperlink" Target="https://vt.tiktok.com/ZSxULa3JP/" TargetMode="External"/><Relationship Id="rId3705" Type="http://schemas.openxmlformats.org/officeDocument/2006/relationships/hyperlink" Target="https://www.tiktok.com/@moez__2/video/7628830221784878356?_r=1&amp;u_code=da97be691m9a0i&amp;region=&amp;mid=7628830254312655634&amp;preview_pb=0&amp;sharer_language=&amp;_d=0&amp;ec_shared_reflux_dynamic_params=%7B%22placeholder_material_id%22%3A%227628830221784878356%22%2C%22placeholder_origin_cover%22%3A%22https%253A%252F%252Fp16-common-sign.tiktokcdn.com%252Ftos-alisg-p-0037%252FoIQRxUpAwUCVSNofDBQC23FOABCB8gfsEDE3JL~tplv-tiktokx-origin.jpeg%253Fdr%253D14572%2526refresh_token%253D24976c78%2526x-expires%253D1808301600%2526x-signature%253D3FTKny2uBbTVb4W9ZMY5qLTTAMI%25253D%2526t%253D4d5b0474%2526ps%253D13740610%2526shp%253Dd05b14bd%2526shcp%253D34ff8df6%2526idc%253Dmy3%2526s%253DTIKTOK_AFFILIATE_VIRAL_VIDEO%22%2C%22placeholder_product_id%22%3A%221729427766722726591%22%2C%22placeholder_video_id%22%3A%227628830221784878356%22%7D&amp;ec_shared_reflux_scene=shop_tab_feed&amp;share_item_id=7628830221784878356&amp;source=h5_t" TargetMode="External"/><Relationship Id="rId3708" Type="http://schemas.openxmlformats.org/officeDocument/2006/relationships/hyperlink" Target="https://vt.tiktok.com/ZSxULRtyJ/" TargetMode="External"/><Relationship Id="rId3707" Type="http://schemas.openxmlformats.org/officeDocument/2006/relationships/hyperlink" Target="https://www.tiktok.com/@asyaa.sstrawbbies" TargetMode="External"/><Relationship Id="rId3709" Type="http://schemas.openxmlformats.org/officeDocument/2006/relationships/hyperlink" Target="https://vt.tiktok.com/ZSx,Hfd7bC/https://vt.tiktok.com/ZSxHfKdAj/" TargetMode="External"/><Relationship Id="rId2401" Type="http://schemas.openxmlformats.org/officeDocument/2006/relationships/hyperlink" Target="https://www.tiktok.com/@hellogirl.y/video/7613921904625192210" TargetMode="External"/><Relationship Id="rId3733" Type="http://schemas.openxmlformats.org/officeDocument/2006/relationships/hyperlink" Target="https://vt.tiktok.com/ZSxHySgb5/" TargetMode="External"/><Relationship Id="rId2402" Type="http://schemas.openxmlformats.org/officeDocument/2006/relationships/hyperlink" Target="https://www.tiktok.com/@hellogirl.y/video/7613693000681671944" TargetMode="External"/><Relationship Id="rId3732" Type="http://schemas.openxmlformats.org/officeDocument/2006/relationships/hyperlink" Target="https://vt.tiktok.com/ZSxHyA5xU/" TargetMode="External"/><Relationship Id="rId2403" Type="http://schemas.openxmlformats.org/officeDocument/2006/relationships/hyperlink" Target="https://www.tiktok.com/@_cilme" TargetMode="External"/><Relationship Id="rId3735" Type="http://schemas.openxmlformats.org/officeDocument/2006/relationships/hyperlink" Target="https://vt.tiktok.com/ZSxHyrPsx/" TargetMode="External"/><Relationship Id="rId2404" Type="http://schemas.openxmlformats.org/officeDocument/2006/relationships/hyperlink" Target="https://vt.tiktok.com/ZS9GTaxv7/" TargetMode="External"/><Relationship Id="rId3734" Type="http://schemas.openxmlformats.org/officeDocument/2006/relationships/hyperlink" Target="https://vt.tiktok.com/ZSxHyuAhp/" TargetMode="External"/><Relationship Id="rId2405" Type="http://schemas.openxmlformats.org/officeDocument/2006/relationships/hyperlink" Target="https://vt.tiktok.com/ZS9GTfUkQ/" TargetMode="External"/><Relationship Id="rId3737" Type="http://schemas.openxmlformats.org/officeDocument/2006/relationships/hyperlink" Target="https://vt.tiktok.com/ZSxHUTmmL/" TargetMode="External"/><Relationship Id="rId2406" Type="http://schemas.openxmlformats.org/officeDocument/2006/relationships/hyperlink" Target="https://vt.tiktok.com/ZS9GTH9nq/" TargetMode="External"/><Relationship Id="rId3736" Type="http://schemas.openxmlformats.org/officeDocument/2006/relationships/hyperlink" Target="https://www.tiktok.com/@chalesthyyy" TargetMode="External"/><Relationship Id="rId2407" Type="http://schemas.openxmlformats.org/officeDocument/2006/relationships/hyperlink" Target="https://vt.tiktok.com/ZS9GTXMS3/" TargetMode="External"/><Relationship Id="rId3739" Type="http://schemas.openxmlformats.org/officeDocument/2006/relationships/hyperlink" Target="https://vt.tiktok.com/ZSxHyWBRr/" TargetMode="External"/><Relationship Id="rId2408" Type="http://schemas.openxmlformats.org/officeDocument/2006/relationships/hyperlink" Target="https://www.tiktok.com/@liasarasw" TargetMode="External"/><Relationship Id="rId3738" Type="http://schemas.openxmlformats.org/officeDocument/2006/relationships/hyperlink" Target="https://vt.tiktok.com/ZSxHyXwWa/" TargetMode="External"/><Relationship Id="rId2409" Type="http://schemas.openxmlformats.org/officeDocument/2006/relationships/hyperlink" Target="https://www.tiktok.com/@liasarasw/video/7624814372870802706?_r=1&amp;u_code=dcbi44hhdi447l&amp;region=&amp;mid=7624814404520987393&amp;preview_pb=0&amp;sharer_language=&amp;_d=0&amp;ec_shared_reflux_dynamic_params=%7B%22placeholder_material_id%22%3A%227624814372870802706%22%2C%22placeholder_origin_cover%22%3A%22https%253A%252F%252Fp16-sign-sg.tiktokcdn.com%252Ftos-alisg-p-0037%252Fo4IaQdy8iPCiD5BIA7xVAEB3IYnDAK4M4EIsV~tplv-tiktokx-origin.jpeg%253Fdr%253D14572%2526refresh_token%253Dd51faf3b%2526x-expires%253D1807070400%2526x-signature%253D9CyhGcuW%25252BsnLsMQ%25252BO11ZlCU%25252ByUk%25253D%2526t%253D4d5b0474%2526ps%253D13740610%2526shp%253Dd05b14bd%2526shcp%253D34ff8df6%2526idc%253Dmy2%2526s%253DTIKTOK_AFFILIATE_VIRAL_VIDEO%22%2C%22placeholder_product_id%22%3A%221729427766722726591%22%2C%22placeholder_video_id%22%3A%227624814372870802706%22%7D&amp;ec_shared_reflux_scene=shop_tab_feed&amp;share_item_id=7624814372870802706&amp;source=h5_t" TargetMode="External"/><Relationship Id="rId10196" Type="http://schemas.openxmlformats.org/officeDocument/2006/relationships/hyperlink" Target="https://www.tiktok.com/@putridevv1" TargetMode="External"/><Relationship Id="rId10197" Type="http://schemas.openxmlformats.org/officeDocument/2006/relationships/hyperlink" Target="https://www.tiktok.com/@tokoadiba17" TargetMode="External"/><Relationship Id="rId10194" Type="http://schemas.openxmlformats.org/officeDocument/2006/relationships/hyperlink" Target="https://www.tiktok.com/@shyniaa39" TargetMode="External"/><Relationship Id="rId10195" Type="http://schemas.openxmlformats.org/officeDocument/2006/relationships/hyperlink" Target="https://www.tiktok.com/@aquarius_mav.09" TargetMode="External"/><Relationship Id="rId3731" Type="http://schemas.openxmlformats.org/officeDocument/2006/relationships/hyperlink" Target="https://www.tiktok.com/@raida.azhra" TargetMode="External"/><Relationship Id="rId10198" Type="http://schemas.openxmlformats.org/officeDocument/2006/relationships/hyperlink" Target="https://www.tiktok.com/@livia_abas" TargetMode="External"/><Relationship Id="rId2400" Type="http://schemas.openxmlformats.org/officeDocument/2006/relationships/hyperlink" Target="https://www.tiktok.com/@hellogirl.y/video/7614441931816373522" TargetMode="External"/><Relationship Id="rId3730" Type="http://schemas.openxmlformats.org/officeDocument/2006/relationships/hyperlink" Target="https://vt.tiktok.com/ZSxHyP3Wr/" TargetMode="External"/><Relationship Id="rId10199" Type="http://schemas.openxmlformats.org/officeDocument/2006/relationships/hyperlink" Target="https://www.tiktok.com/@moms_masaru" TargetMode="External"/><Relationship Id="rId3722" Type="http://schemas.openxmlformats.org/officeDocument/2006/relationships/hyperlink" Target="https://www.tiktok.com/@nandaayuu._" TargetMode="External"/><Relationship Id="rId3721" Type="http://schemas.openxmlformats.org/officeDocument/2006/relationships/hyperlink" Target="https://vt.tiktok.com/ZSxHyhcpH/" TargetMode="External"/><Relationship Id="rId3724" Type="http://schemas.openxmlformats.org/officeDocument/2006/relationships/hyperlink" Target="https://www.tiktok.com/@nandaayuu._/video/7633779523103837448?_r=1&amp;u_code=eih5k41j8a37m6&amp;region=&amp;mid=7579773088386370326&amp;preview_pb=0&amp;sharer_language=&amp;_d=0&amp;ec_shared_reflux_dynamic_params=%7B%22placeholder_material_id%22%3A%227633779523103837448%22%2C%22placeholder_origin_cover%22%3A%22https%253A%252F%252Fp16-sign-sg.tiktokcdn.com%252Ftos-alisg-p-0037%252FoYnXMDHQYnFKBtkfEgrhgUpBR3RP8AXeEQzBBo~tplv-tiktokx-origin.jpeg%253Fdr%253D14572%2526refresh_token%253Dd49ea18d%2526x-expires%253D1808992800%2526x-signature%253DZrdIRf6%25252FkHK1RvUQC3GHb%25252Br4pfI%25253D%2526t%253D4d5b0474%2526ps%253D13740610%2526shp%253Dd05b14bd%2526shcp%253D34ff8df6%2526idc%253Dmy2%2526s%253DTIKTOK_AFFILIATE_VIRAL_VIDEO%22%2C%22placeholder_product_id%22%3A%221729427766722726591%22%2C%22placeholder_video_id%22%3A%227633779523103837448%22%7D&amp;ec_shared_reflux_scene=shop_tab_feed&amp;share_item_id=7633779523103837448&amp;source=h5_t" TargetMode="External"/><Relationship Id="rId3723" Type="http://schemas.openxmlformats.org/officeDocument/2006/relationships/hyperlink" Target="https://www.tiktok.com/@nandaayuu._/video/7631876703018667271?_r=1&amp;u_code=eih5k41j8a37m6&amp;region=&amp;mid=7559179219440290616&amp;preview_pb=0&amp;sharer_language=&amp;_d=0&amp;ec_shared_reflux_dynamic_params=%7B%22placeholder_material_id%22%3A%227631876703018667271%22%2C%22placeholder_origin_cover%22%3A%22https%253A%252F%252Fp16-common-sign.tiktokcdn.com%252Ftos-alisg-p-0037%252FoYfRQE8O62xAfTWp7dBVQFb3gCF3BpAd6LDUvE~tplv-tiktokx-origin.jpeg%253Fdr%253D14572%2526refresh_token%253D10587322%2526x-expires%253D1808474400%2526x-signature%253Dx0Eo28GRmKki1BSAXjZVdwmNTlo%25253D%2526t%253D4d5b0474%2526ps%253D13740610%2526shp%253Dd05b14bd%2526shcp%253D34ff8df6%2526idc%253Dmy3%2526s%253DTIKTOK_AFFILIATE_VIRAL_VIDEO%22%2C%22placeholder_product_id%22%3A%221729427766722726591%22%2C%22placeholder_video_id%22%3A%227631876703018667271%22%7D&amp;ec_shared_reflux_scene=shop_tab_feed&amp;share_item_id=7631876703018667271&amp;source=h5_t" TargetMode="External"/><Relationship Id="rId3726" Type="http://schemas.openxmlformats.org/officeDocument/2006/relationships/hyperlink" Target="https://vt.tiktok.com/ZSxULfk2g/" TargetMode="External"/><Relationship Id="rId3725" Type="http://schemas.openxmlformats.org/officeDocument/2006/relationships/hyperlink" Target="https://vt.tiktok.com/ZSxHfcrCr/https://vt.tiktok.com/ZSxHfbRva/" TargetMode="External"/><Relationship Id="rId3728" Type="http://schemas.openxmlformats.org/officeDocument/2006/relationships/hyperlink" Target="https://vt.tiktok.com/ZSxHy5nS3/" TargetMode="External"/><Relationship Id="rId3727" Type="http://schemas.openxmlformats.org/officeDocument/2006/relationships/hyperlink" Target="https://www.tiktok.com/@ayuundaw" TargetMode="External"/><Relationship Id="rId3729" Type="http://schemas.openxmlformats.org/officeDocument/2006/relationships/hyperlink" Target="https://vt.tiktok.com/ZSxHyFjL8/" TargetMode="External"/><Relationship Id="rId3720" Type="http://schemas.openxmlformats.org/officeDocument/2006/relationships/hyperlink" Target="https://vt.tiktok.com/ZSxHyFYdP/" TargetMode="External"/><Relationship Id="rId1170" Type="http://schemas.openxmlformats.org/officeDocument/2006/relationships/hyperlink" Target="https://www.tiktok.com/@lsakyu/video/7616240776007126288?is_from_webapp=1&amp;sender_device=pc&amp;web_id=7611930277489657360" TargetMode="External"/><Relationship Id="rId1171" Type="http://schemas.openxmlformats.org/officeDocument/2006/relationships/hyperlink" Target="https://www.tiktok.com/@lsakyu/video/7616597293587844369?is_from_webapp=1&amp;sender_device=pc&amp;web_id=7611930277489657360" TargetMode="External"/><Relationship Id="rId1172" Type="http://schemas.openxmlformats.org/officeDocument/2006/relationships/hyperlink" Target="https://www.tiktok.com/@lsakyu/video/7616987327558126849?is_from_webapp=1&amp;sender_device=pc&amp;web_id=7611930277489657360" TargetMode="External"/><Relationship Id="rId1173" Type="http://schemas.openxmlformats.org/officeDocument/2006/relationships/hyperlink" Target="https://www.tiktok.com/@mamanyamatthiew" TargetMode="External"/><Relationship Id="rId1174" Type="http://schemas.openxmlformats.org/officeDocument/2006/relationships/hyperlink" Target="https://www.tiktok.com/@liayulianti1278/video/7616926316398431508?_d=0&amp;_r=1&amp;ec_shared_reflux_dynamic_params=%7B%22placeholder_material_id%22%3A%227616926316398431508%22%2C%22placeholder_origin_cover%22%3A%22https%253A%252F%252Fp16-common-sign.tiktokcdn.com%252Ftos-alisg-p-0037%252Fo0qYGgCqQEXLf8pBMhpEpDFBtQwYcU5fgABF1R~tplv-tiktokx-origin.jpeg%253Fdr%253D14572%2526refresh_token%253D0f10d427%2526x-expires%253D1807322400%2526x-signature%253D83ZjgdUoyP%25252Ftt6x5%25252FHp6kNG62Gk%25253D%2526t%253D4d5b0474%2526ps%253D13740610%2526shp%253Dd05b14bd%2526shcp%253D34ff8df6%2526idc%253Dmy2%2526s%253DTIKTOK_AFFILIATE_VIRAL_VIDEO%22%2C%22placeholder_product_id%22%3A%221729427766722726591%22%2C%22placeholder_video_id%22%3A%227616926316398431508%22%7D&amp;ec_shared_reflux_scene=shop_tab_feed&amp;mid=7475638762669819921&amp;preview_pb=0&amp;region=&amp;share_item_id=7616926316398431508&amp;sharer_language=&amp;source=h5_t&amp;u_code=e0m900de86aeg2" TargetMode="External"/><Relationship Id="rId1175" Type="http://schemas.openxmlformats.org/officeDocument/2006/relationships/hyperlink" Target="https://www.tiktok.com/@liayulianti1278/video/7617312662728346900?is_from_webapp=1&amp;sender_device=pc" TargetMode="External"/><Relationship Id="rId1176" Type="http://schemas.openxmlformats.org/officeDocument/2006/relationships/hyperlink" Target="https://www.tiktok.com/@liayulianti1278/video/7618918005602471188?is_from_webapp=1&amp;sender_device=pc" TargetMode="External"/><Relationship Id="rId1177" Type="http://schemas.openxmlformats.org/officeDocument/2006/relationships/hyperlink" Target="https://www.tiktok.com/@liayulianti1278/video/7621060710922997013?is_from_webapp=1&amp;sender_device=pc" TargetMode="External"/><Relationship Id="rId1178" Type="http://schemas.openxmlformats.org/officeDocument/2006/relationships/hyperlink" Target="https://www.tiktok.com/@makeupbaruu" TargetMode="External"/><Relationship Id="rId1179" Type="http://schemas.openxmlformats.org/officeDocument/2006/relationships/hyperlink" Target="https://www.tiktok.com/@liayulianti1278/video/7622491786807659797?is_from_webapp=1&amp;sender_device=pc" TargetMode="External"/><Relationship Id="rId1169" Type="http://schemas.openxmlformats.org/officeDocument/2006/relationships/hyperlink" Target="https://www.tiktok.com/@lsakyu/video/7616038514643258625?is_from_webapp=1&amp;sender_device=pc&amp;web_id=7611930277489657360" TargetMode="External"/><Relationship Id="rId10105" Type="http://schemas.openxmlformats.org/officeDocument/2006/relationships/hyperlink" Target="https://www.tiktok.com/@by.afika_nanaa" TargetMode="External"/><Relationship Id="rId10106" Type="http://schemas.openxmlformats.org/officeDocument/2006/relationships/hyperlink" Target="https://www.tiktok.com/@viviuus" TargetMode="External"/><Relationship Id="rId10103" Type="http://schemas.openxmlformats.org/officeDocument/2006/relationships/hyperlink" Target="https://www.tiktok.com/@ibushaka08" TargetMode="External"/><Relationship Id="rId10104" Type="http://schemas.openxmlformats.org/officeDocument/2006/relationships/hyperlink" Target="https://www.tiktok.com/@lesaam8" TargetMode="External"/><Relationship Id="rId10109" Type="http://schemas.openxmlformats.org/officeDocument/2006/relationships/hyperlink" Target="https://www.tiktok.com/@arina.asadiyah" TargetMode="External"/><Relationship Id="rId2490" Type="http://schemas.openxmlformats.org/officeDocument/2006/relationships/hyperlink" Target="https://www.tiktok.com/@nolisnurjanah21/video/7636582109171207444?_r=1&amp;u_code=e85madfeelij2j&amp;region=&amp;mid=7537955668616022801&amp;preview_pb=0&amp;sharer_language=&amp;_d=0&amp;ec_shared_reflux_dynamic_params=%7B%22placeholder_material_id%22%3A%227636582109171207444%22%2C%22placeholder_origin_cover%22%3A%22https%253A%252F%252Fp16-common-sign.tiktokcdn.com%252Ftos-alisg-p-0037%252FoYjC1LDIDRpefR9UwTtuAe46uWQIQ4AvGSlsIA~tplv-tiktokx-origin.jpeg%253Fdr%253D14572%2526refresh_token%253Ddbd8d359%2526x-expires%253D1810119600%2526x-signature%253D6YVPQHy0hljcUd2w7JPl47FL5VM%25253D%2526t%253D4d5b0474%2526ps%253D13740610%2526shp%253Dd05b14bd%2526shcp%253D34ff8df6%2526idc%253Dmy2%2526s%253DTIKTOK_AFFILIATE_VIRAL_VIDEO%22%2C%22placeholder_product_id%22%3A%221729729730555512511%22%2C%22placeholder_video_id%22%3A%227636582109171207444%22%7D&amp;ec_shared_reflux_scene=shop_tab_feed&amp;share_item_id=7636582109171207444&amp;source=h5_t" TargetMode="External"/><Relationship Id="rId10107" Type="http://schemas.openxmlformats.org/officeDocument/2006/relationships/hyperlink" Target="https://www.tiktok.com/@racunqualma7" TargetMode="External"/><Relationship Id="rId1160" Type="http://schemas.openxmlformats.org/officeDocument/2006/relationships/hyperlink" Target="https://www.tiktok.com/@_karisma__01/video/7615865448801783060?is_from_webapp=1&amp;sender_device=pc" TargetMode="External"/><Relationship Id="rId2491" Type="http://schemas.openxmlformats.org/officeDocument/2006/relationships/hyperlink" Target="https://www.tiktok.com/@racun_spalspil12/video/7636586302984424725?_r=1&amp;u_code=cllj6j6aidf05b&amp;region=&amp;mid=7514003816174454785&amp;preview_pb=0&amp;sharer_language=&amp;_d=0&amp;ec_shared_reflux_dynamic_params=%7B%22placeholder_material_id%22%3A%227636586302984424725%22%2C%22placeholder_origin_cover%22%3A%22https%253A%252F%252Fp16-common-sign.tiktokcdn.com%252Ftos-alisg-p-0037%252FocpTC6oGE3tF1HmAiAxIeUoOjqYLDDCeIfOIq4~tplv-tiktokx-origin.jpeg%253Fdr%253D14572%2526refresh_token%253D1019203d%2526x-expires%253D1810116000%2526x-signature%253D2skfVkjvpa%25252F7dnrLqEv5fIzrjCw%25253D%2526t%253D4d5b0474%2526ps%253D13740610%2526shp%253Dd05b14bd%2526shcp%253D34ff8df6%2526idc%253Dmy2%2526s%253DTIKTOK_AFFILIATE_VIRAL_VIDEO%22%2C%22placeholder_product_id%22%3A%221729729730555512511%22%2C%22placeholder_video_id%22%3A%227636586302984424725%22%7D&amp;ec_shared_reflux_scene=shop_tab_feed&amp;share_item_id=7636586302984424725&amp;source=h5_t" TargetMode="External"/><Relationship Id="rId10108" Type="http://schemas.openxmlformats.org/officeDocument/2006/relationships/hyperlink" Target="https://www.tiktok.com/@viya.shop" TargetMode="External"/><Relationship Id="rId1161" Type="http://schemas.openxmlformats.org/officeDocument/2006/relationships/hyperlink" Target="https://vt.tiktok.com/ZSHPYP4vK/" TargetMode="External"/><Relationship Id="rId2492" Type="http://schemas.openxmlformats.org/officeDocument/2006/relationships/hyperlink" Target="https://www.tiktok.com/@racun_spalspil12/video/7636589735493848341?_d=0&amp;_r=1&amp;ec_shared_reflux_dynamic_params=%7B%22placeholder_material_id%22%3A%227636589735493848341%22%2C%22placeholder_origin_cover%22%3A%22https%253A%252F%252Fp16-common-sign.tiktokcdn.com%252Ftos-alisg-p-0037%252FoQnRn6IfkXeoAFwhKn7fGpAIdQgU8G2Mg1OfGS~tplv-tiktokx-origin.jpeg%253Fdr%253D14572%2526refresh_token%253Dcffd03c8%2526x-expires%253D1810116000%2526x-signature%253Dcne2L6zXBne2G1DK5SGXUY1J4Tk%25253D%2526t%253D4d5b0474%2526ps%253D13740610%2526shp%253Dd05b14bd%2526shcp%253D34ff8df6%2526idc%253Dmy2%2526s%253DTIKTOK_AFFILIATE_VIRAL_VIDEO%22%2C%22placeholder_product_id%22%3A%221729729730555512511%22%2C%22placeholder_video_id%22%3A%227636589735493848341%22%7D&amp;ec_shared_reflux_scene=shop_tab_feed&amp;mid=7486067442412406801&amp;preview_pb=0&amp;region=&amp;share_item_id=7636589735493848341&amp;sharer_language=&amp;source=h5_t&amp;u_code=cllj6j6aidf05b" TargetMode="External"/><Relationship Id="rId1162" Type="http://schemas.openxmlformats.org/officeDocument/2006/relationships/hyperlink" Target="https://vt.tiktok.com/ZSHPYVhKE/" TargetMode="External"/><Relationship Id="rId2493" Type="http://schemas.openxmlformats.org/officeDocument/2006/relationships/hyperlink" Target="https://www.tiktok.com/@uusoesd" TargetMode="External"/><Relationship Id="rId1163" Type="http://schemas.openxmlformats.org/officeDocument/2006/relationships/hyperlink" Target="https://www.tiktok.com/@pakethemat_07" TargetMode="External"/><Relationship Id="rId2494" Type="http://schemas.openxmlformats.org/officeDocument/2006/relationships/hyperlink" Target="https://vt.tiktok.com/ZSHo22ne4/" TargetMode="External"/><Relationship Id="rId1164" Type="http://schemas.openxmlformats.org/officeDocument/2006/relationships/hyperlink" Target="https://vt.tiktok.com/ZSHPY5UbT/" TargetMode="External"/><Relationship Id="rId2495" Type="http://schemas.openxmlformats.org/officeDocument/2006/relationships/hyperlink" Target="https://vt.tiktok.com/ZSHoYw8cF/" TargetMode="External"/><Relationship Id="rId1165" Type="http://schemas.openxmlformats.org/officeDocument/2006/relationships/hyperlink" Target="https://vt.tiktok.com/ZSHPY95yr/" TargetMode="External"/><Relationship Id="rId2496" Type="http://schemas.openxmlformats.org/officeDocument/2006/relationships/hyperlink" Target="https://vt.tiktok.com/ZSHo2Y2e7/" TargetMode="External"/><Relationship Id="rId10101" Type="http://schemas.openxmlformats.org/officeDocument/2006/relationships/hyperlink" Target="https://www.tiktok.com/@akuana2236" TargetMode="External"/><Relationship Id="rId1166" Type="http://schemas.openxmlformats.org/officeDocument/2006/relationships/hyperlink" Target="https://www.tiktok.com/@liayulianti1278/video/7605759499974085909?_d=0&amp;_r=1&amp;ec_shared_reflux_dynamic_params=%7B%22placeholder_material_id%22%3A%227605759499974085909%22%2C%22placeholder_origin_cover%22%3A%22https%253A%252F%252Fp16-sign-sg.tiktokcdn.com%252Ftos-alisg-p-0037%252FoImjUImIDh8XRBFXgEfgAoB9FFIfEpBEx7UR1N~tplv-tiktokx-origin.jpeg%253Fdr%253D14572%2526refresh_token%253D2da909ce%2526x-expires%253D1807322400%2526x-signature%253DOex1Cpd85yne3J6W4XisS00TL4E%25253D%2526t%253D4d5b0474%2526ps%253D13740610%2526shp%253Dd05b14bd%2526shcp%253D34ff8df6%2526idc%253Dmy2%2526s%253DTIKTOK_AFFILIATE_VIRAL_VIDEO%22%2C%22placeholder_product_id%22%3A%221729427766722726591%22%2C%22placeholder_video_id%22%3A%227605759499974085909%22%7D&amp;ec_shared_reflux_scene=shop_tab_feed&amp;mid=7605759577203739399&amp;preview_pb=0&amp;region=&amp;share_item_id=7605759499974085909&amp;sharer_language=&amp;source=h5_t&amp;u_code=e0m900de86aeg2" TargetMode="External"/><Relationship Id="rId2497" Type="http://schemas.openxmlformats.org/officeDocument/2006/relationships/hyperlink" Target="https://vt.tiktok.com/ZS9UPNxBE/" TargetMode="External"/><Relationship Id="rId10102" Type="http://schemas.openxmlformats.org/officeDocument/2006/relationships/hyperlink" Target="https://www.tiktok.com/@luna.rine" TargetMode="External"/><Relationship Id="rId1167" Type="http://schemas.openxmlformats.org/officeDocument/2006/relationships/hyperlink" Target="https://www.tiktok.com/@liayulianti1278/video/7607655532387863829?is_from_webapp=1&amp;sender_device=pc" TargetMode="External"/><Relationship Id="rId2498" Type="http://schemas.openxmlformats.org/officeDocument/2006/relationships/hyperlink" Target="https://www.tiktok.com/@omkafiriview" TargetMode="External"/><Relationship Id="rId1168" Type="http://schemas.openxmlformats.org/officeDocument/2006/relationships/hyperlink" Target="https://www.tiktok.com/@lsakyu" TargetMode="External"/><Relationship Id="rId2499" Type="http://schemas.openxmlformats.org/officeDocument/2006/relationships/hyperlink" Target="https://www.tiktok.com/@omkafiriview/video/7621160532095110420?_r=1&amp;u_code=dgkc301k7ae2b2&amp;region=&amp;mid=7621160594237819655&amp;preview_pb=0&amp;sharer_language=&amp;_d=0&amp;ec_shared_reflux_dynamic_params=%7B%22placeholder_material_id%22%3A%227621160532095110420%22%2C%22placeholder_origin_cover%22%3A%22https%253A%252F%252Fp16-sign-sg.tiktokcdn.com%252Ftos-alisg-p-0037%252Fo8BtDSfaBLhepirEA8wBAGcwiwIBzIXgRA3G5p~tplv-tiktokx-origin.jpeg%253Fdr%253D14572%2526refresh_token%253D6763ea2c%2526x-expires%253D1806051600%2526x-signature%253DoeqdE7iaJ71sQvA7DQ8IrZnkyWI%25253D%2526t%253D4d5b0474%2526ps%253D13740610%2526shp%253Dd05b14bd%2526shcp%253D34ff8df6%2526idc%253Dmy2%2526s%253DTIKTOK_AFFILIATE_VIRAL_VIDEO%22%2C%22placeholder_product_id%22%3A%221729427766722726591%22%2C%22placeholder_video_id%22%3A%227621160532095110420%22%7D&amp;ec_shared_reflux_scene=shop_tab_feed&amp;share_item_id=7621160532095110420&amp;source=h5_t" TargetMode="External"/><Relationship Id="rId10100" Type="http://schemas.openxmlformats.org/officeDocument/2006/relationships/hyperlink" Target="https://www.tiktok.com/@empup96" TargetMode="External"/><Relationship Id="rId9918" Type="http://schemas.openxmlformats.org/officeDocument/2006/relationships/hyperlink" Target="https://www.tiktok.com/@nanaiii007" TargetMode="External"/><Relationship Id="rId9919" Type="http://schemas.openxmlformats.org/officeDocument/2006/relationships/hyperlink" Target="https://www.tiktok.com/@meyels0" TargetMode="External"/><Relationship Id="rId9914" Type="http://schemas.openxmlformats.org/officeDocument/2006/relationships/hyperlink" Target="https://www.tiktok.com/@novitakey1181" TargetMode="External"/><Relationship Id="rId9915" Type="http://schemas.openxmlformats.org/officeDocument/2006/relationships/hyperlink" Target="https://www.tiktok.com/@susiiiya8" TargetMode="External"/><Relationship Id="rId9916" Type="http://schemas.openxmlformats.org/officeDocument/2006/relationships/hyperlink" Target="https://www.tiktok.com/@sweet.ochaa_" TargetMode="External"/><Relationship Id="rId9917" Type="http://schemas.openxmlformats.org/officeDocument/2006/relationships/hyperlink" Target="https://www.tiktok.com/@hydeaaaaaaa" TargetMode="External"/><Relationship Id="rId1190" Type="http://schemas.openxmlformats.org/officeDocument/2006/relationships/hyperlink" Target="https://www.tiktok.com/@desymufti96/video/7616384157492595989?is_from_webapp=1&amp;sender_device=pc" TargetMode="External"/><Relationship Id="rId1191" Type="http://schemas.openxmlformats.org/officeDocument/2006/relationships/hyperlink" Target="https://www.tiktok.com/@desymufti96/video/7617006763556080917?is_from_webapp=1&amp;sender_device=pc" TargetMode="External"/><Relationship Id="rId1192" Type="http://schemas.openxmlformats.org/officeDocument/2006/relationships/hyperlink" Target="https://www.tiktok.com/@desymufti96/video/7617771345530670357?is_from_webapp=1&amp;sender_device=pc&amp;web_id=7611930277489657360" TargetMode="External"/><Relationship Id="rId1193" Type="http://schemas.openxmlformats.org/officeDocument/2006/relationships/hyperlink" Target="https://vt.tiktok.com/ZSHFfEueH/" TargetMode="External"/><Relationship Id="rId1194" Type="http://schemas.openxmlformats.org/officeDocument/2006/relationships/hyperlink" Target="https://www.tiktok.com/@rkmyng" TargetMode="External"/><Relationship Id="rId9910" Type="http://schemas.openxmlformats.org/officeDocument/2006/relationships/hyperlink" Target="https://www.tiktok.com/@makeupbysoliha" TargetMode="External"/><Relationship Id="rId1195" Type="http://schemas.openxmlformats.org/officeDocument/2006/relationships/hyperlink" Target="https://www.tiktok.com/@rkmyng/video/7617088414361341204?is_from_webapp=1&amp;sender_device=pc&amp;web_id=7611930277489657360" TargetMode="External"/><Relationship Id="rId9911" Type="http://schemas.openxmlformats.org/officeDocument/2006/relationships/hyperlink" Target="https://www.tiktok.com/@arianajgn" TargetMode="External"/><Relationship Id="rId1196" Type="http://schemas.openxmlformats.org/officeDocument/2006/relationships/hyperlink" Target="https://vt.tiktok.com/ZSHFPUKw9/" TargetMode="External"/><Relationship Id="rId9912" Type="http://schemas.openxmlformats.org/officeDocument/2006/relationships/hyperlink" Target="https://www.tiktok.com/@" TargetMode="External"/><Relationship Id="rId1197" Type="http://schemas.openxmlformats.org/officeDocument/2006/relationships/hyperlink" Target="https://www.tiktok.com/@rkmyng/video/7629134547149491476?_d=0&amp;_r=1&amp;ec_shared_reflux_dynamic_params=%7B%22placeholder_material_id%22%3A%227629134547149491476%22%2C%22placeholder_origin_cover%22%3A%22https%253A%252F%252Fp16-common-sign.tiktokcdn.com%252Ftos-alisg-p-0037%252FoE8AIAiBYGB4IXw6CvQ4iVgAf5qA70ICITI8wC~tplv-tiktokx-origin.jpeg%253Fdr%253D14572%2526refresh_token%253Dec72e526%2526x-expires%253D1808204400%2526x-signature%253DG%25252BNbOvrEeGl8vtccmV83lcGSDX4%25253D%2526t%253D4d5b0474%2526ps%253D13740610%2526shp%253Dd05b14bd%2526shcp%253D34ff8df6%2526idc%253Dmy3%2526s%253DTIKTOK_AFFILIATE_VIRAL_VIDEO%22%2C%22placeholder_product_id%22%3A%221729427766722726591%22%2C%22placeholder_video_id%22%3A%227629134547149491476%22%7D&amp;ec_shared_reflux_scene=shop_tab_feed&amp;mid=7591472512833259536&amp;preview_pb=0&amp;region=&amp;share_item_id=7629134547149491476&amp;sharer_language=&amp;source=h5_t&amp;u_code=d6ekdaheggk4le" TargetMode="External"/><Relationship Id="rId9913" Type="http://schemas.openxmlformats.org/officeDocument/2006/relationships/hyperlink" Target="https://www.tiktok.com/@annisamahardina" TargetMode="External"/><Relationship Id="rId1198" Type="http://schemas.openxmlformats.org/officeDocument/2006/relationships/hyperlink" Target="https://www.tiktok.com/@rkmyng/video/7633791674107301140" TargetMode="External"/><Relationship Id="rId1199" Type="http://schemas.openxmlformats.org/officeDocument/2006/relationships/hyperlink" Target="https://www.tiktok.com/@mamahindranadya" TargetMode="External"/><Relationship Id="rId9907" Type="http://schemas.openxmlformats.org/officeDocument/2006/relationships/hyperlink" Target="https://www.tiktok.com/@tyaaa1005/video/7645222011903692052?_r=1&amp;u_code=f1i10l4d1c81g1&amp;region=&amp;mid=7176560070589713179&amp;preview_pb=0&amp;sharer_language=&amp;_d=0&amp;ec_shared_reflux_dynamic_params=%7B%22placeholder_material_id%22%3A%227645222011903692052%22%2C%22placeholder_origin_cover%22%3A%22https%253A%252F%252Fp16-common-sign.tiktokcdn.com%252Ftos-alisg-p-0037%252Fo4IOHeIA4uAF4EpSkKjmwMffBGD0DCDIvBPUjZ~tplv-tiktokx-origin.jpeg%253Fdr%253D14572%2526refresh_token%253D8defe622%2526x-expires%253D1812099600%2526x-signature%253DBl1Db63JrUbKscyZ7vl1J5fzxvs%25253D%2526t%253D4d5b0474%2526ps%253D13740610%2526shp%253Dd05b14bd%2526shcp%253D34ff8df6%2526idc%253Dmy%2526s%253DTIKTOK_AFFILIATE_VIRAL_VIDEO%22%2C%22placeholder_product_id%22%3A%221729427766722726591%22%2C%22placeholder_video_id%22%3A%227645222011903692052%22%7D&amp;ec_shared_reflux_scene=shop_tab_feed&amp;share_item_id=7645222011903692052&amp;source=h5_t" TargetMode="External"/><Relationship Id="rId9908" Type="http://schemas.openxmlformats.org/officeDocument/2006/relationships/hyperlink" Target="https://www.tiktok.com/@dininf0" TargetMode="External"/><Relationship Id="rId9909" Type="http://schemas.openxmlformats.org/officeDocument/2006/relationships/hyperlink" Target="https://www.tiktok.com/@mitha.rskaaa" TargetMode="External"/><Relationship Id="rId9903" Type="http://schemas.openxmlformats.org/officeDocument/2006/relationships/hyperlink" Target="https://www.tiktok.com/@clarissawdj13" TargetMode="External"/><Relationship Id="rId9904" Type="http://schemas.openxmlformats.org/officeDocument/2006/relationships/hyperlink" Target="https://www.tiktok.com/@dacianaachya" TargetMode="External"/><Relationship Id="rId9905" Type="http://schemas.openxmlformats.org/officeDocument/2006/relationships/hyperlink" Target="https://www.tiktok.com/@lullaberryy" TargetMode="External"/><Relationship Id="rId9906" Type="http://schemas.openxmlformats.org/officeDocument/2006/relationships/hyperlink" Target="https://www.tiktok.com/@tyaaa1005" TargetMode="External"/><Relationship Id="rId1180" Type="http://schemas.openxmlformats.org/officeDocument/2006/relationships/hyperlink" Target="https://www.tiktok.com/@liayulianti1278/video/7624068176707390740?is_from_webapp=1&amp;sender_device=pc" TargetMode="External"/><Relationship Id="rId1181" Type="http://schemas.openxmlformats.org/officeDocument/2006/relationships/hyperlink" Target="https://www.tiktok.com/@rezkyhamdayani277/video/7626257802796977416?is_from_webapp=1&amp;sender_device=pc&amp;web_id=7611930277489657360" TargetMode="External"/><Relationship Id="rId1182" Type="http://schemas.openxmlformats.org/officeDocument/2006/relationships/hyperlink" Target="https://www.tiktok.com/@reinn057/video/7601833601344359698?is_from_webapp=1&amp;sender_device=pc&amp;web_id=7611930277489657360" TargetMode="External"/><Relationship Id="rId1183" Type="http://schemas.openxmlformats.org/officeDocument/2006/relationships/hyperlink" Target="https://www.tiktok.com/@amaliaaikaa" TargetMode="External"/><Relationship Id="rId1184" Type="http://schemas.openxmlformats.org/officeDocument/2006/relationships/hyperlink" Target="https://www.tiktok.com/@reinn057/video/7603242435027750151?is_from_webapp=1&amp;sender_device=pc&amp;web_id=7611930277489657360" TargetMode="External"/><Relationship Id="rId9900" Type="http://schemas.openxmlformats.org/officeDocument/2006/relationships/hyperlink" Target="https://www.tiktok.com/@ordinary307girl" TargetMode="External"/><Relationship Id="rId1185" Type="http://schemas.openxmlformats.org/officeDocument/2006/relationships/hyperlink" Target="https://www.tiktok.com/@reinn057/video/7605633390917766407?is_from_webapp=1&amp;sender_device=pc&amp;web_id=7611930277489657360" TargetMode="External"/><Relationship Id="rId9901" Type="http://schemas.openxmlformats.org/officeDocument/2006/relationships/hyperlink" Target="https://www.tiktok.com/@betha.gifthy" TargetMode="External"/><Relationship Id="rId1186" Type="http://schemas.openxmlformats.org/officeDocument/2006/relationships/hyperlink" Target="https://vt.tiktok.com/ZS9qh1kfw/" TargetMode="External"/><Relationship Id="rId9902" Type="http://schemas.openxmlformats.org/officeDocument/2006/relationships/hyperlink" Target="https://www.tiktok.com/@daciannaachya" TargetMode="External"/><Relationship Id="rId1187" Type="http://schemas.openxmlformats.org/officeDocument/2006/relationships/hyperlink" Target="https://vt.tiktok.com/ZS9qhJpQ8/" TargetMode="External"/><Relationship Id="rId1188" Type="http://schemas.openxmlformats.org/officeDocument/2006/relationships/hyperlink" Target="https://www.tiktok.com/@refalinakn" TargetMode="External"/><Relationship Id="rId1189" Type="http://schemas.openxmlformats.org/officeDocument/2006/relationships/hyperlink" Target="https://www.tiktok.com/@desymufti96" TargetMode="External"/><Relationship Id="rId1136" Type="http://schemas.openxmlformats.org/officeDocument/2006/relationships/hyperlink" Target="https://vt.tiktok.com/ZSH8U66FK/" TargetMode="External"/><Relationship Id="rId2467" Type="http://schemas.openxmlformats.org/officeDocument/2006/relationships/hyperlink" Target="https://www.tiktok.com/@racun_spalspil12/video/7636480028070432021?_r=1&amp;u_code=cllj6j6aidf05b&amp;region=&amp;mid=7592932992264276756&amp;preview_pb=0&amp;sharer_language=&amp;_d=0&amp;ec_shared_reflux_dynamic_params=%7B%22placeholder_material_id%22%3A%227636480028070432021%22%2C%22placeholder_origin_cover%22%3A%22https%253A%252F%252Fp16-common-sign.tiktokcdn.com%252Ftos-alisg-p-0037%252FoQEBuzpXCORdiy1EiRAv3IIB6gocfygB4vfxi6~tplv-tiktokx-origin.jpeg%253Fdr%253D14572%2526refresh_token%253D8740854c%2526x-expires%253D1810116000%2526x-signature%253DFSfSkg7EJbmMogEdpJdLYdLuBP8%25253D%2526t%253D4d5b0474%2526ps%253D13740610%2526shp%253Dd05b14bd%2526shcp%253D34ff8df6%2526idc%253Dmy2%2526s%253DTIKTOK_AFFILIATE_VIRAL_VIDEO%22%2C%22placeholder_product_id%22%3A%221729729730555512511%22%2C%22placeholder_video_id%22%3A%227636480028070432021%22%7D&amp;ec_shared_reflux_scene=shop_tab_feed&amp;share_item_id=7636480028070432021&amp;source=h5_t" TargetMode="External"/><Relationship Id="rId3799" Type="http://schemas.openxmlformats.org/officeDocument/2006/relationships/hyperlink" Target="https://www.tiktok.com/@zilasamudra/video/7634895870240132368" TargetMode="External"/><Relationship Id="rId1137" Type="http://schemas.openxmlformats.org/officeDocument/2006/relationships/hyperlink" Target="https://vt.tiktok.com/ZSH8UaCqb/" TargetMode="External"/><Relationship Id="rId2468" Type="http://schemas.openxmlformats.org/officeDocument/2006/relationships/hyperlink" Target="https://www.tiktok.com/@dwiolshop05" TargetMode="External"/><Relationship Id="rId3798" Type="http://schemas.openxmlformats.org/officeDocument/2006/relationships/hyperlink" Target="https://www.tiktok.com/@zilasamudra/video/7635225457511697680" TargetMode="External"/><Relationship Id="rId1138" Type="http://schemas.openxmlformats.org/officeDocument/2006/relationships/hyperlink" Target="https://www.tiktok.com/@meliantiukail2" TargetMode="External"/><Relationship Id="rId2469" Type="http://schemas.openxmlformats.org/officeDocument/2006/relationships/hyperlink" Target="https://www.tiktok.com/@racun_spalspil12/video/7636573967637318932?_r=1&amp;u_code=cllj6j6aidf05b&amp;region=&amp;mid=7514003816174454785&amp;preview_pb=0&amp;sharer_language=&amp;_d=0&amp;ec_shared_reflux_dynamic_params=%7B%22placeholder_material_id%22%3A%227636573967637318932%22%2C%22placeholder_origin_cover%22%3A%22https%253A%252F%252Fp16-common-sign.tiktokcdn.com%252Ftos-alisg-p-0037%252Fo8301A7sjwHeDIgnf6LeGFAGAHmi4Ig3GxG9Rf~tplv-tiktokx-origin.jpeg%253Fdr%253D14572%2526refresh_token%253D91593a8b%2526x-expires%253D1810116000%2526x-signature%253DIJJS509iMRgCNU3W5%25252F3HXAbH5V8%25253D%2526t%253D4d5b0474%2526ps%253D13740610%2526shp%253Dd05b14bd%2526shcp%253D34ff8df6%2526idc%253Dmy2%2526s%253DTIKTOK_AFFILIATE_VIRAL_VIDEO%22%2C%22placeholder_product_id%22%3A%221729729730555512511%22%2C%22placeholder_video_id%22%3A%227636573967637318932%22%7D&amp;ec_shared_reflux_scene=shop_tab_feed&amp;share_item_id=7636573967637318932&amp;source=h5_t" TargetMode="External"/><Relationship Id="rId1139" Type="http://schemas.openxmlformats.org/officeDocument/2006/relationships/hyperlink" Target="https://www.tiktok.com/@meliantiukail2/video/7612082631177473301?is_from_webapp=1&amp;sender_device=pc" TargetMode="External"/><Relationship Id="rId10138" Type="http://schemas.openxmlformats.org/officeDocument/2006/relationships/hyperlink" Target="https://www.tiktok.com/@dwk0612" TargetMode="External"/><Relationship Id="rId10139" Type="http://schemas.openxmlformats.org/officeDocument/2006/relationships/hyperlink" Target="https://www.tiktok.com/@minginaaaaa" TargetMode="External"/><Relationship Id="rId10136" Type="http://schemas.openxmlformats.org/officeDocument/2006/relationships/hyperlink" Target="https://vt.tiktok.com/ZSxWy4pxF/" TargetMode="External"/><Relationship Id="rId10137" Type="http://schemas.openxmlformats.org/officeDocument/2006/relationships/hyperlink" Target="https://www.tiktok.com/@diahayunks" TargetMode="External"/><Relationship Id="rId3791" Type="http://schemas.openxmlformats.org/officeDocument/2006/relationships/hyperlink" Target="https://www.tiktok.com/@aystraaa_" TargetMode="External"/><Relationship Id="rId10130" Type="http://schemas.openxmlformats.org/officeDocument/2006/relationships/hyperlink" Target="https://www.tiktok.com/@patricevianca" TargetMode="External"/><Relationship Id="rId2460" Type="http://schemas.openxmlformats.org/officeDocument/2006/relationships/hyperlink" Target="https://vt.tiktok.com/ZSHJqaU9K/" TargetMode="External"/><Relationship Id="rId3790" Type="http://schemas.openxmlformats.org/officeDocument/2006/relationships/hyperlink" Target="https://www.tiktok.com/@ecclesiasihotangg" TargetMode="External"/><Relationship Id="rId10131" Type="http://schemas.openxmlformats.org/officeDocument/2006/relationships/hyperlink" Target="https://www.tiktok.com/@soviasitanggang_" TargetMode="External"/><Relationship Id="rId1130" Type="http://schemas.openxmlformats.org/officeDocument/2006/relationships/hyperlink" Target="https://vt.tiktok.com/ZSHoN1CJn/" TargetMode="External"/><Relationship Id="rId2461" Type="http://schemas.openxmlformats.org/officeDocument/2006/relationships/hyperlink" Target="https://vt.tiktok.com/ZSHkyq5SP/" TargetMode="External"/><Relationship Id="rId3793" Type="http://schemas.openxmlformats.org/officeDocument/2006/relationships/hyperlink" Target="https://www.tiktok.com/@zilasamudra/video/7635225457511697679" TargetMode="External"/><Relationship Id="rId1131" Type="http://schemas.openxmlformats.org/officeDocument/2006/relationships/hyperlink" Target="https://vt.tiktok.com/ZS9qr7RXB/" TargetMode="External"/><Relationship Id="rId2462" Type="http://schemas.openxmlformats.org/officeDocument/2006/relationships/hyperlink" Target="https://vt.tiktok.com/ZSHmRgGCG/" TargetMode="External"/><Relationship Id="rId3792" Type="http://schemas.openxmlformats.org/officeDocument/2006/relationships/hyperlink" Target="https://www.tiktok.com/@zilasamudra/video/7635872993041861902" TargetMode="External"/><Relationship Id="rId1132" Type="http://schemas.openxmlformats.org/officeDocument/2006/relationships/hyperlink" Target="https://vt.tiktok.com/ZS9qrtgDq/" TargetMode="External"/><Relationship Id="rId2463" Type="http://schemas.openxmlformats.org/officeDocument/2006/relationships/hyperlink" Target="https://www.tiktok.com/@emakiki571" TargetMode="External"/><Relationship Id="rId3795" Type="http://schemas.openxmlformats.org/officeDocument/2006/relationships/hyperlink" Target="https://www.tiktok.com/@zilasamudra/video/7634473073420438798" TargetMode="External"/><Relationship Id="rId10134" Type="http://schemas.openxmlformats.org/officeDocument/2006/relationships/hyperlink" Target="https://vt.tiktok.com/ZSxWyoxfp/" TargetMode="External"/><Relationship Id="rId1133" Type="http://schemas.openxmlformats.org/officeDocument/2006/relationships/hyperlink" Target="https://www.tiktok.com/@sinabilla" TargetMode="External"/><Relationship Id="rId2464" Type="http://schemas.openxmlformats.org/officeDocument/2006/relationships/hyperlink" Target="https://vt.tiktok.com/ZS9Ru5eBS/" TargetMode="External"/><Relationship Id="rId3794" Type="http://schemas.openxmlformats.org/officeDocument/2006/relationships/hyperlink" Target="https://www.tiktok.com/@zilasamudra/video/7634895870240132367" TargetMode="External"/><Relationship Id="rId10135" Type="http://schemas.openxmlformats.org/officeDocument/2006/relationships/hyperlink" Target="https://vt.tiktok.com/ZSxWych3p/" TargetMode="External"/><Relationship Id="rId1134" Type="http://schemas.openxmlformats.org/officeDocument/2006/relationships/hyperlink" Target="https://www.tiktok.com/@sinabilla/video/7621083859941068052?_r=1&amp;u_code=d8ce4h27fdmff3&amp;region=&amp;mid=7589876360392559368&amp;preview_pb=0&amp;sharer_language=&amp;_d=0&amp;ec_shared_reflux_dynamic_params=%7B%22placeholder_material_id%22%3A%227621083859941068052%22%2C%22placeholder_origin_cover%22%3A%22https%253A%252F%252Fp16-sign-sg.tiktokcdn.com%252Ftos-alisg-p-0037%252FoQ4bcFDGREBeLQhp4HEQPbBADEqgtwX7wpf0Zu~tplv-tiktokx-origin.jpeg%253Fdr%253D14572%2526refresh_token%253D2c8f7ecc%2526x-expires%253D1806051600%2526x-signature%253DETPQModYt1RS2nBzouqacvv5Yds%25253D%2526t%253D4d5b0474%2526ps%253D13740610%2526shp%253Dd05b14bd%2526shcp%253D34ff8df6%2526idc%253Dmy2%2526s%253DTIKTOK_AFFILIATE_VIRAL_VIDEO%22%2C%22placeholder_product_id%22%3A%221729427766722726591%22%2C%22placeholder_video_id%22%3A%227621083859941068052%22%7D&amp;ec_shared_reflux_scene=shop_tab_feed&amp;share_item_id=7621083859941068052&amp;source=h5_t" TargetMode="External"/><Relationship Id="rId2465" Type="http://schemas.openxmlformats.org/officeDocument/2006/relationships/hyperlink" Target="https://www.tiktok.com/@nolisnurjanah21/video/7636545868660755733?_r=1&amp;u_code=e85madfeelij2j&amp;region=&amp;mid=7597723882183609104&amp;preview_pb=0&amp;sharer_language=&amp;_d=0&amp;ec_shared_reflux_dynamic_params=%7B%22placeholder_material_id%22%3A%227636545868660755733%22%2C%22placeholder_origin_cover%22%3A%22https%253A%252F%252Fp16-common-sign.tiktokcdn.com%252Ftos-alisg-p-0037%252FowDp2TnCfqXEIUFj0WIBkxA4jdAf1D16UneIgD~tplv-tiktokx-origin.jpeg%253Fdr%253D14572%2526refresh_token%253D79a48800%2526x-expires%253D1810119600%2526x-signature%253DsuERUC0JkRya%25252FP4DfTFN6C4KvF4%25253D%2526t%253D4d5b0474%2526ps%253D13740610%2526shp%253Dd05b14bd%2526shcp%253D34ff8df6%2526idc%253Dmy2%2526s%253DTIKTOK_AFFILIATE_VIRAL_VIDEO%22%2C%22placeholder_product_id%22%3A%221729729730555512511%22%2C%22placeholder_video_id%22%3A%227636545868660755733%22%7D&amp;ec_shared_reflux_scene=shop_tab_feed&amp;share_item_id=7636545868660755733&amp;source=h5_t" TargetMode="External"/><Relationship Id="rId3797" Type="http://schemas.openxmlformats.org/officeDocument/2006/relationships/hyperlink" Target="https://www.tiktok.com/@zilasamudra/video/7635872993041861903" TargetMode="External"/><Relationship Id="rId10132" Type="http://schemas.openxmlformats.org/officeDocument/2006/relationships/hyperlink" Target="https://www.tiktok.com/@racun.outfit043" TargetMode="External"/><Relationship Id="rId1135" Type="http://schemas.openxmlformats.org/officeDocument/2006/relationships/hyperlink" Target="https://vt.tiktok.com/ZSH8Ur6hL/" TargetMode="External"/><Relationship Id="rId2466" Type="http://schemas.openxmlformats.org/officeDocument/2006/relationships/hyperlink" Target="https://www.tiktok.com/@racun_spalspil12/video/7636480602534858005?_r=1&amp;u_code=cllj6j6aidf05b&amp;region=&amp;mid=7580087028324616193&amp;preview_pb=0&amp;sharer_language=&amp;_d=0&amp;ec_shared_reflux_dynamic_params=%7B%22placeholder_material_id%22%3A%227636480602534858005%22%2C%22placeholder_origin_cover%22%3A%22https%253A%252F%252Fp16-common-sign.tiktokcdn.com%252Ftos-alisg-p-0037%252Fo4fMCWrnRpkyIgiIOOqiuEBBBq3RfIR611cABB~tplv-tiktokx-origin.jpeg%253Fdr%253D14572%2526refresh_token%253Dbb395889%2526x-expires%253D1810116000%2526x-signature%253DVUy3PgppxgKDnNMD8zz20az%25252BiN4%25253D%2526t%253D4d5b0474%2526ps%253D13740610%2526shp%253Dd05b14bd%2526shcp%253D34ff8df6%2526idc%253Dmy2%2526s%253DTIKTOK_AFFILIATE_VIRAL_VIDEO%22%2C%22placeholder_product_id%22%3A%221729729730555512511%22%2C%22placeholder_video_id%22%3A%227636480602534858005%22%7D&amp;ec_shared_reflux_scene=shop_tab_feed&amp;share_item_id=7636480602534858005&amp;source=h5_t" TargetMode="External"/><Relationship Id="rId3796" Type="http://schemas.openxmlformats.org/officeDocument/2006/relationships/hyperlink" Target="https://www.tiktok.com/@cesyliaaa" TargetMode="External"/><Relationship Id="rId10133" Type="http://schemas.openxmlformats.org/officeDocument/2006/relationships/hyperlink" Target="https://vt.tiktok.com/ZSxWyKfqu/" TargetMode="External"/><Relationship Id="rId1125" Type="http://schemas.openxmlformats.org/officeDocument/2006/relationships/hyperlink" Target="https://vt.tiktok.com/ZSHa1LL12/" TargetMode="External"/><Relationship Id="rId2456" Type="http://schemas.openxmlformats.org/officeDocument/2006/relationships/hyperlink" Target="https://www.tiktok.com/@racun_spalspil12/video/7636479614008741141?_r=1&amp;u_code=cllj6j6aidf05b&amp;region=&amp;mid=7514003816174454785&amp;preview_pb=0&amp;sharer_language=&amp;_d=0&amp;ec_shared_reflux_dynamic_params=%7B%22placeholder_material_id%22%3A%227636479614008741141%22%2C%22placeholder_origin_cover%22%3A%22https%253A%252F%252Fp16-common-sign.tiktokcdn.com%252Ftos-alisg-p-0037%252FoII6IBDCjO5eAuDTDFnlfcxwmmfIkEtA4zjcC6~tplv-tiktokx-origin.jpeg%253Fdr%253D14572%2526refresh_token%253Df753a755%2526x-expires%253D1810116000%2526x-signature%253DQCkX54zpS35U0LJAO4bdD0mCz3M%25253D%2526t%253D4d5b0474%2526ps%253D13740610%2526shp%253Dd05b14bd%2526shcp%253D34ff8df6%2526idc%253Dmy2%2526s%253DTIKTOK_AFFILIATE_VIRAL_VIDEO%22%2C%22placeholder_product_id%22%3A%221729729730555512511%22%2C%22placeholder_video_id%22%3A%227636479614008741141%22%7D&amp;ec_shared_reflux_scene=shop_tab_feed&amp;share_item_id=7636479614008741141&amp;source=h5_t" TargetMode="External"/><Relationship Id="rId3788" Type="http://schemas.openxmlformats.org/officeDocument/2006/relationships/hyperlink" Target="https://www.tiktok.com/@zilasamudra/video/7634895870240132373" TargetMode="External"/><Relationship Id="rId1126" Type="http://schemas.openxmlformats.org/officeDocument/2006/relationships/hyperlink" Target="https://vt.tiktok.com/ZS9qrhsKg/" TargetMode="External"/><Relationship Id="rId2457" Type="http://schemas.openxmlformats.org/officeDocument/2006/relationships/hyperlink" Target="https://www.tiktok.com/@nolisnurjanah21/video/7636466719954881812?_r=1&amp;u_code=e85madfeelij2j&amp;region=&amp;mid=7628937677475810064&amp;preview_pb=0&amp;sharer_language=&amp;_d=0&amp;ec_shared_reflux_dynamic_params=%7B%22placeholder_material_id%22%3A%227636466719954881812%22%2C%22placeholder_origin_cover%22%3A%22https%253A%252F%252Fp16-common-sign.tiktokcdn.com%252Ftos-alisg-p-0037%252FoQN61Tti90IgCI5ImAi0ALTBwWuGAATgvofC40~tplv-tiktokx-origin.jpeg%253Fdr%253D14572%2526refresh_token%253D057287f0%2526x-expires%253D1810119600%2526x-signature%253DB944t8PNtOq1k1VK%25252BS7jpWQSfn8%25253D%2526t%253D4d5b0474%2526ps%253D13740610%2526shp%253Dd05b14bd%2526shcp%253D34ff8df6%2526idc%253Dmy2%2526s%253DTIKTOK_AFFILIATE_VIRAL_VIDEO%22%2C%22placeholder_product_id%22%3A%221729729730555512511%22%2C%22placeholder_video_id%22%3A%227636466719954881812%22%7D&amp;ec_shared_reflux_scene=shop_tab_feed&amp;share_item_id=7636466719954881812&amp;source=h5_t" TargetMode="External"/><Relationship Id="rId3787" Type="http://schemas.openxmlformats.org/officeDocument/2006/relationships/hyperlink" Target="https://www.tiktok.com/@zilasamudra/video/7635225457511697685" TargetMode="External"/><Relationship Id="rId1127" Type="http://schemas.openxmlformats.org/officeDocument/2006/relationships/hyperlink" Target="https://vt.tiktok.com/ZS9qrUFEr/" TargetMode="External"/><Relationship Id="rId2458" Type="http://schemas.openxmlformats.org/officeDocument/2006/relationships/hyperlink" Target="https://www.tiktok.com/@theycallmesheryl" TargetMode="External"/><Relationship Id="rId1128" Type="http://schemas.openxmlformats.org/officeDocument/2006/relationships/hyperlink" Target="https://www.tiktok.com/@dwitriyant" TargetMode="External"/><Relationship Id="rId2459" Type="http://schemas.openxmlformats.org/officeDocument/2006/relationships/hyperlink" Target="https://vt.tiktok.com/ZSu7PMj4x/" TargetMode="External"/><Relationship Id="rId3789" Type="http://schemas.openxmlformats.org/officeDocument/2006/relationships/hyperlink" Target="https://www.tiktok.com/@zilasamudra/video/7634473073420438804" TargetMode="External"/><Relationship Id="rId1129" Type="http://schemas.openxmlformats.org/officeDocument/2006/relationships/hyperlink" Target="https://www.tiktok.com/@dwitriyant/video/7628591594198912263" TargetMode="External"/><Relationship Id="rId10149" Type="http://schemas.openxmlformats.org/officeDocument/2006/relationships/hyperlink" Target="https://www.tiktok.com/@olshoppmurah2" TargetMode="External"/><Relationship Id="rId10147" Type="http://schemas.openxmlformats.org/officeDocument/2006/relationships/hyperlink" Target="https://www.tiktok.com/@_nhacyaaya" TargetMode="External"/><Relationship Id="rId10148" Type="http://schemas.openxmlformats.org/officeDocument/2006/relationships/hyperlink" Target="https://www.tiktok.com/@_salafiiyyah" TargetMode="External"/><Relationship Id="rId3780" Type="http://schemas.openxmlformats.org/officeDocument/2006/relationships/hyperlink" Target="https://www.tiktok.com/@deapratiwi_2" TargetMode="External"/><Relationship Id="rId10141" Type="http://schemas.openxmlformats.org/officeDocument/2006/relationships/hyperlink" Target="https://www.tiktok.com/@jessicasinggih" TargetMode="External"/><Relationship Id="rId10142" Type="http://schemas.openxmlformats.org/officeDocument/2006/relationships/hyperlink" Target="https://www.tiktok.com/@yerlina960" TargetMode="External"/><Relationship Id="rId2450" Type="http://schemas.openxmlformats.org/officeDocument/2006/relationships/hyperlink" Target="https://vt.tiktok.com/ZS9LefAtQ/" TargetMode="External"/><Relationship Id="rId3782" Type="http://schemas.openxmlformats.org/officeDocument/2006/relationships/hyperlink" Target="https://www.tiktok.com/@zilasamudra/video/7635225457511697684" TargetMode="External"/><Relationship Id="rId1120" Type="http://schemas.openxmlformats.org/officeDocument/2006/relationships/hyperlink" Target="https://www.tiktok.com/@indungbudak_/video/7628590212779642120?_d=0&amp;_r=1&amp;ec_shared_reflux_dynamic_params=%7B%22placeholder_material_id%22%3A%227628590212779642120%22%2C%22placeholder_origin_cover%22%3A%22https%253A%252F%252Fp19-common-sign.tiktokcdn.com%252Ftos-alisg-p-0037%252FokQeQCBFRMS3AiDpbFGtf73aiHvEXEvgU9jmBn~tplv-tiktokx-origin.jpeg%253Fdr%253D14572%2526refresh_token%253Db599b56c%2526x-expires%253D1808301600%2526x-signature%253DB64fBYOfapMGXK0k%25252B8r41JllIlQ%25253D%2526t%253D4d5b0474%2526ps%253D13740610%2526shp%253Dd05b14bd%2526shcp%253D34ff8df6%2526idc%253Dmy3%2526s%253DTIKTOK_AFFILIATE_VIRAL_VIDEO%22%2C%22placeholder_product_id%22%3A%221729427766722726591%22%2C%22placeholder_video_id%22%3A%227628590212779642120%22%7D&amp;ec_shared_reflux_scene=shop_tab_feed&amp;mid=7624394480175287047&amp;preview_pb=0&amp;region=&amp;share_item_id=7628590212779642120&amp;sharer_language=&amp;source=h5_t&amp;u_code=e931imd5d6dbic" TargetMode="External"/><Relationship Id="rId2451" Type="http://schemas.openxmlformats.org/officeDocument/2006/relationships/hyperlink" Target="https://vt.tiktok.com/ZS9Le5eqM/" TargetMode="External"/><Relationship Id="rId3781" Type="http://schemas.openxmlformats.org/officeDocument/2006/relationships/hyperlink" Target="https://www.tiktok.com/@zilasamudra/video/7635872993041861907" TargetMode="External"/><Relationship Id="rId10140" Type="http://schemas.openxmlformats.org/officeDocument/2006/relationships/hyperlink" Target="https://www.tiktok.com/@wulandarisafitrimua" TargetMode="External"/><Relationship Id="rId1121" Type="http://schemas.openxmlformats.org/officeDocument/2006/relationships/hyperlink" Target="https://vt.tiktok.com/ZSHo34n1y/" TargetMode="External"/><Relationship Id="rId2452" Type="http://schemas.openxmlformats.org/officeDocument/2006/relationships/hyperlink" Target="https://vt.tiktok.com/ZS9La3ndD/" TargetMode="External"/><Relationship Id="rId3784" Type="http://schemas.openxmlformats.org/officeDocument/2006/relationships/hyperlink" Target="https://www.tiktok.com/@zilasamudra/video/7634473073420438803" TargetMode="External"/><Relationship Id="rId10145" Type="http://schemas.openxmlformats.org/officeDocument/2006/relationships/hyperlink" Target="https://www.tiktok.com/@feninrb" TargetMode="External"/><Relationship Id="rId1122" Type="http://schemas.openxmlformats.org/officeDocument/2006/relationships/hyperlink" Target="https://vt.tiktok.com/ZSHoTLSH1/" TargetMode="External"/><Relationship Id="rId2453" Type="http://schemas.openxmlformats.org/officeDocument/2006/relationships/hyperlink" Target="https://www.tiktok.com/@liayulianty28" TargetMode="External"/><Relationship Id="rId3783" Type="http://schemas.openxmlformats.org/officeDocument/2006/relationships/hyperlink" Target="https://www.tiktok.com/@zilasamudra/video/7634895870240132372" TargetMode="External"/><Relationship Id="rId10146" Type="http://schemas.openxmlformats.org/officeDocument/2006/relationships/hyperlink" Target="https://www.tiktok.com/@ainiharuka" TargetMode="External"/><Relationship Id="rId1123" Type="http://schemas.openxmlformats.org/officeDocument/2006/relationships/hyperlink" Target="https://www.tiktok.com/@lisna_tanjung" TargetMode="External"/><Relationship Id="rId2454" Type="http://schemas.openxmlformats.org/officeDocument/2006/relationships/hyperlink" Target="https://www.tiktok.com/@nolisnurjanah21/video/7636547339871587604?_r=1&amp;u_code=e85madfeelij2j&amp;region=&amp;mid=7589809453998934802&amp;preview_pb=0&amp;sharer_language=&amp;_d=0&amp;ec_shared_reflux_dynamic_params=%7B%22placeholder_material_id%22%3A%227636547339871587604%22%2C%22placeholder_origin_cover%22%3A%22https%253A%252F%252Fp16-common-sign.tiktokcdn.com%252Ftos-alisg-p-0037%252FosBMWCprOIhlfH40QEltQ885479FTQAeBDvjAe~tplv-tiktokx-origin.jpeg%253Fdr%253D14572%2526refresh_token%253D753877b7%2526x-expires%253D1810119600%2526x-signature%253DZlPJ9r3pcOekXIrAthzlsjHzy7E%25253D%2526t%253D4d5b0474%2526ps%253D13740610%2526shp%253Dd05b14bd%2526shcp%253D34ff8df6%2526idc%253Dmy2%2526s%253DTIKTOK_AFFILIATE_VIRAL_VIDEO%22%2C%22placeholder_product_id%22%3A%221729729730555512511%22%2C%22placeholder_video_id%22%3A%227636547339871587604%22%7D&amp;ec_shared_reflux_scene=shop_tab_feed&amp;share_item_id=7636547339871587604&amp;source=h5_t" TargetMode="External"/><Relationship Id="rId3786" Type="http://schemas.openxmlformats.org/officeDocument/2006/relationships/hyperlink" Target="https://www.tiktok.com/@zilasamudra/video/7635872993041861908" TargetMode="External"/><Relationship Id="rId10143" Type="http://schemas.openxmlformats.org/officeDocument/2006/relationships/hyperlink" Target="https://www.tiktok.com/@delarafratchy" TargetMode="External"/><Relationship Id="rId1124" Type="http://schemas.openxmlformats.org/officeDocument/2006/relationships/hyperlink" Target="https://vt.tiktok.com/ZSuwqnyxh/" TargetMode="External"/><Relationship Id="rId2455" Type="http://schemas.openxmlformats.org/officeDocument/2006/relationships/hyperlink" Target="https://www.tiktok.com/@racun_spalspil12/video/7636564695561833749?_r=1&amp;u_code=cllj6j6aidf05b&amp;region=&amp;mid=7507772951459432464&amp;preview_pb=0&amp;sharer_language=&amp;_d=0&amp;ec_shared_reflux_dynamic_params=%7B%22placeholder_material_id%22%3A%227636564695561833749%22%2C%22placeholder_origin_cover%22%3A%22https%253A%252F%252Fp16-common-sign.tiktokcdn.com%252Ftos-alisg-p-0037%252FoEcBfhIA3UMBTL9tBtrRz8fKEaBi6hipgI7IPO~tplv-tiktokx-origin.jpeg%253Fdr%253D14572%2526refresh_token%253Dce5daa25%2526x-expires%253D1810116000%2526x-signature%253DAFQ904XKkFMkTfeSN2eg%25252Fvc3Ras%25253D%2526t%253D4d5b0474%2526ps%253D13740610%2526shp%253Dd05b14bd%2526shcp%253D34ff8df6%2526idc%253Dmy2%2526s%253DTIKTOK_AFFILIATE_VIRAL_VIDEO%22%2C%22placeholder_product_id%22%3A%221729729730555512511%22%2C%22placeholder_video_id%22%3A%227636564695561833749%22%7D&amp;ec_shared_reflux_scene=shop_tab_feed&amp;share_item_id=7636564695561833749&amp;source=h5_t" TargetMode="External"/><Relationship Id="rId3785" Type="http://schemas.openxmlformats.org/officeDocument/2006/relationships/hyperlink" Target="https://www.tiktok.com/@meelasalon" TargetMode="External"/><Relationship Id="rId10144" Type="http://schemas.openxmlformats.org/officeDocument/2006/relationships/hyperlink" Target="https://www.tiktok.com/@egigitya" TargetMode="External"/><Relationship Id="rId1158" Type="http://schemas.openxmlformats.org/officeDocument/2006/relationships/hyperlink" Target="https://www.tiktok.com/@895351795802" TargetMode="External"/><Relationship Id="rId2489" Type="http://schemas.openxmlformats.org/officeDocument/2006/relationships/hyperlink" Target="https://www.tiktok.com/@nolisnurjanah21/video/7636582535035653397?_r=1&amp;u_code=e85madfeelij2j&amp;region=&amp;mid=7439769114812025655&amp;preview_pb=0&amp;sharer_language=&amp;_d=0&amp;ec_shared_reflux_dynamic_params=%7B%22placeholder_material_id%22%3A%227636582535035653397%22%2C%22placeholder_origin_cover%22%3A%22https%253A%252F%252Fp16-common-sign.tiktokcdn.com%252Ftos-alisg-p-0037%252FoAPGxsGhLBGf6L1SaGeWAFYRm7fQQwEeAnl3dI~tplv-tiktokx-origin.jpeg%253Fdr%253D14572%2526refresh_token%253D78d278e6%2526x-expires%253D1810119600%2526x-signature%253D%25252B695aq8V%25252BxHRUnUC5YM%25252F6ORhqIk%25253D%2526t%253D4d5b0474%2526ps%253D13740610%2526shp%253Dd05b14bd%2526shcp%253D34ff8df6%2526idc%253Dmy2%2526s%253DTIKTOK_AFFILIATE_VIRAL_VIDEO%22%2C%22placeholder_product_id%22%3A%221729729730555512511%22%2C%22placeholder_video_id%22%3A%227636582535035653397%22%7D&amp;ec_shared_reflux_scene=shop_tab_feed&amp;share_item_id=7636582535035653397&amp;source=h5_t" TargetMode="External"/><Relationship Id="rId1159" Type="http://schemas.openxmlformats.org/officeDocument/2006/relationships/hyperlink" Target="https://www.tiktok.com/@_karisma__01/video/7615813757385674005?is_from_webapp=1&amp;sender_device=pc" TargetMode="External"/><Relationship Id="rId10116" Type="http://schemas.openxmlformats.org/officeDocument/2006/relationships/hyperlink" Target="https://www.tiktok.com/@tiraamissuuu0" TargetMode="External"/><Relationship Id="rId10117" Type="http://schemas.openxmlformats.org/officeDocument/2006/relationships/hyperlink" Target="https://www.tiktok.com/@spill.byeny" TargetMode="External"/><Relationship Id="rId10114" Type="http://schemas.openxmlformats.org/officeDocument/2006/relationships/hyperlink" Target="https://www.tiktok.com/@pahhh966" TargetMode="External"/><Relationship Id="rId10115" Type="http://schemas.openxmlformats.org/officeDocument/2006/relationships/hyperlink" Target="https://www.tiktok.com/@eniiispilldisini_" TargetMode="External"/><Relationship Id="rId10118" Type="http://schemas.openxmlformats.org/officeDocument/2006/relationships/hyperlink" Target="https://www.tiktok.com/@revasrifebriyanti.7" TargetMode="External"/><Relationship Id="rId2480" Type="http://schemas.openxmlformats.org/officeDocument/2006/relationships/hyperlink" Target="https://www.tiktok.com/@racun_spalspil12/video/7636576477621832981?_r=1&amp;u_code=cllj6j6aidf05b&amp;region=&amp;mid=7498623449464687415&amp;preview_pb=0&amp;sharer_language=&amp;_d=0&amp;ec_shared_reflux_dynamic_params=%7B%22placeholder_material_id%22%3A%227636576477621832981%22%2C%22placeholder_origin_cover%22%3A%22https%253A%252F%252Fp16-common-sign.tiktokcdn.com%252Ftos-alisg-p-0037%252FoYSTC1ZhI7eLmnIAxAlg9IOejNLmGDHAIekgw4~tplv-tiktokx-origin.jpeg%253Fdr%253D14572%2526refresh_token%253Dfc083f88%2526x-expires%253D1810116000%2526x-signature%253DgjtMTHADETf8MX6NfhrQeSxlWkU%25253D%2526t%253D4d5b0474%2526ps%253D13740610%2526shp%253Dd05b14bd%2526shcp%253D34ff8df6%2526idc%253Dmy2%2526s%253DTIKTOK_AFFILIATE_VIRAL_VIDEO%22%2C%22placeholder_product_id%22%3A%221729729730555512511%22%2C%22placeholder_video_id%22%3A%227636576477621832981%22%7D&amp;ec_shared_reflux_scene=shop_tab_feed&amp;share_item_id=7636576477621832981&amp;source=h5_t" TargetMode="External"/><Relationship Id="rId10119" Type="http://schemas.openxmlformats.org/officeDocument/2006/relationships/hyperlink" Target="https://www.tiktok.com/@noovviiita" TargetMode="External"/><Relationship Id="rId1150" Type="http://schemas.openxmlformats.org/officeDocument/2006/relationships/hyperlink" Target="https://vt.tiktok.com/ZS9LcnWKL/" TargetMode="External"/><Relationship Id="rId2481" Type="http://schemas.openxmlformats.org/officeDocument/2006/relationships/hyperlink" Target="https://www.tiktok.com/@racun_spalspil12/video/7637215330879802645?_r=1&amp;u_code=cllj6j6aidf05b&amp;region=&amp;mid=7585367255886727943&amp;preview_pb=0&amp;sharer_language=&amp;_d=0&amp;ec_shared_reflux_dynamic_params=%7B%22placeholder_material_id%22%3A%227637215330879802645%22%2C%22placeholder_origin_cover%22%3A%22https%253A%252F%252Fp16-common-sign.tiktokcdn.com%252Ftos-alisg-p-0037%252FoQiauzMTfAQtDkfBi8lNTj1C4t8fIEPZIZRAIB~tplv-tiktokx-origin.jpeg%253Fdr%253D14572%2526refresh_token%253Dbf67f03a%2526x-expires%253D1810116000%2526x-signature%253DS%25252FbaXZx93O7a5QvmNkKneiuf9mI%25253D%2526t%253D4d5b0474%2526ps%253D13740610%2526shp%253Dd05b14bd%2526shcp%253D34ff8df6%2526idc%253Dmy2%2526s%253DTIKTOK_AFFILIATE_VIRAL_VIDEO%22%2C%22placeholder_product_id%22%3A%221729729730555512511%22%2C%22placeholder_video_id%22%3A%227637215330879802645%22%7D&amp;ec_shared_reflux_scene=shop_tab_feed&amp;share_item_id=7637215330879802645&amp;source=h5_t" TargetMode="External"/><Relationship Id="rId1151" Type="http://schemas.openxmlformats.org/officeDocument/2006/relationships/hyperlink" Target="https://vt.tiktok.com/ZS9qryMXD/" TargetMode="External"/><Relationship Id="rId2482" Type="http://schemas.openxmlformats.org/officeDocument/2006/relationships/hyperlink" Target="https://www.tiktok.com/@racun_spalspil12/video/7636601443658501397?_r=1&amp;u_code=cllj6j6aidf05b&amp;region=&amp;mid=7604121927885359105&amp;preview_pb=0&amp;sharer_language=&amp;_d=0&amp;ec_shared_reflux_dynamic_params=%7B%22placeholder_material_id%22%3A%227636601443658501397%22%2C%22placeholder_origin_cover%22%3A%22https%253A%252F%252Fp16-common-sign.tiktokcdn.com%252Ftos-alisg-p-0037%252FoIqCEiZBw40ANoJiPr0IABA8IN6sJfIRqiTPmu~tplv-tiktokx-origin.jpeg%253Fdr%253D14572%2526refresh_token%253Ddac9f6d5%2526x-expires%253D1810116000%2526x-signature%253DKldqwj67zIjJnXVkbhkoFbMciDU%25253D%2526t%253D4d5b0474%2526ps%253D13740610%2526shp%253Dd05b14bd%2526shcp%253D34ff8df6%2526idc%253Dmy2%2526s%253DTIKTOK_AFFILIATE_VIRAL_VIDEO%22%2C%22placeholder_product_id%22%3A%221729729730555512511%22%2C%22placeholder_video_id%22%3A%227636601443658501397%22%7D&amp;ec_shared_reflux_scene=shop_tab_feed&amp;share_item_id=7636601443658501397&amp;source=h5_t" TargetMode="External"/><Relationship Id="rId1152" Type="http://schemas.openxmlformats.org/officeDocument/2006/relationships/hyperlink" Target="https://vt.tiktok.com/ZS9qroWUN/" TargetMode="External"/><Relationship Id="rId2483" Type="http://schemas.openxmlformats.org/officeDocument/2006/relationships/hyperlink" Target="https://www.tiktok.com/@najwashya" TargetMode="External"/><Relationship Id="rId1153" Type="http://schemas.openxmlformats.org/officeDocument/2006/relationships/hyperlink" Target="https://www.tiktok.com/@amellibraa_" TargetMode="External"/><Relationship Id="rId2484" Type="http://schemas.openxmlformats.org/officeDocument/2006/relationships/hyperlink" Target="https://vt.tiktok.com/ZS9ePTGJD/" TargetMode="External"/><Relationship Id="rId1154" Type="http://schemas.openxmlformats.org/officeDocument/2006/relationships/hyperlink" Target="https://www.tiktok.com/@amellibraa_/video/7610013370544262421?is_from_webapp=1&amp;sender_device=pc&amp;web_id=7611930277489657360" TargetMode="External"/><Relationship Id="rId2485" Type="http://schemas.openxmlformats.org/officeDocument/2006/relationships/hyperlink" Target="https://www.tiktok.com/@racun_spalspil12/video/7636585486609370389?_r=1&amp;u_code=cllj6j6aidf05b&amp;region=&amp;mid=7497471422952917815&amp;preview_pb=0&amp;sharer_language=&amp;_d=0&amp;ec_shared_reflux_dynamic_params=%7B%22placeholder_material_id%22%3A%227636585486609370389%22%2C%22placeholder_origin_cover%22%3A%22https%253A%252F%252Fp16-common-sign.tiktokcdn.com%252Ftos-alisg-p-0037%252Fo8mRf6Ezevl0AFwifn2rGRAfdgQ84GlYQ6mhnx~tplv-tiktokx-origin.jpeg%253Fdr%253D14572%2526refresh_token%253Deb33d3e0%2526x-expires%253D1810116000%2526x-signature%253DgDCjOrSfmjKzfzqTnBFENPFiGdQ%25253D%2526t%253D4d5b0474%2526ps%253D13740610%2526shp%253Dd05b14bd%2526shcp%253D34ff8df6%2526idc%253Dmy2%2526s%253DTIKTOK_AFFILIATE_VIRAL_VIDEO%22%2C%22placeholder_product_id%22%3A%221729729730555512511%22%2C%22placeholder_video_id%22%3A%227636585486609370389%22%7D&amp;ec_shared_reflux_scene=shop_tab_feed&amp;share_item_id=7636585486609370389&amp;source=h5_t" TargetMode="External"/><Relationship Id="rId10112" Type="http://schemas.openxmlformats.org/officeDocument/2006/relationships/hyperlink" Target="https://www.tiktok.com/@leo_needs" TargetMode="External"/><Relationship Id="rId1155" Type="http://schemas.openxmlformats.org/officeDocument/2006/relationships/hyperlink" Target="https://www.tiktok.com/@amellibraa_/video/7610776816277540117?is_from_webapp=1&amp;sender_device=pc&amp;web_id=7611930277489657360" TargetMode="External"/><Relationship Id="rId2486" Type="http://schemas.openxmlformats.org/officeDocument/2006/relationships/hyperlink" Target="https://www.tiktok.com/@racun_spalspil12/video/7636589109049314580?_r=1&amp;u_code=cllj6j6aidf05b&amp;region=&amp;mid=7526377439288314641&amp;preview_pb=0&amp;sharer_language=&amp;_d=0&amp;ec_shared_reflux_dynamic_params=%7B%22placeholder_material_id%22%3A%227636589109049314580%22%2C%22placeholder_origin_cover%22%3A%22https%253A%252F%252Fp16-common-sign.tiktokcdn.com%252Ftos-alisg-p-0037%252FoUIX6p4EnBUcIgRl0VIAbiiB6nBYGfBljfzUWc~tplv-tiktokx-origin.jpeg%253Fdr%253D14572%2526refresh_token%253D88d6d167%2526x-expires%253D1810116000%2526x-signature%253DreieU%25252FOl6%25252BojnQNsNGp4fdRiU6w%25253D%2526t%253D4d5b0474%2526ps%253D13740610%2526shp%253Dd05b14bd%2526shcp%253D34ff8df6%2526idc%253Dmy2%2526s%253DTIKTOK_AFFILIATE_VIRAL_VIDEO%22%2C%22placeholder_product_id%22%3A%221729729730555512511%22%2C%22placeholder_video_id%22%3A%227636589109049314580%22%7D&amp;ec_shared_reflux_scene=shop_tab_feed&amp;share_item_id=7636589109049314580&amp;source=h5_t" TargetMode="External"/><Relationship Id="rId10113" Type="http://schemas.openxmlformats.org/officeDocument/2006/relationships/hyperlink" Target="https://www.tiktok.com/@callmeca__" TargetMode="External"/><Relationship Id="rId1156" Type="http://schemas.openxmlformats.org/officeDocument/2006/relationships/hyperlink" Target="https://www.tiktok.com/@amellibraa_/video/7610840381370010901?is_from_webapp=1&amp;sender_device=pc&amp;web_id=7611930277489657360" TargetMode="External"/><Relationship Id="rId2487" Type="http://schemas.openxmlformats.org/officeDocument/2006/relationships/hyperlink" Target="https://www.tiktok.com/@racun_spalspil12/video/7636601222341954836?_r=1&amp;u_code=cllj6j6aidf05b&amp;region=&amp;mid=7579718956010031120&amp;preview_pb=0&amp;sharer_language=&amp;_d=0&amp;ec_shared_reflux_dynamic_params=%7B%22placeholder_material_id%22%3A%227636601222341954836%22%2C%22placeholder_origin_cover%22%3A%22https%253A%252F%252Fp16-common-sign.tiktokcdn.com%252Ftos-alisg-p-0037%252FogVB7xrfn6npiBAzIQGVRq8BgiGEcQB8rxfCIn~tplv-tiktokx-origin.jpeg%253Fdr%253D14572%2526refresh_token%253D03e34efc%2526x-expires%253D1810116000%2526x-signature%253DBqbxpWRBJuc1SzJsqy3dcCt9mfg%25253D%2526t%253D4d5b0474%2526ps%253D13740610%2526shp%253Dd05b14bd%2526shcp%253D34ff8df6%2526idc%253Dmy2%2526s%253DTIKTOK_AFFILIATE_VIRAL_VIDEO%22%2C%22placeholder_product_id%22%3A%221729729730555512511%22%2C%22placeholder_video_id%22%3A%227636601222341954836%22%7D&amp;ec_shared_reflux_scene=shop_tab_feed&amp;share_item_id=7636601222341954836&amp;source=h5_t" TargetMode="External"/><Relationship Id="rId10110" Type="http://schemas.openxmlformats.org/officeDocument/2006/relationships/hyperlink" Target="https://www.tiktok.com/@alleashanum_almahyraaa" TargetMode="External"/><Relationship Id="rId1157" Type="http://schemas.openxmlformats.org/officeDocument/2006/relationships/hyperlink" Target="https://www.tiktok.com/@amellibraa_/video/7611094281478294805?is_from_webapp=1&amp;sender_device=pc&amp;web_id=7611930277489657360" TargetMode="External"/><Relationship Id="rId2488" Type="http://schemas.openxmlformats.org/officeDocument/2006/relationships/hyperlink" Target="https://www.tiktok.com/@3ka9907" TargetMode="External"/><Relationship Id="rId10111" Type="http://schemas.openxmlformats.org/officeDocument/2006/relationships/hyperlink" Target="https://www.tiktok.com/@joe_raffa" TargetMode="External"/><Relationship Id="rId1147" Type="http://schemas.openxmlformats.org/officeDocument/2006/relationships/hyperlink" Target="https://vt.tiktok.com/ZSHPYHDeY/" TargetMode="External"/><Relationship Id="rId2478" Type="http://schemas.openxmlformats.org/officeDocument/2006/relationships/hyperlink" Target="https://www.tiktok.com/@athaya.nadila.sor" TargetMode="External"/><Relationship Id="rId1148" Type="http://schemas.openxmlformats.org/officeDocument/2006/relationships/hyperlink" Target="https://www.tiktok.com/@_kartikara" TargetMode="External"/><Relationship Id="rId2479" Type="http://schemas.openxmlformats.org/officeDocument/2006/relationships/hyperlink" Target="https://www.tiktok.com/@athaya.nadila.sor/video/7619166568416546069" TargetMode="External"/><Relationship Id="rId1149" Type="http://schemas.openxmlformats.org/officeDocument/2006/relationships/hyperlink" Target="https://vt.tiktok.com/ZSHF1E8Mk/" TargetMode="External"/><Relationship Id="rId10127" Type="http://schemas.openxmlformats.org/officeDocument/2006/relationships/hyperlink" Target="https://www.tiktok.com/@r1zk_ye" TargetMode="External"/><Relationship Id="rId10128" Type="http://schemas.openxmlformats.org/officeDocument/2006/relationships/hyperlink" Target="https://www.tiktok.com/@khalisah_rizkillah" TargetMode="External"/><Relationship Id="rId10125" Type="http://schemas.openxmlformats.org/officeDocument/2006/relationships/hyperlink" Target="https://www.tiktok.com/@Ttiissaasstt" TargetMode="External"/><Relationship Id="rId10126" Type="http://schemas.openxmlformats.org/officeDocument/2006/relationships/hyperlink" Target="https://www.tiktok.com/@yenifaaaaa" TargetMode="External"/><Relationship Id="rId10129" Type="http://schemas.openxmlformats.org/officeDocument/2006/relationships/hyperlink" Target="https://www.tiktok.com/@Thespillroom_" TargetMode="External"/><Relationship Id="rId2470" Type="http://schemas.openxmlformats.org/officeDocument/2006/relationships/hyperlink" Target="https://www.tiktok.com/@racun_spalspil12/video/7636565484460133652?_r=1&amp;u_code=cllj6j6aidf05b&amp;region=&amp;mid=7582487626100296456&amp;preview_pb=0&amp;sharer_language=&amp;_d=0&amp;ec_shared_reflux_dynamic_params=%7B%22placeholder_material_id%22%3A%227636565484460133652%22%2C%22placeholder_origin_cover%22%3A%22https%253A%252F%252Fp16-common-sign.tiktokcdn.com%252Ftos-alisg-p-0037%252FoEINBdQA4GAFEEoDXbjmvefXzdDPDCQQJEeT91~tplv-tiktokx-origin.jpeg%253Fdr%253D14572%2526refresh_token%253D7177ace2%2526x-expires%253D1810116000%2526x-signature%253DQ3VJ8fqmp6N%25252BgKLjV0z3XnItFb0%25253D%2526t%253D4d5b0474%2526ps%253D13740610%2526shp%253Dd05b14bd%2526shcp%253D34ff8df6%2526idc%253Dmy2%2526s%253DTIKTOK_AFFILIATE_VIRAL_VIDEO%22%2C%22placeholder_product_id%22%3A%221729427766722726591%22%2C%22placeholder_video_id%22%3A%227636565484460133652%22%7D&amp;ec_shared_reflux_scene=shop_tab_feed&amp;share_item_id=7636565484460133652&amp;source=h5_t" TargetMode="External"/><Relationship Id="rId1140" Type="http://schemas.openxmlformats.org/officeDocument/2006/relationships/hyperlink" Target="https://www.tiktok.com/@meliantiukail2/video/7612587672116268308?is_from_webapp=1&amp;sender_device=pc" TargetMode="External"/><Relationship Id="rId2471" Type="http://schemas.openxmlformats.org/officeDocument/2006/relationships/hyperlink" Target="https://www.tiktok.com/@racun_spalspil12/video/7636571087425391893?_r=1&amp;u_code=cllj6j6aidf05b&amp;region=&amp;mid=7604473397582940177&amp;preview_pb=0&amp;sharer_language=&amp;_d=0&amp;ec_shared_reflux_dynamic_params=%7B%22placeholder_material_id%22%3A%227636571087425391893%22%2C%22placeholder_origin_cover%22%3A%22https%253A%252F%252Fp16-common-sign.tiktokcdn.com%252Ftos-alisg-p-0037%252FoUT44g6DtCJIoAFjfDbIwQCCFeI7AjfXkyjDEC~tplv-tiktokx-origin.jpeg%253Fdr%253D14572%2526refresh_token%253D92676746%2526x-expires%253D1810116000%2526x-signature%253DWCAUCViK30hgWtiysrBIyhk22RU%25253D%2526t%253D4d5b0474%2526ps%253D13740610%2526shp%253Dd05b14bd%2526shcp%253D34ff8df6%2526idc%253Dmy2%2526s%253DTIKTOK_AFFILIATE_VIRAL_VIDEO%22%2C%22placeholder_product_id%22%3A%221729729730555512511%22%2C%22placeholder_video_id%22%3A%227636571087425391893%22%7D&amp;ec_shared_reflux_scene=shop_tab_feed&amp;share_item_id=7636571087425391893&amp;source=h5_t" TargetMode="External"/><Relationship Id="rId10120" Type="http://schemas.openxmlformats.org/officeDocument/2006/relationships/hyperlink" Target="https://www.tiktok.com/@ceutika2" TargetMode="External"/><Relationship Id="rId1141" Type="http://schemas.openxmlformats.org/officeDocument/2006/relationships/hyperlink" Target="https://www.tiktok.com/@meliantiukail2/video/7613211063663791380?is_from_webapp=1&amp;sender_device=pc" TargetMode="External"/><Relationship Id="rId2472" Type="http://schemas.openxmlformats.org/officeDocument/2006/relationships/hyperlink" Target="https://www.tiktok.com/@racun_spalspil12/video/7637215804181777685?_r=1&amp;u_code=cllj6j6aidf05b&amp;region=&amp;mid=7604473397582940177&amp;preview_pb=0&amp;sharer_language=&amp;_d=0&amp;ec_shared_reflux_dynamic_params=%7B%22placeholder_material_id%22%3A%227637215804181777685%22%2C%22placeholder_origin_cover%22%3A%22https%253A%252F%252Fp16-common-sign.tiktokcdn.com%252Ftos-alisg-p-0037%252FoklE1XifyIBMj7BAuw3gf3ihp8IWR0YBc21m1B~tplv-tiktokx-origin.jpeg%253Fdr%253D14572%2526refresh_token%253Da1972b28%2526x-expires%253D1810116000%2526x-signature%253DAb1KtlMWFl6U8RIhuYzClKSg1K8%25253D%2526t%253D4d5b0474%2526ps%253D13740610%2526shp%253Dd05b14bd%2526shcp%253D34ff8df6%2526idc%253Dmy2%2526s%253DTIKTOK_AFFILIATE_VIRAL_VIDEO%22%2C%22placeholder_product_id%22%3A%221729729730555512511%22%2C%22placeholder_video_id%22%3A%227637215804181777685%22%7D&amp;ec_shared_reflux_scene=shop_tab_feed&amp;share_item_id=7637215804181777685&amp;source=h5_t" TargetMode="External"/><Relationship Id="rId1142" Type="http://schemas.openxmlformats.org/officeDocument/2006/relationships/hyperlink" Target="https://www.tiktok.com/@meliantiukail2/video/7613308531193793813?is_from_webapp=1&amp;sender_device=pc" TargetMode="External"/><Relationship Id="rId2473" Type="http://schemas.openxmlformats.org/officeDocument/2006/relationships/hyperlink" Target="https://www.tiktok.com/@sans.brey" TargetMode="External"/><Relationship Id="rId1143" Type="http://schemas.openxmlformats.org/officeDocument/2006/relationships/hyperlink" Target="https://www.tiktok.com/@jun_shop" TargetMode="External"/><Relationship Id="rId2474" Type="http://schemas.openxmlformats.org/officeDocument/2006/relationships/hyperlink" Target="https://www.tiktok.com/@sans.brey/video/7622319807144267029?is_from_webapp=1&amp;sender_device=pc" TargetMode="External"/><Relationship Id="rId10123" Type="http://schemas.openxmlformats.org/officeDocument/2006/relationships/hyperlink" Target="https://www.tiktok.com/@rachundhuniaa" TargetMode="External"/><Relationship Id="rId1144" Type="http://schemas.openxmlformats.org/officeDocument/2006/relationships/hyperlink" Target="https://www.tiktok.com/@sinabilla/video/7624007060069371154?is_from_webapp=1&amp;sender_device=pc" TargetMode="External"/><Relationship Id="rId2475" Type="http://schemas.openxmlformats.org/officeDocument/2006/relationships/hyperlink" Target="https://www.tiktok.com/@sans.brey/video/7622559197825191188?is_from_webapp=1&amp;sender_device=pc" TargetMode="External"/><Relationship Id="rId10124" Type="http://schemas.openxmlformats.org/officeDocument/2006/relationships/hyperlink" Target="https://www.tiktok.com/@kakcidss.new" TargetMode="External"/><Relationship Id="rId1145" Type="http://schemas.openxmlformats.org/officeDocument/2006/relationships/hyperlink" Target="https://vt.tiktok.com/ZSHPYMowQ/" TargetMode="External"/><Relationship Id="rId2476" Type="http://schemas.openxmlformats.org/officeDocument/2006/relationships/hyperlink" Target="https://www.tiktok.com/@sans.brey/video/7623369902551829780?is_from_webapp=1&amp;sender_device=pc" TargetMode="External"/><Relationship Id="rId10121" Type="http://schemas.openxmlformats.org/officeDocument/2006/relationships/hyperlink" Target="https://www.tiktok.com/@spal.spiltika82" TargetMode="External"/><Relationship Id="rId1146" Type="http://schemas.openxmlformats.org/officeDocument/2006/relationships/hyperlink" Target="https://vt.tiktok.com/ZSHPYCUjB/" TargetMode="External"/><Relationship Id="rId2477" Type="http://schemas.openxmlformats.org/officeDocument/2006/relationships/hyperlink" Target="https://www.tiktok.com/@sans.brey/video/7623971392509283605?is_from_webapp=1&amp;sender_device=pc" TargetMode="External"/><Relationship Id="rId10122" Type="http://schemas.openxmlformats.org/officeDocument/2006/relationships/hyperlink" Target="https://www.tiktok.com/@Beauty_wtbee" TargetMode="External"/><Relationship Id="rId7319" Type="http://schemas.openxmlformats.org/officeDocument/2006/relationships/hyperlink" Target="https://vt.tiktok.com/ZSxSew8Tj/" TargetMode="External"/><Relationship Id="rId7318" Type="http://schemas.openxmlformats.org/officeDocument/2006/relationships/hyperlink" Target="https://vt.tiktok.com/ZSxrxHvUh/" TargetMode="External"/><Relationship Id="rId8649" Type="http://schemas.openxmlformats.org/officeDocument/2006/relationships/hyperlink" Target="https://vt.tiktok.com/ZSxtqDhhS/" TargetMode="External"/><Relationship Id="rId9970" Type="http://schemas.openxmlformats.org/officeDocument/2006/relationships/hyperlink" Target="https://www.tiktok.com/@nidasaurus.picks" TargetMode="External"/><Relationship Id="rId9971" Type="http://schemas.openxmlformats.org/officeDocument/2006/relationships/hyperlink" Target="https://www.tiktok.com/@hnf021294" TargetMode="External"/><Relationship Id="rId8640" Type="http://schemas.openxmlformats.org/officeDocument/2006/relationships/hyperlink" Target="https://vt.tiktok.com/ZSxWo3kkR/" TargetMode="External"/><Relationship Id="rId7313" Type="http://schemas.openxmlformats.org/officeDocument/2006/relationships/hyperlink" Target="https://vt.tiktok.com/ZSxJ4NHpR/" TargetMode="External"/><Relationship Id="rId8644" Type="http://schemas.openxmlformats.org/officeDocument/2006/relationships/hyperlink" Target="https://vt.tiktok.com/ZSxtqSRWW/" TargetMode="External"/><Relationship Id="rId9976" Type="http://schemas.openxmlformats.org/officeDocument/2006/relationships/hyperlink" Target="https://www.tiktok.com/@itsmewinda17" TargetMode="External"/><Relationship Id="rId7312" Type="http://schemas.openxmlformats.org/officeDocument/2006/relationships/hyperlink" Target="https://www.tiktok.com/@Pisceanrick" TargetMode="External"/><Relationship Id="rId8643" Type="http://schemas.openxmlformats.org/officeDocument/2006/relationships/hyperlink" Target="https://www.tiktok.com/@ccute_girll" TargetMode="External"/><Relationship Id="rId9977" Type="http://schemas.openxmlformats.org/officeDocument/2006/relationships/hyperlink" Target="https://www.tiktok.com/@avnylssej" TargetMode="External"/><Relationship Id="rId7311" Type="http://schemas.openxmlformats.org/officeDocument/2006/relationships/hyperlink" Target="https://vt.tiktok.com/ZS9ojERFm/" TargetMode="External"/><Relationship Id="rId8642" Type="http://schemas.openxmlformats.org/officeDocument/2006/relationships/hyperlink" Target="https://vt.tiktok.com/ZSxtq5nfL/" TargetMode="External"/><Relationship Id="rId9978" Type="http://schemas.openxmlformats.org/officeDocument/2006/relationships/hyperlink" Target="https://www.tiktok.com/@luluk.m6" TargetMode="External"/><Relationship Id="rId7310" Type="http://schemas.openxmlformats.org/officeDocument/2006/relationships/hyperlink" Target="https://www.tiktok.com/@meituni29/video/7635297460130270485?_r=1&amp;u_code=dibcckj1hfg2cm&amp;region=&amp;mid=7397818121896593424&amp;preview_pb=0&amp;sharer_language=&amp;_d=0&amp;ec_shared_reflux_dynamic_params=%7B%22placeholder_material_id%22%3A%227635297460130270485%22%2C%22placeholder_origin_cover%22%3A%22https%253A%252F%252Fp16-common-sign.tiktokcdn.com%252Ftos-alisg-p-0037%252Foc2Ug9DBTIpdFvZYSUfBRebIqmDHBgEbAEBKPI~tplv-tiktokx-origin.jpeg%253Fdr%253D14572%2526refresh_token%253D165fe96c%2526x-expires%253D1809504000%2526x-signature%253D3vF6R6JXSOiE833lngAENSEoStE%25253D%2526t%253D4d5b0474%2526ps%253D13740610%2526shp%253Dd05b14bd%2526shcp%253D34ff8df6%2526idc%253Dmy%2526s%253DTIKTOK_AFFILIATE_VIRAL_VIDEO%22%2C%22placeholder_product_id%22%3A%221729427766722726591%22%2C%22placeholder_video_id%22%3A%227635297460130270485%22%7D&amp;ec_shared_reflux_scene=shop_tab_feed&amp;share_item_id=7635297460130270485&amp;source=h5_t" TargetMode="External"/><Relationship Id="rId8641" Type="http://schemas.openxmlformats.org/officeDocument/2006/relationships/hyperlink" Target="https://vt.tiktok.com/ZSxtqSTk6/" TargetMode="External"/><Relationship Id="rId9979" Type="http://schemas.openxmlformats.org/officeDocument/2006/relationships/hyperlink" Target="https://www.tiktok.com/@atspilll" TargetMode="External"/><Relationship Id="rId7317" Type="http://schemas.openxmlformats.org/officeDocument/2006/relationships/hyperlink" Target="https://www.tiktok.com/@cicikkarinn" TargetMode="External"/><Relationship Id="rId8648" Type="http://schemas.openxmlformats.org/officeDocument/2006/relationships/hyperlink" Target="https://www.tiktok.com/@fashion_vibe5" TargetMode="External"/><Relationship Id="rId9972" Type="http://schemas.openxmlformats.org/officeDocument/2006/relationships/hyperlink" Target="http://angelic.cc" TargetMode="External"/><Relationship Id="rId7316" Type="http://schemas.openxmlformats.org/officeDocument/2006/relationships/hyperlink" Target="https://vt.tiktok.com/ZSxWfV3CM/" TargetMode="External"/><Relationship Id="rId8647" Type="http://schemas.openxmlformats.org/officeDocument/2006/relationships/hyperlink" Target="https://vt.tiktok.com/ZSxtqU1ty/" TargetMode="External"/><Relationship Id="rId9973" Type="http://schemas.openxmlformats.org/officeDocument/2006/relationships/hyperlink" Target="https://www.tiktok.com/@angelic.cc" TargetMode="External"/><Relationship Id="rId7315" Type="http://schemas.openxmlformats.org/officeDocument/2006/relationships/hyperlink" Target="https://www.tiktok.com/@pisceanrick/video/7641278248575438098?_r=1&amp;u_code=dlfic596iblb23&amp;region=&amp;mid=6618871733141113604&amp;preview_pb=0&amp;sharer_language=&amp;_d=0&amp;ec_shared_reflux_dynamic_params=%7B%22placeholder_material_id%22%3A%227641278248575438098%22%2C%22placeholder_origin_cover%22%3A%22https%253A%252F%252Fp16-common-sign.tiktokcdn.com%252Ftos-alisg-p-0037%252FoUEvQcsf0hFQs7ERMRCqrCFUsfrDgQgBArgzLB~tplv-tiktokx-origin.jpeg%253Fdr%253D14572%2526refresh_token%253D1e42a5c8%2526x-expires%253D1810717200%2526x-signature%253DcB3oXhhHluxrJlENmAUrfIa10sE%25253D%2526t%253D4d5b0474%2526ps%253D13740610%2526shp%253Dd05b14bd%2526shcp%253D34ff8df6%2526idc%253Dmy3%2526s%253DTIKTOK_AFFILIATE_VIRAL_VIDEO%22%2C%22placeholder_product_id%22%3A%221729427766722726591%22%2C%22placeholder_video_id%22%3A%227641278248575438098%22%7D&amp;ec_shared_reflux_scene=shop_tab_feed&amp;share_item_id=7641278248575438098&amp;source=h5_t" TargetMode="External"/><Relationship Id="rId8646" Type="http://schemas.openxmlformats.org/officeDocument/2006/relationships/hyperlink" Target="https://vt.tiktok.com/ZSxtq4Gb3/" TargetMode="External"/><Relationship Id="rId9974" Type="http://schemas.openxmlformats.org/officeDocument/2006/relationships/hyperlink" Target="https://www.tiktok.com/@araakuspil" TargetMode="External"/><Relationship Id="rId7314" Type="http://schemas.openxmlformats.org/officeDocument/2006/relationships/hyperlink" Target="https://vt.tiktok.com/ZSxdWPU5U/" TargetMode="External"/><Relationship Id="rId8645" Type="http://schemas.openxmlformats.org/officeDocument/2006/relationships/hyperlink" Target="https://vt.tiktok.com/ZSxtqbnkD/" TargetMode="External"/><Relationship Id="rId9975" Type="http://schemas.openxmlformats.org/officeDocument/2006/relationships/hyperlink" Target="https://www.tiktok.com/@duvard99" TargetMode="External"/><Relationship Id="rId7309" Type="http://schemas.openxmlformats.org/officeDocument/2006/relationships/hyperlink" Target="https://www.tiktok.com/@meituni29/video/7635265293807389973?_r=1&amp;u_code=dibcckj1hfg2cm&amp;region=&amp;mid=7605117866958358529&amp;preview_pb=0&amp;sharer_language=&amp;_d=0&amp;ec_shared_reflux_dynamic_params=%7B%22placeholder_material_id%22%3A%227635265293807389973%22%2C%22placeholder_origin_cover%22%3A%22https%253A%252F%252Fp19-common-sign.tiktokcdn.com%252Ftos-alisg-p-0037%252Fos7GLC6f9IezVjK1IBOVIe9Xo66qTIAQXD4jAs~tplv-tiktokx-origin.jpeg%253Fdr%253D14572%2526refresh_token%253Daad2a06c%2526x-expires%253D1809504000%2526x-signature%253Dtz%25252F0JgNDpQjJ3%25252Bci7tl0vsuN9QM%25253D%2526t%253D4d5b0474%2526ps%253D13740610%2526shp%253Dd05b14bd%2526shcp%253D34ff8df6%2526idc%253Dmy%2526s%253DTIKTOK_AFFILIATE_VIRAL_VIDEO%22%2C%22placeholder_product_id%22%3A%221729729730555512511%22%2C%22placeholder_video_id%22%3A%227635265293807389973%22%7D&amp;ec_shared_reflux_scene=shop_tab_feed&amp;share_item_id=7635265293807389973&amp;source=h5_t" TargetMode="External"/><Relationship Id="rId7308" Type="http://schemas.openxmlformats.org/officeDocument/2006/relationships/hyperlink" Target="https://www.tiktok.com/@meituni29/video/7635176906274426133?_r=1&amp;u_code=dibcckj1hfg2cm&amp;region=&amp;mid=6981828410792216577&amp;preview_pb=0&amp;sharer_language=&amp;_d=0&amp;ec_shared_reflux_dynamic_params=%7B%22placeholder_material_id%22%3A%227635176906274426133%22%2C%22placeholder_origin_cover%22%3A%22https%253A%252F%252Fp16-common-sign.tiktokcdn.com%252Ftos-alisg-p-0037%252Fo8I1IBACIm4fAkB00iHDvYJ1uX5C5iEwqRWPAQ~tplv-tiktokx-origin.jpeg%253Fdr%253D14572%2526refresh_token%253D20d2b8ab%2526x-expires%253D1809504000%2526x-signature%253DtiX4Czx15w%25252BdaCy5Z%25252BA8oVJ0md4%25253D%2526t%253D4d5b0474%2526ps%253D13740610%2526shp%253Dd05b14bd%2526shcp%253D34ff8df6%2526idc%253Dmy%2526s%253DTIKTOK_AFFILIATE_VIRAL_VIDEO%22%2C%22placeholder_product_id%22%3A%221729427766722726591%22%2C%22placeholder_video_id%22%3A%227635176906274426133%22%7D&amp;ec_shared_reflux_scene=shop_tab_feed&amp;share_item_id=7635176906274426133&amp;source=h5_t" TargetMode="External"/><Relationship Id="rId8639" Type="http://schemas.openxmlformats.org/officeDocument/2006/relationships/hyperlink" Target="https://www.tiktok.com/@silatmadura" TargetMode="External"/><Relationship Id="rId7307" Type="http://schemas.openxmlformats.org/officeDocument/2006/relationships/hyperlink" Target="https://www.tiktok.com/@meituni29" TargetMode="External"/><Relationship Id="rId8638" Type="http://schemas.openxmlformats.org/officeDocument/2006/relationships/hyperlink" Target="https://vt.tiktok.com/ZSx71JdgB/" TargetMode="External"/><Relationship Id="rId9969" Type="http://schemas.openxmlformats.org/officeDocument/2006/relationships/hyperlink" Target="https://www.tiktok.com/@dewiisma_88" TargetMode="External"/><Relationship Id="rId9960" Type="http://schemas.openxmlformats.org/officeDocument/2006/relationships/hyperlink" Target="https://www.tiktok.com/@anggiyuliantikaa" TargetMode="External"/><Relationship Id="rId7302" Type="http://schemas.openxmlformats.org/officeDocument/2006/relationships/hyperlink" Target="https://www.tiktok.com/@hayakuelaaaa" TargetMode="External"/><Relationship Id="rId8633" Type="http://schemas.openxmlformats.org/officeDocument/2006/relationships/hyperlink" Target="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eholder_origin_cover%22%3A%22https%253A%252F%252Fp16-sign-sg.tiktokcdn.com%252Ftos-alisg-p-0037%252Fo03hfABezYXBDiRNp9OP7BUEgIxxBiEINkwKiH~tplv-tiktokx-origin.jpeg%253Fdr%253D14572%2526refresh_token%253D2b3edbd9%2526x-expires%253D1808992800%2526x-signature%253DuF7qjx32DHmqMM4GzKo0wROx5Eg%25253D%2526t%253D4d5b0474%2526ps%253D13740610%2526shp%253Dd05b14bd%2526shcp%253D34ff8df6%2526idc%253Dmy2%2526s%253DTIKTOK_AFFILIATE_VIRAL_VIDEO%22%2C%22placeholder_product_id%22%3A%221729427766722726591%22%2C%22placeholder_video_id%22%3A%227633988561930423560%22%7D&amp;ec_shared_reflux_scene=shop_tab_feed&amp;share_item_id=7633988561930423560&amp;source=h5_t" TargetMode="External"/><Relationship Id="rId9965" Type="http://schemas.openxmlformats.org/officeDocument/2006/relationships/hyperlink" Target="https://www.tiktok.com/@ig.ghinaazzahra" TargetMode="External"/><Relationship Id="rId7301" Type="http://schemas.openxmlformats.org/officeDocument/2006/relationships/hyperlink" Target="https://vt.tiktok.com/ZS9eVfgqV/" TargetMode="External"/><Relationship Id="rId8632" Type="http://schemas.openxmlformats.org/officeDocument/2006/relationships/hyperlink" Target="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eholder_origin_cover%22%3A%22https%253A%252F%252Fp16-common-sign.tiktokcdn.com%252Ftos-alisg-p-0037%252FoEvtB2BmQIJJbKvDCITIgGKC4QfW4c8eAAeLPj~tplv-tiktokx-origin.jpeg%253Fdr%253D14572%2526refresh_token%253D14b8e5a1%2526x-expires%253D1808992800%2526x-signature%253DsBKNRZM9NlGgABGP%25252Bi5CuTVSWFg%25253D%2526t%253D4d5b0474%2526ps%253D13740610%2526shp%253Dd05b14bd%2526shcp%253D34ff8df6%2526idc%253Dmy2%2526s%253DTIKTOK_AFFILIATE_VIRAL_VIDEO%22%2C%22placeholder_product_id%22%3A%221729427766722726591%22%2C%22placeholder_video_id%22%3A%227633619284236799240%22%7D&amp;ec_shared_reflux_scene=shop_tab_feed&amp;share_item_id=7633619284236799240&amp;source=h5_t" TargetMode="External"/><Relationship Id="rId9966" Type="http://schemas.openxmlformats.org/officeDocument/2006/relationships/hyperlink" Target="https://www.tiktok.com/@sukamatchaplis" TargetMode="External"/><Relationship Id="rId7300" Type="http://schemas.openxmlformats.org/officeDocument/2006/relationships/hyperlink" Target="https://vt.tiktok.com/ZS9eVYnh4/" TargetMode="External"/><Relationship Id="rId8631" Type="http://schemas.openxmlformats.org/officeDocument/2006/relationships/hyperlink" Target="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eholder_origin_cover%22%3A%22https%253A%252F%252Fp16-common-sign.tiktokcdn.com%252Ftos-alisg-p-0037%252Fokej83InNuARId4oIVGPkcAQGeAeLDBS0CHTZQ~tplv-tiktokx-origin.jpeg%253Fdr%253D14572%2526refresh_token%253D3b7eb85d%2526x-expires%253D1808992800%2526x-signature%253DzhyQY%25252Bd9E%25252FZMgX7MRj4vEnlPr%25252BI%25253D%2526t%253D4d5b0474%2526ps%253D13740610%2526shp%253Dd05b14bd%2526shcp%253D34ff8df6%2526idc%253Dmy2%2526s%253DTIKTOK_AFFILIATE_VIRAL_VIDEO%22%2C%22placeholder_product_id%22%3A%221729427766722726591%22%2C%22placeholder_video_id%22%3A%227633259666696391954%22%7D&amp;ec_shared_reflux_scene=shop_tab_feed&amp;share_item_id=7633259666696391954&amp;source=h5_t" TargetMode="External"/><Relationship Id="rId9967" Type="http://schemas.openxmlformats.org/officeDocument/2006/relationships/hyperlink" Target="https://www.tiktok.com/@arina.purna" TargetMode="External"/><Relationship Id="rId8630" Type="http://schemas.openxmlformats.org/officeDocument/2006/relationships/hyperlink" Target="https://www.tiktok.com/@yulia_yyla" TargetMode="External"/><Relationship Id="rId9968" Type="http://schemas.openxmlformats.org/officeDocument/2006/relationships/hyperlink" Target="https://www.tiktok.com/@andnprdt_" TargetMode="External"/><Relationship Id="rId7306" Type="http://schemas.openxmlformats.org/officeDocument/2006/relationships/hyperlink" Target="https://vt.tiktok.com/ZS98NGqCr/" TargetMode="External"/><Relationship Id="rId8637" Type="http://schemas.openxmlformats.org/officeDocument/2006/relationships/hyperlink" Target="https://vt.tiktok.com/ZSx71Lr8N/" TargetMode="External"/><Relationship Id="rId9961" Type="http://schemas.openxmlformats.org/officeDocument/2006/relationships/hyperlink" Target="https://www.tiktok.com/@mamak_kao" TargetMode="External"/><Relationship Id="rId7305" Type="http://schemas.openxmlformats.org/officeDocument/2006/relationships/hyperlink" Target="https://vt.tiktok.com/ZS9eqk3fq/" TargetMode="External"/><Relationship Id="rId8636" Type="http://schemas.openxmlformats.org/officeDocument/2006/relationships/hyperlink" Target="https://vt.tiktok.com/ZSxWosDRR/" TargetMode="External"/><Relationship Id="rId9962" Type="http://schemas.openxmlformats.org/officeDocument/2006/relationships/hyperlink" Target="https://www.tiktok.com/@ibujie05" TargetMode="External"/><Relationship Id="rId7304" Type="http://schemas.openxmlformats.org/officeDocument/2006/relationships/hyperlink" Target="https://vt.tiktok.com/ZS9eqFr6W/" TargetMode="External"/><Relationship Id="rId8635" Type="http://schemas.openxmlformats.org/officeDocument/2006/relationships/hyperlink" Target="https://www.tiktok.com/@fashionbyvaraa" TargetMode="External"/><Relationship Id="rId9963" Type="http://schemas.openxmlformats.org/officeDocument/2006/relationships/hyperlink" Target="https://www.tiktok.com/@nurlia_2" TargetMode="External"/><Relationship Id="rId7303" Type="http://schemas.openxmlformats.org/officeDocument/2006/relationships/hyperlink" Target="https://vt.tiktok.com/ZS9eqh363/" TargetMode="External"/><Relationship Id="rId8634" Type="http://schemas.openxmlformats.org/officeDocument/2006/relationships/hyperlink" Target="https://vt.tiktok.com/ZSxfCLAv5/" TargetMode="External"/><Relationship Id="rId9964" Type="http://schemas.openxmlformats.org/officeDocument/2006/relationships/hyperlink" Target="https://www.tiktok.com/@ulawahyu21" TargetMode="External"/><Relationship Id="rId6009" Type="http://schemas.openxmlformats.org/officeDocument/2006/relationships/hyperlink" Target="https://vt.tiktok.com/ZSxme1sw4/" TargetMode="External"/><Relationship Id="rId9990" Type="http://schemas.openxmlformats.org/officeDocument/2006/relationships/hyperlink" Target="https://www.tiktok.com/@ig.ernaaaaaaaa.a" TargetMode="External"/><Relationship Id="rId9991" Type="http://schemas.openxmlformats.org/officeDocument/2006/relationships/hyperlink" Target="https://www.tiktok.com/@mamahyudefta" TargetMode="External"/><Relationship Id="rId9992" Type="http://schemas.openxmlformats.org/officeDocument/2006/relationships/hyperlink" Target="https://www.tiktok.com/@nadlyneclarabelvanya" TargetMode="External"/><Relationship Id="rId9993" Type="http://schemas.openxmlformats.org/officeDocument/2006/relationships/hyperlink" Target="https://www.tiktok.com/@ellslsbl" TargetMode="External"/><Relationship Id="rId7331" Type="http://schemas.openxmlformats.org/officeDocument/2006/relationships/hyperlink" Target="https://vt.tiktok.com/ZSx2byw4X/" TargetMode="External"/><Relationship Id="rId8662" Type="http://schemas.openxmlformats.org/officeDocument/2006/relationships/hyperlink" Target="https://vt.tiktok.com/ZS9DPmU5N/" TargetMode="External"/><Relationship Id="rId6000" Type="http://schemas.openxmlformats.org/officeDocument/2006/relationships/hyperlink" Target="https://vt.tiktok.com/ZSx9yxHVX/" TargetMode="External"/><Relationship Id="rId7330" Type="http://schemas.openxmlformats.org/officeDocument/2006/relationships/hyperlink" Target="https://vt.tiktok.com/ZS9o6fNFS/" TargetMode="External"/><Relationship Id="rId8661" Type="http://schemas.openxmlformats.org/officeDocument/2006/relationships/hyperlink" Target="https://vt.tiktok.com/ZS9DP67g8/" TargetMode="External"/><Relationship Id="rId8660" Type="http://schemas.openxmlformats.org/officeDocument/2006/relationships/hyperlink" Target="https://vt.tiktok.com/ZS9DPDvFU/" TargetMode="External"/><Relationship Id="rId6003" Type="http://schemas.openxmlformats.org/officeDocument/2006/relationships/hyperlink" Target="https://vt.tiktok.com/ZSx9yctYv/" TargetMode="External"/><Relationship Id="rId7335" Type="http://schemas.openxmlformats.org/officeDocument/2006/relationships/hyperlink" Target="https://vt.tiktok.com/ZSxgQFwg1/" TargetMode="External"/><Relationship Id="rId8666" Type="http://schemas.openxmlformats.org/officeDocument/2006/relationships/hyperlink" Target="https://vt.tiktok.com/ZS9DPPrEn/" TargetMode="External"/><Relationship Id="rId9998" Type="http://schemas.openxmlformats.org/officeDocument/2006/relationships/hyperlink" Target="https://www.tiktok.com/@ayutika_j" TargetMode="External"/><Relationship Id="rId6004" Type="http://schemas.openxmlformats.org/officeDocument/2006/relationships/hyperlink" Target="https://vt.tiktok.com/ZSx9f16Nj/" TargetMode="External"/><Relationship Id="rId7334" Type="http://schemas.openxmlformats.org/officeDocument/2006/relationships/hyperlink" Target="https://www.tiktok.com/@giovanitrishna" TargetMode="External"/><Relationship Id="rId8665" Type="http://schemas.openxmlformats.org/officeDocument/2006/relationships/hyperlink" Target="https://vt.tiktok.com/ZS9DP9gUq/" TargetMode="External"/><Relationship Id="rId9999" Type="http://schemas.openxmlformats.org/officeDocument/2006/relationships/hyperlink" Target="https://www.tiktok.com/@cipaak19" TargetMode="External"/><Relationship Id="rId6001" Type="http://schemas.openxmlformats.org/officeDocument/2006/relationships/hyperlink" Target="https://vt.tiktok.com/ZSx9ySUhu/" TargetMode="External"/><Relationship Id="rId7333" Type="http://schemas.openxmlformats.org/officeDocument/2006/relationships/hyperlink" Target="https://vt.tiktok.com/ZSxtMVgsC/" TargetMode="External"/><Relationship Id="rId8664" Type="http://schemas.openxmlformats.org/officeDocument/2006/relationships/hyperlink" Target="https://vt.tiktok.com/ZS9DP2wff/" TargetMode="External"/><Relationship Id="rId6002" Type="http://schemas.openxmlformats.org/officeDocument/2006/relationships/hyperlink" Target="https://www.tiktok.com/@qwrasa" TargetMode="External"/><Relationship Id="rId7332" Type="http://schemas.openxmlformats.org/officeDocument/2006/relationships/hyperlink" Target="https://vt.tiktok.com/ZSxHjjHSL/" TargetMode="External"/><Relationship Id="rId8663" Type="http://schemas.openxmlformats.org/officeDocument/2006/relationships/hyperlink" Target="https://www.tiktok.com/@racun_spalspil12" TargetMode="External"/><Relationship Id="rId6007" Type="http://schemas.openxmlformats.org/officeDocument/2006/relationships/hyperlink" Target="https://vt.tiktok.com/ZSxmeao9u/" TargetMode="External"/><Relationship Id="rId7339" Type="http://schemas.openxmlformats.org/officeDocument/2006/relationships/hyperlink" Target="https://vt.tiktok.com/ZS9H2BvDV/" TargetMode="External"/><Relationship Id="rId9994" Type="http://schemas.openxmlformats.org/officeDocument/2006/relationships/hyperlink" Target="https://www.tiktok.com/@hervinarela" TargetMode="External"/><Relationship Id="rId6008" Type="http://schemas.openxmlformats.org/officeDocument/2006/relationships/hyperlink" Target="https://vt.tiktok.com/ZSxmeqoxF/" TargetMode="External"/><Relationship Id="rId7338" Type="http://schemas.openxmlformats.org/officeDocument/2006/relationships/hyperlink" Target="https://www.tiktok.com/@Cece_koko333" TargetMode="External"/><Relationship Id="rId8669" Type="http://schemas.openxmlformats.org/officeDocument/2006/relationships/hyperlink" Target="https://vt.tiktok.com/ZS9DPUo5R/" TargetMode="External"/><Relationship Id="rId9995" Type="http://schemas.openxmlformats.org/officeDocument/2006/relationships/hyperlink" Target="https://www.tiktok.com/@shimmerins" TargetMode="External"/><Relationship Id="rId6005" Type="http://schemas.openxmlformats.org/officeDocument/2006/relationships/hyperlink" Target="https://vt.tiktok.com/ZSx9yn96m/" TargetMode="External"/><Relationship Id="rId7337" Type="http://schemas.openxmlformats.org/officeDocument/2006/relationships/hyperlink" Target="https://vt.tiktok.com/ZSxPpjVBK/" TargetMode="External"/><Relationship Id="rId8668" Type="http://schemas.openxmlformats.org/officeDocument/2006/relationships/hyperlink" Target="https://www.tiktok.com/@dont.look.at.me222" TargetMode="External"/><Relationship Id="rId9996" Type="http://schemas.openxmlformats.org/officeDocument/2006/relationships/hyperlink" Target="https://www.tiktok.com/@itsme.thania" TargetMode="External"/><Relationship Id="rId6006" Type="http://schemas.openxmlformats.org/officeDocument/2006/relationships/hyperlink" Target="https://www.tiktok.com/@koh.iio" TargetMode="External"/><Relationship Id="rId7336" Type="http://schemas.openxmlformats.org/officeDocument/2006/relationships/hyperlink" Target="https://vt.tiktok.com/ZSxqLjsME/" TargetMode="External"/><Relationship Id="rId8667" Type="http://schemas.openxmlformats.org/officeDocument/2006/relationships/hyperlink" Target="https://vt.tiktok.com/ZS959tdWy/" TargetMode="External"/><Relationship Id="rId9997" Type="http://schemas.openxmlformats.org/officeDocument/2006/relationships/hyperlink" Target="https://www.tiktok.com/@bellamarita6" TargetMode="External"/><Relationship Id="rId7329" Type="http://schemas.openxmlformats.org/officeDocument/2006/relationships/hyperlink" Target="https://www.tiktok.com/@devitaa_1" TargetMode="External"/><Relationship Id="rId9980" Type="http://schemas.openxmlformats.org/officeDocument/2006/relationships/hyperlink" Target="https://www.tiktok.com/@titaelisaa29_" TargetMode="External"/><Relationship Id="rId9981" Type="http://schemas.openxmlformats.org/officeDocument/2006/relationships/hyperlink" Target="https://www.tiktok.com/@jerrybulee" TargetMode="External"/><Relationship Id="rId9982" Type="http://schemas.openxmlformats.org/officeDocument/2006/relationships/hyperlink" Target="https://www.tiktok.com/@raa.pisces5" TargetMode="External"/><Relationship Id="rId7320" Type="http://schemas.openxmlformats.org/officeDocument/2006/relationships/hyperlink" Target="https://www.tiktok.com/@sarahmarsandaa" TargetMode="External"/><Relationship Id="rId8651" Type="http://schemas.openxmlformats.org/officeDocument/2006/relationships/hyperlink" Target="https://vt.tiktok.com/ZSxnuyQyD/" TargetMode="External"/><Relationship Id="rId8650" Type="http://schemas.openxmlformats.org/officeDocument/2006/relationships/hyperlink" Target="https://vt.tiktok.com/ZSxtqx55M/" TargetMode="External"/><Relationship Id="rId7324" Type="http://schemas.openxmlformats.org/officeDocument/2006/relationships/hyperlink" Target="https://www.tiktok.com/@_0.0.04" TargetMode="External"/><Relationship Id="rId8655" Type="http://schemas.openxmlformats.org/officeDocument/2006/relationships/hyperlink" Target="https://vt.tiktok.com/ZSxn9f6b5/" TargetMode="External"/><Relationship Id="rId9987" Type="http://schemas.openxmlformats.org/officeDocument/2006/relationships/hyperlink" Target="https://www.tiktok.com/@momikhanza" TargetMode="External"/><Relationship Id="rId7323" Type="http://schemas.openxmlformats.org/officeDocument/2006/relationships/hyperlink" Target="https://vt.tiktok.com/ZS9vJMtMf/" TargetMode="External"/><Relationship Id="rId8654" Type="http://schemas.openxmlformats.org/officeDocument/2006/relationships/hyperlink" Target="https://vt.tiktok.com/ZSxn9AxY2/" TargetMode="External"/><Relationship Id="rId9988" Type="http://schemas.openxmlformats.org/officeDocument/2006/relationships/hyperlink" Target="https://www.tiktok.com/@sekar.momy.juna" TargetMode="External"/><Relationship Id="rId7322" Type="http://schemas.openxmlformats.org/officeDocument/2006/relationships/hyperlink" Target="https://vt.tiktok.com/ZS9vJkG2n/" TargetMode="External"/><Relationship Id="rId8653" Type="http://schemas.openxmlformats.org/officeDocument/2006/relationships/hyperlink" Target="https://www.tiktok.com/@tyaaayy" TargetMode="External"/><Relationship Id="rId9989" Type="http://schemas.openxmlformats.org/officeDocument/2006/relationships/hyperlink" Target="https://www.tiktok.com/@animay_mc" TargetMode="External"/><Relationship Id="rId7321" Type="http://schemas.openxmlformats.org/officeDocument/2006/relationships/hyperlink" Target="https://vt.tiktok.com/ZSxAUrDpY/" TargetMode="External"/><Relationship Id="rId8652" Type="http://schemas.openxmlformats.org/officeDocument/2006/relationships/hyperlink" Target="https://vt.tiktok.com/ZSxn9Yo6Q/" TargetMode="External"/><Relationship Id="rId7328" Type="http://schemas.openxmlformats.org/officeDocument/2006/relationships/hyperlink" Target="https://vt.tiktok.com/ZS9okAFtg/" TargetMode="External"/><Relationship Id="rId8659" Type="http://schemas.openxmlformats.org/officeDocument/2006/relationships/hyperlink" Target="https://vt.tiktok.com/ZS9DPUo5R/" TargetMode="External"/><Relationship Id="rId9983" Type="http://schemas.openxmlformats.org/officeDocument/2006/relationships/hyperlink" Target="https://www.tiktok.com/@kaka07108" TargetMode="External"/><Relationship Id="rId7327" Type="http://schemas.openxmlformats.org/officeDocument/2006/relationships/hyperlink" Target="https://vt.tiktok.com/ZS9QTCav9/" TargetMode="External"/><Relationship Id="rId8658" Type="http://schemas.openxmlformats.org/officeDocument/2006/relationships/hyperlink" Target="https://www.tiktok.com/@nolisnurjanah21" TargetMode="External"/><Relationship Id="rId9984" Type="http://schemas.openxmlformats.org/officeDocument/2006/relationships/hyperlink" Target="https://www.tiktok.com/@ccbeautysalon30" TargetMode="External"/><Relationship Id="rId7326" Type="http://schemas.openxmlformats.org/officeDocument/2006/relationships/hyperlink" Target="https://vt.tiktok.com/ZS9Hhmxec/" TargetMode="External"/><Relationship Id="rId8657" Type="http://schemas.openxmlformats.org/officeDocument/2006/relationships/hyperlink" Target="https://vt.tiktok.com/ZSxn9Arbj29/" TargetMode="External"/><Relationship Id="rId9985" Type="http://schemas.openxmlformats.org/officeDocument/2006/relationships/hyperlink" Target="https://www.tiktok.com/@widyaelviwandra" TargetMode="External"/><Relationship Id="rId7325" Type="http://schemas.openxmlformats.org/officeDocument/2006/relationships/hyperlink" Target="https://vt.tiktok.com/ZS9uq13up/" TargetMode="External"/><Relationship Id="rId8656" Type="http://schemas.openxmlformats.org/officeDocument/2006/relationships/hyperlink" Target="https://vt.tiktok.com/ZSxn9FUwo/" TargetMode="External"/><Relationship Id="rId9986" Type="http://schemas.openxmlformats.org/officeDocument/2006/relationships/hyperlink" Target="https://www.tiktok.com/@ftriyaa00" TargetMode="External"/><Relationship Id="rId8608" Type="http://schemas.openxmlformats.org/officeDocument/2006/relationships/hyperlink" Target="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22placeholder_origin_cover%22%3A%22https%253A%252F%252Fp16-common-sign.tiktokcdn.com%252Ftos-alisg-p-0037%252Fow724I9IGp8GJCSiAIeZAtCBfL0WETDI55ejBs~tplv-tiktokx-origin.jpeg%253Fdr%253D14572%2526refresh_token%253D974a53c8%2526x-expires%253D1808992800%2526x-signature%253DbBhbMoNFUGaDXGV%25252F1hVcSOsTVPM%25253D%2526t%253D4d5b0474%2526ps%253D13740610%2526shp%253Dd05b14bd%2526shcp%253D34ff8df6%2526idc%253Dmy2%2526s%253DTIKTOK_AFFILIATE_VIRAL_VIDEO%22%2C%22placeholder_product_id%22%3A%221729427766722726591%22%2C%22placeholder_video_id%22%3A%227632556344465231122%22%7D&amp;ec_shared_reflux_scene=shop_tab_feed&amp;share_item_id=7632556344465231122&amp;source=h5_t" TargetMode="External"/><Relationship Id="rId8607" Type="http://schemas.openxmlformats.org/officeDocument/2006/relationships/hyperlink" Target="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22placeholder_origin_cover%22%3A%22https%253A%252F%252Fp16-common-sign.tiktokcdn.com%252Ftos-alisg-p-0037%252FogtrPig6fAI1VtrDCBRpT4Bw9iBciEOXRfDIQy~tplv-tiktokx-origin.jpeg%253Fdr%253D14572%2526refresh_token%253Da7dfb7b6%2526x-expires%253D1808992800%2526x-signature%253DBLfnFU%25252FucpfNa%25252FqJkuXBbFXM3IE%25253D%2526t%253D4d5b0474%2526ps%253D13740610%2526shp%253Dd05b14bd%2526shcp%253D34ff8df6%2526idc%253Dmy2%2526s%253DTIKTOK_AFFILIATE_VIRAL_VIDEO%22%2C%22placeholder_product_id%22%3A%221729427766722726591%22%2C%22placeholder_video_id%22%3A%227632466134771453202%22%7D&amp;ec_shared_reflux_scene=shop_tab_feed&amp;share_item_id=7632466134771453202&amp;source=h5_t" TargetMode="External"/><Relationship Id="rId8606" Type="http://schemas.openxmlformats.org/officeDocument/2006/relationships/hyperlink" Target="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22placeholder_origin_cover%22%3A%22https%253A%252F%252Fp16-common-sign.tiktokcdn.com%252Ftos-alisg-p-0037%252Fo8fO8AM1hZeDgXj1TZgNKQoIABetCT1Aj7WrQE~tplv-tiktokx-origin.jpeg%253Fdr%253D14572%2526refresh_token%253Db34d4f83%2526x-expires%253D1808992800%2526x-signature%253D5d%25252BwOsNi1vQGg3hT4qvK4L51k%25252FQ%25253D%2526t%253D4d5b0474%2526ps%253D13740610%2526shp%253Dd05b14bd%2526shcp%253D34ff8df6%2526idc%253Dmy2%2526s%253DTIKTOK_AFFILIATE_VIRAL_VIDEO%22%2C%22placeholder_product_id%22%3A%221729427766722726591%22%2C%22placeholder_video_id%22%3A%227632292373736803591%22%7D&amp;ec_shared_reflux_scene=shop_tab_feed&amp;share_item_id=7632292373736803591&amp;source=h5_t" TargetMode="External"/><Relationship Id="rId8605" Type="http://schemas.openxmlformats.org/officeDocument/2006/relationships/hyperlink" Target="https://www.tiktok.com/@arficoo" TargetMode="External"/><Relationship Id="rId9936" Type="http://schemas.openxmlformats.org/officeDocument/2006/relationships/hyperlink" Target="https://www.tiktok.com/@mbakernand" TargetMode="External"/><Relationship Id="rId9937" Type="http://schemas.openxmlformats.org/officeDocument/2006/relationships/hyperlink" Target="https://www.tiktok.com/@nydha_makeup29" TargetMode="External"/><Relationship Id="rId9938" Type="http://schemas.openxmlformats.org/officeDocument/2006/relationships/hyperlink" Target="https://www.tiktok.com/@dheaaa261918" TargetMode="External"/><Relationship Id="rId8609" Type="http://schemas.openxmlformats.org/officeDocument/2006/relationships/hyperlink" Target="https://www.tiktok.com/@rositaramdani7/video/7632840621039914248?_d=0&amp;_r=1&amp;ec_shared_reflux_dynamic_params=%7B%22placeholder_material_id%22%3A%227632840621039914248%22%2C%22placeholder_origin_cover%22%3A%22https%253A%252F%252Fp16-common-sign.tiktokcdn.com%252Ftos-alisg-p-0037%252Fo4Tq0AI4XCBVwjAWIYrCAIztJuiCI9hiVLCQfh~tplv-tiktokx-origin.jpeg%253Fdr%253D14572%2526refresh_token%253D142f2fad%2526x-expires%253D1808992800%2526x-signature%253DHpeIR5KLtc6wc1RTiJXRcQO8fOs%25253D%2526t%253D4d5b0474%2526ps%253D13740610%2526shp%253Dd05b14bd%2526shcp%253D34ff8df6%2526idc%253Dmy2%2526s%253DTIKTOK_AFFILIATE_VIRAL_VIDEO%22%2C%22placeholder_product_id%22%3A%221729427766722726591%22%2C%22placeholder_video_id%22%3A%227632840621039914248%22%7D&amp;ec_shared_reflux_scene=shop_tab_feed&amp;mid=7591377536513985281&amp;preview_pb=0&amp;region=&amp;share_item_id=7632840621039914248&amp;sharer_language=&amp;source=h5_t&amp;u_code=f1489jb4bi84e10" TargetMode="External"/><Relationship Id="rId9939" Type="http://schemas.openxmlformats.org/officeDocument/2006/relationships/hyperlink" Target="https://www.tiktok.com/@tya_wati02" TargetMode="External"/><Relationship Id="rId8600" Type="http://schemas.openxmlformats.org/officeDocument/2006/relationships/hyperlink" Target="https://www.tiktok.com/@fashiontrenda" TargetMode="External"/><Relationship Id="rId9932" Type="http://schemas.openxmlformats.org/officeDocument/2006/relationships/hyperlink" Target="https://www.tiktok.com/@linaindrayani538" TargetMode="External"/><Relationship Id="rId9933" Type="http://schemas.openxmlformats.org/officeDocument/2006/relationships/hyperlink" Target="https://www.tiktok.com/@02risna2" TargetMode="External"/><Relationship Id="rId9934" Type="http://schemas.openxmlformats.org/officeDocument/2006/relationships/hyperlink" Target="https://www.tiktok.com/@owner_isna_flova" TargetMode="External"/><Relationship Id="rId9935" Type="http://schemas.openxmlformats.org/officeDocument/2006/relationships/hyperlink" Target="https://www.tiktok.com/@fitrivivi20" TargetMode="External"/><Relationship Id="rId8604" Type="http://schemas.openxmlformats.org/officeDocument/2006/relationships/hyperlink" Target="https://vt.tiktok.com/ZSxDYQyTW/" TargetMode="External"/><Relationship Id="rId8603" Type="http://schemas.openxmlformats.org/officeDocument/2006/relationships/hyperlink" Target="https://vt.tiktok.com/ZSxDYhccb/" TargetMode="External"/><Relationship Id="rId8602" Type="http://schemas.openxmlformats.org/officeDocument/2006/relationships/hyperlink" Target="https://vt.tiktok.com/ZSxfQGEgj/" TargetMode="External"/><Relationship Id="rId9930" Type="http://schemas.openxmlformats.org/officeDocument/2006/relationships/hyperlink" Target="https://www.tiktok.com/@ikhalistyarini" TargetMode="External"/><Relationship Id="rId8601" Type="http://schemas.openxmlformats.org/officeDocument/2006/relationships/hyperlink" Target="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aceholder_origin_cover%22%3A%22https%253A%252F%252Fp16-common-sign.tiktokcdn.com%252Ftos-alisg-p-0037%252FocT3fUyagtsUCPXIgtfvGDAQDjLK9oeTHAQG2I~tplv-tiktokx-origin.jpeg%253Fdr%253D14572%2526refresh_token%253D13d7c298%2526x-expires%253D1808992800%2526x-signature%253Dm1yuhUo4JC1EwMfosEQhUBd56yw%25253D%2526t%253D4d5b0474%2526ps%253D13740610%2526shp%253Dd05b14bd%2526shcp%253D34ff8df6%2526idc%253Dmy2%2526s%253DTIKTOK_AFFILIATE_VIRAL_VIDEO%22%2C%22placeholder_product_id%22%3A%221729427766722726591%22%2C%22placeholder_video_id%22%3A%227633434949797858581%22%7D&amp;ec_shared_reflux_scene=shop_tab_feed&amp;share_item_id=7633434949797858581&amp;source=h5_t" TargetMode="External"/><Relationship Id="rId9931" Type="http://schemas.openxmlformats.org/officeDocument/2006/relationships/hyperlink" Target="https://www.tiktok.com/@renidwiastutiii" TargetMode="External"/><Relationship Id="rId9929" Type="http://schemas.openxmlformats.org/officeDocument/2006/relationships/hyperlink" Target="https://www.tiktok.com/@sazkianaa_" TargetMode="External"/><Relationship Id="rId9925" Type="http://schemas.openxmlformats.org/officeDocument/2006/relationships/hyperlink" Target="https://www.tiktok.com/@risachaaaaa" TargetMode="External"/><Relationship Id="rId9926" Type="http://schemas.openxmlformats.org/officeDocument/2006/relationships/hyperlink" Target="https://www.tiktok.com/@pancadwi308" TargetMode="External"/><Relationship Id="rId9927" Type="http://schemas.openxmlformats.org/officeDocument/2006/relationships/hyperlink" Target="https://www.tiktok.com/@ica.ahsan" TargetMode="External"/><Relationship Id="rId9928" Type="http://schemas.openxmlformats.org/officeDocument/2006/relationships/hyperlink" Target="https://www.tiktok.com/@ayurasya_2612" TargetMode="External"/><Relationship Id="rId9921" Type="http://schemas.openxmlformats.org/officeDocument/2006/relationships/hyperlink" Target="https://www.tiktok.com/@priskaphiliciaanindita" TargetMode="External"/><Relationship Id="rId9922" Type="http://schemas.openxmlformats.org/officeDocument/2006/relationships/hyperlink" Target="https://www.tiktok.com/@ayusanjayaaa" TargetMode="External"/><Relationship Id="rId9923" Type="http://schemas.openxmlformats.org/officeDocument/2006/relationships/hyperlink" Target="https://www.tiktok.com/@lenykusumawati718" TargetMode="External"/><Relationship Id="rId9924" Type="http://schemas.openxmlformats.org/officeDocument/2006/relationships/hyperlink" Target="https://www.tiktok.com/@retnowahyuni93" TargetMode="External"/><Relationship Id="rId9920" Type="http://schemas.openxmlformats.org/officeDocument/2006/relationships/hyperlink" Target="https://www.tiktok.com/@callmesusek" TargetMode="External"/><Relationship Id="rId8629" Type="http://schemas.openxmlformats.org/officeDocument/2006/relationships/hyperlink" Target="https://www.tiktok.com/@rositaramdani7/video/7632840621039914248?_d=0&amp;_r=1&amp;ec_shared_reflux_dynamic_params=%7B%22placeholder_material_id%22%3A%227632840621039914248%22%2C%22placeholder_origin_cover%22%3A%22https%253A%252F%252Fp16-common-sign.tiktokcdn.com%252Ftos-alisg-p-0037%252Fo4Tq0AI4XCBVwjAWIYrCAIztJuiCI9hiVLCQfh~tplv-tiktokx-origin.jpeg%253Fdr%253D14572%2526refresh_token%253D142f2fad%2526x-expires%253D1808992800%2526x-signature%253DHpeIR5KLtc6wc1RTiJXRcQO8fOs%25253D%2526t%253D4d5b0474%2526ps%253D13740610%2526shp%253Dd05b14bd%2526shcp%253D34ff8df6%2526idc%253Dmy2%2526s%253DTIKTOK_AFFILIATE_VIRAL_VIDEO%22%2C%22placeholder_product_id%22%3A%221729427766722726591%22%2C%22placeholder_video_id%22%3A%227632840621039914248%22%7D&amp;ec_shared_reflux_scene=shop_tab_feed&amp;mid=7591377536513985281&amp;preview_pb=0&amp;region=&amp;share_item_id=7632840621039914248&amp;sharer_language=&amp;source=h5_t&amp;u_code=f1489jb4bi84e11" TargetMode="External"/><Relationship Id="rId8628" Type="http://schemas.openxmlformats.org/officeDocument/2006/relationships/hyperlink" Target="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22placeholder_origin_cover%22%3A%22https%253A%252F%252Fp16-common-sign.tiktokcdn.com%252Ftos-alisg-p-0037%252Fow724I9IGp8GJCSiAIeZAtCBfL0WETDI55ejBs~tplv-tiktokx-origin.jpeg%253Fdr%253D14572%2526refresh_token%253D974a53c8%2526x-expires%253D1808992800%2526x-signature%253DbBhbMoNFUGaDXGV%25252F1hVcSOsTVPM%25253D%2526t%253D4d5b0474%2526ps%253D13740610%2526shp%253Dd05b14bd%2526shcp%253D34ff8df6%2526idc%253Dmy2%2526s%253DTIKTOK_AFFILIATE_VIRAL_VIDEO%22%2C%22placeholder_product_id%22%3A%221729427766722726591%22%2C%22placeholder_video_id%22%3A%227632556344465231122%22%7D&amp;ec_shared_reflux_scene=shop_tab_feed&amp;share_item_id=7632556344465231122&amp;source=h5_t" TargetMode="External"/><Relationship Id="rId8627" Type="http://schemas.openxmlformats.org/officeDocument/2006/relationships/hyperlink" Target="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22placeholder_origin_cover%22%3A%22https%253A%252F%252Fp16-common-sign.tiktokcdn.com%252Ftos-alisg-p-0037%252FogtrPig6fAI1VtrDCBRpT4Bw9iBciEOXRfDIQy~tplv-tiktokx-origin.jpeg%253Fdr%253D14572%2526refresh_token%253Da7dfb7b6%2526x-expires%253D1808992800%2526x-signature%253DBLfnFU%25252FucpfNa%25252FqJkuXBbFXM3IE%25253D%2526t%253D4d5b0474%2526ps%253D13740610%2526shp%253Dd05b14bd%2526shcp%253D34ff8df6%2526idc%253Dmy2%2526s%253DTIKTOK_AFFILIATE_VIRAL_VIDEO%22%2C%22placeholder_product_id%22%3A%221729427766722726591%22%2C%22placeholder_video_id%22%3A%227632466134771453202%22%7D&amp;ec_shared_reflux_scene=shop_tab_feed&amp;share_item_id=7632466134771453202&amp;source=h5_t" TargetMode="External"/><Relationship Id="rId9958" Type="http://schemas.openxmlformats.org/officeDocument/2006/relationships/hyperlink" Target="https://www.tiktok.com/@aelvnyy" TargetMode="External"/><Relationship Id="rId9959" Type="http://schemas.openxmlformats.org/officeDocument/2006/relationships/hyperlink" Target="https://www.tiktok.com/@arini_rahmadi" TargetMode="External"/><Relationship Id="rId8622" Type="http://schemas.openxmlformats.org/officeDocument/2006/relationships/hyperlink" Target="https://vt.tiktok.com/ZSxfQGEgj/" TargetMode="External"/><Relationship Id="rId9954" Type="http://schemas.openxmlformats.org/officeDocument/2006/relationships/hyperlink" Target="https://www.tiktok.com/@rantifuji_" TargetMode="External"/><Relationship Id="rId8621" Type="http://schemas.openxmlformats.org/officeDocument/2006/relationships/hyperlink" Target="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aceholder_origin_cover%22%3A%22https%253A%252F%252Fp16-common-sign.tiktokcdn.com%252Ftos-alisg-p-0037%252FocT3fUyagtsUCPXIgtfvGDAQDjLK9oeTHAQG2I~tplv-tiktokx-origin.jpeg%253Fdr%253D14572%2526refresh_token%253D13d7c298%2526x-expires%253D1808992800%2526x-signature%253Dm1yuhUo4JC1EwMfosEQhUBd56yw%25253D%2526t%253D4d5b0474%2526ps%253D13740610%2526shp%253Dd05b14bd%2526shcp%253D34ff8df6%2526idc%253Dmy2%2526s%253DTIKTOK_AFFILIATE_VIRAL_VIDEO%22%2C%22placeholder_product_id%22%3A%221729427766722726591%22%2C%22placeholder_video_id%22%3A%227633434949797858581%22%7D&amp;ec_shared_reflux_scene=shop_tab_feed&amp;share_item_id=7633434949797858581&amp;source=h5_t" TargetMode="External"/><Relationship Id="rId9955" Type="http://schemas.openxmlformats.org/officeDocument/2006/relationships/hyperlink" Target="https://www.tiktok.com/@rrnya_" TargetMode="External"/><Relationship Id="rId8620" Type="http://schemas.openxmlformats.org/officeDocument/2006/relationships/hyperlink" Target="https://www.tiktok.com/@itsyourvinn_" TargetMode="External"/><Relationship Id="rId9956" Type="http://schemas.openxmlformats.org/officeDocument/2006/relationships/hyperlink" Target="https://www.tiktok.com/@spillbynd_2" TargetMode="External"/><Relationship Id="rId9957" Type="http://schemas.openxmlformats.org/officeDocument/2006/relationships/hyperlink" Target="https://www.tiktok.com/@justluthfii" TargetMode="External"/><Relationship Id="rId8626" Type="http://schemas.openxmlformats.org/officeDocument/2006/relationships/hyperlink" Target="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22placeholder_origin_cover%22%3A%22https%253A%252F%252Fp16-common-sign.tiktokcdn.com%252Ftos-alisg-p-0037%252Fo8fO8AM1hZeDgXj1TZgNKQoIABetCT1Aj7WrQE~tplv-tiktokx-origin.jpeg%253Fdr%253D14572%2526refresh_token%253Db34d4f83%2526x-expires%253D1808992800%2526x-signature%253D5d%25252BwOsNi1vQGg3hT4qvK4L51k%25252FQ%25253D%2526t%253D4d5b0474%2526ps%253D13740610%2526shp%253Dd05b14bd%2526shcp%253D34ff8df6%2526idc%253Dmy2%2526s%253DTIKTOK_AFFILIATE_VIRAL_VIDEO%22%2C%22placeholder_product_id%22%3A%221729427766722726591%22%2C%22placeholder_video_id%22%3A%227632292373736803591%22%7D&amp;ec_shared_reflux_scene=shop_tab_feed&amp;share_item_id=7632292373736803591&amp;source=h5_t" TargetMode="External"/><Relationship Id="rId9950" Type="http://schemas.openxmlformats.org/officeDocument/2006/relationships/hyperlink" Target="https://www.tiktok.com/@nanaddhiraa" TargetMode="External"/><Relationship Id="rId8625" Type="http://schemas.openxmlformats.org/officeDocument/2006/relationships/hyperlink" Target="https://www.tiktok.com/@ainnie241513" TargetMode="External"/><Relationship Id="rId9951" Type="http://schemas.openxmlformats.org/officeDocument/2006/relationships/hyperlink" Target="https://www.tiktok.com/@madein.sintaa" TargetMode="External"/><Relationship Id="rId8624" Type="http://schemas.openxmlformats.org/officeDocument/2006/relationships/hyperlink" Target="https://vt.tiktok.com/ZSxDYQyTW/" TargetMode="External"/><Relationship Id="rId9952" Type="http://schemas.openxmlformats.org/officeDocument/2006/relationships/hyperlink" Target="https://www.tiktok.com/@virliya2" TargetMode="External"/><Relationship Id="rId8623" Type="http://schemas.openxmlformats.org/officeDocument/2006/relationships/hyperlink" Target="https://vt.tiktok.com/ZSxDYhccb/" TargetMode="External"/><Relationship Id="rId9953" Type="http://schemas.openxmlformats.org/officeDocument/2006/relationships/hyperlink" Target="https://www.tiktok.com/@gemetzzz" TargetMode="External"/><Relationship Id="rId8619" Type="http://schemas.openxmlformats.org/officeDocument/2006/relationships/hyperlink" Target="https://www.tiktok.com/@belanja_hemat.shop/video/7630283480441621767?_r=1&amp;u_code=ek6h2252jijmih&amp;region=&amp;mid=7615963521880558357&amp;preview_pb=0&amp;sharer_language=&amp;_d=0&amp;ec_shared_reflux_dynamic_params=%7B%22placeholder_material_id%22%3A%227630283480441621767%22%2C%22placeholder_origin_cover%22%3A%22https%253A%252F%252Fp16-sign-sg.tiktokcdn.com%252Ftos-alisg-p-0037%252FowLgThbTAvZEDmUpRgqBBrYOOEQeQEFIpPa5fD~tplv-tiktokx-origin.jpeg%253Fdr%253D14572%2526refresh_token%253D7028f3e9%2526x-expires%253D1808992800%2526x-signature%253Dm8NIDbYtD8vdd9sCzAcHHhWysZQ%25253D%2526t%253D4d5b0474%2526ps%253D13740610%2526shp%253Dd05b14bd%2526shcp%253D34ff8df6%2526idc%253Dmy2%2526s%253DTIKTOK_AFFILIATE_VIRAL_VIDEO%22%2C%22placeholder_product_id%22%3A%221729427766722726591%22%2C%22placeholder_video_id%22%3A%227630283480441621767%22%7D&amp;ec_shared_reflux_scene=shop_tab_feed&amp;share_item_id=7630283480441621767&amp;source=h5_t" TargetMode="External"/><Relationship Id="rId8618" Type="http://schemas.openxmlformats.org/officeDocument/2006/relationships/hyperlink" Target="https://www.tiktok.com/@belanja_hemat.shop/video/7630083439080852744?_r=1&amp;u_code=ek6h2252jijmih&amp;region=&amp;mid=7502446149192567607&amp;preview_pb=0&amp;sharer_language=&amp;_d=0&amp;ec_shared_reflux_dynamic_params=%7B%22placeholder_material_id%22%3A%227630083439080852744%22%2C%22placeholder_origin_cover%22%3A%22https%253A%252F%252Fp16-common-sign.tiktokcdn.com%252Ftos-alisg-p-0037%252FoEONqiBlICA7hICZgjiI3AAAgBswH8WOe0PpIT~tplv-tiktokx-origin.jpeg%253Fdr%253D14572%2526refresh_token%253Dc5a3bd01%2526x-expires%253D1808992800%2526x-signature%253DmHrmToRfBoDI76E5SnS33jucUxo%25253D%2526t%253D4d5b0474%2526ps%253D13740610%2526shp%253Dd05b14bd%2526shcp%253D34ff8df6%2526idc%253Dmy2%2526s%253DTIKTOK_AFFILIATE_VIRAL_VIDEO%22%2C%22placeholder_product_id%22%3A%221729427766722726591%22%2C%22placeholder_video_id%22%3A%227630083439080852744%22%7D&amp;ec_shared_reflux_scene=shop_tab_feed&amp;share_item_id=7630083439080852744&amp;source=h5_t" TargetMode="External"/><Relationship Id="rId8617" Type="http://schemas.openxmlformats.org/officeDocument/2006/relationships/hyperlink" Target="https://www.tiktok.com/@belanja_hemat.shop/video/7630068304346074375?_r=1&amp;u_code=ek6h2252jijmih&amp;region=&amp;mid=7502446149192567607&amp;preview_pb=0&amp;sharer_language=&amp;_d=0&amp;ec_shared_reflux_dynamic_params=%7B%22placeholder_material_id%22%3A%227630068304346074375%22%2C%22placeholder_origin_cover%22%3A%22https%253A%252F%252Fp16-common-sign.tiktokcdn.com%252Ftos-alisg-p-0037%252FoY0jIj6CABiiHw6UKcYAvir4yAqkkIDPINeK4B~tplv-tiktokx-origin.jpeg%253Fdr%253D14572%2526refresh_token%253Dc394bf07%2526x-expires%253D1808992800%2526x-signature%253D%25252FXFHLg710N9EHbaT4qukgslNM%25252F0%25253D%2526t%253D4d5b0474%2526ps%253D13740610%2526shp%253Dd05b14bd%2526shcp%253D34ff8df6%2526idc%253Dmy2%2526s%253DTIKTOK_AFFILIATE_VIRAL_VIDEO%22%2C%22placeholder_product_id%22%3A%221729427766722726591%22%2C%22placeholder_video_id%22%3A%227630068304346074375%22%7D&amp;ec_shared_reflux_scene=shop_tab_feed&amp;share_item_id=7630068304346074375&amp;source=h5_t" TargetMode="External"/><Relationship Id="rId8616" Type="http://schemas.openxmlformats.org/officeDocument/2006/relationships/hyperlink" Target="https://www.tiktok.com/@belanja_hemat.shop/video/7629926744312548615?_r=1&amp;u_code=ek6h2252jijmih&amp;region=&amp;mid=7395415388382824464&amp;preview_pb=0&amp;sharer_language=&amp;_d=0&amp;ec_shared_reflux_dynamic_params=%7B%22placeholder_material_id%22%3A%227629926744312548615%22%2C%22placeholder_origin_cover%22%3A%22https%253A%252F%252Fp16-sign-sg.tiktokcdn.com%252Ftos-alisg-p-0037%252FogARLXupOi5fMxsvG8GFedRoAQQmGeGAPnfVBh~tplv-tiktokx-origin.jpeg%253Fdr%253D14572%2526refresh_token%253D0bc3ef94%2526x-expires%253D1808992800%2526x-signature%253DCbDvTxf0YgqWOaOAOjYGyzVeMR4%25253D%2526t%253D4d5b0474%2526ps%253D13740610%2526shp%253Dd05b14bd%2526shcp%253D34ff8df6%2526idc%253Dmy2%2526s%253DTIKTOK_AFFILIATE_VIRAL_VIDEO%22%2C%22placeholder_product_id%22%3A%221729427766722726591%22%2C%22placeholder_video_id%22%3A%227629926744312548615%22%7D&amp;ec_shared_reflux_scene=shop_tab_feed&amp;share_item_id=7629926744312548615&amp;source=h5_t" TargetMode="External"/><Relationship Id="rId9947" Type="http://schemas.openxmlformats.org/officeDocument/2006/relationships/hyperlink" Target="https://www.tiktok.com/@racundailyya" TargetMode="External"/><Relationship Id="rId9948" Type="http://schemas.openxmlformats.org/officeDocument/2006/relationships/hyperlink" Target="https://www.tiktok.com/@nenengnuryanti002" TargetMode="External"/><Relationship Id="rId9949" Type="http://schemas.openxmlformats.org/officeDocument/2006/relationships/hyperlink" Target="https://www.tiktok.com/@fadiilnur" TargetMode="External"/><Relationship Id="rId8611" Type="http://schemas.openxmlformats.org/officeDocument/2006/relationships/hyperlink" Target="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eholder_origin_cover%22%3A%22https%253A%252F%252Fp16-common-sign.tiktokcdn.com%252Ftos-alisg-p-0037%252Fokej83InNuARId4oIVGPkcAQGeAeLDBS0CHTZQ~tplv-tiktokx-origin.jpeg%253Fdr%253D14572%2526refresh_token%253D3b7eb85d%2526x-expires%253D1808992800%2526x-signature%253DzhyQY%25252Bd9E%25252FZMgX7MRj4vEnlPr%25252BI%25253D%2526t%253D4d5b0474%2526ps%253D13740610%2526shp%253Dd05b14bd%2526shcp%253D34ff8df6%2526idc%253Dmy2%2526s%253DTIKTOK_AFFILIATE_VIRAL_VIDEO%22%2C%22placeholder_product_id%22%3A%221729427766722726591%22%2C%22placeholder_video_id%22%3A%227633259666696391954%22%7D&amp;ec_shared_reflux_scene=shop_tab_feed&amp;share_item_id=7633259666696391954&amp;source=h5_t" TargetMode="External"/><Relationship Id="rId9943" Type="http://schemas.openxmlformats.org/officeDocument/2006/relationships/hyperlink" Target="https://www.tiktok.com/@biawak.cantik1" TargetMode="External"/><Relationship Id="rId8610" Type="http://schemas.openxmlformats.org/officeDocument/2006/relationships/hyperlink" Target="https://www.tiktok.com/@officialakang_" TargetMode="External"/><Relationship Id="rId9944" Type="http://schemas.openxmlformats.org/officeDocument/2006/relationships/hyperlink" Target="https://www.tiktok.com/@pinkyyycookies" TargetMode="External"/><Relationship Id="rId9945" Type="http://schemas.openxmlformats.org/officeDocument/2006/relationships/hyperlink" Target="https://www.tiktok.com/@rainnaeee" TargetMode="External"/><Relationship Id="rId9946" Type="http://schemas.openxmlformats.org/officeDocument/2006/relationships/hyperlink" Target="https://www.tiktok.com/@wulansalon2020" TargetMode="External"/><Relationship Id="rId8615" Type="http://schemas.openxmlformats.org/officeDocument/2006/relationships/hyperlink" Target="https://www.tiktok.com/@atiek_tikkk" TargetMode="External"/><Relationship Id="rId8614" Type="http://schemas.openxmlformats.org/officeDocument/2006/relationships/hyperlink" Target="https://vt.tiktok.com/ZSxfCLAv5/" TargetMode="External"/><Relationship Id="rId9940" Type="http://schemas.openxmlformats.org/officeDocument/2006/relationships/hyperlink" Target="https://www.tiktok.com/@alvinkhoirunnisa" TargetMode="External"/><Relationship Id="rId8613" Type="http://schemas.openxmlformats.org/officeDocument/2006/relationships/hyperlink" Target="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eholder_origin_cover%22%3A%22https%253A%252F%252Fp16-sign-sg.tiktokcdn.com%252Ftos-alisg-p-0037%252Fo03hfABezYXBDiRNp9OP7BUEgIxxBiEINkwKiH~tplv-tiktokx-origin.jpeg%253Fdr%253D14572%2526refresh_token%253D2b3edbd9%2526x-expires%253D1808992800%2526x-signature%253DuF7qjx32DHmqMM4GzKo0wROx5Eg%25253D%2526t%253D4d5b0474%2526ps%253D13740610%2526shp%253Dd05b14bd%2526shcp%253D34ff8df6%2526idc%253Dmy2%2526s%253DTIKTOK_AFFILIATE_VIRAL_VIDEO%22%2C%22placeholder_product_id%22%3A%221729427766722726591%22%2C%22placeholder_video_id%22%3A%227633988561930423560%22%7D&amp;ec_shared_reflux_scene=shop_tab_feed&amp;share_item_id=7633988561930423560&amp;source=h5_t" TargetMode="External"/><Relationship Id="rId9941" Type="http://schemas.openxmlformats.org/officeDocument/2006/relationships/hyperlink" Target="https://www.tiktok.com/@bunda_salju" TargetMode="External"/><Relationship Id="rId8612" Type="http://schemas.openxmlformats.org/officeDocument/2006/relationships/hyperlink" Target="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eholder_origin_cover%22%3A%22https%253A%252F%252Fp16-common-sign.tiktokcdn.com%252Ftos-alisg-p-0037%252FoEvtB2BmQIJJbKvDCITIgGKC4QfW4c8eAAeLPj~tplv-tiktokx-origin.jpeg%253Fdr%253D14572%2526refresh_token%253D14b8e5a1%2526x-expires%253D1808992800%2526x-signature%253DsBKNRZM9NlGgABGP%25252Bi5CuTVSWFg%25253D%2526t%253D4d5b0474%2526ps%253D13740610%2526shp%253Dd05b14bd%2526shcp%253D34ff8df6%2526idc%253Dmy2%2526s%253DTIKTOK_AFFILIATE_VIRAL_VIDEO%22%2C%22placeholder_product_id%22%3A%221729427766722726591%22%2C%22placeholder_video_id%22%3A%227633619284236799240%22%7D&amp;ec_shared_reflux_scene=shop_tab_feed&amp;share_item_id=7633619284236799240&amp;source=h5_t" TargetMode="External"/><Relationship Id="rId9942" Type="http://schemas.openxmlformats.org/officeDocument/2006/relationships/hyperlink" Target="https://www.tiktok.com/@sepilyok" TargetMode="External"/><Relationship Id="rId6061" Type="http://schemas.openxmlformats.org/officeDocument/2006/relationships/hyperlink" Target="https://vt.tiktok.com/ZSxbBvH9b/" TargetMode="External"/><Relationship Id="rId7393" Type="http://schemas.openxmlformats.org/officeDocument/2006/relationships/hyperlink" Target="https://www.tiktok.com/@brrrhm" TargetMode="External"/><Relationship Id="rId6062" Type="http://schemas.openxmlformats.org/officeDocument/2006/relationships/hyperlink" Target="https://vt.tiktok.com/ZSxbBp9WC/" TargetMode="External"/><Relationship Id="rId7392" Type="http://schemas.openxmlformats.org/officeDocument/2006/relationships/hyperlink" Target="https://vt.tiktok.com/ZS9H2eUCb/" TargetMode="External"/><Relationship Id="rId7391" Type="http://schemas.openxmlformats.org/officeDocument/2006/relationships/hyperlink" Target="https://vt.tiktok.com/ZS9H2PPny/" TargetMode="External"/><Relationship Id="rId6060" Type="http://schemas.openxmlformats.org/officeDocument/2006/relationships/hyperlink" Target="https://vt.tiktok.com/ZSxbBVmes/" TargetMode="External"/><Relationship Id="rId7390" Type="http://schemas.openxmlformats.org/officeDocument/2006/relationships/hyperlink" Target="https://vt.tiktok.com/ZS9H2LwwK/" TargetMode="External"/><Relationship Id="rId6065" Type="http://schemas.openxmlformats.org/officeDocument/2006/relationships/hyperlink" Target="https://vt.tiktok.com/ZSxbBxWBd/" TargetMode="External"/><Relationship Id="rId7397" Type="http://schemas.openxmlformats.org/officeDocument/2006/relationships/hyperlink" Target="https://vt.tiktok.com/ZS9H2eUCb/" TargetMode="External"/><Relationship Id="rId6066" Type="http://schemas.openxmlformats.org/officeDocument/2006/relationships/hyperlink" Target="https://vt.tiktok.com/ZSxbBTra7/" TargetMode="External"/><Relationship Id="rId7396" Type="http://schemas.openxmlformats.org/officeDocument/2006/relationships/hyperlink" Target="https://vt.tiktok.com/ZS9H2PPny/" TargetMode="External"/><Relationship Id="rId6063" Type="http://schemas.openxmlformats.org/officeDocument/2006/relationships/hyperlink" Target="https://www.tiktok.com/@riznachany" TargetMode="External"/><Relationship Id="rId7395" Type="http://schemas.openxmlformats.org/officeDocument/2006/relationships/hyperlink" Target="https://vt.tiktok.com/ZS9H2LwwK/" TargetMode="External"/><Relationship Id="rId6064" Type="http://schemas.openxmlformats.org/officeDocument/2006/relationships/hyperlink" Target="https://vt.tiktok.com/ZSxbBtgf4/" TargetMode="External"/><Relationship Id="rId7394" Type="http://schemas.openxmlformats.org/officeDocument/2006/relationships/hyperlink" Target="https://vt.tiktok.com/ZS9H2BvDV/" TargetMode="External"/><Relationship Id="rId6069" Type="http://schemas.openxmlformats.org/officeDocument/2006/relationships/hyperlink" Target="https://vt.tiktok.com/ZSxbBCaGH/" TargetMode="External"/><Relationship Id="rId6067" Type="http://schemas.openxmlformats.org/officeDocument/2006/relationships/hyperlink" Target="https://vt.tiktok.com/ZSxbBqa6t/" TargetMode="External"/><Relationship Id="rId7399" Type="http://schemas.openxmlformats.org/officeDocument/2006/relationships/hyperlink" Target="https://vt.tiktok.com/ZS9H2BvDV/" TargetMode="External"/><Relationship Id="rId6068" Type="http://schemas.openxmlformats.org/officeDocument/2006/relationships/hyperlink" Target="https://www.tiktok.com/@Baby.joy" TargetMode="External"/><Relationship Id="rId7398" Type="http://schemas.openxmlformats.org/officeDocument/2006/relationships/hyperlink" Target="https://www.tiktok.com/@emma011090" TargetMode="External"/><Relationship Id="rId6050" Type="http://schemas.openxmlformats.org/officeDocument/2006/relationships/hyperlink" Target="https://www.tiktok.com/@xe4n008/video/7635990437055974663?_r=1&amp;u_code=dk1933c941ebc0&amp;region=&amp;mid=6792098716036630530&amp;preview_pb=0&amp;sharer_language=&amp;_d=0&amp;ec_shared_reflux_dynamic_params=%7B%22placeholder_material_id%22%3A%227635990437055974663%22%2C%22placeholder_origin_cover%22%3A%22https%253A%252F%252Fp16-common-sign.tiktokcdn.com%252Ftos-alisg-p-0037%252FoAtwlFA8eAg1Kd3uCGjToNCYfID4LIfUnP8gEM~tplv-tiktokx-origin.jpeg%253Fdr%253D14572%2526refresh_token%253Dc094ebe4%2526x-expires%253D1809507600%2526x-signature%253DZARam110EeK%25252Biqd4C1fiAKifXCs%25253D%2526t%253D4d5b0474%2526ps%253D13740610%2526shp%253Dd05b14bd%2526shcp%253D34ff8df6%2526idc%253Dmy%2526s%253DTIKTOK_AFFILIATE_VIRAL_VIDEO%22%2C%22placeholder_product_id%22%3A%221729427766722726591%22%2C%22placeholder_video_id%22%3A%227635990437055974663%22%7D&amp;ec_shared_reflux_scene=shop_tab_feed&amp;share_item_id=7635990437055974663&amp;source=h5_t" TargetMode="External"/><Relationship Id="rId7382" Type="http://schemas.openxmlformats.org/officeDocument/2006/relationships/hyperlink" Target="https://vt.tiktok.com/ZS9H2eUCb/" TargetMode="External"/><Relationship Id="rId6051" Type="http://schemas.openxmlformats.org/officeDocument/2006/relationships/hyperlink" Target="https://vt.tiktok.com/ZS9KTSXMD/" TargetMode="External"/><Relationship Id="rId7381" Type="http://schemas.openxmlformats.org/officeDocument/2006/relationships/hyperlink" Target="https://vt.tiktok.com/ZS9H2PPny/" TargetMode="External"/><Relationship Id="rId7380" Type="http://schemas.openxmlformats.org/officeDocument/2006/relationships/hyperlink" Target="https://vt.tiktok.com/ZS9H2LwwK/" TargetMode="External"/><Relationship Id="rId6054" Type="http://schemas.openxmlformats.org/officeDocument/2006/relationships/hyperlink" Target="https://vt.tiktok.com/ZS9AjXs61/" TargetMode="External"/><Relationship Id="rId7386" Type="http://schemas.openxmlformats.org/officeDocument/2006/relationships/hyperlink" Target="https://vt.tiktok.com/ZS9H2PPny/" TargetMode="External"/><Relationship Id="rId6055" Type="http://schemas.openxmlformats.org/officeDocument/2006/relationships/hyperlink" Target="https://www.tiktok.com/@megarizki09/video/7633453660579613959?_d=0&amp;_r=1&amp;ec_shared_reflux_dynamic_params=%7B%22placeholder_material_id%22%3A%227633453660579613959%22%2C%22placeholder_origin_cover%22%3A%22https%253A%252F%252Fp16-common-sign.tiktokcdn.com%252Ftos-alisg-p-0037%252FoI4beAaFdwLBzgAnevu4GFAjeexZ45BZGjYvRX~tplv-tiktokx-origin.jpeg%253Fdr%253D14572%2526refresh_token%253D78ae5b40%2526x-expires%253D1808992800%2526x-signature%253DtFYjDS9ZUl3ExJvQVVTMtsh0Udo%25253D%2526t%253D4d5b0474%2526ps%253D13740610%2526shp%253Dd05b14bd%2526shcp%253D34ff8df6%2526idc%253Dmy2%2526s%253DTIKTOK_AFFILIATE_VIRAL_VIDEO%22%2C%22placeholder_product_id%22%3A%221729427766722726591%22%2C%22placeholder_video_id%22%3A%227633453660579613959%22%7D&amp;ec_shared_reflux_scene=shop_tab_feed&amp;mid=7633453690825394965&amp;preview_pb=0&amp;region=&amp;share_item_id=7633453660579613959&amp;sharer_language=&amp;source=h5_t&amp;u_code=dh0mmfl12gcecj" TargetMode="External"/><Relationship Id="rId7385" Type="http://schemas.openxmlformats.org/officeDocument/2006/relationships/hyperlink" Target="https://vt.tiktok.com/ZS9H2LwwK/" TargetMode="External"/><Relationship Id="rId6052" Type="http://schemas.openxmlformats.org/officeDocument/2006/relationships/hyperlink" Target="https://vt.tiktok.com/ZS9KTRdgA/" TargetMode="External"/><Relationship Id="rId7384" Type="http://schemas.openxmlformats.org/officeDocument/2006/relationships/hyperlink" Target="https://vt.tiktok.com/ZS9H2BvDV/" TargetMode="External"/><Relationship Id="rId6053" Type="http://schemas.openxmlformats.org/officeDocument/2006/relationships/hyperlink" Target="https://www.tiktok.com/@Megarizki09" TargetMode="External"/><Relationship Id="rId7383" Type="http://schemas.openxmlformats.org/officeDocument/2006/relationships/hyperlink" Target="https://www.tiktok.com/@Fedrickskincarefashion" TargetMode="External"/><Relationship Id="rId6058" Type="http://schemas.openxmlformats.org/officeDocument/2006/relationships/hyperlink" Target="https://www.tiktok.com/@_allaboutrafa_" TargetMode="External"/><Relationship Id="rId6059" Type="http://schemas.openxmlformats.org/officeDocument/2006/relationships/hyperlink" Target="https://vt.tiktok.com/ZSxbBTGgW/" TargetMode="External"/><Relationship Id="rId7389" Type="http://schemas.openxmlformats.org/officeDocument/2006/relationships/hyperlink" Target="https://vt.tiktok.com/ZS9H2BvDV/" TargetMode="External"/><Relationship Id="rId6056" Type="http://schemas.openxmlformats.org/officeDocument/2006/relationships/hyperlink" Target="https://vt.tiktok.com/ZS9fCQdFs/" TargetMode="External"/><Relationship Id="rId7388" Type="http://schemas.openxmlformats.org/officeDocument/2006/relationships/hyperlink" Target="https://www.tiktok.com/@Aprilavv2" TargetMode="External"/><Relationship Id="rId6057" Type="http://schemas.openxmlformats.org/officeDocument/2006/relationships/hyperlink" Target="https://vt.tiktok.com/ZSxmsFdVt/" TargetMode="External"/><Relationship Id="rId7387" Type="http://schemas.openxmlformats.org/officeDocument/2006/relationships/hyperlink" Target="https://vt.tiktok.com/ZS9H2eUCb/" TargetMode="External"/><Relationship Id="rId3810" Type="http://schemas.openxmlformats.org/officeDocument/2006/relationships/hyperlink" Target="https://www.tiktok.com/@zilasamudra/video/7634473073420438801" TargetMode="External"/><Relationship Id="rId3812" Type="http://schemas.openxmlformats.org/officeDocument/2006/relationships/hyperlink" Target="https://www.tiktok.com/@zilasamudra/video/7635872993041861906" TargetMode="External"/><Relationship Id="rId3811" Type="http://schemas.openxmlformats.org/officeDocument/2006/relationships/hyperlink" Target="https://www.tiktok.com/@solehawidya06" TargetMode="External"/><Relationship Id="rId3814" Type="http://schemas.openxmlformats.org/officeDocument/2006/relationships/hyperlink" Target="https://www.tiktok.com/@zilasamudra/video/7634895870240132371" TargetMode="External"/><Relationship Id="rId3813" Type="http://schemas.openxmlformats.org/officeDocument/2006/relationships/hyperlink" Target="https://www.tiktok.com/@zilasamudra/video/7635225457511697683" TargetMode="External"/><Relationship Id="rId3816" Type="http://schemas.openxmlformats.org/officeDocument/2006/relationships/hyperlink" Target="https://www.tiktok.com/@anyun60" TargetMode="External"/><Relationship Id="rId3815" Type="http://schemas.openxmlformats.org/officeDocument/2006/relationships/hyperlink" Target="https://www.tiktok.com/@zilasamudra/video/7634473073420438802" TargetMode="External"/><Relationship Id="rId3818" Type="http://schemas.openxmlformats.org/officeDocument/2006/relationships/hyperlink" Target="https://www.tiktok.com/@zilasamudra/video/7635225457511697684" TargetMode="External"/><Relationship Id="rId3817" Type="http://schemas.openxmlformats.org/officeDocument/2006/relationships/hyperlink" Target="https://www.tiktok.com/@zilasamudra/video/7635872993041861907" TargetMode="External"/><Relationship Id="rId3819" Type="http://schemas.openxmlformats.org/officeDocument/2006/relationships/hyperlink" Target="https://www.tiktok.com/@zilasamudra/video/7634895870240132372" TargetMode="External"/><Relationship Id="rId6090" Type="http://schemas.openxmlformats.org/officeDocument/2006/relationships/hyperlink" Target="https://vt.tiktok.com/ZSxubbwhV/" TargetMode="External"/><Relationship Id="rId6091" Type="http://schemas.openxmlformats.org/officeDocument/2006/relationships/hyperlink" Target="https://vt.tiktok.com/ZSxubsaAL/" TargetMode="External"/><Relationship Id="rId6083" Type="http://schemas.openxmlformats.org/officeDocument/2006/relationships/hyperlink" Target="https://www.tiktok.com/@callme_njani" TargetMode="External"/><Relationship Id="rId6084" Type="http://schemas.openxmlformats.org/officeDocument/2006/relationships/hyperlink" Target="https://vt.tiktok.com/ZSxp8yfmC/" TargetMode="External"/><Relationship Id="rId6081" Type="http://schemas.openxmlformats.org/officeDocument/2006/relationships/hyperlink" Target="https://vt.tiktok.com/ZSxp84om3/" TargetMode="External"/><Relationship Id="rId6082" Type="http://schemas.openxmlformats.org/officeDocument/2006/relationships/hyperlink" Target="https://vt.tiktok.com/ZSxp8avgt/" TargetMode="External"/><Relationship Id="rId6087" Type="http://schemas.openxmlformats.org/officeDocument/2006/relationships/hyperlink" Target="https://vt.tiktok.com/ZSxG6Rpc4/" TargetMode="External"/><Relationship Id="rId6088" Type="http://schemas.openxmlformats.org/officeDocument/2006/relationships/hyperlink" Target="https://www.tiktok.com/@dewy_arviandita" TargetMode="External"/><Relationship Id="rId6085" Type="http://schemas.openxmlformats.org/officeDocument/2006/relationships/hyperlink" Target="https://vt.tiktok.com/ZSxp8kFUD/" TargetMode="External"/><Relationship Id="rId6086" Type="http://schemas.openxmlformats.org/officeDocument/2006/relationships/hyperlink" Target="https://vt.tiktok.com/ZSxGj9j7c/" TargetMode="External"/><Relationship Id="rId6089" Type="http://schemas.openxmlformats.org/officeDocument/2006/relationships/hyperlink" Target="https://vt.tiktok.com/ZSxubp5QB/" TargetMode="External"/><Relationship Id="rId3801" Type="http://schemas.openxmlformats.org/officeDocument/2006/relationships/hyperlink" Target="https://www.tiktok.com/@rizkikiii19" TargetMode="External"/><Relationship Id="rId3800" Type="http://schemas.openxmlformats.org/officeDocument/2006/relationships/hyperlink" Target="https://www.tiktok.com/@zilasamudra/video/7634473073420438799" TargetMode="External"/><Relationship Id="rId3803" Type="http://schemas.openxmlformats.org/officeDocument/2006/relationships/hyperlink" Target="https://www.tiktok.com/@zilasamudra/video/7635225457511697681" TargetMode="External"/><Relationship Id="rId3802" Type="http://schemas.openxmlformats.org/officeDocument/2006/relationships/hyperlink" Target="https://www.tiktok.com/@zilasamudra/video/7635872993041861904" TargetMode="External"/><Relationship Id="rId3805" Type="http://schemas.openxmlformats.org/officeDocument/2006/relationships/hyperlink" Target="https://www.tiktok.com/@zilasamudra/video/7634473073420438800" TargetMode="External"/><Relationship Id="rId3804" Type="http://schemas.openxmlformats.org/officeDocument/2006/relationships/hyperlink" Target="https://www.tiktok.com/@zilasamudra/video/7634895870240132369" TargetMode="External"/><Relationship Id="rId3807" Type="http://schemas.openxmlformats.org/officeDocument/2006/relationships/hyperlink" Target="https://vt.tiktok.com/ZSxMxRKBj/" TargetMode="External"/><Relationship Id="rId3806" Type="http://schemas.openxmlformats.org/officeDocument/2006/relationships/hyperlink" Target="https://www.tiktok.com/@celineameerah" TargetMode="External"/><Relationship Id="rId3809" Type="http://schemas.openxmlformats.org/officeDocument/2006/relationships/hyperlink" Target="https://www.tiktok.com/@zilasamudra/video/7634895870240132370" TargetMode="External"/><Relationship Id="rId3808" Type="http://schemas.openxmlformats.org/officeDocument/2006/relationships/hyperlink" Target="https://vt.tiktok.com/ZSxMxFgyH/" TargetMode="External"/><Relationship Id="rId6080" Type="http://schemas.openxmlformats.org/officeDocument/2006/relationships/hyperlink" Target="https://vt.tiktok.com/ZSxp84tnU/" TargetMode="External"/><Relationship Id="rId6072" Type="http://schemas.openxmlformats.org/officeDocument/2006/relationships/hyperlink" Target="https://vt.tiktok.com/ZSxp8M5Kq/" TargetMode="External"/><Relationship Id="rId6073" Type="http://schemas.openxmlformats.org/officeDocument/2006/relationships/hyperlink" Target="https://www.tiktok.com/@Harithdanmamacii" TargetMode="External"/><Relationship Id="rId6070" Type="http://schemas.openxmlformats.org/officeDocument/2006/relationships/hyperlink" Target="https://vt.tiktok.com/ZSxbBguNs/" TargetMode="External"/><Relationship Id="rId6071" Type="http://schemas.openxmlformats.org/officeDocument/2006/relationships/hyperlink" Target="https://vt.tiktok.com/ZSxpt55Hx/" TargetMode="External"/><Relationship Id="rId6076" Type="http://schemas.openxmlformats.org/officeDocument/2006/relationships/hyperlink" Target="https://vt.tiktok.com/ZSxugJL3j/" TargetMode="External"/><Relationship Id="rId6077" Type="http://schemas.openxmlformats.org/officeDocument/2006/relationships/hyperlink" Target="https://vt.tiktok.com/ZSxub4CVL/" TargetMode="External"/><Relationship Id="rId6074" Type="http://schemas.openxmlformats.org/officeDocument/2006/relationships/hyperlink" Target="https://vt.tiktok.com/ZSxubsy8K/" TargetMode="External"/><Relationship Id="rId6075" Type="http://schemas.openxmlformats.org/officeDocument/2006/relationships/hyperlink" Target="https://vt.tiktok.com/ZSxug1bNP/" TargetMode="External"/><Relationship Id="rId6078" Type="http://schemas.openxmlformats.org/officeDocument/2006/relationships/hyperlink" Target="https://www.tiktok.com/@me.annii" TargetMode="External"/><Relationship Id="rId6079" Type="http://schemas.openxmlformats.org/officeDocument/2006/relationships/hyperlink" Target="https://vt.tiktok.com/ZSxp8MLnp/" TargetMode="External"/><Relationship Id="rId8680" Type="http://schemas.openxmlformats.org/officeDocument/2006/relationships/hyperlink" Target="https://vt.tiktok.com/ZS9DPDvFU/" TargetMode="External"/><Relationship Id="rId6021" Type="http://schemas.openxmlformats.org/officeDocument/2006/relationships/hyperlink" Target="https://www.tiktok.com/@asri_dira" TargetMode="External"/><Relationship Id="rId7353" Type="http://schemas.openxmlformats.org/officeDocument/2006/relationships/hyperlink" Target="https://www.tiktok.com/@liiisssaaaaaaaaaaaa" TargetMode="External"/><Relationship Id="rId8684" Type="http://schemas.openxmlformats.org/officeDocument/2006/relationships/hyperlink" Target="https://vt.tiktok.com/ZS9DP2wff/" TargetMode="External"/><Relationship Id="rId6022" Type="http://schemas.openxmlformats.org/officeDocument/2006/relationships/hyperlink" Target="https://vt.tiktok.com/ZS9ovyYUW/" TargetMode="External"/><Relationship Id="rId7352" Type="http://schemas.openxmlformats.org/officeDocument/2006/relationships/hyperlink" Target="https://vt.tiktok.com/ZS9H2eUCb/" TargetMode="External"/><Relationship Id="rId8683" Type="http://schemas.openxmlformats.org/officeDocument/2006/relationships/hyperlink" Target="https://www.tiktok.com/@cutbulann" TargetMode="External"/><Relationship Id="rId7351" Type="http://schemas.openxmlformats.org/officeDocument/2006/relationships/hyperlink" Target="https://vt.tiktok.com/ZS9H2PPny/" TargetMode="External"/><Relationship Id="rId8682" Type="http://schemas.openxmlformats.org/officeDocument/2006/relationships/hyperlink" Target="https://vt.tiktok.com/ZS9DPmU5N/" TargetMode="External"/><Relationship Id="rId6020" Type="http://schemas.openxmlformats.org/officeDocument/2006/relationships/hyperlink" Target="https://vt.tiktok.com/ZSxyPgRQc/" TargetMode="External"/><Relationship Id="rId7350" Type="http://schemas.openxmlformats.org/officeDocument/2006/relationships/hyperlink" Target="https://vt.tiktok.com/ZS9H2LwwK/" TargetMode="External"/><Relationship Id="rId8681" Type="http://schemas.openxmlformats.org/officeDocument/2006/relationships/hyperlink" Target="https://vt.tiktok.com/ZS9DP67g8/" TargetMode="External"/><Relationship Id="rId6025" Type="http://schemas.openxmlformats.org/officeDocument/2006/relationships/hyperlink" Target="https://www.tiktok.com/@Cherry_maaa" TargetMode="External"/><Relationship Id="rId7357" Type="http://schemas.openxmlformats.org/officeDocument/2006/relationships/hyperlink" Target="https://vt.tiktok.com/ZS9H2eUCb/" TargetMode="External"/><Relationship Id="rId8688" Type="http://schemas.openxmlformats.org/officeDocument/2006/relationships/hyperlink" Target="https://www.tiktok.com/@_faizz06" TargetMode="External"/><Relationship Id="rId6026" Type="http://schemas.openxmlformats.org/officeDocument/2006/relationships/hyperlink" Target="https://vt.tiktok.com/ZSxyPu73N/" TargetMode="External"/><Relationship Id="rId7356" Type="http://schemas.openxmlformats.org/officeDocument/2006/relationships/hyperlink" Target="https://vt.tiktok.com/ZS9H2PPny/" TargetMode="External"/><Relationship Id="rId8687" Type="http://schemas.openxmlformats.org/officeDocument/2006/relationships/hyperlink" Target="https://vt.tiktok.com/ZS959tdWy/" TargetMode="External"/><Relationship Id="rId6023" Type="http://schemas.openxmlformats.org/officeDocument/2006/relationships/hyperlink" Target="https://vt.tiktok.com/ZS9ovkvoy/" TargetMode="External"/><Relationship Id="rId7355" Type="http://schemas.openxmlformats.org/officeDocument/2006/relationships/hyperlink" Target="https://vt.tiktok.com/ZS9H2LwwK/" TargetMode="External"/><Relationship Id="rId8686" Type="http://schemas.openxmlformats.org/officeDocument/2006/relationships/hyperlink" Target="https://vt.tiktok.com/ZS9DPPrEn/" TargetMode="External"/><Relationship Id="rId6024" Type="http://schemas.openxmlformats.org/officeDocument/2006/relationships/hyperlink" Target="https://vt.tiktok.com/ZSxyPuj76/" TargetMode="External"/><Relationship Id="rId7354" Type="http://schemas.openxmlformats.org/officeDocument/2006/relationships/hyperlink" Target="https://vt.tiktok.com/ZS9H2BvDV/" TargetMode="External"/><Relationship Id="rId8685" Type="http://schemas.openxmlformats.org/officeDocument/2006/relationships/hyperlink" Target="https://vt.tiktok.com/ZS9DP9gUq/" TargetMode="External"/><Relationship Id="rId6029" Type="http://schemas.openxmlformats.org/officeDocument/2006/relationships/hyperlink" Target="https://vt.tiktok.com/ZSxyPbKba/" TargetMode="External"/><Relationship Id="rId6027" Type="http://schemas.openxmlformats.org/officeDocument/2006/relationships/hyperlink" Target="https://vt.tiktok.com/ZSxyPpR9G/" TargetMode="External"/><Relationship Id="rId7359" Type="http://schemas.openxmlformats.org/officeDocument/2006/relationships/hyperlink" Target="https://vt.tiktok.com/ZS9H2BvDV/" TargetMode="External"/><Relationship Id="rId6028" Type="http://schemas.openxmlformats.org/officeDocument/2006/relationships/hyperlink" Target="https://vt.tiktok.com/ZSxyPqqLS/" TargetMode="External"/><Relationship Id="rId7358" Type="http://schemas.openxmlformats.org/officeDocument/2006/relationships/hyperlink" Target="https://www.tiktok.com/@vinamrntca01" TargetMode="External"/><Relationship Id="rId8689" Type="http://schemas.openxmlformats.org/officeDocument/2006/relationships/hyperlink" Target="https://vt.tiktok.com/ZS9DPUo5R/" TargetMode="External"/><Relationship Id="rId6010" Type="http://schemas.openxmlformats.org/officeDocument/2006/relationships/hyperlink" Target="https://vt.tiktok.com/ZSxmeUUYa/" TargetMode="External"/><Relationship Id="rId7342" Type="http://schemas.openxmlformats.org/officeDocument/2006/relationships/hyperlink" Target="https://vt.tiktok.com/ZS9H2eUCb/" TargetMode="External"/><Relationship Id="rId8673" Type="http://schemas.openxmlformats.org/officeDocument/2006/relationships/hyperlink" Target="https://www.tiktok.com/@twix.angel" TargetMode="External"/><Relationship Id="rId6011" Type="http://schemas.openxmlformats.org/officeDocument/2006/relationships/hyperlink" Target="https://www.tiktok.com/@Sarsaparillaa" TargetMode="External"/><Relationship Id="rId7341" Type="http://schemas.openxmlformats.org/officeDocument/2006/relationships/hyperlink" Target="https://vt.tiktok.com/ZS9H2PPny/" TargetMode="External"/><Relationship Id="rId8672" Type="http://schemas.openxmlformats.org/officeDocument/2006/relationships/hyperlink" Target="https://vt.tiktok.com/ZS9DPmU5N/" TargetMode="External"/><Relationship Id="rId7340" Type="http://schemas.openxmlformats.org/officeDocument/2006/relationships/hyperlink" Target="https://vt.tiktok.com/ZS9H2LwwK/" TargetMode="External"/><Relationship Id="rId8671" Type="http://schemas.openxmlformats.org/officeDocument/2006/relationships/hyperlink" Target="https://vt.tiktok.com/ZS9DP67g8/" TargetMode="External"/><Relationship Id="rId8670" Type="http://schemas.openxmlformats.org/officeDocument/2006/relationships/hyperlink" Target="https://vt.tiktok.com/ZS9DPDvFU/" TargetMode="External"/><Relationship Id="rId6014" Type="http://schemas.openxmlformats.org/officeDocument/2006/relationships/hyperlink" Target="https://vt.tiktok.com/ZSx9ynb5D/" TargetMode="External"/><Relationship Id="rId7346" Type="http://schemas.openxmlformats.org/officeDocument/2006/relationships/hyperlink" Target="https://vt.tiktok.com/ZS9H2PPny/" TargetMode="External"/><Relationship Id="rId8677" Type="http://schemas.openxmlformats.org/officeDocument/2006/relationships/hyperlink" Target="https://vt.tiktok.com/ZS959tdWy/" TargetMode="External"/><Relationship Id="rId6015" Type="http://schemas.openxmlformats.org/officeDocument/2006/relationships/hyperlink" Target="https://vt.tiktok.com/ZSxyP72BK/" TargetMode="External"/><Relationship Id="rId7345" Type="http://schemas.openxmlformats.org/officeDocument/2006/relationships/hyperlink" Target="https://vt.tiktok.com/ZS9H2LwwK/" TargetMode="External"/><Relationship Id="rId8676" Type="http://schemas.openxmlformats.org/officeDocument/2006/relationships/hyperlink" Target="https://vt.tiktok.com/ZS9DPPrEn/" TargetMode="External"/><Relationship Id="rId6012" Type="http://schemas.openxmlformats.org/officeDocument/2006/relationships/hyperlink" Target="https://www.tiktok.com/@sarsaparillaa/video/7634942262597750037?_r=1&amp;u_code=6198hfcj6k43c&amp;region=&amp;mid=7619742846682400785&amp;preview_pb=0&amp;sharer_language=&amp;_d=0&amp;ec_shared_reflux_dynamic_params=%7B%22placeholder_material_id%22%3A%227634942262597750037%22%2C%22placeholder_origin_cover%22%3A%22https%253A%252F%252Fp16-common-sign.tiktokcdn.com%252Ftos-alisg-p-0037%252FowcNQUa7LDAxhrEeiMF9BRpCvEtgxBP9QIf5pE~tplv-tiktokx-origin.jpeg%253Fdr%253D14572%2526refresh_token%253D31cfb09e%2526x-expires%253D1809504000%2526x-signature%253DW0jbDihJpjiJdmv%25252FAxwl%25252FqQe8aw%25253D%2526t%253D4d5b0474%2526ps%253D13740610%2526shp%253Dd05b14bd%2526shcp%253D34ff8df6%2526idc%253Dmy%2526s%253DTIKTOK_AFFILIATE_VIRAL_VIDEO%22%2C%22placeholder_product_id%22%3A%221729427766722726591%22%2C%22placeholder_video_id%22%3A%227634942262597750037%22%7D&amp;ec_shared_reflux_scene=shop_tab_feed&amp;share_item_id=7634942262597750037&amp;source=h5_t" TargetMode="External"/><Relationship Id="rId7344" Type="http://schemas.openxmlformats.org/officeDocument/2006/relationships/hyperlink" Target="https://vt.tiktok.com/ZS9H2BvDV/" TargetMode="External"/><Relationship Id="rId8675" Type="http://schemas.openxmlformats.org/officeDocument/2006/relationships/hyperlink" Target="https://vt.tiktok.com/ZS9DP9gUq/" TargetMode="External"/><Relationship Id="rId6013" Type="http://schemas.openxmlformats.org/officeDocument/2006/relationships/hyperlink" Target="https://www.tiktok.com/@sarsaparillaa/video/7634977370390285589?_r=1&amp;u_code=6198hfcj6k43c&amp;region=&amp;mid=7632888350513908501&amp;preview_pb=0&amp;sharer_language=&amp;_d=0&amp;ec_shared_reflux_dynamic_params=%7B%22placeholder_material_id%22%3A%227634977370390285589%22%2C%22placeholder_origin_cover%22%3A%22https%253A%252F%252Fp16-common-sign.tiktokcdn.com%252Ftos-alisg-p-0037%252FoAEhSAIgUgAFCEO4LHRRq9fhFMD2BBsIfB4pM0~tplv-tiktokx-origin.jpeg%253Fdr%253D14572%2526refresh_token%253D95d46316%2526x-expires%253D1809504000%2526x-signature%253D0fEaBXznpOgeH2YAMtRu7%25252B3P2Y4%25253D%2526t%253D4d5b0474%2526ps%253D13740610%2526shp%253Dd05b14bd%2526shcp%253D34ff8df6%2526idc%253Dmy%2526s%253DTIKTOK_AFFILIATE_VIRAL_VIDEO%22%2C%22placeholder_product_id%22%3A%221729427766722726591%22%2C%22placeholder_video_id%22%3A%227634977370390285589%22%7D&amp;ec_shared_reflux_scene=shop_tab_feed&amp;share_item_id=7634977370390285589&amp;source=h5_t" TargetMode="External"/><Relationship Id="rId7343" Type="http://schemas.openxmlformats.org/officeDocument/2006/relationships/hyperlink" Target="https://www.tiktok.com/@carissanz31" TargetMode="External"/><Relationship Id="rId8674" Type="http://schemas.openxmlformats.org/officeDocument/2006/relationships/hyperlink" Target="https://vt.tiktok.com/ZS9DP2wff/" TargetMode="External"/><Relationship Id="rId6018" Type="http://schemas.openxmlformats.org/officeDocument/2006/relationships/hyperlink" Target="https://vt.tiktok.com/ZSxyPnmbe/" TargetMode="External"/><Relationship Id="rId6019" Type="http://schemas.openxmlformats.org/officeDocument/2006/relationships/hyperlink" Target="https://vt.tiktok.com/ZSxyPg4GN/" TargetMode="External"/><Relationship Id="rId7349" Type="http://schemas.openxmlformats.org/officeDocument/2006/relationships/hyperlink" Target="https://vt.tiktok.com/ZS9H2BvDV/" TargetMode="External"/><Relationship Id="rId6016" Type="http://schemas.openxmlformats.org/officeDocument/2006/relationships/hyperlink" Target="https://www.tiktok.com/@Mamaaira_19" TargetMode="External"/><Relationship Id="rId7348" Type="http://schemas.openxmlformats.org/officeDocument/2006/relationships/hyperlink" Target="https://www.tiktok.com/@taabeauty2" TargetMode="External"/><Relationship Id="rId8679" Type="http://schemas.openxmlformats.org/officeDocument/2006/relationships/hyperlink" Target="https://vt.tiktok.com/ZS9DPUo5R/" TargetMode="External"/><Relationship Id="rId6017" Type="http://schemas.openxmlformats.org/officeDocument/2006/relationships/hyperlink" Target="https://vt.tiktok.com/ZSxyPy46y/" TargetMode="External"/><Relationship Id="rId7347" Type="http://schemas.openxmlformats.org/officeDocument/2006/relationships/hyperlink" Target="https://vt.tiktok.com/ZS9H2eUCb/" TargetMode="External"/><Relationship Id="rId8678" Type="http://schemas.openxmlformats.org/officeDocument/2006/relationships/hyperlink" Target="https://www.tiktok.com/@ibu_inara23" TargetMode="External"/><Relationship Id="rId7371" Type="http://schemas.openxmlformats.org/officeDocument/2006/relationships/hyperlink" Target="https://vt.tiktok.com/ZS9H2PPny/" TargetMode="External"/><Relationship Id="rId6040" Type="http://schemas.openxmlformats.org/officeDocument/2006/relationships/hyperlink" Target="https://vt.tiktok.com/ZSxx6U4gV/" TargetMode="External"/><Relationship Id="rId7370" Type="http://schemas.openxmlformats.org/officeDocument/2006/relationships/hyperlink" Target="https://vt.tiktok.com/ZS9H2LwwK/" TargetMode="External"/><Relationship Id="rId6043" Type="http://schemas.openxmlformats.org/officeDocument/2006/relationships/hyperlink" Target="https://www.tiktok.com/@endah_wj" TargetMode="External"/><Relationship Id="rId7375" Type="http://schemas.openxmlformats.org/officeDocument/2006/relationships/hyperlink" Target="https://vt.tiktok.com/ZS9H2LwwK/" TargetMode="External"/><Relationship Id="rId6044" Type="http://schemas.openxmlformats.org/officeDocument/2006/relationships/hyperlink" Target="https://vt.tiktok.com/ZSxmskJoN/" TargetMode="External"/><Relationship Id="rId7374" Type="http://schemas.openxmlformats.org/officeDocument/2006/relationships/hyperlink" Target="https://vt.tiktok.com/ZS9H2BvDV/" TargetMode="External"/><Relationship Id="rId6041" Type="http://schemas.openxmlformats.org/officeDocument/2006/relationships/hyperlink" Target="https://vt.tiktok.com/ZSxx6B5N1/" TargetMode="External"/><Relationship Id="rId7373" Type="http://schemas.openxmlformats.org/officeDocument/2006/relationships/hyperlink" Target="https://www.tiktok.com/@glowbyputricantik" TargetMode="External"/><Relationship Id="rId6042" Type="http://schemas.openxmlformats.org/officeDocument/2006/relationships/hyperlink" Target="https://vt.tiktok.com/ZSxx6m5KW/" TargetMode="External"/><Relationship Id="rId7372" Type="http://schemas.openxmlformats.org/officeDocument/2006/relationships/hyperlink" Target="https://vt.tiktok.com/ZS9H2eUCb/" TargetMode="External"/><Relationship Id="rId6047" Type="http://schemas.openxmlformats.org/officeDocument/2006/relationships/hyperlink" Target="https://vt.tiktok.com/ZSxmpThvU/" TargetMode="External"/><Relationship Id="rId7379" Type="http://schemas.openxmlformats.org/officeDocument/2006/relationships/hyperlink" Target="https://vt.tiktok.com/ZS9H2BvDV/" TargetMode="External"/><Relationship Id="rId6048" Type="http://schemas.openxmlformats.org/officeDocument/2006/relationships/hyperlink" Target="https://www.tiktok.com/@xe4n008" TargetMode="External"/><Relationship Id="rId7378" Type="http://schemas.openxmlformats.org/officeDocument/2006/relationships/hyperlink" Target="https://www.tiktok.com/@dailykontenalmia" TargetMode="External"/><Relationship Id="rId6045" Type="http://schemas.openxmlformats.org/officeDocument/2006/relationships/hyperlink" Target="https://vt.tiktok.com/ZSxms1GHW/" TargetMode="External"/><Relationship Id="rId7377" Type="http://schemas.openxmlformats.org/officeDocument/2006/relationships/hyperlink" Target="https://vt.tiktok.com/ZS9H2eUCb/" TargetMode="External"/><Relationship Id="rId6046" Type="http://schemas.openxmlformats.org/officeDocument/2006/relationships/hyperlink" Target="https://vt.tiktok.com/ZSxms2jf1/" TargetMode="External"/><Relationship Id="rId7376" Type="http://schemas.openxmlformats.org/officeDocument/2006/relationships/hyperlink" Target="https://vt.tiktok.com/ZS9H2PPny/" TargetMode="External"/><Relationship Id="rId6049" Type="http://schemas.openxmlformats.org/officeDocument/2006/relationships/hyperlink" Target="https://www.tiktok.com/@xe4n008/video/7632848222351920391?_r=1&amp;u_code=dk1933c941ebc0&amp;region=&amp;mid=7619637853471640341&amp;preview_pb=0&amp;sharer_language=&amp;_d=0&amp;ec_shared_reflux_dynamic_params=%7B%22placeholder_material_id%22%3A%227632848222351920391%22%2C%22placeholder_origin_cover%22%3A%22https%253A%252F%252Fp16-common-sign.tiktokcdn.com%252Ftos-alisg-p-0037%252FokP1tF7AABAisiwM6tBpu0IxeIPSsUIN1iDCDl~tplv-tiktokx-origin.jpeg%253Fdr%253D14572%2526refresh_token%253Dab78dec9%2526x-expires%253D1808992800%2526x-signature%253DHAeqMxKAJ71hbe2p%25252FUQUU%25252FMLZCs%25253D%2526t%253D4d5b0474%2526ps%253D13740610%2526shp%253Dd05b14bd%2526shcp%253D34ff8df6%2526idc%253Dmy2%2526s%253DTIKTOK_AFFILIATE_VIRAL_VIDEO%22%2C%22placeholder_product_id%22%3A%221729427766722726591%22%2C%22placeholder_video_id%22%3A%227632848222351920391%22%7D&amp;ec_shared_reflux_scene=shop_tab_feed&amp;share_item_id=7632848222351920391&amp;source=h5_t" TargetMode="External"/><Relationship Id="rId7360" Type="http://schemas.openxmlformats.org/officeDocument/2006/relationships/hyperlink" Target="https://vt.tiktok.com/ZS9H2LwwK/" TargetMode="External"/><Relationship Id="rId8691" Type="http://schemas.openxmlformats.org/officeDocument/2006/relationships/hyperlink" Target="https://vt.tiktok.com/ZS9DP67g8/" TargetMode="External"/><Relationship Id="rId8690" Type="http://schemas.openxmlformats.org/officeDocument/2006/relationships/hyperlink" Target="https://vt.tiktok.com/ZS9DPDvFU/" TargetMode="External"/><Relationship Id="rId6032" Type="http://schemas.openxmlformats.org/officeDocument/2006/relationships/hyperlink" Target="https://vt.tiktok.com/ZSxxjbngU/" TargetMode="External"/><Relationship Id="rId7364" Type="http://schemas.openxmlformats.org/officeDocument/2006/relationships/hyperlink" Target="https://vt.tiktok.com/ZS9H2BvDV/" TargetMode="External"/><Relationship Id="rId8695" Type="http://schemas.openxmlformats.org/officeDocument/2006/relationships/hyperlink" Target="https://vt.tiktok.com/ZS9DP9gUq/" TargetMode="External"/><Relationship Id="rId6033" Type="http://schemas.openxmlformats.org/officeDocument/2006/relationships/hyperlink" Target="https://vt.tiktok.com/ZSxx6r7H5/" TargetMode="External"/><Relationship Id="rId7363" Type="http://schemas.openxmlformats.org/officeDocument/2006/relationships/hyperlink" Target="https://www.tiktok.com/@ikanopiaa" TargetMode="External"/><Relationship Id="rId8694" Type="http://schemas.openxmlformats.org/officeDocument/2006/relationships/hyperlink" Target="https://vt.tiktok.com/ZS9DP2wff/" TargetMode="External"/><Relationship Id="rId6030" Type="http://schemas.openxmlformats.org/officeDocument/2006/relationships/hyperlink" Target="https://www.tiktok.com/@ahmadlagi17" TargetMode="External"/><Relationship Id="rId7362" Type="http://schemas.openxmlformats.org/officeDocument/2006/relationships/hyperlink" Target="https://vt.tiktok.com/ZS9H2eUCb/" TargetMode="External"/><Relationship Id="rId8693" Type="http://schemas.openxmlformats.org/officeDocument/2006/relationships/hyperlink" Target="https://www.tiktok.com/@mommy_nafisah" TargetMode="External"/><Relationship Id="rId6031" Type="http://schemas.openxmlformats.org/officeDocument/2006/relationships/hyperlink" Target="https://vt.tiktok.com/ZSxxj4Ksu/" TargetMode="External"/><Relationship Id="rId7361" Type="http://schemas.openxmlformats.org/officeDocument/2006/relationships/hyperlink" Target="https://vt.tiktok.com/ZS9H2PPny/" TargetMode="External"/><Relationship Id="rId8692" Type="http://schemas.openxmlformats.org/officeDocument/2006/relationships/hyperlink" Target="https://vt.tiktok.com/ZS9DPmU5N/" TargetMode="External"/><Relationship Id="rId6036" Type="http://schemas.openxmlformats.org/officeDocument/2006/relationships/hyperlink" Target="https://vt.tiktok.com/ZSxx6jNG9/" TargetMode="External"/><Relationship Id="rId7368" Type="http://schemas.openxmlformats.org/officeDocument/2006/relationships/hyperlink" Target="https://www.tiktok.com/@jelitadiary" TargetMode="External"/><Relationship Id="rId8699" Type="http://schemas.openxmlformats.org/officeDocument/2006/relationships/hyperlink" Target="https://vt.tiktok.com/ZS9DPUo5R/" TargetMode="External"/><Relationship Id="rId6037" Type="http://schemas.openxmlformats.org/officeDocument/2006/relationships/hyperlink" Target="https://vt.tiktok.com/ZSxx6r7MS/" TargetMode="External"/><Relationship Id="rId7367" Type="http://schemas.openxmlformats.org/officeDocument/2006/relationships/hyperlink" Target="https://vt.tiktok.com/ZS9H2eUCb/" TargetMode="External"/><Relationship Id="rId8698" Type="http://schemas.openxmlformats.org/officeDocument/2006/relationships/hyperlink" Target="https://www.tiktok.com/@9santuy" TargetMode="External"/><Relationship Id="rId6034" Type="http://schemas.openxmlformats.org/officeDocument/2006/relationships/hyperlink" Target="https://vt.tiktok.com/ZSxx62kRr/" TargetMode="External"/><Relationship Id="rId7366" Type="http://schemas.openxmlformats.org/officeDocument/2006/relationships/hyperlink" Target="https://vt.tiktok.com/ZS9H2PPny/" TargetMode="External"/><Relationship Id="rId8697" Type="http://schemas.openxmlformats.org/officeDocument/2006/relationships/hyperlink" Target="https://vt.tiktok.com/ZS959tdWy/" TargetMode="External"/><Relationship Id="rId6035" Type="http://schemas.openxmlformats.org/officeDocument/2006/relationships/hyperlink" Target="https://www.tiktok.com/@mamah.hemat" TargetMode="External"/><Relationship Id="rId7365" Type="http://schemas.openxmlformats.org/officeDocument/2006/relationships/hyperlink" Target="https://vt.tiktok.com/ZS9H2LwwK/" TargetMode="External"/><Relationship Id="rId8696" Type="http://schemas.openxmlformats.org/officeDocument/2006/relationships/hyperlink" Target="https://vt.tiktok.com/ZS9DPPrEn/" TargetMode="External"/><Relationship Id="rId6038" Type="http://schemas.openxmlformats.org/officeDocument/2006/relationships/hyperlink" Target="https://www.tiktok.com/@Mama_nathan98" TargetMode="External"/><Relationship Id="rId6039" Type="http://schemas.openxmlformats.org/officeDocument/2006/relationships/hyperlink" Target="https://vt.tiktok.com/ZSxx6j5hP/" TargetMode="External"/><Relationship Id="rId7369" Type="http://schemas.openxmlformats.org/officeDocument/2006/relationships/hyperlink" Target="https://vt.tiktok.com/ZS9H2BvDV/" TargetMode="External"/><Relationship Id="rId1213" Type="http://schemas.openxmlformats.org/officeDocument/2006/relationships/hyperlink" Target="https://vt.tiktok.com/ZSHPjpkyH/" TargetMode="External"/><Relationship Id="rId2544" Type="http://schemas.openxmlformats.org/officeDocument/2006/relationships/hyperlink" Target="https://vt.tiktok.com/ZS9LaThWG/" TargetMode="External"/><Relationship Id="rId3876" Type="http://schemas.openxmlformats.org/officeDocument/2006/relationships/hyperlink" Target="https://vt.tiktok.com/ZS9D4VdwB/" TargetMode="External"/><Relationship Id="rId1214" Type="http://schemas.openxmlformats.org/officeDocument/2006/relationships/hyperlink" Target="https://www.tiktok.com/@farizafgani" TargetMode="External"/><Relationship Id="rId2545" Type="http://schemas.openxmlformats.org/officeDocument/2006/relationships/hyperlink" Target="https://vt.tiktok.com/ZS9LfpFmL/" TargetMode="External"/><Relationship Id="rId3875" Type="http://schemas.openxmlformats.org/officeDocument/2006/relationships/hyperlink" Target="https://www.tiktok.com/@vaureliaaa" TargetMode="External"/><Relationship Id="rId1215" Type="http://schemas.openxmlformats.org/officeDocument/2006/relationships/hyperlink" Target="https://www.tiktok.com/@farizafgani/video/7617142400993070357?is_from_webapp=1&amp;sender_device=pc&amp;web_id=7611930277489657360" TargetMode="External"/><Relationship Id="rId2546" Type="http://schemas.openxmlformats.org/officeDocument/2006/relationships/hyperlink" Target="https://vt.tiktok.com/ZS9RWR6Yp/" TargetMode="External"/><Relationship Id="rId3878" Type="http://schemas.openxmlformats.org/officeDocument/2006/relationships/hyperlink" Target="https://www.tiktok.com/@lixjenou03" TargetMode="External"/><Relationship Id="rId1216" Type="http://schemas.openxmlformats.org/officeDocument/2006/relationships/hyperlink" Target="https://www.tiktok.com/@farizafgani/video/7617497472109153557?is_from_webapp=1&amp;sender_device=pc&amp;web_id=7611930277489657360" TargetMode="External"/><Relationship Id="rId2547" Type="http://schemas.openxmlformats.org/officeDocument/2006/relationships/hyperlink" Target="https://vt.tiktok.com/ZS986cyto/" TargetMode="External"/><Relationship Id="rId3877" Type="http://schemas.openxmlformats.org/officeDocument/2006/relationships/hyperlink" Target="https://vt.tiktok.com/ZS9DCQuWk/" TargetMode="External"/><Relationship Id="rId1217" Type="http://schemas.openxmlformats.org/officeDocument/2006/relationships/hyperlink" Target="https://vt.tiktok.com/ZSu3ae2KU/" TargetMode="External"/><Relationship Id="rId2548" Type="http://schemas.openxmlformats.org/officeDocument/2006/relationships/hyperlink" Target="https://www.tiktok.com/@malaahbab" TargetMode="External"/><Relationship Id="rId10060" Type="http://schemas.openxmlformats.org/officeDocument/2006/relationships/hyperlink" Target="https://www.tiktok.com/@marlina_83" TargetMode="External"/><Relationship Id="rId1218" Type="http://schemas.openxmlformats.org/officeDocument/2006/relationships/hyperlink" Target="https://vt.tiktok.com/ZSu35G4sM/" TargetMode="External"/><Relationship Id="rId2549" Type="http://schemas.openxmlformats.org/officeDocument/2006/relationships/hyperlink" Target="https://www.tiktok.com/@malaahbab/video/7623277641143176468?_r=1&amp;u_code=db53llkkh86bbd&amp;region=&amp;mid=7384882779466614785&amp;preview_pb=0&amp;sharer_language=&amp;_d=0&amp;ec_shared_reflux_dynamic_params=%7B%22placeholder_material_id%22%3A%227623277641143176468%22%2C%22placeholder_origin_cover%22%3A%22https%253A%252F%252Fp19-common-sign.tiktokcdn.com%252Ftos-alisg-p-0037%252FogaLvAW9rIYcvBXoCXiySiTBIEUhBYhAtHxoi~tplv-tiktokx-origin.jpeg%253Fdr%253D14572%2526refresh_token%253D0c312d09%2526x-expires%253D1807070400%2526x-signature%253D%25252BnMjsgBb9xGIg2QOK65DAAYzvdU%25253D%2526t%253D4d5b0474%2526ps%253D13740610%2526shp%253Dd05b14bd%2526shcp%253D34ff8df6%2526idc%253Dmy2%2526s%253DTIKTOK_AFFILIATE_VIRAL_VIDEO%22%2C%22placeholder_product_id%22%3A%221729427766722726591%22%2C%22placeholder_video_id%22%3A%227623277641143176468%22%7D&amp;ec_shared_reflux_scene=shop_tab_feed&amp;share_item_id=7623277641143176468&amp;source=h5_t" TargetMode="External"/><Relationship Id="rId3879" Type="http://schemas.openxmlformats.org/officeDocument/2006/relationships/hyperlink" Target="https://vt.tiktok.com/ZS9DmfGHr/" TargetMode="External"/><Relationship Id="rId10061" Type="http://schemas.openxmlformats.org/officeDocument/2006/relationships/hyperlink" Target="https://www.tiktok.com/@sandrafeiiihair" TargetMode="External"/><Relationship Id="rId1219" Type="http://schemas.openxmlformats.org/officeDocument/2006/relationships/hyperlink" Target="https://www.tiktok.com/@yullia008" TargetMode="External"/><Relationship Id="rId10059" Type="http://schemas.openxmlformats.org/officeDocument/2006/relationships/hyperlink" Target="https://www.tiktok.com/@aril_141" TargetMode="External"/><Relationship Id="rId10053" Type="http://schemas.openxmlformats.org/officeDocument/2006/relationships/hyperlink" Target="https://www.tiktok.com/@lidiasustikasari00" TargetMode="External"/><Relationship Id="rId10054" Type="http://schemas.openxmlformats.org/officeDocument/2006/relationships/hyperlink" Target="https://www.tiktok.com/@viapranata06" TargetMode="External"/><Relationship Id="rId3870" Type="http://schemas.openxmlformats.org/officeDocument/2006/relationships/hyperlink" Target="https://www.tiktok.com/@dindasayudha" TargetMode="External"/><Relationship Id="rId10051" Type="http://schemas.openxmlformats.org/officeDocument/2006/relationships/hyperlink" Target="https://www.tiktok.com/@kurninaziha" TargetMode="External"/><Relationship Id="rId10052" Type="http://schemas.openxmlformats.org/officeDocument/2006/relationships/hyperlink" Target="https://www.tiktok.com/@arirahma112" TargetMode="External"/><Relationship Id="rId2540" Type="http://schemas.openxmlformats.org/officeDocument/2006/relationships/hyperlink" Target="https://vt.tiktok.com/ZS9LmhbaG/" TargetMode="External"/><Relationship Id="rId3872" Type="http://schemas.openxmlformats.org/officeDocument/2006/relationships/hyperlink" Target="https://www.tiktok.com/@4ri6s_/video/7638504744977304840?_r=1&amp;u_code=d2mgmh23k43ah9&amp;region=&amp;mid=7594458609477388289&amp;preview_pb=0&amp;sharer_language=&amp;_d=0&amp;ec_shared_reflux_dynamic_params=%7B%22placeholder_material_id%22%3A%227638504744977304840%22%2C%22placeholder_origin_cover%22%3A%22https%253A%252F%252Fp16-common-sign.tiktokcdn.com%252Ftos-alisg-p-0037%252FowLPIIFARIYgKAXI2AkrqAliBglFaBa6ibbEB~tplv-tiktokx-origin.jpeg%253Fdr%253D14572%2526refresh_token%253D36cd4853%2526x-expires%253D1810116000%2526x-signature%253DSwE8mIe3gVVws5By2Vo9vgvULGM%25253D%2526t%253D4d5b0474%2526ps%253D13740610%2526shp%253Dd05b14bd%2526shcp%253D34ff8df6%2526idc%253Dmy2%2526s%253DTIKTOK_AFFILIATE_VIRAL_VIDEO%22%2C%22placeholder_product_id%22%3A%221729427766722726591%22%2C%22placeholder_video_id%22%3A%227638504744977304840%22%7D&amp;ec_shared_reflux_scene=shop_tab_feed&amp;share_item_id=7638504744977304840&amp;source=h5_t" TargetMode="External"/><Relationship Id="rId10057" Type="http://schemas.openxmlformats.org/officeDocument/2006/relationships/hyperlink" Target="https://www.tiktok.com/@kim_nana030" TargetMode="External"/><Relationship Id="rId1210" Type="http://schemas.openxmlformats.org/officeDocument/2006/relationships/hyperlink" Target="https://vt.tiktok.com/ZSuqRhJXB/" TargetMode="External"/><Relationship Id="rId2541" Type="http://schemas.openxmlformats.org/officeDocument/2006/relationships/hyperlink" Target="https://vt.tiktok.com/ZS9LaTNuC/" TargetMode="External"/><Relationship Id="rId3871" Type="http://schemas.openxmlformats.org/officeDocument/2006/relationships/hyperlink" Target="https://www.tiktok.com/@4ri6s_" TargetMode="External"/><Relationship Id="rId10058" Type="http://schemas.openxmlformats.org/officeDocument/2006/relationships/hyperlink" Target="https://www.tiktok.com/@fitrinurolshp" TargetMode="External"/><Relationship Id="rId1211" Type="http://schemas.openxmlformats.org/officeDocument/2006/relationships/hyperlink" Target="https://vt.tiktok.com/ZSuc3Wjdg/" TargetMode="External"/><Relationship Id="rId2542" Type="http://schemas.openxmlformats.org/officeDocument/2006/relationships/hyperlink" Target="https://vt.tiktok.com/ZS9Lm2fbe/" TargetMode="External"/><Relationship Id="rId3874" Type="http://schemas.openxmlformats.org/officeDocument/2006/relationships/hyperlink" Target="https://vt.tiktok.com/ZSxrFMAK7/" TargetMode="External"/><Relationship Id="rId10055" Type="http://schemas.openxmlformats.org/officeDocument/2006/relationships/hyperlink" Target="https://www.tiktok.com/@meylanibiulu16_" TargetMode="External"/><Relationship Id="rId1212" Type="http://schemas.openxmlformats.org/officeDocument/2006/relationships/hyperlink" Target="https://vt.tiktok.com/ZSHdbDHxn/" TargetMode="External"/><Relationship Id="rId2543" Type="http://schemas.openxmlformats.org/officeDocument/2006/relationships/hyperlink" Target="https://www.tiktok.com/@tiktokshopp017" TargetMode="External"/><Relationship Id="rId3873" Type="http://schemas.openxmlformats.org/officeDocument/2006/relationships/hyperlink" Target="https://vt.tiktok.com/ZS9oMnAMJ/" TargetMode="External"/><Relationship Id="rId10056" Type="http://schemas.openxmlformats.org/officeDocument/2006/relationships/hyperlink" Target="https://www.tiktok.com/@ovylubis" TargetMode="External"/><Relationship Id="rId1202" Type="http://schemas.openxmlformats.org/officeDocument/2006/relationships/hyperlink" Target="https://vt.tiktok.com/ZS9qrcH1R/" TargetMode="External"/><Relationship Id="rId2533" Type="http://schemas.openxmlformats.org/officeDocument/2006/relationships/hyperlink" Target="https://www.tiktok.com/@tiya_shope" TargetMode="External"/><Relationship Id="rId3865" Type="http://schemas.openxmlformats.org/officeDocument/2006/relationships/hyperlink" Target="https://vt.tiktok.com/ZSxjTAwG5/" TargetMode="External"/><Relationship Id="rId1203" Type="http://schemas.openxmlformats.org/officeDocument/2006/relationships/hyperlink" Target="https://vt.tiktok.com/ZS9qhJ82a/" TargetMode="External"/><Relationship Id="rId2534" Type="http://schemas.openxmlformats.org/officeDocument/2006/relationships/hyperlink" Target="https://vt.tiktok.com/ZS9LmkEBv/" TargetMode="External"/><Relationship Id="rId3864" Type="http://schemas.openxmlformats.org/officeDocument/2006/relationships/hyperlink" Target="https://www.tiktok.com/@queenhannisss" TargetMode="External"/><Relationship Id="rId1204" Type="http://schemas.openxmlformats.org/officeDocument/2006/relationships/hyperlink" Target="https://www.tiktok.com/@zrly__" TargetMode="External"/><Relationship Id="rId2535" Type="http://schemas.openxmlformats.org/officeDocument/2006/relationships/hyperlink" Target="https://vt.tiktok.com/ZS9LmMCPx/" TargetMode="External"/><Relationship Id="rId3867" Type="http://schemas.openxmlformats.org/officeDocument/2006/relationships/hyperlink" Target="https://www.tiktok.com/@oinlubis_" TargetMode="External"/><Relationship Id="rId1205" Type="http://schemas.openxmlformats.org/officeDocument/2006/relationships/hyperlink" Target="https://www.tiktok.com/@zrly__/video/7625882414018989333?is_from_webapp=1&amp;sender_device=pc" TargetMode="External"/><Relationship Id="rId2536" Type="http://schemas.openxmlformats.org/officeDocument/2006/relationships/hyperlink" Target="https://vt.tiktok.com/ZS9Lm6mD6/" TargetMode="External"/><Relationship Id="rId3866" Type="http://schemas.openxmlformats.org/officeDocument/2006/relationships/hyperlink" Target="https://vt.tiktok.com/ZSxSCTjs5/" TargetMode="External"/><Relationship Id="rId1206" Type="http://schemas.openxmlformats.org/officeDocument/2006/relationships/hyperlink" Target="https://www.tiktok.com/@zrly__/video/7625882276517137684?is_from_webapp=1&amp;sender_device=pc" TargetMode="External"/><Relationship Id="rId2537" Type="http://schemas.openxmlformats.org/officeDocument/2006/relationships/hyperlink" Target="https://vt.tiktok.com/ZS9Lm8qUF/" TargetMode="External"/><Relationship Id="rId3869" Type="http://schemas.openxmlformats.org/officeDocument/2006/relationships/hyperlink" Target="https://vt.tiktok.com/ZSx6d2dT7/" TargetMode="External"/><Relationship Id="rId10071" Type="http://schemas.openxmlformats.org/officeDocument/2006/relationships/hyperlink" Target="https://www.tiktok.com/@racunbyidaaa" TargetMode="External"/><Relationship Id="rId1207" Type="http://schemas.openxmlformats.org/officeDocument/2006/relationships/hyperlink" Target="https://www.tiktok.com/@zrly__/video/7626625034907405589?is_from_webapp=1&amp;sender_device=pc" TargetMode="External"/><Relationship Id="rId2538" Type="http://schemas.openxmlformats.org/officeDocument/2006/relationships/hyperlink" Target="https://www.tiktok.com/@melisadyp" TargetMode="External"/><Relationship Id="rId3868" Type="http://schemas.openxmlformats.org/officeDocument/2006/relationships/hyperlink" Target="https://vt.tiktok.com/ZS9hXroVD/" TargetMode="External"/><Relationship Id="rId10072" Type="http://schemas.openxmlformats.org/officeDocument/2006/relationships/hyperlink" Target="https://www.tiktok.com/@rini91_mg" TargetMode="External"/><Relationship Id="rId1208" Type="http://schemas.openxmlformats.org/officeDocument/2006/relationships/hyperlink" Target="https://www.tiktok.com/@zrly__/video/7627849724757839125" TargetMode="External"/><Relationship Id="rId2539" Type="http://schemas.openxmlformats.org/officeDocument/2006/relationships/hyperlink" Target="https://vt.tiktok.com/ZS9Lmdt8R/" TargetMode="External"/><Relationship Id="rId1209" Type="http://schemas.openxmlformats.org/officeDocument/2006/relationships/hyperlink" Target="https://www.tiktok.com/@selly_ttania2" TargetMode="External"/><Relationship Id="rId10070" Type="http://schemas.openxmlformats.org/officeDocument/2006/relationships/hyperlink" Target="https://www.tiktok.com/@hanaccft" TargetMode="External"/><Relationship Id="rId10064" Type="http://schemas.openxmlformats.org/officeDocument/2006/relationships/hyperlink" Target="https://www.tiktok.com/@jaenoote" TargetMode="External"/><Relationship Id="rId10065" Type="http://schemas.openxmlformats.org/officeDocument/2006/relationships/hyperlink" Target="https://www.tiktok.com/@silviaaa1123" TargetMode="External"/><Relationship Id="rId10062" Type="http://schemas.openxmlformats.org/officeDocument/2006/relationships/hyperlink" Target="https://www.tiktok.com/@salon_shaizhashop_mirza" TargetMode="External"/><Relationship Id="rId10063" Type="http://schemas.openxmlformats.org/officeDocument/2006/relationships/hyperlink" Target="https://www.tiktok.com/@aleshair_official" TargetMode="External"/><Relationship Id="rId3861" Type="http://schemas.openxmlformats.org/officeDocument/2006/relationships/hyperlink" Target="https://vt.tiktok.com/ZSxSC7oyf/" TargetMode="External"/><Relationship Id="rId10068" Type="http://schemas.openxmlformats.org/officeDocument/2006/relationships/hyperlink" Target="https://www.tiktok.com/@sapytii" TargetMode="External"/><Relationship Id="rId2530" Type="http://schemas.openxmlformats.org/officeDocument/2006/relationships/hyperlink" Target="https://www.tiktok.com/@snowme.shop/video/7632985390164528404?is_from_webapp=1&amp;sender_device=pc&amp;web_id=7611930277489657360" TargetMode="External"/><Relationship Id="rId3860" Type="http://schemas.openxmlformats.org/officeDocument/2006/relationships/hyperlink" Target="https://vt.tiktok.com/ZSxSCt8Wu/" TargetMode="External"/><Relationship Id="rId10069" Type="http://schemas.openxmlformats.org/officeDocument/2006/relationships/hyperlink" Target="https://www.tiktok.com/@adekk_bunaaa" TargetMode="External"/><Relationship Id="rId1200" Type="http://schemas.openxmlformats.org/officeDocument/2006/relationships/hyperlink" Target="https://www.tiktok.com/@reinn057/video/7606720998267899144?is_from_webapp=1&amp;sender_device=pc&amp;web_id=7611930277489657360" TargetMode="External"/><Relationship Id="rId2531" Type="http://schemas.openxmlformats.org/officeDocument/2006/relationships/hyperlink" Target="https://www.tiktok.com/@nolisnurjanah21/video/7636462605879627029?_r=1&amp;u_code=e85madfeelij2j&amp;region=&amp;mid=7633574674328341269&amp;preview_pb=0&amp;sharer_language=&amp;_d=0&amp;ec_shared_reflux_dynamic_params=%7B%22placeholder_material_id%22%3A%227636462605879627029%22%2C%22placeholder_origin_cover%22%3A%22https%253A%252F%252Fp16-common-sign.tiktokcdn.com%252Ftos-alisg-p-0037%252Fo0CPAKyeMFv69IiBITED8lfqIRZ9Ao0eD46Mij~tplv-tiktokx-origin.jpeg%253Fdr%253D14572%2526refresh_token%253Da3c85797%2526x-expires%253D1810119600%2526x-signature%253DqKxZzYNINbeQXQKOkz%25252BEvwsEz4Q%25253D%2526t%253D4d5b0474%2526ps%253D13740610%2526shp%253Dd05b14bd%2526shcp%253D34ff8df6%2526idc%253Dmy2%2526s%253DTIKTOK_AFFILIATE_VIRAL_VIDEO%22%2C%22placeholder_product_id%22%3A%221729729730555512511%22%2C%22placeholder_video_id%22%3A%227636462605879627029%22%7D&amp;ec_shared_reflux_scene=shop_tab_feed&amp;share_item_id=7636462605879627029&amp;source=h5_t" TargetMode="External"/><Relationship Id="rId3863" Type="http://schemas.openxmlformats.org/officeDocument/2006/relationships/hyperlink" Target="https://vt.tiktok.com/ZSxSCvW5Q/" TargetMode="External"/><Relationship Id="rId10066" Type="http://schemas.openxmlformats.org/officeDocument/2006/relationships/hyperlink" Target="https://www.tiktok.com/@kan.ken96" TargetMode="External"/><Relationship Id="rId1201" Type="http://schemas.openxmlformats.org/officeDocument/2006/relationships/hyperlink" Target="https://www.tiktok.com/@reinn057/video/7606947782129159442?is_from_webapp=1&amp;sender_device=pc&amp;web_id=7611930277489657360" TargetMode="External"/><Relationship Id="rId2532" Type="http://schemas.openxmlformats.org/officeDocument/2006/relationships/hyperlink" Target="https://www.tiktok.com/@nolisnurjanah21/video/7636463967182916885?_r=1&amp;u_code=e85madfeelij2j&amp;region=&amp;mid=7438927360860751888&amp;preview_pb=0&amp;sharer_language=&amp;_d=0&amp;ec_shared_reflux_dynamic_params=%7B%22placeholder_material_id%22%3A%227636463967182916885%22%2C%22placeholder_origin_cover%22%3A%22https%253A%252F%252Fp16-common-sign.tiktokcdn.com%252Ftos-alisg-p-0037%252Fo83tQlCTDAVQfnjeSQWx8EBA0nsM9XfaF4kVNI~tplv-tiktokx-origin.jpeg%253Fdr%253D14572%2526refresh_token%253Dbc62971e%2526x-expires%253D1810119600%2526x-signature%253D6Q6r5mEkPDptVVFtdbqLj3sNTu0%25253D%2526t%253D4d5b0474%2526ps%253D13740610%2526shp%253Dd05b14bd%2526shcp%253D34ff8df6%2526idc%253Dmy2%2526s%253DTIKTOK_AFFILIATE_VIRAL_VIDEO%22%2C%22placeholder_product_id%22%3A%221729729730555512511%22%2C%22placeholder_video_id%22%3A%227636463967182916885%22%7D&amp;ec_shared_reflux_scene=shop_tab_feed&amp;share_item_id=7636463967182916885&amp;source=h5_t" TargetMode="External"/><Relationship Id="rId3862" Type="http://schemas.openxmlformats.org/officeDocument/2006/relationships/hyperlink" Target="https://vt.tiktok.com/ZSxSCwqAG/" TargetMode="External"/><Relationship Id="rId10067" Type="http://schemas.openxmlformats.org/officeDocument/2006/relationships/hyperlink" Target="https://www.tiktok.com/@ny.shopping01" TargetMode="External"/><Relationship Id="rId1235" Type="http://schemas.openxmlformats.org/officeDocument/2006/relationships/hyperlink" Target="https://vt.tiktok.com/ZSHsjAkP5/" TargetMode="External"/><Relationship Id="rId2566" Type="http://schemas.openxmlformats.org/officeDocument/2006/relationships/hyperlink" Target="https://www.tiktok.com/@riska.anikmah" TargetMode="External"/><Relationship Id="rId3898" Type="http://schemas.openxmlformats.org/officeDocument/2006/relationships/hyperlink" Target="https://www.tiktok.com/@veni.aje" TargetMode="External"/><Relationship Id="rId1236" Type="http://schemas.openxmlformats.org/officeDocument/2006/relationships/hyperlink" Target="https://www.tiktok.com/@suksesshop7" TargetMode="External"/><Relationship Id="rId2567" Type="http://schemas.openxmlformats.org/officeDocument/2006/relationships/hyperlink" Target="https://vt.tiktok.com/ZS98MLRST/" TargetMode="External"/><Relationship Id="rId3897" Type="http://schemas.openxmlformats.org/officeDocument/2006/relationships/hyperlink" Target="https://vt.tiktok.com/ZS9DPLV3B/" TargetMode="External"/><Relationship Id="rId1237" Type="http://schemas.openxmlformats.org/officeDocument/2006/relationships/hyperlink" Target="https://www.tiktok.com/@suksesshop7/video/7633498684151368967" TargetMode="External"/><Relationship Id="rId2568" Type="http://schemas.openxmlformats.org/officeDocument/2006/relationships/hyperlink" Target="https://vt.tiktok.com/ZS98MNVNQ/" TargetMode="External"/><Relationship Id="rId1238" Type="http://schemas.openxmlformats.org/officeDocument/2006/relationships/hyperlink" Target="https://vt.tiktok.com/ZS9SfDjV2/" TargetMode="External"/><Relationship Id="rId2569" Type="http://schemas.openxmlformats.org/officeDocument/2006/relationships/hyperlink" Target="https://vt.tiktok.com/ZS98MN5QQ/" TargetMode="External"/><Relationship Id="rId3899" Type="http://schemas.openxmlformats.org/officeDocument/2006/relationships/hyperlink" Target="https://www.tiktok.com/@eriyunitaa" TargetMode="External"/><Relationship Id="rId1239" Type="http://schemas.openxmlformats.org/officeDocument/2006/relationships/hyperlink" Target="https://vt.tiktok.com/ZS99CHNe3/" TargetMode="External"/><Relationship Id="rId10039" Type="http://schemas.openxmlformats.org/officeDocument/2006/relationships/hyperlink" Target="https://www.tiktok.com/@n3naftr" TargetMode="External"/><Relationship Id="rId10037" Type="http://schemas.openxmlformats.org/officeDocument/2006/relationships/hyperlink" Target="https://www.tiktok.com/@mamiupdateoutfit" TargetMode="External"/><Relationship Id="rId10038" Type="http://schemas.openxmlformats.org/officeDocument/2006/relationships/hyperlink" Target="https://www.tiktok.com/@ratna_fitriee" TargetMode="External"/><Relationship Id="rId3890" Type="http://schemas.openxmlformats.org/officeDocument/2006/relationships/hyperlink" Target="https://vt.tiktok.com/ZS9DPedUm/" TargetMode="External"/><Relationship Id="rId10031" Type="http://schemas.openxmlformats.org/officeDocument/2006/relationships/hyperlink" Target="http://hwang.be" TargetMode="External"/><Relationship Id="rId10032" Type="http://schemas.openxmlformats.org/officeDocument/2006/relationships/hyperlink" Target="https://www.tiktok.com/@hwang.be" TargetMode="External"/><Relationship Id="rId2560" Type="http://schemas.openxmlformats.org/officeDocument/2006/relationships/hyperlink" Target="https://www.tiktok.com/@shiintamiiftaa/video/7636535438458637588?_r=1&amp;u_code=d6i1iij6bihcli&amp;region=&amp;mid=7627775584572541714&amp;preview_pb=0&amp;sharer_language=&amp;_d=0&amp;ec_shared_reflux_dynamic_params=%7B%22placeholder_material_id%22%3A%227636535438458637588%22%2C%22placeholder_origin_cover%22%3A%22https%253A%252F%252Fp16-common-sign.tiktokcdn.com%252Ftos-alisg-p-0037%252Fokp7I6VEABitlgA1obLBfiJ3ZBUuCI2uRTfJcD~tplv-tiktokx-origin.jpeg%253Fdr%253D14572%2526refresh_token%253D1daca344%2526x-expires%253D1810119600%2526x-signature%253DPh5ezWC7ZuiToBygeAsXJQiOAIE%25253D%2526t%253D4d5b0474%2526ps%253D13740610%2526shp%253Dd05b14bd%2526shcp%253D34ff8df6%2526idc%253Dmy2%2526s%253DTIKTOK_AFFILIATE_VIRAL_VIDEO%22%2C%22placeholder_product_id%22%3A%221729427766722726591%22%2C%22placeholder_video_id%22%3A%227636535438458637588%22%7D&amp;ec_shared_reflux_scene=shop_tab_feed&amp;share_item_id=7636535438458637588&amp;source=h5_t" TargetMode="External"/><Relationship Id="rId3892" Type="http://schemas.openxmlformats.org/officeDocument/2006/relationships/hyperlink" Target="https://vt.tiktok.com/ZS9DfuyMW/" TargetMode="External"/><Relationship Id="rId1230" Type="http://schemas.openxmlformats.org/officeDocument/2006/relationships/hyperlink" Target="https://www.tiktok.com/@outfitce_/video/7624876528345566484?_r=1&amp;u_code=e0898kg4gbb4c7&amp;region=&amp;mid=7600640437279984404&amp;preview_pb=0&amp;sharer_language=&amp;_d=0&amp;ec_shared_reflux_dynamic_params=%7B%22placeholder_material_id%22%3A%227624876528345566484%22%2C%22placeholder_origin_cover%22%3A%22https%253A%252F%252Fp16-sign-sg.tiktokcdn.com%252Ftos-alisg-p-0037%252FoMxBQCqB0AA0iWQiiHNItAIjCAkRf6pw3IINji~tplv-tiktokx-origin.jpeg%253Fdr%253D14572%2526refresh_token%253D27c9dcdf%2526x-expires%253D1807070400%2526x-signature%253DMUvp%25252Fk3DVy4%25252Fk%25252B3Bh%25252F2gzJV5tTU%25253D%2526t%253D4d5b0474%2526ps%253D13740610%2526shp%253Dd05b14bd%2526shcp%253D34ff8df6%2526idc%253Dmy2%2526s%253DTIKTOK_AFFILIATE_VIRAL_VIDEO%22%2C%22placeholder_product_id%22%3A%221729427766722726591%22%2C%22placeholder_video_id%22%3A%227624876528345566484%22%7D&amp;ec_shared_reflux_scene=shop_tab_feed&amp;share_item_id=7624876528345566484&amp;source=h5_t" TargetMode="External"/><Relationship Id="rId2561" Type="http://schemas.openxmlformats.org/officeDocument/2006/relationships/hyperlink" Target="https://www.tiktok.com/@mel_mel8" TargetMode="External"/><Relationship Id="rId3891" Type="http://schemas.openxmlformats.org/officeDocument/2006/relationships/hyperlink" Target="https://vt.tiktok.com/ZS9Df4wBM/" TargetMode="External"/><Relationship Id="rId10030" Type="http://schemas.openxmlformats.org/officeDocument/2006/relationships/hyperlink" Target="https://www.tiktok.com/@dita.arlita" TargetMode="External"/><Relationship Id="rId1231" Type="http://schemas.openxmlformats.org/officeDocument/2006/relationships/hyperlink" Target="https://www.tiktok.com/@namakurahasie" TargetMode="External"/><Relationship Id="rId2562" Type="http://schemas.openxmlformats.org/officeDocument/2006/relationships/hyperlink" Target="https://vt.tiktok.com/ZS986wdrA/" TargetMode="External"/><Relationship Id="rId3894" Type="http://schemas.openxmlformats.org/officeDocument/2006/relationships/hyperlink" Target="https://vt.tiktok.com/ZS9Df5MD7/" TargetMode="External"/><Relationship Id="rId10035" Type="http://schemas.openxmlformats.org/officeDocument/2006/relationships/hyperlink" Target="https://www.tiktok.com/@suci_kuya" TargetMode="External"/><Relationship Id="rId1232" Type="http://schemas.openxmlformats.org/officeDocument/2006/relationships/hyperlink" Target="https://vt.tiktok.com/ZSucWmxtW/" TargetMode="External"/><Relationship Id="rId2563" Type="http://schemas.openxmlformats.org/officeDocument/2006/relationships/hyperlink" Target="https://vt.tiktok.com/ZS98M8jdC/" TargetMode="External"/><Relationship Id="rId3893" Type="http://schemas.openxmlformats.org/officeDocument/2006/relationships/hyperlink" Target="https://www.tiktok.com/@rysa_mon" TargetMode="External"/><Relationship Id="rId10036" Type="http://schemas.openxmlformats.org/officeDocument/2006/relationships/hyperlink" Target="https://www.tiktok.com/@edlncitra" TargetMode="External"/><Relationship Id="rId1233" Type="http://schemas.openxmlformats.org/officeDocument/2006/relationships/hyperlink" Target="https://vt.tiktok.com/ZSHF5dh5m/" TargetMode="External"/><Relationship Id="rId2564" Type="http://schemas.openxmlformats.org/officeDocument/2006/relationships/hyperlink" Target="https://vt.tiktok.com/ZS98MdCpQ/" TargetMode="External"/><Relationship Id="rId3896" Type="http://schemas.openxmlformats.org/officeDocument/2006/relationships/hyperlink" Target="https://vt.tiktok.com/ZS9DfKe13/" TargetMode="External"/><Relationship Id="rId10033" Type="http://schemas.openxmlformats.org/officeDocument/2006/relationships/hyperlink" Target="https://www.tiktok.com/@jelitagisestry3" TargetMode="External"/><Relationship Id="rId1234" Type="http://schemas.openxmlformats.org/officeDocument/2006/relationships/hyperlink" Target="https://vt.tiktok.com/ZSHsj9tkB/" TargetMode="External"/><Relationship Id="rId2565" Type="http://schemas.openxmlformats.org/officeDocument/2006/relationships/hyperlink" Target="https://vt.tiktok.com/ZS986o3VF/" TargetMode="External"/><Relationship Id="rId3895" Type="http://schemas.openxmlformats.org/officeDocument/2006/relationships/hyperlink" Target="https://vt.tiktok.com/ZS9DP25WR/" TargetMode="External"/><Relationship Id="rId10034" Type="http://schemas.openxmlformats.org/officeDocument/2006/relationships/hyperlink" Target="https://www.tiktok.com/@she.nathasya" TargetMode="External"/><Relationship Id="rId1224" Type="http://schemas.openxmlformats.org/officeDocument/2006/relationships/hyperlink" Target="https://www.tiktok.com/@indri_murti03" TargetMode="External"/><Relationship Id="rId2555" Type="http://schemas.openxmlformats.org/officeDocument/2006/relationships/hyperlink" Target="https://vt.tiktok.com/ZSxSQJF8d/" TargetMode="External"/><Relationship Id="rId3887" Type="http://schemas.openxmlformats.org/officeDocument/2006/relationships/hyperlink" Target="https://vt.tiktok.com/ZS9Df36TN/" TargetMode="External"/><Relationship Id="rId1225" Type="http://schemas.openxmlformats.org/officeDocument/2006/relationships/hyperlink" Target="https://vt.tiktok.com/ZSuKpvHEA/" TargetMode="External"/><Relationship Id="rId2556" Type="http://schemas.openxmlformats.org/officeDocument/2006/relationships/hyperlink" Target="https://www.tiktok.com/@andiniekaputri2211" TargetMode="External"/><Relationship Id="rId3886" Type="http://schemas.openxmlformats.org/officeDocument/2006/relationships/hyperlink" Target="https://vt.tiktok.com/ZS9Dfwoex/" TargetMode="External"/><Relationship Id="rId1226" Type="http://schemas.openxmlformats.org/officeDocument/2006/relationships/hyperlink" Target="https://www.tiktok.com/@indri_murti03/video/7628897022346530069" TargetMode="External"/><Relationship Id="rId2557" Type="http://schemas.openxmlformats.org/officeDocument/2006/relationships/hyperlink" Target="https://www.tiktok.com/@andiniekaputri2211/video/7628464384775376148?is_from_webapp=1&amp;sender_device=pc" TargetMode="External"/><Relationship Id="rId3889" Type="http://schemas.openxmlformats.org/officeDocument/2006/relationships/hyperlink" Target="https://vt.tiktok.com/ZS9BEeTfp/" TargetMode="External"/><Relationship Id="rId1227" Type="http://schemas.openxmlformats.org/officeDocument/2006/relationships/hyperlink" Target="https://www.tiktok.com/@indri_murti03/video/7621661591330721045" TargetMode="External"/><Relationship Id="rId2558" Type="http://schemas.openxmlformats.org/officeDocument/2006/relationships/hyperlink" Target="https://www.tiktok.com/@nolisnurjanah21/video/7636466242026589461?_r=1&amp;u_code=e85madfeelij2j&amp;region=&amp;mid=7628927071062493200&amp;preview_pb=0&amp;sharer_language=&amp;_d=0&amp;ec_shared_reflux_dynamic_params=%7B%22placeholder_material_id%22%3A%227636466242026589461%22%2C%22placeholder_origin_cover%22%3A%22https%253A%252F%252Fp16-common-sign.tiktokcdn.com%252Ftos-alisg-p-0037%252Fo0AZBEapciWCHRaIaB6fBiLfnB7O8RI7ozEKzg~tplv-tiktokx-origin.jpeg%253Fdr%253D14572%2526refresh_token%253D3c619584%2526x-expires%253D1810119600%2526x-signature%253DdtJalpFiD9BavlGfhbzg0uLLmLc%25253D%2526t%253D4d5b0474%2526ps%253D13740610%2526shp%253Dd05b14bd%2526shcp%253D34ff8df6%2526idc%253Dmy2%2526s%253DTIKTOK_AFFILIATE_VIRAL_VIDEO%22%2C%22placeholder_product_id%22%3A%221729729730555512511%22%2C%22placeholder_video_id%22%3A%227636466242026589461%22%7D&amp;ec_shared_reflux_scene=shop_tab_feed&amp;share_item_id=7636466242026589461&amp;source=h5_t" TargetMode="External"/><Relationship Id="rId3888" Type="http://schemas.openxmlformats.org/officeDocument/2006/relationships/hyperlink" Target="https://www.tiktok.com/@stmuliani18" TargetMode="External"/><Relationship Id="rId1228" Type="http://schemas.openxmlformats.org/officeDocument/2006/relationships/hyperlink" Target="https://www.tiktok.com/@hai_cha_yank" TargetMode="External"/><Relationship Id="rId2559" Type="http://schemas.openxmlformats.org/officeDocument/2006/relationships/hyperlink" Target="https://vt.tiktok.com/ZS9wq4j2m/" TargetMode="External"/><Relationship Id="rId1229" Type="http://schemas.openxmlformats.org/officeDocument/2006/relationships/hyperlink" Target="https://vt.tiktok.com/ZSHAmCTuv/" TargetMode="External"/><Relationship Id="rId10050" Type="http://schemas.openxmlformats.org/officeDocument/2006/relationships/hyperlink" Target="https://www.tiktok.com/@eliez_89" TargetMode="External"/><Relationship Id="rId10048" Type="http://schemas.openxmlformats.org/officeDocument/2006/relationships/hyperlink" Target="https://www.tiktok.com/@anna_safitri18" TargetMode="External"/><Relationship Id="rId10049" Type="http://schemas.openxmlformats.org/officeDocument/2006/relationships/hyperlink" Target="https://www.tiktok.com/@meritamakeup" TargetMode="External"/><Relationship Id="rId10042" Type="http://schemas.openxmlformats.org/officeDocument/2006/relationships/hyperlink" Target="https://www.tiktok.com/@cattleya_rinjani" TargetMode="External"/><Relationship Id="rId10043" Type="http://schemas.openxmlformats.org/officeDocument/2006/relationships/hyperlink" Target="https://www.tiktok.com/@isn_210" TargetMode="External"/><Relationship Id="rId3881" Type="http://schemas.openxmlformats.org/officeDocument/2006/relationships/hyperlink" Target="https://vt.tiktok.com/ZS9DH1XkC/" TargetMode="External"/><Relationship Id="rId10040" Type="http://schemas.openxmlformats.org/officeDocument/2006/relationships/hyperlink" Target="https://www.tiktok.com/@kangmakeupsumedang" TargetMode="External"/><Relationship Id="rId2550" Type="http://schemas.openxmlformats.org/officeDocument/2006/relationships/hyperlink" Target="https://www.tiktok.com/@nolisnurjanah21/video/7636465604450389268?_r=1&amp;u_code=e85madfeelij2j&amp;region=&amp;mid=7444485817650662199&amp;preview_pb=0&amp;sharer_language=&amp;_d=0&amp;ec_shared_reflux_dynamic_params=%7B%22placeholder_material_id%22%3A%227636465604450389268%22%2C%22placeholder_origin_cover%22%3A%22https%253A%252F%252Fp19-common-sign.tiktokcdn.com%252Ftos-alisg-p-0037%252FoAABCQb6xApIfBUG9jBROIZpcfLRiZigt4EE62~tplv-tiktokx-origin.jpeg%253Fdr%253D14572%2526refresh_token%253D0ddd4706%2526x-expires%253D1810119600%2526x-signature%253Dvw03N9OC0v1sozmW9nLPKXzIABs%25253D%2526t%253D4d5b0474%2526ps%253D13740610%2526shp%253Dd05b14bd%2526shcp%253D34ff8df6%2526idc%253Dmy2%2526s%253DTIKTOK_AFFILIATE_VIRAL_VIDEO%22%2C%22placeholder_product_id%22%3A%221729729730555512511%22%2C%22placeholder_video_id%22%3A%227636465604450389268%22%7D&amp;ec_shared_reflux_scene=shop_tab_feed&amp;share_item_id=7636465604450389268&amp;source=h5_t" TargetMode="External"/><Relationship Id="rId3880" Type="http://schemas.openxmlformats.org/officeDocument/2006/relationships/hyperlink" Target="https://vt.tiktok.com/ZS9DmT9qJ/" TargetMode="External"/><Relationship Id="rId10041" Type="http://schemas.openxmlformats.org/officeDocument/2006/relationships/hyperlink" Target="https://www.tiktok.com/@desynovasalonjuwn" TargetMode="External"/><Relationship Id="rId1220" Type="http://schemas.openxmlformats.org/officeDocument/2006/relationships/hyperlink" Target="https://vt.tiktok.com/ZSuTo4aCb/" TargetMode="External"/><Relationship Id="rId2551" Type="http://schemas.openxmlformats.org/officeDocument/2006/relationships/hyperlink" Target="https://www.tiktok.com/@nolisnurjanah21/video/7636465221669784852?_r=1&amp;u_code=e85madfeelij2j&amp;region=&amp;mid=7548405609076034360&amp;preview_pb=0&amp;sharer_language=&amp;_d=0&amp;ec_shared_reflux_dynamic_params=%7B%22placeholder_material_id%22%3A%227636465221669784852%22%2C%22placeholder_origin_cover%22%3A%22https%253A%252F%252Fp16-common-sign.tiktokcdn.com%252Ftos-alisg-p-0037%252Fowo6Ypc9iESRAi7DpBcIUgBLM2tfBABxEILfRt~tplv-tiktokx-origin.jpeg%253Fdr%253D14572%2526refresh_token%253Da81aafd8%2526x-expires%253D1810119600%2526x-signature%253D4dbj7XeXhptsGF1ravouLwZzj%25252BM%25253D%2526t%253D4d5b0474%2526ps%253D13740610%2526shp%253Dd05b14bd%2526shcp%253D34ff8df6%2526idc%253Dmy2%2526s%253DTIKTOK_AFFILIATE_VIRAL_VIDEO%22%2C%22placeholder_product_id%22%3A%221729729730555512511%22%2C%22placeholder_video_id%22%3A%227636465221669784852%22%7D&amp;ec_shared_reflux_scene=shop_tab_feed&amp;share_item_id=7636465221669784852&amp;source=h5_t" TargetMode="External"/><Relationship Id="rId3883" Type="http://schemas.openxmlformats.org/officeDocument/2006/relationships/hyperlink" Target="https://www.tiktok.com/@cutarsyilla" TargetMode="External"/><Relationship Id="rId10046" Type="http://schemas.openxmlformats.org/officeDocument/2006/relationships/hyperlink" Target="http://midieshop.id" TargetMode="External"/><Relationship Id="rId1221" Type="http://schemas.openxmlformats.org/officeDocument/2006/relationships/hyperlink" Target="https://vt.tiktok.com/ZSuTosJBw/" TargetMode="External"/><Relationship Id="rId2552" Type="http://schemas.openxmlformats.org/officeDocument/2006/relationships/hyperlink" Target="https://www.tiktok.com/@nolisnurjanah21/video/7636463619810528532?_d=0&amp;_r=1&amp;ec_shared_reflux_dynamic_params=%7B%22placeholder_material_id%22%3A%227636463619810528532%22%2C%22placeholder_origin_cover%22%3A%22https%253A%252F%252Fp16-common-sign.tiktokcdn.com%252Ftos-alisg-p-0037%252FowTDwXT7DKj2IxeILFAvFQQG6A149erCgAeE0B~tplv-tiktokx-origin.jpeg%253Fdr%253D14572%2526refresh_token%253Dae7a225b%2526x-expires%253D1810119600%2526x-signature%253Dnf4XtHv5DAWwwf35XzozXzO0Hps%25253D%2526t%253D4d5b0474%2526ps%253D13740610%2526shp%253Dd05b14bd%2526shcp%253D34ff8df6%2526idc%253Dmy2%2526s%253DTIKTOK_AFFILIATE_VIRAL_VIDEO%22%2C%22placeholder_product_id%22%3A%221729729730555512511%22%2C%22placeholder_video_id%22%3A%227636463619810528532%22%7D&amp;ec_shared_reflux_scene=shop_tab_feed&amp;mid=7449668706639644673&amp;preview_pb=0&amp;region=&amp;share_item_id=7636463619810528532&amp;sharer_language=&amp;source=h5_t&amp;u_code=e85madfeelij2j" TargetMode="External"/><Relationship Id="rId3882" Type="http://schemas.openxmlformats.org/officeDocument/2006/relationships/hyperlink" Target="https://vt.tiktok.com/ZS9DxJjbj/" TargetMode="External"/><Relationship Id="rId10047" Type="http://schemas.openxmlformats.org/officeDocument/2006/relationships/hyperlink" Target="https://www.tiktok.com/@midieshop.id" TargetMode="External"/><Relationship Id="rId1222" Type="http://schemas.openxmlformats.org/officeDocument/2006/relationships/hyperlink" Target="https://vt.tiktok.com/ZSuTopDHf/" TargetMode="External"/><Relationship Id="rId2553" Type="http://schemas.openxmlformats.org/officeDocument/2006/relationships/hyperlink" Target="https://www.tiktok.com/@reviewofbeauty" TargetMode="External"/><Relationship Id="rId3885" Type="http://schemas.openxmlformats.org/officeDocument/2006/relationships/hyperlink" Target="https://vt.tiktok.com/ZS9DP1tSG/" TargetMode="External"/><Relationship Id="rId10044" Type="http://schemas.openxmlformats.org/officeDocument/2006/relationships/hyperlink" Target="https://www.tiktok.com/@akuwongkerjo.123" TargetMode="External"/><Relationship Id="rId1223" Type="http://schemas.openxmlformats.org/officeDocument/2006/relationships/hyperlink" Target="https://vt.tiktok.com/ZSHJCd1KR/" TargetMode="External"/><Relationship Id="rId2554" Type="http://schemas.openxmlformats.org/officeDocument/2006/relationships/hyperlink" Target="https://vt.tiktok.com/ZS98MdEjE/" TargetMode="External"/><Relationship Id="rId3884" Type="http://schemas.openxmlformats.org/officeDocument/2006/relationships/hyperlink" Target="https://vt.tiktok.com/ZS9DPe1ot/" TargetMode="External"/><Relationship Id="rId10045" Type="http://schemas.openxmlformats.org/officeDocument/2006/relationships/hyperlink" Target="https://www.tiktok.com/@dequew_" TargetMode="External"/><Relationship Id="rId2500" Type="http://schemas.openxmlformats.org/officeDocument/2006/relationships/hyperlink" Target="https://vt.tiktok.com/ZSuwnWdQB/" TargetMode="External"/><Relationship Id="rId3832" Type="http://schemas.openxmlformats.org/officeDocument/2006/relationships/hyperlink" Target="https://www.tiktok.com/@zennita95" TargetMode="External"/><Relationship Id="rId2501" Type="http://schemas.openxmlformats.org/officeDocument/2006/relationships/hyperlink" Target="https://vt.tiktok.com/ZSH8HNqHd/" TargetMode="External"/><Relationship Id="rId3831" Type="http://schemas.openxmlformats.org/officeDocument/2006/relationships/hyperlink" Target="https://www.tiktok.com/@amalnfr" TargetMode="External"/><Relationship Id="rId2502" Type="http://schemas.openxmlformats.org/officeDocument/2006/relationships/hyperlink" Target="https://www.tiktok.com/@nolisnurjanah21/video/7636583576586276116?_r=1&amp;u_code=e85madfeelij2j&amp;region=&amp;mid=7582487626100296456&amp;preview_pb=0&amp;sharer_language=&amp;_d=0&amp;ec_shared_reflux_dynamic_params=%7B%22placeholder_material_id%22%3A%227636583576586276116%22%2C%22placeholder_origin_cover%22%3A%22https%253A%252F%252Fp16-common-sign.tiktokcdn.com%252Ftos-alisg-p-0037%252FoM9A2CESF0DljNAefpprF76Dfk4CDTIImpIwEO~tplv-tiktokx-origin.jpeg%253Fdr%253D14572%2526refresh_token%253D1eac801d%2526x-expires%253D1810119600%2526x-signature%253DT55WriWF05uvLArQsvKL0OdmR6k%25253D%2526t%253D4d5b0474%2526ps%253D13740610%2526shp%253Dd05b14bd%2526shcp%253D34ff8df6%2526idc%253Dmy2%2526s%253DTIKTOK_AFFILIATE_VIRAL_VIDEO%22%2C%22placeholder_product_id%22%3A%221729729730555512511%22%2C%22placeholder_video_id%22%3A%227636583576586276116%22%7D&amp;ec_shared_reflux_scene=shop_tab_feed&amp;share_item_id=7636583576586276116&amp;source=h5_t" TargetMode="External"/><Relationship Id="rId3834" Type="http://schemas.openxmlformats.org/officeDocument/2006/relationships/hyperlink" Target="https://vt.tiktok.com/ZSxkwT3f6/" TargetMode="External"/><Relationship Id="rId2503" Type="http://schemas.openxmlformats.org/officeDocument/2006/relationships/hyperlink" Target="https://www.tiktok.com/@rama_katma" TargetMode="External"/><Relationship Id="rId3833" Type="http://schemas.openxmlformats.org/officeDocument/2006/relationships/hyperlink" Target="https://vt.tiktok.com/ZSHaHsy4S/" TargetMode="External"/><Relationship Id="rId2504" Type="http://schemas.openxmlformats.org/officeDocument/2006/relationships/hyperlink" Target="https://www.tiktok.com/@rama_katma/video/7626700583520455956?is_from_webapp=1&amp;sender_device=pc" TargetMode="External"/><Relationship Id="rId3836" Type="http://schemas.openxmlformats.org/officeDocument/2006/relationships/hyperlink" Target="https://www.tiktok.com/@gabolegalakya" TargetMode="External"/><Relationship Id="rId2505" Type="http://schemas.openxmlformats.org/officeDocument/2006/relationships/hyperlink" Target="https://www.tiktok.com/@nolisnurjanah21/video/7638074166477851925?_r=1&amp;u_code=e85madfeelij2j&amp;region=&amp;mid=7358303113360607248&amp;preview_pb=0&amp;sharer_language=&amp;_d=0&amp;ec_shared_reflux_dynamic_params=%7B%22placeholder_material_id%22%3A%227638074166477851925%22%2C%22placeholder_origin_cover%22%3A%22https%253A%252F%252Fp16-common-sign.tiktokcdn.com%252Ftos-alisg-p-0037%252FoIGAcn8FNndIRMLGsRgF0NAw35Ae8F6fWffgAG~tplv-tiktokx-origin.jpeg%253Fdr%253D14572%2526refresh_token%253D3b2430ab%2526x-expires%253D1810119600%2526x-signature%253DfBdglg3L%25252Fenn90dXPpW6f0ZymhE%25253D%2526t%253D4d5b0474%2526ps%253D13740610%2526shp%253Dd05b14bd%2526shcp%253D34ff8df6%2526idc%253Dmy2%2526s%253DTIKTOK_AFFILIATE_VIRAL_VIDEO%22%2C%22placeholder_product_id%22%3A%221729729730555512511%22%2C%22placeholder_video_id%22%3A%227638074166477851925%22%7D&amp;ec_shared_reflux_scene=shop_tab_feed&amp;share_item_id=7638074166477851925&amp;source=h5_t" TargetMode="External"/><Relationship Id="rId3835" Type="http://schemas.openxmlformats.org/officeDocument/2006/relationships/hyperlink" Target="https://www.tiktok.com/@princessbackpacker_" TargetMode="External"/><Relationship Id="rId2506" Type="http://schemas.openxmlformats.org/officeDocument/2006/relationships/hyperlink" Target="https://www.tiktok.com/@nolisnurjanah21/video/7637840654445366546?_r=1&amp;u_code=e85madfeelij2j&amp;region=&amp;mid=7580102470815975425&amp;preview_pb=0&amp;sharer_language=&amp;_d=0&amp;ec_shared_reflux_dynamic_params=%7B%22placeholder_material_id%22%3A%227637840654445366546%22%2C%22placeholder_origin_cover%22%3A%22https%253A%252F%252Fp16-common-sign.tiktokcdn.com%252Ftos-alisg-p-0037%252FocrG56njLDGJIvDRLhAfrggGfAhwfxGFQQeX6Q~tplv-tiktokx-origin.jpeg%253Fdr%253D14572%2526refresh_token%253D9bf94966%2526x-expires%253D1810119600%2526x-signature%253D7MkYGSbHEo3YG95yqEvRBCKo8J0%25253D%2526t%253D4d5b0474%2526ps%253D13740610%2526shp%253Dd05b14bd%2526shcp%253D34ff8df6%2526idc%253Dmy2%2526s%253DTIKTOK_AFFILIATE_VIRAL_VIDEO%22%2C%22placeholder_product_id%22%3A%221729729730555512511%22%2C%22placeholder_video_id%22%3A%227637840654445366546%22%7D&amp;ec_shared_reflux_scene=shop_tab_feed&amp;share_item_id=7637840654445366546&amp;source=h5_t" TargetMode="External"/><Relationship Id="rId3838" Type="http://schemas.openxmlformats.org/officeDocument/2006/relationships/hyperlink" Target="https://vt.tiktok.com/ZSxkLxkM9/" TargetMode="External"/><Relationship Id="rId2507" Type="http://schemas.openxmlformats.org/officeDocument/2006/relationships/hyperlink" Target="https://www.tiktok.com/@nolisnurjanah21/video/7636582983108922645?_r=1&amp;u_code=e85madfeelij2j&amp;region=&amp;mid=7519476599076178694&amp;preview_pb=0&amp;sharer_language=&amp;_d=0&amp;ec_shared_reflux_dynamic_params=%7B%22placeholder_material_id%22%3A%227636582983108922645%22%2C%22placeholder_origin_cover%22%3A%22https%253A%252F%252Fp16-common-sign.tiktokcdn.com%252Ftos-alisg-p-0037%252FoUfI6v6ABCBiY9gS2IBmcpI8fIDu1lRpUi1EDP~tplv-tiktokx-origin.jpeg%253Fdr%253D14572%2526refresh_token%253D01faf8f4%2526x-expires%253D1810119600%2526x-signature%253DgUavJCjt%25252FDsYx3YHQIB3MZrPh1g%25253D%2526t%253D4d5b0474%2526ps%253D13740610%2526shp%253Dd05b14bd%2526shcp%253D34ff8df6%2526idc%253Dmy2%2526s%253DTIKTOK_AFFILIATE_VIRAL_VIDEO%22%2C%22placeholder_product_id%22%3A%221729729730555512511%22%2C%22placeholder_video_id%22%3A%227636582983108922645%22%7D&amp;ec_shared_reflux_scene=shop_tab_feed&amp;share_item_id=7636582983108922645&amp;source=h5_t" TargetMode="External"/><Relationship Id="rId3837" Type="http://schemas.openxmlformats.org/officeDocument/2006/relationships/hyperlink" Target="https://vt.tiktok.com/ZSxkLGuJJ/" TargetMode="External"/><Relationship Id="rId2508" Type="http://schemas.openxmlformats.org/officeDocument/2006/relationships/hyperlink" Target="https://www.tiktok.com/@dewiisapitrii" TargetMode="External"/><Relationship Id="rId2509" Type="http://schemas.openxmlformats.org/officeDocument/2006/relationships/hyperlink" Target="https://vt.tiktok.com/ZSHabukgW/" TargetMode="External"/><Relationship Id="rId3839" Type="http://schemas.openxmlformats.org/officeDocument/2006/relationships/hyperlink" Target="https://www.tiktok.com/@umashanum" TargetMode="External"/><Relationship Id="rId10097" Type="http://schemas.openxmlformats.org/officeDocument/2006/relationships/hyperlink" Target="https://www.tiktok.com/@myy.mine0" TargetMode="External"/><Relationship Id="rId10098" Type="http://schemas.openxmlformats.org/officeDocument/2006/relationships/hyperlink" Target="https://www.tiktok.com/@melici169" TargetMode="External"/><Relationship Id="rId10095" Type="http://schemas.openxmlformats.org/officeDocument/2006/relationships/hyperlink" Target="https://www.tiktok.com/@ovy.25" TargetMode="External"/><Relationship Id="rId10096" Type="http://schemas.openxmlformats.org/officeDocument/2006/relationships/hyperlink" Target="https://www.tiktok.com/@dedewkania" TargetMode="External"/><Relationship Id="rId3830" Type="http://schemas.openxmlformats.org/officeDocument/2006/relationships/hyperlink" Target="https://vt.tiktok.com/ZSxkukBya/" TargetMode="External"/><Relationship Id="rId10099" Type="http://schemas.openxmlformats.org/officeDocument/2006/relationships/hyperlink" Target="https://www.tiktok.com/@elior_1803" TargetMode="External"/><Relationship Id="rId3821" Type="http://schemas.openxmlformats.org/officeDocument/2006/relationships/hyperlink" Target="https://www.tiktok.com/@zilasamudra" TargetMode="External"/><Relationship Id="rId3820" Type="http://schemas.openxmlformats.org/officeDocument/2006/relationships/hyperlink" Target="https://www.tiktok.com/@zilasamudra/video/7634473073420438803" TargetMode="External"/><Relationship Id="rId3823" Type="http://schemas.openxmlformats.org/officeDocument/2006/relationships/hyperlink" Target="https://www.tiktok.com/@zilasamudra/video/7635225457511697685" TargetMode="External"/><Relationship Id="rId3822" Type="http://schemas.openxmlformats.org/officeDocument/2006/relationships/hyperlink" Target="https://www.tiktok.com/@zilasamudra/video/7635872993041861908" TargetMode="External"/><Relationship Id="rId3825" Type="http://schemas.openxmlformats.org/officeDocument/2006/relationships/hyperlink" Target="https://www.tiktok.com/@zilasamudra/video/7634473073420438804" TargetMode="External"/><Relationship Id="rId3824" Type="http://schemas.openxmlformats.org/officeDocument/2006/relationships/hyperlink" Target="https://www.tiktok.com/@zilasamudra/video/7634895870240132373" TargetMode="External"/><Relationship Id="rId3827" Type="http://schemas.openxmlformats.org/officeDocument/2006/relationships/hyperlink" Target="https://vt.tiktok.com/ZS9KLQHtf/" TargetMode="External"/><Relationship Id="rId3826" Type="http://schemas.openxmlformats.org/officeDocument/2006/relationships/hyperlink" Target="https://www.tiktok.com/@ferenaceta" TargetMode="External"/><Relationship Id="rId3829" Type="http://schemas.openxmlformats.org/officeDocument/2006/relationships/hyperlink" Target="https://www.tiktok.com/@indribilal25" TargetMode="External"/><Relationship Id="rId3828" Type="http://schemas.openxmlformats.org/officeDocument/2006/relationships/hyperlink" Target="https://vt.tiktok.com/ZSxho7gou/" TargetMode="External"/><Relationship Id="rId6094" Type="http://schemas.openxmlformats.org/officeDocument/2006/relationships/hyperlink" Target="https://vt.tiktok.com/ZS9UBXmyR/" TargetMode="External"/><Relationship Id="rId6095" Type="http://schemas.openxmlformats.org/officeDocument/2006/relationships/hyperlink" Target="https://vt.tiktok.com/ZS95VpC57/" TargetMode="External"/><Relationship Id="rId6092" Type="http://schemas.openxmlformats.org/officeDocument/2006/relationships/hyperlink" Target="https://vt.tiktok.com/ZSxubnWSw/" TargetMode="External"/><Relationship Id="rId6093" Type="http://schemas.openxmlformats.org/officeDocument/2006/relationships/hyperlink" Target="https://www.tiktok.com/@bylutvii" TargetMode="External"/><Relationship Id="rId6098" Type="http://schemas.openxmlformats.org/officeDocument/2006/relationships/hyperlink" Target="https://www.tiktok.com/@sayawulan18" TargetMode="External"/><Relationship Id="rId6099" Type="http://schemas.openxmlformats.org/officeDocument/2006/relationships/hyperlink" Target="https://vt.tiktok.com/ZSxGjGuAr/" TargetMode="External"/><Relationship Id="rId6096" Type="http://schemas.openxmlformats.org/officeDocument/2006/relationships/hyperlink" Target="https://vt.tiktok.com/ZSxGjqPfn/" TargetMode="External"/><Relationship Id="rId6097" Type="http://schemas.openxmlformats.org/officeDocument/2006/relationships/hyperlink" Target="https://vt.tiktok.com/ZSxGj7WTh/" TargetMode="External"/><Relationship Id="rId2522" Type="http://schemas.openxmlformats.org/officeDocument/2006/relationships/hyperlink" Target="https://www.tiktok.com/@bidanhenny01/video/7623235004851604756?_r=1&amp;u_code=e0agm7bf28f085&amp;region=&amp;mid=7571860912149415952&amp;preview_pb=0&amp;sharer_language=&amp;_d=0&amp;ec_shared_reflux_dynamic_params=%7B%22placeholder_material_id%22%3A%227623235004851604756%22%2C%22placeholder_origin_cover%22%3A%22https%253A%252F%252Fp16-sign-sg.tiktokcdn.com%252Ftos-alisg-p-0037%252FowGtEBAF3Qvt2RBgmfEyYuQy5SVbDfZBc8tpuW~tplv-tiktokx-origin.jpeg%253Fdr%253D14572%2526refresh_token%253D23c91ca5%2526x-expires%253D1807070400%2526x-signature%253DzmzUw9rsnKBpdCLRIe56GpsIxDY%25253D%2526t%253D4d5b0474%2526ps%253D13740610%2526shp%253Dd05b14bd%2526shcp%253D34ff8df6%2526idc%253Dmy2%2526s%253DTIKTOK_AFFILIATE_VIRAL_VIDEO%22%2C%22placeholder_product_id%22%3A%221729427766722726591%22%2C%22placeholder_video_id%22%3A%227623235004851604756%22%7D&amp;ec_shared_reflux_scene=shop_tab_feed&amp;share_item_id=7623235004851604756&amp;source=h5_t" TargetMode="External"/><Relationship Id="rId3854" Type="http://schemas.openxmlformats.org/officeDocument/2006/relationships/hyperlink" Target="https://www.tiktok.com/@thya_pookie" TargetMode="External"/><Relationship Id="rId2523" Type="http://schemas.openxmlformats.org/officeDocument/2006/relationships/hyperlink" Target="https://www.tiktok.com/@tiara__125" TargetMode="External"/><Relationship Id="rId3853" Type="http://schemas.openxmlformats.org/officeDocument/2006/relationships/hyperlink" Target="https://vt.tiktok.com/ZSxkN8KjX/" TargetMode="External"/><Relationship Id="rId2524" Type="http://schemas.openxmlformats.org/officeDocument/2006/relationships/hyperlink" Target="https://www.tiktok.com/@tiara__125/video/7623732591304264968?is_from_webapp=1&amp;sender_device=pc" TargetMode="External"/><Relationship Id="rId3856" Type="http://schemas.openxmlformats.org/officeDocument/2006/relationships/hyperlink" Target="https://vt.tiktok.com/ZSxSCtWUX/" TargetMode="External"/><Relationship Id="rId2525" Type="http://schemas.openxmlformats.org/officeDocument/2006/relationships/hyperlink" Target="https://www.tiktok.com/@tiara__125/video/7623732591304264968?is_from_webapp=1&amp;sender_device=pc" TargetMode="External"/><Relationship Id="rId3855" Type="http://schemas.openxmlformats.org/officeDocument/2006/relationships/hyperlink" Target="https://vt.tiktok.com/ZSQRjEsEf/" TargetMode="External"/><Relationship Id="rId2526" Type="http://schemas.openxmlformats.org/officeDocument/2006/relationships/hyperlink" Target="https://www.tiktok.com/@nolisnurjanah21/video/7636462100877004052?_r=1&amp;u_code=e85madfeelij2j&amp;region=&amp;mid=7583521148786739976&amp;preview_pb=0&amp;sharer_language=&amp;_d=0&amp;ec_shared_reflux_dynamic_params=%7B%22placeholder_material_id%22%3A%227636462100877004052%22%2C%22placeholder_origin_cover%22%3A%22https%253A%252F%252Fp16-common-sign.tiktokcdn.com%252Ftos-alisg-p-0037%252FoEN9M8cpIQl4QdKw1ETAWCf6QUjFAzeKfDzcu2~tplv-tiktokx-origin.jpeg%253Fdr%253D14572%2526refresh_token%253D27f3559e%2526x-expires%253D1810119600%2526x-signature%253DZ2M5j9BV2FYOdyVtCN2wm7yg9YE%25253D%2526t%253D4d5b0474%2526ps%253D13740610%2526shp%253Dd05b14bd%2526shcp%253D34ff8df6%2526idc%253Dmy2%2526s%253DTIKTOK_AFFILIATE_VIRAL_VIDEO%22%2C%22placeholder_product_id%22%3A%221729729730555512511%22%2C%22placeholder_video_id%22%3A%227636462100877004052%22%7D&amp;ec_shared_reflux_scene=shop_tab_feed&amp;share_item_id=7636462100877004052&amp;source=h5_t" TargetMode="External"/><Relationship Id="rId3858" Type="http://schemas.openxmlformats.org/officeDocument/2006/relationships/hyperlink" Target="https://vt.tiktok.com/ZSxSCG9yJ/" TargetMode="External"/><Relationship Id="rId10082" Type="http://schemas.openxmlformats.org/officeDocument/2006/relationships/hyperlink" Target="https://www.tiktok.com/@netavrnkaa" TargetMode="External"/><Relationship Id="rId2527" Type="http://schemas.openxmlformats.org/officeDocument/2006/relationships/hyperlink" Target="https://www.tiktok.com/@nolisnurjanah21/video/7636461806432636180?_r=1&amp;u_code=e85madfeelij2j&amp;region=&amp;mid=7481243474944837633&amp;preview_pb=0&amp;sharer_language=&amp;_d=0&amp;ec_shared_reflux_dynamic_params=%7B%22placeholder_material_id%22%3A%227636461806432636180%22%2C%22placeholder_origin_cover%22%3A%22https%253A%252F%252Fp16-common-sign.tiktokcdn.com%252Ftos-alisg-p-0037%252FoMIBmXIA4lAFoEiKbsjZeefDrkDxDC4IPBZTZ6~tplv-tiktokx-origin.jpeg%253Fdr%253D14572%2526refresh_token%253D6b41aee9%2526x-expires%253D1810119600%2526x-signature%253D%25252BliH9RbTTCytMXUhlplanjEeZII%25253D%2526t%253D4d5b0474%2526ps%253D13740610%2526shp%253Dd05b14bd%2526shcp%253D34ff8df6%2526idc%253Dmy2%2526s%253DTIKTOK_AFFILIATE_VIRAL_VIDEO%22%2C%22placeholder_product_id%22%3A%221729729730555512511%22%2C%22placeholder_video_id%22%3A%227636461806432636180%22%7D&amp;ec_shared_reflux_scene=shop_tab_feed&amp;share_item_id=7636461806432636180&amp;source=h5_t" TargetMode="External"/><Relationship Id="rId3857" Type="http://schemas.openxmlformats.org/officeDocument/2006/relationships/hyperlink" Target="https://vt.tiktok.com/ZSxSCpgRV/" TargetMode="External"/><Relationship Id="rId10083" Type="http://schemas.openxmlformats.org/officeDocument/2006/relationships/hyperlink" Target="https://www.tiktok.com/@halloww.an" TargetMode="External"/><Relationship Id="rId2528" Type="http://schemas.openxmlformats.org/officeDocument/2006/relationships/hyperlink" Target="https://www.tiktok.com/@dst.amel" TargetMode="External"/><Relationship Id="rId10080" Type="http://schemas.openxmlformats.org/officeDocument/2006/relationships/hyperlink" Target="https://www.tiktok.com/@ledysiahaan_" TargetMode="External"/><Relationship Id="rId2529" Type="http://schemas.openxmlformats.org/officeDocument/2006/relationships/hyperlink" Target="https://www.tiktok.com/@dst.amel/video/7624849876571917575?is_from_webapp=1&amp;sender_device=pc" TargetMode="External"/><Relationship Id="rId3859" Type="http://schemas.openxmlformats.org/officeDocument/2006/relationships/hyperlink" Target="https://www.tiktok.com/@nyainurhayati07" TargetMode="External"/><Relationship Id="rId10081" Type="http://schemas.openxmlformats.org/officeDocument/2006/relationships/hyperlink" Target="https://www.tiktok.com/@w4cyourr" TargetMode="External"/><Relationship Id="rId10075" Type="http://schemas.openxmlformats.org/officeDocument/2006/relationships/hyperlink" Target="https://www.tiktok.com/@ziaziii07" TargetMode="External"/><Relationship Id="rId10076" Type="http://schemas.openxmlformats.org/officeDocument/2006/relationships/hyperlink" Target="https://www.tiktok.com/@mita_skinhaircare" TargetMode="External"/><Relationship Id="rId10073" Type="http://schemas.openxmlformats.org/officeDocument/2006/relationships/hyperlink" Target="https://www.tiktok.com/@zyxbibu_" TargetMode="External"/><Relationship Id="rId10074" Type="http://schemas.openxmlformats.org/officeDocument/2006/relationships/hyperlink" Target="https://www.tiktok.com/@skinnuraa" TargetMode="External"/><Relationship Id="rId3850" Type="http://schemas.openxmlformats.org/officeDocument/2006/relationships/hyperlink" Target="https://vt.tiktok.com/ZS9D7hJLh/" TargetMode="External"/><Relationship Id="rId10079" Type="http://schemas.openxmlformats.org/officeDocument/2006/relationships/hyperlink" Target="https://www.tiktok.com/@eriyna02" TargetMode="External"/><Relationship Id="rId2520" Type="http://schemas.openxmlformats.org/officeDocument/2006/relationships/hyperlink" Target="https://www.tiktok.com/@bidanhenny01/video/7621736770736098580?_r=1&amp;u_code=e0agm7bf28f085&amp;region=&amp;mid=7571860912149415952&amp;preview_pb=0&amp;sharer_language=&amp;_d=0&amp;ec_shared_reflux_dynamic_params=%7B%22placeholder_material_id%22%3A%227621736770736098580%22%2C%22placeholder_origin_cover%22%3A%22https%253A%252F%252Fp16-sign-sg.tiktokcdn.com%252Ftos-alisg-p-0037%252FoAFkp5tpxAfRBwcBE7VdORsBcvLfQAsXEHIgQD~tplv-tiktokx-origin.jpeg%253Fdr%253D14572%2526refresh_token%253Db02c7da5%2526x-expires%253D1807070400%2526x-signature%253D%25252B1qygsAzWl8%25252BaKR35QREpc6pWJA%25253D%2526t%253D4d5b0474%2526ps%253D13740610%2526shp%253Dd05b14bd%2526shcp%253D34ff8df6%2526idc%253Dmy2%2526s%253DTIKTOK_AFFILIATE_VIRAL_VIDEO%22%2C%22placeholder_product_id%22%3A%221729427766722726591%22%2C%22placeholder_video_id%22%3A%227621736770736098580%22%7D&amp;ec_shared_reflux_scene=shop_tab_feed&amp;share_item_id=7621736770736098580&amp;source=h5_t" TargetMode="External"/><Relationship Id="rId3852" Type="http://schemas.openxmlformats.org/officeDocument/2006/relationships/hyperlink" Target="https://vt.tiktok.com/ZSxkN2Udn/" TargetMode="External"/><Relationship Id="rId10077" Type="http://schemas.openxmlformats.org/officeDocument/2006/relationships/hyperlink" Target="https://www.tiktok.com/@miftakhulk23" TargetMode="External"/><Relationship Id="rId2521" Type="http://schemas.openxmlformats.org/officeDocument/2006/relationships/hyperlink" Target="https://www.tiktok.com/@bidanhenny01/video/7622548575842585876?_r=1&amp;u_code=e0agm7bf28f085&amp;region=&amp;mid=7571860912149415952&amp;preview_pb=0&amp;sharer_language=&amp;_d=0&amp;ec_shared_reflux_dynamic_params=%7B%22placeholder_material_id%22%3A%227622548575842585876%22%2C%22placeholder_origin_cover%22%3A%22https%253A%252F%252Fp16-common-sign.tiktokcdn.com%252Ftos-alisg-p-0037%252FoEuheFzEEInIgFyjLIftS16ARByJpDUkBAO6Bh~tplv-tiktokx-origin.jpeg%253Fdr%253D14572%2526refresh_token%253D69d00e97%2526x-expires%253D1807070400%2526x-signature%253DiskNGet%25252FmW6iV6BdU7TNTUEcGnw%25253D%2526t%253D4d5b0474%2526ps%253D13740610%2526shp%253Dd05b14bd%2526shcp%253D34ff8df6%2526idc%253Dmy2%2526s%253DTIKTOK_AFFILIATE_VIRAL_VIDEO%22%2C%22placeholder_product_id%22%3A%221729427766722726591%22%2C%22placeholder_video_id%22%3A%227622548575842585876%22%7D&amp;ec_shared_reflux_scene=shop_tab_feed&amp;share_item_id=7622548575842585876&amp;source=h5_t" TargetMode="External"/><Relationship Id="rId3851" Type="http://schemas.openxmlformats.org/officeDocument/2006/relationships/hyperlink" Target="https://vt.tiktok.com/ZSxSCbAoc/" TargetMode="External"/><Relationship Id="rId10078" Type="http://schemas.openxmlformats.org/officeDocument/2006/relationships/hyperlink" Target="https://www.tiktok.com/@cicidoremi81" TargetMode="External"/><Relationship Id="rId2511" Type="http://schemas.openxmlformats.org/officeDocument/2006/relationships/hyperlink" Target="https://www.tiktok.com/@nolisnurjanah21/video/7634340356942794004?_r=1&amp;u_code=e85madfeelij2j&amp;region=&amp;mid=7604121927885359105&amp;preview_pb=0&amp;sharer_language=&amp;_d=0&amp;ec_shared_reflux_dynamic_params=%7B%22placeholder_material_id%22%3A%227634340356942794004%22%2C%22placeholder_origin_cover%22%3A%22https%253A%252F%252Fp16-common-sign.tiktokcdn.com%252Ftos-alisg-p-0037%252FosLDfCDZF5Y85oy4KjPvACeIE0WII4BfATTkZE~tplv-tiktokx-origin.jpeg%253Fdr%253D14572%2526refresh_token%253D4e547af6%2526x-expires%253D1810119600%2526x-signature%253DYCs6yN9%25252Bt0Yk495JUDzjDFAGvUs%25253D%2526t%253D4d5b0474%2526ps%253D13740610%2526shp%253Dd05b14bd%2526shcp%253D34ff8df6%2526idc%253Dmy2%2526s%253DTIKTOK_AFFILIATE_VIRAL_VIDEO%22%2C%22placeholder_product_id%22%3A%221729729730555512511%22%2C%22placeholder_video_id%22%3A%227634340356942794004%22%7D&amp;ec_shared_reflux_scene=shop_tab_feed&amp;share_item_id=7634340356942794004&amp;source=h5_t" TargetMode="External"/><Relationship Id="rId3843" Type="http://schemas.openxmlformats.org/officeDocument/2006/relationships/hyperlink" Target="https://vt.tiktok.com/ZSxkNrqX8/" TargetMode="External"/><Relationship Id="rId2512" Type="http://schemas.openxmlformats.org/officeDocument/2006/relationships/hyperlink" Target="https://www.tiktok.com/@nolisnurjanah21/video/7634339984572452116?_r=1&amp;u_code=e85madfeelij2j&amp;region=&amp;mid=7494977787456112656&amp;preview_pb=0&amp;sharer_language=&amp;_d=0&amp;ec_shared_reflux_dynamic_params=%7B%22placeholder_material_id%22%3A%227634339984572452116%22%2C%22placeholder_origin_cover%22%3A%22https%253A%252F%252Fp16-common-sign.tiktokcdn.com%252Ftos-alisg-p-0037%252FoEACyFeUe5L8DnkajfXCT7IsA4EXDzTIsTycIs~tplv-tiktokx-origin.jpeg%253Fdr%253D14572%2526refresh_token%253Dff172c7e%2526x-expires%253D1810119600%2526x-signature%253DEgl%25252Frrm5lAz8XMfcKP6HyYCifsY%25253D%2526t%253D4d5b0474%2526ps%253D13740610%2526shp%253Dd05b14bd%2526shcp%253D34ff8df6%2526idc%253Dmy2%2526s%253DTIKTOK_AFFILIATE_VIRAL_VIDEO%22%2C%22placeholder_product_id%22%3A%221729729730555512511%22%2C%22placeholder_video_id%22%3A%227634339984572452116%22%7D&amp;ec_shared_reflux_scene=shop_tab_feed&amp;share_item_id=7634339984572452116&amp;source=h5_t" TargetMode="External"/><Relationship Id="rId3842" Type="http://schemas.openxmlformats.org/officeDocument/2006/relationships/hyperlink" Target="https://vt.tiktok.com/ZSxkNeKhv/" TargetMode="External"/><Relationship Id="rId10090" Type="http://schemas.openxmlformats.org/officeDocument/2006/relationships/hyperlink" Target="https://www.tiktok.com/@racuncantik_byna" TargetMode="External"/><Relationship Id="rId2513" Type="http://schemas.openxmlformats.org/officeDocument/2006/relationships/hyperlink" Target="https://www.tiktok.com/@iniiisiintaa" TargetMode="External"/><Relationship Id="rId3845" Type="http://schemas.openxmlformats.org/officeDocument/2006/relationships/hyperlink" Target="https://vt.tiktok.com/ZS9D7Xo49/" TargetMode="External"/><Relationship Id="rId2514" Type="http://schemas.openxmlformats.org/officeDocument/2006/relationships/hyperlink" Target="https://vt.tiktok.com/ZSuTCFuSo/" TargetMode="External"/><Relationship Id="rId3844" Type="http://schemas.openxmlformats.org/officeDocument/2006/relationships/hyperlink" Target="https://www.tiktok.com/@tika_dewi027" TargetMode="External"/><Relationship Id="rId2515" Type="http://schemas.openxmlformats.org/officeDocument/2006/relationships/hyperlink" Target="https://vt.tiktok.com/ZSuTTG6fF/" TargetMode="External"/><Relationship Id="rId3847" Type="http://schemas.openxmlformats.org/officeDocument/2006/relationships/hyperlink" Target="https://vt.tiktok.com/ZSxkLonmn/" TargetMode="External"/><Relationship Id="rId10093" Type="http://schemas.openxmlformats.org/officeDocument/2006/relationships/hyperlink" Target="https://www.tiktok.com/@dhaisbp" TargetMode="External"/><Relationship Id="rId2516" Type="http://schemas.openxmlformats.org/officeDocument/2006/relationships/hyperlink" Target="https://vt.tiktok.com/ZSuTw2xVX/" TargetMode="External"/><Relationship Id="rId3846" Type="http://schemas.openxmlformats.org/officeDocument/2006/relationships/hyperlink" Target="https://vt.tiktok.com/ZSxkNU6e5/" TargetMode="External"/><Relationship Id="rId10094" Type="http://schemas.openxmlformats.org/officeDocument/2006/relationships/hyperlink" Target="https://www.tiktok.com/@tyamelan" TargetMode="External"/><Relationship Id="rId2517" Type="http://schemas.openxmlformats.org/officeDocument/2006/relationships/hyperlink" Target="https://vt.tiktok.com/ZSHoy7bjo/" TargetMode="External"/><Relationship Id="rId3849" Type="http://schemas.openxmlformats.org/officeDocument/2006/relationships/hyperlink" Target="https://www.tiktok.com/@Jenny.marcmakeup" TargetMode="External"/><Relationship Id="rId10091" Type="http://schemas.openxmlformats.org/officeDocument/2006/relationships/hyperlink" Target="https://www.tiktok.com/@meisha0260" TargetMode="External"/><Relationship Id="rId2518" Type="http://schemas.openxmlformats.org/officeDocument/2006/relationships/hyperlink" Target="https://www.tiktok.com/@bidanhenny01" TargetMode="External"/><Relationship Id="rId3848" Type="http://schemas.openxmlformats.org/officeDocument/2006/relationships/hyperlink" Target="https://vt.tiktok.com/ZSxkNYhNw/" TargetMode="External"/><Relationship Id="rId10092" Type="http://schemas.openxmlformats.org/officeDocument/2006/relationships/hyperlink" Target="https://www.tiktok.com/@asart_1" TargetMode="External"/><Relationship Id="rId2519" Type="http://schemas.openxmlformats.org/officeDocument/2006/relationships/hyperlink" Target="https://www.tiktok.com/@bidanhenny01/video/7621450578513743125?_r=1&amp;u_code=e0agm7bf28f085&amp;region=&amp;mid=7413639309809780753&amp;preview_pb=0&amp;sharer_language=&amp;_d=0&amp;ec_shared_reflux_dynamic_params=%7B%22placeholder_material_id%22%3A%227621450578513743125%22%2C%22placeholder_origin_cover%22%3A%22https%253A%252F%252Fp16-sign-sg.tiktokcdn.com%252Ftos-alisg-p-0037%252FoIebbkecaT64gAIvU8uLNIeGCo9EigjTkZ4ADD~tplv-tiktokx-origin.jpeg%253Fdr%253D14572%2526refresh_token%253D979639fb%2526x-expires%253D1806051600%2526x-signature%253DTvwy7XZtYXlkwGlGPYOS23R33iI%25253D%2526t%253D4d5b0474%2526ps%253D13740610%2526shp%253Dd05b14bd%2526shcp%253D34ff8df6%2526idc%253Dmy2%2526s%253DTIKTOK_AFFILIATE_VIRAL_VIDEO%22%2C%22placeholder_product_id%22%3A%221729427766722726591%22%2C%22placeholder_video_id%22%3A%227621450578513743125%22%7D&amp;ec_shared_reflux_scene=shop_tab_feed&amp;share_item_id=7621450578513743125&amp;source=h5_t" TargetMode="External"/><Relationship Id="rId10086" Type="http://schemas.openxmlformats.org/officeDocument/2006/relationships/hyperlink" Target="https://www.tiktok.com/@dullanwar96" TargetMode="External"/><Relationship Id="rId10087" Type="http://schemas.openxmlformats.org/officeDocument/2006/relationships/hyperlink" Target="https://www.tiktok.com/@putreenpermana" TargetMode="External"/><Relationship Id="rId10084" Type="http://schemas.openxmlformats.org/officeDocument/2006/relationships/hyperlink" Target="https://www.tiktok.com/@hlmliajyptri" TargetMode="External"/><Relationship Id="rId10085" Type="http://schemas.openxmlformats.org/officeDocument/2006/relationships/hyperlink" Target="https://www.tiktok.com/@ririnarin07" TargetMode="External"/><Relationship Id="rId3841" Type="http://schemas.openxmlformats.org/officeDocument/2006/relationships/hyperlink" Target="https://vt.tiktok.com/ZSxkNJqWj/" TargetMode="External"/><Relationship Id="rId10088" Type="http://schemas.openxmlformats.org/officeDocument/2006/relationships/hyperlink" Target="https://www.tiktok.com/@haniaaaaa__" TargetMode="External"/><Relationship Id="rId2510" Type="http://schemas.openxmlformats.org/officeDocument/2006/relationships/hyperlink" Target="https://www.tiktok.com/@nolisnurjanah21/video/7634340622500924692?_r=1&amp;u_code=e85madfeelij2j&amp;region=&amp;mid=7625554015099849493&amp;preview_pb=0&amp;sharer_language=&amp;_d=0&amp;ec_shared_reflux_dynamic_params=%7B%22placeholder_material_id%22%3A%227634340622500924692%22%2C%22placeholder_origin_cover%22%3A%22https%253A%252F%252Fp16-common-sign.tiktokcdn.com%252Ftos-alisg-p-0037%252FoEGIfeUyKACjGrhIBPHIATC4oD5LIS1pTtBeuP~tplv-tiktokx-origin.jpeg%253Fdr%253D14572%2526refresh_token%253D2493a640%2526x-expires%253D1810119600%2526x-signature%253DRyA2Sw4UxlOEBkc6zeWX%25252F0MbKg8%25253D%2526t%253D4d5b0474%2526ps%253D13740610%2526shp%253Dd05b14bd%2526shcp%253D34ff8df6%2526idc%253Dmy2%2526s%253DTIKTOK_AFFILIATE_VIRAL_VIDEO%22%2C%22placeholder_product_id%22%3A%221729729730555512511%22%2C%22placeholder_video_id%22%3A%227634340622500924692%22%7D&amp;ec_shared_reflux_scene=shop_tab_feed&amp;share_item_id=7634340622500924692&amp;source=h5_t" TargetMode="External"/><Relationship Id="rId3840" Type="http://schemas.openxmlformats.org/officeDocument/2006/relationships/hyperlink" Target="https://vt.tiktok.com/ZSHmmnupU/" TargetMode="External"/><Relationship Id="rId10089" Type="http://schemas.openxmlformats.org/officeDocument/2006/relationships/hyperlink" Target="https://www.tiktok.com/@tp.nm25" TargetMode="External"/><Relationship Id="rId1290" Type="http://schemas.openxmlformats.org/officeDocument/2006/relationships/hyperlink" Target="https://vt.tiktok.com/ZSHHjyKmr/" TargetMode="External"/><Relationship Id="rId1291" Type="http://schemas.openxmlformats.org/officeDocument/2006/relationships/hyperlink" Target="https://www.tiktok.com/@yofita.a.n" TargetMode="External"/><Relationship Id="rId1292" Type="http://schemas.openxmlformats.org/officeDocument/2006/relationships/hyperlink" Target="https://www.tiktok.com/@yofita.a.n/video/7628203698346413319?is_from_webapp=1&amp;sender_device=pc&amp;web_id=7611916109072221716" TargetMode="External"/><Relationship Id="rId1293" Type="http://schemas.openxmlformats.org/officeDocument/2006/relationships/hyperlink" Target="https://www.tiktok.com/@zafarabeauty/video/7625825086108486919?is_from_webapp=1&amp;sender_device=pc&amp;web_id=7611930277489657360" TargetMode="External"/><Relationship Id="rId1294" Type="http://schemas.openxmlformats.org/officeDocument/2006/relationships/hyperlink" Target="https://www.tiktok.com/@zafarabeauty/video/7625936162636483847?is_from_webapp=1&amp;sender_device=pc&amp;web_id=7611930277489657360" TargetMode="External"/><Relationship Id="rId1295" Type="http://schemas.openxmlformats.org/officeDocument/2006/relationships/hyperlink" Target="https://www.tiktok.com/@zafarabeauty/video/7626306223192788242?is_from_webapp=1&amp;sender_device=pc&amp;web_id=7611930277489657360" TargetMode="External"/><Relationship Id="rId1296" Type="http://schemas.openxmlformats.org/officeDocument/2006/relationships/hyperlink" Target="https://www.tiktok.com/@hai.epple" TargetMode="External"/><Relationship Id="rId1297" Type="http://schemas.openxmlformats.org/officeDocument/2006/relationships/hyperlink" Target="https://vt.tiktok.com/ZSH5eaNba/" TargetMode="External"/><Relationship Id="rId1298" Type="http://schemas.openxmlformats.org/officeDocument/2006/relationships/hyperlink" Target="https://vt.tiktok.com/ZSH5dUJ1f/" TargetMode="External"/><Relationship Id="rId1299" Type="http://schemas.openxmlformats.org/officeDocument/2006/relationships/hyperlink" Target="https://www.tiktok.com/@gegesyaww" TargetMode="External"/><Relationship Id="rId1280" Type="http://schemas.openxmlformats.org/officeDocument/2006/relationships/hyperlink" Target="https://www.tiktok.com/@myname_hana/video/7623374396954070292?is_from_webapp=1&amp;sender_device=pc&amp;web_id=7611930277489657360" TargetMode="External"/><Relationship Id="rId1281" Type="http://schemas.openxmlformats.org/officeDocument/2006/relationships/hyperlink" Target="https://www.tiktok.com/@ayub.indra" TargetMode="External"/><Relationship Id="rId1282" Type="http://schemas.openxmlformats.org/officeDocument/2006/relationships/hyperlink" Target="https://www.tiktok.com/@kainam.skincare" TargetMode="External"/><Relationship Id="rId1283" Type="http://schemas.openxmlformats.org/officeDocument/2006/relationships/hyperlink" Target="https://vt.tiktok.com/ZSHFafUv4/" TargetMode="External"/><Relationship Id="rId1284" Type="http://schemas.openxmlformats.org/officeDocument/2006/relationships/hyperlink" Target="https://vt.tiktok.com/ZSHPJePs6/" TargetMode="External"/><Relationship Id="rId1285" Type="http://schemas.openxmlformats.org/officeDocument/2006/relationships/hyperlink" Target="https://vt.tiktok.com/ZSHpgt3ks/" TargetMode="External"/><Relationship Id="rId1286" Type="http://schemas.openxmlformats.org/officeDocument/2006/relationships/hyperlink" Target="https://vt.tiktok.com/ZS9yt8xNB/" TargetMode="External"/><Relationship Id="rId1287" Type="http://schemas.openxmlformats.org/officeDocument/2006/relationships/hyperlink" Target="https://www.tiktok.com/@zulfabeautycare_bwi" TargetMode="External"/><Relationship Id="rId1288" Type="http://schemas.openxmlformats.org/officeDocument/2006/relationships/hyperlink" Target="https://vt.tiktok.com/ZSHHjyfEE/" TargetMode="External"/><Relationship Id="rId1289" Type="http://schemas.openxmlformats.org/officeDocument/2006/relationships/hyperlink" Target="https://vt.tiktok.com/ZSHHjUNT3/" TargetMode="External"/><Relationship Id="rId8707" Type="http://schemas.openxmlformats.org/officeDocument/2006/relationships/hyperlink" Target="https://vt.tiktok.com/ZS959tdWy/" TargetMode="External"/><Relationship Id="rId8706" Type="http://schemas.openxmlformats.org/officeDocument/2006/relationships/hyperlink" Target="https://vt.tiktok.com/ZS9DPPrEn/" TargetMode="External"/><Relationship Id="rId8705" Type="http://schemas.openxmlformats.org/officeDocument/2006/relationships/hyperlink" Target="https://vt.tiktok.com/ZS9DP9gUq/" TargetMode="External"/><Relationship Id="rId8704" Type="http://schemas.openxmlformats.org/officeDocument/2006/relationships/hyperlink" Target="https://vt.tiktok.com/ZS9DP2wff/" TargetMode="External"/><Relationship Id="rId8709" Type="http://schemas.openxmlformats.org/officeDocument/2006/relationships/hyperlink" Target="https://vt.tiktok.com/ZS9DPUo5R/" TargetMode="External"/><Relationship Id="rId8708" Type="http://schemas.openxmlformats.org/officeDocument/2006/relationships/hyperlink" Target="https://www.tiktok.com/@deasyfr_ww" TargetMode="External"/><Relationship Id="rId8703" Type="http://schemas.openxmlformats.org/officeDocument/2006/relationships/hyperlink" Target="https://www.tiktok.com/@naura_syifa3" TargetMode="External"/><Relationship Id="rId8702" Type="http://schemas.openxmlformats.org/officeDocument/2006/relationships/hyperlink" Target="https://vt.tiktok.com/ZS9DPmU5N/" TargetMode="External"/><Relationship Id="rId8701" Type="http://schemas.openxmlformats.org/officeDocument/2006/relationships/hyperlink" Target="https://vt.tiktok.com/ZS9DP67g8/" TargetMode="External"/><Relationship Id="rId8700" Type="http://schemas.openxmlformats.org/officeDocument/2006/relationships/hyperlink" Target="https://vt.tiktok.com/ZS9DPDvFU/" TargetMode="External"/><Relationship Id="rId1257" Type="http://schemas.openxmlformats.org/officeDocument/2006/relationships/hyperlink" Target="https://www.tiktok.com/@racun.aprillia" TargetMode="External"/><Relationship Id="rId2588" Type="http://schemas.openxmlformats.org/officeDocument/2006/relationships/hyperlink" Target="https://www.tiktok.com/@outfitce_/video/7623991463914835221?_r=1&amp;u_code=e0898kg4gbb4c7&amp;region=&amp;mid=7608156113497983765&amp;preview_pb=0&amp;sharer_language=&amp;_d=0&amp;ec_shared_reflux_dynamic_params=%7B%22placeholder_material_id%22%3A%227623991463914835221%22%2C%22placeholder_origin_cover%22%3A%22https%253A%252F%252Fp16-common-sign.tiktokcdn.com%252Ftos-alisg-p-0037%252FoMISLMegc4X2GeR8RA23hQn5bMGeNAeKQgWFHr~tplv-tiktokx-origin.jpeg%253Fdr%253D14572%2526refresh_token%253D6d2a3c2a%2526x-expires%253D1808474400%2526x-signature%253DQHbz2MBWPwobEFX5g8SamQkqyYs%25253D%2526t%253D4d5b0474%2526ps%253D13740610%2526shp%253Dd05b14bd%2526shcp%253D34ff8df6%2526idc%253Dmy3%2526s%253DTIKTOK_AFFILIATE_VIRAL_VIDEO%22%2C%22placeholder_product_id%22%3A%221729427766722726591%22%2C%22placeholder_video_id%22%3A%227623991463914835221%22%7D&amp;ec_shared_reflux_scene=shop_tab_feed&amp;share_item_id=7623991463914835221&amp;source=h5_t" TargetMode="External"/><Relationship Id="rId1258" Type="http://schemas.openxmlformats.org/officeDocument/2006/relationships/hyperlink" Target="https://vt.tiktok.com/ZSHy3jhbj/" TargetMode="External"/><Relationship Id="rId2589" Type="http://schemas.openxmlformats.org/officeDocument/2006/relationships/hyperlink" Target="https://www.tiktok.com/@outfitce_/video/7624022829977062676?_r=1&amp;u_code=e0898kg4gbb4c7&amp;region=&amp;mid=7559536816974580497&amp;preview_pb=0&amp;sharer_language=&amp;_d=0&amp;ec_shared_reflux_dynamic_params=%7B%22placeholder_material_id%22%3A%227624022829977062676%22%2C%22placeholder_origin_cover%22%3A%22https%253A%252F%252Fp16-common-sign.tiktokcdn.com%252Ftos-alisg-p-0037%252FogEJQoPffG6Q3gIjTemT0EFhmGoDqGADAY3xbC~tplv-tiktokx-origin.jpeg%253Fdr%253D14572%2526refresh_token%253D1467c457%2526x-expires%253D1808474400%2526x-signature%253DDtDTFnjN5KiqjY7unuNmgSMmH94%25253D%2526t%253D4d5b0474%2526ps%253D13740610%2526shp%253Dd05b14bd%2526shcp%253D34ff8df6%2526idc%253Dmy3%2526s%253DTIKTOK_AFFILIATE_VIRAL_VIDEO%22%2C%22placeholder_product_id%22%3A%221729427766722726591%22%2C%22placeholder_video_id%22%3A%227624022829977062676%22%7D&amp;ec_shared_reflux_scene=shop_tab_feed&amp;share_item_id=7624022829977062676&amp;source=h5_t" TargetMode="External"/><Relationship Id="rId1259" Type="http://schemas.openxmlformats.org/officeDocument/2006/relationships/hyperlink" Target="https://vt.tiktok.com/ZSuCgAKLW/" TargetMode="External"/><Relationship Id="rId10017" Type="http://schemas.openxmlformats.org/officeDocument/2006/relationships/hyperlink" Target="https://www.tiktok.com/@hujan811" TargetMode="External"/><Relationship Id="rId10018" Type="http://schemas.openxmlformats.org/officeDocument/2006/relationships/hyperlink" Target="https://www.tiktok.com/@putrilestarii029" TargetMode="External"/><Relationship Id="rId10015" Type="http://schemas.openxmlformats.org/officeDocument/2006/relationships/hyperlink" Target="https://www.tiktok.com/@fitriah.ilmi" TargetMode="External"/><Relationship Id="rId10016" Type="http://schemas.openxmlformats.org/officeDocument/2006/relationships/hyperlink" Target="https://www.tiktok.com/@racunfath" TargetMode="External"/><Relationship Id="rId10019" Type="http://schemas.openxmlformats.org/officeDocument/2006/relationships/hyperlink" Target="https://www.tiktok.com/@daribulansuci" TargetMode="External"/><Relationship Id="rId2580" Type="http://schemas.openxmlformats.org/officeDocument/2006/relationships/hyperlink" Target="https://www.tiktok.com/@outfitce_/video/7623042801193848084?_r=1&amp;u_code=e0898kg4gbb4c7&amp;region=&amp;mid=7608156113497983765&amp;preview_pb=0&amp;sharer_language=&amp;_d=0&amp;ec_shared_reflux_dynamic_params=%7B%22placeholder_material_id%22%3A%227623042801193848084%22%2C%22placeholder_origin_cover%22%3A%22https%253A%252F%252Fp16-common-sign.tiktokcdn.com%252Ftos-alisg-p-0037%252FosABDR0UOUpQfB0HmGDnwQEoUyfRExFgBG1EwU~tplv-tiktokx-origin.jpeg%253Fdr%253D14572%2526refresh_token%253D155dc504%2526x-expires%253D1808474400%2526x-signature%253DCmLUWKvuuF5LXjJTjMgDlBAN%25252Fxg%25253D%2526t%253D4d5b0474%2526ps%253D13740610%2526shp%253Dd05b14bd%2526shcp%253D34ff8df6%2526idc%253Dmy3%2526s%253DTIKTOK_AFFILIATE_VIRAL_VIDEO%22%2C%22placeholder_product_id%22%3A%221729427766722726591%22%2C%22placeholder_video_id%22%3A%227623042801193848084%22%7D&amp;ec_shared_reflux_scene=shop_tab_feed&amp;share_item_id=7623042801193848084&amp;source=h5_t" TargetMode="External"/><Relationship Id="rId1250" Type="http://schemas.openxmlformats.org/officeDocument/2006/relationships/hyperlink" Target="https://www.tiktok.com/@babydew2" TargetMode="External"/><Relationship Id="rId2581" Type="http://schemas.openxmlformats.org/officeDocument/2006/relationships/hyperlink" Target="https://www.tiktok.com/@azqiarabahira21" TargetMode="External"/><Relationship Id="rId10010" Type="http://schemas.openxmlformats.org/officeDocument/2006/relationships/hyperlink" Target="https://www.tiktok.com/@dheaacitraa" TargetMode="External"/><Relationship Id="rId1251" Type="http://schemas.openxmlformats.org/officeDocument/2006/relationships/hyperlink" Target="https://vt.tiktok.com/ZS9qrTfPy/" TargetMode="External"/><Relationship Id="rId2582" Type="http://schemas.openxmlformats.org/officeDocument/2006/relationships/hyperlink" Target="https://www.tiktok.com/@outfitce_/video/7623234517871938836?_d=0&amp;_r=1&amp;ec_shared_reflux_dynamic_params=%7B%22placeholder_material_id%22%3A%227623234517871938836%22%2C%22placeholder_origin_cover%22%3A%22https%253A%252F%252Fp16-common-sign.tiktokcdn.com%252Ftos-alisg-p-0037%252FoQ6TlBGeIDCIJ3gKeIAAIUHLxlLzRNyZ3pejoK~tplv-tiktokx-origin.jpeg%253Fdr%253D14572%2526refresh_token%253Dda9f544b%2526x-expires%253D1808474400%2526x-signature%253DxwOtGkAh83HUlWYgPMzKYkuD%25252B9g%25253D%2526t%253D4d5b0474%2526ps%253D13740610%2526shp%253Dd05b14bd%2526shcp%253D34ff8df6%2526idc%253Dmy3%2526s%253DTIKTOK_AFFILIATE_VIRAL_VIDEO%22%2C%22placeholder_product_id%22%3A%221729427766722726591%22%2C%22placeholder_video_id%22%3A%227623234517871938836%22%7D&amp;ec_shared_reflux_scene=shop_tab_feed&amp;mid=7608156113497983765&amp;preview_pb=0&amp;region=&amp;share_item_id=7623234517871938836&amp;sharer_language=&amp;source=h5_t&amp;u_code=e0898kg4gbb4c7" TargetMode="External"/><Relationship Id="rId1252" Type="http://schemas.openxmlformats.org/officeDocument/2006/relationships/hyperlink" Target="https://www.tiktok.com/@zahra_store33" TargetMode="External"/><Relationship Id="rId2583" Type="http://schemas.openxmlformats.org/officeDocument/2006/relationships/hyperlink" Target="https://www.tiktok.com/@outfitce_/video/7623386361349066005?_r=1&amp;u_code=e0898kg4gbb4c7&amp;region=&amp;mid=7608156113497983765&amp;preview_pb=0&amp;sharer_language=&amp;_d=0&amp;ec_shared_reflux_dynamic_params=%7B%22placeholder_material_id%22%3A%227623386361349066005%22%2C%22placeholder_origin_cover%22%3A%22https%253A%252F%252Fp16-common-sign.tiktokcdn.com%252Ftos-alisg-p-0037%252Fo0QLQGBJRtUyAvDprFfwfLPpgVsEME9gU97YBc~tplv-tiktokx-origin.jpeg%253Fdr%253D14572%2526refresh_token%253Dfa9577da%2526x-expires%253D1808474400%2526x-signature%253D%25252F56Em%25252F6F%25252Ftklj6kizh2SpnBN4Ns%25253D%2526t%253D4d5b0474%2526ps%253D13740610%2526shp%253Dd05b14bd%2526shcp%253D34ff8df6%2526idc%253Dmy3%2526s%253DTIKTOK_AFFILIATE_VIRAL_VIDEO%22%2C%22placeholder_product_id%22%3A%221729427766722726591%22%2C%22placeholder_video_id%22%3A%227623386361349066005%22%7D&amp;ec_shared_reflux_scene=shop_tab_feed&amp;share_item_id=7623386361349066005&amp;source=h5_t" TargetMode="External"/><Relationship Id="rId1253" Type="http://schemas.openxmlformats.org/officeDocument/2006/relationships/hyperlink" Target="https://vt.tiktok.com/ZSHPdfNN4/" TargetMode="External"/><Relationship Id="rId2584" Type="http://schemas.openxmlformats.org/officeDocument/2006/relationships/hyperlink" Target="https://www.tiktok.com/@outfitce_/video/7623582986763504917?_r=1&amp;u_code=e0898kg4gbb4c7&amp;region=&amp;mid=7608156113497983765&amp;preview_pb=0&amp;sharer_language=&amp;_d=0&amp;ec_shared_reflux_dynamic_params=%7B%22placeholder_material_id%22%3A%227623582986763504917%22%2C%22placeholder_origin_cover%22%3A%22https%253A%252F%252Fp16-common-sign.tiktokcdn.com%252Ftos-alisg-p-0037%252FogAvDIGT4QPDFjSQByM8CXamfM1A2NQH0tUfeA~tplv-tiktokx-origin.jpeg%253Fdr%253D14572%2526refresh_token%253D758247cf%2526x-expires%253D1808474400%2526x-signature%253DzaPw7xkTopjclENayRQXVpNlxik%25253D%2526t%253D4d5b0474%2526ps%253D13740610%2526shp%253Dd05b14bd%2526shcp%253D34ff8df6%2526idc%253Dmy3%2526s%253DTIKTOK_AFFILIATE_VIRAL_VIDEO%22%2C%22placeholder_product_id%22%3A%221729427766722726591%22%2C%22placeholder_video_id%22%3A%227623582986763504917%22%7D&amp;ec_shared_reflux_scene=shop_tab_feed&amp;share_item_id=7623582986763504917&amp;source=h5_t" TargetMode="External"/><Relationship Id="rId10013" Type="http://schemas.openxmlformats.org/officeDocument/2006/relationships/hyperlink" Target="https://www.tiktok.com/@bungalistalestari" TargetMode="External"/><Relationship Id="rId1254" Type="http://schemas.openxmlformats.org/officeDocument/2006/relationships/hyperlink" Target="https://vt.tiktok.com/ZSHPdXSdf/" TargetMode="External"/><Relationship Id="rId2585" Type="http://schemas.openxmlformats.org/officeDocument/2006/relationships/hyperlink" Target="https://www.tiktok.com/@outfitce_/video/7623613966895336724?_r=1&amp;u_code=e0898kg4gbb4c7&amp;region=&amp;mid=7588095810769668882&amp;preview_pb=0&amp;sharer_language=&amp;_d=0&amp;ec_shared_reflux_dynamic_params=%7B%22placeholder_material_id%22%3A%227623613966895336724%22%2C%22placeholder_origin_cover%22%3A%22https%253A%252F%252Fp16-common-sign.tiktokcdn.com%252Ftos-alisg-p-0037%252FoYIMRp4YzzzEEhMlBAIGf5SfBiygGFIDBTcBNI~tplv-tiktokx-origin.jpeg%253Fdr%253D14572%2526refresh_token%253Df44a1251%2526x-expires%253D1808474400%2526x-signature%253DyfoqtfSbNpNfI8cCLAKbgG3Nhn4%25253D%2526t%253D4d5b0474%2526ps%253D13740610%2526shp%253Dd05b14bd%2526shcp%253D34ff8df6%2526idc%253Dmy3%2526s%253DTIKTOK_AFFILIATE_VIRAL_VIDEO%22%2C%22placeholder_product_id%22%3A%221729427766722726591%22%2C%22placeholder_video_id%22%3A%227623613966895336724%22%7D&amp;ec_shared_reflux_scene=shop_tab_feed&amp;share_item_id=7623613966895336724&amp;source=h5_t" TargetMode="External"/><Relationship Id="rId10014" Type="http://schemas.openxmlformats.org/officeDocument/2006/relationships/hyperlink" Target="https://www.tiktok.com/@haynda17" TargetMode="External"/><Relationship Id="rId1255" Type="http://schemas.openxmlformats.org/officeDocument/2006/relationships/hyperlink" Target="https://vt.tiktok.com/ZSHPdqpKA/" TargetMode="External"/><Relationship Id="rId2586" Type="http://schemas.openxmlformats.org/officeDocument/2006/relationships/hyperlink" Target="https://www.tiktok.com/@rezarama142" TargetMode="External"/><Relationship Id="rId10011" Type="http://schemas.openxmlformats.org/officeDocument/2006/relationships/hyperlink" Target="https://www.tiktok.com/@tifachan__" TargetMode="External"/><Relationship Id="rId1256" Type="http://schemas.openxmlformats.org/officeDocument/2006/relationships/hyperlink" Target="https://vt.tiktok.com/ZSHPR2tLL/" TargetMode="External"/><Relationship Id="rId2587" Type="http://schemas.openxmlformats.org/officeDocument/2006/relationships/hyperlink" Target="https://www.tiktok.com/@outfitce_/video/7623665091103214868?_r=1&amp;u_code=e0898kg4gbb4c7&amp;region=&amp;mid=7608156113497983765&amp;preview_pb=0&amp;sharer_language=&amp;_d=0&amp;ec_shared_reflux_dynamic_params=%7B%22placeholder_material_id%22%3A%227623665091103214868%22%2C%22placeholder_origin_cover%22%3A%22https%253A%252F%252Fp16-sign-sg.tiktokcdn.com%252Ftos-alisg-p-0037%252Foc8qfAB5MsDAwiIv0zF7lBqCwICMAmuIa98lic~tplv-tiktokx-origin.jpeg%253Fdr%253D14572%2526refresh_token%253D0731f756%2526x-expires%253D1808474400%2526x-signature%253DzTNiwjiItwIaZCy7xuzKGfc8mL8%25253D%2526t%253D4d5b0474%2526ps%253D13740610%2526shp%253Dd05b14bd%2526shcp%253D34ff8df6%2526idc%253Dmy3%2526s%253DTIKTOK_AFFILIATE_VIRAL_VIDEO%22%2C%22placeholder_product_id%22%3A%221729427766722726591%22%2C%22placeholder_video_id%22%3A%227623665091103214868%22%7D&amp;ec_shared_reflux_scene=shop_tab_feed&amp;share_item_id=7623665091103214868&amp;source=h5_t" TargetMode="External"/><Relationship Id="rId10012" Type="http://schemas.openxmlformats.org/officeDocument/2006/relationships/hyperlink" Target="https://www.tiktok.com/@gadis.capri" TargetMode="External"/><Relationship Id="rId1246" Type="http://schemas.openxmlformats.org/officeDocument/2006/relationships/hyperlink" Target="https://vt.tiktok.com/ZSHFP3VCG/" TargetMode="External"/><Relationship Id="rId2577" Type="http://schemas.openxmlformats.org/officeDocument/2006/relationships/hyperlink" Target="https://www.tiktok.com/@outfitce_/video/7621923426730593556?_r=1&amp;u_code=e0898kg4gbb4c7&amp;region=&amp;mid=7608156113497983765&amp;preview_pb=0&amp;sharer_language=&amp;_d=0&amp;ec_shared_reflux_dynamic_params=%7B%22placeholder_material_id%22%3A%227621923426730593556%22%2C%22placeholder_origin_cover%22%3A%22https%253A%252F%252Fp16-common-sign.tiktokcdn.com%252Ftos-alisg-p-0037%252FosFKwZOpxAVeBhRBE0FojRgBUTGfIgt1E2MgID~tplv-tiktokx-origin.jpeg%253Fdr%253D14572%2526refresh_token%253D342c822f%2526x-expires%253D1808474400%2526x-signature%253Dd6PqrN2gYNQmcgGK95StwyCECLE%25253D%2526t%253D4d5b0474%2526ps%253D13740610%2526shp%253Dd05b14bd%2526shcp%253D34ff8df6%2526idc%253Dmy3%2526s%253DTIKTOK_AFFILIATE_VIRAL_VIDEO%22%2C%22placeholder_product_id%22%3A%221729427766722726591%22%2C%22placeholder_video_id%22%3A%227621923426730593556%22%7D&amp;ec_shared_reflux_scene=shop_tab_feed&amp;share_item_id=7621923426730593556&amp;source=h5_t" TargetMode="External"/><Relationship Id="rId1247" Type="http://schemas.openxmlformats.org/officeDocument/2006/relationships/hyperlink" Target="https://www.tiktok.com/@imaawhn/video/7628866399536008469" TargetMode="External"/><Relationship Id="rId2578" Type="http://schemas.openxmlformats.org/officeDocument/2006/relationships/hyperlink" Target="https://www.tiktok.com/@outfitce_/video/7622888531995675924?_r=1&amp;u_code=e0898kg4gbb4c7&amp;region=&amp;mid=7608156113497983765&amp;preview_pb=0&amp;sharer_language=&amp;_d=0&amp;ec_shared_reflux_dynamic_params=%7B%22placeholder_material_id%22%3A%227622888531995675924%22%2C%22placeholder_origin_cover%22%3A%22https%253A%252F%252Fp19-common-sign.tiktokcdn.com%252Ftos-alisg-p-0037%252FoYTkOjw4QZfKC2bIQx9TrDAfCjFZyofjvAQDCE~tplv-tiktokx-origin.jpeg%253Fdr%253D14572%2526refresh_token%253D5ae09fad%2526x-expires%253D1808474400%2526x-signature%253D8FDm9PKXWizQNPkQCT7rBXv%25252FjjM%25253D%2526t%253D4d5b0474%2526ps%253D13740610%2526shp%253Dd05b14bd%2526shcp%253D34ff8df6%2526idc%253Dmy3%2526s%253DTIKTOK_AFFILIATE_VIRAL_VIDEO%22%2C%22placeholder_product_id%22%3A%221729427766722726591%22%2C%22placeholder_video_id%22%3A%227622888531995675924%22%7D&amp;ec_shared_reflux_scene=shop_tab_feed&amp;share_item_id=7622888531995675924&amp;source=h5_t" TargetMode="External"/><Relationship Id="rId1248" Type="http://schemas.openxmlformats.org/officeDocument/2006/relationships/hyperlink" Target="https://www.tiktok.com/@imaawhn/video/7624011077583473940" TargetMode="External"/><Relationship Id="rId2579" Type="http://schemas.openxmlformats.org/officeDocument/2006/relationships/hyperlink" Target="https://www.tiktok.com/@outfitce_/video/7622946190480428308?_r=1&amp;u_code=e0898kg4gbb4c7&amp;region=&amp;mid=7608156113497983765&amp;preview_pb=0&amp;sharer_language=&amp;_d=0&amp;ec_shared_reflux_dynamic_params=%7B%22placeholder_material_id%22%3A%227622946190480428308%22%2C%22placeholder_origin_cover%22%3A%22https%253A%252F%252Fp16-common-sign.tiktokcdn.com%252Ftos-alisg-p-0037%252FoYD1iIm5wK2IAIwT0zIvauiuCBAKqRfJA0AgBo~tplv-tiktokx-origin.jpeg%253Fdr%253D14572%2526refresh_token%253Dcb06479d%2526x-expires%253D1808474400%2526x-signature%253DasE5m0uyewOTJmGKXWxytG5Kp9k%25253D%2526t%253D4d5b0474%2526ps%253D13740610%2526shp%253Dd05b14bd%2526shcp%253D34ff8df6%2526idc%253Dmy3%2526s%253DTIKTOK_AFFILIATE_VIRAL_VIDEO%22%2C%22placeholder_product_id%22%3A%221729427766722726591%22%2C%22placeholder_video_id%22%3A%227622946190480428308%22%7D&amp;ec_shared_reflux_scene=shop_tab_feed&amp;share_item_id=7622946190480428308&amp;source=h5_t" TargetMode="External"/><Relationship Id="rId1249" Type="http://schemas.openxmlformats.org/officeDocument/2006/relationships/hyperlink" Target="https://www.tiktok.com/@imaawhn/video/7621586103400713492" TargetMode="External"/><Relationship Id="rId10028" Type="http://schemas.openxmlformats.org/officeDocument/2006/relationships/hyperlink" Target="https://www.tiktok.com/@divanafinza4" TargetMode="External"/><Relationship Id="rId10029" Type="http://schemas.openxmlformats.org/officeDocument/2006/relationships/hyperlink" Target="https://www.tiktok.com/@fashion.keren.kekinian" TargetMode="External"/><Relationship Id="rId10026" Type="http://schemas.openxmlformats.org/officeDocument/2006/relationships/hyperlink" Target="https://www.tiktok.com/@st_mrymmmmm" TargetMode="External"/><Relationship Id="rId10027" Type="http://schemas.openxmlformats.org/officeDocument/2006/relationships/hyperlink" Target="https://www.tiktok.com/@daniafutrii" TargetMode="External"/><Relationship Id="rId10020" Type="http://schemas.openxmlformats.org/officeDocument/2006/relationships/hyperlink" Target="https://www.tiktok.com/@nurkhakiki1" TargetMode="External"/><Relationship Id="rId2570" Type="http://schemas.openxmlformats.org/officeDocument/2006/relationships/hyperlink" Target="https://vt.tiktok.com/ZS9865oET/" TargetMode="External"/><Relationship Id="rId10021" Type="http://schemas.openxmlformats.org/officeDocument/2006/relationships/hyperlink" Target="https://www.tiktok.com/@lisnaaa____13" TargetMode="External"/><Relationship Id="rId1240" Type="http://schemas.openxmlformats.org/officeDocument/2006/relationships/hyperlink" Target="https://www.tiktok.com/@tyaa0508" TargetMode="External"/><Relationship Id="rId2571" Type="http://schemas.openxmlformats.org/officeDocument/2006/relationships/hyperlink" Target="https://www.tiktok.com/@yan111e" TargetMode="External"/><Relationship Id="rId1241" Type="http://schemas.openxmlformats.org/officeDocument/2006/relationships/hyperlink" Target="https://www.tiktok.com/@tyaa0508/video/7615610011871579413?is_from_webapp=1&amp;sender_device=pc&amp;web_id=7611930277489657360" TargetMode="External"/><Relationship Id="rId2572" Type="http://schemas.openxmlformats.org/officeDocument/2006/relationships/hyperlink" Target="https://www.tiktok.com/@outfitce_/video/7621065743576091924?_r=1&amp;u_code=e0898kg4gbb4c7&amp;region=&amp;mid=7608156113497983765&amp;preview_pb=0&amp;sharer_language=&amp;_d=0&amp;ec_shared_reflux_dynamic_params=%7B%22placeholder_material_id%22%3A%227621065743576091924%22%2C%22placeholder_origin_cover%22%3A%22https%253A%252F%252Fp16-sign-sg.tiktokcdn.com%252Ftos-alisg-p-0037%252FoskIZcLhlgGxxCDA2E3Ae3IOTNghjeZD48eu2C~tplv-tiktokx-origin.jpeg%253Fdr%253D14572%2526refresh_token%253Db23e462f%2526x-expires%253D1808474400%2526x-signature%253DhsLsq1AfLpyBuKGcE1QUEpceFNQ%25253D%2526t%253D4d5b0474%2526ps%253D13740610%2526shp%253Dd05b14bd%2526shcp%253D34ff8df6%2526idc%253Dmy3%2526s%253DTIKTOK_AFFILIATE_VIRAL_VIDEO%22%2C%22placeholder_product_id%22%3A%221729427766722726591%22%2C%22placeholder_video_id%22%3A%227621065743576091924%22%7D&amp;ec_shared_reflux_scene=shop_tab_feed&amp;share_item_id=7621065743576091924&amp;source=h5_t" TargetMode="External"/><Relationship Id="rId1242" Type="http://schemas.openxmlformats.org/officeDocument/2006/relationships/hyperlink" Target="https://vt.tiktok.com/ZSuTpm231/" TargetMode="External"/><Relationship Id="rId2573" Type="http://schemas.openxmlformats.org/officeDocument/2006/relationships/hyperlink" Target="https://www.tiktok.com/@outfitce_/video/7621378061828754709?_r=1&amp;u_code=e0898kg4gbb4c7&amp;region=&amp;mid=7608156113497983765&amp;preview_pb=0&amp;sharer_language=&amp;_d=0&amp;ec_shared_reflux_dynamic_params=%7B%22placeholder_material_id%22%3A%227621378061828754709%22%2C%22placeholder_origin_cover%22%3A%22https%253A%252F%252Fp16-sign-sg.tiktokcdn.com%252Ftos-alisg-p-0037%252FosviaBAYB2iJBS7EZKEIIT41ANFokySpw9cVP~tplv-tiktokx-origin.jpeg%253Fdr%253D14572%2526refresh_token%253D0ed88a06%2526x-expires%253D1808474400%2526x-signature%253DAcL%25252BX3c696nh24L2sHMcL3ALa8A%25253D%2526t%253D4d5b0474%2526ps%253D13740610%2526shp%253Dd05b14bd%2526shcp%253D34ff8df6%2526idc%253Dmy3%2526s%253DTIKTOK_AFFILIATE_VIRAL_VIDEO%22%2C%22placeholder_product_id%22%3A%221729427766722726591%22%2C%22placeholder_video_id%22%3A%227621378061828754709%22%7D&amp;ec_shared_reflux_scene=shop_tab_feed&amp;share_item_id=7621378061828754709&amp;source=h5_t" TargetMode="External"/><Relationship Id="rId10024" Type="http://schemas.openxmlformats.org/officeDocument/2006/relationships/hyperlink" Target="https://www.tiktok.com/@nairna08" TargetMode="External"/><Relationship Id="rId1243" Type="http://schemas.openxmlformats.org/officeDocument/2006/relationships/hyperlink" Target="https://vt.tiktok.com/ZSuTpnQjx/" TargetMode="External"/><Relationship Id="rId2574" Type="http://schemas.openxmlformats.org/officeDocument/2006/relationships/hyperlink" Target="https://www.tiktok.com/@outfitce_/video/7621497388913511701?_r=1&amp;u_code=e0898kg4gbb4c7&amp;region=&amp;mid=7608156113497983765&amp;preview_pb=0&amp;sharer_language=&amp;_d=0&amp;ec_shared_reflux_dynamic_params=%7B%22placeholder_material_id%22%3A%227621497388913511701%22%2C%22placeholder_origin_cover%22%3A%22https%253A%252F%252Fp16-sign-sg.tiktokcdn.com%252Ftos-alisg-p-0037%252FoYnegJuRAMQzbACoUfZF8W4P7GQIngfuGfENcG~tplv-tiktokx-origin.jpeg%253Fdr%253D14572%2526refresh_token%253Dca099002%2526x-expires%253D1808474400%2526x-signature%253Dwy8KKaaNFxF0M78lsx8fJTyxW08%25253D%2526t%253D4d5b0474%2526ps%253D13740610%2526shp%253Dd05b14bd%2526shcp%253D34ff8df6%2526idc%253Dmy3%2526s%253DTIKTOK_AFFILIATE_VIRAL_VIDEO%22%2C%22placeholder_product_id%22%3A%221729427766722726591%22%2C%22placeholder_video_id%22%3A%227621497388913511701%22%7D&amp;ec_shared_reflux_scene=shop_tab_feed&amp;share_item_id=7621497388913511701&amp;source=h5_t" TargetMode="External"/><Relationship Id="rId10025" Type="http://schemas.openxmlformats.org/officeDocument/2006/relationships/hyperlink" Target="https://www.tiktok.com/@restimaulani_" TargetMode="External"/><Relationship Id="rId1244" Type="http://schemas.openxmlformats.org/officeDocument/2006/relationships/hyperlink" Target="https://vt.tiktok.com/ZSuTpf4JK/" TargetMode="External"/><Relationship Id="rId2575" Type="http://schemas.openxmlformats.org/officeDocument/2006/relationships/hyperlink" Target="https://www.tiktok.com/@outfitce_/video/7621850978186267925?_r=1&amp;u_code=e0898kg4gbb4c7&amp;region=&amp;mid=7608156113497983765&amp;preview_pb=0&amp;sharer_language=&amp;_d=0&amp;ec_shared_reflux_dynamic_params=%7B%22placeholder_material_id%22%3A%227621850978186267925%22%2C%22placeholder_origin_cover%22%3A%22https%253A%252F%252Fp16-sign-sg.tiktokcdn.com%252Ftos-alisg-p-0037%252FoQMYIDALoIMyrjBAHEIjfGIIFeQvGejCoSrTVG~tplv-tiktokx-origin.jpeg%253Fdr%253D14572%2526refresh_token%253D646df901%2526x-expires%253D1808474400%2526x-signature%253DD8W5fvozL0yXAeoYpkd2rwguA4Y%25253D%2526t%253D4d5b0474%2526ps%253D13740610%2526shp%253Dd05b14bd%2526shcp%253D34ff8df6%2526idc%253Dmy3%2526s%253DTIKTOK_AFFILIATE_VIRAL_VIDEO%22%2C%22placeholder_product_id%22%3A%221729427766722726591%22%2C%22placeholder_video_id%22%3A%227621850978186267925%22%7D&amp;ec_shared_reflux_scene=shop_tab_feed&amp;share_item_id=7621850978186267925&amp;source=h5_t" TargetMode="External"/><Relationship Id="rId10022" Type="http://schemas.openxmlformats.org/officeDocument/2006/relationships/hyperlink" Target="https://www.tiktok.com/@silpekkkk" TargetMode="External"/><Relationship Id="rId1245" Type="http://schemas.openxmlformats.org/officeDocument/2006/relationships/hyperlink" Target="https://www.tiktok.com/@imaawhn" TargetMode="External"/><Relationship Id="rId2576" Type="http://schemas.openxmlformats.org/officeDocument/2006/relationships/hyperlink" Target="https://www.tiktok.com/@lm_beautycare" TargetMode="External"/><Relationship Id="rId10023" Type="http://schemas.openxmlformats.org/officeDocument/2006/relationships/hyperlink" Target="https://www.tiktok.com/@kurniawanawan915" TargetMode="External"/><Relationship Id="rId1279" Type="http://schemas.openxmlformats.org/officeDocument/2006/relationships/hyperlink" Target="https://www.tiktok.com/@reinn057/video/7607100042964503816?is_from_webapp=1&amp;sender_device=pc&amp;web_id=7611930277489657360" TargetMode="External"/><Relationship Id="rId1270" Type="http://schemas.openxmlformats.org/officeDocument/2006/relationships/hyperlink" Target="https://vt.tiktok.com/ZSuEfSX8w/" TargetMode="External"/><Relationship Id="rId1271" Type="http://schemas.openxmlformats.org/officeDocument/2006/relationships/hyperlink" Target="https://vt.tiktok.com/ZSuEfDksB/" TargetMode="External"/><Relationship Id="rId1272" Type="http://schemas.openxmlformats.org/officeDocument/2006/relationships/hyperlink" Target="https://www.tiktok.com/@khanndew" TargetMode="External"/><Relationship Id="rId1273" Type="http://schemas.openxmlformats.org/officeDocument/2006/relationships/hyperlink" Target="https://www.tiktok.com/@khanndew/video/7624039300493036818?is_from_webapp=1&amp;sender_device=pc" TargetMode="External"/><Relationship Id="rId1274" Type="http://schemas.openxmlformats.org/officeDocument/2006/relationships/hyperlink" Target="https://www.tiktok.com/@khanndew/video/7624046777053744402?is_from_webapp=1&amp;sender_device=pc" TargetMode="External"/><Relationship Id="rId1275" Type="http://schemas.openxmlformats.org/officeDocument/2006/relationships/hyperlink" Target="https://vt.tiktok.com/ZS9grY9GL/" TargetMode="External"/><Relationship Id="rId1276" Type="http://schemas.openxmlformats.org/officeDocument/2006/relationships/hyperlink" Target="https://www.tiktok.com/@projectshopeehaul" TargetMode="External"/><Relationship Id="rId1277" Type="http://schemas.openxmlformats.org/officeDocument/2006/relationships/hyperlink" Target="https://www.tiktok.com/@projectshopeehaul/video/7621238759329254676?is_from_webapp=1&amp;sender_device=pc&amp;web_id=7611930277489657360" TargetMode="External"/><Relationship Id="rId1278" Type="http://schemas.openxmlformats.org/officeDocument/2006/relationships/hyperlink" Target="https://www.tiktok.com/@projectshopeehaul/video/7621905848855465237?is_from_webapp=1&amp;sender_device=pc&amp;web_id=7611930277489657360" TargetMode="External"/><Relationship Id="rId1268" Type="http://schemas.openxmlformats.org/officeDocument/2006/relationships/hyperlink" Target="https://vt.tiktok.com/ZSuEfD475/" TargetMode="External"/><Relationship Id="rId2599" Type="http://schemas.openxmlformats.org/officeDocument/2006/relationships/hyperlink" Target="https://www.tiktok.com/@outfitce_/video/7624426515886902549?_r=1&amp;u_code=e0898kg4gbb4c7&amp;region=&amp;mid=7426331155690080272&amp;preview_pb=0&amp;sharer_language=&amp;_d=0&amp;ec_shared_reflux_dynamic_params=%7B%22placeholder_material_id%22%3A%227624426515886902549%22%2C%22placeholder_origin_cover%22%3A%22https%253A%252F%252Fp16-sign-sg.tiktokcdn.com%252Ftos-alisg-p-0037%252FosIaPcZWivVi9ABIA39cAEBjnYlQBQ5Ui5PiV~tplv-tiktokx-origin.jpeg%253Fdr%253D14572%2526refresh_token%253D7e9bd83b%2526x-expires%253D1808474400%2526x-signature%253DKO5E8baWl7chnNW9pkqCi1ib2MA%25253D%2526t%253D4d5b0474%2526ps%253D13740610%2526shp%253Dd05b14bd%2526shcp%253D34ff8df6%2526idc%253Dmy3%2526s%253DTIKTOK_AFFILIATE_VIRAL_VIDEO%22%2C%22placeholder_product_id%22%3A%221729427766722726591%22%2C%22placeholder_video_id%22%3A%227624426515886902549%22%7D&amp;ec_shared_reflux_scene=shop_tab_feed&amp;share_item_id=7624426515886902549&amp;source=h5_t" TargetMode="External"/><Relationship Id="rId1269" Type="http://schemas.openxmlformats.org/officeDocument/2006/relationships/hyperlink" Target="https://vt.tiktok.com/ZSuEfMXEr/" TargetMode="External"/><Relationship Id="rId10006" Type="http://schemas.openxmlformats.org/officeDocument/2006/relationships/hyperlink" Target="https://www.tiktok.com/@teh_ceuceu" TargetMode="External"/><Relationship Id="rId10007" Type="http://schemas.openxmlformats.org/officeDocument/2006/relationships/hyperlink" Target="https://www.tiktok.com/@byme.21" TargetMode="External"/><Relationship Id="rId10004" Type="http://schemas.openxmlformats.org/officeDocument/2006/relationships/hyperlink" Target="https://www.tiktok.com/@ika.chan__" TargetMode="External"/><Relationship Id="rId10005" Type="http://schemas.openxmlformats.org/officeDocument/2006/relationships/hyperlink" Target="https://www.tiktok.com/@dini_nie29" TargetMode="External"/><Relationship Id="rId10008" Type="http://schemas.openxmlformats.org/officeDocument/2006/relationships/hyperlink" Target="https://www.tiktok.com/@an99in" TargetMode="External"/><Relationship Id="rId2590" Type="http://schemas.openxmlformats.org/officeDocument/2006/relationships/hyperlink" Target="https://www.tiktok.com/@outfitce_/video/7624035229849718036?_r=1&amp;u_code=e0898kg4gbb4c7&amp;region=&amp;mid=7608156113497983765&amp;preview_pb=0&amp;sharer_language=&amp;_d=0&amp;ec_shared_reflux_dynamic_params=%7B%22placeholder_material_id%22%3A%227624035229849718036%22%2C%22placeholder_origin_cover%22%3A%22https%253A%252F%252Fp16-common-sign.tiktokcdn.com%252Ftos-alisg-p-0037%252FokOw9FBRUDpnzsEOAgKWAr7GIfqceXBE99IvgB~tplv-tiktokx-origin.jpeg%253Fdr%253D14572%2526refresh_token%253D7b425933%2526x-expires%253D1808474400%2526x-signature%253DMqlhu2PUwEYHtB3rAztigowCXkI%25253D%2526t%253D4d5b0474%2526ps%253D13740610%2526shp%253Dd05b14bd%2526shcp%253D34ff8df6%2526idc%253Dmy3%2526s%253DTIKTOK_AFFILIATE_VIRAL_VIDEO%22%2C%22placeholder_product_id%22%3A%221729427766722726591%22%2C%22placeholder_video_id%22%3A%227624035229849718036%22%7D&amp;ec_shared_reflux_scene=shop_tab_feed&amp;share_item_id=7624035229849718036&amp;source=h5_t" TargetMode="External"/><Relationship Id="rId10009" Type="http://schemas.openxmlformats.org/officeDocument/2006/relationships/hyperlink" Target="https://www.tiktok.com/@aisyashh" TargetMode="External"/><Relationship Id="rId1260" Type="http://schemas.openxmlformats.org/officeDocument/2006/relationships/hyperlink" Target="https://vt.tiktok.com/ZSuVyeo3Y/" TargetMode="External"/><Relationship Id="rId2591" Type="http://schemas.openxmlformats.org/officeDocument/2006/relationships/hyperlink" Target="https://www.tiktok.com/@deppiao" TargetMode="External"/><Relationship Id="rId1261" Type="http://schemas.openxmlformats.org/officeDocument/2006/relationships/hyperlink" Target="https://vt.tiktok.com/ZSHYjknLP/" TargetMode="External"/><Relationship Id="rId2592" Type="http://schemas.openxmlformats.org/officeDocument/2006/relationships/hyperlink" Target="https://vt.tiktok.com/ZS94mbcam/" TargetMode="External"/><Relationship Id="rId1262" Type="http://schemas.openxmlformats.org/officeDocument/2006/relationships/hyperlink" Target="https://www.tiktok.com/@helma.amaliaa" TargetMode="External"/><Relationship Id="rId2593" Type="http://schemas.openxmlformats.org/officeDocument/2006/relationships/hyperlink" Target="https://www.tiktok.com/@harumrice/video/7637407823839644949?_r=1&amp;u_code=d6j7255963058c&amp;region=&amp;mid=7620649004196154119&amp;preview_pb=0&amp;sharer_language=&amp;_d=0&amp;ec_shared_reflux_dynamic_params=%7B%22placeholder_material_id%22%3A%227637407823839644949%22%2C%22placeholder_origin_cover%22%3A%22https%253A%252F%252Fp16-common-sign.tiktokcdn.com%252Ftos-alisg-p-0037%252FokpfsiLYAgLRCBxyI7hBnL0d36iEfpBUgDB9Il~tplv-tiktokx-origin.jpeg%253Fdr%253D14572%2526refresh_token%253Dedbbffe3%2526x-expires%253D1810116000%2526x-signature%253DCZ%25252BAafCLr5P%25252BD3lnBEOKKQoJDuo%25253D%2526t%253D4d5b0474%2526ps%253D13740610%2526shp%253Dd05b14bd%2526shcp%253D34ff8df6%2526idc%253Dmy2%2526s%253DTIKTOK_AFFILIATE_VIRAL_VIDEO%22%2C%22placeholder_product_id%22%3A%221729427766722726591%22%2C%22placeholder_video_id%22%3A%227637407823839644949%22%7D&amp;ec_shared_reflux_scene=shop_tab_feed&amp;share_item_id=7637407823839644949&amp;source=h5_t" TargetMode="External"/><Relationship Id="rId1263" Type="http://schemas.openxmlformats.org/officeDocument/2006/relationships/hyperlink" Target="https://vt.tiktok.com/ZSHxPxxUQ/" TargetMode="External"/><Relationship Id="rId2594" Type="http://schemas.openxmlformats.org/officeDocument/2006/relationships/hyperlink" Target="https://www.tiktok.com/@harumrice/video/7637408193106152724?_r=1&amp;u_code=d6j7255963058c&amp;region=&amp;mid=7632653181927525140&amp;preview_pb=0&amp;sharer_language=&amp;_d=0&amp;ec_shared_reflux_dynamic_params=%7B%22placeholder_material_id%22%3A%227637408193106152724%22%2C%22placeholder_origin_cover%22%3A%22https%253A%252F%252Fp19-common-sign.tiktokcdn.com%252Ftos-alisg-p-0037%252FoYvQ9GAUg4fRQfeF32fM8GcGwVAWJGwAClzngQ~tplv-tiktokx-origin.jpeg%253Fdr%253D14572%2526refresh_token%253D80db6094%2526x-expires%253D1810116000%2526x-signature%253DanelFcfXT1U8kC%25252FpOSREjSjF6FA%25253D%2526t%253D4d5b0474%2526ps%253D13740610%2526shp%253Dd05b14bd%2526shcp%253D34ff8df6%2526idc%253Dmy2%2526s%253DTIKTOK_AFFILIATE_VIRAL_VIDEO%22%2C%22placeholder_product_id%22%3A%221729427766722726591%22%2C%22placeholder_video_id%22%3A%227637408193106152724%22%7D&amp;ec_shared_reflux_scene=shop_tab_feed&amp;share_item_id=7637408193106152724&amp;source=h5_t" TargetMode="External"/><Relationship Id="rId1264" Type="http://schemas.openxmlformats.org/officeDocument/2006/relationships/hyperlink" Target="https://vt.tiktok.com/ZSHxPVS6s/" TargetMode="External"/><Relationship Id="rId2595" Type="http://schemas.openxmlformats.org/officeDocument/2006/relationships/hyperlink" Target="https://www.tiktok.com/@harumrice/video/7637409311014145300?_r=1&amp;u_code=d6j7255963058c&amp;region=&amp;mid=7629035336619117320&amp;preview_pb=0&amp;sharer_language=&amp;_d=0&amp;ec_shared_reflux_dynamic_params=%7B%22placeholder_material_id%22%3A%227637409311014145300%22%2C%22placeholder_origin_cover%22%3A%22https%253A%252F%252Fp16-common-sign.tiktokcdn.com%252Ftos-alisg-p-0037%252FoYiG1hN0fAJZA73Bi8I2vIhAqk9PIsO5CpJwIB~tplv-tiktokx-origin.jpeg%253Fdr%253D14572%2526refresh_token%253Ddf7342eb%2526x-expires%253D1810116000%2526x-signature%253Djb39CGayVrkoQS%25252FNX1y63hwsMU4%25253D%2526t%253D4d5b0474%2526ps%253D13740610%2526shp%253Dd05b14bd%2526shcp%253D34ff8df6%2526idc%253Dmy2%2526s%253DTIKTOK_AFFILIATE_VIRAL_VIDEO%22%2C%22placeholder_product_id%22%3A%221729427766722726591%22%2C%22placeholder_video_id%22%3A%227637409311014145300%22%7D&amp;ec_shared_reflux_scene=shop_tab_feed&amp;share_item_id=7637409311014145300&amp;source=h5_t" TargetMode="External"/><Relationship Id="rId10002" Type="http://schemas.openxmlformats.org/officeDocument/2006/relationships/hyperlink" Target="https://www.tiktok.com/@rainielak" TargetMode="External"/><Relationship Id="rId1265" Type="http://schemas.openxmlformats.org/officeDocument/2006/relationships/hyperlink" Target="https://vt.tiktok.com/ZSHxPQ4tA/" TargetMode="External"/><Relationship Id="rId2596" Type="http://schemas.openxmlformats.org/officeDocument/2006/relationships/hyperlink" Target="https://www.tiktok.com/@sakinahsm5" TargetMode="External"/><Relationship Id="rId10003" Type="http://schemas.openxmlformats.org/officeDocument/2006/relationships/hyperlink" Target="https://www.tiktok.com/@sitinurmilah94" TargetMode="External"/><Relationship Id="rId1266" Type="http://schemas.openxmlformats.org/officeDocument/2006/relationships/hyperlink" Target="https://www.tiktok.com/@ochacacaaaaa_/video/7626783420915485959" TargetMode="External"/><Relationship Id="rId2597" Type="http://schemas.openxmlformats.org/officeDocument/2006/relationships/hyperlink" Target="https://www.tiktok.com/@outfitce_/video/7624071767161818389?_r=1&amp;u_code=e0898kg4gbb4c7&amp;region=&amp;mid=7295670080217254661&amp;preview_pb=0&amp;sharer_language=&amp;_d=0&amp;ec_shared_reflux_dynamic_params=%7B%22placeholder_material_id%22%3A%227624071767161818389%22%2C%22placeholder_origin_cover%22%3A%22https%253A%252F%252Fp16-common-sign.tiktokcdn.com%252Ftos-alisg-p-0037%252FoIQ3OpoEUBiwtgR37PQAfFEBTJDXSzFvbfMUOU~tplv-tiktokx-origin.jpeg%253Fdr%253D14572%2526refresh_token%253D0d199a74%2526x-expires%253D1808474400%2526x-signature%253DybVaXWxmp3nnL3pE375WE1Zx048%25253D%2526t%253D4d5b0474%2526ps%253D13740610%2526shp%253Dd05b14bd%2526shcp%253D34ff8df6%2526idc%253Dmy3%2526s%253DTIKTOK_AFFILIATE_VIRAL_VIDEO%22%2C%22placeholder_product_id%22%3A%221729427766722726591%22%2C%22placeholder_video_id%22%3A%227624071767161818389%22%7D&amp;ec_shared_reflux_scene=shop_tab_feed&amp;share_item_id=7624071767161818389&amp;source=h5_t" TargetMode="External"/><Relationship Id="rId10000" Type="http://schemas.openxmlformats.org/officeDocument/2006/relationships/hyperlink" Target="https://www.tiktok.com/@_ur.gurlie" TargetMode="External"/><Relationship Id="rId1267" Type="http://schemas.openxmlformats.org/officeDocument/2006/relationships/hyperlink" Target="https://www.tiktok.com/@jossone_" TargetMode="External"/><Relationship Id="rId2598" Type="http://schemas.openxmlformats.org/officeDocument/2006/relationships/hyperlink" Target="https://www.tiktok.com/@outfitce_/video/7624315207434734868?_r=1&amp;u_code=e0898kg4gbb4c7&amp;region=&amp;mid=7473819705229658935&amp;preview_pb=0&amp;sharer_language=&amp;_d=0&amp;ec_shared_reflux_dynamic_params=%7B%22placeholder_material_id%22%3A%227624315207434734868%22%2C%22placeholder_origin_cover%22%3A%22https%253A%252F%252Fp16-common-sign.tiktokcdn.com%252Ftos-alisg-p-0037%252FosA5SQgWTDBeBbrAAMCocDcnWGRgog8jKIeyeE~tplv-tiktokx-origin.jpeg%253Fdr%253D14572%2526refresh_token%253Dd3f3ea1b%2526x-expires%253D1808474400%2526x-signature%253DIh243rSsJzdcU3H7a%25252BFjJVS2EsQ%25253D%2526t%253D4d5b0474%2526ps%253D13740610%2526shp%253Dd05b14bd%2526shcp%253D34ff8df6%2526idc%253Dmy3%2526s%253DTIKTOK_AFFILIATE_VIRAL_VIDEO%22%2C%22placeholder_product_id%22%3A%221729427766722726591%22%2C%22placeholder_video_id%22%3A%227624315207434734868%22%7D&amp;ec_shared_reflux_scene=shop_tab_feed&amp;share_item_id=7624315207434734868&amp;source=h5_t" TargetMode="External"/><Relationship Id="rId10001" Type="http://schemas.openxmlformats.org/officeDocument/2006/relationships/hyperlink" Target="https://www.tiktok.com/@la.wulan" TargetMode="External"/><Relationship Id="rId3070" Type="http://schemas.openxmlformats.org/officeDocument/2006/relationships/hyperlink" Target="https://vt.tiktok.com/ZS9jS7uG2/" TargetMode="External"/><Relationship Id="rId3072" Type="http://schemas.openxmlformats.org/officeDocument/2006/relationships/hyperlink" Target="https://www.tiktok.com/@rizkiafiana" TargetMode="External"/><Relationship Id="rId3071" Type="http://schemas.openxmlformats.org/officeDocument/2006/relationships/hyperlink" Target="https://www.tiktok.com/@mamaceo21" TargetMode="External"/><Relationship Id="rId3074" Type="http://schemas.openxmlformats.org/officeDocument/2006/relationships/hyperlink" Target="https://vt.tiktok.com/ZS92MYwBX/" TargetMode="External"/><Relationship Id="rId3073" Type="http://schemas.openxmlformats.org/officeDocument/2006/relationships/hyperlink" Target="https://vt.tiktok.com/ZS92MA2QV/" TargetMode="External"/><Relationship Id="rId3076" Type="http://schemas.openxmlformats.org/officeDocument/2006/relationships/hyperlink" Target="https://www.tiktok.com/@ismagaluh97" TargetMode="External"/><Relationship Id="rId3075" Type="http://schemas.openxmlformats.org/officeDocument/2006/relationships/hyperlink" Target="https://vt.tiktok.com/ZS92MAWTj/" TargetMode="External"/><Relationship Id="rId3078" Type="http://schemas.openxmlformats.org/officeDocument/2006/relationships/hyperlink" Target="https://www.tiktok.com/@rindi.afrilia/video/7631724473405738260?_r=1&amp;u_code=dja890i3j90f3j&amp;region=&amp;mid=7564035816721304321&amp;preview_pb=0&amp;sharer_language=&amp;_d=0&amp;ec_shared_reflux_dynamic_params=%7B%22placeholder_material_id%22%3A%227631724473405738260%22%2C%22placeholder_origin_cover%22%3A%22https%253A%252F%252Fp19-common-sign.tiktokcdn.com%252Ftos-alisg-p-0037%252FoIAp0vwIisBAeuvil4Ay70VU9XuAICCrIjQ3vj~tplv-tiktokx-origin.jpeg%253Fdr%253D14572%2526refresh_token%253D04523340%2526x-expires%253D1810202400%2526x-signature%253DIaQ16Aq1Nmu%25252FvWtI%25252F6w0pRQKuEI%25253D%2526t%253D4d5b0474%2526ps%253D13740610%2526shp%253Dd05b14bd%2526shcp%253D34ff8df6%2526idc%253Dmy2%2526s%253DTIKTOK_AFFILIATE_VIRAL_VIDEO%22%2C%22placeholder_product_id%22%3A%221729427766722726591%22%2C%22placeholder_video_id%22%3A%227631724473405738260%22%7D&amp;ec_shared_reflux_scene=shop_tab_feed&amp;share_item_id=7631724473405738260&amp;source=h5_t" TargetMode="External"/><Relationship Id="rId3077" Type="http://schemas.openxmlformats.org/officeDocument/2006/relationships/hyperlink" Target="https://vt.tiktok.com/ZS92MfrqQ/" TargetMode="External"/><Relationship Id="rId3079" Type="http://schemas.openxmlformats.org/officeDocument/2006/relationships/hyperlink" Target="https://www.tiktok.com/@slvdew_" TargetMode="External"/><Relationship Id="rId4390" Type="http://schemas.openxmlformats.org/officeDocument/2006/relationships/hyperlink" Target="https://vt.tiktok.com/ZSxSdRffP/" TargetMode="External"/><Relationship Id="rId3061" Type="http://schemas.openxmlformats.org/officeDocument/2006/relationships/hyperlink" Target="https://vt.tiktok.com/ZS9jA86Xr/" TargetMode="External"/><Relationship Id="rId4392" Type="http://schemas.openxmlformats.org/officeDocument/2006/relationships/hyperlink" Target="https://vt.tiktok.com/ZSxrYkNQv/" TargetMode="External"/><Relationship Id="rId3060" Type="http://schemas.openxmlformats.org/officeDocument/2006/relationships/hyperlink" Target="https://vt.tiktok.com/ZS9jStQBc/" TargetMode="External"/><Relationship Id="rId4391" Type="http://schemas.openxmlformats.org/officeDocument/2006/relationships/hyperlink" Target="https://www.tiktok.com/@bullshi20" TargetMode="External"/><Relationship Id="rId3063" Type="http://schemas.openxmlformats.org/officeDocument/2006/relationships/hyperlink" Target="https://vt.tiktok.com/ZS9jA1gGX/" TargetMode="External"/><Relationship Id="rId4394" Type="http://schemas.openxmlformats.org/officeDocument/2006/relationships/hyperlink" Target="https://www.tiktok.com/@sitiyulianti10juli" TargetMode="External"/><Relationship Id="rId3062" Type="http://schemas.openxmlformats.org/officeDocument/2006/relationships/hyperlink" Target="https://vt.tiktok.com/ZS9jSqf2u/" TargetMode="External"/><Relationship Id="rId4393" Type="http://schemas.openxmlformats.org/officeDocument/2006/relationships/hyperlink" Target="https://www.tiktok.com/@_nonbell" TargetMode="External"/><Relationship Id="rId3065" Type="http://schemas.openxmlformats.org/officeDocument/2006/relationships/hyperlink" Target="https://vt.tiktok.com/ZS9jS3rof/" TargetMode="External"/><Relationship Id="rId4396" Type="http://schemas.openxmlformats.org/officeDocument/2006/relationships/hyperlink" Target="https://www.tiktok.com/@evahandoko" TargetMode="External"/><Relationship Id="rId3064" Type="http://schemas.openxmlformats.org/officeDocument/2006/relationships/hyperlink" Target="https://www.tiktok.com/@millaashter1922" TargetMode="External"/><Relationship Id="rId4395" Type="http://schemas.openxmlformats.org/officeDocument/2006/relationships/hyperlink" Target="https://www.tiktok.com/@verryfreak27" TargetMode="External"/><Relationship Id="rId3067" Type="http://schemas.openxmlformats.org/officeDocument/2006/relationships/hyperlink" Target="https://www.tiktok.com/@riarinjani78" TargetMode="External"/><Relationship Id="rId4398" Type="http://schemas.openxmlformats.org/officeDocument/2006/relationships/hyperlink" Target="https://vt.tiktok.com/ZSx6Du2Mt/" TargetMode="External"/><Relationship Id="rId3066" Type="http://schemas.openxmlformats.org/officeDocument/2006/relationships/hyperlink" Target="https://www.tiktok.com/@rindi.afrilia/video/7631505316294921493?_r=1&amp;u_code=dja890i3j90f3j&amp;region=&amp;mid=7381176581904878342&amp;preview_pb=0&amp;sharer_language=&amp;_d=0&amp;ec_shared_reflux_dynamic_params=%7B%22placeholder_material_id%22%3A%227631505316294921493%22%2C%22placeholder_origin_cover%22%3A%22https%253A%252F%252Fp16-common-sign.tiktokcdn.com%252Ftos-alisg-p-0037%252FowfaoAuOjwF6gQQnfoW8GFATVjUsVoQuGVMeRf~tplv-tiktokx-origin.jpeg%253Fdr%253D14572%2526refresh_token%253D3a3d8116%2526x-expires%253D1810202400%2526x-signature%253DG2o2pRcepD6uoQXjlMbW6oH6QIQ%25253D%2526t%253D4d5b0474%2526ps%253D13740610%2526shp%253Dd05b14bd%2526shcp%253D34ff8df6%2526idc%253Dmy2%2526s%253DTIKTOK_AFFILIATE_VIRAL_VIDEO%22%2C%22placeholder_product_id%22%3A%221729427766722726591%22%2C%22placeholder_video_id%22%3A%227631505316294921493%22%7D&amp;ec_shared_reflux_scene=shop_tab_feed&amp;share_item_id=7631505316294921493&amp;source=h5_t" TargetMode="External"/><Relationship Id="rId4397" Type="http://schemas.openxmlformats.org/officeDocument/2006/relationships/hyperlink" Target="https://vt.tiktok.com/ZSxrF3A8B/" TargetMode="External"/><Relationship Id="rId3069" Type="http://schemas.openxmlformats.org/officeDocument/2006/relationships/hyperlink" Target="https://vt.tiktok.com/ZS9jSbrV2/" TargetMode="External"/><Relationship Id="rId3068" Type="http://schemas.openxmlformats.org/officeDocument/2006/relationships/hyperlink" Target="https://vt.tiktok.com/ZS9jSbbGc/" TargetMode="External"/><Relationship Id="rId4399" Type="http://schemas.openxmlformats.org/officeDocument/2006/relationships/hyperlink" Target="https://www.tiktok.com/@ecywppp" TargetMode="External"/><Relationship Id="rId3090" Type="http://schemas.openxmlformats.org/officeDocument/2006/relationships/hyperlink" Target="https://www.tiktok.com/@ritajuwita.48" TargetMode="External"/><Relationship Id="rId3092" Type="http://schemas.openxmlformats.org/officeDocument/2006/relationships/hyperlink" Target="https://vt.tiktok.com/ZS92jYJMC/" TargetMode="External"/><Relationship Id="rId3091" Type="http://schemas.openxmlformats.org/officeDocument/2006/relationships/hyperlink" Target="https://vt.tiktok.com/ZS9223tgT/" TargetMode="External"/><Relationship Id="rId3094" Type="http://schemas.openxmlformats.org/officeDocument/2006/relationships/hyperlink" Target="https://vt.tiktok.com/ZS96939ed/" TargetMode="External"/><Relationship Id="rId3093" Type="http://schemas.openxmlformats.org/officeDocument/2006/relationships/hyperlink" Target="https://vt.tiktok.com/ZS969vxn9/" TargetMode="External"/><Relationship Id="rId3096" Type="http://schemas.openxmlformats.org/officeDocument/2006/relationships/hyperlink" Target="https://www.tiktok.com/@s_agrecia1/video/7623315981133171985?is_from_webapp=1&amp;sender_device=pc&amp;web_id=7611930277489657360" TargetMode="External"/><Relationship Id="rId3095" Type="http://schemas.openxmlformats.org/officeDocument/2006/relationships/hyperlink" Target="https://www.tiktok.com/@s_agrecia1" TargetMode="External"/><Relationship Id="rId3098" Type="http://schemas.openxmlformats.org/officeDocument/2006/relationships/hyperlink" Target="https://www.tiktok.com/@dyanamaliah" TargetMode="External"/><Relationship Id="rId3097" Type="http://schemas.openxmlformats.org/officeDocument/2006/relationships/hyperlink" Target="https://www.tiktok.com/@rindi.afrilia/video/7631725805579635989?_r=1&amp;u_code=dja890i3j90f3j&amp;region=&amp;mid=7401356337810066177&amp;preview_pb=0&amp;sharer_language=&amp;_d=0&amp;ec_shared_reflux_dynamic_params=%7B%22placeholder_material_id%22%3A%227631725805579635989%22%2C%22placeholder_origin_cover%22%3A%22https%253A%252F%252Fp16-common-sign.tiktokcdn.com%252Ftos-alisg-p-0037%252FoUkOIVFcolcmmdwpBCDAIX6fRVpgVB3EkVEDf7~tplv-tiktokx-origin.jpeg%253Fdr%253D14572%2526refresh_token%253Ddf34253f%2526x-expires%253D1810202400%2526x-signature%253DVW%25252BwMwo0nC2ujpGJpHqNbNpfxuM%25253D%2526t%253D4d5b0474%2526ps%253D13740610%2526shp%253Dd05b14bd%2526shcp%253D34ff8df6%2526idc%253Dmy2%2526s%253DTIKTOK_AFFILIATE_VIRAL_VIDEO%22%2C%22placeholder_product_id%22%3A%221729427766722726591%22%2C%22placeholder_video_id%22%3A%227631725805579635989%22%7D&amp;ec_shared_reflux_scene=shop_tab_feed&amp;share_item_id=7631725805579635989&amp;source=h5_t" TargetMode="External"/><Relationship Id="rId3099" Type="http://schemas.openxmlformats.org/officeDocument/2006/relationships/hyperlink" Target="https://vt.tiktok.com/ZS969GD6P/" TargetMode="External"/><Relationship Id="rId3081" Type="http://schemas.openxmlformats.org/officeDocument/2006/relationships/hyperlink" Target="https://vt.tiktok.com/ZS922oxDL/" TargetMode="External"/><Relationship Id="rId3080" Type="http://schemas.openxmlformats.org/officeDocument/2006/relationships/hyperlink" Target="https://vt.tiktok.com/ZS92jjTdt/" TargetMode="External"/><Relationship Id="rId3083" Type="http://schemas.openxmlformats.org/officeDocument/2006/relationships/hyperlink" Target="https://vt.tiktok.com/ZS92jdsDn/" TargetMode="External"/><Relationship Id="rId3082" Type="http://schemas.openxmlformats.org/officeDocument/2006/relationships/hyperlink" Target="https://vt.tiktok.com/ZS922wpHd/" TargetMode="External"/><Relationship Id="rId3085" Type="http://schemas.openxmlformats.org/officeDocument/2006/relationships/hyperlink" Target="https://www.tiktok.com/@hatim.id" TargetMode="External"/><Relationship Id="rId3084" Type="http://schemas.openxmlformats.org/officeDocument/2006/relationships/hyperlink" Target="http://hatim.id" TargetMode="External"/><Relationship Id="rId3087" Type="http://schemas.openxmlformats.org/officeDocument/2006/relationships/hyperlink" Target="https://vt.tiktok.com/ZS922copY/" TargetMode="External"/><Relationship Id="rId3086" Type="http://schemas.openxmlformats.org/officeDocument/2006/relationships/hyperlink" Target="https://vt.tiktok.com/ZS92jkKQe/" TargetMode="External"/><Relationship Id="rId3089" Type="http://schemas.openxmlformats.org/officeDocument/2006/relationships/hyperlink" Target="https://vt.tiktok.com/ZS92jhhyT/" TargetMode="External"/><Relationship Id="rId3088" Type="http://schemas.openxmlformats.org/officeDocument/2006/relationships/hyperlink" Target="https://vt.tiktok.com/ZS92jdrsu/" TargetMode="External"/><Relationship Id="rId3039" Type="http://schemas.openxmlformats.org/officeDocument/2006/relationships/hyperlink" Target="https://vt.tiktok.com/ZS9rXu7Hm/" TargetMode="External"/><Relationship Id="rId5691" Type="http://schemas.openxmlformats.org/officeDocument/2006/relationships/hyperlink" Target="https://www.tiktok.com/@innesuw_makeup/video/7633335813224271111?_r=1&amp;u_code=dieh4ac7f41fmk&amp;region=&amp;mid=7633335852126571285&amp;preview_pb=0&amp;sharer_language=&amp;_d=0&amp;ec_shared_reflux_dynamic_params=%7B%22placeholder_material_id%22%3A%227633335813224271111%22%2C%22placeholder_origin_cover%22%3A%22https%253A%252F%252Fp16-sign-sg.tiktokcdn.com%252Ftos-alisg-p-0037%252Fog01hAezo3gDUHruEDA4gtLIoTX2yTeQGODhCe~tplv-tiktokx-origin.jpeg%253Fdr%253D14572%2526refresh_token%253D245166e4%2526x-expires%253D1808992800%2526x-signature%253DdAhgO3D3a3DLx%25252BIAwE4MNgSGptE%25253D%2526t%253D4d5b0474%2526ps%253D13740610%2526shp%253Dd05b14bd%2526shcp%253D34ff8df6%2526idc%253Dmy2%2526s%253DTIKTOK_AFFILIATE_VIRAL_VIDEO%22%2C%22placeholder_product_id%22%3A%221729427766722726591%22%2C%22placeholder_video_id%22%3A%227633335813224271111%22%7D&amp;ec_shared_reflux_scene=shop_tab_feed&amp;share_item_id=7633335813224271111&amp;source=h5_t" TargetMode="External"/><Relationship Id="rId5692" Type="http://schemas.openxmlformats.org/officeDocument/2006/relationships/hyperlink" Target="https://vt.tiktok.com/ZS9fxN5k5/" TargetMode="External"/><Relationship Id="rId3030" Type="http://schemas.openxmlformats.org/officeDocument/2006/relationships/hyperlink" Target="https://vt.tiktok.com/ZS9rX6Yee/" TargetMode="External"/><Relationship Id="rId4361" Type="http://schemas.openxmlformats.org/officeDocument/2006/relationships/hyperlink" Target="https://www.tiktok.com/@harumrice/video/7637473301685882133?_r=1&amp;u_code=d6j7255963058c&amp;region=&amp;mid=7553891785866185484&amp;preview_pb=0&amp;sharer_language=&amp;_d=0&amp;ec_shared_reflux_dynamic_params=%7B%22placeholder_material_id%22%3A%227637473301685882133%22%2C%22placeholder_origin_cover%22%3A%22https%253A%252F%252Fp16-common-sign.tiktokcdn.com%252Ftos-alisg-p-0037%252FocdUBKfBcI5aR3pEEwCQDfBu9BYAbiBBiD09Ig~tplv-tiktokx-origin.jpeg%253Fdr%253D14572%2526refresh_token%253D41eeac32%2526x-expires%253D1810717200%2526x-signature%253DOlZIANZS5CqaAMF7myXkc4WUErM%25253D%2526t%253D4d5b0474%2526ps%253D13740610%2526shp%253Dd05b14bd%2526shcp%253D34ff8df6%2526idc%253Dmy3%2526s%253DTIKTOK_AFFILIATE_VIRAL_VIDEO%22%2C%22placeholder_product_id%22%3A%221729427766722726591%22%2C%22placeholder_video_id%22%3A%227637473301685882133%22%7D&amp;ec_shared_reflux_scene=shop_tab_feed&amp;share_item_id=7637473301685882133&amp;source=h5_t" TargetMode="External"/><Relationship Id="rId4360" Type="http://schemas.openxmlformats.org/officeDocument/2006/relationships/hyperlink" Target="https://www.tiktok.com/@Amydailyshop" TargetMode="External"/><Relationship Id="rId5690" Type="http://schemas.openxmlformats.org/officeDocument/2006/relationships/hyperlink" Target="https://vt.tiktok.com/ZS9YC5HgC/" TargetMode="External"/><Relationship Id="rId3032" Type="http://schemas.openxmlformats.org/officeDocument/2006/relationships/hyperlink" Target="https://vt.tiktok.com/ZS9rXHwMq/" TargetMode="External"/><Relationship Id="rId4363" Type="http://schemas.openxmlformats.org/officeDocument/2006/relationships/hyperlink" Target="https://www.tiktok.com/@harumrice/video/7637474626716667156?_r=1&amp;u_code=d6j7255963058c&amp;region=&amp;mid=7628086524046854913&amp;preview_pb=0&amp;sharer_language=&amp;_d=0&amp;ec_shared_reflux_dynamic_params=%7B%22placeholder_material_id%22%3A%227637474626716667156%22%2C%22placeholder_origin_cover%22%3A%22https%253A%252F%252Fp16-common-sign.tiktokcdn.com%252Ftos-alisg-p-0037%252FooPY93cAABAi7nwVzPBHu0IrfIkCJwIm3iqCjg~tplv-tiktokx-origin.jpeg%253Fdr%253D14572%2526refresh_token%253Dcae52462%2526x-expires%253D1810717200%2526x-signature%253DML%25252F7O05XWg4EVTvQqIh4MyhHwvM%25253D%2526t%253D4d5b0474%2526ps%253D13740610%2526shp%253Dd05b14bd%2526shcp%253D34ff8df6%2526idc%253Dmy3%2526s%253DTIKTOK_AFFILIATE_VIRAL_VIDEO%22%2C%22placeholder_product_id%22%3A%221729427766722726591%22%2C%22placeholder_video_id%22%3A%227637474626716667156%22%7D&amp;ec_shared_reflux_scene=shop_tab_feed&amp;share_item_id=7637474626716667156&amp;source=h5_t" TargetMode="External"/><Relationship Id="rId5695" Type="http://schemas.openxmlformats.org/officeDocument/2006/relationships/hyperlink" Target="https://vt.tiktok.com/ZS9jTks1k/" TargetMode="External"/><Relationship Id="rId3031" Type="http://schemas.openxmlformats.org/officeDocument/2006/relationships/hyperlink" Target="https://www.tiktok.com/@elaamira" TargetMode="External"/><Relationship Id="rId4362" Type="http://schemas.openxmlformats.org/officeDocument/2006/relationships/hyperlink" Target="https://www.tiktok.com/@harumrice/video/7637472663757245716?_r=1&amp;u_code=d6j7255963058c&amp;region=&amp;mid=7607064407760456464&amp;preview_pb=0&amp;sharer_language=&amp;_d=0&amp;ec_shared_reflux_dynamic_params=%7B%22placeholder_material_id%22%3A%227637472663757245716%22%2C%22placeholder_origin_cover%22%3A%22https%253A%252F%252Fp16-common-sign.tiktokcdn.com%252Ftos-alisg-p-0037%252Fok4AeJ4AnvGIF3Z3FQLIADGrReAGeiVggweLw4~tplv-tiktokx-origin.jpeg%253Fdr%253D14572%2526refresh_token%253D1532a420%2526x-expires%253D1810717200%2526x-signature%253D5vzO9DBPfHwhInnmqYj2RRHG%25252F74%25253D%2526t%253D4d5b0474%2526ps%253D13740610%2526shp%253Dd05b14bd%2526shcp%253D34ff8df6%2526idc%253Dmy3%2526s%253DTIKTOK_AFFILIATE_VIRAL_VIDEO%22%2C%22placeholder_product_id%22%3A%221729427766722726591%22%2C%22placeholder_video_id%22%3A%227637472663757245716%22%7D&amp;ec_shared_reflux_scene=shop_tab_feed&amp;share_item_id=7637472663757245716&amp;source=h5_t" TargetMode="External"/><Relationship Id="rId5696" Type="http://schemas.openxmlformats.org/officeDocument/2006/relationships/hyperlink" Target="https://vt.tiktok.com/ZS9jTyBBX/" TargetMode="External"/><Relationship Id="rId3034" Type="http://schemas.openxmlformats.org/officeDocument/2006/relationships/hyperlink" Target="https://www.tiktok.com/@berkah.glosir/video/7634357560673438996?_r=1&amp;u_code=e4hbm162fcgeg9&amp;region=&amp;mid=7606071400499628049&amp;preview_pb=0&amp;sharer_language=&amp;_d=0&amp;ec_shared_reflux_dynamic_params=%7B%22placeholder_material_id%22%3A%227634357560673438996%22%2C%22placeholder_origin_cover%22%3A%22https%253A%252F%252Fp19-common-sign.tiktokcdn.com%252Ftos-alisg-p-0037%252FowYIeDF5GIDdB9BAelZAf2E0TyIwj0xD448VrC~tplv-tiktokx-origin.jpeg%253Fdr%253D14572%2526refresh_token%253Dfd743d03%2526x-expires%253D1810116000%2526x-signature%253DPYyhIChfuNE9bYwR10goQSkFaB0%25253D%2526t%253D4d5b0474%2526ps%253D13740610%2526shp%253Dd05b14bd%2526shcp%253D34ff8df6%2526idc%253Dmy2%2526s%253DTIKTOK_AFFILIATE_VIRAL_VIDEO%22%2C%22placeholder_product_id%22%3A%221729729730555512511%22%2C%22placeholder_video_id%22%3A%227634357560673438996%22%7D&amp;ec_shared_reflux_scene=shop_tab_feed&amp;share_item_id=7634357560673438996&amp;source=h5_t" TargetMode="External"/><Relationship Id="rId4365" Type="http://schemas.openxmlformats.org/officeDocument/2006/relationships/hyperlink" Target="https://www.tiktok.com/@shelby.collection" TargetMode="External"/><Relationship Id="rId5693" Type="http://schemas.openxmlformats.org/officeDocument/2006/relationships/hyperlink" Target="https://vt.tiktok.com/ZS9fxruGY/" TargetMode="External"/><Relationship Id="rId3033" Type="http://schemas.openxmlformats.org/officeDocument/2006/relationships/hyperlink" Target="https://vt.tiktok.com/ZS9rXPGXo/" TargetMode="External"/><Relationship Id="rId4364" Type="http://schemas.openxmlformats.org/officeDocument/2006/relationships/hyperlink" Target="https://www.tiktok.com/@harumrice/video/7637471984758131989?_r=1&amp;u_code=d6j7255963058c&amp;region=&amp;mid=7628793703754861333&amp;preview_pb=0&amp;sharer_language=&amp;_d=0&amp;ec_shared_reflux_dynamic_params=%7B%22placeholder_material_id%22%3A%227637471984758131989%22%2C%22placeholder_origin_cover%22%3A%22https%253A%252F%252Fp16-common-sign.tiktokcdn.com%252Ftos-alisg-p-0037%252FoUINJKQA49AFkEcgPfjYoffIgBDuDC4QkEKT07~tplv-tiktokx-origin.jpeg%253Fdr%253D14572%2526refresh_token%253D99337dac%2526x-expires%253D1810717200%2526x-signature%253DJzpOI7Le%25252F%25252B8%25252FNDaa9hbc1dajF3w%25253D%2526t%253D4d5b0474%2526ps%253D13740610%2526shp%253Dd05b14bd%2526shcp%253D34ff8df6%2526idc%253Dmy3%2526s%253DTIKTOK_AFFILIATE_VIRAL_VIDEO%22%2C%22placeholder_product_id%22%3A%221729427766722726591%22%2C%22placeholder_video_id%22%3A%227637471984758131989%22%7D&amp;ec_shared_reflux_scene=shop_tab_feed&amp;share_item_id=7637471984758131989&amp;source=h5_t" TargetMode="External"/><Relationship Id="rId5694" Type="http://schemas.openxmlformats.org/officeDocument/2006/relationships/hyperlink" Target="https://www.tiktok.com/@anggita.mrfa" TargetMode="External"/><Relationship Id="rId3036" Type="http://schemas.openxmlformats.org/officeDocument/2006/relationships/hyperlink" Target="https://www.tiktok.com/@alvy_macan" TargetMode="External"/><Relationship Id="rId4367" Type="http://schemas.openxmlformats.org/officeDocument/2006/relationships/hyperlink" Target="https://www.tiktok.com/@harumrice/video/7637470312921074964?_r=1&amp;u_code=d6j7255963058c&amp;region=&amp;mid=7637470341552343828&amp;preview_pb=0&amp;sharer_language=&amp;_d=0&amp;ec_shared_reflux_dynamic_params=%7B%22placeholder_material_id%22%3A%227637470312921074964%22%2C%22placeholder_origin_cover%22%3A%22https%253A%252F%252Fp16-common-sign.tiktokcdn.com%252Ftos-alisg-p-0037%252FoIX1tPCneAAUGfzEQo33fGvFwA98QbkDRoeAQM~tplv-tiktokx-origin.jpeg%253Fdr%253D14572%2526refresh_token%253D95ee8939%2526x-expires%253D1810717200%2526x-signature%253DQHNGZEk%25252FaqT388k%25252BXUnqRyFoSDE%25253D%2526t%253D4d5b0474%2526ps%253D13740610%2526shp%253Dd05b14bd%2526shcp%253D34ff8df6%2526idc%253Dmy3%2526s%253DTIKTOK_AFFILIATE_VIRAL_VIDEO%22%2C%22placeholder_product_id%22%3A%221729427766722726591%22%2C%22placeholder_video_id%22%3A%227637470312921074964%22%7D&amp;ec_shared_reflux_scene=shop_tab_feed&amp;share_item_id=7637470312921074964&amp;source=h5_t" TargetMode="External"/><Relationship Id="rId5699" Type="http://schemas.openxmlformats.org/officeDocument/2006/relationships/hyperlink" Target="https://www.tiktok.com/@icaluthfi2723" TargetMode="External"/><Relationship Id="rId3035" Type="http://schemas.openxmlformats.org/officeDocument/2006/relationships/hyperlink" Target="https://www.tiktok.com/@berkah.glosir/video/7634356751751564565?_r=1&amp;u_code=e4hbm162fcgeg9&amp;region=&amp;mid=7621834639526791943&amp;preview_pb=0&amp;sharer_language=&amp;_d=0&amp;ec_shared_reflux_dynamic_params=%7B%22placeholder_material_id%22%3A%227634356751751564565%22%2C%22placeholder_origin_cover%22%3A%22https%253A%252F%252Fp16-common-sign.tiktokcdn.com%252Ftos-alisg-p-0037%252FoAVptZel2AN1BRAmgIiU8rcBBfIGywqiBEBXyI~tplv-tiktokx-origin.jpeg%253Fdr%253D14572%2526refresh_token%253D8f41b30f%2526x-expires%253D1810116000%2526x-signature%253DBT0WilnqkFWuyg2QvNPwiBwam%25252FQ%25253D%2526t%253D4d5b0474%2526ps%253D13740610%2526shp%253Dd05b14bd%2526shcp%253D34ff8df6%2526idc%253Dmy2%2526s%253DTIKTOK_AFFILIATE_VIRAL_VIDEO%22%2C%22placeholder_product_id%22%3A%221729729730555512511%22%2C%22placeholder_video_id%22%3A%227634356751751564565%22%7D&amp;ec_shared_reflux_scene=shop_tab_feed&amp;share_item_id=7634356751751564565&amp;source=h5_t" TargetMode="External"/><Relationship Id="rId4366" Type="http://schemas.openxmlformats.org/officeDocument/2006/relationships/hyperlink" Target="https://www.tiktok.com/@harumrice/video/7637471572541836564?_d=0&amp;_r=1&amp;ec_shared_reflux_dynamic_params=%7B%22placeholder_material_id%22%3A%227637471572541836564%22%2C%22placeholder_origin_cover%22%3A%22https%253A%252F%252Fp16-common-sign.tiktokcdn.com%252Ftos-alisg-p-0037%252Focgae3GRBGA4fAf2PnRAxpHHwFs37f9Yvzzbxu~tplv-tiktokx-origin.jpeg%253Fdr%253D14572%2526refresh_token%253Dafdbc7bd%2526x-expires%253D1810717200%2526x-signature%253DIAwhVKsTCgRiFsdi9hBunYr9bqA%25253D%2526t%253D4d5b0474%2526ps%253D13740610%2526shp%253Dd05b14bd%2526shcp%253D34ff8df6%2526idc%253Dmy3%2526s%253DTIKTOK_AFFILIATE_VIRAL_VIDEO%22%2C%22placeholder_product_id%22%3A%221729427766722726591%22%2C%22placeholder_video_id%22%3A%227637471572541836564%22%7D&amp;ec_shared_reflux_scene=shop_tab_feed&amp;mid=7632644028970568455&amp;preview_pb=0&amp;region=&amp;share_item_id=7637471572541836564&amp;sharer_language=&amp;source=h5_t&amp;u_code=d6j7255963058c" TargetMode="External"/><Relationship Id="rId3038" Type="http://schemas.openxmlformats.org/officeDocument/2006/relationships/hyperlink" Target="https://vt.tiktok.com/ZS9rXbSJH/" TargetMode="External"/><Relationship Id="rId4369" Type="http://schemas.openxmlformats.org/officeDocument/2006/relationships/hyperlink" Target="https://www.tiktok.com/@harumrice/video/7637432910542425364?_r=1&amp;u_code=d6j7255963058c&amp;region=&amp;mid=7637432947415534356&amp;preview_pb=0&amp;sharer_language=&amp;_d=0&amp;ec_shared_reflux_dynamic_params=%7B%22placeholder_material_id%22%3A%227637432910542425364%22%2C%22placeholder_origin_cover%22%3A%22https%253A%252F%252Fp19-common-sign.tiktokcdn.com%252Ftos-alisg-p-0037%252FokTtIt9Ej4xfwyvGnABZ7IhfIAzTetDzoqMDFC~tplv-tiktokx-origin.jpeg%253Fdr%253D14572%2526refresh_token%253Dccc1eb13%2526x-expires%253D1810717200%2526x-signature%253DscCk2K9GF3GG%25252B776yhYWEQEAtIs%25253D%2526t%253D4d5b0474%2526ps%253D13740610%2526shp%253Dd05b14bd%2526shcp%253D34ff8df6%2526idc%253Dmy3%2526s%253DTIKTOK_AFFILIATE_VIRAL_VIDEO%22%2C%22placeholder_product_id%22%3A%221729427766722726591%22%2C%22placeholder_video_id%22%3A%227637432910542425364%22%7D&amp;ec_shared_reflux_scene=shop_tab_feed&amp;share_item_id=7637432910542425364&amp;source=h5_t" TargetMode="External"/><Relationship Id="rId5697" Type="http://schemas.openxmlformats.org/officeDocument/2006/relationships/hyperlink" Target="https://vt.tiktok.com/ZS9kJnjAS/" TargetMode="External"/><Relationship Id="rId3037" Type="http://schemas.openxmlformats.org/officeDocument/2006/relationships/hyperlink" Target="https://vt.tiktok.com/ZS9rXfDRB/" TargetMode="External"/><Relationship Id="rId4368" Type="http://schemas.openxmlformats.org/officeDocument/2006/relationships/hyperlink" Target="https://www.tiktok.com/@harumrice/video/7637470907400899861?_r=1&amp;u_code=d6j7255963058c&amp;region=&amp;mid=7396636497183148805&amp;preview_pb=0&amp;sharer_language=&amp;_d=0&amp;ec_shared_reflux_dynamic_params=%7B%22placeholder_material_id%22%3A%227637470907400899861%22%2C%22placeholder_origin_cover%22%3A%22https%253A%252F%252Fp16-common-sign.tiktokcdn.com%252Ftos-alisg-p-0037%252Fo04vtifIA19RqB1kIZvBApMLXniEfp0cgDB9IV~tplv-tiktokx-origin.jpeg%253Fdr%253D14572%2526refresh_token%253Dbaba4e12%2526x-expires%253D1810717200%2526x-signature%253DSbj63o9u4h%25252FXycsOuRjLeJJ%25252Fs8I%25253D%2526t%253D4d5b0474%2526ps%253D13740610%2526shp%253Dd05b14bd%2526shcp%253D34ff8df6%2526idc%253Dmy3%2526s%253DTIKTOK_AFFILIATE_VIRAL_VIDEO%22%2C%22placeholder_product_id%22%3A%221729427766722726591%22%2C%22placeholder_video_id%22%3A%227637470907400899861%22%7D&amp;ec_shared_reflux_scene=shop_tab_feed&amp;share_item_id=7637470907400899861&amp;source=h5_t" TargetMode="External"/><Relationship Id="rId5698" Type="http://schemas.openxmlformats.org/officeDocument/2006/relationships/hyperlink" Target="https://vt.tiktok.com/ZS9kJWGRt/" TargetMode="External"/><Relationship Id="rId3029" Type="http://schemas.openxmlformats.org/officeDocument/2006/relationships/hyperlink" Target="https://vt.tiktok.com/ZS9rCnJBX/" TargetMode="External"/><Relationship Id="rId3028" Type="http://schemas.openxmlformats.org/officeDocument/2006/relationships/hyperlink" Target="https://vt.tiktok.com/ZS9rCcjeE/" TargetMode="External"/><Relationship Id="rId4359" Type="http://schemas.openxmlformats.org/officeDocument/2006/relationships/hyperlink" Target="https://www.tiktok.com/@racun_spalspil12/video/7641432096422038804?_r=1&amp;u_code=cllj6j6aidf05b&amp;region=&amp;mid=7638519572057148180&amp;preview_pb=0&amp;sharer_language=&amp;_d=0&amp;ec_shared_reflux_dynamic_params=%7B%22placeholder_material_id%22%3A%227641432096422038804%22%2C%22placeholder_origin_cover%22%3A%22https%253A%252F%252Fp16-common-sign.tiktokcdn.com%252Ftos-alisg-p-0037%252FokBUFDMtQDCQfIfp8IAAQCUWf6LndqTOjQFjo0~tplv-tiktokx-origin.jpeg%253Fdr%253D14572%2526refresh_token%253D9140d043%2526x-expires%253D1810720800%2526x-signature%253DVb%25252BPCYU036U%25252B2sdUcjqyojYtYHA%25253D%2526t%253D4d5b0474%2526ps%253D13740610%2526shp%253Dd05b14bd%2526shcp%253D34ff8df6%2526idc%253Dmy3%2526s%253DTIKTOK_AFFILIATE_VIRAL_VIDEO%22%2C%22placeholder_product_id%22%3A%221729729730555512511%22%2C%22placeholder_video_id%22%3A%227641432096422038804%22%7D&amp;ec_shared_reflux_scene=shop_tab_feed&amp;share_item_id=7641432096422038804&amp;source=h5_t" TargetMode="External"/><Relationship Id="rId10309" Type="http://schemas.openxmlformats.org/officeDocument/2006/relationships/hyperlink" Target="https://www.tiktok.com/@seftadwirantiii" TargetMode="External"/><Relationship Id="rId10303" Type="http://schemas.openxmlformats.org/officeDocument/2006/relationships/hyperlink" Target="https://www.tiktok.com/@ainie.s" TargetMode="External"/><Relationship Id="rId10304" Type="http://schemas.openxmlformats.org/officeDocument/2006/relationships/hyperlink" Target="https://www.tiktok.com/@santiismawati25" TargetMode="External"/><Relationship Id="rId10301" Type="http://schemas.openxmlformats.org/officeDocument/2006/relationships/hyperlink" Target="https://www.tiktok.com/@aisyahnurafe" TargetMode="External"/><Relationship Id="rId10302" Type="http://schemas.openxmlformats.org/officeDocument/2006/relationships/hyperlink" Target="https://www.tiktok.com/@minceu_090723" TargetMode="External"/><Relationship Id="rId5680" Type="http://schemas.openxmlformats.org/officeDocument/2006/relationships/hyperlink" Target="https://vt.tiktok.com/ZSxWUJdmq/" TargetMode="External"/><Relationship Id="rId10307" Type="http://schemas.openxmlformats.org/officeDocument/2006/relationships/hyperlink" Target="https://www.tiktok.com/@jexxyyzz" TargetMode="External"/><Relationship Id="rId5681" Type="http://schemas.openxmlformats.org/officeDocument/2006/relationships/hyperlink" Target="https://www.tiktok.com/@Deppi_angraeni" TargetMode="External"/><Relationship Id="rId10308" Type="http://schemas.openxmlformats.org/officeDocument/2006/relationships/hyperlink" Target="https://www.tiktok.com/@hasanatul.amalia7" TargetMode="External"/><Relationship Id="rId4350" Type="http://schemas.openxmlformats.org/officeDocument/2006/relationships/hyperlink" Target="https://www.tiktok.com/@Ayunitanf" TargetMode="External"/><Relationship Id="rId10305" Type="http://schemas.openxmlformats.org/officeDocument/2006/relationships/hyperlink" Target="https://www.tiktok.com/@mayuth38" TargetMode="External"/><Relationship Id="rId10306" Type="http://schemas.openxmlformats.org/officeDocument/2006/relationships/hyperlink" Target="https://www.tiktok.com/@ms_9305" TargetMode="External"/><Relationship Id="rId3021" Type="http://schemas.openxmlformats.org/officeDocument/2006/relationships/hyperlink" Target="https://www.tiktok.com/@ini_aizee" TargetMode="External"/><Relationship Id="rId4352" Type="http://schemas.openxmlformats.org/officeDocument/2006/relationships/hyperlink" Target="https://www.tiktok.com/@harumrice/video/7637474214160682261?_r=1&amp;u_code=d6j7255963058c&amp;region=&amp;mid=7631845905444539157&amp;preview_pb=0&amp;sharer_language=&amp;_d=0&amp;ec_shared_reflux_dynamic_params=%7B%22placeholder_material_id%22%3A%227637474214160682261%22%2C%22placeholder_origin_cover%22%3A%22https%253A%252F%252Fp16-common-sign.tiktokcdn.com%252Ftos-alisg-p-0037%252FokrJO7IEcTQgf6LTAMCQjhIFdfHJfhI4DDsCAJ~tplv-tiktokx-origin.jpeg%253Fdr%253D14572%2526refresh_token%253D100fb381%2526x-expires%253D1810717200%2526x-signature%253DX0cIjqa9o%25252BsnQwZXa1SeebTFN0U%25253D%2526t%253D4d5b0474%2526ps%253D13740610%2526shp%253Dd05b14bd%2526shcp%253D34ff8df6%2526idc%253Dmy3%2526s%253DTIKTOK_AFFILIATE_VIRAL_VIDEO%22%2C%22placeholder_product_id%22%3A%221729427766722726591%22%2C%22placeholder_video_id%22%3A%227637474214160682261%22%7D&amp;ec_shared_reflux_scene=shop_tab_feed&amp;share_item_id=7637474214160682261&amp;source=h5_t" TargetMode="External"/><Relationship Id="rId5684" Type="http://schemas.openxmlformats.org/officeDocument/2006/relationships/hyperlink" Target="https://vt.tiktok.com/ZSxWU2RwJ/" TargetMode="External"/><Relationship Id="rId3020" Type="http://schemas.openxmlformats.org/officeDocument/2006/relationships/hyperlink" Target="https://vt.tiktok.com/ZS9jj4XsQ/" TargetMode="External"/><Relationship Id="rId4351" Type="http://schemas.openxmlformats.org/officeDocument/2006/relationships/hyperlink" Target="https://www.tiktok.com/@harumrice/video/7637486574992854293?_r=1&amp;u_code=d6j7255963058c&amp;region=&amp;mid=7579718924125161489&amp;preview_pb=0&amp;sharer_language=&amp;_d=0&amp;ec_shared_reflux_dynamic_params=%7B%22placeholder_material_id%22%3A%227637486574992854293%22%2C%22placeholder_origin_cover%22%3A%22https%253A%252F%252Fp16-common-sign.tiktokcdn.com%252Ftos-alisg-p-0037%252Fo8enkWpRRAvYBGRTAILhezwGbePmfZ5IGRFP9I~tplv-tiktokx-origin.jpeg%253Fdr%253D14572%2526refresh_token%253Df9f5f8c4%2526x-expires%253D1810717200%2526x-signature%253D38qZeArJizd0Y7hfc3yxth37tbA%25253D%2526t%253D4d5b0474%2526ps%253D13740610%2526shp%253Dd05b14bd%2526shcp%253D34ff8df6%2526idc%253Dmy3%2526s%253DTIKTOK_AFFILIATE_VIRAL_VIDEO%22%2C%22placeholder_product_id%22%3A%221729427766722726591%22%2C%22placeholder_video_id%22%3A%227637486574992854293%22%7D&amp;ec_shared_reflux_scene=shop_tab_feed&amp;share_item_id=7637486574992854293&amp;source=h5_t" TargetMode="External"/><Relationship Id="rId5685" Type="http://schemas.openxmlformats.org/officeDocument/2006/relationships/hyperlink" Target="https://www.tiktok.com/@Biinbiinstore" TargetMode="External"/><Relationship Id="rId3023" Type="http://schemas.openxmlformats.org/officeDocument/2006/relationships/hyperlink" Target="https://vt.tiktok.com/ZS9rCEMcX/" TargetMode="External"/><Relationship Id="rId4354" Type="http://schemas.openxmlformats.org/officeDocument/2006/relationships/hyperlink" Target="https://www.tiktok.com/@racun_spalspil12/video/7641430923380034837?_r=1&amp;u_code=cllj6j6aidf05b&amp;region=&amp;mid=7632650978155694866&amp;preview_pb=0&amp;sharer_language=&amp;_d=0&amp;ec_shared_reflux_dynamic_params=%7B%22placeholder_material_id%22%3A%227641430923380034837%22%2C%22placeholder_origin_cover%22%3A%22https%253A%252F%252Fp16-common-sign.tiktokcdn.com%252Ftos-alisg-p-0037%252FokBGRfD0Co9fBl6WL3nwUC3EF6nFQEqJBQgASV~tplv-tiktokx-origin.jpeg%253Fdr%253D14572%2526refresh_token%253D4fe5e644%2526x-expires%253D1810720800%2526x-signature%253DACpdmwQxjV%25252F8c6XNJfBpSQ3a1Do%25253D%2526t%253D4d5b0474%2526ps%253D13740610%2526shp%253Dd05b14bd%2526shcp%253D34ff8df6%2526idc%253Dmy3%2526s%253DTIKTOK_AFFILIATE_VIRAL_VIDEO%22%2C%22placeholder_product_id%22%3A%221729729730555512511%22%2C%22placeholder_video_id%22%3A%227641430923380034837%22%7D&amp;ec_shared_reflux_scene=shop_tab_feed&amp;share_item_id=7641430923380034837&amp;source=h5_t" TargetMode="External"/><Relationship Id="rId5682" Type="http://schemas.openxmlformats.org/officeDocument/2006/relationships/hyperlink" Target="https://vt.tiktok.com/ZS9BtHDCn/" TargetMode="External"/><Relationship Id="rId3022" Type="http://schemas.openxmlformats.org/officeDocument/2006/relationships/hyperlink" Target="https://vt.tiktok.com/ZS9rXJP8h/" TargetMode="External"/><Relationship Id="rId4353" Type="http://schemas.openxmlformats.org/officeDocument/2006/relationships/hyperlink" Target="https://www.tiktok.com/@racun_spalspil12/video/7637215804181777685?_r=1&amp;u_code=cllj6j6aidf05b&amp;region=&amp;mid=7604473397582940177&amp;preview_pb=0&amp;sharer_language=&amp;_d=0&amp;ec_shared_reflux_dynamic_params=%7B%22placeholder_material_id%22%3A%227637215804181777685%22%2C%22placeholder_origin_cover%22%3A%22https%253A%252F%252Fp16-common-sign.tiktokcdn.com%252Ftos-alisg-p-0037%252FoklE1XifyIBMj7BAuw3gf3ihp8IWR0YBc21m1B~tplv-tiktokx-origin.jpeg%253Fdr%253D14572%2526refresh_token%253D51966eb0%2526x-expires%253D1810720800%2526x-signature%253DOaB1H8FSiCI2TMCL0EAn0inxLBw%25253D%2526t%253D4d5b0474%2526ps%253D13740610%2526shp%253Dd05b14bd%2526shcp%253D34ff8df6%2526idc%253Dmy3%2526s%253DTIKTOK_AFFILIATE_VIRAL_VIDEO%22%2C%22placeholder_product_id%22%3A%221729729730555512511%22%2C%22placeholder_video_id%22%3A%227637215804181777685%22%7D&amp;ec_shared_reflux_scene=shop_tab_feed&amp;share_item_id=7637215804181777685&amp;source=h5_t" TargetMode="External"/><Relationship Id="rId5683" Type="http://schemas.openxmlformats.org/officeDocument/2006/relationships/hyperlink" Target="https://vt.tiktok.com/ZS9Btbnw9/" TargetMode="External"/><Relationship Id="rId3025" Type="http://schemas.openxmlformats.org/officeDocument/2006/relationships/hyperlink" Target="https://vt.tiktok.com/ZS9rXRtkT/" TargetMode="External"/><Relationship Id="rId4356" Type="http://schemas.openxmlformats.org/officeDocument/2006/relationships/hyperlink" Target="https://vt.tiktok.com/ZSH35jcBF/" TargetMode="External"/><Relationship Id="rId5688" Type="http://schemas.openxmlformats.org/officeDocument/2006/relationships/hyperlink" Target="https://vt.tiktok.com/ZSxmUD5Gt/" TargetMode="External"/><Relationship Id="rId3024" Type="http://schemas.openxmlformats.org/officeDocument/2006/relationships/hyperlink" Target="https://vt.tiktok.com/ZS9rCo7bP/" TargetMode="External"/><Relationship Id="rId4355" Type="http://schemas.openxmlformats.org/officeDocument/2006/relationships/hyperlink" Target="https://www.tiktok.com/@krlnayaa" TargetMode="External"/><Relationship Id="rId5689" Type="http://schemas.openxmlformats.org/officeDocument/2006/relationships/hyperlink" Target="https://www.tiktok.com/@Innesuw_makeup" TargetMode="External"/><Relationship Id="rId10300" Type="http://schemas.openxmlformats.org/officeDocument/2006/relationships/hyperlink" Target="https://www.tiktok.com/@myskincurity" TargetMode="External"/><Relationship Id="rId3027" Type="http://schemas.openxmlformats.org/officeDocument/2006/relationships/hyperlink" Target="https://vt.tiktok.com/ZS9rXM5J2/" TargetMode="External"/><Relationship Id="rId4358" Type="http://schemas.openxmlformats.org/officeDocument/2006/relationships/hyperlink" Target="https://www.tiktok.com/@racun_spalspil12/video/7641431774454746388?_r=1&amp;u_code=cllj6j6aidf05b&amp;region=&amp;mid=7638686090069887764&amp;preview_pb=0&amp;sharer_language=&amp;_d=0&amp;ec_shared_reflux_dynamic_params=%7B%22placeholder_material_id%22%3A%227641431774454746388%22%2C%22placeholder_origin_cover%22%3A%22https%253A%252F%252Fp16-common-sign.tiktokcdn.com%252Ftos-alisg-p-0037%252FoIo3OF4EEQAQglCR9XfGkDpARgKXqDUDBEaeBH~tplv-tiktokx-origin.jpeg%253Fdr%253D14572%2526refresh_token%253D69e55842%2526x-expires%253D1810720800%2526x-signature%253DTqwIYJtgY4ajm67H8GWNzGe%25252BWl4%25253D%2526t%253D4d5b0474%2526ps%253D13740610%2526shp%253Dd05b14bd%2526shcp%253D34ff8df6%2526idc%253Dmy3%2526s%253DTIKTOK_AFFILIATE_VIRAL_VIDEO%22%2C%22placeholder_product_id%22%3A%221729729730555512511%22%2C%22placeholder_video_id%22%3A%227641431774454746388%22%7D&amp;ec_shared_reflux_scene=shop_tab_feed&amp;share_item_id=7641431774454746388&amp;source=h5_t" TargetMode="External"/><Relationship Id="rId5686" Type="http://schemas.openxmlformats.org/officeDocument/2006/relationships/hyperlink" Target="https://vt.tiktok.com/ZSxHdMWwR/" TargetMode="External"/><Relationship Id="rId3026" Type="http://schemas.openxmlformats.org/officeDocument/2006/relationships/hyperlink" Target="https://www.tiktok.com/@atikwindharti" TargetMode="External"/><Relationship Id="rId4357" Type="http://schemas.openxmlformats.org/officeDocument/2006/relationships/hyperlink" Target="https://vt.tiktok.com/ZSHKhN6Xg/" TargetMode="External"/><Relationship Id="rId5687" Type="http://schemas.openxmlformats.org/officeDocument/2006/relationships/hyperlink" Target="https://vt.tiktok.com/ZS9qr62TF/" TargetMode="External"/><Relationship Id="rId3050" Type="http://schemas.openxmlformats.org/officeDocument/2006/relationships/hyperlink" Target="https://vt.tiktok.com/ZS92wcP9e/" TargetMode="External"/><Relationship Id="rId4381" Type="http://schemas.openxmlformats.org/officeDocument/2006/relationships/hyperlink" Target="https://www.tiktok.com/@harumrice/video/7637429987900919061?_r=1&amp;u_code=d6j7255963058c&amp;region=&amp;mid=7627212359236455185&amp;preview_pb=0&amp;sharer_language=&amp;_d=0&amp;ec_shared_reflux_dynamic_params=%7B%22placeholder_material_id%22%3A%227637429987900919061%22%2C%22placeholder_origin_cover%22%3A%22https%253A%252F%252Fp16-common-sign.tiktokcdn.com%252Ftos-alisg-p-0037%252FoMTfL7fmIMZZCbSIIld90DAPBjFiO4f2kAbDnE~tplv-tiktokx-origin.jpeg%253Fdr%253D14572%2526refresh_token%253Da3edec54%2526x-expires%253D1810717200%2526x-signature%253DWXeawwh3RK4DopUJnk%25252FtrqH%25252Frj0%25253D%2526t%253D4d5b0474%2526ps%253D13740610%2526shp%253Dd05b14bd%2526shcp%253D34ff8df6%2526idc%253Dmy3%2526s%253DTIKTOK_AFFILIATE_VIRAL_VIDEO%22%2C%22placeholder_product_id%22%3A%221729427766722726591%22%2C%22placeholder_video_id%22%3A%227637429987900919061%22%7D&amp;ec_shared_reflux_scene=shop_tab_feed&amp;share_item_id=7637429987900919061&amp;source=h5_t" TargetMode="External"/><Relationship Id="rId4380" Type="http://schemas.openxmlformats.org/officeDocument/2006/relationships/hyperlink" Target="https://www.tiktok.com/@mayakanama85" TargetMode="External"/><Relationship Id="rId3052" Type="http://schemas.openxmlformats.org/officeDocument/2006/relationships/hyperlink" Target="https://vt.tiktok.com/ZS9jSwv7s/" TargetMode="External"/><Relationship Id="rId4383" Type="http://schemas.openxmlformats.org/officeDocument/2006/relationships/hyperlink" Target="https://www.tiktok.com/@harumrice/video/7637429100486937877?_r=1&amp;u_code=d6j7255963058c&amp;region=&amp;mid=7537571734703901441&amp;preview_pb=0&amp;sharer_language=&amp;_d=0&amp;ec_shared_reflux_dynamic_params=%7B%22placeholder_material_id%22%3A%227637429100486937877%22%2C%22placeholder_origin_cover%22%3A%22https%253A%252F%252Fp16-common-sign.tiktokcdn.com%252Ftos-alisg-p-0037%252FoYAG7FXSifmqDMdZjfvCZ8I8A4EqD3vQ2TecQE~tplv-tiktokx-origin.jpeg%253Fdr%253D14572%2526refresh_token%253Dde89d652%2526x-expires%253D1810717200%2526x-signature%253DEzcpSFV%25252BYtFc9Obd%25252FpfaA7HHN%25252F8%25253D%2526t%253D4d5b0474%2526ps%253D13740610%2526shp%253Dd05b14bd%2526shcp%253D34ff8df6%2526idc%253Dmy3%2526s%253DTIKTOK_AFFILIATE_VIRAL_VIDEO%22%2C%22placeholder_product_id%22%3A%221729427766722726591%22%2C%22placeholder_video_id%22%3A%227637429100486937877%22%7D&amp;ec_shared_reflux_scene=shop_tab_feed&amp;share_item_id=7637429100486937877&amp;source=h5_t" TargetMode="External"/><Relationship Id="rId3051" Type="http://schemas.openxmlformats.org/officeDocument/2006/relationships/hyperlink" Target="https://vt.tiktok.com/ZS9havt8u/" TargetMode="External"/><Relationship Id="rId4382" Type="http://schemas.openxmlformats.org/officeDocument/2006/relationships/hyperlink" Target="https://www.tiktok.com/@harumrice/video/7637429557296893204?_r=1&amp;u_code=d6j7255963058c&amp;region=&amp;mid=7632266697139489557&amp;preview_pb=0&amp;sharer_language=&amp;_d=0&amp;ec_shared_reflux_dynamic_params=%7B%22placeholder_material_id%22%3A%227637429557296893204%22%2C%22placeholder_origin_cover%22%3A%22https%253A%252F%252Fp16-common-sign.tiktokcdn.com%252Ftos-alisg-p-0037%252FogAE7FIJmfY3DMRWjfXCZzIjA4ENDHDQ3TekQy~tplv-tiktokx-origin.jpeg%253Fdr%253D14572%2526refresh_token%253D984f383b%2526x-expires%253D1810717200%2526x-signature%253DaQ3HjzoHcXbvcUf3oN%25252FOzfVGz84%25253D%2526t%253D4d5b0474%2526ps%253D13740610%2526shp%253Dd05b14bd%2526shcp%253D34ff8df6%2526idc%253Dmy3%2526s%253DTIKTOK_AFFILIATE_VIRAL_VIDEO%22%2C%22placeholder_product_id%22%3A%221729427766722726591%22%2C%22placeholder_video_id%22%3A%227637429557296893204%22%7D&amp;ec_shared_reflux_scene=shop_tab_feed&amp;share_item_id=7637429557296893204&amp;source=h5_t" TargetMode="External"/><Relationship Id="rId3054" Type="http://schemas.openxmlformats.org/officeDocument/2006/relationships/hyperlink" Target="https://www.tiktok.com/@naberkah" TargetMode="External"/><Relationship Id="rId4385" Type="http://schemas.openxmlformats.org/officeDocument/2006/relationships/hyperlink" Target="https://www.tiktok.com/@Idaooooo0" TargetMode="External"/><Relationship Id="rId3053" Type="http://schemas.openxmlformats.org/officeDocument/2006/relationships/hyperlink" Target="https://vt.tiktok.com/ZS9jSsaYU/" TargetMode="External"/><Relationship Id="rId4384" Type="http://schemas.openxmlformats.org/officeDocument/2006/relationships/hyperlink" Target="https://www.tiktok.com/@harumrice/video/7637421986251099413?_r=1&amp;u_code=d6j7255963058c&amp;region=&amp;mid=7634107877507140372&amp;preview_pb=0&amp;sharer_language=&amp;_d=0&amp;ec_shared_reflux_dynamic_params=%7B%22placeholder_material_id%22%3A%227637421986251099413%22%2C%22placeholder_origin_cover%22%3A%22https%253A%252F%252Fp16-common-sign.tiktokcdn.com%252Ftos-alisg-p-0037%252Foc57W9Si2cIafyu0AHDIIk3i2vjnZRCuABWAwC~tplv-tiktokx-origin.jpeg%253Fdr%253D14572%2526refresh_token%253D527a86ad%2526x-expires%253D1810717200%2526x-signature%253DacPwFI98IqCeY4Vd%25252FUSblLKRjec%25253D%2526t%253D4d5b0474%2526ps%253D13740610%2526shp%253Dd05b14bd%2526shcp%253D34ff8df6%2526idc%253Dmy3%2526s%253DTIKTOK_AFFILIATE_VIRAL_VIDEO%22%2C%22placeholder_product_id%22%3A%221729427766722726591%22%2C%22placeholder_video_id%22%3A%227637421986251099413%22%7D&amp;ec_shared_reflux_scene=shop_tab_feed&amp;share_item_id=7637421986251099413&amp;source=h5_t" TargetMode="External"/><Relationship Id="rId3056" Type="http://schemas.openxmlformats.org/officeDocument/2006/relationships/hyperlink" Target="https://vt.tiktok.com/ZS9jSKojX/" TargetMode="External"/><Relationship Id="rId4387" Type="http://schemas.openxmlformats.org/officeDocument/2006/relationships/hyperlink" Target="https://www.tiktok.com/@uusofficial0" TargetMode="External"/><Relationship Id="rId3055" Type="http://schemas.openxmlformats.org/officeDocument/2006/relationships/hyperlink" Target="https://vt.tiktok.com/ZS9jARdhR/" TargetMode="External"/><Relationship Id="rId4386" Type="http://schemas.openxmlformats.org/officeDocument/2006/relationships/hyperlink" Target="https://vt.tiktok.com/ZS9Mo24m8/" TargetMode="External"/><Relationship Id="rId3058" Type="http://schemas.openxmlformats.org/officeDocument/2006/relationships/hyperlink" Target="https://vt.tiktok.com/ZS9jALFAn/" TargetMode="External"/><Relationship Id="rId4389" Type="http://schemas.openxmlformats.org/officeDocument/2006/relationships/hyperlink" Target="https://vt.tiktok.com/ZSxSdMYm4/" TargetMode="External"/><Relationship Id="rId3057" Type="http://schemas.openxmlformats.org/officeDocument/2006/relationships/hyperlink" Target="https://vt.tiktok.com/ZS9jSGXnP/" TargetMode="External"/><Relationship Id="rId4388" Type="http://schemas.openxmlformats.org/officeDocument/2006/relationships/hyperlink" Target="https://www.tiktok.com/@sheilasausan_" TargetMode="External"/><Relationship Id="rId3059" Type="http://schemas.openxmlformats.org/officeDocument/2006/relationships/hyperlink" Target="https://www.tiktok.com/@nenti_naryanti" TargetMode="External"/><Relationship Id="rId4370" Type="http://schemas.openxmlformats.org/officeDocument/2006/relationships/hyperlink" Target="https://www.tiktok.com/@Beauty_Shop361" TargetMode="External"/><Relationship Id="rId3041" Type="http://schemas.openxmlformats.org/officeDocument/2006/relationships/hyperlink" Target="https://www.tiktok.com/@beautymall_" TargetMode="External"/><Relationship Id="rId4372" Type="http://schemas.openxmlformats.org/officeDocument/2006/relationships/hyperlink" Target="https://www.tiktok.com/@harumrice/video/7637433587494604053?_r=1&amp;u_code=d6j7255963058c&amp;region=&amp;mid=7539158852165880577&amp;preview_pb=0&amp;sharer_language=&amp;_d=0&amp;ec_shared_reflux_dynamic_params=%7B%22placeholder_material_id%22%3A%227637433587494604053%22%2C%22placeholder_origin_cover%22%3A%22https%253A%252F%252Fp16-common-sign.tiktokcdn.com%252Ftos-alisg-p-0037%252FoAZIgfDn4FvsAC4rtTs1jfA60EQQfDxDQ7OtO6~tplv-tiktokx-origin.jpeg%253Fdr%253D14572%2526refresh_token%253Dd3c3208e%2526x-expires%253D1810717200%2526x-signature%253DvJ%25252FMREw9nNcVUTHM1TKaugJo9mI%25253D%2526t%253D4d5b0474%2526ps%253D13740610%2526shp%253Dd05b14bd%2526shcp%253D34ff8df6%2526idc%253Dmy3%2526s%253DTIKTOK_AFFILIATE_VIRAL_VIDEO%22%2C%22placeholder_product_id%22%3A%221729427766722726591%22%2C%22placeholder_video_id%22%3A%227637433587494604053%22%7D&amp;ec_shared_reflux_scene=shop_tab_feed&amp;share_item_id=7637433587494604053&amp;source=h5_t" TargetMode="External"/><Relationship Id="rId3040" Type="http://schemas.openxmlformats.org/officeDocument/2006/relationships/hyperlink" Target="https://vt.tiktok.com/ZS9jyawCd/" TargetMode="External"/><Relationship Id="rId4371" Type="http://schemas.openxmlformats.org/officeDocument/2006/relationships/hyperlink" Target="https://www.tiktok.com/@harumrice/video/7637432910542425364?_d=0&amp;_r=1&amp;ec_shared_reflux_dynamic_params=%7B%22placeholder_material_id%22%3A%227637432910542425364%22%2C%22placeholder_origin_cover%22%3A%22https%253A%252F%252Fp19-common-sign.tiktokcdn.com%252Ftos-alisg-p-0037%252FokTtIt9Ej4xfwyvGnABZ7IhfIAzTetDzoqMDFC~tplv-tiktokx-origin.jpeg%253Fdr%253D14572%2526refresh_token%253Dccc1eb13%2526x-expires%253D1810717200%2526x-signature%253DscCk2K9GF3GG%25252B776yhYWEQEAtIs%25253D%2526t%253D4d5b0474%2526ps%253D13740610%2526shp%253Dd05b14bd%2526shcp%253D34ff8df6%2526idc%253Dmy3%2526s%253DTIKTOK_AFFILIATE_VIRAL_VIDEO%22%2C%22placeholder_product_id%22%3A%221729427766722726591%22%2C%22placeholder_video_id%22%3A%227637432910542425364%22%7D&amp;ec_shared_reflux_scene=shop_tab_feed&amp;mid=7637432947415534356&amp;preview_pb=0&amp;region=&amp;share_item_id=7637432910542425364&amp;sharer_language=&amp;source=h5_t&amp;u_code=d6j7255963058c" TargetMode="External"/><Relationship Id="rId3043" Type="http://schemas.openxmlformats.org/officeDocument/2006/relationships/hyperlink" Target="https://vt.tiktok.com/ZS9jy4NC9/" TargetMode="External"/><Relationship Id="rId4374" Type="http://schemas.openxmlformats.org/officeDocument/2006/relationships/hyperlink" Target="https://www.tiktok.com/@harumrice/video/7637431275992911125?_d=0&amp;_r=1&amp;ec_shared_reflux_dynamic_params=%7B%22placeholder_material_id%22%3A%227637431275992911125%22%2C%22placeholder_origin_cover%22%3A%22https%253A%252F%252Fp16-common-sign.tiktokcdn.com%252Ftos-alisg-p-0037%252FocZCciDfP7tTFDAxQspijNWDAEiI4fEyGVfxQT~tplv-tiktokx-origin.jpeg%253Fdr%253D14572%2526refresh_token%253D3426ddef%2526x-expires%253D1810717200%2526x-signature%253DkxWRgfaOuid6GaEewE62WFTovJU%25253D%2526t%253D4d5b0474%2526ps%253D13740610%2526shp%253Dd05b14bd%2526shcp%253D34ff8df6%2526idc%253Dmy3%2526s%253DTIKTOK_AFFILIATE_VIRAL_VIDEO%22%2C%22placeholder_product_id%22%3A%221729427766722726591%22%2C%22placeholder_video_id%22%3A%227637431275992911125%22%7D&amp;ec_shared_reflux_scene=shop_tab_feed&amp;mid=7598888425769126664&amp;preview_pb=0&amp;region=&amp;share_item_id=7637431275992911125&amp;sharer_language=&amp;source=h5_t&amp;u_code=d6j7255963058c" TargetMode="External"/><Relationship Id="rId3042" Type="http://schemas.openxmlformats.org/officeDocument/2006/relationships/hyperlink" Target="https://vt.tiktok.com/ZS9jyCHJc/" TargetMode="External"/><Relationship Id="rId4373" Type="http://schemas.openxmlformats.org/officeDocument/2006/relationships/hyperlink" Target="https://www.tiktok.com/@harumrice/video/7637432202841640213?_r=1&amp;u_code=d6j7255963058c&amp;region=&amp;mid=7634506985177762580&amp;preview_pb=0&amp;sharer_language=&amp;_d=0&amp;ec_shared_reflux_dynamic_params=%7B%22placeholder_material_id%22%3A%227637432202841640213%22%2C%22placeholder_origin_cover%22%3A%22https%253A%252F%252Fp16-common-sign.tiktokcdn.com%252Ftos-alisg-p-0037%252FokU0nCbSJAV1CImJwIiRfnuBzvHNZC2iACAn9I~tplv-tiktokx-origin.jpeg%253Fdr%253D14572%2526refresh_token%253D72893c28%2526x-expires%253D1810717200%2526x-signature%253DWo6PdNKGX%25252BCyv9Hz8P%25252BYh7N5dlk%25253D%2526t%253D4d5b0474%2526ps%253D13740610%2526shp%253Dd05b14bd%2526shcp%253D34ff8df6%2526idc%253Dmy3%2526s%253DTIKTOK_AFFILIATE_VIRAL_VIDEO%22%2C%22placeholder_product_id%22%3A%221729427766722726591%22%2C%22placeholder_video_id%22%3A%227637432202841640213%22%7D&amp;ec_shared_reflux_scene=shop_tab_feed&amp;share_item_id=7637432202841640213&amp;source=h5_t" TargetMode="External"/><Relationship Id="rId3045" Type="http://schemas.openxmlformats.org/officeDocument/2006/relationships/hyperlink" Target="https://vt.tiktok.com/ZS92wVqJr/" TargetMode="External"/><Relationship Id="rId4376" Type="http://schemas.openxmlformats.org/officeDocument/2006/relationships/hyperlink" Target="https://vt.tiktok.com/ZSxSdrAHa/" TargetMode="External"/><Relationship Id="rId3044" Type="http://schemas.openxmlformats.org/officeDocument/2006/relationships/hyperlink" Target="https://vt.tiktok.com/ZS9rNXKcX/" TargetMode="External"/><Relationship Id="rId4375" Type="http://schemas.openxmlformats.org/officeDocument/2006/relationships/hyperlink" Target="https://www.tiktok.com/@nopnopn" TargetMode="External"/><Relationship Id="rId3047" Type="http://schemas.openxmlformats.org/officeDocument/2006/relationships/hyperlink" Target="https://vt.tiktok.com/ZS92K1fHw/" TargetMode="External"/><Relationship Id="rId4378" Type="http://schemas.openxmlformats.org/officeDocument/2006/relationships/hyperlink" Target="https://www.tiktok.com/@harumrice/video/7637430857195801877?_r=1&amp;u_code=d6j7255963058c&amp;region=&amp;mid=7615505451033380880&amp;preview_pb=0&amp;sharer_language=&amp;_d=0&amp;ec_shared_reflux_dynamic_params=%7B%22placeholder_material_id%22%3A%227637430857195801877%22%2C%22placeholder_origin_cover%22%3A%22https%253A%252F%252Fp16-common-sign.tiktokcdn.com%252Ftos-alisg-p-0037%252FoQQR9jCT3f9mpFLgnC3DuAEI4pDfAdliQQegEZ~tplv-tiktokx-origin.jpeg%253Fdr%253D14572%2526refresh_token%253Dd35926ba%2526x-expires%253D1810717200%2526x-signature%253Dof2paBTyfCbzon1eW%25252FFYX6bzI5w%25253D%2526t%253D4d5b0474%2526ps%253D13740610%2526shp%253Dd05b14bd%2526shcp%253D34ff8df6%2526idc%253Dmy3%2526s%253DTIKTOK_AFFILIATE_VIRAL_VIDEO%22%2C%22placeholder_product_id%22%3A%221729427766722726591%22%2C%22placeholder_video_id%22%3A%227637430857195801877%22%7D&amp;ec_shared_reflux_scene=shop_tab_feed&amp;share_item_id=7637430857195801877&amp;source=h5_t" TargetMode="External"/><Relationship Id="rId3046" Type="http://schemas.openxmlformats.org/officeDocument/2006/relationships/hyperlink" Target="https://www.tiktok.com/@friestaisya" TargetMode="External"/><Relationship Id="rId4377" Type="http://schemas.openxmlformats.org/officeDocument/2006/relationships/hyperlink" Target="https://vt.tiktok.com/ZS931n6rD/" TargetMode="External"/><Relationship Id="rId3049" Type="http://schemas.openxmlformats.org/officeDocument/2006/relationships/hyperlink" Target="https://www.tiktok.com/@windabilqist" TargetMode="External"/><Relationship Id="rId3048" Type="http://schemas.openxmlformats.org/officeDocument/2006/relationships/hyperlink" Target="https://vt.tiktok.com/ZS92wKwwe/" TargetMode="External"/><Relationship Id="rId4379" Type="http://schemas.openxmlformats.org/officeDocument/2006/relationships/hyperlink" Target="https://www.tiktok.com/@harumrice/video/7637431701718830357?_r=1&amp;u_code=d6j7255963058c&amp;region=&amp;mid=7634864360279624466&amp;preview_pb=0&amp;sharer_language=&amp;_d=0&amp;ec_shared_reflux_dynamic_params=%7B%22placeholder_material_id%22%3A%227637431701718830357%22%2C%22placeholder_origin_cover%22%3A%22https%253A%252F%252Fp16-common-sign.tiktokcdn.com%252Ftos-alisg-p-0037%252Foo7k6eVRGA4A2wk8dfBSGdMnWehXQG7zFA4aNe~tplv-tiktokx-origin.jpeg%253Fdr%253D14572%2526refresh_token%253Db79be6d7%2526x-expires%253D1810717200%2526x-signature%253D2B4q%25252Fu2RF57%25252F1DREjJZeKQaOMEw%25253D%2526t%253D4d5b0474%2526ps%253D13740610%2526shp%253Dd05b14bd%2526shcp%253D34ff8df6%2526idc%253Dmy3%2526s%253DTIKTOK_AFFILIATE_VIRAL_VIDEO%22%2C%22placeholder_product_id%22%3A%221729427766722726591%22%2C%22placeholder_video_id%22%3A%227637431701718830357%22%7D&amp;ec_shared_reflux_scene=shop_tab_feed&amp;share_item_id=7637431701718830357&amp;source=h5_t" TargetMode="External"/><Relationship Id="rId9210" Type="http://schemas.openxmlformats.org/officeDocument/2006/relationships/hyperlink" Target="https://vt.tiktok.com/ZSxH1BvWM/" TargetMode="External"/><Relationship Id="rId9211" Type="http://schemas.openxmlformats.org/officeDocument/2006/relationships/hyperlink" Target="https://vt.tiktok.com/ZSxH1Men5/" TargetMode="External"/><Relationship Id="rId9212" Type="http://schemas.openxmlformats.org/officeDocument/2006/relationships/hyperlink" Target="https://vt.tiktok.com/ZSxH1h1MK/" TargetMode="External"/><Relationship Id="rId9217" Type="http://schemas.openxmlformats.org/officeDocument/2006/relationships/hyperlink" Target="https://vt.tiktok.com/ZSxH1h1MK/" TargetMode="External"/><Relationship Id="rId9218" Type="http://schemas.openxmlformats.org/officeDocument/2006/relationships/hyperlink" Target="https://www.tiktok.com/@sheeny.shop" TargetMode="External"/><Relationship Id="rId9219" Type="http://schemas.openxmlformats.org/officeDocument/2006/relationships/hyperlink" Target="https://vt.tiktok.com/ZSxH11WkV/" TargetMode="External"/><Relationship Id="rId9213" Type="http://schemas.openxmlformats.org/officeDocument/2006/relationships/hyperlink" Target="https://www.tiktok.com/@mbatatatukangdagang" TargetMode="External"/><Relationship Id="rId9214" Type="http://schemas.openxmlformats.org/officeDocument/2006/relationships/hyperlink" Target="https://vt.tiktok.com/ZSxH11WkV/" TargetMode="External"/><Relationship Id="rId9215" Type="http://schemas.openxmlformats.org/officeDocument/2006/relationships/hyperlink" Target="https://vt.tiktok.com/ZSxH1BvWM/" TargetMode="External"/><Relationship Id="rId9216" Type="http://schemas.openxmlformats.org/officeDocument/2006/relationships/hyperlink" Target="https://vt.tiktok.com/ZSxH1Men5/" TargetMode="External"/><Relationship Id="rId9200" Type="http://schemas.openxmlformats.org/officeDocument/2006/relationships/hyperlink" Target="https://vt.tiktok.com/ZSxH1BvWM/" TargetMode="External"/><Relationship Id="rId9201" Type="http://schemas.openxmlformats.org/officeDocument/2006/relationships/hyperlink" Target="https://vt.tiktok.com/ZSxH1Men5/" TargetMode="External"/><Relationship Id="rId9206" Type="http://schemas.openxmlformats.org/officeDocument/2006/relationships/hyperlink" Target="https://vt.tiktok.com/ZSxH1Men5/" TargetMode="External"/><Relationship Id="rId9207" Type="http://schemas.openxmlformats.org/officeDocument/2006/relationships/hyperlink" Target="https://vt.tiktok.com/ZSxH1h1MK/" TargetMode="External"/><Relationship Id="rId9208" Type="http://schemas.openxmlformats.org/officeDocument/2006/relationships/hyperlink" Target="https://www.tiktok.com/@nurismatul16" TargetMode="External"/><Relationship Id="rId9209" Type="http://schemas.openxmlformats.org/officeDocument/2006/relationships/hyperlink" Target="https://vt.tiktok.com/ZSxH11WkV/" TargetMode="External"/><Relationship Id="rId9202" Type="http://schemas.openxmlformats.org/officeDocument/2006/relationships/hyperlink" Target="https://vt.tiktok.com/ZSxH1h1MK/" TargetMode="External"/><Relationship Id="rId9203" Type="http://schemas.openxmlformats.org/officeDocument/2006/relationships/hyperlink" Target="https://www.tiktok.com/@alicelaola" TargetMode="External"/><Relationship Id="rId9204" Type="http://schemas.openxmlformats.org/officeDocument/2006/relationships/hyperlink" Target="https://vt.tiktok.com/ZSxH11WkV/" TargetMode="External"/><Relationship Id="rId9205" Type="http://schemas.openxmlformats.org/officeDocument/2006/relationships/hyperlink" Target="https://vt.tiktok.com/ZSxH1BvWM/" TargetMode="External"/><Relationship Id="rId9231" Type="http://schemas.openxmlformats.org/officeDocument/2006/relationships/hyperlink" Target="https://vt.tiktok.com/ZSxH1Men5/" TargetMode="External"/><Relationship Id="rId9232" Type="http://schemas.openxmlformats.org/officeDocument/2006/relationships/hyperlink" Target="https://vt.tiktok.com/ZSxH1h1MK/" TargetMode="External"/><Relationship Id="rId9233" Type="http://schemas.openxmlformats.org/officeDocument/2006/relationships/hyperlink" Target="https://www.tiktok.com/@skincareaff_" TargetMode="External"/><Relationship Id="rId9234" Type="http://schemas.openxmlformats.org/officeDocument/2006/relationships/hyperlink" Target="https://vt.tiktok.com/ZSxH11WkV/" TargetMode="External"/><Relationship Id="rId9230" Type="http://schemas.openxmlformats.org/officeDocument/2006/relationships/hyperlink" Target="https://vt.tiktok.com/ZSxH1BvWM/" TargetMode="External"/><Relationship Id="rId9239" Type="http://schemas.openxmlformats.org/officeDocument/2006/relationships/hyperlink" Target="https://vt.tiktok.com/ZSxH11WkV/" TargetMode="External"/><Relationship Id="rId9235" Type="http://schemas.openxmlformats.org/officeDocument/2006/relationships/hyperlink" Target="https://vt.tiktok.com/ZSxH1BvWM/" TargetMode="External"/><Relationship Id="rId9236" Type="http://schemas.openxmlformats.org/officeDocument/2006/relationships/hyperlink" Target="https://vt.tiktok.com/ZSxH1Men5/" TargetMode="External"/><Relationship Id="rId9237" Type="http://schemas.openxmlformats.org/officeDocument/2006/relationships/hyperlink" Target="https://vt.tiktok.com/ZSxH1h1MK/" TargetMode="External"/><Relationship Id="rId9238" Type="http://schemas.openxmlformats.org/officeDocument/2006/relationships/hyperlink" Target="https://www.tiktok.com/@gudangkosmetik77" TargetMode="External"/><Relationship Id="rId9220" Type="http://schemas.openxmlformats.org/officeDocument/2006/relationships/hyperlink" Target="https://vt.tiktok.com/ZSxH1BvWM/" TargetMode="External"/><Relationship Id="rId9221" Type="http://schemas.openxmlformats.org/officeDocument/2006/relationships/hyperlink" Target="https://vt.tiktok.com/ZSxH1Men5/" TargetMode="External"/><Relationship Id="rId9222" Type="http://schemas.openxmlformats.org/officeDocument/2006/relationships/hyperlink" Target="https://vt.tiktok.com/ZSxH1h1MK/" TargetMode="External"/><Relationship Id="rId9223" Type="http://schemas.openxmlformats.org/officeDocument/2006/relationships/hyperlink" Target="https://www.tiktok.com/@rizkaalvnnn" TargetMode="External"/><Relationship Id="rId9228" Type="http://schemas.openxmlformats.org/officeDocument/2006/relationships/hyperlink" Target="https://www.tiktok.com/@putrinidahilalafi" TargetMode="External"/><Relationship Id="rId9229" Type="http://schemas.openxmlformats.org/officeDocument/2006/relationships/hyperlink" Target="https://vt.tiktok.com/ZSxH11WkV/" TargetMode="External"/><Relationship Id="rId9224" Type="http://schemas.openxmlformats.org/officeDocument/2006/relationships/hyperlink" Target="https://vt.tiktok.com/ZSxH11WkV/" TargetMode="External"/><Relationship Id="rId9225" Type="http://schemas.openxmlformats.org/officeDocument/2006/relationships/hyperlink" Target="https://vt.tiktok.com/ZSxH1BvWM/" TargetMode="External"/><Relationship Id="rId9226" Type="http://schemas.openxmlformats.org/officeDocument/2006/relationships/hyperlink" Target="https://vt.tiktok.com/ZSxH1Men5/" TargetMode="External"/><Relationship Id="rId9227" Type="http://schemas.openxmlformats.org/officeDocument/2006/relationships/hyperlink" Target="https://vt.tiktok.com/ZSxH1h1MK/" TargetMode="External"/><Relationship Id="rId9297" Type="http://schemas.openxmlformats.org/officeDocument/2006/relationships/hyperlink" Target="https://vt.tiktok.com/ZSxH1h1MK/" TargetMode="External"/><Relationship Id="rId9298" Type="http://schemas.openxmlformats.org/officeDocument/2006/relationships/hyperlink" Target="https://www.tiktok.com/@ratuqorix" TargetMode="External"/><Relationship Id="rId9299" Type="http://schemas.openxmlformats.org/officeDocument/2006/relationships/hyperlink" Target="https://vt.tiktok.com/ZSxH11WkV/" TargetMode="External"/><Relationship Id="rId9293" Type="http://schemas.openxmlformats.org/officeDocument/2006/relationships/hyperlink" Target="https://www.tiktok.com/@teteh_448" TargetMode="External"/><Relationship Id="rId9294" Type="http://schemas.openxmlformats.org/officeDocument/2006/relationships/hyperlink" Target="https://vt.tiktok.com/ZSxH11WkV/" TargetMode="External"/><Relationship Id="rId9295" Type="http://schemas.openxmlformats.org/officeDocument/2006/relationships/hyperlink" Target="https://vt.tiktok.com/ZSxH1BvWM/" TargetMode="External"/><Relationship Id="rId9296" Type="http://schemas.openxmlformats.org/officeDocument/2006/relationships/hyperlink" Target="https://vt.tiktok.com/ZSxH1Men5/" TargetMode="External"/><Relationship Id="rId9290" Type="http://schemas.openxmlformats.org/officeDocument/2006/relationships/hyperlink" Target="https://vt.tiktok.com/ZSxH1BvWM/" TargetMode="External"/><Relationship Id="rId9291" Type="http://schemas.openxmlformats.org/officeDocument/2006/relationships/hyperlink" Target="https://vt.tiktok.com/ZSxH1Men5/" TargetMode="External"/><Relationship Id="rId9292" Type="http://schemas.openxmlformats.org/officeDocument/2006/relationships/hyperlink" Target="https://vt.tiktok.com/ZSxH1h1MK/" TargetMode="External"/><Relationship Id="rId9286" Type="http://schemas.openxmlformats.org/officeDocument/2006/relationships/hyperlink" Target="https://vt.tiktok.com/ZSxH1Men5/" TargetMode="External"/><Relationship Id="rId9287" Type="http://schemas.openxmlformats.org/officeDocument/2006/relationships/hyperlink" Target="https://vt.tiktok.com/ZSxH1h1MK/" TargetMode="External"/><Relationship Id="rId9288" Type="http://schemas.openxmlformats.org/officeDocument/2006/relationships/hyperlink" Target="https://www.tiktok.com/@aiki.89" TargetMode="External"/><Relationship Id="rId9289" Type="http://schemas.openxmlformats.org/officeDocument/2006/relationships/hyperlink" Target="https://vt.tiktok.com/ZSxH11WkV/" TargetMode="External"/><Relationship Id="rId9282" Type="http://schemas.openxmlformats.org/officeDocument/2006/relationships/hyperlink" Target="https://vt.tiktok.com/ZSxH1h1MK/" TargetMode="External"/><Relationship Id="rId9283" Type="http://schemas.openxmlformats.org/officeDocument/2006/relationships/hyperlink" Target="https://www.tiktok.com/@novi10668" TargetMode="External"/><Relationship Id="rId9284" Type="http://schemas.openxmlformats.org/officeDocument/2006/relationships/hyperlink" Target="https://vt.tiktok.com/ZSxH11WkV/" TargetMode="External"/><Relationship Id="rId9285" Type="http://schemas.openxmlformats.org/officeDocument/2006/relationships/hyperlink" Target="https://vt.tiktok.com/ZSxH1BvWM/" TargetMode="External"/><Relationship Id="rId5714" Type="http://schemas.openxmlformats.org/officeDocument/2006/relationships/hyperlink" Target="https://www.tiktok.com/@nomnom_0505" TargetMode="External"/><Relationship Id="rId5715" Type="http://schemas.openxmlformats.org/officeDocument/2006/relationships/hyperlink" Target="https://vt.tiktok.com/ZSxmUy732/" TargetMode="External"/><Relationship Id="rId5712" Type="http://schemas.openxmlformats.org/officeDocument/2006/relationships/hyperlink" Target="https://vt.tiktok.com/ZS9A5HjLM/" TargetMode="External"/><Relationship Id="rId5713" Type="http://schemas.openxmlformats.org/officeDocument/2006/relationships/hyperlink" Target="https://vt.tiktok.com/ZSxWDQkga/" TargetMode="External"/><Relationship Id="rId5718" Type="http://schemas.openxmlformats.org/officeDocument/2006/relationships/hyperlink" Target="https://www.tiktok.com/@Desi.fadillah37" TargetMode="External"/><Relationship Id="rId5719" Type="http://schemas.openxmlformats.org/officeDocument/2006/relationships/hyperlink" Target="https://vt.tiktok.com/ZSxWDqDG4/" TargetMode="External"/><Relationship Id="rId5716" Type="http://schemas.openxmlformats.org/officeDocument/2006/relationships/hyperlink" Target="https://vt.tiktok.com/ZSxUvmjXA/" TargetMode="External"/><Relationship Id="rId5717" Type="http://schemas.openxmlformats.org/officeDocument/2006/relationships/hyperlink" Target="https://vt.tiktok.com/ZSxUvX8kp/" TargetMode="External"/><Relationship Id="rId10394" Type="http://schemas.openxmlformats.org/officeDocument/2006/relationships/hyperlink" Target="https://www.tiktok.com/@my.way_id" TargetMode="External"/><Relationship Id="rId10395" Type="http://schemas.openxmlformats.org/officeDocument/2006/relationships/hyperlink" Target="https://www.tiktok.com/@wifeymasshan" TargetMode="External"/><Relationship Id="rId10392" Type="http://schemas.openxmlformats.org/officeDocument/2006/relationships/hyperlink" Target="https://www.tiktok.com/@racuntiktokkk.22" TargetMode="External"/><Relationship Id="rId10393" Type="http://schemas.openxmlformats.org/officeDocument/2006/relationships/hyperlink" Target="https://www.tiktok.com/@verawindiym" TargetMode="External"/><Relationship Id="rId5710" Type="http://schemas.openxmlformats.org/officeDocument/2006/relationships/hyperlink" Target="https://vt.tiktok.com/ZS9Y5KpbQ/" TargetMode="External"/><Relationship Id="rId10398" Type="http://schemas.openxmlformats.org/officeDocument/2006/relationships/hyperlink" Target="https://www.tiktok.com/@tinaismi" TargetMode="External"/><Relationship Id="rId5711" Type="http://schemas.openxmlformats.org/officeDocument/2006/relationships/hyperlink" Target="https://vt.tiktok.com/ZS9A5a9Ph/" TargetMode="External"/><Relationship Id="rId10399" Type="http://schemas.openxmlformats.org/officeDocument/2006/relationships/hyperlink" Target="https://www.tiktok.com/@asrisafira4" TargetMode="External"/><Relationship Id="rId10396" Type="http://schemas.openxmlformats.org/officeDocument/2006/relationships/hyperlink" Target="https://www.tiktok.com/@hunnycaraa" TargetMode="External"/><Relationship Id="rId10397" Type="http://schemas.openxmlformats.org/officeDocument/2006/relationships/hyperlink" Target="https://www.tiktok.com/@piscesgirlstudio" TargetMode="External"/><Relationship Id="rId5703" Type="http://schemas.openxmlformats.org/officeDocument/2006/relationships/hyperlink" Target="https://vt.tiktok.com/ZSxWDuB2n/" TargetMode="External"/><Relationship Id="rId5704" Type="http://schemas.openxmlformats.org/officeDocument/2006/relationships/hyperlink" Target="https://www.tiktok.com/@pusatperabotanmurah84" TargetMode="External"/><Relationship Id="rId5701" Type="http://schemas.openxmlformats.org/officeDocument/2006/relationships/hyperlink" Target="https://vt.tiktok.com/ZS9A5a9Ph/" TargetMode="External"/><Relationship Id="rId5702" Type="http://schemas.openxmlformats.org/officeDocument/2006/relationships/hyperlink" Target="https://vt.tiktok.com/ZS9A5HjLM/" TargetMode="External"/><Relationship Id="rId5707" Type="http://schemas.openxmlformats.org/officeDocument/2006/relationships/hyperlink" Target="https://vt.tiktok.com/ZS9kJnjAS/" TargetMode="External"/><Relationship Id="rId5708" Type="http://schemas.openxmlformats.org/officeDocument/2006/relationships/hyperlink" Target="https://vt.tiktok.com/ZS9kJWGRt/" TargetMode="External"/><Relationship Id="rId5705" Type="http://schemas.openxmlformats.org/officeDocument/2006/relationships/hyperlink" Target="https://vt.tiktok.com/ZS9jTks1k/" TargetMode="External"/><Relationship Id="rId5706" Type="http://schemas.openxmlformats.org/officeDocument/2006/relationships/hyperlink" Target="https://vt.tiktok.com/ZS9jTyBBX/" TargetMode="External"/><Relationship Id="rId5709" Type="http://schemas.openxmlformats.org/officeDocument/2006/relationships/hyperlink" Target="https://www.tiktok.com/@m_yustore" TargetMode="External"/><Relationship Id="rId5700" Type="http://schemas.openxmlformats.org/officeDocument/2006/relationships/hyperlink" Target="https://vt.tiktok.com/ZS9Y5KpbQ/" TargetMode="External"/><Relationship Id="rId9253" Type="http://schemas.openxmlformats.org/officeDocument/2006/relationships/hyperlink" Target="https://www.tiktok.com/@_abcde928" TargetMode="External"/><Relationship Id="rId9254" Type="http://schemas.openxmlformats.org/officeDocument/2006/relationships/hyperlink" Target="https://vt.tiktok.com/ZSxH11WkV/" TargetMode="External"/><Relationship Id="rId9255" Type="http://schemas.openxmlformats.org/officeDocument/2006/relationships/hyperlink" Target="https://vt.tiktok.com/ZSxH1BvWM/" TargetMode="External"/><Relationship Id="rId9256" Type="http://schemas.openxmlformats.org/officeDocument/2006/relationships/hyperlink" Target="https://vt.tiktok.com/ZSxH1Men5/" TargetMode="External"/><Relationship Id="rId9250" Type="http://schemas.openxmlformats.org/officeDocument/2006/relationships/hyperlink" Target="https://vt.tiktok.com/ZSxH1BvWM/" TargetMode="External"/><Relationship Id="rId9251" Type="http://schemas.openxmlformats.org/officeDocument/2006/relationships/hyperlink" Target="https://vt.tiktok.com/ZSxH1Men5/" TargetMode="External"/><Relationship Id="rId9252" Type="http://schemas.openxmlformats.org/officeDocument/2006/relationships/hyperlink" Target="https://vt.tiktok.com/ZSxH1h1MK/" TargetMode="External"/><Relationship Id="rId9257" Type="http://schemas.openxmlformats.org/officeDocument/2006/relationships/hyperlink" Target="https://vt.tiktok.com/ZSxH1h1MK/" TargetMode="External"/><Relationship Id="rId9258" Type="http://schemas.openxmlformats.org/officeDocument/2006/relationships/hyperlink" Target="https://www.tiktok.com/@firnastore_" TargetMode="External"/><Relationship Id="rId9259" Type="http://schemas.openxmlformats.org/officeDocument/2006/relationships/hyperlink" Target="https://vt.tiktok.com/ZSxH11WkV/" TargetMode="External"/><Relationship Id="rId9242" Type="http://schemas.openxmlformats.org/officeDocument/2006/relationships/hyperlink" Target="https://vt.tiktok.com/ZSxH1h1MK/" TargetMode="External"/><Relationship Id="rId9243" Type="http://schemas.openxmlformats.org/officeDocument/2006/relationships/hyperlink" Target="https://www.tiktok.com/@ammah.tes" TargetMode="External"/><Relationship Id="rId9244" Type="http://schemas.openxmlformats.org/officeDocument/2006/relationships/hyperlink" Target="https://vt.tiktok.com/ZSxH11WkV/" TargetMode="External"/><Relationship Id="rId9245" Type="http://schemas.openxmlformats.org/officeDocument/2006/relationships/hyperlink" Target="https://vt.tiktok.com/ZSxH1BvWM/" TargetMode="External"/><Relationship Id="rId9240" Type="http://schemas.openxmlformats.org/officeDocument/2006/relationships/hyperlink" Target="https://vt.tiktok.com/ZSxH1BvWM/" TargetMode="External"/><Relationship Id="rId9241" Type="http://schemas.openxmlformats.org/officeDocument/2006/relationships/hyperlink" Target="https://vt.tiktok.com/ZSxH1Men5/" TargetMode="External"/><Relationship Id="rId9246" Type="http://schemas.openxmlformats.org/officeDocument/2006/relationships/hyperlink" Target="https://vt.tiktok.com/ZSxH1Men5/" TargetMode="External"/><Relationship Id="rId9247" Type="http://schemas.openxmlformats.org/officeDocument/2006/relationships/hyperlink" Target="https://vt.tiktok.com/ZSxH1h1MK/" TargetMode="External"/><Relationship Id="rId9248" Type="http://schemas.openxmlformats.org/officeDocument/2006/relationships/hyperlink" Target="https://www.tiktok.com/@ciptoargani" TargetMode="External"/><Relationship Id="rId9249" Type="http://schemas.openxmlformats.org/officeDocument/2006/relationships/hyperlink" Target="https://vt.tiktok.com/ZSxH11WkV/" TargetMode="External"/><Relationship Id="rId9280" Type="http://schemas.openxmlformats.org/officeDocument/2006/relationships/hyperlink" Target="https://vt.tiktok.com/ZSxH1BvWM/" TargetMode="External"/><Relationship Id="rId9281" Type="http://schemas.openxmlformats.org/officeDocument/2006/relationships/hyperlink" Target="https://vt.tiktok.com/ZSxH1Men5/" TargetMode="External"/><Relationship Id="rId9275" Type="http://schemas.openxmlformats.org/officeDocument/2006/relationships/hyperlink" Target="https://vt.tiktok.com/ZSxH1BvWM/" TargetMode="External"/><Relationship Id="rId9276" Type="http://schemas.openxmlformats.org/officeDocument/2006/relationships/hyperlink" Target="https://vt.tiktok.com/ZSxH1Men5/" TargetMode="External"/><Relationship Id="rId9277" Type="http://schemas.openxmlformats.org/officeDocument/2006/relationships/hyperlink" Target="https://vt.tiktok.com/ZSxH1h1MK/" TargetMode="External"/><Relationship Id="rId9278" Type="http://schemas.openxmlformats.org/officeDocument/2006/relationships/hyperlink" Target="https://www.tiktok.com/@spillbylimey" TargetMode="External"/><Relationship Id="rId9271" Type="http://schemas.openxmlformats.org/officeDocument/2006/relationships/hyperlink" Target="https://vt.tiktok.com/ZSxH1Men5/" TargetMode="External"/><Relationship Id="rId9272" Type="http://schemas.openxmlformats.org/officeDocument/2006/relationships/hyperlink" Target="https://vt.tiktok.com/ZSxH1h1MK/" TargetMode="External"/><Relationship Id="rId9273" Type="http://schemas.openxmlformats.org/officeDocument/2006/relationships/hyperlink" Target="https://www.tiktok.com/@mamidanshop" TargetMode="External"/><Relationship Id="rId9274" Type="http://schemas.openxmlformats.org/officeDocument/2006/relationships/hyperlink" Target="https://vt.tiktok.com/ZSxH11WkV/" TargetMode="External"/><Relationship Id="rId9279" Type="http://schemas.openxmlformats.org/officeDocument/2006/relationships/hyperlink" Target="https://vt.tiktok.com/ZSxH11WkV/" TargetMode="External"/><Relationship Id="rId9270" Type="http://schemas.openxmlformats.org/officeDocument/2006/relationships/hyperlink" Target="https://vt.tiktok.com/ZSxH1BvWM/" TargetMode="External"/><Relationship Id="rId9264" Type="http://schemas.openxmlformats.org/officeDocument/2006/relationships/hyperlink" Target="https://vt.tiktok.com/ZSxH11WkV/" TargetMode="External"/><Relationship Id="rId9265" Type="http://schemas.openxmlformats.org/officeDocument/2006/relationships/hyperlink" Target="https://vt.tiktok.com/ZSxH1BvWM/" TargetMode="External"/><Relationship Id="rId9266" Type="http://schemas.openxmlformats.org/officeDocument/2006/relationships/hyperlink" Target="https://vt.tiktok.com/ZSxH1Men5/" TargetMode="External"/><Relationship Id="rId9267" Type="http://schemas.openxmlformats.org/officeDocument/2006/relationships/hyperlink" Target="https://vt.tiktok.com/ZSxH1h1MK/" TargetMode="External"/><Relationship Id="rId9260" Type="http://schemas.openxmlformats.org/officeDocument/2006/relationships/hyperlink" Target="https://vt.tiktok.com/ZSxH1BvWM/" TargetMode="External"/><Relationship Id="rId9261" Type="http://schemas.openxmlformats.org/officeDocument/2006/relationships/hyperlink" Target="https://vt.tiktok.com/ZSxH1Men5/" TargetMode="External"/><Relationship Id="rId9262" Type="http://schemas.openxmlformats.org/officeDocument/2006/relationships/hyperlink" Target="https://vt.tiktok.com/ZSxH1h1MK/" TargetMode="External"/><Relationship Id="rId9263" Type="http://schemas.openxmlformats.org/officeDocument/2006/relationships/hyperlink" Target="https://www.tiktok.com/@ayuastutii_" TargetMode="External"/><Relationship Id="rId9268" Type="http://schemas.openxmlformats.org/officeDocument/2006/relationships/hyperlink" Target="https://www.tiktok.com/@byolin" TargetMode="External"/><Relationship Id="rId9269" Type="http://schemas.openxmlformats.org/officeDocument/2006/relationships/hyperlink" Target="https://vt.tiktok.com/ZSxH11WkV/" TargetMode="External"/><Relationship Id="rId3117" Type="http://schemas.openxmlformats.org/officeDocument/2006/relationships/hyperlink" Target="https://www.tiktok.com/@nonanana55" TargetMode="External"/><Relationship Id="rId4448" Type="http://schemas.openxmlformats.org/officeDocument/2006/relationships/hyperlink" Target="https://www.tiktok.com/@harumrice/video/7637535812791340308?_r=1&amp;u_code=d6j7255963058c&amp;region=&amp;mid=7579718924125161489&amp;preview_pb=0&amp;sharer_language=&amp;_d=0&amp;ec_shared_reflux_dynamic_params=%7B%22placeholder_material_id%22%3A%227637535812791340308%22%2C%22placeholder_origin_cover%22%3A%22https%253A%252F%252Fp16-common-sign.tiktokcdn.com%252Ftos-alisg-p-0037%252Fo0aRfHL9dQG37uCAOIcAe1IQn7QGG41Gw2mfeF~tplv-tiktokx-origin.jpeg%253Fdr%253D14572%2526refresh_token%253Db39a171f%2526x-expires%253D1810717200%2526x-signature%253DqFcHP7DgFN%25252FeLtkmk6cQVXN3hgI%25253D%2526t%253D4d5b0474%2526ps%253D13740610%2526shp%253Dd05b14bd%2526shcp%253D34ff8df6%2526idc%253Dmy3%2526s%253DTIKTOK_AFFILIATE_VIRAL_VIDEO%22%2C%22placeholder_product_id%22%3A%221729427766722726591%22%2C%22placeholder_video_id%22%3A%227637535812791340308%22%7D&amp;ec_shared_reflux_scene=shop_tab_feed&amp;share_item_id=7637535812791340308&amp;source=h5_t" TargetMode="External"/><Relationship Id="rId3116" Type="http://schemas.openxmlformats.org/officeDocument/2006/relationships/hyperlink" Target="https://www.tiktok.com/@mella_beauty24" TargetMode="External"/><Relationship Id="rId4447" Type="http://schemas.openxmlformats.org/officeDocument/2006/relationships/hyperlink" Target="https://www.tiktok.com/@harumrice/video/7637535219276320021?_r=1&amp;u_code=d6j7255963058c&amp;region=&amp;mid=7504900144412838672&amp;preview_pb=0&amp;sharer_language=&amp;_d=0&amp;ec_shared_reflux_dynamic_params=%7B%22placeholder_material_id%22%3A%227637535219276320021%22%2C%22placeholder_origin_cover%22%3A%22https%253A%252F%252Fp16-common-sign.tiktokcdn.com%252Ftos-alisg-p-0037%252FoAcNEGAFBQO7nGCAKeRe7mQf4k8cDfYFw6rnI7~tplv-tiktokx-origin.jpeg%253Fdr%253D14572%2526refresh_token%253D2ae630ed%2526x-expires%253D1810717200%2526x-signature%253DotlcQxrnWaeyDdWDCJtYvKJRGow%25253D%2526t%253D4d5b0474%2526ps%253D13740610%2526shp%253Dd05b14bd%2526shcp%253D34ff8df6%2526idc%253Dmy3%2526s%253DTIKTOK_AFFILIATE_VIRAL_VIDEO%22%2C%22placeholder_product_id%22%3A%221729427766722726591%22%2C%22placeholder_video_id%22%3A%227637535219276320021%22%7D&amp;ec_shared_reflux_scene=shop_tab_feed&amp;share_item_id=7637535219276320021&amp;source=h5_t" TargetMode="External"/><Relationship Id="rId3119" Type="http://schemas.openxmlformats.org/officeDocument/2006/relationships/hyperlink" Target="https://www.tiktok.com/@milawatiiiiiiiiii" TargetMode="External"/><Relationship Id="rId5778" Type="http://schemas.openxmlformats.org/officeDocument/2006/relationships/hyperlink" Target="https://www.tiktok.com/@dalapansalapan98" TargetMode="External"/><Relationship Id="rId3118" Type="http://schemas.openxmlformats.org/officeDocument/2006/relationships/hyperlink" Target="https://www.tiktok.com/@rindi.afrilia/video/7631344136540441876?_r=1&amp;u_code=dja890i3j90f3j&amp;region=&amp;mid=7625671794292247317&amp;preview_pb=0&amp;sharer_language=&amp;_d=0&amp;ec_shared_reflux_dynamic_params=%7B%22placeholder_material_id%22%3A%227631344136540441876%22%2C%22placeholder_origin_cover%22%3A%22https%253A%252F%252Fp16-common-sign.tiktokcdn.com%252Ftos-alisg-p-0037%252FokQ7fbGRQGA8jQHPCn0ArAfUwFWTB9nMfeyB43~tplv-tiktokx-origin.jpeg%253Fdr%253D14572%2526refresh_token%253D1085ef16%2526x-expires%253D1810202400%2526x-signature%253DsXeywS8WjmAa7iV8szE2Y7QcaHc%25253D%2526t%253D4d5b0474%2526ps%253D13740610%2526shp%253Dd05b14bd%2526shcp%253D34ff8df6%2526idc%253Dmy2%2526s%253DTIKTOK_AFFILIATE_VIRAL_VIDEO%22%2C%22placeholder_product_id%22%3A%221729427766722726591%22%2C%22placeholder_video_id%22%3A%227631344136540441876%22%7D&amp;ec_shared_reflux_scene=shop_tab_feed&amp;share_item_id=7631344136540441876&amp;source=h5_t" TargetMode="External"/><Relationship Id="rId4449" Type="http://schemas.openxmlformats.org/officeDocument/2006/relationships/hyperlink" Target="https://www.tiktok.com/@harumrice/video/7637540893129854228?_r=1&amp;u_code=d6j7255963058c&amp;region=&amp;mid=7517476101912808208&amp;preview_pb=0&amp;sharer_language=&amp;_d=0&amp;ec_shared_reflux_dynamic_params=%7B%22placeholder_material_id%22%3A%227637540893129854228%22%2C%22placeholder_origin_cover%22%3A%22https%253A%252F%252Fp16-common-sign.tiktokcdn.com%252Ftos-alisg-p-0037%252Fos39QQjQG3p1fFfyAIewAHBIfL79XnGRkrkGQ7~tplv-tiktokx-origin.jpeg%253Fdr%253D14572%2526refresh_token%253D186583fa%2526x-expires%253D1810717200%2526x-signature%253Dv1XQdHMd9nRkWXdr7uxpfDg06gs%25253D%2526t%253D4d5b0474%2526ps%253D13740610%2526shp%253Dd05b14bd%2526shcp%253D34ff8df6%2526idc%253Dmy3%2526s%253DTIKTOK_AFFILIATE_VIRAL_VIDEO%22%2C%22placeholder_product_id%22%3A%221729427766722726591%22%2C%22placeholder_video_id%22%3A%227637540893129854228%22%7D&amp;ec_shared_reflux_scene=shop_tab_feed&amp;share_item_id=7637540893129854228&amp;source=h5_t" TargetMode="External"/><Relationship Id="rId5779" Type="http://schemas.openxmlformats.org/officeDocument/2006/relationships/hyperlink" Target="https://vt.tiktok.com/ZS9kRTyMA/" TargetMode="External"/><Relationship Id="rId10336" Type="http://schemas.openxmlformats.org/officeDocument/2006/relationships/hyperlink" Target="https://www.tiktok.com/@madebyzars" TargetMode="External"/><Relationship Id="rId10337" Type="http://schemas.openxmlformats.org/officeDocument/2006/relationships/hyperlink" Target="https://www.tiktok.com/@akutidakmudahjatuh" TargetMode="External"/><Relationship Id="rId10334" Type="http://schemas.openxmlformats.org/officeDocument/2006/relationships/hyperlink" Target="https://www.tiktok.com/@salsabilla_zea" TargetMode="External"/><Relationship Id="rId10335" Type="http://schemas.openxmlformats.org/officeDocument/2006/relationships/hyperlink" Target="https://www.tiktok.com/@rahasiaaaaa_706" TargetMode="External"/><Relationship Id="rId10338" Type="http://schemas.openxmlformats.org/officeDocument/2006/relationships/hyperlink" Target="https://www.tiktok.com/@riayulianti1406" TargetMode="External"/><Relationship Id="rId10339" Type="http://schemas.openxmlformats.org/officeDocument/2006/relationships/hyperlink" Target="https://www.tiktok.com/@spillskincare070" TargetMode="External"/><Relationship Id="rId4440" Type="http://schemas.openxmlformats.org/officeDocument/2006/relationships/hyperlink" Target="https://www.tiktok.com/@itsmeriskaaw" TargetMode="External"/><Relationship Id="rId5772" Type="http://schemas.openxmlformats.org/officeDocument/2006/relationships/hyperlink" Target="https://vt.tiktok.com/ZSxnopeFs/" TargetMode="External"/><Relationship Id="rId5773" Type="http://schemas.openxmlformats.org/officeDocument/2006/relationships/hyperlink" Target="https://www.tiktok.com/@Shelvinanaa" TargetMode="External"/><Relationship Id="rId3111" Type="http://schemas.openxmlformats.org/officeDocument/2006/relationships/hyperlink" Target="https://www.tiktok.com/@berkah.glosir/video/7634356185231199509?_r=1&amp;u_code=e4hbm162fcgeg9&amp;region=&amp;mid=7613023919407466497&amp;preview_pb=0&amp;sharer_language=&amp;_d=0&amp;ec_shared_reflux_dynamic_params=%7B%22placeholder_material_id%22%3A%227634356185231199509%22%2C%22placeholder_origin_cover%22%3A%22https%253A%252F%252Fp19-common-sign.tiktokcdn.com%252Ftos-alisg-p-0037%252Fos4GeugxIPGBIoLATseAgrVe8yujCrI5yIDLCE~tplv-tiktokx-origin.jpeg%253Fdr%253D14572%2526refresh_token%253D6dff1204%2526x-expires%253D1810116000%2526x-signature%253D84ZXak4xaMpAU2YMfwLOQtHBcw4%25253D%2526t%253D4d5b0474%2526ps%253D13740610%2526shp%253Dd05b14bd%2526shcp%253D34ff8df6%2526idc%253Dmy2%2526s%253DTIKTOK_AFFILIATE_VIRAL_VIDEO%22%2C%22placeholder_product_id%22%3A%221729729730555512511%22%2C%22placeholder_video_id%22%3A%227634356185231199509%22%7D&amp;ec_shared_reflux_scene=shop_tab_feed&amp;share_item_id=7634356185231199509&amp;source=h5_t" TargetMode="External"/><Relationship Id="rId4442" Type="http://schemas.openxmlformats.org/officeDocument/2006/relationships/hyperlink" Target="https://www.tiktok.com/@harumrice/video/7637533938864426260?_r=1&amp;u_code=d6j7255963058c&amp;region=&amp;mid=7519443594904177409&amp;preview_pb=0&amp;sharer_language=&amp;_d=0&amp;ec_shared_reflux_dynamic_params=%7B%22placeholder_material_id%22%3A%227637533938864426260%22%2C%22placeholder_origin_cover%22%3A%22https%253A%252F%252Fp16-common-sign.tiktokcdn.com%252Ftos-alisg-p-0037%252FoEt6JzEQQGAnvpefoeFw78PriKgZJRAODFfGCl~tplv-tiktokx-origin.jpeg%253Fdr%253D14572%2526refresh_token%253D57865e6b%2526x-expires%253D1810717200%2526x-signature%253DTumusQERM%25252BedeicfIcdCXAEy6z8%25253D%2526t%253D4d5b0474%2526ps%253D13740610%2526shp%253Dd05b14bd%2526shcp%253D34ff8df6%2526idc%253Dmy3%2526s%253DTIKTOK_AFFILIATE_VIRAL_VIDEO%22%2C%22placeholder_product_id%22%3A%221729427766722726591%22%2C%22placeholder_video_id%22%3A%227637533938864426260%22%7D&amp;ec_shared_reflux_scene=shop_tab_feed&amp;share_item_id=7637533938864426260&amp;source=h5_t" TargetMode="External"/><Relationship Id="rId5770" Type="http://schemas.openxmlformats.org/officeDocument/2006/relationships/hyperlink" Target="https://www.tiktok.com/@rifarm.28" TargetMode="External"/><Relationship Id="rId3110" Type="http://schemas.openxmlformats.org/officeDocument/2006/relationships/hyperlink" Target="https://www.tiktok.com/@berkah.glosir/video/7634356571769818388?_r=1&amp;u_code=e4hbm162fcgeg9&amp;region=&amp;mid=7620594630568037140&amp;preview_pb=0&amp;sharer_language=&amp;_d=0&amp;ec_shared_reflux_dynamic_params=%7B%22placeholder_material_id%22%3A%227634356571769818388%22%2C%22placeholder_origin_cover%22%3A%22https%253A%252F%252Fp16-common-sign.tiktokcdn.com%252Ftos-alisg-p-0037%252FocuK1BfYIAuoERCC3ArimPuRPIXIwvid0yAvRP~tplv-tiktokx-origin.jpeg%253Fdr%253D14572%2526refresh_token%253D395ba69e%2526x-expires%253D1810116000%2526x-signature%253DzlMKkxvpm3PZ5nSctbvrJG7ffhM%25253D%2526t%253D4d5b0474%2526ps%253D13740610%2526shp%253Dd05b14bd%2526shcp%253D34ff8df6%2526idc%253Dmy2%2526s%253DTIKTOK_AFFILIATE_VIRAL_VIDEO%22%2C%22placeholder_product_id%22%3A%221729427766722726591%22%2C%22placeholder_video_id%22%3A%227634356571769818388%22%7D&amp;ec_shared_reflux_scene=shop_tab_feed&amp;share_item_id=7634356571769818388&amp;source=h5_t" TargetMode="External"/><Relationship Id="rId4441" Type="http://schemas.openxmlformats.org/officeDocument/2006/relationships/hyperlink" Target="https://www.tiktok.com/@itsmeriskaaw/video/7610772664378068244?_r=1&amp;u_code=emd5i6ij7079lc&amp;region=&amp;mid=7146290607604893697&amp;preview_pb=0&amp;sharer_language=&amp;_d=0&amp;ec_shared_reflux_dynamic_params=%7B%22placeholder_material_id%22%3A%227610772664378068244%22%2C%22placeholder_origin_cover%22%3A%22https%253A%252F%252Fp16-sign-sg.tiktokcdn.com%252Ftos-alisg-p-0037%252FogQDpnCli0XuEBomvaVBKzSAEUUXevKQmgfFR5~tplv-tiktokx-origin.jpeg%253Fdr%253D14572%2526refresh_token%253Dabe28072%2526x-expires%253D1807070400%2526x-signature%253DT9nBlNxB0udnT%25252BxTFTYUmkFGcek%25253D%2526t%253D4d5b0474%2526ps%253D13740610%2526shp%253Dd05b14bd%2526shcp%253D34ff8df6%2526idc%253Dmy2%2526s%253DTIKTOK_AFFILIATE_VIRAL_VIDEO%22%2C%22placeholder_product_id%22%3A%221729427766722726591%22%2C%22placeholder_video_id%22%3A%227610772664378068244%22%7D&amp;ec_shared_reflux_scene=shop_tab_feed&amp;share_item_id=7610772664378068244&amp;source=h5_t" TargetMode="External"/><Relationship Id="rId5771" Type="http://schemas.openxmlformats.org/officeDocument/2006/relationships/hyperlink" Target="https://vt.tiktok.com/ZSxnoWp4w/" TargetMode="External"/><Relationship Id="rId3113" Type="http://schemas.openxmlformats.org/officeDocument/2006/relationships/hyperlink" Target="https://www.tiktok.com/@ay.cloth" TargetMode="External"/><Relationship Id="rId4444" Type="http://schemas.openxmlformats.org/officeDocument/2006/relationships/hyperlink" Target="https://www.tiktok.com/@harumrice/video/7637535219276320021?_r=1&amp;u_code=d6j7255963058c&amp;region=&amp;mid=7504900144412838672&amp;preview_pb=0&amp;sharer_language=&amp;_d=0&amp;ec_shared_reflux_dynamic_params=%7B%22placeholder_material_id%22%3A%227637535219276320021%22%2C%22placeholder_origin_cover%22%3A%22https%253A%252F%252Fp16-common-sign.tiktokcdn.com%252Ftos-alisg-p-0037%252FoAcNEGAFBQO7nGCAKeRe7mQf4k8cDfYFw6rnI7~tplv-tiktokx-origin.jpeg%253Fdr%253D14572%2526refresh_token%253D2ae630ed%2526x-expires%253D1810717200%2526x-signature%253DotlcQxrnWaeyDdWDCJtYvKJRGow%25253D%2526t%253D4d5b0474%2526ps%253D13740610%2526shp%253Dd05b14bd%2526shcp%253D34ff8df6%2526idc%253Dmy3%2526s%253DTIKTOK_AFFILIATE_VIRAL_VIDEO%22%2C%22placeholder_product_id%22%3A%221729427766722726591%22%2C%22placeholder_video_id%22%3A%227637535219276320021%22%7D&amp;ec_shared_reflux_scene=shop_tab_feed&amp;share_item_id=7637535219276320021&amp;source=h5_t" TargetMode="External"/><Relationship Id="rId5776" Type="http://schemas.openxmlformats.org/officeDocument/2006/relationships/hyperlink" Target="https://vt.tiktok.com/ZS9fhvRXf/" TargetMode="External"/><Relationship Id="rId10332" Type="http://schemas.openxmlformats.org/officeDocument/2006/relationships/hyperlink" Target="https://www.tiktok.com/@siapa.yakk09" TargetMode="External"/><Relationship Id="rId3112" Type="http://schemas.openxmlformats.org/officeDocument/2006/relationships/hyperlink" Target="https://www.tiktok.com/@egi_kinara" TargetMode="External"/><Relationship Id="rId4443" Type="http://schemas.openxmlformats.org/officeDocument/2006/relationships/hyperlink" Target="https://www.tiktok.com/@harumrice/video/7637534392071507221?_r=1&amp;u_code=d6j7255963058c&amp;region=&amp;mid=7628927071062493200&amp;preview_pb=0&amp;sharer_language=&amp;_d=0&amp;ec_shared_reflux_dynamic_params=%7B%22placeholder_material_id%22%3A%227637534392071507221%22%2C%22placeholder_origin_cover%22%3A%22https%253A%252F%252Fp16-common-sign.tiktokcdn.com%252Ftos-alisg-p-0037%252FoAgFNEwMnF8y0e8WQrXf0AgRRGe789CA7Ggjfv~tplv-tiktokx-origin.jpeg%253Fdr%253D14572%2526refresh_token%253D6556d97e%2526x-expires%253D1810717200%2526x-signature%253D%25252Bst3Mw%25252Fmubo2G4WUhvO6My7f9Uk%25253D%2526t%253D4d5b0474%2526ps%253D13740610%2526shp%253Dd05b14bd%2526shcp%253D34ff8df6%2526idc%253Dmy3%2526s%253DTIKTOK_AFFILIATE_VIRAL_VIDEO%22%2C%22placeholder_product_id%22%3A%221729427766722726591%22%2C%22placeholder_video_id%22%3A%227637534392071507221%22%7D&amp;ec_shared_reflux_scene=shop_tab_feed&amp;share_item_id=7637534392071507221&amp;source=h5_t" TargetMode="External"/><Relationship Id="rId5777" Type="http://schemas.openxmlformats.org/officeDocument/2006/relationships/hyperlink" Target="https://vt.tiktok.com/ZS9fGJpFV/" TargetMode="External"/><Relationship Id="rId10333" Type="http://schemas.openxmlformats.org/officeDocument/2006/relationships/hyperlink" Target="https://www.tiktok.com/@shofiyahzahrotul" TargetMode="External"/><Relationship Id="rId3115" Type="http://schemas.openxmlformats.org/officeDocument/2006/relationships/hyperlink" Target="https://www.tiktok.com/@razfaths" TargetMode="External"/><Relationship Id="rId4446" Type="http://schemas.openxmlformats.org/officeDocument/2006/relationships/hyperlink" Target="https://www.tiktok.com/@dhbeauty02/video/7609932897289555217?_r=1&amp;u_code=eg1158md8cghli&amp;region=&amp;mid=7609933172931529490&amp;preview_pb=0&amp;sharer_language=&amp;_d=0&amp;ec_shared_reflux_dynamic_params=%7B%22placeholder_material_id%22%3A%227609932897289555217%22%2C%22placeholder_origin_cover%22%3A%22https%253A%252F%252Fp16-sign-sg.tiktokcdn.com%252Ftos-alisg-p-0037%252Fo0Dcx4ieQCKNnQEgmfjCI3jD2NEI9ALmC0AfFT~tplv-tiktokx-origin.jpeg%253Fdr%253D14572%2526refresh_token%253D8955fb68%2526x-expires%253D1807070400%2526x-signature%253DOfShJN5T3HITLeZf51ZQaFFo8Ic%25253D%2526t%253D4d5b0474%2526ps%253D13740610%2526shp%253Dd05b14bd%2526shcp%253D34ff8df6%2526idc%253Dmy2%2526s%253DTIKTOK_AFFILIATE_VIRAL_VIDEO%22%2C%22placeholder_product_id%22%3A%221729427766722726591%22%2C%22placeholder_video_id%22%3A%227609932897289555217%22%7D&amp;ec_shared_reflux_scene=shop_tab_feed&amp;share_item_id=7609932897289555217&amp;source=h5_t" TargetMode="External"/><Relationship Id="rId5774" Type="http://schemas.openxmlformats.org/officeDocument/2006/relationships/hyperlink" Target="https://vt.tiktok.com/ZS9DMeET7/" TargetMode="External"/><Relationship Id="rId10330" Type="http://schemas.openxmlformats.org/officeDocument/2006/relationships/hyperlink" Target="https://www.tiktok.com/@nayannazz" TargetMode="External"/><Relationship Id="rId3114" Type="http://schemas.openxmlformats.org/officeDocument/2006/relationships/hyperlink" Target="https://www.tiktok.com/@berkah.glosir/video/7633875249427205397?_r=1&amp;u_code=e4hbm162fcgeg9&amp;region=&amp;mid=7606071400499628049&amp;preview_pb=0&amp;sharer_language=&amp;_d=0&amp;ec_shared_reflux_dynamic_params=%7B%22placeholder_material_id%22%3A%227633875249427205397%22%2C%22placeholder_origin_cover%22%3A%22https%253A%252F%252Fp16-common-sign.tiktokcdn.com%252Ftos-alisg-p-0037%252Fos5R1QoMA3BFnIsW8rnGGJA0glDfIwgffJfvNw~tplv-tiktokx-origin.jpeg%253Fdr%253D14572%2526refresh_token%253D7548a406%2526x-expires%253D1810116000%2526x-signature%253D8oJQOv2TuUwHsgj%25252F%25252BKw7t70in48%25253D%2526t%253D4d5b0474%2526ps%253D13740610%2526shp%253Dd05b14bd%2526shcp%253D34ff8df6%2526idc%253Dmy2%2526s%253DTIKTOK_AFFILIATE_VIRAL_VIDEO%22%2C%22placeholder_product_id%22%3A%221729729730555512511%22%2C%22placeholder_video_id%22%3A%227633875249427205397%22%7D&amp;ec_shared_reflux_scene=shop_tab_feed&amp;share_item_id=7633875249427205397&amp;source=h5_t" TargetMode="External"/><Relationship Id="rId4445" Type="http://schemas.openxmlformats.org/officeDocument/2006/relationships/hyperlink" Target="https://www.tiktok.com/@dhbeauty02" TargetMode="External"/><Relationship Id="rId5775" Type="http://schemas.openxmlformats.org/officeDocument/2006/relationships/hyperlink" Target="https://vt.tiktok.com/ZS9UA9hX9/" TargetMode="External"/><Relationship Id="rId10331" Type="http://schemas.openxmlformats.org/officeDocument/2006/relationships/hyperlink" Target="https://www.tiktok.com/@taacutie2" TargetMode="External"/><Relationship Id="rId3106" Type="http://schemas.openxmlformats.org/officeDocument/2006/relationships/hyperlink" Target="https://vt.tiktok.com/ZS969swMD/" TargetMode="External"/><Relationship Id="rId4437" Type="http://schemas.openxmlformats.org/officeDocument/2006/relationships/hyperlink" Target="https://www.tiktok.com/@dipiulcalia_/video/7623526519456959752?_r=1&amp;u_code=d8ledlj4gf1560&amp;region=&amp;mid=7507512212975143685&amp;preview_pb=0&amp;sharer_language=&amp;_d=0&amp;ec_shared_reflux_dynamic_params=%7B%22placeholder_material_id%22%3A%227623526519456959752%22%2C%22placeholder_origin_cover%22%3A%22https%253A%252F%252Fp16-sign-sg.tiktokcdn.com%252Ftos-alisg-p-0037%252FowQMRptGzjwEENzbBAIcJeSfqBXgVFIDBAcBLD~tplv-tiktokx-origin.jpeg%253Fdr%253D14572%2526refresh_token%253D9367c926%2526x-expires%253D1807070400%2526x-signature%253Di6fZFOBE1gixgmJgU9S%25252BGygZYD4%25253D%2526t%253D4d5b0474%2526ps%253D13740610%2526shp%253Dd05b14bd%2526shcp%253D34ff8df6%2526idc%253Dmy2%2526s%253DTIKTOK_AFFILIATE_VIRAL_VIDEO%22%2C%22placeholder_product_id%22%3A%221729427766722726591%22%2C%22placeholder_video_id%22%3A%227623526519456959752%22%7D&amp;ec_shared_reflux_scene=shop_tab_feed&amp;share_item_id=7623526519456959752&amp;source=h5_t" TargetMode="External"/><Relationship Id="rId5769" Type="http://schemas.openxmlformats.org/officeDocument/2006/relationships/hyperlink" Target="https://vt.tiktok.com/ZSxnohBgY/" TargetMode="External"/><Relationship Id="rId3105" Type="http://schemas.openxmlformats.org/officeDocument/2006/relationships/hyperlink" Target="https://vt.tiktok.com/ZS969TGWL/" TargetMode="External"/><Relationship Id="rId4436" Type="http://schemas.openxmlformats.org/officeDocument/2006/relationships/hyperlink" Target="https://www.tiktok.com/@dipiulcalia_/video/7612930191526038791?_r=1&amp;u_code=d8ledlj4gf1560&amp;region=&amp;mid=7565795575535291137&amp;preview_pb=0&amp;sharer_language=&amp;_d=0&amp;ec_shared_reflux_dynamic_params=%7B%22placeholder_material_id%22%3A%227612930191526038791%22%2C%22placeholder_origin_cover%22%3A%22https%253A%252F%252Fp16-common-sign.tiktokcdn.com%252Ftos-alisg-p-0037%252FosJz1wCuQIlRjKeDRjTImG7CTQvY4haeAAeL6j~tplv-tiktokx-origin.jpeg%253Fdr%253D14572%2526refresh_token%253D3be2a08b%2526x-expires%253D1807070400%2526x-signature%253DfbWQFC%25252BDVghf64H5zQ9rNE0it7M%25253D%2526t%253D4d5b0474%2526ps%253D13740610%2526shp%253Dd05b14bd%2526shcp%253D34ff8df6%2526idc%253Dmy2%2526s%253DTIKTOK_AFFILIATE_VIRAL_VIDEO%22%2C%22placeholder_product_id%22%3A%221729427766722726591%22%2C%22placeholder_video_id%22%3A%227612930191526038791%22%7D&amp;ec_shared_reflux_scene=shop_tab_feed&amp;share_item_id=7612930191526038791&amp;source=h5_t" TargetMode="External"/><Relationship Id="rId3108" Type="http://schemas.openxmlformats.org/officeDocument/2006/relationships/hyperlink" Target="https://www.tiktok.com/@prettydol208" TargetMode="External"/><Relationship Id="rId4439" Type="http://schemas.openxmlformats.org/officeDocument/2006/relationships/hyperlink" Target="https://www.tiktok.com/@harumrice/video/7637533336554032404?_r=1&amp;u_code=d6j7255963058c&amp;region=&amp;mid=7498889201430137601&amp;preview_pb=0&amp;sharer_language=&amp;_d=0&amp;ec_shared_reflux_dynamic_params=%7B%22placeholder_material_id%22%3A%227637533336554032404%22%2C%22placeholder_origin_cover%22%3A%22https%253A%252F%252Fp16-common-sign.tiktokcdn.com%252Ftos-alisg-p-0037%252FoMfBRWepQWAz39LAAGfMw1d5e84592n3EGa8FI~tplv-tiktokx-origin.jpeg%253Fdr%253D14572%2526refresh_token%253D50205825%2526x-expires%253D1810717200%2526x-signature%253D95zqnhrQ15e3BNDdXrDRz0YeFqY%25253D%2526t%253D4d5b0474%2526ps%253D13740610%2526shp%253Dd05b14bd%2526shcp%253D34ff8df6%2526idc%253Dmy3%2526s%253DTIKTOK_AFFILIATE_VIRAL_VIDEO%22%2C%22placeholder_product_id%22%3A%221729427766722726591%22%2C%22placeholder_video_id%22%3A%227637533336554032404%22%7D&amp;ec_shared_reflux_scene=shop_tab_feed&amp;share_item_id=7637533336554032404&amp;source=h5_t" TargetMode="External"/><Relationship Id="rId5767" Type="http://schemas.openxmlformats.org/officeDocument/2006/relationships/hyperlink" Target="https://vt.tiktok.com/ZSx7YvEPT/" TargetMode="External"/><Relationship Id="rId3107" Type="http://schemas.openxmlformats.org/officeDocument/2006/relationships/hyperlink" Target="https://vt.tiktok.com/ZS969paLM/" TargetMode="External"/><Relationship Id="rId4438" Type="http://schemas.openxmlformats.org/officeDocument/2006/relationships/hyperlink" Target="https://www.tiktok.com/@harumrice/video/7637532856012639509?_r=1&amp;u_code=d6j7255963058c&amp;region=&amp;mid=7631854648802659079&amp;preview_pb=0&amp;sharer_language=&amp;_d=0&amp;ec_shared_reflux_dynamic_params=%7B%22placeholder_material_id%22%3A%227637532856012639509%22%2C%22placeholder_origin_cover%22%3A%22https%253A%252F%252Fp16-common-sign.tiktokcdn.com%252Ftos-alisg-p-0037%252FooIrQwIee2DQNNRGn79nfBL6m6fGcHAGArAO7F~tplv-tiktokx-origin.jpeg%253Fdr%253D14572%2526refresh_token%253Da5315512%2526x-expires%253D1810717200%2526x-signature%253DiMBRwCDsVMKjkqcX1T6%25252FxBVHPHk%25253D%2526t%253D4d5b0474%2526ps%253D13740610%2526shp%253Dd05b14bd%2526shcp%253D34ff8df6%2526idc%253Dmy3%2526s%253DTIKTOK_AFFILIATE_VIRAL_VIDEO%22%2C%22placeholder_product_id%22%3A%221729427766722726591%22%2C%22placeholder_video_id%22%3A%227637532856012639509%22%7D&amp;ec_shared_reflux_scene=shop_tab_feed&amp;share_item_id=7637532856012639509&amp;source=h5_t" TargetMode="External"/><Relationship Id="rId5768" Type="http://schemas.openxmlformats.org/officeDocument/2006/relationships/hyperlink" Target="https://vt.tiktok.com/ZSx7Yn7HC/" TargetMode="External"/><Relationship Id="rId3109" Type="http://schemas.openxmlformats.org/officeDocument/2006/relationships/hyperlink" Target="https://vt.tiktok.com/ZS9NMBkL6/" TargetMode="External"/><Relationship Id="rId10347" Type="http://schemas.openxmlformats.org/officeDocument/2006/relationships/hyperlink" Target="https://www.tiktok.com/@cikacikoo_" TargetMode="External"/><Relationship Id="rId10348" Type="http://schemas.openxmlformats.org/officeDocument/2006/relationships/hyperlink" Target="https://www.tiktok.com/@taninyah667" TargetMode="External"/><Relationship Id="rId10345" Type="http://schemas.openxmlformats.org/officeDocument/2006/relationships/hyperlink" Target="https://www.tiktok.com/@sofaamarwahh" TargetMode="External"/><Relationship Id="rId10346" Type="http://schemas.openxmlformats.org/officeDocument/2006/relationships/hyperlink" Target="https://www.tiktok.com/@astifidy" TargetMode="External"/><Relationship Id="rId10349" Type="http://schemas.openxmlformats.org/officeDocument/2006/relationships/hyperlink" Target="https://www.tiktok.com/@skincare.outfit03" TargetMode="External"/><Relationship Id="rId5761" Type="http://schemas.openxmlformats.org/officeDocument/2006/relationships/hyperlink" Target="https://vt.tiktok.com/ZSxP96fyj/" TargetMode="External"/><Relationship Id="rId5762" Type="http://schemas.openxmlformats.org/officeDocument/2006/relationships/hyperlink" Target="https://vt.tiktok.com/ZSxP9rAqu/" TargetMode="External"/><Relationship Id="rId10340" Type="http://schemas.openxmlformats.org/officeDocument/2006/relationships/hyperlink" Target="https://www.tiktok.com/@queen.ha2" TargetMode="External"/><Relationship Id="rId3100" Type="http://schemas.openxmlformats.org/officeDocument/2006/relationships/hyperlink" Target="https://vt.tiktok.com/ZS969wDHT/" TargetMode="External"/><Relationship Id="rId4431" Type="http://schemas.openxmlformats.org/officeDocument/2006/relationships/hyperlink" Target="https://www.tiktok.com/@slsbilaashafa/video/7615006512070642952?_r=1&amp;u_code=ej6diac4c081a2&amp;region=&amp;mid=7593622890872982293&amp;preview_pb=0&amp;sharer_language=&amp;_d=0&amp;ec_shared_reflux_dynamic_params=%7B%22placeholder_material_id%22%3A%227615006512070642952%22%2C%22placeholder_origin_cover%22%3A%22https%253A%252F%252Fp16-sign-sg.tiktokcdn.com%252Ftos-alisg-p-0037%252Fo4rAKs8XA4fIew4Tj1DCDBmGBiIpIAitwSvWfB~tplv-tiktokx-origin.jpeg%253Fdr%253D14572%2526refresh_token%253D87dd6ba1%2526x-expires%253D1807070400%2526x-signature%253Dk1JTr5nC52YKEUtksSD2yEzijTo%25253D%2526t%253D4d5b0474%2526ps%253D13740610%2526shp%253Dd05b14bd%2526shcp%253D34ff8df6%2526idc%253Dmy2%2526s%253DTIKTOK_AFFILIATE_VIRAL_VIDEO%22%2C%22placeholder_product_id%22%3A%221729427766722726591%22%2C%22placeholder_video_id%22%3A%227615006512070642952%22%7D&amp;ec_shared_reflux_scene=shop_tab_feed&amp;share_item_id=7615006512070642952&amp;source=h5_t" TargetMode="External"/><Relationship Id="rId4430" Type="http://schemas.openxmlformats.org/officeDocument/2006/relationships/hyperlink" Target="https://www.tiktok.com/@slsbilaashafa" TargetMode="External"/><Relationship Id="rId5760" Type="http://schemas.openxmlformats.org/officeDocument/2006/relationships/hyperlink" Target="https://vt.tiktok.com/ZSxP9Y6jk/" TargetMode="External"/><Relationship Id="rId3102" Type="http://schemas.openxmlformats.org/officeDocument/2006/relationships/hyperlink" Target="https://vt.tiktok.com/ZS969qN61/" TargetMode="External"/><Relationship Id="rId4433" Type="http://schemas.openxmlformats.org/officeDocument/2006/relationships/hyperlink" Target="https://www.tiktok.com/@racun_spalspil12/video/7641435679850810645?_d=0&amp;_r=1&amp;ec_shared_reflux_dynamic_params=%7B%22placeholder_material_id%22%3A%227641435679850810645%22%2C%22placeholder_origin_cover%22%3A%22https%253A%252F%252Fp16-common-sign.tiktokcdn.com%252Ftos-alisg-p-0037%252FoQdCeIEeLxqA4Cy14iiABiCERBUBMgpUHIvMDS~tplv-tiktokx-origin.jpeg%253Fdr%253D14572%2526refresh_token%253D2c2454dc%2526x-expires%253D1810720800%2526x-signature%253D4xnY1T8wQSsrp6Ae1lya0ppQzDg%25253D%2526t%253D4d5b0474%2526ps%253D13740610%2526shp%253Dd05b14bd%2526shcp%253D34ff8df6%2526idc%253Dmy3%2526s%253DTIKTOK_AFFILIATE_VIRAL_VIDEO%22%2C%22placeholder_product_id%22%3A%221729729730555512511%22%2C%22placeholder_video_id%22%3A%227641435679850810645%22%7D&amp;ec_shared_reflux_scene=shop_tab_feed&amp;mid=7519443594904177409&amp;preview_pb=0&amp;region=&amp;share_item_id=7641435679850810645&amp;sharer_language=&amp;source=h5_t&amp;u_code=cllj6j6aidf05b" TargetMode="External"/><Relationship Id="rId5765" Type="http://schemas.openxmlformats.org/officeDocument/2006/relationships/hyperlink" Target="https://vt.tiktok.com/ZSxS3K4bw/" TargetMode="External"/><Relationship Id="rId10343" Type="http://schemas.openxmlformats.org/officeDocument/2006/relationships/hyperlink" Target="https://www.tiktok.com/@xxra5758" TargetMode="External"/><Relationship Id="rId3101" Type="http://schemas.openxmlformats.org/officeDocument/2006/relationships/hyperlink" Target="https://vt.tiktok.com/ZS969E3AE/" TargetMode="External"/><Relationship Id="rId4432" Type="http://schemas.openxmlformats.org/officeDocument/2006/relationships/hyperlink" Target="https://www.tiktok.com/@slsbilaashafa/video/7634624006204837128?_r=1&amp;u_code=ej6diac4c081a2&amp;region=&amp;mid=7604121927885359105&amp;preview_pb=0&amp;sharer_language=&amp;_d=0&amp;ec_shared_reflux_dynamic_params=%7B%22placeholder_material_id%22%3A%227634624006204837128%22%2C%22placeholder_origin_cover%22%3A%22https%253A%252F%252Fp16-common-sign.tiktokcdn.com%252Ftos-alisg-p-0037%252FoQIJGIA0afzohiDX8yvBiwDCqiAPA6Y6WIm9iO~tplv-tiktokx-origin.jpeg%253Fdr%253D14572%2526refresh_token%253D5dc272ff%2526x-expires%253D1809511200%2526x-signature%253Dbf%25252F7JaazyxlcGRMmMTX5kuCCgmk%25253D%2526t%253D4d5b0474%2526ps%253D13740610%2526shp%253Dd05b14bd%2526shcp%253D34ff8df6%2526idc%253Dmy%2526s%253DTIKTOK_AFFILIATE_VIRAL_VIDEO%22%2C%22placeholder_product_id%22%3A%221729427766722726591%22%2C%22placeholder_video_id%22%3A%227634624006204837128%22%7D&amp;ec_shared_reflux_scene=shop_tab_feed&amp;share_item_id=7634624006204837128&amp;source=h5_t" TargetMode="External"/><Relationship Id="rId5766" Type="http://schemas.openxmlformats.org/officeDocument/2006/relationships/hyperlink" Target="https://www.tiktok.com/@sasasintya" TargetMode="External"/><Relationship Id="rId10344" Type="http://schemas.openxmlformats.org/officeDocument/2006/relationships/hyperlink" Target="https://www.tiktok.com/@2nd.hael" TargetMode="External"/><Relationship Id="rId3104" Type="http://schemas.openxmlformats.org/officeDocument/2006/relationships/hyperlink" Target="https://vt.tiktok.com/ZS969VFg6/" TargetMode="External"/><Relationship Id="rId4435" Type="http://schemas.openxmlformats.org/officeDocument/2006/relationships/hyperlink" Target="https://www.tiktok.com/@dipiulcalia_" TargetMode="External"/><Relationship Id="rId5763" Type="http://schemas.openxmlformats.org/officeDocument/2006/relationships/hyperlink" Target="https://www.tiktok.com/@beningtyasw" TargetMode="External"/><Relationship Id="rId10341" Type="http://schemas.openxmlformats.org/officeDocument/2006/relationships/hyperlink" Target="https://www.tiktok.com/@aaaaaamaliiaaa" TargetMode="External"/><Relationship Id="rId3103" Type="http://schemas.openxmlformats.org/officeDocument/2006/relationships/hyperlink" Target="https://www.tiktok.com/@ipi109" TargetMode="External"/><Relationship Id="rId4434" Type="http://schemas.openxmlformats.org/officeDocument/2006/relationships/hyperlink" Target="https://www.tiktok.com/@harumrice/video/7637488007687228692?_r=1&amp;u_code=d6j7255963058c&amp;region=&amp;mid=7537571734703901441&amp;preview_pb=0&amp;sharer_language=&amp;_d=0&amp;ec_shared_reflux_dynamic_params=%7B%22placeholder_material_id%22%3A%227637488007687228692%22%2C%22placeholder_origin_cover%22%3A%22https%253A%252F%252Fp16-common-sign.tiktokcdn.com%252Ftos-alisg-p-0037%252FoMQGn9BI7efzRFo2mlpGCoNAIbwu9ZeQuAeLGz~tplv-tiktokx-origin.jpeg%253Fdr%253D14572%2526refresh_token%253D9ae7b192%2526x-expires%253D1810717200%2526x-signature%253DxOFi4X58hv9egjVYnXeaKKeVy%25252Bs%25253D%2526t%253D4d5b0474%2526ps%253D13740610%2526shp%253Dd05b14bd%2526shcp%253D34ff8df6%2526idc%253Dmy3%2526s%253DTIKTOK_AFFILIATE_VIRAL_VIDEO%22%2C%22placeholder_product_id%22%3A%221729427766722726591%22%2C%22placeholder_video_id%22%3A%227637488007687228692%22%7D&amp;ec_shared_reflux_scene=shop_tab_feed&amp;share_item_id=7637488007687228692&amp;source=h5_t" TargetMode="External"/><Relationship Id="rId5764" Type="http://schemas.openxmlformats.org/officeDocument/2006/relationships/hyperlink" Target="https://vt.tiktok.com/ZSxS3poY4/" TargetMode="External"/><Relationship Id="rId10342" Type="http://schemas.openxmlformats.org/officeDocument/2006/relationships/hyperlink" Target="https://www.tiktok.com/@spill.byzee" TargetMode="External"/><Relationship Id="rId3139" Type="http://schemas.openxmlformats.org/officeDocument/2006/relationships/hyperlink" Target="https://www.tiktok.com/@berkah.glosir/video/7634066840045538581?_r=1&amp;u_code=e4hbm162fcgeg9&amp;region=&amp;mid=7578896629148404500&amp;preview_pb=0&amp;sharer_language=&amp;_d=0&amp;ec_shared_reflux_dynamic_params=%7B%22placeholder_material_id%22%3A%227634066840045538581%22%2C%22placeholder_origin_cover%22%3A%22https%253A%252F%252Fp16-common-sign.tiktokcdn.com%252Ftos-alisg-p-0037%252FoYNWfAD8cpXB2FRvpJ8WcEUEgQjxBsAQfYoaE1~tplv-tiktokx-origin.jpeg%253Fdr%253D14572%2526refresh_token%253D813cc52b%2526x-expires%253D1810116000%2526x-signature%253DZkFpdk2pCAMgmmUkMnyRBKxQJuI%25253D%2526t%253D4d5b0474%2526ps%253D13740610%2526shp%253Dd05b14bd%2526shcp%253D34ff8df6%2526idc%253Dmy2%2526s%253DTIKTOK_AFFILIATE_VIRAL_VIDEO%22%2C%22placeholder_product_id%22%3A%221729729730555512511%22%2C%22placeholder_video_id%22%3A%227634066840045538581%22%7D&amp;ec_shared_reflux_scene=shop_tab_feed&amp;share_item_id=7634066840045538581&amp;source=h5_t" TargetMode="External"/><Relationship Id="rId3138" Type="http://schemas.openxmlformats.org/officeDocument/2006/relationships/hyperlink" Target="https://www.tiktok.com/@berkah.glosir/video/7634066470116379925?_r=1&amp;u_code=e4hbm162fcgeg9&amp;region=&amp;mid=7628927071062493200&amp;preview_pb=0&amp;sharer_language=&amp;_d=0&amp;ec_shared_reflux_dynamic_params=%7B%22placeholder_material_id%22%3A%227634066470116379925%22%2C%22placeholder_origin_cover%22%3A%22https%253A%252F%252Fp16-common-sign.tiktokcdn.com%252Ftos-alisg-p-0037%252FoMA1BEhpUEEFoRfQbIjfBFT83D3W8aQ107z4Ug~tplv-tiktokx-origin.jpeg%253Fdr%253D14572%2526refresh_token%253Dd16ae06b%2526x-expires%253D1810116000%2526x-signature%253DR8Lsp4cxz%25252BkR2kDpEF2i1EFJzbI%25253D%2526t%253D4d5b0474%2526ps%253D13740610%2526shp%253Dd05b14bd%2526shcp%253D34ff8df6%2526idc%253Dmy2%2526s%253DTIKTOK_AFFILIATE_VIRAL_VIDEO%22%2C%22placeholder_product_id%22%3A%221729729730555512511%22%2C%22placeholder_video_id%22%3A%227634066470116379925%22%7D&amp;ec_shared_reflux_scene=shop_tab_feed&amp;share_item_id=7634066470116379925&amp;source=h5_t" TargetMode="External"/><Relationship Id="rId4469" Type="http://schemas.openxmlformats.org/officeDocument/2006/relationships/hyperlink" Target="https://www.tiktok.com/@ham_za253" TargetMode="External"/><Relationship Id="rId10314" Type="http://schemas.openxmlformats.org/officeDocument/2006/relationships/hyperlink" Target="https://www.tiktok.com/@nayyaakuu" TargetMode="External"/><Relationship Id="rId10315" Type="http://schemas.openxmlformats.org/officeDocument/2006/relationships/hyperlink" Target="https://www.tiktok.com/@ucieebisnisss" TargetMode="External"/><Relationship Id="rId10312" Type="http://schemas.openxmlformats.org/officeDocument/2006/relationships/hyperlink" Target="https://www.tiktok.com/@asrinasifah43" TargetMode="External"/><Relationship Id="rId10313" Type="http://schemas.openxmlformats.org/officeDocument/2006/relationships/hyperlink" Target="https://www.tiktok.com/@fjoficial26" TargetMode="External"/><Relationship Id="rId5790" Type="http://schemas.openxmlformats.org/officeDocument/2006/relationships/hyperlink" Target="https://vt.tiktok.com/ZS9ks4f57/" TargetMode="External"/><Relationship Id="rId10318" Type="http://schemas.openxmlformats.org/officeDocument/2006/relationships/hyperlink" Target="https://www.tiktok.com/@beauty0_0fashion" TargetMode="External"/><Relationship Id="rId5791" Type="http://schemas.openxmlformats.org/officeDocument/2006/relationships/hyperlink" Target="https://vt.tiktok.com/ZS9ksgkeS/" TargetMode="External"/><Relationship Id="rId10319" Type="http://schemas.openxmlformats.org/officeDocument/2006/relationships/hyperlink" Target="https://www.tiktok.com/@rosi.handayani78" TargetMode="External"/><Relationship Id="rId4460" Type="http://schemas.openxmlformats.org/officeDocument/2006/relationships/hyperlink" Target="https://www.tiktok.com/@icha7721" TargetMode="External"/><Relationship Id="rId10316" Type="http://schemas.openxmlformats.org/officeDocument/2006/relationships/hyperlink" Target="https://www.tiktok.com/@iniadasaput" TargetMode="External"/><Relationship Id="rId10317" Type="http://schemas.openxmlformats.org/officeDocument/2006/relationships/hyperlink" Target="https://www.tiktok.com/@zumrotun_2" TargetMode="External"/><Relationship Id="rId3131" Type="http://schemas.openxmlformats.org/officeDocument/2006/relationships/hyperlink" Target="https://www.tiktok.com/@rindi.afrilia/video/7631344136540441876?_d=0&amp;_r=1&amp;ec_shared_reflux_dynamic_params=%7B%22placeholder_material_id%22%3A%227631344136540441876%22%2C%22placeholder_origin_cover%22%3A%22https%253A%252F%252Fp16-common-sign.tiktokcdn.com%252Ftos-alisg-p-0037%252FokQ7fbGRQGA8jQHPCn0ArAfUwFWTB9nMfeyB43~tplv-tiktokx-origin.jpeg%253Fdr%253D14572%2526refresh_token%253D1085ef16%2526x-expires%253D1810202400%2526x-signature%253DsXeywS8WjmAa7iV8szE2Y7QcaHc%25253D%2526t%253D4d5b0474%2526ps%253D13740610%2526shp%253Dd05b14bd%2526shcp%253D34ff8df6%2526idc%253Dmy2%2526s%253DTIKTOK_AFFILIATE_VIRAL_VIDEO%22%2C%22placeholder_product_id%22%3A%221729427766722726591%22%2C%22placeholder_video_id%22%3A%227631344136540441876%22%7D&amp;ec_shared_reflux_scene=shop_tab_feed&amp;mid=7625671794292247317&amp;preview_pb=0&amp;region=&amp;share_item_id=7631344136540441876&amp;sharer_language=&amp;source=h5_t&amp;u_code=dja890i3j90f3j" TargetMode="External"/><Relationship Id="rId4462" Type="http://schemas.openxmlformats.org/officeDocument/2006/relationships/hyperlink" Target="https://www.tiktok.com/@icha7721/video/7607016454952586503?_r=1&amp;u_code=e59fc6bfdb6373&amp;region=&amp;mid=7571862769118300948&amp;preview_pb=0&amp;sharer_language=&amp;_d=0&amp;ec_shared_reflux_dynamic_params=%7B%22placeholder_material_id%22%3A%227607016454952586503%22%2C%22placeholder_origin_cover%22%3A%22https%253A%252F%252Fp16-common-sign.tiktokcdn.com%252Ftos-alisg-p-0037%252FosbRyozEYIRRCQCQ0BFpAjeDg8cJEB3TfYkEu1~tplv-tiktokx-origin.jpeg%253Fdr%253D14572%2526refresh_token%253Dd00f0b9d%2526x-expires%253D1808208000%2526x-signature%253Dlm52lFf3GPd6WCJSn8SgNZcA%25252FWE%25253D%2526t%253D4d5b0474%2526ps%253D13740610%2526shp%253Dd05b14bd%2526shcp%253D34ff8df6%2526idc%253Dmy3%2526s%253DTIKTOK_AFFILIATE_VIRAL_VIDEO%22%2C%22placeholder_product_id%22%3A%221729427766722726591%22%2C%22placeholder_video_id%22%3A%227607016454952586503%22%7D&amp;ec_shared_reflux_scene=shop_tab_feed&amp;share_item_id=7607016454952586503&amp;source=h5_t" TargetMode="External"/><Relationship Id="rId5794" Type="http://schemas.openxmlformats.org/officeDocument/2006/relationships/hyperlink" Target="https://www.tiktok.com/@nuraeniaripin/video/7639619430829329684?_r=1&amp;u_code=cmleee9gb9beek&amp;region=&amp;mid=7639619477902772999&amp;preview_pb=0&amp;sharer_language=&amp;_d=0&amp;ec_shared_reflux_dynamic_params=%7B%22placeholder_material_id%22%3A%227639619430829329684%22%2C%22placeholder_origin_cover%22%3A%22https%253A%252F%252Fp16-common-sign.tiktokcdn.com%252Ftos-alisg-p-0037%252FowrWFAMVWcB7sEIqsBFfBBgDvYNsBLIfRRDoEz~tplv-tiktokx-origin.jpeg%253Fdr%253D14572%2526refresh_token%253Dfe694de4%2526x-expires%253D1810717200%2526x-signature%253DIjKAJXLjwdbc2AYNOtLY4uDUWXw%25253D%2526t%253D4d5b0474%2526ps%253D13740610%2526shp%253Dd05b14bd%2526shcp%253D34ff8df6%2526idc%253Dmy3%2526s%253DTIKTOK_AFFILIATE_VIRAL_VIDEO%22%2C%22placeholder_product_id%22%3A%221729729730555512511%22%2C%22placeholder_video_id%22%3A%227639619430829329684%22%7D&amp;ec_shared_reflux_scene=shop_tab_feed&amp;share_item_id=7639619430829329684&amp;source=h5_t" TargetMode="External"/><Relationship Id="rId3130" Type="http://schemas.openxmlformats.org/officeDocument/2006/relationships/hyperlink" Target="https://www.tiktok.com/@nengimel5758" TargetMode="External"/><Relationship Id="rId4461" Type="http://schemas.openxmlformats.org/officeDocument/2006/relationships/hyperlink" Target="https://www.tiktok.com/@icha7721/video/7606571838742727943?_r=1&amp;u_code=e59fc6bfdb6373&amp;region=&amp;mid=6874549691753843458&amp;preview_pb=0&amp;sharer_language=&amp;_d=0&amp;ec_shared_reflux_dynamic_params=%7B%22placeholder_material_id%22%3A%227606571838742727943%22%2C%22placeholder_origin_cover%22%3A%22https%253A%252F%252Fp16-sign-sg.tiktokcdn.com%252Ftos-alisg-p-0037%252FoEfHefBMMAoNZfECAaXGwLGJOF8ymTGBQqAdRP~tplv-tiktokx-origin.jpeg%253Fdr%253D14572%2526refresh_token%253Da8f20483%2526x-expires%253D1808208000%2526x-signature%253DBFx8NNZuLxVltQ3v9Jqek8HxThs%25253D%2526t%253D4d5b0474%2526ps%253D13740610%2526shp%253Dd05b14bd%2526shcp%253D34ff8df6%2526idc%253Dmy3%2526s%253DTIKTOK_AFFILIATE_VIRAL_VIDEO%22%2C%22placeholder_product_id%22%3A%221729427766722726591%22%2C%22placeholder_video_id%22%3A%227606571838742727943%22%7D&amp;ec_shared_reflux_scene=shop_tab_feed&amp;share_item_id=7606571838742727943&amp;source=h5_t" TargetMode="External"/><Relationship Id="rId5795" Type="http://schemas.openxmlformats.org/officeDocument/2006/relationships/hyperlink" Target="https://vt.tiktok.com/ZSxdcwqu9/" TargetMode="External"/><Relationship Id="rId3133" Type="http://schemas.openxmlformats.org/officeDocument/2006/relationships/hyperlink" Target="https://www.tiktok.com/@glamorousss__/video/7628806374184471828?is_from_webapp=1&amp;sender_device=pc" TargetMode="External"/><Relationship Id="rId4464" Type="http://schemas.openxmlformats.org/officeDocument/2006/relationships/hyperlink" Target="https://www.tiktok.com/@icha7721/video/7609176646607752455?_r=1&amp;u_code=e59fc6bfdb6373&amp;region=&amp;mid=7147549859652979482&amp;preview_pb=0&amp;sharer_language=&amp;_d=0&amp;ec_shared_reflux_dynamic_params=%7B%22placeholder_material_id%22%3A%227609176646607752455%22%2C%22placeholder_origin_cover%22%3A%22https%253A%252F%252Fp16-sign-sg.tiktokcdn.com%252Ftos-alisg-p-0037%252Fo4ensGMwQA4H45CIGDcIa6L6LQEjAFLeTyCn4e~tplv-tiktokx-origin.jpeg%253Fdr%253D14572%2526refresh_token%253D42770489%2526x-expires%253D1808208000%2526x-signature%253DPxdeVgx1Sa01J%25252FVYsHYKFnaDP%25252Fg%25253D%2526t%253D4d5b0474%2526ps%253D13740610%2526shp%253Dd05b14bd%2526shcp%253D34ff8df6%2526idc%253Dmy3%2526s%253DTIKTOK_AFFILIATE_VIRAL_VIDEO%22%2C%22placeholder_product_id%22%3A%221729427766722726591%22%2C%22placeholder_video_id%22%3A%227609176646607752455%22%7D&amp;ec_shared_reflux_scene=shop_tab_feed&amp;share_item_id=7609176646607752455&amp;source=h5_t" TargetMode="External"/><Relationship Id="rId5792" Type="http://schemas.openxmlformats.org/officeDocument/2006/relationships/hyperlink" Target="https://vt.tiktok.com/ZS9ksThGa/" TargetMode="External"/><Relationship Id="rId3132" Type="http://schemas.openxmlformats.org/officeDocument/2006/relationships/hyperlink" Target="https://www.tiktok.com/@glamorousss__" TargetMode="External"/><Relationship Id="rId4463" Type="http://schemas.openxmlformats.org/officeDocument/2006/relationships/hyperlink" Target="https://www.tiktok.com/@icha7721/video/7607312925904145671?_r=1&amp;u_code=e59fc6bfdb6373&amp;region=&amp;mid=7503437489077209862&amp;preview_pb=0&amp;sharer_language=&amp;_d=0&amp;ec_shared_reflux_dynamic_params=%7B%22placeholder_material_id%22%3A%227607312925904145671%22%2C%22placeholder_origin_cover%22%3A%22https%253A%252F%252Fp16-common-sign.tiktokcdn.com%252Ftos-alisg-p-0037%252FoUEnuZQgcGAF8EpmeiR4kkfBYpDBBBuQcBtpsS~tplv-tiktokx-origin.jpeg%253Fdr%253D14572%2526refresh_token%253D85fd4c8d%2526x-expires%253D1808208000%2526x-signature%253Dy%25252FgGySVwKa%25252BlHmgAIlKUu3OqUTc%25253D%2526t%253D4d5b0474%2526ps%253D13740610%2526shp%253Dd05b14bd%2526shcp%253D34ff8df6%2526idc%253Dmy3%2526s%253DTIKTOK_AFFILIATE_VIRAL_VIDEO%22%2C%22placeholder_product_id%22%3A%221729729730555512511%22%2C%22placeholder_video_id%22%3A%227607312925904145671%22%7D&amp;ec_shared_reflux_scene=shop_tab_feed&amp;share_item_id=7607312925904145671&amp;source=h5_t" TargetMode="External"/><Relationship Id="rId5793" Type="http://schemas.openxmlformats.org/officeDocument/2006/relationships/hyperlink" Target="https://www.tiktok.com/@nuraeniaripin" TargetMode="External"/><Relationship Id="rId3135" Type="http://schemas.openxmlformats.org/officeDocument/2006/relationships/hyperlink" Target="https://www.tiktok.com/@nianitisa" TargetMode="External"/><Relationship Id="rId4466" Type="http://schemas.openxmlformats.org/officeDocument/2006/relationships/hyperlink" Target="https://www.tiktok.com/@Beautyyy.bloom" TargetMode="External"/><Relationship Id="rId5798" Type="http://schemas.openxmlformats.org/officeDocument/2006/relationships/hyperlink" Target="https://www.tiktok.com/@ndiranavsyari" TargetMode="External"/><Relationship Id="rId10310" Type="http://schemas.openxmlformats.org/officeDocument/2006/relationships/hyperlink" Target="https://www.tiktok.com/@khumala980" TargetMode="External"/><Relationship Id="rId3134" Type="http://schemas.openxmlformats.org/officeDocument/2006/relationships/hyperlink" Target="https://www.tiktok.com/@rindi.afrilia/video/7631192970619784469?_d=0&amp;_r=1&amp;ec_shared_reflux_dynamic_params=%7B%22placeholder_material_id%22%3A%227631192970619784469%22%2C%22placeholder_origin_cover%22%3A%22https%253A%252F%252Fp16-common-sign.tiktokcdn.com%252Ftos-alisg-p-0037%252FoMRnCBImAmyItCZpf3cFEFb5IBxfG1unggDcEE~tplv-tiktokx-origin.jpeg%253Fdr%253D14572%2526refresh_token%253D2ac0a793%2526x-expires%253D1810202400%2526x-signature%253DISCskG1154luFLpa7A0Hufgz%25252FUg%25253D%2526t%253D4d5b0474%2526ps%253D13740610%2526shp%253Dd05b14bd%2526shcp%253D34ff8df6%2526idc%253Dmy2%2526s%253DTIKTOK_AFFILIATE_VIRAL_VIDEO%22%2C%22placeholder_product_id%22%3A%221729427766722726591%22%2C%22placeholder_video_id%22%3A%227631192970619784469%22%7D&amp;ec_shared_reflux_scene=shop_tab_feed&amp;mid=7611086714324536084&amp;preview_pb=0&amp;region=&amp;share_item_id=7631192970619784469&amp;sharer_language=&amp;source=h5_t&amp;u_code=dja890i3j90f3j" TargetMode="External"/><Relationship Id="rId4465" Type="http://schemas.openxmlformats.org/officeDocument/2006/relationships/hyperlink" Target="https://www.tiktok.com/@syifaaulx" TargetMode="External"/><Relationship Id="rId5799" Type="http://schemas.openxmlformats.org/officeDocument/2006/relationships/hyperlink" Target="https://vt.tiktok.com/ZS9ksB2YF/" TargetMode="External"/><Relationship Id="rId10311" Type="http://schemas.openxmlformats.org/officeDocument/2006/relationships/hyperlink" Target="https://www.tiktok.com/@depiisrrr" TargetMode="External"/><Relationship Id="rId3137" Type="http://schemas.openxmlformats.org/officeDocument/2006/relationships/hyperlink" Target="https://www.tiktok.com/@berkah.glosir/video/7633975854292471061?_r=1&amp;u_code=e4hbm162fcgeg9&amp;region=&amp;mid=7606071400499628049&amp;preview_pb=0&amp;sharer_language=&amp;_d=0&amp;ec_shared_reflux_dynamic_params=%7B%22placeholder_material_id%22%3A%227633975854292471061%22%2C%22placeholder_origin_cover%22%3A%22https%253A%252F%252Fp16-common-sign.tiktokcdn.com%252Ftos-alisg-p-0037%252FooV4Ji1EiIPIg9eVKxfoiA2ARSSApBU3BCrKBt~tplv-tiktokx-origin.jpeg%253Fdr%253D14572%2526refresh_token%253D1f0bc064%2526x-expires%253D1810116000%2526x-signature%253D%25252BJmZm%25252BvPrDsX43SrCZYqu5SGbtI%25253D%2526t%253D4d5b0474%2526ps%253D13740610%2526shp%253Dd05b14bd%2526shcp%253D34ff8df6%2526idc%253Dmy2%2526s%253DTIKTOK_AFFILIATE_VIRAL_VIDEO%22%2C%22placeholder_product_id%22%3A%221729729730555512511%22%2C%22placeholder_video_id%22%3A%227633975854292471061%22%7D&amp;ec_shared_reflux_scene=shop_tab_feed&amp;share_item_id=7633975854292471061&amp;source=h5_t" TargetMode="External"/><Relationship Id="rId4468" Type="http://schemas.openxmlformats.org/officeDocument/2006/relationships/hyperlink" Target="https://www.tiktok.com/@isra.ayu.wardani" TargetMode="External"/><Relationship Id="rId5796" Type="http://schemas.openxmlformats.org/officeDocument/2006/relationships/hyperlink" Target="https://vt.tiktok.com/ZS9ksgkeS/" TargetMode="External"/><Relationship Id="rId3136" Type="http://schemas.openxmlformats.org/officeDocument/2006/relationships/hyperlink" Target="https://www.tiktok.com/@nianitisa/video/7630853416855653652?is_from_webapp=1&amp;sender_device=pc&amp;web_id=7611930277489657360" TargetMode="External"/><Relationship Id="rId4467" Type="http://schemas.openxmlformats.org/officeDocument/2006/relationships/hyperlink" Target="https://vt.tiktok.com/ZSxktnQmL/" TargetMode="External"/><Relationship Id="rId5797" Type="http://schemas.openxmlformats.org/officeDocument/2006/relationships/hyperlink" Target="https://vt.tiktok.com/ZS9ksThGa/" TargetMode="External"/><Relationship Id="rId3128" Type="http://schemas.openxmlformats.org/officeDocument/2006/relationships/hyperlink" Target="https://www.tiktok.com/@berkah.glosir/video/7633975423747099925?_r=1&amp;u_code=e4hbm162fcgeg9&amp;region=&amp;mid=7606071400499628049&amp;preview_pb=0&amp;sharer_language=&amp;_d=0&amp;ec_shared_reflux_dynamic_params=%7B%22placeholder_material_id%22%3A%227633975423747099925%22%2C%22placeholder_origin_cover%22%3A%22https%253A%252F%252Fp16-common-sign.tiktokcdn.com%252Ftos-alisg-p-0037%252FoUCmB7fDUQl1RWpEcVt2f8dVxBEAaEQOFEboQg~tplv-tiktokx-origin.jpeg%253Fdr%253D14572%2526refresh_token%253D8f46b42f%2526x-expires%253D1810116000%2526x-signature%253Dd5yh5lmDCO8ziSG%25252BUxgiXdxIqVY%25253D%2526t%253D4d5b0474%2526ps%253D13740610%2526shp%253Dd05b14bd%2526shcp%253D34ff8df6%2526idc%253Dmy2%2526s%253DTIKTOK_AFFILIATE_VIRAL_VIDEO%22%2C%22placeholder_product_id%22%3A%221729729730555512511%22%2C%22placeholder_video_id%22%3A%227633975423747099925%22%7D&amp;ec_shared_reflux_scene=shop_tab_feed&amp;share_item_id=7633975423747099925&amp;source=h5_t" TargetMode="External"/><Relationship Id="rId4459" Type="http://schemas.openxmlformats.org/officeDocument/2006/relationships/hyperlink" Target="https://www.tiktok.com/@harumrice/video/7638550933055556885?_r=1&amp;u_code=d6j7255963058c&amp;region=&amp;mid=7485956152430185222&amp;preview_pb=0&amp;sharer_language=&amp;_d=0&amp;ec_shared_reflux_dynamic_params=%7B%22placeholder_material_id%22%3A%227638550933055556885%22%2C%22placeholder_origin_cover%22%3A%22https%253A%252F%252Fp16-common-sign.tiktokcdn.com%252Ftos-alisg-p-0037%252Fo0Uf4wDh5CZgyAWjADugu0aMoAIeA08ofoKMQY~tplv-tiktokx-origin.jpeg%253Fdr%253D14572%2526refresh_token%253D5d5ad856%2526x-expires%253D1810717200%2526x-signature%253DnmduZHXyCJBmXziIyYx8QuuUWvg%25253D%2526t%253D4d5b0474%2526ps%253D13740610%2526shp%253Dd05b14bd%2526shcp%253D34ff8df6%2526idc%253Dmy3%2526s%253DTIKTOK_AFFILIATE_VIRAL_VIDEO%22%2C%22placeholder_product_id%22%3A%221729427766722726591%22%2C%22placeholder_video_id%22%3A%227638550933055556885%22%7D&amp;ec_shared_reflux_scene=shop_tab_feed&amp;share_item_id=7638550933055556885&amp;source=h5_t" TargetMode="External"/><Relationship Id="rId3127" Type="http://schemas.openxmlformats.org/officeDocument/2006/relationships/hyperlink" Target="https://www.tiktok.com/@berkah.glosir/video/7633877486954384661?_r=1&amp;u_code=e4hbm162fcgeg9&amp;region=&amp;mid=7604121927885359105&amp;preview_pb=0&amp;sharer_language=&amp;_d=0&amp;ec_shared_reflux_dynamic_params=%7B%22placeholder_material_id%22%3A%227633877486954384661%22%2C%22placeholder_origin_cover%22%3A%22https%253A%252F%252Fp16-common-sign.tiktokcdn.com%252Ftos-alisg-p-0037%252Fo8yhGnocwHXEReqSGAQuanNfeM8ABFQDFuwFYf~tplv-tiktokx-origin.jpeg%253Fdr%253D14572%2526refresh_token%253Dda211ade%2526x-expires%253D1810116000%2526x-signature%253DhOi3DtxzCBXWEKKCLALg34vHOkw%25253D%2526t%253D4d5b0474%2526ps%253D13740610%2526shp%253Dd05b14bd%2526shcp%253D34ff8df6%2526idc%253Dmy2%2526s%253DTIKTOK_AFFILIATE_VIRAL_VIDEO%22%2C%22placeholder_product_id%22%3A%221729729730555512511%22%2C%22placeholder_video_id%22%3A%227633877486954384661%22%7D&amp;ec_shared_reflux_scene=shop_tab_feed&amp;share_item_id=7633877486954384661&amp;source=h5_t" TargetMode="External"/><Relationship Id="rId4458" Type="http://schemas.openxmlformats.org/officeDocument/2006/relationships/hyperlink" Target="https://www.tiktok.com/@harumrice/video/7638513352813120788?_r=1&amp;u_code=d6j7255963058c&amp;region=&amp;mid=7628534505540324116&amp;preview_pb=0&amp;sharer_language=&amp;_d=0&amp;ec_shared_reflux_dynamic_params=%7B%22placeholder_material_id%22%3A%227638513352813120788%22%2C%22placeholder_origin_cover%22%3A%22https%253A%252F%252Fp16-common-sign.tiktokcdn.com%252Ftos-alisg-p-0037%252FoQSDXI3uB7qAeYhc7HElBFAERB3DygNU9IfUpX~tplv-tiktokx-origin.jpeg%253Fdr%253D14572%2526refresh_token%253D3f79ac1a%2526x-expires%253D1810717200%2526x-signature%253DywCZAJiT8YeF9tofFqKk019V4u0%25253D%2526t%253D4d5b0474%2526ps%253D13740610%2526shp%253Dd05b14bd%2526shcp%253D34ff8df6%2526idc%253Dmy3%2526s%253DTIKTOK_AFFILIATE_VIRAL_VIDEO%22%2C%22placeholder_product_id%22%3A%221729427766722726591%22%2C%22placeholder_video_id%22%3A%227638513352813120788%22%7D&amp;ec_shared_reflux_scene=shop_tab_feed&amp;share_item_id=7638513352813120788&amp;source=h5_t" TargetMode="External"/><Relationship Id="rId5789" Type="http://schemas.openxmlformats.org/officeDocument/2006/relationships/hyperlink" Target="https://vt.tiktok.com/ZS9ksB2YF/" TargetMode="External"/><Relationship Id="rId3129" Type="http://schemas.openxmlformats.org/officeDocument/2006/relationships/hyperlink" Target="https://www.tiktok.com/@berkah.glosir/video/7633975256461561108?_r=1&amp;u_code=e4hbm162fcgeg9&amp;region=&amp;mid=7614079490641120021&amp;preview_pb=0&amp;sharer_language=&amp;_d=0&amp;ec_shared_reflux_dynamic_params=%7B%22placeholder_material_id%22%3A%227633975256461561108%22%2C%22placeholder_origin_cover%22%3A%22https%253A%252F%252Fp19-common-sign.tiktokcdn.com%252Ftos-alisg-p-0037%252FooSx9oAx8AgUHffoHMGn1BFgVQGQXRf9tUtgEe~tplv-tiktokx-origin.jpeg%253Fdr%253D14572%2526refresh_token%253D23c858bb%2526x-expires%253D1810116000%2526x-signature%253DRvGbQjMnRar9kHgpa0KJU6YQmno%25253D%2526t%253D4d5b0474%2526ps%253D13740610%2526shp%253Dd05b14bd%2526shcp%253D34ff8df6%2526idc%253Dmy2%2526s%253DTIKTOK_AFFILIATE_VIRAL_VIDEO%22%2C%22placeholder_product_id%22%3A%221729729730555512511%22%2C%22placeholder_video_id%22%3A%227633975256461561108%22%7D&amp;ec_shared_reflux_scene=shop_tab_feed&amp;share_item_id=7633975256461561108&amp;source=h5_t" TargetMode="External"/><Relationship Id="rId10325" Type="http://schemas.openxmlformats.org/officeDocument/2006/relationships/hyperlink" Target="https://www.tiktok.com/@ig_meaii17" TargetMode="External"/><Relationship Id="rId10326" Type="http://schemas.openxmlformats.org/officeDocument/2006/relationships/hyperlink" Target="https://www.tiktok.com/@deviseptianaar" TargetMode="External"/><Relationship Id="rId10323" Type="http://schemas.openxmlformats.org/officeDocument/2006/relationships/hyperlink" Target="https://www.tiktok.com/@hay.nana209" TargetMode="External"/><Relationship Id="rId10324" Type="http://schemas.openxmlformats.org/officeDocument/2006/relationships/hyperlink" Target="https://www.tiktok.com/@atikanurul26" TargetMode="External"/><Relationship Id="rId10329" Type="http://schemas.openxmlformats.org/officeDocument/2006/relationships/hyperlink" Target="https://www.tiktok.com/@nandaeka.j" TargetMode="External"/><Relationship Id="rId5780" Type="http://schemas.openxmlformats.org/officeDocument/2006/relationships/hyperlink" Target="https://www.tiktok.com/@Msnha92" TargetMode="External"/><Relationship Id="rId10327" Type="http://schemas.openxmlformats.org/officeDocument/2006/relationships/hyperlink" Target="http://raihanalfarizi.id" TargetMode="External"/><Relationship Id="rId10328" Type="http://schemas.openxmlformats.org/officeDocument/2006/relationships/hyperlink" Target="https://www.tiktok.com/@raihanalfarizi.id" TargetMode="External"/><Relationship Id="rId3120" Type="http://schemas.openxmlformats.org/officeDocument/2006/relationships/hyperlink" Target="https://www.tiktok.com/@magerdong" TargetMode="External"/><Relationship Id="rId4451" Type="http://schemas.openxmlformats.org/officeDocument/2006/relationships/hyperlink" Target="https://www.tiktok.com/@waroengserbamurah/video/7609742371042921749?_r=1&amp;u_code=di6ce8079l4acg&amp;region=&amp;mid=7609742419634555669&amp;preview_pb=0&amp;sharer_language=&amp;_d=0&amp;ec_shared_reflux_dynamic_params=%7B%22placeholder_material_id%22%3A%227609742371042921749%22%2C%22placeholder_origin_cover%22%3A%22https%253A%252F%252Fp16-sign-sg.tiktokcdn.com%252Ftos-alisg-p-0037%252FogNbRzgApIU0EQBrPBmFlWxEIoDAUpAIggfGGe~tplv-tiktokx-origin.jpeg%253Fdr%253D14572%2526refresh_token%253D798d8972%2526x-expires%253D1807070400%2526x-signature%253DQPVBgQgMVSAGoieCLfmG3NWrTvQ%25253D%2526t%253D4d5b0474%2526ps%253D13740610%2526shp%253Dd05b14bd%2526shcp%253D34ff8df6%2526idc%253Dmy2%2526s%253DTIKTOK_AFFILIATE_VIRAL_VIDEO%22%2C%22placeholder_product_id%22%3A%221729729730555512511%22%2C%22placeholder_video_id%22%3A%227609742371042921749%22%7D&amp;ec_shared_reflux_scene=shop_tab_feed&amp;share_item_id=7609742371042921749&amp;source=h5_t" TargetMode="External"/><Relationship Id="rId5783" Type="http://schemas.openxmlformats.org/officeDocument/2006/relationships/hyperlink" Target="https://www.tiktok.com/@nianiania09" TargetMode="External"/><Relationship Id="rId4450" Type="http://schemas.openxmlformats.org/officeDocument/2006/relationships/hyperlink" Target="https://www.tiktok.com/@waroengserbamurah" TargetMode="External"/><Relationship Id="rId5784" Type="http://schemas.openxmlformats.org/officeDocument/2006/relationships/hyperlink" Target="https://vt.tiktok.com/ZS9ksB2YF/" TargetMode="External"/><Relationship Id="rId3122" Type="http://schemas.openxmlformats.org/officeDocument/2006/relationships/hyperlink" Target="https://vt.tiktok.com/ZS9RXA3KV/" TargetMode="External"/><Relationship Id="rId4453" Type="http://schemas.openxmlformats.org/officeDocument/2006/relationships/hyperlink" Target="https://www.tiktok.com/@waroengserbamurah/video/7609742484872350996?_r=1&amp;u_code=di6ce8079l4acg&amp;region=&amp;mid=7609742528782420743&amp;preview_pb=0&amp;sharer_language=&amp;_d=0&amp;ec_shared_reflux_dynamic_params=%7B%22placeholder_material_id%22%3A%227609742484872350996%22%2C%22placeholder_origin_cover%22%3A%22https%253A%252F%252Fp16-sign-sg.tiktokcdn.com%252Ftos-alisg-p-0037%252FooRPIA9npqBZkELbB8iigxBeEmARoLdII4frUz~tplv-tiktokx-origin.jpeg%253Fdr%253D14572%2526refresh_token%253D8379cca5%2526x-expires%253D1807070400%2526x-signature%253D2lZxyMCDgz6wyb86tizfvI%25252FloeQ%25253D%2526t%253D4d5b0474%2526ps%253D13740610%2526shp%253Dd05b14bd%2526shcp%253D34ff8df6%2526idc%253Dmy2%2526s%253DTIKTOK_AFFILIATE_VIRAL_VIDEO%22%2C%22placeholder_product_id%22%3A%221729427766722726591%22%2C%22placeholder_video_id%22%3A%227609742484872350996%22%7D&amp;ec_shared_reflux_scene=shop_tab_feed&amp;share_item_id=7609742484872350996&amp;source=h5_t" TargetMode="External"/><Relationship Id="rId5781" Type="http://schemas.openxmlformats.org/officeDocument/2006/relationships/hyperlink" Target="https://vt.tiktok.com/ZSxp8aTek/" TargetMode="External"/><Relationship Id="rId3121" Type="http://schemas.openxmlformats.org/officeDocument/2006/relationships/hyperlink" Target="https://vt.tiktok.com/ZS9RXmxBd/" TargetMode="External"/><Relationship Id="rId4452" Type="http://schemas.openxmlformats.org/officeDocument/2006/relationships/hyperlink" Target="https://www.tiktok.com/@waroengserbamurah/video/7609742422335327509?_r=1&amp;u_code=di6ce8079l4acg&amp;region=&amp;mid=7609742469441325842&amp;preview_pb=0&amp;sharer_language=&amp;_d=0&amp;ec_shared_reflux_dynamic_params=%7B%22placeholder_material_id%22%3A%227609742422335327509%22%2C%22placeholder_origin_cover%22%3A%22https%253A%252F%252Fp16-common-sign.tiktokcdn.com%252Ftos-alisg-p-0037%252Fo0nTCstUIXOLCpeAsAPgN8sjjjcVGDD4Ieeg5o~tplv-tiktokx-origin.jpeg%253Fdr%253D14572%2526refresh_token%253D88da185c%2526x-expires%253D1807070400%2526x-signature%253Dl5jxoOKi2WmuRsvwXJKEwfOrhDI%25253D%2526t%253D4d5b0474%2526ps%253D13740610%2526shp%253Dd05b14bd%2526shcp%253D34ff8df6%2526idc%253Dmy2%2526s%253DTIKTOK_AFFILIATE_VIRAL_VIDEO%22%2C%22placeholder_product_id%22%3A%221729729730555512511%22%2C%22placeholder_video_id%22%3A%227609742422335327509%22%7D&amp;ec_shared_reflux_scene=shop_tab_feed&amp;share_item_id=7609742422335327509&amp;source=h5_t" TargetMode="External"/><Relationship Id="rId5782" Type="http://schemas.openxmlformats.org/officeDocument/2006/relationships/hyperlink" Target="https://vt.tiktok.com/ZSxp8AS4T/" TargetMode="External"/><Relationship Id="rId3124" Type="http://schemas.openxmlformats.org/officeDocument/2006/relationships/hyperlink" Target="https://vt.tiktok.com/ZS9XgQrqM/" TargetMode="External"/><Relationship Id="rId4455" Type="http://schemas.openxmlformats.org/officeDocument/2006/relationships/hyperlink" Target="https://www.tiktok.com/@sititututyuliana3" TargetMode="External"/><Relationship Id="rId5787" Type="http://schemas.openxmlformats.org/officeDocument/2006/relationships/hyperlink" Target="https://vt.tiktok.com/ZS9ksThGa/" TargetMode="External"/><Relationship Id="rId10321" Type="http://schemas.openxmlformats.org/officeDocument/2006/relationships/hyperlink" Target="https://www.tiktok.com/@kapitaapea" TargetMode="External"/><Relationship Id="rId3123" Type="http://schemas.openxmlformats.org/officeDocument/2006/relationships/hyperlink" Target="https://vt.tiktok.com/ZS9XgQgSe/" TargetMode="External"/><Relationship Id="rId4454" Type="http://schemas.openxmlformats.org/officeDocument/2006/relationships/hyperlink" Target="https://www.tiktok.com/@waroengserbamurah/video/7610061599843355925?_r=1&amp;u_code=di6ce8079l4acg&amp;region=&amp;mid=7610066798612499220&amp;preview_pb=0&amp;sharer_language=&amp;_d=0&amp;ec_shared_reflux_dynamic_params=%7B%22placeholder_material_id%22%3A%227610061599843355925%22%2C%22placeholder_origin_cover%22%3A%22https%253A%252F%252Fp16-sign-sg.tiktokcdn.com%252Ftos-alisg-p-0037%252FoEpncpkvQ3F0Bb5EQj44eBASBRFX1cfsogKD6E~tplv-tiktokx-origin.jpeg%253Fdr%253D14572%2526refresh_token%253Ddacd329b%2526x-expires%253D1807070400%2526x-signature%253DiDLXl8ewVR0iBCn9e1aTApmgRwE%25253D%2526t%253D4d5b0474%2526ps%253D13740610%2526shp%253Dd05b14bd%2526shcp%253D34ff8df6%2526idc%253Dmy2%2526s%253DTIKTOK_AFFILIATE_VIRAL_VIDEO%22%2C%22placeholder_product_id%22%3A%221729427766722726591%22%2C%22placeholder_video_id%22%3A%227610061599843355925%22%7D&amp;ec_shared_reflux_scene=shop_tab_feed&amp;share_item_id=7610061599843355925&amp;source=h5_t" TargetMode="External"/><Relationship Id="rId5788" Type="http://schemas.openxmlformats.org/officeDocument/2006/relationships/hyperlink" Target="https://www.tiktok.com/@sintiayaaabarokah" TargetMode="External"/><Relationship Id="rId10322" Type="http://schemas.openxmlformats.org/officeDocument/2006/relationships/hyperlink" Target="https://www.tiktok.com/@_glowbyme_" TargetMode="External"/><Relationship Id="rId3126" Type="http://schemas.openxmlformats.org/officeDocument/2006/relationships/hyperlink" Target="https://www.tiktok.com/@berkah.glosir/video/7633878307204779285?_r=1&amp;u_code=e4hbm162fcgeg9&amp;region=&amp;mid=7587385617824353045&amp;preview_pb=0&amp;sharer_language=&amp;_d=0&amp;ec_shared_reflux_dynamic_params=%7B%22placeholder_material_id%22%3A%227633878307204779285%22%2C%22placeholder_origin_cover%22%3A%22https%253A%252F%252Fp16-common-sign.tiktokcdn.com%252Ftos-alisg-p-0037%252FosZEQBfExg8epb8cCQBtRFAY92QkFvE3DqvP9h~tplv-tiktokx-origin.jpeg%253Fdr%253D14572%2526refresh_token%253Da9671ca5%2526x-expires%253D1810116000%2526x-signature%253DUv6xWNm6tjNHYgSxHAwU3W7x%25252FNE%25253D%2526t%253D4d5b0474%2526ps%253D13740610%2526shp%253Dd05b14bd%2526shcp%253D34ff8df6%2526idc%253Dmy2%2526s%253DTIKTOK_AFFILIATE_VIRAL_VIDEO%22%2C%22placeholder_product_id%22%3A%221729427766722726591%22%2C%22placeholder_video_id%22%3A%227633878307204779285%22%7D&amp;ec_shared_reflux_scene=shop_tab_feed&amp;share_item_id=7633878307204779285&amp;source=h5_t" TargetMode="External"/><Relationship Id="rId4457" Type="http://schemas.openxmlformats.org/officeDocument/2006/relationships/hyperlink" Target="https://www.tiktok.com/@harumrice/video/7638270007717170452?_r=1&amp;u_code=d6j7255963058c&amp;region=&amp;mid=7636507600439331602&amp;preview_pb=0&amp;sharer_language=&amp;_d=0&amp;ec_shared_reflux_dynamic_params=%7B%22placeholder_material_id%22%3A%227638270007717170452%22%2C%22placeholder_origin_cover%22%3A%22https%253A%252F%252Fp16-common-sign.tiktokcdn.com%252Ftos-alisg-p-0037%252FokerhBoGUClNIAGLIGYS8AITIDfAeAHAyjIikx~tplv-tiktokx-origin.jpeg%253Fdr%253D14572%2526refresh_token%253D4bb3fa93%2526x-expires%253D1810717200%2526x-signature%253DbfXA6uTXu1HR02I5qSWvBqFbuY4%25253D%2526t%253D4d5b0474%2526ps%253D13740610%2526shp%253Dd05b14bd%2526shcp%253D34ff8df6%2526idc%253Dmy3%2526s%253DTIKTOK_AFFILIATE_VIRAL_VIDEO%22%2C%22placeholder_product_id%22%3A%221729427766722726591%22%2C%22placeholder_video_id%22%3A%227638270007717170452%22%7D&amp;ec_shared_reflux_scene=shop_tab_feed&amp;share_item_id=7638270007717170452&amp;source=h5_t" TargetMode="External"/><Relationship Id="rId5785" Type="http://schemas.openxmlformats.org/officeDocument/2006/relationships/hyperlink" Target="https://vt.tiktok.com/ZS9ks4f57/" TargetMode="External"/><Relationship Id="rId3125" Type="http://schemas.openxmlformats.org/officeDocument/2006/relationships/hyperlink" Target="https://www.tiktok.com/@margaretaiyel" TargetMode="External"/><Relationship Id="rId4456" Type="http://schemas.openxmlformats.org/officeDocument/2006/relationships/hyperlink" Target="https://www.tiktok.com/@sititututyuliana3/video/7612183248713583880?_r=1&amp;u_code=dic70kk943ja6d&amp;region=&amp;mid=7505029365265876993&amp;preview_pb=0&amp;sharer_language=&amp;_d=0&amp;ec_shared_reflux_dynamic_params=%7B%22placeholder_material_id%22%3A%227612183248713583880%22%2C%22placeholder_origin_cover%22%3A%22https%253A%252F%252Fp16-sign-sg.tiktokcdn.com%252Ftos-alisg-p-0037%252FoAENjQjIIDAfGIWjBTIA9UVg4CFfj6RD8uxTKf~tplv-tiktokx-origin.jpeg%253Fdr%253D14572%2526refresh_token%253D8e372a3c%2526x-expires%253D1807070400%2526x-signature%253DmomoBHPT9ARhaU%25252FAwkJ1gTX5hGw%25253D%2526t%253D4d5b0474%2526ps%253D13740610%2526shp%253Dd05b14bd%2526shcp%253D34ff8df6%2526idc%253Dmy2%2526s%253DTIKTOK_AFFILIATE_VIRAL_VIDEO%22%2C%22placeholder_product_id%22%3A%221729427766722726591%22%2C%22placeholder_video_id%22%3A%227612183248713583880%22%7D&amp;ec_shared_reflux_scene=shop_tab_feed&amp;share_item_id=7612183248713583880&amp;source=h5_t" TargetMode="External"/><Relationship Id="rId5786" Type="http://schemas.openxmlformats.org/officeDocument/2006/relationships/hyperlink" Target="https://vt.tiktok.com/ZS9ksgkeS/" TargetMode="External"/><Relationship Id="rId10320" Type="http://schemas.openxmlformats.org/officeDocument/2006/relationships/hyperlink" Target="https://www.tiktok.com/@biielga" TargetMode="External"/><Relationship Id="rId4404" Type="http://schemas.openxmlformats.org/officeDocument/2006/relationships/hyperlink" Target="https://www.tiktok.com/@Bundanya_alisha" TargetMode="External"/><Relationship Id="rId5736" Type="http://schemas.openxmlformats.org/officeDocument/2006/relationships/hyperlink" Target="https://vt.tiktok.com/ZSx72NUxQ/" TargetMode="External"/><Relationship Id="rId4403" Type="http://schemas.openxmlformats.org/officeDocument/2006/relationships/hyperlink" Target="https://www.tiktok.com/@hellogirl.y/video/7608721545078328583" TargetMode="External"/><Relationship Id="rId5737" Type="http://schemas.openxmlformats.org/officeDocument/2006/relationships/hyperlink" Target="https://vt.tiktok.com/ZSx72ef3A/" TargetMode="External"/><Relationship Id="rId4406" Type="http://schemas.openxmlformats.org/officeDocument/2006/relationships/hyperlink" Target="https://vt.tiktok.com/ZSx6DUbJ2/" TargetMode="External"/><Relationship Id="rId5734" Type="http://schemas.openxmlformats.org/officeDocument/2006/relationships/hyperlink" Target="https://vt.tiktok.com/ZSx722ba3/" TargetMode="External"/><Relationship Id="rId4405" Type="http://schemas.openxmlformats.org/officeDocument/2006/relationships/hyperlink" Target="https://www.tiktok.com/@Nita_gisull22" TargetMode="External"/><Relationship Id="rId5735" Type="http://schemas.openxmlformats.org/officeDocument/2006/relationships/hyperlink" Target="https://vt.tiktok.com/ZSx7Yn3UV/" TargetMode="External"/><Relationship Id="rId4408" Type="http://schemas.openxmlformats.org/officeDocument/2006/relationships/hyperlink" Target="https://vt.tiktok.com/ZSxMQRWrR/" TargetMode="External"/><Relationship Id="rId4407" Type="http://schemas.openxmlformats.org/officeDocument/2006/relationships/hyperlink" Target="https://www.tiktok.com/@febirahmadani399" TargetMode="External"/><Relationship Id="rId10380" Type="http://schemas.openxmlformats.org/officeDocument/2006/relationships/hyperlink" Target="https://www.tiktok.com/@twobest_review" TargetMode="External"/><Relationship Id="rId5738" Type="http://schemas.openxmlformats.org/officeDocument/2006/relationships/hyperlink" Target="https://www.tiktok.com/@beautystore.officia" TargetMode="External"/><Relationship Id="rId4409" Type="http://schemas.openxmlformats.org/officeDocument/2006/relationships/hyperlink" Target="https://www.tiktok.com/@racun.epple" TargetMode="External"/><Relationship Id="rId5739" Type="http://schemas.openxmlformats.org/officeDocument/2006/relationships/hyperlink" Target="https://vt.tiktok.com/ZS9jTks1k/" TargetMode="External"/><Relationship Id="rId10378" Type="http://schemas.openxmlformats.org/officeDocument/2006/relationships/hyperlink" Target="https://www.tiktok.com/@fasya.aull" TargetMode="External"/><Relationship Id="rId10379" Type="http://schemas.openxmlformats.org/officeDocument/2006/relationships/hyperlink" Target="https://www.tiktok.com/@itsrinsera.nari" TargetMode="External"/><Relationship Id="rId10372" Type="http://schemas.openxmlformats.org/officeDocument/2006/relationships/hyperlink" Target="https://www.tiktok.com/@amiraastari21" TargetMode="External"/><Relationship Id="rId10373" Type="http://schemas.openxmlformats.org/officeDocument/2006/relationships/hyperlink" Target="https://www.tiktok.com/@mytiffanyz" TargetMode="External"/><Relationship Id="rId10370" Type="http://schemas.openxmlformats.org/officeDocument/2006/relationships/hyperlink" Target="https://www.tiktok.com/@iamvalerie_" TargetMode="External"/><Relationship Id="rId10371" Type="http://schemas.openxmlformats.org/officeDocument/2006/relationships/hyperlink" Target="https://www.tiktok.com/@savieralistiaa" TargetMode="External"/><Relationship Id="rId4400" Type="http://schemas.openxmlformats.org/officeDocument/2006/relationships/hyperlink" Target="https://vt.tiktok.com/ZS9QgFpmW/" TargetMode="External"/><Relationship Id="rId5732" Type="http://schemas.openxmlformats.org/officeDocument/2006/relationships/hyperlink" Target="https://vt.tiktok.com/ZSxP9LUYF/" TargetMode="External"/><Relationship Id="rId10376" Type="http://schemas.openxmlformats.org/officeDocument/2006/relationships/hyperlink" Target="https://www.tiktok.com/@s.yulistiawati" TargetMode="External"/><Relationship Id="rId5733" Type="http://schemas.openxmlformats.org/officeDocument/2006/relationships/hyperlink" Target="https://www.tiktok.com/@itsdianity" TargetMode="External"/><Relationship Id="rId10377" Type="http://schemas.openxmlformats.org/officeDocument/2006/relationships/hyperlink" Target="https://www.tiktok.com/@190222ss" TargetMode="External"/><Relationship Id="rId4402" Type="http://schemas.openxmlformats.org/officeDocument/2006/relationships/hyperlink" Target="https://vt.tiktok.com/ZS9PBSVdJ/" TargetMode="External"/><Relationship Id="rId5730" Type="http://schemas.openxmlformats.org/officeDocument/2006/relationships/hyperlink" Target="https://vt.tiktok.com/ZSxP9MGKB/" TargetMode="External"/><Relationship Id="rId10374" Type="http://schemas.openxmlformats.org/officeDocument/2006/relationships/hyperlink" Target="https://www.tiktok.com/@sky.blue200331" TargetMode="External"/><Relationship Id="rId4401" Type="http://schemas.openxmlformats.org/officeDocument/2006/relationships/hyperlink" Target="https://www.tiktok.com/@bidanhenny01/video/7633276066479541525" TargetMode="External"/><Relationship Id="rId5731" Type="http://schemas.openxmlformats.org/officeDocument/2006/relationships/hyperlink" Target="https://vt.tiktok.com/ZSxP9SKY8/" TargetMode="External"/><Relationship Id="rId10375" Type="http://schemas.openxmlformats.org/officeDocument/2006/relationships/hyperlink" Target="https://www.tiktok.com/@lisaoficial39" TargetMode="External"/><Relationship Id="rId5725" Type="http://schemas.openxmlformats.org/officeDocument/2006/relationships/hyperlink" Target="https://vt.tiktok.com/ZS9fg8gBC/" TargetMode="External"/><Relationship Id="rId5726" Type="http://schemas.openxmlformats.org/officeDocument/2006/relationships/hyperlink" Target="https://vt.tiktok.com/ZS9fgj8xJ/" TargetMode="External"/><Relationship Id="rId5723" Type="http://schemas.openxmlformats.org/officeDocument/2006/relationships/hyperlink" Target="https://www.tiktok.com/@bywday" TargetMode="External"/><Relationship Id="rId5724" Type="http://schemas.openxmlformats.org/officeDocument/2006/relationships/hyperlink" Target="https://vt.tiktok.com/ZS9fbaK1u/" TargetMode="External"/><Relationship Id="rId5729" Type="http://schemas.openxmlformats.org/officeDocument/2006/relationships/hyperlink" Target="https://vt.tiktok.com/ZSxP9rW2q/" TargetMode="External"/><Relationship Id="rId10390" Type="http://schemas.openxmlformats.org/officeDocument/2006/relationships/hyperlink" Target="https://www.tiktok.com/@makeupbysheeren" TargetMode="External"/><Relationship Id="rId10391" Type="http://schemas.openxmlformats.org/officeDocument/2006/relationships/hyperlink" Target="https://www.tiktok.com/@fitavit_" TargetMode="External"/><Relationship Id="rId5727" Type="http://schemas.openxmlformats.org/officeDocument/2006/relationships/hyperlink" Target="https://vt.tiktok.com/ZSxWDXnxm/" TargetMode="External"/><Relationship Id="rId5728" Type="http://schemas.openxmlformats.org/officeDocument/2006/relationships/hyperlink" Target="https://www.tiktok.com/@devioktapiani17" TargetMode="External"/><Relationship Id="rId10389" Type="http://schemas.openxmlformats.org/officeDocument/2006/relationships/hyperlink" Target="https://www.tiktok.com/@mie40182" TargetMode="External"/><Relationship Id="rId10383" Type="http://schemas.openxmlformats.org/officeDocument/2006/relationships/hyperlink" Target="https://www.tiktok.com/@mffaa___" TargetMode="External"/><Relationship Id="rId10384" Type="http://schemas.openxmlformats.org/officeDocument/2006/relationships/hyperlink" Target="https://www.tiktok.com/@azkiaarchive" TargetMode="External"/><Relationship Id="rId10381" Type="http://schemas.openxmlformats.org/officeDocument/2006/relationships/hyperlink" Target="https://www.tiktok.com/@aliyanaelulmunaaa" TargetMode="External"/><Relationship Id="rId10382" Type="http://schemas.openxmlformats.org/officeDocument/2006/relationships/hyperlink" Target="https://www.tiktok.com/@cindysaadah6" TargetMode="External"/><Relationship Id="rId5721" Type="http://schemas.openxmlformats.org/officeDocument/2006/relationships/hyperlink" Target="https://vt.tiktok.com/ZSxWDDpKR/" TargetMode="External"/><Relationship Id="rId10387" Type="http://schemas.openxmlformats.org/officeDocument/2006/relationships/hyperlink" Target="https://www.tiktok.com/@deyysan.01" TargetMode="External"/><Relationship Id="rId5722" Type="http://schemas.openxmlformats.org/officeDocument/2006/relationships/hyperlink" Target="https://vt.tiktok.com/ZSxWD5sk4/" TargetMode="External"/><Relationship Id="rId10388" Type="http://schemas.openxmlformats.org/officeDocument/2006/relationships/hyperlink" Target="https://www.tiktok.com/@dewienes7" TargetMode="External"/><Relationship Id="rId10385" Type="http://schemas.openxmlformats.org/officeDocument/2006/relationships/hyperlink" Target="https://www.tiktok.com/@nna.izzaaaaa" TargetMode="External"/><Relationship Id="rId5720" Type="http://schemas.openxmlformats.org/officeDocument/2006/relationships/hyperlink" Target="https://vt.tiktok.com/ZSxWDs25D/" TargetMode="External"/><Relationship Id="rId10386" Type="http://schemas.openxmlformats.org/officeDocument/2006/relationships/hyperlink" Target="https://www.tiktok.com/@ditta.14" TargetMode="External"/><Relationship Id="rId4426" Type="http://schemas.openxmlformats.org/officeDocument/2006/relationships/hyperlink" Target="https://www.tiktok.com/@louisan.id/video/7618055627918593288?_r=1&amp;u_code=eh2jej8bjjbf6b&amp;region=&amp;mid=7420656068483811344&amp;preview_pb=0&amp;sharer_language=&amp;_d=0&amp;ec_shared_reflux_dynamic_params=%7B%22placeholder_material_id%22%3A%227618055627918593288%22%2C%22placeholder_origin_cover%22%3A%22https%253A%252F%252Fp16-sign-sg.tiktokcdn.com%252Ftos-alisg-p-0037%252FoY1QQcEDDVfBIzoDipMxEuKQpDFemRAuEXBAjg~tplv-tiktokx-origin.jpeg%253Fdr%253D14572%2526refresh_token%253D1b87758a%2526x-expires%253D1807070400%2526x-signature%253DTUi6MshZ9%25252FQPVvY%25252FHBkwp2eEwhw%25253D%2526t%253D4d5b0474%2526ps%253D13740610%2526shp%253Dd05b14bd%2526shcp%253D34ff8df6%2526idc%253Dmy2%2526s%253DTIKTOK_AFFILIATE_VIRAL_VIDEO%22%2C%22placeholder_product_id%22%3A%221729427766722726591%22%2C%22placeholder_video_id%22%3A%227618055627918593288%22%7D&amp;ec_shared_reflux_scene=shop_tab_feed&amp;share_item_id=7618055627918593288&amp;source=h5_t" TargetMode="External"/><Relationship Id="rId5758" Type="http://schemas.openxmlformats.org/officeDocument/2006/relationships/hyperlink" Target="https://www.tiktok.com/@urlv.ikaaa" TargetMode="External"/><Relationship Id="rId4425" Type="http://schemas.openxmlformats.org/officeDocument/2006/relationships/hyperlink" Target="https://www.tiktok.com/@louisan.id" TargetMode="External"/><Relationship Id="rId5759" Type="http://schemas.openxmlformats.org/officeDocument/2006/relationships/hyperlink" Target="https://vt.tiktok.com/ZSxP9Lksq/" TargetMode="External"/><Relationship Id="rId4428" Type="http://schemas.openxmlformats.org/officeDocument/2006/relationships/hyperlink" Target="https://www.tiktok.com/@louisan.id/video/7625982297816321288?_d=0&amp;_r=1&amp;ec_shared_reflux_dynamic_params=%7B%22placeholder_material_id%22%3A%227625982297816321288%22%2C%22placeholder_origin_cover%22%3A%22https%253A%252F%252Fp16-common-sign.tiktokcdn.com%252Ftos-alisg-p-0037%252FoAiI7pIU0jQ1b0B9Awf4iIAqBbIaoYhhAn607C~tplv-tiktokx-origin.jpeg%253Fdr%253D14572%2526refresh_token%253D591634a3%2526x-expires%253D1808208000%2526x-signature%253DLcXyKgz8zSKPwx66ERgDMb0BEw0%25253D%2526t%253D4d5b0474%2526ps%253D13740610%2526shp%253Dd05b14bd%2526shcp%253D34ff8df6%2526idc%253Dmy3%2526s%253DTIKTOK_AFFILIATE_VIRAL_VIDEO%22%2C%22placeholder_product_id%22%3A%221729427766722726591%22%2C%22placeholder_video_id%22%3A%227625982297816321288%22%7D&amp;ec_shared_reflux_scene=shop_tab_feed&amp;mid=7625982336966527762&amp;preview_pb=0&amp;region=&amp;share_item_id=7625982297816321288&amp;sharer_language=&amp;source=h5_t&amp;u_code=eh2jej8bjjbf6b" TargetMode="External"/><Relationship Id="rId5756" Type="http://schemas.openxmlformats.org/officeDocument/2006/relationships/hyperlink" Target="https://www.tiktok.com/@putriinabila89/video/7636340564148899093?_r=1&amp;u_code=da7h4ff96af635&amp;region=&amp;mid=7591434567065192449&amp;preview_pb=0&amp;sharer_language=&amp;_d=0&amp;ec_shared_reflux_dynamic_params=%7B%22placeholder_material_id%22%3A%227636340564148899093%22%2C%22placeholder_origin_cover%22%3A%22https%253A%252F%252Fp16-common-sign.tiktokcdn.com%252Ftos-alisg-p-0037%252FosvDp1DbFouzeu5wYjmSACwITeFII4BfATbXiE~tplv-tiktokx-origin.jpeg%253Fdr%253D14572%2526refresh_token%253D512739d9%2526x-expires%253D1810116000%2526x-signature%253D95mujMX6Ehl%25252Fnbbn82fFLYZpAho%25253D%2526t%253D4d5b0474%2526ps%253D13740610%2526shp%253Dd05b14bd%2526shcp%253D34ff8df6%2526idc%253Dmy2%2526s%253DTIKTOK_AFFILIATE_VIRAL_VIDEO%22%2C%22placeholder_product_id%22%3A%221729427766722726591%22%2C%22placeholder_video_id%22%3A%227636340564148899093%22%7D&amp;ec_shared_reflux_scene=shop_tab_feed&amp;share_item_id=7636340564148899093&amp;source=h5_t" TargetMode="External"/><Relationship Id="rId4427" Type="http://schemas.openxmlformats.org/officeDocument/2006/relationships/hyperlink" Target="https://www.tiktok.com/@louisan.id/video/7621585920633982228?_r=1&amp;u_code=eh2jej8bjjbf6b&amp;region=&amp;mid=7621585961501592340&amp;preview_pb=0&amp;sharer_language=&amp;_d=0&amp;ec_shared_reflux_dynamic_params=%7B%22placeholder_material_id%22%3A%227621585920633982228%22%2C%22placeholder_origin_cover%22%3A%22https%253A%252F%252Fp16-sign-sg.tiktokcdn.com%252Ftos-alisg-p-0037%252FoAICFpSEoBUbKgRo9GIAriiBfUB3DxB9HfG2AU~tplv-tiktokx-origin.jpeg%253Fdr%253D14572%2526refresh_token%253D105cce39%2526x-expires%253D1807070400%2526x-signature%253DXk3vrhf4Bi%25252Ff%25252F%25252Baro7nVssO8v5U%25253D%2526t%253D4d5b0474%2526ps%253D13740610%2526shp%253Dd05b14bd%2526shcp%253D34ff8df6%2526idc%253Dmy2%2526s%253DTIKTOK_AFFILIATE_VIRAL_VIDEO%22%2C%22placeholder_product_id%22%3A%221729427766722726591%22%2C%22placeholder_video_id%22%3A%227621585920633982228%22%7D&amp;ec_shared_reflux_scene=shop_tab_feed&amp;share_item_id=7621585920633982228&amp;source=h5_t" TargetMode="External"/><Relationship Id="rId5757" Type="http://schemas.openxmlformats.org/officeDocument/2006/relationships/hyperlink" Target="https://vt.tiktok.com/ZSx72MrW4/" TargetMode="External"/><Relationship Id="rId4429" Type="http://schemas.openxmlformats.org/officeDocument/2006/relationships/hyperlink" Target="https://www.tiktok.com/@louisan.id/video/7628222300952874261?_d=0&amp;_r=1&amp;ec_shared_reflux_dynamic_params=%7B%22placeholder_material_id%22%3A%227628222300952874261%22%2C%22placeholder_origin_cover%22%3A%22https%253A%252F%252Fp16-common-sign.tiktokcdn.com%252Ftos-alisg-p-0037%252FoIIcIBACI407A8B0wi7OPO35SG3CeiWwuon8AF~tplv-tiktokx-origin.jpeg%253Fdr%253D14572%2526refresh_token%253Dbd97440d%2526x-expires%253D1808208000%2526x-signature%253D8YOOEFw2WLsSlQp5hR7xh8s1IEo%25253D%2526t%253D4d5b0474%2526ps%253D13740610%2526shp%253Dd05b14bd%2526shcp%253D34ff8df6%2526idc%253Dmy3%2526s%253DTIKTOK_AFFILIATE_VIRAL_VIDEO%22%2C%22placeholder_product_id%22%3A%221729427766722726591%22%2C%22placeholder_video_id%22%3A%227628222300952874261%22%7D&amp;ec_shared_reflux_scene=shop_tab_feed&amp;mid=7628222353989831442&amp;preview_pb=0&amp;region=&amp;share_item_id=7628222300952874261&amp;sharer_language=&amp;source=h5_t&amp;u_code=eh2jej8bjjbf6b" TargetMode="External"/><Relationship Id="rId10358" Type="http://schemas.openxmlformats.org/officeDocument/2006/relationships/hyperlink" Target="https://www.tiktok.com/@ernitanora" TargetMode="External"/><Relationship Id="rId10359" Type="http://schemas.openxmlformats.org/officeDocument/2006/relationships/hyperlink" Target="https://www.tiktok.com/@queen_kaffa" TargetMode="External"/><Relationship Id="rId10356" Type="http://schemas.openxmlformats.org/officeDocument/2006/relationships/hyperlink" Target="https://www.tiktok.com/@viktoria_anita" TargetMode="External"/><Relationship Id="rId10357" Type="http://schemas.openxmlformats.org/officeDocument/2006/relationships/hyperlink" Target="https://www.tiktok.com/@mamanyanecen_" TargetMode="External"/><Relationship Id="rId5750" Type="http://schemas.openxmlformats.org/officeDocument/2006/relationships/hyperlink" Target="https://vt.tiktok.com/ZSxP9a6Ld/" TargetMode="External"/><Relationship Id="rId10350" Type="http://schemas.openxmlformats.org/officeDocument/2006/relationships/hyperlink" Target="https://www.tiktok.com/@r.a.n.y_17" TargetMode="External"/><Relationship Id="rId5751" Type="http://schemas.openxmlformats.org/officeDocument/2006/relationships/hyperlink" Target="https://vt.tiktok.com/ZSxP99Uv4/" TargetMode="External"/><Relationship Id="rId10351" Type="http://schemas.openxmlformats.org/officeDocument/2006/relationships/hyperlink" Target="https://www.tiktok.com/@skinestishop" TargetMode="External"/><Relationship Id="rId4420" Type="http://schemas.openxmlformats.org/officeDocument/2006/relationships/hyperlink" Target="https://www.tiktok.com/@spallspill_capricorn/video/7619185703586417940?_r=1&amp;u_code=d94j25l8j9c8l3&amp;region=&amp;mid=7617716334930955028&amp;preview_pb=0&amp;sharer_language=&amp;_d=0&amp;ec_shared_reflux_dynamic_params=%7B%22placeholder_material_id%22%3A%227619185703586417940%22%2C%22placeholder_origin_cover%22%3A%22https%253A%252F%252Fp16-common-sign.tiktokcdn.com%252Ftos-alisg-p-0037%252FoUIABBGvJABiz8aEaAzDbBv8yXiIDRLYD6Puo~tplv-tiktokx-origin.jpeg%253Fdr%253D14572%2526refresh_token%253D1a0d9a0e%2526x-expires%253D1807070400%2526x-signature%253Dxbn2XD1xUO%25252FtRSA8Bi8FyDeqLG8%25253D%2526t%253D4d5b0474%2526ps%253D13740610%2526shp%253Dd05b14bd%2526shcp%253D34ff8df6%2526idc%253Dmy2%2526s%253DTIKTOK_AFFILIATE_VIRAL_VIDEO%22%2C%22placeholder_product_id%22%3A%221729427766722726591%22%2C%22placeholder_video_id%22%3A%227619185703586417940%22%7D&amp;ec_shared_reflux_scene=shop_tab_feed&amp;share_item_id=7619185703586417940&amp;source=h5_t" TargetMode="External"/><Relationship Id="rId4422" Type="http://schemas.openxmlformats.org/officeDocument/2006/relationships/hyperlink" Target="https://www.tiktok.com/@racun_spalspil12/video/7641434868135595285?_r=1&amp;u_code=cllj6j6aidf05b&amp;region=&amp;mid=7637936038535187218&amp;preview_pb=0&amp;sharer_language=&amp;_d=0&amp;ec_shared_reflux_dynamic_params=%7B%22placeholder_material_id%22%3A%227641434868135595285%22%2C%22placeholder_origin_cover%22%3A%22https%253A%252F%252Fp16-common-sign.tiktokcdn.com%252Ftos-alisg-p-0037%252FosK0owCLIilwQTQBe1qELBJBCIOOUlkfgAiiwR~tplv-tiktokx-origin.jpeg%253Fdr%253D14572%2526refresh_token%253D3e0ebb13%2526x-expires%253D1810720800%2526x-signature%253DbCQUtVqW7Y5ko9nGuF%25252Fc%25252Fjiq%25252FBs%25253D%2526t%253D4d5b0474%2526ps%253D13740610%2526shp%253Dd05b14bd%2526shcp%253D34ff8df6%2526idc%253Dmy3%2526s%253DTIKTOK_AFFILIATE_VIRAL_VIDEO%22%2C%22placeholder_product_id%22%3A%221729729730555512511%22%2C%22placeholder_video_id%22%3A%227641434868135595285%22%7D&amp;ec_shared_reflux_scene=shop_tab_feed&amp;share_item_id=7641434868135595285&amp;source=h5_t" TargetMode="External"/><Relationship Id="rId5754" Type="http://schemas.openxmlformats.org/officeDocument/2006/relationships/hyperlink" Target="https://www.tiktok.com/@putriinabila89/video/7633477524474858773?_r=1&amp;u_code=da7h4ff96af635&amp;region=&amp;mid=7606071400499628049&amp;preview_pb=0&amp;sharer_language=&amp;_d=0&amp;ec_shared_reflux_dynamic_params=%7B%22placeholder_material_id%22%3A%227633477524474858773%22%2C%22placeholder_origin_cover%22%3A%22https%253A%252F%252Fp16-common-sign.tiktokcdn.com%252Ftos-alisg-p-0037%252FocpmcavldBvQ4AFRwBUQw2YCM7EUgFffN8jDEA~tplv-tiktokx-origin.jpeg%253Fdr%253D14572%2526refresh_token%253De2c0da38%2526x-expires%253D1808992800%2526x-signature%253D3cVGSUj85TLcBpGcV0ZSYiopNP0%25253D%2526t%253D4d5b0474%2526ps%253D13740610%2526shp%253Dd05b14bd%2526shcp%253D34ff8df6%2526idc%253Dmy2%2526s%253DTIKTOK_AFFILIATE_VIRAL_VIDEO%22%2C%22placeholder_product_id%22%3A%221729427766722726591%22%2C%22placeholder_video_id%22%3A%227633477524474858773%22%7D&amp;ec_shared_reflux_scene=shop_tab_feed&amp;share_item_id=7633477524474858773&amp;source=h5_t" TargetMode="External"/><Relationship Id="rId10354" Type="http://schemas.openxmlformats.org/officeDocument/2006/relationships/hyperlink" Target="https://www.tiktok.com/@meilizaberlianty" TargetMode="External"/><Relationship Id="rId4421" Type="http://schemas.openxmlformats.org/officeDocument/2006/relationships/hyperlink" Target="https://www.tiktok.com/@racun_spalspil12/video/7641434278819122452?_r=1&amp;u_code=cllj6j6aidf05b&amp;region=&amp;mid=7637739937547225863&amp;preview_pb=0&amp;sharer_language=&amp;_d=0&amp;ec_shared_reflux_dynamic_params=%7B%22placeholder_material_id%22%3A%227641434278819122452%22%2C%22placeholder_origin_cover%22%3A%22https%253A%252F%252Fp16-common-sign.tiktokcdn.com%252Ftos-alisg-p-0037%252FosEiABaTTDpzY0bKByIDARPgBAL0i1Bs17VvI~tplv-tiktokx-origin.jpeg%253Fdr%253D14572%2526refresh_token%253Dbe39ba3c%2526x-expires%253D1810720800%2526x-signature%253DSI%25252FA45fZ8I8H49fCSs8ldi3uVgo%25253D%2526t%253D4d5b0474%2526ps%253D13740610%2526shp%253Dd05b14bd%2526shcp%253D34ff8df6%2526idc%253Dmy3%2526s%253DTIKTOK_AFFILIATE_VIRAL_VIDEO%22%2C%22placeholder_product_id%22%3A%221729729730555512511%22%2C%22placeholder_video_id%22%3A%227641434278819122452%22%7D&amp;ec_shared_reflux_scene=shop_tab_feed&amp;share_item_id=7641434278819122452&amp;source=h5_t" TargetMode="External"/><Relationship Id="rId5755" Type="http://schemas.openxmlformats.org/officeDocument/2006/relationships/hyperlink" Target="https://www.tiktok.com/@putriinabila89/video/7633478008145267988?_r=1&amp;u_code=da7h4ff96af635&amp;region=&amp;mid=7625250952261552904&amp;preview_pb=0&amp;sharer_language=&amp;_d=0&amp;ec_shared_reflux_dynamic_params=%7B%22placeholder_material_id%22%3A%227633478008145267988%22%2C%22placeholder_origin_cover%22%3A%22https%253A%252F%252Fp16-common-sign.tiktokcdn.com%252Ftos-alisg-p-0037%252FooEMrmQgcdAF6E4jnYRMh7f8X9DBBBfQNC9pLv~tplv-tiktokx-origin.jpeg%253Fdr%253D14572%2526refresh_token%253D75c2b7ae%2526x-expires%253D1808992800%2526x-signature%253DAgXBFm7Uxckmm8IVdgrM0YIxu84%25253D%2526t%253D4d5b0474%2526ps%253D13740610%2526shp%253Dd05b14bd%2526shcp%253D34ff8df6%2526idc%253Dmy2%2526s%253DTIKTOK_AFFILIATE_VIRAL_VIDEO%22%2C%22placeholder_product_id%22%3A%221729427766722726591%22%2C%22placeholder_video_id%22%3A%227633478008145267988%22%7D&amp;ec_shared_reflux_scene=shop_tab_feed&amp;share_item_id=7633478008145267988&amp;source=h5_t" TargetMode="External"/><Relationship Id="rId10355" Type="http://schemas.openxmlformats.org/officeDocument/2006/relationships/hyperlink" Target="https://www.tiktok.com/@jujunulantari29" TargetMode="External"/><Relationship Id="rId4424" Type="http://schemas.openxmlformats.org/officeDocument/2006/relationships/hyperlink" Target="http://louisan.id" TargetMode="External"/><Relationship Id="rId5752" Type="http://schemas.openxmlformats.org/officeDocument/2006/relationships/hyperlink" Target="https://vt.tiktok.com/ZSxP9trdm/" TargetMode="External"/><Relationship Id="rId10352" Type="http://schemas.openxmlformats.org/officeDocument/2006/relationships/hyperlink" Target="https://www.tiktok.com/@larasratna2593" TargetMode="External"/><Relationship Id="rId4423" Type="http://schemas.openxmlformats.org/officeDocument/2006/relationships/hyperlink" Target="https://www.tiktok.com/@racun_spalspil12/video/7641435191763914004?_r=1&amp;u_code=cllj6j6aidf05b&amp;region=&amp;mid=7604111494565530388&amp;preview_pb=0&amp;sharer_language=&amp;_d=0&amp;ec_shared_reflux_dynamic_params=%7B%22placeholder_material_id%22%3A%227641435191763914004%22%2C%22placeholder_origin_cover%22%3A%22https%253A%252F%252Fp16-common-sign.tiktokcdn.com%252Ftos-alisg-p-0037%252Fo88kS0CRIEfS8FHB91qELDNBCIWTUUyfgABFcR~tplv-tiktokx-origin.jpeg%253Fdr%253D14572%2526refresh_token%253Dccad503c%2526x-expires%253D1810720800%2526x-signature%253DBuOST0E5plNJPF9%25252FZ36evxrJRqo%25253D%2526t%253D4d5b0474%2526ps%253D13740610%2526shp%253Dd05b14bd%2526shcp%253D34ff8df6%2526idc%253Dmy3%2526s%253DTIKTOK_AFFILIATE_VIRAL_VIDEO%22%2C%22placeholder_product_id%22%3A%221729729730555512511%22%2C%22placeholder_video_id%22%3A%227641435191763914004%22%7D&amp;ec_shared_reflux_scene=shop_tab_feed&amp;share_item_id=7641435191763914004&amp;source=h5_t" TargetMode="External"/><Relationship Id="rId5753" Type="http://schemas.openxmlformats.org/officeDocument/2006/relationships/hyperlink" Target="https://www.tiktok.com/@Putriinabila89" TargetMode="External"/><Relationship Id="rId10353" Type="http://schemas.openxmlformats.org/officeDocument/2006/relationships/hyperlink" Target="https://www.tiktok.com/@.bbluwberys_" TargetMode="External"/><Relationship Id="rId4415" Type="http://schemas.openxmlformats.org/officeDocument/2006/relationships/hyperlink" Target="https://www.tiktok.com/@ceritarika_/video/7619235852815813909?_r=1&amp;u_code=dmf68fg913c39b&amp;region=&amp;mid=7619235924480953108&amp;preview_pb=0&amp;sharer_language=&amp;_d=0&amp;ec_shared_reflux_dynamic_params=%7B%22placeholder_material_id%22%3A%227619235852815813909%22%2C%22placeholder_origin_cover%22%3A%22https%253A%252F%252Fp16-sign-sg.tiktokcdn.com%252Ftos-alisg-p-0037%252FoswbGinb0AzY95zxABARudP3iAqIuIfIrC4u8k~tplv-tiktokx-origin.jpeg%253Fdr%253D14572%2526refresh_token%253D68acf603%2526x-expires%253D1807070400%2526x-signature%253DC6PdMIgoLIxCCx2h9ImS6UiisH0%25253D%2526t%253D4d5b0474%2526ps%253D13740610%2526shp%253Dd05b14bd%2526shcp%253D34ff8df6%2526idc%253Dmy2%2526s%253DTIKTOK_AFFILIATE_VIRAL_VIDEO%22%2C%22placeholder_product_id%22%3A%221729427766722726591%22%2C%22placeholder_video_id%22%3A%227619235852815813909%22%7D&amp;ec_shared_reflux_scene=shop_tab_feed&amp;share_item_id=7619235852815813909&amp;source=h5_t" TargetMode="External"/><Relationship Id="rId5747" Type="http://schemas.openxmlformats.org/officeDocument/2006/relationships/hyperlink" Target="https://vt.tiktok.com/ZSx7YW8or/" TargetMode="External"/><Relationship Id="rId4414" Type="http://schemas.openxmlformats.org/officeDocument/2006/relationships/hyperlink" Target="https://www.tiktok.com/@ceritarika_" TargetMode="External"/><Relationship Id="rId5748" Type="http://schemas.openxmlformats.org/officeDocument/2006/relationships/hyperlink" Target="https://www.tiktok.com/@uleeen1" TargetMode="External"/><Relationship Id="rId4417" Type="http://schemas.openxmlformats.org/officeDocument/2006/relationships/hyperlink" Target="https://www.tiktok.com/@racun_spalspil12/video/7641433049120378133?_r=1&amp;u_code=cllj6j6aidf05b&amp;region=&amp;mid=7637379048820198164&amp;preview_pb=0&amp;sharer_language=&amp;_d=0&amp;ec_shared_reflux_dynamic_params=%7B%22placeholder_material_id%22%3A%227641433049120378133%22%2C%22placeholder_origin_cover%22%3A%22https%253A%252F%252Fp16-common-sign.tiktokcdn.com%252Ftos-alisg-p-0037%252FooTgAfFgU2epDKU4sL6zIqI8XGjjeCAtjICUwo~tplv-tiktokx-origin.jpeg%253Fdr%253D14572%2526refresh_token%253D8d2117be%2526x-expires%253D1810720800%2526x-signature%253DT8oWPXC7RbkootSozvQQs%25252BlT3Ps%25253D%2526t%253D4d5b0474%2526ps%253D13740610%2526shp%253Dd05b14bd%2526shcp%253D34ff8df6%2526idc%253Dmy3%2526s%253DTIKTOK_AFFILIATE_VIRAL_VIDEO%22%2C%22placeholder_product_id%22%3A%221729729730555512511%22%2C%22placeholder_video_id%22%3A%227641433049120378133%22%7D&amp;ec_shared_reflux_scene=shop_tab_feed&amp;share_item_id=7641433049120378133&amp;source=h5_t" TargetMode="External"/><Relationship Id="rId5745" Type="http://schemas.openxmlformats.org/officeDocument/2006/relationships/hyperlink" Target="https://vt.tiktok.com/ZS9A5a9Ph/" TargetMode="External"/><Relationship Id="rId4416" Type="http://schemas.openxmlformats.org/officeDocument/2006/relationships/hyperlink" Target="https://www.tiktok.com/@racun_spalspil12/video/7641432609431604500?_r=1&amp;u_code=cllj6j6aidf05b&amp;region=&amp;mid=7638613516798266130&amp;preview_pb=0&amp;sharer_language=&amp;_d=0&amp;ec_shared_reflux_dynamic_params=%7B%22placeholder_material_id%22%3A%227641432609431604500%22%2C%22placeholder_origin_cover%22%3A%22https%253A%252F%252Fp16-common-sign.tiktokcdn.com%252Ftos-alisg-p-0037%252FocfE06eoFCDF8OWICI2g5gARFKQArUGfDIjLEc~tplv-tiktokx-origin.jpeg%253Fdr%253D14572%2526refresh_token%253D7954201f%2526x-expires%253D1810720800%2526x-signature%253DSuJ1SdHzIBTJXhn2jPAi00pVi60%25253D%2526t%253D4d5b0474%2526ps%253D13740610%2526shp%253Dd05b14bd%2526shcp%253D34ff8df6%2526idc%253Dmy3%2526s%253DTIKTOK_AFFILIATE_VIRAL_VIDEO%22%2C%22placeholder_product_id%22%3A%221729729730555512511%22%2C%22placeholder_video_id%22%3A%227641432609431604500%22%7D&amp;ec_shared_reflux_scene=shop_tab_feed&amp;share_item_id=7641432609431604500&amp;source=h5_t" TargetMode="External"/><Relationship Id="rId5746" Type="http://schemas.openxmlformats.org/officeDocument/2006/relationships/hyperlink" Target="https://vt.tiktok.com/ZS9A5HjLM/" TargetMode="External"/><Relationship Id="rId4419" Type="http://schemas.openxmlformats.org/officeDocument/2006/relationships/hyperlink" Target="https://www.tiktok.com/@spallspill_capricorn" TargetMode="External"/><Relationship Id="rId4418" Type="http://schemas.openxmlformats.org/officeDocument/2006/relationships/hyperlink" Target="https://www.tiktok.com/@racun_spalspil12/video/7641433385977728276?_r=1&amp;u_code=cllj6j6aidf05b&amp;region=&amp;mid=7636359123235654418&amp;preview_pb=0&amp;sharer_language=&amp;_d=0&amp;ec_shared_reflux_dynamic_params=%7B%22placeholder_material_id%22%3A%227641433385977728276%22%2C%22placeholder_origin_cover%22%3A%22https%253A%252F%252Fp19-common-sign.tiktokcdn.com%252Ftos-alisg-p-0037%252FocdT7TGfILAvIEFL6CIQh0RXGf0oeGqLok1IAe~tplv-tiktokx-origin.jpeg%253Fdr%253D14572%2526refresh_token%253D911548aa%2526x-expires%253D1810720800%2526x-signature%253DoHQ9UWFz2c%25252FN9aOozgKI%25252BU4qJwk%25253D%2526t%253D4d5b0474%2526ps%253D13740610%2526shp%253Dd05b14bd%2526shcp%253D34ff8df6%2526idc%253Dmy3%2526s%253DTIKTOK_AFFILIATE_VIRAL_VIDEO%22%2C%22placeholder_product_id%22%3A%221729729730555512511%22%2C%22placeholder_video_id%22%3A%227641433385977728276%22%7D&amp;ec_shared_reflux_scene=shop_tab_feed&amp;share_item_id=7641433385977728276&amp;source=h5_t" TargetMode="External"/><Relationship Id="rId5749" Type="http://schemas.openxmlformats.org/officeDocument/2006/relationships/hyperlink" Target="https://vt.tiktok.com/ZSxP99c2f/" TargetMode="External"/><Relationship Id="rId10369" Type="http://schemas.openxmlformats.org/officeDocument/2006/relationships/hyperlink" Target="https://www.tiktok.com/@1onlysha" TargetMode="External"/><Relationship Id="rId10367" Type="http://schemas.openxmlformats.org/officeDocument/2006/relationships/hyperlink" Target="http://kheaa.kr" TargetMode="External"/><Relationship Id="rId10368" Type="http://schemas.openxmlformats.org/officeDocument/2006/relationships/hyperlink" Target="https://www.tiktok.com/@kheaa.kr" TargetMode="External"/><Relationship Id="rId10361" Type="http://schemas.openxmlformats.org/officeDocument/2006/relationships/hyperlink" Target="https://www.tiktok.com/@cheeselovely" TargetMode="External"/><Relationship Id="rId5740" Type="http://schemas.openxmlformats.org/officeDocument/2006/relationships/hyperlink" Target="https://vt.tiktok.com/ZS9jTyBBX/" TargetMode="External"/><Relationship Id="rId10362" Type="http://schemas.openxmlformats.org/officeDocument/2006/relationships/hyperlink" Target="https://www.tiktok.com/@denisbudiirianto" TargetMode="External"/><Relationship Id="rId10360" Type="http://schemas.openxmlformats.org/officeDocument/2006/relationships/hyperlink" Target="https://www.tiktok.com/@cindydestian" TargetMode="External"/><Relationship Id="rId4411" Type="http://schemas.openxmlformats.org/officeDocument/2006/relationships/hyperlink" Target="https://www.tiktok.com/@racun.epple/video/7621085311057054983?_r=1&amp;u_code=eeh314c07883cl&amp;region=&amp;mid=7621085371045301000&amp;preview_pb=0&amp;sharer_language=&amp;_d=0&amp;ec_shared_reflux_dynamic_params=%7B%22placeholder_material_id%22%3A%227621085311057054983%22%2C%22placeholder_origin_cover%22%3A%22https%253A%252F%252Fp16-sign-sg.tiktokcdn.com%252Ftos-alisg-p-0037%252FogkPXnIMHB3cDbIRiIYAv9aiBEI7XA6EMiPAO~tplv-tiktokx-origin.jpeg%253Fdr%253D14572%2526refresh_token%253Dbc36cfb0%2526x-expires%253D1807070400%2526x-signature%253DLtk1pVzO%25252B9CkzT0f6iI7FxdIRX0%25253D%2526t%253D4d5b0474%2526ps%253D13740610%2526shp%253Dd05b14bd%2526shcp%253D34ff8df6%2526idc%253Dmy2%2526s%253DTIKTOK_AFFILIATE_VIRAL_VIDEO%22%2C%22placeholder_product_id%22%3A%221729427766722726591%22%2C%22placeholder_video_id%22%3A%227621085311057054983%22%7D&amp;ec_shared_reflux_scene=shop_tab_feed&amp;share_item_id=7621085311057054983&amp;source=h5_t" TargetMode="External"/><Relationship Id="rId5743" Type="http://schemas.openxmlformats.org/officeDocument/2006/relationships/hyperlink" Target="https://www.tiktok.com/@Im.randia" TargetMode="External"/><Relationship Id="rId10365" Type="http://schemas.openxmlformats.org/officeDocument/2006/relationships/hyperlink" Target="https://www.tiktok.com/@gabutnyasaia" TargetMode="External"/><Relationship Id="rId4410" Type="http://schemas.openxmlformats.org/officeDocument/2006/relationships/hyperlink" Target="https://www.tiktok.com/@racun.epple/video/7621081878304476434?_r=1&amp;u_code=eeh314c07883cl&amp;region=&amp;mid=7621081896982416144&amp;preview_pb=0&amp;sharer_language=&amp;_d=0&amp;ec_shared_reflux_dynamic_params=%7B%22placeholder_material_id%22%3A%227621081878304476434%22%2C%22placeholder_origin_cover%22%3A%22https%253A%252F%252Fp16-sign-sg.tiktokcdn.com%252Ftos-alisg-p-0037%252FogB0RNDhw34fVCn1DeL5c9hEBd7FIEpnBIgAZ7~tplv-tiktokx-origin.jpeg%253Fdr%253D14572%2526refresh_token%253D39ff0b0b%2526x-expires%253D1807070400%2526x-signature%253DauFM5q5koGANjVfn8BLa9lq9DyQ%25253D%2526t%253D4d5b0474%2526ps%253D13740610%2526shp%253Dd05b14bd%2526shcp%253D34ff8df6%2526idc%253Dmy2%2526s%253DTIKTOK_AFFILIATE_VIRAL_VIDEO%22%2C%22placeholder_product_id%22%3A%221729427766722726591%22%2C%22placeholder_video_id%22%3A%227621081878304476434%22%7D&amp;ec_shared_reflux_scene=shop_tab_feed&amp;share_item_id=7621081878304476434&amp;source=h5_t" TargetMode="External"/><Relationship Id="rId5744" Type="http://schemas.openxmlformats.org/officeDocument/2006/relationships/hyperlink" Target="https://vt.tiktok.com/ZS9Y5KpbQ/" TargetMode="External"/><Relationship Id="rId10366" Type="http://schemas.openxmlformats.org/officeDocument/2006/relationships/hyperlink" Target="https://www.tiktok.com/@devitarosanti26" TargetMode="External"/><Relationship Id="rId4413" Type="http://schemas.openxmlformats.org/officeDocument/2006/relationships/hyperlink" Target="https://www.tiktok.com/@racun.epple/video/7637844811566927122?_r=1&amp;u_code=eeh314c07883cl&amp;region=&amp;mid=7637844865438714640&amp;preview_pb=0&amp;sharer_language=&amp;_d=0&amp;ec_shared_reflux_dynamic_params=%7B%22placeholder_material_id%22%3A%227637844811566927122%22%2C%22placeholder_origin_cover%22%3A%22https%253A%252F%252Fp16-common-sign.tiktokcdn.com%252Ftos-alisg-p-0037%252Fo0GfyQvrQFXffQIc2eGERx1GOXbWiA9KFVAOLn~tplv-tiktokx-origin.jpeg%253Fdr%253D14572%2526refresh_token%253D1c746b5a%2526x-expires%253D1810202400%2526x-signature%253DZC8b%25252F3dnj9JBkzt%25252FnehBXL7FVjM%25253D%2526t%253D4d5b0474%2526ps%253D13740610%2526shp%253Dd05b14bd%2526shcp%253D34ff8df6%2526idc%253Dmy2%2526s%253DTIKTOK_AFFILIATE_VIRAL_VIDEO%22%2C%22placeholder_product_id%22%3A%221729427766722726591%22%2C%22placeholder_video_id%22%3A%227637844811566927122%22%7D&amp;ec_shared_reflux_scene=shop_tab_feed&amp;share_item_id=7637844811566927122&amp;source=h5_t" TargetMode="External"/><Relationship Id="rId5741" Type="http://schemas.openxmlformats.org/officeDocument/2006/relationships/hyperlink" Target="https://vt.tiktok.com/ZS9kJnjAS/" TargetMode="External"/><Relationship Id="rId10363" Type="http://schemas.openxmlformats.org/officeDocument/2006/relationships/hyperlink" Target="https://www.tiktok.com/@elizayna_" TargetMode="External"/><Relationship Id="rId4412" Type="http://schemas.openxmlformats.org/officeDocument/2006/relationships/hyperlink" Target="https://www.tiktok.com/@racun.epple/video/7622207876571958546?_r=1&amp;u_code=eeh314c07883cl&amp;region=&amp;mid=7622207921678191368&amp;preview_pb=0&amp;sharer_language=&amp;_d=0&amp;ec_shared_reflux_dynamic_params=%7B%22placeholder_material_id%22%3A%227622207876571958546%22%2C%22placeholder_origin_cover%22%3A%22https%253A%252F%252Fp16-sign-sg.tiktokcdn.com%252Ftos-alisg-p-0037%252FoIHLw4BAqI06iTOFzqvAISWlb9zgheCPAiAiUI~tplv-tiktokx-origin.jpeg%253Fdr%253D14572%2526refresh_token%253D9ab773dc%2526x-expires%253D1807070400%2526x-signature%253D17v4Sg7baTgIU5dU8r%25252FOPr4Z%25252BzE%25253D%2526t%253D4d5b0474%2526ps%253D13740610%2526shp%253Dd05b14bd%2526shcp%253D34ff8df6%2526idc%253Dmy2%2526s%253DTIKTOK_AFFILIATE_VIRAL_VIDEO%22%2C%22placeholder_product_id%22%3A%221729427766722726591%22%2C%22placeholder_video_id%22%3A%227622207876571958546%22%7D&amp;ec_shared_reflux_scene=shop_tab_feed&amp;share_item_id=7622207876571958546&amp;source=h5_t" TargetMode="External"/><Relationship Id="rId5742" Type="http://schemas.openxmlformats.org/officeDocument/2006/relationships/hyperlink" Target="https://vt.tiktok.com/ZS9kJWGRt/" TargetMode="External"/><Relationship Id="rId10364" Type="http://schemas.openxmlformats.org/officeDocument/2006/relationships/hyperlink" Target="https://www.tiktok.com/@nisamelia15" TargetMode="External"/><Relationship Id="rId3191" Type="http://schemas.openxmlformats.org/officeDocument/2006/relationships/hyperlink" Target="https://www.tiktok.com/@racun.outfitbymey/video/7631592098449460498?_r=1&amp;u_code=e7l2927dhlabgg&amp;region=&amp;mid=7628898275605334791&amp;preview_pb=0&amp;sharer_language=&amp;_d=0&amp;ec_shared_reflux_dynamic_params=%7B%22placeholder_material_id%22%3A%227631592098449460498%22%2C%22placeholder_origin_cover%22%3A%22https%253A%252F%252Fp16-sign-sg.tiktokcdn.com%252Ftos-alisg-p-0037%252FoouBWRQkibdBIJiw03xAw3GfZ42IA0C9oIAYVN~tplv-tiktokx-origin.jpeg%253Fdr%253D14572%2526refresh_token%253D5b21247c%2526x-expires%253D1808474400%2526x-signature%253DVr1LoyvEuj6LGHdBdqtKYzPD25Y%25253D%2526t%253D4d5b0474%2526ps%253D13740610%2526shp%253Dd05b14bd%2526shcp%253D34ff8df6%2526idc%253Dmy3%2526s%253DTIKTOK_AFFILIATE_VIRAL_VIDEO%22%2C%22placeholder_product_id%22%3A%221729427766722726591%22%2C%22placeholder_video_id%22%3A%227631592098449460498%22%7D&amp;ec_shared_reflux_scene=shop_tab_feed&amp;share_item_id=7631592098449460498&amp;source=h5_t" TargetMode="External"/><Relationship Id="rId3190" Type="http://schemas.openxmlformats.org/officeDocument/2006/relationships/hyperlink" Target="http://tiktok.com/@racun.outfitbymey/video/7630695410553621767?_r=1&amp;u_code=e7l2927dhlabgg&amp;region=&amp;mid=7628570940951776008&amp;preview_pb=0&amp;sharer_language=&amp;_d=0&amp;ec_shared_reflux_dynamic_params=%7B%22placeholder_material_id%22%3A%227630695410553621767%22%2C%22placeholder_origin_cover%22%3A%22https%253A%252F%252Fp16-common-sign.tiktokcdn.com%252Ftos-alisg-p-0037%252FoYU9fAB8HrTARiIi0Ro3ZBuCwIYlAjgI0Nxti8~tplv-tiktokx-origin.jpeg%253Fdr%253D14572%2526refresh_token%253D20282cb8%2526x-expires%253D1808204400%2526x-signature%253DcUsYw2TJtrFHFWZXY6w6gXtYAx0%25253D%2526t%253D4d5b0474%2526ps%253D13740610%2526shp%253Dd05b14bd%2526shcp%253D34ff8df6%2526idc%253Dmy3%2526s%253DTIKTOK_AFFILIATE_VIRAL_VIDEO%22%2C%22placeholder_product_id%22%3A%221729427766722726591%22%2C%22placeholder_video_id%22%3A%227630695410553621767%22%7D&amp;ec_shared_reflux_scene=shop_tab_feed&amp;share_item_id=7630695410553621767&amp;source=h5_t" TargetMode="External"/><Relationship Id="rId3193" Type="http://schemas.openxmlformats.org/officeDocument/2006/relationships/hyperlink" Target="https://vt.tiktok.com/ZS98w6a88/" TargetMode="External"/><Relationship Id="rId3192" Type="http://schemas.openxmlformats.org/officeDocument/2006/relationships/hyperlink" Target="https://www.tiktok.com/@izza___26" TargetMode="External"/><Relationship Id="rId3195" Type="http://schemas.openxmlformats.org/officeDocument/2006/relationships/hyperlink" Target="https://vt.tiktok.com/ZS92orLSE/" TargetMode="External"/><Relationship Id="rId3194" Type="http://schemas.openxmlformats.org/officeDocument/2006/relationships/hyperlink" Target="https://vt.tiktok.com/ZS9Fu8oqB/" TargetMode="External"/><Relationship Id="rId3197" Type="http://schemas.openxmlformats.org/officeDocument/2006/relationships/hyperlink" Target="https://www.tiktok.com/@seeputriaqnhania" TargetMode="External"/><Relationship Id="rId3196" Type="http://schemas.openxmlformats.org/officeDocument/2006/relationships/hyperlink" Target="https://www.tiktok.com/@produkindonesiayaa/video/7635904363734650120?_r=1&amp;u_code=e8ciej6cg6bd8j&amp;region=&amp;mid=7635904405212728071&amp;preview_pb=0&amp;sharer_language=&amp;_d=0&amp;ec_shared_reflux_dynamic_params=%7B%22placeholder_material_id%22%3A%227635904363734650120%22%2C%22placeholder_origin_cover%22%3A%22https%253A%252F%252Fp16-common-sign.tiktokcdn.com%252Ftos-alisg-p-0037%252FoEAzY0gA35uiC9iIHIICLpAuWLwPnX64BrfIpB~tplv-tiktokx-origin.jpeg%253Fdr%253D14572%2526refresh_token%253D28062e0b%2526x-expires%253D1810195200%2526x-signature%253D3wtXpaCwJ9Dya9Ek2mtihnRNNC0%25253D%2526t%253D4d5b0474%2526ps%253D13740610%2526shp%253Dd05b14bd%2526shcp%253D34ff8df6%2526idc%253Dmy2%2526s%253DTIKTOK_AFFILIATE_VIRAL_VIDEO%22%2C%22placeholder_product_id%22%3A%221729427766722726591%22%2C%22placeholder_video_id%22%3A%227635904363734650120%22%7D&amp;ec_shared_reflux_scene=shop_tab_feed&amp;share_item_id=7635904363734650120&amp;source=h5_t" TargetMode="External"/><Relationship Id="rId3199" Type="http://schemas.openxmlformats.org/officeDocument/2006/relationships/hyperlink" Target="https://www.tiktok.com/@rindi.afrilia/video/7631728911600160021?_r=1&amp;u_code=dja890i3j90f3j&amp;region=&amp;mid=7593759807337810706&amp;preview_pb=0&amp;sharer_language=&amp;_d=0&amp;ec_shared_reflux_dynamic_params=%7B%22placeholder_material_id%22%3A%227631728911600160021%22%2C%22placeholder_origin_cover%22%3A%22https%253A%252F%252Fp16-common-sign.tiktokcdn.com%252Ftos-alisg-p-0037%252FoACAqY0IpJCBEA5WwvuQlPiCiCAIHCezuz0X6I~tplv-tiktokx-origin.jpeg%253Fdr%253D14572%2526refresh_token%253D07cee0e2%2526x-expires%253D1810202400%2526x-signature%253D9fo%25252FQg%25252BcQwUX8JfZJTyt0MHqrUM%25253D%2526t%253D4d5b0474%2526ps%253D13740610%2526shp%253Dd05b14bd%2526shcp%253D34ff8df6%2526idc%253Dmy2%2526s%253DTIKTOK_AFFILIATE_VIRAL_VIDEO%22%2C%22placeholder_product_id%22%3A%221729427766722726591%22%2C%22placeholder_video_id%22%3A%227631728911600160021%22%7D&amp;ec_shared_reflux_scene=shop_tab_feed&amp;share_item_id=7631728911600160021&amp;source=h5_t" TargetMode="External"/><Relationship Id="rId3198" Type="http://schemas.openxmlformats.org/officeDocument/2006/relationships/hyperlink" Target="https://vt.tiktok.com/ZS9hBhnja/" TargetMode="External"/><Relationship Id="rId3180" Type="http://schemas.openxmlformats.org/officeDocument/2006/relationships/hyperlink" Target="https://www.tiktok.com/@yullia008/video/7632678809849941265?_r=1&amp;u_code=de2i6l94lj04fj&amp;region=&amp;mid=7632678998263597841&amp;preview_pb=0&amp;sharer_language=&amp;_d=0&amp;ec_shared_reflux_dynamic_params=%7B%22placeholder_material_id%22%3A%227632678809849941265%22%2C%22placeholder_origin_cover%22%3A%22https%253A%252F%252Fp16-common-sign.tiktokcdn.com%252Ftos-alisg-p-0037%252FoQQfGRBpr7ZcbFjSxcXDjgBEcyBfAVcHJQZTEL~tplv-tiktokx-origin.jpeg%253Fdr%253D14572%2526refresh_token%253De505488a%2526x-expires%253D1810202400%2526x-signature%253DxiaNQNMP3CO5d9xJqvgJBdXzRQU%25253D%2526t%253D4d5b0474%2526ps%253D13740610%2526shp%253Dd05b14bd%2526shcp%253D34ff8df6%2526idc%253Dmy2%2526s%253DTIKTOK_AFFILIATE_VIRAL_VIDEO%22%2C%22placeholder_product_id%22%3A%221729427766722726591%22%2C%22placeholder_video_id%22%3A%227632678809849941265%22%7D&amp;ec_shared_reflux_scene=shop_tab_feed&amp;share_item_id=7632678809849941265&amp;source=h5_t" TargetMode="External"/><Relationship Id="rId3182" Type="http://schemas.openxmlformats.org/officeDocument/2006/relationships/hyperlink" Target="https://www.tiktok.com/@produkindonesiayaa/video/7637012713817869576?_r=1&amp;u_code=e8ciej6cg6bd8j&amp;region=&amp;mid=7572717667921038088&amp;preview_pb=0&amp;sharer_language=&amp;_d=0&amp;ec_shared_reflux_dynamic_params=%7B%22placeholder_material_id%22%3A%227637012713817869576%22%2C%22placeholder_origin_cover%22%3A%22https%253A%252F%252Fp16-common-sign.tiktokcdn.com%252Ftos-alisg-p-0037%252Fo8R85rgAQfALoIDPfcGiNeeWA0GPGFggNDUnk4~tplv-tiktokx-origin.jpeg%253Fdr%253D14572%2526refresh_token%253Dcb470e52%2526x-expires%253D1810195200%2526x-signature%253DZdElE2q%25252BjFZg3Cy7fw6SZgKLjP0%25253D%2526t%253D4d5b0474%2526ps%253D13740610%2526shp%253Dd05b14bd%2526shcp%253D34ff8df6%2526idc%253Dmy2%2526s%253DTIKTOK_AFFILIATE_VIRAL_VIDEO%22%2C%22placeholder_product_id%22%3A%221729427766722726591%22%2C%22placeholder_video_id%22%3A%227637012713817869576%22%7D&amp;ec_shared_reflux_scene=shop_tab_feed&amp;share_item_id=7637012713817869576&amp;source=h5_t" TargetMode="External"/><Relationship Id="rId3181" Type="http://schemas.openxmlformats.org/officeDocument/2006/relationships/hyperlink" Target="https://www.tiktok.com/@nestlieshop" TargetMode="External"/><Relationship Id="rId3184" Type="http://schemas.openxmlformats.org/officeDocument/2006/relationships/hyperlink" Target="https://www.tiktok.com/@produkindonesiayaa/video/7635922203099319570?_r=1&amp;u_code=e8ciej6cg6bd8j&amp;region=&amp;mid=7635922238830873362&amp;preview_pb=0&amp;sharer_language=&amp;_d=0&amp;ec_shared_reflux_dynamic_params=%7B%22placeholder_material_id%22%3A%227635922203099319570%22%2C%22placeholder_origin_cover%22%3A%22https%253A%252F%252Fp16-common-sign.tiktokcdn.com%252Ftos-alisg-p-0037%252FocfgCMv0AfeeEbxmkZBAwf0ABfNnOugOeII3LAx~tplv-tiktokx-origin.jpeg%253Fdr%253D14572%2526refresh_token%253D56c5056d%2526x-expires%253D1810195200%2526x-signature%253Dsm%25252F0huJXUlT%25252BCwB4CdJ0D1IjTK4%25253D%2526t%253D4d5b0474%2526ps%253D13740610%2526shp%253Dd05b14bd%2526shcp%253D34ff8df6%2526idc%253Dmy2%2526s%253DTIKTOK_AFFILIATE_VIRAL_VIDEO%22%2C%22placeholder_product_id%22%3A%221729427766722726591%22%2C%22placeholder_video_id%22%3A%227635922203099319570%22%7D&amp;ec_shared_reflux_scene=shop_tab_feed&amp;share_item_id=7635922203099319570&amp;source=h5_t" TargetMode="External"/><Relationship Id="rId3183" Type="http://schemas.openxmlformats.org/officeDocument/2006/relationships/hyperlink" Target="https://www.tiktok.com/@produkindonesiayaa/video/7637013340362984722?_r=1&amp;u_code=e8ciej6cg6bd8j&amp;region=&amp;mid=7415463043465201680&amp;preview_pb=0&amp;sharer_language=&amp;_d=0&amp;ec_shared_reflux_dynamic_params=%7B%22placeholder_material_id%22%3A%227637013340362984722%22%2C%22placeholder_origin_cover%22%3A%22https%253A%252F%252Fp16-common-sign.tiktokcdn.com%252Ftos-alisg-p-0037%252FoQzIDfhoiIAB595DZhH88fAShAEtPCDzTIfj0F~tplv-tiktokx-origin.jpeg%253Fdr%253D14572%2526refresh_token%253Dff05c713%2526x-expires%253D1810195200%2526x-signature%253DAS684qb5kLRtJeH4Hxxm3rIL7Qc%25253D%2526t%253D4d5b0474%2526ps%253D13740610%2526shp%253Dd05b14bd%2526shcp%253D34ff8df6%2526idc%253Dmy2%2526s%253DTIKTOK_AFFILIATE_VIRAL_VIDEO%22%2C%22placeholder_product_id%22%3A%221729427766722726591%22%2C%22placeholder_video_id%22%3A%227637013340362984722%22%7D&amp;ec_shared_reflux_scene=shop_tab_feed&amp;share_item_id=7637013340362984722&amp;source=h5_t" TargetMode="External"/><Relationship Id="rId3186" Type="http://schemas.openxmlformats.org/officeDocument/2006/relationships/hyperlink" Target="https://www.tiktok.com/@_indhvnzt" TargetMode="External"/><Relationship Id="rId3185" Type="http://schemas.openxmlformats.org/officeDocument/2006/relationships/hyperlink" Target="https://www.tiktok.com/@produkindonesiayaa/video/7635911886793428231?_r=1&amp;u_code=e8ciej6cg6bd8j&amp;region=&amp;mid=7635911937184434952&amp;preview_pb=0&amp;sharer_language=&amp;_d=0&amp;ec_shared_reflux_dynamic_params=%7B%22placeholder_material_id%22%3A%227635911886793428231%22%2C%22placeholder_origin_cover%22%3A%22https%253A%252F%252Fp16-common-sign.tiktokcdn.com%252Ftos-alisg-p-0037%252FowXUQoLKCe4L6944DCGAQp8yj1TANCfIqGI7eG~tplv-tiktokx-origin.jpeg%253Fdr%253D14572%2526refresh_token%253D1f48fb16%2526x-expires%253D1810195200%2526x-signature%253DhE6QXUAxAleNczoVyL9tQj474Pc%25253D%2526t%253D4d5b0474%2526ps%253D13740610%2526shp%253Dd05b14bd%2526shcp%253D34ff8df6%2526idc%253Dmy2%2526s%253DTIKTOK_AFFILIATE_VIRAL_VIDEO%22%2C%22placeholder_product_id%22%3A%221729427766722726591%22%2C%22placeholder_video_id%22%3A%227635911886793428231%22%7D&amp;ec_shared_reflux_scene=shop_tab_feed&amp;share_item_id=7635911886793428231&amp;source=h5_t" TargetMode="External"/><Relationship Id="rId3188" Type="http://schemas.openxmlformats.org/officeDocument/2006/relationships/hyperlink" Target="https://www.tiktok.com/@racun.outfitbymey/video/7629582423197633800?_r=1&amp;u_code=e7l2927dhlabgg&amp;region=&amp;mid=7532813974639889169&amp;preview_pb=0&amp;sharer_language=&amp;_d=0&amp;ec_shared_reflux_dynamic_params=%7B%22placeholder_material_id%22%3A%227629582423197633800%22%2C%22placeholder_origin_cover%22%3A%22https%253A%252F%252Fp16-common-sign.tiktokcdn.com%252Ftos-alisg-p-0037%252Fok1hX1g4fAIM1hXBBDRpENB9uEBUFEmfjbJIjy~tplv-tiktokx-origin.jpeg%253Fdr%253D14572%2526refresh_token%253Ddfa3e821%2526x-expires%253D1808204400%2526x-signature%253DqtDHG7qGfqJQTHdV1uEW%25252BF2qTRo%25253D%2526t%253D4d5b0474%2526ps%253D13740610%2526shp%253Dd05b14bd%2526shcp%253D34ff8df6%2526idc%253Dmy3%2526s%253DTIKTOK_AFFILIATE_VIRAL_VIDEO%22%2C%22placeholder_product_id%22%3A%221729427766722726591%22%2C%22placeholder_video_id%22%3A%227629582423197633800%22%7D&amp;ec_shared_reflux_scene=shop_tab_feed&amp;share_item_id=7629582423197633800&amp;source=h5_t" TargetMode="External"/><Relationship Id="rId3187" Type="http://schemas.openxmlformats.org/officeDocument/2006/relationships/hyperlink" Target="https://www.tiktok.com/@racun.outfitbymey" TargetMode="External"/><Relationship Id="rId3189" Type="http://schemas.openxmlformats.org/officeDocument/2006/relationships/hyperlink" Target="https://www.tiktok.com/@racun.outfitbymey/video/7629954641433824519?_r=1&amp;u_code=e7l2927dhlabgg&amp;region=&amp;mid=7577387688165116690&amp;preview_pb=0&amp;sharer_language=&amp;_d=0&amp;ec_shared_reflux_dynamic_params=%7B%22placeholder_material_id%22%3A%227629954641433824519%22%2C%22placeholder_origin_cover%22%3A%22https%253A%252F%252Fp16-common-sign.tiktokcdn.com%252Ftos-alisg-p-0037%252Foc4GZuSgIDLBIZLATHCAfEheOY4jC7IxjIDove~tplv-tiktokx-origin.jpeg%253Fdr%253D14572%2526refresh_token%253D5e03c8b4%2526x-expires%253D1808204400%2526x-signature%253Dg7CsDzZzxs%25252Fm%25252FRuiulaQzyVTaQs%25253D%2526t%253D4d5b0474%2526ps%253D13740610%2526shp%253Dd05b14bd%2526shcp%253D34ff8df6%2526idc%253Dmy3%2526s%253DTIKTOK_AFFILIATE_VIRAL_VIDEO%22%2C%22placeholder_product_id%22%3A%221729427766722726591%22%2C%22placeholder_video_id%22%3A%227629954641433824519%22%7D&amp;ec_shared_reflux_scene=shop_tab_feed&amp;share_item_id=7629954641433824519&amp;source=h5_t" TargetMode="External"/><Relationship Id="rId4480" Type="http://schemas.openxmlformats.org/officeDocument/2006/relationships/hyperlink" Target="https://www.tiktok.com/@harumrice/video/7637473778439556372?_r=1&amp;u_code=d6j7255963058c&amp;region=&amp;mid=7581739577287805704&amp;preview_pb=0&amp;sharer_language=&amp;_d=0&amp;ec_shared_reflux_dynamic_params=%7B%22placeholder_material_id%22%3A%227637473778439556372%22%2C%22placeholder_origin_cover%22%3A%22https%253A%252F%252Fp16-common-sign.tiktokcdn.com%252Ftos-alisg-p-0037%252Foom2HPM5BXAMA4FexaQwyBR7GR4f8Gh3nrffAl~tplv-tiktokx-origin.jpeg%253Fdr%253D14572%2526refresh_token%253D4d0d6e72%2526x-expires%253D1810717200%2526x-signature%253D%25252BmGXIo7QcySz3FTaGnlNSEcR5Ec%25253D%2526t%253D4d5b0474%2526ps%253D13740610%2526shp%253Dd05b14bd%2526shcp%253D34ff8df6%2526idc%253Dmy3%2526s%253DTIKTOK_AFFILIATE_VIRAL_VIDEO%22%2C%22placeholder_product_id%22%3A%221729427766722726591%22%2C%22placeholder_video_id%22%3A%227637473778439556372%22%7D&amp;ec_shared_reflux_scene=shop_tab_feed&amp;share_item_id=7637473778439556372&amp;source=h5_t" TargetMode="External"/><Relationship Id="rId3151" Type="http://schemas.openxmlformats.org/officeDocument/2006/relationships/hyperlink" Target="https://vt.tiktok.com/ZS9E21fTK/" TargetMode="External"/><Relationship Id="rId4482" Type="http://schemas.openxmlformats.org/officeDocument/2006/relationships/hyperlink" Target="https://www.tiktok.com/@lalaa_sinaga" TargetMode="External"/><Relationship Id="rId3150" Type="http://schemas.openxmlformats.org/officeDocument/2006/relationships/hyperlink" Target="https://vt.tiktok.com/ZS9KQfPSd/" TargetMode="External"/><Relationship Id="rId4481" Type="http://schemas.openxmlformats.org/officeDocument/2006/relationships/hyperlink" Target="https://www.tiktok.com/@amabelaska" TargetMode="External"/><Relationship Id="rId3153" Type="http://schemas.openxmlformats.org/officeDocument/2006/relationships/hyperlink" Target="https://www.tiktok.com/@muhannah.fitria" TargetMode="External"/><Relationship Id="rId4484" Type="http://schemas.openxmlformats.org/officeDocument/2006/relationships/hyperlink" Target="https://vt.tiktok.com/ZS9H2ELxe/" TargetMode="External"/><Relationship Id="rId3152" Type="http://schemas.openxmlformats.org/officeDocument/2006/relationships/hyperlink" Target="https://vt.tiktok.com/ZS9KJgTmX/" TargetMode="External"/><Relationship Id="rId4483" Type="http://schemas.openxmlformats.org/officeDocument/2006/relationships/hyperlink" Target="https://vt.tiktok.com/ZS9Hj1uWR/" TargetMode="External"/><Relationship Id="rId3155" Type="http://schemas.openxmlformats.org/officeDocument/2006/relationships/hyperlink" Target="https://vt.tiktok.com/ZS9KJQc5C/" TargetMode="External"/><Relationship Id="rId4486" Type="http://schemas.openxmlformats.org/officeDocument/2006/relationships/hyperlink" Target="https://vt.tiktok.com/ZS9HjMahs/" TargetMode="External"/><Relationship Id="rId3154" Type="http://schemas.openxmlformats.org/officeDocument/2006/relationships/hyperlink" Target="https://vt.tiktok.com/ZSH34dg4W/" TargetMode="External"/><Relationship Id="rId4485" Type="http://schemas.openxmlformats.org/officeDocument/2006/relationships/hyperlink" Target="https://vt.tiktok.com/ZS9HjRv2X/" TargetMode="External"/><Relationship Id="rId3157" Type="http://schemas.openxmlformats.org/officeDocument/2006/relationships/hyperlink" Target="https://vt.tiktok.com/ZS9KJyLvj/" TargetMode="External"/><Relationship Id="rId4488" Type="http://schemas.openxmlformats.org/officeDocument/2006/relationships/hyperlink" Target="https://vt.tiktok.com/ZS9HjrWvf/" TargetMode="External"/><Relationship Id="rId3156" Type="http://schemas.openxmlformats.org/officeDocument/2006/relationships/hyperlink" Target="https://vt.tiktok.com/ZS9KJ9tKd/" TargetMode="External"/><Relationship Id="rId4487" Type="http://schemas.openxmlformats.org/officeDocument/2006/relationships/hyperlink" Target="https://www.tiktok.com/@meyonks" TargetMode="External"/><Relationship Id="rId3159" Type="http://schemas.openxmlformats.org/officeDocument/2006/relationships/hyperlink" Target="https://www.tiktok.com/@produkindonesiayaa/video/7635132196033924360?_r=1&amp;u_code=e8ciej6cg6bd8j&amp;region=&amp;mid=7415463043465201680&amp;preview_pb=0&amp;sharer_language=&amp;_d=0&amp;ec_shared_reflux_dynamic_params=%7B%22placeholder_material_id%22%3A%227635132196033924360%22%2C%22placeholder_origin_cover%22%3A%22https%253A%252F%252Fp16-common-sign.tiktokcdn.com%252Ftos-alisg-p-0037%252Fo0nBk1pI1qADgBdcgUUFWfEqFEARjB9qHfJrAI~tplv-tiktokx-origin.jpeg%253Fdr%253D14572%2526refresh_token%253D26b14f79%2526x-expires%253D1810195200%2526x-signature%253DN7dZmNjzzoLE4vGJIBX%25252F26uEzLA%25253D%2526t%253D4d5b0474%2526ps%253D13740610%2526shp%253Dd05b14bd%2526shcp%253D34ff8df6%2526idc%253Dmy2%2526s%253DTIKTOK_AFFILIATE_VIRAL_VIDEO%22%2C%22placeholder_product_id%22%3A%221729427766722726591%22%2C%22placeholder_video_id%22%3A%227635132196033924360%22%7D&amp;ec_shared_reflux_scene=shop_tab_feed&amp;share_item_id=7635132196033924360&amp;source=h5_t" TargetMode="External"/><Relationship Id="rId3158" Type="http://schemas.openxmlformats.org/officeDocument/2006/relationships/hyperlink" Target="https://www.tiktok.com/@thisreli_" TargetMode="External"/><Relationship Id="rId4489" Type="http://schemas.openxmlformats.org/officeDocument/2006/relationships/hyperlink" Target="https://vt.tiktok.com/ZS95koAwT/" TargetMode="External"/><Relationship Id="rId3149" Type="http://schemas.openxmlformats.org/officeDocument/2006/relationships/hyperlink" Target="https://vt.tiktok.com/ZSHGUQQS9/" TargetMode="External"/><Relationship Id="rId3140" Type="http://schemas.openxmlformats.org/officeDocument/2006/relationships/hyperlink" Target="https://www.tiktok.com/@missmerightnow" TargetMode="External"/><Relationship Id="rId4471" Type="http://schemas.openxmlformats.org/officeDocument/2006/relationships/hyperlink" Target="https://www.tiktok.com/@hellogirl.y/video/7610581429428243720" TargetMode="External"/><Relationship Id="rId4470" Type="http://schemas.openxmlformats.org/officeDocument/2006/relationships/hyperlink" Target="https://www.tiktok.com/@lagistasenja17" TargetMode="External"/><Relationship Id="rId3142" Type="http://schemas.openxmlformats.org/officeDocument/2006/relationships/hyperlink" Target="https://vt.tiktok.com/ZS9KJo9Th/" TargetMode="External"/><Relationship Id="rId4473" Type="http://schemas.openxmlformats.org/officeDocument/2006/relationships/hyperlink" Target="https://www.tiktok.com/@hellogirl.y/video/7613158907346816264" TargetMode="External"/><Relationship Id="rId3141" Type="http://schemas.openxmlformats.org/officeDocument/2006/relationships/hyperlink" Target="https://www.tiktok.com/@berkah.glosir/video/7633976427024616724?_r=1&amp;u_code=e4hbm162fcgeg9&amp;region=&amp;mid=7566951120011676417&amp;preview_pb=0&amp;sharer_language=&amp;_d=0&amp;ec_shared_reflux_dynamic_params=%7B%22placeholder_material_id%22%3A%227633976427024616724%22%2C%22placeholder_origin_cover%22%3A%22https%253A%252F%252Fp16-common-sign.tiktokcdn.com%252Ftos-alisg-p-0037%252Fow3Esq0kQmzEUG8B7i2DfBqRTyAFD3VgneTpQu~tplv-tiktokx-origin.jpeg%253Fdr%253D14572%2526refresh_token%253Dedea07ba%2526x-expires%253D1810116000%2526x-signature%253DbMeUsHz1NoAPWbTB0aXb%25252FyxR484%25253D%2526t%253D4d5b0474%2526ps%253D13740610%2526shp%253Dd05b14bd%2526shcp%253D34ff8df6%2526idc%253Dmy2%2526s%253DTIKTOK_AFFILIATE_VIRAL_VIDEO%22%2C%22placeholder_product_id%22%3A%221729729730555512511%22%2C%22placeholder_video_id%22%3A%227633976427024616724%22%7D&amp;ec_shared_reflux_scene=shop_tab_feed&amp;share_item_id=7633976427024616724&amp;source=h5_t" TargetMode="External"/><Relationship Id="rId4472" Type="http://schemas.openxmlformats.org/officeDocument/2006/relationships/hyperlink" Target="https://www.tiktok.com/@hellogirl.y/video/7611642389463158024" TargetMode="External"/><Relationship Id="rId3144" Type="http://schemas.openxmlformats.org/officeDocument/2006/relationships/hyperlink" Target="https://vt.tiktok.com/ZS9KejXym/" TargetMode="External"/><Relationship Id="rId4475" Type="http://schemas.openxmlformats.org/officeDocument/2006/relationships/hyperlink" Target="https://www.tiktok.com/@skincarefor.u" TargetMode="External"/><Relationship Id="rId3143" Type="http://schemas.openxmlformats.org/officeDocument/2006/relationships/hyperlink" Target="https://vt.tiktok.com/ZS9KejXym/" TargetMode="External"/><Relationship Id="rId4474" Type="http://schemas.openxmlformats.org/officeDocument/2006/relationships/hyperlink" Target="https://vt.tiktok.com/ZS9f4X3cr/" TargetMode="External"/><Relationship Id="rId3146" Type="http://schemas.openxmlformats.org/officeDocument/2006/relationships/hyperlink" Target="https://vt.tiktok.com/ZSHtAActU/" TargetMode="External"/><Relationship Id="rId4477" Type="http://schemas.openxmlformats.org/officeDocument/2006/relationships/hyperlink" Target="https://vt.tiktok.com/ZSxRUV85X/" TargetMode="External"/><Relationship Id="rId3145" Type="http://schemas.openxmlformats.org/officeDocument/2006/relationships/hyperlink" Target="https://www.tiktok.com/@diahagustina297" TargetMode="External"/><Relationship Id="rId4476" Type="http://schemas.openxmlformats.org/officeDocument/2006/relationships/hyperlink" Target="https://www.tiktok.com/@avril.109" TargetMode="External"/><Relationship Id="rId3148" Type="http://schemas.openxmlformats.org/officeDocument/2006/relationships/hyperlink" Target="https://www.tiktok.com/@sinday2802" TargetMode="External"/><Relationship Id="rId4479" Type="http://schemas.openxmlformats.org/officeDocument/2006/relationships/hyperlink" Target="https://www.tiktok.com/@harumrice/video/7638622349079694613?_d=0&amp;_r=1&amp;ec_shared_reflux_dynamic_params=%7B%22placeholder_material_id%22%3A%227638622349079694613%22%2C%22placeholder_origin_cover%22%3A%22https%253A%252F%252Fp19-common-sign.tiktokcdn.com%252Ftos-alisg-p-0037%252FoUOfOirRAprIlBz9IR1ArDLU8siCA1BqwCABI8~tplv-tiktokx-origin.jpeg%253Fdr%253D14572%2526refresh_token%253Dbcb322c9%2526x-expires%253D1810717200%2526x-signature%253Dbrh7pShlGRc829TJHJx50Uh1vL0%25253D%2526t%253D4d5b0474%2526ps%253D13740610%2526shp%253Dd05b14bd%2526shcp%253D34ff8df6%2526idc%253Dmy3%2526s%253DTIKTOK_AFFILIATE_VIRAL_VIDEO%22%2C%22placeholder_product_id%22%3A%221729427766722726591%22%2C%22placeholder_video_id%22%3A%227638622349079694613%22%7D&amp;ec_shared_reflux_scene=shop_tab_feed&amp;mid=7617088569945934613&amp;preview_pb=0&amp;region=&amp;share_item_id=7638622349079694613&amp;sharer_language=&amp;source=h5_t&amp;u_code=d6j7255963058c" TargetMode="External"/><Relationship Id="rId3147" Type="http://schemas.openxmlformats.org/officeDocument/2006/relationships/hyperlink" Target="https://www.tiktok.com/@rindi.afrilia/video/7631192970619784469?_r=1&amp;u_code=dja890i3j90f3j&amp;region=&amp;mid=7611086714324536084&amp;preview_pb=0&amp;sharer_language=&amp;_d=0&amp;ec_shared_reflux_dynamic_params=%7B%22placeholder_material_id%22%3A%227631192970619784469%22%2C%22placeholder_origin_cover%22%3A%22https%253A%252F%252Fp16-common-sign.tiktokcdn.com%252Ftos-alisg-p-0037%252FoMRnCBImAmyItCZpf3cFEFb5IBxfG1unggDcEE~tplv-tiktokx-origin.jpeg%253Fdr%253D14572%2526refresh_token%253D2ac0a793%2526x-expires%253D1810202400%2526x-signature%253DISCskG1154luFLpa7A0Hufgz%25252FUg%25253D%2526t%253D4d5b0474%2526ps%253D13740610%2526shp%253Dd05b14bd%2526shcp%253D34ff8df6%2526idc%253Dmy2%2526s%253DTIKTOK_AFFILIATE_VIRAL_VIDEO%22%2C%22placeholder_product_id%22%3A%221729427766722726591%22%2C%22placeholder_video_id%22%3A%227631192970619784469%22%7D&amp;ec_shared_reflux_scene=shop_tab_feed&amp;share_item_id=7631192970619784469&amp;source=h5_t" TargetMode="External"/><Relationship Id="rId4478" Type="http://schemas.openxmlformats.org/officeDocument/2006/relationships/hyperlink" Target="https://vt.tiktok.com/ZSxR3ueBv/" TargetMode="External"/><Relationship Id="rId3171" Type="http://schemas.openxmlformats.org/officeDocument/2006/relationships/hyperlink" Target="https://www.tiktok.com/@rezkyhamdayani277" TargetMode="External"/><Relationship Id="rId3170" Type="http://schemas.openxmlformats.org/officeDocument/2006/relationships/hyperlink" Target="https://www.tiktok.com/@sinabilla/video/7633023150787235080?_r=1&amp;u_code=d8ce4h27fdmff3&amp;region=&amp;mid=7629352910916897543&amp;preview_pb=0&amp;sharer_language=&amp;_d=0&amp;ec_shared_reflux_dynamic_params=%7B%22placeholder_material_id%22%3A%227633023150787235080%22%2C%22placeholder_origin_cover%22%3A%22https%253A%252F%252Fp16-common-sign.tiktokcdn.com%252Ftos-alisg-p-0037%252Fo4LI4I8KAAHyDoqkjFfPfTDCb22NDEIeiOPLAt~tplv-tiktokx-origin.jpeg%253Fdr%253D14572%2526refresh_token%253D7480ccad%2526x-expires%253D1810202400%2526x-signature%253DGSPQ%25252BrmYhlKHxlCBmYj%25252Ff1Yfggo%25253D%2526t%253D4d5b0474%2526ps%253D13740610%2526shp%253Dd05b14bd%2526shcp%253D34ff8df6%2526idc%253Dmy2%2526s%253DTIKTOK_AFFILIATE_VIRAL_VIDEO%22%2C%22placeholder_product_id%22%3A%221729427766722726591%22%2C%22placeholder_video_id%22%3A%227633023150787235080%22%7D&amp;ec_shared_reflux_scene=shop_tab_feed&amp;share_item_id=7633023150787235080&amp;source=h5_t" TargetMode="External"/><Relationship Id="rId3173" Type="http://schemas.openxmlformats.org/officeDocument/2006/relationships/hyperlink" Target="https://www.tiktok.com/@rezkyhamdayani277/video/7623810661956537608?is_from_webapp=1&amp;sender_device=pc&amp;web_id=7611930277489657360" TargetMode="External"/><Relationship Id="rId3172" Type="http://schemas.openxmlformats.org/officeDocument/2006/relationships/hyperlink" Target="https://www.tiktok.com/@rezkyhamdayani277/video/7622236374191590664?is_from_webapp=1&amp;sender_device=pc&amp;web_id=7611930277489657360" TargetMode="External"/><Relationship Id="rId3175" Type="http://schemas.openxmlformats.org/officeDocument/2006/relationships/hyperlink" Target="https://www.tiktok.com/@rezkyhamdayani277/video/7625309404467907848?is_from_webapp=1&amp;sender_device=pc&amp;web_id=7611930277489657360" TargetMode="External"/><Relationship Id="rId3174" Type="http://schemas.openxmlformats.org/officeDocument/2006/relationships/hyperlink" Target="https://www.tiktok.com/@rezkyhamdayani277/video/7624701550027476242?is_from_webapp=1&amp;sender_device=pc&amp;web_id=7611930277489657360" TargetMode="External"/><Relationship Id="rId3177" Type="http://schemas.openxmlformats.org/officeDocument/2006/relationships/hyperlink" Target="https://www.tiktok.com/@rulleryu/video/7628530720478072072?is_from_webapp=1&amp;sender_device=pc" TargetMode="External"/><Relationship Id="rId3176" Type="http://schemas.openxmlformats.org/officeDocument/2006/relationships/hyperlink" Target="https://www.tiktok.com/@rulleryu" TargetMode="External"/><Relationship Id="rId3179" Type="http://schemas.openxmlformats.org/officeDocument/2006/relationships/hyperlink" Target="https://www.tiktok.com/@yullia008/video/7636233951220108560?_r=1&amp;u_code=de2i6l94lj04fj&amp;region=&amp;mid=7636234124121967378&amp;preview_pb=0&amp;sharer_language=&amp;_d=0&amp;ec_shared_reflux_dynamic_params=%7B%22placeholder_material_id%22%3A%227636233951220108560%22%2C%22placeholder_origin_cover%22%3A%22https%253A%252F%252Fp16-common-sign.tiktokcdn.com%252Ftos-alisg-p-0037%252FoI5G2iBRcBpzfjEvWgriANnjIf7DisBic0ImKA~tplv-tiktokx-origin.jpeg%253Fdr%253D14572%2526refresh_token%253D8665797e%2526x-expires%253D1810202400%2526x-signature%253Dq3dIM3xkRp1hzH3kvgvUZY%25252F6us8%25253D%2526t%253D4d5b0474%2526ps%253D13740610%2526shp%253Dd05b14bd%2526shcp%253D34ff8df6%2526idc%253Dmy2%2526s%253DTIKTOK_AFFILIATE_VIRAL_VIDEO%22%2C%22placeholder_product_id%22%3A%221729427766722726591%22%2C%22placeholder_video_id%22%3A%227636233951220108560%22%7D&amp;ec_shared_reflux_scene=shop_tab_feed&amp;share_item_id=7636233951220108560&amp;source=h5_t" TargetMode="External"/><Relationship Id="rId3178" Type="http://schemas.openxmlformats.org/officeDocument/2006/relationships/hyperlink" Target="https://www.tiktok.com/@yullia008/video/7636660407943433488?_r=1&amp;u_code=de2i6l94lj04fj&amp;region=&amp;mid=7636660647123634965&amp;preview_pb=0&amp;sharer_language=&amp;_d=0&amp;ec_shared_reflux_dynamic_params=%7B%22placeholder_material_id%22%3A%227636660407943433488%22%2C%22placeholder_origin_cover%22%3A%22https%253A%252F%252Fp16-common-sign.tiktokcdn.com%252Ftos-alisg-p-0037%252Fo07m6AbGb4BYzIQTf9LeDCADf33tuGQ4jNGnIN~tplv-tiktokx-origin.jpeg%253Fdr%253D14572%2526refresh_token%253D85571313%2526x-expires%253D1810202400%2526x-signature%253DFLrU6HTwgo08BmyKRXZ3nskMDXE%25253D%2526t%253D4d5b0474%2526ps%253D13740610%2526shp%253Dd05b14bd%2526shcp%253D34ff8df6%2526idc%253Dmy2%2526s%253DTIKTOK_AFFILIATE_VIRAL_VIDEO%22%2C%22placeholder_product_id%22%3A%221729427766722726591%22%2C%22placeholder_video_id%22%3A%227636660407943433488%22%7D&amp;ec_shared_reflux_scene=shop_tab_feed&amp;share_item_id=7636660407943433488&amp;source=h5_t" TargetMode="External"/><Relationship Id="rId3160" Type="http://schemas.openxmlformats.org/officeDocument/2006/relationships/hyperlink" Target="https://www.tiktok.com/@rindi.afrilia/video/7631184176879897877?_r=1&amp;u_code=dja890i3j90f3j&amp;region=&amp;mid=7581841216234097426&amp;preview_pb=0&amp;sharer_language=&amp;_d=0&amp;ec_shared_reflux_dynamic_params=%7B%22placeholder_material_id%22%3A%227631184176879897877%22%2C%22placeholder_origin_cover%22%3A%22https%253A%252F%252Fp16-common-sign.tiktokcdn.com%252Ftos-alisg-p-0037%252FooNf7iSvAZEI7B4hIRaAbUlmXViC80xuwCAnIA~tplv-tiktokx-origin.jpeg%253Fdr%253D14572%2526refresh_token%253D81631339%2526x-expires%253D1810202400%2526x-signature%253DNjGhlhyiTJBNxSeznxSHZd2%25252BYCg%25253D%2526t%253D4d5b0474%2526ps%253D13740610%2526shp%253Dd05b14bd%2526shcp%253D34ff8df6%2526idc%253Dmy2%2526s%253DTIKTOK_AFFILIATE_VIRAL_VIDEO%22%2C%22placeholder_product_id%22%3A%221729427766722726591%22%2C%22placeholder_video_id%22%3A%227631184176879897877%22%7D&amp;ec_shared_reflux_scene=shop_tab_feed&amp;share_item_id=7631184176879897877&amp;source=h5_t" TargetMode="External"/><Relationship Id="rId4491" Type="http://schemas.openxmlformats.org/officeDocument/2006/relationships/hyperlink" Target="https://vt.tiktok.com/ZS95B2TjA/" TargetMode="External"/><Relationship Id="rId4490" Type="http://schemas.openxmlformats.org/officeDocument/2006/relationships/hyperlink" Target="https://vt.tiktok.com/ZS95kcuGv/" TargetMode="External"/><Relationship Id="rId3162" Type="http://schemas.openxmlformats.org/officeDocument/2006/relationships/hyperlink" Target="https://www.tiktok.com/@aricanadya/video/7628292887767387412?is_from_webapp=1&amp;sender_device=pc" TargetMode="External"/><Relationship Id="rId4493" Type="http://schemas.openxmlformats.org/officeDocument/2006/relationships/hyperlink" Target="https://vt.tiktok.com/ZS95BBTgr/" TargetMode="External"/><Relationship Id="rId3161" Type="http://schemas.openxmlformats.org/officeDocument/2006/relationships/hyperlink" Target="https://www.tiktok.com/@aricanadya" TargetMode="External"/><Relationship Id="rId4492" Type="http://schemas.openxmlformats.org/officeDocument/2006/relationships/hyperlink" Target="https://www.tiktok.com/@dvnarini" TargetMode="External"/><Relationship Id="rId3164" Type="http://schemas.openxmlformats.org/officeDocument/2006/relationships/hyperlink" Target="https://vt.tiktok.com/ZS9KeYT94/" TargetMode="External"/><Relationship Id="rId4495" Type="http://schemas.openxmlformats.org/officeDocument/2006/relationships/hyperlink" Target="https://vt.tiktok.com/ZS99hfaEN/" TargetMode="External"/><Relationship Id="rId3163" Type="http://schemas.openxmlformats.org/officeDocument/2006/relationships/hyperlink" Target="https://vt.tiktok.com/ZS9KJcxHv/" TargetMode="External"/><Relationship Id="rId4494" Type="http://schemas.openxmlformats.org/officeDocument/2006/relationships/hyperlink" Target="https://vt.tiktok.com/ZS95B1hKj/" TargetMode="External"/><Relationship Id="rId3166" Type="http://schemas.openxmlformats.org/officeDocument/2006/relationships/hyperlink" Target="https://www.tiktok.com/@andinishidqin05" TargetMode="External"/><Relationship Id="rId4497" Type="http://schemas.openxmlformats.org/officeDocument/2006/relationships/hyperlink" Target="https://www.tiktok.com/@silvialmic" TargetMode="External"/><Relationship Id="rId3165" Type="http://schemas.openxmlformats.org/officeDocument/2006/relationships/hyperlink" Target="https://vt.tiktok.com/ZS9KejYs5/" TargetMode="External"/><Relationship Id="rId4496" Type="http://schemas.openxmlformats.org/officeDocument/2006/relationships/hyperlink" Target="https://vt.tiktok.com/ZS9fhMwXg/" TargetMode="External"/><Relationship Id="rId3168" Type="http://schemas.openxmlformats.org/officeDocument/2006/relationships/hyperlink" Target="https://www.tiktok.com/@sinabilla/video/7637534779289783559?_r=1&amp;u_code=d8ce4h27fdmff3&amp;region=&amp;mid=7490821642680093446&amp;preview_pb=0&amp;sharer_language=&amp;_d=0&amp;ec_shared_reflux_dynamic_params=%7B%22placeholder_material_id%22%3A%227637534779289783559%22%2C%22placeholder_origin_cover%22%3A%22https%253A%252F%252Fp19-common-sign.tiktokcdn.com%252Ftos-alisg-p-0037%252FosefFWeRQQnQAs9Mf78HgjjAGkxEnMwoGETXFl~tplv-tiktokx-origin.jpeg%253Fdr%253D14572%2526refresh_token%253D23496c74%2526x-expires%253D1810202400%2526x-signature%253DrBahmAnydquki%25252B6jRJpOYlsNQ7A%25253D%2526t%253D4d5b0474%2526ps%253D13740610%2526shp%253Dd05b14bd%2526shcp%253D34ff8df6%2526idc%253Dmy2%2526s%253DTIKTOK_AFFILIATE_VIRAL_VIDEO%22%2C%22placeholder_product_id%22%3A%221729427766722726591%22%2C%22placeholder_video_id%22%3A%227637534779289783559%22%7D&amp;ec_shared_reflux_scene=shop_tab_feed&amp;share_item_id=7637534779289783559&amp;source=h5_t" TargetMode="External"/><Relationship Id="rId4499" Type="http://schemas.openxmlformats.org/officeDocument/2006/relationships/hyperlink" Target="https://vt.tiktok.com/ZS9DjFxrn/" TargetMode="External"/><Relationship Id="rId3167" Type="http://schemas.openxmlformats.org/officeDocument/2006/relationships/hyperlink" Target="https://vt.tiktok.com/ZSHvCU31n/" TargetMode="External"/><Relationship Id="rId4498" Type="http://schemas.openxmlformats.org/officeDocument/2006/relationships/hyperlink" Target="https://vt.tiktok.com/ZS9aefeRj/" TargetMode="External"/><Relationship Id="rId3169" Type="http://schemas.openxmlformats.org/officeDocument/2006/relationships/hyperlink" Target="https://www.tiktok.com/@sinabilla/video/7633465175101754642?_r=1&amp;u_code=d8ce4h27fdmff3&amp;region=&amp;mid=7608547172799236881&amp;preview_pb=0&amp;sharer_language=&amp;_d=0&amp;ec_shared_reflux_dynamic_params=%7B%22placeholder_material_id%22%3A%227633465175101754642%22%2C%22placeholder_origin_cover%22%3A%22https%253A%252F%252Fp16-common-sign.tiktokcdn.com%252Ftos-alisg-p-0037%252FogfpX6RDE8D7AvnEohFPMQeCBOvPQgB34lEcbA~tplv-tiktokx-origin.jpeg%253Fdr%253D14572%2526refresh_token%253Dce5928f0%2526x-expires%253D1810202400%2526x-signature%253Dvgt4kz%25252F5SEj2XMXmTghqTXTATww%25253D%2526t%253D4d5b0474%2526ps%253D13740610%2526shp%253Dd05b14bd%2526shcp%253D34ff8df6%2526idc%253Dmy2%2526s%253DTIKTOK_AFFILIATE_VIRAL_VIDEO%22%2C%22placeholder_product_id%22%3A%221729427766722726591%22%2C%22placeholder_video_id%22%3A%227633465175101754642%22%7D&amp;ec_shared_reflux_scene=shop_tab_feed&amp;share_item_id=7633465175101754642&amp;source=h5_t" TargetMode="External"/><Relationship Id="rId9330" Type="http://schemas.openxmlformats.org/officeDocument/2006/relationships/hyperlink" Target="https://vt.tiktok.com/ZSx5AvnU3/" TargetMode="External"/><Relationship Id="rId9331" Type="http://schemas.openxmlformats.org/officeDocument/2006/relationships/hyperlink" Target="https://vt.tiktok.com/ZSx5A3qYQ/" TargetMode="External"/><Relationship Id="rId9332" Type="http://schemas.openxmlformats.org/officeDocument/2006/relationships/hyperlink" Target="https://vt.tiktok.com/ZSx5DdStX/" TargetMode="External"/><Relationship Id="rId9333" Type="http://schemas.openxmlformats.org/officeDocument/2006/relationships/hyperlink" Target="https://www.tiktok.com/@_puput815" TargetMode="External"/><Relationship Id="rId8002" Type="http://schemas.openxmlformats.org/officeDocument/2006/relationships/hyperlink" Target="https://www.tiktok.com/@spalspill5512/video/7647415404628888839?_r=1&amp;u_code=e9165de9bm7maj&amp;region=&amp;mid=7604469021722200065&amp;preview_pb=0&amp;sharer_language=&amp;_d=0&amp;ec_shared_reflux_dynamic_params=%7B%22placeholder_material_id%22%3A%227647415404628888839%22%2C%22placeholder_origin_cover%22%3A%22https%253A%252F%252Fp16-common-sign.tiktokcdn.com%252Ftos-alisg-p-0037%252Foghg4gJSAAVWDaGqjLe6iUGCfeQV0II46LSLEC~tplv-tiktokx-origin.jpeg%253Fdr%253D14572%2526refresh_token%253D9e77115b%2526x-expires%253D1812099600%2526x-signature%253DHQUWQ%25252FIob4soIep%25252B1MQLhWQN9ek%25253D%2526t%253D4d5b0474%2526ps%253D13740610%2526shp%253Dd05b14bd%2526shcp%253D34ff8df6%2526idc%253Dmy%2526s%253DTIKTOK_AFFILIATE_VIRAL_VIDEO%22%2C%22placeholder_product_id%22%3A%221729427766722726591%22%2C%22placeholder_video_id%22%3A%227647415404628888839%22%7D&amp;ec_shared_reflux_scene=shop_tab_feed&amp;share_item_id=7647415404628888839&amp;source=h5_t" TargetMode="External"/><Relationship Id="rId8001" Type="http://schemas.openxmlformats.org/officeDocument/2006/relationships/hyperlink" Target="https://www.tiktok.com/@Spalspill5512" TargetMode="External"/><Relationship Id="rId8000" Type="http://schemas.openxmlformats.org/officeDocument/2006/relationships/hyperlink" Target="https://vt.tiktok.com/ZSxHaPMfN/" TargetMode="External"/><Relationship Id="rId8006" Type="http://schemas.openxmlformats.org/officeDocument/2006/relationships/hyperlink" Target="https://www.tiktok.com/@M3lanyy_020" TargetMode="External"/><Relationship Id="rId9338" Type="http://schemas.openxmlformats.org/officeDocument/2006/relationships/hyperlink" Target="https://www.tiktok.com/@mindie230398" TargetMode="External"/><Relationship Id="rId8005" Type="http://schemas.openxmlformats.org/officeDocument/2006/relationships/hyperlink" Target="https://vt.tiktok.com/ZSxHa9G1r/" TargetMode="External"/><Relationship Id="rId9339" Type="http://schemas.openxmlformats.org/officeDocument/2006/relationships/hyperlink" Target="https://www.tiktok.com/@itsmechaaa_02/video/7619185703586417940?_r=1&amp;u_code=d94j25l8j9c8l3&amp;region=&amp;mid=7617716334930955028&amp;preview_pb=0&amp;sharer_language=&amp;_d=0&amp;ec_shared_reflux_dynamic_params=%7B%22placeholder_material_id%22%3A%227619185703586417940%22%2C%22placeholder_origin_cover%22%3A%22https%253A%252F%252Fp19-common-sign.tiktokcdn.com%252Ftos-alisg-p-0037%252FoUIABBGvJABiz8aEaAzDbBv8yXiIDRLYD6Puo~tplv-tiktokx-origin.jpeg%253Fdr%253D14572%2526refresh_token%253Dcc5e5193%2526x-expires%253D1809507600%2526x-signature%253D1wO8%25252F9hsoVy85TrEXhb02mpyRMk%25253D%2526t%253D4d5b0474%2526ps%253D13740610%2526shp%253Dd05b14bd%2526shcp%253D34ff8df6%2526idc%253Dmy%2526s%253DTIKTOK_AFFILIATE_VIRAL_VIDEO%22%2C%22placeholder_product_id%22%3A%221729427766722726591%22%2C%22placeholder_video_id%22%3A%227619185703586417940%22%7D&amp;ec_shared_reflux_scene=shop_tab_feed&amp;share_item_id=7619185703586417940&amp;source=h5_t" TargetMode="External"/><Relationship Id="rId8004" Type="http://schemas.openxmlformats.org/officeDocument/2006/relationships/hyperlink" Target="https://vt.tiktok.com/ZSxHabCmU/" TargetMode="External"/><Relationship Id="rId8003" Type="http://schemas.openxmlformats.org/officeDocument/2006/relationships/hyperlink" Target="https://www.tiktok.com/@spalspill5512/video/7647419440472001800?_r=1&amp;u_code=e9165de9bm7maj&amp;region=&amp;mid=7591434567065192449&amp;preview_pb=0&amp;sharer_language=&amp;_d=0&amp;ec_shared_reflux_dynamic_params=%7B%22placeholder_material_id%22%3A%227647419440472001800%22%2C%22placeholder_origin_cover%22%3A%22https%253A%252F%252Fp16-common-sign.tiktokcdn.com%252Ftos-alisg-p-0037%252FocAOI0CIjoZeqlpgLADiNQtQQAeUmnGelLwDLC~tplv-tiktokx-origin.jpeg%253Fdr%253D14572%2526refresh_token%253D6edcfd8d%2526x-expires%253D1812099600%2526x-signature%253D2ERgEKwPuSkKIZPwK5OkIxcM58A%25253D%2526t%253D4d5b0474%2526ps%253D13740610%2526shp%253Dd05b14bd%2526shcp%253D34ff8df6%2526idc%253Dmy%2526s%253DTIKTOK_AFFILIATE_VIRAL_VIDEO%22%2C%22placeholder_product_id%22%3A%221729427766722726591%22%2C%22placeholder_video_id%22%3A%227647419440472001800%22%7D&amp;ec_shared_reflux_scene=shop_tab_feed&amp;share_item_id=7647419440472001800&amp;source=h5_t" TargetMode="External"/><Relationship Id="rId9334" Type="http://schemas.openxmlformats.org/officeDocument/2006/relationships/hyperlink" Target="https://www.tiktok.com/@itsmechaaa_02/video/7619185703586417940?_r=1&amp;u_code=d94j25l8j9c8l3&amp;region=&amp;mid=7617716334930955028&amp;preview_pb=0&amp;sharer_language=&amp;_d=0&amp;ec_shared_reflux_dynamic_params=%7B%22placeholder_material_id%22%3A%227619185703586417940%22%2C%22placeholder_origin_cover%22%3A%22https%253A%252F%252Fp19-common-sign.tiktokcdn.com%252Ftos-alisg-p-0037%252FoUIABBGvJABiz8aEaAzDbBv8yXiIDRLYD6Puo~tplv-tiktokx-origin.jpeg%253Fdr%253D14572%2526refresh_token%253Dcc5e5193%2526x-expires%253D1809507600%2526x-signature%253D1wO8%25252F9hsoVy85TrEXhb02mpyRMk%25253D%2526t%253D4d5b0474%2526ps%253D13740610%2526shp%253Dd05b14bd%2526shcp%253D34ff8df6%2526idc%253Dmy%2526s%253DTIKTOK_AFFILIATE_VIRAL_VIDEO%22%2C%22placeholder_product_id%22%3A%221729427766722726591%22%2C%22placeholder_video_id%22%3A%227619185703586417940%22%7D&amp;ec_shared_reflux_scene=shop_tab_feed&amp;share_item_id=7619185703586417940&amp;source=h5_t" TargetMode="External"/><Relationship Id="rId8009" Type="http://schemas.openxmlformats.org/officeDocument/2006/relationships/hyperlink" Target="https://vt.tiktok.com/ZSxHaXGoc/" TargetMode="External"/><Relationship Id="rId9335" Type="http://schemas.openxmlformats.org/officeDocument/2006/relationships/hyperlink" Target="https://vt.tiktok.com/ZSx5AvnU3/" TargetMode="External"/><Relationship Id="rId8008" Type="http://schemas.openxmlformats.org/officeDocument/2006/relationships/hyperlink" Target="https://vt.tiktok.com/ZSxhdTkdV/" TargetMode="External"/><Relationship Id="rId9336" Type="http://schemas.openxmlformats.org/officeDocument/2006/relationships/hyperlink" Target="https://vt.tiktok.com/ZSx5A3qYQ/" TargetMode="External"/><Relationship Id="rId8007" Type="http://schemas.openxmlformats.org/officeDocument/2006/relationships/hyperlink" Target="https://vt.tiktok.com/ZSxhdsLxY/" TargetMode="External"/><Relationship Id="rId9337" Type="http://schemas.openxmlformats.org/officeDocument/2006/relationships/hyperlink" Target="https://vt.tiktok.com/ZSx5DdStX/" TargetMode="External"/><Relationship Id="rId9320" Type="http://schemas.openxmlformats.org/officeDocument/2006/relationships/hyperlink" Target="https://vt.tiktok.com/ZSx5AvnU3/" TargetMode="External"/><Relationship Id="rId9321" Type="http://schemas.openxmlformats.org/officeDocument/2006/relationships/hyperlink" Target="https://vt.tiktok.com/ZSx5A3qYQ/" TargetMode="External"/><Relationship Id="rId9322" Type="http://schemas.openxmlformats.org/officeDocument/2006/relationships/hyperlink" Target="https://vt.tiktok.com/ZSx5DdStX/" TargetMode="External"/><Relationship Id="rId9327" Type="http://schemas.openxmlformats.org/officeDocument/2006/relationships/hyperlink" Target="https://vt.tiktok.com/ZSx5DdStX/" TargetMode="External"/><Relationship Id="rId9328" Type="http://schemas.openxmlformats.org/officeDocument/2006/relationships/hyperlink" Target="https://www.tiktok.com/@elysa_oktaviyanti" TargetMode="External"/><Relationship Id="rId9329" Type="http://schemas.openxmlformats.org/officeDocument/2006/relationships/hyperlink" Target="https://www.tiktok.com/@itsmechaaa_02/video/7619185703586417940?_r=1&amp;u_code=d94j25l8j9c8l3&amp;region=&amp;mid=7617716334930955028&amp;preview_pb=0&amp;sharer_language=&amp;_d=0&amp;ec_shared_reflux_dynamic_params=%7B%22placeholder_material_id%22%3A%227619185703586417940%22%2C%22placeholder_origin_cover%22%3A%22https%253A%252F%252Fp19-common-sign.tiktokcdn.com%252Ftos-alisg-p-0037%252FoUIABBGvJABiz8aEaAzDbBv8yXiIDRLYD6Puo~tplv-tiktokx-origin.jpeg%253Fdr%253D14572%2526refresh_token%253Dcc5e5193%2526x-expires%253D1809507600%2526x-signature%253D1wO8%25252F9hsoVy85TrEXhb02mpyRMk%25253D%2526t%253D4d5b0474%2526ps%253D13740610%2526shp%253Dd05b14bd%2526shcp%253D34ff8df6%2526idc%253Dmy%2526s%253DTIKTOK_AFFILIATE_VIRAL_VIDEO%22%2C%22placeholder_product_id%22%3A%221729427766722726591%22%2C%22placeholder_video_id%22%3A%227619185703586417940%22%7D&amp;ec_shared_reflux_scene=shop_tab_feed&amp;share_item_id=7619185703586417940&amp;source=h5_t" TargetMode="External"/><Relationship Id="rId9323" Type="http://schemas.openxmlformats.org/officeDocument/2006/relationships/hyperlink" Target="https://www.tiktok.com/@devidongok" TargetMode="External"/><Relationship Id="rId9324" Type="http://schemas.openxmlformats.org/officeDocument/2006/relationships/hyperlink" Target="https://www.tiktok.com/@itsmechaaa_02/video/7619185703586417940?_r=1&amp;u_code=d94j25l8j9c8l3&amp;region=&amp;mid=7617716334930955028&amp;preview_pb=0&amp;sharer_language=&amp;_d=0&amp;ec_shared_reflux_dynamic_params=%7B%22placeholder_material_id%22%3A%227619185703586417940%22%2C%22placeholder_origin_cover%22%3A%22https%253A%252F%252Fp19-common-sign.tiktokcdn.com%252Ftos-alisg-p-0037%252FoUIABBGvJABiz8aEaAzDbBv8yXiIDRLYD6Puo~tplv-tiktokx-origin.jpeg%253Fdr%253D14572%2526refresh_token%253Dcc5e5193%2526x-expires%253D1809507600%2526x-signature%253D1wO8%25252F9hsoVy85TrEXhb02mpyRMk%25253D%2526t%253D4d5b0474%2526ps%253D13740610%2526shp%253Dd05b14bd%2526shcp%253D34ff8df6%2526idc%253Dmy%2526s%253DTIKTOK_AFFILIATE_VIRAL_VIDEO%22%2C%22placeholder_product_id%22%3A%221729427766722726591%22%2C%22placeholder_video_id%22%3A%227619185703586417940%22%7D&amp;ec_shared_reflux_scene=shop_tab_feed&amp;share_item_id=7619185703586417940&amp;source=h5_t" TargetMode="External"/><Relationship Id="rId9325" Type="http://schemas.openxmlformats.org/officeDocument/2006/relationships/hyperlink" Target="https://vt.tiktok.com/ZSx5AvnU3/" TargetMode="External"/><Relationship Id="rId9326" Type="http://schemas.openxmlformats.org/officeDocument/2006/relationships/hyperlink" Target="https://vt.tiktok.com/ZSx5A3qYQ/" TargetMode="External"/><Relationship Id="rId8020" Type="http://schemas.openxmlformats.org/officeDocument/2006/relationships/hyperlink" Target="https://vt.tiktok.com/ZSxHaQcdw/" TargetMode="External"/><Relationship Id="rId9352" Type="http://schemas.openxmlformats.org/officeDocument/2006/relationships/hyperlink" Target="https://vt.tiktok.com/ZSxH1h1MK/" TargetMode="External"/><Relationship Id="rId9353" Type="http://schemas.openxmlformats.org/officeDocument/2006/relationships/hyperlink" Target="https://www.tiktok.com/@karmila_nia" TargetMode="External"/><Relationship Id="rId9354" Type="http://schemas.openxmlformats.org/officeDocument/2006/relationships/hyperlink" Target="https://vt.tiktok.com/ZSxH11WkV/" TargetMode="External"/><Relationship Id="rId9355" Type="http://schemas.openxmlformats.org/officeDocument/2006/relationships/hyperlink" Target="https://vt.tiktok.com/ZSxH1BvWM/" TargetMode="External"/><Relationship Id="rId8024" Type="http://schemas.openxmlformats.org/officeDocument/2006/relationships/hyperlink" Target="https://vt.tiktok.com/ZSxHahUQS/" TargetMode="External"/><Relationship Id="rId8023" Type="http://schemas.openxmlformats.org/officeDocument/2006/relationships/hyperlink" Target="https://vt.tiktok.com/ZS9vJkG2n/" TargetMode="External"/><Relationship Id="rId8022" Type="http://schemas.openxmlformats.org/officeDocument/2006/relationships/hyperlink" Target="https://vt.tiktok.com/ZS9vJMtMf/" TargetMode="External"/><Relationship Id="rId9350" Type="http://schemas.openxmlformats.org/officeDocument/2006/relationships/hyperlink" Target="https://vt.tiktok.com/ZSxH1BvWM/" TargetMode="External"/><Relationship Id="rId8021" Type="http://schemas.openxmlformats.org/officeDocument/2006/relationships/hyperlink" Target="https://www.tiktok.com/@mbak_is16" TargetMode="External"/><Relationship Id="rId9351" Type="http://schemas.openxmlformats.org/officeDocument/2006/relationships/hyperlink" Target="https://vt.tiktok.com/ZSxH1Men5/" TargetMode="External"/><Relationship Id="rId8028" Type="http://schemas.openxmlformats.org/officeDocument/2006/relationships/hyperlink" Target="https://vt.tiktok.com/ZSxhRYbcK/" TargetMode="External"/><Relationship Id="rId8027" Type="http://schemas.openxmlformats.org/officeDocument/2006/relationships/hyperlink" Target="https://vt.tiktok.com/ZSxhR2a2m/" TargetMode="External"/><Relationship Id="rId8026" Type="http://schemas.openxmlformats.org/officeDocument/2006/relationships/hyperlink" Target="https://www.tiktok.com/@racunlidyas" TargetMode="External"/><Relationship Id="rId8025" Type="http://schemas.openxmlformats.org/officeDocument/2006/relationships/hyperlink" Target="https://vt.tiktok.com/ZSxHamq71/" TargetMode="External"/><Relationship Id="rId9356" Type="http://schemas.openxmlformats.org/officeDocument/2006/relationships/hyperlink" Target="https://vt.tiktok.com/ZSxH1Men5/" TargetMode="External"/><Relationship Id="rId9357" Type="http://schemas.openxmlformats.org/officeDocument/2006/relationships/hyperlink" Target="https://vt.tiktok.com/ZSxH1h1MK/" TargetMode="External"/><Relationship Id="rId9358" Type="http://schemas.openxmlformats.org/officeDocument/2006/relationships/hyperlink" Target="https://www.tiktok.com/@lindalin99" TargetMode="External"/><Relationship Id="rId8029" Type="http://schemas.openxmlformats.org/officeDocument/2006/relationships/hyperlink" Target="https://vt.tiktok.com/ZSxHakhxD/" TargetMode="External"/><Relationship Id="rId9359" Type="http://schemas.openxmlformats.org/officeDocument/2006/relationships/hyperlink" Target="https://vt.tiktok.com/ZSxH11WkV/" TargetMode="External"/><Relationship Id="rId9341" Type="http://schemas.openxmlformats.org/officeDocument/2006/relationships/hyperlink" Target="https://vt.tiktok.com/ZSx5A3qYQ/" TargetMode="External"/><Relationship Id="rId9342" Type="http://schemas.openxmlformats.org/officeDocument/2006/relationships/hyperlink" Target="https://vt.tiktok.com/ZSx5DdStX/" TargetMode="External"/><Relationship Id="rId9343" Type="http://schemas.openxmlformats.org/officeDocument/2006/relationships/hyperlink" Target="https://www.tiktok.com/@itsmechaaa_02" TargetMode="External"/><Relationship Id="rId9344" Type="http://schemas.openxmlformats.org/officeDocument/2006/relationships/hyperlink" Target="https://www.tiktok.com/@itsmechaaa_02/video/7619185703586417940?_r=1&amp;u_code=d94j25l8j9c8l3&amp;region=&amp;mid=7617716334930955028&amp;preview_pb=0&amp;sharer_language=&amp;_d=0&amp;ec_shared_reflux_dynamic_params=%7B%22placeholder_material_id%22%3A%227619185703586417940%22%2C%22placeholder_origin_cover%22%3A%22https%253A%252F%252Fp19-common-sign.tiktokcdn.com%252Ftos-alisg-p-0037%252FoUIABBGvJABiz8aEaAzDbBv8yXiIDRLYD6Puo~tplv-tiktokx-origin.jpeg%253Fdr%253D14572%2526refresh_token%253Dcc5e5193%2526x-expires%253D1809507600%2526x-signature%253D1wO8%25252F9hsoVy85TrEXhb02mpyRMk%25253D%2526t%253D4d5b0474%2526ps%253D13740610%2526shp%253Dd05b14bd%2526shcp%253D34ff8df6%2526idc%253Dmy%2526s%253DTIKTOK_AFFILIATE_VIRAL_VIDEO%22%2C%22placeholder_product_id%22%3A%221729427766722726591%22%2C%22placeholder_video_id%22%3A%227619185703586417940%22%7D&amp;ec_shared_reflux_scene=shop_tab_feed&amp;share_item_id=7619185703586417940&amp;source=h5_t" TargetMode="External"/><Relationship Id="rId8013" Type="http://schemas.openxmlformats.org/officeDocument/2006/relationships/hyperlink" Target="https://vt.tiktok.com/ZSxhdvscC/" TargetMode="External"/><Relationship Id="rId8012" Type="http://schemas.openxmlformats.org/officeDocument/2006/relationships/hyperlink" Target="https://vt.tiktok.com/ZSxhd3pun/" TargetMode="External"/><Relationship Id="rId8011" Type="http://schemas.openxmlformats.org/officeDocument/2006/relationships/hyperlink" Target="https://www.tiktok.com/@cutttmutia" TargetMode="External"/><Relationship Id="rId8010" Type="http://schemas.openxmlformats.org/officeDocument/2006/relationships/hyperlink" Target="https://vt.tiktok.com/ZSxHaPjHD/" TargetMode="External"/><Relationship Id="rId9340" Type="http://schemas.openxmlformats.org/officeDocument/2006/relationships/hyperlink" Target="https://vt.tiktok.com/ZSx5AvnU3/" TargetMode="External"/><Relationship Id="rId8017" Type="http://schemas.openxmlformats.org/officeDocument/2006/relationships/hyperlink" Target="https://vt.tiktok.com/ZSxhdoHxo/" TargetMode="External"/><Relationship Id="rId9349" Type="http://schemas.openxmlformats.org/officeDocument/2006/relationships/hyperlink" Target="https://vt.tiktok.com/ZSxH11WkV/" TargetMode="External"/><Relationship Id="rId8016" Type="http://schemas.openxmlformats.org/officeDocument/2006/relationships/hyperlink" Target="https://www.tiktok.com/@kak.uung" TargetMode="External"/><Relationship Id="rId8015" Type="http://schemas.openxmlformats.org/officeDocument/2006/relationships/hyperlink" Target="https://vt.tiktok.com/ZSxHaXvVq/" TargetMode="External"/><Relationship Id="rId8014" Type="http://schemas.openxmlformats.org/officeDocument/2006/relationships/hyperlink" Target="https://vt.tiktok.com/ZSxHaXvVq/" TargetMode="External"/><Relationship Id="rId9345" Type="http://schemas.openxmlformats.org/officeDocument/2006/relationships/hyperlink" Target="https://vt.tiktok.com/ZSx5AvnU3/" TargetMode="External"/><Relationship Id="rId9346" Type="http://schemas.openxmlformats.org/officeDocument/2006/relationships/hyperlink" Target="https://vt.tiktok.com/ZSx5A3qYQ/" TargetMode="External"/><Relationship Id="rId8019" Type="http://schemas.openxmlformats.org/officeDocument/2006/relationships/hyperlink" Target="https://vt.tiktok.com/ZSxHaP4Ld/" TargetMode="External"/><Relationship Id="rId9347" Type="http://schemas.openxmlformats.org/officeDocument/2006/relationships/hyperlink" Target="https://vt.tiktok.com/ZSx5DdStX/" TargetMode="External"/><Relationship Id="rId8018" Type="http://schemas.openxmlformats.org/officeDocument/2006/relationships/hyperlink" Target="https://vt.tiktok.com/ZSxhReepJ/" TargetMode="External"/><Relationship Id="rId9348" Type="http://schemas.openxmlformats.org/officeDocument/2006/relationships/hyperlink" Target="https://www.tiktok.com/@kutilang067" TargetMode="External"/><Relationship Id="rId9310" Type="http://schemas.openxmlformats.org/officeDocument/2006/relationships/hyperlink" Target="https://vt.tiktok.com/ZSxH1BvWM/" TargetMode="External"/><Relationship Id="rId9311" Type="http://schemas.openxmlformats.org/officeDocument/2006/relationships/hyperlink" Target="https://vt.tiktok.com/ZSxH1Men5/" TargetMode="External"/><Relationship Id="rId9316" Type="http://schemas.openxmlformats.org/officeDocument/2006/relationships/hyperlink" Target="https://www.tiktok.com/@nabillmusthafa/video/7634156681437531410?_r=1&amp;u_code=deal88a6gjlm74&amp;region=&amp;mid=7485063742394125072&amp;preview_pb=0&amp;sharer_language=&amp;_d=0&amp;ec_shared_reflux_dynamic_params=%7B%22placeholder_material_id%22%3A%227634156681437531410%22%2C%22placeholder_origin_cover%22%3A%22https%253A%252F%252Fp16-common-sign.tiktokcdn.com%252Ftos-alisg-p-0037%252FowDeHyEYQENrUbJGfenRjDRFxQ48QsNfAAcFHG~tplv-tiktokx-origin.jpeg%253Fdr%253D14572%2526refresh_token%253Db34eb2cc%2526x-expires%253D1809504000%2526x-signature%253DVzr3d1pzhGMujfqVzNtGwtNzHTM%25253D%2526t%253D4d5b0474%2526ps%253D13740610%2526shp%253Dd05b14bd%2526shcp%253D34ff8df6%2526idc%253Dmy%2526s%253DTIKTOK_AFFILIATE_VIRAL_VIDEO%22%2C%22placeholder_product_id%22%3A%221729427766722726591%22%2C%22placeholder_video_id%22%3A%227634156681437531410%22%7D&amp;ec_shared_reflux_scene=shop_tab_feed&amp;share_item_id=7634156681437531410&amp;source=h5_t" TargetMode="External"/><Relationship Id="rId9317" Type="http://schemas.openxmlformats.org/officeDocument/2006/relationships/hyperlink" Target="https://www.tiktok.com/@nabillmusthafa/video/7636000991401331976?_r=1&amp;u_code=deal88a6gjlm74&amp;region=&amp;mid=7626899689086520072&amp;preview_pb=0&amp;sharer_language=&amp;_d=0&amp;ec_shared_reflux_dynamic_params=%7B%22placeholder_material_id%22%3A%227636000991401331976%22%2C%22placeholder_origin_cover%22%3A%22https%253A%252F%252Fp16-common-sign.tiktokcdn.com%252Ftos-alisg-p-0037%252Fos5IiDFe7IDyMeCAY4vAf0EOT4IhjsDDoCnIhC~tplv-tiktokx-origin.jpeg%253Fdr%253D14572%2526refresh_token%253D27defb53%2526x-expires%253D1809504000%2526x-signature%253DJGQSE4ZG86Po7EtLA3PbQ%25252FQinoQ%25253D%2526t%253D4d5b0474%2526ps%253D13740610%2526shp%253Dd05b14bd%2526shcp%253D34ff8df6%2526idc%253Dmy%2526s%253DTIKTOK_AFFILIATE_VIRAL_VIDEO%22%2C%22placeholder_product_id%22%3A%221729427766722726591%22%2C%22placeholder_video_id%22%3A%227636000991401331976%22%7D&amp;ec_shared_reflux_scene=shop_tab_feed&amp;share_item_id=7636000991401331976&amp;source=h5_t" TargetMode="External"/><Relationship Id="rId9318" Type="http://schemas.openxmlformats.org/officeDocument/2006/relationships/hyperlink" Target="https://www.tiktok.com/@deyeeeeeee18" TargetMode="External"/><Relationship Id="rId9319" Type="http://schemas.openxmlformats.org/officeDocument/2006/relationships/hyperlink" Target="https://www.tiktok.com/@itsmechaaa_02/video/7619185703586417940?_r=1&amp;u_code=d94j25l8j9c8l3&amp;region=&amp;mid=7617716334930955028&amp;preview_pb=0&amp;sharer_language=&amp;_d=0&amp;ec_shared_reflux_dynamic_params=%7B%22placeholder_material_id%22%3A%227619185703586417940%22%2C%22placeholder_origin_cover%22%3A%22https%253A%252F%252Fp19-common-sign.tiktokcdn.com%252Ftos-alisg-p-0037%252FoUIABBGvJABiz8aEaAzDbBv8yXiIDRLYD6Puo~tplv-tiktokx-origin.jpeg%253Fdr%253D14572%2526refresh_token%253Dcc5e5193%2526x-expires%253D1809507600%2526x-signature%253D1wO8%25252F9hsoVy85TrEXhb02mpyRMk%25253D%2526t%253D4d5b0474%2526ps%253D13740610%2526shp%253Dd05b14bd%2526shcp%253D34ff8df6%2526idc%253Dmy%2526s%253DTIKTOK_AFFILIATE_VIRAL_VIDEO%22%2C%22placeholder_product_id%22%3A%221729427766722726591%22%2C%22placeholder_video_id%22%3A%227619185703586417940%22%7D&amp;ec_shared_reflux_scene=shop_tab_feed&amp;share_item_id=7619185703586417940&amp;source=h5_t" TargetMode="External"/><Relationship Id="rId9312" Type="http://schemas.openxmlformats.org/officeDocument/2006/relationships/hyperlink" Target="https://vt.tiktok.com/ZSxH1h1MK/" TargetMode="External"/><Relationship Id="rId9313" Type="http://schemas.openxmlformats.org/officeDocument/2006/relationships/hyperlink" Target="https://www.tiktok.com/@nabillmusthafa" TargetMode="External"/><Relationship Id="rId9314" Type="http://schemas.openxmlformats.org/officeDocument/2006/relationships/hyperlink" Target="https://www.tiktok.com/@nabillmusthafa/video/7634473749303037192?_r=1&amp;u_code=deal88a6gjlm74&amp;region=&amp;mid=7608559003840400145&amp;preview_pb=0&amp;sharer_language=&amp;_d=0&amp;ec_shared_reflux_dynamic_params=%7B%22placeholder_material_id%22%3A%227634473749303037192%22%2C%22placeholder_origin_cover%22%3A%22https%253A%252F%252Fp16-common-sign.tiktokcdn.com%252Ftos-alisg-p-0037%252Fo0GM0AI2ZCB6wBAZIUDCA6wz3qiXIfPiII8zP9~tplv-tiktokx-origin.jpeg%253Fdr%253D14572%2526refresh_token%253D8e3bfc6a%2526x-expires%253D1809504000%2526x-signature%253DWiQ8nGI8IFnURslZLmiAQ2HJOKY%25253D%2526t%253D4d5b0474%2526ps%253D13740610%2526shp%253Dd05b14bd%2526shcp%253D34ff8df6%2526idc%253Dmy%2526s%253DTIKTOK_AFFILIATE_VIRAL_VIDEO%22%2C%22placeholder_product_id%22%3A%221729427766722726591%22%2C%22placeholder_video_id%22%3A%227634473749303037192%22%7D&amp;ec_shared_reflux_scene=shop_tab_feed&amp;share_item_id=7634473749303037192&amp;source=h5_t" TargetMode="External"/><Relationship Id="rId9315" Type="http://schemas.openxmlformats.org/officeDocument/2006/relationships/hyperlink" Target="https://www.tiktok.com/@nabillmusthafa/video/7635074462672620807?_r=1&amp;u_code=deal88a6gjlm74&amp;region=&amp;mid=7628933306519816967&amp;preview_pb=0&amp;sharer_language=&amp;_d=0&amp;ec_shared_reflux_dynamic_params=%7B%22placeholder_material_id%22%3A%227635074462672620807%22%2C%22placeholder_origin_cover%22%3A%22https%253A%252F%252Fp16-common-sign.tiktokcdn.com%252Ftos-alisg-p-0037%252Fow9CQvU1FwDIBDDICTziAvAqOAfiIOW8007DDH~tplv-tiktokx-origin.jpeg%253Fdr%253D14572%2526refresh_token%253D6a963701%2526x-expires%253D1809504000%2526x-signature%253DebY%25252FymisAQPYxJCDXAVu6y5aZUs%25253D%2526t%253D4d5b0474%2526ps%253D13740610%2526shp%253Dd05b14bd%2526shcp%253D34ff8df6%2526idc%253Dmy%2526s%253DTIKTOK_AFFILIATE_VIRAL_VIDEO%22%2C%22placeholder_product_id%22%3A%221729427766722726591%22%2C%22placeholder_video_id%22%3A%227635074462672620807%22%7D&amp;ec_shared_reflux_scene=shop_tab_feed&amp;share_item_id=7635074462672620807&amp;source=h5_t" TargetMode="External"/><Relationship Id="rId9309" Type="http://schemas.openxmlformats.org/officeDocument/2006/relationships/hyperlink" Target="https://vt.tiktok.com/ZSxH11WkV/" TargetMode="External"/><Relationship Id="rId9300" Type="http://schemas.openxmlformats.org/officeDocument/2006/relationships/hyperlink" Target="https://vt.tiktok.com/ZSxH1BvWM/" TargetMode="External"/><Relationship Id="rId9305" Type="http://schemas.openxmlformats.org/officeDocument/2006/relationships/hyperlink" Target="https://vt.tiktok.com/ZSxH1BvWM/" TargetMode="External"/><Relationship Id="rId9306" Type="http://schemas.openxmlformats.org/officeDocument/2006/relationships/hyperlink" Target="https://vt.tiktok.com/ZSxH1Men5/" TargetMode="External"/><Relationship Id="rId9307" Type="http://schemas.openxmlformats.org/officeDocument/2006/relationships/hyperlink" Target="https://vt.tiktok.com/ZSxH1h1MK/" TargetMode="External"/><Relationship Id="rId9308" Type="http://schemas.openxmlformats.org/officeDocument/2006/relationships/hyperlink" Target="https://www.tiktok.com/@skinaddictiaa" TargetMode="External"/><Relationship Id="rId9301" Type="http://schemas.openxmlformats.org/officeDocument/2006/relationships/hyperlink" Target="https://vt.tiktok.com/ZSxH1Men5/" TargetMode="External"/><Relationship Id="rId9302" Type="http://schemas.openxmlformats.org/officeDocument/2006/relationships/hyperlink" Target="https://vt.tiktok.com/ZSxH1h1MK/" TargetMode="External"/><Relationship Id="rId9303" Type="http://schemas.openxmlformats.org/officeDocument/2006/relationships/hyperlink" Target="https://www.tiktok.com/@lilibeauty82" TargetMode="External"/><Relationship Id="rId9304" Type="http://schemas.openxmlformats.org/officeDocument/2006/relationships/hyperlink" Target="https://vt.tiktok.com/ZSxH11WkV/" TargetMode="External"/><Relationship Id="rId5813" Type="http://schemas.openxmlformats.org/officeDocument/2006/relationships/hyperlink" Target="https://www.tiktok.com/@mama.azfa28" TargetMode="External"/><Relationship Id="rId5814" Type="http://schemas.openxmlformats.org/officeDocument/2006/relationships/hyperlink" Target="https://vt.tiktok.com/ZS9ksB2YF/" TargetMode="External"/><Relationship Id="rId5811" Type="http://schemas.openxmlformats.org/officeDocument/2006/relationships/hyperlink" Target="https://vt.tiktok.com/ZS9ksgkeS/" TargetMode="External"/><Relationship Id="rId5812" Type="http://schemas.openxmlformats.org/officeDocument/2006/relationships/hyperlink" Target="https://vt.tiktok.com/ZS9ksThGa/" TargetMode="External"/><Relationship Id="rId5817" Type="http://schemas.openxmlformats.org/officeDocument/2006/relationships/hyperlink" Target="https://vt.tiktok.com/ZS9ksThGa/" TargetMode="External"/><Relationship Id="rId5818" Type="http://schemas.openxmlformats.org/officeDocument/2006/relationships/hyperlink" Target="https://www.tiktok.com/@kaaaaast" TargetMode="External"/><Relationship Id="rId5815" Type="http://schemas.openxmlformats.org/officeDocument/2006/relationships/hyperlink" Target="https://vt.tiktok.com/ZS9ks4f57/" TargetMode="External"/><Relationship Id="rId5816" Type="http://schemas.openxmlformats.org/officeDocument/2006/relationships/hyperlink" Target="https://vt.tiktok.com/ZS9ksgkeS/" TargetMode="External"/><Relationship Id="rId5819" Type="http://schemas.openxmlformats.org/officeDocument/2006/relationships/hyperlink" Target="https://vt.tiktok.com/ZS9ksB2YF/" TargetMode="External"/><Relationship Id="rId8093" Type="http://schemas.openxmlformats.org/officeDocument/2006/relationships/hyperlink" Target="https://vt.tiktok.com/ZSxy29LjS/" TargetMode="External"/><Relationship Id="rId8092" Type="http://schemas.openxmlformats.org/officeDocument/2006/relationships/hyperlink" Target="https://vt.tiktok.com/ZSxy2Sc7g/" TargetMode="External"/><Relationship Id="rId8091" Type="http://schemas.openxmlformats.org/officeDocument/2006/relationships/hyperlink" Target="https://www.tiktok.com/@tokomuu4" TargetMode="External"/><Relationship Id="rId8090" Type="http://schemas.openxmlformats.org/officeDocument/2006/relationships/hyperlink" Target="https://vt.tiktok.com/ZSxH5tY6X/" TargetMode="External"/><Relationship Id="rId8086" Type="http://schemas.openxmlformats.org/officeDocument/2006/relationships/hyperlink" Target="https://www.tiktok.com/@alfashopseller" TargetMode="External"/><Relationship Id="rId8085" Type="http://schemas.openxmlformats.org/officeDocument/2006/relationships/hyperlink" Target="https://vt.tiktok.com/ZSxH5TVG8/" TargetMode="External"/><Relationship Id="rId8084" Type="http://schemas.openxmlformats.org/officeDocument/2006/relationships/hyperlink" Target="https://vt.tiktok.com/ZSxHaYstx/" TargetMode="External"/><Relationship Id="rId8083" Type="http://schemas.openxmlformats.org/officeDocument/2006/relationships/hyperlink" Target="https://vt.tiktok.com/ZSxyNWmgV/" TargetMode="External"/><Relationship Id="rId8089" Type="http://schemas.openxmlformats.org/officeDocument/2006/relationships/hyperlink" Target="https://vt.tiktok.com/ZSxH5vwWL/" TargetMode="External"/><Relationship Id="rId8088" Type="http://schemas.openxmlformats.org/officeDocument/2006/relationships/hyperlink" Target="https://vt.tiktok.com/ZSxy28Vek/" TargetMode="External"/><Relationship Id="rId8087" Type="http://schemas.openxmlformats.org/officeDocument/2006/relationships/hyperlink" Target="https://vt.tiktok.com/ZSxyYGauG/" TargetMode="External"/><Relationship Id="rId10295" Type="http://schemas.openxmlformats.org/officeDocument/2006/relationships/hyperlink" Target="https://www.tiktok.com/@atika.m61/video/7645628542398532885?_r=1&amp;u_code=eh071k7mec164j&amp;region=&amp;mid=7604111494565530388&amp;preview_pb=0&amp;sharer_language=&amp;_d=0&amp;ec_shared_reflux_dynamic_params=%7B%22placeholder_material_id%22%3A%227645628542398532885%22%2C%22placeholder_origin_cover%22%3A%22https%253A%252F%252Fp16-common-sign.tiktokcdn.com%252Ftos-alisg-p-0037%252FooQaQFDfjuJNACGUZLkve7ufSTYI1IJA48XrCM~tplv-tiktokx-origin.jpeg%253Fdr%253D14572%2526refresh_token%253D1ceec3d6%2526x-expires%253D1812099600%2526x-signature%253DYQv6c%25252BcZJ8wfgIqQs7hrBlHs7nU%25253D%2526t%253D4d5b0474%2526ps%253D13740610%2526shp%253Dd05b14bd%2526shcp%253D34ff8df6%2526idc%253Dmy%2526s%253DTIKTOK_AFFILIATE_VIRAL_VIDEO%22%2C%22placeholder_product_id%22%3A%221729427766722726591%22%2C%22placeholder_video_id%22%3A%227645628542398532885%22%7D&amp;ec_shared_reflux_scene=shop_tab_feed&amp;share_item_id=7645628542398532885&amp;source=h5_t" TargetMode="External"/><Relationship Id="rId10296" Type="http://schemas.openxmlformats.org/officeDocument/2006/relationships/hyperlink" Target="https://www.tiktok.com/@dwierlangga.sari205" TargetMode="External"/><Relationship Id="rId10293" Type="http://schemas.openxmlformats.org/officeDocument/2006/relationships/hyperlink" Target="https://www.tiktok.com/@sweet_cherry954/video/7646309910388542741?_r=1&amp;u_code=e11ejbhl7kg9bc&amp;region=&amp;mid=7018103264109398018&amp;preview_pb=0&amp;sharer_language=&amp;_d=0&amp;ec_shared_reflux_dynamic_params=%7B%22placeholder_material_id%22%3A%227646309910388542741%22%2C%22placeholder_origin_cover%22%3A%22https%253A%252F%252Fp16-common-sign.tiktokcdn.com%252Ftos-alisg-p-0037%252Fok1D07kJIgpZAFlCIpRd0AAUBIimyuf0OwWBMi~tplv-tiktokx-origin.jpeg%253Fdr%253D14572%2526refresh_token%253D239d25ea%2526x-expires%253D1812099600%2526x-signature%253DOczHij6XET1i9UPG2KyTfrrTp7c%25253D%2526t%253D4d5b0474%2526ps%253D13740610%2526shp%253Dd05b14bd%2526shcp%253D34ff8df6%2526idc%253Dmy%2526s%253DTIKTOK_AFFILIATE_VIRAL_VIDEO%22%2C%22placeholder_product_id%22%3A%221729427766722726591%22%2C%22placeholder_video_id%22%3A%227646309910388542741%22%7D&amp;ec_shared_reflux_scene=shop_tab_feed&amp;share_item_id=7646309910388542741&amp;source=h5_t" TargetMode="External"/><Relationship Id="rId10294" Type="http://schemas.openxmlformats.org/officeDocument/2006/relationships/hyperlink" Target="https://www.tiktok.com/@atika.m61" TargetMode="External"/><Relationship Id="rId10299" Type="http://schemas.openxmlformats.org/officeDocument/2006/relationships/hyperlink" Target="https://www.tiktok.com/@kayclar" TargetMode="External"/><Relationship Id="rId5810" Type="http://schemas.openxmlformats.org/officeDocument/2006/relationships/hyperlink" Target="https://vt.tiktok.com/ZS9ks4f57/" TargetMode="External"/><Relationship Id="rId10297" Type="http://schemas.openxmlformats.org/officeDocument/2006/relationships/hyperlink" Target="https://www.tiktok.com/@sukangeracunajasi_" TargetMode="External"/><Relationship Id="rId10298" Type="http://schemas.openxmlformats.org/officeDocument/2006/relationships/hyperlink" Target="https://www.tiktok.com/@sispipit" TargetMode="External"/><Relationship Id="rId5802" Type="http://schemas.openxmlformats.org/officeDocument/2006/relationships/hyperlink" Target="https://vt.tiktok.com/ZS9ksThGa/" TargetMode="External"/><Relationship Id="rId5803" Type="http://schemas.openxmlformats.org/officeDocument/2006/relationships/hyperlink" Target="https://www.tiktok.com/@qrtlaenii_" TargetMode="External"/><Relationship Id="rId5800" Type="http://schemas.openxmlformats.org/officeDocument/2006/relationships/hyperlink" Target="https://vt.tiktok.com/ZS9ks4f57/" TargetMode="External"/><Relationship Id="rId5801" Type="http://schemas.openxmlformats.org/officeDocument/2006/relationships/hyperlink" Target="https://vt.tiktok.com/ZS9ksgkeS/" TargetMode="External"/><Relationship Id="rId5806" Type="http://schemas.openxmlformats.org/officeDocument/2006/relationships/hyperlink" Target="https://vt.tiktok.com/ZS9ksgkeS/" TargetMode="External"/><Relationship Id="rId5807" Type="http://schemas.openxmlformats.org/officeDocument/2006/relationships/hyperlink" Target="https://vt.tiktok.com/ZS9ksThGa/" TargetMode="External"/><Relationship Id="rId5804" Type="http://schemas.openxmlformats.org/officeDocument/2006/relationships/hyperlink" Target="https://vt.tiktok.com/ZS9ksB2YF/" TargetMode="External"/><Relationship Id="rId5805" Type="http://schemas.openxmlformats.org/officeDocument/2006/relationships/hyperlink" Target="https://vt.tiktok.com/ZS9ks4f57/" TargetMode="External"/><Relationship Id="rId5808" Type="http://schemas.openxmlformats.org/officeDocument/2006/relationships/hyperlink" Target="https://www.tiktok.com/@Cholimahcandrawati" TargetMode="External"/><Relationship Id="rId5809" Type="http://schemas.openxmlformats.org/officeDocument/2006/relationships/hyperlink" Target="https://vt.tiktok.com/ZS9ksB2YF/" TargetMode="External"/><Relationship Id="rId8082" Type="http://schemas.openxmlformats.org/officeDocument/2006/relationships/hyperlink" Target="https://vt.tiktok.com/ZSxyNsxaf/" TargetMode="External"/><Relationship Id="rId8081" Type="http://schemas.openxmlformats.org/officeDocument/2006/relationships/hyperlink" Target="https://www.tiktok.com/@Kopiiiluakk" TargetMode="External"/><Relationship Id="rId8080" Type="http://schemas.openxmlformats.org/officeDocument/2006/relationships/hyperlink" Target="https://vt.tiktok.com/ZSxH5EJWb/" TargetMode="External"/><Relationship Id="rId8075" Type="http://schemas.openxmlformats.org/officeDocument/2006/relationships/hyperlink" Target="https://vt.tiktok.com/ZSxH5WYbA/" TargetMode="External"/><Relationship Id="rId8074" Type="http://schemas.openxmlformats.org/officeDocument/2006/relationships/hyperlink" Target="https://vt.tiktok.com/ZSxH5WSHC/" TargetMode="External"/><Relationship Id="rId8073" Type="http://schemas.openxmlformats.org/officeDocument/2006/relationships/hyperlink" Target="https://vt.tiktok.com/ZSxkKNy8f/" TargetMode="External"/><Relationship Id="rId8072" Type="http://schemas.openxmlformats.org/officeDocument/2006/relationships/hyperlink" Target="https://vt.tiktok.com/ZSxkwcN4T/" TargetMode="External"/><Relationship Id="rId8079" Type="http://schemas.openxmlformats.org/officeDocument/2006/relationships/hyperlink" Target="https://vt.tiktok.com/ZSxHajx72/" TargetMode="External"/><Relationship Id="rId8078" Type="http://schemas.openxmlformats.org/officeDocument/2006/relationships/hyperlink" Target="https://vt.tiktok.com/ZSxyNcHmw/" TargetMode="External"/><Relationship Id="rId8077" Type="http://schemas.openxmlformats.org/officeDocument/2006/relationships/hyperlink" Target="https://vt.tiktok.com/ZSxyNu88Y/" TargetMode="External"/><Relationship Id="rId8076" Type="http://schemas.openxmlformats.org/officeDocument/2006/relationships/hyperlink" Target="https://www.tiktok.com/@Rifdahfirj" TargetMode="External"/><Relationship Id="rId4503" Type="http://schemas.openxmlformats.org/officeDocument/2006/relationships/hyperlink" Target="https://vt.tiktok.com/ZS99JqfEX/" TargetMode="External"/><Relationship Id="rId5835" Type="http://schemas.openxmlformats.org/officeDocument/2006/relationships/hyperlink" Target="https://vt.tiktok.com/ZSxVV4dNS/" TargetMode="External"/><Relationship Id="rId4502" Type="http://schemas.openxmlformats.org/officeDocument/2006/relationships/hyperlink" Target="https://www.tiktok.com/@Taniacahaya92" TargetMode="External"/><Relationship Id="rId5836" Type="http://schemas.openxmlformats.org/officeDocument/2006/relationships/hyperlink" Target="https://vt.tiktok.com/ZSxVVVeqr/" TargetMode="External"/><Relationship Id="rId4505" Type="http://schemas.openxmlformats.org/officeDocument/2006/relationships/hyperlink" Target="https://vt.tiktok.com/ZS99JjcWu/" TargetMode="External"/><Relationship Id="rId5833" Type="http://schemas.openxmlformats.org/officeDocument/2006/relationships/hyperlink" Target="https://www.tiktok.com/@bymiawmi" TargetMode="External"/><Relationship Id="rId4504" Type="http://schemas.openxmlformats.org/officeDocument/2006/relationships/hyperlink" Target="https://vt.tiktok.com/ZS99J1pu7/" TargetMode="External"/><Relationship Id="rId5834" Type="http://schemas.openxmlformats.org/officeDocument/2006/relationships/hyperlink" Target="https://vt.tiktok.com/ZSxp86YH2/" TargetMode="External"/><Relationship Id="rId4507" Type="http://schemas.openxmlformats.org/officeDocument/2006/relationships/hyperlink" Target="https://www.tiktok.com/@nayllaauliaaa" TargetMode="External"/><Relationship Id="rId5839" Type="http://schemas.openxmlformats.org/officeDocument/2006/relationships/hyperlink" Target="https://vt.tiktok.com/ZS9ksB2YF/" TargetMode="External"/><Relationship Id="rId10280" Type="http://schemas.openxmlformats.org/officeDocument/2006/relationships/hyperlink" Target="https://www.tiktok.com/@lelaagustina2" TargetMode="External"/><Relationship Id="rId4506" Type="http://schemas.openxmlformats.org/officeDocument/2006/relationships/hyperlink" Target="https://vt.tiktok.com/ZS99JhoLR/" TargetMode="External"/><Relationship Id="rId10281" Type="http://schemas.openxmlformats.org/officeDocument/2006/relationships/hyperlink" Target="https://www.tiktok.com/@im_n4yyyy" TargetMode="External"/><Relationship Id="rId4509" Type="http://schemas.openxmlformats.org/officeDocument/2006/relationships/hyperlink" Target="https://vt.tiktok.com/ZS9913F5y/" TargetMode="External"/><Relationship Id="rId5837" Type="http://schemas.openxmlformats.org/officeDocument/2006/relationships/hyperlink" Target="https://vt.tiktok.com/ZSxVVQdmG/" TargetMode="External"/><Relationship Id="rId4508" Type="http://schemas.openxmlformats.org/officeDocument/2006/relationships/hyperlink" Target="https://vt.tiktok.com/ZS991Ek4S/" TargetMode="External"/><Relationship Id="rId5838" Type="http://schemas.openxmlformats.org/officeDocument/2006/relationships/hyperlink" Target="https://www.tiktok.com/@kencanahati" TargetMode="External"/><Relationship Id="rId10279" Type="http://schemas.openxmlformats.org/officeDocument/2006/relationships/hyperlink" Target="https://www.tiktok.com/@lylysss6" TargetMode="External"/><Relationship Id="rId10273" Type="http://schemas.openxmlformats.org/officeDocument/2006/relationships/hyperlink" Target="https://www.tiktok.com/@azzdavstore" TargetMode="External"/><Relationship Id="rId10274" Type="http://schemas.openxmlformats.org/officeDocument/2006/relationships/hyperlink" Target="https://www.tiktok.com/@tzy.ana" TargetMode="External"/><Relationship Id="rId10271" Type="http://schemas.openxmlformats.org/officeDocument/2006/relationships/hyperlink" Target="https://www.tiktok.com/@xx.lissvy" TargetMode="External"/><Relationship Id="rId10272" Type="http://schemas.openxmlformats.org/officeDocument/2006/relationships/hyperlink" Target="https://www.tiktok.com/@meivizar_" TargetMode="External"/><Relationship Id="rId5831" Type="http://schemas.openxmlformats.org/officeDocument/2006/relationships/hyperlink" Target="https://vt.tiktok.com/ZS9ksgkeS/" TargetMode="External"/><Relationship Id="rId10277" Type="http://schemas.openxmlformats.org/officeDocument/2006/relationships/hyperlink" Target="https://www.tiktok.com/@lisnawaaa" TargetMode="External"/><Relationship Id="rId5832" Type="http://schemas.openxmlformats.org/officeDocument/2006/relationships/hyperlink" Target="https://vt.tiktok.com/ZS9ksThGa/" TargetMode="External"/><Relationship Id="rId10278" Type="http://schemas.openxmlformats.org/officeDocument/2006/relationships/hyperlink" Target="https://www.tiktok.com/@cookiesscream_anna" TargetMode="External"/><Relationship Id="rId4501" Type="http://schemas.openxmlformats.org/officeDocument/2006/relationships/hyperlink" Target="https://vt.tiktok.com/ZS99JPVgL/" TargetMode="External"/><Relationship Id="rId10275" Type="http://schemas.openxmlformats.org/officeDocument/2006/relationships/hyperlink" Target="https://www.tiktok.com/@ceciliachristine" TargetMode="External"/><Relationship Id="rId4500" Type="http://schemas.openxmlformats.org/officeDocument/2006/relationships/hyperlink" Target="https://vt.tiktok.com/ZS9DjkHwt/" TargetMode="External"/><Relationship Id="rId5830" Type="http://schemas.openxmlformats.org/officeDocument/2006/relationships/hyperlink" Target="https://vt.tiktok.com/ZS9ks4f57/" TargetMode="External"/><Relationship Id="rId10276" Type="http://schemas.openxmlformats.org/officeDocument/2006/relationships/hyperlink" Target="https://www.tiktok.com/@mochy_strawbery" TargetMode="External"/><Relationship Id="rId5824" Type="http://schemas.openxmlformats.org/officeDocument/2006/relationships/hyperlink" Target="https://vt.tiktok.com/ZS9ksB2YF/" TargetMode="External"/><Relationship Id="rId5825" Type="http://schemas.openxmlformats.org/officeDocument/2006/relationships/hyperlink" Target="https://vt.tiktok.com/ZS9ks4f57/" TargetMode="External"/><Relationship Id="rId5822" Type="http://schemas.openxmlformats.org/officeDocument/2006/relationships/hyperlink" Target="https://vt.tiktok.com/ZS9ksThGa/" TargetMode="External"/><Relationship Id="rId5823" Type="http://schemas.openxmlformats.org/officeDocument/2006/relationships/hyperlink" Target="https://www.tiktok.com/@momrayyan27" TargetMode="External"/><Relationship Id="rId5828" Type="http://schemas.openxmlformats.org/officeDocument/2006/relationships/hyperlink" Target="https://www.tiktok.com/@Spill.by.lily" TargetMode="External"/><Relationship Id="rId10291" Type="http://schemas.openxmlformats.org/officeDocument/2006/relationships/hyperlink" Target="https://www.tiktok.com/@sweet_cherry954" TargetMode="External"/><Relationship Id="rId5829" Type="http://schemas.openxmlformats.org/officeDocument/2006/relationships/hyperlink" Target="https://vt.tiktok.com/ZS9ksB2YF/" TargetMode="External"/><Relationship Id="rId10292" Type="http://schemas.openxmlformats.org/officeDocument/2006/relationships/hyperlink" Target="https://www.tiktok.com/@sweet_cherry954/video/7646306678253554965?_r=1&amp;u_code=e11ejbhl7kg9bc&amp;region=&amp;mid=7630188754775197713&amp;preview_pb=0&amp;sharer_language=&amp;_d=0&amp;ec_shared_reflux_dynamic_params=%7B%22placeholder_material_id%22%3A%227646306678253554965%22%2C%22placeholder_origin_cover%22%3A%22https%253A%252F%252Fp16-common-sign.tiktokcdn.com%252Ftos-alisg-p-0037%252Fo0fItYLOBgGVNbEAYwBAeFIzU6gnjNQD4fukRC~tplv-tiktokx-origin.jpeg%253Fdr%253D14572%2526refresh_token%253Db1793212%2526x-expires%253D1812099600%2526x-signature%253DGNK6u4ObNndEuq14aiG5BiXeLE4%25253D%2526t%253D4d5b0474%2526ps%253D13740610%2526shp%253Dd05b14bd%2526shcp%253D34ff8df6%2526idc%253Dmy%2526s%253DTIKTOK_AFFILIATE_VIRAL_VIDEO%22%2C%22placeholder_product_id%22%3A%221729427766722726591%22%2C%22placeholder_video_id%22%3A%227646306678253554965%22%7D&amp;ec_shared_reflux_scene=shop_tab_feed&amp;share_item_id=7646306678253554965&amp;source=h5_t" TargetMode="External"/><Relationship Id="rId5826" Type="http://schemas.openxmlformats.org/officeDocument/2006/relationships/hyperlink" Target="https://vt.tiktok.com/ZS9ksgkeS/" TargetMode="External"/><Relationship Id="rId5827" Type="http://schemas.openxmlformats.org/officeDocument/2006/relationships/hyperlink" Target="https://vt.tiktok.com/ZS9ksThGa/" TargetMode="External"/><Relationship Id="rId10290" Type="http://schemas.openxmlformats.org/officeDocument/2006/relationships/hyperlink" Target="https://www.tiktok.com/@quenbee65" TargetMode="External"/><Relationship Id="rId8097" Type="http://schemas.openxmlformats.org/officeDocument/2006/relationships/hyperlink" Target="https://vt.tiktok.com/ZSxy2xanu/" TargetMode="External"/><Relationship Id="rId8096" Type="http://schemas.openxmlformats.org/officeDocument/2006/relationships/hyperlink" Target="https://www.tiktok.com/@hikari.ella_" TargetMode="External"/><Relationship Id="rId8095" Type="http://schemas.openxmlformats.org/officeDocument/2006/relationships/hyperlink" Target="https://vt.tiktok.com/ZSxH5QEyE/" TargetMode="External"/><Relationship Id="rId8094" Type="http://schemas.openxmlformats.org/officeDocument/2006/relationships/hyperlink" Target="https://vt.tiktok.com/ZSxH5gcLJ/" TargetMode="External"/><Relationship Id="rId8099" Type="http://schemas.openxmlformats.org/officeDocument/2006/relationships/hyperlink" Target="https://vt.tiktok.com/ZSxH5xcnv/" TargetMode="External"/><Relationship Id="rId8098" Type="http://schemas.openxmlformats.org/officeDocument/2006/relationships/hyperlink" Target="https://vt.tiktok.com/ZSxy2M8GP/" TargetMode="External"/><Relationship Id="rId10284" Type="http://schemas.openxmlformats.org/officeDocument/2006/relationships/hyperlink" Target="https://www.tiktok.com/@bintyazz" TargetMode="External"/><Relationship Id="rId10285" Type="http://schemas.openxmlformats.org/officeDocument/2006/relationships/hyperlink" Target="https://www.tiktok.com/@dailyliyaa" TargetMode="External"/><Relationship Id="rId10282" Type="http://schemas.openxmlformats.org/officeDocument/2006/relationships/hyperlink" Target="https://www.tiktok.com/@racun.byalf" TargetMode="External"/><Relationship Id="rId10283" Type="http://schemas.openxmlformats.org/officeDocument/2006/relationships/hyperlink" Target="https://www.tiktok.com/@ansnrhf" TargetMode="External"/><Relationship Id="rId5820" Type="http://schemas.openxmlformats.org/officeDocument/2006/relationships/hyperlink" Target="https://vt.tiktok.com/ZS9ks4f57/" TargetMode="External"/><Relationship Id="rId10288" Type="http://schemas.openxmlformats.org/officeDocument/2006/relationships/hyperlink" Target="https://www.tiktok.com/@trisaarani" TargetMode="External"/><Relationship Id="rId5821" Type="http://schemas.openxmlformats.org/officeDocument/2006/relationships/hyperlink" Target="https://vt.tiktok.com/ZS9ksgkeS/" TargetMode="External"/><Relationship Id="rId10289" Type="http://schemas.openxmlformats.org/officeDocument/2006/relationships/hyperlink" Target="https://www.tiktok.com/@somethinlostt" TargetMode="External"/><Relationship Id="rId10286" Type="http://schemas.openxmlformats.org/officeDocument/2006/relationships/hyperlink" Target="https://www.tiktok.com/@biyyaaaa18" TargetMode="External"/><Relationship Id="rId10287" Type="http://schemas.openxmlformats.org/officeDocument/2006/relationships/hyperlink" Target="https://www.tiktok.com/@erna2906" TargetMode="External"/><Relationship Id="rId9380" Type="http://schemas.openxmlformats.org/officeDocument/2006/relationships/hyperlink" Target="https://www.tiktok.com/@hikmahcamelia8" TargetMode="External"/><Relationship Id="rId8042" Type="http://schemas.openxmlformats.org/officeDocument/2006/relationships/hyperlink" Target="https://vt.tiktok.com/ZSxhRYXP9/" TargetMode="External"/><Relationship Id="rId9374" Type="http://schemas.openxmlformats.org/officeDocument/2006/relationships/hyperlink" Target="https://www.tiktok.com/@ayukarina05" TargetMode="External"/><Relationship Id="rId8041" Type="http://schemas.openxmlformats.org/officeDocument/2006/relationships/hyperlink" Target="https://www.tiktok.com/@Sikffh" TargetMode="External"/><Relationship Id="rId9375" Type="http://schemas.openxmlformats.org/officeDocument/2006/relationships/hyperlink" Target="https://www.tiktok.com/@vioyapio" TargetMode="External"/><Relationship Id="rId8040" Type="http://schemas.openxmlformats.org/officeDocument/2006/relationships/hyperlink" Target="https://vt.tiktok.com/ZSxHaNm6C/" TargetMode="External"/><Relationship Id="rId9376" Type="http://schemas.openxmlformats.org/officeDocument/2006/relationships/hyperlink" Target="https://www.tiktok.com/@wulan.612" TargetMode="External"/><Relationship Id="rId9377" Type="http://schemas.openxmlformats.org/officeDocument/2006/relationships/hyperlink" Target="https://www.tiktok.com/@vanessa.inkspace" TargetMode="External"/><Relationship Id="rId8046" Type="http://schemas.openxmlformats.org/officeDocument/2006/relationships/hyperlink" Target="https://www.tiktok.com/@Nadienyulistiani99" TargetMode="External"/><Relationship Id="rId9370" Type="http://schemas.openxmlformats.org/officeDocument/2006/relationships/hyperlink" Target="https://www.tiktok.com/@naylanayla_yh1" TargetMode="External"/><Relationship Id="rId8045" Type="http://schemas.openxmlformats.org/officeDocument/2006/relationships/hyperlink" Target="https://vt.tiktok.com/ZSxHa18ee/" TargetMode="External"/><Relationship Id="rId9371" Type="http://schemas.openxmlformats.org/officeDocument/2006/relationships/hyperlink" Target="https://www.tiktok.com/@mamaceo21" TargetMode="External"/><Relationship Id="rId8044" Type="http://schemas.openxmlformats.org/officeDocument/2006/relationships/hyperlink" Target="https://vt.tiktok.com/ZSxH5KwrJ/" TargetMode="External"/><Relationship Id="rId9372" Type="http://schemas.openxmlformats.org/officeDocument/2006/relationships/hyperlink" Target="https://www.tiktok.com/@aqilleoo06" TargetMode="External"/><Relationship Id="rId8043" Type="http://schemas.openxmlformats.org/officeDocument/2006/relationships/hyperlink" Target="https://vt.tiktok.com/ZSxhRLJSX/" TargetMode="External"/><Relationship Id="rId9373" Type="http://schemas.openxmlformats.org/officeDocument/2006/relationships/hyperlink" Target="https://www.tiktok.com/@rimaarbi_" TargetMode="External"/><Relationship Id="rId8049" Type="http://schemas.openxmlformats.org/officeDocument/2006/relationships/hyperlink" Target="https://vt.tiktok.com/ZSxH5v2a5/" TargetMode="External"/><Relationship Id="rId8048" Type="http://schemas.openxmlformats.org/officeDocument/2006/relationships/hyperlink" Target="https://vt.tiktok.com/ZSxhd37MK/" TargetMode="External"/><Relationship Id="rId8047" Type="http://schemas.openxmlformats.org/officeDocument/2006/relationships/hyperlink" Target="https://vt.tiktok.com/ZSxhdcyTF/" TargetMode="External"/><Relationship Id="rId9378" Type="http://schemas.openxmlformats.org/officeDocument/2006/relationships/hyperlink" Target="https://www.tiktok.com/@ririhutapea" TargetMode="External"/><Relationship Id="rId9379" Type="http://schemas.openxmlformats.org/officeDocument/2006/relationships/hyperlink" Target="https://www.tiktok.com/@gallerymutie" TargetMode="External"/><Relationship Id="rId8031" Type="http://schemas.openxmlformats.org/officeDocument/2006/relationships/hyperlink" Target="https://www.tiktok.com/@megamardasari" TargetMode="External"/><Relationship Id="rId9363" Type="http://schemas.openxmlformats.org/officeDocument/2006/relationships/hyperlink" Target="https://www.tiktok.com/@Lindapurnama.s" TargetMode="External"/><Relationship Id="rId8030" Type="http://schemas.openxmlformats.org/officeDocument/2006/relationships/hyperlink" Target="https://vt.tiktok.com/ZSxH5o2jm/" TargetMode="External"/><Relationship Id="rId9364" Type="http://schemas.openxmlformats.org/officeDocument/2006/relationships/hyperlink" Target="https://www.tiktok.com/@yurialendaaa" TargetMode="External"/><Relationship Id="rId9365" Type="http://schemas.openxmlformats.org/officeDocument/2006/relationships/hyperlink" Target="https://www.tiktok.com/@indriminyo" TargetMode="External"/><Relationship Id="rId9366" Type="http://schemas.openxmlformats.org/officeDocument/2006/relationships/hyperlink" Target="https://www.tiktok.com/@queenvictorique" TargetMode="External"/><Relationship Id="rId8035" Type="http://schemas.openxmlformats.org/officeDocument/2006/relationships/hyperlink" Target="https://vt.tiktok.com/ZSxHaMdK3/" TargetMode="External"/><Relationship Id="rId8034" Type="http://schemas.openxmlformats.org/officeDocument/2006/relationships/hyperlink" Target="https://vt.tiktok.com/ZSxHaJM2s/" TargetMode="External"/><Relationship Id="rId9360" Type="http://schemas.openxmlformats.org/officeDocument/2006/relationships/hyperlink" Target="https://vt.tiktok.com/ZSxH1BvWM/" TargetMode="External"/><Relationship Id="rId8033" Type="http://schemas.openxmlformats.org/officeDocument/2006/relationships/hyperlink" Target="https://vt.tiktok.com/ZSxhd35dw/" TargetMode="External"/><Relationship Id="rId9361" Type="http://schemas.openxmlformats.org/officeDocument/2006/relationships/hyperlink" Target="https://vt.tiktok.com/ZSxH1Men5/" TargetMode="External"/><Relationship Id="rId8032" Type="http://schemas.openxmlformats.org/officeDocument/2006/relationships/hyperlink" Target="https://vt.tiktok.com/ZSxhR2HAv/" TargetMode="External"/><Relationship Id="rId9362" Type="http://schemas.openxmlformats.org/officeDocument/2006/relationships/hyperlink" Target="https://vt.tiktok.com/ZSxH1h1MK/" TargetMode="External"/><Relationship Id="rId8039" Type="http://schemas.openxmlformats.org/officeDocument/2006/relationships/hyperlink" Target="https://vt.tiktok.com/ZSxH5cNfS/" TargetMode="External"/><Relationship Id="rId8038" Type="http://schemas.openxmlformats.org/officeDocument/2006/relationships/hyperlink" Target="https://vt.tiktok.com/ZSxhRLKLv/" TargetMode="External"/><Relationship Id="rId8037" Type="http://schemas.openxmlformats.org/officeDocument/2006/relationships/hyperlink" Target="https://vt.tiktok.com/ZSxhRNKvs/" TargetMode="External"/><Relationship Id="rId8036" Type="http://schemas.openxmlformats.org/officeDocument/2006/relationships/hyperlink" Target="https://www.tiktok.com/@R_riska3" TargetMode="External"/><Relationship Id="rId9367" Type="http://schemas.openxmlformats.org/officeDocument/2006/relationships/hyperlink" Target="https://www.tiktok.com/@deabeautyy" TargetMode="External"/><Relationship Id="rId9368" Type="http://schemas.openxmlformats.org/officeDocument/2006/relationships/hyperlink" Target="https://www.tiktok.com/@keyrena.yuki" TargetMode="External"/><Relationship Id="rId9369" Type="http://schemas.openxmlformats.org/officeDocument/2006/relationships/hyperlink" Target="https://www.tiktok.com/@keyrena.yuki/video/7611018815031282964" TargetMode="External"/><Relationship Id="rId8071" Type="http://schemas.openxmlformats.org/officeDocument/2006/relationships/hyperlink" Target="https://www.tiktok.com/@winaseptiani_24" TargetMode="External"/><Relationship Id="rId8070" Type="http://schemas.openxmlformats.org/officeDocument/2006/relationships/hyperlink" Target="https://vt.tiktok.com/ZSxHa8ApF/" TargetMode="External"/><Relationship Id="rId8064" Type="http://schemas.openxmlformats.org/officeDocument/2006/relationships/hyperlink" Target="https://vt.tiktok.com/ZSxH5wMax/" TargetMode="External"/><Relationship Id="rId9396" Type="http://schemas.openxmlformats.org/officeDocument/2006/relationships/hyperlink" Target="https://vt.tiktok.com/ZSxyAbQhe/" TargetMode="External"/><Relationship Id="rId8063" Type="http://schemas.openxmlformats.org/officeDocument/2006/relationships/hyperlink" Target="https://vt.tiktok.com/ZSxkwmXmH/" TargetMode="External"/><Relationship Id="rId9397" Type="http://schemas.openxmlformats.org/officeDocument/2006/relationships/hyperlink" Target="https://vt.tiktok.com/ZSxyAHpv9/" TargetMode="External"/><Relationship Id="rId8062" Type="http://schemas.openxmlformats.org/officeDocument/2006/relationships/hyperlink" Target="https://vt.tiktok.com/ZSxkwQdMm/" TargetMode="External"/><Relationship Id="rId9398" Type="http://schemas.openxmlformats.org/officeDocument/2006/relationships/hyperlink" Target="https://www.tiktok.com/@Desiameliaku30" TargetMode="External"/><Relationship Id="rId8061" Type="http://schemas.openxmlformats.org/officeDocument/2006/relationships/hyperlink" Target="https://www.tiktok.com/@Klikszaa22" TargetMode="External"/><Relationship Id="rId9399" Type="http://schemas.openxmlformats.org/officeDocument/2006/relationships/hyperlink" Target="https://vt.tiktok.com/ZS9oQnBrj/" TargetMode="External"/><Relationship Id="rId8068" Type="http://schemas.openxmlformats.org/officeDocument/2006/relationships/hyperlink" Target="https://vt.tiktok.com/ZSxkwnsVu/" TargetMode="External"/><Relationship Id="rId9392" Type="http://schemas.openxmlformats.org/officeDocument/2006/relationships/hyperlink" Target="https://www.tiktok.com/@anitanovita2" TargetMode="External"/><Relationship Id="rId8067" Type="http://schemas.openxmlformats.org/officeDocument/2006/relationships/hyperlink" Target="https://vt.tiktok.com/ZSxkwqg95/" TargetMode="External"/><Relationship Id="rId9393" Type="http://schemas.openxmlformats.org/officeDocument/2006/relationships/hyperlink" Target="https://www.tiktok.com/@glowdaily27_" TargetMode="External"/><Relationship Id="rId8066" Type="http://schemas.openxmlformats.org/officeDocument/2006/relationships/hyperlink" Target="https://www.tiktok.com/@vanyasatuu" TargetMode="External"/><Relationship Id="rId9394" Type="http://schemas.openxmlformats.org/officeDocument/2006/relationships/hyperlink" Target="https://vt.tiktok.com/ZSxyAHpv9/" TargetMode="External"/><Relationship Id="rId8065" Type="http://schemas.openxmlformats.org/officeDocument/2006/relationships/hyperlink" Target="https://vt.tiktok.com/ZSxH5TFfk/" TargetMode="External"/><Relationship Id="rId9395" Type="http://schemas.openxmlformats.org/officeDocument/2006/relationships/hyperlink" Target="https://vt.tiktok.com/ZSxyAbQhe/" TargetMode="External"/><Relationship Id="rId8069" Type="http://schemas.openxmlformats.org/officeDocument/2006/relationships/hyperlink" Target="https://vt.tiktok.com/ZSxHajme1/" TargetMode="External"/><Relationship Id="rId9390" Type="http://schemas.openxmlformats.org/officeDocument/2006/relationships/hyperlink" Target="https://www.tiktok.com/@suci_lidiana" TargetMode="External"/><Relationship Id="rId9391" Type="http://schemas.openxmlformats.org/officeDocument/2006/relationships/hyperlink" Target="https://www.tiktok.com/@arfancakeshop" TargetMode="External"/><Relationship Id="rId8060" Type="http://schemas.openxmlformats.org/officeDocument/2006/relationships/hyperlink" Target="https://vt.tiktok.com/ZSxHaNG2B/" TargetMode="External"/><Relationship Id="rId8053" Type="http://schemas.openxmlformats.org/officeDocument/2006/relationships/hyperlink" Target="https://vt.tiktok.com/ZSxhRySxD/" TargetMode="External"/><Relationship Id="rId9385" Type="http://schemas.openxmlformats.org/officeDocument/2006/relationships/hyperlink" Target="https://www.tiktok.com/@vnaamel" TargetMode="External"/><Relationship Id="rId8052" Type="http://schemas.openxmlformats.org/officeDocument/2006/relationships/hyperlink" Target="https://vt.tiktok.com/ZSxhRU24S/" TargetMode="External"/><Relationship Id="rId9386" Type="http://schemas.openxmlformats.org/officeDocument/2006/relationships/hyperlink" Target="https://www.tiktok.com/@herigungun" TargetMode="External"/><Relationship Id="rId8051" Type="http://schemas.openxmlformats.org/officeDocument/2006/relationships/hyperlink" Target="https://www.tiktok.com/@by.asviaaa" TargetMode="External"/><Relationship Id="rId9387" Type="http://schemas.openxmlformats.org/officeDocument/2006/relationships/hyperlink" Target="https://www.tiktok.com/@zelovelin" TargetMode="External"/><Relationship Id="rId8050" Type="http://schemas.openxmlformats.org/officeDocument/2006/relationships/hyperlink" Target="https://vt.tiktok.com/ZSxHaYjWQ/" TargetMode="External"/><Relationship Id="rId9388" Type="http://schemas.openxmlformats.org/officeDocument/2006/relationships/hyperlink" Target="https://www.tiktok.com/@asti94_08" TargetMode="External"/><Relationship Id="rId8057" Type="http://schemas.openxmlformats.org/officeDocument/2006/relationships/hyperlink" Target="https://vt.tiktok.com/ZSxkwPP7H/" TargetMode="External"/><Relationship Id="rId9381" Type="http://schemas.openxmlformats.org/officeDocument/2006/relationships/hyperlink" Target="https://www.tiktok.com/@jakfarshodik14" TargetMode="External"/><Relationship Id="rId8056" Type="http://schemas.openxmlformats.org/officeDocument/2006/relationships/hyperlink" Target="https://www.tiktok.com/@nurulaini280902" TargetMode="External"/><Relationship Id="rId9382" Type="http://schemas.openxmlformats.org/officeDocument/2006/relationships/hyperlink" Target="https://www.tiktok.com/@tips.skincare_16" TargetMode="External"/><Relationship Id="rId8055" Type="http://schemas.openxmlformats.org/officeDocument/2006/relationships/hyperlink" Target="https://vt.tiktok.com/ZSxH5wHPB/" TargetMode="External"/><Relationship Id="rId9383" Type="http://schemas.openxmlformats.org/officeDocument/2006/relationships/hyperlink" Target="https://www.tiktok.com/@idahizanfaiz" TargetMode="External"/><Relationship Id="rId8054" Type="http://schemas.openxmlformats.org/officeDocument/2006/relationships/hyperlink" Target="https://vt.tiktok.com/ZSxHa2FVw/" TargetMode="External"/><Relationship Id="rId9384" Type="http://schemas.openxmlformats.org/officeDocument/2006/relationships/hyperlink" Target="https://www.tiktok.com/@tii1365" TargetMode="External"/><Relationship Id="rId8059" Type="http://schemas.openxmlformats.org/officeDocument/2006/relationships/hyperlink" Target="https://vt.tiktok.com/ZSxH5W6r2/" TargetMode="External"/><Relationship Id="rId8058" Type="http://schemas.openxmlformats.org/officeDocument/2006/relationships/hyperlink" Target="https://vt.tiktok.com/ZSxkw53mD/" TargetMode="External"/><Relationship Id="rId9389" Type="http://schemas.openxmlformats.org/officeDocument/2006/relationships/hyperlink" Target="https://www.tiktok.com/@tamara_geraldinee" TargetMode="External"/><Relationship Id="rId3238" Type="http://schemas.openxmlformats.org/officeDocument/2006/relationships/hyperlink" Target="https://www.tiktok.com/@nursidah54" TargetMode="External"/><Relationship Id="rId4569" Type="http://schemas.openxmlformats.org/officeDocument/2006/relationships/hyperlink" Target="https://www.tiktok.com/@salsasav" TargetMode="External"/><Relationship Id="rId3237" Type="http://schemas.openxmlformats.org/officeDocument/2006/relationships/hyperlink" Target="https://vt.tiktok.com/ZS92Fhmm8/" TargetMode="External"/><Relationship Id="rId4568" Type="http://schemas.openxmlformats.org/officeDocument/2006/relationships/hyperlink" Target="https://vt.tiktok.com/ZS9QfND8q/" TargetMode="External"/><Relationship Id="rId5899" Type="http://schemas.openxmlformats.org/officeDocument/2006/relationships/hyperlink" Target="https://vt.tiktok.com/ZS9uqsYvH/" TargetMode="External"/><Relationship Id="rId3239" Type="http://schemas.openxmlformats.org/officeDocument/2006/relationships/hyperlink" Target="https://vt.tiktok.com/ZS98oCu66/" TargetMode="External"/><Relationship Id="rId10215" Type="http://schemas.openxmlformats.org/officeDocument/2006/relationships/hyperlink" Target="https://www.tiktok.com/@kharinaya_putri25" TargetMode="External"/><Relationship Id="rId10216" Type="http://schemas.openxmlformats.org/officeDocument/2006/relationships/hyperlink" Target="https://www.tiktok.com/@ul.aull" TargetMode="External"/><Relationship Id="rId10213" Type="http://schemas.openxmlformats.org/officeDocument/2006/relationships/hyperlink" Target="https://www.tiktok.com/@ndcuuu" TargetMode="External"/><Relationship Id="rId10214" Type="http://schemas.openxmlformats.org/officeDocument/2006/relationships/hyperlink" Target="https://www.tiktok.com/@no0thinggs" TargetMode="External"/><Relationship Id="rId10219" Type="http://schemas.openxmlformats.org/officeDocument/2006/relationships/hyperlink" Target="https://www.tiktok.com/@secuil_sweetly" TargetMode="External"/><Relationship Id="rId5890" Type="http://schemas.openxmlformats.org/officeDocument/2006/relationships/hyperlink" Target="https://vt.tiktok.com/ZS9ks4f57/" TargetMode="External"/><Relationship Id="rId10217" Type="http://schemas.openxmlformats.org/officeDocument/2006/relationships/hyperlink" Target="https://www.tiktok.com/@velipppp" TargetMode="External"/><Relationship Id="rId10218" Type="http://schemas.openxmlformats.org/officeDocument/2006/relationships/hyperlink" Target="https://www.tiktok.com/@ayiescy" TargetMode="External"/><Relationship Id="rId3230" Type="http://schemas.openxmlformats.org/officeDocument/2006/relationships/hyperlink" Target="https://www.tiktok.com/@sekarsembadra" TargetMode="External"/><Relationship Id="rId4561" Type="http://schemas.openxmlformats.org/officeDocument/2006/relationships/hyperlink" Target="https://vt.tiktok.com/ZS9QfLd9G/" TargetMode="External"/><Relationship Id="rId5893" Type="http://schemas.openxmlformats.org/officeDocument/2006/relationships/hyperlink" Target="https://www.tiktok.com/@usrabinaya" TargetMode="External"/><Relationship Id="rId4560" Type="http://schemas.openxmlformats.org/officeDocument/2006/relationships/hyperlink" Target="https://vt.tiktok.com/ZS9Qf8CgV/" TargetMode="External"/><Relationship Id="rId5894" Type="http://schemas.openxmlformats.org/officeDocument/2006/relationships/hyperlink" Target="https://vt.tiktok.com/ZS9ksB2YF/" TargetMode="External"/><Relationship Id="rId3232" Type="http://schemas.openxmlformats.org/officeDocument/2006/relationships/hyperlink" Target="https://www.tiktok.com/@ginafathonah_/video/7637519671436119316?_r=1&amp;u_code=dlhe22ikkib396&amp;region=&amp;mid=7634506985177762580&amp;preview_pb=0&amp;sharer_language=&amp;_d=0&amp;ec_shared_reflux_dynamic_params=%7B%22placeholder_material_id%22%3A%227637519671436119316%22%2C%22placeholder_origin_cover%22%3A%22https%253A%252F%252Fp16-common-sign.tiktokcdn.com%252Ftos-alisg-p-0037%252FowAB9itVrfG7B6HFIv0A3RC2wuiqA7HIE0vXIw~tplv-tiktokx-origin.jpeg%253Fdr%253D14572%2526refresh_token%253D2a300ebc%2526x-expires%253D1810198800%2526x-signature%253DWF2bjmV6kreNqw5TGcIzQy5GIIo%25253D%2526t%253D4d5b0474%2526ps%253D13740610%2526shp%253Dd05b14bd%2526shcp%253D34ff8df6%2526idc%253Dmy2%2526s%253DTIKTOK_AFFILIATE_VIRAL_VIDEO%22%2C%22placeholder_product_id%22%3A%221729427766722726591%22%2C%22placeholder_video_id%22%3A%227637519671436119316%22%7D&amp;ec_shared_reflux_scene=shop_tab_feed&amp;share_item_id=7637519671436119316&amp;source=h5_t" TargetMode="External"/><Relationship Id="rId4563" Type="http://schemas.openxmlformats.org/officeDocument/2006/relationships/hyperlink" Target="https://vt.tiktok.com/ZS9QfND8q/" TargetMode="External"/><Relationship Id="rId5891" Type="http://schemas.openxmlformats.org/officeDocument/2006/relationships/hyperlink" Target="https://vt.tiktok.com/ZS9ksgkeS/" TargetMode="External"/><Relationship Id="rId3231" Type="http://schemas.openxmlformats.org/officeDocument/2006/relationships/hyperlink" Target="https://www.tiktok.com/@sekarsembadra/video/7630674095813987592" TargetMode="External"/><Relationship Id="rId4562" Type="http://schemas.openxmlformats.org/officeDocument/2006/relationships/hyperlink" Target="https://vt.tiktok.com/ZS9Qywtw3/" TargetMode="External"/><Relationship Id="rId5892" Type="http://schemas.openxmlformats.org/officeDocument/2006/relationships/hyperlink" Target="https://vt.tiktok.com/ZS9ksThGa/" TargetMode="External"/><Relationship Id="rId3234" Type="http://schemas.openxmlformats.org/officeDocument/2006/relationships/hyperlink" Target="https://www.tiktok.com/@ginafathonah_/video/7637318388313771285?_r=1&amp;u_code=dlhe22ikkib396&amp;region=&amp;mid=7591327568393980693&amp;preview_pb=0&amp;sharer_language=&amp;_d=0&amp;ec_shared_reflux_dynamic_params=%7B%22placeholder_material_id%22%3A%227637318388313771285%22%2C%22placeholder_origin_cover%22%3A%22https%253A%252F%252Fp16-common-sign.tiktokcdn.com%252Ftos-alisg-p-0037%252FoED88EwCRQafkFsIY4zfXVfUqDsCCjAq6TQTAD~tplv-tiktokx-origin.jpeg%253Fdr%253D14572%2526refresh_token%253D947d640f%2526x-expires%253D1810198800%2526x-signature%253Dqp9OcUHvxZilY5l4pr1Wp%25252FzHaKo%25253D%2526t%253D4d5b0474%2526ps%253D13740610%2526shp%253Dd05b14bd%2526shcp%253D34ff8df6%2526idc%253Dmy2%2526s%253DTIKTOK_AFFILIATE_VIRAL_VIDEO%22%2C%22placeholder_product_id%22%3A%221729427766722726591%22%2C%22placeholder_video_id%22%3A%227637318388313771285%22%7D&amp;ec_shared_reflux_scene=shop_tab_feed&amp;share_item_id=7637318388313771285&amp;source=h5_t" TargetMode="External"/><Relationship Id="rId4565" Type="http://schemas.openxmlformats.org/officeDocument/2006/relationships/hyperlink" Target="https://vt.tiktok.com/ZS9Qf8CgV/" TargetMode="External"/><Relationship Id="rId5897" Type="http://schemas.openxmlformats.org/officeDocument/2006/relationships/hyperlink" Target="https://vt.tiktok.com/ZS9ksThGa/" TargetMode="External"/><Relationship Id="rId10211" Type="http://schemas.openxmlformats.org/officeDocument/2006/relationships/hyperlink" Target="https://www.tiktok.com/@chafastore_" TargetMode="External"/><Relationship Id="rId3233" Type="http://schemas.openxmlformats.org/officeDocument/2006/relationships/hyperlink" Target="https://www.tiktok.com/@ginafathonah_/video/7637365716689145109?_r=1&amp;u_code=dlhe22ikkib396&amp;region=&amp;mid=7633055415429778194&amp;preview_pb=0&amp;sharer_language=&amp;_d=0&amp;ec_shared_reflux_dynamic_params=%7B%22placeholder_material_id%22%3A%227637365716689145109%22%2C%22placeholder_origin_cover%22%3A%22https%253A%252F%252Fp19-common-sign.tiktokcdn.com%252Ftos-alisg-p-0037%252FoU0vIBuI2CS1EbBkA9winf7iIPXq0riAuAc09A~tplv-tiktokx-origin.jpeg%253Fdr%253D14572%2526refresh_token%253Df1a60735%2526x-expires%253D1810198800%2526x-signature%253D1SOVxA7bjOL4WhCWADsUw%25252BnCASs%25253D%2526t%253D4d5b0474%2526ps%253D13740610%2526shp%253Dd05b14bd%2526shcp%253D34ff8df6%2526idc%253Dmy2%2526s%253DTIKTOK_AFFILIATE_VIRAL_VIDEO%22%2C%22placeholder_product_id%22%3A%221729427766722726591%22%2C%22placeholder_video_id%22%3A%227637365716689145109%22%7D&amp;ec_shared_reflux_scene=shop_tab_feed&amp;share_item_id=7637365716689145109&amp;source=h5_t" TargetMode="External"/><Relationship Id="rId4564" Type="http://schemas.openxmlformats.org/officeDocument/2006/relationships/hyperlink" Target="https://www.tiktok.com/@srinurgianti" TargetMode="External"/><Relationship Id="rId5898" Type="http://schemas.openxmlformats.org/officeDocument/2006/relationships/hyperlink" Target="https://www.tiktok.com/@arini_ap6" TargetMode="External"/><Relationship Id="rId10212" Type="http://schemas.openxmlformats.org/officeDocument/2006/relationships/hyperlink" Target="https://www.tiktok.com/@madam.frimey" TargetMode="External"/><Relationship Id="rId3236" Type="http://schemas.openxmlformats.org/officeDocument/2006/relationships/hyperlink" Target="https://vt.tiktok.com/ZS92FfvRR/" TargetMode="External"/><Relationship Id="rId4567" Type="http://schemas.openxmlformats.org/officeDocument/2006/relationships/hyperlink" Target="https://vt.tiktok.com/ZS9Qywtw3/" TargetMode="External"/><Relationship Id="rId5895" Type="http://schemas.openxmlformats.org/officeDocument/2006/relationships/hyperlink" Target="https://vt.tiktok.com/ZS9ks4f57/" TargetMode="External"/><Relationship Id="rId3235" Type="http://schemas.openxmlformats.org/officeDocument/2006/relationships/hyperlink" Target="https://www.tiktok.com/@kimoy59" TargetMode="External"/><Relationship Id="rId4566" Type="http://schemas.openxmlformats.org/officeDocument/2006/relationships/hyperlink" Target="https://vt.tiktok.com/ZS9QfLd9G/" TargetMode="External"/><Relationship Id="rId5896" Type="http://schemas.openxmlformats.org/officeDocument/2006/relationships/hyperlink" Target="https://vt.tiktok.com/ZS9ksgkeS/" TargetMode="External"/><Relationship Id="rId10210" Type="http://schemas.openxmlformats.org/officeDocument/2006/relationships/hyperlink" Target="https://www.tiktok.com/@pristarisd" TargetMode="External"/><Relationship Id="rId3227" Type="http://schemas.openxmlformats.org/officeDocument/2006/relationships/hyperlink" Target="https://vt.tiktok.com/ZS9NP6s5p/" TargetMode="External"/><Relationship Id="rId4558" Type="http://schemas.openxmlformats.org/officeDocument/2006/relationships/hyperlink" Target="https://vt.tiktok.com/ZSxHeUoaY/" TargetMode="External"/><Relationship Id="rId3226" Type="http://schemas.openxmlformats.org/officeDocument/2006/relationships/hyperlink" Target="https://vt.tiktok.com/ZS9NPhpSh/" TargetMode="External"/><Relationship Id="rId4557" Type="http://schemas.openxmlformats.org/officeDocument/2006/relationships/hyperlink" Target="https://vt.tiktok.com/ZSxHeNuxL/" TargetMode="External"/><Relationship Id="rId3229" Type="http://schemas.openxmlformats.org/officeDocument/2006/relationships/hyperlink" Target="https://www.tiktok.com/@ginafathonah_/video/7637519035340524821?_r=1&amp;u_code=dlhe22ikkib396&amp;region=&amp;mid=7626251131778583316&amp;preview_pb=0&amp;sharer_language=&amp;_d=0&amp;ec_shared_reflux_dynamic_params=%7B%22placeholder_material_id%22%3A%227637519035340524821%22%2C%22placeholder_origin_cover%22%3A%22https%253A%252F%252Fp16-common-sign.tiktokcdn.com%252Ftos-alisg-p-0037%252FogIm90uCOA39twI34NIA3iiAq6BNifAHFPWmyu~tplv-tiktokx-origin.jpeg%253Fdr%253D14572%2526refresh_token%253D46e63527%2526x-expires%253D1810198800%2526x-signature%253Dsketl0x1rZ97nhJTonmD8MJzXBQ%25253D%2526t%253D4d5b0474%2526ps%253D13740610%2526shp%253Dd05b14bd%2526shcp%253D34ff8df6%2526idc%253Dmy2%2526s%253DTIKTOK_AFFILIATE_VIRAL_VIDEO%22%2C%22placeholder_product_id%22%3A%221729427766722726591%22%2C%22placeholder_video_id%22%3A%227637519035340524821%22%7D&amp;ec_shared_reflux_scene=shop_tab_feed&amp;share_item_id=7637519035340524821&amp;source=h5_t" TargetMode="External"/><Relationship Id="rId5888" Type="http://schemas.openxmlformats.org/officeDocument/2006/relationships/hyperlink" Target="https://www.tiktok.com/@sis.915" TargetMode="External"/><Relationship Id="rId3228" Type="http://schemas.openxmlformats.org/officeDocument/2006/relationships/hyperlink" Target="https://www.tiktok.com/@ginafathonah_/video/7637520629482245397?_r=1&amp;u_code=dlhe22ikkib396&amp;region=&amp;mid=7615701288128318226&amp;preview_pb=0&amp;sharer_language=&amp;_d=0&amp;ec_shared_reflux_dynamic_params=%7B%22placeholder_material_id%22%3A%227637520629482245397%22%2C%22placeholder_origin_cover%22%3A%22https%253A%252F%252Fp16-common-sign.tiktokcdn.com%252Ftos-alisg-p-0037%252FoAdzT2BvIiArI5AfmBiuI7CkAz3UvIM908JLwl~tplv-tiktokx-origin.jpeg%253Fdr%253D14572%2526refresh_token%253Daaa5977e%2526x-expires%253D1810198800%2526x-signature%253DQQLkRjada7Kd0MmsfbNOhltjdUw%25253D%2526t%253D4d5b0474%2526ps%253D13740610%2526shp%253Dd05b14bd%2526shcp%253D34ff8df6%2526idc%253Dmy2%2526s%253DTIKTOK_AFFILIATE_VIRAL_VIDEO%22%2C%22placeholder_product_id%22%3A%221729427766722726591%22%2C%22placeholder_video_id%22%3A%227637520629482245397%22%7D&amp;ec_shared_reflux_scene=shop_tab_feed&amp;share_item_id=7637520629482245397&amp;source=h5_t" TargetMode="External"/><Relationship Id="rId4559" Type="http://schemas.openxmlformats.org/officeDocument/2006/relationships/hyperlink" Target="https://www.tiktok.com/@salsaamelll_" TargetMode="External"/><Relationship Id="rId5889" Type="http://schemas.openxmlformats.org/officeDocument/2006/relationships/hyperlink" Target="https://vt.tiktok.com/ZS9ksB2YF/" TargetMode="External"/><Relationship Id="rId10226" Type="http://schemas.openxmlformats.org/officeDocument/2006/relationships/hyperlink" Target="https://www.tiktok.com/@millym82" TargetMode="External"/><Relationship Id="rId10227" Type="http://schemas.openxmlformats.org/officeDocument/2006/relationships/hyperlink" Target="https://www.tiktok.com/@siminiii_" TargetMode="External"/><Relationship Id="rId10224" Type="http://schemas.openxmlformats.org/officeDocument/2006/relationships/hyperlink" Target="https://www.tiktok.com/@tatas_aja" TargetMode="External"/><Relationship Id="rId10225" Type="http://schemas.openxmlformats.org/officeDocument/2006/relationships/hyperlink" Target="https://www.tiktok.com/@disut_" TargetMode="External"/><Relationship Id="rId10228" Type="http://schemas.openxmlformats.org/officeDocument/2006/relationships/hyperlink" Target="https://www.tiktok.com/@violinajasronadi18" TargetMode="External"/><Relationship Id="rId10229" Type="http://schemas.openxmlformats.org/officeDocument/2006/relationships/hyperlink" Target="https://www.tiktok.com/@mirnabungar" TargetMode="External"/><Relationship Id="rId4550" Type="http://schemas.openxmlformats.org/officeDocument/2006/relationships/hyperlink" Target="https://www.tiktok.com/@samrotulainiyah/video/7631907736367811861?_r=1&amp;u_code=5bf2dhgcc9d7g&amp;region=&amp;mid=6848569063996803841&amp;preview_pb=0&amp;sharer_language=&amp;_d=0&amp;ec_shared_reflux_dynamic_params=%7B%22placeholder_material_id%22%3A%227631907736367811861%22%2C%22placeholder_origin_cover%22%3A%22https%253A%252F%252Fp16-common-sign.tiktokcdn.com%252Ftos-alisg-p-0037%252FoMfT2LjXI5D0wTQE6eFnBQp6DGklQACnfBCoSA~tplv-tiktokx-origin.jpeg%253Fdr%253D14572%2526refresh_token%253D5fac3251%2526x-expires%253D1808992800%2526x-signature%253DmZjhOglCTtb%25252BO6seypAv1FHvhvo%25253D%2526t%253D4d5b0474%2526ps%253D13740610%2526shp%253Dd05b14bd%2526shcp%253D34ff8df6%2526idc%253Dmy2%2526s%253DTIKTOK_AFFILIATE_VIRAL_VIDEO%22%2C%22placeholder_product_id%22%3A%221729427766722726591%22%2C%22placeholder_video_id%22%3A%227631907736367811861%22%7D&amp;ec_shared_reflux_scene=shop_tab_feed&amp;share_item_id=7631907736367811861&amp;source=h5_t" TargetMode="External"/><Relationship Id="rId5882" Type="http://schemas.openxmlformats.org/officeDocument/2006/relationships/hyperlink" Target="https://vt.tiktok.com/ZS9ksThGa/" TargetMode="External"/><Relationship Id="rId5883" Type="http://schemas.openxmlformats.org/officeDocument/2006/relationships/hyperlink" Target="https://www.tiktok.com/@jasminee2301" TargetMode="External"/><Relationship Id="rId3221" Type="http://schemas.openxmlformats.org/officeDocument/2006/relationships/hyperlink" Target="https://www.tiktok.com/@glowar7/video/7629145343665425685?_r=1&amp;u_code=egk8hf6dccc1f4&amp;region=&amp;mid=7629145374494313234&amp;preview_pb=0&amp;sharer_language=&amp;_d=0&amp;ec_shared_reflux_dynamic_params=%7B%22placeholder_material_id%22%3A%227629145343665425685%22%2C%22placeholder_origin_cover%22%3A%22https%253A%252F%252Fp16-sign-sg.tiktokcdn.com%252Ftos-alisg-p-0037%252Fo8ADgLqbZwo0GKVpjexCF9I4AoIkDfegLTEjgY~tplv-tiktokx-origin.jpeg%253Fdr%253D14572%2526refresh_token%253D2ef051a2%2526x-expires%253D1808204400%2526x-signature%253DOzI2rAerQ6Y42DTcMHa54Mv4mdI%25253D%2526t%253D4d5b0474%2526ps%253D13740610%2526shp%253Dd05b14bd%2526shcp%253D34ff8df6%2526idc%253Dmy3%2526s%253DTIKTOK_AFFILIATE_VIRAL_VIDEO%22%2C%22placeholder_product_id%22%3A%221729427766722726591%22%2C%22placeholder_video_id%22%3A%227629145343665425685%22%7D&amp;ec_shared_reflux_scene=shop_tab_feed&amp;share_item_id=7629145343665425685&amp;source=h5_t" TargetMode="External"/><Relationship Id="rId4552" Type="http://schemas.openxmlformats.org/officeDocument/2006/relationships/hyperlink" Target="https://www.tiktok.com/@samrotulainiyah/video/7637863393059261716?_r=1&amp;u_code=5bf2dhgcc9d7g&amp;region=&amp;mid=7637863419672775425&amp;preview_pb=0&amp;sharer_language=&amp;_d=0&amp;ec_shared_reflux_dynamic_params=%7B%22placeholder_material_id%22%3A%227637863393059261716%22%2C%22placeholder_origin_cover%22%3A%22https%253A%252F%252Fp16-common-sign.tiktokcdn.com%252Ftos-alisg-p-0037%252Fokrnf1FIgQwPFwCMIJPifMFKfgiog9l8AAeXfN~tplv-tiktokx-origin.jpeg%253Fdr%253D14572%2526refresh_token%253D035b03f8%2526x-expires%253D1810195200%2526x-signature%253DsvUsyhVCof8GEmQf8qTCP%25252BBo9oc%25253D%2526t%253D4d5b0474%2526ps%253D13740610%2526shp%253Dd05b14bd%2526shcp%253D34ff8df6%2526idc%253Dmy2%2526s%253DTIKTOK_AFFILIATE_VIRAL_VIDEO%22%2C%22placeholder_product_id%22%3A%221729427766722726591%22%2C%22placeholder_video_id%22%3A%227637863393059261716%22%7D&amp;ec_shared_reflux_scene=shop_tab_feed&amp;share_item_id=7637863393059261716&amp;source=h5_t" TargetMode="External"/><Relationship Id="rId5880" Type="http://schemas.openxmlformats.org/officeDocument/2006/relationships/hyperlink" Target="https://vt.tiktok.com/ZS9ks4f57/" TargetMode="External"/><Relationship Id="rId3220" Type="http://schemas.openxmlformats.org/officeDocument/2006/relationships/hyperlink" Target="https://www.tiktok.com/@glowar7" TargetMode="External"/><Relationship Id="rId4551" Type="http://schemas.openxmlformats.org/officeDocument/2006/relationships/hyperlink" Target="https://www.tiktok.com/@samrotulainiyah/video/7632922346277408020?_r=1&amp;u_code=5bf2dhgcc9d7g&amp;region=&amp;mid=7358865537904708358&amp;preview_pb=0&amp;sharer_language=&amp;_d=0&amp;ec_shared_reflux_dynamic_params=%7B%22placeholder_material_id%22%3A%227632922346277408020%22%2C%22placeholder_origin_cover%22%3A%22https%253A%252F%252Fp16-common-sign.tiktokcdn.com%252Ftos-alisg-p-0037%252FoQgQYEZapBVblvlfADB97Rb7FBZIUIfRnE4xtn~tplv-tiktokx-origin.jpeg%253Fdr%253D14572%2526refresh_token%253D625c6878%2526x-expires%253D1808992800%2526x-signature%253DS1tvTH%25252FKLI6Idgn7c2xS9b4FqTA%25253D%2526t%253D4d5b0474%2526ps%253D13740610%2526shp%253Dd05b14bd%2526shcp%253D34ff8df6%2526idc%253Dmy2%2526s%253DTIKTOK_AFFILIATE_VIRAL_VIDEO%22%2C%22placeholder_product_id%22%3A%221729427766722726591%22%2C%22placeholder_video_id%22%3A%227632922346277408020%22%7D&amp;ec_shared_reflux_scene=shop_tab_feed&amp;share_item_id=7632922346277408020&amp;source=h5_t" TargetMode="External"/><Relationship Id="rId5881" Type="http://schemas.openxmlformats.org/officeDocument/2006/relationships/hyperlink" Target="https://vt.tiktok.com/ZS9ksgkeS/" TargetMode="External"/><Relationship Id="rId3223" Type="http://schemas.openxmlformats.org/officeDocument/2006/relationships/hyperlink" Target="https://vt.tiktok.com/ZS9FG8nb9/" TargetMode="External"/><Relationship Id="rId4554" Type="http://schemas.openxmlformats.org/officeDocument/2006/relationships/hyperlink" Target="https://www.tiktok.com/@sheillanvt8" TargetMode="External"/><Relationship Id="rId5886" Type="http://schemas.openxmlformats.org/officeDocument/2006/relationships/hyperlink" Target="https://vt.tiktok.com/ZS9ksgkeS/" TargetMode="External"/><Relationship Id="rId10222" Type="http://schemas.openxmlformats.org/officeDocument/2006/relationships/hyperlink" Target="https://www.tiktok.com/@khumairah3284" TargetMode="External"/><Relationship Id="rId3222" Type="http://schemas.openxmlformats.org/officeDocument/2006/relationships/hyperlink" Target="https://vt.tiktok.com/ZS9RQGArm/" TargetMode="External"/><Relationship Id="rId4553" Type="http://schemas.openxmlformats.org/officeDocument/2006/relationships/hyperlink" Target="https://vt.tiktok.com/ZSxGQFr14/" TargetMode="External"/><Relationship Id="rId5887" Type="http://schemas.openxmlformats.org/officeDocument/2006/relationships/hyperlink" Target="https://vt.tiktok.com/ZS9ksThGa/" TargetMode="External"/><Relationship Id="rId10223" Type="http://schemas.openxmlformats.org/officeDocument/2006/relationships/hyperlink" Target="https://www.tiktok.com/@tetehlarismanis" TargetMode="External"/><Relationship Id="rId3225" Type="http://schemas.openxmlformats.org/officeDocument/2006/relationships/hyperlink" Target="https://www.tiktok.com/@126imey" TargetMode="External"/><Relationship Id="rId4556" Type="http://schemas.openxmlformats.org/officeDocument/2006/relationships/hyperlink" Target="https://vt.tiktok.com/ZSxHJxNfw/" TargetMode="External"/><Relationship Id="rId5884" Type="http://schemas.openxmlformats.org/officeDocument/2006/relationships/hyperlink" Target="https://vt.tiktok.com/ZS9ksB2YF/" TargetMode="External"/><Relationship Id="rId10220" Type="http://schemas.openxmlformats.org/officeDocument/2006/relationships/hyperlink" Target="https://www.tiktok.com/@senjaskinclub" TargetMode="External"/><Relationship Id="rId3224" Type="http://schemas.openxmlformats.org/officeDocument/2006/relationships/hyperlink" Target="https://www.tiktok.com/@ginafathonah_/video/7637762744036363540?_r=1&amp;u_code=dlhe22ikkib396&amp;region=&amp;mid=7632536758063909648&amp;preview_pb=0&amp;sharer_language=&amp;_d=0&amp;ec_shared_reflux_dynamic_params=%7B%22placeholder_material_id%22%3A%227637762744036363540%22%2C%22placeholder_origin_cover%22%3A%22https%253A%252F%252Fp16-common-sign.tiktokcdn.com%252Ftos-alisg-p-0037%252FoYvDhMDjFvh6fyebLjlqACJIV5YQQ4BfATsLnE~tplv-tiktokx-origin.jpeg%253Fdr%253D14572%2526refresh_token%253Db7ea9ddf%2526x-expires%253D1810198800%2526x-signature%253DoH%25252FnCkyApwpXFxGOIxqtMGNnBRk%25253D%2526t%253D4d5b0474%2526ps%253D13740610%2526shp%253Dd05b14bd%2526shcp%253D34ff8df6%2526idc%253Dmy2%2526s%253DTIKTOK_AFFILIATE_VIRAL_VIDEO%22%2C%22placeholder_product_id%22%3A%221729427766722726591%22%2C%22placeholder_video_id%22%3A%227637762744036363540%22%7D&amp;ec_shared_reflux_scene=shop_tab_feed&amp;share_item_id=7637762744036363540&amp;source=h5_t" TargetMode="External"/><Relationship Id="rId4555" Type="http://schemas.openxmlformats.org/officeDocument/2006/relationships/hyperlink" Target="https://vt.tiktok.com/ZSxHJ4BVy/" TargetMode="External"/><Relationship Id="rId5885" Type="http://schemas.openxmlformats.org/officeDocument/2006/relationships/hyperlink" Target="https://vt.tiktok.com/ZS9ks4f57/" TargetMode="External"/><Relationship Id="rId10221" Type="http://schemas.openxmlformats.org/officeDocument/2006/relationships/hyperlink" Target="https://www.tiktok.com/@piscesmarchlady" TargetMode="External"/><Relationship Id="rId3259" Type="http://schemas.openxmlformats.org/officeDocument/2006/relationships/hyperlink" Target="https://www.tiktok.com/@ginafathonah_/video/7633711051539795221?_r=1&amp;u_code=dlhe22ikkib396&amp;region=&amp;mid=7627393047289989909&amp;preview_pb=0&amp;sharer_language=&amp;_d=0&amp;ec_shared_reflux_dynamic_params=%7B%22placeholder_material_id%22%3A%227633711051539795221%22%2C%22placeholder_origin_cover%22%3A%22https%253A%252F%252Fp16-common-sign.tiktokcdn.com%252Ftos-alisg-p-0037%252Fo8D8cIWIDOHOGBYggEf8ApB9YFeVCpBEbjTRxw~tplv-tiktokx-origin.jpeg%253Fdr%253D14572%2526refresh_token%253De0a1bbf3%2526x-expires%253D1810198800%2526x-signature%253DyKzXLZ0Of%25252Ba%25252F0fUD8336YWE16rc%25253D%2526t%253D4d5b0474%2526ps%253D13740610%2526shp%253Dd05b14bd%2526shcp%253D34ff8df6%2526idc%253Dmy2%2526s%253DTIKTOK_AFFILIATE_VIRAL_VIDEO%22%2C%22placeholder_product_id%22%3A%221729427766722726591%22%2C%22placeholder_video_id%22%3A%227633711051539795221%22%7D&amp;ec_shared_reflux_scene=shop_tab_feed&amp;share_item_id=7633711051539795221&amp;source=h5_t" TargetMode="External"/><Relationship Id="rId3250" Type="http://schemas.openxmlformats.org/officeDocument/2006/relationships/hyperlink" Target="http://tiktok.com/@ginafathonah_/video/7636652898864205077?_r=1&amp;u_code=dlhe22ikkib396&amp;region=&amp;mid=7630089414953306898&amp;preview_pb=0&amp;sharer_language=&amp;_d=0&amp;ec_shared_reflux_dynamic_params=%7B%22placeholder_material_id%22%3A%227636652898864205077%22%2C%22placeholder_origin_cover%22%3A%22https%253A%252F%252Fp16-common-sign.tiktokcdn.com%252Ftos-alisg-p-0037%252FogWADLfD4QzgjdTIg1JSfest6C2AWEcbFD3MQA~tplv-tiktokx-origin.jpeg%253Fdr%253D14572%2526refresh_token%253Ddc0f95e4%2526x-expires%253D1810198800%2526x-signature%253DWoN7ogzAKLlels5Gzzm2n1yy7HU%25253D%2526t%253D4d5b0474%2526ps%253D13740610%2526shp%253Dd05b14bd%2526shcp%253D34ff8df6%2526idc%253Dmy2%2526s%253DTIKTOK_AFFILIATE_VIRAL_VIDEO%22%2C%22placeholder_product_id%22%3A%221729427766722726591%22%2C%22placeholder_video_id%22%3A%227636652898864205077%22%7D&amp;ec_shared_reflux_scene=shop_tab_feed&amp;share_item_id=7636652898864205077&amp;source=h5_t" TargetMode="External"/><Relationship Id="rId4581" Type="http://schemas.openxmlformats.org/officeDocument/2006/relationships/hyperlink" Target="https://vt.tiktok.com/ZS9QfLd9G/" TargetMode="External"/><Relationship Id="rId4580" Type="http://schemas.openxmlformats.org/officeDocument/2006/relationships/hyperlink" Target="https://vt.tiktok.com/ZS9Qf8CgV/" TargetMode="External"/><Relationship Id="rId3252" Type="http://schemas.openxmlformats.org/officeDocument/2006/relationships/hyperlink" Target="https://vt.tiktok.com/ZSxXgXVfJ/" TargetMode="External"/><Relationship Id="rId4583" Type="http://schemas.openxmlformats.org/officeDocument/2006/relationships/hyperlink" Target="https://vt.tiktok.com/ZS9QfND8q/" TargetMode="External"/><Relationship Id="rId3251" Type="http://schemas.openxmlformats.org/officeDocument/2006/relationships/hyperlink" Target="https://www.tiktok.com/@sitifitriyani115" TargetMode="External"/><Relationship Id="rId4582" Type="http://schemas.openxmlformats.org/officeDocument/2006/relationships/hyperlink" Target="https://vt.tiktok.com/ZS9Qywtw3/" TargetMode="External"/><Relationship Id="rId3254" Type="http://schemas.openxmlformats.org/officeDocument/2006/relationships/hyperlink" Target="https://www.tiktok.com/@ginafathonah_/video/7633719534960069909?_r=1&amp;u_code=dlhe22ikkib396&amp;region=&amp;mid=7170634321794059034&amp;preview_pb=0&amp;sharer_language=&amp;_d=0&amp;ec_shared_reflux_dynamic_params=%7B%22placeholder_material_id%22%3A%227633719534960069909%22%2C%22placeholder_origin_cover%22%3A%22https%253A%252F%252Fp16-common-sign.tiktokcdn.com%252Ftos-alisg-p-0037%252FoEHADI8uw8pAMWcau0iYBieERB4BCgVcaIfv3T~tplv-tiktokx-origin.jpeg%253Fdr%253D14572%2526refresh_token%253D17bf6f0a%2526x-expires%253D1810198800%2526x-signature%253DXcos2wg1CU6JOeIy5HzXMltgp1M%25253D%2526t%253D4d5b0474%2526ps%253D13740610%2526shp%253Dd05b14bd%2526shcp%253D34ff8df6%2526idc%253Dmy2%2526s%253DTIKTOK_AFFILIATE_VIRAL_VIDEO%22%2C%22placeholder_product_id%22%3A%221729427766722726591%22%2C%22placeholder_video_id%22%3A%227633719534960069909%22%7D&amp;ec_shared_reflux_scene=shop_tab_feed&amp;share_item_id=7633719534960069909&amp;source=h5_t" TargetMode="External"/><Relationship Id="rId4585" Type="http://schemas.openxmlformats.org/officeDocument/2006/relationships/hyperlink" Target="https://vt.tiktok.com/ZS9Qf8CgV/" TargetMode="External"/><Relationship Id="rId3253" Type="http://schemas.openxmlformats.org/officeDocument/2006/relationships/hyperlink" Target="https://www.tiktok.com/@ginafathonah_/video/7634172958847651092?_r=1&amp;u_code=dlhe22ikkib396&amp;region=&amp;mid=7554382937211489041&amp;preview_pb=0&amp;sharer_language=&amp;_d=0&amp;ec_shared_reflux_dynamic_params=%7B%22placeholder_material_id%22%3A%227634172958847651092%22%2C%22placeholder_origin_cover%22%3A%22https%253A%252F%252Fp16-common-sign.tiktokcdn.com%252Ftos-alisg-p-0037%252FoEMyDveG4QWijGTIfDzcv57AkCeAxI9uLCFJQA~tplv-tiktokx-origin.jpeg%253Fdr%253D14572%2526refresh_token%253D41b4e988%2526x-expires%253D1810198800%2526x-signature%253DQQxuVGZA8H5eOgueZlS3eblA1tU%25253D%2526t%253D4d5b0474%2526ps%253D13740610%2526shp%253Dd05b14bd%2526shcp%253D34ff8df6%2526idc%253Dmy2%2526s%253DTIKTOK_AFFILIATE_VIRAL_VIDEO%22%2C%22placeholder_product_id%22%3A%221729427766722726591%22%2C%22placeholder_video_id%22%3A%227634172958847651092%22%7D&amp;ec_shared_reflux_scene=shop_tab_feed&amp;share_item_id=7634172958847651092&amp;source=h5_t" TargetMode="External"/><Relationship Id="rId4584" Type="http://schemas.openxmlformats.org/officeDocument/2006/relationships/hyperlink" Target="https://www.tiktok.com/@drysftr" TargetMode="External"/><Relationship Id="rId3256" Type="http://schemas.openxmlformats.org/officeDocument/2006/relationships/hyperlink" Target="https://www.tiktok.com/@iniiiandin_" TargetMode="External"/><Relationship Id="rId4587" Type="http://schemas.openxmlformats.org/officeDocument/2006/relationships/hyperlink" Target="https://vt.tiktok.com/ZS9Qywtw3/" TargetMode="External"/><Relationship Id="rId3255" Type="http://schemas.openxmlformats.org/officeDocument/2006/relationships/hyperlink" Target="https://www.tiktok.com/@ginafathonah_/video/7633713063417351445?_r=1&amp;u_code=dlhe22ikkib396&amp;region=&amp;mid=7527152043925375760&amp;preview_pb=0&amp;sharer_language=&amp;_d=0&amp;ec_shared_reflux_dynamic_params=%7B%22placeholder_material_id%22%3A%227633713063417351445%22%2C%22placeholder_origin_cover%22%3A%22https%253A%252F%252Fp16-common-sign.tiktokcdn.com%252Ftos-alisg-p-0037%252FoUgQyMfTGQHzYgAoA2LC45jLbCeRTADQIaAfI4~tplv-tiktokx-origin.jpeg%253Fdr%253D14572%2526refresh_token%253D58a62094%2526x-expires%253D1810198800%2526x-signature%253DDb8XWpepRH46OAcHiC4adx2ORoA%25253D%2526t%253D4d5b0474%2526ps%253D13740610%2526shp%253Dd05b14bd%2526shcp%253D34ff8df6%2526idc%253Dmy2%2526s%253DTIKTOK_AFFILIATE_VIRAL_VIDEO%22%2C%22placeholder_product_id%22%3A%221729427766722726591%22%2C%22placeholder_video_id%22%3A%227633713063417351445%22%7D&amp;ec_shared_reflux_scene=shop_tab_feed&amp;share_item_id=7633713063417351445&amp;source=h5_t" TargetMode="External"/><Relationship Id="rId4586" Type="http://schemas.openxmlformats.org/officeDocument/2006/relationships/hyperlink" Target="https://vt.tiktok.com/ZS9QfLd9G/" TargetMode="External"/><Relationship Id="rId3258" Type="http://schemas.openxmlformats.org/officeDocument/2006/relationships/hyperlink" Target="https://www.tiktok.com/@ginafathonah_/video/7633711936982633749?_r=1&amp;u_code=dlhe22ikkib396&amp;region=&amp;mid=7541754702423444230&amp;preview_pb=0&amp;sharer_language=&amp;_d=0&amp;ec_shared_reflux_dynamic_params=%7B%22placeholder_material_id%22%3A%227633711936982633749%22%2C%22placeholder_origin_cover%22%3A%22https%253A%252F%252Fp16-common-sign.tiktokcdn.com%252Ftos-alisg-p-0037%252FoQAHZMnFGgfJEwAjApLD4ljzqCebTfDgIaA9I4~tplv-tiktokx-origin.jpeg%253Fdr%253D14572%2526refresh_token%253D5e305711%2526x-expires%253D1810198800%2526x-signature%253Dw%25252FcBf29TddOih%25252F7C8iHZRSdlrnM%25253D%2526t%253D4d5b0474%2526ps%253D13740610%2526shp%253Dd05b14bd%2526shcp%253D34ff8df6%2526idc%253Dmy2%2526s%253DTIKTOK_AFFILIATE_VIRAL_VIDEO%22%2C%22placeholder_product_id%22%3A%221729427766722726591%22%2C%22placeholder_video_id%22%3A%227633711936982633749%22%7D&amp;ec_shared_reflux_scene=shop_tab_feed&amp;share_item_id=7633711936982633749&amp;source=h5_t" TargetMode="External"/><Relationship Id="rId4589" Type="http://schemas.openxmlformats.org/officeDocument/2006/relationships/hyperlink" Target="https://www.tiktok.com/@accio.olshop" TargetMode="External"/><Relationship Id="rId3257" Type="http://schemas.openxmlformats.org/officeDocument/2006/relationships/hyperlink" Target="https://vt.tiktok.com/ZS9e8B1DN/" TargetMode="External"/><Relationship Id="rId4588" Type="http://schemas.openxmlformats.org/officeDocument/2006/relationships/hyperlink" Target="https://vt.tiktok.com/ZS9QfND8q/" TargetMode="External"/><Relationship Id="rId3249" Type="http://schemas.openxmlformats.org/officeDocument/2006/relationships/hyperlink" Target="https://www.tiktok.com/@ginafathonah_/video/7636993249755942164?_r=1&amp;u_code=dlhe22ikkib396&amp;region=&amp;mid=7632266697139489557&amp;preview_pb=0&amp;sharer_language=&amp;_d=0&amp;ec_shared_reflux_dynamic_params=%7B%22placeholder_material_id%22%3A%227636993249755942164%22%2C%22placeholder_origin_cover%22%3A%22https%253A%252F%252Fp16-common-sign.tiktokcdn.com%252Ftos-alisg-p-0037%252FoIKUGweGwQJCGenR0Dy07ejB8FPAlIjWLBfZQA~tplv-tiktokx-origin.jpeg%253Fdr%253D14572%2526refresh_token%253D5d595643%2526x-expires%253D1810198800%2526x-signature%253DI64lKJkHReNiVQ651WUgu6auHes%25253D%2526t%253D4d5b0474%2526ps%253D13740610%2526shp%253Dd05b14bd%2526shcp%253D34ff8df6%2526idc%253Dmy2%2526s%253DTIKTOK_AFFILIATE_VIRAL_VIDEO%22%2C%22placeholder_product_id%22%3A%221729427766722726591%22%2C%22placeholder_video_id%22%3A%227636993249755942164%22%7D&amp;ec_shared_reflux_scene=shop_tab_feed&amp;share_item_id=7636993249755942164&amp;source=h5_t" TargetMode="External"/><Relationship Id="rId3248" Type="http://schemas.openxmlformats.org/officeDocument/2006/relationships/hyperlink" Target="https://www.tiktok.com/@ginafathonah_/video/7637089030613634325?_r=1&amp;u_code=dlhe22ikkib396&amp;region=&amp;mid=7633792364019993351&amp;preview_pb=0&amp;sharer_language=&amp;_d=0&amp;ec_shared_reflux_dynamic_params=%7B%22placeholder_material_id%22%3A%227637089030613634325%22%2C%22placeholder_origin_cover%22%3A%22https%253A%252F%252Fp16-common-sign.tiktokcdn.com%252Ftos-alisg-p-0037%252Fo4FfAkbe6LvhIRMGgnIGrCewgifGAT1LGwxdIG~tplv-tiktokx-origin.jpeg%253Fdr%253D14572%2526refresh_token%253Dfdaf95b8%2526x-expires%253D1810198800%2526x-signature%253DA4lUqpFjvBmjLEsGAplCwS8A0LY%25253D%2526t%253D4d5b0474%2526ps%253D13740610%2526shp%253Dd05b14bd%2526shcp%253D34ff8df6%2526idc%253Dmy2%2526s%253DTIKTOK_AFFILIATE_VIRAL_VIDEO%22%2C%22placeholder_product_id%22%3A%221729427766722726591%22%2C%22placeholder_video_id%22%3A%227637089030613634325%22%7D&amp;ec_shared_reflux_scene=shop_tab_feed&amp;share_item_id=7637089030613634325&amp;source=h5_t" TargetMode="External"/><Relationship Id="rId4579" Type="http://schemas.openxmlformats.org/officeDocument/2006/relationships/hyperlink" Target="https://www.tiktok.com/@bbykey44" TargetMode="External"/><Relationship Id="rId10204" Type="http://schemas.openxmlformats.org/officeDocument/2006/relationships/hyperlink" Target="https://www.tiktok.com/@ammelshop94" TargetMode="External"/><Relationship Id="rId10205" Type="http://schemas.openxmlformats.org/officeDocument/2006/relationships/hyperlink" Target="https://www.tiktok.com/@jusantimukaroma" TargetMode="External"/><Relationship Id="rId10202" Type="http://schemas.openxmlformats.org/officeDocument/2006/relationships/hyperlink" Target="https://www.tiktok.com/@ndahhbebe" TargetMode="External"/><Relationship Id="rId10203" Type="http://schemas.openxmlformats.org/officeDocument/2006/relationships/hyperlink" Target="https://www.tiktok.com/@pupupuspitasari1208" TargetMode="External"/><Relationship Id="rId10208" Type="http://schemas.openxmlformats.org/officeDocument/2006/relationships/hyperlink" Target="https://www.tiktok.com/@byumaiza" TargetMode="External"/><Relationship Id="rId10209" Type="http://schemas.openxmlformats.org/officeDocument/2006/relationships/hyperlink" Target="https://www.tiktok.com/@hokiterusmenerus" TargetMode="External"/><Relationship Id="rId4570" Type="http://schemas.openxmlformats.org/officeDocument/2006/relationships/hyperlink" Target="https://vt.tiktok.com/ZS9Qf8CgV/" TargetMode="External"/><Relationship Id="rId10206" Type="http://schemas.openxmlformats.org/officeDocument/2006/relationships/hyperlink" Target="https://www.tiktok.com/@ptyxrz0" TargetMode="External"/><Relationship Id="rId10207" Type="http://schemas.openxmlformats.org/officeDocument/2006/relationships/hyperlink" Target="https://www.tiktok.com/@aslerry" TargetMode="External"/><Relationship Id="rId3241" Type="http://schemas.openxmlformats.org/officeDocument/2006/relationships/hyperlink" Target="https://www.tiktok.com/@ginafathonah_/video/7637318388313771285?_d=0&amp;_r=1&amp;ec_shared_reflux_dynamic_params=%7B%22placeholder_material_id%22%3A%227637318388313771285%22%2C%22placeholder_origin_cover%22%3A%22https%253A%252F%252Fp16-common-sign.tiktokcdn.com%252Ftos-alisg-p-0037%252FoED88EwCRQafkFsIY4zfXVfUqDsCCjAq6TQTAD~tplv-tiktokx-origin.jpeg%253Fdr%253D14572%2526refresh_token%253D947d640f%2526x-expires%253D1810198800%2526x-signature%253Dqp9OcUHvxZilY5l4pr1Wp%25252FzHaKo%25253D%2526t%253D4d5b0474%2526ps%253D13740610%2526shp%253Dd05b14bd%2526shcp%253D34ff8df6%2526idc%253Dmy2%2526s%253DTIKTOK_AFFILIATE_VIRAL_VIDEO%22%2C%22placeholder_product_id%22%3A%221729427766722726591%22%2C%22placeholder_video_id%22%3A%227637318388313771285%22%7D&amp;ec_shared_reflux_scene=shop_tab_feed&amp;mid=7591327568393980693&amp;preview_pb=0&amp;region=&amp;share_item_id=7637318388313771285&amp;sharer_language=&amp;source=h5_t&amp;u_code=dlhe22ikkib396" TargetMode="External"/><Relationship Id="rId4572" Type="http://schemas.openxmlformats.org/officeDocument/2006/relationships/hyperlink" Target="https://vt.tiktok.com/ZS9Qywtw3/" TargetMode="External"/><Relationship Id="rId3240" Type="http://schemas.openxmlformats.org/officeDocument/2006/relationships/hyperlink" Target="https://vt.tiktok.com/ZS9fNLbv2/" TargetMode="External"/><Relationship Id="rId4571" Type="http://schemas.openxmlformats.org/officeDocument/2006/relationships/hyperlink" Target="https://vt.tiktok.com/ZS9QfLd9G/" TargetMode="External"/><Relationship Id="rId3243" Type="http://schemas.openxmlformats.org/officeDocument/2006/relationships/hyperlink" Target="https://www.tiktok.com/@elsaamalia19real" TargetMode="External"/><Relationship Id="rId4574" Type="http://schemas.openxmlformats.org/officeDocument/2006/relationships/hyperlink" Target="https://www.tiktok.com/@neverendah" TargetMode="External"/><Relationship Id="rId3242" Type="http://schemas.openxmlformats.org/officeDocument/2006/relationships/hyperlink" Target="https://www.tiktok.com/@ginafathonah_/video/7637091472453504276?_r=1&amp;u_code=dlhe22ikkib396&amp;region=&amp;mid=7615874061603719953&amp;preview_pb=0&amp;sharer_language=&amp;_d=0&amp;ec_shared_reflux_dynamic_params=%7B%22placeholder_material_id%22%3A%227637091472453504276%22%2C%22placeholder_origin_cover%22%3A%22https%253A%252F%252Fp16-common-sign.tiktokcdn.com%252Ftos-alisg-p-0037%252Fo0GIEfBvaFInAC4pcTfcjUAEXEINfDyDI8ZkEz~tplv-tiktokx-origin.jpeg%253Fdr%253D14572%2526refresh_token%253D827bef71%2526x-expires%253D1810198800%2526x-signature%253DVMPt%25252FtCaeUIb9KoXsISnfFHA2Wo%25253D%2526t%253D4d5b0474%2526ps%253D13740610%2526shp%253Dd05b14bd%2526shcp%253D34ff8df6%2526idc%253Dmy2%2526s%253DTIKTOK_AFFILIATE_VIRAL_VIDEO%22%2C%22placeholder_product_id%22%3A%221729427766722726591%22%2C%22placeholder_video_id%22%3A%227637091472453504276%22%7D&amp;ec_shared_reflux_scene=shop_tab_feed&amp;share_item_id=7637091472453504276&amp;source=h5_t" TargetMode="External"/><Relationship Id="rId4573" Type="http://schemas.openxmlformats.org/officeDocument/2006/relationships/hyperlink" Target="https://vt.tiktok.com/ZS9QfND8q/" TargetMode="External"/><Relationship Id="rId3245" Type="http://schemas.openxmlformats.org/officeDocument/2006/relationships/hyperlink" Target="https://www.tiktok.com/@ginafathonah_/video/7637088908701863189?_r=1&amp;u_code=dlhe22ikkib396&amp;region=&amp;mid=7613789554936416273&amp;preview_pb=0&amp;sharer_language=&amp;_d=0&amp;ec_shared_reflux_dynamic_params=%7B%22placeholder_material_id%22%3A%227637088908701863189%22%2C%22placeholder_origin_cover%22%3A%22https%253A%252F%252Fp19-common-sign.tiktokcdn.com%252Ftos-alisg-p-0037%252FokFMAxU8Mu3eeRYDgngYRe4Igq3FAyNfGw4bRG~tplv-tiktokx-origin.jpeg%253Fdr%253D14572%2526refresh_token%253Deabac299%2526x-expires%253D1810198800%2526x-signature%253D2Lo4BgnCtWFnR4GzEXuHleCUVp8%25253D%2526t%253D4d5b0474%2526ps%253D13740610%2526shp%253Dd05b14bd%2526shcp%253D34ff8df6%2526idc%253Dmy2%2526s%253DTIKTOK_AFFILIATE_VIRAL_VIDEO%22%2C%22placeholder_product_id%22%3A%221729427766722726591%22%2C%22placeholder_video_id%22%3A%227637088908701863189%22%7D&amp;ec_shared_reflux_scene=shop_tab_feed&amp;share_item_id=7637088908701863189&amp;source=h5_t" TargetMode="External"/><Relationship Id="rId4576" Type="http://schemas.openxmlformats.org/officeDocument/2006/relationships/hyperlink" Target="https://vt.tiktok.com/ZS9QfLd9G/" TargetMode="External"/><Relationship Id="rId10200" Type="http://schemas.openxmlformats.org/officeDocument/2006/relationships/hyperlink" Target="https://www.tiktok.com/@isviewulandaaaa" TargetMode="External"/><Relationship Id="rId3244" Type="http://schemas.openxmlformats.org/officeDocument/2006/relationships/hyperlink" Target="https://vt.tiktok.com/ZS9D9jx2X/" TargetMode="External"/><Relationship Id="rId4575" Type="http://schemas.openxmlformats.org/officeDocument/2006/relationships/hyperlink" Target="https://vt.tiktok.com/ZS9Qf8CgV/" TargetMode="External"/><Relationship Id="rId10201" Type="http://schemas.openxmlformats.org/officeDocument/2006/relationships/hyperlink" Target="https://www.tiktok.com/@jayhanazz" TargetMode="External"/><Relationship Id="rId3247" Type="http://schemas.openxmlformats.org/officeDocument/2006/relationships/hyperlink" Target="https://www.tiktok.com/@lindafatmawati09" TargetMode="External"/><Relationship Id="rId4578" Type="http://schemas.openxmlformats.org/officeDocument/2006/relationships/hyperlink" Target="https://vt.tiktok.com/ZS9QfND8q/" TargetMode="External"/><Relationship Id="rId3246" Type="http://schemas.openxmlformats.org/officeDocument/2006/relationships/hyperlink" Target="https://www.tiktok.com/@vianneyel" TargetMode="External"/><Relationship Id="rId4577" Type="http://schemas.openxmlformats.org/officeDocument/2006/relationships/hyperlink" Target="https://vt.tiktok.com/ZS9Qywtw3/" TargetMode="External"/><Relationship Id="rId4525" Type="http://schemas.openxmlformats.org/officeDocument/2006/relationships/hyperlink" Target="https://vt.tiktok.com/ZSxBLFYsc/" TargetMode="External"/><Relationship Id="rId5857" Type="http://schemas.openxmlformats.org/officeDocument/2006/relationships/hyperlink" Target="https://vt.tiktok.com/ZS9ksThGa/" TargetMode="External"/><Relationship Id="rId4524" Type="http://schemas.openxmlformats.org/officeDocument/2006/relationships/hyperlink" Target="https://www.tiktok.com/@keishadty" TargetMode="External"/><Relationship Id="rId5858" Type="http://schemas.openxmlformats.org/officeDocument/2006/relationships/hyperlink" Target="https://www.tiktok.com/@pnyamolmol" TargetMode="External"/><Relationship Id="rId4527" Type="http://schemas.openxmlformats.org/officeDocument/2006/relationships/hyperlink" Target="https://www.tiktok.com/@kanglutfi7" TargetMode="External"/><Relationship Id="rId5855" Type="http://schemas.openxmlformats.org/officeDocument/2006/relationships/hyperlink" Target="https://vt.tiktok.com/ZS9ks4f57/" TargetMode="External"/><Relationship Id="rId4526" Type="http://schemas.openxmlformats.org/officeDocument/2006/relationships/hyperlink" Target="https://vt.tiktok.com/ZSxkMhCo8/" TargetMode="External"/><Relationship Id="rId5856" Type="http://schemas.openxmlformats.org/officeDocument/2006/relationships/hyperlink" Target="https://vt.tiktok.com/ZS9ksgkeS/" TargetMode="External"/><Relationship Id="rId4529" Type="http://schemas.openxmlformats.org/officeDocument/2006/relationships/hyperlink" Target="https://vt.tiktok.com/ZS9Qyo8BN/" TargetMode="External"/><Relationship Id="rId4528" Type="http://schemas.openxmlformats.org/officeDocument/2006/relationships/hyperlink" Target="https://vt.tiktok.com/ZS9DjhMBD/" TargetMode="External"/><Relationship Id="rId5859" Type="http://schemas.openxmlformats.org/officeDocument/2006/relationships/hyperlink" Target="https://vt.tiktok.com/ZS9ksB2YF/" TargetMode="External"/><Relationship Id="rId10259" Type="http://schemas.openxmlformats.org/officeDocument/2006/relationships/hyperlink" Target="https://www.tiktok.com/@beautyoftanti" TargetMode="External"/><Relationship Id="rId10257" Type="http://schemas.openxmlformats.org/officeDocument/2006/relationships/hyperlink" Target="https://www.tiktok.com/@eadelia_" TargetMode="External"/><Relationship Id="rId10258" Type="http://schemas.openxmlformats.org/officeDocument/2006/relationships/hyperlink" Target="https://www.tiktok.com/@_farida76" TargetMode="External"/><Relationship Id="rId10251" Type="http://schemas.openxmlformats.org/officeDocument/2006/relationships/hyperlink" Target="https://www.tiktok.com/@nivynee" TargetMode="External"/><Relationship Id="rId5850" Type="http://schemas.openxmlformats.org/officeDocument/2006/relationships/hyperlink" Target="https://vt.tiktok.com/ZS9ks4f57/" TargetMode="External"/><Relationship Id="rId10252" Type="http://schemas.openxmlformats.org/officeDocument/2006/relationships/hyperlink" Target="https://www.tiktok.com/@zuellaa_" TargetMode="External"/><Relationship Id="rId10250" Type="http://schemas.openxmlformats.org/officeDocument/2006/relationships/hyperlink" Target="https://www.tiktok.com/@slayqueen_572" TargetMode="External"/><Relationship Id="rId4521" Type="http://schemas.openxmlformats.org/officeDocument/2006/relationships/hyperlink" Target="https://www.tiktok.com/@elianacvan04" TargetMode="External"/><Relationship Id="rId5853" Type="http://schemas.openxmlformats.org/officeDocument/2006/relationships/hyperlink" Target="https://www.tiktok.com/@andinhandaauliana25" TargetMode="External"/><Relationship Id="rId10255" Type="http://schemas.openxmlformats.org/officeDocument/2006/relationships/hyperlink" Target="https://www.tiktok.com/@palmsugar100" TargetMode="External"/><Relationship Id="rId4520" Type="http://schemas.openxmlformats.org/officeDocument/2006/relationships/hyperlink" Target="https://vt.tiktok.com/ZS9PBQhLj/" TargetMode="External"/><Relationship Id="rId5854" Type="http://schemas.openxmlformats.org/officeDocument/2006/relationships/hyperlink" Target="https://vt.tiktok.com/ZS9ksB2YF/" TargetMode="External"/><Relationship Id="rId10256" Type="http://schemas.openxmlformats.org/officeDocument/2006/relationships/hyperlink" Target="https://www.tiktok.com/@ruhamaaa6" TargetMode="External"/><Relationship Id="rId4523" Type="http://schemas.openxmlformats.org/officeDocument/2006/relationships/hyperlink" Target="https://vt.tiktok.com/ZS9DjkGy8/" TargetMode="External"/><Relationship Id="rId5851" Type="http://schemas.openxmlformats.org/officeDocument/2006/relationships/hyperlink" Target="https://vt.tiktok.com/ZS9ksgkeS/" TargetMode="External"/><Relationship Id="rId10253" Type="http://schemas.openxmlformats.org/officeDocument/2006/relationships/hyperlink" Target="https://www.tiktok.com/@ralliine" TargetMode="External"/><Relationship Id="rId4522" Type="http://schemas.openxmlformats.org/officeDocument/2006/relationships/hyperlink" Target="https://vt.tiktok.com/ZS9PBH3JY/" TargetMode="External"/><Relationship Id="rId5852" Type="http://schemas.openxmlformats.org/officeDocument/2006/relationships/hyperlink" Target="https://vt.tiktok.com/ZS9ksThGa/" TargetMode="External"/><Relationship Id="rId10254" Type="http://schemas.openxmlformats.org/officeDocument/2006/relationships/hyperlink" Target="https://www.tiktok.com/@libragirlss__01" TargetMode="External"/><Relationship Id="rId4514" Type="http://schemas.openxmlformats.org/officeDocument/2006/relationships/hyperlink" Target="https://vt.tiktok.com/ZS9DjLYKX/" TargetMode="External"/><Relationship Id="rId5846" Type="http://schemas.openxmlformats.org/officeDocument/2006/relationships/hyperlink" Target="https://vt.tiktok.com/ZS9ksgkeS/" TargetMode="External"/><Relationship Id="rId4513" Type="http://schemas.openxmlformats.org/officeDocument/2006/relationships/hyperlink" Target="https://vt.tiktok.com/ZS9fBNXjY/" TargetMode="External"/><Relationship Id="rId5847" Type="http://schemas.openxmlformats.org/officeDocument/2006/relationships/hyperlink" Target="https://vt.tiktok.com/ZS9ksThGa/" TargetMode="External"/><Relationship Id="rId4516" Type="http://schemas.openxmlformats.org/officeDocument/2006/relationships/hyperlink" Target="https://www.tiktok.com/@rhyuagstnaaa" TargetMode="External"/><Relationship Id="rId5844" Type="http://schemas.openxmlformats.org/officeDocument/2006/relationships/hyperlink" Target="https://vt.tiktok.com/ZS9ksB2YF/" TargetMode="External"/><Relationship Id="rId4515" Type="http://schemas.openxmlformats.org/officeDocument/2006/relationships/hyperlink" Target="https://vt.tiktok.com/ZSxBLRDp4/" TargetMode="External"/><Relationship Id="rId5845" Type="http://schemas.openxmlformats.org/officeDocument/2006/relationships/hyperlink" Target="https://vt.tiktok.com/ZS9ks4f57/" TargetMode="External"/><Relationship Id="rId4518" Type="http://schemas.openxmlformats.org/officeDocument/2006/relationships/hyperlink" Target="https://vt.tiktok.com/ZS9PBuhmD/" TargetMode="External"/><Relationship Id="rId4517" Type="http://schemas.openxmlformats.org/officeDocument/2006/relationships/hyperlink" Target="https://vt.tiktok.com/ZS9PBmec3/" TargetMode="External"/><Relationship Id="rId10270" Type="http://schemas.openxmlformats.org/officeDocument/2006/relationships/hyperlink" Target="https://www.tiktok.com/@nadya.desvi2" TargetMode="External"/><Relationship Id="rId5848" Type="http://schemas.openxmlformats.org/officeDocument/2006/relationships/hyperlink" Target="https://www.tiktok.com/@rashafafaeyza" TargetMode="External"/><Relationship Id="rId4519" Type="http://schemas.openxmlformats.org/officeDocument/2006/relationships/hyperlink" Target="https://vt.tiktok.com/ZS9PBuYaB/" TargetMode="External"/><Relationship Id="rId5849" Type="http://schemas.openxmlformats.org/officeDocument/2006/relationships/hyperlink" Target="https://vt.tiktok.com/ZS9ksB2YF/" TargetMode="External"/><Relationship Id="rId10268" Type="http://schemas.openxmlformats.org/officeDocument/2006/relationships/hyperlink" Target="https://www.tiktok.com/@ebytrie02" TargetMode="External"/><Relationship Id="rId10269" Type="http://schemas.openxmlformats.org/officeDocument/2006/relationships/hyperlink" Target="https://www.tiktok.com/@skincareadilah" TargetMode="External"/><Relationship Id="rId10262" Type="http://schemas.openxmlformats.org/officeDocument/2006/relationships/hyperlink" Target="https://www.tiktok.com/@hi.billll" TargetMode="External"/><Relationship Id="rId10263" Type="http://schemas.openxmlformats.org/officeDocument/2006/relationships/hyperlink" Target="https://www.tiktok.com/@hohooi0" TargetMode="External"/><Relationship Id="rId10260" Type="http://schemas.openxmlformats.org/officeDocument/2006/relationships/hyperlink" Target="https://www.tiktok.com/@cappyysa" TargetMode="External"/><Relationship Id="rId10261" Type="http://schemas.openxmlformats.org/officeDocument/2006/relationships/hyperlink" Target="https://www.tiktok.com/@chocoloverrr.__" TargetMode="External"/><Relationship Id="rId4510" Type="http://schemas.openxmlformats.org/officeDocument/2006/relationships/hyperlink" Target="https://vt.tiktok.com/ZS9fkcHRg/" TargetMode="External"/><Relationship Id="rId5842" Type="http://schemas.openxmlformats.org/officeDocument/2006/relationships/hyperlink" Target="https://vt.tiktok.com/ZS9ksThGa/" TargetMode="External"/><Relationship Id="rId10266" Type="http://schemas.openxmlformats.org/officeDocument/2006/relationships/hyperlink" Target="https://www.tiktok.com/@ressaramdhan" TargetMode="External"/><Relationship Id="rId5843" Type="http://schemas.openxmlformats.org/officeDocument/2006/relationships/hyperlink" Target="https://www.tiktok.com/@ikapujip" TargetMode="External"/><Relationship Id="rId10267" Type="http://schemas.openxmlformats.org/officeDocument/2006/relationships/hyperlink" Target="https://www.tiktok.com/@patmaayaa" TargetMode="External"/><Relationship Id="rId4512" Type="http://schemas.openxmlformats.org/officeDocument/2006/relationships/hyperlink" Target="https://www.tiktok.com/@iki_aku3862" TargetMode="External"/><Relationship Id="rId5840" Type="http://schemas.openxmlformats.org/officeDocument/2006/relationships/hyperlink" Target="https://vt.tiktok.com/ZS9ks4f57/" TargetMode="External"/><Relationship Id="rId10264" Type="http://schemas.openxmlformats.org/officeDocument/2006/relationships/hyperlink" Target="https://www.tiktok.com/@laalunelle" TargetMode="External"/><Relationship Id="rId4511" Type="http://schemas.openxmlformats.org/officeDocument/2006/relationships/hyperlink" Target="https://vt.tiktok.com/ZS9fBBBsQ/" TargetMode="External"/><Relationship Id="rId5841" Type="http://schemas.openxmlformats.org/officeDocument/2006/relationships/hyperlink" Target="https://vt.tiktok.com/ZS9ksgkeS/" TargetMode="External"/><Relationship Id="rId10265" Type="http://schemas.openxmlformats.org/officeDocument/2006/relationships/hyperlink" Target="https://www.tiktok.com/@_a.prlyanii" TargetMode="External"/><Relationship Id="rId3216" Type="http://schemas.openxmlformats.org/officeDocument/2006/relationships/hyperlink" Target="https://www.tiktok.com/@thia.id/video/7629201756563541268?is_from_webapp=1&amp;sender_device=pc" TargetMode="External"/><Relationship Id="rId4547" Type="http://schemas.openxmlformats.org/officeDocument/2006/relationships/hyperlink" Target="https://vt.tiktok.com/ZSxHyEynr/" TargetMode="External"/><Relationship Id="rId5879" Type="http://schemas.openxmlformats.org/officeDocument/2006/relationships/hyperlink" Target="https://vt.tiktok.com/ZS9ksB2YF/" TargetMode="External"/><Relationship Id="rId3215" Type="http://schemas.openxmlformats.org/officeDocument/2006/relationships/hyperlink" Target="https://www.tiktok.com/@thia.id" TargetMode="External"/><Relationship Id="rId4546" Type="http://schemas.openxmlformats.org/officeDocument/2006/relationships/hyperlink" Target="https://vt.tiktok.com/ZSxHy7YLL/" TargetMode="External"/><Relationship Id="rId3218" Type="http://schemas.openxmlformats.org/officeDocument/2006/relationships/hyperlink" Target="https://www.tiktok.com/@ginafathonah_/video/7637874901390544149?_r=1&amp;u_code=dlhe22ikkib396&amp;region=&amp;mid=7636228810144271112&amp;preview_pb=0&amp;sharer_language=&amp;_d=0&amp;ec_shared_reflux_dynamic_params=%7B%22placeholder_material_id%22%3A%227637874901390544149%22%2C%22placeholder_origin_cover%22%3A%22https%253A%252F%252Fp16-common-sign.tiktokcdn.com%252Ftos-alisg-p-0037%252FoAzDg3TQf2sDMC4LAS4syfEHFIAjnCftiyBsEQ~tplv-tiktokx-origin.jpeg%253Fdr%253D14572%2526refresh_token%253D7a70c26f%2526x-expires%253D1810198800%2526x-signature%253DrTShNil4WxGEnRAO57iPIbFSn%25252FY%25253D%2526t%253D4d5b0474%2526ps%253D13740610%2526shp%253Dd05b14bd%2526shcp%253D34ff8df6%2526idc%253Dmy2%2526s%253DTIKTOK_AFFILIATE_VIRAL_VIDEO%22%2C%22placeholder_product_id%22%3A%221729427766722726591%22%2C%22placeholder_video_id%22%3A%227637874901390544149%22%7D&amp;ec_shared_reflux_scene=shop_tab_feed&amp;share_item_id=7637874901390544149&amp;source=h5_t" TargetMode="External"/><Relationship Id="rId4549" Type="http://schemas.openxmlformats.org/officeDocument/2006/relationships/hyperlink" Target="https://www.tiktok.com/@samrotulainiyah" TargetMode="External"/><Relationship Id="rId5877" Type="http://schemas.openxmlformats.org/officeDocument/2006/relationships/hyperlink" Target="https://vt.tiktok.com/ZS9ksThGa/" TargetMode="External"/><Relationship Id="rId3217" Type="http://schemas.openxmlformats.org/officeDocument/2006/relationships/hyperlink" Target="https://www.tiktok.com/@ginafathonah_/video/7637903410204904725?_r=1&amp;u_code=dlhe22ikkib396&amp;region=&amp;mid=7453175037078752006&amp;preview_pb=0&amp;sharer_language=&amp;_d=0&amp;ec_shared_reflux_dynamic_params=%7B%22placeholder_material_id%22%3A%227637903410204904725%22%2C%22placeholder_origin_cover%22%3A%22https%253A%252F%252Fp16-common-sign.tiktokcdn.com%252Ftos-alisg-p-0037%252Fo0Gf6npFvzCIRHLGMHQB0oAwuSAeyRCf8HfQLG~tplv-tiktokx-origin.jpeg%253Fdr%253D14572%2526refresh_token%253D3ee44fb4%2526x-expires%253D1810198800%2526x-signature%253Du37Xs%25252BCKA3p6XhSya%25252FA1yNghV3U%25253D%2526t%253D4d5b0474%2526ps%253D13740610%2526shp%253Dd05b14bd%2526shcp%253D34ff8df6%2526idc%253Dmy2%2526s%253DTIKTOK_AFFILIATE_VIRAL_VIDEO%22%2C%22placeholder_product_id%22%3A%221729427766722726591%22%2C%22placeholder_video_id%22%3A%227637903410204904725%22%7D&amp;ec_shared_reflux_scene=shop_tab_feed&amp;share_item_id=7637903410204904725&amp;source=h5_t" TargetMode="External"/><Relationship Id="rId4548" Type="http://schemas.openxmlformats.org/officeDocument/2006/relationships/hyperlink" Target="https://vt.tiktok.com/ZSxHyE4vu/" TargetMode="External"/><Relationship Id="rId5878" Type="http://schemas.openxmlformats.org/officeDocument/2006/relationships/hyperlink" Target="https://www.tiktok.com/@arikjulita" TargetMode="External"/><Relationship Id="rId3219" Type="http://schemas.openxmlformats.org/officeDocument/2006/relationships/hyperlink" Target="https://www.tiktok.com/@ginafathonah_/video/7637810924719475989?_r=1&amp;u_code=dlhe22ikkib396&amp;region=&amp;mid=7633007995021970183&amp;preview_pb=0&amp;sharer_language=&amp;_d=0&amp;ec_shared_reflux_dynamic_params=%7B%22placeholder_material_id%22%3A%227637810924719475989%22%2C%22placeholder_origin_cover%22%3A%22https%253A%252F%252Fp19-common-sign.tiktokcdn.com%252Ftos-alisg-p-0037%252FoQ3QAkeQS9I9MrPWfWeti0Q5eMeJ8lAuNBLang~tplv-tiktokx-origin.jpeg%253Fdr%253D14572%2526refresh_token%253D0442a1b1%2526x-expires%253D1810198800%2526x-signature%253DV%25252FimuCGiaLyT9VBSIhI8BeymZf8%25253D%2526t%253D4d5b0474%2526ps%253D13740610%2526shp%253Dd05b14bd%2526shcp%253D34ff8df6%2526idc%253Dmy2%2526s%253DTIKTOK_AFFILIATE_VIRAL_VIDEO%22%2C%22placeholder_product_id%22%3A%221729427766722726591%22%2C%22placeholder_video_id%22%3A%227637810924719475989%22%7D&amp;ec_shared_reflux_scene=shop_tab_feed&amp;share_item_id=7637810924719475989&amp;source=h5_t" TargetMode="External"/><Relationship Id="rId10237" Type="http://schemas.openxmlformats.org/officeDocument/2006/relationships/hyperlink" Target="https://www.tiktok.com/@hehdinda" TargetMode="External"/><Relationship Id="rId10238" Type="http://schemas.openxmlformats.org/officeDocument/2006/relationships/hyperlink" Target="https://www.tiktok.com/@ccandypermen" TargetMode="External"/><Relationship Id="rId10235" Type="http://schemas.openxmlformats.org/officeDocument/2006/relationships/hyperlink" Target="https://www.tiktok.com/@by_mirin22" TargetMode="External"/><Relationship Id="rId10236" Type="http://schemas.openxmlformats.org/officeDocument/2006/relationships/hyperlink" Target="https://www.tiktok.com/@spillprintilan" TargetMode="External"/><Relationship Id="rId10239" Type="http://schemas.openxmlformats.org/officeDocument/2006/relationships/hyperlink" Target="https://www.tiktok.com/@ini_ccyajeje" TargetMode="External"/><Relationship Id="rId5871" Type="http://schemas.openxmlformats.org/officeDocument/2006/relationships/hyperlink" Target="https://vt.tiktok.com/ZS9ksgkeS/" TargetMode="External"/><Relationship Id="rId5872" Type="http://schemas.openxmlformats.org/officeDocument/2006/relationships/hyperlink" Target="https://vt.tiktok.com/ZS9ksThGa/" TargetMode="External"/><Relationship Id="rId10230" Type="http://schemas.openxmlformats.org/officeDocument/2006/relationships/hyperlink" Target="https://www.tiktok.com/@sabilssz" TargetMode="External"/><Relationship Id="rId3210" Type="http://schemas.openxmlformats.org/officeDocument/2006/relationships/hyperlink" Target="https://vt.tiktok.com/ZS9DmfgMw/" TargetMode="External"/><Relationship Id="rId4541" Type="http://schemas.openxmlformats.org/officeDocument/2006/relationships/hyperlink" Target="https://vt.tiktok.com/ZSxxAUdXX/" TargetMode="External"/><Relationship Id="rId4540" Type="http://schemas.openxmlformats.org/officeDocument/2006/relationships/hyperlink" Target="https://vt.tiktok.com/ZSxxSKgXG/" TargetMode="External"/><Relationship Id="rId5870" Type="http://schemas.openxmlformats.org/officeDocument/2006/relationships/hyperlink" Target="https://vt.tiktok.com/ZS9ks4f57/" TargetMode="External"/><Relationship Id="rId3212" Type="http://schemas.openxmlformats.org/officeDocument/2006/relationships/hyperlink" Target="https://www.tiktok.com/@ginafathonah_/video/7638285605557816596?_r=1&amp;u_code=dlhe22ikkib396&amp;region=&amp;mid=7636983236326804231&amp;preview_pb=0&amp;sharer_language=&amp;_d=0&amp;ec_shared_reflux_dynamic_params=%7B%22placeholder_material_id%22%3A%227638285605557816596%22%2C%22placeholder_origin_cover%22%3A%22https%253A%252F%252Fp19-common-sign.tiktokcdn.com%252Ftos-alisg-p-0037%252FoQM6TQABeQpAxXCRfQb84RFFa5fCFGAeAoQoAG~tplv-tiktokx-origin.jpeg%253Fdr%253D14572%2526refresh_token%253D6e984adc%2526x-expires%253D1810198800%2526x-signature%253DmDfkZ%25252Bk%25252FawRucN9fDuDZ2EfGYbI%25253D%2526t%253D4d5b0474%2526ps%253D13740610%2526shp%253Dd05b14bd%2526shcp%253D34ff8df6%2526idc%253Dmy2%2526s%253DTIKTOK_AFFILIATE_VIRAL_VIDEO%22%2C%22placeholder_product_id%22%3A%221729427766722726591%22%2C%22placeholder_video_id%22%3A%227638285605557816596%22%7D&amp;ec_shared_reflux_scene=shop_tab_feed&amp;share_item_id=7638285605557816596&amp;source=h5_t" TargetMode="External"/><Relationship Id="rId4543" Type="http://schemas.openxmlformats.org/officeDocument/2006/relationships/hyperlink" Target="https://vt.tiktok.com/ZSxxALtne/" TargetMode="External"/><Relationship Id="rId5875" Type="http://schemas.openxmlformats.org/officeDocument/2006/relationships/hyperlink" Target="https://vt.tiktok.com/ZS9ks4f57/" TargetMode="External"/><Relationship Id="rId10233" Type="http://schemas.openxmlformats.org/officeDocument/2006/relationships/hyperlink" Target="https://www.tiktok.com/@ningrum1025" TargetMode="External"/><Relationship Id="rId3211" Type="http://schemas.openxmlformats.org/officeDocument/2006/relationships/hyperlink" Target="https://www.tiktok.com/@rindi.afrilia/video/7631976985035689237?_r=1&amp;u_code=dja890i3j90f3j&amp;region=&amp;mid=7615874061603719953&amp;preview_pb=0&amp;sharer_language=&amp;_d=0&amp;ec_shared_reflux_dynamic_params=%7B%22placeholder_material_id%22%3A%227631976985035689237%22%2C%22placeholder_origin_cover%22%3A%22https%253A%252F%252Fp16-common-sign.tiktokcdn.com%252Ftos-alisg-p-0037%252Fo4jpBqspEgqF5jOAWgPI6eqIRpZTDBCwEfxI1c~tplv-tiktokx-origin.jpeg%253Fdr%253D14572%2526refresh_token%253D2b9abf90%2526x-expires%253D1810202400%2526x-signature%253D%25252FTHygJDv7HYc24CvbAstJxm6%25252Bn0%25253D%2526t%253D4d5b0474%2526ps%253D13740610%2526shp%253Dd05b14bd%2526shcp%253D34ff8df6%2526idc%253Dmy2%2526s%253DTIKTOK_AFFILIATE_VIRAL_VIDEO%22%2C%22placeholder_product_id%22%3A%221729427766722726591%22%2C%22placeholder_video_id%22%3A%227631976985035689237%22%7D&amp;ec_shared_reflux_scene=shop_tab_feed&amp;share_item_id=7631976985035689237&amp;source=h5_t" TargetMode="External"/><Relationship Id="rId4542" Type="http://schemas.openxmlformats.org/officeDocument/2006/relationships/hyperlink" Target="https://vt.tiktok.com/ZSxxAdqNp/" TargetMode="External"/><Relationship Id="rId5876" Type="http://schemas.openxmlformats.org/officeDocument/2006/relationships/hyperlink" Target="https://vt.tiktok.com/ZS9ksgkeS/" TargetMode="External"/><Relationship Id="rId10234" Type="http://schemas.openxmlformats.org/officeDocument/2006/relationships/hyperlink" Target="https://www.tiktok.com/@airasyafiahh" TargetMode="External"/><Relationship Id="rId3214" Type="http://schemas.openxmlformats.org/officeDocument/2006/relationships/hyperlink" Target="http://thia.id" TargetMode="External"/><Relationship Id="rId4545" Type="http://schemas.openxmlformats.org/officeDocument/2006/relationships/hyperlink" Target="https://vt.tiktok.com/ZSxHfeJpt/" TargetMode="External"/><Relationship Id="rId5873" Type="http://schemas.openxmlformats.org/officeDocument/2006/relationships/hyperlink" Target="https://www.tiktok.com/@ayulestari_ayou" TargetMode="External"/><Relationship Id="rId10231" Type="http://schemas.openxmlformats.org/officeDocument/2006/relationships/hyperlink" Target="https://www.tiktok.com/@lina.store.official_" TargetMode="External"/><Relationship Id="rId3213" Type="http://schemas.openxmlformats.org/officeDocument/2006/relationships/hyperlink" Target="https://www.tiktok.com/@ginafathonah_/video/7638205412009020692?_r=1&amp;u_code=dlhe22ikkib396&amp;region=&amp;mid=7633007995021970183&amp;preview_pb=0&amp;sharer_language=&amp;_d=0&amp;ec_shared_reflux_dynamic_params=%7B%22placeholder_material_id%22%3A%227638205412009020692%22%2C%22placeholder_origin_cover%22%3A%22https%253A%252F%252Fp16-common-sign.tiktokcdn.com%252Ftos-alisg-p-0037%252FoULPEDAERcBfTq8XWgBFsIYAIAfqrwD9vF2BFB~tplv-tiktokx-origin.jpeg%253Fdr%253D14572%2526refresh_token%253D548bb1e2%2526x-expires%253D1810198800%2526x-signature%253DLsikdCW65WepstkcVvV75biEbGo%25253D%2526t%253D4d5b0474%2526ps%253D13740610%2526shp%253Dd05b14bd%2526shcp%253D34ff8df6%2526idc%253Dmy2%2526s%253DTIKTOK_AFFILIATE_VIRAL_VIDEO%22%2C%22placeholder_product_id%22%3A%221729427766722726591%22%2C%22placeholder_video_id%22%3A%227638205412009020692%22%7D&amp;ec_shared_reflux_scene=shop_tab_feed&amp;share_item_id=7638205412009020692&amp;source=h5_t" TargetMode="External"/><Relationship Id="rId4544" Type="http://schemas.openxmlformats.org/officeDocument/2006/relationships/hyperlink" Target="https://www.tiktok.com/@dewi_maya05" TargetMode="External"/><Relationship Id="rId5874" Type="http://schemas.openxmlformats.org/officeDocument/2006/relationships/hyperlink" Target="https://vt.tiktok.com/ZS9ksB2YF/" TargetMode="External"/><Relationship Id="rId10232" Type="http://schemas.openxmlformats.org/officeDocument/2006/relationships/hyperlink" Target="https://www.tiktok.com/@tiwiknaa" TargetMode="External"/><Relationship Id="rId3205" Type="http://schemas.openxmlformats.org/officeDocument/2006/relationships/hyperlink" Target="https://www.tiktok.com/@rekaamalia99/video/7629960459575250196?_r=1&amp;u_code=dalid5fmdelf64&amp;region=&amp;mid=7485847719690242065&amp;preview_pb=0&amp;sharer_language=&amp;_d=0&amp;ec_shared_reflux_dynamic_params=%7B%22placeholder_material_id%22%3A%227629960459575250196%22%2C%22placeholder_origin_cover%22%3A%22https%253A%252F%252Fp16-common-sign.tiktokcdn.com%252Ftos-alisg-p-0037%252Foo4GBRDrBfHbeOYMxVFeAetQANvpGnAEjjYQtg~tplv-tiktokx-origin.jpeg%253Fdr%253D14572%2526refresh_token%253D20a19bbe%2526x-expires%253D1808204400%2526x-signature%253DagAdjX9qF%25252FJGhYYPjPvyF7NN2eE%25253D%2526t%253D4d5b0474%2526ps%253D13740610%2526shp%253Dd05b14bd%2526shcp%253D34ff8df6%2526idc%253Dmy3%2526s%253DTIKTOK_AFFILIATE_VIRAL_VIDEO%22%2C%22placeholder_product_id%22%3A%221729427766722726591%22%2C%22placeholder_video_id%22%3A%227629960459575250196%22%7D&amp;ec_shared_reflux_scene=shop_tab_feed&amp;share_item_id=7629960459575250196&amp;source=h5_t" TargetMode="External"/><Relationship Id="rId4536" Type="http://schemas.openxmlformats.org/officeDocument/2006/relationships/hyperlink" Target="https://vt.tiktok.com/ZSxRGKbwQ/" TargetMode="External"/><Relationship Id="rId5868" Type="http://schemas.openxmlformats.org/officeDocument/2006/relationships/hyperlink" Target="https://www.tiktok.com/@banddaneiraps" TargetMode="External"/><Relationship Id="rId3204" Type="http://schemas.openxmlformats.org/officeDocument/2006/relationships/hyperlink" Target="https://www.tiktok.com/@rekaamalia99" TargetMode="External"/><Relationship Id="rId4535" Type="http://schemas.openxmlformats.org/officeDocument/2006/relationships/hyperlink" Target="https://www.tiktok.com/@detty.ksr_" TargetMode="External"/><Relationship Id="rId5869" Type="http://schemas.openxmlformats.org/officeDocument/2006/relationships/hyperlink" Target="https://vt.tiktok.com/ZS9ksB2YF/" TargetMode="External"/><Relationship Id="rId3207" Type="http://schemas.openxmlformats.org/officeDocument/2006/relationships/hyperlink" Target="https://www.tiktok.com/@ginafathonah_/video/7638288496570158356?_r=1&amp;u_code=dlhe22ikkib396&amp;region=&amp;mid=7553292329907342092&amp;preview_pb=0&amp;sharer_language=&amp;_d=0&amp;ec_shared_reflux_dynamic_params=%7B%22placeholder_material_id%22%3A%227638288496570158356%22%2C%22placeholder_origin_cover%22%3A%22https%253A%252F%252Fp16-common-sign.tiktokcdn.com%252Ftos-alisg-p-0037%252FoIv8JilIBAAAiwDhDpEvMaYpa7AgIqgVHBXC2~tplv-tiktokx-origin.jpeg%253Fdr%253D14572%2526refresh_token%253Dd0d14afd%2526x-expires%253D1810198800%2526x-signature%253DND3z%25252FkOS2De28G2VmalkSAvT2iQ%25253D%2526t%253D4d5b0474%2526ps%253D13740610%2526shp%253Dd05b14bd%2526shcp%253D34ff8df6%2526idc%253Dmy2%2526s%253DTIKTOK_AFFILIATE_VIRAL_VIDEO%22%2C%22placeholder_product_id%22%3A%221729427766722726591%22%2C%22placeholder_video_id%22%3A%227638288496570158356%22%7D&amp;ec_shared_reflux_scene=shop_tab_feed&amp;share_item_id=7638288496570158356&amp;source=h5_t" TargetMode="External"/><Relationship Id="rId4538" Type="http://schemas.openxmlformats.org/officeDocument/2006/relationships/hyperlink" Target="https://vt.tiktok.com/ZSxk6JTmr/" TargetMode="External"/><Relationship Id="rId5866" Type="http://schemas.openxmlformats.org/officeDocument/2006/relationships/hyperlink" Target="https://vt.tiktok.com/ZS9ksgkeS/" TargetMode="External"/><Relationship Id="rId3206" Type="http://schemas.openxmlformats.org/officeDocument/2006/relationships/hyperlink" Target="https://www.tiktok.com/@rekaamalia99/video/7631510171759660309?is_from_webapp=1&amp;sender_device=pc" TargetMode="External"/><Relationship Id="rId4537" Type="http://schemas.openxmlformats.org/officeDocument/2006/relationships/hyperlink" Target="https://vt.tiktok.com/ZSxRGc6Fs/" TargetMode="External"/><Relationship Id="rId5867" Type="http://schemas.openxmlformats.org/officeDocument/2006/relationships/hyperlink" Target="https://vt.tiktok.com/ZS9ksThGa/" TargetMode="External"/><Relationship Id="rId3209" Type="http://schemas.openxmlformats.org/officeDocument/2006/relationships/hyperlink" Target="https://www.tiktok.com/@grosir_kosmeticjkt" TargetMode="External"/><Relationship Id="rId3208" Type="http://schemas.openxmlformats.org/officeDocument/2006/relationships/hyperlink" Target="https://www.tiktok.com/@ginafathonah_/video/7638285108121734420?_r=1&amp;u_code=dlhe22ikkib396&amp;region=&amp;mid=7636920040638057224&amp;preview_pb=0&amp;sharer_language=&amp;_d=0&amp;ec_shared_reflux_dynamic_params=%7B%22placeholder_material_id%22%3A%227638285108121734420%22%2C%22placeholder_origin_cover%22%3A%22https%253A%252F%252Fp16-common-sign.tiktokcdn.com%252Ftos-alisg-p-0037%252FoALAFI8WA61Aoa2o4ViWAiACIA9BiwHqGIf8nX~tplv-tiktokx-origin.jpeg%253Fdr%253D14572%2526refresh_token%253D8261084e%2526x-expires%253D1810198800%2526x-signature%253DgUMLBbkIQMNYKh8yU0lk5pUUNwY%25253D%2526t%253D4d5b0474%2526ps%253D13740610%2526shp%253Dd05b14bd%2526shcp%253D34ff8df6%2526idc%253Dmy2%2526s%253DTIKTOK_AFFILIATE_VIRAL_VIDEO%22%2C%22placeholder_product_id%22%3A%221729427766722726591%22%2C%22placeholder_video_id%22%3A%227638285108121734420%22%7D&amp;ec_shared_reflux_scene=shop_tab_feed&amp;share_item_id=7638285108121734420&amp;source=h5_t" TargetMode="External"/><Relationship Id="rId4539" Type="http://schemas.openxmlformats.org/officeDocument/2006/relationships/hyperlink" Target="https://www.tiktok.com/@zulfa_jamilaa" TargetMode="External"/><Relationship Id="rId10248" Type="http://schemas.openxmlformats.org/officeDocument/2006/relationships/hyperlink" Target="https://www.tiktok.com/@meyjayanti3" TargetMode="External"/><Relationship Id="rId10249" Type="http://schemas.openxmlformats.org/officeDocument/2006/relationships/hyperlink" Target="https://www.tiktok.com/@rahmaaff05" TargetMode="External"/><Relationship Id="rId10246" Type="http://schemas.openxmlformats.org/officeDocument/2006/relationships/hyperlink" Target="https://www.tiktok.com/@yuayyyy06" TargetMode="External"/><Relationship Id="rId10247" Type="http://schemas.openxmlformats.org/officeDocument/2006/relationships/hyperlink" Target="https://www.tiktok.com/@chaunel99" TargetMode="External"/><Relationship Id="rId5860" Type="http://schemas.openxmlformats.org/officeDocument/2006/relationships/hyperlink" Target="https://vt.tiktok.com/ZS9ks4f57/" TargetMode="External"/><Relationship Id="rId10240" Type="http://schemas.openxmlformats.org/officeDocument/2006/relationships/hyperlink" Target="https://www.tiktok.com/@aunika.nika" TargetMode="External"/><Relationship Id="rId5861" Type="http://schemas.openxmlformats.org/officeDocument/2006/relationships/hyperlink" Target="https://vt.tiktok.com/ZS9ksgkeS/" TargetMode="External"/><Relationship Id="rId10241" Type="http://schemas.openxmlformats.org/officeDocument/2006/relationships/hyperlink" Target="https://www.tiktok.com/@Ila_zachra" TargetMode="External"/><Relationship Id="rId4530" Type="http://schemas.openxmlformats.org/officeDocument/2006/relationships/hyperlink" Target="https://vt.tiktok.com/ZS9QDfUN8/" TargetMode="External"/><Relationship Id="rId3201" Type="http://schemas.openxmlformats.org/officeDocument/2006/relationships/hyperlink" Target="https://www.tiktok.com/@rindi.afrilia/video/7631727110788369684?_r=1&amp;u_code=dja890i3j90f3j&amp;region=&amp;mid=7627393047289989909&amp;preview_pb=0&amp;sharer_language=&amp;_d=0&amp;ec_shared_reflux_dynamic_params=%7B%22placeholder_material_id%22%3A%227631727110788369684%22%2C%22placeholder_origin_cover%22%3A%22https%253A%252F%252Fp16-common-sign.tiktokcdn.com%252Ftos-alisg-p-0037%252Fowc4fAfEc6IBqVRvEngWIzFEEzooOpp2DhBVBw~tplv-tiktokx-origin.jpeg%253Fdr%253D14572%2526refresh_token%253D853c1982%2526x-expires%253D1810202400%2526x-signature%253DOUg3og5%25252FQLVLLUFg6c9GdmjMrI8%25253D%2526t%253D4d5b0474%2526ps%253D13740610%2526shp%253Dd05b14bd%2526shcp%253D34ff8df6%2526idc%253Dmy2%2526s%253DTIKTOK_AFFILIATE_VIRAL_VIDEO%22%2C%22placeholder_product_id%22%3A%221729427766722726591%22%2C%22placeholder_video_id%22%3A%227631727110788369684%22%7D&amp;ec_shared_reflux_scene=shop_tab_feed&amp;share_item_id=7631727110788369684&amp;source=h5_t" TargetMode="External"/><Relationship Id="rId4532" Type="http://schemas.openxmlformats.org/officeDocument/2006/relationships/hyperlink" Target="https://vt.tiktok.com/ZS9QrkXs8/" TargetMode="External"/><Relationship Id="rId5864" Type="http://schemas.openxmlformats.org/officeDocument/2006/relationships/hyperlink" Target="https://vt.tiktok.com/ZS9ksB2YF/" TargetMode="External"/><Relationship Id="rId10244" Type="http://schemas.openxmlformats.org/officeDocument/2006/relationships/hyperlink" Target="https://www.tiktok.com/@yhumigalsaa24" TargetMode="External"/><Relationship Id="rId3200" Type="http://schemas.openxmlformats.org/officeDocument/2006/relationships/hyperlink" Target="https://www.tiktok.com/@vera.bauty" TargetMode="External"/><Relationship Id="rId4531" Type="http://schemas.openxmlformats.org/officeDocument/2006/relationships/hyperlink" Target="https://www.tiktok.com/@dhewinda.key" TargetMode="External"/><Relationship Id="rId5865" Type="http://schemas.openxmlformats.org/officeDocument/2006/relationships/hyperlink" Target="https://vt.tiktok.com/ZS9ks4f57/" TargetMode="External"/><Relationship Id="rId10245" Type="http://schemas.openxmlformats.org/officeDocument/2006/relationships/hyperlink" Target="https://www.tiktok.com/@hadirlahbidadari" TargetMode="External"/><Relationship Id="rId3203" Type="http://schemas.openxmlformats.org/officeDocument/2006/relationships/hyperlink" Target="https://www.tiktok.com/@rindi.afrilia/video/7631980302981762324?_r=1&amp;u_code=dja890i3j90f3j&amp;region=&amp;mid=6954430693141137410&amp;preview_pb=0&amp;sharer_language=&amp;_d=0&amp;ec_shared_reflux_dynamic_params=%7B%22placeholder_material_id%22%3A%227631980302981762324%22%2C%22placeholder_origin_cover%22%3A%22https%253A%252F%252Fp19-common-sign.tiktokcdn.com%252Ftos-alisg-p-0037%252FokBMqav9C6xo0ioCLA7AAPuaieIAPIWwIvbb42~tplv-tiktokx-origin.jpeg%253Fdr%253D14572%2526refresh_token%253D16a998fc%2526x-expires%253D1810202400%2526x-signature%253DAafljJJMWomMjTzTsZrsulg2N44%25253D%2526t%253D4d5b0474%2526ps%253D13740610%2526shp%253Dd05b14bd%2526shcp%253D34ff8df6%2526idc%253Dmy2%2526s%253DTIKTOK_AFFILIATE_VIRAL_VIDEO%22%2C%22placeholder_product_id%22%3A%221729427766722726591%22%2C%22placeholder_video_id%22%3A%227631980302981762324%22%7D&amp;ec_shared_reflux_scene=shop_tab_feed&amp;share_item_id=7631980302981762324&amp;source=h5_t" TargetMode="External"/><Relationship Id="rId4534" Type="http://schemas.openxmlformats.org/officeDocument/2006/relationships/hyperlink" Target="https://vt.tiktok.com/ZS9QfeKH6/" TargetMode="External"/><Relationship Id="rId5862" Type="http://schemas.openxmlformats.org/officeDocument/2006/relationships/hyperlink" Target="https://vt.tiktok.com/ZS9ksThGa/" TargetMode="External"/><Relationship Id="rId10242" Type="http://schemas.openxmlformats.org/officeDocument/2006/relationships/hyperlink" Target="https://www.tiktok.com/@maulidiah.diva" TargetMode="External"/><Relationship Id="rId3202" Type="http://schemas.openxmlformats.org/officeDocument/2006/relationships/hyperlink" Target="https://www.tiktok.com/@rindi.afrilia/video/7631977677720734997?_r=1&amp;u_code=dja890i3j90f3j&amp;region=&amp;mid=7624309771547691796&amp;preview_pb=0&amp;sharer_language=&amp;_d=0&amp;ec_shared_reflux_dynamic_params=%7B%22placeholder_material_id%22%3A%227631977677720734997%22%2C%22placeholder_origin_cover%22%3A%22https%253A%252F%252Fp16-common-sign.tiktokcdn.com%252Ftos-alisg-p-0037%252FoAtufAD6AOLB0FRSpfr3qCcEgICqBxrIjF7jEi~tplv-tiktokx-origin.jpeg%253Fdr%253D14572%2526refresh_token%253D1f8234b8%2526x-expires%253D1810202400%2526x-signature%253D030q%25252Flnx4ooxUEPnWi7HpSVrjd4%25253D%2526t%253D4d5b0474%2526ps%253D13740610%2526shp%253Dd05b14bd%2526shcp%253D34ff8df6%2526idc%253Dmy2%2526s%253DTIKTOK_AFFILIATE_VIRAL_VIDEO%22%2C%22placeholder_product_id%22%3A%221729427766722726591%22%2C%22placeholder_video_id%22%3A%227631977677720734997%22%7D&amp;ec_shared_reflux_scene=shop_tab_feed&amp;share_item_id=7631977677720734997&amp;source=h5_t" TargetMode="External"/><Relationship Id="rId4533" Type="http://schemas.openxmlformats.org/officeDocument/2006/relationships/hyperlink" Target="https://vt.tiktok.com/ZS9Qf1L6X/" TargetMode="External"/><Relationship Id="rId5863" Type="http://schemas.openxmlformats.org/officeDocument/2006/relationships/hyperlink" Target="https://www.tiktok.com/@queenrfl" TargetMode="External"/><Relationship Id="rId10243" Type="http://schemas.openxmlformats.org/officeDocument/2006/relationships/hyperlink" Target="https://www.tiktok.com/@sutanalif08" TargetMode="External"/><Relationship Id="rId190" Type="http://schemas.openxmlformats.org/officeDocument/2006/relationships/hyperlink" Target="https://vt.tiktok.com/ZSmVVPmSM/" TargetMode="External"/><Relationship Id="rId194" Type="http://schemas.openxmlformats.org/officeDocument/2006/relationships/hyperlink" Target="https://vt.tiktok.com/ZSm5pXUCT/" TargetMode="External"/><Relationship Id="rId193" Type="http://schemas.openxmlformats.org/officeDocument/2006/relationships/hyperlink" Target="https://vt.tiktok.com/ZSmyE7ScC/" TargetMode="External"/><Relationship Id="rId192" Type="http://schemas.openxmlformats.org/officeDocument/2006/relationships/hyperlink" Target="https://vt.tiktok.com/ZSmUFCeJg/" TargetMode="External"/><Relationship Id="rId191" Type="http://schemas.openxmlformats.org/officeDocument/2006/relationships/hyperlink" Target="https://www.tiktok.com/@twingirls949" TargetMode="External"/><Relationship Id="rId187" Type="http://schemas.openxmlformats.org/officeDocument/2006/relationships/hyperlink" Target="https://vt.tiktok.com/ZSm6kgc99/" TargetMode="External"/><Relationship Id="rId186" Type="http://schemas.openxmlformats.org/officeDocument/2006/relationships/hyperlink" Target="https://www.tiktok.com/@una.211" TargetMode="External"/><Relationship Id="rId185" Type="http://schemas.openxmlformats.org/officeDocument/2006/relationships/hyperlink" Target="https://vt.tiktok.com/ZSmXYgsGA/" TargetMode="External"/><Relationship Id="rId184" Type="http://schemas.openxmlformats.org/officeDocument/2006/relationships/hyperlink" Target="https://vt.tiktok.com/ZSmBUD2Jj/" TargetMode="External"/><Relationship Id="rId189" Type="http://schemas.openxmlformats.org/officeDocument/2006/relationships/hyperlink" Target="https://vt.tiktok.com/ZSmSVeouv/" TargetMode="External"/><Relationship Id="rId188" Type="http://schemas.openxmlformats.org/officeDocument/2006/relationships/hyperlink" Target="https://vt.tiktok.com/ZSmkt3BWE/" TargetMode="External"/><Relationship Id="rId183" Type="http://schemas.openxmlformats.org/officeDocument/2006/relationships/hyperlink" Target="https://vt.tiktok.com/ZSm98gJ3E/" TargetMode="External"/><Relationship Id="rId182" Type="http://schemas.openxmlformats.org/officeDocument/2006/relationships/hyperlink" Target="https://vt.tiktok.com/ZSmaE6Lwt/" TargetMode="External"/><Relationship Id="rId181" Type="http://schemas.openxmlformats.org/officeDocument/2006/relationships/hyperlink" Target="https://www.tiktok.com/@liakomalasari15" TargetMode="External"/><Relationship Id="rId180" Type="http://schemas.openxmlformats.org/officeDocument/2006/relationships/hyperlink" Target="https://vt.tiktok.com/ZSmpSYjW6/" TargetMode="External"/><Relationship Id="rId176" Type="http://schemas.openxmlformats.org/officeDocument/2006/relationships/hyperlink" Target="https://www.tiktok.com/@enjesoeyono" TargetMode="External"/><Relationship Id="rId175" Type="http://schemas.openxmlformats.org/officeDocument/2006/relationships/hyperlink" Target="https://vt.tiktok.com/ZSmqRGFpK/" TargetMode="External"/><Relationship Id="rId174" Type="http://schemas.openxmlformats.org/officeDocument/2006/relationships/hyperlink" Target="https://vt.tiktok.com/ZSm5kP7s5/" TargetMode="External"/><Relationship Id="rId173" Type="http://schemas.openxmlformats.org/officeDocument/2006/relationships/hyperlink" Target="https://vt.tiktok.com/ZSmQaD1AE/" TargetMode="External"/><Relationship Id="rId179" Type="http://schemas.openxmlformats.org/officeDocument/2006/relationships/hyperlink" Target="https://vt.tiktok.com/ZSmBsvw5Q/" TargetMode="External"/><Relationship Id="rId178" Type="http://schemas.openxmlformats.org/officeDocument/2006/relationships/hyperlink" Target="https://vt.tiktok.com/ZSmV625M6/" TargetMode="External"/><Relationship Id="rId177" Type="http://schemas.openxmlformats.org/officeDocument/2006/relationships/hyperlink" Target="https://vt.tiktok.com/ZSm4oXTkY/" TargetMode="External"/><Relationship Id="rId198" Type="http://schemas.openxmlformats.org/officeDocument/2006/relationships/hyperlink" Target="https://vt.tiktok.com/ZSmryNREP/" TargetMode="External"/><Relationship Id="rId197" Type="http://schemas.openxmlformats.org/officeDocument/2006/relationships/hyperlink" Target="https://vt.tiktok.com/ZSmrUwY13/" TargetMode="External"/><Relationship Id="rId196" Type="http://schemas.openxmlformats.org/officeDocument/2006/relationships/hyperlink" Target="https://www.tiktok.com/@shofi_aliyatuningrum" TargetMode="External"/><Relationship Id="rId195" Type="http://schemas.openxmlformats.org/officeDocument/2006/relationships/hyperlink" Target="https://vt.tiktok.com/ZSmmUWLjp/" TargetMode="External"/><Relationship Id="rId199" Type="http://schemas.openxmlformats.org/officeDocument/2006/relationships/hyperlink" Target="https://vt.tiktok.com/ZSmSG9qK9/" TargetMode="External"/><Relationship Id="rId150" Type="http://schemas.openxmlformats.org/officeDocument/2006/relationships/hyperlink" Target="https://vt.tiktok.com/ZSmxFPXAf/" TargetMode="External"/><Relationship Id="rId149" Type="http://schemas.openxmlformats.org/officeDocument/2006/relationships/hyperlink" Target="https://vt.tiktok.com/ZSm5wJgFR/" TargetMode="External"/><Relationship Id="rId148" Type="http://schemas.openxmlformats.org/officeDocument/2006/relationships/hyperlink" Target="https://vt.tiktok.com/ZSm5TtPSK/" TargetMode="External"/><Relationship Id="rId3270" Type="http://schemas.openxmlformats.org/officeDocument/2006/relationships/hyperlink" Target="https://www.tiktok.com/@productskincare/video/7634944268594957576?_r=1&amp;u_code=dkcmglg7ehgljg&amp;region=&amp;mid=7631027175227591431&amp;preview_pb=0&amp;sharer_language=&amp;_d=0&amp;ec_shared_reflux_dynamic_params=%7B%22placeholder_material_id%22%3A%227634944268594957576%22%2C%22placeholder_origin_cover%22%3A%22https%253A%252F%252Fp16-common-sign.tiktokcdn.com%252Ftos-alisg-p-0037%252Fo4bECxtWIaeEUL9Bu0NDfB5RVWAFBxMgwvlpIT~tplv-tiktokx-origin.jpeg%253Fdr%253D14572%2526refresh_token%253Da2d90ce1%2526x-expires%253D1810198800%2526x-signature%253DYPtmrFbMkfHI%25252FpvuM4C%25252BQoF2WHI%25253D%2526t%253D4d5b0474%2526ps%253D13740610%2526shp%253Dd05b14bd%2526shcp%253D34ff8df6%2526idc%253Dmy2%2526s%253DTIKTOK_AFFILIATE_VIRAL_VIDEO%22%2C%22placeholder_product_id%22%3A%221729427766722726591%22%2C%22placeholder_video_id%22%3A%227634944268594957576%22%7D&amp;ec_shared_reflux_scene=shop_tab_feed&amp;share_item_id=7634944268594957576&amp;source=h5_t" TargetMode="External"/><Relationship Id="rId3272" Type="http://schemas.openxmlformats.org/officeDocument/2006/relationships/hyperlink" Target="https://vt.tiktok.com/ZSQexDEdQ/" TargetMode="External"/><Relationship Id="rId3271" Type="http://schemas.openxmlformats.org/officeDocument/2006/relationships/hyperlink" Target="https://www.tiktok.com/@alimatul018" TargetMode="External"/><Relationship Id="rId143" Type="http://schemas.openxmlformats.org/officeDocument/2006/relationships/hyperlink" Target="https://vt.tiktok.com/ZSmrwFGJx/" TargetMode="External"/><Relationship Id="rId3274" Type="http://schemas.openxmlformats.org/officeDocument/2006/relationships/hyperlink" Target="https://www.tiktok.com/@racun.outfitbymey/video/7638642556191968530?_r=1&amp;u_code=e7l2927dhlabgg&amp;region=&amp;mid=7637379048820198164&amp;preview_pb=0&amp;sharer_language=&amp;_d=0&amp;ec_shared_reflux_dynamic_params=%7B%22placeholder_material_id%22%3A%227638642556191968530%22%2C%22placeholder_origin_cover%22%3A%22https%253A%252F%252Fp16-common-sign.tiktokcdn.com%252Ftos-alisg-p-0037%252FoABbAADCxQUfFIOi14fCj8lvBpca8eIBAEDwcQ~tplv-tiktokx-origin.jpeg%253Fdr%253D14572%2526refresh_token%253D36eeb172%2526x-expires%253D1810195200%2526x-signature%253Dbyrvoyu1GAJK20eNEdAIYuUxJp0%25253D%2526t%253D4d5b0474%2526ps%253D13740610%2526shp%253Dd05b14bd%2526shcp%253D34ff8df6%2526idc%253Dmy2%2526s%253DTIKTOK_AFFILIATE_VIRAL_VIDEO%22%2C%22placeholder_product_id%22%3A%221729427766722726591%22%2C%22placeholder_video_id%22%3A%227638642556191968530%22%7D&amp;ec_shared_reflux_scene=shop_tab_feed&amp;share_item_id=7638642556191968530&amp;source=h5_t" TargetMode="External"/><Relationship Id="rId142" Type="http://schemas.openxmlformats.org/officeDocument/2006/relationships/hyperlink" Target="https://vt.tiktok.com/ZSm2AEe4j/" TargetMode="External"/><Relationship Id="rId3273" Type="http://schemas.openxmlformats.org/officeDocument/2006/relationships/hyperlink" Target="https://www.tiktok.com/@racun.outfitbymey/video/7639231667684527378?_r=1&amp;u_code=e7l2927dhlabgg&amp;region=&amp;mid=7617377616906980117&amp;preview_pb=0&amp;sharer_language=&amp;_d=0&amp;ec_shared_reflux_dynamic_params=%7B%22placeholder_material_id%22%3A%227639231667684527378%22%2C%22placeholder_origin_cover%22%3A%22https%253A%252F%252Fp16-common-sign.tiktokcdn.com%252Ftos-alisg-p-0037%252FowIIBiwzIt1BZpCMIAEUzqia6AlNAAfg31APBF~tplv-tiktokx-origin.jpeg%253Fdr%253D14572%2526refresh_token%253Dc32047c4%2526x-expires%253D1810195200%2526x-signature%253DQYKY1u%25252B2G%25252FnNp%25252FKyGC%25252FhRWq2%25252Bnc%25253D%2526t%253D4d5b0474%2526ps%253D13740610%2526shp%253Dd05b14bd%2526shcp%253D34ff8df6%2526idc%253Dmy2%2526s%253DTIKTOK_AFFILIATE_VIRAL_VIDEO%22%2C%22placeholder_product_id%22%3A%221729427766722726591%22%2C%22placeholder_video_id%22%3A%227639231667684527378%22%7D&amp;ec_shared_reflux_scene=shop_tab_feed&amp;share_item_id=7639231667684527378&amp;source=h5_t" TargetMode="External"/><Relationship Id="rId141" Type="http://schemas.openxmlformats.org/officeDocument/2006/relationships/hyperlink" Target="https://www.tiktok.com/@nunnadesi97" TargetMode="External"/><Relationship Id="rId3276" Type="http://schemas.openxmlformats.org/officeDocument/2006/relationships/hyperlink" Target="https://www.tiktok.com/@arul_baster" TargetMode="External"/><Relationship Id="rId140" Type="http://schemas.openxmlformats.org/officeDocument/2006/relationships/hyperlink" Target="https://vt.tiktok.com/ZSuJyfUsW/" TargetMode="External"/><Relationship Id="rId3275" Type="http://schemas.openxmlformats.org/officeDocument/2006/relationships/hyperlink" Target="https://www.tiktok.com/@racun.outfitbymey/video/7638180161522814215?_r=1&amp;u_code=e7l2927dhlabgg&amp;region=&amp;mid=7634107877507140372&amp;preview_pb=0&amp;sharer_language=&amp;_d=0&amp;ec_shared_reflux_dynamic_params=%7B%22placeholder_material_id%22%3A%227638180161522814215%22%2C%22placeholder_origin_cover%22%3A%22https%253A%252F%252Fp16-common-sign.tiktokcdn.com%252Ftos-alisg-p-0037%252Fo0ATiSsERIXAGUpfo8IBnIDqU9eFEBzEBgCQRA~tplv-tiktokx-origin.jpeg%253Fdr%253D14572%2526refresh_token%253D29eb491a%2526x-expires%253D1810195200%2526x-signature%253DzafkcXNKQg2hWm6nJUuUQlmj6cU%25253D%2526t%253D4d5b0474%2526ps%253D13740610%2526shp%253Dd05b14bd%2526shcp%253D34ff8df6%2526idc%253Dmy2%2526s%253DTIKTOK_AFFILIATE_VIRAL_VIDEO%22%2C%22placeholder_product_id%22%3A%221729427766722726591%22%2C%22placeholder_video_id%22%3A%227638180161522814215%22%7D&amp;ec_shared_reflux_scene=shop_tab_feed&amp;share_item_id=7638180161522814215&amp;source=h5_t" TargetMode="External"/><Relationship Id="rId147" Type="http://schemas.openxmlformats.org/officeDocument/2006/relationships/hyperlink" Target="https://vt.tiktok.com/ZSmDEv86r/" TargetMode="External"/><Relationship Id="rId3278" Type="http://schemas.openxmlformats.org/officeDocument/2006/relationships/hyperlink" Target="https://vt.tiktok.com/ZS96dYuje/" TargetMode="External"/><Relationship Id="rId146" Type="http://schemas.openxmlformats.org/officeDocument/2006/relationships/hyperlink" Target="https://www.tiktok.com/@reviewwilda" TargetMode="External"/><Relationship Id="rId3277" Type="http://schemas.openxmlformats.org/officeDocument/2006/relationships/hyperlink" Target="https://vt.tiktok.com/ZS9LuDorJ/" TargetMode="External"/><Relationship Id="rId145" Type="http://schemas.openxmlformats.org/officeDocument/2006/relationships/hyperlink" Target="https://vt.tiktok.com/ZSmQh7rgo/" TargetMode="External"/><Relationship Id="rId144" Type="http://schemas.openxmlformats.org/officeDocument/2006/relationships/hyperlink" Target="https://vt.tiktok.com/ZSma2tNxY/" TargetMode="External"/><Relationship Id="rId3279" Type="http://schemas.openxmlformats.org/officeDocument/2006/relationships/hyperlink" Target="https://vt.tiktok.com/ZS9kTFutg/" TargetMode="External"/><Relationship Id="rId139" Type="http://schemas.openxmlformats.org/officeDocument/2006/relationships/hyperlink" Target="https://vt.tiktok.com/ZSuJybH8e/" TargetMode="External"/><Relationship Id="rId138" Type="http://schemas.openxmlformats.org/officeDocument/2006/relationships/hyperlink" Target="https://www.tiktok.com/@luthfiiiii13/video/7613044860785806613?is_from_webapp=1&amp;sender_device=pc" TargetMode="External"/><Relationship Id="rId137" Type="http://schemas.openxmlformats.org/officeDocument/2006/relationships/hyperlink" Target="https://www.tiktok.com/@luthfiiiii13/video/7611578265790090517?is_from_webapp=1&amp;sender_device=pc" TargetMode="External"/><Relationship Id="rId4590" Type="http://schemas.openxmlformats.org/officeDocument/2006/relationships/hyperlink" Target="https://vt.tiktok.com/ZS9Qf8CgV/" TargetMode="External"/><Relationship Id="rId3261" Type="http://schemas.openxmlformats.org/officeDocument/2006/relationships/hyperlink" Target="https://www.tiktok.com/@mencuss10" TargetMode="External"/><Relationship Id="rId4592" Type="http://schemas.openxmlformats.org/officeDocument/2006/relationships/hyperlink" Target="https://vt.tiktok.com/ZS9Qywtw3/" TargetMode="External"/><Relationship Id="rId3260" Type="http://schemas.openxmlformats.org/officeDocument/2006/relationships/hyperlink" Target="https://www.tiktok.com/@ginafathonah_/video/7633709453896011029?_r=1&amp;u_code=dlhe22ikkib396&amp;region=&amp;mid=7619637853471640341&amp;preview_pb=0&amp;sharer_language=&amp;_d=0&amp;ec_shared_reflux_dynamic_params=%7B%22placeholder_material_id%22%3A%227633709453896011029%22%2C%22placeholder_origin_cover%22%3A%22https%253A%252F%252Fp16-common-sign.tiktokcdn.com%252Ftos-alisg-p-0037%252FoovEwYflIcvEcT8BNwoDfBZRHiAFBLGg8TGpIs~tplv-tiktokx-origin.jpeg%253Fdr%253D14572%2526refresh_token%253De3cdc61f%2526x-expires%253D1810198800%2526x-signature%253DHHmm7lNZqSGQbSI0ExXwx8ss46g%25253D%2526t%253D4d5b0474%2526ps%253D13740610%2526shp%253Dd05b14bd%2526shcp%253D34ff8df6%2526idc%253Dmy2%2526s%253DTIKTOK_AFFILIATE_VIRAL_VIDEO%22%2C%22placeholder_product_id%22%3A%221729427766722726591%22%2C%22placeholder_video_id%22%3A%227633709453896011029%22%7D&amp;ec_shared_reflux_scene=shop_tab_feed&amp;share_item_id=7633709453896011029&amp;source=h5_t" TargetMode="External"/><Relationship Id="rId4591" Type="http://schemas.openxmlformats.org/officeDocument/2006/relationships/hyperlink" Target="https://vt.tiktok.com/ZS9QfLd9G/" TargetMode="External"/><Relationship Id="rId132" Type="http://schemas.openxmlformats.org/officeDocument/2006/relationships/hyperlink" Target="https://vt.tiktok.com/ZSmUeWvSJ/" TargetMode="External"/><Relationship Id="rId3263" Type="http://schemas.openxmlformats.org/officeDocument/2006/relationships/hyperlink" Target="https://vt.tiktok.com/ZS9RQ1Tyk/" TargetMode="External"/><Relationship Id="rId4594" Type="http://schemas.openxmlformats.org/officeDocument/2006/relationships/hyperlink" Target="https://www.tiktok.com/@slwblla5" TargetMode="External"/><Relationship Id="rId131" Type="http://schemas.openxmlformats.org/officeDocument/2006/relationships/hyperlink" Target="https://www.tiktok.com/@shinta.deput" TargetMode="External"/><Relationship Id="rId3262" Type="http://schemas.openxmlformats.org/officeDocument/2006/relationships/hyperlink" Target="https://vt.tiktok.com/ZS9RQMcXg/" TargetMode="External"/><Relationship Id="rId4593" Type="http://schemas.openxmlformats.org/officeDocument/2006/relationships/hyperlink" Target="https://vt.tiktok.com/ZS9QfND8q/" TargetMode="External"/><Relationship Id="rId130" Type="http://schemas.openxmlformats.org/officeDocument/2006/relationships/hyperlink" Target="https://vt.tiktok.com/ZSuM8hAn5/" TargetMode="External"/><Relationship Id="rId3265" Type="http://schemas.openxmlformats.org/officeDocument/2006/relationships/hyperlink" Target="https://www.tiktok.com/@productskincare/video/7637320589748751624?_r=1&amp;u_code=dkcmglg7ehgljg&amp;region=&amp;mid=7634506985177762580&amp;preview_pb=0&amp;sharer_language=&amp;_d=0&amp;ec_shared_reflux_dynamic_params=%7B%22placeholder_material_id%22%3A%227637320589748751624%22%2C%22placeholder_origin_cover%22%3A%22https%253A%252F%252Fp16-common-sign.tiktokcdn.com%252Ftos-alisg-p-0037%252Fo400A96JigqihzNAHw3IfzOuI2rHBAC5CvlIOu~tplv-tiktokx-origin.jpeg%253Fdr%253D14572%2526refresh_token%253Ddc3af5b4%2526x-expires%253D1810198800%2526x-signature%253DZRzL%25252BbyRJIMnvQnJaI6In%25252BQKAPw%25253D%2526t%253D4d5b0474%2526ps%253D13740610%2526shp%253Dd05b14bd%2526shcp%253D34ff8df6%2526idc%253Dmy2%2526s%253DTIKTOK_AFFILIATE_VIRAL_VIDEO%22%2C%22placeholder_product_id%22%3A%221729427766722726591%22%2C%22placeholder_video_id%22%3A%227637320589748751624%22%7D&amp;ec_shared_reflux_scene=shop_tab_feed&amp;share_item_id=7637320589748751624&amp;source=h5_t" TargetMode="External"/><Relationship Id="rId4596" Type="http://schemas.openxmlformats.org/officeDocument/2006/relationships/hyperlink" Target="https://vt.tiktok.com/ZSxGXyFnE/" TargetMode="External"/><Relationship Id="rId3264" Type="http://schemas.openxmlformats.org/officeDocument/2006/relationships/hyperlink" Target="https://www.tiktok.com/@productskincare/video/7638613765432413448?_r=1&amp;u_code=dkcmglg7ehgljg&amp;region=&amp;mid=7631095982607846165&amp;preview_pb=0&amp;sharer_language=&amp;_d=0&amp;ec_shared_reflux_dynamic_params=%7B%22placeholder_material_id%22%3A%227638613765432413448%22%2C%22placeholder_origin_cover%22%3A%22https%253A%252F%252Fp16-common-sign.tiktokcdn.com%252Ftos-alisg-p-0037%252FoIUy4wDYeC6Q5AFjgDJQqZJDMAISAffAX1nDE4~tplv-tiktokx-origin.jpeg%253Fdr%253D14572%2526refresh_token%253D9bed5ed7%2526x-expires%253D1810198800%2526x-signature%253DtzwgtsZ0KBySkD4hGDCF9Mk7X8w%25253D%2526t%253D4d5b0474%2526ps%253D13740610%2526shp%253Dd05b14bd%2526shcp%253D34ff8df6%2526idc%253Dmy2%2526s%253DTIKTOK_AFFILIATE_VIRAL_VIDEO%22%2C%22placeholder_product_id%22%3A%221729427766722726591%22%2C%22placeholder_video_id%22%3A%227638613765432413448%22%7D&amp;ec_shared_reflux_scene=shop_tab_feed&amp;share_item_id=7638613765432413448&amp;source=h5_t" TargetMode="External"/><Relationship Id="rId4595" Type="http://schemas.openxmlformats.org/officeDocument/2006/relationships/hyperlink" Target="https://vt.tiktok.com/ZSxq61XAe/" TargetMode="External"/><Relationship Id="rId136" Type="http://schemas.openxmlformats.org/officeDocument/2006/relationships/hyperlink" Target="https://www.tiktok.com/@luthfiiiii13" TargetMode="External"/><Relationship Id="rId3267" Type="http://schemas.openxmlformats.org/officeDocument/2006/relationships/hyperlink" Target="https://www.tiktok.com/@productskincare/video/7636394392785341704?_r=1&amp;u_code=dkcmglg7ehgljg&amp;region=&amp;mid=7631435628520950536&amp;preview_pb=0&amp;sharer_language=&amp;_d=0&amp;ec_shared_reflux_dynamic_params=%7B%22placeholder_material_id%22%3A%227636394392785341704%22%2C%22placeholder_origin_cover%22%3A%22https%253A%252F%252Fp16-common-sign.tiktokcdn.com%252Ftos-alisg-p-0037%252FoQ55M4sijCIuBIVICAi0A7TBwquAxAQEPnfCH3~tplv-tiktokx-origin.jpeg%253Fdr%253D14572%2526refresh_token%253D6db1c3ee%2526x-expires%253D1810198800%2526x-signature%253DpulnC0YGuOCLQZpScokqqbpVNjw%25253D%2526t%253D4d5b0474%2526ps%253D13740610%2526shp%253Dd05b14bd%2526shcp%253D34ff8df6%2526idc%253Dmy2%2526s%253DTIKTOK_AFFILIATE_VIRAL_VIDEO%22%2C%22placeholder_product_id%22%3A%221729427766722726591%22%2C%22placeholder_video_id%22%3A%227636394392785341704%22%7D&amp;ec_shared_reflux_scene=shop_tab_feed&amp;share_item_id=7636394392785341704&amp;source=h5_t" TargetMode="External"/><Relationship Id="rId4598" Type="http://schemas.openxmlformats.org/officeDocument/2006/relationships/hyperlink" Target="https://vt.tiktok.com/ZSQJkqCQk/" TargetMode="External"/><Relationship Id="rId135" Type="http://schemas.openxmlformats.org/officeDocument/2006/relationships/hyperlink" Target="https://vt.tiktok.com/ZSmgaVkp5/" TargetMode="External"/><Relationship Id="rId3266" Type="http://schemas.openxmlformats.org/officeDocument/2006/relationships/hyperlink" Target="https://www.tiktok.com/@novachanid" TargetMode="External"/><Relationship Id="rId4597" Type="http://schemas.openxmlformats.org/officeDocument/2006/relationships/hyperlink" Target="https://vt.tiktok.com/ZSxvNVhGD/" TargetMode="External"/><Relationship Id="rId134" Type="http://schemas.openxmlformats.org/officeDocument/2006/relationships/hyperlink" Target="https://vt.tiktok.com/ZSmgaXYGK/" TargetMode="External"/><Relationship Id="rId3269" Type="http://schemas.openxmlformats.org/officeDocument/2006/relationships/hyperlink" Target="https://www.tiktok.com/@productskincare/video/7635497236050300178?_r=1&amp;u_code=dkcmglg7ehgljg&amp;region=&amp;mid=7587804695461972754&amp;preview_pb=0&amp;sharer_language=&amp;_d=0&amp;ec_shared_reflux_dynamic_params=%7B%22placeholder_material_id%22%3A%227635497236050300178%22%2C%22placeholder_origin_cover%22%3A%22https%253A%252F%252Fp16-common-sign.tiktokcdn.com%252Ftos-alisg-p-0037%252FoEnDEpRBBgeneTBGvenRaYKF2AlLwBq4AARsfG~tplv-tiktokx-origin.jpeg%253Fdr%253D14572%2526refresh_token%253D7db3e1fd%2526x-expires%253D1810198800%2526x-signature%253D4agKs%25252F4WUMNOfYan0NJQAINjDuI%25253D%2526t%253D4d5b0474%2526ps%253D13740610%2526shp%253Dd05b14bd%2526shcp%253D34ff8df6%2526idc%253Dmy2%2526s%253DTIKTOK_AFFILIATE_VIRAL_VIDEO%22%2C%22placeholder_product_id%22%3A%221729427766722726591%22%2C%22placeholder_video_id%22%3A%227635497236050300178%22%7D&amp;ec_shared_reflux_scene=shop_tab_feed&amp;share_item_id=7635497236050300178&amp;source=h5_t" TargetMode="External"/><Relationship Id="rId133" Type="http://schemas.openxmlformats.org/officeDocument/2006/relationships/hyperlink" Target="https://vt.tiktok.com/ZSmXGwSJs/" TargetMode="External"/><Relationship Id="rId3268" Type="http://schemas.openxmlformats.org/officeDocument/2006/relationships/hyperlink" Target="https://www.tiktok.com/@productskincare/video/7635987273082785031?_r=1&amp;u_code=dkcmglg7ehgljg&amp;region=&amp;mid=7631475034049088263&amp;preview_pb=0&amp;sharer_language=&amp;_d=0&amp;ec_shared_reflux_dynamic_params=%7B%22placeholder_material_id%22%3A%227635987273082785031%22%2C%22placeholder_origin_cover%22%3A%22https%253A%252F%252Fp19-common-sign.tiktokcdn.com%252Ftos-alisg-p-0037%252FoAaDHnTQw6NDhCZeAs4gHfE3FIAj3CewicOnOQ~tplv-tiktokx-origin.jpeg%253Fdr%253D14572%2526refresh_token%253Da4ee8368%2526x-expires%253D1810198800%2526x-signature%253D5FECmpXO3GjWmyZwnYfa7%25252F%25252Ffit0%25253D%2526t%253D4d5b0474%2526ps%253D13740610%2526shp%253Dd05b14bd%2526shcp%253D34ff8df6%2526idc%253Dmy2%2526s%253DTIKTOK_AFFILIATE_VIRAL_VIDEO%22%2C%22placeholder_product_id%22%3A%221729427766722726591%22%2C%22placeholder_video_id%22%3A%227635987273082785031%22%7D&amp;ec_shared_reflux_scene=shop_tab_feed&amp;share_item_id=7635987273082785031&amp;source=h5_t" TargetMode="External"/><Relationship Id="rId4599" Type="http://schemas.openxmlformats.org/officeDocument/2006/relationships/hyperlink" Target="https://www.tiktok.com/@slsyfr_" TargetMode="External"/><Relationship Id="rId172" Type="http://schemas.openxmlformats.org/officeDocument/2006/relationships/hyperlink" Target="https://vt.tiktok.com/ZSmm3euuB/" TargetMode="External"/><Relationship Id="rId171" Type="http://schemas.openxmlformats.org/officeDocument/2006/relationships/hyperlink" Target="https://www.tiktok.com/@r.amalia_mel" TargetMode="External"/><Relationship Id="rId170" Type="http://schemas.openxmlformats.org/officeDocument/2006/relationships/hyperlink" Target="https://vt.tiktok.com/ZSmQLXbjx/" TargetMode="External"/><Relationship Id="rId3290" Type="http://schemas.openxmlformats.org/officeDocument/2006/relationships/hyperlink" Target="https://www.tiktok.com/@zulfaqurin/video/7632705325912870151" TargetMode="External"/><Relationship Id="rId3292" Type="http://schemas.openxmlformats.org/officeDocument/2006/relationships/hyperlink" Target="https://vt.tiktok.com/ZSHthCCSh/" TargetMode="External"/><Relationship Id="rId3291" Type="http://schemas.openxmlformats.org/officeDocument/2006/relationships/hyperlink" Target="https://www.tiktok.com/@adlysagara" TargetMode="External"/><Relationship Id="rId3294" Type="http://schemas.openxmlformats.org/officeDocument/2006/relationships/hyperlink" Target="https://www.tiktok.com/@andinee__/video/7631951343623654663?_r=1&amp;u_code=l6ma1c5i&amp;region=&amp;mid=7562410626593688337&amp;preview_pb=0&amp;sharer_language=&amp;_d=0&amp;ec_shared_reflux_dynamic_params=%7B%22placeholder_material_id%22%3A%227631951343623654663%22%2C%22placeholder_origin_cover%22%3A%22https%253A%252F%252Fp19-common-sign.tiktokcdn.com%252Ftos-alisg-p-0037%252FoovDCVqiIqyf1GvPIwBRYI19IAp006BrTJ1AiA~tplv-tiktokx-origin.jpeg%253Fdr%253D14572%2526refresh_token%253Ddead9c24%2526x-expires%253D1810195200%2526x-signature%253D8AMzo5aoWILb9wR5ML0jX0h9T3k%25253D%2526t%253D4d5b0474%2526ps%253D13740610%2526shp%253Dd05b14bd%2526shcp%253D34ff8df6%2526idc%253Dmy2%2526s%253DTIKTOK_AFFILIATE_VIRAL_VIDEO%22%2C%22placeholder_product_id%22%3A%221729427766722726591%22%2C%22placeholder_video_id%22%3A%227631951343623654663%22%7D&amp;ec_shared_reflux_scene=shop_tab_feed&amp;share_item_id=7631951343623654663&amp;source=h5_t" TargetMode="External"/><Relationship Id="rId3293" Type="http://schemas.openxmlformats.org/officeDocument/2006/relationships/hyperlink" Target="https://vt.tiktok.com/ZSHETv7K3/" TargetMode="External"/><Relationship Id="rId165" Type="http://schemas.openxmlformats.org/officeDocument/2006/relationships/hyperlink" Target="https://vt.tiktok.com/ZSmGGN7gR/" TargetMode="External"/><Relationship Id="rId3296" Type="http://schemas.openxmlformats.org/officeDocument/2006/relationships/hyperlink" Target="https://www.tiktok.com/@mbaalesta" TargetMode="External"/><Relationship Id="rId164" Type="http://schemas.openxmlformats.org/officeDocument/2006/relationships/hyperlink" Target="https://vt.tiktok.com/ZSmspdV82/" TargetMode="External"/><Relationship Id="rId3295" Type="http://schemas.openxmlformats.org/officeDocument/2006/relationships/hyperlink" Target="https://www.tiktok.com/@andinee__/video/7631950835513101586?_r=1&amp;u_code=l6ma1c5i&amp;region=&amp;mid=7593202190700317447&amp;preview_pb=0&amp;sharer_language=&amp;_d=0&amp;ec_shared_reflux_dynamic_params=%7B%22placeholder_material_id%22%3A%227631950835513101586%22%2C%22placeholder_origin_cover%22%3A%22https%253A%252F%252Fp16-common-sign.tiktokcdn.com%252Ftos-alisg-p-0037%252FoIfpfZRHE8D6zUZEJRFLGQ4cB2C7QgBnizBUOA~tplv-tiktokx-origin.jpeg%253Fdr%253D14572%2526refresh_token%253Da237159a%2526x-expires%253D1810195200%2526x-signature%253D6%25252FcxVia3boTsT3lhGWaP7IX8hWk%25253D%2526t%253D4d5b0474%2526ps%253D13740610%2526shp%253Dd05b14bd%2526shcp%253D34ff8df6%2526idc%253Dmy2%2526s%253DTIKTOK_AFFILIATE_VIRAL_VIDEO%22%2C%22placeholder_product_id%22%3A%221729427766722726591%22%2C%22placeholder_video_id%22%3A%227631950835513101586%22%7D&amp;ec_shared_reflux_scene=shop_tab_feed&amp;share_item_id=7631950835513101586&amp;source=h5_t" TargetMode="External"/><Relationship Id="rId163" Type="http://schemas.openxmlformats.org/officeDocument/2006/relationships/hyperlink" Target="https://vt.tiktok.com/ZSm4EGV9X/" TargetMode="External"/><Relationship Id="rId3298" Type="http://schemas.openxmlformats.org/officeDocument/2006/relationships/hyperlink" Target="https://vt.tiktok.com/ZSHsrcpgK/" TargetMode="External"/><Relationship Id="rId162" Type="http://schemas.openxmlformats.org/officeDocument/2006/relationships/hyperlink" Target="https://vt.tiktok.com/ZSmQWtMkg/" TargetMode="External"/><Relationship Id="rId3297" Type="http://schemas.openxmlformats.org/officeDocument/2006/relationships/hyperlink" Target="https://vt.tiktok.com/ZSHpuuvM8/" TargetMode="External"/><Relationship Id="rId169" Type="http://schemas.openxmlformats.org/officeDocument/2006/relationships/hyperlink" Target="https://vt.tiktok.com/ZSmPsPb1U/" TargetMode="External"/><Relationship Id="rId168" Type="http://schemas.openxmlformats.org/officeDocument/2006/relationships/hyperlink" Target="https://vt.tiktok.com/ZSmBLE6m7/" TargetMode="External"/><Relationship Id="rId3299" Type="http://schemas.openxmlformats.org/officeDocument/2006/relationships/hyperlink" Target="https://www.tiktok.com/@andinee__/video/7631948049421470983?_r=1&amp;u_code=l6ma1c5i&amp;region=&amp;mid=7394239873410484997&amp;preview_pb=0&amp;sharer_language=&amp;_d=0&amp;ec_shared_reflux_dynamic_params=%7B%22placeholder_material_id%22%3A%227631948049421470983%22%2C%22placeholder_origin_cover%22%3A%22https%253A%252F%252Fp16-common-sign.tiktokcdn.com%252Ftos-alisg-p-0037%252FoURU0Ag6fAQf7A3ABDRplKBSQEBUFE5QpiMQyg~tplv-tiktokx-origin.jpeg%253Fdr%253D14572%2526refresh_token%253D1495ccd6%2526x-expires%253D1810195200%2526x-signature%253DRgXgkeMW3WGnKQ7uGtuaptZauJA%25253D%2526t%253D4d5b0474%2526ps%253D13740610%2526shp%253Dd05b14bd%2526shcp%253D34ff8df6%2526idc%253Dmy2%2526s%253DTIKTOK_AFFILIATE_VIRAL_VIDEO%22%2C%22placeholder_product_id%22%3A%221729427766722726591%22%2C%22placeholder_video_id%22%3A%227631948049421470983%22%7D&amp;ec_shared_reflux_scene=shop_tab_feed&amp;share_item_id=7631948049421470983&amp;source=h5_t" TargetMode="External"/><Relationship Id="rId167" Type="http://schemas.openxmlformats.org/officeDocument/2006/relationships/hyperlink" Target="https://vt.tiktok.com/ZSmY8MBbj/" TargetMode="External"/><Relationship Id="rId166" Type="http://schemas.openxmlformats.org/officeDocument/2006/relationships/hyperlink" Target="https://www.tiktok.com/@elzahiraa25" TargetMode="External"/><Relationship Id="rId161" Type="http://schemas.openxmlformats.org/officeDocument/2006/relationships/hyperlink" Target="https://www.tiktok.com/@ririwindarii" TargetMode="External"/><Relationship Id="rId160" Type="http://schemas.openxmlformats.org/officeDocument/2006/relationships/hyperlink" Target="https://vt.tiktok.com/ZSmVPts85/" TargetMode="External"/><Relationship Id="rId159" Type="http://schemas.openxmlformats.org/officeDocument/2006/relationships/hyperlink" Target="https://vt.tiktok.com/ZSmVPDqhW/" TargetMode="External"/><Relationship Id="rId3281" Type="http://schemas.openxmlformats.org/officeDocument/2006/relationships/hyperlink" Target="https://www.tiktok.com/@karaskinbeauty" TargetMode="External"/><Relationship Id="rId3280" Type="http://schemas.openxmlformats.org/officeDocument/2006/relationships/hyperlink" Target="https://www.tiktok.com/@arul_baster/video/7633085032805977365?_r=1&amp;u_code=em5ldfdci12ji3&amp;region=&amp;mid=6618871733141113604&amp;preview_pb=0&amp;sharer_language=&amp;_d=0&amp;ec_shared_reflux_dynamic_params=%7B%22placeholder_material_id%22%3A%227633085032805977365%22%2C%22placeholder_origin_cover%22%3A%22https%253A%252F%252Fp16-common-sign.tiktokcdn.com%252Ftos-alisg-p-0037%252FoQFNcAlQicApGEQpH7FfBBggZVfYnqQVRGDxER~tplv-tiktokx-origin.jpeg%253Fdr%253D14572%2526refresh_token%253D8a40018a%2526x-expires%253D1808992800%2526x-signature%253DaEoDVuZMnIkYVId6OkDF6bczcZ0%25253D%2526t%253D4d5b0474%2526ps%253D13740610%2526shp%253Dd05b14bd%2526shcp%253D34ff8df6%2526idc%253Dmy2%2526s%253DTIKTOK_AFFILIATE_VIRAL_VIDEO%22%2C%22placeholder_product_id%22%3A%221729427766722726591%22%2C%22placeholder_video_id%22%3A%227633085032805977365%22%7D&amp;ec_shared_reflux_scene=shop_tab_feed&amp;share_item_id=7633085032805977365&amp;source=h5_t" TargetMode="External"/><Relationship Id="rId3283" Type="http://schemas.openxmlformats.org/officeDocument/2006/relationships/hyperlink" Target="https://www.tiktok.com/@racun.outfitbymey/video/7635583105973144840?_r=1&amp;u_code=e7l2927dhlabgg&amp;region=&amp;mid=7633025050954992402&amp;preview_pb=0&amp;sharer_language=&amp;_d=0&amp;ec_shared_reflux_dynamic_params=%7B%22placeholder_material_id%22%3A%227635583105973144840%22%2C%22placeholder_origin_cover%22%3A%22https%253A%252F%252Fp16-common-sign.tiktokcdn.com%252Ftos-alisg-p-0037%252FosiUmZIpeAEPBzOBi7O43RCBcn3fI8nDEUygIB~tplv-tiktokx-origin.jpeg%253Fdr%253D14572%2526refresh_token%253D768b8b14%2526x-expires%253D1810195200%2526x-signature%253DHiVyYhPXDLlhxVUmLEFd4uH86r4%25253D%2526t%253D4d5b0474%2526ps%253D13740610%2526shp%253Dd05b14bd%2526shcp%253D34ff8df6%2526idc%253Dmy2%2526s%253DTIKTOK_AFFILIATE_VIRAL_VIDEO%22%2C%22placeholder_product_id%22%3A%221729427766722726591%22%2C%22placeholder_video_id%22%3A%227635583105973144840%22%7D&amp;ec_shared_reflux_scene=shop_tab_feed&amp;share_item_id=7635583105973144840&amp;source=h5_t" TargetMode="External"/><Relationship Id="rId3282" Type="http://schemas.openxmlformats.org/officeDocument/2006/relationships/hyperlink" Target="https://www.tiktok.com/@racun.outfitbymey/video/7637523023406320914?_r=1&amp;u_code=e7l2927dhlabgg&amp;region=&amp;mid=7633025529696897041&amp;preview_pb=0&amp;sharer_language=&amp;_d=0&amp;ec_shared_reflux_dynamic_params=%7B%22placeholder_material_id%22%3A%227637523023406320914%22%2C%22placeholder_origin_cover%22%3A%22https%253A%252F%252Fp16-common-sign.tiktokcdn.com%252Ftos-alisg-p-0037%252FoAdigCAgIgIqHu5ghP8h9I3s0rE7uB43fBiwAA~tplv-tiktokx-origin.jpeg%253Fdr%253D14572%2526refresh_token%253D0378a6f1%2526x-expires%253D1810195200%2526x-signature%253D573p1UCNQ8Ol%25252BrPq9YTdA2ZwZss%25253D%2526t%253D4d5b0474%2526ps%253D13740610%2526shp%253Dd05b14bd%2526shcp%253D34ff8df6%2526idc%253Dmy2%2526s%253DTIKTOK_AFFILIATE_VIRAL_VIDEO%22%2C%22placeholder_product_id%22%3A%221729427766722726591%22%2C%22placeholder_video_id%22%3A%227637523023406320914%22%7D&amp;ec_shared_reflux_scene=shop_tab_feed&amp;share_item_id=7637523023406320914&amp;source=h5_t" TargetMode="External"/><Relationship Id="rId154" Type="http://schemas.openxmlformats.org/officeDocument/2006/relationships/hyperlink" Target="https://vt.tiktok.com/ZSmP8NBeM/" TargetMode="External"/><Relationship Id="rId3285" Type="http://schemas.openxmlformats.org/officeDocument/2006/relationships/hyperlink" Target="https://www.tiktok.com/@andinee__/video/7631951889067674888?_r=1&amp;u_code=l6ma1c5i&amp;region=&amp;mid=7580009550637041681&amp;preview_pb=0&amp;sharer_language=&amp;_d=0&amp;ec_shared_reflux_dynamic_params=%7B%22placeholder_material_id%22%3A%227631951889067674888%22%2C%22placeholder_origin_cover%22%3A%22https%253A%252F%252Fp16-common-sign.tiktokcdn.com%252Ftos-alisg-p-0037%252FoIT1vfURgSEcCvBIgHfUKDAfCjX6go8XAAQMcQ~tplv-tiktokx-origin.jpeg%253Fdr%253D14572%2526refresh_token%253D72ef9744%2526x-expires%253D1810195200%2526x-signature%253DLaJQrl3XAkp45jIM7rMWQVonqDM%25253D%2526t%253D4d5b0474%2526ps%253D13740610%2526shp%253Dd05b14bd%2526shcp%253D34ff8df6%2526idc%253Dmy2%2526s%253DTIKTOK_AFFILIATE_VIRAL_VIDEO%22%2C%22placeholder_product_id%22%3A%221729427766722726591%22%2C%22placeholder_video_id%22%3A%227631951889067674888%22%7D&amp;ec_shared_reflux_scene=shop_tab_feed&amp;share_item_id=7631951889067674888&amp;source=h5_t" TargetMode="External"/><Relationship Id="rId153" Type="http://schemas.openxmlformats.org/officeDocument/2006/relationships/hyperlink" Target="https://vt.tiktok.com/ZSmj4frj8/" TargetMode="External"/><Relationship Id="rId3284" Type="http://schemas.openxmlformats.org/officeDocument/2006/relationships/hyperlink" Target="https://www.tiktok.com/@andinee__/video/7631952626070080786?_r=1&amp;u_code=l6ma1c5i&amp;region=&amp;mid=7609992945409034256&amp;preview_pb=0&amp;sharer_language=&amp;_d=0&amp;ec_shared_reflux_dynamic_params=%7B%22placeholder_material_id%22%3A%227631952626070080786%22%2C%22placeholder_origin_cover%22%3A%22https%253A%252F%252Fp16-common-sign.tiktokcdn.com%252Ftos-alisg-p-0037%252FoM74mAEQQDATDD1fjjFgUIXAqxeMeEA2DCIrCx~tplv-tiktokx-origin.jpeg%253Fdr%253D14572%2526refresh_token%253D30fd2a74%2526x-expires%253D1810195200%2526x-signature%253D%25252FdVsQTV%25252B%25252B62xqOc%25252Fjv%25252FuwEk0Xnk%25253D%2526t%253D4d5b0474%2526ps%253D13740610%2526shp%253Dd05b14bd%2526shcp%253D34ff8df6%2526idc%253Dmy2%2526s%253DTIKTOK_AFFILIATE_VIRAL_VIDEO%22%2C%22placeholder_product_id%22%3A%221729427766722726591%22%2C%22placeholder_video_id%22%3A%227631952626070080786%22%7D&amp;ec_shared_reflux_scene=shop_tab_feed&amp;share_item_id=7631952626070080786&amp;source=h5_t" TargetMode="External"/><Relationship Id="rId152" Type="http://schemas.openxmlformats.org/officeDocument/2006/relationships/hyperlink" Target="https://vt.tiktok.com/ZSmFsnVoD/" TargetMode="External"/><Relationship Id="rId3287" Type="http://schemas.openxmlformats.org/officeDocument/2006/relationships/hyperlink" Target="https://www.tiktok.com/@zulfaqurin/video/7633027930372836616?_r=1&amp;u_code=dmjdg19300dc52&amp;region=&amp;mid=7633027991156558599&amp;preview_pb=0&amp;sharer_language=&amp;_d=0&amp;ec_shared_reflux_dynamic_params=%7B%22placeholder_material_id%22%3A%227633027930372836616%22%2C%22placeholder_origin_cover%22%3A%22https%253A%252F%252Fp16-common-sign.tiktokcdn.com%252Ftos-alisg-p-0037%252FoU3xoiBGICATEIivStiIB1AA9CLwowwOe0vhin~tplv-tiktokx-origin.jpeg%253Fdr%253D14572%2526refresh_token%253Df2ee2b5c%2526x-expires%253D1808992800%2526x-signature%253DCpzVFUMPq6YvXAGjdj8%25252F9VcpUb4%25253D%2526t%253D4d5b0474%2526ps%253D13740610%2526shp%253Dd05b14bd%2526shcp%253D34ff8df6%2526idc%253Dmy2%2526s%253DTIKTOK_AFFILIATE_VIRAL_VIDEO%22%2C%22placeholder_product_id%22%3A%221729427766722726591%22%2C%22placeholder_video_id%22%3A%227633027930372836616%22%7D&amp;ec_shared_reflux_scene=shop_tab_feed&amp;share_item_id=7633027930372836616&amp;source=h5_t" TargetMode="External"/><Relationship Id="rId151" Type="http://schemas.openxmlformats.org/officeDocument/2006/relationships/hyperlink" Target="https://www.tiktok.com/@ayla19553" TargetMode="External"/><Relationship Id="rId3286" Type="http://schemas.openxmlformats.org/officeDocument/2006/relationships/hyperlink" Target="https://www.tiktok.com/@zulfaqurin" TargetMode="External"/><Relationship Id="rId158" Type="http://schemas.openxmlformats.org/officeDocument/2006/relationships/hyperlink" Target="https://vt.tiktok.com/ZSmfyfHhb/" TargetMode="External"/><Relationship Id="rId3289" Type="http://schemas.openxmlformats.org/officeDocument/2006/relationships/hyperlink" Target="https://www.tiktok.com/@zulfaqurin/video/7633027930372836616" TargetMode="External"/><Relationship Id="rId157" Type="http://schemas.openxmlformats.org/officeDocument/2006/relationships/hyperlink" Target="https://vt.tiktok.com/ZSmktpDf8/" TargetMode="External"/><Relationship Id="rId3288" Type="http://schemas.openxmlformats.org/officeDocument/2006/relationships/hyperlink" Target="https://www.tiktok.com/@zulfaqurin/video/7633444706780859655" TargetMode="External"/><Relationship Id="rId156" Type="http://schemas.openxmlformats.org/officeDocument/2006/relationships/hyperlink" Target="https://www.tiktok.com/@yanpuspita05" TargetMode="External"/><Relationship Id="rId155" Type="http://schemas.openxmlformats.org/officeDocument/2006/relationships/hyperlink" Target="https://vt.tiktok.com/ZSmaWycsb/" TargetMode="External"/><Relationship Id="rId9451" Type="http://schemas.openxmlformats.org/officeDocument/2006/relationships/hyperlink" Target="https://vt.tiktok.com/ZSxyAr3NU/" TargetMode="External"/><Relationship Id="rId9452" Type="http://schemas.openxmlformats.org/officeDocument/2006/relationships/hyperlink" Target="https://vt.tiktok.com/ZSxyASNre/" TargetMode="External"/><Relationship Id="rId9453" Type="http://schemas.openxmlformats.org/officeDocument/2006/relationships/hyperlink" Target="https://www.tiktok.com/@Ibundahara.khalid" TargetMode="External"/><Relationship Id="rId9454" Type="http://schemas.openxmlformats.org/officeDocument/2006/relationships/hyperlink" Target="https://vt.tiktok.com/ZSxyABeba/" TargetMode="External"/><Relationship Id="rId8123" Type="http://schemas.openxmlformats.org/officeDocument/2006/relationships/hyperlink" Target="https://vt.tiktok.com/ZSxyN6XRE/" TargetMode="External"/><Relationship Id="rId8122" Type="http://schemas.openxmlformats.org/officeDocument/2006/relationships/hyperlink" Target="https://vt.tiktok.com/ZSxyNj2q3/" TargetMode="External"/><Relationship Id="rId8121" Type="http://schemas.openxmlformats.org/officeDocument/2006/relationships/hyperlink" Target="https://www.tiktok.com/@yourgirll297" TargetMode="External"/><Relationship Id="rId8120" Type="http://schemas.openxmlformats.org/officeDocument/2006/relationships/hyperlink" Target="https://vt.tiktok.com/ZSxH5NcYs/" TargetMode="External"/><Relationship Id="rId9450" Type="http://schemas.openxmlformats.org/officeDocument/2006/relationships/hyperlink" Target="https://vt.tiktok.com/ZSxyAr3NU/" TargetMode="External"/><Relationship Id="rId8127" Type="http://schemas.openxmlformats.org/officeDocument/2006/relationships/hyperlink" Target="https://vt.tiktok.com/ZSxyNXkke/" TargetMode="External"/><Relationship Id="rId9459" Type="http://schemas.openxmlformats.org/officeDocument/2006/relationships/hyperlink" Target="https://vt.tiktok.com/ZSxH5Jx4e/" TargetMode="External"/><Relationship Id="rId8126" Type="http://schemas.openxmlformats.org/officeDocument/2006/relationships/hyperlink" Target="https://www.tiktok.com/@mahkota.najwa" TargetMode="External"/><Relationship Id="rId8125" Type="http://schemas.openxmlformats.org/officeDocument/2006/relationships/hyperlink" Target="https://vt.tiktok.com/ZSxH5YJsG/" TargetMode="External"/><Relationship Id="rId8124" Type="http://schemas.openxmlformats.org/officeDocument/2006/relationships/hyperlink" Target="https://vt.tiktok.com/ZSxHPoM7J/" TargetMode="External"/><Relationship Id="rId9455" Type="http://schemas.openxmlformats.org/officeDocument/2006/relationships/hyperlink" Target="https://vt.tiktok.com/ZSxyS3jRk/" TargetMode="External"/><Relationship Id="rId9456" Type="http://schemas.openxmlformats.org/officeDocument/2006/relationships/hyperlink" Target="https://vt.tiktok.com/ZSxyS3jRk/" TargetMode="External"/><Relationship Id="rId8129" Type="http://schemas.openxmlformats.org/officeDocument/2006/relationships/hyperlink" Target="https://vt.tiktok.com/ZSxH58bpc/" TargetMode="External"/><Relationship Id="rId9457" Type="http://schemas.openxmlformats.org/officeDocument/2006/relationships/hyperlink" Target="https://vt.tiktok.com/ZSxyABeba/" TargetMode="External"/><Relationship Id="rId8128" Type="http://schemas.openxmlformats.org/officeDocument/2006/relationships/hyperlink" Target="https://vt.tiktok.com/ZSxyNqeos/" TargetMode="External"/><Relationship Id="rId9458" Type="http://schemas.openxmlformats.org/officeDocument/2006/relationships/hyperlink" Target="https://www.tiktok.com/@Isfahani10" TargetMode="External"/><Relationship Id="rId9440" Type="http://schemas.openxmlformats.org/officeDocument/2006/relationships/hyperlink" Target="https://vt.tiktok.com/ZSxySoVWA/" TargetMode="External"/><Relationship Id="rId9441" Type="http://schemas.openxmlformats.org/officeDocument/2006/relationships/hyperlink" Target="https://vt.tiktok.com/ZSxySoVWA/" TargetMode="External"/><Relationship Id="rId9442" Type="http://schemas.openxmlformats.org/officeDocument/2006/relationships/hyperlink" Target="https://vt.tiktok.com/ZSxyANvXC/" TargetMode="External"/><Relationship Id="rId9443" Type="http://schemas.openxmlformats.org/officeDocument/2006/relationships/hyperlink" Target="https://www.tiktok.com/@catatanzee" TargetMode="External"/><Relationship Id="rId8112" Type="http://schemas.openxmlformats.org/officeDocument/2006/relationships/hyperlink" Target="https://vt.tiktok.com/ZSxyNfmb1/" TargetMode="External"/><Relationship Id="rId8111" Type="http://schemas.openxmlformats.org/officeDocument/2006/relationships/hyperlink" Target="https://www.tiktok.com/@lyyyyyyyyyy8989" TargetMode="External"/><Relationship Id="rId8110" Type="http://schemas.openxmlformats.org/officeDocument/2006/relationships/hyperlink" Target="https://vt.tiktok.com/ZSxH5uwB6/" TargetMode="External"/><Relationship Id="rId8116" Type="http://schemas.openxmlformats.org/officeDocument/2006/relationships/hyperlink" Target="https://www.tiktok.com/@piespage" TargetMode="External"/><Relationship Id="rId9448" Type="http://schemas.openxmlformats.org/officeDocument/2006/relationships/hyperlink" Target="https://www.tiktok.com/@nzlmghfrh" TargetMode="External"/><Relationship Id="rId8115" Type="http://schemas.openxmlformats.org/officeDocument/2006/relationships/hyperlink" Target="https://vt.tiktok.com/ZSxH5H6BK/" TargetMode="External"/><Relationship Id="rId9449" Type="http://schemas.openxmlformats.org/officeDocument/2006/relationships/hyperlink" Target="https://www.tiktok.com/@nzlmghfrh/video/7647047456009604373?_r=1&amp;u_code=dd30ih1dc6m2h4&amp;region=&amp;mid=7642227862594603793&amp;preview_pb=0&amp;sharer_language=&amp;_d=0&amp;ec_shared_reflux_dynamic_params=%7B%22placeholder_material_id%22%3A%227647047456009604373%22%2C%22placeholder_origin_cover%22%3A%22https%253A%252F%252Fp16-common-sign.tiktokcdn.com%252Ftos-alisg-p-0037%252FoUoo8C4GUCiq0f8LIFq4ZAgvIDGfePDAEjgmBD~tplv-tiktokx-origin.jpeg%253Fdr%253D14572%2526refresh_token%253Ddb327e00%2526x-expires%253D1812099600%2526x-signature%253DncFK29TsE1hXXaD3NhnRRk9ALwg%25253D%2526t%253D4d5b0474%2526ps%253D13740610%2526shp%253Dd05b14bd%2526shcp%253D34ff8df6%2526idc%253Dmy%2526s%253DTIKTOK_AFFILIATE_VIRAL_VIDEO%22%2C%22placeholder_product_id%22%3A%221729427766722726591%22%2C%22placeholder_video_id%22%3A%227647047456009604373%22%7D&amp;ec_shared_reflux_scene=shop_tab_feed&amp;share_item_id=7647047456009604373&amp;source=h5_t" TargetMode="External"/><Relationship Id="rId8114" Type="http://schemas.openxmlformats.org/officeDocument/2006/relationships/hyperlink" Target="https://vt.tiktok.com/ZSxH5smt4/" TargetMode="External"/><Relationship Id="rId8113" Type="http://schemas.openxmlformats.org/officeDocument/2006/relationships/hyperlink" Target="https://vt.tiktok.com/ZSxyNd1RU/" TargetMode="External"/><Relationship Id="rId9444" Type="http://schemas.openxmlformats.org/officeDocument/2006/relationships/hyperlink" Target="https://vt.tiktok.com/ZSxyA8wRx/" TargetMode="External"/><Relationship Id="rId8119" Type="http://schemas.openxmlformats.org/officeDocument/2006/relationships/hyperlink" Target="https://vt.tiktok.com/ZSxH5V23Y/" TargetMode="External"/><Relationship Id="rId9445" Type="http://schemas.openxmlformats.org/officeDocument/2006/relationships/hyperlink" Target="https://vt.tiktok.com/ZSxyAM14h/" TargetMode="External"/><Relationship Id="rId8118" Type="http://schemas.openxmlformats.org/officeDocument/2006/relationships/hyperlink" Target="https://vt.tiktok.com/ZSxyNAuRp/" TargetMode="External"/><Relationship Id="rId9446" Type="http://schemas.openxmlformats.org/officeDocument/2006/relationships/hyperlink" Target="https://vt.tiktok.com/ZSxyAM14h/" TargetMode="External"/><Relationship Id="rId8117" Type="http://schemas.openxmlformats.org/officeDocument/2006/relationships/hyperlink" Target="https://vt.tiktok.com/ZSxyNdgym/" TargetMode="External"/><Relationship Id="rId9447" Type="http://schemas.openxmlformats.org/officeDocument/2006/relationships/hyperlink" Target="https://vt.tiktok.com/ZSxyA8wRx/" TargetMode="External"/><Relationship Id="rId8141" Type="http://schemas.openxmlformats.org/officeDocument/2006/relationships/hyperlink" Target="https://www.tiktok.com/@izza____26" TargetMode="External"/><Relationship Id="rId9473" Type="http://schemas.openxmlformats.org/officeDocument/2006/relationships/hyperlink" Target="https://www.tiktok.com/@Y0ourbeautycare" TargetMode="External"/><Relationship Id="rId8140" Type="http://schemas.openxmlformats.org/officeDocument/2006/relationships/hyperlink" Target="https://vt.tiktok.com/ZSxH5En3S/" TargetMode="External"/><Relationship Id="rId9474" Type="http://schemas.openxmlformats.org/officeDocument/2006/relationships/hyperlink" Target="https://vt.tiktok.com/ZSxHPGYwn/" TargetMode="External"/><Relationship Id="rId9475" Type="http://schemas.openxmlformats.org/officeDocument/2006/relationships/hyperlink" Target="https://vt.tiktok.com/ZSxHPf6cq/" TargetMode="External"/><Relationship Id="rId9476" Type="http://schemas.openxmlformats.org/officeDocument/2006/relationships/hyperlink" Target="https://vt.tiktok.com/ZSxHPf6cq/" TargetMode="External"/><Relationship Id="rId8145" Type="http://schemas.openxmlformats.org/officeDocument/2006/relationships/hyperlink" Target="https://www.tiktok.com/@izza____26/video/7633276012775869714?_r=1&amp;u_code=e541hj83h2a9f1&amp;region=&amp;mid=7633276065426918160&amp;preview_pb=0&amp;sharer_language=&amp;_d=0&amp;ec_shared_reflux_dynamic_params=%7B%22placeholder_material_id%22%3A%227633276012775869714%22%2C%22placeholder_origin_cover%22%3A%22https%253A%252F%252Fp19-common-sign.tiktokcdn.com%252Ftos-alisg-p-0037%252FoYgeuTMIUCbxgAjqGRgAfLIDA2GAI3DcQe8dC4~tplv-tiktokx-origin.jpeg%253Fdr%253D14572%2526refresh_token%253D8d9b6f53%2526x-expires%253D1808992800%2526x-signature%253DOc4B0xkN%25252FqXcR98J64Y1I6GBlBo%25253D%2526t%253D4d5b0474%2526ps%253D13740610%2526shp%253Dd05b14bd%2526shcp%253D34ff8df6%2526idc%253Dmy2%2526s%253DTIKTOK_AFFILIATE_VIRAL_VIDEO%22%2C%22placeholder_product_id%22%3A%221729427766722726591%22%2C%22placeholder_video_id%22%3A%227633276012775869714%22%7D&amp;ec_shared_reflux_scene=shop_tab_feed&amp;share_item_id=7633276012775869714&amp;source=h5_t" TargetMode="External"/><Relationship Id="rId8144" Type="http://schemas.openxmlformats.org/officeDocument/2006/relationships/hyperlink" Target="https://www.tiktok.com/@izza____26/video/7632492805071326471?_r=1&amp;u_code=e541hj83h2a9f1&amp;region=&amp;mid=7632492847914732309&amp;preview_pb=0&amp;sharer_language=&amp;_d=0&amp;ec_shared_reflux_dynamic_params=%7B%22placeholder_material_id%22%3A%227632492805071326471%22%2C%22placeholder_origin_cover%22%3A%22https%253A%252F%252Fp16-common-sign.tiktokcdn.com%252Ftos-alisg-p-0037%252FoUq8sAMRAUB3jiIp77ifBBg19Dhye7IcRNBxE8~tplv-tiktokx-origin.jpeg%253Fdr%253D14572%2526refresh_token%253Dc6bd83fd%2526x-expires%253D1808992800%2526x-signature%253D%25252F3z5ZGQTDPaQg6XGDMOylOOV4gg%25253D%2526t%253D4d5b0474%2526ps%253D13740610%2526shp%253Dd05b14bd%2526shcp%253D34ff8df6%2526idc%253Dmy2%2526s%253DTIKTOK_AFFILIATE_VIRAL_VIDEO%22%2C%22placeholder_product_id%22%3A%221729427766722726591%22%2C%22placeholder_video_id%22%3A%227632492805071326471%22%7D&amp;ec_shared_reflux_scene=shop_tab_feed&amp;share_item_id=7632492805071326471&amp;source=h5_t" TargetMode="External"/><Relationship Id="rId9470" Type="http://schemas.openxmlformats.org/officeDocument/2006/relationships/hyperlink" Target="https://vt.tiktok.com/ZSxHPavfg/" TargetMode="External"/><Relationship Id="rId8143" Type="http://schemas.openxmlformats.org/officeDocument/2006/relationships/hyperlink" Target="https://www.tiktok.com/@izza____26/video/7632105056267013384?_r=1&amp;u_code=e541hj83h2a9f1&amp;region=&amp;mid=7632105101057936146&amp;preview_pb=0&amp;sharer_language=&amp;_d=0&amp;ec_shared_reflux_dynamic_params=%7B%22placeholder_material_id%22%3A%227632105056267013384%22%2C%22placeholder_origin_cover%22%3A%22https%253A%252F%252Fp16-common-sign.tiktokcdn.com%252Ftos-alisg-p-0037%252Fo4VfqF7XAyeRmDjyI8rBOA20zjEE6p6cgBBqIE~tplv-tiktokx-origin.jpeg%253Fdr%253D14572%2526refresh_token%253Df59cf6ec%2526x-expires%253D1808992800%2526x-signature%253DKjQAbpYkAAwTS9Ve1ywbqrO4ASs%25253D%2526t%253D4d5b0474%2526ps%253D13740610%2526shp%253Dd05b14bd%2526shcp%253D34ff8df6%2526idc%253Dmy2%2526s%253DTIKTOK_AFFILIATE_VIRAL_VIDEO%22%2C%22placeholder_product_id%22%3A%221729427766722726591%22%2C%22placeholder_video_id%22%3A%227632105056267013384%22%7D&amp;ec_shared_reflux_scene=shop_tab_feed&amp;share_item_id=7632105056267013384&amp;source=h5_t" TargetMode="External"/><Relationship Id="rId9471" Type="http://schemas.openxmlformats.org/officeDocument/2006/relationships/hyperlink" Target="https://vt.tiktok.com/ZSxHPavfg/" TargetMode="External"/><Relationship Id="rId8142" Type="http://schemas.openxmlformats.org/officeDocument/2006/relationships/hyperlink" Target="https://www.tiktok.com/@izza____26/video/7631733275945438471?_r=1&amp;u_code=e541hj83h2a9f1&amp;region=&amp;mid=7631733314960804626&amp;preview_pb=0&amp;sharer_language=&amp;_d=0&amp;ec_shared_reflux_dynamic_params=%7B%22placeholder_material_id%22%3A%227631733275945438471%22%2C%22placeholder_origin_cover%22%3A%22https%253A%252F%252Fp16-common-sign.tiktokcdn.com%252Ftos-alisg-p-0037%252FoEaBAyppCXRTEtPEFVAnjQQDpgxU6etBGXfGQp~tplv-tiktokx-origin.jpeg%253Fdr%253D14572%2526refresh_token%253D2032f75d%2526x-expires%253D1808470800%2526x-signature%253D71Vm6T7gzQK0qNQfcql3tFc4uL8%25253D%2526t%253D4d5b0474%2526ps%253D13740610%2526shp%253Dd05b14bd%2526shcp%253D34ff8df6%2526idc%253Dmy3%2526s%253DTIKTOK_AFFILIATE_VIRAL_VIDEO%22%2C%22placeholder_product_id%22%3A%221729427766722726591%22%2C%22placeholder_video_id%22%3A%227631733275945438471%22%7D&amp;ec_shared_reflux_scene=shop_tab_feed&amp;share_item_id=7631733275945438471&amp;source=h5_t" TargetMode="External"/><Relationship Id="rId9472" Type="http://schemas.openxmlformats.org/officeDocument/2006/relationships/hyperlink" Target="https://vt.tiktok.com/ZSxHPvDoX/" TargetMode="External"/><Relationship Id="rId8149" Type="http://schemas.openxmlformats.org/officeDocument/2006/relationships/hyperlink" Target="https://vt.tiktok.com/ZSxULkUcX/" TargetMode="External"/><Relationship Id="rId8148" Type="http://schemas.openxmlformats.org/officeDocument/2006/relationships/hyperlink" Target="https://vt.tiktok.com/ZSxyNsAmS/" TargetMode="External"/><Relationship Id="rId8147" Type="http://schemas.openxmlformats.org/officeDocument/2006/relationships/hyperlink" Target="https://www.tiktok.com/@bang.fine/video/7631215544573709575?_r=1&amp;u_code=e8k6ahi7ek94cj&amp;region=&amp;mid=7573609115340326929&amp;preview_pb=0&amp;sharer_language=&amp;_d=0&amp;ec_shared_reflux_dynamic_params=%7B%22placeholder_material_id%22%3A%227631215544573709575%22%2C%22placeholder_origin_cover%22%3A%22https%253A%252F%252Fp16-sign-sg.tiktokcdn.com%252Ftos-alisg-p-0037%252Fo8rIqIh4wALjA4xEIivb80BAL98rKiCBiVteBn~tplv-tiktokx-origin.jpeg%253Fdr%253D14572%2526refresh_token%253Dcb6b2f94%2526x-expires%253D1808474400%2526x-signature%253DOaVybupq7OL27qAF5DVZuClYm7k%25253D%2526t%253D4d5b0474%2526ps%253D13740610%2526shp%253Dd05b14bd%2526shcp%253D34ff8df6%2526idc%253Dmy3%2526s%253DTIKTOK_AFFILIATE_VIRAL_VIDEO%22%2C%22placeholder_product_id%22%3A%221729427766722726591%22%2C%22placeholder_video_id%22%3A%227631215544573709575%22%7D&amp;ec_shared_reflux_scene=shop_tab_feed&amp;share_item_id=7631215544573709575&amp;source=h5_t" TargetMode="External"/><Relationship Id="rId8146" Type="http://schemas.openxmlformats.org/officeDocument/2006/relationships/hyperlink" Target="https://www.tiktok.com/@bang.fine" TargetMode="External"/><Relationship Id="rId9477" Type="http://schemas.openxmlformats.org/officeDocument/2006/relationships/hyperlink" Target="https://vt.tiktok.com/ZSxHPGYwn/" TargetMode="External"/><Relationship Id="rId9478" Type="http://schemas.openxmlformats.org/officeDocument/2006/relationships/hyperlink" Target="https://www.tiktok.com/@Aromatic25_" TargetMode="External"/><Relationship Id="rId9479" Type="http://schemas.openxmlformats.org/officeDocument/2006/relationships/hyperlink" Target="https://vt.tiktok.com/ZSxHPxVWR/" TargetMode="External"/><Relationship Id="rId8130" Type="http://schemas.openxmlformats.org/officeDocument/2006/relationships/hyperlink" Target="https://vt.tiktok.com/ZSxH52eFq/" TargetMode="External"/><Relationship Id="rId9462" Type="http://schemas.openxmlformats.org/officeDocument/2006/relationships/hyperlink" Target="https://vt.tiktok.com/ZSxH5Jx4e/" TargetMode="External"/><Relationship Id="rId9463" Type="http://schemas.openxmlformats.org/officeDocument/2006/relationships/hyperlink" Target="https://www.tiktok.com/@ressanovelya_" TargetMode="External"/><Relationship Id="rId9464" Type="http://schemas.openxmlformats.org/officeDocument/2006/relationships/hyperlink" Target="https://vt.tiktok.com/ZSxHPQ5KF/" TargetMode="External"/><Relationship Id="rId9465" Type="http://schemas.openxmlformats.org/officeDocument/2006/relationships/hyperlink" Target="https://vt.tiktok.com/ZSxHPqTkm" TargetMode="External"/><Relationship Id="rId8134" Type="http://schemas.openxmlformats.org/officeDocument/2006/relationships/hyperlink" Target="https://vt.tiktok.com/ZSxH5F59a/" TargetMode="External"/><Relationship Id="rId8133" Type="http://schemas.openxmlformats.org/officeDocument/2006/relationships/hyperlink" Target="https://vt.tiktok.com/ZSxyNQkmh/" TargetMode="External"/><Relationship Id="rId8132" Type="http://schemas.openxmlformats.org/officeDocument/2006/relationships/hyperlink" Target="https://vt.tiktok.com/ZSxyNvkQ4/" TargetMode="External"/><Relationship Id="rId9460" Type="http://schemas.openxmlformats.org/officeDocument/2006/relationships/hyperlink" Target="https://vt.tiktok.com/ZSxHPCEjK/" TargetMode="External"/><Relationship Id="rId8131" Type="http://schemas.openxmlformats.org/officeDocument/2006/relationships/hyperlink" Target="https://www.tiktok.com/@yuliiasari.ollshop" TargetMode="External"/><Relationship Id="rId9461" Type="http://schemas.openxmlformats.org/officeDocument/2006/relationships/hyperlink" Target="https://vt.tiktok.com/ZSxHPCEjK/" TargetMode="External"/><Relationship Id="rId8138" Type="http://schemas.openxmlformats.org/officeDocument/2006/relationships/hyperlink" Target="https://vt.tiktok.com/ZSxyNtyTk/" TargetMode="External"/><Relationship Id="rId8137" Type="http://schemas.openxmlformats.org/officeDocument/2006/relationships/hyperlink" Target="https://vt.tiktok.com/ZSxyNG2f5/" TargetMode="External"/><Relationship Id="rId8136" Type="http://schemas.openxmlformats.org/officeDocument/2006/relationships/hyperlink" Target="https://www.tiktok.com/@cinonngggg" TargetMode="External"/><Relationship Id="rId8135" Type="http://schemas.openxmlformats.org/officeDocument/2006/relationships/hyperlink" Target="https://vt.tiktok.com/ZSxH5FNW4/" TargetMode="External"/><Relationship Id="rId9466" Type="http://schemas.openxmlformats.org/officeDocument/2006/relationships/hyperlink" Target="https://vt.tiktok.com/ZSxHPqTkm" TargetMode="External"/><Relationship Id="rId9467" Type="http://schemas.openxmlformats.org/officeDocument/2006/relationships/hyperlink" Target="https://vt.tiktok.com/ZSxHPQ5KF/" TargetMode="External"/><Relationship Id="rId9468" Type="http://schemas.openxmlformats.org/officeDocument/2006/relationships/hyperlink" Target="https://www.tiktok.com/@cicichynnn" TargetMode="External"/><Relationship Id="rId8139" Type="http://schemas.openxmlformats.org/officeDocument/2006/relationships/hyperlink" Target="https://vt.tiktok.com/ZSxH5KCJV/" TargetMode="External"/><Relationship Id="rId9469" Type="http://schemas.openxmlformats.org/officeDocument/2006/relationships/hyperlink" Target="https://vt.tiktok.com/ZSxHPvDoX/" TargetMode="External"/><Relationship Id="rId9419" Type="http://schemas.openxmlformats.org/officeDocument/2006/relationships/hyperlink" Target="https://vt.tiktok.com/ZSxH1hEMf/" TargetMode="External"/><Relationship Id="rId9410" Type="http://schemas.openxmlformats.org/officeDocument/2006/relationships/hyperlink" Target="https://vt.tiktok.com/ZSx3kW2tn/" TargetMode="External"/><Relationship Id="rId9415" Type="http://schemas.openxmlformats.org/officeDocument/2006/relationships/hyperlink" Target="https://vt.tiktok.com/ZSxH1mhRd/" TargetMode="External"/><Relationship Id="rId9416" Type="http://schemas.openxmlformats.org/officeDocument/2006/relationships/hyperlink" Target="https://vt.tiktok.com/ZSxH1mhRd/" TargetMode="External"/><Relationship Id="rId9417" Type="http://schemas.openxmlformats.org/officeDocument/2006/relationships/hyperlink" Target="https://vt.tiktok.com/ZSxH1Y7sd/" TargetMode="External"/><Relationship Id="rId9418" Type="http://schemas.openxmlformats.org/officeDocument/2006/relationships/hyperlink" Target="https://www.tiktok.com/@alonicccca" TargetMode="External"/><Relationship Id="rId9411" Type="http://schemas.openxmlformats.org/officeDocument/2006/relationships/hyperlink" Target="https://vt.tiktok.com/ZSxH1xGfU/" TargetMode="External"/><Relationship Id="rId9412" Type="http://schemas.openxmlformats.org/officeDocument/2006/relationships/hyperlink" Target="https://vt.tiktok.com/ZSxH1mytA/" TargetMode="External"/><Relationship Id="rId9413" Type="http://schemas.openxmlformats.org/officeDocument/2006/relationships/hyperlink" Target="https://www.tiktok.com/@elfttrn" TargetMode="External"/><Relationship Id="rId9414" Type="http://schemas.openxmlformats.org/officeDocument/2006/relationships/hyperlink" Target="https://vt.tiktok.com/ZSxH1Y7sd/" TargetMode="External"/><Relationship Id="rId9408" Type="http://schemas.openxmlformats.org/officeDocument/2006/relationships/hyperlink" Target="https://www.tiktok.com/@Wiwitsusilawati22" TargetMode="External"/><Relationship Id="rId9409" Type="http://schemas.openxmlformats.org/officeDocument/2006/relationships/hyperlink" Target="https://vt.tiktok.com/ZSxv492N6/" TargetMode="External"/><Relationship Id="rId9404" Type="http://schemas.openxmlformats.org/officeDocument/2006/relationships/hyperlink" Target="https://vt.tiktok.com/ZSx3PCJ61/" TargetMode="External"/><Relationship Id="rId9405" Type="http://schemas.openxmlformats.org/officeDocument/2006/relationships/hyperlink" Target="https://vt.tiktok.com/ZSx3PvuDP/" TargetMode="External"/><Relationship Id="rId9406" Type="http://schemas.openxmlformats.org/officeDocument/2006/relationships/hyperlink" Target="https://vt.tiktok.com/ZSxyA5Dpm/" TargetMode="External"/><Relationship Id="rId9407" Type="http://schemas.openxmlformats.org/officeDocument/2006/relationships/hyperlink" Target="https://vt.tiktok.com/ZSxyAmmXk/" TargetMode="External"/><Relationship Id="rId9400" Type="http://schemas.openxmlformats.org/officeDocument/2006/relationships/hyperlink" Target="https://vt.tiktok.com/ZSxyAaAv6/" TargetMode="External"/><Relationship Id="rId9401" Type="http://schemas.openxmlformats.org/officeDocument/2006/relationships/hyperlink" Target="https://vt.tiktok.com/ZSxyAaAv6/" TargetMode="External"/><Relationship Id="rId9402" Type="http://schemas.openxmlformats.org/officeDocument/2006/relationships/hyperlink" Target="https://vt.tiktok.com/ZSxyAXXLK/" TargetMode="External"/><Relationship Id="rId9403" Type="http://schemas.openxmlformats.org/officeDocument/2006/relationships/hyperlink" Target="https://www.tiktok.com/@uni_delfia" TargetMode="External"/><Relationship Id="rId9430" Type="http://schemas.openxmlformats.org/officeDocument/2006/relationships/hyperlink" Target="https://vt.tiktok.com/ZSxyAaoJY/" TargetMode="External"/><Relationship Id="rId9431" Type="http://schemas.openxmlformats.org/officeDocument/2006/relationships/hyperlink" Target="https://vt.tiktok.com/ZSxyAaoJY/" TargetMode="External"/><Relationship Id="rId9432" Type="http://schemas.openxmlformats.org/officeDocument/2006/relationships/hyperlink" Target="https://vt.tiktok.com/ZSxyAAgvA/" TargetMode="External"/><Relationship Id="rId8101" Type="http://schemas.openxmlformats.org/officeDocument/2006/relationships/hyperlink" Target="https://www.tiktok.com/@mamabakolkosmetik123" TargetMode="External"/><Relationship Id="rId8100" Type="http://schemas.openxmlformats.org/officeDocument/2006/relationships/hyperlink" Target="https://vt.tiktok.com/ZSxH5q8j4/" TargetMode="External"/><Relationship Id="rId8105" Type="http://schemas.openxmlformats.org/officeDocument/2006/relationships/hyperlink" Target="https://vt.tiktok.com/ZSxH5snFU/" TargetMode="External"/><Relationship Id="rId9437" Type="http://schemas.openxmlformats.org/officeDocument/2006/relationships/hyperlink" Target="https://vt.tiktok.com/ZSxyAMGFy/" TargetMode="External"/><Relationship Id="rId8104" Type="http://schemas.openxmlformats.org/officeDocument/2006/relationships/hyperlink" Target="https://vt.tiktok.com/ZSxH5XhYn/" TargetMode="External"/><Relationship Id="rId9438" Type="http://schemas.openxmlformats.org/officeDocument/2006/relationships/hyperlink" Target="https://www.tiktok.com/@Bundaandhira" TargetMode="External"/><Relationship Id="rId8103" Type="http://schemas.openxmlformats.org/officeDocument/2006/relationships/hyperlink" Target="https://vt.tiktok.com/ZSxy2Sd52/" TargetMode="External"/><Relationship Id="rId9439" Type="http://schemas.openxmlformats.org/officeDocument/2006/relationships/hyperlink" Target="https://vt.tiktok.com/ZSxyANvXC/" TargetMode="External"/><Relationship Id="rId8102" Type="http://schemas.openxmlformats.org/officeDocument/2006/relationships/hyperlink" Target="https://vt.tiktok.com/ZSxy2HF47/" TargetMode="External"/><Relationship Id="rId8109" Type="http://schemas.openxmlformats.org/officeDocument/2006/relationships/hyperlink" Target="https://vt.tiktok.com/ZSxH5XEQU/" TargetMode="External"/><Relationship Id="rId9433" Type="http://schemas.openxmlformats.org/officeDocument/2006/relationships/hyperlink" Target="https://www.tiktok.com/@saniverse30_" TargetMode="External"/><Relationship Id="rId8108" Type="http://schemas.openxmlformats.org/officeDocument/2006/relationships/hyperlink" Target="https://vt.tiktok.com/ZSxULgt9T/" TargetMode="External"/><Relationship Id="rId9434" Type="http://schemas.openxmlformats.org/officeDocument/2006/relationships/hyperlink" Target="https://vt.tiktok.com/ZSxyAMGFy/" TargetMode="External"/><Relationship Id="rId8107" Type="http://schemas.openxmlformats.org/officeDocument/2006/relationships/hyperlink" Target="https://vt.tiktok.com/ZSxy2r2wx/" TargetMode="External"/><Relationship Id="rId9435" Type="http://schemas.openxmlformats.org/officeDocument/2006/relationships/hyperlink" Target="https://vt.tiktok.com/ZSxyANDsv/" TargetMode="External"/><Relationship Id="rId8106" Type="http://schemas.openxmlformats.org/officeDocument/2006/relationships/hyperlink" Target="https://www.tiktok.com/@Wulansipalingmakeup" TargetMode="External"/><Relationship Id="rId9436" Type="http://schemas.openxmlformats.org/officeDocument/2006/relationships/hyperlink" Target="https://vt.tiktok.com/ZSxyANDsv/" TargetMode="External"/><Relationship Id="rId9420" Type="http://schemas.openxmlformats.org/officeDocument/2006/relationships/hyperlink" Target="https://vt.tiktok.com/ZSxH1Fgot/" TargetMode="External"/><Relationship Id="rId9421" Type="http://schemas.openxmlformats.org/officeDocument/2006/relationships/hyperlink" Target="https://vt.tiktok.com/ZSxH1Fgot/" TargetMode="External"/><Relationship Id="rId9426" Type="http://schemas.openxmlformats.org/officeDocument/2006/relationships/hyperlink" Target="https://vt.tiktok.com/ZSxyACb5D/" TargetMode="External"/><Relationship Id="rId9427" Type="http://schemas.openxmlformats.org/officeDocument/2006/relationships/hyperlink" Target="https://vt.tiktok.com/ZSxyA5nwF/" TargetMode="External"/><Relationship Id="rId9428" Type="http://schemas.openxmlformats.org/officeDocument/2006/relationships/hyperlink" Target="https://www.tiktok.com/@Veranika.kim" TargetMode="External"/><Relationship Id="rId9429" Type="http://schemas.openxmlformats.org/officeDocument/2006/relationships/hyperlink" Target="https://vt.tiktok.com/ZSxWhdpoY/" TargetMode="External"/><Relationship Id="rId9422" Type="http://schemas.openxmlformats.org/officeDocument/2006/relationships/hyperlink" Target="https://vt.tiktok.com/ZSxH1hEMf/" TargetMode="External"/><Relationship Id="rId9423" Type="http://schemas.openxmlformats.org/officeDocument/2006/relationships/hyperlink" Target="https://www.tiktok.com/@snhabibah_" TargetMode="External"/><Relationship Id="rId9424" Type="http://schemas.openxmlformats.org/officeDocument/2006/relationships/hyperlink" Target="https://vt.tiktok.com/ZSxyA5nwF/" TargetMode="External"/><Relationship Id="rId9425" Type="http://schemas.openxmlformats.org/officeDocument/2006/relationships/hyperlink" Target="https://vt.tiktok.com/ZSxyACb5D/" TargetMode="External"/><Relationship Id="rId4602" Type="http://schemas.openxmlformats.org/officeDocument/2006/relationships/hyperlink" Target="https://vt.tiktok.com/ZS9Qywtw3/" TargetMode="External"/><Relationship Id="rId5934" Type="http://schemas.openxmlformats.org/officeDocument/2006/relationships/hyperlink" Target="https://vt.tiktok.com/ZSxGJvYKh/" TargetMode="External"/><Relationship Id="rId4601" Type="http://schemas.openxmlformats.org/officeDocument/2006/relationships/hyperlink" Target="https://vt.tiktok.com/ZS9QfLd9G/" TargetMode="External"/><Relationship Id="rId5935" Type="http://schemas.openxmlformats.org/officeDocument/2006/relationships/hyperlink" Target="https://vt.tiktok.com/ZSxGJ3j4G/" TargetMode="External"/><Relationship Id="rId4604" Type="http://schemas.openxmlformats.org/officeDocument/2006/relationships/hyperlink" Target="https://www.tiktok.com/@e.mam__" TargetMode="External"/><Relationship Id="rId5932" Type="http://schemas.openxmlformats.org/officeDocument/2006/relationships/hyperlink" Target="https://vt.tiktok.com/ZSxGJtyL2/" TargetMode="External"/><Relationship Id="rId4603" Type="http://schemas.openxmlformats.org/officeDocument/2006/relationships/hyperlink" Target="https://vt.tiktok.com/ZS9QfND8q/" TargetMode="External"/><Relationship Id="rId5933" Type="http://schemas.openxmlformats.org/officeDocument/2006/relationships/hyperlink" Target="https://www.tiktok.com/@rafiria1682" TargetMode="External"/><Relationship Id="rId4606" Type="http://schemas.openxmlformats.org/officeDocument/2006/relationships/hyperlink" Target="https://vt.tiktok.com/ZS9QfLd9G/" TargetMode="External"/><Relationship Id="rId5938" Type="http://schemas.openxmlformats.org/officeDocument/2006/relationships/hyperlink" Target="https://www.tiktok.com/@bellakhairunnisa7" TargetMode="External"/><Relationship Id="rId4605" Type="http://schemas.openxmlformats.org/officeDocument/2006/relationships/hyperlink" Target="https://vt.tiktok.com/ZS9Qf8CgV/" TargetMode="External"/><Relationship Id="rId5939" Type="http://schemas.openxmlformats.org/officeDocument/2006/relationships/hyperlink" Target="https://vt.tiktok.com/ZS9BcWrwF/" TargetMode="External"/><Relationship Id="rId4608" Type="http://schemas.openxmlformats.org/officeDocument/2006/relationships/hyperlink" Target="https://vt.tiktok.com/ZS9QfND8q/" TargetMode="External"/><Relationship Id="rId5936" Type="http://schemas.openxmlformats.org/officeDocument/2006/relationships/hyperlink" Target="https://vt.tiktok.com/ZSxGeFs88/" TargetMode="External"/><Relationship Id="rId4607" Type="http://schemas.openxmlformats.org/officeDocument/2006/relationships/hyperlink" Target="https://vt.tiktok.com/ZS9Qywtw3/" TargetMode="External"/><Relationship Id="rId5937" Type="http://schemas.openxmlformats.org/officeDocument/2006/relationships/hyperlink" Target="https://vt.tiktok.com/ZSxGeLaCo/" TargetMode="External"/><Relationship Id="rId4609" Type="http://schemas.openxmlformats.org/officeDocument/2006/relationships/hyperlink" Target="https://www.tiktok.com/@izwanjuliyans" TargetMode="External"/><Relationship Id="rId5930" Type="http://schemas.openxmlformats.org/officeDocument/2006/relationships/hyperlink" Target="https://vt.tiktok.com/ZSxGJENdJ/" TargetMode="External"/><Relationship Id="rId5931" Type="http://schemas.openxmlformats.org/officeDocument/2006/relationships/hyperlink" Target="https://vt.tiktok.com/ZSxGJvvk4/" TargetMode="External"/><Relationship Id="rId4600" Type="http://schemas.openxmlformats.org/officeDocument/2006/relationships/hyperlink" Target="https://vt.tiktok.com/ZS9Qf8CgV/" TargetMode="External"/><Relationship Id="rId5923" Type="http://schemas.openxmlformats.org/officeDocument/2006/relationships/hyperlink" Target="https://www.tiktok.com/@iyainimutiii" TargetMode="External"/><Relationship Id="rId5924" Type="http://schemas.openxmlformats.org/officeDocument/2006/relationships/hyperlink" Target="https://www.tiktok.com/@iyainimutiii/video/7632566015762730260?_r=1&amp;u_code=ei699kg7kl50i4&amp;region=&amp;mid=7615505451033380880&amp;preview_pb=0&amp;sharer_language=&amp;_d=0&amp;ec_shared_reflux_dynamic_params=%7B%22placeholder_material_id%22%3A%227632566015762730260%22%2C%22placeholder_origin_cover%22%3A%22https%253A%252F%252Fp16-sign-sg.tiktokcdn.com%252Ftos-alisg-p-0037%252FoMgEYnF71QDk2uBAHg5gfaEEpsQbRFKBUfmFUB~tplv-tiktokx-origin.jpeg%253Fdr%253D14572%2526refresh_token%253Db8d71f92%2526x-expires%253D1808992800%2526x-signature%253DF8XOJK88ES8SAyVYwegeOT4edpA%25253D%2526t%253D4d5b0474%2526ps%253D13740610%2526shp%253Dd05b14bd%2526shcp%253D34ff8df6%2526idc%253Dmy2%2526s%253DTIKTOK_AFFILIATE_VIRAL_VIDEO%22%2C%22placeholder_product_id%22%3A%221729427766722726591%22%2C%22placeholder_video_id%22%3A%227632566015762730260%22%7D&amp;ec_shared_reflux_scene=shop_tab_feed&amp;share_item_id=7632566015762730260&amp;source=h5_t" TargetMode="External"/><Relationship Id="rId5921" Type="http://schemas.openxmlformats.org/officeDocument/2006/relationships/hyperlink" Target="https://vt.tiktok.com/ZSxme86vJ/" TargetMode="External"/><Relationship Id="rId5922" Type="http://schemas.openxmlformats.org/officeDocument/2006/relationships/hyperlink" Target="https://vt.tiktok.com/ZSxP9Rnxj/" TargetMode="External"/><Relationship Id="rId5927" Type="http://schemas.openxmlformats.org/officeDocument/2006/relationships/hyperlink" Target="https://vt.tiktok.com/ZSxVVg9NV/" TargetMode="External"/><Relationship Id="rId5928" Type="http://schemas.openxmlformats.org/officeDocument/2006/relationships/hyperlink" Target="https://www.tiktok.com/@Jovy_beauty" TargetMode="External"/><Relationship Id="rId5925" Type="http://schemas.openxmlformats.org/officeDocument/2006/relationships/hyperlink" Target="https://www.tiktok.com/@iyainimutiii/video/7632825783249063188?_d=0&amp;_r=1&amp;ec_shared_reflux_dynamic_params=%7B%22placeholder_material_id%22%3A%227632825783249063188%22%2C%22placeholder_origin_cover%22%3A%22https%253A%252F%252Fp16-sign-sg.tiktokcdn.com%252Ftos-alisg-p-0037%252Fo0NtaD3EKkR9AIgIdBFpAPzDgfUzdBEqfT7E33~tplv-tiktokx-origin.jpeg%253Fdr%253D14572%2526refresh_token%253D4c571151%2526x-expires%253D1808992800%2526x-signature%253D3wzkET3ZkWewloaSw2yZTmMcY7Q%25253D%2526t%253D4d5b0474%2526ps%253D13740610%2526shp%253Dd05b14bd%2526shcp%253D34ff8df6%2526idc%253Dmy2%2526s%253DTIKTOK_AFFILIATE_VIRAL_VIDEO%22%2C%22placeholder_product_id%22%3A%221729427766722726591%22%2C%22placeholder_video_id%22%3A%227632825783249063188%22%7D&amp;ec_shared_reflux_scene=shop_tab_feed&amp;mid=7576657166667467521&amp;preview_pb=0&amp;region=&amp;share_item_id=7632825783249063188&amp;sharer_language=&amp;source=h5_t&amp;u_code=ei699kg7kl50i4" TargetMode="External"/><Relationship Id="rId5926" Type="http://schemas.openxmlformats.org/officeDocument/2006/relationships/hyperlink" Target="https://vt.tiktok.com/ZSxrGUREM/" TargetMode="External"/><Relationship Id="rId5929" Type="http://schemas.openxmlformats.org/officeDocument/2006/relationships/hyperlink" Target="https://vt.tiktok.com/ZSxVVQy1y/" TargetMode="External"/><Relationship Id="rId8196" Type="http://schemas.openxmlformats.org/officeDocument/2006/relationships/hyperlink" Target="https://vt.tiktok.com/ZSxyPnmbe/" TargetMode="External"/><Relationship Id="rId8195" Type="http://schemas.openxmlformats.org/officeDocument/2006/relationships/hyperlink" Target="https://vt.tiktok.com/ZSxyPy46y/" TargetMode="External"/><Relationship Id="rId8194" Type="http://schemas.openxmlformats.org/officeDocument/2006/relationships/hyperlink" Target="https://www.tiktok.com/@devipurnami29" TargetMode="External"/><Relationship Id="rId8193" Type="http://schemas.openxmlformats.org/officeDocument/2006/relationships/hyperlink" Target="https://vt.tiktok.com/ZSxyP72BK/" TargetMode="External"/><Relationship Id="rId8199" Type="http://schemas.openxmlformats.org/officeDocument/2006/relationships/hyperlink" Target="https://www.tiktok.com/@calliaputri16" TargetMode="External"/><Relationship Id="rId8198" Type="http://schemas.openxmlformats.org/officeDocument/2006/relationships/hyperlink" Target="https://vt.tiktok.com/ZSxyPgRQc/" TargetMode="External"/><Relationship Id="rId8197" Type="http://schemas.openxmlformats.org/officeDocument/2006/relationships/hyperlink" Target="https://vt.tiktok.com/ZSxyPg4GN/" TargetMode="External"/><Relationship Id="rId5920" Type="http://schemas.openxmlformats.org/officeDocument/2006/relationships/hyperlink" Target="https://vt.tiktok.com/ZS9ks4f57/" TargetMode="External"/><Relationship Id="rId4624" Type="http://schemas.openxmlformats.org/officeDocument/2006/relationships/hyperlink" Target="https://www.tiktok.com/@musniatiatika" TargetMode="External"/><Relationship Id="rId5956" Type="http://schemas.openxmlformats.org/officeDocument/2006/relationships/hyperlink" Target="https://vt.tiktok.com/ZSxptSmEm/" TargetMode="External"/><Relationship Id="rId4623" Type="http://schemas.openxmlformats.org/officeDocument/2006/relationships/hyperlink" Target="https://vt.tiktok.com/ZS9QfND8q/" TargetMode="External"/><Relationship Id="rId5957" Type="http://schemas.openxmlformats.org/officeDocument/2006/relationships/hyperlink" Target="https://vt.tiktok.com/ZSxptUWJ6/" TargetMode="External"/><Relationship Id="rId4626" Type="http://schemas.openxmlformats.org/officeDocument/2006/relationships/hyperlink" Target="https://vt.tiktok.com/ZSxHfhnBd/" TargetMode="External"/><Relationship Id="rId5954" Type="http://schemas.openxmlformats.org/officeDocument/2006/relationships/hyperlink" Target="https://vt.tiktok.com/ZSxptHdUm/" TargetMode="External"/><Relationship Id="rId4625" Type="http://schemas.openxmlformats.org/officeDocument/2006/relationships/hyperlink" Target="https://vt.tiktok.com/ZSxHyqG5j/" TargetMode="External"/><Relationship Id="rId5955" Type="http://schemas.openxmlformats.org/officeDocument/2006/relationships/hyperlink" Target="https://vt.tiktok.com/ZSxptrMkk/" TargetMode="External"/><Relationship Id="rId4628" Type="http://schemas.openxmlformats.org/officeDocument/2006/relationships/hyperlink" Target="https://vt.tiktok.com/ZSxHfrjwB/" TargetMode="External"/><Relationship Id="rId4627" Type="http://schemas.openxmlformats.org/officeDocument/2006/relationships/hyperlink" Target="https://vt.tiktok.com/ZSxHfhQN8/" TargetMode="External"/><Relationship Id="rId5958" Type="http://schemas.openxmlformats.org/officeDocument/2006/relationships/hyperlink" Target="https://www.tiktok.com/@mamarahma1111" TargetMode="External"/><Relationship Id="rId4629" Type="http://schemas.openxmlformats.org/officeDocument/2006/relationships/hyperlink" Target="https://www.tiktok.com/@tasya_marantika" TargetMode="External"/><Relationship Id="rId5959" Type="http://schemas.openxmlformats.org/officeDocument/2006/relationships/hyperlink" Target="https://www.tiktok.com/@mamarahma1111/video/7642938479722106119" TargetMode="External"/><Relationship Id="rId4620" Type="http://schemas.openxmlformats.org/officeDocument/2006/relationships/hyperlink" Target="https://vt.tiktok.com/ZS9Qf8CgV/" TargetMode="External"/><Relationship Id="rId5952" Type="http://schemas.openxmlformats.org/officeDocument/2006/relationships/hyperlink" Target="https://vt.tiktok.com/ZS9UgJ8sw/" TargetMode="External"/><Relationship Id="rId5953" Type="http://schemas.openxmlformats.org/officeDocument/2006/relationships/hyperlink" Target="https://www.tiktok.com/@bellaisafi" TargetMode="External"/><Relationship Id="rId4622" Type="http://schemas.openxmlformats.org/officeDocument/2006/relationships/hyperlink" Target="https://vt.tiktok.com/ZS9Qywtw3/" TargetMode="External"/><Relationship Id="rId5950" Type="http://schemas.openxmlformats.org/officeDocument/2006/relationships/hyperlink" Target="https://www.tiktok.com/@hiiyesii/video/7633390588234059026?_r=1&amp;u_code=ek39caf565026d&amp;region=&amp;mid=7633390654376053525&amp;preview_pb=0&amp;sharer_language=&amp;_d=0&amp;ec_shared_reflux_dynamic_params=%7B%22placeholder_material_id%22%3A%227633390588234059026%22%2C%22placeholder_origin_cover%22%3A%22https%253A%252F%252Fp16-common-sign.tiktokcdn.com%252Ftos-alisg-p-0037%252FoUQFvlvArPXGJ6fYA7AGFVeeReGLvQInAIBI4Z~tplv-tiktokx-origin.jpeg%253Fdr%253D14572%2526refresh_token%253D0f0f11cf%2526x-expires%253D1808992800%2526x-signature%253DOvnYvWw%25252FxyYV30f8Hi7YW6EPLhw%25253D%2526t%253D4d5b0474%2526ps%253D13740610%2526shp%253Dd05b14bd%2526shcp%253D34ff8df6%2526idc%253Dmy2%2526s%253DTIKTOK_AFFILIATE_VIRAL_VIDEO%22%2C%22placeholder_product_id%22%3A%221729427766722726591%22%2C%22placeholder_video_id%22%3A%227633390588234059026%22%7D&amp;ec_shared_reflux_scene=shop_tab_feed&amp;share_item_id=7633390588234059026&amp;source=h5_t" TargetMode="External"/><Relationship Id="rId4621" Type="http://schemas.openxmlformats.org/officeDocument/2006/relationships/hyperlink" Target="https://vt.tiktok.com/ZS9QfLd9G/" TargetMode="External"/><Relationship Id="rId5951" Type="http://schemas.openxmlformats.org/officeDocument/2006/relationships/hyperlink" Target="https://www.tiktok.com/@hiiyesii/video/7634068994969832722?_d=0&amp;_r=1&amp;ec_shared_reflux_dynamic_params=%7B%22placeholder_material_id%22%3A%227634068994969832722%22%2C%22placeholder_origin_cover%22%3A%22https%253A%252F%252Fp16-common-sign.tiktokcdn.com%252Ftos-alisg-p-0037%252Fo4VBiBMTNE0KH7SxIBAVif2lUqenpIAdyBYRgV~tplv-tiktokx-origin.jpeg%253Fdr%253D14572%2526refresh_token%253D8c186ea4%2526x-expires%253D1808992800%2526x-signature%253DJcuYPrph8OYIIG0L6mq2ztHy%25252BxI%25253D%2526t%253D4d5b0474%2526ps%253D13740610%2526shp%253Dd05b14bd%2526shcp%253D34ff8df6%2526idc%253Dmy2%2526s%253DTIKTOK_AFFILIATE_VIRAL_VIDEO%22%2C%22placeholder_product_id%22%3A%221729427766722726591%22%2C%22placeholder_video_id%22%3A%227634068994969832722%22%7D&amp;ec_shared_reflux_scene=shop_tab_feed&amp;mid=7634069047784508161&amp;preview_pb=0&amp;region=&amp;share_item_id=7634068994969832722&amp;sharer_language=&amp;source=h5_t&amp;u_code=ek39caf565026d" TargetMode="External"/><Relationship Id="rId4613" Type="http://schemas.openxmlformats.org/officeDocument/2006/relationships/hyperlink" Target="https://vt.tiktok.com/ZS9QfND8q/" TargetMode="External"/><Relationship Id="rId5945" Type="http://schemas.openxmlformats.org/officeDocument/2006/relationships/hyperlink" Target="https://vt.tiktok.com/ZSxptycq4/" TargetMode="External"/><Relationship Id="rId4612" Type="http://schemas.openxmlformats.org/officeDocument/2006/relationships/hyperlink" Target="https://vt.tiktok.com/ZS9Qywtw3/" TargetMode="External"/><Relationship Id="rId5946" Type="http://schemas.openxmlformats.org/officeDocument/2006/relationships/hyperlink" Target="https://vt.tiktok.com/ZSxptxu4a/" TargetMode="External"/><Relationship Id="rId4615" Type="http://schemas.openxmlformats.org/officeDocument/2006/relationships/hyperlink" Target="https://vt.tiktok.com/ZS9Qf8CgV/" TargetMode="External"/><Relationship Id="rId5943" Type="http://schemas.openxmlformats.org/officeDocument/2006/relationships/hyperlink" Target="https://www.tiktok.com/@mayangskincare_" TargetMode="External"/><Relationship Id="rId4614" Type="http://schemas.openxmlformats.org/officeDocument/2006/relationships/hyperlink" Target="https://www.tiktok.com/@zeniis_beauty86" TargetMode="External"/><Relationship Id="rId5944" Type="http://schemas.openxmlformats.org/officeDocument/2006/relationships/hyperlink" Target="https://vt.tiktok.com/ZSxptDsMa/" TargetMode="External"/><Relationship Id="rId4617" Type="http://schemas.openxmlformats.org/officeDocument/2006/relationships/hyperlink" Target="https://vt.tiktok.com/ZS9Qywtw3/" TargetMode="External"/><Relationship Id="rId5949" Type="http://schemas.openxmlformats.org/officeDocument/2006/relationships/hyperlink" Target="https://www.tiktok.com/@hiiyesii/video/7633224622002998535?_r=1&amp;u_code=ek39caf565026d&amp;region=&amp;mid=7633224715063282433&amp;preview_pb=0&amp;sharer_language=&amp;_d=0&amp;ec_shared_reflux_dynamic_params=%7B%22placeholder_material_id%22%3A%227633224622002998535%22%2C%22placeholder_origin_cover%22%3A%22https%253A%252F%252Fp16-common-sign.tiktokcdn.com%252Ftos-alisg-p-0037%252FoQ8kAfxVDBLpFUCEpuEqqFIW7BUID7MgfNRMjA~tplv-tiktokx-origin.jpeg%253Fdr%253D14572%2526refresh_token%253D0bc71195%2526x-expires%253D1808992800%2526x-signature%253DkLXTIMMVXOTcYvl8KXwepLDtNmI%25253D%2526t%253D4d5b0474%2526ps%253D13740610%2526shp%253Dd05b14bd%2526shcp%253D34ff8df6%2526idc%253Dmy2%2526s%253DTIKTOK_AFFILIATE_VIRAL_VIDEO%22%2C%22placeholder_product_id%22%3A%221729427766722726591%22%2C%22placeholder_video_id%22%3A%227633224622002998535%22%7D&amp;ec_shared_reflux_scene=shop_tab_feed&amp;share_item_id=7633224622002998535&amp;source=h5_t" TargetMode="External"/><Relationship Id="rId4616" Type="http://schemas.openxmlformats.org/officeDocument/2006/relationships/hyperlink" Target="https://vt.tiktok.com/ZS9QfLd9G/" TargetMode="External"/><Relationship Id="rId4619" Type="http://schemas.openxmlformats.org/officeDocument/2006/relationships/hyperlink" Target="https://www.tiktok.com/@_aleya22" TargetMode="External"/><Relationship Id="rId5947" Type="http://schemas.openxmlformats.org/officeDocument/2006/relationships/hyperlink" Target="https://vt.tiktok.com/ZSxpt5FxK/" TargetMode="External"/><Relationship Id="rId4618" Type="http://schemas.openxmlformats.org/officeDocument/2006/relationships/hyperlink" Target="https://vt.tiktok.com/ZS9QfND8q/" TargetMode="External"/><Relationship Id="rId5948" Type="http://schemas.openxmlformats.org/officeDocument/2006/relationships/hyperlink" Target="https://www.tiktok.com/@hiiyesii" TargetMode="External"/><Relationship Id="rId5941" Type="http://schemas.openxmlformats.org/officeDocument/2006/relationships/hyperlink" Target="https://vt.tiktok.com/ZSxGeMUgV/" TargetMode="External"/><Relationship Id="rId5942" Type="http://schemas.openxmlformats.org/officeDocument/2006/relationships/hyperlink" Target="https://vt.tiktok.com/ZSxptfVMG/" TargetMode="External"/><Relationship Id="rId4611" Type="http://schemas.openxmlformats.org/officeDocument/2006/relationships/hyperlink" Target="https://vt.tiktok.com/ZS9QfLd9G/" TargetMode="External"/><Relationship Id="rId4610" Type="http://schemas.openxmlformats.org/officeDocument/2006/relationships/hyperlink" Target="https://vt.tiktok.com/ZS9Qf8CgV/" TargetMode="External"/><Relationship Id="rId5940" Type="http://schemas.openxmlformats.org/officeDocument/2006/relationships/hyperlink" Target="https://vt.tiktok.com/ZSxGehykS/" TargetMode="External"/><Relationship Id="rId8170" Type="http://schemas.openxmlformats.org/officeDocument/2006/relationships/hyperlink" Target="https://vt.tiktok.com/ZSxmsETED/" TargetMode="External"/><Relationship Id="rId8163" Type="http://schemas.openxmlformats.org/officeDocument/2006/relationships/hyperlink" Target="https://vt.tiktok.com/ZSxS78d4g/" TargetMode="External"/><Relationship Id="rId9495" Type="http://schemas.openxmlformats.org/officeDocument/2006/relationships/hyperlink" Target="https://vt.tiktok.com/ZSxTrtuEo/" TargetMode="External"/><Relationship Id="rId8162" Type="http://schemas.openxmlformats.org/officeDocument/2006/relationships/hyperlink" Target="https://vt.tiktok.com/ZSxS7dkAF/" TargetMode="External"/><Relationship Id="rId9496" Type="http://schemas.openxmlformats.org/officeDocument/2006/relationships/hyperlink" Target="https://vt.tiktok.com/ZSxHPnRos/" TargetMode="External"/><Relationship Id="rId8161" Type="http://schemas.openxmlformats.org/officeDocument/2006/relationships/hyperlink" Target="https://www.tiktok.com/@abouteverything1_" TargetMode="External"/><Relationship Id="rId9497" Type="http://schemas.openxmlformats.org/officeDocument/2006/relationships/hyperlink" Target="https://vt.tiktok.com/ZSxHPsjGm/" TargetMode="External"/><Relationship Id="rId8160" Type="http://schemas.openxmlformats.org/officeDocument/2006/relationships/hyperlink" Target="https://vt.tiktok.com/ZSxS78U71/" TargetMode="External"/><Relationship Id="rId9498" Type="http://schemas.openxmlformats.org/officeDocument/2006/relationships/hyperlink" Target="https://www.tiktok.com/@moodilaa" TargetMode="External"/><Relationship Id="rId8167" Type="http://schemas.openxmlformats.org/officeDocument/2006/relationships/hyperlink" Target="https://vt.tiktok.com/ZSxU3KfDc/" TargetMode="External"/><Relationship Id="rId9491" Type="http://schemas.openxmlformats.org/officeDocument/2006/relationships/hyperlink" Target="https://vt.tiktok.com/ZSxHPvXuP/" TargetMode="External"/><Relationship Id="rId8166" Type="http://schemas.openxmlformats.org/officeDocument/2006/relationships/hyperlink" Target="https://www.tiktok.com/@intanopando" TargetMode="External"/><Relationship Id="rId9492" Type="http://schemas.openxmlformats.org/officeDocument/2006/relationships/hyperlink" Target="https://vt.tiktok.com/ZSxHPGgb6/" TargetMode="External"/><Relationship Id="rId8165" Type="http://schemas.openxmlformats.org/officeDocument/2006/relationships/hyperlink" Target="https://vt.tiktok.com/ZSxU3CdQq/" TargetMode="External"/><Relationship Id="rId9493" Type="http://schemas.openxmlformats.org/officeDocument/2006/relationships/hyperlink" Target="https://www.tiktok.com/@Henny.armany18" TargetMode="External"/><Relationship Id="rId8164" Type="http://schemas.openxmlformats.org/officeDocument/2006/relationships/hyperlink" Target="https://vt.tiktok.com/ZSxS7RhGf/" TargetMode="External"/><Relationship Id="rId9494" Type="http://schemas.openxmlformats.org/officeDocument/2006/relationships/hyperlink" Target="https://vt.tiktok.com/ZSxTrC5sq/" TargetMode="External"/><Relationship Id="rId8169" Type="http://schemas.openxmlformats.org/officeDocument/2006/relationships/hyperlink" Target="https://vt.tiktok.com/ZSxU37RP8/" TargetMode="External"/><Relationship Id="rId8168" Type="http://schemas.openxmlformats.org/officeDocument/2006/relationships/hyperlink" Target="https://vt.tiktok.com/ZSxU3goaL/" TargetMode="External"/><Relationship Id="rId9499" Type="http://schemas.openxmlformats.org/officeDocument/2006/relationships/hyperlink" Target="https://vt.tiktok.com/ZSxHPCAgL/" TargetMode="External"/><Relationship Id="rId9490" Type="http://schemas.openxmlformats.org/officeDocument/2006/relationships/hyperlink" Target="https://vt.tiktok.com/ZSxW5ppSA/" TargetMode="External"/><Relationship Id="rId8152" Type="http://schemas.openxmlformats.org/officeDocument/2006/relationships/hyperlink" Target="https://vt.tiktok.com/ZSxmeHRef/" TargetMode="External"/><Relationship Id="rId9484" Type="http://schemas.openxmlformats.org/officeDocument/2006/relationships/hyperlink" Target="https://www.tiktok.com/@ayuratnasari11_/video/7647079917347179794?_r=1&amp;u_code=d3md06hbfmcka8&amp;region=&amp;mid=7086563693013518338&amp;preview_pb=0&amp;sharer_language=&amp;_d=0&amp;ec_shared_reflux_dynamic_params=%7B%22placeholder_material_id%22%3A%227647079917347179794%22%2C%22placeholder_origin_cover%22%3A%22https%253A%252F%252Fp19-common-sign.tiktokcdn.com%252Ftos-alisg-p-0037%252FooITHjgA49AL8I8xRejhdPeAmTGKDC3gsDWUWf~tplv-tiktokx-origin.jpeg%253Fdr%253D14572%2526refresh_token%253De8ab022d%2526x-expires%253D1812099600%2526x-signature%253DFbAdArrkxVxOLN1PhXvpjiBlXmY%25253D%2526t%253D4d5b0474%2526ps%253D13740610%2526shp%253Dd05b14bd%2526shcp%253D34ff8df6%2526idc%253Dmy%2526s%253DTIKTOK_AFFILIATE_VIRAL_VIDEO%22%2C%22placeholder_product_id%22%3A%221729427766722726591%22%2C%22placeholder_video_id%22%3A%227647079917347179794%22%7D&amp;ec_shared_reflux_scene=shop_tab_feed&amp;share_item_id=7647079917347179794&amp;source=h5_t" TargetMode="External"/><Relationship Id="rId8151" Type="http://schemas.openxmlformats.org/officeDocument/2006/relationships/hyperlink" Target="https://www.tiktok.com/@salhaamlly" TargetMode="External"/><Relationship Id="rId9485" Type="http://schemas.openxmlformats.org/officeDocument/2006/relationships/hyperlink" Target="https://www.tiktok.com/@ayuratnasari11_/video/7647345266407853319?_r=1&amp;u_code=d3md06hbfmcka8&amp;region=&amp;mid=7637661323521837845&amp;preview_pb=0&amp;sharer_language=&amp;_d=0&amp;ec_shared_reflux_dynamic_params=%7B%22placeholder_material_id%22%3A%227647345266407853319%22%2C%22placeholder_origin_cover%22%3A%22https%253A%252F%252Fp16-common-sign.tiktokcdn.com%252Ftos-alisg-p-0037%252Fok127PEniYciBvOvvYITiAo6XgADAITIAaB85~tplv-tiktokx-origin.jpeg%253Fdr%253D14572%2526refresh_token%253Dc4d12b7c%2526x-expires%253D1812099600%2526x-signature%253DGtgsbRq5HbffX8dJBvWOGIyWADU%25253D%2526t%253D4d5b0474%2526ps%253D13740610%2526shp%253Dd05b14bd%2526shcp%253D34ff8df6%2526idc%253Dmy%2526s%253DTIKTOK_AFFILIATE_VIRAL_VIDEO%22%2C%22placeholder_product_id%22%3A%221729427766722726591%22%2C%22placeholder_video_id%22%3A%227647345266407853319%22%7D&amp;ec_shared_reflux_scene=shop_tab_feed&amp;share_item_id=7647345266407853319&amp;source=h5_t" TargetMode="External"/><Relationship Id="rId8150" Type="http://schemas.openxmlformats.org/officeDocument/2006/relationships/hyperlink" Target="https://vt.tiktok.com/ZSxULmoba/" TargetMode="External"/><Relationship Id="rId9486" Type="http://schemas.openxmlformats.org/officeDocument/2006/relationships/hyperlink" Target="https://vt.tiktok.com/ZSxHPGqSd/" TargetMode="External"/><Relationship Id="rId9487" Type="http://schemas.openxmlformats.org/officeDocument/2006/relationships/hyperlink" Target="https://vt.tiktok.com/ZSxHPvuK9/" TargetMode="External"/><Relationship Id="rId8156" Type="http://schemas.openxmlformats.org/officeDocument/2006/relationships/hyperlink" Target="https://www.tiktok.com/@vannox_beutyy" TargetMode="External"/><Relationship Id="rId9480" Type="http://schemas.openxmlformats.org/officeDocument/2006/relationships/hyperlink" Target="https://vt.tiktok.com/ZSxHPg46p/" TargetMode="External"/><Relationship Id="rId8155" Type="http://schemas.openxmlformats.org/officeDocument/2006/relationships/hyperlink" Target="https://vt.tiktok.com/ZSxmeG7TR/" TargetMode="External"/><Relationship Id="rId9481" Type="http://schemas.openxmlformats.org/officeDocument/2006/relationships/hyperlink" Target="https://vt.tiktok.com/ZSxHPg46p/" TargetMode="External"/><Relationship Id="rId8154" Type="http://schemas.openxmlformats.org/officeDocument/2006/relationships/hyperlink" Target="https://vt.tiktok.com/ZSxmeXeGF/" TargetMode="External"/><Relationship Id="rId9482" Type="http://schemas.openxmlformats.org/officeDocument/2006/relationships/hyperlink" Target="https://vt.tiktok.com/ZSxHPxVWR/" TargetMode="External"/><Relationship Id="rId8153" Type="http://schemas.openxmlformats.org/officeDocument/2006/relationships/hyperlink" Target="https://vt.tiktok.com/ZSxmpK193/" TargetMode="External"/><Relationship Id="rId9483" Type="http://schemas.openxmlformats.org/officeDocument/2006/relationships/hyperlink" Target="https://www.tiktok.com/@ayuratnasari11_" TargetMode="External"/><Relationship Id="rId8159" Type="http://schemas.openxmlformats.org/officeDocument/2006/relationships/hyperlink" Target="https://vt.tiktok.com/ZSxS7FRu2/" TargetMode="External"/><Relationship Id="rId8158" Type="http://schemas.openxmlformats.org/officeDocument/2006/relationships/hyperlink" Target="https://vt.tiktok.com/ZSxS7jRYr/" TargetMode="External"/><Relationship Id="rId8157" Type="http://schemas.openxmlformats.org/officeDocument/2006/relationships/hyperlink" Target="https://vt.tiktok.com/ZSxrGBVXr/" TargetMode="External"/><Relationship Id="rId9488" Type="http://schemas.openxmlformats.org/officeDocument/2006/relationships/hyperlink" Target="https://www.tiktok.com/@Ratnify" TargetMode="External"/><Relationship Id="rId9489" Type="http://schemas.openxmlformats.org/officeDocument/2006/relationships/hyperlink" Target="https://vt.tiktok.com/ZSxW5Gq4E/" TargetMode="External"/><Relationship Id="rId5912" Type="http://schemas.openxmlformats.org/officeDocument/2006/relationships/hyperlink" Target="https://vt.tiktok.com/ZS9ksThGa/" TargetMode="External"/><Relationship Id="rId5913" Type="http://schemas.openxmlformats.org/officeDocument/2006/relationships/hyperlink" Target="https://www.tiktok.com/@happyme11_0" TargetMode="External"/><Relationship Id="rId5910" Type="http://schemas.openxmlformats.org/officeDocument/2006/relationships/hyperlink" Target="https://vt.tiktok.com/ZS9ks4f57/" TargetMode="External"/><Relationship Id="rId5911" Type="http://schemas.openxmlformats.org/officeDocument/2006/relationships/hyperlink" Target="https://vt.tiktok.com/ZS9ksgkeS/" TargetMode="External"/><Relationship Id="rId5916" Type="http://schemas.openxmlformats.org/officeDocument/2006/relationships/hyperlink" Target="https://vt.tiktok.com/ZS9ksgkeS/" TargetMode="External"/><Relationship Id="rId5917" Type="http://schemas.openxmlformats.org/officeDocument/2006/relationships/hyperlink" Target="https://vt.tiktok.com/ZS9ksThGa/" TargetMode="External"/><Relationship Id="rId5914" Type="http://schemas.openxmlformats.org/officeDocument/2006/relationships/hyperlink" Target="https://vt.tiktok.com/ZS9ksB2YF/" TargetMode="External"/><Relationship Id="rId5915" Type="http://schemas.openxmlformats.org/officeDocument/2006/relationships/hyperlink" Target="https://vt.tiktok.com/ZS9ks4f57/" TargetMode="External"/><Relationship Id="rId5918" Type="http://schemas.openxmlformats.org/officeDocument/2006/relationships/hyperlink" Target="https://www.tiktok.com/@aanitaall" TargetMode="External"/><Relationship Id="rId5919" Type="http://schemas.openxmlformats.org/officeDocument/2006/relationships/hyperlink" Target="https://vt.tiktok.com/ZSxP9LMLp/" TargetMode="External"/><Relationship Id="rId8192" Type="http://schemas.openxmlformats.org/officeDocument/2006/relationships/hyperlink" Target="https://vt.tiktok.com/ZSx9ynb5D/" TargetMode="External"/><Relationship Id="rId8191" Type="http://schemas.openxmlformats.org/officeDocument/2006/relationships/hyperlink" Target="https://www.tiktok.com/@sarsaparillaa/video/7634977370390285589?_r=1&amp;u_code=6198hfcj6k43c&amp;region=&amp;mid=7632888350513908501&amp;preview_pb=0&amp;sharer_language=&amp;_d=0&amp;ec_shared_reflux_dynamic_params=%7B%22placeholder_material_id%22%3A%227634977370390285589%22%2C%22placeholder_origin_cover%22%3A%22https%253A%252F%252Fp16-common-sign.tiktokcdn.com%252Ftos-alisg-p-0037%252FoAEhSAIgUgAFCEO4LHRRq9fhFMD2BBsIfB4pM0~tplv-tiktokx-origin.jpeg%253Fdr%253D14572%2526refresh_token%253D95d46316%2526x-expires%253D1809504000%2526x-signature%253D0fEaBXznpOgeH2YAMtRu7%25252B3P2Y4%25253D%2526t%253D4d5b0474%2526ps%253D13740610%2526shp%253Dd05b14bd%2526shcp%253D34ff8df6%2526idc%253Dmy%2526s%253DTIKTOK_AFFILIATE_VIRAL_VIDEO%22%2C%22placeholder_product_id%22%3A%221729427766722726591%22%2C%22placeholder_video_id%22%3A%227634977370390285589%22%7D&amp;ec_shared_reflux_scene=shop_tab_feed&amp;share_item_id=7634977370390285589&amp;source=h5_t" TargetMode="External"/><Relationship Id="rId8190" Type="http://schemas.openxmlformats.org/officeDocument/2006/relationships/hyperlink" Target="https://www.tiktok.com/@sarsaparillaa/video/7634942262597750037?_r=1&amp;u_code=6198hfcj6k43c&amp;region=&amp;mid=7619742846682400785&amp;preview_pb=0&amp;sharer_language=&amp;_d=0&amp;ec_shared_reflux_dynamic_params=%7B%22placeholder_material_id%22%3A%227634942262597750037%22%2C%22placeholder_origin_cover%22%3A%22https%253A%252F%252Fp16-common-sign.tiktokcdn.com%252Ftos-alisg-p-0037%252FowcNQUa7LDAxhrEeiMF9BRpCvEtgxBP9QIf5pE~tplv-tiktokx-origin.jpeg%253Fdr%253D14572%2526refresh_token%253D31cfb09e%2526x-expires%253D1809504000%2526x-signature%253DW0jbDihJpjiJdmv%25252FAxwl%25252FqQe8aw%25253D%2526t%253D4d5b0474%2526ps%253D13740610%2526shp%253Dd05b14bd%2526shcp%253D34ff8df6%2526idc%253Dmy%2526s%253DTIKTOK_AFFILIATE_VIRAL_VIDEO%22%2C%22placeholder_product_id%22%3A%221729427766722726591%22%2C%22placeholder_video_id%22%3A%227634942262597750037%22%7D&amp;ec_shared_reflux_scene=shop_tab_feed&amp;share_item_id=7634942262597750037&amp;source=h5_t" TargetMode="External"/><Relationship Id="rId8185" Type="http://schemas.openxmlformats.org/officeDocument/2006/relationships/hyperlink" Target="https://vt.tiktok.com/ZSxmeao9u/" TargetMode="External"/><Relationship Id="rId8184" Type="http://schemas.openxmlformats.org/officeDocument/2006/relationships/hyperlink" Target="https://www.tiktok.com/@fadhilatft" TargetMode="External"/><Relationship Id="rId8183" Type="http://schemas.openxmlformats.org/officeDocument/2006/relationships/hyperlink" Target="https://vt.tiktok.com/ZSx9yn96m/" TargetMode="External"/><Relationship Id="rId8182" Type="http://schemas.openxmlformats.org/officeDocument/2006/relationships/hyperlink" Target="https://vt.tiktok.com/ZSx9f16Nj/" TargetMode="External"/><Relationship Id="rId8189" Type="http://schemas.openxmlformats.org/officeDocument/2006/relationships/hyperlink" Target="https://www.tiktok.com/@ur3451" TargetMode="External"/><Relationship Id="rId8188" Type="http://schemas.openxmlformats.org/officeDocument/2006/relationships/hyperlink" Target="https://vt.tiktok.com/ZSxmeUUYa/" TargetMode="External"/><Relationship Id="rId8187" Type="http://schemas.openxmlformats.org/officeDocument/2006/relationships/hyperlink" Target="https://vt.tiktok.com/ZSxme1sw4/" TargetMode="External"/><Relationship Id="rId8186" Type="http://schemas.openxmlformats.org/officeDocument/2006/relationships/hyperlink" Target="https://vt.tiktok.com/ZSxmeqoxF/" TargetMode="External"/><Relationship Id="rId5901" Type="http://schemas.openxmlformats.org/officeDocument/2006/relationships/hyperlink" Target="https://vt.tiktok.com/ZS9ubksqu/" TargetMode="External"/><Relationship Id="rId5902" Type="http://schemas.openxmlformats.org/officeDocument/2006/relationships/hyperlink" Target="https://vt.tiktok.com/ZS9ubyr7r/" TargetMode="External"/><Relationship Id="rId5900" Type="http://schemas.openxmlformats.org/officeDocument/2006/relationships/hyperlink" Target="https://vt.tiktok.com/ZS9uqwKgb/" TargetMode="External"/><Relationship Id="rId5905" Type="http://schemas.openxmlformats.org/officeDocument/2006/relationships/hyperlink" Target="https://vt.tiktok.com/ZS9ks4f57/" TargetMode="External"/><Relationship Id="rId5906" Type="http://schemas.openxmlformats.org/officeDocument/2006/relationships/hyperlink" Target="https://vt.tiktok.com/ZS9ksgkeS/" TargetMode="External"/><Relationship Id="rId5903" Type="http://schemas.openxmlformats.org/officeDocument/2006/relationships/hyperlink" Target="https://www.tiktok.com/@illa.91_" TargetMode="External"/><Relationship Id="rId5904" Type="http://schemas.openxmlformats.org/officeDocument/2006/relationships/hyperlink" Target="https://vt.tiktok.com/ZS9ksB2YF/" TargetMode="External"/><Relationship Id="rId5909" Type="http://schemas.openxmlformats.org/officeDocument/2006/relationships/hyperlink" Target="https://vt.tiktok.com/ZS9ksB2YF/" TargetMode="External"/><Relationship Id="rId5907" Type="http://schemas.openxmlformats.org/officeDocument/2006/relationships/hyperlink" Target="https://vt.tiktok.com/ZS9ksThGa/" TargetMode="External"/><Relationship Id="rId5908" Type="http://schemas.openxmlformats.org/officeDocument/2006/relationships/hyperlink" Target="https://www.tiktok.com/@Minnatika.ilfa" TargetMode="External"/><Relationship Id="rId8181" Type="http://schemas.openxmlformats.org/officeDocument/2006/relationships/hyperlink" Target="https://vt.tiktok.com/ZSx9yctYv/" TargetMode="External"/><Relationship Id="rId8180" Type="http://schemas.openxmlformats.org/officeDocument/2006/relationships/hyperlink" Target="https://www.tiktok.com/@ir.tyh" TargetMode="External"/><Relationship Id="rId8174" Type="http://schemas.openxmlformats.org/officeDocument/2006/relationships/hyperlink" Target="https://www.tiktok.com/@titikzyp2a3/video/7635511746144357650?_r=1&amp;u_code=e9l98g7d7h5880&amp;region=&amp;mid=7613023919407466497&amp;preview_pb=0&amp;sharer_language=&amp;_d=0&amp;ec_shared_reflux_dynamic_params=%7B%22placeholder_material_id%22%3A%227635511746144357650%22%2C%22placeholder_origin_cover%22%3A%22https%253A%252F%252Fp19-common-sign.tiktokcdn.com%252Ftos-alisg-p-0037%252FoUJ7Ge1XIIHoQwkteCTALCYtQIjZAHHIHDzpVe~tplv-tiktokx-origin.jpeg%253Fdr%253D14572%2526refresh_token%253D3cb6504e%2526x-expires%253D1809507600%2526x-signature%253DYiWJ%25252FDat3wu%25252BOqP84CvOiX4NU9o%25253D%2526t%253D4d5b0474%2526ps%253D13740610%2526shp%253Dd05b14bd%2526shcp%253D34ff8df6%2526idc%253Dmy%2526s%253DTIKTOK_AFFILIATE_VIRAL_VIDEO%22%2C%22placeholder_product_id%22%3A%221729427766722726591%22%2C%22placeholder_video_id%22%3A%227635511746144357650%22%7D&amp;ec_shared_reflux_scene=shop_tab_feed&amp;share_item_id=7635511746144357650&amp;source=h5_t" TargetMode="External"/><Relationship Id="rId8173" Type="http://schemas.openxmlformats.org/officeDocument/2006/relationships/hyperlink" Target="https://www.tiktok.com/@titikzyp2a3/video/7634152791769926919?_r=1&amp;u_code=e9l98g7d7h5880&amp;region=&amp;mid=7608559003840400145&amp;preview_pb=0&amp;sharer_language=&amp;_d=0&amp;ec_shared_reflux_dynamic_params=%7B%22placeholder_material_id%22%3A%227634152791769926919%22%2C%22placeholder_origin_cover%22%3A%22https%253A%252F%252Fp16-common-sign.tiktokcdn.com%252Ftos-alisg-p-0037%252FoAqU3AfdUeIBQ9RzE5g4IAiikzXXJpxYBwBPB7~tplv-tiktokx-origin.jpeg%253Fdr%253D14572%2526refresh_token%253D02603b4f%2526x-expires%253D1809507600%2526x-signature%253DVtg80E3piASOsVu%25252BGXf5Y%25252Bn0qdE%25253D%2526t%253D4d5b0474%2526ps%253D13740610%2526shp%253Dd05b14bd%2526shcp%253D34ff8df6%2526idc%253Dmy%2526s%253DTIKTOK_AFFILIATE_VIRAL_VIDEO%22%2C%22placeholder_product_id%22%3A%221729427766722726591%22%2C%22placeholder_video_id%22%3A%227634152791769926919%22%7D&amp;ec_shared_reflux_scene=shop_tab_feed&amp;share_item_id=7634152791769926919&amp;source=h5_t" TargetMode="External"/><Relationship Id="rId8172" Type="http://schemas.openxmlformats.org/officeDocument/2006/relationships/hyperlink" Target="https://www.tiktok.com/@titikzyp2a3/video/7633352369392143624?_r=1&amp;u_code=e9l98g7d7h5880&amp;region=&amp;mid=7046970598518196225&amp;preview_pb=0&amp;sharer_language=&amp;_d=0&amp;ec_shared_reflux_dynamic_params=%7B%22placeholder_material_id%22%3A%227633352369392143624%22%2C%22placeholder_origin_cover%22%3A%22https%253A%252F%252Fp16-common-sign.tiktokcdn.com%252Ftos-alisg-p-0037%252FoYZIAejvuANjGaSQCbwIAzCoHD3LQMkFTfr6qf~tplv-tiktokx-origin.jpeg%253Fdr%253D14572%2526refresh_token%253D920dbd62%2526x-expires%253D1808992800%2526x-signature%253D4lYxUlq0xftH2eVYy%25252BeBtAM2Uj0%25253D%2526t%253D4d5b0474%2526ps%253D13740610%2526shp%253Dd05b14bd%2526shcp%253D34ff8df6%2526idc%253Dmy2%2526s%253DTIKTOK_AFFILIATE_VIRAL_VIDEO%22%2C%22placeholder_product_id%22%3A%221729427766722726591%22%2C%22placeholder_video_id%22%3A%227633352369392143624%22%7D&amp;ec_shared_reflux_scene=shop_tab_feed&amp;share_item_id=7633352369392143624&amp;source=h5_t" TargetMode="External"/><Relationship Id="rId8171" Type="http://schemas.openxmlformats.org/officeDocument/2006/relationships/hyperlink" Target="https://www.tiktok.com/@fatkeinad" TargetMode="External"/><Relationship Id="rId8178" Type="http://schemas.openxmlformats.org/officeDocument/2006/relationships/hyperlink" Target="https://vt.tiktok.com/ZSx9yxHVX/" TargetMode="External"/><Relationship Id="rId8177" Type="http://schemas.openxmlformats.org/officeDocument/2006/relationships/hyperlink" Target="https://vt.tiktok.com/ZSx9yhjtA/" TargetMode="External"/><Relationship Id="rId8176" Type="http://schemas.openxmlformats.org/officeDocument/2006/relationships/hyperlink" Target="https://www.tiktok.com/@sonyaaa.yl" TargetMode="External"/><Relationship Id="rId8175" Type="http://schemas.openxmlformats.org/officeDocument/2006/relationships/hyperlink" Target="https://vt.tiktok.com/ZSxmGM77p/" TargetMode="External"/><Relationship Id="rId8179" Type="http://schemas.openxmlformats.org/officeDocument/2006/relationships/hyperlink" Target="https://vt.tiktok.com/ZSx9ySUhu/" TargetMode="External"/><Relationship Id="rId2027" Type="http://schemas.openxmlformats.org/officeDocument/2006/relationships/hyperlink" Target="https://vt.tiktok.com/ZSxA56pQ4/" TargetMode="External"/><Relationship Id="rId3359" Type="http://schemas.openxmlformats.org/officeDocument/2006/relationships/hyperlink" Target="https://www.tiktok.com/@belanja_hemat.shop/video/7635078481767877896?_r=1&amp;u_code=ek6h2252jijmih&amp;region=&amp;mid=7631596706401209105&amp;preview_pb=0&amp;sharer_language=&amp;_d=0&amp;ec_shared_reflux_dynamic_params=%7B%22placeholder_material_id%22%3A%227635078481767877896%22%2C%22placeholder_origin_cover%22%3A%22https%253A%252F%252Fp16-common-sign.tiktokcdn.com%252Ftos-alisg-p-0037%252FoEIBp9C2KGxTEBPiojeBJMCAiXc31OQIigfiRP~tplv-tiktokx-origin.jpeg%253Fdr%253D14572%2526refresh_token%253Dea3bad52%2526x-expires%253D1810195200%2526x-signature%253D1vwbNtVZv2xEHcKJrwg2b%25252B8TT2s%25253D%2526t%253D4d5b0474%2526ps%253D13740610%2526shp%253Dd05b14bd%2526shcp%253D34ff8df6%2526idc%253Dmy2%2526s%253DTIKTOK_AFFILIATE_VIRAL_VIDEO%22%2C%22placeholder_product_id%22%3A%221729427766722726591%22%2C%22placeholder_video_id%22%3A%227635078481767877896%22%7D&amp;ec_shared_reflux_scene=shop_tab_feed&amp;share_item_id=7635078481767877896&amp;source=h5_t" TargetMode="External"/><Relationship Id="rId2028" Type="http://schemas.openxmlformats.org/officeDocument/2006/relationships/hyperlink" Target="https://www.tiktok.com/@fentics_" TargetMode="External"/><Relationship Id="rId3358" Type="http://schemas.openxmlformats.org/officeDocument/2006/relationships/hyperlink" Target="https://www.tiktok.com/@yaaasph" TargetMode="External"/><Relationship Id="rId4689" Type="http://schemas.openxmlformats.org/officeDocument/2006/relationships/hyperlink" Target="https://vt.tiktok.com/ZS96d7WtV/" TargetMode="External"/><Relationship Id="rId2029" Type="http://schemas.openxmlformats.org/officeDocument/2006/relationships/hyperlink" Target="https://vt.tiktok.com/ZSHmNeV8S/" TargetMode="External"/><Relationship Id="rId107" Type="http://schemas.openxmlformats.org/officeDocument/2006/relationships/hyperlink" Target="https://vt.tiktok.com/ZSHEggKD1/" TargetMode="External"/><Relationship Id="rId106" Type="http://schemas.openxmlformats.org/officeDocument/2006/relationships/hyperlink" Target="https://www.tiktok.com/@cyell_09" TargetMode="External"/><Relationship Id="rId105" Type="http://schemas.openxmlformats.org/officeDocument/2006/relationships/hyperlink" Target="https://vt.tiktok.com/ZSu8nVdRd/" TargetMode="External"/><Relationship Id="rId104" Type="http://schemas.openxmlformats.org/officeDocument/2006/relationships/hyperlink" Target="https://vt.tiktok.com/ZSmw5a2f5/" TargetMode="External"/><Relationship Id="rId109" Type="http://schemas.openxmlformats.org/officeDocument/2006/relationships/hyperlink" Target="https://vt.tiktok.com/ZSHEpFAfS/" TargetMode="External"/><Relationship Id="rId4680" Type="http://schemas.openxmlformats.org/officeDocument/2006/relationships/hyperlink" Target="https://www.tiktok.com/@_kartikara/video/7631856619281763605?_r=1&amp;u_code=dicf1d31bb2b53&amp;region=&amp;mid=7579718956010031120&amp;preview_pb=0&amp;sharer_language=&amp;_d=0&amp;ec_shared_reflux_dynamic_params=%7B%22placeholder_material_id%22%3A%227631856619281763605%22%2C%22placeholder_origin_cover%22%3A%22https%253A%252F%252Fp16-common-sign.tiktokcdn.com%252Ftos-alisg-p-0037%252FocwYxin70AoQza30ABAF7O1eiBMIqIPITC26pM~tplv-tiktokx-origin.jpeg%253Fdr%253D14572%2526refresh_token%253D509faedf%2526x-expires%253D1810198800%2526x-signature%253Dc1d1bNhh5dF2y4JcPJoD1abqX%25252Fg%25253D%2526t%253D4d5b0474%2526ps%253D13740610%2526shp%253Dd05b14bd%2526shcp%253D34ff8df6%2526idc%253Dmy2%2526s%253DTIKTOK_AFFILIATE_VIRAL_VIDEO%22%2C%22placeholder_product_id%22%3A%221729427766722726591%22%2C%22placeholder_video_id%22%3A%227631856619281763605%22%7D&amp;ec_shared_reflux_scene=shop_tab_feed&amp;share_item_id=7631856619281763605&amp;source=h5_t" TargetMode="External"/><Relationship Id="rId108" Type="http://schemas.openxmlformats.org/officeDocument/2006/relationships/hyperlink" Target="https://vt.tiktok.com/ZSHEgoK18/" TargetMode="External"/><Relationship Id="rId3351" Type="http://schemas.openxmlformats.org/officeDocument/2006/relationships/hyperlink" Target="https://www.tiktok.com/@belanja_hemat.shop/video/7634452237363776775?_r=1&amp;u_code=ek6h2252jijmih&amp;region=&amp;mid=7578568876850449159&amp;preview_pb=0&amp;sharer_language=&amp;_d=0&amp;ec_shared_reflux_dynamic_params=%7B%22placeholder_material_id%22%3A%227634452237363776775%22%2C%22placeholder_origin_cover%22%3A%22https%253A%252F%252Fp16-common-sign.tiktokcdn.com%252Ftos-alisg-p-0037%252FoUSWPEUDpBC1On8FEVqwTAQzEBjmf8RgBRQeHh~tplv-tiktokx-origin.jpeg%253Fdr%253D14572%2526refresh_token%253D9fdf2339%2526x-expires%253D1810195200%2526x-signature%253DyHxZigWv43QrMnJTFRNkY1QaD7I%25253D%2526t%253D4d5b0474%2526ps%253D13740610%2526shp%253Dd05b14bd%2526shcp%253D34ff8df6%2526idc%253Dmy2%2526s%253DTIKTOK_AFFILIATE_VIRAL_VIDEO%22%2C%22placeholder_product_id%22%3A%221729427766722726591%22%2C%22placeholder_video_id%22%3A%227634452237363776775%22%7D&amp;ec_shared_reflux_scene=shop_tab_feed&amp;share_item_id=7634452237363776775&amp;source=h5_t" TargetMode="External"/><Relationship Id="rId4682" Type="http://schemas.openxmlformats.org/officeDocument/2006/relationships/hyperlink" Target="https://vt.tiktok.com/ZSxqXr7Ne/" TargetMode="External"/><Relationship Id="rId2020" Type="http://schemas.openxmlformats.org/officeDocument/2006/relationships/hyperlink" Target="https://www.tiktok.com/@ellen.makeup7" TargetMode="External"/><Relationship Id="rId3350" Type="http://schemas.openxmlformats.org/officeDocument/2006/relationships/hyperlink" Target="https://www.tiktok.com/@byliyah/video/7638625816011640071?_r=1&amp;u_code=dj0c9igeb6ei5f&amp;region=&amp;mid=7627687221567310593&amp;preview_pb=0&amp;sharer_language=&amp;_d=0&amp;ec_shared_reflux_dynamic_params=%7B%22placeholder_material_id%22%3A%227638625816011640071%22%2C%22placeholder_origin_cover%22%3A%22https%253A%252F%252Fp16-common-sign.tiktokcdn.com%252Ftos-alisg-p-0037%252Fo8QmIcc2kDAb2IdugdFeBRqBoE8g0BLAIXfrBE~tplv-tiktokx-origin.jpeg%253Fdr%253D14572%2526refresh_token%253D77d9250a%2526x-expires%253D1810119600%2526x-signature%253Dlmlpg3466mj3a%25252BR52vCdFzkMmDM%25253D%2526t%253D4d5b0474%2526ps%253D13740610%2526shp%253Dd05b14bd%2526shcp%253D34ff8df6%2526idc%253Dmy2%2526s%253DTIKTOK_AFFILIATE_VIRAL_VIDEO%22%2C%22placeholder_product_id%22%3A%221729427766722726591%22%2C%22placeholder_video_id%22%3A%227638625816011640071%22%7D&amp;ec_shared_reflux_scene=shop_tab_feed&amp;share_item_id=7638625816011640071&amp;source=h5_t" TargetMode="External"/><Relationship Id="rId4681" Type="http://schemas.openxmlformats.org/officeDocument/2006/relationships/hyperlink" Target="https://vt.tiktok.com/ZSxyAbQhe/" TargetMode="External"/><Relationship Id="rId2021" Type="http://schemas.openxmlformats.org/officeDocument/2006/relationships/hyperlink" Target="https://vt.tiktok.com/ZS9eL5PDt/" TargetMode="External"/><Relationship Id="rId3353" Type="http://schemas.openxmlformats.org/officeDocument/2006/relationships/hyperlink" Target="https://www.tiktok.com/@dietsehat01" TargetMode="External"/><Relationship Id="rId4684" Type="http://schemas.openxmlformats.org/officeDocument/2006/relationships/hyperlink" Target="https://vt.tiktok.com/ZS96d7WtV/" TargetMode="External"/><Relationship Id="rId2022" Type="http://schemas.openxmlformats.org/officeDocument/2006/relationships/hyperlink" Target="https://vt.tiktok.com/ZSHo77wRy/" TargetMode="External"/><Relationship Id="rId3352" Type="http://schemas.openxmlformats.org/officeDocument/2006/relationships/hyperlink" Target="https://www.tiktok.com/@belanja_hemat.shop/video/7634466278077418759?_r=1&amp;u_code=ek6h2252jijmih&amp;region=&amp;mid=7614079490641120021&amp;preview_pb=0&amp;sharer_language=&amp;_d=0&amp;ec_shared_reflux_dynamic_params=%7B%22placeholder_material_id%22%3A%227634466278077418759%22%2C%22placeholder_origin_cover%22%3A%22https%253A%252F%252Fp16-common-sign.tiktokcdn.com%252Ftos-alisg-p-0037%252Fokc04pIIIDATjD5e1ELozW7feqUCBIAdGCijBT~tplv-tiktokx-origin.jpeg%253Fdr%253D14572%2526refresh_token%253D5e10573d%2526x-expires%253D1810195200%2526x-signature%253D9yAK1SA0NtjLVE4kr3Lz%25252F4AjJ9E%25253D%2526t%253D4d5b0474%2526ps%253D13740610%2526shp%253Dd05b14bd%2526shcp%253D34ff8df6%2526idc%253Dmy2%2526s%253DTIKTOK_AFFILIATE_VIRAL_VIDEO%22%2C%22placeholder_product_id%22%3A%221729427766722726591%22%2C%22placeholder_video_id%22%3A%227634466278077418759%22%7D&amp;ec_shared_reflux_scene=shop_tab_feed&amp;share_item_id=7634466278077418759&amp;source=h5_t" TargetMode="External"/><Relationship Id="rId4683" Type="http://schemas.openxmlformats.org/officeDocument/2006/relationships/hyperlink" Target="https://www.tiktok.com/@serba.serbi.1" TargetMode="External"/><Relationship Id="rId103" Type="http://schemas.openxmlformats.org/officeDocument/2006/relationships/hyperlink" Target="https://vt.tiktok.com/ZSmwP9gwm/" TargetMode="External"/><Relationship Id="rId2023" Type="http://schemas.openxmlformats.org/officeDocument/2006/relationships/hyperlink" Target="https://vt.tiktok.com/ZSHo7WxCX/" TargetMode="External"/><Relationship Id="rId3355" Type="http://schemas.openxmlformats.org/officeDocument/2006/relationships/hyperlink" Target="https://www.tiktok.com/@dietsehat01/video/7631512756314852616?is_from_webapp=1&amp;sender_device=pc&amp;web_id=7611930277489657360" TargetMode="External"/><Relationship Id="rId4686" Type="http://schemas.openxmlformats.org/officeDocument/2006/relationships/hyperlink" Target="https://vt.tiktok.com/ZS9DXN14x/" TargetMode="External"/><Relationship Id="rId102" Type="http://schemas.openxmlformats.org/officeDocument/2006/relationships/hyperlink" Target="https://vt.tiktok.com/ZSmWjhRC6/" TargetMode="External"/><Relationship Id="rId2024" Type="http://schemas.openxmlformats.org/officeDocument/2006/relationships/hyperlink" Target="https://vt.tiktok.com/ZSHo7aAwV/" TargetMode="External"/><Relationship Id="rId3354" Type="http://schemas.openxmlformats.org/officeDocument/2006/relationships/hyperlink" Target="https://www.tiktok.com/@dietsehat01/video/7631802173919120647?is_from_webapp=1&amp;sender_device=pc&amp;web_id=7611930277489657360" TargetMode="External"/><Relationship Id="rId4685" Type="http://schemas.openxmlformats.org/officeDocument/2006/relationships/hyperlink" Target="https://vt.tiktok.com/ZS9reLqAt/" TargetMode="External"/><Relationship Id="rId101" Type="http://schemas.openxmlformats.org/officeDocument/2006/relationships/hyperlink" Target="https://www.tiktok.com/@nadirasalma11" TargetMode="External"/><Relationship Id="rId2025" Type="http://schemas.openxmlformats.org/officeDocument/2006/relationships/hyperlink" Target="https://www.tiktok.com/@eva.fitrya" TargetMode="External"/><Relationship Id="rId3357" Type="http://schemas.openxmlformats.org/officeDocument/2006/relationships/hyperlink" Target="https://www.tiktok.com/@dietsehat01/video/7632482734295829767?is_from_webapp=1&amp;sender_device=pc&amp;web_id=7611930277489657360" TargetMode="External"/><Relationship Id="rId4688" Type="http://schemas.openxmlformats.org/officeDocument/2006/relationships/hyperlink" Target="https://www.tiktok.com/@shandraekafanny_" TargetMode="External"/><Relationship Id="rId100" Type="http://schemas.openxmlformats.org/officeDocument/2006/relationships/hyperlink" Target="https://vt.tiktok.com/ZSmsboHc9/" TargetMode="External"/><Relationship Id="rId2026" Type="http://schemas.openxmlformats.org/officeDocument/2006/relationships/hyperlink" Target="https://vt.tiktok.com/ZS9edSa6L/" TargetMode="External"/><Relationship Id="rId3356" Type="http://schemas.openxmlformats.org/officeDocument/2006/relationships/hyperlink" Target="https://www.tiktok.com/@dietsehat01/video/7632180261798595858?is_from_webapp=1&amp;sender_device=pc&amp;web_id=7611930277489657360" TargetMode="External"/><Relationship Id="rId4687" Type="http://schemas.openxmlformats.org/officeDocument/2006/relationships/hyperlink" Target="https://vt.tiktok.com/ZS9DXN14x/" TargetMode="External"/><Relationship Id="rId2016" Type="http://schemas.openxmlformats.org/officeDocument/2006/relationships/hyperlink" Target="https://vt.tiktok.com/ZS9J8jN32/" TargetMode="External"/><Relationship Id="rId3348" Type="http://schemas.openxmlformats.org/officeDocument/2006/relationships/hyperlink" Target="https://www.tiktok.com/@anitsuga875" TargetMode="External"/><Relationship Id="rId4679" Type="http://schemas.openxmlformats.org/officeDocument/2006/relationships/hyperlink" Target="https://www.tiktok.com/@_kartikara/video/7623269238500887828?is_from_webapp=1&amp;sender_device=pc" TargetMode="External"/><Relationship Id="rId2017" Type="http://schemas.openxmlformats.org/officeDocument/2006/relationships/hyperlink" Target="https://vt.tiktok.com/ZS9J8jhK8/" TargetMode="External"/><Relationship Id="rId3347" Type="http://schemas.openxmlformats.org/officeDocument/2006/relationships/hyperlink" Target="https://www.tiktok.com/@andinee__/video/7631904726195375378?_r=1&amp;u_code=l6ma1c5i&amp;region=&amp;mid=7624353502927604487&amp;preview_pb=0&amp;sharer_language=&amp;_d=0&amp;ec_shared_reflux_dynamic_params=%7B%22placeholder_material_id%22%3A%227631904726195375378%22%2C%22placeholder_origin_cover%22%3A%22https%253A%252F%252Fp16-common-sign.tiktokcdn.com%252Ftos-alisg-p-0037%252FoQXEle9PQZiIoL0CxTDDfDmjiUAFBYfAGoQTQ2~tplv-tiktokx-origin.jpeg%253Fdr%253D14572%2526refresh_token%253D16280216%2526x-expires%253D1810195200%2526x-signature%253D5kQAlwh7GPFneVIgZRvOBk%25252FikII%25253D%2526t%253D4d5b0474%2526ps%253D13740610%2526shp%253Dd05b14bd%2526shcp%253D34ff8df6%2526idc%253Dmy2%2526s%253DTIKTOK_AFFILIATE_VIRAL_VIDEO%22%2C%22placeholder_product_id%22%3A%221729427766722726591%22%2C%22placeholder_video_id%22%3A%227631904726195375378%22%7D&amp;ec_shared_reflux_scene=shop_tab_feed&amp;share_item_id=7631904726195375378&amp;source=h5_t" TargetMode="External"/><Relationship Id="rId4678" Type="http://schemas.openxmlformats.org/officeDocument/2006/relationships/hyperlink" Target="https://www.tiktok.com/@_kartikara" TargetMode="External"/><Relationship Id="rId2018" Type="http://schemas.openxmlformats.org/officeDocument/2006/relationships/hyperlink" Target="https://vt.tiktok.com/ZS9JRcwBK/" TargetMode="External"/><Relationship Id="rId2019" Type="http://schemas.openxmlformats.org/officeDocument/2006/relationships/hyperlink" Target="https://vt.tiktok.com/ZS9edUq81/" TargetMode="External"/><Relationship Id="rId3349" Type="http://schemas.openxmlformats.org/officeDocument/2006/relationships/hyperlink" Target="https://www.tiktok.com/@andinee__/video/7631865354414869767?_r=1&amp;u_code=l6ma1c5i&amp;region=&amp;mid=7413639309809780753&amp;preview_pb=0&amp;sharer_language=&amp;_d=0&amp;ec_shared_reflux_dynamic_params=%7B%22placeholder_material_id%22%3A%227631865354414869767%22%2C%22placeholder_origin_cover%22%3A%22https%253A%252F%252Fp16-common-sign.tiktokcdn.com%252Ftos-alisg-p-0037%252FogBPA1t6mFjEUEdBIpEDrSfwIIJmgSegBUp9mR~tplv-tiktokx-origin.jpeg%253Fdr%253D14572%2526refresh_token%253D84c41724%2526x-expires%253D1810195200%2526x-signature%253DPk1t%25252BUKonxwYTADcfVRbz2SM77M%25253D%2526t%253D4d5b0474%2526ps%253D13740610%2526shp%253Dd05b14bd%2526shcp%253D34ff8df6%2526idc%253Dmy2%2526s%253DTIKTOK_AFFILIATE_VIRAL_VIDEO%22%2C%22placeholder_product_id%22%3A%221729427766722726591%22%2C%22placeholder_video_id%22%3A%227631865354414869767%22%7D&amp;ec_shared_reflux_scene=shop_tab_feed&amp;share_item_id=7631865354414869767&amp;source=h5_t" TargetMode="External"/><Relationship Id="rId3340" Type="http://schemas.openxmlformats.org/officeDocument/2006/relationships/hyperlink" Target="https://www.tiktok.com/@andinee__/video/7631862925795331346?_r=1&amp;u_code=l6ma1c5i&amp;region=&amp;mid=7461846526144710657&amp;preview_pb=0&amp;sharer_language=&amp;_d=0&amp;ec_shared_reflux_dynamic_params=%7B%22placeholder_material_id%22%3A%227631862925795331346%22%2C%22placeholder_origin_cover%22%3A%22https%253A%252F%252Fp19-common-sign.tiktokcdn.com%252Ftos-alisg-p-0037%252FoAIpIBBYR0s6AtDpcFDBfsVeSLyEaEOgUhduBm~tplv-tiktokx-origin.jpeg%253Fdr%253D14572%2526refresh_token%253D1b1ebfcb%2526x-expires%253D1810195200%2526x-signature%253D%25252BUlOMGr49OpjTF9ntFj%25252F0mWcvGs%25253D%2526t%253D4d5b0474%2526ps%253D13740610%2526shp%253Dd05b14bd%2526shcp%253D34ff8df6%2526idc%253Dmy2%2526s%253DTIKTOK_AFFILIATE_VIRAL_VIDEO%22%2C%22placeholder_product_id%22%3A%221729427766722726591%22%2C%22placeholder_video_id%22%3A%227631862925795331346%22%7D&amp;ec_shared_reflux_scene=shop_tab_feed&amp;share_item_id=7631862925795331346&amp;source=h5_t" TargetMode="External"/><Relationship Id="rId4671" Type="http://schemas.openxmlformats.org/officeDocument/2006/relationships/hyperlink" Target="https://vt.tiktok.com/ZSxgu4u72/" TargetMode="External"/><Relationship Id="rId4670" Type="http://schemas.openxmlformats.org/officeDocument/2006/relationships/hyperlink" Target="https://vt.tiktok.com/ZSxyAmmXk/" TargetMode="External"/><Relationship Id="rId2010" Type="http://schemas.openxmlformats.org/officeDocument/2006/relationships/hyperlink" Target="https://www.tiktok.com/@yuliaa.ysp" TargetMode="External"/><Relationship Id="rId3342" Type="http://schemas.openxmlformats.org/officeDocument/2006/relationships/hyperlink" Target="https://www.tiktok.com/@andinee__/video/7631908332491640071?_r=1&amp;u_code=l6ma1c5i&amp;region=&amp;mid=7627393047289989909&amp;preview_pb=0&amp;sharer_language=&amp;_d=0&amp;ec_shared_reflux_dynamic_params=%7B%22placeholder_material_id%22%3A%227631908332491640071%22%2C%22placeholder_origin_cover%22%3A%22https%253A%252F%252Fp19-common-sign.tiktokcdn.com%252Ftos-alisg-p-0037%252FokQGB8Anmef5nSMEFA8JX5AQIgBJGw8VGfpneR~tplv-tiktokx-origin.jpeg%253Fdr%253D14572%2526refresh_token%253D194dcef3%2526x-expires%253D1810195200%2526x-signature%253DZf206%25252FkxwxlIyXrYqTFWEaa%25252BVd0%25253D%2526t%253D4d5b0474%2526ps%253D13740610%2526shp%253Dd05b14bd%2526shcp%253D34ff8df6%2526idc%253Dmy2%2526s%253DTIKTOK_AFFILIATE_VIRAL_VIDEO%22%2C%22placeholder_product_id%22%3A%221729427766722726591%22%2C%22placeholder_video_id%22%3A%227631908332491640071%22%7D&amp;ec_shared_reflux_scene=shop_tab_feed&amp;share_item_id=7631908332491640071&amp;source=h5_t" TargetMode="External"/><Relationship Id="rId4673" Type="http://schemas.openxmlformats.org/officeDocument/2006/relationships/hyperlink" Target="https://www.tiktok.com/@alina.clemira" TargetMode="External"/><Relationship Id="rId2011" Type="http://schemas.openxmlformats.org/officeDocument/2006/relationships/hyperlink" Target="https://vt.tiktok.com/ZS9JHWyfY/" TargetMode="External"/><Relationship Id="rId3341" Type="http://schemas.openxmlformats.org/officeDocument/2006/relationships/hyperlink" Target="https://www.tiktok.com/@andinee__/video/7631860610963098898?_r=1&amp;u_code=l6ma1c5i&amp;region=&amp;mid=7591472512833259536&amp;preview_pb=0&amp;sharer_language=&amp;_d=0&amp;ec_shared_reflux_dynamic_params=%7B%22placeholder_material_id%22%3A%227631860610963098898%22%2C%22placeholder_origin_cover%22%3A%22https%253A%252F%252Fp16-common-sign.tiktokcdn.com%252Ftos-alisg-p-0037%252FoEEG7gREQBAfNQrpCpeg2QtyUBFCs06DdOV65r~tplv-tiktokx-origin.jpeg%253Fdr%253D14572%2526refresh_token%253D5ef321f4%2526x-expires%253D1810195200%2526x-signature%253DGQaaz8NkER%25252BhigNxOj89otCl2Ig%25253D%2526t%253D4d5b0474%2526ps%253D13740610%2526shp%253Dd05b14bd%2526shcp%253D34ff8df6%2526idc%253Dmy2%2526s%253DTIKTOK_AFFILIATE_VIRAL_VIDEO%22%2C%22placeholder_product_id%22%3A%221729427766722726591%22%2C%22placeholder_video_id%22%3A%227631860610963098898%22%7D&amp;ec_shared_reflux_scene=shop_tab_feed&amp;share_item_id=7631860610963098898&amp;source=h5_t" TargetMode="External"/><Relationship Id="rId4672" Type="http://schemas.openxmlformats.org/officeDocument/2006/relationships/hyperlink" Target="https://vt.tiktok.com/ZSxgu3fyH/" TargetMode="External"/><Relationship Id="rId2012" Type="http://schemas.openxmlformats.org/officeDocument/2006/relationships/hyperlink" Target="https://vt.tiktok.com/ZS9J9d73L/" TargetMode="External"/><Relationship Id="rId3344" Type="http://schemas.openxmlformats.org/officeDocument/2006/relationships/hyperlink" Target="https://www.tiktok.com/@adiiiiind/video/7632483822705085716?is_from_webapp=1&amp;sender_device=pc" TargetMode="External"/><Relationship Id="rId4675" Type="http://schemas.openxmlformats.org/officeDocument/2006/relationships/hyperlink" Target="https://vt.tiktok.com/ZSxyAXXLK/" TargetMode="External"/><Relationship Id="rId2013" Type="http://schemas.openxmlformats.org/officeDocument/2006/relationships/hyperlink" Target="https://vt.tiktok.com/ZS9JH4MAG/" TargetMode="External"/><Relationship Id="rId3343" Type="http://schemas.openxmlformats.org/officeDocument/2006/relationships/hyperlink" Target="https://www.tiktok.com/@adiiiiind" TargetMode="External"/><Relationship Id="rId4674" Type="http://schemas.openxmlformats.org/officeDocument/2006/relationships/hyperlink" Target="https://vt.tiktok.com/ZSxyA5Dpm/" TargetMode="External"/><Relationship Id="rId2014" Type="http://schemas.openxmlformats.org/officeDocument/2006/relationships/hyperlink" Target="https://vt.tiktok.com/ZS9JHsxoC/" TargetMode="External"/><Relationship Id="rId3346" Type="http://schemas.openxmlformats.org/officeDocument/2006/relationships/hyperlink" Target="https://www.tiktok.com/@andinee__/video/7631905119969217800?_r=1&amp;u_code=l6ma1c5i&amp;region=&amp;mid=7591472512833259536&amp;preview_pb=0&amp;sharer_language=&amp;_d=0&amp;ec_shared_reflux_dynamic_params=%7B%22placeholder_material_id%22%3A%227631905119969217800%22%2C%22placeholder_origin_cover%22%3A%22https%253A%252F%252Fp16-common-sign.tiktokcdn.com%252Ftos-alisg-p-0037%252FooAGCUjTwAnQeFJSDvGfTQLSQpeGIILA2PfRIU~tplv-tiktokx-origin.jpeg%253Fdr%253D14572%2526refresh_token%253Dd2bdd81c%2526x-expires%253D1810195200%2526x-signature%253D3aTfnZvi4wwSE3QaFdsLfQQsdA4%25253D%2526t%253D4d5b0474%2526ps%253D13740610%2526shp%253Dd05b14bd%2526shcp%253D34ff8df6%2526idc%253Dmy2%2526s%253DTIKTOK_AFFILIATE_VIRAL_VIDEO%22%2C%22placeholder_product_id%22%3A%221729427766722726591%22%2C%22placeholder_video_id%22%3A%227631905119969217800%22%7D&amp;ec_shared_reflux_scene=shop_tab_feed&amp;share_item_id=7631905119969217800&amp;source=h5_t" TargetMode="External"/><Relationship Id="rId4677" Type="http://schemas.openxmlformats.org/officeDocument/2006/relationships/hyperlink" Target="https://vt.tiktok.com/ZSxyAHpv9/" TargetMode="External"/><Relationship Id="rId2015" Type="http://schemas.openxmlformats.org/officeDocument/2006/relationships/hyperlink" Target="https://www.tiktok.com/@dylanstore.01" TargetMode="External"/><Relationship Id="rId3345" Type="http://schemas.openxmlformats.org/officeDocument/2006/relationships/hyperlink" Target="https://www.tiktok.com/@adiiiiind/video/7633007477205896469?is_from_webapp=1&amp;sender_device=pc" TargetMode="External"/><Relationship Id="rId4676" Type="http://schemas.openxmlformats.org/officeDocument/2006/relationships/hyperlink" Target="https://vt.tiktok.com/ZSxyAaAv6/" TargetMode="External"/><Relationship Id="rId2049" Type="http://schemas.openxmlformats.org/officeDocument/2006/relationships/hyperlink" Target="https://www.tiktok.com/@_marzky" TargetMode="External"/><Relationship Id="rId129" Type="http://schemas.openxmlformats.org/officeDocument/2006/relationships/hyperlink" Target="https://vt.tiktok.com/ZSu6SEgc9/" TargetMode="External"/><Relationship Id="rId128" Type="http://schemas.openxmlformats.org/officeDocument/2006/relationships/hyperlink" Target="https://vt.tiktok.com/ZSuL9LWMA/" TargetMode="External"/><Relationship Id="rId127" Type="http://schemas.openxmlformats.org/officeDocument/2006/relationships/hyperlink" Target="https://vt.tiktok.com/ZSuJHtfjr/" TargetMode="External"/><Relationship Id="rId126" Type="http://schemas.openxmlformats.org/officeDocument/2006/relationships/hyperlink" Target="https://www.tiktok.com/@fitrifitt_" TargetMode="External"/><Relationship Id="rId3371" Type="http://schemas.openxmlformats.org/officeDocument/2006/relationships/hyperlink" Target="https://www.tiktok.com/@belanja_hemat.shop/video/7636216720394407175?_r=1&amp;u_code=ek6h2252jijmih&amp;region=&amp;mid=7517602699278453505&amp;preview_pb=0&amp;sharer_language=&amp;_d=0&amp;ec_shared_reflux_dynamic_params=%7B%22placeholder_material_id%22%3A%227636216720394407175%22%2C%22placeholder_origin_cover%22%3A%22https%253A%252F%252Fp16-common-sign.tiktokcdn.com%252Ftos-alisg-p-0037%252FooCeAlyePFPbNIUFQTED7WfCQHMLAqQADoyH0j~tplv-tiktokx-origin.jpeg%253Fdr%253D14572%2526refresh_token%253D4ee45672%2526x-expires%253D1810195200%2526x-signature%253DdDGO%25252B4IBfzTlhX3aKpTmIPnfIW4%25253D%2526t%253D4d5b0474%2526ps%253D13740610%2526shp%253Dd05b14bd%2526shcp%253D34ff8df6%2526idc%253Dmy2%2526s%253DTIKTOK_AFFILIATE_VIRAL_VIDEO%22%2C%22placeholder_product_id%22%3A%221729427766722726591%22%2C%22placeholder_video_id%22%3A%227636216720394407175%22%7D&amp;ec_shared_reflux_scene=shop_tab_feed&amp;share_item_id=7636216720394407175&amp;source=h5_t" TargetMode="External"/><Relationship Id="rId2040" Type="http://schemas.openxmlformats.org/officeDocument/2006/relationships/hyperlink" Target="https://vt.tiktok.com/ZS9JrNkmS/" TargetMode="External"/><Relationship Id="rId3370" Type="http://schemas.openxmlformats.org/officeDocument/2006/relationships/hyperlink" Target="https://www.tiktok.com/@wattpadstoryy_3/video/7614730939817561365?_r=1&amp;u_code=djcfcl0i7lhlkg&amp;region=&amp;mid=7221264024289086214&amp;preview_pb=0&amp;sharer_language=&amp;_d=0&amp;ec_shared_reflux_dynamic_params=%7B%22placeholder_material_id%22%3A%227614730939817561365%22%2C%22placeholder_origin_cover%22%3A%22https%253A%252F%252Fp16-sign-sg.tiktokcdn.com%252Ftos-alisg-p-0037%252FoYQDFBkGPEyfcqQsQBVYEfY5c9rtpQARCBORgQ~tplv-tiktokx-origin.jpeg%253Fdr%253D14572%2526refresh_token%253Dc6070ea7%2526x-expires%253D1806051600%2526x-signature%253DEq4TKLonaWdUoT5vTZ1%25252F9cyg7AM%25253D%2526t%253D4d5b0474%2526ps%253D13740610%2526shp%253Dd05b14bd%2526shcp%253D34ff8df6%2526idc%253Dmy2%2526s%253DTIKTOK_AFFILIATE_VIRAL_VIDEO%22%2C%22placeholder_product_id%22%3A%221729427766722726591%22%2C%22placeholder_video_id%22%3A%227614730939817561365%22%7D&amp;ec_shared_reflux_scene=shop_tab_feed&amp;share_item_id=7614730939817561365&amp;source=h5_t" TargetMode="External"/><Relationship Id="rId121" Type="http://schemas.openxmlformats.org/officeDocument/2006/relationships/hyperlink" Target="https://www.tiktok.com/@sibar0324" TargetMode="External"/><Relationship Id="rId2041" Type="http://schemas.openxmlformats.org/officeDocument/2006/relationships/hyperlink" Target="https://vt.tiktok.com/ZS9JrrDnr/" TargetMode="External"/><Relationship Id="rId3373" Type="http://schemas.openxmlformats.org/officeDocument/2006/relationships/hyperlink" Target="https://www.tiktok.com/@belanja_hemat.shop/video/7636600700494990600?_d=0&amp;_r=1&amp;ec_shared_reflux_dynamic_params=%7B%22placeholder_material_id%22%3A%227636600700494990600%22%2C%22placeholder_origin_cover%22%3A%22https%253A%252F%252Fp16-common-sign.tiktokcdn.com%252Ftos-alisg-p-0037%252FoU1rmXKIjQDAeox81nQGfeMTw8WWQDZUCA79T9~tplv-tiktokx-origin.jpeg%253Fdr%253D14572%2526refresh_token%253D229679a0%2526x-expires%253D1810195200%2526x-signature%253DwqLoLXvyYZune%25252FajjZ7NlD3jSRk%25253D%2526t%253D4d5b0474%2526ps%253D13740610%2526shp%253Dd05b14bd%2526shcp%253D34ff8df6%2526idc%253Dmy2%2526s%253DTIKTOK_AFFILIATE_VIRAL_VIDEO%22%2C%22placeholder_product_id%22%3A%221729427766722726591%22%2C%22placeholder_video_id%22%3A%227636600700494990600%22%7D&amp;ec_shared_reflux_scene=shop_tab_feed&amp;mid=7374714896766487301&amp;preview_pb=0&amp;region=&amp;share_item_id=7636600700494990600&amp;sharer_language=&amp;source=h5_t&amp;u_code=ek6h2252jijmih" TargetMode="External"/><Relationship Id="rId120" Type="http://schemas.openxmlformats.org/officeDocument/2006/relationships/hyperlink" Target="https://vt.tiktok.com/ZSmUdR4JG/" TargetMode="External"/><Relationship Id="rId2042" Type="http://schemas.openxmlformats.org/officeDocument/2006/relationships/hyperlink" Target="https://www.tiktok.com/@nandaku_99" TargetMode="External"/><Relationship Id="rId3372" Type="http://schemas.openxmlformats.org/officeDocument/2006/relationships/hyperlink" Target="https://www.tiktok.com/@belanja_hemat.shop/video/7636380086702443784?_r=1&amp;u_code=ek6h2252jijmih&amp;region=&amp;mid=7399648575468079878&amp;preview_pb=0&amp;sharer_language=&amp;_d=0&amp;ec_shared_reflux_dynamic_params=%7B%22placeholder_material_id%22%3A%227636380086702443784%22%2C%22placeholder_origin_cover%22%3A%22https%253A%252F%252Fp16-common-sign.tiktokcdn.com%252Ftos-alisg-p-0037%252Fos3Bf0BMigkDf35cgR2QABPEF0uIIUCPgpODbi~tplv-tiktokx-origin.jpeg%253Fdr%253D14572%2526refresh_token%253Dbc3d35cd%2526x-expires%253D1810195200%2526x-signature%253D5hr9KpqfgcgXlg4fvK8BAKCN8WQ%25253D%2526t%253D4d5b0474%2526ps%253D13740610%2526shp%253Dd05b14bd%2526shcp%253D34ff8df6%2526idc%253Dmy2%2526s%253DTIKTOK_AFFILIATE_VIRAL_VIDEO%22%2C%22placeholder_product_id%22%3A%221729427766722726591%22%2C%22placeholder_video_id%22%3A%227636380086702443784%22%7D&amp;ec_shared_reflux_scene=shop_tab_feed&amp;share_item_id=7636380086702443784&amp;source=h5_t" TargetMode="External"/><Relationship Id="rId2043" Type="http://schemas.openxmlformats.org/officeDocument/2006/relationships/hyperlink" Target="https://vt.tiktok.com/ZS9JrN4Xe/" TargetMode="External"/><Relationship Id="rId3375" Type="http://schemas.openxmlformats.org/officeDocument/2006/relationships/hyperlink" Target="https://vt.tiktok.com/ZS9NQQLfX/" TargetMode="External"/><Relationship Id="rId2044" Type="http://schemas.openxmlformats.org/officeDocument/2006/relationships/hyperlink" Target="https://vt.tiktok.com/ZSxSQRWrJ/" TargetMode="External"/><Relationship Id="rId3374" Type="http://schemas.openxmlformats.org/officeDocument/2006/relationships/hyperlink" Target="https://www.tiktok.com/@bundakabarinews" TargetMode="External"/><Relationship Id="rId125" Type="http://schemas.openxmlformats.org/officeDocument/2006/relationships/hyperlink" Target="https://vt.tiktok.com/ZSmvd7cgm/" TargetMode="External"/><Relationship Id="rId2045" Type="http://schemas.openxmlformats.org/officeDocument/2006/relationships/hyperlink" Target="https://www.tiktok.com/@Windyharyani79" TargetMode="External"/><Relationship Id="rId3377" Type="http://schemas.openxmlformats.org/officeDocument/2006/relationships/hyperlink" Target="https://www.tiktok.com/@nanadd0.7" TargetMode="External"/><Relationship Id="rId124" Type="http://schemas.openxmlformats.org/officeDocument/2006/relationships/hyperlink" Target="https://vt.tiktok.com/ZSmvdqkkf/" TargetMode="External"/><Relationship Id="rId2046" Type="http://schemas.openxmlformats.org/officeDocument/2006/relationships/hyperlink" Target="https://www.tiktok.com/@windyharyani79/video/7628550131310185736?is_from_webapp=1&amp;sender_device=pc" TargetMode="External"/><Relationship Id="rId3376" Type="http://schemas.openxmlformats.org/officeDocument/2006/relationships/hyperlink" Target="https://vt.tiktok.com/ZS9NQx6cn/" TargetMode="External"/><Relationship Id="rId123" Type="http://schemas.openxmlformats.org/officeDocument/2006/relationships/hyperlink" Target="https://vt.tiktok.com/ZSmvdVDSE/" TargetMode="External"/><Relationship Id="rId2047" Type="http://schemas.openxmlformats.org/officeDocument/2006/relationships/hyperlink" Target="https://vt.tiktok.com/ZSHpWQTbE/" TargetMode="External"/><Relationship Id="rId3379" Type="http://schemas.openxmlformats.org/officeDocument/2006/relationships/hyperlink" Target="https://www.tiktok.com/@belanja_hemat.shop/video/7637387785464319250?_r=1&amp;u_code=ek6h2252jijmih&amp;region=&amp;mid=7630057748353551122&amp;preview_pb=0&amp;sharer_language=&amp;_d=0&amp;ec_shared_reflux_dynamic_params=%7B%22placeholder_material_id%22%3A%227637387785464319250%22%2C%22placeholder_origin_cover%22%3A%22https%253A%252F%252Fp16-common-sign.tiktokcdn.com%252Ftos-alisg-p-0037%252FoEjX8PA1bE7K7RSTAeCrIcI9fOITlCDo1D2jfF~tplv-tiktokx-origin.jpeg%253Fdr%253D14572%2526refresh_token%253D0b641651%2526x-expires%253D1810195200%2526x-signature%253DdczWE3FdNVzSy4%25252FScX7gUap%25252FRIY%25253D%2526t%253D4d5b0474%2526ps%253D13740610%2526shp%253Dd05b14bd%2526shcp%253D34ff8df6%2526idc%253Dmy2%2526s%253DTIKTOK_AFFILIATE_VIRAL_VIDEO%22%2C%22placeholder_product_id%22%3A%221729427766722726591%22%2C%22placeholder_video_id%22%3A%227637387785464319250%22%7D&amp;ec_shared_reflux_scene=shop_tab_feed&amp;share_item_id=7637387785464319250&amp;source=h5_t" TargetMode="External"/><Relationship Id="rId122" Type="http://schemas.openxmlformats.org/officeDocument/2006/relationships/hyperlink" Target="https://vt.tiktok.com/ZSmvdQy3c/" TargetMode="External"/><Relationship Id="rId2048" Type="http://schemas.openxmlformats.org/officeDocument/2006/relationships/hyperlink" Target="https://vt.tiktok.com/ZS9cyh75Q/" TargetMode="External"/><Relationship Id="rId3378" Type="http://schemas.openxmlformats.org/officeDocument/2006/relationships/hyperlink" Target="https://www.tiktok.com/@belanja_hemat.shop/video/7639288466890591495?_r=1&amp;u_code=ek6h2252jijmih&amp;region=&amp;mid=7633305049822251796&amp;preview_pb=0&amp;sharer_language=&amp;_d=0&amp;ec_shared_reflux_dynamic_params=%7B%22placeholder_material_id%22%3A%227639288466890591495%22%2C%22placeholder_origin_cover%22%3A%22https%253A%252F%252Fp16-common-sign.tiktokcdn.com%252Ftos-alisg-p-0037%252FowaERDfcqIUHEqBuNBBFhwREIaDCwhAZPgfaG5~tplv-tiktokx-origin.jpeg%253Fdr%253D14572%2526refresh_token%253D50cf894b%2526x-expires%253D1810195200%2526x-signature%253DSP4Y3rwJOBEWg5%25252BAcRzs8TnM8%25252Fk%25253D%2526t%253D4d5b0474%2526ps%253D13740610%2526shp%253Dd05b14bd%2526shcp%253D34ff8df6%2526idc%253Dmy2%2526s%253DTIKTOK_AFFILIATE_VIRAL_VIDEO%22%2C%22placeholder_product_id%22%3A%221729427766722726591%22%2C%22placeholder_video_id%22%3A%227639288466890591495%22%7D&amp;ec_shared_reflux_scene=shop_tab_feed&amp;share_item_id=7639288466890591495&amp;source=h5_t" TargetMode="External"/><Relationship Id="rId2038" Type="http://schemas.openxmlformats.org/officeDocument/2006/relationships/hyperlink" Target="https://www.tiktok.com/@skinbeauty.id/video/7630463264421350676?_r=1&amp;u_code=db2el50hhee557&amp;region=&amp;mid=7590285635702885128&amp;preview_pb=0&amp;sharer_language=&amp;_d=0&amp;ec_shared_reflux_dynamic_params=%7B%22placeholder_material_id%22%3A%227630463264421350676%22%2C%22placeholder_origin_cover%22%3A%22https%253A%252F%252Fp19-common-sign.tiktokcdn.com%252Ftos-alisg-p-0037%252FogdbTDg4OHGZACAngLfICPgLEgLZjytIebQle0~tplv-tiktokx-origin.jpeg%253Fdr%253D14572%2526refresh_token%253D429e1235%2526x-expires%253D1808301600%2526x-signature%253DC6jtrRsjI5rnrBFaOm%25252B%25252FdEpeyoM%25253D%2526t%253D4d5b0474%2526ps%253D13740610%2526shp%253Dd05b14bd%2526shcp%253D34ff8df6%2526idc%253Dmy3%2526s%253DTIKTOK_AFFILIATE_VIRAL_VIDEO%22%2C%22placeholder_product_id%22%3A%221729427766722726591%22%2C%22placeholder_video_id%22%3A%227630463264421350676%22%7D&amp;ec_shared_reflux_scene=shop_tab_feed&amp;share_item_id=7630463264421350676&amp;source=h5_t" TargetMode="External"/><Relationship Id="rId2039" Type="http://schemas.openxmlformats.org/officeDocument/2006/relationships/hyperlink" Target="https://vt.tiktok.com/ZS9J7BUTH/" TargetMode="External"/><Relationship Id="rId3369" Type="http://schemas.openxmlformats.org/officeDocument/2006/relationships/hyperlink" Target="https://www.tiktok.com/@wattpadstoryy_3" TargetMode="External"/><Relationship Id="rId118" Type="http://schemas.openxmlformats.org/officeDocument/2006/relationships/hyperlink" Target="https://vt.tiktok.com/ZSmW8jX6W/" TargetMode="External"/><Relationship Id="rId117" Type="http://schemas.openxmlformats.org/officeDocument/2006/relationships/hyperlink" Target="https://vt.tiktok.com/ZSmpdnrBE/" TargetMode="External"/><Relationship Id="rId116" Type="http://schemas.openxmlformats.org/officeDocument/2006/relationships/hyperlink" Target="https://www.tiktok.com/@lovedaisy2488" TargetMode="External"/><Relationship Id="rId115" Type="http://schemas.openxmlformats.org/officeDocument/2006/relationships/hyperlink" Target="https://vt.tiktok.com/ZSmU1uePM/" TargetMode="External"/><Relationship Id="rId3360" Type="http://schemas.openxmlformats.org/officeDocument/2006/relationships/hyperlink" Target="https://www.tiktok.com/@belanja_hemat.shop/video/7634926814531505416?_r=1&amp;u_code=ek6h2252jijmih&amp;region=&amp;mid=7421728052169722630&amp;preview_pb=0&amp;sharer_language=&amp;_d=0&amp;ec_shared_reflux_dynamic_params=%7B%22placeholder_material_id%22%3A%227634926814531505416%22%2C%22placeholder_origin_cover%22%3A%22https%253A%252F%252Fp16-common-sign.tiktokcdn.com%252Ftos-alisg-p-0037%252FoEW0zxqiwcRlBIMIQBipAtjBgUcSdBzYfleEb2~tplv-tiktokx-origin.jpeg%253Fdr%253D14572%2526refresh_token%253D256e951c%2526x-expires%253D1810195200%2526x-signature%253DP9P0WMSmUygFzo2lOlngLeYqQOI%25253D%2526t%253D4d5b0474%2526ps%253D13740610%2526shp%253Dd05b14bd%2526shcp%253D34ff8df6%2526idc%253Dmy2%2526s%253DTIKTOK_AFFILIATE_VIRAL_VIDEO%22%2C%22placeholder_product_id%22%3A%221729427766722726591%22%2C%22placeholder_video_id%22%3A%227634926814531505416%22%7D&amp;ec_shared_reflux_scene=shop_tab_feed&amp;share_item_id=7634926814531505416&amp;source=h5_t" TargetMode="External"/><Relationship Id="rId4691" Type="http://schemas.openxmlformats.org/officeDocument/2006/relationships/hyperlink" Target="https://vt.tiktok.com/ZS9DXN14x/" TargetMode="External"/><Relationship Id="rId119" Type="http://schemas.openxmlformats.org/officeDocument/2006/relationships/hyperlink" Target="https://vt.tiktok.com/ZSmtEP2X2/" TargetMode="External"/><Relationship Id="rId4690" Type="http://schemas.openxmlformats.org/officeDocument/2006/relationships/hyperlink" Target="https://vt.tiktok.com/ZS9reLqAt/" TargetMode="External"/><Relationship Id="rId110" Type="http://schemas.openxmlformats.org/officeDocument/2006/relationships/hyperlink" Target="https://vt.tiktok.com/ZSHEgwsX9/" TargetMode="External"/><Relationship Id="rId2030" Type="http://schemas.openxmlformats.org/officeDocument/2006/relationships/hyperlink" Target="https://vt.tiktok.com/ZS9cDc2ry/" TargetMode="External"/><Relationship Id="rId3362" Type="http://schemas.openxmlformats.org/officeDocument/2006/relationships/hyperlink" Target="https://www.tiktok.com/@belanja_hemat.shop/video/7635194383041711368?_r=1&amp;u_code=ek6h2252jijmih&amp;region=&amp;mid=7476015863875865349&amp;preview_pb=0&amp;sharer_language=&amp;_d=0&amp;ec_shared_reflux_dynamic_params=%7B%22placeholder_material_id%22%3A%227635194383041711368%22%2C%22placeholder_origin_cover%22%3A%22https%253A%252F%252Fp16-common-sign.tiktokcdn.com%252Ftos-alisg-p-0037%252FoMKiBrfDUIqURfpEzqGNz9oa1BOATEjIFBCKIg~tplv-tiktokx-origin.jpeg%253Fdr%253D14572%2526refresh_token%253D76c4657b%2526x-expires%253D1810195200%2526x-signature%253DN4NxSYhPzMwPobuFrpWIWr%25252BaJpA%25253D%2526t%253D4d5b0474%2526ps%253D13740610%2526shp%253Dd05b14bd%2526shcp%253D34ff8df6%2526idc%253Dmy2%2526s%253DTIKTOK_AFFILIATE_VIRAL_VIDEO%22%2C%22placeholder_product_id%22%3A%221729427766722726591%22%2C%22placeholder_video_id%22%3A%227635194383041711368%22%7D&amp;ec_shared_reflux_scene=shop_tab_feed&amp;share_item_id=7635194383041711368&amp;source=h5_t" TargetMode="External"/><Relationship Id="rId4693" Type="http://schemas.openxmlformats.org/officeDocument/2006/relationships/hyperlink" Target="https://www.tiktok.com/@racunamel_" TargetMode="External"/><Relationship Id="rId2031" Type="http://schemas.openxmlformats.org/officeDocument/2006/relationships/hyperlink" Target="https://vt.tiktok.com/ZS9cDnNSJ/" TargetMode="External"/><Relationship Id="rId3361" Type="http://schemas.openxmlformats.org/officeDocument/2006/relationships/hyperlink" Target="https://www.tiktok.com/@belanja_hemat.shop/video/7635162664397917448?_r=1&amp;u_code=ek6h2252jijmih&amp;region=&amp;mid=7399648575468079878&amp;preview_pb=0&amp;sharer_language=&amp;_d=0&amp;ec_shared_reflux_dynamic_params=%7B%22placeholder_material_id%22%3A%227635162664397917448%22%2C%22placeholder_origin_cover%22%3A%22https%253A%252F%252Fp16-common-sign.tiktokcdn.com%252Ftos-alisg-p-0037%252FoEfGDEA2QwnDBoRAQF1JpQFa51G8jGfi6WATee~tplv-tiktokx-origin.jpeg%253Fdr%253D14572%2526refresh_token%253D12f72ff5%2526x-expires%253D1810195200%2526x-signature%253Djw9vwcEntk7ZxD1o7Y%25252F%25252FnS9%25252BXB8%25253D%2526t%253D4d5b0474%2526ps%253D13740610%2526shp%253Dd05b14bd%2526shcp%253D34ff8df6%2526idc%253Dmy2%2526s%253DTIKTOK_AFFILIATE_VIRAL_VIDEO%22%2C%22placeholder_product_id%22%3A%221729427766722726591%22%2C%22placeholder_video_id%22%3A%227635162664397917448%22%7D&amp;ec_shared_reflux_scene=shop_tab_feed&amp;share_item_id=7635162664397917448&amp;source=h5_t" TargetMode="External"/><Relationship Id="rId4692" Type="http://schemas.openxmlformats.org/officeDocument/2006/relationships/hyperlink" Target="https://vt.tiktok.com/ZS9DXN14x/" TargetMode="External"/><Relationship Id="rId2032" Type="http://schemas.openxmlformats.org/officeDocument/2006/relationships/hyperlink" Target="https://www.tiktok.com/@callmemoiyy" TargetMode="External"/><Relationship Id="rId3364" Type="http://schemas.openxmlformats.org/officeDocument/2006/relationships/hyperlink" Target="https://www.tiktok.com/@dinif.sa" TargetMode="External"/><Relationship Id="rId4695" Type="http://schemas.openxmlformats.org/officeDocument/2006/relationships/hyperlink" Target="https://vt.tiktok.com/ZS9reLqAt/" TargetMode="External"/><Relationship Id="rId2033" Type="http://schemas.openxmlformats.org/officeDocument/2006/relationships/hyperlink" Target="https://vt.tiktok.com/ZSHo7rYYF/" TargetMode="External"/><Relationship Id="rId3363" Type="http://schemas.openxmlformats.org/officeDocument/2006/relationships/hyperlink" Target="http://dinif.sa" TargetMode="External"/><Relationship Id="rId4694" Type="http://schemas.openxmlformats.org/officeDocument/2006/relationships/hyperlink" Target="https://vt.tiktok.com/ZS96d7WtV/" TargetMode="External"/><Relationship Id="rId114" Type="http://schemas.openxmlformats.org/officeDocument/2006/relationships/hyperlink" Target="https://vt.tiktok.com/ZSmknvQaE/" TargetMode="External"/><Relationship Id="rId2034" Type="http://schemas.openxmlformats.org/officeDocument/2006/relationships/hyperlink" Target="https://vt.tiktok.com/ZSHo7xtoc/" TargetMode="External"/><Relationship Id="rId3366" Type="http://schemas.openxmlformats.org/officeDocument/2006/relationships/hyperlink" Target="https://www.tiktok.com/@belanja_hemat.shop/video/7635502774356053255?_r=1&amp;u_code=ek6h2252jijmih&amp;region=&amp;mid=7476015863875865349&amp;preview_pb=0&amp;sharer_language=&amp;_d=0&amp;ec_shared_reflux_dynamic_params=%7B%22placeholder_material_id%22%3A%227635502774356053255%22%2C%22placeholder_origin_cover%22%3A%22https%253A%252F%252Fp16-common-sign.tiktokcdn.com%252Ftos-alisg-p-0037%252FosTBEVDrFR359w2E2RHHAB5E79pIIUCfgpsfZE~tplv-tiktokx-origin.jpeg%253Fdr%253D14572%2526refresh_token%253D940a42d0%2526x-expires%253D1810195200%2526x-signature%253DadoU8uWG94cW7lpSEri0IL%25252FEgIw%25253D%2526t%253D4d5b0474%2526ps%253D13740610%2526shp%253Dd05b14bd%2526shcp%253D34ff8df6%2526idc%253Dmy2%2526s%253DTIKTOK_AFFILIATE_VIRAL_VIDEO%22%2C%22placeholder_product_id%22%3A%221729427766722726591%22%2C%22placeholder_video_id%22%3A%227635502774356053255%22%7D&amp;ec_shared_reflux_scene=shop_tab_feed&amp;share_item_id=7635502774356053255&amp;source=h5_t" TargetMode="External"/><Relationship Id="rId4697" Type="http://schemas.openxmlformats.org/officeDocument/2006/relationships/hyperlink" Target="https://vt.tiktok.com/ZS9DXN14x/" TargetMode="External"/><Relationship Id="rId113" Type="http://schemas.openxmlformats.org/officeDocument/2006/relationships/hyperlink" Target="https://vt.tiktok.com/ZSmjAFu7m/" TargetMode="External"/><Relationship Id="rId2035" Type="http://schemas.openxmlformats.org/officeDocument/2006/relationships/hyperlink" Target="https://vt.tiktok.com/ZSHo7mSJX/" TargetMode="External"/><Relationship Id="rId3365" Type="http://schemas.openxmlformats.org/officeDocument/2006/relationships/hyperlink" Target="https://www.tiktok.com/@dinif.sa/video/7606266506313288981?_r=1&amp;u_code=dbghm7c96hifg4&amp;region=&amp;mid=7482766941833267969&amp;preview_pb=0&amp;sharer_language=&amp;_d=0&amp;ec_shared_reflux_dynamic_params=%7B%22placeholder_material_id%22%3A%227606266506313288981%22%2C%22placeholder_origin_cover%22%3A%22https%253A%252F%252Fp16-sign-sg.tiktokcdn.com%252Ftos-alisg-p-0037%252Fo49IwizBIFGI0A4fO7Ixu3xoir0BCAi2ql7A0l~tplv-tiktokx-origin.jpeg%253Fdr%253D14572%2526refresh_token%253D5157800c%2526x-expires%253D1806055200%2526x-signature%253DT8E9Za7pdeV1THk4vSl4bcS4Ct8%25253D%2526t%253D4d5b0474%2526ps%253D13740610%2526shp%253Dd05b14bd%2526shcp%253D34ff8df6%2526idc%253Dmy2%2526s%253DTIKTOK_AFFILIATE_VIRAL_VIDEO%22%2C%22placeholder_product_id%22%3A%221729427766722726591%22%2C%22placeholder_video_id%22%3A%227606266506313288981%22%7D&amp;ec_shared_reflux_scene=shop_tab_feed&amp;share_item_id=7606266506313288981&amp;source=h5_t" TargetMode="External"/><Relationship Id="rId4696" Type="http://schemas.openxmlformats.org/officeDocument/2006/relationships/hyperlink" Target="https://vt.tiktok.com/ZS9DXN14x/" TargetMode="External"/><Relationship Id="rId112" Type="http://schemas.openxmlformats.org/officeDocument/2006/relationships/hyperlink" Target="https://vt.tiktok.com/ZSmFLVB5U/" TargetMode="External"/><Relationship Id="rId2036" Type="http://schemas.openxmlformats.org/officeDocument/2006/relationships/hyperlink" Target="https://www.tiktok.com/@skinbeauty.id/video/7631056711360482580?_r=1&amp;u_code=db2el50hhee557&amp;region=&amp;mid=7515043911153584897&amp;preview_pb=0&amp;sharer_language=&amp;_d=0&amp;ec_shared_reflux_dynamic_params=%7B%22placeholder_material_id%22%3A%227631056711360482580%22%2C%22placeholder_origin_cover%22%3A%22https%253A%252F%252Fp16-common-sign.tiktokcdn.com%252Ftos-alisg-p-0037%252FooAYmwAGegPCR6GGQneAroMpXl8FAF2xXgeNeb~tplv-tiktokx-origin.jpeg%253Fdr%253D14572%2526refresh_token%253De9402c52%2526x-expires%253D1808301600%2526x-signature%253D7ADnFmAuqpHLGVtdN1AYZ0n8PZc%25253D%2526t%253D4d5b0474%2526ps%253D13740610%2526shp%253Dd05b14bd%2526shcp%253D34ff8df6%2526idc%253Dmy3%2526s%253DTIKTOK_AFFILIATE_VIRAL_VIDEO%22%2C%22placeholder_product_id%22%3A%221729427766722726591%22%2C%22placeholder_video_id%22%3A%227631056711360482580%22%7D&amp;ec_shared_reflux_scene=shop_tab_feed&amp;share_item_id=7631056711360482580&amp;source=h5_t" TargetMode="External"/><Relationship Id="rId3368" Type="http://schemas.openxmlformats.org/officeDocument/2006/relationships/hyperlink" Target="https://www.tiktok.com/@belanja_hemat.shop/video/7635201222705810695?_r=1&amp;u_code=ek6h2252jijmih&amp;region=&amp;mid=7374714896766487301&amp;preview_pb=0&amp;sharer_language=&amp;_d=0&amp;ec_shared_reflux_dynamic_params=%7B%22placeholder_material_id%22%3A%227635201222705810695%22%2C%22placeholder_origin_cover%22%3A%22https%253A%252F%252Fp19-common-sign.tiktokcdn.com%252Ftos-alisg-p-0037%252Foc0OrapGBIHxJ1z7A5iCUGReoBfPpCBIiagtE9~tplv-tiktokx-origin.jpeg%253Fdr%253D14572%2526refresh_token%253D43acdb90%2526x-expires%253D1810195200%2526x-signature%253D3iDYkpT1mKiPQqYWdZwmKjzcqMg%25253D%2526t%253D4d5b0474%2526ps%253D13740610%2526shp%253Dd05b14bd%2526shcp%253D34ff8df6%2526idc%253Dmy2%2526s%253DTIKTOK_AFFILIATE_VIRAL_VIDEO%22%2C%22placeholder_product_id%22%3A%221729427766722726591%22%2C%22placeholder_video_id%22%3A%227635201222705810695%22%7D&amp;ec_shared_reflux_scene=shop_tab_feed&amp;share_item_id=7635201222705810695&amp;source=h5_t" TargetMode="External"/><Relationship Id="rId4699" Type="http://schemas.openxmlformats.org/officeDocument/2006/relationships/hyperlink" Target="https://vt.tiktok.com/ZS96d7WtV/" TargetMode="External"/><Relationship Id="rId111" Type="http://schemas.openxmlformats.org/officeDocument/2006/relationships/hyperlink" Target="https://www.tiktok.com/@bintangpelangi28" TargetMode="External"/><Relationship Id="rId2037" Type="http://schemas.openxmlformats.org/officeDocument/2006/relationships/hyperlink" Target="https://www.tiktok.com/@racundiana" TargetMode="External"/><Relationship Id="rId3367" Type="http://schemas.openxmlformats.org/officeDocument/2006/relationships/hyperlink" Target="https://www.tiktok.com/@belanja_hemat.shop/video/7635329704118979847?_r=1&amp;u_code=ek6h2252jijmih&amp;region=&amp;mid=7631596706401209105&amp;preview_pb=0&amp;sharer_language=&amp;_d=0&amp;ec_shared_reflux_dynamic_params=%7B%22placeholder_material_id%22%3A%227635329704118979847%22%2C%22placeholder_origin_cover%22%3A%22https%253A%252F%252Fp16-common-sign.tiktokcdn.com%252Ftos-alisg-p-0037%252FowPIeRvfQVuRQQ2F0sCGeGUGfBALEEIABRlnQs~tplv-tiktokx-origin.jpeg%253Fdr%253D14572%2526refresh_token%253D182f8ca2%2526x-expires%253D1810195200%2526x-signature%253DqCfH0x6l8EKtNuMv2rqD4EdNqGU%25253D%2526t%253D4d5b0474%2526ps%253D13740610%2526shp%253Dd05b14bd%2526shcp%253D34ff8df6%2526idc%253Dmy2%2526s%253DTIKTOK_AFFILIATE_VIRAL_VIDEO%22%2C%22placeholder_product_id%22%3A%221729427766722726591%22%2C%22placeholder_video_id%22%3A%227635329704118979847%22%7D&amp;ec_shared_reflux_scene=shop_tab_feed&amp;share_item_id=7635329704118979847&amp;source=h5_t" TargetMode="External"/><Relationship Id="rId4698" Type="http://schemas.openxmlformats.org/officeDocument/2006/relationships/hyperlink" Target="https://www.tiktok.com/@rahayusagung" TargetMode="External"/><Relationship Id="rId3315" Type="http://schemas.openxmlformats.org/officeDocument/2006/relationships/hyperlink" Target="https://www.tiktok.com/@andinee__/video/7631939107102461202?_r=1&amp;u_code=l6ma1c5i&amp;region=&amp;mid=7548405609076034360&amp;preview_pb=0&amp;sharer_language=&amp;_d=0&amp;ec_shared_reflux_dynamic_params=%7B%22placeholder_material_id%22%3A%227631939107102461202%22%2C%22placeholder_origin_cover%22%3A%22https%253A%252F%252Fp16-common-sign.tiktokcdn.com%252Ftos-alisg-p-0037%252FogitIq5fQDFIlhCI6G90rAivzr2BnjwAAA0YqA~tplv-tiktokx-origin.jpeg%253Fdr%253D14572%2526refresh_token%253Dccf99788%2526x-expires%253D1810195200%2526x-signature%253DZaLVloY%25252BYKwC7q7p88yRiryb4TQ%25253D%2526t%253D4d5b0474%2526ps%253D13740610%2526shp%253Dd05b14bd%2526shcp%253D34ff8df6%2526idc%253Dmy2%2526s%253DTIKTOK_AFFILIATE_VIRAL_VIDEO%22%2C%22placeholder_product_id%22%3A%221729427766722726591%22%2C%22placeholder_video_id%22%3A%227631939107102461202%22%7D&amp;ec_shared_reflux_scene=shop_tab_feed&amp;share_item_id=7631939107102461202&amp;source=h5_t" TargetMode="External"/><Relationship Id="rId4646" Type="http://schemas.openxmlformats.org/officeDocument/2006/relationships/hyperlink" Target="https://vt.tiktok.com/ZSxHfSFV9/" TargetMode="External"/><Relationship Id="rId5978" Type="http://schemas.openxmlformats.org/officeDocument/2006/relationships/hyperlink" Target="https://www.tiktok.com/@chaaaajalahyah" TargetMode="External"/><Relationship Id="rId3314" Type="http://schemas.openxmlformats.org/officeDocument/2006/relationships/hyperlink" Target="https://www.tiktok.com/@andinee__/video/7631941286307630354?_r=1&amp;u_code=l6ma1c5i&amp;region=&amp;mid=7549748664756603704&amp;preview_pb=0&amp;sharer_language=&amp;_d=0&amp;ec_shared_reflux_dynamic_params=%7B%22placeholder_material_id%22%3A%227631941286307630354%22%2C%22placeholder_origin_cover%22%3A%22https%253A%252F%252Fp16-common-sign.tiktokcdn.com%252Ftos-alisg-p-0037%252Fo8IEqFpyhBxPBpDBIfOchUAgEXGeR66t67nARj~tplv-tiktokx-origin.jpeg%253Fdr%253D14572%2526refresh_token%253Db4b72245%2526x-expires%253D1810195200%2526x-signature%253DOzkj11cMAIzrDjR%25252FWJ0ZfDby3%25252BQ%25253D%2526t%253D4d5b0474%2526ps%253D13740610%2526shp%253Dd05b14bd%2526shcp%253D34ff8df6%2526idc%253Dmy2%2526s%253DTIKTOK_AFFILIATE_VIRAL_VIDEO%22%2C%22placeholder_product_id%22%3A%221729427766722726591%22%2C%22placeholder_video_id%22%3A%227631941286307630354%22%7D&amp;ec_shared_reflux_scene=shop_tab_feed&amp;share_item_id=7631941286307630354&amp;source=h5_t" TargetMode="External"/><Relationship Id="rId4645" Type="http://schemas.openxmlformats.org/officeDocument/2006/relationships/hyperlink" Target="https://www.tiktok.com/@hy.santy201/video/7633969650086284551" TargetMode="External"/><Relationship Id="rId5979" Type="http://schemas.openxmlformats.org/officeDocument/2006/relationships/hyperlink" Target="https://vt.tiktok.com/ZSxrGBVXr/" TargetMode="External"/><Relationship Id="rId3317" Type="http://schemas.openxmlformats.org/officeDocument/2006/relationships/hyperlink" Target="https://www.tiktok.com/@fnanggr" TargetMode="External"/><Relationship Id="rId4648" Type="http://schemas.openxmlformats.org/officeDocument/2006/relationships/hyperlink" Target="https://www.tiktok.com/@srhhahaha05" TargetMode="External"/><Relationship Id="rId5976" Type="http://schemas.openxmlformats.org/officeDocument/2006/relationships/hyperlink" Target="https://vt.tiktok.com/ZSxmeXeGF/" TargetMode="External"/><Relationship Id="rId3316" Type="http://schemas.openxmlformats.org/officeDocument/2006/relationships/hyperlink" Target="https://www.tiktok.com/@andinee__/video/7631939536037088530?_r=1&amp;u_code=l6ma1c5i&amp;region=&amp;mid=7609935705011178256&amp;preview_pb=0&amp;sharer_language=&amp;_d=0&amp;ec_shared_reflux_dynamic_params=%7B%22placeholder_material_id%22%3A%227631939536037088530%22%2C%22placeholder_origin_cover%22%3A%22https%253A%252F%252Fp16-common-sign.tiktokcdn.com%252Ftos-alisg-p-0037%252Fo0IJqAznDoAgxEIT71FfDCAmkG1sCBIej4D9If~tplv-tiktokx-origin.jpeg%253Fdr%253D14572%2526refresh_token%253D6b687fb0%2526x-expires%253D1810195200%2526x-signature%253DtCNYHw%25252FDDB1h8t8LvMjJTPJBfho%25253D%2526t%253D4d5b0474%2526ps%253D13740610%2526shp%253Dd05b14bd%2526shcp%253D34ff8df6%2526idc%253Dmy2%2526s%253DTIKTOK_AFFILIATE_VIRAL_VIDEO%22%2C%22placeholder_product_id%22%3A%221729427766722726591%22%2C%22placeholder_video_id%22%3A%227631939536037088530%22%7D&amp;ec_shared_reflux_scene=shop_tab_feed&amp;share_item_id=7631939536037088530&amp;source=h5_t" TargetMode="External"/><Relationship Id="rId4647" Type="http://schemas.openxmlformats.org/officeDocument/2006/relationships/hyperlink" Target="https://vt.tiktok.com/ZSxHfPng4/" TargetMode="External"/><Relationship Id="rId5977" Type="http://schemas.openxmlformats.org/officeDocument/2006/relationships/hyperlink" Target="https://vt.tiktok.com/ZSxmeG7TR/" TargetMode="External"/><Relationship Id="rId3319" Type="http://schemas.openxmlformats.org/officeDocument/2006/relationships/hyperlink" Target="https://www.tiktok.com/@andinee__/video/7631935041408453896?_r=1&amp;u_code=l6ma1c5i&amp;region=&amp;mid=7629197508455942145&amp;preview_pb=0&amp;sharer_language=&amp;_d=0&amp;ec_shared_reflux_dynamic_params=%7B%22placeholder_material_id%22%3A%227631935041408453896%22%2C%22placeholder_origin_cover%22%3A%22https%253A%252F%252Fp16-common-sign.tiktokcdn.com%252Ftos-alisg-p-0037%252FoIVAqU0IqUEBwAXFwPqIoviMiCAIHAe2Po5t3I~tplv-tiktokx-origin.jpeg%253Fdr%253D14572%2526refresh_token%253Db29f2b92%2526x-expires%253D1810195200%2526x-signature%253DLU%25252BCVWMtgt%25252BbG2coNbg1lfBVXJI%25253D%2526t%253D4d5b0474%2526ps%253D13740610%2526shp%253Dd05b14bd%2526shcp%253D34ff8df6%2526idc%253Dmy2%2526s%253DTIKTOK_AFFILIATE_VIRAL_VIDEO%22%2C%22placeholder_product_id%22%3A%221729427766722726591%22%2C%22placeholder_video_id%22%3A%227631935041408453896%22%7D&amp;ec_shared_reflux_scene=shop_tab_feed&amp;share_item_id=7631935041408453896&amp;source=h5_t" TargetMode="External"/><Relationship Id="rId3318" Type="http://schemas.openxmlformats.org/officeDocument/2006/relationships/hyperlink" Target="https://www.tiktok.com/@andinee__/video/7631934425479007495?_r=1&amp;u_code=l6ma1c5i&amp;region=&amp;mid=7578647496667958036&amp;preview_pb=0&amp;sharer_language=&amp;_d=0&amp;ec_shared_reflux_dynamic_params=%7B%22placeholder_material_id%22%3A%227631934425479007495%22%2C%22placeholder_origin_cover%22%3A%22https%253A%252F%252Fp19-common-sign.tiktokcdn.com%252Ftos-alisg-p-0037%252FoYfVC83eMDnTX2DI7UQJCFgf1Cogd4XAtajpdA~tplv-tiktokx-origin.jpeg%253Fdr%253D14572%2526refresh_token%253Da2f31435%2526x-expires%253D1810195200%2526x-signature%253DMqgMGHSwHrJ1ex00jGy4evlSNrg%25253D%2526t%253D4d5b0474%2526ps%253D13740610%2526shp%253Dd05b14bd%2526shcp%253D34ff8df6%2526idc%253Dmy2%2526s%253DTIKTOK_AFFILIATE_VIRAL_VIDEO%22%2C%22placeholder_product_id%22%3A%221729427766722726591%22%2C%22placeholder_video_id%22%3A%227631934425479007495%22%7D&amp;ec_shared_reflux_scene=shop_tab_feed&amp;share_item_id=7631934425479007495&amp;source=h5_t" TargetMode="External"/><Relationship Id="rId4649" Type="http://schemas.openxmlformats.org/officeDocument/2006/relationships/hyperlink" Target="https://vt.tiktok.com/ZSxXNHpWE/" TargetMode="External"/><Relationship Id="rId5970" Type="http://schemas.openxmlformats.org/officeDocument/2006/relationships/hyperlink" Target="https://vt.tiktok.com/ZSxG64jrH/" TargetMode="External"/><Relationship Id="rId5971" Type="http://schemas.openxmlformats.org/officeDocument/2006/relationships/hyperlink" Target="https://vt.tiktok.com/ZSxG6b1QM/" TargetMode="External"/><Relationship Id="rId4640" Type="http://schemas.openxmlformats.org/officeDocument/2006/relationships/hyperlink" Target="https://vt.tiktok.com/ZSxHfYAFg/" TargetMode="External"/><Relationship Id="rId3311" Type="http://schemas.openxmlformats.org/officeDocument/2006/relationships/hyperlink" Target="https://www.tiktok.com/@sarlang17" TargetMode="External"/><Relationship Id="rId4642" Type="http://schemas.openxmlformats.org/officeDocument/2006/relationships/hyperlink" Target="https://vt.tiktok.com/ZSxHf56nr/" TargetMode="External"/><Relationship Id="rId5974" Type="http://schemas.openxmlformats.org/officeDocument/2006/relationships/hyperlink" Target="https://vt.tiktok.com/ZSxmeHRef/" TargetMode="External"/><Relationship Id="rId3310" Type="http://schemas.openxmlformats.org/officeDocument/2006/relationships/hyperlink" Target="https://www.tiktok.com/@andinee__/video/7629917919018781959" TargetMode="External"/><Relationship Id="rId4641" Type="http://schemas.openxmlformats.org/officeDocument/2006/relationships/hyperlink" Target="https://vt.tiktok.com/ZSxHfSSTg/" TargetMode="External"/><Relationship Id="rId5975" Type="http://schemas.openxmlformats.org/officeDocument/2006/relationships/hyperlink" Target="https://vt.tiktok.com/ZSxmpK193/" TargetMode="External"/><Relationship Id="rId3313" Type="http://schemas.openxmlformats.org/officeDocument/2006/relationships/hyperlink" Target="https://www.tiktok.com/@andinee__/video/7631944296660290834?_r=1&amp;u_code=l6ma1c5i&amp;region=&amp;mid=7581739577287805704&amp;preview_pb=0&amp;sharer_language=&amp;_d=0&amp;ec_shared_reflux_dynamic_params=%7B%22placeholder_material_id%22%3A%227631944296660290834%22%2C%22placeholder_origin_cover%22%3A%22https%253A%252F%252Fp16-common-sign.tiktokcdn.com%252Ftos-alisg-p-0037%252FoAbOdBheT3DgkTeUCuWQAlMPI1AjgfjQQ38joD~tplv-tiktokx-origin.jpeg%253Fdr%253D14572%2526refresh_token%253D84962ffc%2526x-expires%253D1810195200%2526x-signature%253DctLqz8GB8TAKIgC8NJ1QoQdwQbI%25253D%2526t%253D4d5b0474%2526ps%253D13740610%2526shp%253Dd05b14bd%2526shcp%253D34ff8df6%2526idc%253Dmy2%2526s%253DTIKTOK_AFFILIATE_VIRAL_VIDEO%22%2C%22placeholder_product_id%22%3A%221729427766722726591%22%2C%22placeholder_video_id%22%3A%227631944296660290834%22%7D&amp;ec_shared_reflux_scene=shop_tab_feed&amp;share_item_id=7631944296660290834&amp;source=h5_t" TargetMode="External"/><Relationship Id="rId4644" Type="http://schemas.openxmlformats.org/officeDocument/2006/relationships/hyperlink" Target="https://www.tiktok.com/@Hy.santy201" TargetMode="External"/><Relationship Id="rId5972" Type="http://schemas.openxmlformats.org/officeDocument/2006/relationships/hyperlink" Target="https://vt.tiktok.com/ZSxG6tpTc/" TargetMode="External"/><Relationship Id="rId3312" Type="http://schemas.openxmlformats.org/officeDocument/2006/relationships/hyperlink" Target="https://www.tiktok.com/@ldy_aa05" TargetMode="External"/><Relationship Id="rId4643" Type="http://schemas.openxmlformats.org/officeDocument/2006/relationships/hyperlink" Target="https://vt.tiktok.com/ZSxHf8JJU/" TargetMode="External"/><Relationship Id="rId5973" Type="http://schemas.openxmlformats.org/officeDocument/2006/relationships/hyperlink" Target="https://www.tiktok.com/@jodohmu26_10" TargetMode="External"/><Relationship Id="rId3304" Type="http://schemas.openxmlformats.org/officeDocument/2006/relationships/hyperlink" Target="https://www.tiktok.com/@andinee__/video/7631943365419977991?_r=1&amp;u_code=l6ma1c5i&amp;region=&amp;mid=7461846526144710657&amp;preview_pb=0&amp;sharer_language=&amp;_d=0&amp;ec_shared_reflux_dynamic_params=%7B%22placeholder_material_id%22%3A%227631943365419977991%22%2C%22placeholder_origin_cover%22%3A%22https%253A%252F%252Fp19-common-sign.tiktokcdn.com%252Ftos-alisg-p-0037%252FogkUCAqiIqQfu4rBHwBQLIL9IAC043BHVCBAiA~tplv-tiktokx-origin.jpeg%253Fdr%253D14572%2526refresh_token%253D9844d9c7%2526x-expires%253D1810195200%2526x-signature%253D4kfL32k4kbQb%25252F1%25252Bv2fN9emJVx%25252F4%25253D%2526t%253D4d5b0474%2526ps%253D13740610%2526shp%253Dd05b14bd%2526shcp%253D34ff8df6%2526idc%253Dmy2%2526s%253DTIKTOK_AFFILIATE_VIRAL_VIDEO%22%2C%22placeholder_product_id%22%3A%221729427766722726591%22%2C%22placeholder_video_id%22%3A%227631943365419977991%22%7D&amp;ec_shared_reflux_scene=shop_tab_feed&amp;share_item_id=7631943365419977991&amp;source=h5_t" TargetMode="External"/><Relationship Id="rId4635" Type="http://schemas.openxmlformats.org/officeDocument/2006/relationships/hyperlink" Target="https://vt.tiktok.com/ZSxxAFUgB/" TargetMode="External"/><Relationship Id="rId5967" Type="http://schemas.openxmlformats.org/officeDocument/2006/relationships/hyperlink" Target="https://vt.tiktok.com/ZSxVVXSbj/" TargetMode="External"/><Relationship Id="rId3303" Type="http://schemas.openxmlformats.org/officeDocument/2006/relationships/hyperlink" Target="https://www.tiktok.com/@andinee__/video/7631943804358003986?_r=1&amp;u_code=l6ma1c5i&amp;region=&amp;mid=7566193440287918865&amp;preview_pb=0&amp;sharer_language=&amp;_d=0&amp;ec_shared_reflux_dynamic_params=%7B%22placeholder_material_id%22%3A%227631943804358003986%22%2C%22placeholder_origin_cover%22%3A%22https%253A%252F%252Fp16-common-sign.tiktokcdn.com%252Ftos-alisg-p-0037%252FoQHDTDIGhAGGAfALItPICVmqSoLHj1xIj9Afer~tplv-tiktokx-origin.jpeg%253Fdr%253D14572%2526refresh_token%253D66e65e06%2526x-expires%253D1810195200%2526x-signature%253DKf7BQ4MRUsvsXMD9YiZw5Io%25252BzHI%25253D%2526t%253D4d5b0474%2526ps%253D13740610%2526shp%253Dd05b14bd%2526shcp%253D34ff8df6%2526idc%253Dmy2%2526s%253DTIKTOK_AFFILIATE_VIRAL_VIDEO%22%2C%22placeholder_product_id%22%3A%221729427766722726591%22%2C%22placeholder_video_id%22%3A%227631943804358003986%22%7D&amp;ec_shared_reflux_scene=shop_tab_feed&amp;share_item_id=7631943804358003986&amp;source=h5_t" TargetMode="External"/><Relationship Id="rId4634" Type="http://schemas.openxmlformats.org/officeDocument/2006/relationships/hyperlink" Target="https://www.tiktok.com/@namakucinta01" TargetMode="External"/><Relationship Id="rId5968" Type="http://schemas.openxmlformats.org/officeDocument/2006/relationships/hyperlink" Target="https://www.tiktok.com/@sweetiepai161" TargetMode="External"/><Relationship Id="rId3306" Type="http://schemas.openxmlformats.org/officeDocument/2006/relationships/hyperlink" Target="https://www.tiktok.com/@andinee__" TargetMode="External"/><Relationship Id="rId4637" Type="http://schemas.openxmlformats.org/officeDocument/2006/relationships/hyperlink" Target="https://vt.tiktok.com/ZSxxSENVT/" TargetMode="External"/><Relationship Id="rId5965" Type="http://schemas.openxmlformats.org/officeDocument/2006/relationships/hyperlink" Target="https://vt.tiktok.com/ZSxVVScVr/" TargetMode="External"/><Relationship Id="rId3305" Type="http://schemas.openxmlformats.org/officeDocument/2006/relationships/hyperlink" Target="https://www.tiktok.com/@andinee__/video/7631944296660290834?_r=1&amp;u_code=l6ma1c5i&amp;region=&amp;mid=7581739577287805704&amp;preview_pb=0&amp;sharer_language=&amp;_d=0&amp;ec_shared_reflux_dynamic_params=%7B%22placeholder_material_id%22%3A%227631944296660290834%22%2C%22placeholder_origin_cover%22%3A%22https%253A%252F%252Fp16-common-sign.tiktokcdn.com%252Ftos-alisg-p-0037%252FoAbOdBheT3DgkTeUCuWQAlMPI1AjgfjQQ38joD~tplv-tiktokx-origin.jpeg%253Fdr%253D14572%2526refresh_token%253D84962ffc%2526x-expires%253D1810195200%2526x-signature%253DctLqz8GB8TAKIgC8NJ1QoQdwQbI%25253D%2526t%253D4d5b0474%2526ps%253D13740610%2526shp%253Dd05b14bd%2526shcp%253D34ff8df6%2526idc%253Dmy2%2526s%253DTIKTOK_AFFILIATE_VIRAL_VIDEO%22%2C%22placeholder_product_id%22%3A%221729427766722726591%22%2C%22placeholder_video_id%22%3A%227631944296660290834%22%7D&amp;ec_shared_reflux_scene=shop_tab_feed&amp;share_item_id=7631944296660290834&amp;source=h5_t" TargetMode="External"/><Relationship Id="rId4636" Type="http://schemas.openxmlformats.org/officeDocument/2006/relationships/hyperlink" Target="https://vt.tiktok.com/ZSxxAFF9M/" TargetMode="External"/><Relationship Id="rId5966" Type="http://schemas.openxmlformats.org/officeDocument/2006/relationships/hyperlink" Target="https://vt.tiktok.com/ZSxVVbQpf/" TargetMode="External"/><Relationship Id="rId3308" Type="http://schemas.openxmlformats.org/officeDocument/2006/relationships/hyperlink" Target="https://www.tiktok.com/@andinee__/video/7630731704554114322" TargetMode="External"/><Relationship Id="rId4639" Type="http://schemas.openxmlformats.org/officeDocument/2006/relationships/hyperlink" Target="https://www.tiktok.com/@najwa.store35" TargetMode="External"/><Relationship Id="rId3307" Type="http://schemas.openxmlformats.org/officeDocument/2006/relationships/hyperlink" Target="https://www.tiktok.com/@andinee__/video/7630736676041657618" TargetMode="External"/><Relationship Id="rId4638" Type="http://schemas.openxmlformats.org/officeDocument/2006/relationships/hyperlink" Target="https://vt.tiktok.com/ZSxy2qGKS/" TargetMode="External"/><Relationship Id="rId5969" Type="http://schemas.openxmlformats.org/officeDocument/2006/relationships/hyperlink" Target="https://vt.tiktok.com/ZSxVVskAx/" TargetMode="External"/><Relationship Id="rId3309" Type="http://schemas.openxmlformats.org/officeDocument/2006/relationships/hyperlink" Target="https://www.tiktok.com/@andinee__/video/7630371579561528583" TargetMode="External"/><Relationship Id="rId5960" Type="http://schemas.openxmlformats.org/officeDocument/2006/relationships/hyperlink" Target="https://www.tiktok.com/@mamarahma1111/video/7641820179164384530" TargetMode="External"/><Relationship Id="rId3300" Type="http://schemas.openxmlformats.org/officeDocument/2006/relationships/hyperlink" Target="https://www.tiktok.com/@andinee__/video/7631946082443955474?_r=1&amp;u_code=l6ma1c5i&amp;region=&amp;mid=7514003816174454785&amp;preview_pb=0&amp;sharer_language=&amp;_d=0&amp;ec_shared_reflux_dynamic_params=%7B%22placeholder_material_id%22%3A%227631946082443955474%22%2C%22placeholder_origin_cover%22%3A%22https%253A%252F%252Fp19-common-sign.tiktokcdn.com%252Ftos-alisg-p-0037%252FooAjDIRToQhCUjbgz0U8CWP1fMH4fDgMuf1EnA~tplv-tiktokx-origin.jpeg%253Fdr%253D14572%2526refresh_token%253Dc5310e9b%2526x-expires%253D1810195200%2526x-signature%253D%25252B2AVMA53%25252FRSo8hujn7XJNCVxA2s%25253D%2526t%253D4d5b0474%2526ps%253D13740610%2526shp%253Dd05b14bd%2526shcp%253D34ff8df6%2526idc%253Dmy2%2526s%253DTIKTOK_AFFILIATE_VIRAL_VIDEO%22%2C%22placeholder_product_id%22%3A%221729427766722726591%22%2C%22placeholder_video_id%22%3A%227631946082443955474%22%7D&amp;ec_shared_reflux_scene=shop_tab_feed&amp;share_item_id=7631946082443955474&amp;source=h5_t" TargetMode="External"/><Relationship Id="rId4631" Type="http://schemas.openxmlformats.org/officeDocument/2006/relationships/hyperlink" Target="https://vt.tiktok.com/ZSxHfh38e/" TargetMode="External"/><Relationship Id="rId5963" Type="http://schemas.openxmlformats.org/officeDocument/2006/relationships/hyperlink" Target="https://www.tiktok.com/@racun.beauty12" TargetMode="External"/><Relationship Id="rId4630" Type="http://schemas.openxmlformats.org/officeDocument/2006/relationships/hyperlink" Target="https://vt.tiktok.com/ZS9V6ELvp/" TargetMode="External"/><Relationship Id="rId5964" Type="http://schemas.openxmlformats.org/officeDocument/2006/relationships/hyperlink" Target="https://vt.tiktok.com/ZSxVVAYDH/" TargetMode="External"/><Relationship Id="rId3302" Type="http://schemas.openxmlformats.org/officeDocument/2006/relationships/hyperlink" Target="https://vt.tiktok.com/ZSxMEYCMc/" TargetMode="External"/><Relationship Id="rId4633" Type="http://schemas.openxmlformats.org/officeDocument/2006/relationships/hyperlink" Target="https://vt.tiktok.com/ZSxHfmjLs/" TargetMode="External"/><Relationship Id="rId5961" Type="http://schemas.openxmlformats.org/officeDocument/2006/relationships/hyperlink" Target="https://www.tiktok.com/@mamarahma1111/video/7641087748761210119" TargetMode="External"/><Relationship Id="rId3301" Type="http://schemas.openxmlformats.org/officeDocument/2006/relationships/hyperlink" Target="https://www.tiktok.com/@suka.mcflurryoreo" TargetMode="External"/><Relationship Id="rId4632" Type="http://schemas.openxmlformats.org/officeDocument/2006/relationships/hyperlink" Target="https://vt.tiktok.com/ZSxHf57NE/" TargetMode="External"/><Relationship Id="rId5962" Type="http://schemas.openxmlformats.org/officeDocument/2006/relationships/hyperlink" Target="https://www.tiktok.com/@mamarahma1111/video/7640482493208005895" TargetMode="External"/><Relationship Id="rId2005" Type="http://schemas.openxmlformats.org/officeDocument/2006/relationships/hyperlink" Target="https://www.tiktok.com/@willyanha05" TargetMode="External"/><Relationship Id="rId3337" Type="http://schemas.openxmlformats.org/officeDocument/2006/relationships/hyperlink" Target="https://www.tiktok.com/@carisacimbrut/video/7615237116280638740?is_from_webapp=1&amp;sender_device=pc&amp;web_id=7611930277489657360" TargetMode="External"/><Relationship Id="rId4668" Type="http://schemas.openxmlformats.org/officeDocument/2006/relationships/hyperlink" Target="https://www.tiktok.com/@rinivitriyani" TargetMode="External"/><Relationship Id="rId2006" Type="http://schemas.openxmlformats.org/officeDocument/2006/relationships/hyperlink" Target="https://vt.tiktok.com/ZS9JHvUx6/" TargetMode="External"/><Relationship Id="rId3336" Type="http://schemas.openxmlformats.org/officeDocument/2006/relationships/hyperlink" Target="https://www.tiktok.com/@carisacimbrut/video/7614995937051544852?is_from_webapp=1&amp;sender_device=pc&amp;web_id=7611930277489657360" TargetMode="External"/><Relationship Id="rId4667" Type="http://schemas.openxmlformats.org/officeDocument/2006/relationships/hyperlink" Target="https://vt.tiktok.com/ZSxguK3kG/" TargetMode="External"/><Relationship Id="rId2007" Type="http://schemas.openxmlformats.org/officeDocument/2006/relationships/hyperlink" Target="https://vt.tiktok.com/ZS9JHnYVa/" TargetMode="External"/><Relationship Id="rId3339" Type="http://schemas.openxmlformats.org/officeDocument/2006/relationships/hyperlink" Target="https://www.tiktok.com/@octa445/video/7633398508015406357?is_from_webapp=1&amp;sender_device=pc&amp;web_id=7611930277489657360" TargetMode="External"/><Relationship Id="rId5998" Type="http://schemas.openxmlformats.org/officeDocument/2006/relationships/hyperlink" Target="https://www.tiktok.com/@nurjini1905" TargetMode="External"/><Relationship Id="rId2008" Type="http://schemas.openxmlformats.org/officeDocument/2006/relationships/hyperlink" Target="https://www.tiktok.com/@outfitce_/video/7631119212450254101?_r=1&amp;u_code=e0898kg4gbb4c7&amp;region=&amp;mid=7606071400499628049&amp;preview_pb=0&amp;sharer_language=&amp;_d=0&amp;ec_shared_reflux_dynamic_params=%7B%22placeholder_material_id%22%3A%227631119212450254101%22%2C%22placeholder_origin_cover%22%3A%22https%253A%252F%252Fp16-sign-sg.tiktokcdn.com%252Ftos-alisg-p-0037%252FoYUOudiIIAw0VLev7LiunMb9gouO1CAKBAcIBz~tplv-tiktokx-origin.jpeg%253Fdr%253D14572%2526refresh_token%253Dbbc032c0%2526x-expires%253D1808301600%2526x-signature%253D3EhyNPKe8Tz6tqIuXHnInNrqx78%25253D%2526t%253D4d5b0474%2526ps%253D13740610%2526shp%253Dd05b14bd%2526shcp%253D34ff8df6%2526idc%253Dmy3%2526s%253DTIKTOK_AFFILIATE_VIRAL_VIDEO%22%2C%22placeholder_product_id%22%3A%221729427766722726591%22%2C%22placeholder_video_id%22%3A%227631119212450254101%22%7D&amp;ec_shared_reflux_scene=shop_tab_feed&amp;share_item_id=7631119212450254101&amp;source=h5_t" TargetMode="External"/><Relationship Id="rId3338" Type="http://schemas.openxmlformats.org/officeDocument/2006/relationships/hyperlink" Target="https://www.tiktok.com/@octa445" TargetMode="External"/><Relationship Id="rId4669" Type="http://schemas.openxmlformats.org/officeDocument/2006/relationships/hyperlink" Target="https://vt.tiktok.com/ZSxgunkom/" TargetMode="External"/><Relationship Id="rId5999" Type="http://schemas.openxmlformats.org/officeDocument/2006/relationships/hyperlink" Target="https://vt.tiktok.com/ZSx9yhjtA/" TargetMode="External"/><Relationship Id="rId2009" Type="http://schemas.openxmlformats.org/officeDocument/2006/relationships/hyperlink" Target="https://www.tiktok.com/@outfitce_/video/7631111481903320340?_r=1&amp;u_code=e0898kg4gbb4c7&amp;region=&amp;mid=7365946809562450721&amp;preview_pb=0&amp;sharer_language=&amp;_d=0&amp;ec_shared_reflux_dynamic_params=%7B%22placeholder_material_id%22%3A%227631111481903320340%22%2C%22placeholder_origin_cover%22%3A%22https%253A%252F%252Fp16-common-sign.tiktokcdn.com%252Ftos-alisg-p-0037%252Fo0CoIxIwuMAi9i5JPHI458fLOOBJAAaIPB406n~tplv-tiktokx-origin.jpeg%253Fdr%253D14572%2526refresh_token%253Dc1d4da7e%2526x-expires%253D1808301600%2526x-signature%253DzjI02tRH9XmmsmtNX%25252FEMXShNZHQ%25253D%2526t%253D4d5b0474%2526ps%253D13740610%2526shp%253Dd05b14bd%2526shcp%253D34ff8df6%2526idc%253Dmy3%2526s%253DTIKTOK_AFFILIATE_VIRAL_VIDEO%22%2C%22placeholder_product_id%22%3A%221729427766722726591%22%2C%22placeholder_video_id%22%3A%227631111481903320340%22%7D&amp;ec_shared_reflux_scene=shop_tab_feed&amp;share_item_id=7631111481903320340&amp;source=h5_t" TargetMode="External"/><Relationship Id="rId4660" Type="http://schemas.openxmlformats.org/officeDocument/2006/relationships/hyperlink" Target="https://vt.tiktok.com/ZSxy274wY/" TargetMode="External"/><Relationship Id="rId5992" Type="http://schemas.openxmlformats.org/officeDocument/2006/relationships/hyperlink" Target="https://vt.tiktok.com/ZSxmsETED/" TargetMode="External"/><Relationship Id="rId5993" Type="http://schemas.openxmlformats.org/officeDocument/2006/relationships/hyperlink" Target="https://www.tiktok.com/@titikzyp2a3" TargetMode="External"/><Relationship Id="rId3331" Type="http://schemas.openxmlformats.org/officeDocument/2006/relationships/hyperlink" Target="https://www.tiktok.com/@andinee__/video/7631864714724838664?_r=1&amp;u_code=l6ma1c5i&amp;region=&amp;mid=7597435345913317393&amp;preview_pb=0&amp;sharer_language=&amp;_d=0&amp;ec_shared_reflux_dynamic_params=%7B%22placeholder_material_id%22%3A%227631864714724838664%22%2C%22placeholder_origin_cover%22%3A%22https%253A%252F%252Fp16-common-sign.tiktokcdn.com%252Ftos-alisg-p-0037%252FoUZIpAOVdUB3SEIpL6FfBBgtk1MyRpIfRLDnEN~tplv-tiktokx-origin.jpeg%253Fdr%253D14572%2526refresh_token%253D6f88c7ff%2526x-expires%253D1810195200%2526x-signature%253DNzLA3%25252F67flsN%25252F7EJFpWJz%25252BjvQtM%25253D%2526t%253D4d5b0474%2526ps%253D13740610%2526shp%253Dd05b14bd%2526shcp%253D34ff8df6%2526idc%253Dmy2%2526s%253DTIKTOK_AFFILIATE_VIRAL_VIDEO%22%2C%22placeholder_product_id%22%3A%221729427766722726591%22%2C%22placeholder_video_id%22%3A%227631864714724838664%22%7D&amp;ec_shared_reflux_scene=shop_tab_feed&amp;share_item_id=7631864714724838664&amp;source=h5_t" TargetMode="External"/><Relationship Id="rId4662" Type="http://schemas.openxmlformats.org/officeDocument/2006/relationships/hyperlink" Target="https://vt.tiktok.com/ZSxy2TWVe/" TargetMode="External"/><Relationship Id="rId5990" Type="http://schemas.openxmlformats.org/officeDocument/2006/relationships/hyperlink" Target="https://vt.tiktok.com/ZSxU3goaL/" TargetMode="External"/><Relationship Id="rId2000" Type="http://schemas.openxmlformats.org/officeDocument/2006/relationships/hyperlink" Target="https://vt.tiktok.com/ZS9JHVL4c/" TargetMode="External"/><Relationship Id="rId3330" Type="http://schemas.openxmlformats.org/officeDocument/2006/relationships/hyperlink" Target="https://www.tiktok.com/@andinee__/video/7631908694829108498?_r=1&amp;u_code=l6ma1c5i&amp;region=&amp;mid=7469020504617224966&amp;preview_pb=0&amp;sharer_language=&amp;_d=0&amp;ec_shared_reflux_dynamic_params=%7B%22placeholder_material_id%22%3A%227631908694829108498%22%2C%22placeholder_origin_cover%22%3A%22https%253A%252F%252Fp16-common-sign.tiktokcdn.com%252Ftos-alisg-p-0037%252FoQDTUIA0fAQxtxHVCDjTlICmfEDoFIgxSfIQKw~tplv-tiktokx-origin.jpeg%253Fdr%253D14572%2526refresh_token%253D37f875b1%2526x-expires%253D1810195200%2526x-signature%253DOEXyfiRhyEmrDNNTvToN9ovvFqA%25253D%2526t%253D4d5b0474%2526ps%253D13740610%2526shp%253Dd05b14bd%2526shcp%253D34ff8df6%2526idc%253Dmy2%2526s%253DTIKTOK_AFFILIATE_VIRAL_VIDEO%22%2C%22placeholder_product_id%22%3A%221729427766722726591%22%2C%22placeholder_video_id%22%3A%227631908694829108498%22%7D&amp;ec_shared_reflux_scene=shop_tab_feed&amp;share_item_id=7631908694829108498&amp;source=h5_t" TargetMode="External"/><Relationship Id="rId4661" Type="http://schemas.openxmlformats.org/officeDocument/2006/relationships/hyperlink" Target="https://vt.tiktok.com/ZSxyjdmPb/" TargetMode="External"/><Relationship Id="rId5991" Type="http://schemas.openxmlformats.org/officeDocument/2006/relationships/hyperlink" Target="https://vt.tiktok.com/ZSxU37RP8/" TargetMode="External"/><Relationship Id="rId2001" Type="http://schemas.openxmlformats.org/officeDocument/2006/relationships/hyperlink" Target="https://vt.tiktok.com/ZS9J9db8R/" TargetMode="External"/><Relationship Id="rId3333" Type="http://schemas.openxmlformats.org/officeDocument/2006/relationships/hyperlink" Target="https://www.tiktok.com/@carisacimbrut" TargetMode="External"/><Relationship Id="rId4664" Type="http://schemas.openxmlformats.org/officeDocument/2006/relationships/hyperlink" Target="https://vt.tiktok.com/ZSxguqEks/" TargetMode="External"/><Relationship Id="rId5996" Type="http://schemas.openxmlformats.org/officeDocument/2006/relationships/hyperlink" Target="https://www.tiktok.com/@titikzyp2a3/video/7635511746144357650?_r=1&amp;u_code=e9l98g7d7h5880&amp;region=&amp;mid=7613023919407466497&amp;preview_pb=0&amp;sharer_language=&amp;_d=0&amp;ec_shared_reflux_dynamic_params=%7B%22placeholder_material_id%22%3A%227635511746144357650%22%2C%22placeholder_origin_cover%22%3A%22https%253A%252F%252Fp19-common-sign.tiktokcdn.com%252Ftos-alisg-p-0037%252FoUJ7Ge1XIIHoQwkteCTALCYtQIjZAHHIHDzpVe~tplv-tiktokx-origin.jpeg%253Fdr%253D14572%2526refresh_token%253D3cb6504e%2526x-expires%253D1809507600%2526x-signature%253DYiWJ%25252FDat3wu%25252BOqP84CvOiX4NU9o%25253D%2526t%253D4d5b0474%2526ps%253D13740610%2526shp%253Dd05b14bd%2526shcp%253D34ff8df6%2526idc%253Dmy%2526s%253DTIKTOK_AFFILIATE_VIRAL_VIDEO%22%2C%22placeholder_product_id%22%3A%221729427766722726591%22%2C%22placeholder_video_id%22%3A%227635511746144357650%22%7D&amp;ec_shared_reflux_scene=shop_tab_feed&amp;share_item_id=7635511746144357650&amp;source=h5_t" TargetMode="External"/><Relationship Id="rId2002" Type="http://schemas.openxmlformats.org/officeDocument/2006/relationships/hyperlink" Target="https://www.tiktok.com/@amaklisaa" TargetMode="External"/><Relationship Id="rId3332" Type="http://schemas.openxmlformats.org/officeDocument/2006/relationships/hyperlink" Target="https://www.tiktok.com/@andinee__/video/7631863399470648594?_r=1&amp;u_code=l6ma1c5i&amp;region=&amp;mid=7580009697873676304&amp;preview_pb=0&amp;sharer_language=&amp;_d=0&amp;ec_shared_reflux_dynamic_params=%7B%22placeholder_material_id%22%3A%227631863399470648594%22%2C%22placeholder_origin_cover%22%3A%22https%253A%252F%252Fp16-common-sign.tiktokcdn.com%252Ftos-alisg-p-0037%252FocfDY1GlLZDp00pdejOIACJIczdggoEeAT687I~tplv-tiktokx-origin.jpeg%253Fdr%253D14572%2526refresh_token%253D0744207f%2526x-expires%253D1810195200%2526x-signature%253DjVj2aJvxdMmV9mJuA61FZYbk1Jw%25253D%2526t%253D4d5b0474%2526ps%253D13740610%2526shp%253Dd05b14bd%2526shcp%253D34ff8df6%2526idc%253Dmy2%2526s%253DTIKTOK_AFFILIATE_VIRAL_VIDEO%22%2C%22placeholder_product_id%22%3A%221729427766722726591%22%2C%22placeholder_video_id%22%3A%227631863399470648594%22%7D&amp;ec_shared_reflux_scene=shop_tab_feed&amp;share_item_id=7631863399470648594&amp;source=h5_t" TargetMode="External"/><Relationship Id="rId4663" Type="http://schemas.openxmlformats.org/officeDocument/2006/relationships/hyperlink" Target="https://www.tiktok.com/@aloditaa" TargetMode="External"/><Relationship Id="rId5997" Type="http://schemas.openxmlformats.org/officeDocument/2006/relationships/hyperlink" Target="https://vt.tiktok.com/ZSxmGM77p/" TargetMode="External"/><Relationship Id="rId2003" Type="http://schemas.openxmlformats.org/officeDocument/2006/relationships/hyperlink" Target="https://www.tiktok.com/@outfitce_/video/7631063682247691541?_r=1&amp;u_code=e0898kg4gbb4c7&amp;region=&amp;mid=7283376056051337990&amp;preview_pb=0&amp;sharer_language=&amp;_d=0&amp;ec_shared_reflux_dynamic_params=%7B%22placeholder_material_id%22%3A%227631063682247691541%22%2C%22placeholder_origin_cover%22%3A%22https%253A%252F%252Fp16-sign-sg.tiktokcdn.com%252Ftos-alisg-p-0037%252Fow4fbegACMAP79N4U8ugbeeCCB8XSiAsYLeNXN~tplv-tiktokx-origin.jpeg%253Fdr%253D14572%2526refresh_token%253D6455ee1c%2526x-expires%253D1808301600%2526x-signature%253DC4wesV0oIoCL7kyzWGiYJL%25252BF5sc%25253D%2526t%253D4d5b0474%2526ps%253D13740610%2526shp%253Dd05b14bd%2526shcp%253D34ff8df6%2526idc%253Dmy3%2526s%253DTIKTOK_AFFILIATE_VIRAL_VIDEO%22%2C%22placeholder_product_id%22%3A%221729427766722726591%22%2C%22placeholder_video_id%22%3A%227631063682247691541%22%7D&amp;ec_shared_reflux_scene=shop_tab_feed&amp;share_item_id=7631063682247691541&amp;source=h5_t" TargetMode="External"/><Relationship Id="rId3335" Type="http://schemas.openxmlformats.org/officeDocument/2006/relationships/hyperlink" Target="https://www.tiktok.com/@carisacimbrut/video/7613429025431637269?is_from_webapp=1&amp;sender_device=pc&amp;web_id=7611930277489657360" TargetMode="External"/><Relationship Id="rId4666" Type="http://schemas.openxmlformats.org/officeDocument/2006/relationships/hyperlink" Target="https://vt.tiktok.com/ZSxgucG82/" TargetMode="External"/><Relationship Id="rId5994" Type="http://schemas.openxmlformats.org/officeDocument/2006/relationships/hyperlink" Target="https://www.tiktok.com/@titikzyp2a3/video/7633352369392143624?_r=1&amp;u_code=e9l98g7d7h5880&amp;region=&amp;mid=7046970598518196225&amp;preview_pb=0&amp;sharer_language=&amp;_d=0&amp;ec_shared_reflux_dynamic_params=%7B%22placeholder_material_id%22%3A%227633352369392143624%22%2C%22placeholder_origin_cover%22%3A%22https%253A%252F%252Fp16-common-sign.tiktokcdn.com%252Ftos-alisg-p-0037%252FoYZIAejvuANjGaSQCbwIAzCoHD3LQMkFTfr6qf~tplv-tiktokx-origin.jpeg%253Fdr%253D14572%2526refresh_token%253D920dbd62%2526x-expires%253D1808992800%2526x-signature%253D4lYxUlq0xftH2eVYy%25252BeBtAM2Uj0%25253D%2526t%253D4d5b0474%2526ps%253D13740610%2526shp%253Dd05b14bd%2526shcp%253D34ff8df6%2526idc%253Dmy2%2526s%253DTIKTOK_AFFILIATE_VIRAL_VIDEO%22%2C%22placeholder_product_id%22%3A%221729427766722726591%22%2C%22placeholder_video_id%22%3A%227633352369392143624%22%7D&amp;ec_shared_reflux_scene=shop_tab_feed&amp;share_item_id=7633352369392143624&amp;source=h5_t" TargetMode="External"/><Relationship Id="rId2004" Type="http://schemas.openxmlformats.org/officeDocument/2006/relationships/hyperlink" Target="https://vt.tiktok.com/ZSxA519vT/" TargetMode="External"/><Relationship Id="rId3334" Type="http://schemas.openxmlformats.org/officeDocument/2006/relationships/hyperlink" Target="https://www.tiktok.com/@carisacimbrut/video/7613333424065088788?is_from_webapp=1&amp;sender_device=pc&amp;web_id=7611930277489657360" TargetMode="External"/><Relationship Id="rId4665" Type="http://schemas.openxmlformats.org/officeDocument/2006/relationships/hyperlink" Target="https://vt.tiktok.com/ZSxgupkUb/" TargetMode="External"/><Relationship Id="rId5995" Type="http://schemas.openxmlformats.org/officeDocument/2006/relationships/hyperlink" Target="https://www.tiktok.com/@titikzyp2a3/video/7634152791769926919?_r=1&amp;u_code=e9l98g7d7h5880&amp;region=&amp;mid=7608559003840400145&amp;preview_pb=0&amp;sharer_language=&amp;_d=0&amp;ec_shared_reflux_dynamic_params=%7B%22placeholder_material_id%22%3A%227634152791769926919%22%2C%22placeholder_origin_cover%22%3A%22https%253A%252F%252Fp16-common-sign.tiktokcdn.com%252Ftos-alisg-p-0037%252FoAqU3AfdUeIBQ9RzE5g4IAiikzXXJpxYBwBPB7~tplv-tiktokx-origin.jpeg%253Fdr%253D14572%2526refresh_token%253D02603b4f%2526x-expires%253D1809507600%2526x-signature%253DVtg80E3piASOsVu%25252BGXf5Y%25252Bn0qdE%25253D%2526t%253D4d5b0474%2526ps%253D13740610%2526shp%253Dd05b14bd%2526shcp%253D34ff8df6%2526idc%253Dmy%2526s%253DTIKTOK_AFFILIATE_VIRAL_VIDEO%22%2C%22placeholder_product_id%22%3A%221729427766722726591%22%2C%22placeholder_video_id%22%3A%227634152791769926919%22%7D&amp;ec_shared_reflux_scene=shop_tab_feed&amp;share_item_id=7634152791769926919&amp;source=h5_t" TargetMode="External"/><Relationship Id="rId3326" Type="http://schemas.openxmlformats.org/officeDocument/2006/relationships/hyperlink" Target="https://www.tiktok.com/@andinee__/video/7631908920344268050?_r=1&amp;u_code=l6ma1c5i&amp;region=&amp;mid=7432577275431750405&amp;preview_pb=0&amp;sharer_language=&amp;_d=0&amp;ec_shared_reflux_dynamic_params=%7B%22placeholder_material_id%22%3A%227631908920344268050%22%2C%22placeholder_origin_cover%22%3A%22https%253A%252F%252Fp16-common-sign.tiktokcdn.com%252Ftos-alisg-p-0037%252FoMGPNGt5AFWQcCMnEfQLIkepQFieHDBT0AGfR4~tplv-tiktokx-origin.jpeg%253Fdr%253D14572%2526refresh_token%253D39d1058b%2526x-expires%253D1810195200%2526x-signature%253D8%25252FnodJK%25252BVxQlfTEdxqBdIJOSnX8%25253D%2526t%253D4d5b0474%2526ps%253D13740610%2526shp%253Dd05b14bd%2526shcp%253D34ff8df6%2526idc%253Dmy2%2526s%253DTIKTOK_AFFILIATE_VIRAL_VIDEO%22%2C%22placeholder_product_id%22%3A%221729427766722726591%22%2C%22placeholder_video_id%22%3A%227631908920344268050%22%7D&amp;ec_shared_reflux_scene=shop_tab_feed&amp;share_item_id=7631908920344268050&amp;source=h5_t" TargetMode="External"/><Relationship Id="rId4657" Type="http://schemas.openxmlformats.org/officeDocument/2006/relationships/hyperlink" Target="https://vt.tiktok.com/ZSxgHLU9b/" TargetMode="External"/><Relationship Id="rId5989" Type="http://schemas.openxmlformats.org/officeDocument/2006/relationships/hyperlink" Target="https://vt.tiktok.com/ZSxU3KfDc/" TargetMode="External"/><Relationship Id="rId3325" Type="http://schemas.openxmlformats.org/officeDocument/2006/relationships/hyperlink" Target="https://www.tiktok.com/@andinee__/video/7631916740968074504?_r=1&amp;u_code=l6ma1c5i&amp;region=&amp;mid=7514881014267923216&amp;preview_pb=0&amp;sharer_language=&amp;_d=0&amp;ec_shared_reflux_dynamic_params=%7B%22placeholder_material_id%22%3A%227631916740968074504%22%2C%22placeholder_origin_cover%22%3A%22https%253A%252F%252Fp16-common-sign.tiktokcdn.com%252Ftos-alisg-p-0037%252Fo4YpITURqE3gTrDGBEgFf69EIfA9pmEBEBM3qA~tplv-tiktokx-origin.jpeg%253Fdr%253D14572%2526refresh_token%253Db92d6ac3%2526x-expires%253D1810195200%2526x-signature%253DBGphFg%25252B%25252Fe59MqlQemA3Y2i2lX7E%25253D%2526t%253D4d5b0474%2526ps%253D13740610%2526shp%253Dd05b14bd%2526shcp%253D34ff8df6%2526idc%253Dmy2%2526s%253DTIKTOK_AFFILIATE_VIRAL_VIDEO%22%2C%22placeholder_product_id%22%3A%221729427766722726591%22%2C%22placeholder_video_id%22%3A%227631916740968074504%22%7D&amp;ec_shared_reflux_scene=shop_tab_feed&amp;share_item_id=7631916740968074504&amp;source=h5_t" TargetMode="External"/><Relationship Id="rId4656" Type="http://schemas.openxmlformats.org/officeDocument/2006/relationships/hyperlink" Target="https://vt.tiktok.com/ZSxHfktJk/" TargetMode="External"/><Relationship Id="rId3328" Type="http://schemas.openxmlformats.org/officeDocument/2006/relationships/hyperlink" Target="https://www.tiktok.com/@cckhaira_" TargetMode="External"/><Relationship Id="rId4659" Type="http://schemas.openxmlformats.org/officeDocument/2006/relationships/hyperlink" Target="https://vt.tiktok.com/ZSxy2WUBK/" TargetMode="External"/><Relationship Id="rId5987" Type="http://schemas.openxmlformats.org/officeDocument/2006/relationships/hyperlink" Target="https://vt.tiktok.com/ZSxU3CdQq/" TargetMode="External"/><Relationship Id="rId3327" Type="http://schemas.openxmlformats.org/officeDocument/2006/relationships/hyperlink" Target="https://www.tiktok.com/@zulfakafilah_" TargetMode="External"/><Relationship Id="rId4658" Type="http://schemas.openxmlformats.org/officeDocument/2006/relationships/hyperlink" Target="https://www.tiktok.com/@mak_nyum" TargetMode="External"/><Relationship Id="rId5988" Type="http://schemas.openxmlformats.org/officeDocument/2006/relationships/hyperlink" Target="https://www.tiktok.com/@Mischaa77" TargetMode="External"/><Relationship Id="rId3329" Type="http://schemas.openxmlformats.org/officeDocument/2006/relationships/hyperlink" Target="https://www.tiktok.com/@cckhaira_/video/7630848612439772437?_r=1&amp;u_code=ebjm829128h4f9&amp;region=&amp;mid=7234222652599846914&amp;preview_pb=0&amp;sharer_language=&amp;_d=0&amp;ec_shared_reflux_dynamic_params=%7B%22placeholder_material_id%22%3A%227630848612439772437%22%2C%22placeholder_origin_cover%22%3A%22https%253A%252F%252Fp19-common-sign.tiktokcdn.com%252Ftos-alisg-p-0037%252FokwFmyTAfOMGjyJfGtUGOfeBR8GLMcInAgQgBr~tplv-tiktokx-origin.jpeg%253Fdr%253D14572%2526refresh_token%253D47a99598%2526x-expires%253D1808301600%2526x-signature%253DwM4hzY%25252BiD6nk4isujergxUZxMx4%25253D%2526t%253D4d5b0474%2526ps%253D13740610%2526shp%253Dd05b14bd%2526shcp%253D34ff8df6%2526idc%253Dmy3%2526s%253DTIKTOK_AFFILIATE_VIRAL_VIDEO%22%2C%22placeholder_product_id%22%3A%221729427766722726591%22%2C%22placeholder_video_id%22%3A%227630848612439772437%22%7D&amp;ec_shared_reflux_scene=shop_tab_feed&amp;share_item_id=7630848612439772437&amp;source=h5_t" TargetMode="External"/><Relationship Id="rId5981" Type="http://schemas.openxmlformats.org/officeDocument/2006/relationships/hyperlink" Target="https://vt.tiktok.com/ZSxS7FRu2/" TargetMode="External"/><Relationship Id="rId5982" Type="http://schemas.openxmlformats.org/officeDocument/2006/relationships/hyperlink" Target="https://vt.tiktok.com/ZSxS78U71/" TargetMode="External"/><Relationship Id="rId3320" Type="http://schemas.openxmlformats.org/officeDocument/2006/relationships/hyperlink" Target="https://www.tiktok.com/@andinee__/video/7631932190972005639?_r=1&amp;u_code=l6ma1c5i&amp;region=&amp;mid=7532431478991489808&amp;preview_pb=0&amp;sharer_language=&amp;_d=0&amp;ec_shared_reflux_dynamic_params=%7B%22placeholder_material_id%22%3A%227631932190972005639%22%2C%22placeholder_origin_cover%22%3A%22https%253A%252F%252Fp16-common-sign.tiktokcdn.com%252Ftos-alisg-p-0037%252FoIEmLhREQBAfeQPUBpEg1AZYUBFGSI6DhZtuMm~tplv-tiktokx-origin.jpeg%253Fdr%253D14572%2526refresh_token%253Df7e31763%2526x-expires%253D1810195200%2526x-signature%253DRDXXXsh0o6YBnmchqb2l4%25252FcQcmw%25253D%2526t%253D4d5b0474%2526ps%253D13740610%2526shp%253Dd05b14bd%2526shcp%253D34ff8df6%2526idc%253Dmy2%2526s%253DTIKTOK_AFFILIATE_VIRAL_VIDEO%22%2C%22placeholder_product_id%22%3A%221729427766722726591%22%2C%22placeholder_video_id%22%3A%227631932190972005639%22%7D&amp;ec_shared_reflux_scene=shop_tab_feed&amp;share_item_id=7631932190972005639&amp;source=h5_t" TargetMode="External"/><Relationship Id="rId4651" Type="http://schemas.openxmlformats.org/officeDocument/2006/relationships/hyperlink" Target="https://vt.tiktok.com/ZSxHf8rDf/" TargetMode="External"/><Relationship Id="rId4650" Type="http://schemas.openxmlformats.org/officeDocument/2006/relationships/hyperlink" Target="https://vt.tiktok.com/ZSxxVqEmB/" TargetMode="External"/><Relationship Id="rId5980" Type="http://schemas.openxmlformats.org/officeDocument/2006/relationships/hyperlink" Target="https://vt.tiktok.com/ZSxS7jRYr/" TargetMode="External"/><Relationship Id="rId3322" Type="http://schemas.openxmlformats.org/officeDocument/2006/relationships/hyperlink" Target="https://www.tiktok.com/@vaniaaptrrr" TargetMode="External"/><Relationship Id="rId4653" Type="http://schemas.openxmlformats.org/officeDocument/2006/relationships/hyperlink" Target="https://www.tiktok.com/@piu_piu72" TargetMode="External"/><Relationship Id="rId5985" Type="http://schemas.openxmlformats.org/officeDocument/2006/relationships/hyperlink" Target="https://vt.tiktok.com/ZSxS78d4g/" TargetMode="External"/><Relationship Id="rId3321" Type="http://schemas.openxmlformats.org/officeDocument/2006/relationships/hyperlink" Target="https://www.tiktok.com/@andinee__/video/7631931617350831368?_r=1&amp;u_code=l6ma1c5i&amp;region=&amp;mid=7614267526743477000&amp;preview_pb=0&amp;sharer_language=&amp;_d=0&amp;ec_shared_reflux_dynamic_params=%7B%22placeholder_material_id%22%3A%227631931617350831368%22%2C%22placeholder_origin_cover%22%3A%22https%253A%252F%252Fp16-common-sign.tiktokcdn.com%252Ftos-alisg-p-0037%252FoofDIWGcLjEl1EqdQjI4ACeI8juQQoBeATCRTI~tplv-tiktokx-origin.jpeg%253Fdr%253D14572%2526refresh_token%253Da4bddcd0%2526x-expires%253D1810195200%2526x-signature%253D3T6ZhJrBsKXmZTAJc1kgVqi1nHc%25253D%2526t%253D4d5b0474%2526ps%253D13740610%2526shp%253Dd05b14bd%2526shcp%253D34ff8df6%2526idc%253Dmy2%2526s%253DTIKTOK_AFFILIATE_VIRAL_VIDEO%22%2C%22placeholder_product_id%22%3A%221729427766722726591%22%2C%22placeholder_video_id%22%3A%227631931617350831368%22%7D&amp;ec_shared_reflux_scene=shop_tab_feed&amp;share_item_id=7631931617350831368&amp;source=h5_t" TargetMode="External"/><Relationship Id="rId4652" Type="http://schemas.openxmlformats.org/officeDocument/2006/relationships/hyperlink" Target="https://vt.tiktok.com/ZSxHfRfNL/" TargetMode="External"/><Relationship Id="rId5986" Type="http://schemas.openxmlformats.org/officeDocument/2006/relationships/hyperlink" Target="https://vt.tiktok.com/ZSxS7RhGf/" TargetMode="External"/><Relationship Id="rId3324" Type="http://schemas.openxmlformats.org/officeDocument/2006/relationships/hyperlink" Target="https://www.tiktok.com/@andinee__/video/7631926781997583624?_r=1&amp;u_code=l6ma1c5i&amp;region=&amp;mid=7593745740699011861&amp;preview_pb=0&amp;sharer_language=&amp;_d=0&amp;ec_shared_reflux_dynamic_params=%7B%22placeholder_material_id%22%3A%227631926781997583624%22%2C%22placeholder_origin_cover%22%3A%22https%253A%252F%252Fp16-common-sign.tiktokcdn.com%252Ftos-alisg-p-0037%252FoYICqi0hoAziAVBDIvR0uqAwiwDIMe5vynMAIQ~tplv-tiktokx-origin.jpeg%253Fdr%253D14572%2526refresh_token%253Da0f9fca8%2526x-expires%253D1810195200%2526x-signature%253DHnrw9MDtRGb%25252FMuU60PlloxwFLK0%25253D%2526t%253D4d5b0474%2526ps%253D13740610%2526shp%253Dd05b14bd%2526shcp%253D34ff8df6%2526idc%253Dmy2%2526s%253DTIKTOK_AFFILIATE_VIRAL_VIDEO%22%2C%22placeholder_product_id%22%3A%221729427766722726591%22%2C%22placeholder_video_id%22%3A%227631926781997583624%22%7D&amp;ec_shared_reflux_scene=shop_tab_feed&amp;share_item_id=7631926781997583624&amp;source=h5_t" TargetMode="External"/><Relationship Id="rId4655" Type="http://schemas.openxmlformats.org/officeDocument/2006/relationships/hyperlink" Target="https://vt.tiktok.com/ZSxHfMmYg/" TargetMode="External"/><Relationship Id="rId5983" Type="http://schemas.openxmlformats.org/officeDocument/2006/relationships/hyperlink" Target="https://www.tiktok.com/@serbaada953" TargetMode="External"/><Relationship Id="rId3323" Type="http://schemas.openxmlformats.org/officeDocument/2006/relationships/hyperlink" Target="https://www.tiktok.com/@andinee__/video/7631926378010529031?_r=1&amp;u_code=l6ma1c5i&amp;region=&amp;mid=7461409796990798608&amp;preview_pb=0&amp;sharer_language=&amp;_d=0&amp;ec_shared_reflux_dynamic_params=%7B%22placeholder_material_id%22%3A%227631926378010529031%22%2C%22placeholder_origin_cover%22%3A%22https%253A%252F%252Fp19-common-sign.tiktokcdn.com%252Ftos-alisg-p-0037%252FoApfUFqpVB7QgAFRgBJQlKFBr6EQgTf3qxDDEy~tplv-tiktokx-origin.jpeg%253Fdr%253D14572%2526refresh_token%253Da9a47b11%2526x-expires%253D1810195200%2526x-signature%253DHY3cjOUeZ57dO4HP%25252BT14zNEu6vg%25253D%2526t%253D4d5b0474%2526ps%253D13740610%2526shp%253Dd05b14bd%2526shcp%253D34ff8df6%2526idc%253Dmy2%2526s%253DTIKTOK_AFFILIATE_VIRAL_VIDEO%22%2C%22placeholder_product_id%22%3A%221729427766722726591%22%2C%22placeholder_video_id%22%3A%227631926378010529031%22%7D&amp;ec_shared_reflux_scene=shop_tab_feed&amp;share_item_id=7631926378010529031&amp;source=h5_t" TargetMode="External"/><Relationship Id="rId4654" Type="http://schemas.openxmlformats.org/officeDocument/2006/relationships/hyperlink" Target="https://vt.tiktok.com/ZSxHfUEHs/" TargetMode="External"/><Relationship Id="rId5984" Type="http://schemas.openxmlformats.org/officeDocument/2006/relationships/hyperlink" Target="https://vt.tiktok.com/ZSxS7dkAF/" TargetMode="External"/><Relationship Id="rId2090" Type="http://schemas.openxmlformats.org/officeDocument/2006/relationships/hyperlink" Target="https://www.tiktok.com/@berkah.glosir/video/7638071087338769684?_r=1&amp;u_code=e4hbm162fcgeg9&amp;region=&amp;mid=7584561874637867779&amp;preview_pb=0&amp;sharer_language=&amp;_d=0&amp;ec_shared_reflux_dynamic_params=%7B%22placeholder_material_id%22%3A%227638071087338769684%22%2C%22placeholder_origin_cover%22%3A%22https%253A%252F%252Fp16-common-sign.tiktokcdn.com%252Ftos-alisg-p-0037%252Fo45GdHnUG4GOIdARL8AfoggGfApwfStFY5eOTl~tplv-tiktokx-origin.jpeg%253Fdr%253D14572%2526refresh_token%253D63773cc5%2526x-expires%253D1810116000%2526x-signature%253DBAC2YkhFkW83x8oO9v1xeBLD10M%25253D%2526t%253D4d5b0474%2526ps%253D13740610%2526shp%253Dd05b14bd%2526shcp%253D34ff8df6%2526idc%253Dmy2%2526s%253DTIKTOK_AFFILIATE_VIRAL_VIDEO%22%2C%22placeholder_product_id%22%3A%221729729730555512511%22%2C%22placeholder_video_id%22%3A%227638071087338769684%22%7D&amp;ec_shared_reflux_scene=shop_tab_feed&amp;share_item_id=7638071087338769684&amp;source=h5_t" TargetMode="External"/><Relationship Id="rId2091" Type="http://schemas.openxmlformats.org/officeDocument/2006/relationships/hyperlink" Target="https://www.tiktok.com/@wles06" TargetMode="External"/><Relationship Id="rId2092" Type="http://schemas.openxmlformats.org/officeDocument/2006/relationships/hyperlink" Target="https://www.tiktok.com/@snowme.shop/video/7626687165455633685?_r=1&amp;u_code=dal30337ieiagk&amp;region=&amp;mid=7606210481157655304&amp;preview_pb=0&amp;sharer_language=&amp;_d=0&amp;ec_shared_reflux_dynamic_params=%7B%22placeholder_material_id%22%3A%227626687165455633685%22%2C%22placeholder_origin_cover%22%3A%22https%253A%252F%252Fp16-common-sign.tiktokcdn.com%252Ftos-alisg-p-0037%252FoEYxi0abB3ABviXyd5XtEAiIBqkv18cItdHuA~tplv-tiktokx-origin.jpeg%253Fdr%253D14572%2526refresh_token%253D8562cc8e%2526x-expires%253D1808301600%2526x-signature%253DZq5pMTpmI5lzHYYiSRUk8ZntkUU%25253D%2526t%253D4d5b0474%2526ps%253D13740610%2526shp%253Dd05b14bd%2526shcp%253D34ff8df6%2526idc%253Dmy3%2526s%253DTIKTOK_AFFILIATE_VIRAL_VIDEO%22%2C%22placeholder_product_id%22%3A%221729427766722726591%22%2C%22placeholder_video_id%22%3A%227626687165455633685%22%7D&amp;ec_shared_reflux_scene=shop_tab_feed&amp;share_item_id=7626687165455633685&amp;source=h5_t" TargetMode="External"/><Relationship Id="rId2093" Type="http://schemas.openxmlformats.org/officeDocument/2006/relationships/hyperlink" Target="https://www.tiktok.com/@snowme.shop/video/7626648762852658452?_r=1&amp;u_code=dal30337ieiagk&amp;region=&amp;mid=7524307979127081745&amp;preview_pb=0&amp;sharer_language=&amp;_d=0&amp;ec_shared_reflux_dynamic_params=%7B%22placeholder_material_id%22%3A%227626648762852658452%22%2C%22placeholder_origin_cover%22%3A%22https%253A%252F%252Fp16-common-sign.tiktokcdn.com%252Ftos-alisg-p-0037%252Fo00du9XKTAFI6AiI4AjIiLOAu6C8wGf3GZTBiK~tplv-tiktokx-origin.jpeg%253Fdr%253D14572%2526refresh_token%253Df1d866c8%2526x-expires%253D1808301600%2526x-signature%253DRkHSq%25252B7toj16AnZEMVT39Z6T53w%25253D%2526t%253D4d5b0474%2526ps%253D13740610%2526shp%253Dd05b14bd%2526shcp%253D34ff8df6%2526idc%253Dmy3%2526s%253DTIKTOK_AFFILIATE_VIRAL_VIDEO%22%2C%22placeholder_product_id%22%3A%221729427766722726591%22%2C%22placeholder_video_id%22%3A%227626648762852658452%22%7D&amp;ec_shared_reflux_scene=shop_tab_feed&amp;share_item_id=7626648762852658452&amp;source=h5_t" TargetMode="External"/><Relationship Id="rId2094" Type="http://schemas.openxmlformats.org/officeDocument/2006/relationships/hyperlink" Target="https://www.tiktok.com/@snowme.shop/video/7627901126972673301?_r=1&amp;u_code=dal30337ieiagk&amp;region=&amp;mid=7612232123436534536&amp;preview_pb=0&amp;sharer_language=&amp;_d=0&amp;ec_shared_reflux_dynamic_params=%7B%22placeholder_material_id%22%3A%227627901126972673301%22%2C%22placeholder_origin_cover%22%3A%22https%253A%252F%252Fp16-common-sign.tiktokcdn.com%252Ftos-alisg-p-0037%252Focw3ib9i7fIo2n7pAQAIRv4i7fPRZEEcBBqBgz~tplv-tiktokx-origin.jpeg%253Fdr%253D14572%2526refresh_token%253Df93cc16e%2526x-expires%253D1808301600%2526x-signature%253DfKJRKaYG0t%25252F4tnVyVNDDYlHTskc%25253D%2526t%253D4d5b0474%2526ps%253D13740610%2526shp%253Dd05b14bd%2526shcp%253D34ff8df6%2526idc%253Dmy3%2526s%253DTIKTOK_AFFILIATE_VIRAL_VIDEO%22%2C%22placeholder_product_id%22%3A%221729427766722726591%22%2C%22placeholder_video_id%22%3A%227627901126972673301%22%7D&amp;ec_shared_reflux_scene=shop_tab_feed&amp;share_item_id=7627901126972673301&amp;source=h5_t" TargetMode="External"/><Relationship Id="rId2095" Type="http://schemas.openxmlformats.org/officeDocument/2006/relationships/hyperlink" Target="https://www.tiktok.com/@snowme.shop/video/7627896267414326548?_r=1&amp;u_code=dal30337ieiagk&amp;region=&amp;mid=7612232123436534536&amp;preview_pb=0&amp;sharer_language=&amp;_d=0&amp;ec_shared_reflux_dynamic_params=%7B%22placeholder_material_id%22%3A%227627896267414326548%22%2C%22placeholder_origin_cover%22%3A%22https%253A%252F%252Fp16-common-sign.tiktokcdn.com%252Ftos-alisg-p-0037%252Fo0tzoGdnbAkyGsDEgmTueGdFwf34AShfReRABY~tplv-tiktokx-origin.jpeg%253Fdr%253D14572%2526refresh_token%253D070753c6%2526x-expires%253D1808301600%2526x-signature%253D7IkbUxxT99uqABhtM6LkpF5wNaY%25253D%2526t%253D4d5b0474%2526ps%253D13740610%2526shp%253Dd05b14bd%2526shcp%253D34ff8df6%2526idc%253Dmy3%2526s%253DTIKTOK_AFFILIATE_VIRAL_VIDEO%22%2C%22placeholder_product_id%22%3A%221729427766722726591%22%2C%22placeholder_video_id%22%3A%227627896267414326548%22%7D&amp;ec_shared_reflux_scene=shop_tab_feed&amp;share_item_id=7627896267414326548&amp;source=h5_t" TargetMode="External"/><Relationship Id="rId2096" Type="http://schemas.openxmlformats.org/officeDocument/2006/relationships/hyperlink" Target="https://www.tiktok.com/@samu3ll6" TargetMode="External"/><Relationship Id="rId2097" Type="http://schemas.openxmlformats.org/officeDocument/2006/relationships/hyperlink" Target="https://www.tiktok.com/@snowme.shop/video/7627446453018905876?_r=1&amp;u_code=dal30337ieiagk&amp;region=&amp;mid=7311901948345289478&amp;preview_pb=0&amp;sharer_language=&amp;_d=0&amp;ec_shared_reflux_dynamic_params=%7B%22placeholder_material_id%22%3A%227627446453018905876%22%2C%22placeholder_origin_cover%22%3A%22https%253A%252F%252Fp16-common-sign.tiktokcdn.com%252Ftos-alisg-p-0037%252FogH1sAfMc2IA7IR7E5gTI5FE5Vkf5pa5DUBiBc~tplv-tiktokx-origin.jpeg%253Fdr%253D14572%2526refresh_token%253De4246128%2526x-expires%253D1808301600%2526x-signature%253DV1Xpgu1I3GsFbDVBgjwp04CHc8M%25253D%2526t%253D4d5b0474%2526ps%253D13740610%2526shp%253Dd05b14bd%2526shcp%253D34ff8df6%2526idc%253Dmy3%2526s%253DTIKTOK_AFFILIATE_VIRAL_VIDEO%22%2C%22placeholder_product_id%22%3A%221729427766722726591%22%2C%22placeholder_video_id%22%3A%227627446453018905876%22%7D&amp;ec_shared_reflux_scene=shop_tab_feed&amp;share_item_id=7627446453018905876&amp;source=h5_t" TargetMode="External"/><Relationship Id="rId2098" Type="http://schemas.openxmlformats.org/officeDocument/2006/relationships/hyperlink" Target="https://vt.tiktok.com/ZSxSxn5pU/" TargetMode="External"/><Relationship Id="rId2099" Type="http://schemas.openxmlformats.org/officeDocument/2006/relationships/hyperlink" Target="https://www.tiktok.com/@suswati_marlina" TargetMode="External"/><Relationship Id="rId9518" Type="http://schemas.openxmlformats.org/officeDocument/2006/relationships/hyperlink" Target="https://www.tiktok.com/@17adeliashop" TargetMode="External"/><Relationship Id="rId9519" Type="http://schemas.openxmlformats.org/officeDocument/2006/relationships/hyperlink" Target="https://vt.tiktok.com/ZSxWk2frB/" TargetMode="External"/><Relationship Id="rId9514" Type="http://schemas.openxmlformats.org/officeDocument/2006/relationships/hyperlink" Target="https://www.tiktok.com/@azurayumna.s/video/7647428246367210772?_r=1&amp;u_code=el7l37430979h6&amp;region=&amp;mid=6954430693141137410&amp;preview_pb=0&amp;sharer_language=&amp;_d=0&amp;ec_shared_reflux_dynamic_params=%7B%22placeholder_material_id%22%3A%227647428246367210772%22%2C%22placeholder_origin_cover%22%3A%22https%253A%252F%252Fp16-common-sign.tiktokcdn.com%252Ftos-alisg-p-0037%252FooIhh1VCaAIzwwIQyxIAoiiAfHBJLECOFvsc4u~tplv-tiktokx-origin.jpeg%253Fdr%253D14572%2526refresh_token%253D9bc4edba%2526x-expires%253D1812099600%2526x-signature%253Do8fFF4iTSbF3zQLu9Vw0XO3Hb10%25253D%2526t%253D4d5b0474%2526ps%253D13740610%2526shp%253Dd05b14bd%2526shcp%253D34ff8df6%2526idc%253Dmy%2526s%253DTIKTOK_AFFILIATE_VIRAL_VIDEO%22%2C%22placeholder_product_id%22%3A%221729427766722726591%22%2C%22placeholder_video_id%22%3A%227647428246367210772%22%7D&amp;ec_shared_reflux_scene=shop_tab_feed&amp;share_item_id=7647428246367210772&amp;source=h5_t" TargetMode="External"/><Relationship Id="rId9515" Type="http://schemas.openxmlformats.org/officeDocument/2006/relationships/hyperlink" Target="https://www.tiktok.com/@azurayumna.s/video/7647450342510136596?_r=1&amp;u_code=el7l37430979h6&amp;region=&amp;mid=7633160926623075090&amp;preview_pb=0&amp;sharer_language=&amp;_d=0&amp;ec_shared_reflux_dynamic_params=%7B%22placeholder_material_id%22%3A%227647450342510136596%22%2C%22placeholder_origin_cover%22%3A%22https%253A%252F%252Fp16-common-sign.tiktokcdn.com%252Ftos-alisg-p-0037%252FoMVO2DcDqBMn8AeFEGLTyAIuEBlhfIvgHRI50H~tplv-tiktokx-origin.jpeg%253Fdr%253D14572%2526refresh_token%253Dfeef3dc3%2526x-expires%253D1812099600%2526x-signature%253DRXs%25252FvAtrH0and3bgVEJMmKBR7LQ%25253D%2526t%253D4d5b0474%2526ps%253D13740610%2526shp%253Dd05b14bd%2526shcp%253D34ff8df6%2526idc%253Dmy%2526s%253DTIKTOK_AFFILIATE_VIRAL_VIDEO%22%2C%22placeholder_product_id%22%3A%221729427766722726591%22%2C%22placeholder_video_id%22%3A%227647450342510136596%22%7D&amp;ec_shared_reflux_scene=shop_tab_feed&amp;share_item_id=7647450342510136596&amp;source=h5_t" TargetMode="External"/><Relationship Id="rId9516" Type="http://schemas.openxmlformats.org/officeDocument/2006/relationships/hyperlink" Target="https://vt.tiktok.com/ZSxHP9Kkk/" TargetMode="External"/><Relationship Id="rId9517" Type="http://schemas.openxmlformats.org/officeDocument/2006/relationships/hyperlink" Target="https://vt.tiktok.com/ZSxHPv1Ak/" TargetMode="External"/><Relationship Id="rId9510" Type="http://schemas.openxmlformats.org/officeDocument/2006/relationships/hyperlink" Target="https://www.tiktok.com/@shintaframutii/video/7647452149944732936?_r=1&amp;u_code=dd960l8cdgb77c&amp;region=&amp;mid=7625393881494226960&amp;preview_pb=0&amp;sharer_language=&amp;_d=0&amp;ec_shared_reflux_dynamic_params=%7B%22placeholder_material_id%22%3A%227647452149944732936%22%2C%22placeholder_origin_cover%22%3A%22https%253A%252F%252Fp16-common-sign.tiktokcdn.com%252Ftos-alisg-p-0037%252FooYQUQNZgAPRBC7IRFf1TqDBBWIEaEERUeZ9Ch~tplv-tiktokx-origin.jpeg%253Fdr%253D14572%2526refresh_token%253D372ba9f3%2526x-expires%253D1812099600%2526x-signature%253DTOiCuw4Zs5KKBNNC8QWVGOM6%25252FaE%25253D%2526t%253D4d5b0474%2526ps%253D13740610%2526shp%253Dd05b14bd%2526shcp%253D34ff8df6%2526idc%253Dmy%2526s%253DTIKTOK_AFFILIATE_VIRAL_VIDEO%22%2C%22placeholder_product_id%22%3A%221729729730555512511%22%2C%22placeholder_video_id%22%3A%227647452149944732936%22%7D&amp;ec_shared_reflux_scene=shop_tab_feed&amp;share_item_id=7647452149944732936&amp;source=h5_t" TargetMode="External"/><Relationship Id="rId9511" Type="http://schemas.openxmlformats.org/officeDocument/2006/relationships/hyperlink" Target="https://vt.tiktok.com/ZSxHP4Pbt/" TargetMode="External"/><Relationship Id="rId9512" Type="http://schemas.openxmlformats.org/officeDocument/2006/relationships/hyperlink" Target="https://vt.tiktok.com/ZSxHPvptF/" TargetMode="External"/><Relationship Id="rId9513" Type="http://schemas.openxmlformats.org/officeDocument/2006/relationships/hyperlink" Target="https://www.tiktok.com/@azurayumna.s" TargetMode="External"/><Relationship Id="rId9507" Type="http://schemas.openxmlformats.org/officeDocument/2006/relationships/hyperlink" Target="https://vt.tiktok.com/ZSxHPWYhq/" TargetMode="External"/><Relationship Id="rId9508" Type="http://schemas.openxmlformats.org/officeDocument/2006/relationships/hyperlink" Target="https://www.tiktok.com/@Shintaframutii" TargetMode="External"/><Relationship Id="rId9509" Type="http://schemas.openxmlformats.org/officeDocument/2006/relationships/hyperlink" Target="https://www.tiktok.com/@shintaframutii/video/7646729864489225480?_r=1&amp;u_code=dd960l8cdgb77c&amp;region=&amp;mid=7633310866888674056&amp;preview_pb=0&amp;sharer_language=&amp;_d=0&amp;ec_shared_reflux_dynamic_params=%7B%22placeholder_material_id%22%3A%227646729864489225480%22%2C%22placeholder_origin_cover%22%3A%22https%253A%252F%252Fp16-common-sign.tiktokcdn.com%252Ftos-alisg-p-0037%252FoUR9tWOERJRxDQeQGBFqASgDgGUwwB9KfqHEz1~tplv-tiktokx-origin.jpeg%253Fdr%253D14572%2526refresh_token%253D27b5c218%2526x-expires%253D1812099600%2526x-signature%253DkQth6e4LgdjVjVQIxTSpjqsYUf0%25253D%2526t%253D4d5b0474%2526ps%253D13740610%2526shp%253Dd05b14bd%2526shcp%253D34ff8df6%2526idc%253Dmy%2526s%253DTIKTOK_AFFILIATE_VIRAL_VIDEO%22%2C%22placeholder_product_id%22%3A%221729427766722726591%22%2C%22placeholder_video_id%22%3A%227646729864489225480%22%7D&amp;ec_shared_reflux_scene=shop_tab_feed&amp;share_item_id=7646729864489225480&amp;source=h5_t" TargetMode="External"/><Relationship Id="rId9503" Type="http://schemas.openxmlformats.org/officeDocument/2006/relationships/hyperlink" Target="https://www.tiktok.com/@Cacantikan" TargetMode="External"/><Relationship Id="rId9504" Type="http://schemas.openxmlformats.org/officeDocument/2006/relationships/hyperlink" Target="https://vt.tiktok.com/ZSxHPWYhq/" TargetMode="External"/><Relationship Id="rId9505" Type="http://schemas.openxmlformats.org/officeDocument/2006/relationships/hyperlink" Target="https://vt.tiktok.com/ZSxHPphbF/" TargetMode="External"/><Relationship Id="rId9506" Type="http://schemas.openxmlformats.org/officeDocument/2006/relationships/hyperlink" Target="https://vt.tiktok.com/ZSxHPphbF/" TargetMode="External"/><Relationship Id="rId9500" Type="http://schemas.openxmlformats.org/officeDocument/2006/relationships/hyperlink" Target="https://vt.tiktok.com/ZSxHPWo97/" TargetMode="External"/><Relationship Id="rId9501" Type="http://schemas.openxmlformats.org/officeDocument/2006/relationships/hyperlink" Target="https://vt.tiktok.com/ZSxHPWo97/" TargetMode="External"/><Relationship Id="rId9502" Type="http://schemas.openxmlformats.org/officeDocument/2006/relationships/hyperlink" Target="https://vt.tiktok.com/ZSxHPCAgL/" TargetMode="External"/><Relationship Id="rId10419" Type="http://schemas.openxmlformats.org/officeDocument/2006/relationships/hyperlink" Target="https://www.tiktok.com/@mrs.sitinurlela" TargetMode="External"/><Relationship Id="rId10413" Type="http://schemas.openxmlformats.org/officeDocument/2006/relationships/hyperlink" Target="https://www.tiktok.com/@wlynov" TargetMode="External"/><Relationship Id="rId10414" Type="http://schemas.openxmlformats.org/officeDocument/2006/relationships/hyperlink" Target="https://www.tiktok.com/@nengyuliaaja" TargetMode="External"/><Relationship Id="rId10411" Type="http://schemas.openxmlformats.org/officeDocument/2006/relationships/hyperlink" Target="https://www.tiktok.com/@diana_safitry" TargetMode="External"/><Relationship Id="rId10412" Type="http://schemas.openxmlformats.org/officeDocument/2006/relationships/hyperlink" Target="https://www.tiktok.com/@iniacha02" TargetMode="External"/><Relationship Id="rId3391" Type="http://schemas.openxmlformats.org/officeDocument/2006/relationships/hyperlink" Target="https://www.tiktok.com/@annisaistiqomahh1/video/7639249862579588372?_r=1&amp;u_code=d8i26fa18b5a65&amp;region=&amp;mid=7620121223112624910&amp;preview_pb=0&amp;sharer_language=&amp;_d=0&amp;ec_shared_reflux_dynamic_params=%7B%22placeholder_material_id%22%3A%227639249862579588372%22%2C%22placeholder_origin_cover%22%3A%22https%253A%252F%252Fp16-common-sign.tiktokcdn.com%252Ftos-alisg-p-0037%252FoQAABUXE9E1IfAdbxgBgZIbCuAEIiiiw3qoCpq~tplv-tiktokx-origin.jpeg%253Fdr%253D14572%2526refresh_token%253Dc084766e%2526x-expires%253D1810195200%2526x-signature%253DabH%25252BW0uWI0LQFHx0ZV1KaHNV2G0%25253D%2526t%253D4d5b0474%2526ps%253D13740610%2526shp%253Dd05b14bd%2526shcp%253D34ff8df6%2526idc%253Dmy2%2526s%253DTIKTOK_AFFILIATE_VIRAL_VIDEO%22%2C%22placeholder_product_id%22%3A%221729427766722726591%22%2C%22placeholder_video_id%22%3A%227639249862579588372%22%7D&amp;ec_shared_reflux_scene=shop_tab_feed&amp;share_item_id=7639249862579588372&amp;source=h5_t" TargetMode="External"/><Relationship Id="rId10417" Type="http://schemas.openxmlformats.org/officeDocument/2006/relationships/hyperlink" Target="https://www.tiktok.com/@imaaa.mr" TargetMode="External"/><Relationship Id="rId2060" Type="http://schemas.openxmlformats.org/officeDocument/2006/relationships/hyperlink" Target="https://vt.tiktok.com/ZS9JrTYCd/" TargetMode="External"/><Relationship Id="rId3390" Type="http://schemas.openxmlformats.org/officeDocument/2006/relationships/hyperlink" Target="https://www.tiktok.com/@alwayzika56/video/7639007419879755016?_r=1&amp;u_code=dm5512gkaak88g&amp;region=&amp;mid=7628927071062493200&amp;preview_pb=0&amp;sharer_language=&amp;_d=0&amp;ec_shared_reflux_dynamic_params=%7B%22placeholder_material_id%22%3A%227639007419879755016%22%2C%22placeholder_origin_cover%22%3A%22https%253A%252F%252Fp16-common-sign.tiktokcdn.com%252Ftos-alisg-p-0037%252FosDk9dBRGIeAMQ5eeMIB2WGoRJSLIGfNFAKLND~tplv-tiktokx-origin.jpeg%253Fdr%253D14572%2526refresh_token%253Da5ccf9a5%2526x-expires%253D1810195200%2526x-signature%253Dj7HF20K2dQOdMyyvNs5pyjBi3gw%25253D%2526t%253D4d5b0474%2526ps%253D13740610%2526shp%253Dd05b14bd%2526shcp%253D34ff8df6%2526idc%253Dmy2%2526s%253DTIKTOK_AFFILIATE_VIRAL_VIDEO%22%2C%22placeholder_product_id%22%3A%221729427766722726591%22%2C%22placeholder_video_id%22%3A%227639007419879755016%22%7D&amp;ec_shared_reflux_scene=shop_tab_feed&amp;share_item_id=7639007419879755016&amp;source=h5_t" TargetMode="External"/><Relationship Id="rId10418" Type="http://schemas.openxmlformats.org/officeDocument/2006/relationships/hyperlink" Target="https://www.tiktok.com/@imfinayy" TargetMode="External"/><Relationship Id="rId2061" Type="http://schemas.openxmlformats.org/officeDocument/2006/relationships/hyperlink" Target="https://vt.tiktok.com/ZS9JrwqmT/" TargetMode="External"/><Relationship Id="rId3393" Type="http://schemas.openxmlformats.org/officeDocument/2006/relationships/hyperlink" Target="https://www.tiktok.com/@byliyah/video/7632923902209002770?_r=1&amp;u_code=dj0c9igeb6ei5f&amp;region=&amp;mid=7632923928071883540&amp;preview_pb=0&amp;sharer_language=&amp;_d=0&amp;ec_shared_reflux_dynamic_params=%7B%22placeholder_material_id%22%3A%227632923902209002770%22%2C%22placeholder_origin_cover%22%3A%22https%253A%252F%252Fp16-common-sign.tiktokcdn.com%252Ftos-alisg-p-0037%252FoYHAWWL5AT9IyM4TjxACDkpLeIgvgNLbAf72eG~tplv-tiktokx-origin.jpeg%253Fdr%253D14572%2526refresh_token%253D8719595a%2526x-expires%253D1810119600%2526x-signature%253Du7YjuHG4iVK4Ge4sKN5WItXU96s%25253D%2526t%253D4d5b0474%2526ps%253D13740610%2526shp%253Dd05b14bd%2526shcp%253D34ff8df6%2526idc%253Dmy2%2526s%253DTIKTOK_AFFILIATE_VIRAL_VIDEO%22%2C%22placeholder_product_id%22%3A%221729427766722726591%22%2C%22placeholder_video_id%22%3A%227632923902209002770%22%7D&amp;ec_shared_reflux_scene=shop_tab_feed&amp;share_item_id=7632923902209002770&amp;source=h5_t" TargetMode="External"/><Relationship Id="rId10415" Type="http://schemas.openxmlformats.org/officeDocument/2006/relationships/hyperlink" Target="https://www.tiktok.com/@mutiaraanabell_" TargetMode="External"/><Relationship Id="rId2062" Type="http://schemas.openxmlformats.org/officeDocument/2006/relationships/hyperlink" Target="https://vt.tiktok.com/ZS9J31U6W/" TargetMode="External"/><Relationship Id="rId3392" Type="http://schemas.openxmlformats.org/officeDocument/2006/relationships/hyperlink" Target="https://www.tiktok.com/@by,ciicii" TargetMode="External"/><Relationship Id="rId10416" Type="http://schemas.openxmlformats.org/officeDocument/2006/relationships/hyperlink" Target="http://imaaa.mr" TargetMode="External"/><Relationship Id="rId2063" Type="http://schemas.openxmlformats.org/officeDocument/2006/relationships/hyperlink" Target="https://www.tiktok.com/@pejuangghoki" TargetMode="External"/><Relationship Id="rId3395" Type="http://schemas.openxmlformats.org/officeDocument/2006/relationships/hyperlink" Target="https://www.tiktok.com/@byliyah/video/7632596479227464978?_r=1&amp;u_code=dj0c9igeb6ei5f&amp;region=&amp;mid=7632596506828491538&amp;preview_pb=0&amp;sharer_language=&amp;_d=0&amp;ec_shared_reflux_dynamic_params=%7B%22placeholder_material_id%22%3A%227632596479227464978%22%2C%22placeholder_origin_cover%22%3A%22https%253A%252F%252Fp16-common-sign.tiktokcdn.com%252Ftos-alisg-p-0037%252FoEtkYGB4IiAbICA9vDiujbCtAwjgfISs0xhPwB~tplv-tiktokx-origin.jpeg%253Fdr%253D14572%2526refresh_token%253D848f18b7%2526x-expires%253D1810119600%2526x-signature%253DhbIgUTbKNUXz2H9r0ZxjrNoBQWo%25253D%2526t%253D4d5b0474%2526ps%253D13740610%2526shp%253Dd05b14bd%2526shcp%253D34ff8df6%2526idc%253Dmy2%2526s%253DTIKTOK_AFFILIATE_VIRAL_VIDEO%22%2C%22placeholder_product_id%22%3A%221729427766722726591%22%2C%22placeholder_video_id%22%3A%227632596479227464978%22%7D&amp;ec_shared_reflux_scene=shop_tab_feed&amp;share_item_id=7632596479227464978&amp;source=h5_t" TargetMode="External"/><Relationship Id="rId2064" Type="http://schemas.openxmlformats.org/officeDocument/2006/relationships/hyperlink" Target="https://www.tiktok.com/@snowme.shop/video/7630794325093272853?_r=1&amp;u_code=dal30337ieiagk&amp;region=&amp;mid=7620330197195295506&amp;preview_pb=0&amp;sharer_language=&amp;_d=0&amp;ec_shared_reflux_dynamic_params=%7B%22placeholder_material_id%22%3A%227630794325093272853%22%2C%22placeholder_origin_cover%22%3A%22https%253A%252F%252Fp16-sign-sg.tiktokcdn.com%252Ftos-alisg-p-0037%252Fo4Fcwqjp5ABtB5FAEfKgvRBBc2mfIOGlEGagID~tplv-tiktokx-origin.jpeg%253Fdr%253D14572%2526refresh_token%253D51f552c9%2526x-expires%253D1808301600%2526x-signature%253D8zi82eXv5RePZkizvUJNvAwIAtY%25253D%2526t%253D4d5b0474%2526ps%253D13740610%2526shp%253Dd05b14bd%2526shcp%253D34ff8df6%2526idc%253Dmy3%2526s%253DTIKTOK_AFFILIATE_VIRAL_VIDEO%22%2C%22placeholder_product_id%22%3A%221729427766722726591%22%2C%22placeholder_video_id%22%3A%227630794325093272853%22%7D&amp;ec_shared_reflux_scene=shop_tab_feed&amp;share_item_id=7630794325093272853&amp;source=h5_t" TargetMode="External"/><Relationship Id="rId3394" Type="http://schemas.openxmlformats.org/officeDocument/2006/relationships/hyperlink" Target="https://www.tiktok.com/@byliyah/video/7632877550133415176?_r=1&amp;u_code=dj0c9igeb6ei5f&amp;region=&amp;mid=7632877586066017031&amp;preview_pb=0&amp;sharer_language=&amp;_d=0&amp;ec_shared_reflux_dynamic_params=%7B%22placeholder_material_id%22%3A%227632877550133415176%22%2C%22placeholder_origin_cover%22%3A%22https%253A%252F%252Fp16-common-sign.tiktokcdn.com%252Ftos-alisg-p-0037%252FokBuAb87hFvy0EWDIpED7bflI4udg2vfBctUZR~tplv-tiktokx-origin.jpeg%253Fdr%253D14572%2526refresh_token%253Da33a3610%2526x-expires%253D1810119600%2526x-signature%253Dm4U1xIS0Aa0gEAgqL9QcYRQwIOs%25253D%2526t%253D4d5b0474%2526ps%253D13740610%2526shp%253Dd05b14bd%2526shcp%253D34ff8df6%2526idc%253Dmy2%2526s%253DTIKTOK_AFFILIATE_VIRAL_VIDEO%22%2C%22placeholder_product_id%22%3A%221729427766722726591%22%2C%22placeholder_video_id%22%3A%227632877550133415176%22%7D&amp;ec_shared_reflux_scene=shop_tab_feed&amp;share_item_id=7632877550133415176&amp;source=h5_t" TargetMode="External"/><Relationship Id="rId2065" Type="http://schemas.openxmlformats.org/officeDocument/2006/relationships/hyperlink" Target="https://www.tiktok.com/@snowme.shop/video/7631031599416478997?_r=1&amp;u_code=dal30337ieiagk&amp;region=&amp;mid=7536222757655350032&amp;preview_pb=0&amp;sharer_language=&amp;_d=0&amp;ec_shared_reflux_dynamic_params=%7B%22placeholder_material_id%22%3A%227631031599416478997%22%2C%22placeholder_origin_cover%22%3A%22https%253A%252F%252Fp16-common-sign.tiktokcdn.com%252Ftos-alisg-p-0037%252FocfSaMtftpiVQgEo3JRFyEIDBqX85QRm74cABB~tplv-tiktokx-origin.jpeg%253Fdr%253D14572%2526refresh_token%253D0e29f080%2526x-expires%253D1808301600%2526x-signature%253Dh0k9TtaXylQxtRPKW8fBJ5N1B%25252Fc%25253D%2526t%253D4d5b0474%2526ps%253D13740610%2526shp%253Dd05b14bd%2526shcp%253D34ff8df6%2526idc%253Dmy3%2526s%253DTIKTOK_AFFILIATE_VIRAL_VIDEO%22%2C%22placeholder_product_id%22%3A%221729427766722726591%22%2C%22placeholder_video_id%22%3A%227631031599416478997%22%7D&amp;ec_shared_reflux_scene=shop_tab_feed&amp;share_item_id=7631031599416478997&amp;source=h5_t" TargetMode="External"/><Relationship Id="rId3397" Type="http://schemas.openxmlformats.org/officeDocument/2006/relationships/hyperlink" Target="https://www.tiktok.com/@gandhisskinbeauty" TargetMode="External"/><Relationship Id="rId2066" Type="http://schemas.openxmlformats.org/officeDocument/2006/relationships/hyperlink" Target="https://www.tiktok.com/@snowme.shop/video/7630633958824332565?_r=1&amp;u_code=dal30337ieiagk&amp;region=&amp;mid=7186103591168658203&amp;preview_pb=0&amp;sharer_language=&amp;_d=0&amp;ec_shared_reflux_dynamic_params=%7B%22placeholder_material_id%22%3A%227630633958824332565%22%2C%22placeholder_origin_cover%22%3A%22https%253A%252F%252Fp16-common-sign.tiktokcdn.com%252Ftos-alisg-p-0037%252FoQTeQCWKfP4bEzxlDBMAQpy8jeTAdC3IUuQG8s~tplv-tiktokx-origin.jpeg%253Fdr%253D14572%2526refresh_token%253D0ab0d056%2526x-expires%253D1808301600%2526x-signature%253DqWYZiUrKVMuiUJenrqRAmHRXqx0%25253D%2526t%253D4d5b0474%2526ps%253D13740610%2526shp%253Dd05b14bd%2526shcp%253D34ff8df6%2526idc%253Dmy3%2526s%253DTIKTOK_AFFILIATE_VIRAL_VIDEO%22%2C%22placeholder_product_id%22%3A%221729427766722726591%22%2C%22placeholder_video_id%22%3A%227630633958824332565%22%7D&amp;ec_shared_reflux_scene=shop_tab_feed&amp;share_item_id=7630633958824332565&amp;source=h5_t" TargetMode="External"/><Relationship Id="rId3396" Type="http://schemas.openxmlformats.org/officeDocument/2006/relationships/hyperlink" Target="https://www.tiktok.com/@byliyah/video/7632672007259262226?_r=1&amp;u_code=dj0c9igeb6ei5f&amp;region=&amp;mid=7632672047893646088&amp;preview_pb=0&amp;sharer_language=&amp;_d=0&amp;ec_shared_reflux_dynamic_params=%7B%22placeholder_material_id%22%3A%227632672007259262226%22%2C%22placeholder_origin_cover%22%3A%22https%253A%252F%252Fp16-common-sign.tiktokcdn.com%252Ftos-alisg-p-0037%252FocZIeIOGAMSCfU3Le6TjDEAsQmZhZ2QPWpd3V4~tplv-tiktokx-origin.jpeg%253Fdr%253D14572%2526refresh_token%253D2afb8c8c%2526x-expires%253D1810119600%2526x-signature%253Dh9cE40PqgN5af8MYnggIRFrTS1w%25253D%2526t%253D4d5b0474%2526ps%253D13740610%2526shp%253Dd05b14bd%2526shcp%253D34ff8df6%2526idc%253Dmy2%2526s%253DTIKTOK_AFFILIATE_VIRAL_VIDEO%22%2C%22placeholder_product_id%22%3A%221729427766722726591%22%2C%22placeholder_video_id%22%3A%227632672007259262226%22%7D&amp;ec_shared_reflux_scene=shop_tab_feed&amp;share_item_id=7632672007259262226&amp;source=h5_t" TargetMode="External"/><Relationship Id="rId2067" Type="http://schemas.openxmlformats.org/officeDocument/2006/relationships/hyperlink" Target="https://www.tiktok.com/@snowme.shop/video/7630438601528003861?_r=1&amp;u_code=dal30337ieiagk&amp;region=&amp;mid=7589982206799039240&amp;preview_pb=0&amp;sharer_language=&amp;_d=0&amp;ec_shared_reflux_dynamic_params=%7B%22placeholder_material_id%22%3A%227630438601528003861%22%2C%22placeholder_origin_cover%22%3A%22https%253A%252F%252Fp16-common-sign.tiktokcdn.com%252Ftos-alisg-p-0037%252Fo0raEWEIIDATfhyfgwF4kT7Hf4b3zIAWDCYjA5~tplv-tiktokx-origin.jpeg%253Fdr%253D14572%2526refresh_token%253D8fdc7341%2526x-expires%253D1808301600%2526x-signature%253Dbzrlg3l2qOMg1GJGVdCcD%25252FryNVg%25253D%2526t%253D4d5b0474%2526ps%253D13740610%2526shp%253Dd05b14bd%2526shcp%253D34ff8df6%2526idc%253Dmy3%2526s%253DTIKTOK_AFFILIATE_VIRAL_VIDEO%22%2C%22placeholder_product_id%22%3A%221729427766722726591%22%2C%22placeholder_video_id%22%3A%227630438601528003861%22%7D&amp;ec_shared_reflux_scene=shop_tab_feed&amp;share_item_id=7630438601528003861&amp;source=h5_t" TargetMode="External"/><Relationship Id="rId3399" Type="http://schemas.openxmlformats.org/officeDocument/2006/relationships/hyperlink" Target="https://www.tiktok.com/@byliyah/video/7634407705381260551?_r=1&amp;u_code=dj0c9igeb6ei5f&amp;region=&amp;mid=7628933306519816967&amp;preview_pb=0&amp;sharer_language=&amp;_d=0&amp;ec_shared_reflux_dynamic_params=%7B%22placeholder_material_id%22%3A%227634407705381260551%22%2C%22placeholder_origin_cover%22%3A%22https%253A%252F%252Fp16-common-sign.tiktokcdn.com%252Ftos-alisg-p-0037%252FoEuBg4sri7VCIWiw0VJAV3LP8d7IAPCfyIAkz9~tplv-tiktokx-origin.jpeg%253Fdr%253D14572%2526refresh_token%253D9afc576d%2526x-expires%253D1810119600%2526x-signature%253DaFWkCVdB3qunT73Smo1XfI%25252FnqX0%25253D%2526t%253D4d5b0474%2526ps%253D13740610%2526shp%253Dd05b14bd%2526shcp%253D34ff8df6%2526idc%253Dmy2%2526s%253DTIKTOK_AFFILIATE_VIRAL_VIDEO%22%2C%22placeholder_product_id%22%3A%221729427766722726591%22%2C%22placeholder_video_id%22%3A%227634407705381260551%22%7D&amp;ec_shared_reflux_scene=shop_tab_feed&amp;share_item_id=7634407705381260551&amp;source=h5_t" TargetMode="External"/><Relationship Id="rId2068" Type="http://schemas.openxmlformats.org/officeDocument/2006/relationships/hyperlink" Target="https://www.tiktok.com/@harus.laristerus" TargetMode="External"/><Relationship Id="rId3398" Type="http://schemas.openxmlformats.org/officeDocument/2006/relationships/hyperlink" Target="https://www.tiktok.com/@byliyah/video/7634877105813064967?_r=1&amp;u_code=dj0c9igeb6ei5f&amp;region=&amp;mid=7628933306519816967&amp;preview_pb=0&amp;sharer_language=&amp;_d=0&amp;ec_shared_reflux_dynamic_params=%7B%22placeholder_material_id%22%3A%227634877105813064967%22%2C%22placeholder_origin_cover%22%3A%22https%253A%252F%252Fp16-common-sign.tiktokcdn.com%252Ftos-alisg-p-0037%252Focei17GjILABIDC6IDI4xiICDGRxeju0TtEPAe~tplv-tiktokx-origin.jpeg%253Fdr%253D14572%2526refresh_token%253Dbd090905%2526x-expires%253D1810119600%2526x-signature%253DzdrUjo8E%25252F428F9g5sdiTIrQqizM%25253D%2526t%253D4d5b0474%2526ps%253D13740610%2526shp%253Dd05b14bd%2526shcp%253D34ff8df6%2526idc%253Dmy2%2526s%253DTIKTOK_AFFILIATE_VIRAL_VIDEO%22%2C%22placeholder_product_id%22%3A%221729427766722726591%22%2C%22placeholder_video_id%22%3A%227634877105813064967%22%7D&amp;ec_shared_reflux_scene=shop_tab_feed&amp;share_item_id=7634877105813064967&amp;source=h5_t" TargetMode="External"/><Relationship Id="rId10410" Type="http://schemas.openxmlformats.org/officeDocument/2006/relationships/hyperlink" Target="https://www.tiktok.com/@ninayehow" TargetMode="External"/><Relationship Id="rId2069" Type="http://schemas.openxmlformats.org/officeDocument/2006/relationships/hyperlink" Target="https://www.tiktok.com/@snowme.shop/video/7630277174750104852?_r=1&amp;u_code=dal30337ieiagk&amp;region=&amp;mid=7613023919407466497&amp;preview_pb=0&amp;sharer_language=&amp;_d=0&amp;ec_shared_reflux_dynamic_params=%7B%22placeholder_material_id%22%3A%227630277174750104852%22%2C%22placeholder_origin_cover%22%3A%22https%253A%252F%252Fp16-common-sign.tiktokcdn.com%252Ftos-alisg-p-0037%252Fo4jCFLD9BWXen8y8WTXeAy4IGbQIQclMGGYeIA~tplv-tiktokx-origin.jpeg%253Fdr%253D14572%2526refresh_token%253D0716c7ee%2526x-expires%253D1808301600%2526x-signature%253DoZAoCDfmq9pb6umc7EAzUxmL18c%25253D%2526t%253D4d5b0474%2526ps%253D13740610%2526shp%253Dd05b14bd%2526shcp%253D34ff8df6%2526idc%253Dmy3%2526s%253DTIKTOK_AFFILIATE_VIRAL_VIDEO%22%2C%22placeholder_product_id%22%3A%221729427766722726591%22%2C%22placeholder_video_id%22%3A%227630277174750104852%22%7D&amp;ec_shared_reflux_scene=shop_tab_feed&amp;share_item_id=7630277174750104852&amp;source=h5_t" TargetMode="External"/><Relationship Id="rId10424" Type="http://schemas.openxmlformats.org/officeDocument/2006/relationships/hyperlink" Target="https://www.tiktok.com/@nurulhsnh002" TargetMode="External"/><Relationship Id="rId10425" Type="http://schemas.openxmlformats.org/officeDocument/2006/relationships/hyperlink" Target="https://www.tiktok.com/@cumilbeauty" TargetMode="External"/><Relationship Id="rId10422" Type="http://schemas.openxmlformats.org/officeDocument/2006/relationships/hyperlink" Target="https://www.tiktok.com/@fidifada" TargetMode="External"/><Relationship Id="rId10423" Type="http://schemas.openxmlformats.org/officeDocument/2006/relationships/hyperlink" Target="https://www.tiktok.com/@ainaadt" TargetMode="External"/><Relationship Id="rId3380" Type="http://schemas.openxmlformats.org/officeDocument/2006/relationships/hyperlink" Target="https://www.tiktok.com/@belanja_hemat.shop/video/7637074024111099143?_r=1&amp;u_code=ek6h2252jijmih&amp;region=&amp;mid=7600985143288843016&amp;preview_pb=0&amp;sharer_language=&amp;_d=0&amp;ec_shared_reflux_dynamic_params=%7B%22placeholder_material_id%22%3A%227637074024111099143%22%2C%22placeholder_origin_cover%22%3A%22https%253A%252F%252Fp16-common-sign.tiktokcdn.com%252Ftos-alisg-p-0037%252FoQPIUIVngAs7Bv1IRifXipBBUyfqbiEKmCDnB8~tplv-tiktokx-origin.jpeg%253Fdr%253D14572%2526refresh_token%253D36a91460%2526x-expires%253D1810195200%2526x-signature%253D1jTyohUztbKgEZh1QNBzsogYA8Y%25253D%2526t%253D4d5b0474%2526ps%253D13740610%2526shp%253Dd05b14bd%2526shcp%253D34ff8df6%2526idc%253Dmy2%2526s%253DTIKTOK_AFFILIATE_VIRAL_VIDEO%22%2C%22placeholder_product_id%22%3A%221729427766722726591%22%2C%22placeholder_video_id%22%3A%227637074024111099143%22%7D&amp;ec_shared_reflux_scene=shop_tab_feed&amp;share_item_id=7637074024111099143&amp;source=h5_t" TargetMode="External"/><Relationship Id="rId10428" Type="http://schemas.openxmlformats.org/officeDocument/2006/relationships/hyperlink" Target="https://www.tiktok.com/@privatebutnotsecret24" TargetMode="External"/><Relationship Id="rId10429" Type="http://schemas.openxmlformats.org/officeDocument/2006/relationships/hyperlink" Target="https://www.tiktok.com/@copleapii" TargetMode="External"/><Relationship Id="rId2050" Type="http://schemas.openxmlformats.org/officeDocument/2006/relationships/hyperlink" Target="https://vt.tiktok.com/ZS9JrdBhH/" TargetMode="External"/><Relationship Id="rId3382" Type="http://schemas.openxmlformats.org/officeDocument/2006/relationships/hyperlink" Target="https://www.tiktok.com/@erhen02" TargetMode="External"/><Relationship Id="rId10426" Type="http://schemas.openxmlformats.org/officeDocument/2006/relationships/hyperlink" Target="https://www.tiktok.com/@mama_cantik99" TargetMode="External"/><Relationship Id="rId2051" Type="http://schemas.openxmlformats.org/officeDocument/2006/relationships/hyperlink" Target="https://vt.tiktok.com/ZS9JrvMtG/" TargetMode="External"/><Relationship Id="rId3381" Type="http://schemas.openxmlformats.org/officeDocument/2006/relationships/hyperlink" Target="https://www.tiktok.com/@belanja_hemat.shop/video/7636811531744840978?_r=1&amp;u_code=ek6h2252jijmih&amp;region=&amp;mid=7621812179385256711&amp;preview_pb=0&amp;sharer_language=&amp;_d=0&amp;ec_shared_reflux_dynamic_params=%7B%22placeholder_material_id%22%3A%227636811531744840978%22%2C%22placeholder_origin_cover%22%3A%22https%253A%252F%252Fp16-common-sign.tiktokcdn.com%252Ftos-alisg-p-0037%252Fo0e9DfkKIEXoI6ZfWCTAFCr7IrjsAVlbzDZlG6~tplv-tiktokx-origin.jpeg%253Fdr%253D14572%2526refresh_token%253D724a65a3%2526x-expires%253D1810195200%2526x-signature%253DRXOPR2zpsCFMB4sgbfOCY8Ihjmc%25253D%2526t%253D4d5b0474%2526ps%253D13740610%2526shp%253Dd05b14bd%2526shcp%253D34ff8df6%2526idc%253Dmy2%2526s%253DTIKTOK_AFFILIATE_VIRAL_VIDEO%22%2C%22placeholder_product_id%22%3A%221729427766722726591%22%2C%22placeholder_video_id%22%3A%227636811531744840978%22%7D&amp;ec_shared_reflux_scene=shop_tab_feed&amp;share_item_id=7636811531744840978&amp;source=h5_t" TargetMode="External"/><Relationship Id="rId10427" Type="http://schemas.openxmlformats.org/officeDocument/2006/relationships/hyperlink" Target="https://www.tiktok.com/@beautifulgirl_2121" TargetMode="External"/><Relationship Id="rId2052" Type="http://schemas.openxmlformats.org/officeDocument/2006/relationships/hyperlink" Target="https://vt.tiktok.com/ZS9JrsGDk/" TargetMode="External"/><Relationship Id="rId3384" Type="http://schemas.openxmlformats.org/officeDocument/2006/relationships/hyperlink" Target="https://vt.tiktok.com/ZSxSxwAcF/" TargetMode="External"/><Relationship Id="rId2053" Type="http://schemas.openxmlformats.org/officeDocument/2006/relationships/hyperlink" Target="https://vt.tiktok.com/ZS9Jrv4GA/" TargetMode="External"/><Relationship Id="rId3383" Type="http://schemas.openxmlformats.org/officeDocument/2006/relationships/hyperlink" Target="https://vt.tiktok.com/ZSxAaHNVN/" TargetMode="External"/><Relationship Id="rId2054" Type="http://schemas.openxmlformats.org/officeDocument/2006/relationships/hyperlink" Target="https://www.tiktok.com/@mimihgemoy1" TargetMode="External"/><Relationship Id="rId3386" Type="http://schemas.openxmlformats.org/officeDocument/2006/relationships/hyperlink" Target="https://vt.tiktok.com/ZSxSxw8wY/" TargetMode="External"/><Relationship Id="rId2055" Type="http://schemas.openxmlformats.org/officeDocument/2006/relationships/hyperlink" Target="https://vt.tiktok.com/ZSHMQwQQt/" TargetMode="External"/><Relationship Id="rId3385" Type="http://schemas.openxmlformats.org/officeDocument/2006/relationships/hyperlink" Target="https://vt.tiktok.com/ZSxAaBo7k/" TargetMode="External"/><Relationship Id="rId2056" Type="http://schemas.openxmlformats.org/officeDocument/2006/relationships/hyperlink" Target="https://vt.tiktok.com/ZSHy81Y5J/" TargetMode="External"/><Relationship Id="rId3388" Type="http://schemas.openxmlformats.org/officeDocument/2006/relationships/hyperlink" Target="https://www.tiktok.com/@byliyah/video/7632586338457406738?_r=1&amp;u_code=dj0c9igeb6ei5f&amp;region=&amp;mid=7614441852116290311&amp;preview_pb=0&amp;sharer_language=&amp;_d=0&amp;ec_shared_reflux_dynamic_params=%7B%22placeholder_material_id%22%3A%227632586338457406738%22%2C%22placeholder_origin_cover%22%3A%22https%253A%252F%252Fp16-common-sign.tiktokcdn.com%252Ftos-alisg-p-0037%252FocQ1BentGDbTL1fI9sIZMgIN2C4IeuSAG6jobA~tplv-tiktokx-origin.jpeg%253Fdr%253D14572%2526refresh_token%253D4ef7744e%2526x-expires%253D1810119600%2526x-signature%253DKf0MpZqhHAL%25252BhON%25252FfEU7W%25252FrI8kU%25253D%2526t%253D4d5b0474%2526ps%253D13740610%2526shp%253Dd05b14bd%2526shcp%253D34ff8df6%2526idc%253Dmy2%2526s%253DTIKTOK_AFFILIATE_VIRAL_VIDEO%22%2C%22placeholder_product_id%22%3A%221729427766722726591%22%2C%22placeholder_video_id%22%3A%227632586338457406738%22%7D&amp;ec_shared_reflux_scene=shop_tab_feed&amp;share_item_id=7632586338457406738&amp;source=h5_t" TargetMode="External"/><Relationship Id="rId10420" Type="http://schemas.openxmlformats.org/officeDocument/2006/relationships/hyperlink" Target="https://www.tiktok.com/@fadilaaamp_" TargetMode="External"/><Relationship Id="rId2057" Type="http://schemas.openxmlformats.org/officeDocument/2006/relationships/hyperlink" Target="https://vt.tiktok.com/ZS9cyJKb8/" TargetMode="External"/><Relationship Id="rId3387" Type="http://schemas.openxmlformats.org/officeDocument/2006/relationships/hyperlink" Target="https://www.tiktok.com/@indahpuspita0101" TargetMode="External"/><Relationship Id="rId10421" Type="http://schemas.openxmlformats.org/officeDocument/2006/relationships/hyperlink" Target="https://www.tiktok.com/@nunungnurhayatii_1" TargetMode="External"/><Relationship Id="rId2058" Type="http://schemas.openxmlformats.org/officeDocument/2006/relationships/hyperlink" Target="https://www.tiktok.com/@sahabatcantik_id" TargetMode="External"/><Relationship Id="rId2059" Type="http://schemas.openxmlformats.org/officeDocument/2006/relationships/hyperlink" Target="https://vt.tiktok.com/ZS9JrgoNM/" TargetMode="External"/><Relationship Id="rId3389" Type="http://schemas.openxmlformats.org/officeDocument/2006/relationships/hyperlink" Target="https://www.tiktok.com/@rositaramdani7/video/7635255728080440583?_r=1&amp;u_code=f1489jb4bi84e9&amp;region=&amp;mid=7630089414953306898&amp;preview_pb=0&amp;sharer_language=&amp;_d=0&amp;ec_shared_reflux_dynamic_params=%7B%22placeholder_material_id%22%3A%227635255728080440583%22%2C%22placeholder_origin_cover%22%3A%22https%253A%252F%252Fp16-common-sign.tiktokcdn.com%252Ftos-alisg-p-0037%252Fo41cwfBCaI0LijAgauvAIDVCKyFi4XCpAiAccI~tplv-tiktokx-origin.jpeg%253Fdr%253D14572%2526refresh_token%253Dbd284436%2526x-expires%253D1810195200%2526x-signature%253D83TOOxKScyqJu%25252FlHk1VRrMg7JYo%25253D%2526t%253D4d5b0474%2526ps%253D13740610%2526shp%253Dd05b14bd%2526shcp%253D34ff8df6%2526idc%253Dmy2%2526s%253DTIKTOK_AFFILIATE_VIRAL_VIDEO%22%2C%22placeholder_product_id%22%3A%221729427766722726591%22%2C%22placeholder_video_id%22%3A%227635255728080440583%22%7D&amp;ec_shared_reflux_scene=shop_tab_feed&amp;share_item_id=7635255728080440583&amp;source=h5_t" TargetMode="External"/><Relationship Id="rId2080" Type="http://schemas.openxmlformats.org/officeDocument/2006/relationships/hyperlink" Target="https://vt.tiktok.com/ZSxSxWFGY/" TargetMode="External"/><Relationship Id="rId2081" Type="http://schemas.openxmlformats.org/officeDocument/2006/relationships/hyperlink" Target="https://www.tiktok.com/@nikitakimberlyh" TargetMode="External"/><Relationship Id="rId2082" Type="http://schemas.openxmlformats.org/officeDocument/2006/relationships/hyperlink" Target="https://www.tiktok.com/@snowme.shop/video/7629143314532453653?_r=1&amp;u_code=dal30337ieiagk&amp;region=&amp;mid=7534219482588302086&amp;preview_pb=0&amp;sharer_language=&amp;_d=0&amp;ec_shared_reflux_dynamic_params=%7B%22placeholder_material_id%22%3A%227629143314532453653%22%2C%22placeholder_origin_cover%22%3A%22https%253A%252F%252Fp16-common-sign.tiktokcdn.com%252Ftos-alisg-p-0037%252FoYIlg0NC9ABPcwIGxiIAHiiASKBnU8B3pfMtXu~tplv-tiktokx-origin.jpeg%253Fdr%253D14572%2526refresh_token%253D75c3e23a%2526x-expires%253D1808301600%2526x-signature%253DaUzdfoRSQ3UzKfUqXZioU7Vk2mg%25253D%2526t%253D4d5b0474%2526ps%253D13740610%2526shp%253Dd05b14bd%2526shcp%253D34ff8df6%2526idc%253Dmy3%2526s%253DTIKTOK_AFFILIATE_VIRAL_VIDEO%22%2C%22placeholder_product_id%22%3A%221729427766722726591%22%2C%22placeholder_video_id%22%3A%227629143314532453653%22%7D&amp;ec_shared_reflux_scene=shop_tab_feed&amp;share_item_id=7629143314532453653&amp;source=h5_t" TargetMode="External"/><Relationship Id="rId2083" Type="http://schemas.openxmlformats.org/officeDocument/2006/relationships/hyperlink" Target="https://www.tiktok.com/@snowme.shop/video/7629142041108303125?_r=1&amp;u_code=dal30337ieiagk&amp;region=&amp;mid=7522454204213168918&amp;preview_pb=0&amp;sharer_language=&amp;_d=0&amp;ec_shared_reflux_dynamic_params=%7B%22placeholder_material_id%22%3A%227629142041108303125%22%2C%22placeholder_origin_cover%22%3A%22https%253A%252F%252Fp16-common-sign.tiktokcdn.com%252Ftos-alisg-p-0037%252FoI85K0U3fAAyAJBdCFUgQ2IwDiIDB8W9XuiIAN~tplv-tiktokx-origin.jpeg%253Fdr%253D14572%2526refresh_token%253D464e7530%2526x-expires%253D1808301600%2526x-signature%253D0M5gJTISReBiaO4mjJ5wINxxxgI%25253D%2526t%253D4d5b0474%2526ps%253D13740610%2526shp%253Dd05b14bd%2526shcp%253D34ff8df6%2526idc%253Dmy3%2526s%253DTIKTOK_AFFILIATE_VIRAL_VIDEO%22%2C%22placeholder_product_id%22%3A%221729427766722726591%22%2C%22placeholder_video_id%22%3A%227629142041108303125%22%7D&amp;ec_shared_reflux_scene=shop_tab_feed&amp;share_item_id=7629142041108303125&amp;source=h5_t" TargetMode="External"/><Relationship Id="rId2084" Type="http://schemas.openxmlformats.org/officeDocument/2006/relationships/hyperlink" Target="https://www.tiktok.com/@snowme.shop/video/7628597499955072277?_r=1&amp;u_code=dal30337ieiagk&amp;region=&amp;mid=7527152043925375760&amp;preview_pb=0&amp;sharer_language=&amp;_d=0&amp;ec_shared_reflux_dynamic_params=%7B%22placeholder_material_id%22%3A%227628597499955072277%22%2C%22placeholder_origin_cover%22%3A%22https%253A%252F%252Fp16-common-sign.tiktokcdn.com%252Ftos-alisg-p-0037%252FoEQQepUE9BjCsgRAlkQAOFEBjODKQ3Bvjf0vQc~tplv-tiktokx-origin.jpeg%253Fdr%253D14572%2526refresh_token%253Df8b0a810%2526x-expires%253D1808301600%2526x-signature%253Dm7SLArbTSLMt3YXyzpQcdwq8h7U%25253D%2526t%253D4d5b0474%2526ps%253D13740610%2526shp%253Dd05b14bd%2526shcp%253D34ff8df6%2526idc%253Dmy3%2526s%253DTIKTOK_AFFILIATE_VIRAL_VIDEO%22%2C%22placeholder_product_id%22%3A%221729427766722726591%22%2C%22placeholder_video_id%22%3A%227628597499955072277%22%7D&amp;ec_shared_reflux_scene=shop_tab_feed&amp;share_item_id=7628597499955072277&amp;source=h5_t" TargetMode="External"/><Relationship Id="rId2085" Type="http://schemas.openxmlformats.org/officeDocument/2006/relationships/hyperlink" Target="https://www.tiktok.com/@snowme.shop/video/7628552434100636948?_r=1&amp;u_code=dal30337ieiagk&amp;region=&amp;mid=7493528484888365879&amp;preview_pb=0&amp;sharer_language=&amp;_d=0&amp;ec_shared_reflux_dynamic_params=%7B%22placeholder_material_id%22%3A%227628552434100636948%22%2C%22placeholder_origin_cover%22%3A%22https%253A%252F%252Fp16-common-sign.tiktokcdn.com%252Ftos-alisg-p-0037%252FoUWNGIAHQXOBfKiAQLeHpgLTgeIBEMeD9dA7ex~tplv-tiktokx-origin.jpeg%253Fdr%253D14572%2526refresh_token%253Dc623ce43%2526x-expires%253D1808301600%2526x-signature%253Day0SSdQJkYKfAmxarAMDUbrjApE%25253D%2526t%253D4d5b0474%2526ps%253D13740610%2526shp%253Dd05b14bd%2526shcp%253D34ff8df6%2526idc%253Dmy3%2526s%253DTIKTOK_AFFILIATE_VIRAL_VIDEO%22%2C%22placeholder_product_id%22%3A%221729427766722726591%22%2C%22placeholder_video_id%22%3A%227628552434100636948%22%7D&amp;ec_shared_reflux_scene=shop_tab_feed&amp;share_item_id=7628552434100636948&amp;source=h5_t" TargetMode="External"/><Relationship Id="rId2086" Type="http://schemas.openxmlformats.org/officeDocument/2006/relationships/hyperlink" Target="https://www.tiktok.com/@lagistasenja17" TargetMode="External"/><Relationship Id="rId2087" Type="http://schemas.openxmlformats.org/officeDocument/2006/relationships/hyperlink" Target="https://www.tiktok.com/@snowme.shop/video/7628065885810461973?_r=1&amp;u_code=dal30337ieiagk&amp;region=&amp;mid=7563551483690601217&amp;preview_pb=0&amp;sharer_language=&amp;_d=0&amp;ec_shared_reflux_dynamic_params=%7B%22placeholder_material_id%22%3A%227628065885810461973%22%2C%22placeholder_origin_cover%22%3A%22https%253A%252F%252Fp16-common-sign.tiktokcdn.com%252Ftos-alisg-p-0037%252FoUlIy7iH3mhREcuZCyq8VkwIBfAKiAA5QAi0iI~tplv-tiktokx-origin.jpeg%253Fdr%253D14572%2526refresh_token%253D3dad9595%2526x-expires%253D1808301600%2526x-signature%253D5Yoc5h17SFjvIYb%25252B5uw0Rievcy0%25253D%2526t%253D4d5b0474%2526ps%253D13740610%2526shp%253Dd05b14bd%2526shcp%253D34ff8df6%2526idc%253Dmy3%2526s%253DTIKTOK_AFFILIATE_VIRAL_VIDEO%22%2C%22placeholder_product_id%22%3A%221729427766722726591%22%2C%22placeholder_video_id%22%3A%227628065885810461973%22%7D&amp;ec_shared_reflux_scene=shop_tab_feed&amp;share_item_id=7628065885810461973&amp;source=h5_t" TargetMode="External"/><Relationship Id="rId2088" Type="http://schemas.openxmlformats.org/officeDocument/2006/relationships/hyperlink" Target="https://vt.tiktok.com/ZS9tCUpft/" TargetMode="External"/><Relationship Id="rId2089" Type="http://schemas.openxmlformats.org/officeDocument/2006/relationships/hyperlink" Target="https://vt.tiktok.com/ZS9tCfEhe/" TargetMode="External"/><Relationship Id="rId10408" Type="http://schemas.openxmlformats.org/officeDocument/2006/relationships/hyperlink" Target="https://www.tiktok.com/@stephani.ks" TargetMode="External"/><Relationship Id="rId10409" Type="http://schemas.openxmlformats.org/officeDocument/2006/relationships/hyperlink" Target="https://www.tiktok.com/@siifarain" TargetMode="External"/><Relationship Id="rId10402" Type="http://schemas.openxmlformats.org/officeDocument/2006/relationships/hyperlink" Target="https://www.tiktok.com/@chaloav_08" TargetMode="External"/><Relationship Id="rId10403" Type="http://schemas.openxmlformats.org/officeDocument/2006/relationships/hyperlink" Target="https://www.tiktok.com/@peoplecallmeciipa" TargetMode="External"/><Relationship Id="rId10400" Type="http://schemas.openxmlformats.org/officeDocument/2006/relationships/hyperlink" Target="https://www.tiktok.com/@heyyraaaaa" TargetMode="External"/><Relationship Id="rId10401" Type="http://schemas.openxmlformats.org/officeDocument/2006/relationships/hyperlink" Target="https://www.tiktok.com/@nnv427" TargetMode="External"/><Relationship Id="rId2070" Type="http://schemas.openxmlformats.org/officeDocument/2006/relationships/hyperlink" Target="https://www.tiktok.com/@snowme.shop/video/7630125936368864532?_r=1&amp;u_code=dal30337ieiagk&amp;region=&amp;mid=7251560934655887361&amp;preview_pb=0&amp;sharer_language=&amp;_d=0&amp;ec_shared_reflux_dynamic_params=%7B%22placeholder_material_id%22%3A%227630125936368864532%22%2C%22placeholder_origin_cover%22%3A%22https%253A%252F%252Fp16-common-sign.tiktokcdn.com%252Ftos-alisg-p-0037%252Fok22CfphDDjTFesIejEp0QQyxC4QCYjA1dj12A~tplv-tiktokx-origin.jpeg%253Fdr%253D14572%2526refresh_token%253D0e32ba57%2526x-expires%253D1808301600%2526x-signature%253DhBzux3%25252BBASrwmblFzMZcbsTIf38%25253D%2526t%253D4d5b0474%2526ps%253D13740610%2526shp%253Dd05b14bd%2526shcp%253D34ff8df6%2526idc%253Dmy3%2526s%253DTIKTOK_AFFILIATE_VIRAL_VIDEO%22%2C%22placeholder_product_id%22%3A%221729427766722726591%22%2C%22placeholder_video_id%22%3A%227630125936368864532%22%7D&amp;ec_shared_reflux_scene=shop_tab_feed&amp;share_item_id=7630125936368864532&amp;source=h5_t" TargetMode="External"/><Relationship Id="rId10406" Type="http://schemas.openxmlformats.org/officeDocument/2006/relationships/hyperlink" Target="https://www.tiktok.com/@needta3" TargetMode="External"/><Relationship Id="rId2071" Type="http://schemas.openxmlformats.org/officeDocument/2006/relationships/hyperlink" Target="https://www.tiktok.com/@snowme.shop/video/7629990550870986004?_r=1&amp;u_code=dal30337ieiagk&amp;region=&amp;mid=7623981356443306753&amp;preview_pb=0&amp;sharer_language=&amp;_d=0&amp;ec_shared_reflux_dynamic_params=%7B%22placeholder_material_id%22%3A%227629990550870986004%22%2C%22placeholder_origin_cover%22%3A%22https%253A%252F%252Fp16-sign-sg.tiktokcdn.com%252Ftos-alisg-p-0037%252FoQSjh1XiQoIUBIMI7Ai0ALjBwruQTAbAfZ8CV2~tplv-tiktokx-origin.jpeg%253Fdr%253D14572%2526refresh_token%253D1cdd386c%2526x-expires%253D1808301600%2526x-signature%253DNSmthOu0YtjuFjvFueU3%25252B55DLgA%25253D%2526t%253D4d5b0474%2526ps%253D13740610%2526shp%253Dd05b14bd%2526shcp%253D34ff8df6%2526idc%253Dmy3%2526s%253DTIKTOK_AFFILIATE_VIRAL_VIDEO%22%2C%22placeholder_product_id%22%3A%221729427766722726591%22%2C%22placeholder_video_id%22%3A%227629990550870986004%22%7D&amp;ec_shared_reflux_scene=shop_tab_feed&amp;share_item_id=7629990550870986004&amp;source=h5_t" TargetMode="External"/><Relationship Id="rId10407" Type="http://schemas.openxmlformats.org/officeDocument/2006/relationships/hyperlink" Target="https://www.tiktok.com/@glowlahhh" TargetMode="External"/><Relationship Id="rId2072" Type="http://schemas.openxmlformats.org/officeDocument/2006/relationships/hyperlink" Target="https://www.tiktok.com/@snowme.shop/video/7629933172213517589?_r=1&amp;u_code=dal30337ieiagk&amp;region=&amp;mid=7556779493556063032&amp;preview_pb=0&amp;sharer_language=&amp;_d=0&amp;ec_shared_reflux_dynamic_params=%7B%22placeholder_material_id%22%3A%227629933172213517589%22%2C%22placeholder_origin_cover%22%3A%22https%253A%252F%252Fp16-common-sign.tiktokcdn.com%252Ftos-alisg-p-0037%252FosKlRYiEGwUfufPf9ABeVIyiIAmnFzDY0H9GFF~tplv-tiktokx-origin.jpeg%253Fdr%253D14572%2526refresh_token%253D924f66cf%2526x-expires%253D1808301600%2526x-signature%253DMK1GRFIGT%25252BbqaI3X61XKArXnj5M%25253D%2526t%253D4d5b0474%2526ps%253D13740610%2526shp%253Dd05b14bd%2526shcp%253D34ff8df6%2526idc%253Dmy3%2526s%253DTIKTOK_AFFILIATE_VIRAL_VIDEO%22%2C%22placeholder_product_id%22%3A%221729427766722726591%22%2C%22placeholder_video_id%22%3A%227629933172213517589%22%7D&amp;ec_shared_reflux_scene=shop_tab_feed&amp;share_item_id=7629933172213517589&amp;source=h5_t" TargetMode="External"/><Relationship Id="rId10404" Type="http://schemas.openxmlformats.org/officeDocument/2006/relationships/hyperlink" Target="https://www.tiktok.com/@spillbyraa" TargetMode="External"/><Relationship Id="rId2073" Type="http://schemas.openxmlformats.org/officeDocument/2006/relationships/hyperlink" Target="https://www.tiktok.com/@zombiemanboxing" TargetMode="External"/><Relationship Id="rId10405" Type="http://schemas.openxmlformats.org/officeDocument/2006/relationships/hyperlink" Target="https://www.tiktok.com/@hiselsr" TargetMode="External"/><Relationship Id="rId2074" Type="http://schemas.openxmlformats.org/officeDocument/2006/relationships/hyperlink" Target="https://www.tiktok.com/@snowme.shop/video/7629676981843430677?_r=1&amp;u_code=dal30337ieiagk&amp;region=&amp;mid=7587701744642706193&amp;preview_pb=0&amp;sharer_language=&amp;_d=0&amp;ec_shared_reflux_dynamic_params=%7B%22placeholder_material_id%22%3A%227629676981843430677%22%2C%22placeholder_origin_cover%22%3A%22https%253A%252F%252Fp16-common-sign.tiktokcdn.com%252Ftos-alisg-p-0037%252FoYDeiFXEEIrIgk4tgif6hVnARcFRpDc2BBMtBc~tplv-tiktokx-origin.jpeg%253Fdr%253D14572%2526refresh_token%253D46fdf889%2526x-expires%253D1808301600%2526x-signature%253DVwQFoQyocrRoNctxNRhXPwlNQ0I%25253D%2526t%253D4d5b0474%2526ps%253D13740610%2526shp%253Dd05b14bd%2526shcp%253D34ff8df6%2526idc%253Dmy3%2526s%253DTIKTOK_AFFILIATE_VIRAL_VIDEO%22%2C%22placeholder_product_id%22%3A%221729427766722726591%22%2C%22placeholder_video_id%22%3A%227629676981843430677%22%7D&amp;ec_shared_reflux_scene=shop_tab_feed&amp;share_item_id=7629676981843430677&amp;source=h5_t" TargetMode="External"/><Relationship Id="rId2075" Type="http://schemas.openxmlformats.org/officeDocument/2006/relationships/hyperlink" Target="https://www.tiktok.com/@snowme.shop/video/7629622141033401620?_r=1&amp;u_code=dal30337ieiagk&amp;region=&amp;mid=7624962261542603527&amp;preview_pb=0&amp;sharer_language=&amp;_d=0&amp;ec_shared_reflux_dynamic_params=%7B%22placeholder_material_id%22%3A%227629622141033401620%22%2C%22placeholder_origin_cover%22%3A%22https%253A%252F%252Fp16-common-sign.tiktokcdn.com%252Ftos-alisg-p-0037%252FoQcw9APSueIBX3IjC5wJIyii4JMyp0hPByAHAJ~tplv-tiktokx-origin.jpeg%253Fdr%253D14572%2526refresh_token%253Dca19fcac%2526x-expires%253D1808301600%2526x-signature%253DzLed4F27lrHaZj0AV%25252BHHM6Y2l24%25253D%2526t%253D4d5b0474%2526ps%253D13740610%2526shp%253Dd05b14bd%2526shcp%253D34ff8df6%2526idc%253Dmy3%2526s%253DTIKTOK_AFFILIATE_VIRAL_VIDEO%22%2C%22placeholder_product_id%22%3A%221729427766722726591%22%2C%22placeholder_video_id%22%3A%227629622141033401620%22%7D&amp;ec_shared_reflux_scene=shop_tab_feed&amp;share_item_id=7629622141033401620&amp;source=h5_t" TargetMode="External"/><Relationship Id="rId2076" Type="http://schemas.openxmlformats.org/officeDocument/2006/relationships/hyperlink" Target="https://www.tiktok.com/@snowme.shop/video/7629345067894918420?_r=1&amp;u_code=dal30337ieiagk&amp;region=&amp;mid=7625116600089266952&amp;preview_pb=0&amp;sharer_language=&amp;_d=0&amp;ec_shared_reflux_dynamic_params=%7B%22placeholder_material_id%22%3A%227629345067894918420%22%2C%22placeholder_origin_cover%22%3A%22https%253A%252F%252Fp16-common-sign.tiktokcdn.com%252Ftos-alisg-p-0037%252FoAfDQcEDm5fBbzSC4pOgEsiQPsFhMRA4cbBPxg~tplv-tiktokx-origin.jpeg%253Fdr%253D14572%2526refresh_token%253Deb6ca669%2526x-expires%253D1808301600%2526x-signature%253DyOsnaY2f85mvRyLw4wYeVXUvYCc%25253D%2526t%253D4d5b0474%2526ps%253D13740610%2526shp%253Dd05b14bd%2526shcp%253D34ff8df6%2526idc%253Dmy3%2526s%253DTIKTOK_AFFILIATE_VIRAL_VIDEO%22%2C%22placeholder_product_id%22%3A%221729427766722726591%22%2C%22placeholder_video_id%22%3A%227629345067894918420%22%7D&amp;ec_shared_reflux_scene=shop_tab_feed&amp;share_item_id=7629345067894918420&amp;source=h5_t" TargetMode="External"/><Relationship Id="rId2077" Type="http://schemas.openxmlformats.org/officeDocument/2006/relationships/hyperlink" Target="https://www.tiktok.com/@snowme.shop/video/7627461429003603220?_r=1&amp;u_code=dal30337ieiagk&amp;region=&amp;mid=6572215486551952130&amp;preview_pb=0&amp;sharer_language=&amp;_d=0&amp;ec_shared_reflux_dynamic_params=%7B%22placeholder_material_id%22%3A%227627461429003603220%22%2C%22placeholder_origin_cover%22%3A%22https%253A%252F%252Fp19-common-sign.tiktokcdn.com%252Ftos-alisg-p-0037%252Fo4FTCaZfIh8LK3LA7AnQtijpj9oUGDAeIeoQx4~tplv-tiktokx-origin.jpeg%253Fdr%253D14572%2526refresh_token%253Dfe18dad6%2526x-expires%253D1808301600%2526x-signature%253DNEn7%25252FLGdCGjl5MVTkLBJMJ%25252FuVY4%25253D%2526t%253D4d5b0474%2526ps%253D13740610%2526shp%253Dd05b14bd%2526shcp%253D34ff8df6%2526idc%253Dmy3%2526s%253DTIKTOK_AFFILIATE_VIRAL_VIDEO%22%2C%22placeholder_product_id%22%3A%221729427766722726591%22%2C%22placeholder_video_id%22%3A%227627461429003603220%22%7D&amp;ec_shared_reflux_scene=shop_tab_feed&amp;share_item_id=7627461429003603220&amp;source=h5_t" TargetMode="External"/><Relationship Id="rId2078" Type="http://schemas.openxmlformats.org/officeDocument/2006/relationships/hyperlink" Target="https://www.tiktok.com/@itzzzjayy2" TargetMode="External"/><Relationship Id="rId2079" Type="http://schemas.openxmlformats.org/officeDocument/2006/relationships/hyperlink" Target="https://www.tiktok.com/@snowme.shop/video/7629259814828330260?_r=1&amp;u_code=dal30337ieiagk&amp;region=&amp;mid=7624394480175287047&amp;preview_pb=0&amp;sharer_language=&amp;_d=0&amp;ec_shared_reflux_dynamic_params=%7B%22placeholder_material_id%22%3A%227629259814828330260%22%2C%22placeholder_origin_cover%22%3A%22https%253A%252F%252Fp16-common-sign.tiktokcdn.com%252Ftos-alisg-p-0037%252FoEBxg2fmB2DE0iVCRg1AAuuZi8IAkIIwIOTAz8~tplv-tiktokx-origin.jpeg%253Fdr%253D14572%2526refresh_token%253D9e8d5494%2526x-expires%253D1808301600%2526x-signature%253Dgxj7HfnECCm7mXpNZmtgepYLxfY%25253D%2526t%253D4d5b0474%2526ps%253D13740610%2526shp%253Dd05b14bd%2526shcp%253D34ff8df6%2526idc%253Dmy3%2526s%253DTIKTOK_AFFILIATE_VIRAL_VIDEO%22%2C%22placeholder_product_id%22%3A%221729427766722726591%22%2C%22placeholder_video_id%22%3A%227629259814828330260%22%7D&amp;ec_shared_reflux_scene=shop_tab_feed&amp;share_item_id=7629259814828330260&amp;source=h5_t" TargetMode="External"/><Relationship Id="rId8240" Type="http://schemas.openxmlformats.org/officeDocument/2006/relationships/hyperlink" Target="https://www.tiktok.com/@siiusiiii" TargetMode="External"/><Relationship Id="rId9572" Type="http://schemas.openxmlformats.org/officeDocument/2006/relationships/hyperlink" Target="https://vt.tiktok.com/ZSxHPkKLV/" TargetMode="External"/><Relationship Id="rId9573" Type="http://schemas.openxmlformats.org/officeDocument/2006/relationships/hyperlink" Target="https://www.tiktok.com/@Bayuadi417" TargetMode="External"/><Relationship Id="rId9574" Type="http://schemas.openxmlformats.org/officeDocument/2006/relationships/hyperlink" Target="https://vt.tiktok.com/ZSxvVGVnR/" TargetMode="External"/><Relationship Id="rId9575" Type="http://schemas.openxmlformats.org/officeDocument/2006/relationships/hyperlink" Target="https://vt.tiktok.com/ZSxT38wFT/" TargetMode="External"/><Relationship Id="rId8244" Type="http://schemas.openxmlformats.org/officeDocument/2006/relationships/hyperlink" Target="https://vt.tiktok.com/ZS959tdWy/" TargetMode="External"/><Relationship Id="rId8243" Type="http://schemas.openxmlformats.org/officeDocument/2006/relationships/hyperlink" Target="https://vt.tiktok.com/ZS9DPPrEn/" TargetMode="External"/><Relationship Id="rId8242" Type="http://schemas.openxmlformats.org/officeDocument/2006/relationships/hyperlink" Target="https://vt.tiktok.com/ZS9DP9gUq/" TargetMode="External"/><Relationship Id="rId9570" Type="http://schemas.openxmlformats.org/officeDocument/2006/relationships/hyperlink" Target="https://vt.tiktok.com/ZSxHPraQr/" TargetMode="External"/><Relationship Id="rId8241" Type="http://schemas.openxmlformats.org/officeDocument/2006/relationships/hyperlink" Target="https://vt.tiktok.com/ZS9DP2wff/" TargetMode="External"/><Relationship Id="rId9571" Type="http://schemas.openxmlformats.org/officeDocument/2006/relationships/hyperlink" Target="https://vt.tiktok.com/ZSxHPraQr/" TargetMode="External"/><Relationship Id="rId8248" Type="http://schemas.openxmlformats.org/officeDocument/2006/relationships/hyperlink" Target="https://vt.tiktok.com/ZS9DP67g8/" TargetMode="External"/><Relationship Id="rId8247" Type="http://schemas.openxmlformats.org/officeDocument/2006/relationships/hyperlink" Target="https://vt.tiktok.com/ZS9DPDvFU/" TargetMode="External"/><Relationship Id="rId8246" Type="http://schemas.openxmlformats.org/officeDocument/2006/relationships/hyperlink" Target="https://vt.tiktok.com/ZS9DPUo5R/" TargetMode="External"/><Relationship Id="rId8245" Type="http://schemas.openxmlformats.org/officeDocument/2006/relationships/hyperlink" Target="https://www.tiktok.com/@nadillala24" TargetMode="External"/><Relationship Id="rId9576" Type="http://schemas.openxmlformats.org/officeDocument/2006/relationships/hyperlink" Target="https://vt.tiktok.com/ZSxHPrmtV/" TargetMode="External"/><Relationship Id="rId9577" Type="http://schemas.openxmlformats.org/officeDocument/2006/relationships/hyperlink" Target="https://www.tiktok.com/@mamarahma1111/video/7639741745919511826" TargetMode="External"/><Relationship Id="rId9578" Type="http://schemas.openxmlformats.org/officeDocument/2006/relationships/hyperlink" Target="https://www.tiktok.com/@Msna92" TargetMode="External"/><Relationship Id="rId8249" Type="http://schemas.openxmlformats.org/officeDocument/2006/relationships/hyperlink" Target="https://vt.tiktok.com/ZS9DPmU5N/" TargetMode="External"/><Relationship Id="rId9579" Type="http://schemas.openxmlformats.org/officeDocument/2006/relationships/hyperlink" Target="https://www.tiktok.com/@mamarahma1111/video/7639992205381209351" TargetMode="External"/><Relationship Id="rId9561" Type="http://schemas.openxmlformats.org/officeDocument/2006/relationships/hyperlink" Target="https://vt.tiktok.com/ZSxHPD1w4/" TargetMode="External"/><Relationship Id="rId9562" Type="http://schemas.openxmlformats.org/officeDocument/2006/relationships/hyperlink" Target="https://vt.tiktok.com/ZSxHPAxfd/" TargetMode="External"/><Relationship Id="rId9563" Type="http://schemas.openxmlformats.org/officeDocument/2006/relationships/hyperlink" Target="https://www.tiktok.com/@golekopondeng" TargetMode="External"/><Relationship Id="rId9564" Type="http://schemas.openxmlformats.org/officeDocument/2006/relationships/hyperlink" Target="https://vt.tiktok.com/ZSxHPM5TF/" TargetMode="External"/><Relationship Id="rId8233" Type="http://schemas.openxmlformats.org/officeDocument/2006/relationships/hyperlink" Target="https://vt.tiktok.com/ZSxyAAgvA/" TargetMode="External"/><Relationship Id="rId8232" Type="http://schemas.openxmlformats.org/officeDocument/2006/relationships/hyperlink" Target="https://www.tiktok.com/@anang3005" TargetMode="External"/><Relationship Id="rId8231" Type="http://schemas.openxmlformats.org/officeDocument/2006/relationships/hyperlink" Target="https://vt.tiktok.com/ZSxgHAC8x/" TargetMode="External"/><Relationship Id="rId8230" Type="http://schemas.openxmlformats.org/officeDocument/2006/relationships/hyperlink" Target="https://vt.tiktok.com/ZSxyAM14h/" TargetMode="External"/><Relationship Id="rId9560" Type="http://schemas.openxmlformats.org/officeDocument/2006/relationships/hyperlink" Target="https://vt.tiktok.com/ZSxHPD1w4/" TargetMode="External"/><Relationship Id="rId8237" Type="http://schemas.openxmlformats.org/officeDocument/2006/relationships/hyperlink" Target="https://vt.tiktok.com/ZS9DPDvFU/" TargetMode="External"/><Relationship Id="rId9569" Type="http://schemas.openxmlformats.org/officeDocument/2006/relationships/hyperlink" Target="https://vt.tiktok.com/ZSxHPkKLV/" TargetMode="External"/><Relationship Id="rId8236" Type="http://schemas.openxmlformats.org/officeDocument/2006/relationships/hyperlink" Target="https://vt.tiktok.com/ZS9DPUo5R/" TargetMode="External"/><Relationship Id="rId8235" Type="http://schemas.openxmlformats.org/officeDocument/2006/relationships/hyperlink" Target="https://www.tiktok.com/@denis_rafashaaa" TargetMode="External"/><Relationship Id="rId8234" Type="http://schemas.openxmlformats.org/officeDocument/2006/relationships/hyperlink" Target="https://vt.tiktok.com/ZSxyA5nwF/" TargetMode="External"/><Relationship Id="rId9565" Type="http://schemas.openxmlformats.org/officeDocument/2006/relationships/hyperlink" Target="https://vt.tiktok.com/ZSxHPRpH3/" TargetMode="External"/><Relationship Id="rId9566" Type="http://schemas.openxmlformats.org/officeDocument/2006/relationships/hyperlink" Target="https://vt.tiktok.com/ZSxHPRpH3/" TargetMode="External"/><Relationship Id="rId8239" Type="http://schemas.openxmlformats.org/officeDocument/2006/relationships/hyperlink" Target="https://vt.tiktok.com/ZS9DPmU5N/" TargetMode="External"/><Relationship Id="rId9567" Type="http://schemas.openxmlformats.org/officeDocument/2006/relationships/hyperlink" Target="https://vt.tiktok.com/ZSxHPM5TF/" TargetMode="External"/><Relationship Id="rId8238" Type="http://schemas.openxmlformats.org/officeDocument/2006/relationships/hyperlink" Target="https://vt.tiktok.com/ZS9DP67g8/" TargetMode="External"/><Relationship Id="rId9568" Type="http://schemas.openxmlformats.org/officeDocument/2006/relationships/hyperlink" Target="https://www.tiktok.com/@_onayys" TargetMode="External"/><Relationship Id="rId8262" Type="http://schemas.openxmlformats.org/officeDocument/2006/relationships/hyperlink" Target="https://vt.tiktok.com/ZS9DP9gUq/" TargetMode="External"/><Relationship Id="rId9594" Type="http://schemas.openxmlformats.org/officeDocument/2006/relationships/hyperlink" Target="https://www.tiktok.com/@cacacabcdxyz" TargetMode="External"/><Relationship Id="rId8261" Type="http://schemas.openxmlformats.org/officeDocument/2006/relationships/hyperlink" Target="https://vt.tiktok.com/ZS9DP2wff/" TargetMode="External"/><Relationship Id="rId9595" Type="http://schemas.openxmlformats.org/officeDocument/2006/relationships/hyperlink" Target="https://vt.tiktok.com/ZSx3KAtFc/" TargetMode="External"/><Relationship Id="rId8260" Type="http://schemas.openxmlformats.org/officeDocument/2006/relationships/hyperlink" Target="https://www.tiktok.com/@hi_aay" TargetMode="External"/><Relationship Id="rId9596" Type="http://schemas.openxmlformats.org/officeDocument/2006/relationships/hyperlink" Target="https://vt.tiktok.com/ZSx3KeaE6/" TargetMode="External"/><Relationship Id="rId9597" Type="http://schemas.openxmlformats.org/officeDocument/2006/relationships/hyperlink" Target="https://www.tiktok.com/@audiatunnuzul.11" TargetMode="External"/><Relationship Id="rId8266" Type="http://schemas.openxmlformats.org/officeDocument/2006/relationships/hyperlink" Target="https://vt.tiktok.com/ZS9DPUo5R/" TargetMode="External"/><Relationship Id="rId9590" Type="http://schemas.openxmlformats.org/officeDocument/2006/relationships/hyperlink" Target="https://vt.tiktok.com/ZSxHgjqtc/" TargetMode="External"/><Relationship Id="rId8265" Type="http://schemas.openxmlformats.org/officeDocument/2006/relationships/hyperlink" Target="https://www.tiktok.com/@atldrp" TargetMode="External"/><Relationship Id="rId9591" Type="http://schemas.openxmlformats.org/officeDocument/2006/relationships/hyperlink" Target="https://vt.tiktok.com/ZSxHgjqtc/" TargetMode="External"/><Relationship Id="rId8264" Type="http://schemas.openxmlformats.org/officeDocument/2006/relationships/hyperlink" Target="https://vt.tiktok.com/ZS959tdWy/" TargetMode="External"/><Relationship Id="rId9592" Type="http://schemas.openxmlformats.org/officeDocument/2006/relationships/hyperlink" Target="https://vt.tiktok.com/ZSxHbXWqE/" TargetMode="External"/><Relationship Id="rId8263" Type="http://schemas.openxmlformats.org/officeDocument/2006/relationships/hyperlink" Target="https://vt.tiktok.com/ZS9DPPrEn/" TargetMode="External"/><Relationship Id="rId9593" Type="http://schemas.openxmlformats.org/officeDocument/2006/relationships/hyperlink" Target="https://www.tiktok.com/@pipenyaaaa" TargetMode="External"/><Relationship Id="rId8269" Type="http://schemas.openxmlformats.org/officeDocument/2006/relationships/hyperlink" Target="https://vt.tiktok.com/ZS9DPmU5N/" TargetMode="External"/><Relationship Id="rId8268" Type="http://schemas.openxmlformats.org/officeDocument/2006/relationships/hyperlink" Target="https://vt.tiktok.com/ZS9DP67g8/" TargetMode="External"/><Relationship Id="rId8267" Type="http://schemas.openxmlformats.org/officeDocument/2006/relationships/hyperlink" Target="https://vt.tiktok.com/ZS9DPDvFU/" TargetMode="External"/><Relationship Id="rId9598" Type="http://schemas.openxmlformats.org/officeDocument/2006/relationships/hyperlink" Target="https://vt.tiktok.com/ZSxHN9txy/" TargetMode="External"/><Relationship Id="rId9599" Type="http://schemas.openxmlformats.org/officeDocument/2006/relationships/hyperlink" Target="https://vt.tiktok.com/ZSxHN9txy/" TargetMode="External"/><Relationship Id="rId8251" Type="http://schemas.openxmlformats.org/officeDocument/2006/relationships/hyperlink" Target="https://vt.tiktok.com/ZS9DP2wff/" TargetMode="External"/><Relationship Id="rId9583" Type="http://schemas.openxmlformats.org/officeDocument/2006/relationships/hyperlink" Target="https://www.tiktok.com/@Ayuumiana" TargetMode="External"/><Relationship Id="rId8250" Type="http://schemas.openxmlformats.org/officeDocument/2006/relationships/hyperlink" Target="https://www.tiktok.com/@firza.999" TargetMode="External"/><Relationship Id="rId9584" Type="http://schemas.openxmlformats.org/officeDocument/2006/relationships/hyperlink" Target="https://www.tiktok.com/@mamarahma1111/video/7640327698220403976" TargetMode="External"/><Relationship Id="rId9585" Type="http://schemas.openxmlformats.org/officeDocument/2006/relationships/hyperlink" Target="https://www.tiktok.com/@mamarahma1111/video/7640069632770034951" TargetMode="External"/><Relationship Id="rId9586" Type="http://schemas.openxmlformats.org/officeDocument/2006/relationships/hyperlink" Target="https://www.tiktok.com/@mamarahma1111/video/7640069632770034951" TargetMode="External"/><Relationship Id="rId8255" Type="http://schemas.openxmlformats.org/officeDocument/2006/relationships/hyperlink" Target="https://www.tiktok.com/@irfnrzki25" TargetMode="External"/><Relationship Id="rId8254" Type="http://schemas.openxmlformats.org/officeDocument/2006/relationships/hyperlink" Target="https://vt.tiktok.com/ZS959tdWy/" TargetMode="External"/><Relationship Id="rId9580" Type="http://schemas.openxmlformats.org/officeDocument/2006/relationships/hyperlink" Target="https://www.tiktok.com/@mamarahma1111/video/7639909488874523911" TargetMode="External"/><Relationship Id="rId8253" Type="http://schemas.openxmlformats.org/officeDocument/2006/relationships/hyperlink" Target="https://vt.tiktok.com/ZS9DPPrEn/" TargetMode="External"/><Relationship Id="rId9581" Type="http://schemas.openxmlformats.org/officeDocument/2006/relationships/hyperlink" Target="https://www.tiktok.com/@mamarahma1111/video/7639909488874523911" TargetMode="External"/><Relationship Id="rId8252" Type="http://schemas.openxmlformats.org/officeDocument/2006/relationships/hyperlink" Target="https://vt.tiktok.com/ZS9DP9gUq/" TargetMode="External"/><Relationship Id="rId9582" Type="http://schemas.openxmlformats.org/officeDocument/2006/relationships/hyperlink" Target="https://www.tiktok.com/@mamarahma1111/video/7639992205381209351" TargetMode="External"/><Relationship Id="rId8259" Type="http://schemas.openxmlformats.org/officeDocument/2006/relationships/hyperlink" Target="https://vt.tiktok.com/ZS9DPmU5N/" TargetMode="External"/><Relationship Id="rId8258" Type="http://schemas.openxmlformats.org/officeDocument/2006/relationships/hyperlink" Target="https://vt.tiktok.com/ZS9DP67g8/" TargetMode="External"/><Relationship Id="rId8257" Type="http://schemas.openxmlformats.org/officeDocument/2006/relationships/hyperlink" Target="https://vt.tiktok.com/ZS9DPDvFU/" TargetMode="External"/><Relationship Id="rId8256" Type="http://schemas.openxmlformats.org/officeDocument/2006/relationships/hyperlink" Target="https://vt.tiktok.com/ZS9DPUo5R/" TargetMode="External"/><Relationship Id="rId9587" Type="http://schemas.openxmlformats.org/officeDocument/2006/relationships/hyperlink" Target="https://www.tiktok.com/@mamarahma1111/video/7640327698220403976" TargetMode="External"/><Relationship Id="rId9588" Type="http://schemas.openxmlformats.org/officeDocument/2006/relationships/hyperlink" Target="https://www.tiktok.com/@cindihariyanti18" TargetMode="External"/><Relationship Id="rId9589" Type="http://schemas.openxmlformats.org/officeDocument/2006/relationships/hyperlink" Target="https://vt.tiktok.com/ZSxHbXWqE/" TargetMode="External"/><Relationship Id="rId8209" Type="http://schemas.openxmlformats.org/officeDocument/2006/relationships/hyperlink" Target="https://vt.tiktok.com/ZSxxj4Ksu/" TargetMode="External"/><Relationship Id="rId9530" Type="http://schemas.openxmlformats.org/officeDocument/2006/relationships/hyperlink" Target="https://vt.tiktok.com/ZSxHPLjgx/" TargetMode="External"/><Relationship Id="rId9531" Type="http://schemas.openxmlformats.org/officeDocument/2006/relationships/hyperlink" Target="https://vt.tiktok.com/ZSxHPLjgx/" TargetMode="External"/><Relationship Id="rId8200" Type="http://schemas.openxmlformats.org/officeDocument/2006/relationships/hyperlink" Target="https://vt.tiktok.com/ZS9ovyYUW/" TargetMode="External"/><Relationship Id="rId8204" Type="http://schemas.openxmlformats.org/officeDocument/2006/relationships/hyperlink" Target="https://vt.tiktok.com/ZSxyPu73N/" TargetMode="External"/><Relationship Id="rId9536" Type="http://schemas.openxmlformats.org/officeDocument/2006/relationships/hyperlink" Target="https://vt.tiktok.com/ZSxHPDd71/" TargetMode="External"/><Relationship Id="rId8203" Type="http://schemas.openxmlformats.org/officeDocument/2006/relationships/hyperlink" Target="https://www.tiktok.com/@yudyhadi" TargetMode="External"/><Relationship Id="rId9537" Type="http://schemas.openxmlformats.org/officeDocument/2006/relationships/hyperlink" Target="https://vt.tiktok.com/ZSxHPJVhf/" TargetMode="External"/><Relationship Id="rId8202" Type="http://schemas.openxmlformats.org/officeDocument/2006/relationships/hyperlink" Target="https://vt.tiktok.com/ZSxyPuj76/" TargetMode="External"/><Relationship Id="rId9538" Type="http://schemas.openxmlformats.org/officeDocument/2006/relationships/hyperlink" Target="https://www.tiktok.com/@aprilmarchh" TargetMode="External"/><Relationship Id="rId8201" Type="http://schemas.openxmlformats.org/officeDocument/2006/relationships/hyperlink" Target="https://vt.tiktok.com/ZS9ovkvoy/" TargetMode="External"/><Relationship Id="rId9539" Type="http://schemas.openxmlformats.org/officeDocument/2006/relationships/hyperlink" Target="https://vt.tiktok.com/ZSxHPBmRW/" TargetMode="External"/><Relationship Id="rId8208" Type="http://schemas.openxmlformats.org/officeDocument/2006/relationships/hyperlink" Target="https://www.tiktok.com/@masukmaa03" TargetMode="External"/><Relationship Id="rId9532" Type="http://schemas.openxmlformats.org/officeDocument/2006/relationships/hyperlink" Target="https://vt.tiktok.com/ZSxHPRUwt/" TargetMode="External"/><Relationship Id="rId8207" Type="http://schemas.openxmlformats.org/officeDocument/2006/relationships/hyperlink" Target="https://vt.tiktok.com/ZSxyPbKba/" TargetMode="External"/><Relationship Id="rId9533" Type="http://schemas.openxmlformats.org/officeDocument/2006/relationships/hyperlink" Target="https://www.tiktok.com/@R_risk3" TargetMode="External"/><Relationship Id="rId8206" Type="http://schemas.openxmlformats.org/officeDocument/2006/relationships/hyperlink" Target="https://vt.tiktok.com/ZSxyPqqLS/" TargetMode="External"/><Relationship Id="rId9534" Type="http://schemas.openxmlformats.org/officeDocument/2006/relationships/hyperlink" Target="https://vt.tiktok.com/ZSxHPJVhf/" TargetMode="External"/><Relationship Id="rId8205" Type="http://schemas.openxmlformats.org/officeDocument/2006/relationships/hyperlink" Target="https://vt.tiktok.com/ZSxyPpR9G/" TargetMode="External"/><Relationship Id="rId9535" Type="http://schemas.openxmlformats.org/officeDocument/2006/relationships/hyperlink" Target="https://vt.tiktok.com/ZSxHPDd71/" TargetMode="External"/><Relationship Id="rId9529" Type="http://schemas.openxmlformats.org/officeDocument/2006/relationships/hyperlink" Target="https://www.tiktok.com/@nadlyneclarabelvanya/video/7647176715298426120?_r=1&amp;u_code=d7d35la44jlcb5&amp;region=&amp;mid=7477634102821882629&amp;preview_pb=0&amp;sharer_language=&amp;_d=0&amp;ec_shared_reflux_dynamic_params=%7B%22placeholder_material_id%22%3A%227647176715298426120%22%2C%22placeholder_origin_cover%22%3A%22https%253A%252F%252Fp16-common-sign.tiktokcdn.com%252Ftos-alisg-p-0037%252FowRoYBkJAt7IeBrqgDUFEpCIIBDfEjwgkgDOEj~tplv-tiktokx-origin.jpeg%253Fdr%253D14572%2526refresh_token%253Dbec77263%2526x-expires%253D1812099600%2526x-signature%253DTR99HTcXhMqY5GkaBcEt3rr2ISA%25253D%2526t%253D4d5b0474%2526ps%253D13740610%2526shp%253Dd05b14bd%2526shcp%253D34ff8df6%2526idc%253Dmy%2526s%253DTIKTOK_AFFILIATE_VIRAL_VIDEO%22%2C%22placeholder_product_id%22%3A%221729427766722726591%22%2C%22placeholder_video_id%22%3A%227647176715298426120%22%7D&amp;ec_shared_reflux_scene=shop_tab_feed&amp;share_item_id=7647176715298426120&amp;source=h5_t" TargetMode="External"/><Relationship Id="rId9520" Type="http://schemas.openxmlformats.org/officeDocument/2006/relationships/hyperlink" Target="https://vt.tiktok.com/ZSxWk8we1/" TargetMode="External"/><Relationship Id="rId9525" Type="http://schemas.openxmlformats.org/officeDocument/2006/relationships/hyperlink" Target="https://vt.tiktok.com/ZSxHPSJvq/" TargetMode="External"/><Relationship Id="rId9526" Type="http://schemas.openxmlformats.org/officeDocument/2006/relationships/hyperlink" Target="https://vt.tiktok.com/ZSxHPSJvq/" TargetMode="External"/><Relationship Id="rId9527" Type="http://schemas.openxmlformats.org/officeDocument/2006/relationships/hyperlink" Target="https://vt.tiktok.com/ZSxHPjH5n/" TargetMode="External"/><Relationship Id="rId9528" Type="http://schemas.openxmlformats.org/officeDocument/2006/relationships/hyperlink" Target="https://www.tiktok.com/@nadlyneclarabelvanya" TargetMode="External"/><Relationship Id="rId9521" Type="http://schemas.openxmlformats.org/officeDocument/2006/relationships/hyperlink" Target="https://vt.tiktok.com/ZSxHPNp3H/" TargetMode="External"/><Relationship Id="rId9522" Type="http://schemas.openxmlformats.org/officeDocument/2006/relationships/hyperlink" Target="https://vt.tiktok.com/ZSxHPDfwU/" TargetMode="External"/><Relationship Id="rId9523" Type="http://schemas.openxmlformats.org/officeDocument/2006/relationships/hyperlink" Target="https://www.tiktok.com/@beauty.bynuva" TargetMode="External"/><Relationship Id="rId9524" Type="http://schemas.openxmlformats.org/officeDocument/2006/relationships/hyperlink" Target="https://vt.tiktok.com/ZSxHPjH5n/" TargetMode="External"/><Relationship Id="rId9550" Type="http://schemas.openxmlformats.org/officeDocument/2006/relationships/hyperlink" Target="https://vt.tiktok.com/ZSxHfES8p/" TargetMode="External"/><Relationship Id="rId9551" Type="http://schemas.openxmlformats.org/officeDocument/2006/relationships/hyperlink" Target="https://vt.tiktok.com/ZSxHfES8p/" TargetMode="External"/><Relationship Id="rId9552" Type="http://schemas.openxmlformats.org/officeDocument/2006/relationships/hyperlink" Target="https://vt.tiktok.com/ZSxHPJayR/" TargetMode="External"/><Relationship Id="rId9553" Type="http://schemas.openxmlformats.org/officeDocument/2006/relationships/hyperlink" Target="https://www.tiktok.com/@azhararfan1" TargetMode="External"/><Relationship Id="rId8222" Type="http://schemas.openxmlformats.org/officeDocument/2006/relationships/hyperlink" Target="https://vt.tiktok.com/ZS959tdWy/" TargetMode="External"/><Relationship Id="rId8221" Type="http://schemas.openxmlformats.org/officeDocument/2006/relationships/hyperlink" Target="https://vt.tiktok.com/ZS9DPPrEn/" TargetMode="External"/><Relationship Id="rId8220" Type="http://schemas.openxmlformats.org/officeDocument/2006/relationships/hyperlink" Target="https://vt.tiktok.com/ZS9DP9gUq/" TargetMode="External"/><Relationship Id="rId8226" Type="http://schemas.openxmlformats.org/officeDocument/2006/relationships/hyperlink" Target="https://vt.tiktok.com/ZSxPMNRYe/" TargetMode="External"/><Relationship Id="rId9558" Type="http://schemas.openxmlformats.org/officeDocument/2006/relationships/hyperlink" Target="https://www.tiktok.com/@.xyfit" TargetMode="External"/><Relationship Id="rId8225" Type="http://schemas.openxmlformats.org/officeDocument/2006/relationships/hyperlink" Target="https://vt.tiktok.com/ZSxgHegHn/" TargetMode="External"/><Relationship Id="rId9559" Type="http://schemas.openxmlformats.org/officeDocument/2006/relationships/hyperlink" Target="https://vt.tiktok.com/ZSxHPAxfd/" TargetMode="External"/><Relationship Id="rId8224" Type="http://schemas.openxmlformats.org/officeDocument/2006/relationships/hyperlink" Target="https://vt.tiktok.com/ZSxyASNre/" TargetMode="External"/><Relationship Id="rId8223" Type="http://schemas.openxmlformats.org/officeDocument/2006/relationships/hyperlink" Target="https://www.tiktok.com/@qiqilucki__" TargetMode="External"/><Relationship Id="rId9554" Type="http://schemas.openxmlformats.org/officeDocument/2006/relationships/hyperlink" Target="https://vt.tiktok.com/ZSxHPeWgF/" TargetMode="External"/><Relationship Id="rId8229" Type="http://schemas.openxmlformats.org/officeDocument/2006/relationships/hyperlink" Target="https://vt.tiktok.com/ZSxyAaoJY/" TargetMode="External"/><Relationship Id="rId9555" Type="http://schemas.openxmlformats.org/officeDocument/2006/relationships/hyperlink" Target="https://vt.tiktok.com/ZSxHPFAnH/" TargetMode="External"/><Relationship Id="rId8228" Type="http://schemas.openxmlformats.org/officeDocument/2006/relationships/hyperlink" Target="https://www.tiktok.com/@ariantiw_" TargetMode="External"/><Relationship Id="rId9556" Type="http://schemas.openxmlformats.org/officeDocument/2006/relationships/hyperlink" Target="https://vt.tiktok.com/ZSxHPFAnH/" TargetMode="External"/><Relationship Id="rId8227" Type="http://schemas.openxmlformats.org/officeDocument/2006/relationships/hyperlink" Target="https://vt.tiktok.com/ZSxQnQTV2/" TargetMode="External"/><Relationship Id="rId9557" Type="http://schemas.openxmlformats.org/officeDocument/2006/relationships/hyperlink" Target="https://vt.tiktok.com/ZSxHPeWgF/" TargetMode="External"/><Relationship Id="rId9540" Type="http://schemas.openxmlformats.org/officeDocument/2006/relationships/hyperlink" Target="https://vt.tiktok.com/ZSxHPDfw4/" TargetMode="External"/><Relationship Id="rId9541" Type="http://schemas.openxmlformats.org/officeDocument/2006/relationships/hyperlink" Target="https://vt.tiktok.com/ZSxHPDfw4/" TargetMode="External"/><Relationship Id="rId9542" Type="http://schemas.openxmlformats.org/officeDocument/2006/relationships/hyperlink" Target="https://vt.tiktok.com/ZSxHPBmRW/" TargetMode="External"/><Relationship Id="rId8211" Type="http://schemas.openxmlformats.org/officeDocument/2006/relationships/hyperlink" Target="https://vt.tiktok.com/ZSxx6r7H5/" TargetMode="External"/><Relationship Id="rId8210" Type="http://schemas.openxmlformats.org/officeDocument/2006/relationships/hyperlink" Target="https://vt.tiktok.com/ZSxxjbngU/" TargetMode="External"/><Relationship Id="rId8215" Type="http://schemas.openxmlformats.org/officeDocument/2006/relationships/hyperlink" Target="https://vt.tiktok.com/ZS9DPDvFU/" TargetMode="External"/><Relationship Id="rId9547" Type="http://schemas.openxmlformats.org/officeDocument/2006/relationships/hyperlink" Target="https://vt.tiktok.com/ZSxHPd7qB/" TargetMode="External"/><Relationship Id="rId8214" Type="http://schemas.openxmlformats.org/officeDocument/2006/relationships/hyperlink" Target="https://vt.tiktok.com/ZS9DPUo5R/" TargetMode="External"/><Relationship Id="rId9548" Type="http://schemas.openxmlformats.org/officeDocument/2006/relationships/hyperlink" Target="https://www.tiktok.com/@Megayana12" TargetMode="External"/><Relationship Id="rId8213" Type="http://schemas.openxmlformats.org/officeDocument/2006/relationships/hyperlink" Target="https://www.tiktok.com/@satujanuari98_" TargetMode="External"/><Relationship Id="rId9549" Type="http://schemas.openxmlformats.org/officeDocument/2006/relationships/hyperlink" Target="https://vt.tiktok.com/ZSxHPJayR/" TargetMode="External"/><Relationship Id="rId8212" Type="http://schemas.openxmlformats.org/officeDocument/2006/relationships/hyperlink" Target="https://vt.tiktok.com/ZSxx62kRr/" TargetMode="External"/><Relationship Id="rId8219" Type="http://schemas.openxmlformats.org/officeDocument/2006/relationships/hyperlink" Target="https://vt.tiktok.com/ZS9DP2wff/" TargetMode="External"/><Relationship Id="rId9543" Type="http://schemas.openxmlformats.org/officeDocument/2006/relationships/hyperlink" Target="https://www.tiktok.com/@strawberrz__" TargetMode="External"/><Relationship Id="rId8218" Type="http://schemas.openxmlformats.org/officeDocument/2006/relationships/hyperlink" Target="https://www.tiktok.com/@heinashop" TargetMode="External"/><Relationship Id="rId9544" Type="http://schemas.openxmlformats.org/officeDocument/2006/relationships/hyperlink" Target="https://vt.tiktok.com/ZSxHPd7qB/" TargetMode="External"/><Relationship Id="rId8217" Type="http://schemas.openxmlformats.org/officeDocument/2006/relationships/hyperlink" Target="https://vt.tiktok.com/ZS9DPmU5N/" TargetMode="External"/><Relationship Id="rId9545" Type="http://schemas.openxmlformats.org/officeDocument/2006/relationships/hyperlink" Target="https://vt.tiktok.com/ZSxHPk9Wa/" TargetMode="External"/><Relationship Id="rId8216" Type="http://schemas.openxmlformats.org/officeDocument/2006/relationships/hyperlink" Target="https://vt.tiktok.com/ZS9DP67g8/" TargetMode="External"/><Relationship Id="rId9546" Type="http://schemas.openxmlformats.org/officeDocument/2006/relationships/hyperlink" Target="https://vt.tiktok.com/ZSxHPk9Wa/" TargetMode="External"/><Relationship Id="rId4723" Type="http://schemas.openxmlformats.org/officeDocument/2006/relationships/hyperlink" Target="https://www.tiktok.com/@triajamrung" TargetMode="External"/><Relationship Id="rId4722" Type="http://schemas.openxmlformats.org/officeDocument/2006/relationships/hyperlink" Target="https://vt.tiktok.com/ZS9DXN14x/" TargetMode="External"/><Relationship Id="rId4725" Type="http://schemas.openxmlformats.org/officeDocument/2006/relationships/hyperlink" Target="https://vt.tiktok.com/ZS9reLqAt/" TargetMode="External"/><Relationship Id="rId4724" Type="http://schemas.openxmlformats.org/officeDocument/2006/relationships/hyperlink" Target="https://vt.tiktok.com/ZS96d7WtV/" TargetMode="External"/><Relationship Id="rId4727" Type="http://schemas.openxmlformats.org/officeDocument/2006/relationships/hyperlink" Target="https://vt.tiktok.com/ZS9DXN14x/" TargetMode="External"/><Relationship Id="rId4726" Type="http://schemas.openxmlformats.org/officeDocument/2006/relationships/hyperlink" Target="https://vt.tiktok.com/ZS9DXN14x/" TargetMode="External"/><Relationship Id="rId4729" Type="http://schemas.openxmlformats.org/officeDocument/2006/relationships/hyperlink" Target="https://vt.tiktok.com/ZS96d7WtV/" TargetMode="External"/><Relationship Id="rId4728" Type="http://schemas.openxmlformats.org/officeDocument/2006/relationships/hyperlink" Target="https://www.tiktok.com/@jazulimaryam" TargetMode="External"/><Relationship Id="rId4721" Type="http://schemas.openxmlformats.org/officeDocument/2006/relationships/hyperlink" Target="https://vt.tiktok.com/ZS9DXN14x/" TargetMode="External"/><Relationship Id="rId4720" Type="http://schemas.openxmlformats.org/officeDocument/2006/relationships/hyperlink" Target="https://vt.tiktok.com/ZS9reLqAt/" TargetMode="External"/><Relationship Id="rId4712" Type="http://schemas.openxmlformats.org/officeDocument/2006/relationships/hyperlink" Target="https://vt.tiktok.com/ZS9DXN14x/" TargetMode="External"/><Relationship Id="rId4711" Type="http://schemas.openxmlformats.org/officeDocument/2006/relationships/hyperlink" Target="https://vt.tiktok.com/ZS9DXN14x/" TargetMode="External"/><Relationship Id="rId4714" Type="http://schemas.openxmlformats.org/officeDocument/2006/relationships/hyperlink" Target="https://vt.tiktok.com/ZS96d7WtV/" TargetMode="External"/><Relationship Id="rId4713" Type="http://schemas.openxmlformats.org/officeDocument/2006/relationships/hyperlink" Target="https://www.tiktok.com/@beberlyan" TargetMode="External"/><Relationship Id="rId4716" Type="http://schemas.openxmlformats.org/officeDocument/2006/relationships/hyperlink" Target="https://vt.tiktok.com/ZS9DXN14x/" TargetMode="External"/><Relationship Id="rId4715" Type="http://schemas.openxmlformats.org/officeDocument/2006/relationships/hyperlink" Target="https://vt.tiktok.com/ZS9reLqAt/" TargetMode="External"/><Relationship Id="rId4718" Type="http://schemas.openxmlformats.org/officeDocument/2006/relationships/hyperlink" Target="https://www.tiktok.com/@aldila.fitri" TargetMode="External"/><Relationship Id="rId4717" Type="http://schemas.openxmlformats.org/officeDocument/2006/relationships/hyperlink" Target="https://vt.tiktok.com/ZS9DXN14x/" TargetMode="External"/><Relationship Id="rId4719" Type="http://schemas.openxmlformats.org/officeDocument/2006/relationships/hyperlink" Target="https://vt.tiktok.com/ZS96d7WtV/" TargetMode="External"/><Relationship Id="rId4710" Type="http://schemas.openxmlformats.org/officeDocument/2006/relationships/hyperlink" Target="https://vt.tiktok.com/ZS9reLqAt/" TargetMode="External"/><Relationship Id="rId3414" Type="http://schemas.openxmlformats.org/officeDocument/2006/relationships/hyperlink" Target="https://www.tiktok.com/@belanja_hemat.shop/video/7639021111660793106?_r=1&amp;u_code=ek6h2252jijmih&amp;region=&amp;mid=7381176581904878342&amp;preview_pb=0&amp;sharer_language=&amp;_d=0&amp;ec_shared_reflux_dynamic_params=%7B%22placeholder_material_id%22%3A%227639021111660793106%22%2C%22placeholder_origin_cover%22%3A%22https%253A%252F%252Fp16-common-sign.tiktokcdn.com%252Ftos-alisg-p-0037%252Fo0CCUBqB1AQ836Biir2a5AI8CA0DfA6w5IITAP~tplv-tiktokx-origin.jpeg%253Fdr%253D14572%2526refresh_token%253D430a7da8%2526x-expires%253D1810195200%2526x-signature%253DhgCbYrGcNgBUNTxhQO6kw6rRjSA%25253D%2526t%253D4d5b0474%2526ps%253D13740610%2526shp%253Dd05b14bd%2526shcp%253D34ff8df6%2526idc%253Dmy2%2526s%253DTIKTOK_AFFILIATE_VIRAL_VIDEO%22%2C%22placeholder_product_id%22%3A%221729427766722726591%22%2C%22placeholder_video_id%22%3A%227639021111660793106%22%7D&amp;ec_shared_reflux_scene=shop_tab_feed&amp;share_item_id=7639021111660793106&amp;source=h5_t" TargetMode="External"/><Relationship Id="rId4745" Type="http://schemas.openxmlformats.org/officeDocument/2006/relationships/hyperlink" Target="https://vt.tiktok.com/ZS9reLqAt/" TargetMode="External"/><Relationship Id="rId3413" Type="http://schemas.openxmlformats.org/officeDocument/2006/relationships/hyperlink" Target="https://www.tiktok.com/@byliyah/video/7638485391984692487?_r=1&amp;u_code=dj0c9igeb6ei5f&amp;region=&amp;mid=6954430693141137410&amp;preview_pb=0&amp;sharer_language=&amp;_d=0&amp;ec_shared_reflux_dynamic_params=%7B%22placeholder_material_id%22%3A%227638485391984692487%22%2C%22placeholder_origin_cover%22%3A%22https%253A%252F%252Fp16-common-sign.tiktokcdn.com%252Ftos-alisg-p-0037%252FoYWn2BcDqBWwcYWFEJYVcAIgEB7BfAhgeRIgwE~tplv-tiktokx-origin.jpeg%253Fdr%253D14572%2526refresh_token%253D2fe01ccd%2526x-expires%253D1810119600%2526x-signature%253DUAIZ%25252Bk7tU%25252FAzY2OOufQWO9Au4O4%25253D%2526t%253D4d5b0474%2526ps%253D13740610%2526shp%253Dd05b14bd%2526shcp%253D34ff8df6%2526idc%253Dmy2%2526s%253DTIKTOK_AFFILIATE_VIRAL_VIDEO%22%2C%22placeholder_product_id%22%3A%221729427766722726591%22%2C%22placeholder_video_id%22%3A%227638485391984692487%22%7D&amp;ec_shared_reflux_scene=shop_tab_feed&amp;share_item_id=7638485391984692487&amp;source=h5_t" TargetMode="External"/><Relationship Id="rId4744" Type="http://schemas.openxmlformats.org/officeDocument/2006/relationships/hyperlink" Target="https://vt.tiktok.com/ZS96d7WtV/" TargetMode="External"/><Relationship Id="rId3416" Type="http://schemas.openxmlformats.org/officeDocument/2006/relationships/hyperlink" Target="https://www.tiktok.com/@belanja_hemat.shop/video/7638905802882813191?_r=1&amp;u_code=ek6h2252jijmih&amp;region=&amp;mid=7353007391960419077&amp;preview_pb=0&amp;sharer_language=&amp;_d=0&amp;ec_shared_reflux_dynamic_params=%7B%22placeholder_material_id%22%3A%227638905802882813191%22%2C%22placeholder_origin_cover%22%3A%22https%253A%252F%252Fp16-common-sign.tiktokcdn.com%252Ftos-alisg-p-0037%252FoEboEqCiRURfSgAI2gBtNIiAIAiqcxBSnfGBiB~tplv-tiktokx-origin.jpeg%253Fdr%253D14572%2526refresh_token%253D5b3ecce8%2526x-expires%253D1810195200%2526x-signature%253D5k1rbKtIBC3A4bvYC5GDcr44AVw%25253D%2526t%253D4d5b0474%2526ps%253D13740610%2526shp%253Dd05b14bd%2526shcp%253D34ff8df6%2526idc%253Dmy2%2526s%253DTIKTOK_AFFILIATE_VIRAL_VIDEO%22%2C%22placeholder_product_id%22%3A%221729427766722726591%22%2C%22placeholder_video_id%22%3A%227638905802882813191%22%7D&amp;ec_shared_reflux_scene=shop_tab_feed&amp;share_item_id=7638905802882813191&amp;source=h5_t" TargetMode="External"/><Relationship Id="rId4747" Type="http://schemas.openxmlformats.org/officeDocument/2006/relationships/hyperlink" Target="https://vt.tiktok.com/ZS9DXN14x/" TargetMode="External"/><Relationship Id="rId3415" Type="http://schemas.openxmlformats.org/officeDocument/2006/relationships/hyperlink" Target="https://www.tiktok.com/@belanja_hemat.shop/video/7639186210476281096?_r=1&amp;u_code=ek6h2252jijmih&amp;region=&amp;mid=7493964989192914961&amp;preview_pb=0&amp;sharer_language=&amp;_d=0&amp;ec_shared_reflux_dynamic_params=%7B%22placeholder_material_id%22%3A%227639186210476281096%22%2C%22placeholder_origin_cover%22%3A%22https%253A%252F%252Fp16-common-sign.tiktokcdn.com%252Ftos-alisg-p-0037%252FoAYqnZcfaAznCRL8gIFxA1UDVf1TX29EBEBkDI~tplv-tiktokx-origin.jpeg%253Fdr%253D14572%2526refresh_token%253D9d62377e%2526x-expires%253D1810195200%2526x-signature%253Di05yrHM0FucN8e2bnmhcN0%25252B%25252FxSY%25253D%2526t%253D4d5b0474%2526ps%253D13740610%2526shp%253Dd05b14bd%2526shcp%253D34ff8df6%2526idc%253Dmy2%2526s%253DTIKTOK_AFFILIATE_VIRAL_VIDEO%22%2C%22placeholder_product_id%22%3A%221729729730555512511%22%2C%22placeholder_video_id%22%3A%227639186210476281096%22%7D&amp;ec_shared_reflux_scene=shop_tab_feed&amp;share_item_id=7639186210476281096&amp;source=h5_t" TargetMode="External"/><Relationship Id="rId4746" Type="http://schemas.openxmlformats.org/officeDocument/2006/relationships/hyperlink" Target="https://vt.tiktok.com/ZS9DXN14x/" TargetMode="External"/><Relationship Id="rId3418" Type="http://schemas.openxmlformats.org/officeDocument/2006/relationships/hyperlink" Target="https://www.tiktok.com/@aliceohalice0" TargetMode="External"/><Relationship Id="rId4749" Type="http://schemas.openxmlformats.org/officeDocument/2006/relationships/hyperlink" Target="https://vt.tiktok.com/ZSxgu1T1p/" TargetMode="External"/><Relationship Id="rId3417" Type="http://schemas.openxmlformats.org/officeDocument/2006/relationships/hyperlink" Target="https://www.tiktok.com/@astrikurnia.real" TargetMode="External"/><Relationship Id="rId4748" Type="http://schemas.openxmlformats.org/officeDocument/2006/relationships/hyperlink" Target="https://www.tiktok.com/@nchy.bestie" TargetMode="External"/><Relationship Id="rId3419" Type="http://schemas.openxmlformats.org/officeDocument/2006/relationships/hyperlink" Target="https://www.tiktok.com/@auroraaa.jm/video/7631613366150286613" TargetMode="External"/><Relationship Id="rId3410" Type="http://schemas.openxmlformats.org/officeDocument/2006/relationships/hyperlink" Target="https://www.tiktok.com/@belanja_hemat.shop/video/7637433462634466568?_r=1&amp;u_code=ek6h2252jijmih&amp;region=&amp;mid=7610467977049410325&amp;preview_pb=0&amp;sharer_language=&amp;_d=0&amp;ec_shared_reflux_dynamic_params=%7B%22placeholder_material_id%22%3A%227637433462634466568%22%2C%22placeholder_origin_cover%22%3A%22https%253A%252F%252Fp16-common-sign.tiktokcdn.com%252Ftos-alisg-p-0037%252Fo4NI3fiLQcFM89qUCrdNnUwIBvAriADRxAw02I~tplv-tiktokx-origin.jpeg%253Fdr%253D14572%2526refresh_token%253D8e683870%2526x-expires%253D1810195200%2526x-signature%253Dxt5NWb6rrGL3IQlL2ale%25252BtWRt2Q%25253D%2526t%253D4d5b0474%2526ps%253D13740610%2526shp%253Dd05b14bd%2526shcp%253D34ff8df6%2526idc%253Dmy2%2526s%253DTIKTOK_AFFILIATE_VIRAL_VIDEO%22%2C%22placeholder_product_id%22%3A%221729427766722726591%22%2C%22placeholder_video_id%22%3A%227637433462634466568%22%7D&amp;ec_shared_reflux_scene=shop_tab_feed&amp;share_item_id=7637433462634466568&amp;source=h5_t" TargetMode="External"/><Relationship Id="rId4741" Type="http://schemas.openxmlformats.org/officeDocument/2006/relationships/hyperlink" Target="https://vt.tiktok.com/ZS9DXN14x/" TargetMode="External"/><Relationship Id="rId4740" Type="http://schemas.openxmlformats.org/officeDocument/2006/relationships/hyperlink" Target="https://vt.tiktok.com/ZS9reLqAt/" TargetMode="External"/><Relationship Id="rId3412" Type="http://schemas.openxmlformats.org/officeDocument/2006/relationships/hyperlink" Target="https://www.tiktok.com/@slvistory" TargetMode="External"/><Relationship Id="rId4743" Type="http://schemas.openxmlformats.org/officeDocument/2006/relationships/hyperlink" Target="https://www.tiktok.com/@setyowathy" TargetMode="External"/><Relationship Id="rId3411" Type="http://schemas.openxmlformats.org/officeDocument/2006/relationships/hyperlink" Target="https://www.tiktok.com/@belanja_hemat.shop/video/7637414945700760850?_r=1&amp;u_code=ek6h2252jijmih&amp;region=&amp;mid=7350064657475603206&amp;preview_pb=0&amp;sharer_language=&amp;_d=0&amp;ec_shared_reflux_dynamic_params=%7B%22placeholder_material_id%22%3A%227637414945700760850%22%2C%22placeholder_origin_cover%22%3A%22https%253A%252F%252Fp16-common-sign.tiktokcdn.com%252Ftos-alisg-p-0037%252Fo0PVj2ZqfAAilUTICIG82pArGxMwH0SABCI9i7~tplv-tiktokx-origin.jpeg%253Fdr%253D14572%2526refresh_token%253D0b69c197%2526x-expires%253D1810195200%2526x-signature%253DR%25252FHwVOfU%25252F%25252B9sUj2wR2CmzP1ywO8%25253D%2526t%253D4d5b0474%2526ps%253D13740610%2526shp%253Dd05b14bd%2526shcp%253D34ff8df6%2526idc%253Dmy2%2526s%253DTIKTOK_AFFILIATE_VIRAL_VIDEO%22%2C%22placeholder_product_id%22%3A%221729427766722726591%22%2C%22placeholder_video_id%22%3A%227637414945700760850%22%7D&amp;ec_shared_reflux_scene=shop_tab_feed&amp;share_item_id=7637414945700760850&amp;source=h5_t" TargetMode="External"/><Relationship Id="rId4742" Type="http://schemas.openxmlformats.org/officeDocument/2006/relationships/hyperlink" Target="https://vt.tiktok.com/ZS9DXN14x/" TargetMode="External"/><Relationship Id="rId3403" Type="http://schemas.openxmlformats.org/officeDocument/2006/relationships/hyperlink" Target="https://vt.tiktok.com/ZS9kjC6p5/" TargetMode="External"/><Relationship Id="rId4734" Type="http://schemas.openxmlformats.org/officeDocument/2006/relationships/hyperlink" Target="https://vt.tiktok.com/ZS96d7WtV/" TargetMode="External"/><Relationship Id="rId3402" Type="http://schemas.openxmlformats.org/officeDocument/2006/relationships/hyperlink" Target="https://www.tiktok.com/@milasarmila07" TargetMode="External"/><Relationship Id="rId4733" Type="http://schemas.openxmlformats.org/officeDocument/2006/relationships/hyperlink" Target="https://www.tiktok.com/@ig.e.rosarina" TargetMode="External"/><Relationship Id="rId3405" Type="http://schemas.openxmlformats.org/officeDocument/2006/relationships/hyperlink" Target="https://www.tiktok.com/@byliyah/video/7635987897417518343?_r=1&amp;u_code=dj0c9igeb6ei5f&amp;region=&amp;mid=7628029008957967111&amp;preview_pb=0&amp;sharer_language=&amp;_d=0&amp;ec_shared_reflux_dynamic_params=%7B%22placeholder_material_id%22%3A%227635987897417518343%22%2C%22placeholder_origin_cover%22%3A%22https%253A%252F%252Fp16-common-sign.tiktokcdn.com%252Ftos-alisg-p-0037%252Fo41qwAYHH4D6ZEQT3eFfDCAyFetLp4QnjDDoI6~tplv-tiktokx-origin.jpeg%253Fdr%253D14572%2526refresh_token%253Dfb081c1c%2526x-expires%253D1810119600%2526x-signature%253DeCcsNq%25252BArIquQ5P8RuvXsYRLXyE%25253D%2526t%253D4d5b0474%2526ps%253D13740610%2526shp%253Dd05b14bd%2526shcp%253D34ff8df6%2526idc%253Dmy2%2526s%253DTIKTOK_AFFILIATE_VIRAL_VIDEO%22%2C%22placeholder_product_id%22%3A%221729427766722726591%22%2C%22placeholder_video_id%22%3A%227635987897417518343%22%7D&amp;ec_shared_reflux_scene=shop_tab_feed&amp;share_item_id=7635987897417518343&amp;source=h5_t" TargetMode="External"/><Relationship Id="rId4736" Type="http://schemas.openxmlformats.org/officeDocument/2006/relationships/hyperlink" Target="https://vt.tiktok.com/ZS9DXN14x/" TargetMode="External"/><Relationship Id="rId3404" Type="http://schemas.openxmlformats.org/officeDocument/2006/relationships/hyperlink" Target="https://www.tiktok.com/@byliyah/video/7637101634023181586?_r=1&amp;u_code=dj0c9igeb6ei5f&amp;region=&amp;mid=7343035021383404294&amp;preview_pb=0&amp;sharer_language=&amp;_d=0&amp;ec_shared_reflux_dynamic_params=%7B%22placeholder_material_id%22%3A%227637101634023181586%22%2C%22placeholder_origin_cover%22%3A%22https%253A%252F%252Fp16-common-sign.tiktokcdn.com%252Ftos-alisg-p-0037%252FokP9Q4EDhMfDNleD3TG4IJ0QvSFcdjAflvCFNA~tplv-tiktokx-origin.jpeg%253Fdr%253D14572%2526refresh_token%253D484e11f1%2526x-expires%253D1810119600%2526x-signature%253DBef%25252BVpBwvidnyt7udsFxc93lsyc%25253D%2526t%253D4d5b0474%2526ps%253D13740610%2526shp%253Dd05b14bd%2526shcp%253D34ff8df6%2526idc%253Dmy2%2526s%253DTIKTOK_AFFILIATE_VIRAL_VIDEO%22%2C%22placeholder_product_id%22%3A%221729427766722726591%22%2C%22placeholder_video_id%22%3A%227637101634023181586%22%7D&amp;ec_shared_reflux_scene=shop_tab_feed&amp;share_item_id=7637101634023181586&amp;source=h5_t" TargetMode="External"/><Relationship Id="rId4735" Type="http://schemas.openxmlformats.org/officeDocument/2006/relationships/hyperlink" Target="https://vt.tiktok.com/ZS9reLqAt/" TargetMode="External"/><Relationship Id="rId3407" Type="http://schemas.openxmlformats.org/officeDocument/2006/relationships/hyperlink" Target="https://www.tiktok.com/@wulandarisabda" TargetMode="External"/><Relationship Id="rId4738" Type="http://schemas.openxmlformats.org/officeDocument/2006/relationships/hyperlink" Target="https://www.tiktok.com/@nis_saaa" TargetMode="External"/><Relationship Id="rId3406" Type="http://schemas.openxmlformats.org/officeDocument/2006/relationships/hyperlink" Target="https://www.tiktok.com/@byliyah/video/7635987897417518343?_r=1&amp;u_code=dj0c9igeb6ei5f&amp;region=&amp;mid=7628029008957967111&amp;preview_pb=0&amp;sharer_language=&amp;_d=0&amp;ec_shared_reflux_dynamic_params=%7B%22placeholder_material_id%22%3A%227635987897417518343%22%2C%22placeholder_origin_cover%22%3A%22https%253A%252F%252Fp16-common-sign.tiktokcdn.com%252Ftos-alisg-p-0037%252Fo41qwAYHH4D6ZEQT3eFfDCAyFetLp4QnjDDoI6~tplv-tiktokx-origin.jpeg%253Fdr%253D14572%2526refresh_token%253Dfb081c1c%2526x-expires%253D1810119600%2526x-signature%253DeCcsNq%25252BArIquQ5P8RuvXsYRLXyE%25253D%2526t%253D4d5b0474%2526ps%253D13740610%2526shp%253Dd05b14bd%2526shcp%253D34ff8df6%2526idc%253Dmy2%2526s%253DTIKTOK_AFFILIATE_VIRAL_VIDEO%22%2C%22placeholder_product_id%22%3A%221729427766722726591%22%2C%22placeholder_video_id%22%3A%227635987897417518343%22%7D&amp;ec_shared_reflux_scene=shop_tab_feed&amp;share_item_id=7635987897417518343&amp;source=h5_t" TargetMode="External"/><Relationship Id="rId4737" Type="http://schemas.openxmlformats.org/officeDocument/2006/relationships/hyperlink" Target="https://vt.tiktok.com/ZS9DXN14x/" TargetMode="External"/><Relationship Id="rId3409" Type="http://schemas.openxmlformats.org/officeDocument/2006/relationships/hyperlink" Target="https://www.tiktok.com/@belanja_hemat.shop/video/7637434089565457672?_r=1&amp;u_code=ek6h2252jijmih&amp;region=&amp;mid=7630457200191884048&amp;preview_pb=0&amp;sharer_language=&amp;_d=0&amp;ec_shared_reflux_dynamic_params=%7B%22placeholder_material_id%22%3A%227637434089565457672%22%2C%22placeholder_origin_cover%22%3A%22https%253A%252F%252Fp16-common-sign.tiktokcdn.com%252Ftos-alisg-p-0037%252FoU68zXukAekGDM46QYOGFhAe3MQRen4QADF7Qe~tplv-tiktokx-origin.jpeg%253Fdr%253D14572%2526refresh_token%253Ddcc6e3c7%2526x-expires%253D1810195200%2526x-signature%253DTTfZEfdkLOSRp3%25252FO9MfHUJBgyCA%25253D%2526t%253D4d5b0474%2526ps%253D13740610%2526shp%253Dd05b14bd%2526shcp%253D34ff8df6%2526idc%253Dmy2%2526s%253DTIKTOK_AFFILIATE_VIRAL_VIDEO%22%2C%22placeholder_product_id%22%3A%221729427766722726591%22%2C%22placeholder_video_id%22%3A%227637434089565457672%22%7D&amp;ec_shared_reflux_scene=shop_tab_feed&amp;share_item_id=7637434089565457672&amp;source=h5_t" TargetMode="External"/><Relationship Id="rId3408" Type="http://schemas.openxmlformats.org/officeDocument/2006/relationships/hyperlink" Target="https://www.tiktok.com/@belanja_hemat.shop/video/7638830979154644242?_r=1&amp;u_code=ek6h2252jijmih&amp;region=&amp;mid=7270022870478211073&amp;preview_pb=0&amp;sharer_language=&amp;_d=0&amp;ec_shared_reflux_dynamic_params=%7B%22placeholder_material_id%22%3A%227638830979154644242%22%2C%22placeholder_origin_cover%22%3A%22https%253A%252F%252Fp16-common-sign.tiktokcdn.com%252Ftos-alisg-p-0037%252FoEgMPAeHoBgIUKjYIdAqgELIy0YpfUFKGeDSCr~tplv-tiktokx-origin.jpeg%253Fdr%253D14572%2526refresh_token%253D6198937f%2526x-expires%253D1810195200%2526x-signature%253DfEhHEGbgaEvDEOYQXKLj9Pfvu4w%25253D%2526t%253D4d5b0474%2526ps%253D13740610%2526shp%253Dd05b14bd%2526shcp%253D34ff8df6%2526idc%253Dmy2%2526s%253DTIKTOK_AFFILIATE_VIRAL_VIDEO%22%2C%22placeholder_product_id%22%3A%221729427766722726591%22%2C%22placeholder_video_id%22%3A%227638830979154644242%22%7D&amp;ec_shared_reflux_scene=shop_tab_feed&amp;share_item_id=7638830979154644242&amp;source=h5_t" TargetMode="External"/><Relationship Id="rId4739" Type="http://schemas.openxmlformats.org/officeDocument/2006/relationships/hyperlink" Target="https://vt.tiktok.com/ZS96d7WtV/" TargetMode="External"/><Relationship Id="rId4730" Type="http://schemas.openxmlformats.org/officeDocument/2006/relationships/hyperlink" Target="https://vt.tiktok.com/ZS9reLqAt/" TargetMode="External"/><Relationship Id="rId3401" Type="http://schemas.openxmlformats.org/officeDocument/2006/relationships/hyperlink" Target="https://www.tiktok.com/@byliyah/video/7633011699661950215?_r=1&amp;u_code=dj0c9igeb6ei5f&amp;region=&amp;mid=7616413183196039958&amp;preview_pb=0&amp;sharer_language=&amp;_d=0&amp;ec_shared_reflux_dynamic_params=%7B%22placeholder_material_id%22%3A%227633011699661950215%22%2C%22placeholder_origin_cover%22%3A%22https%253A%252F%252Fp16-common-sign.tiktokcdn.com%252Ftos-alisg-p-0037%252FogMDzeTIt3HDUCh5AC478fEOFIAjPC2fworQzI~tplv-tiktokx-origin.jpeg%253Fdr%253D14572%2526refresh_token%253D28982c7f%2526x-expires%253D1810119600%2526x-signature%253DH2VO2cVO2sU4fciP2%25252B%25252FaNhg4Llo%25253D%2526t%253D4d5b0474%2526ps%253D13740610%2526shp%253Dd05b14bd%2526shcp%253D34ff8df6%2526idc%253Dmy2%2526s%253DTIKTOK_AFFILIATE_VIRAL_VIDEO%22%2C%22placeholder_product_id%22%3A%221729427766722726591%22%2C%22placeholder_video_id%22%3A%227633011699661950215%22%7D&amp;ec_shared_reflux_scene=shop_tab_feed&amp;share_item_id=7633011699661950215&amp;source=h5_t" TargetMode="External"/><Relationship Id="rId4732" Type="http://schemas.openxmlformats.org/officeDocument/2006/relationships/hyperlink" Target="https://vt.tiktok.com/ZS9DXN14x/" TargetMode="External"/><Relationship Id="rId3400" Type="http://schemas.openxmlformats.org/officeDocument/2006/relationships/hyperlink" Target="https://www.tiktok.com/@byliyah/video/7634123815890455815?_r=1&amp;u_code=dj0c9igeb6ei5f&amp;region=&amp;mid=7628933306519816967&amp;preview_pb=0&amp;sharer_language=&amp;_d=0&amp;ec_shared_reflux_dynamic_params=%7B%22placeholder_material_id%22%3A%227634123815890455815%22%2C%22placeholder_origin_cover%22%3A%22https%253A%252F%252Fp16-common-sign.tiktokcdn.com%252Ftos-alisg-p-0037%252Fo8CPAtE4ELXVCI7GQTIGJmegQVKeAXe1D4jnKj~tplv-tiktokx-origin.jpeg%253Fdr%253D14572%2526refresh_token%253D8903252e%2526x-expires%253D1810119600%2526x-signature%253DrWvlrQW2wPcIxY2gE%25252FGiQcfTmz4%25253D%2526t%253D4d5b0474%2526ps%253D13740610%2526shp%253Dd05b14bd%2526shcp%253D34ff8df6%2526idc%253Dmy2%2526s%253DTIKTOK_AFFILIATE_VIRAL_VIDEO%22%2C%22placeholder_product_id%22%3A%221729427766722726591%22%2C%22placeholder_video_id%22%3A%227634123815890455815%22%7D&amp;ec_shared_reflux_scene=shop_tab_feed&amp;share_item_id=7634123815890455815&amp;source=h5_t" TargetMode="External"/><Relationship Id="rId4731" Type="http://schemas.openxmlformats.org/officeDocument/2006/relationships/hyperlink" Target="https://vt.tiktok.com/ZS9DXN14x/" TargetMode="External"/><Relationship Id="rId8291" Type="http://schemas.openxmlformats.org/officeDocument/2006/relationships/hyperlink" Target="https://vt.tiktok.com/ZS9DP2wff/" TargetMode="External"/><Relationship Id="rId8290" Type="http://schemas.openxmlformats.org/officeDocument/2006/relationships/hyperlink" Target="https://www.tiktok.com/@kmallasary_" TargetMode="External"/><Relationship Id="rId8284" Type="http://schemas.openxmlformats.org/officeDocument/2006/relationships/hyperlink" Target="https://vt.tiktok.com/ZS959tdWy/" TargetMode="External"/><Relationship Id="rId8283" Type="http://schemas.openxmlformats.org/officeDocument/2006/relationships/hyperlink" Target="https://vt.tiktok.com/ZS9DPPrEn/" TargetMode="External"/><Relationship Id="rId8282" Type="http://schemas.openxmlformats.org/officeDocument/2006/relationships/hyperlink" Target="https://vt.tiktok.com/ZS9DP9gUq/" TargetMode="External"/><Relationship Id="rId8281" Type="http://schemas.openxmlformats.org/officeDocument/2006/relationships/hyperlink" Target="https://vt.tiktok.com/ZS9DP2wff/" TargetMode="External"/><Relationship Id="rId8288" Type="http://schemas.openxmlformats.org/officeDocument/2006/relationships/hyperlink" Target="https://vt.tiktok.com/ZS9DP67g8/" TargetMode="External"/><Relationship Id="rId8287" Type="http://schemas.openxmlformats.org/officeDocument/2006/relationships/hyperlink" Target="https://vt.tiktok.com/ZS9DPDvFU/" TargetMode="External"/><Relationship Id="rId8286" Type="http://schemas.openxmlformats.org/officeDocument/2006/relationships/hyperlink" Target="https://vt.tiktok.com/ZS9DPUo5R/" TargetMode="External"/><Relationship Id="rId8285" Type="http://schemas.openxmlformats.org/officeDocument/2006/relationships/hyperlink" Target="https://www.tiktok.com/@leehyu_04" TargetMode="External"/><Relationship Id="rId8289" Type="http://schemas.openxmlformats.org/officeDocument/2006/relationships/hyperlink" Target="https://vt.tiktok.com/ZS9DPmU5N/" TargetMode="External"/><Relationship Id="rId8280" Type="http://schemas.openxmlformats.org/officeDocument/2006/relationships/hyperlink" Target="https://www.tiktok.com/@missaquarius222" TargetMode="External"/><Relationship Id="rId8273" Type="http://schemas.openxmlformats.org/officeDocument/2006/relationships/hyperlink" Target="https://vt.tiktok.com/ZS9DPPrEn/" TargetMode="External"/><Relationship Id="rId8272" Type="http://schemas.openxmlformats.org/officeDocument/2006/relationships/hyperlink" Target="https://vt.tiktok.com/ZS9DP9gUq/" TargetMode="External"/><Relationship Id="rId8271" Type="http://schemas.openxmlformats.org/officeDocument/2006/relationships/hyperlink" Target="https://vt.tiktok.com/ZS9DP2wff/" TargetMode="External"/><Relationship Id="rId8270" Type="http://schemas.openxmlformats.org/officeDocument/2006/relationships/hyperlink" Target="https://www.tiktok.com/@egvn293" TargetMode="External"/><Relationship Id="rId8277" Type="http://schemas.openxmlformats.org/officeDocument/2006/relationships/hyperlink" Target="https://vt.tiktok.com/ZS9DPDvFU/" TargetMode="External"/><Relationship Id="rId8276" Type="http://schemas.openxmlformats.org/officeDocument/2006/relationships/hyperlink" Target="https://vt.tiktok.com/ZS9DPUo5R/" TargetMode="External"/><Relationship Id="rId8275" Type="http://schemas.openxmlformats.org/officeDocument/2006/relationships/hyperlink" Target="https://www.tiktok.com/@_vinvin80" TargetMode="External"/><Relationship Id="rId8274" Type="http://schemas.openxmlformats.org/officeDocument/2006/relationships/hyperlink" Target="https://vt.tiktok.com/ZS959tdWy/" TargetMode="External"/><Relationship Id="rId8279" Type="http://schemas.openxmlformats.org/officeDocument/2006/relationships/hyperlink" Target="https://vt.tiktok.com/ZS9DPmU5N/" TargetMode="External"/><Relationship Id="rId8278" Type="http://schemas.openxmlformats.org/officeDocument/2006/relationships/hyperlink" Target="https://vt.tiktok.com/ZS9DP67g8/" TargetMode="External"/><Relationship Id="rId4701" Type="http://schemas.openxmlformats.org/officeDocument/2006/relationships/hyperlink" Target="https://vt.tiktok.com/ZS9DXN14x/" TargetMode="External"/><Relationship Id="rId4700" Type="http://schemas.openxmlformats.org/officeDocument/2006/relationships/hyperlink" Target="https://vt.tiktok.com/ZS9reLqAt/" TargetMode="External"/><Relationship Id="rId4703" Type="http://schemas.openxmlformats.org/officeDocument/2006/relationships/hyperlink" Target="https://www.tiktok.com/@hemaaaa.malinii" TargetMode="External"/><Relationship Id="rId4702" Type="http://schemas.openxmlformats.org/officeDocument/2006/relationships/hyperlink" Target="https://vt.tiktok.com/ZS9DXN14x/" TargetMode="External"/><Relationship Id="rId4705" Type="http://schemas.openxmlformats.org/officeDocument/2006/relationships/hyperlink" Target="https://vt.tiktok.com/ZS9reLqAt/" TargetMode="External"/><Relationship Id="rId4704" Type="http://schemas.openxmlformats.org/officeDocument/2006/relationships/hyperlink" Target="https://vt.tiktok.com/ZS96d7WtV/" TargetMode="External"/><Relationship Id="rId4707" Type="http://schemas.openxmlformats.org/officeDocument/2006/relationships/hyperlink" Target="https://vt.tiktok.com/ZS9DXN14x/" TargetMode="External"/><Relationship Id="rId4706" Type="http://schemas.openxmlformats.org/officeDocument/2006/relationships/hyperlink" Target="https://vt.tiktok.com/ZS9DXN14x/" TargetMode="External"/><Relationship Id="rId4709" Type="http://schemas.openxmlformats.org/officeDocument/2006/relationships/hyperlink" Target="https://vt.tiktok.com/ZS96d7WtV/" TargetMode="External"/><Relationship Id="rId4708" Type="http://schemas.openxmlformats.org/officeDocument/2006/relationships/hyperlink" Target="https://www.tiktok.com/@rhestinoap" TargetMode="External"/><Relationship Id="rId8295" Type="http://schemas.openxmlformats.org/officeDocument/2006/relationships/hyperlink" Target="https://www.tiktok.com/@ecil95" TargetMode="External"/><Relationship Id="rId8294" Type="http://schemas.openxmlformats.org/officeDocument/2006/relationships/hyperlink" Target="https://vt.tiktok.com/ZS959tdWy/" TargetMode="External"/><Relationship Id="rId8293" Type="http://schemas.openxmlformats.org/officeDocument/2006/relationships/hyperlink" Target="https://vt.tiktok.com/ZS9DPPrEn/" TargetMode="External"/><Relationship Id="rId8292" Type="http://schemas.openxmlformats.org/officeDocument/2006/relationships/hyperlink" Target="https://vt.tiktok.com/ZS9DP9gUq/" TargetMode="External"/><Relationship Id="rId8299" Type="http://schemas.openxmlformats.org/officeDocument/2006/relationships/hyperlink" Target="https://vt.tiktok.com/ZS9DPmU5N/" TargetMode="External"/><Relationship Id="rId8298" Type="http://schemas.openxmlformats.org/officeDocument/2006/relationships/hyperlink" Target="https://vt.tiktok.com/ZS9DP67g8/" TargetMode="External"/><Relationship Id="rId8297" Type="http://schemas.openxmlformats.org/officeDocument/2006/relationships/hyperlink" Target="https://vt.tiktok.com/ZS9DPDvFU/" TargetMode="External"/><Relationship Id="rId8296" Type="http://schemas.openxmlformats.org/officeDocument/2006/relationships/hyperlink" Target="https://vt.tiktok.com/ZS9DPUo5R/" TargetMode="External"/><Relationship Id="rId2148" Type="http://schemas.openxmlformats.org/officeDocument/2006/relationships/hyperlink" Target="https://www.tiktok.com/@ekaa_nw" TargetMode="External"/><Relationship Id="rId2149" Type="http://schemas.openxmlformats.org/officeDocument/2006/relationships/hyperlink" Target="https://vt.tiktok.com/ZS9eYR6gB/" TargetMode="External"/><Relationship Id="rId3479" Type="http://schemas.openxmlformats.org/officeDocument/2006/relationships/hyperlink" Target="https://vt.tiktok.com/ZS9oyTRBe/" TargetMode="External"/><Relationship Id="rId10457" Type="http://schemas.openxmlformats.org/officeDocument/2006/relationships/hyperlink" Target="https://www.tiktok.com/@rendut11_" TargetMode="External"/><Relationship Id="rId10458" Type="http://schemas.openxmlformats.org/officeDocument/2006/relationships/hyperlink" Target="https://www.tiktok.com/@ariessdumpp1" TargetMode="External"/><Relationship Id="rId10455" Type="http://schemas.openxmlformats.org/officeDocument/2006/relationships/hyperlink" Target="https://www.tiktok.com/@agnesmu_" TargetMode="External"/><Relationship Id="rId10456" Type="http://schemas.openxmlformats.org/officeDocument/2006/relationships/hyperlink" Target="https://www.tiktok.com/@des_yannn" TargetMode="External"/><Relationship Id="rId3470" Type="http://schemas.openxmlformats.org/officeDocument/2006/relationships/hyperlink" Target="https://www.tiktok.com/@berkah.glosir/video/7633252601953340693" TargetMode="External"/><Relationship Id="rId10459" Type="http://schemas.openxmlformats.org/officeDocument/2006/relationships/hyperlink" Target="https://www.tiktok.com/@maripossa311" TargetMode="External"/><Relationship Id="rId2140" Type="http://schemas.openxmlformats.org/officeDocument/2006/relationships/hyperlink" Target="https://www.tiktok.com/@papaphoki/video/7622079523416263943?is_from_webapp=1&amp;sender_device=pc" TargetMode="External"/><Relationship Id="rId3472" Type="http://schemas.openxmlformats.org/officeDocument/2006/relationships/hyperlink" Target="https://vt.tiktok.com/ZS9h5Gt8a/" TargetMode="External"/><Relationship Id="rId2141" Type="http://schemas.openxmlformats.org/officeDocument/2006/relationships/hyperlink" Target="https://www.tiktok.com/@papaphoki/video/7623677333609696519?is_from_webapp=1&amp;sender_device=pc" TargetMode="External"/><Relationship Id="rId3471" Type="http://schemas.openxmlformats.org/officeDocument/2006/relationships/hyperlink" Target="https://www.tiktok.com/@berkah.glosir/video/7633251968873467157" TargetMode="External"/><Relationship Id="rId10450" Type="http://schemas.openxmlformats.org/officeDocument/2006/relationships/hyperlink" Target="https://www.tiktok.com/@apriskadew" TargetMode="External"/><Relationship Id="rId2142" Type="http://schemas.openxmlformats.org/officeDocument/2006/relationships/hyperlink" Target="https://vt.tiktok.com/ZSHUttppd/" TargetMode="External"/><Relationship Id="rId3474" Type="http://schemas.openxmlformats.org/officeDocument/2006/relationships/hyperlink" Target="https://vt.tiktok.com/ZS9h5g6cD/" TargetMode="External"/><Relationship Id="rId2143" Type="http://schemas.openxmlformats.org/officeDocument/2006/relationships/hyperlink" Target="https://www.tiktok.com/@papaphoki/video/7629007153344400658?_r=1&amp;u_code=ebh28g7h5flmf1&amp;region=&amp;mid=7512358213874977537&amp;preview_pb=0&amp;sharer_language=&amp;_d=0&amp;ec_shared_reflux_dynamic_params=%7B%22placeholder_material_id%22%3A%227629007153344400658%22%2C%22placeholder_origin_cover%22%3A%22https%253A%252F%252Fp16-common-sign.tiktokcdn.com%252Ftos-alisg-p-0037%252FoEgBBzpCCrRIECjEF6Am6QQDfgcc3kOBC7fTZ8~tplv-tiktokx-origin.jpeg%253Fdr%253D14572%2526refresh_token%253Ddffe843c%2526x-expires%253D1808204400%2526x-signature%253DWhaN95tGV11NCgAWfDziTpheUm4%25253D%2526t%253D4d5b0474%2526ps%253D13740610%2526shp%253Dd05b14bd%2526shcp%253D34ff8df6%2526idc%253Dmy3%2526s%253DTIKTOK_AFFILIATE_VIRAL_VIDEO%22%2C%22placeholder_product_id%22%3A%221729427766722726591%22%2C%22placeholder_video_id%22%3A%227629007153344400658%22%7D&amp;ec_shared_reflux_scene=shop_tab_feed&amp;share_item_id=7629007153344400658&amp;source=h5_t" TargetMode="External"/><Relationship Id="rId3473" Type="http://schemas.openxmlformats.org/officeDocument/2006/relationships/hyperlink" Target="https://www.tiktok.com/@meyandjoe" TargetMode="External"/><Relationship Id="rId2144" Type="http://schemas.openxmlformats.org/officeDocument/2006/relationships/hyperlink" Target="https://www.tiktok.com/@d_icollection" TargetMode="External"/><Relationship Id="rId3476" Type="http://schemas.openxmlformats.org/officeDocument/2006/relationships/hyperlink" Target="https://www.tiktok.com/@regiitenk" TargetMode="External"/><Relationship Id="rId10453" Type="http://schemas.openxmlformats.org/officeDocument/2006/relationships/hyperlink" Target="https://www.tiktok.com/@imyourdaay" TargetMode="External"/><Relationship Id="rId2145" Type="http://schemas.openxmlformats.org/officeDocument/2006/relationships/hyperlink" Target="http://karazuka.id" TargetMode="External"/><Relationship Id="rId3475" Type="http://schemas.openxmlformats.org/officeDocument/2006/relationships/hyperlink" Target="https://vt.tiktok.com/ZS9ofNoEv/" TargetMode="External"/><Relationship Id="rId10454" Type="http://schemas.openxmlformats.org/officeDocument/2006/relationships/hyperlink" Target="https://www.tiktok.com/@itsme_pipahhh" TargetMode="External"/><Relationship Id="rId2146" Type="http://schemas.openxmlformats.org/officeDocument/2006/relationships/hyperlink" Target="https://www.tiktok.com/@karazuka.id" TargetMode="External"/><Relationship Id="rId3478" Type="http://schemas.openxmlformats.org/officeDocument/2006/relationships/hyperlink" Target="https://www.tiktok.com/@rarahumaira08" TargetMode="External"/><Relationship Id="rId10451" Type="http://schemas.openxmlformats.org/officeDocument/2006/relationships/hyperlink" Target="https://www.tiktok.com/@machalatte.oo" TargetMode="External"/><Relationship Id="rId2147" Type="http://schemas.openxmlformats.org/officeDocument/2006/relationships/hyperlink" Target="https://vt.tiktok.com/ZS9eY87Ac/" TargetMode="External"/><Relationship Id="rId3477" Type="http://schemas.openxmlformats.org/officeDocument/2006/relationships/hyperlink" Target="https://vt.tiktok.com/ZS9oytkAt/" TargetMode="External"/><Relationship Id="rId10452" Type="http://schemas.openxmlformats.org/officeDocument/2006/relationships/hyperlink" Target="https://www.tiktok.com/@inii.riniiiii" TargetMode="External"/><Relationship Id="rId2137" Type="http://schemas.openxmlformats.org/officeDocument/2006/relationships/hyperlink" Target="https://vt.tiktok.com/ZS9LLjPtQ/" TargetMode="External"/><Relationship Id="rId3469" Type="http://schemas.openxmlformats.org/officeDocument/2006/relationships/hyperlink" Target="https://www.tiktok.com/@kyutcutee" TargetMode="External"/><Relationship Id="rId2138" Type="http://schemas.openxmlformats.org/officeDocument/2006/relationships/hyperlink" Target="https://vt.tiktok.com/ZS93SM638/" TargetMode="External"/><Relationship Id="rId3468" Type="http://schemas.openxmlformats.org/officeDocument/2006/relationships/hyperlink" Target="https://vt.tiktok.com/ZS9o6dYPY/" TargetMode="External"/><Relationship Id="rId4799" Type="http://schemas.openxmlformats.org/officeDocument/2006/relationships/hyperlink" Target="https://vt.tiktok.com/ZS9Qf1BbT/" TargetMode="External"/><Relationship Id="rId2139" Type="http://schemas.openxmlformats.org/officeDocument/2006/relationships/hyperlink" Target="https://www.tiktok.com/@papaphoki" TargetMode="External"/><Relationship Id="rId10468" Type="http://schemas.openxmlformats.org/officeDocument/2006/relationships/hyperlink" Target="https://www.tiktok.com/@dsty0306" TargetMode="External"/><Relationship Id="rId10469" Type="http://schemas.openxmlformats.org/officeDocument/2006/relationships/hyperlink" Target="https://www.tiktok.com/@riyantiririn74" TargetMode="External"/><Relationship Id="rId10466" Type="http://schemas.openxmlformats.org/officeDocument/2006/relationships/hyperlink" Target="https://www.tiktok.com/@merahjambu940" TargetMode="External"/><Relationship Id="rId10467" Type="http://schemas.openxmlformats.org/officeDocument/2006/relationships/hyperlink" Target="https://www.tiktok.com/@zizaashopp" TargetMode="External"/><Relationship Id="rId4790" Type="http://schemas.openxmlformats.org/officeDocument/2006/relationships/hyperlink" Target="https://vt.tiktok.com/ZS9fgL9Dx/" TargetMode="External"/><Relationship Id="rId3461" Type="http://schemas.openxmlformats.org/officeDocument/2006/relationships/hyperlink" Target="https://vt.tiktok.com/ZS9keLoH3/" TargetMode="External"/><Relationship Id="rId4792" Type="http://schemas.openxmlformats.org/officeDocument/2006/relationships/hyperlink" Target="https://vt.tiktok.com/ZS9fgFPC3/" TargetMode="External"/><Relationship Id="rId10460" Type="http://schemas.openxmlformats.org/officeDocument/2006/relationships/hyperlink" Target="https://www.tiktok.com/@goodr652" TargetMode="External"/><Relationship Id="rId2130" Type="http://schemas.openxmlformats.org/officeDocument/2006/relationships/hyperlink" Target="https://vt.tiktok.com/ZS9JBGmCP/" TargetMode="External"/><Relationship Id="rId3460" Type="http://schemas.openxmlformats.org/officeDocument/2006/relationships/hyperlink" Target="https://vt.tiktok.com/ZS9kJpuyh/" TargetMode="External"/><Relationship Id="rId4791" Type="http://schemas.openxmlformats.org/officeDocument/2006/relationships/hyperlink" Target="https://vt.tiktok.com/ZS9fbTmfe/" TargetMode="External"/><Relationship Id="rId10461" Type="http://schemas.openxmlformats.org/officeDocument/2006/relationships/hyperlink" Target="https://www.tiktok.com/@indahpuspitasari232" TargetMode="External"/><Relationship Id="rId2131" Type="http://schemas.openxmlformats.org/officeDocument/2006/relationships/hyperlink" Target="https://www.tiktok.com/@ltanih" TargetMode="External"/><Relationship Id="rId3463" Type="http://schemas.openxmlformats.org/officeDocument/2006/relationships/hyperlink" Target="https://vt.tiktok.com/ZS9ojo7hA/" TargetMode="External"/><Relationship Id="rId4794" Type="http://schemas.openxmlformats.org/officeDocument/2006/relationships/hyperlink" Target="https://vt.tiktok.com/ZS9Qf1BbT/" TargetMode="External"/><Relationship Id="rId2132" Type="http://schemas.openxmlformats.org/officeDocument/2006/relationships/hyperlink" Target="https://vt.tiktok.com/ZS9JPSWq2/" TargetMode="External"/><Relationship Id="rId3462" Type="http://schemas.openxmlformats.org/officeDocument/2006/relationships/hyperlink" Target="https://vt.tiktok.com/ZS92M1nCj/" TargetMode="External"/><Relationship Id="rId4793" Type="http://schemas.openxmlformats.org/officeDocument/2006/relationships/hyperlink" Target="https://www.tiktok.com/@naniichan__" TargetMode="External"/><Relationship Id="rId2133" Type="http://schemas.openxmlformats.org/officeDocument/2006/relationships/hyperlink" Target="https://vt.tiktok.com/ZS9JPFAvy/" TargetMode="External"/><Relationship Id="rId3465" Type="http://schemas.openxmlformats.org/officeDocument/2006/relationships/hyperlink" Target="https://vt.tiktok.com/ZS9Ma5n9k/" TargetMode="External"/><Relationship Id="rId4796" Type="http://schemas.openxmlformats.org/officeDocument/2006/relationships/hyperlink" Target="https://vt.tiktok.com/ZS9fbTmfe/" TargetMode="External"/><Relationship Id="rId10464" Type="http://schemas.openxmlformats.org/officeDocument/2006/relationships/hyperlink" Target="https://www.tiktok.com/@nitaprsari" TargetMode="External"/><Relationship Id="rId2134" Type="http://schemas.openxmlformats.org/officeDocument/2006/relationships/hyperlink" Target="https://www.tiktok.com/@harmoni._79" TargetMode="External"/><Relationship Id="rId3464" Type="http://schemas.openxmlformats.org/officeDocument/2006/relationships/hyperlink" Target="https://www.tiktok.com/@notyourbasicsugarbaby" TargetMode="External"/><Relationship Id="rId4795" Type="http://schemas.openxmlformats.org/officeDocument/2006/relationships/hyperlink" Target="https://vt.tiktok.com/ZS9fgL9Dx/" TargetMode="External"/><Relationship Id="rId10465" Type="http://schemas.openxmlformats.org/officeDocument/2006/relationships/hyperlink" Target="https://www.tiktok.com/@zeeya2024" TargetMode="External"/><Relationship Id="rId2135" Type="http://schemas.openxmlformats.org/officeDocument/2006/relationships/hyperlink" Target="https://vt.tiktok.com/ZS9RbXb5N/" TargetMode="External"/><Relationship Id="rId3467" Type="http://schemas.openxmlformats.org/officeDocument/2006/relationships/hyperlink" Target="https://vt.tiktok.com/ZS9hEqqJd/" TargetMode="External"/><Relationship Id="rId4798" Type="http://schemas.openxmlformats.org/officeDocument/2006/relationships/hyperlink" Target="https://www.tiktok.com/@nengyani1997" TargetMode="External"/><Relationship Id="rId10462" Type="http://schemas.openxmlformats.org/officeDocument/2006/relationships/hyperlink" Target="https://www.tiktok.com/@vg.jenn" TargetMode="External"/><Relationship Id="rId2136" Type="http://schemas.openxmlformats.org/officeDocument/2006/relationships/hyperlink" Target="https://vt.tiktok.com/ZS9RbbULF/" TargetMode="External"/><Relationship Id="rId3466" Type="http://schemas.openxmlformats.org/officeDocument/2006/relationships/hyperlink" Target="https://vt.tiktok.com/ZS9hCG8PL/" TargetMode="External"/><Relationship Id="rId4797" Type="http://schemas.openxmlformats.org/officeDocument/2006/relationships/hyperlink" Target="https://vt.tiktok.com/ZS9fgFPC3/" TargetMode="External"/><Relationship Id="rId10463" Type="http://schemas.openxmlformats.org/officeDocument/2006/relationships/hyperlink" Target="https://www.tiktok.com/@prandu06" TargetMode="External"/><Relationship Id="rId10435" Type="http://schemas.openxmlformats.org/officeDocument/2006/relationships/hyperlink" Target="https://www.tiktok.com/@suritiw" TargetMode="External"/><Relationship Id="rId10436" Type="http://schemas.openxmlformats.org/officeDocument/2006/relationships/hyperlink" Target="https://www.tiktok.com/@recandwinata" TargetMode="External"/><Relationship Id="rId10433" Type="http://schemas.openxmlformats.org/officeDocument/2006/relationships/hyperlink" Target="https://www.tiktok.com/@derramedesp" TargetMode="External"/><Relationship Id="rId10434" Type="http://schemas.openxmlformats.org/officeDocument/2006/relationships/hyperlink" Target="https://www.tiktok.com/@mama_hniashop" TargetMode="External"/><Relationship Id="rId3490" Type="http://schemas.openxmlformats.org/officeDocument/2006/relationships/hyperlink" Target="https://vt.tiktok.com/ZSx8DFCo2/" TargetMode="External"/><Relationship Id="rId10439" Type="http://schemas.openxmlformats.org/officeDocument/2006/relationships/hyperlink" Target="https://www.tiktok.com/@nisaulmmn" TargetMode="External"/><Relationship Id="rId2160" Type="http://schemas.openxmlformats.org/officeDocument/2006/relationships/hyperlink" Target="https://vt.tiktok.com/ZSHpXUN8x/" TargetMode="External"/><Relationship Id="rId3492" Type="http://schemas.openxmlformats.org/officeDocument/2006/relationships/hyperlink" Target="https://www.tiktok.com/@ucancallmedinarr" TargetMode="External"/><Relationship Id="rId10437" Type="http://schemas.openxmlformats.org/officeDocument/2006/relationships/hyperlink" Target="https://www.tiktok.com/@lestarryyy" TargetMode="External"/><Relationship Id="rId2161" Type="http://schemas.openxmlformats.org/officeDocument/2006/relationships/hyperlink" Target="https://www.tiktok.com/@riesmamaharani" TargetMode="External"/><Relationship Id="rId3491" Type="http://schemas.openxmlformats.org/officeDocument/2006/relationships/hyperlink" Target="https://vt.tiktok.com/ZSx8Avftd/" TargetMode="External"/><Relationship Id="rId10438" Type="http://schemas.openxmlformats.org/officeDocument/2006/relationships/hyperlink" Target="https://www.tiktok.com/@pangesti_est" TargetMode="External"/><Relationship Id="rId2162" Type="http://schemas.openxmlformats.org/officeDocument/2006/relationships/hyperlink" Target="https://www.tiktok.com/@riesmamaharani/video/7620652322334526741?_r=1&amp;u_code=d020l66mf57al4&amp;region=&amp;mid=7620652411971111688&amp;preview_pb=0&amp;sharer_language=&amp;_d=0&amp;ec_shared_reflux_dynamic_params=%7B%22placeholder_material_id%22%3A%227620652322334526741%22%2C%22placeholder_origin_cover%22%3A%22https%253A%252F%252Fp16-sign-sg.tiktokcdn.com%252Ftos-alisg-p-0037%252FoMQRDLnrfFXLGrGzQegmpwEAIGfGABEJeu3AGv~tplv-tiktokx-origin.jpeg%253Fdr%253D14572%2526refresh_token%253Dc286b6f2%2526x-expires%253D1806051600%2526x-signature%253DtpmpkLh%25252BFL%25252B70WESnTJhs%25252FOByXk%25253D%2526t%253D4d5b0474%2526ps%253D13740610%2526shp%253Dd05b14bd%2526shcp%253D34ff8df6%2526idc%253Dmy2%2526s%253DTIKTOK_AFFILIATE_VIRAL_VIDEO%22%2C%22placeholder_product_id%22%3A%221729427766722726591%22%2C%22placeholder_video_id%22%3A%227620652322334526741%22%7D&amp;ec_shared_reflux_scene=shop_tab_feed&amp;share_item_id=7620652322334526741&amp;source=h5_t" TargetMode="External"/><Relationship Id="rId3494" Type="http://schemas.openxmlformats.org/officeDocument/2006/relationships/hyperlink" Target="https://vt.tiktok.com/ZS9jxmaFt/" TargetMode="External"/><Relationship Id="rId2163" Type="http://schemas.openxmlformats.org/officeDocument/2006/relationships/hyperlink" Target="https://www.tiktok.com/@riesmamaharani/video/7621342823912066325?_r=1&amp;u_code=d020l66mf57al4&amp;region=&amp;mid=7609992945409034256&amp;preview_pb=0&amp;sharer_language=&amp;_d=0&amp;ec_shared_reflux_dynamic_params=%7B%22placeholder_material_id%22%3A%227621342823912066325%22%2C%22placeholder_origin_cover%22%3A%22https%253A%252F%252Fp16-sign-sg.tiktokcdn.com%252Ftos-alisg-p-0037%252Fo0OCCHPejEgTLDAdQXvajcsGAIuIo3FAweiRQe~tplv-tiktokx-origin.jpeg%253Fdr%253D14572%2526refresh_token%253Dc352d93c%2526x-expires%253D1807070400%2526x-signature%253DUMPPkkkTcn0lBzJSSU7evu8lny4%25253D%2526t%253D4d5b0474%2526ps%253D13740610%2526shp%253Dd05b14bd%2526shcp%253D34ff8df6%2526idc%253Dmy2%2526s%253DTIKTOK_AFFILIATE_VIRAL_VIDEO%22%2C%22placeholder_product_id%22%3A%221729427766722726591%22%2C%22placeholder_video_id%22%3A%227621342823912066325%22%7D&amp;ec_shared_reflux_scene=shop_tab_feed&amp;share_item_id=7621342823912066325&amp;source=h5_t" TargetMode="External"/><Relationship Id="rId3493" Type="http://schemas.openxmlformats.org/officeDocument/2006/relationships/hyperlink" Target="https://vt.tiktok.com/ZS9YMYmaa/" TargetMode="External"/><Relationship Id="rId2164" Type="http://schemas.openxmlformats.org/officeDocument/2006/relationships/hyperlink" Target="https://vt.tiktok.com/ZS9vpoWu8/" TargetMode="External"/><Relationship Id="rId3496" Type="http://schemas.openxmlformats.org/officeDocument/2006/relationships/hyperlink" Target="https://vt.tiktok.com/ZS9jxH24H/" TargetMode="External"/><Relationship Id="rId2165" Type="http://schemas.openxmlformats.org/officeDocument/2006/relationships/hyperlink" Target="https://www.tiktok.com/@_nisaftri" TargetMode="External"/><Relationship Id="rId3495" Type="http://schemas.openxmlformats.org/officeDocument/2006/relationships/hyperlink" Target="https://www.tiktok.com/@iwayhrsss" TargetMode="External"/><Relationship Id="rId2166" Type="http://schemas.openxmlformats.org/officeDocument/2006/relationships/hyperlink" Target="https://www.tiktok.com/@andinee__/video/7603605642015706375" TargetMode="External"/><Relationship Id="rId3498" Type="http://schemas.openxmlformats.org/officeDocument/2006/relationships/hyperlink" Target="https://vt.tiktok.com/ZS9jxHPgg/" TargetMode="External"/><Relationship Id="rId10431" Type="http://schemas.openxmlformats.org/officeDocument/2006/relationships/hyperlink" Target="https://www.tiktok.com/@maramara16_" TargetMode="External"/><Relationship Id="rId2167" Type="http://schemas.openxmlformats.org/officeDocument/2006/relationships/hyperlink" Target="https://www.tiktok.com/@andinee__/video/7603605642015706375" TargetMode="External"/><Relationship Id="rId3497" Type="http://schemas.openxmlformats.org/officeDocument/2006/relationships/hyperlink" Target="https://vt.tiktok.com/ZS9jxq7o1/" TargetMode="External"/><Relationship Id="rId10432" Type="http://schemas.openxmlformats.org/officeDocument/2006/relationships/hyperlink" Target="https://www.tiktok.com/@geminies22" TargetMode="External"/><Relationship Id="rId2168" Type="http://schemas.openxmlformats.org/officeDocument/2006/relationships/hyperlink" Target="https://www.tiktok.com/@andinee__/video/7602893227196288264" TargetMode="External"/><Relationship Id="rId2169" Type="http://schemas.openxmlformats.org/officeDocument/2006/relationships/hyperlink" Target="https://www.tiktok.com/@andinee__/video/7600289210637028616" TargetMode="External"/><Relationship Id="rId3499" Type="http://schemas.openxmlformats.org/officeDocument/2006/relationships/hyperlink" Target="https://www.tiktok.com/@meryytrr" TargetMode="External"/><Relationship Id="rId10430" Type="http://schemas.openxmlformats.org/officeDocument/2006/relationships/hyperlink" Target="https://www.tiktok.com/@bucincantik3" TargetMode="External"/><Relationship Id="rId2159" Type="http://schemas.openxmlformats.org/officeDocument/2006/relationships/hyperlink" Target="https://vt.tiktok.com/ZSHpXjUwg/" TargetMode="External"/><Relationship Id="rId10446" Type="http://schemas.openxmlformats.org/officeDocument/2006/relationships/hyperlink" Target="https://www.tiktok.com/@firdaamaliaaa_" TargetMode="External"/><Relationship Id="rId10447" Type="http://schemas.openxmlformats.org/officeDocument/2006/relationships/hyperlink" Target="https://www.tiktok.com/@ceo_batu_giok04" TargetMode="External"/><Relationship Id="rId10444" Type="http://schemas.openxmlformats.org/officeDocument/2006/relationships/hyperlink" Target="https://www.tiktok.com/@casyamine" TargetMode="External"/><Relationship Id="rId10445" Type="http://schemas.openxmlformats.org/officeDocument/2006/relationships/hyperlink" Target="https://www.tiktok.com/@xixiee._" TargetMode="External"/><Relationship Id="rId3481" Type="http://schemas.openxmlformats.org/officeDocument/2006/relationships/hyperlink" Target="https://vt.tiktok.com/ZSxA53ecP/" TargetMode="External"/><Relationship Id="rId10448" Type="http://schemas.openxmlformats.org/officeDocument/2006/relationships/hyperlink" Target="https://www.tiktok.com/@syi_syi" TargetMode="External"/><Relationship Id="rId2150" Type="http://schemas.openxmlformats.org/officeDocument/2006/relationships/hyperlink" Target="https://vt.tiktok.com/ZS9eYcru5/" TargetMode="External"/><Relationship Id="rId3480" Type="http://schemas.openxmlformats.org/officeDocument/2006/relationships/hyperlink" Target="https://www.tiktok.com/@sintakurniawati.61" TargetMode="External"/><Relationship Id="rId10449" Type="http://schemas.openxmlformats.org/officeDocument/2006/relationships/hyperlink" Target="https://www.tiktok.com/@askazorifa19" TargetMode="External"/><Relationship Id="rId2151" Type="http://schemas.openxmlformats.org/officeDocument/2006/relationships/hyperlink" Target="https://vt.tiktok.com/ZS9eYcwVV/" TargetMode="External"/><Relationship Id="rId3483" Type="http://schemas.openxmlformats.org/officeDocument/2006/relationships/hyperlink" Target="https://www.tiktok.com/@putriliyanasari94" TargetMode="External"/><Relationship Id="rId2152" Type="http://schemas.openxmlformats.org/officeDocument/2006/relationships/hyperlink" Target="https://www.tiktok.com/@andinee__/video/7629202783949933842" TargetMode="External"/><Relationship Id="rId3482" Type="http://schemas.openxmlformats.org/officeDocument/2006/relationships/hyperlink" Target="https://vt.tiktok.com/ZSxSxubbN/" TargetMode="External"/><Relationship Id="rId2153" Type="http://schemas.openxmlformats.org/officeDocument/2006/relationships/hyperlink" Target="https://www.tiktok.com/@sagitarius_tita" TargetMode="External"/><Relationship Id="rId3485" Type="http://schemas.openxmlformats.org/officeDocument/2006/relationships/hyperlink" Target="https://vt.tiktok.com/ZS9MoMFVB/" TargetMode="External"/><Relationship Id="rId2154" Type="http://schemas.openxmlformats.org/officeDocument/2006/relationships/hyperlink" Target="https://www.tiktok.com/@andinee__/video/7629201748367772935" TargetMode="External"/><Relationship Id="rId3484" Type="http://schemas.openxmlformats.org/officeDocument/2006/relationships/hyperlink" Target="https://vt.tiktok.com/ZS9MGwHp3/" TargetMode="External"/><Relationship Id="rId2155" Type="http://schemas.openxmlformats.org/officeDocument/2006/relationships/hyperlink" Target="https://www.tiktok.com/@andinee__/video/7617332251910507796" TargetMode="External"/><Relationship Id="rId3487" Type="http://schemas.openxmlformats.org/officeDocument/2006/relationships/hyperlink" Target="https://www.tiktok.com/@sunny.beaute" TargetMode="External"/><Relationship Id="rId10442" Type="http://schemas.openxmlformats.org/officeDocument/2006/relationships/hyperlink" Target="https://www.tiktok.com/@rachmaaaaa2" TargetMode="External"/><Relationship Id="rId2156" Type="http://schemas.openxmlformats.org/officeDocument/2006/relationships/hyperlink" Target="https://www.tiktok.com/@andinee__/video/7617328774555864341" TargetMode="External"/><Relationship Id="rId3486" Type="http://schemas.openxmlformats.org/officeDocument/2006/relationships/hyperlink" Target="https://vt.tiktok.com/ZS9MoPy9Y/" TargetMode="External"/><Relationship Id="rId10443" Type="http://schemas.openxmlformats.org/officeDocument/2006/relationships/hyperlink" Target="https://www.tiktok.com/@piet_upiet" TargetMode="External"/><Relationship Id="rId2157" Type="http://schemas.openxmlformats.org/officeDocument/2006/relationships/hyperlink" Target="https://www.tiktok.com/@andinee__/video/7612579609149836562" TargetMode="External"/><Relationship Id="rId3489" Type="http://schemas.openxmlformats.org/officeDocument/2006/relationships/hyperlink" Target="https://vt.tiktok.com/ZS9oywm9B/" TargetMode="External"/><Relationship Id="rId10440" Type="http://schemas.openxmlformats.org/officeDocument/2006/relationships/hyperlink" Target="https://www.tiktok.com/@leonora.daily" TargetMode="External"/><Relationship Id="rId2158" Type="http://schemas.openxmlformats.org/officeDocument/2006/relationships/hyperlink" Target="https://www.tiktok.com/@Tinatimoty3" TargetMode="External"/><Relationship Id="rId3488" Type="http://schemas.openxmlformats.org/officeDocument/2006/relationships/hyperlink" Target="https://vt.tiktok.com/ZS9YMrpLy/" TargetMode="External"/><Relationship Id="rId10441" Type="http://schemas.openxmlformats.org/officeDocument/2006/relationships/hyperlink" Target="https://www.tiktok.com/@ranirann7" TargetMode="External"/><Relationship Id="rId2104" Type="http://schemas.openxmlformats.org/officeDocument/2006/relationships/hyperlink" Target="https://www.tiktok.com/@_adamhmd" TargetMode="External"/><Relationship Id="rId3436" Type="http://schemas.openxmlformats.org/officeDocument/2006/relationships/hyperlink" Target="https://www.tiktok.com/@ameeliayl" TargetMode="External"/><Relationship Id="rId4767" Type="http://schemas.openxmlformats.org/officeDocument/2006/relationships/hyperlink" Target="https://vt.tiktok.com/ZS9fgFPC3/" TargetMode="External"/><Relationship Id="rId2105" Type="http://schemas.openxmlformats.org/officeDocument/2006/relationships/hyperlink" Target="https://vt.tiktok.com/ZSHt6bpB4/" TargetMode="External"/><Relationship Id="rId3435" Type="http://schemas.openxmlformats.org/officeDocument/2006/relationships/hyperlink" Target="https://vt.tiktok.com/ZS9YHuj7M/" TargetMode="External"/><Relationship Id="rId4766" Type="http://schemas.openxmlformats.org/officeDocument/2006/relationships/hyperlink" Target="https://vt.tiktok.com/ZS9fbTmfe/" TargetMode="External"/><Relationship Id="rId2106" Type="http://schemas.openxmlformats.org/officeDocument/2006/relationships/hyperlink" Target="https://vt.tiktok.com/ZS9v3DSf5/" TargetMode="External"/><Relationship Id="rId3438" Type="http://schemas.openxmlformats.org/officeDocument/2006/relationships/hyperlink" Target="https://vt.tiktok.com/ZSxdTRRtu/" TargetMode="External"/><Relationship Id="rId4769" Type="http://schemas.openxmlformats.org/officeDocument/2006/relationships/hyperlink" Target="https://vt.tiktok.com/ZS9Qf1BbT/" TargetMode="External"/><Relationship Id="rId2107" Type="http://schemas.openxmlformats.org/officeDocument/2006/relationships/hyperlink" Target="https://www.tiktok.com/@ceisya_nasya" TargetMode="External"/><Relationship Id="rId3437" Type="http://schemas.openxmlformats.org/officeDocument/2006/relationships/hyperlink" Target="https://vt.tiktok.com/ZS9YHPMYn/" TargetMode="External"/><Relationship Id="rId4768" Type="http://schemas.openxmlformats.org/officeDocument/2006/relationships/hyperlink" Target="https://www.tiktok.com/@yanti_nainggolan" TargetMode="External"/><Relationship Id="rId2108" Type="http://schemas.openxmlformats.org/officeDocument/2006/relationships/hyperlink" Target="https://www.tiktok.com/@snowme.shop/video/7627663870852631828?_r=1&amp;u_code=dal30337ieiagk&amp;region=&amp;mid=7606427014548408321&amp;preview_pb=0&amp;sharer_language=&amp;_d=0&amp;ec_shared_reflux_dynamic_params=%7B%22placeholder_material_id%22%3A%227627663870852631828%22%2C%22placeholder_origin_cover%22%3A%22https%253A%252F%252Fp16-common-sign.tiktokcdn.com%252Ftos-alisg-p-0037%252FowdnzRe8XAQ8CGSHAgLkazwGNeUnXe5IGRFe1g~tplv-tiktokx-origin.jpeg%253Fdr%253D14572%2526refresh_token%253D3379fc5e%2526x-expires%253D1808301600%2526x-signature%253DmJRsL7rFJuAPL3gdw6PhlYzuMcw%25253D%2526t%253D4d5b0474%2526ps%253D13740610%2526shp%253Dd05b14bd%2526shcp%253D34ff8df6%2526idc%253Dmy3%2526s%253DTIKTOK_AFFILIATE_VIRAL_VIDEO%22%2C%22placeholder_product_id%22%3A%221729427766722726591%22%2C%22placeholder_video_id%22%3A%227627663870852631828%22%7D&amp;ec_shared_reflux_scene=shop_tab_feed&amp;share_item_id=7627663870852631828&amp;source=h5_t" TargetMode="External"/><Relationship Id="rId2109" Type="http://schemas.openxmlformats.org/officeDocument/2006/relationships/hyperlink" Target="https://www.tiktok.com/@snowme.shop/video/7627506185498807572?_r=1&amp;u_code=dal30337ieiagk&amp;region=&amp;mid=7522454204213168918&amp;preview_pb=0&amp;sharer_language=&amp;_d=0&amp;ec_shared_reflux_dynamic_params=%7B%22placeholder_material_id%22%3A%227627506185498807572%22%2C%22placeholder_origin_cover%22%3A%22https%253A%252F%252Fp16-sign-sg.tiktokcdn.com%252Ftos-alisg-p-0037%252Fo0AzW0JzfAAdALBqCIRawQIw7iIAS7QmZuiIA6~tplv-tiktokx-origin.jpeg%253Fdr%253D14572%2526refresh_token%253D617f93c1%2526x-expires%253D1808301600%2526x-signature%253DPN%25252Brnz%25252B6VilQfaA7RG3mxgOQEh0%25253D%2526t%253D4d5b0474%2526ps%253D13740610%2526shp%253Dd05b14bd%2526shcp%253D34ff8df6%2526idc%253Dmy3%2526s%253DTIKTOK_AFFILIATE_VIRAL_VIDEO%22%2C%22placeholder_product_id%22%3A%221729427766722726591%22%2C%22placeholder_video_id%22%3A%227627506185498807572%22%7D&amp;ec_shared_reflux_scene=shop_tab_feed&amp;share_item_id=7627506185498807572&amp;source=h5_t" TargetMode="External"/><Relationship Id="rId3439" Type="http://schemas.openxmlformats.org/officeDocument/2006/relationships/hyperlink" Target="https://www.tiktok.com/@makeupfor30s" TargetMode="External"/><Relationship Id="rId10493" Type="http://schemas.openxmlformats.org/officeDocument/2006/relationships/hyperlink" Target="https://www.tiktok.com/@chocochip_232" TargetMode="External"/><Relationship Id="rId10494" Type="http://schemas.openxmlformats.org/officeDocument/2006/relationships/hyperlink" Target="https://www.tiktok.com/@sasalbela01_" TargetMode="External"/><Relationship Id="rId3430" Type="http://schemas.openxmlformats.org/officeDocument/2006/relationships/hyperlink" Target="https://vt.tiktok.com/ZS9Fd8Y1u/" TargetMode="External"/><Relationship Id="rId4761" Type="http://schemas.openxmlformats.org/officeDocument/2006/relationships/hyperlink" Target="https://vt.tiktok.com/ZS9fbTmfe/" TargetMode="External"/><Relationship Id="rId10491" Type="http://schemas.openxmlformats.org/officeDocument/2006/relationships/hyperlink" Target="https://www.tiktok.com/@khanzaaqt" TargetMode="External"/><Relationship Id="rId4760" Type="http://schemas.openxmlformats.org/officeDocument/2006/relationships/hyperlink" Target="https://vt.tiktok.com/ZS9fgL9Dx/" TargetMode="External"/><Relationship Id="rId10492" Type="http://schemas.openxmlformats.org/officeDocument/2006/relationships/hyperlink" Target="https://www.tiktok.com/@nurmaaida02" TargetMode="External"/><Relationship Id="rId2100" Type="http://schemas.openxmlformats.org/officeDocument/2006/relationships/hyperlink" Target="https://www.tiktok.com/@suswati_marlina/video/7623284113637641493?is_from_webapp=1&amp;sender_device=pc" TargetMode="External"/><Relationship Id="rId3432" Type="http://schemas.openxmlformats.org/officeDocument/2006/relationships/hyperlink" Target="https://www.tiktok.com/@belanja_hemat.shop/video/7634331079263980807?_r=1&amp;u_code=ek6h2252jijmih&amp;region=&amp;mid=7578568876850449159&amp;preview_pb=0&amp;sharer_language=&amp;_d=0&amp;ec_shared_reflux_dynamic_params=%7B%22placeholder_material_id%22%3A%227634331079263980807%22%2C%22placeholder_origin_cover%22%3A%22https%253A%252F%252Fp16-common-sign.tiktokcdn.com%252Ftos-alisg-p-0037%252FoAfQoQlMAAekDI4ujFfWSTDCF15jwEIM7k6aDy~tplv-tiktokx-origin.jpeg%253Fdr%253D14572%2526refresh_token%253D90bff591%2526x-expires%253D1810195200%2526x-signature%253D3D%25252F7avYDck8F3YXYmHSDzfr1RrE%25253D%2526t%253D4d5b0474%2526ps%253D13740610%2526shp%253Dd05b14bd%2526shcp%253D34ff8df6%2526idc%253Dmy2%2526s%253DTIKTOK_AFFILIATE_VIRAL_VIDEO%22%2C%22placeholder_product_id%22%3A%221729427766722726591%22%2C%22placeholder_video_id%22%3A%227634331079263980807%22%7D&amp;ec_shared_reflux_scene=shop_tab_feed&amp;share_item_id=7634331079263980807&amp;source=h5_t" TargetMode="External"/><Relationship Id="rId4763" Type="http://schemas.openxmlformats.org/officeDocument/2006/relationships/hyperlink" Target="https://www.tiktok.com/@zaaketiga" TargetMode="External"/><Relationship Id="rId10497" Type="http://schemas.openxmlformats.org/officeDocument/2006/relationships/drawing" Target="../drawings/drawing16.xml"/><Relationship Id="rId2101" Type="http://schemas.openxmlformats.org/officeDocument/2006/relationships/hyperlink" Target="https://vt.tiktok.com/ZSHoF5dJo/" TargetMode="External"/><Relationship Id="rId3431" Type="http://schemas.openxmlformats.org/officeDocument/2006/relationships/hyperlink" Target="https://vt.tiktok.com/ZS9FdMRF4/" TargetMode="External"/><Relationship Id="rId4762" Type="http://schemas.openxmlformats.org/officeDocument/2006/relationships/hyperlink" Target="https://vt.tiktok.com/ZS9fgFPC3/" TargetMode="External"/><Relationship Id="rId2102" Type="http://schemas.openxmlformats.org/officeDocument/2006/relationships/hyperlink" Target="https://www.tiktok.com/@suswati_marlina/video/7632637665745128712" TargetMode="External"/><Relationship Id="rId3434" Type="http://schemas.openxmlformats.org/officeDocument/2006/relationships/hyperlink" Target="https://vt.tiktok.com/ZS9YPK9ru/" TargetMode="External"/><Relationship Id="rId4765" Type="http://schemas.openxmlformats.org/officeDocument/2006/relationships/hyperlink" Target="https://vt.tiktok.com/ZS9fgL9Dx/" TargetMode="External"/><Relationship Id="rId10495" Type="http://schemas.openxmlformats.org/officeDocument/2006/relationships/hyperlink" Target="https://www.tiktok.com/@ochamoyu14" TargetMode="External"/><Relationship Id="rId2103" Type="http://schemas.openxmlformats.org/officeDocument/2006/relationships/hyperlink" Target="https://www.tiktok.com/@suswati_marlina/video/7632562971734052103" TargetMode="External"/><Relationship Id="rId3433" Type="http://schemas.openxmlformats.org/officeDocument/2006/relationships/hyperlink" Target="https://www.tiktok.com/@natasyafifialayda_" TargetMode="External"/><Relationship Id="rId4764" Type="http://schemas.openxmlformats.org/officeDocument/2006/relationships/hyperlink" Target="https://vt.tiktok.com/ZS9Qf1BbT/" TargetMode="External"/><Relationship Id="rId10496" Type="http://schemas.openxmlformats.org/officeDocument/2006/relationships/hyperlink" Target="https://www.tiktok.com/@ubeedaily" TargetMode="External"/><Relationship Id="rId3425" Type="http://schemas.openxmlformats.org/officeDocument/2006/relationships/hyperlink" Target="https://vt.tiktok.com/ZS9NRasbY/" TargetMode="External"/><Relationship Id="rId4756" Type="http://schemas.openxmlformats.org/officeDocument/2006/relationships/hyperlink" Target="https://vt.tiktok.com/ZS9fbTmfe/" TargetMode="External"/><Relationship Id="rId3424" Type="http://schemas.openxmlformats.org/officeDocument/2006/relationships/hyperlink" Target="https://www.tiktok.com/@shinto.hk" TargetMode="External"/><Relationship Id="rId4755" Type="http://schemas.openxmlformats.org/officeDocument/2006/relationships/hyperlink" Target="https://vt.tiktok.com/ZS9fgL9Dx/" TargetMode="External"/><Relationship Id="rId3427" Type="http://schemas.openxmlformats.org/officeDocument/2006/relationships/hyperlink" Target="https://vt.tiktok.com/ZS9FdrWKu/" TargetMode="External"/><Relationship Id="rId4758" Type="http://schemas.openxmlformats.org/officeDocument/2006/relationships/hyperlink" Target="https://www.tiktok.com/@syakiraazizahnh1_" TargetMode="External"/><Relationship Id="rId3426" Type="http://schemas.openxmlformats.org/officeDocument/2006/relationships/hyperlink" Target="https://vt.tiktok.com/ZS9FeKf2G/" TargetMode="External"/><Relationship Id="rId4757" Type="http://schemas.openxmlformats.org/officeDocument/2006/relationships/hyperlink" Target="https://vt.tiktok.com/ZS9fgFPC3/" TargetMode="External"/><Relationship Id="rId3429" Type="http://schemas.openxmlformats.org/officeDocument/2006/relationships/hyperlink" Target="https://www.tiktok.com/@annordinarylife" TargetMode="External"/><Relationship Id="rId3428" Type="http://schemas.openxmlformats.org/officeDocument/2006/relationships/hyperlink" Target="https://vt.tiktok.com/ZS9Fd88tR/" TargetMode="External"/><Relationship Id="rId4759" Type="http://schemas.openxmlformats.org/officeDocument/2006/relationships/hyperlink" Target="https://vt.tiktok.com/ZS9Qf1BbT/" TargetMode="External"/><Relationship Id="rId4750" Type="http://schemas.openxmlformats.org/officeDocument/2006/relationships/hyperlink" Target="https://vt.tiktok.com/ZSxguRJ3K/" TargetMode="External"/><Relationship Id="rId3421" Type="http://schemas.openxmlformats.org/officeDocument/2006/relationships/hyperlink" Target="https://vt.tiktok.com/ZS9NJEmB9/" TargetMode="External"/><Relationship Id="rId4752" Type="http://schemas.openxmlformats.org/officeDocument/2006/relationships/hyperlink" Target="https://vt.tiktok.com/ZSxyS3jRk/" TargetMode="External"/><Relationship Id="rId3420" Type="http://schemas.openxmlformats.org/officeDocument/2006/relationships/hyperlink" Target="https://vt.tiktok.com/ZS9NJncP5/" TargetMode="External"/><Relationship Id="rId4751" Type="http://schemas.openxmlformats.org/officeDocument/2006/relationships/hyperlink" Target="https://vt.tiktok.com/ZSxyABeba/" TargetMode="External"/><Relationship Id="rId3423" Type="http://schemas.openxmlformats.org/officeDocument/2006/relationships/hyperlink" Target="http://shinto.hk" TargetMode="External"/><Relationship Id="rId4754" Type="http://schemas.openxmlformats.org/officeDocument/2006/relationships/hyperlink" Target="https://vt.tiktok.com/ZS9Qf1BbT/" TargetMode="External"/><Relationship Id="rId3422" Type="http://schemas.openxmlformats.org/officeDocument/2006/relationships/hyperlink" Target="https://vt.tiktok.com/ZS9Ndjhyu/" TargetMode="External"/><Relationship Id="rId4753" Type="http://schemas.openxmlformats.org/officeDocument/2006/relationships/hyperlink" Target="https://www.tiktok.com/@apayaabingung_" TargetMode="External"/><Relationship Id="rId2126" Type="http://schemas.openxmlformats.org/officeDocument/2006/relationships/hyperlink" Target="https://www.tiktok.com/@victoriaallysa" TargetMode="External"/><Relationship Id="rId3458" Type="http://schemas.openxmlformats.org/officeDocument/2006/relationships/hyperlink" Target="https://vt.tiktok.com/ZS9ohXQQw/" TargetMode="External"/><Relationship Id="rId4789" Type="http://schemas.openxmlformats.org/officeDocument/2006/relationships/hyperlink" Target="https://vt.tiktok.com/ZS9Qf1BbT/" TargetMode="External"/><Relationship Id="rId2127" Type="http://schemas.openxmlformats.org/officeDocument/2006/relationships/hyperlink" Target="https://vt.tiktok.com/ZS9dK3CmH/" TargetMode="External"/><Relationship Id="rId3457" Type="http://schemas.openxmlformats.org/officeDocument/2006/relationships/hyperlink" Target="https://vt.tiktok.com/ZS9ohVSCy/" TargetMode="External"/><Relationship Id="rId4788" Type="http://schemas.openxmlformats.org/officeDocument/2006/relationships/hyperlink" Target="https://www.tiktok.com/@daydayyi" TargetMode="External"/><Relationship Id="rId2128" Type="http://schemas.openxmlformats.org/officeDocument/2006/relationships/hyperlink" Target="https://vt.tiktok.com/ZS9JBwNxE/" TargetMode="External"/><Relationship Id="rId2129" Type="http://schemas.openxmlformats.org/officeDocument/2006/relationships/hyperlink" Target="https://vt.tiktok.com/ZS9JSLRN9/" TargetMode="External"/><Relationship Id="rId3459" Type="http://schemas.openxmlformats.org/officeDocument/2006/relationships/hyperlink" Target="https://www.tiktok.com/@toxicrown" TargetMode="External"/><Relationship Id="rId10479" Type="http://schemas.openxmlformats.org/officeDocument/2006/relationships/hyperlink" Target="https://www.tiktok.com/@glowwiess" TargetMode="External"/><Relationship Id="rId10477" Type="http://schemas.openxmlformats.org/officeDocument/2006/relationships/hyperlink" Target="https://www.tiktok.com/@bintisyahrialaffandy" TargetMode="External"/><Relationship Id="rId10478" Type="http://schemas.openxmlformats.org/officeDocument/2006/relationships/hyperlink" Target="https://www.tiktok.com/@putrianishopp" TargetMode="External"/><Relationship Id="rId3450" Type="http://schemas.openxmlformats.org/officeDocument/2006/relationships/hyperlink" Target="https://vt.tiktok.com/ZS9hP7EEu/" TargetMode="External"/><Relationship Id="rId4781" Type="http://schemas.openxmlformats.org/officeDocument/2006/relationships/hyperlink" Target="https://vt.tiktok.com/ZS9fbTmfe/" TargetMode="External"/><Relationship Id="rId10471" Type="http://schemas.openxmlformats.org/officeDocument/2006/relationships/hyperlink" Target="https://www.tiktok.com/@puput.amelia017" TargetMode="External"/><Relationship Id="rId4780" Type="http://schemas.openxmlformats.org/officeDocument/2006/relationships/hyperlink" Target="https://vt.tiktok.com/ZS9fgL9Dx/" TargetMode="External"/><Relationship Id="rId10472" Type="http://schemas.openxmlformats.org/officeDocument/2006/relationships/hyperlink" Target="https://www.tiktok.com/@ssunxiety" TargetMode="External"/><Relationship Id="rId2120" Type="http://schemas.openxmlformats.org/officeDocument/2006/relationships/hyperlink" Target="https://vt.tiktok.com/ZS9dKn3qx/" TargetMode="External"/><Relationship Id="rId3452" Type="http://schemas.openxmlformats.org/officeDocument/2006/relationships/hyperlink" Target="https://vt.tiktok.com/ZS9oho2LF/" TargetMode="External"/><Relationship Id="rId4783" Type="http://schemas.openxmlformats.org/officeDocument/2006/relationships/hyperlink" Target="https://www.tiktok.com/@marialaota" TargetMode="External"/><Relationship Id="rId2121" Type="http://schemas.openxmlformats.org/officeDocument/2006/relationships/hyperlink" Target="https://www.tiktok.com/@anovita07" TargetMode="External"/><Relationship Id="rId3451" Type="http://schemas.openxmlformats.org/officeDocument/2006/relationships/hyperlink" Target="https://vt.tiktok.com/ZS9hP3xJf/" TargetMode="External"/><Relationship Id="rId4782" Type="http://schemas.openxmlformats.org/officeDocument/2006/relationships/hyperlink" Target="https://vt.tiktok.com/ZS9fgFPC3/" TargetMode="External"/><Relationship Id="rId10470" Type="http://schemas.openxmlformats.org/officeDocument/2006/relationships/hyperlink" Target="https://www.tiktok.com/@affinesia_17" TargetMode="External"/><Relationship Id="rId2122" Type="http://schemas.openxmlformats.org/officeDocument/2006/relationships/hyperlink" Target="https://www.tiktok.com/@anovita07/video/7625647078210800914?is_from_webapp=1&amp;sender_device=pc" TargetMode="External"/><Relationship Id="rId3454" Type="http://schemas.openxmlformats.org/officeDocument/2006/relationships/hyperlink" Target="https://www.tiktok.com/@charminenatalie" TargetMode="External"/><Relationship Id="rId4785" Type="http://schemas.openxmlformats.org/officeDocument/2006/relationships/hyperlink" Target="https://vt.tiktok.com/ZS9fgL9Dx/" TargetMode="External"/><Relationship Id="rId10475" Type="http://schemas.openxmlformats.org/officeDocument/2006/relationships/hyperlink" Target="https://www.tiktok.com/@gabriellekoetin" TargetMode="External"/><Relationship Id="rId2123" Type="http://schemas.openxmlformats.org/officeDocument/2006/relationships/hyperlink" Target="https://vt.tiktok.com/ZSHmeeLyc/" TargetMode="External"/><Relationship Id="rId3453" Type="http://schemas.openxmlformats.org/officeDocument/2006/relationships/hyperlink" Target="https://vt.tiktok.com/ZS9ohCSC2/" TargetMode="External"/><Relationship Id="rId4784" Type="http://schemas.openxmlformats.org/officeDocument/2006/relationships/hyperlink" Target="https://vt.tiktok.com/ZS9Qf1BbT/" TargetMode="External"/><Relationship Id="rId10476" Type="http://schemas.openxmlformats.org/officeDocument/2006/relationships/hyperlink" Target="https://www.tiktok.com/@urbackburner10" TargetMode="External"/><Relationship Id="rId2124" Type="http://schemas.openxmlformats.org/officeDocument/2006/relationships/hyperlink" Target="https://vt.tiktok.com/ZSHcMAPFJ/" TargetMode="External"/><Relationship Id="rId3456" Type="http://schemas.openxmlformats.org/officeDocument/2006/relationships/hyperlink" Target="https://vt.tiktok.com/ZS9hH2huB/" TargetMode="External"/><Relationship Id="rId4787" Type="http://schemas.openxmlformats.org/officeDocument/2006/relationships/hyperlink" Target="https://vt.tiktok.com/ZS9fgFPC3/" TargetMode="External"/><Relationship Id="rId10473" Type="http://schemas.openxmlformats.org/officeDocument/2006/relationships/hyperlink" Target="https://www.tiktok.com/@vitha.d" TargetMode="External"/><Relationship Id="rId2125" Type="http://schemas.openxmlformats.org/officeDocument/2006/relationships/hyperlink" Target="https://vt.tiktok.com/ZSHcM9f6W/" TargetMode="External"/><Relationship Id="rId3455" Type="http://schemas.openxmlformats.org/officeDocument/2006/relationships/hyperlink" Target="https://vt.tiktok.com/ZS9huoVnC/" TargetMode="External"/><Relationship Id="rId4786" Type="http://schemas.openxmlformats.org/officeDocument/2006/relationships/hyperlink" Target="https://vt.tiktok.com/ZS9fbTmfe/" TargetMode="External"/><Relationship Id="rId10474" Type="http://schemas.openxmlformats.org/officeDocument/2006/relationships/hyperlink" Target="https://www.tiktok.com/@0_0chocopie0_0" TargetMode="External"/><Relationship Id="rId2115" Type="http://schemas.openxmlformats.org/officeDocument/2006/relationships/hyperlink" Target="https://www.tiktok.com/@chikaa_sm20" TargetMode="External"/><Relationship Id="rId3447" Type="http://schemas.openxmlformats.org/officeDocument/2006/relationships/hyperlink" Target="https://vt.tiktok.com/ZS9hP4bWW/" TargetMode="External"/><Relationship Id="rId4778" Type="http://schemas.openxmlformats.org/officeDocument/2006/relationships/hyperlink" Target="https://www.tiktok.com/@rinal.8" TargetMode="External"/><Relationship Id="rId2116" Type="http://schemas.openxmlformats.org/officeDocument/2006/relationships/hyperlink" Target="https://vt.tiktok.com/ZSHHabavf/" TargetMode="External"/><Relationship Id="rId3446" Type="http://schemas.openxmlformats.org/officeDocument/2006/relationships/hyperlink" Target="https://vt.tiktok.com/ZS9hPkX19/" TargetMode="External"/><Relationship Id="rId4777" Type="http://schemas.openxmlformats.org/officeDocument/2006/relationships/hyperlink" Target="https://vt.tiktok.com/ZS9fgFPC3/" TargetMode="External"/><Relationship Id="rId2117" Type="http://schemas.openxmlformats.org/officeDocument/2006/relationships/hyperlink" Target="https://vt.tiktok.com/ZS9erP9aj/" TargetMode="External"/><Relationship Id="rId3449" Type="http://schemas.openxmlformats.org/officeDocument/2006/relationships/hyperlink" Target="https://www.tiktok.com/@nuruladds" TargetMode="External"/><Relationship Id="rId2118" Type="http://schemas.openxmlformats.org/officeDocument/2006/relationships/hyperlink" Target="https://www.tiktok.com/@ditya.dsty" TargetMode="External"/><Relationship Id="rId3448" Type="http://schemas.openxmlformats.org/officeDocument/2006/relationships/hyperlink" Target="https://vt.tiktok.com/ZS9hP4bWW/" TargetMode="External"/><Relationship Id="rId4779" Type="http://schemas.openxmlformats.org/officeDocument/2006/relationships/hyperlink" Target="https://vt.tiktok.com/ZS9Qf1BbT/" TargetMode="External"/><Relationship Id="rId2119" Type="http://schemas.openxmlformats.org/officeDocument/2006/relationships/hyperlink" Target="https://vt.tiktok.com/ZS9ejyqSj/" TargetMode="External"/><Relationship Id="rId10490" Type="http://schemas.openxmlformats.org/officeDocument/2006/relationships/hyperlink" Target="https://www.tiktok.com/@slyvenessa" TargetMode="External"/><Relationship Id="rId10488" Type="http://schemas.openxmlformats.org/officeDocument/2006/relationships/hyperlink" Target="https://www.tiktok.com/@nabillalestari_" TargetMode="External"/><Relationship Id="rId10489" Type="http://schemas.openxmlformats.org/officeDocument/2006/relationships/hyperlink" Target="https://www.tiktok.com/@anggnagstina" TargetMode="External"/><Relationship Id="rId4770" Type="http://schemas.openxmlformats.org/officeDocument/2006/relationships/hyperlink" Target="https://vt.tiktok.com/ZS9fgL9Dx/" TargetMode="External"/><Relationship Id="rId10482" Type="http://schemas.openxmlformats.org/officeDocument/2006/relationships/hyperlink" Target="https://www.tiktok.com/@mrsladyrose.glow" TargetMode="External"/><Relationship Id="rId10483" Type="http://schemas.openxmlformats.org/officeDocument/2006/relationships/hyperlink" Target="https://www.tiktok.com/@vieeraa14" TargetMode="External"/><Relationship Id="rId3441" Type="http://schemas.openxmlformats.org/officeDocument/2006/relationships/hyperlink" Target="https://vt.tiktok.com/ZS9YQjE2x/" TargetMode="External"/><Relationship Id="rId4772" Type="http://schemas.openxmlformats.org/officeDocument/2006/relationships/hyperlink" Target="https://vt.tiktok.com/ZS9fgFPC3/" TargetMode="External"/><Relationship Id="rId10480" Type="http://schemas.openxmlformats.org/officeDocument/2006/relationships/hyperlink" Target="https://www.tiktok.com/@xxscorpiozz" TargetMode="External"/><Relationship Id="rId2110" Type="http://schemas.openxmlformats.org/officeDocument/2006/relationships/hyperlink" Target="https://www.tiktok.com/@snowme.shop/video/7627483819351870741?_r=1&amp;u_code=dal30337ieiagk&amp;region=&amp;mid=7616916036557867794&amp;preview_pb=0&amp;sharer_language=&amp;_d=0&amp;ec_shared_reflux_dynamic_params=%7B%22placeholder_material_id%22%3A%227627483819351870741%22%2C%22placeholder_origin_cover%22%3A%22https%253A%252F%252Fp16-common-sign.tiktokcdn.com%252Ftos-alisg-p-0037%252Fo4RQnGQ3fBGHAfAvQkfRFlNaawLCGaPIANBler~tplv-tiktokx-origin.jpeg%253Fdr%253D14572%2526refresh_token%253Dc7fea0c7%2526x-expires%253D1808301600%2526x-signature%253DI7g%25252B94Kfd18GSW6rZCa9t3DWU%25252Fs%25253D%2526t%253D4d5b0474%2526ps%253D13740610%2526shp%253Dd05b14bd%2526shcp%253D34ff8df6%2526idc%253Dmy3%2526s%253DTIKTOK_AFFILIATE_VIRAL_VIDEO%22%2C%22placeholder_product_id%22%3A%221729427766722726591%22%2C%22placeholder_video_id%22%3A%227627483819351870741%22%7D&amp;ec_shared_reflux_scene=shop_tab_feed&amp;share_item_id=7627483819351870741&amp;source=h5_t" TargetMode="External"/><Relationship Id="rId3440" Type="http://schemas.openxmlformats.org/officeDocument/2006/relationships/hyperlink" Target="https://vt.tiktok.com/ZS9YHajsv/" TargetMode="External"/><Relationship Id="rId4771" Type="http://schemas.openxmlformats.org/officeDocument/2006/relationships/hyperlink" Target="https://vt.tiktok.com/ZS9fbTmfe/" TargetMode="External"/><Relationship Id="rId10481" Type="http://schemas.openxmlformats.org/officeDocument/2006/relationships/hyperlink" Target="https://www.tiktok.com/@milkzywayx09" TargetMode="External"/><Relationship Id="rId2111" Type="http://schemas.openxmlformats.org/officeDocument/2006/relationships/hyperlink" Target="https://www.tiktok.com/@mamiiimecca" TargetMode="External"/><Relationship Id="rId3443" Type="http://schemas.openxmlformats.org/officeDocument/2006/relationships/hyperlink" Target="https://vt.tiktok.com/ZS9hyM9mm/" TargetMode="External"/><Relationship Id="rId4774" Type="http://schemas.openxmlformats.org/officeDocument/2006/relationships/hyperlink" Target="https://vt.tiktok.com/ZSQR1Qbfy/" TargetMode="External"/><Relationship Id="rId10486" Type="http://schemas.openxmlformats.org/officeDocument/2006/relationships/hyperlink" Target="https://www.tiktok.com/@felli_shop" TargetMode="External"/><Relationship Id="rId2112" Type="http://schemas.openxmlformats.org/officeDocument/2006/relationships/hyperlink" Target="https://vt.tiktok.com/ZSHmteUjs/" TargetMode="External"/><Relationship Id="rId3442" Type="http://schemas.openxmlformats.org/officeDocument/2006/relationships/hyperlink" Target="https://vt.tiktok.com/ZS9YQRfph/" TargetMode="External"/><Relationship Id="rId4773" Type="http://schemas.openxmlformats.org/officeDocument/2006/relationships/hyperlink" Target="https://www.tiktok.com/@laurensiaf" TargetMode="External"/><Relationship Id="rId10487" Type="http://schemas.openxmlformats.org/officeDocument/2006/relationships/hyperlink" Target="https://www.tiktok.com/@_spilyuk" TargetMode="External"/><Relationship Id="rId2113" Type="http://schemas.openxmlformats.org/officeDocument/2006/relationships/hyperlink" Target="https://vt.tiktok.com/ZSHs1FfRL/" TargetMode="External"/><Relationship Id="rId3445" Type="http://schemas.openxmlformats.org/officeDocument/2006/relationships/hyperlink" Target="https://vt.tiktok.com/ZS9kdsfMx/" TargetMode="External"/><Relationship Id="rId4776" Type="http://schemas.openxmlformats.org/officeDocument/2006/relationships/hyperlink" Target="https://vt.tiktok.com/ZS9fbTmfe/" TargetMode="External"/><Relationship Id="rId10484" Type="http://schemas.openxmlformats.org/officeDocument/2006/relationships/hyperlink" Target="https://www.tiktok.com/@ciroyoo0" TargetMode="External"/><Relationship Id="rId2114" Type="http://schemas.openxmlformats.org/officeDocument/2006/relationships/hyperlink" Target="https://vt.tiktok.com/ZS9qdcbTk/" TargetMode="External"/><Relationship Id="rId3444" Type="http://schemas.openxmlformats.org/officeDocument/2006/relationships/hyperlink" Target="https://www.tiktok.com/@inisiara" TargetMode="External"/><Relationship Id="rId4775" Type="http://schemas.openxmlformats.org/officeDocument/2006/relationships/hyperlink" Target="https://vt.tiktok.com/ZS9fgL9Dx/" TargetMode="External"/><Relationship Id="rId10485" Type="http://schemas.openxmlformats.org/officeDocument/2006/relationships/hyperlink" Target="https://www.tiktok.com/@ameliaseptiani_14" TargetMode="External"/><Relationship Id="rId5251" Type="http://schemas.openxmlformats.org/officeDocument/2006/relationships/hyperlink" Target="https://vt.tiktok.com/ZS959Wpxv/" TargetMode="External"/><Relationship Id="rId6582" Type="http://schemas.openxmlformats.org/officeDocument/2006/relationships/hyperlink" Target=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" TargetMode="External"/><Relationship Id="rId5252" Type="http://schemas.openxmlformats.org/officeDocument/2006/relationships/hyperlink" Target="https://www.tiktok.com/@dww.srtk" TargetMode="External"/><Relationship Id="rId6583" Type="http://schemas.openxmlformats.org/officeDocument/2006/relationships/hyperlink" Target="https://vt.tiktok.com/ZS9Tk6Pm9/" TargetMode="External"/><Relationship Id="rId6580" Type="http://schemas.openxmlformats.org/officeDocument/2006/relationships/hyperlink" Target="https://vt.tiktok.com/ZS9ug9T9Y/" TargetMode="External"/><Relationship Id="rId5250" Type="http://schemas.openxmlformats.org/officeDocument/2006/relationships/hyperlink" Target="https://vt.tiktok.com/ZS9597dyn/" TargetMode="External"/><Relationship Id="rId6581" Type="http://schemas.openxmlformats.org/officeDocument/2006/relationships/hyperlink" Target="https://vt.tiktok.com/ZS9Q2QdNe/" TargetMode="External"/><Relationship Id="rId5255" Type="http://schemas.openxmlformats.org/officeDocument/2006/relationships/hyperlink" Target="https://vt.tiktok.com/ZS95xepvx/" TargetMode="External"/><Relationship Id="rId6586" Type="http://schemas.openxmlformats.org/officeDocument/2006/relationships/hyperlink" Target="https://vt.tiktok.com/ZS9Q2QdNe/" TargetMode="External"/><Relationship Id="rId5256" Type="http://schemas.openxmlformats.org/officeDocument/2006/relationships/hyperlink" Target="https://vt.tiktok.com/ZS9fSwNj3/" TargetMode="External"/><Relationship Id="rId6587" Type="http://schemas.openxmlformats.org/officeDocument/2006/relationships/hyperlink" Target=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" TargetMode="External"/><Relationship Id="rId5253" Type="http://schemas.openxmlformats.org/officeDocument/2006/relationships/hyperlink" Target="https://vt.tiktok.com/ZS95x1Uv1/" TargetMode="External"/><Relationship Id="rId6584" Type="http://schemas.openxmlformats.org/officeDocument/2006/relationships/hyperlink" Target="https://www.tiktok.com/@korinirmala" TargetMode="External"/><Relationship Id="rId5254" Type="http://schemas.openxmlformats.org/officeDocument/2006/relationships/hyperlink" Target="https://vt.tiktok.com/ZS95xdNGP/" TargetMode="External"/><Relationship Id="rId6585" Type="http://schemas.openxmlformats.org/officeDocument/2006/relationships/hyperlink" Target="https://vt.tiktok.com/ZS9ug9T9Y/" TargetMode="External"/><Relationship Id="rId5259" Type="http://schemas.openxmlformats.org/officeDocument/2006/relationships/hyperlink" Target="https://vt.tiktok.com/ZS9BvQ845/" TargetMode="External"/><Relationship Id="rId5257" Type="http://schemas.openxmlformats.org/officeDocument/2006/relationships/hyperlink" Target="https://www.tiktok.com/@iniicaaaaa_19" TargetMode="External"/><Relationship Id="rId6588" Type="http://schemas.openxmlformats.org/officeDocument/2006/relationships/hyperlink" Target="https://vt.tiktok.com/ZS9Tk6Pm9/" TargetMode="External"/><Relationship Id="rId5258" Type="http://schemas.openxmlformats.org/officeDocument/2006/relationships/hyperlink" Target="https://vt.tiktok.com/ZS9YHXyNm/" TargetMode="External"/><Relationship Id="rId6589" Type="http://schemas.openxmlformats.org/officeDocument/2006/relationships/hyperlink" Target="https://www.tiktok.com/@nialestari1404" TargetMode="External"/><Relationship Id="rId5240" Type="http://schemas.openxmlformats.org/officeDocument/2006/relationships/hyperlink" Target="https://vt.tiktok.com/ZS959tj7r/" TargetMode="External"/><Relationship Id="rId6571" Type="http://schemas.openxmlformats.org/officeDocument/2006/relationships/hyperlink" Target="https://vt.tiktok.com/ZS9Q2QdNe/" TargetMode="External"/><Relationship Id="rId5241" Type="http://schemas.openxmlformats.org/officeDocument/2006/relationships/hyperlink" Target="https://vt.tiktok.com/ZS959KM5T/" TargetMode="External"/><Relationship Id="rId6572" Type="http://schemas.openxmlformats.org/officeDocument/2006/relationships/hyperlink" Target=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" TargetMode="External"/><Relationship Id="rId6570" Type="http://schemas.openxmlformats.org/officeDocument/2006/relationships/hyperlink" Target="https://vt.tiktok.com/ZS9ug9T9Y/" TargetMode="External"/><Relationship Id="rId5244" Type="http://schemas.openxmlformats.org/officeDocument/2006/relationships/hyperlink" Target="https://vt.tiktok.com/ZS959tA3A/" TargetMode="External"/><Relationship Id="rId6575" Type="http://schemas.openxmlformats.org/officeDocument/2006/relationships/hyperlink" Target="https://vt.tiktok.com/ZS9ug9T9Y/" TargetMode="External"/><Relationship Id="rId5245" Type="http://schemas.openxmlformats.org/officeDocument/2006/relationships/hyperlink" Target="https://vt.tiktok.com/ZS959oBXq/" TargetMode="External"/><Relationship Id="rId6576" Type="http://schemas.openxmlformats.org/officeDocument/2006/relationships/hyperlink" Target="https://vt.tiktok.com/ZS9Q2QdNe/" TargetMode="External"/><Relationship Id="rId5242" Type="http://schemas.openxmlformats.org/officeDocument/2006/relationships/hyperlink" Target="https://www.tiktok.com/@nbbl_z" TargetMode="External"/><Relationship Id="rId6573" Type="http://schemas.openxmlformats.org/officeDocument/2006/relationships/hyperlink" Target="https://vt.tiktok.com/ZS9Tk6Pm9/" TargetMode="External"/><Relationship Id="rId5243" Type="http://schemas.openxmlformats.org/officeDocument/2006/relationships/hyperlink" Target="https://vt.tiktok.com/ZS959EoHr/" TargetMode="External"/><Relationship Id="rId6574" Type="http://schemas.openxmlformats.org/officeDocument/2006/relationships/hyperlink" Target="https://www.tiktok.com/@elyahany" TargetMode="External"/><Relationship Id="rId5248" Type="http://schemas.openxmlformats.org/officeDocument/2006/relationships/hyperlink" Target="https://vt.tiktok.com/ZS959ouB5/" TargetMode="External"/><Relationship Id="rId6579" Type="http://schemas.openxmlformats.org/officeDocument/2006/relationships/hyperlink" Target="https://www.tiktok.com/@feronicawulandari" TargetMode="External"/><Relationship Id="rId5249" Type="http://schemas.openxmlformats.org/officeDocument/2006/relationships/hyperlink" Target="https://vt.tiktok.com/ZS959GE6g/" TargetMode="External"/><Relationship Id="rId5246" Type="http://schemas.openxmlformats.org/officeDocument/2006/relationships/hyperlink" Target="https://vt.tiktok.com/ZS9597vFE/" TargetMode="External"/><Relationship Id="rId6577" Type="http://schemas.openxmlformats.org/officeDocument/2006/relationships/hyperlink" Target=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" TargetMode="External"/><Relationship Id="rId5247" Type="http://schemas.openxmlformats.org/officeDocument/2006/relationships/hyperlink" Target="https://www.tiktok.com/@inifahrasah" TargetMode="External"/><Relationship Id="rId6578" Type="http://schemas.openxmlformats.org/officeDocument/2006/relationships/hyperlink" Target="https://vt.tiktok.com/ZS9Tk6Pm9/" TargetMode="External"/><Relationship Id="rId5270" Type="http://schemas.openxmlformats.org/officeDocument/2006/relationships/hyperlink" Target="https://vt.tiktok.com/ZS9SMWJBS/" TargetMode="External"/><Relationship Id="rId5273" Type="http://schemas.openxmlformats.org/officeDocument/2006/relationships/hyperlink" Target="https://vt.tiktok.com/ZS9YHXyNm/" TargetMode="External"/><Relationship Id="rId5274" Type="http://schemas.openxmlformats.org/officeDocument/2006/relationships/hyperlink" Target="https://vt.tiktok.com/ZS9BvQ845/" TargetMode="External"/><Relationship Id="rId5271" Type="http://schemas.openxmlformats.org/officeDocument/2006/relationships/hyperlink" Target="https://vt.tiktok.com/ZS9Sh4LUQ/" TargetMode="External"/><Relationship Id="rId5272" Type="http://schemas.openxmlformats.org/officeDocument/2006/relationships/hyperlink" Target="https://www.tiktok.com/@jajandiskon" TargetMode="External"/><Relationship Id="rId5277" Type="http://schemas.openxmlformats.org/officeDocument/2006/relationships/hyperlink" Target="https://www.tiktok.com/@psingtuan" TargetMode="External"/><Relationship Id="rId5278" Type="http://schemas.openxmlformats.org/officeDocument/2006/relationships/hyperlink" Target="https://vt.tiktok.com/ZS9YHXyNm/" TargetMode="External"/><Relationship Id="rId5275" Type="http://schemas.openxmlformats.org/officeDocument/2006/relationships/hyperlink" Target="https://vt.tiktok.com/ZS9SMWJBS/" TargetMode="External"/><Relationship Id="rId5276" Type="http://schemas.openxmlformats.org/officeDocument/2006/relationships/hyperlink" Target="https://vt.tiktok.com/ZS9Sh4LUQ/" TargetMode="External"/><Relationship Id="rId5279" Type="http://schemas.openxmlformats.org/officeDocument/2006/relationships/hyperlink" Target="https://vt.tiktok.com/ZS9BvQ845/" TargetMode="External"/><Relationship Id="rId6590" Type="http://schemas.openxmlformats.org/officeDocument/2006/relationships/hyperlink" Target="https://vt.tiktok.com/ZS9ug9T9Y/" TargetMode="External"/><Relationship Id="rId5262" Type="http://schemas.openxmlformats.org/officeDocument/2006/relationships/hyperlink" Target="https://www.tiktok.com/@vironike_sukma" TargetMode="External"/><Relationship Id="rId6593" Type="http://schemas.openxmlformats.org/officeDocument/2006/relationships/hyperlink" Target="https://vt.tiktok.com/ZS9Tk6Pm9/" TargetMode="External"/><Relationship Id="rId5263" Type="http://schemas.openxmlformats.org/officeDocument/2006/relationships/hyperlink" Target="https://vt.tiktok.com/ZS9YHXyNm/" TargetMode="External"/><Relationship Id="rId6594" Type="http://schemas.openxmlformats.org/officeDocument/2006/relationships/hyperlink" Target="https://www.tiktok.com/@nshpoc" TargetMode="External"/><Relationship Id="rId5260" Type="http://schemas.openxmlformats.org/officeDocument/2006/relationships/hyperlink" Target="https://vt.tiktok.com/ZS9SMWJBS/" TargetMode="External"/><Relationship Id="rId6591" Type="http://schemas.openxmlformats.org/officeDocument/2006/relationships/hyperlink" Target="https://vt.tiktok.com/ZS9Q2QdNe/" TargetMode="External"/><Relationship Id="rId5261" Type="http://schemas.openxmlformats.org/officeDocument/2006/relationships/hyperlink" Target="https://vt.tiktok.com/ZS9Sh4LUQ/" TargetMode="External"/><Relationship Id="rId6592" Type="http://schemas.openxmlformats.org/officeDocument/2006/relationships/hyperlink" Target=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" TargetMode="External"/><Relationship Id="rId5266" Type="http://schemas.openxmlformats.org/officeDocument/2006/relationships/hyperlink" Target="https://vt.tiktok.com/ZS9Sh4LUQ/" TargetMode="External"/><Relationship Id="rId6597" Type="http://schemas.openxmlformats.org/officeDocument/2006/relationships/hyperlink" Target=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" TargetMode="External"/><Relationship Id="rId5267" Type="http://schemas.openxmlformats.org/officeDocument/2006/relationships/hyperlink" Target="https://www.tiktok.com/@meloveminee" TargetMode="External"/><Relationship Id="rId6598" Type="http://schemas.openxmlformats.org/officeDocument/2006/relationships/hyperlink" Target="https://vt.tiktok.com/ZS9Tk6Pm9/" TargetMode="External"/><Relationship Id="rId5264" Type="http://schemas.openxmlformats.org/officeDocument/2006/relationships/hyperlink" Target="https://vt.tiktok.com/ZS9BvQ845/" TargetMode="External"/><Relationship Id="rId6595" Type="http://schemas.openxmlformats.org/officeDocument/2006/relationships/hyperlink" Target="https://vt.tiktok.com/ZS9ug9T9Y/" TargetMode="External"/><Relationship Id="rId5265" Type="http://schemas.openxmlformats.org/officeDocument/2006/relationships/hyperlink" Target="https://vt.tiktok.com/ZS9SMWJBS/" TargetMode="External"/><Relationship Id="rId6596" Type="http://schemas.openxmlformats.org/officeDocument/2006/relationships/hyperlink" Target="https://vt.tiktok.com/ZS9Q2QdNe/" TargetMode="External"/><Relationship Id="rId5268" Type="http://schemas.openxmlformats.org/officeDocument/2006/relationships/hyperlink" Target="https://vt.tiktok.com/ZS9YHXyNm/" TargetMode="External"/><Relationship Id="rId6599" Type="http://schemas.openxmlformats.org/officeDocument/2006/relationships/hyperlink" Target="https://www.tiktok.com/@achel_79" TargetMode="External"/><Relationship Id="rId5269" Type="http://schemas.openxmlformats.org/officeDocument/2006/relationships/hyperlink" Target="https://vt.tiktok.com/ZS9BvQ845/" TargetMode="External"/><Relationship Id="rId5219" Type="http://schemas.openxmlformats.org/officeDocument/2006/relationships/hyperlink" Target="https://vt.tiktok.com/ZS95xDb6P/" TargetMode="External"/><Relationship Id="rId5217" Type="http://schemas.openxmlformats.org/officeDocument/2006/relationships/hyperlink" Target="https://www.tiktok.com/@madebymrse" TargetMode="External"/><Relationship Id="rId6548" Type="http://schemas.openxmlformats.org/officeDocument/2006/relationships/hyperlink" Target="https://vt.tiktok.com/ZS9H2PPny/" TargetMode="External"/><Relationship Id="rId5218" Type="http://schemas.openxmlformats.org/officeDocument/2006/relationships/hyperlink" Target="https://vt.tiktok.com/ZS95xUJuT/" TargetMode="External"/><Relationship Id="rId6549" Type="http://schemas.openxmlformats.org/officeDocument/2006/relationships/hyperlink" Target="https://vt.tiktok.com/ZS9H2eUCb/" TargetMode="External"/><Relationship Id="rId7879" Type="http://schemas.openxmlformats.org/officeDocument/2006/relationships/hyperlink" Target="https://vt.tiktok.com/ZSxU3CdQq/" TargetMode="External"/><Relationship Id="rId392" Type="http://schemas.openxmlformats.org/officeDocument/2006/relationships/hyperlink" Target="https://vt.tiktok.com/ZSmgh5Jof/" TargetMode="External"/><Relationship Id="rId391" Type="http://schemas.openxmlformats.org/officeDocument/2006/relationships/hyperlink" Target="https://www.tiktok.com/@99tikatikem" TargetMode="External"/><Relationship Id="rId390" Type="http://schemas.openxmlformats.org/officeDocument/2006/relationships/hyperlink" Target="https://vt.tiktok.com/ZS9DPA5Bq/" TargetMode="External"/><Relationship Id="rId7870" Type="http://schemas.openxmlformats.org/officeDocument/2006/relationships/hyperlink" Target="https://www.tiktok.com/@faaull_22" TargetMode="External"/><Relationship Id="rId385" Type="http://schemas.openxmlformats.org/officeDocument/2006/relationships/hyperlink" Target="https://vt.tiktok.com/ZS9DaquRs/" TargetMode="External"/><Relationship Id="rId5211" Type="http://schemas.openxmlformats.org/officeDocument/2006/relationships/hyperlink" Target="https://vt.tiktok.com/ZS95x6G8n/" TargetMode="External"/><Relationship Id="rId6542" Type="http://schemas.openxmlformats.org/officeDocument/2006/relationships/hyperlink" Target="https://vt.tiktok.com/ZS9H2LwwK/" TargetMode="External"/><Relationship Id="rId7874" Type="http://schemas.openxmlformats.org/officeDocument/2006/relationships/hyperlink" Target="https://vt.tiktok.com/ZSxS78U71/" TargetMode="External"/><Relationship Id="rId384" Type="http://schemas.openxmlformats.org/officeDocument/2006/relationships/hyperlink" Target="https://vt.tiktok.com/ZS9DamKty/" TargetMode="External"/><Relationship Id="rId5212" Type="http://schemas.openxmlformats.org/officeDocument/2006/relationships/hyperlink" Target="https://www.tiktok.com/@haiiakuvitta" TargetMode="External"/><Relationship Id="rId6543" Type="http://schemas.openxmlformats.org/officeDocument/2006/relationships/hyperlink" Target="https://vt.tiktok.com/ZS9H2PPny/" TargetMode="External"/><Relationship Id="rId7873" Type="http://schemas.openxmlformats.org/officeDocument/2006/relationships/hyperlink" Target="https://vt.tiktok.com/ZSxS7FRu2/" TargetMode="External"/><Relationship Id="rId383" Type="http://schemas.openxmlformats.org/officeDocument/2006/relationships/hyperlink" Target="https://vt.tiktok.com/ZSmcprdad/" TargetMode="External"/><Relationship Id="rId6540" Type="http://schemas.openxmlformats.org/officeDocument/2006/relationships/hyperlink" Target="https://www.tiktok.com/@isnaenirojiah11" TargetMode="External"/><Relationship Id="rId7872" Type="http://schemas.openxmlformats.org/officeDocument/2006/relationships/hyperlink" Target="https://vt.tiktok.com/ZSxS7jRYr/" TargetMode="External"/><Relationship Id="rId382" Type="http://schemas.openxmlformats.org/officeDocument/2006/relationships/hyperlink" Target="https://vt.tiktok.com/ZSmqTKvg5/" TargetMode="External"/><Relationship Id="rId5210" Type="http://schemas.openxmlformats.org/officeDocument/2006/relationships/hyperlink" Target="https://vt.tiktok.com/ZS95xyeV8/" TargetMode="External"/><Relationship Id="rId6541" Type="http://schemas.openxmlformats.org/officeDocument/2006/relationships/hyperlink" Target="https://vt.tiktok.com/ZS9H2BvDV/" TargetMode="External"/><Relationship Id="rId7871" Type="http://schemas.openxmlformats.org/officeDocument/2006/relationships/hyperlink" Target="https://vt.tiktok.com/ZSxrGBVXr/" TargetMode="External"/><Relationship Id="rId389" Type="http://schemas.openxmlformats.org/officeDocument/2006/relationships/hyperlink" Target="https://vt.tiktok.com/ZS9DPyMTU/" TargetMode="External"/><Relationship Id="rId5215" Type="http://schemas.openxmlformats.org/officeDocument/2006/relationships/hyperlink" Target="https://vt.tiktok.com/ZS95xYX4x/" TargetMode="External"/><Relationship Id="rId6546" Type="http://schemas.openxmlformats.org/officeDocument/2006/relationships/hyperlink" Target="https://vt.tiktok.com/ZS9H2BvDV/" TargetMode="External"/><Relationship Id="rId7878" Type="http://schemas.openxmlformats.org/officeDocument/2006/relationships/hyperlink" Target="https://vt.tiktok.com/ZSxS7RhGf/" TargetMode="External"/><Relationship Id="rId388" Type="http://schemas.openxmlformats.org/officeDocument/2006/relationships/hyperlink" Target="https://vt.tiktok.com/ZS9DPD4Ec/" TargetMode="External"/><Relationship Id="rId5216" Type="http://schemas.openxmlformats.org/officeDocument/2006/relationships/hyperlink" Target="https://vt.tiktok.com/ZS95xh9j7/" TargetMode="External"/><Relationship Id="rId6547" Type="http://schemas.openxmlformats.org/officeDocument/2006/relationships/hyperlink" Target="https://vt.tiktok.com/ZS9H2LwwK/" TargetMode="External"/><Relationship Id="rId7877" Type="http://schemas.openxmlformats.org/officeDocument/2006/relationships/hyperlink" Target="https://vt.tiktok.com/ZSxS78d4g/" TargetMode="External"/><Relationship Id="rId387" Type="http://schemas.openxmlformats.org/officeDocument/2006/relationships/hyperlink" Target="https://vt.tiktok.com/ZSmDtfkEc/" TargetMode="External"/><Relationship Id="rId5213" Type="http://schemas.openxmlformats.org/officeDocument/2006/relationships/hyperlink" Target="https://vt.tiktok.com/ZS95xLdFF/" TargetMode="External"/><Relationship Id="rId6544" Type="http://schemas.openxmlformats.org/officeDocument/2006/relationships/hyperlink" Target="https://vt.tiktok.com/ZS9H2eUCb/" TargetMode="External"/><Relationship Id="rId7876" Type="http://schemas.openxmlformats.org/officeDocument/2006/relationships/hyperlink" Target="https://vt.tiktok.com/ZSxS7dkAF/" TargetMode="External"/><Relationship Id="rId386" Type="http://schemas.openxmlformats.org/officeDocument/2006/relationships/hyperlink" Target="https://www.tiktok.com/@dhinadiana" TargetMode="External"/><Relationship Id="rId5214" Type="http://schemas.openxmlformats.org/officeDocument/2006/relationships/hyperlink" Target="https://vt.tiktok.com/ZS95xAK4V/" TargetMode="External"/><Relationship Id="rId6545" Type="http://schemas.openxmlformats.org/officeDocument/2006/relationships/hyperlink" Target="https://www.tiktok.com/@nisamoo_0" TargetMode="External"/><Relationship Id="rId7875" Type="http://schemas.openxmlformats.org/officeDocument/2006/relationships/hyperlink" Target="https://www.tiktok.com/@vialutvia_" TargetMode="External"/><Relationship Id="rId5208" Type="http://schemas.openxmlformats.org/officeDocument/2006/relationships/hyperlink" Target="https://vt.tiktok.com/ZS95xf3XB/" TargetMode="External"/><Relationship Id="rId6539" Type="http://schemas.openxmlformats.org/officeDocument/2006/relationships/hyperlink" Target="https://vt.tiktok.com/ZS9H2eUCb/" TargetMode="External"/><Relationship Id="rId5209" Type="http://schemas.openxmlformats.org/officeDocument/2006/relationships/hyperlink" Target="https://vt.tiktok.com/ZS95xSQEP/" TargetMode="External"/><Relationship Id="rId5206" Type="http://schemas.openxmlformats.org/officeDocument/2006/relationships/hyperlink" Target="https://vt.tiktok.com/ZSxTe41d1/" TargetMode="External"/><Relationship Id="rId6537" Type="http://schemas.openxmlformats.org/officeDocument/2006/relationships/hyperlink" Target="https://vt.tiktok.com/ZS9H2LwwK/" TargetMode="External"/><Relationship Id="rId7869" Type="http://schemas.openxmlformats.org/officeDocument/2006/relationships/hyperlink" Target="https://vt.tiktok.com/ZSxmeG7TR/" TargetMode="External"/><Relationship Id="rId5207" Type="http://schemas.openxmlformats.org/officeDocument/2006/relationships/hyperlink" Target="https://www.tiktok.com/@ella_ellryfani" TargetMode="External"/><Relationship Id="rId6538" Type="http://schemas.openxmlformats.org/officeDocument/2006/relationships/hyperlink" Target="https://vt.tiktok.com/ZS9H2PPny/" TargetMode="External"/><Relationship Id="rId7868" Type="http://schemas.openxmlformats.org/officeDocument/2006/relationships/hyperlink" Target="https://vt.tiktok.com/ZSxmeXeGF/" TargetMode="External"/><Relationship Id="rId381" Type="http://schemas.openxmlformats.org/officeDocument/2006/relationships/hyperlink" Target="https://www.tiktok.com/@auroraaa.jm" TargetMode="External"/><Relationship Id="rId380" Type="http://schemas.openxmlformats.org/officeDocument/2006/relationships/hyperlink" Target="http://auroraaa.jm" TargetMode="External"/><Relationship Id="rId379" Type="http://schemas.openxmlformats.org/officeDocument/2006/relationships/hyperlink" Target="https://vt.tiktok.com/ZSmg8vbbj/" TargetMode="External"/><Relationship Id="rId374" Type="http://schemas.openxmlformats.org/officeDocument/2006/relationships/hyperlink" Target="https://www.tiktok.com/@ntsyajulia_/video/7621845987186822421" TargetMode="External"/><Relationship Id="rId5200" Type="http://schemas.openxmlformats.org/officeDocument/2006/relationships/hyperlink" Target="https://www.tiktok.com/@nisaaahs_/video/7638824559872888072?_r=1&amp;u_code=clh0gj4ml6ak0a&amp;region=&amp;mid=7357402344918698794&amp;preview_pb=0&amp;sharer_language=&amp;_d=0&amp;ec_shared_reflux_dynamic_params=%7B%22placeholder_material_id%22%3A%227638824559872888072%22%2C%22placeholder_origin_cover%22%3A%22https%253A%252F%252Fp16-common-sign.tiktokcdn.com%252Ftos-alisg-p-0037%252FooCEIYBgN4hAWOGisjSakVASAoAYBKi2P0IBm~tplv-tiktokx-origin.jpeg%253Fdr%253D14572%2526refresh_token%253D04270438%2526x-expires%253D1810195200%2526x-signature%253DoN3l1GurOFbkakWvIcpG6zYK5q0%25253D%2526t%253D4d5b0474%2526ps%253D13740610%2526shp%253Dd05b14bd%2526shcp%253D34ff8df6%2526idc%253Dmy2%2526s%253DTIKTOK_AFFILIATE_VIRAL_VIDEO%22%2C%22placeholder_product_id%22%3A%221729427766722726591%22%2C%22placeholder_video_id%22%3A%227638824559872888072%22%7D&amp;ec_shared_reflux_scene=shop_tab_feed&amp;share_item_id=7638824559872888072&amp;source=h5_t" TargetMode="External"/><Relationship Id="rId6531" Type="http://schemas.openxmlformats.org/officeDocument/2006/relationships/hyperlink" Target="https://vt.tiktok.com/ZS9H2BvDV/" TargetMode="External"/><Relationship Id="rId7863" Type="http://schemas.openxmlformats.org/officeDocument/2006/relationships/hyperlink" Target="https://vt.tiktok.com/ZSxx6r7H5/" TargetMode="External"/><Relationship Id="rId373" Type="http://schemas.openxmlformats.org/officeDocument/2006/relationships/hyperlink" Target="https://www.tiktok.com/@ntsyajulia_/video/7630735376088304916" TargetMode="External"/><Relationship Id="rId5201" Type="http://schemas.openxmlformats.org/officeDocument/2006/relationships/hyperlink" Target="https://vt.tiktok.com/ZS9wqUB17/" TargetMode="External"/><Relationship Id="rId6532" Type="http://schemas.openxmlformats.org/officeDocument/2006/relationships/hyperlink" Target="https://vt.tiktok.com/ZS9H2LwwK/" TargetMode="External"/><Relationship Id="rId7862" Type="http://schemas.openxmlformats.org/officeDocument/2006/relationships/hyperlink" Target="https://vt.tiktok.com/ZSxxjbngU/" TargetMode="External"/><Relationship Id="rId372" Type="http://schemas.openxmlformats.org/officeDocument/2006/relationships/hyperlink" Target="https://vt.tiktok.com/ZSmwWGVPY/" TargetMode="External"/><Relationship Id="rId7861" Type="http://schemas.openxmlformats.org/officeDocument/2006/relationships/hyperlink" Target="https://vt.tiktok.com/ZSxxj4Ksu/" TargetMode="External"/><Relationship Id="rId371" Type="http://schemas.openxmlformats.org/officeDocument/2006/relationships/hyperlink" Target="https://vt.tiktok.com/ZSmHeE2Cw/" TargetMode="External"/><Relationship Id="rId6530" Type="http://schemas.openxmlformats.org/officeDocument/2006/relationships/hyperlink" Target="https://www.tiktok.com/@mamanya.absi.aksa" TargetMode="External"/><Relationship Id="rId7860" Type="http://schemas.openxmlformats.org/officeDocument/2006/relationships/hyperlink" Target="https://www.tiktok.com/@lifestyle_shop116" TargetMode="External"/><Relationship Id="rId378" Type="http://schemas.openxmlformats.org/officeDocument/2006/relationships/hyperlink" Target="https://vt.tiktok.com/ZSmQa7Nx4/" TargetMode="External"/><Relationship Id="rId5204" Type="http://schemas.openxmlformats.org/officeDocument/2006/relationships/hyperlink" Target="https://vt.tiktok.com/ZSxTeToY4/" TargetMode="External"/><Relationship Id="rId6535" Type="http://schemas.openxmlformats.org/officeDocument/2006/relationships/hyperlink" Target="https://www.tiktok.com/@ingetsln" TargetMode="External"/><Relationship Id="rId7867" Type="http://schemas.openxmlformats.org/officeDocument/2006/relationships/hyperlink" Target="https://vt.tiktok.com/ZSxmpK193/" TargetMode="External"/><Relationship Id="rId377" Type="http://schemas.openxmlformats.org/officeDocument/2006/relationships/hyperlink" Target="https://vt.tiktok.com/ZSmm2D11e/" TargetMode="External"/><Relationship Id="rId5205" Type="http://schemas.openxmlformats.org/officeDocument/2006/relationships/hyperlink" Target="https://vt.tiktok.com/ZSxTeVhPA/" TargetMode="External"/><Relationship Id="rId6536" Type="http://schemas.openxmlformats.org/officeDocument/2006/relationships/hyperlink" Target="https://vt.tiktok.com/ZS9H2BvDV/" TargetMode="External"/><Relationship Id="rId7866" Type="http://schemas.openxmlformats.org/officeDocument/2006/relationships/hyperlink" Target="https://vt.tiktok.com/ZSxmeHRef/" TargetMode="External"/><Relationship Id="rId376" Type="http://schemas.openxmlformats.org/officeDocument/2006/relationships/hyperlink" Target="https://vt.tiktok.com/ZSmm28dCF/" TargetMode="External"/><Relationship Id="rId5202" Type="http://schemas.openxmlformats.org/officeDocument/2006/relationships/hyperlink" Target="https://www.tiktok.com/@chayna.4515" TargetMode="External"/><Relationship Id="rId6533" Type="http://schemas.openxmlformats.org/officeDocument/2006/relationships/hyperlink" Target="https://vt.tiktok.com/ZS9H2PPny/" TargetMode="External"/><Relationship Id="rId7865" Type="http://schemas.openxmlformats.org/officeDocument/2006/relationships/hyperlink" Target="https://www.tiktok.com/@alfianii.1" TargetMode="External"/><Relationship Id="rId375" Type="http://schemas.openxmlformats.org/officeDocument/2006/relationships/hyperlink" Target="https://www.tiktok.com/@selfiaberliana" TargetMode="External"/><Relationship Id="rId5203" Type="http://schemas.openxmlformats.org/officeDocument/2006/relationships/hyperlink" Target="https://vt.tiktok.com/ZSxTe3SK3/" TargetMode="External"/><Relationship Id="rId6534" Type="http://schemas.openxmlformats.org/officeDocument/2006/relationships/hyperlink" Target="https://vt.tiktok.com/ZS9H2eUCb/" TargetMode="External"/><Relationship Id="rId7864" Type="http://schemas.openxmlformats.org/officeDocument/2006/relationships/hyperlink" Target="https://vt.tiktok.com/ZSxx62kRr/" TargetMode="External"/><Relationship Id="rId5239" Type="http://schemas.openxmlformats.org/officeDocument/2006/relationships/hyperlink" Target="https://vt.tiktok.com/ZS959s484/" TargetMode="External"/><Relationship Id="rId6560" Type="http://schemas.openxmlformats.org/officeDocument/2006/relationships/hyperlink" Target="https://www.tiktok.com/@rizmalda_" TargetMode="External"/><Relationship Id="rId7892" Type="http://schemas.openxmlformats.org/officeDocument/2006/relationships/hyperlink" Target="https://vt.tiktok.com/ZSx9yxHVX/" TargetMode="External"/><Relationship Id="rId5230" Type="http://schemas.openxmlformats.org/officeDocument/2006/relationships/hyperlink" Target="https://vt.tiktok.com/ZSxHeskJY/" TargetMode="External"/><Relationship Id="rId6561" Type="http://schemas.openxmlformats.org/officeDocument/2006/relationships/hyperlink" Target="https://vt.tiktok.com/ZS9puvt35/" TargetMode="External"/><Relationship Id="rId7891" Type="http://schemas.openxmlformats.org/officeDocument/2006/relationships/hyperlink" Target="https://vt.tiktok.com/ZSx9yhjtA/" TargetMode="External"/><Relationship Id="rId7890" Type="http://schemas.openxmlformats.org/officeDocument/2006/relationships/hyperlink" Target="https://www.tiktok.com/@aleansyah02" TargetMode="External"/><Relationship Id="rId5233" Type="http://schemas.openxmlformats.org/officeDocument/2006/relationships/hyperlink" Target="https://vt.tiktok.com/ZS95x8gLQ/" TargetMode="External"/><Relationship Id="rId6564" Type="http://schemas.openxmlformats.org/officeDocument/2006/relationships/hyperlink" Target="https://www.tiktok.com/@syawalb24" TargetMode="External"/><Relationship Id="rId7896" Type="http://schemas.openxmlformats.org/officeDocument/2006/relationships/hyperlink" Target="https://vt.tiktok.com/ZSx9f16Nj/" TargetMode="External"/><Relationship Id="rId5234" Type="http://schemas.openxmlformats.org/officeDocument/2006/relationships/hyperlink" Target="https://vt.tiktok.com/ZS95xddbJ/" TargetMode="External"/><Relationship Id="rId6565" Type="http://schemas.openxmlformats.org/officeDocument/2006/relationships/hyperlink" Target="https://vt.tiktok.com/ZSxWfR2Wx/" TargetMode="External"/><Relationship Id="rId7895" Type="http://schemas.openxmlformats.org/officeDocument/2006/relationships/hyperlink" Target="https://vt.tiktok.com/ZSx9yctYv/" TargetMode="External"/><Relationship Id="rId5231" Type="http://schemas.openxmlformats.org/officeDocument/2006/relationships/hyperlink" Target="https://vt.tiktok.com/ZSxHeQA9y/" TargetMode="External"/><Relationship Id="rId6562" Type="http://schemas.openxmlformats.org/officeDocument/2006/relationships/hyperlink" Target="https://www.tiktok.com/@sinchantattooartcirebon" TargetMode="External"/><Relationship Id="rId7894" Type="http://schemas.openxmlformats.org/officeDocument/2006/relationships/hyperlink" Target="https://www.tiktok.com/@nunaaaptr" TargetMode="External"/><Relationship Id="rId5232" Type="http://schemas.openxmlformats.org/officeDocument/2006/relationships/hyperlink" Target="https://www.tiktok.com/@radraaa0" TargetMode="External"/><Relationship Id="rId6563" Type="http://schemas.openxmlformats.org/officeDocument/2006/relationships/hyperlink" Target="https://vt.tiktok.com/ZSxpYMGUy/" TargetMode="External"/><Relationship Id="rId7893" Type="http://schemas.openxmlformats.org/officeDocument/2006/relationships/hyperlink" Target="https://vt.tiktok.com/ZSx9ySUhu/" TargetMode="External"/><Relationship Id="rId5237" Type="http://schemas.openxmlformats.org/officeDocument/2006/relationships/hyperlink" Target="https://www.tiktok.com/@ernyricoo" TargetMode="External"/><Relationship Id="rId6568" Type="http://schemas.openxmlformats.org/officeDocument/2006/relationships/hyperlink" Target="https://vt.tiktok.com/ZSxWfdT7j/" TargetMode="External"/><Relationship Id="rId5238" Type="http://schemas.openxmlformats.org/officeDocument/2006/relationships/hyperlink" Target="https://vt.tiktok.com/ZS95934Pa/" TargetMode="External"/><Relationship Id="rId6569" Type="http://schemas.openxmlformats.org/officeDocument/2006/relationships/hyperlink" Target="https://www.tiktok.com/@syifasifhot22" TargetMode="External"/><Relationship Id="rId7899" Type="http://schemas.openxmlformats.org/officeDocument/2006/relationships/hyperlink" Target="https://vt.tiktok.com/ZSxmeao9u/" TargetMode="External"/><Relationship Id="rId5235" Type="http://schemas.openxmlformats.org/officeDocument/2006/relationships/hyperlink" Target="https://vt.tiktok.com/ZS959WvfC/" TargetMode="External"/><Relationship Id="rId6566" Type="http://schemas.openxmlformats.org/officeDocument/2006/relationships/hyperlink" Target="https://vt.tiktok.com/ZSxWywusY/" TargetMode="External"/><Relationship Id="rId7898" Type="http://schemas.openxmlformats.org/officeDocument/2006/relationships/hyperlink" Target="https://www.tiktok.com/@elsamora324" TargetMode="External"/><Relationship Id="rId5236" Type="http://schemas.openxmlformats.org/officeDocument/2006/relationships/hyperlink" Target="https://vt.tiktok.com/ZS95xdVp7/" TargetMode="External"/><Relationship Id="rId6567" Type="http://schemas.openxmlformats.org/officeDocument/2006/relationships/hyperlink" Target="https://vt.tiktok.com/ZSxWyK4b1/" TargetMode="External"/><Relationship Id="rId7897" Type="http://schemas.openxmlformats.org/officeDocument/2006/relationships/hyperlink" Target="https://vt.tiktok.com/ZSx9yn96m/" TargetMode="External"/><Relationship Id="rId5228" Type="http://schemas.openxmlformats.org/officeDocument/2006/relationships/hyperlink" Target="https://vt.tiktok.com/ZSxHJc1Me/" TargetMode="External"/><Relationship Id="rId6559" Type="http://schemas.openxmlformats.org/officeDocument/2006/relationships/hyperlink" Target="https://vt.tiktok.com/ZS9H2eUCb/" TargetMode="External"/><Relationship Id="rId5229" Type="http://schemas.openxmlformats.org/officeDocument/2006/relationships/hyperlink" Target="https://vt.tiktok.com/ZSxHeH2f3/" TargetMode="External"/><Relationship Id="rId7881" Type="http://schemas.openxmlformats.org/officeDocument/2006/relationships/hyperlink" Target="https://vt.tiktok.com/ZSxU3KfDc/" TargetMode="External"/><Relationship Id="rId6550" Type="http://schemas.openxmlformats.org/officeDocument/2006/relationships/hyperlink" Target="https://www.tiktok.com/@vanilalatte222__" TargetMode="External"/><Relationship Id="rId7880" Type="http://schemas.openxmlformats.org/officeDocument/2006/relationships/hyperlink" Target="https://www.tiktok.com/@itser97" TargetMode="External"/><Relationship Id="rId396" Type="http://schemas.openxmlformats.org/officeDocument/2006/relationships/hyperlink" Target="https://vt.tiktok.com/ZS9DPjrgK/" TargetMode="External"/><Relationship Id="rId5222" Type="http://schemas.openxmlformats.org/officeDocument/2006/relationships/hyperlink" Target="https://www.tiktok.com/@vermichili" TargetMode="External"/><Relationship Id="rId6553" Type="http://schemas.openxmlformats.org/officeDocument/2006/relationships/hyperlink" Target="https://vt.tiktok.com/ZS9H2PPny/" TargetMode="External"/><Relationship Id="rId7885" Type="http://schemas.openxmlformats.org/officeDocument/2006/relationships/hyperlink" Target="https://www.tiktok.com/@sovashwa14" TargetMode="External"/><Relationship Id="rId395" Type="http://schemas.openxmlformats.org/officeDocument/2006/relationships/hyperlink" Target="https://vt.tiktok.com/ZSm7376Nk/" TargetMode="External"/><Relationship Id="rId5223" Type="http://schemas.openxmlformats.org/officeDocument/2006/relationships/hyperlink" Target="https://vt.tiktok.com/ZS95xL7CB/" TargetMode="External"/><Relationship Id="rId6554" Type="http://schemas.openxmlformats.org/officeDocument/2006/relationships/hyperlink" Target="https://vt.tiktok.com/ZS9H2eUCb/" TargetMode="External"/><Relationship Id="rId7884" Type="http://schemas.openxmlformats.org/officeDocument/2006/relationships/hyperlink" Target="https://vt.tiktok.com/ZSxmsETED/" TargetMode="External"/><Relationship Id="rId394" Type="http://schemas.openxmlformats.org/officeDocument/2006/relationships/hyperlink" Target="https://www.tiktok.com/@septiyanitya99" TargetMode="External"/><Relationship Id="rId5220" Type="http://schemas.openxmlformats.org/officeDocument/2006/relationships/hyperlink" Target="https://vt.tiktok.com/ZS95x6HKs/" TargetMode="External"/><Relationship Id="rId6551" Type="http://schemas.openxmlformats.org/officeDocument/2006/relationships/hyperlink" Target="https://vt.tiktok.com/ZS9H2BvDV/" TargetMode="External"/><Relationship Id="rId7883" Type="http://schemas.openxmlformats.org/officeDocument/2006/relationships/hyperlink" Target="https://vt.tiktok.com/ZSxU37RP8/" TargetMode="External"/><Relationship Id="rId393" Type="http://schemas.openxmlformats.org/officeDocument/2006/relationships/hyperlink" Target="https://vt.tiktok.com/ZS9fSh1nx/" TargetMode="External"/><Relationship Id="rId5221" Type="http://schemas.openxmlformats.org/officeDocument/2006/relationships/hyperlink" Target="https://vt.tiktok.com/ZS95xBmDF/" TargetMode="External"/><Relationship Id="rId6552" Type="http://schemas.openxmlformats.org/officeDocument/2006/relationships/hyperlink" Target="https://vt.tiktok.com/ZS9H2LwwK/" TargetMode="External"/><Relationship Id="rId7882" Type="http://schemas.openxmlformats.org/officeDocument/2006/relationships/hyperlink" Target="https://vt.tiktok.com/ZSxU3goaL/" TargetMode="External"/><Relationship Id="rId5226" Type="http://schemas.openxmlformats.org/officeDocument/2006/relationships/hyperlink" Target="https://vt.tiktok.com/ZS95xPjet/" TargetMode="External"/><Relationship Id="rId6557" Type="http://schemas.openxmlformats.org/officeDocument/2006/relationships/hyperlink" Target="https://vt.tiktok.com/ZS9H2LwwK/" TargetMode="External"/><Relationship Id="rId7889" Type="http://schemas.openxmlformats.org/officeDocument/2006/relationships/hyperlink" Target="https://vt.tiktok.com/ZSxmGM77p/" TargetMode="External"/><Relationship Id="rId399" Type="http://schemas.openxmlformats.org/officeDocument/2006/relationships/hyperlink" Target="https://www.tiktok.com/@tinse09" TargetMode="External"/><Relationship Id="rId5227" Type="http://schemas.openxmlformats.org/officeDocument/2006/relationships/hyperlink" Target="https://www.tiktok.com/@skincarepedia" TargetMode="External"/><Relationship Id="rId6558" Type="http://schemas.openxmlformats.org/officeDocument/2006/relationships/hyperlink" Target="https://vt.tiktok.com/ZS9H2PPny/" TargetMode="External"/><Relationship Id="rId7888" Type="http://schemas.openxmlformats.org/officeDocument/2006/relationships/hyperlink" Target="https://www.tiktok.com/@titikzyp2a3/video/7635511746144357650?_r=1&amp;u_code=e9l98g7d7h5880&amp;region=&amp;mid=7613023919407466497&amp;preview_pb=0&amp;sharer_language=&amp;_d=0&amp;ec_shared_reflux_dynamic_params=%7B%22placeholder_material_id%22%3A%227635511746144357650%22%2C%22placeholder_origin_cover%22%3A%22https%253A%252F%252Fp19-common-sign.tiktokcdn.com%252Ftos-alisg-p-0037%252FoUJ7Ge1XIIHoQwkteCTALCYtQIjZAHHIHDzpVe~tplv-tiktokx-origin.jpeg%253Fdr%253D14572%2526refresh_token%253D3cb6504e%2526x-expires%253D1809507600%2526x-signature%253DYiWJ%25252FDat3wu%25252BOqP84CvOiX4NU9o%25253D%2526t%253D4d5b0474%2526ps%253D13740610%2526shp%253Dd05b14bd%2526shcp%253D34ff8df6%2526idc%253Dmy%2526s%253DTIKTOK_AFFILIATE_VIRAL_VIDEO%22%2C%22placeholder_product_id%22%3A%221729427766722726591%22%2C%22placeholder_video_id%22%3A%227635511746144357650%22%7D&amp;ec_shared_reflux_scene=shop_tab_feed&amp;share_item_id=7635511746144357650&amp;source=h5_t" TargetMode="External"/><Relationship Id="rId398" Type="http://schemas.openxmlformats.org/officeDocument/2006/relationships/hyperlink" Target="https://vt.tiktok.com/ZS9fSAF9p/" TargetMode="External"/><Relationship Id="rId5224" Type="http://schemas.openxmlformats.org/officeDocument/2006/relationships/hyperlink" Target="https://vt.tiktok.com/ZS95xSaHM/" TargetMode="External"/><Relationship Id="rId6555" Type="http://schemas.openxmlformats.org/officeDocument/2006/relationships/hyperlink" Target="https://www.tiktok.com/@rekomendasihanaa" TargetMode="External"/><Relationship Id="rId7887" Type="http://schemas.openxmlformats.org/officeDocument/2006/relationships/hyperlink" Target="https://www.tiktok.com/@titikzyp2a3/video/7634152791769926919?_r=1&amp;u_code=e9l98g7d7h5880&amp;region=&amp;mid=7608559003840400145&amp;preview_pb=0&amp;sharer_language=&amp;_d=0&amp;ec_shared_reflux_dynamic_params=%7B%22placeholder_material_id%22%3A%227634152791769926919%22%2C%22placeholder_origin_cover%22%3A%22https%253A%252F%252Fp16-common-sign.tiktokcdn.com%252Ftos-alisg-p-0037%252FoAqU3AfdUeIBQ9RzE5g4IAiikzXXJpxYBwBPB7~tplv-tiktokx-origin.jpeg%253Fdr%253D14572%2526refresh_token%253D02603b4f%2526x-expires%253D1809507600%2526x-signature%253DVtg80E3piASOsVu%25252BGXf5Y%25252Bn0qdE%25253D%2526t%253D4d5b0474%2526ps%253D13740610%2526shp%253Dd05b14bd%2526shcp%253D34ff8df6%2526idc%253Dmy%2526s%253DTIKTOK_AFFILIATE_VIRAL_VIDEO%22%2C%22placeholder_product_id%22%3A%221729427766722726591%22%2C%22placeholder_video_id%22%3A%227634152791769926919%22%7D&amp;ec_shared_reflux_scene=shop_tab_feed&amp;share_item_id=7634152791769926919&amp;source=h5_t" TargetMode="External"/><Relationship Id="rId397" Type="http://schemas.openxmlformats.org/officeDocument/2006/relationships/hyperlink" Target="https://vt.tiktok.com/ZS9fS4DKG/" TargetMode="External"/><Relationship Id="rId5225" Type="http://schemas.openxmlformats.org/officeDocument/2006/relationships/hyperlink" Target="https://vt.tiktok.com/ZS95xFB4a/" TargetMode="External"/><Relationship Id="rId6556" Type="http://schemas.openxmlformats.org/officeDocument/2006/relationships/hyperlink" Target="https://vt.tiktok.com/ZS9H2BvDV/" TargetMode="External"/><Relationship Id="rId7886" Type="http://schemas.openxmlformats.org/officeDocument/2006/relationships/hyperlink" Target="https://www.tiktok.com/@titikzyp2a3/video/7633352369392143624?_r=1&amp;u_code=e9l98g7d7h5880&amp;region=&amp;mid=7046970598518196225&amp;preview_pb=0&amp;sharer_language=&amp;_d=0&amp;ec_shared_reflux_dynamic_params=%7B%22placeholder_material_id%22%3A%227633352369392143624%22%2C%22placeholder_origin_cover%22%3A%22https%253A%252F%252Fp16-common-sign.tiktokcdn.com%252Ftos-alisg-p-0037%252FoYZIAejvuANjGaSQCbwIAzCoHD3LQMkFTfr6qf~tplv-tiktokx-origin.jpeg%253Fdr%253D14572%2526refresh_token%253D920dbd62%2526x-expires%253D1808992800%2526x-signature%253D4lYxUlq0xftH2eVYy%25252BeBtAM2Uj0%25253D%2526t%253D4d5b0474%2526ps%253D13740610%2526shp%253Dd05b14bd%2526shcp%253D34ff8df6%2526idc%253Dmy2%2526s%253DTIKTOK_AFFILIATE_VIRAL_VIDEO%22%2C%22placeholder_product_id%22%3A%221729427766722726591%22%2C%22placeholder_video_id%22%3A%227633352369392143624%22%7D&amp;ec_shared_reflux_scene=shop_tab_feed&amp;share_item_id=7633352369392143624&amp;source=h5_t" TargetMode="External"/><Relationship Id="rId1730" Type="http://schemas.openxmlformats.org/officeDocument/2006/relationships/hyperlink" Target="https://www.tiktok.com/@productskincare/video/7630375958050163986?is_from_webapp=1&amp;sender_device=pc&amp;web_id=7611930277489657360" TargetMode="External"/><Relationship Id="rId1731" Type="http://schemas.openxmlformats.org/officeDocument/2006/relationships/hyperlink" Target="https://www.tiktok.com/@productskincare/video/7630623541653671175?is_from_webapp=1&amp;sender_device=pc&amp;web_id=7611930277489657360" TargetMode="External"/><Relationship Id="rId1732" Type="http://schemas.openxmlformats.org/officeDocument/2006/relationships/hyperlink" Target="https://www.tiktok.com/@productskincare/video/7631737261540838663?is_from_webapp=1&amp;sender_device=pc&amp;web_id=7611930277489657360" TargetMode="External"/><Relationship Id="rId1733" Type="http://schemas.openxmlformats.org/officeDocument/2006/relationships/hyperlink" Target="https://www.tiktok.com/@productskincare/video/7632145535440293127?is_from_webapp=1&amp;sender_device=pc&amp;web_id=7611930277489657360" TargetMode="External"/><Relationship Id="rId1734" Type="http://schemas.openxmlformats.org/officeDocument/2006/relationships/hyperlink" Target="https://www.tiktok.com/@merryayu_98" TargetMode="External"/><Relationship Id="rId1735" Type="http://schemas.openxmlformats.org/officeDocument/2006/relationships/hyperlink" Target="https://vt.tiktok.com/ZSunLTMDD/" TargetMode="External"/><Relationship Id="rId1736" Type="http://schemas.openxmlformats.org/officeDocument/2006/relationships/hyperlink" Target="https://vt.tiktok.com/ZS9bLpGLu/" TargetMode="External"/><Relationship Id="rId1737" Type="http://schemas.openxmlformats.org/officeDocument/2006/relationships/hyperlink" Target="https://vt.tiktok.com/ZS9G7gEbq/" TargetMode="External"/><Relationship Id="rId1738" Type="http://schemas.openxmlformats.org/officeDocument/2006/relationships/hyperlink" Target="https://vt.tiktok.com/ZS9GvLyW6/" TargetMode="External"/><Relationship Id="rId1739" Type="http://schemas.openxmlformats.org/officeDocument/2006/relationships/hyperlink" Target="https://www.tiktok.com/@elvisayman2" TargetMode="External"/><Relationship Id="rId1720" Type="http://schemas.openxmlformats.org/officeDocument/2006/relationships/hyperlink" Target="https://www.tiktok.com/@racunbymas/video/7611099065010441490?is_from_webapp=1&amp;sender_device=pc&amp;web_id=7611930277489657360" TargetMode="External"/><Relationship Id="rId1721" Type="http://schemas.openxmlformats.org/officeDocument/2006/relationships/hyperlink" Target="https://www.tiktok.com/@anasthetixs" TargetMode="External"/><Relationship Id="rId1722" Type="http://schemas.openxmlformats.org/officeDocument/2006/relationships/hyperlink" Target="https://vt.tiktok.com/ZS9tnk1jQ/" TargetMode="External"/><Relationship Id="rId1723" Type="http://schemas.openxmlformats.org/officeDocument/2006/relationships/hyperlink" Target="https://vt.tiktok.com/ZS9tnR51p/" TargetMode="External"/><Relationship Id="rId1724" Type="http://schemas.openxmlformats.org/officeDocument/2006/relationships/hyperlink" Target="https://vt.tiktok.com/ZS9tnAYev/" TargetMode="External"/><Relationship Id="rId1725" Type="http://schemas.openxmlformats.org/officeDocument/2006/relationships/hyperlink" Target="https://vt.tiktok.com/ZS9QrkXs8/" TargetMode="External"/><Relationship Id="rId1726" Type="http://schemas.openxmlformats.org/officeDocument/2006/relationships/hyperlink" Target="https://www.tiktok.com/@Mbokehaydar" TargetMode="External"/><Relationship Id="rId1727" Type="http://schemas.openxmlformats.org/officeDocument/2006/relationships/hyperlink" Target="https://vt.tiktok.com/ZS9Qru145/" TargetMode="External"/><Relationship Id="rId1728" Type="http://schemas.openxmlformats.org/officeDocument/2006/relationships/hyperlink" Target="https://vt.tiktok.com/ZS9VcGmHn/" TargetMode="External"/><Relationship Id="rId1729" Type="http://schemas.openxmlformats.org/officeDocument/2006/relationships/hyperlink" Target="https://www.tiktok.com/@lidyashop28" TargetMode="External"/><Relationship Id="rId1752" Type="http://schemas.openxmlformats.org/officeDocument/2006/relationships/hyperlink" Target="https://vt.tiktok.com/ZSHxGDpPt/" TargetMode="External"/><Relationship Id="rId1753" Type="http://schemas.openxmlformats.org/officeDocument/2006/relationships/hyperlink" Target="https://vt.tiktok.com/ZS9G7sKvf/" TargetMode="External"/><Relationship Id="rId1754" Type="http://schemas.openxmlformats.org/officeDocument/2006/relationships/hyperlink" Target="https://vt.tiktok.com/ZS9G7TpUS/" TargetMode="External"/><Relationship Id="rId1755" Type="http://schemas.openxmlformats.org/officeDocument/2006/relationships/hyperlink" Target="https://www.tiktok.com/@ucenggatoloco" TargetMode="External"/><Relationship Id="rId1756" Type="http://schemas.openxmlformats.org/officeDocument/2006/relationships/hyperlink" Target="https://vt.tiktok.com/ZS9G7tpBE/" TargetMode="External"/><Relationship Id="rId1757" Type="http://schemas.openxmlformats.org/officeDocument/2006/relationships/hyperlink" Target="https://www.tiktok.com/@fafaaddd" TargetMode="External"/><Relationship Id="rId1758" Type="http://schemas.openxmlformats.org/officeDocument/2006/relationships/hyperlink" Target="https://www.tiktok.com/@elisacollectione/video/7621434330874793237?_d=0&amp;_r=1&amp;ec_shared_reflux_dynamic_params=%7B%22placeholder_material_id%22%3A%227621434330874793237%22%2C%22placeholder_origin_cover%22%3A%22https%253A%252F%252Fp16-sign-sg.tiktokcdn.com%252Ftos-alisg-p-0037%252Fow1ejTXm8AC8B0MxIHeJnLQAKXjOYiCDR4QQDe~tplv-tiktokx-origin.jpeg%253Fdr%253D14572%2526refresh_token%253Db2ffffef%2526x-expires%253D1806051600%2526x-signature%253DqBzUTw32lb4bfF7AR0pawbSDaec%25253D%2526t%253D4d5b0474%2526ps%253D13740610%2526shp%253Dd05b14bd%2526shcp%253D34ff8df6%2526idc%253Dmy2%2526s%253DTIKTOK_AFFILIATE_VIRAL_VIDEO%22%2C%22placeholder_product_id%22%3A%221729427766722726591%22%2C%22placeholder_video_id%22%3A%227621434330874793237%22%7D&amp;ec_shared_reflux_scene=shop_tab_feed&amp;mid=7593747801206262535&amp;preview_pb=0&amp;region=&amp;share_item_id=7621434330874793237&amp;sharer_language=&amp;source=h5_t&amp;u_code=dkgkc54agaf83g" TargetMode="External"/><Relationship Id="rId1759" Type="http://schemas.openxmlformats.org/officeDocument/2006/relationships/hyperlink" Target="https://www.tiktok.com/@elisacollectione/video/7621469075008539924?_d=0&amp;_r=1&amp;ec_shared_reflux_dynamic_params=%7B%22placeholder_material_id%22%3A%227621469075008539924%22%2C%22placeholder_origin_cover%22%3A%22https%253A%252F%252Fp16-sign-sg.tiktokcdn.com%252Ftos-alisg-p-0037%252FoUeUQcIKyDA5yZ6CbOFxBRpC2EkgCBuxQWfpJE~tplv-tiktokx-origin.jpeg%253Fdr%253D14572%2526refresh_token%253Db327e4e2%2526x-expires%253D1806051600%2526x-signature%253DfIvjMuQB%25252Bs%25252BZq7dEDt2LAPpk66A%25253D%2526t%253D4d5b0474%2526ps%253D13740610%2526shp%253Dd05b14bd%2526shcp%253D34ff8df6%2526idc%253Dmy2%2526s%253DTIKTOK_AFFILIATE_VIRAL_VIDEO%22%2C%22placeholder_product_id%22%3A%221729427766722726591%22%2C%22placeholder_video_id%22%3A%227621469075008539924%22%7D&amp;ec_shared_reflux_scene=shop_tab_feed&amp;mid=7315774734309509894&amp;preview_pb=0&amp;region=&amp;share_item_id=7621469075008539924&amp;sharer_language=&amp;source=h5_t&amp;u_code=dkgkc54agaf83g" TargetMode="External"/><Relationship Id="rId1750" Type="http://schemas.openxmlformats.org/officeDocument/2006/relationships/hyperlink" Target="https://www.tiktok.com/@arrabeauty.ss" TargetMode="External"/><Relationship Id="rId1751" Type="http://schemas.openxmlformats.org/officeDocument/2006/relationships/hyperlink" Target="https://www.tiktok.com/@arrabeauty.ss/video/7627050070273199367?is_from_webapp=1&amp;sender_device=pc" TargetMode="External"/><Relationship Id="rId1741" Type="http://schemas.openxmlformats.org/officeDocument/2006/relationships/hyperlink" Target="https://vt.tiktok.com/ZS9G7typC/" TargetMode="External"/><Relationship Id="rId1742" Type="http://schemas.openxmlformats.org/officeDocument/2006/relationships/hyperlink" Target="https://vt.tiktok.com/ZS9G7tP1G/" TargetMode="External"/><Relationship Id="rId1743" Type="http://schemas.openxmlformats.org/officeDocument/2006/relationships/hyperlink" Target="https://vt.tiktok.com/ZS9GvN1Ee/" TargetMode="External"/><Relationship Id="rId1744" Type="http://schemas.openxmlformats.org/officeDocument/2006/relationships/hyperlink" Target="https://www.tiktok.com/@ochacacaaaaa_" TargetMode="External"/><Relationship Id="rId1745" Type="http://schemas.openxmlformats.org/officeDocument/2006/relationships/hyperlink" Target="https://www.tiktok.com/@ochacacaaaaa_/video/7616283950654197012" TargetMode="External"/><Relationship Id="rId1746" Type="http://schemas.openxmlformats.org/officeDocument/2006/relationships/hyperlink" Target="https://www.tiktok.com/@ochacacaaaaa_/video/7616285456459730197" TargetMode="External"/><Relationship Id="rId1747" Type="http://schemas.openxmlformats.org/officeDocument/2006/relationships/hyperlink" Target="https://www.tiktok.com/@ochacacaaaaa_/video/7616331240764984584" TargetMode="External"/><Relationship Id="rId1748" Type="http://schemas.openxmlformats.org/officeDocument/2006/relationships/hyperlink" Target="https://www.tiktok.com/@ochacacaaaaa_/video/7616332630673460487" TargetMode="External"/><Relationship Id="rId1749" Type="http://schemas.openxmlformats.org/officeDocument/2006/relationships/hyperlink" Target="http://arrabeauty.ss" TargetMode="External"/><Relationship Id="rId1740" Type="http://schemas.openxmlformats.org/officeDocument/2006/relationships/hyperlink" Target="https://vt.tiktok.com/ZSHoNsBYU/" TargetMode="External"/><Relationship Id="rId5291" Type="http://schemas.openxmlformats.org/officeDocument/2006/relationships/hyperlink" Target="https://vt.tiktok.com/ZS9Sh4LUQ/" TargetMode="External"/><Relationship Id="rId5292" Type="http://schemas.openxmlformats.org/officeDocument/2006/relationships/hyperlink" Target="https://www.tiktok.com/@whosthi00" TargetMode="External"/><Relationship Id="rId5290" Type="http://schemas.openxmlformats.org/officeDocument/2006/relationships/hyperlink" Target="https://vt.tiktok.com/ZS9SMWJBS/" TargetMode="External"/><Relationship Id="rId5295" Type="http://schemas.openxmlformats.org/officeDocument/2006/relationships/hyperlink" Target="https://vt.tiktok.com/ZS9SMWJBS/" TargetMode="External"/><Relationship Id="rId5296" Type="http://schemas.openxmlformats.org/officeDocument/2006/relationships/hyperlink" Target="https://vt.tiktok.com/ZS9Sh4LUQ/" TargetMode="External"/><Relationship Id="rId5293" Type="http://schemas.openxmlformats.org/officeDocument/2006/relationships/hyperlink" Target="https://vt.tiktok.com/ZS9YHXyNm/" TargetMode="External"/><Relationship Id="rId5294" Type="http://schemas.openxmlformats.org/officeDocument/2006/relationships/hyperlink" Target="https://vt.tiktok.com/ZS9BvQ845/" TargetMode="External"/><Relationship Id="rId5299" Type="http://schemas.openxmlformats.org/officeDocument/2006/relationships/hyperlink" Target="https://vt.tiktok.com/ZS9BvQ845/" TargetMode="External"/><Relationship Id="rId5297" Type="http://schemas.openxmlformats.org/officeDocument/2006/relationships/hyperlink" Target="https://www.tiktok.com/@serbaserbishp" TargetMode="External"/><Relationship Id="rId5298" Type="http://schemas.openxmlformats.org/officeDocument/2006/relationships/hyperlink" Target="https://vt.tiktok.com/ZS9YHXyNm/" TargetMode="External"/><Relationship Id="rId5280" Type="http://schemas.openxmlformats.org/officeDocument/2006/relationships/hyperlink" Target="https://vt.tiktok.com/ZS9SMWJBS/" TargetMode="External"/><Relationship Id="rId5281" Type="http://schemas.openxmlformats.org/officeDocument/2006/relationships/hyperlink" Target="https://vt.tiktok.com/ZS9Sh4LUQ/" TargetMode="External"/><Relationship Id="rId5284" Type="http://schemas.openxmlformats.org/officeDocument/2006/relationships/hyperlink" Target="https://vt.tiktok.com/ZS9BvQ845/" TargetMode="External"/><Relationship Id="rId5285" Type="http://schemas.openxmlformats.org/officeDocument/2006/relationships/hyperlink" Target="https://vt.tiktok.com/ZS9SMWJBS/" TargetMode="External"/><Relationship Id="rId5282" Type="http://schemas.openxmlformats.org/officeDocument/2006/relationships/hyperlink" Target="https://www.tiktok.com/@vinaapriliar" TargetMode="External"/><Relationship Id="rId5283" Type="http://schemas.openxmlformats.org/officeDocument/2006/relationships/hyperlink" Target="https://vt.tiktok.com/ZS9YHXyNm/" TargetMode="External"/><Relationship Id="rId5288" Type="http://schemas.openxmlformats.org/officeDocument/2006/relationships/hyperlink" Target="https://vt.tiktok.com/ZS9YHXyNm/" TargetMode="External"/><Relationship Id="rId5289" Type="http://schemas.openxmlformats.org/officeDocument/2006/relationships/hyperlink" Target="https://vt.tiktok.com/ZS9BvQ845/" TargetMode="External"/><Relationship Id="rId5286" Type="http://schemas.openxmlformats.org/officeDocument/2006/relationships/hyperlink" Target="https://vt.tiktok.com/ZS9Sh4LUQ/" TargetMode="External"/><Relationship Id="rId5287" Type="http://schemas.openxmlformats.org/officeDocument/2006/relationships/hyperlink" Target="https://www.tiktok.com/@kkaylaeu" TargetMode="External"/><Relationship Id="rId1710" Type="http://schemas.openxmlformats.org/officeDocument/2006/relationships/hyperlink" Target="https://vt.tiktok.com/ZS9tn1Hjh/" TargetMode="External"/><Relationship Id="rId1711" Type="http://schemas.openxmlformats.org/officeDocument/2006/relationships/hyperlink" Target="https://www.tiktok.com/@bulbul_802" TargetMode="External"/><Relationship Id="rId1712" Type="http://schemas.openxmlformats.org/officeDocument/2006/relationships/hyperlink" Target="https://vt.tiktok.com/ZSHpvM1yd/" TargetMode="External"/><Relationship Id="rId1713" Type="http://schemas.openxmlformats.org/officeDocument/2006/relationships/hyperlink" Target="https://vt.tiktok.com/ZS9NHnexA/" TargetMode="External"/><Relationship Id="rId1714" Type="http://schemas.openxmlformats.org/officeDocument/2006/relationships/hyperlink" Target="https://vt.tiktok.com/ZS9tnyVuf/" TargetMode="External"/><Relationship Id="rId1715" Type="http://schemas.openxmlformats.org/officeDocument/2006/relationships/hyperlink" Target="https://vt.tiktok.com/ZS9tnrsw5/" TargetMode="External"/><Relationship Id="rId1716" Type="http://schemas.openxmlformats.org/officeDocument/2006/relationships/hyperlink" Target="https://www.tiktok.com/@racunbymas" TargetMode="External"/><Relationship Id="rId1717" Type="http://schemas.openxmlformats.org/officeDocument/2006/relationships/hyperlink" Target="https://www.tiktok.com/@racunbymas/video/7603671355330022664?is_from_webapp=1&amp;sender_device=pc&amp;web_id=7611930277489657360" TargetMode="External"/><Relationship Id="rId1718" Type="http://schemas.openxmlformats.org/officeDocument/2006/relationships/hyperlink" Target="https://www.tiktok.com/@racunbymas/video/7604362138160844050?is_from_webapp=1&amp;sender_device=pc&amp;web_id=7611930277489657360" TargetMode="External"/><Relationship Id="rId1719" Type="http://schemas.openxmlformats.org/officeDocument/2006/relationships/hyperlink" Target="https://www.tiktok.com/@racunbymas/video/7604860798636264722?is_from_webapp=1&amp;sender_device=pc&amp;web_id=7611930277489657360" TargetMode="External"/><Relationship Id="rId1700" Type="http://schemas.openxmlformats.org/officeDocument/2006/relationships/hyperlink" Target="https://vt.tiktok.com/ZS9ttVn87/" TargetMode="External"/><Relationship Id="rId1701" Type="http://schemas.openxmlformats.org/officeDocument/2006/relationships/hyperlink" Target="https://www.tiktok.com/@naura.karisma" TargetMode="External"/><Relationship Id="rId1702" Type="http://schemas.openxmlformats.org/officeDocument/2006/relationships/hyperlink" Target="https://www.tiktok.com/@naura.karisma/video/7619195609207016724?_r=1&amp;u_code=ee97hf50aa8g7e&amp;region=&amp;mid=7589650813012658964&amp;preview_pb=0&amp;sharer_language=&amp;_d=0&amp;ec_shared_reflux_dynamic_params=%7B%22placeholder_material_id%22%3A%227619195609207016724%22%2C%22placeholder_origin_cover%22%3A%22https%253A%252F%252Fp16-sign-sg.tiktokcdn.com%252Ftos-alisg-p-0037%252FocbdOPDMQIfiJ4FGapmR5GCFeQfiwtzeAAkLlG~tplv-tiktokx-origin.jpeg%253Fdr%253D14572%2526refresh_token%253D914347cb%2526x-expires%253D1806051600%2526x-signature%253DHZVeXSx76k%25252F1%25252FxP%25252BM1RL7QkLWcs%25253D%2526t%253D4d5b0474%2526ps%253D13740610%2526shp%253Dd05b14bd%2526shcp%253D34ff8df6%2526idc%253Dmy2%2526s%253DTIKTOK_AFFILIATE_VIRAL_VIDEO%22%2C%22placeholder_product_id%22%3A%221729427766722726591%22%2C%22placeholder_video_id%22%3A%227619195609207016724%22%7D&amp;ec_shared_reflux_scene=shop_tab_feed&amp;share_item_id=7619195609207016724&amp;source=h5_t" TargetMode="External"/><Relationship Id="rId1703" Type="http://schemas.openxmlformats.org/officeDocument/2006/relationships/hyperlink" Target="https://www.tiktok.com/@naura.karisma/video/7620123480071130389?_d=0&amp;_r=1&amp;ec_shared_reflux_dynamic_params=%7B%22placeholder_material_id%22%3A%227620123480071130389%22%2C%22placeholder_origin_cover%22%3A%22https%253A%252F%252Fp16-sign-sg.tiktokcdn.com%252Ftos-alisg-p-0037%252FosDCI0efGAkTFDArQtfCjONDAEVI4jDZaagTQr~tplv-tiktokx-origin.jpeg%253Fdr%253D14572%2526refresh_token%253D489d9c49%2526x-expires%253D1806051600%2526x-signature%253DQWwob9Y89vkGKv0URD5hAEEwF48%25253D%2526t%253D4d5b0474%2526ps%253D13740610%2526shp%253Dd05b14bd%2526shcp%253D34ff8df6%2526idc%253Dmy2%2526s%253DTIKTOK_AFFILIATE_VIRAL_VIDEO%22%2C%22placeholder_product_id%22%3A%221729427766722726591%22%2C%22placeholder_video_id%22%3A%227620123480071130389%22%7D&amp;ec_shared_reflux_scene=shop_tab_feed&amp;mid=7580102470815975425&amp;preview_pb=0&amp;region=&amp;share_item_id=7620123480071130389&amp;sharer_language=&amp;source=h5_t&amp;u_code=ee97hf50aa8g7e" TargetMode="External"/><Relationship Id="rId1704" Type="http://schemas.openxmlformats.org/officeDocument/2006/relationships/hyperlink" Target="https://www.tiktok.com/@naura.karisma/video/7620246230387641620?_r=1&amp;u_code=ee97hf50aa8g7e&amp;region=&amp;mid=7597473893390289682&amp;preview_pb=0&amp;sharer_language=&amp;_d=0&amp;ec_shared_reflux_dynamic_params=%7B%22placeholder_material_id%22%3A%227620246230387641620%22%2C%22placeholder_origin_cover%22%3A%22https%253A%252F%252Fp16-sign-sg.tiktokcdn.com%252Ftos-alisg-p-0037%252FoYuB2zD3FONLwGBOGRoCABsEm1TQQcDfgpIXfE~tplv-tiktokx-origin.jpeg%253Fdr%253D14572%2526refresh_token%253Df4fceb55%2526x-expires%253D1806051600%2526x-signature%253DrHj4KB%25252Fnxrj8ho%25252FsVzJyIamTIeY%25253D%2526t%253D4d5b0474%2526ps%253D13740610%2526shp%253Dd05b14bd%2526shcp%253D34ff8df6%2526idc%253Dmy2%2526s%253DTIKTOK_AFFILIATE_VIRAL_VIDEO%22%2C%22placeholder_product_id%22%3A%221729427766722726591%22%2C%22placeholder_video_id%22%3A%227620246230387641620%22%7D&amp;ec_shared_reflux_scene=shop_tab_feed&amp;share_item_id=7620246230387641620&amp;source=h5_t" TargetMode="External"/><Relationship Id="rId1705" Type="http://schemas.openxmlformats.org/officeDocument/2006/relationships/hyperlink" Target="https://www.tiktok.com/@naura.karisma/video/7620432126386736404?_r=1&amp;u_code=ee97hf50aa8g7e&amp;region=&amp;mid=7505029365265876993&amp;preview_pb=0&amp;sharer_language=&amp;_d=0&amp;ec_shared_reflux_dynamic_params=%7B%22placeholder_material_id%22%3A%227620432126386736404%22%2C%22placeholder_origin_cover%22%3A%22https%253A%252F%252Fp16-sign-sg.tiktokcdn.com%252Ftos-alisg-p-0037%252FoIM0FhssrAp8BIljwIig4NuB8fqXmrJiACAnBI~tplv-tiktokx-origin.jpeg%253Fdr%253D14572%2526refresh_token%253Dae13a2be%2526x-expires%253D1806051600%2526x-signature%253D0%25252Fx9KOG4uznapYJDnJywOzsPmoA%25253D%2526t%253D4d5b0474%2526ps%253D13740610%2526shp%253Dd05b14bd%2526shcp%253D34ff8df6%2526idc%253Dmy2%2526s%253DTIKTOK_AFFILIATE_VIRAL_VIDEO%22%2C%22placeholder_product_id%22%3A%221729427766722726591%22%2C%22placeholder_video_id%22%3A%227620432126386736404%22%7D&amp;ec_shared_reflux_scene=shop_tab_feed&amp;share_item_id=7620432126386736404&amp;source=h5_t" TargetMode="External"/><Relationship Id="rId1706" Type="http://schemas.openxmlformats.org/officeDocument/2006/relationships/hyperlink" Target="https://www.tiktok.com/@zakiyahla27" TargetMode="External"/><Relationship Id="rId1707" Type="http://schemas.openxmlformats.org/officeDocument/2006/relationships/hyperlink" Target="https://www.tiktok.com/@racun.aprillia/video/7618410575109967124?is_from_webapp=1&amp;sender_device=pc" TargetMode="External"/><Relationship Id="rId1708" Type="http://schemas.openxmlformats.org/officeDocument/2006/relationships/hyperlink" Target="https://vt.tiktok.com/ZS9tnk6KC/" TargetMode="External"/><Relationship Id="rId1709" Type="http://schemas.openxmlformats.org/officeDocument/2006/relationships/hyperlink" Target="https://vt.tiktok.com/ZS9ttqoa2/" TargetMode="External"/><Relationship Id="rId40" Type="http://schemas.openxmlformats.org/officeDocument/2006/relationships/hyperlink" Target="https://www.tiktok.com/@urnon_" TargetMode="External"/><Relationship Id="rId42" Type="http://schemas.openxmlformats.org/officeDocument/2006/relationships/hyperlink" Target="https://vt.tiktok.com/ZSxVgeg9E/" TargetMode="External"/><Relationship Id="rId41" Type="http://schemas.openxmlformats.org/officeDocument/2006/relationships/hyperlink" Target="https://vt.tiktok.com/ZSHNX6yHE/" TargetMode="External"/><Relationship Id="rId44" Type="http://schemas.openxmlformats.org/officeDocument/2006/relationships/hyperlink" Target="https://www.tiktok.com/@liayulianti1278/video/7610755116546673940?is_from_webapp=1&amp;sender_device=pc" TargetMode="External"/><Relationship Id="rId43" Type="http://schemas.openxmlformats.org/officeDocument/2006/relationships/hyperlink" Target="https://www.tiktok.com/@mutiarabintang.2" TargetMode="External"/><Relationship Id="rId46" Type="http://schemas.openxmlformats.org/officeDocument/2006/relationships/hyperlink" Target="https://www.tiktok.com/@liayulianti1278/video/7613287829334002965?is_from_webapp=1&amp;sender_device=pc" TargetMode="External"/><Relationship Id="rId45" Type="http://schemas.openxmlformats.org/officeDocument/2006/relationships/hyperlink" Target="https://www.tiktok.com/@liayulianti1278/video/7611915904510594324?is_from_webapp=1&amp;sender_device=pc" TargetMode="External"/><Relationship Id="rId48" Type="http://schemas.openxmlformats.org/officeDocument/2006/relationships/hyperlink" Target="https://www.tiktok.com/@dipiul_" TargetMode="External"/><Relationship Id="rId47" Type="http://schemas.openxmlformats.org/officeDocument/2006/relationships/hyperlink" Target="https://www.tiktok.com/@liakomalasari15/video/7612191482455379220?is_from_webapp=1&amp;sender_device=pc" TargetMode="External"/><Relationship Id="rId49" Type="http://schemas.openxmlformats.org/officeDocument/2006/relationships/hyperlink" Target="https://vt.tiktok.com/ZSmKM63sx/" TargetMode="External"/><Relationship Id="rId31" Type="http://schemas.openxmlformats.org/officeDocument/2006/relationships/hyperlink" Target="https://vt.tiktok.com/ZSmATVF1p/" TargetMode="External"/><Relationship Id="rId30" Type="http://schemas.openxmlformats.org/officeDocument/2006/relationships/hyperlink" Target="https://www.tiktok.com/@marifatul_mahmudah3" TargetMode="External"/><Relationship Id="rId33" Type="http://schemas.openxmlformats.org/officeDocument/2006/relationships/hyperlink" Target="https://www.tiktok.com/@sunja.96/video/7635484727541075220?_r=1&amp;u_code=dc098fbgha09m9&amp;region=&amp;mid=7635484773557357328&amp;preview_pb=0&amp;sharer_language=&amp;_d=0&amp;ec_shared_reflux_dynamic_params=%7B%22placeholder_material_id%22%3A%227635484727541075220%22%2C%22placeholder_origin_cover%22%3A%22https%253A%252F%252Fp16-common-sign.tiktokcdn.com%252Ftos-alisg-p-0037%252FoYGt2nsFf1NgRUvGuhAJfmAwEwA4pvHauf2BeY~tplv-tiktokx-origin.jpeg%253Fdr%253D14572%2526refresh_token%253D84c9e4b2%2526x-expires%253D1809507600%2526x-signature%253DNo8XNv%25252Bjn8rjMokdSq7hahJVF%25252BU%25253D%2526t%253D4d5b0474%2526ps%253D13740610%2526shp%253Dd05b14bd%2526shcp%253D34ff8df6%2526idc%253Dmy%2526s%253DTIKTOK_AFFILIATE_VIRAL_VIDEO%22%2C%22placeholder_product_id%22%3A%221729427766722726591%22%2C%22placeholder_video_id%22%3A%227635484727541075220%22%7D&amp;ec_shared_reflux_scene=shop_tab_feed&amp;share_item_id=7635484727541075220&amp;source=h5_t" TargetMode="External"/><Relationship Id="rId32" Type="http://schemas.openxmlformats.org/officeDocument/2006/relationships/hyperlink" Target="https://vt.tiktok.com/ZSmvbJP3b/" TargetMode="External"/><Relationship Id="rId35" Type="http://schemas.openxmlformats.org/officeDocument/2006/relationships/hyperlink" Target="https://www.tiktok.com/@sugarbaby9_" TargetMode="External"/><Relationship Id="rId34" Type="http://schemas.openxmlformats.org/officeDocument/2006/relationships/hyperlink" Target="https://www.tiktok.com/@sunja.96/video/7635183735905799445?_r=1&amp;u_code=dc098fbgha09m9&amp;region=&amp;mid=7635183789718702868&amp;preview_pb=0&amp;sharer_language=&amp;_d=0&amp;ec_shared_reflux_dynamic_params=%7B%22placeholder_material_id%22%3A%227635183735905799445%22%2C%22placeholder_origin_cover%22%3A%22https%253A%252F%252Fp16-sign-sg.tiktokcdn.com%252Ftos-alisg-p-0037%252FooBdAnJ9ninPsEZBIpiB6zfII4XEgeAaBc1LNR~tplv-tiktokx-origin.jpeg%253Fdr%253D14572%2526refresh_token%253D5b7ca8fb%2526x-expires%253D1809507600%2526x-signature%253DRVRCFixL9zBRU3xkwGNrWbKGGf0%25253D%2526t%253D4d5b0474%2526ps%253D13740610%2526shp%253Dd05b14bd%2526shcp%253D34ff8df6%2526idc%253Dmy%2526s%253DTIKTOK_AFFILIATE_VIRAL_VIDEO%22%2C%22placeholder_product_id%22%3A%221729427766722726591%22%2C%22placeholder_video_id%22%3A%227635183735905799445%22%7D&amp;ec_shared_reflux_scene=shop_tab_feed&amp;share_item_id=7635183735905799445&amp;source=h5_t" TargetMode="External"/><Relationship Id="rId37" Type="http://schemas.openxmlformats.org/officeDocument/2006/relationships/hyperlink" Target="https://vt.tiktok.com/ZSH9Ma44J/" TargetMode="External"/><Relationship Id="rId36" Type="http://schemas.openxmlformats.org/officeDocument/2006/relationships/hyperlink" Target="https://vt.tiktok.com/ZSu1eV1dt/" TargetMode="External"/><Relationship Id="rId39" Type="http://schemas.openxmlformats.org/officeDocument/2006/relationships/hyperlink" Target="https://www.tiktok.com/@sunja.96/video/7634784255058414869?_r=1&amp;u_code=dc098fbgha09m9&amp;region=&amp;mid=7634784287371447058&amp;preview_pb=0&amp;sharer_language=&amp;_d=0&amp;ec_shared_reflux_dynamic_params=%7B%22placeholder_material_id%22%3A%227634784255058414869%22%2C%22placeholder_origin_cover%22%3A%22https%253A%252F%252Fp16-sign-sg.tiktokcdn.com%252Ftos-alisg-p-0037%252FoAhpciBPREB2jIdX20iIwnBAMBdg94OCepfS0T~tplv-tiktokx-origin.jpeg%253Fdr%253D14572%2526refresh_token%253D8fe09b5a%2526x-expires%253D1809507600%2526x-signature%253DNfqpinJvnLDV674KqByDVUr14Fo%25253D%2526t%253D4d5b0474%2526ps%253D13740610%2526shp%253Dd05b14bd%2526shcp%253D34ff8df6%2526idc%253Dmy%2526s%253DTIKTOK_AFFILIATE_VIRAL_VIDEO%22%2C%22placeholder_product_id%22%3A%221729427766722726591%22%2C%22placeholder_video_id%22%3A%227634784255058414869%22%7D&amp;ec_shared_reflux_scene=shop_tab_feed&amp;share_item_id=7634784255058414869&amp;source=h5_t" TargetMode="External"/><Relationship Id="rId38" Type="http://schemas.openxmlformats.org/officeDocument/2006/relationships/hyperlink" Target="https://vt.tiktok.com/ZS9RSVay1/" TargetMode="External"/><Relationship Id="rId20" Type="http://schemas.openxmlformats.org/officeDocument/2006/relationships/hyperlink" Target="https://www.tiktok.com/@zulfakafilah_" TargetMode="External"/><Relationship Id="rId22" Type="http://schemas.openxmlformats.org/officeDocument/2006/relationships/hyperlink" Target="https://vt.tiktok.com/ZSuDjex1r/" TargetMode="External"/><Relationship Id="rId21" Type="http://schemas.openxmlformats.org/officeDocument/2006/relationships/hyperlink" Target="https://vt.tiktok.com/ZSmQy69Vf/" TargetMode="External"/><Relationship Id="rId24" Type="http://schemas.openxmlformats.org/officeDocument/2006/relationships/hyperlink" Target="https://www.tiktok.com/@nina_kadier/video/7629944232266059026?_d=0&amp;_r=1&amp;ec_shared_reflux_dynamic_params=%7B%22placeholder_material_id%22%3A%227629944232266059026%22%2C%22placeholder_origin_cover%22%3A%22https%253A%252F%252Fp19-common-sign.tiktokcdn.com%252Ftos-alisg-p-0037%252FoE3LQoQMP28DZLRCATgGIjWQeoWHejAxfbCMTA~tplv-tiktokx-origin.jpeg%253Fdr%253D14572%2526refresh_token%253Db35c095b%2526x-expires%253D1808208000%2526x-signature%253DvVFjAKOWYAD5KWxa9SEdXzgBtsM%25253D%2526t%253D4d5b0474%2526ps%253D13740610%2526shp%253Dd05b14bd%2526shcp%253D34ff8df6%2526idc%253Dmy3%2526s%253DTIKTOK_AFFILIATE_VIRAL_VIDEO%22%2C%22placeholder_product_id%22%3A%221729427766722726591%22%2C%22placeholder_video_id%22%3A%227629944232266059026%22%7D&amp;ec_shared_reflux_scene=shop_tab_feed&amp;mid=7629944269096110856&amp;preview_pb=0&amp;region=&amp;share_item_id=7629944232266059026&amp;sharer_language=&amp;source=h5_t&amp;u_code=d9b9ld57347i92" TargetMode="External"/><Relationship Id="rId23" Type="http://schemas.openxmlformats.org/officeDocument/2006/relationships/hyperlink" Target="https://www.tiktok.com/@nina_kadier/video/7629280883777834247?_r=1&amp;u_code=d9b9ld57347i92&amp;region=&amp;mid=7629280923233635093&amp;preview_pb=0&amp;sharer_language=&amp;_d=0&amp;ec_shared_reflux_dynamic_params=%7B%22placeholder_material_id%22%3A%227629280883777834247%22%2C%22placeholder_origin_cover%22%3A%22https%253A%252F%252Fp16-common-sign.tiktokcdn.com%252Ftos-alisg-p-0037%252FowSjawIjTa3oQg4pIfsRpZAQGeAsLDCSWCeTUQ~tplv-tiktokx-origin.jpeg%253Fdr%253D14572%2526refresh_token%253D0331b9b9%2526x-expires%253D1808208000%2526x-signature%253Dr8q29aZp%25252FiUNIBGmbrkvXUyxcvE%25253D%2526t%253D4d5b0474%2526ps%253D13740610%2526shp%253Dd05b14bd%2526shcp%253D34ff8df6%2526idc%253Dmy3%2526s%253DTIKTOK_AFFILIATE_VIRAL_VIDEO%22%2C%22placeholder_product_id%22%3A%221729427766722726591%22%2C%22placeholder_video_id%22%3A%227629280883777834247%22%7D&amp;ec_shared_reflux_scene=shop_tab_feed&amp;share_item_id=7629280883777834247&amp;source=h5_t" TargetMode="External"/><Relationship Id="rId26" Type="http://schemas.openxmlformats.org/officeDocument/2006/relationships/hyperlink" Target="https://vt.tiktok.com/ZSHEp1JJY/" TargetMode="External"/><Relationship Id="rId25" Type="http://schemas.openxmlformats.org/officeDocument/2006/relationships/hyperlink" Target="https://www.tiktok.com/@fitririfit" TargetMode="External"/><Relationship Id="rId28" Type="http://schemas.openxmlformats.org/officeDocument/2006/relationships/hyperlink" Target="https://www.tiktok.com/@produkindonesiayaa/video/7635911886793428231?_r=1&amp;u_code=e8ciej6cg6bd8j&amp;region=&amp;mid=7635911937184434952&amp;preview_pb=0&amp;sharer_language=&amp;_d=0&amp;ec_shared_reflux_dynamic_params=%7B%22placeholder_material_id%22%3A%227635911886793428231%22%2C%22placeholder_origin_cover%22%3A%22https%253A%252F%252Fp16-common-sign.tiktokcdn.com%252Ftos-alisg-p-0037%252FowXUQoLKCe4L6944DCGAQp8yj1TANCfIqGI7eG~tplv-tiktokx-origin.jpeg%253Fdr%253D14572%2526refresh_token%253D868d346d%2526x-expires%253D1809507600%2526x-signature%253D2ec9hCsgLDidjb3dqifntbKywW4%25253D%2526t%253D4d5b0474%2526ps%253D13740610%2526shp%253Dd05b14bd%2526shcp%253D34ff8df6%2526idc%253Dmy%2526s%253DTIKTOK_AFFILIATE_VIRAL_VIDEO%22%2C%22placeholder_product_id%22%3A%221729427766722726591%22%2C%22placeholder_video_id%22%3A%227635911886793428231%22%7D&amp;ec_shared_reflux_scene=shop_tab_feed&amp;share_item_id=7635911886793428231&amp;source=h5_t" TargetMode="External"/><Relationship Id="rId27" Type="http://schemas.openxmlformats.org/officeDocument/2006/relationships/hyperlink" Target="https://www.tiktok.com/@produkindonesiayaa/video/7635922203099319570?_r=1&amp;u_code=e8ciej6cg6bd8j&amp;region=&amp;mid=7635922238830873362&amp;preview_pb=0&amp;sharer_language=&amp;_d=0&amp;ec_shared_reflux_dynamic_params=%7B%22placeholder_material_id%22%3A%227635922203099319570%22%2C%22placeholder_origin_cover%22%3A%22https%253A%252F%252Fp16-common-sign.tiktokcdn.com%252Ftos-alisg-p-0037%252FocfgCMv0AfeeEbxmkZBAwf0ABfNnOugOeII3LAx~tplv-tiktokx-origin.jpeg%253Fdr%253D14572%2526refresh_token%253D2329d445%2526x-expires%253D1809507600%2526x-signature%253DiWz29WIC0Y94Zmdzyq7hl9PniMQ%25253D%2526t%253D4d5b0474%2526ps%253D13740610%2526shp%253Dd05b14bd%2526shcp%253D34ff8df6%2526idc%253Dmy%2526s%253DTIKTOK_AFFILIATE_VIRAL_VIDEO%22%2C%22placeholder_product_id%22%3A%221729427766722726591%22%2C%22placeholder_video_id%22%3A%227635922203099319570%22%7D&amp;ec_shared_reflux_scene=shop_tab_feed&amp;share_item_id=7635922203099319570&amp;source=h5_t" TargetMode="External"/><Relationship Id="rId29" Type="http://schemas.openxmlformats.org/officeDocument/2006/relationships/hyperlink" Target="https://vt.tiktok.com/ZS9XqR7CF/" TargetMode="External"/><Relationship Id="rId11" Type="http://schemas.openxmlformats.org/officeDocument/2006/relationships/hyperlink" Target="https://www.tiktok.com/@ayyy_______" TargetMode="External"/><Relationship Id="rId10" Type="http://schemas.openxmlformats.org/officeDocument/2006/relationships/hyperlink" Target="https://vt.tiktok.com/ZS9J8jtbx/" TargetMode="External"/><Relationship Id="rId13" Type="http://schemas.openxmlformats.org/officeDocument/2006/relationships/hyperlink" Target="https://vt.tiktok.com/ZSxQ2FvQY/" TargetMode="External"/><Relationship Id="rId12" Type="http://schemas.openxmlformats.org/officeDocument/2006/relationships/hyperlink" Target="https://vt.tiktok.com/ZSxVuCLJU/" TargetMode="External"/><Relationship Id="rId15" Type="http://schemas.openxmlformats.org/officeDocument/2006/relationships/hyperlink" Target="https://www.tiktok.com/@fnuri" TargetMode="External"/><Relationship Id="rId14" Type="http://schemas.openxmlformats.org/officeDocument/2006/relationships/hyperlink" Target="https://vt.tiktok.com/ZSxVb3eJV/" TargetMode="External"/><Relationship Id="rId17" Type="http://schemas.openxmlformats.org/officeDocument/2006/relationships/hyperlink" Target="https://vt.tiktok.com/ZSmknpYh5/" TargetMode="External"/><Relationship Id="rId16" Type="http://schemas.openxmlformats.org/officeDocument/2006/relationships/hyperlink" Target="https://vt.tiktok.com/ZSmknpYh5/" TargetMode="External"/><Relationship Id="rId19" Type="http://schemas.openxmlformats.org/officeDocument/2006/relationships/hyperlink" Target="https://www.tiktok.com/@fnuri/video/7607058057046035713?is_from_webapp=1&amp;sender_device=pc" TargetMode="External"/><Relationship Id="rId18" Type="http://schemas.openxmlformats.org/officeDocument/2006/relationships/hyperlink" Target="https://vt.tiktok.com/ZSuSHyEwq/" TargetMode="External"/><Relationship Id="rId84" Type="http://schemas.openxmlformats.org/officeDocument/2006/relationships/hyperlink" Target="https://vt.tiktok.com/ZSmUUtQbg/" TargetMode="External"/><Relationship Id="rId1774" Type="http://schemas.openxmlformats.org/officeDocument/2006/relationships/hyperlink" Target="https://vt.tiktok.com/ZS9vmkfoF/" TargetMode="External"/><Relationship Id="rId83" Type="http://schemas.openxmlformats.org/officeDocument/2006/relationships/hyperlink" Target="https://vt.tiktok.com/ZSmUy6j6x/" TargetMode="External"/><Relationship Id="rId1775" Type="http://schemas.openxmlformats.org/officeDocument/2006/relationships/hyperlink" Target="https://vt.tiktok.com/ZS9vmLAq5/" TargetMode="External"/><Relationship Id="rId86" Type="http://schemas.openxmlformats.org/officeDocument/2006/relationships/hyperlink" Target="https://vt.tiktok.com/ZSmQS3vCy/" TargetMode="External"/><Relationship Id="rId1776" Type="http://schemas.openxmlformats.org/officeDocument/2006/relationships/hyperlink" Target="https://vt.tiktok.com/ZS9vmFoNb/" TargetMode="External"/><Relationship Id="rId85" Type="http://schemas.openxmlformats.org/officeDocument/2006/relationships/hyperlink" Target="https://vt.tiktok.com/ZSmUUw3RD/" TargetMode="External"/><Relationship Id="rId1777" Type="http://schemas.openxmlformats.org/officeDocument/2006/relationships/hyperlink" Target="https://www.tiktok.com/@widianasaffya7" TargetMode="External"/><Relationship Id="rId88" Type="http://schemas.openxmlformats.org/officeDocument/2006/relationships/hyperlink" Target="https://vt.tiktok.com/ZSmAQ2xpv/" TargetMode="External"/><Relationship Id="rId1778" Type="http://schemas.openxmlformats.org/officeDocument/2006/relationships/hyperlink" Target="https://vt.tiktok.com/ZSHojfLJH/" TargetMode="External"/><Relationship Id="rId87" Type="http://schemas.openxmlformats.org/officeDocument/2006/relationships/hyperlink" Target="https://www.tiktok.com/@review.erna27" TargetMode="External"/><Relationship Id="rId1779" Type="http://schemas.openxmlformats.org/officeDocument/2006/relationships/hyperlink" Target="https://vt.tiktok.com/ZSHojq8ge/" TargetMode="External"/><Relationship Id="rId89" Type="http://schemas.openxmlformats.org/officeDocument/2006/relationships/hyperlink" Target="https://vt.tiktok.com/ZSmfUnUqD/" TargetMode="External"/><Relationship Id="rId80" Type="http://schemas.openxmlformats.org/officeDocument/2006/relationships/hyperlink" Target="https://vt.tiktok.com/ZSmqRQHbo/" TargetMode="External"/><Relationship Id="rId82" Type="http://schemas.openxmlformats.org/officeDocument/2006/relationships/hyperlink" Target="https://www.tiktok.com/@dinif.sa" TargetMode="External"/><Relationship Id="rId81" Type="http://schemas.openxmlformats.org/officeDocument/2006/relationships/hyperlink" Target="http://dinif.sa" TargetMode="External"/><Relationship Id="rId1770" Type="http://schemas.openxmlformats.org/officeDocument/2006/relationships/hyperlink" Target="https://www.tiktok.com/@sans.brey/video/7624150856048594197?_r=1&amp;u_code=ebj3gc8d4d5jb3&amp;region=&amp;mid=7560998770491263760&amp;preview_pb=0&amp;sharer_language=&amp;_d=0&amp;ec_shared_reflux_dynamic_params=%7B%22placeholder_material_id%22%3A%227624150856048594197%22%2C%22placeholder_origin_cover%22%3A%22https%253A%252F%252Fp16-common-sign.tiktokcdn.com%252Ftos-alisg-p-0037%252Fo4JODcAneAgcFmfMEGjTgNCcbID4LIeV0NvguP~tplv-tiktokx-origin.jpeg%253Fdr%253D14572%2526refresh_token%253Df123c073%2526x-expires%253D1807070400%2526x-signature%253DVfj6%25252B2F3GFaznKZQQejiICCUZtg%25253D%2526t%253D4d5b0474%2526ps%253D13740610%2526shp%253Dd05b14bd%2526shcp%253D34ff8df6%2526idc%253Dmy2%2526s%253DTIKTOK_AFFILIATE_VIRAL_VIDEO%22%2C%22placeholder_product_id%22%3A%221729427766722726591%22%2C%22placeholder_video_id%22%3A%227624150856048594197%22%7D&amp;ec_shared_reflux_scene=shop_tab_feed&amp;share_item_id=7624150856048594197&amp;source=h5_t" TargetMode="External"/><Relationship Id="rId1771" Type="http://schemas.openxmlformats.org/officeDocument/2006/relationships/hyperlink" Target="https://vt.tiktok.com/ZS9vm5dQs/" TargetMode="External"/><Relationship Id="rId1772" Type="http://schemas.openxmlformats.org/officeDocument/2006/relationships/hyperlink" Target="https://www.tiktok.com/@yunuura" TargetMode="External"/><Relationship Id="rId1773" Type="http://schemas.openxmlformats.org/officeDocument/2006/relationships/hyperlink" Target="https://vt.tiktok.com/ZSHUqYfso/" TargetMode="External"/><Relationship Id="rId73" Type="http://schemas.openxmlformats.org/officeDocument/2006/relationships/hyperlink" Target="https://www.tiktok.com/@nina_kadier/video/7615361541600283911?is_from_webapp=1&amp;sender_device=pc" TargetMode="External"/><Relationship Id="rId1763" Type="http://schemas.openxmlformats.org/officeDocument/2006/relationships/hyperlink" Target="https://www.tiktok.com/@sans.brey/video/7624807890095787285?_r=1&amp;u_code=ebj3gc8d4d5jb3&amp;region=&amp;mid=7616816741914168071&amp;preview_pb=0&amp;sharer_language=&amp;_d=0&amp;ec_shared_reflux_dynamic_params=%7B%22placeholder_material_id%22%3A%227624807890095787285%22%2C%22placeholder_origin_cover%22%3A%22https%253A%252F%252Fp16-sign-sg.tiktokcdn.com%252Ftos-alisg-p-0037%252FogheGERIjQsANo289WQCuLMTiMeXQDXYCAfQho~tplv-tiktokx-origin.jpeg%253Fdr%253D14572%2526refresh_token%253Dbf7bbb06%2526x-expires%253D1807070400%2526x-signature%253D3dmQ3NBTJ%25252Bem3HMoLY%25252FyZdc1vgM%25253D%2526t%253D4d5b0474%2526ps%253D13740610%2526shp%253Dd05b14bd%2526shcp%253D34ff8df6%2526idc%253Dmy2%2526s%253DTIKTOK_AFFILIATE_VIRAL_VIDEO%22%2C%22placeholder_product_id%22%3A%221729427766722726591%22%2C%22placeholder_video_id%22%3A%227624807890095787285%22%7D&amp;ec_shared_reflux_scene=shop_tab_feed&amp;share_item_id=7624807890095787285&amp;source=h5_t" TargetMode="External"/><Relationship Id="rId72" Type="http://schemas.openxmlformats.org/officeDocument/2006/relationships/hyperlink" Target="https://www.tiktok.com/@nina_kadier/video/7616090885666704658?is_from_webapp=1&amp;sender_device=pc" TargetMode="External"/><Relationship Id="rId1764" Type="http://schemas.openxmlformats.org/officeDocument/2006/relationships/hyperlink" Target="https://www.tiktok.com/@sans.brey/video/7624543088366701845?_r=1&amp;u_code=ebj3gc8d4d5jb3&amp;region=&amp;mid=7493551722586114818&amp;preview_pb=0&amp;sharer_language=&amp;_d=0&amp;ec_shared_reflux_dynamic_params=%7B%22placeholder_material_id%22%3A%227624543088366701845%22%2C%22placeholder_origin_cover%22%3A%22https%253A%252F%252Fp16-sign-sg.tiktokcdn.com%252Ftos-alisg-p-0037%252FokaZPAkO6oBUcIQTfnLeDCAuf0LXL0QhjyGAI5~tplv-tiktokx-origin.jpeg%253Fdr%253D14572%2526refresh_token%253Da7327dc3%2526x-expires%253D1807070400%2526x-signature%253Dm1w5m76vIuqnScNDLgEKTmIgIec%25253D%2526t%253D4d5b0474%2526ps%253D13740610%2526shp%253Dd05b14bd%2526shcp%253D34ff8df6%2526idc%253Dmy2%2526s%253DTIKTOK_AFFILIATE_VIRAL_VIDEO%22%2C%22placeholder_product_id%22%3A%221729427766722726591%22%2C%22placeholder_video_id%22%3A%227624543088366701845%22%7D&amp;ec_shared_reflux_scene=shop_tab_feed&amp;share_item_id=7624543088366701845&amp;source=h5_t" TargetMode="External"/><Relationship Id="rId75" Type="http://schemas.openxmlformats.org/officeDocument/2006/relationships/hyperlink" Target="https://vt.tiktok.com/ZSxQtvdtw/" TargetMode="External"/><Relationship Id="rId1765" Type="http://schemas.openxmlformats.org/officeDocument/2006/relationships/hyperlink" Target="https://www.tiktok.com/@sans.brey/video/7624414875355254037?_r=1&amp;u_code=ebj3gc8d4d5jb3&amp;region=&amp;mid=7518573381307190072&amp;preview_pb=0&amp;sharer_language=&amp;_d=0&amp;ec_shared_reflux_dynamic_params=%7B%22placeholder_material_id%22%3A%227624414875355254037%22%2C%22placeholder_origin_cover%22%3A%22https%253A%252F%252Fp16-common-sign.tiktokcdn.com%252Ftos-alisg-p-0037%252FoQeerLngAPRjrG1YgwXDHFQMf9IInTx4ADCPgi~tplv-tiktokx-origin.jpeg%253Fdr%253D14572%2526refresh_token%253Deced883a%2526x-expires%253D1807070400%2526x-signature%253DxZjoduegT%25252FWy0f7ZYlB7XYv81Fk%25253D%2526t%253D4d5b0474%2526ps%253D13740610%2526shp%253Dd05b14bd%2526shcp%253D34ff8df6%2526idc%253Dmy2%2526s%253DTIKTOK_AFFILIATE_VIRAL_VIDEO%22%2C%22placeholder_product_id%22%3A%221729427766722726591%22%2C%22placeholder_video_id%22%3A%227624414875355254037%22%7D&amp;ec_shared_reflux_scene=shop_tab_feed&amp;share_item_id=7624414875355254037&amp;source=h5_t" TargetMode="External"/><Relationship Id="rId74" Type="http://schemas.openxmlformats.org/officeDocument/2006/relationships/hyperlink" Target="https://www.tiktok.com/@belynabeauty/video/7610696891600358674?is_from_webapp=1&amp;sender_device=pc" TargetMode="External"/><Relationship Id="rId1766" Type="http://schemas.openxmlformats.org/officeDocument/2006/relationships/hyperlink" Target="https://vt.tiktok.com/ZS9GvhbSw/" TargetMode="External"/><Relationship Id="rId77" Type="http://schemas.openxmlformats.org/officeDocument/2006/relationships/hyperlink" Target="https://vt.tiktok.com/ZSmULgNjA/" TargetMode="External"/><Relationship Id="rId1767" Type="http://schemas.openxmlformats.org/officeDocument/2006/relationships/hyperlink" Target="https://www.tiktok.com/@diaanislami" TargetMode="External"/><Relationship Id="rId76" Type="http://schemas.openxmlformats.org/officeDocument/2006/relationships/hyperlink" Target="https://www.tiktok.com/@dncnadya" TargetMode="External"/><Relationship Id="rId1768" Type="http://schemas.openxmlformats.org/officeDocument/2006/relationships/hyperlink" Target="https://www.tiktok.com/@bidanhenny01/video/7623586452797918485?_r=1&amp;u_code=e0agm7bf28f085&amp;region=&amp;mid=7571860912149415952&amp;preview_pb=0&amp;sharer_language=&amp;_d=0&amp;ec_shared_reflux_dynamic_params=%7B%22placeholder_material_id%22%3A%227623586452797918485%22%2C%22placeholder_origin_cover%22%3A%22https%253A%252F%252Fp16-common-sign.tiktokcdn.com%252Ftos-alisg-p-0037%252FoA3eNLZeAwijiGrfQm1DjcTz2XIImT4oABCYQ6~tplv-tiktokx-origin.jpeg%253Fdr%253D14572%2526refresh_token%253Da58abb1d%2526x-expires%253D1807070400%2526x-signature%253Dvzo24QzsbIaSLZb9fjRFSEIrF%25252FI%25253D%2526t%253D4d5b0474%2526ps%253D13740610%2526shp%253Dd05b14bd%2526shcp%253D34ff8df6%2526idc%253Dmy2%2526s%253DTIKTOK_AFFILIATE_VIRAL_VIDEO%22%2C%22placeholder_product_id%22%3A%221729427766722726591%22%2C%22placeholder_video_id%22%3A%227623586452797918485%22%7D&amp;ec_shared_reflux_scene=shop_tab_feed&amp;share_item_id=7623586452797918485&amp;source=h5_t" TargetMode="External"/><Relationship Id="rId79" Type="http://schemas.openxmlformats.org/officeDocument/2006/relationships/hyperlink" Target="https://vt.tiktok.com/ZSmqRtptg/" TargetMode="External"/><Relationship Id="rId1769" Type="http://schemas.openxmlformats.org/officeDocument/2006/relationships/hyperlink" Target="https://www.tiktok.com/@bidanhenny01/video/7624408528073018644?_r=1&amp;u_code=e0agm7bf28f085&amp;region=&amp;mid=7507772951459432464&amp;preview_pb=0&amp;sharer_language=&amp;_d=0&amp;ec_shared_reflux_dynamic_params=%7B%22placeholder_material_id%22%3A%227624408528073018644%22%2C%22placeholder_origin_cover%22%3A%22https%253A%252F%252Fp16-sign-sg.tiktokcdn.com%252Ftos-alisg-p-0037%252FoQTsg9GIAGIf8Az38XfCeLMb3DojlgknjqnLUD~tplv-tiktokx-origin.jpeg%253Fdr%253D14572%2526refresh_token%253D50fbd636%2526x-expires%253D1807070400%2526x-signature%253DCt%25252FS7F2nfcte5eP%25252FNBbp%25252BGVhRL8%25253D%2526t%253D4d5b0474%2526ps%253D13740610%2526shp%253Dd05b14bd%2526shcp%253D34ff8df6%2526idc%253Dmy2%2526s%253DTIKTOK_AFFILIATE_VIRAL_VIDEO%22%2C%22placeholder_product_id%22%3A%221729427766722726591%22%2C%22placeholder_video_id%22%3A%227624408528073018644%22%7D&amp;ec_shared_reflux_scene=shop_tab_feed&amp;share_item_id=7624408528073018644&amp;source=h5_t" TargetMode="External"/><Relationship Id="rId78" Type="http://schemas.openxmlformats.org/officeDocument/2006/relationships/hyperlink" Target="https://vt.tiktok.com/ZSmULbtyv/" TargetMode="External"/><Relationship Id="rId71" Type="http://schemas.openxmlformats.org/officeDocument/2006/relationships/hyperlink" Target="https://www.tiktok.com/@yeppiyippi" TargetMode="External"/><Relationship Id="rId70" Type="http://schemas.openxmlformats.org/officeDocument/2006/relationships/hyperlink" Target="https://vt.tiktok.com/ZSmV4sxTM/" TargetMode="External"/><Relationship Id="rId1760" Type="http://schemas.openxmlformats.org/officeDocument/2006/relationships/hyperlink" Target="https://www.tiktok.com/@sans.brey/video/7624873666651753749?_r=1&amp;u_code=ebj3gc8d4d5jb3&amp;region=&amp;mid=7599261910470560520&amp;preview_pb=0&amp;sharer_language=&amp;_d=0&amp;ec_shared_reflux_dynamic_params=%7B%22placeholder_material_id%22%3A%227624873666651753749%22%2C%22placeholder_origin_cover%22%3A%22https%253A%252F%252Fp16-common-sign.tiktokcdn.com%252Ftos-alisg-p-0037%252FoANHxn6RQfufAXeaRHQBMAGeYD8QF5MBRAP8GD~tplv-tiktokx-origin.jpeg%253Fdr%253D14572%2526refresh_token%253Da23be85e%2526x-expires%253D1807070400%2526x-signature%253D6bLIv0m84H%25252BuekeSVg%25252BYN0NkUWI%25253D%2526t%253D4d5b0474%2526ps%253D13740610%2526shp%253Dd05b14bd%2526shcp%253D34ff8df6%2526idc%253Dmy2%2526s%253DTIKTOK_AFFILIATE_VIRAL_VIDEO%22%2C%22placeholder_product_id%22%3A%221729427766722726591%22%2C%22placeholder_video_id%22%3A%227624873666651753749%22%7D&amp;ec_shared_reflux_scene=shop_tab_feed&amp;share_item_id=7624873666651753749&amp;source=h5_t" TargetMode="External"/><Relationship Id="rId1761" Type="http://schemas.openxmlformats.org/officeDocument/2006/relationships/hyperlink" Target="https://vt.tiktok.com/ZS9GvjFFe/" TargetMode="External"/><Relationship Id="rId1762" Type="http://schemas.openxmlformats.org/officeDocument/2006/relationships/hyperlink" Target="https://www.tiktok.com/@baby_aqilla001" TargetMode="External"/><Relationship Id="rId62" Type="http://schemas.openxmlformats.org/officeDocument/2006/relationships/hyperlink" Target="https://vt.tiktok.com/ZSmBu8aCj/" TargetMode="External"/><Relationship Id="rId1796" Type="http://schemas.openxmlformats.org/officeDocument/2006/relationships/hyperlink" Target="https://www.tiktok.com/@yullia008/video/7623343925662715137?_r=1&amp;u_code=de2i6l94lj04fj&amp;region=&amp;mid=7623344237338086145&amp;preview_pb=0&amp;sharer_language=&amp;_d=0&amp;ec_shared_reflux_dynamic_params=%7B%22placeholder_material_id%22%3A%227623343925662715137%22%2C%22placeholder_origin_cover%22%3A%22https%253A%252F%252Fp19-common-sign.tiktokcdn.com%252Ftos-alisg-p-0037%252Fo03A5b0ILCrBXAPjw1uycfiIiCAIDA50z2ZGsI~tplv-tiktokx-origin.jpeg%253Fdr%253D14572%2526refresh_token%253D356a2969%2526x-expires%253D1808208000%2526x-signature%253DE%25252B%25252BONdj%25252Fqc9f6Sh5opJH2JFQ9rM%25253D%2526t%253D4d5b0474%2526ps%253D13740610%2526shp%253Dd05b14bd%2526shcp%253D34ff8df6%2526idc%253Dmy3%2526s%253DTIKTOK_AFFILIATE_VIRAL_VIDEO%22%2C%22placeholder_product_id%22%3A%221729427766722726591%22%2C%22placeholder_video_id%22%3A%227623343925662715137%22%7D&amp;ec_shared_reflux_scene=shop_tab_feed&amp;share_item_id=7623343925662715137&amp;source=h5_t" TargetMode="External"/><Relationship Id="rId61" Type="http://schemas.openxmlformats.org/officeDocument/2006/relationships/hyperlink" Target="https://www.tiktok.com/@pumpkinscarf" TargetMode="External"/><Relationship Id="rId1797" Type="http://schemas.openxmlformats.org/officeDocument/2006/relationships/hyperlink" Target="https://www.tiktok.com/@shakashop04" TargetMode="External"/><Relationship Id="rId64" Type="http://schemas.openxmlformats.org/officeDocument/2006/relationships/hyperlink" Target="https://www.tiktok.com/@lehabottoh" TargetMode="External"/><Relationship Id="rId1798" Type="http://schemas.openxmlformats.org/officeDocument/2006/relationships/hyperlink" Target="https://www.tiktok.com/@shakashop04/video/7625121849113906453?is_from_webapp=1&amp;sender_device=pc" TargetMode="External"/><Relationship Id="rId63" Type="http://schemas.openxmlformats.org/officeDocument/2006/relationships/hyperlink" Target="https://vt.tiktok.com/ZSxVbn3JB/" TargetMode="External"/><Relationship Id="rId1799" Type="http://schemas.openxmlformats.org/officeDocument/2006/relationships/hyperlink" Target="https://www.tiktok.com/@shakashop04/video/7624763028545817876?is_from_webapp=1&amp;sender_device=pc" TargetMode="External"/><Relationship Id="rId66" Type="http://schemas.openxmlformats.org/officeDocument/2006/relationships/hyperlink" Target="https://www.tiktok.com/@innaahhiyan" TargetMode="External"/><Relationship Id="rId65" Type="http://schemas.openxmlformats.org/officeDocument/2006/relationships/hyperlink" Target="https://vt.tiktok.com/ZSmUeJ6KQ/" TargetMode="External"/><Relationship Id="rId68" Type="http://schemas.openxmlformats.org/officeDocument/2006/relationships/hyperlink" Target="https://vt.tiktok.com/ZSmQk71Nx/" TargetMode="External"/><Relationship Id="rId67" Type="http://schemas.openxmlformats.org/officeDocument/2006/relationships/hyperlink" Target="https://vt.tiktok.com/ZSmQk71Nx/" TargetMode="External"/><Relationship Id="rId60" Type="http://schemas.openxmlformats.org/officeDocument/2006/relationships/hyperlink" Target="https://vt.tiktok.com/ZSxQn1s6K/" TargetMode="External"/><Relationship Id="rId69" Type="http://schemas.openxmlformats.org/officeDocument/2006/relationships/hyperlink" Target="https://vt.tiktok.com/ZSmV4T7o8/" TargetMode="External"/><Relationship Id="rId1790" Type="http://schemas.openxmlformats.org/officeDocument/2006/relationships/hyperlink" Target="https://www.tiktok.com/@tyaa0508/video/7625796162527726869?_r=1&amp;u_code=d7k7b9el4hf596&amp;region=&amp;mid=7597435345913317393&amp;preview_pb=0&amp;sharer_language=&amp;_d=0&amp;ec_shared_reflux_dynamic_params=%7B%22placeholder_material_id%22%3A%227625796162527726869%22%2C%22placeholder_origin_cover%22%3A%22https%253A%252F%252Fp16-common-sign.tiktokcdn.com%252Ftos-alisg-p-0037%252FoI37aUUEEwQV1BUpADFQRRDFiffObMEcBDKBgh~tplv-tiktokx-origin.jpeg%253Fdr%253D14572%2526refresh_token%253D2f016b83%2526x-expires%253D1808208000%2526x-signature%253Dzp4l7r7trbpZjVmhsdRy3j%25252BDOKE%25253D%2526t%253D4d5b0474%2526ps%253D13740610%2526shp%253Dd05b14bd%2526shcp%253D34ff8df6%2526idc%253Dmy3%2526s%253DTIKTOK_AFFILIATE_VIRAL_VIDEO%22%2C%22placeholder_product_id%22%3A%221729427766722726591%22%2C%22placeholder_video_id%22%3A%227625796162527726869%22%7D&amp;ec_shared_reflux_scene=shop_tab_feed&amp;share_item_id=7625796162527726869&amp;source=h5_t" TargetMode="External"/><Relationship Id="rId1791" Type="http://schemas.openxmlformats.org/officeDocument/2006/relationships/hyperlink" Target="https://vt.tiktok.com/ZSxXJAGj7/" TargetMode="External"/><Relationship Id="rId1792" Type="http://schemas.openxmlformats.org/officeDocument/2006/relationships/hyperlink" Target="https://www.tiktok.com/@racunmurahshopping_" TargetMode="External"/><Relationship Id="rId1793" Type="http://schemas.openxmlformats.org/officeDocument/2006/relationships/hyperlink" Target="https://www.tiktok.com/@yullia008/video/7622508798036430096?_r=1&amp;u_code=de2i6l94lj04fj&amp;region=&amp;mid=7622509015645391617&amp;preview_pb=0&amp;sharer_language=&amp;_d=0&amp;ec_shared_reflux_dynamic_params=%7B%22placeholder_material_id%22%3A%227622508798036430096%22%2C%22placeholder_origin_cover%22%3A%22https%253A%252F%252Fp16-common-sign.tiktokcdn.com%252Ftos-alisg-p-0037%252FoAYyDf87EEKcI5lvfApgFBFIIARJAwvZ3BBsbh~tplv-tiktokx-origin.jpeg%253Fdr%253D14572%2526refresh_token%253D69a1687d%2526x-expires%253D1808208000%2526x-signature%253DADjshaXy1qYu6N3VmH7sjQcQbZg%25253D%2526t%253D4d5b0474%2526ps%253D13740610%2526shp%253Dd05b14bd%2526shcp%253D34ff8df6%2526idc%253Dmy3%2526s%253DTIKTOK_AFFILIATE_VIRAL_VIDEO%22%2C%22placeholder_product_id%22%3A%221729427766722726591%22%2C%22placeholder_video_id%22%3A%227622508798036430096%22%7D&amp;ec_shared_reflux_scene=shop_tab_feed&amp;share_item_id=7622508798036430096&amp;source=h5_t" TargetMode="External"/><Relationship Id="rId1794" Type="http://schemas.openxmlformats.org/officeDocument/2006/relationships/hyperlink" Target="https://www.tiktok.com/@yullia008/video/7622845799285771537?_r=1&amp;u_code=de2i6l94lj04fj&amp;region=&amp;mid=7622846102808136456&amp;preview_pb=0&amp;sharer_language=&amp;_d=0&amp;ec_shared_reflux_dynamic_params=%7B%22placeholder_material_id%22%3A%227622845799285771537%22%2C%22placeholder_origin_cover%22%3A%22https%253A%252F%252Fp16-common-sign.tiktokcdn.com%252Ftos-alisg-p-0037%252Fo8TpZdEQQBgp2fyfZlFcTJmqIEkbnEAsDBcRBq~tplv-tiktokx-origin.jpeg%253Fdr%253D14572%2526refresh_token%253D54492c6e%2526x-expires%253D1808208000%2526x-signature%253Dv8id9YtnDTmRZsAYE1sorYvc4%25252FQ%25253D%2526t%253D4d5b0474%2526ps%253D13740610%2526shp%253Dd05b14bd%2526shcp%253D34ff8df6%2526idc%253Dmy3%2526s%253DTIKTOK_AFFILIATE_VIRAL_VIDEO%22%2C%22placeholder_product_id%22%3A%221729427766722726591%22%2C%22placeholder_video_id%22%3A%227622845799285771537%22%7D&amp;ec_shared_reflux_scene=shop_tab_feed&amp;share_item_id=7622845799285771537&amp;source=h5_t" TargetMode="External"/><Relationship Id="rId1795" Type="http://schemas.openxmlformats.org/officeDocument/2006/relationships/hyperlink" Target="https://www.tiktok.com/@yullia008/video/7624932326551588112?_r=1&amp;u_code=de2i6l94lj04fj&amp;region=&amp;mid=7624932483129248528&amp;preview_pb=0&amp;sharer_language=&amp;_d=0&amp;ec_shared_reflux_dynamic_params=%7B%22placeholder_material_id%22%3A%227624932326551588112%22%2C%22placeholder_origin_cover%22%3A%22https%253A%252F%252Fp16-sign-sg.tiktokcdn.com%252Ftos-alisg-p-0037%252FoEQRKcpATVxqfcOiDBQpq0FmARBBVgf5EZE3C1~tplv-tiktokx-origin.jpeg%253Fdr%253D14572%2526refresh_token%253D626c44a8%2526x-expires%253D1808208000%2526x-signature%253DKR5IODbLt2Gei7w05Q1XiOpoV%25252Bk%25253D%2526t%253D4d5b0474%2526ps%253D13740610%2526shp%253Dd05b14bd%2526shcp%253D34ff8df6%2526idc%253Dmy3%2526s%253DTIKTOK_AFFILIATE_VIRAL_VIDEO%22%2C%22placeholder_product_id%22%3A%221729427766722726591%22%2C%22placeholder_video_id%22%3A%227624932326551588112%22%7D&amp;ec_shared_reflux_scene=shop_tab_feed&amp;share_item_id=7624932326551588112&amp;source=h5_t" TargetMode="External"/><Relationship Id="rId51" Type="http://schemas.openxmlformats.org/officeDocument/2006/relationships/hyperlink" Target="https://vt.tiktok.com/ZSuDNDqM1/" TargetMode="External"/><Relationship Id="rId1785" Type="http://schemas.openxmlformats.org/officeDocument/2006/relationships/hyperlink" Target="https://vt.tiktok.com/ZSHojfGQn/" TargetMode="External"/><Relationship Id="rId50" Type="http://schemas.openxmlformats.org/officeDocument/2006/relationships/hyperlink" Target="https://vt.tiktok.com/ZSuDNDGGa/" TargetMode="External"/><Relationship Id="rId1786" Type="http://schemas.openxmlformats.org/officeDocument/2006/relationships/hyperlink" Target="https://www.tiktok.com/@elisacollectione/video/7623609343035870471?_r=1&amp;u_code=dkgkc54agaf83g&amp;region=&amp;mid=7571860912149415952&amp;preview_pb=0&amp;sharer_language=&amp;_d=0&amp;ec_shared_reflux_dynamic_params=%7B%22placeholder_material_id%22%3A%227623609343035870471%22%2C%22placeholder_origin_cover%22%3A%22https%253A%252F%252Fp16-common-sign.tiktokcdn.com%252Ftos-alisg-p-0037%252Fooepi2B77AZiARQ4gIFBzgUDJfUVoFIEBEBvMI~tplv-tiktokx-origin.jpeg%253Fdr%253D14572%2526refresh_token%253D971521b5%2526x-expires%253D1808204400%2526x-signature%253DfgQRn4xD1pxs5K3qb4hQtOcMH84%25253D%2526t%253D4d5b0474%2526ps%253D13740610%2526shp%253Dd05b14bd%2526shcp%253D34ff8df6%2526idc%253Dmy3%2526s%253DTIKTOK_AFFILIATE_VIRAL_VIDEO%22%2C%22placeholder_product_id%22%3A%221729427766722726591%22%2C%22placeholder_video_id%22%3A%227623609343035870471%22%7D&amp;ec_shared_reflux_scene=shop_tab_feed&amp;share_item_id=7623609343035870471&amp;source=h5_t" TargetMode="External"/><Relationship Id="rId53" Type="http://schemas.openxmlformats.org/officeDocument/2006/relationships/hyperlink" Target="https://www.tiktok.com/@ifanasyiffa" TargetMode="External"/><Relationship Id="rId1787" Type="http://schemas.openxmlformats.org/officeDocument/2006/relationships/hyperlink" Target="https://www.tiktok.com/@bintanbukanbintang" TargetMode="External"/><Relationship Id="rId52" Type="http://schemas.openxmlformats.org/officeDocument/2006/relationships/hyperlink" Target="https://vt.tiktok.com/ZSHYbhHTQ/" TargetMode="External"/><Relationship Id="rId1788" Type="http://schemas.openxmlformats.org/officeDocument/2006/relationships/hyperlink" Target="https://vt.tiktok.com/ZSH2WKRQ8/" TargetMode="External"/><Relationship Id="rId55" Type="http://schemas.openxmlformats.org/officeDocument/2006/relationships/hyperlink" Target="https://www.tiktok.com/@vernikaariani/video/7636025041611787541?_r=1&amp;u_code=dbl1j1l79c2ag5&amp;region=&amp;mid=7537216107264067585&amp;preview_pb=0&amp;sharer_language=&amp;_d=0&amp;ec_shared_reflux_dynamic_params=%7B%22placeholder_material_id%22%3A%227636025041611787541%22%2C%22placeholder_origin_cover%22%3A%22https%253A%252F%252Fp16-common-sign.tiktokcdn.com%252Ftos-alisg-p-0037%252FogIa40nCpAi5DwIF8UIAPiiAbnB5ZfAxBvd6Fq~tplv-tiktokx-origin.jpeg%253Fdr%253D14572%2526refresh_token%253D0cbb4a63%2526x-expires%253D1809507600%2526x-signature%253D53KxI%25252FGTyJRiPBNIO8we%25252Fxf4Xxw%25253D%2526t%253D4d5b0474%2526ps%253D13740610%2526shp%253Dd05b14bd%2526shcp%253D34ff8df6%2526idc%253Dmy%2526s%253DTIKTOK_AFFILIATE_VIRAL_VIDEO%22%2C%22placeholder_product_id%22%3A%221729427766722726591%22%2C%22placeholder_video_id%22%3A%227636025041611787541%22%7D&amp;ec_shared_reflux_scene=shop_tab_feed&amp;share_item_id=7636025041611787541&amp;source=h5_t" TargetMode="External"/><Relationship Id="rId1789" Type="http://schemas.openxmlformats.org/officeDocument/2006/relationships/hyperlink" Target="https://www.tiktok.com/@ghaziiyaa" TargetMode="External"/><Relationship Id="rId54" Type="http://schemas.openxmlformats.org/officeDocument/2006/relationships/hyperlink" Target="https://vt.tiktok.com/ZSmXD6Wd5/" TargetMode="External"/><Relationship Id="rId57" Type="http://schemas.openxmlformats.org/officeDocument/2006/relationships/hyperlink" Target="https://www.tiktok.com/@yaniramadhani3/video/7634852980457540871?_d=0&amp;_r=1&amp;ec_shared_reflux_dynamic_params=%7B%22placeholder_material_id%22%3A%227634852980457540871%22%2C%22placeholder_origin_cover%22%3A%22https%253A%252F%252Fp16-common-sign.tiktokcdn.com%252Ftos-alisg-p-0037%252FokvHIUEDn6fBbgxBcpH0E5eIlrFUxRA98SBQQg~tplv-tiktokx-origin.jpeg%253Fdr%253D14572%2526refresh_token%253D388fc2b7%2526x-expires%253D1809507600%2526x-signature%253Dby%25252BzHgFCDzAfncybF551q9Y9Vn0%25253D%2526t%253D4d5b0474%2526ps%253D13740610%2526shp%253Dd05b14bd%2526shcp%253D34ff8df6%2526idc%253Dmy%2526s%253DTIKTOK_AFFILIATE_VIRAL_VIDEO%22%2C%22placeholder_product_id%22%3A%221729427766722726591%22%2C%22placeholder_video_id%22%3A%227634852980457540871%22%7D&amp;ec_shared_reflux_scene=shop_tab_feed&amp;mid=7626899689086520072&amp;preview_pb=0&amp;region=&amp;share_item_id=7634852980457540871&amp;sharer_language=&amp;source=h5_t&amp;u_code=d9fflkigeh8jd7" TargetMode="External"/><Relationship Id="rId56" Type="http://schemas.openxmlformats.org/officeDocument/2006/relationships/hyperlink" Target="https://www.tiktok.com/@vernikaariani/video/7632952013919096085?_r=1&amp;u_code=dbl1j1l79c2ag5&amp;region=&amp;mid=7408039355241711633&amp;preview_pb=0&amp;sharer_language=&amp;_d=0&amp;ec_shared_reflux_dynamic_params=%7B%22placeholder_material_id%22%3A%227632952013919096085%22%2C%22placeholder_origin_cover%22%3A%22https%253A%252F%252Fp16-common-sign.tiktokcdn.com%252Ftos-alisg-p-0037%252Fo8bB7PQfftJpFBAoQEXgRsZDgEjEUFBQs37MQZ~tplv-tiktokx-origin.jpeg%253Fdr%253D14572%2526refresh_token%253Dce743c7d%2526x-expires%253D1809507600%2526x-signature%253Dh3Ipsho3jRYJO8%25252B8dwMqCuZ8jhk%25253D%2526t%253D4d5b0474%2526ps%253D13740610%2526shp%253Dd05b14bd%2526shcp%253D34ff8df6%2526idc%253Dmy%2526s%253DTIKTOK_AFFILIATE_VIRAL_VIDEO%22%2C%22placeholder_product_id%22%3A%221729427766722726591%22%2C%22placeholder_video_id%22%3A%227632952013919096085%22%7D&amp;ec_shared_reflux_scene=shop_tab_feed&amp;share_item_id=7632952013919096085&amp;source=h5_t" TargetMode="External"/><Relationship Id="rId59" Type="http://schemas.openxmlformats.org/officeDocument/2006/relationships/hyperlink" Target="https://vt.tiktok.com/ZSmMqTfJy/" TargetMode="External"/><Relationship Id="rId58" Type="http://schemas.openxmlformats.org/officeDocument/2006/relationships/hyperlink" Target="https://www.tiktok.com/@itsmeanie3" TargetMode="External"/><Relationship Id="rId1780" Type="http://schemas.openxmlformats.org/officeDocument/2006/relationships/hyperlink" Target="https://vt.tiktok.com/ZSHojyKN6/" TargetMode="External"/><Relationship Id="rId1781" Type="http://schemas.openxmlformats.org/officeDocument/2006/relationships/hyperlink" Target="https://vt.tiktok.com/ZSHojpHLG/" TargetMode="External"/><Relationship Id="rId1782" Type="http://schemas.openxmlformats.org/officeDocument/2006/relationships/hyperlink" Target="https://www.tiktok.com/@belaasnc" TargetMode="External"/><Relationship Id="rId1783" Type="http://schemas.openxmlformats.org/officeDocument/2006/relationships/hyperlink" Target="https://www.tiktok.com/@elisacollectione/video/7628809007981317394?_r=1&amp;u_code=dkgkc54agaf83g&amp;region=&amp;mid=7624309771547691796&amp;preview_pb=0&amp;sharer_language=&amp;_d=0&amp;ec_shared_reflux_dynamic_params=%7B%22placeholder_material_id%22%3A%227628809007981317394%22%2C%22placeholder_origin_cover%22%3A%22https%253A%252F%252Fp16-common-sign.tiktokcdn.com%252Ftos-alisg-p-0037%252FoUD6QgCKfDAWeo4nBeFnMNOCOimAOLleQ1fq9E~tplv-tiktokx-origin.jpeg%253Fdr%253D14572%2526refresh_token%253D53162471%2526x-expires%253D1808204400%2526x-signature%253DOTw0RwyJEXRerZpEeRqGTCwN4YI%25253D%2526t%253D4d5b0474%2526ps%253D13740610%2526shp%253Dd05b14bd%2526shcp%253D34ff8df6%2526idc%253Dmy3%2526s%253DTIKTOK_AFFILIATE_VIRAL_VIDEO%22%2C%22placeholder_product_id%22%3A%221729427766722726591%22%2C%22placeholder_video_id%22%3A%227628809007981317394%22%7D&amp;ec_shared_reflux_scene=shop_tab_feed&amp;share_item_id=7628809007981317394&amp;source=h5_t" TargetMode="External"/><Relationship Id="rId1784" Type="http://schemas.openxmlformats.org/officeDocument/2006/relationships/hyperlink" Target="https://vt.tiktok.com/ZSHojUhUG/" TargetMode="External"/><Relationship Id="rId6627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7959" Type="http://schemas.openxmlformats.org/officeDocument/2006/relationships/hyperlink" Target="https://vt.tiktok.com/ZS9fXEaYN/" TargetMode="External"/><Relationship Id="rId6628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7958" Type="http://schemas.openxmlformats.org/officeDocument/2006/relationships/hyperlink" Target="https://vt.tiktok.com/ZS9fXPD9x/" TargetMode="External"/><Relationship Id="rId6625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7957" Type="http://schemas.openxmlformats.org/officeDocument/2006/relationships/hyperlink" Target="https://vt.tiktok.com/ZS9fXPByN/" TargetMode="External"/><Relationship Id="rId6626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7956" Type="http://schemas.openxmlformats.org/officeDocument/2006/relationships/hyperlink" Target="https://www.tiktok.com/@zia.fajriya" TargetMode="External"/><Relationship Id="rId6629" Type="http://schemas.openxmlformats.org/officeDocument/2006/relationships/hyperlink" Target="https://www.tiktok.com/@onlyoupretty" TargetMode="External"/><Relationship Id="rId349" Type="http://schemas.openxmlformats.org/officeDocument/2006/relationships/hyperlink" Target="https://www.tiktok.com/@cahyaa102/video/7609189229637291284?is_from_webapp=1&amp;sender_device=pc" TargetMode="External"/><Relationship Id="rId348" Type="http://schemas.openxmlformats.org/officeDocument/2006/relationships/hyperlink" Target="https://vt.tiktok.com/ZSmQAbHyV/" TargetMode="External"/><Relationship Id="rId347" Type="http://schemas.openxmlformats.org/officeDocument/2006/relationships/hyperlink" Target="https://vt.tiktok.com/ZSmQACFWw/" TargetMode="External"/><Relationship Id="rId346" Type="http://schemas.openxmlformats.org/officeDocument/2006/relationships/hyperlink" Target="https://www.tiktok.com/@cahyaa102" TargetMode="External"/><Relationship Id="rId341" Type="http://schemas.openxmlformats.org/officeDocument/2006/relationships/hyperlink" Target="https://www.tiktok.com/@nandajeliss" TargetMode="External"/><Relationship Id="rId7951" Type="http://schemas.openxmlformats.org/officeDocument/2006/relationships/hyperlink" Target="https://www.tiktok.com/@bayusamudro677" TargetMode="External"/><Relationship Id="rId340" Type="http://schemas.openxmlformats.org/officeDocument/2006/relationships/hyperlink" Target="https://vt.tiktok.com/ZSuymJLuB/" TargetMode="External"/><Relationship Id="rId6620" Type="http://schemas.openxmlformats.org/officeDocument/2006/relationships/hyperlink" Target="https://vt.tiktok.com/ZS9ug9T9Y/" TargetMode="External"/><Relationship Id="rId7950" Type="http://schemas.openxmlformats.org/officeDocument/2006/relationships/hyperlink" Target="https://vt.tiktok.com/ZS9fXvH5a/" TargetMode="External"/><Relationship Id="rId345" Type="http://schemas.openxmlformats.org/officeDocument/2006/relationships/hyperlink" Target="http://tiktok.com/@nandajeliss/video/7611041242884984082?_r=1&amp;u_code=e764lld7374f0j&amp;region=&amp;mid=7325130475969824769&amp;preview_pb=0&amp;sharer_language=&amp;_d=0&amp;ec_shared_reflux_dynamic_params=%7B%22placeholder_material_id%22%3A%227611041242884984082%22%2C%22placeholder_origin_cover%22%3A%22https%253A%252F%252Fp16-sign-sg.tiktokcdn.com%252Ftos-alisg-p-0037%252FoUjCLLDyBMheEuP0bTwyAiofWyQIQheQG72OIA~tplv-tiktokx-origin.jpeg%253Fdr%253D14572%2526refresh_token%253D8717be92%2526x-expires%253D1806051600%2526x-signature%253DTjUjGppwzsi%25252FLdpJZfc42qh3TaI%25253D%2526t%253D4d5b0474%2526ps%253D13740610%2526shp%253Dd05b14bd%2526shcp%253D34ff8df6%2526idc%253Dmy2%2526s%253DTIKTOK_AFFILIATE_VIRAL_VIDEO%22%2C%22placeholder_product_id%22%3A%221729427766722726591%22%2C%22placeholder_video_id%22%3A%227611041242884984082%22%7D&amp;ec_shared_reflux_scene=shop_tab_feed&amp;share_item_id=7611041242884984082&amp;source=h5_t" TargetMode="External"/><Relationship Id="rId6623" Type="http://schemas.openxmlformats.org/officeDocument/2006/relationships/hyperlink" Target="https://vt.tiktok.com/ZS9Tk6Pm9/" TargetMode="External"/><Relationship Id="rId7955" Type="http://schemas.openxmlformats.org/officeDocument/2006/relationships/hyperlink" Target="https://vt.tiktok.com/ZS9fXvH5a/" TargetMode="External"/><Relationship Id="rId344" Type="http://schemas.openxmlformats.org/officeDocument/2006/relationships/hyperlink" Target="https://www.tiktok.com/@nandajeliss/video/7610284021360250130?_d=0&amp;_r=1&amp;ec_shared_reflux_dynamic_params=%7B%22placeholder_material_id%22%3A%227610284021360250130%22%2C%22placeholder_origin_cover%22%3A%22https%253A%252F%252Fp16-sign-sg.tiktokcdn.com%252Ftos-alisg-p-0037%252FowdGxiAIqB0qzqCRKwzYAHQNIfrmA2AikXIXpA~tplv-tiktokx-origin.jpeg%253Fdr%253D14572%2526refresh_token%253D72ed7dd1%2526x-expires%253D1806051600%2526x-signature%253DcE%25252Fq1YK99HUM9VzpjAZHveF%25252BaGk%25253D%2526t%253D4d5b0474%2526ps%253D13740610%2526shp%253Dd05b14bd%2526shcp%253D34ff8df6%2526idc%253Dmy2%2526s%253DTIKTOK_AFFILIATE_VIRAL_VIDEO%22%2C%22placeholder_product_id%22%3A%221729427766722726591%22%2C%22placeholder_video_id%22%3A%227610284021360250130%22%7D&amp;ec_shared_reflux_scene=shop_tab_feed&amp;mid=7610284079640005397&amp;preview_pb=0&amp;region=&amp;share_item_id=7610284021360250130&amp;sharer_language=&amp;source=h5_t&amp;u_code=e764lld7374f0j" TargetMode="External"/><Relationship Id="rId6624" Type="http://schemas.openxmlformats.org/officeDocument/2006/relationships/hyperlink" Target="https://www.tiktok.com/@hillah027" TargetMode="External"/><Relationship Id="rId7954" Type="http://schemas.openxmlformats.org/officeDocument/2006/relationships/hyperlink" Target="https://vt.tiktok.com/ZS9fXEaYN/" TargetMode="External"/><Relationship Id="rId343" Type="http://schemas.openxmlformats.org/officeDocument/2006/relationships/hyperlink" Target="https://vt.tiktok.com/ZSmgQdKqp/" TargetMode="External"/><Relationship Id="rId6621" Type="http://schemas.openxmlformats.org/officeDocument/2006/relationships/hyperlink" Target="https://vt.tiktok.com/ZS9Q2QdNe/" TargetMode="External"/><Relationship Id="rId7953" Type="http://schemas.openxmlformats.org/officeDocument/2006/relationships/hyperlink" Target="https://vt.tiktok.com/ZS9fXPD9x/" TargetMode="External"/><Relationship Id="rId342" Type="http://schemas.openxmlformats.org/officeDocument/2006/relationships/hyperlink" Target="https://vt.tiktok.com/ZSmXkSW3k/" TargetMode="External"/><Relationship Id="rId6622" Type="http://schemas.openxmlformats.org/officeDocument/2006/relationships/hyperlink" Target=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" TargetMode="External"/><Relationship Id="rId7952" Type="http://schemas.openxmlformats.org/officeDocument/2006/relationships/hyperlink" Target="https://vt.tiktok.com/ZS9fXPByN/" TargetMode="External"/><Relationship Id="rId6616" Type="http://schemas.openxmlformats.org/officeDocument/2006/relationships/hyperlink" Target="https://vt.tiktok.com/ZS9Q2QdNe/" TargetMode="External"/><Relationship Id="rId7948" Type="http://schemas.openxmlformats.org/officeDocument/2006/relationships/hyperlink" Target="https://vt.tiktok.com/ZS9fXPD9x/" TargetMode="External"/><Relationship Id="rId6617" Type="http://schemas.openxmlformats.org/officeDocument/2006/relationships/hyperlink" Target=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" TargetMode="External"/><Relationship Id="rId7947" Type="http://schemas.openxmlformats.org/officeDocument/2006/relationships/hyperlink" Target="https://vt.tiktok.com/ZS9fXPByN/" TargetMode="External"/><Relationship Id="rId6614" Type="http://schemas.openxmlformats.org/officeDocument/2006/relationships/hyperlink" Target="https://www.tiktok.com/@bu_asihhh" TargetMode="External"/><Relationship Id="rId7946" Type="http://schemas.openxmlformats.org/officeDocument/2006/relationships/hyperlink" Target="https://www.tiktok.com/@septiana2250" TargetMode="External"/><Relationship Id="rId6615" Type="http://schemas.openxmlformats.org/officeDocument/2006/relationships/hyperlink" Target="https://vt.tiktok.com/ZS9ug9T9Y/" TargetMode="External"/><Relationship Id="rId7945" Type="http://schemas.openxmlformats.org/officeDocument/2006/relationships/hyperlink" Target="https://vt.tiktok.com/ZS9fXvH5a/" TargetMode="External"/><Relationship Id="rId6618" Type="http://schemas.openxmlformats.org/officeDocument/2006/relationships/hyperlink" Target="https://vt.tiktok.com/ZS9Tk6Pm9/" TargetMode="External"/><Relationship Id="rId6619" Type="http://schemas.openxmlformats.org/officeDocument/2006/relationships/hyperlink" Target="https://www.tiktok.com/@nengmoy0109" TargetMode="External"/><Relationship Id="rId7949" Type="http://schemas.openxmlformats.org/officeDocument/2006/relationships/hyperlink" Target="https://vt.tiktok.com/ZS9fXEaYN/" TargetMode="External"/><Relationship Id="rId338" Type="http://schemas.openxmlformats.org/officeDocument/2006/relationships/hyperlink" Target="https://www.tiktok.com/@anifanadifa/video/7611073751345646868?is_from_webapp=1&amp;sender_device=pc" TargetMode="External"/><Relationship Id="rId337" Type="http://schemas.openxmlformats.org/officeDocument/2006/relationships/hyperlink" Target="https://vt.tiktok.com/ZSmQBBm5G/" TargetMode="External"/><Relationship Id="rId336" Type="http://schemas.openxmlformats.org/officeDocument/2006/relationships/hyperlink" Target="https://www.tiktok.com/@anifanadifa" TargetMode="External"/><Relationship Id="rId335" Type="http://schemas.openxmlformats.org/officeDocument/2006/relationships/hyperlink" Target="https://vt.tiktok.com/ZS9BEYY5k/" TargetMode="External"/><Relationship Id="rId339" Type="http://schemas.openxmlformats.org/officeDocument/2006/relationships/hyperlink" Target="https://www.tiktok.com/@anifanadifa/video/7613655529008762132?is_from_webapp=1&amp;sender_device=pc" TargetMode="External"/><Relationship Id="rId330" Type="http://schemas.openxmlformats.org/officeDocument/2006/relationships/hyperlink" Target="https://vt.tiktok.com/ZS9X4wekD/" TargetMode="External"/><Relationship Id="rId7940" Type="http://schemas.openxmlformats.org/officeDocument/2006/relationships/hyperlink" Target="https://vt.tiktok.com/ZS9fXvH5a/" TargetMode="External"/><Relationship Id="rId334" Type="http://schemas.openxmlformats.org/officeDocument/2006/relationships/hyperlink" Target="https://vt.tiktok.com/ZS9BER16R/" TargetMode="External"/><Relationship Id="rId6612" Type="http://schemas.openxmlformats.org/officeDocument/2006/relationships/hyperlink" Target=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" TargetMode="External"/><Relationship Id="rId7944" Type="http://schemas.openxmlformats.org/officeDocument/2006/relationships/hyperlink" Target="https://vt.tiktok.com/ZS9fXEaYN/" TargetMode="External"/><Relationship Id="rId333" Type="http://schemas.openxmlformats.org/officeDocument/2006/relationships/hyperlink" Target="https://vt.tiktok.com/ZS9X4tCGx/" TargetMode="External"/><Relationship Id="rId6613" Type="http://schemas.openxmlformats.org/officeDocument/2006/relationships/hyperlink" Target="https://vt.tiktok.com/ZS9Tk6Pm9/" TargetMode="External"/><Relationship Id="rId7943" Type="http://schemas.openxmlformats.org/officeDocument/2006/relationships/hyperlink" Target="https://vt.tiktok.com/ZS9fXPD9x/" TargetMode="External"/><Relationship Id="rId332" Type="http://schemas.openxmlformats.org/officeDocument/2006/relationships/hyperlink" Target="https://vt.tiktok.com/ZSmaK6Raw/" TargetMode="External"/><Relationship Id="rId6610" Type="http://schemas.openxmlformats.org/officeDocument/2006/relationships/hyperlink" Target="https://vt.tiktok.com/ZS9ug9T9Y/" TargetMode="External"/><Relationship Id="rId7942" Type="http://schemas.openxmlformats.org/officeDocument/2006/relationships/hyperlink" Target="https://vt.tiktok.com/ZS9fXPByN/" TargetMode="External"/><Relationship Id="rId331" Type="http://schemas.openxmlformats.org/officeDocument/2006/relationships/hyperlink" Target="https://www.tiktok.com/@anitanursyifa" TargetMode="External"/><Relationship Id="rId6611" Type="http://schemas.openxmlformats.org/officeDocument/2006/relationships/hyperlink" Target="https://vt.tiktok.com/ZS9Q2QdNe/" TargetMode="External"/><Relationship Id="rId7941" Type="http://schemas.openxmlformats.org/officeDocument/2006/relationships/hyperlink" Target="https://www.tiktok.com/@ayahnyazahir" TargetMode="External"/><Relationship Id="rId5318" Type="http://schemas.openxmlformats.org/officeDocument/2006/relationships/hyperlink" Target="https://vt.tiktok.com/ZS9YHXyNm/" TargetMode="External"/><Relationship Id="rId6649" Type="http://schemas.openxmlformats.org/officeDocument/2006/relationships/hyperlink" Target="https://www.tiktok.com/@dindaangraeniputri" TargetMode="External"/><Relationship Id="rId5319" Type="http://schemas.openxmlformats.org/officeDocument/2006/relationships/hyperlink" Target="https://vt.tiktok.com/ZS9BvQ845/" TargetMode="External"/><Relationship Id="rId5316" Type="http://schemas.openxmlformats.org/officeDocument/2006/relationships/hyperlink" Target="https://vt.tiktok.com/ZS9Sh4LUQ/" TargetMode="External"/><Relationship Id="rId6647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7979" Type="http://schemas.openxmlformats.org/officeDocument/2006/relationships/hyperlink" Target="https://vt.tiktok.com/ZSxHab9vo/" TargetMode="External"/><Relationship Id="rId5317" Type="http://schemas.openxmlformats.org/officeDocument/2006/relationships/hyperlink" Target="https://www.tiktok.com/@kiosnaya_" TargetMode="External"/><Relationship Id="rId6648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7978" Type="http://schemas.openxmlformats.org/officeDocument/2006/relationships/hyperlink" Target="https://vt.tiktok.com/ZSxhdtcnM/" TargetMode="External"/><Relationship Id="rId370" Type="http://schemas.openxmlformats.org/officeDocument/2006/relationships/hyperlink" Target="https://www.tiktok.com/@ntsyajulia_" TargetMode="External"/><Relationship Id="rId369" Type="http://schemas.openxmlformats.org/officeDocument/2006/relationships/hyperlink" Target="https://vt.tiktok.com/ZSuBkbY4T/" TargetMode="External"/><Relationship Id="rId368" Type="http://schemas.openxmlformats.org/officeDocument/2006/relationships/hyperlink" Target="https://vt.tiktok.com/ZSuBkGyFr/" TargetMode="External"/><Relationship Id="rId363" Type="http://schemas.openxmlformats.org/officeDocument/2006/relationships/hyperlink" Target="https://www.tiktok.com/@liawidhy/video/7613745754896649493?is_from_webapp=1&amp;sender_device=pc" TargetMode="External"/><Relationship Id="rId5310" Type="http://schemas.openxmlformats.org/officeDocument/2006/relationships/hyperlink" Target="https://vt.tiktok.com/ZS9SMWJBS/" TargetMode="External"/><Relationship Id="rId6641" Type="http://schemas.openxmlformats.org/officeDocument/2006/relationships/hyperlink" Target="https://vt.tiktok.com/ZS9Q2QdNe/" TargetMode="External"/><Relationship Id="rId7973" Type="http://schemas.openxmlformats.org/officeDocument/2006/relationships/hyperlink" Target="https://vt.tiktok.com/ZS9fXPD9x/" TargetMode="External"/><Relationship Id="rId362" Type="http://schemas.openxmlformats.org/officeDocument/2006/relationships/hyperlink" Target="https://vt.tiktok.com/ZSmbc23JE/" TargetMode="External"/><Relationship Id="rId5311" Type="http://schemas.openxmlformats.org/officeDocument/2006/relationships/hyperlink" Target="https://vt.tiktok.com/ZS9Sh4LUQ/" TargetMode="External"/><Relationship Id="rId6642" Type="http://schemas.openxmlformats.org/officeDocument/2006/relationships/hyperlink" Target=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" TargetMode="External"/><Relationship Id="rId7972" Type="http://schemas.openxmlformats.org/officeDocument/2006/relationships/hyperlink" Target="https://vt.tiktok.com/ZS9fXPByN/" TargetMode="External"/><Relationship Id="rId361" Type="http://schemas.openxmlformats.org/officeDocument/2006/relationships/hyperlink" Target="https://vt.tiktok.com/ZSmbvgDKb/" TargetMode="External"/><Relationship Id="rId7971" Type="http://schemas.openxmlformats.org/officeDocument/2006/relationships/hyperlink" Target="https://www.tiktok.com/@mrsnovika" TargetMode="External"/><Relationship Id="rId360" Type="http://schemas.openxmlformats.org/officeDocument/2006/relationships/hyperlink" Target="https://www.tiktok.com/@liawidhy" TargetMode="External"/><Relationship Id="rId6640" Type="http://schemas.openxmlformats.org/officeDocument/2006/relationships/hyperlink" Target="https://vt.tiktok.com/ZS9ug9T9Y/" TargetMode="External"/><Relationship Id="rId7970" Type="http://schemas.openxmlformats.org/officeDocument/2006/relationships/hyperlink" Target="https://vt.tiktok.com/ZS9fXvH5a/" TargetMode="External"/><Relationship Id="rId367" Type="http://schemas.openxmlformats.org/officeDocument/2006/relationships/hyperlink" Target="https://vt.tiktok.com/ZSuBkTCpx/" TargetMode="External"/><Relationship Id="rId5314" Type="http://schemas.openxmlformats.org/officeDocument/2006/relationships/hyperlink" Target="https://vt.tiktok.com/ZS9BvQ845/" TargetMode="External"/><Relationship Id="rId6645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7977" Type="http://schemas.openxmlformats.org/officeDocument/2006/relationships/hyperlink" Target="https://www.tiktok.com/@chubby_kuh01/video/7640616618065808648?_r=1&amp;u_code=ebf49mll4d8hla&amp;region=&amp;mid=7615505674093234177&amp;preview_pb=0&amp;sharer_language=&amp;_d=0&amp;ec_shared_reflux_dynamic_params=%7B%22placeholder_material_id%22%3A%227640616618065808648%22%2C%22placeholder_origin_cover%22%3A%22https%253A%252F%252Fp19-common-sign.tiktokcdn.com%252Ftos-alisg-p-0037%252Fo0qWUxRvOBhQOAFR3BxQkLfC2CEFg6fo4x2DEA~tplv-tiktokx-origin.jpeg%253Fdr%253D14572%2526refresh_token%253Da5cccc42%2526x-expires%253D1810717200%2526x-signature%253D4CJPtNIix6%25252FFluTPstXXnlJo9E0%25253D%2526t%253D4d5b0474%2526ps%253D13740610%2526shp%253Dd05b14bd%2526shcp%253D34ff8df6%2526idc%253Dmy3%2526s%253DTIKTOK_AFFILIATE_VIRAL_VIDEO%22%2C%22placeholder_product_id%22%3A%221729427766722726591%22%2C%22placeholder_video_id%22%3A%227640616618065808648%22%7D&amp;ec_shared_reflux_scene=shop_tab_feed&amp;share_item_id=7640616618065808648&amp;source=h5_t" TargetMode="External"/><Relationship Id="rId366" Type="http://schemas.openxmlformats.org/officeDocument/2006/relationships/hyperlink" Target="https://vt.tiktok.com/ZSuBksq6y/" TargetMode="External"/><Relationship Id="rId5315" Type="http://schemas.openxmlformats.org/officeDocument/2006/relationships/hyperlink" Target="https://vt.tiktok.com/ZS9SMWJBS/" TargetMode="External"/><Relationship Id="rId6646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7976" Type="http://schemas.openxmlformats.org/officeDocument/2006/relationships/hyperlink" Target="https://www.tiktok.com/@Chubby_kuh01" TargetMode="External"/><Relationship Id="rId365" Type="http://schemas.openxmlformats.org/officeDocument/2006/relationships/hyperlink" Target="https://www.tiktok.com/@rismaawtt" TargetMode="External"/><Relationship Id="rId5312" Type="http://schemas.openxmlformats.org/officeDocument/2006/relationships/hyperlink" Target="https://www.tiktok.com/@noraaa_18" TargetMode="External"/><Relationship Id="rId6643" Type="http://schemas.openxmlformats.org/officeDocument/2006/relationships/hyperlink" Target="https://vt.tiktok.com/ZS9Tk6Pm9/" TargetMode="External"/><Relationship Id="rId7975" Type="http://schemas.openxmlformats.org/officeDocument/2006/relationships/hyperlink" Target="https://vt.tiktok.com/ZS9fXvH5a/" TargetMode="External"/><Relationship Id="rId364" Type="http://schemas.openxmlformats.org/officeDocument/2006/relationships/hyperlink" Target="https://www.tiktok.com/@liawidhy/video/7614118036659883284?is_from_webapp=1&amp;sender_device=pc" TargetMode="External"/><Relationship Id="rId5313" Type="http://schemas.openxmlformats.org/officeDocument/2006/relationships/hyperlink" Target="https://vt.tiktok.com/ZS9YHXyNm/" TargetMode="External"/><Relationship Id="rId6644" Type="http://schemas.openxmlformats.org/officeDocument/2006/relationships/hyperlink" Target="https://www.tiktok.com/@Racunskincare" TargetMode="External"/><Relationship Id="rId7974" Type="http://schemas.openxmlformats.org/officeDocument/2006/relationships/hyperlink" Target="https://vt.tiktok.com/ZS9fXEaYN/" TargetMode="External"/><Relationship Id="rId95" Type="http://schemas.openxmlformats.org/officeDocument/2006/relationships/hyperlink" Target="https://www.tiktok.com/@elinyuli1/video/7608211051175349511?is_from_webapp=1&amp;sender_device=pc" TargetMode="External"/><Relationship Id="rId5307" Type="http://schemas.openxmlformats.org/officeDocument/2006/relationships/hyperlink" Target="https://www.tiktok.com/@iniziraajuga" TargetMode="External"/><Relationship Id="rId6638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94" Type="http://schemas.openxmlformats.org/officeDocument/2006/relationships/hyperlink" Target="https://www.tiktok.com/@elinyuli1/video/7610478770419485960?is_from_webapp=1&amp;sender_device=pc" TargetMode="External"/><Relationship Id="rId5308" Type="http://schemas.openxmlformats.org/officeDocument/2006/relationships/hyperlink" Target="https://vt.tiktok.com/ZS9YHXyNm/" TargetMode="External"/><Relationship Id="rId6639" Type="http://schemas.openxmlformats.org/officeDocument/2006/relationships/hyperlink" Target="https://www.tiktok.com/@racuninskincareviral" TargetMode="External"/><Relationship Id="rId7969" Type="http://schemas.openxmlformats.org/officeDocument/2006/relationships/hyperlink" Target="https://vt.tiktok.com/ZS9fXEaYN/" TargetMode="External"/><Relationship Id="rId97" Type="http://schemas.openxmlformats.org/officeDocument/2006/relationships/hyperlink" Target="https://vt.tiktok.com/ZSmH7QLQg/" TargetMode="External"/><Relationship Id="rId5305" Type="http://schemas.openxmlformats.org/officeDocument/2006/relationships/hyperlink" Target="https://vt.tiktok.com/ZS9SMWJBS/" TargetMode="External"/><Relationship Id="rId6636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7968" Type="http://schemas.openxmlformats.org/officeDocument/2006/relationships/hyperlink" Target="https://vt.tiktok.com/ZS9fXPD9x/" TargetMode="External"/><Relationship Id="rId96" Type="http://schemas.openxmlformats.org/officeDocument/2006/relationships/hyperlink" Target="https://www.tiktok.com/@inii.dyan" TargetMode="External"/><Relationship Id="rId5306" Type="http://schemas.openxmlformats.org/officeDocument/2006/relationships/hyperlink" Target="https://vt.tiktok.com/ZS9Sh4LUQ/" TargetMode="External"/><Relationship Id="rId6637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7967" Type="http://schemas.openxmlformats.org/officeDocument/2006/relationships/hyperlink" Target="https://vt.tiktok.com/ZS9fXPByN/" TargetMode="External"/><Relationship Id="rId99" Type="http://schemas.openxmlformats.org/officeDocument/2006/relationships/hyperlink" Target="https://vt.tiktok.com/ZSmp19QdP/" TargetMode="External"/><Relationship Id="rId98" Type="http://schemas.openxmlformats.org/officeDocument/2006/relationships/hyperlink" Target="https://vt.tiktok.com/ZSmH7WEkY/" TargetMode="External"/><Relationship Id="rId5309" Type="http://schemas.openxmlformats.org/officeDocument/2006/relationships/hyperlink" Target="https://vt.tiktok.com/ZS9BvQ845/" TargetMode="External"/><Relationship Id="rId91" Type="http://schemas.openxmlformats.org/officeDocument/2006/relationships/hyperlink" Target="https://vt.tiktok.com/ZSmV4eByP/" TargetMode="External"/><Relationship Id="rId90" Type="http://schemas.openxmlformats.org/officeDocument/2006/relationships/hyperlink" Target="https://vt.tiktok.com/ZSmCokoj1/" TargetMode="External"/><Relationship Id="rId93" Type="http://schemas.openxmlformats.org/officeDocument/2006/relationships/hyperlink" Target="https://www.tiktok.com/@elinyuli1/video/7611213672932740359?is_from_webapp=1&amp;sender_device=pc" TargetMode="External"/><Relationship Id="rId92" Type="http://schemas.openxmlformats.org/officeDocument/2006/relationships/hyperlink" Target="https://www.tiktok.com/@elinyuli1" TargetMode="External"/><Relationship Id="rId359" Type="http://schemas.openxmlformats.org/officeDocument/2006/relationships/hyperlink" Target="https://vt.tiktok.com/ZS9DP54cV/" TargetMode="External"/><Relationship Id="rId358" Type="http://schemas.openxmlformats.org/officeDocument/2006/relationships/hyperlink" Target="https://vt.tiktok.com/ZS9DPuJ5S/" TargetMode="External"/><Relationship Id="rId357" Type="http://schemas.openxmlformats.org/officeDocument/2006/relationships/hyperlink" Target="https://vt.tiktok.com/ZS9X4mrSg/" TargetMode="External"/><Relationship Id="rId352" Type="http://schemas.openxmlformats.org/officeDocument/2006/relationships/hyperlink" Target="https://www.tiktok.com/@upaahsn/video/7616671855356792084?is_from_webapp=1&amp;sender_device=pc" TargetMode="External"/><Relationship Id="rId6630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7962" Type="http://schemas.openxmlformats.org/officeDocument/2006/relationships/hyperlink" Target="https://vt.tiktok.com/ZS9fXPByN/" TargetMode="External"/><Relationship Id="rId351" Type="http://schemas.openxmlformats.org/officeDocument/2006/relationships/hyperlink" Target="https://www.tiktok.com/@upaahsn/video/7615869744532491540?is_from_webapp=1&amp;sender_device=pc" TargetMode="External"/><Relationship Id="rId5300" Type="http://schemas.openxmlformats.org/officeDocument/2006/relationships/hyperlink" Target="https://vt.tiktok.com/ZS9SMWJBS/" TargetMode="External"/><Relationship Id="rId6631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7961" Type="http://schemas.openxmlformats.org/officeDocument/2006/relationships/hyperlink" Target="https://www.tiktok.com/@millaashter1922" TargetMode="External"/><Relationship Id="rId350" Type="http://schemas.openxmlformats.org/officeDocument/2006/relationships/hyperlink" Target="https://www.tiktok.com/@upaahsn" TargetMode="External"/><Relationship Id="rId7960" Type="http://schemas.openxmlformats.org/officeDocument/2006/relationships/hyperlink" Target="https://vt.tiktok.com/ZS9fXvH5a/" TargetMode="External"/><Relationship Id="rId356" Type="http://schemas.openxmlformats.org/officeDocument/2006/relationships/hyperlink" Target="https://vt.tiktok.com/ZSmxE9xcm/" TargetMode="External"/><Relationship Id="rId5303" Type="http://schemas.openxmlformats.org/officeDocument/2006/relationships/hyperlink" Target="https://vt.tiktok.com/ZS9YHXyNm/" TargetMode="External"/><Relationship Id="rId6634" Type="http://schemas.openxmlformats.org/officeDocument/2006/relationships/hyperlink" Target="https://www.tiktok.com/@scorpioogirlsl" TargetMode="External"/><Relationship Id="rId7966" Type="http://schemas.openxmlformats.org/officeDocument/2006/relationships/hyperlink" Target="https://www.tiktok.com/@nengimel5758" TargetMode="External"/><Relationship Id="rId355" Type="http://schemas.openxmlformats.org/officeDocument/2006/relationships/hyperlink" Target="https://www.tiktok.com/@sygkmu__3" TargetMode="External"/><Relationship Id="rId5304" Type="http://schemas.openxmlformats.org/officeDocument/2006/relationships/hyperlink" Target="https://vt.tiktok.com/ZS9BvQ845/" TargetMode="External"/><Relationship Id="rId6635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7965" Type="http://schemas.openxmlformats.org/officeDocument/2006/relationships/hyperlink" Target="https://vt.tiktok.com/ZS9fXvH5a/" TargetMode="External"/><Relationship Id="rId354" Type="http://schemas.openxmlformats.org/officeDocument/2006/relationships/hyperlink" Target="https://vt.tiktok.com/ZS9BERnGH/" TargetMode="External"/><Relationship Id="rId5301" Type="http://schemas.openxmlformats.org/officeDocument/2006/relationships/hyperlink" Target="https://vt.tiktok.com/ZS9Sh4LUQ/" TargetMode="External"/><Relationship Id="rId6632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7964" Type="http://schemas.openxmlformats.org/officeDocument/2006/relationships/hyperlink" Target="https://vt.tiktok.com/ZS9fXEaYN/" TargetMode="External"/><Relationship Id="rId353" Type="http://schemas.openxmlformats.org/officeDocument/2006/relationships/hyperlink" Target="https://vt.tiktok.com/ZS9BERtWU/" TargetMode="External"/><Relationship Id="rId5302" Type="http://schemas.openxmlformats.org/officeDocument/2006/relationships/hyperlink" Target="https://www.tiktok.com/@dianiiiw_" TargetMode="External"/><Relationship Id="rId6633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7963" Type="http://schemas.openxmlformats.org/officeDocument/2006/relationships/hyperlink" Target="https://vt.tiktok.com/ZS9fXPD9x/" TargetMode="External"/><Relationship Id="rId7915" Type="http://schemas.openxmlformats.org/officeDocument/2006/relationships/hyperlink" Target="https://vt.tiktok.com/ZS9ovkvoy/" TargetMode="External"/><Relationship Id="rId7914" Type="http://schemas.openxmlformats.org/officeDocument/2006/relationships/hyperlink" Target="https://vt.tiktok.com/ZS9ovyYUW/" TargetMode="External"/><Relationship Id="rId7913" Type="http://schemas.openxmlformats.org/officeDocument/2006/relationships/hyperlink" Target="https://www.tiktok.com/@ayangpuput_" TargetMode="External"/><Relationship Id="rId7912" Type="http://schemas.openxmlformats.org/officeDocument/2006/relationships/hyperlink" Target="https://vt.tiktok.com/ZSxyPgRQc/" TargetMode="External"/><Relationship Id="rId7919" Type="http://schemas.openxmlformats.org/officeDocument/2006/relationships/hyperlink" Target="https://vt.tiktok.com/ZSxyPpR9G/" TargetMode="External"/><Relationship Id="rId7918" Type="http://schemas.openxmlformats.org/officeDocument/2006/relationships/hyperlink" Target="https://vt.tiktok.com/ZSxyPu73N/" TargetMode="External"/><Relationship Id="rId7917" Type="http://schemas.openxmlformats.org/officeDocument/2006/relationships/hyperlink" Target="https://www.tiktok.com/@afidah277" TargetMode="External"/><Relationship Id="rId7916" Type="http://schemas.openxmlformats.org/officeDocument/2006/relationships/hyperlink" Target="https://vt.tiktok.com/ZSxyPuj76/" TargetMode="External"/><Relationship Id="rId305" Type="http://schemas.openxmlformats.org/officeDocument/2006/relationships/hyperlink" Target="https://vt.tiktok.com/ZS9X4CxfN/" TargetMode="External"/><Relationship Id="rId304" Type="http://schemas.openxmlformats.org/officeDocument/2006/relationships/hyperlink" Target="https://vt.tiktok.com/ZS9X4Xpdj/" TargetMode="External"/><Relationship Id="rId303" Type="http://schemas.openxmlformats.org/officeDocument/2006/relationships/hyperlink" Target="https://vt.tiktok.com/ZSmAXJx5u/" TargetMode="External"/><Relationship Id="rId302" Type="http://schemas.openxmlformats.org/officeDocument/2006/relationships/hyperlink" Target="https://vt.tiktok.com/ZSmACojFQ/" TargetMode="External"/><Relationship Id="rId309" Type="http://schemas.openxmlformats.org/officeDocument/2006/relationships/hyperlink" Target="https://www.tiktok.com/@klambi.jo/video/7620765223896583444?is_from_webapp=1&amp;sender_device=pc" TargetMode="External"/><Relationship Id="rId308" Type="http://schemas.openxmlformats.org/officeDocument/2006/relationships/hyperlink" Target="https://vt.tiktok.com/ZSmDorAKc/" TargetMode="External"/><Relationship Id="rId307" Type="http://schemas.openxmlformats.org/officeDocument/2006/relationships/hyperlink" Target="https://www.tiktok.com/@klambi.jo" TargetMode="External"/><Relationship Id="rId306" Type="http://schemas.openxmlformats.org/officeDocument/2006/relationships/hyperlink" Target="http://klambi.jo" TargetMode="External"/><Relationship Id="rId301" Type="http://schemas.openxmlformats.org/officeDocument/2006/relationships/hyperlink" Target="https://www.tiktok.com/@rissaamell_08" TargetMode="External"/><Relationship Id="rId7911" Type="http://schemas.openxmlformats.org/officeDocument/2006/relationships/hyperlink" Target="https://vt.tiktok.com/ZSxyPg4GN/" TargetMode="External"/><Relationship Id="rId300" Type="http://schemas.openxmlformats.org/officeDocument/2006/relationships/hyperlink" Target="https://vt.tiktok.com/ZS9X4BAbr/" TargetMode="External"/><Relationship Id="rId7910" Type="http://schemas.openxmlformats.org/officeDocument/2006/relationships/hyperlink" Target="https://vt.tiktok.com/ZSxyPnmbe/" TargetMode="External"/><Relationship Id="rId7904" Type="http://schemas.openxmlformats.org/officeDocument/2006/relationships/hyperlink" Target="https://www.tiktok.com/@sarsaparillaa/video/7634942262597750037?_r=1&amp;u_code=6198hfcj6k43c&amp;region=&amp;mid=7619742846682400785&amp;preview_pb=0&amp;sharer_language=&amp;_d=0&amp;ec_shared_reflux_dynamic_params=%7B%22placeholder_material_id%22%3A%227634942262597750037%22%2C%22placeholder_origin_cover%22%3A%22https%253A%252F%252Fp16-common-sign.tiktokcdn.com%252Ftos-alisg-p-0037%252FowcNQUa7LDAxhrEeiMF9BRpCvEtgxBP9QIf5pE~tplv-tiktokx-origin.jpeg%253Fdr%253D14572%2526refresh_token%253D31cfb09e%2526x-expires%253D1809504000%2526x-signature%253DW0jbDihJpjiJdmv%25252FAxwl%25252FqQe8aw%25253D%2526t%253D4d5b0474%2526ps%253D13740610%2526shp%253Dd05b14bd%2526shcp%253D34ff8df6%2526idc%253Dmy%2526s%253DTIKTOK_AFFILIATE_VIRAL_VIDEO%22%2C%22placeholder_product_id%22%3A%221729427766722726591%22%2C%22placeholder_video_id%22%3A%227634942262597750037%22%7D&amp;ec_shared_reflux_scene=shop_tab_feed&amp;share_item_id=7634942262597750037&amp;source=h5_t" TargetMode="External"/><Relationship Id="rId7903" Type="http://schemas.openxmlformats.org/officeDocument/2006/relationships/hyperlink" Target="https://www.tiktok.com/@dinaa123_" TargetMode="External"/><Relationship Id="rId7902" Type="http://schemas.openxmlformats.org/officeDocument/2006/relationships/hyperlink" Target="https://vt.tiktok.com/ZSxmeUUYa/" TargetMode="External"/><Relationship Id="rId7901" Type="http://schemas.openxmlformats.org/officeDocument/2006/relationships/hyperlink" Target="https://vt.tiktok.com/ZSxme1sw4/" TargetMode="External"/><Relationship Id="rId7908" Type="http://schemas.openxmlformats.org/officeDocument/2006/relationships/hyperlink" Target="https://www.tiktok.com/@reendy_21" TargetMode="External"/><Relationship Id="rId7907" Type="http://schemas.openxmlformats.org/officeDocument/2006/relationships/hyperlink" Target="https://vt.tiktok.com/ZSxyP72BK/" TargetMode="External"/><Relationship Id="rId7906" Type="http://schemas.openxmlformats.org/officeDocument/2006/relationships/hyperlink" Target="https://vt.tiktok.com/ZSx9ynb5D/" TargetMode="External"/><Relationship Id="rId7905" Type="http://schemas.openxmlformats.org/officeDocument/2006/relationships/hyperlink" Target="https://www.tiktok.com/@sarsaparillaa/video/7634977370390285589?_r=1&amp;u_code=6198hfcj6k43c&amp;region=&amp;mid=7632888350513908501&amp;preview_pb=0&amp;sharer_language=&amp;_d=0&amp;ec_shared_reflux_dynamic_params=%7B%22placeholder_material_id%22%3A%227634977370390285589%22%2C%22placeholder_origin_cover%22%3A%22https%253A%252F%252Fp16-common-sign.tiktokcdn.com%252Ftos-alisg-p-0037%252FoAEhSAIgUgAFCEO4LHRRq9fhFMD2BBsIfB4pM0~tplv-tiktokx-origin.jpeg%253Fdr%253D14572%2526refresh_token%253D95d46316%2526x-expires%253D1809504000%2526x-signature%253D0fEaBXznpOgeH2YAMtRu7%25252B3P2Y4%25253D%2526t%253D4d5b0474%2526ps%253D13740610%2526shp%253Dd05b14bd%2526shcp%253D34ff8df6%2526idc%253Dmy%2526s%253DTIKTOK_AFFILIATE_VIRAL_VIDEO%22%2C%22placeholder_product_id%22%3A%221729427766722726591%22%2C%22placeholder_video_id%22%3A%227634977370390285589%22%7D&amp;ec_shared_reflux_scene=shop_tab_feed&amp;share_item_id=7634977370390285589&amp;source=h5_t" TargetMode="External"/><Relationship Id="rId7909" Type="http://schemas.openxmlformats.org/officeDocument/2006/relationships/hyperlink" Target="https://vt.tiktok.com/ZSxyPy46y/" TargetMode="External"/><Relationship Id="rId7900" Type="http://schemas.openxmlformats.org/officeDocument/2006/relationships/hyperlink" Target="https://vt.tiktok.com/ZSxmeqoxF/" TargetMode="External"/><Relationship Id="rId6605" Type="http://schemas.openxmlformats.org/officeDocument/2006/relationships/hyperlink" Target="https://vt.tiktok.com/ZS9ug9T9Y/" TargetMode="External"/><Relationship Id="rId7937" Type="http://schemas.openxmlformats.org/officeDocument/2006/relationships/hyperlink" Target="https://vt.tiktok.com/ZS9fXPByN/" TargetMode="External"/><Relationship Id="rId6606" Type="http://schemas.openxmlformats.org/officeDocument/2006/relationships/hyperlink" Target="https://vt.tiktok.com/ZS9Q2QdNe/" TargetMode="External"/><Relationship Id="rId7936" Type="http://schemas.openxmlformats.org/officeDocument/2006/relationships/hyperlink" Target="https://www.tiktok.com/@emyanisa0910" TargetMode="External"/><Relationship Id="rId6603" Type="http://schemas.openxmlformats.org/officeDocument/2006/relationships/hyperlink" Target="https://vt.tiktok.com/ZS9Tk6Pm9/" TargetMode="External"/><Relationship Id="rId7935" Type="http://schemas.openxmlformats.org/officeDocument/2006/relationships/hyperlink" Target="https://vt.tiktok.com/ZS9fXvH5a/" TargetMode="External"/><Relationship Id="rId6604" Type="http://schemas.openxmlformats.org/officeDocument/2006/relationships/hyperlink" Target="https://www.tiktok.com/@fikrirena_" TargetMode="External"/><Relationship Id="rId7934" Type="http://schemas.openxmlformats.org/officeDocument/2006/relationships/hyperlink" Target="https://vt.tiktok.com/ZS9fXEaYN/" TargetMode="External"/><Relationship Id="rId6609" Type="http://schemas.openxmlformats.org/officeDocument/2006/relationships/hyperlink" Target="https://www.tiktok.com/@gendhisbeauty24" TargetMode="External"/><Relationship Id="rId6607" Type="http://schemas.openxmlformats.org/officeDocument/2006/relationships/hyperlink" Target=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" TargetMode="External"/><Relationship Id="rId7939" Type="http://schemas.openxmlformats.org/officeDocument/2006/relationships/hyperlink" Target="https://vt.tiktok.com/ZS9fXEaYN/" TargetMode="External"/><Relationship Id="rId6608" Type="http://schemas.openxmlformats.org/officeDocument/2006/relationships/hyperlink" Target="https://vt.tiktok.com/ZS9Tk6Pm9/" TargetMode="External"/><Relationship Id="rId7938" Type="http://schemas.openxmlformats.org/officeDocument/2006/relationships/hyperlink" Target="https://vt.tiktok.com/ZS9fXPD9x/" TargetMode="External"/><Relationship Id="rId327" Type="http://schemas.openxmlformats.org/officeDocument/2006/relationships/hyperlink" Target="https://vt.tiktok.com/ZSmXgUS2u/" TargetMode="External"/><Relationship Id="rId326" Type="http://schemas.openxmlformats.org/officeDocument/2006/relationships/hyperlink" Target="https://www.tiktok.com/@hixybinn" TargetMode="External"/><Relationship Id="rId325" Type="http://schemas.openxmlformats.org/officeDocument/2006/relationships/hyperlink" Target="https://vt.tiktok.com/ZS9X4cEnK/" TargetMode="External"/><Relationship Id="rId324" Type="http://schemas.openxmlformats.org/officeDocument/2006/relationships/hyperlink" Target="https://vt.tiktok.com/ZS9X4vYfe/" TargetMode="External"/><Relationship Id="rId329" Type="http://schemas.openxmlformats.org/officeDocument/2006/relationships/hyperlink" Target="https://vt.tiktok.com/ZS9XVFRbp/" TargetMode="External"/><Relationship Id="rId328" Type="http://schemas.openxmlformats.org/officeDocument/2006/relationships/hyperlink" Target="https://vt.tiktok.com/ZS9X4sMLg/" TargetMode="External"/><Relationship Id="rId323" Type="http://schemas.openxmlformats.org/officeDocument/2006/relationships/hyperlink" Target="https://vt.tiktok.com/ZS9X4TdMq/" TargetMode="External"/><Relationship Id="rId6601" Type="http://schemas.openxmlformats.org/officeDocument/2006/relationships/hyperlink" Target="https://vt.tiktok.com/ZS9Q2QdNe/" TargetMode="External"/><Relationship Id="rId7933" Type="http://schemas.openxmlformats.org/officeDocument/2006/relationships/hyperlink" Target="https://vt.tiktok.com/ZS9fXPD9x/" TargetMode="External"/><Relationship Id="rId322" Type="http://schemas.openxmlformats.org/officeDocument/2006/relationships/hyperlink" Target="https://vt.tiktok.com/ZSmQEwYN3/" TargetMode="External"/><Relationship Id="rId6602" Type="http://schemas.openxmlformats.org/officeDocument/2006/relationships/hyperlink" Target=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" TargetMode="External"/><Relationship Id="rId7932" Type="http://schemas.openxmlformats.org/officeDocument/2006/relationships/hyperlink" Target="https://vt.tiktok.com/ZS9fXPByN/" TargetMode="External"/><Relationship Id="rId321" Type="http://schemas.openxmlformats.org/officeDocument/2006/relationships/hyperlink" Target="https://www.tiktok.com/@thnlykai" TargetMode="External"/><Relationship Id="rId7931" Type="http://schemas.openxmlformats.org/officeDocument/2006/relationships/hyperlink" Target="https://www.tiktok.com/@iam.tehdian" TargetMode="External"/><Relationship Id="rId320" Type="http://schemas.openxmlformats.org/officeDocument/2006/relationships/hyperlink" Target="https://www.tiktok.com/@maimunah_220/video/7616407545254546695?is_from_webapp=1&amp;sender_device=pc&amp;web_id=7611930277489657360" TargetMode="External"/><Relationship Id="rId6600" Type="http://schemas.openxmlformats.org/officeDocument/2006/relationships/hyperlink" Target="https://vt.tiktok.com/ZS9ug9T9Y/" TargetMode="External"/><Relationship Id="rId7930" Type="http://schemas.openxmlformats.org/officeDocument/2006/relationships/hyperlink" Target="https://vt.tiktok.com/ZSxyACb5D/" TargetMode="External"/><Relationship Id="rId7926" Type="http://schemas.openxmlformats.org/officeDocument/2006/relationships/hyperlink" Target="https://vt.tiktok.com/ZSxx62kRr/" TargetMode="External"/><Relationship Id="rId7925" Type="http://schemas.openxmlformats.org/officeDocument/2006/relationships/hyperlink" Target="https://vt.tiktok.com/ZSxx6r7H5/" TargetMode="External"/><Relationship Id="rId7924" Type="http://schemas.openxmlformats.org/officeDocument/2006/relationships/hyperlink" Target="https://vt.tiktok.com/ZSxxjbngU/" TargetMode="External"/><Relationship Id="rId7923" Type="http://schemas.openxmlformats.org/officeDocument/2006/relationships/hyperlink" Target="https://vt.tiktok.com/ZSxxj4Ksu/" TargetMode="External"/><Relationship Id="rId7929" Type="http://schemas.openxmlformats.org/officeDocument/2006/relationships/hyperlink" Target="https://vt.tiktok.com/ZSxyxAq9A/" TargetMode="External"/><Relationship Id="rId7928" Type="http://schemas.openxmlformats.org/officeDocument/2006/relationships/hyperlink" Target="https://vt.tiktok.com/ZSxQnbAQA/" TargetMode="External"/><Relationship Id="rId7927" Type="http://schemas.openxmlformats.org/officeDocument/2006/relationships/hyperlink" Target="https://www.tiktok.com/@lalapgncantik" TargetMode="External"/><Relationship Id="rId316" Type="http://schemas.openxmlformats.org/officeDocument/2006/relationships/hyperlink" Target="https://www.tiktok.com/@acsalsabila/video/7609490665793277205?is_from_webapp=1&amp;sender_device=pc" TargetMode="External"/><Relationship Id="rId315" Type="http://schemas.openxmlformats.org/officeDocument/2006/relationships/hyperlink" Target="https://www.tiktok.com/@acsalsabila/video/7609194726373346581?is_from_webapp=1&amp;sender_device=pc" TargetMode="External"/><Relationship Id="rId314" Type="http://schemas.openxmlformats.org/officeDocument/2006/relationships/hyperlink" Target="https://www.tiktok.com/@acsalsabila/video/7609054525537864980?is_from_webapp=1&amp;sender_device=pc" TargetMode="External"/><Relationship Id="rId313" Type="http://schemas.openxmlformats.org/officeDocument/2006/relationships/hyperlink" Target="https://www.tiktok.com/@acsalsabila/video/7608364694029602068?is_from_webapp=1&amp;sender_device=pc" TargetMode="External"/><Relationship Id="rId319" Type="http://schemas.openxmlformats.org/officeDocument/2006/relationships/hyperlink" Target="https://vt.tiktok.com/ZSue96rVe/" TargetMode="External"/><Relationship Id="rId318" Type="http://schemas.openxmlformats.org/officeDocument/2006/relationships/hyperlink" Target="https://www.tiktok.com/@maimunah_220/video/7613242359593159943?is_from_webapp=1&amp;sender_device=pc" TargetMode="External"/><Relationship Id="rId317" Type="http://schemas.openxmlformats.org/officeDocument/2006/relationships/hyperlink" Target="https://www.tiktok.com/@maimunah_220" TargetMode="External"/><Relationship Id="rId312" Type="http://schemas.openxmlformats.org/officeDocument/2006/relationships/hyperlink" Target="https://www.tiktok.com/@acsalsabila" TargetMode="External"/><Relationship Id="rId7922" Type="http://schemas.openxmlformats.org/officeDocument/2006/relationships/hyperlink" Target="https://www.tiktok.com/@mamahdefa90" TargetMode="External"/><Relationship Id="rId311" Type="http://schemas.openxmlformats.org/officeDocument/2006/relationships/hyperlink" Target="https://www.tiktok.com/@klambi.jo/video/7621332659419073812?is_from_webapp=1&amp;sender_device=pc" TargetMode="External"/><Relationship Id="rId7921" Type="http://schemas.openxmlformats.org/officeDocument/2006/relationships/hyperlink" Target="https://vt.tiktok.com/ZSxyPbKba/" TargetMode="External"/><Relationship Id="rId310" Type="http://schemas.openxmlformats.org/officeDocument/2006/relationships/hyperlink" Target="https://www.tiktok.com/@klambi.jo/video/7620971634891017492?is_from_webapp=1&amp;sender_device=pc" TargetMode="External"/><Relationship Id="rId7920" Type="http://schemas.openxmlformats.org/officeDocument/2006/relationships/hyperlink" Target="https://vt.tiktok.com/ZSxyPqqLS/" TargetMode="External"/><Relationship Id="rId4040" Type="http://schemas.openxmlformats.org/officeDocument/2006/relationships/hyperlink" Target="https://www.tiktok.com/@zilasamudra/video/7633415000308092175" TargetMode="External"/><Relationship Id="rId5372" Type="http://schemas.openxmlformats.org/officeDocument/2006/relationships/hyperlink" Target="https://vt.tiktok.com/ZS9Sh4LUQ/" TargetMode="External"/><Relationship Id="rId5373" Type="http://schemas.openxmlformats.org/officeDocument/2006/relationships/hyperlink" Target="https://www.tiktok.com/@miyan131official" TargetMode="External"/><Relationship Id="rId4042" Type="http://schemas.openxmlformats.org/officeDocument/2006/relationships/hyperlink" Target="https://www.tiktok.com/@titi_hs" TargetMode="External"/><Relationship Id="rId5370" Type="http://schemas.openxmlformats.org/officeDocument/2006/relationships/hyperlink" Target="https://vt.tiktok.com/ZS9BvQ845/" TargetMode="External"/><Relationship Id="rId4041" Type="http://schemas.openxmlformats.org/officeDocument/2006/relationships/hyperlink" Target="https://www.tiktok.com/@zilasamudra/video/7633641614350601488" TargetMode="External"/><Relationship Id="rId5371" Type="http://schemas.openxmlformats.org/officeDocument/2006/relationships/hyperlink" Target="https://vt.tiktok.com/ZS9SMWJBS/" TargetMode="External"/><Relationship Id="rId4044" Type="http://schemas.openxmlformats.org/officeDocument/2006/relationships/hyperlink" Target="https://www.tiktok.com/@sinbel28/video/7635538495209098504?_r=1&amp;u_code=d054de3ejd5k82&amp;region=&amp;mid=7512918623132928785&amp;preview_pb=0&amp;sharer_language=&amp;_d=0&amp;ec_shared_reflux_dynamic_params=%7B%22placeholder_material_id%22%3A%227635538495209098504%22%2C%22placeholder_origin_cover%22%3A%22https%253A%252F%252Fp16-sign-sg.tiktokcdn.com%252Ftos-alisg-p-0037%252FocIM20vCwAbo0wIr2dIAjiiAh4B2nfAyFvFudu~tplv-tiktokx-origin.jpeg%253Fdr%253D14572%2526refresh_token%253D6186005d%2526x-expires%253D1809504000%2526x-signature%253DL1ddkUY7CiODd%25252BR%25252F4vy89fMwxCM%25253D%2526t%253D4d5b0474%2526ps%253D13740610%2526shp%253Dd05b14bd%2526shcp%253D34ff8df6%2526idc%253Dmy%2526s%253DTIKTOK_AFFILIATE_VIRAL_VIDEO%22%2C%22placeholder_product_id%22%3A%221729427766722726591%22%2C%22placeholder_video_id%22%3A%227635538495209098504%22%7D&amp;ec_shared_reflux_scene=shop_tab_feed&amp;share_item_id=7635538495209098504&amp;source=h5_t" TargetMode="External"/><Relationship Id="rId5376" Type="http://schemas.openxmlformats.org/officeDocument/2006/relationships/hyperlink" Target="https://vt.tiktok.com/ZS9SMWJBS/" TargetMode="External"/><Relationship Id="rId4043" Type="http://schemas.openxmlformats.org/officeDocument/2006/relationships/hyperlink" Target="https://www.tiktok.com/@sinbel28/video/7635536996043197714?_r=1&amp;u_code=d054de3ejd5k82&amp;region=&amp;mid=7221264024289086214&amp;preview_pb=0&amp;sharer_language=&amp;_d=0&amp;ec_shared_reflux_dynamic_params=%7B%22placeholder_material_id%22%3A%227635536996043197714%22%2C%22placeholder_origin_cover%22%3A%22https%253A%252F%252Fp16-common-sign.tiktokcdn.com%252Ftos-alisg-p-0037%252Foc8jA5A2IiQJmQqB34pE2BHBeIWMctNfgAhi3R~tplv-tiktokx-origin.jpeg%253Fdr%253D14572%2526refresh_token%253Dc5efa4b1%2526x-expires%253D1809504000%2526x-signature%253DQLJGOxa87jVhMZq4pBgMQaEnDX4%25253D%2526t%253D4d5b0474%2526ps%253D13740610%2526shp%253Dd05b14bd%2526shcp%253D34ff8df6%2526idc%253Dmy%2526s%253DTIKTOK_AFFILIATE_VIRAL_VIDEO%22%2C%22placeholder_product_id%22%3A%221729427766722726591%22%2C%22placeholder_video_id%22%3A%227635536996043197714%22%7D&amp;ec_shared_reflux_scene=shop_tab_feed&amp;share_item_id=7635536996043197714&amp;source=h5_t" TargetMode="External"/><Relationship Id="rId5377" Type="http://schemas.openxmlformats.org/officeDocument/2006/relationships/hyperlink" Target="https://vt.tiktok.com/ZS9Sh4LUQ/" TargetMode="External"/><Relationship Id="rId4046" Type="http://schemas.openxmlformats.org/officeDocument/2006/relationships/hyperlink" Target="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eholder_origin_cover%22%3A%22https%253A%252F%252Fp16-common-sign.tiktokcdn.com%252Ftos-alisg-p-0037%252FoofGYgAmBbnFT6RIAFbW9wtri2J2nG45efAfun~tplv-tiktokx-origin.jpeg%253Fdr%253D14572%2526refresh_token%253D9aec4cb5%2526x-expires%253D1809504000%2526x-signature%253DvctWyysZiUs5n87SRHe%25252BG3XeDeI%25253D%2526t%253D4d5b0474%2526ps%253D13740610%2526shp%253Dd05b14bd%2526shcp%253D34ff8df6%2526idc%253Dmy%2526s%253DTIKTOK_AFFILIATE_VIRAL_VIDEO%22%2C%22placeholder_product_id%22%3A%221729427766722726591%22%2C%22placeholder_video_id%22%3A%227635544313203576082%22%7D&amp;ec_shared_reflux_scene=shop_tab_feed&amp;share_item_id=7635544313203576082&amp;source=h5_t" TargetMode="External"/><Relationship Id="rId5374" Type="http://schemas.openxmlformats.org/officeDocument/2006/relationships/hyperlink" Target="https://vt.tiktok.com/ZS9YHXyNm/" TargetMode="External"/><Relationship Id="rId4045" Type="http://schemas.openxmlformats.org/officeDocument/2006/relationships/hyperlink" Target="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eholder_origin_cover%22%3A%22https%253A%252F%252Fp16-common-sign.tiktokcdn.com%252Ftos-alisg-p-0037%252FosGxxDBwTfDJxuTtCzLIAbGVI7Aj4f9ggQey4c~tplv-tiktokx-origin.jpeg%253Fdr%253D14572%2526refresh_token%253D8a3c5d69%2526x-expires%253D1809504000%2526x-signature%253DlASmPH53f5P2NU2PkB05ZaXJVsk%25253D%2526t%253D4d5b0474%2526ps%253D13740610%2526shp%253Dd05b14bd%2526shcp%253D34ff8df6%2526idc%253Dmy%2526s%253DTIKTOK_AFFILIATE_VIRAL_VIDEO%22%2C%22placeholder_product_id%22%3A%221729427766722726591%22%2C%22placeholder_video_id%22%3A%227635540386219396360%22%7D&amp;ec_shared_reflux_scene=shop_tab_feed&amp;share_item_id=7635540386219396360&amp;source=h5_t" TargetMode="External"/><Relationship Id="rId5375" Type="http://schemas.openxmlformats.org/officeDocument/2006/relationships/hyperlink" Target="https://vt.tiktok.com/ZS9BvQ845/" TargetMode="External"/><Relationship Id="rId4048" Type="http://schemas.openxmlformats.org/officeDocument/2006/relationships/hyperlink" Target="https://vt.tiktok.com/ZS9xsCevJ/" TargetMode="External"/><Relationship Id="rId4047" Type="http://schemas.openxmlformats.org/officeDocument/2006/relationships/hyperlink" Target="https://www.tiktok.com/@yullyfidya" TargetMode="External"/><Relationship Id="rId5378" Type="http://schemas.openxmlformats.org/officeDocument/2006/relationships/hyperlink" Target="https://www.tiktok.com/@shadowbeauty94" TargetMode="External"/><Relationship Id="rId4049" Type="http://schemas.openxmlformats.org/officeDocument/2006/relationships/hyperlink" Target="https://vt.tiktok.com/ZS9xsmftR/" TargetMode="External"/><Relationship Id="rId5379" Type="http://schemas.openxmlformats.org/officeDocument/2006/relationships/hyperlink" Target="https://www.tiktok.com/@shadowbeauty94/video/7638170743083257106?_r=1&amp;u_code=ea7741h4k28gma&amp;region=&amp;mid=7618434961690970881&amp;preview_pb=0&amp;sharer_language=&amp;_d=0&amp;ec_shared_reflux_dynamic_params=%7B%22placeholder_material_id%22%3A%227638170743083257106%22%2C%22placeholder_origin_cover%22%3A%22https%253A%252F%252Fp16-common-sign.tiktokcdn.com%252Ftos-alisg-p-0037%252FoYAX75BpwDIC9i2AgMc5BYBIuEOrTABkAiJva~tplv-tiktokx-origin.jpeg%253Fdr%253D14572%2526refresh_token%253D2971e64a%2526x-expires%253D1810116000%2526x-signature%253DAwm7Q1gfDH3uIKi29VUBuXP3ha0%25253D%2526t%253D4d5b0474%2526ps%253D13740610%2526shp%253Dd05b14bd%2526shcp%253D34ff8df6%2526idc%253Dmy2%2526s%253DTIKTOK_AFFILIATE_VIRAL_VIDEO%22%2C%22placeholder_product_id%22%3A%221729427766722726591%22%2C%22placeholder_video_id%22%3A%227638170743083257106%22%7D&amp;ec_shared_reflux_scene=shop_tab_feed&amp;share_item_id=7638170743083257106&amp;source=h5_t" TargetMode="External"/><Relationship Id="rId5361" Type="http://schemas.openxmlformats.org/officeDocument/2006/relationships/hyperlink" Target="https://vt.tiktok.com/ZSxTe9bSU/" TargetMode="External"/><Relationship Id="rId6692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5362" Type="http://schemas.openxmlformats.org/officeDocument/2006/relationships/hyperlink" Target="https://www.tiktok.com/@wickydy_05" TargetMode="External"/><Relationship Id="rId6693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4031" Type="http://schemas.openxmlformats.org/officeDocument/2006/relationships/hyperlink" Target="https://www.tiktok.com/@zilasamudra/video/7633641614350601487" TargetMode="External"/><Relationship Id="rId6690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4030" Type="http://schemas.openxmlformats.org/officeDocument/2006/relationships/hyperlink" Target="https://www.tiktok.com/@zilasamudra/video/7633415000308092174" TargetMode="External"/><Relationship Id="rId5360" Type="http://schemas.openxmlformats.org/officeDocument/2006/relationships/hyperlink" Target="https://vt.tiktok.com/ZSxTeVUyu/" TargetMode="External"/><Relationship Id="rId6691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297" Type="http://schemas.openxmlformats.org/officeDocument/2006/relationships/hyperlink" Target="https://vt.tiktok.com/ZSHuTT1x6/" TargetMode="External"/><Relationship Id="rId4033" Type="http://schemas.openxmlformats.org/officeDocument/2006/relationships/hyperlink" Target="https://vt.tiktok.com/ZSxSc7pk7/" TargetMode="External"/><Relationship Id="rId5365" Type="http://schemas.openxmlformats.org/officeDocument/2006/relationships/hyperlink" Target="https://www.tiktok.com/@shadowbeauty94/video/7638230278741429522?_r=1&amp;u_code=ea7741h4k28gma&amp;region=&amp;mid=7630404661434664977&amp;preview_pb=0&amp;sharer_language=&amp;_d=0&amp;ec_shared_reflux_dynamic_params=%7B%22placeholder_material_id%22%3A%227638230278741429522%22%2C%22placeholder_origin_cover%22%3A%22https%253A%252F%252Fp16-common-sign.tiktokcdn.com%252Ftos-alisg-p-0037%252FoEXP6BGgwPpEGcIax8BpVBAJiiSFCYBAgIwAO~tplv-tiktokx-origin.jpeg%253Fdr%253D14572%2526refresh_token%253Dd78747c1%2526x-expires%253D1810116000%2526x-signature%253DcTiyyBcqUoYKb1Urwqi6B%25252BPAYao%25253D%2526t%253D4d5b0474%2526ps%253D13740610%2526shp%253Dd05b14bd%2526shcp%253D34ff8df6%2526idc%253Dmy2%2526s%253DTIKTOK_AFFILIATE_VIRAL_VIDEO%22%2C%22placeholder_product_id%22%3A%221729427766722726591%22%2C%22placeholder_video_id%22%3A%227638230278741429522%22%7D&amp;ec_shared_reflux_scene=shop_tab_feed&amp;share_item_id=7638230278741429522&amp;source=h5_t" TargetMode="External"/><Relationship Id="rId6696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296" Type="http://schemas.openxmlformats.org/officeDocument/2006/relationships/hyperlink" Target="https://www.tiktok.com/@dheafitryani" TargetMode="External"/><Relationship Id="rId4032" Type="http://schemas.openxmlformats.org/officeDocument/2006/relationships/hyperlink" Target="https://www.tiktok.com/@ningsihajah6" TargetMode="External"/><Relationship Id="rId5366" Type="http://schemas.openxmlformats.org/officeDocument/2006/relationships/hyperlink" Target="https://vt.tiktok.com/ZSxGhQKSu/" TargetMode="External"/><Relationship Id="rId6697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295" Type="http://schemas.openxmlformats.org/officeDocument/2006/relationships/hyperlink" Target="https://vt.tiktok.com/ZSucobCbc/" TargetMode="External"/><Relationship Id="rId4035" Type="http://schemas.openxmlformats.org/officeDocument/2006/relationships/hyperlink" Target="https://vt.tiktok.com/ZSQJS7XNR/" TargetMode="External"/><Relationship Id="rId5363" Type="http://schemas.openxmlformats.org/officeDocument/2006/relationships/hyperlink" Target="https://www.tiktok.com/@herastuwiw" TargetMode="External"/><Relationship Id="rId6694" Type="http://schemas.openxmlformats.org/officeDocument/2006/relationships/hyperlink" Target="https://www.tiktok.com/@pitriwdy" TargetMode="External"/><Relationship Id="rId294" Type="http://schemas.openxmlformats.org/officeDocument/2006/relationships/hyperlink" Target="https://vt.tiktok.com/ZSucoArdB/" TargetMode="External"/><Relationship Id="rId4034" Type="http://schemas.openxmlformats.org/officeDocument/2006/relationships/hyperlink" Target="https://vt.tiktok.com/ZSxScpteW/" TargetMode="External"/><Relationship Id="rId5364" Type="http://schemas.openxmlformats.org/officeDocument/2006/relationships/hyperlink" Target="https://www.tiktok.com/@shadowbeauty94/video/7638170743083257106?_r=1&amp;u_code=ea7741h4k28gma&amp;region=&amp;mid=7618434961690970881&amp;preview_pb=0&amp;sharer_language=&amp;_d=0&amp;ec_shared_reflux_dynamic_params=%7B%22placeholder_material_id%22%3A%227638170743083257106%22%2C%22placeholder_origin_cover%22%3A%22https%253A%252F%252Fp16-common-sign.tiktokcdn.com%252Ftos-alisg-p-0037%252FoYAX75BpwDIC9i2AgMc5BYBIuEOrTABkAiJva~tplv-tiktokx-origin.jpeg%253Fdr%253D14572%2526refresh_token%253D2971e64a%2526x-expires%253D1810116000%2526x-signature%253DAwm7Q1gfDH3uIKi29VUBuXP3ha0%25253D%2526t%253D4d5b0474%2526ps%253D13740610%2526shp%253Dd05b14bd%2526shcp%253D34ff8df6%2526idc%253Dmy2%2526s%253DTIKTOK_AFFILIATE_VIRAL_VIDEO%22%2C%22placeholder_product_id%22%3A%221729427766722726591%22%2C%22placeholder_video_id%22%3A%227638170743083257106%22%7D&amp;ec_shared_reflux_scene=shop_tab_feed&amp;share_item_id=7638170743083257106&amp;source=h5_t" TargetMode="External"/><Relationship Id="rId6695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4037" Type="http://schemas.openxmlformats.org/officeDocument/2006/relationships/hyperlink" Target="https://www.tiktok.com/@neny_ari" TargetMode="External"/><Relationship Id="rId5369" Type="http://schemas.openxmlformats.org/officeDocument/2006/relationships/hyperlink" Target="https://vt.tiktok.com/ZS9YHXyNm/" TargetMode="External"/><Relationship Id="rId4036" Type="http://schemas.openxmlformats.org/officeDocument/2006/relationships/hyperlink" Target="https://vt.tiktok.com/ZSQJS4gHo/" TargetMode="External"/><Relationship Id="rId299" Type="http://schemas.openxmlformats.org/officeDocument/2006/relationships/hyperlink" Target="https://vt.tiktok.com/ZS9X4Q3nb/" TargetMode="External"/><Relationship Id="rId4039" Type="http://schemas.openxmlformats.org/officeDocument/2006/relationships/hyperlink" Target="https://vt.tiktok.com/ZS9xsmftR/" TargetMode="External"/><Relationship Id="rId5367" Type="http://schemas.openxmlformats.org/officeDocument/2006/relationships/hyperlink" Target="https://vt.tiktok.com/ZSxgTwra2/" TargetMode="External"/><Relationship Id="rId6698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298" Type="http://schemas.openxmlformats.org/officeDocument/2006/relationships/hyperlink" Target="https://vt.tiktok.com/ZS9X4mAsL/" TargetMode="External"/><Relationship Id="rId4038" Type="http://schemas.openxmlformats.org/officeDocument/2006/relationships/hyperlink" Target="https://vt.tiktok.com/ZSQ14N9aa/" TargetMode="External"/><Relationship Id="rId5368" Type="http://schemas.openxmlformats.org/officeDocument/2006/relationships/hyperlink" Target="https://www.tiktok.com/@skincaretiktok428" TargetMode="External"/><Relationship Id="rId6699" Type="http://schemas.openxmlformats.org/officeDocument/2006/relationships/hyperlink" Target="https://www.tiktok.com/@sii.lifa" TargetMode="External"/><Relationship Id="rId5390" Type="http://schemas.openxmlformats.org/officeDocument/2006/relationships/hyperlink" Target="https://vt.tiktok.com/ZS9BvQ845/" TargetMode="External"/><Relationship Id="rId5391" Type="http://schemas.openxmlformats.org/officeDocument/2006/relationships/hyperlink" Target="https://vt.tiktok.com/ZS9SMWJBS/" TargetMode="External"/><Relationship Id="rId4060" Type="http://schemas.openxmlformats.org/officeDocument/2006/relationships/hyperlink" Target="https://www.tiktok.com/@zilasamudra/video/7633415000308092177" TargetMode="External"/><Relationship Id="rId4062" Type="http://schemas.openxmlformats.org/officeDocument/2006/relationships/hyperlink" Target="https://www.tiktok.com/@linamincreng" TargetMode="External"/><Relationship Id="rId5394" Type="http://schemas.openxmlformats.org/officeDocument/2006/relationships/hyperlink" Target="https://www.tiktok.com/@shadowbeauty94/video/7638170743083257106?_r=1&amp;u_code=ea7741h4k28gma&amp;region=&amp;mid=7618434961690970881&amp;preview_pb=0&amp;sharer_language=&amp;_d=0&amp;ec_shared_reflux_dynamic_params=%7B%22placeholder_material_id%22%3A%227638170743083257106%22%2C%22placeholder_origin_cover%22%3A%22https%253A%252F%252Fp16-common-sign.tiktokcdn.com%252Ftos-alisg-p-0037%252FoYAX75BpwDIC9i2AgMc5BYBIuEOrTABkAiJva~tplv-tiktokx-origin.jpeg%253Fdr%253D14572%2526refresh_token%253D2971e64a%2526x-expires%253D1810116000%2526x-signature%253DAwm7Q1gfDH3uIKi29VUBuXP3ha0%25253D%2526t%253D4d5b0474%2526ps%253D13740610%2526shp%253Dd05b14bd%2526shcp%253D34ff8df6%2526idc%253Dmy2%2526s%253DTIKTOK_AFFILIATE_VIRAL_VIDEO%22%2C%22placeholder_product_id%22%3A%221729427766722726591%22%2C%22placeholder_video_id%22%3A%227638170743083257106%22%7D&amp;ec_shared_reflux_scene=shop_tab_feed&amp;share_item_id=7638170743083257106&amp;source=h5_t" TargetMode="External"/><Relationship Id="rId4061" Type="http://schemas.openxmlformats.org/officeDocument/2006/relationships/hyperlink" Target="https://www.tiktok.com/@zilasamudra/video/7633641614350601490" TargetMode="External"/><Relationship Id="rId5395" Type="http://schemas.openxmlformats.org/officeDocument/2006/relationships/hyperlink" Target="https://www.tiktok.com/@shadowbeauty94/video/7638230278741429522?_r=1&amp;u_code=ea7741h4k28gma&amp;region=&amp;mid=7630404661434664977&amp;preview_pb=0&amp;sharer_language=&amp;_d=0&amp;ec_shared_reflux_dynamic_params=%7B%22placeholder_material_id%22%3A%227638230278741429522%22%2C%22placeholder_origin_cover%22%3A%22https%253A%252F%252Fp16-common-sign.tiktokcdn.com%252Ftos-alisg-p-0037%252FoEXP6BGgwPpEGcIax8BpVBAJiiSFCYBAgIwAO~tplv-tiktokx-origin.jpeg%253Fdr%253D14572%2526refresh_token%253Dd78747c1%2526x-expires%253D1810116000%2526x-signature%253DcTiyyBcqUoYKb1Urwqi6B%25252BPAYao%25253D%2526t%253D4d5b0474%2526ps%253D13740610%2526shp%253Dd05b14bd%2526shcp%253D34ff8df6%2526idc%253Dmy2%2526s%253DTIKTOK_AFFILIATE_VIRAL_VIDEO%22%2C%22placeholder_product_id%22%3A%221729427766722726591%22%2C%22placeholder_video_id%22%3A%227638230278741429522%22%7D&amp;ec_shared_reflux_scene=shop_tab_feed&amp;share_item_id=7638230278741429522&amp;source=h5_t" TargetMode="External"/><Relationship Id="rId4064" Type="http://schemas.openxmlformats.org/officeDocument/2006/relationships/hyperlink" Target="https://www.tiktok.com/@sinbel28/video/7635538495209098504?_r=1&amp;u_code=d054de3ejd5k82&amp;region=&amp;mid=7512918623132928785&amp;preview_pb=0&amp;sharer_language=&amp;_d=0&amp;ec_shared_reflux_dynamic_params=%7B%22placeholder_material_id%22%3A%227635538495209098504%22%2C%22placeholder_origin_cover%22%3A%22https%253A%252F%252Fp16-sign-sg.tiktokcdn.com%252Ftos-alisg-p-0037%252FocIM20vCwAbo0wIr2dIAjiiAh4B2nfAyFvFudu~tplv-tiktokx-origin.jpeg%253Fdr%253D14572%2526refresh_token%253D6186005d%2526x-expires%253D1809504000%2526x-signature%253DL1ddkUY7CiODd%25252BR%25252F4vy89fMwxCM%25253D%2526t%253D4d5b0474%2526ps%253D13740610%2526shp%253Dd05b14bd%2526shcp%253D34ff8df6%2526idc%253Dmy%2526s%253DTIKTOK_AFFILIATE_VIRAL_VIDEO%22%2C%22placeholder_product_id%22%3A%221729427766722726591%22%2C%22placeholder_video_id%22%3A%227635538495209098504%22%7D&amp;ec_shared_reflux_scene=shop_tab_feed&amp;share_item_id=7635538495209098504&amp;source=h5_t" TargetMode="External"/><Relationship Id="rId5392" Type="http://schemas.openxmlformats.org/officeDocument/2006/relationships/hyperlink" Target="https://vt.tiktok.com/ZS9Sh4LUQ/" TargetMode="External"/><Relationship Id="rId4063" Type="http://schemas.openxmlformats.org/officeDocument/2006/relationships/hyperlink" Target="https://www.tiktok.com/@sinbel28/video/7635536996043197714?_r=1&amp;u_code=d054de3ejd5k82&amp;region=&amp;mid=7221264024289086214&amp;preview_pb=0&amp;sharer_language=&amp;_d=0&amp;ec_shared_reflux_dynamic_params=%7B%22placeholder_material_id%22%3A%227635536996043197714%22%2C%22placeholder_origin_cover%22%3A%22https%253A%252F%252Fp16-common-sign.tiktokcdn.com%252Ftos-alisg-p-0037%252Foc8jA5A2IiQJmQqB34pE2BHBeIWMctNfgAhi3R~tplv-tiktokx-origin.jpeg%253Fdr%253D14572%2526refresh_token%253Dc5efa4b1%2526x-expires%253D1809504000%2526x-signature%253DQLJGOxa87jVhMZq4pBgMQaEnDX4%25253D%2526t%253D4d5b0474%2526ps%253D13740610%2526shp%253Dd05b14bd%2526shcp%253D34ff8df6%2526idc%253Dmy%2526s%253DTIKTOK_AFFILIATE_VIRAL_VIDEO%22%2C%22placeholder_product_id%22%3A%221729427766722726591%22%2C%22placeholder_video_id%22%3A%227635536996043197714%22%7D&amp;ec_shared_reflux_scene=shop_tab_feed&amp;share_item_id=7635536996043197714&amp;source=h5_t" TargetMode="External"/><Relationship Id="rId5393" Type="http://schemas.openxmlformats.org/officeDocument/2006/relationships/hyperlink" Target="https://www.tiktok.com/@_bahancantikmu" TargetMode="External"/><Relationship Id="rId4066" Type="http://schemas.openxmlformats.org/officeDocument/2006/relationships/hyperlink" Target="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eholder_origin_cover%22%3A%22https%253A%252F%252Fp16-common-sign.tiktokcdn.com%252Ftos-alisg-p-0037%252FoofGYgAmBbnFT6RIAFbW9wtri2J2nG45efAfun~tplv-tiktokx-origin.jpeg%253Fdr%253D14572%2526refresh_token%253D9aec4cb5%2526x-expires%253D1809504000%2526x-signature%253DvctWyysZiUs5n87SRHe%25252BG3XeDeI%25253D%2526t%253D4d5b0474%2526ps%253D13740610%2526shp%253Dd05b14bd%2526shcp%253D34ff8df6%2526idc%253Dmy%2526s%253DTIKTOK_AFFILIATE_VIRAL_VIDEO%22%2C%22placeholder_product_id%22%3A%221729427766722726591%22%2C%22placeholder_video_id%22%3A%227635544313203576082%22%7D&amp;ec_shared_reflux_scene=shop_tab_feed&amp;share_item_id=7635544313203576082&amp;source=h5_t" TargetMode="External"/><Relationship Id="rId5398" Type="http://schemas.openxmlformats.org/officeDocument/2006/relationships/hyperlink" Target="https://www.tiktok.com/@emma" TargetMode="External"/><Relationship Id="rId4065" Type="http://schemas.openxmlformats.org/officeDocument/2006/relationships/hyperlink" Target="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eholder_origin_cover%22%3A%22https%253A%252F%252Fp16-common-sign.tiktokcdn.com%252Ftos-alisg-p-0037%252FosGxxDBwTfDJxuTtCzLIAbGVI7Aj4f9ggQey4c~tplv-tiktokx-origin.jpeg%253Fdr%253D14572%2526refresh_token%253D8a3c5d69%2526x-expires%253D1809504000%2526x-signature%253DlASmPH53f5P2NU2PkB05ZaXJVsk%25253D%2526t%253D4d5b0474%2526ps%253D13740610%2526shp%253Dd05b14bd%2526shcp%253D34ff8df6%2526idc%253Dmy%2526s%253DTIKTOK_AFFILIATE_VIRAL_VIDEO%22%2C%22placeholder_product_id%22%3A%221729427766722726591%22%2C%22placeholder_video_id%22%3A%227635540386219396360%22%7D&amp;ec_shared_reflux_scene=shop_tab_feed&amp;share_item_id=7635540386219396360&amp;source=h5_t" TargetMode="External"/><Relationship Id="rId5399" Type="http://schemas.openxmlformats.org/officeDocument/2006/relationships/hyperlink" Target="https://www.tiktok.com/@shadowbeauty94/video/7638170743083257106?_r=1&amp;u_code=ea7741h4k28gma&amp;region=&amp;mid=7618434961690970881&amp;preview_pb=0&amp;sharer_language=&amp;_d=0&amp;ec_shared_reflux_dynamic_params=%7B%22placeholder_material_id%22%3A%227638170743083257106%22%2C%22placeholder_origin_cover%22%3A%22https%253A%252F%252Fp16-common-sign.tiktokcdn.com%252Ftos-alisg-p-0037%252FoYAX75BpwDIC9i2AgMc5BYBIuEOrTABkAiJva~tplv-tiktokx-origin.jpeg%253Fdr%253D14572%2526refresh_token%253D2971e64a%2526x-expires%253D1810116000%2526x-signature%253DAwm7Q1gfDH3uIKi29VUBuXP3ha0%25253D%2526t%253D4d5b0474%2526ps%253D13740610%2526shp%253Dd05b14bd%2526shcp%253D34ff8df6%2526idc%253Dmy2%2526s%253DTIKTOK_AFFILIATE_VIRAL_VIDEO%22%2C%22placeholder_product_id%22%3A%221729427766722726591%22%2C%22placeholder_video_id%22%3A%227638170743083257106%22%7D&amp;ec_shared_reflux_scene=shop_tab_feed&amp;share_item_id=7638170743083257106&amp;source=h5_t" TargetMode="External"/><Relationship Id="rId4068" Type="http://schemas.openxmlformats.org/officeDocument/2006/relationships/hyperlink" Target="https://vt.tiktok.com/ZS9xsCevJ/" TargetMode="External"/><Relationship Id="rId5396" Type="http://schemas.openxmlformats.org/officeDocument/2006/relationships/hyperlink" Target="https://vt.tiktok.com/ZSxWUoxJo/" TargetMode="External"/><Relationship Id="rId4067" Type="http://schemas.openxmlformats.org/officeDocument/2006/relationships/hyperlink" Target="https://www.tiktok.com/@lisa_snoopyy1" TargetMode="External"/><Relationship Id="rId5397" Type="http://schemas.openxmlformats.org/officeDocument/2006/relationships/hyperlink" Target="https://vt.tiktok.com/ZSxGBHjTM/" TargetMode="External"/><Relationship Id="rId4069" Type="http://schemas.openxmlformats.org/officeDocument/2006/relationships/hyperlink" Target="https://vt.tiktok.com/ZS9xsmftR/" TargetMode="External"/><Relationship Id="rId5380" Type="http://schemas.openxmlformats.org/officeDocument/2006/relationships/hyperlink" Target="https://www.tiktok.com/@shadowbeauty94/video/7638230278741429522?_r=1&amp;u_code=ea7741h4k28gma&amp;region=&amp;mid=7630404661434664977&amp;preview_pb=0&amp;sharer_language=&amp;_d=0&amp;ec_shared_reflux_dynamic_params=%7B%22placeholder_material_id%22%3A%227638230278741429522%22%2C%22placeholder_origin_cover%22%3A%22https%253A%252F%252Fp16-common-sign.tiktokcdn.com%252Ftos-alisg-p-0037%252FoEXP6BGgwPpEGcIax8BpVBAJiiSFCYBAgIwAO~tplv-tiktokx-origin.jpeg%253Fdr%253D14572%2526refresh_token%253Dd78747c1%2526x-expires%253D1810116000%2526x-signature%253DcTiyyBcqUoYKb1Urwqi6B%25252BPAYao%25253D%2526t%253D4d5b0474%2526ps%253D13740610%2526shp%253Dd05b14bd%2526shcp%253D34ff8df6%2526idc%253Dmy2%2526s%253DTIKTOK_AFFILIATE_VIRAL_VIDEO%22%2C%22placeholder_product_id%22%3A%221729427766722726591%22%2C%22placeholder_video_id%22%3A%227638230278741429522%22%7D&amp;ec_shared_reflux_scene=shop_tab_feed&amp;share_item_id=7638230278741429522&amp;source=h5_t" TargetMode="External"/><Relationship Id="rId4051" Type="http://schemas.openxmlformats.org/officeDocument/2006/relationships/hyperlink" Target="https://www.tiktok.com/@zilasamudra/video/7633641614350601489" TargetMode="External"/><Relationship Id="rId5383" Type="http://schemas.openxmlformats.org/officeDocument/2006/relationships/hyperlink" Target="https://www.tiktok.com/@yullyan_yl" TargetMode="External"/><Relationship Id="rId4050" Type="http://schemas.openxmlformats.org/officeDocument/2006/relationships/hyperlink" Target="https://www.tiktok.com/@zilasamudra/video/7633415000308092176" TargetMode="External"/><Relationship Id="rId5384" Type="http://schemas.openxmlformats.org/officeDocument/2006/relationships/hyperlink" Target="https://vt.tiktok.com/ZS9YHXyNm/" TargetMode="External"/><Relationship Id="rId4053" Type="http://schemas.openxmlformats.org/officeDocument/2006/relationships/hyperlink" Target="https://www.tiktok.com/@sinbel28/video/7635536996043197714?_r=1&amp;u_code=d054de3ejd5k82&amp;region=&amp;mid=7221264024289086214&amp;preview_pb=0&amp;sharer_language=&amp;_d=0&amp;ec_shared_reflux_dynamic_params=%7B%22placeholder_material_id%22%3A%227635536996043197714%22%2C%22placeholder_origin_cover%22%3A%22https%253A%252F%252Fp16-common-sign.tiktokcdn.com%252Ftos-alisg-p-0037%252Foc8jA5A2IiQJmQqB34pE2BHBeIWMctNfgAhi3R~tplv-tiktokx-origin.jpeg%253Fdr%253D14572%2526refresh_token%253Dc5efa4b1%2526x-expires%253D1809504000%2526x-signature%253DQLJGOxa87jVhMZq4pBgMQaEnDX4%25253D%2526t%253D4d5b0474%2526ps%253D13740610%2526shp%253Dd05b14bd%2526shcp%253D34ff8df6%2526idc%253Dmy%2526s%253DTIKTOK_AFFILIATE_VIRAL_VIDEO%22%2C%22placeholder_product_id%22%3A%221729427766722726591%22%2C%22placeholder_video_id%22%3A%227635536996043197714%22%7D&amp;ec_shared_reflux_scene=shop_tab_feed&amp;share_item_id=7635536996043197714&amp;source=h5_t" TargetMode="External"/><Relationship Id="rId5381" Type="http://schemas.openxmlformats.org/officeDocument/2006/relationships/hyperlink" Target="https://vt.tiktok.com/ZSxHdJTst/" TargetMode="External"/><Relationship Id="rId4052" Type="http://schemas.openxmlformats.org/officeDocument/2006/relationships/hyperlink" Target="https://www.tiktok.com/@lhyaluv" TargetMode="External"/><Relationship Id="rId5382" Type="http://schemas.openxmlformats.org/officeDocument/2006/relationships/hyperlink" Target="https://vt.tiktok.com/ZSxHe7749/" TargetMode="External"/><Relationship Id="rId4055" Type="http://schemas.openxmlformats.org/officeDocument/2006/relationships/hyperlink" Target="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eholder_origin_cover%22%3A%22https%253A%252F%252Fp16-common-sign.tiktokcdn.com%252Ftos-alisg-p-0037%252FosGxxDBwTfDJxuTtCzLIAbGVI7Aj4f9ggQey4c~tplv-tiktokx-origin.jpeg%253Fdr%253D14572%2526refresh_token%253D8a3c5d69%2526x-expires%253D1809504000%2526x-signature%253DlASmPH53f5P2NU2PkB05ZaXJVsk%25253D%2526t%253D4d5b0474%2526ps%253D13740610%2526shp%253Dd05b14bd%2526shcp%253D34ff8df6%2526idc%253Dmy%2526s%253DTIKTOK_AFFILIATE_VIRAL_VIDEO%22%2C%22placeholder_product_id%22%3A%221729427766722726591%22%2C%22placeholder_video_id%22%3A%227635540386219396360%22%7D&amp;ec_shared_reflux_scene=shop_tab_feed&amp;share_item_id=7635540386219396360&amp;source=h5_t" TargetMode="External"/><Relationship Id="rId5387" Type="http://schemas.openxmlformats.org/officeDocument/2006/relationships/hyperlink" Target="https://vt.tiktok.com/ZS9Sh4LUQ/" TargetMode="External"/><Relationship Id="rId4054" Type="http://schemas.openxmlformats.org/officeDocument/2006/relationships/hyperlink" Target="https://www.tiktok.com/@sinbel28/video/7635538495209098504?_r=1&amp;u_code=d054de3ejd5k82&amp;region=&amp;mid=7512918623132928785&amp;preview_pb=0&amp;sharer_language=&amp;_d=0&amp;ec_shared_reflux_dynamic_params=%7B%22placeholder_material_id%22%3A%227635538495209098504%22%2C%22placeholder_origin_cover%22%3A%22https%253A%252F%252Fp16-sign-sg.tiktokcdn.com%252Ftos-alisg-p-0037%252FocIM20vCwAbo0wIr2dIAjiiAh4B2nfAyFvFudu~tplv-tiktokx-origin.jpeg%253Fdr%253D14572%2526refresh_token%253D6186005d%2526x-expires%253D1809504000%2526x-signature%253DL1ddkUY7CiODd%25252BR%25252F4vy89fMwxCM%25253D%2526t%253D4d5b0474%2526ps%253D13740610%2526shp%253Dd05b14bd%2526shcp%253D34ff8df6%2526idc%253Dmy%2526s%253DTIKTOK_AFFILIATE_VIRAL_VIDEO%22%2C%22placeholder_product_id%22%3A%221729427766722726591%22%2C%22placeholder_video_id%22%3A%227635538495209098504%22%7D&amp;ec_shared_reflux_scene=shop_tab_feed&amp;share_item_id=7635538495209098504&amp;source=h5_t" TargetMode="External"/><Relationship Id="rId5388" Type="http://schemas.openxmlformats.org/officeDocument/2006/relationships/hyperlink" Target="https://www.tiktok.com/@dearmcp" TargetMode="External"/><Relationship Id="rId4057" Type="http://schemas.openxmlformats.org/officeDocument/2006/relationships/hyperlink" Target="https://www.tiktok.com/@amdwt_" TargetMode="External"/><Relationship Id="rId5385" Type="http://schemas.openxmlformats.org/officeDocument/2006/relationships/hyperlink" Target="https://vt.tiktok.com/ZS9BvQ845/" TargetMode="External"/><Relationship Id="rId4056" Type="http://schemas.openxmlformats.org/officeDocument/2006/relationships/hyperlink" Target="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eholder_origin_cover%22%3A%22https%253A%252F%252Fp16-common-sign.tiktokcdn.com%252Ftos-alisg-p-0037%252FoofGYgAmBbnFT6RIAFbW9wtri2J2nG45efAfun~tplv-tiktokx-origin.jpeg%253Fdr%253D14572%2526refresh_token%253D9aec4cb5%2526x-expires%253D1809504000%2526x-signature%253DvctWyysZiUs5n87SRHe%25252BG3XeDeI%25253D%2526t%253D4d5b0474%2526ps%253D13740610%2526shp%253Dd05b14bd%2526shcp%253D34ff8df6%2526idc%253Dmy%2526s%253DTIKTOK_AFFILIATE_VIRAL_VIDEO%22%2C%22placeholder_product_id%22%3A%221729427766722726591%22%2C%22placeholder_video_id%22%3A%227635544313203576082%22%7D&amp;ec_shared_reflux_scene=shop_tab_feed&amp;share_item_id=7635544313203576082&amp;source=h5_t" TargetMode="External"/><Relationship Id="rId5386" Type="http://schemas.openxmlformats.org/officeDocument/2006/relationships/hyperlink" Target="https://vt.tiktok.com/ZS9SMWJBS/" TargetMode="External"/><Relationship Id="rId4059" Type="http://schemas.openxmlformats.org/officeDocument/2006/relationships/hyperlink" Target="https://vt.tiktok.com/ZS9xsmftR/" TargetMode="External"/><Relationship Id="rId4058" Type="http://schemas.openxmlformats.org/officeDocument/2006/relationships/hyperlink" Target="https://vt.tiktok.com/ZS9xsCevJ/" TargetMode="External"/><Relationship Id="rId5389" Type="http://schemas.openxmlformats.org/officeDocument/2006/relationships/hyperlink" Target="https://vt.tiktok.com/ZS9YHXyNm/" TargetMode="External"/><Relationship Id="rId4008" Type="http://schemas.openxmlformats.org/officeDocument/2006/relationships/hyperlink" Target="https://www.tiktok.com/@hayndep" TargetMode="External"/><Relationship Id="rId4007" Type="http://schemas.openxmlformats.org/officeDocument/2006/relationships/hyperlink" Target="https://vt.tiktok.com/ZS9xs511n/" TargetMode="External"/><Relationship Id="rId5338" Type="http://schemas.openxmlformats.org/officeDocument/2006/relationships/hyperlink" Target="https://vt.tiktok.com/ZS9YHXyNm/" TargetMode="External"/><Relationship Id="rId6669" Type="http://schemas.openxmlformats.org/officeDocument/2006/relationships/hyperlink" Target="https://www.tiktok.com/@lidyazhop" TargetMode="External"/><Relationship Id="rId4009" Type="http://schemas.openxmlformats.org/officeDocument/2006/relationships/hyperlink" Target="https://vt.tiktok.com/ZS9kc7FPR/" TargetMode="External"/><Relationship Id="rId5339" Type="http://schemas.openxmlformats.org/officeDocument/2006/relationships/hyperlink" Target="https://vt.tiktok.com/ZS9BvQ845/" TargetMode="External"/><Relationship Id="rId271" Type="http://schemas.openxmlformats.org/officeDocument/2006/relationships/hyperlink" Target="https://vt.tiktok.com/ZSmtv45Y9/" TargetMode="External"/><Relationship Id="rId270" Type="http://schemas.openxmlformats.org/officeDocument/2006/relationships/hyperlink" Target="https://www.tiktok.com/@putri.antris" TargetMode="External"/><Relationship Id="rId269" Type="http://schemas.openxmlformats.org/officeDocument/2006/relationships/hyperlink" Target="https://www.tiktok.com/@yaniramadhani3/video/7631027588877651207?_r=1&amp;u_code=d9fflkigeh8jd7&amp;region=&amp;mid=7587297958270454535&amp;preview_pb=0&amp;sharer_language=&amp;_d=0&amp;ec_shared_reflux_dynamic_params=%7B%22placeholder_material_id%22%3A%227631027588877651207%22%2C%22placeholder_origin_cover%22%3A%22https%253A%252F%252Fp16-common-sign.tiktokcdn.com%252Ftos-alisg-p-0037%252FoEAGGmQNynng4F1EbfY2NgTeQmtGgtuAXceRge~tplv-tiktokx-origin.jpeg%253Fdr%253D14572%2526refresh_token%253Dd506f584%2526x-expires%253D1809507600%2526x-signature%253DxTI1TxdhzmTbMvwoP3sM1o3AgU4%25253D%2526t%253D4d5b0474%2526ps%253D13740610%2526shp%253Dd05b14bd%2526shcp%253D34ff8df6%2526idc%253Dmy%2526s%253DTIKTOK_AFFILIATE_VIRAL_VIDEO%22%2C%22placeholder_product_id%22%3A%221729427766722726591%22%2C%22placeholder_video_id%22%3A%227631027588877651207%22%7D&amp;ec_shared_reflux_scene=shop_tab_feed&amp;share_item_id=7631027588877651207&amp;source=h5_t" TargetMode="External"/><Relationship Id="rId7991" Type="http://schemas.openxmlformats.org/officeDocument/2006/relationships/hyperlink" Target="https://www.tiktok.com/@ny.aldihad" TargetMode="External"/><Relationship Id="rId6660" Type="http://schemas.openxmlformats.org/officeDocument/2006/relationships/hyperlink" Target="https://vt.tiktok.com/ZSxH1mytA/" TargetMode="External"/><Relationship Id="rId7990" Type="http://schemas.openxmlformats.org/officeDocument/2006/relationships/hyperlink" Target="https://vt.tiktok.com/ZSxHaCDq4/" TargetMode="External"/><Relationship Id="rId264" Type="http://schemas.openxmlformats.org/officeDocument/2006/relationships/hyperlink" Target="https://vt.tiktok.com/ZSuBh72D4/" TargetMode="External"/><Relationship Id="rId4000" Type="http://schemas.openxmlformats.org/officeDocument/2006/relationships/hyperlink" Target="https://vt.tiktok.com/ZS9fdDfYR/" TargetMode="External"/><Relationship Id="rId5332" Type="http://schemas.openxmlformats.org/officeDocument/2006/relationships/hyperlink" Target="https://www.tiktok.com/@reskaond_" TargetMode="External"/><Relationship Id="rId6663" Type="http://schemas.openxmlformats.org/officeDocument/2006/relationships/hyperlink" Target="https://vt.tiktok.com/ZSxQhfTPM/" TargetMode="External"/><Relationship Id="rId7995" Type="http://schemas.openxmlformats.org/officeDocument/2006/relationships/hyperlink" Target="https://vt.tiktok.com/ZSxHaS3Gu/" TargetMode="External"/><Relationship Id="rId263" Type="http://schemas.openxmlformats.org/officeDocument/2006/relationships/hyperlink" Target="https://vt.tiktok.com/ZSmBy62Gr/" TargetMode="External"/><Relationship Id="rId5333" Type="http://schemas.openxmlformats.org/officeDocument/2006/relationships/hyperlink" Target="https://vt.tiktok.com/ZS9YHXyNm/" TargetMode="External"/><Relationship Id="rId6664" Type="http://schemas.openxmlformats.org/officeDocument/2006/relationships/hyperlink" Target="https://www.tiktok.com/@mochiberrybee" TargetMode="External"/><Relationship Id="rId7994" Type="http://schemas.openxmlformats.org/officeDocument/2006/relationships/hyperlink" Target="https://vt.tiktok.com/ZSxHaBLcK/" TargetMode="External"/><Relationship Id="rId262" Type="http://schemas.openxmlformats.org/officeDocument/2006/relationships/hyperlink" Target="https://www.tiktok.com/@ica17898" TargetMode="External"/><Relationship Id="rId4002" Type="http://schemas.openxmlformats.org/officeDocument/2006/relationships/hyperlink" Target="https://vt.tiktok.com/ZS9fdACbo/" TargetMode="External"/><Relationship Id="rId5330" Type="http://schemas.openxmlformats.org/officeDocument/2006/relationships/hyperlink" Target="https://vt.tiktok.com/ZS9SMWJBS/" TargetMode="External"/><Relationship Id="rId6661" Type="http://schemas.openxmlformats.org/officeDocument/2006/relationships/hyperlink" Target="https://vt.tiktok.com/ZSxH1xGfU/" TargetMode="External"/><Relationship Id="rId7993" Type="http://schemas.openxmlformats.org/officeDocument/2006/relationships/hyperlink" Target="https://vt.tiktok.com/ZSxupt6Ks/" TargetMode="External"/><Relationship Id="rId261" Type="http://schemas.openxmlformats.org/officeDocument/2006/relationships/hyperlink" Target="https://vt.tiktok.com/ZSmnhyeFe/" TargetMode="External"/><Relationship Id="rId4001" Type="http://schemas.openxmlformats.org/officeDocument/2006/relationships/hyperlink" Target="https://vt.tiktok.com/ZS9fdFc96/" TargetMode="External"/><Relationship Id="rId5331" Type="http://schemas.openxmlformats.org/officeDocument/2006/relationships/hyperlink" Target="https://vt.tiktok.com/ZS9Sh4LUQ/" TargetMode="External"/><Relationship Id="rId6662" Type="http://schemas.openxmlformats.org/officeDocument/2006/relationships/hyperlink" Target="https://vt.tiktok.com/ZSxQhkemB/" TargetMode="External"/><Relationship Id="rId7992" Type="http://schemas.openxmlformats.org/officeDocument/2006/relationships/hyperlink" Target="https://vt.tiktok.com/ZSx21VwBg/" TargetMode="External"/><Relationship Id="rId268" Type="http://schemas.openxmlformats.org/officeDocument/2006/relationships/hyperlink" Target="https://vt.tiktok.com/ZSmU8Ekdj/" TargetMode="External"/><Relationship Id="rId4004" Type="http://schemas.openxmlformats.org/officeDocument/2006/relationships/hyperlink" Target="https://www.tiktok.com/@fanycpltr" TargetMode="External"/><Relationship Id="rId5336" Type="http://schemas.openxmlformats.org/officeDocument/2006/relationships/hyperlink" Target="https://vt.tiktok.com/ZS9Sh4LUQ/" TargetMode="External"/><Relationship Id="rId6667" Type="http://schemas.openxmlformats.org/officeDocument/2006/relationships/hyperlink" Target=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" TargetMode="External"/><Relationship Id="rId7999" Type="http://schemas.openxmlformats.org/officeDocument/2006/relationships/hyperlink" Target="https://vt.tiktok.com/ZSxHayYgs/" TargetMode="External"/><Relationship Id="rId267" Type="http://schemas.openxmlformats.org/officeDocument/2006/relationships/hyperlink" Target="https://www.tiktok.com/@annisaap__" TargetMode="External"/><Relationship Id="rId4003" Type="http://schemas.openxmlformats.org/officeDocument/2006/relationships/hyperlink" Target="https://vt.tiktok.com/ZS9fLURSv/" TargetMode="External"/><Relationship Id="rId5337" Type="http://schemas.openxmlformats.org/officeDocument/2006/relationships/hyperlink" Target="https://www.tiktok.com/@kylaaagirl" TargetMode="External"/><Relationship Id="rId6668" Type="http://schemas.openxmlformats.org/officeDocument/2006/relationships/hyperlink" Target="https://vt.tiktok.com/ZS9Tk6Pm9/" TargetMode="External"/><Relationship Id="rId7998" Type="http://schemas.openxmlformats.org/officeDocument/2006/relationships/hyperlink" Target="https://vt.tiktok.com/ZSxNHWqR6/" TargetMode="External"/><Relationship Id="rId266" Type="http://schemas.openxmlformats.org/officeDocument/2006/relationships/hyperlink" Target="https://vt.tiktok.com/ZS9X4uHy1/" TargetMode="External"/><Relationship Id="rId4006" Type="http://schemas.openxmlformats.org/officeDocument/2006/relationships/hyperlink" Target="https://vt.tiktok.com/ZS9SQxX4b/" TargetMode="External"/><Relationship Id="rId5334" Type="http://schemas.openxmlformats.org/officeDocument/2006/relationships/hyperlink" Target="https://vt.tiktok.com/ZS9BvQ845/" TargetMode="External"/><Relationship Id="rId6665" Type="http://schemas.openxmlformats.org/officeDocument/2006/relationships/hyperlink" Target="https://vt.tiktok.com/ZS9ug9T9Y/" TargetMode="External"/><Relationship Id="rId7997" Type="http://schemas.openxmlformats.org/officeDocument/2006/relationships/hyperlink" Target="https://vt.tiktok.com/ZSxNH9Ed3/" TargetMode="External"/><Relationship Id="rId265" Type="http://schemas.openxmlformats.org/officeDocument/2006/relationships/hyperlink" Target="https://www.tiktok.com/@ica17898/video/7625515830645738772" TargetMode="External"/><Relationship Id="rId4005" Type="http://schemas.openxmlformats.org/officeDocument/2006/relationships/hyperlink" Target="https://www.tiktok.com/@indahsafira90" TargetMode="External"/><Relationship Id="rId5335" Type="http://schemas.openxmlformats.org/officeDocument/2006/relationships/hyperlink" Target="https://vt.tiktok.com/ZS9SMWJBS/" TargetMode="External"/><Relationship Id="rId6666" Type="http://schemas.openxmlformats.org/officeDocument/2006/relationships/hyperlink" Target="https://vt.tiktok.com/ZS9Q2QdNe/" TargetMode="External"/><Relationship Id="rId7996" Type="http://schemas.openxmlformats.org/officeDocument/2006/relationships/hyperlink" Target="https://www.tiktok.com/@co.byaa1" TargetMode="External"/><Relationship Id="rId5329" Type="http://schemas.openxmlformats.org/officeDocument/2006/relationships/hyperlink" Target="https://vt.tiktok.com/ZS9BvQ845/" TargetMode="External"/><Relationship Id="rId5327" Type="http://schemas.openxmlformats.org/officeDocument/2006/relationships/hyperlink" Target="https://www.tiktok.com/@aleira_id" TargetMode="External"/><Relationship Id="rId6658" Type="http://schemas.openxmlformats.org/officeDocument/2006/relationships/hyperlink" Target="https://vt.tiktok.com/ZS9Tk6Pm9/" TargetMode="External"/><Relationship Id="rId5328" Type="http://schemas.openxmlformats.org/officeDocument/2006/relationships/hyperlink" Target="https://vt.tiktok.com/ZS9YHXyNm/" TargetMode="External"/><Relationship Id="rId6659" Type="http://schemas.openxmlformats.org/officeDocument/2006/relationships/hyperlink" Target="https://www.tiktok.com/@hellonovyy" TargetMode="External"/><Relationship Id="rId7989" Type="http://schemas.openxmlformats.org/officeDocument/2006/relationships/hyperlink" Target="https://vt.tiktok.com/ZSxHabTGx/" TargetMode="External"/><Relationship Id="rId260" Type="http://schemas.openxmlformats.org/officeDocument/2006/relationships/hyperlink" Target="https://vt.tiktok.com/ZSmQbHVPX/" TargetMode="External"/><Relationship Id="rId259" Type="http://schemas.openxmlformats.org/officeDocument/2006/relationships/hyperlink" Target="https://vt.tiktok.com/ZSmDE9AK3/" TargetMode="External"/><Relationship Id="rId258" Type="http://schemas.openxmlformats.org/officeDocument/2006/relationships/hyperlink" Target="https://vt.tiktok.com/ZSmDEfpkU/" TargetMode="External"/><Relationship Id="rId7980" Type="http://schemas.openxmlformats.org/officeDocument/2006/relationships/hyperlink" Target="https://vt.tiktok.com/ZSxHab7L8/" TargetMode="External"/><Relationship Id="rId253" Type="http://schemas.openxmlformats.org/officeDocument/2006/relationships/hyperlink" Target="https://vt.tiktok.com/ZSmsvBG63/" TargetMode="External"/><Relationship Id="rId5321" Type="http://schemas.openxmlformats.org/officeDocument/2006/relationships/hyperlink" Target="https://vt.tiktok.com/ZS9Sh4LUQ/" TargetMode="External"/><Relationship Id="rId6652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7984" Type="http://schemas.openxmlformats.org/officeDocument/2006/relationships/hyperlink" Target="https://vt.tiktok.com/ZSxHaXk9Y/" TargetMode="External"/><Relationship Id="rId252" Type="http://schemas.openxmlformats.org/officeDocument/2006/relationships/hyperlink" Target="https://vt.tiktok.com/ZSmnL2eaG/" TargetMode="External"/><Relationship Id="rId5322" Type="http://schemas.openxmlformats.org/officeDocument/2006/relationships/hyperlink" Target="https://www.tiktok.com/@afifanesta" TargetMode="External"/><Relationship Id="rId6653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7983" Type="http://schemas.openxmlformats.org/officeDocument/2006/relationships/hyperlink" Target="https://vt.tiktok.com/ZSxdpVaau/" TargetMode="External"/><Relationship Id="rId251" Type="http://schemas.openxmlformats.org/officeDocument/2006/relationships/hyperlink" Target="https://www.tiktok.com/@khoiraisyah2" TargetMode="External"/><Relationship Id="rId6650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7982" Type="http://schemas.openxmlformats.org/officeDocument/2006/relationships/hyperlink" Target="https://vt.tiktok.com/ZSxdpSNQr/" TargetMode="External"/><Relationship Id="rId250" Type="http://schemas.openxmlformats.org/officeDocument/2006/relationships/hyperlink" Target="https://www.tiktok.com/@ibu_ninnda/video/7613312493716327687?is_from_webapp=1&amp;sender_device=pc" TargetMode="External"/><Relationship Id="rId5320" Type="http://schemas.openxmlformats.org/officeDocument/2006/relationships/hyperlink" Target="https://vt.tiktok.com/ZS9SMWJBS/" TargetMode="External"/><Relationship Id="rId6651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7981" Type="http://schemas.openxmlformats.org/officeDocument/2006/relationships/hyperlink" Target="https://www.tiktok.com/@disasalsabila00" TargetMode="External"/><Relationship Id="rId257" Type="http://schemas.openxmlformats.org/officeDocument/2006/relationships/hyperlink" Target="https://www.tiktok.com/@.anismarsela14" TargetMode="External"/><Relationship Id="rId5325" Type="http://schemas.openxmlformats.org/officeDocument/2006/relationships/hyperlink" Target="https://vt.tiktok.com/ZS9SMWJBS/" TargetMode="External"/><Relationship Id="rId6656" Type="http://schemas.openxmlformats.org/officeDocument/2006/relationships/hyperlink" Target="https://vt.tiktok.com/ZS9Q2QdNe/" TargetMode="External"/><Relationship Id="rId7988" Type="http://schemas.openxmlformats.org/officeDocument/2006/relationships/hyperlink" Target="https://vt.tiktok.com/ZSxMWFq9o/" TargetMode="External"/><Relationship Id="rId256" Type="http://schemas.openxmlformats.org/officeDocument/2006/relationships/hyperlink" Target="https://www.tiktok.com/@kakrere22" TargetMode="External"/><Relationship Id="rId5326" Type="http://schemas.openxmlformats.org/officeDocument/2006/relationships/hyperlink" Target="https://vt.tiktok.com/ZS9Sh4LUQ/" TargetMode="External"/><Relationship Id="rId6657" Type="http://schemas.openxmlformats.org/officeDocument/2006/relationships/hyperlink" Target=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" TargetMode="External"/><Relationship Id="rId7987" Type="http://schemas.openxmlformats.org/officeDocument/2006/relationships/hyperlink" Target="https://vt.tiktok.com/ZSxYm5vkj/" TargetMode="External"/><Relationship Id="rId255" Type="http://schemas.openxmlformats.org/officeDocument/2006/relationships/hyperlink" Target="https://vt.tiktok.com/ZSm3axSco/" TargetMode="External"/><Relationship Id="rId5323" Type="http://schemas.openxmlformats.org/officeDocument/2006/relationships/hyperlink" Target="https://vt.tiktok.com/ZS9YHXyNm/" TargetMode="External"/><Relationship Id="rId6654" Type="http://schemas.openxmlformats.org/officeDocument/2006/relationships/hyperlink" Target="https://www.tiktok.com/@mbk_ye" TargetMode="External"/><Relationship Id="rId7986" Type="http://schemas.openxmlformats.org/officeDocument/2006/relationships/hyperlink" Target="https://www.tiktok.com/@audriaa14" TargetMode="External"/><Relationship Id="rId254" Type="http://schemas.openxmlformats.org/officeDocument/2006/relationships/hyperlink" Target="https://vt.tiktok.com/ZSm7J6n1B/" TargetMode="External"/><Relationship Id="rId5324" Type="http://schemas.openxmlformats.org/officeDocument/2006/relationships/hyperlink" Target="https://vt.tiktok.com/ZS9BvQ845/" TargetMode="External"/><Relationship Id="rId6655" Type="http://schemas.openxmlformats.org/officeDocument/2006/relationships/hyperlink" Target="https://vt.tiktok.com/ZS9ug9T9Y/" TargetMode="External"/><Relationship Id="rId7985" Type="http://schemas.openxmlformats.org/officeDocument/2006/relationships/hyperlink" Target="https://vt.tiktok.com/ZSxHaaM3x/" TargetMode="External"/><Relationship Id="rId4029" Type="http://schemas.openxmlformats.org/officeDocument/2006/relationships/hyperlink" Target="https://vt.tiktok.com/ZS9xsmftR/" TargetMode="External"/><Relationship Id="rId293" Type="http://schemas.openxmlformats.org/officeDocument/2006/relationships/hyperlink" Target="https://www.tiktok.com/@auliaaaa3" TargetMode="External"/><Relationship Id="rId292" Type="http://schemas.openxmlformats.org/officeDocument/2006/relationships/hyperlink" Target="https://vt.tiktok.com/ZS9X4rTV7/" TargetMode="External"/><Relationship Id="rId291" Type="http://schemas.openxmlformats.org/officeDocument/2006/relationships/hyperlink" Target="https://vt.tiktok.com/ZS9X4assB/" TargetMode="External"/><Relationship Id="rId290" Type="http://schemas.openxmlformats.org/officeDocument/2006/relationships/hyperlink" Target="https://vt.tiktok.com/ZSmBkSerC/" TargetMode="External"/><Relationship Id="rId5350" Type="http://schemas.openxmlformats.org/officeDocument/2006/relationships/hyperlink" Target="https://vt.tiktok.com/ZS9SMWJBS/" TargetMode="External"/><Relationship Id="rId6681" Type="http://schemas.openxmlformats.org/officeDocument/2006/relationships/hyperlink" Target="https://vt.tiktok.com/ZS9Q2QdNe/" TargetMode="External"/><Relationship Id="rId5351" Type="http://schemas.openxmlformats.org/officeDocument/2006/relationships/hyperlink" Target="https://vt.tiktok.com/ZS9Sh4LUQ/" TargetMode="External"/><Relationship Id="rId6682" Type="http://schemas.openxmlformats.org/officeDocument/2006/relationships/hyperlink" Target=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" TargetMode="External"/><Relationship Id="rId4020" Type="http://schemas.openxmlformats.org/officeDocument/2006/relationships/hyperlink" Target="https://www.tiktok.com/@zilasamudra/video/7633415000308092173" TargetMode="External"/><Relationship Id="rId6680" Type="http://schemas.openxmlformats.org/officeDocument/2006/relationships/hyperlink" Target="https://vt.tiktok.com/ZS9ug9T9Y/" TargetMode="External"/><Relationship Id="rId286" Type="http://schemas.openxmlformats.org/officeDocument/2006/relationships/hyperlink" Target="https://www.tiktok.com/@demaristhaa_" TargetMode="External"/><Relationship Id="rId4022" Type="http://schemas.openxmlformats.org/officeDocument/2006/relationships/hyperlink" Target="https://www.tiktok.com/@sifa.sipol" TargetMode="External"/><Relationship Id="rId5354" Type="http://schemas.openxmlformats.org/officeDocument/2006/relationships/hyperlink" Target="https://vt.tiktok.com/ZS9BvQ845/" TargetMode="External"/><Relationship Id="rId6685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285" Type="http://schemas.openxmlformats.org/officeDocument/2006/relationships/hyperlink" Target="https://vt.tiktok.com/ZSmX9ngKU/" TargetMode="External"/><Relationship Id="rId4021" Type="http://schemas.openxmlformats.org/officeDocument/2006/relationships/hyperlink" Target="https://www.tiktok.com/@zilasamudra/video/7633641614350601486" TargetMode="External"/><Relationship Id="rId5355" Type="http://schemas.openxmlformats.org/officeDocument/2006/relationships/hyperlink" Target="https://vt.tiktok.com/ZS9SMWJBS/" TargetMode="External"/><Relationship Id="rId6686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284" Type="http://schemas.openxmlformats.org/officeDocument/2006/relationships/hyperlink" Target="https://vt.tiktok.com/ZSmU8hdrP/" TargetMode="External"/><Relationship Id="rId4024" Type="http://schemas.openxmlformats.org/officeDocument/2006/relationships/hyperlink" Target="https://www.tiktok.com/@sinbel28/video/7635538495209098504?_r=1&amp;u_code=d054de3ejd5k82&amp;region=&amp;mid=7512918623132928785&amp;preview_pb=0&amp;sharer_language=&amp;_d=0&amp;ec_shared_reflux_dynamic_params=%7B%22placeholder_material_id%22%3A%227635538495209098504%22%2C%22placeholder_origin_cover%22%3A%22https%253A%252F%252Fp16-sign-sg.tiktokcdn.com%252Ftos-alisg-p-0037%252FocIM20vCwAbo0wIr2dIAjiiAh4B2nfAyFvFudu~tplv-tiktokx-origin.jpeg%253Fdr%253D14572%2526refresh_token%253D6186005d%2526x-expires%253D1809504000%2526x-signature%253DL1ddkUY7CiODd%25252BR%25252F4vy89fMwxCM%25253D%2526t%253D4d5b0474%2526ps%253D13740610%2526shp%253Dd05b14bd%2526shcp%253D34ff8df6%2526idc%253Dmy%2526s%253DTIKTOK_AFFILIATE_VIRAL_VIDEO%22%2C%22placeholder_product_id%22%3A%221729427766722726591%22%2C%22placeholder_video_id%22%3A%227635538495209098504%22%7D&amp;ec_shared_reflux_scene=shop_tab_feed&amp;share_item_id=7635538495209098504&amp;source=h5_t" TargetMode="External"/><Relationship Id="rId5352" Type="http://schemas.openxmlformats.org/officeDocument/2006/relationships/hyperlink" Target="https://www.tiktok.com/@namiraml" TargetMode="External"/><Relationship Id="rId6683" Type="http://schemas.openxmlformats.org/officeDocument/2006/relationships/hyperlink" Target="https://vt.tiktok.com/ZS9Tk6Pm9/" TargetMode="External"/><Relationship Id="rId283" Type="http://schemas.openxmlformats.org/officeDocument/2006/relationships/hyperlink" Target="https://vt.tiktok.com/ZSmFhnpy6/" TargetMode="External"/><Relationship Id="rId4023" Type="http://schemas.openxmlformats.org/officeDocument/2006/relationships/hyperlink" Target="https://www.tiktok.com/@sinbel28/video/7635536996043197714?_r=1&amp;u_code=d054de3ejd5k82&amp;region=&amp;mid=7221264024289086214&amp;preview_pb=0&amp;sharer_language=&amp;_d=0&amp;ec_shared_reflux_dynamic_params=%7B%22placeholder_material_id%22%3A%227635536996043197714%22%2C%22placeholder_origin_cover%22%3A%22https%253A%252F%252Fp16-common-sign.tiktokcdn.com%252Ftos-alisg-p-0037%252Foc8jA5A2IiQJmQqB34pE2BHBeIWMctNfgAhi3R~tplv-tiktokx-origin.jpeg%253Fdr%253D14572%2526refresh_token%253Dc5efa4b1%2526x-expires%253D1809504000%2526x-signature%253DQLJGOxa87jVhMZq4pBgMQaEnDX4%25253D%2526t%253D4d5b0474%2526ps%253D13740610%2526shp%253Dd05b14bd%2526shcp%253D34ff8df6%2526idc%253Dmy%2526s%253DTIKTOK_AFFILIATE_VIRAL_VIDEO%22%2C%22placeholder_product_id%22%3A%221729427766722726591%22%2C%22placeholder_video_id%22%3A%227635536996043197714%22%7D&amp;ec_shared_reflux_scene=shop_tab_feed&amp;share_item_id=7635536996043197714&amp;source=h5_t" TargetMode="External"/><Relationship Id="rId5353" Type="http://schemas.openxmlformats.org/officeDocument/2006/relationships/hyperlink" Target="https://vt.tiktok.com/ZS9YHXyNm/" TargetMode="External"/><Relationship Id="rId6684" Type="http://schemas.openxmlformats.org/officeDocument/2006/relationships/hyperlink" Target="https://www.tiktok.com/@aisulistiaaolshop" TargetMode="External"/><Relationship Id="rId4026" Type="http://schemas.openxmlformats.org/officeDocument/2006/relationships/hyperlink" Target="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eholder_origin_cover%22%3A%22https%253A%252F%252Fp16-common-sign.tiktokcdn.com%252Ftos-alisg-p-0037%252FoofGYgAmBbnFT6RIAFbW9wtri2J2nG45efAfun~tplv-tiktokx-origin.jpeg%253Fdr%253D14572%2526refresh_token%253D9aec4cb5%2526x-expires%253D1809504000%2526x-signature%253DvctWyysZiUs5n87SRHe%25252BG3XeDeI%25253D%2526t%253D4d5b0474%2526ps%253D13740610%2526shp%253Dd05b14bd%2526shcp%253D34ff8df6%2526idc%253Dmy%2526s%253DTIKTOK_AFFILIATE_VIRAL_VIDEO%22%2C%22placeholder_product_id%22%3A%221729427766722726591%22%2C%22placeholder_video_id%22%3A%227635544313203576082%22%7D&amp;ec_shared_reflux_scene=shop_tab_feed&amp;share_item_id=7635544313203576082&amp;source=h5_t" TargetMode="External"/><Relationship Id="rId5358" Type="http://schemas.openxmlformats.org/officeDocument/2006/relationships/hyperlink" Target="https://vt.tiktok.com/ZS9UKBadU/" TargetMode="External"/><Relationship Id="rId6689" Type="http://schemas.openxmlformats.org/officeDocument/2006/relationships/hyperlink" Target="https://www.tiktok.com/@nurma.yunita595" TargetMode="External"/><Relationship Id="rId289" Type="http://schemas.openxmlformats.org/officeDocument/2006/relationships/hyperlink" Target="https://vt.tiktok.com/ZSm2BpkuX/" TargetMode="External"/><Relationship Id="rId4025" Type="http://schemas.openxmlformats.org/officeDocument/2006/relationships/hyperlink" Target="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eholder_origin_cover%22%3A%22https%253A%252F%252Fp16-common-sign.tiktokcdn.com%252Ftos-alisg-p-0037%252FosGxxDBwTfDJxuTtCzLIAbGVI7Aj4f9ggQey4c~tplv-tiktokx-origin.jpeg%253Fdr%253D14572%2526refresh_token%253D8a3c5d69%2526x-expires%253D1809504000%2526x-signature%253DlASmPH53f5P2NU2PkB05ZaXJVsk%25253D%2526t%253D4d5b0474%2526ps%253D13740610%2526shp%253Dd05b14bd%2526shcp%253D34ff8df6%2526idc%253Dmy%2526s%253DTIKTOK_AFFILIATE_VIRAL_VIDEO%22%2C%22placeholder_product_id%22%3A%221729427766722726591%22%2C%22placeholder_video_id%22%3A%227635540386219396360%22%7D&amp;ec_shared_reflux_scene=shop_tab_feed&amp;share_item_id=7635540386219396360&amp;source=h5_t" TargetMode="External"/><Relationship Id="rId5359" Type="http://schemas.openxmlformats.org/officeDocument/2006/relationships/hyperlink" Target="https://vt.tiktok.com/ZS9bnEJPH/" TargetMode="External"/><Relationship Id="rId288" Type="http://schemas.openxmlformats.org/officeDocument/2006/relationships/hyperlink" Target="https://www.tiktok.com/@apriliakartiningsih" TargetMode="External"/><Relationship Id="rId4028" Type="http://schemas.openxmlformats.org/officeDocument/2006/relationships/hyperlink" Target="https://vt.tiktok.com/ZS9xsCevJ/" TargetMode="External"/><Relationship Id="rId5356" Type="http://schemas.openxmlformats.org/officeDocument/2006/relationships/hyperlink" Target="https://vt.tiktok.com/ZS9Sh4LUQ/" TargetMode="External"/><Relationship Id="rId6687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287" Type="http://schemas.openxmlformats.org/officeDocument/2006/relationships/hyperlink" Target="https://vt.tiktok.com/ZSmy9x1eB/" TargetMode="External"/><Relationship Id="rId4027" Type="http://schemas.openxmlformats.org/officeDocument/2006/relationships/hyperlink" Target="https://www.tiktok.com/@andiniii172" TargetMode="External"/><Relationship Id="rId5357" Type="http://schemas.openxmlformats.org/officeDocument/2006/relationships/hyperlink" Target="https://www.tiktok.com/@emah229" TargetMode="External"/><Relationship Id="rId6688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4019" Type="http://schemas.openxmlformats.org/officeDocument/2006/relationships/hyperlink" Target="https://vt.tiktok.com/ZS9xsmftR/" TargetMode="External"/><Relationship Id="rId4018" Type="http://schemas.openxmlformats.org/officeDocument/2006/relationships/hyperlink" Target="https://vt.tiktok.com/ZS9xsCevJ/" TargetMode="External"/><Relationship Id="rId5349" Type="http://schemas.openxmlformats.org/officeDocument/2006/relationships/hyperlink" Target="https://vt.tiktok.com/ZS9BvQ845/" TargetMode="External"/><Relationship Id="rId282" Type="http://schemas.openxmlformats.org/officeDocument/2006/relationships/hyperlink" Target="https://www.tiktok.com/@liayulianti1278/video/7604656178970365204" TargetMode="External"/><Relationship Id="rId281" Type="http://schemas.openxmlformats.org/officeDocument/2006/relationships/hyperlink" Target="https://www.tiktok.com/@liayulianti1278" TargetMode="External"/><Relationship Id="rId280" Type="http://schemas.openxmlformats.org/officeDocument/2006/relationships/hyperlink" Target="https://vt.tiktok.com/ZSmFDnK6Q/" TargetMode="External"/><Relationship Id="rId6670" Type="http://schemas.openxmlformats.org/officeDocument/2006/relationships/hyperlink" Target="https://vt.tiktok.com/ZS9ug9T9Y/" TargetMode="External"/><Relationship Id="rId5340" Type="http://schemas.openxmlformats.org/officeDocument/2006/relationships/hyperlink" Target="https://vt.tiktok.com/ZS9SMWJBS/" TargetMode="External"/><Relationship Id="rId6671" Type="http://schemas.openxmlformats.org/officeDocument/2006/relationships/hyperlink" Target="https://vt.tiktok.com/ZS9Q2QdNe/" TargetMode="External"/><Relationship Id="rId275" Type="http://schemas.openxmlformats.org/officeDocument/2006/relationships/hyperlink" Target="https://www.tiktok.com/@pembawa_rezeqi/video/7607301206695791893?is_from_webapp=1&amp;sender_device=pc" TargetMode="External"/><Relationship Id="rId4011" Type="http://schemas.openxmlformats.org/officeDocument/2006/relationships/hyperlink" Target="https://vt.tiktok.com/ZS9Uje68C/" TargetMode="External"/><Relationship Id="rId5343" Type="http://schemas.openxmlformats.org/officeDocument/2006/relationships/hyperlink" Target="https://vt.tiktok.com/ZS9YHXyNm/" TargetMode="External"/><Relationship Id="rId6674" Type="http://schemas.openxmlformats.org/officeDocument/2006/relationships/hyperlink" Target="https://www.tiktok.com/@dewi130405" TargetMode="External"/><Relationship Id="rId274" Type="http://schemas.openxmlformats.org/officeDocument/2006/relationships/hyperlink" Target="https://www.tiktok.com/@pembawa_rezeqi" TargetMode="External"/><Relationship Id="rId4010" Type="http://schemas.openxmlformats.org/officeDocument/2006/relationships/hyperlink" Target="https://vt.tiktok.com/ZS9kcGUys/" TargetMode="External"/><Relationship Id="rId5344" Type="http://schemas.openxmlformats.org/officeDocument/2006/relationships/hyperlink" Target="https://vt.tiktok.com/ZS9BvQ845/" TargetMode="External"/><Relationship Id="rId6675" Type="http://schemas.openxmlformats.org/officeDocument/2006/relationships/hyperlink" Target="https://vt.tiktok.com/ZS9ug9T9Y/" TargetMode="External"/><Relationship Id="rId273" Type="http://schemas.openxmlformats.org/officeDocument/2006/relationships/hyperlink" Target="https://vt.tiktok.com/ZSuMvQL1A/" TargetMode="External"/><Relationship Id="rId4013" Type="http://schemas.openxmlformats.org/officeDocument/2006/relationships/hyperlink" Target="https://www.tiktok.com/@sinbel28/video/7635536996043197714?_r=1&amp;u_code=d054de3ejd5k82&amp;region=&amp;mid=7221264024289086214&amp;preview_pb=0&amp;sharer_language=&amp;_d=0&amp;ec_shared_reflux_dynamic_params=%7B%22placeholder_material_id%22%3A%227635536996043197714%22%2C%22placeholder_origin_cover%22%3A%22https%253A%252F%252Fp16-common-sign.tiktokcdn.com%252Ftos-alisg-p-0037%252Foc8jA5A2IiQJmQqB34pE2BHBeIWMctNfgAhi3R~tplv-tiktokx-origin.jpeg%253Fdr%253D14572%2526refresh_token%253Dc5efa4b1%2526x-expires%253D1809504000%2526x-signature%253DQLJGOxa87jVhMZq4pBgMQaEnDX4%25253D%2526t%253D4d5b0474%2526ps%253D13740610%2526shp%253Dd05b14bd%2526shcp%253D34ff8df6%2526idc%253Dmy%2526s%253DTIKTOK_AFFILIATE_VIRAL_VIDEO%22%2C%22placeholder_product_id%22%3A%221729427766722726591%22%2C%22placeholder_video_id%22%3A%227635536996043197714%22%7D&amp;ec_shared_reflux_scene=shop_tab_feed&amp;share_item_id=7635536996043197714&amp;source=h5_t" TargetMode="External"/><Relationship Id="rId5341" Type="http://schemas.openxmlformats.org/officeDocument/2006/relationships/hyperlink" Target="https://vt.tiktok.com/ZS9Sh4LUQ/" TargetMode="External"/><Relationship Id="rId6672" Type="http://schemas.openxmlformats.org/officeDocument/2006/relationships/hyperlink" Target=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" TargetMode="External"/><Relationship Id="rId272" Type="http://schemas.openxmlformats.org/officeDocument/2006/relationships/hyperlink" Target="https://vt.tiktok.com/ZSuMvAGRb/" TargetMode="External"/><Relationship Id="rId4012" Type="http://schemas.openxmlformats.org/officeDocument/2006/relationships/hyperlink" Target="https://www.tiktok.com/@mamaarsyashop" TargetMode="External"/><Relationship Id="rId5342" Type="http://schemas.openxmlformats.org/officeDocument/2006/relationships/hyperlink" Target="https://www.tiktok.com/@ardilasufi" TargetMode="External"/><Relationship Id="rId6673" Type="http://schemas.openxmlformats.org/officeDocument/2006/relationships/hyperlink" Target="https://vt.tiktok.com/ZS9Tk6Pm9/" TargetMode="External"/><Relationship Id="rId279" Type="http://schemas.openxmlformats.org/officeDocument/2006/relationships/hyperlink" Target="https://www.tiktok.com/@arsykhumairah27" TargetMode="External"/><Relationship Id="rId4015" Type="http://schemas.openxmlformats.org/officeDocument/2006/relationships/hyperlink" Target="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eholder_origin_cover%22%3A%22https%253A%252F%252Fp16-common-sign.tiktokcdn.com%252Ftos-alisg-p-0037%252FosGxxDBwTfDJxuTtCzLIAbGVI7Aj4f9ggQey4c~tplv-tiktokx-origin.jpeg%253Fdr%253D14572%2526refresh_token%253D8a3c5d69%2526x-expires%253D1809504000%2526x-signature%253DlASmPH53f5P2NU2PkB05ZaXJVsk%25253D%2526t%253D4d5b0474%2526ps%253D13740610%2526shp%253Dd05b14bd%2526shcp%253D34ff8df6%2526idc%253Dmy%2526s%253DTIKTOK_AFFILIATE_VIRAL_VIDEO%22%2C%22placeholder_product_id%22%3A%221729427766722726591%22%2C%22placeholder_video_id%22%3A%227635540386219396360%22%7D&amp;ec_shared_reflux_scene=shop_tab_feed&amp;share_item_id=7635540386219396360&amp;source=h5_t" TargetMode="External"/><Relationship Id="rId5347" Type="http://schemas.openxmlformats.org/officeDocument/2006/relationships/hyperlink" Target="https://www.tiktok.com/@annatasia18" TargetMode="External"/><Relationship Id="rId6678" Type="http://schemas.openxmlformats.org/officeDocument/2006/relationships/hyperlink" Target="https://vt.tiktok.com/ZS9Tk6Pm9/" TargetMode="External"/><Relationship Id="rId278" Type="http://schemas.openxmlformats.org/officeDocument/2006/relationships/hyperlink" Target="https://www.tiktok.com/@klambi.jo/video/7620619295994793237?is_from_webapp=1&amp;sender_device=pc" TargetMode="External"/><Relationship Id="rId4014" Type="http://schemas.openxmlformats.org/officeDocument/2006/relationships/hyperlink" Target="https://www.tiktok.com/@sinbel28/video/7635538495209098504?_r=1&amp;u_code=d054de3ejd5k82&amp;region=&amp;mid=7512918623132928785&amp;preview_pb=0&amp;sharer_language=&amp;_d=0&amp;ec_shared_reflux_dynamic_params=%7B%22placeholder_material_id%22%3A%227635538495209098504%22%2C%22placeholder_origin_cover%22%3A%22https%253A%252F%252Fp16-sign-sg.tiktokcdn.com%252Ftos-alisg-p-0037%252FocIM20vCwAbo0wIr2dIAjiiAh4B2nfAyFvFudu~tplv-tiktokx-origin.jpeg%253Fdr%253D14572%2526refresh_token%253D6186005d%2526x-expires%253D1809504000%2526x-signature%253DL1ddkUY7CiODd%25252BR%25252F4vy89fMwxCM%25253D%2526t%253D4d5b0474%2526ps%253D13740610%2526shp%253Dd05b14bd%2526shcp%253D34ff8df6%2526idc%253Dmy%2526s%253DTIKTOK_AFFILIATE_VIRAL_VIDEO%22%2C%22placeholder_product_id%22%3A%221729427766722726591%22%2C%22placeholder_video_id%22%3A%227635538495209098504%22%7D&amp;ec_shared_reflux_scene=shop_tab_feed&amp;share_item_id=7635538495209098504&amp;source=h5_t" TargetMode="External"/><Relationship Id="rId5348" Type="http://schemas.openxmlformats.org/officeDocument/2006/relationships/hyperlink" Target="https://vt.tiktok.com/ZS9YHXyNm/" TargetMode="External"/><Relationship Id="rId6679" Type="http://schemas.openxmlformats.org/officeDocument/2006/relationships/hyperlink" Target="https://www.tiktok.com/@scorpiogurls26_" TargetMode="External"/><Relationship Id="rId277" Type="http://schemas.openxmlformats.org/officeDocument/2006/relationships/hyperlink" Target="https://www.tiktok.com/@klambi.jo/video/7620263992384326933?is_from_webapp=1&amp;sender_device=pc" TargetMode="External"/><Relationship Id="rId4017" Type="http://schemas.openxmlformats.org/officeDocument/2006/relationships/hyperlink" Target="https://www.tiktok.com/@eca.elzaaam" TargetMode="External"/><Relationship Id="rId5345" Type="http://schemas.openxmlformats.org/officeDocument/2006/relationships/hyperlink" Target="https://vt.tiktok.com/ZS9SMWJBS/" TargetMode="External"/><Relationship Id="rId6676" Type="http://schemas.openxmlformats.org/officeDocument/2006/relationships/hyperlink" Target="https://vt.tiktok.com/ZS9Q2QdNe/" TargetMode="External"/><Relationship Id="rId276" Type="http://schemas.openxmlformats.org/officeDocument/2006/relationships/hyperlink" Target="https://vt.tiktok.com/ZSu8aUVwj/" TargetMode="External"/><Relationship Id="rId4016" Type="http://schemas.openxmlformats.org/officeDocument/2006/relationships/hyperlink" Target="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eholder_origin_cover%22%3A%22https%253A%252F%252Fp16-common-sign.tiktokcdn.com%252Ftos-alisg-p-0037%252FoofGYgAmBbnFT6RIAFbW9wtri2J2nG45efAfun~tplv-tiktokx-origin.jpeg%253Fdr%253D14572%2526refresh_token%253D9aec4cb5%2526x-expires%253D1809504000%2526x-signature%253DvctWyysZiUs5n87SRHe%25252BG3XeDeI%25253D%2526t%253D4d5b0474%2526ps%253D13740610%2526shp%253Dd05b14bd%2526shcp%253D34ff8df6%2526idc%253Dmy%2526s%253DTIKTOK_AFFILIATE_VIRAL_VIDEO%22%2C%22placeholder_product_id%22%3A%221729427766722726591%22%2C%22placeholder_video_id%22%3A%227635544313203576082%22%7D&amp;ec_shared_reflux_scene=shop_tab_feed&amp;share_item_id=7635544313203576082&amp;source=h5_t" TargetMode="External"/><Relationship Id="rId5346" Type="http://schemas.openxmlformats.org/officeDocument/2006/relationships/hyperlink" Target="https://vt.tiktok.com/ZS9Sh4LUQ/" TargetMode="External"/><Relationship Id="rId6677" Type="http://schemas.openxmlformats.org/officeDocument/2006/relationships/hyperlink" Target=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" TargetMode="External"/><Relationship Id="rId1851" Type="http://schemas.openxmlformats.org/officeDocument/2006/relationships/hyperlink" Target="https://vt.tiktok.com/ZSHAmVycW/" TargetMode="External"/><Relationship Id="rId1852" Type="http://schemas.openxmlformats.org/officeDocument/2006/relationships/hyperlink" Target="https://www.tiktok.com/@sabrenj" TargetMode="External"/><Relationship Id="rId1853" Type="http://schemas.openxmlformats.org/officeDocument/2006/relationships/hyperlink" Target="https://www.tiktok.com/@rindi.afrilia/video/7629756751226719508?_r=1&amp;u_code=dja890i3j90f3j&amp;region=&amp;mid=7609200402369743634&amp;preview_pb=0&amp;sharer_language=&amp;_d=0&amp;ec_shared_reflux_dynamic_params=%7B%22placeholder_material_id%22%3A%227629756751226719508%22%2C%22placeholder_origin_cover%22%3A%22https%253A%252F%252Fp16-common-sign.tiktokcdn.com%252Ftos-alisg-p-0037%252Fo4MbhEcDpBV7wnXFEeUlWAQJEBQif4CgLRQ23X~tplv-tiktokx-origin.jpeg%253Fdr%253D14572%2526refresh_token%253D1e84341b%2526x-expires%253D1808208000%2526x-signature%253DMv3Mv%25252F8RNBDsPcHUcFBI%25252F4e2QOQ%25253D%2526t%253D4d5b0474%2526ps%253D13740610%2526shp%253Dd05b14bd%2526shcp%253D34ff8df6%2526idc%253Dmy3%2526s%253DTIKTOK_AFFILIATE_VIRAL_VIDEO%22%2C%22placeholder_product_id%22%3A%221729427766722726591%22%2C%22placeholder_video_id%22%3A%227629756751226719508%22%7D&amp;ec_shared_reflux_scene=shop_tab_feed&amp;share_item_id=7629756751226719508&amp;source=h5_t" TargetMode="External"/><Relationship Id="rId1854" Type="http://schemas.openxmlformats.org/officeDocument/2006/relationships/hyperlink" Target="https://www.tiktok.com/@rindi.afrilia/video/7629758188191091988?_r=1&amp;u_code=dja890i3j90f3j&amp;region=&amp;mid=7606071400499628049&amp;preview_pb=0&amp;sharer_language=&amp;_d=0&amp;ec_shared_reflux_dynamic_params=%7B%22placeholder_material_id%22%3A%227629758188191091988%22%2C%22placeholder_origin_cover%22%3A%22https%253A%252F%252Fp16-common-sign.tiktokcdn.com%252Ftos-alisg-p-0037%252FoY7fB5fDcIiqRjpEvWNE74VliBKAzEhxFCHzIg~tplv-tiktokx-origin.jpeg%253Fdr%253D14572%2526refresh_token%253D1c8f3356%2526x-expires%253D1808208000%2526x-signature%253DgmjkEkL3wloI6MGrMKcdgrxisas%25253D%2526t%253D4d5b0474%2526ps%253D13740610%2526shp%253Dd05b14bd%2526shcp%253D34ff8df6%2526idc%253Dmy3%2526s%253DTIKTOK_AFFILIATE_VIRAL_VIDEO%22%2C%22placeholder_product_id%22%3A%221729427766722726591%22%2C%22placeholder_video_id%22%3A%227629758188191091988%22%7D&amp;ec_shared_reflux_scene=shop_tab_feed&amp;share_item_id=7629758188191091988&amp;source=h5_t" TargetMode="External"/><Relationship Id="rId1855" Type="http://schemas.openxmlformats.org/officeDocument/2006/relationships/hyperlink" Target="https://www.tiktok.com/@rindi.afrilia/video/7630087484524809492?_r=1&amp;u_code=dja890i3j90f3j&amp;region=&amp;mid=7628208877490391815&amp;preview_pb=0&amp;sharer_language=&amp;_d=0&amp;ec_shared_reflux_dynamic_params=%7B%22placeholder_material_id%22%3A%227630087484524809492%22%2C%22placeholder_origin_cover%22%3A%22https%253A%252F%252Fp16-common-sign.tiktokcdn.com%252Ftos-alisg-p-0037%252FoIwReaE8QIk2uIxGghnRjGCFjQufw7feAAKLbG~tplv-tiktokx-origin.jpeg%253Fdr%253D14572%2526refresh_token%253D04c18184%2526x-expires%253D1808208000%2526x-signature%253DGtSWfkScDpHyETnmDm7smfdLG6Q%25253D%2526t%253D4d5b0474%2526ps%253D13740610%2526shp%253Dd05b14bd%2526shcp%253D34ff8df6%2526idc%253Dmy3%2526s%253DTIKTOK_AFFILIATE_VIRAL_VIDEO%22%2C%22placeholder_product_id%22%3A%221729427766722726591%22%2C%22placeholder_video_id%22%3A%227630087484524809492%22%7D&amp;ec_shared_reflux_scene=shop_tab_feed&amp;share_item_id=7630087484524809492&amp;source=h5_t" TargetMode="External"/><Relationship Id="rId1856" Type="http://schemas.openxmlformats.org/officeDocument/2006/relationships/hyperlink" Target="https://www.tiktok.com/@rindi.afrilia/video/7630092773823221012?_r=1&amp;u_code=dja890i3j90f3j&amp;region=&amp;mid=7626785194000435989&amp;preview_pb=0&amp;sharer_language=&amp;_d=0&amp;ec_shared_reflux_dynamic_params=%7B%22placeholder_material_id%22%3A%227630092773823221012%22%2C%22placeholder_origin_cover%22%3A%22https%253A%252F%252Fp16-common-sign.tiktokcdn.com%252Ftos-alisg-p-0037%252FoQgYOTzIwCxMGAjQjngAuLIDEIGfKxLkMew5f4~tplv-tiktokx-origin.jpeg%253Fdr%253D14572%2526refresh_token%253D3e385557%2526x-expires%253D1808208000%2526x-signature%253DIfctEFw4uTA8ewKlPkdYUlavyZ8%25253D%2526t%253D4d5b0474%2526ps%253D13740610%2526shp%253Dd05b14bd%2526shcp%253D34ff8df6%2526idc%253Dmy3%2526s%253DTIKTOK_AFFILIATE_VIRAL_VIDEO%22%2C%22placeholder_product_id%22%3A%221729427766722726591%22%2C%22placeholder_video_id%22%3A%227630092773823221012%22%7D&amp;ec_shared_reflux_scene=shop_tab_feed&amp;share_item_id=7630092773823221012&amp;source=h5_t" TargetMode="External"/><Relationship Id="rId1857" Type="http://schemas.openxmlformats.org/officeDocument/2006/relationships/hyperlink" Target="https://www.tiktok.com/@sbrnj" TargetMode="External"/><Relationship Id="rId1858" Type="http://schemas.openxmlformats.org/officeDocument/2006/relationships/hyperlink" Target="https://www.tiktok.com/@rindi.afrilia/video/7627128631336258836?_r=1&amp;u_code=dja890i3j90f3j&amp;region=&amp;mid=7566193440287918865&amp;preview_pb=0&amp;sharer_language=&amp;_d=0&amp;ec_shared_reflux_dynamic_params=%7B%22placeholder_material_id%22%3A%227627128631336258836%22%2C%22placeholder_origin_cover%22%3A%22https%253A%252F%252Fp16-common-sign.tiktokcdn.com%252Ftos-alisg-p-0037%252FoUcRZAoSg4CxfIQTLsLeDCAcUAzpG2Q1jeGFIj~tplv-tiktokx-origin.jpeg%253Fdr%253D14572%2526refresh_token%253D27205cb9%2526x-expires%253D1808208000%2526x-signature%253DkUVvP0B0mLt1x9wKg7CXJKmNQ4c%25253D%2526t%253D4d5b0474%2526ps%253D13740610%2526shp%253Dd05b14bd%2526shcp%253D34ff8df6%2526idc%253Dmy3%2526s%253DTIKTOK_AFFILIATE_VIRAL_VIDEO%22%2C%22placeholder_product_id%22%3A%221729427766722726591%22%2C%22placeholder_video_id%22%3A%227627128631336258836%22%7D&amp;ec_shared_reflux_scene=shop_tab_feed&amp;share_item_id=7627128631336258836&amp;source=h5_t" TargetMode="External"/><Relationship Id="rId1859" Type="http://schemas.openxmlformats.org/officeDocument/2006/relationships/hyperlink" Target="https://vt.tiktok.com/ZSxgQNaxD/" TargetMode="External"/><Relationship Id="rId1850" Type="http://schemas.openxmlformats.org/officeDocument/2006/relationships/hyperlink" Target="https://vt.tiktok.com/ZSHAmrrEk/" TargetMode="External"/><Relationship Id="rId1840" Type="http://schemas.openxmlformats.org/officeDocument/2006/relationships/hyperlink" Target="https://www.tiktok.com/@rindi.afrilia/video/7630738677802470677?_d=0&amp;_r=1&amp;ec_shared_reflux_dynamic_params=%7B%22placeholder_material_id%22%3A%227630738677802470677%22%2C%22placeholder_origin_cover%22%3A%22https%253A%252F%252Fp16-common-sign.tiktokcdn.com%252Ftos-alisg-p-0037%252Focge1pFnfABQCaDOEHclMvIgFFRRd5HpBcEIB3~tplv-tiktokx-origin.jpeg%253Fdr%253D14572%2526refresh_token%253D5c0af3b7%2526x-expires%253D1808208000%2526x-signature%253DQ0xR%25252BI1pb7zcXJGblDyze3%25252B%25252F4eo%25253D%2526t%253D4d5b0474%2526ps%253D13740610%2526shp%253Dd05b14bd%2526shcp%253D34ff8df6%2526idc%253Dmy3%2526s%253DTIKTOK_AFFILIATE_VIRAL_VIDEO%22%2C%22placeholder_product_id%22%3A%221729427766722726591%22%2C%22placeholder_video_id%22%3A%227630738677802470677%22%7D&amp;ec_shared_reflux_scene=shop_tab_feed&amp;mid=7609200402369743634&amp;preview_pb=0&amp;region=&amp;share_item_id=7630738677802470677&amp;sharer_language=&amp;source=h5_t&amp;u_code=dja890i3j90f3j" TargetMode="External"/><Relationship Id="rId1841" Type="http://schemas.openxmlformats.org/officeDocument/2006/relationships/hyperlink" Target="https://www.tiktok.com/@rindi.afrilia/video/7630138331480804628?_r=1&amp;u_code=dja890i3j90f3j&amp;region=&amp;mid=7606071400499628049&amp;preview_pb=0&amp;sharer_language=&amp;_d=0&amp;ec_shared_reflux_dynamic_params=%7B%22placeholder_material_id%22%3A%227630138331480804628%22%2C%22placeholder_origin_cover%22%3A%22https%253A%252F%252Fp16-common-sign.tiktokcdn.com%252Ftos-alisg-p-0037%252FocwmjAMTOuCu6iI0DeiPAAwkCsGhxjIuIiB8C5~tplv-tiktokx-origin.jpeg%253Fdr%253D14572%2526refresh_token%253Df338629b%2526x-expires%253D1808208000%2526x-signature%253DVHgtcOtbNwti%25252FsmacURLNA90Jvo%25253D%2526t%253D4d5b0474%2526ps%253D13740610%2526shp%253Dd05b14bd%2526shcp%253D34ff8df6%2526idc%253Dmy3%2526s%253DTIKTOK_AFFILIATE_VIRAL_VIDEO%22%2C%22placeholder_product_id%22%3A%221729427766722726591%22%2C%22placeholder_video_id%22%3A%227630138331480804628%22%7D&amp;ec_shared_reflux_scene=shop_tab_feed&amp;share_item_id=7630138331480804628&amp;source=h5_t" TargetMode="External"/><Relationship Id="rId1842" Type="http://schemas.openxmlformats.org/officeDocument/2006/relationships/hyperlink" Target="https://www.tiktok.com/@rindi.afrilia/video/7630139085558336788?_r=1&amp;u_code=dja890i3j90f3j&amp;region=&amp;mid=7610763691407509521&amp;preview_pb=0&amp;sharer_language=&amp;_d=0&amp;ec_shared_reflux_dynamic_params=%7B%22placeholder_material_id%22%3A%227630139085558336788%22%2C%22placeholder_origin_cover%22%3A%22https%253A%252F%252Fp16-common-sign.tiktokcdn.com%252Ftos-alisg-p-0037%252Fo81iWCAiIJIuzlOqXf3CjIdQ0xGsOB5g8CiwAA~tplv-tiktokx-origin.jpeg%253Fdr%253D14572%2526refresh_token%253D35892f7a%2526x-expires%253D1808208000%2526x-signature%253D0ifCEdqWV9u7w0U55fv8uaoZUC4%25253D%2526t%253D4d5b0474%2526ps%253D13740610%2526shp%253Dd05b14bd%2526shcp%253D34ff8df6%2526idc%253Dmy3%2526s%253DTIKTOK_AFFILIATE_VIRAL_VIDEO%22%2C%22placeholder_product_id%22%3A%221729427766722726591%22%2C%22placeholder_video_id%22%3A%227630139085558336788%22%7D&amp;ec_shared_reflux_scene=shop_tab_feed&amp;share_item_id=7630139085558336788&amp;source=h5_t" TargetMode="External"/><Relationship Id="rId1843" Type="http://schemas.openxmlformats.org/officeDocument/2006/relationships/hyperlink" Target="https://www.tiktok.com/@rindi.afrilia/video/7630320421728013588?_d=0&amp;_r=1&amp;ec_shared_reflux_dynamic_params=%7B%22placeholder_material_id%22%3A%227630320421728013588%22%2C%22placeholder_origin_cover%22%3A%22https%253A%252F%252Fp16-common-sign.tiktokcdn.com%252Ftos-alisg-p-0037%252FoQAWACA0uiXC0IVIvIkfAiW8zB89niI6q56s2w~tplv-tiktokx-origin.jpeg%253Fdr%253D14572%2526refresh_token%253D19f3d631%2526x-expires%253D1808208000%2526x-signature%253DEwOL2KHtKaZkE%25252BWMHjQLXaiCO1U%25253D%2526t%253D4d5b0474%2526ps%253D13740610%2526shp%253Dd05b14bd%2526shcp%253D34ff8df6%2526idc%253Dmy3%2526s%253DTIKTOK_AFFILIATE_VIRAL_VIDEO%22%2C%22placeholder_product_id%22%3A%221729427766722726591%22%2C%22placeholder_video_id%22%3A%227630320421728013588%22%7D&amp;ec_shared_reflux_scene=shop_tab_feed&amp;mid=7606071400499628049&amp;preview_pb=0&amp;region=&amp;share_item_id=7630320421728013588&amp;sharer_language=&amp;source=h5_t&amp;u_code=dja890i3j90f3j" TargetMode="External"/><Relationship Id="rId1844" Type="http://schemas.openxmlformats.org/officeDocument/2006/relationships/hyperlink" Target="https://www.tiktok.com/@gemini_glowup6" TargetMode="External"/><Relationship Id="rId1845" Type="http://schemas.openxmlformats.org/officeDocument/2006/relationships/hyperlink" Target="https://www.tiktok.com/@gemini_glowup6/video/7621544516457204999?_r=1&amp;u_code=e6e22e845i6cm1&amp;region=&amp;mid=7621544550056086290&amp;preview_pb=0&amp;sharer_language=&amp;_d=0&amp;ec_shared_reflux_dynamic_params=%7B%22placeholder_material_id%22%3A%227621544516457204999%22%2C%22placeholder_origin_cover%22%3A%22https%253A%252F%252Fp16-sign-sg.tiktokcdn.com%252Ftos-alisg-p-0037%252FoAuoQUEDyYfBT9YCVpSKETiQMbF2qRAxtWBf6g~tplv-tiktokx-origin.jpeg%253Fdr%253D14572%2526refresh_token%253D2e0d0938%2526x-expires%253D1807070400%2526x-signature%253Dlz4YoYx3OlhU3A8esOoSxsFauzQ%25253D%2526t%253D4d5b0474%2526ps%253D13740610%2526shp%253Dd05b14bd%2526shcp%253D34ff8df6%2526idc%253Dmy2%2526s%253DTIKTOK_AFFILIATE_VIRAL_VIDEO%22%2C%22placeholder_product_id%22%3A%221729427766722726591%22%2C%22placeholder_video_id%22%3A%227621544516457204999%22%7D&amp;ec_shared_reflux_scene=shop_tab_feed&amp;share_item_id=7621544516457204999&amp;source=h5_t" TargetMode="External"/><Relationship Id="rId1846" Type="http://schemas.openxmlformats.org/officeDocument/2006/relationships/hyperlink" Target="https://vt.tiktok.com/ZSHCp3kQW/" TargetMode="External"/><Relationship Id="rId1847" Type="http://schemas.openxmlformats.org/officeDocument/2006/relationships/hyperlink" Target="https://vt.tiktok.com/ZSHCp3kQW/" TargetMode="External"/><Relationship Id="rId1848" Type="http://schemas.openxmlformats.org/officeDocument/2006/relationships/hyperlink" Target="https://www.tiktok.com/@gemini_glowup6/video/7627017302277459207" TargetMode="External"/><Relationship Id="rId1849" Type="http://schemas.openxmlformats.org/officeDocument/2006/relationships/hyperlink" Target="https://www.tiktok.com/@outfitce_" TargetMode="External"/><Relationship Id="rId1873" Type="http://schemas.openxmlformats.org/officeDocument/2006/relationships/hyperlink" Target="https://vt.tiktok.com/ZS9vmya8b/" TargetMode="External"/><Relationship Id="rId1874" Type="http://schemas.openxmlformats.org/officeDocument/2006/relationships/hyperlink" Target="https://vt.tiktok.com/ZS9cv1tY4/" TargetMode="External"/><Relationship Id="rId1875" Type="http://schemas.openxmlformats.org/officeDocument/2006/relationships/hyperlink" Target="https://www.tiktok.com/@ekbardiary" TargetMode="External"/><Relationship Id="rId1876" Type="http://schemas.openxmlformats.org/officeDocument/2006/relationships/hyperlink" Target="https://www.tiktok.com/@outfitce_/video/7623991463914835221?_r=1&amp;u_code=e0898kg4gbb4c7&amp;region=&amp;mid=7608156113497983765&amp;preview_pb=0&amp;sharer_language=&amp;_d=0&amp;ec_shared_reflux_dynamic_params=%7B%22placeholder_material_id%22%3A%227623991463914835221%22%2C%22placeholder_origin_cover%22%3A%22https%253A%252F%252Fp16-common-sign.tiktokcdn.com%252Ftos-alisg-p-0037%252FoMISLMegc4X2GeR8RA23hQn5bMGeNAeKQgWFHr~tplv-tiktokx-origin.jpeg%253Fdr%253D14572%2526refresh_token%253De555dd88%2526x-expires%253D1808204400%2526x-signature%253D4xYhR3vS6M5yjxQcSpuDd5MDlO0%25253D%2526t%253D4d5b0474%2526ps%253D13740610%2526shp%253Dd05b14bd%2526shcp%253D34ff8df6%2526idc%253Dmy3%2526s%253DTIKTOK_AFFILIATE_VIRAL_VIDEO%22%2C%22placeholder_product_id%22%3A%221729427766722726591%22%2C%22placeholder_video_id%22%3A%227623991463914835221%22%7D&amp;ec_shared_reflux_scene=shop_tab_feed&amp;share_item_id=7623991463914835221&amp;source=h5_t" TargetMode="External"/><Relationship Id="rId1877" Type="http://schemas.openxmlformats.org/officeDocument/2006/relationships/hyperlink" Target="https://www.tiktok.com/@outfitce_/video/7624022829977062676?_r=1&amp;u_code=e0898kg4gbb4c7&amp;region=&amp;mid=7559536816974580497&amp;preview_pb=0&amp;sharer_language=&amp;_d=0&amp;ec_shared_reflux_dynamic_params=%7B%22placeholder_material_id%22%3A%227624022829977062676%22%2C%22placeholder_origin_cover%22%3A%22https%253A%252F%252Fp16-common-sign.tiktokcdn.com%252Ftos-alisg-p-0037%252FogEJQoPffG6Q3gIjTemT0EFhmGoDqGADAY3xbC~tplv-tiktokx-origin.jpeg%253Fdr%253D14572%2526refresh_token%253D4e3c5107%2526x-expires%253D1808204400%2526x-signature%253DCxYNFVBsoa1kO%25252FBRJ990sNX1yOk%25253D%2526t%253D4d5b0474%2526ps%253D13740610%2526shp%253Dd05b14bd%2526shcp%253D34ff8df6%2526idc%253Dmy3%2526s%253DTIKTOK_AFFILIATE_VIRAL_VIDEO%22%2C%22placeholder_product_id%22%3A%221729427766722726591%22%2C%22placeholder_video_id%22%3A%227624022829977062676%22%7D&amp;ec_shared_reflux_scene=shop_tab_feed&amp;share_item_id=7624022829977062676&amp;source=h5_t" TargetMode="External"/><Relationship Id="rId1878" Type="http://schemas.openxmlformats.org/officeDocument/2006/relationships/hyperlink" Target="https://www.tiktok.com/@outfitce_/video/7624035229849718036?_r=1&amp;u_code=e0898kg4gbb4c7&amp;region=&amp;mid=7608156113497983765&amp;preview_pb=0&amp;sharer_language=&amp;_d=0&amp;ec_shared_reflux_dynamic_params=%7B%22placeholder_material_id%22%3A%227624035229849718036%22%2C%22placeholder_origin_cover%22%3A%22https%253A%252F%252Fp16-common-sign.tiktokcdn.com%252Ftos-alisg-p-0037%252FokOw9FBRUDpnzsEOAgKWAr7GIfqceXBE99IvgB~tplv-tiktokx-origin.jpeg%253Fdr%253D14572%2526refresh_token%253D11382771%2526x-expires%253D1808204400%2526x-signature%253DkxmmjRY549m280i4afiywUsDgC0%25253D%2526t%253D4d5b0474%2526ps%253D13740610%2526shp%253Dd05b14bd%2526shcp%253D34ff8df6%2526idc%253Dmy3%2526s%253DTIKTOK_AFFILIATE_VIRAL_VIDEO%22%2C%22placeholder_product_id%22%3A%221729427766722726591%22%2C%22placeholder_video_id%22%3A%227624035229849718036%22%7D&amp;ec_shared_reflux_scene=shop_tab_feed&amp;share_item_id=7624035229849718036&amp;source=h5_t" TargetMode="External"/><Relationship Id="rId1879" Type="http://schemas.openxmlformats.org/officeDocument/2006/relationships/hyperlink" Target="https://www.tiktok.com/@outfitce_/video/7624071767161818389?_r=1&amp;u_code=e0898kg4gbb4c7&amp;region=&amp;mid=7295670080217254661&amp;preview_pb=0&amp;sharer_language=&amp;_d=0&amp;ec_shared_reflux_dynamic_params=%7B%22placeholder_material_id%22%3A%227624071767161818389%22%2C%22placeholder_origin_cover%22%3A%22https%253A%252F%252Fp16-common-sign.tiktokcdn.com%252Ftos-alisg-p-0037%252FoIQ3OpoEUBiwtgR37PQAfFEBTJDXSzFvbfMUOU~tplv-tiktokx-origin.jpeg%253Fdr%253D14572%2526refresh_token%253D4250a57f%2526x-expires%253D1808204400%2526x-signature%253DW2NSpA%25252F1gQSJG22tDnX%25252FvFSsnKA%25253D%2526t%253D4d5b0474%2526ps%253D13740610%2526shp%253Dd05b14bd%2526shcp%253D34ff8df6%2526idc%253Dmy3%2526s%253DTIKTOK_AFFILIATE_VIRAL_VIDEO%22%2C%22placeholder_product_id%22%3A%221729427766722726591%22%2C%22placeholder_video_id%22%3A%227624071767161818389%22%7D&amp;ec_shared_reflux_scene=shop_tab_feed&amp;share_item_id=7624071767161818389&amp;source=h5_t" TargetMode="External"/><Relationship Id="rId1870" Type="http://schemas.openxmlformats.org/officeDocument/2006/relationships/hyperlink" Target="https://www.tiktok.com/@hlzahs" TargetMode="External"/><Relationship Id="rId1871" Type="http://schemas.openxmlformats.org/officeDocument/2006/relationships/hyperlink" Target="https://www.tiktok.com/@hlzahs/video/7634028177035185426?_d=0&amp;_r=1&amp;ec_shared_reflux_dynamic_params=%7B%22placeholder_material_id%22%3A%227634028177035185426%22%2C%22placeholder_origin_cover%22%3A%22https%253A%252F%252Fp16-sign-sg.tiktokcdn.com%252Ftos-alisg-p-0037%252FoQDU7APHufIB6hIDCvwvIIiiydHwE0xDBpAGAR~tplv-tiktokx-origin.jpeg%253Fdr%253D14572%2526refresh_token%253D6c3b30a3%2526x-expires%253D1808992800%2526x-signature%253Dhqk%25252FjRjCjzX0SsS8kI8Fht5GJ2E%25253D%2526t%253D4d5b0474%2526ps%253D13740610%2526shp%253Dd05b14bd%2526shcp%253D34ff8df6%2526idc%253Dmy2%2526s%253DTIKTOK_AFFILIATE_VIRAL_VIDEO%22%2C%22placeholder_product_id%22%3A%221729427766722726591%22%2C%22placeholder_video_id%22%3A%227634028177035185426%22%7D&amp;ec_shared_reflux_scene=shop_tab_feed&amp;mid=7634028209140402965&amp;preview_pb=0&amp;region=&amp;share_item_id=7634028177035185426&amp;sharer_language=&amp;source=h5_t&amp;u_code=dgm9114c7dddh6" TargetMode="External"/><Relationship Id="rId1872" Type="http://schemas.openxmlformats.org/officeDocument/2006/relationships/hyperlink" Target="https://vt.tiktok.com/ZS9D917q4/" TargetMode="External"/><Relationship Id="rId1862" Type="http://schemas.openxmlformats.org/officeDocument/2006/relationships/hyperlink" Target="https://www.tiktok.com/@rindi.afrilia/video/7622696374244576533?_r=1&amp;u_code=dja890i3j90f3j&amp;region=&amp;mid=7546238952196212752&amp;preview_pb=0&amp;sharer_language=&amp;_d=0&amp;ec_shared_reflux_dynamic_params=%7B%22placeholder_material_id%22%3A%227622696374244576533%22%2C%22placeholder_origin_cover%22%3A%22https%253A%252F%252Fp16-sign-sg.tiktokcdn.com%252Ftos-alisg-p-0037%252FoIUBeDMfLJupFBA0QHguRQtDgEjEcbE0odyRQp~tplv-tiktokx-origin.jpeg%253Fdr%253D14572%2526refresh_token%253D6e9351e6%2526x-expires%253D1808208000%2526x-signature%253Dly4Y5v88qJZIPYLOYPDj8%25252Bx5a5s%25253D%2526t%253D4d5b0474%2526ps%253D13740610%2526shp%253Dd05b14bd%2526shcp%253D34ff8df6%2526idc%253Dmy3%2526s%253DTIKTOK_AFFILIATE_VIRAL_VIDEO%22%2C%22placeholder_product_id%22%3A%221729427766722726591%22%2C%22placeholder_video_id%22%3A%227622696374244576533%22%7D&amp;ec_shared_reflux_scene=shop_tab_feed&amp;share_item_id=7622696374244576533&amp;source=h5_t" TargetMode="External"/><Relationship Id="rId1863" Type="http://schemas.openxmlformats.org/officeDocument/2006/relationships/hyperlink" Target="https://www.tiktok.com/@rindi.afrilia/video/7622256127652269333?_r=1&amp;u_code=dja890i3j90f3j&amp;region=&amp;mid=7573610310028856071&amp;preview_pb=0&amp;sharer_language=&amp;_d=0&amp;ec_shared_reflux_dynamic_params=%7B%22placeholder_material_id%22%3A%227622256127652269333%22%2C%22placeholder_origin_cover%22%3A%22https%253A%252F%252Fp16-common-sign.tiktokcdn.com%252Ftos-alisg-p-0037%252FoEunspsHfABYC8DgEaSHFwIgRFRF7x8aKcEIBe~tplv-tiktokx-origin.jpeg%253Fdr%253D14572%2526refresh_token%253D245b632e%2526x-expires%253D1808208000%2526x-signature%253DfrqSuPxPd0XEyf4Klqi15ZaWxhY%25253D%2526t%253D4d5b0474%2526ps%253D13740610%2526shp%253Dd05b14bd%2526shcp%253D34ff8df6%2526idc%253Dmy3%2526s%253DTIKTOK_AFFILIATE_VIRAL_VIDEO%22%2C%22placeholder_product_id%22%3A%221729427766722726591%22%2C%22placeholder_video_id%22%3A%227622256127652269333%22%7D&amp;ec_shared_reflux_scene=shop_tab_feed&amp;share_item_id=7622256127652269333&amp;source=h5_t" TargetMode="External"/><Relationship Id="rId1864" Type="http://schemas.openxmlformats.org/officeDocument/2006/relationships/hyperlink" Target="https://www.tiktok.com/@rindi.afrilia/video/7621723100798913812?_r=1&amp;u_code=dja890i3j90f3j&amp;region=&amp;mid=7455251691459660550&amp;preview_pb=0&amp;sharer_language=&amp;_d=0&amp;ec_shared_reflux_dynamic_params=%7B%22placeholder_material_id%22%3A%227621723100798913812%22%2C%22placeholder_origin_cover%22%3A%22https%253A%252F%252Fp16-common-sign.tiktokcdn.com%252Ftos-alisg-p-0037%252FoYE5EeFERcCfxuTQzgCcDQmxQAzpQhDPpLOBFB~tplv-tiktokx-origin.jpeg%253Fdr%253D14572%2526refresh_token%253D5d38d811%2526x-expires%253D1808208000%2526x-signature%253DF6Wy%25252FsLEfoaGXq9tRXh8Kr2Jl%25252F0%25253D%2526t%253D4d5b0474%2526ps%253D13740610%2526shp%253Dd05b14bd%2526shcp%253D34ff8df6%2526idc%253Dmy3%2526s%253DTIKTOK_AFFILIATE_VIRAL_VIDEO%22%2C%22placeholder_product_id%22%3A%221729427766722726591%22%2C%22placeholder_video_id%22%3A%227621723100798913812%22%7D&amp;ec_shared_reflux_scene=shop_tab_feed&amp;share_item_id=7621723100798913812&amp;source=h5_t" TargetMode="External"/><Relationship Id="rId1865" Type="http://schemas.openxmlformats.org/officeDocument/2006/relationships/hyperlink" Target="https://www.tiktok.com/@lannytjo" TargetMode="External"/><Relationship Id="rId1866" Type="http://schemas.openxmlformats.org/officeDocument/2006/relationships/hyperlink" Target="https://www.tiktok.com/@outfitce_/video/7624315207434734868?_r=1&amp;u_code=e0898kg4gbb4c7&amp;region=&amp;mid=7473819705229658935&amp;preview_pb=0&amp;sharer_language=&amp;_d=0&amp;ec_shared_reflux_dynamic_params=%7B%22placeholder_material_id%22%3A%227624315207434734868%22%2C%22placeholder_origin_cover%22%3A%22https%253A%252F%252Fp16-common-sign.tiktokcdn.com%252Ftos-alisg-p-0037%252FosA5SQgWTDBeBbrAAMCocDcnWGRgog8jKIeyeE~tplv-tiktokx-origin.jpeg%253Fdr%253D14572%2526refresh_token%253D5f7bbfb2%2526x-expires%253D1808204400%2526x-signature%253DfwIHqPrtqzUarsXiPEliVVmudFo%25253D%2526t%253D4d5b0474%2526ps%253D13740610%2526shp%253Dd05b14bd%2526shcp%253D34ff8df6%2526idc%253Dmy3%2526s%253DTIKTOK_AFFILIATE_VIRAL_VIDEO%22%2C%22placeholder_product_id%22%3A%221729427766722726591%22%2C%22placeholder_video_id%22%3A%227624315207434734868%22%7D&amp;ec_shared_reflux_scene=shop_tab_feed&amp;share_item_id=7624315207434734868&amp;source=h5_t" TargetMode="External"/><Relationship Id="rId1867" Type="http://schemas.openxmlformats.org/officeDocument/2006/relationships/hyperlink" Target="https://www.tiktok.com/@outfitce_/video/7624426515886902549?_r=1&amp;u_code=e0898kg4gbb4c7&amp;region=&amp;mid=7426331155690080272&amp;preview_pb=0&amp;sharer_language=&amp;_d=0&amp;ec_shared_reflux_dynamic_params=%7B%22placeholder_material_id%22%3A%227624426515886902549%22%2C%22placeholder_origin_cover%22%3A%22https%253A%252F%252Fp16-sign-sg.tiktokcdn.com%252Ftos-alisg-p-0037%252FosIaPcZWivVi9ABIA39cAEBjnYlQBQ5Ui5PiV~tplv-tiktokx-origin.jpeg%253Fdr%253D14572%2526refresh_token%253Df0811b98%2526x-expires%253D1808204400%2526x-signature%253D3xGMfFUAInvuua7hLP6IJOYe2DA%25253D%2526t%253D4d5b0474%2526ps%253D13740610%2526shp%253Dd05b14bd%2526shcp%253D34ff8df6%2526idc%253Dmy3%2526s%253DTIKTOK_AFFILIATE_VIRAL_VIDEO%22%2C%22placeholder_product_id%22%3A%221729427766722726591%22%2C%22placeholder_video_id%22%3A%227624426515886902549%22%7D&amp;ec_shared_reflux_scene=shop_tab_feed&amp;share_item_id=7624426515886902549&amp;source=h5_t" TargetMode="External"/><Relationship Id="rId1868" Type="http://schemas.openxmlformats.org/officeDocument/2006/relationships/hyperlink" Target="https://www.tiktok.com/@outfitce_/video/7624464515194801429?_r=1&amp;u_code=e0898kg4gbb4c7&amp;region=&amp;mid=7413639309809780753&amp;preview_pb=0&amp;sharer_language=&amp;_d=0&amp;ec_shared_reflux_dynamic_params=%7B%22placeholder_material_id%22%3A%227624464515194801429%22%2C%22placeholder_origin_cover%22%3A%22https%253A%252F%252Fp16-common-sign.tiktokcdn.com%252Ftos-alisg-p-0037%252FogaPR40LpIUTEnB2iBzFMLoEIeDBPDAZPgfQiP~tplv-tiktokx-origin.jpeg%253Fdr%253D14572%2526refresh_token%253D492cae8b%2526x-expires%253D1808204400%2526x-signature%253D39QRfQrvhU0qMGJRerx0JigWtWo%25253D%2526t%253D4d5b0474%2526ps%253D13740610%2526shp%253Dd05b14bd%2526shcp%253D34ff8df6%2526idc%253Dmy3%2526s%253DTIKTOK_AFFILIATE_VIRAL_VIDEO%22%2C%22placeholder_product_id%22%3A%221729427766722726591%22%2C%22placeholder_video_id%22%3A%227624464515194801429%22%7D&amp;ec_shared_reflux_scene=shop_tab_feed&amp;share_item_id=7624464515194801429&amp;source=h5_t" TargetMode="External"/><Relationship Id="rId1869" Type="http://schemas.openxmlformats.org/officeDocument/2006/relationships/hyperlink" Target="https://www.tiktok.com/@outfitce_/video/7624876528345566484?_r=1&amp;u_code=e0898kg4gbb4c7&amp;region=&amp;mid=7600640437279984404&amp;preview_pb=0&amp;sharer_language=&amp;_d=0&amp;ec_shared_reflux_dynamic_params=%7B%22placeholder_material_id%22%3A%227624876528345566484%22%2C%22placeholder_origin_cover%22%3A%22https%253A%252F%252Fp16-sign-sg.tiktokcdn.com%252Ftos-alisg-p-0037%252FoMxBQCqB0AA0iWQiiHNItAIjCAkRf6pw3IINji~tplv-tiktokx-origin.jpeg%253Fdr%253D14572%2526refresh_token%253Da820e6f1%2526x-expires%253D1808204400%2526x-signature%253DCxAHqj9MwjKlFZbon%25252BnruOUKnDI%25253D%2526t%253D4d5b0474%2526ps%253D13740610%2526shp%253Dd05b14bd%2526shcp%253D34ff8df6%2526idc%253Dmy3%2526s%253DTIKTOK_AFFILIATE_VIRAL_VIDEO%22%2C%22placeholder_product_id%22%3A%221729427766722726591%22%2C%22placeholder_video_id%22%3A%227624876528345566484%22%7D&amp;ec_shared_reflux_scene=shop_tab_feed&amp;share_item_id=7624876528345566484&amp;source=h5_t" TargetMode="External"/><Relationship Id="rId1860" Type="http://schemas.openxmlformats.org/officeDocument/2006/relationships/hyperlink" Target="https://www.tiktok.com/@nanadd0.7" TargetMode="External"/><Relationship Id="rId1861" Type="http://schemas.openxmlformats.org/officeDocument/2006/relationships/hyperlink" Target="https://www.tiktok.com/@rindi.afrilia/video/7626405447305579797?_r=1&amp;u_code=dja890i3j90f3j&amp;region=&amp;mid=6976878779847297794&amp;preview_pb=0&amp;sharer_language=&amp;_d=0&amp;ec_shared_reflux_dynamic_params=%7B%22placeholder_material_id%22%3A%227626405447305579797%22%2C%22placeholder_origin_cover%22%3A%22https%253A%252F%252Fp16-sign-sg.tiktokcdn.com%252Ftos-alisg-p-0037%252Fogl0iOdKLA44CIqLwIiV6buB9flwb2ziACALWI~tplv-tiktokx-origin.jpeg%253Fdr%253D14572%2526refresh_token%253D88557f60%2526x-expires%253D1808208000%2526x-signature%253D%25252FFZ%25252BaL0AEbVcHC6meaoKc2jZwbA%25253D%2526t%253D4d5b0474%2526ps%253D13740610%2526shp%253Dd05b14bd%2526shcp%253D34ff8df6%2526idc%253Dmy3%2526s%253DTIKTOK_AFFILIATE_VIRAL_VIDEO%22%2C%22placeholder_product_id%22%3A%221729427766722726591%22%2C%22placeholder_video_id%22%3A%227626405447305579797%22%7D&amp;ec_shared_reflux_scene=shop_tab_feed&amp;share_item_id=7626405447305579797&amp;source=h5_t" TargetMode="External"/><Relationship Id="rId1810" Type="http://schemas.openxmlformats.org/officeDocument/2006/relationships/hyperlink" Target="https://vt.tiktok.com/ZSHoAtnrK/" TargetMode="External"/><Relationship Id="rId1811" Type="http://schemas.openxmlformats.org/officeDocument/2006/relationships/hyperlink" Target="https://vt.tiktok.com/ZSHoDYbo7/" TargetMode="External"/><Relationship Id="rId1812" Type="http://schemas.openxmlformats.org/officeDocument/2006/relationships/hyperlink" Target="https://www.tiktok.com/@akuiviii" TargetMode="External"/><Relationship Id="rId1813" Type="http://schemas.openxmlformats.org/officeDocument/2006/relationships/hyperlink" Target="https://www.tiktok.com/@zrly__/video/7627398840076799252" TargetMode="External"/><Relationship Id="rId1814" Type="http://schemas.openxmlformats.org/officeDocument/2006/relationships/hyperlink" Target="https://vt.tiktok.com/ZSxQtuXYb/" TargetMode="External"/><Relationship Id="rId1815" Type="http://schemas.openxmlformats.org/officeDocument/2006/relationships/hyperlink" Target="https://www.tiktok.com/@vhelovey" TargetMode="External"/><Relationship Id="rId1816" Type="http://schemas.openxmlformats.org/officeDocument/2006/relationships/hyperlink" Target="https://www.tiktok.com/@vhelovey/video/7621462070579432725?_r=1&amp;u_code=dei33h1mbk4hhg&amp;region=&amp;mid=7621462144127421205&amp;preview_pb=0&amp;sharer_language=&amp;_d=0&amp;ec_shared_reflux_dynamic_params=%7B%22placeholder_material_id%22%3A%227621462070579432725%22%2C%22placeholder_origin_cover%22%3A%22https%253A%252F%252Fp16-sign-sg.tiktokcdn.com%252Ftos-alisg-p-0037%252FoQBUAvvxWFGvHENBQpEDosf8Q5eKg6HSBQJqKR~tplv-tiktokx-origin.jpeg%253Fdr%253D14572%2526refresh_token%253D58662423%2526x-expires%253D1806051600%2526x-signature%253DJIxcfft%25252FanfFlM6zP6PBbH%25252F7oZ4%25253D%2526t%253D4d5b0474%2526ps%253D13740610%2526shp%253Dd05b14bd%2526shcp%253D34ff8df6%2526idc%253Dmy2%2526s%253DTIKTOK_AFFILIATE_VIRAL_VIDEO%22%2C%22placeholder_product_id%22%3A%221729427766722726591%22%2C%22placeholder_video_id%22%3A%227621462070579432725%22%7D&amp;ec_shared_reflux_scene=shop_tab_feed&amp;share_item_id=7621462070579432725&amp;source=h5_t" TargetMode="External"/><Relationship Id="rId1817" Type="http://schemas.openxmlformats.org/officeDocument/2006/relationships/hyperlink" Target="https://www.tiktok.com/@vhelovey/video/7634118442324479253?_r=1&amp;u_code=dei33h1mbk4hhg&amp;region=&amp;mid=7594513054277126145&amp;preview_pb=0&amp;sharer_language=&amp;_d=0&amp;ec_shared_reflux_dynamic_params=%7B%22placeholder_material_id%22%3A%227634118442324479253%22%2C%22placeholder_origin_cover%22%3A%22https%253A%252F%252Fp16-sign-sg.tiktokcdn.com%252Ftos-alisg-p-0037%252FoI3hiAAiEI4zzIBwK4CfHVIHbv1tBvIAok70Bx~tplv-tiktokx-origin.jpeg%253Fdr%253D14572%2526refresh_token%253D069fe840%2526x-expires%253D1809507600%2526x-signature%253DyQBxQaFzZim9od35qZBCzSOAs6M%25253D%2526t%253D4d5b0474%2526ps%253D13740610%2526shp%253Dd05b14bd%2526shcp%253D34ff8df6%2526idc%253Dmy%2526s%253DTIKTOK_AFFILIATE_VIRAL_VIDEO%22%2C%22placeholder_product_id%22%3A%221729427766722726591%22%2C%22placeholder_video_id%22%3A%227634118442324479253%22%7D&amp;ec_shared_reflux_scene=shop_tab_feed&amp;share_item_id=7634118442324479253&amp;source=h5_t" TargetMode="External"/><Relationship Id="rId1818" Type="http://schemas.openxmlformats.org/officeDocument/2006/relationships/hyperlink" Target="https://www.tiktok.com/@vhelovey/video/7635528931264793877?_r=1&amp;u_code=dei33h1mbk4hhg&amp;region=&amp;mid=7591434567065192449&amp;preview_pb=0&amp;sharer_language=&amp;_d=0&amp;ec_shared_reflux_dynamic_params=%7B%22placeholder_material_id%22%3A%227635528931264793877%22%2C%22placeholder_origin_cover%22%3A%22https%253A%252F%252Fp16-sign-sg.tiktokcdn.com%252Ftos-alisg-p-0037%252Fow9MI0QRvEa2EPBrBjgiMeSgIf2BppiBEBx22A~tplv-tiktokx-origin.jpeg%253Fdr%253D14572%2526refresh_token%253D3d9ca3ff%2526x-expires%253D1809507600%2526x-signature%253DRAjFSO0gVERIo3S7%25252FsTFYhvNqOw%25253D%2526t%253D4d5b0474%2526ps%253D13740610%2526shp%253Dd05b14bd%2526shcp%253D34ff8df6%2526idc%253Dmy%2526s%253DTIKTOK_AFFILIATE_VIRAL_VIDEO%22%2C%22placeholder_product_id%22%3A%221729427766722726591%22%2C%22placeholder_video_id%22%3A%227635528931264793877%22%7D&amp;ec_shared_reflux_scene=shop_tab_feed&amp;share_item_id=7635528931264793877&amp;source=h5_t" TargetMode="External"/><Relationship Id="rId1819" Type="http://schemas.openxmlformats.org/officeDocument/2006/relationships/hyperlink" Target="https://www.tiktok.com/@filianah1998" TargetMode="External"/><Relationship Id="rId4080" Type="http://schemas.openxmlformats.org/officeDocument/2006/relationships/hyperlink" Target="https://www.tiktok.com/@zilasamudra/video/7633415000308092179" TargetMode="External"/><Relationship Id="rId4082" Type="http://schemas.openxmlformats.org/officeDocument/2006/relationships/hyperlink" Target="https://www.tiktok.com/@galeriaha" TargetMode="External"/><Relationship Id="rId4081" Type="http://schemas.openxmlformats.org/officeDocument/2006/relationships/hyperlink" Target="https://www.tiktok.com/@zilasamudra/video/7633641614350601492" TargetMode="External"/><Relationship Id="rId4084" Type="http://schemas.openxmlformats.org/officeDocument/2006/relationships/hyperlink" Target="https://www.tiktok.com/@sinbel28/video/7635538495209098504?_r=1&amp;u_code=d054de3ejd5k82&amp;region=&amp;mid=7512918623132928785&amp;preview_pb=0&amp;sharer_language=&amp;_d=0&amp;ec_shared_reflux_dynamic_params=%7B%22placeholder_material_id%22%3A%227635538495209098504%22%2C%22placeholder_origin_cover%22%3A%22https%253A%252F%252Fp16-sign-sg.tiktokcdn.com%252Ftos-alisg-p-0037%252FocIM20vCwAbo0wIr2dIAjiiAh4B2nfAyFvFudu~tplv-tiktokx-origin.jpeg%253Fdr%253D14572%2526refresh_token%253D6186005d%2526x-expires%253D1809504000%2526x-signature%253DL1ddkUY7CiODd%25252BR%25252F4vy89fMwxCM%25253D%2526t%253D4d5b0474%2526ps%253D13740610%2526shp%253Dd05b14bd%2526shcp%253D34ff8df6%2526idc%253Dmy%2526s%253DTIKTOK_AFFILIATE_VIRAL_VIDEO%22%2C%22placeholder_product_id%22%3A%221729427766722726591%22%2C%22placeholder_video_id%22%3A%227635538495209098504%22%7D&amp;ec_shared_reflux_scene=shop_tab_feed&amp;share_item_id=7635538495209098504&amp;source=h5_t" TargetMode="External"/><Relationship Id="rId4083" Type="http://schemas.openxmlformats.org/officeDocument/2006/relationships/hyperlink" Target="https://www.tiktok.com/@sinbel28/video/7635536996043197714?_r=1&amp;u_code=d054de3ejd5k82&amp;region=&amp;mid=7221264024289086214&amp;preview_pb=0&amp;sharer_language=&amp;_d=0&amp;ec_shared_reflux_dynamic_params=%7B%22placeholder_material_id%22%3A%227635536996043197714%22%2C%22placeholder_origin_cover%22%3A%22https%253A%252F%252Fp16-common-sign.tiktokcdn.com%252Ftos-alisg-p-0037%252Foc8jA5A2IiQJmQqB34pE2BHBeIWMctNfgAhi3R~tplv-tiktokx-origin.jpeg%253Fdr%253D14572%2526refresh_token%253Dc5efa4b1%2526x-expires%253D1809504000%2526x-signature%253DQLJGOxa87jVhMZq4pBgMQaEnDX4%25253D%2526t%253D4d5b0474%2526ps%253D13740610%2526shp%253Dd05b14bd%2526shcp%253D34ff8df6%2526idc%253Dmy%2526s%253DTIKTOK_AFFILIATE_VIRAL_VIDEO%22%2C%22placeholder_product_id%22%3A%221729427766722726591%22%2C%22placeholder_video_id%22%3A%227635536996043197714%22%7D&amp;ec_shared_reflux_scene=shop_tab_feed&amp;share_item_id=7635536996043197714&amp;source=h5_t" TargetMode="External"/><Relationship Id="rId4086" Type="http://schemas.openxmlformats.org/officeDocument/2006/relationships/hyperlink" Target="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eholder_origin_cover%22%3A%22https%253A%252F%252Fp16-common-sign.tiktokcdn.com%252Ftos-alisg-p-0037%252FoofGYgAmBbnFT6RIAFbW9wtri2J2nG45efAfun~tplv-tiktokx-origin.jpeg%253Fdr%253D14572%2526refresh_token%253D9aec4cb5%2526x-expires%253D1809504000%2526x-signature%253DvctWyysZiUs5n87SRHe%25252BG3XeDeI%25253D%2526t%253D4d5b0474%2526ps%253D13740610%2526shp%253Dd05b14bd%2526shcp%253D34ff8df6%2526idc%253Dmy%2526s%253DTIKTOK_AFFILIATE_VIRAL_VIDEO%22%2C%22placeholder_product_id%22%3A%221729427766722726591%22%2C%22placeholder_video_id%22%3A%227635544313203576082%22%7D&amp;ec_shared_reflux_scene=shop_tab_feed&amp;share_item_id=7635544313203576082&amp;source=h5_t" TargetMode="External"/><Relationship Id="rId4085" Type="http://schemas.openxmlformats.org/officeDocument/2006/relationships/hyperlink" Target="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eholder_origin_cover%22%3A%22https%253A%252F%252Fp16-common-sign.tiktokcdn.com%252Ftos-alisg-p-0037%252FosGxxDBwTfDJxuTtCzLIAbGVI7Aj4f9ggQey4c~tplv-tiktokx-origin.jpeg%253Fdr%253D14572%2526refresh_token%253D8a3c5d69%2526x-expires%253D1809504000%2526x-signature%253DlASmPH53f5P2NU2PkB05ZaXJVsk%25253D%2526t%253D4d5b0474%2526ps%253D13740610%2526shp%253Dd05b14bd%2526shcp%253D34ff8df6%2526idc%253Dmy%2526s%253DTIKTOK_AFFILIATE_VIRAL_VIDEO%22%2C%22placeholder_product_id%22%3A%221729427766722726591%22%2C%22placeholder_video_id%22%3A%227635540386219396360%22%7D&amp;ec_shared_reflux_scene=shop_tab_feed&amp;share_item_id=7635540386219396360&amp;source=h5_t" TargetMode="External"/><Relationship Id="rId4088" Type="http://schemas.openxmlformats.org/officeDocument/2006/relationships/hyperlink" Target="https://vt.tiktok.com/ZS9xsCevJ/" TargetMode="External"/><Relationship Id="rId4087" Type="http://schemas.openxmlformats.org/officeDocument/2006/relationships/hyperlink" Target="https://www.tiktok.com/@vitrisalma" TargetMode="External"/><Relationship Id="rId4089" Type="http://schemas.openxmlformats.org/officeDocument/2006/relationships/hyperlink" Target="https://vt.tiktok.com/ZS9xsmftR/" TargetMode="External"/><Relationship Id="rId1800" Type="http://schemas.openxmlformats.org/officeDocument/2006/relationships/hyperlink" Target="https://vt.tiktok.com/ZS9vmkfh8/" TargetMode="External"/><Relationship Id="rId1801" Type="http://schemas.openxmlformats.org/officeDocument/2006/relationships/hyperlink" Target="https://vt.tiktok.com/ZS9vmhg6Y/" TargetMode="External"/><Relationship Id="rId1802" Type="http://schemas.openxmlformats.org/officeDocument/2006/relationships/hyperlink" Target="https://www.tiktok.com/@review_ayu1" TargetMode="External"/><Relationship Id="rId1803" Type="http://schemas.openxmlformats.org/officeDocument/2006/relationships/hyperlink" Target="https://vt.tiktok.com/ZSHEtBhFy/" TargetMode="External"/><Relationship Id="rId1804" Type="http://schemas.openxmlformats.org/officeDocument/2006/relationships/hyperlink" Target="https://vt.tiktok.com/ZSHEtQRSw/" TargetMode="External"/><Relationship Id="rId1805" Type="http://schemas.openxmlformats.org/officeDocument/2006/relationships/hyperlink" Target="https://vt.tiktok.com/ZSHEtxyu2/" TargetMode="External"/><Relationship Id="rId1806" Type="http://schemas.openxmlformats.org/officeDocument/2006/relationships/hyperlink" Target="https://vt.tiktok.com/ZSHEtGUM4/" TargetMode="External"/><Relationship Id="rId1807" Type="http://schemas.openxmlformats.org/officeDocument/2006/relationships/hyperlink" Target="https://www.tiktok.com/@hutamipudji2" TargetMode="External"/><Relationship Id="rId1808" Type="http://schemas.openxmlformats.org/officeDocument/2006/relationships/hyperlink" Target="https://vt.tiktok.com/ZSHEtH44r/" TargetMode="External"/><Relationship Id="rId1809" Type="http://schemas.openxmlformats.org/officeDocument/2006/relationships/hyperlink" Target="https://vt.tiktok.com/ZSHEtpNKo/" TargetMode="External"/><Relationship Id="rId4071" Type="http://schemas.openxmlformats.org/officeDocument/2006/relationships/hyperlink" Target="https://www.tiktok.com/@zilasamudra/video/7633641614350601491" TargetMode="External"/><Relationship Id="rId4070" Type="http://schemas.openxmlformats.org/officeDocument/2006/relationships/hyperlink" Target="https://www.tiktok.com/@zilasamudra/video/7633415000308092178" TargetMode="External"/><Relationship Id="rId4073" Type="http://schemas.openxmlformats.org/officeDocument/2006/relationships/hyperlink" Target="https://www.tiktok.com/@sinbel28/video/7635536996043197714?_r=1&amp;u_code=d054de3ejd5k82&amp;region=&amp;mid=7221264024289086214&amp;preview_pb=0&amp;sharer_language=&amp;_d=0&amp;ec_shared_reflux_dynamic_params=%7B%22placeholder_material_id%22%3A%227635536996043197714%22%2C%22placeholder_origin_cover%22%3A%22https%253A%252F%252Fp16-common-sign.tiktokcdn.com%252Ftos-alisg-p-0037%252Foc8jA5A2IiQJmQqB34pE2BHBeIWMctNfgAhi3R~tplv-tiktokx-origin.jpeg%253Fdr%253D14572%2526refresh_token%253Dc5efa4b1%2526x-expires%253D1809504000%2526x-signature%253DQLJGOxa87jVhMZq4pBgMQaEnDX4%25253D%2526t%253D4d5b0474%2526ps%253D13740610%2526shp%253Dd05b14bd%2526shcp%253D34ff8df6%2526idc%253Dmy%2526s%253DTIKTOK_AFFILIATE_VIRAL_VIDEO%22%2C%22placeholder_product_id%22%3A%221729427766722726591%22%2C%22placeholder_video_id%22%3A%227635536996043197714%22%7D&amp;ec_shared_reflux_scene=shop_tab_feed&amp;share_item_id=7635536996043197714&amp;source=h5_t" TargetMode="External"/><Relationship Id="rId4072" Type="http://schemas.openxmlformats.org/officeDocument/2006/relationships/hyperlink" Target="https://www.tiktok.com/@dinapurnama20_" TargetMode="External"/><Relationship Id="rId4075" Type="http://schemas.openxmlformats.org/officeDocument/2006/relationships/hyperlink" Target="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eholder_origin_cover%22%3A%22https%253A%252F%252Fp16-common-sign.tiktokcdn.com%252Ftos-alisg-p-0037%252FosGxxDBwTfDJxuTtCzLIAbGVI7Aj4f9ggQey4c~tplv-tiktokx-origin.jpeg%253Fdr%253D14572%2526refresh_token%253D8a3c5d69%2526x-expires%253D1809504000%2526x-signature%253DlASmPH53f5P2NU2PkB05ZaXJVsk%25253D%2526t%253D4d5b0474%2526ps%253D13740610%2526shp%253Dd05b14bd%2526shcp%253D34ff8df6%2526idc%253Dmy%2526s%253DTIKTOK_AFFILIATE_VIRAL_VIDEO%22%2C%22placeholder_product_id%22%3A%221729427766722726591%22%2C%22placeholder_video_id%22%3A%227635540386219396360%22%7D&amp;ec_shared_reflux_scene=shop_tab_feed&amp;share_item_id=7635540386219396360&amp;source=h5_t" TargetMode="External"/><Relationship Id="rId4074" Type="http://schemas.openxmlformats.org/officeDocument/2006/relationships/hyperlink" Target="https://www.tiktok.com/@sinbel28/video/7635538495209098504?_r=1&amp;u_code=d054de3ejd5k82&amp;region=&amp;mid=7512918623132928785&amp;preview_pb=0&amp;sharer_language=&amp;_d=0&amp;ec_shared_reflux_dynamic_params=%7B%22placeholder_material_id%22%3A%227635538495209098504%22%2C%22placeholder_origin_cover%22%3A%22https%253A%252F%252Fp16-sign-sg.tiktokcdn.com%252Ftos-alisg-p-0037%252FocIM20vCwAbo0wIr2dIAjiiAh4B2nfAyFvFudu~tplv-tiktokx-origin.jpeg%253Fdr%253D14572%2526refresh_token%253D6186005d%2526x-expires%253D1809504000%2526x-signature%253DL1ddkUY7CiODd%25252BR%25252F4vy89fMwxCM%25253D%2526t%253D4d5b0474%2526ps%253D13740610%2526shp%253Dd05b14bd%2526shcp%253D34ff8df6%2526idc%253Dmy%2526s%253DTIKTOK_AFFILIATE_VIRAL_VIDEO%22%2C%22placeholder_product_id%22%3A%221729427766722726591%22%2C%22placeholder_video_id%22%3A%227635538495209098504%22%7D&amp;ec_shared_reflux_scene=shop_tab_feed&amp;share_item_id=7635538495209098504&amp;source=h5_t" TargetMode="External"/><Relationship Id="rId4077" Type="http://schemas.openxmlformats.org/officeDocument/2006/relationships/hyperlink" Target="https://www.tiktok.com/@oksitosiiiiiin" TargetMode="External"/><Relationship Id="rId4076" Type="http://schemas.openxmlformats.org/officeDocument/2006/relationships/hyperlink" Target="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eholder_origin_cover%22%3A%22https%253A%252F%252Fp16-common-sign.tiktokcdn.com%252Ftos-alisg-p-0037%252FoofGYgAmBbnFT6RIAFbW9wtri2J2nG45efAfun~tplv-tiktokx-origin.jpeg%253Fdr%253D14572%2526refresh_token%253D9aec4cb5%2526x-expires%253D1809504000%2526x-signature%253DvctWyysZiUs5n87SRHe%25252BG3XeDeI%25253D%2526t%253D4d5b0474%2526ps%253D13740610%2526shp%253Dd05b14bd%2526shcp%253D34ff8df6%2526idc%253Dmy%2526s%253DTIKTOK_AFFILIATE_VIRAL_VIDEO%22%2C%22placeholder_product_id%22%3A%221729427766722726591%22%2C%22placeholder_video_id%22%3A%227635544313203576082%22%7D&amp;ec_shared_reflux_scene=shop_tab_feed&amp;share_item_id=7635544313203576082&amp;source=h5_t" TargetMode="External"/><Relationship Id="rId4079" Type="http://schemas.openxmlformats.org/officeDocument/2006/relationships/hyperlink" Target="https://vt.tiktok.com/ZS9xsmftR/" TargetMode="External"/><Relationship Id="rId4078" Type="http://schemas.openxmlformats.org/officeDocument/2006/relationships/hyperlink" Target="https://vt.tiktok.com/ZS9xsCevJ/" TargetMode="External"/><Relationship Id="rId1830" Type="http://schemas.openxmlformats.org/officeDocument/2006/relationships/hyperlink" Target="https://vt.tiktok.com/ZSHacjJDG/" TargetMode="External"/><Relationship Id="rId1831" Type="http://schemas.openxmlformats.org/officeDocument/2006/relationships/hyperlink" Target="https://vt.tiktok.com/ZSHac82x2/" TargetMode="External"/><Relationship Id="rId1832" Type="http://schemas.openxmlformats.org/officeDocument/2006/relationships/hyperlink" Target="https://www.tiktok.com/@rindi.afrilia/video/7622696374244576533?_r=1&amp;u_code=dja890i3j90f3j&amp;region=&amp;mid=7546238952196212752&amp;preview_pb=0&amp;sharer_language=&amp;_d=0&amp;ec_shared_reflux_dynamic_params=%7B%22placeholder_material_id%22%3A%227622696374244576533%22%2C%22placeholder_origin_cover%22%3A%22https%253A%252F%252Fp16-sign-sg.tiktokcdn.com%252Ftos-alisg-p-0037%252FoIUBeDMfLJupFBA0QHguRQtDgEjEcbE0odyRQp~tplv-tiktokx-origin.jpeg%253Fdr%253D14572%2526refresh_token%253De29c2294%2526x-expires%253D1807070400%2526x-signature%253DoLnoI41vl7X5vT92a3DpCkr7QsM%25253D%2526t%253D4d5b0474%2526ps%253D13740610%2526shp%253Dd05b14bd%2526shcp%253D34ff8df6%2526idc%253Dmy2%2526s%253DTIKTOK_AFFILIATE_VIRAL_VIDEO%22%2C%22placeholder_product_id%22%3A%221729427766722726591%22%2C%22placeholder_video_id%22%3A%227622696374244576533%22%7D&amp;ec_shared_reflux_scene=shop_tab_feed&amp;share_item_id=7622696374244576533&amp;source=h5_t" TargetMode="External"/><Relationship Id="rId1833" Type="http://schemas.openxmlformats.org/officeDocument/2006/relationships/hyperlink" Target="https://vt.tiktok.com/ZSHacF9hH/" TargetMode="External"/><Relationship Id="rId1834" Type="http://schemas.openxmlformats.org/officeDocument/2006/relationships/hyperlink" Target="https://www.tiktok.com/@skincare.glowwww" TargetMode="External"/><Relationship Id="rId1835" Type="http://schemas.openxmlformats.org/officeDocument/2006/relationships/hyperlink" Target="https://www.tiktok.com/@skincare.glowwww/video/7630114996415974672?_r=1&amp;u_code=e6kj1c0bjaf360&amp;region=&amp;mid=7621425028072065810&amp;preview_pb=0&amp;sharer_language=&amp;_d=0&amp;ec_shared_reflux_dynamic_params=%7B%22placeholder_material_id%22%3A%227630114996415974672%22%2C%22placeholder_origin_cover%22%3A%22https%253A%252F%252Fp16-common-sign.tiktokcdn.com%252Ftos-alisg-p-0037%252FoEGH8ofDgCrxFgIlqejOIDGDeqT0zAtMC4A2LT~tplv-tiktokx-origin.jpeg%253Fdr%253D14572%2526refresh_token%253D99a98312%2526x-expires%253D1808204400%2526x-signature%253DLQINxngzlCC35A0PWOlepLeprzE%25253D%2526t%253D4d5b0474%2526ps%253D13740610%2526shp%253Dd05b14bd%2526shcp%253D34ff8df6%2526idc%253Dmy3%2526s%253DTIKTOK_AFFILIATE_VIRAL_VIDEO%22%2C%22placeholder_product_id%22%3A%221729427766722726591%22%2C%22placeholder_video_id%22%3A%227630114996415974672%22%7D&amp;ec_shared_reflux_scene=shop_tab_feed&amp;share_item_id=7630114996415974672&amp;source=h5_t" TargetMode="External"/><Relationship Id="rId1836" Type="http://schemas.openxmlformats.org/officeDocument/2006/relationships/hyperlink" Target="https://www.tiktok.com/@skincare.glowwww/video/7629717705192426753?is_from_webapp=1&amp;sender_device=pc&amp;web_id=7611930277489657360" TargetMode="External"/><Relationship Id="rId1837" Type="http://schemas.openxmlformats.org/officeDocument/2006/relationships/hyperlink" Target="https://www.tiktok.com/@skincare.glowwww/video/7630114996415974672?is_from_webapp=1&amp;sender_device=pc&amp;web_id=7611930277489657360" TargetMode="External"/><Relationship Id="rId1838" Type="http://schemas.openxmlformats.org/officeDocument/2006/relationships/hyperlink" Target="https://www.tiktok.com/@skincare.glowwww/video/7631762742206123280?is_from_webapp=1&amp;sender_device=pc&amp;web_id=7611930277489657360" TargetMode="External"/><Relationship Id="rId1839" Type="http://schemas.openxmlformats.org/officeDocument/2006/relationships/hyperlink" Target="https://www.tiktok.com/@anitamuu" TargetMode="External"/><Relationship Id="rId1820" Type="http://schemas.openxmlformats.org/officeDocument/2006/relationships/hyperlink" Target="https://vt.tiktok.com/ZSHacQR7w/" TargetMode="External"/><Relationship Id="rId1821" Type="http://schemas.openxmlformats.org/officeDocument/2006/relationships/hyperlink" Target="https://vt.tiktok.com/ZSHoY8DFa/" TargetMode="External"/><Relationship Id="rId1822" Type="http://schemas.openxmlformats.org/officeDocument/2006/relationships/hyperlink" Target="https://vt.tiktok.com/ZS9nvrdvp/" TargetMode="External"/><Relationship Id="rId1823" Type="http://schemas.openxmlformats.org/officeDocument/2006/relationships/hyperlink" Target="https://vt.tiktok.com/ZS9nvKydP/" TargetMode="External"/><Relationship Id="rId1824" Type="http://schemas.openxmlformats.org/officeDocument/2006/relationships/hyperlink" Target="https://www.tiktok.com/@ulfadianita" TargetMode="External"/><Relationship Id="rId1825" Type="http://schemas.openxmlformats.org/officeDocument/2006/relationships/hyperlink" Target="https://www.tiktok.com/@skinbeauty.id/video/7628460453693377812?_r=1&amp;u_code=db2el50hhee557&amp;region=&amp;mid=7628460516763912977&amp;preview_pb=0&amp;sharer_language=&amp;_d=0&amp;ec_shared_reflux_dynamic_params=%7B%22placeholder_material_id%22%3A%227628460453693377812%22%2C%22placeholder_origin_cover%22%3A%22https%253A%252F%252Fp16-common-sign.tiktokcdn.com%252Ftos-alisg-p-0037%252FoQIi8WIxEiGFAwXzAvB2cY6VTHB2UluaddBPb~tplv-tiktokx-origin.jpeg%253Fdr%253D14572%2526refresh_token%253Db12a224a%2526x-expires%253D1808208000%2526x-signature%253Dlru0WGuj1pd5DCcjAS0ZUHyaHuQ%25253D%2526t%253D4d5b0474%2526ps%253D13740610%2526shp%253Dd05b14bd%2526shcp%253D34ff8df6%2526idc%253Dmy3%2526s%253DTIKTOK_AFFILIATE_VIRAL_VIDEO%22%2C%22placeholder_product_id%22%3A%221729427766722726591%22%2C%22placeholder_video_id%22%3A%227628460453693377812%22%7D&amp;ec_shared_reflux_scene=shop_tab_feed&amp;share_item_id=7628460453693377812&amp;source=h5_t" TargetMode="External"/><Relationship Id="rId1826" Type="http://schemas.openxmlformats.org/officeDocument/2006/relationships/hyperlink" Target="https://www.tiktok.com/@mbk_cantik2309/video/7623645215320001799?_r=1&amp;u_code=d1gjfh028dg736&amp;region=&amp;mid=7514881014267923216&amp;preview_pb=0&amp;sharer_language=&amp;_d=0&amp;ec_shared_reflux_dynamic_params=%7B%22placeholder_material_id%22%3A%227623645215320001799%22%2C%22placeholder_origin_cover%22%3A%22https%253A%252F%252Fp16-common-sign.tiktokcdn.com%252Ftos-alisg-p-0037%252Fok5geKtwT8DexBpyCKLIAGGhImAjUxaggEeioU~tplv-tiktokx-origin.jpeg%253Fdr%253D14572%2526refresh_token%253Deee45406%2526x-expires%253D1808208000%2526x-signature%253DgATyNsiWH%25252B0mw%25252BU5EfPHhdvNqrE%25253D%2526t%253D4d5b0474%2526ps%253D13740610%2526shp%253Dd05b14bd%2526shcp%253D34ff8df6%2526idc%253Dmy3%2526s%253DTIKTOK_AFFILIATE_VIRAL_VIDEO%22%2C%22placeholder_product_id%22%3A%221729427766722726591%22%2C%22placeholder_video_id%22%3A%227623645215320001799%22%7D&amp;ec_shared_reflux_scene=shop_tab_feed&amp;share_item_id=7623645215320001799&amp;source=h5_t" TargetMode="External"/><Relationship Id="rId1827" Type="http://schemas.openxmlformats.org/officeDocument/2006/relationships/hyperlink" Target="https://www.tiktok.com/@mbk_cantik2309/video/7626950869862468872?_r=1&amp;u_code=d1gjfh028dg736&amp;region=&amp;mid=7594856345195662081&amp;preview_pb=0&amp;sharer_language=&amp;_d=0&amp;ec_shared_reflux_dynamic_params=%7B%22placeholder_material_id%22%3A%227626950869862468872%22%2C%22placeholder_origin_cover%22%3A%22https%253A%252F%252Fp16-common-sign.tiktokcdn.com%252Ftos-alisg-p-0037%252FoEm2UQcQD8e5FBvTgEfvAnFp3FM2zpBEV0kRJw~tplv-tiktokx-origin.jpeg%253Fdr%253D14572%2526refresh_token%253D9d5284b9%2526x-expires%253D1808208000%2526x-signature%253DCSOvTelEnqgO4dgqocLhlhyUKpA%25253D%2526t%253D4d5b0474%2526ps%253D13740610%2526shp%253Dd05b14bd%2526shcp%253D34ff8df6%2526idc%253Dmy3%2526s%253DTIKTOK_AFFILIATE_VIRAL_VIDEO%22%2C%22placeholder_product_id%22%3A%221729427766722726591%22%2C%22placeholder_video_id%22%3A%227626950869862468872%22%7D&amp;ec_shared_reflux_scene=shop_tab_feed&amp;share_item_id=7626950869862468872&amp;source=h5_t" TargetMode="External"/><Relationship Id="rId1828" Type="http://schemas.openxmlformats.org/officeDocument/2006/relationships/hyperlink" Target="https://www.tiktok.com/@mbk_cantik2309/video/7630361343257857298?_r=1&amp;u_code=d1gjfh028dg736&amp;region=&amp;mid=7616816741914168071&amp;preview_pb=0&amp;sharer_language=&amp;_d=0&amp;ec_shared_reflux_dynamic_params=%7B%22placeholder_material_id%22%3A%227630361343257857298%22%2C%22placeholder_origin_cover%22%3A%22https%253A%252F%252Fp16-sign-sg.tiktokcdn.com%252Ftos-alisg-p-0037%252FoMQvg4e8Po8gyXIjdeyTUMWl479MGuADAeqORC~tplv-tiktokx-origin.jpeg%253Fdr%253D14572%2526refresh_token%253Da9efcd64%2526x-expires%253D1808208000%2526x-signature%253DY8v35riX7Fcy9sj3TJfqIL6mANs%25253D%2526t%253D4d5b0474%2526ps%253D13740610%2526shp%253Dd05b14bd%2526shcp%253D34ff8df6%2526idc%253Dmy3%2526s%253DTIKTOK_AFFILIATE_VIRAL_VIDEO%22%2C%22placeholder_product_id%22%3A%221729427766722726591%22%2C%22placeholder_video_id%22%3A%227630361343257857298%22%7D&amp;ec_shared_reflux_scene=shop_tab_feed&amp;share_item_id=7630361343257857298&amp;source=h5_t" TargetMode="External"/><Relationship Id="rId1829" Type="http://schemas.openxmlformats.org/officeDocument/2006/relationships/hyperlink" Target="https://www.tiktok.com/@rindi.afrilia" TargetMode="External"/><Relationship Id="rId4091" Type="http://schemas.openxmlformats.org/officeDocument/2006/relationships/hyperlink" Target="https://www.tiktok.com/@zilasamudra/video/7633641614350601493" TargetMode="External"/><Relationship Id="rId4090" Type="http://schemas.openxmlformats.org/officeDocument/2006/relationships/hyperlink" Target="https://www.tiktok.com/@zilasamudra/video/7633415000308092180" TargetMode="External"/><Relationship Id="rId4093" Type="http://schemas.openxmlformats.org/officeDocument/2006/relationships/hyperlink" Target="https://www.tiktok.com/@citraayunisafran/video/7631675761652419860?_r=1&amp;u_code=clcei2445f00li&amp;region=&amp;mid=7631675819886185237&amp;preview_pb=0&amp;sharer_language=&amp;_d=0&amp;ec_shared_reflux_dynamic_params=%7B%22placeholder_material_id%22%3A%227631675761652419860%22%2C%22placeholder_origin_cover%22%3A%22https%253A%252F%252Fp16-common-sign.tiktokcdn.com%252Ftos-alisg-p-0037%252FoQP0bdoWOAm4BIzVwIiLeKuBjPtFGLkiACAzpI~tplv-tiktokx-origin.jpeg%253Fdr%253D14572%2526refresh_token%253D6f44e6ef%2526x-expires%253D1808470800%2526x-signature%253DJ4L7lf058Q69%25252FXfv2gNEvyBH29o%25253D%2526t%253D4d5b0474%2526ps%253D13740610%2526shp%253Dd05b14bd%2526shcp%253D34ff8df6%2526idc%253Dmy3%2526s%253DTIKTOK_AFFILIATE_VIRAL_VIDEO%22%2C%22placeholder_product_id%22%3A%221729427766722726591%22%2C%22placeholder_video_id%22%3A%227631675761652419860%22%7D&amp;ec_shared_reflux_scene=shop_tab_feed&amp;share_item_id=7631675761652419860&amp;source=h5_t" TargetMode="External"/><Relationship Id="rId4092" Type="http://schemas.openxmlformats.org/officeDocument/2006/relationships/hyperlink" Target="https://www.tiktok.com/@citraayunisafran" TargetMode="External"/><Relationship Id="rId4095" Type="http://schemas.openxmlformats.org/officeDocument/2006/relationships/hyperlink" Target="https://www.tiktok.com/@Sinbel28" TargetMode="External"/><Relationship Id="rId4094" Type="http://schemas.openxmlformats.org/officeDocument/2006/relationships/hyperlink" Target="https://www.tiktok.com/@fidiassanad" TargetMode="External"/><Relationship Id="rId4097" Type="http://schemas.openxmlformats.org/officeDocument/2006/relationships/hyperlink" Target="https://www.tiktok.com/@sinbel28/video/7635538495209098504?_r=1&amp;u_code=d054de3ejd5k82&amp;region=&amp;mid=7512918623132928785&amp;preview_pb=0&amp;sharer_language=&amp;_d=0&amp;ec_shared_reflux_dynamic_params=%7B%22placeholder_material_id%22%3A%227635538495209098504%22%2C%22placeholder_origin_cover%22%3A%22https%253A%252F%252Fp16-sign-sg.tiktokcdn.com%252Ftos-alisg-p-0037%252FocIM20vCwAbo0wIr2dIAjiiAh4B2nfAyFvFudu~tplv-tiktokx-origin.jpeg%253Fdr%253D14572%2526refresh_token%253D6186005d%2526x-expires%253D1809504000%2526x-signature%253DL1ddkUY7CiODd%25252BR%25252F4vy89fMwxCM%25253D%2526t%253D4d5b0474%2526ps%253D13740610%2526shp%253Dd05b14bd%2526shcp%253D34ff8df6%2526idc%253Dmy%2526s%253DTIKTOK_AFFILIATE_VIRAL_VIDEO%22%2C%22placeholder_product_id%22%3A%221729427766722726591%22%2C%22placeholder_video_id%22%3A%227635538495209098504%22%7D&amp;ec_shared_reflux_scene=shop_tab_feed&amp;share_item_id=7635538495209098504&amp;source=h5_t" TargetMode="External"/><Relationship Id="rId4096" Type="http://schemas.openxmlformats.org/officeDocument/2006/relationships/hyperlink" Target="https://www.tiktok.com/@sinbel28/video/7635536996043197714?_r=1&amp;u_code=d054de3ejd5k82&amp;region=&amp;mid=7221264024289086214&amp;preview_pb=0&amp;sharer_language=&amp;_d=0&amp;ec_shared_reflux_dynamic_params=%7B%22placeholder_material_id%22%3A%227635536996043197714%22%2C%22placeholder_origin_cover%22%3A%22https%253A%252F%252Fp16-common-sign.tiktokcdn.com%252Ftos-alisg-p-0037%252Foc8jA5A2IiQJmQqB34pE2BHBeIWMctNfgAhi3R~tplv-tiktokx-origin.jpeg%253Fdr%253D14572%2526refresh_token%253Dc5efa4b1%2526x-expires%253D1809504000%2526x-signature%253DQLJGOxa87jVhMZq4pBgMQaEnDX4%25253D%2526t%253D4d5b0474%2526ps%253D13740610%2526shp%253Dd05b14bd%2526shcp%253D34ff8df6%2526idc%253Dmy%2526s%253DTIKTOK_AFFILIATE_VIRAL_VIDEO%22%2C%22placeholder_product_id%22%3A%221729427766722726591%22%2C%22placeholder_video_id%22%3A%227635536996043197714%22%7D&amp;ec_shared_reflux_scene=shop_tab_feed&amp;share_item_id=7635536996043197714&amp;source=h5_t" TargetMode="External"/><Relationship Id="rId4099" Type="http://schemas.openxmlformats.org/officeDocument/2006/relationships/hyperlink" Target="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eholder_origin_cover%22%3A%22https%253A%252F%252Fp16-common-sign.tiktokcdn.com%252Ftos-alisg-p-0037%252FoofGYgAmBbnFT6RIAFbW9wtri2J2nG45efAfun~tplv-tiktokx-origin.jpeg%253Fdr%253D14572%2526refresh_token%253D9aec4cb5%2526x-expires%253D1809504000%2526x-signature%253DvctWyysZiUs5n87SRHe%25252BG3XeDeI%25253D%2526t%253D4d5b0474%2526ps%253D13740610%2526shp%253Dd05b14bd%2526shcp%253D34ff8df6%2526idc%253Dmy%2526s%253DTIKTOK_AFFILIATE_VIRAL_VIDEO%22%2C%22placeholder_product_id%22%3A%221729427766722726591%22%2C%22placeholder_video_id%22%3A%227635544313203576082%22%7D&amp;ec_shared_reflux_scene=shop_tab_feed&amp;share_item_id=7635544313203576082&amp;source=h5_t" TargetMode="External"/><Relationship Id="rId4098" Type="http://schemas.openxmlformats.org/officeDocument/2006/relationships/hyperlink" Target="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eholder_origin_cover%22%3A%22https%253A%252F%252Fp16-common-sign.tiktokcdn.com%252Ftos-alisg-p-0037%252FosGxxDBwTfDJxuTtCzLIAbGVI7Aj4f9ggQey4c~tplv-tiktokx-origin.jpeg%253Fdr%253D14572%2526refresh_token%253D8a3c5d69%2526x-expires%253D1809504000%2526x-signature%253DlASmPH53f5P2NU2PkB05ZaXJVsk%25253D%2526t%253D4d5b0474%2526ps%253D13740610%2526shp%253Dd05b14bd%2526shcp%253D34ff8df6%2526idc%253Dmy%2526s%253DTIKTOK_AFFILIATE_VIRAL_VIDEO%22%2C%22placeholder_product_id%22%3A%221729427766722726591%22%2C%22placeholder_video_id%22%3A%227635540386219396360%22%7D&amp;ec_shared_reflux_scene=shop_tab_feed&amp;share_item_id=7635540386219396360&amp;source=h5_t" TargetMode="External"/><Relationship Id="rId1895" Type="http://schemas.openxmlformats.org/officeDocument/2006/relationships/hyperlink" Target="https://www.tiktok.com/@valeluwu" TargetMode="External"/><Relationship Id="rId1896" Type="http://schemas.openxmlformats.org/officeDocument/2006/relationships/hyperlink" Target="https://vt.tiktok.com/ZSHEtMG3K/" TargetMode="External"/><Relationship Id="rId1897" Type="http://schemas.openxmlformats.org/officeDocument/2006/relationships/hyperlink" Target="https://vt.tiktok.com/ZSHEGWyoH/" TargetMode="External"/><Relationship Id="rId1898" Type="http://schemas.openxmlformats.org/officeDocument/2006/relationships/hyperlink" Target="https://www.tiktok.com/@racunbyyola/video/7630065330802494728?_r=1&amp;u_code=did1gld0iebd1c&amp;region=&amp;mid=7630065375694129936&amp;preview_pb=0&amp;sharer_language=&amp;_d=0&amp;ec_shared_reflux_dynamic_params=%7B%22placeholder_material_id%22%3A%227630065330802494728%22%2C%22placeholder_origin_cover%22%3A%22https%253A%252F%252Fp16-common-sign.tiktokcdn.com%252Ftos-alisg-p-0037%252FocB8ap2BXheiEaiREMIBAiAUGcgfGQ7jYz4IAB~tplv-tiktokx-origin.jpeg%253Fdr%253D14572%2526refresh_token%253Da5f11e16%2526x-expires%253D1808208000%2526x-signature%253DcbJbCq3Fpkn2ir2J%25252Bka2oeqz7WI%25253D%2526t%253D4d5b0474%2526ps%253D13740610%2526shp%253Dd05b14bd%2526shcp%253D34ff8df6%2526idc%253Dmy3%2526s%253DTIKTOK_AFFILIATE_VIRAL_VIDEO%22%2C%22placeholder_product_id%22%3A%221729427766722726591%22%2C%22placeholder_video_id%22%3A%227630065330802494728%22%7D&amp;ec_shared_reflux_scene=shop_tab_feed&amp;share_item_id=7630065330802494728&amp;source=h5_t" TargetMode="External"/><Relationship Id="rId1899" Type="http://schemas.openxmlformats.org/officeDocument/2006/relationships/hyperlink" Target="https://www.tiktok.com/@racunbyyola/video/7629593891980856583?_r=1&amp;u_code=did1gld0iebd1c&amp;region=&amp;mid=7626785194000435989&amp;preview_pb=0&amp;sharer_language=&amp;_d=0&amp;ec_shared_reflux_dynamic_params=%7B%22placeholder_material_id%22%3A%227629593891980856583%22%2C%22placeholder_origin_cover%22%3A%22https%253A%252F%252Fp16-common-sign.tiktokcdn.com%252Ftos-alisg-p-0037%252FoUYqgAeW4wgGchjfIvAwgXLIyExVdTDoGfD4C8~tplv-tiktokx-origin.jpeg%253Fdr%253D14572%2526refresh_token%253D9aec367e%2526x-expires%253D1808208000%2526x-signature%253D%25252F%25252B%25252BaxY3nN757cy7wOQQiNTbZ%25252Fng%25253D%2526t%253D4d5b0474%2526ps%253D13740610%2526shp%253Dd05b14bd%2526shcp%253D34ff8df6%2526idc%253Dmy3%2526s%253DTIKTOK_AFFILIATE_VIRAL_VIDEO%22%2C%22placeholder_product_id%22%3A%221729427766722726591%22%2C%22placeholder_video_id%22%3A%227629593891980856583%22%7D&amp;ec_shared_reflux_scene=shop_tab_feed&amp;share_item_id=7629593891980856583&amp;source=h5_t" TargetMode="External"/><Relationship Id="rId1890" Type="http://schemas.openxmlformats.org/officeDocument/2006/relationships/hyperlink" Target="https://www.tiktok.com/@noiamig" TargetMode="External"/><Relationship Id="rId1891" Type="http://schemas.openxmlformats.org/officeDocument/2006/relationships/hyperlink" Target="https://www.tiktok.com/@outfitce_/video/7621065743576091924?_r=1&amp;u_code=e0898kg4gbb4c7&amp;region=&amp;mid=7608156113497983765&amp;preview_pb=0&amp;sharer_language=&amp;_d=0&amp;ec_shared_reflux_dynamic_params=%7B%22placeholder_material_id%22%3A%227621065743576091924%22%2C%22placeholder_origin_cover%22%3A%22https%253A%252F%252Fp16-sign-sg.tiktokcdn.com%252Ftos-alisg-p-0037%252FoskIZcLhlgGxxCDA2E3Ae3IOTNghjeZD48eu2C~tplv-tiktokx-origin.jpeg%253Fdr%253D14572%2526refresh_token%253Daf525b3c%2526x-expires%253D1808204400%2526x-signature%253DgXavmln8eT8Ho4towRpY5qZb9L8%25253D%2526t%253D4d5b0474%2526ps%253D13740610%2526shp%253Dd05b14bd%2526shcp%253D34ff8df6%2526idc%253Dmy3%2526s%253DTIKTOK_AFFILIATE_VIRAL_VIDEO%22%2C%22placeholder_product_id%22%3A%221729427766722726591%22%2C%22placeholder_video_id%22%3A%227621065743576091924%22%7D&amp;ec_shared_reflux_scene=shop_tab_feed&amp;share_item_id=7621065743576091924&amp;source=h5_t" TargetMode="External"/><Relationship Id="rId1892" Type="http://schemas.openxmlformats.org/officeDocument/2006/relationships/hyperlink" Target="https://www.tiktok.com/@outfitce_/video/7621378061828754709?_r=1&amp;u_code=e0898kg4gbb4c7&amp;region=&amp;mid=7608156113497983765&amp;preview_pb=0&amp;sharer_language=&amp;_d=0&amp;ec_shared_reflux_dynamic_params=%7B%22placeholder_material_id%22%3A%227621378061828754709%22%2C%22placeholder_origin_cover%22%3A%22https%253A%252F%252Fp16-sign-sg.tiktokcdn.com%252Ftos-alisg-p-0037%252FosviaBAYB2iJBS7EZKEIIT41ANFokySpw9cVP~tplv-tiktokx-origin.jpeg%253Fdr%253D14572%2526refresh_token%253Dd229a722%2526x-expires%253D1808204400%2526x-signature%253DYvaXtyLoCcnbFMJakvrZq2zJHLo%25253D%2526t%253D4d5b0474%2526ps%253D13740610%2526shp%253Dd05b14bd%2526shcp%253D34ff8df6%2526idc%253Dmy3%2526s%253DTIKTOK_AFFILIATE_VIRAL_VIDEO%22%2C%22placeholder_product_id%22%3A%221729427766722726591%22%2C%22placeholder_video_id%22%3A%227621378061828754709%22%7D&amp;ec_shared_reflux_scene=shop_tab_feed&amp;share_item_id=7621378061828754709&amp;source=h5_t" TargetMode="External"/><Relationship Id="rId1893" Type="http://schemas.openxmlformats.org/officeDocument/2006/relationships/hyperlink" Target="https://www.tiktok.com/@outfitce_/video/7621497388913511701?_r=1&amp;u_code=e0898kg4gbb4c7&amp;region=&amp;mid=7608156113497983765&amp;preview_pb=0&amp;sharer_language=&amp;_d=0&amp;ec_shared_reflux_dynamic_params=%7B%22placeholder_material_id%22%3A%227621497388913511701%22%2C%22placeholder_origin_cover%22%3A%22https%253A%252F%252Fp16-sign-sg.tiktokcdn.com%252Ftos-alisg-p-0037%252FoYnegJuRAMQzbACoUfZF8W4P7GQIngfuGfENcG~tplv-tiktokx-origin.jpeg%253Fdr%253D14572%2526refresh_token%253Df156d112%2526x-expires%253D1808204400%2526x-signature%253DejD5NfZLbqm3st8kqgj7O9tFBTY%25253D%2526t%253D4d5b0474%2526ps%253D13740610%2526shp%253Dd05b14bd%2526shcp%253D34ff8df6%2526idc%253Dmy3%2526s%253DTIKTOK_AFFILIATE_VIRAL_VIDEO%22%2C%22placeholder_product_id%22%3A%221729427766722726591%22%2C%22placeholder_video_id%22%3A%227621497388913511701%22%7D&amp;ec_shared_reflux_scene=shop_tab_feed&amp;share_item_id=7621497388913511701&amp;source=h5_t" TargetMode="External"/><Relationship Id="rId1894" Type="http://schemas.openxmlformats.org/officeDocument/2006/relationships/hyperlink" Target="https://www.tiktok.com/@outfitce_/video/7621850978186267925?_r=1&amp;u_code=e0898kg4gbb4c7&amp;region=&amp;mid=7608156113497983765&amp;preview_pb=0&amp;sharer_language=&amp;_d=0&amp;ec_shared_reflux_dynamic_params=%7B%22placeholder_material_id%22%3A%227621850978186267925%22%2C%22placeholder_origin_cover%22%3A%22https%253A%252F%252Fp16-sign-sg.tiktokcdn.com%252Ftos-alisg-p-0037%252FoQMYIDALoIMyrjBAHEIjfGIIFeQvGejCoSrTVG~tplv-tiktokx-origin.jpeg%253Fdr%253D14572%2526refresh_token%253D160cfcc6%2526x-expires%253D1808204400%2526x-signature%253DUToEyh6RFVYsLBNaKayyw6WdadI%25253D%2526t%253D4d5b0474%2526ps%253D13740610%2526shp%253Dd05b14bd%2526shcp%253D34ff8df6%2526idc%253Dmy3%2526s%253DTIKTOK_AFFILIATE_VIRAL_VIDEO%22%2C%22placeholder_product_id%22%3A%221729427766722726591%22%2C%22placeholder_video_id%22%3A%227621850978186267925%22%7D&amp;ec_shared_reflux_scene=shop_tab_feed&amp;share_item_id=7621850978186267925&amp;source=h5_t" TargetMode="External"/><Relationship Id="rId1884" Type="http://schemas.openxmlformats.org/officeDocument/2006/relationships/hyperlink" Target="https://www.tiktok.com/@outfitce_/video/7623613966895336724?_d=0&amp;_r=1&amp;ec_shared_reflux_dynamic_params=%7B%22placeholder_material_id%22%3A%227623613966895336724%22%2C%22placeholder_origin_cover%22%3A%22https%253A%252F%252Fp16-common-sign.tiktokcdn.com%252Ftos-alisg-p-0037%252FoYIMRp4YzzzEEhMlBAIGf5SfBiygGFIDBTcBNI~tplv-tiktokx-origin.jpeg%253Fdr%253D14572%2526refresh_token%253D49c19529%2526x-expires%253D1808204400%2526x-signature%253DEH%25252FFmgiv0iaxloGwwvarUXqycYA%25253D%2526t%253D4d5b0474%2526ps%253D13740610%2526shp%253Dd05b14bd%2526shcp%253D34ff8df6%2526idc%253Dmy3%2526s%253DTIKTOK_AFFILIATE_VIRAL_VIDEO%22%2C%22placeholder_product_id%22%3A%221729427766722726591%22%2C%22placeholder_video_id%22%3A%227623613966895336724%22%7D&amp;ec_shared_reflux_scene=shop_tab_feed&amp;mid=7588095810769668882&amp;preview_pb=0&amp;region=&amp;share_item_id=7623613966895336724&amp;sharer_language=&amp;source=h5_t&amp;u_code=e0898kg4gbb4c7" TargetMode="External"/><Relationship Id="rId1885" Type="http://schemas.openxmlformats.org/officeDocument/2006/relationships/hyperlink" Target="https://www.tiktok.com/@endah_wulandhari" TargetMode="External"/><Relationship Id="rId1886" Type="http://schemas.openxmlformats.org/officeDocument/2006/relationships/hyperlink" Target="https://www.tiktok.com/@outfitce_/video/7621923426730593556?_r=1&amp;u_code=e0898kg4gbb4c7&amp;region=&amp;mid=7608156113497983765&amp;preview_pb=0&amp;sharer_language=&amp;_d=0&amp;ec_shared_reflux_dynamic_params=%7B%22placeholder_material_id%22%3A%227621923426730593556%22%2C%22placeholder_origin_cover%22%3A%22https%253A%252F%252Fp16-common-sign.tiktokcdn.com%252Ftos-alisg-p-0037%252FosFKwZOpxAVeBhRBE0FojRgBUTGfIgt1E2MgID~tplv-tiktokx-origin.jpeg%253Fdr%253D14572%2526refresh_token%253Dfa173af7%2526x-expires%253D1808204400%2526x-signature%253DcRLCnoV3WN9va6eRqfiTdM%25252BDmNk%25253D%2526t%253D4d5b0474%2526ps%253D13740610%2526shp%253Dd05b14bd%2526shcp%253D34ff8df6%2526idc%253Dmy3%2526s%253DTIKTOK_AFFILIATE_VIRAL_VIDEO%22%2C%22placeholder_product_id%22%3A%221729427766722726591%22%2C%22placeholder_video_id%22%3A%227621923426730593556%22%7D&amp;ec_shared_reflux_scene=shop_tab_feed&amp;share_item_id=7621923426730593556&amp;source=h5_t" TargetMode="External"/><Relationship Id="rId1887" Type="http://schemas.openxmlformats.org/officeDocument/2006/relationships/hyperlink" Target="https://www.tiktok.com/@outfitce_/video/7622888531995675924?_r=1&amp;u_code=e0898kg4gbb4c7&amp;region=&amp;mid=7608156113497983765&amp;preview_pb=0&amp;sharer_language=&amp;_d=0&amp;ec_shared_reflux_dynamic_params=%7B%22placeholder_material_id%22%3A%227622888531995675924%22%2C%22placeholder_origin_cover%22%3A%22https%253A%252F%252Fp16-common-sign.tiktokcdn.com%252Ftos-alisg-p-0037%252FoYTkOjw4QZfKC2bIQx9TrDAfCjFZyofjvAQDCE~tplv-tiktokx-origin.jpeg%253Fdr%253D14572%2526refresh_token%253De60cff6a%2526x-expires%253D1808204400%2526x-signature%253DRQ9lQ7yoc1Ad5oGvDhQAstwhYak%25253D%2526t%253D4d5b0474%2526ps%253D13740610%2526shp%253Dd05b14bd%2526shcp%253D34ff8df6%2526idc%253Dmy3%2526s%253DTIKTOK_AFFILIATE_VIRAL_VIDEO%22%2C%22placeholder_product_id%22%3A%221729427766722726591%22%2C%22placeholder_video_id%22%3A%227622888531995675924%22%7D&amp;ec_shared_reflux_scene=shop_tab_feed&amp;share_item_id=7622888531995675924&amp;source=h5_t" TargetMode="External"/><Relationship Id="rId1888" Type="http://schemas.openxmlformats.org/officeDocument/2006/relationships/hyperlink" Target="https://www.tiktok.com/@outfitce_/video/7622946190480428308?_r=1&amp;u_code=e0898kg4gbb4c7&amp;region=&amp;mid=7608156113497983765&amp;preview_pb=0&amp;sharer_language=&amp;_d=0&amp;ec_shared_reflux_dynamic_params=%7B%22placeholder_material_id%22%3A%227622946190480428308%22%2C%22placeholder_origin_cover%22%3A%22https%253A%252F%252Fp16-common-sign.tiktokcdn.com%252Ftos-alisg-p-0037%252FoYD1iIm5wK2IAIwT0zIvauiuCBAKqRfJA0AgBo~tplv-tiktokx-origin.jpeg%253Fdr%253D14572%2526refresh_token%253D09f5158f%2526x-expires%253D1808204400%2526x-signature%253DOyomtaCQyZVkJV2cUO%25252F%25252FpPQixWI%25253D%2526t%253D4d5b0474%2526ps%253D13740610%2526shp%253Dd05b14bd%2526shcp%253D34ff8df6%2526idc%253Dmy3%2526s%253DTIKTOK_AFFILIATE_VIRAL_VIDEO%22%2C%22placeholder_product_id%22%3A%221729427766722726591%22%2C%22placeholder_video_id%22%3A%227622946190480428308%22%7D&amp;ec_shared_reflux_scene=shop_tab_feed&amp;share_item_id=7622946190480428308&amp;source=h5_t" TargetMode="External"/><Relationship Id="rId1889" Type="http://schemas.openxmlformats.org/officeDocument/2006/relationships/hyperlink" Target="https://www.tiktok.com/@outfitce_/video/7623042801193848084?_r=1&amp;u_code=e0898kg4gbb4c7&amp;region=&amp;mid=7608156113497983765&amp;preview_pb=0&amp;sharer_language=&amp;_d=0&amp;ec_shared_reflux_dynamic_params=%7B%22placeholder_material_id%22%3A%227623042801193848084%22%2C%22placeholder_origin_cover%22%3A%22https%253A%252F%252Fp16-common-sign.tiktokcdn.com%252Ftos-alisg-p-0037%252FosABDR0UOUpQfB0HmGDnwQEoUyfRExFgBG1EwU~tplv-tiktokx-origin.jpeg%253Fdr%253D14572%2526refresh_token%253D40a7cc67%2526x-expires%253D1808204400%2526x-signature%253DI9UO%25252BkrDJyBQFL%25252Fmh9aeqTEqFX8%25253D%2526t%253D4d5b0474%2526ps%253D13740610%2526shp%253Dd05b14bd%2526shcp%253D34ff8df6%2526idc%253Dmy3%2526s%253DTIKTOK_AFFILIATE_VIRAL_VIDEO%22%2C%22placeholder_product_id%22%3A%221729427766722726591%22%2C%22placeholder_video_id%22%3A%227623042801193848084%22%7D&amp;ec_shared_reflux_scene=shop_tab_feed&amp;share_item_id=7623042801193848084&amp;source=h5_t" TargetMode="External"/><Relationship Id="rId1880" Type="http://schemas.openxmlformats.org/officeDocument/2006/relationships/hyperlink" Target="https://www.tiktok.com/@dapiww" TargetMode="External"/><Relationship Id="rId1881" Type="http://schemas.openxmlformats.org/officeDocument/2006/relationships/hyperlink" Target="https://www.tiktok.com/@outfitce_/video/7623234517871938836?_r=1&amp;u_code=e0898kg4gbb4c7&amp;region=&amp;mid=7608156113497983765&amp;preview_pb=0&amp;sharer_language=&amp;_d=0&amp;ec_shared_reflux_dynamic_params=%7B%22placeholder_material_id%22%3A%227623234517871938836%22%2C%22placeholder_origin_cover%22%3A%22https%253A%252F%252Fp16-common-sign.tiktokcdn.com%252Ftos-alisg-p-0037%252FoQ6TlBGeIDCIJ3gKeIAAIUHLxlLzRNyZ3pejoK~tplv-tiktokx-origin.jpeg%253Fdr%253D14572%2526refresh_token%253D5a04e8e3%2526x-expires%253D1808204400%2526x-signature%253DWCtRVwT421uZs6I3rlNPfGnNkkM%25253D%2526t%253D4d5b0474%2526ps%253D13740610%2526shp%253Dd05b14bd%2526shcp%253D34ff8df6%2526idc%253Dmy3%2526s%253DTIKTOK_AFFILIATE_VIRAL_VIDEO%22%2C%22placeholder_product_id%22%3A%221729427766722726591%22%2C%22placeholder_video_id%22%3A%227623234517871938836%22%7D&amp;ec_shared_reflux_scene=shop_tab_feed&amp;share_item_id=7623234517871938836&amp;source=h5_t" TargetMode="External"/><Relationship Id="rId1882" Type="http://schemas.openxmlformats.org/officeDocument/2006/relationships/hyperlink" Target="https://www.tiktok.com/@outfitce_/video/7623386361349066005?_r=1&amp;u_code=e0898kg4gbb4c7&amp;region=&amp;mid=7608156113497983765&amp;preview_pb=0&amp;sharer_language=&amp;_d=0&amp;ec_shared_reflux_dynamic_params=%7B%22placeholder_material_id%22%3A%227623386361349066005%22%2C%22placeholder_origin_cover%22%3A%22https%253A%252F%252Fp16-common-sign.tiktokcdn.com%252Ftos-alisg-p-0037%252Fo0QLQGBJRtUyAvDprFfwfLPpgVsEME9gU97YBc~tplv-tiktokx-origin.jpeg%253Fdr%253D14572%2526refresh_token%253Dfa575661%2526x-expires%253D1808204400%2526x-signature%253D74gt%25252BOzddwldEGoEKWtHl%25252FEk61I%25253D%2526t%253D4d5b0474%2526ps%253D13740610%2526shp%253Dd05b14bd%2526shcp%253D34ff8df6%2526idc%253Dmy3%2526s%253DTIKTOK_AFFILIATE_VIRAL_VIDEO%22%2C%22placeholder_product_id%22%3A%221729427766722726591%22%2C%22placeholder_video_id%22%3A%227623386361349066005%22%7D&amp;ec_shared_reflux_scene=shop_tab_feed&amp;share_item_id=7623386361349066005&amp;source=h5_t" TargetMode="External"/><Relationship Id="rId1883" Type="http://schemas.openxmlformats.org/officeDocument/2006/relationships/hyperlink" Target="https://www.tiktok.com/@outfitce_/video/7623582986763504917?_d=0&amp;_r=1&amp;ec_shared_reflux_dynamic_params=%7B%22placeholder_material_id%22%3A%227623582986763504917%22%2C%22placeholder_origin_cover%22%3A%22https%253A%252F%252Fp19-common-sign.tiktokcdn.com%252Ftos-alisg-p-0037%252FogAvDIGT4QPDFjSQByM8CXamfM1A2NQH0tUfeA~tplv-tiktokx-origin.jpeg%253Fdr%253D14572%2526refresh_token%253D4728a8a3%2526x-expires%253D1808204400%2526x-signature%253DU2NYy1VpNDSwPPtng6E1QmcMgF0%25253D%2526t%253D4d5b0474%2526ps%253D13740610%2526shp%253Dd05b14bd%2526shcp%253D34ff8df6%2526idc%253Dmy3%2526s%253DTIKTOK_AFFILIATE_VIRAL_VIDEO%22%2C%22placeholder_product_id%22%3A%221729427766722726591%22%2C%22placeholder_video_id%22%3A%227623582986763504917%22%7D&amp;ec_shared_reflux_scene=shop_tab_feed&amp;mid=7608156113497983765&amp;preview_pb=0&amp;region=&amp;share_item_id=7623582986763504917&amp;sharer_language=&amp;source=h5_t&amp;u_code=e0898kg4gbb4c7" TargetMode="External"/><Relationship Id="rId5417" Type="http://schemas.openxmlformats.org/officeDocument/2006/relationships/hyperlink" Target="https://vt.tiktok.com/ZSxWoeWKg/" TargetMode="External"/><Relationship Id="rId6748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5418" Type="http://schemas.openxmlformats.org/officeDocument/2006/relationships/hyperlink" Target="https://www.tiktok.com/@indahftria" TargetMode="External"/><Relationship Id="rId6749" Type="http://schemas.openxmlformats.org/officeDocument/2006/relationships/hyperlink" Target="https://www.tiktok.com/@ammard1306" TargetMode="External"/><Relationship Id="rId5415" Type="http://schemas.openxmlformats.org/officeDocument/2006/relationships/hyperlink" Target="https://vt.tiktok.com/ZSxWorx9b/" TargetMode="External"/><Relationship Id="rId6746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5416" Type="http://schemas.openxmlformats.org/officeDocument/2006/relationships/hyperlink" Target="https://vt.tiktok.com/ZSxWETmkH/" TargetMode="External"/><Relationship Id="rId6747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5419" Type="http://schemas.openxmlformats.org/officeDocument/2006/relationships/hyperlink" Target="https://vt.tiktok.com/ZS9DasLp4/" TargetMode="External"/><Relationship Id="rId228" Type="http://schemas.openxmlformats.org/officeDocument/2006/relationships/hyperlink" Target="https://vt.tiktok.com/ZSmUtkNPj/" TargetMode="External"/><Relationship Id="rId227" Type="http://schemas.openxmlformats.org/officeDocument/2006/relationships/hyperlink" Target="https://vt.tiktok.com/ZSmjJV4G1/" TargetMode="External"/><Relationship Id="rId226" Type="http://schemas.openxmlformats.org/officeDocument/2006/relationships/hyperlink" Target="https://www.tiktok.com/@estersaputri_" TargetMode="External"/><Relationship Id="rId225" Type="http://schemas.openxmlformats.org/officeDocument/2006/relationships/hyperlink" Target="https://vt.tiktok.com/ZSmc1WTHT/" TargetMode="External"/><Relationship Id="rId229" Type="http://schemas.openxmlformats.org/officeDocument/2006/relationships/hyperlink" Target="https://vt.tiktok.com/ZSmQfdD6f/" TargetMode="External"/><Relationship Id="rId220" Type="http://schemas.openxmlformats.org/officeDocument/2006/relationships/hyperlink" Target="https://vt.tiktok.com/ZSmpJbDqy/" TargetMode="External"/><Relationship Id="rId6740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5410" Type="http://schemas.openxmlformats.org/officeDocument/2006/relationships/hyperlink" Target="https://vt.tiktok.com/ZS9BvQ845/" TargetMode="External"/><Relationship Id="rId6741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224" Type="http://schemas.openxmlformats.org/officeDocument/2006/relationships/hyperlink" Target="https://vt.tiktok.com/ZSmtgNDH2/" TargetMode="External"/><Relationship Id="rId5413" Type="http://schemas.openxmlformats.org/officeDocument/2006/relationships/hyperlink" Target="https://www.tiktok.com/@widyawahyuni_21" TargetMode="External"/><Relationship Id="rId6744" Type="http://schemas.openxmlformats.org/officeDocument/2006/relationships/hyperlink" Target="https://www.tiktok.com/@saachristy" TargetMode="External"/><Relationship Id="rId223" Type="http://schemas.openxmlformats.org/officeDocument/2006/relationships/hyperlink" Target="https://vt.tiktok.com/ZSmVayHt4/" TargetMode="External"/><Relationship Id="rId5414" Type="http://schemas.openxmlformats.org/officeDocument/2006/relationships/hyperlink" Target="https://vt.tiktok.com/ZSxWoMora/" TargetMode="External"/><Relationship Id="rId6745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222" Type="http://schemas.openxmlformats.org/officeDocument/2006/relationships/hyperlink" Target="https://vt.tiktok.com/ZSmXxX4Kv/" TargetMode="External"/><Relationship Id="rId5411" Type="http://schemas.openxmlformats.org/officeDocument/2006/relationships/hyperlink" Target="https://vt.tiktok.com/ZS9SMWJBS/" TargetMode="External"/><Relationship Id="rId6742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221" Type="http://schemas.openxmlformats.org/officeDocument/2006/relationships/hyperlink" Target="https://www.tiktok.com/@cherry_review21" TargetMode="External"/><Relationship Id="rId5412" Type="http://schemas.openxmlformats.org/officeDocument/2006/relationships/hyperlink" Target="https://vt.tiktok.com/ZS9Sh4LUQ/" TargetMode="External"/><Relationship Id="rId6743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5406" Type="http://schemas.openxmlformats.org/officeDocument/2006/relationships/hyperlink" Target="https://vt.tiktok.com/ZS9SMWJBS/" TargetMode="External"/><Relationship Id="rId6737" Type="http://schemas.openxmlformats.org/officeDocument/2006/relationships/hyperlink" Target="https://vt.tiktok.com/ZS9HRBPvh/" TargetMode="External"/><Relationship Id="rId5407" Type="http://schemas.openxmlformats.org/officeDocument/2006/relationships/hyperlink" Target="https://vt.tiktok.com/ZS9Sh4LUQ/" TargetMode="External"/><Relationship Id="rId6738" Type="http://schemas.openxmlformats.org/officeDocument/2006/relationships/hyperlink" Target="https://vt.tiktok.com/ZSxHPvXuP/" TargetMode="External"/><Relationship Id="rId5404" Type="http://schemas.openxmlformats.org/officeDocument/2006/relationships/hyperlink" Target="https://vt.tiktok.com/ZS9YHXyNm/" TargetMode="External"/><Relationship Id="rId6735" Type="http://schemas.openxmlformats.org/officeDocument/2006/relationships/hyperlink" Target="https://vt.tiktok.com/ZS9HRrB2a/" TargetMode="External"/><Relationship Id="rId5405" Type="http://schemas.openxmlformats.org/officeDocument/2006/relationships/hyperlink" Target="https://vt.tiktok.com/ZS9BvQ845/" TargetMode="External"/><Relationship Id="rId6736" Type="http://schemas.openxmlformats.org/officeDocument/2006/relationships/hyperlink" Target="https://vt.tiktok.com/ZS9HRA3o4/" TargetMode="External"/><Relationship Id="rId5408" Type="http://schemas.openxmlformats.org/officeDocument/2006/relationships/hyperlink" Target="https://www.tiktok.com/@sabrinaazzahra_r" TargetMode="External"/><Relationship Id="rId6739" Type="http://schemas.openxmlformats.org/officeDocument/2006/relationships/hyperlink" Target="https://www.tiktok.com/@asmorobeauty" TargetMode="External"/><Relationship Id="rId5409" Type="http://schemas.openxmlformats.org/officeDocument/2006/relationships/hyperlink" Target="https://vt.tiktok.com/ZS9YHXyNm/" TargetMode="External"/><Relationship Id="rId217" Type="http://schemas.openxmlformats.org/officeDocument/2006/relationships/hyperlink" Target="https://vt.tiktok.com/ZSmajomJF/" TargetMode="External"/><Relationship Id="rId216" Type="http://schemas.openxmlformats.org/officeDocument/2006/relationships/hyperlink" Target="https://www.tiktok.com/@fentyameliza" TargetMode="External"/><Relationship Id="rId215" Type="http://schemas.openxmlformats.org/officeDocument/2006/relationships/hyperlink" Target="https://vt.tiktok.com/ZSm5HNqYj/" TargetMode="External"/><Relationship Id="rId214" Type="http://schemas.openxmlformats.org/officeDocument/2006/relationships/hyperlink" Target="https://vt.tiktok.com/ZSmDKJkPo/" TargetMode="External"/><Relationship Id="rId219" Type="http://schemas.openxmlformats.org/officeDocument/2006/relationships/hyperlink" Target="https://vt.tiktok.com/ZSmq9NFt1/" TargetMode="External"/><Relationship Id="rId218" Type="http://schemas.openxmlformats.org/officeDocument/2006/relationships/hyperlink" Target="https://vt.tiktok.com/ZSmXg1vM7/" TargetMode="External"/><Relationship Id="rId6730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213" Type="http://schemas.openxmlformats.org/officeDocument/2006/relationships/hyperlink" Target="https://vt.tiktok.com/ZSmrtnVjr/" TargetMode="External"/><Relationship Id="rId5402" Type="http://schemas.openxmlformats.org/officeDocument/2006/relationships/hyperlink" Target="https://vt.tiktok.com/ZSxWoedDr/" TargetMode="External"/><Relationship Id="rId6733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212" Type="http://schemas.openxmlformats.org/officeDocument/2006/relationships/hyperlink" Target="https://vt.tiktok.com/ZSmF27Yv3/" TargetMode="External"/><Relationship Id="rId5403" Type="http://schemas.openxmlformats.org/officeDocument/2006/relationships/hyperlink" Target="https://www.tiktok.com/@nnfshah" TargetMode="External"/><Relationship Id="rId6734" Type="http://schemas.openxmlformats.org/officeDocument/2006/relationships/hyperlink" Target="https://www.tiktok.com/@racunmaknita" TargetMode="External"/><Relationship Id="rId211" Type="http://schemas.openxmlformats.org/officeDocument/2006/relationships/hyperlink" Target="https://www.tiktok.com/@ike.m.ayu" TargetMode="External"/><Relationship Id="rId5400" Type="http://schemas.openxmlformats.org/officeDocument/2006/relationships/hyperlink" Target="https://www.tiktok.com/@shadowbeauty94/video/7638230278741429522?_r=1&amp;u_code=ea7741h4k28gma&amp;region=&amp;mid=7630404661434664977&amp;preview_pb=0&amp;sharer_language=&amp;_d=0&amp;ec_shared_reflux_dynamic_params=%7B%22placeholder_material_id%22%3A%227638230278741429522%22%2C%22placeholder_origin_cover%22%3A%22https%253A%252F%252Fp16-common-sign.tiktokcdn.com%252Ftos-alisg-p-0037%252FoEXP6BGgwPpEGcIax8BpVBAJiiSFCYBAgIwAO~tplv-tiktokx-origin.jpeg%253Fdr%253D14572%2526refresh_token%253Dd78747c1%2526x-expires%253D1810116000%2526x-signature%253DcTiyyBcqUoYKb1Urwqi6B%25252BPAYao%25253D%2526t%253D4d5b0474%2526ps%253D13740610%2526shp%253Dd05b14bd%2526shcp%253D34ff8df6%2526idc%253Dmy2%2526s%253DTIKTOK_AFFILIATE_VIRAL_VIDEO%22%2C%22placeholder_product_id%22%3A%221729427766722726591%22%2C%22placeholder_video_id%22%3A%227638230278741429522%22%7D&amp;ec_shared_reflux_scene=shop_tab_feed&amp;share_item_id=7638230278741429522&amp;source=h5_t" TargetMode="External"/><Relationship Id="rId6731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210" Type="http://schemas.openxmlformats.org/officeDocument/2006/relationships/hyperlink" Target="https://vt.tiktok.com/ZSmXQmdRV/" TargetMode="External"/><Relationship Id="rId5401" Type="http://schemas.openxmlformats.org/officeDocument/2006/relationships/hyperlink" Target="https://vt.tiktok.com/ZSxWo8H9H/" TargetMode="External"/><Relationship Id="rId6732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4107" Type="http://schemas.openxmlformats.org/officeDocument/2006/relationships/hyperlink" Target="https://vt.tiktok.com/ZSxkSpKmo/" TargetMode="External"/><Relationship Id="rId5439" Type="http://schemas.openxmlformats.org/officeDocument/2006/relationships/hyperlink" Target="https://vt.tiktok.com/ZS9DasLp4/" TargetMode="External"/><Relationship Id="rId4106" Type="http://schemas.openxmlformats.org/officeDocument/2006/relationships/hyperlink" Target="https://vt.tiktok.com/ZSx6A2Lk2/" TargetMode="External"/><Relationship Id="rId4109" Type="http://schemas.openxmlformats.org/officeDocument/2006/relationships/hyperlink" Target="https://www.tiktok.com/@bbubiyss" TargetMode="External"/><Relationship Id="rId5437" Type="http://schemas.openxmlformats.org/officeDocument/2006/relationships/hyperlink" Target="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2placeholder_origin_cover%22%3A%22https%253A%252F%252Fp16-common-sign.tiktokcdn.com%252Ftos-alisg-p-0037%252FoUuBHHkyiYpBIniw13iAqZDfTM5IAsCAAIAPgs~tplv-tiktokx-origin.jpeg%253Fdr%253D14572%2526refresh_token%253Dbd98b4e8%2526x-expires%253D1810119600%2526x-signature%253D4ymN%25252FNt9xmXXRBWN2LbZU1X3HMw%25253D%2526t%253D4d5b0474%2526ps%253D13740610%2526shp%253Dd05b14bd%2526shcp%253D34ff8df6%2526idc%253Dmy2%2526s%253DTIKTOK_AFFILIATE_VIRAL_VIDEO%22%2C%22placeholder_product_id%22%3A%221729427766722726591%22%2C%22placeholder_video_id%22%3A%227638217623351627026%22%7D&amp;ec_shared_reflux_scene=shop_tab_feed&amp;share_item_id=7638217623351627026&amp;source=h5_t" TargetMode="External"/><Relationship Id="rId6768" Type="http://schemas.openxmlformats.org/officeDocument/2006/relationships/hyperlink" Target="https://www.tiktok.com/@alkhaira99" TargetMode="External"/><Relationship Id="rId4108" Type="http://schemas.openxmlformats.org/officeDocument/2006/relationships/hyperlink" Target="https://vt.tiktok.com/ZSxkSyM4X/" TargetMode="External"/><Relationship Id="rId5438" Type="http://schemas.openxmlformats.org/officeDocument/2006/relationships/hyperlink" Target="https://www.tiktok.com/@ovisafitriii" TargetMode="External"/><Relationship Id="rId6769" Type="http://schemas.openxmlformats.org/officeDocument/2006/relationships/hyperlink" Target="https://vt.tiktok.com/ZS9HRrB2a/" TargetMode="External"/><Relationship Id="rId249" Type="http://schemas.openxmlformats.org/officeDocument/2006/relationships/hyperlink" Target="https://vt.tiktok.com/ZSmwaU91B/" TargetMode="External"/><Relationship Id="rId248" Type="http://schemas.openxmlformats.org/officeDocument/2006/relationships/hyperlink" Target="https://vt.tiktok.com/ZSmT17fKV/" TargetMode="External"/><Relationship Id="rId247" Type="http://schemas.openxmlformats.org/officeDocument/2006/relationships/hyperlink" Target="https://vt.tiktok.com/ZSmGpFk8X/" TargetMode="External"/><Relationship Id="rId242" Type="http://schemas.openxmlformats.org/officeDocument/2006/relationships/hyperlink" Target="https://vt.tiktok.com/ZSmXYH7vW/" TargetMode="External"/><Relationship Id="rId5431" Type="http://schemas.openxmlformats.org/officeDocument/2006/relationships/hyperlink" Target="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2placeholder_origin_cover%22%3A%22https%253A%252F%252Fp16-common-sign.tiktokcdn.com%252Ftos-alisg-p-0037%252Fo8d8IW8cAaJj2MregAKDPXOOueQI2Te4ADCxg3~tplv-tiktokx-origin.jpeg%253Fdr%253D14572%2526refresh_token%253D6c3e7766%2526x-expires%253D1808992800%2526x-signature%253DGcJYh6Ejxyo84p5AL1hv6HNVj24%25253D%2526t%253D4d5b0474%2526ps%253D13740610%2526shp%253Dd05b14bd%2526shcp%253D34ff8df6%2526idc%253Dmy2%2526s%253DTIKTOK_AFFILIATE_VIRAL_VIDEO%22%2C%22placeholder_product_id%22%3A%221729427766722726591%22%2C%22placeholder_video_id%22%3A%227632557264032861447%22%7D&amp;ec_shared_reflux_scene=shop_tab_feed&amp;share_item_id=7632557264032861447&amp;source=h5_t" TargetMode="External"/><Relationship Id="rId6762" Type="http://schemas.openxmlformats.org/officeDocument/2006/relationships/hyperlink" Target="https://vt.tiktok.com/ZS9HRBPvh/" TargetMode="External"/><Relationship Id="rId241" Type="http://schemas.openxmlformats.org/officeDocument/2006/relationships/hyperlink" Target="https://www.tiktok.com/@queena_03kl" TargetMode="External"/><Relationship Id="rId5432" Type="http://schemas.openxmlformats.org/officeDocument/2006/relationships/hyperlink" Target="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2placeholder_origin_cover%22%3A%22https%253A%252F%252Fp16-common-sign.tiktokcdn.com%252Ftos-alisg-p-0037%252FoUuBHHkyiYpBIniw13iAqZDfTM5IAsCAAIAPgs~tplv-tiktokx-origin.jpeg%253Fdr%253D14572%2526refresh_token%253Dbd98b4e8%2526x-expires%253D1810119600%2526x-signature%253D4ymN%25252FNt9xmXXRBWN2LbZU1X3HMw%25253D%2526t%253D4d5b0474%2526ps%253D13740610%2526shp%253Dd05b14bd%2526shcp%253D34ff8df6%2526idc%253Dmy2%2526s%253DTIKTOK_AFFILIATE_VIRAL_VIDEO%22%2C%22placeholder_product_id%22%3A%221729427766722726591%22%2C%22placeholder_video_id%22%3A%227638217623351627026%22%7D&amp;ec_shared_reflux_scene=shop_tab_feed&amp;share_item_id=7638217623351627026&amp;source=h5_t" TargetMode="External"/><Relationship Id="rId6763" Type="http://schemas.openxmlformats.org/officeDocument/2006/relationships/hyperlink" Target="https://vt.tiktok.com/ZSxWftKEx/" TargetMode="External"/><Relationship Id="rId240" Type="http://schemas.openxmlformats.org/officeDocument/2006/relationships/hyperlink" Target="https://vt.tiktok.com/ZSurpMSbe/" TargetMode="External"/><Relationship Id="rId4101" Type="http://schemas.openxmlformats.org/officeDocument/2006/relationships/hyperlink" Target="https://vt.tiktok.com/ZS9xsCevJ/" TargetMode="External"/><Relationship Id="rId6760" Type="http://schemas.openxmlformats.org/officeDocument/2006/relationships/hyperlink" Target="https://vt.tiktok.com/ZS9HRrB2a/" TargetMode="External"/><Relationship Id="rId4100" Type="http://schemas.openxmlformats.org/officeDocument/2006/relationships/hyperlink" Target="https://www.tiktok.com/@ayuni_can" TargetMode="External"/><Relationship Id="rId5430" Type="http://schemas.openxmlformats.org/officeDocument/2006/relationships/hyperlink" Target="https://vt.tiktok.com/ZS9DaWTPj/" TargetMode="External"/><Relationship Id="rId6761" Type="http://schemas.openxmlformats.org/officeDocument/2006/relationships/hyperlink" Target="https://vt.tiktok.com/ZS9HRA3o4/" TargetMode="External"/><Relationship Id="rId246" Type="http://schemas.openxmlformats.org/officeDocument/2006/relationships/hyperlink" Target="https://www.tiktok.com/@ibu_ninnda" TargetMode="External"/><Relationship Id="rId4103" Type="http://schemas.openxmlformats.org/officeDocument/2006/relationships/hyperlink" Target="https://www.tiktok.com/@zilasamudra/video/7633415000308092180" TargetMode="External"/><Relationship Id="rId5435" Type="http://schemas.openxmlformats.org/officeDocument/2006/relationships/hyperlink" Target="https://vt.tiktok.com/ZS9DaWTPj/" TargetMode="External"/><Relationship Id="rId6766" Type="http://schemas.openxmlformats.org/officeDocument/2006/relationships/hyperlink" Target="https://vt.tiktok.com/ZS9HRA3o4/" TargetMode="External"/><Relationship Id="rId245" Type="http://schemas.openxmlformats.org/officeDocument/2006/relationships/hyperlink" Target="https://www.tiktok.com/@queena_03kl/video/7615551888263630100?is_from_webapp=1&amp;sender_device=pc" TargetMode="External"/><Relationship Id="rId4102" Type="http://schemas.openxmlformats.org/officeDocument/2006/relationships/hyperlink" Target="https://vt.tiktok.com/ZS9xsmftR/" TargetMode="External"/><Relationship Id="rId5436" Type="http://schemas.openxmlformats.org/officeDocument/2006/relationships/hyperlink" Target="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2placeholder_origin_cover%22%3A%22https%253A%252F%252Fp16-common-sign.tiktokcdn.com%252Ftos-alisg-p-0037%252Fo8d8IW8cAaJj2MregAKDPXOOueQI2Te4ADCxg3~tplv-tiktokx-origin.jpeg%253Fdr%253D14572%2526refresh_token%253D6c3e7766%2526x-expires%253D1808992800%2526x-signature%253DGcJYh6Ejxyo84p5AL1hv6HNVj24%25253D%2526t%253D4d5b0474%2526ps%253D13740610%2526shp%253Dd05b14bd%2526shcp%253D34ff8df6%2526idc%253Dmy2%2526s%253DTIKTOK_AFFILIATE_VIRAL_VIDEO%22%2C%22placeholder_product_id%22%3A%221729427766722726591%22%2C%22placeholder_video_id%22%3A%227632557264032861447%22%7D&amp;ec_shared_reflux_scene=shop_tab_feed&amp;share_item_id=7632557264032861447&amp;source=h5_t" TargetMode="External"/><Relationship Id="rId6767" Type="http://schemas.openxmlformats.org/officeDocument/2006/relationships/hyperlink" Target="https://vt.tiktok.com/ZS9HRBPvh/" TargetMode="External"/><Relationship Id="rId244" Type="http://schemas.openxmlformats.org/officeDocument/2006/relationships/hyperlink" Target="https://www.tiktok.com/@queena_03kl/video/7611898335120674069?is_from_webapp=1&amp;sender_device=pc" TargetMode="External"/><Relationship Id="rId4105" Type="http://schemas.openxmlformats.org/officeDocument/2006/relationships/hyperlink" Target="https://www.tiktok.com/@zatheaolshop" TargetMode="External"/><Relationship Id="rId5433" Type="http://schemas.openxmlformats.org/officeDocument/2006/relationships/hyperlink" Target="https://www.tiktok.com/@aycikitchen" TargetMode="External"/><Relationship Id="rId6764" Type="http://schemas.openxmlformats.org/officeDocument/2006/relationships/hyperlink" Target="https://www.tiktok.com/@dimarcebbing" TargetMode="External"/><Relationship Id="rId243" Type="http://schemas.openxmlformats.org/officeDocument/2006/relationships/hyperlink" Target="https://vt.tiktok.com/ZSm4BbWLC/" TargetMode="External"/><Relationship Id="rId4104" Type="http://schemas.openxmlformats.org/officeDocument/2006/relationships/hyperlink" Target="https://www.tiktok.com/@zilasamudra/video/7633641614350601493" TargetMode="External"/><Relationship Id="rId5434" Type="http://schemas.openxmlformats.org/officeDocument/2006/relationships/hyperlink" Target="https://vt.tiktok.com/ZS9DasLp4/" TargetMode="External"/><Relationship Id="rId6765" Type="http://schemas.openxmlformats.org/officeDocument/2006/relationships/hyperlink" Target="https://vt.tiktok.com/ZS9HRrB2a/" TargetMode="External"/><Relationship Id="rId5428" Type="http://schemas.openxmlformats.org/officeDocument/2006/relationships/hyperlink" Target="https://www.tiktok.com/@mamicipiii" TargetMode="External"/><Relationship Id="rId6759" Type="http://schemas.openxmlformats.org/officeDocument/2006/relationships/hyperlink" Target="https://www.tiktok.com/@idaroyani096" TargetMode="External"/><Relationship Id="rId5429" Type="http://schemas.openxmlformats.org/officeDocument/2006/relationships/hyperlink" Target="https://vt.tiktok.com/ZS9DasLp4/" TargetMode="External"/><Relationship Id="rId5426" Type="http://schemas.openxmlformats.org/officeDocument/2006/relationships/hyperlink" Target="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2placeholder_origin_cover%22%3A%22https%253A%252F%252Fp16-common-sign.tiktokcdn.com%252Ftos-alisg-p-0037%252Fo8d8IW8cAaJj2MregAKDPXOOueQI2Te4ADCxg3~tplv-tiktokx-origin.jpeg%253Fdr%253D14572%2526refresh_token%253D6c3e7766%2526x-expires%253D1808992800%2526x-signature%253DGcJYh6Ejxyo84p5AL1hv6HNVj24%25253D%2526t%253D4d5b0474%2526ps%253D13740610%2526shp%253Dd05b14bd%2526shcp%253D34ff8df6%2526idc%253Dmy2%2526s%253DTIKTOK_AFFILIATE_VIRAL_VIDEO%22%2C%22placeholder_product_id%22%3A%221729427766722726591%22%2C%22placeholder_video_id%22%3A%227632557264032861447%22%7D&amp;ec_shared_reflux_scene=shop_tab_feed&amp;share_item_id=7632557264032861447&amp;source=h5_t" TargetMode="External"/><Relationship Id="rId6757" Type="http://schemas.openxmlformats.org/officeDocument/2006/relationships/hyperlink" Target="https://vt.tiktok.com/ZS9HRBPvh/" TargetMode="External"/><Relationship Id="rId5427" Type="http://schemas.openxmlformats.org/officeDocument/2006/relationships/hyperlink" Target="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2placeholder_origin_cover%22%3A%22https%253A%252F%252Fp16-common-sign.tiktokcdn.com%252Ftos-alisg-p-0037%252FoUuBHHkyiYpBIniw13iAqZDfTM5IAsCAAIAPgs~tplv-tiktokx-origin.jpeg%253Fdr%253D14572%2526refresh_token%253Dbd98b4e8%2526x-expires%253D1810119600%2526x-signature%253D4ymN%25252FNt9xmXXRBWN2LbZU1X3HMw%25253D%2526t%253D4d5b0474%2526ps%253D13740610%2526shp%253Dd05b14bd%2526shcp%253D34ff8df6%2526idc%253Dmy2%2526s%253DTIKTOK_AFFILIATE_VIRAL_VIDEO%22%2C%22placeholder_product_id%22%3A%221729427766722726591%22%2C%22placeholder_video_id%22%3A%227638217623351627026%22%7D&amp;ec_shared_reflux_scene=shop_tab_feed&amp;share_item_id=7638217623351627026&amp;source=h5_t" TargetMode="External"/><Relationship Id="rId6758" Type="http://schemas.openxmlformats.org/officeDocument/2006/relationships/hyperlink" Target="https://vt.tiktok.com/ZSxWfWgDd/" TargetMode="External"/><Relationship Id="rId239" Type="http://schemas.openxmlformats.org/officeDocument/2006/relationships/hyperlink" Target="https://vt.tiktok.com/ZSu1rUjf7/" TargetMode="External"/><Relationship Id="rId238" Type="http://schemas.openxmlformats.org/officeDocument/2006/relationships/hyperlink" Target="https://vt.tiktok.com/ZSmvgSV4L/" TargetMode="External"/><Relationship Id="rId237" Type="http://schemas.openxmlformats.org/officeDocument/2006/relationships/hyperlink" Target="https://vt.tiktok.com/ZSmmmuQFD/" TargetMode="External"/><Relationship Id="rId236" Type="http://schemas.openxmlformats.org/officeDocument/2006/relationships/hyperlink" Target="https://www.tiktok.com/@est.ayu" TargetMode="External"/><Relationship Id="rId231" Type="http://schemas.openxmlformats.org/officeDocument/2006/relationships/hyperlink" Target="https://www.tiktok.com/@reviewtetehvia" TargetMode="External"/><Relationship Id="rId5420" Type="http://schemas.openxmlformats.org/officeDocument/2006/relationships/hyperlink" Target="https://vt.tiktok.com/ZS9DaWTPj/" TargetMode="External"/><Relationship Id="rId6751" Type="http://schemas.openxmlformats.org/officeDocument/2006/relationships/hyperlink" Target="https://vt.tiktok.com/ZS9HRA3o4/" TargetMode="External"/><Relationship Id="rId230" Type="http://schemas.openxmlformats.org/officeDocument/2006/relationships/hyperlink" Target="https://vt.tiktok.com/ZSmXM6WPC/" TargetMode="External"/><Relationship Id="rId5421" Type="http://schemas.openxmlformats.org/officeDocument/2006/relationships/hyperlink" Target="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2placeholder_origin_cover%22%3A%22https%253A%252F%252Fp16-common-sign.tiktokcdn.com%252Ftos-alisg-p-0037%252Fo8d8IW8cAaJj2MregAKDPXOOueQI2Te4ADCxg3~tplv-tiktokx-origin.jpeg%253Fdr%253D14572%2526refresh_token%253D6c3e7766%2526x-expires%253D1808992800%2526x-signature%253DGcJYh6Ejxyo84p5AL1hv6HNVj24%25253D%2526t%253D4d5b0474%2526ps%253D13740610%2526shp%253Dd05b14bd%2526shcp%253D34ff8df6%2526idc%253Dmy2%2526s%253DTIKTOK_AFFILIATE_VIRAL_VIDEO%22%2C%22placeholder_product_id%22%3A%221729427766722726591%22%2C%22placeholder_video_id%22%3A%227632557264032861447%22%7D&amp;ec_shared_reflux_scene=shop_tab_feed&amp;share_item_id=7632557264032861447&amp;source=h5_t" TargetMode="External"/><Relationship Id="rId6752" Type="http://schemas.openxmlformats.org/officeDocument/2006/relationships/hyperlink" Target="https://vt.tiktok.com/ZS9HRBPvh/" TargetMode="External"/><Relationship Id="rId6750" Type="http://schemas.openxmlformats.org/officeDocument/2006/relationships/hyperlink" Target="https://vt.tiktok.com/ZS9HRrB2a/" TargetMode="External"/><Relationship Id="rId235" Type="http://schemas.openxmlformats.org/officeDocument/2006/relationships/hyperlink" Target="https://vt.tiktok.com/ZSmbwqg4s/" TargetMode="External"/><Relationship Id="rId5424" Type="http://schemas.openxmlformats.org/officeDocument/2006/relationships/hyperlink" Target="https://vt.tiktok.com/ZS9DasLp4/" TargetMode="External"/><Relationship Id="rId6755" Type="http://schemas.openxmlformats.org/officeDocument/2006/relationships/hyperlink" Target="https://vt.tiktok.com/ZS9HRrB2a/" TargetMode="External"/><Relationship Id="rId234" Type="http://schemas.openxmlformats.org/officeDocument/2006/relationships/hyperlink" Target="https://vt.tiktok.com/ZSmq9R3SF/" TargetMode="External"/><Relationship Id="rId5425" Type="http://schemas.openxmlformats.org/officeDocument/2006/relationships/hyperlink" Target="https://vt.tiktok.com/ZS9DaWTPj/" TargetMode="External"/><Relationship Id="rId6756" Type="http://schemas.openxmlformats.org/officeDocument/2006/relationships/hyperlink" Target="https://vt.tiktok.com/ZS9HRA3o4/" TargetMode="External"/><Relationship Id="rId233" Type="http://schemas.openxmlformats.org/officeDocument/2006/relationships/hyperlink" Target="https://vt.tiktok.com/ZSm9F72By/" TargetMode="External"/><Relationship Id="rId5422" Type="http://schemas.openxmlformats.org/officeDocument/2006/relationships/hyperlink" Target="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2placeholder_origin_cover%22%3A%22https%253A%252F%252Fp16-common-sign.tiktokcdn.com%252Ftos-alisg-p-0037%252FoUuBHHkyiYpBIniw13iAqZDfTM5IAsCAAIAPgs~tplv-tiktokx-origin.jpeg%253Fdr%253D14572%2526refresh_token%253Dbd98b4e8%2526x-expires%253D1810119600%2526x-signature%253D4ymN%25252FNt9xmXXRBWN2LbZU1X3HMw%25253D%2526t%253D4d5b0474%2526ps%253D13740610%2526shp%253Dd05b14bd%2526shcp%253D34ff8df6%2526idc%253Dmy2%2526s%253DTIKTOK_AFFILIATE_VIRAL_VIDEO%22%2C%22placeholder_product_id%22%3A%221729427766722726591%22%2C%22placeholder_video_id%22%3A%227638217623351627026%22%7D&amp;ec_shared_reflux_scene=shop_tab_feed&amp;share_item_id=7638217623351627026&amp;source=h5_t" TargetMode="External"/><Relationship Id="rId6753" Type="http://schemas.openxmlformats.org/officeDocument/2006/relationships/hyperlink" Target="https://vt.tiktok.com/ZSxHPGgb6/" TargetMode="External"/><Relationship Id="rId232" Type="http://schemas.openxmlformats.org/officeDocument/2006/relationships/hyperlink" Target="https://vt.tiktok.com/ZSmBLoUbV/" TargetMode="External"/><Relationship Id="rId5423" Type="http://schemas.openxmlformats.org/officeDocument/2006/relationships/hyperlink" Target="https://www.tiktok.com/@meikaatralala__" TargetMode="External"/><Relationship Id="rId6754" Type="http://schemas.openxmlformats.org/officeDocument/2006/relationships/hyperlink" Target="https://www.tiktok.com/@Spillbyputri4" TargetMode="External"/><Relationship Id="rId6704" Type="http://schemas.openxmlformats.org/officeDocument/2006/relationships/hyperlink" Target="https://www.tiktok.com/@zrly__" TargetMode="External"/><Relationship Id="rId6705" Type="http://schemas.openxmlformats.org/officeDocument/2006/relationships/hyperlink" Target="https://www.tiktok.com/@zrly__/video/7634802931325259028?_r=1&amp;u_code=e4mgb5262agic7&amp;region=&amp;mid=7432577275431750405&amp;preview_pb=0&amp;sharer_language=&amp;_d=0&amp;ec_shared_reflux_dynamic_params=%7B%22placeholder_material_id%22%3A%227634802931325259028%22%2C%22placeholder_origin_cover%22%3A%22https%253A%252F%252Fp16-common-sign.tiktokcdn.com%252Ftos-alisg-p-0037%252Fo00aFdqERQwAOUEf6fQC5nDpj4wFEBmEBg9SR9~tplv-tiktokx-origin.jpeg%253Fdr%253D14572%2526refresh_token%253Dc4f6d06a%2526x-expires%253D1809507600%2526x-signature%253DHkNIXfcKJkcDn%25252FAnq9CXDcgYt8c%25253D%2526t%253D4d5b0474%2526ps%253D13740610%2526shp%253Dd05b14bd%2526shcp%253D34ff8df6%2526idc%253Dmy%2526s%253DTIKTOK_AFFILIATE_VIRAL_VIDEO%22%2C%22placeholder_product_id%22%3A%221729427766722726591%22%2C%22placeholder_video_id%22%3A%227634802931325259028%22%7D&amp;ec_shared_reflux_scene=shop_tab_feed&amp;share_item_id=7634802931325259028&amp;source=h5_t" TargetMode="External"/><Relationship Id="rId6702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6703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6708" Type="http://schemas.openxmlformats.org/officeDocument/2006/relationships/hyperlink" Target="https://vt.tiktok.com/ZSxpYrwPT/" TargetMode="External"/><Relationship Id="rId6709" Type="http://schemas.openxmlformats.org/officeDocument/2006/relationships/hyperlink" Target="https://www.tiktok.com/@cntk_id5" TargetMode="External"/><Relationship Id="rId6706" Type="http://schemas.openxmlformats.org/officeDocument/2006/relationships/hyperlink" Target="https://www.tiktok.com/@restistrhmw_" TargetMode="External"/><Relationship Id="rId6707" Type="http://schemas.openxmlformats.org/officeDocument/2006/relationships/hyperlink" Target="https://vt.tiktok.com/ZSxpFECK1/" TargetMode="External"/><Relationship Id="rId6700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6701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6726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6727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6724" Type="http://schemas.openxmlformats.org/officeDocument/2006/relationships/hyperlink" Target="https://www.tiktok.com/@bananapancake_00" TargetMode="External"/><Relationship Id="rId6725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6728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6729" Type="http://schemas.openxmlformats.org/officeDocument/2006/relationships/hyperlink" Target="https://www.tiktok.com/@mala_imeldayunus22" TargetMode="External"/><Relationship Id="rId206" Type="http://schemas.openxmlformats.org/officeDocument/2006/relationships/hyperlink" Target="https://www.tiktok.com/@kirana.chandraluph" TargetMode="External"/><Relationship Id="rId205" Type="http://schemas.openxmlformats.org/officeDocument/2006/relationships/hyperlink" Target="https://vt.tiktok.com/ZSmXeFsfn/" TargetMode="External"/><Relationship Id="rId204" Type="http://schemas.openxmlformats.org/officeDocument/2006/relationships/hyperlink" Target="https://vt.tiktok.com/ZSmSG2y1f/" TargetMode="External"/><Relationship Id="rId203" Type="http://schemas.openxmlformats.org/officeDocument/2006/relationships/hyperlink" Target="https://vt.tiktok.com/ZSmSGSB7g/" TargetMode="External"/><Relationship Id="rId209" Type="http://schemas.openxmlformats.org/officeDocument/2006/relationships/hyperlink" Target="https://vt.tiktok.com/ZSmDEQ5nj/" TargetMode="External"/><Relationship Id="rId208" Type="http://schemas.openxmlformats.org/officeDocument/2006/relationships/hyperlink" Target="https://vt.tiktok.com/ZSm62DR4q/" TargetMode="External"/><Relationship Id="rId207" Type="http://schemas.openxmlformats.org/officeDocument/2006/relationships/hyperlink" Target="https://vt.tiktok.com/ZSmFrH2B3/" TargetMode="External"/><Relationship Id="rId202" Type="http://schemas.openxmlformats.org/officeDocument/2006/relationships/hyperlink" Target="https://vt.tiktok.com/ZSmSGMLo4/" TargetMode="External"/><Relationship Id="rId6722" Type="http://schemas.openxmlformats.org/officeDocument/2006/relationships/hyperlink" Target="https://vt.tiktok.com/ZSxHPnRos/" TargetMode="External"/><Relationship Id="rId201" Type="http://schemas.openxmlformats.org/officeDocument/2006/relationships/hyperlink" Target="https://www.tiktok.com/@ini_uniii" TargetMode="External"/><Relationship Id="rId6723" Type="http://schemas.openxmlformats.org/officeDocument/2006/relationships/hyperlink" Target="https://vt.tiktok.com/ZSxHPsjGm/" TargetMode="External"/><Relationship Id="rId200" Type="http://schemas.openxmlformats.org/officeDocument/2006/relationships/hyperlink" Target="https://vt.tiktok.com/ZSmXeWY2f/" TargetMode="External"/><Relationship Id="rId6720" Type="http://schemas.openxmlformats.org/officeDocument/2006/relationships/hyperlink" Target="https://vt.tiktok.com/ZS9HqkM7U/" TargetMode="External"/><Relationship Id="rId6721" Type="http://schemas.openxmlformats.org/officeDocument/2006/relationships/hyperlink" Target="https://vt.tiktok.com/ZSxHPDfwU/" TargetMode="External"/><Relationship Id="rId6715" Type="http://schemas.openxmlformats.org/officeDocument/2006/relationships/hyperlink" Target="https://vt.tiktok.com/ZSxyAAgvA/" TargetMode="External"/><Relationship Id="rId6716" Type="http://schemas.openxmlformats.org/officeDocument/2006/relationships/hyperlink" Target="https://vt.tiktok.com/ZSxyA5Dpm/" TargetMode="External"/><Relationship Id="rId6713" Type="http://schemas.openxmlformats.org/officeDocument/2006/relationships/hyperlink" Target="https://vt.tiktok.com/ZS9oQnBrj/" TargetMode="External"/><Relationship Id="rId6714" Type="http://schemas.openxmlformats.org/officeDocument/2006/relationships/hyperlink" Target="https://www.tiktok.com/@renast_s" TargetMode="External"/><Relationship Id="rId6719" Type="http://schemas.openxmlformats.org/officeDocument/2006/relationships/hyperlink" Target="https://www.tiktok.com/@firlinda01" TargetMode="External"/><Relationship Id="rId6717" Type="http://schemas.openxmlformats.org/officeDocument/2006/relationships/hyperlink" Target="https://vt.tiktok.com/ZSxyAmmXk/" TargetMode="External"/><Relationship Id="rId6718" Type="http://schemas.openxmlformats.org/officeDocument/2006/relationships/hyperlink" Target="https://vt.tiktok.com/ZSxHPNp3H/" TargetMode="External"/><Relationship Id="rId6711" Type="http://schemas.openxmlformats.org/officeDocument/2006/relationships/hyperlink" Target="https://vt.tiktok.com/ZS9HRA3o4/" TargetMode="External"/><Relationship Id="rId6712" Type="http://schemas.openxmlformats.org/officeDocument/2006/relationships/hyperlink" Target="https://vt.tiktok.com/ZS9HRBPvh/" TargetMode="External"/><Relationship Id="rId6710" Type="http://schemas.openxmlformats.org/officeDocument/2006/relationships/hyperlink" Target="https://vt.tiktok.com/ZS9HRrB2a/" TargetMode="External"/><Relationship Id="rId5490" Type="http://schemas.openxmlformats.org/officeDocument/2006/relationships/hyperlink" Target="https://www.tiktok.com/@beauty.iidd/video/7632894757135453458?_d=0&amp;_r=1&amp;ec_shared_reflux_dynamic_params=%7B%22placeholder_material_id%22%3A%227632894757135453458%22%2C%22placeholder_origin_cover%22%3A%22https%253A%252F%252Fp19-common-sign.tiktokcdn.com%252Ftos-alisg-p-0037%252FoYQsap7EDBX9XgRNgcQAPFEB1fDip7ADDfYBWc~tplv-tiktokx-origin.jpeg%253Fdr%253D14572%2526refresh_token%253D7b65af0f%2526x-expires%253D1808992800%2526x-signature%253DMpUvd7PEPpWgSM5AmWNSJSZgFXI%25253D%2526t%253D4d5b0474%2526ps%253D13740610%2526shp%253Dd05b14bd%2526shcp%253D34ff8df6%2526idc%253Dmy2%2526s%253DTIKTOK_AFFILIATE_VIRAL_VIDEO%22%2C%22placeholder_product_id%22%3A%221729427766722726591%22%2C%22placeholder_video_id%22%3A%227632894757135453458%22%7D&amp;ec_shared_reflux_scene=shop_tab_feed&amp;mid=7624312772448357140&amp;preview_pb=0&amp;region=&amp;share_item_id=7632894757135453458&amp;sharer_language=&amp;source=h5_t&amp;u_code=ebjf03139m95gf" TargetMode="External"/><Relationship Id="rId4161" Type="http://schemas.openxmlformats.org/officeDocument/2006/relationships/hyperlink" Target="https://vt.tiktok.com/ZSH7dpatt/" TargetMode="External"/><Relationship Id="rId5493" Type="http://schemas.openxmlformats.org/officeDocument/2006/relationships/hyperlink" Target="https://www.tiktok.com/@Pertuyulanpremium" TargetMode="External"/><Relationship Id="rId4160" Type="http://schemas.openxmlformats.org/officeDocument/2006/relationships/hyperlink" Target="https://vt.tiktok.com/ZSH712X8d/" TargetMode="External"/><Relationship Id="rId5494" Type="http://schemas.openxmlformats.org/officeDocument/2006/relationships/hyperlink" Target="https://vt.tiktok.com/ZS9DasLp4/" TargetMode="External"/><Relationship Id="rId4163" Type="http://schemas.openxmlformats.org/officeDocument/2006/relationships/hyperlink" Target="https://vt.tiktok.com/ZSxShpCNW/" TargetMode="External"/><Relationship Id="rId5491" Type="http://schemas.openxmlformats.org/officeDocument/2006/relationships/hyperlink" Target="https://www.tiktok.com/@beauty.iidd/video/7633701589638712583?_r=1&amp;u_code=ebjf03139m95gf&amp;region=&amp;mid=7608559003840400145&amp;preview_pb=0&amp;sharer_language=&amp;_d=0&amp;ec_shared_reflux_dynamic_params=%7B%22placeholder_material_id%22%3A%227633701589638712583%22%2C%22placeholder_origin_cover%22%3A%22https%253A%252F%252Fp16-common-sign.tiktokcdn.com%252Ftos-alisg-p-0037%252FosEcFZIgciAF2EFWn4R278fywsDTBBvIfAypTw~tplv-tiktokx-origin.jpeg%253Fdr%253D14572%2526refresh_token%253D5e301e26%2526x-expires%253D1808992800%2526x-signature%253D4PfOlDYRzB5WK%25252B9i8utb4dHmsMI%25253D%2526t%253D4d5b0474%2526ps%253D13740610%2526shp%253Dd05b14bd%2526shcp%253D34ff8df6%2526idc%253Dmy2%2526s%253DTIKTOK_AFFILIATE_VIRAL_VIDEO%22%2C%22placeholder_product_id%22%3A%221729427766722726591%22%2C%22placeholder_video_id%22%3A%227633701589638712583%22%7D&amp;ec_shared_reflux_scene=shop_tab_feed&amp;share_item_id=7633701589638712583&amp;source=h5_t" TargetMode="External"/><Relationship Id="rId4162" Type="http://schemas.openxmlformats.org/officeDocument/2006/relationships/hyperlink" Target="https://vt.tiktok.com/ZSxShTXKA/" TargetMode="External"/><Relationship Id="rId5492" Type="http://schemas.openxmlformats.org/officeDocument/2006/relationships/hyperlink" Target="https://vt.tiktok.com/ZS9xsS9BT/" TargetMode="External"/><Relationship Id="rId4165" Type="http://schemas.openxmlformats.org/officeDocument/2006/relationships/hyperlink" Target="https://vt.tiktok.com/ZS92Eo2Y7/" TargetMode="External"/><Relationship Id="rId5497" Type="http://schemas.openxmlformats.org/officeDocument/2006/relationships/hyperlink" Target="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2placeholder_origin_cover%22%3A%22https%253A%252F%252Fp16-common-sign.tiktokcdn.com%252Ftos-alisg-p-0037%252FoUuBHHkyiYpBIniw13iAqZDfTM5IAsCAAIAPgs~tplv-tiktokx-origin.jpeg%253Fdr%253D14572%2526refresh_token%253Dbd98b4e8%2526x-expires%253D1810119600%2526x-signature%253D4ymN%25252FNt9xmXXRBWN2LbZU1X3HMw%25253D%2526t%253D4d5b0474%2526ps%253D13740610%2526shp%253Dd05b14bd%2526shcp%253D34ff8df6%2526idc%253Dmy2%2526s%253DTIKTOK_AFFILIATE_VIRAL_VIDEO%22%2C%22placeholder_product_id%22%3A%221729427766722726591%22%2C%22placeholder_video_id%22%3A%227638217623351627026%22%7D&amp;ec_shared_reflux_scene=shop_tab_feed&amp;share_item_id=7638217623351627026&amp;source=h5_t" TargetMode="External"/><Relationship Id="rId4164" Type="http://schemas.openxmlformats.org/officeDocument/2006/relationships/hyperlink" Target="https://www.tiktok.com/@pinky_pilloww" TargetMode="External"/><Relationship Id="rId5498" Type="http://schemas.openxmlformats.org/officeDocument/2006/relationships/hyperlink" Target="https://www.tiktok.com/@katanyaenep" TargetMode="External"/><Relationship Id="rId4167" Type="http://schemas.openxmlformats.org/officeDocument/2006/relationships/hyperlink" Target="https://vt.tiktok.com/ZSxShpTJ1/" TargetMode="External"/><Relationship Id="rId5495" Type="http://schemas.openxmlformats.org/officeDocument/2006/relationships/hyperlink" Target="https://vt.tiktok.com/ZS9DaWTPj/" TargetMode="External"/><Relationship Id="rId4166" Type="http://schemas.openxmlformats.org/officeDocument/2006/relationships/hyperlink" Target="https://vt.tiktok.com/ZS9h27Pya/" TargetMode="External"/><Relationship Id="rId5496" Type="http://schemas.openxmlformats.org/officeDocument/2006/relationships/hyperlink" Target="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2placeholder_origin_cover%22%3A%22https%253A%252F%252Fp16-common-sign.tiktokcdn.com%252Ftos-alisg-p-0037%252Fo8d8IW8cAaJj2MregAKDPXOOueQI2Te4ADCxg3~tplv-tiktokx-origin.jpeg%253Fdr%253D14572%2526refresh_token%253D6c3e7766%2526x-expires%253D1808992800%2526x-signature%253DGcJYh6Ejxyo84p5AL1hv6HNVj24%25253D%2526t%253D4d5b0474%2526ps%253D13740610%2526shp%253Dd05b14bd%2526shcp%253D34ff8df6%2526idc%253Dmy2%2526s%253DTIKTOK_AFFILIATE_VIRAL_VIDEO%22%2C%22placeholder_product_id%22%3A%221729427766722726591%22%2C%22placeholder_video_id%22%3A%227632557264032861447%22%7D&amp;ec_shared_reflux_scene=shop_tab_feed&amp;share_item_id=7632557264032861447&amp;source=h5_t" TargetMode="External"/><Relationship Id="rId4169" Type="http://schemas.openxmlformats.org/officeDocument/2006/relationships/hyperlink" Target="https://www.tiktok.com/@ibenkcz" TargetMode="External"/><Relationship Id="rId4168" Type="http://schemas.openxmlformats.org/officeDocument/2006/relationships/hyperlink" Target="https://vt.tiktok.com/ZSxShWWSt/" TargetMode="External"/><Relationship Id="rId5499" Type="http://schemas.openxmlformats.org/officeDocument/2006/relationships/hyperlink" Target="https://www.tiktok.com/@meamore42/video/7629254606517865736?_r=1&amp;u_code=ee8d791ik7h785&amp;region=&amp;mid=7620963523808824072&amp;preview_pb=0&amp;sharer_language=&amp;_d=0&amp;ec_shared_reflux_dynamic_params=%7B%22placeholder_material_id%22%3A%227629254606517865736%22%2C%22placeholder_origin_cover%22%3A%22https%253A%252F%252Fp16-common-sign.tiktokcdn.com%252Ftos-alisg-p-0037%252FoERTCgqeIXqLlTjAKARQwqeWj0SEGDCJIevQN4~tplv-tiktokx-origin.jpeg%253Fdr%253D14572%2526refresh_token%253Da360a5c8%2526x-expires%253D1808204400%2526x-signature%253DSx8VU044U%25252BWjmcVUbfQoaxrDuNY%25253D%2526t%253D4d5b0474%2526ps%253D13740610%2526shp%253Dd05b14bd%2526shcp%253D34ff8df6%2526idc%253Dmy3%2526s%253DTIKTOK_AFFILIATE_VIRAL_VIDEO%22%2C%22placeholder_product_id%22%3A%221729427766722726591%22%2C%22placeholder_video_id%22%3A%227629254606517865736%22%7D&amp;ec_shared_reflux_scene=shop_tab_feed&amp;share_item_id=7629254606517865736&amp;source=h5_t" TargetMode="External"/><Relationship Id="rId4150" Type="http://schemas.openxmlformats.org/officeDocument/2006/relationships/hyperlink" Target="https://vt.tiktok.com/ZS9F9jo4G/" TargetMode="External"/><Relationship Id="rId5482" Type="http://schemas.openxmlformats.org/officeDocument/2006/relationships/hyperlink" Target="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2placeholder_origin_cover%22%3A%22https%253A%252F%252Fp16-common-sign.tiktokcdn.com%252Ftos-alisg-p-0037%252FoUuBHHkyiYpBIniw13iAqZDfTM5IAsCAAIAPgs~tplv-tiktokx-origin.jpeg%253Fdr%253D14572%2526refresh_token%253Dbd98b4e8%2526x-expires%253D1810119600%2526x-signature%253D4ymN%25252FNt9xmXXRBWN2LbZU1X3HMw%25253D%2526t%253D4d5b0474%2526ps%253D13740610%2526shp%253Dd05b14bd%2526shcp%253D34ff8df6%2526idc%253Dmy2%2526s%253DTIKTOK_AFFILIATE_VIRAL_VIDEO%22%2C%22placeholder_product_id%22%3A%221729427766722726591%22%2C%22placeholder_video_id%22%3A%227638217623351627026%22%7D&amp;ec_shared_reflux_scene=shop_tab_feed&amp;share_item_id=7638217623351627026&amp;source=h5_t" TargetMode="External"/><Relationship Id="rId5483" Type="http://schemas.openxmlformats.org/officeDocument/2006/relationships/hyperlink" Target="https://www.tiktok.com/@heoptim" TargetMode="External"/><Relationship Id="rId4152" Type="http://schemas.openxmlformats.org/officeDocument/2006/relationships/hyperlink" Target="https://vt.tiktok.com/ZSxSkh9YM/" TargetMode="External"/><Relationship Id="rId5480" Type="http://schemas.openxmlformats.org/officeDocument/2006/relationships/hyperlink" Target="https://vt.tiktok.com/ZS9DaWTPj/" TargetMode="External"/><Relationship Id="rId4151" Type="http://schemas.openxmlformats.org/officeDocument/2006/relationships/hyperlink" Target="https://vt.tiktok.com/ZS9aBe6nu/" TargetMode="External"/><Relationship Id="rId5481" Type="http://schemas.openxmlformats.org/officeDocument/2006/relationships/hyperlink" Target="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2placeholder_origin_cover%22%3A%22https%253A%252F%252Fp16-common-sign.tiktokcdn.com%252Ftos-alisg-p-0037%252Fo8d8IW8cAaJj2MregAKDPXOOueQI2Te4ADCxg3~tplv-tiktokx-origin.jpeg%253Fdr%253D14572%2526refresh_token%253D6c3e7766%2526x-expires%253D1808992800%2526x-signature%253DGcJYh6Ejxyo84p5AL1hv6HNVj24%25253D%2526t%253D4d5b0474%2526ps%253D13740610%2526shp%253Dd05b14bd%2526shcp%253D34ff8df6%2526idc%253Dmy2%2526s%253DTIKTOK_AFFILIATE_VIRAL_VIDEO%22%2C%22placeholder_product_id%22%3A%221729427766722726591%22%2C%22placeholder_video_id%22%3A%227632557264032861447%22%7D&amp;ec_shared_reflux_scene=shop_tab_feed&amp;share_item_id=7632557264032861447&amp;source=h5_t" TargetMode="External"/><Relationship Id="rId4154" Type="http://schemas.openxmlformats.org/officeDocument/2006/relationships/hyperlink" Target="https://www.tiktok.com/@nr.revitaaa" TargetMode="External"/><Relationship Id="rId5486" Type="http://schemas.openxmlformats.org/officeDocument/2006/relationships/hyperlink" Target="https://www.tiktok.com/@meamore42/video/7632150795554704647?_r=1&amp;u_code=ee8d791ik7h785&amp;region=&amp;mid=7257475128967400197&amp;preview_pb=0&amp;sharer_language=&amp;_d=0&amp;ec_shared_reflux_dynamic_params=%7B%22placeholder_material_id%22%3A%227632150795554704647%22%2C%22placeholder_origin_cover%22%3A%22https%253A%252F%252Fp16-common-sign.tiktokcdn.com%252Ftos-alisg-p-0037%252FoIIEqFpJtBOwBGDLIfHNrcCgE92Ct6iyfriARM~tplv-tiktokx-origin.jpeg%253Fdr%253D14572%2526refresh_token%253D7e0407a2%2526x-expires%253D1808992800%2526x-signature%253DIMtFtCxvaBaDJj6Et5%25252BeFPOJ7d4%25253D%2526t%253D4d5b0474%2526ps%253D13740610%2526shp%253Dd05b14bd%2526shcp%253D34ff8df6%2526idc%253Dmy2%2526s%253DTIKTOK_AFFILIATE_VIRAL_VIDEO%22%2C%22placeholder_product_id%22%3A%221729427766722726591%22%2C%22placeholder_video_id%22%3A%227632150795554704647%22%7D&amp;ec_shared_reflux_scene=shop_tab_feed&amp;share_item_id=7632150795554704647&amp;source=h5_t" TargetMode="External"/><Relationship Id="rId4153" Type="http://schemas.openxmlformats.org/officeDocument/2006/relationships/hyperlink" Target="https://vt.tiktok.com/ZSxSkUWPt/" TargetMode="External"/><Relationship Id="rId5487" Type="http://schemas.openxmlformats.org/officeDocument/2006/relationships/hyperlink" Target="https://www.tiktok.com/@meamore42/video/7633681620091931922?_r=1&amp;u_code=ee8d791ik7h785&amp;region=&amp;mid=7627687221567310593&amp;preview_pb=0&amp;sharer_language=&amp;_d=0&amp;ec_shared_reflux_dynamic_params=%7B%22placeholder_material_id%22%3A%227633681620091931922%22%2C%22placeholder_origin_cover%22%3A%22https%253A%252F%252Fp16-common-sign.tiktokcdn.com%252Ftos-alisg-p-0037%252FoUH4GeOLIIvgQQSHoDTALCewQMjJAeiGvDpqh5~tplv-tiktokx-origin.jpeg%253Fdr%253D14572%2526refresh_token%253Db078e9c0%2526x-expires%253D1808992800%2526x-signature%253DCuickUc0iCCc4V5p2bpTCkyyauE%25253D%2526t%253D4d5b0474%2526ps%253D13740610%2526shp%253Dd05b14bd%2526shcp%253D34ff8df6%2526idc%253Dmy2%2526s%253DTIKTOK_AFFILIATE_VIRAL_VIDEO%22%2C%22placeholder_product_id%22%3A%221729427766722726591%22%2C%22placeholder_video_id%22%3A%227633681620091931922%22%7D&amp;ec_shared_reflux_scene=shop_tab_feed&amp;share_item_id=7633681620091931922&amp;source=h5_t" TargetMode="External"/><Relationship Id="rId4156" Type="http://schemas.openxmlformats.org/officeDocument/2006/relationships/hyperlink" Target="https://vt.tiktok.com/ZSHGwJj8G/" TargetMode="External"/><Relationship Id="rId5484" Type="http://schemas.openxmlformats.org/officeDocument/2006/relationships/hyperlink" Target="https://www.tiktok.com/@meamore42/video/7629254606517865736?_r=1&amp;u_code=ee8d791ik7h785&amp;region=&amp;mid=7620963523808824072&amp;preview_pb=0&amp;sharer_language=&amp;_d=0&amp;ec_shared_reflux_dynamic_params=%7B%22placeholder_material_id%22%3A%227629254606517865736%22%2C%22placeholder_origin_cover%22%3A%22https%253A%252F%252Fp16-common-sign.tiktokcdn.com%252Ftos-alisg-p-0037%252FoERTCgqeIXqLlTjAKARQwqeWj0SEGDCJIevQN4~tplv-tiktokx-origin.jpeg%253Fdr%253D14572%2526refresh_token%253Da360a5c8%2526x-expires%253D1808204400%2526x-signature%253DSx8VU044U%25252BWjmcVUbfQoaxrDuNY%25253D%2526t%253D4d5b0474%2526ps%253D13740610%2526shp%253Dd05b14bd%2526shcp%253D34ff8df6%2526idc%253Dmy3%2526s%253DTIKTOK_AFFILIATE_VIRAL_VIDEO%22%2C%22placeholder_product_id%22%3A%221729427766722726591%22%2C%22placeholder_video_id%22%3A%227629254606517865736%22%7D&amp;ec_shared_reflux_scene=shop_tab_feed&amp;share_item_id=7629254606517865736&amp;source=h5_t" TargetMode="External"/><Relationship Id="rId4155" Type="http://schemas.openxmlformats.org/officeDocument/2006/relationships/hyperlink" Target="https://vt.tiktok.com/ZSHGw1xpb/" TargetMode="External"/><Relationship Id="rId5485" Type="http://schemas.openxmlformats.org/officeDocument/2006/relationships/hyperlink" Target="https://www.tiktok.com/@meamore42/video/7631395374527221000?_r=1&amp;u_code=ee8d791ik7h785&amp;region=&amp;mid=7242034045985852165&amp;preview_pb=0&amp;sharer_language=&amp;_d=0&amp;ec_shared_reflux_dynamic_params=%7B%22placeholder_material_id%22%3A%227631395374527221000%22%2C%22placeholder_origin_cover%22%3A%22https%253A%252F%252Fp16-sign-sg.tiktokcdn.com%252Ftos-alisg-p-0037%252FosIjLoTAF8JOJndoGDIfe0LTNJCCSAewIKIAob~tplv-tiktokx-origin.jpeg%253Fdr%253D14572%2526refresh_token%253D82ab031e%2526x-expires%253D1808474400%2526x-signature%253DytaPNrPtFXR4pr7VTESNI8Zgrj8%25253D%2526t%253D4d5b0474%2526ps%253D13740610%2526shp%253Dd05b14bd%2526shcp%253D34ff8df6%2526idc%253Dmy3%2526s%253DTIKTOK_AFFILIATE_VIRAL_VIDEO%22%2C%22placeholder_product_id%22%3A%221729427766722726591%22%2C%22placeholder_video_id%22%3A%227631395374527221000%22%7D&amp;ec_shared_reflux_scene=shop_tab_feed&amp;share_item_id=7631395374527221000&amp;source=h5_t" TargetMode="External"/><Relationship Id="rId4158" Type="http://schemas.openxmlformats.org/officeDocument/2006/relationships/hyperlink" Target="https://vt.tiktok.com/ZSxShGUUW/" TargetMode="External"/><Relationship Id="rId4157" Type="http://schemas.openxmlformats.org/officeDocument/2006/relationships/hyperlink" Target="https://vt.tiktok.com/ZSxSkDAqC/" TargetMode="External"/><Relationship Id="rId5488" Type="http://schemas.openxmlformats.org/officeDocument/2006/relationships/hyperlink" Target="https://www.tiktok.com/@_endrokusumo_" TargetMode="External"/><Relationship Id="rId4159" Type="http://schemas.openxmlformats.org/officeDocument/2006/relationships/hyperlink" Target="https://www.tiktok.com/@erca_shankara" TargetMode="External"/><Relationship Id="rId5489" Type="http://schemas.openxmlformats.org/officeDocument/2006/relationships/hyperlink" Target="https://www.tiktok.com/@beauty.iidd/video/7632143785799060743?_r=1&amp;u_code=ebjf03139m95gf&amp;region=&amp;mid=7626624902267439888&amp;preview_pb=0&amp;sharer_language=&amp;_d=0&amp;ec_shared_reflux_dynamic_params=%7B%22placeholder_material_id%22%3A%227632143785799060743%22%2C%22placeholder_origin_cover%22%3A%22https%253A%252F%252Fp16-common-sign.tiktokcdn.com%252Ftos-alisg-p-0037%252FokmJeBcDpBphBmmFE5ZtpAQSEBWVf6jgwRQMPO~tplv-tiktokx-origin.jpeg%253Fdr%253D14572%2526refresh_token%253D2f7fcb5a%2526x-expires%253D1808992800%2526x-signature%253DsHAtfPj0XszWVxp56oxBHmoRw24%25253D%2526t%253D4d5b0474%2526ps%253D13740610%2526shp%253Dd05b14bd%2526shcp%253D34ff8df6%2526idc%253Dmy2%2526s%253DTIKTOK_AFFILIATE_VIRAL_VIDEO%22%2C%22placeholder_product_id%22%3A%221729427766722726591%22%2C%22placeholder_video_id%22%3A%227632143785799060743%22%7D&amp;ec_shared_reflux_scene=shop_tab_feed&amp;share_item_id=7632143785799060743&amp;source=h5_t" TargetMode="External"/><Relationship Id="rId1910" Type="http://schemas.openxmlformats.org/officeDocument/2006/relationships/hyperlink" Target="https://www.tiktok.com/@sriylnt1" TargetMode="External"/><Relationship Id="rId1911" Type="http://schemas.openxmlformats.org/officeDocument/2006/relationships/hyperlink" Target="https://www.tiktok.com/@l0oouii" TargetMode="External"/><Relationship Id="rId1912" Type="http://schemas.openxmlformats.org/officeDocument/2006/relationships/hyperlink" Target="https://www.tiktok.com/@ginafathonah_/video/7629985391021477140?_r=1&amp;u_code=dlhe22ikkib396&amp;region=&amp;mid=7595070225341614855&amp;preview_pb=0&amp;sharer_language=&amp;_d=0&amp;ec_shared_reflux_dynamic_params=%7B%22placeholder_material_id%22%3A%227629985391021477140%22%2C%22placeholder_origin_cover%22%3A%22https%253A%252F%252Fp16-common-sign.tiktokcdn.com%252Ftos-alisg-p-0037%252FoYi1jAm1ycAlIEQpf4FfBBgntJgYcaQ7RyD8Eu~tplv-tiktokx-origin.jpeg%253Fdr%253D14572%2526refresh_token%253Dec3b017c%2526x-expires%253D1808204400%2526x-signature%253D1u6DK4oey8egfzCmGA200R3tWNQ%25253D%2526t%253D4d5b0474%2526ps%253D13740610%2526shp%253Dd05b14bd%2526shcp%253D34ff8df6%2526idc%253Dmy3%2526s%253DTIKTOK_AFFILIATE_VIRAL_VIDEO%22%2C%22placeholder_product_id%22%3A%221729427766722726591%22%2C%22placeholder_video_id%22%3A%227629985391021477140%22%7D&amp;ec_shared_reflux_scene=shop_tab_feed&amp;share_item_id=7629985391021477140&amp;source=h5_t" TargetMode="External"/><Relationship Id="rId1913" Type="http://schemas.openxmlformats.org/officeDocument/2006/relationships/hyperlink" Target="https://www.tiktok.com/@ginafathonah_/video/7629984955313048853?_r=1&amp;u_code=dlhe22ikkib396&amp;region=&amp;mid=7475611422276242181&amp;preview_pb=0&amp;sharer_language=&amp;_d=0&amp;ec_shared_reflux_dynamic_params=%7B%22placeholder_material_id%22%3A%227629984955313048853%22%2C%22placeholder_origin_cover%22%3A%22https%253A%252F%252Fp16-common-sign.tiktokcdn.com%252Ftos-alisg-p-0037%252Fo8fRIEaUoyoRzsgjeIB7IhKJgAFuBpAy4cDcqE~tplv-tiktokx-origin.jpeg%253Fdr%253D14572%2526refresh_token%253D0082f5bd%2526x-expires%253D1808204400%2526x-signature%253DNM%25252Bt8uK8IhNIDVw22yZk1KbInOs%25253D%2526t%253D4d5b0474%2526ps%253D13740610%2526shp%253Dd05b14bd%2526shcp%253D34ff8df6%2526idc%253Dmy3%2526s%253DTIKTOK_AFFILIATE_VIRAL_VIDEO%22%2C%22placeholder_product_id%22%3A%221729427766722726591%22%2C%22placeholder_video_id%22%3A%227629984955313048853%22%7D&amp;ec_shared_reflux_scene=shop_tab_feed&amp;share_item_id=7629984955313048853&amp;source=h5_t" TargetMode="External"/><Relationship Id="rId1914" Type="http://schemas.openxmlformats.org/officeDocument/2006/relationships/hyperlink" Target="https://www.tiktok.com/@ginafathonah_/video/7629984955313048853?_r=1&amp;u_code=dlhe22ikkib396&amp;region=&amp;mid=7475611422276242181&amp;preview_pb=0&amp;sharer_language=&amp;_d=0&amp;ec_shared_reflux_dynamic_params=%7B%22placeholder_material_id%22%3A%227629984955313048853%22%2C%22placeholder_origin_cover%22%3A%22https%253A%252F%252Fp16-common-sign.tiktokcdn.com%252Ftos-alisg-p-0037%252Fo8fRIEaUoyoRzsgjeIB7IhKJgAFuBpAy4cDcqE~tplv-tiktokx-origin.jpeg%253Fdr%253D14572%2526refresh_token%253D0082f5bd%2526x-expires%253D1808204400%2526x-signature%253DNM%25252Bt8uK8IhNIDVw22yZk1KbInOs%25253D%2526t%253D4d5b0474%2526ps%253D13740610%2526shp%253Dd05b14bd%2526shcp%253D34ff8df6%2526idc%253Dmy3%2526s%253DTIKTOK_AFFILIATE_VIRAL_VIDEO%22%2C%22placeholder_product_id%22%3A%221729427766722726591%22%2C%22placeholder_video_id%22%3A%227629984955313048853%22%7D&amp;ec_shared_reflux_scene=shop_tab_feed&amp;share_item_id=7629984955313048853&amp;source=h5_t" TargetMode="External"/><Relationship Id="rId1915" Type="http://schemas.openxmlformats.org/officeDocument/2006/relationships/hyperlink" Target="https://vt.tiktok.com/ZSHcMfydL/" TargetMode="External"/><Relationship Id="rId1916" Type="http://schemas.openxmlformats.org/officeDocument/2006/relationships/hyperlink" Target="https://www.tiktok.com/@triasverse" TargetMode="External"/><Relationship Id="rId1917" Type="http://schemas.openxmlformats.org/officeDocument/2006/relationships/hyperlink" Target="https://www.tiktok.com/@hdytl_masruroh/video/7627211897112169735?_r=1&amp;u_code=d8alfgjgak93j5&amp;region=&amp;mid=7516532669053324033&amp;preview_pb=0&amp;sharer_language=&amp;_d=0&amp;ec_shared_reflux_dynamic_params=%7B%22placeholder_material_id%22%3A%227627211897112169735%22%2C%22placeholder_origin_cover%22%3A%22https%253A%252F%252Fp16-common-sign.tiktokcdn.com%252Ftos-alisg-p-0037%252FocngWpT9AbwEUeUpRTSBBz6vNEIUIAFZ23x2fD~tplv-tiktokx-origin.jpeg%253Fdr%253D14572%2526refresh_token%253Da7a62232%2526x-expires%253D1808208000%2526x-signature%253DBFrQXDdlvHO%25252FAp4VzIpaYgnn9R8%25253D%2526t%253D4d5b0474%2526ps%253D13740610%2526shp%253Dd05b14bd%2526shcp%253D34ff8df6%2526idc%253Dmy3%2526s%253DTIKTOK_AFFILIATE_VIRAL_VIDEO%22%2C%22placeholder_product_id%22%3A%221729427766722726591%22%2C%22placeholder_video_id%22%3A%227627211897112169735%22%7D&amp;ec_shared_reflux_scene=shop_tab_feed&amp;share_item_id=7627211897112169735&amp;source=h5_t" TargetMode="External"/><Relationship Id="rId1918" Type="http://schemas.openxmlformats.org/officeDocument/2006/relationships/hyperlink" Target="http://tiktok.com/@outfitce_/video/7623665091103214868?_r=1&amp;u_code=e0898kg4gbb4c7&amp;region=&amp;mid=7608156113497983765&amp;preview_pb=0&amp;sharer_language=&amp;_d=0&amp;ec_shared_reflux_dynamic_params=%7B%22placeholder_material_id%22%3A%227623665091103214868%22%2C%22placeholder_origin_cover%22%3A%22https%253A%252F%252Fp16-sign-sg.tiktokcdn.com%252Ftos-alisg-p-0037%252Foc8qfAB5MsDAwiIv0zF7lBqCwICMAmuIa98lic~tplv-tiktokx-origin.jpeg%253Fdr%253D14572%2526refresh_token%253D1cbc2169%2526x-expires%253D1808204400%2526x-signature%253Dj7w2USSQ3ZO0b5AjkjTartC%25252BXv8%25253D%2526t%253D4d5b0474%2526ps%253D13740610%2526shp%253Dd05b14bd%2526shcp%253D34ff8df6%2526idc%253Dmy3%2526s%253DTIKTOK_AFFILIATE_VIRAL_VIDEO%22%2C%22placeholder_product_id%22%3A%221729427766722726591%22%2C%22placeholder_video_id%22%3A%227623665091103214868%22%7D&amp;ec_shared_reflux_scene=shop_tab_feed&amp;share_item_id=7623665091103214868&amp;source=h5_t" TargetMode="External"/><Relationship Id="rId1919" Type="http://schemas.openxmlformats.org/officeDocument/2006/relationships/hyperlink" Target="https://www.tiktok.com/@ginafathonah_/video/7624182009308400917?_r=1&amp;u_code=dlhe22ikkib396&amp;region=&amp;mid=7616512443925941010&amp;preview_pb=0&amp;sharer_language=&amp;_d=0&amp;ec_shared_reflux_dynamic_params=%7B%22placeholder_material_id%22%3A%227624182009308400917%22%2C%22placeholder_origin_cover%22%3A%22https%253A%252F%252Fp19-common-sign.tiktokcdn.com%252Ftos-alisg-p-0037%252FogHibi3SIr1Cqh5AwOqBfANIR1AiBH0waES0IQ~tplv-tiktokx-origin.jpeg%253Fdr%253D14572%2526refresh_token%253D3d65c822%2526x-expires%253D1808204400%2526x-signature%253DiFd2SP2SaEUnP7UcPP5jLD3Cwyk%25253D%2526t%253D4d5b0474%2526ps%253D13740610%2526shp%253Dd05b14bd%2526shcp%253D34ff8df6%2526idc%253Dmy3%2526s%253DTIKTOK_AFFILIATE_VIRAL_VIDEO%22%2C%22placeholder_product_id%22%3A%221729427766722726591%22%2C%22placeholder_video_id%22%3A%227624182009308400917%22%7D&amp;ec_shared_reflux_scene=shop_tab_feed&amp;share_item_id=7624182009308400917&amp;source=h5_t" TargetMode="External"/><Relationship Id="rId4181" Type="http://schemas.openxmlformats.org/officeDocument/2006/relationships/hyperlink" Target="https://vt.tiktok.com/ZSH7RHUee/" TargetMode="External"/><Relationship Id="rId4180" Type="http://schemas.openxmlformats.org/officeDocument/2006/relationships/hyperlink" Target="https://vt.tiktok.com/ZSHGUj15E/" TargetMode="External"/><Relationship Id="rId4183" Type="http://schemas.openxmlformats.org/officeDocument/2006/relationships/hyperlink" Target="https://vt.tiktok.com/ZSxSht59o/" TargetMode="External"/><Relationship Id="rId4182" Type="http://schemas.openxmlformats.org/officeDocument/2006/relationships/hyperlink" Target="https://vt.tiktok.com/ZSxSh7LGR/" TargetMode="External"/><Relationship Id="rId4185" Type="http://schemas.openxmlformats.org/officeDocument/2006/relationships/hyperlink" Target="https://vt.tiktok.com/ZSH7Rgh9u/" TargetMode="External"/><Relationship Id="rId4184" Type="http://schemas.openxmlformats.org/officeDocument/2006/relationships/hyperlink" Target="https://www.tiktok.com/@titalsbd" TargetMode="External"/><Relationship Id="rId4187" Type="http://schemas.openxmlformats.org/officeDocument/2006/relationships/hyperlink" Target="https://vt.tiktok.com/ZSxShpwhD/" TargetMode="External"/><Relationship Id="rId4186" Type="http://schemas.openxmlformats.org/officeDocument/2006/relationships/hyperlink" Target="https://vt.tiktok.com/ZSHvNuWhb/" TargetMode="External"/><Relationship Id="rId4189" Type="http://schemas.openxmlformats.org/officeDocument/2006/relationships/hyperlink" Target="https://www.tiktok.com/@Cacaila22" TargetMode="External"/><Relationship Id="rId4188" Type="http://schemas.openxmlformats.org/officeDocument/2006/relationships/hyperlink" Target="https://vt.tiktok.com/ZSxShtmtd//" TargetMode="External"/><Relationship Id="rId1900" Type="http://schemas.openxmlformats.org/officeDocument/2006/relationships/hyperlink" Target="https://www.tiktok.com/@Nopikkurnia" TargetMode="External"/><Relationship Id="rId1901" Type="http://schemas.openxmlformats.org/officeDocument/2006/relationships/hyperlink" Target="https://www.tiktok.com/@racunbyyola/video/7628975664070216978?_r=1&amp;u_code=did1gld0iebd1c&amp;region=&amp;mid=7624297612665047828&amp;preview_pb=0&amp;sharer_language=&amp;_d=0&amp;ec_shared_reflux_dynamic_params=%7B%22placeholder_material_id%22%3A%227628975664070216978%22%2C%22placeholder_origin_cover%22%3A%22https%253A%252F%252Fp16-common-sign.tiktokcdn.com%252Ftos-alisg-p-0037%252FoQAfPIyjTDmlkMl4AGCaOo6vLFGgogejPIkafU~tplv-tiktokx-origin.jpeg%253Fdr%253D14572%2526refresh_token%253D46f44c48%2526x-expires%253D1808208000%2526x-signature%253DLQxDpBC8guL506bec39mJIOZ5sw%25253D%2526t%253D4d5b0474%2526ps%253D13740610%2526shp%253Dd05b14bd%2526shcp%253D34ff8df6%2526idc%253Dmy3%2526s%253DTIKTOK_AFFILIATE_VIRAL_VIDEO%22%2C%22placeholder_product_id%22%3A%221729427766722726591%22%2C%22placeholder_video_id%22%3A%227628975664070216978%22%7D&amp;ec_shared_reflux_scene=shop_tab_feed&amp;share_item_id=7628975664070216978&amp;source=h5_t" TargetMode="External"/><Relationship Id="rId1902" Type="http://schemas.openxmlformats.org/officeDocument/2006/relationships/hyperlink" Target="https://www.tiktok.com/@racunbyyola/video/7628247348786826503?_r=1&amp;u_code=did1gld0iebd1c&amp;region=&amp;mid=7566193440287918865&amp;preview_pb=0&amp;sharer_language=&amp;_d=0&amp;ec_shared_reflux_dynamic_params=%7B%22placeholder_material_id%22%3A%227628247348786826503%22%2C%22placeholder_origin_cover%22%3A%22https%253A%252F%252Fp16-common-sign.tiktokcdn.com%252Ftos-alisg-p-0037%252FoscR4OLcyQG69eCASw4AeAIEn5QUGLsGw0pfeF~tplv-tiktokx-origin.jpeg%253Fdr%253D14572%2526refresh_token%253Dde9d333d%2526x-expires%253D1808208000%2526x-signature%253DL%25252BPMlNJdRBJSmIbP%25252FkNejZfL7rw%25253D%2526t%253D4d5b0474%2526ps%253D13740610%2526shp%253Dd05b14bd%2526shcp%253D34ff8df6%2526idc%253Dmy3%2526s%253DTIKTOK_AFFILIATE_VIRAL_VIDEO%22%2C%22placeholder_product_id%22%3A%221729427766722726591%22%2C%22placeholder_video_id%22%3A%227628247348786826503%22%7D&amp;ec_shared_reflux_scene=shop_tab_feed&amp;share_item_id=7628247348786826503&amp;source=h5_t" TargetMode="External"/><Relationship Id="rId1903" Type="http://schemas.openxmlformats.org/officeDocument/2006/relationships/hyperlink" Target="https://www.tiktok.com/@racunbyyola/video/7627363971904900360?_r=1&amp;u_code=did1gld0iebd1c&amp;region=&amp;mid=7311901948345289478&amp;preview_pb=0&amp;sharer_language=&amp;_d=0&amp;ec_shared_reflux_dynamic_params=%7B%22placeholder_material_id%22%3A%227627363971904900360%22%2C%22placeholder_origin_cover%22%3A%22https%253A%252F%252Fp16-common-sign.tiktokcdn.com%252Ftos-alisg-p-0037%252Fo8zIcI1ngAcZBIvXRFfldpDBZU2wqEEMyoeKBZ~tplv-tiktokx-origin.jpeg%253Fdr%253D14572%2526refresh_token%253D1fa564d9%2526x-expires%253D1808208000%2526x-signature%253DzelRdnLJr2C1Igxl%25252FjxHqmGRb2c%25253D%2526t%253D4d5b0474%2526ps%253D13740610%2526shp%253Dd05b14bd%2526shcp%253D34ff8df6%2526idc%253Dmy3%2526s%253DTIKTOK_AFFILIATE_VIRAL_VIDEO%22%2C%22placeholder_product_id%22%3A%221729427766722726591%22%2C%22placeholder_video_id%22%3A%227627363971904900360%22%7D&amp;ec_shared_reflux_scene=shop_tab_feed&amp;share_item_id=7627363971904900360&amp;source=h5_t" TargetMode="External"/><Relationship Id="rId1904" Type="http://schemas.openxmlformats.org/officeDocument/2006/relationships/hyperlink" Target="https://www.tiktok.com/@hdytl_masruroh/video/7628719093465550098?_r=1&amp;u_code=d8alfgjgak93j5&amp;region=&amp;mid=7204827551238195201&amp;preview_pb=0&amp;sharer_language=&amp;_d=0&amp;ec_shared_reflux_dynamic_params=%7B%22placeholder_material_id%22%3A%227628719093465550098%22%2C%22placeholder_origin_cover%22%3A%22https%253A%252F%252Fp16-common-sign.tiktokcdn.com%252Ftos-alisg-p-0037%252FogevDfpMIEgoQ0TYQDTAFC39QfjUApcIGDyRMo~tplv-tiktokx-origin.jpeg%253Fdr%253D14572%2526refresh_token%253D1643f758%2526x-expires%253D1808208000%2526x-signature%253DKNbGccIetT0XmapqOhD%25252BLFpgX8c%25253D%2526t%253D4d5b0474%2526ps%253D13740610%2526shp%253Dd05b14bd%2526shcp%253D34ff8df6%2526idc%253Dmy3%2526s%253DTIKTOK_AFFILIATE_VIRAL_VIDEO%22%2C%22placeholder_product_id%22%3A%221729427766722726591%22%2C%22placeholder_video_id%22%3A%227628719093465550098%22%7D&amp;ec_shared_reflux_scene=shop_tab_feed&amp;share_item_id=7628719093465550098&amp;source=h5_t" TargetMode="External"/><Relationship Id="rId1905" Type="http://schemas.openxmlformats.org/officeDocument/2006/relationships/hyperlink" Target="https://www.tiktok.com/@afifahwidianti" TargetMode="External"/><Relationship Id="rId1906" Type="http://schemas.openxmlformats.org/officeDocument/2006/relationships/hyperlink" Target="https://www.tiktok.com/@dinaachmad30/video/7630336203090382098?_r=1&amp;u_code=clad72314he9jg&amp;region=&amp;mid=7626785194000435989&amp;preview_pb=0&amp;sharer_language=&amp;_d=0&amp;ec_shared_reflux_dynamic_params=%7B%22placeholder_material_id%22%3A%227630336203090382098%22%2C%22placeholder_origin_cover%22%3A%22https%253A%252F%252Fp16-common-sign.tiktokcdn.com%252Ftos-alisg-p-0037%252FogIRZcpAGxMvjYkkDBIGE5F7VRBBHgfiEZEofm~tplv-tiktokx-origin.jpeg%253Fdr%253D14572%2526refresh_token%253Dc46e723b%2526x-expires%253D1808204400%2526x-signature%253DCuJHD0sLI8OagNRlhRaOYj3O2Cc%25253D%2526t%253D4d5b0474%2526ps%253D13740610%2526shp%253Dd05b14bd%2526shcp%253D34ff8df6%2526idc%253Dmy3%2526s%253DTIKTOK_AFFILIATE_VIRAL_VIDEO%22%2C%22placeholder_product_id%22%3A%221729427766722726591%22%2C%22placeholder_video_id%22%3A%227630336203090382098%22%7D&amp;ec_shared_reflux_scene=shop_tab_feed&amp;share_item_id=7630336203090382098&amp;source=h5_t" TargetMode="External"/><Relationship Id="rId1907" Type="http://schemas.openxmlformats.org/officeDocument/2006/relationships/hyperlink" Target="https://www.tiktok.com/@bidanhenny01/video/7626363452444970260?_r=1&amp;u_code=e0agm7bf28f085&amp;region=&amp;mid=7576818574246168593&amp;preview_pb=0&amp;sharer_language=&amp;_d=0&amp;ec_shared_reflux_dynamic_params=%7B%22placeholder_material_id%22%3A%227626363452444970260%22%2C%22placeholder_origin_cover%22%3A%22https%253A%252F%252Fp16-common-sign.tiktokcdn.com%252Ftos-alisg-p-0037%252FoQBGLCOMJIiFheGsgDYmIeMv4krfTgA7LDZjAr~tplv-tiktokx-origin.jpeg%253Fdr%253D14572%2526refresh_token%253D85e278ee%2526x-expires%253D1808204400%2526x-signature%253D2vGOFZLrrmFvne1q4DsUubuYyJc%25253D%2526t%253D4d5b0474%2526ps%253D13740610%2526shp%253Dd05b14bd%2526shcp%253D34ff8df6%2526idc%253Dmy3%2526s%253DTIKTOK_AFFILIATE_VIRAL_VIDEO%22%2C%22placeholder_product_id%22%3A%221729427766722726591%22%2C%22placeholder_video_id%22%3A%227626363452444970260%22%7D&amp;ec_shared_reflux_scene=shop_tab_feed&amp;share_item_id=7626363452444970260&amp;source=h5_t" TargetMode="External"/><Relationship Id="rId1908" Type="http://schemas.openxmlformats.org/officeDocument/2006/relationships/hyperlink" Target="https://www.tiktok.com/@bidanhenny01/video/7627045957355621652?_r=1&amp;u_code=e0agm7bf28f085&amp;region=&amp;mid=7573609115340326929&amp;preview_pb=0&amp;sharer_language=&amp;_d=0&amp;ec_shared_reflux_dynamic_params=%7B%22placeholder_material_id%22%3A%227627045957355621652%22%2C%22placeholder_origin_cover%22%3A%22https%253A%252F%252Fp16-common-sign.tiktokcdn.com%252Ftos-alisg-p-0037%252FoIsJsAeG4sQBAajGILAIQfLIbf7dTTx9GlDWCv~tplv-tiktokx-origin.jpeg%253Fdr%253D14572%2526refresh_token%253D0fccc73f%2526x-expires%253D1808204400%2526x-signature%253D2ae1VHiZ4HOQ56Oga%25252BK76EE10qA%25253D%2526t%253D4d5b0474%2526ps%253D13740610%2526shp%253Dd05b14bd%2526shcp%253D34ff8df6%2526idc%253Dmy3%2526s%253DTIKTOK_AFFILIATE_VIRAL_VIDEO%22%2C%22placeholder_product_id%22%3A%221729427766722726591%22%2C%22placeholder_video_id%22%3A%227627045957355621652%22%7D&amp;ec_shared_reflux_scene=shop_tab_feed&amp;share_item_id=7627045957355621652&amp;source=h5_t" TargetMode="External"/><Relationship Id="rId1909" Type="http://schemas.openxmlformats.org/officeDocument/2006/relationships/hyperlink" Target="https://www.tiktok.com/@bidanhenny01/video/7624408528073018644?_r=1&amp;u_code=e0agm7bf28f085&amp;region=&amp;mid=7507772951459432464&amp;preview_pb=0&amp;sharer_language=&amp;_d=0&amp;ec_shared_reflux_dynamic_params=%7B%22placeholder_material_id%22%3A%227624408528073018644%22%2C%22placeholder_origin_cover%22%3A%22https%253A%252F%252Fp16-sign-sg.tiktokcdn.com%252Ftos-alisg-p-0037%252FoQTsg9GIAGIf8Az38XfCeLMb3DojlgknjqnLUD~tplv-tiktokx-origin.jpeg%253Fdr%253D14572%2526refresh_token%253D68dbaae9%2526x-expires%253D1808204400%2526x-signature%253DULV30aXfQ73hbOx8bq1ykuf1a9A%25253D%2526t%253D4d5b0474%2526ps%253D13740610%2526shp%253Dd05b14bd%2526shcp%253D34ff8df6%2526idc%253Dmy3%2526s%253DTIKTOK_AFFILIATE_VIRAL_VIDEO%22%2C%22placeholder_product_id%22%3A%221729427766722726591%22%2C%22placeholder_video_id%22%3A%227624408528073018644%22%7D&amp;ec_shared_reflux_scene=shop_tab_feed&amp;share_item_id=7624408528073018644&amp;source=h5_t" TargetMode="External"/><Relationship Id="rId4170" Type="http://schemas.openxmlformats.org/officeDocument/2006/relationships/hyperlink" Target="https://vt.tiktok.com/ZSHGkstD1/" TargetMode="External"/><Relationship Id="rId4172" Type="http://schemas.openxmlformats.org/officeDocument/2006/relationships/hyperlink" Target="https://vt.tiktok.com/ZSxShoVeB/" TargetMode="External"/><Relationship Id="rId4171" Type="http://schemas.openxmlformats.org/officeDocument/2006/relationships/hyperlink" Target="https://vt.tiktok.com/ZSHGD92tu/" TargetMode="External"/><Relationship Id="rId4174" Type="http://schemas.openxmlformats.org/officeDocument/2006/relationships/hyperlink" Target="https://www.tiktok.com/@Pasutrigenz07" TargetMode="External"/><Relationship Id="rId4173" Type="http://schemas.openxmlformats.org/officeDocument/2006/relationships/hyperlink" Target="https://vt.tiktok.com/ZSxSkR91a/" TargetMode="External"/><Relationship Id="rId4176" Type="http://schemas.openxmlformats.org/officeDocument/2006/relationships/hyperlink" Target="https://vt.tiktok.com/ZS9MTwv1J/" TargetMode="External"/><Relationship Id="rId4175" Type="http://schemas.openxmlformats.org/officeDocument/2006/relationships/hyperlink" Target="https://vt.tiktok.com/ZS9MTf8mU/" TargetMode="External"/><Relationship Id="rId4178" Type="http://schemas.openxmlformats.org/officeDocument/2006/relationships/hyperlink" Target="https://vt.tiktok.com/ZSxShtuB8/" TargetMode="External"/><Relationship Id="rId4177" Type="http://schemas.openxmlformats.org/officeDocument/2006/relationships/hyperlink" Target="https://vt.tiktok.com/ZSxSkd7k5/" TargetMode="External"/><Relationship Id="rId4179" Type="http://schemas.openxmlformats.org/officeDocument/2006/relationships/hyperlink" Target="https://www.tiktok.com/@tasyaa_712" TargetMode="External"/><Relationship Id="rId4129" Type="http://schemas.openxmlformats.org/officeDocument/2006/relationships/hyperlink" Target="https://www.tiktok.com/@sashanum05" TargetMode="External"/><Relationship Id="rId4128" Type="http://schemas.openxmlformats.org/officeDocument/2006/relationships/hyperlink" Target="https://vt.tiktok.com/ZSxkSUjFy/" TargetMode="External"/><Relationship Id="rId5459" Type="http://schemas.openxmlformats.org/officeDocument/2006/relationships/hyperlink" Target="https://www.tiktok.com/@beauty.iidd/video/7632143785799060743?_r=1&amp;u_code=ebjf03139m95gf&amp;region=&amp;mid=7626624902267439888&amp;preview_pb=0&amp;sharer_language=&amp;_d=0&amp;ec_shared_reflux_dynamic_params=%7B%22placeholder_material_id%22%3A%227632143785799060743%22%2C%22placeholder_origin_cover%22%3A%22https%253A%252F%252Fp16-common-sign.tiktokcdn.com%252Ftos-alisg-p-0037%252FokmJeBcDpBphBmmFE5ZtpAQSEBWVf6jgwRQMPO~tplv-tiktokx-origin.jpeg%253Fdr%253D14572%2526refresh_token%253D2f7fcb5a%2526x-expires%253D1808992800%2526x-signature%253DsHAtfPj0XszWVxp56oxBHmoRw24%25253D%2526t%253D4d5b0474%2526ps%253D13740610%2526shp%253Dd05b14bd%2526shcp%253D34ff8df6%2526idc%253Dmy2%2526s%253DTIKTOK_AFFILIATE_VIRAL_VIDEO%22%2C%22placeholder_product_id%22%3A%221729427766722726591%22%2C%22placeholder_video_id%22%3A%227632143785799060743%22%7D&amp;ec_shared_reflux_scene=shop_tab_feed&amp;share_item_id=7632143785799060743&amp;source=h5_t" TargetMode="External"/><Relationship Id="rId6780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5450" Type="http://schemas.openxmlformats.org/officeDocument/2006/relationships/hyperlink" Target="https://vt.tiktok.com/ZS9DaWTPj/" TargetMode="External"/><Relationship Id="rId6781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4121" Type="http://schemas.openxmlformats.org/officeDocument/2006/relationships/hyperlink" Target="https://vt.tiktok.com/ZSHn1cEGy/" TargetMode="External"/><Relationship Id="rId5453" Type="http://schemas.openxmlformats.org/officeDocument/2006/relationships/hyperlink" Target="https://www.tiktok.com/@meamore42" TargetMode="External"/><Relationship Id="rId6784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4120" Type="http://schemas.openxmlformats.org/officeDocument/2006/relationships/hyperlink" Target="https://vt.tiktok.com/ZSHsW6xDD/" TargetMode="External"/><Relationship Id="rId5454" Type="http://schemas.openxmlformats.org/officeDocument/2006/relationships/hyperlink" Target="https://www.tiktok.com/@meamore42/video/7629254606517865736?_r=1&amp;u_code=ee8d791ik7h785&amp;region=&amp;mid=7620963523808824072&amp;preview_pb=0&amp;sharer_language=&amp;_d=0&amp;ec_shared_reflux_dynamic_params=%7B%22placeholder_material_id%22%3A%227629254606517865736%22%2C%22placeholder_origin_cover%22%3A%22https%253A%252F%252Fp16-common-sign.tiktokcdn.com%252Ftos-alisg-p-0037%252FoERTCgqeIXqLlTjAKARQwqeWj0SEGDCJIevQN4~tplv-tiktokx-origin.jpeg%253Fdr%253D14572%2526refresh_token%253Da360a5c8%2526x-expires%253D1808204400%2526x-signature%253DSx8VU044U%25252BWjmcVUbfQoaxrDuNY%25253D%2526t%253D4d5b0474%2526ps%253D13740610%2526shp%253Dd05b14bd%2526shcp%253D34ff8df6%2526idc%253Dmy3%2526s%253DTIKTOK_AFFILIATE_VIRAL_VIDEO%22%2C%22placeholder_product_id%22%3A%221729427766722726591%22%2C%22placeholder_video_id%22%3A%227629254606517865736%22%7D&amp;ec_shared_reflux_scene=shop_tab_feed&amp;share_item_id=7629254606517865736&amp;source=h5_t" TargetMode="External"/><Relationship Id="rId6785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4123" Type="http://schemas.openxmlformats.org/officeDocument/2006/relationships/hyperlink" Target="https://vt.tiktok.com/ZSxkSRnsU/" TargetMode="External"/><Relationship Id="rId5451" Type="http://schemas.openxmlformats.org/officeDocument/2006/relationships/hyperlink" Target="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2placeholder_origin_cover%22%3A%22https%253A%252F%252Fp16-common-sign.tiktokcdn.com%252Ftos-alisg-p-0037%252Fo8d8IW8cAaJj2MregAKDPXOOueQI2Te4ADCxg3~tplv-tiktokx-origin.jpeg%253Fdr%253D14572%2526refresh_token%253D6c3e7766%2526x-expires%253D1808992800%2526x-signature%253DGcJYh6Ejxyo84p5AL1hv6HNVj24%25253D%2526t%253D4d5b0474%2526ps%253D13740610%2526shp%253Dd05b14bd%2526shcp%253D34ff8df6%2526idc%253Dmy2%2526s%253DTIKTOK_AFFILIATE_VIRAL_VIDEO%22%2C%22placeholder_product_id%22%3A%221729427766722726591%22%2C%22placeholder_video_id%22%3A%227632557264032861447%22%7D&amp;ec_shared_reflux_scene=shop_tab_feed&amp;share_item_id=7632557264032861447&amp;source=h5_t" TargetMode="External"/><Relationship Id="rId6782" Type="http://schemas.openxmlformats.org/officeDocument/2006/relationships/hyperlink" Target="https://www.tiktok.com/@racunbyjes" TargetMode="External"/><Relationship Id="rId4122" Type="http://schemas.openxmlformats.org/officeDocument/2006/relationships/hyperlink" Target="https://vt.tiktok.com/ZSxkSys9H/" TargetMode="External"/><Relationship Id="rId5452" Type="http://schemas.openxmlformats.org/officeDocument/2006/relationships/hyperlink" Target="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2placeholder_origin_cover%22%3A%22https%253A%252F%252Fp16-common-sign.tiktokcdn.com%252Ftos-alisg-p-0037%252FoUuBHHkyiYpBIniw13iAqZDfTM5IAsCAAIAPgs~tplv-tiktokx-origin.jpeg%253Fdr%253D14572%2526refresh_token%253Dbd98b4e8%2526x-expires%253D1810119600%2526x-signature%253D4ymN%25252FNt9xmXXRBWN2LbZU1X3HMw%25253D%2526t%253D4d5b0474%2526ps%253D13740610%2526shp%253Dd05b14bd%2526shcp%253D34ff8df6%2526idc%253Dmy2%2526s%253DTIKTOK_AFFILIATE_VIRAL_VIDEO%22%2C%22placeholder_product_id%22%3A%221729427766722726591%22%2C%22placeholder_video_id%22%3A%227638217623351627026%22%7D&amp;ec_shared_reflux_scene=shop_tab_feed&amp;share_item_id=7638217623351627026&amp;source=h5_t" TargetMode="External"/><Relationship Id="rId6783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4125" Type="http://schemas.openxmlformats.org/officeDocument/2006/relationships/hyperlink" Target="https://vt.tiktok.com/ZSxHyH1gW/" TargetMode="External"/><Relationship Id="rId5457" Type="http://schemas.openxmlformats.org/officeDocument/2006/relationships/hyperlink" Target="https://www.tiktok.com/@meamore42/video/7633681620091931922?_r=1&amp;u_code=ee8d791ik7h785&amp;region=&amp;mid=7627687221567310593&amp;preview_pb=0&amp;sharer_language=&amp;_d=0&amp;ec_shared_reflux_dynamic_params=%7B%22placeholder_material_id%22%3A%227633681620091931922%22%2C%22placeholder_origin_cover%22%3A%22https%253A%252F%252Fp16-common-sign.tiktokcdn.com%252Ftos-alisg-p-0037%252FoUH4GeOLIIvgQQSHoDTALCewQMjJAeiGvDpqh5~tplv-tiktokx-origin.jpeg%253Fdr%253D14572%2526refresh_token%253Db078e9c0%2526x-expires%253D1808992800%2526x-signature%253DCuickUc0iCCc4V5p2bpTCkyyauE%25253D%2526t%253D4d5b0474%2526ps%253D13740610%2526shp%253Dd05b14bd%2526shcp%253D34ff8df6%2526idc%253Dmy2%2526s%253DTIKTOK_AFFILIATE_VIRAL_VIDEO%22%2C%22placeholder_product_id%22%3A%221729427766722726591%22%2C%22placeholder_video_id%22%3A%227633681620091931922%22%7D&amp;ec_shared_reflux_scene=shop_tab_feed&amp;share_item_id=7633681620091931922&amp;source=h5_t" TargetMode="External"/><Relationship Id="rId6788" Type="http://schemas.openxmlformats.org/officeDocument/2006/relationships/hyperlink" Target="https://www.tiktok.com/@annisaistiqomahh1/video/7636754468352036116?_r=1&amp;u_code=d8i26fa18b5a65&amp;region=&amp;mid=7543865832670710534&amp;preview_pb=0&amp;sharer_language=&amp;_d=0&amp;ec_shared_reflux_dynamic_params=%7B%22placeholder_material_id%22%3A%227636754468352036116%22%2C%22placeholder_origin_cover%22%3A%22https%253A%252F%252Fp16-common-sign.tiktokcdn.com%252Ftos-alisg-p-0037%252FoEFwfADeMMfD8FjTT1EkODoIAQx7ChRQo5kzEn~tplv-tiktokx-origin.jpeg%253Fdr%253D14572%2526refresh_token%253D9a8d1404%2526x-expires%253D1810116000%2526x-signature%253D2RifNgYpp7hCMRUpIPDrtZFfY%25252Fo%25253D%2526t%253D4d5b0474%2526ps%253D13740610%2526shp%253Dd05b14bd%2526shcp%253D34ff8df6%2526idc%253Dmy2%2526s%253DTIKTOK_AFFILIATE_VIRAL_VIDEO%22%2C%22placeholder_product_id%22%3A%221729427766722726591%22%2C%22placeholder_video_id%22%3A%227636754468352036116%22%7D&amp;ec_shared_reflux_scene=shop_tab_feed&amp;share_item_id=7636754468352036116&amp;source=h5_t" TargetMode="External"/><Relationship Id="rId4124" Type="http://schemas.openxmlformats.org/officeDocument/2006/relationships/hyperlink" Target="https://www.tiktok.com/@Hafaziaffiliate_" TargetMode="External"/><Relationship Id="rId5458" Type="http://schemas.openxmlformats.org/officeDocument/2006/relationships/hyperlink" Target="https://www.tiktok.com/@beauty.iidd" TargetMode="External"/><Relationship Id="rId6789" Type="http://schemas.openxmlformats.org/officeDocument/2006/relationships/hyperlink" Target="https://www.tiktok.com/@annisaistiqomahh1/video/7637136147533008148?_r=1&amp;u_code=d8i26fa18b5a65&amp;region=&amp;mid=7632577313817447189&amp;preview_pb=0&amp;sharer_language=&amp;_d=0&amp;ec_shared_reflux_dynamic_params=%7B%22placeholder_material_id%22%3A%227637136147533008148%22%2C%22placeholder_origin_cover%22%3A%22https%253A%252F%252Fp16-common-sign.tiktokcdn.com%252Ftos-alisg-p-0037%252Fokfz8AMeZHfGcWGgndytxLwRABl5FxSAkf8RQ6~tplv-tiktokx-origin.jpeg%253Fdr%253D14572%2526refresh_token%253Ddc4f4ec3%2526x-expires%253D1810116000%2526x-signature%253DSKHhNszlAgLpPZBFS9YLp1KX32Y%25253D%2526t%253D4d5b0474%2526ps%253D13740610%2526shp%253Dd05b14bd%2526shcp%253D34ff8df6%2526idc%253Dmy2%2526s%253DTIKTOK_AFFILIATE_VIRAL_VIDEO%22%2C%22placeholder_product_id%22%3A%221729427766722726591%22%2C%22placeholder_video_id%22%3A%227637136147533008148%22%7D&amp;ec_shared_reflux_scene=shop_tab_feed&amp;share_item_id=7637136147533008148&amp;source=h5_t" TargetMode="External"/><Relationship Id="rId4127" Type="http://schemas.openxmlformats.org/officeDocument/2006/relationships/hyperlink" Target="https://vt.tiktok.com/ZSxkBEE13/" TargetMode="External"/><Relationship Id="rId5455" Type="http://schemas.openxmlformats.org/officeDocument/2006/relationships/hyperlink" Target="https://www.tiktok.com/@meamore42/video/7631395374527221000?_r=1&amp;u_code=ee8d791ik7h785&amp;region=&amp;mid=7242034045985852165&amp;preview_pb=0&amp;sharer_language=&amp;_d=0&amp;ec_shared_reflux_dynamic_params=%7B%22placeholder_material_id%22%3A%227631395374527221000%22%2C%22placeholder_origin_cover%22%3A%22https%253A%252F%252Fp16-sign-sg.tiktokcdn.com%252Ftos-alisg-p-0037%252FosIjLoTAF8JOJndoGDIfe0LTNJCCSAewIKIAob~tplv-tiktokx-origin.jpeg%253Fdr%253D14572%2526refresh_token%253D82ab031e%2526x-expires%253D1808474400%2526x-signature%253DytaPNrPtFXR4pr7VTESNI8Zgrj8%25253D%2526t%253D4d5b0474%2526ps%253D13740610%2526shp%253Dd05b14bd%2526shcp%253D34ff8df6%2526idc%253Dmy3%2526s%253DTIKTOK_AFFILIATE_VIRAL_VIDEO%22%2C%22placeholder_product_id%22%3A%221729427766722726591%22%2C%22placeholder_video_id%22%3A%227631395374527221000%22%7D&amp;ec_shared_reflux_scene=shop_tab_feed&amp;share_item_id=7631395374527221000&amp;source=h5_t" TargetMode="External"/><Relationship Id="rId6786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4126" Type="http://schemas.openxmlformats.org/officeDocument/2006/relationships/hyperlink" Target="https://vt.tiktok.com/ZSxHyj36d/" TargetMode="External"/><Relationship Id="rId5456" Type="http://schemas.openxmlformats.org/officeDocument/2006/relationships/hyperlink" Target="https://www.tiktok.com/@meamore42/video/7632150795554704647?_r=1&amp;u_code=ee8d791ik7h785&amp;region=&amp;mid=7257475128967400197&amp;preview_pb=0&amp;sharer_language=&amp;_d=0&amp;ec_shared_reflux_dynamic_params=%7B%22placeholder_material_id%22%3A%227632150795554704647%22%2C%22placeholder_origin_cover%22%3A%22https%253A%252F%252Fp16-common-sign.tiktokcdn.com%252Ftos-alisg-p-0037%252FoIIEqFpJtBOwBGDLIfHNrcCgE92Ct6iyfriARM~tplv-tiktokx-origin.jpeg%253Fdr%253D14572%2526refresh_token%253D7e0407a2%2526x-expires%253D1808992800%2526x-signature%253DIMtFtCxvaBaDJj6Et5%25252BeFPOJ7d4%25253D%2526t%253D4d5b0474%2526ps%253D13740610%2526shp%253Dd05b14bd%2526shcp%253D34ff8df6%2526idc%253Dmy2%2526s%253DTIKTOK_AFFILIATE_VIRAL_VIDEO%22%2C%22placeholder_product_id%22%3A%221729427766722726591%22%2C%22placeholder_video_id%22%3A%227632150795554704647%22%7D&amp;ec_shared_reflux_scene=shop_tab_feed&amp;share_item_id=7632150795554704647&amp;source=h5_t" TargetMode="External"/><Relationship Id="rId6787" Type="http://schemas.openxmlformats.org/officeDocument/2006/relationships/hyperlink" Target="https://www.tiktok.com/@annisaistiqomahh1" TargetMode="External"/><Relationship Id="rId4118" Type="http://schemas.openxmlformats.org/officeDocument/2006/relationships/hyperlink" Target="https://vt.tiktok.com/ZSxkSSGSK/" TargetMode="External"/><Relationship Id="rId4117" Type="http://schemas.openxmlformats.org/officeDocument/2006/relationships/hyperlink" Target="https://vt.tiktok.com/ZSxkS82xV/" TargetMode="External"/><Relationship Id="rId5448" Type="http://schemas.openxmlformats.org/officeDocument/2006/relationships/hyperlink" Target="https://www.tiktok.com/@dianasepti210" TargetMode="External"/><Relationship Id="rId6779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4119" Type="http://schemas.openxmlformats.org/officeDocument/2006/relationships/hyperlink" Target="https://www.tiktok.com/@evisusanty88" TargetMode="External"/><Relationship Id="rId5449" Type="http://schemas.openxmlformats.org/officeDocument/2006/relationships/hyperlink" Target="https://vt.tiktok.com/ZS9DasLp4/" TargetMode="External"/><Relationship Id="rId6770" Type="http://schemas.openxmlformats.org/officeDocument/2006/relationships/hyperlink" Target="https://vt.tiktok.com/ZS9HRA3o4/" TargetMode="External"/><Relationship Id="rId4110" Type="http://schemas.openxmlformats.org/officeDocument/2006/relationships/hyperlink" Target="https://vt.tiktok.com/ZS9MKbCYa/" TargetMode="External"/><Relationship Id="rId5442" Type="http://schemas.openxmlformats.org/officeDocument/2006/relationships/hyperlink" Target="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2placeholder_origin_cover%22%3A%22https%253A%252F%252Fp16-common-sign.tiktokcdn.com%252Ftos-alisg-p-0037%252FoUuBHHkyiYpBIniw13iAqZDfTM5IAsCAAIAPgs~tplv-tiktokx-origin.jpeg%253Fdr%253D14572%2526refresh_token%253Dbd98b4e8%2526x-expires%253D1810119600%2526x-signature%253D4ymN%25252FNt9xmXXRBWN2LbZU1X3HMw%25253D%2526t%253D4d5b0474%2526ps%253D13740610%2526shp%253Dd05b14bd%2526shcp%253D34ff8df6%2526idc%253Dmy2%2526s%253DTIKTOK_AFFILIATE_VIRAL_VIDEO%22%2C%22placeholder_product_id%22%3A%221729427766722726591%22%2C%22placeholder_video_id%22%3A%227638217623351627026%22%7D&amp;ec_shared_reflux_scene=shop_tab_feed&amp;share_item_id=7638217623351627026&amp;source=h5_t" TargetMode="External"/><Relationship Id="rId6773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5443" Type="http://schemas.openxmlformats.org/officeDocument/2006/relationships/hyperlink" Target="https://www.tiktok.com/@arlebeautyy_" TargetMode="External"/><Relationship Id="rId6774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4112" Type="http://schemas.openxmlformats.org/officeDocument/2006/relationships/hyperlink" Target="https://vt.tiktok.com/ZSxkSUBQ2/" TargetMode="External"/><Relationship Id="rId5440" Type="http://schemas.openxmlformats.org/officeDocument/2006/relationships/hyperlink" Target="https://vt.tiktok.com/ZS9DaWTPj/" TargetMode="External"/><Relationship Id="rId6771" Type="http://schemas.openxmlformats.org/officeDocument/2006/relationships/hyperlink" Target="https://vt.tiktok.com/ZS9HRBPvh/" TargetMode="External"/><Relationship Id="rId4111" Type="http://schemas.openxmlformats.org/officeDocument/2006/relationships/hyperlink" Target="https://vt.tiktok.com/ZS9hLw9m2/" TargetMode="External"/><Relationship Id="rId5441" Type="http://schemas.openxmlformats.org/officeDocument/2006/relationships/hyperlink" Target="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2placeholder_origin_cover%22%3A%22https%253A%252F%252Fp16-common-sign.tiktokcdn.com%252Ftos-alisg-p-0037%252Fo8d8IW8cAaJj2MregAKDPXOOueQI2Te4ADCxg3~tplv-tiktokx-origin.jpeg%253Fdr%253D14572%2526refresh_token%253D6c3e7766%2526x-expires%253D1808992800%2526x-signature%253DGcJYh6Ejxyo84p5AL1hv6HNVj24%25253D%2526t%253D4d5b0474%2526ps%253D13740610%2526shp%253Dd05b14bd%2526shcp%253D34ff8df6%2526idc%253Dmy2%2526s%253DTIKTOK_AFFILIATE_VIRAL_VIDEO%22%2C%22placeholder_product_id%22%3A%221729427766722726591%22%2C%22placeholder_video_id%22%3A%227632557264032861447%22%7D&amp;ec_shared_reflux_scene=shop_tab_feed&amp;share_item_id=7632557264032861447&amp;source=h5_t" TargetMode="External"/><Relationship Id="rId6772" Type="http://schemas.openxmlformats.org/officeDocument/2006/relationships/hyperlink" Target="https://www.tiktok.com/@iluhhh09" TargetMode="External"/><Relationship Id="rId4114" Type="http://schemas.openxmlformats.org/officeDocument/2006/relationships/hyperlink" Target="https://www.tiktok.com/@bukan_citygirllllllll" TargetMode="External"/><Relationship Id="rId5446" Type="http://schemas.openxmlformats.org/officeDocument/2006/relationships/hyperlink" Target="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2placeholder_origin_cover%22%3A%22https%253A%252F%252Fp16-common-sign.tiktokcdn.com%252Ftos-alisg-p-0037%252Fo8d8IW8cAaJj2MregAKDPXOOueQI2Te4ADCxg3~tplv-tiktokx-origin.jpeg%253Fdr%253D14572%2526refresh_token%253D6c3e7766%2526x-expires%253D1808992800%2526x-signature%253DGcJYh6Ejxyo84p5AL1hv6HNVj24%25253D%2526t%253D4d5b0474%2526ps%253D13740610%2526shp%253Dd05b14bd%2526shcp%253D34ff8df6%2526idc%253Dmy2%2526s%253DTIKTOK_AFFILIATE_VIRAL_VIDEO%22%2C%22placeholder_product_id%22%3A%221729427766722726591%22%2C%22placeholder_video_id%22%3A%227632557264032861447%22%7D&amp;ec_shared_reflux_scene=shop_tab_feed&amp;share_item_id=7632557264032861447&amp;source=h5_t" TargetMode="External"/><Relationship Id="rId6777" Type="http://schemas.openxmlformats.org/officeDocument/2006/relationships/hyperlink" Target="https://www.tiktok.com/@tianurocta" TargetMode="External"/><Relationship Id="rId4113" Type="http://schemas.openxmlformats.org/officeDocument/2006/relationships/hyperlink" Target="https://vt.tiktok.com/ZSxkSddc9/" TargetMode="External"/><Relationship Id="rId5447" Type="http://schemas.openxmlformats.org/officeDocument/2006/relationships/hyperlink" Target="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2placeholder_origin_cover%22%3A%22https%253A%252F%252Fp16-common-sign.tiktokcdn.com%252Ftos-alisg-p-0037%252FoUuBHHkyiYpBIniw13iAqZDfTM5IAsCAAIAPgs~tplv-tiktokx-origin.jpeg%253Fdr%253D14572%2526refresh_token%253Dbd98b4e8%2526x-expires%253D1810119600%2526x-signature%253D4ymN%25252FNt9xmXXRBWN2LbZU1X3HMw%25253D%2526t%253D4d5b0474%2526ps%253D13740610%2526shp%253Dd05b14bd%2526shcp%253D34ff8df6%2526idc%253Dmy2%2526s%253DTIKTOK_AFFILIATE_VIRAL_VIDEO%22%2C%22placeholder_product_id%22%3A%221729427766722726591%22%2C%22placeholder_video_id%22%3A%227638217623351627026%22%7D&amp;ec_shared_reflux_scene=shop_tab_feed&amp;share_item_id=7638217623351627026&amp;source=h5_t" TargetMode="External"/><Relationship Id="rId6778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4116" Type="http://schemas.openxmlformats.org/officeDocument/2006/relationships/hyperlink" Target="https://vt.tiktok.com/ZSHTagPYD/" TargetMode="External"/><Relationship Id="rId5444" Type="http://schemas.openxmlformats.org/officeDocument/2006/relationships/hyperlink" Target="https://vt.tiktok.com/ZS9DasLp4/" TargetMode="External"/><Relationship Id="rId6775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4115" Type="http://schemas.openxmlformats.org/officeDocument/2006/relationships/hyperlink" Target="https://vt.tiktok.com/ZSH3owfDt/" TargetMode="External"/><Relationship Id="rId5445" Type="http://schemas.openxmlformats.org/officeDocument/2006/relationships/hyperlink" Target="https://vt.tiktok.com/ZS9DaWTPj/" TargetMode="External"/><Relationship Id="rId6776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5471" Type="http://schemas.openxmlformats.org/officeDocument/2006/relationships/hyperlink" Target="https://www.tiktok.com/@meamore42/video/7632150795554704647?_r=1&amp;u_code=ee8d791ik7h785&amp;region=&amp;mid=7257475128967400197&amp;preview_pb=0&amp;sharer_language=&amp;_d=0&amp;ec_shared_reflux_dynamic_params=%7B%22placeholder_material_id%22%3A%227632150795554704647%22%2C%22placeholder_origin_cover%22%3A%22https%253A%252F%252Fp16-common-sign.tiktokcdn.com%252Ftos-alisg-p-0037%252FoIIEqFpJtBOwBGDLIfHNrcCgE92Ct6iyfriARM~tplv-tiktokx-origin.jpeg%253Fdr%253D14572%2526refresh_token%253D7e0407a2%2526x-expires%253D1808992800%2526x-signature%253DIMtFtCxvaBaDJj6Et5%25252BeFPOJ7d4%25253D%2526t%253D4d5b0474%2526ps%253D13740610%2526shp%253Dd05b14bd%2526shcp%253D34ff8df6%2526idc%253Dmy2%2526s%253DTIKTOK_AFFILIATE_VIRAL_VIDEO%22%2C%22placeholder_product_id%22%3A%221729427766722726591%22%2C%22placeholder_video_id%22%3A%227632150795554704647%22%7D&amp;ec_shared_reflux_scene=shop_tab_feed&amp;share_item_id=7632150795554704647&amp;source=h5_t" TargetMode="External"/><Relationship Id="rId5472" Type="http://schemas.openxmlformats.org/officeDocument/2006/relationships/hyperlink" Target="https://www.tiktok.com/@meamore42/video/7633681620091931922?_r=1&amp;u_code=ee8d791ik7h785&amp;region=&amp;mid=7627687221567310593&amp;preview_pb=0&amp;sharer_language=&amp;_d=0&amp;ec_shared_reflux_dynamic_params=%7B%22placeholder_material_id%22%3A%227633681620091931922%22%2C%22placeholder_origin_cover%22%3A%22https%253A%252F%252Fp16-common-sign.tiktokcdn.com%252Ftos-alisg-p-0037%252FoUH4GeOLIIvgQQSHoDTALCewQMjJAeiGvDpqh5~tplv-tiktokx-origin.jpeg%253Fdr%253D14572%2526refresh_token%253Db078e9c0%2526x-expires%253D1808992800%2526x-signature%253DCuickUc0iCCc4V5p2bpTCkyyauE%25253D%2526t%253D4d5b0474%2526ps%253D13740610%2526shp%253Dd05b14bd%2526shcp%253D34ff8df6%2526idc%253Dmy2%2526s%253DTIKTOK_AFFILIATE_VIRAL_VIDEO%22%2C%22placeholder_product_id%22%3A%221729427766722726591%22%2C%22placeholder_video_id%22%3A%227633681620091931922%22%7D&amp;ec_shared_reflux_scene=shop_tab_feed&amp;share_item_id=7633681620091931922&amp;source=h5_t" TargetMode="External"/><Relationship Id="rId4141" Type="http://schemas.openxmlformats.org/officeDocument/2006/relationships/hyperlink" Target="https://vt.tiktok.com/ZSxHy7UEh/" TargetMode="External"/><Relationship Id="rId4140" Type="http://schemas.openxmlformats.org/officeDocument/2006/relationships/hyperlink" Target="https://vt.tiktok.com/ZSxHyW97j/" TargetMode="External"/><Relationship Id="rId5470" Type="http://schemas.openxmlformats.org/officeDocument/2006/relationships/hyperlink" Target="https://www.tiktok.com/@meamore42/video/7631395374527221000?_r=1&amp;u_code=ee8d791ik7h785&amp;region=&amp;mid=7242034045985852165&amp;preview_pb=0&amp;sharer_language=&amp;_d=0&amp;ec_shared_reflux_dynamic_params=%7B%22placeholder_material_id%22%3A%227631395374527221000%22%2C%22placeholder_origin_cover%22%3A%22https%253A%252F%252Fp16-sign-sg.tiktokcdn.com%252Ftos-alisg-p-0037%252FosIjLoTAF8JOJndoGDIfe0LTNJCCSAewIKIAob~tplv-tiktokx-origin.jpeg%253Fdr%253D14572%2526refresh_token%253D82ab031e%2526x-expires%253D1808474400%2526x-signature%253DytaPNrPtFXR4pr7VTESNI8Zgrj8%25253D%2526t%253D4d5b0474%2526ps%253D13740610%2526shp%253Dd05b14bd%2526shcp%253D34ff8df6%2526idc%253Dmy3%2526s%253DTIKTOK_AFFILIATE_VIRAL_VIDEO%22%2C%22placeholder_product_id%22%3A%221729427766722726591%22%2C%22placeholder_video_id%22%3A%227631395374527221000%22%7D&amp;ec_shared_reflux_scene=shop_tab_feed&amp;share_item_id=7631395374527221000&amp;source=h5_t" TargetMode="External"/><Relationship Id="rId4143" Type="http://schemas.openxmlformats.org/officeDocument/2006/relationships/hyperlink" Target="https://vt.tiktok.com/ZSxSBydtB/" TargetMode="External"/><Relationship Id="rId5475" Type="http://schemas.openxmlformats.org/officeDocument/2006/relationships/hyperlink" Target="https://www.tiktok.com/@beauty.iidd/video/7632894757135453458?_d=0&amp;_r=1&amp;ec_shared_reflux_dynamic_params=%7B%22placeholder_material_id%22%3A%227632894757135453458%22%2C%22placeholder_origin_cover%22%3A%22https%253A%252F%252Fp19-common-sign.tiktokcdn.com%252Ftos-alisg-p-0037%252FoYQsap7EDBX9XgRNgcQAPFEB1fDip7ADDfYBWc~tplv-tiktokx-origin.jpeg%253Fdr%253D14572%2526refresh_token%253D7b65af0f%2526x-expires%253D1808992800%2526x-signature%253DMpUvd7PEPpWgSM5AmWNSJSZgFXI%25253D%2526t%253D4d5b0474%2526ps%253D13740610%2526shp%253Dd05b14bd%2526shcp%253D34ff8df6%2526idc%253Dmy2%2526s%253DTIKTOK_AFFILIATE_VIRAL_VIDEO%22%2C%22placeholder_product_id%22%3A%221729427766722726591%22%2C%22placeholder_video_id%22%3A%227632894757135453458%22%7D&amp;ec_shared_reflux_scene=shop_tab_feed&amp;mid=7624312772448357140&amp;preview_pb=0&amp;region=&amp;share_item_id=7632894757135453458&amp;sharer_language=&amp;source=h5_t&amp;u_code=ebjf03139m95gf" TargetMode="External"/><Relationship Id="rId4142" Type="http://schemas.openxmlformats.org/officeDocument/2006/relationships/hyperlink" Target="https://vt.tiktok.com/ZSxSBLjJA/" TargetMode="External"/><Relationship Id="rId5476" Type="http://schemas.openxmlformats.org/officeDocument/2006/relationships/hyperlink" Target="https://www.tiktok.com/@beauty.iidd/video/7633701589638712583?_r=1&amp;u_code=ebjf03139m95gf&amp;region=&amp;mid=7608559003840400145&amp;preview_pb=0&amp;sharer_language=&amp;_d=0&amp;ec_shared_reflux_dynamic_params=%7B%22placeholder_material_id%22%3A%227633701589638712583%22%2C%22placeholder_origin_cover%22%3A%22https%253A%252F%252Fp16-common-sign.tiktokcdn.com%252Ftos-alisg-p-0037%252FosEcFZIgciAF2EFWn4R278fywsDTBBvIfAypTw~tplv-tiktokx-origin.jpeg%253Fdr%253D14572%2526refresh_token%253D5e301e26%2526x-expires%253D1808992800%2526x-signature%253D4PfOlDYRzB5WK%25252B9i8utb4dHmsMI%25253D%2526t%253D4d5b0474%2526ps%253D13740610%2526shp%253Dd05b14bd%2526shcp%253D34ff8df6%2526idc%253Dmy2%2526s%253DTIKTOK_AFFILIATE_VIRAL_VIDEO%22%2C%22placeholder_product_id%22%3A%221729427766722726591%22%2C%22placeholder_video_id%22%3A%227633701589638712583%22%7D&amp;ec_shared_reflux_scene=shop_tab_feed&amp;share_item_id=7633701589638712583&amp;source=h5_t" TargetMode="External"/><Relationship Id="rId4145" Type="http://schemas.openxmlformats.org/officeDocument/2006/relationships/hyperlink" Target="https://vt.tiktok.com/ZSHntXGmH/" TargetMode="External"/><Relationship Id="rId5473" Type="http://schemas.openxmlformats.org/officeDocument/2006/relationships/hyperlink" Target="https://www.tiktok.com/@allaboutskincare77" TargetMode="External"/><Relationship Id="rId4144" Type="http://schemas.openxmlformats.org/officeDocument/2006/relationships/hyperlink" Target="https://www.tiktok.com/@deaystna" TargetMode="External"/><Relationship Id="rId5474" Type="http://schemas.openxmlformats.org/officeDocument/2006/relationships/hyperlink" Target="https://www.tiktok.com/@beauty.iidd/video/7632143785799060743?_r=1&amp;u_code=ebjf03139m95gf&amp;region=&amp;mid=7626624902267439888&amp;preview_pb=0&amp;sharer_language=&amp;_d=0&amp;ec_shared_reflux_dynamic_params=%7B%22placeholder_material_id%22%3A%227632143785799060743%22%2C%22placeholder_origin_cover%22%3A%22https%253A%252F%252Fp16-common-sign.tiktokcdn.com%252Ftos-alisg-p-0037%252FokmJeBcDpBphBmmFE5ZtpAQSEBWVf6jgwRQMPO~tplv-tiktokx-origin.jpeg%253Fdr%253D14572%2526refresh_token%253D2f7fcb5a%2526x-expires%253D1808992800%2526x-signature%253DsHAtfPj0XszWVxp56oxBHmoRw24%25253D%2526t%253D4d5b0474%2526ps%253D13740610%2526shp%253Dd05b14bd%2526shcp%253D34ff8df6%2526idc%253Dmy2%2526s%253DTIKTOK_AFFILIATE_VIRAL_VIDEO%22%2C%22placeholder_product_id%22%3A%221729427766722726591%22%2C%22placeholder_video_id%22%3A%227632143785799060743%22%7D&amp;ec_shared_reflux_scene=shop_tab_feed&amp;share_item_id=7632143785799060743&amp;source=h5_t" TargetMode="External"/><Relationship Id="rId4147" Type="http://schemas.openxmlformats.org/officeDocument/2006/relationships/hyperlink" Target="https://vt.tiktok.com/ZSxSBmhMV/" TargetMode="External"/><Relationship Id="rId5479" Type="http://schemas.openxmlformats.org/officeDocument/2006/relationships/hyperlink" Target="https://vt.tiktok.com/ZS9DasLp4/" TargetMode="External"/><Relationship Id="rId4146" Type="http://schemas.openxmlformats.org/officeDocument/2006/relationships/hyperlink" Target="https://vt.tiktok.com/ZSHcYgKFK/" TargetMode="External"/><Relationship Id="rId4149" Type="http://schemas.openxmlformats.org/officeDocument/2006/relationships/hyperlink" Target="https://www.tiktok.com/@Haepuu" TargetMode="External"/><Relationship Id="rId5477" Type="http://schemas.openxmlformats.org/officeDocument/2006/relationships/hyperlink" Target="https://vt.tiktok.com/ZS9xsS9BT/" TargetMode="External"/><Relationship Id="rId4148" Type="http://schemas.openxmlformats.org/officeDocument/2006/relationships/hyperlink" Target="https://vt.tiktok.com/ZSxSBkFUW/" TargetMode="External"/><Relationship Id="rId5478" Type="http://schemas.openxmlformats.org/officeDocument/2006/relationships/hyperlink" Target="https://www.tiktok.com/@diyooou_" TargetMode="External"/><Relationship Id="rId4139" Type="http://schemas.openxmlformats.org/officeDocument/2006/relationships/hyperlink" Target="https://www.tiktok.com/@Sundayaromatics" TargetMode="External"/><Relationship Id="rId5460" Type="http://schemas.openxmlformats.org/officeDocument/2006/relationships/hyperlink" Target="https://www.tiktok.com/@beauty.iidd/video/7632894757135453458?_d=0&amp;_r=1&amp;ec_shared_reflux_dynamic_params=%7B%22placeholder_material_id%22%3A%227632894757135453458%22%2C%22placeholder_origin_cover%22%3A%22https%253A%252F%252Fp19-common-sign.tiktokcdn.com%252Ftos-alisg-p-0037%252FoYQsap7EDBX9XgRNgcQAPFEB1fDip7ADDfYBWc~tplv-tiktokx-origin.jpeg%253Fdr%253D14572%2526refresh_token%253D7b65af0f%2526x-expires%253D1808992800%2526x-signature%253DMpUvd7PEPpWgSM5AmWNSJSZgFXI%25253D%2526t%253D4d5b0474%2526ps%253D13740610%2526shp%253Dd05b14bd%2526shcp%253D34ff8df6%2526idc%253Dmy2%2526s%253DTIKTOK_AFFILIATE_VIRAL_VIDEO%22%2C%22placeholder_product_id%22%3A%221729427766722726591%22%2C%22placeholder_video_id%22%3A%227632894757135453458%22%7D&amp;ec_shared_reflux_scene=shop_tab_feed&amp;mid=7624312772448357140&amp;preview_pb=0&amp;region=&amp;share_item_id=7632894757135453458&amp;sharer_language=&amp;source=h5_t&amp;u_code=ebjf03139m95gf" TargetMode="External"/><Relationship Id="rId6791" Type="http://schemas.openxmlformats.org/officeDocument/2006/relationships/hyperlink" Target="https://www.tiktok.com/@annisaistiqomahh1/video/7637875082156723477?_r=1&amp;u_code=d8i26fa18b5a65&amp;region=&amp;mid=7617088734676552456&amp;preview_pb=0&amp;sharer_language=&amp;_d=0&amp;ec_shared_reflux_dynamic_params=%7B%22placeholder_material_id%22%3A%227637875082156723477%22%2C%22placeholder_origin_cover%22%3A%22https%253A%252F%252Fp16-common-sign.tiktokcdn.com%252Ftos-alisg-p-0037%252FoYEC2GeIWAfvnzMQsQF2GeAddQQmLKRDGdnlLf~tplv-tiktokx-origin.jpeg%253Fdr%253D14572%2526refresh_token%253D0fba5401%2526x-expires%253D1810116000%2526x-signature%253DqJu9wtBQrIDRIIrSw8OLOWrdRHI%25253D%2526t%253D4d5b0474%2526ps%253D13740610%2526shp%253Dd05b14bd%2526shcp%253D34ff8df6%2526idc%253Dmy2%2526s%253DTIKTOK_AFFILIATE_VIRAL_VIDEO%22%2C%22placeholder_product_id%22%3A%221729427766722726591%22%2C%22placeholder_video_id%22%3A%227637875082156723477%22%7D&amp;ec_shared_reflux_scene=shop_tab_feed&amp;share_item_id=7637875082156723477&amp;source=h5_t" TargetMode="External"/><Relationship Id="rId5461" Type="http://schemas.openxmlformats.org/officeDocument/2006/relationships/hyperlink" Target="https://www.tiktok.com/@beauty.iidd/video/7633701589638712583?_r=1&amp;u_code=ebjf03139m95gf&amp;region=&amp;mid=7608559003840400145&amp;preview_pb=0&amp;sharer_language=&amp;_d=0&amp;ec_shared_reflux_dynamic_params=%7B%22placeholder_material_id%22%3A%227633701589638712583%22%2C%22placeholder_origin_cover%22%3A%22https%253A%252F%252Fp16-common-sign.tiktokcdn.com%252Ftos-alisg-p-0037%252FosEcFZIgciAF2EFWn4R278fywsDTBBvIfAypTw~tplv-tiktokx-origin.jpeg%253Fdr%253D14572%2526refresh_token%253D5e301e26%2526x-expires%253D1808992800%2526x-signature%253D4PfOlDYRzB5WK%25252B9i8utb4dHmsMI%25253D%2526t%253D4d5b0474%2526ps%253D13740610%2526shp%253Dd05b14bd%2526shcp%253D34ff8df6%2526idc%253Dmy2%2526s%253DTIKTOK_AFFILIATE_VIRAL_VIDEO%22%2C%22placeholder_product_id%22%3A%221729427766722726591%22%2C%22placeholder_video_id%22%3A%227633701589638712583%22%7D&amp;ec_shared_reflux_scene=shop_tab_feed&amp;share_item_id=7633701589638712583&amp;source=h5_t" TargetMode="External"/><Relationship Id="rId6792" Type="http://schemas.openxmlformats.org/officeDocument/2006/relationships/hyperlink" Target="https://www.tiktok.com/@wulansari120993" TargetMode="External"/><Relationship Id="rId4130" Type="http://schemas.openxmlformats.org/officeDocument/2006/relationships/hyperlink" Target="https://vt.tiktok.com/ZSHntqQxQ/" TargetMode="External"/><Relationship Id="rId6790" Type="http://schemas.openxmlformats.org/officeDocument/2006/relationships/hyperlink" Target="https://www.tiktok.com/@annisaistiqomahh1/video/7637489989797858581?_r=1&amp;u_code=d8i26fa18b5a65&amp;region=&amp;mid=7628927071062493200&amp;preview_pb=0&amp;sharer_language=&amp;_d=0&amp;ec_shared_reflux_dynamic_params=%7B%22placeholder_material_id%22%3A%227637489989797858581%22%2C%22placeholder_origin_cover%22%3A%22https%253A%252F%252Fp19-common-sign.tiktokcdn.com%252Ftos-alisg-p-0037%252FoMTLI9qIADEYcAdY108CfFLjCD4LWI56jdffaB~tplv-tiktokx-origin.jpeg%253Fdr%253D14572%2526refresh_token%253D02147cfd%2526x-expires%253D1810116000%2526x-signature%253DkbSnRUAGGQjZOoG2j%25252F7WWHa3v9s%25253D%2526t%253D4d5b0474%2526ps%253D13740610%2526shp%253Dd05b14bd%2526shcp%253D34ff8df6%2526idc%253Dmy2%2526s%253DTIKTOK_AFFILIATE_VIRAL_VIDEO%22%2C%22placeholder_product_id%22%3A%221729427766722726591%22%2C%22placeholder_video_id%22%3A%227637489989797858581%22%7D&amp;ec_shared_reflux_scene=shop_tab_feed&amp;share_item_id=7637489989797858581&amp;source=h5_t" TargetMode="External"/><Relationship Id="rId4132" Type="http://schemas.openxmlformats.org/officeDocument/2006/relationships/hyperlink" Target="https://vt.tiktok.com/ZSxSBT56v/" TargetMode="External"/><Relationship Id="rId5464" Type="http://schemas.openxmlformats.org/officeDocument/2006/relationships/hyperlink" Target="https://vt.tiktok.com/ZS9DasLp4/" TargetMode="External"/><Relationship Id="rId6795" Type="http://schemas.openxmlformats.org/officeDocument/2006/relationships/hyperlink" Target="https://www.tiktok.com/@momyratu134" TargetMode="External"/><Relationship Id="rId4131" Type="http://schemas.openxmlformats.org/officeDocument/2006/relationships/hyperlink" Target="https://vt.tiktok.com/ZSH3DeekM/" TargetMode="External"/><Relationship Id="rId5465" Type="http://schemas.openxmlformats.org/officeDocument/2006/relationships/hyperlink" Target="https://vt.tiktok.com/ZS9DaWTPj/" TargetMode="External"/><Relationship Id="rId6796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4134" Type="http://schemas.openxmlformats.org/officeDocument/2006/relationships/hyperlink" Target="https://www.tiktok.com/@Dzaki1122" TargetMode="External"/><Relationship Id="rId5462" Type="http://schemas.openxmlformats.org/officeDocument/2006/relationships/hyperlink" Target="https://vt.tiktok.com/ZS9xsS9BT/" TargetMode="External"/><Relationship Id="rId6793" Type="http://schemas.openxmlformats.org/officeDocument/2006/relationships/hyperlink" Target="https://vt.tiktok.com/ZSxgxcQFG/" TargetMode="External"/><Relationship Id="rId4133" Type="http://schemas.openxmlformats.org/officeDocument/2006/relationships/hyperlink" Target="https://vt.tiktok.com/ZSxSBxreM/" TargetMode="External"/><Relationship Id="rId5463" Type="http://schemas.openxmlformats.org/officeDocument/2006/relationships/hyperlink" Target="https://www.tiktok.com/@meliaa_ya0" TargetMode="External"/><Relationship Id="rId6794" Type="http://schemas.openxmlformats.org/officeDocument/2006/relationships/hyperlink" Target="https://vt.tiktok.com/ZSxgha845/" TargetMode="External"/><Relationship Id="rId4136" Type="http://schemas.openxmlformats.org/officeDocument/2006/relationships/hyperlink" Target="https://vt.tiktok.com/ZSHTA6p4C/" TargetMode="External"/><Relationship Id="rId5468" Type="http://schemas.openxmlformats.org/officeDocument/2006/relationships/hyperlink" Target="https://www.tiktok.com/@_karisma__01" TargetMode="External"/><Relationship Id="rId6799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4135" Type="http://schemas.openxmlformats.org/officeDocument/2006/relationships/hyperlink" Target="https://vt.tiktok.com/ZSHTSp8A7/" TargetMode="External"/><Relationship Id="rId5469" Type="http://schemas.openxmlformats.org/officeDocument/2006/relationships/hyperlink" Target="https://www.tiktok.com/@meamore42/video/7629254606517865736?_r=1&amp;u_code=ee8d791ik7h785&amp;region=&amp;mid=7620963523808824072&amp;preview_pb=0&amp;sharer_language=&amp;_d=0&amp;ec_shared_reflux_dynamic_params=%7B%22placeholder_material_id%22%3A%227629254606517865736%22%2C%22placeholder_origin_cover%22%3A%22https%253A%252F%252Fp16-common-sign.tiktokcdn.com%252Ftos-alisg-p-0037%252FoERTCgqeIXqLlTjAKARQwqeWj0SEGDCJIevQN4~tplv-tiktokx-origin.jpeg%253Fdr%253D14572%2526refresh_token%253Da360a5c8%2526x-expires%253D1808204400%2526x-signature%253DSx8VU044U%25252BWjmcVUbfQoaxrDuNY%25253D%2526t%253D4d5b0474%2526ps%253D13740610%2526shp%253Dd05b14bd%2526shcp%253D34ff8df6%2526idc%253Dmy3%2526s%253DTIKTOK_AFFILIATE_VIRAL_VIDEO%22%2C%22placeholder_product_id%22%3A%221729427766722726591%22%2C%22placeholder_video_id%22%3A%227629254606517865736%22%7D&amp;ec_shared_reflux_scene=shop_tab_feed&amp;share_item_id=7629254606517865736&amp;source=h5_t" TargetMode="External"/><Relationship Id="rId4138" Type="http://schemas.openxmlformats.org/officeDocument/2006/relationships/hyperlink" Target="https://vt.tiktok.com/ZSxSBR2H9/" TargetMode="External"/><Relationship Id="rId5466" Type="http://schemas.openxmlformats.org/officeDocument/2006/relationships/hyperlink" Target="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2placeholder_origin_cover%22%3A%22https%253A%252F%252Fp16-common-sign.tiktokcdn.com%252Ftos-alisg-p-0037%252Fo8d8IW8cAaJj2MregAKDPXOOueQI2Te4ADCxg3~tplv-tiktokx-origin.jpeg%253Fdr%253D14572%2526refresh_token%253D6c3e7766%2526x-expires%253D1808992800%2526x-signature%253DGcJYh6Ejxyo84p5AL1hv6HNVj24%25253D%2526t%253D4d5b0474%2526ps%253D13740610%2526shp%253Dd05b14bd%2526shcp%253D34ff8df6%2526idc%253Dmy2%2526s%253DTIKTOK_AFFILIATE_VIRAL_VIDEO%22%2C%22placeholder_product_id%22%3A%221729427766722726591%22%2C%22placeholder_video_id%22%3A%227632557264032861447%22%7D&amp;ec_shared_reflux_scene=shop_tab_feed&amp;share_item_id=7632557264032861447&amp;source=h5_t" TargetMode="External"/><Relationship Id="rId6797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4137" Type="http://schemas.openxmlformats.org/officeDocument/2006/relationships/hyperlink" Target="https://vt.tiktok.com/ZSxSBd8d7/" TargetMode="External"/><Relationship Id="rId5467" Type="http://schemas.openxmlformats.org/officeDocument/2006/relationships/hyperlink" Target="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2placeholder_origin_cover%22%3A%22https%253A%252F%252Fp16-common-sign.tiktokcdn.com%252Ftos-alisg-p-0037%252FoUuBHHkyiYpBIniw13iAqZDfTM5IAsCAAIAPgs~tplv-tiktokx-origin.jpeg%253Fdr%253D14572%2526refresh_token%253Dbd98b4e8%2526x-expires%253D1810119600%2526x-signature%253D4ymN%25252FNt9xmXXRBWN2LbZU1X3HMw%25253D%2526t%253D4d5b0474%2526ps%253D13740610%2526shp%253Dd05b14bd%2526shcp%253D34ff8df6%2526idc%253Dmy2%2526s%253DTIKTOK_AFFILIATE_VIRAL_VIDEO%22%2C%22placeholder_product_id%22%3A%221729427766722726591%22%2C%22placeholder_video_id%22%3A%227638217623351627026%22%7D&amp;ec_shared_reflux_scene=shop_tab_feed&amp;share_item_id=7638217623351627026&amp;source=h5_t" TargetMode="External"/><Relationship Id="rId6798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1972" Type="http://schemas.openxmlformats.org/officeDocument/2006/relationships/hyperlink" Target="https://www.tiktok.com/@icha7721/video/7620082754461666581?_r=1&amp;u_code=e59fc6bfdb6373&amp;region=&amp;mid=7549919045177625400&amp;preview_pb=0&amp;sharer_language=&amp;_d=0&amp;ec_shared_reflux_dynamic_params=%7B%22placeholder_material_id%22%3A%227620082754461666581%22%2C%22placeholder_origin_cover%22%3A%22https%253A%252F%252Fp16-sign-sg.tiktokcdn.com%252Ftos-alisg-p-0037%252Fow0fglXbYA6g17a8YgDO4GeBfrsYftRLeAkewE~tplv-tiktokx-origin.jpeg%253Fdr%253D14572%2526refresh_token%253D248b3849%2526x-expires%253D1808208000%2526x-signature%253DKcUyeJ4Tm7W7aZWR9YG4Xh%25252FGXN0%25253D%2526t%253D4d5b0474%2526ps%253D13740610%2526shp%253Dd05b14bd%2526shcp%253D34ff8df6%2526idc%253Dmy3%2526s%253DTIKTOK_AFFILIATE_VIRAL_VIDEO%22%2C%22placeholder_product_id%22%3A%221729427766722726591%22%2C%22placeholder_video_id%22%3A%227620082754461666581%22%7D&amp;ec_shared_reflux_scene=shop_tab_feed&amp;share_item_id=7620082754461666581&amp;source=h5_t" TargetMode="External"/><Relationship Id="rId1973" Type="http://schemas.openxmlformats.org/officeDocument/2006/relationships/hyperlink" Target="https://www.tiktok.com/@icha7721/video/7621133484911840519?_r=1&amp;u_code=e59fc6bfdb6373&amp;region=&amp;mid=7567367839414225672&amp;preview_pb=0&amp;sharer_language=&amp;_d=0&amp;ec_shared_reflux_dynamic_params=%7B%22placeholder_material_id%22%3A%227621133484911840519%22%2C%22placeholder_origin_cover%22%3A%22https%253A%252F%252Fp16-common-sign.tiktokcdn.com%252Ftos-alisg-p-0037%252Fo0IABm3v0AAizRpEaWO0cBhDtViImIrYSPal1~tplv-tiktokx-origin.jpeg%253Fdr%253D14572%2526refresh_token%253D242754e8%2526x-expires%253D1808208000%2526x-signature%253DYRwiwFyJ0CbqilWlNSgsiZWxaWg%25253D%2526t%253D4d5b0474%2526ps%253D13740610%2526shp%253Dd05b14bd%2526shcp%253D34ff8df6%2526idc%253Dmy3%2526s%253DTIKTOK_AFFILIATE_VIRAL_VIDEO%22%2C%22placeholder_product_id%22%3A%221729427766722726591%22%2C%22placeholder_video_id%22%3A%227621133484911840519%22%7D&amp;ec_shared_reflux_scene=shop_tab_feed&amp;share_item_id=7621133484911840519&amp;source=h5_t" TargetMode="External"/><Relationship Id="rId1974" Type="http://schemas.openxmlformats.org/officeDocument/2006/relationships/hyperlink" Target="https://www.tiktok.com/@yesipebriani26" TargetMode="External"/><Relationship Id="rId1975" Type="http://schemas.openxmlformats.org/officeDocument/2006/relationships/hyperlink" Target="https://www.tiktok.com/@icha7721/video/7621831662371917074?_r=1&amp;u_code=e59fc6bfdb6373&amp;region=&amp;mid=7415463043465201680&amp;preview_pb=0&amp;sharer_language=&amp;_d=0&amp;ec_shared_reflux_dynamic_params=%7B%22placeholder_material_id%22%3A%227621831662371917074%22%2C%22placeholder_origin_cover%22%3A%22https%253A%252F%252Fp19-common-sign.tiktokcdn.com%252Ftos-alisg-p-0037%252FoUfT04jzIgDj2GdE9LF2eIY4DMx1IACfFqA4lA~tplv-tiktokx-origin.jpeg%253Fdr%253D14572%2526refresh_token%253Def249277%2526x-expires%253D1808208000%2526x-signature%253DZ1yjsTK078GBkTMVtDn0QCEzAKM%25253D%2526t%253D4d5b0474%2526ps%253D13740610%2526shp%253Dd05b14bd%2526shcp%253D34ff8df6%2526idc%253Dmy3%2526s%253DTIKTOK_AFFILIATE_VIRAL_VIDEO%22%2C%22placeholder_product_id%22%3A%221729427766722726591%22%2C%22placeholder_video_id%22%3A%227621831662371917074%22%7D&amp;ec_shared_reflux_scene=shop_tab_feed&amp;share_item_id=7621831662371917074&amp;source=h5_t" TargetMode="External"/><Relationship Id="rId1976" Type="http://schemas.openxmlformats.org/officeDocument/2006/relationships/hyperlink" Target="https://www.tiktok.com/@icha7721/video/7622182438436932872?_r=1&amp;u_code=e59fc6bfdb6373&amp;region=&amp;mid=7415463043465201680&amp;preview_pb=0&amp;sharer_language=&amp;_d=0&amp;ec_shared_reflux_dynamic_params=%7B%22placeholder_material_id%22%3A%227622182438436932872%22%2C%22placeholder_origin_cover%22%3A%22https%253A%252F%252Fp16-common-sign.tiktokcdn.com%252Ftos-alisg-p-0037%252FowzjoIfIDB3xtCbQAEfpANA0bFQQvTDISeyjEH~tplv-tiktokx-origin.jpeg%253Fdr%253D14572%2526refresh_token%253D785de71d%2526x-expires%253D1808208000%2526x-signature%253DIf3UZkTTskwkvTYQJREB2hQbjF8%25253D%2526t%253D4d5b0474%2526ps%253D13740610%2526shp%253Dd05b14bd%2526shcp%253D34ff8df6%2526idc%253Dmy3%2526s%253DTIKTOK_AFFILIATE_VIRAL_VIDEO%22%2C%22placeholder_product_id%22%3A%221729427766722726591%22%2C%22placeholder_video_id%22%3A%227622182438436932872%22%7D&amp;ec_shared_reflux_scene=shop_tab_feed&amp;share_item_id=7622182438436932872&amp;source=h5_t" TargetMode="External"/><Relationship Id="rId1977" Type="http://schemas.openxmlformats.org/officeDocument/2006/relationships/hyperlink" Target="https://www.tiktok.com/@icha7721/video/7622991250437704978?_r=1&amp;u_code=e59fc6bfdb6373&amp;region=&amp;mid=7580257010264886023&amp;preview_pb=0&amp;sharer_language=&amp;_d=0&amp;ec_shared_reflux_dynamic_params=%7B%22placeholder_material_id%22%3A%227622991250437704978%22%2C%22placeholder_origin_cover%22%3A%22https%253A%252F%252Fp16-common-sign.tiktokcdn.com%252Ftos-alisg-p-0037%252FoEnkpBQl3DDVgnAvQ1uEBfFUYcFFRyDEcsEtfx~tplv-tiktokx-origin.jpeg%253Fdr%253D14572%2526refresh_token%253Dec10c84e%2526x-expires%253D1808208000%2526x-signature%253D1vK%25252FfIhvaS3L0xRYFhiNpdw6dy4%25253D%2526t%253D4d5b0474%2526ps%253D13740610%2526shp%253Dd05b14bd%2526shcp%253D34ff8df6%2526idc%253Dmy3%2526s%253DTIKTOK_AFFILIATE_VIRAL_VIDEO%22%2C%22placeholder_product_id%22%3A%221729427766722726591%22%2C%22placeholder_video_id%22%3A%227622991250437704978%22%7D&amp;ec_shared_reflux_scene=shop_tab_feed&amp;share_item_id=7622991250437704978&amp;source=h5_t" TargetMode="External"/><Relationship Id="rId1978" Type="http://schemas.openxmlformats.org/officeDocument/2006/relationships/hyperlink" Target="https://vt.tiktok.com/ZS9c7GDoy/" TargetMode="External"/><Relationship Id="rId1979" Type="http://schemas.openxmlformats.org/officeDocument/2006/relationships/hyperlink" Target="https://www.tiktok.com/@rytlmsyh___" TargetMode="External"/><Relationship Id="rId1970" Type="http://schemas.openxmlformats.org/officeDocument/2006/relationships/hyperlink" Target="https://www.tiktok.com/@icha7721/video/7618961640788135188?_r=1&amp;u_code=e59fc6bfdb6373&amp;region=&amp;mid=7332514883958164230&amp;preview_pb=0&amp;sharer_language=&amp;_d=0&amp;ec_shared_reflux_dynamic_params=%7B%22placeholder_material_id%22%3A%227618961640788135188%22%2C%22placeholder_origin_cover%22%3A%22https%253A%252F%252Fp16-common-sign.tiktokcdn.com%252Ftos-alisg-p-0037%252Fo85fUVAPfQ8if5nmA0C1QfQ38nRdKFGQAMbG7X~tplv-tiktokx-origin.jpeg%253Fdr%253D14572%2526refresh_token%253Dd176c663%2526x-expires%253D1808208000%2526x-signature%253D7oWAidMyd8UJshi0SdWXwnidp9w%25253D%2526t%253D4d5b0474%2526ps%253D13740610%2526shp%253Dd05b14bd%2526shcp%253D34ff8df6%2526idc%253Dmy3%2526s%253DTIKTOK_AFFILIATE_VIRAL_VIDEO%22%2C%22placeholder_product_id%22%3A%221729427766722726591%22%2C%22placeholder_video_id%22%3A%227618961640788135188%22%7D&amp;ec_shared_reflux_scene=shop_tab_feed&amp;share_item_id=7618961640788135188&amp;source=h5_t" TargetMode="External"/><Relationship Id="rId1971" Type="http://schemas.openxmlformats.org/officeDocument/2006/relationships/hyperlink" Target="https://www.tiktok.com/@icha7721/video/7619306411926850837?_r=1&amp;u_code=e59fc6bfdb6373&amp;region=&amp;mid=7475638762669819921&amp;preview_pb=0&amp;sharer_language=&amp;_d=0&amp;ec_shared_reflux_dynamic_params=%7B%22placeholder_material_id%22%3A%227619306411926850837%22%2C%22placeholder_origin_cover%22%3A%22https%253A%252F%252Fp16-common-sign.tiktokcdn.com%252Ftos-alisg-p-0037%252FoItoIKFgsGcDN4g9BCDAIav6RfpgNBqEQTEvfp~tplv-tiktokx-origin.jpeg%253Fdr%253D14572%2526refresh_token%253D9531192f%2526x-expires%253D1808208000%2526x-signature%253DyzXoo430NV8jK2hp0STAJmqbu9w%25253D%2526t%253D4d5b0474%2526ps%253D13740610%2526shp%253Dd05b14bd%2526shcp%253D34ff8df6%2526idc%253Dmy3%2526s%253DTIKTOK_AFFILIATE_VIRAL_VIDEO%22%2C%22placeholder_product_id%22%3A%221729427766722726591%22%2C%22placeholder_video_id%22%3A%227619306411926850837%22%7D&amp;ec_shared_reflux_scene=shop_tab_feed&amp;share_item_id=7619306411926850837&amp;source=h5_t" TargetMode="External"/><Relationship Id="rId1961" Type="http://schemas.openxmlformats.org/officeDocument/2006/relationships/hyperlink" Target="https://www.tiktok.com/@icha7721/video/7626668846660717832?_r=1&amp;u_code=e59fc6bfdb6373&amp;region=&amp;mid=7567367839414225672&amp;preview_pb=0&amp;sharer_language=&amp;_d=0&amp;ec_shared_reflux_dynamic_params=%7B%22placeholder_material_id%22%3A%227626668846660717832%22%2C%22placeholder_origin_cover%22%3A%22https%253A%252F%252Fp16-common-sign.tiktokcdn.com%252Ftos-alisg-p-0037%252FoQfIX65u6AAipWLIBIXs6xA5vF8wu0mABCIXir~tplv-tiktokx-origin.jpeg%253Fdr%253D14572%2526refresh_token%253Dae6d5b6a%2526x-expires%253D1808208000%2526x-signature%253D4orgek2g2hm4gBgUTbLo047GdFg%25253D%2526t%253D4d5b0474%2526ps%253D13740610%2526shp%253Dd05b14bd%2526shcp%253D34ff8df6%2526idc%253Dmy3%2526s%253DTIKTOK_AFFILIATE_VIRAL_VIDEO%22%2C%22placeholder_product_id%22%3A%221729729730555512511%22%2C%22placeholder_video_id%22%3A%227626668846660717832%22%7D&amp;ec_shared_reflux_scene=shop_tab_feed&amp;share_item_id=7626668846660717832&amp;source=h5_t" TargetMode="External"/><Relationship Id="rId1962" Type="http://schemas.openxmlformats.org/officeDocument/2006/relationships/hyperlink" Target="https://www.tiktok.com/@icha7721/video/7627080920062823698?_r=1&amp;u_code=e59fc6bfdb6373&amp;region=&amp;mid=6954430693141137410&amp;preview_pb=0&amp;sharer_language=&amp;_d=0&amp;ec_shared_reflux_dynamic_params=%7B%22placeholder_material_id%22%3A%227627080920062823698%22%2C%22placeholder_origin_cover%22%3A%22https%253A%252F%252Fp19-common-sign.tiktokcdn.com%252Ftos-alisg-p-0037%252FoAMXCGwYnF1LelltgHe1ZAgMRGfY4YbA4Ggbfv~tplv-tiktokx-origin.jpeg%253Fdr%253D14572%2526refresh_token%253D9cec3d6d%2526x-expires%253D1808208000%2526x-signature%253DBRMy%25252BxJdcqfs%25252FzKhjDFKIsiUH2A%25253D%2526t%253D4d5b0474%2526ps%253D13740610%2526shp%253Dd05b14bd%2526shcp%253D34ff8df6%2526idc%253Dmy3%2526s%253DTIKTOK_AFFILIATE_VIRAL_VIDEO%22%2C%22placeholder_product_id%22%3A%221729729730555512511%22%2C%22placeholder_video_id%22%3A%227627080920062823698%22%7D&amp;ec_shared_reflux_scene=shop_tab_feed&amp;share_item_id=7627080920062823698&amp;source=h5_t" TargetMode="External"/><Relationship Id="rId1963" Type="http://schemas.openxmlformats.org/officeDocument/2006/relationships/hyperlink" Target="https://www.tiktok.com/@icha7721/video/7609664424349093138?_r=1&amp;u_code=e59fc6bfdb6373&amp;region=&amp;mid=7147549859652979482&amp;preview_pb=0&amp;sharer_language=&amp;_d=0&amp;ec_shared_reflux_dynamic_params=%7B%22placeholder_material_id%22%3A%227609664424349093138%22%2C%22placeholder_origin_cover%22%3A%22https%253A%252F%252Fp16-common-sign.tiktokcdn.com%252Ftos-alisg-p-0037%252Focf59vIdDQaYka6TAQFFcPRKWBfjpJBQEQgLEm~tplv-tiktokx-origin.jpeg%253Fdr%253D14572%2526refresh_token%253D9713a78b%2526x-expires%253D1808208000%2526x-signature%253DLv%25252BvvcP2CfsGfOHy48hkqlDSazg%25253D%2526t%253D4d5b0474%2526ps%253D13740610%2526shp%253Dd05b14bd%2526shcp%253D34ff8df6%2526idc%253Dmy3%2526s%253DTIKTOK_AFFILIATE_VIRAL_VIDEO%22%2C%22placeholder_product_id%22%3A%221729427766722726591%22%2C%22placeholder_video_id%22%3A%227609664424349093138%22%7D&amp;ec_shared_reflux_scene=shop_tab_feed&amp;share_item_id=7609664424349093138&amp;source=h5_t" TargetMode="External"/><Relationship Id="rId1964" Type="http://schemas.openxmlformats.org/officeDocument/2006/relationships/hyperlink" Target="https://www.tiktok.com/@ananeo25" TargetMode="External"/><Relationship Id="rId1965" Type="http://schemas.openxmlformats.org/officeDocument/2006/relationships/hyperlink" Target="https://www.tiktok.com/@icha7721/video/7609925746773036306?_r=1&amp;u_code=e59fc6bfdb6373&amp;region=&amp;mid=7147549859652979482&amp;preview_pb=0&amp;sharer_language=&amp;_d=0&amp;ec_shared_reflux_dynamic_params=%7B%22placeholder_material_id%22%3A%227609925746773036306%22%2C%22placeholder_origin_cover%22%3A%22https%253A%252F%252Fp16-common-sign.tiktokcdn.com%252Ftos-alisg-p-0037%252FogGj1NEUoLTfo34mIcK7xtAQDfA5FDCIZCETeQ~tplv-tiktokx-origin.jpeg%253Fdr%253D14572%2526refresh_token%253D882d1e12%2526x-expires%253D1808208000%2526x-signature%253DYDqTKuAmGg5Xg7nTdxfAPoDbHh8%25253D%2526t%253D4d5b0474%2526ps%253D13740610%2526shp%253Dd05b14bd%2526shcp%253D34ff8df6%2526idc%253Dmy3%2526s%253DTIKTOK_AFFILIATE_VIRAL_VIDEO%22%2C%22placeholder_product_id%22%3A%221729427766722726591%22%2C%22placeholder_video_id%22%3A%227609925746773036306%22%7D&amp;ec_shared_reflux_scene=shop_tab_feed&amp;share_item_id=7609925746773036306&amp;source=h5_t" TargetMode="External"/><Relationship Id="rId1966" Type="http://schemas.openxmlformats.org/officeDocument/2006/relationships/hyperlink" Target="https://www.tiktok.com/@icha7721/video/7610365735797263634?_r=1&amp;u_code=e59fc6bfdb6373&amp;region=&amp;mid=7528756224239323905&amp;preview_pb=0&amp;sharer_language=&amp;_d=0&amp;ec_shared_reflux_dynamic_params=%7B%22placeholder_material_id%22%3A%227610365735797263634%22%2C%22placeholder_origin_cover%22%3A%22https%253A%252F%252Fp16-common-sign.tiktokcdn.com%252Ftos-alisg-p-0037%252Fog69Ub8Ijg9Ar4WerkgH0FGTfewLIDjuCAIU5O~tplv-tiktokx-origin.jpeg%253Fdr%253D14572%2526refresh_token%253D79b0e8c2%2526x-expires%253D1808208000%2526x-signature%253Dyp%25252Fwg9%25252B3T02sJa%25252B6RTsvgKsjL4U%25253D%2526t%253D4d5b0474%2526ps%253D13740610%2526shp%253Dd05b14bd%2526shcp%253D34ff8df6%2526idc%253Dmy3%2526s%253DTIKTOK_AFFILIATE_VIRAL_VIDEO%22%2C%22placeholder_product_id%22%3A%221729634177198098769%22%2C%22placeholder_video_id%22%3A%227610365735797263634%22%7D&amp;ec_shared_reflux_scene=shop_tab_feed&amp;share_item_id=7610365735797263634&amp;source=h5_t" TargetMode="External"/><Relationship Id="rId1967" Type="http://schemas.openxmlformats.org/officeDocument/2006/relationships/hyperlink" Target="https://www.tiktok.com/@icha7721/video/7612990118462360850?_r=1&amp;u_code=e59fc6bfdb6373&amp;region=&amp;mid=7070111883117742081&amp;preview_pb=0&amp;sharer_language=&amp;_d=0&amp;ec_shared_reflux_dynamic_params=%7B%22placeholder_material_id%22%3A%227612990118462360850%22%2C%22placeholder_origin_cover%22%3A%22https%253A%252F%252Fp16-sign-sg.tiktokcdn.com%252Ftos-alisg-p-0037%252FoQQNQDBJRjVpAyDp0FtffD8UyUsE4EqgcxsGBy~tplv-tiktokx-origin.jpeg%253Fdr%253D14572%2526refresh_token%253D38acae7f%2526x-expires%253D1808208000%2526x-signature%253DuzzKCZDoifQ3HygrUWV3r6wPNzA%25253D%2526t%253D4d5b0474%2526ps%253D13740610%2526shp%253Dd05b14bd%2526shcp%253D34ff8df6%2526idc%253Dmy3%2526s%253DTIKTOK_AFFILIATE_VIRAL_VIDEO%22%2C%22placeholder_product_id%22%3A%221729427766722726591%22%2C%22placeholder_video_id%22%3A%227612990118462360850%22%7D&amp;ec_shared_reflux_scene=shop_tab_feed&amp;share_item_id=7612990118462360850&amp;source=h5_t" TargetMode="External"/><Relationship Id="rId1968" Type="http://schemas.openxmlformats.org/officeDocument/2006/relationships/hyperlink" Target="https://www.tiktok.com/@icha7721/video/7613367505595387143?_r=1&amp;u_code=e59fc6bfdb6373&amp;region=&amp;mid=7613367537566157589&amp;preview_pb=0&amp;sharer_language=&amp;_d=0&amp;ec_shared_reflux_dynamic_params=%7B%22placeholder_material_id%22%3A%227613367505595387143%22%2C%22placeholder_origin_cover%22%3A%22https%253A%252F%252Fp16-sign-sg.tiktokcdn.com%252Ftos-alisg-p-0037%252FoQDo9cekQB7qgQEsXfRHEK1B4zy8BgwiFZA9Fp~tplv-tiktokx-origin.jpeg%253Fdr%253D14572%2526refresh_token%253D712c46cb%2526x-expires%253D1808208000%2526x-signature%253DfCM6oNaB5nNHAwm9YAjOflrdPic%25253D%2526t%253D4d5b0474%2526ps%253D13740610%2526shp%253Dd05b14bd%2526shcp%253D34ff8df6%2526idc%253Dmy3%2526s%253DTIKTOK_AFFILIATE_VIRAL_VIDEO%22%2C%22placeholder_product_id%22%3A%221729427766722726591%22%2C%22placeholder_video_id%22%3A%227613367505595387143%22%7D&amp;ec_shared_reflux_scene=shop_tab_feed&amp;share_item_id=7613367505595387143&amp;source=h5_t" TargetMode="External"/><Relationship Id="rId1969" Type="http://schemas.openxmlformats.org/officeDocument/2006/relationships/hyperlink" Target="https://www.tiktok.com/@turtllee97" TargetMode="External"/><Relationship Id="rId1960" Type="http://schemas.openxmlformats.org/officeDocument/2006/relationships/hyperlink" Target="https://www.tiktok.com/@icha7721/video/7625216277027507474?_d=0&amp;_r=1&amp;ec_shared_reflux_dynamic_params=%7B%22placeholder_material_id%22%3A%227625216277027507474%22%2C%22placeholder_origin_cover%22%3A%22https%253A%252F%252Fp16-common-sign.tiktokcdn.com%252Ftos-alisg-p-0037%252FoMTmQk1IAMQuQA7iMaiC8W6tpD4evQfDjGpfKC~tplv-tiktokx-origin.jpeg%253Fdr%253D14572%2526refresh_token%253Db89532e5%2526x-expires%253D1808208000%2526x-signature%253D75OglEd1OEm1Skmub87XMqLqoTA%25253D%2526t%253D4d5b0474%2526ps%253D13740610%2526shp%253Dd05b14bd%2526shcp%253D34ff8df6%2526idc%253Dmy3%2526s%253DTIKTOK_AFFILIATE_VIRAL_VIDEO%22%2C%22placeholder_product_id%22%3A%221729729730555512511%22%2C%22placeholder_video_id%22%3A%227625216277027507474%22%7D&amp;ec_shared_reflux_scene=shop_tab_feed&amp;mid=7536222757655350032&amp;preview_pb=0&amp;region=&amp;share_item_id=7625216277027507474&amp;sharer_language=&amp;source=h5_t&amp;u_code=e59fc6bfdb6373" TargetMode="External"/><Relationship Id="rId1994" Type="http://schemas.openxmlformats.org/officeDocument/2006/relationships/hyperlink" Target="https://www.tiktok.com/@urgelpen" TargetMode="External"/><Relationship Id="rId1995" Type="http://schemas.openxmlformats.org/officeDocument/2006/relationships/hyperlink" Target="https://vt.tiktok.com/ZS9cD4vnb/" TargetMode="External"/><Relationship Id="rId1996" Type="http://schemas.openxmlformats.org/officeDocument/2006/relationships/hyperlink" Target="http://www.anareep" TargetMode="External"/><Relationship Id="rId1997" Type="http://schemas.openxmlformats.org/officeDocument/2006/relationships/hyperlink" Target="https://www.tiktok.com/@www.anareep" TargetMode="External"/><Relationship Id="rId1998" Type="http://schemas.openxmlformats.org/officeDocument/2006/relationships/hyperlink" Target="https://vt.tiktok.com/ZS9JHvSgW/" TargetMode="External"/><Relationship Id="rId1999" Type="http://schemas.openxmlformats.org/officeDocument/2006/relationships/hyperlink" Target="https://vt.tiktok.com/ZS9J9JnoY/" TargetMode="External"/><Relationship Id="rId1990" Type="http://schemas.openxmlformats.org/officeDocument/2006/relationships/hyperlink" Target="https://www.tiktok.com/@ginafathonah_/video/7630243011833679124?_r=1&amp;u_code=dlhe22ikkib396&amp;region=&amp;mid=7582113357336988434&amp;preview_pb=0&amp;sharer_language=&amp;_d=0&amp;ec_shared_reflux_dynamic_params=%7B%22placeholder_material_id%22%3A%227630243011833679124%22%2C%22placeholder_origin_cover%22%3A%22https%253A%252F%252Fp19-common-sign.tiktokcdn.com%252Ftos-alisg-p-0037%252FocRBGFBTAHPfny5SapXPA0ck2DQEQeKaDBEcEg~tplv-tiktokx-origin.jpeg%253Fdr%253D14572%2526refresh_token%253D04bb54c5%2526x-expires%253D1808301600%2526x-signature%253DEMqN82hpxqF26S6wuB2JAgqTmjg%25253D%2526t%253D4d5b0474%2526ps%253D13740610%2526shp%253Dd05b14bd%2526shcp%253D34ff8df6%2526idc%253Dmy3%2526s%253DTIKTOK_AFFILIATE_VIRAL_VIDEO%22%2C%22placeholder_product_id%22%3A%221729427766722726591%22%2C%22placeholder_video_id%22%3A%227630243011833679124%22%7D&amp;ec_shared_reflux_scene=shop_tab_feed&amp;share_item_id=7630243011833679124&amp;source=h5_t" TargetMode="External"/><Relationship Id="rId1991" Type="http://schemas.openxmlformats.org/officeDocument/2006/relationships/hyperlink" Target="https://www.tiktok.com/@ginafathonah_/video/7629984955313048853?_r=1&amp;u_code=dlhe22ikkib396&amp;region=&amp;mid=7475611422276242181&amp;preview_pb=0&amp;sharer_language=&amp;_d=0&amp;ec_shared_reflux_dynamic_params=%7B%22placeholder_material_id%22%3A%227629984955313048853%22%2C%22placeholder_origin_cover%22%3A%22https%253A%252F%252Fp16-common-sign.tiktokcdn.com%252Ftos-alisg-p-0037%252Fo8fRIEaUoyoRzsgjeIB7IhKJgAFuBpAy4cDcqE~tplv-tiktokx-origin.jpeg%253Fdr%253D14572%2526refresh_token%253Da4e26c6d%2526x-expires%253D1808301600%2526x-signature%253Dk2HCjTq3R%25252FJ1BETbVe90su1Vh5U%25253D%2526t%253D4d5b0474%2526ps%253D13740610%2526shp%253Dd05b14bd%2526shcp%253D34ff8df6%2526idc%253Dmy3%2526s%253DTIKTOK_AFFILIATE_VIRAL_VIDEO%22%2C%22placeholder_product_id%22%3A%221729427766722726591%22%2C%22placeholder_video_id%22%3A%227629984955313048853%22%7D&amp;ec_shared_reflux_scene=shop_tab_feed&amp;share_item_id=7629984955313048853&amp;source=h5_t" TargetMode="External"/><Relationship Id="rId1992" Type="http://schemas.openxmlformats.org/officeDocument/2006/relationships/hyperlink" Target="https://www.tiktok.com/@ginafathonah_/video/7629985391021477140?_r=1&amp;u_code=dlhe22ikkib396&amp;region=&amp;mid=7595070225341614855&amp;preview_pb=0&amp;sharer_language=&amp;_d=0&amp;ec_shared_reflux_dynamic_params=%7B%22placeholder_material_id%22%3A%227629985391021477140%22%2C%22placeholder_origin_cover%22%3A%22https%253A%252F%252Fp16-common-sign.tiktokcdn.com%252Ftos-alisg-p-0037%252FoYi1jAm1ycAlIEQpf4FfBBgntJgYcaQ7RyD8Eu~tplv-tiktokx-origin.jpeg%253Fdr%253D14572%2526refresh_token%253D48d0a1fa%2526x-expires%253D1808301600%2526x-signature%253DCfcvtp%25252BL1wxen90PcF6b67djUA0%25253D%2526t%253D4d5b0474%2526ps%253D13740610%2526shp%253Dd05b14bd%2526shcp%253D34ff8df6%2526idc%253Dmy3%2526s%253DTIKTOK_AFFILIATE_VIRAL_VIDEO%22%2C%22placeholder_product_id%22%3A%221729427766722726591%22%2C%22placeholder_video_id%22%3A%227629985391021477140%22%7D&amp;ec_shared_reflux_scene=shop_tab_feed&amp;share_item_id=7629985391021477140&amp;source=h5_t" TargetMode="External"/><Relationship Id="rId1993" Type="http://schemas.openxmlformats.org/officeDocument/2006/relationships/hyperlink" Target="https://www.tiktok.com/@ginafathonah_/video/7629981219089861909?_r=1&amp;u_code=dlhe22ikkib396&amp;region=&amp;mid=7624297612665047828&amp;preview_pb=0&amp;sharer_language=&amp;_d=0&amp;ec_shared_reflux_dynamic_params=%7B%22placeholder_material_id%22%3A%227629981219089861909%22%2C%22placeholder_origin_cover%22%3A%22https%253A%252F%252Fp16-common-sign.tiktokcdn.com%252Ftos-alisg-p-0037%252FoMAxAI8eVi7A0CMBI0iB34vlI4rOwjqqAujQMI~tplv-tiktokx-origin.jpeg%253Fdr%253D14572%2526refresh_token%253Db366c434%2526x-expires%253D1808301600%2526x-signature%253DO7ibd4sec%25252F%25252FvGbHcEPetQNs5PcQ%25253D%2526t%253D4d5b0474%2526ps%253D13740610%2526shp%253Dd05b14bd%2526shcp%253D34ff8df6%2526idc%253Dmy3%2526s%253DTIKTOK_AFFILIATE_VIRAL_VIDEO%22%2C%22placeholder_product_id%22%3A%221729427766722726591%22%2C%22placeholder_video_id%22%3A%227629981219089861909%22%7D&amp;ec_shared_reflux_scene=shop_tab_feed&amp;share_item_id=7629981219089861909&amp;source=h5_t" TargetMode="External"/><Relationship Id="rId1983" Type="http://schemas.openxmlformats.org/officeDocument/2006/relationships/hyperlink" Target="https://vt.tiktok.com/ZSHNQJGKj/" TargetMode="External"/><Relationship Id="rId1984" Type="http://schemas.openxmlformats.org/officeDocument/2006/relationships/hyperlink" Target="https://www.tiktok.com/@sisisalsabilla" TargetMode="External"/><Relationship Id="rId1985" Type="http://schemas.openxmlformats.org/officeDocument/2006/relationships/hyperlink" Target="https://vt.tiktok.com/ZSHHjNsKa/" TargetMode="External"/><Relationship Id="rId1986" Type="http://schemas.openxmlformats.org/officeDocument/2006/relationships/hyperlink" Target="https://vt.tiktok.com/ZS9c7GCgT/" TargetMode="External"/><Relationship Id="rId1987" Type="http://schemas.openxmlformats.org/officeDocument/2006/relationships/hyperlink" Target="https://vt.tiktok.com/ZS9cvYrTT/" TargetMode="External"/><Relationship Id="rId1988" Type="http://schemas.openxmlformats.org/officeDocument/2006/relationships/hyperlink" Target="https://vt.tiktok.com/ZS9cv2458/" TargetMode="External"/><Relationship Id="rId1989" Type="http://schemas.openxmlformats.org/officeDocument/2006/relationships/hyperlink" Target="https://www.tiktok.com/@rin_p1807" TargetMode="External"/><Relationship Id="rId1980" Type="http://schemas.openxmlformats.org/officeDocument/2006/relationships/hyperlink" Target="https://vt.tiktok.com/ZSuEGDxGB/" TargetMode="External"/><Relationship Id="rId1981" Type="http://schemas.openxmlformats.org/officeDocument/2006/relationships/hyperlink" Target="https://vt.tiktok.com/ZSuEGDKf8/" TargetMode="External"/><Relationship Id="rId1982" Type="http://schemas.openxmlformats.org/officeDocument/2006/relationships/hyperlink" Target="https://vt.tiktok.com/ZSHNxtVJE/" TargetMode="External"/><Relationship Id="rId1930" Type="http://schemas.openxmlformats.org/officeDocument/2006/relationships/hyperlink" Target="https://www.tiktok.com/@snowme.shop/video/7630438601528003861?_r=1&amp;u_code=dal30337ieiagk&amp;region=&amp;mid=7589982206799039240&amp;preview_pb=0&amp;sharer_language=&amp;_d=0&amp;ec_shared_reflux_dynamic_params=%7B%22placeholder_material_id%22%3A%227630438601528003861%22%2C%22placeholder_origin_cover%22%3A%22https%253A%252F%252Fp16-sign-sg.tiktokcdn.com%252Ftos-alisg-p-0037%252Fo0raEWEIIDATfhyfgwF4kT7Hf4b3zIAWDCYjA5~tplv-tiktokx-origin.jpeg%253Fdr%253D14572%2526refresh_token%253D29260af3%2526x-expires%253D1808204400%2526x-signature%253D00b8UKFzbT7y2nr7UIpPFQEwKU8%25253D%2526t%253D4d5b0474%2526ps%253D13740610%2526shp%253Dd05b14bd%2526shcp%253D34ff8df6%2526idc%253Dmy3%2526s%253DTIKTOK_AFFILIATE_VIRAL_VIDEO%22%2C%22placeholder_product_id%22%3A%221729427766722726591%22%2C%22placeholder_video_id%22%3A%227630438601528003861%22%7D&amp;ec_shared_reflux_scene=shop_tab_feed&amp;share_item_id=7630438601528003861&amp;source=h5_t" TargetMode="External"/><Relationship Id="rId1931" Type="http://schemas.openxmlformats.org/officeDocument/2006/relationships/hyperlink" Target="https://www.tiktok.com/@ayudiafal" TargetMode="External"/><Relationship Id="rId1932" Type="http://schemas.openxmlformats.org/officeDocument/2006/relationships/hyperlink" Target="https://vt.tiktok.com/ZSHF3AYyL/" TargetMode="External"/><Relationship Id="rId1933" Type="http://schemas.openxmlformats.org/officeDocument/2006/relationships/hyperlink" Target="https://vt.tiktok.com/ZS9vmH6tS/" TargetMode="External"/><Relationship Id="rId1934" Type="http://schemas.openxmlformats.org/officeDocument/2006/relationships/hyperlink" Target="https://vt.tiktok.com/ZS9vmbRFP/" TargetMode="External"/><Relationship Id="rId1935" Type="http://schemas.openxmlformats.org/officeDocument/2006/relationships/hyperlink" Target="https://vt.tiktok.com/ZS9vmt4Xc/" TargetMode="External"/><Relationship Id="rId1936" Type="http://schemas.openxmlformats.org/officeDocument/2006/relationships/hyperlink" Target="https://www.tiktok.com/@fitrianindy" TargetMode="External"/><Relationship Id="rId1937" Type="http://schemas.openxmlformats.org/officeDocument/2006/relationships/hyperlink" Target="https://www.tiktok.com/@snowme.shop/video/7630633958824332565?_r=1&amp;u_code=dal30337ieiagk&amp;region=&amp;mid=7186103591168658203&amp;preview_pb=0&amp;sharer_language=&amp;_d=0&amp;ec_shared_reflux_dynamic_params=%7B%22placeholder_material_id%22%3A%227630633958824332565%22%2C%22placeholder_origin_cover%22%3A%22https%253A%252F%252Fp16-common-sign.tiktokcdn.com%252Ftos-alisg-p-0037%252FoQTeQCWKfP4bEzxlDBMAQpy8jeTAdC3IUuQG8s~tplv-tiktokx-origin.jpeg%253Fdr%253D14572%2526refresh_token%253Dcea6359f%2526x-expires%253D1808204400%2526x-signature%253D%25252BDQp4sC17e6qrIvs91njhK3%25252FOOw%25253D%2526t%253D4d5b0474%2526ps%253D13740610%2526shp%253Dd05b14bd%2526shcp%253D34ff8df6%2526idc%253Dmy3%2526s%253DTIKTOK_AFFILIATE_VIRAL_VIDEO%22%2C%22placeholder_product_id%22%3A%221729427766722726591%22%2C%22placeholder_video_id%22%3A%227630633958824332565%22%7D&amp;ec_shared_reflux_scene=shop_tab_feed&amp;share_item_id=7630633958824332565&amp;source=h5_t" TargetMode="External"/><Relationship Id="rId1938" Type="http://schemas.openxmlformats.org/officeDocument/2006/relationships/hyperlink" Target="https://vt.tiktok.com/ZSxAaH9Fk/" TargetMode="External"/><Relationship Id="rId1939" Type="http://schemas.openxmlformats.org/officeDocument/2006/relationships/hyperlink" Target="https://www.tiktok.com/@appuccii" TargetMode="External"/><Relationship Id="rId1920" Type="http://schemas.openxmlformats.org/officeDocument/2006/relationships/hyperlink" Target="https://www.tiktok.com/@ginafathonah_/video/7629981219089861909?_r=1&amp;u_code=dlhe22ikkib396&amp;region=&amp;mid=7624297612665047828&amp;preview_pb=0&amp;sharer_language=&amp;_d=0&amp;ec_shared_reflux_dynamic_params=%7B%22placeholder_material_id%22%3A%227629981219089861909%22%2C%22placeholder_origin_cover%22%3A%22https%253A%252F%252Fp19-common-sign.tiktokcdn.com%252Ftos-alisg-p-0037%252FoMAxAI8eVi7A0CMBI0iB34vlI4rOwjqqAujQMI~tplv-tiktokx-origin.jpeg%253Fdr%253D14572%2526refresh_token%253De5d5157c%2526x-expires%253D1808204400%2526x-signature%253DK9x8WfO8pbYh1h3mZnoGtcZuIgc%25253D%2526t%253D4d5b0474%2526ps%253D13740610%2526shp%253Dd05b14bd%2526shcp%253D34ff8df6%2526idc%253Dmy3%2526s%253DTIKTOK_AFFILIATE_VIRAL_VIDEO%22%2C%22placeholder_product_id%22%3A%221729427766722726591%22%2C%22placeholder_video_id%22%3A%227629981219089861909%22%7D&amp;ec_shared_reflux_scene=shop_tab_feed&amp;share_item_id=7629981219089861909&amp;source=h5_t" TargetMode="External"/><Relationship Id="rId1921" Type="http://schemas.openxmlformats.org/officeDocument/2006/relationships/hyperlink" Target="https://www.tiktok.com/@beautyfandaaa" TargetMode="External"/><Relationship Id="rId1922" Type="http://schemas.openxmlformats.org/officeDocument/2006/relationships/hyperlink" Target="https://www.tiktok.com/@beautyfandaaa/video/7629289709205753108?_r=1&amp;u_code=d31k4eca35a3ec&amp;region=&amp;mid=7571915099956709377&amp;preview_pb=0&amp;sharer_language=&amp;_d=0&amp;ec_shared_reflux_dynamic_params=%7B%22placeholder_material_id%22%3A%227629289709205753108%22%2C%22placeholder_origin_cover%22%3A%22https%253A%252F%252Fp16-common-sign.tiktokcdn.com%252Ftos-alisg-p-0037%252FocgwbkrXA7tCC0q0IqIAAslBpiIWIAigzXzePB~tplv-tiktokx-origin.jpeg%253Fdr%253D14572%2526refresh_token%253Dfafd1f12%2526x-expires%253D1808204400%2526x-signature%253Dyl0yDwNfBpeCkzPpwN5TR8KEd0Q%25253D%2526t%253D4d5b0474%2526ps%253D13740610%2526shp%253Dd05b14bd%2526shcp%253D34ff8df6%2526idc%253Dmy3%2526s%253DTIKTOK_AFFILIATE_VIRAL_VIDEO%22%2C%22placeholder_product_id%22%3A%221729427766722726591%22%2C%22placeholder_video_id%22%3A%227629289709205753108%22%7D&amp;ec_shared_reflux_scene=shop_tab_feed&amp;share_item_id=7629289709205753108&amp;source=h5_t" TargetMode="External"/><Relationship Id="rId1923" Type="http://schemas.openxmlformats.org/officeDocument/2006/relationships/hyperlink" Target="https://www.tiktok.com/@beautyfandaaa/video/7629639623139986708?_r=1&amp;u_code=d31k4eca35a3ec&amp;region=&amp;mid=7580087028324616193&amp;preview_pb=0&amp;sharer_language=&amp;_d=0&amp;ec_shared_reflux_dynamic_params=%7B%22placeholder_material_id%22%3A%227629639623139986708%22%2C%22placeholder_origin_cover%22%3A%22https%253A%252F%252Fp16-common-sign.tiktokcdn.com%252Ftos-alisg-p-0037%252Fo87hZ0lHiEuPAiPHFAuIqwA7AA28AcB1CIOfI1~tplv-tiktokx-origin.jpeg%253Fdr%253D14572%2526refresh_token%253Deae97814%2526x-expires%253D1808204400%2526x-signature%253DduobvdOA0A9KGrJ4Cw8lZ9H%25252FLzE%25253D%2526t%253D4d5b0474%2526ps%253D13740610%2526shp%253Dd05b14bd%2526shcp%253D34ff8df6%2526idc%253Dmy3%2526s%253DTIKTOK_AFFILIATE_VIRAL_VIDEO%22%2C%22placeholder_product_id%22%3A%221729427766722726591%22%2C%22placeholder_video_id%22%3A%227629639623139986708%22%7D&amp;ec_shared_reflux_scene=shop_tab_feed&amp;share_item_id=7629639623139986708&amp;source=h5_t" TargetMode="External"/><Relationship Id="rId1924" Type="http://schemas.openxmlformats.org/officeDocument/2006/relationships/hyperlink" Target="https://vt.tiktok.com/ZS9c7G1Nh/" TargetMode="External"/><Relationship Id="rId1925" Type="http://schemas.openxmlformats.org/officeDocument/2006/relationships/hyperlink" Target="https://vt.tiktok.com/ZS9vmKy3q/" TargetMode="External"/><Relationship Id="rId1926" Type="http://schemas.openxmlformats.org/officeDocument/2006/relationships/hyperlink" Target="https://www.tiktok.com/@nda_rizkii" TargetMode="External"/><Relationship Id="rId1927" Type="http://schemas.openxmlformats.org/officeDocument/2006/relationships/hyperlink" Target="https://www.tiktok.com/@snowme.shop/video/7629990550870986004?_r=1&amp;u_code=dal30337ieiagk&amp;region=&amp;mid=7623981356443306753&amp;preview_pb=0&amp;sharer_language=&amp;_d=0&amp;ec_shared_reflux_dynamic_params=%7B%22placeholder_material_id%22%3A%227629990550870986004%22%2C%22placeholder_origin_cover%22%3A%22https%253A%252F%252Fp16-sign-sg.tiktokcdn.com%252Ftos-alisg-p-0037%252FoQSjh1XiQoIUBIMI7Ai0ALjBwruQTAbAfZ8CV2~tplv-tiktokx-origin.jpeg%253Fdr%253D14572%2526refresh_token%253D504c3085%2526x-expires%253D1808204400%2526x-signature%253D2jJ1q62yCBjFpsIHfYA5i70wl5A%25253D%2526t%253D4d5b0474%2526ps%253D13740610%2526shp%253Dd05b14bd%2526shcp%253D34ff8df6%2526idc%253Dmy3%2526s%253DTIKTOK_AFFILIATE_VIRAL_VIDEO%22%2C%22placeholder_product_id%22%3A%221729427766722726591%22%2C%22placeholder_video_id%22%3A%227629990550870986004%22%7D&amp;ec_shared_reflux_scene=shop_tab_feed&amp;share_item_id=7629990550870986004&amp;source=h5_t" TargetMode="External"/><Relationship Id="rId1928" Type="http://schemas.openxmlformats.org/officeDocument/2006/relationships/hyperlink" Target="https://www.tiktok.com/@snowme.shop/video/7630125936368864532?_r=1&amp;u_code=dal30337ieiagk&amp;region=&amp;mid=7251560934655887361&amp;preview_pb=0&amp;sharer_language=&amp;_d=0&amp;ec_shared_reflux_dynamic_params=%7B%22placeholder_material_id%22%3A%227630125936368864532%22%2C%22placeholder_origin_cover%22%3A%22https%253A%252F%252Fp16-common-sign.tiktokcdn.com%252Ftos-alisg-p-0037%252Fok22CfphDDjTFesIejEp0QQyxC4QCYjA1dj12A~tplv-tiktokx-origin.jpeg%253Fdr%253D14572%2526refresh_token%253D55ff4990%2526x-expires%253D1808204400%2526x-signature%253DuZljd3EKmtnUxq4QjLtZ7g3PQ0A%25253D%2526t%253D4d5b0474%2526ps%253D13740610%2526shp%253Dd05b14bd%2526shcp%253D34ff8df6%2526idc%253Dmy3%2526s%253DTIKTOK_AFFILIATE_VIRAL_VIDEO%22%2C%22placeholder_product_id%22%3A%221729427766722726591%22%2C%22placeholder_video_id%22%3A%227630125936368864532%22%7D&amp;ec_shared_reflux_scene=shop_tab_feed&amp;share_item_id=7630125936368864532&amp;source=h5_t" TargetMode="External"/><Relationship Id="rId1929" Type="http://schemas.openxmlformats.org/officeDocument/2006/relationships/hyperlink" Target="https://www.tiktok.com/@snowme.shop/video/7630277174750104852?_r=1&amp;u_code=dal30337ieiagk&amp;region=&amp;mid=7613023919407466497&amp;preview_pb=0&amp;sharer_language=&amp;_d=0&amp;ec_shared_reflux_dynamic_params=%7B%22placeholder_material_id%22%3A%227630277174750104852%22%2C%22placeholder_origin_cover%22%3A%22https%253A%252F%252Fp19-common-sign.tiktokcdn.com%252Ftos-alisg-p-0037%252Fo4jCFLD9BWXen8y8WTXeAy4IGbQIQclMGGYeIA~tplv-tiktokx-origin.jpeg%253Fdr%253D14572%2526refresh_token%253Da7480e96%2526x-expires%253D1808204400%2526x-signature%253DLXJttl9Q1GUksx%25252FAxQvEdmOf3BM%25253D%2526t%253D4d5b0474%2526ps%253D13740610%2526shp%253Dd05b14bd%2526shcp%253D34ff8df6%2526idc%253Dmy3%2526s%253DTIKTOK_AFFILIATE_VIRAL_VIDEO%22%2C%22placeholder_product_id%22%3A%221729427766722726591%22%2C%22placeholder_video_id%22%3A%227630277174750104852%22%7D&amp;ec_shared_reflux_scene=shop_tab_feed&amp;share_item_id=7630277174750104852&amp;source=h5_t" TargetMode="External"/><Relationship Id="rId4190" Type="http://schemas.openxmlformats.org/officeDocument/2006/relationships/hyperlink" Target="https://vt.tiktok.com/ZSHvMqJXb/" TargetMode="External"/><Relationship Id="rId4192" Type="http://schemas.openxmlformats.org/officeDocument/2006/relationships/hyperlink" Target="https://vt.tiktok.com/ZSxSkJGxC/" TargetMode="External"/><Relationship Id="rId4191" Type="http://schemas.openxmlformats.org/officeDocument/2006/relationships/hyperlink" Target="https://vt.tiktok.com/ZS9JAR5uy/" TargetMode="External"/><Relationship Id="rId4194" Type="http://schemas.openxmlformats.org/officeDocument/2006/relationships/hyperlink" Target="https://www.tiktok.com/@purplee090" TargetMode="External"/><Relationship Id="rId4193" Type="http://schemas.openxmlformats.org/officeDocument/2006/relationships/hyperlink" Target="https://vt.tiktok.com/ZSxShvSDW/" TargetMode="External"/><Relationship Id="rId4196" Type="http://schemas.openxmlformats.org/officeDocument/2006/relationships/hyperlink" Target="https://vt.tiktok.com/ZS91wLrE1/" TargetMode="External"/><Relationship Id="rId4195" Type="http://schemas.openxmlformats.org/officeDocument/2006/relationships/hyperlink" Target="https://vt.tiktok.com/ZSHv2NtVV/" TargetMode="External"/><Relationship Id="rId4198" Type="http://schemas.openxmlformats.org/officeDocument/2006/relationships/hyperlink" Target="https://vt.tiktok.com/ZSxShxgDa/" TargetMode="External"/><Relationship Id="rId4197" Type="http://schemas.openxmlformats.org/officeDocument/2006/relationships/hyperlink" Target="https://vt.tiktok.com/ZSxShAVjp/" TargetMode="External"/><Relationship Id="rId4199" Type="http://schemas.openxmlformats.org/officeDocument/2006/relationships/hyperlink" Target="https://www.tiktok.com/@oktasiskaa" TargetMode="External"/><Relationship Id="rId1950" Type="http://schemas.openxmlformats.org/officeDocument/2006/relationships/hyperlink" Target="https://www.tiktok.com/@masbahrildaily/video/7630725988426599687?_r=1&amp;u_code=ek6h2252jijmih&amp;region=&amp;mid=6572215486551952130&amp;preview_pb=0&amp;sharer_language=&amp;_d=0&amp;ec_shared_reflux_dynamic_params=%7B%22placeholder_material_id%22%3A%227630725988426599687%22%2C%22placeholder_origin_cover%22%3A%22https%253A%252F%252Fp16-common-sign.tiktokcdn.com%252Ftos-alisg-p-0037%252FoIORI9iP9TqzZnplACBAIIe8IZ0wyALCRXikvg~tplv-tiktokx-origin.jpeg%253Fdr%253D14572%2526refresh_token%253Dbeb9d226%2526x-expires%253D1808204400%2526x-signature%253DvAZQpBrum6znAeNr72laptyuj6A%25253D%2526t%253D4d5b0474%2526ps%253D13740610%2526shp%253Dd05b14bd%2526shcp%253D34ff8df6%2526idc%253Dmy3%2526s%253DTIKTOK_AFFILIATE_VIRAL_VIDEO%22%2C%22placeholder_product_id%22%3A%221729427766722726591%22%2C%22placeholder_video_id%22%3A%227630725988426599687%22%7D&amp;ec_shared_reflux_scene=shop_tab_feed&amp;share_item_id=7630725988426599687&amp;source=h5_t" TargetMode="External"/><Relationship Id="rId1951" Type="http://schemas.openxmlformats.org/officeDocument/2006/relationships/hyperlink" Target="https://www.tiktok.com/@masbahrildaily/video/7630671357017083143?_r=1&amp;u_code=ek6h2252jijmih&amp;region=&amp;mid=7623938813691071240&amp;preview_pb=0&amp;sharer_language=&amp;_d=0&amp;ec_shared_reflux_dynamic_params=%7B%22placeholder_material_id%22%3A%227630671357017083143%22%2C%22placeholder_origin_cover%22%3A%22https%253A%252F%252Fp16-common-sign.tiktokcdn.com%252Ftos-alisg-p-0037%252Fowp5bwOlImZTBJeEIXIlcBAiBRFzOUfFgglDbE~tplv-tiktokx-origin.jpeg%253Fdr%253D14572%2526refresh_token%253D82f1d50c%2526x-expires%253D1808204400%2526x-signature%253DNf%25252BdvIhNK%25252FccXoKOYIXlNO9JHIg%25253D%2526t%253D4d5b0474%2526ps%253D13740610%2526shp%253Dd05b14bd%2526shcp%253D34ff8df6%2526idc%253Dmy3%2526s%253DTIKTOK_AFFILIATE_VIRAL_VIDEO%22%2C%22placeholder_product_id%22%3A%221729427766722726591%22%2C%22placeholder_video_id%22%3A%227630671357017083143%22%7D&amp;ec_shared_reflux_scene=shop_tab_feed&amp;share_item_id=7630671357017083143&amp;source=h5_t" TargetMode="External"/><Relationship Id="rId1952" Type="http://schemas.openxmlformats.org/officeDocument/2006/relationships/hyperlink" Target="https://www.tiktok.com/@masbahrildaily/video/7630645611548675336?_r=1&amp;u_code=ek6h2252jijmih&amp;region=&amp;mid=6954430693141137410&amp;preview_pb=0&amp;sharer_language=&amp;_d=0&amp;ec_shared_reflux_dynamic_params=%7B%22placeholder_material_id%22%3A%227630645611548675336%22%2C%22placeholder_origin_cover%22%3A%22https%253A%252F%252Fp16-common-sign.tiktokcdn.com%252Ftos-alisg-p-0037%252FooFZfTEHeACkGeGHI8GK5cQAMLjsvyU5doIQDA~tplv-tiktokx-origin.jpeg%253Fdr%253D14572%2526refresh_token%253Df976946a%2526x-expires%253D1808204400%2526x-signature%253DD%25252ByPYyCLr%25252FZGjWHcF3jNnBL8Vo8%25253D%2526t%253D4d5b0474%2526ps%253D13740610%2526shp%253Dd05b14bd%2526shcp%253D34ff8df6%2526idc%253Dmy3%2526s%253DTIKTOK_AFFILIATE_VIRAL_VIDEO%22%2C%22placeholder_product_id%22%3A%221729427766722726591%22%2C%22placeholder_video_id%22%3A%227630645611548675336%22%7D&amp;ec_shared_reflux_scene=shop_tab_feed&amp;share_item_id=7630645611548675336&amp;source=h5_t" TargetMode="External"/><Relationship Id="rId1953" Type="http://schemas.openxmlformats.org/officeDocument/2006/relationships/hyperlink" Target="https://www.tiktok.com/@masbahrildaily/video/7630598491827391752?_r=1&amp;u_code=ek6h2252jijmih&amp;region=&amp;mid=7381176581904878342&amp;preview_pb=0&amp;sharer_language=&amp;_d=0&amp;ec_shared_reflux_dynamic_params=%7B%22placeholder_material_id%22%3A%227630598491827391752%22%2C%22placeholder_origin_cover%22%3A%22https%253A%252F%252Fp19-common-sign.tiktokcdn.com%252Ftos-alisg-p-0037%252FoACPlAYVqqCFSiI0n8ifAAwRZV3BpdI4I7B0Ci~tplv-tiktokx-origin.jpeg%253Fdr%253D14572%2526refresh_token%253D782adbc0%2526x-expires%253D1808204400%2526x-signature%253Di8eio8jixSgIBvQhN4g1gwlVF1w%25253D%2526t%253D4d5b0474%2526ps%253D13740610%2526shp%253Dd05b14bd%2526shcp%253D34ff8df6%2526idc%253Dmy3%2526s%253DTIKTOK_AFFILIATE_VIRAL_VIDEO%22%2C%22placeholder_product_id%22%3A%221729427766722726591%22%2C%22placeholder_video_id%22%3A%227630598491827391752%22%7D&amp;ec_shared_reflux_scene=shop_tab_feed&amp;share_item_id=7630598491827391752&amp;source=h5_t" TargetMode="External"/><Relationship Id="rId1954" Type="http://schemas.openxmlformats.org/officeDocument/2006/relationships/hyperlink" Target="https://www.tiktok.com/@gallerycantikkk" TargetMode="External"/><Relationship Id="rId1955" Type="http://schemas.openxmlformats.org/officeDocument/2006/relationships/hyperlink" Target="https://www.tiktok.com/@masbahrildaily/video/7630318868501728530?_r=1&amp;u_code=ek6h2252jijmih&amp;region=&amp;mid=7624626297780652808&amp;preview_pb=0&amp;sharer_language=&amp;_d=0&amp;ec_shared_reflux_dynamic_params=%7B%22placeholder_material_id%22%3A%227630318868501728530%22%2C%22placeholder_origin_cover%22%3A%22https%253A%252F%252Fp16-common-sign.tiktokcdn.com%252Ftos-alisg-p-0037%252FokeOVVfQkFGLQs0gKgceaWA4zEnApnO1GRGkIf~tplv-tiktokx-origin.jpeg%253Fdr%253D14572%2526refresh_token%253D6b82a7a0%2526x-expires%253D1808204400%2526x-signature%253DdkzPIH%25252B%25252B%25252B%25252Bfs%25252FpVwKI6FSGbNXaE%25253D%2526t%253D4d5b0474%2526ps%253D13740610%2526shp%253Dd05b14bd%2526shcp%253D34ff8df6%2526idc%253Dmy3%2526s%253DTIKTOK_AFFILIATE_VIRAL_VIDEO%22%2C%22placeholder_product_id%22%3A%221729427766722726591%22%2C%22placeholder_video_id%22%3A%227630318868501728530%22%7D&amp;ec_shared_reflux_scene=shop_tab_feed&amp;share_item_id=7630318868501728530&amp;source=h5_t" TargetMode="External"/><Relationship Id="rId1956" Type="http://schemas.openxmlformats.org/officeDocument/2006/relationships/hyperlink" Target="https://www.tiktok.com/@masbahrildaily/video/7630475688943897874?_d=0&amp;_r=1&amp;ec_shared_reflux_dynamic_params=%7B%22placeholder_material_id%22%3A%227630475688943897874%22%2C%22placeholder_origin_cover%22%3A%22https%253A%252F%252Fp16-common-sign.tiktokcdn.com%252Ftos-alisg-p-0037%252FooTSo4TGxCrBcAXj7DmAGPeS8yI5Ae8eTolMQ5~tplv-tiktokx-origin.jpeg%253Fdr%253D14572%2526refresh_token%253D1f1b6ad0%2526x-expires%253D1808204400%2526x-signature%253DjthKFVU8rhF%25252FrRBq9X%25252FeDp861%25252B4%25253D%2526t%253D4d5b0474%2526ps%253D13740610%2526shp%253Dd05b14bd%2526shcp%253D34ff8df6%2526idc%253Dmy3%2526s%253DTIKTOK_AFFILIATE_VIRAL_VIDEO%22%2C%22placeholder_product_id%22%3A%221729427766722726591%22%2C%22placeholder_video_id%22%3A%227630475688943897874%22%7D&amp;ec_shared_reflux_scene=shop_tab_feed&amp;mid=7607444503808527121&amp;preview_pb=0&amp;region=&amp;share_item_id=7630475688943897874&amp;sharer_language=&amp;source=h5_t&amp;u_code=ek6h2252jijmih" TargetMode="External"/><Relationship Id="rId1957" Type="http://schemas.openxmlformats.org/officeDocument/2006/relationships/hyperlink" Target="https://www.tiktok.com/@icha7721/video/7623718785811352850?_r=1&amp;u_code=e59fc6bfdb6373&amp;region=&amp;mid=7593347977686599681&amp;preview_pb=0&amp;sharer_language=&amp;_d=0&amp;ec_shared_reflux_dynamic_params=%7B%22placeholder_material_id%22%3A%227623718785811352850%22%2C%22placeholder_origin_cover%22%3A%22https%253A%252F%252Fp16-common-sign.tiktokcdn.com%252Ftos-alisg-p-0037%252FoYlYI3rmAb1jAggeT8gexBLhItDZ4cexC5EsGp~tplv-tiktokx-origin.jpeg%253Fdr%253D14572%2526refresh_token%253D881124a6%2526x-expires%253D1808208000%2526x-signature%253DGB6%25252B%25252F99GUSeyJHt76SbHAjvNXJ0%25253D%2526t%253D4d5b0474%2526ps%253D13740610%2526shp%253Dd05b14bd%2526shcp%253D34ff8df6%2526idc%253Dmy3%2526s%253DTIKTOK_AFFILIATE_VIRAL_VIDEO%22%2C%22placeholder_product_id%22%3A%221729427766722726591%22%2C%22placeholder_video_id%22%3A%227623718785811352850%22%7D&amp;ec_shared_reflux_scene=shop_tab_feed&amp;share_item_id=7623718785811352850&amp;source=h5_t" TargetMode="External"/><Relationship Id="rId1958" Type="http://schemas.openxmlformats.org/officeDocument/2006/relationships/hyperlink" Target="https://www.tiktok.com/@icha7721/video/7624111012706405639?_r=1&amp;u_code=e59fc6bfdb6373&amp;region=&amp;mid=7593347977686599681&amp;preview_pb=0&amp;sharer_language=&amp;_d=0&amp;ec_shared_reflux_dynamic_params=%7B%22placeholder_material_id%22%3A%227624111012706405639%22%2C%22placeholder_origin_cover%22%3A%22https%253A%252F%252Fp16-common-sign.tiktokcdn.com%252Ftos-alisg-p-0037%252FoYJCKfyOjwvIBStICz1iASAuSA5iIWg10HQYkr~tplv-tiktokx-origin.jpeg%253Fdr%253D14572%2526refresh_token%253D422eb177%2526x-expires%253D1808208000%2526x-signature%253DuFMMUC8o7KC7ZUS2Y8S%25252BmfPCl%25252F4%25253D%2526t%253D4d5b0474%2526ps%253D13740610%2526shp%253Dd05b14bd%2526shcp%253D34ff8df6%2526idc%253Dmy3%2526s%253DTIKTOK_AFFILIATE_VIRAL_VIDEO%22%2C%22placeholder_product_id%22%3A%221729427766722726591%22%2C%22placeholder_video_id%22%3A%227624111012706405639%22%7D&amp;ec_shared_reflux_scene=shop_tab_feed&amp;share_item_id=7624111012706405639&amp;source=h5_t" TargetMode="External"/><Relationship Id="rId1959" Type="http://schemas.openxmlformats.org/officeDocument/2006/relationships/hyperlink" Target="https://www.tiktok.com/@rizkyutami5" TargetMode="External"/><Relationship Id="rId1940" Type="http://schemas.openxmlformats.org/officeDocument/2006/relationships/hyperlink" Target="https://www.tiktok.com/@snowme.shop/video/7629142041108303125?_r=1&amp;u_code=dal30337ieiagk&amp;region=&amp;mid=7522454204213168918&amp;preview_pb=0&amp;sharer_language=&amp;_d=0&amp;ec_shared_reflux_dynamic_params=%7B%22placeholder_material_id%22%3A%227629142041108303125%22%2C%22placeholder_origin_cover%22%3A%22https%253A%252F%252Fp16-common-sign.tiktokcdn.com%252Ftos-alisg-p-0037%252FoI85K0U3fAAyAJBdCFUgQ2IwDiIDB8W9XuiIAN~tplv-tiktokx-origin.jpeg%253Fdr%253D14572%2526refresh_token%253D3b6e3d29%2526x-expires%253D1808204400%2526x-signature%253DjSzONcVs8VMbRFkwLJjrRhqgc1E%25253D%2526t%253D4d5b0474%2526ps%253D13740610%2526shp%253Dd05b14bd%2526shcp%253D34ff8df6%2526idc%253Dmy3%2526s%253DTIKTOK_AFFILIATE_VIRAL_VIDEO%22%2C%22placeholder_product_id%22%3A%221729427766722726591%22%2C%22placeholder_video_id%22%3A%227629142041108303125%22%7D&amp;ec_shared_reflux_scene=shop_tab_feed&amp;share_item_id=7629142041108303125&amp;source=h5_t" TargetMode="External"/><Relationship Id="rId1941" Type="http://schemas.openxmlformats.org/officeDocument/2006/relationships/hyperlink" Target="https://www.tiktok.com/@snowme.shop/video/7629143314532453653?_r=1&amp;u_code=dal30337ieiagk&amp;region=&amp;mid=7534219482588302086&amp;preview_pb=0&amp;sharer_language=&amp;_d=0&amp;ec_shared_reflux_dynamic_params=%7B%22placeholder_material_id%22%3A%227629143314532453653%22%2C%22placeholder_origin_cover%22%3A%22https%253A%252F%252Fp16-common-sign.tiktokcdn.com%252Ftos-alisg-p-0037%252FoYIlg0NC9ABPcwIGxiIAHiiASKBnU8B3pfMtXu~tplv-tiktokx-origin.jpeg%253Fdr%253D14572%2526refresh_token%253D52808c6b%2526x-expires%253D1808204400%2526x-signature%253DVa8X5wjqKR4bc%25252BJ%25252FFbcCW4WvcLM%25253D%2526t%253D4d5b0474%2526ps%253D13740610%2526shp%253Dd05b14bd%2526shcp%253D34ff8df6%2526idc%253Dmy3%2526s%253DTIKTOK_AFFILIATE_VIRAL_VIDEO%22%2C%22placeholder_product_id%22%3A%221729427766722726591%22%2C%22placeholder_video_id%22%3A%227629143314532453653%22%7D&amp;ec_shared_reflux_scene=shop_tab_feed&amp;share_item_id=7629143314532453653&amp;source=h5_t" TargetMode="External"/><Relationship Id="rId1942" Type="http://schemas.openxmlformats.org/officeDocument/2006/relationships/hyperlink" Target="https://www.tiktok.com/@snowme.shop/video/7629259814828330260?_r=1&amp;u_code=dal30337ieiagk&amp;region=&amp;mid=7624394480175287047&amp;preview_pb=0&amp;sharer_language=&amp;_d=0&amp;ec_shared_reflux_dynamic_params=%7B%22placeholder_material_id%22%3A%227629259814828330260%22%2C%22placeholder_origin_cover%22%3A%22https%253A%252F%252Fp16-common-sign.tiktokcdn.com%252Ftos-alisg-p-0037%252FoEBxg2fmB2DE0iVCRg1AAuuZi8IAkIIwIOTAz8~tplv-tiktokx-origin.jpeg%253Fdr%253D14572%2526refresh_token%253Db9073e0e%2526x-expires%253D1808204400%2526x-signature%253DvTsdjXn4wtRQ9Cy4cjRh%25252Flcm0S4%25253D%2526t%253D4d5b0474%2526ps%253D13740610%2526shp%253Dd05b14bd%2526shcp%253D34ff8df6%2526idc%253Dmy3%2526s%253DTIKTOK_AFFILIATE_VIRAL_VIDEO%22%2C%22placeholder_product_id%22%3A%221729427766722726591%22%2C%22placeholder_video_id%22%3A%227629259814828330260%22%7D&amp;ec_shared_reflux_scene=shop_tab_feed&amp;share_item_id=7629259814828330260&amp;source=h5_t" TargetMode="External"/><Relationship Id="rId1943" Type="http://schemas.openxmlformats.org/officeDocument/2006/relationships/hyperlink" Target="https://www.tiktok.com/@snowme.shop/video/7629331553373457684?_r=1&amp;u_code=dal30337ieiagk&amp;region=&amp;mid=7587297958270454535&amp;preview_pb=0&amp;sharer_language=&amp;_d=0&amp;ec_shared_reflux_dynamic_params=%7B%22placeholder_material_id%22%3A%227629331553373457684%22%2C%22placeholder_origin_cover%22%3A%22https%253A%252F%252Fp16-common-sign.tiktokcdn.com%252Ftos-alisg-p-0037%252FoUKIDwl4bgAadkGkLB1kgeFigAIYICGfTghjfL~tplv-tiktokx-origin.jpeg%253Fdr%253D14572%2526refresh_token%253Da803c1df%2526x-expires%253D1808204400%2526x-signature%253DfLw9RZcVPv2%25252BkhpfL9KkFwoeCCw%25253D%2526t%253D4d5b0474%2526ps%253D13740610%2526shp%253Dd05b14bd%2526shcp%253D34ff8df6%2526idc%253Dmy3%2526s%253DTIKTOK_AFFILIATE_VIRAL_VIDEO%22%2C%22placeholder_product_id%22%3A%221729427766722726591%22%2C%22placeholder_video_id%22%3A%227629331553373457684%22%7D&amp;ec_shared_reflux_scene=shop_tab_feed&amp;share_item_id=7629331553373457684&amp;source=h5_t" TargetMode="External"/><Relationship Id="rId1944" Type="http://schemas.openxmlformats.org/officeDocument/2006/relationships/hyperlink" Target="https://www.tiktok.com/@hasyaas__" TargetMode="External"/><Relationship Id="rId1945" Type="http://schemas.openxmlformats.org/officeDocument/2006/relationships/hyperlink" Target="https://www.tiktok.com/@snowme.shop/video/7629345067894918420?_r=1&amp;u_code=dal30337ieiagk&amp;region=&amp;mid=7625116600089266952&amp;preview_pb=0&amp;sharer_language=&amp;_d=0&amp;ec_shared_reflux_dynamic_params=%7B%22placeholder_material_id%22%3A%227629345067894918420%22%2C%22placeholder_origin_cover%22%3A%22https%253A%252F%252Fp16-common-sign.tiktokcdn.com%252Ftos-alisg-p-0037%252FoAfDQcEDm5fBbzSC4pOgEsiQPsFhMRA4cbBPxg~tplv-tiktokx-origin.jpeg%253Fdr%253D14572%2526refresh_token%253D014f0023%2526x-expires%253D1808204400%2526x-signature%253DFELwyxnSW3Ff63EvyRgyprx50sw%25253D%2526t%253D4d5b0474%2526ps%253D13740610%2526shp%253Dd05b14bd%2526shcp%253D34ff8df6%2526idc%253Dmy3%2526s%253DTIKTOK_AFFILIATE_VIRAL_VIDEO%22%2C%22placeholder_product_id%22%3A%221729427766722726591%22%2C%22placeholder_video_id%22%3A%227629345067894918420%22%7D&amp;ec_shared_reflux_scene=shop_tab_feed&amp;share_item_id=7629345067894918420&amp;source=h5_t" TargetMode="External"/><Relationship Id="rId1946" Type="http://schemas.openxmlformats.org/officeDocument/2006/relationships/hyperlink" Target="https://www.tiktok.com/@snowme.shop/video/7629622141033401620?_r=1&amp;u_code=dal30337ieiagk&amp;region=&amp;mid=7624962261542603527&amp;preview_pb=0&amp;sharer_language=&amp;_d=0&amp;ec_shared_reflux_dynamic_params=%7B%22placeholder_material_id%22%3A%227629622141033401620%22%2C%22placeholder_origin_cover%22%3A%22https%253A%252F%252Fp16-common-sign.tiktokcdn.com%252Ftos-alisg-p-0037%252FoQcw9APSueIBX3IjC5wJIyii4JMyp0hPByAHAJ~tplv-tiktokx-origin.jpeg%253Fdr%253D14572%2526refresh_token%253Dbb95357e%2526x-expires%253D1808204400%2526x-signature%253DAKDFWoiuqefc2%25252FSA3shXWu6sCnc%25253D%2526t%253D4d5b0474%2526ps%253D13740610%2526shp%253Dd05b14bd%2526shcp%253D34ff8df6%2526idc%253Dmy3%2526s%253DTIKTOK_AFFILIATE_VIRAL_VIDEO%22%2C%22placeholder_product_id%22%3A%221729427766722726591%22%2C%22placeholder_video_id%22%3A%227629622141033401620%22%7D&amp;ec_shared_reflux_scene=shop_tab_feed&amp;share_item_id=7629622141033401620&amp;source=h5_t" TargetMode="External"/><Relationship Id="rId1947" Type="http://schemas.openxmlformats.org/officeDocument/2006/relationships/hyperlink" Target="https://www.tiktok.com/@snowme.shop/video/7629676981843430677?_r=1&amp;u_code=dal30337ieiagk&amp;region=&amp;mid=7587701744642706193&amp;preview_pb=0&amp;sharer_language=&amp;_d=0&amp;ec_shared_reflux_dynamic_params=%7B%22placeholder_material_id%22%3A%227629676981843430677%22%2C%22placeholder_origin_cover%22%3A%22https%253A%252F%252Fp16-common-sign.tiktokcdn.com%252Ftos-alisg-p-0037%252FoYDeiFXEEIrIgk4tgif6hVnARcFRpDc2BBMtBc~tplv-tiktokx-origin.jpeg%253Fdr%253D14572%2526refresh_token%253D45af2cdd%2526x-expires%253D1808204400%2526x-signature%253DZwrEMJIxZkLaxbaWGIjZyMnKkYA%25253D%2526t%253D4d5b0474%2526ps%253D13740610%2526shp%253Dd05b14bd%2526shcp%253D34ff8df6%2526idc%253Dmy3%2526s%253DTIKTOK_AFFILIATE_VIRAL_VIDEO%22%2C%22placeholder_product_id%22%3A%221729427766722726591%22%2C%22placeholder_video_id%22%3A%227629676981843430677%22%7D&amp;ec_shared_reflux_scene=shop_tab_feed&amp;share_item_id=7629676981843430677&amp;source=h5_t" TargetMode="External"/><Relationship Id="rId1948" Type="http://schemas.openxmlformats.org/officeDocument/2006/relationships/hyperlink" Target="https://www.tiktok.com/@snowme.shop/video/7629933172213517589?_r=1&amp;u_code=dal30337ieiagk&amp;region=&amp;mid=7556779493556063032&amp;preview_pb=0&amp;sharer_language=&amp;_d=0&amp;ec_shared_reflux_dynamic_params=%7B%22placeholder_material_id%22%3A%227629933172213517589%22%2C%22placeholder_origin_cover%22%3A%22https%253A%252F%252Fp16-common-sign.tiktokcdn.com%252Ftos-alisg-p-0037%252FosKlRYiEGwUfufPf9ABeVIyiIAmnFzDY0H9GFF~tplv-tiktokx-origin.jpeg%253Fdr%253D14572%2526refresh_token%253Ddefeb802%2526x-expires%253D1808204400%2526x-signature%253DKj4iiXp3JpPiKvPucUnyvQtnB%25252Fw%25253D%2526t%253D4d5b0474%2526ps%253D13740610%2526shp%253Dd05b14bd%2526shcp%253D34ff8df6%2526idc%253Dmy3%2526s%253DTIKTOK_AFFILIATE_VIRAL_VIDEO%22%2C%22placeholder_product_id%22%3A%221729427766722726591%22%2C%22placeholder_video_id%22%3A%227629933172213517589%22%7D&amp;ec_shared_reflux_scene=shop_tab_feed&amp;share_item_id=7629933172213517589&amp;source=h5_t" TargetMode="External"/><Relationship Id="rId1949" Type="http://schemas.openxmlformats.org/officeDocument/2006/relationships/hyperlink" Target="https://www.tiktok.com/@beautecircle" TargetMode="External"/><Relationship Id="rId509" Type="http://schemas.openxmlformats.org/officeDocument/2006/relationships/hyperlink" Target="https://www.tiktok.com/@mineee.20/video/7608812770259111189?is_from_webapp=1&amp;sender_device=pc" TargetMode="External"/><Relationship Id="rId508" Type="http://schemas.openxmlformats.org/officeDocument/2006/relationships/hyperlink" Target="https://www.tiktok.com/@mineee.20/video/7608476395215342868?is_from_webapp=1&amp;sender_device=pc" TargetMode="External"/><Relationship Id="rId9061" Type="http://schemas.openxmlformats.org/officeDocument/2006/relationships/hyperlink" Target="https://www.tiktok.com/@Ayangkirei" TargetMode="External"/><Relationship Id="rId9060" Type="http://schemas.openxmlformats.org/officeDocument/2006/relationships/hyperlink" Target="https://vt.tiktok.com/ZSxAXk2Gh/" TargetMode="External"/><Relationship Id="rId503" Type="http://schemas.openxmlformats.org/officeDocument/2006/relationships/hyperlink" Target="https://www.tiktok.com/@underthesamemoonnn/video/7608868988356988178?is_from_webapp=1&amp;sender_device=pc" TargetMode="External"/><Relationship Id="rId9054" Type="http://schemas.openxmlformats.org/officeDocument/2006/relationships/hyperlink" Target="https://vt.tiktok.com/ZSxg4MP2B/" TargetMode="External"/><Relationship Id="rId502" Type="http://schemas.openxmlformats.org/officeDocument/2006/relationships/hyperlink" Target="https://www.tiktok.com/@underthesamemoonnn" TargetMode="External"/><Relationship Id="rId9053" Type="http://schemas.openxmlformats.org/officeDocument/2006/relationships/hyperlink" Target="https://www.tiktok.com/@Yesinta_ns" TargetMode="External"/><Relationship Id="rId501" Type="http://schemas.openxmlformats.org/officeDocument/2006/relationships/hyperlink" Target="https://www.tiktok.com/@theophilaa/video/7613721495017131282?is_from_webapp=1&amp;sender_device=pc" TargetMode="External"/><Relationship Id="rId9052" Type="http://schemas.openxmlformats.org/officeDocument/2006/relationships/hyperlink" Target="https://vt.tiktok.com/ZSxPpSfmT/" TargetMode="External"/><Relationship Id="rId500" Type="http://schemas.openxmlformats.org/officeDocument/2006/relationships/hyperlink" Target="https://vt.tiktok.com/ZSueBNBtU/" TargetMode="External"/><Relationship Id="rId9051" Type="http://schemas.openxmlformats.org/officeDocument/2006/relationships/hyperlink" Target="https://vt.tiktok.com/ZSxPpN1KB/" TargetMode="External"/><Relationship Id="rId507" Type="http://schemas.openxmlformats.org/officeDocument/2006/relationships/hyperlink" Target="https://www.tiktok.com/@mineee.20/video/7607819382223359253?is_from_webapp=1&amp;sender_device=pc" TargetMode="External"/><Relationship Id="rId9058" Type="http://schemas.openxmlformats.org/officeDocument/2006/relationships/hyperlink" Target="https://www.tiktok.com/@lola.safitri6" TargetMode="External"/><Relationship Id="rId506" Type="http://schemas.openxmlformats.org/officeDocument/2006/relationships/hyperlink" Target="https://www.tiktok.com/@mineee.20/video/7607687836996799764?is_from_webapp=1&amp;sender_device=pc" TargetMode="External"/><Relationship Id="rId9057" Type="http://schemas.openxmlformats.org/officeDocument/2006/relationships/hyperlink" Target="https://vt.tiktok.com/ZSxqLrG6Y/" TargetMode="External"/><Relationship Id="rId505" Type="http://schemas.openxmlformats.org/officeDocument/2006/relationships/hyperlink" Target="https://www.tiktok.com/@mineee.20" TargetMode="External"/><Relationship Id="rId9056" Type="http://schemas.openxmlformats.org/officeDocument/2006/relationships/hyperlink" Target="https://www.tiktok.com/@marianhlz" TargetMode="External"/><Relationship Id="rId504" Type="http://schemas.openxmlformats.org/officeDocument/2006/relationships/hyperlink" Target="https://www.tiktok.com/@underthesamemoonnn/video/7614090367763287304?is_from_webapp=1&amp;sender_device=pc" TargetMode="External"/><Relationship Id="rId9055" Type="http://schemas.openxmlformats.org/officeDocument/2006/relationships/hyperlink" Target="https://vt.tiktok.com/ZSxGLf9sR/" TargetMode="External"/><Relationship Id="rId9059" Type="http://schemas.openxmlformats.org/officeDocument/2006/relationships/hyperlink" Target="https://vt.tiktok.com/ZSxqLPKND/" TargetMode="External"/><Relationship Id="rId9050" Type="http://schemas.openxmlformats.org/officeDocument/2006/relationships/hyperlink" Target="https://vt.tiktok.com/ZSxPpFppo/" TargetMode="External"/><Relationship Id="rId9043" Type="http://schemas.openxmlformats.org/officeDocument/2006/relationships/hyperlink" Target="https://vt.tiktok.com/ZSxa5tkgL/" TargetMode="External"/><Relationship Id="rId9042" Type="http://schemas.openxmlformats.org/officeDocument/2006/relationships/hyperlink" Target="https://vt.tiktok.com/ZSxa57FcD/" TargetMode="External"/><Relationship Id="rId9041" Type="http://schemas.openxmlformats.org/officeDocument/2006/relationships/hyperlink" Target="https://vt.tiktok.com/ZSxwyArTP/" TargetMode="External"/><Relationship Id="rId9040" Type="http://schemas.openxmlformats.org/officeDocument/2006/relationships/hyperlink" Target="https://vt.tiktok.com/ZSxgbbr5R/" TargetMode="External"/><Relationship Id="rId9047" Type="http://schemas.openxmlformats.org/officeDocument/2006/relationships/hyperlink" Target="https://vt.tiktok.com/ZSxPpBfEw/" TargetMode="External"/><Relationship Id="rId9046" Type="http://schemas.openxmlformats.org/officeDocument/2006/relationships/hyperlink" Target="https://vt.tiktok.com/ZSxPp8EP7/" TargetMode="External"/><Relationship Id="rId9045" Type="http://schemas.openxmlformats.org/officeDocument/2006/relationships/hyperlink" Target="https://vt.tiktok.com/ZSxqL5Vfr/" TargetMode="External"/><Relationship Id="rId9044" Type="http://schemas.openxmlformats.org/officeDocument/2006/relationships/hyperlink" Target="https://www.tiktok.com/@ranggaasyra" TargetMode="External"/><Relationship Id="rId9049" Type="http://schemas.openxmlformats.org/officeDocument/2006/relationships/hyperlink" Target="https://vt.tiktok.com/ZSxqLNsc6/" TargetMode="External"/><Relationship Id="rId9048" Type="http://schemas.openxmlformats.org/officeDocument/2006/relationships/hyperlink" Target="https://www.tiktok.com/@Mimi-pisces1" TargetMode="External"/><Relationship Id="rId6803" Type="http://schemas.openxmlformats.org/officeDocument/2006/relationships/hyperlink" Target="https://vt.tiktok.com/ZS9o6o8RF/" TargetMode="External"/><Relationship Id="rId6804" Type="http://schemas.openxmlformats.org/officeDocument/2006/relationships/hyperlink" Target="https://vt.tiktok.com/ZS9oMDkoM/" TargetMode="External"/><Relationship Id="rId6801" Type="http://schemas.openxmlformats.org/officeDocument/2006/relationships/hyperlink" Target="https://vt.tiktok.com/ZS9oMhaP9/" TargetMode="External"/><Relationship Id="rId6802" Type="http://schemas.openxmlformats.org/officeDocument/2006/relationships/hyperlink" Target="https://vt.tiktok.com/ZS9o6vWjL/" TargetMode="External"/><Relationship Id="rId6807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6808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6805" Type="http://schemas.openxmlformats.org/officeDocument/2006/relationships/hyperlink" Target="https://www.tiktok.com/@Nahdiah51" TargetMode="External"/><Relationship Id="rId6806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6809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9083" Type="http://schemas.openxmlformats.org/officeDocument/2006/relationships/hyperlink" Target="https://vt.tiktok.com/ZSxa6UVeT/" TargetMode="External"/><Relationship Id="rId9082" Type="http://schemas.openxmlformats.org/officeDocument/2006/relationships/hyperlink" Target="https://vt.tiktok.com/ZSxgQd6b4/" TargetMode="External"/><Relationship Id="rId9081" Type="http://schemas.openxmlformats.org/officeDocument/2006/relationships/hyperlink" Target="https://www.tiktok.com/@gestifff" TargetMode="External"/><Relationship Id="rId9080" Type="http://schemas.openxmlformats.org/officeDocument/2006/relationships/hyperlink" Target="https://vt.tiktok.com/ZSxPXXgsD/" TargetMode="External"/><Relationship Id="rId525" Type="http://schemas.openxmlformats.org/officeDocument/2006/relationships/hyperlink" Target="https://www.tiktok.com/@alsbeauty1" TargetMode="External"/><Relationship Id="rId9076" Type="http://schemas.openxmlformats.org/officeDocument/2006/relationships/hyperlink" Target="https://vt.tiktok.com/ZSxE8jS2v/" TargetMode="External"/><Relationship Id="rId524" Type="http://schemas.openxmlformats.org/officeDocument/2006/relationships/hyperlink" Target="https://vt.tiktok.com/ZS9UmnfWf/" TargetMode="External"/><Relationship Id="rId9075" Type="http://schemas.openxmlformats.org/officeDocument/2006/relationships/hyperlink" Target="https://www.tiktok.com/@ririarct" TargetMode="External"/><Relationship Id="rId523" Type="http://schemas.openxmlformats.org/officeDocument/2006/relationships/hyperlink" Target="https://vt.tiktok.com/ZS9DSTaJJ/" TargetMode="External"/><Relationship Id="rId9074" Type="http://schemas.openxmlformats.org/officeDocument/2006/relationships/hyperlink" Target="https://vt.tiktok.com/ZSxfGUSGG/" TargetMode="External"/><Relationship Id="rId522" Type="http://schemas.openxmlformats.org/officeDocument/2006/relationships/hyperlink" Target="https://vt.tiktok.com/ZSmUFm66a/" TargetMode="External"/><Relationship Id="rId9073" Type="http://schemas.openxmlformats.org/officeDocument/2006/relationships/hyperlink" Target="https://vt.tiktok.com/ZSxftN8G4/" TargetMode="External"/><Relationship Id="rId529" Type="http://schemas.openxmlformats.org/officeDocument/2006/relationships/hyperlink" Target="https://vt.tiktok.com/ZSmQyhoY5/" TargetMode="External"/><Relationship Id="rId528" Type="http://schemas.openxmlformats.org/officeDocument/2006/relationships/hyperlink" Target="https://vt.tiktok.com/ZSmQyLhqX/" TargetMode="External"/><Relationship Id="rId9079" Type="http://schemas.openxmlformats.org/officeDocument/2006/relationships/hyperlink" Target="https://vt.tiktok.com/ZSxguN966/" TargetMode="External"/><Relationship Id="rId527" Type="http://schemas.openxmlformats.org/officeDocument/2006/relationships/hyperlink" Target="https://vt.tiktok.com/ZSmQy2LdH/" TargetMode="External"/><Relationship Id="rId9078" Type="http://schemas.openxmlformats.org/officeDocument/2006/relationships/hyperlink" Target="https://www.tiktok.com/@ayuckmua" TargetMode="External"/><Relationship Id="rId526" Type="http://schemas.openxmlformats.org/officeDocument/2006/relationships/hyperlink" Target="https://vt.tiktok.com/ZSmQyjmVb/" TargetMode="External"/><Relationship Id="rId9077" Type="http://schemas.openxmlformats.org/officeDocument/2006/relationships/hyperlink" Target="https://vt.tiktok.com/ZSxE8b31a/" TargetMode="External"/><Relationship Id="rId521" Type="http://schemas.openxmlformats.org/officeDocument/2006/relationships/hyperlink" Target="https://vt.tiktok.com/ZSmBeYro5/" TargetMode="External"/><Relationship Id="rId520" Type="http://schemas.openxmlformats.org/officeDocument/2006/relationships/hyperlink" Target="https://www.tiktok.com/@gevaaardna" TargetMode="External"/><Relationship Id="rId6800" Type="http://schemas.openxmlformats.org/officeDocument/2006/relationships/hyperlink" Target="https://www.tiktok.com/@oviamalia123" TargetMode="External"/><Relationship Id="rId519" Type="http://schemas.openxmlformats.org/officeDocument/2006/relationships/hyperlink" Target="https://www.tiktok.com/@rithasimarmataa/video/7610038293052329236?is_from_webapp=1&amp;sender_device=pc" TargetMode="External"/><Relationship Id="rId9072" Type="http://schemas.openxmlformats.org/officeDocument/2006/relationships/hyperlink" Target="https://vt.tiktok.com/ZSxqLL7Dg/" TargetMode="External"/><Relationship Id="rId9071" Type="http://schemas.openxmlformats.org/officeDocument/2006/relationships/hyperlink" Target="https://www.tiktok.com/@ita_ra" TargetMode="External"/><Relationship Id="rId9070" Type="http://schemas.openxmlformats.org/officeDocument/2006/relationships/hyperlink" Target="https://vt.tiktok.com/ZSxmHcwrW/" TargetMode="External"/><Relationship Id="rId514" Type="http://schemas.openxmlformats.org/officeDocument/2006/relationships/hyperlink" Target="https://vt.tiktok.com/ZSHFPpofG/" TargetMode="External"/><Relationship Id="rId9065" Type="http://schemas.openxmlformats.org/officeDocument/2006/relationships/hyperlink" Target="https://vt.tiktok.com/ZSxaaj6Cy/" TargetMode="External"/><Relationship Id="rId513" Type="http://schemas.openxmlformats.org/officeDocument/2006/relationships/hyperlink" Target="https://vt.tiktok.com/ZSHFfVWfU/" TargetMode="External"/><Relationship Id="rId9064" Type="http://schemas.openxmlformats.org/officeDocument/2006/relationships/hyperlink" Target="https://vt.tiktok.com/ZSxaaFcVS/" TargetMode="External"/><Relationship Id="rId512" Type="http://schemas.openxmlformats.org/officeDocument/2006/relationships/hyperlink" Target="https://www.tiktok.com/@leogirls6986/video/7615120411335986453?is_from_webapp=1&amp;sender_device=pc" TargetMode="External"/><Relationship Id="rId9063" Type="http://schemas.openxmlformats.org/officeDocument/2006/relationships/hyperlink" Target="https://vt.tiktok.com/ZSxmH9TTF/" TargetMode="External"/><Relationship Id="rId511" Type="http://schemas.openxmlformats.org/officeDocument/2006/relationships/hyperlink" Target="https://www.tiktok.com/@ika_nf6/video/7608414441066990869?is_from_webapp=1&amp;sender_device=pc" TargetMode="External"/><Relationship Id="rId9062" Type="http://schemas.openxmlformats.org/officeDocument/2006/relationships/hyperlink" Target="https://vt.tiktok.com/ZSxqLkbAa/" TargetMode="External"/><Relationship Id="rId518" Type="http://schemas.openxmlformats.org/officeDocument/2006/relationships/hyperlink" Target="https://www.tiktok.com/@rithasimarmataa/video/7609865859497987349?is_from_webapp=1&amp;sender_device=pc" TargetMode="External"/><Relationship Id="rId9069" Type="http://schemas.openxmlformats.org/officeDocument/2006/relationships/hyperlink" Target="https://vt.tiktok.com/ZSxmHpNte/" TargetMode="External"/><Relationship Id="rId517" Type="http://schemas.openxmlformats.org/officeDocument/2006/relationships/hyperlink" Target="https://www.tiktok.com/@rithasimarmataa/video/7609628092805467412?is_from_webapp=1&amp;sender_device=pc" TargetMode="External"/><Relationship Id="rId9068" Type="http://schemas.openxmlformats.org/officeDocument/2006/relationships/hyperlink" Target="https://vt.tiktok.com/ZSxWKpm1s/" TargetMode="External"/><Relationship Id="rId516" Type="http://schemas.openxmlformats.org/officeDocument/2006/relationships/hyperlink" Target="https://www.tiktok.com/@rithasimarmataa/video/7608912762378423573?is_from_webapp=1&amp;sender_device=pc" TargetMode="External"/><Relationship Id="rId9067" Type="http://schemas.openxmlformats.org/officeDocument/2006/relationships/hyperlink" Target="https://vt.tiktok.com/ZSxWKh4Vh/" TargetMode="External"/><Relationship Id="rId515" Type="http://schemas.openxmlformats.org/officeDocument/2006/relationships/hyperlink" Target="https://www.tiktok.com/@rithasimarmataa" TargetMode="External"/><Relationship Id="rId9066" Type="http://schemas.openxmlformats.org/officeDocument/2006/relationships/hyperlink" Target="https://www.tiktok.com/@endukrizqi" TargetMode="External"/><Relationship Id="rId510" Type="http://schemas.openxmlformats.org/officeDocument/2006/relationships/hyperlink" Target="https://www.tiktok.com/@ika_nf6" TargetMode="External"/><Relationship Id="rId9010" Type="http://schemas.openxmlformats.org/officeDocument/2006/relationships/hyperlink" Target="https://vt.tiktok.com/ZSxgB1mxK/" TargetMode="External"/><Relationship Id="rId9014" Type="http://schemas.openxmlformats.org/officeDocument/2006/relationships/hyperlink" Target="https://www.tiktok.com/@aydach_zubaa95" TargetMode="External"/><Relationship Id="rId9013" Type="http://schemas.openxmlformats.org/officeDocument/2006/relationships/hyperlink" Target="https://vt.tiktok.com/ZSxxAJCby/" TargetMode="External"/><Relationship Id="rId9012" Type="http://schemas.openxmlformats.org/officeDocument/2006/relationships/hyperlink" Target="https://vt.tiktok.com/ZSxxA63h2/" TargetMode="External"/><Relationship Id="rId9011" Type="http://schemas.openxmlformats.org/officeDocument/2006/relationships/hyperlink" Target="https://vt.tiktok.com/ZSxgBoQF4/" TargetMode="External"/><Relationship Id="rId9018" Type="http://schemas.openxmlformats.org/officeDocument/2006/relationships/hyperlink" Target="https://vt.tiktok.com/ZSxyxGUKC/" TargetMode="External"/><Relationship Id="rId9017" Type="http://schemas.openxmlformats.org/officeDocument/2006/relationships/hyperlink" Target="https://vt.tiktok.com/ZSxyQ1jbe/" TargetMode="External"/><Relationship Id="rId9016" Type="http://schemas.openxmlformats.org/officeDocument/2006/relationships/hyperlink" Target="https://vt.tiktok.com/ZSxvCTDxU/" TargetMode="External"/><Relationship Id="rId9015" Type="http://schemas.openxmlformats.org/officeDocument/2006/relationships/hyperlink" Target="https://vt.tiktok.com/ZSxvCpQnJ/" TargetMode="External"/><Relationship Id="rId9019" Type="http://schemas.openxmlformats.org/officeDocument/2006/relationships/hyperlink" Target="https://www.tiktok.com/@nayiiewa" TargetMode="External"/><Relationship Id="rId9003" Type="http://schemas.openxmlformats.org/officeDocument/2006/relationships/hyperlink" Target="http://mybyrrrrrrr.is" TargetMode="External"/><Relationship Id="rId9002" Type="http://schemas.openxmlformats.org/officeDocument/2006/relationships/hyperlink" Target="https://vt.tiktok.com/ZSxyxUat5/" TargetMode="External"/><Relationship Id="rId9001" Type="http://schemas.openxmlformats.org/officeDocument/2006/relationships/hyperlink" Target="https://vt.tiktok.com/ZSxyxxXYU/" TargetMode="External"/><Relationship Id="rId9000" Type="http://schemas.openxmlformats.org/officeDocument/2006/relationships/hyperlink" Target="https://vt.tiktok.com/ZSxcxQqfw/" TargetMode="External"/><Relationship Id="rId9007" Type="http://schemas.openxmlformats.org/officeDocument/2006/relationships/hyperlink" Target="https://vt.tiktok.com/ZSxHedLMp/" TargetMode="External"/><Relationship Id="rId9006" Type="http://schemas.openxmlformats.org/officeDocument/2006/relationships/hyperlink" Target="https://vt.tiktok.com/ZSxHeUeXW/" TargetMode="External"/><Relationship Id="rId9005" Type="http://schemas.openxmlformats.org/officeDocument/2006/relationships/hyperlink" Target="https://vt.tiktok.com/ZSxQWeBck/" TargetMode="External"/><Relationship Id="rId9004" Type="http://schemas.openxmlformats.org/officeDocument/2006/relationships/hyperlink" Target="https://www.tiktok.com/@mybyrrrrrrr.is" TargetMode="External"/><Relationship Id="rId9009" Type="http://schemas.openxmlformats.org/officeDocument/2006/relationships/hyperlink" Target="https://www.tiktok.com/@Spillbyima_" TargetMode="External"/><Relationship Id="rId9008" Type="http://schemas.openxmlformats.org/officeDocument/2006/relationships/hyperlink" Target="https://vt.tiktok.com/ZSxHeJrnB/" TargetMode="External"/><Relationship Id="rId9032" Type="http://schemas.openxmlformats.org/officeDocument/2006/relationships/hyperlink" Target="https://vt.tiktok.com/ZSxa5TdoQ/" TargetMode="External"/><Relationship Id="rId9031" Type="http://schemas.openxmlformats.org/officeDocument/2006/relationships/hyperlink" Target="https://vt.tiktok.com/ZSxqtKgme/" TargetMode="External"/><Relationship Id="rId9030" Type="http://schemas.openxmlformats.org/officeDocument/2006/relationships/hyperlink" Target="https://vt.tiktok.com/ZSxqnRbKg/" TargetMode="External"/><Relationship Id="rId9036" Type="http://schemas.openxmlformats.org/officeDocument/2006/relationships/hyperlink" Target="https://vt.tiktok.com/ZSxwj6o47/" TargetMode="External"/><Relationship Id="rId9035" Type="http://schemas.openxmlformats.org/officeDocument/2006/relationships/hyperlink" Target="https://vt.tiktok.com/ZSxThurs8/" TargetMode="External"/><Relationship Id="rId9034" Type="http://schemas.openxmlformats.org/officeDocument/2006/relationships/hyperlink" Target="https://www.tiktok.com/@beautifulblinkeu" TargetMode="External"/><Relationship Id="rId9033" Type="http://schemas.openxmlformats.org/officeDocument/2006/relationships/hyperlink" Target="https://vt.tiktok.com/ZSxa5vrjw/" TargetMode="External"/><Relationship Id="rId9039" Type="http://schemas.openxmlformats.org/officeDocument/2006/relationships/hyperlink" Target="https://www.tiktok.com/@riakhairiyah4" TargetMode="External"/><Relationship Id="rId9038" Type="http://schemas.openxmlformats.org/officeDocument/2006/relationships/hyperlink" Target="https://vt.tiktok.com/ZSxa5nWHg/" TargetMode="External"/><Relationship Id="rId9037" Type="http://schemas.openxmlformats.org/officeDocument/2006/relationships/hyperlink" Target="https://vt.tiktok.com/ZSxa53Ywg/" TargetMode="External"/><Relationship Id="rId9021" Type="http://schemas.openxmlformats.org/officeDocument/2006/relationships/hyperlink" Target="https://vt.tiktok.com/ZSxyQJh1Y/" TargetMode="External"/><Relationship Id="rId9020" Type="http://schemas.openxmlformats.org/officeDocument/2006/relationships/hyperlink" Target="https://vt.tiktok.com/ZSxQWdxXX/" TargetMode="External"/><Relationship Id="rId9025" Type="http://schemas.openxmlformats.org/officeDocument/2006/relationships/hyperlink" Target="https://vt.tiktok.com/ZSxGv2agT/" TargetMode="External"/><Relationship Id="rId9024" Type="http://schemas.openxmlformats.org/officeDocument/2006/relationships/hyperlink" Target="https://www.tiktok.com/@iloveilaaaaaaaaa" TargetMode="External"/><Relationship Id="rId9023" Type="http://schemas.openxmlformats.org/officeDocument/2006/relationships/hyperlink" Target="https://vt.tiktok.com/ZSxyxo8rj/" TargetMode="External"/><Relationship Id="rId9022" Type="http://schemas.openxmlformats.org/officeDocument/2006/relationships/hyperlink" Target="https://vt.tiktok.com/ZSxPpU9Np/" TargetMode="External"/><Relationship Id="rId9029" Type="http://schemas.openxmlformats.org/officeDocument/2006/relationships/hyperlink" Target="https://www.tiktok.com/@deang342" TargetMode="External"/><Relationship Id="rId9028" Type="http://schemas.openxmlformats.org/officeDocument/2006/relationships/hyperlink" Target="https://vt.tiktok.com/ZSxPpMccN/" TargetMode="External"/><Relationship Id="rId9027" Type="http://schemas.openxmlformats.org/officeDocument/2006/relationships/hyperlink" Target="https://vt.tiktok.com/ZSxPpeF5E/" TargetMode="External"/><Relationship Id="rId9026" Type="http://schemas.openxmlformats.org/officeDocument/2006/relationships/hyperlink" Target="https://vt.tiktok.com/ZSxG3XFER/" TargetMode="External"/><Relationship Id="rId4206" Type="http://schemas.openxmlformats.org/officeDocument/2006/relationships/hyperlink" Target="https://vt.tiktok.com/ZSHcdhVSo/" TargetMode="External"/><Relationship Id="rId5538" Type="http://schemas.openxmlformats.org/officeDocument/2006/relationships/hyperlink" Target="https://vt.tiktok.com/ZS9BvQ845/" TargetMode="External"/><Relationship Id="rId6869" Type="http://schemas.openxmlformats.org/officeDocument/2006/relationships/hyperlink" Target="https://www.tiktok.com/@anggi_ningsih" TargetMode="External"/><Relationship Id="rId4205" Type="http://schemas.openxmlformats.org/officeDocument/2006/relationships/hyperlink" Target="https://vt.tiktok.com/ZSH71k3yu/" TargetMode="External"/><Relationship Id="rId5539" Type="http://schemas.openxmlformats.org/officeDocument/2006/relationships/hyperlink" Target="https://vt.tiktok.com/ZS9SMWJBS/" TargetMode="External"/><Relationship Id="rId4208" Type="http://schemas.openxmlformats.org/officeDocument/2006/relationships/hyperlink" Target="https://vt.tiktok.com/ZSxrTMYsJ/" TargetMode="External"/><Relationship Id="rId5536" Type="http://schemas.openxmlformats.org/officeDocument/2006/relationships/hyperlink" Target="https://www.tiktok.com/@pupud__" TargetMode="External"/><Relationship Id="rId6867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4207" Type="http://schemas.openxmlformats.org/officeDocument/2006/relationships/hyperlink" Target="https://vt.tiktok.com/ZSxShhmuD/" TargetMode="External"/><Relationship Id="rId5537" Type="http://schemas.openxmlformats.org/officeDocument/2006/relationships/hyperlink" Target="https://vt.tiktok.com/ZS9YHXyNm/" TargetMode="External"/><Relationship Id="rId6868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590" Type="http://schemas.openxmlformats.org/officeDocument/2006/relationships/hyperlink" Target="https://vt.tiktok.com/ZS9q63Y6t/" TargetMode="External"/><Relationship Id="rId4209" Type="http://schemas.openxmlformats.org/officeDocument/2006/relationships/hyperlink" Target="https://www.tiktok.com/@renyrahman.76" TargetMode="External"/><Relationship Id="rId589" Type="http://schemas.openxmlformats.org/officeDocument/2006/relationships/hyperlink" Target="https://vt.tiktok.com/ZSHLfVqj5/" TargetMode="External"/><Relationship Id="rId588" Type="http://schemas.openxmlformats.org/officeDocument/2006/relationships/hyperlink" Target="https://vt.tiktok.com/ZSuR2uTmM/" TargetMode="External"/><Relationship Id="rId583" Type="http://schemas.openxmlformats.org/officeDocument/2006/relationships/hyperlink" Target="https://www.tiktok.com/@serra_xera/video/7608341335753428244?is_from_webapp=1&amp;sender_device=pc" TargetMode="External"/><Relationship Id="rId5530" Type="http://schemas.openxmlformats.org/officeDocument/2006/relationships/hyperlink" Target="https://vt.tiktok.com/ZS9BvQ845/" TargetMode="External"/><Relationship Id="rId6861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582" Type="http://schemas.openxmlformats.org/officeDocument/2006/relationships/hyperlink" Target="https://www.tiktok.com/@serra_xera" TargetMode="External"/><Relationship Id="rId5531" Type="http://schemas.openxmlformats.org/officeDocument/2006/relationships/hyperlink" Target="https://vt.tiktok.com/ZS9SMWJBS/" TargetMode="External"/><Relationship Id="rId6862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581" Type="http://schemas.openxmlformats.org/officeDocument/2006/relationships/hyperlink" Target="https://vt.tiktok.com/ZS9qrXk3a/" TargetMode="External"/><Relationship Id="rId4200" Type="http://schemas.openxmlformats.org/officeDocument/2006/relationships/hyperlink" Target="https://vt.tiktok.com/ZS91XWjsu/" TargetMode="External"/><Relationship Id="rId580" Type="http://schemas.openxmlformats.org/officeDocument/2006/relationships/hyperlink" Target="https://www.tiktok.com/@jossone_/video/7621135760644656405?is_from_webapp=1&amp;sender_device=pc&amp;web_id=7611930277489657360" TargetMode="External"/><Relationship Id="rId6860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587" Type="http://schemas.openxmlformats.org/officeDocument/2006/relationships/hyperlink" Target="https://www.tiktok.com/@ririnrynti__" TargetMode="External"/><Relationship Id="rId4202" Type="http://schemas.openxmlformats.org/officeDocument/2006/relationships/hyperlink" Target="https://vt.tiktok.com/ZSxShxuQj/" TargetMode="External"/><Relationship Id="rId5534" Type="http://schemas.openxmlformats.org/officeDocument/2006/relationships/hyperlink" Target="https://www.tiktok.com/@rkmyng/video/7637928452775021844?_r=1&amp;u_code=d6ekdaheggk4le&amp;region=&amp;mid=7597826507306306312&amp;preview_pb=0&amp;sharer_language=&amp;_d=0&amp;ec_shared_reflux_dynamic_params=%7B%22placeholder_material_id%22%3A%227637928452775021844%22%2C%22placeholder_origin_cover%22%3A%22https%253A%252F%252Fp16-common-sign.tiktokcdn.com%252Ftos-alisg-p-0037%252FoQm3XTQHfACMCKDdI4Zf9zQAHFjD1fUiP4EQDA~tplv-tiktokx-origin.jpeg%253Fdr%253D14572%2526refresh_token%253D9dd47fc1%2526x-expires%253D1810202400%2526x-signature%253D9BQpgtG0jA5ZTEDQEz5YwKoWCGE%25253D%2526t%253D4d5b0474%2526ps%253D13740610%2526shp%253Dd05b14bd%2526shcp%253D34ff8df6%2526idc%253Dmy2%2526s%253DTIKTOK_AFFILIATE_VIRAL_VIDEO%22%2C%22placeholder_product_id%22%3A%221729427766722726591%22%2C%22placeholder_video_id%22%3A%227637928452775021844%22%7D&amp;ec_shared_reflux_scene=shop_tab_feed&amp;share_item_id=7637928452775021844&amp;source=h5_t" TargetMode="External"/><Relationship Id="rId6865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586" Type="http://schemas.openxmlformats.org/officeDocument/2006/relationships/hyperlink" Target="https://www.tiktok.com/@serra_xera/video/7610412208870231317?is_from_webapp=1&amp;sender_device=pc" TargetMode="External"/><Relationship Id="rId4201" Type="http://schemas.openxmlformats.org/officeDocument/2006/relationships/hyperlink" Target="https://vt.tiktok.com/ZS914R6H3/" TargetMode="External"/><Relationship Id="rId5535" Type="http://schemas.openxmlformats.org/officeDocument/2006/relationships/hyperlink" Target="https://www.tiktok.com/@rkmyng/video/7633791674107301140?_r=1&amp;u_code=d6ekdaheggk4le&amp;region=&amp;mid=7541754702423444230&amp;preview_pb=0&amp;sharer_language=&amp;_d=0&amp;ec_shared_reflux_dynamic_params=%7B%22placeholder_material_id%22%3A%227633791674107301140%22%2C%22placeholder_origin_cover%22%3A%22https%253A%252F%252Fp16-common-sign.tiktokcdn.com%252Ftos-alisg-p-0037%252FoYgIhLTEVCODDwG8geUl34EAIeW4M49r6foAjj~tplv-tiktokx-origin.jpeg%253Fdr%253D14572%2526refresh_token%253D026b48c6%2526x-expires%253D1810202400%2526x-signature%253DidA%25252FJjuh4W7i1kGfEw1PW7YFhvQ%25253D%2526t%253D4d5b0474%2526ps%253D13740610%2526shp%253Dd05b14bd%2526shcp%253D34ff8df6%2526idc%253Dmy2%2526s%253DTIKTOK_AFFILIATE_VIRAL_VIDEO%22%2C%22placeholder_product_id%22%3A%221729427766722726591%22%2C%22placeholder_video_id%22%3A%227633791674107301140%22%7D&amp;ec_shared_reflux_scene=shop_tab_feed&amp;share_item_id=7633791674107301140&amp;source=h5_t" TargetMode="External"/><Relationship Id="rId6866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585" Type="http://schemas.openxmlformats.org/officeDocument/2006/relationships/hyperlink" Target="https://www.tiktok.com/@serra_xera/video/7609913878520007956?is_from_webapp=1&amp;sender_device=pc" TargetMode="External"/><Relationship Id="rId4204" Type="http://schemas.openxmlformats.org/officeDocument/2006/relationships/hyperlink" Target="https://www.tiktok.com/@r_for_revan" TargetMode="External"/><Relationship Id="rId5532" Type="http://schemas.openxmlformats.org/officeDocument/2006/relationships/hyperlink" Target="https://vt.tiktok.com/ZS9Sh4LUQ/" TargetMode="External"/><Relationship Id="rId6863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584" Type="http://schemas.openxmlformats.org/officeDocument/2006/relationships/hyperlink" Target="https://www.tiktok.com/@serra_xera/video/7608449269091011860?is_from_webapp=1&amp;sender_device=pc" TargetMode="External"/><Relationship Id="rId4203" Type="http://schemas.openxmlformats.org/officeDocument/2006/relationships/hyperlink" Target="https://vt.tiktok.com/ZSxShQghP/" TargetMode="External"/><Relationship Id="rId5533" Type="http://schemas.openxmlformats.org/officeDocument/2006/relationships/hyperlink" Target="https://www.tiktok.com/@rkmyng" TargetMode="External"/><Relationship Id="rId6864" Type="http://schemas.openxmlformats.org/officeDocument/2006/relationships/hyperlink" Target="https://www.tiktok.com/@notnotstore_" TargetMode="External"/><Relationship Id="rId5527" Type="http://schemas.openxmlformats.org/officeDocument/2006/relationships/hyperlink" Target="https://vt.tiktok.com/ZS9Sh4LUQ/" TargetMode="External"/><Relationship Id="rId6858" Type="http://schemas.openxmlformats.org/officeDocument/2006/relationships/hyperlink" Target="https://vt.tiktok.com/ZSxfGX3SF/" TargetMode="External"/><Relationship Id="rId5528" Type="http://schemas.openxmlformats.org/officeDocument/2006/relationships/hyperlink" Target="https://www.tiktok.com/@thiaaa93" TargetMode="External"/><Relationship Id="rId6859" Type="http://schemas.openxmlformats.org/officeDocument/2006/relationships/hyperlink" Target="https://www.tiktok.com/@akunkeduaema_" TargetMode="External"/><Relationship Id="rId5525" Type="http://schemas.openxmlformats.org/officeDocument/2006/relationships/hyperlink" Target="https://vt.tiktok.com/ZS9BvQ845/" TargetMode="External"/><Relationship Id="rId6856" Type="http://schemas.openxmlformats.org/officeDocument/2006/relationships/hyperlink" Target="https://vt.tiktok.com/ZS9JHoL3a/" TargetMode="External"/><Relationship Id="rId5526" Type="http://schemas.openxmlformats.org/officeDocument/2006/relationships/hyperlink" Target="https://vt.tiktok.com/ZS9SMWJBS/" TargetMode="External"/><Relationship Id="rId6857" Type="http://schemas.openxmlformats.org/officeDocument/2006/relationships/hyperlink" Target="https://vt.tiktok.com/ZSxguQLfY/" TargetMode="External"/><Relationship Id="rId5529" Type="http://schemas.openxmlformats.org/officeDocument/2006/relationships/hyperlink" Target="https://vt.tiktok.com/ZS9YHXyNm/" TargetMode="External"/><Relationship Id="rId579" Type="http://schemas.openxmlformats.org/officeDocument/2006/relationships/hyperlink" Target="https://www.tiktok.com/@jossone_/video/7619462019133000980?is_from_webapp=1&amp;sender_device=pc&amp;web_id=7611930277489657360" TargetMode="External"/><Relationship Id="rId578" Type="http://schemas.openxmlformats.org/officeDocument/2006/relationships/hyperlink" Target="https://www.tiktok.com/@nurul.aulia.r" TargetMode="External"/><Relationship Id="rId577" Type="http://schemas.openxmlformats.org/officeDocument/2006/relationships/hyperlink" Target="https://vt.tiktok.com/ZSuBSgS2e/" TargetMode="External"/><Relationship Id="rId572" Type="http://schemas.openxmlformats.org/officeDocument/2006/relationships/hyperlink" Target="https://vt.tiktok.com/ZSHF5rjcu/" TargetMode="External"/><Relationship Id="rId6850" Type="http://schemas.openxmlformats.org/officeDocument/2006/relationships/hyperlink" Target="https://www.tiktok.com/@bimaya07" TargetMode="External"/><Relationship Id="rId571" Type="http://schemas.openxmlformats.org/officeDocument/2006/relationships/hyperlink" Target="https://vt.tiktok.com/ZSHFPTq8A/" TargetMode="External"/><Relationship Id="rId5520" Type="http://schemas.openxmlformats.org/officeDocument/2006/relationships/hyperlink" Target="https://vt.tiktok.com/ZS9BvQ845/" TargetMode="External"/><Relationship Id="rId6851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570" Type="http://schemas.openxmlformats.org/officeDocument/2006/relationships/hyperlink" Target="https://vt.tiktok.com/ZSHFPwDQT/" TargetMode="External"/><Relationship Id="rId576" Type="http://schemas.openxmlformats.org/officeDocument/2006/relationships/hyperlink" Target="https://vt.tiktok.com/ZSuBBo8FK/" TargetMode="External"/><Relationship Id="rId5523" Type="http://schemas.openxmlformats.org/officeDocument/2006/relationships/hyperlink" Target="https://www.tiktok.com/@jhstorage" TargetMode="External"/><Relationship Id="rId6854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575" Type="http://schemas.openxmlformats.org/officeDocument/2006/relationships/hyperlink" Target="https://vt.tiktok.com/ZSuBSMj6u/" TargetMode="External"/><Relationship Id="rId5524" Type="http://schemas.openxmlformats.org/officeDocument/2006/relationships/hyperlink" Target="https://vt.tiktok.com/ZS9YHXyNm/" TargetMode="External"/><Relationship Id="rId6855" Type="http://schemas.openxmlformats.org/officeDocument/2006/relationships/hyperlink" Target="https://www.tiktok.com/@lia.racuntiktok" TargetMode="External"/><Relationship Id="rId574" Type="http://schemas.openxmlformats.org/officeDocument/2006/relationships/hyperlink" Target="https://www.tiktok.com/@allfi077/video/7608617759236312340?is_from_webapp=1&amp;sender_device=pc" TargetMode="External"/><Relationship Id="rId5521" Type="http://schemas.openxmlformats.org/officeDocument/2006/relationships/hyperlink" Target="https://vt.tiktok.com/ZS9SMWJBS/" TargetMode="External"/><Relationship Id="rId6852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573" Type="http://schemas.openxmlformats.org/officeDocument/2006/relationships/hyperlink" Target="https://www.tiktok.com/@allfi077" TargetMode="External"/><Relationship Id="rId5522" Type="http://schemas.openxmlformats.org/officeDocument/2006/relationships/hyperlink" Target="https://vt.tiktok.com/ZS9Sh4LUQ/" TargetMode="External"/><Relationship Id="rId6853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4228" Type="http://schemas.openxmlformats.org/officeDocument/2006/relationships/hyperlink" Target="https://vt.tiktok.com/ZSxMkcysV/" TargetMode="External"/><Relationship Id="rId4227" Type="http://schemas.openxmlformats.org/officeDocument/2006/relationships/hyperlink" Target="https://vt.tiktok.com/ZSxrerWsP/" TargetMode="External"/><Relationship Id="rId5558" Type="http://schemas.openxmlformats.org/officeDocument/2006/relationships/hyperlink" Target="https://vt.tiktok.com/ZS9BvQ845/" TargetMode="External"/><Relationship Id="rId6889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4229" Type="http://schemas.openxmlformats.org/officeDocument/2006/relationships/hyperlink" Target="https://www.tiktok.com/@elfayzaaaa" TargetMode="External"/><Relationship Id="rId5559" Type="http://schemas.openxmlformats.org/officeDocument/2006/relationships/hyperlink" Target="https://vt.tiktok.com/ZS9SMWJBS/" TargetMode="External"/><Relationship Id="rId6880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4220" Type="http://schemas.openxmlformats.org/officeDocument/2006/relationships/hyperlink" Target="https://vt.tiktok.com/ZSHs6amuF/" TargetMode="External"/><Relationship Id="rId5552" Type="http://schemas.openxmlformats.org/officeDocument/2006/relationships/hyperlink" Target="https://vt.tiktok.com/ZS9YHXyNm/" TargetMode="External"/><Relationship Id="rId6883" Type="http://schemas.openxmlformats.org/officeDocument/2006/relationships/hyperlink" Target="https://www.tiktok.com/@hadooo27" TargetMode="External"/><Relationship Id="rId5553" Type="http://schemas.openxmlformats.org/officeDocument/2006/relationships/hyperlink" Target="https://vt.tiktok.com/ZS9BvQ845/" TargetMode="External"/><Relationship Id="rId6884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4222" Type="http://schemas.openxmlformats.org/officeDocument/2006/relationships/hyperlink" Target="https://www.tiktok.com/@suka.mcflurryoreo/video/7641510234405604616?_r=1&amp;u_code=dcm37lh9ml3f96&amp;region=&amp;mid=7626253412866886407&amp;preview_pb=0&amp;sharer_language=&amp;_d=0&amp;ec_shared_reflux_dynamic_params=%7B%22placeholder_material_id%22%3A%227641510234405604616%22%2C%22placeholder_origin_cover%22%3A%22https%253A%252F%252Fp16-common-sign.tiktokcdn.com%252Ftos-alisg-p-0037%252FoAf8iMRwBqquQgEkGpNFzEaDBVfgDQRMjycABB~tplv-tiktokx-origin.jpeg%253Fdr%253D14572%2526refresh_token%253D698614d1%2526x-expires%253D1810717200%2526x-signature%253DkOncTcakV229Knc1hqrI3uW3u8k%25253D%2526t%253D4d5b0474%2526ps%253D13740610%2526shp%253Dd05b14bd%2526shcp%253D34ff8df6%2526idc%253Dmy3%2526s%253DTIKTOK_AFFILIATE_VIRAL_VIDEO%22%2C%22placeholder_product_id%22%3A%221729427766722726591%22%2C%22placeholder_video_id%22%3A%227641510234405604616%22%7D&amp;ec_shared_reflux_scene=shop_tab_feed&amp;share_item_id=7641510234405604616&amp;source=h5_t" TargetMode="External"/><Relationship Id="rId5550" Type="http://schemas.openxmlformats.org/officeDocument/2006/relationships/hyperlink" Target="https://vt.tiktok.com/ZS9Sh4LUQ/" TargetMode="External"/><Relationship Id="rId6881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4221" Type="http://schemas.openxmlformats.org/officeDocument/2006/relationships/hyperlink" Target="https://vt.tiktok.com/ZSHWJRfMq/" TargetMode="External"/><Relationship Id="rId5551" Type="http://schemas.openxmlformats.org/officeDocument/2006/relationships/hyperlink" Target="https://www.tiktok.com/@Fwinaa" TargetMode="External"/><Relationship Id="rId6882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4224" Type="http://schemas.openxmlformats.org/officeDocument/2006/relationships/hyperlink" Target="https://www.tiktok.com/@snowhub__" TargetMode="External"/><Relationship Id="rId5556" Type="http://schemas.openxmlformats.org/officeDocument/2006/relationships/hyperlink" Target="https://www.tiktok.com/@itssoyaa24" TargetMode="External"/><Relationship Id="rId6887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4223" Type="http://schemas.openxmlformats.org/officeDocument/2006/relationships/hyperlink" Target="https://vt.tiktok.com/ZSxhEL1fj/" TargetMode="External"/><Relationship Id="rId5557" Type="http://schemas.openxmlformats.org/officeDocument/2006/relationships/hyperlink" Target="https://vt.tiktok.com/ZS9YHXyNm/" TargetMode="External"/><Relationship Id="rId6888" Type="http://schemas.openxmlformats.org/officeDocument/2006/relationships/hyperlink" Target="https://www.tiktok.com/@matchamellowww" TargetMode="External"/><Relationship Id="rId4226" Type="http://schemas.openxmlformats.org/officeDocument/2006/relationships/hyperlink" Target="https://vt.tiktok.com/ZS9NjMExn/" TargetMode="External"/><Relationship Id="rId5554" Type="http://schemas.openxmlformats.org/officeDocument/2006/relationships/hyperlink" Target="https://vt.tiktok.com/ZS9SMWJBS/" TargetMode="External"/><Relationship Id="rId6885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4225" Type="http://schemas.openxmlformats.org/officeDocument/2006/relationships/hyperlink" Target="https://vt.tiktok.com/ZSHwCGW2X/" TargetMode="External"/><Relationship Id="rId5555" Type="http://schemas.openxmlformats.org/officeDocument/2006/relationships/hyperlink" Target="https://vt.tiktok.com/ZS9Sh4LUQ/" TargetMode="External"/><Relationship Id="rId6886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4217" Type="http://schemas.openxmlformats.org/officeDocument/2006/relationships/hyperlink" Target="https://vt.tiktok.com/ZSxrT21xt/" TargetMode="External"/><Relationship Id="rId5549" Type="http://schemas.openxmlformats.org/officeDocument/2006/relationships/hyperlink" Target="https://vt.tiktok.com/ZS9SMWJBS/" TargetMode="External"/><Relationship Id="rId4216" Type="http://schemas.openxmlformats.org/officeDocument/2006/relationships/hyperlink" Target="https://vt.tiktok.com/ZS9eAQfte/" TargetMode="External"/><Relationship Id="rId4219" Type="http://schemas.openxmlformats.org/officeDocument/2006/relationships/hyperlink" Target="https://www.tiktok.com/@srayunggrn" TargetMode="External"/><Relationship Id="rId5547" Type="http://schemas.openxmlformats.org/officeDocument/2006/relationships/hyperlink" Target="https://vt.tiktok.com/ZS9YHXyNm/" TargetMode="External"/><Relationship Id="rId6878" Type="http://schemas.openxmlformats.org/officeDocument/2006/relationships/hyperlink" Target="https://www.tiktok.com/@dai.putrii" TargetMode="External"/><Relationship Id="rId4218" Type="http://schemas.openxmlformats.org/officeDocument/2006/relationships/hyperlink" Target="https://vt.tiktok.com/ZSxrT2Q7X/" TargetMode="External"/><Relationship Id="rId5548" Type="http://schemas.openxmlformats.org/officeDocument/2006/relationships/hyperlink" Target="https://vt.tiktok.com/ZS9BvQ845/" TargetMode="External"/><Relationship Id="rId6879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599" Type="http://schemas.openxmlformats.org/officeDocument/2006/relationships/hyperlink" Target="https://vt.tiktok.com/ZSmoGHrSY/" TargetMode="External"/><Relationship Id="rId594" Type="http://schemas.openxmlformats.org/officeDocument/2006/relationships/hyperlink" Target="https://vt.tiktok.com/ZS9q6W6Cm/" TargetMode="External"/><Relationship Id="rId5541" Type="http://schemas.openxmlformats.org/officeDocument/2006/relationships/hyperlink" Target="https://www.tiktok.com/@Ayiamandaazh" TargetMode="External"/><Relationship Id="rId6872" Type="http://schemas.openxmlformats.org/officeDocument/2006/relationships/hyperlink" Target="https://vt.tiktok.com/ZSxgxw8UX/" TargetMode="External"/><Relationship Id="rId593" Type="http://schemas.openxmlformats.org/officeDocument/2006/relationships/hyperlink" Target="https://vt.tiktok.com/ZS9q6WkPa/" TargetMode="External"/><Relationship Id="rId5542" Type="http://schemas.openxmlformats.org/officeDocument/2006/relationships/hyperlink" Target="https://vt.tiktok.com/ZS9YHXyNm/" TargetMode="External"/><Relationship Id="rId6873" Type="http://schemas.openxmlformats.org/officeDocument/2006/relationships/hyperlink" Target="https://www.tiktok.com/@risachristy15" TargetMode="External"/><Relationship Id="rId592" Type="http://schemas.openxmlformats.org/officeDocument/2006/relationships/hyperlink" Target="https://www.tiktok.com/@chessieyumiko" TargetMode="External"/><Relationship Id="rId4211" Type="http://schemas.openxmlformats.org/officeDocument/2006/relationships/hyperlink" Target="https://vt.tiktok.com/ZS9aJ1B3t/" TargetMode="External"/><Relationship Id="rId6870" Type="http://schemas.openxmlformats.org/officeDocument/2006/relationships/hyperlink" Target="https://www.tiktok.com/@shadowbeauty94/video/7638170743083257106?_r=1&amp;u_code=ea7741h4k28gma&amp;region=&amp;mid=7618434961690970881&amp;preview_pb=0&amp;sharer_language=&amp;_d=0&amp;ec_shared_reflux_dynamic_params=%7B%22placeholder_material_id%22%3A%227638170743083257106%22%2C%22placeholder_origin_cover%22%3A%22https%253A%252F%252Fp16-common-sign.tiktokcdn.com%252Ftos-alisg-p-0037%252FoYAX75BpwDIC9i2AgMc5BYBIuEOrTABkAiJva~tplv-tiktokx-origin.jpeg%253Fdr%253D14572%2526refresh_token%253D2971e64a%2526x-expires%253D1810116000%2526x-signature%253DAwm7Q1gfDH3uIKi29VUBuXP3ha0%25253D%2526t%253D4d5b0474%2526ps%253D13740610%2526shp%253Dd05b14bd%2526shcp%253D34ff8df6%2526idc%253Dmy2%2526s%253DTIKTOK_AFFILIATE_VIRAL_VIDEO%22%2C%22placeholder_product_id%22%3A%221729427766722726591%22%2C%22placeholder_video_id%22%3A%227638170743083257106%22%7D&amp;ec_shared_reflux_scene=shop_tab_feed&amp;share_item_id=7638170743083257106&amp;source=h5_t" TargetMode="External"/><Relationship Id="rId591" Type="http://schemas.openxmlformats.org/officeDocument/2006/relationships/hyperlink" Target="https://vt.tiktok.com/ZS9qMR9Aq/" TargetMode="External"/><Relationship Id="rId4210" Type="http://schemas.openxmlformats.org/officeDocument/2006/relationships/hyperlink" Target="https://vt.tiktok.com/ZSHGQwhaP/" TargetMode="External"/><Relationship Id="rId5540" Type="http://schemas.openxmlformats.org/officeDocument/2006/relationships/hyperlink" Target="https://vt.tiktok.com/ZS9Sh4LUQ/" TargetMode="External"/><Relationship Id="rId6871" Type="http://schemas.openxmlformats.org/officeDocument/2006/relationships/hyperlink" Target="https://www.tiktok.com/@shadowbeauty94/video/7638230278741429522?_r=1&amp;u_code=ea7741h4k28gma&amp;region=&amp;mid=7630404661434664977&amp;preview_pb=0&amp;sharer_language=&amp;_d=0&amp;ec_shared_reflux_dynamic_params=%7B%22placeholder_material_id%22%3A%227638230278741429522%22%2C%22placeholder_origin_cover%22%3A%22https%253A%252F%252Fp16-common-sign.tiktokcdn.com%252Ftos-alisg-p-0037%252FoEXP6BGgwPpEGcIax8BpVBAJiiSFCYBAgIwAO~tplv-tiktokx-origin.jpeg%253Fdr%253D14572%2526refresh_token%253Dd78747c1%2526x-expires%253D1810116000%2526x-signature%253DcTiyyBcqUoYKb1Urwqi6B%25252BPAYao%25253D%2526t%253D4d5b0474%2526ps%253D13740610%2526shp%253Dd05b14bd%2526shcp%253D34ff8df6%2526idc%253Dmy2%2526s%253DTIKTOK_AFFILIATE_VIRAL_VIDEO%22%2C%22placeholder_product_id%22%3A%221729427766722726591%22%2C%22placeholder_video_id%22%3A%227638230278741429522%22%7D&amp;ec_shared_reflux_scene=shop_tab_feed&amp;share_item_id=7638230278741429522&amp;source=h5_t" TargetMode="External"/><Relationship Id="rId598" Type="http://schemas.openxmlformats.org/officeDocument/2006/relationships/hyperlink" Target="https://vt.tiktok.com/ZSmQTxTHh/" TargetMode="External"/><Relationship Id="rId4213" Type="http://schemas.openxmlformats.org/officeDocument/2006/relationships/hyperlink" Target="https://vt.tiktok.com/ZSxrTNckx/" TargetMode="External"/><Relationship Id="rId5545" Type="http://schemas.openxmlformats.org/officeDocument/2006/relationships/hyperlink" Target="https://vt.tiktok.com/ZS9Sh4LUQ/" TargetMode="External"/><Relationship Id="rId6876" Type="http://schemas.openxmlformats.org/officeDocument/2006/relationships/hyperlink" Target="https://vt.tiktok.com/ZSxjJqvN6/" TargetMode="External"/><Relationship Id="rId597" Type="http://schemas.openxmlformats.org/officeDocument/2006/relationships/hyperlink" Target="https://www.tiktok.com/@ndiranavsyari" TargetMode="External"/><Relationship Id="rId4212" Type="http://schemas.openxmlformats.org/officeDocument/2006/relationships/hyperlink" Target="https://vt.tiktok.com/ZSxrTFyBv/" TargetMode="External"/><Relationship Id="rId5546" Type="http://schemas.openxmlformats.org/officeDocument/2006/relationships/hyperlink" Target="https://www.tiktok.com/@nulafeda_" TargetMode="External"/><Relationship Id="rId6877" Type="http://schemas.openxmlformats.org/officeDocument/2006/relationships/hyperlink" Target="https://vt.tiktok.com/ZSxM1FxR9/" TargetMode="External"/><Relationship Id="rId596" Type="http://schemas.openxmlformats.org/officeDocument/2006/relationships/hyperlink" Target="https://vt.tiktok.com/ZS9qM8nkK/" TargetMode="External"/><Relationship Id="rId4215" Type="http://schemas.openxmlformats.org/officeDocument/2006/relationships/hyperlink" Target="https://vt.tiktok.com/ZS9eAoGc7/" TargetMode="External"/><Relationship Id="rId5543" Type="http://schemas.openxmlformats.org/officeDocument/2006/relationships/hyperlink" Target="https://vt.tiktok.com/ZS9BvQ845/" TargetMode="External"/><Relationship Id="rId6874" Type="http://schemas.openxmlformats.org/officeDocument/2006/relationships/hyperlink" Target="https://vt.tiktok.com/ZSxLs1e6a/" TargetMode="External"/><Relationship Id="rId595" Type="http://schemas.openxmlformats.org/officeDocument/2006/relationships/hyperlink" Target="https://vt.tiktok.com/ZS9qMeRmV/" TargetMode="External"/><Relationship Id="rId4214" Type="http://schemas.openxmlformats.org/officeDocument/2006/relationships/hyperlink" Target="https://www.tiktok.com/@Ikanoviar" TargetMode="External"/><Relationship Id="rId5544" Type="http://schemas.openxmlformats.org/officeDocument/2006/relationships/hyperlink" Target="https://vt.tiktok.com/ZS9SMWJBS/" TargetMode="External"/><Relationship Id="rId6875" Type="http://schemas.openxmlformats.org/officeDocument/2006/relationships/hyperlink" Target="https://vt.tiktok.com/ZSxjJrLqY/" TargetMode="External"/><Relationship Id="rId6825" Type="http://schemas.openxmlformats.org/officeDocument/2006/relationships/hyperlink" Target="https://www.tiktok.com/@beautyshsha" TargetMode="External"/><Relationship Id="rId6826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6823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6824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6829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6827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6828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547" Type="http://schemas.openxmlformats.org/officeDocument/2006/relationships/hyperlink" Target="https://www.tiktok.com/@belynabeauty/video/7610696747219717394?is_from_webapp=1&amp;sender_device=pc" TargetMode="External"/><Relationship Id="rId9098" Type="http://schemas.openxmlformats.org/officeDocument/2006/relationships/hyperlink" Target="https://www.tiktok.com/@Claretaratuazzura" TargetMode="External"/><Relationship Id="rId546" Type="http://schemas.openxmlformats.org/officeDocument/2006/relationships/hyperlink" Target="https://www.tiktok.com/@belynabeauty/video/7610696590734494994?is_from_webapp=1&amp;sender_device=pc" TargetMode="External"/><Relationship Id="rId9097" Type="http://schemas.openxmlformats.org/officeDocument/2006/relationships/hyperlink" Target="https://vt.tiktok.com/ZSxppSyMK/" TargetMode="External"/><Relationship Id="rId545" Type="http://schemas.openxmlformats.org/officeDocument/2006/relationships/hyperlink" Target="https://www.tiktok.com/@belynabeauty/video/7610696182377024776?is_from_webapp=1&amp;sender_device=pc" TargetMode="External"/><Relationship Id="rId9096" Type="http://schemas.openxmlformats.org/officeDocument/2006/relationships/hyperlink" Target="https://vt.tiktok.com/ZSxppjWYc/" TargetMode="External"/><Relationship Id="rId544" Type="http://schemas.openxmlformats.org/officeDocument/2006/relationships/hyperlink" Target="https://www.tiktok.com/@belynabeauty/video/7610696007986203912?is_from_webapp=1&amp;sender_device=pc" TargetMode="External"/><Relationship Id="rId9095" Type="http://schemas.openxmlformats.org/officeDocument/2006/relationships/hyperlink" Target="https://www.tiktok.com/@Ve_mhw" TargetMode="External"/><Relationship Id="rId549" Type="http://schemas.openxmlformats.org/officeDocument/2006/relationships/hyperlink" Target="https://vt.tiktok.com/ZSHFP2bVu/" TargetMode="External"/><Relationship Id="rId548" Type="http://schemas.openxmlformats.org/officeDocument/2006/relationships/hyperlink" Target="https://www.tiktok.com/@rdyfaap" TargetMode="External"/><Relationship Id="rId9099" Type="http://schemas.openxmlformats.org/officeDocument/2006/relationships/hyperlink" Target="https://www.tiktok.com/@Naayla11" TargetMode="External"/><Relationship Id="rId543" Type="http://schemas.openxmlformats.org/officeDocument/2006/relationships/hyperlink" Target="https://www.tiktok.com/@belynabeauty" TargetMode="External"/><Relationship Id="rId6821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542" Type="http://schemas.openxmlformats.org/officeDocument/2006/relationships/hyperlink" Target="https://vt.tiktok.com/ZSxQtwc2d/" TargetMode="External"/><Relationship Id="rId6822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541" Type="http://schemas.openxmlformats.org/officeDocument/2006/relationships/hyperlink" Target="https://www.tiktok.com/@nonazawa/video/7630754890830204181?_d=0&amp;_r=1&amp;ec_shared_reflux_dynamic_params=%7B%22placeholder_material_id%22%3A%227630754890830204181%22%2C%22placeholder_origin_cover%22%3A%22https%253A%252F%252Fp16-common-sign.tiktokcdn.com%252Ftos-alisg-p-0037%252FoQzIISFSDMoRn38lDBDAIGyfjRTA4CnIOeE2fq~tplv-tiktokx-origin.jpeg%253Fdr%253D14572%2526refresh_token%253D40287656%2526x-expires%253D1808301600%2526x-signature%253DOtDD%25252FGGp0%25252F3GJgtSSpunyBnVZ6s%25253D%2526t%253D4d5b0474%2526ps%253D13740610%2526shp%253Dd05b14bd%2526shcp%253D34ff8df6%2526idc%253Dmy3%2526s%253DTIKTOK_AFFILIATE_VIRAL_VIDEO%22%2C%22placeholder_product_id%22%3A%221729427766722726591%22%2C%22placeholder_video_id%22%3A%227630754890830204181%22%7D&amp;ec_shared_reflux_scene=shop_tab_feed&amp;mid=7630754952911407893&amp;preview_pb=0&amp;region=&amp;share_item_id=7630754890830204181&amp;sharer_language=&amp;source=h5_t&amp;u_code=d9liaile8494g1" TargetMode="External"/><Relationship Id="rId540" Type="http://schemas.openxmlformats.org/officeDocument/2006/relationships/hyperlink" Target="https://www.tiktok.com/@nonazawa" TargetMode="External"/><Relationship Id="rId6820" Type="http://schemas.openxmlformats.org/officeDocument/2006/relationships/hyperlink" Target="https://www.tiktok.com/@dinarecha_" TargetMode="External"/><Relationship Id="rId6814" Type="http://schemas.openxmlformats.org/officeDocument/2006/relationships/hyperlink" Target="https://vt.tiktok.com/ZS9oMDkoM/" TargetMode="External"/><Relationship Id="rId6815" Type="http://schemas.openxmlformats.org/officeDocument/2006/relationships/hyperlink" Target="https://www.tiktok.com/@alwayzika56" TargetMode="External"/><Relationship Id="rId6812" Type="http://schemas.openxmlformats.org/officeDocument/2006/relationships/hyperlink" Target="https://vt.tiktok.com/ZS9o6vWjL/" TargetMode="External"/><Relationship Id="rId6813" Type="http://schemas.openxmlformats.org/officeDocument/2006/relationships/hyperlink" Target="https://vt.tiktok.com/ZS9o6o8RF/" TargetMode="External"/><Relationship Id="rId6818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6819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6816" Type="http://schemas.openxmlformats.org/officeDocument/2006/relationships/hyperlink" Target="https://www.tiktok.com/@shadowbeauty94/video/7638170743083257106?_r=1&amp;u_code=ea7741h4k28gma&amp;region=&amp;mid=7618434961690970881&amp;preview_pb=0&amp;sharer_language=&amp;_d=0&amp;ec_shared_reflux_dynamic_params=%7B%22placeholder_material_id%22%3A%227638170743083257106%22%2C%22placeholder_origin_cover%22%3A%22https%253A%252F%252Fp16-common-sign.tiktokcdn.com%252Ftos-alisg-p-0037%252FoYAX75BpwDIC9i2AgMc5BYBIuEOrTABkAiJva~tplv-tiktokx-origin.jpeg%253Fdr%253D14572%2526refresh_token%253D2971e64a%2526x-expires%253D1810116000%2526x-signature%253DAwm7Q1gfDH3uIKi29VUBuXP3ha0%25253D%2526t%253D4d5b0474%2526ps%253D13740610%2526shp%253Dd05b14bd%2526shcp%253D34ff8df6%2526idc%253Dmy2%2526s%253DTIKTOK_AFFILIATE_VIRAL_VIDEO%22%2C%22placeholder_product_id%22%3A%221729427766722726591%22%2C%22placeholder_video_id%22%3A%227638170743083257106%22%7D&amp;ec_shared_reflux_scene=shop_tab_feed&amp;share_item_id=7638170743083257106&amp;source=h5_t" TargetMode="External"/><Relationship Id="rId6817" Type="http://schemas.openxmlformats.org/officeDocument/2006/relationships/hyperlink" Target="https://www.tiktok.com/@shadowbeauty94/video/7638230278741429522?_r=1&amp;u_code=ea7741h4k28gma&amp;region=&amp;mid=7630404661434664977&amp;preview_pb=0&amp;sharer_language=&amp;_d=0&amp;ec_shared_reflux_dynamic_params=%7B%22placeholder_material_id%22%3A%227638230278741429522%22%2C%22placeholder_origin_cover%22%3A%22https%253A%252F%252Fp16-common-sign.tiktokcdn.com%252Ftos-alisg-p-0037%252FoEXP6BGgwPpEGcIax8BpVBAJiiSFCYBAgIwAO~tplv-tiktokx-origin.jpeg%253Fdr%253D14572%2526refresh_token%253Dd78747c1%2526x-expires%253D1810116000%2526x-signature%253DcTiyyBcqUoYKb1Urwqi6B%25252BPAYao%25253D%2526t%253D4d5b0474%2526ps%253D13740610%2526shp%253Dd05b14bd%2526shcp%253D34ff8df6%2526idc%253Dmy2%2526s%253DTIKTOK_AFFILIATE_VIRAL_VIDEO%22%2C%22placeholder_product_id%22%3A%221729427766722726591%22%2C%22placeholder_video_id%22%3A%227638230278741429522%22%7D&amp;ec_shared_reflux_scene=shop_tab_feed&amp;share_item_id=7638230278741429522&amp;source=h5_t" TargetMode="External"/><Relationship Id="rId9090" Type="http://schemas.openxmlformats.org/officeDocument/2006/relationships/hyperlink" Target="https://vt.tiktok.com/ZSxTHt8WB/" TargetMode="External"/><Relationship Id="rId9094" Type="http://schemas.openxmlformats.org/officeDocument/2006/relationships/hyperlink" Target="https://vt.tiktok.com/ZSxUUmbHr/" TargetMode="External"/><Relationship Id="rId9093" Type="http://schemas.openxmlformats.org/officeDocument/2006/relationships/hyperlink" Target="https://vt.tiktok.com/ZSxWtYUXp/" TargetMode="External"/><Relationship Id="rId9092" Type="http://schemas.openxmlformats.org/officeDocument/2006/relationships/hyperlink" Target="https://vt.tiktok.com/ZSxWt2RJg/" TargetMode="External"/><Relationship Id="rId9091" Type="http://schemas.openxmlformats.org/officeDocument/2006/relationships/hyperlink" Target="https://www.tiktok.com/@nimadewahyunii" TargetMode="External"/><Relationship Id="rId536" Type="http://schemas.openxmlformats.org/officeDocument/2006/relationships/hyperlink" Target="https://www.tiktok.com/@ani3088/video/7607778135353888007?is_from_webapp=1&amp;sender_device=pc" TargetMode="External"/><Relationship Id="rId9087" Type="http://schemas.openxmlformats.org/officeDocument/2006/relationships/hyperlink" Target="https://vt.tiktok.com/ZSxTsaLt3/" TargetMode="External"/><Relationship Id="rId535" Type="http://schemas.openxmlformats.org/officeDocument/2006/relationships/hyperlink" Target="https://www.tiktok.com/@ani3088" TargetMode="External"/><Relationship Id="rId9086" Type="http://schemas.openxmlformats.org/officeDocument/2006/relationships/hyperlink" Target="https://vt.tiktok.com/ZSxTsfw6q/" TargetMode="External"/><Relationship Id="rId534" Type="http://schemas.openxmlformats.org/officeDocument/2006/relationships/hyperlink" Target="https://vt.tiktok.com/ZSuBBvMe7/" TargetMode="External"/><Relationship Id="rId9085" Type="http://schemas.openxmlformats.org/officeDocument/2006/relationships/hyperlink" Target="https://www.tiktok.com/@zulaikhah881" TargetMode="External"/><Relationship Id="rId533" Type="http://schemas.openxmlformats.org/officeDocument/2006/relationships/hyperlink" Target="https://vt.tiktok.com/ZSmg29j91/" TargetMode="External"/><Relationship Id="rId9084" Type="http://schemas.openxmlformats.org/officeDocument/2006/relationships/hyperlink" Target="https://vt.tiktok.com/ZSxajGbaM/" TargetMode="External"/><Relationship Id="rId539" Type="http://schemas.openxmlformats.org/officeDocument/2006/relationships/hyperlink" Target="https://www.tiktok.com/@ani3088/video/7609173812390759688?is_from_webapp=1&amp;sender_device=pc" TargetMode="External"/><Relationship Id="rId538" Type="http://schemas.openxmlformats.org/officeDocument/2006/relationships/hyperlink" Target="https://www.tiktok.com/@ani3088/video/7608389561823087880?is_from_webapp=1&amp;sender_device=pc" TargetMode="External"/><Relationship Id="rId9089" Type="http://schemas.openxmlformats.org/officeDocument/2006/relationships/hyperlink" Target="https://vt.tiktok.com/ZSxTH6bMx/" TargetMode="External"/><Relationship Id="rId537" Type="http://schemas.openxmlformats.org/officeDocument/2006/relationships/hyperlink" Target="https://www.tiktok.com/@ani3088/video/7608053718113717511?is_from_webapp=1&amp;sender_device=pc" TargetMode="External"/><Relationship Id="rId9088" Type="http://schemas.openxmlformats.org/officeDocument/2006/relationships/hyperlink" Target="https://www.tiktok.com/@fbydnita_" TargetMode="External"/><Relationship Id="rId532" Type="http://schemas.openxmlformats.org/officeDocument/2006/relationships/hyperlink" Target="https://vt.tiktok.com/ZSm5NeFdq/" TargetMode="External"/><Relationship Id="rId6810" Type="http://schemas.openxmlformats.org/officeDocument/2006/relationships/hyperlink" Target="https://www.tiktok.com/@ameliahmusthofa" TargetMode="External"/><Relationship Id="rId531" Type="http://schemas.openxmlformats.org/officeDocument/2006/relationships/hyperlink" Target="https://www.tiktok.com/@maydarafsha/video/7608774616802249992?is_from_webapp=1&amp;sender_device=pc" TargetMode="External"/><Relationship Id="rId6811" Type="http://schemas.openxmlformats.org/officeDocument/2006/relationships/hyperlink" Target="https://vt.tiktok.com/ZS9oMhaP9/" TargetMode="External"/><Relationship Id="rId530" Type="http://schemas.openxmlformats.org/officeDocument/2006/relationships/hyperlink" Target="https://www.tiktok.com/@maydarafsha" TargetMode="External"/><Relationship Id="rId5516" Type="http://schemas.openxmlformats.org/officeDocument/2006/relationships/hyperlink" Target="https://www.tiktok.com/@meamore42/video/7632150795554704647?_r=1&amp;u_code=ee8d791ik7h785&amp;region=&amp;mid=7257475128967400197&amp;preview_pb=0&amp;sharer_language=&amp;_d=0&amp;ec_shared_reflux_dynamic_params=%7B%22placeholder_material_id%22%3A%227632150795554704647%22%2C%22placeholder_origin_cover%22%3A%22https%253A%252F%252Fp16-common-sign.tiktokcdn.com%252Ftos-alisg-p-0037%252FoIIEqFpJtBOwBGDLIfHNrcCgE92Ct6iyfriARM~tplv-tiktokx-origin.jpeg%253Fdr%253D14572%2526refresh_token%253D7e0407a2%2526x-expires%253D1808992800%2526x-signature%253DIMtFtCxvaBaDJj6Et5%25252BeFPOJ7d4%25253D%2526t%253D4d5b0474%2526ps%253D13740610%2526shp%253Dd05b14bd%2526shcp%253D34ff8df6%2526idc%253Dmy2%2526s%253DTIKTOK_AFFILIATE_VIRAL_VIDEO%22%2C%22placeholder_product_id%22%3A%221729427766722726591%22%2C%22placeholder_video_id%22%3A%227632150795554704647%22%7D&amp;ec_shared_reflux_scene=shop_tab_feed&amp;share_item_id=7632150795554704647&amp;source=h5_t" TargetMode="External"/><Relationship Id="rId6847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5517" Type="http://schemas.openxmlformats.org/officeDocument/2006/relationships/hyperlink" Target="https://www.tiktok.com/@meamore42/video/7633681620091931922?_r=1&amp;u_code=ee8d791ik7h785&amp;region=&amp;mid=7627687221567310593&amp;preview_pb=0&amp;sharer_language=&amp;_d=0&amp;ec_shared_reflux_dynamic_params=%7B%22placeholder_material_id%22%3A%227633681620091931922%22%2C%22placeholder_origin_cover%22%3A%22https%253A%252F%252Fp16-common-sign.tiktokcdn.com%252Ftos-alisg-p-0037%252FoUH4GeOLIIvgQQSHoDTALCewQMjJAeiGvDpqh5~tplv-tiktokx-origin.jpeg%253Fdr%253D14572%2526refresh_token%253Db078e9c0%2526x-expires%253D1808992800%2526x-signature%253DCuickUc0iCCc4V5p2bpTCkyyauE%25253D%2526t%253D4d5b0474%2526ps%253D13740610%2526shp%253Dd05b14bd%2526shcp%253D34ff8df6%2526idc%253Dmy2%2526s%253DTIKTOK_AFFILIATE_VIRAL_VIDEO%22%2C%22placeholder_product_id%22%3A%221729427766722726591%22%2C%22placeholder_video_id%22%3A%227633681620091931922%22%7D&amp;ec_shared_reflux_scene=shop_tab_feed&amp;share_item_id=7633681620091931922&amp;source=h5_t" TargetMode="External"/><Relationship Id="rId6848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5514" Type="http://schemas.openxmlformats.org/officeDocument/2006/relationships/hyperlink" Target="https://www.tiktok.com/@meamore42/video/7629254606517865736?_r=1&amp;u_code=ee8d791ik7h785&amp;region=&amp;mid=7620963523808824072&amp;preview_pb=0&amp;sharer_language=&amp;_d=0&amp;ec_shared_reflux_dynamic_params=%7B%22placeholder_material_id%22%3A%227629254606517865736%22%2C%22placeholder_origin_cover%22%3A%22https%253A%252F%252Fp16-common-sign.tiktokcdn.com%252Ftos-alisg-p-0037%252FoERTCgqeIXqLlTjAKARQwqeWj0SEGDCJIevQN4~tplv-tiktokx-origin.jpeg%253Fdr%253D14572%2526refresh_token%253Da360a5c8%2526x-expires%253D1808204400%2526x-signature%253DSx8VU044U%25252BWjmcVUbfQoaxrDuNY%25253D%2526t%253D4d5b0474%2526ps%253D13740610%2526shp%253Dd05b14bd%2526shcp%253D34ff8df6%2526idc%253Dmy3%2526s%253DTIKTOK_AFFILIATE_VIRAL_VIDEO%22%2C%22placeholder_product_id%22%3A%221729427766722726591%22%2C%22placeholder_video_id%22%3A%227629254606517865736%22%7D&amp;ec_shared_reflux_scene=shop_tab_feed&amp;share_item_id=7629254606517865736&amp;source=h5_t" TargetMode="External"/><Relationship Id="rId6845" Type="http://schemas.openxmlformats.org/officeDocument/2006/relationships/hyperlink" Target="https://www.tiktok.com/@ideoutfitmu" TargetMode="External"/><Relationship Id="rId5515" Type="http://schemas.openxmlformats.org/officeDocument/2006/relationships/hyperlink" Target="https://www.tiktok.com/@meamore42/video/7631395374527221000?_r=1&amp;u_code=ee8d791ik7h785&amp;region=&amp;mid=7242034045985852165&amp;preview_pb=0&amp;sharer_language=&amp;_d=0&amp;ec_shared_reflux_dynamic_params=%7B%22placeholder_material_id%22%3A%227631395374527221000%22%2C%22placeholder_origin_cover%22%3A%22https%253A%252F%252Fp16-sign-sg.tiktokcdn.com%252Ftos-alisg-p-0037%252FosIjLoTAF8JOJndoGDIfe0LTNJCCSAewIKIAob~tplv-tiktokx-origin.jpeg%253Fdr%253D14572%2526refresh_token%253D82ab031e%2526x-expires%253D1808474400%2526x-signature%253DytaPNrPtFXR4pr7VTESNI8Zgrj8%25253D%2526t%253D4d5b0474%2526ps%253D13740610%2526shp%253Dd05b14bd%2526shcp%253D34ff8df6%2526idc%253Dmy3%2526s%253DTIKTOK_AFFILIATE_VIRAL_VIDEO%22%2C%22placeholder_product_id%22%3A%221729427766722726591%22%2C%22placeholder_video_id%22%3A%227631395374527221000%22%7D&amp;ec_shared_reflux_scene=shop_tab_feed&amp;share_item_id=7631395374527221000&amp;source=h5_t" TargetMode="External"/><Relationship Id="rId6846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5518" Type="http://schemas.openxmlformats.org/officeDocument/2006/relationships/hyperlink" Target="https://www.tiktok.com/@bbstore25" TargetMode="External"/><Relationship Id="rId6849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5519" Type="http://schemas.openxmlformats.org/officeDocument/2006/relationships/hyperlink" Target="https://vt.tiktok.com/ZS9YHXyNm/" TargetMode="External"/><Relationship Id="rId569" Type="http://schemas.openxmlformats.org/officeDocument/2006/relationships/hyperlink" Target="https://vt.tiktok.com/ZSHFPQv1m/" TargetMode="External"/><Relationship Id="rId568" Type="http://schemas.openxmlformats.org/officeDocument/2006/relationships/hyperlink" Target="https://www.tiktok.com/@fiska_septiana" TargetMode="External"/><Relationship Id="rId567" Type="http://schemas.openxmlformats.org/officeDocument/2006/relationships/hyperlink" Target="https://www.tiktok.com/@amayrzki/video/7607067004817722632" TargetMode="External"/><Relationship Id="rId566" Type="http://schemas.openxmlformats.org/officeDocument/2006/relationships/hyperlink" Target="https://www.tiktok.com/@amayrzki/video/7607066391509880071" TargetMode="External"/><Relationship Id="rId561" Type="http://schemas.openxmlformats.org/officeDocument/2006/relationships/hyperlink" Target="https://www.tiktok.com/@ikkenovi18/video/7606267908636937480?is_from_webapp=1&amp;sender_device=pc" TargetMode="External"/><Relationship Id="rId560" Type="http://schemas.openxmlformats.org/officeDocument/2006/relationships/hyperlink" Target="https://www.tiktok.com/@ikkenovi18/video/7606166102640512274?is_from_webapp=1&amp;sender_device=pc" TargetMode="External"/><Relationship Id="rId6840" Type="http://schemas.openxmlformats.org/officeDocument/2006/relationships/hyperlink" Target="https://www.tiktok.com/@salwasauda" TargetMode="External"/><Relationship Id="rId565" Type="http://schemas.openxmlformats.org/officeDocument/2006/relationships/hyperlink" Target="https://www.tiktok.com/@amayrzki/video/7607065560047979784" TargetMode="External"/><Relationship Id="rId5512" Type="http://schemas.openxmlformats.org/officeDocument/2006/relationships/hyperlink" Target="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2placeholder_origin_cover%22%3A%22https%253A%252F%252Fp16-common-sign.tiktokcdn.com%252Ftos-alisg-p-0037%252FoUuBHHkyiYpBIniw13iAqZDfTM5IAsCAAIAPgs~tplv-tiktokx-origin.jpeg%253Fdr%253D14572%2526refresh_token%253Dbd98b4e8%2526x-expires%253D1810119600%2526x-signature%253D4ymN%25252FNt9xmXXRBWN2LbZU1X3HMw%25253D%2526t%253D4d5b0474%2526ps%253D13740610%2526shp%253Dd05b14bd%2526shcp%253D34ff8df6%2526idc%253Dmy2%2526s%253DTIKTOK_AFFILIATE_VIRAL_VIDEO%22%2C%22placeholder_product_id%22%3A%221729427766722726591%22%2C%22placeholder_video_id%22%3A%227638217623351627026%22%7D&amp;ec_shared_reflux_scene=shop_tab_feed&amp;share_item_id=7638217623351627026&amp;source=h5_t" TargetMode="External"/><Relationship Id="rId6843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564" Type="http://schemas.openxmlformats.org/officeDocument/2006/relationships/hyperlink" Target="https://www.tiktok.com/@amayrzki/video/7607064592925068551" TargetMode="External"/><Relationship Id="rId5513" Type="http://schemas.openxmlformats.org/officeDocument/2006/relationships/hyperlink" Target="https://www.tiktok.com/@wijayasehatapotek" TargetMode="External"/><Relationship Id="rId6844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563" Type="http://schemas.openxmlformats.org/officeDocument/2006/relationships/hyperlink" Target="https://www.tiktok.com/@amayrzki" TargetMode="External"/><Relationship Id="rId5510" Type="http://schemas.openxmlformats.org/officeDocument/2006/relationships/hyperlink" Target="https://vt.tiktok.com/ZS9DaWTPj/" TargetMode="External"/><Relationship Id="rId6841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562" Type="http://schemas.openxmlformats.org/officeDocument/2006/relationships/hyperlink" Target="https://www.tiktok.com/@ikkenovi18/video/7608032759923166482?is_from_webapp=1&amp;sender_device=pc" TargetMode="External"/><Relationship Id="rId5511" Type="http://schemas.openxmlformats.org/officeDocument/2006/relationships/hyperlink" Target="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2placeholder_origin_cover%22%3A%22https%253A%252F%252Fp16-common-sign.tiktokcdn.com%252Ftos-alisg-p-0037%252Fo8d8IW8cAaJj2MregAKDPXOOueQI2Te4ADCxg3~tplv-tiktokx-origin.jpeg%253Fdr%253D14572%2526refresh_token%253D6c3e7766%2526x-expires%253D1808992800%2526x-signature%253DGcJYh6Ejxyo84p5AL1hv6HNVj24%25253D%2526t%253D4d5b0474%2526ps%253D13740610%2526shp%253Dd05b14bd%2526shcp%253D34ff8df6%2526idc%253Dmy2%2526s%253DTIKTOK_AFFILIATE_VIRAL_VIDEO%22%2C%22placeholder_product_id%22%3A%221729427766722726591%22%2C%22placeholder_video_id%22%3A%227632557264032861447%22%7D&amp;ec_shared_reflux_scene=shop_tab_feed&amp;share_item_id=7632557264032861447&amp;source=h5_t" TargetMode="External"/><Relationship Id="rId6842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5505" Type="http://schemas.openxmlformats.org/officeDocument/2006/relationships/hyperlink" Target="https://www.tiktok.com/@beauty.iidd/video/7632894757135453458?_d=0&amp;_r=1&amp;ec_shared_reflux_dynamic_params=%7B%22placeholder_material_id%22%3A%227632894757135453458%22%2C%22placeholder_origin_cover%22%3A%22https%253A%252F%252Fp19-common-sign.tiktokcdn.com%252Ftos-alisg-p-0037%252FoYQsap7EDBX9XgRNgcQAPFEB1fDip7ADDfYBWc~tplv-tiktokx-origin.jpeg%253Fdr%253D14572%2526refresh_token%253D7b65af0f%2526x-expires%253D1808992800%2526x-signature%253DMpUvd7PEPpWgSM5AmWNSJSZgFXI%25253D%2526t%253D4d5b0474%2526ps%253D13740610%2526shp%253Dd05b14bd%2526shcp%253D34ff8df6%2526idc%253Dmy2%2526s%253DTIKTOK_AFFILIATE_VIRAL_VIDEO%22%2C%22placeholder_product_id%22%3A%221729427766722726591%22%2C%22placeholder_video_id%22%3A%227632894757135453458%22%7D&amp;ec_shared_reflux_scene=shop_tab_feed&amp;mid=7624312772448357140&amp;preview_pb=0&amp;region=&amp;share_item_id=7632894757135453458&amp;sharer_language=&amp;source=h5_t&amp;u_code=ebjf03139m95gf" TargetMode="External"/><Relationship Id="rId6836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5506" Type="http://schemas.openxmlformats.org/officeDocument/2006/relationships/hyperlink" Target="https://www.tiktok.com/@beauty.iidd/video/7633701589638712583?_r=1&amp;u_code=ebjf03139m95gf&amp;region=&amp;mid=7608559003840400145&amp;preview_pb=0&amp;sharer_language=&amp;_d=0&amp;ec_shared_reflux_dynamic_params=%7B%22placeholder_material_id%22%3A%227633701589638712583%22%2C%22placeholder_origin_cover%22%3A%22https%253A%252F%252Fp16-common-sign.tiktokcdn.com%252Ftos-alisg-p-0037%252FosEcFZIgciAF2EFWn4R278fywsDTBBvIfAypTw~tplv-tiktokx-origin.jpeg%253Fdr%253D14572%2526refresh_token%253D5e301e26%2526x-expires%253D1808992800%2526x-signature%253D4PfOlDYRzB5WK%25252B9i8utb4dHmsMI%25253D%2526t%253D4d5b0474%2526ps%253D13740610%2526shp%253Dd05b14bd%2526shcp%253D34ff8df6%2526idc%253Dmy2%2526s%253DTIKTOK_AFFILIATE_VIRAL_VIDEO%22%2C%22placeholder_product_id%22%3A%221729427766722726591%22%2C%22placeholder_video_id%22%3A%227633701589638712583%22%7D&amp;ec_shared_reflux_scene=shop_tab_feed&amp;share_item_id=7633701589638712583&amp;source=h5_t" TargetMode="External"/><Relationship Id="rId6837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5503" Type="http://schemas.openxmlformats.org/officeDocument/2006/relationships/hyperlink" Target="https://www.tiktok.com/@udegirsang" TargetMode="External"/><Relationship Id="rId6834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5504" Type="http://schemas.openxmlformats.org/officeDocument/2006/relationships/hyperlink" Target="https://www.tiktok.com/@beauty.iidd/video/7632143785799060743?_r=1&amp;u_code=ebjf03139m95gf&amp;region=&amp;mid=7626624902267439888&amp;preview_pb=0&amp;sharer_language=&amp;_d=0&amp;ec_shared_reflux_dynamic_params=%7B%22placeholder_material_id%22%3A%227632143785799060743%22%2C%22placeholder_origin_cover%22%3A%22https%253A%252F%252Fp16-common-sign.tiktokcdn.com%252Ftos-alisg-p-0037%252FokmJeBcDpBphBmmFE5ZtpAQSEBWVf6jgwRQMPO~tplv-tiktokx-origin.jpeg%253Fdr%253D14572%2526refresh_token%253D2f7fcb5a%2526x-expires%253D1808992800%2526x-signature%253DsHAtfPj0XszWVxp56oxBHmoRw24%25253D%2526t%253D4d5b0474%2526ps%253D13740610%2526shp%253Dd05b14bd%2526shcp%253D34ff8df6%2526idc%253Dmy2%2526s%253DTIKTOK_AFFILIATE_VIRAL_VIDEO%22%2C%22placeholder_product_id%22%3A%221729427766722726591%22%2C%22placeholder_video_id%22%3A%227632143785799060743%22%7D&amp;ec_shared_reflux_scene=shop_tab_feed&amp;share_item_id=7632143785799060743&amp;source=h5_t" TargetMode="External"/><Relationship Id="rId6835" Type="http://schemas.openxmlformats.org/officeDocument/2006/relationships/hyperlink" Target="https://www.tiktok.com/@irma.wtii" TargetMode="External"/><Relationship Id="rId5509" Type="http://schemas.openxmlformats.org/officeDocument/2006/relationships/hyperlink" Target="https://vt.tiktok.com/ZS9DasLp4/" TargetMode="External"/><Relationship Id="rId5507" Type="http://schemas.openxmlformats.org/officeDocument/2006/relationships/hyperlink" Target="https://vt.tiktok.com/ZS9xsS9BT/" TargetMode="External"/><Relationship Id="rId6838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5508" Type="http://schemas.openxmlformats.org/officeDocument/2006/relationships/hyperlink" Target="https://www.tiktok.com/@rskinaputri" TargetMode="External"/><Relationship Id="rId6839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558" Type="http://schemas.openxmlformats.org/officeDocument/2006/relationships/hyperlink" Target="https://www.tiktok.com/@silkyheart_" TargetMode="External"/><Relationship Id="rId557" Type="http://schemas.openxmlformats.org/officeDocument/2006/relationships/hyperlink" Target="https://www.tiktok.com/@arjjsevv25/video/7620066497922206996?_r=1&amp;u_code=dd457d9l8blhld&amp;region=&amp;mid=7620066536855161618&amp;preview_pb=0&amp;sharer_language=&amp;_d=0&amp;ec_shared_reflux_dynamic_params=%7B%22placeholder_material_id%22%3A%227620066497922206996%22%2C%22placeholder_origin_cover%22%3A%22https%253A%252F%252Fp16-sign-sg.tiktokcdn.com%252Ftos-alisg-p-0037%252FoswCfGWGrQH0R6zGEmeATjDoFbfBAFi8VQRfqH~tplv-tiktokx-origin.jpeg%253Fdr%253D14572%2526refresh_token%253D63ca39d0%2526x-expires%253D1806051600%2526x-signature%253Dw0gOZth57j655hXQYeoTk3mlkAA%25253D%2526t%253D4d5b0474%2526ps%253D13740610%2526shp%253Dd05b14bd%2526shcp%253D34ff8df6%2526idc%253Dmy2%2526s%253DTIKTOK_AFFILIATE_VIRAL_VIDEO%22%2C%22placeholder_product_id%22%3A%221729427766722726591%22%2C%22placeholder_video_id%22%3A%227620066497922206996%22%7D&amp;ec_shared_reflux_scene=shop_tab_feed&amp;share_item_id=7620066497922206996&amp;source=h5_t" TargetMode="External"/><Relationship Id="rId556" Type="http://schemas.openxmlformats.org/officeDocument/2006/relationships/hyperlink" Target="https://www.tiktok.com/@arjjsevv25/video/7614423684291333396?is_from_webapp=1&amp;sender_device=pc" TargetMode="External"/><Relationship Id="rId555" Type="http://schemas.openxmlformats.org/officeDocument/2006/relationships/hyperlink" Target="https://www.tiktok.com/@arjjsevv25/video/7612134874085936404?is_from_webapp=1&amp;sender_device=pc" TargetMode="External"/><Relationship Id="rId559" Type="http://schemas.openxmlformats.org/officeDocument/2006/relationships/hyperlink" Target="https://www.tiktok.com/@ikkenovi18/video/7606175527128567058?is_from_webapp=1&amp;sender_device=pc" TargetMode="External"/><Relationship Id="rId550" Type="http://schemas.openxmlformats.org/officeDocument/2006/relationships/hyperlink" Target="https://vt.tiktok.com/ZSHFP5MRR/" TargetMode="External"/><Relationship Id="rId554" Type="http://schemas.openxmlformats.org/officeDocument/2006/relationships/hyperlink" Target="https://www.tiktok.com/@arjjsevv25/video/7609569294392790292?is_from_webapp=1&amp;sender_device=pc" TargetMode="External"/><Relationship Id="rId5501" Type="http://schemas.openxmlformats.org/officeDocument/2006/relationships/hyperlink" Target="https://www.tiktok.com/@meamore42/video/7632150795554704647?_r=1&amp;u_code=ee8d791ik7h785&amp;region=&amp;mid=7257475128967400197&amp;preview_pb=0&amp;sharer_language=&amp;_d=0&amp;ec_shared_reflux_dynamic_params=%7B%22placeholder_material_id%22%3A%227632150795554704647%22%2C%22placeholder_origin_cover%22%3A%22https%253A%252F%252Fp16-common-sign.tiktokcdn.com%252Ftos-alisg-p-0037%252FoIIEqFpJtBOwBGDLIfHNrcCgE92Ct6iyfriARM~tplv-tiktokx-origin.jpeg%253Fdr%253D14572%2526refresh_token%253D7e0407a2%2526x-expires%253D1808992800%2526x-signature%253DIMtFtCxvaBaDJj6Et5%25252BeFPOJ7d4%25253D%2526t%253D4d5b0474%2526ps%253D13740610%2526shp%253Dd05b14bd%2526shcp%253D34ff8df6%2526idc%253Dmy2%2526s%253DTIKTOK_AFFILIATE_VIRAL_VIDEO%22%2C%22placeholder_product_id%22%3A%221729427766722726591%22%2C%22placeholder_video_id%22%3A%227632150795554704647%22%7D&amp;ec_shared_reflux_scene=shop_tab_feed&amp;share_item_id=7632150795554704647&amp;source=h5_t" TargetMode="External"/><Relationship Id="rId6832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553" Type="http://schemas.openxmlformats.org/officeDocument/2006/relationships/hyperlink" Target="https://www.tiktok.com/@arjjsevv25" TargetMode="External"/><Relationship Id="rId5502" Type="http://schemas.openxmlformats.org/officeDocument/2006/relationships/hyperlink" Target="https://www.tiktok.com/@meamore42/video/7633681620091931922?_r=1&amp;u_code=ee8d791ik7h785&amp;region=&amp;mid=7627687221567310593&amp;preview_pb=0&amp;sharer_language=&amp;_d=0&amp;ec_shared_reflux_dynamic_params=%7B%22placeholder_material_id%22%3A%227633681620091931922%22%2C%22placeholder_origin_cover%22%3A%22https%253A%252F%252Fp16-common-sign.tiktokcdn.com%252Ftos-alisg-p-0037%252FoUH4GeOLIIvgQQSHoDTALCewQMjJAeiGvDpqh5~tplv-tiktokx-origin.jpeg%253Fdr%253D14572%2526refresh_token%253Db078e9c0%2526x-expires%253D1808992800%2526x-signature%253DCuickUc0iCCc4V5p2bpTCkyyauE%25253D%2526t%253D4d5b0474%2526ps%253D13740610%2526shp%253Dd05b14bd%2526shcp%253D34ff8df6%2526idc%253Dmy2%2526s%253DTIKTOK_AFFILIATE_VIRAL_VIDEO%22%2C%22placeholder_product_id%22%3A%221729427766722726591%22%2C%22placeholder_video_id%22%3A%227633681620091931922%22%7D&amp;ec_shared_reflux_scene=shop_tab_feed&amp;share_item_id=7633681620091931922&amp;source=h5_t" TargetMode="External"/><Relationship Id="rId6833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552" Type="http://schemas.openxmlformats.org/officeDocument/2006/relationships/hyperlink" Target="https://vt.tiktok.com/ZSHFPnvwo/" TargetMode="External"/><Relationship Id="rId6830" Type="http://schemas.openxmlformats.org/officeDocument/2006/relationships/hyperlink" Target="https://www.tiktok.com/@spillbycill" TargetMode="External"/><Relationship Id="rId551" Type="http://schemas.openxmlformats.org/officeDocument/2006/relationships/hyperlink" Target="https://vt.tiktok.com/ZSHFPavfS/" TargetMode="External"/><Relationship Id="rId5500" Type="http://schemas.openxmlformats.org/officeDocument/2006/relationships/hyperlink" Target="https://www.tiktok.com/@meamore42/video/7631395374527221000?_r=1&amp;u_code=ee8d791ik7h785&amp;region=&amp;mid=7242034045985852165&amp;preview_pb=0&amp;sharer_language=&amp;_d=0&amp;ec_shared_reflux_dynamic_params=%7B%22placeholder_material_id%22%3A%227631395374527221000%22%2C%22placeholder_origin_cover%22%3A%22https%253A%252F%252Fp16-sign-sg.tiktokcdn.com%252Ftos-alisg-p-0037%252FosIjLoTAF8JOJndoGDIfe0LTNJCCSAewIKIAob~tplv-tiktokx-origin.jpeg%253Fdr%253D14572%2526refresh_token%253D82ab031e%2526x-expires%253D1808474400%2526x-signature%253DytaPNrPtFXR4pr7VTESNI8Zgrj8%25253D%2526t%253D4d5b0474%2526ps%253D13740610%2526shp%253Dd05b14bd%2526shcp%253D34ff8df6%2526idc%253Dmy3%2526s%253DTIKTOK_AFFILIATE_VIRAL_VIDEO%22%2C%22placeholder_product_id%22%3A%221729427766722726591%22%2C%22placeholder_video_id%22%3A%227631395374527221000%22%7D&amp;ec_shared_reflux_scene=shop_tab_feed&amp;share_item_id=7631395374527221000&amp;source=h5_t" TargetMode="External"/><Relationship Id="rId6831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4280" Type="http://schemas.openxmlformats.org/officeDocument/2006/relationships/hyperlink" Target="https://vt.tiktok.com/ZSHWusw59/" TargetMode="External"/><Relationship Id="rId4282" Type="http://schemas.openxmlformats.org/officeDocument/2006/relationships/hyperlink" Target="https://www.tiktok.com/@racun_spalspil12/video/7634536641243221268?_r=1&amp;u_code=cllj6j6aidf05b&amp;region=&amp;mid=7538747777314785296&amp;preview_pb=0&amp;sharer_language=&amp;_d=0&amp;ec_shared_reflux_dynamic_params=%7B%22placeholder_material_id%22%3A%227634536641243221268%22%2C%22placeholder_origin_cover%22%3A%22https%253A%252F%252Fp16-common-sign.tiktokcdn.com%252Ftos-alisg-p-0037%252FocDLzqfJBuf1pF5EX4hBAMcnE8IBUIRgRFTHgK~tplv-tiktokx-origin.jpeg%253Fdr%253D14572%2526refresh_token%253D7ada03e5%2526x-expires%253D1810720800%2526x-signature%253DOyFJxR5Ug%25252BI8L52P6clFX1N7QAw%25253D%2526t%253D4d5b0474%2526ps%253D13740610%2526shp%253Dd05b14bd%2526shcp%253D34ff8df6%2526idc%253Dmy3%2526s%253DTIKTOK_AFFILIATE_VIRAL_VIDEO%22%2C%22placeholder_product_id%22%3A%221729729730555512511%22%2C%22placeholder_video_id%22%3A%227634536641243221268%22%7D&amp;ec_shared_reflux_scene=shop_tab_feed&amp;share_item_id=7634536641243221268&amp;source=h5_t" TargetMode="External"/><Relationship Id="rId4281" Type="http://schemas.openxmlformats.org/officeDocument/2006/relationships/hyperlink" Target="https://vt.tiktok.com/ZSHWHMuoa/" TargetMode="External"/><Relationship Id="rId4284" Type="http://schemas.openxmlformats.org/officeDocument/2006/relationships/hyperlink" Target="https://www.tiktok.com/@happyshopping.96" TargetMode="External"/><Relationship Id="rId4283" Type="http://schemas.openxmlformats.org/officeDocument/2006/relationships/hyperlink" Target="https://www.tiktok.com/@racun_spalspil12/video/7634537710018907413?_r=1&amp;u_code=cllj6j6aidf05b&amp;region=&amp;mid=7624353502927604487&amp;preview_pb=0&amp;sharer_language=&amp;_d=0&amp;ec_shared_reflux_dynamic_params=%7B%22placeholder_material_id%22%3A%227634537710018907413%22%2C%22placeholder_origin_cover%22%3A%22https%253A%252F%252Fp16-common-sign.tiktokcdn.com%252Ftos-alisg-p-0037%252FoEfVg4IGfqeDyhAGUTqzIJEg6KLYJjA5TxCuhA~tplv-tiktokx-origin.jpeg%253Fdr%253D14572%2526refresh_token%253D746153a4%2526x-expires%253D1810720800%2526x-signature%253DDEaiToNS6lsp5eSOBqUII1f9eoo%25253D%2526t%253D4d5b0474%2526ps%253D13740610%2526shp%253Dd05b14bd%2526shcp%253D34ff8df6%2526idc%253Dmy3%2526s%253DTIKTOK_AFFILIATE_VIRAL_VIDEO%22%2C%22placeholder_product_id%22%3A%221729729730555512511%22%2C%22placeholder_video_id%22%3A%227634537710018907413%22%7D&amp;ec_shared_reflux_scene=shop_tab_feed&amp;share_item_id=7634537710018907413&amp;source=h5_t" TargetMode="External"/><Relationship Id="rId4286" Type="http://schemas.openxmlformats.org/officeDocument/2006/relationships/hyperlink" Target="https://vt.tiktok.com/ZSHwwaNnS/" TargetMode="External"/><Relationship Id="rId4285" Type="http://schemas.openxmlformats.org/officeDocument/2006/relationships/hyperlink" Target="https://vt.tiktok.com/ZSHTLRrJk/" TargetMode="External"/><Relationship Id="rId4288" Type="http://schemas.openxmlformats.org/officeDocument/2006/relationships/hyperlink" Target="https://www.tiktok.com/@racun_spalspil12/video/7634538878317251861?_r=1&amp;u_code=cllj6j6aidf05b&amp;region=&amp;mid=7622622325444545300&amp;preview_pb=0&amp;sharer_language=&amp;_d=0&amp;ec_shared_reflux_dynamic_params=%7B%22placeholder_material_id%22%3A%227634538878317251861%22%2C%22placeholder_origin_cover%22%3A%22https%253A%252F%252Fp16-common-sign.tiktokcdn.com%252Ftos-alisg-p-0037%252FogxRBBcDpBV3klsFEqh1RAIfEBvzf8XggRILD2~tplv-tiktokx-origin.jpeg%253Fdr%253D14572%2526refresh_token%253De61a3036%2526x-expires%253D1810720800%2526x-signature%253D96X%25252BueKneTIc5sPEIdbBkFL9%25252FGM%25253D%2526t%253D4d5b0474%2526ps%253D13740610%2526shp%253Dd05b14bd%2526shcp%253D34ff8df6%2526idc%253Dmy3%2526s%253DTIKTOK_AFFILIATE_VIRAL_VIDEO%22%2C%22placeholder_product_id%22%3A%221729729730555512511%22%2C%22placeholder_video_id%22%3A%227634538878317251861%22%7D&amp;ec_shared_reflux_scene=shop_tab_feed&amp;share_item_id=7634538878317251861&amp;source=h5_t" TargetMode="External"/><Relationship Id="rId4287" Type="http://schemas.openxmlformats.org/officeDocument/2006/relationships/hyperlink" Target="https://www.tiktok.com/@racun_spalspil12/video/7634538057345027349?_r=1&amp;u_code=cllj6j6aidf05b&amp;region=&amp;mid=7626899689086520072&amp;preview_pb=0&amp;sharer_language=&amp;_d=0&amp;ec_shared_reflux_dynamic_params=%7B%22placeholder_material_id%22%3A%227634538057345027349%22%2C%22placeholder_origin_cover%22%3A%22https%253A%252F%252Fp16-common-sign.tiktokcdn.com%252Ftos-alisg-p-0037%252FocPISpWfQrzI4r5CemTGeDWjdnALF0qAHcbTQU~tplv-tiktokx-origin.jpeg%253Fdr%253D14572%2526refresh_token%253D24a79ec8%2526x-expires%253D1810720800%2526x-signature%253DZ1SwXdQ1bI8vmxLCCWuRBsAQV2w%25253D%2526t%253D4d5b0474%2526ps%253D13740610%2526shp%253Dd05b14bd%2526shcp%253D34ff8df6%2526idc%253Dmy3%2526s%253DTIKTOK_AFFILIATE_VIRAL_VIDEO%22%2C%22placeholder_product_id%22%3A%221729729730555512511%22%2C%22placeholder_video_id%22%3A%227634538057345027349%22%7D&amp;ec_shared_reflux_scene=shop_tab_feed&amp;share_item_id=7634538057345027349&amp;source=h5_t" TargetMode="External"/><Relationship Id="rId4289" Type="http://schemas.openxmlformats.org/officeDocument/2006/relationships/hyperlink" Target="https://www.tiktok.com/@Putrilotus22" TargetMode="External"/><Relationship Id="rId4271" Type="http://schemas.openxmlformats.org/officeDocument/2006/relationships/hyperlink" Target="https://vt.tiktok.com/ZS9hc4eYr/" TargetMode="External"/><Relationship Id="rId4270" Type="http://schemas.openxmlformats.org/officeDocument/2006/relationships/hyperlink" Target="https://vt.tiktok.com/ZS9hKfnDj/" TargetMode="External"/><Relationship Id="rId4273" Type="http://schemas.openxmlformats.org/officeDocument/2006/relationships/hyperlink" Target="https://www.tiktok.com/@kakaklin_/video/7636304353682394376" TargetMode="External"/><Relationship Id="rId4272" Type="http://schemas.openxmlformats.org/officeDocument/2006/relationships/hyperlink" Target="https://www.tiktok.com/@kakaklin_/video/7635307563763944712" TargetMode="External"/><Relationship Id="rId4275" Type="http://schemas.openxmlformats.org/officeDocument/2006/relationships/hyperlink" Target="https://vt.tiktok.com/ZSHtM4kBp/" TargetMode="External"/><Relationship Id="rId4274" Type="http://schemas.openxmlformats.org/officeDocument/2006/relationships/hyperlink" Target="https://www.tiktok.com/@Alby200504" TargetMode="External"/><Relationship Id="rId4277" Type="http://schemas.openxmlformats.org/officeDocument/2006/relationships/hyperlink" Target="https://www.tiktok.com/@kakaklin_/video/7636564643028159752" TargetMode="External"/><Relationship Id="rId4276" Type="http://schemas.openxmlformats.org/officeDocument/2006/relationships/hyperlink" Target="https://vt.tiktok.com/ZSHtUpcBj/" TargetMode="External"/><Relationship Id="rId4279" Type="http://schemas.openxmlformats.org/officeDocument/2006/relationships/hyperlink" Target="https://www.tiktok.com/@kaex.oe" TargetMode="External"/><Relationship Id="rId4278" Type="http://schemas.openxmlformats.org/officeDocument/2006/relationships/hyperlink" Target="https://www.tiktok.com/@kakaklin_/video/7636669570077560071" TargetMode="External"/><Relationship Id="rId4291" Type="http://schemas.openxmlformats.org/officeDocument/2006/relationships/hyperlink" Target="https://vt.tiktok.com/ZSH7chy4C/" TargetMode="External"/><Relationship Id="rId4290" Type="http://schemas.openxmlformats.org/officeDocument/2006/relationships/hyperlink" Target="https://vt.tiktok.com/ZSH7vQvTR/" TargetMode="External"/><Relationship Id="rId4293" Type="http://schemas.openxmlformats.org/officeDocument/2006/relationships/hyperlink" Target="https://www.tiktok.com/@racun_spalspil12/video/7634539515155107093?_r=1&amp;u_code=cllj6j6aidf05b&amp;region=&amp;mid=7604473397582940177&amp;preview_pb=0&amp;sharer_language=&amp;_d=0&amp;ec_shared_reflux_dynamic_params=%7B%22placeholder_material_id%22%3A%227634539515155107093%22%2C%22placeholder_origin_cover%22%3A%22https%253A%252F%252Fp16-common-sign.tiktokcdn.com%252Ftos-alisg-p-0037%252FowuWASvBuI83Ix0CmVKI3fXNzAUAjiVriCMKIw~tplv-tiktokx-origin.jpeg%253Fdr%253D14572%2526refresh_token%253D9281479b%2526x-expires%253D1810720800%2526x-signature%253DzfFD2He3NN00RrT7pOW7SSjKVC8%25253D%2526t%253D4d5b0474%2526ps%253D13740610%2526shp%253Dd05b14bd%2526shcp%253D34ff8df6%2526idc%253Dmy3%2526s%253DTIKTOK_AFFILIATE_VIRAL_VIDEO%22%2C%22placeholder_product_id%22%3A%221729729730555512511%22%2C%22placeholder_video_id%22%3A%227634539515155107093%22%7D&amp;ec_shared_reflux_scene=shop_tab_feed&amp;share_item_id=7634539515155107093&amp;source=h5_t" TargetMode="External"/><Relationship Id="rId4292" Type="http://schemas.openxmlformats.org/officeDocument/2006/relationships/hyperlink" Target="https://www.tiktok.com/@racun_spalspil12/video/7634538432206834965?_r=1&amp;u_code=cllj6j6aidf05b&amp;region=&amp;mid=7622900823151889172&amp;preview_pb=0&amp;sharer_language=&amp;_d=0&amp;ec_shared_reflux_dynamic_params=%7B%22placeholder_material_id%22%3A%227634538432206834965%22%2C%22placeholder_origin_cover%22%3A%22https%253A%252F%252Fp16-common-sign.tiktokcdn.com%252Ftos-alisg-p-0037%252FowGQCDcDpBVnDiEFExo1nAQMEB9zf8kgURQEfX~tplv-tiktokx-origin.jpeg%253Fdr%253D14572%2526refresh_token%253D0fcaa1a2%2526x-expires%253D1810720800%2526x-signature%253DgqOMZROx3xIf7QIlrf2Vykbcehk%25253D%2526t%253D4d5b0474%2526ps%253D13740610%2526shp%253Dd05b14bd%2526shcp%253D34ff8df6%2526idc%253Dmy3%2526s%253DTIKTOK_AFFILIATE_VIRAL_VIDEO%22%2C%22placeholder_product_id%22%3A%221729729730555512511%22%2C%22placeholder_video_id%22%3A%227634538432206834965%22%7D&amp;ec_shared_reflux_scene=shop_tab_feed&amp;share_item_id=7634538432206834965&amp;source=h5_t" TargetMode="External"/><Relationship Id="rId4295" Type="http://schemas.openxmlformats.org/officeDocument/2006/relationships/hyperlink" Target="https://vt.tiktok.com/ZSHwsE5CK/" TargetMode="External"/><Relationship Id="rId4294" Type="http://schemas.openxmlformats.org/officeDocument/2006/relationships/hyperlink" Target="https://www.tiktok.com/@ranimaelani_25" TargetMode="External"/><Relationship Id="rId4297" Type="http://schemas.openxmlformats.org/officeDocument/2006/relationships/hyperlink" Target="https://www.tiktok.com/@racun_spalspil12/video/7636477701569711381?_r=1&amp;u_code=cllj6j6aidf05b&amp;region=&amp;mid=7514003816174454785&amp;preview_pb=0&amp;sharer_language=&amp;_d=0&amp;ec_shared_reflux_dynamic_params=%7B%22placeholder_material_id%22%3A%227636477701569711381%22%2C%22placeholder_origin_cover%22%3A%22https%253A%252F%252Fp16-common-sign.tiktokcdn.com%252Ftos-alisg-p-0037%252FoYnDfADpFFQu9O6FMj15ACRIrenII4CfATGJJE~tplv-tiktokx-origin.jpeg%253Fdr%253D14572%2526refresh_token%253D41c77eed%2526x-expires%253D1810720800%2526x-signature%253D5nW4PIFcH2IDfYBqYMeqiszGEy0%25253D%2526t%253D4d5b0474%2526ps%253D13740610%2526shp%253Dd05b14bd%2526shcp%253D34ff8df6%2526idc%253Dmy3%2526s%253DTIKTOK_AFFILIATE_VIRAL_VIDEO%22%2C%22placeholder_product_id%22%3A%221729729730555512511%22%2C%22placeholder_video_id%22%3A%227636477701569711381%22%7D&amp;ec_shared_reflux_scene=shop_tab_feed&amp;share_item_id=7636477701569711381&amp;source=h5_t" TargetMode="External"/><Relationship Id="rId4296" Type="http://schemas.openxmlformats.org/officeDocument/2006/relationships/hyperlink" Target="https://vt.tiktok.com/ZS9rKWxwm/" TargetMode="External"/><Relationship Id="rId4299" Type="http://schemas.openxmlformats.org/officeDocument/2006/relationships/hyperlink" Target="http://berrybabe.id" TargetMode="External"/><Relationship Id="rId4298" Type="http://schemas.openxmlformats.org/officeDocument/2006/relationships/hyperlink" Target="https://www.tiktok.com/@racun_spalspil12/video/7636478333856845077?_r=1&amp;u_code=cllj6j6aidf05b&amp;region=&amp;mid=7615505674093234177&amp;preview_pb=0&amp;sharer_language=&amp;_d=0&amp;ec_shared_reflux_dynamic_params=%7B%22placeholder_material_id%22%3A%227636478333856845077%22%2C%22placeholder_origin_cover%22%3A%22https%253A%252F%252Fp16-common-sign.tiktokcdn.com%252Ftos-alisg-p-0037%252FoojrPDBfA8OIZBJTEj4FEi7eIC9fD3x65ADOIi~tplv-tiktokx-origin.jpeg%253Fdr%253D14572%2526refresh_token%253D22e1654c%2526x-expires%253D1810720800%2526x-signature%253DwMy5fmRlh3P%25252BWrdZX6Ih8ZqzFXg%25253D%2526t%253D4d5b0474%2526ps%253D13740610%2526shp%253Dd05b14bd%2526shcp%253D34ff8df6%2526idc%253Dmy3%2526s%253DTIKTOK_AFFILIATE_VIRAL_VIDEO%22%2C%22placeholder_product_id%22%3A%221729729730555512511%22%2C%22placeholder_video_id%22%3A%227636478333856845077%22%7D&amp;ec_shared_reflux_scene=shop_tab_feed&amp;share_item_id=7636478333856845077&amp;source=h5_t" TargetMode="External"/><Relationship Id="rId4249" Type="http://schemas.openxmlformats.org/officeDocument/2006/relationships/hyperlink" Target="https://www.tiktok.com/@Msam2906" TargetMode="External"/><Relationship Id="rId5570" Type="http://schemas.openxmlformats.org/officeDocument/2006/relationships/hyperlink" Target="https://vt.tiktok.com/ZS9Sh4LUQ/" TargetMode="External"/><Relationship Id="rId5571" Type="http://schemas.openxmlformats.org/officeDocument/2006/relationships/hyperlink" Target="https://www.tiktok.com/@Ratjun_simama" TargetMode="External"/><Relationship Id="rId4240" Type="http://schemas.openxmlformats.org/officeDocument/2006/relationships/hyperlink" Target="https://vt.tiktok.com/ZSHofwMFp/" TargetMode="External"/><Relationship Id="rId4242" Type="http://schemas.openxmlformats.org/officeDocument/2006/relationships/hyperlink" Target="https://vt.tiktok.com/ZSxMS4YYX/" TargetMode="External"/><Relationship Id="rId5574" Type="http://schemas.openxmlformats.org/officeDocument/2006/relationships/hyperlink" Target="https://vt.tiktok.com/ZS9SMWJBS/" TargetMode="External"/><Relationship Id="rId4241" Type="http://schemas.openxmlformats.org/officeDocument/2006/relationships/hyperlink" Target="https://vt.tiktok.com/ZSHof79XP/" TargetMode="External"/><Relationship Id="rId5575" Type="http://schemas.openxmlformats.org/officeDocument/2006/relationships/hyperlink" Target="https://vt.tiktok.com/ZS9Sh4LUQ/" TargetMode="External"/><Relationship Id="rId4244" Type="http://schemas.openxmlformats.org/officeDocument/2006/relationships/hyperlink" Target="https://www.tiktok.com/@prabot.dapur4" TargetMode="External"/><Relationship Id="rId5572" Type="http://schemas.openxmlformats.org/officeDocument/2006/relationships/hyperlink" Target="https://vt.tiktok.com/ZS9YHXyNm/" TargetMode="External"/><Relationship Id="rId4243" Type="http://schemas.openxmlformats.org/officeDocument/2006/relationships/hyperlink" Target="https://www.tiktok.com/@kakaklin_/video/7631494924948671752" TargetMode="External"/><Relationship Id="rId5573" Type="http://schemas.openxmlformats.org/officeDocument/2006/relationships/hyperlink" Target="https://vt.tiktok.com/ZS9BvQ845/" TargetMode="External"/><Relationship Id="rId4246" Type="http://schemas.openxmlformats.org/officeDocument/2006/relationships/hyperlink" Target="https://vt.tiktok.com/ZSHv9Fhq5/" TargetMode="External"/><Relationship Id="rId5578" Type="http://schemas.openxmlformats.org/officeDocument/2006/relationships/hyperlink" Target="https://vt.tiktok.com/ZSxWKtvPT/" TargetMode="External"/><Relationship Id="rId4245" Type="http://schemas.openxmlformats.org/officeDocument/2006/relationships/hyperlink" Target="https://vt.tiktok.com/ZSHp9rVa9/" TargetMode="External"/><Relationship Id="rId5579" Type="http://schemas.openxmlformats.org/officeDocument/2006/relationships/hyperlink" Target="https://vt.tiktok.com/ZSxWKg4Ko/" TargetMode="External"/><Relationship Id="rId4248" Type="http://schemas.openxmlformats.org/officeDocument/2006/relationships/hyperlink" Target="https://www.tiktok.com/@kakaklin_/video/7631874765568986386" TargetMode="External"/><Relationship Id="rId5576" Type="http://schemas.openxmlformats.org/officeDocument/2006/relationships/hyperlink" Target="https://www.tiktok.com/@Cameccaa21" TargetMode="External"/><Relationship Id="rId4247" Type="http://schemas.openxmlformats.org/officeDocument/2006/relationships/hyperlink" Target="https://www.tiktok.com/@kakaklin_/video/7631563163971898642" TargetMode="External"/><Relationship Id="rId5577" Type="http://schemas.openxmlformats.org/officeDocument/2006/relationships/hyperlink" Target="https://vt.tiktok.com/ZSxWKCU9c/" TargetMode="External"/><Relationship Id="rId4239" Type="http://schemas.openxmlformats.org/officeDocument/2006/relationships/hyperlink" Target="https://www.tiktok.com/@mbak.lia.kd" TargetMode="External"/><Relationship Id="rId4238" Type="http://schemas.openxmlformats.org/officeDocument/2006/relationships/hyperlink" Target="https://vt.tiktok.com/ZSxSpYMrG/" TargetMode="External"/><Relationship Id="rId5569" Type="http://schemas.openxmlformats.org/officeDocument/2006/relationships/hyperlink" Target="https://vt.tiktok.com/ZS9SMWJBS/" TargetMode="External"/><Relationship Id="rId6890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5560" Type="http://schemas.openxmlformats.org/officeDocument/2006/relationships/hyperlink" Target="https://vt.tiktok.com/ZS9Sh4LUQ/" TargetMode="External"/><Relationship Id="rId6891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495" Type="http://schemas.openxmlformats.org/officeDocument/2006/relationships/hyperlink" Target="https://vt.tiktok.com/ZSmQ4X75A/" TargetMode="External"/><Relationship Id="rId4231" Type="http://schemas.openxmlformats.org/officeDocument/2006/relationships/hyperlink" Target="https://vt.tiktok.com/ZS9hQpQuv/" TargetMode="External"/><Relationship Id="rId5563" Type="http://schemas.openxmlformats.org/officeDocument/2006/relationships/hyperlink" Target="https://vt.tiktok.com/ZS9BvQ845/" TargetMode="External"/><Relationship Id="rId6894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494" Type="http://schemas.openxmlformats.org/officeDocument/2006/relationships/hyperlink" Target="https://vt.tiktok.com/ZSmfr58L2/" TargetMode="External"/><Relationship Id="rId4230" Type="http://schemas.openxmlformats.org/officeDocument/2006/relationships/hyperlink" Target="https://vt.tiktok.com/ZS9hQ7sJs/" TargetMode="External"/><Relationship Id="rId5564" Type="http://schemas.openxmlformats.org/officeDocument/2006/relationships/hyperlink" Target="https://vt.tiktok.com/ZS9SMWJBS/" TargetMode="External"/><Relationship Id="rId6895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493" Type="http://schemas.openxmlformats.org/officeDocument/2006/relationships/hyperlink" Target="https://www.tiktok.com/@lina_chubby94" TargetMode="External"/><Relationship Id="rId4233" Type="http://schemas.openxmlformats.org/officeDocument/2006/relationships/hyperlink" Target="https://vt.tiktok.com/ZSxSp99aK/" TargetMode="External"/><Relationship Id="rId5561" Type="http://schemas.openxmlformats.org/officeDocument/2006/relationships/hyperlink" Target="https://www.tiktok.com/@hellostupitt" TargetMode="External"/><Relationship Id="rId6892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492" Type="http://schemas.openxmlformats.org/officeDocument/2006/relationships/hyperlink" Target="https://vt.tiktok.com/ZS9bJXLe4/" TargetMode="External"/><Relationship Id="rId4232" Type="http://schemas.openxmlformats.org/officeDocument/2006/relationships/hyperlink" Target="https://vt.tiktok.com/ZSxjX3ef6/" TargetMode="External"/><Relationship Id="rId5562" Type="http://schemas.openxmlformats.org/officeDocument/2006/relationships/hyperlink" Target="https://vt.tiktok.com/ZS9YHXyNm/" TargetMode="External"/><Relationship Id="rId6893" Type="http://schemas.openxmlformats.org/officeDocument/2006/relationships/hyperlink" Target="https://www.tiktok.com/@bywindaaa" TargetMode="External"/><Relationship Id="rId499" Type="http://schemas.openxmlformats.org/officeDocument/2006/relationships/hyperlink" Target="https://www.tiktok.com/@theophilaa" TargetMode="External"/><Relationship Id="rId4235" Type="http://schemas.openxmlformats.org/officeDocument/2006/relationships/hyperlink" Target="https://vt.tiktok.com/ZSHtnr9NH/" TargetMode="External"/><Relationship Id="rId5567" Type="http://schemas.openxmlformats.org/officeDocument/2006/relationships/hyperlink" Target="https://vt.tiktok.com/ZSxxQNegn/" TargetMode="External"/><Relationship Id="rId6898" Type="http://schemas.openxmlformats.org/officeDocument/2006/relationships/hyperlink" Target="https://www.tiktok.com/@yanti_lontar" TargetMode="External"/><Relationship Id="rId498" Type="http://schemas.openxmlformats.org/officeDocument/2006/relationships/hyperlink" Target="https://www.tiktok.com/@pptlktskm" TargetMode="External"/><Relationship Id="rId4234" Type="http://schemas.openxmlformats.org/officeDocument/2006/relationships/hyperlink" Target="https://www.tiktok.com/@putriaycaaa" TargetMode="External"/><Relationship Id="rId5568" Type="http://schemas.openxmlformats.org/officeDocument/2006/relationships/hyperlink" Target="https://vt.tiktok.com/ZS9BvQ845/" TargetMode="External"/><Relationship Id="rId6899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497" Type="http://schemas.openxmlformats.org/officeDocument/2006/relationships/hyperlink" Target="https://www.tiktok.com/@lina_chubby94/video/7619653195182165256?_r=1&amp;u_code=d7kai4da07jhb8&amp;region=&amp;mid=7619653220260006663&amp;preview_pb=0&amp;sharer_language=&amp;_d=0&amp;ec_shared_reflux_dynamic_params=%7B%22placeholder_material_id%22%3A%227619653195182165256%22%2C%22placeholder_origin_cover%22%3A%22https%253A%252F%252Fp16-sign-sg.tiktokcdn.com%252Ftos-alisg-p-0037%252Fo8jeGm7ffNcIRcz2GAQT7MReBC0AFLQGB3wFYO~tplv-tiktokx-origin.jpeg%253Fdr%253D14572%2526refresh_token%253Dc20ecf44%2526x-expires%253D1806055200%2526x-signature%253DZdZeqod%25252BQDZTBBzSBuTOsNVkyEc%25253D%2526t%253D4d5b0474%2526ps%253D13740610%2526shp%253Dd05b14bd%2526shcp%253D34ff8df6%2526idc%253Dmy2%2526s%253DTIKTOK_AFFILIATE_VIRAL_VIDEO%22%2C%22placeholder_product_id%22%3A%221729427766722726591%22%2C%22placeholder_video_id%22%3A%227619653195182165256%22%7D&amp;ec_shared_reflux_scene=shop_tab_feed&amp;share_item_id=7619653195182165256&amp;source=h5_t" TargetMode="External"/><Relationship Id="rId4237" Type="http://schemas.openxmlformats.org/officeDocument/2006/relationships/hyperlink" Target="https://vt.tiktok.com/ZSxSp4AYc/" TargetMode="External"/><Relationship Id="rId5565" Type="http://schemas.openxmlformats.org/officeDocument/2006/relationships/hyperlink" Target="https://vt.tiktok.com/ZS9Sh4LUQ/" TargetMode="External"/><Relationship Id="rId6896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496" Type="http://schemas.openxmlformats.org/officeDocument/2006/relationships/hyperlink" Target="https://vt.tiktok.com/ZSmcgbutw/" TargetMode="External"/><Relationship Id="rId4236" Type="http://schemas.openxmlformats.org/officeDocument/2006/relationships/hyperlink" Target="https://vt.tiktok.com/ZSHnJuucV/" TargetMode="External"/><Relationship Id="rId5566" Type="http://schemas.openxmlformats.org/officeDocument/2006/relationships/hyperlink" Target="https://www.tiktok.com/@hanifahst" TargetMode="External"/><Relationship Id="rId6897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4260" Type="http://schemas.openxmlformats.org/officeDocument/2006/relationships/hyperlink" Target="https://vt.tiktok.com/ZSH3EGfJP/" TargetMode="External"/><Relationship Id="rId5592" Type="http://schemas.openxmlformats.org/officeDocument/2006/relationships/hyperlink" Target="https://vt.tiktok.com/ZS9xw3o6L/" TargetMode="External"/><Relationship Id="rId5593" Type="http://schemas.openxmlformats.org/officeDocument/2006/relationships/hyperlink" Target="https://vt.tiktok.com/ZS9qMqFsu/" TargetMode="External"/><Relationship Id="rId4262" Type="http://schemas.openxmlformats.org/officeDocument/2006/relationships/hyperlink" Target="https://www.tiktok.com/@kakaklin_/video/7633802326259551496" TargetMode="External"/><Relationship Id="rId5590" Type="http://schemas.openxmlformats.org/officeDocument/2006/relationships/hyperlink" Target="https://vt.tiktok.com/ZS9Sh4LUQ/" TargetMode="External"/><Relationship Id="rId4261" Type="http://schemas.openxmlformats.org/officeDocument/2006/relationships/hyperlink" Target="https://vt.tiktok.com/ZSH3EGfJP/" TargetMode="External"/><Relationship Id="rId5591" Type="http://schemas.openxmlformats.org/officeDocument/2006/relationships/hyperlink" Target="https://www.tiktok.com/@belidiolivia" TargetMode="External"/><Relationship Id="rId4264" Type="http://schemas.openxmlformats.org/officeDocument/2006/relationships/hyperlink" Target="https://www.tiktok.com/@arlenemartha73" TargetMode="External"/><Relationship Id="rId5596" Type="http://schemas.openxmlformats.org/officeDocument/2006/relationships/hyperlink" Target="https://www.tiktok.com/@tamiputriars" TargetMode="External"/><Relationship Id="rId4263" Type="http://schemas.openxmlformats.org/officeDocument/2006/relationships/hyperlink" Target="https://www.tiktok.com/@kakaklin_/video/7633918974001958152" TargetMode="External"/><Relationship Id="rId5597" Type="http://schemas.openxmlformats.org/officeDocument/2006/relationships/hyperlink" Target="https://vt.tiktok.com/ZSxWKccg5/" TargetMode="External"/><Relationship Id="rId4266" Type="http://schemas.openxmlformats.org/officeDocument/2006/relationships/hyperlink" Target="https://vt.tiktok.com/ZSHpsN3aq/" TargetMode="External"/><Relationship Id="rId5594" Type="http://schemas.openxmlformats.org/officeDocument/2006/relationships/hyperlink" Target="https://vt.tiktok.com/ZSxWK89er/" TargetMode="External"/><Relationship Id="rId4265" Type="http://schemas.openxmlformats.org/officeDocument/2006/relationships/hyperlink" Target="https://vt.tiktok.com/ZSHpUJny7/" TargetMode="External"/><Relationship Id="rId5595" Type="http://schemas.openxmlformats.org/officeDocument/2006/relationships/hyperlink" Target="https://vt.tiktok.com/ZSxWKheSn/" TargetMode="External"/><Relationship Id="rId4268" Type="http://schemas.openxmlformats.org/officeDocument/2006/relationships/hyperlink" Target="https://www.tiktok.com/@kakaklin_/video/7634831077726522632" TargetMode="External"/><Relationship Id="rId4267" Type="http://schemas.openxmlformats.org/officeDocument/2006/relationships/hyperlink" Target="https://www.tiktok.com/@kakaklin_/video/7634701651135188231" TargetMode="External"/><Relationship Id="rId5598" Type="http://schemas.openxmlformats.org/officeDocument/2006/relationships/hyperlink" Target="https://vt.tiktok.com/ZSxWKRXQt/" TargetMode="External"/><Relationship Id="rId4269" Type="http://schemas.openxmlformats.org/officeDocument/2006/relationships/hyperlink" Target="https://www.tiktok.com/@nabillaerve" TargetMode="External"/><Relationship Id="rId5599" Type="http://schemas.openxmlformats.org/officeDocument/2006/relationships/hyperlink" Target="https://vt.tiktok.com/ZSxWKRyLm/" TargetMode="External"/><Relationship Id="rId5581" Type="http://schemas.openxmlformats.org/officeDocument/2006/relationships/hyperlink" Target="https://www.tiktok.com/@ririyyawahyuni" TargetMode="External"/><Relationship Id="rId5582" Type="http://schemas.openxmlformats.org/officeDocument/2006/relationships/hyperlink" Target="https://vt.tiktok.com/ZS9YHXyNm/" TargetMode="External"/><Relationship Id="rId4251" Type="http://schemas.openxmlformats.org/officeDocument/2006/relationships/hyperlink" Target="https://vt.tiktok.com/ZS9npfE14/" TargetMode="External"/><Relationship Id="rId4250" Type="http://schemas.openxmlformats.org/officeDocument/2006/relationships/hyperlink" Target="https://vt.tiktok.com/ZS9GahuPL/" TargetMode="External"/><Relationship Id="rId5580" Type="http://schemas.openxmlformats.org/officeDocument/2006/relationships/hyperlink" Target="https://vt.tiktok.com/ZSxWK75m9/" TargetMode="External"/><Relationship Id="rId4253" Type="http://schemas.openxmlformats.org/officeDocument/2006/relationships/hyperlink" Target="https://www.tiktok.com/@kakaklin_/video/7632212180586335495" TargetMode="External"/><Relationship Id="rId5585" Type="http://schemas.openxmlformats.org/officeDocument/2006/relationships/hyperlink" Target="https://vt.tiktok.com/ZS9Sh4LUQ/" TargetMode="External"/><Relationship Id="rId4252" Type="http://schemas.openxmlformats.org/officeDocument/2006/relationships/hyperlink" Target="https://www.tiktok.com/@kakaklin_/video/7632117801511095570" TargetMode="External"/><Relationship Id="rId5586" Type="http://schemas.openxmlformats.org/officeDocument/2006/relationships/hyperlink" Target="https://www.tiktok.com/@racunskincare077" TargetMode="External"/><Relationship Id="rId4255" Type="http://schemas.openxmlformats.org/officeDocument/2006/relationships/hyperlink" Target="https://vt.tiktok.com/ZS9LoK93w/" TargetMode="External"/><Relationship Id="rId5583" Type="http://schemas.openxmlformats.org/officeDocument/2006/relationships/hyperlink" Target="https://vt.tiktok.com/ZS9BvQ845/" TargetMode="External"/><Relationship Id="rId4254" Type="http://schemas.openxmlformats.org/officeDocument/2006/relationships/hyperlink" Target="https://www.tiktok.com/@mayakh128" TargetMode="External"/><Relationship Id="rId5584" Type="http://schemas.openxmlformats.org/officeDocument/2006/relationships/hyperlink" Target="https://vt.tiktok.com/ZS9SMWJBS/" TargetMode="External"/><Relationship Id="rId4257" Type="http://schemas.openxmlformats.org/officeDocument/2006/relationships/hyperlink" Target="https://www.tiktok.com/@kakaklin_/video/7633638401438141703" TargetMode="External"/><Relationship Id="rId5589" Type="http://schemas.openxmlformats.org/officeDocument/2006/relationships/hyperlink" Target="https://vt.tiktok.com/ZS9SMWJBS/" TargetMode="External"/><Relationship Id="rId4256" Type="http://schemas.openxmlformats.org/officeDocument/2006/relationships/hyperlink" Target="https://vt.tiktok.com/ZS9rbsaxU/" TargetMode="External"/><Relationship Id="rId4259" Type="http://schemas.openxmlformats.org/officeDocument/2006/relationships/hyperlink" Target="https://www.tiktok.com/@elshanum.zivana" TargetMode="External"/><Relationship Id="rId5587" Type="http://schemas.openxmlformats.org/officeDocument/2006/relationships/hyperlink" Target="https://vt.tiktok.com/ZS9YHXyNm/" TargetMode="External"/><Relationship Id="rId4258" Type="http://schemas.openxmlformats.org/officeDocument/2006/relationships/hyperlink" Target="https://www.tiktok.com/@kakaklin_/video/7633686287135853842" TargetMode="External"/><Relationship Id="rId5588" Type="http://schemas.openxmlformats.org/officeDocument/2006/relationships/hyperlink" Target="https://vt.tiktok.com/ZS9BvQ845/" TargetMode="External"/><Relationship Id="rId9113" Type="http://schemas.openxmlformats.org/officeDocument/2006/relationships/hyperlink" Target="https://www.tiktok.com/@Iniayunizh" TargetMode="External"/><Relationship Id="rId9112" Type="http://schemas.openxmlformats.org/officeDocument/2006/relationships/hyperlink" Target="https://vt.tiktok.com/ZSxmHo95u/" TargetMode="External"/><Relationship Id="rId9111" Type="http://schemas.openxmlformats.org/officeDocument/2006/relationships/hyperlink" Target="https://vt.tiktok.com/ZSxmHqDUn/" TargetMode="External"/><Relationship Id="rId9110" Type="http://schemas.openxmlformats.org/officeDocument/2006/relationships/hyperlink" Target="https://www.tiktok.com/@mamanyalisa__" TargetMode="External"/><Relationship Id="rId9117" Type="http://schemas.openxmlformats.org/officeDocument/2006/relationships/hyperlink" Target="https://vt.tiktok.com/ZSxSQN5aQ/" TargetMode="External"/><Relationship Id="rId9116" Type="http://schemas.openxmlformats.org/officeDocument/2006/relationships/hyperlink" Target="https://vt.tiktok.com/ZSxmHTVuq/" TargetMode="External"/><Relationship Id="rId9115" Type="http://schemas.openxmlformats.org/officeDocument/2006/relationships/hyperlink" Target="https://vt.tiktok.com/ZSxmHmx4M/" TargetMode="External"/><Relationship Id="rId9114" Type="http://schemas.openxmlformats.org/officeDocument/2006/relationships/hyperlink" Target="https://vt.tiktok.com/ZSxgQ2ssu/" TargetMode="External"/><Relationship Id="rId9119" Type="http://schemas.openxmlformats.org/officeDocument/2006/relationships/hyperlink" Target="https://vt.tiktok.com/ZSxgQ16eQ/" TargetMode="External"/><Relationship Id="rId9118" Type="http://schemas.openxmlformats.org/officeDocument/2006/relationships/hyperlink" Target="https://www.tiktok.com/@_bulan05" TargetMode="External"/><Relationship Id="rId9102" Type="http://schemas.openxmlformats.org/officeDocument/2006/relationships/hyperlink" Target="https://vt.tiktok.com/ZSxSx3B87/" TargetMode="External"/><Relationship Id="rId9101" Type="http://schemas.openxmlformats.org/officeDocument/2006/relationships/hyperlink" Target="https://vt.tiktok.com/ZSxm9kGUC/" TargetMode="External"/><Relationship Id="rId9100" Type="http://schemas.openxmlformats.org/officeDocument/2006/relationships/hyperlink" Target="https://vt.tiktok.com/ZSxgQd9Cn/" TargetMode="External"/><Relationship Id="rId9106" Type="http://schemas.openxmlformats.org/officeDocument/2006/relationships/hyperlink" Target="https://vt.tiktok.com/ZSxghR6vx/" TargetMode="External"/><Relationship Id="rId9105" Type="http://schemas.openxmlformats.org/officeDocument/2006/relationships/hyperlink" Target="https://www.tiktok.com/@iesloav.id" TargetMode="External"/><Relationship Id="rId9104" Type="http://schemas.openxmlformats.org/officeDocument/2006/relationships/hyperlink" Target="http://iesloav.id" TargetMode="External"/><Relationship Id="rId9103" Type="http://schemas.openxmlformats.org/officeDocument/2006/relationships/hyperlink" Target="https://vt.tiktok.com/ZSxAU1gJD/" TargetMode="External"/><Relationship Id="rId9109" Type="http://schemas.openxmlformats.org/officeDocument/2006/relationships/hyperlink" Target="https://vt.tiktok.com/ZSxAUJdRK/" TargetMode="External"/><Relationship Id="rId9108" Type="http://schemas.openxmlformats.org/officeDocument/2006/relationships/hyperlink" Target="https://vt.tiktok.com/ZSxm96283/" TargetMode="External"/><Relationship Id="rId9107" Type="http://schemas.openxmlformats.org/officeDocument/2006/relationships/hyperlink" Target="https://vt.tiktok.com/ZSxmH5JxH/" TargetMode="External"/><Relationship Id="rId6902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6903" Type="http://schemas.openxmlformats.org/officeDocument/2006/relationships/hyperlink" Target="https://www.tiktok.com/@bbeyllvaa" TargetMode="External"/><Relationship Id="rId6900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6901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6906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6907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6904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6905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6908" Type="http://schemas.openxmlformats.org/officeDocument/2006/relationships/hyperlink" Target="https://www.tiktok.com/@newbie30_" TargetMode="External"/><Relationship Id="rId6909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9182" Type="http://schemas.openxmlformats.org/officeDocument/2006/relationships/hyperlink" Target="https://vt.tiktok.com/ZSxH1h1MK/" TargetMode="External"/><Relationship Id="rId9181" Type="http://schemas.openxmlformats.org/officeDocument/2006/relationships/hyperlink" Target="https://vt.tiktok.com/ZSxH1Men5/" TargetMode="External"/><Relationship Id="rId9180" Type="http://schemas.openxmlformats.org/officeDocument/2006/relationships/hyperlink" Target="https://vt.tiktok.com/ZSxH1BvWM/" TargetMode="External"/><Relationship Id="rId9175" Type="http://schemas.openxmlformats.org/officeDocument/2006/relationships/hyperlink" Target="https://vt.tiktok.com/ZSQed7pXb/" TargetMode="External"/><Relationship Id="rId9174" Type="http://schemas.openxmlformats.org/officeDocument/2006/relationships/hyperlink" Target="https://www.tiktok.com/@aloveme77" TargetMode="External"/><Relationship Id="rId9173" Type="http://schemas.openxmlformats.org/officeDocument/2006/relationships/hyperlink" Target="https://vt.tiktok.com/ZSQedgFYx/" TargetMode="External"/><Relationship Id="rId9172" Type="http://schemas.openxmlformats.org/officeDocument/2006/relationships/hyperlink" Target="https://www.tiktok.com/@asri.nofi" TargetMode="External"/><Relationship Id="rId9179" Type="http://schemas.openxmlformats.org/officeDocument/2006/relationships/hyperlink" Target="https://vt.tiktok.com/ZSxH11WkV/" TargetMode="External"/><Relationship Id="rId9178" Type="http://schemas.openxmlformats.org/officeDocument/2006/relationships/hyperlink" Target="https://www.tiktok.com/@ameliaku30" TargetMode="External"/><Relationship Id="rId9177" Type="http://schemas.openxmlformats.org/officeDocument/2006/relationships/hyperlink" Target="https://www.tiktok.com/@dewiana.beaufash" TargetMode="External"/><Relationship Id="rId9176" Type="http://schemas.openxmlformats.org/officeDocument/2006/relationships/hyperlink" Target="https://www.tiktok.com/@myakhaque" TargetMode="External"/><Relationship Id="rId9171" Type="http://schemas.openxmlformats.org/officeDocument/2006/relationships/hyperlink" Target="https://vt.tiktok.com/ZSQedtxA8/" TargetMode="External"/><Relationship Id="rId9170" Type="http://schemas.openxmlformats.org/officeDocument/2006/relationships/hyperlink" Target="https://www.tiktok.com/@ini_aizee" TargetMode="External"/><Relationship Id="rId9164" Type="http://schemas.openxmlformats.org/officeDocument/2006/relationships/hyperlink" Target="https://www.tiktok.com/@ootddaily055" TargetMode="External"/><Relationship Id="rId9163" Type="http://schemas.openxmlformats.org/officeDocument/2006/relationships/hyperlink" Target="https://www.tiktok.com/@marcella_harini" TargetMode="External"/><Relationship Id="rId9162" Type="http://schemas.openxmlformats.org/officeDocument/2006/relationships/hyperlink" Target="https://www.tiktok.com/@Upikabu999" TargetMode="External"/><Relationship Id="rId9161" Type="http://schemas.openxmlformats.org/officeDocument/2006/relationships/hyperlink" Target="https://www.tiktok.com/@mell.nt" TargetMode="External"/><Relationship Id="rId9168" Type="http://schemas.openxmlformats.org/officeDocument/2006/relationships/hyperlink" Target="https://www.tiktok.com/@fifi.lupu" TargetMode="External"/><Relationship Id="rId9167" Type="http://schemas.openxmlformats.org/officeDocument/2006/relationships/hyperlink" Target="https://vt.tiktok.com/ZSQeUy1pX/" TargetMode="External"/><Relationship Id="rId9166" Type="http://schemas.openxmlformats.org/officeDocument/2006/relationships/hyperlink" Target="https://www.tiktok.com/@cocowillys" TargetMode="External"/><Relationship Id="rId9165" Type="http://schemas.openxmlformats.org/officeDocument/2006/relationships/hyperlink" Target="https://www.tiktok.com/@fatihshooop" TargetMode="External"/><Relationship Id="rId9169" Type="http://schemas.openxmlformats.org/officeDocument/2006/relationships/hyperlink" Target="https://vt.tiktok.com/ZSQednvNj/" TargetMode="External"/><Relationship Id="rId6924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6925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6922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6923" Type="http://schemas.openxmlformats.org/officeDocument/2006/relationships/hyperlink" Target="https://www.tiktok.com/@by.ciicii" TargetMode="External"/><Relationship Id="rId6928" Type="http://schemas.openxmlformats.org/officeDocument/2006/relationships/hyperlink" Target="https://www.tiktok.com/@cahyaa102" TargetMode="External"/><Relationship Id="rId6929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6926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6927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409" Type="http://schemas.openxmlformats.org/officeDocument/2006/relationships/hyperlink" Target="https://vt.tiktok.com/ZS9fS4aRL/" TargetMode="External"/><Relationship Id="rId404" Type="http://schemas.openxmlformats.org/officeDocument/2006/relationships/hyperlink" Target="https://vt.tiktok.com/ZS9fSAYkE/" TargetMode="External"/><Relationship Id="rId9197" Type="http://schemas.openxmlformats.org/officeDocument/2006/relationships/hyperlink" Target="https://vt.tiktok.com/ZSxH1h1MK/" TargetMode="External"/><Relationship Id="rId403" Type="http://schemas.openxmlformats.org/officeDocument/2006/relationships/hyperlink" Target="https://vt.tiktok.com/ZSmpALkGH/" TargetMode="External"/><Relationship Id="rId9196" Type="http://schemas.openxmlformats.org/officeDocument/2006/relationships/hyperlink" Target="https://vt.tiktok.com/ZSxH1Men5/" TargetMode="External"/><Relationship Id="rId402" Type="http://schemas.openxmlformats.org/officeDocument/2006/relationships/hyperlink" Target="https://www.tiktok.com/@itsxixinie" TargetMode="External"/><Relationship Id="rId9195" Type="http://schemas.openxmlformats.org/officeDocument/2006/relationships/hyperlink" Target="https://vt.tiktok.com/ZSxH1BvWM/" TargetMode="External"/><Relationship Id="rId401" Type="http://schemas.openxmlformats.org/officeDocument/2006/relationships/hyperlink" Target="https://vt.tiktok.com/ZSmgLXRMJ/" TargetMode="External"/><Relationship Id="rId9194" Type="http://schemas.openxmlformats.org/officeDocument/2006/relationships/hyperlink" Target="https://vt.tiktok.com/ZSxH11WkV/" TargetMode="External"/><Relationship Id="rId408" Type="http://schemas.openxmlformats.org/officeDocument/2006/relationships/hyperlink" Target="https://www.tiktok.com/@makeupbysoliha/video/7609972234920185108?is_from_webapp=1&amp;sender_device=pc" TargetMode="External"/><Relationship Id="rId407" Type="http://schemas.openxmlformats.org/officeDocument/2006/relationships/hyperlink" Target="https://www.tiktok.com/@makeupbysoliha" TargetMode="External"/><Relationship Id="rId406" Type="http://schemas.openxmlformats.org/officeDocument/2006/relationships/hyperlink" Target="https://vt.tiktok.com/ZS9fSb9fp/" TargetMode="External"/><Relationship Id="rId9199" Type="http://schemas.openxmlformats.org/officeDocument/2006/relationships/hyperlink" Target="https://vt.tiktok.com/ZSxH11WkV/" TargetMode="External"/><Relationship Id="rId405" Type="http://schemas.openxmlformats.org/officeDocument/2006/relationships/hyperlink" Target="https://vt.tiktok.com/ZS9fShXNg/" TargetMode="External"/><Relationship Id="rId9198" Type="http://schemas.openxmlformats.org/officeDocument/2006/relationships/hyperlink" Target="https://www.tiktok.com/@embunpagishop" TargetMode="External"/><Relationship Id="rId400" Type="http://schemas.openxmlformats.org/officeDocument/2006/relationships/hyperlink" Target="https://vt.tiktok.com/ZSmQ52xwh/" TargetMode="External"/><Relationship Id="rId6920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6921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6913" Type="http://schemas.openxmlformats.org/officeDocument/2006/relationships/hyperlink" Target="https://www.tiktok.com/@wennyislami_" TargetMode="External"/><Relationship Id="rId6914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6911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6912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6917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6918" Type="http://schemas.openxmlformats.org/officeDocument/2006/relationships/hyperlink" Target="https://www.tiktok.com/@auliaagnn" TargetMode="External"/><Relationship Id="rId6915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6916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6919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9193" Type="http://schemas.openxmlformats.org/officeDocument/2006/relationships/hyperlink" Target="https://www.tiktok.com/@titink" TargetMode="External"/><Relationship Id="rId9192" Type="http://schemas.openxmlformats.org/officeDocument/2006/relationships/hyperlink" Target="https://vt.tiktok.com/ZSxH1h1MK/" TargetMode="External"/><Relationship Id="rId9191" Type="http://schemas.openxmlformats.org/officeDocument/2006/relationships/hyperlink" Target="https://vt.tiktok.com/ZSxH1Men5/" TargetMode="External"/><Relationship Id="rId9190" Type="http://schemas.openxmlformats.org/officeDocument/2006/relationships/hyperlink" Target="https://vt.tiktok.com/ZSxH1BvWM/" TargetMode="External"/><Relationship Id="rId9186" Type="http://schemas.openxmlformats.org/officeDocument/2006/relationships/hyperlink" Target="https://vt.tiktok.com/ZSxH1Men5/" TargetMode="External"/><Relationship Id="rId9185" Type="http://schemas.openxmlformats.org/officeDocument/2006/relationships/hyperlink" Target="https://vt.tiktok.com/ZSxH1BvWM/" TargetMode="External"/><Relationship Id="rId9184" Type="http://schemas.openxmlformats.org/officeDocument/2006/relationships/hyperlink" Target="https://vt.tiktok.com/ZSxH11WkV/" TargetMode="External"/><Relationship Id="rId9183" Type="http://schemas.openxmlformats.org/officeDocument/2006/relationships/hyperlink" Target="https://www.tiktok.com/@daniharni" TargetMode="External"/><Relationship Id="rId9189" Type="http://schemas.openxmlformats.org/officeDocument/2006/relationships/hyperlink" Target="https://vt.tiktok.com/ZSxH11WkV/" TargetMode="External"/><Relationship Id="rId9188" Type="http://schemas.openxmlformats.org/officeDocument/2006/relationships/hyperlink" Target="https://www.tiktok.com/@diaaarrrrr" TargetMode="External"/><Relationship Id="rId9187" Type="http://schemas.openxmlformats.org/officeDocument/2006/relationships/hyperlink" Target="https://vt.tiktok.com/ZSxH1h1MK/" TargetMode="External"/><Relationship Id="rId6910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9131" Type="http://schemas.openxmlformats.org/officeDocument/2006/relationships/hyperlink" Target="https://vt.tiktok.com/ZSxQhm3PY/" TargetMode="External"/><Relationship Id="rId9130" Type="http://schemas.openxmlformats.org/officeDocument/2006/relationships/hyperlink" Target="https://vt.tiktok.com/ZSxmgwh26/" TargetMode="External"/><Relationship Id="rId9135" Type="http://schemas.openxmlformats.org/officeDocument/2006/relationships/hyperlink" Target="https://vt.tiktok.com/ZSxQhuQMr/" TargetMode="External"/><Relationship Id="rId9134" Type="http://schemas.openxmlformats.org/officeDocument/2006/relationships/hyperlink" Target="https://vt.tiktok.com/ZSxmgbN6s/" TargetMode="External"/><Relationship Id="rId9133" Type="http://schemas.openxmlformats.org/officeDocument/2006/relationships/hyperlink" Target="https://www.tiktok.com/@aesthetic.girlsyaa" TargetMode="External"/><Relationship Id="rId9132" Type="http://schemas.openxmlformats.org/officeDocument/2006/relationships/hyperlink" Target="https://vt.tiktok.com/ZSxQhr3Rr/" TargetMode="External"/><Relationship Id="rId9139" Type="http://schemas.openxmlformats.org/officeDocument/2006/relationships/hyperlink" Target="https://www.tiktok.com/@nvstore8/video/7645853573569350932?_r=1&amp;u_code=e3f7kg1b98d074&amp;region=&amp;mid=7631575464502512392&amp;preview_pb=0&amp;sharer_language=&amp;_d=0&amp;ec_shared_reflux_dynamic_params=%7B%22placeholder_material_id%22%3A%227645853573569350932%22%2C%22placeholder_origin_cover%22%3A%22https%253A%252F%252Fp19-common-sign.tiktokcdn.com%252Ftos-alisg-p-0037%252FooLbwS3PmVvEGhNiu113IMYhBBIaAi4HSBiAI~tplv-tiktokx-origin.jpeg%253Fdr%253D14572%2526refresh_token%253Dde4c1faf%2526x-expires%253D1812099600%2526x-signature%253DKw2Ykj2B71VTvzeMcLBN1wlWhIw%25253D%2526t%253D4d5b0474%2526ps%253D13740610%2526shp%253Dd05b14bd%2526shcp%253D34ff8df6%2526idc%253Dmy%2526s%253DTIKTOK_AFFILIATE_VIRAL_VIDEO%22%2C%22placeholder_product_id%22%3A%221729427766722726591%22%2C%22placeholder_video_id%22%3A%227645853573569350932%22%7D&amp;ec_shared_reflux_scene=shop_tab_feed&amp;share_item_id=7645853573569350932&amp;source=h5_t" TargetMode="External"/><Relationship Id="rId9138" Type="http://schemas.openxmlformats.org/officeDocument/2006/relationships/hyperlink" Target="https://www.tiktok.com/@nvstore8/video/7645587935957388564?_r=1&amp;u_code=e3f7kg1b98d074&amp;region=&amp;mid=7640817124251863825&amp;preview_pb=0&amp;sharer_language=&amp;_d=0&amp;ec_shared_reflux_dynamic_params=%7B%22placeholder_material_id%22%3A%227645587935957388564%22%2C%22placeholder_origin_cover%22%3A%22https%253A%252F%252Fp16-common-sign.tiktokcdn.com%252Ftos-alisg-p-0037%252FogPEgYPaABla6XcB7dEVIabqVbqE8hAiBILAi~tplv-tiktokx-origin.jpeg%253Fdr%253D14572%2526refresh_token%253D60cb94e4%2526x-expires%253D1812099600%2526x-signature%253DHvurNLgEge%25252Fq4v%25252FZtQD%25252BhQME%25252Bo4%25253D%2526t%253D4d5b0474%2526ps%253D13740610%2526shp%253Dd05b14bd%2526shcp%253D34ff8df6%2526idc%253Dmy%2526s%253DTIKTOK_AFFILIATE_VIRAL_VIDEO%22%2C%22placeholder_product_id%22%3A%221729427766722726591%22%2C%22placeholder_video_id%22%3A%227645587935957388564%22%7D&amp;ec_shared_reflux_scene=shop_tab_feed&amp;share_item_id=7645587935957388564&amp;source=h5_t" TargetMode="External"/><Relationship Id="rId9137" Type="http://schemas.openxmlformats.org/officeDocument/2006/relationships/hyperlink" Target="https://www.tiktok.com/@Nvstore8" TargetMode="External"/><Relationship Id="rId9136" Type="http://schemas.openxmlformats.org/officeDocument/2006/relationships/hyperlink" Target="https://vt.tiktok.com/ZSxHGYrTv/" TargetMode="External"/><Relationship Id="rId9120" Type="http://schemas.openxmlformats.org/officeDocument/2006/relationships/hyperlink" Target="https://vt.tiktok.com/ZSxHjTVgR/" TargetMode="External"/><Relationship Id="rId9124" Type="http://schemas.openxmlformats.org/officeDocument/2006/relationships/hyperlink" Target="https://vt.tiktok.com/ZSxgrKu13/" TargetMode="External"/><Relationship Id="rId9123" Type="http://schemas.openxmlformats.org/officeDocument/2006/relationships/hyperlink" Target="https://www.tiktok.com/@mina175900" TargetMode="External"/><Relationship Id="rId9122" Type="http://schemas.openxmlformats.org/officeDocument/2006/relationships/hyperlink" Target="https://vt.tiktok.com/ZSxQhhB24/" TargetMode="External"/><Relationship Id="rId9121" Type="http://schemas.openxmlformats.org/officeDocument/2006/relationships/hyperlink" Target="https://vt.tiktok.com/ZSxQhkUNG/" TargetMode="External"/><Relationship Id="rId9128" Type="http://schemas.openxmlformats.org/officeDocument/2006/relationships/hyperlink" Target="https://www.tiktok.com/@st_zahara99" TargetMode="External"/><Relationship Id="rId9127" Type="http://schemas.openxmlformats.org/officeDocument/2006/relationships/hyperlink" Target="https://vt.tiktok.com/ZSxQhP2Q8/" TargetMode="External"/><Relationship Id="rId9126" Type="http://schemas.openxmlformats.org/officeDocument/2006/relationships/hyperlink" Target="https://vt.tiktok.com/ZSxQhBKBY/" TargetMode="External"/><Relationship Id="rId9125" Type="http://schemas.openxmlformats.org/officeDocument/2006/relationships/hyperlink" Target="https://vt.tiktok.com/ZSxmg7f8r/" TargetMode="External"/><Relationship Id="rId9129" Type="http://schemas.openxmlformats.org/officeDocument/2006/relationships/hyperlink" Target="https://vt.tiktok.com/ZSxgxnSod/" TargetMode="External"/><Relationship Id="rId9160" Type="http://schemas.openxmlformats.org/officeDocument/2006/relationships/hyperlink" Target="https://vt.tiktok.com/ZSxoE1vBx/" TargetMode="External"/><Relationship Id="rId9153" Type="http://schemas.openxmlformats.org/officeDocument/2006/relationships/hyperlink" Target="https://vt.tiktok.com/ZSxgherS2/" TargetMode="External"/><Relationship Id="rId9152" Type="http://schemas.openxmlformats.org/officeDocument/2006/relationships/hyperlink" Target="https://www.tiktok.com/@rikaksmn" TargetMode="External"/><Relationship Id="rId9151" Type="http://schemas.openxmlformats.org/officeDocument/2006/relationships/hyperlink" Target="https://vt.tiktok.com/ZSxHxPhbn/" TargetMode="External"/><Relationship Id="rId9150" Type="http://schemas.openxmlformats.org/officeDocument/2006/relationships/hyperlink" Target="https://vt.tiktok.com/ZSxHjXDBD/" TargetMode="External"/><Relationship Id="rId9157" Type="http://schemas.openxmlformats.org/officeDocument/2006/relationships/hyperlink" Target="https://www.tiktok.com/@Infoskincareviral" TargetMode="External"/><Relationship Id="rId9156" Type="http://schemas.openxmlformats.org/officeDocument/2006/relationships/hyperlink" Target="https://vt.tiktok.com/ZSxHxPQwp/" TargetMode="External"/><Relationship Id="rId9155" Type="http://schemas.openxmlformats.org/officeDocument/2006/relationships/hyperlink" Target="https://vt.tiktok.com/ZSxHGRRh5/" TargetMode="External"/><Relationship Id="rId9154" Type="http://schemas.openxmlformats.org/officeDocument/2006/relationships/hyperlink" Target="https://vt.tiktok.com/ZSx5DeVTu/" TargetMode="External"/><Relationship Id="rId9159" Type="http://schemas.openxmlformats.org/officeDocument/2006/relationships/hyperlink" Target="https://www.tiktok.com/@rainnbowf" TargetMode="External"/><Relationship Id="rId9158" Type="http://schemas.openxmlformats.org/officeDocument/2006/relationships/hyperlink" Target="https://www.tiktok.com/@diyah28077" TargetMode="External"/><Relationship Id="rId9142" Type="http://schemas.openxmlformats.org/officeDocument/2006/relationships/hyperlink" Target="https://www.tiktok.com/@Nggia51" TargetMode="External"/><Relationship Id="rId9141" Type="http://schemas.openxmlformats.org/officeDocument/2006/relationships/hyperlink" Target="https://www.tiktok.com/@nvstore8/video/7647078848743443732?_r=1&amp;u_code=e3f7kg1b98d074&amp;region=&amp;mid=7615505451033380880&amp;preview_pb=0&amp;sharer_language=&amp;_d=0&amp;ec_shared_reflux_dynamic_params=%7B%22placeholder_material_id%22%3A%227647078848743443732%22%2C%22placeholder_origin_cover%22%3A%22https%253A%252F%252Fp19-common-sign.tiktokcdn.com%252Ftos-alisg-p-0037%252FowIEEfS7DD4UFywIefE48DQbPCoQHotAhujVJA~tplv-tiktokx-origin.jpeg%253Fdr%253D14572%2526refresh_token%253D4ee390d8%2526x-expires%253D1812099600%2526x-signature%253D%25252Fmb33O1Ndo52aULFAorlWv5bLNs%25253D%2526t%253D4d5b0474%2526ps%253D13740610%2526shp%253Dd05b14bd%2526shcp%253D34ff8df6%2526idc%253Dmy%2526s%253DTIKTOK_AFFILIATE_VIRAL_VIDEO%22%2C%22placeholder_product_id%22%3A%221729427766722726591%22%2C%22placeholder_video_id%22%3A%227647078848743443732%22%7D&amp;ec_shared_reflux_scene=shop_tab_feed&amp;share_item_id=7647078848743443732&amp;source=h5_t" TargetMode="External"/><Relationship Id="rId9140" Type="http://schemas.openxmlformats.org/officeDocument/2006/relationships/hyperlink" Target="https://www.tiktok.com/@nvstore8/video/7646546197276019988?_r=1&amp;u_code=e3f7kg1b98d074&amp;region=&amp;mid=7639132186302335751&amp;preview_pb=0&amp;sharer_language=&amp;_d=0&amp;ec_shared_reflux_dynamic_params=%7B%22placeholder_material_id%22%3A%227646546197276019988%22%2C%22placeholder_origin_cover%22%3A%22https%253A%252F%252Fp19-common-sign.tiktokcdn.com%252Ftos-alisg-p-0037%252FooodxMreAefRF1ARBF73fGACKGWpsQ84iAmMoQ~tplv-tiktokx-origin.jpeg%253Fdr%253D14572%2526refresh_token%253Df6e02880%2526x-expires%253D1812099600%2526x-signature%253DZ5CBfO1RPYNTe3qTiMK9oUcGdJg%25253D%2526t%253D4d5b0474%2526ps%253D13740610%2526shp%253Dd05b14bd%2526shcp%253D34ff8df6%2526idc%253Dmy%2526s%253DTIKTOK_AFFILIATE_VIRAL_VIDEO%22%2C%22placeholder_product_id%22%3A%221729427766722726591%22%2C%22placeholder_video_id%22%3A%227646546197276019988%22%7D&amp;ec_shared_reflux_scene=shop_tab_feed&amp;share_item_id=7646546197276019988&amp;source=h5_t" TargetMode="External"/><Relationship Id="rId9146" Type="http://schemas.openxmlformats.org/officeDocument/2006/relationships/hyperlink" Target="https://vt.tiktok.com/ZSxHA3DfJ/" TargetMode="External"/><Relationship Id="rId9145" Type="http://schemas.openxmlformats.org/officeDocument/2006/relationships/hyperlink" Target="https://vt.tiktok.com/ZSxHD64FN/" TargetMode="External"/><Relationship Id="rId9144" Type="http://schemas.openxmlformats.org/officeDocument/2006/relationships/hyperlink" Target="https://vt.tiktok.com/ZSxmgwRyc/" TargetMode="External"/><Relationship Id="rId9143" Type="http://schemas.openxmlformats.org/officeDocument/2006/relationships/hyperlink" Target="https://vt.tiktok.com/ZSxGxy822/" TargetMode="External"/><Relationship Id="rId9149" Type="http://schemas.openxmlformats.org/officeDocument/2006/relationships/hyperlink" Target="https://vt.tiktok.com/ZSx5A7cuf/" TargetMode="External"/><Relationship Id="rId9148" Type="http://schemas.openxmlformats.org/officeDocument/2006/relationships/hyperlink" Target="https://vt.tiktok.com/ZSxgQYwGK/" TargetMode="External"/><Relationship Id="rId9147" Type="http://schemas.openxmlformats.org/officeDocument/2006/relationships/hyperlink" Target="https://www.tiktok.com/@indahkanezya2" TargetMode="External"/><Relationship Id="rId4327" Type="http://schemas.openxmlformats.org/officeDocument/2006/relationships/hyperlink" Target="https://www.tiktok.com/@harumrice/video/7637486061534465301?_r=1&amp;u_code=d6j7255963058c&amp;region=&amp;mid=7513130117401823248&amp;preview_pb=0&amp;sharer_language=&amp;_d=0&amp;ec_shared_reflux_dynamic_params=%7B%22placeholder_material_id%22%3A%227637486061534465301%22%2C%22placeholder_origin_cover%22%3A%22https%253A%252F%252Fp16-common-sign.tiktokcdn.com%252Ftos-alisg-p-0037%252FoInf4I8IDmcycCzYAEfSAXDQ6FZbPTDIwoejG9~tplv-tiktokx-origin.jpeg%253Fdr%253D14572%2526refresh_token%253Df3ea7f5f%2526x-expires%253D1810717200%2526x-signature%253D4aXT1BRFnRZuTz257R6YM%25252B%25252B1PMA%25253D%2526t%253D4d5b0474%2526ps%253D13740610%2526shp%253Dd05b14bd%2526shcp%253D34ff8df6%2526idc%253Dmy3%2526s%253DTIKTOK_AFFILIATE_VIRAL_VIDEO%22%2C%22placeholder_product_id%22%3A%221729427766722726591%22%2C%22placeholder_video_id%22%3A%227637486061534465301%22%7D&amp;ec_shared_reflux_scene=shop_tab_feed&amp;share_item_id=7637486061534465301&amp;source=h5_t" TargetMode="External"/><Relationship Id="rId5659" Type="http://schemas.openxmlformats.org/officeDocument/2006/relationships/hyperlink" Target="https://vt.tiktok.com/ZS9kJnjAS/" TargetMode="External"/><Relationship Id="rId4326" Type="http://schemas.openxmlformats.org/officeDocument/2006/relationships/hyperlink" Target="https://vt.tiktok.com/ZS922mDjj/" TargetMode="External"/><Relationship Id="rId4329" Type="http://schemas.openxmlformats.org/officeDocument/2006/relationships/hyperlink" Target="https://www.tiktok.com/@racun_spalspil12/video/7636576477621832981?_r=1&amp;u_code=cllj6j6aidf05b&amp;region=&amp;mid=7498623449464687415&amp;preview_pb=0&amp;sharer_language=&amp;_d=0&amp;ec_shared_reflux_dynamic_params=%7B%22placeholder_material_id%22%3A%227636576477621832981%22%2C%22placeholder_origin_cover%22%3A%22https%253A%252F%252Fp16-common-sign.tiktokcdn.com%252Ftos-alisg-p-0037%252FoYSTC1ZhI7eLmnIAxAlg9IOejNLmGDHAIekgw4~tplv-tiktokx-origin.jpeg%253Fdr%253D14572%2526refresh_token%253Dab12dbd3%2526x-expires%253D1810720800%2526x-signature%253DcThyqdx0JaMDn1m%25252FW48nPIV%25252B9%25252FQ%25253D%2526t%253D4d5b0474%2526ps%253D13740610%2526shp%253Dd05b14bd%2526shcp%253D34ff8df6%2526idc%253Dmy3%2526s%253DTIKTOK_AFFILIATE_VIRAL_VIDEO%22%2C%22placeholder_product_id%22%3A%221729729730555512511%22%2C%22placeholder_video_id%22%3A%227636576477621832981%22%7D&amp;ec_shared_reflux_scene=shop_tab_feed&amp;share_item_id=7636576477621832981&amp;source=h5_t" TargetMode="External"/><Relationship Id="rId5657" Type="http://schemas.openxmlformats.org/officeDocument/2006/relationships/hyperlink" Target="https://vt.tiktok.com/ZS9jTks1k/" TargetMode="External"/><Relationship Id="rId6988" Type="http://schemas.openxmlformats.org/officeDocument/2006/relationships/hyperlink" Target="https://www.tiktok.com/@arikwsmth" TargetMode="External"/><Relationship Id="rId4328" Type="http://schemas.openxmlformats.org/officeDocument/2006/relationships/hyperlink" Target="https://www.tiktok.com/@racun_spalspil12/video/7636573967637318932?_r=1&amp;u_code=cllj6j6aidf05b&amp;region=&amp;mid=7514003816174454785&amp;preview_pb=0&amp;sharer_language=&amp;_d=0&amp;ec_shared_reflux_dynamic_params=%7B%22placeholder_material_id%22%3A%227636573967637318932%22%2C%22placeholder_origin_cover%22%3A%22https%253A%252F%252Fp16-common-sign.tiktokcdn.com%252Ftos-alisg-p-0037%252Fo8301A7sjwHeDIgnf6LeGFAGAHmi4Ig3GxG9Rf~tplv-tiktokx-origin.jpeg%253Fdr%253D14572%2526refresh_token%253D60563f43%2526x-expires%253D1810720800%2526x-signature%253D3Ts%25252B4f%25252B33I2FesJ9Gg8r0dgCGtI%25253D%2526t%253D4d5b0474%2526ps%253D13740610%2526shp%253Dd05b14bd%2526shcp%253D34ff8df6%2526idc%253Dmy3%2526s%253DTIKTOK_AFFILIATE_VIRAL_VIDEO%22%2C%22placeholder_product_id%22%3A%221729729730555512511%22%2C%22placeholder_video_id%22%3A%227636573967637318932%22%7D&amp;ec_shared_reflux_scene=shop_tab_feed&amp;share_item_id=7636573967637318932&amp;source=h5_t" TargetMode="External"/><Relationship Id="rId5658" Type="http://schemas.openxmlformats.org/officeDocument/2006/relationships/hyperlink" Target="https://vt.tiktok.com/ZS9jTyBBX/" TargetMode="External"/><Relationship Id="rId6989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469" Type="http://schemas.openxmlformats.org/officeDocument/2006/relationships/hyperlink" Target="https://www.tiktok.com/@salwanarulita" TargetMode="External"/><Relationship Id="rId468" Type="http://schemas.openxmlformats.org/officeDocument/2006/relationships/hyperlink" Target="https://www.tiktok.com/@shiintamiiftaa/video/7635816713296170258?_r=1&amp;u_code=d6i1iij6bihcli&amp;region=&amp;mid=7170634321794059034&amp;preview_pb=0&amp;sharer_language=&amp;_d=0&amp;ec_shared_reflux_dynamic_params=%7B%22placeholder_material_id%22%3A%227635816713296170258%22%2C%22placeholder_origin_cover%22%3A%22https%253A%252F%252Fp16-common-sign.tiktokcdn.com%252Ftos-alisg-p-0037%252Fo0ek37no7CDL74KQEQWfejAVx62AuTDKGIj3ID~tplv-tiktokx-origin.jpeg%253Fdr%253D14572%2526refresh_token%253D317d8c5d%2526x-expires%253D1809507600%2526x-signature%253D5NFXAKgeoh4UmmGHKjEMTtWcHU4%25253D%2526t%253D4d5b0474%2526ps%253D13740610%2526shp%253Dd05b14bd%2526shcp%253D34ff8df6%2526idc%253Dmy%2526s%253DTIKTOK_AFFILIATE_VIRAL_VIDEO%22%2C%22placeholder_product_id%22%3A%221729427766722726591%22%2C%22placeholder_video_id%22%3A%227635816713296170258%22%7D&amp;ec_shared_reflux_scene=shop_tab_feed&amp;share_item_id=7635816713296170258&amp;source=h5_t" TargetMode="External"/><Relationship Id="rId467" Type="http://schemas.openxmlformats.org/officeDocument/2006/relationships/hyperlink" Target="https://www.tiktok.com/@beauty.iidd/video/7633701589638712583?_r=1&amp;u_code=ebjf03139m95gf&amp;region=&amp;mid=7608559003840400145&amp;preview_pb=0&amp;sharer_language=&amp;_d=0&amp;ec_shared_reflux_dynamic_params=%7B%22placeholder_material_id%22%3A%227633701589638712583%22%2C%22placeholder_origin_cover%22%3A%22https%253A%252F%252Fp16-common-sign.tiktokcdn.com%252Ftos-alisg-p-0037%252FosEcFZIgciAF2EFWn4R278fywsDTBBvIfAypTw~tplv-tiktokx-origin.jpeg%253Fdr%253D14572%2526refresh_token%253Dd0980959%2526x-expires%253D1809507600%2526x-signature%253DGfU1M%25252FdCBs5jaYRfZzW5XUpRPVI%25253D%2526t%253D4d5b0474%2526ps%253D13740610%2526shp%253Dd05b14bd%2526shcp%253D34ff8df6%2526idc%253Dmy%2526s%253DTIKTOK_AFFILIATE_VIRAL_VIDEO%22%2C%22placeholder_product_id%22%3A%221729427766722726591%22%2C%22placeholder_video_id%22%3A%227633701589638712583%22%7D&amp;ec_shared_reflux_scene=shop_tab_feed&amp;share_item_id=7633701589638712583&amp;source=h5_t" TargetMode="External"/><Relationship Id="rId462" Type="http://schemas.openxmlformats.org/officeDocument/2006/relationships/hyperlink" Target="https://www.tiktok.com/@byliyah/video/7634123815890455815?_r=1&amp;u_code=dj0c9igeb6ei5f&amp;region=&amp;mid=7628933306519816967&amp;preview_pb=0&amp;sharer_language=&amp;_d=0&amp;ec_shared_reflux_dynamic_params=%7B%22placeholder_material_id%22%3A%227634123815890455815%22%2C%22placeholder_origin_cover%22%3A%22https%253A%252F%252Fp16-sign-sg.tiktokcdn.com%252Ftos-alisg-p-0037%252Fo8CPAtE4ELXVCI7GQTIGJmegQVKeAXe1D4jnKj~tplv-tiktokx-origin.jpeg%253Fdr%253D14572%2526refresh_token%253Df5d9677c%2526x-expires%253D1809507600%2526x-signature%253DWKkOkl71wCIejeGiPGxkcw2Pwqk%25253D%2526t%253D4d5b0474%2526ps%253D13740610%2526shp%253Dd05b14bd%2526shcp%253D34ff8df6%2526idc%253Dmy%2526s%253DTIKTOK_AFFILIATE_VIRAL_VIDEO%22%2C%22placeholder_product_id%22%3A%221729427766722726591%22%2C%22placeholder_video_id%22%3A%227634123815890455815%22%7D&amp;ec_shared_reflux_scene=shop_tab_feed&amp;share_item_id=7634123815890455815&amp;source=h5_t" TargetMode="External"/><Relationship Id="rId5651" Type="http://schemas.openxmlformats.org/officeDocument/2006/relationships/hyperlink" Target="https://www.tiktok.com/@febrianggunn" TargetMode="External"/><Relationship Id="rId6982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461" Type="http://schemas.openxmlformats.org/officeDocument/2006/relationships/hyperlink" Target="https://www.tiktok.com/@byliyah/video/7634877105813064967?_r=1&amp;u_code=dj0c9igeb6ei5f&amp;region=&amp;mid=7628933306519816967&amp;preview_pb=0&amp;sharer_language=&amp;_d=0&amp;ec_shared_reflux_dynamic_params=%7B%22placeholder_material_id%22%3A%227634877105813064967%22%2C%22placeholder_origin_cover%22%3A%22https%253A%252F%252Fp16-common-sign.tiktokcdn.com%252Ftos-alisg-p-0037%252Focei17GjILABIDC6IDI4xiICDGRxeju0TtEPAe~tplv-tiktokx-origin.jpeg%253Fdr%253D14572%2526refresh_token%253D5bc4fb2f%2526x-expires%253D1809507600%2526x-signature%253DUvN%25252BfzBID4iTP8lYuNjCEFAlPfg%25253D%2526t%253D4d5b0474%2526ps%253D13740610%2526shp%253Dd05b14bd%2526shcp%253D34ff8df6%2526idc%253Dmy%2526s%253DTIKTOK_AFFILIATE_VIRAL_VIDEO%22%2C%22placeholder_product_id%22%3A%221729427766722726591%22%2C%22placeholder_video_id%22%3A%227634877105813064967%22%7D&amp;ec_shared_reflux_scene=shop_tab_feed&amp;share_item_id=7634877105813064967&amp;source=h5_t" TargetMode="External"/><Relationship Id="rId5652" Type="http://schemas.openxmlformats.org/officeDocument/2006/relationships/hyperlink" Target="https://vt.tiktok.com/ZS9fPXGUH/" TargetMode="External"/><Relationship Id="rId6983" Type="http://schemas.openxmlformats.org/officeDocument/2006/relationships/hyperlink" Target="https://www.tiktok.com/@rivin_tv" TargetMode="External"/><Relationship Id="rId460" Type="http://schemas.openxmlformats.org/officeDocument/2006/relationships/hyperlink" Target="https://www.tiktok.com/@its.riniii_" TargetMode="External"/><Relationship Id="rId4321" Type="http://schemas.openxmlformats.org/officeDocument/2006/relationships/hyperlink" Target="https://vt.tiktok.com/ZS9YcY1bk/" TargetMode="External"/><Relationship Id="rId6980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4320" Type="http://schemas.openxmlformats.org/officeDocument/2006/relationships/hyperlink" Target="https://www.tiktok.com/@jagoanpapahh" TargetMode="External"/><Relationship Id="rId5650" Type="http://schemas.openxmlformats.org/officeDocument/2006/relationships/hyperlink" Target="https://vt.tiktok.com/ZS9M7V9WV/" TargetMode="External"/><Relationship Id="rId6981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466" Type="http://schemas.openxmlformats.org/officeDocument/2006/relationships/hyperlink" Target="https://www.tiktok.com/@byliyah/video/7635987897417518343?_r=1&amp;u_code=dj0c9igeb6ei5f&amp;region=&amp;mid=7628029008957967111&amp;preview_pb=0&amp;sharer_language=&amp;_d=0&amp;ec_shared_reflux_dynamic_params=%7B%22placeholder_material_id%22%3A%227635987897417518343%22%2C%22placeholder_origin_cover%22%3A%22https%253A%252F%252Fp16-common-sign.tiktokcdn.com%252Ftos-alisg-p-0037%252Fo41qwAYHH4D6ZEQT3eFfDCAyFetLp4QnjDDoI6~tplv-tiktokx-origin.jpeg%253Fdr%253D14572%2526refresh_token%253De19bbb6b%2526x-expires%253D1809507600%2526x-signature%253DnTUQ%25252BW62ezdzIbpZnaeXRpmO49k%25253D%2526t%253D4d5b0474%2526ps%253D13740610%2526shp%253Dd05b14bd%2526shcp%253D34ff8df6%2526idc%253Dmy%2526s%253DTIKTOK_AFFILIATE_VIRAL_VIDEO%22%2C%22placeholder_product_id%22%3A%221729427766722726591%22%2C%22placeholder_video_id%22%3A%227635987897417518343%22%7D&amp;ec_shared_reflux_scene=shop_tab_feed&amp;share_item_id=7635987897417518343&amp;source=h5_t" TargetMode="External"/><Relationship Id="rId4323" Type="http://schemas.openxmlformats.org/officeDocument/2006/relationships/hyperlink" Target="https://www.tiktok.com/@racun_spalspil12/video/7636572246085012756?_r=1&amp;u_code=cllj6j6aidf05b&amp;region=&amp;mid=7577300307509299989&amp;preview_pb=0&amp;sharer_language=&amp;_d=0&amp;ec_shared_reflux_dynamic_params=%7B%22placeholder_material_id%22%3A%227636572246085012756%22%2C%22placeholder_origin_cover%22%3A%22https%253A%252F%252Fp16-common-sign.tiktokcdn.com%252Ftos-alisg-p-0037%252FogRe4LGHjIDvoQmDl6IQktCAjDrAgz2V9TeiUf~tplv-tiktokx-origin.jpeg%253Fdr%253D14572%2526refresh_token%253D722c984c%2526x-expires%253D1810720800%2526x-signature%253DfDVoLhWXXybuEGp1u73Dd7USj68%25253D%2526t%253D4d5b0474%2526ps%253D13740610%2526shp%253Dd05b14bd%2526shcp%253D34ff8df6%2526idc%253Dmy3%2526s%253DTIKTOK_AFFILIATE_VIRAL_VIDEO%22%2C%22placeholder_product_id%22%3A%221729729730555512511%22%2C%22placeholder_video_id%22%3A%227636572246085012756%22%7D&amp;ec_shared_reflux_scene=shop_tab_feed&amp;share_item_id=7636572246085012756&amp;source=h5_t" TargetMode="External"/><Relationship Id="rId5655" Type="http://schemas.openxmlformats.org/officeDocument/2006/relationships/hyperlink" Target="https://vt.tiktok.com/ZSxWDAXSF/" TargetMode="External"/><Relationship Id="rId6986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465" Type="http://schemas.openxmlformats.org/officeDocument/2006/relationships/hyperlink" Target="https://vt.tiktok.com/ZSmXNsKcm/" TargetMode="External"/><Relationship Id="rId4322" Type="http://schemas.openxmlformats.org/officeDocument/2006/relationships/hyperlink" Target="https://vt.tiktok.com/ZS9jtavvs/" TargetMode="External"/><Relationship Id="rId5656" Type="http://schemas.openxmlformats.org/officeDocument/2006/relationships/hyperlink" Target="https://www.tiktok.com/@wwcoffeeaddict" TargetMode="External"/><Relationship Id="rId6987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464" Type="http://schemas.openxmlformats.org/officeDocument/2006/relationships/hyperlink" Target="https://www.tiktok.com/@__meisiadillah" TargetMode="External"/><Relationship Id="rId4325" Type="http://schemas.openxmlformats.org/officeDocument/2006/relationships/hyperlink" Target="https://www.tiktok.com/@kayla.putrii1" TargetMode="External"/><Relationship Id="rId5653" Type="http://schemas.openxmlformats.org/officeDocument/2006/relationships/hyperlink" Target="https://www.tiktok.com/@febrianggunn/video/7634010538040642824?_r=1&amp;u_code=dgj07mmj47mce2&amp;region=&amp;mid=7399648575468079878&amp;preview_pb=0&amp;sharer_language=&amp;_d=0&amp;ec_shared_reflux_dynamic_params=%7B%22placeholder_material_id%22%3A%227634010538040642824%22%2C%22placeholder_origin_cover%22%3A%22https%253A%252F%252Fp16-common-sign.tiktokcdn.com%252Ftos-alisg-p-0037%252FoAn7dLwtBIzCJx2mAViAcjRSCBfUprBIiqg5Ee~tplv-tiktokx-origin.jpeg%253Fdr%253D14572%2526refresh_token%253De092a6c2%2526x-expires%253D1809504000%2526x-signature%253DrIZqK0pDityR0wHsYMV%25252Fe4kE5bQ%25253D%2526t%253D4d5b0474%2526ps%253D13740610%2526shp%253Dd05b14bd%2526shcp%253D34ff8df6%2526idc%253Dmy%2526s%253DTIKTOK_AFFILIATE_VIRAL_VIDEO%22%2C%22placeholder_product_id%22%3A%221729427766722726591%22%2C%22placeholder_video_id%22%3A%227634010538040642824%22%7D&amp;ec_shared_reflux_scene=shop_tab_feed&amp;share_item_id=7634010538040642824&amp;source=h5_t" TargetMode="External"/><Relationship Id="rId6984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463" Type="http://schemas.openxmlformats.org/officeDocument/2006/relationships/hyperlink" Target="https://www.tiktok.com/@byliyah/video/7634407705381260551?_r=1&amp;u_code=dj0c9igeb6ei5f&amp;region=&amp;mid=7628933306519816967&amp;preview_pb=0&amp;sharer_language=&amp;_d=0&amp;ec_shared_reflux_dynamic_params=%7B%22placeholder_material_id%22%3A%227634407705381260551%22%2C%22placeholder_origin_cover%22%3A%22https%253A%252F%252Fp16-common-sign.tiktokcdn.com%252Ftos-alisg-p-0037%252FoEuBg4sri7VCIWiw0VJAV3LP8d7IAPCfyIAkz9~tplv-tiktokx-origin.jpeg%253Fdr%253D14572%2526refresh_token%253D55153503%2526x-expires%253D1809507600%2526x-signature%253D7k9sQv%25252B12AURNBsQqleQjcthtRI%25253D%2526t%253D4d5b0474%2526ps%253D13740610%2526shp%253Dd05b14bd%2526shcp%253D34ff8df6%2526idc%253Dmy%2526s%253DTIKTOK_AFFILIATE_VIRAL_VIDEO%22%2C%22placeholder_product_id%22%3A%221729427766722726591%22%2C%22placeholder_video_id%22%3A%227634407705381260551%22%7D&amp;ec_shared_reflux_scene=shop_tab_feed&amp;share_item_id=7634407705381260551&amp;source=h5_t" TargetMode="External"/><Relationship Id="rId4324" Type="http://schemas.openxmlformats.org/officeDocument/2006/relationships/hyperlink" Target="https://www.tiktok.com/@racun_spalspil12/video/7636572800261606676?_r=1&amp;u_code=cllj6j6aidf05b&amp;region=&amp;mid=7611414933255670546&amp;preview_pb=0&amp;sharer_language=&amp;_d=0&amp;ec_shared_reflux_dynamic_params=%7B%22placeholder_material_id%22%3A%227636572800261606676%22%2C%22placeholder_origin_cover%22%3A%22https%253A%252F%252Fp16-common-sign.tiktokcdn.com%252Ftos-alisg-p-0037%252Fo4HIEIeGANLCswbLeFTjDEA1QA1nR9QsR5f3r4~tplv-tiktokx-origin.jpeg%253Fdr%253D14572%2526refresh_token%253D5e84b9af%2526x-expires%253D1810720800%2526x-signature%253Dl41rNrcHivr15UsUEa%25252BHqoWKoMc%25253D%2526t%253D4d5b0474%2526ps%253D13740610%2526shp%253Dd05b14bd%2526shcp%253D34ff8df6%2526idc%253Dmy3%2526s%253DTIKTOK_AFFILIATE_VIRAL_VIDEO%22%2C%22placeholder_product_id%22%3A%221729729730555512511%22%2C%22placeholder_video_id%22%3A%227636572800261606676%22%7D&amp;ec_shared_reflux_scene=shop_tab_feed&amp;share_item_id=7636572800261606676&amp;source=h5_t" TargetMode="External"/><Relationship Id="rId5654" Type="http://schemas.openxmlformats.org/officeDocument/2006/relationships/hyperlink" Target="https://vt.tiktok.com/ZSxWDVQK3/" TargetMode="External"/><Relationship Id="rId6985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4316" Type="http://schemas.openxmlformats.org/officeDocument/2006/relationships/hyperlink" Target="https://www.tiktok.com/@harumrice/video/7637482144528436500?_r=1&amp;u_code=d6j7255963058c&amp;region=&amp;mid=7513130117401823248&amp;preview_pb=0&amp;sharer_language=&amp;_d=0&amp;ec_shared_reflux_dynamic_params=%7B%22placeholder_material_id%22%3A%227637482144528436500%22%2C%22placeholder_origin_cover%22%3A%22https%253A%252F%252Fp16-common-sign.tiktokcdn.com%252Ftos-alisg-p-0037%252FoAAGGZ89OcnQfFST5vD5IQeAweyGEKFAfS5RaH~tplv-tiktokx-origin.jpeg%253Fdr%253D14572%2526refresh_token%253Dfc21108c%2526x-expires%253D1810717200%2526x-signature%253DtnOXl1xPJ4%25252BtxXKND45EkBAyvsM%25253D%2526t%253D4d5b0474%2526ps%253D13740610%2526shp%253Dd05b14bd%2526shcp%253D34ff8df6%2526idc%253Dmy3%2526s%253DTIKTOK_AFFILIATE_VIRAL_VIDEO%22%2C%22placeholder_product_id%22%3A%221729427766722726591%22%2C%22placeholder_video_id%22%3A%227637482144528436500%22%7D&amp;ec_shared_reflux_scene=shop_tab_feed&amp;share_item_id=7637482144528436500&amp;source=h5_t" TargetMode="External"/><Relationship Id="rId5648" Type="http://schemas.openxmlformats.org/officeDocument/2006/relationships/hyperlink" Target="https://vt.tiktok.com/ZS9M7j4DV/" TargetMode="External"/><Relationship Id="rId6979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4315" Type="http://schemas.openxmlformats.org/officeDocument/2006/relationships/hyperlink" Target="https://www.tiktok.com/@by.rinas2" TargetMode="External"/><Relationship Id="rId5649" Type="http://schemas.openxmlformats.org/officeDocument/2006/relationships/hyperlink" Target="https://vt.tiktok.com/ZS9M7P3HV/" TargetMode="External"/><Relationship Id="rId4318" Type="http://schemas.openxmlformats.org/officeDocument/2006/relationships/hyperlink" Target="https://www.tiktok.com/@racun_spalspil12/video/7636565484460133652?_r=1&amp;u_code=cllj6j6aidf05b&amp;region=&amp;mid=7582487626100296456&amp;preview_pb=0&amp;sharer_language=&amp;_d=0&amp;ec_shared_reflux_dynamic_params=%7B%22placeholder_material_id%22%3A%227636565484460133652%22%2C%22placeholder_origin_cover%22%3A%22https%253A%252F%252Fp16-common-sign.tiktokcdn.com%252Ftos-alisg-p-0037%252FoEINBdQA4GAFEEoDXbjmvefXzdDPDCQQJEeT91~tplv-tiktokx-origin.jpeg%253Fdr%253D14572%2526refresh_token%253D62b0b380%2526x-expires%253D1810720800%2526x-signature%253DJ6oHu3cR6l2T2LBt0Eey3fYhZoM%25253D%2526t%253D4d5b0474%2526ps%253D13740610%2526shp%253Dd05b14bd%2526shcp%253D34ff8df6%2526idc%253Dmy3%2526s%253DTIKTOK_AFFILIATE_VIRAL_VIDEO%22%2C%22placeholder_product_id%22%3A%221729427766722726591%22%2C%22placeholder_video_id%22%3A%227636565484460133652%22%7D&amp;ec_shared_reflux_scene=shop_tab_feed&amp;share_item_id=7636565484460133652&amp;source=h5_t" TargetMode="External"/><Relationship Id="rId5646" Type="http://schemas.openxmlformats.org/officeDocument/2006/relationships/hyperlink" Target="https://www.tiktok.com/@chokichokiwell" TargetMode="External"/><Relationship Id="rId6977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4317" Type="http://schemas.openxmlformats.org/officeDocument/2006/relationships/hyperlink" Target="https://www.tiktok.com/@harumrice/video/7637484873623538965?_r=1&amp;u_code=d6j7255963058c&amp;region=&amp;mid=7454883728420177921&amp;preview_pb=0&amp;sharer_language=&amp;_d=0&amp;ec_shared_reflux_dynamic_params=%7B%22placeholder_material_id%22%3A%227637484873623538965%22%2C%22placeholder_origin_cover%22%3A%22https%253A%252F%252Fp16-common-sign.tiktokcdn.com%252Ftos-alisg-p-0037%252FoQIBpfB6rmJuEBVAS6XBn1KAibcA9qSIRgfiRz~tplv-tiktokx-origin.jpeg%253Fdr%253D14572%2526refresh_token%253D20cae0b8%2526x-expires%253D1810717200%2526x-signature%253Du5xNfL3XrKIuvuNUMsf11gsyrKk%25253D%2526t%253D4d5b0474%2526ps%253D13740610%2526shp%253Dd05b14bd%2526shcp%253D34ff8df6%2526idc%253Dmy3%2526s%253DTIKTOK_AFFILIATE_VIRAL_VIDEO%22%2C%22placeholder_product_id%22%3A%221729427766722726591%22%2C%22placeholder_video_id%22%3A%227637484873623538965%22%7D&amp;ec_shared_reflux_scene=shop_tab_feed&amp;share_item_id=7637484873623538965&amp;source=h5_t" TargetMode="External"/><Relationship Id="rId5647" Type="http://schemas.openxmlformats.org/officeDocument/2006/relationships/hyperlink" Target="https://vt.tiktok.com/ZS9M7BywS/" TargetMode="External"/><Relationship Id="rId6978" Type="http://schemas.openxmlformats.org/officeDocument/2006/relationships/hyperlink" Target="https://www.tiktok.com/@irene.liu13" TargetMode="External"/><Relationship Id="rId4319" Type="http://schemas.openxmlformats.org/officeDocument/2006/relationships/hyperlink" Target="https://www.tiktok.com/@racun_spalspil12/video/7636571087425391893?_r=1&amp;u_code=cllj6j6aidf05b&amp;region=&amp;mid=7604473397582940177&amp;preview_pb=0&amp;sharer_language=&amp;_d=0&amp;ec_shared_reflux_dynamic_params=%7B%22placeholder_material_id%22%3A%227636571087425391893%22%2C%22placeholder_origin_cover%22%3A%22https%253A%252F%252Fp19-common-sign.tiktokcdn.com%252Ftos-alisg-p-0037%252FoUT44g6DtCJIoAFjfDbIwQCCFeI7AjfXkyjDEC~tplv-tiktokx-origin.jpeg%253Fdr%253D14572%2526refresh_token%253D46456560%2526x-expires%253D1810720800%2526x-signature%253DUD69%25252Bd99xi9Bp98psZyYBV1yTIU%25253D%2526t%253D4d5b0474%2526ps%253D13740610%2526shp%253Dd05b14bd%2526shcp%253D34ff8df6%2526idc%253Dmy3%2526s%253DTIKTOK_AFFILIATE_VIRAL_VIDEO%22%2C%22placeholder_product_id%22%3A%221729729730555512511%22%2C%22placeholder_video_id%22%3A%227636571087425391893%22%7D&amp;ec_shared_reflux_scene=shop_tab_feed&amp;share_item_id=7636571087425391893&amp;source=h5_t" TargetMode="External"/><Relationship Id="rId459" Type="http://schemas.openxmlformats.org/officeDocument/2006/relationships/hyperlink" Target="https://vt.tiktok.com/ZS9fAdQpw/" TargetMode="External"/><Relationship Id="rId458" Type="http://schemas.openxmlformats.org/officeDocument/2006/relationships/hyperlink" Target="https://vt.tiktok.com/ZSHskWGBv/" TargetMode="External"/><Relationship Id="rId457" Type="http://schemas.openxmlformats.org/officeDocument/2006/relationships/hyperlink" Target="https://www.tiktok.com/@outher.la/video/7628617531573488916?is_from_webapp=1&amp;sender_device=pc" TargetMode="External"/><Relationship Id="rId456" Type="http://schemas.openxmlformats.org/officeDocument/2006/relationships/hyperlink" Target="https://www.tiktok.com/@outher.la" TargetMode="External"/><Relationship Id="rId451" Type="http://schemas.openxmlformats.org/officeDocument/2006/relationships/hyperlink" Target="https://vt.tiktok.com/ZSmGD1vaP/" TargetMode="External"/><Relationship Id="rId5640" Type="http://schemas.openxmlformats.org/officeDocument/2006/relationships/hyperlink" Target="https://vt.tiktok.com/ZS9M7V9WV/" TargetMode="External"/><Relationship Id="rId6971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450" Type="http://schemas.openxmlformats.org/officeDocument/2006/relationships/hyperlink" Target="https://www.tiktok.com/@arfatus.sh" TargetMode="External"/><Relationship Id="rId5641" Type="http://schemas.openxmlformats.org/officeDocument/2006/relationships/hyperlink" Target="https://www.tiktok.com/@machalaattee_01l" TargetMode="External"/><Relationship Id="rId6972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4310" Type="http://schemas.openxmlformats.org/officeDocument/2006/relationships/hyperlink" Target="https://www.tiktok.com/@justv.aza" TargetMode="External"/><Relationship Id="rId6970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455" Type="http://schemas.openxmlformats.org/officeDocument/2006/relationships/hyperlink" Target="http://outher.la" TargetMode="External"/><Relationship Id="rId4312" Type="http://schemas.openxmlformats.org/officeDocument/2006/relationships/hyperlink" Target="https://vt.tiktok.com/ZS9PVVQcb/" TargetMode="External"/><Relationship Id="rId5644" Type="http://schemas.openxmlformats.org/officeDocument/2006/relationships/hyperlink" Target="https://vt.tiktok.com/ZS9M7P3HV/" TargetMode="External"/><Relationship Id="rId6975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454" Type="http://schemas.openxmlformats.org/officeDocument/2006/relationships/hyperlink" Target="https://vt.tiktok.com/ZS9fSWBNo/" TargetMode="External"/><Relationship Id="rId4311" Type="http://schemas.openxmlformats.org/officeDocument/2006/relationships/hyperlink" Target="https://vt.tiktok.com/ZSHo693wF/" TargetMode="External"/><Relationship Id="rId5645" Type="http://schemas.openxmlformats.org/officeDocument/2006/relationships/hyperlink" Target="https://vt.tiktok.com/ZS9M7V9WV/" TargetMode="External"/><Relationship Id="rId6976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453" Type="http://schemas.openxmlformats.org/officeDocument/2006/relationships/hyperlink" Target="https://vt.tiktok.com/ZS9fANV4P/" TargetMode="External"/><Relationship Id="rId4314" Type="http://schemas.openxmlformats.org/officeDocument/2006/relationships/hyperlink" Target="https://www.tiktok.com/@racun_spalspil12/video/7636564695561833749?_r=1&amp;u_code=cllj6j6aidf05b&amp;region=&amp;mid=7507772951459432464&amp;preview_pb=0&amp;sharer_language=&amp;_d=0&amp;ec_shared_reflux_dynamic_params=%7B%22placeholder_material_id%22%3A%227636564695561833749%22%2C%22placeholder_origin_cover%22%3A%22https%253A%252F%252Fp16-common-sign.tiktokcdn.com%252Ftos-alisg-p-0037%252FoEcBfhIA3UMBTL9tBtrRz8fKEaBi6hipgI7IPO~tplv-tiktokx-origin.jpeg%253Fdr%253D14572%2526refresh_token%253D21e4c5cf%2526x-expires%253D1810720800%2526x-signature%253DB95fwELPXLrGPA4Z4Vzn46T2mI4%25253D%2526t%253D4d5b0474%2526ps%253D13740610%2526shp%253Dd05b14bd%2526shcp%253D34ff8df6%2526idc%253Dmy3%2526s%253DTIKTOK_AFFILIATE_VIRAL_VIDEO%22%2C%22placeholder_product_id%22%3A%221729729730555512511%22%2C%22placeholder_video_id%22%3A%227636564695561833749%22%7D&amp;ec_shared_reflux_scene=shop_tab_feed&amp;share_item_id=7636564695561833749&amp;source=h5_t" TargetMode="External"/><Relationship Id="rId5642" Type="http://schemas.openxmlformats.org/officeDocument/2006/relationships/hyperlink" Target="https://vt.tiktok.com/ZS9M7BywS/" TargetMode="External"/><Relationship Id="rId6973" Type="http://schemas.openxmlformats.org/officeDocument/2006/relationships/hyperlink" Target="https://www.tiktok.com/@viana27_91" TargetMode="External"/><Relationship Id="rId452" Type="http://schemas.openxmlformats.org/officeDocument/2006/relationships/hyperlink" Target="https://vt.tiktok.com/ZS9fANKEa/" TargetMode="External"/><Relationship Id="rId4313" Type="http://schemas.openxmlformats.org/officeDocument/2006/relationships/hyperlink" Target="https://www.tiktok.com/@racun_spalspil12/video/7636561304806755604?_r=1&amp;u_code=cllj6j6aidf05b&amp;region=&amp;mid=7497551820198398721&amp;preview_pb=0&amp;sharer_language=&amp;_d=0&amp;ec_shared_reflux_dynamic_params=%7B%22placeholder_material_id%22%3A%227636561304806755604%22%2C%22placeholder_origin_cover%22%3A%22https%253A%252F%252Fp16-common-sign.tiktokcdn.com%252Ftos-alisg-p-0037%252FoM4fehXjkICZIhUDEToAJODyFpfBACB0DIT6yi~tplv-tiktokx-origin.jpeg%253Fdr%253D14572%2526refresh_token%253D333bc5a5%2526x-expires%253D1810720800%2526x-signature%253DO0GmFEfYV%25252FTX8Rj3WpvGQZs1h1k%25253D%2526t%253D4d5b0474%2526ps%253D13740610%2526shp%253Dd05b14bd%2526shcp%253D34ff8df6%2526idc%253Dmy3%2526s%253DTIKTOK_AFFILIATE_VIRAL_VIDEO%22%2C%22placeholder_product_id%22%3A%221729729730555512511%22%2C%22placeholder_video_id%22%3A%227636561304806755604%22%7D&amp;ec_shared_reflux_scene=shop_tab_feed&amp;share_item_id=7636561304806755604&amp;source=h5_t" TargetMode="External"/><Relationship Id="rId5643" Type="http://schemas.openxmlformats.org/officeDocument/2006/relationships/hyperlink" Target="https://vt.tiktok.com/ZS9M7j4DV/" TargetMode="External"/><Relationship Id="rId6974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3018" Type="http://schemas.openxmlformats.org/officeDocument/2006/relationships/hyperlink" Target="https://www.tiktok.com/@berkah.glosir/video/7633252120455613716" TargetMode="External"/><Relationship Id="rId4349" Type="http://schemas.openxmlformats.org/officeDocument/2006/relationships/hyperlink" Target="https://www.tiktok.com/@racun_spalspil12/video/7637215330879802645?_r=1&amp;u_code=cllj6j6aidf05b&amp;region=&amp;mid=7585367255886727943&amp;preview_pb=0&amp;sharer_language=&amp;_d=0&amp;ec_shared_reflux_dynamic_params=%7B%22placeholder_material_id%22%3A%227637215330879802645%22%2C%22placeholder_origin_cover%22%3A%22https%253A%252F%252Fp16-common-sign.tiktokcdn.com%252Ftos-alisg-p-0037%252FoQiauzMTfAQtDkfBi8lNTj1C4t8fIEPZIZRAIB~tplv-tiktokx-origin.jpeg%253Fdr%253D14572%2526refresh_token%253Dc9a4eb9f%2526x-expires%253D1810720800%2526x-signature%253DbVloeVT5T7EFMH52hsMt%25252F41Kcrs%25253D%2526t%253D4d5b0474%2526ps%253D13740610%2526shp%253Dd05b14bd%2526shcp%253D34ff8df6%2526idc%253Dmy3%2526s%253DTIKTOK_AFFILIATE_VIRAL_VIDEO%22%2C%22placeholder_product_id%22%3A%221729729730555512511%22%2C%22placeholder_video_id%22%3A%227637215330879802645%22%7D&amp;ec_shared_reflux_scene=shop_tab_feed&amp;share_item_id=7637215330879802645&amp;source=h5_t" TargetMode="External"/><Relationship Id="rId3017" Type="http://schemas.openxmlformats.org/officeDocument/2006/relationships/hyperlink" Target="https://www.tiktok.com/@berkah.glosir/video/7633018289391783189" TargetMode="External"/><Relationship Id="rId4348" Type="http://schemas.openxmlformats.org/officeDocument/2006/relationships/hyperlink" Target="https://www.tiktok.com/@racun_spalspil12/video/7636601443658501397?_r=1&amp;u_code=cllj6j6aidf05b&amp;region=&amp;mid=7604121927885359105&amp;preview_pb=0&amp;sharer_language=&amp;_d=0&amp;ec_shared_reflux_dynamic_params=%7B%22placeholder_material_id%22%3A%227636601443658501397%22%2C%22placeholder_origin_cover%22%3A%22https%253A%252F%252Fp16-common-sign.tiktokcdn.com%252Ftos-alisg-p-0037%252FoIqCEiZBw40ANoJiPr0IABA8IN6sJfIRqiTPmu~tplv-tiktokx-origin.jpeg%253Fdr%253D14572%2526refresh_token%253Da90ed0ca%2526x-expires%253D1810720800%2526x-signature%253DCShKTBJQOQqSNOcpA%25252BV00pb8hbQ%25253D%2526t%253D4d5b0474%2526ps%253D13740610%2526shp%253Dd05b14bd%2526shcp%253D34ff8df6%2526idc%253Dmy3%2526s%253DTIKTOK_AFFILIATE_VIRAL_VIDEO%22%2C%22placeholder_product_id%22%3A%221729729730555512511%22%2C%22placeholder_video_id%22%3A%227636601443658501397%22%7D&amp;ec_shared_reflux_scene=shop_tab_feed&amp;share_item_id=7636601443658501397&amp;source=h5_t" TargetMode="External"/><Relationship Id="rId5679" Type="http://schemas.openxmlformats.org/officeDocument/2006/relationships/hyperlink" Target="https://vt.tiktok.com/ZSxWDTVxa/" TargetMode="External"/><Relationship Id="rId3019" Type="http://schemas.openxmlformats.org/officeDocument/2006/relationships/hyperlink" Target="https://vt.tiktok.com/ZS9jjpt1j/" TargetMode="External"/><Relationship Id="rId491" Type="http://schemas.openxmlformats.org/officeDocument/2006/relationships/hyperlink" Target="https://www.tiktok.com/@beauty.iidd/video/7635070531208826120?_r=1&amp;u_code=ebjf03139m95gf&amp;region=&amp;mid=7628387283846826773&amp;preview_pb=0&amp;sharer_language=&amp;_d=0&amp;ec_shared_reflux_dynamic_params=%7B%22placeholder_material_id%22%3A%227635070531208826120%22%2C%22placeholder_origin_cover%22%3A%22https%253A%252F%252Fp16-common-sign.tiktokcdn.com%252Ftos-alisg-p-0037%252FoEVefAD9UcHBHFRupTWugBcEgQ1qBRlQiJyTEM~tplv-tiktokx-origin.jpeg%253Fdr%253D14572%2526refresh_token%253D237ec95b%2526x-expires%253D1809507600%2526x-signature%253DuNf%25252B1LNpHKUTg1KaL5Qo5L%25252F2nuU%25253D%2526t%253D4d5b0474%2526ps%253D13740610%2526shp%253Dd05b14bd%2526shcp%253D34ff8df6%2526idc%253Dmy%2526s%253DTIKTOK_AFFILIATE_VIRAL_VIDEO%22%2C%22placeholder_product_id%22%3A%221729427766722726591%22%2C%22placeholder_video_id%22%3A%227635070531208826120%22%7D&amp;ec_shared_reflux_scene=shop_tab_feed&amp;share_item_id=7635070531208826120&amp;source=h5_t" TargetMode="External"/><Relationship Id="rId490" Type="http://schemas.openxmlformats.org/officeDocument/2006/relationships/hyperlink" Target="https://vt.tiktok.com/ZSmwW2fkD/" TargetMode="External"/><Relationship Id="rId489" Type="http://schemas.openxmlformats.org/officeDocument/2006/relationships/hyperlink" Target="https://www.tiktok.com/@nris9" TargetMode="External"/><Relationship Id="rId5670" Type="http://schemas.openxmlformats.org/officeDocument/2006/relationships/hyperlink" Target="https://vt.tiktok.com/ZSxWUJPnb/" TargetMode="External"/><Relationship Id="rId484" Type="http://schemas.openxmlformats.org/officeDocument/2006/relationships/hyperlink" Target="https://www.tiktok.com/@beautywith_kadita" TargetMode="External"/><Relationship Id="rId3010" Type="http://schemas.openxmlformats.org/officeDocument/2006/relationships/hyperlink" Target="https://www.tiktok.com/@berkah.glosir/video/7633017804874124565" TargetMode="External"/><Relationship Id="rId4341" Type="http://schemas.openxmlformats.org/officeDocument/2006/relationships/hyperlink" Target="https://vt.tiktok.com/ZS9es62Q2/" TargetMode="External"/><Relationship Id="rId5673" Type="http://schemas.openxmlformats.org/officeDocument/2006/relationships/hyperlink" Target="https://vt.tiktok.com/ZSxWULkuV/" TargetMode="External"/><Relationship Id="rId483" Type="http://schemas.openxmlformats.org/officeDocument/2006/relationships/hyperlink" Target="https://www.tiktok.com/@iniicaaaaa_19/video/7634116465825697032?_r=1&amp;u_code=dd05kb3jhhkck9&amp;region=&amp;mid=7614222591133944597&amp;preview_pb=0&amp;sharer_language=&amp;_d=0&amp;ec_shared_reflux_dynamic_params=%7B%22placeholder_material_id%22%3A%227634116465825697032%22%2C%22placeholder_origin_cover%22%3A%22https%253A%252F%252Fp16-common-sign.tiktokcdn.com%252Ftos-alisg-p-0037%252FoA8gEP1pA8REd1UpRHqBBCSBHEQWQAFxtfa8fD~tplv-tiktokx-origin.jpeg%253Fdr%253D14572%2526refresh_token%253Df4d03728%2526x-expires%253D1809507600%2526x-signature%253DKynDKj6KTo921AocsN2lfuCSB4E%25253D%2526t%253D4d5b0474%2526ps%253D13740610%2526shp%253Dd05b14bd%2526shcp%253D34ff8df6%2526idc%253Dmy%2526s%253DTIKTOK_AFFILIATE_VIRAL_VIDEO%22%2C%22placeholder_product_id%22%3A%221729427766722726591%22%2C%22placeholder_video_id%22%3A%227634116465825697032%22%7D&amp;ec_shared_reflux_scene=shop_tab_feed&amp;share_item_id=7634116465825697032&amp;source=h5_t" TargetMode="External"/><Relationship Id="rId4340" Type="http://schemas.openxmlformats.org/officeDocument/2006/relationships/hyperlink" Target="https://www.tiktok.com/@felicee_05" TargetMode="External"/><Relationship Id="rId5674" Type="http://schemas.openxmlformats.org/officeDocument/2006/relationships/hyperlink" Target="https://vt.tiktok.com/ZSxWDTnou/" TargetMode="External"/><Relationship Id="rId482" Type="http://schemas.openxmlformats.org/officeDocument/2006/relationships/hyperlink" Target="https://vt.tiktok.com/ZSuAosWCe/" TargetMode="External"/><Relationship Id="rId3012" Type="http://schemas.openxmlformats.org/officeDocument/2006/relationships/hyperlink" Target="https://www.tiktok.com/@berkah.glosir/video/7633250900991085845" TargetMode="External"/><Relationship Id="rId4343" Type="http://schemas.openxmlformats.org/officeDocument/2006/relationships/hyperlink" Target="https://www.tiktok.com/@racun_spalspil12/video/7636590205029420309?_r=1&amp;u_code=cllj6j6aidf05b&amp;region=&amp;mid=7628937677475810064&amp;preview_pb=0&amp;sharer_language=&amp;_d=0&amp;ec_shared_reflux_dynamic_params=%7B%22placeholder_material_id%22%3A%227636590205029420309%22%2C%22placeholder_origin_cover%22%3A%22https%253A%252F%252Fp16-common-sign.tiktokcdn.com%252Ftos-alisg-p-0037%252FocADCm76OfTIeCTPYTGTfIh849njIvLAC4DI4t~tplv-tiktokx-origin.jpeg%253Fdr%253D14572%2526refresh_token%253Df1764856%2526x-expires%253D1810720800%2526x-signature%253D4kZOPE5xRXdhEXlhSA0dKHdmrmQ%25253D%2526t%253D4d5b0474%2526ps%253D13740610%2526shp%253Dd05b14bd%2526shcp%253D34ff8df6%2526idc%253Dmy3%2526s%253DTIKTOK_AFFILIATE_VIRAL_VIDEO%22%2C%22placeholder_product_id%22%3A%221729729730555512511%22%2C%22placeholder_video_id%22%3A%227636590205029420309%22%7D&amp;ec_shared_reflux_scene=shop_tab_feed&amp;share_item_id=7636590205029420309&amp;source=h5_t" TargetMode="External"/><Relationship Id="rId5671" Type="http://schemas.openxmlformats.org/officeDocument/2006/relationships/hyperlink" Target="https://www.tiktok.com/@fafarorraja" TargetMode="External"/><Relationship Id="rId481" Type="http://schemas.openxmlformats.org/officeDocument/2006/relationships/hyperlink" Target="https://vt.tiktok.com/ZSuYeGSpP/" TargetMode="External"/><Relationship Id="rId3011" Type="http://schemas.openxmlformats.org/officeDocument/2006/relationships/hyperlink" Target="https://www.tiktok.com/@pasutribarukocak" TargetMode="External"/><Relationship Id="rId4342" Type="http://schemas.openxmlformats.org/officeDocument/2006/relationships/hyperlink" Target="https://vt.tiktok.com/ZS9FPqxwa/" TargetMode="External"/><Relationship Id="rId5672" Type="http://schemas.openxmlformats.org/officeDocument/2006/relationships/hyperlink" Target="https://vt.tiktok.com/ZSxWUFkEh/" TargetMode="External"/><Relationship Id="rId488" Type="http://schemas.openxmlformats.org/officeDocument/2006/relationships/hyperlink" Target="https://vt.tiktok.com/ZSmcFLaVL/" TargetMode="External"/><Relationship Id="rId3014" Type="http://schemas.openxmlformats.org/officeDocument/2006/relationships/hyperlink" Target="https://vt.tiktok.com/ZSxdTfw6M/" TargetMode="External"/><Relationship Id="rId4345" Type="http://schemas.openxmlformats.org/officeDocument/2006/relationships/hyperlink" Target="https://www.tiktok.com/@n.meliay" TargetMode="External"/><Relationship Id="rId5677" Type="http://schemas.openxmlformats.org/officeDocument/2006/relationships/hyperlink" Target="https://vt.tiktok.com/ZSxWUJJLR/" TargetMode="External"/><Relationship Id="rId487" Type="http://schemas.openxmlformats.org/officeDocument/2006/relationships/hyperlink" Target="https://vt.tiktok.com/ZSmWb75hb/" TargetMode="External"/><Relationship Id="rId3013" Type="http://schemas.openxmlformats.org/officeDocument/2006/relationships/hyperlink" Target="https://www.tiktok.com/@berkah.glosir/video/7633250685856861461" TargetMode="External"/><Relationship Id="rId4344" Type="http://schemas.openxmlformats.org/officeDocument/2006/relationships/hyperlink" Target="https://www.tiktok.com/@racun_spalspil12/video/7636601222341954836?_r=1&amp;u_code=cllj6j6aidf05b&amp;region=&amp;mid=7579718956010031120&amp;preview_pb=0&amp;sharer_language=&amp;_d=0&amp;ec_shared_reflux_dynamic_params=%7B%22placeholder_material_id%22%3A%227636601222341954836%22%2C%22placeholder_origin_cover%22%3A%22https%253A%252F%252Fp19-common-sign.tiktokcdn.com%252Ftos-alisg-p-0037%252FogVB7xrfn6npiBAzIQGVRq8BgiGEcQB8rxfCIn~tplv-tiktokx-origin.jpeg%253Fdr%253D14572%2526refresh_token%253D861384d4%2526x-expires%253D1810720800%2526x-signature%253DyLUBNJYAIFGeaPxkaQ4LOYzelrs%25253D%2526t%253D4d5b0474%2526ps%253D13740610%2526shp%253Dd05b14bd%2526shcp%253D34ff8df6%2526idc%253Dmy3%2526s%253DTIKTOK_AFFILIATE_VIRAL_VIDEO%22%2C%22placeholder_product_id%22%3A%221729729730555512511%22%2C%22placeholder_video_id%22%3A%227636601222341954836%22%7D&amp;ec_shared_reflux_scene=shop_tab_feed&amp;share_item_id=7636601222341954836&amp;source=h5_t" TargetMode="External"/><Relationship Id="rId5678" Type="http://schemas.openxmlformats.org/officeDocument/2006/relationships/hyperlink" Target="https://vt.tiktok.com/ZSxWDcomX/" TargetMode="External"/><Relationship Id="rId486" Type="http://schemas.openxmlformats.org/officeDocument/2006/relationships/hyperlink" Target="https://vt.tiktok.com/ZSmWgM5qo/" TargetMode="External"/><Relationship Id="rId3016" Type="http://schemas.openxmlformats.org/officeDocument/2006/relationships/hyperlink" Target="https://www.tiktok.com/@awitya_rara" TargetMode="External"/><Relationship Id="rId4347" Type="http://schemas.openxmlformats.org/officeDocument/2006/relationships/hyperlink" Target="https://vt.tiktok.com/ZS9Mqonrs/" TargetMode="External"/><Relationship Id="rId5675" Type="http://schemas.openxmlformats.org/officeDocument/2006/relationships/hyperlink" Target="https://vt.tiktok.com/ZSxWD3rmu/" TargetMode="External"/><Relationship Id="rId485" Type="http://schemas.openxmlformats.org/officeDocument/2006/relationships/hyperlink" Target="https://vt.tiktok.com/ZSmpuGdS6/" TargetMode="External"/><Relationship Id="rId3015" Type="http://schemas.openxmlformats.org/officeDocument/2006/relationships/hyperlink" Target="https://vt.tiktok.com/ZSxdTLptp/" TargetMode="External"/><Relationship Id="rId4346" Type="http://schemas.openxmlformats.org/officeDocument/2006/relationships/hyperlink" Target="https://vt.tiktok.com/ZS96mAafa/" TargetMode="External"/><Relationship Id="rId5676" Type="http://schemas.openxmlformats.org/officeDocument/2006/relationships/hyperlink" Target="https://www.tiktok.com/@withfadilla" TargetMode="External"/><Relationship Id="rId3007" Type="http://schemas.openxmlformats.org/officeDocument/2006/relationships/hyperlink" Target="https://vt.tiktok.com/ZSxdTkkmL/" TargetMode="External"/><Relationship Id="rId4338" Type="http://schemas.openxmlformats.org/officeDocument/2006/relationships/hyperlink" Target="https://www.tiktok.com/@racun_spalspil12/video/7636589109049314580?_r=1&amp;u_code=cllj6j6aidf05b&amp;region=&amp;mid=7526377439288314641&amp;preview_pb=0&amp;sharer_language=&amp;_d=0&amp;ec_shared_reflux_dynamic_params=%7B%22placeholder_material_id%22%3A%227636589109049314580%22%2C%22placeholder_origin_cover%22%3A%22https%253A%252F%252Fp16-common-sign.tiktokcdn.com%252Ftos-alisg-p-0037%252FoUIX6p4EnBUcIgRl0VIAbiiB6nBYGfBljfzUWc~tplv-tiktokx-origin.jpeg%253Fdr%253D14572%2526refresh_token%253Db0f60c2b%2526x-expires%253D1810720800%2526x-signature%253DBCHgBdEeuFf9zF%25252BAIRshVtfxMxA%25253D%2526t%253D4d5b0474%2526ps%253D13740610%2526shp%253Dd05b14bd%2526shcp%253D34ff8df6%2526idc%253Dmy3%2526s%253DTIKTOK_AFFILIATE_VIRAL_VIDEO%22%2C%22placeholder_product_id%22%3A%221729729730555512511%22%2C%22placeholder_video_id%22%3A%227636589109049314580%22%7D&amp;ec_shared_reflux_scene=shop_tab_feed&amp;share_item_id=7636589109049314580&amp;source=h5_t" TargetMode="External"/><Relationship Id="rId3006" Type="http://schemas.openxmlformats.org/officeDocument/2006/relationships/hyperlink" Target="https://vt.tiktok.com/ZSxdTFSoj/" TargetMode="External"/><Relationship Id="rId4337" Type="http://schemas.openxmlformats.org/officeDocument/2006/relationships/hyperlink" Target="https://vt.tiktok.com/ZSHtUkjLf/" TargetMode="External"/><Relationship Id="rId3009" Type="http://schemas.openxmlformats.org/officeDocument/2006/relationships/hyperlink" Target="https://www.tiktok.com/@berkah.glosir/video/7633018050425408788" TargetMode="External"/><Relationship Id="rId5668" Type="http://schemas.openxmlformats.org/officeDocument/2006/relationships/hyperlink" Target="https://vt.tiktok.com/ZS9pwarUd/" TargetMode="External"/><Relationship Id="rId6999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3008" Type="http://schemas.openxmlformats.org/officeDocument/2006/relationships/hyperlink" Target="https://www.tiktok.com/@shusiie_limbong" TargetMode="External"/><Relationship Id="rId4339" Type="http://schemas.openxmlformats.org/officeDocument/2006/relationships/hyperlink" Target="https://www.tiktok.com/@racun_spalspil12/video/7636589735493848341?_r=1&amp;u_code=cllj6j6aidf05b&amp;region=&amp;mid=7486067442412406801&amp;preview_pb=0&amp;sharer_language=&amp;_d=0&amp;ec_shared_reflux_dynamic_params=%7B%22placeholder_material_id%22%3A%227636589735493848341%22%2C%22placeholder_origin_cover%22%3A%22https%253A%252F%252Fp16-common-sign.tiktokcdn.com%252Ftos-alisg-p-0037%252FoQnRn6IfkXeoAFwhKn7fGpAIdQgU8G2Mg1OfGS~tplv-tiktokx-origin.jpeg%253Fdr%253D14572%2526refresh_token%253D060bb6b4%2526x-expires%253D1810720800%2526x-signature%253Dt0Du%25252FctYm5NffiHD0iB6NBPTB6o%25253D%2526t%253D4d5b0474%2526ps%253D13740610%2526shp%253Dd05b14bd%2526shcp%253D34ff8df6%2526idc%253Dmy3%2526s%253DTIKTOK_AFFILIATE_VIRAL_VIDEO%22%2C%22placeholder_product_id%22%3A%221729729730555512511%22%2C%22placeholder_video_id%22%3A%227636589735493848341%22%7D&amp;ec_shared_reflux_scene=shop_tab_feed&amp;share_item_id=7636589735493848341&amp;source=h5_t" TargetMode="External"/><Relationship Id="rId5669" Type="http://schemas.openxmlformats.org/officeDocument/2006/relationships/hyperlink" Target="https://vt.tiktok.com/ZSxWDocr2/" TargetMode="External"/><Relationship Id="rId480" Type="http://schemas.openxmlformats.org/officeDocument/2006/relationships/hyperlink" Target="https://vt.tiktok.com/ZSuYeGSpP/" TargetMode="External"/><Relationship Id="rId479" Type="http://schemas.openxmlformats.org/officeDocument/2006/relationships/hyperlink" Target="https://www.tiktok.com/@wattpadstoryy_3" TargetMode="External"/><Relationship Id="rId478" Type="http://schemas.openxmlformats.org/officeDocument/2006/relationships/hyperlink" Target="https://www.tiktok.com/@sinbel28/video/7635534912774327559?_r=1&amp;u_code=d054de3ejd5k82&amp;region=&amp;mid=7605074065766696961&amp;preview_pb=0&amp;sharer_language=&amp;_d=0&amp;ec_shared_reflux_dynamic_params=%7B%22placeholder_material_id%22%3A%227635534912774327559%22%2C%22placeholder_origin_cover%22%3A%22https%253A%252F%252Fp16-sign-sg.tiktokcdn.com%252Ftos-alisg-p-0037%252FocAB2LJvu75pG3TWjeJCbRIeA4IVDfYQbT1AQQ~tplv-tiktokx-origin.jpeg%253Fdr%253D14572%2526refresh_token%253D4d052432%2526x-expires%253D1809504000%2526x-signature%253DyCI7BI4znlygZJdzyb8h31LzF2U%25253D%2526t%253D4d5b0474%2526ps%253D13740610%2526shp%253Dd05b14bd%2526shcp%253D34ff8df6%2526idc%253Dmy%2526s%253DTIKTOK_AFFILIATE_VIRAL_VIDEO%22%2C%22placeholder_product_id%22%3A%221729427766722726591%22%2C%22placeholder_video_id%22%3A%227635534912774327559%22%7D&amp;ec_shared_reflux_scene=shop_tab_feed&amp;share_item_id=7635534912774327559&amp;source=h5_t" TargetMode="External"/><Relationship Id="rId6990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473" Type="http://schemas.openxmlformats.org/officeDocument/2006/relationships/hyperlink" Target="https://www.tiktok.com/@arul_baster/video/7635420868281175316?_r=1&amp;u_code=em5ldfdci12ji3&amp;region=&amp;mid=7200439513942853634&amp;preview_pb=0&amp;sharer_language=&amp;_d=0&amp;ec_shared_reflux_dynamic_params=%7B%22placeholder_material_id%22%3A%227635420868281175316%22%2C%22placeholder_origin_cover%22%3A%22https%253A%252F%252Fp16-sign-sg.tiktokcdn.com%252Ftos-alisg-p-0037%252FoEB2su3NIAKf0IiltPIdC67Am2liZwlKAaA1i0~tplv-tiktokx-origin.jpeg%253Fdr%253D14572%2526refresh_token%253D2b28fc6a%2526x-expires%253D1809507600%2526x-signature%253D4tuhg1SoheYht6dqgWC7Ssp4YEs%25253D%2526t%253D4d5b0474%2526ps%253D13740610%2526shp%253Dd05b14bd%2526shcp%253D34ff8df6%2526idc%253Dmy%2526s%253DTIKTOK_AFFILIATE_VIRAL_VIDEO%22%2C%22placeholder_product_id%22%3A%221729427766722726591%22%2C%22placeholder_video_id%22%3A%227635420868281175316%22%7D&amp;ec_shared_reflux_scene=shop_tab_feed&amp;share_item_id=7635420868281175316&amp;source=h5_t" TargetMode="External"/><Relationship Id="rId4330" Type="http://schemas.openxmlformats.org/officeDocument/2006/relationships/hyperlink" Target="https://www.tiktok.com/@Sans.Review" TargetMode="External"/><Relationship Id="rId5662" Type="http://schemas.openxmlformats.org/officeDocument/2006/relationships/hyperlink" Target="https://vt.tiktok.com/ZS9Y5KpbQ/" TargetMode="External"/><Relationship Id="rId6993" Type="http://schemas.openxmlformats.org/officeDocument/2006/relationships/hyperlink" Target="https://www.tiktok.com/@d_i0205" TargetMode="External"/><Relationship Id="rId472" Type="http://schemas.openxmlformats.org/officeDocument/2006/relationships/hyperlink" Target="https://www.tiktok.com/@racunskincare07_/video/7636313225373519125?_r=1&amp;u_code=e9d5fc75hjj49e&amp;region=&amp;mid=7594443310195329041&amp;preview_pb=0&amp;sharer_language=&amp;_d=0&amp;ec_shared_reflux_dynamic_params=%7B%22placeholder_material_id%22%3A%227636313225373519125%22%2C%22placeholder_origin_cover%22%3A%22https%253A%252F%252Fp16-common-sign.tiktokcdn.com%252Ftos-alisg-p-0037%252Foo9xEDAFMQiifjEAzRIevJQaFQomDfQC4n8TU5~tplv-tiktokx-origin.jpeg%253Fdr%253D14572%2526refresh_token%253Dfb0beacc%2526x-expires%253D1809504000%2526x-signature%253D%25252FwxPxXMJ3Mibp7HApGGamXpeCbs%25253D%2526t%253D4d5b0474%2526ps%253D13740610%2526shp%253Dd05b14bd%2526shcp%253D34ff8df6%2526idc%253Dmy%2526s%253DTIKTOK_AFFILIATE_VIRAL_VIDEO%22%2C%22placeholder_product_id%22%3A%221729427766722726591%22%2C%22placeholder_video_id%22%3A%227636313225373519125%22%7D&amp;ec_shared_reflux_scene=shop_tab_feed&amp;share_item_id=7636313225373519125&amp;source=h5_t" TargetMode="External"/><Relationship Id="rId5663" Type="http://schemas.openxmlformats.org/officeDocument/2006/relationships/hyperlink" Target="https://vt.tiktok.com/ZS9A5a9Ph/" TargetMode="External"/><Relationship Id="rId6994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471" Type="http://schemas.openxmlformats.org/officeDocument/2006/relationships/hyperlink" Target="https://vt.tiktok.com/ZSmmqc3Sv/" TargetMode="External"/><Relationship Id="rId3001" Type="http://schemas.openxmlformats.org/officeDocument/2006/relationships/hyperlink" Target="https://vt.tiktok.com/ZS9MeAkyR/" TargetMode="External"/><Relationship Id="rId4332" Type="http://schemas.openxmlformats.org/officeDocument/2006/relationships/hyperlink" Target="https://vt.tiktok.com/ZS9kDQNE4/" TargetMode="External"/><Relationship Id="rId5660" Type="http://schemas.openxmlformats.org/officeDocument/2006/relationships/hyperlink" Target="https://vt.tiktok.com/ZS9kJWGRt/" TargetMode="External"/><Relationship Id="rId6991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470" Type="http://schemas.openxmlformats.org/officeDocument/2006/relationships/hyperlink" Target="https://vt.tiktok.com/ZSmmqcgkv/" TargetMode="External"/><Relationship Id="rId3000" Type="http://schemas.openxmlformats.org/officeDocument/2006/relationships/hyperlink" Target="https://www.tiktok.com/@alyssacacaaz" TargetMode="External"/><Relationship Id="rId4331" Type="http://schemas.openxmlformats.org/officeDocument/2006/relationships/hyperlink" Target="https://vt.tiktok.com/ZS9kU8fXU/" TargetMode="External"/><Relationship Id="rId5661" Type="http://schemas.openxmlformats.org/officeDocument/2006/relationships/hyperlink" Target="https://www.tiktok.com/@Prettygirls.www" TargetMode="External"/><Relationship Id="rId6992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477" Type="http://schemas.openxmlformats.org/officeDocument/2006/relationships/hyperlink" Target="https://www.tiktok.com/@arul_baster/video/7634564139033349397?_d=0&amp;_r=1&amp;ec_shared_reflux_dynamic_params=%7B%22placeholder_material_id%22%3A%227634564139033349397%22%2C%22placeholder_origin_cover%22%3A%22https%253A%252F%252Fp16-common-sign.tiktokcdn.com%252Ftos-alisg-p-0037%252FowRBWiBpAcPfz8es6plbAiUz1HIEIhH7Bba4ig~tplv-tiktokx-origin.jpeg%253Fdr%253D14572%2526refresh_token%253D4eb99483%2526x-expires%253D1809507600%2526x-signature%253Dl9K8Kf1Evnc5qhmLfals2cwO2%25252FI%25253D%2526t%253D4d5b0474%2526ps%253D13740610%2526shp%253Dd05b14bd%2526shcp%253D34ff8df6%2526idc%253Dmy%2526s%253DTIKTOK_AFFILIATE_VIRAL_VIDEO%22%2C%22placeholder_product_id%22%3A%221729427766722726591%22%2C%22placeholder_video_id%22%3A%227634564139033349397%22%7D&amp;ec_shared_reflux_scene=shop_tab_feed&amp;mid=6571743901395192589&amp;preview_pb=0&amp;region=&amp;share_item_id=7634564139033349397&amp;sharer_language=&amp;source=h5_t&amp;u_code=em5ldfdci12ji3" TargetMode="External"/><Relationship Id="rId3003" Type="http://schemas.openxmlformats.org/officeDocument/2006/relationships/hyperlink" Target="https://www.tiktok.com/@intanayulaksmi" TargetMode="External"/><Relationship Id="rId4334" Type="http://schemas.openxmlformats.org/officeDocument/2006/relationships/hyperlink" Target="https://www.tiktok.com/@racun_spalspil12/video/7636586302984424725?_r=1&amp;u_code=cllj6j6aidf05b&amp;region=&amp;mid=7514003816174454785&amp;preview_pb=0&amp;sharer_language=&amp;_d=0&amp;ec_shared_reflux_dynamic_params=%7B%22placeholder_material_id%22%3A%227636586302984424725%22%2C%22placeholder_origin_cover%22%3A%22https%253A%252F%252Fp16-common-sign.tiktokcdn.com%252Ftos-alisg-p-0037%252FocpTC6oGE3tF1HmAiAxIeUoOjqYLDDCeIfOIq4~tplv-tiktokx-origin.jpeg%253Fdr%253D14572%2526refresh_token%253D56cca850%2526x-expires%253D1810720800%2526x-signature%253DxJtsjPq7gpXzLcCJBKwUrw%25252FYlBk%25253D%2526t%253D4d5b0474%2526ps%253D13740610%2526shp%253Dd05b14bd%2526shcp%253D34ff8df6%2526idc%253Dmy3%2526s%253DTIKTOK_AFFILIATE_VIRAL_VIDEO%22%2C%22placeholder_product_id%22%3A%221729729730555512511%22%2C%22placeholder_video_id%22%3A%227636586302984424725%22%7D&amp;ec_shared_reflux_scene=shop_tab_feed&amp;share_item_id=7636586302984424725&amp;source=h5_t" TargetMode="External"/><Relationship Id="rId5666" Type="http://schemas.openxmlformats.org/officeDocument/2006/relationships/hyperlink" Target="https://www.tiktok.com/@Ranianggraini_5" TargetMode="External"/><Relationship Id="rId6997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476" Type="http://schemas.openxmlformats.org/officeDocument/2006/relationships/hyperlink" Target="https://www.tiktok.com/@arul_baster/video/7634893424923118868?_r=1&amp;u_code=em5ldfdci12ji3&amp;region=&amp;mid=6768727472981673985&amp;preview_pb=0&amp;sharer_language=&amp;_d=0&amp;ec_shared_reflux_dynamic_params=%7B%22placeholder_material_id%22%3A%227634893424923118868%22%2C%22placeholder_origin_cover%22%3A%22https%253A%252F%252Fp16-common-sign.tiktokcdn.com%252Ftos-alisg-p-0037%252FokIs000C4AS1YwIYxrIA3iiAWlBv3fAiVP8Wyu~tplv-tiktokx-origin.jpeg%253Fdr%253D14572%2526refresh_token%253Daa494d09%2526x-expires%253D1809507600%2526x-signature%253D25P1hc6%25252FNKsQVqdYmeHOmTMg%25252B5Q%25253D%2526t%253D4d5b0474%2526ps%253D13740610%2526shp%253Dd05b14bd%2526shcp%253D34ff8df6%2526idc%253Dmy%2526s%253DTIKTOK_AFFILIATE_VIRAL_VIDEO%22%2C%22placeholder_product_id%22%3A%221729427766722726591%22%2C%22placeholder_video_id%22%3A%227634893424923118868%22%7D&amp;ec_shared_reflux_scene=shop_tab_feed&amp;share_item_id=7634893424923118868&amp;source=h5_t" TargetMode="External"/><Relationship Id="rId3002" Type="http://schemas.openxmlformats.org/officeDocument/2006/relationships/hyperlink" Target="https://www.tiktok.com/@rindi.afrilia/video/7631507349915716884?_r=1&amp;u_code=dja890i3j90f3j&amp;region=&amp;mid=7610763691407509521&amp;preview_pb=0&amp;sharer_language=&amp;_d=0&amp;ec_shared_reflux_dynamic_params=%7B%22placeholder_material_id%22%3A%227631507349915716884%22%2C%22placeholder_origin_cover%22%3A%22https%253A%252F%252Fp16-common-sign.tiktokcdn.com%252Ftos-alisg-p-0037%252FoEkon78EXCRECQkQIBFpAjfDguc5zBt4fI6E60~tplv-tiktokx-origin.jpeg%253Fdr%253D14572%2526refresh_token%253D2e874fd2%2526x-expires%253D1810202400%2526x-signature%253Dv3SJoYARXP2eMbP%25252FQgF7QKiwRqg%25253D%2526t%253D4d5b0474%2526ps%253D13740610%2526shp%253Dd05b14bd%2526shcp%253D34ff8df6%2526idc%253Dmy2%2526s%253DTIKTOK_AFFILIATE_VIRAL_VIDEO%22%2C%22placeholder_product_id%22%3A%221729427766722726591%22%2C%22placeholder_video_id%22%3A%227631507349915716884%22%7D&amp;ec_shared_reflux_scene=shop_tab_feed&amp;share_item_id=7631507349915716884&amp;source=h5_t" TargetMode="External"/><Relationship Id="rId4333" Type="http://schemas.openxmlformats.org/officeDocument/2006/relationships/hyperlink" Target="https://www.tiktok.com/@racun_spalspil12/video/7636585486609370389?_r=1&amp;u_code=cllj6j6aidf05b&amp;region=&amp;mid=7497471422952917815&amp;preview_pb=0&amp;sharer_language=&amp;_d=0&amp;ec_shared_reflux_dynamic_params=%7B%22placeholder_material_id%22%3A%227636585486609370389%22%2C%22placeholder_origin_cover%22%3A%22https%253A%252F%252Fp16-common-sign.tiktokcdn.com%252Ftos-alisg-p-0037%252Fo8mRf6Ezevl0AFwifn2rGRAfdgQ84GlYQ6mhnx~tplv-tiktokx-origin.jpeg%253Fdr%253D14572%2526refresh_token%253Df7ad2d24%2526x-expires%253D1810720800%2526x-signature%253DCOzENZvpP8TKhSkoruYTPLmkAY4%25253D%2526t%253D4d5b0474%2526ps%253D13740610%2526shp%253Dd05b14bd%2526shcp%253D34ff8df6%2526idc%253Dmy3%2526s%253DTIKTOK_AFFILIATE_VIRAL_VIDEO%22%2C%22placeholder_product_id%22%3A%221729729730555512511%22%2C%22placeholder_video_id%22%3A%227636585486609370389%22%7D&amp;ec_shared_reflux_scene=shop_tab_feed&amp;share_item_id=7636585486609370389&amp;source=h5_t" TargetMode="External"/><Relationship Id="rId5667" Type="http://schemas.openxmlformats.org/officeDocument/2006/relationships/hyperlink" Target="https://vt.tiktok.com/ZS9pwmKHF/" TargetMode="External"/><Relationship Id="rId6998" Type="http://schemas.openxmlformats.org/officeDocument/2006/relationships/hyperlink" Target="https://www.tiktok.com/@aaayy908" TargetMode="External"/><Relationship Id="rId475" Type="http://schemas.openxmlformats.org/officeDocument/2006/relationships/hyperlink" Target="https://vt.tiktok.com/ZSmqVA4Dp/" TargetMode="External"/><Relationship Id="rId3005" Type="http://schemas.openxmlformats.org/officeDocument/2006/relationships/hyperlink" Target="https://www.tiktok.com/@berkah.glosir/video/7633017214915939604" TargetMode="External"/><Relationship Id="rId4336" Type="http://schemas.openxmlformats.org/officeDocument/2006/relationships/hyperlink" Target="https://vt.tiktok.com/ZSHtUM9nX/" TargetMode="External"/><Relationship Id="rId5664" Type="http://schemas.openxmlformats.org/officeDocument/2006/relationships/hyperlink" Target="https://vt.tiktok.com/ZS9A5HjLM/" TargetMode="External"/><Relationship Id="rId6995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474" Type="http://schemas.openxmlformats.org/officeDocument/2006/relationships/hyperlink" Target="https://www.tiktok.com/@meriiskaaa" TargetMode="External"/><Relationship Id="rId3004" Type="http://schemas.openxmlformats.org/officeDocument/2006/relationships/hyperlink" Target="https://vt.tiktok.com/ZS9jj2Yg5/" TargetMode="External"/><Relationship Id="rId4335" Type="http://schemas.openxmlformats.org/officeDocument/2006/relationships/hyperlink" Target="https://www.tiktok.com/@akuakansuksess" TargetMode="External"/><Relationship Id="rId5665" Type="http://schemas.openxmlformats.org/officeDocument/2006/relationships/hyperlink" Target="https://vt.tiktok.com/ZSxWDUg5P/" TargetMode="External"/><Relationship Id="rId6996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5615" Type="http://schemas.openxmlformats.org/officeDocument/2006/relationships/hyperlink" Target="https://vt.tiktok.com/ZS9M7V9WV/" TargetMode="External"/><Relationship Id="rId6946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5616" Type="http://schemas.openxmlformats.org/officeDocument/2006/relationships/hyperlink" Target="https://www.tiktok.com/@nrlnvtsriiii" TargetMode="External"/><Relationship Id="rId6947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5613" Type="http://schemas.openxmlformats.org/officeDocument/2006/relationships/hyperlink" Target="https://vt.tiktok.com/ZS9M7j4DV/" TargetMode="External"/><Relationship Id="rId6944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5614" Type="http://schemas.openxmlformats.org/officeDocument/2006/relationships/hyperlink" Target="https://vt.tiktok.com/ZS9M7P3HV/" TargetMode="External"/><Relationship Id="rId6945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5619" Type="http://schemas.openxmlformats.org/officeDocument/2006/relationships/hyperlink" Target="https://vt.tiktok.com/ZS9M7P3HV/" TargetMode="External"/><Relationship Id="rId5617" Type="http://schemas.openxmlformats.org/officeDocument/2006/relationships/hyperlink" Target="https://vt.tiktok.com/ZS9M7BywS/" TargetMode="External"/><Relationship Id="rId6948" Type="http://schemas.openxmlformats.org/officeDocument/2006/relationships/hyperlink" Target="https://www.tiktok.com/@usersamuelmanurung" TargetMode="External"/><Relationship Id="rId5618" Type="http://schemas.openxmlformats.org/officeDocument/2006/relationships/hyperlink" Target="https://vt.tiktok.com/ZS9M7j4DV/" TargetMode="External"/><Relationship Id="rId6949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426" Type="http://schemas.openxmlformats.org/officeDocument/2006/relationships/hyperlink" Target="https://vt.tiktok.com/ZSmUdrsmD/" TargetMode="External"/><Relationship Id="rId425" Type="http://schemas.openxmlformats.org/officeDocument/2006/relationships/hyperlink" Target="https://vt.tiktok.com/ZSmUd6o2G/" TargetMode="External"/><Relationship Id="rId424" Type="http://schemas.openxmlformats.org/officeDocument/2006/relationships/hyperlink" Target="https://www.tiktok.com/@ikkenovi18" TargetMode="External"/><Relationship Id="rId423" Type="http://schemas.openxmlformats.org/officeDocument/2006/relationships/hyperlink" Target="https://vt.tiktok.com/ZSmGmQjHc/" TargetMode="External"/><Relationship Id="rId429" Type="http://schemas.openxmlformats.org/officeDocument/2006/relationships/hyperlink" Target="https://www.tiktok.com/@dian_novitasari98" TargetMode="External"/><Relationship Id="rId428" Type="http://schemas.openxmlformats.org/officeDocument/2006/relationships/hyperlink" Target="https://vt.tiktok.com/ZSmUdFWFt/" TargetMode="External"/><Relationship Id="rId427" Type="http://schemas.openxmlformats.org/officeDocument/2006/relationships/hyperlink" Target="https://vt.tiktok.com/ZSmUdjfVP/" TargetMode="External"/><Relationship Id="rId422" Type="http://schemas.openxmlformats.org/officeDocument/2006/relationships/hyperlink" Target="https://vt.tiktok.com/ZSmGBSW7r/" TargetMode="External"/><Relationship Id="rId5611" Type="http://schemas.openxmlformats.org/officeDocument/2006/relationships/hyperlink" Target="https://www.tiktok.com/@rahasiakunih" TargetMode="External"/><Relationship Id="rId6942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421" Type="http://schemas.openxmlformats.org/officeDocument/2006/relationships/hyperlink" Target="https://vt.tiktok.com/ZSmQ93qo2/" TargetMode="External"/><Relationship Id="rId5612" Type="http://schemas.openxmlformats.org/officeDocument/2006/relationships/hyperlink" Target="https://vt.tiktok.com/ZS9M7BywS/" TargetMode="External"/><Relationship Id="rId6943" Type="http://schemas.openxmlformats.org/officeDocument/2006/relationships/hyperlink" Target="https://www.tiktok.com/@nidayanti123" TargetMode="External"/><Relationship Id="rId420" Type="http://schemas.openxmlformats.org/officeDocument/2006/relationships/hyperlink" Target="https://www.tiktok.com/@nurfira01" TargetMode="External"/><Relationship Id="rId6940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5610" Type="http://schemas.openxmlformats.org/officeDocument/2006/relationships/hyperlink" Target="https://vt.tiktok.com/ZS9M7V9WV/" TargetMode="External"/><Relationship Id="rId6941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5604" Type="http://schemas.openxmlformats.org/officeDocument/2006/relationships/hyperlink" Target="https://vt.tiktok.com/ZSxWTfeB4/" TargetMode="External"/><Relationship Id="rId6935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5605" Type="http://schemas.openxmlformats.org/officeDocument/2006/relationships/hyperlink" Target="https://vt.tiktok.com/ZSxWTAPpM/" TargetMode="External"/><Relationship Id="rId6936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5602" Type="http://schemas.openxmlformats.org/officeDocument/2006/relationships/hyperlink" Target="https://www.tiktok.com/@aira_beautyskin/video/7632343361197739280?_r=1&amp;u_code=e60l0ai4bcjefj&amp;region=&amp;mid=7272183590492261125&amp;preview_pb=0&amp;sharer_language=&amp;_d=0&amp;ec_shared_reflux_dynamic_params=%7B%22placeholder_material_id%22%3A%227632343361197739280%22%2C%22placeholder_origin_cover%22%3A%22https%253A%252F%252Fp16-sign-sg.tiktokcdn.com%252Ftos-alisg-p-0037%252Fo08c6FcDpBDv7Z5FE4y4xAQXEBDXf6ygnRQfvt~tplv-tiktokx-origin.jpeg%253Fdr%253D14572%2526refresh_token%253Df6a5a906%2526x-expires%253D1808992800%2526x-signature%253D9IYiLrxns3yZiaSqfAov%25252Fuajr%25252F0%25253D%2526t%253D4d5b0474%2526ps%253D13740610%2526shp%253Dd05b14bd%2526shcp%253D34ff8df6%2526idc%253Dmy2%2526s%253DTIKTOK_AFFILIATE_VIRAL_VIDEO%22%2C%22placeholder_product_id%22%3A%221729427766722726591%22%2C%22placeholder_video_id%22%3A%227632343361197739280%22%7D&amp;ec_shared_reflux_scene=shop_tab_feed&amp;share_item_id=7632343361197739280&amp;source=h5_t" TargetMode="External"/><Relationship Id="rId6933" Type="http://schemas.openxmlformats.org/officeDocument/2006/relationships/hyperlink" Target="https://www.tiktok.com/@tarayuditya" TargetMode="External"/><Relationship Id="rId5603" Type="http://schemas.openxmlformats.org/officeDocument/2006/relationships/hyperlink" Target="https://www.tiktok.com/@aira_beautyskin/video/7633690173481569553?_r=1&amp;u_code=e60l0ai4bcjefj&amp;region=&amp;mid=7443702144051923728&amp;preview_pb=0&amp;sharer_language=&amp;_d=0&amp;ec_shared_reflux_dynamic_params=%7B%22placeholder_material_id%22%3A%227633690173481569553%22%2C%22placeholder_origin_cover%22%3A%22https%253A%252F%252Fp16-common-sign.tiktokcdn.com%252Ftos-alisg-p-0037%252FoEWrwoiIIBgpvYefiUicwTn9AQgy6EADBBCRDw~tplv-tiktokx-origin.jpeg%253Fdr%253D14572%2526refresh_token%253De2c45980%2526x-expires%253D1808992800%2526x-signature%253DdvOIhBG6wQdyOo6xIENC8r0D7Q4%25253D%2526t%253D4d5b0474%2526ps%253D13740610%2526shp%253Dd05b14bd%2526shcp%253D34ff8df6%2526idc%253Dmy2%2526s%253DTIKTOK_AFFILIATE_VIRAL_VIDEO%22%2C%22placeholder_product_id%22%3A%221729427766722726591%22%2C%22placeholder_video_id%22%3A%227633690173481569553%22%7D&amp;ec_shared_reflux_scene=shop_tab_feed&amp;share_item_id=7633690173481569553&amp;source=h5_t" TargetMode="External"/><Relationship Id="rId6934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5608" Type="http://schemas.openxmlformats.org/officeDocument/2006/relationships/hyperlink" Target="https://vt.tiktok.com/ZS9M7j4DV/" TargetMode="External"/><Relationship Id="rId6939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5609" Type="http://schemas.openxmlformats.org/officeDocument/2006/relationships/hyperlink" Target="https://vt.tiktok.com/ZS9M7P3HV/" TargetMode="External"/><Relationship Id="rId5606" Type="http://schemas.openxmlformats.org/officeDocument/2006/relationships/hyperlink" Target="https://www.tiktok.com/@_ciaashop" TargetMode="External"/><Relationship Id="rId6937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5607" Type="http://schemas.openxmlformats.org/officeDocument/2006/relationships/hyperlink" Target="https://vt.tiktok.com/ZS9M7BywS/" TargetMode="External"/><Relationship Id="rId6938" Type="http://schemas.openxmlformats.org/officeDocument/2006/relationships/hyperlink" Target="https://www.tiktok.com/@wiwin_is31" TargetMode="External"/><Relationship Id="rId415" Type="http://schemas.openxmlformats.org/officeDocument/2006/relationships/hyperlink" Target="https://www.tiktok.com/@audhynrz" TargetMode="External"/><Relationship Id="rId414" Type="http://schemas.openxmlformats.org/officeDocument/2006/relationships/hyperlink" Target="https://vt.tiktok.com/ZS9fSkAGK/" TargetMode="External"/><Relationship Id="rId413" Type="http://schemas.openxmlformats.org/officeDocument/2006/relationships/hyperlink" Target="https://vt.tiktok.com/ZSuofEE2B/" TargetMode="External"/><Relationship Id="rId412" Type="http://schemas.openxmlformats.org/officeDocument/2006/relationships/hyperlink" Target="https://www.tiktok.com/@focusonmeehh" TargetMode="External"/><Relationship Id="rId419" Type="http://schemas.openxmlformats.org/officeDocument/2006/relationships/hyperlink" Target="https://vt.tiktok.com/ZS9fSMwWh/" TargetMode="External"/><Relationship Id="rId418" Type="http://schemas.openxmlformats.org/officeDocument/2006/relationships/hyperlink" Target="https://vt.tiktok.com/ZS9fSVMKt/" TargetMode="External"/><Relationship Id="rId417" Type="http://schemas.openxmlformats.org/officeDocument/2006/relationships/hyperlink" Target="https://vt.tiktok.com/ZS9fSQpC9/" TargetMode="External"/><Relationship Id="rId416" Type="http://schemas.openxmlformats.org/officeDocument/2006/relationships/hyperlink" Target="https://vt.tiktok.com/ZSuxpjsLm/" TargetMode="External"/><Relationship Id="rId411" Type="http://schemas.openxmlformats.org/officeDocument/2006/relationships/hyperlink" Target="https://vt.tiktok.com/ZS9fSmpPu/" TargetMode="External"/><Relationship Id="rId5600" Type="http://schemas.openxmlformats.org/officeDocument/2006/relationships/hyperlink" Target="https://vt.tiktok.com/ZSxWKheSn//" TargetMode="External"/><Relationship Id="rId6931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410" Type="http://schemas.openxmlformats.org/officeDocument/2006/relationships/hyperlink" Target="https://vt.tiktok.com/ZS9fSHauQ/" TargetMode="External"/><Relationship Id="rId5601" Type="http://schemas.openxmlformats.org/officeDocument/2006/relationships/hyperlink" Target="https://www.tiktok.com/@aira_beautyskin" TargetMode="External"/><Relationship Id="rId6932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6930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4305" Type="http://schemas.openxmlformats.org/officeDocument/2006/relationships/hyperlink" Target="https://www.tiktok.com/@atikaaaaash" TargetMode="External"/><Relationship Id="rId5637" Type="http://schemas.openxmlformats.org/officeDocument/2006/relationships/hyperlink" Target="https://vt.tiktok.com/ZS9M7BywS/" TargetMode="External"/><Relationship Id="rId6968" Type="http://schemas.openxmlformats.org/officeDocument/2006/relationships/hyperlink" Target="https://www.tiktok.com/@aishasyana93" TargetMode="External"/><Relationship Id="rId4304" Type="http://schemas.openxmlformats.org/officeDocument/2006/relationships/hyperlink" Target="https://www.tiktok.com/@racun_spalspil12/video/7636480028070432021?_r=1&amp;u_code=cllj6j6aidf05b&amp;region=&amp;mid=7592932992264276756&amp;preview_pb=0&amp;sharer_language=&amp;_d=0&amp;ec_shared_reflux_dynamic_params=%7B%22placeholder_material_id%22%3A%227636480028070432021%22%2C%22placeholder_origin_cover%22%3A%22https%253A%252F%252Fp16-common-sign.tiktokcdn.com%252Ftos-alisg-p-0037%252FoQEBuzpXCORdiy1EiRAv3IIB6gocfygB4vfxi6~tplv-tiktokx-origin.jpeg%253Fdr%253D14572%2526refresh_token%253D844c4b9f%2526x-expires%253D1810720800%2526x-signature%253DR44yCD846Do2sLweZBpRL7vvwAY%25253D%2526t%253D4d5b0474%2526ps%253D13740610%2526shp%253Dd05b14bd%2526shcp%253D34ff8df6%2526idc%253Dmy3%2526s%253DTIKTOK_AFFILIATE_VIRAL_VIDEO%22%2C%22placeholder_product_id%22%3A%221729729730555512511%22%2C%22placeholder_video_id%22%3A%227636480028070432021%22%7D&amp;ec_shared_reflux_scene=shop_tab_feed&amp;share_item_id=7636480028070432021&amp;source=h5_t" TargetMode="External"/><Relationship Id="rId5638" Type="http://schemas.openxmlformats.org/officeDocument/2006/relationships/hyperlink" Target="https://vt.tiktok.com/ZS9M7j4DV/" TargetMode="External"/><Relationship Id="rId6969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4307" Type="http://schemas.openxmlformats.org/officeDocument/2006/relationships/hyperlink" Target="https://vt.tiktok.com/ZS9CaymVx/" TargetMode="External"/><Relationship Id="rId5635" Type="http://schemas.openxmlformats.org/officeDocument/2006/relationships/hyperlink" Target="https://vt.tiktok.com/ZS9M7V9WV/" TargetMode="External"/><Relationship Id="rId6966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4306" Type="http://schemas.openxmlformats.org/officeDocument/2006/relationships/hyperlink" Target="https://vt.tiktok.com/ZS92jhvhB/" TargetMode="External"/><Relationship Id="rId5636" Type="http://schemas.openxmlformats.org/officeDocument/2006/relationships/hyperlink" Target="https://www.tiktok.com/@Dilayuliana08" TargetMode="External"/><Relationship Id="rId6967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4309" Type="http://schemas.openxmlformats.org/officeDocument/2006/relationships/hyperlink" Target="https://www.tiktok.com/@racun_spalspil12/video/7636479614008741141?_r=1&amp;u_code=cllj6j6aidf05b&amp;region=&amp;mid=7514003816174454785&amp;preview_pb=0&amp;sharer_language=&amp;_d=0&amp;ec_shared_reflux_dynamic_params=%7B%22placeholder_material_id%22%3A%227636479614008741141%22%2C%22placeholder_origin_cover%22%3A%22https%253A%252F%252Fp16-common-sign.tiktokcdn.com%252Ftos-alisg-p-0037%252FoII6IBDCjO5eAuDTDFnlfcxwmmfIkEtA4zjcC6~tplv-tiktokx-origin.jpeg%253Fdr%253D14572%2526refresh_token%253D0adee62a%2526x-expires%253D1810720800%2526x-signature%253DEtm5DkLS3LnQ4w5pCOgNZ3xRZv8%25253D%2526t%253D4d5b0474%2526ps%253D13740610%2526shp%253Dd05b14bd%2526shcp%253D34ff8df6%2526idc%253Dmy3%2526s%253DTIKTOK_AFFILIATE_VIRAL_VIDEO%22%2C%22placeholder_product_id%22%3A%221729729730555512511%22%2C%22placeholder_video_id%22%3A%227636479614008741141%22%7D&amp;ec_shared_reflux_scene=shop_tab_feed&amp;share_item_id=7636479614008741141&amp;source=h5_t" TargetMode="External"/><Relationship Id="rId4308" Type="http://schemas.openxmlformats.org/officeDocument/2006/relationships/hyperlink" Target="https://www.tiktok.com/@racun_spalspil12/video/7636480602534858005?_r=1&amp;u_code=cllj6j6aidf05b&amp;region=&amp;mid=7580087028324616193&amp;preview_pb=0&amp;sharer_language=&amp;_d=0&amp;ec_shared_reflux_dynamic_params=%7B%22placeholder_material_id%22%3A%227636480602534858005%22%2C%22placeholder_origin_cover%22%3A%22https%253A%252F%252Fp19-common-sign.tiktokcdn.com%252Ftos-alisg-p-0037%252Fo4fMCWrnRpkyIgiIOOqiuEBBBq3RfIR611cABB~tplv-tiktokx-origin.jpeg%253Fdr%253D14572%2526refresh_token%253D14f40fe8%2526x-expires%253D1810720800%2526x-signature%253DicTNr5y4OqO2UoTjb717rUsHoWg%25253D%2526t%253D4d5b0474%2526ps%253D13740610%2526shp%253Dd05b14bd%2526shcp%253D34ff8df6%2526idc%253Dmy3%2526s%253DTIKTOK_AFFILIATE_VIRAL_VIDEO%22%2C%22placeholder_product_id%22%3A%221729729730555512511%22%2C%22placeholder_video_id%22%3A%227636480602534858005%22%7D&amp;ec_shared_reflux_scene=shop_tab_feed&amp;share_item_id=7636480602534858005&amp;source=h5_t" TargetMode="External"/><Relationship Id="rId5639" Type="http://schemas.openxmlformats.org/officeDocument/2006/relationships/hyperlink" Target="https://vt.tiktok.com/ZS9M7P3HV/" TargetMode="External"/><Relationship Id="rId448" Type="http://schemas.openxmlformats.org/officeDocument/2006/relationships/hyperlink" Target="https://vt.tiktok.com/ZS9fSsWWQ/" TargetMode="External"/><Relationship Id="rId447" Type="http://schemas.openxmlformats.org/officeDocument/2006/relationships/hyperlink" Target="https://vt.tiktok.com/ZS9fSC3na/" TargetMode="External"/><Relationship Id="rId446" Type="http://schemas.openxmlformats.org/officeDocument/2006/relationships/hyperlink" Target="https://vt.tiktok.com/ZSuUj1ruG/" TargetMode="External"/><Relationship Id="rId445" Type="http://schemas.openxmlformats.org/officeDocument/2006/relationships/hyperlink" Target="https://www.tiktok.com/@queenrfl/video/7612346050292075784?is_from_webapp=1&amp;sender_device=pc" TargetMode="External"/><Relationship Id="rId449" Type="http://schemas.openxmlformats.org/officeDocument/2006/relationships/hyperlink" Target="http://arfatus.sh" TargetMode="External"/><Relationship Id="rId440" Type="http://schemas.openxmlformats.org/officeDocument/2006/relationships/hyperlink" Target="https://vt.tiktok.com/ZSuhRca2r/" TargetMode="External"/><Relationship Id="rId6960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5630" Type="http://schemas.openxmlformats.org/officeDocument/2006/relationships/hyperlink" Target="https://vt.tiktok.com/ZS9M7V9WV/" TargetMode="External"/><Relationship Id="rId6961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444" Type="http://schemas.openxmlformats.org/officeDocument/2006/relationships/hyperlink" Target="https://www.tiktok.com/@queenrfl" TargetMode="External"/><Relationship Id="rId4301" Type="http://schemas.openxmlformats.org/officeDocument/2006/relationships/hyperlink" Target="https://vt.tiktok.com/ZSH3n4Xap/" TargetMode="External"/><Relationship Id="rId5633" Type="http://schemas.openxmlformats.org/officeDocument/2006/relationships/hyperlink" Target="https://vt.tiktok.com/ZS9M7j4DV/" TargetMode="External"/><Relationship Id="rId6964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443" Type="http://schemas.openxmlformats.org/officeDocument/2006/relationships/hyperlink" Target="https://vt.tiktok.com/ZS9fSDMP8/" TargetMode="External"/><Relationship Id="rId4300" Type="http://schemas.openxmlformats.org/officeDocument/2006/relationships/hyperlink" Target="https://www.tiktok.com/@berrybabe.id" TargetMode="External"/><Relationship Id="rId5634" Type="http://schemas.openxmlformats.org/officeDocument/2006/relationships/hyperlink" Target="https://vt.tiktok.com/ZS9M7P3HV/" TargetMode="External"/><Relationship Id="rId6965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442" Type="http://schemas.openxmlformats.org/officeDocument/2006/relationships/hyperlink" Target="https://vt.tiktok.com/ZS9fSbhkW/" TargetMode="External"/><Relationship Id="rId4303" Type="http://schemas.openxmlformats.org/officeDocument/2006/relationships/hyperlink" Target="https://www.tiktok.com/@racun_spalspil12/video/7636478890784984340?_r=1&amp;u_code=cllj6j6aidf05b&amp;region=&amp;mid=7631490590651468565&amp;preview_pb=0&amp;sharer_language=&amp;_d=0&amp;ec_shared_reflux_dynamic_params=%7B%22placeholder_material_id%22%3A%227636478890784984340%22%2C%22placeholder_origin_cover%22%3A%22https%253A%252F%252Fp16-common-sign.tiktokcdn.com%252Ftos-alisg-p-0037%252FoEpmIZA0AwoIFjI3xiUSPBhA6ujBfiy4ourOPC~tplv-tiktokx-origin.jpeg%253Fdr%253D14572%2526refresh_token%253D1d8562f4%2526x-expires%253D1810720800%2526x-signature%253DJFlR0w8tYwlTOuk2k5uG2%25252B82V80%25253D%2526t%253D4d5b0474%2526ps%253D13740610%2526shp%253Dd05b14bd%2526shcp%253D34ff8df6%2526idc%253Dmy3%2526s%253DTIKTOK_AFFILIATE_VIRAL_VIDEO%22%2C%22placeholder_product_id%22%3A%221729729730555512511%22%2C%22placeholder_video_id%22%3A%227636478890784984340%22%7D&amp;ec_shared_reflux_scene=shop_tab_feed&amp;share_item_id=7636478890784984340&amp;source=h5_t" TargetMode="External"/><Relationship Id="rId5631" Type="http://schemas.openxmlformats.org/officeDocument/2006/relationships/hyperlink" Target="https://www.tiktok.com/@destikadwip24" TargetMode="External"/><Relationship Id="rId6962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441" Type="http://schemas.openxmlformats.org/officeDocument/2006/relationships/hyperlink" Target="https://vt.tiktok.com/ZS9fShw5x/" TargetMode="External"/><Relationship Id="rId4302" Type="http://schemas.openxmlformats.org/officeDocument/2006/relationships/hyperlink" Target="https://vt.tiktok.com/ZSH3no25s/" TargetMode="External"/><Relationship Id="rId5632" Type="http://schemas.openxmlformats.org/officeDocument/2006/relationships/hyperlink" Target="https://vt.tiktok.com/ZS9M7BywS/" TargetMode="External"/><Relationship Id="rId6963" Type="http://schemas.openxmlformats.org/officeDocument/2006/relationships/hyperlink" Target="https://www.tiktok.com/@vanuzella_" TargetMode="External"/><Relationship Id="rId5626" Type="http://schemas.openxmlformats.org/officeDocument/2006/relationships/hyperlink" Target="https://www.tiktok.com/@Byliyah" TargetMode="External"/><Relationship Id="rId6957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5627" Type="http://schemas.openxmlformats.org/officeDocument/2006/relationships/hyperlink" Target="https://vt.tiktok.com/ZS9M7BywS/" TargetMode="External"/><Relationship Id="rId6958" Type="http://schemas.openxmlformats.org/officeDocument/2006/relationships/hyperlink" Target="https://www.tiktok.com/@strawberry_avoc" TargetMode="External"/><Relationship Id="rId5624" Type="http://schemas.openxmlformats.org/officeDocument/2006/relationships/hyperlink" Target="https://vt.tiktok.com/ZS9M7P3HV/" TargetMode="External"/><Relationship Id="rId6955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5625" Type="http://schemas.openxmlformats.org/officeDocument/2006/relationships/hyperlink" Target="https://vt.tiktok.com/ZS9M7V9WV/" TargetMode="External"/><Relationship Id="rId6956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5628" Type="http://schemas.openxmlformats.org/officeDocument/2006/relationships/hyperlink" Target="https://vt.tiktok.com/ZS9M7j4DV/" TargetMode="External"/><Relationship Id="rId6959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5629" Type="http://schemas.openxmlformats.org/officeDocument/2006/relationships/hyperlink" Target="https://vt.tiktok.com/ZS9M7P3HV/" TargetMode="External"/><Relationship Id="rId437" Type="http://schemas.openxmlformats.org/officeDocument/2006/relationships/hyperlink" Target="https://vt.tiktok.com/ZS9fSb6Jx/" TargetMode="External"/><Relationship Id="rId436" Type="http://schemas.openxmlformats.org/officeDocument/2006/relationships/hyperlink" Target="https://vt.tiktok.com/ZS9fSPWwG/" TargetMode="External"/><Relationship Id="rId435" Type="http://schemas.openxmlformats.org/officeDocument/2006/relationships/hyperlink" Target="https://vt.tiktok.com/ZSmHE63kn/" TargetMode="External"/><Relationship Id="rId434" Type="http://schemas.openxmlformats.org/officeDocument/2006/relationships/hyperlink" Target="https://www.tiktok.com/@titiaja12" TargetMode="External"/><Relationship Id="rId439" Type="http://schemas.openxmlformats.org/officeDocument/2006/relationships/hyperlink" Target="https://www.tiktok.com/@verapurn" TargetMode="External"/><Relationship Id="rId438" Type="http://schemas.openxmlformats.org/officeDocument/2006/relationships/hyperlink" Target="https://vt.tiktok.com/ZS9fSD1kQ/" TargetMode="External"/><Relationship Id="rId6950" Type="http://schemas.openxmlformats.org/officeDocument/2006/relationships/hyperlink" Target=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" TargetMode="External"/><Relationship Id="rId433" Type="http://schemas.openxmlformats.org/officeDocument/2006/relationships/hyperlink" Target="https://www.tiktok.com/@dian_novitasari98/video/7612667423023795477?is_from_webapp=1&amp;sender_device=pc" TargetMode="External"/><Relationship Id="rId5622" Type="http://schemas.openxmlformats.org/officeDocument/2006/relationships/hyperlink" Target="https://vt.tiktok.com/ZS9M7BywS/" TargetMode="External"/><Relationship Id="rId6953" Type="http://schemas.openxmlformats.org/officeDocument/2006/relationships/hyperlink" Target="https://www.tiktok.com/@galeritasya" TargetMode="External"/><Relationship Id="rId432" Type="http://schemas.openxmlformats.org/officeDocument/2006/relationships/hyperlink" Target="https://www.tiktok.com/@dian_novitasari98/video/7612616579498528020?is_from_webapp=1&amp;sender_device=pc" TargetMode="External"/><Relationship Id="rId5623" Type="http://schemas.openxmlformats.org/officeDocument/2006/relationships/hyperlink" Target="https://vt.tiktok.com/ZS9M7j4DV/" TargetMode="External"/><Relationship Id="rId6954" Type="http://schemas.openxmlformats.org/officeDocument/2006/relationships/hyperlink" Target=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" TargetMode="External"/><Relationship Id="rId431" Type="http://schemas.openxmlformats.org/officeDocument/2006/relationships/hyperlink" Target="https://www.tiktok.com/@dian_novitasari98/video/7612596948029230356?is_from_webapp=1&amp;sender_device=pc" TargetMode="External"/><Relationship Id="rId5620" Type="http://schemas.openxmlformats.org/officeDocument/2006/relationships/hyperlink" Target="https://vt.tiktok.com/ZS9M7V9WV/" TargetMode="External"/><Relationship Id="rId6951" Type="http://schemas.openxmlformats.org/officeDocument/2006/relationships/hyperlink" Target=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" TargetMode="External"/><Relationship Id="rId430" Type="http://schemas.openxmlformats.org/officeDocument/2006/relationships/hyperlink" Target="https://vt.tiktok.com/ZSmU57xRF/" TargetMode="External"/><Relationship Id="rId5621" Type="http://schemas.openxmlformats.org/officeDocument/2006/relationships/hyperlink" Target="https://www.tiktok.com/@spill_healthycare" TargetMode="External"/><Relationship Id="rId6952" Type="http://schemas.openxmlformats.org/officeDocument/2006/relationships/hyperlink" Target=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" TargetMode="External"/><Relationship Id="rId6108" Type="http://schemas.openxmlformats.org/officeDocument/2006/relationships/hyperlink" Target="https://www.tiktok.com/@novnov_303" TargetMode="External"/><Relationship Id="rId6109" Type="http://schemas.openxmlformats.org/officeDocument/2006/relationships/hyperlink" Target="https://vt.tiktok.com/ZSxWfMmyj/" TargetMode="External"/><Relationship Id="rId7439" Type="http://schemas.openxmlformats.org/officeDocument/2006/relationships/hyperlink" Target="https://www.tiktok.com/@nonazawaa2/video/7630372143372586261" TargetMode="External"/><Relationship Id="rId7430" Type="http://schemas.openxmlformats.org/officeDocument/2006/relationships/hyperlink" Target="https://vt.tiktok.com/ZS9H2LwwK/" TargetMode="External"/><Relationship Id="rId8761" Type="http://schemas.openxmlformats.org/officeDocument/2006/relationships/hyperlink" Target="https://www.tiktok.com/@mylanioky" TargetMode="External"/><Relationship Id="rId8760" Type="http://schemas.openxmlformats.org/officeDocument/2006/relationships/hyperlink" Target="https://vt.tiktok.com/ZSxgh6vsG/" TargetMode="External"/><Relationship Id="rId6102" Type="http://schemas.openxmlformats.org/officeDocument/2006/relationships/hyperlink" Target="https://vt.tiktok.com/ZSxWfjgXD/" TargetMode="External"/><Relationship Id="rId7434" Type="http://schemas.openxmlformats.org/officeDocument/2006/relationships/hyperlink" Target="https://www.tiktok.com/@itsme_indahhh1/video/7630795356304919826?_r=1&amp;u_code=ebfl0073gl26bh&amp;region=&amp;mid=7628208877490391815&amp;preview_pb=0&amp;sharer_language=&amp;_d=0&amp;ec_shared_reflux_dynamic_params=%7B%22placeholder_material_id%22%3A%227630795356304919826%22%2C%22placeholder_origin_cover%22%3A%22https%253A%252F%252Fp16-common-sign.tiktokcdn.com%252Ftos-alisg-p-0037%252FoEACuy0fnMVTFDAuQefcjDJDAE0IowCmTrzwQH~tplv-tiktokx-origin.jpeg%253Fdr%253D14572%2526refresh_token%253D964f7a06%2526x-expires%253D1808301600%2526x-signature%253DFtc8OISFkbE4uSBaBHzk2dLz%25252B7I%25253D%2526t%253D4d5b0474%2526ps%253D13740610%2526shp%253Dd05b14bd%2526shcp%253D34ff8df6%2526idc%253Dmy3%2526s%253DTIKTOK_AFFILIATE_VIRAL_VIDEO%22%2C%22placeholder_product_id%22%3A%221729427766722726591%22%2C%22placeholder_video_id%22%3A%227630795356304919826%22%7D&amp;ec_shared_reflux_scene=shop_tab_feed&amp;share_item_id=7630795356304919826&amp;source=h5_t" TargetMode="External"/><Relationship Id="rId8765" Type="http://schemas.openxmlformats.org/officeDocument/2006/relationships/hyperlink" Target="https://vt.tiktok.com/ZSxyASNre/" TargetMode="External"/><Relationship Id="rId6103" Type="http://schemas.openxmlformats.org/officeDocument/2006/relationships/hyperlink" Target="https://www.tiktok.com/@bunazhafzee" TargetMode="External"/><Relationship Id="rId7433" Type="http://schemas.openxmlformats.org/officeDocument/2006/relationships/hyperlink" Target="https://www.tiktok.com/@itsme_indahhh1" TargetMode="External"/><Relationship Id="rId8764" Type="http://schemas.openxmlformats.org/officeDocument/2006/relationships/hyperlink" Target="https://vt.tiktok.com/ZSxHD8hdM/" TargetMode="External"/><Relationship Id="rId6100" Type="http://schemas.openxmlformats.org/officeDocument/2006/relationships/hyperlink" Target="https://vt.tiktok.com/ZSxG6NUMY/" TargetMode="External"/><Relationship Id="rId7432" Type="http://schemas.openxmlformats.org/officeDocument/2006/relationships/hyperlink" Target="https://vt.tiktok.com/ZS9H2eUCb/" TargetMode="External"/><Relationship Id="rId8763" Type="http://schemas.openxmlformats.org/officeDocument/2006/relationships/hyperlink" Target="https://vt.tiktok.com/ZSxHD12UC/" TargetMode="External"/><Relationship Id="rId6101" Type="http://schemas.openxmlformats.org/officeDocument/2006/relationships/hyperlink" Target="https://vt.tiktok.com/ZSxG6LyWt/" TargetMode="External"/><Relationship Id="rId7431" Type="http://schemas.openxmlformats.org/officeDocument/2006/relationships/hyperlink" Target="https://vt.tiktok.com/ZS9H2PPny/" TargetMode="External"/><Relationship Id="rId8762" Type="http://schemas.openxmlformats.org/officeDocument/2006/relationships/hyperlink" Target="https://vt.tiktok.com/ZSxmgTewb/" TargetMode="External"/><Relationship Id="rId6106" Type="http://schemas.openxmlformats.org/officeDocument/2006/relationships/hyperlink" Target="https://vt.tiktok.com/ZSxmTRPTy/" TargetMode="External"/><Relationship Id="rId7438" Type="http://schemas.openxmlformats.org/officeDocument/2006/relationships/hyperlink" Target="https://www.tiktok.com/@nonazawaa2" TargetMode="External"/><Relationship Id="rId8769" Type="http://schemas.openxmlformats.org/officeDocument/2006/relationships/hyperlink" Target="https://vt.tiktok.com/ZSxHP9Kkk/" TargetMode="External"/><Relationship Id="rId6107" Type="http://schemas.openxmlformats.org/officeDocument/2006/relationships/hyperlink" Target="https://vt.tiktok.com/ZSxmsSdAD/" TargetMode="External"/><Relationship Id="rId7437" Type="http://schemas.openxmlformats.org/officeDocument/2006/relationships/hyperlink" Target="https://vt.tiktok.com/ZSxStsYL6/" TargetMode="External"/><Relationship Id="rId8768" Type="http://schemas.openxmlformats.org/officeDocument/2006/relationships/hyperlink" Target="https://vt.tiktok.com/ZSxHPGqSd/" TargetMode="External"/><Relationship Id="rId6104" Type="http://schemas.openxmlformats.org/officeDocument/2006/relationships/hyperlink" Target="https://vt.tiktok.com/ZSxubwDT3/" TargetMode="External"/><Relationship Id="rId7436" Type="http://schemas.openxmlformats.org/officeDocument/2006/relationships/hyperlink" Target="https://vt.tiktok.com/ZSxSt4SSV/" TargetMode="External"/><Relationship Id="rId8767" Type="http://schemas.openxmlformats.org/officeDocument/2006/relationships/hyperlink" Target="https://vt.tiktok.com/ZSxHPvuK9/" TargetMode="External"/><Relationship Id="rId6105" Type="http://schemas.openxmlformats.org/officeDocument/2006/relationships/hyperlink" Target="https://vt.tiktok.com/ZSxubcPP8/" TargetMode="External"/><Relationship Id="rId7435" Type="http://schemas.openxmlformats.org/officeDocument/2006/relationships/hyperlink" Target="https://vt.tiktok.com/ZSxStWv3n/" TargetMode="External"/><Relationship Id="rId8766" Type="http://schemas.openxmlformats.org/officeDocument/2006/relationships/hyperlink" Target="https://www.tiktok.com/@shaniaazzahraa_" TargetMode="External"/><Relationship Id="rId7429" Type="http://schemas.openxmlformats.org/officeDocument/2006/relationships/hyperlink" Target="https://vt.tiktok.com/ZS9H2BvDV/" TargetMode="External"/><Relationship Id="rId7428" Type="http://schemas.openxmlformats.org/officeDocument/2006/relationships/hyperlink" Target="https://www.tiktok.com/@allaboutskincare0711" TargetMode="External"/><Relationship Id="rId8759" Type="http://schemas.openxmlformats.org/officeDocument/2006/relationships/hyperlink" Target="https://vt.tiktok.com/ZS9Qf1BbT/" TargetMode="External"/><Relationship Id="rId8750" Type="http://schemas.openxmlformats.org/officeDocument/2006/relationships/hyperlink" Target="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eholder_origin_cover%22%3A%22https%253A%252F%252Fp16-common-sign.tiktokcdn.com%252Ftos-alisg-p-0037%252FoofGYgAmBbnFT6RIAFbW9wtri2J2nG45efAfun~tplv-tiktokx-origin.jpeg%253Fdr%253D14572%2526refresh_token%253D9aec4cb5%2526x-expires%253D1809504000%2526x-signature%253DvctWyysZiUs5n87SRHe%25252BG3XeDeI%25253D%2526t%253D4d5b0474%2526ps%253D13740610%2526shp%253Dd05b14bd%2526shcp%253D34ff8df6%2526idc%253Dmy%2526s%253DTIKTOK_AFFILIATE_VIRAL_VIDEO%22%2C%22placeholder_product_id%22%3A%221729427766722726591%22%2C%22placeholder_video_id%22%3A%227635544313203576082%22%7D&amp;ec_shared_reflux_scene=shop_tab_feed&amp;share_item_id=7635544313203576082&amp;source=h5_t" TargetMode="External"/><Relationship Id="rId7423" Type="http://schemas.openxmlformats.org/officeDocument/2006/relationships/hyperlink" Target="https://www.tiktok.com/@zzahraura" TargetMode="External"/><Relationship Id="rId8754" Type="http://schemas.openxmlformats.org/officeDocument/2006/relationships/hyperlink" Target="https://vt.tiktok.com/ZSxvNVhGD/" TargetMode="External"/><Relationship Id="rId7422" Type="http://schemas.openxmlformats.org/officeDocument/2006/relationships/hyperlink" Target="https://vt.tiktok.com/ZS9H2eUCb/" TargetMode="External"/><Relationship Id="rId8753" Type="http://schemas.openxmlformats.org/officeDocument/2006/relationships/hyperlink" Target="https://vt.tiktok.com/ZSxGXyFnE/" TargetMode="External"/><Relationship Id="rId7421" Type="http://schemas.openxmlformats.org/officeDocument/2006/relationships/hyperlink" Target="https://vt.tiktok.com/ZS9H2PPny/" TargetMode="External"/><Relationship Id="rId8752" Type="http://schemas.openxmlformats.org/officeDocument/2006/relationships/hyperlink" Target="https://www.tiktok.com/@iniyaya95" TargetMode="External"/><Relationship Id="rId7420" Type="http://schemas.openxmlformats.org/officeDocument/2006/relationships/hyperlink" Target="https://vt.tiktok.com/ZS9H2LwwK/" TargetMode="External"/><Relationship Id="rId8751" Type="http://schemas.openxmlformats.org/officeDocument/2006/relationships/hyperlink" Target="https://vt.tiktok.com/ZSxq61XAe/" TargetMode="External"/><Relationship Id="rId7427" Type="http://schemas.openxmlformats.org/officeDocument/2006/relationships/hyperlink" Target="https://vt.tiktok.com/ZS9H2eUCb/" TargetMode="External"/><Relationship Id="rId8758" Type="http://schemas.openxmlformats.org/officeDocument/2006/relationships/hyperlink" Target="https://vt.tiktok.com/ZSxHf2vUF/" TargetMode="External"/><Relationship Id="rId7426" Type="http://schemas.openxmlformats.org/officeDocument/2006/relationships/hyperlink" Target="https://vt.tiktok.com/ZS9H2PPny/" TargetMode="External"/><Relationship Id="rId8757" Type="http://schemas.openxmlformats.org/officeDocument/2006/relationships/hyperlink" Target="https://www.tiktok.com/@fashiontokoorange" TargetMode="External"/><Relationship Id="rId7425" Type="http://schemas.openxmlformats.org/officeDocument/2006/relationships/hyperlink" Target="https://vt.tiktok.com/ZS9H2LwwK/" TargetMode="External"/><Relationship Id="rId8756" Type="http://schemas.openxmlformats.org/officeDocument/2006/relationships/hyperlink" Target="https://vt.tiktok.com/ZSxHfhRkg/" TargetMode="External"/><Relationship Id="rId7424" Type="http://schemas.openxmlformats.org/officeDocument/2006/relationships/hyperlink" Target="https://vt.tiktok.com/ZS9H2BvDV/" TargetMode="External"/><Relationship Id="rId8755" Type="http://schemas.openxmlformats.org/officeDocument/2006/relationships/hyperlink" Target="https://vt.tiktok.com/ZS9QfND8q/" TargetMode="External"/><Relationship Id="rId6120" Type="http://schemas.openxmlformats.org/officeDocument/2006/relationships/hyperlink" Target="https://vt.tiktok.com/ZSxWfMySr/" TargetMode="External"/><Relationship Id="rId7452" Type="http://schemas.openxmlformats.org/officeDocument/2006/relationships/hyperlink" Target="https://vt.tiktok.com/ZS9H2eUCb/" TargetMode="External"/><Relationship Id="rId8783" Type="http://schemas.openxmlformats.org/officeDocument/2006/relationships/hyperlink" Target="https://vt.tiktok.com/ZSQdxAxNo/" TargetMode="External"/><Relationship Id="rId6121" Type="http://schemas.openxmlformats.org/officeDocument/2006/relationships/hyperlink" Target="https://vt.tiktok.com/ZSxWffone/" TargetMode="External"/><Relationship Id="rId7451" Type="http://schemas.openxmlformats.org/officeDocument/2006/relationships/hyperlink" Target="https://vt.tiktok.com/ZS9H2PPny/" TargetMode="External"/><Relationship Id="rId8782" Type="http://schemas.openxmlformats.org/officeDocument/2006/relationships/hyperlink" Target="https://vt.tiktok.com/ZSQd9EQNV/" TargetMode="External"/><Relationship Id="rId7450" Type="http://schemas.openxmlformats.org/officeDocument/2006/relationships/hyperlink" Target="https://vt.tiktok.com/ZS9H2LwwK/" TargetMode="External"/><Relationship Id="rId8781" Type="http://schemas.openxmlformats.org/officeDocument/2006/relationships/hyperlink" Target="https://www.tiktok.com/@haiakusyifa" TargetMode="External"/><Relationship Id="rId8780" Type="http://schemas.openxmlformats.org/officeDocument/2006/relationships/hyperlink" Target="https://vt.tiktok.com/ZSQdxLMa6/" TargetMode="External"/><Relationship Id="rId6124" Type="http://schemas.openxmlformats.org/officeDocument/2006/relationships/hyperlink" Target="https://vt.tiktok.com/ZSxWfPfKT/" TargetMode="External"/><Relationship Id="rId7456" Type="http://schemas.openxmlformats.org/officeDocument/2006/relationships/hyperlink" Target="https://vt.tiktok.com/ZS9H2PPny/" TargetMode="External"/><Relationship Id="rId8787" Type="http://schemas.openxmlformats.org/officeDocument/2006/relationships/hyperlink" Target="https://vt.tiktok.com/ZSx7GKh6h/" TargetMode="External"/><Relationship Id="rId6125" Type="http://schemas.openxmlformats.org/officeDocument/2006/relationships/hyperlink" Target="https://vt.tiktok.com/ZSxWfhB9u/" TargetMode="External"/><Relationship Id="rId7455" Type="http://schemas.openxmlformats.org/officeDocument/2006/relationships/hyperlink" Target="https://vt.tiktok.com/ZS9H2LwwK/" TargetMode="External"/><Relationship Id="rId8786" Type="http://schemas.openxmlformats.org/officeDocument/2006/relationships/hyperlink" Target="https://vt.tiktok.com/ZSx7GTkA6/" TargetMode="External"/><Relationship Id="rId6122" Type="http://schemas.openxmlformats.org/officeDocument/2006/relationships/hyperlink" Target="https://vt.tiktok.com/ZSxWf5rMp/" TargetMode="External"/><Relationship Id="rId7454" Type="http://schemas.openxmlformats.org/officeDocument/2006/relationships/hyperlink" Target="https://vt.tiktok.com/ZS9H2BvDV/" TargetMode="External"/><Relationship Id="rId8785" Type="http://schemas.openxmlformats.org/officeDocument/2006/relationships/hyperlink" Target="https://www.tiktok.com/@ig_cindy13" TargetMode="External"/><Relationship Id="rId6123" Type="http://schemas.openxmlformats.org/officeDocument/2006/relationships/hyperlink" Target="https://www.tiktok.com/@racundean_02" TargetMode="External"/><Relationship Id="rId7453" Type="http://schemas.openxmlformats.org/officeDocument/2006/relationships/hyperlink" Target="https://www.tiktok.com/@yunicraft_" TargetMode="External"/><Relationship Id="rId8784" Type="http://schemas.openxmlformats.org/officeDocument/2006/relationships/hyperlink" Target="https://vt.tiktok.com/ZSx7GTkA6/" TargetMode="External"/><Relationship Id="rId6128" Type="http://schemas.openxmlformats.org/officeDocument/2006/relationships/hyperlink" Target="https://www.tiktok.com/@racunskincare07_" TargetMode="External"/><Relationship Id="rId6129" Type="http://schemas.openxmlformats.org/officeDocument/2006/relationships/hyperlink" Target="https://www.tiktok.com/@racunskincare07_/video/7633607057786047764?_r=1&amp;u_code=e9d5fc75hjj49e&amp;region=&amp;mid=7622900823151889172&amp;preview_pb=0&amp;sharer_language=&amp;_d=0&amp;ec_shared_reflux_dynamic_params=%7B%22placeholder_material_id%22%3A%227633607057786047764%22%2C%22placeholder_origin_cover%22%3A%22https%253A%252F%252Fp16-common-sign.tiktokcdn.com%252Ftos-alisg-p-0037%252FosfpzmTY1APjARxagIFY8BcDnfLJpTAEBEBzwI~tplv-tiktokx-origin.jpeg%253Fdr%253D14572%2526refresh_token%253D44833ffc%2526x-expires%253D1808992800%2526x-signature%253Dj6dVo9PFE5hbvqYdRHTPmILGlWQ%25253D%2526t%253D4d5b0474%2526ps%253D13740610%2526shp%253Dd05b14bd%2526shcp%253D34ff8df6%2526idc%253Dmy2%2526s%253DTIKTOK_AFFILIATE_VIRAL_VIDEO%22%2C%22placeholder_product_id%22%3A%221729427766722726591%22%2C%22placeholder_video_id%22%3A%227633607057786047764%22%7D&amp;ec_shared_reflux_scene=shop_tab_feed&amp;share_item_id=7633607057786047764&amp;source=h5_t" TargetMode="External"/><Relationship Id="rId7459" Type="http://schemas.openxmlformats.org/officeDocument/2006/relationships/hyperlink" Target="https://vt.tiktok.com/ZS9H2BvDV/" TargetMode="External"/><Relationship Id="rId6126" Type="http://schemas.openxmlformats.org/officeDocument/2006/relationships/hyperlink" Target="https://vt.tiktok.com/ZSxWf9QQo/" TargetMode="External"/><Relationship Id="rId7458" Type="http://schemas.openxmlformats.org/officeDocument/2006/relationships/hyperlink" Target="https://www.tiktok.com/@littleboy0103" TargetMode="External"/><Relationship Id="rId8789" Type="http://schemas.openxmlformats.org/officeDocument/2006/relationships/hyperlink" Target="https://vt.tiktok.com/ZSx7t2xhA/" TargetMode="External"/><Relationship Id="rId6127" Type="http://schemas.openxmlformats.org/officeDocument/2006/relationships/hyperlink" Target="https://vt.tiktok.com/ZSxWfu5f9/" TargetMode="External"/><Relationship Id="rId7457" Type="http://schemas.openxmlformats.org/officeDocument/2006/relationships/hyperlink" Target="https://vt.tiktok.com/ZS9H2eUCb/" TargetMode="External"/><Relationship Id="rId8788" Type="http://schemas.openxmlformats.org/officeDocument/2006/relationships/hyperlink" Target="https://vt.tiktok.com/ZSx7tjtyg/" TargetMode="External"/><Relationship Id="rId6119" Type="http://schemas.openxmlformats.org/officeDocument/2006/relationships/hyperlink" Target="https://vt.tiktok.com/ZSxWfYJHG/" TargetMode="External"/><Relationship Id="rId7441" Type="http://schemas.openxmlformats.org/officeDocument/2006/relationships/hyperlink" Target="https://vt.tiktok.com/ZSxStbvyJ/" TargetMode="External"/><Relationship Id="rId8772" Type="http://schemas.openxmlformats.org/officeDocument/2006/relationships/hyperlink" Target="https://vt.tiktok.com/ZSxHPRUwt/" TargetMode="External"/><Relationship Id="rId6110" Type="http://schemas.openxmlformats.org/officeDocument/2006/relationships/hyperlink" Target="https://vt.tiktok.com/ZSxWfFPxQ/" TargetMode="External"/><Relationship Id="rId7440" Type="http://schemas.openxmlformats.org/officeDocument/2006/relationships/hyperlink" Target="https://www.tiktok.com/@nonazawa/video/7633777472047156500?_r=1&amp;u_code=d9liaile8494g1&amp;region=&amp;mid=7570280394625469200&amp;preview_pb=0&amp;sharer_language=&amp;_d=0&amp;ec_shared_reflux_dynamic_params=%7B%22placeholder_material_id%22%3A%227633777472047156500%22%2C%22placeholder_origin_cover%22%3A%22https%253A%252F%252Fp16-sign-sg.tiktokcdn.com%252Ftos-alisg-p-0037%252FowRwRJQNpQUJEpBqoB8F2fzEQ3DCzFA7igfODj~tplv-tiktokx-origin.jpeg%253Fdr%253D14572%2526refresh_token%253Df3ccfe4e%2526x-expires%253D1809507600%2526x-signature%253DSggr3U6yvXpTX%25252BiIpf9oL8mecVI%25253D%2526t%253D4d5b0474%2526ps%253D13740610%2526shp%253Dd05b14bd%2526shcp%253D34ff8df6%2526idc%253Dmy%2526s%253DTIKTOK_AFFILIATE_VIRAL_VIDEO%22%2C%22placeholder_product_id%22%3A%221729427766722726591%22%2C%22placeholder_video_id%22%3A%227633777472047156500%22%7D&amp;ec_shared_reflux_scene=shop_tab_feed&amp;share_item_id=7633777472047156500&amp;source=h5_t" TargetMode="External"/><Relationship Id="rId8771" Type="http://schemas.openxmlformats.org/officeDocument/2006/relationships/hyperlink" Target="https://www.tiktok.com/@brian.id1702" TargetMode="External"/><Relationship Id="rId8770" Type="http://schemas.openxmlformats.org/officeDocument/2006/relationships/hyperlink" Target="https://vt.tiktok.com/ZSxHPv1Ak/" TargetMode="External"/><Relationship Id="rId6113" Type="http://schemas.openxmlformats.org/officeDocument/2006/relationships/hyperlink" Target="https://www.tiktok.com/@marinaddict" TargetMode="External"/><Relationship Id="rId7445" Type="http://schemas.openxmlformats.org/officeDocument/2006/relationships/hyperlink" Target="https://vt.tiktok.com/ZS9H2PPny/" TargetMode="External"/><Relationship Id="rId8776" Type="http://schemas.openxmlformats.org/officeDocument/2006/relationships/hyperlink" Target="https://www.tiktok.com/@lusianaa87" TargetMode="External"/><Relationship Id="rId6114" Type="http://schemas.openxmlformats.org/officeDocument/2006/relationships/hyperlink" Target="https://vt.tiktok.com/ZS9kvvn2s/" TargetMode="External"/><Relationship Id="rId7444" Type="http://schemas.openxmlformats.org/officeDocument/2006/relationships/hyperlink" Target="https://vt.tiktok.com/ZS9H2LwwK/" TargetMode="External"/><Relationship Id="rId8775" Type="http://schemas.openxmlformats.org/officeDocument/2006/relationships/hyperlink" Target="https://vt.tiktok.com/ZSxy2AXjc/" TargetMode="External"/><Relationship Id="rId6111" Type="http://schemas.openxmlformats.org/officeDocument/2006/relationships/hyperlink" Target="https://vt.tiktok.com/ZSxWfjqFv/" TargetMode="External"/><Relationship Id="rId7443" Type="http://schemas.openxmlformats.org/officeDocument/2006/relationships/hyperlink" Target="https://vt.tiktok.com/ZS9H2BvDV/" TargetMode="External"/><Relationship Id="rId8774" Type="http://schemas.openxmlformats.org/officeDocument/2006/relationships/hyperlink" Target="https://vt.tiktok.com/ZSxHP4Pbt/" TargetMode="External"/><Relationship Id="rId6112" Type="http://schemas.openxmlformats.org/officeDocument/2006/relationships/hyperlink" Target="https://vt.tiktok.com/ZSxWfUYTx/" TargetMode="External"/><Relationship Id="rId7442" Type="http://schemas.openxmlformats.org/officeDocument/2006/relationships/hyperlink" Target="https://www.tiktok.com/@florida5257" TargetMode="External"/><Relationship Id="rId8773" Type="http://schemas.openxmlformats.org/officeDocument/2006/relationships/hyperlink" Target="https://vt.tiktok.com/ZSxHPvptF/" TargetMode="External"/><Relationship Id="rId6117" Type="http://schemas.openxmlformats.org/officeDocument/2006/relationships/hyperlink" Target="https://vt.tiktok.com/ZS9PNjVgm/" TargetMode="External"/><Relationship Id="rId7449" Type="http://schemas.openxmlformats.org/officeDocument/2006/relationships/hyperlink" Target="https://vt.tiktok.com/ZS9H2BvDV/" TargetMode="External"/><Relationship Id="rId6118" Type="http://schemas.openxmlformats.org/officeDocument/2006/relationships/hyperlink" Target="https://www.tiktok.com/@haeeina" TargetMode="External"/><Relationship Id="rId7448" Type="http://schemas.openxmlformats.org/officeDocument/2006/relationships/hyperlink" Target="https://www.tiktok.com/@astry.id" TargetMode="External"/><Relationship Id="rId8779" Type="http://schemas.openxmlformats.org/officeDocument/2006/relationships/hyperlink" Target="https://www.tiktok.com/@oktaviaaa11_" TargetMode="External"/><Relationship Id="rId6115" Type="http://schemas.openxmlformats.org/officeDocument/2006/relationships/hyperlink" Target="https://vt.tiktok.com/ZS9kvKaGG/" TargetMode="External"/><Relationship Id="rId7447" Type="http://schemas.openxmlformats.org/officeDocument/2006/relationships/hyperlink" Target="http://astry.id" TargetMode="External"/><Relationship Id="rId8778" Type="http://schemas.openxmlformats.org/officeDocument/2006/relationships/hyperlink" Target="https://vt.tiktok.com/ZSQdx1F6L/" TargetMode="External"/><Relationship Id="rId6116" Type="http://schemas.openxmlformats.org/officeDocument/2006/relationships/hyperlink" Target="https://vt.tiktok.com/ZS9kcMN1p/" TargetMode="External"/><Relationship Id="rId7446" Type="http://schemas.openxmlformats.org/officeDocument/2006/relationships/hyperlink" Target="https://vt.tiktok.com/ZS9H2eUCb/" TargetMode="External"/><Relationship Id="rId8777" Type="http://schemas.openxmlformats.org/officeDocument/2006/relationships/hyperlink" Target="https://vt.tiktok.com/ZSxhdcss4/" TargetMode="External"/><Relationship Id="rId8729" Type="http://schemas.openxmlformats.org/officeDocument/2006/relationships/hyperlink" Target="https://vt.tiktok.com/ZSxnMM5pa/" TargetMode="External"/><Relationship Id="rId8728" Type="http://schemas.openxmlformats.org/officeDocument/2006/relationships/hyperlink" Target="https://www.tiktok.com/@hilmaanrph" TargetMode="External"/><Relationship Id="rId8727" Type="http://schemas.openxmlformats.org/officeDocument/2006/relationships/hyperlink" Target="https://vt.tiktok.com/ZSxnP2RoC/" TargetMode="External"/><Relationship Id="rId8726" Type="http://schemas.openxmlformats.org/officeDocument/2006/relationships/hyperlink" Target="https://vt.tiktok.com/ZSxnPMWfn/" TargetMode="External"/><Relationship Id="rId1" Type="http://schemas.openxmlformats.org/officeDocument/2006/relationships/hyperlink" Target="https://www.tiktok.com/@they.callmelst" TargetMode="External"/><Relationship Id="rId2" Type="http://schemas.openxmlformats.org/officeDocument/2006/relationships/hyperlink" Target="https://vt.tiktok.com/ZSm2nfLgw/" TargetMode="External"/><Relationship Id="rId3" Type="http://schemas.openxmlformats.org/officeDocument/2006/relationships/hyperlink" Target="https://vt.tiktok.com/ZSmrTYFR5/" TargetMode="External"/><Relationship Id="rId4" Type="http://schemas.openxmlformats.org/officeDocument/2006/relationships/hyperlink" Target="https://vt.tiktok.com/ZSmr3cNDL/" TargetMode="External"/><Relationship Id="rId9" Type="http://schemas.openxmlformats.org/officeDocument/2006/relationships/hyperlink" Target="https://vt.tiktok.com/ZS9JRKBcg/" TargetMode="External"/><Relationship Id="rId8721" Type="http://schemas.openxmlformats.org/officeDocument/2006/relationships/hyperlink" Target="https://vt.tiktok.com/ZSxWmmQ7H/" TargetMode="External"/><Relationship Id="rId8720" Type="http://schemas.openxmlformats.org/officeDocument/2006/relationships/hyperlink" Target="https://vt.tiktok.com/ZSxWm9KEU/" TargetMode="External"/><Relationship Id="rId5" Type="http://schemas.openxmlformats.org/officeDocument/2006/relationships/hyperlink" Target="https://vt.tiktok.com/ZSmBWnTrV/" TargetMode="External"/><Relationship Id="rId8725" Type="http://schemas.openxmlformats.org/officeDocument/2006/relationships/hyperlink" Target="https://vt.tiktok.com/ZSxnKnFGS/" TargetMode="External"/><Relationship Id="rId6" Type="http://schemas.openxmlformats.org/officeDocument/2006/relationships/hyperlink" Target="https://www.tiktok.com/@indahcavalera" TargetMode="External"/><Relationship Id="rId8724" Type="http://schemas.openxmlformats.org/officeDocument/2006/relationships/hyperlink" Target="https://vt.tiktok.com/ZSxnKnFGS/" TargetMode="External"/><Relationship Id="rId7" Type="http://schemas.openxmlformats.org/officeDocument/2006/relationships/hyperlink" Target="https://vt.tiktok.com/ZSmBDaTMN/" TargetMode="External"/><Relationship Id="rId8723" Type="http://schemas.openxmlformats.org/officeDocument/2006/relationships/hyperlink" Target="https://www.tiktok.com/@lathifaaa__" TargetMode="External"/><Relationship Id="rId8" Type="http://schemas.openxmlformats.org/officeDocument/2006/relationships/hyperlink" Target="https://vt.tiktok.com/ZSmQKcdvh/" TargetMode="External"/><Relationship Id="rId8722" Type="http://schemas.openxmlformats.org/officeDocument/2006/relationships/hyperlink" Target="https://vt.tiktok.com/ZSxnsjofG/" TargetMode="External"/><Relationship Id="rId8718" Type="http://schemas.openxmlformats.org/officeDocument/2006/relationships/hyperlink" Target="https://www.tiktok.com/@sitimakiah559" TargetMode="External"/><Relationship Id="rId8717" Type="http://schemas.openxmlformats.org/officeDocument/2006/relationships/hyperlink" Target="https://vt.tiktok.com/ZS959tdWy/" TargetMode="External"/><Relationship Id="rId8716" Type="http://schemas.openxmlformats.org/officeDocument/2006/relationships/hyperlink" Target="https://vt.tiktok.com/ZS9DPPrEn/" TargetMode="External"/><Relationship Id="rId8715" Type="http://schemas.openxmlformats.org/officeDocument/2006/relationships/hyperlink" Target="https://vt.tiktok.com/ZS9DP9gUq/" TargetMode="External"/><Relationship Id="rId8719" Type="http://schemas.openxmlformats.org/officeDocument/2006/relationships/hyperlink" Target="https://vt.tiktok.com/ZSxWmVpSu/" TargetMode="External"/><Relationship Id="rId8710" Type="http://schemas.openxmlformats.org/officeDocument/2006/relationships/hyperlink" Target="https://vt.tiktok.com/ZS9DPDvFU/" TargetMode="External"/><Relationship Id="rId8714" Type="http://schemas.openxmlformats.org/officeDocument/2006/relationships/hyperlink" Target="https://vt.tiktok.com/ZS9DP2wff/" TargetMode="External"/><Relationship Id="rId8713" Type="http://schemas.openxmlformats.org/officeDocument/2006/relationships/hyperlink" Target="https://www.tiktok.com/@aisstore96" TargetMode="External"/><Relationship Id="rId8712" Type="http://schemas.openxmlformats.org/officeDocument/2006/relationships/hyperlink" Target="https://vt.tiktok.com/ZS9DPmU5N/" TargetMode="External"/><Relationship Id="rId8711" Type="http://schemas.openxmlformats.org/officeDocument/2006/relationships/hyperlink" Target="https://vt.tiktok.com/ZS9DP67g8/" TargetMode="External"/><Relationship Id="rId7419" Type="http://schemas.openxmlformats.org/officeDocument/2006/relationships/hyperlink" Target="https://vt.tiktok.com/ZS9H2BvDV/" TargetMode="External"/><Relationship Id="rId7418" Type="http://schemas.openxmlformats.org/officeDocument/2006/relationships/hyperlink" Target="https://www.tiktok.com/@lailafitryh_" TargetMode="External"/><Relationship Id="rId8749" Type="http://schemas.openxmlformats.org/officeDocument/2006/relationships/hyperlink" Target="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eholder_origin_cover%22%3A%22https%253A%252F%252Fp16-common-sign.tiktokcdn.com%252Ftos-alisg-p-0037%252FosGxxDBwTfDJxuTtCzLIAbGVI7Aj4f9ggQey4c~tplv-tiktokx-origin.jpeg%253Fdr%253D14572%2526refresh_token%253D8a3c5d69%2526x-expires%253D1809504000%2526x-signature%253DlASmPH53f5P2NU2PkB05ZaXJVsk%25253D%2526t%253D4d5b0474%2526ps%253D13740610%2526shp%253Dd05b14bd%2526shcp%253D34ff8df6%2526idc%253Dmy%2526s%253DTIKTOK_AFFILIATE_VIRAL_VIDEO%22%2C%22placeholder_product_id%22%3A%221729427766722726591%22%2C%22placeholder_video_id%22%3A%227635540386219396360%22%7D&amp;ec_shared_reflux_scene=shop_tab_feed&amp;share_item_id=7635540386219396360&amp;source=h5_t" TargetMode="External"/><Relationship Id="rId7417" Type="http://schemas.openxmlformats.org/officeDocument/2006/relationships/hyperlink" Target="https://vt.tiktok.com/ZS9H2eUCb/" TargetMode="External"/><Relationship Id="rId8748" Type="http://schemas.openxmlformats.org/officeDocument/2006/relationships/hyperlink" Target="https://vt.tiktok.com/ZS9xsCevJ/" TargetMode="External"/><Relationship Id="rId7412" Type="http://schemas.openxmlformats.org/officeDocument/2006/relationships/hyperlink" Target="https://vt.tiktok.com/ZS9H2eUCb/" TargetMode="External"/><Relationship Id="rId8743" Type="http://schemas.openxmlformats.org/officeDocument/2006/relationships/hyperlink" Target="https://www.tiktok.com/@ningtiasss_" TargetMode="External"/><Relationship Id="rId7411" Type="http://schemas.openxmlformats.org/officeDocument/2006/relationships/hyperlink" Target="https://vt.tiktok.com/ZS9H2PPny/" TargetMode="External"/><Relationship Id="rId8742" Type="http://schemas.openxmlformats.org/officeDocument/2006/relationships/hyperlink" Target="https://vt.tiktok.com/ZSxtq7b8K/" TargetMode="External"/><Relationship Id="rId7410" Type="http://schemas.openxmlformats.org/officeDocument/2006/relationships/hyperlink" Target="https://vt.tiktok.com/ZS9H2LwwK/" TargetMode="External"/><Relationship Id="rId8741" Type="http://schemas.openxmlformats.org/officeDocument/2006/relationships/hyperlink" Target="https://vt.tiktok.com/ZSxtq7TAb/" TargetMode="External"/><Relationship Id="rId8740" Type="http://schemas.openxmlformats.org/officeDocument/2006/relationships/hyperlink" Target="https://vt.tiktok.com/ZSxtqvaJE/" TargetMode="External"/><Relationship Id="rId7416" Type="http://schemas.openxmlformats.org/officeDocument/2006/relationships/hyperlink" Target="https://vt.tiktok.com/ZS9H2PPny/" TargetMode="External"/><Relationship Id="rId8747" Type="http://schemas.openxmlformats.org/officeDocument/2006/relationships/hyperlink" Target="https://www.tiktok.com/@mozza_store30" TargetMode="External"/><Relationship Id="rId7415" Type="http://schemas.openxmlformats.org/officeDocument/2006/relationships/hyperlink" Target="https://vt.tiktok.com/ZS9H2LwwK/" TargetMode="External"/><Relationship Id="rId8746" Type="http://schemas.openxmlformats.org/officeDocument/2006/relationships/hyperlink" Target="https://www.tiktok.com/@productskincare/video/7633960819922865415?_r=1&amp;u_code=dkcmglg7ehgljg&amp;region=&amp;mid=7627393047289989909&amp;preview_pb=0&amp;sharer_language=&amp;_d=0&amp;ec_shared_reflux_dynamic_params=%7B%22placeholder_material_id%22%3A%227633960819922865415%22%2C%22placeholder_origin_cover%22%3A%22https%253A%252F%252Fp16-common-sign.tiktokcdn.com%252Ftos-alisg-p-0037%252Fo4UEf8BbaFYwABcFsp5gRWgSbEIEfBwDIxRvPpp~tplv-tiktokx-origin.jpeg%253Fdr%253D14572%2526refresh_token%253Dfa6f8baf%2526x-expires%253D1810198800%2526x-signature%253D1E3T2pvjHgE3nEISV%25252FCwL9UsawQ%25253D%2526t%253D4d5b0474%2526ps%253D13740610%2526shp%253Dd05b14bd%2526shcp%253D34ff8df6%2526idc%253Dmy2%2526s%253DTIKTOK_AFFILIATE_VIRAL_VIDEO%22%2C%22placeholder_product_id%22%3A%221729427766722726591%22%2C%22placeholder_video_id%22%3A%227633960819922865415%22%7D&amp;ec_shared_reflux_scene=shop_tab_feed&amp;share_item_id=7633960819922865415&amp;source=h5_t" TargetMode="External"/><Relationship Id="rId7414" Type="http://schemas.openxmlformats.org/officeDocument/2006/relationships/hyperlink" Target="https://vt.tiktok.com/ZS9H2BvDV/" TargetMode="External"/><Relationship Id="rId8745" Type="http://schemas.openxmlformats.org/officeDocument/2006/relationships/hyperlink" Target="https://vt.tiktok.com/ZSxP6omDK/" TargetMode="External"/><Relationship Id="rId7413" Type="http://schemas.openxmlformats.org/officeDocument/2006/relationships/hyperlink" Target="https://www.tiktok.com/@Cahaya.putih24" TargetMode="External"/><Relationship Id="rId8744" Type="http://schemas.openxmlformats.org/officeDocument/2006/relationships/hyperlink" Target="https://vt.tiktok.com/ZSxQnncn9/" TargetMode="External"/><Relationship Id="rId7409" Type="http://schemas.openxmlformats.org/officeDocument/2006/relationships/hyperlink" Target="https://vt.tiktok.com/ZS9H2BvDV/" TargetMode="External"/><Relationship Id="rId7408" Type="http://schemas.openxmlformats.org/officeDocument/2006/relationships/hyperlink" Target="https://www.tiktok.com/@Almaidahlinda2" TargetMode="External"/><Relationship Id="rId8739" Type="http://schemas.openxmlformats.org/officeDocument/2006/relationships/hyperlink" Target="https://vt.tiktok.com/ZSxnM2KS6/" TargetMode="External"/><Relationship Id="rId7407" Type="http://schemas.openxmlformats.org/officeDocument/2006/relationships/hyperlink" Target="https://vt.tiktok.com/ZS9H2eUCb/" TargetMode="External"/><Relationship Id="rId8738" Type="http://schemas.openxmlformats.org/officeDocument/2006/relationships/hyperlink" Target="https://www.tiktok.com/@kaalilaamtz" TargetMode="External"/><Relationship Id="rId7406" Type="http://schemas.openxmlformats.org/officeDocument/2006/relationships/hyperlink" Target="https://vt.tiktok.com/ZS9H2PPny/" TargetMode="External"/><Relationship Id="rId8737" Type="http://schemas.openxmlformats.org/officeDocument/2006/relationships/hyperlink" Target="https://vt.tiktok.com/ZSxnMfuyU/" TargetMode="External"/><Relationship Id="rId7401" Type="http://schemas.openxmlformats.org/officeDocument/2006/relationships/hyperlink" Target="https://vt.tiktok.com/ZS9H2PPny/" TargetMode="External"/><Relationship Id="rId8732" Type="http://schemas.openxmlformats.org/officeDocument/2006/relationships/hyperlink" Target="https://vt.tiktok.com/ZSxnMSbu2/" TargetMode="External"/><Relationship Id="rId7400" Type="http://schemas.openxmlformats.org/officeDocument/2006/relationships/hyperlink" Target="https://vt.tiktok.com/ZS9H2LwwK/" TargetMode="External"/><Relationship Id="rId8731" Type="http://schemas.openxmlformats.org/officeDocument/2006/relationships/hyperlink" Target="https://vt.tiktok.com/ZSxnMRVuL/" TargetMode="External"/><Relationship Id="rId8730" Type="http://schemas.openxmlformats.org/officeDocument/2006/relationships/hyperlink" Target="https://vt.tiktok.com/ZSxnMDLCH/" TargetMode="External"/><Relationship Id="rId7405" Type="http://schemas.openxmlformats.org/officeDocument/2006/relationships/hyperlink" Target="https://vt.tiktok.com/ZS9H2LwwK/" TargetMode="External"/><Relationship Id="rId8736" Type="http://schemas.openxmlformats.org/officeDocument/2006/relationships/hyperlink" Target="https://vt.tiktok.com/ZSxnMLWAL/" TargetMode="External"/><Relationship Id="rId7404" Type="http://schemas.openxmlformats.org/officeDocument/2006/relationships/hyperlink" Target="https://vt.tiktok.com/ZS9H2BvDV/" TargetMode="External"/><Relationship Id="rId8735" Type="http://schemas.openxmlformats.org/officeDocument/2006/relationships/hyperlink" Target="https://vt.tiktok.com/ZSxnMego4/" TargetMode="External"/><Relationship Id="rId7403" Type="http://schemas.openxmlformats.org/officeDocument/2006/relationships/hyperlink" Target="https://www.tiktok.com/@.yaaaaa_1055" TargetMode="External"/><Relationship Id="rId8734" Type="http://schemas.openxmlformats.org/officeDocument/2006/relationships/hyperlink" Target="https://vt.tiktok.com/ZSxnMeSUv/" TargetMode="External"/><Relationship Id="rId7402" Type="http://schemas.openxmlformats.org/officeDocument/2006/relationships/hyperlink" Target="https://vt.tiktok.com/ZS9H2eUCb/" TargetMode="External"/><Relationship Id="rId8733" Type="http://schemas.openxmlformats.org/officeDocument/2006/relationships/hyperlink" Target="https://www.tiktok.com/@uniqueitem_" TargetMode="External"/><Relationship Id="rId3911" Type="http://schemas.openxmlformats.org/officeDocument/2006/relationships/hyperlink" Target="https://vt.tiktok.com/ZS9fNEH4v/" TargetMode="External"/><Relationship Id="rId3910" Type="http://schemas.openxmlformats.org/officeDocument/2006/relationships/hyperlink" Target="https://vt.tiktok.com/ZS9fNvUh5/" TargetMode="External"/><Relationship Id="rId3913" Type="http://schemas.openxmlformats.org/officeDocument/2006/relationships/hyperlink" Target="https://vt.tiktok.com/ZS9fFRy3T/" TargetMode="External"/><Relationship Id="rId3912" Type="http://schemas.openxmlformats.org/officeDocument/2006/relationships/hyperlink" Target="https://vt.tiktok.com/ZS9fN3LmT/" TargetMode="External"/><Relationship Id="rId3915" Type="http://schemas.openxmlformats.org/officeDocument/2006/relationships/hyperlink" Target="https://vt.tiktok.com/ZS9DPN8Kp/" TargetMode="External"/><Relationship Id="rId3914" Type="http://schemas.openxmlformats.org/officeDocument/2006/relationships/hyperlink" Target="https://www.tiktok.com/@hananugroho_" TargetMode="External"/><Relationship Id="rId3917" Type="http://schemas.openxmlformats.org/officeDocument/2006/relationships/hyperlink" Target="https://www.tiktok.com/@sellaaaalala" TargetMode="External"/><Relationship Id="rId3916" Type="http://schemas.openxmlformats.org/officeDocument/2006/relationships/hyperlink" Target="https://vt.tiktok.com/ZS9Df3wK3/" TargetMode="External"/><Relationship Id="rId3919" Type="http://schemas.openxmlformats.org/officeDocument/2006/relationships/hyperlink" Target="https://www.tiktok.com/@urchocobite" TargetMode="External"/><Relationship Id="rId3918" Type="http://schemas.openxmlformats.org/officeDocument/2006/relationships/hyperlink" Target="https://vt.tiktok.com/ZSxQtJ6SV/" TargetMode="External"/><Relationship Id="rId6190" Type="http://schemas.openxmlformats.org/officeDocument/2006/relationships/hyperlink" Target="https://vt.tiktok.com/ZS9fSvFSw/" TargetMode="External"/><Relationship Id="rId6182" Type="http://schemas.openxmlformats.org/officeDocument/2006/relationships/hyperlink" Target="https://vt.tiktok.com/ZS9fA1h67/" TargetMode="External"/><Relationship Id="rId6183" Type="http://schemas.openxmlformats.org/officeDocument/2006/relationships/hyperlink" Target="https://vt.tiktok.com/ZS9fAF7FH/" TargetMode="External"/><Relationship Id="rId6180" Type="http://schemas.openxmlformats.org/officeDocument/2006/relationships/hyperlink" Target="https://vt.tiktok.com/ZS9fSvFSw/" TargetMode="External"/><Relationship Id="rId6181" Type="http://schemas.openxmlformats.org/officeDocument/2006/relationships/hyperlink" Target="https://vt.tiktok.com/ZS9fSWD5R/" TargetMode="External"/><Relationship Id="rId6186" Type="http://schemas.openxmlformats.org/officeDocument/2006/relationships/hyperlink" Target="https://vt.tiktok.com/ZS9fSWD5R/" TargetMode="External"/><Relationship Id="rId6187" Type="http://schemas.openxmlformats.org/officeDocument/2006/relationships/hyperlink" Target="https://vt.tiktok.com/ZS9fA1h67/" TargetMode="External"/><Relationship Id="rId6184" Type="http://schemas.openxmlformats.org/officeDocument/2006/relationships/hyperlink" Target="https://www.tiktok.com/@darmabeautyaja" TargetMode="External"/><Relationship Id="rId6185" Type="http://schemas.openxmlformats.org/officeDocument/2006/relationships/hyperlink" Target="https://vt.tiktok.com/ZS9fSvFSw/" TargetMode="External"/><Relationship Id="rId6188" Type="http://schemas.openxmlformats.org/officeDocument/2006/relationships/hyperlink" Target="https://vt.tiktok.com/ZS9fAF7FH/" TargetMode="External"/><Relationship Id="rId6189" Type="http://schemas.openxmlformats.org/officeDocument/2006/relationships/hyperlink" Target="https://www.tiktok.com/@Pipi_libra021" TargetMode="External"/><Relationship Id="rId3900" Type="http://schemas.openxmlformats.org/officeDocument/2006/relationships/hyperlink" Target="https://www.tiktok.com/@eriyunitaa/video/7631882312929594644?_d=0&amp;_r=1&amp;ec_shared_reflux_dynamic_params=%7B%22placeholder_material_id%22%3A%227631882312929594644%22%2C%22placeholder_origin_cover%22%3A%22https%253A%252F%252Fp16-common-sign.tiktokcdn.com%252Ftos-alisg-p-0037%252FooJ8I8FFp1oJnetpDADAIN02jnTA5C3IueEaf8~tplv-tiktokx-origin.jpeg%253Fdr%253D14572%2526refresh_token%253D7c4daeb0%2526x-expires%253D1808470800%2526x-signature%253D6FIv2NW7buoP60NgVHmGfqD1x8o%25253D%2526t%253D4d5b0474%2526ps%253D13740610%2526shp%253Dd05b14bd%2526shcp%253D34ff8df6%2526idc%253Dmy3%2526s%253DTIKTOK_AFFILIATE_VIRAL_VIDEO%22%2C%22placeholder_product_id%22%3A%221729427766722726591%22%2C%22placeholder_video_id%22%3A%227631882312929594644%22%7D&amp;ec_shared_reflux_scene=shop_tab_feed&amp;mid=7631882354554587924&amp;preview_pb=0&amp;region=&amp;share_item_id=7631882312929594644&amp;sharer_language=&amp;source=h5_t&amp;u_code=d6idfk01l3ige2" TargetMode="External"/><Relationship Id="rId3902" Type="http://schemas.openxmlformats.org/officeDocument/2006/relationships/hyperlink" Target="https://www.tiktok.com/@eriyunitaa/video/7631891798528544021?_r=1&amp;u_code=d6idfk01l3ige2&amp;region=&amp;mid=7631891854459489044&amp;preview_pb=0&amp;sharer_language=&amp;_d=0&amp;ec_shared_reflux_dynamic_params=%7B%22placeholder_material_id%22%3A%227631891798528544021%22%2C%22placeholder_origin_cover%22%3A%22https%253A%252F%252Fp16-sign-sg.tiktokcdn.com%252Ftos-alisg-p-0037%252FoY9TCTvjQhlWKX2AfA5Q0UyQjmfYMDBfI87Qxo~tplv-tiktokx-origin.jpeg%253Fdr%253D14572%2526refresh_token%253D00e38964%2526x-expires%253D1809507600%2526x-signature%253Dit9Ae21gbfWJpYa%25252B39yZCw7cQ6g%25253D%2526t%253D4d5b0474%2526ps%253D13740610%2526shp%253Dd05b14bd%2526shcp%253D34ff8df6%2526idc%253Dmy%2526s%253DTIKTOK_AFFILIATE_VIRAL_VIDEO%22%2C%22placeholder_product_id%22%3A%221729427766722726591%22%2C%22placeholder_video_id%22%3A%227631891798528544021%22%7D&amp;ec_shared_reflux_scene=shop_tab_feed&amp;share_item_id=7631891798528544021&amp;source=h5_t" TargetMode="External"/><Relationship Id="rId3901" Type="http://schemas.openxmlformats.org/officeDocument/2006/relationships/hyperlink" Target="https://www.tiktok.com/@eriyunitaa/video/7631883743640194325?_r=1&amp;u_code=d6idfk01l3ige2&amp;region=&amp;mid=7631883814981552903&amp;preview_pb=0&amp;sharer_language=&amp;_d=0&amp;ec_shared_reflux_dynamic_params=%7B%22placeholder_material_id%22%3A%227631883743640194325%22%2C%22placeholder_origin_cover%22%3A%22https%253A%252F%252Fp16-sign-sg.tiktokcdn.com%252Ftos-alisg-p-0037%252FoAE0Qocfe7hQ6eIjhy0TaBFUAm9D9nADAO81TC~tplv-tiktokx-origin.jpeg%253Fdr%253D14572%2526refresh_token%253D4679e0e9%2526x-expires%253D1808470800%2526x-signature%253DbTIoD%25252BmguYFjCxBaNrpbcMmxVkI%25253D%2526t%253D4d5b0474%2526ps%253D13740610%2526shp%253Dd05b14bd%2526shcp%253D34ff8df6%2526idc%253Dmy3%2526s%253DTIKTOK_AFFILIATE_VIRAL_VIDEO%22%2C%22placeholder_product_id%22%3A%221729427766722726591%22%2C%22placeholder_video_id%22%3A%227631883743640194325%22%7D&amp;ec_shared_reflux_scene=shop_tab_feed&amp;share_item_id=7631883743640194325&amp;source=h5_t" TargetMode="External"/><Relationship Id="rId3904" Type="http://schemas.openxmlformats.org/officeDocument/2006/relationships/hyperlink" Target="https://www.tiktok.com/@beybil25" TargetMode="External"/><Relationship Id="rId3903" Type="http://schemas.openxmlformats.org/officeDocument/2006/relationships/hyperlink" Target="https://www.tiktok.com/@eriyunitaa/video/7631894369133432084?_r=1&amp;u_code=d6idfk01l3ige2&amp;region=&amp;mid=7631894393074649864&amp;preview_pb=0&amp;sharer_language=&amp;_d=0&amp;ec_shared_reflux_dynamic_params=%7B%22placeholder_material_id%22%3A%227631894369133432084%22%2C%22placeholder_origin_cover%22%3A%22https%253A%252F%252Fp16-sign-sg.tiktokcdn.com%252Ftos-alisg-p-0037%252FoAF84vpT0AhJDmPAEf7ebj7CoSpfIruZIW9AID~tplv-tiktokx-origin.jpeg%253Fdr%253D14572%2526refresh_token%253Dcd79a19d%2526x-expires%253D1809507600%2526x-signature%253D2xbKKdVrGM5R26mhKFXfhcEVbzs%25253D%2526t%253D4d5b0474%2526ps%253D13740610%2526shp%253Dd05b14bd%2526shcp%253D34ff8df6%2526idc%253Dmy%2526s%253DTIKTOK_AFFILIATE_VIRAL_VIDEO%22%2C%22placeholder_product_id%22%3A%221729427766722726591%22%2C%22placeholder_video_id%22%3A%227631894369133432084%22%7D&amp;ec_shared_reflux_scene=shop_tab_feed&amp;share_item_id=7631894369133432084&amp;source=h5_t" TargetMode="External"/><Relationship Id="rId3906" Type="http://schemas.openxmlformats.org/officeDocument/2006/relationships/hyperlink" Target="https://vt.tiktok.com/ZS9DPFqEQ/" TargetMode="External"/><Relationship Id="rId3905" Type="http://schemas.openxmlformats.org/officeDocument/2006/relationships/hyperlink" Target="https://vt.tiktok.com/ZS9DPN9XN/" TargetMode="External"/><Relationship Id="rId3908" Type="http://schemas.openxmlformats.org/officeDocument/2006/relationships/hyperlink" Target="https://vt.tiktok.com/ZS9DfWsJ1/" TargetMode="External"/><Relationship Id="rId3907" Type="http://schemas.openxmlformats.org/officeDocument/2006/relationships/hyperlink" Target="https://vt.tiktok.com/ZS9DfcADX/" TargetMode="External"/><Relationship Id="rId3909" Type="http://schemas.openxmlformats.org/officeDocument/2006/relationships/hyperlink" Target="https://www.tiktok.com/@nailassdrafts" TargetMode="External"/><Relationship Id="rId6171" Type="http://schemas.openxmlformats.org/officeDocument/2006/relationships/hyperlink" Target="https://vt.tiktok.com/ZS9fSWD5R/" TargetMode="External"/><Relationship Id="rId6172" Type="http://schemas.openxmlformats.org/officeDocument/2006/relationships/hyperlink" Target="https://vt.tiktok.com/ZS9fA1h67/" TargetMode="External"/><Relationship Id="rId6170" Type="http://schemas.openxmlformats.org/officeDocument/2006/relationships/hyperlink" Target="https://vt.tiktok.com/ZS9fSvFSw/" TargetMode="External"/><Relationship Id="rId6175" Type="http://schemas.openxmlformats.org/officeDocument/2006/relationships/hyperlink" Target="https://vt.tiktok.com/ZS9fSvFSw/" TargetMode="External"/><Relationship Id="rId6176" Type="http://schemas.openxmlformats.org/officeDocument/2006/relationships/hyperlink" Target="https://vt.tiktok.com/ZS9fSWD5R/" TargetMode="External"/><Relationship Id="rId6173" Type="http://schemas.openxmlformats.org/officeDocument/2006/relationships/hyperlink" Target="https://vt.tiktok.com/ZS9fAF7FH/" TargetMode="External"/><Relationship Id="rId6174" Type="http://schemas.openxmlformats.org/officeDocument/2006/relationships/hyperlink" Target="https://www.tiktok.com/@jazlynes" TargetMode="External"/><Relationship Id="rId6179" Type="http://schemas.openxmlformats.org/officeDocument/2006/relationships/hyperlink" Target="https://www.tiktok.com/@vinasilviaaa" TargetMode="External"/><Relationship Id="rId6177" Type="http://schemas.openxmlformats.org/officeDocument/2006/relationships/hyperlink" Target="https://vt.tiktok.com/ZS9fA1h67/" TargetMode="External"/><Relationship Id="rId6178" Type="http://schemas.openxmlformats.org/officeDocument/2006/relationships/hyperlink" Target="https://vt.tiktok.com/ZS9fAF7FH/" TargetMode="External"/><Relationship Id="rId3931" Type="http://schemas.openxmlformats.org/officeDocument/2006/relationships/hyperlink" Target="https://vt.tiktok.com/ZS9yWN6h1/" TargetMode="External"/><Relationship Id="rId2600" Type="http://schemas.openxmlformats.org/officeDocument/2006/relationships/hyperlink" Target="https://www.tiktok.com/@outfitce_/video/7624464515194801429?_d=0&amp;_r=1&amp;ec_shared_reflux_dynamic_params=%7B%22placeholder_material_id%22%3A%227624464515194801429%22%2C%22placeholder_origin_cover%22%3A%22https%253A%252F%252Fp16-common-sign.tiktokcdn.com%252Ftos-alisg-p-0037%252FogaPR40LpIUTEnB2iBzFMLoEIeDBPDAZPgfQiP~tplv-tiktokx-origin.jpeg%253Fdr%253D14572%2526refresh_token%253D1024c137%2526x-expires%253D1808474400%2526x-signature%253DQw8%25252FdvAep2TtQtO1xpdofKtg8Vs%25253D%2526t%253D4d5b0474%2526ps%253D13740610%2526shp%253Dd05b14bd%2526shcp%253D34ff8df6%2526idc%253Dmy3%2526s%253DTIKTOK_AFFILIATE_VIRAL_VIDEO%22%2C%22placeholder_product_id%22%3A%221729427766722726591%22%2C%22placeholder_video_id%22%3A%227624464515194801429%22%7D&amp;ec_shared_reflux_scene=shop_tab_feed&amp;mid=7413639309809780753&amp;preview_pb=0&amp;region=&amp;share_item_id=7624464515194801429&amp;sharer_language=&amp;source=h5_t&amp;u_code=e0898kg4gbb4c7" TargetMode="External"/><Relationship Id="rId3930" Type="http://schemas.openxmlformats.org/officeDocument/2006/relationships/hyperlink" Target="https://vt.tiktok.com/ZS9ynTPks/" TargetMode="External"/><Relationship Id="rId2601" Type="http://schemas.openxmlformats.org/officeDocument/2006/relationships/hyperlink" Target="https://www.tiktok.com/@ahnayseop" TargetMode="External"/><Relationship Id="rId3933" Type="http://schemas.openxmlformats.org/officeDocument/2006/relationships/hyperlink" Target="https://vt.tiktok.com/ZS9yWAgKA/" TargetMode="External"/><Relationship Id="rId2602" Type="http://schemas.openxmlformats.org/officeDocument/2006/relationships/hyperlink" Target="https://www.tiktok.com/@outfitce_/video/7624864850732436756?_r=1&amp;u_code=e0898kg4gbb4c7&amp;region=&amp;mid=7608156113497983765&amp;preview_pb=0&amp;sharer_language=&amp;_d=0&amp;ec_shared_reflux_dynamic_params=%7B%22placeholder_material_id%22%3A%227624864850732436756%22%2C%22placeholder_origin_cover%22%3A%22https%253A%252F%252Fp16-sign-sg.tiktokcdn.com%252Ftos-alisg-p-0037%252FoYY0Df8bEEfUQH74oCpgFBahQnRPATSEOBipFB~tplv-tiktokx-origin.jpeg%253Fdr%253D14572%2526refresh_token%253D8eb65397%2526x-expires%253D1808474400%2526x-signature%253DZig6d10bQQBdvTp%25252FBAtnwGDMrko%25253D%2526t%253D4d5b0474%2526ps%253D13740610%2526shp%253Dd05b14bd%2526shcp%253D34ff8df6%2526idc%253Dmy3%2526s%253DTIKTOK_AFFILIATE_VIRAL_VIDEO%22%2C%22placeholder_product_id%22%3A%221729427766722726591%22%2C%22placeholder_video_id%22%3A%227624864850732436756%22%7D&amp;ec_shared_reflux_scene=shop_tab_feed&amp;share_item_id=7624864850732436756&amp;source=h5_t" TargetMode="External"/><Relationship Id="rId3932" Type="http://schemas.openxmlformats.org/officeDocument/2006/relationships/hyperlink" Target="https://vt.tiktok.com/ZS9yW8H4E/" TargetMode="External"/><Relationship Id="rId2603" Type="http://schemas.openxmlformats.org/officeDocument/2006/relationships/hyperlink" Target="https://www.tiktok.com/@outfitce_/video/7624876528345566484?_r=1&amp;u_code=e0898kg4gbb4c7&amp;region=&amp;mid=7600640437279984404&amp;preview_pb=0&amp;sharer_language=&amp;_d=0&amp;ec_shared_reflux_dynamic_params=%7B%22placeholder_material_id%22%3A%227624876528345566484%22%2C%22placeholder_origin_cover%22%3A%22https%253A%252F%252Fp16-sign-sg.tiktokcdn.com%252Ftos-alisg-p-0037%252FoMxBQCqB0AA0iWQiiHNItAIjCAkRf6pw3IINji~tplv-tiktokx-origin.jpeg%253Fdr%253D14572%2526refresh_token%253Dcad40c48%2526x-expires%253D1808474400%2526x-signature%253DQKVK75rLKQXf8WDgc9WA6REsjUs%25253D%2526t%253D4d5b0474%2526ps%253D13740610%2526shp%253Dd05b14bd%2526shcp%253D34ff8df6%2526idc%253Dmy3%2526s%253DTIKTOK_AFFILIATE_VIRAL_VIDEO%22%2C%22placeholder_product_id%22%3A%221729427766722726591%22%2C%22placeholder_video_id%22%3A%227624876528345566484%22%7D&amp;ec_shared_reflux_scene=shop_tab_feed&amp;share_item_id=7624876528345566484&amp;source=h5_t" TargetMode="External"/><Relationship Id="rId3935" Type="http://schemas.openxmlformats.org/officeDocument/2006/relationships/hyperlink" Target="https://vt.tiktok.com/ZS9yW9SFd/" TargetMode="External"/><Relationship Id="rId2604" Type="http://schemas.openxmlformats.org/officeDocument/2006/relationships/hyperlink" Target="https://www.tiktok.com/@outfitce_/video/7631042205284617492?_r=1&amp;u_code=e0898kg4gbb4c7&amp;region=&amp;mid=7606071400499628049&amp;preview_pb=0&amp;sharer_language=&amp;_d=0&amp;ec_shared_reflux_dynamic_params=%7B%22placeholder_material_id%22%3A%227631042205284617492%22%2C%22placeholder_origin_cover%22%3A%22https%253A%252F%252Fp16-common-sign.tiktokcdn.com%252Ftos-alisg-p-0037%252FoALHmAkgucB09EIpX5FfBBgO56TPheIlRND1EZ~tplv-tiktokx-origin.jpeg%253Fdr%253D14572%2526refresh_token%253D0f3720af%2526x-expires%253D1808474400%2526x-signature%253DSK8K%25252Bxfu%25252F2FpKIDZCx1oM6H14fY%25253D%2526t%253D4d5b0474%2526ps%253D13740610%2526shp%253Dd05b14bd%2526shcp%253D34ff8df6%2526idc%253Dmy3%2526s%253DTIKTOK_AFFILIATE_VIRAL_VIDEO%22%2C%22placeholder_product_id%22%3A%221729427766722726591%22%2C%22placeholder_video_id%22%3A%227631042205284617492%22%7D&amp;ec_shared_reflux_scene=shop_tab_feed&amp;share_item_id=7631042205284617492&amp;source=h5_t" TargetMode="External"/><Relationship Id="rId3934" Type="http://schemas.openxmlformats.org/officeDocument/2006/relationships/hyperlink" Target="https://www.tiktok.com/@ceisyaandr" TargetMode="External"/><Relationship Id="rId2605" Type="http://schemas.openxmlformats.org/officeDocument/2006/relationships/hyperlink" Target="https://www.tiktok.com/@outfitce_/video/7631063682247691541?_r=1&amp;u_code=e0898kg4gbb4c7&amp;region=&amp;mid=7283376056051337990&amp;preview_pb=0&amp;sharer_language=&amp;_d=0&amp;ec_shared_reflux_dynamic_params=%7B%22placeholder_material_id%22%3A%227631063682247691541%22%2C%22placeholder_origin_cover%22%3A%22https%253A%252F%252Fp16-sign-sg.tiktokcdn.com%252Ftos-alisg-p-0037%252Fow4fbegACMAP79N4U8ugbeeCCB8XSiAsYLeNXN~tplv-tiktokx-origin.jpeg%253Fdr%253D14572%2526refresh_token%253D35ea5893%2526x-expires%253D1808474400%2526x-signature%253DYw9WEVenVsnCvMXcCQSLVNokfrI%25253D%2526t%253D4d5b0474%2526ps%253D13740610%2526shp%253Dd05b14bd%2526shcp%253D34ff8df6%2526idc%253Dmy3%2526s%253DTIKTOK_AFFILIATE_VIRAL_VIDEO%22%2C%22placeholder_product_id%22%3A%221729427766722726591%22%2C%22placeholder_video_id%22%3A%227631063682247691541%22%7D&amp;ec_shared_reflux_scene=shop_tab_feed&amp;share_item_id=7631063682247691541&amp;source=h5_t" TargetMode="External"/><Relationship Id="rId3937" Type="http://schemas.openxmlformats.org/officeDocument/2006/relationships/hyperlink" Target="https://vt.tiktok.com/ZS9yW939e/" TargetMode="External"/><Relationship Id="rId2606" Type="http://schemas.openxmlformats.org/officeDocument/2006/relationships/hyperlink" Target="https://www.tiktok.com/@callmerosee2" TargetMode="External"/><Relationship Id="rId3936" Type="http://schemas.openxmlformats.org/officeDocument/2006/relationships/hyperlink" Target="https://vt.tiktok.com/ZS9yWbwo1/" TargetMode="External"/><Relationship Id="rId808" Type="http://schemas.openxmlformats.org/officeDocument/2006/relationships/hyperlink" Target="https://www.tiktok.com/@glowyng_barengyuk/video/7611347015884115221?is_from_webapp=1&amp;sender_device=pc" TargetMode="External"/><Relationship Id="rId2607" Type="http://schemas.openxmlformats.org/officeDocument/2006/relationships/hyperlink" Target="https://www.tiktok.com/@harumrice/video/7637406059769957652?_r=1&amp;u_code=d6j7255963058c&amp;region=&amp;mid=7631435628520950536&amp;preview_pb=0&amp;sharer_language=&amp;_d=0&amp;ec_shared_reflux_dynamic_params=%7B%22placeholder_material_id%22%3A%227637406059769957652%22%2C%22placeholder_origin_cover%22%3A%22https%253A%252F%252Fp16-common-sign.tiktokcdn.com%252Ftos-alisg-p-0037%252FoAneXQphIbwGFE1RIX69yGADCGLGUwefGAeGdI~tplv-tiktokx-origin.jpeg%253Fdr%253D14572%2526refresh_token%253Dfaf4a80f%2526x-expires%253D1810116000%2526x-signature%253DMqcNPXcGvmsqxDc9uWxieGd4MEM%25253D%2526t%253D4d5b0474%2526ps%253D13740610%2526shp%253Dd05b14bd%2526shcp%253D34ff8df6%2526idc%253Dmy2%2526s%253DTIKTOK_AFFILIATE_VIRAL_VIDEO%22%2C%22placeholder_product_id%22%3A%221729427766722726591%22%2C%22placeholder_video_id%22%3A%227637406059769957652%22%7D&amp;ec_shared_reflux_scene=shop_tab_feed&amp;share_item_id=7637406059769957652&amp;source=h5_t" TargetMode="External"/><Relationship Id="rId3939" Type="http://schemas.openxmlformats.org/officeDocument/2006/relationships/hyperlink" Target="https://www.tiktok.com/@_ikaawdwnty" TargetMode="External"/><Relationship Id="rId807" Type="http://schemas.openxmlformats.org/officeDocument/2006/relationships/hyperlink" Target="https://www.tiktok.com/@mayang_skincare/video/7609610260696976647?is_from_webapp=1&amp;sender_device=pc" TargetMode="External"/><Relationship Id="rId2608" Type="http://schemas.openxmlformats.org/officeDocument/2006/relationships/hyperlink" Target="https://www.tiktok.com/@shiintamiiftaa/video/7635816713296170258?_r=1&amp;u_code=d6i1iij6bihcli&amp;region=&amp;mid=7170634321794059034&amp;preview_pb=0&amp;sharer_language=&amp;_d=0&amp;ec_shared_reflux_dynamic_params=%7B%22placeholder_material_id%22%3A%227635816713296170258%22%2C%22placeholder_origin_cover%22%3A%22https%253A%252F%252Fp16-common-sign.tiktokcdn.com%252Ftos-alisg-p-0037%252Fo0ek37no7CDL74KQEQWfejAVx62AuTDKGIj3ID~tplv-tiktokx-origin.jpeg%253Fdr%253D14572%2526refresh_token%253D6d9a7bc0%2526x-expires%253D1810119600%2526x-signature%253DpUQUQg1FBV5B2lr%25252Bt1iWBpQpeyo%25253D%2526t%253D4d5b0474%2526ps%253D13740610%2526shp%253Dd05b14bd%2526shcp%253D34ff8df6%2526idc%253Dmy2%2526s%253DTIKTOK_AFFILIATE_VIRAL_VIDEO%22%2C%22placeholder_product_id%22%3A%221729427766722726591%22%2C%22placeholder_video_id%22%3A%227635816713296170258%22%7D&amp;ec_shared_reflux_scene=shop_tab_feed&amp;share_item_id=7635816713296170258&amp;source=h5_t" TargetMode="External"/><Relationship Id="rId3938" Type="http://schemas.openxmlformats.org/officeDocument/2006/relationships/hyperlink" Target="https://vt.tiktok.com/ZS9fFRWdN/" TargetMode="External"/><Relationship Id="rId806" Type="http://schemas.openxmlformats.org/officeDocument/2006/relationships/hyperlink" Target="https://www.tiktok.com/@fitrifitt_/video/7614917512139918613?is_from_webapp=1&amp;sender_device=pc" TargetMode="External"/><Relationship Id="rId2609" Type="http://schemas.openxmlformats.org/officeDocument/2006/relationships/hyperlink" Target="https://www.tiktok.com/@harumrice/video/7637407332929948948?_r=1&amp;u_code=d6j7255963058c&amp;region=&amp;mid=7632653181927525140&amp;preview_pb=0&amp;sharer_language=&amp;_d=0&amp;ec_shared_reflux_dynamic_params=%7B%22placeholder_material_id%22%3A%227637407332929948948%22%2C%22placeholder_origin_cover%22%3A%22https%253A%252F%252Fp16-common-sign.tiktokcdn.com%252Ftos-alisg-p-0037%252FoI4IpPFfEIDz7zCARAYAffE9T9ImjqCD4bYYhC~tplv-tiktokx-origin.jpeg%253Fdr%253D14572%2526refresh_token%253Ddb286d39%2526x-expires%253D1810116000%2526x-signature%253DZhZLUFD5Eg%25252BYgMFY3zz9n%25252FGxwkE%25253D%2526t%253D4d5b0474%2526ps%253D13740610%2526shp%253Dd05b14bd%2526shcp%253D34ff8df6%2526idc%253Dmy2%2526s%253DTIKTOK_AFFILIATE_VIRAL_VIDEO%22%2C%22placeholder_product_id%22%3A%221729427766722726591%22%2C%22placeholder_video_id%22%3A%227637407332929948948%22%7D&amp;ec_shared_reflux_scene=shop_tab_feed&amp;share_item_id=7637407332929948948&amp;source=h5_t" TargetMode="External"/><Relationship Id="rId805" Type="http://schemas.openxmlformats.org/officeDocument/2006/relationships/hyperlink" Target="https://www.tiktok.com/@tarryochiii" TargetMode="External"/><Relationship Id="rId809" Type="http://schemas.openxmlformats.org/officeDocument/2006/relationships/hyperlink" Target="https://www.tiktok.com/@glowyng_barengyuk/video/7612113439506337045?is_from_webapp=1&amp;sender_device=pc" TargetMode="External"/><Relationship Id="rId800" Type="http://schemas.openxmlformats.org/officeDocument/2006/relationships/hyperlink" Target="https://vt.tiktok.com/ZSmpAbKq6/" TargetMode="External"/><Relationship Id="rId804" Type="http://schemas.openxmlformats.org/officeDocument/2006/relationships/hyperlink" Target="https://www.tiktok.com/@nurnnyas/video/7629351795285921044?_r=1&amp;u_code=dg3fmh8bmii19a&amp;region=&amp;mid=7629351843247704850&amp;preview_pb=0&amp;sharer_language=&amp;_d=0&amp;ec_shared_reflux_dynamic_params=%7B%22placeholder_material_id%22%3A%227629351795285921044%22%2C%22placeholder_origin_cover%22%3A%22https%253A%252F%252Fp16-sign-sg.tiktokcdn.com%252Ftos-alisg-p-0037%252Fo45CPABeM5vAxiIW02uhmAqCwIHgAtKIwJ6DiT~tplv-tiktokx-origin.jpeg%253Fdr%253D14572%2526refresh_token%253D619cf5d2%2526x-expires%253D1808208000%2526x-signature%253D7OGbx9OMNLhulDiW9ehw4YVKeag%25253D%2526t%253D4d5b0474%2526ps%253D13740610%2526shp%253Dd05b14bd%2526shcp%253D34ff8df6%2526idc%253Dmy3%2526s%253DTIKTOK_AFFILIATE_VIRAL_VIDEO%22%2C%22placeholder_product_id%22%3A%221729729730555512511%22%2C%22placeholder_video_id%22%3A%227629351795285921044%22%7D&amp;ec_shared_reflux_scene=shop_tab_feed&amp;share_item_id=7629351795285921044&amp;source=h5_t" TargetMode="External"/><Relationship Id="rId803" Type="http://schemas.openxmlformats.org/officeDocument/2006/relationships/hyperlink" Target="https://vt.tiktok.com/ZSH2boYR2/" TargetMode="External"/><Relationship Id="rId802" Type="http://schemas.openxmlformats.org/officeDocument/2006/relationships/hyperlink" Target="https://vt.tiktok.com/ZSmghr4Ak/" TargetMode="External"/><Relationship Id="rId801" Type="http://schemas.openxmlformats.org/officeDocument/2006/relationships/hyperlink" Target="https://www.tiktok.com/@nurnnyas" TargetMode="External"/><Relationship Id="rId3920" Type="http://schemas.openxmlformats.org/officeDocument/2006/relationships/hyperlink" Target="https://vt.tiktok.com/ZS9ASqCS8/" TargetMode="External"/><Relationship Id="rId3922" Type="http://schemas.openxmlformats.org/officeDocument/2006/relationships/hyperlink" Target="https://vt.tiktok.com/ZS9ASDssH/" TargetMode="External"/><Relationship Id="rId3921" Type="http://schemas.openxmlformats.org/officeDocument/2006/relationships/hyperlink" Target="https://vt.tiktok.com/ZS9ASV4ac/" TargetMode="External"/><Relationship Id="rId3924" Type="http://schemas.openxmlformats.org/officeDocument/2006/relationships/hyperlink" Target="https://www.tiktok.com/@beranteminjerawat" TargetMode="External"/><Relationship Id="rId3923" Type="http://schemas.openxmlformats.org/officeDocument/2006/relationships/hyperlink" Target="https://vt.tiktok.com/ZS9ASryE7/" TargetMode="External"/><Relationship Id="rId3926" Type="http://schemas.openxmlformats.org/officeDocument/2006/relationships/hyperlink" Target="https://vt.tiktok.com/ZS9ASmGRC/" TargetMode="External"/><Relationship Id="rId3925" Type="http://schemas.openxmlformats.org/officeDocument/2006/relationships/hyperlink" Target="https://vt.tiktok.com/ZS9ASUKGv/" TargetMode="External"/><Relationship Id="rId3928" Type="http://schemas.openxmlformats.org/officeDocument/2006/relationships/hyperlink" Target="https://vt.tiktok.com/ZS9ynKBNm/" TargetMode="External"/><Relationship Id="rId3927" Type="http://schemas.openxmlformats.org/officeDocument/2006/relationships/hyperlink" Target="https://vt.tiktok.com/ZS9AS5uxF/" TargetMode="External"/><Relationship Id="rId3929" Type="http://schemas.openxmlformats.org/officeDocument/2006/relationships/hyperlink" Target="https://www.tiktok.com/@eriasuci" TargetMode="External"/><Relationship Id="rId6193" Type="http://schemas.openxmlformats.org/officeDocument/2006/relationships/hyperlink" Target="https://vt.tiktok.com/ZS9fAF7FH/" TargetMode="External"/><Relationship Id="rId6194" Type="http://schemas.openxmlformats.org/officeDocument/2006/relationships/hyperlink" Target="https://www.tiktok.com/@lidyafebriy" TargetMode="External"/><Relationship Id="rId6191" Type="http://schemas.openxmlformats.org/officeDocument/2006/relationships/hyperlink" Target="https://vt.tiktok.com/ZS9fSWD5R/" TargetMode="External"/><Relationship Id="rId6192" Type="http://schemas.openxmlformats.org/officeDocument/2006/relationships/hyperlink" Target="https://vt.tiktok.com/ZS9fA1h67/" TargetMode="External"/><Relationship Id="rId6197" Type="http://schemas.openxmlformats.org/officeDocument/2006/relationships/hyperlink" Target="https://vt.tiktok.com/ZS9fA1h67/" TargetMode="External"/><Relationship Id="rId6198" Type="http://schemas.openxmlformats.org/officeDocument/2006/relationships/hyperlink" Target="https://vt.tiktok.com/ZS9fAF7FH/" TargetMode="External"/><Relationship Id="rId6195" Type="http://schemas.openxmlformats.org/officeDocument/2006/relationships/hyperlink" Target="https://vt.tiktok.com/ZS9fSvFSw/" TargetMode="External"/><Relationship Id="rId6196" Type="http://schemas.openxmlformats.org/officeDocument/2006/relationships/hyperlink" Target="https://vt.tiktok.com/ZS9fSWD5R/" TargetMode="External"/><Relationship Id="rId6199" Type="http://schemas.openxmlformats.org/officeDocument/2006/relationships/hyperlink" Target="https://www.tiktok.com/@hxxs1" TargetMode="External"/><Relationship Id="rId7470" Type="http://schemas.openxmlformats.org/officeDocument/2006/relationships/hyperlink" Target="https://vt.tiktok.com/ZS9H2BvDV/" TargetMode="External"/><Relationship Id="rId6142" Type="http://schemas.openxmlformats.org/officeDocument/2006/relationships/hyperlink" Target="https://vt.tiktok.com/ZSxWf2LtE/" TargetMode="External"/><Relationship Id="rId7474" Type="http://schemas.openxmlformats.org/officeDocument/2006/relationships/hyperlink" Target="https://www.tiktok.com/@thonesachw" TargetMode="External"/><Relationship Id="rId6143" Type="http://schemas.openxmlformats.org/officeDocument/2006/relationships/hyperlink" Target="https://www.tiktok.com/@apaajaaaweee" TargetMode="External"/><Relationship Id="rId7473" Type="http://schemas.openxmlformats.org/officeDocument/2006/relationships/hyperlink" Target="https://vt.tiktok.com/ZS9H2eUCb/" TargetMode="External"/><Relationship Id="rId6140" Type="http://schemas.openxmlformats.org/officeDocument/2006/relationships/hyperlink" Target="https://www.tiktok.com/@sagitariussone/video/7638239109764353288?_r=1&amp;u_code=dceg7ljggecb01&amp;region=&amp;mid=7184337289072347137&amp;preview_pb=0&amp;sharer_language=&amp;_d=0&amp;ec_shared_reflux_dynamic_params=%7B%22placeholder_material_id%22%3A%227638239109764353288%22%2C%22placeholder_origin_cover%22%3A%22https%253A%252F%252Fp16-common-sign.tiktokcdn.com%252Ftos-alisg-p-0037%252Fo8JDIfsAA7BjAQJgUAQo7VL5ITDA4OeeCyCkGw~tplv-tiktokx-origin.jpeg%253Fdr%253D14572%2526refresh_token%253D838d25f4%2526x-expires%253D1810116000%2526x-signature%253DViU7bqNUgBU50wCWPHAidSMkisk%25253D%2526t%253D4d5b0474%2526ps%253D13740610%2526shp%253Dd05b14bd%2526shcp%253D34ff8df6%2526idc%253Dmy2%2526s%253DTIKTOK_AFFILIATE_VIRAL_VIDEO%22%2C%22placeholder_product_id%22%3A%221729427766722726591%22%2C%22placeholder_video_id%22%3A%227638239109764353288%22%7D&amp;ec_shared_reflux_scene=shop_tab_feed&amp;share_item_id=7638239109764353288&amp;source=h5_t" TargetMode="External"/><Relationship Id="rId7472" Type="http://schemas.openxmlformats.org/officeDocument/2006/relationships/hyperlink" Target="https://vt.tiktok.com/ZS9H2PPny/" TargetMode="External"/><Relationship Id="rId6141" Type="http://schemas.openxmlformats.org/officeDocument/2006/relationships/hyperlink" Target="https://vt.tiktok.com/ZSxWfjFgK/" TargetMode="External"/><Relationship Id="rId7471" Type="http://schemas.openxmlformats.org/officeDocument/2006/relationships/hyperlink" Target="https://vt.tiktok.com/ZS9H2LwwK/" TargetMode="External"/><Relationship Id="rId6146" Type="http://schemas.openxmlformats.org/officeDocument/2006/relationships/hyperlink" Target="https://vt.tiktok.com/ZSx6FHBj6/" TargetMode="External"/><Relationship Id="rId7478" Type="http://schemas.openxmlformats.org/officeDocument/2006/relationships/hyperlink" Target="https://vt.tiktok.com/ZS9H2eUCb/" TargetMode="External"/><Relationship Id="rId6147" Type="http://schemas.openxmlformats.org/officeDocument/2006/relationships/hyperlink" Target="https://vt.tiktok.com/ZSxWfxGUY/" TargetMode="External"/><Relationship Id="rId7477" Type="http://schemas.openxmlformats.org/officeDocument/2006/relationships/hyperlink" Target="https://vt.tiktok.com/ZS9H2PPny/" TargetMode="External"/><Relationship Id="rId6144" Type="http://schemas.openxmlformats.org/officeDocument/2006/relationships/hyperlink" Target="https://vt.tiktok.com/ZS9VFAUKC/" TargetMode="External"/><Relationship Id="rId7476" Type="http://schemas.openxmlformats.org/officeDocument/2006/relationships/hyperlink" Target="https://vt.tiktok.com/ZS9H2LwwK/" TargetMode="External"/><Relationship Id="rId6145" Type="http://schemas.openxmlformats.org/officeDocument/2006/relationships/hyperlink" Target="https://www.tiktok.com/@apaajaaaweee/video/7636428159381933333?_r=1&amp;u_code=dfbdg7ca37j010&amp;region=&amp;mid=7636636696360930065&amp;preview_pb=0&amp;sharer_language=&amp;_d=0&amp;ec_shared_reflux_dynamic_params=%7B%22placeholder_material_id%22%3A%227636428159381933333%22%2C%22placeholder_origin_cover%22%3A%22https%253A%252F%252Fp16-common-sign.tiktokcdn.com%252Ftos-alisg-p-0037%252FowIa6TtEbCsydAri0HIAzFEDiyDrfeA1bfyYJg~tplv-tiktokx-origin.jpeg%253Fdr%253D14572%2526refresh_token%253Dd77c93f7%2526x-expires%253D1810116000%2526x-signature%253Drp7MIexGL0a2Nm9H3k8l3XvMS2c%25253D%2526t%253D4d5b0474%2526ps%253D13740610%2526shp%253Dd05b14bd%2526shcp%253D34ff8df6%2526idc%253Dmy2%2526s%253DTIKTOK_AFFILIATE_VIRAL_VIDEO%22%2C%22placeholder_product_id%22%3A%221729427766722726591%22%2C%22placeholder_video_id%22%3A%227636428159381933333%22%7D&amp;ec_shared_reflux_scene=shop_tab_feed&amp;share_item_id=7636428159381933333&amp;source=h5_t" TargetMode="External"/><Relationship Id="rId7475" Type="http://schemas.openxmlformats.org/officeDocument/2006/relationships/hyperlink" Target="https://vt.tiktok.com/ZS9H2BvDV/" TargetMode="External"/><Relationship Id="rId6148" Type="http://schemas.openxmlformats.org/officeDocument/2006/relationships/hyperlink" Target="https://www.tiktok.com/@eendha" TargetMode="External"/><Relationship Id="rId6149" Type="http://schemas.openxmlformats.org/officeDocument/2006/relationships/hyperlink" Target="https://vt.tiktok.com/ZS9oPeTxH/" TargetMode="External"/><Relationship Id="rId7479" Type="http://schemas.openxmlformats.org/officeDocument/2006/relationships/hyperlink" Target="https://www.tiktok.com/@intanayulaksmi" TargetMode="External"/><Relationship Id="rId8790" Type="http://schemas.openxmlformats.org/officeDocument/2006/relationships/hyperlink" Target="https://www.tiktok.com/@produk_pati6" TargetMode="External"/><Relationship Id="rId6131" Type="http://schemas.openxmlformats.org/officeDocument/2006/relationships/hyperlink" Target="https://www.tiktok.com/@racunskincare07_/video/7634606434906344725?_r=1&amp;u_code=e9d5fc75hjj49e&amp;region=&amp;mid=7622900823151889172&amp;preview_pb=0&amp;sharer_language=&amp;_d=0&amp;ec_shared_reflux_dynamic_params=%7B%22placeholder_material_id%22%3A%227634606434906344725%22%2C%22placeholder_origin_cover%22%3A%22https%253A%252F%252Fp16-common-sign.tiktokcdn.com%252Ftos-alisg-p-0037%252Fo0mjV5IzegSIBz4iI8NpkpAIGeAhLDCfhC6TyI~tplv-tiktokx-origin.jpeg%253Fdr%253D14572%2526refresh_token%253D6051f820%2526x-expires%253D1809504000%2526x-signature%253DFnmdF5gC6uzT3tDCJDIiPTncyIo%25253D%2526t%253D4d5b0474%2526ps%253D13740610%2526shp%253Dd05b14bd%2526shcp%253D34ff8df6%2526idc%253Dmy%2526s%253DTIKTOK_AFFILIATE_VIRAL_VIDEO%22%2C%22placeholder_product_id%22%3A%221729427766722726591%22%2C%22placeholder_video_id%22%3A%227634606434906344725%22%7D&amp;ec_shared_reflux_scene=shop_tab_feed&amp;share_item_id=7634606434906344725&amp;source=h5_t" TargetMode="External"/><Relationship Id="rId7463" Type="http://schemas.openxmlformats.org/officeDocument/2006/relationships/hyperlink" Target="https://www.tiktok.com/@momybabyid" TargetMode="External"/><Relationship Id="rId8794" Type="http://schemas.openxmlformats.org/officeDocument/2006/relationships/hyperlink" Target="https://vt.tiktok.com/ZSQeD1po5/" TargetMode="External"/><Relationship Id="rId6132" Type="http://schemas.openxmlformats.org/officeDocument/2006/relationships/hyperlink" Target="https://www.tiktok.com/@racunskincare07_/video/7634962928101313812?_r=1&amp;u_code=e9d5fc75hjj49e&amp;region=&amp;mid=7541117563804502790&amp;preview_pb=0&amp;sharer_language=&amp;_d=0&amp;ec_shared_reflux_dynamic_params=%7B%22placeholder_material_id%22%3A%227634962928101313812%22%2C%22placeholder_origin_cover%22%3A%22https%253A%252F%252Fp16-common-sign.tiktokcdn.com%252Ftos-alisg-p-0037%252Fo8islOQpeAKZBPdCi9gmHR1Bc30fI0u5EMNgIB~tplv-tiktokx-origin.jpeg%253Fdr%253D14572%2526refresh_token%253D65fb5603%2526x-expires%253D1809504000%2526x-signature%253DknJuq%25252Fit7oZIcNsgHihJaKFaHfo%25253D%2526t%253D4d5b0474%2526ps%253D13740610%2526shp%253Dd05b14bd%2526shcp%253D34ff8df6%2526idc%253Dmy%2526s%253DTIKTOK_AFFILIATE_VIRAL_VIDEO%22%2C%22placeholder_product_id%22%3A%221729427766722726591%22%2C%22placeholder_video_id%22%3A%227634962928101313812%22%7D&amp;ec_shared_reflux_scene=shop_tab_feed&amp;share_item_id=7634962928101313812&amp;source=h5_t" TargetMode="External"/><Relationship Id="rId7462" Type="http://schemas.openxmlformats.org/officeDocument/2006/relationships/hyperlink" Target="https://vt.tiktok.com/ZS9H2eUCb/" TargetMode="External"/><Relationship Id="rId8793" Type="http://schemas.openxmlformats.org/officeDocument/2006/relationships/hyperlink" Target="https://vt.tiktok.com/ZSQeDLwsh/" TargetMode="External"/><Relationship Id="rId7461" Type="http://schemas.openxmlformats.org/officeDocument/2006/relationships/hyperlink" Target="https://vt.tiktok.com/ZS9H2PPny/" TargetMode="External"/><Relationship Id="rId8792" Type="http://schemas.openxmlformats.org/officeDocument/2006/relationships/hyperlink" Target="https://vt.tiktok.com/ZSx7tL5yo/" TargetMode="External"/><Relationship Id="rId6130" Type="http://schemas.openxmlformats.org/officeDocument/2006/relationships/hyperlink" Target="https://www.tiktok.com/@racunskincare07_/video/7634375152628682005?_r=1&amp;u_code=e9d5fc75hjj49e&amp;region=&amp;mid=7625512481552747271&amp;preview_pb=0&amp;sharer_language=&amp;_d=0&amp;ec_shared_reflux_dynamic_params=%7B%22placeholder_material_id%22%3A%227634375152628682005%22%2C%22placeholder_origin_cover%22%3A%22https%253A%252F%252Fp16-common-sign.tiktokcdn.com%252Ftos-alisg-p-0037%252FoQpSDcfD4IxGjCTIcvmeL5vXyC8AuEeOFBK3IA~tplv-tiktokx-origin.jpeg%253Fdr%253D14572%2526refresh_token%253D4fa53c56%2526x-expires%253D1809504000%2526x-signature%253DNfBagfv2h7h1%25252FT%25252B93LRVXtjoDko%25253D%2526t%253D4d5b0474%2526ps%253D13740610%2526shp%253Dd05b14bd%2526shcp%253D34ff8df6%2526idc%253Dmy%2526s%253DTIKTOK_AFFILIATE_VIRAL_VIDEO%22%2C%22placeholder_product_id%22%3A%221729427766722726591%22%2C%22placeholder_video_id%22%3A%227634375152628682005%22%7D&amp;ec_shared_reflux_scene=shop_tab_feed&amp;share_item_id=7634375152628682005&amp;source=h5_t" TargetMode="External"/><Relationship Id="rId7460" Type="http://schemas.openxmlformats.org/officeDocument/2006/relationships/hyperlink" Target="https://vt.tiktok.com/ZS9H2LwwK/" TargetMode="External"/><Relationship Id="rId8791" Type="http://schemas.openxmlformats.org/officeDocument/2006/relationships/hyperlink" Target="https://www.tiktok.com/@cuba_cubiii" TargetMode="External"/><Relationship Id="rId6135" Type="http://schemas.openxmlformats.org/officeDocument/2006/relationships/hyperlink" Target="https://vt.tiktok.com/ZSxWf2rPL/" TargetMode="External"/><Relationship Id="rId7467" Type="http://schemas.openxmlformats.org/officeDocument/2006/relationships/hyperlink" Target="https://vt.tiktok.com/ZSxqLHDgG/" TargetMode="External"/><Relationship Id="rId8798" Type="http://schemas.openxmlformats.org/officeDocument/2006/relationships/hyperlink" Target="https://www.tiktok.com/@fashionnew.ootd" TargetMode="External"/><Relationship Id="rId6136" Type="http://schemas.openxmlformats.org/officeDocument/2006/relationships/hyperlink" Target="https://vt.tiktok.com/ZSxWf6Gh4/" TargetMode="External"/><Relationship Id="rId7466" Type="http://schemas.openxmlformats.org/officeDocument/2006/relationships/hyperlink" Target="https://vt.tiktok.com/ZSxa5EoRv/" TargetMode="External"/><Relationship Id="rId8797" Type="http://schemas.openxmlformats.org/officeDocument/2006/relationships/hyperlink" Target="https://vt.tiktok.com/ZSQeD4PUr/" TargetMode="External"/><Relationship Id="rId6133" Type="http://schemas.openxmlformats.org/officeDocument/2006/relationships/hyperlink" Target="https://www.tiktok.com/@ar4_aya" TargetMode="External"/><Relationship Id="rId7465" Type="http://schemas.openxmlformats.org/officeDocument/2006/relationships/hyperlink" Target="https://vt.tiktok.com/ZSxQWMws5/" TargetMode="External"/><Relationship Id="rId8796" Type="http://schemas.openxmlformats.org/officeDocument/2006/relationships/hyperlink" Target="https://www.tiktok.com/@reresolshop" TargetMode="External"/><Relationship Id="rId6134" Type="http://schemas.openxmlformats.org/officeDocument/2006/relationships/hyperlink" Target="https://vt.tiktok.com/ZSxWfr2Wq/" TargetMode="External"/><Relationship Id="rId7464" Type="http://schemas.openxmlformats.org/officeDocument/2006/relationships/hyperlink" Target="https://vt.tiktok.com/ZSxWotVSo/" TargetMode="External"/><Relationship Id="rId8795" Type="http://schemas.openxmlformats.org/officeDocument/2006/relationships/hyperlink" Target="https://vt.tiktok.com/ZSQJa6mg1/" TargetMode="External"/><Relationship Id="rId6139" Type="http://schemas.openxmlformats.org/officeDocument/2006/relationships/hyperlink" Target="https://vt.tiktok.com/ZS9cLm5xC/" TargetMode="External"/><Relationship Id="rId6137" Type="http://schemas.openxmlformats.org/officeDocument/2006/relationships/hyperlink" Target="https://vt.tiktok.com/ZSxWfY6SC/" TargetMode="External"/><Relationship Id="rId7469" Type="http://schemas.openxmlformats.org/officeDocument/2006/relationships/hyperlink" Target="https://www.tiktok.com/@hellomyskin0" TargetMode="External"/><Relationship Id="rId6138" Type="http://schemas.openxmlformats.org/officeDocument/2006/relationships/hyperlink" Target="https://www.tiktok.com/@sagitariussone" TargetMode="External"/><Relationship Id="rId7468" Type="http://schemas.openxmlformats.org/officeDocument/2006/relationships/hyperlink" Target="https://www.tiktok.com/@_anggiyuliani" TargetMode="External"/><Relationship Id="rId8799" Type="http://schemas.openxmlformats.org/officeDocument/2006/relationships/hyperlink" Target="https://www.tiktok.com/@yaris_296" TargetMode="External"/><Relationship Id="rId6160" Type="http://schemas.openxmlformats.org/officeDocument/2006/relationships/hyperlink" Target="https://vt.tiktok.com/ZS9VFAUKC/" TargetMode="External"/><Relationship Id="rId7492" Type="http://schemas.openxmlformats.org/officeDocument/2006/relationships/hyperlink" Target="https://vt.tiktok.com/ZS9H2LwwK/" TargetMode="External"/><Relationship Id="rId6161" Type="http://schemas.openxmlformats.org/officeDocument/2006/relationships/hyperlink" Target="https://www.tiktok.com/@apaajaaaweee/video/7636428159381933333?_r=1&amp;u_code=dfbdg7ca37j010&amp;region=&amp;mid=7636636696360930065&amp;preview_pb=0&amp;sharer_language=&amp;_d=0&amp;ec_shared_reflux_dynamic_params=%7B%22placeholder_material_id%22%3A%227636428159381933333%22%2C%22placeholder_origin_cover%22%3A%22https%253A%252F%252Fp16-common-sign.tiktokcdn.com%252Ftos-alisg-p-0037%252FowIa6TtEbCsydAri0HIAzFEDiyDrfeA1bfyYJg~tplv-tiktokx-origin.jpeg%253Fdr%253D14572%2526refresh_token%253Dd77c93f7%2526x-expires%253D1810116000%2526x-signature%253Drp7MIexGL0a2Nm9H3k8l3XvMS2c%25253D%2526t%253D4d5b0474%2526ps%253D13740610%2526shp%253Dd05b14bd%2526shcp%253D34ff8df6%2526idc%253Dmy2%2526s%253DTIKTOK_AFFILIATE_VIRAL_VIDEO%22%2C%22placeholder_product_id%22%3A%221729427766722726591%22%2C%22placeholder_video_id%22%3A%227636428159381933333%22%7D&amp;ec_shared_reflux_scene=shop_tab_feed&amp;share_item_id=7636428159381933333&amp;source=h5_t" TargetMode="External"/><Relationship Id="rId7491" Type="http://schemas.openxmlformats.org/officeDocument/2006/relationships/hyperlink" Target="https://vt.tiktok.com/ZS9H2BvDV/" TargetMode="External"/><Relationship Id="rId7490" Type="http://schemas.openxmlformats.org/officeDocument/2006/relationships/hyperlink" Target="https://www.tiktok.com/@skinby_sindy" TargetMode="External"/><Relationship Id="rId6164" Type="http://schemas.openxmlformats.org/officeDocument/2006/relationships/hyperlink" Target="https://www.tiktok.com/@Mama_ndoyinay" TargetMode="External"/><Relationship Id="rId7496" Type="http://schemas.openxmlformats.org/officeDocument/2006/relationships/hyperlink" Target="https://vt.tiktok.com/ZS9H2BvDV/" TargetMode="External"/><Relationship Id="rId6165" Type="http://schemas.openxmlformats.org/officeDocument/2006/relationships/hyperlink" Target="https://vt.tiktok.com/ZS9oPeTxH/" TargetMode="External"/><Relationship Id="rId7495" Type="http://schemas.openxmlformats.org/officeDocument/2006/relationships/hyperlink" Target="https://www.tiktok.com/@riskikiki001" TargetMode="External"/><Relationship Id="rId6162" Type="http://schemas.openxmlformats.org/officeDocument/2006/relationships/hyperlink" Target="https://www.tiktok.com/@mamarahma1111/video/7639741745919511826" TargetMode="External"/><Relationship Id="rId7494" Type="http://schemas.openxmlformats.org/officeDocument/2006/relationships/hyperlink" Target="https://vt.tiktok.com/ZS9H2eUCb/" TargetMode="External"/><Relationship Id="rId6163" Type="http://schemas.openxmlformats.org/officeDocument/2006/relationships/hyperlink" Target="https://vt.tiktok.com/ZSxHPrmtV/" TargetMode="External"/><Relationship Id="rId7493" Type="http://schemas.openxmlformats.org/officeDocument/2006/relationships/hyperlink" Target="https://vt.tiktok.com/ZS9H2PPny/" TargetMode="External"/><Relationship Id="rId6168" Type="http://schemas.openxmlformats.org/officeDocument/2006/relationships/hyperlink" Target="https://vt.tiktok.com/ZS9ofvQAe/" TargetMode="External"/><Relationship Id="rId6169" Type="http://schemas.openxmlformats.org/officeDocument/2006/relationships/hyperlink" Target="https://www.tiktok.com/@Bu.m1" TargetMode="External"/><Relationship Id="rId7499" Type="http://schemas.openxmlformats.org/officeDocument/2006/relationships/hyperlink" Target="https://vt.tiktok.com/ZS9H2eUCb/" TargetMode="External"/><Relationship Id="rId6166" Type="http://schemas.openxmlformats.org/officeDocument/2006/relationships/hyperlink" Target="https://vt.tiktok.com/ZS9oPdyhY/" TargetMode="External"/><Relationship Id="rId7498" Type="http://schemas.openxmlformats.org/officeDocument/2006/relationships/hyperlink" Target="https://vt.tiktok.com/ZS9H2PPny/" TargetMode="External"/><Relationship Id="rId6167" Type="http://schemas.openxmlformats.org/officeDocument/2006/relationships/hyperlink" Target="https://vt.tiktok.com/ZS9ofw7tD/" TargetMode="External"/><Relationship Id="rId7497" Type="http://schemas.openxmlformats.org/officeDocument/2006/relationships/hyperlink" Target="https://vt.tiktok.com/ZS9H2LwwK/" TargetMode="External"/><Relationship Id="rId7481" Type="http://schemas.openxmlformats.org/officeDocument/2006/relationships/hyperlink" Target="https://vt.tiktok.com/ZS9H2LwwK/" TargetMode="External"/><Relationship Id="rId6150" Type="http://schemas.openxmlformats.org/officeDocument/2006/relationships/hyperlink" Target="https://vt.tiktok.com/ZS9oPdyhY/" TargetMode="External"/><Relationship Id="rId7480" Type="http://schemas.openxmlformats.org/officeDocument/2006/relationships/hyperlink" Target="https://vt.tiktok.com/ZS9H2BvDV/" TargetMode="External"/><Relationship Id="rId6153" Type="http://schemas.openxmlformats.org/officeDocument/2006/relationships/hyperlink" Target="http://mujii.kh" TargetMode="External"/><Relationship Id="rId7485" Type="http://schemas.openxmlformats.org/officeDocument/2006/relationships/hyperlink" Target="https://vt.tiktok.com/ZS9H2BvDV/" TargetMode="External"/><Relationship Id="rId6154" Type="http://schemas.openxmlformats.org/officeDocument/2006/relationships/hyperlink" Target="https://www.tiktok.com/@mujii.kh" TargetMode="External"/><Relationship Id="rId7484" Type="http://schemas.openxmlformats.org/officeDocument/2006/relationships/hyperlink" Target="https://www.tiktok.com/@uchariski20" TargetMode="External"/><Relationship Id="rId6151" Type="http://schemas.openxmlformats.org/officeDocument/2006/relationships/hyperlink" Target="https://vt.tiktok.com/ZS9ofw7tD/" TargetMode="External"/><Relationship Id="rId7483" Type="http://schemas.openxmlformats.org/officeDocument/2006/relationships/hyperlink" Target="https://vt.tiktok.com/ZS9H2eUCb/" TargetMode="External"/><Relationship Id="rId6152" Type="http://schemas.openxmlformats.org/officeDocument/2006/relationships/hyperlink" Target="https://vt.tiktok.com/ZS9ofvQAe/" TargetMode="External"/><Relationship Id="rId7482" Type="http://schemas.openxmlformats.org/officeDocument/2006/relationships/hyperlink" Target="https://vt.tiktok.com/ZS9H2PPny/" TargetMode="External"/><Relationship Id="rId6157" Type="http://schemas.openxmlformats.org/officeDocument/2006/relationships/hyperlink" Target="https://vt.tiktok.com/ZSxWfWP3s/" TargetMode="External"/><Relationship Id="rId7489" Type="http://schemas.openxmlformats.org/officeDocument/2006/relationships/hyperlink" Target="https://www.tiktok.com/@tia.amalia05" TargetMode="External"/><Relationship Id="rId6158" Type="http://schemas.openxmlformats.org/officeDocument/2006/relationships/hyperlink" Target="https://vt.tiktok.com/ZSxWfg1fB/" TargetMode="External"/><Relationship Id="rId7488" Type="http://schemas.openxmlformats.org/officeDocument/2006/relationships/hyperlink" Target="https://vt.tiktok.com/ZS9H2eUCb/" TargetMode="External"/><Relationship Id="rId6155" Type="http://schemas.openxmlformats.org/officeDocument/2006/relationships/hyperlink" Target="https://vt.tiktok.com/ZS9cLm5xC/" TargetMode="External"/><Relationship Id="rId7487" Type="http://schemas.openxmlformats.org/officeDocument/2006/relationships/hyperlink" Target="https://vt.tiktok.com/ZS9H2PPny/" TargetMode="External"/><Relationship Id="rId6156" Type="http://schemas.openxmlformats.org/officeDocument/2006/relationships/hyperlink" Target="https://www.tiktok.com/@sagitariussone/video/7638239109764353288?_r=1&amp;u_code=dceg7ljggecb01&amp;region=&amp;mid=7184337289072347137&amp;preview_pb=0&amp;sharer_language=&amp;_d=0&amp;ec_shared_reflux_dynamic_params=%7B%22placeholder_material_id%22%3A%227638239109764353288%22%2C%22placeholder_origin_cover%22%3A%22https%253A%252F%252Fp16-common-sign.tiktokcdn.com%252Ftos-alisg-p-0037%252Fo8JDIfsAA7BjAQJgUAQo7VL5ITDA4OeeCyCkGw~tplv-tiktokx-origin.jpeg%253Fdr%253D14572%2526refresh_token%253D838d25f4%2526x-expires%253D1810116000%2526x-signature%253DViU7bqNUgBU50wCWPHAidSMkisk%25253D%2526t%253D4d5b0474%2526ps%253D13740610%2526shp%253Dd05b14bd%2526shcp%253D34ff8df6%2526idc%253Dmy2%2526s%253DTIKTOK_AFFILIATE_VIRAL_VIDEO%22%2C%22placeholder_product_id%22%3A%221729427766722726591%22%2C%22placeholder_video_id%22%3A%227638239109764353288%22%7D&amp;ec_shared_reflux_scene=shop_tab_feed&amp;share_item_id=7638239109764353288&amp;source=h5_t" TargetMode="External"/><Relationship Id="rId7486" Type="http://schemas.openxmlformats.org/officeDocument/2006/relationships/hyperlink" Target="https://vt.tiktok.com/ZS9H2LwwK/" TargetMode="External"/><Relationship Id="rId6159" Type="http://schemas.openxmlformats.org/officeDocument/2006/relationships/hyperlink" Target="https://www.tiktok.com/@_qna.18" TargetMode="External"/><Relationship Id="rId1334" Type="http://schemas.openxmlformats.org/officeDocument/2006/relationships/hyperlink" Target="https://www.tiktok.com/@silpilivii" TargetMode="External"/><Relationship Id="rId2665" Type="http://schemas.openxmlformats.org/officeDocument/2006/relationships/hyperlink" Target="https://www.tiktok.com/@__strhyr" TargetMode="External"/><Relationship Id="rId3997" Type="http://schemas.openxmlformats.org/officeDocument/2006/relationships/hyperlink" Target="https://vt.tiktok.com/ZS9fdL447/" TargetMode="External"/><Relationship Id="rId1335" Type="http://schemas.openxmlformats.org/officeDocument/2006/relationships/hyperlink" Target="https://www.tiktok.com/@silpilivii/video/7612149213115321621?is_from_webapp=1&amp;sender_device=pc&amp;web_id=7611930277489657360" TargetMode="External"/><Relationship Id="rId2666" Type="http://schemas.openxmlformats.org/officeDocument/2006/relationships/hyperlink" Target="https://vt.tiktok.com/ZS9d6Txuk/" TargetMode="External"/><Relationship Id="rId3996" Type="http://schemas.openxmlformats.org/officeDocument/2006/relationships/hyperlink" Target="https://vt.tiktok.com/ZS9fdrDdR/" TargetMode="External"/><Relationship Id="rId1336" Type="http://schemas.openxmlformats.org/officeDocument/2006/relationships/hyperlink" Target="https://www.tiktok.com/@silpilivii/video/7620665172373310740?is_from_webapp=1&amp;sender_device=pc&amp;web_id=7611930277489657360" TargetMode="External"/><Relationship Id="rId2667" Type="http://schemas.openxmlformats.org/officeDocument/2006/relationships/hyperlink" Target="https://vt.tiktok.com/ZS9dMeycu/" TargetMode="External"/><Relationship Id="rId3999" Type="http://schemas.openxmlformats.org/officeDocument/2006/relationships/hyperlink" Target="https://www.tiktok.com/@noviaifr" TargetMode="External"/><Relationship Id="rId1337" Type="http://schemas.openxmlformats.org/officeDocument/2006/relationships/hyperlink" Target="https://www.tiktok.com/@silpilivii/video/7621440239659257109?is_from_webapp=1&amp;sender_device=pc&amp;web_id=7611930277489657360" TargetMode="External"/><Relationship Id="rId2668" Type="http://schemas.openxmlformats.org/officeDocument/2006/relationships/hyperlink" Target="https://www.tiktok.com/@vernikaariani" TargetMode="External"/><Relationship Id="rId3998" Type="http://schemas.openxmlformats.org/officeDocument/2006/relationships/hyperlink" Target="https://vt.tiktok.com/ZS9fdYkVq/" TargetMode="External"/><Relationship Id="rId1338" Type="http://schemas.openxmlformats.org/officeDocument/2006/relationships/hyperlink" Target="https://www.tiktok.com/@snowme.shop/video/7627506185498807572?is_from_webapp=1&amp;sender_device=pc" TargetMode="External"/><Relationship Id="rId2669" Type="http://schemas.openxmlformats.org/officeDocument/2006/relationships/hyperlink" Target="https://www.tiktok.com/@vernikaariani/video/7622626378613001492?is_from_webapp=1&amp;sender_device=pc" TargetMode="External"/><Relationship Id="rId1339" Type="http://schemas.openxmlformats.org/officeDocument/2006/relationships/hyperlink" Target="https://www.tiktok.com/@alvinhwang_" TargetMode="External"/><Relationship Id="rId745" Type="http://schemas.openxmlformats.org/officeDocument/2006/relationships/hyperlink" Target="https://vt.tiktok.com/ZSmachgUd/" TargetMode="External"/><Relationship Id="rId744" Type="http://schemas.openxmlformats.org/officeDocument/2006/relationships/hyperlink" Target="https://www.tiktok.com/@tiaaajaaa93" TargetMode="External"/><Relationship Id="rId743" Type="http://schemas.openxmlformats.org/officeDocument/2006/relationships/hyperlink" Target="https://vt.tiktok.com/ZSHpcvaDt/" TargetMode="External"/><Relationship Id="rId742" Type="http://schemas.openxmlformats.org/officeDocument/2006/relationships/hyperlink" Target="https://vt.tiktok.com/ZSuBAECb3/" TargetMode="External"/><Relationship Id="rId749" Type="http://schemas.openxmlformats.org/officeDocument/2006/relationships/hyperlink" Target="https://www.tiktok.com/@mayang_skincare" TargetMode="External"/><Relationship Id="rId748" Type="http://schemas.openxmlformats.org/officeDocument/2006/relationships/hyperlink" Target="https://vt.tiktok.com/ZSHNkxn58/" TargetMode="External"/><Relationship Id="rId747" Type="http://schemas.openxmlformats.org/officeDocument/2006/relationships/hyperlink" Target="https://vt.tiktok.com/ZSu6Q6ndB/" TargetMode="External"/><Relationship Id="rId746" Type="http://schemas.openxmlformats.org/officeDocument/2006/relationships/hyperlink" Target="https://vt.tiktok.com/ZSm7xKUCS/" TargetMode="External"/><Relationship Id="rId3991" Type="http://schemas.openxmlformats.org/officeDocument/2006/relationships/hyperlink" Target="https://www.tiktok.com/@novia_aida011" TargetMode="External"/><Relationship Id="rId2660" Type="http://schemas.openxmlformats.org/officeDocument/2006/relationships/hyperlink" Target="https://vt.tiktok.com/ZS9eVvagu/" TargetMode="External"/><Relationship Id="rId3990" Type="http://schemas.openxmlformats.org/officeDocument/2006/relationships/hyperlink" Target="https://vt.tiktok.com/ZS9fd9dpa/" TargetMode="External"/><Relationship Id="rId741" Type="http://schemas.openxmlformats.org/officeDocument/2006/relationships/hyperlink" Target="https://vt.tiktok.com/ZSuR1pSJP/" TargetMode="External"/><Relationship Id="rId1330" Type="http://schemas.openxmlformats.org/officeDocument/2006/relationships/hyperlink" Target="https://www.tiktok.com/@userrrrrr073124/video/7621173038045809927?is_from_webapp=1&amp;sender_device=pc&amp;web_id=7611930277489657360" TargetMode="External"/><Relationship Id="rId2661" Type="http://schemas.openxmlformats.org/officeDocument/2006/relationships/hyperlink" Target="https://vt.tiktok.com/ZS9eVKoAW/" TargetMode="External"/><Relationship Id="rId3993" Type="http://schemas.openxmlformats.org/officeDocument/2006/relationships/hyperlink" Target="https://vt.tiktok.com/ZSx6A2JNP/" TargetMode="External"/><Relationship Id="rId740" Type="http://schemas.openxmlformats.org/officeDocument/2006/relationships/hyperlink" Target="https://www.tiktok.com/@vrnzayn/video/7611294730189557013?is_from_webapp=1&amp;sender_device=pc" TargetMode="External"/><Relationship Id="rId1331" Type="http://schemas.openxmlformats.org/officeDocument/2006/relationships/hyperlink" Target="https://www.tiktok.com/@userrrrrr073124/video/7621413833113865479?is_from_webapp=1&amp;sender_device=pc&amp;web_id=7611930277489657360" TargetMode="External"/><Relationship Id="rId2662" Type="http://schemas.openxmlformats.org/officeDocument/2006/relationships/hyperlink" Target="https://www.tiktok.com/@y.ameliyaa2" TargetMode="External"/><Relationship Id="rId3992" Type="http://schemas.openxmlformats.org/officeDocument/2006/relationships/hyperlink" Target="https://vt.tiktok.com/ZSx6Soc6r/" TargetMode="External"/><Relationship Id="rId1332" Type="http://schemas.openxmlformats.org/officeDocument/2006/relationships/hyperlink" Target="https://www.tiktok.com/@userrrrrr073124/video/7621570030202899719?is_from_webapp=1&amp;sender_device=pc&amp;web_id=7611930277489657360" TargetMode="External"/><Relationship Id="rId2663" Type="http://schemas.openxmlformats.org/officeDocument/2006/relationships/hyperlink" Target="https://vt.tiktok.com/ZS9eVt2wQ/" TargetMode="External"/><Relationship Id="rId3995" Type="http://schemas.openxmlformats.org/officeDocument/2006/relationships/hyperlink" Target="https://vt.tiktok.com/ZS9fdNVN3/" TargetMode="External"/><Relationship Id="rId1333" Type="http://schemas.openxmlformats.org/officeDocument/2006/relationships/hyperlink" Target="https://www.tiktok.com/@userrrrrr073124/video/7621838655673404679?is_from_webapp=1&amp;sender_device=pc&amp;web_id=7611930277489657360" TargetMode="External"/><Relationship Id="rId2664" Type="http://schemas.openxmlformats.org/officeDocument/2006/relationships/hyperlink" Target="https://vt.tiktok.com/ZS9d6rAcw/" TargetMode="External"/><Relationship Id="rId3994" Type="http://schemas.openxmlformats.org/officeDocument/2006/relationships/hyperlink" Target="https://www.tiktok.com/@withleony" TargetMode="External"/><Relationship Id="rId1323" Type="http://schemas.openxmlformats.org/officeDocument/2006/relationships/hyperlink" Target="https://www.tiktok.com/@nisrina.atira/video/7626755785078361352?is_from_webapp=1&amp;sender_device=pc&amp;web_id=7611930277489657360" TargetMode="External"/><Relationship Id="rId2654" Type="http://schemas.openxmlformats.org/officeDocument/2006/relationships/hyperlink" Target="https://www.tiktok.com/@tetehnuyy0" TargetMode="External"/><Relationship Id="rId3986" Type="http://schemas.openxmlformats.org/officeDocument/2006/relationships/hyperlink" Target="https://www.tiktok.com/@larasati1885" TargetMode="External"/><Relationship Id="rId1324" Type="http://schemas.openxmlformats.org/officeDocument/2006/relationships/hyperlink" Target="https://www.tiktok.com/@se.sa87" TargetMode="External"/><Relationship Id="rId2655" Type="http://schemas.openxmlformats.org/officeDocument/2006/relationships/hyperlink" Target="https://www.tiktok.com/@racun_spalspil12/video/7636478890784984340?_r=1&amp;u_code=cllj6j6aidf05b&amp;region=&amp;mid=7631490590651468565&amp;preview_pb=0&amp;sharer_language=&amp;_d=0&amp;ec_shared_reflux_dynamic_params=%7B%22placeholder_material_id%22%3A%227636478890784984340%22%2C%22placeholder_origin_cover%22%3A%22https%253A%252F%252Fp16-common-sign.tiktokcdn.com%252Ftos-alisg-p-0037%252FoEpmIZA0AwoIFjI3xiUSPBhA6ujBfiy4ourOPC~tplv-tiktokx-origin.jpeg%253Fdr%253D14572%2526refresh_token%253Dbf48b906%2526x-expires%253D1810116000%2526x-signature%253DwQn01jgIohJpx5i%25252Bdnj2seCSKVY%25253D%2526t%253D4d5b0474%2526ps%253D13740610%2526shp%253Dd05b14bd%2526shcp%253D34ff8df6%2526idc%253Dmy2%2526s%253DTIKTOK_AFFILIATE_VIRAL_VIDEO%22%2C%22placeholder_product_id%22%3A%221729729730555512511%22%2C%22placeholder_video_id%22%3A%227636478890784984340%22%7D&amp;ec_shared_reflux_scene=shop_tab_feed&amp;share_item_id=7636478890784984340&amp;source=h5_t" TargetMode="External"/><Relationship Id="rId3985" Type="http://schemas.openxmlformats.org/officeDocument/2006/relationships/hyperlink" Target="https://vt.tiktok.com/ZS9fdPTRU/" TargetMode="External"/><Relationship Id="rId1325" Type="http://schemas.openxmlformats.org/officeDocument/2006/relationships/hyperlink" Target="https://www.tiktok.com/@iciiiiss_/video/7626202944530140437?is_from_webapp=1&amp;sender_device=pc&amp;web_id=7611930277489657360" TargetMode="External"/><Relationship Id="rId2656" Type="http://schemas.openxmlformats.org/officeDocument/2006/relationships/hyperlink" Target="https://www.tiktok.com/@racun_spalspil12/video/7636478333856845077?_r=1&amp;u_code=cllj6j6aidf05b&amp;region=&amp;mid=7615505674093234177&amp;preview_pb=0&amp;sharer_language=&amp;_d=0&amp;ec_shared_reflux_dynamic_params=%7B%22placeholder_material_id%22%3A%227636478333856845077%22%2C%22placeholder_origin_cover%22%3A%22https%253A%252F%252Fp16-common-sign.tiktokcdn.com%252Ftos-alisg-p-0037%252FoojrPDBfA8OIZBJTEj4FEi7eIC9fD3x65ADOIi~tplv-tiktokx-origin.jpeg%253Fdr%253D14572%2526refresh_token%253Dbbbe649f%2526x-expires%253D1810116000%2526x-signature%253DjwiPgO06OkOkQ72NRDGsubzO7Vc%25253D%2526t%253D4d5b0474%2526ps%253D13740610%2526shp%253Dd05b14bd%2526shcp%253D34ff8df6%2526idc%253Dmy2%2526s%253DTIKTOK_AFFILIATE_VIRAL_VIDEO%22%2C%22placeholder_product_id%22%3A%221729729730555512511%22%2C%22placeholder_video_id%22%3A%227636478333856845077%22%7D&amp;ec_shared_reflux_scene=shop_tab_feed&amp;share_item_id=7636478333856845077&amp;source=h5_t" TargetMode="External"/><Relationship Id="rId3988" Type="http://schemas.openxmlformats.org/officeDocument/2006/relationships/hyperlink" Target="https://vt.tiktok.com/ZS9fdHfq7/" TargetMode="External"/><Relationship Id="rId1326" Type="http://schemas.openxmlformats.org/officeDocument/2006/relationships/hyperlink" Target="https://www.tiktok.com/@friskafrl/video/7627037458449845525?is_from_webapp=1&amp;sender_device=pc" TargetMode="External"/><Relationship Id="rId2657" Type="http://schemas.openxmlformats.org/officeDocument/2006/relationships/hyperlink" Target="https://www.tiktok.com/@racun_spalspil12/video/7636477701569711381?_r=1&amp;u_code=cllj6j6aidf05b&amp;region=&amp;mid=7514003816174454785&amp;preview_pb=0&amp;sharer_language=&amp;_d=0&amp;ec_shared_reflux_dynamic_params=%7B%22placeholder_material_id%22%3A%227636477701569711381%22%2C%22placeholder_origin_cover%22%3A%22https%253A%252F%252Fp19-common-sign.tiktokcdn.com%252Ftos-alisg-p-0037%252FoYnDfADpFFQu9O6FMj15ACRIrenII4CfATGJJE~tplv-tiktokx-origin.jpeg%253Fdr%253D14572%2526refresh_token%253D383cc9aa%2526x-expires%253D1810116000%2526x-signature%253Dj0oFmtz4JrZTBnYGtvnSdLgiM2c%25253D%2526t%253D4d5b0474%2526ps%253D13740610%2526shp%253Dd05b14bd%2526shcp%253D34ff8df6%2526idc%253Dmy2%2526s%253DTIKTOK_AFFILIATE_VIRAL_VIDEO%22%2C%22placeholder_product_id%22%3A%221729729730555512511%22%2C%22placeholder_video_id%22%3A%227636477701569711381%22%7D&amp;ec_shared_reflux_scene=shop_tab_feed&amp;share_item_id=7636477701569711381&amp;source=h5_t" TargetMode="External"/><Relationship Id="rId3987" Type="http://schemas.openxmlformats.org/officeDocument/2006/relationships/hyperlink" Target="https://vt.tiktok.com/ZS9fdy6nY/" TargetMode="External"/><Relationship Id="rId1327" Type="http://schemas.openxmlformats.org/officeDocument/2006/relationships/hyperlink" Target="https://www.tiktok.com/@friskafrl/video/7628140003306081557?is_from_webapp=1&amp;sender_device=pc" TargetMode="External"/><Relationship Id="rId2658" Type="http://schemas.openxmlformats.org/officeDocument/2006/relationships/hyperlink" Target="https://www.tiktok.com/@racun_spalspil12/video/7634539515155107093?_r=1&amp;u_code=cllj6j6aidf05b&amp;region=&amp;mid=7604473397582940177&amp;preview_pb=0&amp;sharer_language=&amp;_d=0&amp;ec_shared_reflux_dynamic_params=%7B%22placeholder_material_id%22%3A%227634539515155107093%22%2C%22placeholder_origin_cover%22%3A%22https%253A%252F%252Fp19-common-sign.tiktokcdn.com%252Ftos-alisg-p-0037%252FowuWASvBuI83Ix0CmVKI3fXNzAUAjiVriCMKIw~tplv-tiktokx-origin.jpeg%253Fdr%253D14572%2526refresh_token%253D918f0683%2526x-expires%253D1810116000%2526x-signature%253D%25252BqaB%25252F%25252FqQD%25252B%25252FubfFh4VB7cTo9RWM%25253D%2526t%253D4d5b0474%2526ps%253D13740610%2526shp%253Dd05b14bd%2526shcp%253D34ff8df6%2526idc%253Dmy2%2526s%253DTIKTOK_AFFILIATE_VIRAL_VIDEO%22%2C%22placeholder_product_id%22%3A%221729729730555512511%22%2C%22placeholder_video_id%22%3A%227634539515155107093%22%7D&amp;ec_shared_reflux_scene=shop_tab_feed&amp;share_item_id=7634539515155107093&amp;source=h5_t" TargetMode="External"/><Relationship Id="rId1328" Type="http://schemas.openxmlformats.org/officeDocument/2006/relationships/hyperlink" Target="https://www.tiktok.com/@snowme.shop/video/7627483819351870741?is_from_webapp=1&amp;sender_device=pc" TargetMode="External"/><Relationship Id="rId2659" Type="http://schemas.openxmlformats.org/officeDocument/2006/relationships/hyperlink" Target="https://www.tiktok.com/@iissofyatun" TargetMode="External"/><Relationship Id="rId3989" Type="http://schemas.openxmlformats.org/officeDocument/2006/relationships/hyperlink" Target="https://vt.tiktok.com/ZS9fdkEN3/" TargetMode="External"/><Relationship Id="rId1329" Type="http://schemas.openxmlformats.org/officeDocument/2006/relationships/hyperlink" Target="https://www.tiktok.com/@userrrrrr073124" TargetMode="External"/><Relationship Id="rId739" Type="http://schemas.openxmlformats.org/officeDocument/2006/relationships/hyperlink" Target="https://www.tiktok.com/@vrnzayn" TargetMode="External"/><Relationship Id="rId734" Type="http://schemas.openxmlformats.org/officeDocument/2006/relationships/hyperlink" Target="https://www.tiktok.com/@hidayatibintizamzami" TargetMode="External"/><Relationship Id="rId733" Type="http://schemas.openxmlformats.org/officeDocument/2006/relationships/hyperlink" Target="https://vt.tiktok.com/ZS9qMyWKm/" TargetMode="External"/><Relationship Id="rId732" Type="http://schemas.openxmlformats.org/officeDocument/2006/relationships/hyperlink" Target="https://vt.tiktok.com/ZS9qMQyLr//" TargetMode="External"/><Relationship Id="rId731" Type="http://schemas.openxmlformats.org/officeDocument/2006/relationships/hyperlink" Target="https://vt.tiktok.com/ZSHPJWBMx/" TargetMode="External"/><Relationship Id="rId738" Type="http://schemas.openxmlformats.org/officeDocument/2006/relationships/hyperlink" Target="https://www.tiktok.com/@barokah.collection/video/7631738227413601556?_d=0&amp;_r=1&amp;ec_shared_reflux_dynamic_params=%7B%22placeholder_material_id%22%3A%227631738227413601556%22%2C%22placeholder_origin_cover%22%3A%22https%253A%252F%252Fp16-common-sign.tiktokcdn.com%252Ftos-alisg-p-0037%252FooA9AGSPI0iq3uAoAwBphhilEYSewA1IvtYoIC~tplv-tiktokx-origin.jpeg%253Fdr%253D14572%2526refresh_token%253D1b8265ec%2526x-expires%253D1809507600%2526x-signature%253DvRUZTfsqqIznHRqRXLoh6LbqM%25252Fo%25253D%2526t%253D4d5b0474%2526ps%253D13740610%2526shp%253Dd05b14bd%2526shcp%253D34ff8df6%2526idc%253Dmy%2526s%253DTIKTOK_AFFILIATE_VIRAL_VIDEO%22%2C%22placeholder_product_id%22%3A%221729427766722726591%22%2C%22placeholder_video_id%22%3A%227631738227413601556%22%7D&amp;ec_shared_reflux_scene=shop_tab_feed&amp;mid=7623706568667712273&amp;preview_pb=0&amp;region=&amp;share_item_id=7631738227413601556&amp;sharer_language=&amp;source=h5_t&amp;u_code=e6ki6hmgc946ah" TargetMode="External"/><Relationship Id="rId737" Type="http://schemas.openxmlformats.org/officeDocument/2006/relationships/hyperlink" Target="https://www.tiktok.com/@barokah.collection/video/7631929451982490887?_r=1&amp;u_code=e6ki6hmgc946ah&amp;region=&amp;mid=7397487242866214913&amp;preview_pb=0&amp;sharer_language=&amp;_d=0&amp;ec_shared_reflux_dynamic_params=%7B%22placeholder_material_id%22%3A%227631929451982490887%22%2C%22placeholder_origin_cover%22%3A%22https%253A%252F%252Fp16-common-sign.tiktokcdn.com%252Ftos-alisg-p-0037%252FoktgUD6fQAc6SWCEuBHETu18yQHRgcF4pUBuCf~tplv-tiktokx-origin.jpeg%253Fdr%253D14572%2526refresh_token%253D33cb9403%2526x-expires%253D1809507600%2526x-signature%253DVS9R79KpiyI2PqQL7%25252FMWoepz%25252BRQ%25253D%2526t%253D4d5b0474%2526ps%253D13740610%2526shp%253Dd05b14bd%2526shcp%253D34ff8df6%2526idc%253Dmy%2526s%253DTIKTOK_AFFILIATE_VIRAL_VIDEO%22%2C%22placeholder_product_id%22%3A%221729427766722726591%22%2C%22placeholder_video_id%22%3A%227631929451982490887%22%7D&amp;ec_shared_reflux_scene=shop_tab_feed&amp;share_item_id=7631929451982490887&amp;source=h5_t" TargetMode="External"/><Relationship Id="rId736" Type="http://schemas.openxmlformats.org/officeDocument/2006/relationships/hyperlink" Target="https://vt.tiktok.com/ZS9qMuPy9/" TargetMode="External"/><Relationship Id="rId735" Type="http://schemas.openxmlformats.org/officeDocument/2006/relationships/hyperlink" Target="https://vt.tiktok.com/ZSuBAcWhE/" TargetMode="External"/><Relationship Id="rId3980" Type="http://schemas.openxmlformats.org/officeDocument/2006/relationships/hyperlink" Target="https://vt.tiktok.com/ZS9ff1Byx/" TargetMode="External"/><Relationship Id="rId730" Type="http://schemas.openxmlformats.org/officeDocument/2006/relationships/hyperlink" Target="https://www.tiktok.com/@rumahcivi/video/7611440307032362261?is_from_webapp=1&amp;sender_device=pc" TargetMode="External"/><Relationship Id="rId2650" Type="http://schemas.openxmlformats.org/officeDocument/2006/relationships/hyperlink" Target="https://vt.tiktok.com/ZS9LoK5Xn/" TargetMode="External"/><Relationship Id="rId3982" Type="http://schemas.openxmlformats.org/officeDocument/2006/relationships/hyperlink" Target="https://vt.tiktok.com/ZS9fyyN1Y/" TargetMode="External"/><Relationship Id="rId1320" Type="http://schemas.openxmlformats.org/officeDocument/2006/relationships/hyperlink" Target="https://www.tiktok.com/@nisrina.atira/video/7621232998146428168?is_from_webapp=1&amp;sender_device=pc&amp;web_id=7611930277489657360" TargetMode="External"/><Relationship Id="rId2651" Type="http://schemas.openxmlformats.org/officeDocument/2006/relationships/hyperlink" Target="https://www.tiktok.com/@by.yulia_" TargetMode="External"/><Relationship Id="rId3981" Type="http://schemas.openxmlformats.org/officeDocument/2006/relationships/hyperlink" Target="https://www.tiktok.com/@Skindashelviana" TargetMode="External"/><Relationship Id="rId1321" Type="http://schemas.openxmlformats.org/officeDocument/2006/relationships/hyperlink" Target="https://www.tiktok.com/@winaling" TargetMode="External"/><Relationship Id="rId2652" Type="http://schemas.openxmlformats.org/officeDocument/2006/relationships/hyperlink" Target="https://www.tiktok.com/@indripwh" TargetMode="External"/><Relationship Id="rId3984" Type="http://schemas.openxmlformats.org/officeDocument/2006/relationships/hyperlink" Target="https://vt.tiktok.com/ZS9fd54BF/" TargetMode="External"/><Relationship Id="rId1322" Type="http://schemas.openxmlformats.org/officeDocument/2006/relationships/hyperlink" Target="https://www.tiktok.com/@winaling/video/7624916744888536340?is_from_webapp=1&amp;sender_device=pc&amp;web_id=7611930277489657360" TargetMode="External"/><Relationship Id="rId2653" Type="http://schemas.openxmlformats.org/officeDocument/2006/relationships/hyperlink" Target="https://vt.tiktok.com/ZS9NGXQoc/" TargetMode="External"/><Relationship Id="rId3983" Type="http://schemas.openxmlformats.org/officeDocument/2006/relationships/hyperlink" Target="https://vt.tiktok.com/ZS9fd9sKG/" TargetMode="External"/><Relationship Id="rId1356" Type="http://schemas.openxmlformats.org/officeDocument/2006/relationships/hyperlink" Target="https://www.tiktok.com/@_sweetly19/video/7607865218923859220?is_from_webapp=1&amp;sender_device=pc" TargetMode="External"/><Relationship Id="rId2687" Type="http://schemas.openxmlformats.org/officeDocument/2006/relationships/hyperlink" Target="https://www.tiktok.com/@intandws_/video/7622670031272348949?is_from_webapp=1&amp;sender_device=pc&amp;web_id=7611930277489657361" TargetMode="External"/><Relationship Id="rId1357" Type="http://schemas.openxmlformats.org/officeDocument/2006/relationships/hyperlink" Target="https://www.tiktok.com/@_sweetly19/video/7607863158480358677?is_from_webapp=1&amp;sender_device=pc" TargetMode="External"/><Relationship Id="rId2688" Type="http://schemas.openxmlformats.org/officeDocument/2006/relationships/hyperlink" Target="https://www.tiktok.com/@intandws_/video/7622973710789578005?is_from_webapp=1&amp;sender_device=pc&amp;web_id=7611930277489657361" TargetMode="External"/><Relationship Id="rId1358" Type="http://schemas.openxmlformats.org/officeDocument/2006/relationships/hyperlink" Target="https://www.tiktok.com/@_sweetly19/video/7607996964822600981?is_from_webapp=1&amp;sender_device=pc" TargetMode="External"/><Relationship Id="rId2689" Type="http://schemas.openxmlformats.org/officeDocument/2006/relationships/hyperlink" Target="https://www.tiktok.com/@intandws_/video/7625195832924638485?is_from_webapp=1&amp;sender_device=pc&amp;web_id=7611930277489657361" TargetMode="External"/><Relationship Id="rId1359" Type="http://schemas.openxmlformats.org/officeDocument/2006/relationships/hyperlink" Target="https://www.tiktok.com/@tobeepretty" TargetMode="External"/><Relationship Id="rId767" Type="http://schemas.openxmlformats.org/officeDocument/2006/relationships/hyperlink" Target="https://vt.tiktok.com/ZS9JHR5MY/" TargetMode="External"/><Relationship Id="rId766" Type="http://schemas.openxmlformats.org/officeDocument/2006/relationships/hyperlink" Target="https://vt.tiktok.com/ZSHwLveLD/" TargetMode="External"/><Relationship Id="rId765" Type="http://schemas.openxmlformats.org/officeDocument/2006/relationships/hyperlink" Target="https://vt.tiktok.com/ZSuxWKUDy/" TargetMode="External"/><Relationship Id="rId764" Type="http://schemas.openxmlformats.org/officeDocument/2006/relationships/hyperlink" Target="https://www.tiktok.com/@_salmasinta" TargetMode="External"/><Relationship Id="rId769" Type="http://schemas.openxmlformats.org/officeDocument/2006/relationships/hyperlink" Target="https://www.tiktok.com/@titis_rose" TargetMode="External"/><Relationship Id="rId768" Type="http://schemas.openxmlformats.org/officeDocument/2006/relationships/hyperlink" Target="https://vt.tiktok.com/ZS9LCRWxV/" TargetMode="External"/><Relationship Id="rId2680" Type="http://schemas.openxmlformats.org/officeDocument/2006/relationships/hyperlink" Target="https://vt.tiktok.com/ZS9NWPaSW/" TargetMode="External"/><Relationship Id="rId1350" Type="http://schemas.openxmlformats.org/officeDocument/2006/relationships/hyperlink" Target="https://vt.tiktok.com/ZSuBk9oNN/" TargetMode="External"/><Relationship Id="rId2681" Type="http://schemas.openxmlformats.org/officeDocument/2006/relationships/hyperlink" Target="https://www.tiktok.com/@intandws_" TargetMode="External"/><Relationship Id="rId1351" Type="http://schemas.openxmlformats.org/officeDocument/2006/relationships/hyperlink" Target="https://vt.tiktok.com/ZSuBkQknD/" TargetMode="External"/><Relationship Id="rId2682" Type="http://schemas.openxmlformats.org/officeDocument/2006/relationships/hyperlink" Target="https://www.tiktok.com/@intandws_/video/7622670031272348949?is_from_webapp=1&amp;sender_device=pc&amp;web_id=7611930277489657360" TargetMode="External"/><Relationship Id="rId763" Type="http://schemas.openxmlformats.org/officeDocument/2006/relationships/hyperlink" Target="https://vt.tiktok.com/ZSucuArMb/" TargetMode="External"/><Relationship Id="rId1352" Type="http://schemas.openxmlformats.org/officeDocument/2006/relationships/hyperlink" Target="https://vt.tiktok.com/ZSuku8EHF/" TargetMode="External"/><Relationship Id="rId2683" Type="http://schemas.openxmlformats.org/officeDocument/2006/relationships/hyperlink" Target="https://www.tiktok.com/@intandws_/video/7622973710789578005?is_from_webapp=1&amp;sender_device=pc&amp;web_id=7611930277489657360" TargetMode="External"/><Relationship Id="rId762" Type="http://schemas.openxmlformats.org/officeDocument/2006/relationships/hyperlink" Target="https://vt.tiktok.com/ZSucuArMb/" TargetMode="External"/><Relationship Id="rId1353" Type="http://schemas.openxmlformats.org/officeDocument/2006/relationships/hyperlink" Target="https://vt.tiktok.com/ZSukuLFXn/" TargetMode="External"/><Relationship Id="rId2684" Type="http://schemas.openxmlformats.org/officeDocument/2006/relationships/hyperlink" Target="https://www.tiktok.com/@intandws_/video/7625195832924638485?is_from_webapp=1&amp;sender_device=pc&amp;web_id=7611930277489657360" TargetMode="External"/><Relationship Id="rId761" Type="http://schemas.openxmlformats.org/officeDocument/2006/relationships/hyperlink" Target="https://vt.tiktok.com/ZSuBAbgAh/" TargetMode="External"/><Relationship Id="rId1354" Type="http://schemas.openxmlformats.org/officeDocument/2006/relationships/hyperlink" Target="https://www.tiktok.com/@hestiisyawal" TargetMode="External"/><Relationship Id="rId2685" Type="http://schemas.openxmlformats.org/officeDocument/2006/relationships/hyperlink" Target="https://www.tiktok.com/@intandws_/video/7626194700315135252?is_from_webapp=1&amp;sender_device=pc&amp;web_id=7611930277489657360" TargetMode="External"/><Relationship Id="rId760" Type="http://schemas.openxmlformats.org/officeDocument/2006/relationships/hyperlink" Target="https://vt.tiktok.com/ZSm7P1JWx/" TargetMode="External"/><Relationship Id="rId1355" Type="http://schemas.openxmlformats.org/officeDocument/2006/relationships/hyperlink" Target="https://www.tiktok.com/@_sweetly19/video/7607741047619341589?is_from_webapp=1&amp;sender_device=pc" TargetMode="External"/><Relationship Id="rId2686" Type="http://schemas.openxmlformats.org/officeDocument/2006/relationships/hyperlink" Target="https://www.tiktok.com/@koblaha6" TargetMode="External"/><Relationship Id="rId1345" Type="http://schemas.openxmlformats.org/officeDocument/2006/relationships/hyperlink" Target="https://www.tiktok.com/@alzafbeauty/video/7610768885763165448?is_from_webapp=1&amp;sender_device=pc" TargetMode="External"/><Relationship Id="rId2676" Type="http://schemas.openxmlformats.org/officeDocument/2006/relationships/hyperlink" Target="https://www.tiktok.com/@sonyasinaga_" TargetMode="External"/><Relationship Id="rId1346" Type="http://schemas.openxmlformats.org/officeDocument/2006/relationships/hyperlink" Target="https://www.tiktok.com/@alzafbeauty/video/7612534565084695816?is_from_webapp=1&amp;sender_device=pc" TargetMode="External"/><Relationship Id="rId2677" Type="http://schemas.openxmlformats.org/officeDocument/2006/relationships/hyperlink" Target="https://www.tiktok.com/@sonyasinaga_/video/7622928117266500872?is_from_webapp=1&amp;sender_device=pc" TargetMode="External"/><Relationship Id="rId1347" Type="http://schemas.openxmlformats.org/officeDocument/2006/relationships/hyperlink" Target="https://www.tiktok.com/@erikafbrnt_" TargetMode="External"/><Relationship Id="rId2678" Type="http://schemas.openxmlformats.org/officeDocument/2006/relationships/hyperlink" Target="https://vt.tiktok.com/ZSHQL9YkV/" TargetMode="External"/><Relationship Id="rId1348" Type="http://schemas.openxmlformats.org/officeDocument/2006/relationships/hyperlink" Target="https://vt.tiktok.com/ZS9gMJpK9/" TargetMode="External"/><Relationship Id="rId2679" Type="http://schemas.openxmlformats.org/officeDocument/2006/relationships/hyperlink" Target="https://vt.tiktok.com/ZSHvQbq93/" TargetMode="External"/><Relationship Id="rId1349" Type="http://schemas.openxmlformats.org/officeDocument/2006/relationships/hyperlink" Target="https://www.tiktok.com/@aliyahris_" TargetMode="External"/><Relationship Id="rId756" Type="http://schemas.openxmlformats.org/officeDocument/2006/relationships/hyperlink" Target="https://www.tiktok.com/@shiisf/video/7609530663657557256?is_from_webapp=1&amp;sender_device=pc" TargetMode="External"/><Relationship Id="rId755" Type="http://schemas.openxmlformats.org/officeDocument/2006/relationships/hyperlink" Target="https://www.tiktok.com/@shiisf/video/7608482326661680392?is_from_webapp=1&amp;sender_device=pc" TargetMode="External"/><Relationship Id="rId754" Type="http://schemas.openxmlformats.org/officeDocument/2006/relationships/hyperlink" Target="https://www.tiktok.com/@shiisf" TargetMode="External"/><Relationship Id="rId753" Type="http://schemas.openxmlformats.org/officeDocument/2006/relationships/hyperlink" Target="https://www.tiktok.com/@mayang_skincare/video/7609113737076755730?is_from_webapp=1&amp;sender_device=pc" TargetMode="External"/><Relationship Id="rId759" Type="http://schemas.openxmlformats.org/officeDocument/2006/relationships/hyperlink" Target="https://www.tiktok.com/@ristarstya11" TargetMode="External"/><Relationship Id="rId758" Type="http://schemas.openxmlformats.org/officeDocument/2006/relationships/hyperlink" Target="https://www.tiktok.com/@shiisf/video/7608482326661680392?is_from_webapp=1&amp;sender_device=pc" TargetMode="External"/><Relationship Id="rId757" Type="http://schemas.openxmlformats.org/officeDocument/2006/relationships/hyperlink" Target="https://www.tiktok.com/@shiisf/video/7616380002082360584?is_from_webapp=1&amp;sender_device=pc" TargetMode="External"/><Relationship Id="rId2670" Type="http://schemas.openxmlformats.org/officeDocument/2006/relationships/hyperlink" Target="https://www.tiktok.com/@vernikaariani/video/7622210993728376085?_d=0&amp;_r=1&amp;ec_shared_reflux_dynamic_params=%7B%22placeholder_material_id%22%3A%227622210993728376085%22%2C%22placeholder_origin_cover%22%3A%22https%253A%252F%252Fp16-common-sign.tiktokcdn.com%252Ftos-alisg-p-0037%252FoAU0grPwEAt2BIzTwIiu4iqBmflXMJ8iACAjHI~tplv-tiktokx-origin.jpeg%253Fdr%253D14572%2526refresh_token%253D3586e23a%2526x-expires%253D1807070400%2526x-signature%253DuyzMlAKwyCKa3QIYi6uOnCNmiHs%25253D%2526t%253D4d5b0474%2526ps%253D13740610%2526shp%253Dd05b14bd%2526shcp%253D34ff8df6%2526idc%253Dmy2%2526s%253DTIKTOK_AFFILIATE_VIRAL_VIDEO%22%2C%22placeholder_product_id%22%3A%221729427766722726591%22%2C%22placeholder_video_id%22%3A%227622210993728376085%22%7D&amp;ec_shared_reflux_scene=shop_tab_feed&amp;mid=7406153125789157393&amp;preview_pb=0&amp;region=&amp;share_item_id=7622210993728376085&amp;sharer_language=&amp;source=h5_t&amp;u_code=dbl1j1l79c2ag5" TargetMode="External"/><Relationship Id="rId1340" Type="http://schemas.openxmlformats.org/officeDocument/2006/relationships/hyperlink" Target="https://www.tiktok.com/@snowme.shop/video/7627663870852631828?is_from_webapp=1&amp;sender_device=pc" TargetMode="External"/><Relationship Id="rId2671" Type="http://schemas.openxmlformats.org/officeDocument/2006/relationships/hyperlink" Target="http://tiktok.com/@vernikaariani/video/7625236769583271188?_r=1&amp;u_code=dbl1j1l79c2ag5&amp;region=&amp;mid=7605074065766696961&amp;preview_pb=0&amp;sharer_language=&amp;_d=0&amp;ec_shared_reflux_dynamic_params=%7B%22placeholder_material_id%22%3A%227625236769583271188%22%2C%22placeholder_origin_cover%22%3A%22https%253A%252F%252Fp16-common-sign.tiktokcdn.com%252Ftos-alisg-p-0037%252FogABSFAgh0UHDSRERfNBk4EegUEFBLXIGpzKIz~tplv-tiktokx-origin.jpeg%253Fdr%253D14572%2526refresh_token%253Dd2c9a1a0%2526x-expires%253D1807070400%2526x-signature%253DiS1lEZB%25252FN%25252FYxVHWHizPIhgZemEA%25253D%2526t%253D4d5b0474%2526ps%253D13740610%2526shp%253Dd05b14bd%2526shcp%253D34ff8df6%2526idc%253Dmy2%2526s%253DTIKTOK_AFFILIATE_VIRAL_VIDEO%22%2C%22placeholder_product_id%22%3A%221729427766722726591%22%2C%22placeholder_video_id%22%3A%227625236769583271188%22%7D&amp;ec_shared_reflux_scene=shop_tab_feed&amp;share_item_id=7625236769583271188&amp;source=h5_t" TargetMode="External"/><Relationship Id="rId752" Type="http://schemas.openxmlformats.org/officeDocument/2006/relationships/hyperlink" Target="https://www.tiktok.com/@mayang_skincare/video/7609610260696976647?is_from_webapp=1&amp;sender_device=pc" TargetMode="External"/><Relationship Id="rId1341" Type="http://schemas.openxmlformats.org/officeDocument/2006/relationships/hyperlink" Target="https://www.tiktok.com/@snowme.shop/video/7627896267414326548?is_from_webapp=1&amp;sender_device=pc" TargetMode="External"/><Relationship Id="rId2672" Type="http://schemas.openxmlformats.org/officeDocument/2006/relationships/hyperlink" Target="https://vt.tiktok.com/ZSHo2bAnS/" TargetMode="External"/><Relationship Id="rId751" Type="http://schemas.openxmlformats.org/officeDocument/2006/relationships/hyperlink" Target="https://vt.tiktok.com/ZSm9uBEbJ/" TargetMode="External"/><Relationship Id="rId1342" Type="http://schemas.openxmlformats.org/officeDocument/2006/relationships/hyperlink" Target="https://www.tiktok.com/@snowme.shop/video/7627901126972673301?is_from_webapp=1&amp;sender_device=pc" TargetMode="External"/><Relationship Id="rId2673" Type="http://schemas.openxmlformats.org/officeDocument/2006/relationships/hyperlink" Target="https://www.tiktok.com/@reginamaliaa" TargetMode="External"/><Relationship Id="rId750" Type="http://schemas.openxmlformats.org/officeDocument/2006/relationships/hyperlink" Target="https://vt.tiktok.com/ZSmmRnN1r/" TargetMode="External"/><Relationship Id="rId1343" Type="http://schemas.openxmlformats.org/officeDocument/2006/relationships/hyperlink" Target="https://www.tiktok.com/@snowme.shop/video/7628065885810461973?is_from_webapp=1&amp;sender_device=pc" TargetMode="External"/><Relationship Id="rId2674" Type="http://schemas.openxmlformats.org/officeDocument/2006/relationships/hyperlink" Target="https://vt.tiktok.com/ZS9NGxKaE/" TargetMode="External"/><Relationship Id="rId1344" Type="http://schemas.openxmlformats.org/officeDocument/2006/relationships/hyperlink" Target="https://www.tiktok.com/@heraariska_" TargetMode="External"/><Relationship Id="rId2675" Type="http://schemas.openxmlformats.org/officeDocument/2006/relationships/hyperlink" Target="https://www.tiktok.com/@racun_spalspil12/video/7634538432206834965?_r=1&amp;u_code=cllj6j6aidf05b&amp;region=&amp;mid=7622900823151889172&amp;preview_pb=0&amp;sharer_language=&amp;_d=0&amp;ec_shared_reflux_dynamic_params=%7B%22placeholder_material_id%22%3A%227634538432206834965%22%2C%22placeholder_origin_cover%22%3A%22https%253A%252F%252Fp16-common-sign.tiktokcdn.com%252Ftos-alisg-p-0037%252FowGQCDcDpBVnDiEFExo1nAQMEB9zf8kgURQEfX~tplv-tiktokx-origin.jpeg%253Fdr%253D14572%2526refresh_token%253D8fed67b0%2526x-expires%253D1810116000%2526x-signature%253D3jra3d%25252F3KBrKytTZ2nBWHOSaB4Y%25253D%2526t%253D4d5b0474%2526ps%253D13740610%2526shp%253Dd05b14bd%2526shcp%253D34ff8df6%2526idc%253Dmy2%2526s%253DTIKTOK_AFFILIATE_VIRAL_VIDEO%22%2C%22placeholder_product_id%22%3A%221729729730555512511%22%2C%22placeholder_video_id%22%3A%227634538432206834965%22%7D&amp;ec_shared_reflux_scene=shop_tab_feed&amp;share_item_id=7634538432206834965&amp;source=h5_t" TargetMode="External"/><Relationship Id="rId2621" Type="http://schemas.openxmlformats.org/officeDocument/2006/relationships/hyperlink" Target="https://www.tiktok.com/@bunnybel_w" TargetMode="External"/><Relationship Id="rId3953" Type="http://schemas.openxmlformats.org/officeDocument/2006/relationships/hyperlink" Target="https://www.tiktok.com/@nddrs" TargetMode="External"/><Relationship Id="rId2622" Type="http://schemas.openxmlformats.org/officeDocument/2006/relationships/hyperlink" Target="https://www.tiktok.com/@outfitce_/video/7631489020299709717?_r=1&amp;u_code=e0898kg4gbb4c7&amp;region=&amp;mid=7234217459228985345&amp;preview_pb=0&amp;sharer_language=&amp;_d=0&amp;ec_shared_reflux_dynamic_params=%7B%22placeholder_material_id%22%3A%227631489020299709717%22%2C%22placeholder_origin_cover%22%3A%22https%253A%252F%252Fp16-common-sign.tiktokcdn.com%252Ftos-alisg-p-0037%252FoQea8pGfQLAsQ0KQECIgYfihMLfNeNmQP8tnAP~tplv-tiktokx-origin.jpeg%253Fdr%253D14572%2526refresh_token%253De72f6a6f%2526x-expires%253D1808474400%2526x-signature%253DJQuoOiOu9OqUC%25252B4TEzr%25252BN791X80%25253D%2526t%253D4d5b0474%2526ps%253D13740610%2526shp%253Dd05b14bd%2526shcp%253D34ff8df6%2526idc%253Dmy3%2526s%253DTIKTOK_AFFILIATE_VIRAL_VIDEO%22%2C%22placeholder_product_id%22%3A%221729427766722726591%22%2C%22placeholder_video_id%22%3A%227631489020299709717%22%7D&amp;ec_shared_reflux_scene=shop_tab_feed&amp;share_item_id=7631489020299709717&amp;source=h5_t" TargetMode="External"/><Relationship Id="rId3952" Type="http://schemas.openxmlformats.org/officeDocument/2006/relationships/hyperlink" Target="https://vt.tiktok.com/ZS9BwuTQe/" TargetMode="External"/><Relationship Id="rId2623" Type="http://schemas.openxmlformats.org/officeDocument/2006/relationships/hyperlink" Target="https://www.tiktok.com/@outfitce_/video/7631496964684811541?_r=1&amp;u_code=e0898kg4gbb4c7&amp;region=&amp;mid=7623640076148722440&amp;preview_pb=0&amp;sharer_language=&amp;_d=0&amp;ec_shared_reflux_dynamic_params=%7B%22placeholder_material_id%22%3A%227631496964684811541%22%2C%22placeholder_origin_cover%22%3A%22https%253A%252F%252Fp16-common-sign.tiktokcdn.com%252Ftos-alisg-p-0037%252FoAveQLw8ACTjeGmzgkDDJAfD3ZII0TYoAECRgX~tplv-tiktokx-origin.jpeg%253Fdr%253D14572%2526refresh_token%253Dbe7603b7%2526x-expires%253D1808474400%2526x-signature%253DbAwAIBz7Q%25252BHjZkkIYoGFPCU%25252FhSE%25253D%2526t%253D4d5b0474%2526ps%253D13740610%2526shp%253Dd05b14bd%2526shcp%253D34ff8df6%2526idc%253Dmy3%2526s%253DTIKTOK_AFFILIATE_VIRAL_VIDEO%22%2C%22placeholder_product_id%22%3A%221729427766722726591%22%2C%22placeholder_video_id%22%3A%227631496964684811541%22%7D&amp;ec_shared_reflux_scene=shop_tab_feed&amp;share_item_id=7631496964684811541&amp;source=h5_t" TargetMode="External"/><Relationship Id="rId3955" Type="http://schemas.openxmlformats.org/officeDocument/2006/relationships/hyperlink" Target="https://vt.tiktok.com/ZS9BwjAQh/" TargetMode="External"/><Relationship Id="rId2624" Type="http://schemas.openxmlformats.org/officeDocument/2006/relationships/hyperlink" Target="https://www.tiktok.com/@outfitce_/video/7631536159864261909?_r=1&amp;u_code=e0898kg4gbb4c7&amp;region=&amp;mid=7597435345913317393&amp;preview_pb=0&amp;sharer_language=&amp;_d=0&amp;ec_shared_reflux_dynamic_params=%7B%22placeholder_material_id%22%3A%227631536159864261909%22%2C%22placeholder_origin_cover%22%3A%22https%253A%252F%252Fp16-common-sign.tiktokcdn.com%252Ftos-alisg-p-0037%252FoYvqDTbTi0z6Iwi3qVsihCNBABmveIIopxqABA~tplv-tiktokx-origin.jpeg%253Fdr%253D14572%2526refresh_token%253Df5911310%2526x-expires%253D1808474400%2526x-signature%253DLCNghF8r3nDdmwHu%25252B%25252FsYQyZl4A0%25253D%2526t%253D4d5b0474%2526ps%253D13740610%2526shp%253Dd05b14bd%2526shcp%253D34ff8df6%2526idc%253Dmy3%2526s%253DTIKTOK_AFFILIATE_VIRAL_VIDEO%22%2C%22placeholder_product_id%22%3A%221729427766722726591%22%2C%22placeholder_video_id%22%3A%227631536159864261909%22%7D&amp;ec_shared_reflux_scene=shop_tab_feed&amp;share_item_id=7631536159864261909&amp;source=h5_t" TargetMode="External"/><Relationship Id="rId3954" Type="http://schemas.openxmlformats.org/officeDocument/2006/relationships/hyperlink" Target="https://vt.tiktok.com/ZS9BTcmy4/" TargetMode="External"/><Relationship Id="rId2625" Type="http://schemas.openxmlformats.org/officeDocument/2006/relationships/hyperlink" Target="https://www.tiktok.com/@outfitce_/video/7631565441705512213?_r=1&amp;u_code=e0898kg4gbb4c7&amp;region=&amp;mid=7606071400499628049&amp;preview_pb=0&amp;sharer_language=&amp;_d=0&amp;ec_shared_reflux_dynamic_params=%7B%22placeholder_material_id%22%3A%227631565441705512213%22%2C%22placeholder_origin_cover%22%3A%22https%253A%252F%252Fp16-sign-sg.tiktokcdn.com%252Ftos-alisg-p-0037%252FoIARBEFpUE6BZRQIQ4ofBFx6LDGzVMIeLBzytg~tplv-tiktokx-origin.jpeg%253Fdr%253D14572%2526refresh_token%253Db409ba30%2526x-expires%253D1808474400%2526x-signature%253DhyKYO%25252FpVm2ACV31PO7r8JrqPlOo%25253D%2526t%253D4d5b0474%2526ps%253D13740610%2526shp%253Dd05b14bd%2526shcp%253D34ff8df6%2526idc%253Dmy3%2526s%253DTIKTOK_AFFILIATE_VIRAL_VIDEO%22%2C%22placeholder_product_id%22%3A%221729427766722726591%22%2C%22placeholder_video_id%22%3A%227631565441705512213%22%7D&amp;ec_shared_reflux_scene=shop_tab_feed&amp;share_item_id=7631565441705512213&amp;source=h5_t" TargetMode="External"/><Relationship Id="rId3957" Type="http://schemas.openxmlformats.org/officeDocument/2006/relationships/hyperlink" Target="https://www.tiktok.com/@_ajibon/video/7633467542194900244" TargetMode="External"/><Relationship Id="rId2626" Type="http://schemas.openxmlformats.org/officeDocument/2006/relationships/hyperlink" Target="https://www.tiktok.com/@edogawa866" TargetMode="External"/><Relationship Id="rId3956" Type="http://schemas.openxmlformats.org/officeDocument/2006/relationships/hyperlink" Target="https://www.tiktok.com/@_ajibon/video/7633462339823488277" TargetMode="External"/><Relationship Id="rId2627" Type="http://schemas.openxmlformats.org/officeDocument/2006/relationships/hyperlink" Target="https://www.tiktok.com/@outfitce_/video/7631591434138946837?_r=1&amp;u_code=e0898kg4gbb4c7&amp;region=&amp;mid=7606071400499628049&amp;preview_pb=0&amp;sharer_language=&amp;_d=0&amp;ec_shared_reflux_dynamic_params=%7B%22placeholder_material_id%22%3A%227631591434138946837%22%2C%22placeholder_origin_cover%22%3A%22https%253A%252F%252Fp16-common-sign.tiktokcdn.com%252Ftos-alisg-p-0037%252FoYICoi0TjAOjAuBKIPcH3qBwiy30De805HbAIA~tplv-tiktokx-origin.jpeg%253Fdr%253D14572%2526refresh_token%253D499ace7f%2526x-expires%253D1808474400%2526x-signature%253DMdlWwmHLtJeLVf5RdWO6Xy8zLDQ%25253D%2526t%253D4d5b0474%2526ps%253D13740610%2526shp%253Dd05b14bd%2526shcp%253D34ff8df6%2526idc%253Dmy3%2526s%253DTIKTOK_AFFILIATE_VIRAL_VIDEO%22%2C%22placeholder_product_id%22%3A%221729427766722726591%22%2C%22placeholder_video_id%22%3A%227631591434138946837%22%7D&amp;ec_shared_reflux_scene=shop_tab_feed&amp;share_item_id=7631591434138946837&amp;source=h5_t" TargetMode="External"/><Relationship Id="rId3959" Type="http://schemas.openxmlformats.org/officeDocument/2006/relationships/hyperlink" Target="https://www.tiktok.com/@usniritav" TargetMode="External"/><Relationship Id="rId2628" Type="http://schemas.openxmlformats.org/officeDocument/2006/relationships/hyperlink" Target="https://www.tiktok.com/@outfitce_/video/7631697734113725716?_r=1&amp;u_code=e0898kg4gbb4c7&amp;region=&amp;mid=7591457071271463688&amp;preview_pb=0&amp;sharer_language=&amp;_d=0&amp;ec_shared_reflux_dynamic_params=%7B%22placeholder_material_id%22%3A%227631697734113725716%22%2C%22placeholder_origin_cover%22%3A%22https%253A%252F%252Fp16-sign-sg.tiktokcdn.com%252Ftos-alisg-p-0037%252FoIAiBffDUItsRTpELPEwT6YTpBLAKEyuFBOTIg~tplv-tiktokx-origin.jpeg%253Fdr%253D14572%2526refresh_token%253D2246c921%2526x-expires%253D1808474400%2526x-signature%253DITy3b1iee%25252BRfXh9OwLICS45C8Ic%25253D%2526t%253D4d5b0474%2526ps%253D13740610%2526shp%253Dd05b14bd%2526shcp%253D34ff8df6%2526idc%253Dmy3%2526s%253DTIKTOK_AFFILIATE_VIRAL_VIDEO%22%2C%22placeholder_product_id%22%3A%221729427766722726591%22%2C%22placeholder_video_id%22%3A%227631697734113725716%22%7D&amp;ec_shared_reflux_scene=shop_tab_feed&amp;share_item_id=7631697734113725716&amp;source=h5_t" TargetMode="External"/><Relationship Id="rId3958" Type="http://schemas.openxmlformats.org/officeDocument/2006/relationships/hyperlink" Target="https://www.tiktok.com/@jenymarc.makeup" TargetMode="External"/><Relationship Id="rId709" Type="http://schemas.openxmlformats.org/officeDocument/2006/relationships/hyperlink" Target="https://www.tiktok.com/@siekumkum" TargetMode="External"/><Relationship Id="rId2629" Type="http://schemas.openxmlformats.org/officeDocument/2006/relationships/hyperlink" Target="https://www.tiktok.com/@outfitce_/video/7631735896873766164?_r=1&amp;u_code=e0898kg4gbb4c7&amp;region=&amp;mid=7627687221567310593&amp;preview_pb=0&amp;sharer_language=&amp;_d=0&amp;ec_shared_reflux_dynamic_params=%7B%22placeholder_material_id%22%3A%227631735896873766164%22%2C%22placeholder_origin_cover%22%3A%22https%253A%252F%252Fp16-common-sign.tiktokcdn.com%252Ftos-alisg-p-0037%252FoYGShs6IUkj8EQeQWCLTAvnGAioQuDxser0ICe~tplv-tiktokx-origin.jpeg%253Fdr%253D14572%2526refresh_token%253De33440b5%2526x-expires%253D1808474400%2526x-signature%253D%25252BAeUXOQAXR0eb4JjcS%25252BRgSPpw68%25253D%2526t%253D4d5b0474%2526ps%253D13740610%2526shp%253Dd05b14bd%2526shcp%253D34ff8df6%2526idc%253Dmy3%2526s%253DTIKTOK_AFFILIATE_VIRAL_VIDEO%22%2C%22placeholder_product_id%22%3A%221729427766722726591%22%2C%22placeholder_video_id%22%3A%227631735896873766164%22%7D&amp;ec_shared_reflux_scene=shop_tab_feed&amp;share_item_id=7631735896873766164&amp;source=h5_t" TargetMode="External"/><Relationship Id="rId708" Type="http://schemas.openxmlformats.org/officeDocument/2006/relationships/hyperlink" Target="https://www.tiktok.com/@racunonline91/video/7608723880131169543?is_from_webapp=1&amp;sender_device=pc" TargetMode="External"/><Relationship Id="rId707" Type="http://schemas.openxmlformats.org/officeDocument/2006/relationships/hyperlink" Target="https://www.tiktok.com/@racunonline91/video/7607983202732379400?is_from_webapp=1&amp;sender_device=pc" TargetMode="External"/><Relationship Id="rId706" Type="http://schemas.openxmlformats.org/officeDocument/2006/relationships/hyperlink" Target="https://www.tiktok.com/@racunonline91/video/7607388276818791687?is_from_webapp=1&amp;sender_device=pc" TargetMode="External"/><Relationship Id="rId701" Type="http://schemas.openxmlformats.org/officeDocument/2006/relationships/hyperlink" Target="https://www.tiktok.com/@ahakosmetik/video/7614497945974557960?is_from_webapp=1&amp;sender_device=pc" TargetMode="External"/><Relationship Id="rId700" Type="http://schemas.openxmlformats.org/officeDocument/2006/relationships/hyperlink" Target="https://www.tiktok.com/@ahakosmetik/video/7607102609501129992?is_from_webapp=1&amp;sender_device=pc" TargetMode="External"/><Relationship Id="rId705" Type="http://schemas.openxmlformats.org/officeDocument/2006/relationships/hyperlink" Target="https://www.tiktok.com/@racunonline91/video/7607245650245242119?is_from_webapp=1&amp;sender_device=pc" TargetMode="External"/><Relationship Id="rId704" Type="http://schemas.openxmlformats.org/officeDocument/2006/relationships/hyperlink" Target="https://www.tiktok.com/@racunonline91" TargetMode="External"/><Relationship Id="rId703" Type="http://schemas.openxmlformats.org/officeDocument/2006/relationships/hyperlink" Target="https://www.tiktok.com/@ahakosmetik/video/7618524440673946888?_r=1&amp;u_code=dal346a9j0maa6&amp;region=&amp;mid=7618524478917708562&amp;preview_pb=0&amp;sharer_language=&amp;_d=0&amp;ec_shared_reflux_dynamic_params=%7B%22placeholder_material_id%22%3A%227618524440673946888%22%2C%22placeholder_origin_cover%22%3A%22https%253A%252F%252Fp16-sign-sg.tiktokcdn.com%252Ftos-alisg-p-0037%252FoU65AdGCeQT3LWJ8w4eCjQJF6QfbbNIcAIDqHQ~tplv-tiktokx-origin.jpeg%253Fdr%253D14572%2526refresh_token%253Dddea5784%2526x-expires%253D1808208000%2526x-signature%253DoVn1%25252Fh1UGOaJS4%25252B1OJG9bFpbBQ4%25253D%2526t%253D4d5b0474%2526ps%253D13740610%2526shp%253Dd05b14bd%2526shcp%253D34ff8df6%2526idc%253Dmy3%2526s%253DTIKTOK_AFFILIATE_VIRAL_VIDEO%22%2C%22placeholder_product_id%22%3A%221729427766722726591%22%2C%22placeholder_video_id%22%3A%227618524440673946888%22%7D&amp;ec_shared_reflux_scene=shop_tab_feed&amp;share_item_id=7618524440673946888&amp;source=h5_t" TargetMode="External"/><Relationship Id="rId702" Type="http://schemas.openxmlformats.org/officeDocument/2006/relationships/hyperlink" Target="https://www.tiktok.com/@ahakosmetik/video/7615700726605450517?is_from_webapp=1&amp;sender_device=pc" TargetMode="External"/><Relationship Id="rId3951" Type="http://schemas.openxmlformats.org/officeDocument/2006/relationships/hyperlink" Target="https://www.tiktok.com/@elbystoree/video/7633534965233306900?_r=1&amp;u_code=ejaelbkd8gba53&amp;region=&amp;mid=7536222757655350032&amp;preview_pb=0&amp;sharer_language=&amp;_d=0&amp;ec_shared_reflux_dynamic_params=%7B%22placeholder_material_id%22%3A%227633534965233306900%22%2C%22placeholder_origin_cover%22%3A%22https%253A%252F%252Fp16-sign-sg.tiktokcdn.com%252Ftos-alisg-p-0037%252FoMRBNFBQBhxfnt776puoAfUvstIEIFOWD8w1Eg~tplv-tiktokx-origin.jpeg%253Fdr%253D14572%2526refresh_token%253De9f4f13b%2526x-expires%253D1808992800%2526x-signature%253D3xKuET6iAlCOqpxzBDfD%25252BqgIGWU%25253D%2526t%253D4d5b0474%2526ps%253D13740610%2526shp%253Dd05b14bd%2526shcp%253D34ff8df6%2526idc%253Dmy2%2526s%253DTIKTOK_AFFILIATE_VIRAL_VIDEO%22%2C%22placeholder_product_id%22%3A%221729427766722726591%22%2C%22placeholder_video_id%22%3A%227633534965233306900%22%7D&amp;ec_shared_reflux_scene=shop_tab_feed&amp;share_item_id=7633534965233306900&amp;source=h5_t" TargetMode="External"/><Relationship Id="rId2620" Type="http://schemas.openxmlformats.org/officeDocument/2006/relationships/hyperlink" Target="https://www.tiktok.com/@outfitce_/video/7631437887959043349?_r=1&amp;u_code=e0898kg4gbb4c7&amp;region=&amp;mid=7608156113497983765&amp;preview_pb=0&amp;sharer_language=&amp;_d=0&amp;ec_shared_reflux_dynamic_params=%7B%22placeholder_material_id%22%3A%227631437887959043349%22%2C%22placeholder_origin_cover%22%3A%22https%253A%252F%252Fp16-common-sign.tiktokcdn.com%252Ftos-alisg-p-0037%252FoQUC0AIygCBxwZAkI7bCAI8o2qiFI9gizEM0fu~tplv-tiktokx-origin.jpeg%253Fdr%253D14572%2526refresh_token%253D677c005f%2526x-expires%253D1808474400%2526x-signature%253D9nOL%25252F8muxBxaCZ4b9%25252BVUH9AhQXI%25253D%2526t%253D4d5b0474%2526ps%253D13740610%2526shp%253Dd05b14bd%2526shcp%253D34ff8df6%2526idc%253Dmy3%2526s%253DTIKTOK_AFFILIATE_VIRAL_VIDEO%22%2C%22placeholder_product_id%22%3A%221729427766722726591%22%2C%22placeholder_video_id%22%3A%227631437887959043349%22%7D&amp;ec_shared_reflux_scene=shop_tab_feed&amp;share_item_id=7631437887959043349&amp;source=h5_t" TargetMode="External"/><Relationship Id="rId3950" Type="http://schemas.openxmlformats.org/officeDocument/2006/relationships/hyperlink" Target="https://www.tiktok.com/@elbystoree/video/7634047576072899861?_d=0&amp;_r=1&amp;ec_shared_reflux_dynamic_params=%7B%22placeholder_material_id%22%3A%227634047576072899861%22%2C%22placeholder_origin_cover%22%3A%22https%253A%252F%252Fp16-common-sign.tiktokcdn.com%252Ftos-alisg-p-0037%252FospeD85lIuMIBymEIqTxJBAUBRidzcfa7gHBri~tplv-tiktokx-origin.jpeg%253Fdr%253D14572%2526refresh_token%253D17a7a5f6%2526x-expires%253D1808992800%2526x-signature%253DJfLfyHSXXkpI0duDSKdnI45BWbg%25253D%2526t%253D4d5b0474%2526ps%253D13740610%2526shp%253Dd05b14bd%2526shcp%253D34ff8df6%2526idc%253Dmy2%2526s%253DTIKTOK_AFFILIATE_VIRAL_VIDEO%22%2C%22placeholder_product_id%22%3A%221729427766722726591%22%2C%22placeholder_video_id%22%3A%227634047576072899861%22%7D&amp;ec_shared_reflux_scene=shop_tab_feed&amp;mid=7597391122554194696&amp;preview_pb=0&amp;region=&amp;share_item_id=7634047576072899861&amp;sharer_language=&amp;source=h5_t&amp;u_code=ejaelbkd8gba53" TargetMode="External"/><Relationship Id="rId2610" Type="http://schemas.openxmlformats.org/officeDocument/2006/relationships/hyperlink" Target="https://www.tiktok.com/@harumrice/video/7637408679121128724?_r=1&amp;u_code=d6j7255963058c&amp;region=&amp;mid=7635168690876042004&amp;preview_pb=0&amp;sharer_language=&amp;_d=0&amp;ec_shared_reflux_dynamic_params=%7B%22placeholder_material_id%22%3A%227637408679121128724%22%2C%22placeholder_origin_cover%22%3A%22https%253A%252F%252Fp16-common-sign.tiktokcdn.com%252Ftos-alisg-p-0037%252FoMTfPiDhI2YBCWSIIiW9QDA8EjFsToffTAkDZE~tplv-tiktokx-origin.jpeg%253Fdr%253D14572%2526refresh_token%253D7b9a90d6%2526x-expires%253D1810116000%2526x-signature%253DJibGRlrTitbAbM6La5HgP1%25252Fun3E%25253D%2526t%253D4d5b0474%2526ps%253D13740610%2526shp%253Dd05b14bd%2526shcp%253D34ff8df6%2526idc%253Dmy2%2526s%253DTIKTOK_AFFILIATE_VIRAL_VIDEO%22%2C%22placeholder_product_id%22%3A%221729427766722726591%22%2C%22placeholder_video_id%22%3A%227637408679121128724%22%7D&amp;ec_shared_reflux_scene=shop_tab_feed&amp;share_item_id=7637408679121128724&amp;source=h5_t" TargetMode="External"/><Relationship Id="rId3942" Type="http://schemas.openxmlformats.org/officeDocument/2006/relationships/hyperlink" Target="https://vt.tiktok.com/ZS9SHPpar/" TargetMode="External"/><Relationship Id="rId2611" Type="http://schemas.openxmlformats.org/officeDocument/2006/relationships/hyperlink" Target="https://www.tiktok.com/@beautycaa2" TargetMode="External"/><Relationship Id="rId3941" Type="http://schemas.openxmlformats.org/officeDocument/2006/relationships/hyperlink" Target="https://vt.tiktok.com/ZS9SHyXhx/" TargetMode="External"/><Relationship Id="rId2612" Type="http://schemas.openxmlformats.org/officeDocument/2006/relationships/hyperlink" Target="https://www.tiktok.com/@outfitce_/video/7631111481903320340?_r=1&amp;u_code=e0898kg4gbb4c7&amp;region=&amp;mid=7365946809562450721&amp;preview_pb=0&amp;sharer_language=&amp;_d=0&amp;ec_shared_reflux_dynamic_params=%7B%22placeholder_material_id%22%3A%227631111481903320340%22%2C%22placeholder_origin_cover%22%3A%22https%253A%252F%252Fp16-common-sign.tiktokcdn.com%252Ftos-alisg-p-0037%252Fo0CoIxIwuMAi9i5JPHI458fLOOBJAAaIPB406n~tplv-tiktokx-origin.jpeg%253Fdr%253D14572%2526refresh_token%253D97470b33%2526x-expires%253D1808474400%2526x-signature%253D42XSWpwdE0eyz%25252FZwSbpHeTwQv3k%25253D%2526t%253D4d5b0474%2526ps%253D13740610%2526shp%253Dd05b14bd%2526shcp%253D34ff8df6%2526idc%253Dmy3%2526s%253DTIKTOK_AFFILIATE_VIRAL_VIDEO%22%2C%22placeholder_product_id%22%3A%221729427766722726591%22%2C%22placeholder_video_id%22%3A%227631111481903320340%22%7D&amp;ec_shared_reflux_scene=shop_tab_feed&amp;share_item_id=7631111481903320340&amp;source=h5_t" TargetMode="External"/><Relationship Id="rId3944" Type="http://schemas.openxmlformats.org/officeDocument/2006/relationships/hyperlink" Target="https://www.tiktok.com/@unboxingtime___" TargetMode="External"/><Relationship Id="rId2613" Type="http://schemas.openxmlformats.org/officeDocument/2006/relationships/hyperlink" Target="https://www.tiktok.com/@outfitce_/video/7631119212450254101?_r=1&amp;u_code=e0898kg4gbb4c7&amp;region=&amp;mid=7606071400499628049&amp;preview_pb=0&amp;sharer_language=&amp;_d=0&amp;ec_shared_reflux_dynamic_params=%7B%22placeholder_material_id%22%3A%227631119212450254101%22%2C%22placeholder_origin_cover%22%3A%22https%253A%252F%252Fp16-sign-sg.tiktokcdn.com%252Ftos-alisg-p-0037%252FoYUOudiIIAw0VLev7LiunMb9gouO1CAKBAcIBz~tplv-tiktokx-origin.jpeg%253Fdr%253D14572%2526refresh_token%253D1f6184d4%2526x-expires%253D1808474400%2526x-signature%253DBtMIpSv7%25252BA7SYVaFUTK%25252FqSnkFtk%25253D%2526t%253D4d5b0474%2526ps%253D13740610%2526shp%253Dd05b14bd%2526shcp%253D34ff8df6%2526idc%253Dmy3%2526s%253DTIKTOK_AFFILIATE_VIRAL_VIDEO%22%2C%22placeholder_product_id%22%3A%221729427766722726591%22%2C%22placeholder_video_id%22%3A%227631119212450254101%22%7D&amp;ec_shared_reflux_scene=shop_tab_feed&amp;share_item_id=7631119212450254101&amp;source=h5_t" TargetMode="External"/><Relationship Id="rId3943" Type="http://schemas.openxmlformats.org/officeDocument/2006/relationships/hyperlink" Target="https://vt.tiktok.com/ZS9Suktya/" TargetMode="External"/><Relationship Id="rId2614" Type="http://schemas.openxmlformats.org/officeDocument/2006/relationships/hyperlink" Target="https://www.tiktok.com/@outfitce_/video/7631162074869009684?_r=1&amp;u_code=e0898kg4gbb4c7&amp;region=&amp;mid=7234217459228985345&amp;preview_pb=0&amp;sharer_language=&amp;_d=0&amp;ec_shared_reflux_dynamic_params=%7B%22placeholder_material_id%22%3A%227631162074869009684%22%2C%22placeholder_origin_cover%22%3A%22https%253A%252F%252Fp16-common-sign.tiktokcdn.com%252Ftos-alisg-p-0037%252Fo0zYnAak6qBG7iI0z8ifAAw8RVxqq7IIIVByCi~tplv-tiktokx-origin.jpeg%253Fdr%253D14572%2526refresh_token%253Da9205cd0%2526x-expires%253D1808474400%2526x-signature%253DN1w4uVhBm%25252F8znT%25252FWZVlEeE9Qx14%25253D%2526t%253D4d5b0474%2526ps%253D13740610%2526shp%253Dd05b14bd%2526shcp%253D34ff8df6%2526idc%253Dmy3%2526s%253DTIKTOK_AFFILIATE_VIRAL_VIDEO%22%2C%22placeholder_product_id%22%3A%221729427766722726591%22%2C%22placeholder_video_id%22%3A%227631162074869009684%22%7D&amp;ec_shared_reflux_scene=shop_tab_feed&amp;share_item_id=7631162074869009684&amp;source=h5_t" TargetMode="External"/><Relationship Id="rId3946" Type="http://schemas.openxmlformats.org/officeDocument/2006/relationships/hyperlink" Target="https://vt.tiktok.com/ZS9Sm7opK/" TargetMode="External"/><Relationship Id="rId2615" Type="http://schemas.openxmlformats.org/officeDocument/2006/relationships/hyperlink" Target="https://www.tiktok.com/@outfitce_/video/7631187083704438037?_d=0&amp;_r=1&amp;ec_shared_reflux_dynamic_params=%7B%22placeholder_material_id%22%3A%227631187083704438037%22%2C%22placeholder_origin_cover%22%3A%22https%253A%252F%252Fp16-common-sign.tiktokcdn.com%252Ftos-alisg-p-0037%252Fokw5DfquEEYUIEbKiBpgFBonI7R2AlebTBWR9x~tplv-tiktokx-origin.jpeg%253Fdr%253D14572%2526refresh_token%253D63ddc412%2526x-expires%253D1808474400%2526x-signature%253DzHh8ZjguOAuZsPqE95wHV2Ee3a0%25253D%2526t%253D4d5b0474%2526ps%253D13740610%2526shp%253Dd05b14bd%2526shcp%253D34ff8df6%2526idc%253Dmy3%2526s%253DTIKTOK_AFFILIATE_VIRAL_VIDEO%22%2C%22placeholder_product_id%22%3A%221729427766722726591%22%2C%22placeholder_video_id%22%3A%227631187083704438037%22%7D&amp;ec_shared_reflux_scene=shop_tab_feed&amp;mid=7597435345913317393&amp;preview_pb=0&amp;region=&amp;share_item_id=7631187083704438037&amp;sharer_language=&amp;source=h5_t&amp;u_code=e0898kg4gbb4c7" TargetMode="External"/><Relationship Id="rId3945" Type="http://schemas.openxmlformats.org/officeDocument/2006/relationships/hyperlink" Target="https://vt.tiktok.com/ZS9SuNLoS/" TargetMode="External"/><Relationship Id="rId2616" Type="http://schemas.openxmlformats.org/officeDocument/2006/relationships/hyperlink" Target="https://www.tiktok.com/@roseriyanto5" TargetMode="External"/><Relationship Id="rId3948" Type="http://schemas.openxmlformats.org/officeDocument/2006/relationships/hyperlink" Target="https://vt.tiktok.com/ZS9D69t8q/" TargetMode="External"/><Relationship Id="rId2617" Type="http://schemas.openxmlformats.org/officeDocument/2006/relationships/hyperlink" Target="https://www.tiktok.com/@outfitce_/video/7631204412303609108?_r=1&amp;u_code=e0898kg4gbb4c7&amp;region=&amp;mid=7365946809562450721&amp;preview_pb=0&amp;sharer_language=&amp;_d=0&amp;ec_shared_reflux_dynamic_params=%7B%22placeholder_material_id%22%3A%227631204412303609108%22%2C%22placeholder_origin_cover%22%3A%22https%253A%252F%252Fp16-common-sign.tiktokcdn.com%252Ftos-alisg-p-0037%252FosBiMO7geAA95p8eCf8ed4MSZAgy4KYePB2Ncv~tplv-tiktokx-origin.jpeg%253Fdr%253D14572%2526refresh_token%253D37f16ae0%2526x-expires%253D1808474400%2526x-signature%253D0orBnS8LMdON88ZZmxB9SKt6KsE%25253D%2526t%253D4d5b0474%2526ps%253D13740610%2526shp%253Dd05b14bd%2526shcp%253D34ff8df6%2526idc%253Dmy3%2526s%253DTIKTOK_AFFILIATE_VIRAL_VIDEO%22%2C%22placeholder_product_id%22%3A%221729427766722726591%22%2C%22placeholder_video_id%22%3A%227631204412303609108%22%7D&amp;ec_shared_reflux_scene=shop_tab_feed&amp;share_item_id=7631204412303609108&amp;source=h5_t" TargetMode="External"/><Relationship Id="rId3947" Type="http://schemas.openxmlformats.org/officeDocument/2006/relationships/hyperlink" Target="https://vt.tiktok.com/ZS9Suhp6r/" TargetMode="External"/><Relationship Id="rId2618" Type="http://schemas.openxmlformats.org/officeDocument/2006/relationships/hyperlink" Target="https://www.tiktok.com/@outfitce_/video/7631401108853820693?_r=1&amp;u_code=e0898kg4gbb4c7&amp;region=&amp;mid=7186103591168658203&amp;preview_pb=0&amp;sharer_language=&amp;_d=0&amp;ec_shared_reflux_dynamic_params=%7B%22placeholder_material_id%22%3A%227631401108853820693%22%2C%22placeholder_origin_cover%22%3A%22https%253A%252F%252Fp16-sign-sg.tiktokcdn.com%252Ftos-alisg-p-0037%252FogACkDeIpA0uThCo0QC2jeASSoQtL4IMGdfFLo~tplv-tiktokx-origin.jpeg%253Fdr%253D14572%2526refresh_token%253D9e6110b2%2526x-expires%253D1808474400%2526x-signature%253Drq5wWuWGZg2ZT4zBHrAuW%25252BcSqEI%25253D%2526t%253D4d5b0474%2526ps%253D13740610%2526shp%253Dd05b14bd%2526shcp%253D34ff8df6%2526idc%253Dmy3%2526s%253DTIKTOK_AFFILIATE_VIRAL_VIDEO%22%2C%22placeholder_product_id%22%3A%221729427766722726591%22%2C%22placeholder_video_id%22%3A%227631401108853820693%22%7D&amp;ec_shared_reflux_scene=shop_tab_feed&amp;share_item_id=7631401108853820693&amp;source=h5_t" TargetMode="External"/><Relationship Id="rId2619" Type="http://schemas.openxmlformats.org/officeDocument/2006/relationships/hyperlink" Target="https://www.tiktok.com/@outfitce_/video/7631410281234795796?_r=1&amp;u_code=e0898kg4gbb4c7&amp;region=&amp;mid=7626624902267439888&amp;preview_pb=0&amp;sharer_language=&amp;_d=0&amp;ec_shared_reflux_dynamic_params=%7B%22placeholder_material_id%22%3A%227631410281234795796%22%2C%22placeholder_origin_cover%22%3A%22https%253A%252F%252Fp16-common-sign.tiktokcdn.com%252Ftos-alisg-p-0037%252FogAAB0noLE0IvAPR4XBgyIKxqeNIi3iw0YjCDw~tplv-tiktokx-origin.jpeg%253Fdr%253D14572%2526refresh_token%253D97e0a2c3%2526x-expires%253D1808474400%2526x-signature%253DukugLDOX%25252BWKv5M4uuZQ8VkmT%25252Bko%25253D%2526t%253D4d5b0474%2526ps%253D13740610%2526shp%253Dd05b14bd%2526shcp%253D34ff8df6%2526idc%253Dmy3%2526s%253DTIKTOK_AFFILIATE_VIRAL_VIDEO%22%2C%22placeholder_product_id%22%3A%221729427766722726591%22%2C%22placeholder_video_id%22%3A%227631410281234795796%22%7D&amp;ec_shared_reflux_scene=shop_tab_feed&amp;share_item_id=7631410281234795796&amp;source=h5_t" TargetMode="External"/><Relationship Id="rId3949" Type="http://schemas.openxmlformats.org/officeDocument/2006/relationships/hyperlink" Target="https://www.tiktok.com/@aboutpipita" TargetMode="External"/><Relationship Id="rId3940" Type="http://schemas.openxmlformats.org/officeDocument/2006/relationships/hyperlink" Target="https://vt.tiktok.com/ZS9S9LJLk/" TargetMode="External"/><Relationship Id="rId1312" Type="http://schemas.openxmlformats.org/officeDocument/2006/relationships/hyperlink" Target="https://www.tiktok.com/@liestyfriendly" TargetMode="External"/><Relationship Id="rId2643" Type="http://schemas.openxmlformats.org/officeDocument/2006/relationships/hyperlink" Target="https://www.tiktok.com/@outfitce_/video/7631884537383128341?_r=1&amp;u_code=e0898kg4gbb4c7&amp;region=&amp;mid=7234217459228985345&amp;preview_pb=0&amp;sharer_language=&amp;_d=0&amp;ec_shared_reflux_dynamic_params=%7B%22placeholder_material_id%22%3A%227631884537383128341%22%2C%22placeholder_origin_cover%22%3A%22https%253A%252F%252Fp16-common-sign.tiktokcdn.com%252Ftos-alisg-p-0037%252FoopCyvPppwXIBcKICP5iAfAq5A9iI4gC0dMRqP~tplv-tiktokx-origin.jpeg%253Fdr%253D14572%2526refresh_token%253Dd7c00fb4%2526x-expires%253D1808474400%2526x-signature%253DTdLNdkG5U6GxzEHfYAj2XmYl764%25253D%2526t%253D4d5b0474%2526ps%253D13740610%2526shp%253Dd05b14bd%2526shcp%253D34ff8df6%2526idc%253Dmy3%2526s%253DTIKTOK_AFFILIATE_VIRAL_VIDEO%22%2C%22placeholder_product_id%22%3A%221729427766722726591%22%2C%22placeholder_video_id%22%3A%227631884537383128341%22%7D&amp;ec_shared_reflux_scene=shop_tab_feed&amp;share_item_id=7631884537383128341&amp;source=h5_t" TargetMode="External"/><Relationship Id="rId3975" Type="http://schemas.openxmlformats.org/officeDocument/2006/relationships/hyperlink" Target="https://vt.tiktok.com/ZS9U5Tokq/" TargetMode="External"/><Relationship Id="rId1313" Type="http://schemas.openxmlformats.org/officeDocument/2006/relationships/hyperlink" Target="https://vt.tiktok.com/ZSHFmbQjg/" TargetMode="External"/><Relationship Id="rId2644" Type="http://schemas.openxmlformats.org/officeDocument/2006/relationships/hyperlink" Target="https://www.tiktok.com/@outfitce_/video/7631894940804533524?_r=1&amp;u_code=e0898kg4gbb4c7&amp;region=&amp;mid=7606071400499628049&amp;preview_pb=0&amp;sharer_language=&amp;_d=0&amp;ec_shared_reflux_dynamic_params=%7B%22placeholder_material_id%22%3A%227631894940804533524%22%2C%22placeholder_origin_cover%22%3A%22https%253A%252F%252Fp16-sign-sg.tiktokcdn.com%252Ftos-alisg-p-0037%252FoYMefKQGnF4NPg7LIeL7HAgcRG1TepqAYGgBHZ~tplv-tiktokx-origin.jpeg%253Fdr%253D14572%2526refresh_token%253De011310a%2526x-expires%253D1808474400%2526x-signature%253DVKdQzRYCB9WaYYhZuZ7R%25252B0lY2EI%25253D%2526t%253D4d5b0474%2526ps%253D13740610%2526shp%253Dd05b14bd%2526shcp%253D34ff8df6%2526idc%253Dmy3%2526s%253DTIKTOK_AFFILIATE_VIRAL_VIDEO%22%2C%22placeholder_product_id%22%3A%221729427766722726591%22%2C%22placeholder_video_id%22%3A%227631894940804533524%22%7D&amp;ec_shared_reflux_scene=shop_tab_feed&amp;share_item_id=7631894940804533524&amp;source=h5_t" TargetMode="External"/><Relationship Id="rId3974" Type="http://schemas.openxmlformats.org/officeDocument/2006/relationships/hyperlink" Target="https://vt.tiktok.com/ZS9U5WbA8/" TargetMode="External"/><Relationship Id="rId1314" Type="http://schemas.openxmlformats.org/officeDocument/2006/relationships/hyperlink" Target="https://vt.tiktok.com/ZSHFmK2fL/" TargetMode="External"/><Relationship Id="rId2645" Type="http://schemas.openxmlformats.org/officeDocument/2006/relationships/hyperlink" Target="https://www.tiktok.com/@auliaditap" TargetMode="External"/><Relationship Id="rId3977" Type="http://schemas.openxmlformats.org/officeDocument/2006/relationships/hyperlink" Target="https://vt.tiktok.com/ZS9fyKq1r/" TargetMode="External"/><Relationship Id="rId1315" Type="http://schemas.openxmlformats.org/officeDocument/2006/relationships/hyperlink" Target="https://www.tiktok.com/@userrrrrr073124/video/7626641422392872210?is_from_webapp=1&amp;sender_device=pc&amp;web_id=7611930277489657360" TargetMode="External"/><Relationship Id="rId2646" Type="http://schemas.openxmlformats.org/officeDocument/2006/relationships/hyperlink" Target="https://vt.tiktok.com/ZSxSQ19rq/" TargetMode="External"/><Relationship Id="rId3976" Type="http://schemas.openxmlformats.org/officeDocument/2006/relationships/hyperlink" Target="https://www.tiktok.com/@dvirh9" TargetMode="External"/><Relationship Id="rId1316" Type="http://schemas.openxmlformats.org/officeDocument/2006/relationships/hyperlink" Target="https://www.tiktok.com/@nisrina.atira" TargetMode="External"/><Relationship Id="rId2647" Type="http://schemas.openxmlformats.org/officeDocument/2006/relationships/hyperlink" Target="https://www.tiktok.com/@barbieenuria" TargetMode="External"/><Relationship Id="rId3979" Type="http://schemas.openxmlformats.org/officeDocument/2006/relationships/hyperlink" Target="https://vt.tiktok.com/ZS9ff6xje/" TargetMode="External"/><Relationship Id="rId1317" Type="http://schemas.openxmlformats.org/officeDocument/2006/relationships/hyperlink" Target="https://www.tiktok.com/@nisrina.atira/video/7616785338035490066?is_from_webapp=1&amp;sender_device=pc&amp;web_id=7611930277489657360" TargetMode="External"/><Relationship Id="rId2648" Type="http://schemas.openxmlformats.org/officeDocument/2006/relationships/hyperlink" Target="https://www.tiktok.com/@productskincare/video/7631737261540838663?_r=1&amp;u_code=dkcmglg7ehgljg&amp;region=&amp;mid=7562155499223796481&amp;preview_pb=0&amp;sharer_language=&amp;_d=0&amp;ec_shared_reflux_dynamic_params=%7B%22placeholder_material_id%22%3A%227631737261540838663%22%2C%22placeholder_origin_cover%22%3A%22https%253A%252F%252Fp16-sign-sg.tiktokcdn.com%252Ftos-alisg-p-0037%252Fooo40sPjkIfJIYfDITsADEGALPeBACK0jIApPh~tplv-tiktokx-origin.jpeg%253Fdr%253D14572%2526refresh_token%253D223be616%2526x-expires%253D1808474400%2526x-signature%253DyGyjRQZqZt%25252F5c%25252BRnjiBxgUuYW9Y%25253D%2526t%253D4d5b0474%2526ps%253D13740610%2526shp%253Dd05b14bd%2526shcp%253D34ff8df6%2526idc%253Dmy3%2526s%253DTIKTOK_AFFILIATE_VIRAL_VIDEO%22%2C%22placeholder_product_id%22%3A%221729427766722726591%22%2C%22placeholder_video_id%22%3A%227631737261540838663%22%7D&amp;ec_shared_reflux_scene=shop_tab_feed&amp;share_item_id=7631737261540838663&amp;source=h5_t" TargetMode="External"/><Relationship Id="rId3978" Type="http://schemas.openxmlformats.org/officeDocument/2006/relationships/hyperlink" Target="https://vt.tiktok.com/ZS9ffRSun/" TargetMode="External"/><Relationship Id="rId1318" Type="http://schemas.openxmlformats.org/officeDocument/2006/relationships/hyperlink" Target="https://www.tiktok.com/@nisrina.atira/video/7617473874271227154?is_from_webapp=1&amp;sender_device=pc&amp;web_id=7611930277489657360" TargetMode="External"/><Relationship Id="rId2649" Type="http://schemas.openxmlformats.org/officeDocument/2006/relationships/hyperlink" Target="https://vt.tiktok.com/ZS9N18tYq/" TargetMode="External"/><Relationship Id="rId1319" Type="http://schemas.openxmlformats.org/officeDocument/2006/relationships/hyperlink" Target="https://www.tiktok.com/@nisrina.atira/video/7617874210588839176?is_from_webapp=1&amp;sender_device=pc&amp;web_id=7611930277489657360" TargetMode="External"/><Relationship Id="rId729" Type="http://schemas.openxmlformats.org/officeDocument/2006/relationships/hyperlink" Target="https://www.tiktok.com/@rumahcivi" TargetMode="External"/><Relationship Id="rId728" Type="http://schemas.openxmlformats.org/officeDocument/2006/relationships/hyperlink" Target="https://www.tiktok.com/@racunbyyola/video/7610090589178137874?is_from_webapp=1&amp;sender_device=pc" TargetMode="External"/><Relationship Id="rId723" Type="http://schemas.openxmlformats.org/officeDocument/2006/relationships/hyperlink" Target="https://www.tiktok.com/@momysiska20/video/7614355252724124949?is_from_webapp=1&amp;sender_device=pc" TargetMode="External"/><Relationship Id="rId722" Type="http://schemas.openxmlformats.org/officeDocument/2006/relationships/hyperlink" Target="https://www.tiktok.com/@momysiska20/video/7610416685677284629?is_from_webapp=1&amp;sender_device=pc" TargetMode="External"/><Relationship Id="rId721" Type="http://schemas.openxmlformats.org/officeDocument/2006/relationships/hyperlink" Target="https://www.tiktok.com/@momysiska20/video/7608804983282126101?is_from_webapp=1&amp;sender_device=pc" TargetMode="External"/><Relationship Id="rId720" Type="http://schemas.openxmlformats.org/officeDocument/2006/relationships/hyperlink" Target="https://www.tiktok.com/@momysiska20/video/7608057120541625621?is_from_webapp=1&amp;sender_device=pc" TargetMode="External"/><Relationship Id="rId727" Type="http://schemas.openxmlformats.org/officeDocument/2006/relationships/hyperlink" Target="https://www.tiktok.com/@racunbyyola/video/7609661401950473490?is_from_webapp=1&amp;sender_device=pc" TargetMode="External"/><Relationship Id="rId726" Type="http://schemas.openxmlformats.org/officeDocument/2006/relationships/hyperlink" Target="https://www.tiktok.com/@racunbyyola/video/7609239677068971272?is_from_webapp=1&amp;sender_device=pc" TargetMode="External"/><Relationship Id="rId725" Type="http://schemas.openxmlformats.org/officeDocument/2006/relationships/hyperlink" Target="https://www.tiktok.com/@its_vitta/video/7609921041917381908?is_from_webapp=1&amp;sender_device=pc" TargetMode="External"/><Relationship Id="rId724" Type="http://schemas.openxmlformats.org/officeDocument/2006/relationships/hyperlink" Target="https://www.tiktok.com/@its_vitta" TargetMode="External"/><Relationship Id="rId3971" Type="http://schemas.openxmlformats.org/officeDocument/2006/relationships/hyperlink" Target="https://www.tiktok.com/@zoshiday" TargetMode="External"/><Relationship Id="rId2640" Type="http://schemas.openxmlformats.org/officeDocument/2006/relationships/hyperlink" Target="https://www.tiktok.com/@eviyuli__" TargetMode="External"/><Relationship Id="rId3970" Type="http://schemas.openxmlformats.org/officeDocument/2006/relationships/hyperlink" Target="https://vt.tiktok.com/ZS9DP43xr/" TargetMode="External"/><Relationship Id="rId1310" Type="http://schemas.openxmlformats.org/officeDocument/2006/relationships/hyperlink" Target="https://www.tiktok.com/@naura.karisma/video/7626755225600232725?is_from_webapp=1&amp;sender_device=pc&amp;web_id=7611930277489657360" TargetMode="External"/><Relationship Id="rId2641" Type="http://schemas.openxmlformats.org/officeDocument/2006/relationships/hyperlink" Target="https://www.tiktok.com/@outfitce_/video/7631853327004814612?_r=1&amp;u_code=e0898kg4gbb4c7&amp;region=&amp;mid=7367338564638837521&amp;preview_pb=0&amp;sharer_language=&amp;_d=0&amp;ec_shared_reflux_dynamic_params=%7B%22placeholder_material_id%22%3A%227631853327004814612%22%2C%22placeholder_origin_cover%22%3A%22https%253A%252F%252Fp16-sign-sg.tiktokcdn.com%252Ftos-alisg-p-0037%252FoECy0IIwqrAisiny7WI0xevVYKBqAAHIZBj0Lp~tplv-tiktokx-origin.jpeg%253Fdr%253D14572%2526refresh_token%253D25a9b7cf%2526x-expires%253D1808474400%2526x-signature%253D99f2lJb73lU8ZlxcpFFlDAKF49s%25253D%2526t%253D4d5b0474%2526ps%253D13740610%2526shp%253Dd05b14bd%2526shcp%253D34ff8df6%2526idc%253Dmy3%2526s%253DTIKTOK_AFFILIATE_VIRAL_VIDEO%22%2C%22placeholder_product_id%22%3A%221729427766722726591%22%2C%22placeholder_video_id%22%3A%227631853327004814612%22%7D&amp;ec_shared_reflux_scene=shop_tab_feed&amp;share_item_id=7631853327004814612&amp;source=h5_t" TargetMode="External"/><Relationship Id="rId3973" Type="http://schemas.openxmlformats.org/officeDocument/2006/relationships/hyperlink" Target="https://vt.tiktok.com/ZS9U5pQ9X/" TargetMode="External"/><Relationship Id="rId1311" Type="http://schemas.openxmlformats.org/officeDocument/2006/relationships/hyperlink" Target="https://vt.tiktok.com/ZS9DDGsej/" TargetMode="External"/><Relationship Id="rId2642" Type="http://schemas.openxmlformats.org/officeDocument/2006/relationships/hyperlink" Target="https://www.tiktok.com/@outfitce_/video/7631866658575060245?_r=1&amp;u_code=e0898kg4gbb4c7&amp;region=&amp;mid=7186103591168658203&amp;preview_pb=0&amp;sharer_language=&amp;_d=0&amp;ec_shared_reflux_dynamic_params=%7B%22placeholder_material_id%22%3A%227631866658575060245%22%2C%22placeholder_origin_cover%22%3A%22https%253A%252F%252Fp16-common-sign.tiktokcdn.com%252Ftos-alisg-p-0037%252FowldzB60IAceQwBE5B1iNEY4WI3RgbiyppBE3f~tplv-tiktokx-origin.jpeg%253Fdr%253D14572%2526refresh_token%253D09f70c03%2526x-expires%253D1808474400%2526x-signature%253DIJgtQgi%25252Fxkojt8CDLqxvWz1lyRU%25253D%2526t%253D4d5b0474%2526ps%253D13740610%2526shp%253Dd05b14bd%2526shcp%253D34ff8df6%2526idc%253Dmy3%2526s%253DTIKTOK_AFFILIATE_VIRAL_VIDEO%22%2C%22placeholder_product_id%22%3A%221729427766722726591%22%2C%22placeholder_video_id%22%3A%227631866658575060245%22%7D&amp;ec_shared_reflux_scene=shop_tab_feed&amp;share_item_id=7631866658575060245&amp;source=h5_t" TargetMode="External"/><Relationship Id="rId3972" Type="http://schemas.openxmlformats.org/officeDocument/2006/relationships/hyperlink" Target="https://vt.tiktok.com/ZS9U5EB6a/" TargetMode="External"/><Relationship Id="rId1301" Type="http://schemas.openxmlformats.org/officeDocument/2006/relationships/hyperlink" Target="https://vt.tiktok.com/ZS94rE3YY/" TargetMode="External"/><Relationship Id="rId2632" Type="http://schemas.openxmlformats.org/officeDocument/2006/relationships/hyperlink" Target="https://vt.tiktok.com/ZSHovQFPg/" TargetMode="External"/><Relationship Id="rId3964" Type="http://schemas.openxmlformats.org/officeDocument/2006/relationships/hyperlink" Target="https://www.tiktok.com/@rina_galerina" TargetMode="External"/><Relationship Id="rId1302" Type="http://schemas.openxmlformats.org/officeDocument/2006/relationships/hyperlink" Target="https://www.tiktok.com/@sinabilla/video/7632180521308523794?_r=1&amp;u_code=d8ce4h27fdmff3&amp;region=&amp;mid=7629352910916897543&amp;preview_pb=0&amp;sharer_language=&amp;_d=0&amp;ec_shared_reflux_dynamic_params=%7B%22placeholder_material_id%22%3A%227632180521308523794%22%2C%22placeholder_origin_cover%22%3A%22https%253A%252F%252Fp16-common-sign.tiktokcdn.com%252Ftos-alisg-p-0037%252FooQqQBBlR8S6ArDpyFfIf71UgMiE6E3gcCv8B5~tplv-tiktokx-origin.jpeg%253Fdr%253D14572%2526refresh_token%253Dabd4d972%2526x-expires%253D1809507600%2526x-signature%253DlSJi4AMftkZfzUdsHS1wYJtc0rw%25253D%2526t%253D4d5b0474%2526ps%253D13740610%2526shp%253Dd05b14bd%2526shcp%253D34ff8df6%2526idc%253Dmy%2526s%253DTIKTOK_AFFILIATE_VIRAL_VIDEO%22%2C%22placeholder_product_id%22%3A%221729427766722726591%22%2C%22placeholder_video_id%22%3A%227632180521308523794%22%7D&amp;ec_shared_reflux_scene=shop_tab_feed&amp;share_item_id=7632180521308523794&amp;source=h5_t" TargetMode="External"/><Relationship Id="rId2633" Type="http://schemas.openxmlformats.org/officeDocument/2006/relationships/hyperlink" Target="https://www.tiktok.com/@racun_spalspil12/video/7636572246085012756?_r=1&amp;u_code=cllj6j6aidf05b&amp;region=&amp;mid=7577300307509299989&amp;preview_pb=0&amp;sharer_language=&amp;_d=0&amp;ec_shared_reflux_dynamic_params=%7B%22placeholder_material_id%22%3A%227636572246085012756%22%2C%22placeholder_origin_cover%22%3A%22https%253A%252F%252Fp16-common-sign.tiktokcdn.com%252Ftos-alisg-p-0037%252FogRe4LGHjIDvoQmDl6IQktCAjDrAgz2V9TeiUf~tplv-tiktokx-origin.jpeg%253Fdr%253D14572%2526refresh_token%253D222fdc54%2526x-expires%253D1810116000%2526x-signature%253D4jaAuaw6v9aij76FiiM%25252ByTLJccY%25253D%2526t%253D4d5b0474%2526ps%253D13740610%2526shp%253Dd05b14bd%2526shcp%253D34ff8df6%2526idc%253Dmy2%2526s%253DTIKTOK_AFFILIATE_VIRAL_VIDEO%22%2C%22placeholder_product_id%22%3A%221729729730555512511%22%2C%22placeholder_video_id%22%3A%227636572246085012756%22%7D&amp;ec_shared_reflux_scene=shop_tab_feed&amp;share_item_id=7636572246085012756&amp;source=h5_t" TargetMode="External"/><Relationship Id="rId3963" Type="http://schemas.openxmlformats.org/officeDocument/2006/relationships/hyperlink" Target="https://vt.tiktok.com/ZS9U54ET3/" TargetMode="External"/><Relationship Id="rId1303" Type="http://schemas.openxmlformats.org/officeDocument/2006/relationships/hyperlink" Target="https://www.tiktok.com/@dewi.sunday" TargetMode="External"/><Relationship Id="rId2634" Type="http://schemas.openxmlformats.org/officeDocument/2006/relationships/hyperlink" Target="https://www.tiktok.com/@racun_spalspil12/video/7636572800261606676?_r=1&amp;u_code=cllj6j6aidf05b&amp;region=&amp;mid=7611414933255670546&amp;preview_pb=0&amp;sharer_language=&amp;_d=0&amp;ec_shared_reflux_dynamic_params=%7B%22placeholder_material_id%22%3A%227636572800261606676%22%2C%22placeholder_origin_cover%22%3A%22https%253A%252F%252Fp16-common-sign.tiktokcdn.com%252Ftos-alisg-p-0037%252Fo4HIEIeGANLCswbLeFTjDEA1QA1nR9QsR5f3r4~tplv-tiktokx-origin.jpeg%253Fdr%253D14572%2526refresh_token%253D7e6c9453%2526x-expires%253D1810116000%2526x-signature%253Dz2FYFqHTxxh2FksdXzj5K7k4poE%25253D%2526t%253D4d5b0474%2526ps%253D13740610%2526shp%253Dd05b14bd%2526shcp%253D34ff8df6%2526idc%253Dmy2%2526s%253DTIKTOK_AFFILIATE_VIRAL_VIDEO%22%2C%22placeholder_product_id%22%3A%221729729730555512511%22%2C%22placeholder_video_id%22%3A%227636572800261606676%22%7D&amp;ec_shared_reflux_scene=shop_tab_feed&amp;share_item_id=7636572800261606676&amp;source=h5_t" TargetMode="External"/><Relationship Id="rId3966" Type="http://schemas.openxmlformats.org/officeDocument/2006/relationships/hyperlink" Target="https://www.tiktok.com/@letttaqshaa" TargetMode="External"/><Relationship Id="rId1304" Type="http://schemas.openxmlformats.org/officeDocument/2006/relationships/hyperlink" Target="https://www.tiktok.com/@dewi.sunday/video/7613290424857398535?is_from_webapp=1&amp;sender_device=pc&amp;web_id=7611930277489657360" TargetMode="External"/><Relationship Id="rId2635" Type="http://schemas.openxmlformats.org/officeDocument/2006/relationships/hyperlink" Target="https://www.tiktok.com/@racun_spalspil12/video/7636572800261606676?_d=0&amp;_r=1&amp;ec_shared_reflux_dynamic_params=%7B%22placeholder_material_id%22%3A%227636572800261606676%22%2C%22placeholder_origin_cover%22%3A%22https%253A%252F%252Fp16-common-sign.tiktokcdn.com%252Ftos-alisg-p-0037%252Fo4HIEIeGANLCswbLeFTjDEA1QA1nR9QsR5f3r4~tplv-tiktokx-origin.jpeg%253Fdr%253D14572%2526refresh_token%253D7e6c9453%2526x-expires%253D1810116000%2526x-signature%253Dz2FYFqHTxxh2FksdXzj5K7k4poE%25253D%2526t%253D4d5b0474%2526ps%253D13740610%2526shp%253Dd05b14bd%2526shcp%253D34ff8df6%2526idc%253Dmy2%2526s%253DTIKTOK_AFFILIATE_VIRAL_VIDEO%22%2C%22placeholder_product_id%22%3A%221729729730555512511%22%2C%22placeholder_video_id%22%3A%227636572800261606676%22%7D&amp;ec_shared_reflux_scene=shop_tab_feed&amp;mid=7611414933255670546&amp;preview_pb=0&amp;region=&amp;share_item_id=7636572800261606676&amp;sharer_language=&amp;source=h5_t&amp;u_code=cllj6j6aidf05b" TargetMode="External"/><Relationship Id="rId3965" Type="http://schemas.openxmlformats.org/officeDocument/2006/relationships/hyperlink" Target="https://vt.tiktok.com/ZSxrFADmf/" TargetMode="External"/><Relationship Id="rId1305" Type="http://schemas.openxmlformats.org/officeDocument/2006/relationships/hyperlink" Target="https://www.tiktok.com/@dewi.sunday/video/7613590386409360647?is_from_webapp=1&amp;sender_device=pc&amp;web_id=7611930277489657360" TargetMode="External"/><Relationship Id="rId2636" Type="http://schemas.openxmlformats.org/officeDocument/2006/relationships/hyperlink" Target="https://www.tiktok.com/@daniharni" TargetMode="External"/><Relationship Id="rId3968" Type="http://schemas.openxmlformats.org/officeDocument/2006/relationships/hyperlink" Target="https://vt.tiktok.com/ZS9Un277X/" TargetMode="External"/><Relationship Id="rId1306" Type="http://schemas.openxmlformats.org/officeDocument/2006/relationships/hyperlink" Target="https://www.tiktok.com/@dewi.sunday/video/7613963186164829458?is_from_webapp=1&amp;sender_device=pc&amp;web_id=7611930277489657360" TargetMode="External"/><Relationship Id="rId2637" Type="http://schemas.openxmlformats.org/officeDocument/2006/relationships/hyperlink" Target="https://www.tiktok.com/@daniharni/video/7620587189990133013?is_from_webapp=1&amp;sender_device=pc" TargetMode="External"/><Relationship Id="rId3967" Type="http://schemas.openxmlformats.org/officeDocument/2006/relationships/hyperlink" Target="https://vt.tiktok.com/ZS9ytga7Y/" TargetMode="External"/><Relationship Id="rId1307" Type="http://schemas.openxmlformats.org/officeDocument/2006/relationships/hyperlink" Target="https://www.tiktok.com/@dewi.sunday/video/7614021423392181511?is_from_webapp=1&amp;sender_device=pc&amp;web_id=7611930277489657360" TargetMode="External"/><Relationship Id="rId2638" Type="http://schemas.openxmlformats.org/officeDocument/2006/relationships/hyperlink" Target="https://www.tiktok.com/@daniharni/video/7621722500774317332?is_from_webapp=1&amp;sender_device=pc" TargetMode="External"/><Relationship Id="rId1308" Type="http://schemas.openxmlformats.org/officeDocument/2006/relationships/hyperlink" Target="https://www.tiktok.com/@sarisitohang" TargetMode="External"/><Relationship Id="rId2639" Type="http://schemas.openxmlformats.org/officeDocument/2006/relationships/hyperlink" Target="https://www.tiktok.com/@nolisnurjanah21/video/7636463292071922964?_r=1&amp;u_code=e85madfeelij2j&amp;region=&amp;mid=7611130127291779856&amp;preview_pb=0&amp;sharer_language=&amp;_d=0&amp;ec_shared_reflux_dynamic_params=%7B%22placeholder_material_id%22%3A%227636463292071922964%22%2C%22placeholder_origin_cover%22%3A%22https%253A%252F%252Fp16-common-sign.tiktokcdn.com%252Ftos-alisg-p-0037%252FoEQ6QFDVjKqeAbDTxFXlfL8hUrlIBEfA4qivCi~tplv-tiktokx-origin.jpeg%253Fdr%253D14572%2526refresh_token%253D4104f3bf%2526x-expires%253D1810119600%2526x-signature%253D2Y7qNm4HjjY5vDtpiWBtoyJIbdU%25253D%2526t%253D4d5b0474%2526ps%253D13740610%2526shp%253Dd05b14bd%2526shcp%253D34ff8df6%2526idc%253Dmy2%2526s%253DTIKTOK_AFFILIATE_VIRAL_VIDEO%22%2C%22placeholder_product_id%22%3A%221729729730555512511%22%2C%22placeholder_video_id%22%3A%227636463292071922964%22%7D&amp;ec_shared_reflux_scene=shop_tab_feed&amp;share_item_id=7636463292071922964&amp;source=h5_t" TargetMode="External"/><Relationship Id="rId3969" Type="http://schemas.openxmlformats.org/officeDocument/2006/relationships/hyperlink" Target="https://vt.tiktok.com/ZS9UgdCcn/" TargetMode="External"/><Relationship Id="rId1309" Type="http://schemas.openxmlformats.org/officeDocument/2006/relationships/hyperlink" Target="https://www.tiktok.com/@naura.karisma/video/7626012252520434965?is_from_webapp=1&amp;sender_device=pc&amp;web_id=7611930277489657360" TargetMode="External"/><Relationship Id="rId719" Type="http://schemas.openxmlformats.org/officeDocument/2006/relationships/hyperlink" Target="https://www.tiktok.com/@momysiska20" TargetMode="External"/><Relationship Id="rId718" Type="http://schemas.openxmlformats.org/officeDocument/2006/relationships/hyperlink" Target="https://www.tiktok.com/@mbk_cantik2309/video/7613741265850486034?is_from_webapp=1&amp;sender_device=pc" TargetMode="External"/><Relationship Id="rId717" Type="http://schemas.openxmlformats.org/officeDocument/2006/relationships/hyperlink" Target="https://www.tiktok.com/@mbk_cantik2309/video/7610657100724800776?is_from_webapp=1&amp;sender_device=pc" TargetMode="External"/><Relationship Id="rId712" Type="http://schemas.openxmlformats.org/officeDocument/2006/relationships/hyperlink" Target="https://www.tiktok.com/@siekumkum/video/7611841097979088149?is_from_webapp=1&amp;sender_device=pc" TargetMode="External"/><Relationship Id="rId711" Type="http://schemas.openxmlformats.org/officeDocument/2006/relationships/hyperlink" Target="https://www.tiktok.com/@siekumkum/video/7610335663992392980?is_from_webapp=1&amp;sender_device=pc" TargetMode="External"/><Relationship Id="rId710" Type="http://schemas.openxmlformats.org/officeDocument/2006/relationships/hyperlink" Target="https://www.tiktok.com/@siekumkum/video/7608120273224912148?is_from_webapp=1&amp;sender_device=pc" TargetMode="External"/><Relationship Id="rId716" Type="http://schemas.openxmlformats.org/officeDocument/2006/relationships/hyperlink" Target="https://www.tiktok.com/@mbk_cantik2309/video/7608114660486696200?is_from_webapp=1&amp;sender_device=pc" TargetMode="External"/><Relationship Id="rId715" Type="http://schemas.openxmlformats.org/officeDocument/2006/relationships/hyperlink" Target="https://www.tiktok.com/@mbk_cantik2309/video/7607049567279926535?is_from_webapp=1&amp;sender_device=pc" TargetMode="External"/><Relationship Id="rId714" Type="http://schemas.openxmlformats.org/officeDocument/2006/relationships/hyperlink" Target="https://www.tiktok.com/@mbk_cantik2309" TargetMode="External"/><Relationship Id="rId713" Type="http://schemas.openxmlformats.org/officeDocument/2006/relationships/hyperlink" Target="https://www.tiktok.com/@siekumkum/video/7614383581841952021?is_from_webapp=1&amp;sender_device=pc" TargetMode="External"/><Relationship Id="rId3960" Type="http://schemas.openxmlformats.org/officeDocument/2006/relationships/hyperlink" Target="https://www.tiktok.com/@byliyah/video/7632586338457406738?_r=1&amp;u_code=dj0c9igeb6ei5f&amp;region=&amp;mid=7614441852116290311&amp;preview_pb=0&amp;sharer_language=&amp;_d=0&amp;ec_shared_reflux_dynamic_params=%7B%22placeholder_material_id%22%3A%227632586338457406738%22%2C%22placeholder_origin_cover%22%3A%22https%253A%252F%252Fp16-sign-sg.tiktokcdn.com%252Ftos-alisg-p-0037%252FocQ1BentGDbTL1fI9sIZMgIN2C4IeuSAG6jobA~tplv-tiktokx-origin.jpeg%253Fdr%253D14572%2526refresh_token%253Daa5e1fe4%2526x-expires%253D1808992800%2526x-signature%253DJWXSexrtYUEhaYNTI8VIeajt9B8%25253D%2526t%253D4d5b0474%2526ps%253D13740610%2526shp%253Dd05b14bd%2526shcp%253D34ff8df6%2526idc%253Dmy2%2526s%253DTIKTOK_AFFILIATE_VIRAL_VIDEO%22%2C%22placeholder_product_id%22%3A%221729427766722726591%22%2C%22placeholder_video_id%22%3A%227632586338457406738%22%7D&amp;ec_shared_reflux_scene=shop_tab_feed&amp;share_item_id=7632586338457406738&amp;source=h5_t" TargetMode="External"/><Relationship Id="rId2630" Type="http://schemas.openxmlformats.org/officeDocument/2006/relationships/hyperlink" Target="https://www.tiktok.com/@outfitce_/video/7631790916533243156?_r=1&amp;u_code=e0898kg4gbb4c7&amp;region=&amp;mid=7283376056051337990&amp;preview_pb=0&amp;sharer_language=&amp;_d=0&amp;ec_shared_reflux_dynamic_params=%7B%22placeholder_material_id%22%3A%227631790916533243156%22%2C%22placeholder_origin_cover%22%3A%22https%253A%252F%252Fp16-sign-sg.tiktokcdn.com%252Ftos-alisg-p-0037%252FoQoRPDFI9RFZBtMfEgfpMUpXkXRX6AJkEIIBBS~tplv-tiktokx-origin.jpeg%253Fdr%253D14572%2526refresh_token%253D9e04a219%2526x-expires%253D1808474400%2526x-signature%253D%25252BCj6pNwXYJvGmfVw6QZkR6LMP9c%25253D%2526t%253D4d5b0474%2526ps%253D13740610%2526shp%253Dd05b14bd%2526shcp%253D34ff8df6%2526idc%253Dmy3%2526s%253DTIKTOK_AFFILIATE_VIRAL_VIDEO%22%2C%22placeholder_product_id%22%3A%221729427766722726591%22%2C%22placeholder_video_id%22%3A%227631790916533243156%22%7D&amp;ec_shared_reflux_scene=shop_tab_feed&amp;share_item_id=7631790916533243156&amp;source=h5_t" TargetMode="External"/><Relationship Id="rId3962" Type="http://schemas.openxmlformats.org/officeDocument/2006/relationships/hyperlink" Target="https://vt.tiktok.com/ZS9UYHM4V/" TargetMode="External"/><Relationship Id="rId1300" Type="http://schemas.openxmlformats.org/officeDocument/2006/relationships/hyperlink" Target="https://vt.tiktok.com/ZS94rKYw2/" TargetMode="External"/><Relationship Id="rId2631" Type="http://schemas.openxmlformats.org/officeDocument/2006/relationships/hyperlink" Target="https://www.tiktok.com/@kak_indah112" TargetMode="External"/><Relationship Id="rId3961" Type="http://schemas.openxmlformats.org/officeDocument/2006/relationships/hyperlink" Target="https://www.tiktok.com/@byliyah/video/7632596479227464978?_r=1&amp;u_code=dj0c9igeb6ei5f&amp;region=&amp;mid=7632596506828491538&amp;preview_pb=0&amp;sharer_language=&amp;_d=0&amp;ec_shared_reflux_dynamic_params=%7B%22placeholder_material_id%22%3A%227632596479227464978%22%2C%22placeholder_origin_cover%22%3A%22https%253A%252F%252Fp16-common-sign.tiktokcdn.com%252Ftos-alisg-p-0037%252FoEtkYGB4IiAbICA9vDiujbCtAwjgfISs0xhPwB~tplv-tiktokx-origin.jpeg%253Fdr%253D14572%2526refresh_token%253D997041b7%2526x-expires%253D1808992800%2526x-signature%253DW%25252B7eK7qyPB2lPw%25252FtO1Zf4wHgBIE%25253D%2526t%253D4d5b0474%2526ps%253D13740610%2526shp%253Dd05b14bd%2526shcp%253D34ff8df6%2526idc%253Dmy2%2526s%253DTIKTOK_AFFILIATE_VIRAL_VIDEO%22%2C%22placeholder_product_id%22%3A%221729427766722726591%22%2C%22placeholder_video_id%22%3A%227632596479227464978%22%7D&amp;ec_shared_reflux_scene=shop_tab_feed&amp;share_item_id=7632596479227464978&amp;source=h5_t" TargetMode="External"/><Relationship Id="rId8806" Type="http://schemas.openxmlformats.org/officeDocument/2006/relationships/hyperlink" Target="https://vt.tiktok.com/ZSQdevPEA/" TargetMode="External"/><Relationship Id="rId8805" Type="http://schemas.openxmlformats.org/officeDocument/2006/relationships/hyperlink" Target="https://vt.tiktok.com/ZSQdeEBtF/" TargetMode="External"/><Relationship Id="rId8804" Type="http://schemas.openxmlformats.org/officeDocument/2006/relationships/hyperlink" Target="https://vt.tiktok.com/ZSQd82cwM/" TargetMode="External"/><Relationship Id="rId8803" Type="http://schemas.openxmlformats.org/officeDocument/2006/relationships/hyperlink" Target="https://www.tiktok.com/@linaanaps" TargetMode="External"/><Relationship Id="rId8809" Type="http://schemas.openxmlformats.org/officeDocument/2006/relationships/hyperlink" Target="https://vt.tiktok.com/ZSQeUV1K7/" TargetMode="External"/><Relationship Id="rId8808" Type="http://schemas.openxmlformats.org/officeDocument/2006/relationships/hyperlink" Target="https://vt.tiktok.com/ZSQdepmcn/" TargetMode="External"/><Relationship Id="rId8807" Type="http://schemas.openxmlformats.org/officeDocument/2006/relationships/hyperlink" Target="https://www.tiktok.com/@jessanycalissta" TargetMode="External"/><Relationship Id="rId8802" Type="http://schemas.openxmlformats.org/officeDocument/2006/relationships/hyperlink" Target="https://www.tiktok.com/@galuhhhhhhhhh" TargetMode="External"/><Relationship Id="rId8801" Type="http://schemas.openxmlformats.org/officeDocument/2006/relationships/hyperlink" Target="https://vt.tiktok.com/ZSxoEUk9c/" TargetMode="External"/><Relationship Id="rId8800" Type="http://schemas.openxmlformats.org/officeDocument/2006/relationships/hyperlink" Target="https://www.tiktok.com/@ngantoronlinecuy" TargetMode="External"/><Relationship Id="rId8828" Type="http://schemas.openxmlformats.org/officeDocument/2006/relationships/hyperlink" Target="https://www.tiktok.com/@deksiti164" TargetMode="External"/><Relationship Id="rId8827" Type="http://schemas.openxmlformats.org/officeDocument/2006/relationships/hyperlink" Target="https://vt.tiktok.com/ZSQeRjkQh/" TargetMode="External"/><Relationship Id="rId8826" Type="http://schemas.openxmlformats.org/officeDocument/2006/relationships/hyperlink" Target="https://vt.tiktok.com/ZSQedEqLA/" TargetMode="External"/><Relationship Id="rId8825" Type="http://schemas.openxmlformats.org/officeDocument/2006/relationships/hyperlink" Target="https://vt.tiktok.com/ZSQeR61yS/" TargetMode="External"/><Relationship Id="rId8829" Type="http://schemas.openxmlformats.org/officeDocument/2006/relationships/hyperlink" Target="https://vt.tiktok.com/ZSQJa6wAu/" TargetMode="External"/><Relationship Id="rId8820" Type="http://schemas.openxmlformats.org/officeDocument/2006/relationships/hyperlink" Target="https://vt.tiktok.com/ZSQed92uH/" TargetMode="External"/><Relationship Id="rId8824" Type="http://schemas.openxmlformats.org/officeDocument/2006/relationships/hyperlink" Target="https://www.tiktok.com/@lenny_wardani" TargetMode="External"/><Relationship Id="rId8823" Type="http://schemas.openxmlformats.org/officeDocument/2006/relationships/hyperlink" Target="https://vt.tiktok.com/ZSQeRrfHx/" TargetMode="External"/><Relationship Id="rId8822" Type="http://schemas.openxmlformats.org/officeDocument/2006/relationships/hyperlink" Target="https://vt.tiktok.com/ZSQedWCL2/" TargetMode="External"/><Relationship Id="rId8821" Type="http://schemas.openxmlformats.org/officeDocument/2006/relationships/hyperlink" Target="https://vt.tiktok.com/ZSQed4HbR/" TargetMode="External"/><Relationship Id="rId8817" Type="http://schemas.openxmlformats.org/officeDocument/2006/relationships/hyperlink" Target="https://vt.tiktok.com/ZSQedDWvr/" TargetMode="External"/><Relationship Id="rId8816" Type="http://schemas.openxmlformats.org/officeDocument/2006/relationships/hyperlink" Target="https://vt.tiktok.com/ZSQeyeDm9/" TargetMode="External"/><Relationship Id="rId8815" Type="http://schemas.openxmlformats.org/officeDocument/2006/relationships/hyperlink" Target="https://vt.tiktok.com/ZSQeyFwvo/" TargetMode="External"/><Relationship Id="rId8814" Type="http://schemas.openxmlformats.org/officeDocument/2006/relationships/hyperlink" Target="https://www.tiktok.com/@noerhfizah" TargetMode="External"/><Relationship Id="rId8819" Type="http://schemas.openxmlformats.org/officeDocument/2006/relationships/hyperlink" Target="https://www.tiktok.com/@_ekapuspitaaaa" TargetMode="External"/><Relationship Id="rId8818" Type="http://schemas.openxmlformats.org/officeDocument/2006/relationships/hyperlink" Target="https://vt.tiktok.com/ZSQedqjqN/" TargetMode="External"/><Relationship Id="rId8813" Type="http://schemas.openxmlformats.org/officeDocument/2006/relationships/hyperlink" Target="https://vt.tiktok.com/ZSQedRcHJ/" TargetMode="External"/><Relationship Id="rId8812" Type="http://schemas.openxmlformats.org/officeDocument/2006/relationships/hyperlink" Target="https://vt.tiktok.com/ZSQeUPN5H/" TargetMode="External"/><Relationship Id="rId8811" Type="http://schemas.openxmlformats.org/officeDocument/2006/relationships/hyperlink" Target="https://vt.tiktok.com/ZSQdeHmu2/" TargetMode="External"/><Relationship Id="rId8810" Type="http://schemas.openxmlformats.org/officeDocument/2006/relationships/hyperlink" Target="https://www.tiktok.com/@ekayuni170" TargetMode="External"/><Relationship Id="rId1378" Type="http://schemas.openxmlformats.org/officeDocument/2006/relationships/hyperlink" Target="https://vt.tiktok.com/ZSukHbL6r/" TargetMode="External"/><Relationship Id="rId1379" Type="http://schemas.openxmlformats.org/officeDocument/2006/relationships/hyperlink" Target="https://www.tiktok.com/@kikiromli89" TargetMode="External"/><Relationship Id="rId789" Type="http://schemas.openxmlformats.org/officeDocument/2006/relationships/hyperlink" Target="https://www.tiktok.com/@alzafbeauty/video/7607249221812636935?is_from_webapp=1&amp;sender_device=pc" TargetMode="External"/><Relationship Id="rId788" Type="http://schemas.openxmlformats.org/officeDocument/2006/relationships/hyperlink" Target="https://www.tiktok.com/@alzafbeauty" TargetMode="External"/><Relationship Id="rId787" Type="http://schemas.openxmlformats.org/officeDocument/2006/relationships/hyperlink" Target="https://vt.tiktok.com/ZSmfj5exq/" TargetMode="External"/><Relationship Id="rId786" Type="http://schemas.openxmlformats.org/officeDocument/2006/relationships/hyperlink" Target="https://vt.tiktok.com/ZSmfjxJ14/" TargetMode="External"/><Relationship Id="rId781" Type="http://schemas.openxmlformats.org/officeDocument/2006/relationships/hyperlink" Target="https://vt.tiktok.com/ZSuBDDTv5/" TargetMode="External"/><Relationship Id="rId1370" Type="http://schemas.openxmlformats.org/officeDocument/2006/relationships/hyperlink" Target="https://www.tiktok.com/@teteh_448/video/7614866313894284552?is_from_webapp=1&amp;sender_device=pc" TargetMode="External"/><Relationship Id="rId780" Type="http://schemas.openxmlformats.org/officeDocument/2006/relationships/hyperlink" Target="https://www.tiktok.com/@hi.deez/video/7611355601175596308?is_from_webapp=1&amp;sender_device=pc" TargetMode="External"/><Relationship Id="rId1371" Type="http://schemas.openxmlformats.org/officeDocument/2006/relationships/hyperlink" Target="https://vt.tiktok.com/ZSuSEtXmJ/" TargetMode="External"/><Relationship Id="rId1372" Type="http://schemas.openxmlformats.org/officeDocument/2006/relationships/hyperlink" Target="https://www.tiktok.com/@fitrifitt_/video/7614917512139918613?is_from_webapp=1&amp;sender_device=pc" TargetMode="External"/><Relationship Id="rId1373" Type="http://schemas.openxmlformats.org/officeDocument/2006/relationships/hyperlink" Target="https://www.tiktok.com/@fitrifitt_/video/7614341780116458773?is_from_webapp=1&amp;sender_device=pc" TargetMode="External"/><Relationship Id="rId785" Type="http://schemas.openxmlformats.org/officeDocument/2006/relationships/hyperlink" Target="https://vt.tiktok.com/ZSmfj6unn/" TargetMode="External"/><Relationship Id="rId1374" Type="http://schemas.openxmlformats.org/officeDocument/2006/relationships/hyperlink" Target="https://www.tiktok.com/@_vtcan" TargetMode="External"/><Relationship Id="rId784" Type="http://schemas.openxmlformats.org/officeDocument/2006/relationships/hyperlink" Target="https://vt.tiktok.com/ZSmU2gGtE/" TargetMode="External"/><Relationship Id="rId1375" Type="http://schemas.openxmlformats.org/officeDocument/2006/relationships/hyperlink" Target="https://vt.tiktok.com/ZSuBSf8WG/" TargetMode="External"/><Relationship Id="rId783" Type="http://schemas.openxmlformats.org/officeDocument/2006/relationships/hyperlink" Target="https://www.tiktok.com/@berkah.glosir" TargetMode="External"/><Relationship Id="rId1376" Type="http://schemas.openxmlformats.org/officeDocument/2006/relationships/hyperlink" Target="https://vt.tiktok.com/ZSukHUYee/" TargetMode="External"/><Relationship Id="rId782" Type="http://schemas.openxmlformats.org/officeDocument/2006/relationships/hyperlink" Target="https://www.tiktok.com/@hi.deez/video/7616591330474560788?is_from_webapp=1&amp;sender_device=pc" TargetMode="External"/><Relationship Id="rId1377" Type="http://schemas.openxmlformats.org/officeDocument/2006/relationships/hyperlink" Target="https://vt.tiktok.com/ZSmoarBpw/" TargetMode="External"/><Relationship Id="rId1367" Type="http://schemas.openxmlformats.org/officeDocument/2006/relationships/hyperlink" Target="https://www.tiktok.com/@nina_kadier/video/7611653776373517586?is_from_webapp=1&amp;sender_device=pc" TargetMode="External"/><Relationship Id="rId2698" Type="http://schemas.openxmlformats.org/officeDocument/2006/relationships/hyperlink" Target="https://www.tiktok.com/@intandws_/video/7622973710789578005?is_from_webapp=1&amp;sender_device=pc&amp;web_id=7611930277489657363" TargetMode="External"/><Relationship Id="rId1368" Type="http://schemas.openxmlformats.org/officeDocument/2006/relationships/hyperlink" Target="https://www.tiktok.com/@nina_kadier/video/7614243626222161159?is_from_webapp=1&amp;sender_device=pc" TargetMode="External"/><Relationship Id="rId2699" Type="http://schemas.openxmlformats.org/officeDocument/2006/relationships/hyperlink" Target="https://www.tiktok.com/@intandws_/video/7625195832924638485?is_from_webapp=1&amp;sender_device=pc&amp;web_id=7611930277489657363" TargetMode="External"/><Relationship Id="rId1369" Type="http://schemas.openxmlformats.org/officeDocument/2006/relationships/hyperlink" Target="https://www.tiktok.com/@lijacantikhehe" TargetMode="External"/><Relationship Id="rId778" Type="http://schemas.openxmlformats.org/officeDocument/2006/relationships/hyperlink" Target="https://www.tiktok.com/@hi.deez" TargetMode="External"/><Relationship Id="rId777" Type="http://schemas.openxmlformats.org/officeDocument/2006/relationships/hyperlink" Target="https://www.tiktok.com/@sinabilla/video/7633465175101754642?_r=1&amp;u_code=d8ce4h27fdmff3&amp;region=&amp;mid=7608547172799236881&amp;preview_pb=0&amp;sharer_language=&amp;_d=0&amp;ec_shared_reflux_dynamic_params=%7B%22placeholder_material_id%22%3A%227633465175101754642%22%2C%22placeholder_origin_cover%22%3A%22https%253A%252F%252Fp16-common-sign.tiktokcdn.com%252Ftos-alisg-p-0037%252FogfpX6RDE8D7AvnEohFPMQeCBOvPQgB34lEcbA~tplv-tiktokx-origin.jpeg%253Fdr%253D14572%2526refresh_token%253D67e77441%2526x-expires%253D1809507600%2526x-signature%253DtfaU6sV78JbrY8ttfm9W%25252BXnu5VE%25253D%2526t%253D4d5b0474%2526ps%253D13740610%2526shp%253Dd05b14bd%2526shcp%253D34ff8df6%2526idc%253Dmy%2526s%253DTIKTOK_AFFILIATE_VIRAL_VIDEO%22%2C%22placeholder_product_id%22%3A%221729427766722726591%22%2C%22placeholder_video_id%22%3A%227633465175101754642%22%7D&amp;ec_shared_reflux_scene=shop_tab_feed&amp;share_item_id=7633465175101754642&amp;source=h5_t" TargetMode="External"/><Relationship Id="rId776" Type="http://schemas.openxmlformats.org/officeDocument/2006/relationships/hyperlink" Target="https://www.tiktok.com/@kaaaaast/video/7613961445667065095?is_from_webapp=1&amp;sender_device=pc" TargetMode="External"/><Relationship Id="rId775" Type="http://schemas.openxmlformats.org/officeDocument/2006/relationships/hyperlink" Target="https://vt.tiktok.com/ZSmgFhuBy/" TargetMode="External"/><Relationship Id="rId779" Type="http://schemas.openxmlformats.org/officeDocument/2006/relationships/hyperlink" Target="https://www.tiktok.com/@hi.deez/video/7608373021463629076?is_from_webapp=1&amp;sender_device=pc" TargetMode="External"/><Relationship Id="rId770" Type="http://schemas.openxmlformats.org/officeDocument/2006/relationships/hyperlink" Target="https://www.tiktok.com/@titis_rose/video/7613297709562268936?is_from_webapp=1&amp;sender_device=pc" TargetMode="External"/><Relationship Id="rId2690" Type="http://schemas.openxmlformats.org/officeDocument/2006/relationships/hyperlink" Target="https://www.tiktok.com/@intandws_/video/7626194700315135252?is_from_webapp=1&amp;sender_device=pc&amp;web_id=7611930277489657361" TargetMode="External"/><Relationship Id="rId1360" Type="http://schemas.openxmlformats.org/officeDocument/2006/relationships/hyperlink" Target="https://www.tiktok.com/@ikkenovi18/video/7606166102640512274?is_from_webapp=1" TargetMode="External"/><Relationship Id="rId2691" Type="http://schemas.openxmlformats.org/officeDocument/2006/relationships/hyperlink" Target="https://www.tiktok.com/@ade.luvss" TargetMode="External"/><Relationship Id="rId1361" Type="http://schemas.openxmlformats.org/officeDocument/2006/relationships/hyperlink" Target="https://vt.tiktok.com/ZSuJAheJ1/" TargetMode="External"/><Relationship Id="rId2692" Type="http://schemas.openxmlformats.org/officeDocument/2006/relationships/hyperlink" Target="https://www.tiktok.com/@intandws_/video/7622670031272348949?is_from_webapp=1&amp;sender_device=pc&amp;web_id=7611930277489657362" TargetMode="External"/><Relationship Id="rId1362" Type="http://schemas.openxmlformats.org/officeDocument/2006/relationships/hyperlink" Target="https://vt.tiktok.com/ZSuJADV1E/" TargetMode="External"/><Relationship Id="rId2693" Type="http://schemas.openxmlformats.org/officeDocument/2006/relationships/hyperlink" Target="https://www.tiktok.com/@intandws_/video/7622973710789578005?is_from_webapp=1&amp;sender_device=pc&amp;web_id=7611930277489657362" TargetMode="External"/><Relationship Id="rId774" Type="http://schemas.openxmlformats.org/officeDocument/2006/relationships/hyperlink" Target="https://www.tiktok.com/@kaaaaast" TargetMode="External"/><Relationship Id="rId1363" Type="http://schemas.openxmlformats.org/officeDocument/2006/relationships/hyperlink" Target="https://vt.tiktok.com/ZSuJDosP9/" TargetMode="External"/><Relationship Id="rId2694" Type="http://schemas.openxmlformats.org/officeDocument/2006/relationships/hyperlink" Target="https://www.tiktok.com/@intandws_/video/7625195832924638485?is_from_webapp=1&amp;sender_device=pc&amp;web_id=7611930277489657362" TargetMode="External"/><Relationship Id="rId773" Type="http://schemas.openxmlformats.org/officeDocument/2006/relationships/hyperlink" Target="https://vt.tiktok.com/ZS94oS1y6/" TargetMode="External"/><Relationship Id="rId1364" Type="http://schemas.openxmlformats.org/officeDocument/2006/relationships/hyperlink" Target="https://www.tiktok.com/@hannnnn133" TargetMode="External"/><Relationship Id="rId2695" Type="http://schemas.openxmlformats.org/officeDocument/2006/relationships/hyperlink" Target="https://www.tiktok.com/@intandws_/video/7626194700315135252?is_from_webapp=1&amp;sender_device=pc&amp;web_id=7611930277489657362" TargetMode="External"/><Relationship Id="rId772" Type="http://schemas.openxmlformats.org/officeDocument/2006/relationships/hyperlink" Target="https://www.tiktok.com/@barokah.collection/video/7631156539872611604?_r=1&amp;u_code=e6ki6hmgc946ah&amp;region=&amp;mid=7628376981885405959&amp;preview_pb=0&amp;sharer_language=&amp;_d=0&amp;ec_shared_reflux_dynamic_params=%7B%22placeholder_material_id%22%3A%227631156539872611604%22%2C%22placeholder_origin_cover%22%3A%22https%253A%252F%252Fp16-sign-sg.tiktokcdn.com%252Ftos-alisg-p-0037%252FoAU7Li4CiIzIwKeSdnPQKnHAIR8u0Bu5AALHAH~tplv-tiktokx-origin.jpeg%253Fdr%253D14572%2526refresh_token%253Dc21d8600%2526x-expires%253D1809507600%2526x-signature%253DPpeFC5evI8I94hOCpFbHMRbiE8s%25253D%2526t%253D4d5b0474%2526ps%253D13740610%2526shp%253Dd05b14bd%2526shcp%253D34ff8df6%2526idc%253Dmy%2526s%253DTIKTOK_AFFILIATE_VIRAL_VIDEO%22%2C%22placeholder_product_id%22%3A%221729427766722726591%22%2C%22placeholder_video_id%22%3A%227631156539872611604%22%7D&amp;ec_shared_reflux_scene=shop_tab_feed&amp;share_item_id=7631156539872611604&amp;source=h5_t" TargetMode="External"/><Relationship Id="rId1365" Type="http://schemas.openxmlformats.org/officeDocument/2006/relationships/hyperlink" Target="https://www.tiktok.com/@rithasimarmataa/video/7610320938340535572?is_from_webapp=1&amp;sender_device=pc" TargetMode="External"/><Relationship Id="rId2696" Type="http://schemas.openxmlformats.org/officeDocument/2006/relationships/hyperlink" Target="https://www.tiktok.com/@mariavvania_" TargetMode="External"/><Relationship Id="rId771" Type="http://schemas.openxmlformats.org/officeDocument/2006/relationships/hyperlink" Target="https://www.tiktok.com/@barokah.collection/video/7631344839472336149?_r=1&amp;u_code=e6ki6hmgc946ah&amp;region=&amp;mid=7628029008957967111&amp;preview_pb=0&amp;sharer_language=&amp;_d=0&amp;ec_shared_reflux_dynamic_params=%7B%22placeholder_material_id%22%3A%227631344839472336149%22%2C%22placeholder_origin_cover%22%3A%22https%253A%252F%252Fp16-common-sign.tiktokcdn.com%252Ftos-alisg-p-0037%252FoUoQAjzQ7sbeDpTG5FfxIxEUPDm8fnAjjBCsP4~tplv-tiktokx-origin.jpeg%253Fdr%253D14572%2526refresh_token%253D34dfee2e%2526x-expires%253D1809507600%2526x-signature%253DTRFwNnnNx50QEde5HlN55MRE0lg%25253D%2526t%253D4d5b0474%2526ps%253D13740610%2526shp%253Dd05b14bd%2526shcp%253D34ff8df6%2526idc%253Dmy%2526s%253DTIKTOK_AFFILIATE_VIRAL_VIDEO%22%2C%22placeholder_product_id%22%3A%221729427766722726591%22%2C%22placeholder_video_id%22%3A%227631344839472336149%22%7D&amp;ec_shared_reflux_scene=shop_tab_feed&amp;share_item_id=7631344839472336149&amp;source=h5_t" TargetMode="External"/><Relationship Id="rId1366" Type="http://schemas.openxmlformats.org/officeDocument/2006/relationships/hyperlink" Target="https://www.tiktok.com/@nina_kadier/video/7607580605580053768?is_from_webapp=1&amp;sender_device=pc" TargetMode="External"/><Relationship Id="rId2697" Type="http://schemas.openxmlformats.org/officeDocument/2006/relationships/hyperlink" Target="https://www.tiktok.com/@intandws_/video/7622670031272348949?is_from_webapp=1&amp;sender_device=pc&amp;web_id=7611930277489657363" TargetMode="External"/><Relationship Id="rId1390" Type="http://schemas.openxmlformats.org/officeDocument/2006/relationships/hyperlink" Target="https://www.tiktok.com/@racunonline91/video/7610574641748380935?is_from_webapp=1&amp;sender_device=pc" TargetMode="External"/><Relationship Id="rId1391" Type="http://schemas.openxmlformats.org/officeDocument/2006/relationships/hyperlink" Target="https://www.tiktok.com/@racunbyyola/video/7614561500371389714?is_from_webapp=1&amp;sender_device=pc" TargetMode="External"/><Relationship Id="rId1392" Type="http://schemas.openxmlformats.org/officeDocument/2006/relationships/hyperlink" Target="https://www.tiktok.com/@cikakrnisa13" TargetMode="External"/><Relationship Id="rId1393" Type="http://schemas.openxmlformats.org/officeDocument/2006/relationships/hyperlink" Target="https://www.tiktok.com/@sillan.tyarn/video/7612826038564916488?is_from_webapp=1&amp;sender_device=pc" TargetMode="External"/><Relationship Id="rId1394" Type="http://schemas.openxmlformats.org/officeDocument/2006/relationships/hyperlink" Target="https://www.tiktok.com/@sillan.tyarn/video/7613392404825132295?is_from_webapp=1&amp;sender_device=pc" TargetMode="External"/><Relationship Id="rId1395" Type="http://schemas.openxmlformats.org/officeDocument/2006/relationships/hyperlink" Target="https://www.tiktok.com/@racunbyyola/video/7613732996369124616?is_from_webapp=1&amp;sender_device=pc" TargetMode="External"/><Relationship Id="rId1396" Type="http://schemas.openxmlformats.org/officeDocument/2006/relationships/hyperlink" Target="https://www.tiktok.com/@racunbyyola/video/7614058563320696071?is_from_webapp=1&amp;sender_device=pc" TargetMode="External"/><Relationship Id="rId1397" Type="http://schemas.openxmlformats.org/officeDocument/2006/relationships/hyperlink" Target="https://www.tiktok.com/@nayyanarrastore4" TargetMode="External"/><Relationship Id="rId1398" Type="http://schemas.openxmlformats.org/officeDocument/2006/relationships/hyperlink" Target="https://www.tiktok.com/@jossone_/video/7616667810780941589?is_from_webapp=1&amp;sender_device=pc&amp;web_id=7611930277489657360" TargetMode="External"/><Relationship Id="rId1399" Type="http://schemas.openxmlformats.org/officeDocument/2006/relationships/hyperlink" Target="https://www.tiktok.com/@jossone_/video/7616894011093093652?is_from_webapp=1&amp;sender_device=pc&amp;web_id=7611930277489657360" TargetMode="External"/><Relationship Id="rId1389" Type="http://schemas.openxmlformats.org/officeDocument/2006/relationships/hyperlink" Target="https://www.tiktok.com/@racunonline91/video/7609466746533072136?is_from_webapp=1&amp;sender_device=pc" TargetMode="External"/><Relationship Id="rId799" Type="http://schemas.openxmlformats.org/officeDocument/2006/relationships/hyperlink" Target="https://www.tiktok.com/@naila_ulya__" TargetMode="External"/><Relationship Id="rId798" Type="http://schemas.openxmlformats.org/officeDocument/2006/relationships/hyperlink" Target="https://vt.tiktok.com/ZS94oxRcT/" TargetMode="External"/><Relationship Id="rId797" Type="http://schemas.openxmlformats.org/officeDocument/2006/relationships/hyperlink" Target="https://www.tiktok.com/@alzafbeauty/video/7612534565084695816?is_from_webapp=1&amp;sender_device=pc" TargetMode="External"/><Relationship Id="rId1380" Type="http://schemas.openxmlformats.org/officeDocument/2006/relationships/hyperlink" Target="https://www.tiktok.com/@_sweetly19/video/7607683720081886484?is_from_webapp=1&amp;sender_device=pc" TargetMode="External"/><Relationship Id="rId792" Type="http://schemas.openxmlformats.org/officeDocument/2006/relationships/hyperlink" Target="https://www.tiktok.com/@alzafbeauty/video/7609853280713329927?is_from_webapp=1&amp;sender_device=pc" TargetMode="External"/><Relationship Id="rId1381" Type="http://schemas.openxmlformats.org/officeDocument/2006/relationships/hyperlink" Target="https://www.tiktok.com/@_sweetly19/video/7607690490867141909?is_from_webapp=1&amp;sender_device=pc" TargetMode="External"/><Relationship Id="rId791" Type="http://schemas.openxmlformats.org/officeDocument/2006/relationships/hyperlink" Target="https://www.tiktok.com/@alzafbeauty/video/7608948965681204488?is_from_webapp=1&amp;sender_device=pc" TargetMode="External"/><Relationship Id="rId1382" Type="http://schemas.openxmlformats.org/officeDocument/2006/relationships/hyperlink" Target="https://www.tiktok.com/@belynabeauty/video/7610696891600358674?is_from_webapp=1&amp;sender_device=pc" TargetMode="External"/><Relationship Id="rId790" Type="http://schemas.openxmlformats.org/officeDocument/2006/relationships/hyperlink" Target="https://www.tiktok.com/@alzafbeauty/video/7607647922527784199?is_from_webapp=1&amp;sender_device=pc" TargetMode="External"/><Relationship Id="rId1383" Type="http://schemas.openxmlformats.org/officeDocument/2006/relationships/hyperlink" Target="https://www.tiktok.com/@belynabeauty/video/7610696361058651400?is_from_webapp=1&amp;sender_device=pc" TargetMode="External"/><Relationship Id="rId1384" Type="http://schemas.openxmlformats.org/officeDocument/2006/relationships/hyperlink" Target="https://www.tiktok.com/@balaqutax" TargetMode="External"/><Relationship Id="rId796" Type="http://schemas.openxmlformats.org/officeDocument/2006/relationships/hyperlink" Target="https://www.tiktok.com/@alzafbeauty/video/7610768885763165448?is_from_webapp=1&amp;sender_device=pc" TargetMode="External"/><Relationship Id="rId1385" Type="http://schemas.openxmlformats.org/officeDocument/2006/relationships/hyperlink" Target="https://www.tiktok.com/@sillan.tyarn/video/7611761068611734792?is_from_webapp=1&amp;sender_device=pc" TargetMode="External"/><Relationship Id="rId795" Type="http://schemas.openxmlformats.org/officeDocument/2006/relationships/hyperlink" Target="https://www.tiktok.com/@santikartika95" TargetMode="External"/><Relationship Id="rId1386" Type="http://schemas.openxmlformats.org/officeDocument/2006/relationships/hyperlink" Target="https://vt.tiktok.com/ZSxQtuGGJ/" TargetMode="External"/><Relationship Id="rId794" Type="http://schemas.openxmlformats.org/officeDocument/2006/relationships/hyperlink" Target="https://vt.tiktok.com/ZSuREJvqe/" TargetMode="External"/><Relationship Id="rId1387" Type="http://schemas.openxmlformats.org/officeDocument/2006/relationships/hyperlink" Target="https://www.tiktok.com/@.nur235" TargetMode="External"/><Relationship Id="rId793" Type="http://schemas.openxmlformats.org/officeDocument/2006/relationships/hyperlink" Target="https://www.tiktok.com/@dindajuitananda_" TargetMode="External"/><Relationship Id="rId1388" Type="http://schemas.openxmlformats.org/officeDocument/2006/relationships/hyperlink" Target="https://www.tiktok.com/@racunonline91/video/7613174736360590600?is_from_webapp=1&amp;sender_device=pc" TargetMode="External"/><Relationship Id="rId6229" Type="http://schemas.openxmlformats.org/officeDocument/2006/relationships/hyperlink" Target="https://www.tiktok.com/@iwayhrsss" TargetMode="External"/><Relationship Id="rId7551" Type="http://schemas.openxmlformats.org/officeDocument/2006/relationships/hyperlink" Target="https://vt.tiktok.com/ZS9Td2xT3/" TargetMode="External"/><Relationship Id="rId8882" Type="http://schemas.openxmlformats.org/officeDocument/2006/relationships/hyperlink" Target="https://vt.tiktok.com/ZSQedgELt/" TargetMode="External"/><Relationship Id="rId6220" Type="http://schemas.openxmlformats.org/officeDocument/2006/relationships/hyperlink" Target="https://vt.tiktok.com/ZS9QFXV9x/" TargetMode="External"/><Relationship Id="rId7550" Type="http://schemas.openxmlformats.org/officeDocument/2006/relationships/hyperlink" Target="https://www.tiktok.com/@el_zdh/video/7638260474638978325?_r=1&amp;u_code=ddaacf8fb57c1a&amp;region=&amp;mid=7566193440287918865&amp;preview_pb=0&amp;sharer_language=&amp;_d=0&amp;ec_shared_reflux_dynamic_params=%7B%22placeholder_material_id%22%3A%227638260474638978325%22%2C%22placeholder_origin_cover%22%3A%22https%253A%252F%252Fp16-common-sign.tiktokcdn.com%252Ftos-alisg-p-0037%252FoswAZXBdiIqlAjADCIsEAA7Cw3RIIuBfw1EL0i~tplv-tiktokx-origin.jpeg%253Fdr%253D14572%2526refresh_token%253D87922046%2526x-expires%253D1810116000%2526x-signature%253Dr9Ai1YL4MtfZZieILkyhCRNc6Qw%25253D%2526t%253D4d5b0474%2526ps%253D13740610%2526shp%253Dd05b14bd%2526shcp%253D34ff8df6%2526idc%253Dmy2%2526s%253DTIKTOK_AFFILIATE_VIRAL_VIDEO%22%2C%22placeholder_product_id%22%3A%221729427766722726591%22%2C%22placeholder_video_id%22%3A%227638260474638978325%22%7D&amp;ec_shared_reflux_scene=shop_tab_feed&amp;share_item_id=7638260474638978325&amp;source=h5_t" TargetMode="External"/><Relationship Id="rId8881" Type="http://schemas.openxmlformats.org/officeDocument/2006/relationships/hyperlink" Target="https://vt.tiktok.com/ZSQedq9uK/" TargetMode="External"/><Relationship Id="rId8880" Type="http://schemas.openxmlformats.org/officeDocument/2006/relationships/hyperlink" Target="https://vt.tiktok.com/ZSQedGJEv/" TargetMode="External"/><Relationship Id="rId6223" Type="http://schemas.openxmlformats.org/officeDocument/2006/relationships/hyperlink" Target="https://vt.tiktok.com/ZS9QFXV9x/" TargetMode="External"/><Relationship Id="rId7555" Type="http://schemas.openxmlformats.org/officeDocument/2006/relationships/hyperlink" Target="https://vt.tiktok.com/ZSxU663LP/" TargetMode="External"/><Relationship Id="rId8886" Type="http://schemas.openxmlformats.org/officeDocument/2006/relationships/hyperlink" Target="https://vt.tiktok.com/ZSQeRYFut/" TargetMode="External"/><Relationship Id="rId6224" Type="http://schemas.openxmlformats.org/officeDocument/2006/relationships/hyperlink" Target="https://www.tiktok.com/@anasafitri232" TargetMode="External"/><Relationship Id="rId7554" Type="http://schemas.openxmlformats.org/officeDocument/2006/relationships/hyperlink" Target="https://vt.tiktok.com/ZSxU6UTBX/" TargetMode="External"/><Relationship Id="rId8885" Type="http://schemas.openxmlformats.org/officeDocument/2006/relationships/hyperlink" Target="https://vt.tiktok.com/ZSQeRFtQh/" TargetMode="External"/><Relationship Id="rId6221" Type="http://schemas.openxmlformats.org/officeDocument/2006/relationships/hyperlink" Target="https://www.tiktok.com/@mtgina" TargetMode="External"/><Relationship Id="rId7553" Type="http://schemas.openxmlformats.org/officeDocument/2006/relationships/hyperlink" Target="https://www.tiktok.com/@racun_viydwi" TargetMode="External"/><Relationship Id="rId8884" Type="http://schemas.openxmlformats.org/officeDocument/2006/relationships/hyperlink" Target="https://vt.tiktok.com/ZSQeRdj3t/" TargetMode="External"/><Relationship Id="rId6222" Type="http://schemas.openxmlformats.org/officeDocument/2006/relationships/hyperlink" Target="https://vt.tiktok.com/ZS9yp16xC/" TargetMode="External"/><Relationship Id="rId7552" Type="http://schemas.openxmlformats.org/officeDocument/2006/relationships/hyperlink" Target="https://vt.tiktok.com/ZS9TdP25k/" TargetMode="External"/><Relationship Id="rId8883" Type="http://schemas.openxmlformats.org/officeDocument/2006/relationships/hyperlink" Target="https://www.tiktok.com/@marlina1927" TargetMode="External"/><Relationship Id="rId6227" Type="http://schemas.openxmlformats.org/officeDocument/2006/relationships/hyperlink" Target="https://vt.tiktok.com/ZSxWfhp5N/" TargetMode="External"/><Relationship Id="rId7559" Type="http://schemas.openxmlformats.org/officeDocument/2006/relationships/hyperlink" Target="https://vt.tiktok.com/ZSxMrVxtA/" TargetMode="External"/><Relationship Id="rId6228" Type="http://schemas.openxmlformats.org/officeDocument/2006/relationships/hyperlink" Target="https://vt.tiktok.com/ZSxWfFgLy/" TargetMode="External"/><Relationship Id="rId7558" Type="http://schemas.openxmlformats.org/officeDocument/2006/relationships/hyperlink" Target="https://www.tiktok.com/@naadeblue" TargetMode="External"/><Relationship Id="rId8889" Type="http://schemas.openxmlformats.org/officeDocument/2006/relationships/hyperlink" Target="https://vt.tiktok.com/ZSQJ5wLLP/" TargetMode="External"/><Relationship Id="rId6225" Type="http://schemas.openxmlformats.org/officeDocument/2006/relationships/hyperlink" Target="https://www.tiktok.com/@anasafitri232/video/7623210173884108040?_r=1&amp;u_code=dig5jf1hfecdm5&amp;region=&amp;mid=7623210216667925268&amp;preview_pb=0&amp;sharer_language=&amp;_d=0&amp;ec_shared_reflux_dynamic_params=%7B%22placeholder_material_id%22%3A%227623210173884108040%22%2C%22placeholder_origin_cover%22%3A%22https%253A%252F%252Fp16-common-sign.tiktokcdn.com%252Ftos-alisg-p-0037%252Fo8EiVAaTbGM6Yk4nECIcA9vcBALBiPBrF9XsI~tplv-tiktokx-origin.jpeg%253Fdr%253D14572%2526refresh_token%253D936917fa%2526x-expires%253D1809507600%2526x-signature%253DKMcjtVbx%25252B7FF69VfFfWAtYrWkMQ%25253D%2526t%253D4d5b0474%2526ps%253D13740610%2526shp%253Dd05b14bd%2526shcp%253D34ff8df6%2526idc%253Dmy%2526s%253DTIKTOK_AFFILIATE_VIRAL_VIDEO%22%2C%22placeholder_product_id%22%3A%221729427766722726591%22%2C%22placeholder_video_id%22%3A%227623210173884108040%22%7D&amp;ec_shared_reflux_scene=shop_tab_feed&amp;share_item_id=7623210173884108040&amp;source=h5_t" TargetMode="External"/><Relationship Id="rId7557" Type="http://schemas.openxmlformats.org/officeDocument/2006/relationships/hyperlink" Target="https://vt.tiktok.com/ZS9o47s6u/" TargetMode="External"/><Relationship Id="rId8888" Type="http://schemas.openxmlformats.org/officeDocument/2006/relationships/hyperlink" Target="https://www.tiktok.com/@prettyshoes02" TargetMode="External"/><Relationship Id="rId6226" Type="http://schemas.openxmlformats.org/officeDocument/2006/relationships/hyperlink" Target="https://www.tiktok.com/@anasafitri232/video/7628093869325864199?_r=1&amp;u_code=dig5jf1hfecdm5&amp;region=&amp;mid=7628093920806783762&amp;preview_pb=0&amp;sharer_language=&amp;_d=0&amp;ec_shared_reflux_dynamic_params=%7B%22placeholder_material_id%22%3A%227628093869325864199%22%2C%22placeholder_origin_cover%22%3A%22https%253A%252F%252Fp16-common-sign.tiktokcdn.com%252Ftos-alisg-p-0037%252Fo8B0Abr3aFP0LEGBQpEDlwfyQeHgg2KuBccAkR~tplv-tiktokx-origin.jpeg%253Fdr%253D14572%2526refresh_token%253D9f75f3ee%2526x-expires%253D1809507600%2526x-signature%253DqliVhZM9b8CCG6%25252BVrc2Szr2NAes%25253D%2526t%253D4d5b0474%2526ps%253D13740610%2526shp%253Dd05b14bd%2526shcp%253D34ff8df6%2526idc%253Dmy%2526s%253DTIKTOK_AFFILIATE_VIRAL_VIDEO%22%2C%22placeholder_product_id%22%3A%221729427766722726591%22%2C%22placeholder_video_id%22%3A%227628093869325864199%22%7D&amp;ec_shared_reflux_scene=shop_tab_feed&amp;share_item_id=7628093869325864199&amp;source=h5_t" TargetMode="External"/><Relationship Id="rId7556" Type="http://schemas.openxmlformats.org/officeDocument/2006/relationships/hyperlink" Target="https://vt.tiktok.com/ZS9TdxXx1/" TargetMode="External"/><Relationship Id="rId8887" Type="http://schemas.openxmlformats.org/officeDocument/2006/relationships/hyperlink" Target="https://vt.tiktok.com/ZSQedwCwn/" TargetMode="External"/><Relationship Id="rId6218" Type="http://schemas.openxmlformats.org/officeDocument/2006/relationships/hyperlink" Target="https://www.tiktok.com/@atut2611" TargetMode="External"/><Relationship Id="rId6219" Type="http://schemas.openxmlformats.org/officeDocument/2006/relationships/hyperlink" Target="https://vt.tiktok.com/ZS9yp16xC/" TargetMode="External"/><Relationship Id="rId7549" Type="http://schemas.openxmlformats.org/officeDocument/2006/relationships/hyperlink" Target="https://www.tiktok.com/@el_zdh/video/7637554764598758677?_r=1&amp;u_code=ddaacf8fb57c1a&amp;region=&amp;mid=7598220421232102166&amp;preview_pb=0&amp;sharer_language=&amp;_d=0&amp;ec_shared_reflux_dynamic_params=%7B%22placeholder_material_id%22%3A%227637554764598758677%22%2C%22placeholder_origin_cover%22%3A%22https%253A%252F%252Fp16-common-sign.tiktokcdn.com%252Ftos-alisg-p-0037%252Fo8fY8FrADCCEZWAB0fD84TQ0fQHtMFjggF4I34~tplv-tiktokx-origin.jpeg%253Fdr%253D14572%2526refresh_token%253D57e340c8%2526x-expires%253D1810116000%2526x-signature%253DR3fKFfC2yijT%25252FhOzeyTOho5zDI4%25253D%2526t%253D4d5b0474%2526ps%253D13740610%2526shp%253Dd05b14bd%2526shcp%253D34ff8df6%2526idc%253Dmy2%2526s%253DTIKTOK_AFFILIATE_VIRAL_VIDEO%22%2C%22placeholder_product_id%22%3A%221729427766722726591%22%2C%22placeholder_video_id%22%3A%227637554764598758677%22%7D&amp;ec_shared_reflux_scene=shop_tab_feed&amp;share_item_id=7637554764598758677&amp;source=h5_t" TargetMode="External"/><Relationship Id="rId7540" Type="http://schemas.openxmlformats.org/officeDocument/2006/relationships/hyperlink" Target="https://www.tiktok.com/@fhie2501/video/7639219591574572296?_r=1&amp;u_code=d3f6k3i3b9i83j&amp;region=&amp;mid=7635698982078221076&amp;preview_pb=0&amp;sharer_language=&amp;_d=0&amp;ec_shared_reflux_dynamic_params=%7B%22placeholder_material_id%22%3A%227639219591574572296%22%2C%22placeholder_origin_cover%22%3A%22https%253A%252F%252Fp16-common-sign.tiktokcdn.com%252Ftos-alisg-p-0037%252FoEUfRnEQQDAU2bBfV9FoD24kucRdzIAXDCfjCv~tplv-tiktokx-origin.jpeg%253Fdr%253D14572%2526refresh_token%253D5b5c4c5c%2526x-expires%253D1810195200%2526x-signature%253DP8%25252FbUVcu5IXTXpFgAN41QxfhXxM%25253D%2526t%253D4d5b0474%2526ps%253D13740610%2526shp%253Dd05b14bd%2526shcp%253D34ff8df6%2526idc%253Dmy2%2526s%253DTIKTOK_AFFILIATE_VIRAL_VIDEO%22%2C%22placeholder_product_id%22%3A%221729427766722726591%22%2C%22placeholder_video_id%22%3A%227639219591574572296%22%7D&amp;ec_shared_reflux_scene=shop_tab_feed&amp;share_item_id=7639219591574572296&amp;source=h5_t" TargetMode="External"/><Relationship Id="rId8871" Type="http://schemas.openxmlformats.org/officeDocument/2006/relationships/hyperlink" Target="https://www.tiktok.com/@putri.wangi26" TargetMode="External"/><Relationship Id="rId8870" Type="http://schemas.openxmlformats.org/officeDocument/2006/relationships/hyperlink" Target="https://vt.tiktok.com/ZSQdes1nX/" TargetMode="External"/><Relationship Id="rId6212" Type="http://schemas.openxmlformats.org/officeDocument/2006/relationships/hyperlink" Target="https://www.tiktok.com/@zulfafnnisa" TargetMode="External"/><Relationship Id="rId7544" Type="http://schemas.openxmlformats.org/officeDocument/2006/relationships/hyperlink" Target="https://vt.tiktok.com/ZSxuWEdX6/" TargetMode="External"/><Relationship Id="rId8875" Type="http://schemas.openxmlformats.org/officeDocument/2006/relationships/hyperlink" Target="https://vt.tiktok.com/ZSQeyeH1U/" TargetMode="External"/><Relationship Id="rId6213" Type="http://schemas.openxmlformats.org/officeDocument/2006/relationships/hyperlink" Target="https://www.tiktok.com/@innkartinii_" TargetMode="External"/><Relationship Id="rId7543" Type="http://schemas.openxmlformats.org/officeDocument/2006/relationships/hyperlink" Target="https://www.tiktok.com/@yen2309" TargetMode="External"/><Relationship Id="rId8874" Type="http://schemas.openxmlformats.org/officeDocument/2006/relationships/hyperlink" Target="https://vt.tiktok.com/ZSQeUvEHF/" TargetMode="External"/><Relationship Id="rId6210" Type="http://schemas.openxmlformats.org/officeDocument/2006/relationships/hyperlink" Target="https://vt.tiktok.com/ZSxWf6poM/" TargetMode="External"/><Relationship Id="rId7542" Type="http://schemas.openxmlformats.org/officeDocument/2006/relationships/hyperlink" Target="https://vt.tiktok.com/ZS9o47s6u/" TargetMode="External"/><Relationship Id="rId8873" Type="http://schemas.openxmlformats.org/officeDocument/2006/relationships/hyperlink" Target="https://www.tiktok.com/@raniifashion_" TargetMode="External"/><Relationship Id="rId6211" Type="http://schemas.openxmlformats.org/officeDocument/2006/relationships/hyperlink" Target="https://vt.tiktok.com/ZSxWfk2SA/" TargetMode="External"/><Relationship Id="rId7541" Type="http://schemas.openxmlformats.org/officeDocument/2006/relationships/hyperlink" Target="https://vt.tiktok.com/ZS9TdxXx1/" TargetMode="External"/><Relationship Id="rId8872" Type="http://schemas.openxmlformats.org/officeDocument/2006/relationships/hyperlink" Target="https://vt.tiktok.com/ZSQdeXERM/" TargetMode="External"/><Relationship Id="rId6216" Type="http://schemas.openxmlformats.org/officeDocument/2006/relationships/hyperlink" Target="https://vt.tiktok.com/ZS9qJWkaa/" TargetMode="External"/><Relationship Id="rId7548" Type="http://schemas.openxmlformats.org/officeDocument/2006/relationships/hyperlink" Target="https://www.tiktok.com/@el_zdh" TargetMode="External"/><Relationship Id="rId8879" Type="http://schemas.openxmlformats.org/officeDocument/2006/relationships/hyperlink" Target="https://vt.tiktok.com/ZSQed7n3Q/" TargetMode="External"/><Relationship Id="rId6217" Type="http://schemas.openxmlformats.org/officeDocument/2006/relationships/hyperlink" Target="https://vt.tiktok.com/ZSxWfhAt2/" TargetMode="External"/><Relationship Id="rId7547" Type="http://schemas.openxmlformats.org/officeDocument/2006/relationships/hyperlink" Target="https://vt.tiktok.com/ZS9o47s6u/" TargetMode="External"/><Relationship Id="rId8878" Type="http://schemas.openxmlformats.org/officeDocument/2006/relationships/hyperlink" Target="https://www.tiktok.com/@usahabesertadoa" TargetMode="External"/><Relationship Id="rId6214" Type="http://schemas.openxmlformats.org/officeDocument/2006/relationships/hyperlink" Target="https://vt.tiktok.com/ZS9qe6k56/" TargetMode="External"/><Relationship Id="rId7546" Type="http://schemas.openxmlformats.org/officeDocument/2006/relationships/hyperlink" Target="https://vt.tiktok.com/ZS9TdxXx1/" TargetMode="External"/><Relationship Id="rId8877" Type="http://schemas.openxmlformats.org/officeDocument/2006/relationships/hyperlink" Target="https://vt.tiktok.com/ZSQey1MLq/" TargetMode="External"/><Relationship Id="rId6215" Type="http://schemas.openxmlformats.org/officeDocument/2006/relationships/hyperlink" Target="https://vt.tiktok.com/ZS9qe19un/" TargetMode="External"/><Relationship Id="rId7545" Type="http://schemas.openxmlformats.org/officeDocument/2006/relationships/hyperlink" Target="https://vt.tiktok.com/ZSxu7MLNB/" TargetMode="External"/><Relationship Id="rId8876" Type="http://schemas.openxmlformats.org/officeDocument/2006/relationships/hyperlink" Target="https://vt.tiktok.com/ZSQeUwFFQ/" TargetMode="External"/><Relationship Id="rId6241" Type="http://schemas.openxmlformats.org/officeDocument/2006/relationships/hyperlink" Target="https://vt.tiktok.com/ZS9yp16xC/" TargetMode="External"/><Relationship Id="rId7573" Type="http://schemas.openxmlformats.org/officeDocument/2006/relationships/hyperlink" Target="https://vt.tiktok.com/ZS9c6Hkag/" TargetMode="External"/><Relationship Id="rId6242" Type="http://schemas.openxmlformats.org/officeDocument/2006/relationships/hyperlink" Target="https://vt.tiktok.com/ZS9QFXV9x/" TargetMode="External"/><Relationship Id="rId7572" Type="http://schemas.openxmlformats.org/officeDocument/2006/relationships/hyperlink" Target="https://vt.tiktok.com/ZS9n9YLfk/" TargetMode="External"/><Relationship Id="rId7571" Type="http://schemas.openxmlformats.org/officeDocument/2006/relationships/hyperlink" Target="https://vt.tiktok.com/ZS9c6Hkag/" TargetMode="External"/><Relationship Id="rId6240" Type="http://schemas.openxmlformats.org/officeDocument/2006/relationships/hyperlink" Target="https://www.tiktok.com/@styftma10" TargetMode="External"/><Relationship Id="rId7570" Type="http://schemas.openxmlformats.org/officeDocument/2006/relationships/hyperlink" Target="https://vt.tiktok.com/ZS9n9YLfk/" TargetMode="External"/><Relationship Id="rId6245" Type="http://schemas.openxmlformats.org/officeDocument/2006/relationships/hyperlink" Target="https://vt.tiktok.com/ZS9QFXV9x/" TargetMode="External"/><Relationship Id="rId7577" Type="http://schemas.openxmlformats.org/officeDocument/2006/relationships/hyperlink" Target="https://www.tiktok.com/@Fitriahmad.888" TargetMode="External"/><Relationship Id="rId6246" Type="http://schemas.openxmlformats.org/officeDocument/2006/relationships/hyperlink" Target="https://www.tiktok.com/@rismaawtt" TargetMode="External"/><Relationship Id="rId7576" Type="http://schemas.openxmlformats.org/officeDocument/2006/relationships/hyperlink" Target="https://vt.tiktok.com/ZSx5S1t2H/" TargetMode="External"/><Relationship Id="rId6243" Type="http://schemas.openxmlformats.org/officeDocument/2006/relationships/hyperlink" Target="https://www.tiktok.com/@rismarezky1" TargetMode="External"/><Relationship Id="rId7575" Type="http://schemas.openxmlformats.org/officeDocument/2006/relationships/hyperlink" Target="https://vt.tiktok.com/ZSxM7NQLW/" TargetMode="External"/><Relationship Id="rId6244" Type="http://schemas.openxmlformats.org/officeDocument/2006/relationships/hyperlink" Target="https://vt.tiktok.com/ZS9yp16xC/" TargetMode="External"/><Relationship Id="rId7574" Type="http://schemas.openxmlformats.org/officeDocument/2006/relationships/hyperlink" Target="https://www.tiktok.com/@rayadanzoya" TargetMode="External"/><Relationship Id="rId6249" Type="http://schemas.openxmlformats.org/officeDocument/2006/relationships/hyperlink" Target="https://www.tiktok.com/@liayulia.ts" TargetMode="External"/><Relationship Id="rId6247" Type="http://schemas.openxmlformats.org/officeDocument/2006/relationships/hyperlink" Target="https://vt.tiktok.com/ZS9yp16xC/" TargetMode="External"/><Relationship Id="rId7579" Type="http://schemas.openxmlformats.org/officeDocument/2006/relationships/hyperlink" Target="https://www.tiktok.com/@fitriahmad.888/video/7638273533956672776?_r=1&amp;u_code=ec5368bfg8m7df&amp;region=&amp;mid=7634107877507140372&amp;preview_pb=0&amp;sharer_language=&amp;_d=0&amp;ec_shared_reflux_dynamic_params=%7B%22placeholder_material_id%22%3A%227638273533956672776%22%2C%22placeholder_origin_cover%22%3A%22https%253A%252F%252Fp16-common-sign.tiktokcdn.com%252Ftos-alisg-p-0037%252FocgJcEJMqBpdmGR7ADB6Q12AFBkIUIfRVEsvAf~tplv-tiktokx-origin.jpeg%253Fdr%253D14572%2526refresh_token%253Dc5a5dda4%2526x-expires%253D1810116000%2526x-signature%253Dc43aXkpATHgL6OlFcRAV%25252Bv%25252FbmxE%25253D%2526t%253D4d5b0474%2526ps%253D13740610%2526shp%253Dd05b14bd%2526shcp%253D34ff8df6%2526idc%253Dmy2%2526s%253DTIKTOK_AFFILIATE_VIRAL_VIDEO%22%2C%22placeholder_product_id%22%3A%221729427766722726591%22%2C%22placeholder_video_id%22%3A%227638273533956672776%22%7D&amp;ec_shared_reflux_scene=shop_tab_feed&amp;share_item_id=7638273533956672776&amp;source=h5_t" TargetMode="External"/><Relationship Id="rId6248" Type="http://schemas.openxmlformats.org/officeDocument/2006/relationships/hyperlink" Target="https://vt.tiktok.com/ZS9QFXV9x/" TargetMode="External"/><Relationship Id="rId7578" Type="http://schemas.openxmlformats.org/officeDocument/2006/relationships/hyperlink" Target="https://www.tiktok.com/@fitriahmad.888/video/7637530494795582728?_r=1&amp;u_code=ec5368bfg8m7df&amp;region=&amp;mid=7632536758063909648&amp;preview_pb=0&amp;sharer_language=&amp;_d=0&amp;ec_shared_reflux_dynamic_params=%7B%22placeholder_material_id%22%3A%227637530494795582728%22%2C%22placeholder_origin_cover%22%3A%22https%253A%252F%252Fp16-common-sign.tiktokcdn.com%252Ftos-alisg-p-0037%252FokQDDqQQEvtBIYFAntuAU9ffsVuGFuRe9IG2eX~tplv-tiktokx-origin.jpeg%253Fdr%253D14572%2526refresh_token%253D43f0e983%2526x-expires%253D1810116000%2526x-signature%253DJZgqth%25252BFWnV3ARTduyrNER6jsn8%25253D%2526t%253D4d5b0474%2526ps%253D13740610%2526shp%253Dd05b14bd%2526shcp%253D34ff8df6%2526idc%253Dmy2%2526s%253DTIKTOK_AFFILIATE_VIRAL_VIDEO%22%2C%22placeholder_product_id%22%3A%221729427766722726591%22%2C%22placeholder_video_id%22%3A%227637530494795582728%22%7D&amp;ec_shared_reflux_scene=shop_tab_feed&amp;share_item_id=7637530494795582728&amp;source=h5_t" TargetMode="External"/><Relationship Id="rId6230" Type="http://schemas.openxmlformats.org/officeDocument/2006/relationships/hyperlink" Target="https://vt.tiktok.com/ZS9yp16xC/" TargetMode="External"/><Relationship Id="rId7562" Type="http://schemas.openxmlformats.org/officeDocument/2006/relationships/hyperlink" Target="https://vt.tiktok.com/ZS93nvb2D/" TargetMode="External"/><Relationship Id="rId8893" Type="http://schemas.openxmlformats.org/officeDocument/2006/relationships/hyperlink" Target="https://vt.tiktok.com/ZSQde96Ar/" TargetMode="External"/><Relationship Id="rId6231" Type="http://schemas.openxmlformats.org/officeDocument/2006/relationships/hyperlink" Target="https://vt.tiktok.com/ZS9QFXV9x/" TargetMode="External"/><Relationship Id="rId7561" Type="http://schemas.openxmlformats.org/officeDocument/2006/relationships/hyperlink" Target="https://www.tiktok.com/@.halimah_2/video/7638531652397927700?_r=1&amp;u_code=ei02eelhh42629&amp;region=&amp;mid=7636983236326804231&amp;preview_pb=0&amp;sharer_language=&amp;_d=0&amp;ec_shared_reflux_dynamic_params=%7B%22placeholder_material_id%22%3A%227638531652397927700%22%2C%22placeholder_origin_cover%22%3A%22https%253A%252F%252Fp16-common-sign.tiktokcdn.com%252Ftos-alisg-p-0037%252FoQDDjUYzQBjAyQEtDfRCEbuBeJdqYgcyBoANFq~tplv-tiktokx-origin.jpeg%253Fdr%253D14572%2526refresh_token%253Dc16f31c2%2526x-expires%253D1810116000%2526x-signature%253D6r4laLBObFujm6l1kKvmcVbyljg%25253D%2526t%253D4d5b0474%2526ps%253D13740610%2526shp%253Dd05b14bd%2526shcp%253D34ff8df6%2526idc%253Dmy2%2526s%253DTIKTOK_AFFILIATE_VIRAL_VIDEO%22%2C%22placeholder_product_id%22%3A%221729427766722726591%22%2C%22placeholder_video_id%22%3A%227638531652397927700%22%7D&amp;ec_shared_reflux_scene=shop_tab_feed&amp;share_item_id=7638531652397927700&amp;source=h5_t" TargetMode="External"/><Relationship Id="rId8892" Type="http://schemas.openxmlformats.org/officeDocument/2006/relationships/hyperlink" Target="https://www.tiktok.com/@magialist52" TargetMode="External"/><Relationship Id="rId7560" Type="http://schemas.openxmlformats.org/officeDocument/2006/relationships/hyperlink" Target="https://www.tiktok.com/@.halimah_2" TargetMode="External"/><Relationship Id="rId8891" Type="http://schemas.openxmlformats.org/officeDocument/2006/relationships/hyperlink" Target="https://vt.tiktok.com/ZSQdRbc7B/" TargetMode="External"/><Relationship Id="rId8890" Type="http://schemas.openxmlformats.org/officeDocument/2006/relationships/hyperlink" Target="https://www.tiktok.com/@tokorofie" TargetMode="External"/><Relationship Id="rId6234" Type="http://schemas.openxmlformats.org/officeDocument/2006/relationships/hyperlink" Target="https://vt.tiktok.com/ZS9qDPqKJ/" TargetMode="External"/><Relationship Id="rId7566" Type="http://schemas.openxmlformats.org/officeDocument/2006/relationships/hyperlink" Target="https://www.tiktok.com/@robiatul.adawiyah410/video/7638125977171725588?_r=1&amp;u_code=df95mmc52h46ge&amp;region=&amp;mid=7613789554936416273&amp;preview_pb=0&amp;sharer_language=&amp;_d=0&amp;ec_shared_reflux_dynamic_params=%7B%22placeholder_material_id%22%3A%227638125977171725588%22%2C%22placeholder_origin_cover%22%3A%22https%253A%252F%252Fp16-common-sign.tiktokcdn.com%252Ftos-alisg-p-0037%252FocIFAvCEYAdIE0JQXAjiiigybjBaugAZBuR4E~tplv-tiktokx-origin.jpeg%253Fdr%253D14572%2526refresh_token%253D58742b2c%2526x-expires%253D1810116000%2526x-signature%253Dn0vQxH6vriTfCwN2xluDY4gHn%25252Fw%25253D%2526t%253D4d5b0474%2526ps%253D13740610%2526shp%253Dd05b14bd%2526shcp%253D34ff8df6%2526idc%253Dmy2%2526s%253DTIKTOK_AFFILIATE_VIRAL_VIDEO%22%2C%22placeholder_product_id%22%3A%221729427766722726591%22%2C%22placeholder_video_id%22%3A%227638125977171725588%22%7D&amp;ec_shared_reflux_scene=shop_tab_feed&amp;share_item_id=7638125977171725588&amp;source=h5_t" TargetMode="External"/><Relationship Id="rId8897" Type="http://schemas.openxmlformats.org/officeDocument/2006/relationships/hyperlink" Target="https://www.tiktok.com/@happymamaaaa" TargetMode="External"/><Relationship Id="rId6235" Type="http://schemas.openxmlformats.org/officeDocument/2006/relationships/hyperlink" Target="https://vt.tiktok.com/ZS9q9TJFw/" TargetMode="External"/><Relationship Id="rId7565" Type="http://schemas.openxmlformats.org/officeDocument/2006/relationships/hyperlink" Target="https://www.tiktok.com/@robiatul.adawiyah410/video/7637702818954071317?_r=1&amp;u_code=df95mmc52h46ge&amp;region=&amp;mid=7559668009858631696&amp;preview_pb=0&amp;sharer_language=&amp;_d=0&amp;ec_shared_reflux_dynamic_params=%7B%22placeholder_material_id%22%3A%227637702818954071317%22%2C%22placeholder_origin_cover%22%3A%22https%253A%252F%252Fp16-common-sign.tiktokcdn.com%252Ftos-alisg-p-0037%252FoAD4FEmFIQJfpFGIU4ffHiqJcOjoCjA79TQpAD~tplv-tiktokx-origin.jpeg%253Fdr%253D14572%2526refresh_token%253Da6e5e2a7%2526x-expires%253D1810116000%2526x-signature%253D29I6PN7JqXyiU4JBoNzS%25252Fv8%25252BZzM%25253D%2526t%253D4d5b0474%2526ps%253D13740610%2526shp%253Dd05b14bd%2526shcp%253D34ff8df6%2526idc%253Dmy2%2526s%253DTIKTOK_AFFILIATE_VIRAL_VIDEO%22%2C%22placeholder_product_id%22%3A%221729427766722726591%22%2C%22placeholder_video_id%22%3A%227637702818954071317%22%7D&amp;ec_shared_reflux_scene=shop_tab_feed&amp;share_item_id=7637702818954071317&amp;source=h5_t" TargetMode="External"/><Relationship Id="rId8896" Type="http://schemas.openxmlformats.org/officeDocument/2006/relationships/hyperlink" Target="https://vt.tiktok.com/ZSQeUQpDy/" TargetMode="External"/><Relationship Id="rId6232" Type="http://schemas.openxmlformats.org/officeDocument/2006/relationships/hyperlink" Target="https://www.tiktok.com/@philocalist_15" TargetMode="External"/><Relationship Id="rId7564" Type="http://schemas.openxmlformats.org/officeDocument/2006/relationships/hyperlink" Target="https://www.tiktok.com/@cnrdaa_" TargetMode="External"/><Relationship Id="rId8895" Type="http://schemas.openxmlformats.org/officeDocument/2006/relationships/hyperlink" Target="https://www.tiktok.com/@gex_fika" TargetMode="External"/><Relationship Id="rId6233" Type="http://schemas.openxmlformats.org/officeDocument/2006/relationships/hyperlink" Target="https://vt.tiktok.com/ZS9qLFXtx/" TargetMode="External"/><Relationship Id="rId7563" Type="http://schemas.openxmlformats.org/officeDocument/2006/relationships/hyperlink" Target="https://vt.tiktok.com/ZSxMrVxtA/" TargetMode="External"/><Relationship Id="rId8894" Type="http://schemas.openxmlformats.org/officeDocument/2006/relationships/hyperlink" Target="https://www.tiktok.com/@shelfw" TargetMode="External"/><Relationship Id="rId6238" Type="http://schemas.openxmlformats.org/officeDocument/2006/relationships/hyperlink" Target="https://vt.tiktok.com/ZS9yp16xC/" TargetMode="External"/><Relationship Id="rId6239" Type="http://schemas.openxmlformats.org/officeDocument/2006/relationships/hyperlink" Target="https://vt.tiktok.com/ZS9QFXV9x/" TargetMode="External"/><Relationship Id="rId7569" Type="http://schemas.openxmlformats.org/officeDocument/2006/relationships/hyperlink" Target="https://www.tiktok.com/@robiatul.adawiyah410" TargetMode="External"/><Relationship Id="rId6236" Type="http://schemas.openxmlformats.org/officeDocument/2006/relationships/hyperlink" Target="https://vt.tiktok.com/ZSxWfuW9D/" TargetMode="External"/><Relationship Id="rId7568" Type="http://schemas.openxmlformats.org/officeDocument/2006/relationships/hyperlink" Target="https://vt.tiktok.com/ZS9c6Hkag/" TargetMode="External"/><Relationship Id="rId8899" Type="http://schemas.openxmlformats.org/officeDocument/2006/relationships/hyperlink" Target="https://www.tiktok.com/@gilangyunia" TargetMode="External"/><Relationship Id="rId6237" Type="http://schemas.openxmlformats.org/officeDocument/2006/relationships/hyperlink" Target="https://www.tiktok.com/@fssrh27" TargetMode="External"/><Relationship Id="rId7567" Type="http://schemas.openxmlformats.org/officeDocument/2006/relationships/hyperlink" Target="https://vt.tiktok.com/ZS9n9YLfk/" TargetMode="External"/><Relationship Id="rId8898" Type="http://schemas.openxmlformats.org/officeDocument/2006/relationships/hyperlink" Target="https://vt.tiktok.com/ZSQedFpdW/" TargetMode="External"/><Relationship Id="rId7519" Type="http://schemas.openxmlformats.org/officeDocument/2006/relationships/hyperlink" Target="https://vt.tiktok.com/ZS9H2eUCb/" TargetMode="External"/><Relationship Id="rId7518" Type="http://schemas.openxmlformats.org/officeDocument/2006/relationships/hyperlink" Target="https://vt.tiktok.com/ZS9H2PPny/" TargetMode="External"/><Relationship Id="rId8849" Type="http://schemas.openxmlformats.org/officeDocument/2006/relationships/hyperlink" Target="https://vt.tiktok.com/ZSxfCLAv5/" TargetMode="External"/><Relationship Id="rId7517" Type="http://schemas.openxmlformats.org/officeDocument/2006/relationships/hyperlink" Target="https://vt.tiktok.com/ZS9H2LwwK/" TargetMode="External"/><Relationship Id="rId8848" Type="http://schemas.openxmlformats.org/officeDocument/2006/relationships/hyperlink" Target="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eholder_origin_cover%22%3A%22https%253A%252F%252Fp16-sign-sg.tiktokcdn.com%252Ftos-alisg-p-0037%252Fo03hfABezYXBDiRNp9OP7BUEgIxxBiEINkwKiH~tplv-tiktokx-origin.jpeg%253Fdr%253D14572%2526refresh_token%253D2b3edbd9%2526x-expires%253D1808992800%2526x-signature%253DuF7qjx32DHmqMM4GzKo0wROx5Eg%25253D%2526t%253D4d5b0474%2526ps%253D13740610%2526shp%253Dd05b14bd%2526shcp%253D34ff8df6%2526idc%253Dmy2%2526s%253DTIKTOK_AFFILIATE_VIRAL_VIDEO%22%2C%22placeholder_product_id%22%3A%221729427766722726591%22%2C%22placeholder_video_id%22%3A%227633988561930423560%22%7D&amp;ec_shared_reflux_scene=shop_tab_feed&amp;share_item_id=7633988561930423560&amp;source=h5_t" TargetMode="External"/><Relationship Id="rId7516" Type="http://schemas.openxmlformats.org/officeDocument/2006/relationships/hyperlink" Target="https://vt.tiktok.com/ZS9H2BvDV/" TargetMode="External"/><Relationship Id="rId8847" Type="http://schemas.openxmlformats.org/officeDocument/2006/relationships/hyperlink" Target="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eholder_origin_cover%22%3A%22https%253A%252F%252Fp16-common-sign.tiktokcdn.com%252Ftos-alisg-p-0037%252FoEvtB2BmQIJJbKvDCITIgGKC4QfW4c8eAAeLPj~tplv-tiktokx-origin.jpeg%253Fdr%253D14572%2526refresh_token%253D14b8e5a1%2526x-expires%253D1808992800%2526x-signature%253DsBKNRZM9NlGgABGP%25252Bi5CuTVSWFg%25253D%2526t%253D4d5b0474%2526ps%253D13740610%2526shp%253Dd05b14bd%2526shcp%253D34ff8df6%2526idc%253Dmy2%2526s%253DTIKTOK_AFFILIATE_VIRAL_VIDEO%22%2C%22placeholder_product_id%22%3A%221729427766722726591%22%2C%22placeholder_video_id%22%3A%227633619284236799240%22%7D&amp;ec_shared_reflux_scene=shop_tab_feed&amp;share_item_id=7633619284236799240&amp;source=h5_t" TargetMode="External"/><Relationship Id="rId7511" Type="http://schemas.openxmlformats.org/officeDocument/2006/relationships/hyperlink" Target="https://vt.tiktok.com/ZS9H2BvDV/" TargetMode="External"/><Relationship Id="rId8842" Type="http://schemas.openxmlformats.org/officeDocument/2006/relationships/hyperlink" Target="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22placeholder_origin_cover%22%3A%22https%253A%252F%252Fp16-common-sign.tiktokcdn.com%252Ftos-alisg-p-0037%252FogtrPig6fAI1VtrDCBRpT4Bw9iBciEOXRfDIQy~tplv-tiktokx-origin.jpeg%253Fdr%253D14572%2526refresh_token%253Da7dfb7b6%2526x-expires%253D1808992800%2526x-signature%253DBLfnFU%25252FucpfNa%25252FqJkuXBbFXM3IE%25253D%2526t%253D4d5b0474%2526ps%253D13740610%2526shp%253Dd05b14bd%2526shcp%253D34ff8df6%2526idc%253Dmy2%2526s%253DTIKTOK_AFFILIATE_VIRAL_VIDEO%22%2C%22placeholder_product_id%22%3A%221729427766722726591%22%2C%22placeholder_video_id%22%3A%227632466134771453202%22%7D&amp;ec_shared_reflux_scene=shop_tab_feed&amp;share_item_id=7632466134771453202&amp;source=h5_t" TargetMode="External"/><Relationship Id="rId7510" Type="http://schemas.openxmlformats.org/officeDocument/2006/relationships/hyperlink" Target="https://www.tiktok.com/@ayumeilinah_" TargetMode="External"/><Relationship Id="rId8841" Type="http://schemas.openxmlformats.org/officeDocument/2006/relationships/hyperlink" Target="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22placeholder_origin_cover%22%3A%22https%253A%252F%252Fp16-common-sign.tiktokcdn.com%252Ftos-alisg-p-0037%252Fo8fO8AM1hZeDgXj1TZgNKQoIABetCT1Aj7WrQE~tplv-tiktokx-origin.jpeg%253Fdr%253D14572%2526refresh_token%253Db34d4f83%2526x-expires%253D1808992800%2526x-signature%253D5d%25252BwOsNi1vQGg3hT4qvK4L51k%25252FQ%25253D%2526t%253D4d5b0474%2526ps%253D13740610%2526shp%253Dd05b14bd%2526shcp%253D34ff8df6%2526idc%253Dmy2%2526s%253DTIKTOK_AFFILIATE_VIRAL_VIDEO%22%2C%22placeholder_product_id%22%3A%221729427766722726591%22%2C%22placeholder_video_id%22%3A%227632292373736803591%22%7D&amp;ec_shared_reflux_scene=shop_tab_feed&amp;share_item_id=7632292373736803591&amp;source=h5_t" TargetMode="External"/><Relationship Id="rId8840" Type="http://schemas.openxmlformats.org/officeDocument/2006/relationships/hyperlink" Target="https://www.tiktok.com/@rositaramdani7" TargetMode="External"/><Relationship Id="rId7515" Type="http://schemas.openxmlformats.org/officeDocument/2006/relationships/hyperlink" Target="https://www.tiktok.com/@tiaraftyas" TargetMode="External"/><Relationship Id="rId8846" Type="http://schemas.openxmlformats.org/officeDocument/2006/relationships/hyperlink" Target="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eholder_origin_cover%22%3A%22https%253A%252F%252Fp16-common-sign.tiktokcdn.com%252Ftos-alisg-p-0037%252Fokej83InNuARId4oIVGPkcAQGeAeLDBS0CHTZQ~tplv-tiktokx-origin.jpeg%253Fdr%253D14572%2526refresh_token%253D3b7eb85d%2526x-expires%253D1808992800%2526x-signature%253DzhyQY%25252Bd9E%25252FZMgX7MRj4vEnlPr%25252BI%25253D%2526t%253D4d5b0474%2526ps%253D13740610%2526shp%253Dd05b14bd%2526shcp%253D34ff8df6%2526idc%253Dmy2%2526s%253DTIKTOK_AFFILIATE_VIRAL_VIDEO%22%2C%22placeholder_product_id%22%3A%221729427766722726591%22%2C%22placeholder_video_id%22%3A%227633259666696391954%22%7D&amp;ec_shared_reflux_scene=shop_tab_feed&amp;share_item_id=7633259666696391954&amp;source=h5_t" TargetMode="External"/><Relationship Id="rId7514" Type="http://schemas.openxmlformats.org/officeDocument/2006/relationships/hyperlink" Target="https://vt.tiktok.com/ZS9H2eUCb/" TargetMode="External"/><Relationship Id="rId8845" Type="http://schemas.openxmlformats.org/officeDocument/2006/relationships/hyperlink" Target="https://www.tiktok.com/@r4ch3l97" TargetMode="External"/><Relationship Id="rId7513" Type="http://schemas.openxmlformats.org/officeDocument/2006/relationships/hyperlink" Target="https://vt.tiktok.com/ZS9H2PPny/" TargetMode="External"/><Relationship Id="rId8844" Type="http://schemas.openxmlformats.org/officeDocument/2006/relationships/hyperlink" Target="https://www.tiktok.com/@rositaramdani7/video/7632840621039914248?_d=0&amp;_r=1&amp;ec_shared_reflux_dynamic_params=%7B%22placeholder_material_id%22%3A%227632840621039914248%22%2C%22placeholder_origin_cover%22%3A%22https%253A%252F%252Fp16-common-sign.tiktokcdn.com%252Ftos-alisg-p-0037%252Fo4Tq0AI4XCBVwjAWIYrCAIztJuiCI9hiVLCQfh~tplv-tiktokx-origin.jpeg%253Fdr%253D14572%2526refresh_token%253D142f2fad%2526x-expires%253D1808992800%2526x-signature%253DHpeIR5KLtc6wc1RTiJXRcQO8fOs%25253D%2526t%253D4d5b0474%2526ps%253D13740610%2526shp%253Dd05b14bd%2526shcp%253D34ff8df6%2526idc%253Dmy2%2526s%253DTIKTOK_AFFILIATE_VIRAL_VIDEO%22%2C%22placeholder_product_id%22%3A%221729427766722726591%22%2C%22placeholder_video_id%22%3A%227632840621039914248%22%7D&amp;ec_shared_reflux_scene=shop_tab_feed&amp;mid=7591377536513985281&amp;preview_pb=0&amp;region=&amp;share_item_id=7632840621039914248&amp;sharer_language=&amp;source=h5_t&amp;u_code=f1489jb4bi84e9" TargetMode="External"/><Relationship Id="rId7512" Type="http://schemas.openxmlformats.org/officeDocument/2006/relationships/hyperlink" Target="https://vt.tiktok.com/ZS9H2LwwK/" TargetMode="External"/><Relationship Id="rId8843" Type="http://schemas.openxmlformats.org/officeDocument/2006/relationships/hyperlink" Target="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22placeholder_origin_cover%22%3A%22https%253A%252F%252Fp16-common-sign.tiktokcdn.com%252Ftos-alisg-p-0037%252Fow724I9IGp8GJCSiAIeZAtCBfL0WETDI55ejBs~tplv-tiktokx-origin.jpeg%253Fdr%253D14572%2526refresh_token%253D974a53c8%2526x-expires%253D1808992800%2526x-signature%253DbBhbMoNFUGaDXGV%25252F1hVcSOsTVPM%25253D%2526t%253D4d5b0474%2526ps%253D13740610%2526shp%253Dd05b14bd%2526shcp%253D34ff8df6%2526idc%253Dmy2%2526s%253DTIKTOK_AFFILIATE_VIRAL_VIDEO%22%2C%22placeholder_product_id%22%3A%221729427766722726591%22%2C%22placeholder_video_id%22%3A%227632556344465231122%22%7D&amp;ec_shared_reflux_scene=shop_tab_feed&amp;share_item_id=7632556344465231122&amp;source=h5_t" TargetMode="External"/><Relationship Id="rId7508" Type="http://schemas.openxmlformats.org/officeDocument/2006/relationships/hyperlink" Target="https://vt.tiktok.com/ZS9H2PPny/" TargetMode="External"/><Relationship Id="rId8839" Type="http://schemas.openxmlformats.org/officeDocument/2006/relationships/hyperlink" Target="https://vt.tiktok.com/ZSxDYQyTW/" TargetMode="External"/><Relationship Id="rId7507" Type="http://schemas.openxmlformats.org/officeDocument/2006/relationships/hyperlink" Target="https://vt.tiktok.com/ZS9H2LwwK/" TargetMode="External"/><Relationship Id="rId8838" Type="http://schemas.openxmlformats.org/officeDocument/2006/relationships/hyperlink" Target="https://vt.tiktok.com/ZSxDYhccb/" TargetMode="External"/><Relationship Id="rId7506" Type="http://schemas.openxmlformats.org/officeDocument/2006/relationships/hyperlink" Target="https://vt.tiktok.com/ZS9H2BvDV/" TargetMode="External"/><Relationship Id="rId8837" Type="http://schemas.openxmlformats.org/officeDocument/2006/relationships/hyperlink" Target="https://vt.tiktok.com/ZSxfQGEgj/" TargetMode="External"/><Relationship Id="rId7505" Type="http://schemas.openxmlformats.org/officeDocument/2006/relationships/hyperlink" Target="https://www.tiktok.com/@lalanrmyap" TargetMode="External"/><Relationship Id="rId8836" Type="http://schemas.openxmlformats.org/officeDocument/2006/relationships/hyperlink" Target="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aceholder_origin_cover%22%3A%22https%253A%252F%252Fp16-common-sign.tiktokcdn.com%252Ftos-alisg-p-0037%252FocT3fUyagtsUCPXIgtfvGDAQDjLK9oeTHAQG2I~tplv-tiktokx-origin.jpeg%253Fdr%253D14572%2526refresh_token%253D13d7c298%2526x-expires%253D1808992800%2526x-signature%253Dm1yuhUo4JC1EwMfosEQhUBd56yw%25253D%2526t%253D4d5b0474%2526ps%253D13740610%2526shp%253Dd05b14bd%2526shcp%253D34ff8df6%2526idc%253Dmy2%2526s%253DTIKTOK_AFFILIATE_VIRAL_VIDEO%22%2C%22placeholder_product_id%22%3A%221729427766722726591%22%2C%22placeholder_video_id%22%3A%227633434949797858581%22%7D&amp;ec_shared_reflux_scene=shop_tab_feed&amp;share_item_id=7633434949797858581&amp;source=h5_t" TargetMode="External"/><Relationship Id="rId7509" Type="http://schemas.openxmlformats.org/officeDocument/2006/relationships/hyperlink" Target="https://vt.tiktok.com/ZS9H2eUCb/" TargetMode="External"/><Relationship Id="rId7500" Type="http://schemas.openxmlformats.org/officeDocument/2006/relationships/hyperlink" Target="https://www.tiktok.com/@utbahatsatsah" TargetMode="External"/><Relationship Id="rId8831" Type="http://schemas.openxmlformats.org/officeDocument/2006/relationships/hyperlink" Target="https://www.tiktok.com/@gendhis798" TargetMode="External"/><Relationship Id="rId8830" Type="http://schemas.openxmlformats.org/officeDocument/2006/relationships/hyperlink" Target="https://vt.tiktok.com/ZSQeU4y78/" TargetMode="External"/><Relationship Id="rId7504" Type="http://schemas.openxmlformats.org/officeDocument/2006/relationships/hyperlink" Target="https://vt.tiktok.com/ZS9H2eUCb/" TargetMode="External"/><Relationship Id="rId8835" Type="http://schemas.openxmlformats.org/officeDocument/2006/relationships/hyperlink" Target="https://www.tiktok.com/@onlyurpain" TargetMode="External"/><Relationship Id="rId7503" Type="http://schemas.openxmlformats.org/officeDocument/2006/relationships/hyperlink" Target="https://vt.tiktok.com/ZS9H2PPny/" TargetMode="External"/><Relationship Id="rId8834" Type="http://schemas.openxmlformats.org/officeDocument/2006/relationships/hyperlink" Target="https://vt.tiktok.com/ZSQednrCd/" TargetMode="External"/><Relationship Id="rId7502" Type="http://schemas.openxmlformats.org/officeDocument/2006/relationships/hyperlink" Target="https://vt.tiktok.com/ZS9H2LwwK/" TargetMode="External"/><Relationship Id="rId8833" Type="http://schemas.openxmlformats.org/officeDocument/2006/relationships/hyperlink" Target="https://www.tiktok.com/@fashiongirl5_" TargetMode="External"/><Relationship Id="rId7501" Type="http://schemas.openxmlformats.org/officeDocument/2006/relationships/hyperlink" Target="https://vt.tiktok.com/ZS9H2BvDV/" TargetMode="External"/><Relationship Id="rId8832" Type="http://schemas.openxmlformats.org/officeDocument/2006/relationships/hyperlink" Target="https://vt.tiktok.com/ZSQedyPMq/" TargetMode="External"/><Relationship Id="rId6209" Type="http://schemas.openxmlformats.org/officeDocument/2006/relationships/hyperlink" Target="https://vt.tiktok.com/ZSxms9SvV/" TargetMode="External"/><Relationship Id="rId6207" Type="http://schemas.openxmlformats.org/officeDocument/2006/relationships/hyperlink" Target="https://www.tiktok.com/@nisada712" TargetMode="External"/><Relationship Id="rId7539" Type="http://schemas.openxmlformats.org/officeDocument/2006/relationships/hyperlink" Target="https://www.tiktok.com/@fhie2501/video/7638429393269951752?_r=1&amp;u_code=d3f6k3i3b9i83j&amp;region=&amp;mid=7631905035121395728&amp;preview_pb=0&amp;sharer_language=&amp;_d=0&amp;ec_shared_reflux_dynamic_params=%7B%22placeholder_material_id%22%3A%227638429393269951752%22%2C%22placeholder_origin_cover%22%3A%22https%253A%252F%252Fp19-common-sign.tiktokcdn.com%252Ftos-alisg-p-0037%252Fo0iBfWwAvAIl8LAUBBI1BxAwJiAqiC5GwJbI4x~tplv-tiktokx-origin.jpeg%253Fdr%253D14572%2526refresh_token%253D8954c604%2526x-expires%253D1810116000%2526x-signature%253DbkKH%25252FNlUMbr4ynDmrIfTdHeQegc%25253D%2526t%253D4d5b0474%2526ps%253D13740610%2526shp%253Dd05b14bd%2526shcp%253D34ff8df6%2526idc%253Dmy2%2526s%253DTIKTOK_AFFILIATE_VIRAL_VIDEO%22%2C%22placeholder_product_id%22%3A%221729427766722726591%22%2C%22placeholder_video_id%22%3A%227638429393269951752%22%7D&amp;ec_shared_reflux_scene=shop_tab_feed&amp;share_item_id=7638429393269951752&amp;source=h5_t" TargetMode="External"/><Relationship Id="rId6208" Type="http://schemas.openxmlformats.org/officeDocument/2006/relationships/hyperlink" Target="https://vt.tiktok.com/ZSx1J4NuD/" TargetMode="External"/><Relationship Id="rId7538" Type="http://schemas.openxmlformats.org/officeDocument/2006/relationships/hyperlink" Target="https://www.tiktok.com/@fhie2501" TargetMode="External"/><Relationship Id="rId8869" Type="http://schemas.openxmlformats.org/officeDocument/2006/relationships/hyperlink" Target="https://vt.tiktok.com/ZSQde3f37/" TargetMode="External"/><Relationship Id="rId8860" Type="http://schemas.openxmlformats.org/officeDocument/2006/relationships/hyperlink" Target="https://www.tiktok.com/@by.shaka07" TargetMode="External"/><Relationship Id="rId6201" Type="http://schemas.openxmlformats.org/officeDocument/2006/relationships/hyperlink" Target="https://vt.tiktok.com/ZS9fSWD5R/" TargetMode="External"/><Relationship Id="rId7533" Type="http://schemas.openxmlformats.org/officeDocument/2006/relationships/hyperlink" Target="https://www.tiktok.com/@Mila77073" TargetMode="External"/><Relationship Id="rId8864" Type="http://schemas.openxmlformats.org/officeDocument/2006/relationships/hyperlink" Target="https://www.tiktok.com/@dreamm.png" TargetMode="External"/><Relationship Id="rId6202" Type="http://schemas.openxmlformats.org/officeDocument/2006/relationships/hyperlink" Target="https://vt.tiktok.com/ZS9fA1h67/" TargetMode="External"/><Relationship Id="rId7532" Type="http://schemas.openxmlformats.org/officeDocument/2006/relationships/hyperlink" Target="https://vt.tiktok.com/ZSxD6fGsq/" TargetMode="External"/><Relationship Id="rId8863" Type="http://schemas.openxmlformats.org/officeDocument/2006/relationships/hyperlink" Target="https://vt.tiktok.com/ZSxoEt32j/" TargetMode="External"/><Relationship Id="rId7531" Type="http://schemas.openxmlformats.org/officeDocument/2006/relationships/hyperlink" Target="https://vt.tiktok.com/ZSxrxHvUh/" TargetMode="External"/><Relationship Id="rId8862" Type="http://schemas.openxmlformats.org/officeDocument/2006/relationships/hyperlink" Target="https://www.tiktok.com/@dyla_store1" TargetMode="External"/><Relationship Id="rId6200" Type="http://schemas.openxmlformats.org/officeDocument/2006/relationships/hyperlink" Target="https://vt.tiktok.com/ZS9fSvFSw/" TargetMode="External"/><Relationship Id="rId7530" Type="http://schemas.openxmlformats.org/officeDocument/2006/relationships/hyperlink" Target="https://www.tiktok.com/@anilistiyani37" TargetMode="External"/><Relationship Id="rId8861" Type="http://schemas.openxmlformats.org/officeDocument/2006/relationships/hyperlink" Target="https://vt.tiktok.com/ZSQde1b4j/" TargetMode="External"/><Relationship Id="rId6205" Type="http://schemas.openxmlformats.org/officeDocument/2006/relationships/hyperlink" Target="https://vt.tiktok.com/ZS9yp16xC/" TargetMode="External"/><Relationship Id="rId7537" Type="http://schemas.openxmlformats.org/officeDocument/2006/relationships/hyperlink" Target="https://vt.tiktok.com/ZSxD6rQto/" TargetMode="External"/><Relationship Id="rId8868" Type="http://schemas.openxmlformats.org/officeDocument/2006/relationships/hyperlink" Target="https://www.tiktok.com/@irsa.amores" TargetMode="External"/><Relationship Id="rId6206" Type="http://schemas.openxmlformats.org/officeDocument/2006/relationships/hyperlink" Target="https://vt.tiktok.com/ZS9QFXV9x/" TargetMode="External"/><Relationship Id="rId7536" Type="http://schemas.openxmlformats.org/officeDocument/2006/relationships/hyperlink" Target="https://vt.tiktok.com/ZSxRLQQTT/" TargetMode="External"/><Relationship Id="rId8867" Type="http://schemas.openxmlformats.org/officeDocument/2006/relationships/hyperlink" Target="https://vt.tiktok.com/ZSQdRyd6W/" TargetMode="External"/><Relationship Id="rId6203" Type="http://schemas.openxmlformats.org/officeDocument/2006/relationships/hyperlink" Target="https://vt.tiktok.com/ZS9fAF7FH/" TargetMode="External"/><Relationship Id="rId7535" Type="http://schemas.openxmlformats.org/officeDocument/2006/relationships/hyperlink" Target="https://vt.tiktok.com/ZSxRL5DcX/" TargetMode="External"/><Relationship Id="rId8866" Type="http://schemas.openxmlformats.org/officeDocument/2006/relationships/hyperlink" Target="https://www.tiktok.com/@sekaaulia2" TargetMode="External"/><Relationship Id="rId6204" Type="http://schemas.openxmlformats.org/officeDocument/2006/relationships/hyperlink" Target="https://www.tiktok.com/@fbrynanisaa" TargetMode="External"/><Relationship Id="rId7534" Type="http://schemas.openxmlformats.org/officeDocument/2006/relationships/hyperlink" Target="https://www.tiktok.com/@dyaahrtna" TargetMode="External"/><Relationship Id="rId8865" Type="http://schemas.openxmlformats.org/officeDocument/2006/relationships/hyperlink" Target="https://vt.tiktok.com/ZSxooJSSS/" TargetMode="External"/><Relationship Id="rId7529" Type="http://schemas.openxmlformats.org/officeDocument/2006/relationships/hyperlink" Target="https://vt.tiktok.com/ZSxpXSbA8/" TargetMode="External"/><Relationship Id="rId7528" Type="http://schemas.openxmlformats.org/officeDocument/2006/relationships/hyperlink" Target="https://vt.tiktok.com/ZSxpUvNqF/" TargetMode="External"/><Relationship Id="rId8859" Type="http://schemas.openxmlformats.org/officeDocument/2006/relationships/hyperlink" Target="https://vt.tiktok.com/ZSxoKK763/" TargetMode="External"/><Relationship Id="rId7527" Type="http://schemas.openxmlformats.org/officeDocument/2006/relationships/hyperlink" Target="https://www.tiktok.com/@Daisy_sthetic" TargetMode="External"/><Relationship Id="rId8858" Type="http://schemas.openxmlformats.org/officeDocument/2006/relationships/hyperlink" Target="https://www.tiktok.com/@estehmatchaaa._" TargetMode="External"/><Relationship Id="rId7522" Type="http://schemas.openxmlformats.org/officeDocument/2006/relationships/hyperlink" Target="https://vt.tiktok.com/ZS9RCs9Rd/" TargetMode="External"/><Relationship Id="rId8853" Type="http://schemas.openxmlformats.org/officeDocument/2006/relationships/hyperlink" Target="https://www.tiktok.com/@belanja_hemat.shop/video/7630083439080852744?_r=1&amp;u_code=ek6h2252jijmih&amp;region=&amp;mid=7502446149192567607&amp;preview_pb=0&amp;sharer_language=&amp;_d=0&amp;ec_shared_reflux_dynamic_params=%7B%22placeholder_material_id%22%3A%227630083439080852744%22%2C%22placeholder_origin_cover%22%3A%22https%253A%252F%252Fp16-common-sign.tiktokcdn.com%252Ftos-alisg-p-0037%252FoEONqiBlICA7hICZgjiI3AAAgBswH8WOe0PpIT~tplv-tiktokx-origin.jpeg%253Fdr%253D14572%2526refresh_token%253Dc5a3bd01%2526x-expires%253D1808992800%2526x-signature%253DmHrmToRfBoDI76E5SnS33jucUxo%25253D%2526t%253D4d5b0474%2526ps%253D13740610%2526shp%253Dd05b14bd%2526shcp%253D34ff8df6%2526idc%253Dmy2%2526s%253DTIKTOK_AFFILIATE_VIRAL_VIDEO%22%2C%22placeholder_product_id%22%3A%221729427766722726591%22%2C%22placeholder_video_id%22%3A%227630083439080852744%22%7D&amp;ec_shared_reflux_scene=shop_tab_feed&amp;share_item_id=7630083439080852744&amp;source=h5_t" TargetMode="External"/><Relationship Id="rId7521" Type="http://schemas.openxmlformats.org/officeDocument/2006/relationships/hyperlink" Target="https://www.tiktok.com/@racunciwiciwi99" TargetMode="External"/><Relationship Id="rId8852" Type="http://schemas.openxmlformats.org/officeDocument/2006/relationships/hyperlink" Target="https://www.tiktok.com/@belanja_hemat.shop/video/7630068304346074375?_r=1&amp;u_code=ek6h2252jijmih&amp;region=&amp;mid=7502446149192567607&amp;preview_pb=0&amp;sharer_language=&amp;_d=0&amp;ec_shared_reflux_dynamic_params=%7B%22placeholder_material_id%22%3A%227630068304346074375%22%2C%22placeholder_origin_cover%22%3A%22https%253A%252F%252Fp16-common-sign.tiktokcdn.com%252Ftos-alisg-p-0037%252FoY0jIj6CABiiHw6UKcYAvir4yAqkkIDPINeK4B~tplv-tiktokx-origin.jpeg%253Fdr%253D14572%2526refresh_token%253Dc394bf07%2526x-expires%253D1808992800%2526x-signature%253D%25252FXFHLg710N9EHbaT4qukgslNM%25252F0%25253D%2526t%253D4d5b0474%2526ps%253D13740610%2526shp%253Dd05b14bd%2526shcp%253D34ff8df6%2526idc%253Dmy2%2526s%253DTIKTOK_AFFILIATE_VIRAL_VIDEO%22%2C%22placeholder_product_id%22%3A%221729427766722726591%22%2C%22placeholder_video_id%22%3A%227630068304346074375%22%7D&amp;ec_shared_reflux_scene=shop_tab_feed&amp;share_item_id=7630068304346074375&amp;source=h5_t" TargetMode="External"/><Relationship Id="rId7520" Type="http://schemas.openxmlformats.org/officeDocument/2006/relationships/hyperlink" Target="https://www.tiktok.com/@edelweiss.sharma" TargetMode="External"/><Relationship Id="rId8851" Type="http://schemas.openxmlformats.org/officeDocument/2006/relationships/hyperlink" Target="https://www.tiktok.com/@belanja_hemat.shop/video/7629926744312548615?_r=1&amp;u_code=ek6h2252jijmih&amp;region=&amp;mid=7395415388382824464&amp;preview_pb=0&amp;sharer_language=&amp;_d=0&amp;ec_shared_reflux_dynamic_params=%7B%22placeholder_material_id%22%3A%227629926744312548615%22%2C%22placeholder_origin_cover%22%3A%22https%253A%252F%252Fp16-sign-sg.tiktokcdn.com%252Ftos-alisg-p-0037%252FogARLXupOi5fMxsvG8GFedRoAQQmGeGAPnfVBh~tplv-tiktokx-origin.jpeg%253Fdr%253D14572%2526refresh_token%253D0bc3ef94%2526x-expires%253D1808992800%2526x-signature%253DCbDvTxf0YgqWOaOAOjYGyzVeMR4%25253D%2526t%253D4d5b0474%2526ps%253D13740610%2526shp%253Dd05b14bd%2526shcp%253D34ff8df6%2526idc%253Dmy2%2526s%253DTIKTOK_AFFILIATE_VIRAL_VIDEO%22%2C%22placeholder_product_id%22%3A%221729427766722726591%22%2C%22placeholder_video_id%22%3A%227629926744312548615%22%7D&amp;ec_shared_reflux_scene=shop_tab_feed&amp;share_item_id=7629926744312548615&amp;source=h5_t" TargetMode="External"/><Relationship Id="rId8850" Type="http://schemas.openxmlformats.org/officeDocument/2006/relationships/hyperlink" Target="https://www.tiktok.com/@belanja_hemat.shop" TargetMode="External"/><Relationship Id="rId7526" Type="http://schemas.openxmlformats.org/officeDocument/2006/relationships/hyperlink" Target="https://www.tiktok.com/@daily_bynancy" TargetMode="External"/><Relationship Id="rId8857" Type="http://schemas.openxmlformats.org/officeDocument/2006/relationships/hyperlink" Target="https://vt.tiktok.com/ZSQeDRTFh/" TargetMode="External"/><Relationship Id="rId7525" Type="http://schemas.openxmlformats.org/officeDocument/2006/relationships/hyperlink" Target="https://vt.tiktok.com/ZSxPpf5Fn/" TargetMode="External"/><Relationship Id="rId8856" Type="http://schemas.openxmlformats.org/officeDocument/2006/relationships/hyperlink" Target="https://vt.tiktok.com/ZSQeDFYer/" TargetMode="External"/><Relationship Id="rId7524" Type="http://schemas.openxmlformats.org/officeDocument/2006/relationships/hyperlink" Target="https://vt.tiktok.com/ZSxQWkQYJ/" TargetMode="External"/><Relationship Id="rId8855" Type="http://schemas.openxmlformats.org/officeDocument/2006/relationships/hyperlink" Target="https://www.tiktok.com/@delladewintaaa" TargetMode="External"/><Relationship Id="rId7523" Type="http://schemas.openxmlformats.org/officeDocument/2006/relationships/hyperlink" Target="https://vt.tiktok.com/ZSxa57L7J/" TargetMode="External"/><Relationship Id="rId8854" Type="http://schemas.openxmlformats.org/officeDocument/2006/relationships/hyperlink" Target="https://www.tiktok.com/@belanja_hemat.shop/video/7630283480441621767?_r=1&amp;u_code=ek6h2252jijmih&amp;region=&amp;mid=7615963521880558357&amp;preview_pb=0&amp;sharer_language=&amp;_d=0&amp;ec_shared_reflux_dynamic_params=%7B%22placeholder_material_id%22%3A%227630283480441621767%22%2C%22placeholder_origin_cover%22%3A%22https%253A%252F%252Fp16-sign-sg.tiktokcdn.com%252Ftos-alisg-p-0037%252FowLgThbTAvZEDmUpRgqBBrYOOEQeQEFIpPa5fD~tplv-tiktokx-origin.jpeg%253Fdr%253D14572%2526refresh_token%253D7028f3e9%2526x-expires%253D1808992800%2526x-signature%253Dm8NIDbYtD8vdd9sCzAcHHhWysZQ%25253D%2526t%253D4d5b0474%2526ps%253D13740610%2526shp%253Dd05b14bd%2526shcp%253D34ff8df6%2526idc%253Dmy2%2526s%253DTIKTOK_AFFILIATE_VIRAL_VIDEO%22%2C%22placeholder_product_id%22%3A%221729427766722726591%22%2C%22placeholder_video_id%22%3A%227630283480441621767%22%7D&amp;ec_shared_reflux_scene=shop_tab_feed&amp;share_item_id=7630283480441621767&amp;source=h5_t" TargetMode="External"/><Relationship Id="rId2700" Type="http://schemas.openxmlformats.org/officeDocument/2006/relationships/hyperlink" Target="https://www.tiktok.com/@intandws_/video/7626194700315135252?is_from_webapp=1&amp;sender_device=pc&amp;web_id=7611930277489657363" TargetMode="External"/><Relationship Id="rId2701" Type="http://schemas.openxmlformats.org/officeDocument/2006/relationships/hyperlink" Target="https://www.tiktok.com/@acikuy" TargetMode="External"/><Relationship Id="rId2702" Type="http://schemas.openxmlformats.org/officeDocument/2006/relationships/hyperlink" Target="https://www.tiktok.com/@intandws_/video/7622670031272348949?is_from_webapp=1&amp;sender_device=pc&amp;web_id=7611930277489657364" TargetMode="External"/><Relationship Id="rId2703" Type="http://schemas.openxmlformats.org/officeDocument/2006/relationships/hyperlink" Target="https://www.tiktok.com/@intandws_/video/7622973710789578005?is_from_webapp=1&amp;sender_device=pc&amp;web_id=7611930277489657364" TargetMode="External"/><Relationship Id="rId2704" Type="http://schemas.openxmlformats.org/officeDocument/2006/relationships/hyperlink" Target="https://www.tiktok.com/@intandws_/video/7625195832924638485?is_from_webapp=1&amp;sender_device=pc&amp;web_id=7611930277489657364" TargetMode="External"/><Relationship Id="rId2705" Type="http://schemas.openxmlformats.org/officeDocument/2006/relationships/hyperlink" Target="https://www.tiktok.com/@intandws_/video/7626194700315135252?is_from_webapp=1&amp;sender_device=pc&amp;web_id=7611930277489657364" TargetMode="External"/><Relationship Id="rId2706" Type="http://schemas.openxmlformats.org/officeDocument/2006/relationships/hyperlink" Target="https://www.tiktok.com/@pilinskiii" TargetMode="External"/><Relationship Id="rId2707" Type="http://schemas.openxmlformats.org/officeDocument/2006/relationships/hyperlink" Target="https://www.tiktok.com/@intandws_/video/7622670031272348949?is_from_webapp=1&amp;sender_device=pc&amp;web_id=7611930277489657365" TargetMode="External"/><Relationship Id="rId2708" Type="http://schemas.openxmlformats.org/officeDocument/2006/relationships/hyperlink" Target="https://www.tiktok.com/@intandws_/video/7622973710789578005?is_from_webapp=1&amp;sender_device=pc&amp;web_id=7611930277489657365" TargetMode="External"/><Relationship Id="rId2709" Type="http://schemas.openxmlformats.org/officeDocument/2006/relationships/hyperlink" Target="https://www.tiktok.com/@intandws_/video/7625195832924638485?is_from_webapp=1&amp;sender_device=pc&amp;web_id=7611930277489657365" TargetMode="External"/><Relationship Id="rId6292" Type="http://schemas.openxmlformats.org/officeDocument/2006/relationships/hyperlink" Target="https://vt.tiktok.com/ZS9aSJuyb/" TargetMode="External"/><Relationship Id="rId6293" Type="http://schemas.openxmlformats.org/officeDocument/2006/relationships/hyperlink" Target="https://vt.tiktok.com/ZSxrRGgwB/" TargetMode="External"/><Relationship Id="rId6290" Type="http://schemas.openxmlformats.org/officeDocument/2006/relationships/hyperlink" Target="https://vt.tiktok.com/ZS96hwagC/" TargetMode="External"/><Relationship Id="rId6291" Type="http://schemas.openxmlformats.org/officeDocument/2006/relationships/hyperlink" Target="https://vt.tiktok.com/ZS9fsaWRX/" TargetMode="External"/><Relationship Id="rId6296" Type="http://schemas.openxmlformats.org/officeDocument/2006/relationships/hyperlink" Target="https://vt.tiktok.com/ZS9MArLmp/" TargetMode="External"/><Relationship Id="rId6297" Type="http://schemas.openxmlformats.org/officeDocument/2006/relationships/hyperlink" Target="https://vt.tiktok.com/ZS9BbR5X2/" TargetMode="External"/><Relationship Id="rId6294" Type="http://schemas.openxmlformats.org/officeDocument/2006/relationships/hyperlink" Target="https://www.tiktok.com/@spalspil646" TargetMode="External"/><Relationship Id="rId6295" Type="http://schemas.openxmlformats.org/officeDocument/2006/relationships/hyperlink" Target="https://vt.tiktok.com/ZS9jM8xdm/" TargetMode="External"/><Relationship Id="rId6298" Type="http://schemas.openxmlformats.org/officeDocument/2006/relationships/hyperlink" Target="https://vt.tiktok.com/ZS9ycs5oc/" TargetMode="External"/><Relationship Id="rId6299" Type="http://schemas.openxmlformats.org/officeDocument/2006/relationships/hyperlink" Target="https://www.tiktok.com/@taritaauliaa" TargetMode="External"/><Relationship Id="rId2720" Type="http://schemas.openxmlformats.org/officeDocument/2006/relationships/hyperlink" Target="https://www.tiktok.com/@intandws_/video/7626194700315135252?is_from_webapp=1&amp;sender_device=pc&amp;web_id=7611930277489657367" TargetMode="External"/><Relationship Id="rId2721" Type="http://schemas.openxmlformats.org/officeDocument/2006/relationships/hyperlink" Target="https://www.tiktok.com/@mbakadeklaris17" TargetMode="External"/><Relationship Id="rId2722" Type="http://schemas.openxmlformats.org/officeDocument/2006/relationships/hyperlink" Target="https://www.tiktok.com/@intandws_/video/7622670031272348949?is_from_webapp=1&amp;sender_device=pc&amp;web_id=7611930277489657368" TargetMode="External"/><Relationship Id="rId2723" Type="http://schemas.openxmlformats.org/officeDocument/2006/relationships/hyperlink" Target="https://www.tiktok.com/@intandws_/video/7622973710789578005?is_from_webapp=1&amp;sender_device=pc&amp;web_id=7611930277489657368" TargetMode="External"/><Relationship Id="rId2724" Type="http://schemas.openxmlformats.org/officeDocument/2006/relationships/hyperlink" Target="https://www.tiktok.com/@intandws_/video/7625195832924638485?is_from_webapp=1&amp;sender_device=pc&amp;web_id=7611930277489657368" TargetMode="External"/><Relationship Id="rId2725" Type="http://schemas.openxmlformats.org/officeDocument/2006/relationships/hyperlink" Target="https://www.tiktok.com/@intandws_/video/7626194700315135252?is_from_webapp=1&amp;sender_device=pc&amp;web_id=7611930277489657368" TargetMode="External"/><Relationship Id="rId2726" Type="http://schemas.openxmlformats.org/officeDocument/2006/relationships/hyperlink" Target="https://www.tiktok.com/@wulansipalingmakeup" TargetMode="External"/><Relationship Id="rId2727" Type="http://schemas.openxmlformats.org/officeDocument/2006/relationships/hyperlink" Target="https://www.tiktok.com/@wulansipalingmakeup/video/7628583406510591252?is_from_webapp=1&amp;sender_device=pc&amp;web_id=7611930277489657360" TargetMode="External"/><Relationship Id="rId2728" Type="http://schemas.openxmlformats.org/officeDocument/2006/relationships/hyperlink" Target="https://www.tiktok.com/@racun_spalspil12/video/7634538878317251861?_r=1&amp;u_code=cllj6j6aidf05b&amp;region=&amp;mid=7622622325444545300&amp;preview_pb=0&amp;sharer_language=&amp;_d=0&amp;ec_shared_reflux_dynamic_params=%7B%22placeholder_material_id%22%3A%227634538878317251861%22%2C%22placeholder_origin_cover%22%3A%22https%253A%252F%252Fp16-common-sign.tiktokcdn.com%252Ftos-alisg-p-0037%252FogxRBBcDpBV3klsFEqh1RAIfEBvzf8XggRILD2~tplv-tiktokx-origin.jpeg%253Fdr%253D14572%2526refresh_token%253Dd3f1925c%2526x-expires%253D1810116000%2526x-signature%253D3MvcVHX%25252BmkUYUX1I4%25252FT4LpIA9b8%25253D%2526t%253D4d5b0474%2526ps%253D13740610%2526shp%253Dd05b14bd%2526shcp%253D34ff8df6%2526idc%253Dmy2%2526s%253DTIKTOK_AFFILIATE_VIRAL_VIDEO%22%2C%22placeholder_product_id%22%3A%221729729730555512511%22%2C%22placeholder_video_id%22%3A%227634538878317251861%22%7D&amp;ec_shared_reflux_scene=shop_tab_feed&amp;share_item_id=7634538878317251861&amp;source=h5_t" TargetMode="External"/><Relationship Id="rId2729" Type="http://schemas.openxmlformats.org/officeDocument/2006/relationships/hyperlink" Target="https://www.tiktok.com/@racun_spalspil12/video/7634538057345027349?_r=1&amp;u_code=cllj6j6aidf05b&amp;region=&amp;mid=7626899689086520072&amp;preview_pb=0&amp;sharer_language=&amp;_d=0&amp;ec_shared_reflux_dynamic_params=%7B%22placeholder_material_id%22%3A%227634538057345027349%22%2C%22placeholder_origin_cover%22%3A%22https%253A%252F%252Fp16-common-sign.tiktokcdn.com%252Ftos-alisg-p-0037%252FocPISpWfQrzI4r5CemTGeDWjdnALF0qAHcbTQU~tplv-tiktokx-origin.jpeg%253Fdr%253D14572%2526refresh_token%253Dd88dbf84%2526x-expires%253D1810116000%2526x-signature%253Dj9wbf6A9oKA4MiCx%25252F6bx0Zy22nc%25253D%2526t%253D4d5b0474%2526ps%253D13740610%2526shp%253Dd05b14bd%2526shcp%253D34ff8df6%2526idc%253Dmy2%2526s%253DTIKTOK_AFFILIATE_VIRAL_VIDEO%22%2C%22placeholder_product_id%22%3A%221729729730555512511%22%2C%22placeholder_video_id%22%3A%227634538057345027349%22%7D&amp;ec_shared_reflux_scene=shop_tab_feed&amp;share_item_id=7634538057345027349&amp;source=h5_t" TargetMode="External"/><Relationship Id="rId2710" Type="http://schemas.openxmlformats.org/officeDocument/2006/relationships/hyperlink" Target="https://www.tiktok.com/@intandws_/video/7626194700315135252?is_from_webapp=1&amp;sender_device=pc&amp;web_id=7611930277489657365" TargetMode="External"/><Relationship Id="rId2711" Type="http://schemas.openxmlformats.org/officeDocument/2006/relationships/hyperlink" Target="https://www.tiktok.com/@crazyvibes314" TargetMode="External"/><Relationship Id="rId2712" Type="http://schemas.openxmlformats.org/officeDocument/2006/relationships/hyperlink" Target="https://www.tiktok.com/@intandws_/video/7622670031272348949?is_from_webapp=1&amp;sender_device=pc&amp;web_id=7611930277489657366" TargetMode="External"/><Relationship Id="rId2713" Type="http://schemas.openxmlformats.org/officeDocument/2006/relationships/hyperlink" Target="https://www.tiktok.com/@intandws_/video/7622973710789578005?is_from_webapp=1&amp;sender_device=pc&amp;web_id=7611930277489657366" TargetMode="External"/><Relationship Id="rId2714" Type="http://schemas.openxmlformats.org/officeDocument/2006/relationships/hyperlink" Target="https://www.tiktok.com/@intandws_/video/7625195832924638485?is_from_webapp=1&amp;sender_device=pc&amp;web_id=7611930277489657366" TargetMode="External"/><Relationship Id="rId2715" Type="http://schemas.openxmlformats.org/officeDocument/2006/relationships/hyperlink" Target="https://www.tiktok.com/@intandws_/video/7626194700315135252?is_from_webapp=1&amp;sender_device=pc&amp;web_id=7611930277489657366" TargetMode="External"/><Relationship Id="rId2716" Type="http://schemas.openxmlformats.org/officeDocument/2006/relationships/hyperlink" Target="https://www.tiktok.com/@acilbeneran" TargetMode="External"/><Relationship Id="rId2717" Type="http://schemas.openxmlformats.org/officeDocument/2006/relationships/hyperlink" Target="https://www.tiktok.com/@intandws_/video/7622670031272348949?is_from_webapp=1&amp;sender_device=pc&amp;web_id=7611930277489657367" TargetMode="External"/><Relationship Id="rId2718" Type="http://schemas.openxmlformats.org/officeDocument/2006/relationships/hyperlink" Target="https://www.tiktok.com/@intandws_/video/7622973710789578005?is_from_webapp=1&amp;sender_device=pc&amp;web_id=7611930277489657367" TargetMode="External"/><Relationship Id="rId2719" Type="http://schemas.openxmlformats.org/officeDocument/2006/relationships/hyperlink" Target="https://www.tiktok.com/@intandws_/video/7625195832924638485?is_from_webapp=1&amp;sender_device=pc&amp;web_id=7611930277489657367" TargetMode="External"/><Relationship Id="rId7591" Type="http://schemas.openxmlformats.org/officeDocument/2006/relationships/hyperlink" Target="https://www.tiktok.com/@pinkky430" TargetMode="External"/><Relationship Id="rId6260" Type="http://schemas.openxmlformats.org/officeDocument/2006/relationships/hyperlink" Target="https://www.tiktok.com/@justnedder" TargetMode="External"/><Relationship Id="rId7590" Type="http://schemas.openxmlformats.org/officeDocument/2006/relationships/hyperlink" Target="https://vt.tiktok.com/ZSx4akLVU/" TargetMode="External"/><Relationship Id="rId6263" Type="http://schemas.openxmlformats.org/officeDocument/2006/relationships/hyperlink" Target="https://www.tiktok.com/@mittaaprilia" TargetMode="External"/><Relationship Id="rId7595" Type="http://schemas.openxmlformats.org/officeDocument/2006/relationships/hyperlink" Target="https://www.tiktok.com/@elvbryss_/video/7638116167537806610?_r=1&amp;u_code=e5acj8kam4kg3g&amp;region=&amp;mid=7395415388382824464&amp;preview_pb=0&amp;sharer_language=&amp;_d=0&amp;ec_shared_reflux_dynamic_params=%7B%22placeholder_material_id%22%3A%227638116167537806610%22%2C%22placeholder_origin_cover%22%3A%22https%253A%252F%252Fp16-common-sign.tiktokcdn.com%252Ftos-alisg-p-0037%252Fo4aAPAQyjIYgsBVMn8ipKi8BIECdBDsAAK2aX~tplv-tiktokx-origin.jpeg%253Fdr%253D14572%2526refresh_token%253De6592efa%2526x-expires%253D1810116000%2526x-signature%253DZO%25252BRgTMF5A15OfbVp%25252BumE%25252FS%25252Fzq0%25253D%2526t%253D4d5b0474%2526ps%253D13740610%2526shp%253Dd05b14bd%2526shcp%253D34ff8df6%2526idc%253Dmy2%2526s%253DTIKTOK_AFFILIATE_VIRAL_VIDEO%22%2C%22placeholder_product_id%22%3A%221729729730555512511%22%2C%22placeholder_video_id%22%3A%227638116167537806610%22%7D&amp;ec_shared_reflux_scene=shop_tab_feed&amp;share_item_id=7638116167537806610&amp;source=h5_t" TargetMode="External"/><Relationship Id="rId6264" Type="http://schemas.openxmlformats.org/officeDocument/2006/relationships/hyperlink" Target="https://vt.tiktok.com/ZS9yp16xC/" TargetMode="External"/><Relationship Id="rId7594" Type="http://schemas.openxmlformats.org/officeDocument/2006/relationships/hyperlink" Target="https://www.tiktok.com/@elvbryss_/video/7637871082502032648?_r=1&amp;u_code=e5acj8kam4kg3g&amp;region=&amp;mid=7537634583521871889&amp;preview_pb=0&amp;sharer_language=&amp;_d=0&amp;ec_shared_reflux_dynamic_params=%7B%22placeholder_material_id%22%3A%227637871082502032648%22%2C%22placeholder_origin_cover%22%3A%22https%253A%252F%252Fp16-common-sign.tiktokcdn.com%252Ftos-alisg-p-0037%252FoUnfwQnQGysYlFKrAIe0A5CXYLVmcnGRHfoGOf~tplv-tiktokx-origin.jpeg%253Fdr%253D14572%2526refresh_token%253D1a141f59%2526x-expires%253D1810116000%2526x-signature%253DRiw6pTOkErulVnTMQikYhx8HRNo%25253D%2526t%253D4d5b0474%2526ps%253D13740610%2526shp%253Dd05b14bd%2526shcp%253D34ff8df6%2526idc%253Dmy2%2526s%253DTIKTOK_AFFILIATE_VIRAL_VIDEO%22%2C%22placeholder_product_id%22%3A%221729729730555512511%22%2C%22placeholder_video_id%22%3A%227637871082502032648%22%7D&amp;ec_shared_reflux_scene=shop_tab_feed&amp;share_item_id=7637871082502032648&amp;source=h5_t" TargetMode="External"/><Relationship Id="rId6261" Type="http://schemas.openxmlformats.org/officeDocument/2006/relationships/hyperlink" Target="https://vt.tiktok.com/ZS9yp16xC/" TargetMode="External"/><Relationship Id="rId7593" Type="http://schemas.openxmlformats.org/officeDocument/2006/relationships/hyperlink" Target="https://www.tiktok.com/@Elvbryss_" TargetMode="External"/><Relationship Id="rId6262" Type="http://schemas.openxmlformats.org/officeDocument/2006/relationships/hyperlink" Target="https://vt.tiktok.com/ZS9QFXV9x/" TargetMode="External"/><Relationship Id="rId7592" Type="http://schemas.openxmlformats.org/officeDocument/2006/relationships/hyperlink" Target="https://www.tiktok.com/@pinkky430/video/7641426181090331911?_r=1&amp;u_code=df51dbgkhamkj5&amp;region=&amp;mid=7633007995021970183&amp;preview_pb=0&amp;sharer_language=&amp;_d=0&amp;ec_shared_reflux_dynamic_params=%7B%22placeholder_material_id%22%3A%227641426181090331911%22%2C%22placeholder_origin_cover%22%3A%22https%253A%252F%252Fp16-common-sign.tiktokcdn.com%252Ftos-alisg-p-0037%252FoILEIYBgt8wA8L3iOzja5VA1AKP4Bvi8vuIug~tplv-tiktokx-origin.jpeg%253Fdr%253D14572%2526refresh_token%253Da814c2f3%2526x-expires%253D1810717200%2526x-signature%253DFXP3PNVSGqkVm6GgMRs%25252FBn4UIW8%25253D%2526t%253D4d5b0474%2526ps%253D13740610%2526shp%253Dd05b14bd%2526shcp%253D34ff8df6%2526idc%253Dmy3%2526s%253DTIKTOK_AFFILIATE_VIRAL_VIDEO%22%2C%22placeholder_product_id%22%3A%221729427766722726591%22%2C%22placeholder_video_id%22%3A%227641426181090331911%22%7D&amp;ec_shared_reflux_scene=shop_tab_feed&amp;share_item_id=7641426181090331911&amp;source=h5_t" TargetMode="External"/><Relationship Id="rId6267" Type="http://schemas.openxmlformats.org/officeDocument/2006/relationships/hyperlink" Target="https://vt.tiktok.com/ZS9yp16xC/" TargetMode="External"/><Relationship Id="rId7599" Type="http://schemas.openxmlformats.org/officeDocument/2006/relationships/hyperlink" Target="https://vt.tiktok.com/ZSxAu9C4E/" TargetMode="External"/><Relationship Id="rId6268" Type="http://schemas.openxmlformats.org/officeDocument/2006/relationships/hyperlink" Target="https://vt.tiktok.com/ZS9QFXV9x/" TargetMode="External"/><Relationship Id="rId7598" Type="http://schemas.openxmlformats.org/officeDocument/2006/relationships/hyperlink" Target="https://www.tiktok.com/@ms_prillll" TargetMode="External"/><Relationship Id="rId6265" Type="http://schemas.openxmlformats.org/officeDocument/2006/relationships/hyperlink" Target="https://vt.tiktok.com/ZS9QFXV9x/" TargetMode="External"/><Relationship Id="rId7597" Type="http://schemas.openxmlformats.org/officeDocument/2006/relationships/hyperlink" Target="https://www.tiktok.com/@elvbryss_/video/7639598981466606855?_r=1&amp;u_code=e5acj8kam4kg3g&amp;region=&amp;mid=7514003816174454785&amp;preview_pb=0&amp;sharer_language=&amp;_d=0&amp;ec_shared_reflux_dynamic_params=%7B%22placeholder_material_id%22%3A%227639598981466606855%22%2C%22placeholder_origin_cover%22%3A%22https%253A%252F%252Fp16-common-sign.tiktokcdn.com%252Ftos-alisg-p-0037%252FoMpFRRwAfAIS2cILBBI1rtAhTiAqiCqwsqtIQ7~tplv-tiktokx-origin.jpeg%253Fdr%253D14572%2526refresh_token%253D9012c93c%2526x-expires%253D1810717200%2526x-signature%253DSlbLntQ7rWyx7GlwaUR0bmXJ%25252FBE%25253D%2526t%253D4d5b0474%2526ps%253D13740610%2526shp%253Dd05b14bd%2526shcp%253D34ff8df6%2526idc%253Dmy3%2526s%253DTIKTOK_AFFILIATE_VIRAL_VIDEO%22%2C%22placeholder_product_id%22%3A%221729729730555512511%22%2C%22placeholder_video_id%22%3A%227639598981466606855%22%7D&amp;ec_shared_reflux_scene=shop_tab_feed&amp;share_item_id=7639598981466606855&amp;source=h5_t" TargetMode="External"/><Relationship Id="rId6266" Type="http://schemas.openxmlformats.org/officeDocument/2006/relationships/hyperlink" Target="https://www.tiktok.com/@nurul_aini280902" TargetMode="External"/><Relationship Id="rId7596" Type="http://schemas.openxmlformats.org/officeDocument/2006/relationships/hyperlink" Target="https://www.tiktok.com/@elvbryss_/video/7639217170785799442?_r=1&amp;u_code=e5acj8kam4kg3g&amp;region=&amp;mid=7484196974293649424&amp;preview_pb=0&amp;sharer_language=&amp;_d=0&amp;ec_shared_reflux_dynamic_params=%7B%22placeholder_material_id%22%3A%227639217170785799442%22%2C%22placeholder_origin_cover%22%3A%22https%253A%252F%252Fp16-common-sign.tiktokcdn.com%252Ftos-alisg-p-0037%252FocKIAEfBjJWIUA8fDVpBQf5UpqPDICFq47LDuK~tplv-tiktokx-origin.jpeg%253Fdr%253D14572%2526refresh_token%253D2cfbcecf%2526x-expires%253D1810195200%2526x-signature%253DsEMwAK1v5qEMVQe2XrGlj%25252B1W4tk%25253D%2526t%253D4d5b0474%2526ps%253D13740610%2526shp%253Dd05b14bd%2526shcp%253D34ff8df6%2526idc%253Dmy2%2526s%253DTIKTOK_AFFILIATE_VIRAL_VIDEO%22%2C%22placeholder_product_id%22%3A%221729729730555512511%22%2C%22placeholder_video_id%22%3A%227639217170785799442%22%7D&amp;ec_shared_reflux_scene=shop_tab_feed&amp;share_item_id=7639217170785799442&amp;source=h5_t" TargetMode="External"/><Relationship Id="rId6269" Type="http://schemas.openxmlformats.org/officeDocument/2006/relationships/hyperlink" Target="https://www.tiktok.com/@dasteranforlife" TargetMode="External"/><Relationship Id="rId7580" Type="http://schemas.openxmlformats.org/officeDocument/2006/relationships/hyperlink" Target="https://www.tiktok.com/@fitriahmad.888/video/7638655698372414727?_r=1&amp;u_code=ec5368bfg8m7df&amp;region=&amp;mid=7315537737233942529&amp;preview_pb=0&amp;sharer_language=&amp;_d=0&amp;ec_shared_reflux_dynamic_params=%7B%22placeholder_material_id%22%3A%227638655698372414727%22%2C%22placeholder_origin_cover%22%3A%22https%253A%252F%252Fp16-common-sign.tiktokcdn.com%252Ftos-alisg-p-0037%252FoYOCAAbq7IAP7Wm2hu9pBfBj8wix6AB41IEIIi~tplv-tiktokx-origin.jpeg%253Fdr%253D14572%2526refresh_token%253Da5d24f21%2526x-expires%253D1810116000%2526x-signature%253DUFfQQdoPZr6MBvIkMNtfBxPVTuU%25253D%2526t%253D4d5b0474%2526ps%253D13740610%2526shp%253Dd05b14bd%2526shcp%253D34ff8df6%2526idc%253Dmy2%2526s%253DTIKTOK_AFFILIATE_VIRAL_VIDEO%22%2C%22placeholder_product_id%22%3A%221729427766722726591%22%2C%22placeholder_video_id%22%3A%227638655698372414727%22%7D&amp;ec_shared_reflux_scene=shop_tab_feed&amp;share_item_id=7638655698372414727&amp;source=h5_t" TargetMode="External"/><Relationship Id="rId6252" Type="http://schemas.openxmlformats.org/officeDocument/2006/relationships/hyperlink" Target="https://www.tiktok.com/@aiiross2" TargetMode="External"/><Relationship Id="rId7584" Type="http://schemas.openxmlformats.org/officeDocument/2006/relationships/hyperlink" Target="https://www.tiktok.com/@robiatul.adawiyah410/video/7638125977171725588?_r=1&amp;u_code=df95mmc52h46ge&amp;region=&amp;mid=7613789554936416273&amp;preview_pb=0&amp;sharer_language=&amp;_d=0&amp;ec_shared_reflux_dynamic_params=%7B%22placeholder_material_id%22%3A%227638125977171725588%22%2C%22placeholder_origin_cover%22%3A%22https%253A%252F%252Fp16-common-sign.tiktokcdn.com%252Ftos-alisg-p-0037%252FocIFAvCEYAdIE0JQXAjiiigybjBaugAZBuR4E~tplv-tiktokx-origin.jpeg%253Fdr%253D14572%2526refresh_token%253D58742b2c%2526x-expires%253D1810116000%2526x-signature%253Dn0vQxH6vriTfCwN2xluDY4gHn%25252Fw%25253D%2526t%253D4d5b0474%2526ps%253D13740610%2526shp%253Dd05b14bd%2526shcp%253D34ff8df6%2526idc%253Dmy2%2526s%253DTIKTOK_AFFILIATE_VIRAL_VIDEO%22%2C%22placeholder_product_id%22%3A%221729427766722726591%22%2C%22placeholder_video_id%22%3A%227638125977171725588%22%7D&amp;ec_shared_reflux_scene=shop_tab_feed&amp;share_item_id=7638125977171725588&amp;source=h5_t" TargetMode="External"/><Relationship Id="rId6253" Type="http://schemas.openxmlformats.org/officeDocument/2006/relationships/hyperlink" Target="https://vt.tiktok.com/ZS9yp16xC/" TargetMode="External"/><Relationship Id="rId7583" Type="http://schemas.openxmlformats.org/officeDocument/2006/relationships/hyperlink" Target="https://www.tiktok.com/@robiatul.adawiyah410/video/7637702818954071317?_r=1&amp;u_code=df95mmc52h46ge&amp;region=&amp;mid=7559668009858631696&amp;preview_pb=0&amp;sharer_language=&amp;_d=0&amp;ec_shared_reflux_dynamic_params=%7B%22placeholder_material_id%22%3A%227637702818954071317%22%2C%22placeholder_origin_cover%22%3A%22https%253A%252F%252Fp16-common-sign.tiktokcdn.com%252Ftos-alisg-p-0037%252FoAD4FEmFIQJfpFGIU4ffHiqJcOjoCjA79TQpAD~tplv-tiktokx-origin.jpeg%253Fdr%253D14572%2526refresh_token%253Da6e5e2a7%2526x-expires%253D1810116000%2526x-signature%253D29I6PN7JqXyiU4JBoNzS%25252Fv8%25252BZzM%25253D%2526t%253D4d5b0474%2526ps%253D13740610%2526shp%253Dd05b14bd%2526shcp%253D34ff8df6%2526idc%253Dmy2%2526s%253DTIKTOK_AFFILIATE_VIRAL_VIDEO%22%2C%22placeholder_product_id%22%3A%221729427766722726591%22%2C%22placeholder_video_id%22%3A%227637702818954071317%22%7D&amp;ec_shared_reflux_scene=shop_tab_feed&amp;share_item_id=7637702818954071317&amp;source=h5_t" TargetMode="External"/><Relationship Id="rId6250" Type="http://schemas.openxmlformats.org/officeDocument/2006/relationships/hyperlink" Target="https://vt.tiktok.com/ZS9yp16xC/" TargetMode="External"/><Relationship Id="rId7582" Type="http://schemas.openxmlformats.org/officeDocument/2006/relationships/hyperlink" Target="https://www.tiktok.com/@Nuyuydyn" TargetMode="External"/><Relationship Id="rId6251" Type="http://schemas.openxmlformats.org/officeDocument/2006/relationships/hyperlink" Target="https://vt.tiktok.com/ZS9QFXV9x/" TargetMode="External"/><Relationship Id="rId7581" Type="http://schemas.openxmlformats.org/officeDocument/2006/relationships/hyperlink" Target="https://vt.tiktok.com/ZS931qXPu/" TargetMode="External"/><Relationship Id="rId6256" Type="http://schemas.openxmlformats.org/officeDocument/2006/relationships/hyperlink" Target="https://vt.tiktok.com/ZS9PP3QN6/" TargetMode="External"/><Relationship Id="rId7588" Type="http://schemas.openxmlformats.org/officeDocument/2006/relationships/hyperlink" Target="https://www.tiktok.com/@rf.1924/video/7639590144869289236?_r=1&amp;u_code=dk2km1e81fh51j&amp;region=ID&amp;mid=7633025529696897041&amp;preview_pb=0&amp;sharer_language=id&amp;_d=f036h3hd30d7ba&amp;share_item_id=7639590144869289236&amp;source=h5_t&amp;timestamp=1778730741&amp;user_id=6993539096086807554&amp;sec_user_id=MS4wLjABAAAA_btqfHxVXjYeUYzFQaHktUtoG-ByGBb4p93KngVyxkyKfXpN0eZ5Hu_1ndqaxSWK&amp;item_author_type=1&amp;social_share_type=0&amp;utm_source=copy&amp;utm_campaign=client_share&amp;utm_medium=android&amp;share_iid=7636960786519721744&amp;share_link_id=4c606305-655e-4e54-9fa9-c58382425477&amp;share_app_id=1180&amp;ugbiz_name=MAIN&amp;ug_btm=b2001&amp;sp_root_share_link_id=4c606305-655e-4e54-9fa9-c58382425477&amp;link_reflow_popup_iteration_sharer=%7B%22click_empty_to_play%22%3A1%2C%22dynamic_cover%22%3A1%2C%22follow_to_play_duration%22%3A-1.0%2C%22profile_clickable%22%3A1%7D&amp;enable_checksum=1&amp;sp_level=1&amp;sp_root_u=dk2km1e81fh51j&amp;sp_root_d=f036h3hd30d7ba" TargetMode="External"/><Relationship Id="rId6257" Type="http://schemas.openxmlformats.org/officeDocument/2006/relationships/hyperlink" Target="https://vt.tiktok.com/ZS9P5uqr2/" TargetMode="External"/><Relationship Id="rId7587" Type="http://schemas.openxmlformats.org/officeDocument/2006/relationships/hyperlink" Target="https://www.tiktok.com/@rf.1924" TargetMode="External"/><Relationship Id="rId6254" Type="http://schemas.openxmlformats.org/officeDocument/2006/relationships/hyperlink" Target="https://vt.tiktok.com/ZS9QFXV9x/" TargetMode="External"/><Relationship Id="rId7586" Type="http://schemas.openxmlformats.org/officeDocument/2006/relationships/hyperlink" Target="https://vt.tiktok.com/ZS9c6Hkag/" TargetMode="External"/><Relationship Id="rId6255" Type="http://schemas.openxmlformats.org/officeDocument/2006/relationships/hyperlink" Target="https://www.tiktok.com/@30juni_cancergirl" TargetMode="External"/><Relationship Id="rId7585" Type="http://schemas.openxmlformats.org/officeDocument/2006/relationships/hyperlink" Target="https://vt.tiktok.com/ZS9n9YLfk/" TargetMode="External"/><Relationship Id="rId6258" Type="http://schemas.openxmlformats.org/officeDocument/2006/relationships/hyperlink" Target="https://vt.tiktok.com/ZS94FpHgk/" TargetMode="External"/><Relationship Id="rId6259" Type="http://schemas.openxmlformats.org/officeDocument/2006/relationships/hyperlink" Target="https://vt.tiktok.com/ZS94FgD4G/" TargetMode="External"/><Relationship Id="rId7589" Type="http://schemas.openxmlformats.org/officeDocument/2006/relationships/hyperlink" Target="https://www.tiktok.com/@rf.1924/video/7639590144869289236?_r=1&amp;u_code=dk2km1e81fh51j&amp;region=ID&amp;mid=7633025529696897041&amp;preview_pb=0&amp;sharer_language=id&amp;_d=f036h3hd30d7ba&amp;share_item_id=7639590144869289236&amp;source=h5_t&amp;timestamp=1778730741&amp;user_id=6993539096086807554&amp;sec_user_id=MS4wLjABAAAA_btqfHxVXjYeUYzFQaHktUtoG-ByGBb4p93KngVyxkyKfXpN0eZ5Hu_1ndqaxSWK&amp;item_author_type=1&amp;social_share_type=0&amp;utm_source=copy&amp;utm_campaign=client_share&amp;utm_medium=android&amp;share_iid=7636960786519721744&amp;share_link_id=4c606305-655e-4e54-9fa9-c58382425477&amp;share_app_id=1180&amp;ugbiz_name=MAIN&amp;ug_btm=b2001&amp;sp_root_share_link_id=4c606305-655e-4e54-9fa9-c58382425477&amp;link_reflow_popup_iteration_sharer=%7B%22click_empty_to_play%22%3A1%2C%22dynamic_cover%22%3A1%2C%22follow_to_play_duration%22%3A-1.0%2C%22profile_clickable%22%3A1%7D&amp;enable_checksum=1&amp;sp_level=1&amp;sp_root_u=dk2km1e81fh51j&amp;sp_root_d=f036h3hd30d7ba" TargetMode="External"/><Relationship Id="rId6281" Type="http://schemas.openxmlformats.org/officeDocument/2006/relationships/hyperlink" Target="https://vt.tiktok.com/ZS9yp16xC/" TargetMode="External"/><Relationship Id="rId6282" Type="http://schemas.openxmlformats.org/officeDocument/2006/relationships/hyperlink" Target="https://vt.tiktok.com/ZS9QFXV9x/" TargetMode="External"/><Relationship Id="rId6280" Type="http://schemas.openxmlformats.org/officeDocument/2006/relationships/hyperlink" Target="https://www.tiktok.com/@mamashanea17" TargetMode="External"/><Relationship Id="rId6285" Type="http://schemas.openxmlformats.org/officeDocument/2006/relationships/hyperlink" Target="https://vt.tiktok.com/ZS9QFXV9x/" TargetMode="External"/><Relationship Id="rId6286" Type="http://schemas.openxmlformats.org/officeDocument/2006/relationships/hyperlink" Target="https://www.tiktok.com/@Siska285" TargetMode="External"/><Relationship Id="rId6283" Type="http://schemas.openxmlformats.org/officeDocument/2006/relationships/hyperlink" Target="https://www.tiktok.com/@yumnafa0411" TargetMode="External"/><Relationship Id="rId6284" Type="http://schemas.openxmlformats.org/officeDocument/2006/relationships/hyperlink" Target="https://vt.tiktok.com/ZS9yp16xC/" TargetMode="External"/><Relationship Id="rId6289" Type="http://schemas.openxmlformats.org/officeDocument/2006/relationships/hyperlink" Target="https://www.tiktok.com/@nurndh" TargetMode="External"/><Relationship Id="rId6287" Type="http://schemas.openxmlformats.org/officeDocument/2006/relationships/hyperlink" Target="https://vt.tiktok.com/ZS9yp16xC/" TargetMode="External"/><Relationship Id="rId6288" Type="http://schemas.openxmlformats.org/officeDocument/2006/relationships/hyperlink" Target="https://vt.tiktok.com/ZS9QFXV9x/" TargetMode="External"/><Relationship Id="rId6270" Type="http://schemas.openxmlformats.org/officeDocument/2006/relationships/hyperlink" Target="https://vt.tiktok.com/ZS9yp16xC/" TargetMode="External"/><Relationship Id="rId6271" Type="http://schemas.openxmlformats.org/officeDocument/2006/relationships/hyperlink" Target="https://vt.tiktok.com/ZS9QFXV9x/" TargetMode="External"/><Relationship Id="rId6274" Type="http://schemas.openxmlformats.org/officeDocument/2006/relationships/hyperlink" Target="https://www.tiktok.com/@heinia_/video/7634032791340027157?_r=1&amp;u_code=e4hl6971b0dbii&amp;region=&amp;mid=7634032823510993672&amp;preview_pb=0&amp;sharer_language=&amp;_d=0&amp;ec_shared_reflux_dynamic_params=%7B%22placeholder_material_id%22%3A%227634032791340027157%22%2C%22placeholder_origin_cover%22%3A%22https%253A%252F%252Fp16-common-sign.tiktokcdn.com%252Ftos-alisg-p-0037%252Fo0BiICADIBIuHHHkAP5ExIG30GbiUBoOfBiwAA~tplv-tiktokx-origin.jpeg%253Fdr%253D14572%2526refresh_token%253D9ad04429%2526x-expires%253D1809504000%2526x-signature%253DFLiepsU6HovUuhPDLPh%25252FVfBc0tw%25253D%2526t%253D4d5b0474%2526ps%253D13740610%2526shp%253Dd05b14bd%2526shcp%253D34ff8df6%2526idc%253Dmy%2526s%253DTIKTOK_AFFILIATE_VIRAL_VIDEO%22%2C%22placeholder_product_id%22%3A%221729427766722726591%22%2C%22placeholder_video_id%22%3A%227634032791340027157%22%7D&amp;ec_shared_reflux_scene=shop_tab_feed&amp;share_item_id=7634032791340027157&amp;source=h5_t" TargetMode="External"/><Relationship Id="rId6275" Type="http://schemas.openxmlformats.org/officeDocument/2006/relationships/hyperlink" Target="https://vt.tiktok.com/ZSxWyvu9P/" TargetMode="External"/><Relationship Id="rId6272" Type="http://schemas.openxmlformats.org/officeDocument/2006/relationships/hyperlink" Target="https://www.tiktok.com/@heinia_" TargetMode="External"/><Relationship Id="rId6273" Type="http://schemas.openxmlformats.org/officeDocument/2006/relationships/hyperlink" Target="https://www.tiktok.com/@heinia_/video/7633233059671821588?_r=1&amp;u_code=e4hl6971b0dbii&amp;region=&amp;mid=7633233164576983816&amp;preview_pb=0&amp;sharer_language=&amp;_d=0&amp;ec_shared_reflux_dynamic_params=%7B%22placeholder_material_id%22%3A%227633233059671821588%22%2C%22placeholder_origin_cover%22%3A%22https%253A%252F%252Fp16-common-sign.tiktokcdn.com%252Ftos-alisg-p-0037%252Fok5QjSeXDGY3U4EdUWL3AHQIjAzeCjxeIJCTBW~tplv-tiktokx-origin.jpeg%253Fdr%253D14572%2526refresh_token%253Db7e39556%2526x-expires%253D1809504000%2526x-signature%253DiIpzR%25252B4jaoPEpr%25252BhMem%25252BxA4%25252Bwy0%25253D%2526t%253D4d5b0474%2526ps%253D13740610%2526shp%253Dd05b14bd%2526shcp%253D34ff8df6%2526idc%253Dmy%2526s%253DTIKTOK_AFFILIATE_VIRAL_VIDEO%22%2C%22placeholder_product_id%22%3A%221729427766722726591%22%2C%22placeholder_video_id%22%3A%227633233059671821588%22%7D&amp;ec_shared_reflux_scene=shop_tab_feed&amp;share_item_id=7633233059671821588&amp;source=h5_t" TargetMode="External"/><Relationship Id="rId6278" Type="http://schemas.openxmlformats.org/officeDocument/2006/relationships/hyperlink" Target="https://vt.tiktok.com/ZS9yp16xC/" TargetMode="External"/><Relationship Id="rId6279" Type="http://schemas.openxmlformats.org/officeDocument/2006/relationships/hyperlink" Target="https://vt.tiktok.com/ZS9QFXV9x/" TargetMode="External"/><Relationship Id="rId6276" Type="http://schemas.openxmlformats.org/officeDocument/2006/relationships/hyperlink" Target="https://vt.tiktok.com/ZSxWyobBp/." TargetMode="External"/><Relationship Id="rId6277" Type="http://schemas.openxmlformats.org/officeDocument/2006/relationships/hyperlink" Target="https://www.tiktok.com/@a.etikk" TargetMode="External"/><Relationship Id="rId1455" Type="http://schemas.openxmlformats.org/officeDocument/2006/relationships/hyperlink" Target="https://www.tiktok.com/@maheera_makeup" TargetMode="External"/><Relationship Id="rId2786" Type="http://schemas.openxmlformats.org/officeDocument/2006/relationships/hyperlink" Target="https://www.tiktok.com/@linaherlinashopp" TargetMode="External"/><Relationship Id="rId1456" Type="http://schemas.openxmlformats.org/officeDocument/2006/relationships/hyperlink" Target="https://www.tiktok.com/@icha7721/video/7612990118462360850?_r=1&amp;u_code=e59fc6bfdb6373&amp;region=&amp;mid=7070111883117742081&amp;preview_pb=0&amp;sharer_language=&amp;_d=0&amp;ec_shared_reflux_dynamic_params=%7B%22placeholder_material_id%22%3A%227612990118462360850%22%2C%22placeholder_origin_cover%22%3A%22https%253A%252F%252Fp16-sign-sg.tiktokcdn.com%252Ftos-alisg-p-0037%252FoQQNQDBJRjVpAyDp0FtffD8UyUsE4EqgcxsGBy~tplv-tiktokx-origin.jpeg%253Fdr%253D14572%2526refresh_token%253Dc067df89%2526x-expires%253D1806055200%2526x-signature%253DBfc4M%25252BXi1ZSLXPSaSj8LKJF8Vws%25253D%2526t%253D4d5b0474%2526ps%253D13740610%2526shp%253Dd05b14bd%2526shcp%253D34ff8df6%2526idc%253Dmy2%2526s%253DTIKTOK_AFFILIATE_VIRAL_VIDEO%22%2C%22placeholder_product_id%22%3A%221729427766722726591%22%2C%22placeholder_video_id%22%3A%227612990118462360850%22%7D&amp;ec_shared_reflux_scene=shop_tab_feed&amp;share_item_id=7612990118462360850&amp;source=h5_t" TargetMode="External"/><Relationship Id="rId2787" Type="http://schemas.openxmlformats.org/officeDocument/2006/relationships/hyperlink" Target="https://vt.tiktok.com/ZS98No1g5/" TargetMode="External"/><Relationship Id="rId1457" Type="http://schemas.openxmlformats.org/officeDocument/2006/relationships/hyperlink" Target="https://www.tiktok.com/@waroengserbamurah/video/7609237180044676372?_r=1&amp;u_code=di6ce8079l4acg&amp;region=&amp;mid=7609237237896956689&amp;preview_pb=0&amp;sharer_language=&amp;_d=0&amp;ec_shared_reflux_dynamic_params=%7B%22placeholder_material_id%22%3A%227609237180044676372%22%2C%22placeholder_origin_cover%22%3A%22https%253A%252F%252Fp16-sign-sg.tiktokcdn.com%252Ftos-alisg-p-0037%252Fos5BRfmJguAQqZGAAGMYQbT2cew0O1mleGS4Fe~tplv-tiktokx-origin.jpeg%253Fdr%253D14572%2526refresh_token%253Dc1b9157e%2526x-expires%253D1806055200%2526x-signature%253D5AoAWzHng29R%25252FgMXOshfSMESKAk%25253D%2526t%253D4d5b0474%2526ps%253D13740610%2526shp%253Dd05b14bd%2526shcp%253D34ff8df6%2526idc%253Dmy2%2526s%253DTIKTOK_AFFILIATE_VIRAL_VIDEO%22%2C%22placeholder_product_id%22%3A%221729427766722726591%22%2C%22placeholder_video_id%22%3A%227609237180044676372%22%7D&amp;ec_shared_reflux_scene=shop_tab_feed&amp;share_item_id=7609237180044676372&amp;source=h5_t" TargetMode="External"/><Relationship Id="rId2788" Type="http://schemas.openxmlformats.org/officeDocument/2006/relationships/hyperlink" Target="https://vt.tiktok.com/ZS989wGDf/" TargetMode="External"/><Relationship Id="rId1458" Type="http://schemas.openxmlformats.org/officeDocument/2006/relationships/hyperlink" Target="https://www.tiktok.com/@waroengserbamurah/video/7608947616704908564?_r=1&amp;u_code=di6ce8079l4acg&amp;region=&amp;mid=7608947655879740180&amp;preview_pb=0&amp;sharer_language=&amp;_d=0&amp;ec_shared_reflux_dynamic_params=%7B%22placeholder_material_id%22%3A%227608947616704908564%22%2C%22placeholder_origin_cover%22%3A%22https%253A%252F%252Fp16-sign-sg.tiktokcdn.com%252Ftos-alisg-p-0037%252FosAAYiu8SzbZBab9IfwADQC3wqiKAWoIJ0jHIP~tplv-tiktokx-origin.jpeg%253Fdr%253D14572%2526refresh_token%253Dd5a98910%2526x-expires%253D1806055200%2526x-signature%253DM2MXascBuVzrI4Wrd%25252F4sSeNfiek%25253D%2526t%253D4d5b0474%2526ps%253D13740610%2526shp%253Dd05b14bd%2526shcp%253D34ff8df6%2526idc%253Dmy2%2526s%253DTIKTOK_AFFILIATE_VIRAL_VIDEO%22%2C%22placeholder_product_id%22%3A%221729427766722726591%22%2C%22placeholder_video_id%22%3A%227608947616704908564%22%7D&amp;ec_shared_reflux_scene=shop_tab_feed&amp;share_item_id=7608947616704908564&amp;source=h5_t" TargetMode="External"/><Relationship Id="rId2789" Type="http://schemas.openxmlformats.org/officeDocument/2006/relationships/hyperlink" Target="https://vt.tiktok.com/ZS9897G14/" TargetMode="External"/><Relationship Id="rId1459" Type="http://schemas.openxmlformats.org/officeDocument/2006/relationships/hyperlink" Target="https://www.tiktok.com/@waroengserbamurah/video/7608650054051630356?_r=1&amp;u_code=di6ce8079l4acg&amp;region=&amp;mid=7608650091399105288&amp;preview_pb=0&amp;sharer_language=&amp;_d=0&amp;ec_shared_reflux_dynamic_params=%7B%22placeholder_material_id%22%3A%227608650054051630356%22%2C%22placeholder_origin_cover%22%3A%22https%253A%252F%252Fp16-sign-sg.tiktokcdn.com%252Ftos-alisg-p-0037%252FoIYVvEIIAvLiqad0EWUzZ8aYizPSXQAVBILAB~tplv-tiktokx-origin.jpeg%253Fdr%253D14572%2526refresh_token%253D3c51e040%2526x-expires%253D1806055200%2526x-signature%253D%25252Bo%25252Bgxgwja7OA0Jx0QJ7stZqSp%25252FU%25253D%2526t%253D4d5b0474%2526ps%253D13740610%2526shp%253Dd05b14bd%2526shcp%253D34ff8df6%2526idc%253Dmy2%2526s%253DTIKTOK_AFFILIATE_VIRAL_VIDEO%22%2C%22placeholder_product_id%22%3A%221729427766722726591%22%2C%22placeholder_video_id%22%3A%227608650054051630356%22%7D&amp;ec_shared_reflux_scene=shop_tab_feed&amp;share_item_id=7608650054051630356&amp;source=h5_t" TargetMode="External"/><Relationship Id="rId629" Type="http://schemas.openxmlformats.org/officeDocument/2006/relationships/hyperlink" Target="https://www.tiktok.com/@itsmeevaniii" TargetMode="External"/><Relationship Id="rId624" Type="http://schemas.openxmlformats.org/officeDocument/2006/relationships/hyperlink" Target="https://vt.tiktok.com/ZS9qrM4VV/" TargetMode="External"/><Relationship Id="rId623" Type="http://schemas.openxmlformats.org/officeDocument/2006/relationships/hyperlink" Target="https://vt.tiktok.com/ZSu5nsNdC/" TargetMode="External"/><Relationship Id="rId622" Type="http://schemas.openxmlformats.org/officeDocument/2006/relationships/hyperlink" Target="https://vt.tiktok.com/ZSmyYdT5N/" TargetMode="External"/><Relationship Id="rId621" Type="http://schemas.openxmlformats.org/officeDocument/2006/relationships/hyperlink" Target="https://www.tiktok.com/@popynoviana_" TargetMode="External"/><Relationship Id="rId628" Type="http://schemas.openxmlformats.org/officeDocument/2006/relationships/hyperlink" Target="https://vt.tiktok.com/ZS9qrSDt8/" TargetMode="External"/><Relationship Id="rId627" Type="http://schemas.openxmlformats.org/officeDocument/2006/relationships/hyperlink" Target="https://www.tiktok.com/@jossone_/video/7616004391153437973?is_from_webapp=1&amp;sender_device=pc&amp;web_id=7611930277489657360" TargetMode="External"/><Relationship Id="rId626" Type="http://schemas.openxmlformats.org/officeDocument/2006/relationships/hyperlink" Target="https://www.tiktok.com/@jossone_/video/7616188096048139541?is_from_webapp=1&amp;sender_device=pc&amp;web_id=7611930277489657360" TargetMode="External"/><Relationship Id="rId625" Type="http://schemas.openxmlformats.org/officeDocument/2006/relationships/hyperlink" Target="https://www.tiktok.com/@friskafrl" TargetMode="External"/><Relationship Id="rId2780" Type="http://schemas.openxmlformats.org/officeDocument/2006/relationships/hyperlink" Target="https://www.tiktok.com/@dinaachmad30/video/7629549514340289810?_r=1&amp;u_code=clad72314he9jg&amp;region=&amp;mid=7623795076212329223&amp;preview_pb=0&amp;sharer_language=&amp;_d=0&amp;ec_shared_reflux_dynamic_params=%7B%22placeholder_material_id%22%3A%227629549514340289810%22%2C%22placeholder_origin_cover%22%3A%22https%253A%252F%252Fp16-common-sign.tiktokcdn.com%252Ftos-alisg-p-0037%252Fok1C4Afgu8IBOmIPCXw0IViiAjw2w0huB1AMAD~tplv-tiktokx-origin.jpeg%253Fdr%253D14572%2526refresh_token%253Dca85dd56%2526x-expires%253D1808204400%2526x-signature%253Dmk%25252B56Ep2qR20oJ1A9VMQOWYi4M8%25253D%2526t%253D4d5b0474%2526ps%253D13740610%2526shp%253Dd05b14bd%2526shcp%253D34ff8df6%2526idc%253Dmy3%2526s%253DTIKTOK_AFFILIATE_VIRAL_VIDEO%22%2C%22placeholder_product_id%22%3A%221729427766722726591%22%2C%22placeholder_video_id%22%3A%227629549514340289810%22%7D&amp;ec_shared_reflux_scene=shop_tab_feed&amp;share_item_id=7629549514340289810&amp;source=h5_t" TargetMode="External"/><Relationship Id="rId1450" Type="http://schemas.openxmlformats.org/officeDocument/2006/relationships/hyperlink" Target="https://www.tiktok.com/@beliyok354" TargetMode="External"/><Relationship Id="rId2781" Type="http://schemas.openxmlformats.org/officeDocument/2006/relationships/hyperlink" Target="https://www.tiktok.com/@productskincare" TargetMode="External"/><Relationship Id="rId620" Type="http://schemas.openxmlformats.org/officeDocument/2006/relationships/hyperlink" Target="https://vt.tiktok.com/ZS9qrUyVM/" TargetMode="External"/><Relationship Id="rId1451" Type="http://schemas.openxmlformats.org/officeDocument/2006/relationships/hyperlink" Target="https://www.tiktok.com/@waroengserbamurah/video/7609742484872350996?_r=1&amp;u_code=di6ce8079l4acg&amp;region=&amp;mid=7609742528782420743&amp;preview_pb=0&amp;sharer_language=&amp;_d=0&amp;ec_shared_reflux_dynamic_params=%7B%22placeholder_material_id%22%3A%227609742484872350996%22%2C%22placeholder_origin_cover%22%3A%22https%253A%252F%252Fp16-sign-sg.tiktokcdn.com%252Ftos-alisg-p-0037%252FooRPIA9npqBZkELbB8iigxBeEmARoLdII4frUz~tplv-tiktokx-origin.jpeg%253Fdr%253D14572%2526refresh_token%253D0401aef4%2526x-expires%253D1806055200%2526x-signature%253DZdIYG%25252B5SMugt7mRxh2ecCgnqfNA%25253D%2526t%253D4d5b0474%2526ps%253D13740610%2526shp%253Dd05b14bd%2526shcp%253D34ff8df6%2526idc%253Dmy2%2526s%253DTIKTOK_AFFILIATE_VIRAL_VIDEO%22%2C%22placeholder_product_id%22%3A%221729427766722726591%22%2C%22placeholder_video_id%22%3A%227609742484872350996%22%7D&amp;ec_shared_reflux_scene=shop_tab_feed&amp;share_item_id=7609742484872350996&amp;source=h5_t" TargetMode="External"/><Relationship Id="rId2782" Type="http://schemas.openxmlformats.org/officeDocument/2006/relationships/hyperlink" Target="https://www.tiktok.com/@productskincare/video/7624513880261283090?is_from_webapp=1&amp;sender_device=pc" TargetMode="External"/><Relationship Id="rId1452" Type="http://schemas.openxmlformats.org/officeDocument/2006/relationships/hyperlink" Target="https://www.tiktok.com/@waroengserbamurah/video/7609742422335327509?_r=1&amp;u_code=di6ce8079l4acg&amp;region=&amp;mid=7609742469441325842&amp;preview_pb=0&amp;sharer_language=&amp;_d=0&amp;ec_shared_reflux_dynamic_params=%7B%22placeholder_material_id%22%3A%227609742422335327509%22%2C%22placeholder_origin_cover%22%3A%22https%253A%252F%252Fp16-sign-sg.tiktokcdn.com%252Ftos-alisg-p-0037%252Fo0nTCstUIXOLCpeAsAPgN8sjjjcVGDD4Ieeg5o~tplv-tiktokx-origin.jpeg%253Fdr%253D14572%2526refresh_token%253D3f4fd3c4%2526x-expires%253D1806055200%2526x-signature%253DSb8u9f4RhrkntimRaDJIWO0CNSI%25253D%2526t%253D4d5b0474%2526ps%253D13740610%2526shp%253Dd05b14bd%2526shcp%253D34ff8df6%2526idc%253Dmy2%2526s%253DTIKTOK_AFFILIATE_VIRAL_VIDEO%22%2C%22placeholder_product_id%22%3A%221729729730555512511%22%2C%22placeholder_video_id%22%3A%227609742422335327509%22%7D&amp;ec_shared_reflux_scene=shop_tab_feed&amp;share_item_id=7609742422335327509&amp;source=h5_t" TargetMode="External"/><Relationship Id="rId2783" Type="http://schemas.openxmlformats.org/officeDocument/2006/relationships/hyperlink" Target="https://www.tiktok.com/@productskincare/video/7624692260227140882?is_from_webapp=1&amp;sender_device=pc" TargetMode="External"/><Relationship Id="rId1453" Type="http://schemas.openxmlformats.org/officeDocument/2006/relationships/hyperlink" Target="https://www.tiktok.com/@waroengserbamurah/video/7609742371042921749?_r=1&amp;u_code=di6ce8079l4acg&amp;region=&amp;mid=7609742419634555669&amp;preview_pb=0&amp;sharer_language=&amp;_d=0&amp;ec_shared_reflux_dynamic_params=%7B%22placeholder_material_id%22%3A%227609742371042921749%22%2C%22placeholder_origin_cover%22%3A%22https%253A%252F%252Fp16-sign-sg.tiktokcdn.com%252Ftos-alisg-p-0037%252FogNbRzgApIU0EQBrPBmFlWxEIoDAUpAIggfGGe~tplv-tiktokx-origin.jpeg%253Fdr%253D14572%2526refresh_token%253D59d40ba6%2526x-expires%253D1806055200%2526x-signature%253Dt0W%25252BgKpRInRWQVwNl4elnTVr5lI%25253D%2526t%253D4d5b0474%2526ps%253D13740610%2526shp%253Dd05b14bd%2526shcp%253D34ff8df6%2526idc%253Dmy2%2526s%253DTIKTOK_AFFILIATE_VIRAL_VIDEO%22%2C%22placeholder_product_id%22%3A%221729729730555512511%22%2C%22placeholder_video_id%22%3A%227609742371042921749%22%7D&amp;ec_shared_reflux_scene=shop_tab_feed&amp;share_item_id=7609742371042921749&amp;source=h5_t" TargetMode="External"/><Relationship Id="rId2784" Type="http://schemas.openxmlformats.org/officeDocument/2006/relationships/hyperlink" Target="https://www.tiktok.com/@productskincare/video/7624898147206073608?is_from_webapp=1&amp;sender_device=pc" TargetMode="External"/><Relationship Id="rId1454" Type="http://schemas.openxmlformats.org/officeDocument/2006/relationships/hyperlink" Target="https://www.tiktok.com/@waroengserbamurah/video/7609240844943559957?_r=1&amp;u_code=di6ce8079l4acg&amp;region=&amp;mid=7609240887243803412&amp;preview_pb=0&amp;sharer_language=&amp;_d=0&amp;ec_shared_reflux_dynamic_params=%7B%22placeholder_material_id%22%3A%227609240844943559957%22%2C%22placeholder_origin_cover%22%3A%22https%253A%252F%252Fp16-sign-sg.tiktokcdn.com%252Ftos-alisg-p-0037%252FosPmmAfZUmIB3dR2E5gjIjFEgVFeGpZEDKBXBw~tplv-tiktokx-origin.jpeg%253Fdr%253D14572%2526refresh_token%253De42efb5a%2526x-expires%253D1806055200%2526x-signature%253DvJpjrYY%25252BvHeCTuf30%25252FJJHiAGhD0%25253D%2526t%253D4d5b0474%2526ps%253D13740610%2526shp%253Dd05b14bd%2526shcp%253D34ff8df6%2526idc%253Dmy2%2526s%253DTIKTOK_AFFILIATE_VIRAL_VIDEO%22%2C%22placeholder_product_id%22%3A%221729427766722726591%22%2C%22placeholder_video_id%22%3A%227609240844943559957%22%7D&amp;ec_shared_reflux_scene=shop_tab_feed&amp;share_item_id=7609240844943559957&amp;source=h5_t" TargetMode="External"/><Relationship Id="rId2785" Type="http://schemas.openxmlformats.org/officeDocument/2006/relationships/hyperlink" Target="https://www.tiktok.com/@productskincare/video/7625596986028363015?is_from_webapp=1&amp;sender_device=pc" TargetMode="External"/><Relationship Id="rId1444" Type="http://schemas.openxmlformats.org/officeDocument/2006/relationships/hyperlink" Target="https://vt.tiktok.com/ZSu3aYKFm/" TargetMode="External"/><Relationship Id="rId2775" Type="http://schemas.openxmlformats.org/officeDocument/2006/relationships/hyperlink" Target="https://www.tiktok.com/@racun_spalspil12/video/7634521796007562516?_r=1&amp;u_code=cllj6j6aidf05b&amp;region=&amp;mid=7607841103888304145&amp;preview_pb=0&amp;sharer_language=&amp;_d=0&amp;ec_shared_reflux_dynamic_params=%7B%22placeholder_material_id%22%3A%227634521796007562516%22%2C%22placeholder_origin_cover%22%3A%22https%253A%252F%252Fp16-common-sign.tiktokcdn.com%252Ftos-alisg-p-0037%252FoMgB3JpBCRRJieSEiaAv4IIBzgicelRB3sP1S3~tplv-tiktokx-origin.jpeg%253Fdr%253D14572%2526refresh_token%253De9ed75cc%2526x-expires%253D1810116000%2526x-signature%253DBFI1u9VavFrY28kIXi09q8IdNjs%25253D%2526t%253D4d5b0474%2526ps%253D13740610%2526shp%253Dd05b14bd%2526shcp%253D34ff8df6%2526idc%253Dmy2%2526s%253DTIKTOK_AFFILIATE_VIRAL_VIDEO%22%2C%22placeholder_product_id%22%3A%221729729730555512511%22%2C%22placeholder_video_id%22%3A%227634521796007562516%22%7D&amp;ec_shared_reflux_scene=shop_tab_feed&amp;share_item_id=7634521796007562516&amp;source=h5_t" TargetMode="External"/><Relationship Id="rId1445" Type="http://schemas.openxmlformats.org/officeDocument/2006/relationships/hyperlink" Target="https://www.tiktok.com/@ahmad_husein123" TargetMode="External"/><Relationship Id="rId2776" Type="http://schemas.openxmlformats.org/officeDocument/2006/relationships/hyperlink" Target="https://www.tiktok.com/@dinaachmad30" TargetMode="External"/><Relationship Id="rId1446" Type="http://schemas.openxmlformats.org/officeDocument/2006/relationships/hyperlink" Target="https://vt.tiktok.com/ZSu357Xhk/" TargetMode="External"/><Relationship Id="rId2777" Type="http://schemas.openxmlformats.org/officeDocument/2006/relationships/hyperlink" Target="https://www.tiktok.com/@dinaachmad30/video/7622976890508184839?is_from_webapp=1&amp;sender_device=pc" TargetMode="External"/><Relationship Id="rId1447" Type="http://schemas.openxmlformats.org/officeDocument/2006/relationships/hyperlink" Target="https://www.tiktok.com/@naura.karisma/video/7620658693012573461?_r=1&amp;u_code=ee97hf50aa8g7e&amp;region=&amp;mid=7615505674093234177&amp;preview_pb=0&amp;sharer_language=&amp;_d=0&amp;ec_shared_reflux_dynamic_params=%7B%22placeholder_material_id%22%3A%227620658693012573461%22%2C%22placeholder_origin_cover%22%3A%22https%253A%252F%252Fp16-sign-sg.tiktokcdn.com%252Ftos-alisg-p-0037%252Fo0ICIBBXRBOwAADpuFrmfv9kdSkENEUgcfgMBs~tplv-tiktokx-origin.jpeg%253Fdr%253D14572%2526refresh_token%253Dfca18a01%2526x-expires%253D1806051600%2526x-signature%253DHvm4skfEDqCouYyV43yQ8aWZFk0%25253D%2526t%253D4d5b0474%2526ps%253D13740610%2526shp%253Dd05b14bd%2526shcp%253D34ff8df6%2526idc%253Dmy2%2526s%253DTIKTOK_AFFILIATE_VIRAL_VIDEO%22%2C%22placeholder_product_id%22%3A%221729427766722726591%22%2C%22placeholder_video_id%22%3A%227620658693012573461%22%7D&amp;ec_shared_reflux_scene=shop_tab_feed&amp;share_item_id=7620658693012573461&amp;source=h5_t" TargetMode="External"/><Relationship Id="rId2778" Type="http://schemas.openxmlformats.org/officeDocument/2006/relationships/hyperlink" Target="https://www.tiktok.com/@dinaachmad30/video/7627858282794863880?is_from_webapp=1&amp;sender_device=pc" TargetMode="External"/><Relationship Id="rId1448" Type="http://schemas.openxmlformats.org/officeDocument/2006/relationships/hyperlink" Target="https://www.tiktok.com/@waroengserbamurah/video/7609238646922792212?_r=1&amp;u_code=di6ce8079l4acg&amp;region=&amp;mid=7609238713461607175&amp;preview_pb=0&amp;sharer_language=&amp;_d=0&amp;ec_shared_reflux_dynamic_params=%7B%22placeholder_material_id%22%3A%227609238646922792212%22%2C%22placeholder_origin_cover%22%3A%22https%253A%252F%252Fp16-sign-sg.tiktokcdn.com%252Ftos-alisg-p-0037%252FosgIgnmIiKAcBvpZAFXrEgE9ZD4kf8AeRABI6U~tplv-tiktokx-origin.jpeg%253Fdr%253D14572%2526refresh_token%253Dbe3c9c54%2526x-expires%253D1806055200%2526x-signature%253D9koJ7wBrZgB6YtgNIe3V1oDWdDw%25253D%2526t%253D4d5b0474%2526ps%253D13740610%2526shp%253Dd05b14bd%2526shcp%253D34ff8df6%2526idc%253Dmy2%2526s%253DTIKTOK_AFFILIATE_VIRAL_VIDEO%22%2C%22placeholder_product_id%22%3A%221729427766722726591%22%2C%22placeholder_video_id%22%3A%227609238646922792212%22%7D&amp;ec_shared_reflux_scene=shop_tab_feed&amp;share_item_id=7609238646922792212&amp;source=h5_t" TargetMode="External"/><Relationship Id="rId2779" Type="http://schemas.openxmlformats.org/officeDocument/2006/relationships/hyperlink" Target="https://www.tiktok.com/@dinaachmad30/video/7628454815403691272?is_from_webapp=1&amp;sender_device=pc" TargetMode="External"/><Relationship Id="rId1449" Type="http://schemas.openxmlformats.org/officeDocument/2006/relationships/hyperlink" Target="https://www.tiktok.com/@waroengserbamurah/video/7610061599843355925?_r=1&amp;u_code=di6ce8079l4acg&amp;region=&amp;mid=7610066798612499220&amp;preview_pb=0&amp;sharer_language=&amp;_d=0&amp;ec_shared_reflux_dynamic_params=%7B%22placeholder_material_id%22%3A%227610061599843355925%22%2C%22placeholder_origin_cover%22%3A%22https%253A%252F%252Fp16-sign-sg.tiktokcdn.com%252Ftos-alisg-p-0037%252FoEpncpkvQ3F0Bb5EQj44eBASBRFX1cfsogKD6E~tplv-tiktokx-origin.jpeg%253Fdr%253D14572%2526refresh_token%253Dda6da684%2526x-expires%253D1806055200%2526x-signature%253DOdgrsNTP3RfdXzijml9TXCnQ0D0%25253D%2526t%253D4d5b0474%2526ps%253D13740610%2526shp%253Dd05b14bd%2526shcp%253D34ff8df6%2526idc%253Dmy2%2526s%253DTIKTOK_AFFILIATE_VIRAL_VIDEO%22%2C%22placeholder_product_id%22%3A%221729427766722726591%22%2C%22placeholder_video_id%22%3A%227610061599843355925%22%7D&amp;ec_shared_reflux_scene=shop_tab_feed&amp;share_item_id=7610061599843355925&amp;source=h5_t" TargetMode="External"/><Relationship Id="rId619" Type="http://schemas.openxmlformats.org/officeDocument/2006/relationships/hyperlink" Target="https://vt.tiktok.com/ZSuCKmgTq/" TargetMode="External"/><Relationship Id="rId618" Type="http://schemas.openxmlformats.org/officeDocument/2006/relationships/hyperlink" Target="https://vt.tiktok.com/ZSuRq56U7/" TargetMode="External"/><Relationship Id="rId613" Type="http://schemas.openxmlformats.org/officeDocument/2006/relationships/hyperlink" Target="https://www.tiktok.com/@grosircantik/video/7609941138513939732?is_from_webapp=1&amp;sender_device=pc" TargetMode="External"/><Relationship Id="rId612" Type="http://schemas.openxmlformats.org/officeDocument/2006/relationships/hyperlink" Target="https://www.tiktok.com/@grosircantik" TargetMode="External"/><Relationship Id="rId611" Type="http://schemas.openxmlformats.org/officeDocument/2006/relationships/hyperlink" Target="https://vt.tiktok.com/ZSuXd64Br/" TargetMode="External"/><Relationship Id="rId610" Type="http://schemas.openxmlformats.org/officeDocument/2006/relationships/hyperlink" Target="https://www.tiktok.com/@afni01235/video/7618145592102997255?is_from_webapp=1&amp;sender_device=pc&amp;web_id=7611930277489657360" TargetMode="External"/><Relationship Id="rId617" Type="http://schemas.openxmlformats.org/officeDocument/2006/relationships/hyperlink" Target="https://www.tiktok.com/@angelmatondang14" TargetMode="External"/><Relationship Id="rId616" Type="http://schemas.openxmlformats.org/officeDocument/2006/relationships/hyperlink" Target="https://www.tiktok.com/@grosircantik/video/7618060019224907028?is_from_webapp=1&amp;sender_device=pc&amp;web_id=7611930277489657360" TargetMode="External"/><Relationship Id="rId615" Type="http://schemas.openxmlformats.org/officeDocument/2006/relationships/hyperlink" Target="https://www.tiktok.com/@grosircantik/video/7617349608515177749?is_from_webapp=1&amp;sender_device=pc&amp;web_id=7611930277489657360" TargetMode="External"/><Relationship Id="rId614" Type="http://schemas.openxmlformats.org/officeDocument/2006/relationships/hyperlink" Target="https://www.tiktok.com/@grosircantik/video/7614389247893720341?is_from_webapp=1&amp;sender_device=pc" TargetMode="External"/><Relationship Id="rId2770" Type="http://schemas.openxmlformats.org/officeDocument/2006/relationships/hyperlink" Target="https://www.tiktok.com/@racun_spalspil12/video/7634523520482987284?_r=1&amp;u_code=cllj6j6aidf05b&amp;region=&amp;mid=7552778804263996172&amp;preview_pb=0&amp;sharer_language=&amp;_d=0&amp;ec_shared_reflux_dynamic_params=%7B%22placeholder_material_id%22%3A%227634523520482987284%22%2C%22placeholder_origin_cover%22%3A%22https%253A%252F%252Fp16-common-sign.tiktokcdn.com%252Ftos-alisg-p-0037%252FoIjEjEiDgVABLZkFfOpRBEA2QBm9W8Qg0Je3lc~tplv-tiktokx-origin.jpeg%253Fdr%253D14572%2526refresh_token%253Dd52f6c2b%2526x-expires%253D1810116000%2526x-signature%253DtqcvkxrhRV9WN9eCtLTo5sd%25252BgPA%25253D%2526t%253D4d5b0474%2526ps%253D13740610%2526shp%253Dd05b14bd%2526shcp%253D34ff8df6%2526idc%253Dmy2%2526s%253DTIKTOK_AFFILIATE_VIRAL_VIDEO%22%2C%22placeholder_product_id%22%3A%221729729730555512511%22%2C%22placeholder_video_id%22%3A%227634523520482987284%22%7D&amp;ec_shared_reflux_scene=shop_tab_feed&amp;share_item_id=7634523520482987284&amp;source=h5_t" TargetMode="External"/><Relationship Id="rId1440" Type="http://schemas.openxmlformats.org/officeDocument/2006/relationships/hyperlink" Target="https://www.tiktok.com/@amellibraa_/video/7611678642376215828?is_from_webapp=1&amp;sender_device=pc&amp;web_id=7611930277489657360" TargetMode="External"/><Relationship Id="rId2771" Type="http://schemas.openxmlformats.org/officeDocument/2006/relationships/hyperlink" Target="https://www.tiktok.com/@wikameiastuti" TargetMode="External"/><Relationship Id="rId1441" Type="http://schemas.openxmlformats.org/officeDocument/2006/relationships/hyperlink" Target="https://www.tiktok.com/@amellibraa_/video/7612329375144447252?is_from_webapp=1&amp;sender_device=pc&amp;web_id=7611930277489657360" TargetMode="External"/><Relationship Id="rId2772" Type="http://schemas.openxmlformats.org/officeDocument/2006/relationships/hyperlink" Target="https://www.tiktok.com/@wikameiastuti/video/7623341007844723986?_r=1&amp;u_code=dgb3lm47dcjhdi&amp;region=&amp;mid=7246862388833781761&amp;preview_pb=0&amp;sharer_language=&amp;_d=0&amp;ec_shared_reflux_dynamic_params=%7B%22placeholder_material_id%22%3A%227623341007844723986%22%2C%22placeholder_origin_cover%22%3A%22https%253A%252F%252Fp16-common-sign.tiktokcdn.com%252Ftos-alisg-p-0037%252FokBVIDvXjIJji6IELw6wcaYinBu6BAEP6LAPy~tplv-tiktokx-origin.jpeg%253Fdr%253D14572%2526refresh_token%253D6ec7a82e%2526x-expires%253D1806634800%2526x-signature%253DO8sY6V56Y2Qvla1yFRF%25252B0%25252BPlYNk%25253D%2526t%253D4d5b0474%2526ps%253D13740610%2526shp%253Dd05b14bd%2526shcp%253D34ff8df6%2526idc%253Dmy2%2526s%253DTIKTOK_AFFILIATE_VIRAL_VIDEO%22%2C%22placeholder_product_id%22%3A%221729427766722726591%22%2C%22placeholder_video_id%22%3A%227623341007844723986%22%7D&amp;ec_shared_reflux_scene=shop_tab_feed&amp;share_item_id=7623341007844723986&amp;source=h5_t" TargetMode="External"/><Relationship Id="rId1442" Type="http://schemas.openxmlformats.org/officeDocument/2006/relationships/hyperlink" Target="https://www.tiktok.com/@Wan_Ghoffur" TargetMode="External"/><Relationship Id="rId2773" Type="http://schemas.openxmlformats.org/officeDocument/2006/relationships/hyperlink" Target="https://www.tiktok.com/@racun_spalspil12/video/7634522661166517525?_r=1&amp;u_code=cllj6j6aidf05b&amp;region=&amp;mid=7626770428661401601&amp;preview_pb=0&amp;sharer_language=&amp;_d=0&amp;ec_shared_reflux_dynamic_params=%7B%22placeholder_material_id%22%3A%227634522661166517525%22%2C%22placeholder_origin_cover%22%3A%22https%253A%252F%252Fp16-common-sign.tiktokcdn.com%252Ftos-alisg-p-0037%252FoU0BKEzfHm9pFBA4QWfgRiMDgEkEcQE9Kz8SQ6~tplv-tiktokx-origin.jpeg%253Fdr%253D14572%2526refresh_token%253Dc20a0753%2526x-expires%253D1810116000%2526x-signature%253DRwfXDvjFNXZNVcWbVmjDFizs2OE%25253D%2526t%253D4d5b0474%2526ps%253D13740610%2526shp%253Dd05b14bd%2526shcp%253D34ff8df6%2526idc%253Dmy2%2526s%253DTIKTOK_AFFILIATE_VIRAL_VIDEO%22%2C%22placeholder_product_id%22%3A%221729729730555512511%22%2C%22placeholder_video_id%22%3A%227634522661166517525%22%7D&amp;ec_shared_reflux_scene=shop_tab_feed&amp;share_item_id=7634522661166517525&amp;source=h5_t" TargetMode="External"/><Relationship Id="rId1443" Type="http://schemas.openxmlformats.org/officeDocument/2006/relationships/hyperlink" Target="https://www.tiktok.com/@lsakyu/video/7617131087562624273?is_from_webapp=1&amp;sender_device=pc&amp;web_id=7611930277489657360" TargetMode="External"/><Relationship Id="rId2774" Type="http://schemas.openxmlformats.org/officeDocument/2006/relationships/hyperlink" Target="https://www.tiktok.com/@racun_spalspil12/video/7634522225978297621?_r=1&amp;u_code=cllj6j6aidf05b&amp;region=&amp;mid=7628551529238842132&amp;preview_pb=0&amp;sharer_language=&amp;_d=0&amp;ec_shared_reflux_dynamic_params=%7B%22placeholder_material_id%22%3A%227634522225978297621%22%2C%22placeholder_origin_cover%22%3A%22https%253A%252F%252Fp16-common-sign.tiktokcdn.com%252Ftos-alisg-p-0037%252FoompeBB5IBBi9j3NfEAgIoFiAazwovOKYIORcR~tplv-tiktokx-origin.jpeg%253Fdr%253D14572%2526refresh_token%253D8f906dc2%2526x-expires%253D1810116000%2526x-signature%253DXvzLX4DEzLRIifAdcMU9GlpI5yM%25253D%2526t%253D4d5b0474%2526ps%253D13740610%2526shp%253Dd05b14bd%2526shcp%253D34ff8df6%2526idc%253Dmy2%2526s%253DTIKTOK_AFFILIATE_VIRAL_VIDEO%22%2C%22placeholder_product_id%22%3A%221729729730555512511%22%2C%22placeholder_video_id%22%3A%227634522225978297621%22%7D&amp;ec_shared_reflux_scene=shop_tab_feed&amp;share_item_id=7634522225978297621&amp;source=h5_t" TargetMode="External"/><Relationship Id="rId1477" Type="http://schemas.openxmlformats.org/officeDocument/2006/relationships/hyperlink" Target="https://www.tiktok.com/@ochacacaaaaa_/video/7616675418971671815" TargetMode="External"/><Relationship Id="rId1478" Type="http://schemas.openxmlformats.org/officeDocument/2006/relationships/hyperlink" Target="https://www.tiktok.com/@ochacacaaaaa_/video/7617780607531158792" TargetMode="External"/><Relationship Id="rId1479" Type="http://schemas.openxmlformats.org/officeDocument/2006/relationships/hyperlink" Target="https://www.tiktok.com/@ochacacaaaaa_/video/7618163618491845909" TargetMode="External"/><Relationship Id="rId646" Type="http://schemas.openxmlformats.org/officeDocument/2006/relationships/hyperlink" Target="https://vt.tiktok.com/ZS9q6338s/" TargetMode="External"/><Relationship Id="rId645" Type="http://schemas.openxmlformats.org/officeDocument/2006/relationships/hyperlink" Target="https://www.tiktok.com/@mamaahsansukses1/video/7612183248713583880?is_from_webapp=1&amp;sender_device=pc" TargetMode="External"/><Relationship Id="rId644" Type="http://schemas.openxmlformats.org/officeDocument/2006/relationships/hyperlink" Target="https://www.tiktok.com/@mamaahsansukses1" TargetMode="External"/><Relationship Id="rId643" Type="http://schemas.openxmlformats.org/officeDocument/2006/relationships/hyperlink" Target="https://vt.tiktok.com/ZSuBALPtR/" TargetMode="External"/><Relationship Id="rId649" Type="http://schemas.openxmlformats.org/officeDocument/2006/relationships/hyperlink" Target="https://www.tiktok.com/@teteh_448" TargetMode="External"/><Relationship Id="rId648" Type="http://schemas.openxmlformats.org/officeDocument/2006/relationships/hyperlink" Target="https://vt.tiktok.com/ZS9qM15c9/" TargetMode="External"/><Relationship Id="rId647" Type="http://schemas.openxmlformats.org/officeDocument/2006/relationships/hyperlink" Target="https://vt.tiktok.com/ZS9q6E5PR/" TargetMode="External"/><Relationship Id="rId1470" Type="http://schemas.openxmlformats.org/officeDocument/2006/relationships/hyperlink" Target="https://www.tiktok.com/@epay.y_" TargetMode="External"/><Relationship Id="rId1471" Type="http://schemas.openxmlformats.org/officeDocument/2006/relationships/hyperlink" Target="https://www.tiktok.com/@icha7721/video/7621133484911840519?_d=0&amp;_r=1&amp;ec_shared_reflux_dynamic_params=%7B%22placeholder_material_id%22%3A%227621133484911840519%22%2C%22placeholder_origin_cover%22%3A%22https%253A%252F%252Fp16-sign-sg.tiktokcdn.com%252Ftos-alisg-p-0037%252Fo0IABm3v0AAizRpEaWO0cBhDtViImIrYSPal1~tplv-tiktokx-origin.jpeg%253Fdr%253D14572%2526refresh_token%253D554be32c%2526x-expires%253D1806055200%2526x-signature%253Dll%25252FWEocoO59UpqMJ0rKoZhp%25252BLGQ%25253D%2526t%253D4d5b0474%2526ps%253D13740610%2526shp%253Dd05b14bd%2526shcp%253D34ff8df6%2526idc%253Dmy2%2526s%253DTIKTOK_AFFILIATE_VIRAL_VIDEO%22%2C%22placeholder_product_id%22%3A%221729427766722726591%22%2C%22placeholder_video_id%22%3A%227621133484911840519%22%7D&amp;ec_shared_reflux_scene=shop_tab_feed&amp;mid=7567367839414225672&amp;preview_pb=0&amp;region=&amp;share_item_id=7621133484911840519&amp;sharer_language=&amp;source=h5_t&amp;u_code=e59fc6bfdb6373" TargetMode="External"/><Relationship Id="rId1472" Type="http://schemas.openxmlformats.org/officeDocument/2006/relationships/hyperlink" Target="https://www.tiktok.com/@icha7721/video/7620082754461666581?_r=1&amp;u_code=e59fc6bfdb6373&amp;region=&amp;mid=7549919045177625400&amp;preview_pb=0&amp;sharer_language=&amp;_d=0&amp;ec_shared_reflux_dynamic_params=%7B%22placeholder_material_id%22%3A%227620082754461666581%22%2C%22placeholder_origin_cover%22%3A%22https%253A%252F%252Fp16-sign-sg.tiktokcdn.com%252Ftos-alisg-p-0037%252Fow0fglXbYA6g17a8YgDO4GeBfrsYftRLeAkewE~tplv-tiktokx-origin.jpeg%253Fdr%253D14572%2526refresh_token%253De452ddbc%2526x-expires%253D1806055200%2526x-signature%253DEAH91%25252BcSORbmryFCcyd0srRKtQQ%25253D%2526t%253D4d5b0474%2526ps%253D13740610%2526shp%253Dd05b14bd%2526shcp%253D34ff8df6%2526idc%253Dmy2%2526s%253DTIKTOK_AFFILIATE_VIRAL_VIDEO%22%2C%22placeholder_product_id%22%3A%221729427766722726591%22%2C%22placeholder_video_id%22%3A%227620082754461666581%22%7D&amp;ec_shared_reflux_scene=shop_tab_feed&amp;share_item_id=7620082754461666581&amp;source=h5_t" TargetMode="External"/><Relationship Id="rId642" Type="http://schemas.openxmlformats.org/officeDocument/2006/relationships/hyperlink" Target="https://vt.tiktok.com/ZSuBS7FD9/" TargetMode="External"/><Relationship Id="rId1473" Type="http://schemas.openxmlformats.org/officeDocument/2006/relationships/hyperlink" Target="https://www.tiktok.com/@icha7721/video/7619306411926850837?_r=1&amp;u_code=e59fc6bfdb6373&amp;region=&amp;mid=7475638762669819921&amp;preview_pb=0&amp;sharer_language=&amp;_d=0&amp;ec_shared_reflux_dynamic_params=%7B%22placeholder_material_id%22%3A%227619306411926850837%22%2C%22placeholder_origin_cover%22%3A%22https%253A%252F%252Fp16-sign-sg.tiktokcdn.com%252Ftos-alisg-p-0037%252FoItoIKFgsGcDN4g9BCDAIav6RfpgNBqEQTEvfp~tplv-tiktokx-origin.jpeg%253Fdr%253D14572%2526refresh_token%253Ded2e8c47%2526x-expires%253D1806055200%2526x-signature%253D3qaAlFDgMOTbAwqH9nWQwNPNym8%25253D%2526t%253D4d5b0474%2526ps%253D13740610%2526shp%253Dd05b14bd%2526shcp%253D34ff8df6%2526idc%253Dmy2%2526s%253DTIKTOK_AFFILIATE_VIRAL_VIDEO%22%2C%22placeholder_product_id%22%3A%221729427766722726591%22%2C%22placeholder_video_id%22%3A%227619306411926850837%22%7D&amp;ec_shared_reflux_scene=shop_tab_feed&amp;share_item_id=7619306411926850837&amp;source=h5_t" TargetMode="External"/><Relationship Id="rId641" Type="http://schemas.openxmlformats.org/officeDocument/2006/relationships/hyperlink" Target="https://vt.tiktok.com/ZSuBARb89/" TargetMode="External"/><Relationship Id="rId1474" Type="http://schemas.openxmlformats.org/officeDocument/2006/relationships/hyperlink" Target="https://www.tiktok.com/@icha7721/video/7618961640788135188?_r=1&amp;u_code=e59fc6bfdb6373&amp;region=&amp;mid=7332514883958164230&amp;preview_pb=0&amp;sharer_language=&amp;_d=0&amp;ec_shared_reflux_dynamic_params=%7B%22placeholder_material_id%22%3A%227618961640788135188%22%2C%22placeholder_origin_cover%22%3A%22https%253A%252F%252Fp16-sign-sg.tiktokcdn.com%252Ftos-alisg-p-0037%252Fo85fUVAPfQ8if5nmA0C1QfQ38nRdKFGQAMbG7X~tplv-tiktokx-origin.jpeg%253Fdr%253D14572%2526refresh_token%253D1b65029e%2526x-expires%253D1806055200%2526x-signature%253DK91bv%25252FvvPsEm06qoAb6%25252F6aMYKMI%25253D%2526t%253D4d5b0474%2526ps%253D13740610%2526shp%253Dd05b14bd%2526shcp%253D34ff8df6%2526idc%253Dmy2%2526s%253DTIKTOK_AFFILIATE_VIRAL_VIDEO%22%2C%22placeholder_product_id%22%3A%221729427766722726591%22%2C%22placeholder_video_id%22%3A%227618961640788135188%22%7D&amp;ec_shared_reflux_scene=shop_tab_feed&amp;share_item_id=7618961640788135188&amp;source=h5_t" TargetMode="External"/><Relationship Id="rId640" Type="http://schemas.openxmlformats.org/officeDocument/2006/relationships/hyperlink" Target="https://vt.tiktok.com/ZSuBARuDf/" TargetMode="External"/><Relationship Id="rId1475" Type="http://schemas.openxmlformats.org/officeDocument/2006/relationships/hyperlink" Target="https://www.tiktok.com/@cheristiaap" TargetMode="External"/><Relationship Id="rId1476" Type="http://schemas.openxmlformats.org/officeDocument/2006/relationships/hyperlink" Target="https://www.tiktok.com/@ochacacaaaaa_/video/7616663214968868104" TargetMode="External"/><Relationship Id="rId1466" Type="http://schemas.openxmlformats.org/officeDocument/2006/relationships/hyperlink" Target="https://www.tiktok.com/@icha7721/video/7613367505595387143?_r=1&amp;u_code=e59fc6bfdb6373&amp;region=&amp;mid=7613367537566157589&amp;preview_pb=0&amp;sharer_language=&amp;_d=0&amp;ec_shared_reflux_dynamic_params=%7B%22placeholder_material_id%22%3A%227613367505595387143%22%2C%22placeholder_origin_cover%22%3A%22https%253A%252F%252Fp16-sign-sg.tiktokcdn.com%252Ftos-alisg-p-0037%252FoQDo9cekQB7qgQEsXfRHEK1B4zy8BgwiFZA9Fp~tplv-tiktokx-origin.jpeg%253Fdr%253D14572%2526refresh_token%253D9d4a05eb%2526x-expires%253D1806055200%2526x-signature%253DyvYGEn2MQABeFLMukifm06jwqTw%25253D%2526t%253D4d5b0474%2526ps%253D13740610%2526shp%253Dd05b14bd%2526shcp%253D34ff8df6%2526idc%253Dmy2%2526s%253DTIKTOK_AFFILIATE_VIRAL_VIDEO%22%2C%22placeholder_product_id%22%3A%221729427766722726591%22%2C%22placeholder_video_id%22%3A%227613367505595387143%22%7D&amp;ec_shared_reflux_scene=shop_tab_feed&amp;share_item_id=7613367505595387143&amp;source=h5_t" TargetMode="External"/><Relationship Id="rId2797" Type="http://schemas.openxmlformats.org/officeDocument/2006/relationships/hyperlink" Target="https://vt.tiktok.com/ZSHoXYttP/" TargetMode="External"/><Relationship Id="rId1467" Type="http://schemas.openxmlformats.org/officeDocument/2006/relationships/hyperlink" Target="https://www.tiktok.com/@icha7721/video/7610365735797263634?_d=0&amp;_r=1&amp;ec_shared_reflux_dynamic_params=%7B%22placeholder_material_id%22%3A%227610365735797263634%22%2C%22placeholder_origin_cover%22%3A%22https%253A%252F%252Fp16-sign-sg.tiktokcdn.com%252Ftos-alisg-p-0037%252Fog69Ub8Ijg9Ar4WerkgH0FGTfewLIDjuCAIU5O~tplv-tiktokx-origin.jpeg%253Fdr%253D14572%2526refresh_token%253D4872b9f7%2526x-expires%253D1806055200%2526x-signature%253DFoTHcEwzcL2S8SX5u7ALN%25252Fv6cFo%25253D%2526t%253D4d5b0474%2526ps%253D13740610%2526shp%253Dd05b14bd%2526shcp%253D34ff8df6%2526idc%253Dmy2%2526s%253DTIKTOK_AFFILIATE_VIRAL_VIDEO%22%2C%22placeholder_product_id%22%3A%221729634177198098769%22%2C%22placeholder_video_id%22%3A%227610365735797263634%22%7D&amp;ec_shared_reflux_scene=shop_tab_feed&amp;mid=7528756224239323905&amp;preview_pb=0&amp;region=&amp;share_item_id=7610365735797263634&amp;sharer_language=&amp;source=h5_t&amp;u_code=e59fc6bfdb6373" TargetMode="External"/><Relationship Id="rId2798" Type="http://schemas.openxmlformats.org/officeDocument/2006/relationships/hyperlink" Target="https://www.tiktok.com/@berkah.glosir/video/7638070764679204116?_r=1&amp;u_code=e4hbm162fcgeg9&amp;region=&amp;mid=7606071400499628049&amp;preview_pb=0&amp;sharer_language=&amp;_d=0&amp;ec_shared_reflux_dynamic_params=%7B%22placeholder_material_id%22%3A%227638070764679204116%22%2C%22placeholder_origin_cover%22%3A%22https%253A%252F%252Fp16-common-sign.tiktokcdn.com%252Ftos-alisg-p-0037%252FokB4ODa4nHGh3qUfF9FEADDHRfAG709QQBfnwe~tplv-tiktokx-origin.jpeg%253Fdr%253D14572%2526refresh_token%253Dbfdf63af%2526x-expires%253D1810116000%2526x-signature%253DtXwg9Q%25252BQmqgUtVhaPeEh2f9kLO0%25253D%2526t%253D4d5b0474%2526ps%253D13740610%2526shp%253Dd05b14bd%2526shcp%253D34ff8df6%2526idc%253Dmy2%2526s%253DTIKTOK_AFFILIATE_VIRAL_VIDEO%22%2C%22placeholder_product_id%22%3A%221729729730555512511%22%2C%22placeholder_video_id%22%3A%227638070764679204116%22%7D&amp;ec_shared_reflux_scene=shop_tab_feed&amp;share_item_id=7638070764679204116&amp;source=h5_t" TargetMode="External"/><Relationship Id="rId1468" Type="http://schemas.openxmlformats.org/officeDocument/2006/relationships/hyperlink" Target="https://www.tiktok.com/@icha7721/video/7609925746773036306?_r=1&amp;u_code=e59fc6bfdb6373&amp;region=&amp;mid=7147549859652979482&amp;preview_pb=0&amp;sharer_language=&amp;_d=0&amp;ec_shared_reflux_dynamic_params=%7B%22placeholder_material_id%22%3A%227609925746773036306%22%2C%22placeholder_origin_cover%22%3A%22https%253A%252F%252Fp16-sign-sg.tiktokcdn.com%252Ftos-alisg-p-0037%252FogGj1NEUoLTfo34mIcK7xtAQDfA5FDCIZCETeQ~tplv-tiktokx-origin.jpeg%253Fdr%253D14572%2526refresh_token%253D5de2c3ec%2526x-expires%253D1806055200%2526x-signature%253DyFjnIWa%25252BqSfLv3U3gpvJEToEfe0%25253D%2526t%253D4d5b0474%2526ps%253D13740610%2526shp%253Dd05b14bd%2526shcp%253D34ff8df6%2526idc%253Dmy2%2526s%253DTIKTOK_AFFILIATE_VIRAL_VIDEO%22%2C%22placeholder_product_id%22%3A%221729427766722726591%22%2C%22placeholder_video_id%22%3A%227609925746773036306%22%7D&amp;ec_shared_reflux_scene=shop_tab_feed&amp;share_item_id=7609925746773036306&amp;source=h5_t" TargetMode="External"/><Relationship Id="rId2799" Type="http://schemas.openxmlformats.org/officeDocument/2006/relationships/hyperlink" Target="https://www.tiktok.com/@berkah.glosir/video/7638070250688236821?_r=1&amp;u_code=e4hbm162fcgeg9&amp;region=&amp;mid=7606071400499628049&amp;preview_pb=0&amp;sharer_language=&amp;_d=0&amp;ec_shared_reflux_dynamic_params=%7B%22placeholder_material_id%22%3A%227638070250688236821%22%2C%22placeholder_origin_cover%22%3A%22https%253A%252F%252Fp16-common-sign.tiktokcdn.com%252Ftos-alisg-p-0037%252FoENpRffQGw88qCfR4AQ8nAIfBAXnG6MmihHGWF~tplv-tiktokx-origin.jpeg%253Fdr%253D14572%2526refresh_token%253D45f77be1%2526x-expires%253D1810116000%2526x-signature%253Dv%25252Fvr7pXcji%25252FLvwR%25252BV61NzeETDv8%25253D%2526t%253D4d5b0474%2526ps%253D13740610%2526shp%253Dd05b14bd%2526shcp%253D34ff8df6%2526idc%253Dmy2%2526s%253DTIKTOK_AFFILIATE_VIRAL_VIDEO%22%2C%22placeholder_product_id%22%3A%221729729730555512511%22%2C%22placeholder_video_id%22%3A%227638070250688236821%22%7D&amp;ec_shared_reflux_scene=shop_tab_feed&amp;share_item_id=7638070250688236821&amp;source=h5_t" TargetMode="External"/><Relationship Id="rId1469" Type="http://schemas.openxmlformats.org/officeDocument/2006/relationships/hyperlink" Target="https://www.tiktok.com/@icha7721/video/7609664424349093138?_r=1&amp;u_code=e59fc6bfdb6373&amp;region=&amp;mid=7147549859652979482&amp;preview_pb=0&amp;sharer_language=&amp;_d=0&amp;ec_shared_reflux_dynamic_params=%7B%22placeholder_material_id%22%3A%227609664424349093138%22%2C%22placeholder_origin_cover%22%3A%22https%253A%252F%252Fp16-common-sign.tiktokcdn.com%252Ftos-alisg-p-0037%252Focf59vIdDQaYka6TAQFFcPRKWBfjpJBQEQgLEm~tplv-tiktokx-origin.jpeg%253Fdr%253D14572%2526refresh_token%253D0a169f98%2526x-expires%253D1806055200%2526x-signature%253DqARHBKyeMftiA%25252F6ch2RIr4C9ils%25253D%2526t%253D4d5b0474%2526ps%253D13740610%2526shp%253Dd05b14bd%2526shcp%253D34ff8df6%2526idc%253Dmy2%2526s%253DTIKTOK_AFFILIATE_VIRAL_VIDEO%22%2C%22placeholder_product_id%22%3A%221729427766722726591%22%2C%22placeholder_video_id%22%3A%227609664424349093138%22%7D&amp;ec_shared_reflux_scene=shop_tab_feed&amp;share_item_id=7609664424349093138&amp;source=h5_t" TargetMode="External"/><Relationship Id="rId635" Type="http://schemas.openxmlformats.org/officeDocument/2006/relationships/hyperlink" Target="https://www.tiktok.com/@jossone_/video/7621868771069660436?is_from_webapp=1&amp;sender_device=pc&amp;web_id=7611930277489657360" TargetMode="External"/><Relationship Id="rId634" Type="http://schemas.openxmlformats.org/officeDocument/2006/relationships/hyperlink" Target="https://www.tiktok.com/@cbeauty6" TargetMode="External"/><Relationship Id="rId633" Type="http://schemas.openxmlformats.org/officeDocument/2006/relationships/hyperlink" Target="https://vt.tiktok.com/ZS9qMNCkD/" TargetMode="External"/><Relationship Id="rId632" Type="http://schemas.openxmlformats.org/officeDocument/2006/relationships/hyperlink" Target="https://vt.tiktok.com/ZS9qh1X45/" TargetMode="External"/><Relationship Id="rId639" Type="http://schemas.openxmlformats.org/officeDocument/2006/relationships/hyperlink" Target="https://www.tiktok.com/@mimih_animate" TargetMode="External"/><Relationship Id="rId638" Type="http://schemas.openxmlformats.org/officeDocument/2006/relationships/hyperlink" Target="https://www.tiktok.com/@dewi.sunday/video/7615104077130697991?is_from_webapp=1&amp;sender_device=pc&amp;web_id=7611930277489657360" TargetMode="External"/><Relationship Id="rId637" Type="http://schemas.openxmlformats.org/officeDocument/2006/relationships/hyperlink" Target="https://www.tiktok.com/@jossone_/video/7623330685910076693?is_from_webapp=1&amp;sender_device=pc&amp;web_id=7611930277489657360" TargetMode="External"/><Relationship Id="rId636" Type="http://schemas.openxmlformats.org/officeDocument/2006/relationships/hyperlink" Target="https://www.tiktok.com/@jossone_/video/7622635767596158228?is_from_webapp=1&amp;sender_device=pc&amp;web_id=7611930277489657360" TargetMode="External"/><Relationship Id="rId2790" Type="http://schemas.openxmlformats.org/officeDocument/2006/relationships/hyperlink" Target="https://vt.tiktok.com/ZS989s856/" TargetMode="External"/><Relationship Id="rId1460" Type="http://schemas.openxmlformats.org/officeDocument/2006/relationships/hyperlink" Target="https://www.tiktok.com/@winston_zhang7" TargetMode="External"/><Relationship Id="rId2791" Type="http://schemas.openxmlformats.org/officeDocument/2006/relationships/hyperlink" Target="https://www.tiktok.com/@ayyulestarii27" TargetMode="External"/><Relationship Id="rId1461" Type="http://schemas.openxmlformats.org/officeDocument/2006/relationships/hyperlink" Target="https://vt.tiktok.com/ZS9GdtmMC/" TargetMode="External"/><Relationship Id="rId2792" Type="http://schemas.openxmlformats.org/officeDocument/2006/relationships/hyperlink" Target="https://vt.tiktok.com/ZS989v6qd/" TargetMode="External"/><Relationship Id="rId631" Type="http://schemas.openxmlformats.org/officeDocument/2006/relationships/hyperlink" Target="https://vt.tiktok.com/ZS9qrX55G/" TargetMode="External"/><Relationship Id="rId1462" Type="http://schemas.openxmlformats.org/officeDocument/2006/relationships/hyperlink" Target="https://vt.tiktok.com/ZS9GdvB7p/" TargetMode="External"/><Relationship Id="rId2793" Type="http://schemas.openxmlformats.org/officeDocument/2006/relationships/hyperlink" Target="https://vt.tiktok.com/ZS989w2jx/" TargetMode="External"/><Relationship Id="rId630" Type="http://schemas.openxmlformats.org/officeDocument/2006/relationships/hyperlink" Target="https://vt.tiktok.com/ZSmXLSnxL/" TargetMode="External"/><Relationship Id="rId1463" Type="http://schemas.openxmlformats.org/officeDocument/2006/relationships/hyperlink" Target="https://vt.tiktok.com/ZS9Gd7S5B/" TargetMode="External"/><Relationship Id="rId2794" Type="http://schemas.openxmlformats.org/officeDocument/2006/relationships/hyperlink" Target="https://vt.tiktok.com/ZS989covu/" TargetMode="External"/><Relationship Id="rId1464" Type="http://schemas.openxmlformats.org/officeDocument/2006/relationships/hyperlink" Target="https://vt.tiktok.com/ZS9GdnN5n/" TargetMode="External"/><Relationship Id="rId2795" Type="http://schemas.openxmlformats.org/officeDocument/2006/relationships/hyperlink" Target="https://www.tiktok.com/@wwzn13" TargetMode="External"/><Relationship Id="rId1465" Type="http://schemas.openxmlformats.org/officeDocument/2006/relationships/hyperlink" Target="https://www.tiktok.com/@herlinaameliaa" TargetMode="External"/><Relationship Id="rId2796" Type="http://schemas.openxmlformats.org/officeDocument/2006/relationships/hyperlink" Target="https://vt.tiktok.com/ZSHoCHcVQ/" TargetMode="External"/><Relationship Id="rId1411" Type="http://schemas.openxmlformats.org/officeDocument/2006/relationships/hyperlink" Target="https://www.tiktok.com/@skinbeauty.id/video/7621787642899811604?is_from_webapp=1&amp;sender_device=pc" TargetMode="External"/><Relationship Id="rId2742" Type="http://schemas.openxmlformats.org/officeDocument/2006/relationships/hyperlink" Target="https://vt.tiktok.com/ZS9NW91ty/" TargetMode="External"/><Relationship Id="rId1412" Type="http://schemas.openxmlformats.org/officeDocument/2006/relationships/hyperlink" Target="https://www.tiktok.com/@wulanpdla3" TargetMode="External"/><Relationship Id="rId2743" Type="http://schemas.openxmlformats.org/officeDocument/2006/relationships/hyperlink" Target="https://vt.tiktok.com/ZS9NWAt54/" TargetMode="External"/><Relationship Id="rId1413" Type="http://schemas.openxmlformats.org/officeDocument/2006/relationships/hyperlink" Target="https://vt.tiktok.com/ZSuVby91n/" TargetMode="External"/><Relationship Id="rId2744" Type="http://schemas.openxmlformats.org/officeDocument/2006/relationships/hyperlink" Target="https://vt.tiktok.com/ZS9NWAAwM/" TargetMode="External"/><Relationship Id="rId1414" Type="http://schemas.openxmlformats.org/officeDocument/2006/relationships/hyperlink" Target="https://www.tiktok.com/@teteh_448/video/7619462348981505301?_r=1&amp;u_code=e5ae9d9kjdj62m&amp;region=&amp;mid=7571860912149415952&amp;preview_pb=0&amp;sharer_language=&amp;_d=0&amp;ec_shared_reflux_dynamic_params=%7B%22placeholder_material_id%22%3A%227619462348981505301%22%2C%22placeholder_origin_cover%22%3A%22https%253A%252F%252Fp16-sign-sg.tiktokcdn.com%252Ftos-alisg-p-0037%252FoI0uxpwqfABqEtDcEKA9SoIgWFR7cvpSecEIBY~tplv-tiktokx-origin.jpeg%253Fdr%253D14572%2526refresh_token%253D6cfa4172%2526x-expires%253D1806051600%2526x-signature%253DCMqF7XncELYatnerLhjunIURhW8%25253D%2526t%253D4d5b0474%2526ps%253D13740610%2526shp%253Dd05b14bd%2526shcp%253D34ff8df6%2526idc%253Dmy2%2526s%253DTIKTOK_AFFILIATE_VIRAL_VIDEO%22%2C%22placeholder_product_id%22%3A%221729427766722726591%22%2C%22placeholder_video_id%22%3A%227619462348981505301%22%7D&amp;ec_shared_reflux_scene=shop_tab_feed&amp;share_item_id=7619462348981505301&amp;source=h5_t" TargetMode="External"/><Relationship Id="rId2745" Type="http://schemas.openxmlformats.org/officeDocument/2006/relationships/hyperlink" Target="https://vt.tiktok.com/ZS9NWuYuW/" TargetMode="External"/><Relationship Id="rId1415" Type="http://schemas.openxmlformats.org/officeDocument/2006/relationships/hyperlink" Target="https://www.tiktok.com/@teteh_448/video/7620229778917887252?_r=1&amp;u_code=e5ae9d9kjdj62m&amp;region=&amp;mid=7362754773216004097&amp;preview_pb=0&amp;sharer_language=&amp;_d=0&amp;ec_shared_reflux_dynamic_params=%7B%22placeholder_material_id%22%3A%227620229778917887252%22%2C%22placeholder_origin_cover%22%3A%22https%253A%252F%252Fp16-sign-sg.tiktokcdn.com%252Ftos-alisg-p-0037%252FowoMfoOfDfN8gveitfAOYQQYAAagAs5LEu4Eqk~tplv-tiktokx-origin.jpeg%253Fdr%253D14572%2526refresh_token%253D87e032ff%2526x-expires%253D1806051600%2526x-signature%253DaAgyAN3wwGMiFitXORgX98PMtWo%25253D%2526t%253D4d5b0474%2526ps%253D13740610%2526shp%253Dd05b14bd%2526shcp%253D34ff8df6%2526idc%253Dmy2%2526s%253DTIKTOK_AFFILIATE_VIRAL_VIDEO%22%2C%22placeholder_product_id%22%3A%221729729730555512511%22%2C%22placeholder_video_id%22%3A%227620229778917887252%22%7D&amp;ec_shared_reflux_scene=shop_tab_feed&amp;share_item_id=7620229778917887252&amp;source=h5_t" TargetMode="External"/><Relationship Id="rId2746" Type="http://schemas.openxmlformats.org/officeDocument/2006/relationships/hyperlink" Target="https://www.tiktok.com/@dpujianzari" TargetMode="External"/><Relationship Id="rId1416" Type="http://schemas.openxmlformats.org/officeDocument/2006/relationships/hyperlink" Target="https://www.tiktok.com/@teteh_448/video/7620932422825233685?_r=1&amp;u_code=e5ae9d9kjdj62m&amp;region=&amp;mid=7428227392702319365&amp;preview_pb=0&amp;sharer_language=&amp;_d=0&amp;ec_shared_reflux_dynamic_params=%7B%22placeholder_material_id%22%3A%227620932422825233685%22%2C%22placeholder_origin_cover%22%3A%22https%253A%252F%252Fp16-sign-sg.tiktokcdn.com%252Ftos-alisg-p-0037%252FoEMFVWACeAQhisGAGGGn1bF6fIGwLRlRbf9Qxf~tplv-tiktokx-origin.jpeg%253Fdr%253D14572%2526refresh_token%253D9cb328fa%2526x-expires%253D1806051600%2526x-signature%253Dk55R2XaxwBQFKsUfWWYhTjiTQBw%25253D%2526t%253D4d5b0474%2526ps%253D13740610%2526shp%253Dd05b14bd%2526shcp%253D34ff8df6%2526idc%253Dmy2%2526s%253DTIKTOK_AFFILIATE_VIRAL_VIDEO%22%2C%22placeholder_product_id%22%3A%221729427766722726591%22%2C%22placeholder_video_id%22%3A%227620932422825233685%22%7D&amp;ec_shared_reflux_scene=shop_tab_feed&amp;share_item_id=7620932422825233685&amp;source=h5_t" TargetMode="External"/><Relationship Id="rId2747" Type="http://schemas.openxmlformats.org/officeDocument/2006/relationships/hyperlink" Target="https://vt.tiktok.com/ZS9NWMmbo/" TargetMode="External"/><Relationship Id="rId1417" Type="http://schemas.openxmlformats.org/officeDocument/2006/relationships/hyperlink" Target="https://www.tiktok.com/@sindiprastika.s" TargetMode="External"/><Relationship Id="rId2748" Type="http://schemas.openxmlformats.org/officeDocument/2006/relationships/hyperlink" Target="https://vt.tiktok.com/ZS9NWyGXR/" TargetMode="External"/><Relationship Id="rId1418" Type="http://schemas.openxmlformats.org/officeDocument/2006/relationships/hyperlink" Target="https://www.tiktok.com/@mbk_cantik2309/video/7620278171522501908?_r=1&amp;u_code=d1gjfh028dg736&amp;region=&amp;mid=7528279704600972038&amp;preview_pb=0&amp;sharer_language=&amp;_d=0&amp;ec_shared_reflux_dynamic_params=%7B%22placeholder_material_id%22%3A%227620278171522501908%22%2C%22placeholder_origin_cover%22%3A%22https%253A%252F%252Fp16-sign-sg.tiktokcdn.com%252Ftos-alisg-p-0037%252FoQnBRKGopQccEzB8VBwFmWkEQzDHleA7RgfdVS~tplv-tiktokx-origin.jpeg%253Fdr%253D14572%2526refresh_token%253D50ab74c6%2526x-expires%253D1806055200%2526x-signature%253DNtpZM0zQV8awXIGC%25252BmrmhJT0n4E%25253D%2526t%253D4d5b0474%2526ps%253D13740610%2526shp%253Dd05b14bd%2526shcp%253D34ff8df6%2526idc%253Dmy2%2526s%253DTIKTOK_AFFILIATE_VIRAL_VIDEO%22%2C%22placeholder_product_id%22%3A%221729427766722726591%22%2C%22placeholder_video_id%22%3A%227620278171522501908%22%7D&amp;ec_shared_reflux_scene=shop_tab_feed&amp;share_item_id=7620278171522501908&amp;source=h5_t" TargetMode="External"/><Relationship Id="rId2749" Type="http://schemas.openxmlformats.org/officeDocument/2006/relationships/hyperlink" Target="https://vt.tiktok.com/ZS9NWqAkT/" TargetMode="External"/><Relationship Id="rId1419" Type="http://schemas.openxmlformats.org/officeDocument/2006/relationships/hyperlink" Target="https://www.tiktok.com/@mbk_cantik2309/video/7618069906117954837?_r=1&amp;u_code=d1gjfh028dg736&amp;region=&amp;mid=7602563353914968840&amp;preview_pb=0&amp;sharer_language=&amp;_d=0&amp;ec_shared_reflux_dynamic_params=%7B%22placeholder_material_id%22%3A%227618069906117954837%22%2C%22placeholder_origin_cover%22%3A%22https%253A%252F%252Fp16-sign-sg.tiktokcdn.com%252Ftos-alisg-p-0037%252Fo01k4AwgGuCZ7iI0C3ifAAwvT09mhTIBIUB2CA~tplv-tiktokx-origin.jpeg%253Fdr%253D14572%2526refresh_token%253D8f31bc96%2526x-expires%253D1806055200%2526x-signature%253DVsyXUfW296JWSrSIgA99s9OyfEE%25253D%2526t%253D4d5b0474%2526ps%253D13740610%2526shp%253Dd05b14bd%2526shcp%253D34ff8df6%2526idc%253Dmy2%2526s%253DTIKTOK_AFFILIATE_VIRAL_VIDEO%22%2C%22placeholder_product_id%22%3A%221729427766722726591%22%2C%22placeholder_video_id%22%3A%227618069906117954837%22%7D&amp;ec_shared_reflux_scene=shop_tab_feed&amp;share_item_id=7618069906117954837&amp;source=h5_t" TargetMode="External"/><Relationship Id="rId2740" Type="http://schemas.openxmlformats.org/officeDocument/2006/relationships/hyperlink" Target="https://www.tiktok.com/@intandws_/video/7626194700315135252?is_from_webapp=1&amp;sender_device=pc&amp;web_id=7611930277489657368" TargetMode="External"/><Relationship Id="rId1410" Type="http://schemas.openxmlformats.org/officeDocument/2006/relationships/hyperlink" Target="http://tiktok.com/@skinbeauty.id/video/7619991931183058197?_r=1&amp;u_code=db2el50hhee557&amp;region=&amp;mid=7611584354364099335&amp;preview_pb=0&amp;sharer_language=&amp;_d=0&amp;ec_shared_reflux_dynamic_params=%7B%22placeholder_material_id%22%3A%227619991931183058197%22%2C%22placeholder_origin_cover%22%3A%22https%253A%252F%252Fp16-sign-sg.tiktokcdn.com%252Ftos-alisg-p-0037%252FokmJQSfxdF1g0ALGHGLgCKeFKfRhARerOtTGI8~tplv-tiktokx-origin.jpeg%253Fdr%253D14572%2526refresh_token%253D274efb9d%2526x-expires%253D1806051600%2526x-signature%253Du2YRgETDLFEu4XhFUr0vSOLfcks%25253D%2526t%253D4d5b0474%2526ps%253D13740610%2526shp%253Dd05b14bd%2526shcp%253D34ff8df6%2526idc%253Dmy2%2526s%253DTIKTOK_AFFILIATE_VIRAL_VIDEO%22%2C%22placeholder_product_id%22%3A%221729427766722726591%22%2C%22placeholder_video_id%22%3A%227619991931183058197%22%7D&amp;ec_shared_reflux_scene=shop_tab_feed&amp;share_item_id=7619991931183058197&amp;source=h5_t" TargetMode="External"/><Relationship Id="rId2741" Type="http://schemas.openxmlformats.org/officeDocument/2006/relationships/hyperlink" Target="https://www.tiktok.com/@mey_akina05" TargetMode="External"/><Relationship Id="rId1400" Type="http://schemas.openxmlformats.org/officeDocument/2006/relationships/hyperlink" Target="https://www.tiktok.com/@jossone_/video/7616987367399984404?is_from_webapp=1&amp;sender_device=pc&amp;web_id=7611930277489657360" TargetMode="External"/><Relationship Id="rId2731" Type="http://schemas.openxmlformats.org/officeDocument/2006/relationships/hyperlink" Target="https://www.tiktok.com/@mom.of.jingga" TargetMode="External"/><Relationship Id="rId1401" Type="http://schemas.openxmlformats.org/officeDocument/2006/relationships/hyperlink" Target="https://www.tiktok.com/@jossone_/video/7617117364894616853?is_from_webapp=1&amp;sender_device=pc&amp;web_id=7611930277489657360" TargetMode="External"/><Relationship Id="rId2732" Type="http://schemas.openxmlformats.org/officeDocument/2006/relationships/hyperlink" Target="https://www.tiktok.com/@intandws_/video/7622670031272348949?is_from_webapp=1&amp;sender_device=pc&amp;web_id=7611930277489657367" TargetMode="External"/><Relationship Id="rId1402" Type="http://schemas.openxmlformats.org/officeDocument/2006/relationships/hyperlink" Target="https://www.tiktok.com/@ziozilo" TargetMode="External"/><Relationship Id="rId2733" Type="http://schemas.openxmlformats.org/officeDocument/2006/relationships/hyperlink" Target="https://www.tiktok.com/@intandws_/video/7622973710789578005?is_from_webapp=1&amp;sender_device=pc&amp;web_id=7611930277489657367" TargetMode="External"/><Relationship Id="rId1403" Type="http://schemas.openxmlformats.org/officeDocument/2006/relationships/hyperlink" Target="https://www.tiktok.com/@amellibraa_/video/7612410544271740180?is_from_webapp=1&amp;sender_device=pc&amp;web_id=7611930277489657360" TargetMode="External"/><Relationship Id="rId2734" Type="http://schemas.openxmlformats.org/officeDocument/2006/relationships/hyperlink" Target="https://www.tiktok.com/@intandws_/video/7625195832924638485?is_from_webapp=1&amp;sender_device=pc&amp;web_id=7611930277489657367" TargetMode="External"/><Relationship Id="rId1404" Type="http://schemas.openxmlformats.org/officeDocument/2006/relationships/hyperlink" Target="https://www.tiktok.com/@amellibraa_/video/7612570583615769877?is_from_webapp=1&amp;sender_device=pc&amp;web_id=7611930277489657360" TargetMode="External"/><Relationship Id="rId2735" Type="http://schemas.openxmlformats.org/officeDocument/2006/relationships/hyperlink" Target="https://www.tiktok.com/@intandws_/video/7626194700315135252?is_from_webapp=1&amp;sender_device=pc&amp;web_id=7611930277489657367" TargetMode="External"/><Relationship Id="rId1405" Type="http://schemas.openxmlformats.org/officeDocument/2006/relationships/hyperlink" Target="https://www.tiktok.com/@amellibraa_/video/7612727836222278932?is_from_webapp=1&amp;sender_device=pc&amp;web_id=7611930277489657360" TargetMode="External"/><Relationship Id="rId2736" Type="http://schemas.openxmlformats.org/officeDocument/2006/relationships/hyperlink" Target="https://www.tiktok.com/@tata81692" TargetMode="External"/><Relationship Id="rId1406" Type="http://schemas.openxmlformats.org/officeDocument/2006/relationships/hyperlink" Target="https://www.tiktok.com/@amellibraa_/video/7613003519272078613?is_from_webapp=1&amp;sender_device=pc&amp;web_id=7611930277489657360" TargetMode="External"/><Relationship Id="rId2737" Type="http://schemas.openxmlformats.org/officeDocument/2006/relationships/hyperlink" Target="https://www.tiktok.com/@intandws_/video/7622670031272348949?is_from_webapp=1&amp;sender_device=pc&amp;web_id=7611930277489657368" TargetMode="External"/><Relationship Id="rId1407" Type="http://schemas.openxmlformats.org/officeDocument/2006/relationships/hyperlink" Target="https://www.tiktok.com/@.lala.beauty" TargetMode="External"/><Relationship Id="rId2738" Type="http://schemas.openxmlformats.org/officeDocument/2006/relationships/hyperlink" Target="https://www.tiktok.com/@intandws_/video/7622973710789578005?is_from_webapp=1&amp;sender_device=pc&amp;web_id=7611930277489657368" TargetMode="External"/><Relationship Id="rId1408" Type="http://schemas.openxmlformats.org/officeDocument/2006/relationships/hyperlink" Target="https://www.tiktok.com/@skinbeauty.id/video/7617404182168898836?is_from_webapp=1&amp;sender_device=pc" TargetMode="External"/><Relationship Id="rId2739" Type="http://schemas.openxmlformats.org/officeDocument/2006/relationships/hyperlink" Target="https://www.tiktok.com/@intandws_/video/7625195832924638485?is_from_webapp=1&amp;sender_device=pc&amp;web_id=7611930277489657368" TargetMode="External"/><Relationship Id="rId1409" Type="http://schemas.openxmlformats.org/officeDocument/2006/relationships/hyperlink" Target="https://www.tiktok.com/@skinbeauty.id/video/7617848378914802965?is_from_webapp=1&amp;sender_device=pc" TargetMode="External"/><Relationship Id="rId2730" Type="http://schemas.openxmlformats.org/officeDocument/2006/relationships/hyperlink" Target="https://www.tiktok.com/@racun_spalspil12/video/7634537710018907413?_r=1&amp;u_code=cllj6j6aidf05b&amp;region=&amp;mid=7624353502927604487&amp;preview_pb=0&amp;sharer_language=&amp;_d=0&amp;ec_shared_reflux_dynamic_params=%7B%22placeholder_material_id%22%3A%227634537710018907413%22%2C%22placeholder_origin_cover%22%3A%22https%253A%252F%252Fp16-common-sign.tiktokcdn.com%252Ftos-alisg-p-0037%252FoEfVg4IGfqeDyhAGUTqzIJEg6KLYJjA5TxCuhA~tplv-tiktokx-origin.jpeg%253Fdr%253D14572%2526refresh_token%253D84212f78%2526x-expires%253D1810116000%2526x-signature%253DVBWpqsmkganwGYndVzrz7UT8S80%25253D%2526t%253D4d5b0474%2526ps%253D13740610%2526shp%253Dd05b14bd%2526shcp%253D34ff8df6%2526idc%253Dmy2%2526s%253DTIKTOK_AFFILIATE_VIRAL_VIDEO%22%2C%22placeholder_product_id%22%3A%221729729730555512511%22%2C%22placeholder_video_id%22%3A%227634537710018907413%22%7D&amp;ec_shared_reflux_scene=shop_tab_feed&amp;share_item_id=7634537710018907413&amp;source=h5_t" TargetMode="External"/><Relationship Id="rId1433" Type="http://schemas.openxmlformats.org/officeDocument/2006/relationships/hyperlink" Target="https://vt.tiktok.com/ZSuTpt21D/" TargetMode="External"/><Relationship Id="rId2764" Type="http://schemas.openxmlformats.org/officeDocument/2006/relationships/hyperlink" Target="https://vt.tiktok.com/ZS95J8DsR/" TargetMode="External"/><Relationship Id="rId1434" Type="http://schemas.openxmlformats.org/officeDocument/2006/relationships/hyperlink" Target="https://www.tiktok.com/@racunbyyola/video/7615893213643148552?_r=1&amp;u_code=did1gld0iebd1c&amp;region=&amp;mid=7615893257116994322&amp;preview_pb=0&amp;sharer_language=&amp;_d=0&amp;ec_shared_reflux_dynamic_params=%7B%22placeholder_material_id%22%3A%227615893213643148552%22%2C%22placeholder_origin_cover%22%3A%22https%253A%252F%252Fp16-sign-sg.tiktokcdn.com%252Ftos-alisg-p-0037%252Fo45XIYXtHiBcFJxa8EaDvypWObEBBiOIR4QBA~tplv-tiktokx-origin.jpeg%253Fdr%253D14572%2526refresh_token%253Dd3db15fc%2526x-expires%253D1806051600%2526x-signature%253DzMNGox%25252FWKWkBsIotlX%25252Fmt%25252Fhl0RA%25253D%2526t%253D4d5b0474%2526ps%253D13740610%2526shp%253Dd05b14bd%2526shcp%253D34ff8df6%2526idc%253Dmy2%2526s%253DTIKTOK_AFFILIATE_VIRAL_VIDEO%22%2C%22placeholder_product_id%22%3A%221729427766722726591%22%2C%22placeholder_video_id%22%3A%227615893213643148552%22%7D&amp;ec_shared_reflux_scene=shop_tab_feed&amp;share_item_id=7615893213643148552&amp;source=h5_t" TargetMode="External"/><Relationship Id="rId2765" Type="http://schemas.openxmlformats.org/officeDocument/2006/relationships/hyperlink" Target="https://vt.tiktok.com/ZS9QgLAs7/" TargetMode="External"/><Relationship Id="rId1435" Type="http://schemas.openxmlformats.org/officeDocument/2006/relationships/hyperlink" Target="https://www.tiktok.com/@racunbyyola/video/7616297481894137106?_d=0&amp;_r=1&amp;ec_shared_reflux_dynamic_params=%7B%22placeholder_material_id%22%3A%227616297481894137106%22%2C%22placeholder_origin_cover%22%3A%22https%253A%252F%252Fp16-sign-sg.tiktokcdn.com%252Ftos-alisg-p-0037%252Fo0HEBsvc6QAorMfY7sDXlfD3agEoOBDFpQURsF~tplv-tiktokx-origin.jpeg%253Fdr%253D14572%2526refresh_token%253De9e796f6%2526x-expires%253D1806051600%2526x-signature%253DHJSFdKLm7gYYgHf8Hc95SoHVs58%25253D%2526t%253D4d5b0474%2526ps%253D13740610%2526shp%253Dd05b14bd%2526shcp%253D34ff8df6%2526idc%253Dmy2%2526s%253DTIKTOK_AFFILIATE_VIRAL_VIDEO%22%2C%22placeholder_product_id%22%3A%221729427766722726591%22%2C%22placeholder_video_id%22%3A%227616297481894137106%22%7D&amp;ec_shared_reflux_scene=shop_tab_feed&amp;mid=7612573308588018449&amp;preview_pb=0&amp;region=&amp;share_item_id=7616297481894137106&amp;sharer_language=&amp;source=h5_t&amp;u_code=did1gld0iebd1c" TargetMode="External"/><Relationship Id="rId2766" Type="http://schemas.openxmlformats.org/officeDocument/2006/relationships/hyperlink" Target="https://www.tiktok.com/@vika_deanda" TargetMode="External"/><Relationship Id="rId1436" Type="http://schemas.openxmlformats.org/officeDocument/2006/relationships/hyperlink" Target="https://www.tiktok.com/@racunbyyola/video/7616391575031057671?_r=1&amp;u_code=did1gld0iebd1c&amp;region=&amp;mid=7579485199155677960&amp;preview_pb=0&amp;sharer_language=&amp;_d=0&amp;ec_shared_reflux_dynamic_params=%7B%22placeholder_material_id%22%3A%227616391575031057671%22%2C%22placeholder_origin_cover%22%3A%22https%253A%252F%252Fp16-sign-sg.tiktokcdn.com%252Ftos-alisg-p-0037%252Fo4BwA2usFFamcEtBIpEDf8fQIt9cguOCBcyCxR~tplv-tiktokx-origin.jpeg%253Fdr%253D14572%2526refresh_token%253D7ef5dddf%2526x-expires%253D1806051600%2526x-signature%253D0J9bdg2SG06zl%25252Fs%25252BINCPv4j4L6M%25253D%2526t%253D4d5b0474%2526ps%253D13740610%2526shp%253Dd05b14bd%2526shcp%253D34ff8df6%2526idc%253Dmy2%2526s%253DTIKTOK_AFFILIATE_VIRAL_VIDEO%22%2C%22placeholder_product_id%22%3A%221729427766722726591%22%2C%22placeholder_video_id%22%3A%227616391575031057671%22%7D&amp;ec_shared_reflux_scene=shop_tab_feed&amp;share_item_id=7616391575031057671&amp;source=h5_t" TargetMode="External"/><Relationship Id="rId2767" Type="http://schemas.openxmlformats.org/officeDocument/2006/relationships/hyperlink" Target="https://www.tiktok.com/@vika_deanda/video/7625138438009851144?_r=1&amp;u_code=daj3hm0m0lblj5&amp;region=&amp;mid=6636211004302691073&amp;preview_pb=0&amp;sharer_language=&amp;_d=0&amp;ec_shared_reflux_dynamic_params=%7B%22placeholder_material_id%22%3A%227625138438009851144%22%2C%22placeholder_origin_cover%22%3A%22https%253A%252F%252Fp19-common-sign.tiktokcdn.com%252Ftos-alisg-p-0037%252Fo0ToGhp3Q6eqCMGIQrTjyDAeBjFha4fBRAaD6E~tplv-tiktokx-origin.jpeg%253Fdr%253D14572%2526refresh_token%253D96db7bb7%2526x-expires%253D1807070400%2526x-signature%253D%25252F%25252BS%25252B1cr9HxsdFYRGuEa8Mf38Sqc%25253D%2526t%253D4d5b0474%2526ps%253D13740610%2526shp%253Dd05b14bd%2526shcp%253D34ff8df6%2526idc%253Dmy2%2526s%253DTIKTOK_AFFILIATE_VIRAL_VIDEO%22%2C%22placeholder_product_id%22%3A%221729427766722726591%22%2C%22placeholder_video_id%22%3A%227625138438009851144%22%7D&amp;ec_shared_reflux_scene=shop_tab_feed&amp;share_item_id=7625138438009851144&amp;source=h5_t" TargetMode="External"/><Relationship Id="rId1437" Type="http://schemas.openxmlformats.org/officeDocument/2006/relationships/hyperlink" Target="https://www.tiktok.com/@nia_chan006" TargetMode="External"/><Relationship Id="rId2768" Type="http://schemas.openxmlformats.org/officeDocument/2006/relationships/hyperlink" Target="https://vt.tiktok.com/ZSHojNfjP/" TargetMode="External"/><Relationship Id="rId1438" Type="http://schemas.openxmlformats.org/officeDocument/2006/relationships/hyperlink" Target="https://www.tiktok.com/@lsakyu/video/7618030718739926273?is_from_webapp=1&amp;sender_device=pc&amp;web_id=7611930277489657360" TargetMode="External"/><Relationship Id="rId2769" Type="http://schemas.openxmlformats.org/officeDocument/2006/relationships/hyperlink" Target="https://www.tiktok.com/@racun_spalspil12/video/7634524063255285013?_r=1&amp;u_code=cllj6j6aidf05b&amp;region=&amp;mid=7591327568393980693&amp;preview_pb=0&amp;sharer_language=&amp;_d=0&amp;ec_shared_reflux_dynamic_params=%7B%22placeholder_material_id%22%3A%227634524063255285013%22%2C%22placeholder_origin_cover%22%3A%22https%253A%252F%252Fp16-common-sign.tiktokcdn.com%252Ftos-alisg-p-0037%252Fo8zgBTTERIeAzclflDICkUDpm38FEBH0BggcR8~tplv-tiktokx-origin.jpeg%253Fdr%253D14572%2526refresh_token%253D04861cd2%2526x-expires%253D1810116000%2526x-signature%253DMJQkKmxx3X47u4WOICP%25252BOwPCljA%25253D%2526t%253D4d5b0474%2526ps%253D13740610%2526shp%253Dd05b14bd%2526shcp%253D34ff8df6%2526idc%253Dmy2%2526s%253DTIKTOK_AFFILIATE_VIRAL_VIDEO%22%2C%22placeholder_product_id%22%3A%221729729730555512511%22%2C%22placeholder_video_id%22%3A%227634524063255285013%22%7D&amp;ec_shared_reflux_scene=shop_tab_feed&amp;share_item_id=7634524063255285013&amp;source=h5_t" TargetMode="External"/><Relationship Id="rId1439" Type="http://schemas.openxmlformats.org/officeDocument/2006/relationships/hyperlink" Target="https://www.tiktok.com/@amellibraa_/video/7611416971619437844?is_from_webapp=1&amp;sender_device=pc&amp;web_id=7611930277489657360" TargetMode="External"/><Relationship Id="rId609" Type="http://schemas.openxmlformats.org/officeDocument/2006/relationships/hyperlink" Target="https://vt.tiktok.com/ZSuAQDsep/" TargetMode="External"/><Relationship Id="rId608" Type="http://schemas.openxmlformats.org/officeDocument/2006/relationships/hyperlink" Target="https://vt.tiktok.com/ZSmwMvnrW/" TargetMode="External"/><Relationship Id="rId607" Type="http://schemas.openxmlformats.org/officeDocument/2006/relationships/hyperlink" Target="https://www.tiktok.com/@afni01235" TargetMode="External"/><Relationship Id="rId602" Type="http://schemas.openxmlformats.org/officeDocument/2006/relationships/hyperlink" Target="https://www.tiktok.com/@ghea.beauty" TargetMode="External"/><Relationship Id="rId601" Type="http://schemas.openxmlformats.org/officeDocument/2006/relationships/hyperlink" Target="https://vt.tiktok.com/ZS9qM251N/" TargetMode="External"/><Relationship Id="rId600" Type="http://schemas.openxmlformats.org/officeDocument/2006/relationships/hyperlink" Target="https://vt.tiktok.com/ZS9qMdNqf/" TargetMode="External"/><Relationship Id="rId606" Type="http://schemas.openxmlformats.org/officeDocument/2006/relationships/hyperlink" Target="https://vt.tiktok.com/ZS9LVqusX/" TargetMode="External"/><Relationship Id="rId605" Type="http://schemas.openxmlformats.org/officeDocument/2006/relationships/hyperlink" Target="https://www.tiktok.com/@ghea.beauty/video/7630009764629450005" TargetMode="External"/><Relationship Id="rId604" Type="http://schemas.openxmlformats.org/officeDocument/2006/relationships/hyperlink" Target="https://www.tiktok.com/@ghea.beauty/video/7629679331589098772" TargetMode="External"/><Relationship Id="rId603" Type="http://schemas.openxmlformats.org/officeDocument/2006/relationships/hyperlink" Target="https://www.tiktok.com/@ghea.beauty/video/7629507202105396501" TargetMode="External"/><Relationship Id="rId2760" Type="http://schemas.openxmlformats.org/officeDocument/2006/relationships/hyperlink" Target="https://www.tiktok.com/@racun_spalspil12/video/7634525331176639764?_r=1&amp;u_code=cllj6j6aidf05b&amp;region=&amp;mid=7623706568667712273&amp;preview_pb=0&amp;sharer_language=&amp;_d=0&amp;ec_shared_reflux_dynamic_params=%7B%22placeholder_material_id%22%3A%227634525331176639764%22%2C%22placeholder_origin_cover%22%3A%22https%253A%252F%252Fp16-common-sign.tiktokcdn.com%252Ftos-alisg-p-0037%252FocFifAD8SSbBGFRfppYVhCcEgI1zBrLIXZr0E4~tplv-tiktokx-origin.jpeg%253Fdr%253D14572%2526refresh_token%253Dbe037d75%2526x-expires%253D1810116000%2526x-signature%253DeRiCcrABI9baASzBZhW64w0nF9I%25253D%2526t%253D4d5b0474%2526ps%253D13740610%2526shp%253Dd05b14bd%2526shcp%253D34ff8df6%2526idc%253Dmy2%2526s%253DTIKTOK_AFFILIATE_VIRAL_VIDEO%22%2C%22placeholder_product_id%22%3A%221729729730555512511%22%2C%22placeholder_video_id%22%3A%227634525331176639764%22%7D&amp;ec_shared_reflux_scene=shop_tab_feed&amp;share_item_id=7634525331176639764&amp;source=h5_t" TargetMode="External"/><Relationship Id="rId1430" Type="http://schemas.openxmlformats.org/officeDocument/2006/relationships/hyperlink" Target="https://www.tiktok.com/@zizee___/video/7618580880579267847?_r=1&amp;u_code=d683jg1cbkdg4l&amp;region=&amp;mid=7592942162568923912&amp;preview_pb=0&amp;sharer_language=&amp;_d=0&amp;ec_shared_reflux_dynamic_params=%7B%22placeholder_material_id%22%3A%227618580880579267847%22%2C%22placeholder_origin_cover%22%3A%22https%253A%252F%252Fp16-sign-sg.tiktokcdn.com%252Ftos-alisg-p-0037%252FogPAfHi9AWWIUToTjScCDAkgfQgfgEWqO7Pd8M~tplv-tiktokx-origin.jpeg%253Fdr%253D14572%2526refresh_token%253Dddc30bc3%2526x-expires%253D1806051600%2526x-signature%253DIf5bguChkP86KRUNB7SAXYSPIqY%25253D%2526t%253D4d5b0474%2526ps%253D13740610%2526shp%253Dd05b14bd%2526shcp%253D34ff8df6%2526idc%253Dmy2%2526s%253DTIKTOK_AFFILIATE_VIRAL_VIDEO%22%2C%22placeholder_product_id%22%3A%221729427766722726591%22%2C%22placeholder_video_id%22%3A%227618580880579267847%22%7D&amp;ec_shared_reflux_scene=shop_tab_feed&amp;share_item_id=7618580880579267847&amp;source=h5_t" TargetMode="External"/><Relationship Id="rId2761" Type="http://schemas.openxmlformats.org/officeDocument/2006/relationships/hyperlink" Target="https://www.tiktok.com/@sunja.96" TargetMode="External"/><Relationship Id="rId1431" Type="http://schemas.openxmlformats.org/officeDocument/2006/relationships/hyperlink" Target="https://www.tiktok.com/@zizee___/video/7618925680461483282?_d=0&amp;_r=1&amp;ec_shared_reflux_dynamic_params=%7B%22placeholder_material_id%22%3A%227618925680461483282%22%2C%22placeholder_origin_cover%22%3A%22https%253A%252F%252Fp16-sign-sg.tiktokcdn.com%252Ftos-alisg-p-0037%252FoUHDfjT8CujRIzUIL7AtlQQG3Agod1rC4XeeSj~tplv-tiktokx-origin.jpeg%253Fdr%253D14572%2526refresh_token%253Df42fc3ed%2526x-expires%253D1806051600%2526x-signature%253DcWph1TgB8t3df61fLXCAIVBoj7c%25253D%2526t%253D4d5b0474%2526ps%253D13740610%2526shp%253Dd05b14bd%2526shcp%253D34ff8df6%2526idc%253Dmy2%2526s%253DTIKTOK_AFFILIATE_VIRAL_VIDEO%22%2C%22placeholder_product_id%22%3A%221729427766722726591%22%2C%22placeholder_video_id%22%3A%227618925680461483282%22%7D&amp;ec_shared_reflux_scene=shop_tab_feed&amp;mid=7507772951459432464&amp;preview_pb=0&amp;region=&amp;share_item_id=7618925680461483282&amp;sharer_language=&amp;source=h5_t&amp;u_code=d683jg1cbkdg4l" TargetMode="External"/><Relationship Id="rId2762" Type="http://schemas.openxmlformats.org/officeDocument/2006/relationships/hyperlink" Target="https://vt.tiktok.com/ZS9yTYSwj/" TargetMode="External"/><Relationship Id="rId1432" Type="http://schemas.openxmlformats.org/officeDocument/2006/relationships/hyperlink" Target="https://www.tiktok.com/@galerirubi" TargetMode="External"/><Relationship Id="rId2763" Type="http://schemas.openxmlformats.org/officeDocument/2006/relationships/hyperlink" Target="https://vt.tiktok.com/ZS9yT1Arc/" TargetMode="External"/><Relationship Id="rId1422" Type="http://schemas.openxmlformats.org/officeDocument/2006/relationships/hyperlink" Target="https://www.tiktok.com/@shantym21" TargetMode="External"/><Relationship Id="rId2753" Type="http://schemas.openxmlformats.org/officeDocument/2006/relationships/hyperlink" Target="https://vt.tiktok.com/ZS98FTGdn/" TargetMode="External"/><Relationship Id="rId1423" Type="http://schemas.openxmlformats.org/officeDocument/2006/relationships/hyperlink" Target="https://www.tiktok.com/@mimianindya/video/7617129011650497812?_r=1&amp;u_code=di9l43d2mjdm07&amp;region=&amp;mid=7252577204579879685&amp;preview_pb=0&amp;sharer_language=&amp;_d=0&amp;ec_shared_reflux_dynamic_params=%7B%22placeholder_material_id%22%3A%227617129011650497812%22%2C%22placeholder_origin_cover%22%3A%22https%253A%252F%252Fp16-sign-sg.tiktokcdn.com%252Ftos-alisg-p-0037%252FooVkGDoQ44FXBuafEgnqJUpoedR9tA9ZEQmBCX~tplv-tiktokx-origin.jpeg%253Fdr%253D14572%2526refresh_token%253D150fff4a%2526x-expires%253D1806051600%2526x-signature%253DVrof2j4GAQhpdFCVKRI7rV7A5wk%25253D%2526t%253D4d5b0474%2526ps%253D13740610%2526shp%253Dd05b14bd%2526shcp%253D34ff8df6%2526idc%253Dmy2%2526s%253DTIKTOK_AFFILIATE_VIRAL_VIDEO%22%2C%22placeholder_product_id%22%3A%221729427766722726591%22%2C%22placeholder_video_id%22%3A%227617129011650497812%22%7D&amp;ec_shared_reflux_scene=shop_tab_feed&amp;share_item_id=7617129011650497812&amp;source=h5_t" TargetMode="External"/><Relationship Id="rId2754" Type="http://schemas.openxmlformats.org/officeDocument/2006/relationships/hyperlink" Target="https://vt.tiktok.com/ZS98FeWx7/" TargetMode="External"/><Relationship Id="rId1424" Type="http://schemas.openxmlformats.org/officeDocument/2006/relationships/hyperlink" Target="https://www.tiktok.com/@mimianindya/video/7614917258917301524?_r=1&amp;u_code=di9l43d2mjdm07&amp;region=&amp;mid=7548353600003607297&amp;preview_pb=0&amp;sharer_language=&amp;_d=0&amp;ec_shared_reflux_dynamic_params=%7B%22placeholder_material_id%22%3A%227614917258917301524%22%2C%22placeholder_origin_cover%22%3A%22https%253A%252F%252Fp16-sign-sg.tiktokcdn.com%252Ftos-alisg-p-0037%252FoYDIjNB2IiAeIPA1qBiqQnCTAxsAvIat0DvOwV~tplv-tiktokx-origin.jpeg%253Fdr%253D14572%2526refresh_token%253D4cd279ac%2526x-expires%253D1806051600%2526x-signature%253DYcPUmRtYVsKgU4P1HlIv0btGsww%25253D%2526t%253D4d5b0474%2526ps%253D13740610%2526shp%253Dd05b14bd%2526shcp%253D34ff8df6%2526idc%253Dmy2%2526s%253DTIKTOK_AFFILIATE_VIRAL_VIDEO%22%2C%22placeholder_product_id%22%3A%221729427766722726591%22%2C%22placeholder_video_id%22%3A%227614917258917301524%22%7D&amp;ec_shared_reflux_scene=shop_tab_feed&amp;share_item_id=7614917258917301524&amp;source=h5_t" TargetMode="External"/><Relationship Id="rId2755" Type="http://schemas.openxmlformats.org/officeDocument/2006/relationships/hyperlink" Target="https://vt.tiktok.com/ZS98FRQx9/" TargetMode="External"/><Relationship Id="rId1425" Type="http://schemas.openxmlformats.org/officeDocument/2006/relationships/hyperlink" Target="https://www.tiktok.com/@meliantiukail2/video/7619832912254340372?_r=1&amp;u_code=di8aha2h9mb79f&amp;region=&amp;mid=7619832980768951060&amp;preview_pb=0&amp;sharer_language=&amp;_d=0&amp;ec_shared_reflux_dynamic_params=%7B%22placeholder_material_id%22%3A%227619832912254340372%22%2C%22placeholder_origin_cover%22%3A%22https%253A%252F%252Fp16-sign-sg.tiktokcdn.com%252Ftos-alisg-p-0037%252FoIfhFxncvBBFiYOQCQDgtoATTRVgbpI5DERfEV~tplv-tiktokx-origin.jpeg%253Fdr%253D14572%2526refresh_token%253D50ac5391%2526x-expires%253D1806051600%2526x-signature%253D7KhgEJm3Iyt%25252Fb9vLAxlYJEO1g9U%25253D%2526t%253D4d5b0474%2526ps%253D13740610%2526shp%253Dd05b14bd%2526shcp%253D34ff8df6%2526idc%253Dmy2%2526s%253DTIKTOK_AFFILIATE_VIRAL_VIDEO%22%2C%22placeholder_product_id%22%3A%221729427766722726591%22%2C%22placeholder_video_id%22%3A%227619832912254340372%22%7D&amp;ec_shared_reflux_scene=shop_tab_feed&amp;share_item_id=7619832912254340372&amp;source=h5_t" TargetMode="External"/><Relationship Id="rId2756" Type="http://schemas.openxmlformats.org/officeDocument/2006/relationships/hyperlink" Target="https://www.tiktok.com/@mamarey13" TargetMode="External"/><Relationship Id="rId1426" Type="http://schemas.openxmlformats.org/officeDocument/2006/relationships/hyperlink" Target="https://www.tiktok.com/@meliantiukail2/video/7621411114492136724?_r=1&amp;u_code=di8aha2h9mb79f&amp;region=&amp;mid=7621411202394966785&amp;preview_pb=0&amp;sharer_language=&amp;_d=0&amp;ec_shared_reflux_dynamic_params=%7B%22placeholder_material_id%22%3A%227621411114492136724%22%2C%22placeholder_origin_cover%22%3A%22https%253A%252F%252Fp16-sign-sg.tiktokcdn.com%252Ftos-alisg-p-0037%252Fo8uBnDpQEu7DsBnsgzURLfERFEARfAx8vkOY3Q~tplv-tiktokx-origin.jpeg%253Fdr%253D14572%2526refresh_token%253D67e0fd70%2526x-expires%253D1806051600%2526x-signature%253DMrviZMnO6N2DB3Sib0TysVGWETk%25253D%2526t%253D4d5b0474%2526ps%253D13740610%2526shp%253Dd05b14bd%2526shcp%253D34ff8df6%2526idc%253Dmy2%2526s%253DTIKTOK_AFFILIATE_VIRAL_VIDEO%22%2C%22placeholder_product_id%22%3A%221729427766722726591%22%2C%22placeholder_video_id%22%3A%227621411114492136724%22%7D&amp;ec_shared_reflux_scene=shop_tab_feed&amp;share_item_id=7621411114492136724&amp;source=h5_t" TargetMode="External"/><Relationship Id="rId2757" Type="http://schemas.openxmlformats.org/officeDocument/2006/relationships/hyperlink" Target="https://www.tiktok.com/@mamarey13/video/7623028898749500693?is_from_webapp=1&amp;sender_device=pc" TargetMode="External"/><Relationship Id="rId1427" Type="http://schemas.openxmlformats.org/officeDocument/2006/relationships/hyperlink" Target="https://www.tiktok.com/@onakadukahshop" TargetMode="External"/><Relationship Id="rId2758" Type="http://schemas.openxmlformats.org/officeDocument/2006/relationships/hyperlink" Target="https://www.tiktok.com/@racun_spalspil12/video/7634537710018907413?_r=1&amp;u_code=cllj6j6aidf05b&amp;region=&amp;mid=7624353502927604487&amp;preview_pb=0&amp;sharer_language=&amp;_d=0&amp;ec_shared_reflux_dynamic_params=%7B%22placeholder_material_id%22%3A%227634537710018907413%22%2C%22placeholder_origin_cover%22%3A%22https%253A%252F%252Fp16-common-sign.tiktokcdn.com%252Ftos-alisg-p-0037%252FoEfVg4IGfqeDyhAGUTqzIJEg6KLYJjA5TxCuhA~tplv-tiktokx-origin.jpeg%253Fdr%253D14572%2526refresh_token%253D84212f78%2526x-expires%253D1810116000%2526x-signature%253DVBWpqsmkganwGYndVzrz7UT8S80%25253D%2526t%253D4d5b0474%2526ps%253D13740610%2526shp%253Dd05b14bd%2526shcp%253D34ff8df6%2526idc%253Dmy2%2526s%253DTIKTOK_AFFILIATE_VIRAL_VIDEO%22%2C%22placeholder_product_id%22%3A%221729729730555512511%22%2C%22placeholder_video_id%22%3A%227634537710018907413%22%7D&amp;ec_shared_reflux_scene=shop_tab_feed&amp;share_item_id=7634537710018907413&amp;source=h5_t" TargetMode="External"/><Relationship Id="rId1428" Type="http://schemas.openxmlformats.org/officeDocument/2006/relationships/hyperlink" Target="https://www.tiktok.com/@zizee___/video/7617693992582532360?is_from_webapp=1&amp;sender_device=pc" TargetMode="External"/><Relationship Id="rId2759" Type="http://schemas.openxmlformats.org/officeDocument/2006/relationships/hyperlink" Target="https://www.tiktok.com/@racun_spalspil12/video/7634536641243221268?_r=1&amp;u_code=cllj6j6aidf05b&amp;region=&amp;mid=7538747777314785296&amp;preview_pb=0&amp;sharer_language=&amp;_d=0&amp;ec_shared_reflux_dynamic_params=%7B%22placeholder_material_id%22%3A%227634536641243221268%22%2C%22placeholder_origin_cover%22%3A%22https%253A%252F%252Fp16-common-sign.tiktokcdn.com%252Ftos-alisg-p-0037%252FocDLzqfJBuf1pF5EX4hBAMcnE8IBUIRgRFTHgK~tplv-tiktokx-origin.jpeg%253Fdr%253D14572%2526refresh_token%253D1b8a2431%2526x-expires%253D1810116000%2526x-signature%253DJXn0ySSwwWI8Gt4uRKcq3XF%25252B%25252B58%25253D%2526t%253D4d5b0474%2526ps%253D13740610%2526shp%253Dd05b14bd%2526shcp%253D34ff8df6%2526idc%253Dmy2%2526s%253DTIKTOK_AFFILIATE_VIRAL_VIDEO%22%2C%22placeholder_product_id%22%3A%221729729730555512511%22%2C%22placeholder_video_id%22%3A%227634536641243221268%22%7D&amp;ec_shared_reflux_scene=shop_tab_feed&amp;share_item_id=7634536641243221268&amp;source=h5_t" TargetMode="External"/><Relationship Id="rId1429" Type="http://schemas.openxmlformats.org/officeDocument/2006/relationships/hyperlink" Target="https://www.tiktok.com/@zizee___/video/7617721433518624018?is_from_webapp=1&amp;sender_device=pc" TargetMode="External"/><Relationship Id="rId2750" Type="http://schemas.openxmlformats.org/officeDocument/2006/relationships/hyperlink" Target="https://vt.tiktok.com/ZS98F4uhG/" TargetMode="External"/><Relationship Id="rId1420" Type="http://schemas.openxmlformats.org/officeDocument/2006/relationships/hyperlink" Target="https://www.tiktok.com/@mbk_cantik2309/video/7615538712419519752?_r=1&amp;u_code=d1gjfh028dg736&amp;region=&amp;mid=7543265801286290192&amp;preview_pb=0&amp;sharer_language=&amp;_d=0&amp;ec_shared_reflux_dynamic_params=%7B%22placeholder_material_id%22%3A%227615538712419519752%22%2C%22placeholder_origin_cover%22%3A%22https%253A%252F%252Fp16-sign-sg.tiktokcdn.com%252Ftos-alisg-p-0037%252FoI0MDs8M4BqljzTIJqeRqX36fCEAqQcfWYzBAA~tplv-tiktokx-origin.jpeg%253Fdr%253D14572%2526refresh_token%253Dc04cf3fa%2526x-expires%253D1806055200%2526x-signature%253DQ0W6mm7U%25252F6mphOoAuJAn1BU1sZ0%25253D%2526t%253D4d5b0474%2526ps%253D13740610%2526shp%253Dd05b14bd%2526shcp%253D34ff8df6%2526idc%253Dmy2%2526s%253DTIKTOK_AFFILIATE_VIRAL_VIDEO%22%2C%22placeholder_product_id%22%3A%221729427766722726591%22%2C%22placeholder_video_id%22%3A%227615538712419519752%22%7D&amp;ec_shared_reflux_scene=shop_tab_feed&amp;share_item_id=7615538712419519752&amp;source=h5_t" TargetMode="External"/><Relationship Id="rId2751" Type="http://schemas.openxmlformats.org/officeDocument/2006/relationships/hyperlink" Target="https://www.tiktok.com/@annnaaa3101" TargetMode="External"/><Relationship Id="rId1421" Type="http://schemas.openxmlformats.org/officeDocument/2006/relationships/hyperlink" Target="https://vt.tiktok.com/ZSucuFEwe/" TargetMode="External"/><Relationship Id="rId2752" Type="http://schemas.openxmlformats.org/officeDocument/2006/relationships/hyperlink" Target="https://vt.tiktok.com/ZS98F76ce/" TargetMode="External"/><Relationship Id="rId8927" Type="http://schemas.openxmlformats.org/officeDocument/2006/relationships/hyperlink" Target="https://vt.tiktok.com/ZSxxwxMtg/" TargetMode="External"/><Relationship Id="rId8926" Type="http://schemas.openxmlformats.org/officeDocument/2006/relationships/hyperlink" Target="https://vt.tiktok.com/ZSxboQyXH/" TargetMode="External"/><Relationship Id="rId8925" Type="http://schemas.openxmlformats.org/officeDocument/2006/relationships/hyperlink" Target="https://vt.tiktok.com/ZSxbE8uxh/" TargetMode="External"/><Relationship Id="rId8924" Type="http://schemas.openxmlformats.org/officeDocument/2006/relationships/hyperlink" Target="https://www.tiktok.com/@lilisshop80" TargetMode="External"/><Relationship Id="rId8929" Type="http://schemas.openxmlformats.org/officeDocument/2006/relationships/hyperlink" Target="https://www.tiktok.com/@trianurmldh" TargetMode="External"/><Relationship Id="rId8928" Type="http://schemas.openxmlformats.org/officeDocument/2006/relationships/hyperlink" Target="https://vt.tiktok.com/ZSxHkwbPr/" TargetMode="External"/><Relationship Id="rId8923" Type="http://schemas.openxmlformats.org/officeDocument/2006/relationships/hyperlink" Target="https://vt.tiktok.com/ZSxA2ubKN/" TargetMode="External"/><Relationship Id="rId8922" Type="http://schemas.openxmlformats.org/officeDocument/2006/relationships/hyperlink" Target="https://vt.tiktok.com/ZSxDopKCa/" TargetMode="External"/><Relationship Id="rId8921" Type="http://schemas.openxmlformats.org/officeDocument/2006/relationships/hyperlink" Target="https://vt.tiktok.com/ZSxTUkMh3/" TargetMode="External"/><Relationship Id="rId8920" Type="http://schemas.openxmlformats.org/officeDocument/2006/relationships/hyperlink" Target="https://vt.tiktok.com/ZSxTUCNGP/" TargetMode="External"/><Relationship Id="rId8916" Type="http://schemas.openxmlformats.org/officeDocument/2006/relationships/hyperlink" Target="https://www.tiktok.com/@Racuntiktok_3" TargetMode="External"/><Relationship Id="rId8915" Type="http://schemas.openxmlformats.org/officeDocument/2006/relationships/hyperlink" Target="https://vt.tiktok.com/ZSxayL4XY/" TargetMode="External"/><Relationship Id="rId8914" Type="http://schemas.openxmlformats.org/officeDocument/2006/relationships/hyperlink" Target="https://vt.tiktok.com/ZSxaW7m5v/" TargetMode="External"/><Relationship Id="rId8913" Type="http://schemas.openxmlformats.org/officeDocument/2006/relationships/hyperlink" Target="https://vt.tiktok.com/ZSx7PYE4k/" TargetMode="External"/><Relationship Id="rId8919" Type="http://schemas.openxmlformats.org/officeDocument/2006/relationships/hyperlink" Target="https://www.tiktok.com/@rrsqinuriza20_" TargetMode="External"/><Relationship Id="rId8918" Type="http://schemas.openxmlformats.org/officeDocument/2006/relationships/hyperlink" Target="https://vt.tiktok.com/ZSxUQpeKS/" TargetMode="External"/><Relationship Id="rId8917" Type="http://schemas.openxmlformats.org/officeDocument/2006/relationships/hyperlink" Target="https://vt.tiktok.com/ZSxfySq18/" TargetMode="External"/><Relationship Id="rId699" Type="http://schemas.openxmlformats.org/officeDocument/2006/relationships/hyperlink" Target="https://www.tiktok.com/@ahakosmetik" TargetMode="External"/><Relationship Id="rId698" Type="http://schemas.openxmlformats.org/officeDocument/2006/relationships/hyperlink" Target="https://vt.tiktok.com/ZS9qMkhCk/" TargetMode="External"/><Relationship Id="rId693" Type="http://schemas.openxmlformats.org/officeDocument/2006/relationships/hyperlink" Target="https://www.tiktok.com/@khanndew/video/7624054004414237970?is_from_webapp=1&amp;sender_device=pc" TargetMode="External"/><Relationship Id="rId692" Type="http://schemas.openxmlformats.org/officeDocument/2006/relationships/hyperlink" Target="https://www.tiktok.com/@naura.karisma/video/7622944556455136533?is_from_webapp=1&amp;sender_device=pc&amp;web_id=7611930277489657360" TargetMode="External"/><Relationship Id="rId691" Type="http://schemas.openxmlformats.org/officeDocument/2006/relationships/hyperlink" Target="https://www.tiktok.com/@naura.karisma/video/7622092209893936404?is_from_webapp=1&amp;sender_device=pc&amp;web_id=7611930277489657360" TargetMode="External"/><Relationship Id="rId690" Type="http://schemas.openxmlformats.org/officeDocument/2006/relationships/hyperlink" Target="https://vt.tiktok.com/ZSuBAbthn/" TargetMode="External"/><Relationship Id="rId697" Type="http://schemas.openxmlformats.org/officeDocument/2006/relationships/hyperlink" Target="https://vt.tiktok.com/ZS9qMU3qj/" TargetMode="External"/><Relationship Id="rId8912" Type="http://schemas.openxmlformats.org/officeDocument/2006/relationships/hyperlink" Target="https://vt.tiktok.com/ZSxgDrdus/" TargetMode="External"/><Relationship Id="rId696" Type="http://schemas.openxmlformats.org/officeDocument/2006/relationships/hyperlink" Target="https://www.tiktok.com/@skinbeauty.id/video/7617020380250705172?is_from_webapp=1&amp;sender_device=pc" TargetMode="External"/><Relationship Id="rId8911" Type="http://schemas.openxmlformats.org/officeDocument/2006/relationships/hyperlink" Target="https://www.tiktok.com/@chinbel_" TargetMode="External"/><Relationship Id="rId695" Type="http://schemas.openxmlformats.org/officeDocument/2006/relationships/hyperlink" Target="https://www.tiktok.com/@skinbeauty.id/video/7616600460442553620?is_from_webapp=1&amp;sender_device=pc" TargetMode="External"/><Relationship Id="rId8910" Type="http://schemas.openxmlformats.org/officeDocument/2006/relationships/hyperlink" Target="https://vt.tiktok.com/ZSQedVfK1/" TargetMode="External"/><Relationship Id="rId694" Type="http://schemas.openxmlformats.org/officeDocument/2006/relationships/hyperlink" Target="https://www.tiktok.com/@himahsy" TargetMode="External"/><Relationship Id="rId7618" Type="http://schemas.openxmlformats.org/officeDocument/2006/relationships/hyperlink" Target="https://vt.tiktok.com/ZS9H2PPny/" TargetMode="External"/><Relationship Id="rId8949" Type="http://schemas.openxmlformats.org/officeDocument/2006/relationships/hyperlink" Target="https://vt.tiktok.com/ZSxxBvrKW/" TargetMode="External"/><Relationship Id="rId7617" Type="http://schemas.openxmlformats.org/officeDocument/2006/relationships/hyperlink" Target="https://vt.tiktok.com/ZS9H2LwwK/" TargetMode="External"/><Relationship Id="rId8948" Type="http://schemas.openxmlformats.org/officeDocument/2006/relationships/hyperlink" Target="https://vt.tiktok.com/ZSxyA5Dpm/" TargetMode="External"/><Relationship Id="rId7616" Type="http://schemas.openxmlformats.org/officeDocument/2006/relationships/hyperlink" Target="https://vt.tiktok.com/ZS9H2BvDV/" TargetMode="External"/><Relationship Id="rId8947" Type="http://schemas.openxmlformats.org/officeDocument/2006/relationships/hyperlink" Target="https://www.tiktok.com/@annyeongitskaa" TargetMode="External"/><Relationship Id="rId7615" Type="http://schemas.openxmlformats.org/officeDocument/2006/relationships/hyperlink" Target="https://www.tiktok.com/@norhayaani" TargetMode="External"/><Relationship Id="rId8946" Type="http://schemas.openxmlformats.org/officeDocument/2006/relationships/hyperlink" Target="https://vt.tiktok.com/ZSxyAXXLK/" TargetMode="External"/><Relationship Id="rId7619" Type="http://schemas.openxmlformats.org/officeDocument/2006/relationships/hyperlink" Target="https://vt.tiktok.com/ZS9H2eUCb/" TargetMode="External"/><Relationship Id="rId7610" Type="http://schemas.openxmlformats.org/officeDocument/2006/relationships/hyperlink" Target="https://www.tiktok.com/@piscesmaret1701" TargetMode="External"/><Relationship Id="rId8941" Type="http://schemas.openxmlformats.org/officeDocument/2006/relationships/hyperlink" Target="https://www.tiktok.com/@ayuzakia10" TargetMode="External"/><Relationship Id="rId8940" Type="http://schemas.openxmlformats.org/officeDocument/2006/relationships/hyperlink" Target="https://vt.tiktok.com/ZSxxBoQsq/" TargetMode="External"/><Relationship Id="rId7614" Type="http://schemas.openxmlformats.org/officeDocument/2006/relationships/hyperlink" Target="https://vt.tiktok.com/ZS9H2eUCb/" TargetMode="External"/><Relationship Id="rId8945" Type="http://schemas.openxmlformats.org/officeDocument/2006/relationships/hyperlink" Target="https://www.tiktok.com/@mia_sihite" TargetMode="External"/><Relationship Id="rId7613" Type="http://schemas.openxmlformats.org/officeDocument/2006/relationships/hyperlink" Target="https://vt.tiktok.com/ZS9H2PPny/" TargetMode="External"/><Relationship Id="rId8944" Type="http://schemas.openxmlformats.org/officeDocument/2006/relationships/hyperlink" Target="https://vt.tiktok.com/ZSxxBbQhN/" TargetMode="External"/><Relationship Id="rId7612" Type="http://schemas.openxmlformats.org/officeDocument/2006/relationships/hyperlink" Target="https://vt.tiktok.com/ZS9H2LwwK/" TargetMode="External"/><Relationship Id="rId8943" Type="http://schemas.openxmlformats.org/officeDocument/2006/relationships/hyperlink" Target="https://vt.tiktok.com/ZSxxBwseS/" TargetMode="External"/><Relationship Id="rId7611" Type="http://schemas.openxmlformats.org/officeDocument/2006/relationships/hyperlink" Target="https://vt.tiktok.com/ZS9H2BvDV/" TargetMode="External"/><Relationship Id="rId8942" Type="http://schemas.openxmlformats.org/officeDocument/2006/relationships/hyperlink" Target="https://vt.tiktok.com/ZSxyAaAv6/" TargetMode="External"/><Relationship Id="rId7607" Type="http://schemas.openxmlformats.org/officeDocument/2006/relationships/hyperlink" Target="https://vt.tiktok.com/ZSxNdmVV7/" TargetMode="External"/><Relationship Id="rId8938" Type="http://schemas.openxmlformats.org/officeDocument/2006/relationships/hyperlink" Target="https://vt.tiktok.com/ZSxyAHpv9/" TargetMode="External"/><Relationship Id="rId7606" Type="http://schemas.openxmlformats.org/officeDocument/2006/relationships/hyperlink" Target="https://vt.tiktok.com/ZSxLT6QDB/" TargetMode="External"/><Relationship Id="rId8937" Type="http://schemas.openxmlformats.org/officeDocument/2006/relationships/hyperlink" Target="https://www.tiktok.com/@Yucunya" TargetMode="External"/><Relationship Id="rId7605" Type="http://schemas.openxmlformats.org/officeDocument/2006/relationships/hyperlink" Target="https://www.tiktok.com/@Intanputri373" TargetMode="External"/><Relationship Id="rId8936" Type="http://schemas.openxmlformats.org/officeDocument/2006/relationships/hyperlink" Target="https://vt.tiktok.com/ZSxSTt9bR/" TargetMode="External"/><Relationship Id="rId7604" Type="http://schemas.openxmlformats.org/officeDocument/2006/relationships/hyperlink" Target="https://vt.tiktok.com/ZSxAu7wfB/" TargetMode="External"/><Relationship Id="rId8935" Type="http://schemas.openxmlformats.org/officeDocument/2006/relationships/hyperlink" Target="https://vt.tiktok.com/ZSxPkP3Tg/" TargetMode="External"/><Relationship Id="rId7609" Type="http://schemas.openxmlformats.org/officeDocument/2006/relationships/hyperlink" Target="https://www.tiktok.com/@intanputri373/video/7640373927658654996?_r=1&amp;u_code=egb5b18la7cca4&amp;region=&amp;mid=7533087197386394374&amp;preview_pb=0&amp;sharer_language=&amp;_d=0&amp;ec_shared_reflux_dynamic_params=%7B%22placeholder_material_id%22%3A%227640373927658654996%22%2C%22placeholder_origin_cover%22%3A%22https%253A%252F%252Fp16-common-sign.tiktokcdn.com%252Ftos-alisg-p-0037%252FoU6MQ4FPeP4SSEcIDCDAQeEnjZUADCAIjBEWfH~tplv-tiktokx-origin.jpeg%253Fdr%253D14572%2526refresh_token%253D6bb79174%2526x-expires%253D1810717200%2526x-signature%253D8%25252BuZ6cQm%25252BffXM5YAzesYHUqfu6g%25253D%2526t%253D4d5b0474%2526ps%253D13740610%2526shp%253Dd05b14bd%2526shcp%253D34ff8df6%2526idc%253Dmy3%2526s%253DTIKTOK_AFFILIATE_VIRAL_VIDEO%22%2C%22placeholder_product_id%22%3A%221729427766722726591%22%2C%22placeholder_video_id%22%3A%227640373927658654996%22%7D&amp;ec_shared_reflux_scene=shop_tab_feed&amp;share_item_id=7640373927658654996&amp;source=h5_t" TargetMode="External"/><Relationship Id="rId7608" Type="http://schemas.openxmlformats.org/officeDocument/2006/relationships/hyperlink" Target="https://www.tiktok.com/@intanputri373/video/7640332404812533012?_r=1&amp;u_code=egb5b18la7cca4&amp;region=&amp;mid=7573147731105270535&amp;preview_pb=0&amp;sharer_language=&amp;_d=0&amp;ec_shared_reflux_dynamic_params=%7B%22placeholder_material_id%22%3A%227640332404812533012%22%2C%22placeholder_origin_cover%22%3A%22https%253A%252F%252Fp16-common-sign.tiktokcdn.com%252Ftos-alisg-p-0037%252Foo8UBfEWDDQUFmYIEPE0eFQeDC4QUEZAlajMnA~tplv-tiktokx-origin.jpeg%253Fdr%253D14572%2526refresh_token%253Deb198377%2526x-expires%253D1810717200%2526x-signature%253DflCHnMszwhUffNPREETcno0AYXI%25253D%2526t%253D4d5b0474%2526ps%253D13740610%2526shp%253Dd05b14bd%2526shcp%253D34ff8df6%2526idc%253Dmy3%2526s%253DTIKTOK_AFFILIATE_VIRAL_VIDEO%22%2C%22placeholder_product_id%22%3A%221729427766722726591%22%2C%22placeholder_video_id%22%3A%227640332404812533012%22%7D&amp;ec_shared_reflux_scene=shop_tab_feed&amp;share_item_id=7640332404812533012&amp;source=h5_t" TargetMode="External"/><Relationship Id="rId8939" Type="http://schemas.openxmlformats.org/officeDocument/2006/relationships/hyperlink" Target="https://vt.tiktok.com/ZSxxBbr8A/" TargetMode="External"/><Relationship Id="rId8930" Type="http://schemas.openxmlformats.org/officeDocument/2006/relationships/hyperlink" Target="https://vt.tiktok.com/ZSxgHHC3D/" TargetMode="External"/><Relationship Id="rId7603" Type="http://schemas.openxmlformats.org/officeDocument/2006/relationships/hyperlink" Target="https://vt.tiktok.com/ZSxAJvEPP/" TargetMode="External"/><Relationship Id="rId8934" Type="http://schemas.openxmlformats.org/officeDocument/2006/relationships/hyperlink" Target="https://vt.tiktok.com/ZSxyAbQhe/" TargetMode="External"/><Relationship Id="rId7602" Type="http://schemas.openxmlformats.org/officeDocument/2006/relationships/hyperlink" Target="https://vt.tiktok.com/ZSxAJgWFN/" TargetMode="External"/><Relationship Id="rId8933" Type="http://schemas.openxmlformats.org/officeDocument/2006/relationships/hyperlink" Target="https://www.tiktok.com/@Elmi_151" TargetMode="External"/><Relationship Id="rId7601" Type="http://schemas.openxmlformats.org/officeDocument/2006/relationships/hyperlink" Target="https://www.tiktok.com/@Adaunie" TargetMode="External"/><Relationship Id="rId8932" Type="http://schemas.openxmlformats.org/officeDocument/2006/relationships/hyperlink" Target="https://vt.tiktok.com/ZSxaXYJHp/" TargetMode="External"/><Relationship Id="rId7600" Type="http://schemas.openxmlformats.org/officeDocument/2006/relationships/hyperlink" Target="https://vt.tiktok.com/ZSxADTre5/" TargetMode="External"/><Relationship Id="rId8931" Type="http://schemas.openxmlformats.org/officeDocument/2006/relationships/hyperlink" Target="https://vt.tiktok.com/ZSxuq6H1a/" TargetMode="External"/><Relationship Id="rId1499" Type="http://schemas.openxmlformats.org/officeDocument/2006/relationships/hyperlink" Target="https://www.tiktok.com/@mellyshasuryani14/video/7610198670356614421" TargetMode="External"/><Relationship Id="rId668" Type="http://schemas.openxmlformats.org/officeDocument/2006/relationships/hyperlink" Target="https://www.tiktok.com/@dewi.sunday/video/7618507072186993927?is_from_webapp=1&amp;sender_device=pc&amp;web_id=7611930277489657360" TargetMode="External"/><Relationship Id="rId667" Type="http://schemas.openxmlformats.org/officeDocument/2006/relationships/hyperlink" Target="https://www.tiktok.com/@dewi.sunday/video/7617696982789852424?is_from_webapp=1&amp;sender_device=pc&amp;web_id=7611930277489657360" TargetMode="External"/><Relationship Id="rId666" Type="http://schemas.openxmlformats.org/officeDocument/2006/relationships/hyperlink" Target="https://www.tiktok.com/@dewi.sunday/video/7616933881555602695?is_from_webapp=1&amp;sender_device=pc&amp;web_id=7611930277489657360" TargetMode="External"/><Relationship Id="rId665" Type="http://schemas.openxmlformats.org/officeDocument/2006/relationships/hyperlink" Target="https://www.tiktok.com/@dewi.sunday/video/7616630415973043464?is_from_webapp=1&amp;sender_device=pc&amp;web_id=7611930277489657360" TargetMode="External"/><Relationship Id="rId669" Type="http://schemas.openxmlformats.org/officeDocument/2006/relationships/hyperlink" Target="https://www.tiktok.com/@ehniakk_" TargetMode="External"/><Relationship Id="rId1490" Type="http://schemas.openxmlformats.org/officeDocument/2006/relationships/hyperlink" Target="https://www.tiktok.com/@byderara" TargetMode="External"/><Relationship Id="rId660" Type="http://schemas.openxmlformats.org/officeDocument/2006/relationships/hyperlink" Target="https://www.tiktok.com/@dewi.sunday/video/7616249158453808391?is_from_webapp=1&amp;sender_device=pc&amp;web_id=7611930277489657360" TargetMode="External"/><Relationship Id="rId1491" Type="http://schemas.openxmlformats.org/officeDocument/2006/relationships/hyperlink" Target="https://vt.tiktok.com/ZSHHbT5K9/" TargetMode="External"/><Relationship Id="rId1492" Type="http://schemas.openxmlformats.org/officeDocument/2006/relationships/hyperlink" Target="https://vt.tiktok.com/ZSHpwneh9/" TargetMode="External"/><Relationship Id="rId1493" Type="http://schemas.openxmlformats.org/officeDocument/2006/relationships/hyperlink" Target="https://www.tiktok.com/@mellyshasuryani14/video/7601884241965616404" TargetMode="External"/><Relationship Id="rId1494" Type="http://schemas.openxmlformats.org/officeDocument/2006/relationships/hyperlink" Target="https://www.tiktok.com/@mellyshasuryani14/video/7610342554478988565" TargetMode="External"/><Relationship Id="rId664" Type="http://schemas.openxmlformats.org/officeDocument/2006/relationships/hyperlink" Target="https://www.tiktok.com/@cilpialucuna" TargetMode="External"/><Relationship Id="rId1495" Type="http://schemas.openxmlformats.org/officeDocument/2006/relationships/hyperlink" Target="https://www.tiktok.com/@coach_lina01" TargetMode="External"/><Relationship Id="rId663" Type="http://schemas.openxmlformats.org/officeDocument/2006/relationships/hyperlink" Target="https://vt.tiktok.com/ZS9qMJFCw/" TargetMode="External"/><Relationship Id="rId1496" Type="http://schemas.openxmlformats.org/officeDocument/2006/relationships/hyperlink" Target="https://vt.tiktok.com/ZSHHbT5K9/" TargetMode="External"/><Relationship Id="rId662" Type="http://schemas.openxmlformats.org/officeDocument/2006/relationships/hyperlink" Target="https://vt.tiktok.com/ZS9qMN88u/" TargetMode="External"/><Relationship Id="rId1497" Type="http://schemas.openxmlformats.org/officeDocument/2006/relationships/hyperlink" Target="https://vt.tiktok.com/ZSHpwneh9/" TargetMode="External"/><Relationship Id="rId661" Type="http://schemas.openxmlformats.org/officeDocument/2006/relationships/hyperlink" Target="https://vt.tiktok.com/ZS9qMYRQG/" TargetMode="External"/><Relationship Id="rId1498" Type="http://schemas.openxmlformats.org/officeDocument/2006/relationships/hyperlink" Target="https://www.tiktok.com/@mellyshasuryani14/video/7601783342798802196" TargetMode="External"/><Relationship Id="rId1488" Type="http://schemas.openxmlformats.org/officeDocument/2006/relationships/hyperlink" Target="https://vt.tiktok.com/ZSHpgp6eS/" TargetMode="External"/><Relationship Id="rId1489" Type="http://schemas.openxmlformats.org/officeDocument/2006/relationships/hyperlink" Target="https://vt.tiktok.com/ZSH5kxbcP/" TargetMode="External"/><Relationship Id="rId657" Type="http://schemas.openxmlformats.org/officeDocument/2006/relationships/hyperlink" Target="https://vt.tiktok.com/ZS9q67Dd8/" TargetMode="External"/><Relationship Id="rId656" Type="http://schemas.openxmlformats.org/officeDocument/2006/relationships/hyperlink" Target="https://www.tiktok.com/@dewi.sunday/video/7615465738358344967?is_from_webapp=1&amp;sender_device=pc&amp;web_id=7611930277489657360" TargetMode="External"/><Relationship Id="rId655" Type="http://schemas.openxmlformats.org/officeDocument/2006/relationships/hyperlink" Target="https://www.tiktok.com/@omah_kristin/video/7614413750732426504?is_from_webapp=1&amp;sender_device=pc" TargetMode="External"/><Relationship Id="rId654" Type="http://schemas.openxmlformats.org/officeDocument/2006/relationships/hyperlink" Target="https://www.tiktok.com/@omah_kristin" TargetMode="External"/><Relationship Id="rId659" Type="http://schemas.openxmlformats.org/officeDocument/2006/relationships/hyperlink" Target="https://www.tiktok.com/@bubblesmilkk" TargetMode="External"/><Relationship Id="rId658" Type="http://schemas.openxmlformats.org/officeDocument/2006/relationships/hyperlink" Target="https://vt.tiktok.com/ZS9q6vKgF/" TargetMode="External"/><Relationship Id="rId1480" Type="http://schemas.openxmlformats.org/officeDocument/2006/relationships/hyperlink" Target="https://www.tiktok.com/@ayaquy" TargetMode="External"/><Relationship Id="rId1481" Type="http://schemas.openxmlformats.org/officeDocument/2006/relationships/hyperlink" Target="https://www.tiktok.com/@ochacacaaaaa_/video/7620063758026771732" TargetMode="External"/><Relationship Id="rId1482" Type="http://schemas.openxmlformats.org/officeDocument/2006/relationships/hyperlink" Target="https://www.tiktok.com/@ochacacaaaaa_/video/7624129679804550407" TargetMode="External"/><Relationship Id="rId1483" Type="http://schemas.openxmlformats.org/officeDocument/2006/relationships/hyperlink" Target="https://www.tiktok.com/@ochacacaaaaa_/video/7624839842261765394" TargetMode="External"/><Relationship Id="rId653" Type="http://schemas.openxmlformats.org/officeDocument/2006/relationships/hyperlink" Target="https://www.tiktok.com/@teteh_448/video/7613546007699197202?is_from_webapp=1&amp;sender_device=pc" TargetMode="External"/><Relationship Id="rId1484" Type="http://schemas.openxmlformats.org/officeDocument/2006/relationships/hyperlink" Target="https://vt.tiktok.com/ZSHHbtSQr/" TargetMode="External"/><Relationship Id="rId652" Type="http://schemas.openxmlformats.org/officeDocument/2006/relationships/hyperlink" Target="https://www.tiktok.com/@teteh_448/video/7612102795268836615?is_from_webapp=1&amp;sender_device=pc" TargetMode="External"/><Relationship Id="rId1485" Type="http://schemas.openxmlformats.org/officeDocument/2006/relationships/hyperlink" Target="https://www.tiktok.com/@nesyaars" TargetMode="External"/><Relationship Id="rId651" Type="http://schemas.openxmlformats.org/officeDocument/2006/relationships/hyperlink" Target="https://www.tiktok.com/@teteh_448/video/7610577744996371720?is_from_webapp=1&amp;sender_device=pc" TargetMode="External"/><Relationship Id="rId1486" Type="http://schemas.openxmlformats.org/officeDocument/2006/relationships/hyperlink" Target="https://vt.tiktok.com/ZSHHbT5K9/" TargetMode="External"/><Relationship Id="rId650" Type="http://schemas.openxmlformats.org/officeDocument/2006/relationships/hyperlink" Target="https://www.tiktok.com/@teteh_448/video/7610206939036912904?is_from_webapp=1&amp;sender_device=pc" TargetMode="External"/><Relationship Id="rId1487" Type="http://schemas.openxmlformats.org/officeDocument/2006/relationships/hyperlink" Target="https://vt.tiktok.com/ZSHpwneh9/" TargetMode="External"/><Relationship Id="rId8905" Type="http://schemas.openxmlformats.org/officeDocument/2006/relationships/hyperlink" Target="https://vt.tiktok.com/ZSQeUC1RU/" TargetMode="External"/><Relationship Id="rId8904" Type="http://schemas.openxmlformats.org/officeDocument/2006/relationships/hyperlink" Target="https://vt.tiktok.com/ZSQeUxTUe/" TargetMode="External"/><Relationship Id="rId8903" Type="http://schemas.openxmlformats.org/officeDocument/2006/relationships/hyperlink" Target="https://vt.tiktok.com/ZSQedjYAv/" TargetMode="External"/><Relationship Id="rId8902" Type="http://schemas.openxmlformats.org/officeDocument/2006/relationships/hyperlink" Target="https://www.tiktok.com/@syifaputri115" TargetMode="External"/><Relationship Id="rId8909" Type="http://schemas.openxmlformats.org/officeDocument/2006/relationships/hyperlink" Target="https://vt.tiktok.com/ZSQedmWUM/" TargetMode="External"/><Relationship Id="rId8908" Type="http://schemas.openxmlformats.org/officeDocument/2006/relationships/hyperlink" Target="https://vt.tiktok.com/ZSQedgfFS/" TargetMode="External"/><Relationship Id="rId8907" Type="http://schemas.openxmlformats.org/officeDocument/2006/relationships/hyperlink" Target="https://vt.tiktok.com/ZSQeUSkws/" TargetMode="External"/><Relationship Id="rId8906" Type="http://schemas.openxmlformats.org/officeDocument/2006/relationships/hyperlink" Target="https://www.tiktok.com/@nurulfitriya_2" TargetMode="External"/><Relationship Id="rId689" Type="http://schemas.openxmlformats.org/officeDocument/2006/relationships/hyperlink" Target="https://www.tiktok.com/@naylanayla_yh1" TargetMode="External"/><Relationship Id="rId688" Type="http://schemas.openxmlformats.org/officeDocument/2006/relationships/hyperlink" Target="https://www.tiktok.com/@naura.karisma/video/7621642225880960277?is_from_webapp=1&amp;sender_device=pc&amp;web_id=7611930277489657360" TargetMode="External"/><Relationship Id="rId687" Type="http://schemas.openxmlformats.org/officeDocument/2006/relationships/hyperlink" Target="https://www.tiktok.com/@naura.karisma/video/7620658693012573461?is_from_webapp=1&amp;sender_device=pc&amp;web_id=7611930277489657360" TargetMode="External"/><Relationship Id="rId682" Type="http://schemas.openxmlformats.org/officeDocument/2006/relationships/hyperlink" Target="https://www.tiktok.com/@userrrrrr073124/video/7622303374964247815?is_from_webapp=1&amp;sender_device=pc&amp;web_id=7611930277489657360" TargetMode="External"/><Relationship Id="rId681" Type="http://schemas.openxmlformats.org/officeDocument/2006/relationships/hyperlink" Target="https://www.tiktok.com/@hyyy_kitttyyyy/video/7616240751264992533?is_from_webapp=1&amp;sender_device=pc&amp;web_id=7611930277489657360" TargetMode="External"/><Relationship Id="rId680" Type="http://schemas.openxmlformats.org/officeDocument/2006/relationships/hyperlink" Target="https://www.tiktok.com/@hyyy_kitttyyyy/video/7615996714176007444?is_from_webapp=1&amp;sender_device=pc&amp;web_id=7611930277489657360" TargetMode="External"/><Relationship Id="rId686" Type="http://schemas.openxmlformats.org/officeDocument/2006/relationships/hyperlink" Target="https://vt.tiktok.com/ZSuBA4jkV/" TargetMode="External"/><Relationship Id="rId8901" Type="http://schemas.openxmlformats.org/officeDocument/2006/relationships/hyperlink" Target="https://vt.tiktok.com/ZSQedCB3M/" TargetMode="External"/><Relationship Id="rId685" Type="http://schemas.openxmlformats.org/officeDocument/2006/relationships/hyperlink" Target="https://vt.tiktok.com/ZSuBAhF2q/" TargetMode="External"/><Relationship Id="rId8900" Type="http://schemas.openxmlformats.org/officeDocument/2006/relationships/hyperlink" Target="https://vt.tiktok.com/ZSQdengMv/" TargetMode="External"/><Relationship Id="rId684" Type="http://schemas.openxmlformats.org/officeDocument/2006/relationships/hyperlink" Target="https://www.tiktok.com/@failady" TargetMode="External"/><Relationship Id="rId683" Type="http://schemas.openxmlformats.org/officeDocument/2006/relationships/hyperlink" Target="https://www.tiktok.com/@userrrrrr073124/video/7622304016382348562?is_from_webapp=1&amp;sender_device=pc&amp;web_id=7611930277489657360" TargetMode="External"/><Relationship Id="rId679" Type="http://schemas.openxmlformats.org/officeDocument/2006/relationships/hyperlink" Target="https://www.tiktok.com/@hyyy_kitttyyyy" TargetMode="External"/><Relationship Id="rId678" Type="http://schemas.openxmlformats.org/officeDocument/2006/relationships/hyperlink" Target="https://www.tiktok.com/@userrrrrr073124/video/7622151802481380616?is_from_webapp=1&amp;sender_device=pc&amp;web_id=7611930277489657360" TargetMode="External"/><Relationship Id="rId677" Type="http://schemas.openxmlformats.org/officeDocument/2006/relationships/hyperlink" Target="https://www.tiktok.com/@ria_3a_yr/video/7614752153806195975?is_from_webapp=1&amp;sender_device=pc" TargetMode="External"/><Relationship Id="rId676" Type="http://schemas.openxmlformats.org/officeDocument/2006/relationships/hyperlink" Target="https://www.tiktok.com/@ria_3a_yr/video/7614056369569713426?is_from_webapp=1&amp;sender_device=pc" TargetMode="External"/><Relationship Id="rId671" Type="http://schemas.openxmlformats.org/officeDocument/2006/relationships/hyperlink" Target="https://www.tiktok.com/@userrrrrr073124/video/7622151730205101330?is_from_webapp=1&amp;sender_device=pc&amp;web_id=7611930277489657360" TargetMode="External"/><Relationship Id="rId670" Type="http://schemas.openxmlformats.org/officeDocument/2006/relationships/hyperlink" Target="https://www.tiktok.com/@dewi.sunday/video/7622925062332550408?is_from_webapp=1&amp;sender_device=pc&amp;web_id=7611930277489657360" TargetMode="External"/><Relationship Id="rId675" Type="http://schemas.openxmlformats.org/officeDocument/2006/relationships/hyperlink" Target="https://www.tiktok.com/@ria_3a_yr/video/7609705320738262280?is_from_webapp=1&amp;sender_device=pc" TargetMode="External"/><Relationship Id="rId674" Type="http://schemas.openxmlformats.org/officeDocument/2006/relationships/hyperlink" Target="https://www.tiktok.com/@ria_3a_yr" TargetMode="External"/><Relationship Id="rId673" Type="http://schemas.openxmlformats.org/officeDocument/2006/relationships/hyperlink" Target="https://vt.tiktok.com/ZS9qM8pfq/" TargetMode="External"/><Relationship Id="rId672" Type="http://schemas.openxmlformats.org/officeDocument/2006/relationships/hyperlink" Target="https://vt.tiktok.com/ZS9qMYMVs/" TargetMode="External"/><Relationship Id="rId5019" Type="http://schemas.openxmlformats.org/officeDocument/2006/relationships/hyperlink" Target="https://vt.tiktok.com/ZS95xsqaT/" TargetMode="External"/><Relationship Id="rId6340" Type="http://schemas.openxmlformats.org/officeDocument/2006/relationships/hyperlink" Target="https://vt.tiktok.com/ZS9jM8xdm/" TargetMode="External"/><Relationship Id="rId7672" Type="http://schemas.openxmlformats.org/officeDocument/2006/relationships/hyperlink" Target="https://vt.tiktok.com/ZS9H2LwwK/" TargetMode="External"/><Relationship Id="rId5010" Type="http://schemas.openxmlformats.org/officeDocument/2006/relationships/hyperlink" Target="https://vt.tiktok.com/ZS95xt41Q/" TargetMode="External"/><Relationship Id="rId6341" Type="http://schemas.openxmlformats.org/officeDocument/2006/relationships/hyperlink" Target="https://vt.tiktok.com/ZS9MArLmp/" TargetMode="External"/><Relationship Id="rId7671" Type="http://schemas.openxmlformats.org/officeDocument/2006/relationships/hyperlink" Target="https://vt.tiktok.com/ZS9H2BvDV/" TargetMode="External"/><Relationship Id="rId7670" Type="http://schemas.openxmlformats.org/officeDocument/2006/relationships/hyperlink" Target="https://www.tiktok.com/@storybeauty4" TargetMode="External"/><Relationship Id="rId5013" Type="http://schemas.openxmlformats.org/officeDocument/2006/relationships/hyperlink" Target="https://www.tiktok.com/@bulan94sari" TargetMode="External"/><Relationship Id="rId6344" Type="http://schemas.openxmlformats.org/officeDocument/2006/relationships/hyperlink" Target="https://www.tiktok.com/@yu_ryani" TargetMode="External"/><Relationship Id="rId7676" Type="http://schemas.openxmlformats.org/officeDocument/2006/relationships/hyperlink" Target="https://vt.tiktok.com/ZS9H2BvDV/" TargetMode="External"/><Relationship Id="rId5014" Type="http://schemas.openxmlformats.org/officeDocument/2006/relationships/hyperlink" Target="https://www.tiktok.com/@bulan94sari/video/7622686090956295444?_d=0&amp;_r=1&amp;ec_shared_reflux_dynamic_params=%7B%22placeholder_material_id%22%3A%227622686090956295444%22%2C%22placeholder_origin_cover%22%3A%22https%253A%252F%252Fp16-sign-sg.tiktokcdn.com%252Ftos-alisg-p-0037%252Fo85CRXi59IBM70AAv7LwfriX0JItITQAuuKJOA~tplv-tiktokx-origin.jpeg%253Fdr%253D14572%2526refresh_token%253D6569e502%2526x-expires%253D1807066800%2526x-signature%253D6AK11sEMB33pVIfS5%25252Frc%25252FPvAXVA%25253D%2526t%253D4d5b0474%2526ps%253D13740610%2526shp%253Dd05b14bd%2526shcp%253D34ff8df6%2526idc%253Dmy2%2526s%253DTIKTOK_AFFILIATE_VIRAL_VIDEO%22%2C%22placeholder_product_id%22%3A%221729427766722726591%22%2C%22placeholder_video_id%22%3A%227622686090956295444%22%7D&amp;ec_shared_reflux_scene=shop_tab_feed&amp;mid=7622686142534880008&amp;preview_pb=0&amp;region=&amp;share_item_id=7622686090956295444&amp;sharer_language=&amp;source=h5_t&amp;u_code=clfll207e3800i" TargetMode="External"/><Relationship Id="rId6345" Type="http://schemas.openxmlformats.org/officeDocument/2006/relationships/hyperlink" Target="https://vt.tiktok.com/ZS9jM8xdm/" TargetMode="External"/><Relationship Id="rId7675" Type="http://schemas.openxmlformats.org/officeDocument/2006/relationships/hyperlink" Target="https://www.tiktok.com/@alnazamshop" TargetMode="External"/><Relationship Id="rId5011" Type="http://schemas.openxmlformats.org/officeDocument/2006/relationships/hyperlink" Target="https://vt.tiktok.com/ZS95xQTwC/" TargetMode="External"/><Relationship Id="rId6342" Type="http://schemas.openxmlformats.org/officeDocument/2006/relationships/hyperlink" Target="https://vt.tiktok.com/ZS9BbR5X2/" TargetMode="External"/><Relationship Id="rId7674" Type="http://schemas.openxmlformats.org/officeDocument/2006/relationships/hyperlink" Target="https://vt.tiktok.com/ZS9H2eUCb/" TargetMode="External"/><Relationship Id="rId5012" Type="http://schemas.openxmlformats.org/officeDocument/2006/relationships/hyperlink" Target="https://vt.tiktok.com/ZS95x9DEf/" TargetMode="External"/><Relationship Id="rId6343" Type="http://schemas.openxmlformats.org/officeDocument/2006/relationships/hyperlink" Target="https://vt.tiktok.com/ZS9ycs5oc/" TargetMode="External"/><Relationship Id="rId7673" Type="http://schemas.openxmlformats.org/officeDocument/2006/relationships/hyperlink" Target="https://vt.tiktok.com/ZS9H2PPny/" TargetMode="External"/><Relationship Id="rId5017" Type="http://schemas.openxmlformats.org/officeDocument/2006/relationships/hyperlink" Target="https://vt.tiktok.com/ZSxy2BCbX/" TargetMode="External"/><Relationship Id="rId6348" Type="http://schemas.openxmlformats.org/officeDocument/2006/relationships/hyperlink" Target="https://vt.tiktok.com/ZS9ycs5oc/" TargetMode="External"/><Relationship Id="rId5018" Type="http://schemas.openxmlformats.org/officeDocument/2006/relationships/hyperlink" Target="https://www.tiktok.com/@kyaraamoera" TargetMode="External"/><Relationship Id="rId6349" Type="http://schemas.openxmlformats.org/officeDocument/2006/relationships/hyperlink" Target="https://www.tiktok.com/@mytrsyn" TargetMode="External"/><Relationship Id="rId7679" Type="http://schemas.openxmlformats.org/officeDocument/2006/relationships/hyperlink" Target="https://vt.tiktok.com/ZS9H2eUCb/" TargetMode="External"/><Relationship Id="rId5015" Type="http://schemas.openxmlformats.org/officeDocument/2006/relationships/hyperlink" Target="https://www.tiktok.com/@bulan94sari/video/7627882137416437012?_r=1&amp;u_code=clfll207e3800i&amp;region=&amp;mid=7627882195743460103&amp;preview_pb=0&amp;sharer_language=&amp;_d=0&amp;ec_shared_reflux_dynamic_params=%7B%22placeholder_material_id%22%3A%227627882137416437012%22%2C%22placeholder_origin_cover%22%3A%22https%253A%252F%252Fp16-common-sign.tiktokcdn.com%252Ftos-alisg-p-0037%252FoQnbI0rA7rCiCrhUAAIamxbfazDwWiIBAUuAWd~tplv-tiktokx-origin.jpeg%253Fdr%253D14572%2526refresh_token%253D6a3146c4%2526x-expires%253D1808204400%2526x-signature%253D%25252FlpM%25252FUNGxD%25252FyfoqNOjUY%25252FeWqFBY%25253D%2526t%253D4d5b0474%2526ps%253D13740610%2526shp%253Dd05b14bd%2526shcp%253D34ff8df6%2526idc%253Dmy3%2526s%253DTIKTOK_AFFILIATE_VIRAL_VIDEO%22%2C%22placeholder_product_id%22%3A%221729427766722726591%22%2C%22placeholder_video_id%22%3A%227627882137416437012%22%7D&amp;ec_shared_reflux_scene=shop_tab_feed&amp;share_item_id=7627882137416437012&amp;source=h5_t" TargetMode="External"/><Relationship Id="rId6346" Type="http://schemas.openxmlformats.org/officeDocument/2006/relationships/hyperlink" Target="https://vt.tiktok.com/ZS9MArLmp/" TargetMode="External"/><Relationship Id="rId7678" Type="http://schemas.openxmlformats.org/officeDocument/2006/relationships/hyperlink" Target="https://vt.tiktok.com/ZS9H2PPny/" TargetMode="External"/><Relationship Id="rId5016" Type="http://schemas.openxmlformats.org/officeDocument/2006/relationships/hyperlink" Target="https://vt.tiktok.com/ZSxy241D4/" TargetMode="External"/><Relationship Id="rId6347" Type="http://schemas.openxmlformats.org/officeDocument/2006/relationships/hyperlink" Target="https://vt.tiktok.com/ZS9BbR5X2/" TargetMode="External"/><Relationship Id="rId7677" Type="http://schemas.openxmlformats.org/officeDocument/2006/relationships/hyperlink" Target="https://vt.tiktok.com/ZS9H2LwwK/" TargetMode="External"/><Relationship Id="rId5008" Type="http://schemas.openxmlformats.org/officeDocument/2006/relationships/hyperlink" Target="https://www.tiktok.com/@gabolegalakya" TargetMode="External"/><Relationship Id="rId6339" Type="http://schemas.openxmlformats.org/officeDocument/2006/relationships/hyperlink" Target="https://www.tiktok.com/@ditaxl" TargetMode="External"/><Relationship Id="rId5009" Type="http://schemas.openxmlformats.org/officeDocument/2006/relationships/hyperlink" Target="https://www.tiktok.com/@rositaramdani7/video/7633197653253278994?_r=1&amp;u_code=f1489jb4bi84e9&amp;region=&amp;mid=7624353502927604487&amp;preview_pb=0&amp;sharer_language=&amp;_d=0&amp;ec_shared_reflux_dynamic_params=%7B%22placeholder_material_id%22%3A%227633197653253278994%22%2C%22placeholder_origin_cover%22%3A%22https%253A%252F%252Fp16-common-sign.tiktokcdn.com%252Ftos-alisg-p-0037%252FoMlkNCGgpDBSFIvuB1iigfBNE7ARj2hIIcfrco~tplv-tiktokx-origin.jpeg%253Fdr%253D14572%2526refresh_token%253D3e97f7fa%2526x-expires%253D1808992800%2526x-signature%253DfOGn5P546%25252F82frA7wreXsnR5k4c%25253D%2526t%253D4d5b0474%2526ps%253D13740610%2526shp%253Dd05b14bd%2526shcp%253D34ff8df6%2526idc%253Dmy2%2526s%253DTIKTOK_AFFILIATE_VIRAL_VIDEO%22%2C%22placeholder_product_id%22%3A%221729427766722726591%22%2C%22placeholder_video_id%22%3A%227633197653253278994%22%7D&amp;ec_shared_reflux_scene=shop_tab_feed&amp;share_item_id=7633197653253278994&amp;source=h5_t" TargetMode="External"/><Relationship Id="rId7661" Type="http://schemas.openxmlformats.org/officeDocument/2006/relationships/hyperlink" Target="https://vt.tiktok.com/ZS9H2BvDV/" TargetMode="External"/><Relationship Id="rId8992" Type="http://schemas.openxmlformats.org/officeDocument/2006/relationships/hyperlink" Target="https://vt.tiktok.com/ZSxP64vTG/" TargetMode="External"/><Relationship Id="rId6330" Type="http://schemas.openxmlformats.org/officeDocument/2006/relationships/hyperlink" Target="https://vt.tiktok.com/ZS9jM8xdm/" TargetMode="External"/><Relationship Id="rId7660" Type="http://schemas.openxmlformats.org/officeDocument/2006/relationships/hyperlink" Target="https://www.tiktok.com/@glowing.kosmetik1" TargetMode="External"/><Relationship Id="rId8991" Type="http://schemas.openxmlformats.org/officeDocument/2006/relationships/hyperlink" Target="https://www.tiktok.com/@asri_enp/video/7647100276452625671?_r=1&amp;u_code=ed1mbmhe6jea26&amp;region=&amp;mid=7643041749132135185&amp;preview_pb=0&amp;sharer_language=&amp;_d=0&amp;ec_shared_reflux_dynamic_params=%7B%22placeholder_material_id%22%3A%227647100276452625671%22%2C%22placeholder_origin_cover%22%3A%22https%253A%252F%252Fp16-common-sign.tiktokcdn.com%252Ftos-alisg-p-0037%252Fo4RfggngGQUjeK6uAIemAfDscLci9QMiizENNf~tplv-tiktokx-origin.jpeg%253Fdr%253D14572%2526refresh_token%253D9ee90fcf%2526x-expires%253D1812099600%2526x-signature%253DlqpJvuEoreunCWhll78seNGC3uU%25253D%2526t%253D4d5b0474%2526ps%253D13740610%2526shp%253Dd05b14bd%2526shcp%253D34ff8df6%2526idc%253Dmy%2526s%253DTIKTOK_AFFILIATE_VIRAL_VIDEO%22%2C%22placeholder_product_id%22%3A%221729427766722726591%22%2C%22placeholder_video_id%22%3A%227647100276452625671%22%7D&amp;ec_shared_reflux_scene=shop_tab_feed&amp;share_item_id=7647100276452625671&amp;source=h5_t" TargetMode="External"/><Relationship Id="rId8990" Type="http://schemas.openxmlformats.org/officeDocument/2006/relationships/hyperlink" Target="https://www.tiktok.com/@asri_enp/video/7647100221654355218?_r=1&amp;u_code=ed1mbmhe6jea26&amp;region=&amp;mid=7633721667046836241&amp;preview_pb=0&amp;sharer_language=&amp;_d=0&amp;ec_shared_reflux_dynamic_params=%7B%22placeholder_material_id%22%3A%227647100221654355218%22%2C%22placeholder_origin_cover%22%3A%22https%253A%252F%252Fp16-common-sign.tiktokcdn.com%252Ftos-alisg-p-0037%252FoorgAQsCNI8gQA68fAMfxemXXLNMiKXJgfXMf2~tplv-tiktokx-origin.jpeg%253Fdr%253D14572%2526refresh_token%253D5b7b7f7f%2526x-expires%253D1812099600%2526x-signature%253Dzybez5f9YfVX%25252FpZmjqkfOaxiUPY%25253D%2526t%253D4d5b0474%2526ps%253D13740610%2526shp%253Dd05b14bd%2526shcp%253D34ff8df6%2526idc%253Dmy%2526s%253DTIKTOK_AFFILIATE_VIRAL_VIDEO%22%2C%22placeholder_product_id%22%3A%221729427766722726591%22%2C%22placeholder_video_id%22%3A%227647100221654355218%22%7D&amp;ec_shared_reflux_scene=shop_tab_feed&amp;share_item_id=7647100221654355218&amp;source=h5_t" TargetMode="External"/><Relationship Id="rId5002" Type="http://schemas.openxmlformats.org/officeDocument/2006/relationships/hyperlink" Target="https://vt.tiktok.com/ZS9hqcAxh/" TargetMode="External"/><Relationship Id="rId6333" Type="http://schemas.openxmlformats.org/officeDocument/2006/relationships/hyperlink" Target="https://vt.tiktok.com/ZS9ycs5oc/" TargetMode="External"/><Relationship Id="rId7665" Type="http://schemas.openxmlformats.org/officeDocument/2006/relationships/hyperlink" Target="https://www.tiktok.com/@windhiaviva" TargetMode="External"/><Relationship Id="rId8996" Type="http://schemas.openxmlformats.org/officeDocument/2006/relationships/hyperlink" Target="https://vt.tiktok.com/ZSxyx5nWJ/" TargetMode="External"/><Relationship Id="rId5003" Type="http://schemas.openxmlformats.org/officeDocument/2006/relationships/hyperlink" Target="https://www.tiktok.com/@dyanamaliah" TargetMode="External"/><Relationship Id="rId6334" Type="http://schemas.openxmlformats.org/officeDocument/2006/relationships/hyperlink" Target="https://www.tiktok.com/@muhammadkevinfirdaus_" TargetMode="External"/><Relationship Id="rId7664" Type="http://schemas.openxmlformats.org/officeDocument/2006/relationships/hyperlink" Target="https://vt.tiktok.com/ZS9H2eUCb/" TargetMode="External"/><Relationship Id="rId8995" Type="http://schemas.openxmlformats.org/officeDocument/2006/relationships/hyperlink" Target="https://vt.tiktok.com/ZSxP6gJkT/" TargetMode="External"/><Relationship Id="rId5000" Type="http://schemas.openxmlformats.org/officeDocument/2006/relationships/hyperlink" Target="https://www.tiktok.com/@belanja_hemat.shop/video/7630475688943897874?_r=1&amp;u_code=ek6h2252jijmih&amp;region=&amp;mid=7607444503808527121&amp;preview_pb=0&amp;sharer_language=&amp;_d=0&amp;ec_shared_reflux_dynamic_params=%7B%22placeholder_material_id%22%3A%227630475688943897874%22%2C%22placeholder_origin_cover%22%3A%22https%253A%252F%252Fp16-common-sign.tiktokcdn.com%252Ftos-alisg-p-0037%252FooTSo4TGxCrBcAXj7DmAGPeS8yI5Ae8eTolMQ5~tplv-tiktokx-origin.jpeg%253Fdr%253D14572%2526refresh_token%253Df667667c%2526x-expires%253D1808992800%2526x-signature%253DLPxUVcjF62CctMUjnnT82J9gU%25252Fk%25253D%2526t%253D4d5b0474%2526ps%253D13740610%2526shp%253Dd05b14bd%2526shcp%253D34ff8df6%2526idc%253Dmy2%2526s%253DTIKTOK_AFFILIATE_VIRAL_VIDEO%22%2C%22placeholder_product_id%22%3A%221729427766722726591%22%2C%22placeholder_video_id%22%3A%227630475688943897874%22%7D&amp;ec_shared_reflux_scene=shop_tab_feed&amp;share_item_id=7630475688943897874&amp;source=h5_t" TargetMode="External"/><Relationship Id="rId6331" Type="http://schemas.openxmlformats.org/officeDocument/2006/relationships/hyperlink" Target="https://vt.tiktok.com/ZS9MArLmp/" TargetMode="External"/><Relationship Id="rId7663" Type="http://schemas.openxmlformats.org/officeDocument/2006/relationships/hyperlink" Target="https://vt.tiktok.com/ZS9H2PPny/" TargetMode="External"/><Relationship Id="rId8994" Type="http://schemas.openxmlformats.org/officeDocument/2006/relationships/hyperlink" Target="https://vt.tiktok.com/ZSxQnqjba/" TargetMode="External"/><Relationship Id="rId5001" Type="http://schemas.openxmlformats.org/officeDocument/2006/relationships/hyperlink" Target="https://www.tiktok.com/@belanja_hemat.shop/video/7630318868501728530?_r=1&amp;u_code=ek6h2252jijmih&amp;region=&amp;mid=7624626297780652808&amp;preview_pb=0&amp;sharer_language=&amp;_d=0&amp;ec_shared_reflux_dynamic_params=%7B%22placeholder_material_id%22%3A%227630318868501728530%22%2C%22placeholder_origin_cover%22%3A%22https%253A%252F%252Fp16-common-sign.tiktokcdn.com%252Ftos-alisg-p-0037%252FokeOVVfQkFGLQs0gKgceaWA4zEnApnO1GRGkIf~tplv-tiktokx-origin.jpeg%253Fdr%253D14572%2526refresh_token%253D1c2a1f8c%2526x-expires%253D1808992800%2526x-signature%253Df6KbnHeOt4Ficr%25252BDHFCFYgU8wEc%25253D%2526t%253D4d5b0474%2526ps%253D13740610%2526shp%253Dd05b14bd%2526shcp%253D34ff8df6%2526idc%253Dmy2%2526s%253DTIKTOK_AFFILIATE_VIRAL_VIDEO%22%2C%22placeholder_product_id%22%3A%221729427766722726591%22%2C%22placeholder_video_id%22%3A%227630318868501728530%22%7D&amp;ec_shared_reflux_scene=shop_tab_feed&amp;share_item_id=7630318868501728530&amp;source=h5_t" TargetMode="External"/><Relationship Id="rId6332" Type="http://schemas.openxmlformats.org/officeDocument/2006/relationships/hyperlink" Target="https://vt.tiktok.com/ZS9BbR5X2/" TargetMode="External"/><Relationship Id="rId7662" Type="http://schemas.openxmlformats.org/officeDocument/2006/relationships/hyperlink" Target="https://vt.tiktok.com/ZS9H2LwwK/" TargetMode="External"/><Relationship Id="rId8993" Type="http://schemas.openxmlformats.org/officeDocument/2006/relationships/hyperlink" Target="https://www.tiktok.com/@febri.nia4" TargetMode="External"/><Relationship Id="rId5006" Type="http://schemas.openxmlformats.org/officeDocument/2006/relationships/hyperlink" Target="https://vt.tiktok.com/ZS921GHkG/" TargetMode="External"/><Relationship Id="rId6337" Type="http://schemas.openxmlformats.org/officeDocument/2006/relationships/hyperlink" Target="https://vt.tiktok.com/ZS9BbR5X2/" TargetMode="External"/><Relationship Id="rId7669" Type="http://schemas.openxmlformats.org/officeDocument/2006/relationships/hyperlink" Target="https://vt.tiktok.com/ZS9H2eUCb/" TargetMode="External"/><Relationship Id="rId5007" Type="http://schemas.openxmlformats.org/officeDocument/2006/relationships/hyperlink" Target="https://www.tiktok.com/@rositaramdani7/video/7633284200472284434?_d=0&amp;_r=1&amp;ec_shared_reflux_dynamic_params=%7B%22placeholder_material_id%22%3A%227633284200472284434%22%2C%22placeholder_origin_cover%22%3A%22https%253A%252F%252Fp16-sign-sg.tiktokcdn.com%252Ftos-alisg-p-0037%252Fo0C9DPIwuOAi7i23nlIx59f4Y9B7AAHIjC50iu~tplv-tiktokx-origin.jpeg%253Fdr%253D14572%2526refresh_token%253D93b490f0%2526x-expires%253D1808992800%2526x-signature%253DOtQCPKxCzTZYiOf8ObRksmoNH5c%25253D%2526t%253D4d5b0474%2526ps%253D13740610%2526shp%253Dd05b14bd%2526shcp%253D34ff8df6%2526idc%253Dmy2%2526s%253DTIKTOK_AFFILIATE_VIRAL_VIDEO%22%2C%22placeholder_product_id%22%3A%221729427766722726591%22%2C%22placeholder_video_id%22%3A%227633284200472284434%22%7D&amp;ec_shared_reflux_scene=shop_tab_feed&amp;mid=7591377536513985281&amp;preview_pb=0&amp;region=&amp;share_item_id=7633284200472284434&amp;sharer_language=&amp;source=h5_t&amp;u_code=f1489jb4bi84e9" TargetMode="External"/><Relationship Id="rId6338" Type="http://schemas.openxmlformats.org/officeDocument/2006/relationships/hyperlink" Target="https://vt.tiktok.com/ZS9ycs5oc/" TargetMode="External"/><Relationship Id="rId7668" Type="http://schemas.openxmlformats.org/officeDocument/2006/relationships/hyperlink" Target="https://vt.tiktok.com/ZS9H2PPny/" TargetMode="External"/><Relationship Id="rId8999" Type="http://schemas.openxmlformats.org/officeDocument/2006/relationships/hyperlink" Target="https://vt.tiktok.com/ZSxGyNfvp/" TargetMode="External"/><Relationship Id="rId5004" Type="http://schemas.openxmlformats.org/officeDocument/2006/relationships/hyperlink" Target="https://vt.tiktok.com/ZS9r1RKxv/" TargetMode="External"/><Relationship Id="rId6335" Type="http://schemas.openxmlformats.org/officeDocument/2006/relationships/hyperlink" Target="https://vt.tiktok.com/ZS9jM8xdm/" TargetMode="External"/><Relationship Id="rId7667" Type="http://schemas.openxmlformats.org/officeDocument/2006/relationships/hyperlink" Target="https://vt.tiktok.com/ZS9H2LwwK/" TargetMode="External"/><Relationship Id="rId8998" Type="http://schemas.openxmlformats.org/officeDocument/2006/relationships/hyperlink" Target="https://www.tiktok.com/@Wdzz99" TargetMode="External"/><Relationship Id="rId5005" Type="http://schemas.openxmlformats.org/officeDocument/2006/relationships/hyperlink" Target="https://vt.tiktok.com/ZS92WWk36/" TargetMode="External"/><Relationship Id="rId6336" Type="http://schemas.openxmlformats.org/officeDocument/2006/relationships/hyperlink" Target="https://vt.tiktok.com/ZS9MArLmp/" TargetMode="External"/><Relationship Id="rId7666" Type="http://schemas.openxmlformats.org/officeDocument/2006/relationships/hyperlink" Target="https://vt.tiktok.com/ZS9H2BvDV/" TargetMode="External"/><Relationship Id="rId8997" Type="http://schemas.openxmlformats.org/officeDocument/2006/relationships/hyperlink" Target="https://vt.tiktok.com/ZSxyx5HuN/" TargetMode="External"/><Relationship Id="rId7690" Type="http://schemas.openxmlformats.org/officeDocument/2006/relationships/hyperlink" Target="https://vt.tiktok.com/ZS9H2LwwK/" TargetMode="External"/><Relationship Id="rId5031" Type="http://schemas.openxmlformats.org/officeDocument/2006/relationships/hyperlink" Target="https://vt.tiktok.com/ZS95xxTLh/" TargetMode="External"/><Relationship Id="rId6362" Type="http://schemas.openxmlformats.org/officeDocument/2006/relationships/hyperlink" Target="https://vt.tiktok.com/ZS9BbR5X2/" TargetMode="External"/><Relationship Id="rId7694" Type="http://schemas.openxmlformats.org/officeDocument/2006/relationships/hyperlink" Target="https://vt.tiktok.com/ZS9H2BvDV/" TargetMode="External"/><Relationship Id="rId5032" Type="http://schemas.openxmlformats.org/officeDocument/2006/relationships/hyperlink" Target="https://vt.tiktok.com/ZS95x5wxc/" TargetMode="External"/><Relationship Id="rId6363" Type="http://schemas.openxmlformats.org/officeDocument/2006/relationships/hyperlink" Target="https://vt.tiktok.com/ZS9ycs5oc/" TargetMode="External"/><Relationship Id="rId7693" Type="http://schemas.openxmlformats.org/officeDocument/2006/relationships/hyperlink" Target="https://www.tiktok.com/@wahyubella24" TargetMode="External"/><Relationship Id="rId6360" Type="http://schemas.openxmlformats.org/officeDocument/2006/relationships/hyperlink" Target="https://vt.tiktok.com/ZS9jM8xdm/" TargetMode="External"/><Relationship Id="rId7692" Type="http://schemas.openxmlformats.org/officeDocument/2006/relationships/hyperlink" Target="https://vt.tiktok.com/ZS9H2eUCb/" TargetMode="External"/><Relationship Id="rId5030" Type="http://schemas.openxmlformats.org/officeDocument/2006/relationships/hyperlink" Target="https://vt.tiktok.com/ZS95xrRtQ/" TargetMode="External"/><Relationship Id="rId6361" Type="http://schemas.openxmlformats.org/officeDocument/2006/relationships/hyperlink" Target="https://vt.tiktok.com/ZS9MArLmp/" TargetMode="External"/><Relationship Id="rId7691" Type="http://schemas.openxmlformats.org/officeDocument/2006/relationships/hyperlink" Target="https://vt.tiktok.com/ZS9H2PPny/" TargetMode="External"/><Relationship Id="rId5035" Type="http://schemas.openxmlformats.org/officeDocument/2006/relationships/hyperlink" Target="https://vt.tiktok.com/ZSxHJuVDN/" TargetMode="External"/><Relationship Id="rId6366" Type="http://schemas.openxmlformats.org/officeDocument/2006/relationships/hyperlink" Target="https://vt.tiktok.com/ZS9MArLmp/" TargetMode="External"/><Relationship Id="rId7698" Type="http://schemas.openxmlformats.org/officeDocument/2006/relationships/hyperlink" Target="https://www.tiktok.com/@widiwanali" TargetMode="External"/><Relationship Id="rId5036" Type="http://schemas.openxmlformats.org/officeDocument/2006/relationships/hyperlink" Target="https://vt.tiktok.com/ZSxHJHME4/" TargetMode="External"/><Relationship Id="rId6367" Type="http://schemas.openxmlformats.org/officeDocument/2006/relationships/hyperlink" Target="https://vt.tiktok.com/ZS9BbR5X2/" TargetMode="External"/><Relationship Id="rId7697" Type="http://schemas.openxmlformats.org/officeDocument/2006/relationships/hyperlink" Target="https://vt.tiktok.com/ZS9H2eUCb/" TargetMode="External"/><Relationship Id="rId5033" Type="http://schemas.openxmlformats.org/officeDocument/2006/relationships/hyperlink" Target="https://www.tiktok.com/@hannah_21" TargetMode="External"/><Relationship Id="rId6364" Type="http://schemas.openxmlformats.org/officeDocument/2006/relationships/hyperlink" Target="https://www.tiktok.com/@aillaptr_" TargetMode="External"/><Relationship Id="rId7696" Type="http://schemas.openxmlformats.org/officeDocument/2006/relationships/hyperlink" Target="https://vt.tiktok.com/ZS9H2PPny/" TargetMode="External"/><Relationship Id="rId5034" Type="http://schemas.openxmlformats.org/officeDocument/2006/relationships/hyperlink" Target="https://vt.tiktok.com/ZSxHJVPop/" TargetMode="External"/><Relationship Id="rId6365" Type="http://schemas.openxmlformats.org/officeDocument/2006/relationships/hyperlink" Target="https://vt.tiktok.com/ZS9jM8xdm/" TargetMode="External"/><Relationship Id="rId7695" Type="http://schemas.openxmlformats.org/officeDocument/2006/relationships/hyperlink" Target="https://vt.tiktok.com/ZS9H2LwwK/" TargetMode="External"/><Relationship Id="rId5039" Type="http://schemas.openxmlformats.org/officeDocument/2006/relationships/hyperlink" Target="https://vt.tiktok.com/ZS9LAgnNx/" TargetMode="External"/><Relationship Id="rId5037" Type="http://schemas.openxmlformats.org/officeDocument/2006/relationships/hyperlink" Target="https://vt.tiktok.com/ZSxHJVDHN/" TargetMode="External"/><Relationship Id="rId6368" Type="http://schemas.openxmlformats.org/officeDocument/2006/relationships/hyperlink" Target="https://vt.tiktok.com/ZS9ycs5oc/" TargetMode="External"/><Relationship Id="rId5038" Type="http://schemas.openxmlformats.org/officeDocument/2006/relationships/hyperlink" Target="https://www.tiktok.com/@tetehnuyy0" TargetMode="External"/><Relationship Id="rId6369" Type="http://schemas.openxmlformats.org/officeDocument/2006/relationships/hyperlink" Target="https://www.tiktok.com/@amalia.aidid" TargetMode="External"/><Relationship Id="rId7699" Type="http://schemas.openxmlformats.org/officeDocument/2006/relationships/hyperlink" Target="https://vt.tiktok.com/ZS9H2BvDV/" TargetMode="External"/><Relationship Id="rId5020" Type="http://schemas.openxmlformats.org/officeDocument/2006/relationships/hyperlink" Target="https://vt.tiktok.com/ZS95xrRtQ/" TargetMode="External"/><Relationship Id="rId6351" Type="http://schemas.openxmlformats.org/officeDocument/2006/relationships/hyperlink" Target="https://vt.tiktok.com/ZS9MArLmp/" TargetMode="External"/><Relationship Id="rId7683" Type="http://schemas.openxmlformats.org/officeDocument/2006/relationships/hyperlink" Target="https://vt.tiktok.com/ZS9H2PPny/" TargetMode="External"/><Relationship Id="rId5021" Type="http://schemas.openxmlformats.org/officeDocument/2006/relationships/hyperlink" Target="https://vt.tiktok.com/ZS95xxTLh/" TargetMode="External"/><Relationship Id="rId6352" Type="http://schemas.openxmlformats.org/officeDocument/2006/relationships/hyperlink" Target="https://vt.tiktok.com/ZS9BbR5X2/" TargetMode="External"/><Relationship Id="rId7682" Type="http://schemas.openxmlformats.org/officeDocument/2006/relationships/hyperlink" Target="https://vt.tiktok.com/ZS9H2LwwK/" TargetMode="External"/><Relationship Id="rId7681" Type="http://schemas.openxmlformats.org/officeDocument/2006/relationships/hyperlink" Target="https://vt.tiktok.com/ZS9H2BvDV/" TargetMode="External"/><Relationship Id="rId6350" Type="http://schemas.openxmlformats.org/officeDocument/2006/relationships/hyperlink" Target="https://vt.tiktok.com/ZS9jM8xdm/" TargetMode="External"/><Relationship Id="rId7680" Type="http://schemas.openxmlformats.org/officeDocument/2006/relationships/hyperlink" Target="https://www.tiktok.com/@jutsfun234_mans" TargetMode="External"/><Relationship Id="rId5024" Type="http://schemas.openxmlformats.org/officeDocument/2006/relationships/hyperlink" Target="https://vt.tiktok.com/ZS95xsqaT/" TargetMode="External"/><Relationship Id="rId6355" Type="http://schemas.openxmlformats.org/officeDocument/2006/relationships/hyperlink" Target="https://vt.tiktok.com/ZSxv3cFoF/" TargetMode="External"/><Relationship Id="rId7687" Type="http://schemas.openxmlformats.org/officeDocument/2006/relationships/hyperlink" Target="https://vt.tiktok.com/ZS9H2LwwK/" TargetMode="External"/><Relationship Id="rId5025" Type="http://schemas.openxmlformats.org/officeDocument/2006/relationships/hyperlink" Target="https://vt.tiktok.com/ZS95xrRtQ/" TargetMode="External"/><Relationship Id="rId6356" Type="http://schemas.openxmlformats.org/officeDocument/2006/relationships/hyperlink" Target="https://vt.tiktok.com/ZS9MArLmp/" TargetMode="External"/><Relationship Id="rId7686" Type="http://schemas.openxmlformats.org/officeDocument/2006/relationships/hyperlink" Target="https://vt.tiktok.com/ZS9H2BvDV/" TargetMode="External"/><Relationship Id="rId5022" Type="http://schemas.openxmlformats.org/officeDocument/2006/relationships/hyperlink" Target="https://vt.tiktok.com/ZS95x5wxc/" TargetMode="External"/><Relationship Id="rId6353" Type="http://schemas.openxmlformats.org/officeDocument/2006/relationships/hyperlink" Target="https://vt.tiktok.com/ZS9ycs5oc/" TargetMode="External"/><Relationship Id="rId7685" Type="http://schemas.openxmlformats.org/officeDocument/2006/relationships/hyperlink" Target="https://www.tiktok.com/@yuliastinpuspitas" TargetMode="External"/><Relationship Id="rId5023" Type="http://schemas.openxmlformats.org/officeDocument/2006/relationships/hyperlink" Target="https://www.tiktok.com/@shafira234_" TargetMode="External"/><Relationship Id="rId6354" Type="http://schemas.openxmlformats.org/officeDocument/2006/relationships/hyperlink" Target="https://www.tiktok.com/@ruang_sehari" TargetMode="External"/><Relationship Id="rId7684" Type="http://schemas.openxmlformats.org/officeDocument/2006/relationships/hyperlink" Target="https://vt.tiktok.com/ZS9H2eUCb/" TargetMode="External"/><Relationship Id="rId5028" Type="http://schemas.openxmlformats.org/officeDocument/2006/relationships/hyperlink" Target="https://www.tiktok.com/@dtandy007" TargetMode="External"/><Relationship Id="rId6359" Type="http://schemas.openxmlformats.org/officeDocument/2006/relationships/hyperlink" Target="https://www.tiktok.com/@ig._meyyyyy8" TargetMode="External"/><Relationship Id="rId5029" Type="http://schemas.openxmlformats.org/officeDocument/2006/relationships/hyperlink" Target="https://vt.tiktok.com/ZS95xsqaT/" TargetMode="External"/><Relationship Id="rId5026" Type="http://schemas.openxmlformats.org/officeDocument/2006/relationships/hyperlink" Target="https://vt.tiktok.com/ZS95xxTLh/" TargetMode="External"/><Relationship Id="rId6357" Type="http://schemas.openxmlformats.org/officeDocument/2006/relationships/hyperlink" Target="https://vt.tiktok.com/ZS9BbR5X2/" TargetMode="External"/><Relationship Id="rId7689" Type="http://schemas.openxmlformats.org/officeDocument/2006/relationships/hyperlink" Target="https://vt.tiktok.com/ZS9H2BvDV/" TargetMode="External"/><Relationship Id="rId5027" Type="http://schemas.openxmlformats.org/officeDocument/2006/relationships/hyperlink" Target="https://vt.tiktok.com/ZS95x5wxc/" TargetMode="External"/><Relationship Id="rId6358" Type="http://schemas.openxmlformats.org/officeDocument/2006/relationships/hyperlink" Target="https://vt.tiktok.com/ZS9ycs5oc/" TargetMode="External"/><Relationship Id="rId7688" Type="http://schemas.openxmlformats.org/officeDocument/2006/relationships/hyperlink" Target="https://www.tiktok.com/@gleenshaff" TargetMode="External"/><Relationship Id="rId6308" Type="http://schemas.openxmlformats.org/officeDocument/2006/relationships/hyperlink" Target="https://vt.tiktok.com/ZS9ycs5oc/" TargetMode="External"/><Relationship Id="rId6309" Type="http://schemas.openxmlformats.org/officeDocument/2006/relationships/hyperlink" Target="https://www.tiktok.com/@.anismarsela14" TargetMode="External"/><Relationship Id="rId7639" Type="http://schemas.openxmlformats.org/officeDocument/2006/relationships/hyperlink" Target="https://vt.tiktok.com/ZS9H2eUCb/" TargetMode="External"/><Relationship Id="rId6306" Type="http://schemas.openxmlformats.org/officeDocument/2006/relationships/hyperlink" Target="https://vt.tiktok.com/ZS9MArLmp/" TargetMode="External"/><Relationship Id="rId7638" Type="http://schemas.openxmlformats.org/officeDocument/2006/relationships/hyperlink" Target="https://vt.tiktok.com/ZS9H2PPny/" TargetMode="External"/><Relationship Id="rId8969" Type="http://schemas.openxmlformats.org/officeDocument/2006/relationships/hyperlink" Target="https://vt.tiktok.com/ZSxt8nUYS/" TargetMode="External"/><Relationship Id="rId6307" Type="http://schemas.openxmlformats.org/officeDocument/2006/relationships/hyperlink" Target="https://vt.tiktok.com/ZS9BbR5X2/" TargetMode="External"/><Relationship Id="rId7637" Type="http://schemas.openxmlformats.org/officeDocument/2006/relationships/hyperlink" Target="https://vt.tiktok.com/ZS9H2LwwK/" TargetMode="External"/><Relationship Id="rId8968" Type="http://schemas.openxmlformats.org/officeDocument/2006/relationships/hyperlink" Target="https://vt.tiktok.com/ZSxt8gLkC/" TargetMode="External"/><Relationship Id="rId6300" Type="http://schemas.openxmlformats.org/officeDocument/2006/relationships/hyperlink" Target="https://vt.tiktok.com/ZS9jM8xdm/" TargetMode="External"/><Relationship Id="rId7632" Type="http://schemas.openxmlformats.org/officeDocument/2006/relationships/hyperlink" Target="https://vt.tiktok.com/ZS9H2LwwK/" TargetMode="External"/><Relationship Id="rId8963" Type="http://schemas.openxmlformats.org/officeDocument/2006/relationships/hyperlink" Target="https://www.tiktok.com/@Dita.susi" TargetMode="External"/><Relationship Id="rId6301" Type="http://schemas.openxmlformats.org/officeDocument/2006/relationships/hyperlink" Target="https://vt.tiktok.com/ZS9MArLmp/" TargetMode="External"/><Relationship Id="rId7631" Type="http://schemas.openxmlformats.org/officeDocument/2006/relationships/hyperlink" Target="https://vt.tiktok.com/ZS9H2BvDV/" TargetMode="External"/><Relationship Id="rId8962" Type="http://schemas.openxmlformats.org/officeDocument/2006/relationships/hyperlink" Target="https://vt.tiktok.com/ZSxyANDsv/" TargetMode="External"/><Relationship Id="rId7630" Type="http://schemas.openxmlformats.org/officeDocument/2006/relationships/hyperlink" Target="https://www.tiktok.com/@vina.angel26" TargetMode="External"/><Relationship Id="rId8961" Type="http://schemas.openxmlformats.org/officeDocument/2006/relationships/hyperlink" Target="https://vt.tiktok.com/ZSxgvj9C1/" TargetMode="External"/><Relationship Id="rId8960" Type="http://schemas.openxmlformats.org/officeDocument/2006/relationships/hyperlink" Target="https://vt.tiktok.com/ZSxgaK3aR/" TargetMode="External"/><Relationship Id="rId6304" Type="http://schemas.openxmlformats.org/officeDocument/2006/relationships/hyperlink" Target="https://www.tiktok.com/@kayrin_official" TargetMode="External"/><Relationship Id="rId7636" Type="http://schemas.openxmlformats.org/officeDocument/2006/relationships/hyperlink" Target="https://vt.tiktok.com/ZS9H2BvDV/" TargetMode="External"/><Relationship Id="rId8967" Type="http://schemas.openxmlformats.org/officeDocument/2006/relationships/hyperlink" Target="https://www.tiktok.com/@siti305_" TargetMode="External"/><Relationship Id="rId6305" Type="http://schemas.openxmlformats.org/officeDocument/2006/relationships/hyperlink" Target="https://vt.tiktok.com/ZS9jM8xdm/" TargetMode="External"/><Relationship Id="rId7635" Type="http://schemas.openxmlformats.org/officeDocument/2006/relationships/hyperlink" Target="https://www.tiktok.com/@dewiimma03" TargetMode="External"/><Relationship Id="rId8966" Type="http://schemas.openxmlformats.org/officeDocument/2006/relationships/hyperlink" Target="https://vt.tiktok.com/ZSxyAMGFy/" TargetMode="External"/><Relationship Id="rId6302" Type="http://schemas.openxmlformats.org/officeDocument/2006/relationships/hyperlink" Target="https://vt.tiktok.com/ZS9BbR5X2/" TargetMode="External"/><Relationship Id="rId7634" Type="http://schemas.openxmlformats.org/officeDocument/2006/relationships/hyperlink" Target="https://vt.tiktok.com/ZS9H2eUCb/" TargetMode="External"/><Relationship Id="rId8965" Type="http://schemas.openxmlformats.org/officeDocument/2006/relationships/hyperlink" Target="https://vt.tiktok.com/ZSxK4946c/" TargetMode="External"/><Relationship Id="rId6303" Type="http://schemas.openxmlformats.org/officeDocument/2006/relationships/hyperlink" Target="https://vt.tiktok.com/ZS9ycs5oc/" TargetMode="External"/><Relationship Id="rId7633" Type="http://schemas.openxmlformats.org/officeDocument/2006/relationships/hyperlink" Target="https://vt.tiktok.com/ZS9H2PPny/" TargetMode="External"/><Relationship Id="rId8964" Type="http://schemas.openxmlformats.org/officeDocument/2006/relationships/hyperlink" Target="https://vt.tiktok.com/ZSxKXUMYT/" TargetMode="External"/><Relationship Id="rId7629" Type="http://schemas.openxmlformats.org/officeDocument/2006/relationships/hyperlink" Target="https://vt.tiktok.com/ZS9H2eUCb/" TargetMode="External"/><Relationship Id="rId7628" Type="http://schemas.openxmlformats.org/officeDocument/2006/relationships/hyperlink" Target="https://vt.tiktok.com/ZS9H2PPny/" TargetMode="External"/><Relationship Id="rId8959" Type="http://schemas.openxmlformats.org/officeDocument/2006/relationships/hyperlink" Target="https://www.tiktok.com/@Lidiyakhw1" TargetMode="External"/><Relationship Id="rId7627" Type="http://schemas.openxmlformats.org/officeDocument/2006/relationships/hyperlink" Target="https://vt.tiktok.com/ZS9H2LwwK/" TargetMode="External"/><Relationship Id="rId8958" Type="http://schemas.openxmlformats.org/officeDocument/2006/relationships/hyperlink" Target="https://www.tiktok.com/@cxyzcyy/video/7646325011774524690?_r=1&amp;u_code=db3d092ae7eihl&amp;region=&amp;mid=7634882836981369601&amp;preview_pb=0&amp;sharer_language=&amp;_d=0&amp;ec_shared_reflux_dynamic_params=%7B%22placeholder_material_id%22%3A%227646325011774524690%22%2C%22placeholder_origin_cover%22%3A%22https%253A%252F%252Fp16-common-sign.tiktokcdn.com%252Ftos-alisg-p-0037%252FooVY0I8BPBNAvvwwAapnAEVVqCd0iihdIIBCU~tplv-tiktokx-origin.jpeg%253Fdr%253D14572%2526refresh_token%253D2c89ad5f%2526x-expires%253D1812099600%2526x-signature%253DZ9sgHVYsKVDPSeC%25252BMa4PbcOGm7Q%25253D%2526t%253D4d5b0474%2526ps%253D13740610%2526shp%253Dd05b14bd%2526shcp%253D34ff8df6%2526idc%253Dmy%2526s%253DTIKTOK_AFFILIATE_VIRAL_VIDEO%22%2C%22placeholder_product_id%22%3A%221729729730555512511%22%2C%22placeholder_video_id%22%3A%227646325011774524690%22%7D&amp;ec_shared_reflux_scene=shop_tab_feed&amp;share_item_id=7646325011774524690&amp;source=h5_t" TargetMode="External"/><Relationship Id="rId7626" Type="http://schemas.openxmlformats.org/officeDocument/2006/relationships/hyperlink" Target="https://vt.tiktok.com/ZS9H2BvDV/" TargetMode="External"/><Relationship Id="rId8957" Type="http://schemas.openxmlformats.org/officeDocument/2006/relationships/hyperlink" Target="https://vt.tiktok.com/ZSxKbSCsx/" TargetMode="External"/><Relationship Id="rId7621" Type="http://schemas.openxmlformats.org/officeDocument/2006/relationships/hyperlink" Target="https://vt.tiktok.com/ZS9H2BvDV/" TargetMode="External"/><Relationship Id="rId8952" Type="http://schemas.openxmlformats.org/officeDocument/2006/relationships/hyperlink" Target="https://vt.tiktok.com/ZSxTAr5aJ/" TargetMode="External"/><Relationship Id="rId7620" Type="http://schemas.openxmlformats.org/officeDocument/2006/relationships/hyperlink" Target="https://www.tiktok.com/@alfidaaaa_" TargetMode="External"/><Relationship Id="rId8951" Type="http://schemas.openxmlformats.org/officeDocument/2006/relationships/hyperlink" Target="https://www.tiktok.com/@dewishopp02" TargetMode="External"/><Relationship Id="rId8950" Type="http://schemas.openxmlformats.org/officeDocument/2006/relationships/hyperlink" Target="https://vt.tiktok.com/ZSxxBw3D7/" TargetMode="External"/><Relationship Id="rId7625" Type="http://schemas.openxmlformats.org/officeDocument/2006/relationships/hyperlink" Target="https://www.tiktok.com/@novaa1611" TargetMode="External"/><Relationship Id="rId8956" Type="http://schemas.openxmlformats.org/officeDocument/2006/relationships/hyperlink" Target="https://vt.tiktok.com/ZSxKqT4Jg/" TargetMode="External"/><Relationship Id="rId7624" Type="http://schemas.openxmlformats.org/officeDocument/2006/relationships/hyperlink" Target="https://vt.tiktok.com/ZS9H2eUCb/" TargetMode="External"/><Relationship Id="rId8955" Type="http://schemas.openxmlformats.org/officeDocument/2006/relationships/hyperlink" Target="https://www.tiktok.com/@cxyzcyy" TargetMode="External"/><Relationship Id="rId7623" Type="http://schemas.openxmlformats.org/officeDocument/2006/relationships/hyperlink" Target="https://vt.tiktok.com/ZS9H2PPny/" TargetMode="External"/><Relationship Id="rId8954" Type="http://schemas.openxmlformats.org/officeDocument/2006/relationships/hyperlink" Target="https://vt.tiktok.com/ZSxxBT9x4/" TargetMode="External"/><Relationship Id="rId7622" Type="http://schemas.openxmlformats.org/officeDocument/2006/relationships/hyperlink" Target="https://vt.tiktok.com/ZS9H2LwwK/" TargetMode="External"/><Relationship Id="rId8953" Type="http://schemas.openxmlformats.org/officeDocument/2006/relationships/hyperlink" Target="https://vt.tiktok.com/ZSxwYrUcU/" TargetMode="External"/><Relationship Id="rId6328" Type="http://schemas.openxmlformats.org/officeDocument/2006/relationships/hyperlink" Target="https://vt.tiktok.com/ZS9ycs5oc/" TargetMode="External"/><Relationship Id="rId6329" Type="http://schemas.openxmlformats.org/officeDocument/2006/relationships/hyperlink" Target="https://www.tiktok.com/@dipongsyalala" TargetMode="External"/><Relationship Id="rId7659" Type="http://schemas.openxmlformats.org/officeDocument/2006/relationships/hyperlink" Target="https://vt.tiktok.com/ZS9H2eUCb/" TargetMode="External"/><Relationship Id="rId7650" Type="http://schemas.openxmlformats.org/officeDocument/2006/relationships/hyperlink" Target="https://www.tiktok.com/@ainunzrhh" TargetMode="External"/><Relationship Id="rId8981" Type="http://schemas.openxmlformats.org/officeDocument/2006/relationships/hyperlink" Target="https://vt.tiktok.com/ZSxyABeba/" TargetMode="External"/><Relationship Id="rId8980" Type="http://schemas.openxmlformats.org/officeDocument/2006/relationships/hyperlink" Target="https://vt.tiktok.com/ZSxyS3jRk/" TargetMode="External"/><Relationship Id="rId6322" Type="http://schemas.openxmlformats.org/officeDocument/2006/relationships/hyperlink" Target="https://vt.tiktok.com/ZS9BbR5X2/" TargetMode="External"/><Relationship Id="rId7654" Type="http://schemas.openxmlformats.org/officeDocument/2006/relationships/hyperlink" Target="https://vt.tiktok.com/ZS9H2eUCb/" TargetMode="External"/><Relationship Id="rId8985" Type="http://schemas.openxmlformats.org/officeDocument/2006/relationships/hyperlink" Target="https://vt.tiktok.com/ZSxPMS28d/" TargetMode="External"/><Relationship Id="rId6323" Type="http://schemas.openxmlformats.org/officeDocument/2006/relationships/hyperlink" Target="https://vt.tiktok.com/ZS9ycs5oc/" TargetMode="External"/><Relationship Id="rId7653" Type="http://schemas.openxmlformats.org/officeDocument/2006/relationships/hyperlink" Target="https://vt.tiktok.com/ZS9H2PPny/" TargetMode="External"/><Relationship Id="rId8984" Type="http://schemas.openxmlformats.org/officeDocument/2006/relationships/hyperlink" Target="https://vt.tiktok.com/ZSxcSXJct/" TargetMode="External"/><Relationship Id="rId6320" Type="http://schemas.openxmlformats.org/officeDocument/2006/relationships/hyperlink" Target="https://vt.tiktok.com/ZS9jM8xdm/" TargetMode="External"/><Relationship Id="rId7652" Type="http://schemas.openxmlformats.org/officeDocument/2006/relationships/hyperlink" Target="https://vt.tiktok.com/ZS9H2LwwK/" TargetMode="External"/><Relationship Id="rId8983" Type="http://schemas.openxmlformats.org/officeDocument/2006/relationships/hyperlink" Target="https://vt.tiktok.com/ZSxnosLAe/" TargetMode="External"/><Relationship Id="rId6321" Type="http://schemas.openxmlformats.org/officeDocument/2006/relationships/hyperlink" Target="https://vt.tiktok.com/ZS9MArLmp/" TargetMode="External"/><Relationship Id="rId7651" Type="http://schemas.openxmlformats.org/officeDocument/2006/relationships/hyperlink" Target="https://vt.tiktok.com/ZS9H2BvDV/" TargetMode="External"/><Relationship Id="rId8982" Type="http://schemas.openxmlformats.org/officeDocument/2006/relationships/hyperlink" Target="https://www.tiktok.com/@yayayanggggggggggggggggg" TargetMode="External"/><Relationship Id="rId6326" Type="http://schemas.openxmlformats.org/officeDocument/2006/relationships/hyperlink" Target="https://vt.tiktok.com/ZS9MArLmp/" TargetMode="External"/><Relationship Id="rId7658" Type="http://schemas.openxmlformats.org/officeDocument/2006/relationships/hyperlink" Target="https://vt.tiktok.com/ZS9H2PPny/" TargetMode="External"/><Relationship Id="rId8989" Type="http://schemas.openxmlformats.org/officeDocument/2006/relationships/hyperlink" Target="https://www.tiktok.com/@Asri_enp" TargetMode="External"/><Relationship Id="rId6327" Type="http://schemas.openxmlformats.org/officeDocument/2006/relationships/hyperlink" Target="https://vt.tiktok.com/ZS9BbR5X2/" TargetMode="External"/><Relationship Id="rId7657" Type="http://schemas.openxmlformats.org/officeDocument/2006/relationships/hyperlink" Target="https://vt.tiktok.com/ZS9H2LwwK/" TargetMode="External"/><Relationship Id="rId8988" Type="http://schemas.openxmlformats.org/officeDocument/2006/relationships/hyperlink" Target="https://vt.tiktok.com/ZSxPMjnf2/" TargetMode="External"/><Relationship Id="rId6324" Type="http://schemas.openxmlformats.org/officeDocument/2006/relationships/hyperlink" Target="https://www.tiktok.com/@shiintamiiftaa" TargetMode="External"/><Relationship Id="rId7656" Type="http://schemas.openxmlformats.org/officeDocument/2006/relationships/hyperlink" Target="https://vt.tiktok.com/ZS9H2BvDV/" TargetMode="External"/><Relationship Id="rId8987" Type="http://schemas.openxmlformats.org/officeDocument/2006/relationships/hyperlink" Target="https://vt.tiktok.com/ZSxP6oLWr/" TargetMode="External"/><Relationship Id="rId6325" Type="http://schemas.openxmlformats.org/officeDocument/2006/relationships/hyperlink" Target="https://vt.tiktok.com/ZS9jM8xdm/" TargetMode="External"/><Relationship Id="rId7655" Type="http://schemas.openxmlformats.org/officeDocument/2006/relationships/hyperlink" Target="https://www.tiktok.com/@ahdamyshop" TargetMode="External"/><Relationship Id="rId8986" Type="http://schemas.openxmlformats.org/officeDocument/2006/relationships/hyperlink" Target="https://www.tiktok.com/@Naladhipa2822" TargetMode="External"/><Relationship Id="rId6319" Type="http://schemas.openxmlformats.org/officeDocument/2006/relationships/hyperlink" Target="https://www.tiktok.com/@azzallale.family" TargetMode="External"/><Relationship Id="rId6317" Type="http://schemas.openxmlformats.org/officeDocument/2006/relationships/hyperlink" Target="https://vt.tiktok.com/ZS9BbR5X2/" TargetMode="External"/><Relationship Id="rId7649" Type="http://schemas.openxmlformats.org/officeDocument/2006/relationships/hyperlink" Target="https://vt.tiktok.com/ZSxxAAWqq/" TargetMode="External"/><Relationship Id="rId6318" Type="http://schemas.openxmlformats.org/officeDocument/2006/relationships/hyperlink" Target="https://vt.tiktok.com/ZS9ycs5oc/" TargetMode="External"/><Relationship Id="rId7648" Type="http://schemas.openxmlformats.org/officeDocument/2006/relationships/hyperlink" Target="https://vt.tiktok.com/ZSxQnpH25/" TargetMode="External"/><Relationship Id="rId8979" Type="http://schemas.openxmlformats.org/officeDocument/2006/relationships/hyperlink" Target="https://vt.tiktok.com/ZSxpDGxNF/" TargetMode="External"/><Relationship Id="rId8970" Type="http://schemas.openxmlformats.org/officeDocument/2006/relationships/hyperlink" Target="https://vt.tiktok.com/ZSxySoVWA/" TargetMode="External"/><Relationship Id="rId6311" Type="http://schemas.openxmlformats.org/officeDocument/2006/relationships/hyperlink" Target="https://vt.tiktok.com/ZS9MArLmp/" TargetMode="External"/><Relationship Id="rId7643" Type="http://schemas.openxmlformats.org/officeDocument/2006/relationships/hyperlink" Target="https://vt.tiktok.com/ZS9H2PPny/" TargetMode="External"/><Relationship Id="rId8974" Type="http://schemas.openxmlformats.org/officeDocument/2006/relationships/hyperlink" Target="https://vt.tiktok.com/ZSxsQdrhU/" TargetMode="External"/><Relationship Id="rId6312" Type="http://schemas.openxmlformats.org/officeDocument/2006/relationships/hyperlink" Target="https://vt.tiktok.com/ZS9BbR5X2/" TargetMode="External"/><Relationship Id="rId7642" Type="http://schemas.openxmlformats.org/officeDocument/2006/relationships/hyperlink" Target="https://vt.tiktok.com/ZS9H2LwwK/" TargetMode="External"/><Relationship Id="rId8973" Type="http://schemas.openxmlformats.org/officeDocument/2006/relationships/hyperlink" Target="https://vt.tiktok.com/ZSxsx3agV/" TargetMode="External"/><Relationship Id="rId7641" Type="http://schemas.openxmlformats.org/officeDocument/2006/relationships/hyperlink" Target="https://vt.tiktok.com/ZS9H2BvDV/" TargetMode="External"/><Relationship Id="rId8972" Type="http://schemas.openxmlformats.org/officeDocument/2006/relationships/hyperlink" Target="https://www.tiktok.com/@zyfanstore" TargetMode="External"/><Relationship Id="rId6310" Type="http://schemas.openxmlformats.org/officeDocument/2006/relationships/hyperlink" Target="https://vt.tiktok.com/ZS9jM8xdm/" TargetMode="External"/><Relationship Id="rId7640" Type="http://schemas.openxmlformats.org/officeDocument/2006/relationships/hyperlink" Target="https://www.tiktok.com/@jajandiskonan" TargetMode="External"/><Relationship Id="rId8971" Type="http://schemas.openxmlformats.org/officeDocument/2006/relationships/hyperlink" Target="https://vt.tiktok.com/ZSxyANvXC/" TargetMode="External"/><Relationship Id="rId6315" Type="http://schemas.openxmlformats.org/officeDocument/2006/relationships/hyperlink" Target="https://vt.tiktok.com/ZS9jM8xdm/" TargetMode="External"/><Relationship Id="rId7647" Type="http://schemas.openxmlformats.org/officeDocument/2006/relationships/hyperlink" Target="https://vt.tiktok.com/ZSxyx75Lw/" TargetMode="External"/><Relationship Id="rId8978" Type="http://schemas.openxmlformats.org/officeDocument/2006/relationships/hyperlink" Target="https://vt.tiktok.com/ZSxg7bQDQ/" TargetMode="External"/><Relationship Id="rId6316" Type="http://schemas.openxmlformats.org/officeDocument/2006/relationships/hyperlink" Target="https://vt.tiktok.com/ZS9MArLmp/" TargetMode="External"/><Relationship Id="rId7646" Type="http://schemas.openxmlformats.org/officeDocument/2006/relationships/hyperlink" Target="https://vt.tiktok.com/ZSxQWDHGY/" TargetMode="External"/><Relationship Id="rId8977" Type="http://schemas.openxmlformats.org/officeDocument/2006/relationships/hyperlink" Target="https://www.tiktok.com/@itts.naiii" TargetMode="External"/><Relationship Id="rId6313" Type="http://schemas.openxmlformats.org/officeDocument/2006/relationships/hyperlink" Target="https://vt.tiktok.com/ZS9ycs5oc/" TargetMode="External"/><Relationship Id="rId7645" Type="http://schemas.openxmlformats.org/officeDocument/2006/relationships/hyperlink" Target="https://www.tiktok.com/@sestifitriasih808" TargetMode="External"/><Relationship Id="rId8976" Type="http://schemas.openxmlformats.org/officeDocument/2006/relationships/hyperlink" Target="https://vt.tiktok.com/ZSxyAr3NU/" TargetMode="External"/><Relationship Id="rId6314" Type="http://schemas.openxmlformats.org/officeDocument/2006/relationships/hyperlink" Target="https://www.tiktok.com/@nv.cla" TargetMode="External"/><Relationship Id="rId7644" Type="http://schemas.openxmlformats.org/officeDocument/2006/relationships/hyperlink" Target="https://vt.tiktok.com/ZS9H2eUCb/" TargetMode="External"/><Relationship Id="rId8975" Type="http://schemas.openxmlformats.org/officeDocument/2006/relationships/hyperlink" Target="https://vt.tiktok.com/ZSxyA8wRx/" TargetMode="External"/><Relationship Id="rId2820" Type="http://schemas.openxmlformats.org/officeDocument/2006/relationships/hyperlink" Target="https://www.tiktok.com/@myname_hana/video/7622206592309579028?is_from_webapp=1&amp;sender_device=pc" TargetMode="External"/><Relationship Id="rId2821" Type="http://schemas.openxmlformats.org/officeDocument/2006/relationships/hyperlink" Target="https://www.tiktok.com/@reinn057" TargetMode="External"/><Relationship Id="rId2822" Type="http://schemas.openxmlformats.org/officeDocument/2006/relationships/hyperlink" Target="https://www.tiktok.com/@snowme.shop/video/7632873291379707156?is_from_webapp=1&amp;sender_device=pc&amp;web_id=7611930277489657360" TargetMode="External"/><Relationship Id="rId2823" Type="http://schemas.openxmlformats.org/officeDocument/2006/relationships/hyperlink" Target="https://www.tiktok.com/@snowme.shop/video/7632505256458358037?is_from_webapp=1&amp;sender_device=pc&amp;web_id=7611930277489657360" TargetMode="External"/><Relationship Id="rId2824" Type="http://schemas.openxmlformats.org/officeDocument/2006/relationships/hyperlink" Target="https://www.tiktok.com/@snowme.shop/video/7632471921988275477?is_from_webapp=1&amp;sender_device=pc&amp;web_id=7611930277489657360" TargetMode="External"/><Relationship Id="rId2825" Type="http://schemas.openxmlformats.org/officeDocument/2006/relationships/hyperlink" Target="https://www.tiktok.com/@snowme.shop/video/7632187413174996244?is_from_webapp=1&amp;sender_device=pc&amp;web_id=7611930277489657360" TargetMode="External"/><Relationship Id="rId2826" Type="http://schemas.openxmlformats.org/officeDocument/2006/relationships/hyperlink" Target="https://www.tiktok.com/@snowme.shop" TargetMode="External"/><Relationship Id="rId2827" Type="http://schemas.openxmlformats.org/officeDocument/2006/relationships/hyperlink" Target="https://www.tiktok.com/@snowme.shop/video/7626648762852658452?is_from_webapp=1&amp;sender_device=pc" TargetMode="External"/><Relationship Id="rId2828" Type="http://schemas.openxmlformats.org/officeDocument/2006/relationships/hyperlink" Target="https://www.tiktok.com/@snowme.shop/video/7626687165455633685?is_from_webapp=1&amp;sender_device=pc" TargetMode="External"/><Relationship Id="rId2829" Type="http://schemas.openxmlformats.org/officeDocument/2006/relationships/hyperlink" Target="https://www.tiktok.com/@snowme.shop/video/7627446453018905876?is_from_webapp=1&amp;sender_device=pc" TargetMode="External"/><Relationship Id="rId5093" Type="http://schemas.openxmlformats.org/officeDocument/2006/relationships/hyperlink" Target="https://www.tiktok.com/@nikencantikanaksamsul" TargetMode="External"/><Relationship Id="rId5094" Type="http://schemas.openxmlformats.org/officeDocument/2006/relationships/hyperlink" Target="https://vt.tiktok.com/ZS9NABes7/" TargetMode="External"/><Relationship Id="rId5091" Type="http://schemas.openxmlformats.org/officeDocument/2006/relationships/hyperlink" Target="https://vt.tiktok.com/ZS9r5ttt2/" TargetMode="External"/><Relationship Id="rId5092" Type="http://schemas.openxmlformats.org/officeDocument/2006/relationships/hyperlink" Target="https://vt.tiktok.com/ZS9k451qU/" TargetMode="External"/><Relationship Id="rId5097" Type="http://schemas.openxmlformats.org/officeDocument/2006/relationships/hyperlink" Target="https://vt.tiktok.com/ZS9k451qU/" TargetMode="External"/><Relationship Id="rId5098" Type="http://schemas.openxmlformats.org/officeDocument/2006/relationships/hyperlink" Target="http://zen.home.id" TargetMode="External"/><Relationship Id="rId5095" Type="http://schemas.openxmlformats.org/officeDocument/2006/relationships/hyperlink" Target="https://vt.tiktok.com/ZS9rfkRbf/" TargetMode="External"/><Relationship Id="rId5096" Type="http://schemas.openxmlformats.org/officeDocument/2006/relationships/hyperlink" Target="https://vt.tiktok.com/ZS9r5ttt2/" TargetMode="External"/><Relationship Id="rId5099" Type="http://schemas.openxmlformats.org/officeDocument/2006/relationships/hyperlink" Target="https://www.tiktok.com/@Zen.home.id" TargetMode="External"/><Relationship Id="rId2810" Type="http://schemas.openxmlformats.org/officeDocument/2006/relationships/hyperlink" Target="https://www.tiktok.com/@racun_spalspil12/video/7634520493923536148?_r=1&amp;u_code=cllj6j6aidf05b&amp;region=&amp;mid=7634520514316471048&amp;preview_pb=0&amp;sharer_language=&amp;_d=0&amp;ec_shared_reflux_dynamic_params=%7B%22placeholder_material_id%22%3A%227634520493923536148%22%2C%22placeholder_origin_cover%22%3A%22https%253A%252F%252Fp16-common-sign.tiktokcdn.com%252Ftos-alisg-p-0037%252FoofI9htfgv4RwCzFmmcGeGsGeHALJjQAiQ7ngO~tplv-tiktokx-origin.jpeg%253Fdr%253D14572%2526refresh_token%253Daf53671b%2526x-expires%253D1810116000%2526x-signature%253DJARPHu3yZozs6tZvzy6RYcZTfpk%25253D%2526t%253D4d5b0474%2526ps%253D13740610%2526shp%253Dd05b14bd%2526shcp%253D34ff8df6%2526idc%253Dmy2%2526s%253DTIKTOK_AFFILIATE_VIRAL_VIDEO%22%2C%22placeholder_product_id%22%3A%221729729730555512511%22%2C%22placeholder_video_id%22%3A%227634520493923536148%22%7D&amp;ec_shared_reflux_scene=shop_tab_feed&amp;share_item_id=7634520493923536148&amp;source=h5_t" TargetMode="External"/><Relationship Id="rId2811" Type="http://schemas.openxmlformats.org/officeDocument/2006/relationships/hyperlink" Target="https://www.tiktok.com/@_asaaa84" TargetMode="External"/><Relationship Id="rId2812" Type="http://schemas.openxmlformats.org/officeDocument/2006/relationships/hyperlink" Target="https://www.tiktok.com/@_asaaa84/video/7623388726152006933?is_from_webapp=1&amp;sender_device=pc" TargetMode="External"/><Relationship Id="rId2813" Type="http://schemas.openxmlformats.org/officeDocument/2006/relationships/hyperlink" Target="https://www.tiktok.com/@nabillmusthafa/video/7637093164968348946?_r=1&amp;u_code=deal88a6gjlm74&amp;region=&amp;mid=7613789554936416273&amp;preview_pb=0&amp;sharer_language=&amp;_d=0&amp;ec_shared_reflux_dynamic_params=%7B%22placeholder_material_id%22%3A%227637093164968348946%22%2C%22placeholder_origin_cover%22%3A%22https%253A%252F%252Fp16-common-sign.tiktokcdn.com%252Ftos-alisg-p-0037%252FoETfZMwEDIz8H8r8AEFCQkGfLFfWnNGIEDAURe~tplv-tiktokx-origin.jpeg%253Fdr%253D14572%2526refresh_token%253D97666d0e%2526x-expires%253D1810119600%2526x-signature%253DnNKFe9PhzXAIjS0o%25252F2bD3pM0llg%25253D%2526t%253D4d5b0474%2526ps%253D13740610%2526shp%253Dd05b14bd%2526shcp%253D34ff8df6%2526idc%253Dmy2%2526s%253DTIKTOK_AFFILIATE_VIRAL_VIDEO%22%2C%22placeholder_product_id%22%3A%221729427766722726591%22%2C%22placeholder_video_id%22%3A%227637093164968348946%22%7D&amp;ec_shared_reflux_scene=shop_tab_feed&amp;share_item_id=7637093164968348946&amp;source=h5_t" TargetMode="External"/><Relationship Id="rId2814" Type="http://schemas.openxmlformats.org/officeDocument/2006/relationships/hyperlink" Target="https://www.tiktok.com/@nabillmusthafa/video/7636684784172895496?_r=1&amp;u_code=deal88a6gjlm74&amp;region=&amp;mid=7630865255543081736&amp;preview_pb=0&amp;sharer_language=&amp;_d=0&amp;ec_shared_reflux_dynamic_params=%7B%22placeholder_material_id%22%3A%227636684784172895496%22%2C%22placeholder_origin_cover%22%3A%22https%253A%252F%252Fp19-common-sign.tiktokcdn.com%252Ftos-alisg-p-0037%252FosI6ICG5G9Q6AEGnQL3beyzHfifRNIHAQteGFU~tplv-tiktokx-origin.jpeg%253Fdr%253D14572%2526refresh_token%253Df11d31d4%2526x-expires%253D1810119600%2526x-signature%253Dd8241%25252FodjK6NRV1bW%25252BjQ3taumVA%25253D%2526t%253D4d5b0474%2526ps%253D13740610%2526shp%253Dd05b14bd%2526shcp%253D34ff8df6%2526idc%253Dmy2%2526s%253DTIKTOK_AFFILIATE_VIRAL_VIDEO%22%2C%22placeholder_product_id%22%3A%221729427766722726591%22%2C%22placeholder_video_id%22%3A%227636684784172895496%22%7D&amp;ec_shared_reflux_scene=shop_tab_feed&amp;share_item_id=7636684784172895496&amp;source=h5_t" TargetMode="External"/><Relationship Id="rId2815" Type="http://schemas.openxmlformats.org/officeDocument/2006/relationships/hyperlink" Target="https://www.tiktok.com/@nabillmusthafa/video/7636547118815071506?_r=1&amp;u_code=deal88a6gjlm74&amp;region=&amp;mid=7529532897955416848&amp;preview_pb=0&amp;sharer_language=&amp;_d=0&amp;ec_shared_reflux_dynamic_params=%7B%22placeholder_material_id%22%3A%227636547118815071506%22%2C%22placeholder_origin_cover%22%3A%22https%253A%252F%252Fp16-common-sign.tiktokcdn.com%252Ftos-alisg-p-0037%252Fo0FAA7A6eWfZeRdGgnQMLl8wgz1iAxMaGQ0fpG~tplv-tiktokx-origin.jpeg%253Fdr%253D14572%2526refresh_token%253D613556fc%2526x-expires%253D1810119600%2526x-signature%253DSPdzL6VraWXCdP7flblFE9EpU1k%25253D%2526t%253D4d5b0474%2526ps%253D13740610%2526shp%253Dd05b14bd%2526shcp%253D34ff8df6%2526idc%253Dmy2%2526s%253DTIKTOK_AFFILIATE_VIRAL_VIDEO%22%2C%22placeholder_product_id%22%3A%221729427766722726591%22%2C%22placeholder_video_id%22%3A%227636547118815071506%22%7D&amp;ec_shared_reflux_scene=shop_tab_feed&amp;share_item_id=7636547118815071506&amp;source=h5_t" TargetMode="External"/><Relationship Id="rId2816" Type="http://schemas.openxmlformats.org/officeDocument/2006/relationships/hyperlink" Target="https://www.tiktok.com/@myname_hana" TargetMode="External"/><Relationship Id="rId2817" Type="http://schemas.openxmlformats.org/officeDocument/2006/relationships/hyperlink" Target="https://www.tiktok.com/@myname_hana/video/7620267652384099604?is_from_webapp=1&amp;sender_device=pc" TargetMode="External"/><Relationship Id="rId2818" Type="http://schemas.openxmlformats.org/officeDocument/2006/relationships/hyperlink" Target="https://www.tiktok.com/@myname_hana/video/7620767309891702036?is_from_webapp=1&amp;sender_device=pc" TargetMode="External"/><Relationship Id="rId2819" Type="http://schemas.openxmlformats.org/officeDocument/2006/relationships/hyperlink" Target="https://www.tiktok.com/@myname_hana/video/7621856683232382229?is_from_webapp=1&amp;sender_device=pc" TargetMode="External"/><Relationship Id="rId5090" Type="http://schemas.openxmlformats.org/officeDocument/2006/relationships/hyperlink" Target="https://vt.tiktok.com/ZS9rfkRbf/" TargetMode="External"/><Relationship Id="rId5082" Type="http://schemas.openxmlformats.org/officeDocument/2006/relationships/hyperlink" Target="https://vt.tiktok.com/ZSxTr7GBK/" TargetMode="External"/><Relationship Id="rId5083" Type="http://schemas.openxmlformats.org/officeDocument/2006/relationships/hyperlink" Target="https://www.tiktok.com/@borunaburjunabagak" TargetMode="External"/><Relationship Id="rId5080" Type="http://schemas.openxmlformats.org/officeDocument/2006/relationships/hyperlink" Target="https://www.tiktok.com/@harumrice/video/7637479396848225556?_r=1&amp;u_code=d6j7255963058c&amp;region=&amp;mid=7633007995021970183&amp;preview_pb=0&amp;sharer_language=&amp;_d=0&amp;ec_shared_reflux_dynamic_params=%7B%22placeholder_material_id%22%3A%227637479396848225556%22%2C%22placeholder_origin_cover%22%3A%22https%253A%252F%252Fp16-common-sign.tiktokcdn.com%252Ftos-alisg-p-0037%252FoocIgfDn2FZiAC41zT5NjdAfaEQIfDDDQ9xxOw~tplv-tiktokx-origin.jpeg%253Fdr%253D14572%2526refresh_token%253Db9340b9d%2526x-expires%253D1810717200%2526x-signature%253DogDIV019IhH3lrx4YOv753FjK8Y%25253D%2526t%253D4d5b0474%2526ps%253D13740610%2526shp%253Dd05b14bd%2526shcp%253D34ff8df6%2526idc%253Dmy3%2526s%253DTIKTOK_AFFILIATE_VIRAL_VIDEO%22%2C%22placeholder_product_id%22%3A%221729427766722726591%22%2C%22placeholder_video_id%22%3A%227637479396848225556%22%7D&amp;ec_shared_reflux_scene=shop_tab_feed&amp;share_item_id=7637479396848225556&amp;source=h5_t" TargetMode="External"/><Relationship Id="rId5081" Type="http://schemas.openxmlformats.org/officeDocument/2006/relationships/hyperlink" Target="https://vt.tiktok.com/ZSxTrgFu7/" TargetMode="External"/><Relationship Id="rId5086" Type="http://schemas.openxmlformats.org/officeDocument/2006/relationships/hyperlink" Target="https://vt.tiktok.com/ZS9r5ttt2/" TargetMode="External"/><Relationship Id="rId5087" Type="http://schemas.openxmlformats.org/officeDocument/2006/relationships/hyperlink" Target="https://vt.tiktok.com/ZS9k451qU/" TargetMode="External"/><Relationship Id="rId5084" Type="http://schemas.openxmlformats.org/officeDocument/2006/relationships/hyperlink" Target="https://vt.tiktok.com/ZS9NABes7/" TargetMode="External"/><Relationship Id="rId5085" Type="http://schemas.openxmlformats.org/officeDocument/2006/relationships/hyperlink" Target="https://vt.tiktok.com/ZS9rfkRbf/" TargetMode="External"/><Relationship Id="rId5088" Type="http://schemas.openxmlformats.org/officeDocument/2006/relationships/hyperlink" Target="https://www.tiktok.com/@biru_langit1000" TargetMode="External"/><Relationship Id="rId5089" Type="http://schemas.openxmlformats.org/officeDocument/2006/relationships/hyperlink" Target="https://vt.tiktok.com/ZS9NABes7/" TargetMode="External"/><Relationship Id="rId1510" Type="http://schemas.openxmlformats.org/officeDocument/2006/relationships/hyperlink" Target="https://www.tiktok.com/@zaiputri16" TargetMode="External"/><Relationship Id="rId2841" Type="http://schemas.openxmlformats.org/officeDocument/2006/relationships/hyperlink" Target="https://www.tiktok.com/@astiti77" TargetMode="External"/><Relationship Id="rId1511" Type="http://schemas.openxmlformats.org/officeDocument/2006/relationships/hyperlink" Target="https://vt.tiktok.com/ZSHHbT5K9/" TargetMode="External"/><Relationship Id="rId2842" Type="http://schemas.openxmlformats.org/officeDocument/2006/relationships/hyperlink" Target="https://www.tiktok.com/@astiti77/video/7620033751757917460?is_from_webapp=1&amp;sender_device=pc&amp;web_id=7611930277489657360" TargetMode="External"/><Relationship Id="rId1512" Type="http://schemas.openxmlformats.org/officeDocument/2006/relationships/hyperlink" Target="https://vt.tiktok.com/ZSHpwneh9/" TargetMode="External"/><Relationship Id="rId2843" Type="http://schemas.openxmlformats.org/officeDocument/2006/relationships/hyperlink" Target="https://www.tiktok.com/@astiti77/video/7622997792490867989?is_from_webapp=1&amp;sender_device=pc&amp;web_id=7611930277489657360" TargetMode="External"/><Relationship Id="rId1513" Type="http://schemas.openxmlformats.org/officeDocument/2006/relationships/hyperlink" Target="https://www.tiktok.com/@mellyshasuryani14/video/7598017473228688661" TargetMode="External"/><Relationship Id="rId2844" Type="http://schemas.openxmlformats.org/officeDocument/2006/relationships/hyperlink" Target="https://www.tiktok.com/@astiti77/video/7628832044411505941" TargetMode="External"/><Relationship Id="rId1514" Type="http://schemas.openxmlformats.org/officeDocument/2006/relationships/hyperlink" Target="https://www.tiktok.com/@mellyshasuryani14/video/7602070493688073493" TargetMode="External"/><Relationship Id="rId2845" Type="http://schemas.openxmlformats.org/officeDocument/2006/relationships/hyperlink" Target="https://www.tiktok.com/@astiti77/video/7620033751757917460" TargetMode="External"/><Relationship Id="rId1515" Type="http://schemas.openxmlformats.org/officeDocument/2006/relationships/hyperlink" Target="https://www.tiktok.com/@bundapenguin" TargetMode="External"/><Relationship Id="rId2846" Type="http://schemas.openxmlformats.org/officeDocument/2006/relationships/hyperlink" Target="https://www.tiktok.com/@dindaadnv" TargetMode="External"/><Relationship Id="rId1516" Type="http://schemas.openxmlformats.org/officeDocument/2006/relationships/hyperlink" Target="https://vt.tiktok.com/ZSHHbT5K9/" TargetMode="External"/><Relationship Id="rId2847" Type="http://schemas.openxmlformats.org/officeDocument/2006/relationships/hyperlink" Target="https://www.tiktok.com/@nabillmusthafa/video/7636000991401331976?_r=1&amp;u_code=deal88a6gjlm74&amp;region=&amp;mid=7626899689086520072&amp;preview_pb=0&amp;sharer_language=&amp;_d=0&amp;ec_shared_reflux_dynamic_params=%7B%22placeholder_material_id%22%3A%227636000991401331976%22%2C%22placeholder_origin_cover%22%3A%22https%253A%252F%252Fp19-common-sign.tiktokcdn.com%252Ftos-alisg-p-0037%252Fos5IiDFe7IDyMeCAY4vAf0EOT4IhjsDDoCnIhC~tplv-tiktokx-origin.jpeg%253Fdr%253D14572%2526refresh_token%253D36c68c2b%2526x-expires%253D1810119600%2526x-signature%253DH6P%25252BqscTagzFufL9vJEBQIDnhVM%25253D%2526t%253D4d5b0474%2526ps%253D13740610%2526shp%253Dd05b14bd%2526shcp%253D34ff8df6%2526idc%253Dmy2%2526s%253DTIKTOK_AFFILIATE_VIRAL_VIDEO%22%2C%22placeholder_product_id%22%3A%221729427766722726591%22%2C%22placeholder_video_id%22%3A%227636000991401331976%22%7D&amp;ec_shared_reflux_scene=shop_tab_feed&amp;share_item_id=7636000991401331976&amp;source=h5_t" TargetMode="External"/><Relationship Id="rId1517" Type="http://schemas.openxmlformats.org/officeDocument/2006/relationships/hyperlink" Target="https://vt.tiktok.com/ZSHpwneh9/" TargetMode="External"/><Relationship Id="rId2848" Type="http://schemas.openxmlformats.org/officeDocument/2006/relationships/hyperlink" Target="https://www.tiktok.com/@nabillmusthafa/video/7637306888480247047?_r=1&amp;u_code=deal88a6gjlm74&amp;region=&amp;mid=7633305049822251796&amp;preview_pb=0&amp;sharer_language=&amp;_d=0&amp;ec_shared_reflux_dynamic_params=%7B%22placeholder_material_id%22%3A%227637306888480247047%22%2C%22placeholder_origin_cover%22%3A%22https%253A%252F%252Fp16-common-sign.tiktokcdn.com%252Ftos-alisg-p-0037%252FowQI2fizFHW7h9qjCsqFKqwIBvAoiACkPAT00I~tplv-tiktokx-origin.jpeg%253Fdr%253D14572%2526refresh_token%253Ddfe15a4e%2526x-expires%253D1810119600%2526x-signature%253D2hGHaGkhyIbgasle%25252FT2AI7UQbW4%25253D%2526t%253D4d5b0474%2526ps%253D13740610%2526shp%253Dd05b14bd%2526shcp%253D34ff8df6%2526idc%253Dmy2%2526s%253DTIKTOK_AFFILIATE_VIRAL_VIDEO%22%2C%22placeholder_product_id%22%3A%221729427766722726591%22%2C%22placeholder_video_id%22%3A%227637306888480247047%22%7D&amp;ec_shared_reflux_scene=shop_tab_feed&amp;share_item_id=7637306888480247047&amp;source=h5_t" TargetMode="External"/><Relationship Id="rId1518" Type="http://schemas.openxmlformats.org/officeDocument/2006/relationships/hyperlink" Target="https://www.tiktok.com/@mellyshasuryani14/video/7597621699042921749" TargetMode="External"/><Relationship Id="rId2849" Type="http://schemas.openxmlformats.org/officeDocument/2006/relationships/hyperlink" Target="http://smaula.ni" TargetMode="External"/><Relationship Id="rId1519" Type="http://schemas.openxmlformats.org/officeDocument/2006/relationships/hyperlink" Target="https://www.tiktok.com/@mellyshasuryani14/video/7595529710763838741" TargetMode="External"/><Relationship Id="rId2840" Type="http://schemas.openxmlformats.org/officeDocument/2006/relationships/hyperlink" Target="https://www.tiktok.com/@racun.outfitbymey/video/7633356040456752391?is_from_webapp=1&amp;sender_device=pc&amp;web_id=7611930277489657360" TargetMode="External"/><Relationship Id="rId2830" Type="http://schemas.openxmlformats.org/officeDocument/2006/relationships/hyperlink" Target="https://www.tiktok.com/@snowme.shop/video/7627461429003603220?is_from_webapp=1&amp;sender_device=pc" TargetMode="External"/><Relationship Id="rId1500" Type="http://schemas.openxmlformats.org/officeDocument/2006/relationships/hyperlink" Target="https://www.tiktok.com/@zulafa_ita_silmi" TargetMode="External"/><Relationship Id="rId2831" Type="http://schemas.openxmlformats.org/officeDocument/2006/relationships/hyperlink" Target="https://www.tiktok.com/@mycandyystuff" TargetMode="External"/><Relationship Id="rId1501" Type="http://schemas.openxmlformats.org/officeDocument/2006/relationships/hyperlink" Target="https://vt.tiktok.com/ZSHHbT5K9/" TargetMode="External"/><Relationship Id="rId2832" Type="http://schemas.openxmlformats.org/officeDocument/2006/relationships/hyperlink" Target="https://vt.tiktok.com/ZS9NEqRT7/" TargetMode="External"/><Relationship Id="rId1502" Type="http://schemas.openxmlformats.org/officeDocument/2006/relationships/hyperlink" Target="https://vt.tiktok.com/ZSHpwneh9/" TargetMode="External"/><Relationship Id="rId2833" Type="http://schemas.openxmlformats.org/officeDocument/2006/relationships/hyperlink" Target="https://www.tiktok.com/@nabillmusthafa/video/7636322477056003336?_r=1&amp;u_code=deal88a6gjlm74&amp;region=&amp;mid=7433734977033947152&amp;preview_pb=0&amp;sharer_language=&amp;_d=0&amp;ec_shared_reflux_dynamic_params=%7B%22placeholder_material_id%22%3A%227636322477056003336%22%2C%22placeholder_origin_cover%22%3A%22https%253A%252F%252Fp16-common-sign.tiktokcdn.com%252Ftos-alisg-p-0037%252FogI5IBDhjqzeA6DTxFrFfQykfqnIkEpAohatCi~tplv-tiktokx-origin.jpeg%253Fdr%253D14572%2526refresh_token%253Dcc708953%2526x-expires%253D1810119600%2526x-signature%253DBWHWuTj1Vj8wQnyFTxxVZyle64U%25253D%2526t%253D4d5b0474%2526ps%253D13740610%2526shp%253Dd05b14bd%2526shcp%253D34ff8df6%2526idc%253Dmy2%2526s%253DTIKTOK_AFFILIATE_VIRAL_VIDEO%22%2C%22placeholder_product_id%22%3A%221729427766722726591%22%2C%22placeholder_video_id%22%3A%227636322477056003336%22%7D&amp;ec_shared_reflux_scene=shop_tab_feed&amp;share_item_id=7636322477056003336&amp;source=h5_t" TargetMode="External"/><Relationship Id="rId1503" Type="http://schemas.openxmlformats.org/officeDocument/2006/relationships/hyperlink" Target="https://www.tiktok.com/@mellyshasuryani14/video/7598737544372620564" TargetMode="External"/><Relationship Id="rId2834" Type="http://schemas.openxmlformats.org/officeDocument/2006/relationships/hyperlink" Target="https://www.tiktok.com/@nabillmusthafa/video/7636314111374019847?_r=1&amp;u_code=deal88a6gjlm74&amp;region=&amp;mid=7633020487571901185&amp;preview_pb=0&amp;sharer_language=&amp;_d=0&amp;ec_shared_reflux_dynamic_params=%7B%22placeholder_material_id%22%3A%227636314111374019847%22%2C%22placeholder_origin_cover%22%3A%22https%253A%252F%252Fp19-common-sign.tiktokcdn.com%252Ftos-alisg-p-0037%252FocBi50fGBmgNpi4Et88BAWUpifIBoI2gRsbjGH~tplv-tiktokx-origin.jpeg%253Fdr%253D14572%2526refresh_token%253D6821cf2d%2526x-expires%253D1810119600%2526x-signature%253D4GuXOg1AYZVbV5PqNRUg6NX30IQ%25253D%2526t%253D4d5b0474%2526ps%253D13740610%2526shp%253Dd05b14bd%2526shcp%253D34ff8df6%2526idc%253Dmy2%2526s%253DTIKTOK_AFFILIATE_VIRAL_VIDEO%22%2C%22placeholder_product_id%22%3A%221729427766722726591%22%2C%22placeholder_video_id%22%3A%227636314111374019847%22%7D&amp;ec_shared_reflux_scene=shop_tab_feed&amp;share_item_id=7636314111374019847&amp;source=h5_t" TargetMode="External"/><Relationship Id="rId1504" Type="http://schemas.openxmlformats.org/officeDocument/2006/relationships/hyperlink" Target="https://www.tiktok.com/@mellyshasuryani14/video/7595815866827099413" TargetMode="External"/><Relationship Id="rId2835" Type="http://schemas.openxmlformats.org/officeDocument/2006/relationships/hyperlink" Target="https://www.tiktok.com/@aleena_balqis" TargetMode="External"/><Relationship Id="rId1505" Type="http://schemas.openxmlformats.org/officeDocument/2006/relationships/hyperlink" Target="https://www.tiktok.com/@situkangrekomendasi" TargetMode="External"/><Relationship Id="rId2836" Type="http://schemas.openxmlformats.org/officeDocument/2006/relationships/hyperlink" Target="https://vt.tiktok.com/ZSHnVrkYR/" TargetMode="External"/><Relationship Id="rId1506" Type="http://schemas.openxmlformats.org/officeDocument/2006/relationships/hyperlink" Target="https://vt.tiktok.com/ZSHHbT5K9/" TargetMode="External"/><Relationship Id="rId2837" Type="http://schemas.openxmlformats.org/officeDocument/2006/relationships/hyperlink" Target="https://vt.tiktok.com/ZSxAa4q1w/" TargetMode="External"/><Relationship Id="rId1507" Type="http://schemas.openxmlformats.org/officeDocument/2006/relationships/hyperlink" Target="https://vt.tiktok.com/ZSHpwneh9/" TargetMode="External"/><Relationship Id="rId2838" Type="http://schemas.openxmlformats.org/officeDocument/2006/relationships/hyperlink" Target="https://www.tiktok.com/@ismifazaaaa" TargetMode="External"/><Relationship Id="rId1508" Type="http://schemas.openxmlformats.org/officeDocument/2006/relationships/hyperlink" Target="https://www.tiktok.com/@mellyshasuryani14/video/7598081830859902229" TargetMode="External"/><Relationship Id="rId2839" Type="http://schemas.openxmlformats.org/officeDocument/2006/relationships/hyperlink" Target="https://www.tiktok.com/@snowme.shop/video/7631947506208804117?is_from_webapp=1&amp;sender_device=pc&amp;web_id=7611930277489657360" TargetMode="External"/><Relationship Id="rId1509" Type="http://schemas.openxmlformats.org/officeDocument/2006/relationships/hyperlink" Target="https://www.tiktok.com/@mellyshasuryani14/video/7595556925538913557" TargetMode="External"/><Relationship Id="rId6380" Type="http://schemas.openxmlformats.org/officeDocument/2006/relationships/hyperlink" Target="https://vt.tiktok.com/ZS9jM8xdm/" TargetMode="External"/><Relationship Id="rId5050" Type="http://schemas.openxmlformats.org/officeDocument/2006/relationships/hyperlink" Target="https://vt.tiktok.com/ZS9rfkRbf/" TargetMode="External"/><Relationship Id="rId6381" Type="http://schemas.openxmlformats.org/officeDocument/2006/relationships/hyperlink" Target="https://vt.tiktok.com/ZS9MArLmp/" TargetMode="External"/><Relationship Id="rId5053" Type="http://schemas.openxmlformats.org/officeDocument/2006/relationships/hyperlink" Target="https://www.tiktok.com/@ayajamie_" TargetMode="External"/><Relationship Id="rId6384" Type="http://schemas.openxmlformats.org/officeDocument/2006/relationships/hyperlink" Target="https://www.tiktok.com/@naylanayla_yh1" TargetMode="External"/><Relationship Id="rId5054" Type="http://schemas.openxmlformats.org/officeDocument/2006/relationships/hyperlink" Target="https://vt.tiktok.com/ZS9NABes7/" TargetMode="External"/><Relationship Id="rId6385" Type="http://schemas.openxmlformats.org/officeDocument/2006/relationships/hyperlink" Target="https://vt.tiktok.com/ZS9jM8xdm/" TargetMode="External"/><Relationship Id="rId5051" Type="http://schemas.openxmlformats.org/officeDocument/2006/relationships/hyperlink" Target="https://vt.tiktok.com/ZS9r5ttt2/" TargetMode="External"/><Relationship Id="rId6382" Type="http://schemas.openxmlformats.org/officeDocument/2006/relationships/hyperlink" Target="https://vt.tiktok.com/ZS9BbR5X2/" TargetMode="External"/><Relationship Id="rId5052" Type="http://schemas.openxmlformats.org/officeDocument/2006/relationships/hyperlink" Target="https://vt.tiktok.com/ZS9k451qU/" TargetMode="External"/><Relationship Id="rId6383" Type="http://schemas.openxmlformats.org/officeDocument/2006/relationships/hyperlink" Target="https://vt.tiktok.com/ZS9ycs5oc/" TargetMode="External"/><Relationship Id="rId5057" Type="http://schemas.openxmlformats.org/officeDocument/2006/relationships/hyperlink" Target="https://vt.tiktok.com/ZS9k451qU/" TargetMode="External"/><Relationship Id="rId6388" Type="http://schemas.openxmlformats.org/officeDocument/2006/relationships/hyperlink" Target="https://vt.tiktok.com/ZS9ycs5oc/" TargetMode="External"/><Relationship Id="rId5058" Type="http://schemas.openxmlformats.org/officeDocument/2006/relationships/hyperlink" Target="https://www.tiktok.com/@dian_ekaningsih" TargetMode="External"/><Relationship Id="rId6389" Type="http://schemas.openxmlformats.org/officeDocument/2006/relationships/hyperlink" Target="https://www.tiktok.com/@browwyyy8" TargetMode="External"/><Relationship Id="rId5055" Type="http://schemas.openxmlformats.org/officeDocument/2006/relationships/hyperlink" Target="https://vt.tiktok.com/ZS9rfkRbf/" TargetMode="External"/><Relationship Id="rId6386" Type="http://schemas.openxmlformats.org/officeDocument/2006/relationships/hyperlink" Target="https://vt.tiktok.com/ZS9MArLmp/" TargetMode="External"/><Relationship Id="rId5056" Type="http://schemas.openxmlformats.org/officeDocument/2006/relationships/hyperlink" Target="https://vt.tiktok.com/ZS9r5ttt2/" TargetMode="External"/><Relationship Id="rId6387" Type="http://schemas.openxmlformats.org/officeDocument/2006/relationships/hyperlink" Target="https://vt.tiktok.com/ZS9BbR5X2/" TargetMode="External"/><Relationship Id="rId5059" Type="http://schemas.openxmlformats.org/officeDocument/2006/relationships/hyperlink" Target="https://vt.tiktok.com/ZS9NABes7/" TargetMode="External"/><Relationship Id="rId6370" Type="http://schemas.openxmlformats.org/officeDocument/2006/relationships/hyperlink" Target="https://vt.tiktok.com/ZS9jM8xdm/" TargetMode="External"/><Relationship Id="rId5042" Type="http://schemas.openxmlformats.org/officeDocument/2006/relationships/hyperlink" Target="https://vt.tiktok.com/ZS9LoK93w/" TargetMode="External"/><Relationship Id="rId6373" Type="http://schemas.openxmlformats.org/officeDocument/2006/relationships/hyperlink" Target="https://vt.tiktok.com/ZS9ycs5oc/" TargetMode="External"/><Relationship Id="rId5043" Type="http://schemas.openxmlformats.org/officeDocument/2006/relationships/hyperlink" Target="https://www.tiktok.com/@kartikapuji_w" TargetMode="External"/><Relationship Id="rId6374" Type="http://schemas.openxmlformats.org/officeDocument/2006/relationships/hyperlink" Target="https://www.tiktok.com/@wdyy06_" TargetMode="External"/><Relationship Id="rId5040" Type="http://schemas.openxmlformats.org/officeDocument/2006/relationships/hyperlink" Target="https://vt.tiktok.com/ZS9LoK93w/" TargetMode="External"/><Relationship Id="rId6371" Type="http://schemas.openxmlformats.org/officeDocument/2006/relationships/hyperlink" Target="https://vt.tiktok.com/ZS9MArLmp/" TargetMode="External"/><Relationship Id="rId5041" Type="http://schemas.openxmlformats.org/officeDocument/2006/relationships/hyperlink" Target="https://www.tiktok.com/@harumrice/video/7637475978532654357?_r=1&amp;u_code=d6j7255963058c&amp;region=&amp;mid=7486067442412406801&amp;preview_pb=0&amp;sharer_language=&amp;_d=0&amp;ec_shared_reflux_dynamic_params=%7B%22placeholder_material_id%22%3A%227637475978532654357%22%2C%22placeholder_origin_cover%22%3A%22https%253A%252F%252Fp16-common-sign.tiktokcdn.com%252Ftos-alisg-p-0037%252FooIfgwce4fJgOlRGZhenEKLccxTGinAGARGi7F~tplv-tiktokx-origin.jpeg%253Fdr%253D14572%2526refresh_token%253Deebf42f9%2526x-expires%253D1810717200%2526x-signature%253DwTSyXUj7M1eZezBviR3Zt57ePeU%25253D%2526t%253D4d5b0474%2526ps%253D13740610%2526shp%253Dd05b14bd%2526shcp%253D34ff8df6%2526idc%253Dmy3%2526s%253DTIKTOK_AFFILIATE_VIRAL_VIDEO%22%2C%22placeholder_product_id%22%3A%221729427766722726591%22%2C%22placeholder_video_id%22%3A%227637475978532654357%22%7D&amp;ec_shared_reflux_scene=shop_tab_feed&amp;share_item_id=7637475978532654357&amp;source=h5_t" TargetMode="External"/><Relationship Id="rId6372" Type="http://schemas.openxmlformats.org/officeDocument/2006/relationships/hyperlink" Target="https://vt.tiktok.com/ZS9BbR5X2/" TargetMode="External"/><Relationship Id="rId5046" Type="http://schemas.openxmlformats.org/officeDocument/2006/relationships/hyperlink" Target="https://www.tiktok.com/@harumrice/video/7637480571110804756?_r=1&amp;u_code=d6j7255963058c&amp;region=&amp;mid=7586502340807887632&amp;preview_pb=0&amp;sharer_language=&amp;_d=0&amp;ec_shared_reflux_dynamic_params=%7B%22placeholder_material_id%22%3A%227637480571110804756%22%2C%22placeholder_origin_cover%22%3A%22https%253A%252F%252Fp16-common-sign.tiktokcdn.com%252Ftos-alisg-p-0037%252Fo4jewIXIDeYf4FyjAEfCATChrFG4inGRmkpGA9~tplv-tiktokx-origin.jpeg%253Fdr%253D14572%2526refresh_token%253D49406d90%2526x-expires%253D1810717200%2526x-signature%253DzkNKdwxQ7TChhelamHLGY3GvF9k%25253D%2526t%253D4d5b0474%2526ps%253D13740610%2526shp%253Dd05b14bd%2526shcp%253D34ff8df6%2526idc%253Dmy3%2526s%253DTIKTOK_AFFILIATE_VIRAL_VIDEO%22%2C%22placeholder_product_id%22%3A%221729427766722726591%22%2C%22placeholder_video_id%22%3A%227637480571110804756%22%7D&amp;ec_shared_reflux_scene=shop_tab_feed&amp;share_item_id=7637480571110804756&amp;source=h5_t" TargetMode="External"/><Relationship Id="rId6377" Type="http://schemas.openxmlformats.org/officeDocument/2006/relationships/hyperlink" Target="https://vt.tiktok.com/ZS9BbR5X2/" TargetMode="External"/><Relationship Id="rId5047" Type="http://schemas.openxmlformats.org/officeDocument/2006/relationships/hyperlink" Target="https://vt.tiktok.com/ZSHwsE5CK/" TargetMode="External"/><Relationship Id="rId6378" Type="http://schemas.openxmlformats.org/officeDocument/2006/relationships/hyperlink" Target="https://vt.tiktok.com/ZS9ycs5oc/" TargetMode="External"/><Relationship Id="rId5044" Type="http://schemas.openxmlformats.org/officeDocument/2006/relationships/hyperlink" Target="https://vt.tiktok.com/ZSHTLRrJk/" TargetMode="External"/><Relationship Id="rId6375" Type="http://schemas.openxmlformats.org/officeDocument/2006/relationships/hyperlink" Target="https://vt.tiktok.com/ZS9jM8xdm/" TargetMode="External"/><Relationship Id="rId5045" Type="http://schemas.openxmlformats.org/officeDocument/2006/relationships/hyperlink" Target="https://www.tiktok.com/@harumrice/video/7637481179251461397?_r=1&amp;u_code=d6j7255963058c&amp;region=&amp;mid=7370294126082295809&amp;preview_pb=0&amp;sharer_language=&amp;_d=0&amp;ec_shared_reflux_dynamic_params=%7B%22placeholder_material_id%22%3A%227637481179251461397%22%2C%22placeholder_origin_cover%22%3A%22https%253A%252F%252Fp16-common-sign.tiktokcdn.com%252Ftos-alisg-p-0037%252FowGIgi7ERRSIpAyf9FEfruLXCmiBEBiHcAPBhZ~tplv-tiktokx-origin.jpeg%253Fdr%253D14572%2526refresh_token%253D6ddf7f56%2526x-expires%253D1810717200%2526x-signature%253DT7zOja8%25252FWLyiAl2iSV9P5P%25252FCIR8%25253D%2526t%253D4d5b0474%2526ps%253D13740610%2526shp%253Dd05b14bd%2526shcp%253D34ff8df6%2526idc%253Dmy3%2526s%253DTIKTOK_AFFILIATE_VIRAL_VIDEO%22%2C%22placeholder_product_id%22%3A%221729427766722726591%22%2C%22placeholder_video_id%22%3A%227637481179251461397%22%7D&amp;ec_shared_reflux_scene=shop_tab_feed&amp;share_item_id=7637481179251461397&amp;source=h5_t" TargetMode="External"/><Relationship Id="rId6376" Type="http://schemas.openxmlformats.org/officeDocument/2006/relationships/hyperlink" Target="https://vt.tiktok.com/ZS9MArLmp/" TargetMode="External"/><Relationship Id="rId5048" Type="http://schemas.openxmlformats.org/officeDocument/2006/relationships/hyperlink" Target="https://www.tiktok.com/@naatt167" TargetMode="External"/><Relationship Id="rId6379" Type="http://schemas.openxmlformats.org/officeDocument/2006/relationships/hyperlink" Target="https://www.tiktok.com/@kakak.khalid8" TargetMode="External"/><Relationship Id="rId5049" Type="http://schemas.openxmlformats.org/officeDocument/2006/relationships/hyperlink" Target="https://vt.tiktok.com/ZS9NABes7/" TargetMode="External"/><Relationship Id="rId2800" Type="http://schemas.openxmlformats.org/officeDocument/2006/relationships/hyperlink" Target="https://www.tiktok.com/@tokomurah_nini" TargetMode="External"/><Relationship Id="rId2801" Type="http://schemas.openxmlformats.org/officeDocument/2006/relationships/hyperlink" Target="https://www.tiktok.com/@masbahrildaily/video/7631752586160344327?_r=1&amp;u_code=ek6h2252jijmih&amp;region=&amp;mid=7581457052558707472&amp;preview_pb=0&amp;sharer_language=&amp;_d=0&amp;ec_shared_reflux_dynamic_params=%7B%22placeholder_material_id%22%3A%227631752586160344327%22%2C%22placeholder_origin_cover%22%3A%22https%253A%252F%252Fp16-common-sign.tiktokcdn.com%252Ftos-alisg-p-0037%252FoEqSc5g6fAQVe432CDRpvTBo3EBUFETQDWsQS4~tplv-tiktokx-origin.jpeg%253Fdr%253D14572%2526refresh_token%253D499c152d%2526x-expires%253D1808470800%2526x-signature%253DJ20%25252B1QYdr88GSt7gyhNF1rEZ86U%25253D%2526t%253D4d5b0474%2526ps%253D13740610%2526shp%253Dd05b14bd%2526shcp%253D34ff8df6%2526idc%253Dmy3%2526s%253DTIKTOK_AFFILIATE_VIRAL_VIDEO%22%2C%22placeholder_product_id%22%3A%221729427766722726591%22%2C%22placeholder_video_id%22%3A%227631752586160344327%22%7D&amp;ec_shared_reflux_scene=shop_tab_feed&amp;share_item_id=7631752586160344327&amp;source=h5_t" TargetMode="External"/><Relationship Id="rId2802" Type="http://schemas.openxmlformats.org/officeDocument/2006/relationships/hyperlink" Target="https://www.tiktok.com/@masbahrildaily/video/7631188690487741704?_r=1&amp;u_code=ek6h2252jijmih&amp;region=&amp;mid=7450898774555872001&amp;preview_pb=0&amp;sharer_language=&amp;_d=0&amp;ec_shared_reflux_dynamic_params=%7B%22placeholder_material_id%22%3A%227631188690487741704%22%2C%22placeholder_origin_cover%22%3A%22https%253A%252F%252Fp16-sign-sg.tiktokcdn.com%252Ftos-alisg-p-0037%252Fo4IEnFpS2BB9BfDXIfF1qUDgETb1w5mSkb2ARb~tplv-tiktokx-origin.jpeg%253Fdr%253D14572%2526refresh_token%253D84665cca%2526x-expires%253D1808470800%2526x-signature%253D60b2OZXApG1cHJumtXzpv%25252Fm1B0o%25253D%2526t%253D4d5b0474%2526ps%253D13740610%2526shp%253Dd05b14bd%2526shcp%253D34ff8df6%2526idc%253Dmy3%2526s%253DTIKTOK_AFFILIATE_VIRAL_VIDEO%22%2C%22placeholder_product_id%22%3A%221729427766722726591%22%2C%22placeholder_video_id%22%3A%227631188690487741704%22%7D&amp;ec_shared_reflux_scene=shop_tab_feed&amp;share_item_id=7631188690487741704&amp;source=h5_t" TargetMode="External"/><Relationship Id="rId2803" Type="http://schemas.openxmlformats.org/officeDocument/2006/relationships/hyperlink" Target="https://www.tiktok.com/@masbahrildaily/video/7631124736218615048?_r=1&amp;u_code=ek6h2252jijmih&amp;region=&amp;mid=7620387415362538256&amp;preview_pb=0&amp;sharer_language=&amp;_d=0&amp;ec_shared_reflux_dynamic_params=%7B%22placeholder_material_id%22%3A%227631124736218615048%22%2C%22placeholder_origin_cover%22%3A%22https%253A%252F%252Fp16-sign-sg.tiktokcdn.com%252Ftos-alisg-p-0037%252FooUDKPLeE7FFQ4Fgp1AAcMzf6NyRBtE5nQBXqx~tplv-tiktokx-origin.jpeg%253Fdr%253D14572%2526refresh_token%253Da9f74b71%2526x-expires%253D1808470800%2526x-signature%253Dr%25252BBC8mPXhRrmlkPamg2YoJOxxnY%25253D%2526t%253D4d5b0474%2526ps%253D13740610%2526shp%253Dd05b14bd%2526shcp%253D34ff8df6%2526idc%253Dmy3%2526s%253DTIKTOK_AFFILIATE_VIRAL_VIDEO%22%2C%22placeholder_product_id%22%3A%221729427766722726591%22%2C%22placeholder_video_id%22%3A%227631124736218615048%22%7D&amp;ec_shared_reflux_scene=shop_tab_feed&amp;share_item_id=7631124736218615048&amp;source=h5_t" TargetMode="External"/><Relationship Id="rId2804" Type="http://schemas.openxmlformats.org/officeDocument/2006/relationships/hyperlink" Target="https://www.tiktok.com/@omalidirumah" TargetMode="External"/><Relationship Id="rId2805" Type="http://schemas.openxmlformats.org/officeDocument/2006/relationships/hyperlink" Target="https://vt.tiktok.com/ZSxSQ1e65/" TargetMode="External"/><Relationship Id="rId2806" Type="http://schemas.openxmlformats.org/officeDocument/2006/relationships/hyperlink" Target="https://www.tiktok.com/@s.isnaini" TargetMode="External"/><Relationship Id="rId2807" Type="http://schemas.openxmlformats.org/officeDocument/2006/relationships/hyperlink" Target="https://vt.tiktok.com/ZS989Wtnu/" TargetMode="External"/><Relationship Id="rId2808" Type="http://schemas.openxmlformats.org/officeDocument/2006/relationships/hyperlink" Target="https://www.tiktok.com/@racun_spalspil12/video/7634520862712057108?_r=1&amp;u_code=cllj6j6aidf05b&amp;region=&amp;mid=7615505674093234177&amp;preview_pb=0&amp;sharer_language=&amp;_d=0&amp;ec_shared_reflux_dynamic_params=%7B%22placeholder_material_id%22%3A%227634520862712057108%22%2C%22placeholder_origin_cover%22%3A%22https%253A%252F%252Fp16-common-sign.tiktokcdn.com%252Ftos-alisg-p-0037%252FoIEzRpb7e71iEROyBAIHtyIfIK6gqiIBCMcBGa~tplv-tiktokx-origin.jpeg%253Fdr%253D14572%2526refresh_token%253De70a65fc%2526x-expires%253D1810116000%2526x-signature%253DjcoNSvAQmqV9321UenX0YfG75dg%25253D%2526t%253D4d5b0474%2526ps%253D13740610%2526shp%253Dd05b14bd%2526shcp%253D34ff8df6%2526idc%253Dmy2%2526s%253DTIKTOK_AFFILIATE_VIRAL_VIDEO%22%2C%22placeholder_product_id%22%3A%221729729730555512511%22%2C%22placeholder_video_id%22%3A%227634520862712057108%22%7D&amp;ec_shared_reflux_scene=shop_tab_feed&amp;share_item_id=7634520862712057108&amp;source=h5_t" TargetMode="External"/><Relationship Id="rId2809" Type="http://schemas.openxmlformats.org/officeDocument/2006/relationships/hyperlink" Target="https://www.tiktok.com/@racun_spalspil12/video/7634521028357590292?_r=1&amp;u_code=cllj6j6aidf05b&amp;region=&amp;mid=7617088734676552456&amp;preview_pb=0&amp;sharer_language=&amp;_d=0&amp;ec_shared_reflux_dynamic_params=%7B%22placeholder_material_id%22%3A%227634521028357590292%22%2C%22placeholder_origin_cover%22%3A%22https%253A%252F%252Fp16-common-sign.tiktokcdn.com%252Ftos-alisg-p-0037%252FoEIzIBBbRRieANBpViHjf51YMIxExi1gcPaHBo~tplv-tiktokx-origin.jpeg%253Fdr%253D14572%2526refresh_token%253De710f6f0%2526x-expires%253D1810116000%2526x-signature%253DmEFfan8M3AabRKim6fSkg6M3%25252B8A%25253D%2526t%253D4d5b0474%2526ps%253D13740610%2526shp%253Dd05b14bd%2526shcp%253D34ff8df6%2526idc%253Dmy2%2526s%253DTIKTOK_AFFILIATE_VIRAL_VIDEO%22%2C%22placeholder_product_id%22%3A%221729729730555512511%22%2C%22placeholder_video_id%22%3A%227634521028357590292%22%7D&amp;ec_shared_reflux_scene=shop_tab_feed&amp;share_item_id=7634521028357590292&amp;source=h5_t" TargetMode="External"/><Relationship Id="rId5071" Type="http://schemas.openxmlformats.org/officeDocument/2006/relationships/hyperlink" Target="https://vt.tiktok.com/ZS9r5ttt2/" TargetMode="External"/><Relationship Id="rId5072" Type="http://schemas.openxmlformats.org/officeDocument/2006/relationships/hyperlink" Target="https://vt.tiktok.com/ZS9k451qU/" TargetMode="External"/><Relationship Id="rId5070" Type="http://schemas.openxmlformats.org/officeDocument/2006/relationships/hyperlink" Target="https://vt.tiktok.com/ZS9rfkRbf/" TargetMode="External"/><Relationship Id="rId5075" Type="http://schemas.openxmlformats.org/officeDocument/2006/relationships/hyperlink" Target="https://vt.tiktok.com/ZS9rfkRbf/" TargetMode="External"/><Relationship Id="rId5076" Type="http://schemas.openxmlformats.org/officeDocument/2006/relationships/hyperlink" Target="https://vt.tiktok.com/ZS9r5ttt2/" TargetMode="External"/><Relationship Id="rId5073" Type="http://schemas.openxmlformats.org/officeDocument/2006/relationships/hyperlink" Target="https://www.tiktok.com/@Pradel99" TargetMode="External"/><Relationship Id="rId5074" Type="http://schemas.openxmlformats.org/officeDocument/2006/relationships/hyperlink" Target="https://vt.tiktok.com/ZS9NABes7/" TargetMode="External"/><Relationship Id="rId5079" Type="http://schemas.openxmlformats.org/officeDocument/2006/relationships/hyperlink" Target="https://vt.tiktok.com/ZS9QQJMWP/" TargetMode="External"/><Relationship Id="rId5077" Type="http://schemas.openxmlformats.org/officeDocument/2006/relationships/hyperlink" Target="https://vt.tiktok.com/ZS9k451qU/" TargetMode="External"/><Relationship Id="rId5078" Type="http://schemas.openxmlformats.org/officeDocument/2006/relationships/hyperlink" Target="https://www.tiktok.com/@Mom.ins_" TargetMode="External"/><Relationship Id="rId5060" Type="http://schemas.openxmlformats.org/officeDocument/2006/relationships/hyperlink" Target="https://vt.tiktok.com/ZS9rfkRbf/" TargetMode="External"/><Relationship Id="rId6391" Type="http://schemas.openxmlformats.org/officeDocument/2006/relationships/hyperlink" Target="https://vt.tiktok.com/ZS9MArLmp/" TargetMode="External"/><Relationship Id="rId5061" Type="http://schemas.openxmlformats.org/officeDocument/2006/relationships/hyperlink" Target="https://vt.tiktok.com/ZS9r5ttt2/" TargetMode="External"/><Relationship Id="rId6392" Type="http://schemas.openxmlformats.org/officeDocument/2006/relationships/hyperlink" Target="https://vt.tiktok.com/ZS9BbR5X2/" TargetMode="External"/><Relationship Id="rId6390" Type="http://schemas.openxmlformats.org/officeDocument/2006/relationships/hyperlink" Target="https://vt.tiktok.com/ZS9jM8xdm/" TargetMode="External"/><Relationship Id="rId5064" Type="http://schemas.openxmlformats.org/officeDocument/2006/relationships/hyperlink" Target="https://vt.tiktok.com/ZS9NABes7/" TargetMode="External"/><Relationship Id="rId6395" Type="http://schemas.openxmlformats.org/officeDocument/2006/relationships/hyperlink" Target="https://vt.tiktok.com/ZS9txUWdh/" TargetMode="External"/><Relationship Id="rId5065" Type="http://schemas.openxmlformats.org/officeDocument/2006/relationships/hyperlink" Target="https://vt.tiktok.com/ZS9rfkRbf/" TargetMode="External"/><Relationship Id="rId6396" Type="http://schemas.openxmlformats.org/officeDocument/2006/relationships/hyperlink" Target="https://vt.tiktok.com/ZS97UAbGe/" TargetMode="External"/><Relationship Id="rId5062" Type="http://schemas.openxmlformats.org/officeDocument/2006/relationships/hyperlink" Target="https://vt.tiktok.com/ZS9k451qU/" TargetMode="External"/><Relationship Id="rId6393" Type="http://schemas.openxmlformats.org/officeDocument/2006/relationships/hyperlink" Target="https://vt.tiktok.com/ZS9ycs5oc/" TargetMode="External"/><Relationship Id="rId5063" Type="http://schemas.openxmlformats.org/officeDocument/2006/relationships/hyperlink" Target="https://www.tiktok.com/@dinarmadni" TargetMode="External"/><Relationship Id="rId6394" Type="http://schemas.openxmlformats.org/officeDocument/2006/relationships/hyperlink" Target="https://www.tiktok.com/@selfiaberliana" TargetMode="External"/><Relationship Id="rId5068" Type="http://schemas.openxmlformats.org/officeDocument/2006/relationships/hyperlink" Target="https://www.tiktok.com/@racundiaa" TargetMode="External"/><Relationship Id="rId6399" Type="http://schemas.openxmlformats.org/officeDocument/2006/relationships/hyperlink" Target="https://www.tiktok.com/@pinkiesgurl" TargetMode="External"/><Relationship Id="rId5069" Type="http://schemas.openxmlformats.org/officeDocument/2006/relationships/hyperlink" Target="https://vt.tiktok.com/ZS9NABes7/" TargetMode="External"/><Relationship Id="rId5066" Type="http://schemas.openxmlformats.org/officeDocument/2006/relationships/hyperlink" Target="https://vt.tiktok.com/ZS9r5ttt2/" TargetMode="External"/><Relationship Id="rId6397" Type="http://schemas.openxmlformats.org/officeDocument/2006/relationships/hyperlink" Target="https://vt.tiktok.com/ZS9vJert3/" TargetMode="External"/><Relationship Id="rId5067" Type="http://schemas.openxmlformats.org/officeDocument/2006/relationships/hyperlink" Target="https://vt.tiktok.com/ZS9k451qU/" TargetMode="External"/><Relationship Id="rId6398" Type="http://schemas.openxmlformats.org/officeDocument/2006/relationships/hyperlink" Target="https://vt.tiktok.com/ZS9vdjeay/" TargetMode="External"/><Relationship Id="rId1576" Type="http://schemas.openxmlformats.org/officeDocument/2006/relationships/hyperlink" Target="https://www.tiktok.com/@_ajibon/video/7633469001099840788" TargetMode="External"/><Relationship Id="rId1577" Type="http://schemas.openxmlformats.org/officeDocument/2006/relationships/hyperlink" Target="https://www.tiktok.com/@_ajibon/video/7633468621875957012" TargetMode="External"/><Relationship Id="rId1578" Type="http://schemas.openxmlformats.org/officeDocument/2006/relationships/hyperlink" Target="https://www.tiktok.com/@meiliani168" TargetMode="External"/><Relationship Id="rId1579" Type="http://schemas.openxmlformats.org/officeDocument/2006/relationships/hyperlink" Target="https://www.tiktok.com/@outfitce_/video/7624864850732436756?_r=1&amp;u_code=e0898kg4gbb4c7&amp;region=&amp;mid=7608156113497983765&amp;preview_pb=0&amp;sharer_language=&amp;_d=0&amp;ec_shared_reflux_dynamic_params=%7B%22placeholder_material_id%22%3A%227624864850732436756%22%2C%22placeholder_origin_cover%22%3A%22https%253A%252F%252Fp16-sign-sg.tiktokcdn.com%252Ftos-alisg-p-0037%252FoYY0Df8bEEfUQH74oCpgFBahQnRPATSEOBipFB~tplv-tiktokx-origin.jpeg%253Fdr%253D14572%2526refresh_token%253Db532ee73%2526x-expires%253D1807070400%2526x-signature%253DUjUCSI2skLr5jM20GOpw5dwzLmM%25253D%2526t%253D4d5b0474%2526ps%253D13740610%2526shp%253Dd05b14bd%2526shcp%253D34ff8df6%2526idc%253Dmy2%2526s%253DTIKTOK_AFFILIATE_VIRAL_VIDEO%22%2C%22placeholder_product_id%22%3A%221729427766722726591%22%2C%22placeholder_video_id%22%3A%227624864850732436756%22%7D&amp;ec_shared_reflux_scene=shop_tab_feed&amp;share_item_id=7624864850732436756&amp;source=h5_t" TargetMode="External"/><Relationship Id="rId987" Type="http://schemas.openxmlformats.org/officeDocument/2006/relationships/hyperlink" Target="https://www.tiktok.com/@zeni.co.id" TargetMode="External"/><Relationship Id="rId986" Type="http://schemas.openxmlformats.org/officeDocument/2006/relationships/hyperlink" Target="http://zeni.co.id" TargetMode="External"/><Relationship Id="rId985" Type="http://schemas.openxmlformats.org/officeDocument/2006/relationships/hyperlink" Target="https://vt.tiktok.com/ZS9qrucwT/" TargetMode="External"/><Relationship Id="rId984" Type="http://schemas.openxmlformats.org/officeDocument/2006/relationships/hyperlink" Target="https://vt.tiktok.com/ZS9qrMpxb/" TargetMode="External"/><Relationship Id="rId989" Type="http://schemas.openxmlformats.org/officeDocument/2006/relationships/hyperlink" Target="https://www.tiktok.com/@tokomama08_" TargetMode="External"/><Relationship Id="rId988" Type="http://schemas.openxmlformats.org/officeDocument/2006/relationships/hyperlink" Target="https://vt.tiktok.com/ZSHGhUbx5/" TargetMode="External"/><Relationship Id="rId1570" Type="http://schemas.openxmlformats.org/officeDocument/2006/relationships/hyperlink" Target="https://vt.tiktok.com/ZSHFAjdfR/" TargetMode="External"/><Relationship Id="rId1571" Type="http://schemas.openxmlformats.org/officeDocument/2006/relationships/hyperlink" Target="https://vt.tiktok.com/ZSHFANS6L/" TargetMode="External"/><Relationship Id="rId983" Type="http://schemas.openxmlformats.org/officeDocument/2006/relationships/hyperlink" Target="https://vt.tiktok.com/ZS9qMoB9V/" TargetMode="External"/><Relationship Id="rId1572" Type="http://schemas.openxmlformats.org/officeDocument/2006/relationships/hyperlink" Target="https://www.tiktok.com/@berakal_sempurna" TargetMode="External"/><Relationship Id="rId982" Type="http://schemas.openxmlformats.org/officeDocument/2006/relationships/hyperlink" Target="https://www.tiktok.com/@sinabilla/video/7633023150787235080?_r=1&amp;u_code=d8ce4h27fdmff3&amp;region=&amp;mid=7629352910916897543&amp;preview_pb=0&amp;sharer_language=&amp;_d=0&amp;ec_shared_reflux_dynamic_params=%7B%22placeholder_material_id%22%3A%227633023150787235080%22%2C%22placeholder_origin_cover%22%3A%22https%253A%252F%252Fp16-sign-sg.tiktokcdn.com%252Ftos-alisg-p-0037%252Fo4LI4I8KAAHyDoqkjFfPfTDCb22NDEIeiOPLAt~tplv-tiktokx-origin.jpeg%253Fdr%253D14572%2526refresh_token%253Da8b941c3%2526x-expires%253D1809507600%2526x-signature%253D%25252BHNM3mo5koXIi8sacF9R12rhjM8%25253D%2526t%253D4d5b0474%2526ps%253D13740610%2526shp%253Dd05b14bd%2526shcp%253D34ff8df6%2526idc%253Dmy%2526s%253DTIKTOK_AFFILIATE_VIRAL_VIDEO%22%2C%22placeholder_product_id%22%3A%221729427766722726591%22%2C%22placeholder_video_id%22%3A%227633023150787235080%22%7D&amp;ec_shared_reflux_scene=shop_tab_feed&amp;share_item_id=7633023150787235080&amp;source=h5_t" TargetMode="External"/><Relationship Id="rId1573" Type="http://schemas.openxmlformats.org/officeDocument/2006/relationships/hyperlink" Target="https://www.tiktok.com/@_ajibon" TargetMode="External"/><Relationship Id="rId981" Type="http://schemas.openxmlformats.org/officeDocument/2006/relationships/hyperlink" Target="https://www.tiktok.com/@selyjuly" TargetMode="External"/><Relationship Id="rId1574" Type="http://schemas.openxmlformats.org/officeDocument/2006/relationships/hyperlink" Target="https://www.tiktok.com/@_ajibon/video/7633479919841889556" TargetMode="External"/><Relationship Id="rId980" Type="http://schemas.openxmlformats.org/officeDocument/2006/relationships/hyperlink" Target="https://www.tiktok.com/@_sweetly19/video/7610448457186282773?is_from_webapp=1&amp;sender_device=pc" TargetMode="External"/><Relationship Id="rId1575" Type="http://schemas.openxmlformats.org/officeDocument/2006/relationships/hyperlink" Target="https://www.tiktok.com/@_ajibon/video/7633470174607232276" TargetMode="External"/><Relationship Id="rId1565" Type="http://schemas.openxmlformats.org/officeDocument/2006/relationships/hyperlink" Target="https://www.tiktok.com/@yullia008/video/7623343925662715137?_r=1&amp;u_code=de2i6l94lj04fj&amp;region=&amp;mid=7623344237338086145&amp;preview_pb=0&amp;sharer_language=&amp;_d=0&amp;ec_shared_reflux_dynamic_params=%7B%22placeholder_material_id%22%3A%227623343925662715137%22%2C%22placeholder_origin_cover%22%3A%22https%253A%252F%252Fp16-common-sign.tiktokcdn.com%252Ftos-alisg-p-0037%252Fo03A5b0ILCrBXAPjw1uycfiIiCAIDA50z2ZGsI~tplv-tiktokx-origin.jpeg%253Fdr%253D14572%2526refresh_token%253D4642eb24%2526x-expires%253D1807070400%2526x-signature%253DEFJT00UCW%25252BHMOoAJyQPAZyhTxic%25253D%2526t%253D4d5b0474%2526ps%253D13740610%2526shp%253Dd05b14bd%2526shcp%253D34ff8df6%2526idc%253Dmy2%2526s%253DTIKTOK_AFFILIATE_VIRAL_VIDEO%22%2C%22placeholder_product_id%22%3A%221729427766722726591%22%2C%22placeholder_video_id%22%3A%227623343925662715137%22%7D&amp;ec_shared_reflux_scene=shop_tab_feed&amp;share_item_id=7623343925662715137&amp;source=h5_t" TargetMode="External"/><Relationship Id="rId2896" Type="http://schemas.openxmlformats.org/officeDocument/2006/relationships/hyperlink" Target="https://www.tiktok.com/@berkah.glosir/video/7638064772847750421?_r=1&amp;u_code=e4hbm162fcgeg9&amp;region=&amp;mid=7606071400499628049&amp;preview_pb=0&amp;sharer_language=&amp;_d=0&amp;ec_shared_reflux_dynamic_params=%7B%22placeholder_material_id%22%3A%227638064772847750421%22%2C%22placeholder_origin_cover%22%3A%22https%253A%252F%252Fp16-common-sign.tiktokcdn.com%252Ftos-alisg-p-0037%252FocFRA27f7XfCrR7JgnQMd38ggkugAa0eGwf5aG~tplv-tiktokx-origin.jpeg%253Fdr%253D14572%2526refresh_token%253Dedc7b8be%2526x-expires%253D1810116000%2526x-signature%253DzZN2u4J%25252FZz%25252FE5tWuHRLH550mqSo%25253D%2526t%253D4d5b0474%2526ps%253D13740610%2526shp%253Dd05b14bd%2526shcp%253D34ff8df6%2526idc%253Dmy2%2526s%253DTIKTOK_AFFILIATE_VIRAL_VIDEO%22%2C%22placeholder_product_id%22%3A%221729729730555512511%22%2C%22placeholder_video_id%22%3A%227638064772847750421%22%7D&amp;ec_shared_reflux_scene=shop_tab_feed&amp;share_item_id=7638064772847750421&amp;source=h5_t" TargetMode="External"/><Relationship Id="rId1566" Type="http://schemas.openxmlformats.org/officeDocument/2006/relationships/hyperlink" Target="https://www.tiktok.com/@yullia008/video/7624932326551588112?_r=1&amp;u_code=de2i6l94lj04fj&amp;region=&amp;mid=7624932483129248528&amp;preview_pb=0&amp;sharer_language=&amp;_d=0&amp;ec_shared_reflux_dynamic_params=%7B%22placeholder_material_id%22%3A%227624932326551588112%22%2C%22placeholder_origin_cover%22%3A%22https%253A%252F%252Fp16-sign-sg.tiktokcdn.com%252Ftos-alisg-p-0037%252FoEQRKcpATVxqfcOiDBQpq0FmARBBVgf5EZE3C1~tplv-tiktokx-origin.jpeg%253Fdr%253D14572%2526refresh_token%253Dcc5d5388%2526x-expires%253D1807070400%2526x-signature%253Dg1G7lZOowLT37hz8HR0efkv61xs%25253D%2526t%253D4d5b0474%2526ps%253D13740610%2526shp%253Dd05b14bd%2526shcp%253D34ff8df6%2526idc%253Dmy2%2526s%253DTIKTOK_AFFILIATE_VIRAL_VIDEO%22%2C%22placeholder_product_id%22%3A%221729427766722726591%22%2C%22placeholder_video_id%22%3A%227624932326551588112%22%7D&amp;ec_shared_reflux_scene=shop_tab_feed&amp;share_item_id=7624932326551588112&amp;source=h5_t" TargetMode="External"/><Relationship Id="rId2897" Type="http://schemas.openxmlformats.org/officeDocument/2006/relationships/hyperlink" Target="https://www.tiktok.com/@araanrml" TargetMode="External"/><Relationship Id="rId1567" Type="http://schemas.openxmlformats.org/officeDocument/2006/relationships/hyperlink" Target="https://vt.tiktok.com/ZS9pMS73E/" TargetMode="External"/><Relationship Id="rId2898" Type="http://schemas.openxmlformats.org/officeDocument/2006/relationships/hyperlink" Target="https://vt.tiktok.com/ZS9NBujgj/" TargetMode="External"/><Relationship Id="rId1568" Type="http://schemas.openxmlformats.org/officeDocument/2006/relationships/hyperlink" Target="https://www.tiktok.com/@iky_mubarak" TargetMode="External"/><Relationship Id="rId2899" Type="http://schemas.openxmlformats.org/officeDocument/2006/relationships/hyperlink" Target="https://vt.tiktok.com/ZS9NkUUUq/" TargetMode="External"/><Relationship Id="rId1569" Type="http://schemas.openxmlformats.org/officeDocument/2006/relationships/hyperlink" Target="https://vt.tiktok.com/ZSH8UjU7S/" TargetMode="External"/><Relationship Id="rId976" Type="http://schemas.openxmlformats.org/officeDocument/2006/relationships/hyperlink" Target="https://www.tiktok.com/@owen81888" TargetMode="External"/><Relationship Id="rId975" Type="http://schemas.openxmlformats.org/officeDocument/2006/relationships/hyperlink" Target="https://vt.tiktok.com/ZSHFDo7CT/" TargetMode="External"/><Relationship Id="rId974" Type="http://schemas.openxmlformats.org/officeDocument/2006/relationships/hyperlink" Target="https://vt.tiktok.com/ZSHFD3rrV/" TargetMode="External"/><Relationship Id="rId973" Type="http://schemas.openxmlformats.org/officeDocument/2006/relationships/hyperlink" Target="https://www.tiktok.com/@indri_0188/video/7614072697034673415?is_from_webapp=1&amp;sender_device=pc" TargetMode="External"/><Relationship Id="rId979" Type="http://schemas.openxmlformats.org/officeDocument/2006/relationships/hyperlink" Target="https://www.tiktok.com/@_sweetly19/video/7610054973170273557?is_from_webapp=1&amp;sender_device=pc" TargetMode="External"/><Relationship Id="rId978" Type="http://schemas.openxmlformats.org/officeDocument/2006/relationships/hyperlink" Target="https://www.tiktok.com/@_sweetly19/video/7610087564464213268?is_from_webapp=1&amp;sender_device=pc" TargetMode="External"/><Relationship Id="rId977" Type="http://schemas.openxmlformats.org/officeDocument/2006/relationships/hyperlink" Target="https://www.tiktok.com/@_sweetly19/video/7610312481306643733?is_from_webapp=1&amp;sender_device=pc" TargetMode="External"/><Relationship Id="rId2890" Type="http://schemas.openxmlformats.org/officeDocument/2006/relationships/hyperlink" Target="https://www.tiktok.com/@berkah.glosir/video/7638067231758322964?_r=1&amp;u_code=e4hbm162fcgeg9&amp;region=&amp;mid=7604469021722200065&amp;preview_pb=0&amp;sharer_language=&amp;_d=0&amp;ec_shared_reflux_dynamic_params=%7B%22placeholder_material_id%22%3A%227638067231758322964%22%2C%22placeholder_origin_cover%22%3A%22https%253A%252F%252Fp16-common-sign.tiktokcdn.com%252Ftos-alisg-p-0037%252Fo46IxHFfhQDRuwEA1ctAftE8TfQmjVnD4kb93C~tplv-tiktokx-origin.jpeg%253Fdr%253D14572%2526refresh_token%253D5aa24f5d%2526x-expires%253D1810116000%2526x-signature%253DSOeFkvQSRDfn86lpyrHfPKc2V0I%25253D%2526t%253D4d5b0474%2526ps%253D13740610%2526shp%253Dd05b14bd%2526shcp%253D34ff8df6%2526idc%253Dmy2%2526s%253DTIKTOK_AFFILIATE_VIRAL_VIDEO%22%2C%22placeholder_product_id%22%3A%221729729730555512511%22%2C%22placeholder_video_id%22%3A%227638067231758322964%22%7D&amp;ec_shared_reflux_scene=shop_tab_feed&amp;share_item_id=7638067231758322964&amp;source=h5_t" TargetMode="External"/><Relationship Id="rId1560" Type="http://schemas.openxmlformats.org/officeDocument/2006/relationships/hyperlink" Target="https://www.tiktok.com/@ginafathonah_/video/7624182009308400917?_r=1&amp;u_code=dlhe22ikkib396&amp;region=&amp;mid=7616512443925941010&amp;preview_pb=0&amp;sharer_language=&amp;_d=0&amp;ec_shared_reflux_dynamic_params=%7B%22placeholder_material_id%22%3A%227624182009308400917%22%2C%22placeholder_origin_cover%22%3A%22https%253A%252F%252Fp16-sign-sg.tiktokcdn.com%252Ftos-alisg-p-0037%252FogHibi3SIr1Cqh5AwOqBfANIR1AiBH0waES0IQ~tplv-tiktokx-origin.jpeg%253Fdr%253D14572%2526refresh_token%253D4b1976ac%2526x-expires%253D1807070400%2526x-signature%253Dbi8c5txoAzjRMf1ZG6%25252F%25252FreORvPg%25253D%2526t%253D4d5b0474%2526ps%253D13740610%2526shp%253Dd05b14bd%2526shcp%253D34ff8df6%2526idc%253Dmy2%2526s%253DTIKTOK_AFFILIATE_VIRAL_VIDEO%22%2C%22placeholder_product_id%22%3A%221729427766722726591%22%2C%22placeholder_video_id%22%3A%227624182009308400917%22%7D&amp;ec_shared_reflux_scene=shop_tab_feed&amp;share_item_id=7624182009308400917&amp;source=h5_t" TargetMode="External"/><Relationship Id="rId2891" Type="http://schemas.openxmlformats.org/officeDocument/2006/relationships/hyperlink" Target="https://www.tiktok.com/@berkah.glosir/video/7638066776823139604?_r=1&amp;u_code=e4hbm162fcgeg9&amp;region=&amp;mid=7596979553374587655&amp;preview_pb=0&amp;sharer_language=&amp;_d=0&amp;ec_shared_reflux_dynamic_params=%7B%22placeholder_material_id%22%3A%227638066776823139604%22%2C%22placeholder_origin_cover%22%3A%22https%253A%252F%252Fp16-common-sign.tiktokcdn.com%252Ftos-alisg-p-0037%252FoYB0XuuvgAfjuAewZgYdIvgCfeAg46qfHA8uffx~tplv-tiktokx-origin.jpeg%253Fdr%253D14572%2526refresh_token%253D93fc10fc%2526x-expires%253D1810116000%2526x-signature%253DOjMXkNtl8PUpd30r24tpZKF1DYE%25253D%2526t%253D4d5b0474%2526ps%253D13740610%2526shp%253Dd05b14bd%2526shcp%253D34ff8df6%2526idc%253Dmy2%2526s%253DTIKTOK_AFFILIATE_VIRAL_VIDEO%22%2C%22placeholder_product_id%22%3A%221729729730555512511%22%2C%22placeholder_video_id%22%3A%227638066776823139604%22%7D&amp;ec_shared_reflux_scene=shop_tab_feed&amp;share_item_id=7638066776823139604&amp;source=h5_t" TargetMode="External"/><Relationship Id="rId972" Type="http://schemas.openxmlformats.org/officeDocument/2006/relationships/hyperlink" Target="https://www.tiktok.com/@indri_0188/video/7610721400114121992?is_from_webapp=1&amp;sender_device=pc" TargetMode="External"/><Relationship Id="rId1561" Type="http://schemas.openxmlformats.org/officeDocument/2006/relationships/hyperlink" Target="https://www.tiktok.com/@tyaa0508/video/7625796162527726869?_r=1&amp;u_code=d7k7b9el4hf596&amp;region=&amp;mid=7597435345913317393&amp;preview_pb=0&amp;sharer_language=&amp;_d=0&amp;ec_shared_reflux_dynamic_params=%7B%22placeholder_material_id%22%3A%227625796162527726869%22%2C%22placeholder_origin_cover%22%3A%22https%253A%252F%252Fp16-common-sign.tiktokcdn.com%252Ftos-alisg-p-0037%252FoI37aUUEEwQV1BUpADFQRRDFiffObMEcBDKBgh~tplv-tiktokx-origin.jpeg%253Fdr%253D14572%2526refresh_token%253D21a711e0%2526x-expires%253D1807070400%2526x-signature%253D3TZo5QqyWkj2Bsm5lo%25252FNSaJCsWo%25253D%2526t%253D4d5b0474%2526ps%253D13740610%2526shp%253Dd05b14bd%2526shcp%253D34ff8df6%2526idc%253Dmy2%2526s%253DTIKTOK_AFFILIATE_VIRAL_VIDEO%22%2C%22placeholder_product_id%22%3A%221729427766722726591%22%2C%22placeholder_video_id%22%3A%227625796162527726869%22%7D&amp;ec_shared_reflux_scene=shop_tab_feed&amp;share_item_id=7625796162527726869&amp;source=h5_t" TargetMode="External"/><Relationship Id="rId2892" Type="http://schemas.openxmlformats.org/officeDocument/2006/relationships/hyperlink" Target="https://www.tiktok.com/@sillviaaagr" TargetMode="External"/><Relationship Id="rId971" Type="http://schemas.openxmlformats.org/officeDocument/2006/relationships/hyperlink" Target="https://www.tiktok.com/@indri_0188" TargetMode="External"/><Relationship Id="rId1562" Type="http://schemas.openxmlformats.org/officeDocument/2006/relationships/hyperlink" Target="https://www.tiktok.com/@yullia008/video/7622508798036430096?_r=1&amp;u_code=de2i6l94lj04fj&amp;region=&amp;mid=7622509015645391617&amp;preview_pb=0&amp;sharer_language=&amp;_d=0&amp;ec_shared_reflux_dynamic_params=%7B%22placeholder_material_id%22%3A%227622508798036430096%22%2C%22placeholder_origin_cover%22%3A%22https%253A%252F%252Fp16-common-sign.tiktokcdn.com%252Ftos-alisg-p-0037%252FoAYyDf87EEKcI5lvfApgFBFIIARJAwvZ3BBsbh~tplv-tiktokx-origin.jpeg%253Fdr%253D14572%2526refresh_token%253D2eda0af1%2526x-expires%253D1807070400%2526x-signature%253DDbfUYEK7uC0fNegvMK6BLayfs%25252FI%25253D%2526t%253D4d5b0474%2526ps%253D13740610%2526shp%253Dd05b14bd%2526shcp%253D34ff8df6%2526idc%253Dmy2%2526s%253DTIKTOK_AFFILIATE_VIRAL_VIDEO%22%2C%22placeholder_product_id%22%3A%221729427766722726591%22%2C%22placeholder_video_id%22%3A%227622508798036430096%22%7D&amp;ec_shared_reflux_scene=shop_tab_feed&amp;share_item_id=7622508798036430096&amp;source=h5_t" TargetMode="External"/><Relationship Id="rId2893" Type="http://schemas.openxmlformats.org/officeDocument/2006/relationships/hyperlink" Target="https://vt.tiktok.com/ZS9Nxtb1S/" TargetMode="External"/><Relationship Id="rId970" Type="http://schemas.openxmlformats.org/officeDocument/2006/relationships/hyperlink" Target="https://vt.tiktok.com/ZSHFDqSRK/" TargetMode="External"/><Relationship Id="rId1563" Type="http://schemas.openxmlformats.org/officeDocument/2006/relationships/hyperlink" Target="https://www.tiktok.com/@rokhim13__" TargetMode="External"/><Relationship Id="rId2894" Type="http://schemas.openxmlformats.org/officeDocument/2006/relationships/hyperlink" Target="https://vt.tiktok.com/ZS9Yj8DLQ/" TargetMode="External"/><Relationship Id="rId1564" Type="http://schemas.openxmlformats.org/officeDocument/2006/relationships/hyperlink" Target="https://www.tiktok.com/@yullia008/video/7622845799285771537?_r=1&amp;u_code=de2i6l94lj04fj&amp;region=&amp;mid=7622846102808136456&amp;preview_pb=0&amp;sharer_language=&amp;_d=0&amp;ec_shared_reflux_dynamic_params=%7B%22placeholder_material_id%22%3A%227622845799285771537%22%2C%22placeholder_origin_cover%22%3A%22https%253A%252F%252Fp16-common-sign.tiktokcdn.com%252Ftos-alisg-p-0037%252Fo8TpZdEQQBgp2fyfZlFcTJmqIEkbnEAsDBcRBq~tplv-tiktokx-origin.jpeg%253Fdr%253D14572%2526refresh_token%253Db224fb3c%2526x-expires%253D1807070400%2526x-signature%253DqFVzN4ooL1hNqwcm%25252B2oO8qPyZKw%25253D%2526t%253D4d5b0474%2526ps%253D13740610%2526shp%253Dd05b14bd%2526shcp%253D34ff8df6%2526idc%253Dmy2%2526s%253DTIKTOK_AFFILIATE_VIRAL_VIDEO%22%2C%22placeholder_product_id%22%3A%221729427766722726591%22%2C%22placeholder_video_id%22%3A%227622845799285771537%22%7D&amp;ec_shared_reflux_scene=shop_tab_feed&amp;share_item_id=7622845799285771537&amp;source=h5_t" TargetMode="External"/><Relationship Id="rId2895" Type="http://schemas.openxmlformats.org/officeDocument/2006/relationships/hyperlink" Target="https://www.tiktok.com/@berkah.glosir/video/7638066451676400916?_r=1&amp;u_code=e4hbm162fcgeg9&amp;region=&amp;mid=7606071400499628049&amp;preview_pb=0&amp;sharer_language=&amp;_d=0&amp;ec_shared_reflux_dynamic_params=%7B%22placeholder_material_id%22%3A%227638066451676400916%22%2C%22placeholder_origin_cover%22%3A%22https%253A%252F%252Fp16-common-sign.tiktokcdn.com%252Ftos-alisg-p-0037%252FoE65J88fMGPnXMyRjfQu7fggfFwgxwkA3AGbnA~tplv-tiktokx-origin.jpeg%253Fdr%253D14572%2526refresh_token%253D48c6b8dc%2526x-expires%253D1810116000%2526x-signature%253DvNLrCU3r10Z2Nyq29W9h6AXe8wk%25253D%2526t%253D4d5b0474%2526ps%253D13740610%2526shp%253Dd05b14bd%2526shcp%253D34ff8df6%2526idc%253Dmy2%2526s%253DTIKTOK_AFFILIATE_VIRAL_VIDEO%22%2C%22placeholder_product_id%22%3A%221729729730555512511%22%2C%22placeholder_video_id%22%3A%227638066451676400916%22%7D&amp;ec_shared_reflux_scene=shop_tab_feed&amp;share_item_id=7638066451676400916&amp;source=h5_t" TargetMode="External"/><Relationship Id="rId1598" Type="http://schemas.openxmlformats.org/officeDocument/2006/relationships/hyperlink" Target="https://vt.tiktok.com/ZS9WMpPWa/" TargetMode="External"/><Relationship Id="rId1599" Type="http://schemas.openxmlformats.org/officeDocument/2006/relationships/hyperlink" Target="https://www.tiktok.com/@rahma_sya0321" TargetMode="External"/><Relationship Id="rId1590" Type="http://schemas.openxmlformats.org/officeDocument/2006/relationships/hyperlink" Target="https://vt.tiktok.com/ZSuwQctcB/" TargetMode="External"/><Relationship Id="rId1591" Type="http://schemas.openxmlformats.org/officeDocument/2006/relationships/hyperlink" Target="https://vt.tiktok.com/ZSuwCrTPX/" TargetMode="External"/><Relationship Id="rId1592" Type="http://schemas.openxmlformats.org/officeDocument/2006/relationships/hyperlink" Target="https://vt.tiktok.com/ZS9WMPxTX/" TargetMode="External"/><Relationship Id="rId1593" Type="http://schemas.openxmlformats.org/officeDocument/2006/relationships/hyperlink" Target="https://vt.tiktok.com/ZS9WMxxTJ/" TargetMode="External"/><Relationship Id="rId1594" Type="http://schemas.openxmlformats.org/officeDocument/2006/relationships/hyperlink" Target="https://www.tiktok.com/@meptajasmine1" TargetMode="External"/><Relationship Id="rId1595" Type="http://schemas.openxmlformats.org/officeDocument/2006/relationships/hyperlink" Target="https://vt.tiktok.com/ZSuwChamg/" TargetMode="External"/><Relationship Id="rId1596" Type="http://schemas.openxmlformats.org/officeDocument/2006/relationships/hyperlink" Target="https://vt.tiktok.com/ZSHprMoye/" TargetMode="External"/><Relationship Id="rId1597" Type="http://schemas.openxmlformats.org/officeDocument/2006/relationships/hyperlink" Target="https://vt.tiktok.com/ZS9WMDNke/" TargetMode="External"/><Relationship Id="rId1587" Type="http://schemas.openxmlformats.org/officeDocument/2006/relationships/hyperlink" Target="https://vt.tiktok.com/ZSHX374kD/" TargetMode="External"/><Relationship Id="rId1588" Type="http://schemas.openxmlformats.org/officeDocument/2006/relationships/hyperlink" Target="https://www.tiktok.com/@ledia.beauty23/video/7626689039063584021" TargetMode="External"/><Relationship Id="rId1589" Type="http://schemas.openxmlformats.org/officeDocument/2006/relationships/hyperlink" Target="https://www.tiktok.com/@mepta_jasmine2" TargetMode="External"/><Relationship Id="rId998" Type="http://schemas.openxmlformats.org/officeDocument/2006/relationships/hyperlink" Target="https://vt.tiktok.com/ZSHFU4WPx/" TargetMode="External"/><Relationship Id="rId997" Type="http://schemas.openxmlformats.org/officeDocument/2006/relationships/hyperlink" Target="https://www.tiktok.com/@ambu_arfa/video/7614380522411691282?is_from_webapp=1&amp;sender_device=pc" TargetMode="External"/><Relationship Id="rId996" Type="http://schemas.openxmlformats.org/officeDocument/2006/relationships/hyperlink" Target="https://www.tiktok.com/@ambu_arfa" TargetMode="External"/><Relationship Id="rId995" Type="http://schemas.openxmlformats.org/officeDocument/2006/relationships/hyperlink" Target="https://www.tiktok.com/@_stesicahya/video/7628485517620890898?is_from_webapp=1&amp;sender_device=pc" TargetMode="External"/><Relationship Id="rId999" Type="http://schemas.openxmlformats.org/officeDocument/2006/relationships/hyperlink" Target="https://vt.tiktok.com/ZSHFyB43y/" TargetMode="External"/><Relationship Id="rId990" Type="http://schemas.openxmlformats.org/officeDocument/2006/relationships/hyperlink" Target="https://www.tiktok.com/@_sweetly19/video/7608080087761653013?is_from_webapp=1&amp;sender_device=pc" TargetMode="External"/><Relationship Id="rId1580" Type="http://schemas.openxmlformats.org/officeDocument/2006/relationships/hyperlink" Target="https://www.tiktok.com/@husnullchm" TargetMode="External"/><Relationship Id="rId1581" Type="http://schemas.openxmlformats.org/officeDocument/2006/relationships/hyperlink" Target="https://vt.tiktok.com/ZSHnVPE7h/" TargetMode="External"/><Relationship Id="rId1582" Type="http://schemas.openxmlformats.org/officeDocument/2006/relationships/hyperlink" Target="https://www.tiktok.com/@harumrice/video/7614070157400476949?_r=1&amp;_t=ZS-969xoIa07zV" TargetMode="External"/><Relationship Id="rId994" Type="http://schemas.openxmlformats.org/officeDocument/2006/relationships/hyperlink" Target="https://www.tiktok.com/@_stesicahya" TargetMode="External"/><Relationship Id="rId1583" Type="http://schemas.openxmlformats.org/officeDocument/2006/relationships/hyperlink" Target="https://www.tiktok.com/@harumrice/video/7614278882228849940?_r=1&amp;_t=ZS-969xoIa07zV" TargetMode="External"/><Relationship Id="rId993" Type="http://schemas.openxmlformats.org/officeDocument/2006/relationships/hyperlink" Target="https://www.tiktok.com/@_sweetly19/video/7609944295281528084?is_from_webapp=1&amp;sender_device=pc" TargetMode="External"/><Relationship Id="rId1584" Type="http://schemas.openxmlformats.org/officeDocument/2006/relationships/hyperlink" Target="https://www.tiktok.com/@ledia.beauty23" TargetMode="External"/><Relationship Id="rId992" Type="http://schemas.openxmlformats.org/officeDocument/2006/relationships/hyperlink" Target="https://www.tiktok.com/@_sweetly19/video/7609442437580344597?is_from_webapp=1&amp;sender_device=pc" TargetMode="External"/><Relationship Id="rId1585" Type="http://schemas.openxmlformats.org/officeDocument/2006/relationships/hyperlink" Target="https://vt.tiktok.com/ZSHHMTQTW/" TargetMode="External"/><Relationship Id="rId991" Type="http://schemas.openxmlformats.org/officeDocument/2006/relationships/hyperlink" Target="https://www.tiktok.com/@_sweetly19/video/7608460525306907924?is_from_webapp=1&amp;sender_device=pc" TargetMode="External"/><Relationship Id="rId1586" Type="http://schemas.openxmlformats.org/officeDocument/2006/relationships/hyperlink" Target="https://vt.tiktok.com/ZSHX3WJaj/" TargetMode="External"/><Relationship Id="rId1532" Type="http://schemas.openxmlformats.org/officeDocument/2006/relationships/hyperlink" Target="https://vt.tiktok.com/ZSHpwneh9/" TargetMode="External"/><Relationship Id="rId2863" Type="http://schemas.openxmlformats.org/officeDocument/2006/relationships/hyperlink" Target="https://www.tiktok.com/@.beauty_sshop/video/7629640143825095953?is_from_webapp=1&amp;sender_device=pc&amp;web_id=7611930277489657360" TargetMode="External"/><Relationship Id="rId1533" Type="http://schemas.openxmlformats.org/officeDocument/2006/relationships/hyperlink" Target="https://www.tiktok.com/@elisacollectione/video/7625845524012322056?_r=1&amp;u_code=dkgkc54agaf83g&amp;region=&amp;mid=7625845580006263573&amp;preview_pb=0&amp;sharer_language=&amp;_d=0&amp;ec_shared_reflux_dynamic_params=%7B%22placeholder_material_id%22%3A%227625845524012322056%22%2C%22placeholder_origin_cover%22%3A%22https%253A%252F%252Fp16-common-sign.tiktokcdn.com%252Ftos-alisg-p-0037%252FokfHQkcRAEzHZWDiBNgFg1EMQf5Ap3EB9EFtoA~tplv-tiktokx-origin.jpeg%253Fdr%253D14572%2526refresh_token%253D18d43aa1%2526x-expires%253D1808204400%2526x-signature%253DG28973pf%25252BLuRpoFS9D84NgVrruI%25253D%2526t%253D4d5b0474%2526ps%253D13740610%2526shp%253Dd05b14bd%2526shcp%253D34ff8df6%2526idc%253Dmy3%2526s%253DTIKTOK_AFFILIATE_VIRAL_VIDEO%22%2C%22placeholder_product_id%22%3A%221729427766722726591%22%2C%22placeholder_video_id%22%3A%227625845524012322056%22%7D&amp;ec_shared_reflux_scene=shop_tab_feed&amp;share_item_id=7625845524012322056&amp;source=h5_t" TargetMode="External"/><Relationship Id="rId2864" Type="http://schemas.openxmlformats.org/officeDocument/2006/relationships/hyperlink" Target="https://vt.tiktok.com/ZS9t5PoEV/" TargetMode="External"/><Relationship Id="rId1534" Type="http://schemas.openxmlformats.org/officeDocument/2006/relationships/hyperlink" Target="https://vt.tiktok.com/ZSHvCt3kY/" TargetMode="External"/><Relationship Id="rId2865" Type="http://schemas.openxmlformats.org/officeDocument/2006/relationships/hyperlink" Target="https://www.tiktok.com/@ekatiwisuwardi" TargetMode="External"/><Relationship Id="rId1535" Type="http://schemas.openxmlformats.org/officeDocument/2006/relationships/hyperlink" Target="https://www.tiktok.com/@ervanramadhan1150" TargetMode="External"/><Relationship Id="rId2866" Type="http://schemas.openxmlformats.org/officeDocument/2006/relationships/hyperlink" Target="https://www.tiktok.com/@stumfd" TargetMode="External"/><Relationship Id="rId1536" Type="http://schemas.openxmlformats.org/officeDocument/2006/relationships/hyperlink" Target="https://www.tiktok.com/@ervanramadhan1150/video/7627386196372557076?is_from_webapp=1&amp;sender_device=pc" TargetMode="External"/><Relationship Id="rId2867" Type="http://schemas.openxmlformats.org/officeDocument/2006/relationships/hyperlink" Target="https://www.tiktok.com/@stumfd/video/7628109510162386196?is_from_webapp=1&amp;sender_device=pc" TargetMode="External"/><Relationship Id="rId1537" Type="http://schemas.openxmlformats.org/officeDocument/2006/relationships/hyperlink" Target="https://vt.tiktok.com/ZSHGXr4kC/" TargetMode="External"/><Relationship Id="rId2868" Type="http://schemas.openxmlformats.org/officeDocument/2006/relationships/hyperlink" Target="https://www.tiktok.com/@stumfd/video/7628111775057120532?is_from_webapp=1&amp;sender_device=pc&amp;web_id=7611930277489657360" TargetMode="External"/><Relationship Id="rId1538" Type="http://schemas.openxmlformats.org/officeDocument/2006/relationships/hyperlink" Target="https://vt.tiktok.com/ZS9GRM1C9/" TargetMode="External"/><Relationship Id="rId2869" Type="http://schemas.openxmlformats.org/officeDocument/2006/relationships/hyperlink" Target="https://www.tiktok.com/@berkah.glosir/video/7638069844910296341?_r=1&amp;u_code=e4hbm162fcgeg9&amp;region=&amp;mid=7490601688006150160&amp;preview_pb=0&amp;sharer_language=&amp;_d=0&amp;ec_shared_reflux_dynamic_params=%7B%22placeholder_material_id%22%3A%227638069844910296341%22%2C%22placeholder_origin_cover%22%3A%22https%253A%252F%252Fp16-common-sign.tiktokcdn.com%252Ftos-alisg-p-0037%252FowXl4GeQSxL3M1neiA0fxgPB4XNCfA9iIQeLDW~tplv-tiktokx-origin.jpeg%253Fdr%253D14572%2526refresh_token%253D93ea6fd8%2526x-expires%253D1810116000%2526x-signature%253DQIwa1quz63axkcxVUUz6IjP5w2g%25253D%2526t%253D4d5b0474%2526ps%253D13740610%2526shp%253Dd05b14bd%2526shcp%253D34ff8df6%2526idc%253Dmy2%2526s%253DTIKTOK_AFFILIATE_VIRAL_VIDEO%22%2C%22placeholder_product_id%22%3A%221729729730555512511%22%2C%22placeholder_video_id%22%3A%227638069844910296341%22%7D&amp;ec_shared_reflux_scene=shop_tab_feed&amp;share_item_id=7638069844910296341&amp;source=h5_t" TargetMode="External"/><Relationship Id="rId1539" Type="http://schemas.openxmlformats.org/officeDocument/2006/relationships/hyperlink" Target="https://vt.tiktok.com/ZS9GdbVNY/" TargetMode="External"/><Relationship Id="rId949" Type="http://schemas.openxmlformats.org/officeDocument/2006/relationships/hyperlink" Target="https://vt.tiktok.com/ZS9qMT7qG/" TargetMode="External"/><Relationship Id="rId948" Type="http://schemas.openxmlformats.org/officeDocument/2006/relationships/hyperlink" Target="https://vt.tiktok.com/ZS9qr8XER/" TargetMode="External"/><Relationship Id="rId943" Type="http://schemas.openxmlformats.org/officeDocument/2006/relationships/hyperlink" Target="https://www.tiktok.com/@ikkenovi18/video/7606267908636937480?is_from_webapp=1&amp;sender_device=pc" TargetMode="External"/><Relationship Id="rId942" Type="http://schemas.openxmlformats.org/officeDocument/2006/relationships/hyperlink" Target="https://www.tiktok.com/@ikkenovi18/video/7606175527128567058?is_from_webapp=1&amp;sender_device=pc" TargetMode="External"/><Relationship Id="rId941" Type="http://schemas.openxmlformats.org/officeDocument/2006/relationships/hyperlink" Target="https://www.tiktok.com/@ozbahrilky" TargetMode="External"/><Relationship Id="rId940" Type="http://schemas.openxmlformats.org/officeDocument/2006/relationships/hyperlink" Target="https://vt.tiktok.com/ZSukHmyDB/" TargetMode="External"/><Relationship Id="rId947" Type="http://schemas.openxmlformats.org/officeDocument/2006/relationships/hyperlink" Target="https://vt.tiktok.com/ZS9qrLdCL/" TargetMode="External"/><Relationship Id="rId946" Type="http://schemas.openxmlformats.org/officeDocument/2006/relationships/hyperlink" Target="https://www.tiktok.com/@produkbestsellerkuy168" TargetMode="External"/><Relationship Id="rId945" Type="http://schemas.openxmlformats.org/officeDocument/2006/relationships/hyperlink" Target="https://www.tiktok.com/@ikkenovi18/video/7610993190442650888?is_from_webapp=1&amp;sender_device=pc" TargetMode="External"/><Relationship Id="rId944" Type="http://schemas.openxmlformats.org/officeDocument/2006/relationships/hyperlink" Target="https://www.tiktok.com/@ikkenovi18/video/7608032759923166482?is_from_webapp=1&amp;sender_device=pc" TargetMode="External"/><Relationship Id="rId2860" Type="http://schemas.openxmlformats.org/officeDocument/2006/relationships/hyperlink" Target="https://www.tiktok.com/@.beauty_sshop" TargetMode="External"/><Relationship Id="rId1530" Type="http://schemas.openxmlformats.org/officeDocument/2006/relationships/hyperlink" Target="https://www.tiktok.com/@jimmy.hen" TargetMode="External"/><Relationship Id="rId2861" Type="http://schemas.openxmlformats.org/officeDocument/2006/relationships/hyperlink" Target="https://www.tiktok.com/@.beauty_sshop/video/7629157877910965521?is_from_webapp=1&amp;sender_device=pc&amp;web_id=7611930277489657360" TargetMode="External"/><Relationship Id="rId1531" Type="http://schemas.openxmlformats.org/officeDocument/2006/relationships/hyperlink" Target="https://vt.tiktok.com/ZSHHbT5K9/" TargetMode="External"/><Relationship Id="rId2862" Type="http://schemas.openxmlformats.org/officeDocument/2006/relationships/hyperlink" Target="https://www.tiktok.com/@.beauty_sshop/video/7629176886853176577?is_from_webapp=1&amp;sender_device=pc&amp;web_id=7611930277489657360" TargetMode="External"/><Relationship Id="rId1521" Type="http://schemas.openxmlformats.org/officeDocument/2006/relationships/hyperlink" Target="https://vt.tiktok.com/ZSHHbT5K9/" TargetMode="External"/><Relationship Id="rId2852" Type="http://schemas.openxmlformats.org/officeDocument/2006/relationships/hyperlink" Target="https://www.tiktok.com/@nabillmusthafa/video/7638238714044452103?_r=1&amp;u_code=deal88a6gjlm74&amp;region=&amp;mid=7605117102123092757&amp;preview_pb=0&amp;sharer_language=&amp;_d=0&amp;ec_shared_reflux_dynamic_params=%7B%22placeholder_material_id%22%3A%227638238714044452103%22%2C%22placeholder_origin_cover%22%3A%22https%253A%252F%252Fp16-common-sign.tiktokcdn.com%252Ftos-alisg-p-0037%252Fo0QRAq9E4BHxogRTwGQAwFEBmeDyqAEqWfWJaU~tplv-tiktokx-origin.jpeg%253Fdr%253D14572%2526refresh_token%253D900b04c9%2526x-expires%253D1810119600%2526x-signature%253DRmbZ%25252BqbtdsX3027Ce7LnqSs7BHk%25253D%2526t%253D4d5b0474%2526ps%253D13740610%2526shp%253Dd05b14bd%2526shcp%253D34ff8df6%2526idc%253Dmy2%2526s%253DTIKTOK_AFFILIATE_VIRAL_VIDEO%22%2C%22placeholder_product_id%22%3A%221729427766722726591%22%2C%22placeholder_video_id%22%3A%227638238714044452103%22%7D&amp;ec_shared_reflux_scene=shop_tab_feed&amp;share_item_id=7638238714044452103&amp;source=h5_t" TargetMode="External"/><Relationship Id="rId1522" Type="http://schemas.openxmlformats.org/officeDocument/2006/relationships/hyperlink" Target="https://vt.tiktok.com/ZSHpwneh9/" TargetMode="External"/><Relationship Id="rId2853" Type="http://schemas.openxmlformats.org/officeDocument/2006/relationships/hyperlink" Target="https://www.tiktok.com/@nabillmusthafa/video/7638509000148978951?_r=1&amp;u_code=deal88a6gjlm74&amp;region=&amp;mid=7607259616213486343&amp;preview_pb=0&amp;sharer_language=&amp;_d=0&amp;ec_shared_reflux_dynamic_params=%7B%22placeholder_material_id%22%3A%227638509000148978951%22%2C%22placeholder_origin_cover%22%3A%22https%253A%252F%252Fp16-common-sign.tiktokcdn.com%252Ftos-alisg-p-0037%252FoEIjfbQCaIf7JsGcCAesL9AoE4Q4wIIXDtAU3I~tplv-tiktokx-origin.jpeg%253Fdr%253D14572%2526refresh_token%253Df6c83883%2526x-expires%253D1810119600%2526x-signature%253D%25252FAXfZXa1uKi4RX%25252F8GbERpiIhjEo%25253D%2526t%253D4d5b0474%2526ps%253D13740610%2526shp%253Dd05b14bd%2526shcp%253D34ff8df6%2526idc%253Dmy2%2526s%253DTIKTOK_AFFILIATE_VIRAL_VIDEO%22%2C%22placeholder_product_id%22%3A%221729427766722726591%22%2C%22placeholder_video_id%22%3A%227638509000148978951%22%7D&amp;ec_shared_reflux_scene=shop_tab_feed&amp;share_item_id=7638509000148978951&amp;source=h5_t" TargetMode="External"/><Relationship Id="rId1523" Type="http://schemas.openxmlformats.org/officeDocument/2006/relationships/hyperlink" Target="https://www.tiktok.com/@mellyshasuryani14/video/7597621699042921749" TargetMode="External"/><Relationship Id="rId2854" Type="http://schemas.openxmlformats.org/officeDocument/2006/relationships/hyperlink" Target="https://www.tiktok.com/@nabillmusthafa/video/7638760943509605650?_r=1&amp;u_code=deal88a6gjlm74&amp;region=&amp;mid=7200065594014731054&amp;preview_pb=0&amp;sharer_language=&amp;_d=0&amp;ec_shared_reflux_dynamic_params=%7B%22placeholder_material_id%22%3A%227638760943509605650%22%2C%22placeholder_origin_cover%22%3A%22https%253A%252F%252Fp16-common-sign.tiktokcdn.com%252Ftos-alisg-p-0037%252FoUCOWmIwqCAiAiSVQWIn0AfrRnBjAAmIpBK1qC~tplv-tiktokx-origin.jpeg%253Fdr%253D14572%2526refresh_token%253D12aa611d%2526x-expires%253D1810119600%2526x-signature%253DV44DJPNes0MiONGM4lh1WkDuzLs%25253D%2526t%253D4d5b0474%2526ps%253D13740610%2526shp%253Dd05b14bd%2526shcp%253D34ff8df6%2526idc%253Dmy2%2526s%253DTIKTOK_AFFILIATE_VIRAL_VIDEO%22%2C%22placeholder_product_id%22%3A%221729427766722726591%22%2C%22placeholder_video_id%22%3A%227638760943509605650%22%7D&amp;ec_shared_reflux_scene=shop_tab_feed&amp;share_item_id=7638760943509605650&amp;source=h5_t" TargetMode="External"/><Relationship Id="rId1524" Type="http://schemas.openxmlformats.org/officeDocument/2006/relationships/hyperlink" Target="https://www.tiktok.com/@mellyshasuryani14/video/7601895285396213012" TargetMode="External"/><Relationship Id="rId2855" Type="http://schemas.openxmlformats.org/officeDocument/2006/relationships/hyperlink" Target="https://www.tiktok.com/@vareva1" TargetMode="External"/><Relationship Id="rId1525" Type="http://schemas.openxmlformats.org/officeDocument/2006/relationships/hyperlink" Target="https://www.tiktok.com/@indiew60" TargetMode="External"/><Relationship Id="rId2856" Type="http://schemas.openxmlformats.org/officeDocument/2006/relationships/hyperlink" Target="https://www.tiktok.com/@.beauty_sshop/video/7629700505824021776?is_from_webapp=1&amp;sender_device=pc&amp;web_id=7611930277489657360" TargetMode="External"/><Relationship Id="rId1526" Type="http://schemas.openxmlformats.org/officeDocument/2006/relationships/hyperlink" Target="https://vt.tiktok.com/ZSHHbT5K9/" TargetMode="External"/><Relationship Id="rId2857" Type="http://schemas.openxmlformats.org/officeDocument/2006/relationships/hyperlink" Target="https://www.tiktok.com/@nabillmusthafa/video/7634473749303037192?_r=1&amp;u_code=deal88a6gjlm74&amp;region=&amp;mid=7608559003840400145&amp;preview_pb=0&amp;sharer_language=&amp;_d=0&amp;ec_shared_reflux_dynamic_params=%7B%22placeholder_material_id%22%3A%227634473749303037192%22%2C%22placeholder_origin_cover%22%3A%22https%253A%252F%252Fp16-common-sign.tiktokcdn.com%252Ftos-alisg-p-0037%252Fo0GM0AI2ZCB6wBAZIUDCA6wz3qiXIfPiII8zP9~tplv-tiktokx-origin.jpeg%253Fdr%253D14572%2526refresh_token%253Df9e478ba%2526x-expires%253D1810119600%2526x-signature%253Di7lWs3YfEUaxEFXVpHOGloUXWCA%25253D%2526t%253D4d5b0474%2526ps%253D13740610%2526shp%253Dd05b14bd%2526shcp%253D34ff8df6%2526idc%253Dmy2%2526s%253DTIKTOK_AFFILIATE_VIRAL_VIDEO%22%2C%22placeholder_product_id%22%3A%221729427766722726591%22%2C%22placeholder_video_id%22%3A%227634473749303037192%22%7D&amp;ec_shared_reflux_scene=shop_tab_feed&amp;share_item_id=7634473749303037192&amp;source=h5_t" TargetMode="External"/><Relationship Id="rId1527" Type="http://schemas.openxmlformats.org/officeDocument/2006/relationships/hyperlink" Target="https://vt.tiktok.com/ZSHpwneh9/" TargetMode="External"/><Relationship Id="rId2858" Type="http://schemas.openxmlformats.org/officeDocument/2006/relationships/hyperlink" Target="https://www.tiktok.com/@nabillmusthafa/video/7635074462672620807?_r=1&amp;u_code=deal88a6gjlm74&amp;region=&amp;mid=7628933306519816967&amp;preview_pb=0&amp;sharer_language=&amp;_d=0&amp;ec_shared_reflux_dynamic_params=%7B%22placeholder_material_id%22%3A%227635074462672620807%22%2C%22placeholder_origin_cover%22%3A%22https%253A%252F%252Fp19-common-sign.tiktokcdn.com%252Ftos-alisg-p-0037%252Fow9CQvU1FwDIBDDICTziAvAqOAfiIOW8007DDH~tplv-tiktokx-origin.jpeg%253Fdr%253D14572%2526refresh_token%253Da728c590%2526x-expires%253D1810119600%2526x-signature%253DG%25252FuPWK%25252FPFsUduDl00EhAkCNdjmM%25253D%2526t%253D4d5b0474%2526ps%253D13740610%2526shp%253Dd05b14bd%2526shcp%253D34ff8df6%2526idc%253Dmy2%2526s%253DTIKTOK_AFFILIATE_VIRAL_VIDEO%22%2C%22placeholder_product_id%22%3A%221729427766722726591%22%2C%22placeholder_video_id%22%3A%227635074462672620807%22%7D&amp;ec_shared_reflux_scene=shop_tab_feed&amp;share_item_id=7635074462672620807&amp;source=h5_t" TargetMode="External"/><Relationship Id="rId1528" Type="http://schemas.openxmlformats.org/officeDocument/2006/relationships/hyperlink" Target="https://www.tiktok.com/@mellyshasuryani14/video/7596623388857290005" TargetMode="External"/><Relationship Id="rId2859" Type="http://schemas.openxmlformats.org/officeDocument/2006/relationships/hyperlink" Target="https://www.tiktok.com/@nabillmusthafa/video/7634156681437531410?_r=1&amp;u_code=deal88a6gjlm74&amp;region=&amp;mid=7485063742394125072&amp;preview_pb=0&amp;sharer_language=&amp;_d=0&amp;ec_shared_reflux_dynamic_params=%7B%22placeholder_material_id%22%3A%227634156681437531410%22%2C%22placeholder_origin_cover%22%3A%22https%253A%252F%252Fp16-common-sign.tiktokcdn.com%252Ftos-alisg-p-0037%252FowDeHyEYQENrUbJGfenRjDRFxQ48QsNfAAcFHG~tplv-tiktokx-origin.jpeg%253Fdr%253D14572%2526refresh_token%253D24de7426%2526x-expires%253D1810119600%2526x-signature%253DFGOxVvyaVL3itQMAdR1Blas7BT8%25253D%2526t%253D4d5b0474%2526ps%253D13740610%2526shp%253Dd05b14bd%2526shcp%253D34ff8df6%2526idc%253Dmy2%2526s%253DTIKTOK_AFFILIATE_VIRAL_VIDEO%22%2C%22placeholder_product_id%22%3A%221729427766722726591%22%2C%22placeholder_video_id%22%3A%227634156681437531410%22%7D&amp;ec_shared_reflux_scene=shop_tab_feed&amp;share_item_id=7634156681437531410&amp;source=h5_t" TargetMode="External"/><Relationship Id="rId1529" Type="http://schemas.openxmlformats.org/officeDocument/2006/relationships/hyperlink" Target="https://www.tiktok.com/@mellyshasuryani14/video/7628958183704251668?_r=1&amp;_t=ZS-95Zkx0ALfJB" TargetMode="External"/><Relationship Id="rId939" Type="http://schemas.openxmlformats.org/officeDocument/2006/relationships/hyperlink" Target="https://vt.tiktok.com/ZSukH9A6p/" TargetMode="External"/><Relationship Id="rId938" Type="http://schemas.openxmlformats.org/officeDocument/2006/relationships/hyperlink" Target="https://vt.tiktok.com/ZSukHdTJu/" TargetMode="External"/><Relationship Id="rId937" Type="http://schemas.openxmlformats.org/officeDocument/2006/relationships/hyperlink" Target="https://vt.tiktok.com/ZSukuwVEe/" TargetMode="External"/><Relationship Id="rId932" Type="http://schemas.openxmlformats.org/officeDocument/2006/relationships/hyperlink" Target="https://vt.tiktok.com/ZSuk4GUL3/" TargetMode="External"/><Relationship Id="rId931" Type="http://schemas.openxmlformats.org/officeDocument/2006/relationships/hyperlink" Target="https://www.tiktok.com/@elsachawul_" TargetMode="External"/><Relationship Id="rId930" Type="http://schemas.openxmlformats.org/officeDocument/2006/relationships/hyperlink" Target="https://vt.tiktok.com/ZSHprffPq/" TargetMode="External"/><Relationship Id="rId936" Type="http://schemas.openxmlformats.org/officeDocument/2006/relationships/hyperlink" Target="https://www.tiktok.com/@kakaklin_" TargetMode="External"/><Relationship Id="rId935" Type="http://schemas.openxmlformats.org/officeDocument/2006/relationships/hyperlink" Target="https://vt.tiktok.com/ZSH2X2fwq/" TargetMode="External"/><Relationship Id="rId934" Type="http://schemas.openxmlformats.org/officeDocument/2006/relationships/hyperlink" Target="https://vt.tiktok.com/ZSH2XfSmq/" TargetMode="External"/><Relationship Id="rId933" Type="http://schemas.openxmlformats.org/officeDocument/2006/relationships/hyperlink" Target="https://vt.tiktok.com/ZSH2X5KgM/" TargetMode="External"/><Relationship Id="rId2850" Type="http://schemas.openxmlformats.org/officeDocument/2006/relationships/hyperlink" Target="https://www.tiktok.com/@smaula.ni" TargetMode="External"/><Relationship Id="rId1520" Type="http://schemas.openxmlformats.org/officeDocument/2006/relationships/hyperlink" Target="https://www.tiktok.com/@maimmunn" TargetMode="External"/><Relationship Id="rId2851" Type="http://schemas.openxmlformats.org/officeDocument/2006/relationships/hyperlink" Target="https://www.tiktok.com/@smaula.ni/video/7623673791503289608?is_from_webapp=1&amp;sender_device=pc" TargetMode="External"/><Relationship Id="rId1554" Type="http://schemas.openxmlformats.org/officeDocument/2006/relationships/hyperlink" Target="https://www.tiktok.com/@puspitajasmine26/video/7628927503708556562" TargetMode="External"/><Relationship Id="rId2885" Type="http://schemas.openxmlformats.org/officeDocument/2006/relationships/hyperlink" Target="https://vt.tiktok.com/ZS9FyyGcq/" TargetMode="External"/><Relationship Id="rId1555" Type="http://schemas.openxmlformats.org/officeDocument/2006/relationships/hyperlink" Target="https://www.tiktok.com/@puspitajasmine26/video/7630765854828842248?_r=1&amp;u_code=dicfhiec9dj8ch&amp;region=&amp;mid=7505029365265876993&amp;preview_pb=0&amp;sharer_language=&amp;_d=0&amp;ec_shared_reflux_dynamic_params=%7B%22placeholder_material_id%22%3A%227630765854828842248%22%2C%22placeholder_origin_cover%22%3A%22https%253A%252F%252Fp16-common-sign.tiktokcdn.com%252Ftos-alisg-p-0037%252Fo4LnlifTyAMTDfvFIn493j2C4hLeQilDIvwAQG~tplv-tiktokx-origin.jpeg%253Fdr%253D14572%2526refresh_token%253D6b9c47aa%2526x-expires%253D1808301600%2526x-signature%253DenMCWN5vdTRX9opgQUiZM9ngFtc%25253D%2526t%253D4d5b0474%2526ps%253D13740610%2526shp%253Dd05b14bd%2526shcp%253D34ff8df6%2526idc%253Dmy3%2526s%253DTIKTOK_AFFILIATE_VIRAL_VIDEO%22%2C%22placeholder_product_id%22%3A%221729427766722726591%22%2C%22placeholder_video_id%22%3A%227630765854828842248%22%7D&amp;ec_shared_reflux_scene=shop_tab_feed&amp;share_item_id=7630765854828842248&amp;source=h5_t" TargetMode="External"/><Relationship Id="rId2886" Type="http://schemas.openxmlformats.org/officeDocument/2006/relationships/hyperlink" Target="https://www.tiktok.com/@berkah.glosir/video/7638067862837398805?_r=1&amp;u_code=e4hbm162fcgeg9&amp;region=&amp;mid=7588521422970407687&amp;preview_pb=0&amp;sharer_language=&amp;_d=0&amp;ec_shared_reflux_dynamic_params=%7B%22placeholder_material_id%22%3A%227638067862837398805%22%2C%22placeholder_origin_cover%22%3A%22https%253A%252F%252Fp16-common-sign.tiktokcdn.com%252Ftos-alisg-p-0037%252FoYQ7pGFnAff3vLLAg2XGkAERwYGeA1rnBQJfI7~tplv-tiktokx-origin.jpeg%253Fdr%253D14572%2526refresh_token%253D6eaa506e%2526x-expires%253D1810116000%2526x-signature%253DMPiiYyG%25252BRKYt1m0WBI8m5duNqWQ%25253D%2526t%253D4d5b0474%2526ps%253D13740610%2526shp%253Dd05b14bd%2526shcp%253D34ff8df6%2526idc%253Dmy2%2526s%253DTIKTOK_AFFILIATE_VIRAL_VIDEO%22%2C%22placeholder_product_id%22%3A%221729729730555512511%22%2C%22placeholder_video_id%22%3A%227638067862837398805%22%7D&amp;ec_shared_reflux_scene=shop_tab_feed&amp;share_item_id=7638067862837398805&amp;source=h5_t" TargetMode="External"/><Relationship Id="rId1556" Type="http://schemas.openxmlformats.org/officeDocument/2006/relationships/hyperlink" Target="https://www.tiktok.com/@puspitajasmine26/video/7634102562974682386?_r=1&amp;u_code=dicfhiec9dj8ch&amp;region=&amp;mid=7336813606582208514&amp;preview_pb=0&amp;sharer_language=&amp;_d=0&amp;ec_shared_reflux_dynamic_params=%7B%22placeholder_material_id%22%3A%227634102562974682386%22%2C%22placeholder_origin_cover%22%3A%22https%253A%252F%252Fp16-common-sign.tiktokcdn.com%252Ftos-alisg-p-0037%252Fo8dxVsA4fAI51f7gBDjTy9C9xED4FIMz747IOf~tplv-tiktokx-origin.jpeg%253Fdr%253D14572%2526refresh_token%253D7bb04983%2526x-expires%253D1808992800%2526x-signature%253D6i9sdsC3CRBwF2kgt0rSUBIfUkE%25253D%2526t%253D4d5b0474%2526ps%253D13740610%2526shp%253Dd05b14bd%2526shcp%253D34ff8df6%2526idc%253Dmy2%2526s%253DTIKTOK_AFFILIATE_VIRAL_VIDEO%22%2C%22placeholder_product_id%22%3A%221729427766722726591%22%2C%22placeholder_video_id%22%3A%227634102562974682386%22%7D&amp;ec_shared_reflux_scene=shop_tab_feed&amp;share_item_id=7634102562974682386&amp;source=h5_t" TargetMode="External"/><Relationship Id="rId2887" Type="http://schemas.openxmlformats.org/officeDocument/2006/relationships/hyperlink" Target="https://www.tiktok.com/@erikanurdiani" TargetMode="External"/><Relationship Id="rId1557" Type="http://schemas.openxmlformats.org/officeDocument/2006/relationships/hyperlink" Target="https://vt.tiktok.com/ZS9GpsXTb/" TargetMode="External"/><Relationship Id="rId2888" Type="http://schemas.openxmlformats.org/officeDocument/2006/relationships/hyperlink" Target="https://vt.tiktok.com/ZS9FyCdDN/" TargetMode="External"/><Relationship Id="rId1558" Type="http://schemas.openxmlformats.org/officeDocument/2006/relationships/hyperlink" Target="https://www.tiktok.com/@febrypramanda" TargetMode="External"/><Relationship Id="rId2889" Type="http://schemas.openxmlformats.org/officeDocument/2006/relationships/hyperlink" Target="https://vt.tiktok.com/ZS9Nxs3rj/" TargetMode="External"/><Relationship Id="rId1559" Type="http://schemas.openxmlformats.org/officeDocument/2006/relationships/hyperlink" Target="https://vt.tiktok.com/ZSHMWFhnD/" TargetMode="External"/><Relationship Id="rId965" Type="http://schemas.openxmlformats.org/officeDocument/2006/relationships/hyperlink" Target="https://www.tiktok.com/@simas.032/video/7613686061763546386?is_from_webapp=1&amp;sender_device=pc" TargetMode="External"/><Relationship Id="rId964" Type="http://schemas.openxmlformats.org/officeDocument/2006/relationships/hyperlink" Target="https://www.tiktok.com/@simas.032/video/7606564587621764359?is_from_webapp=1&amp;sender_device=pc" TargetMode="External"/><Relationship Id="rId963" Type="http://schemas.openxmlformats.org/officeDocument/2006/relationships/hyperlink" Target="https://www.tiktok.com/@simas.032/video/7606152933024992530?is_from_webapp=1&amp;sender_device=pc" TargetMode="External"/><Relationship Id="rId962" Type="http://schemas.openxmlformats.org/officeDocument/2006/relationships/hyperlink" Target="https://www.tiktok.com/@simas.032/video/7605832677001907474?is_from_webapp=1&amp;sender_device=pc" TargetMode="External"/><Relationship Id="rId969" Type="http://schemas.openxmlformats.org/officeDocument/2006/relationships/hyperlink" Target="https://vt.tiktok.com/ZSHFA481s/" TargetMode="External"/><Relationship Id="rId968" Type="http://schemas.openxmlformats.org/officeDocument/2006/relationships/hyperlink" Target="https://vt.tiktok.com/ZSHFAQLfn/" TargetMode="External"/><Relationship Id="rId967" Type="http://schemas.openxmlformats.org/officeDocument/2006/relationships/hyperlink" Target="https://vt.tiktok.com/ZSHFAsSBw/" TargetMode="External"/><Relationship Id="rId966" Type="http://schemas.openxmlformats.org/officeDocument/2006/relationships/hyperlink" Target="https://www.tiktok.com/@chichiddr" TargetMode="External"/><Relationship Id="rId2880" Type="http://schemas.openxmlformats.org/officeDocument/2006/relationships/hyperlink" Target="https://www.tiktok.com/@berkah.glosir/video/7638068397930056981?_r=1&amp;u_code=e4hbm162fcgeg9&amp;region=&amp;mid=7486487774301653761&amp;preview_pb=0&amp;sharer_language=&amp;_d=0&amp;ec_shared_reflux_dynamic_params=%7B%22placeholder_material_id%22%3A%227638068397930056981%22%2C%22placeholder_origin_cover%22%3A%22https%253A%252F%252Fp16-common-sign.tiktokcdn.com%252Ftos-alisg-p-0037%252FogfsfAei3gJuHggPfft4MLAJN3vansgYNsYBir~tplv-tiktokx-origin.jpeg%253Fdr%253D14572%2526refresh_token%253D3e61f379%2526x-expires%253D1810116000%2526x-signature%253DadDCdj98EIayj0jqgHYKZjY32NU%25253D%2526t%253D4d5b0474%2526ps%253D13740610%2526shp%253Dd05b14bd%2526shcp%253D34ff8df6%2526idc%253Dmy2%2526s%253DTIKTOK_AFFILIATE_VIRAL_VIDEO%22%2C%22placeholder_product_id%22%3A%221729729730555512511%22%2C%22placeholder_video_id%22%3A%227638068397930056981%22%7D&amp;ec_shared_reflux_scene=shop_tab_feed&amp;share_item_id=7638068397930056981&amp;source=h5_t" TargetMode="External"/><Relationship Id="rId961" Type="http://schemas.openxmlformats.org/officeDocument/2006/relationships/hyperlink" Target="https://www.tiktok.com/@simas.032" TargetMode="External"/><Relationship Id="rId1550" Type="http://schemas.openxmlformats.org/officeDocument/2006/relationships/hyperlink" Target="https://www.tiktok.com/@aanjutawan05" TargetMode="External"/><Relationship Id="rId2881" Type="http://schemas.openxmlformats.org/officeDocument/2006/relationships/hyperlink" Target="https://www.tiktok.com/@berkah.glosir/video/7638068894422371605?_r=1&amp;u_code=e4hbm162fcgeg9&amp;region=&amp;mid=7607064407760456464&amp;preview_pb=0&amp;sharer_language=&amp;_d=0&amp;ec_shared_reflux_dynamic_params=%7B%22placeholder_material_id%22%3A%227638068894422371605%22%2C%22placeholder_origin_cover%22%3A%22https%253A%252F%252Fp16-common-sign.tiktokcdn.com%252Ftos-alisg-p-0037%252FoIzRGfewcQA7Gct5wE32ffEoyAEkBFDXnQSGLF~tplv-tiktokx-origin.jpeg%253Fdr%253D14572%2526refresh_token%253Dbbd458ef%2526x-expires%253D1810116000%2526x-signature%253DYVNMt3mvhP6H4b2lYUZWa0xmggs%25253D%2526t%253D4d5b0474%2526ps%253D13740610%2526shp%253Dd05b14bd%2526shcp%253D34ff8df6%2526idc%253Dmy2%2526s%253DTIKTOK_AFFILIATE_VIRAL_VIDEO%22%2C%22placeholder_product_id%22%3A%221729729730555512511%22%2C%22placeholder_video_id%22%3A%227638068894422371605%22%7D&amp;ec_shared_reflux_scene=shop_tab_feed&amp;share_item_id=7638068894422371605&amp;source=h5_t" TargetMode="External"/><Relationship Id="rId960" Type="http://schemas.openxmlformats.org/officeDocument/2006/relationships/hyperlink" Target="https://vt.tiktok.com/ZSHFAP2qL/" TargetMode="External"/><Relationship Id="rId1551" Type="http://schemas.openxmlformats.org/officeDocument/2006/relationships/hyperlink" Target="https://www.tiktok.com/@naura.karisma/video/7624176794328960277?_r=1&amp;u_code=ee97hf50aa8g7e&amp;region=&amp;mid=7505029365265876993&amp;preview_pb=0&amp;sharer_language=&amp;_d=0&amp;ec_shared_reflux_dynamic_params=%7B%22placeholder_material_id%22%3A%227624176794328960277%22%2C%22placeholder_origin_cover%22%3A%22https%253A%252F%252Fp16-sign-sg.tiktokcdn.com%252Ftos-alisg-p-0037%252Fosyuho0IDIDGxO5RAwFBcFRYfBfqpiBIELg9Ez~tplv-tiktokx-origin.jpeg%253Fdr%253D14572%2526refresh_token%253Dcd4c8bad%2526x-expires%253D1807070400%2526x-signature%253DQjyx9e93g1Vzs0jSuCjW32P%25252B2i0%25253D%2526t%253D4d5b0474%2526ps%253D13740610%2526shp%253Dd05b14bd%2526shcp%253D34ff8df6%2526idc%253Dmy2%2526s%253DTIKTOK_AFFILIATE_VIRAL_VIDEO%22%2C%22placeholder_product_id%22%3A%221729427766722726591%22%2C%22placeholder_video_id%22%3A%227624176794328960277%22%7D&amp;ec_shared_reflux_scene=shop_tab_feed&amp;share_item_id=7624176794328960277&amp;source=h5_t" TargetMode="External"/><Relationship Id="rId2882" Type="http://schemas.openxmlformats.org/officeDocument/2006/relationships/hyperlink" Target="https://www.tiktok.com/@alyaalathifahh" TargetMode="External"/><Relationship Id="rId1552" Type="http://schemas.openxmlformats.org/officeDocument/2006/relationships/hyperlink" Target="https://www.tiktok.com/@naura.karisma/video/7625169612694424853?_r=1&amp;u_code=ee97hf50aa8g7e&amp;region=&amp;mid=7604078392611146504&amp;preview_pb=0&amp;sharer_language=&amp;_d=0&amp;ec_shared_reflux_dynamic_params=%7B%22placeholder_material_id%22%3A%227625169612694424853%22%2C%22placeholder_origin_cover%22%3A%22https%253A%252F%252Fp16-sign-sg.tiktokcdn.com%252Ftos-alisg-p-0037%252FowPSJLasvNA6EYXBqIrjKACBiiJAdB2iII3mO~tplv-tiktokx-origin.jpeg%253Fdr%253D14572%2526refresh_token%253D18b3f413%2526x-expires%253D1807070400%2526x-signature%253DWUjWXOF4RGrlwhGT15QqCnC3etg%25253D%2526t%253D4d5b0474%2526ps%253D13740610%2526shp%253Dd05b14bd%2526shcp%253D34ff8df6%2526idc%253Dmy2%2526s%253DTIKTOK_AFFILIATE_VIRAL_VIDEO%22%2C%22placeholder_product_id%22%3A%221729427766722726591%22%2C%22placeholder_video_id%22%3A%227625169612694424853%22%7D&amp;ec_shared_reflux_scene=shop_tab_feed&amp;share_item_id=7625169612694424853&amp;source=h5_t" TargetMode="External"/><Relationship Id="rId2883" Type="http://schemas.openxmlformats.org/officeDocument/2006/relationships/hyperlink" Target="https://vt.tiktok.com/ZS9Fyft3b/" TargetMode="External"/><Relationship Id="rId1553" Type="http://schemas.openxmlformats.org/officeDocument/2006/relationships/hyperlink" Target="https://www.tiktok.com/@puspitajasmine26" TargetMode="External"/><Relationship Id="rId2884" Type="http://schemas.openxmlformats.org/officeDocument/2006/relationships/hyperlink" Target="https://vt.tiktok.com/ZS9FyGqeP/" TargetMode="External"/><Relationship Id="rId1543" Type="http://schemas.openxmlformats.org/officeDocument/2006/relationships/hyperlink" Target="https://vt.tiktok.com/ZSHojfF97/" TargetMode="External"/><Relationship Id="rId2874" Type="http://schemas.openxmlformats.org/officeDocument/2006/relationships/hyperlink" Target="https://vt.tiktok.com/ZS9FySfMN/" TargetMode="External"/><Relationship Id="rId1544" Type="http://schemas.openxmlformats.org/officeDocument/2006/relationships/hyperlink" Target="https://vt.tiktok.com/ZSHojAaKr/" TargetMode="External"/><Relationship Id="rId2875" Type="http://schemas.openxmlformats.org/officeDocument/2006/relationships/hyperlink" Target="https://vt.tiktok.com/ZS9Fyx72G/" TargetMode="External"/><Relationship Id="rId1545" Type="http://schemas.openxmlformats.org/officeDocument/2006/relationships/hyperlink" Target="https://www.tiktok.com/@bangiyay1129" TargetMode="External"/><Relationship Id="rId2876" Type="http://schemas.openxmlformats.org/officeDocument/2006/relationships/hyperlink" Target="https://vt.tiktok.com/ZS9FyqFue/" TargetMode="External"/><Relationship Id="rId1546" Type="http://schemas.openxmlformats.org/officeDocument/2006/relationships/hyperlink" Target="https://www.tiktok.com/@bangiyay1129/video/7623399686187126032?_r=1&amp;u_code=e6kf3jcf63db81&amp;region=&amp;mid=6776168821704099842&amp;preview_pb=0&amp;sharer_language=&amp;_d=0&amp;ec_shared_reflux_dynamic_params=%7B%22placeholder_material_id%22%3A%227623399686187126032%22%2C%22placeholder_origin_cover%22%3A%22https%253A%252F%252Fp19-common-sign.tiktokcdn.com%252Ftos-alisg-p-0037%252Fo8PclIBJvzCBpVvBHYAIwiVXlvL5qakEsBcAi~tplv-tiktokx-origin.jpeg%253Fdr%253D14572%2526refresh_token%253Df216d396%2526x-expires%253D1806634800%2526x-signature%253DlBIo4Ujmn7xlo0AaIigTZv8F9po%25253D%2526t%253D4d5b0474%2526ps%253D13740610%2526shp%253Dd05b14bd%2526shcp%253D34ff8df6%2526idc%253Dmy2%2526s%253DTIKTOK_AFFILIATE_VIRAL_VIDEO%22%2C%22placeholder_product_id%22%3A%221729427766722726591%22%2C%22placeholder_video_id%22%3A%227623399686187126032%22%7D&amp;ec_shared_reflux_scene=shop_tab_feed&amp;share_item_id=7623399686187126032&amp;source=h5_t" TargetMode="External"/><Relationship Id="rId2877" Type="http://schemas.openxmlformats.org/officeDocument/2006/relationships/hyperlink" Target="https://www.tiktok.com/@itscendi" TargetMode="External"/><Relationship Id="rId1547" Type="http://schemas.openxmlformats.org/officeDocument/2006/relationships/hyperlink" Target="https://vt.tiktok.com/ZSHPdUpam/" TargetMode="External"/><Relationship Id="rId2878" Type="http://schemas.openxmlformats.org/officeDocument/2006/relationships/hyperlink" Target="https://vt.tiktok.com/ZS9FyCVGb/" TargetMode="External"/><Relationship Id="rId1548" Type="http://schemas.openxmlformats.org/officeDocument/2006/relationships/hyperlink" Target="https://vt.tiktok.com/ZS9GRj2pE/" TargetMode="External"/><Relationship Id="rId2879" Type="http://schemas.openxmlformats.org/officeDocument/2006/relationships/hyperlink" Target="https://vt.tiktok.com/ZS9Fy4La1/" TargetMode="External"/><Relationship Id="rId1549" Type="http://schemas.openxmlformats.org/officeDocument/2006/relationships/hyperlink" Target="https://vt.tiktok.com/ZS9GRLrQK/" TargetMode="External"/><Relationship Id="rId959" Type="http://schemas.openxmlformats.org/officeDocument/2006/relationships/hyperlink" Target="https://vt.tiktok.com/ZSHFA9oRq/" TargetMode="External"/><Relationship Id="rId954" Type="http://schemas.openxmlformats.org/officeDocument/2006/relationships/hyperlink" Target="https://vt.tiktok.com/ZS9qrS6gc/" TargetMode="External"/><Relationship Id="rId953" Type="http://schemas.openxmlformats.org/officeDocument/2006/relationships/hyperlink" Target="https://vt.tiktok.com/ZS9qrrPPd/" TargetMode="External"/><Relationship Id="rId952" Type="http://schemas.openxmlformats.org/officeDocument/2006/relationships/hyperlink" Target="https://vt.tiktok.com/ZSHy2NYLy/" TargetMode="External"/><Relationship Id="rId951" Type="http://schemas.openxmlformats.org/officeDocument/2006/relationships/hyperlink" Target="https://www.tiktok.com/@ikarahartati11" TargetMode="External"/><Relationship Id="rId958" Type="http://schemas.openxmlformats.org/officeDocument/2006/relationships/hyperlink" Target="https://vt.tiktok.com/ZSuw23KGE/" TargetMode="External"/><Relationship Id="rId957" Type="http://schemas.openxmlformats.org/officeDocument/2006/relationships/hyperlink" Target="https://www.tiktok.com/@restuab17/video/7621175796933315860?_r=1&amp;u_code=d0ka3c5b829ke2&amp;region=&amp;mid=7405532015485257745&amp;preview_pb=0&amp;sharer_language=&amp;_d=0&amp;ec_shared_reflux_dynamic_params=%7B%22placeholder_material_id%22%3A%227621175796933315860%22%2C%22placeholder_origin_cover%22%3A%22https%253A%252F%252Fp16-sign-sg.tiktokcdn.com%252Ftos-alisg-p-0037%252FoA7IEqopiiAqwwBgIRYBc2jhe62505pD1B0fBw~tplv-tiktokx-origin.jpeg%253Fdr%253D14572%2526refresh_token%253Df1d58419%2526x-expires%253D1806051600%2526x-signature%253DO2WtxgShjqxqxSEHKfi20X%25252F7rkc%25253D%2526t%253D4d5b0474%2526ps%253D13740610%2526shp%253Dd05b14bd%2526shcp%253D34ff8df6%2526idc%253Dmy2%2526s%253DTIKTOK_AFFILIATE_VIRAL_VIDEO%22%2C%22placeholder_product_id%22%3A%221729427766722726591%22%2C%22placeholder_video_id%22%3A%227621175796933315860%22%7D&amp;ec_shared_reflux_scene=shop_tab_feed&amp;share_item_id=7621175796933315860&amp;source=h5_t" TargetMode="External"/><Relationship Id="rId956" Type="http://schemas.openxmlformats.org/officeDocument/2006/relationships/hyperlink" Target="https://www.tiktok.com/@restuab17" TargetMode="External"/><Relationship Id="rId955" Type="http://schemas.openxmlformats.org/officeDocument/2006/relationships/hyperlink" Target="https://vt.tiktok.com/ZS9qrHAdc/" TargetMode="External"/><Relationship Id="rId950" Type="http://schemas.openxmlformats.org/officeDocument/2006/relationships/hyperlink" Target="https://vt.tiktok.com/ZS9qrB8j7/" TargetMode="External"/><Relationship Id="rId2870" Type="http://schemas.openxmlformats.org/officeDocument/2006/relationships/hyperlink" Target="https://www.tiktok.com/@berkah.glosir/video/7638069504320294165?_r=1&amp;u_code=e4hbm162fcgeg9&amp;region=&amp;mid=7631490590651468565&amp;preview_pb=0&amp;sharer_language=&amp;_d=0&amp;ec_shared_reflux_dynamic_params=%7B%22placeholder_material_id%22%3A%227638069504320294165%22%2C%22placeholder_origin_cover%22%3A%22https%253A%252F%252Fp16-common-sign.tiktokcdn.com%252Ftos-alisg-p-0037%252FoMeQ8F0jGG3fAw5fA4LvA8QIGAL0E3NeRTFn27~tplv-tiktokx-origin.jpeg%253Fdr%253D14572%2526refresh_token%253D1b213302%2526x-expires%253D1810116000%2526x-signature%253DFiAuxrxdloxDT3MFOyIDq%25252BTO3EU%25253D%2526t%253D4d5b0474%2526ps%253D13740610%2526shp%253Dd05b14bd%2526shcp%253D34ff8df6%2526idc%253Dmy2%2526s%253DTIKTOK_AFFILIATE_VIRAL_VIDEO%22%2C%22placeholder_product_id%22%3A%221729729730555512511%22%2C%22placeholder_video_id%22%3A%227638069504320294165%22%7D&amp;ec_shared_reflux_scene=shop_tab_feed&amp;share_item_id=7638069504320294165&amp;source=h5_t" TargetMode="External"/><Relationship Id="rId1540" Type="http://schemas.openxmlformats.org/officeDocument/2006/relationships/hyperlink" Target="https://www.tiktok.com/@bangslam2121" TargetMode="External"/><Relationship Id="rId2871" Type="http://schemas.openxmlformats.org/officeDocument/2006/relationships/hyperlink" Target="https://www.tiktok.com/@lannytjo" TargetMode="External"/><Relationship Id="rId1541" Type="http://schemas.openxmlformats.org/officeDocument/2006/relationships/hyperlink" Target="https://vt.tiktok.com/ZSHoMe5Q8/" TargetMode="External"/><Relationship Id="rId2872" Type="http://schemas.openxmlformats.org/officeDocument/2006/relationships/hyperlink" Target="https://www.tiktok.com/@anjunss_" TargetMode="External"/><Relationship Id="rId1542" Type="http://schemas.openxmlformats.org/officeDocument/2006/relationships/hyperlink" Target="https://vt.tiktok.com/ZSHo6dnGG/" TargetMode="External"/><Relationship Id="rId2873" Type="http://schemas.openxmlformats.org/officeDocument/2006/relationships/hyperlink" Target="https://vt.tiktok.com/ZS9Fyq6ro/" TargetMode="External"/><Relationship Id="rId7717" Type="http://schemas.openxmlformats.org/officeDocument/2006/relationships/hyperlink" Target="https://vt.tiktok.com/ZS9H2eUCb/" TargetMode="External"/><Relationship Id="rId7716" Type="http://schemas.openxmlformats.org/officeDocument/2006/relationships/hyperlink" Target="https://vt.tiktok.com/ZS9H2PPny/" TargetMode="External"/><Relationship Id="rId7715" Type="http://schemas.openxmlformats.org/officeDocument/2006/relationships/hyperlink" Target="https://vt.tiktok.com/ZS9H2LwwK/" TargetMode="External"/><Relationship Id="rId7714" Type="http://schemas.openxmlformats.org/officeDocument/2006/relationships/hyperlink" Target="https://vt.tiktok.com/ZS9H2BvDV/" TargetMode="External"/><Relationship Id="rId7719" Type="http://schemas.openxmlformats.org/officeDocument/2006/relationships/hyperlink" Target="https://vt.tiktok.com/ZS9H2BvDV/" TargetMode="External"/><Relationship Id="rId7718" Type="http://schemas.openxmlformats.org/officeDocument/2006/relationships/hyperlink" Target="https://www.tiktok.com/@ninaherlina1657" TargetMode="External"/><Relationship Id="rId7713" Type="http://schemas.openxmlformats.org/officeDocument/2006/relationships/hyperlink" Target="https://www.tiktok.com/@faizareva7" TargetMode="External"/><Relationship Id="rId7712" Type="http://schemas.openxmlformats.org/officeDocument/2006/relationships/hyperlink" Target="https://vt.tiktok.com/ZS9H2eUCb/" TargetMode="External"/><Relationship Id="rId7711" Type="http://schemas.openxmlformats.org/officeDocument/2006/relationships/hyperlink" Target="https://vt.tiktok.com/ZS9H2PPny/" TargetMode="External"/><Relationship Id="rId7710" Type="http://schemas.openxmlformats.org/officeDocument/2006/relationships/hyperlink" Target="https://vt.tiktok.com/ZS9H2LwwK/" TargetMode="External"/><Relationship Id="rId7706" Type="http://schemas.openxmlformats.org/officeDocument/2006/relationships/hyperlink" Target="https://vt.tiktok.com/ZS9H2PPny/" TargetMode="External"/><Relationship Id="rId7705" Type="http://schemas.openxmlformats.org/officeDocument/2006/relationships/hyperlink" Target="https://vt.tiktok.com/ZS9H2LwwK/" TargetMode="External"/><Relationship Id="rId7704" Type="http://schemas.openxmlformats.org/officeDocument/2006/relationships/hyperlink" Target="https://vt.tiktok.com/ZS9H2BvDV/" TargetMode="External"/><Relationship Id="rId7703" Type="http://schemas.openxmlformats.org/officeDocument/2006/relationships/hyperlink" Target="https://www.tiktok.com/@nay_naima" TargetMode="External"/><Relationship Id="rId7709" Type="http://schemas.openxmlformats.org/officeDocument/2006/relationships/hyperlink" Target="https://vt.tiktok.com/ZS9H2BvDV/" TargetMode="External"/><Relationship Id="rId7708" Type="http://schemas.openxmlformats.org/officeDocument/2006/relationships/hyperlink" Target="https://www.tiktok.com/@dhea.fa1" TargetMode="External"/><Relationship Id="rId7707" Type="http://schemas.openxmlformats.org/officeDocument/2006/relationships/hyperlink" Target="https://vt.tiktok.com/ZS9H2eUCb/" TargetMode="External"/><Relationship Id="rId7702" Type="http://schemas.openxmlformats.org/officeDocument/2006/relationships/hyperlink" Target="https://vt.tiktok.com/ZS9H2eUCb/" TargetMode="External"/><Relationship Id="rId7701" Type="http://schemas.openxmlformats.org/officeDocument/2006/relationships/hyperlink" Target="https://vt.tiktok.com/ZS9H2PPny/" TargetMode="External"/><Relationship Id="rId7700" Type="http://schemas.openxmlformats.org/officeDocument/2006/relationships/hyperlink" Target="https://vt.tiktok.com/ZS9H2LwwK/" TargetMode="External"/><Relationship Id="rId6407" Type="http://schemas.openxmlformats.org/officeDocument/2006/relationships/hyperlink" Target="https://vt.tiktok.com/ZS9vJert3/" TargetMode="External"/><Relationship Id="rId7739" Type="http://schemas.openxmlformats.org/officeDocument/2006/relationships/hyperlink" Target="https://vt.tiktok.com/ZS9H2BvDV/" TargetMode="External"/><Relationship Id="rId6408" Type="http://schemas.openxmlformats.org/officeDocument/2006/relationships/hyperlink" Target="https://vt.tiktok.com/ZS9vdjeay/" TargetMode="External"/><Relationship Id="rId7738" Type="http://schemas.openxmlformats.org/officeDocument/2006/relationships/hyperlink" Target="https://www.tiktok.com/@inaraffiandra5" TargetMode="External"/><Relationship Id="rId6405" Type="http://schemas.openxmlformats.org/officeDocument/2006/relationships/hyperlink" Target="https://vt.tiktok.com/ZS9txUWdh/" TargetMode="External"/><Relationship Id="rId7737" Type="http://schemas.openxmlformats.org/officeDocument/2006/relationships/hyperlink" Target="https://vt.tiktok.com/ZS9H2eUCb/" TargetMode="External"/><Relationship Id="rId6406" Type="http://schemas.openxmlformats.org/officeDocument/2006/relationships/hyperlink" Target="https://vt.tiktok.com/ZS97UAbGe/" TargetMode="External"/><Relationship Id="rId7736" Type="http://schemas.openxmlformats.org/officeDocument/2006/relationships/hyperlink" Target="https://vt.tiktok.com/ZS9H2PPny/" TargetMode="External"/><Relationship Id="rId6409" Type="http://schemas.openxmlformats.org/officeDocument/2006/relationships/hyperlink" Target="https://www.tiktok.com/@no0thinggs" TargetMode="External"/><Relationship Id="rId7731" Type="http://schemas.openxmlformats.org/officeDocument/2006/relationships/hyperlink" Target="https://vt.tiktok.com/ZS9H2PPny/" TargetMode="External"/><Relationship Id="rId6400" Type="http://schemas.openxmlformats.org/officeDocument/2006/relationships/hyperlink" Target="https://vt.tiktok.com/ZS9txUWdh/" TargetMode="External"/><Relationship Id="rId7730" Type="http://schemas.openxmlformats.org/officeDocument/2006/relationships/hyperlink" Target="https://vt.tiktok.com/ZS9H2LwwK/" TargetMode="External"/><Relationship Id="rId6403" Type="http://schemas.openxmlformats.org/officeDocument/2006/relationships/hyperlink" Target="https://vt.tiktok.com/ZS9vdjeay/" TargetMode="External"/><Relationship Id="rId7735" Type="http://schemas.openxmlformats.org/officeDocument/2006/relationships/hyperlink" Target="https://vt.tiktok.com/ZS9H2LwwK/" TargetMode="External"/><Relationship Id="rId6404" Type="http://schemas.openxmlformats.org/officeDocument/2006/relationships/hyperlink" Target="https://www.tiktok.com/@runqueenn" TargetMode="External"/><Relationship Id="rId7734" Type="http://schemas.openxmlformats.org/officeDocument/2006/relationships/hyperlink" Target="https://vt.tiktok.com/ZS9H2BvDV/" TargetMode="External"/><Relationship Id="rId6401" Type="http://schemas.openxmlformats.org/officeDocument/2006/relationships/hyperlink" Target="https://vt.tiktok.com/ZS97UAbGe/" TargetMode="External"/><Relationship Id="rId7733" Type="http://schemas.openxmlformats.org/officeDocument/2006/relationships/hyperlink" Target="https://www.tiktok.com/@zeynfakur" TargetMode="External"/><Relationship Id="rId6402" Type="http://schemas.openxmlformats.org/officeDocument/2006/relationships/hyperlink" Target="https://vt.tiktok.com/ZS9vJert3/" TargetMode="External"/><Relationship Id="rId7732" Type="http://schemas.openxmlformats.org/officeDocument/2006/relationships/hyperlink" Target="https://vt.tiktok.com/ZS9H2eUCb/" TargetMode="External"/><Relationship Id="rId7728" Type="http://schemas.openxmlformats.org/officeDocument/2006/relationships/hyperlink" Target="https://www.tiktok.com/@izzabheel" TargetMode="External"/><Relationship Id="rId7727" Type="http://schemas.openxmlformats.org/officeDocument/2006/relationships/hyperlink" Target="https://vt.tiktok.com/ZS9H2eUCb/" TargetMode="External"/><Relationship Id="rId7726" Type="http://schemas.openxmlformats.org/officeDocument/2006/relationships/hyperlink" Target="https://vt.tiktok.com/ZS9H2PPny/" TargetMode="External"/><Relationship Id="rId7725" Type="http://schemas.openxmlformats.org/officeDocument/2006/relationships/hyperlink" Target="https://vt.tiktok.com/ZS9H2LwwK/" TargetMode="External"/><Relationship Id="rId7729" Type="http://schemas.openxmlformats.org/officeDocument/2006/relationships/hyperlink" Target="https://vt.tiktok.com/ZS9H2BvDV/" TargetMode="External"/><Relationship Id="rId7720" Type="http://schemas.openxmlformats.org/officeDocument/2006/relationships/hyperlink" Target="https://vt.tiktok.com/ZS9H2LwwK/" TargetMode="External"/><Relationship Id="rId7724" Type="http://schemas.openxmlformats.org/officeDocument/2006/relationships/hyperlink" Target="https://vt.tiktok.com/ZS9H2BvDV/" TargetMode="External"/><Relationship Id="rId7723" Type="http://schemas.openxmlformats.org/officeDocument/2006/relationships/hyperlink" Target="https://www.tiktok.com/@panggilsajadewi24" TargetMode="External"/><Relationship Id="rId7722" Type="http://schemas.openxmlformats.org/officeDocument/2006/relationships/hyperlink" Target="https://vt.tiktok.com/ZS9H2eUCb/" TargetMode="External"/><Relationship Id="rId7721" Type="http://schemas.openxmlformats.org/officeDocument/2006/relationships/hyperlink" Target="https://vt.tiktok.com/ZS9H2PPny/" TargetMode="External"/><Relationship Id="rId5130" Type="http://schemas.openxmlformats.org/officeDocument/2006/relationships/hyperlink" Target="https://vt.tiktok.com/ZS95xRWBh/" TargetMode="External"/><Relationship Id="rId6461" Type="http://schemas.openxmlformats.org/officeDocument/2006/relationships/hyperlink" Target="https://vt.tiktok.com/ZS9H2BvDV/" TargetMode="External"/><Relationship Id="rId7793" Type="http://schemas.openxmlformats.org/officeDocument/2006/relationships/hyperlink" Target="https://www.tiktok.com/@apriliana.ds" TargetMode="External"/><Relationship Id="rId5131" Type="http://schemas.openxmlformats.org/officeDocument/2006/relationships/hyperlink" Target="https://vt.tiktok.com/ZS95xyPvV/" TargetMode="External"/><Relationship Id="rId6462" Type="http://schemas.openxmlformats.org/officeDocument/2006/relationships/hyperlink" Target="https://vt.tiktok.com/ZS9H2LwwK/" TargetMode="External"/><Relationship Id="rId7792" Type="http://schemas.openxmlformats.org/officeDocument/2006/relationships/hyperlink" Target="https://vt.tiktok.com/ZS9H2eUCb/" TargetMode="External"/><Relationship Id="rId7791" Type="http://schemas.openxmlformats.org/officeDocument/2006/relationships/hyperlink" Target="https://vt.tiktok.com/ZS9H2PPny/" TargetMode="External"/><Relationship Id="rId6460" Type="http://schemas.openxmlformats.org/officeDocument/2006/relationships/hyperlink" Target="https://www.tiktok.com/@irmaaa_nf" TargetMode="External"/><Relationship Id="rId7790" Type="http://schemas.openxmlformats.org/officeDocument/2006/relationships/hyperlink" Target="https://vt.tiktok.com/ZS9H2LwwK/" TargetMode="External"/><Relationship Id="rId5134" Type="http://schemas.openxmlformats.org/officeDocument/2006/relationships/hyperlink" Target="https://www.tiktok.com/@dita_mardita" TargetMode="External"/><Relationship Id="rId6465" Type="http://schemas.openxmlformats.org/officeDocument/2006/relationships/hyperlink" Target="https://www.tiktok.com/@nabillmushtafa" TargetMode="External"/><Relationship Id="rId7797" Type="http://schemas.openxmlformats.org/officeDocument/2006/relationships/hyperlink" Target="https://vt.tiktok.com/ZS9H2eUCb/" TargetMode="External"/><Relationship Id="rId5135" Type="http://schemas.openxmlformats.org/officeDocument/2006/relationships/hyperlink" Target="https://vt.tiktok.com/ZS95xRWBh/" TargetMode="External"/><Relationship Id="rId6466" Type="http://schemas.openxmlformats.org/officeDocument/2006/relationships/hyperlink" Target="https://vt.tiktok.com/ZS9H2BvDV/" TargetMode="External"/><Relationship Id="rId7796" Type="http://schemas.openxmlformats.org/officeDocument/2006/relationships/hyperlink" Target="https://vt.tiktok.com/ZS9H2PPny/" TargetMode="External"/><Relationship Id="rId5132" Type="http://schemas.openxmlformats.org/officeDocument/2006/relationships/hyperlink" Target="https://vt.tiktok.com/ZS95x6SRE/" TargetMode="External"/><Relationship Id="rId6463" Type="http://schemas.openxmlformats.org/officeDocument/2006/relationships/hyperlink" Target="https://vt.tiktok.com/ZS9H2PPny/" TargetMode="External"/><Relationship Id="rId7795" Type="http://schemas.openxmlformats.org/officeDocument/2006/relationships/hyperlink" Target="https://vt.tiktok.com/ZS9H2LwwK/" TargetMode="External"/><Relationship Id="rId5133" Type="http://schemas.openxmlformats.org/officeDocument/2006/relationships/hyperlink" Target="https://vt.tiktok.com/ZS95xY2h8/" TargetMode="External"/><Relationship Id="rId6464" Type="http://schemas.openxmlformats.org/officeDocument/2006/relationships/hyperlink" Target="https://vt.tiktok.com/ZS9H2eUCb/" TargetMode="External"/><Relationship Id="rId7794" Type="http://schemas.openxmlformats.org/officeDocument/2006/relationships/hyperlink" Target="https://vt.tiktok.com/ZS9H2BvDV/" TargetMode="External"/><Relationship Id="rId5138" Type="http://schemas.openxmlformats.org/officeDocument/2006/relationships/hyperlink" Target="https://vt.tiktok.com/ZS95xY2h8/" TargetMode="External"/><Relationship Id="rId6469" Type="http://schemas.openxmlformats.org/officeDocument/2006/relationships/hyperlink" Target="https://vt.tiktok.com/ZS9H2eUCb/" TargetMode="External"/><Relationship Id="rId5139" Type="http://schemas.openxmlformats.org/officeDocument/2006/relationships/hyperlink" Target="https://www.tiktok.com/@nurulakhmalia" TargetMode="External"/><Relationship Id="rId5136" Type="http://schemas.openxmlformats.org/officeDocument/2006/relationships/hyperlink" Target="https://vt.tiktok.com/ZS95xyPvV/" TargetMode="External"/><Relationship Id="rId6467" Type="http://schemas.openxmlformats.org/officeDocument/2006/relationships/hyperlink" Target="https://vt.tiktok.com/ZS9H2LwwK/" TargetMode="External"/><Relationship Id="rId7799" Type="http://schemas.openxmlformats.org/officeDocument/2006/relationships/hyperlink" Target="https://vt.tiktok.com/ZS9H2BvDV/" TargetMode="External"/><Relationship Id="rId5137" Type="http://schemas.openxmlformats.org/officeDocument/2006/relationships/hyperlink" Target="https://vt.tiktok.com/ZS95x6SRE/" TargetMode="External"/><Relationship Id="rId6468" Type="http://schemas.openxmlformats.org/officeDocument/2006/relationships/hyperlink" Target="https://vt.tiktok.com/ZS9H2PPny/" TargetMode="External"/><Relationship Id="rId7798" Type="http://schemas.openxmlformats.org/officeDocument/2006/relationships/hyperlink" Target="https://www.tiktok.com/@haaafiz123_" TargetMode="External"/><Relationship Id="rId5129" Type="http://schemas.openxmlformats.org/officeDocument/2006/relationships/hyperlink" Target="https://www.tiktok.com/@tetehsunda524" TargetMode="External"/><Relationship Id="rId6450" Type="http://schemas.openxmlformats.org/officeDocument/2006/relationships/hyperlink" Target="https://www.tiktok.com/@fahmadianm" TargetMode="External"/><Relationship Id="rId7782" Type="http://schemas.openxmlformats.org/officeDocument/2006/relationships/hyperlink" Target="https://vt.tiktok.com/ZS9H2eUCb/" TargetMode="External"/><Relationship Id="rId5120" Type="http://schemas.openxmlformats.org/officeDocument/2006/relationships/hyperlink" Target="https://vt.tiktok.com/ZS95xRWBh/" TargetMode="External"/><Relationship Id="rId6451" Type="http://schemas.openxmlformats.org/officeDocument/2006/relationships/hyperlink" Target="https://vt.tiktok.com/ZS9H2BvDV/" TargetMode="External"/><Relationship Id="rId7781" Type="http://schemas.openxmlformats.org/officeDocument/2006/relationships/hyperlink" Target="https://vt.tiktok.com/ZS9H2PPny/" TargetMode="External"/><Relationship Id="rId7780" Type="http://schemas.openxmlformats.org/officeDocument/2006/relationships/hyperlink" Target="https://vt.tiktok.com/ZS9H2LwwK/" TargetMode="External"/><Relationship Id="rId5123" Type="http://schemas.openxmlformats.org/officeDocument/2006/relationships/hyperlink" Target="https://vt.tiktok.com/ZS95xY2h8/" TargetMode="External"/><Relationship Id="rId6454" Type="http://schemas.openxmlformats.org/officeDocument/2006/relationships/hyperlink" Target="https://vt.tiktok.com/ZS9H2eUCb/" TargetMode="External"/><Relationship Id="rId7786" Type="http://schemas.openxmlformats.org/officeDocument/2006/relationships/hyperlink" Target="https://vt.tiktok.com/ZS9H2PPny/" TargetMode="External"/><Relationship Id="rId5124" Type="http://schemas.openxmlformats.org/officeDocument/2006/relationships/hyperlink" Target="https://www.tiktok.com/@Ratughiftari0353" TargetMode="External"/><Relationship Id="rId6455" Type="http://schemas.openxmlformats.org/officeDocument/2006/relationships/hyperlink" Target="https://www.tiktok.com/@tata81692" TargetMode="External"/><Relationship Id="rId7785" Type="http://schemas.openxmlformats.org/officeDocument/2006/relationships/hyperlink" Target="https://vt.tiktok.com/ZS9H2LwwK/" TargetMode="External"/><Relationship Id="rId5121" Type="http://schemas.openxmlformats.org/officeDocument/2006/relationships/hyperlink" Target="https://vt.tiktok.com/ZS95xyPvV/" TargetMode="External"/><Relationship Id="rId6452" Type="http://schemas.openxmlformats.org/officeDocument/2006/relationships/hyperlink" Target="https://vt.tiktok.com/ZS9H2LwwK/" TargetMode="External"/><Relationship Id="rId7784" Type="http://schemas.openxmlformats.org/officeDocument/2006/relationships/hyperlink" Target="https://vt.tiktok.com/ZS9H2BvDV/" TargetMode="External"/><Relationship Id="rId5122" Type="http://schemas.openxmlformats.org/officeDocument/2006/relationships/hyperlink" Target="https://vt.tiktok.com/ZS95x6SRE/" TargetMode="External"/><Relationship Id="rId6453" Type="http://schemas.openxmlformats.org/officeDocument/2006/relationships/hyperlink" Target="https://vt.tiktok.com/ZS9H2PPny/" TargetMode="External"/><Relationship Id="rId7783" Type="http://schemas.openxmlformats.org/officeDocument/2006/relationships/hyperlink" Target="https://www.tiktok.com/@elvanofaezyaapryl" TargetMode="External"/><Relationship Id="rId5127" Type="http://schemas.openxmlformats.org/officeDocument/2006/relationships/hyperlink" Target="https://vt.tiktok.com/ZS95x6SRE/" TargetMode="External"/><Relationship Id="rId6458" Type="http://schemas.openxmlformats.org/officeDocument/2006/relationships/hyperlink" Target="https://vt.tiktok.com/ZS9H2PPny/" TargetMode="External"/><Relationship Id="rId5128" Type="http://schemas.openxmlformats.org/officeDocument/2006/relationships/hyperlink" Target="https://vt.tiktok.com/ZS95xY2h8/" TargetMode="External"/><Relationship Id="rId6459" Type="http://schemas.openxmlformats.org/officeDocument/2006/relationships/hyperlink" Target="https://vt.tiktok.com/ZS9H2eUCb/" TargetMode="External"/><Relationship Id="rId7789" Type="http://schemas.openxmlformats.org/officeDocument/2006/relationships/hyperlink" Target="https://vt.tiktok.com/ZS9H2BvDV/" TargetMode="External"/><Relationship Id="rId5125" Type="http://schemas.openxmlformats.org/officeDocument/2006/relationships/hyperlink" Target="https://vt.tiktok.com/ZS95xRWBh/" TargetMode="External"/><Relationship Id="rId6456" Type="http://schemas.openxmlformats.org/officeDocument/2006/relationships/hyperlink" Target="https://vt.tiktok.com/ZS9H2BvDV/" TargetMode="External"/><Relationship Id="rId7788" Type="http://schemas.openxmlformats.org/officeDocument/2006/relationships/hyperlink" Target="https://www.tiktok.com/@liafitria53" TargetMode="External"/><Relationship Id="rId5126" Type="http://schemas.openxmlformats.org/officeDocument/2006/relationships/hyperlink" Target="https://vt.tiktok.com/ZS95xyPvV/" TargetMode="External"/><Relationship Id="rId6457" Type="http://schemas.openxmlformats.org/officeDocument/2006/relationships/hyperlink" Target="https://vt.tiktok.com/ZS9H2LwwK/" TargetMode="External"/><Relationship Id="rId7787" Type="http://schemas.openxmlformats.org/officeDocument/2006/relationships/hyperlink" Target="https://vt.tiktok.com/ZS9H2eUCb/" TargetMode="External"/><Relationship Id="rId6480" Type="http://schemas.openxmlformats.org/officeDocument/2006/relationships/hyperlink" Target="https://www.tiktok.com/@setianugrahamakeup" TargetMode="External"/><Relationship Id="rId5152" Type="http://schemas.openxmlformats.org/officeDocument/2006/relationships/hyperlink" Target="https://www.tiktok.com/@ilinajaaa" TargetMode="External"/><Relationship Id="rId6483" Type="http://schemas.openxmlformats.org/officeDocument/2006/relationships/hyperlink" Target="https://vt.tiktok.com/ZS9H2PPny/" TargetMode="External"/><Relationship Id="rId5153" Type="http://schemas.openxmlformats.org/officeDocument/2006/relationships/hyperlink" Target="https://vt.tiktok.com/ZS95xRWBh/" TargetMode="External"/><Relationship Id="rId6484" Type="http://schemas.openxmlformats.org/officeDocument/2006/relationships/hyperlink" Target="https://vt.tiktok.com/ZS9H2eUCb/" TargetMode="External"/><Relationship Id="rId5150" Type="http://schemas.openxmlformats.org/officeDocument/2006/relationships/hyperlink" Target="https://vt.tiktok.com/ZSxHJWMgP/" TargetMode="External"/><Relationship Id="rId6481" Type="http://schemas.openxmlformats.org/officeDocument/2006/relationships/hyperlink" Target="https://vt.tiktok.com/ZS9H2BvDV/" TargetMode="External"/><Relationship Id="rId5151" Type="http://schemas.openxmlformats.org/officeDocument/2006/relationships/hyperlink" Target="https://vt.tiktok.com/ZSxHJQ2oj/" TargetMode="External"/><Relationship Id="rId6482" Type="http://schemas.openxmlformats.org/officeDocument/2006/relationships/hyperlink" Target="https://vt.tiktok.com/ZS9H2LwwK/" TargetMode="External"/><Relationship Id="rId5156" Type="http://schemas.openxmlformats.org/officeDocument/2006/relationships/hyperlink" Target="https://vt.tiktok.com/ZS95xY2h8/" TargetMode="External"/><Relationship Id="rId6487" Type="http://schemas.openxmlformats.org/officeDocument/2006/relationships/hyperlink" Target="https://vt.tiktok.com/ZS9H2LwwK/" TargetMode="External"/><Relationship Id="rId5157" Type="http://schemas.openxmlformats.org/officeDocument/2006/relationships/hyperlink" Target="https://www.tiktok.com/@herbertrt" TargetMode="External"/><Relationship Id="rId6488" Type="http://schemas.openxmlformats.org/officeDocument/2006/relationships/hyperlink" Target="https://vt.tiktok.com/ZS9H2PPny/" TargetMode="External"/><Relationship Id="rId5154" Type="http://schemas.openxmlformats.org/officeDocument/2006/relationships/hyperlink" Target="https://vt.tiktok.com/ZS95xyPvV/" TargetMode="External"/><Relationship Id="rId6485" Type="http://schemas.openxmlformats.org/officeDocument/2006/relationships/hyperlink" Target="https://www.tiktok.com/@iniciciwww" TargetMode="External"/><Relationship Id="rId5155" Type="http://schemas.openxmlformats.org/officeDocument/2006/relationships/hyperlink" Target="https://vt.tiktok.com/ZS95x6SRE/" TargetMode="External"/><Relationship Id="rId6486" Type="http://schemas.openxmlformats.org/officeDocument/2006/relationships/hyperlink" Target="https://vt.tiktok.com/ZS9H2BvDV/" TargetMode="External"/><Relationship Id="rId5158" Type="http://schemas.openxmlformats.org/officeDocument/2006/relationships/hyperlink" Target="https://vt.tiktok.com/ZS95xRWBh/" TargetMode="External"/><Relationship Id="rId6489" Type="http://schemas.openxmlformats.org/officeDocument/2006/relationships/hyperlink" Target="https://vt.tiktok.com/ZS9H2eUCb/" TargetMode="External"/><Relationship Id="rId5159" Type="http://schemas.openxmlformats.org/officeDocument/2006/relationships/hyperlink" Target="https://vt.tiktok.com/ZS95xyPvV/" TargetMode="External"/><Relationship Id="rId5141" Type="http://schemas.openxmlformats.org/officeDocument/2006/relationships/hyperlink" Target="https://vt.tiktok.com/ZS95xyPvV/" TargetMode="External"/><Relationship Id="rId6472" Type="http://schemas.openxmlformats.org/officeDocument/2006/relationships/hyperlink" Target="https://vt.tiktok.com/ZSxWyTN9c/" TargetMode="External"/><Relationship Id="rId5142" Type="http://schemas.openxmlformats.org/officeDocument/2006/relationships/hyperlink" Target="https://vt.tiktok.com/ZS95x6SRE/" TargetMode="External"/><Relationship Id="rId6473" Type="http://schemas.openxmlformats.org/officeDocument/2006/relationships/hyperlink" Target="https://vt.tiktok.com/ZSxWyomwB/" TargetMode="External"/><Relationship Id="rId6470" Type="http://schemas.openxmlformats.org/officeDocument/2006/relationships/hyperlink" Target="https://www.tiktok.com/@wongtulus58" TargetMode="External"/><Relationship Id="rId5140" Type="http://schemas.openxmlformats.org/officeDocument/2006/relationships/hyperlink" Target="https://vt.tiktok.com/ZS95xRWBh/" TargetMode="External"/><Relationship Id="rId6471" Type="http://schemas.openxmlformats.org/officeDocument/2006/relationships/hyperlink" Target="https://vt.tiktok.com/ZSxWysYCp/" TargetMode="External"/><Relationship Id="rId5145" Type="http://schemas.openxmlformats.org/officeDocument/2006/relationships/hyperlink" Target="https://vt.tiktok.com/ZS95xRWBh/" TargetMode="External"/><Relationship Id="rId6476" Type="http://schemas.openxmlformats.org/officeDocument/2006/relationships/hyperlink" Target="https://vt.tiktok.com/ZS9H2BvDV/" TargetMode="External"/><Relationship Id="rId5146" Type="http://schemas.openxmlformats.org/officeDocument/2006/relationships/hyperlink" Target="https://vt.tiktok.com/ZS95xyPvV/" TargetMode="External"/><Relationship Id="rId6477" Type="http://schemas.openxmlformats.org/officeDocument/2006/relationships/hyperlink" Target="https://vt.tiktok.com/ZS9H2LwwK/" TargetMode="External"/><Relationship Id="rId5143" Type="http://schemas.openxmlformats.org/officeDocument/2006/relationships/hyperlink" Target="https://vt.tiktok.com/ZS95xY2h8/" TargetMode="External"/><Relationship Id="rId6474" Type="http://schemas.openxmlformats.org/officeDocument/2006/relationships/hyperlink" Target="https://vt.tiktok.com/ZSxWyGuDM/" TargetMode="External"/><Relationship Id="rId5144" Type="http://schemas.openxmlformats.org/officeDocument/2006/relationships/hyperlink" Target="https://www.tiktok.com/@el.lisss1" TargetMode="External"/><Relationship Id="rId6475" Type="http://schemas.openxmlformats.org/officeDocument/2006/relationships/hyperlink" Target="https://www.tiktok.com/@abanglelee" TargetMode="External"/><Relationship Id="rId5149" Type="http://schemas.openxmlformats.org/officeDocument/2006/relationships/hyperlink" Target="https://www.tiktok.com/@mysugarcoffee" TargetMode="External"/><Relationship Id="rId5147" Type="http://schemas.openxmlformats.org/officeDocument/2006/relationships/hyperlink" Target="https://vt.tiktok.com/ZS95x6SRE/" TargetMode="External"/><Relationship Id="rId6478" Type="http://schemas.openxmlformats.org/officeDocument/2006/relationships/hyperlink" Target="https://vt.tiktok.com/ZS9H2PPny/" TargetMode="External"/><Relationship Id="rId5148" Type="http://schemas.openxmlformats.org/officeDocument/2006/relationships/hyperlink" Target="https://vt.tiktok.com/ZS95xY2h8/" TargetMode="External"/><Relationship Id="rId6479" Type="http://schemas.openxmlformats.org/officeDocument/2006/relationships/hyperlink" Target="https://vt.tiktok.com/ZS9H2eUCb/" TargetMode="External"/><Relationship Id="rId6429" Type="http://schemas.openxmlformats.org/officeDocument/2006/relationships/hyperlink" Target="https://www.tiktok.com/@reyfasyashop7" TargetMode="External"/><Relationship Id="rId6427" Type="http://schemas.openxmlformats.org/officeDocument/2006/relationships/hyperlink" Target="https://vt.tiktok.com/ZS9XS7ThW/" TargetMode="External"/><Relationship Id="rId7759" Type="http://schemas.openxmlformats.org/officeDocument/2006/relationships/hyperlink" Target="https://vt.tiktok.com/ZS9H2BvDV/" TargetMode="External"/><Relationship Id="rId6428" Type="http://schemas.openxmlformats.org/officeDocument/2006/relationships/hyperlink" Target="https://vt.tiktok.com/ZS9vV3EwG/" TargetMode="External"/><Relationship Id="rId7758" Type="http://schemas.openxmlformats.org/officeDocument/2006/relationships/hyperlink" Target="https://www.tiktok.com/@srihartinisr12" TargetMode="External"/><Relationship Id="rId6421" Type="http://schemas.openxmlformats.org/officeDocument/2006/relationships/hyperlink" Target="https://vt.tiktok.com/ZS95KxVTC/" TargetMode="External"/><Relationship Id="rId7753" Type="http://schemas.openxmlformats.org/officeDocument/2006/relationships/hyperlink" Target="https://www.tiktok.com/@lestarie467" TargetMode="External"/><Relationship Id="rId6422" Type="http://schemas.openxmlformats.org/officeDocument/2006/relationships/hyperlink" Target="https://vt.tiktok.com/ZS9XS7ThW/" TargetMode="External"/><Relationship Id="rId7752" Type="http://schemas.openxmlformats.org/officeDocument/2006/relationships/hyperlink" Target="https://vt.tiktok.com/ZS9H2eUCb/" TargetMode="External"/><Relationship Id="rId7751" Type="http://schemas.openxmlformats.org/officeDocument/2006/relationships/hyperlink" Target="https://vt.tiktok.com/ZS9H2PPny/" TargetMode="External"/><Relationship Id="rId6420" Type="http://schemas.openxmlformats.org/officeDocument/2006/relationships/hyperlink" Target="https://vt.tiktok.com/ZS95KCbkf/" TargetMode="External"/><Relationship Id="rId7750" Type="http://schemas.openxmlformats.org/officeDocument/2006/relationships/hyperlink" Target="https://vt.tiktok.com/ZS9H2LwwK/" TargetMode="External"/><Relationship Id="rId6425" Type="http://schemas.openxmlformats.org/officeDocument/2006/relationships/hyperlink" Target="https://vt.tiktok.com/ZS95KCbkf/" TargetMode="External"/><Relationship Id="rId7757" Type="http://schemas.openxmlformats.org/officeDocument/2006/relationships/hyperlink" Target="https://vt.tiktok.com/ZS9H2eUCb/" TargetMode="External"/><Relationship Id="rId6426" Type="http://schemas.openxmlformats.org/officeDocument/2006/relationships/hyperlink" Target="https://vt.tiktok.com/ZS95KxVTC/" TargetMode="External"/><Relationship Id="rId7756" Type="http://schemas.openxmlformats.org/officeDocument/2006/relationships/hyperlink" Target="https://vt.tiktok.com/ZS9H2PPny/" TargetMode="External"/><Relationship Id="rId6423" Type="http://schemas.openxmlformats.org/officeDocument/2006/relationships/hyperlink" Target="https://vt.tiktok.com/ZS9vV3EwG/" TargetMode="External"/><Relationship Id="rId7755" Type="http://schemas.openxmlformats.org/officeDocument/2006/relationships/hyperlink" Target="https://vt.tiktok.com/ZS9H2LwwK/" TargetMode="External"/><Relationship Id="rId6424" Type="http://schemas.openxmlformats.org/officeDocument/2006/relationships/hyperlink" Target="https://www.tiktok.com/@Hurihurye" TargetMode="External"/><Relationship Id="rId7754" Type="http://schemas.openxmlformats.org/officeDocument/2006/relationships/hyperlink" Target="https://vt.tiktok.com/ZS9H2BvDV/" TargetMode="External"/><Relationship Id="rId6418" Type="http://schemas.openxmlformats.org/officeDocument/2006/relationships/hyperlink" Target="https://vt.tiktok.com/ZS9vV3EwG/" TargetMode="External"/><Relationship Id="rId6419" Type="http://schemas.openxmlformats.org/officeDocument/2006/relationships/hyperlink" Target="https://www.tiktok.com/@bundalinn_" TargetMode="External"/><Relationship Id="rId7749" Type="http://schemas.openxmlformats.org/officeDocument/2006/relationships/hyperlink" Target="https://vt.tiktok.com/ZS9H2BvDV/" TargetMode="External"/><Relationship Id="rId6416" Type="http://schemas.openxmlformats.org/officeDocument/2006/relationships/hyperlink" Target="https://vt.tiktok.com/ZS95KxVTC/" TargetMode="External"/><Relationship Id="rId7748" Type="http://schemas.openxmlformats.org/officeDocument/2006/relationships/hyperlink" Target="https://www.tiktok.com/@aswanah22" TargetMode="External"/><Relationship Id="rId6417" Type="http://schemas.openxmlformats.org/officeDocument/2006/relationships/hyperlink" Target="https://vt.tiktok.com/ZS9XS7ThW/" TargetMode="External"/><Relationship Id="rId7747" Type="http://schemas.openxmlformats.org/officeDocument/2006/relationships/hyperlink" Target="https://vt.tiktok.com/ZS9H2eUCb/" TargetMode="External"/><Relationship Id="rId6410" Type="http://schemas.openxmlformats.org/officeDocument/2006/relationships/hyperlink" Target="https://vt.tiktok.com/ZS95KCbkf/" TargetMode="External"/><Relationship Id="rId7742" Type="http://schemas.openxmlformats.org/officeDocument/2006/relationships/hyperlink" Target="https://vt.tiktok.com/ZS9H2eUCb/" TargetMode="External"/><Relationship Id="rId6411" Type="http://schemas.openxmlformats.org/officeDocument/2006/relationships/hyperlink" Target="https://vt.tiktok.com/ZS95KxVTC/" TargetMode="External"/><Relationship Id="rId7741" Type="http://schemas.openxmlformats.org/officeDocument/2006/relationships/hyperlink" Target="https://vt.tiktok.com/ZS9H2PPny/" TargetMode="External"/><Relationship Id="rId7740" Type="http://schemas.openxmlformats.org/officeDocument/2006/relationships/hyperlink" Target="https://vt.tiktok.com/ZS9H2LwwK/" TargetMode="External"/><Relationship Id="rId6414" Type="http://schemas.openxmlformats.org/officeDocument/2006/relationships/hyperlink" Target="https://www.tiktok.com/@jenahzhen" TargetMode="External"/><Relationship Id="rId7746" Type="http://schemas.openxmlformats.org/officeDocument/2006/relationships/hyperlink" Target="https://vt.tiktok.com/ZS9H2PPny/" TargetMode="External"/><Relationship Id="rId6415" Type="http://schemas.openxmlformats.org/officeDocument/2006/relationships/hyperlink" Target="https://vt.tiktok.com/ZS95KCbkf/" TargetMode="External"/><Relationship Id="rId7745" Type="http://schemas.openxmlformats.org/officeDocument/2006/relationships/hyperlink" Target="https://vt.tiktok.com/ZS9H2LwwK/" TargetMode="External"/><Relationship Id="rId6412" Type="http://schemas.openxmlformats.org/officeDocument/2006/relationships/hyperlink" Target="https://vt.tiktok.com/ZS9XS7ThW/" TargetMode="External"/><Relationship Id="rId7744" Type="http://schemas.openxmlformats.org/officeDocument/2006/relationships/hyperlink" Target="https://vt.tiktok.com/ZS9H2BvDV/" TargetMode="External"/><Relationship Id="rId6413" Type="http://schemas.openxmlformats.org/officeDocument/2006/relationships/hyperlink" Target="https://vt.tiktok.com/ZS9vV3EwG/" TargetMode="External"/><Relationship Id="rId7743" Type="http://schemas.openxmlformats.org/officeDocument/2006/relationships/hyperlink" Target="https://www.tiktok.com/@29_fitrya" TargetMode="External"/><Relationship Id="rId5118" Type="http://schemas.openxmlformats.org/officeDocument/2006/relationships/hyperlink" Target="https://vt.tiktok.com/ZS95xY2h8/" TargetMode="External"/><Relationship Id="rId6449" Type="http://schemas.openxmlformats.org/officeDocument/2006/relationships/hyperlink" Target="https://www.tiktok.com/@putri.antris" TargetMode="External"/><Relationship Id="rId5119" Type="http://schemas.openxmlformats.org/officeDocument/2006/relationships/hyperlink" Target="https://www.tiktok.com/@Rizkirichofficial" TargetMode="External"/><Relationship Id="rId7771" Type="http://schemas.openxmlformats.org/officeDocument/2006/relationships/hyperlink" Target="https://vt.tiktok.com/ZS9H2PPny/" TargetMode="External"/><Relationship Id="rId6440" Type="http://schemas.openxmlformats.org/officeDocument/2006/relationships/hyperlink" Target="https://vt.tiktok.com/ZS9fS7WvD/" TargetMode="External"/><Relationship Id="rId7770" Type="http://schemas.openxmlformats.org/officeDocument/2006/relationships/hyperlink" Target="https://vt.tiktok.com/ZS9H2LwwK/" TargetMode="External"/><Relationship Id="rId5112" Type="http://schemas.openxmlformats.org/officeDocument/2006/relationships/hyperlink" Target="https://vt.tiktok.com/ZSxHejG2c/" TargetMode="External"/><Relationship Id="rId6443" Type="http://schemas.openxmlformats.org/officeDocument/2006/relationships/hyperlink" Target="https://vt.tiktok.com/ZS9fSgbpB/" TargetMode="External"/><Relationship Id="rId7775" Type="http://schemas.openxmlformats.org/officeDocument/2006/relationships/hyperlink" Target="https://vt.tiktok.com/ZS9H2LwwK/" TargetMode="External"/><Relationship Id="rId5113" Type="http://schemas.openxmlformats.org/officeDocument/2006/relationships/hyperlink" Target="https://vt.tiktok.com/ZSxHeMe4N/" TargetMode="External"/><Relationship Id="rId6444" Type="http://schemas.openxmlformats.org/officeDocument/2006/relationships/hyperlink" Target="https://www.tiktok.com/@mbak_glowing" TargetMode="External"/><Relationship Id="rId7774" Type="http://schemas.openxmlformats.org/officeDocument/2006/relationships/hyperlink" Target="https://vt.tiktok.com/ZS9H2BvDV/" TargetMode="External"/><Relationship Id="rId5110" Type="http://schemas.openxmlformats.org/officeDocument/2006/relationships/hyperlink" Target="https://vt.tiktok.com/ZSxHe6enp/" TargetMode="External"/><Relationship Id="rId6441" Type="http://schemas.openxmlformats.org/officeDocument/2006/relationships/hyperlink" Target="https://vt.tiktok.com/ZS9fSnqU6/" TargetMode="External"/><Relationship Id="rId7773" Type="http://schemas.openxmlformats.org/officeDocument/2006/relationships/hyperlink" Target="https://www.tiktok.com/@yayaaaaa2019" TargetMode="External"/><Relationship Id="rId5111" Type="http://schemas.openxmlformats.org/officeDocument/2006/relationships/hyperlink" Target="https://vt.tiktok.com/ZSxHeMjRt/" TargetMode="External"/><Relationship Id="rId6442" Type="http://schemas.openxmlformats.org/officeDocument/2006/relationships/hyperlink" Target="https://vt.tiktok.com/ZS9fScfFJ/" TargetMode="External"/><Relationship Id="rId7772" Type="http://schemas.openxmlformats.org/officeDocument/2006/relationships/hyperlink" Target="https://vt.tiktok.com/ZS9H2eUCb/" TargetMode="External"/><Relationship Id="rId5116" Type="http://schemas.openxmlformats.org/officeDocument/2006/relationships/hyperlink" Target="https://vt.tiktok.com/ZS95xyPvV/" TargetMode="External"/><Relationship Id="rId6447" Type="http://schemas.openxmlformats.org/officeDocument/2006/relationships/hyperlink" Target="https://vt.tiktok.com/ZS9BbR5X2/" TargetMode="External"/><Relationship Id="rId7779" Type="http://schemas.openxmlformats.org/officeDocument/2006/relationships/hyperlink" Target="https://vt.tiktok.com/ZS9H2BvDV/" TargetMode="External"/><Relationship Id="rId5117" Type="http://schemas.openxmlformats.org/officeDocument/2006/relationships/hyperlink" Target="https://vt.tiktok.com/ZS95x6SRE/" TargetMode="External"/><Relationship Id="rId6448" Type="http://schemas.openxmlformats.org/officeDocument/2006/relationships/hyperlink" Target="https://vt.tiktok.com/ZS9ycs5oc/" TargetMode="External"/><Relationship Id="rId7778" Type="http://schemas.openxmlformats.org/officeDocument/2006/relationships/hyperlink" Target="https://www.tiktok.com/@tomatt41" TargetMode="External"/><Relationship Id="rId5114" Type="http://schemas.openxmlformats.org/officeDocument/2006/relationships/hyperlink" Target="https://www.tiktok.com/@keysaputriamira8" TargetMode="External"/><Relationship Id="rId6445" Type="http://schemas.openxmlformats.org/officeDocument/2006/relationships/hyperlink" Target="https://vt.tiktok.com/ZS9jM8xdm/" TargetMode="External"/><Relationship Id="rId7777" Type="http://schemas.openxmlformats.org/officeDocument/2006/relationships/hyperlink" Target="https://vt.tiktok.com/ZS9H2eUCb/" TargetMode="External"/><Relationship Id="rId5115" Type="http://schemas.openxmlformats.org/officeDocument/2006/relationships/hyperlink" Target="https://vt.tiktok.com/ZS95xRWBh/" TargetMode="External"/><Relationship Id="rId6446" Type="http://schemas.openxmlformats.org/officeDocument/2006/relationships/hyperlink" Target="https://vt.tiktok.com/ZS9MArLmp/" TargetMode="External"/><Relationship Id="rId7776" Type="http://schemas.openxmlformats.org/officeDocument/2006/relationships/hyperlink" Target="https://vt.tiktok.com/ZS9H2PPny/" TargetMode="External"/><Relationship Id="rId5109" Type="http://schemas.openxmlformats.org/officeDocument/2006/relationships/hyperlink" Target="https://www.tiktok.com/@udin.asep584" TargetMode="External"/><Relationship Id="rId5107" Type="http://schemas.openxmlformats.org/officeDocument/2006/relationships/hyperlink" Target="https://vt.tiktok.com/ZS9UdPbv7/" TargetMode="External"/><Relationship Id="rId6438" Type="http://schemas.openxmlformats.org/officeDocument/2006/relationships/hyperlink" Target="https://vt.tiktok.com/ZS9ycs5oc/" TargetMode="External"/><Relationship Id="rId5108" Type="http://schemas.openxmlformats.org/officeDocument/2006/relationships/hyperlink" Target="https://vt.tiktok.com/ZSxTAvCJX/" TargetMode="External"/><Relationship Id="rId6439" Type="http://schemas.openxmlformats.org/officeDocument/2006/relationships/hyperlink" Target="https://www.tiktok.com/@promo.murah.berkualitas1" TargetMode="External"/><Relationship Id="rId7769" Type="http://schemas.openxmlformats.org/officeDocument/2006/relationships/hyperlink" Target="https://vt.tiktok.com/ZS9H2BvDV/" TargetMode="External"/><Relationship Id="rId7760" Type="http://schemas.openxmlformats.org/officeDocument/2006/relationships/hyperlink" Target="https://vt.tiktok.com/ZS9H2LwwK/" TargetMode="External"/><Relationship Id="rId5101" Type="http://schemas.openxmlformats.org/officeDocument/2006/relationships/hyperlink" Target="https://vt.tiktok.com/ZS9rfkRbf/" TargetMode="External"/><Relationship Id="rId6432" Type="http://schemas.openxmlformats.org/officeDocument/2006/relationships/hyperlink" Target="https://vt.tiktok.com/ZSxWfd4DQ/" TargetMode="External"/><Relationship Id="rId7764" Type="http://schemas.openxmlformats.org/officeDocument/2006/relationships/hyperlink" Target="https://vt.tiktok.com/ZS9H2BvDV/" TargetMode="External"/><Relationship Id="rId5102" Type="http://schemas.openxmlformats.org/officeDocument/2006/relationships/hyperlink" Target="https://vt.tiktok.com/ZS9r5ttt2/" TargetMode="External"/><Relationship Id="rId6433" Type="http://schemas.openxmlformats.org/officeDocument/2006/relationships/hyperlink" Target="https://vt.tiktok.com/ZSxWfdWke/" TargetMode="External"/><Relationship Id="rId7763" Type="http://schemas.openxmlformats.org/officeDocument/2006/relationships/hyperlink" Target="https://www.tiktok.com/@shopadiba17" TargetMode="External"/><Relationship Id="rId6430" Type="http://schemas.openxmlformats.org/officeDocument/2006/relationships/hyperlink" Target="https://vt.tiktok.com/ZSxWyq9r2/" TargetMode="External"/><Relationship Id="rId7762" Type="http://schemas.openxmlformats.org/officeDocument/2006/relationships/hyperlink" Target="https://vt.tiktok.com/ZS9H2eUCb/" TargetMode="External"/><Relationship Id="rId5100" Type="http://schemas.openxmlformats.org/officeDocument/2006/relationships/hyperlink" Target="https://vt.tiktok.com/ZS9NABes7/" TargetMode="External"/><Relationship Id="rId6431" Type="http://schemas.openxmlformats.org/officeDocument/2006/relationships/hyperlink" Target="https://vt.tiktok.com/ZSxWyo6wS/" TargetMode="External"/><Relationship Id="rId7761" Type="http://schemas.openxmlformats.org/officeDocument/2006/relationships/hyperlink" Target="https://vt.tiktok.com/ZS9H2PPny/" TargetMode="External"/><Relationship Id="rId5105" Type="http://schemas.openxmlformats.org/officeDocument/2006/relationships/hyperlink" Target="https://vt.tiktok.com/ZS9UdDn82/" TargetMode="External"/><Relationship Id="rId6436" Type="http://schemas.openxmlformats.org/officeDocument/2006/relationships/hyperlink" Target="https://vt.tiktok.com/ZS9MArLmp/" TargetMode="External"/><Relationship Id="rId7768" Type="http://schemas.openxmlformats.org/officeDocument/2006/relationships/hyperlink" Target="https://www.tiktok.com/@lina.ema23" TargetMode="External"/><Relationship Id="rId5106" Type="http://schemas.openxmlformats.org/officeDocument/2006/relationships/hyperlink" Target="https://vt.tiktok.com/ZS9UdrVqF/" TargetMode="External"/><Relationship Id="rId6437" Type="http://schemas.openxmlformats.org/officeDocument/2006/relationships/hyperlink" Target="https://vt.tiktok.com/ZS9BbR5X2/" TargetMode="External"/><Relationship Id="rId7767" Type="http://schemas.openxmlformats.org/officeDocument/2006/relationships/hyperlink" Target="https://vt.tiktok.com/ZS9H2eUCb/" TargetMode="External"/><Relationship Id="rId5103" Type="http://schemas.openxmlformats.org/officeDocument/2006/relationships/hyperlink" Target="https://vt.tiktok.com/ZS9k451qU/" TargetMode="External"/><Relationship Id="rId6434" Type="http://schemas.openxmlformats.org/officeDocument/2006/relationships/hyperlink" Target="https://www.tiktok.com/@cococrunch13_" TargetMode="External"/><Relationship Id="rId7766" Type="http://schemas.openxmlformats.org/officeDocument/2006/relationships/hyperlink" Target="https://vt.tiktok.com/ZS9H2PPny/" TargetMode="External"/><Relationship Id="rId5104" Type="http://schemas.openxmlformats.org/officeDocument/2006/relationships/hyperlink" Target="https://www.tiktok.com/@erill591" TargetMode="External"/><Relationship Id="rId6435" Type="http://schemas.openxmlformats.org/officeDocument/2006/relationships/hyperlink" Target="https://vt.tiktok.com/ZS9jM8xdm/" TargetMode="External"/><Relationship Id="rId7765" Type="http://schemas.openxmlformats.org/officeDocument/2006/relationships/hyperlink" Target="https://vt.tiktok.com/ZS9H2LwwK/" TargetMode="External"/><Relationship Id="rId2940" Type="http://schemas.openxmlformats.org/officeDocument/2006/relationships/hyperlink" Target="https://vt.tiktok.com/ZS9Me9YS5/" TargetMode="External"/><Relationship Id="rId1610" Type="http://schemas.openxmlformats.org/officeDocument/2006/relationships/hyperlink" Target="https://www.tiktok.com/@callme_nadd" TargetMode="External"/><Relationship Id="rId2941" Type="http://schemas.openxmlformats.org/officeDocument/2006/relationships/hyperlink" Target="https://vt.tiktok.com/ZS9MeQxT3/" TargetMode="External"/><Relationship Id="rId1611" Type="http://schemas.openxmlformats.org/officeDocument/2006/relationships/hyperlink" Target="https://www.tiktok.com/@productskincare/video/7627704738330463506?is_from_webapp=1&amp;sender_device=pc" TargetMode="External"/><Relationship Id="rId2942" Type="http://schemas.openxmlformats.org/officeDocument/2006/relationships/hyperlink" Target="https://vt.tiktok.com/ZS9Me2mxR/" TargetMode="External"/><Relationship Id="rId1612" Type="http://schemas.openxmlformats.org/officeDocument/2006/relationships/hyperlink" Target="https://vt.tiktok.com/ZS9WMAtgc/" TargetMode="External"/><Relationship Id="rId2943" Type="http://schemas.openxmlformats.org/officeDocument/2006/relationships/hyperlink" Target="https://vt.tiktok.com/ZS9MeCa18/" TargetMode="External"/><Relationship Id="rId1613" Type="http://schemas.openxmlformats.org/officeDocument/2006/relationships/hyperlink" Target="https://vt.tiktok.com/ZS9WMQntP/" TargetMode="External"/><Relationship Id="rId2944" Type="http://schemas.openxmlformats.org/officeDocument/2006/relationships/hyperlink" Target="https://www.tiktok.com/@fithriiiiiiiiii" TargetMode="External"/><Relationship Id="rId1614" Type="http://schemas.openxmlformats.org/officeDocument/2006/relationships/hyperlink" Target="https://vt.tiktok.com/ZS9WMDuyN/" TargetMode="External"/><Relationship Id="rId2945" Type="http://schemas.openxmlformats.org/officeDocument/2006/relationships/hyperlink" Target="https://vt.tiktok.com/ZS9NmDFVU/" TargetMode="External"/><Relationship Id="rId1615" Type="http://schemas.openxmlformats.org/officeDocument/2006/relationships/hyperlink" Target="https://www.tiktok.com/@angguni.wulandari" TargetMode="External"/><Relationship Id="rId2946" Type="http://schemas.openxmlformats.org/officeDocument/2006/relationships/hyperlink" Target="https://vt.tiktok.com/ZS9NmCJMS/" TargetMode="External"/><Relationship Id="rId1616" Type="http://schemas.openxmlformats.org/officeDocument/2006/relationships/hyperlink" Target="https://vt.tiktok.com/ZSHaSGvx5/" TargetMode="External"/><Relationship Id="rId2947" Type="http://schemas.openxmlformats.org/officeDocument/2006/relationships/hyperlink" Target="https://vt.tiktok.com/ZS9NmVrxe/" TargetMode="External"/><Relationship Id="rId907" Type="http://schemas.openxmlformats.org/officeDocument/2006/relationships/hyperlink" Target="https://www.tiktok.com/@toko_apaajaada94/video/7620280776898268436?_r=1&amp;u_code=d2a9i6mjmg1322&amp;region=&amp;mid=7620280859643513621&amp;preview_pb=0&amp;sharer_language=&amp;_d=0&amp;ec_shared_reflux_dynamic_params=%7B%22placeholder_material_id%22%3A%227620280776898268436%22%2C%22placeholder_origin_cover%22%3A%22https%253A%252F%252Fp16-common-sign.tiktokcdn.com%252Ftos-alisg-p-0037%252FocZYCIbBvUrAwt2yAaCdyEbXVBAsiicGI7BRi~tplv-tiktokx-origin.jpeg%253Fdr%253D14572%2526refresh_token%253Dbc1f5ae5%2526x-expires%253D1806051600%2526x-signature%253DxrKnS1Yznczbu3NmWtQXUTNddw4%25253D%2526t%253D4d5b0474%2526ps%253D13740610%2526shp%253Dd05b14bd%2526shcp%253D34ff8df6%2526idc%253Dmy2%2526s%253DTIKTOK_AFFILIATE_VIRAL_VIDEO%22%2C%22placeholder_product_id%22%3A%221729427766722726591%22%2C%22placeholder_video_id%22%3A%227620280776898268436%22%7D&amp;ec_shared_reflux_scene=shop_tab_feed&amp;share_item_id=7620280776898268436&amp;source=h5_t" TargetMode="External"/><Relationship Id="rId1617" Type="http://schemas.openxmlformats.org/officeDocument/2006/relationships/hyperlink" Target="https://www.tiktok.com/@tiarasabirin6" TargetMode="External"/><Relationship Id="rId2948" Type="http://schemas.openxmlformats.org/officeDocument/2006/relationships/hyperlink" Target="https://vt.tiktok.com/ZS9NmynaC/" TargetMode="External"/><Relationship Id="rId906" Type="http://schemas.openxmlformats.org/officeDocument/2006/relationships/hyperlink" Target="https://www.tiktok.com/@toko_apaajaada94/video/7610668534875639060?is_from_webapp=1&amp;sender_device=pc" TargetMode="External"/><Relationship Id="rId1618" Type="http://schemas.openxmlformats.org/officeDocument/2006/relationships/hyperlink" Target="https://vt.tiktok.com/ZSHanfTR9/" TargetMode="External"/><Relationship Id="rId2949" Type="http://schemas.openxmlformats.org/officeDocument/2006/relationships/hyperlink" Target="https://www.tiktok.com/@roslindaadvocate" TargetMode="External"/><Relationship Id="rId905" Type="http://schemas.openxmlformats.org/officeDocument/2006/relationships/hyperlink" Target="https://www.tiktok.com/@toko_apaajaada94" TargetMode="External"/><Relationship Id="rId1619" Type="http://schemas.openxmlformats.org/officeDocument/2006/relationships/hyperlink" Target="https://vt.tiktok.com/ZSxQtaNCW/" TargetMode="External"/><Relationship Id="rId904" Type="http://schemas.openxmlformats.org/officeDocument/2006/relationships/hyperlink" Target="https://www.tiktok.com/@sa.nisaluf/video/7631017669965188373?is_from_webapp=1&amp;sender_device=pc&amp;web_id=7611930277489657360" TargetMode="External"/><Relationship Id="rId909" Type="http://schemas.openxmlformats.org/officeDocument/2006/relationships/hyperlink" Target="https://vt.tiktok.com/ZS9qMsfcK/" TargetMode="External"/><Relationship Id="rId908" Type="http://schemas.openxmlformats.org/officeDocument/2006/relationships/hyperlink" Target="https://vt.tiktok.com/ZS9qMKEE9/" TargetMode="External"/><Relationship Id="rId903" Type="http://schemas.openxmlformats.org/officeDocument/2006/relationships/hyperlink" Target="https://www.tiktok.com/@liantyhijab_/video/7621491790280953109?_r=1&amp;u_code=dl653b85caj10h&amp;region=&amp;mid=7615192504778590984&amp;preview_pb=0&amp;sharer_language=&amp;_d=0&amp;ec_shared_reflux_dynamic_params=%7B%22placeholder_material_id%22%3A%227621491790280953109%22%2C%22placeholder_origin_cover%22%3A%22https%253A%252F%252Fp16-sign-sg.tiktokcdn.com%252Ftos-alisg-p-0037%252FoUnEBxlccQAPro7ZOZenJfBDkgEm5BDupQyRGF~tplv-tiktokx-origin.jpeg%253Fdr%253D14572%2526refresh_token%253Db9449091%2526x-expires%253D1806051600%2526x-signature%253DJvpMp8VyqupOr9QrPYuSDKShH1o%25253D%2526t%253D4d5b0474%2526ps%253D13740610%2526shp%253Dd05b14bd%2526shcp%253D34ff8df6%2526idc%253Dmy2%2526s%253DTIKTOK_AFFILIATE_VIRAL_VIDEO%22%2C%22placeholder_product_id%22%3A%221729427766722726591%22%2C%22placeholder_video_id%22%3A%227621491790280953109%22%7D&amp;ec_shared_reflux_scene=shop_tab_feed&amp;share_item_id=7621491790280953109&amp;source=h5_t" TargetMode="External"/><Relationship Id="rId902" Type="http://schemas.openxmlformats.org/officeDocument/2006/relationships/hyperlink" Target="https://www.tiktok.com/@liantyhijab_/video/7616298225225452820?is_from_webapp=1&amp;sender_device=pc" TargetMode="External"/><Relationship Id="rId901" Type="http://schemas.openxmlformats.org/officeDocument/2006/relationships/hyperlink" Target="https://www.tiktok.com/@liantyhijab_/video/7612155232662981908?is_from_webapp=1&amp;sender_device=pc" TargetMode="External"/><Relationship Id="rId900" Type="http://schemas.openxmlformats.org/officeDocument/2006/relationships/hyperlink" Target="https://www.tiktok.com/@liantyhijab_" TargetMode="External"/><Relationship Id="rId2930" Type="http://schemas.openxmlformats.org/officeDocument/2006/relationships/hyperlink" Target="https://vt.tiktok.com/ZS9NRasbY/" TargetMode="External"/><Relationship Id="rId1600" Type="http://schemas.openxmlformats.org/officeDocument/2006/relationships/hyperlink" Target="https://vt.tiktok.com/ZSxQtAx3S/" TargetMode="External"/><Relationship Id="rId2931" Type="http://schemas.openxmlformats.org/officeDocument/2006/relationships/hyperlink" Target="https://vt.tiktok.com/ZS9Ndjhyu/" TargetMode="External"/><Relationship Id="rId1601" Type="http://schemas.openxmlformats.org/officeDocument/2006/relationships/hyperlink" Target="https://www.tiktok.com/@ratnaharyono_" TargetMode="External"/><Relationship Id="rId2932" Type="http://schemas.openxmlformats.org/officeDocument/2006/relationships/hyperlink" Target="https://www.tiktok.com/@taa0205" TargetMode="External"/><Relationship Id="rId1602" Type="http://schemas.openxmlformats.org/officeDocument/2006/relationships/hyperlink" Target="https://vt.tiktok.com/ZS9WMAgsk/" TargetMode="External"/><Relationship Id="rId2933" Type="http://schemas.openxmlformats.org/officeDocument/2006/relationships/hyperlink" Target="https://vt.tiktok.com/ZS9NJEmB9/" TargetMode="External"/><Relationship Id="rId1603" Type="http://schemas.openxmlformats.org/officeDocument/2006/relationships/hyperlink" Target="https://vt.tiktok.com/ZS9WMACdD/" TargetMode="External"/><Relationship Id="rId2934" Type="http://schemas.openxmlformats.org/officeDocument/2006/relationships/hyperlink" Target="https://www.tiktok.com/@berkah.glosir/video/7636470323394694420?_r=1&amp;u_code=e4hbm162fcgeg9&amp;region=&amp;mid=7626899689086520072&amp;preview_pb=0&amp;sharer_language=&amp;_d=0&amp;ec_shared_reflux_dynamic_params=%7B%22placeholder_material_id%22%3A%227636470323394694420%22%2C%22placeholder_origin_cover%22%3A%22https%253A%252F%252Fp16-common-sign.tiktokcdn.com%252Ftos-alisg-p-0037%252FosuDSFTQ0PnGoCUYAV4qGeINLIAjHC9eeclh4Q~tplv-tiktokx-origin.jpeg%253Fdr%253D14572%2526refresh_token%253D3614de57%2526x-expires%253D1810116000%2526x-signature%253DGb7KUJrfsuLXBEQ2QOFnMdtykvU%25253D%2526t%253D4d5b0474%2526ps%253D13740610%2526shp%253Dd05b14bd%2526shcp%253D34ff8df6%2526idc%253Dmy2%2526s%253DTIKTOK_AFFILIATE_VIRAL_VIDEO%22%2C%22placeholder_product_id%22%3A%221729729730555512511%22%2C%22placeholder_video_id%22%3A%227636470323394694420%22%7D&amp;ec_shared_reflux_scene=shop_tab_feed&amp;share_item_id=7636470323394694420&amp;source=h5_t" TargetMode="External"/><Relationship Id="rId1604" Type="http://schemas.openxmlformats.org/officeDocument/2006/relationships/hyperlink" Target="https://vt.tiktok.com/ZS9WMPWu7/" TargetMode="External"/><Relationship Id="rId2935" Type="http://schemas.openxmlformats.org/officeDocument/2006/relationships/hyperlink" Target="https://www.tiktok.com/@missikkarusyani" TargetMode="External"/><Relationship Id="rId1605" Type="http://schemas.openxmlformats.org/officeDocument/2006/relationships/hyperlink" Target="https://www.tiktok.com/@kakput10" TargetMode="External"/><Relationship Id="rId2936" Type="http://schemas.openxmlformats.org/officeDocument/2006/relationships/hyperlink" Target="https://www.tiktok.com/@berkah.glosir/video/7636468767261871381?_r=1&amp;u_code=e4hbm162fcgeg9&amp;region=&amp;mid=7632577313817447189&amp;preview_pb=0&amp;sharer_language=&amp;_d=0&amp;ec_shared_reflux_dynamic_params=%7B%22placeholder_material_id%22%3A%227636468767261871381%22%2C%22placeholder_origin_cover%22%3A%22https%253A%252F%252Fp16-common-sign.tiktokcdn.com%252Ftos-alisg-p-0037%252FoIn94QiQDOAeFCXXAEfeA3DI2FiBZTDItoKjC0~tplv-tiktokx-origin.jpeg%253Fdr%253D14572%2526refresh_token%253Dfae1e184%2526x-expires%253D1810116000%2526x-signature%253DMn0NLomfqXKjTdxTKFsBLHa0Cao%25253D%2526t%253D4d5b0474%2526ps%253D13740610%2526shp%253Dd05b14bd%2526shcp%253D34ff8df6%2526idc%253Dmy2%2526s%253DTIKTOK_AFFILIATE_VIRAL_VIDEO%22%2C%22placeholder_product_id%22%3A%221729729730555512511%22%2C%22placeholder_video_id%22%3A%227636468767261871381%22%7D&amp;ec_shared_reflux_scene=shop_tab_feed&amp;share_item_id=7636468767261871381&amp;source=h5_t" TargetMode="External"/><Relationship Id="rId1606" Type="http://schemas.openxmlformats.org/officeDocument/2006/relationships/hyperlink" Target="https://vt.tiktok.com/ZSHd5DdYd/" TargetMode="External"/><Relationship Id="rId2937" Type="http://schemas.openxmlformats.org/officeDocument/2006/relationships/hyperlink" Target="https://vt.tiktok.com/ZS9MefkSm/" TargetMode="External"/><Relationship Id="rId1607" Type="http://schemas.openxmlformats.org/officeDocument/2006/relationships/hyperlink" Target="https://vt.tiktok.com/ZSHd5Uo9T/" TargetMode="External"/><Relationship Id="rId2938" Type="http://schemas.openxmlformats.org/officeDocument/2006/relationships/hyperlink" Target="https://vt.tiktok.com/ZS9MeyeRS/" TargetMode="External"/><Relationship Id="rId1608" Type="http://schemas.openxmlformats.org/officeDocument/2006/relationships/hyperlink" Target="https://vt.tiktok.com/ZSH8mBvaS/" TargetMode="External"/><Relationship Id="rId2939" Type="http://schemas.openxmlformats.org/officeDocument/2006/relationships/hyperlink" Target="https://www.tiktok.com/@racuntiktokshop_8" TargetMode="External"/><Relationship Id="rId1609" Type="http://schemas.openxmlformats.org/officeDocument/2006/relationships/hyperlink" Target="https://vt.tiktok.com/ZSH2L8tq1/" TargetMode="External"/><Relationship Id="rId1631" Type="http://schemas.openxmlformats.org/officeDocument/2006/relationships/hyperlink" Target="https://vt.tiktok.com/ZS9GdW4EC/" TargetMode="External"/><Relationship Id="rId2962" Type="http://schemas.openxmlformats.org/officeDocument/2006/relationships/hyperlink" Target="https://www.tiktok.com/@berkah.glosir/video/7636413125150936341?_r=1&amp;u_code=e4hbm162fcgeg9&amp;region=&amp;mid=7594458609477388289&amp;preview_pb=0&amp;sharer_language=&amp;_d=0&amp;ec_shared_reflux_dynamic_params=%7B%22placeholder_material_id%22%3A%227636413125150936341%22%2C%22placeholder_origin_cover%22%3A%22https%253A%252F%252Fp16-common-sign.tiktokcdn.com%252Ftos-alisg-p-0037%252FoMTB3A4QgzAOhfNfiDA7Bztgj0ee4PzWYHMfLq~tplv-tiktokx-origin.jpeg%253Fdr%253D14572%2526refresh_token%253De0fb2677%2526x-expires%253D1810116000%2526x-signature%253Dviq5f7NZVWmHfPBShJvfMe5BruA%25253D%2526t%253D4d5b0474%2526ps%253D13740610%2526shp%253Dd05b14bd%2526shcp%253D34ff8df6%2526idc%253Dmy2%2526s%253DTIKTOK_AFFILIATE_VIRAL_VIDEO%22%2C%22placeholder_product_id%22%3A%221729729730555512511%22%2C%22placeholder_video_id%22%3A%227636413125150936341%22%7D&amp;ec_shared_reflux_scene=shop_tab_feed&amp;share_item_id=7636413125150936341&amp;source=h5_t" TargetMode="External"/><Relationship Id="rId1632" Type="http://schemas.openxmlformats.org/officeDocument/2006/relationships/hyperlink" Target="https://www.tiktok.com/@cllliyy" TargetMode="External"/><Relationship Id="rId2963" Type="http://schemas.openxmlformats.org/officeDocument/2006/relationships/hyperlink" Target="https://www.tiktok.com/@berkah.glosir/video/7636412685579455764?_r=1&amp;u_code=e4hbm162fcgeg9&amp;region=&amp;mid=7631490590651468565&amp;preview_pb=0&amp;sharer_language=&amp;_d=0&amp;ec_shared_reflux_dynamic_params=%7B%22placeholder_material_id%22%3A%227636412685579455764%22%2C%22placeholder_origin_cover%22%3A%22https%253A%252F%252Fp16-common-sign.tiktokcdn.com%252Ftos-alisg-p-0037%252FoM3Wef5RYAfcBnzIAnsNgINT9L4ePDMBgkAfiz~tplv-tiktokx-origin.jpeg%253Fdr%253D14572%2526refresh_token%253D0b3bdf62%2526x-expires%253D1810116000%2526x-signature%253DMHLUg4YQk93PdFT2vBGhZT%25252BGr5M%25253D%2526t%253D4d5b0474%2526ps%253D13740610%2526shp%253Dd05b14bd%2526shcp%253D34ff8df6%2526idc%253Dmy2%2526s%253DTIKTOK_AFFILIATE_VIRAL_VIDEO%22%2C%22placeholder_product_id%22%3A%221729729730555512511%22%2C%22placeholder_video_id%22%3A%227636412685579455764%22%7D&amp;ec_shared_reflux_scene=shop_tab_feed&amp;share_item_id=7636412685579455764&amp;source=h5_t" TargetMode="External"/><Relationship Id="rId1633" Type="http://schemas.openxmlformats.org/officeDocument/2006/relationships/hyperlink" Target="https://vt.tiktok.com/ZSHaWnd1X/" TargetMode="External"/><Relationship Id="rId2964" Type="http://schemas.openxmlformats.org/officeDocument/2006/relationships/hyperlink" Target="about:blank" TargetMode="External"/><Relationship Id="rId1634" Type="http://schemas.openxmlformats.org/officeDocument/2006/relationships/hyperlink" Target="https://vt.tiktok.com/ZSHaWoHDa/" TargetMode="External"/><Relationship Id="rId2965" Type="http://schemas.openxmlformats.org/officeDocument/2006/relationships/hyperlink" Target="https://www.tiktok.com/@_viona.na" TargetMode="External"/><Relationship Id="rId1635" Type="http://schemas.openxmlformats.org/officeDocument/2006/relationships/hyperlink" Target="https://vt.tiktok.com/ZSHXNty3T/" TargetMode="External"/><Relationship Id="rId2966" Type="http://schemas.openxmlformats.org/officeDocument/2006/relationships/hyperlink" Target="https://www.tiktok.com/@berkah.glosir/video/7633018506686041365" TargetMode="External"/><Relationship Id="rId1636" Type="http://schemas.openxmlformats.org/officeDocument/2006/relationships/hyperlink" Target="https://vt.tiktok.com/ZSHpht7VV/" TargetMode="External"/><Relationship Id="rId2967" Type="http://schemas.openxmlformats.org/officeDocument/2006/relationships/hyperlink" Target="https://www.tiktok.com/@berkah.glosir/video/7636411683291909396?_r=1&amp;u_code=e4hbm162fcgeg9&amp;region=&amp;mid=7211190087604914949&amp;preview_pb=0&amp;sharer_language=&amp;_d=0&amp;ec_shared_reflux_dynamic_params=%7B%22placeholder_material_id%22%3A%227636411683291909396%22%2C%22placeholder_origin_cover%22%3A%22https%253A%252F%252Fp16-common-sign.tiktokcdn.com%252Ftos-alisg-p-0037%252FoUgzgFGHGfM5ARMniXHw8foEIaFRtQfAwWfAFm~tplv-tiktokx-origin.jpeg%253Fdr%253D14572%2526refresh_token%253D0a53b323%2526x-expires%253D1810116000%2526x-signature%253D9J31jdDq4GGVy4A3FS1G%25252F55jgak%25253D%2526t%253D4d5b0474%2526ps%253D13740610%2526shp%253Dd05b14bd%2526shcp%253D34ff8df6%2526idc%253Dmy2%2526s%253DTIKTOK_AFFILIATE_VIRAL_VIDEO%22%2C%22placeholder_product_id%22%3A%221729729730555512511%22%2C%22placeholder_video_id%22%3A%227636411683291909396%22%7D&amp;ec_shared_reflux_scene=shop_tab_feed&amp;share_item_id=7636411683291909396&amp;source=h5_t" TargetMode="External"/><Relationship Id="rId1637" Type="http://schemas.openxmlformats.org/officeDocument/2006/relationships/hyperlink" Target="https://www.tiktok.com/@panjilesmana350" TargetMode="External"/><Relationship Id="rId2968" Type="http://schemas.openxmlformats.org/officeDocument/2006/relationships/hyperlink" Target="https://www.tiktok.com/@berkah.glosir/video/7636409880567532821?_r=1&amp;u_code=e4hbm162fcgeg9&amp;region=&amp;mid=7636409920023366418&amp;preview_pb=0&amp;sharer_language=&amp;_d=0&amp;ec_shared_reflux_dynamic_params=%7B%22placeholder_material_id%22%3A%227636409880567532821%22%2C%22placeholder_origin_cover%22%3A%22https%253A%252F%252Fp16-common-sign.tiktokcdn.com%252Ftos-alisg-p-0037%252FoUfGefQ48CDF6NyQDQTArdA5kPoAlTo1DIjzEX~tplv-tiktokx-origin.jpeg%253Fdr%253D14572%2526refresh_token%253D9f33d7d8%2526x-expires%253D1810116000%2526x-signature%253DAt7px8vzcuU7h7tUqHK8Unv4n%25252BE%25253D%2526t%253D4d5b0474%2526ps%253D13740610%2526shp%253Dd05b14bd%2526shcp%253D34ff8df6%2526idc%253Dmy2%2526s%253DTIKTOK_AFFILIATE_VIRAL_VIDEO%22%2C%22placeholder_product_id%22%3A%221729729730555512511%22%2C%22placeholder_video_id%22%3A%227636409880567532821%22%7D&amp;ec_shared_reflux_scene=shop_tab_feed&amp;share_item_id=7636409880567532821&amp;source=h5_t" TargetMode="External"/><Relationship Id="rId1638" Type="http://schemas.openxmlformats.org/officeDocument/2006/relationships/hyperlink" Target="https://www.tiktok.com/@panjilesmana350/video/7630715631486176520" TargetMode="External"/><Relationship Id="rId2969" Type="http://schemas.openxmlformats.org/officeDocument/2006/relationships/hyperlink" Target="https://www.tiktok.com/@berkah.glosir/video/7636410470756404501?_r=1&amp;u_code=e4hbm162fcgeg9&amp;region=&amp;mid=7636410531414412053&amp;preview_pb=0&amp;sharer_language=&amp;_d=0&amp;ec_shared_reflux_dynamic_params=%7B%22placeholder_material_id%22%3A%227636410470756404501%22%2C%22placeholder_origin_cover%22%3A%22https%253A%252F%252Fp16-common-sign.tiktokcdn.com%252Ftos-alisg-p-0037%252Fo4fFfplenz6nLGApgUuAGegGAI1RwYFjTx5ZgV~tplv-tiktokx-origin.jpeg%253Fdr%253D14572%2526refresh_token%253D352f2507%2526x-expires%253D1810116000%2526x-signature%253DXZZsQZnLKZtHf6G3hyHUIcAvlcQ%25253D%2526t%253D4d5b0474%2526ps%253D13740610%2526shp%253Dd05b14bd%2526shcp%253D34ff8df6%2526idc%253Dmy2%2526s%253DTIKTOK_AFFILIATE_VIRAL_VIDEO%22%2C%22placeholder_product_id%22%3A%221729729730555512511%22%2C%22placeholder_video_id%22%3A%227636410470756404501%22%7D&amp;ec_shared_reflux_scene=shop_tab_feed&amp;share_item_id=7636410470756404501&amp;source=h5_t" TargetMode="External"/><Relationship Id="rId929" Type="http://schemas.openxmlformats.org/officeDocument/2006/relationships/hyperlink" Target="https://vt.tiktok.com/ZSHpMTC2p/" TargetMode="External"/><Relationship Id="rId1639" Type="http://schemas.openxmlformats.org/officeDocument/2006/relationships/hyperlink" Target="https://www.tiktok.com/@panjilesmana350/video/7631751588318563592" TargetMode="External"/><Relationship Id="rId928" Type="http://schemas.openxmlformats.org/officeDocument/2006/relationships/hyperlink" Target="https://vt.tiktok.com/ZSHPpQkcf/" TargetMode="External"/><Relationship Id="rId927" Type="http://schemas.openxmlformats.org/officeDocument/2006/relationships/hyperlink" Target="https://vt.tiktok.com/ZSHPdD1ja/" TargetMode="External"/><Relationship Id="rId926" Type="http://schemas.openxmlformats.org/officeDocument/2006/relationships/hyperlink" Target="https://www.tiktok.com/@bangfine_" TargetMode="External"/><Relationship Id="rId921" Type="http://schemas.openxmlformats.org/officeDocument/2006/relationships/hyperlink" Target="https://vt.tiktok.com/ZSuDPppTS/" TargetMode="External"/><Relationship Id="rId920" Type="http://schemas.openxmlformats.org/officeDocument/2006/relationships/hyperlink" Target="https://www.tiktok.com/@thonesachw" TargetMode="External"/><Relationship Id="rId925" Type="http://schemas.openxmlformats.org/officeDocument/2006/relationships/hyperlink" Target="https://www.tiktok.com/@erwinmuter" TargetMode="External"/><Relationship Id="rId924" Type="http://schemas.openxmlformats.org/officeDocument/2006/relationships/hyperlink" Target="https://vt.tiktok.com/ZS9dXQErf/" TargetMode="External"/><Relationship Id="rId923" Type="http://schemas.openxmlformats.org/officeDocument/2006/relationships/hyperlink" Target="https://vt.tiktok.com/ZSHFSWM2a/" TargetMode="External"/><Relationship Id="rId922" Type="http://schemas.openxmlformats.org/officeDocument/2006/relationships/hyperlink" Target="https://vt.tiktok.com/ZSHFSQRfh/" TargetMode="External"/><Relationship Id="rId2960" Type="http://schemas.openxmlformats.org/officeDocument/2006/relationships/hyperlink" Target="https://www.tiktok.com/@berkah.glosir/video/7633017502989143316" TargetMode="External"/><Relationship Id="rId1630" Type="http://schemas.openxmlformats.org/officeDocument/2006/relationships/hyperlink" Target="https://vt.tiktok.com/ZS9GdKW5o/" TargetMode="External"/><Relationship Id="rId2961" Type="http://schemas.openxmlformats.org/officeDocument/2006/relationships/hyperlink" Target="https://www.tiktok.com/@berkah.glosir/video/7636417086486498580?_r=1&amp;u_code=e4hbm162fcgeg9&amp;region=&amp;mid=7552778804263996172&amp;preview_pb=0&amp;sharer_language=&amp;_d=0&amp;ec_shared_reflux_dynamic_params=%7B%22placeholder_material_id%22%3A%227636417086486498580%22%2C%22placeholder_origin_cover%22%3A%22https%253A%252F%252Fp16-common-sign.tiktokcdn.com%252Ftos-alisg-p-0037%252FosQT6TnIACAfIAjqeMQAnLIDFAGrq9DnoesHO4~tplv-tiktokx-origin.jpeg%253Fdr%253D14572%2526refresh_token%253D9265ccb3%2526x-expires%253D1810116000%2526x-signature%253Dn0oQvPUz%25252BRkOTSG1DiNLq1Gxyec%25253D%2526t%253D4d5b0474%2526ps%253D13740610%2526shp%253Dd05b14bd%2526shcp%253D34ff8df6%2526idc%253Dmy2%2526s%253DTIKTOK_AFFILIATE_VIRAL_VIDEO%22%2C%22placeholder_product_id%22%3A%221729729730555512511%22%2C%22placeholder_video_id%22%3A%227636417086486498580%22%7D&amp;ec_shared_reflux_scene=shop_tab_feed&amp;share_item_id=7636417086486498580&amp;source=h5_t" TargetMode="External"/><Relationship Id="rId1620" Type="http://schemas.openxmlformats.org/officeDocument/2006/relationships/hyperlink" Target="https://www.tiktok.com/@lohshindy" TargetMode="External"/><Relationship Id="rId2951" Type="http://schemas.openxmlformats.org/officeDocument/2006/relationships/hyperlink" Target="https://www.tiktok.com/@berkah.glosir/video/7636451859254775060?_r=1&amp;u_code=e4hbm162fcgeg9&amp;region=&amp;mid=7597435345913317393&amp;preview_pb=0&amp;sharer_language=&amp;_d=0&amp;ec_shared_reflux_dynamic_params=%7B%22placeholder_material_id%22%3A%227636451859254775060%22%2C%22placeholder_origin_cover%22%3A%22https%253A%252F%252Fp19-common-sign.tiktokcdn.com%252Ftos-alisg-p-0037%252FoU76g0mDikHoAiRvBCuIwwAIqcEfAAB0CIIvIR~tplv-tiktokx-origin.jpeg%253Fdr%253D14572%2526refresh_token%253D5648ec95%2526x-expires%253D1810116000%2526x-signature%253DK0CCK08BLRzMblD83y%25252B16TT4QwM%25253D%2526t%253D4d5b0474%2526ps%253D13740610%2526shp%253Dd05b14bd%2526shcp%253D34ff8df6%2526idc%253Dmy2%2526s%253DTIKTOK_AFFILIATE_VIRAL_VIDEO%22%2C%22placeholder_product_id%22%3A%221729729730555512511%22%2C%22placeholder_video_id%22%3A%227636451859254775060%22%7D&amp;ec_shared_reflux_scene=shop_tab_feed&amp;share_item_id=7636451859254775060&amp;source=h5_t" TargetMode="External"/><Relationship Id="rId1621" Type="http://schemas.openxmlformats.org/officeDocument/2006/relationships/hyperlink" Target="https://vt.tiktok.com/ZSH2sEc8r/" TargetMode="External"/><Relationship Id="rId2952" Type="http://schemas.openxmlformats.org/officeDocument/2006/relationships/hyperlink" Target="https://www.tiktok.com/@berkah.glosir/video/7636451083144989973?_d=0&amp;_r=1&amp;ec_shared_reflux_dynamic_params=%7B%22placeholder_material_id%22%3A%227636451083144989973%22%2C%22placeholder_origin_cover%22%3A%22https%253A%252F%252Fp16-common-sign.tiktokcdn.com%252Ftos-alisg-p-0037%252Fog99IJidHPcpTM46BBBAIff0RPpgHBrEpQi3Pu~tplv-tiktokx-origin.jpeg%253Fdr%253D14572%2526refresh_token%253D58ef6cd3%2526x-expires%253D1810116000%2526x-signature%253DOOyu4e%25252FUF5HI4P1TMOXLOD5WvFk%25253D%2526t%253D4d5b0474%2526ps%253D13740610%2526shp%253Dd05b14bd%2526shcp%253D34ff8df6%2526idc%253Dmy2%2526s%253DTIKTOK_AFFILIATE_VIRAL_VIDEO%22%2C%22placeholder_product_id%22%3A%221729729730555512511%22%2C%22placeholder_video_id%22%3A%227636451083144989973%22%7D&amp;ec_shared_reflux_scene=shop_tab_feed&amp;mid=7606071400499628049&amp;preview_pb=0&amp;region=&amp;share_item_id=7636451083144989973&amp;sharer_language=&amp;source=h5_t&amp;u_code=e4hbm162fcgeg9" TargetMode="External"/><Relationship Id="rId1622" Type="http://schemas.openxmlformats.org/officeDocument/2006/relationships/hyperlink" Target="https://vt.tiktok.com/ZSxXJyx6C/" TargetMode="External"/><Relationship Id="rId2953" Type="http://schemas.openxmlformats.org/officeDocument/2006/relationships/hyperlink" Target="https://www.tiktok.com/@berkah.glosir/video/7636450792609778965?_r=1&amp;u_code=e4hbm162fcgeg9&amp;region=&amp;mid=7507772951459432464&amp;preview_pb=0&amp;sharer_language=&amp;_d=0&amp;ec_shared_reflux_dynamic_params=%7B%22placeholder_material_id%22%3A%227636450792609778965%22%2C%22placeholder_origin_cover%22%3A%22https%253A%252F%252Fp16-common-sign.tiktokcdn.com%252Ftos-alisg-p-0037%252FoACDjmDH9PDf7rBk6BoR4XfEBkeFIIT5DIAA5l~tplv-tiktokx-origin.jpeg%253Fdr%253D14572%2526refresh_token%253D6d8149f0%2526x-expires%253D1810116000%2526x-signature%253Dj3zLKDMwb%25252BRnk3NYQDCB%25252BfM8jxU%25253D%2526t%253D4d5b0474%2526ps%253D13740610%2526shp%253Dd05b14bd%2526shcp%253D34ff8df6%2526idc%253Dmy2%2526s%253DTIKTOK_AFFILIATE_VIRAL_VIDEO%22%2C%22placeholder_product_id%22%3A%221729729730555512511%22%2C%22placeholder_video_id%22%3A%227636450792609778965%22%7D&amp;ec_shared_reflux_scene=shop_tab_feed&amp;share_item_id=7636450792609778965&amp;source=h5_t" TargetMode="External"/><Relationship Id="rId1623" Type="http://schemas.openxmlformats.org/officeDocument/2006/relationships/hyperlink" Target="https://www.tiktok.com/@io_morhis" TargetMode="External"/><Relationship Id="rId2954" Type="http://schemas.openxmlformats.org/officeDocument/2006/relationships/hyperlink" Target="https://www.tiktok.com/@astriyuspita" TargetMode="External"/><Relationship Id="rId1624" Type="http://schemas.openxmlformats.org/officeDocument/2006/relationships/hyperlink" Target="https://www.tiktok.com/@io_morhis/video/7628465742043778312?is_from_webapp=1&amp;sender_device=pc" TargetMode="External"/><Relationship Id="rId2955" Type="http://schemas.openxmlformats.org/officeDocument/2006/relationships/hyperlink" Target="https://vt.tiktok.com/ZS9MeSUh2/" TargetMode="External"/><Relationship Id="rId1625" Type="http://schemas.openxmlformats.org/officeDocument/2006/relationships/hyperlink" Target="https://www.tiktok.com/@kania_angelo" TargetMode="External"/><Relationship Id="rId2956" Type="http://schemas.openxmlformats.org/officeDocument/2006/relationships/hyperlink" Target="https://vt.tiktok.com/ZS9MeS4Jm/" TargetMode="External"/><Relationship Id="rId1626" Type="http://schemas.openxmlformats.org/officeDocument/2006/relationships/hyperlink" Target="https://www.tiktok.com/@kania_angelo/video/7626726469120560405?is_from_webapp=1&amp;sender_device=pc" TargetMode="External"/><Relationship Id="rId2957" Type="http://schemas.openxmlformats.org/officeDocument/2006/relationships/hyperlink" Target="https://www.tiktok.com/@berkah.glosir/video/7636450536123829524?_r=1&amp;u_code=e4hbm162fcgeg9&amp;region=&amp;mid=7602095680596806421&amp;preview_pb=0&amp;sharer_language=&amp;_d=0&amp;ec_shared_reflux_dynamic_params=%7B%22placeholder_material_id%22%3A%227636450536123829524%22%2C%22placeholder_origin_cover%22%3A%22https%253A%252F%252Fp16-common-sign.tiktokcdn.com%252Ftos-alisg-p-0037%252FoEg0nhA9fAQoNfX1DDrTjeC8PEDgFE10VD0Q8v~tplv-tiktokx-origin.jpeg%253Fdr%253D14572%2526refresh_token%253Deb021147%2526x-expires%253D1810116000%2526x-signature%253D8CL3jc1ahbt%25252B5%25252FrALD6a1Nm3HZg%25253D%2526t%253D4d5b0474%2526ps%253D13740610%2526shp%253Dd05b14bd%2526shcp%253D34ff8df6%2526idc%253Dmy2%2526s%253DTIKTOK_AFFILIATE_VIRAL_VIDEO%22%2C%22placeholder_product_id%22%3A%221729729730555512511%22%2C%22placeholder_video_id%22%3A%227636450536123829524%22%7D&amp;ec_shared_reflux_scene=shop_tab_feed&amp;share_item_id=7636450536123829524&amp;source=h5_t" TargetMode="External"/><Relationship Id="rId1627" Type="http://schemas.openxmlformats.org/officeDocument/2006/relationships/hyperlink" Target="https://www.tiktok.com/@yustikaa25" TargetMode="External"/><Relationship Id="rId2958" Type="http://schemas.openxmlformats.org/officeDocument/2006/relationships/hyperlink" Target="https://www.tiktok.com/@berkah.glosir/video/7636449215706680596?_r=1&amp;u_code=e4hbm162fcgeg9&amp;region=&amp;mid=7606071400499628049&amp;preview_pb=0&amp;sharer_language=&amp;_d=0&amp;ec_shared_reflux_dynamic_params=%7B%22placeholder_material_id%22%3A%227636449215706680596%22%2C%22placeholder_origin_cover%22%3A%22https%253A%252F%252Fp16-common-sign.tiktokcdn.com%252Ftos-alisg-p-0037%252FoAdNOMDkIFA3IMCeQBE41HIiDehFfjh6T7ibAu~tplv-tiktokx-origin.jpeg%253Fdr%253D14572%2526refresh_token%253D6a97a410%2526x-expires%253D1810116000%2526x-signature%253DqhKtYxBaBTF6pXy5mnResxACyrQ%25253D%2526t%253D4d5b0474%2526ps%253D13740610%2526shp%253Dd05b14bd%2526shcp%253D34ff8df6%2526idc%253Dmy2%2526s%253DTIKTOK_AFFILIATE_VIRAL_VIDEO%22%2C%22placeholder_product_id%22%3A%221729729730555512511%22%2C%22placeholder_video_id%22%3A%227636449215706680596%22%7D&amp;ec_shared_reflux_scene=shop_tab_feed&amp;share_item_id=7636449215706680596&amp;source=h5_t" TargetMode="External"/><Relationship Id="rId918" Type="http://schemas.openxmlformats.org/officeDocument/2006/relationships/hyperlink" Target="https://vt.tiktok.com/ZS9qrd86U/" TargetMode="External"/><Relationship Id="rId1628" Type="http://schemas.openxmlformats.org/officeDocument/2006/relationships/hyperlink" Target="https://vt.tiktok.com/ZSHd5b5Su/" TargetMode="External"/><Relationship Id="rId2959" Type="http://schemas.openxmlformats.org/officeDocument/2006/relationships/hyperlink" Target="https://www.tiktok.com/@rna.shaaaa" TargetMode="External"/><Relationship Id="rId917" Type="http://schemas.openxmlformats.org/officeDocument/2006/relationships/hyperlink" Target="https://vt.tiktok.com/ZS9qMgAno/" TargetMode="External"/><Relationship Id="rId1629" Type="http://schemas.openxmlformats.org/officeDocument/2006/relationships/hyperlink" Target="https://vt.tiktok.com/ZSHd5bXv6/" TargetMode="External"/><Relationship Id="rId916" Type="http://schemas.openxmlformats.org/officeDocument/2006/relationships/hyperlink" Target="https://vt.tiktok.com/ZS9qMTyo6/" TargetMode="External"/><Relationship Id="rId915" Type="http://schemas.openxmlformats.org/officeDocument/2006/relationships/hyperlink" Target="https://www.tiktok.com/@vivikimss" TargetMode="External"/><Relationship Id="rId919" Type="http://schemas.openxmlformats.org/officeDocument/2006/relationships/hyperlink" Target="https://vt.tiktok.com/ZS9qMn9Au/" TargetMode="External"/><Relationship Id="rId910" Type="http://schemas.openxmlformats.org/officeDocument/2006/relationships/hyperlink" Target="https://www.tiktok.com/@miikaylahafizah" TargetMode="External"/><Relationship Id="rId914" Type="http://schemas.openxmlformats.org/officeDocument/2006/relationships/hyperlink" Target="https://www.tiktok.com/@nina_kadier/video/7624545745886088466?is_from_webapp=1&amp;sender_device=pc" TargetMode="External"/><Relationship Id="rId913" Type="http://schemas.openxmlformats.org/officeDocument/2006/relationships/hyperlink" Target="https://www.tiktok.com/@nina_kadier/video/7623623080400915719?is_from_webapp=1&amp;sender_device=pc" TargetMode="External"/><Relationship Id="rId912" Type="http://schemas.openxmlformats.org/officeDocument/2006/relationships/hyperlink" Target="https://www.tiktok.com/@nina_kadier/video/7623047762770201864?is_from_webapp=1&amp;sender_device=pc" TargetMode="External"/><Relationship Id="rId911" Type="http://schemas.openxmlformats.org/officeDocument/2006/relationships/hyperlink" Target="https://www.tiktok.com/@nina_kadier/video/7621964723227036935?is_from_webapp=1&amp;sender_device=pc" TargetMode="External"/><Relationship Id="rId2950" Type="http://schemas.openxmlformats.org/officeDocument/2006/relationships/hyperlink" Target="https://www.tiktok.com/@berkah.glosir/video/7636468767261871381?_r=1&amp;u_code=e4hbm162fcgeg9&amp;region=&amp;mid=7632577313817447189&amp;preview_pb=0&amp;sharer_language=&amp;_d=0&amp;ec_shared_reflux_dynamic_params=%7B%22placeholder_material_id%22%3A%227636468767261871381%22%2C%22placeholder_origin_cover%22%3A%22https%253A%252F%252Fp16-common-sign.tiktokcdn.com%252Ftos-alisg-p-0037%252FoIn94QiQDOAeFCXXAEfeA3DI2FiBZTDItoKjC0~tplv-tiktokx-origin.jpeg%253Fdr%253D14572%2526refresh_token%253Dfae1e184%2526x-expires%253D1810116000%2526x-signature%253DMn0NLomfqXKjTdxTKFsBLHa0Cao%25253D%2526t%253D4d5b0474%2526ps%253D13740610%2526shp%253Dd05b14bd%2526shcp%253D34ff8df6%2526idc%253Dmy2%2526s%253DTIKTOK_AFFILIATE_VIRAL_VIDEO%22%2C%22placeholder_product_id%22%3A%221729729730555512511%22%2C%22placeholder_video_id%22%3A%227636468767261871381%22%7D&amp;ec_shared_reflux_scene=shop_tab_feed&amp;share_item_id=7636468767261871381&amp;source=h5_t" TargetMode="External"/><Relationship Id="rId2900" Type="http://schemas.openxmlformats.org/officeDocument/2006/relationships/hyperlink" Target="https://vt.tiktok.com/ZS9NkaAf2/" TargetMode="External"/><Relationship Id="rId2901" Type="http://schemas.openxmlformats.org/officeDocument/2006/relationships/hyperlink" Target="https://vt.tiktok.com/ZS9NJaKkq/" TargetMode="External"/><Relationship Id="rId2902" Type="http://schemas.openxmlformats.org/officeDocument/2006/relationships/hyperlink" Target="https://www.tiktok.com/@ade.imavid" TargetMode="External"/><Relationship Id="rId2903" Type="http://schemas.openxmlformats.org/officeDocument/2006/relationships/hyperlink" Target="https://vt.tiktok.com/ZS9RoJAda/" TargetMode="External"/><Relationship Id="rId2904" Type="http://schemas.openxmlformats.org/officeDocument/2006/relationships/hyperlink" Target="https://vt.tiktok.com/ZS9RwQ5Jp/" TargetMode="External"/><Relationship Id="rId2905" Type="http://schemas.openxmlformats.org/officeDocument/2006/relationships/hyperlink" Target="https://www.tiktok.com/@berkah.glosir/video/7638065258686434580?_r=1&amp;u_code=e4hbm162fcgeg9&amp;region=&amp;mid=7484220141312412433&amp;preview_pb=0&amp;sharer_language=&amp;_d=0&amp;ec_shared_reflux_dynamic_params=%7B%22placeholder_material_id%22%3A%227638065258686434580%22%2C%22placeholder_origin_cover%22%3A%22https%253A%252F%252Fp16-common-sign.tiktokcdn.com%252Ftos-alisg-p-0037%252FoUr2eeAGVg8tf3WPAIHKgtgf44ivULMgjYENfs~tplv-tiktokx-origin.jpeg%253Fdr%253D14572%2526refresh_token%253D28b8ab1a%2526x-expires%253D1810116000%2526x-signature%253DmEEdj1S2t0kR5UgqxCn25Xs9oX4%25253D%2526t%253D4d5b0474%2526ps%253D13740610%2526shp%253Dd05b14bd%2526shcp%253D34ff8df6%2526idc%253Dmy2%2526s%253DTIKTOK_AFFILIATE_VIRAL_VIDEO%22%2C%22placeholder_product_id%22%3A%221729729730555512511%22%2C%22placeholder_video_id%22%3A%227638065258686434580%22%7D&amp;ec_shared_reflux_scene=shop_tab_feed&amp;share_item_id=7638065258686434580&amp;source=h5_t" TargetMode="External"/><Relationship Id="rId2906" Type="http://schemas.openxmlformats.org/officeDocument/2006/relationships/hyperlink" Target="https://www.tiktok.com/@berkah.glosir/video/7636990117978197269?_r=1&amp;u_code=e4hbm162fcgeg9&amp;region=&amp;mid=7507772951459432464&amp;preview_pb=0&amp;sharer_language=&amp;_d=0&amp;ec_shared_reflux_dynamic_params=%7B%22placeholder_material_id%22%3A%227636990117978197269%22%2C%22placeholder_origin_cover%22%3A%22https%253A%252F%252Fp16-common-sign.tiktokcdn.com%252Ftos-alisg-p-0037%252FoQIE80LCTAw7rwIC67IAbiiAKCBi7fBLyPKDiu~tplv-tiktokx-origin.jpeg%253Fdr%253D14572%2526refresh_token%253Dcfc67bb2%2526x-expires%253D1810116000%2526x-signature%253D0NAPwS2LlqJ3KEh%25252FsR64AKgWToQ%25253D%2526t%253D4d5b0474%2526ps%253D13740610%2526shp%253Dd05b14bd%2526shcp%253D34ff8df6%2526idc%253Dmy2%2526s%253DTIKTOK_AFFILIATE_VIRAL_VIDEO%22%2C%22placeholder_product_id%22%3A%221729729730555512511%22%2C%22placeholder_video_id%22%3A%227636990117978197269%22%7D&amp;ec_shared_reflux_scene=shop_tab_feed&amp;share_item_id=7636990117978197269&amp;source=h5_t" TargetMode="External"/><Relationship Id="rId2907" Type="http://schemas.openxmlformats.org/officeDocument/2006/relationships/hyperlink" Target="https://www.tiktok.com/@elliemarcell" TargetMode="External"/><Relationship Id="rId2908" Type="http://schemas.openxmlformats.org/officeDocument/2006/relationships/hyperlink" Target="https://www.tiktok.com/@berkah.glosir/video/7636989671297404180?_r=1&amp;u_code=e4hbm162fcgeg9&amp;region=&amp;mid=7624040809125464840&amp;preview_pb=0&amp;sharer_language=&amp;_d=0&amp;ec_shared_reflux_dynamic_params=%7B%22placeholder_material_id%22%3A%227636989671297404180%22%2C%22placeholder_origin_cover%22%3A%22https%253A%252F%252Fp16-common-sign.tiktokcdn.com%252Ftos-alisg-p-0037%252FoEAIvfEvCFtsAC41kThkjtACjEQWfDYDQ4E26e~tplv-tiktokx-origin.jpeg%253Fdr%253D14572%2526refresh_token%253D1d4481af%2526x-expires%253D1810116000%2526x-signature%253DALxuNuxYwiasUSEVWbDHExhkpMY%25253D%2526t%253D4d5b0474%2526ps%253D13740610%2526shp%253Dd05b14bd%2526shcp%253D34ff8df6%2526idc%253Dmy2%2526s%253DTIKTOK_AFFILIATE_VIRAL_VIDEO%22%2C%22placeholder_product_id%22%3A%221729729730555512511%22%2C%22placeholder_video_id%22%3A%227636989671297404180%22%7D&amp;ec_shared_reflux_scene=shop_tab_feed&amp;share_item_id=7636989671297404180&amp;source=h5_t" TargetMode="External"/><Relationship Id="rId2909" Type="http://schemas.openxmlformats.org/officeDocument/2006/relationships/hyperlink" Target="https://www.tiktok.com/@berkah.glosir/video/7636986505168243988?_r=1&amp;u_code=e4hbm162fcgeg9&amp;region=&amp;mid=7631905035121395728&amp;preview_pb=0&amp;sharer_language=&amp;_d=0&amp;ec_shared_reflux_dynamic_params=%7B%22placeholder_material_id%22%3A%227636986505168243988%22%2C%22placeholder_origin_cover%22%3A%22https%253A%252F%252Fp16-common-sign.tiktokcdn.com%252Ftos-alisg-p-0037%252Fo8f8jA42TI46IqDmBCfFBPaEIHDBNFAwqAfotU~tplv-tiktokx-origin.jpeg%253Fdr%253D14572%2526refresh_token%253D93bcaca2%2526x-expires%253D1810116000%2526x-signature%253DTDih0cUvx7Rfl5dj3CYNZYJunA0%25253D%2526t%253D4d5b0474%2526ps%253D13740610%2526shp%253Dd05b14bd%2526shcp%253D34ff8df6%2526idc%253Dmy2%2526s%253DTIKTOK_AFFILIATE_VIRAL_VIDEO%22%2C%22placeholder_product_id%22%3A%221729729730555512511%22%2C%22placeholder_video_id%22%3A%227636986505168243988%22%7D&amp;ec_shared_reflux_scene=shop_tab_feed&amp;share_item_id=7636986505168243988&amp;source=h5_t" TargetMode="External"/><Relationship Id="rId5170" Type="http://schemas.openxmlformats.org/officeDocument/2006/relationships/hyperlink" Target="https://vt.tiktok.com/ZS95x6SRE/" TargetMode="External"/><Relationship Id="rId5171" Type="http://schemas.openxmlformats.org/officeDocument/2006/relationships/hyperlink" Target="https://vt.tiktok.com/ZS95xY2h8/" TargetMode="External"/><Relationship Id="rId5174" Type="http://schemas.openxmlformats.org/officeDocument/2006/relationships/hyperlink" Target="https://vt.tiktok.com/ZS95xyPvV/" TargetMode="External"/><Relationship Id="rId5175" Type="http://schemas.openxmlformats.org/officeDocument/2006/relationships/hyperlink" Target="https://vt.tiktok.com/ZS95x6SRE/" TargetMode="External"/><Relationship Id="rId5172" Type="http://schemas.openxmlformats.org/officeDocument/2006/relationships/hyperlink" Target="https://www.tiktok.com/@kandiaskanzah" TargetMode="External"/><Relationship Id="rId5173" Type="http://schemas.openxmlformats.org/officeDocument/2006/relationships/hyperlink" Target="https://vt.tiktok.com/ZS95xRWBh/" TargetMode="External"/><Relationship Id="rId5178" Type="http://schemas.openxmlformats.org/officeDocument/2006/relationships/hyperlink" Target="https://vt.tiktok.com/ZS95xRWBh/" TargetMode="External"/><Relationship Id="rId5179" Type="http://schemas.openxmlformats.org/officeDocument/2006/relationships/hyperlink" Target="https://vt.tiktok.com/ZS95xyPvV/" TargetMode="External"/><Relationship Id="rId5176" Type="http://schemas.openxmlformats.org/officeDocument/2006/relationships/hyperlink" Target="https://vt.tiktok.com/ZS95xY2h8/" TargetMode="External"/><Relationship Id="rId5177" Type="http://schemas.openxmlformats.org/officeDocument/2006/relationships/hyperlink" Target="https://www.tiktok.com/@xyme.dytaa" TargetMode="External"/><Relationship Id="rId6490" Type="http://schemas.openxmlformats.org/officeDocument/2006/relationships/hyperlink" Target="https://www.tiktok.com/@inabatul_" TargetMode="External"/><Relationship Id="rId5160" Type="http://schemas.openxmlformats.org/officeDocument/2006/relationships/hyperlink" Target="https://vt.tiktok.com/ZS95x6SRE/" TargetMode="External"/><Relationship Id="rId6491" Type="http://schemas.openxmlformats.org/officeDocument/2006/relationships/hyperlink" Target="https://vt.tiktok.com/ZS9H2BvDV/" TargetMode="External"/><Relationship Id="rId5163" Type="http://schemas.openxmlformats.org/officeDocument/2006/relationships/hyperlink" Target="https://vt.tiktok.com/ZS95xRWBh/" TargetMode="External"/><Relationship Id="rId6494" Type="http://schemas.openxmlformats.org/officeDocument/2006/relationships/hyperlink" Target="https://vt.tiktok.com/ZS9H2eUCb/" TargetMode="External"/><Relationship Id="rId5164" Type="http://schemas.openxmlformats.org/officeDocument/2006/relationships/hyperlink" Target="https://vt.tiktok.com/ZS95xyPvV/" TargetMode="External"/><Relationship Id="rId6495" Type="http://schemas.openxmlformats.org/officeDocument/2006/relationships/hyperlink" Target="https://www.tiktok.com/@disstatic" TargetMode="External"/><Relationship Id="rId5161" Type="http://schemas.openxmlformats.org/officeDocument/2006/relationships/hyperlink" Target="https://vt.tiktok.com/ZS95xY2h8/" TargetMode="External"/><Relationship Id="rId6492" Type="http://schemas.openxmlformats.org/officeDocument/2006/relationships/hyperlink" Target="https://vt.tiktok.com/ZS9H2LwwK/" TargetMode="External"/><Relationship Id="rId5162" Type="http://schemas.openxmlformats.org/officeDocument/2006/relationships/hyperlink" Target="https://www.tiktok.com/@fauziiaaa__" TargetMode="External"/><Relationship Id="rId6493" Type="http://schemas.openxmlformats.org/officeDocument/2006/relationships/hyperlink" Target="https://vt.tiktok.com/ZS9H2PPny/" TargetMode="External"/><Relationship Id="rId5167" Type="http://schemas.openxmlformats.org/officeDocument/2006/relationships/hyperlink" Target="https://www.tiktok.com/@lidstv_" TargetMode="External"/><Relationship Id="rId6498" Type="http://schemas.openxmlformats.org/officeDocument/2006/relationships/hyperlink" Target="https://vt.tiktok.com/ZS9H2PPny/" TargetMode="External"/><Relationship Id="rId5168" Type="http://schemas.openxmlformats.org/officeDocument/2006/relationships/hyperlink" Target="https://vt.tiktok.com/ZS95xRWBh/" TargetMode="External"/><Relationship Id="rId6499" Type="http://schemas.openxmlformats.org/officeDocument/2006/relationships/hyperlink" Target="https://vt.tiktok.com/ZS9H2eUCb/" TargetMode="External"/><Relationship Id="rId5165" Type="http://schemas.openxmlformats.org/officeDocument/2006/relationships/hyperlink" Target="https://vt.tiktok.com/ZS95x6SRE/" TargetMode="External"/><Relationship Id="rId6496" Type="http://schemas.openxmlformats.org/officeDocument/2006/relationships/hyperlink" Target="https://vt.tiktok.com/ZS9H2BvDV/" TargetMode="External"/><Relationship Id="rId5166" Type="http://schemas.openxmlformats.org/officeDocument/2006/relationships/hyperlink" Target="https://vt.tiktok.com/ZS95xY2h8/" TargetMode="External"/><Relationship Id="rId6497" Type="http://schemas.openxmlformats.org/officeDocument/2006/relationships/hyperlink" Target="https://vt.tiktok.com/ZS9H2LwwK/" TargetMode="External"/><Relationship Id="rId5169" Type="http://schemas.openxmlformats.org/officeDocument/2006/relationships/hyperlink" Target="https://vt.tiktok.com/ZS95xyPvV/" TargetMode="External"/><Relationship Id="rId2920" Type="http://schemas.openxmlformats.org/officeDocument/2006/relationships/hyperlink" Target="https://www.tiktok.com/@berkah.glosir/video/7636557716361678101?_r=1&amp;u_code=e4hbm162fcgeg9&amp;region=&amp;mid=7580025157356570625&amp;preview_pb=0&amp;sharer_language=&amp;_d=0&amp;ec_shared_reflux_dynamic_params=%7B%22placeholder_material_id%22%3A%227636557716361678101%22%2C%22placeholder_origin_cover%22%3A%22https%253A%252F%252Fp16-common-sign.tiktokcdn.com%252Ftos-alisg-p-0037%252Fo4QZ1T8IDCoEqAjgr0QAnFEDBADUIeEfBfEaa4~tplv-tiktokx-origin.jpeg%253Fdr%253D14572%2526refresh_token%253Dd899e96a%2526x-expires%253D1810116000%2526x-signature%253DSDuiCOxFn9l%25252BOyDC9etSZJGnJps%25253D%2526t%253D4d5b0474%2526ps%253D13740610%2526shp%253Dd05b14bd%2526shcp%253D34ff8df6%2526idc%253Dmy2%2526s%253DTIKTOK_AFFILIATE_VIRAL_VIDEO%22%2C%22placeholder_product_id%22%3A%221729729730555512511%22%2C%22placeholder_video_id%22%3A%227636557716361678101%22%7D&amp;ec_shared_reflux_scene=shop_tab_feed&amp;share_item_id=7636557716361678101&amp;source=h5_t" TargetMode="External"/><Relationship Id="rId2921" Type="http://schemas.openxmlformats.org/officeDocument/2006/relationships/hyperlink" Target="https://www.tiktok.com/@berkah.glosir/video/7636557123224194325?_r=1&amp;u_code=e4hbm162fcgeg9&amp;region=&amp;mid=7606071400499628049&amp;preview_pb=0&amp;sharer_language=&amp;_d=0&amp;ec_shared_reflux_dynamic_params=%7B%22placeholder_material_id%22%3A%227636557123224194325%22%2C%22placeholder_origin_cover%22%3A%22https%253A%252F%252Fp16-common-sign.tiktokcdn.com%252Ftos-alisg-p-0037%252Fo0EDKATQ1cYDLC0AAg4IofEeFIAjPDe0wkk4XQ~tplv-tiktokx-origin.jpeg%253Fdr%253D14572%2526refresh_token%253De722bfd5%2526x-expires%253D1810116000%2526x-signature%253DqGQk8cglQEQPdSB%25252BKhj5qRJqLO0%25253D%2526t%253D4d5b0474%2526ps%253D13740610%2526shp%253Dd05b14bd%2526shcp%253D34ff8df6%2526idc%253Dmy2%2526s%253DTIKTOK_AFFILIATE_VIRAL_VIDEO%22%2C%22placeholder_product_id%22%3A%221729729730555512511%22%2C%22placeholder_video_id%22%3A%227636557123224194325%22%7D&amp;ec_shared_reflux_scene=shop_tab_feed&amp;share_item_id=7636557123224194325&amp;source=h5_t" TargetMode="External"/><Relationship Id="rId2922" Type="http://schemas.openxmlformats.org/officeDocument/2006/relationships/hyperlink" Target="https://www.tiktok.com/@chelshopp" TargetMode="External"/><Relationship Id="rId2923" Type="http://schemas.openxmlformats.org/officeDocument/2006/relationships/hyperlink" Target="https://vt.tiktok.com/ZS9Fd8Y1u/" TargetMode="External"/><Relationship Id="rId2924" Type="http://schemas.openxmlformats.org/officeDocument/2006/relationships/hyperlink" Target="https://www.tiktok.com/@berkah.glosir/video/7636556382728146197?_r=1&amp;u_code=e4hbm162fcgeg9&amp;region=&amp;mid=7507772951459383312&amp;preview_pb=0&amp;sharer_language=&amp;_d=0&amp;ec_shared_reflux_dynamic_params=%7B%22placeholder_material_id%22%3A%227636556382728146197%22%2C%22placeholder_origin_cover%22%3A%22https%253A%252F%252Fp16-common-sign.tiktokcdn.com%252Ftos-alisg-p-0037%252Fo4PfBpOiAYgmNA3UZf4L4u0e0MgLnAAjNf0ieS~tplv-tiktokx-origin.jpeg%253Fdr%253D14572%2526refresh_token%253De41f6a02%2526x-expires%253D1810116000%2526x-signature%253Dp%25252B8DO5q9Ize%25252B1ue5ttdM1cq0IP8%25253D%2526t%253D4d5b0474%2526ps%253D13740610%2526shp%253Dd05b14bd%2526shcp%253D34ff8df6%2526idc%253Dmy2%2526s%253DTIKTOK_AFFILIATE_VIRAL_VIDEO%22%2C%22placeholder_product_id%22%3A%221729729730555512511%22%2C%22placeholder_video_id%22%3A%227636556382728146197%22%7D&amp;ec_shared_reflux_scene=shop_tab_feed&amp;share_item_id=7636556382728146197&amp;source=h5_t" TargetMode="External"/><Relationship Id="rId2925" Type="http://schemas.openxmlformats.org/officeDocument/2006/relationships/hyperlink" Target="https://www.tiktok.com/@berkah.glosir/video/7636555669684047124?_r=1&amp;u_code=e4hbm162fcgeg9&amp;region=&amp;mid=7597435345913317393&amp;preview_pb=0&amp;sharer_language=&amp;_d=0&amp;ec_shared_reflux_dynamic_params=%7B%22placeholder_material_id%22%3A%227636555669684047124%22%2C%22placeholder_origin_cover%22%3A%22https%253A%252F%252Fp16-common-sign.tiktokcdn.com%252Ftos-alisg-p-0037%252FoY1nQU4jzIpnIvD0DsAFTevYQffOTSEC4D7q0A~tplv-tiktokx-origin.jpeg%253Fdr%253D14572%2526refresh_token%253Dd699b190%2526x-expires%253D1810116000%2526x-signature%253DhDwHV0Wd1ELqTkPg6AAI4pHEzyw%25253D%2526t%253D4d5b0474%2526ps%253D13740610%2526shp%253Dd05b14bd%2526shcp%253D34ff8df6%2526idc%253Dmy2%2526s%253DTIKTOK_AFFILIATE_VIRAL_VIDEO%22%2C%22placeholder_product_id%22%3A%221729729730555512511%22%2C%22placeholder_video_id%22%3A%227636555669684047124%22%7D&amp;ec_shared_reflux_scene=shop_tab_feed&amp;share_item_id=7636555669684047124&amp;source=h5_t" TargetMode="External"/><Relationship Id="rId2926" Type="http://schemas.openxmlformats.org/officeDocument/2006/relationships/hyperlink" Target="https://www.tiktok.com/@berkah.glosir/video/7636472954167069973?_r=1&amp;u_code=e4hbm162fcgeg9&amp;region=&amp;mid=7620330197195295506&amp;preview_pb=0&amp;sharer_language=&amp;_d=0&amp;ec_shared_reflux_dynamic_params=%7B%22placeholder_material_id%22%3A%227636472954167069973%22%2C%22placeholder_origin_cover%22%3A%22https%253A%252F%252Fp16-common-sign.tiktokcdn.com%252Ftos-alisg-p-0037%252FokEjQ42fj4GQD9IjEZeTLDFM4zeDb3ADA0tA0C~tplv-tiktokx-origin.jpeg%253Fdr%253D14572%2526refresh_token%253Dbef52cbb%2526x-expires%253D1810116000%2526x-signature%253DSjsML%25252FP3Sf2uRjdLfBgy27r7nDg%25253D%2526t%253D4d5b0474%2526ps%253D13740610%2526shp%253Dd05b14bd%2526shcp%253D34ff8df6%2526idc%253Dmy2%2526s%253DTIKTOK_AFFILIATE_VIRAL_VIDEO%22%2C%22placeholder_product_id%22%3A%221729729730555512511%22%2C%22placeholder_video_id%22%3A%227636472954167069973%22%7D&amp;ec_shared_reflux_scene=shop_tab_feed&amp;share_item_id=7636472954167069973&amp;source=h5_t" TargetMode="External"/><Relationship Id="rId2927" Type="http://schemas.openxmlformats.org/officeDocument/2006/relationships/hyperlink" Target="https://www.tiktok.com/@firamissuu" TargetMode="External"/><Relationship Id="rId2928" Type="http://schemas.openxmlformats.org/officeDocument/2006/relationships/hyperlink" Target="https://vt.tiktok.com/ZS9FdrWKu/" TargetMode="External"/><Relationship Id="rId2929" Type="http://schemas.openxmlformats.org/officeDocument/2006/relationships/hyperlink" Target="https://www.tiktok.com/@berkah.glosir/video/7636469404649164052?_r=1&amp;u_code=e4hbm162fcgeg9&amp;region=&amp;mid=7526377439288314641&amp;preview_pb=0&amp;sharer_language=&amp;_d=0&amp;ec_shared_reflux_dynamic_params=%7B%22placeholder_material_id%22%3A%227636469404649164052%22%2C%22placeholder_origin_cover%22%3A%22https%253A%252F%252Fp16-common-sign.tiktokcdn.com%252Ftos-alisg-p-0037%252FogSAkC4DTCMpfXdFERCjKAIIIDK6fe4AtjIHHp~tplv-tiktokx-origin.jpeg%253Fdr%253D14572%2526refresh_token%253Daa176d38%2526x-expires%253D1810116000%2526x-signature%253D9EzjtqjaeZoPkCYzlyrCWJ2bBE8%25253D%2526t%253D4d5b0474%2526ps%253D13740610%2526shp%253Dd05b14bd%2526shcp%253D34ff8df6%2526idc%253Dmy2%2526s%253DTIKTOK_AFFILIATE_VIRAL_VIDEO%22%2C%22placeholder_product_id%22%3A%221729729730555512511%22%2C%22placeholder_video_id%22%3A%227636469404649164052%22%7D&amp;ec_shared_reflux_scene=shop_tab_feed&amp;share_item_id=7636469404649164052&amp;source=h5_t" TargetMode="External"/><Relationship Id="rId5192" Type="http://schemas.openxmlformats.org/officeDocument/2006/relationships/hyperlink" Target="https://www.tiktok.com/@_ayyoen" TargetMode="External"/><Relationship Id="rId5193" Type="http://schemas.openxmlformats.org/officeDocument/2006/relationships/hyperlink" Target="https://vt.tiktok.com/ZSxTesLW2/" TargetMode="External"/><Relationship Id="rId5190" Type="http://schemas.openxmlformats.org/officeDocument/2006/relationships/hyperlink" Target="https://vt.tiktok.com/ZS95x6SRE/" TargetMode="External"/><Relationship Id="rId5191" Type="http://schemas.openxmlformats.org/officeDocument/2006/relationships/hyperlink" Target="https://vt.tiktok.com/ZS95xY2h8/" TargetMode="External"/><Relationship Id="rId5196" Type="http://schemas.openxmlformats.org/officeDocument/2006/relationships/hyperlink" Target="https://vt.tiktok.com/ZSxTeuyqX/" TargetMode="External"/><Relationship Id="rId5197" Type="http://schemas.openxmlformats.org/officeDocument/2006/relationships/hyperlink" Target="https://www.tiktok.com/@nisaaahs_" TargetMode="External"/><Relationship Id="rId5194" Type="http://schemas.openxmlformats.org/officeDocument/2006/relationships/hyperlink" Target="https://vt.tiktok.com/ZSxTesNao/" TargetMode="External"/><Relationship Id="rId5195" Type="http://schemas.openxmlformats.org/officeDocument/2006/relationships/hyperlink" Target="https://vt.tiktok.com/ZSxTeX2tH/" TargetMode="External"/><Relationship Id="rId5198" Type="http://schemas.openxmlformats.org/officeDocument/2006/relationships/hyperlink" Target="https://vt.tiktok.com/ZS9HVxvuM/" TargetMode="External"/><Relationship Id="rId5199" Type="http://schemas.openxmlformats.org/officeDocument/2006/relationships/hyperlink" Target="https://vt.tiktok.com/ZS9HVPSaV/" TargetMode="External"/><Relationship Id="rId2910" Type="http://schemas.openxmlformats.org/officeDocument/2006/relationships/hyperlink" Target="https://www.tiktok.com/@berkah.glosir/video/7636985629804432661?_r=1&amp;u_code=e4hbm162fcgeg9&amp;region=&amp;mid=7611130127291779856&amp;preview_pb=0&amp;sharer_language=&amp;_d=0&amp;ec_shared_reflux_dynamic_params=%7B%22placeholder_material_id%22%3A%227636985629804432661%22%2C%22placeholder_origin_cover%22%3A%22https%253A%252F%252Fp16-common-sign.tiktokcdn.com%252Ftos-alisg-p-0037%252FoQbDUgDVFDNEfB828jtNACeIIvuII4CfATAN5E~tplv-tiktokx-origin.jpeg%253Fdr%253D14572%2526refresh_token%253De9ffae9d%2526x-expires%253D1810116000%2526x-signature%253DpM0KvoPUHZr1cewsPyq6imytbQs%25253D%2526t%253D4d5b0474%2526ps%253D13740610%2526shp%253Dd05b14bd%2526shcp%253D34ff8df6%2526idc%253Dmy2%2526s%253DTIKTOK_AFFILIATE_VIRAL_VIDEO%22%2C%22placeholder_product_id%22%3A%221729729730555512511%22%2C%22placeholder_video_id%22%3A%227636985629804432661%22%7D&amp;ec_shared_reflux_scene=shop_tab_feed&amp;share_item_id=7636985629804432661&amp;source=h5_t" TargetMode="External"/><Relationship Id="rId2911" Type="http://schemas.openxmlformats.org/officeDocument/2006/relationships/hyperlink" Target="https://www.tiktok.com/@berkah.glosir/video/7636985629804432661?_d=0&amp;_r=1&amp;ec_shared_reflux_dynamic_params=%7B%22placeholder_material_id%22%3A%227636985629804432661%22%2C%22placeholder_origin_cover%22%3A%22https%253A%252F%252Fp16-common-sign.tiktokcdn.com%252Ftos-alisg-p-0037%252FoQbDUgDVFDNEfB828jtNACeIIvuII4CfATAN5E~tplv-tiktokx-origin.jpeg%253Fdr%253D14572%2526refresh_token%253De9ffae9d%2526x-expires%253D1810116000%2526x-signature%253DpM0KvoPUHZr1cewsPyq6imytbQs%25253D%2526t%253D4d5b0474%2526ps%253D13740610%2526shp%253Dd05b14bd%2526shcp%253D34ff8df6%2526idc%253Dmy2%2526s%253DTIKTOK_AFFILIATE_VIRAL_VIDEO%22%2C%22placeholder_product_id%22%3A%221729729730555512511%22%2C%22placeholder_video_id%22%3A%227636985629804432661%22%7D&amp;ec_shared_reflux_scene=shop_tab_feed&amp;mid=7611130127291779856&amp;preview_pb=0&amp;region=&amp;share_item_id=7636985629804432661&amp;sharer_language=&amp;source=h5_t&amp;u_code=e4hbm162fcgeg9" TargetMode="External"/><Relationship Id="rId2912" Type="http://schemas.openxmlformats.org/officeDocument/2006/relationships/hyperlink" Target="https://www.tiktok.com/@azrfscs" TargetMode="External"/><Relationship Id="rId2913" Type="http://schemas.openxmlformats.org/officeDocument/2006/relationships/hyperlink" Target="https://vt.tiktok.com/ZS9NmD8yb/" TargetMode="External"/><Relationship Id="rId2914" Type="http://schemas.openxmlformats.org/officeDocument/2006/relationships/hyperlink" Target="https://www.tiktok.com/@berkah.glosir/video/7636983305170193684?_r=1&amp;u_code=e4hbm162fcgeg9&amp;region=&amp;mid=7604121927885359105&amp;preview_pb=0&amp;sharer_language=&amp;_d=0&amp;ec_shared_reflux_dynamic_params=%7B%22placeholder_material_id%22%3A%227636983305170193684%22%2C%22placeholder_origin_cover%22%3A%22https%253A%252F%252Fp16-common-sign.tiktokcdn.com%252Ftos-alisg-p-0037%252FoYQ4QDD3jBpfA8DTIFPrfRzmgPpIbEqA4iAeCC~tplv-tiktokx-origin.jpeg%253Fdr%253D14572%2526refresh_token%253D5827fd7a%2526x-expires%253D1810116000%2526x-signature%253DZzA%25252BIhudE%25252B%25252FRtZEi7lCRfRoleKo%25253D%2526t%253D4d5b0474%2526ps%253D13740610%2526shp%253Dd05b14bd%2526shcp%253D34ff8df6%2526idc%253Dmy2%2526s%253DTIKTOK_AFFILIATE_VIRAL_VIDEO%22%2C%22placeholder_product_id%22%3A%221729729730555512511%22%2C%22placeholder_video_id%22%3A%227636983305170193684%22%7D&amp;ec_shared_reflux_scene=shop_tab_feed&amp;share_item_id=7636983305170193684&amp;source=h5_t" TargetMode="External"/><Relationship Id="rId2915" Type="http://schemas.openxmlformats.org/officeDocument/2006/relationships/hyperlink" Target="https://www.tiktok.com/@berkah.glosir/video/7636568884195134741?_d=0&amp;_r=1&amp;ec_shared_reflux_dynamic_params=%7B%22placeholder_material_id%22%3A%227636568884195134741%22%2C%22placeholder_origin_cover%22%3A%22https%253A%252F%252Fp16-common-sign.tiktokcdn.com%252Ftos-alisg-p-0037%252FoIBIRTF9bIDLexCASmlAfeEcT6I7j3WD4KvRiC~tplv-tiktokx-origin.jpeg%253Fdr%253D14572%2526refresh_token%253D95cf9328%2526x-expires%253D1810116000%2526x-signature%253DKZi3k06J3wCq1WFoSjmucOy739c%25253D%2526t%253D4d5b0474%2526ps%253D13740610%2526shp%253Dd05b14bd%2526shcp%253D34ff8df6%2526idc%253Dmy2%2526s%253DTIKTOK_AFFILIATE_VIRAL_VIDEO%22%2C%22placeholder_product_id%22%3A%221729729730555512511%22%2C%22placeholder_video_id%22%3A%227636568884195134741%22%7D&amp;ec_shared_reflux_scene=shop_tab_feed&amp;mid=7592932992264276756&amp;preview_pb=0&amp;region=&amp;share_item_id=7636568884195134741&amp;sharer_language=&amp;source=h5_t&amp;u_code=e4hbm162fcgeg9" TargetMode="External"/><Relationship Id="rId2916" Type="http://schemas.openxmlformats.org/officeDocument/2006/relationships/hyperlink" Target="https://www.tiktok.com/@berkah.glosir/video/7636558990322814229?_r=1&amp;u_code=e4hbm162fcgeg9&amp;region=&amp;mid=7617088734676552456&amp;preview_pb=0&amp;sharer_language=&amp;_d=0&amp;ec_shared_reflux_dynamic_params=%7B%22placeholder_material_id%22%3A%227636558990322814229%22%2C%22placeholder_origin_cover%22%3A%22https%253A%252F%252Fp16-common-sign.tiktokcdn.com%252Ftos-alisg-p-0037%252FoE0SQ8urMDfTXrkIZqQBQBBf9C4AWZLAzejuNA~tplv-tiktokx-origin.jpeg%253Fdr%253D14572%2526refresh_token%253D6783a032%2526x-expires%253D1810116000%2526x-signature%253DBqtLZqU0jn52Jn9V6C0AaxoJt9I%25253D%2526t%253D4d5b0474%2526ps%253D13740610%2526shp%253Dd05b14bd%2526shcp%253D34ff8df6%2526idc%253Dmy2%2526s%253DTIKTOK_AFFILIATE_VIRAL_VIDEO%22%2C%22placeholder_product_id%22%3A%221729729730555512511%22%2C%22placeholder_video_id%22%3A%227636558990322814229%22%7D&amp;ec_shared_reflux_scene=shop_tab_feed&amp;share_item_id=7636558990322814229&amp;source=h5_t" TargetMode="External"/><Relationship Id="rId2917" Type="http://schemas.openxmlformats.org/officeDocument/2006/relationships/hyperlink" Target="https://www.tiktok.com/@mia07024" TargetMode="External"/><Relationship Id="rId2918" Type="http://schemas.openxmlformats.org/officeDocument/2006/relationships/hyperlink" Target="https://vt.tiktok.com/ZS9FpB5P4/" TargetMode="External"/><Relationship Id="rId2919" Type="http://schemas.openxmlformats.org/officeDocument/2006/relationships/hyperlink" Target="https://www.tiktok.com/@berkah.glosir/video/7636558446883622164?_r=1&amp;u_code=e4hbm162fcgeg9&amp;region=&amp;mid=7588521422970407687&amp;preview_pb=0&amp;sharer_language=&amp;_d=0&amp;ec_shared_reflux_dynamic_params=%7B%22placeholder_material_id%22%3A%227636558446883622164%22%2C%22placeholder_origin_cover%22%3A%22https%253A%252F%252Fp16-common-sign.tiktokcdn.com%252Ftos-alisg-p-0037%252FoYpwcC61vBWIUAiR6B2InX9BrfEkggfDJBgBiy~tplv-tiktokx-origin.jpeg%253Fdr%253D14572%2526refresh_token%253D7ec8d760%2526x-expires%253D1810116000%2526x-signature%253DH%25252FrHgciqDh9pw5uFPHbBrvXXkzM%25253D%2526t%253D4d5b0474%2526ps%253D13740610%2526shp%253Dd05b14bd%2526shcp%253D34ff8df6%2526idc%253Dmy2%2526s%253DTIKTOK_AFFILIATE_VIRAL_VIDEO%22%2C%22placeholder_product_id%22%3A%221729729730555512511%22%2C%22placeholder_video_id%22%3A%227636558446883622164%22%7D&amp;ec_shared_reflux_scene=shop_tab_feed&amp;share_item_id=7636558446883622164&amp;source=h5_t" TargetMode="External"/><Relationship Id="rId5181" Type="http://schemas.openxmlformats.org/officeDocument/2006/relationships/hyperlink" Target="https://vt.tiktok.com/ZS95xY2h8/" TargetMode="External"/><Relationship Id="rId5182" Type="http://schemas.openxmlformats.org/officeDocument/2006/relationships/hyperlink" Target="https://www.tiktok.com/@cynthiadesiree" TargetMode="External"/><Relationship Id="rId5180" Type="http://schemas.openxmlformats.org/officeDocument/2006/relationships/hyperlink" Target="https://vt.tiktok.com/ZS95x6SRE/" TargetMode="External"/><Relationship Id="rId5185" Type="http://schemas.openxmlformats.org/officeDocument/2006/relationships/hyperlink" Target="https://vt.tiktok.com/ZS95x6SRE/" TargetMode="External"/><Relationship Id="rId5186" Type="http://schemas.openxmlformats.org/officeDocument/2006/relationships/hyperlink" Target="https://vt.tiktok.com/ZS95xY2h8/" TargetMode="External"/><Relationship Id="rId5183" Type="http://schemas.openxmlformats.org/officeDocument/2006/relationships/hyperlink" Target="https://vt.tiktok.com/ZS95xRWBh/" TargetMode="External"/><Relationship Id="rId5184" Type="http://schemas.openxmlformats.org/officeDocument/2006/relationships/hyperlink" Target="https://vt.tiktok.com/ZS95xyPvV/" TargetMode="External"/><Relationship Id="rId5189" Type="http://schemas.openxmlformats.org/officeDocument/2006/relationships/hyperlink" Target="https://vt.tiktok.com/ZS95xyPvV/" TargetMode="External"/><Relationship Id="rId5187" Type="http://schemas.openxmlformats.org/officeDocument/2006/relationships/hyperlink" Target="https://www.tiktok.com/@_itsmecaacadump_" TargetMode="External"/><Relationship Id="rId5188" Type="http://schemas.openxmlformats.org/officeDocument/2006/relationships/hyperlink" Target="https://vt.tiktok.com/ZS95xRWBh/" TargetMode="External"/><Relationship Id="rId1697" Type="http://schemas.openxmlformats.org/officeDocument/2006/relationships/hyperlink" Target="https://vt.tiktok.com/ZS9WMsGGM/" TargetMode="External"/><Relationship Id="rId1698" Type="http://schemas.openxmlformats.org/officeDocument/2006/relationships/hyperlink" Target="https://vt.tiktok.com/ZS9WMGFep/" TargetMode="External"/><Relationship Id="rId1699" Type="http://schemas.openxmlformats.org/officeDocument/2006/relationships/hyperlink" Target="https://vt.tiktok.com/ZS9WrdgFx/" TargetMode="External"/><Relationship Id="rId866" Type="http://schemas.openxmlformats.org/officeDocument/2006/relationships/hyperlink" Target="https://vt.tiktok.com/ZSmpJHHpF/" TargetMode="External"/><Relationship Id="rId865" Type="http://schemas.openxmlformats.org/officeDocument/2006/relationships/hyperlink" Target="https://www.tiktok.com/@jualannyaleni" TargetMode="External"/><Relationship Id="rId864" Type="http://schemas.openxmlformats.org/officeDocument/2006/relationships/hyperlink" Target="https://vt.tiktok.com/ZS9qeumn3/" TargetMode="External"/><Relationship Id="rId863" Type="http://schemas.openxmlformats.org/officeDocument/2006/relationships/hyperlink" Target="https://vt.tiktok.com/ZS9qe56Tf/" TargetMode="External"/><Relationship Id="rId869" Type="http://schemas.openxmlformats.org/officeDocument/2006/relationships/hyperlink" Target="https://www.tiktok.com/@jualannyaleni/video/7607914856389365013?_r=1&amp;_t=ZS-94F86fv1BKR" TargetMode="External"/><Relationship Id="rId868" Type="http://schemas.openxmlformats.org/officeDocument/2006/relationships/hyperlink" Target="https://www.tiktok.com/@jualannyaleni/video/7608131435785997575?_r=1&amp;_t=ZS-94F85OHOjRw" TargetMode="External"/><Relationship Id="rId867" Type="http://schemas.openxmlformats.org/officeDocument/2006/relationships/hyperlink" Target="https://www.tiktok.com/@jualannyaleni/video/7608879766992719125?_r=1&amp;_t=ZS-94F84OYUjoI" TargetMode="External"/><Relationship Id="rId1690" Type="http://schemas.openxmlformats.org/officeDocument/2006/relationships/hyperlink" Target="https://www.tiktok.com/@productskincare/video/7629361647370407175?is_from_webapp=1&amp;sender_device=pc&amp;web_id=7611930277489657360" TargetMode="External"/><Relationship Id="rId1691" Type="http://schemas.openxmlformats.org/officeDocument/2006/relationships/hyperlink" Target="https://www.tiktok.com/@ontymuy_" TargetMode="External"/><Relationship Id="rId1692" Type="http://schemas.openxmlformats.org/officeDocument/2006/relationships/hyperlink" Target="https://vt.tiktok.com/ZS9Wr1WH8/" TargetMode="External"/><Relationship Id="rId862" Type="http://schemas.openxmlformats.org/officeDocument/2006/relationships/hyperlink" Target="https://vt.tiktok.com/ZSucHhNYh/" TargetMode="External"/><Relationship Id="rId1693" Type="http://schemas.openxmlformats.org/officeDocument/2006/relationships/hyperlink" Target="https://vt.tiktok.com/ZS9WMc7fg/" TargetMode="External"/><Relationship Id="rId861" Type="http://schemas.openxmlformats.org/officeDocument/2006/relationships/hyperlink" Target="https://vt.tiktok.com/ZSuLT7VNx/" TargetMode="External"/><Relationship Id="rId1694" Type="http://schemas.openxmlformats.org/officeDocument/2006/relationships/hyperlink" Target="https://vt.tiktok.com/ZS9WMW51F/" TargetMode="External"/><Relationship Id="rId860" Type="http://schemas.openxmlformats.org/officeDocument/2006/relationships/hyperlink" Target="https://www.tiktok.com/@chaaaajalahyah" TargetMode="External"/><Relationship Id="rId1695" Type="http://schemas.openxmlformats.org/officeDocument/2006/relationships/hyperlink" Target="https://vt.tiktok.com/ZS9Wrex3f/" TargetMode="External"/><Relationship Id="rId1696" Type="http://schemas.openxmlformats.org/officeDocument/2006/relationships/hyperlink" Target="https://www.tiktok.com/@caramelatte168" TargetMode="External"/><Relationship Id="rId1686" Type="http://schemas.openxmlformats.org/officeDocument/2006/relationships/hyperlink" Target="https://www.tiktok.com/@finengsya" TargetMode="External"/><Relationship Id="rId1687" Type="http://schemas.openxmlformats.org/officeDocument/2006/relationships/hyperlink" Target="https://www.tiktok.com/@dinaachmad30/video/7630336203090382098?is_from_webapp=1&amp;sender_device=pc&amp;web_id=7611930277489657360" TargetMode="External"/><Relationship Id="rId1688" Type="http://schemas.openxmlformats.org/officeDocument/2006/relationships/hyperlink" Target="https://www.tiktok.com/@myname_hana/video/7630738167213067540?is_from_webapp=1&amp;sender_device=pc&amp;web_id=7611930277489657360" TargetMode="External"/><Relationship Id="rId1689" Type="http://schemas.openxmlformats.org/officeDocument/2006/relationships/hyperlink" Target="https://www.tiktok.com/@productskincare/video/7629346717724413192?is_from_webapp=1&amp;sender_device=pc&amp;web_id=7611930277489657360" TargetMode="External"/><Relationship Id="rId855" Type="http://schemas.openxmlformats.org/officeDocument/2006/relationships/hyperlink" Target="https://www.tiktok.com/@_sweetly19" TargetMode="External"/><Relationship Id="rId854" Type="http://schemas.openxmlformats.org/officeDocument/2006/relationships/hyperlink" Target="https://www.tiktok.com/@ajengsetyarini1_/video/7631012250060410120?_r=1&amp;_t=ZS-95iFHQxirxa" TargetMode="External"/><Relationship Id="rId853" Type="http://schemas.openxmlformats.org/officeDocument/2006/relationships/hyperlink" Target="https://vt.tiktok.com/ZS9JSPsvX/" TargetMode="External"/><Relationship Id="rId852" Type="http://schemas.openxmlformats.org/officeDocument/2006/relationships/hyperlink" Target="https://vt.tiktok.com/ZS9JSCkoY/" TargetMode="External"/><Relationship Id="rId859" Type="http://schemas.openxmlformats.org/officeDocument/2006/relationships/hyperlink" Target="https://www.tiktok.com/@_sweetly19/video/7607676285669641492?is_from_webapp=1&amp;sender_device=pc" TargetMode="External"/><Relationship Id="rId858" Type="http://schemas.openxmlformats.org/officeDocument/2006/relationships/hyperlink" Target="https://www.tiktok.com/@_sweetly19/video/7607273568874876181?is_from_webapp=1&amp;sender_device=pc" TargetMode="External"/><Relationship Id="rId857" Type="http://schemas.openxmlformats.org/officeDocument/2006/relationships/hyperlink" Target="https://www.tiktok.com/@_sweetly19/video/7607035215608892693?is_from_webapp=1&amp;sender_device=pc" TargetMode="External"/><Relationship Id="rId856" Type="http://schemas.openxmlformats.org/officeDocument/2006/relationships/hyperlink" Target="https://www.tiktok.com/@_sweetly19/video/7606995425496747284?is_from_webapp=1&amp;sender_device=pc" TargetMode="External"/><Relationship Id="rId1680" Type="http://schemas.openxmlformats.org/officeDocument/2006/relationships/hyperlink" Target="https://www.tiktok.com/@intandws_/video/7617139486647979284?is_from_webapp=1&amp;sender_device=pc&amp;web_id=7611930277489657360" TargetMode="External"/><Relationship Id="rId1681" Type="http://schemas.openxmlformats.org/officeDocument/2006/relationships/hyperlink" Target="https://www.tiktok.com/@widia_pratiwi2" TargetMode="External"/><Relationship Id="rId851" Type="http://schemas.openxmlformats.org/officeDocument/2006/relationships/hyperlink" Target="https://www.tiktok.com/@ajengsetyarini1_/video/7615217262617808146?is_from_webapp=1&amp;sender_device=pc" TargetMode="External"/><Relationship Id="rId1682" Type="http://schemas.openxmlformats.org/officeDocument/2006/relationships/hyperlink" Target="https://www.tiktok.com/@sonyasinaga_/video/7627085820381433106?is_from_webapp=1&amp;sender_device=pc&amp;web_id=7611930277489657360" TargetMode="External"/><Relationship Id="rId850" Type="http://schemas.openxmlformats.org/officeDocument/2006/relationships/hyperlink" Target="https://www.tiktok.com/@ajengsetyarini1_" TargetMode="External"/><Relationship Id="rId1683" Type="http://schemas.openxmlformats.org/officeDocument/2006/relationships/hyperlink" Target="https://www.tiktok.com/@vernikaariani/video/7627754761856552212?is_from_webapp=1&amp;sender_device=pc&amp;web_id=7611930277489657360" TargetMode="External"/><Relationship Id="rId1684" Type="http://schemas.openxmlformats.org/officeDocument/2006/relationships/hyperlink" Target="https://www.tiktok.com/@im.jasmine6/video/7625017124888644885?is_from_webapp=1&amp;sender_device=pc&amp;web_id=7611930277489657360" TargetMode="External"/><Relationship Id="rId1685" Type="http://schemas.openxmlformats.org/officeDocument/2006/relationships/hyperlink" Target="https://www.tiktok.com/@im.jasmine6/video/7625017317058956565?is_from_webapp=1&amp;sender_device=pc&amp;web_id=7611930277489657360" TargetMode="External"/><Relationship Id="rId888" Type="http://schemas.openxmlformats.org/officeDocument/2006/relationships/hyperlink" Target="https://www.tiktok.com/@nina_kadier/video/7607228939685317895?is_from_webapp=1&amp;sender_device=pc" TargetMode="External"/><Relationship Id="rId887" Type="http://schemas.openxmlformats.org/officeDocument/2006/relationships/hyperlink" Target="https://www.tiktok.com/@nina_kadier/video/7606965616158821639?is_from_webapp=1&amp;sender_device=pc" TargetMode="External"/><Relationship Id="rId886" Type="http://schemas.openxmlformats.org/officeDocument/2006/relationships/hyperlink" Target="https://www.tiktok.com/@nina_kadier/video/7606564657658105095?is_from_webapp=1&amp;sender_device=pc" TargetMode="External"/><Relationship Id="rId885" Type="http://schemas.openxmlformats.org/officeDocument/2006/relationships/hyperlink" Target="https://www.tiktok.com/@nina_kadier" TargetMode="External"/><Relationship Id="rId889" Type="http://schemas.openxmlformats.org/officeDocument/2006/relationships/hyperlink" Target="https://www.tiktok.com/@nina_kadier/video/7607281060660956423?is_from_webapp=1&amp;sender_device=pc" TargetMode="External"/><Relationship Id="rId880" Type="http://schemas.openxmlformats.org/officeDocument/2006/relationships/hyperlink" Target="https://www.tiktok.com/@weni_ilham" TargetMode="External"/><Relationship Id="rId884" Type="http://schemas.openxmlformats.org/officeDocument/2006/relationships/hyperlink" Target="https://vt.tiktok.com/ZS9qMqUqo/" TargetMode="External"/><Relationship Id="rId883" Type="http://schemas.openxmlformats.org/officeDocument/2006/relationships/hyperlink" Target="https://vt.tiktok.com/ZS9qMHdXq/" TargetMode="External"/><Relationship Id="rId882" Type="http://schemas.openxmlformats.org/officeDocument/2006/relationships/hyperlink" Target="https://vt.tiktok.com/ZS9qddf5E/" TargetMode="External"/><Relationship Id="rId881" Type="http://schemas.openxmlformats.org/officeDocument/2006/relationships/hyperlink" Target="https://vt.tiktok.com/ZSmXDvA5A/" TargetMode="External"/><Relationship Id="rId877" Type="http://schemas.openxmlformats.org/officeDocument/2006/relationships/hyperlink" Target="https://vt.tiktok.com/ZSuxbn3xc/" TargetMode="External"/><Relationship Id="rId876" Type="http://schemas.openxmlformats.org/officeDocument/2006/relationships/hyperlink" Target="https://www.tiktok.com/@raturambutpanjang3/video/7612519996601765141?is_from_webapp=1&amp;sender_device=pc" TargetMode="External"/><Relationship Id="rId875" Type="http://schemas.openxmlformats.org/officeDocument/2006/relationships/hyperlink" Target="https://www.tiktok.com/@raturambutpanjang3" TargetMode="External"/><Relationship Id="rId874" Type="http://schemas.openxmlformats.org/officeDocument/2006/relationships/hyperlink" Target="https://vt.tiktok.com/ZSHxP4fSo/" TargetMode="External"/><Relationship Id="rId879" Type="http://schemas.openxmlformats.org/officeDocument/2006/relationships/hyperlink" Target="https://vt.tiktok.com/ZSHPRpCnQ/" TargetMode="External"/><Relationship Id="rId878" Type="http://schemas.openxmlformats.org/officeDocument/2006/relationships/hyperlink" Target="https://vt.tiktok.com/ZSuxbn3xc/" TargetMode="External"/><Relationship Id="rId873" Type="http://schemas.openxmlformats.org/officeDocument/2006/relationships/hyperlink" Target="https://vt.tiktok.com/ZSH9ngbGN/" TargetMode="External"/><Relationship Id="rId872" Type="http://schemas.openxmlformats.org/officeDocument/2006/relationships/hyperlink" Target="https://www.tiktok.com/@masheddpootato/video/7615191095080717589?is_from_webapp=1&amp;sender_device=pc&amp;web_id=7611930277489657360" TargetMode="External"/><Relationship Id="rId871" Type="http://schemas.openxmlformats.org/officeDocument/2006/relationships/hyperlink" Target="https://www.tiktok.com/@masheddpootato/video/7612712635775192341" TargetMode="External"/><Relationship Id="rId870" Type="http://schemas.openxmlformats.org/officeDocument/2006/relationships/hyperlink" Target="https://www.tiktok.com/@wisepotatoo" TargetMode="External"/><Relationship Id="rId1653" Type="http://schemas.openxmlformats.org/officeDocument/2006/relationships/hyperlink" Target="https://www.tiktok.com/@adenina.nf" TargetMode="External"/><Relationship Id="rId2984" Type="http://schemas.openxmlformats.org/officeDocument/2006/relationships/hyperlink" Target="https://www.tiktok.com/@berkah.glosir/video/7634358900485098773?_r=1&amp;u_code=e4hbm162fcgeg9&amp;region=&amp;mid=7576314167990585361&amp;preview_pb=0&amp;sharer_language=&amp;_d=0&amp;ec_shared_reflux_dynamic_params=%7B%22placeholder_material_id%22%3A%227634358900485098773%22%2C%22placeholder_origin_cover%22%3A%22https%253A%252F%252Fp19-common-sign.tiktokcdn.com%252Ftos-alisg-p-0037%252FoYCnffOfjTEbr4DsCLDyVFFWvQb5AArIvKsCII~tplv-tiktokx-origin.jpeg%253Fdr%253D14572%2526refresh_token%253Df95caf52%2526x-expires%253D1810116000%2526x-signature%253D9qX3QDDnF8MKv6sAxyUSPBDWMIg%25253D%2526t%253D4d5b0474%2526ps%253D13740610%2526shp%253Dd05b14bd%2526shcp%253D34ff8df6%2526idc%253Dmy2%2526s%253DTIKTOK_AFFILIATE_VIRAL_VIDEO%22%2C%22placeholder_product_id%22%3A%221729729730555512511%22%2C%22placeholder_video_id%22%3A%227634358900485098773%22%7D&amp;ec_shared_reflux_scene=shop_tab_feed&amp;share_item_id=7634358900485098773&amp;source=h5_t" TargetMode="External"/><Relationship Id="rId1654" Type="http://schemas.openxmlformats.org/officeDocument/2006/relationships/hyperlink" Target="https://www.tiktok.com/@racun.aprillia/video/7618410575109967124?is_from_webapp=1&amp;sender_device=pc" TargetMode="External"/><Relationship Id="rId2985" Type="http://schemas.openxmlformats.org/officeDocument/2006/relationships/hyperlink" Target="https://www.tiktok.com/@nilaqueen_" TargetMode="External"/><Relationship Id="rId1655" Type="http://schemas.openxmlformats.org/officeDocument/2006/relationships/hyperlink" Target="https://www.tiktok.com/@racun.aprillia/video/7618053340529822996?is_from_webapp=1&amp;sender_device=pc" TargetMode="External"/><Relationship Id="rId2986" Type="http://schemas.openxmlformats.org/officeDocument/2006/relationships/hyperlink" Target="https://vt.tiktok.com/ZS9jj4yHR/" TargetMode="External"/><Relationship Id="rId1656" Type="http://schemas.openxmlformats.org/officeDocument/2006/relationships/hyperlink" Target="https://vt.tiktok.com/ZSHPRNwTj/" TargetMode="External"/><Relationship Id="rId2987" Type="http://schemas.openxmlformats.org/officeDocument/2006/relationships/hyperlink" Target="https://vt.tiktok.com/ZS9jjHHyc/" TargetMode="External"/><Relationship Id="rId1657" Type="http://schemas.openxmlformats.org/officeDocument/2006/relationships/hyperlink" Target="https://vt.tiktok.com/ZSHPR1sfw/" TargetMode="External"/><Relationship Id="rId2988" Type="http://schemas.openxmlformats.org/officeDocument/2006/relationships/hyperlink" Target="https://www.tiktok.com/@berkah.glosir/video/7634359414669184276?_r=1&amp;u_code=e4hbm162fcgeg9&amp;region=&amp;mid=7587385617824353045&amp;preview_pb=0&amp;sharer_language=&amp;_d=0&amp;ec_shared_reflux_dynamic_params=%7B%22placeholder_material_id%22%3A%227634359414669184276%22%2C%22placeholder_origin_cover%22%3A%22https%253A%252F%252Fp16-common-sign.tiktokcdn.com%252Ftos-alisg-p-0037%252FogFEXrUp8A5TBgSEEg1rfRsBcjyfQDHhEqGgQD~tplv-tiktokx-origin.jpeg%253Fdr%253D14572%2526refresh_token%253Dbbab9a0f%2526x-expires%253D1810116000%2526x-signature%253D8ipxVK7mCsf2Ao0vynNd8moVa%25252Bk%25253D%2526t%253D4d5b0474%2526ps%253D13740610%2526shp%253Dd05b14bd%2526shcp%253D34ff8df6%2526idc%253Dmy2%2526s%253DTIKTOK_AFFILIATE_VIRAL_VIDEO%22%2C%22placeholder_product_id%22%3A%221729729730555512511%22%2C%22placeholder_video_id%22%3A%227634359414669184276%22%7D&amp;ec_shared_reflux_scene=shop_tab_feed&amp;share_item_id=7634359414669184276&amp;source=h5_t" TargetMode="External"/><Relationship Id="rId1658" Type="http://schemas.openxmlformats.org/officeDocument/2006/relationships/hyperlink" Target="https://www.tiktok.com/@rybeccary_" TargetMode="External"/><Relationship Id="rId2989" Type="http://schemas.openxmlformats.org/officeDocument/2006/relationships/hyperlink" Target="https://www.tiktok.com/@berkah.glosir/video/7634357151317626132?_r=1&amp;u_code=e4hbm162fcgeg9&amp;region=&amp;mid=7617088734676552456&amp;preview_pb=0&amp;sharer_language=&amp;_d=0&amp;ec_shared_reflux_dynamic_params=%7B%22placeholder_material_id%22%3A%227634357151317626132%22%2C%22placeholder_origin_cover%22%3A%22https%253A%252F%252Fp16-common-sign.tiktokcdn.com%252Ftos-alisg-p-0037%252Fo8EoYeREQBAf2QnyEp4g82cAcBF84r8DqhJmAt~tplv-tiktokx-origin.jpeg%253Fdr%253D14572%2526refresh_token%253Dc64e1d00%2526x-expires%253D1810116000%2526x-signature%253DYkdrjNiA8Xz57ZbQlwOiLTcP3lU%25253D%2526t%253D4d5b0474%2526ps%253D13740610%2526shp%253Dd05b14bd%2526shcp%253D34ff8df6%2526idc%253Dmy2%2526s%253DTIKTOK_AFFILIATE_VIRAL_VIDEO%22%2C%22placeholder_product_id%22%3A%221729729730555512511%22%2C%22placeholder_video_id%22%3A%227634357151317626132%22%7D&amp;ec_shared_reflux_scene=shop_tab_feed&amp;share_item_id=7634357151317626132&amp;source=h5_t" TargetMode="External"/><Relationship Id="rId1659" Type="http://schemas.openxmlformats.org/officeDocument/2006/relationships/hyperlink" Target="https://www.tiktok.com/@racunciwiciwi99/video/7605156651011804436?_r=1&amp;_t=ZS-95kTMo6AaJM" TargetMode="External"/><Relationship Id="rId829" Type="http://schemas.openxmlformats.org/officeDocument/2006/relationships/hyperlink" Target="https://vt.tiktok.com/ZSmgFHxC1/" TargetMode="External"/><Relationship Id="rId828" Type="http://schemas.openxmlformats.org/officeDocument/2006/relationships/hyperlink" Target="https://www.tiktok.com/@nhai1612" TargetMode="External"/><Relationship Id="rId827" Type="http://schemas.openxmlformats.org/officeDocument/2006/relationships/hyperlink" Target="https://www.tiktok.com/@mimianindya/video/7610272688984165652?is_from_webapp=1&amp;sender_device=pc" TargetMode="External"/><Relationship Id="rId822" Type="http://schemas.openxmlformats.org/officeDocument/2006/relationships/hyperlink" Target="https://www.tiktok.com/@tarigumala3/video/7611099211995598100" TargetMode="External"/><Relationship Id="rId821" Type="http://schemas.openxmlformats.org/officeDocument/2006/relationships/hyperlink" Target="https://vt.tiktok.com/ZSHPeHBEN/" TargetMode="External"/><Relationship Id="rId820" Type="http://schemas.openxmlformats.org/officeDocument/2006/relationships/hyperlink" Target="https://vt.tiktok.com/ZSuBkSPSf/" TargetMode="External"/><Relationship Id="rId826" Type="http://schemas.openxmlformats.org/officeDocument/2006/relationships/hyperlink" Target="https://www.tiktok.com/@mimianindya/video/7610117407008410901?is_from_webapp=1&amp;sender_device=pc" TargetMode="External"/><Relationship Id="rId825" Type="http://schemas.openxmlformats.org/officeDocument/2006/relationships/hyperlink" Target="https://www.tiktok.com/@mimianindya/video/7609928473750146324?is_from_webapp=1&amp;sender_device=pc" TargetMode="External"/><Relationship Id="rId824" Type="http://schemas.openxmlformats.org/officeDocument/2006/relationships/hyperlink" Target="https://www.tiktok.com/@mimianindya/video/7609688065992428821?is_from_webapp=1&amp;sender_device=pc" TargetMode="External"/><Relationship Id="rId823" Type="http://schemas.openxmlformats.org/officeDocument/2006/relationships/hyperlink" Target="https://www.tiktok.com/@mimianindya" TargetMode="External"/><Relationship Id="rId2980" Type="http://schemas.openxmlformats.org/officeDocument/2006/relationships/hyperlink" Target="https://www.tiktok.com/@celinestyles" TargetMode="External"/><Relationship Id="rId1650" Type="http://schemas.openxmlformats.org/officeDocument/2006/relationships/hyperlink" Target="https://vt.tiktok.com/ZS9WrL6yY/" TargetMode="External"/><Relationship Id="rId2981" Type="http://schemas.openxmlformats.org/officeDocument/2006/relationships/hyperlink" Target="https://vt.tiktok.com/ZS9jj2Fh7/" TargetMode="External"/><Relationship Id="rId1651" Type="http://schemas.openxmlformats.org/officeDocument/2006/relationships/hyperlink" Target="https://vt.tiktok.com/ZS9WM7yHx/" TargetMode="External"/><Relationship Id="rId2982" Type="http://schemas.openxmlformats.org/officeDocument/2006/relationships/hyperlink" Target="https://vt.tiktok.com/ZS9jjkhfY/" TargetMode="External"/><Relationship Id="rId1652" Type="http://schemas.openxmlformats.org/officeDocument/2006/relationships/hyperlink" Target="http://adenina.nf" TargetMode="External"/><Relationship Id="rId2983" Type="http://schemas.openxmlformats.org/officeDocument/2006/relationships/hyperlink" Target="https://vt.tiktok.com/ZS9jjkeHn/" TargetMode="External"/><Relationship Id="rId1642" Type="http://schemas.openxmlformats.org/officeDocument/2006/relationships/hyperlink" Target="https://www.tiktok.com/@produkindonesiayaa" TargetMode="External"/><Relationship Id="rId2973" Type="http://schemas.openxmlformats.org/officeDocument/2006/relationships/hyperlink" Target="https://www.tiktok.com/@berkah.glosir/video/7634427496120798485?_r=1&amp;u_code=e4hbm162fcgeg9&amp;region=&amp;mid=7549748664756603704&amp;preview_pb=0&amp;sharer_language=&amp;_d=0&amp;ec_shared_reflux_dynamic_params=%7B%22placeholder_material_id%22%3A%227634427496120798485%22%2C%22placeholder_origin_cover%22%3A%22https%253A%252F%252Fp16-common-sign.tiktokcdn.com%252Ftos-alisg-p-0037%252Fog2yjT9t5fwII7K1DAQNK52eTRSAhLQGES4Ced~tplv-tiktokx-origin.jpeg%253Fdr%253D14572%2526refresh_token%253Dad91df6f%2526x-expires%253D1810116000%2526x-signature%253DeKl12Fl9FNBNNImX8vwVOFjp07Q%25253D%2526t%253D4d5b0474%2526ps%253D13740610%2526shp%253Dd05b14bd%2526shcp%253D34ff8df6%2526idc%253Dmy2%2526s%253DTIKTOK_AFFILIATE_VIRAL_VIDEO%22%2C%22placeholder_product_id%22%3A%221729729730555512511%22%2C%22placeholder_video_id%22%3A%227634427496120798485%22%7D&amp;ec_shared_reflux_scene=shop_tab_feed&amp;share_item_id=7634427496120798485&amp;source=h5_t" TargetMode="External"/><Relationship Id="rId1643" Type="http://schemas.openxmlformats.org/officeDocument/2006/relationships/hyperlink" Target="https://www.tiktok.com/@produkindonesiayaa/video/7626061996622073106" TargetMode="External"/><Relationship Id="rId2974" Type="http://schemas.openxmlformats.org/officeDocument/2006/relationships/hyperlink" Target="https://www.tiktok.com/@berkah.glosir/video/7634426740927991060?_r=1&amp;u_code=e4hbm162fcgeg9&amp;region=&amp;mid=7386212389651695617&amp;preview_pb=0&amp;sharer_language=&amp;_d=0&amp;ec_shared_reflux_dynamic_params=%7B%22placeholder_material_id%22%3A%227634426740927991060%22%2C%22placeholder_origin_cover%22%3A%22https%253A%252F%252Fp16-common-sign.tiktokcdn.com%252Ftos-alisg-p-0037%252FoIeA8BiXrnBWRYgncwKmiVyBf2cC3pIE7jI5m4~tplv-tiktokx-origin.jpeg%253Fdr%253D14572%2526refresh_token%253Dbb7f8473%2526x-expires%253D1810116000%2526x-signature%253DE%25252BJAg219PvQqQYx8a4qqTUpoF0g%25253D%2526t%253D4d5b0474%2526ps%253D13740610%2526shp%253Dd05b14bd%2526shcp%253D34ff8df6%2526idc%253Dmy2%2526s%253DTIKTOK_AFFILIATE_VIRAL_VIDEO%22%2C%22placeholder_product_id%22%3A%221729729730555512511%22%2C%22placeholder_video_id%22%3A%227634426740927991060%22%7D&amp;ec_shared_reflux_scene=shop_tab_feed&amp;share_item_id=7634426740927991060&amp;source=h5_t" TargetMode="External"/><Relationship Id="rId1644" Type="http://schemas.openxmlformats.org/officeDocument/2006/relationships/hyperlink" Target="https://www.tiktok.com/@produkindonesiayaa/video/7626190424499129608" TargetMode="External"/><Relationship Id="rId2975" Type="http://schemas.openxmlformats.org/officeDocument/2006/relationships/hyperlink" Target="https://www.tiktok.com/@ajenggabutterus1" TargetMode="External"/><Relationship Id="rId1645" Type="http://schemas.openxmlformats.org/officeDocument/2006/relationships/hyperlink" Target="https://www.tiktok.com/@produkindonesiayaa/video/7626056127058398471" TargetMode="External"/><Relationship Id="rId2976" Type="http://schemas.openxmlformats.org/officeDocument/2006/relationships/hyperlink" Target="https://www.tiktok.com/@berkah.glosir/video/7634360057269849365?_r=1&amp;u_code=e4hbm162fcgeg9&amp;region=&amp;mid=7615235409880221697&amp;preview_pb=0&amp;sharer_language=&amp;_d=0&amp;ec_shared_reflux_dynamic_params=%7B%22placeholder_material_id%22%3A%227634360057269849365%22%2C%22placeholder_origin_cover%22%3A%22https%253A%252F%252Fp16-common-sign.tiktokcdn.com%252Ftos-alisg-p-0037%252FoggCQuF8INcKo42yBDDAQG87RVpgsBDEerE9fg~tplv-tiktokx-origin.jpeg%253Fdr%253D14572%2526refresh_token%253D122cb9cf%2526x-expires%253D1810116000%2526x-signature%253D9EM0CMQv68lUaLP3oO7EQwEL%25252FO8%25253D%2526t%253D4d5b0474%2526ps%253D13740610%2526shp%253Dd05b14bd%2526shcp%253D34ff8df6%2526idc%253Dmy2%2526s%253DTIKTOK_AFFILIATE_VIRAL_VIDEO%22%2C%22placeholder_product_id%22%3A%221729729730555512511%22%2C%22placeholder_video_id%22%3A%227634360057269849365%22%7D&amp;ec_shared_reflux_scene=shop_tab_feed&amp;share_item_id=7634360057269849365&amp;source=h5_t" TargetMode="External"/><Relationship Id="rId1646" Type="http://schemas.openxmlformats.org/officeDocument/2006/relationships/hyperlink" Target="https://www.tiktok.com/@produkindonesiayaa/video/7626048750191922450" TargetMode="External"/><Relationship Id="rId2977" Type="http://schemas.openxmlformats.org/officeDocument/2006/relationships/hyperlink" Target="https://www.tiktok.com/@berkah.glosir/video/7634361410234928404?_r=1&amp;u_code=e4hbm162fcgeg9&amp;region=&amp;mid=7619384810863758097&amp;preview_pb=0&amp;sharer_language=&amp;_d=0&amp;ec_shared_reflux_dynamic_params=%7B%22placeholder_material_id%22%3A%227634361410234928404%22%2C%22placeholder_origin_cover%22%3A%22https%253A%252F%252Fp16-common-sign.tiktokcdn.com%252Ftos-alisg-p-0037%252FoM4yIK740Iu4C5A3sAfigXziIbBBtoAHCwvm0y~tplv-tiktokx-origin.jpeg%253Fdr%253D14572%2526refresh_token%253D2256f2be%2526x-expires%253D1810116000%2526x-signature%253DqtopBXyRzPrDNej1IQ2y51Kh5RI%25253D%2526t%253D4d5b0474%2526ps%253D13740610%2526shp%253Dd05b14bd%2526shcp%253D34ff8df6%2526idc%253Dmy2%2526s%253DTIKTOK_AFFILIATE_VIRAL_VIDEO%22%2C%22placeholder_product_id%22%3A%221729427766722726591%22%2C%22placeholder_video_id%22%3A%227634361410234928404%22%7D&amp;ec_shared_reflux_scene=shop_tab_feed&amp;share_item_id=7634361410234928404&amp;source=h5_t" TargetMode="External"/><Relationship Id="rId1647" Type="http://schemas.openxmlformats.org/officeDocument/2006/relationships/hyperlink" Target="https://www.tiktok.com/@sibad_94" TargetMode="External"/><Relationship Id="rId2978" Type="http://schemas.openxmlformats.org/officeDocument/2006/relationships/hyperlink" Target="https://www.tiktok.com/@berkah.glosir/video/7634422595030355221?_r=1&amp;u_code=e4hbm162fcgeg9&amp;region=&amp;mid=7608559003840400145&amp;preview_pb=0&amp;sharer_language=&amp;_d=0&amp;ec_shared_reflux_dynamic_params=%7B%22placeholder_material_id%22%3A%227634422595030355221%22%2C%22placeholder_origin_cover%22%3A%22https%253A%252F%252Fp16-common-sign.tiktokcdn.com%252Ftos-alisg-p-0037%252Foo8rwfundTLSIAQ56EeWDIvMCSgf5IjyTy4ACD~tplv-tiktokx-origin.jpeg%253Fdr%253D14572%2526refresh_token%253D02a5d99c%2526x-expires%253D1810116000%2526x-signature%253DTOaekVshbHWGXyxFYOu8iyZQUj4%25253D%2526t%253D4d5b0474%2526ps%253D13740610%2526shp%253Dd05b14bd%2526shcp%253D34ff8df6%2526idc%253Dmy2%2526s%253DTIKTOK_AFFILIATE_VIRAL_VIDEO%22%2C%22placeholder_product_id%22%3A%221729729730555512511%22%2C%22placeholder_video_id%22%3A%227634422595030355221%22%7D&amp;ec_shared_reflux_scene=shop_tab_feed&amp;share_item_id=7634422595030355221&amp;source=h5_t" TargetMode="External"/><Relationship Id="rId1648" Type="http://schemas.openxmlformats.org/officeDocument/2006/relationships/hyperlink" Target="https://www.tiktok.com/@sibad_94/video/7622487073110461717?_r=1&amp;u_code=e10ekgc3ka981i&amp;region=&amp;mid=7622487171547253522&amp;preview_pb=0&amp;sharer_language=&amp;_d=0&amp;ec_shared_reflux_dynamic_params=%7B%22placeholder_material_id%22%3A%227622487073110461717%22%2C%22placeholder_origin_cover%22%3A%22https%253A%252F%252Fp16-sign-sg.tiktokcdn.com%252Ftos-alisg-p-0037%252FooQBiAw4EC8rhPFIICR7ifC1qg560IAMkAuIw6~tplv-tiktokx-origin.jpeg%253Fdr%253D14572%2526refresh_token%253D3f88b810%2526x-expires%253D1807070400%2526x-signature%253Da8q6g0XjQJC0vMY%25252FHi9ZdqfZV%25252Bw%25253D%2526t%253D4d5b0474%2526ps%253D13740610%2526shp%253Dd05b14bd%2526shcp%253D34ff8df6%2526idc%253Dmy2%2526s%253DTIKTOK_AFFILIATE_VIRAL_VIDEO%22%2C%22placeholder_product_id%22%3A%221729427766722726591%22%2C%22placeholder_video_id%22%3A%227622487073110461717%22%7D&amp;ec_shared_reflux_scene=shop_tab_feed&amp;share_item_id=7622487073110461717&amp;source=h5_t" TargetMode="External"/><Relationship Id="rId2979" Type="http://schemas.openxmlformats.org/officeDocument/2006/relationships/hyperlink" Target="https://www.tiktok.com/@berkah.glosir/video/7634426358956821781?_r=1&amp;u_code=e4hbm162fcgeg9&amp;region=&amp;mid=7544617105761536773&amp;preview_pb=0&amp;sharer_language=&amp;_d=0&amp;ec_shared_reflux_dynamic_params=%7B%22placeholder_material_id%22%3A%227634426358956821781%22%2C%22placeholder_origin_cover%22%3A%22https%253A%252F%252Fp16-common-sign.tiktokcdn.com%252Ftos-alisg-p-0037%252FoQIyICBgR7I8AzDpbFzhfHB3O4fEVE2gc2ulBO~tplv-tiktokx-origin.jpeg%253Fdr%253D14572%2526refresh_token%253D3c03d259%2526x-expires%253D1810116000%2526x-signature%253D6SOuwKKhNEVWixwu%25252BczZ4y%25252B9ZQg%25253D%2526t%253D4d5b0474%2526ps%253D13740610%2526shp%253Dd05b14bd%2526shcp%253D34ff8df6%2526idc%253Dmy2%2526s%253DTIKTOK_AFFILIATE_VIRAL_VIDEO%22%2C%22placeholder_product_id%22%3A%221729729730555512511%22%2C%22placeholder_video_id%22%3A%227634426358956821781%22%7D&amp;ec_shared_reflux_scene=shop_tab_feed&amp;share_item_id=7634426358956821781&amp;source=h5_t" TargetMode="External"/><Relationship Id="rId1649" Type="http://schemas.openxmlformats.org/officeDocument/2006/relationships/hyperlink" Target="https://vt.tiktok.com/ZSHpDV3Mw/" TargetMode="External"/><Relationship Id="rId819" Type="http://schemas.openxmlformats.org/officeDocument/2006/relationships/hyperlink" Target="https://vt.tiktok.com/ZSuBDCd4x/" TargetMode="External"/><Relationship Id="rId818" Type="http://schemas.openxmlformats.org/officeDocument/2006/relationships/hyperlink" Target="https://www.tiktok.com/@tarigumala3" TargetMode="External"/><Relationship Id="rId817" Type="http://schemas.openxmlformats.org/officeDocument/2006/relationships/hyperlink" Target="https://vt.tiktok.com/ZSHp646q6/" TargetMode="External"/><Relationship Id="rId816" Type="http://schemas.openxmlformats.org/officeDocument/2006/relationships/hyperlink" Target="https://vt.tiktok.com/ZSHp6s9NN/" TargetMode="External"/><Relationship Id="rId811" Type="http://schemas.openxmlformats.org/officeDocument/2006/relationships/hyperlink" Target="https://vt.tiktok.com/ZSmBUpRvR/" TargetMode="External"/><Relationship Id="rId810" Type="http://schemas.openxmlformats.org/officeDocument/2006/relationships/hyperlink" Target="https://www.tiktok.com/@itskhilda" TargetMode="External"/><Relationship Id="rId815" Type="http://schemas.openxmlformats.org/officeDocument/2006/relationships/hyperlink" Target="https://vt.tiktok.com/ZSuwtYb1x/" TargetMode="External"/><Relationship Id="rId814" Type="http://schemas.openxmlformats.org/officeDocument/2006/relationships/hyperlink" Target="https://www.tiktok.com/@vanila169/video/7621088508559527175?_r=1&amp;u_code=ddg027jm603079&amp;region=&amp;mid=7577401479309314833&amp;preview_pb=0&amp;sharer_language=&amp;_d=0&amp;ec_shared_reflux_dynamic_params=%7B%22placeholder_material_id%22%3A%227621088508559527175%22%2C%22placeholder_origin_cover%22%3A%22https%253A%252F%252Fp16-sign-sg.tiktokcdn.com%252Ftos-alisg-p-0037%252FogyT2eXfNA8IBjsXAQLUhF4G1e0883xIDICGHQ~tplv-tiktokx-origin.jpeg%253Fdr%253D14572%2526refresh_token%253Dc928b56a%2526x-expires%253D1806055200%2526x-signature%253DKwtz4AK2aAmyc98vZoEjDRceIkU%25253D%2526t%253D4d5b0474%2526ps%253D13740610%2526shp%253Dd05b14bd%2526shcp%253D34ff8df6%2526idc%253Dmy2%2526s%253DTIKTOK_AFFILIATE_VIRAL_VIDEO%22%2C%22placeholder_product_id%22%3A%221729427766722726591%22%2C%22placeholder_video_id%22%3A%227621088508559527175%22%7D&amp;ec_shared_reflux_scene=shop_tab_feed&amp;share_item_id=7621088508559527175&amp;source=h5_t" TargetMode="External"/><Relationship Id="rId813" Type="http://schemas.openxmlformats.org/officeDocument/2006/relationships/hyperlink" Target="https://www.tiktok.com/@vanila169" TargetMode="External"/><Relationship Id="rId812" Type="http://schemas.openxmlformats.org/officeDocument/2006/relationships/hyperlink" Target="https://vt.tiktok.com/ZS94onXau/" TargetMode="External"/><Relationship Id="rId2970" Type="http://schemas.openxmlformats.org/officeDocument/2006/relationships/hyperlink" Target="https://www.tiktok.com/@niakurniawati" TargetMode="External"/><Relationship Id="rId1640" Type="http://schemas.openxmlformats.org/officeDocument/2006/relationships/hyperlink" Target="https://vt.tiktok.com/ZS9GdnsmF/" TargetMode="External"/><Relationship Id="rId2971" Type="http://schemas.openxmlformats.org/officeDocument/2006/relationships/hyperlink" Target="https://vt.tiktok.com/ZS94v4usy/" TargetMode="External"/><Relationship Id="rId1641" Type="http://schemas.openxmlformats.org/officeDocument/2006/relationships/hyperlink" Target="https://vt.tiktok.com/ZS9WMgRs8/" TargetMode="External"/><Relationship Id="rId2972" Type="http://schemas.openxmlformats.org/officeDocument/2006/relationships/hyperlink" Target="https://www.tiktok.com/@berkah.glosir/video/7634428733729934613?_r=1&amp;u_code=e4hbm162fcgeg9&amp;region=&amp;mid=7622622325444545300&amp;preview_pb=0&amp;sharer_language=&amp;_d=0&amp;ec_shared_reflux_dynamic_params=%7B%22placeholder_material_id%22%3A%227634428733729934613%22%2C%22placeholder_origin_cover%22%3A%22https%253A%252F%252Fp16-common-sign.tiktokcdn.com%252Ftos-alisg-p-0037%252FoURR27QAwzALUI78HWGePyeKCeGQGFeQyEInjy~tplv-tiktokx-origin.jpeg%253Fdr%253D14572%2526refresh_token%253D5f072b78%2526x-expires%253D1810116000%2526x-signature%253DKL0Heoe0S%25252Btvnc5M7a%25252FMjj0Iu9c%25253D%2526t%253D4d5b0474%2526ps%253D13740610%2526shp%253Dd05b14bd%2526shcp%253D34ff8df6%2526idc%253Dmy2%2526s%253DTIKTOK_AFFILIATE_VIRAL_VIDEO%22%2C%22placeholder_product_id%22%3A%221729729730555512511%22%2C%22placeholder_video_id%22%3A%227634428733729934613%22%7D&amp;ec_shared_reflux_scene=shop_tab_feed&amp;share_item_id=7634428733729934613&amp;source=h5_t" TargetMode="External"/><Relationship Id="rId1675" Type="http://schemas.openxmlformats.org/officeDocument/2006/relationships/hyperlink" Target="https://www.tiktok.com/@yunnifreya/video/7608065773994642696?is_from_webapp=1&amp;sender_device=pc&amp;web_id=7611930277489657360" TargetMode="External"/><Relationship Id="rId1676" Type="http://schemas.openxmlformats.org/officeDocument/2006/relationships/hyperlink" Target="https://www.tiktok.com/@bundajasmine06" TargetMode="External"/><Relationship Id="rId1677" Type="http://schemas.openxmlformats.org/officeDocument/2006/relationships/hyperlink" Target="https://www.tiktok.com/@intandws_/video/7618179244056677652?is_from_webapp=1&amp;sender_device=pc&amp;web_id=7611930277489657360" TargetMode="External"/><Relationship Id="rId1678" Type="http://schemas.openxmlformats.org/officeDocument/2006/relationships/hyperlink" Target="https://www.tiktok.com/@intandws_/video/7617797033503804692?is_from_webapp=1&amp;sender_device=pc&amp;web_id=7611930277489657360" TargetMode="External"/><Relationship Id="rId1679" Type="http://schemas.openxmlformats.org/officeDocument/2006/relationships/hyperlink" Target="https://www.tiktok.com/@intandws_/video/7617453782170897685?is_from_webapp=1&amp;sender_device=pc&amp;web_id=7611930277489657360" TargetMode="External"/><Relationship Id="rId849" Type="http://schemas.openxmlformats.org/officeDocument/2006/relationships/hyperlink" Target="https://www.tiktok.com/@raturambutpanjang3/video/7637061527379414290" TargetMode="External"/><Relationship Id="rId844" Type="http://schemas.openxmlformats.org/officeDocument/2006/relationships/hyperlink" Target="https://www.tiktok.com/@skincarerivw_aarsyi/video/7608832037180493074?is_from_webapp=1&amp;sender_device=pc" TargetMode="External"/><Relationship Id="rId843" Type="http://schemas.openxmlformats.org/officeDocument/2006/relationships/hyperlink" Target="https://www.tiktok.com/@skincarerivw_aarsyi/video/7608830644210208007?is_from_webapp=1&amp;sender_device=pc" TargetMode="External"/><Relationship Id="rId842" Type="http://schemas.openxmlformats.org/officeDocument/2006/relationships/hyperlink" Target="https://www.tiktok.com/@skincarerivw_aarsyi" TargetMode="External"/><Relationship Id="rId841" Type="http://schemas.openxmlformats.org/officeDocument/2006/relationships/hyperlink" Target="https://vt.tiktok.com/ZS9qeubA4/" TargetMode="External"/><Relationship Id="rId848" Type="http://schemas.openxmlformats.org/officeDocument/2006/relationships/hyperlink" Target="https://vt.tiktok.com/ZSuo4X98e/" TargetMode="External"/><Relationship Id="rId847" Type="http://schemas.openxmlformats.org/officeDocument/2006/relationships/hyperlink" Target="https://www.tiktok.com/@mei_arifin180899" TargetMode="External"/><Relationship Id="rId846" Type="http://schemas.openxmlformats.org/officeDocument/2006/relationships/hyperlink" Target="https://vt.tiktok.com/ZSHPReq9D/" TargetMode="External"/><Relationship Id="rId845" Type="http://schemas.openxmlformats.org/officeDocument/2006/relationships/hyperlink" Target="https://www.tiktok.com/@skincarerivw_aarsyi/video/7614093780509101330?is_from_webapp=1&amp;sender_device=pc" TargetMode="External"/><Relationship Id="rId1670" Type="http://schemas.openxmlformats.org/officeDocument/2006/relationships/hyperlink" Target="https://www.tiktok.com/@intandws_/video/7618784611081964820?is_from_webapp=1&amp;sender_device=pc&amp;web_id=7611930277489657360" TargetMode="External"/><Relationship Id="rId840" Type="http://schemas.openxmlformats.org/officeDocument/2006/relationships/hyperlink" Target="https://vt.tiktok.com/ZSHPRLxjq/" TargetMode="External"/><Relationship Id="rId1671" Type="http://schemas.openxmlformats.org/officeDocument/2006/relationships/hyperlink" Target="https://www.tiktok.com/@yunnifreya" TargetMode="External"/><Relationship Id="rId1672" Type="http://schemas.openxmlformats.org/officeDocument/2006/relationships/hyperlink" Target="https://www.tiktok.com/@yunnifreya/video/7612613753426709778?is_from_webapp=1&amp;sender_device=pc" TargetMode="External"/><Relationship Id="rId1673" Type="http://schemas.openxmlformats.org/officeDocument/2006/relationships/hyperlink" Target="https://www.tiktok.com/@yunnifreya/video/7609578161113779463?is_from_webapp=1&amp;sender_device=pc&amp;web_id=7611930277489657360" TargetMode="External"/><Relationship Id="rId1674" Type="http://schemas.openxmlformats.org/officeDocument/2006/relationships/hyperlink" Target="https://www.tiktok.com/@yunnifreya/video/7609288537409588498?is_from_webapp=1&amp;sender_device=pc&amp;web_id=7611930277489657360" TargetMode="External"/><Relationship Id="rId1664" Type="http://schemas.openxmlformats.org/officeDocument/2006/relationships/hyperlink" Target="https://www.tiktok.com/@snowme.shop/video/7628597499955072277?is_from_webapp=1&amp;sender_device=pc" TargetMode="External"/><Relationship Id="rId2995" Type="http://schemas.openxmlformats.org/officeDocument/2006/relationships/hyperlink" Target="https://www.tiktok.com/@siti_beauty" TargetMode="External"/><Relationship Id="rId1665" Type="http://schemas.openxmlformats.org/officeDocument/2006/relationships/hyperlink" Target="https://www.tiktok.com/@barokah.collection/video/7627815313295346965" TargetMode="External"/><Relationship Id="rId2996" Type="http://schemas.openxmlformats.org/officeDocument/2006/relationships/hyperlink" Target="https://vt.tiktok.com/ZS9rCEkTh/" TargetMode="External"/><Relationship Id="rId1666" Type="http://schemas.openxmlformats.org/officeDocument/2006/relationships/hyperlink" Target="https://www.tiktok.com/@nabunn_vv" TargetMode="External"/><Relationship Id="rId2997" Type="http://schemas.openxmlformats.org/officeDocument/2006/relationships/hyperlink" Target="https://vt.tiktok.com/ZS9rCnHt2/" TargetMode="External"/><Relationship Id="rId1667" Type="http://schemas.openxmlformats.org/officeDocument/2006/relationships/hyperlink" Target="https://www.tiktok.com/@its.raraaa13/video/7621741618365828359?is_from_webapp=1&amp;sender_device=pc" TargetMode="External"/><Relationship Id="rId2998" Type="http://schemas.openxmlformats.org/officeDocument/2006/relationships/hyperlink" Target="https://vt.tiktok.com/ZS9rXFmWU/" TargetMode="External"/><Relationship Id="rId1668" Type="http://schemas.openxmlformats.org/officeDocument/2006/relationships/hyperlink" Target="https://www.tiktok.com/@rezkyhamdayani277/video/7628627256985865480?is_from_webapp=1&amp;sender_device=pc&amp;web_id=7611930277489657360" TargetMode="External"/><Relationship Id="rId2999" Type="http://schemas.openxmlformats.org/officeDocument/2006/relationships/hyperlink" Target="https://vt.tiktok.com/ZS9rX25kn/" TargetMode="External"/><Relationship Id="rId1669" Type="http://schemas.openxmlformats.org/officeDocument/2006/relationships/hyperlink" Target="https://www.tiktok.com/@intandws_/video/7622620492352064788?is_from_webapp=1&amp;sender_device=pc&amp;web_id=7611930277489657360" TargetMode="External"/><Relationship Id="rId839" Type="http://schemas.openxmlformats.org/officeDocument/2006/relationships/hyperlink" Target="https://www.tiktok.com/@mardi_yanti" TargetMode="External"/><Relationship Id="rId838" Type="http://schemas.openxmlformats.org/officeDocument/2006/relationships/hyperlink" Target="https://vt.tiktok.com/ZS9V3WVpy/" TargetMode="External"/><Relationship Id="rId833" Type="http://schemas.openxmlformats.org/officeDocument/2006/relationships/hyperlink" Target="https://www.tiktok.com/@glowyng_barengyuk" TargetMode="External"/><Relationship Id="rId832" Type="http://schemas.openxmlformats.org/officeDocument/2006/relationships/hyperlink" Target="https://vt.tiktok.com/ZSuerSr5T/" TargetMode="External"/><Relationship Id="rId831" Type="http://schemas.openxmlformats.org/officeDocument/2006/relationships/hyperlink" Target="https://vt.tiktok.com/ZSmg14JVk/" TargetMode="External"/><Relationship Id="rId830" Type="http://schemas.openxmlformats.org/officeDocument/2006/relationships/hyperlink" Target="https://www.tiktok.com/@ttarisna" TargetMode="External"/><Relationship Id="rId837" Type="http://schemas.openxmlformats.org/officeDocument/2006/relationships/hyperlink" Target="https://vt.tiktok.com/ZSHPR6B5A/" TargetMode="External"/><Relationship Id="rId836" Type="http://schemas.openxmlformats.org/officeDocument/2006/relationships/hyperlink" Target="https://vt.tiktok.com/ZSHPdRqfY/" TargetMode="External"/><Relationship Id="rId835" Type="http://schemas.openxmlformats.org/officeDocument/2006/relationships/hyperlink" Target="https://www.tiktok.com/@olaak07" TargetMode="External"/><Relationship Id="rId834" Type="http://schemas.openxmlformats.org/officeDocument/2006/relationships/hyperlink" Target="https://vt.tiktok.com/ZSmDXfKgP/" TargetMode="External"/><Relationship Id="rId2990" Type="http://schemas.openxmlformats.org/officeDocument/2006/relationships/hyperlink" Target="https://www.tiktok.com/@fidyaashacc" TargetMode="External"/><Relationship Id="rId1660" Type="http://schemas.openxmlformats.org/officeDocument/2006/relationships/hyperlink" Target="https://vt.tiktok.com/ZSxQtrDcH/" TargetMode="External"/><Relationship Id="rId2991" Type="http://schemas.openxmlformats.org/officeDocument/2006/relationships/hyperlink" Target="https://vt.tiktok.com/ZS9jjPmBu/" TargetMode="External"/><Relationship Id="rId1661" Type="http://schemas.openxmlformats.org/officeDocument/2006/relationships/hyperlink" Target="https://www.tiktok.com/@mariasianturi4" TargetMode="External"/><Relationship Id="rId2992" Type="http://schemas.openxmlformats.org/officeDocument/2006/relationships/hyperlink" Target="https://vt.tiktok.com/ZS9jjQQay/" TargetMode="External"/><Relationship Id="rId1662" Type="http://schemas.openxmlformats.org/officeDocument/2006/relationships/hyperlink" Target="https://www.tiktok.com/@_stesicahya/video/7628485517620890898?is_from_webapp=1&amp;sender_device=pc&amp;web_id=7611930277489657360" TargetMode="External"/><Relationship Id="rId2993" Type="http://schemas.openxmlformats.org/officeDocument/2006/relationships/hyperlink" Target="https://vt.tiktok.com/ZS9rX15mL/" TargetMode="External"/><Relationship Id="rId1663" Type="http://schemas.openxmlformats.org/officeDocument/2006/relationships/hyperlink" Target="https://www.tiktok.com/@snowme.shop/video/7628552434100636948?is_from_webapp=1&amp;sender_device=pc" TargetMode="External"/><Relationship Id="rId2994" Type="http://schemas.openxmlformats.org/officeDocument/2006/relationships/hyperlink" Target="https://vt.tiktok.com/ZS9rXYdVJ/" TargetMode="External"/><Relationship Id="rId6506" Type="http://schemas.openxmlformats.org/officeDocument/2006/relationships/hyperlink" Target="https://vt.tiktok.com/ZS9H2BvDV/" TargetMode="External"/><Relationship Id="rId7838" Type="http://schemas.openxmlformats.org/officeDocument/2006/relationships/hyperlink" Target="https://vt.tiktok.com/ZSxmeqoxF/" TargetMode="External"/><Relationship Id="rId6507" Type="http://schemas.openxmlformats.org/officeDocument/2006/relationships/hyperlink" Target="https://vt.tiktok.com/ZS9H2LwwK/" TargetMode="External"/><Relationship Id="rId7837" Type="http://schemas.openxmlformats.org/officeDocument/2006/relationships/hyperlink" Target="https://vt.tiktok.com/ZSxmeao9u/" TargetMode="External"/><Relationship Id="rId6504" Type="http://schemas.openxmlformats.org/officeDocument/2006/relationships/hyperlink" Target="https://vt.tiktok.com/ZS9H2eUCb/" TargetMode="External"/><Relationship Id="rId7836" Type="http://schemas.openxmlformats.org/officeDocument/2006/relationships/hyperlink" Target="https://www.tiktok.com/@cintiashop22" TargetMode="External"/><Relationship Id="rId6505" Type="http://schemas.openxmlformats.org/officeDocument/2006/relationships/hyperlink" Target="https://www.tiktok.com/@_lupakasihnama" TargetMode="External"/><Relationship Id="rId7835" Type="http://schemas.openxmlformats.org/officeDocument/2006/relationships/hyperlink" Target="https://vt.tiktok.com/ZSx9yn96m/" TargetMode="External"/><Relationship Id="rId6508" Type="http://schemas.openxmlformats.org/officeDocument/2006/relationships/hyperlink" Target="https://vt.tiktok.com/ZS9H2PPny/" TargetMode="External"/><Relationship Id="rId6509" Type="http://schemas.openxmlformats.org/officeDocument/2006/relationships/hyperlink" Target="https://vt.tiktok.com/ZS9H2eUCb/" TargetMode="External"/><Relationship Id="rId7839" Type="http://schemas.openxmlformats.org/officeDocument/2006/relationships/hyperlink" Target="https://vt.tiktok.com/ZSxme1sw4/" TargetMode="External"/><Relationship Id="rId7830" Type="http://schemas.openxmlformats.org/officeDocument/2006/relationships/hyperlink" Target="https://vt.tiktok.com/ZSx9yxHVX/" TargetMode="External"/><Relationship Id="rId6502" Type="http://schemas.openxmlformats.org/officeDocument/2006/relationships/hyperlink" Target="https://vt.tiktok.com/ZS9H2LwwK/" TargetMode="External"/><Relationship Id="rId7834" Type="http://schemas.openxmlformats.org/officeDocument/2006/relationships/hyperlink" Target="https://vt.tiktok.com/ZSx9f16Nj/" TargetMode="External"/><Relationship Id="rId6503" Type="http://schemas.openxmlformats.org/officeDocument/2006/relationships/hyperlink" Target="https://vt.tiktok.com/ZS9H2PPny/" TargetMode="External"/><Relationship Id="rId7833" Type="http://schemas.openxmlformats.org/officeDocument/2006/relationships/hyperlink" Target="https://vt.tiktok.com/ZSx9yctYv/" TargetMode="External"/><Relationship Id="rId6500" Type="http://schemas.openxmlformats.org/officeDocument/2006/relationships/hyperlink" Target="https://www.tiktok.com/@paulina_lie" TargetMode="External"/><Relationship Id="rId7832" Type="http://schemas.openxmlformats.org/officeDocument/2006/relationships/hyperlink" Target="https://www.tiktok.com/@acita27" TargetMode="External"/><Relationship Id="rId6501" Type="http://schemas.openxmlformats.org/officeDocument/2006/relationships/hyperlink" Target="https://vt.tiktok.com/ZS9H2BvDV/" TargetMode="External"/><Relationship Id="rId7831" Type="http://schemas.openxmlformats.org/officeDocument/2006/relationships/hyperlink" Target="https://vt.tiktok.com/ZSx9ySUhu/" TargetMode="External"/><Relationship Id="rId7827" Type="http://schemas.openxmlformats.org/officeDocument/2006/relationships/hyperlink" Target="https://vt.tiktok.com/ZSxmGM77p/" TargetMode="External"/><Relationship Id="rId7826" Type="http://schemas.openxmlformats.org/officeDocument/2006/relationships/hyperlink" Target="https://www.tiktok.com/@titikzyp2a3/video/7635511746144357650?_r=1&amp;u_code=e9l98g7d7h5880&amp;region=&amp;mid=7613023919407466497&amp;preview_pb=0&amp;sharer_language=&amp;_d=0&amp;ec_shared_reflux_dynamic_params=%7B%22placeholder_material_id%22%3A%227635511746144357650%22%2C%22placeholder_origin_cover%22%3A%22https%253A%252F%252Fp19-common-sign.tiktokcdn.com%252Ftos-alisg-p-0037%252FoUJ7Ge1XIIHoQwkteCTALCYtQIjZAHHIHDzpVe~tplv-tiktokx-origin.jpeg%253Fdr%253D14572%2526refresh_token%253D3cb6504e%2526x-expires%253D1809507600%2526x-signature%253DYiWJ%25252FDat3wu%25252BOqP84CvOiX4NU9o%25253D%2526t%253D4d5b0474%2526ps%253D13740610%2526shp%253Dd05b14bd%2526shcp%253D34ff8df6%2526idc%253Dmy%2526s%253DTIKTOK_AFFILIATE_VIRAL_VIDEO%22%2C%22placeholder_product_id%22%3A%221729427766722726591%22%2C%22placeholder_video_id%22%3A%227635511746144357650%22%7D&amp;ec_shared_reflux_scene=shop_tab_feed&amp;share_item_id=7635511746144357650&amp;source=h5_t" TargetMode="External"/><Relationship Id="rId7825" Type="http://schemas.openxmlformats.org/officeDocument/2006/relationships/hyperlink" Target="https://www.tiktok.com/@titikzyp2a3/video/7634152791769926919?_r=1&amp;u_code=e9l98g7d7h5880&amp;region=&amp;mid=7608559003840400145&amp;preview_pb=0&amp;sharer_language=&amp;_d=0&amp;ec_shared_reflux_dynamic_params=%7B%22placeholder_material_id%22%3A%227634152791769926919%22%2C%22placeholder_origin_cover%22%3A%22https%253A%252F%252Fp16-common-sign.tiktokcdn.com%252Ftos-alisg-p-0037%252FoAqU3AfdUeIBQ9RzE5g4IAiikzXXJpxYBwBPB7~tplv-tiktokx-origin.jpeg%253Fdr%253D14572%2526refresh_token%253D02603b4f%2526x-expires%253D1809507600%2526x-signature%253DVtg80E3piASOsVu%25252BGXf5Y%25252Bn0qdE%25253D%2526t%253D4d5b0474%2526ps%253D13740610%2526shp%253Dd05b14bd%2526shcp%253D34ff8df6%2526idc%253Dmy%2526s%253DTIKTOK_AFFILIATE_VIRAL_VIDEO%22%2C%22placeholder_product_id%22%3A%221729427766722726591%22%2C%22placeholder_video_id%22%3A%227634152791769926919%22%7D&amp;ec_shared_reflux_scene=shop_tab_feed&amp;share_item_id=7634152791769926919&amp;source=h5_t" TargetMode="External"/><Relationship Id="rId7824" Type="http://schemas.openxmlformats.org/officeDocument/2006/relationships/hyperlink" Target="https://www.tiktok.com/@titikzyp2a3/video/7633352369392143624?_r=1&amp;u_code=e9l98g7d7h5880&amp;region=&amp;mid=7046970598518196225&amp;preview_pb=0&amp;sharer_language=&amp;_d=0&amp;ec_shared_reflux_dynamic_params=%7B%22placeholder_material_id%22%3A%227633352369392143624%22%2C%22placeholder_origin_cover%22%3A%22https%253A%252F%252Fp16-common-sign.tiktokcdn.com%252Ftos-alisg-p-0037%252FoYZIAejvuANjGaSQCbwIAzCoHD3LQMkFTfr6qf~tplv-tiktokx-origin.jpeg%253Fdr%253D14572%2526refresh_token%253D920dbd62%2526x-expires%253D1808992800%2526x-signature%253D4lYxUlq0xftH2eVYy%25252BeBtAM2Uj0%25253D%2526t%253D4d5b0474%2526ps%253D13740610%2526shp%253Dd05b14bd%2526shcp%253D34ff8df6%2526idc%253Dmy2%2526s%253DTIKTOK_AFFILIATE_VIRAL_VIDEO%22%2C%22placeholder_product_id%22%3A%221729427766722726591%22%2C%22placeholder_video_id%22%3A%227633352369392143624%22%7D&amp;ec_shared_reflux_scene=shop_tab_feed&amp;share_item_id=7633352369392143624&amp;source=h5_t" TargetMode="External"/><Relationship Id="rId7829" Type="http://schemas.openxmlformats.org/officeDocument/2006/relationships/hyperlink" Target="https://vt.tiktok.com/ZSx9yhjtA/" TargetMode="External"/><Relationship Id="rId7828" Type="http://schemas.openxmlformats.org/officeDocument/2006/relationships/hyperlink" Target="https://www.tiktok.com/@caretips4" TargetMode="External"/><Relationship Id="rId7823" Type="http://schemas.openxmlformats.org/officeDocument/2006/relationships/hyperlink" Target="https://www.tiktok.com/@vilmeeeeeee" TargetMode="External"/><Relationship Id="rId7822" Type="http://schemas.openxmlformats.org/officeDocument/2006/relationships/hyperlink" Target="https://vt.tiktok.com/ZSxmsETED/" TargetMode="External"/><Relationship Id="rId7821" Type="http://schemas.openxmlformats.org/officeDocument/2006/relationships/hyperlink" Target="https://vt.tiktok.com/ZSxU37RP8/" TargetMode="External"/><Relationship Id="rId7820" Type="http://schemas.openxmlformats.org/officeDocument/2006/relationships/hyperlink" Target="https://vt.tiktok.com/ZSxU3goaL/" TargetMode="External"/><Relationship Id="rId6528" Type="http://schemas.openxmlformats.org/officeDocument/2006/relationships/hyperlink" Target="https://vt.tiktok.com/ZS9H2PPny/" TargetMode="External"/><Relationship Id="rId6529" Type="http://schemas.openxmlformats.org/officeDocument/2006/relationships/hyperlink" Target="https://vt.tiktok.com/ZS9H2eUCb/" TargetMode="External"/><Relationship Id="rId7859" Type="http://schemas.openxmlformats.org/officeDocument/2006/relationships/hyperlink" Target="https://vt.tiktok.com/ZSxyPbKba/" TargetMode="External"/><Relationship Id="rId6526" Type="http://schemas.openxmlformats.org/officeDocument/2006/relationships/hyperlink" Target="https://vt.tiktok.com/ZSQJCPG1r/" TargetMode="External"/><Relationship Id="rId7858" Type="http://schemas.openxmlformats.org/officeDocument/2006/relationships/hyperlink" Target="https://vt.tiktok.com/ZSxyPqqLS/" TargetMode="External"/><Relationship Id="rId6527" Type="http://schemas.openxmlformats.org/officeDocument/2006/relationships/hyperlink" Target="https://vt.tiktok.com/ZS9H2LwwK/" TargetMode="External"/><Relationship Id="rId7857" Type="http://schemas.openxmlformats.org/officeDocument/2006/relationships/hyperlink" Target="https://vt.tiktok.com/ZSxyPpR9G/" TargetMode="External"/><Relationship Id="rId6520" Type="http://schemas.openxmlformats.org/officeDocument/2006/relationships/hyperlink" Target="https://www.tiktok.com/@racunskincare807" TargetMode="External"/><Relationship Id="rId7852" Type="http://schemas.openxmlformats.org/officeDocument/2006/relationships/hyperlink" Target="https://vt.tiktok.com/ZS9ovyYUW/" TargetMode="External"/><Relationship Id="rId6521" Type="http://schemas.openxmlformats.org/officeDocument/2006/relationships/hyperlink" Target="https://vt.tiktok.com/ZS9H2BvDV/" TargetMode="External"/><Relationship Id="rId7851" Type="http://schemas.openxmlformats.org/officeDocument/2006/relationships/hyperlink" Target="https://www.tiktok.com/@inafauziyah28" TargetMode="External"/><Relationship Id="rId7850" Type="http://schemas.openxmlformats.org/officeDocument/2006/relationships/hyperlink" Target="https://vt.tiktok.com/ZSxyPgRQc/" TargetMode="External"/><Relationship Id="rId6524" Type="http://schemas.openxmlformats.org/officeDocument/2006/relationships/hyperlink" Target="https://vt.tiktok.com/ZS9H2eUCb/" TargetMode="External"/><Relationship Id="rId7856" Type="http://schemas.openxmlformats.org/officeDocument/2006/relationships/hyperlink" Target="https://vt.tiktok.com/ZSxyPu73N/" TargetMode="External"/><Relationship Id="rId6525" Type="http://schemas.openxmlformats.org/officeDocument/2006/relationships/hyperlink" Target="https://www.tiktok.com/@vinawidyap_" TargetMode="External"/><Relationship Id="rId7855" Type="http://schemas.openxmlformats.org/officeDocument/2006/relationships/hyperlink" Target="https://www.tiktok.com/@irhamramadhan0310" TargetMode="External"/><Relationship Id="rId6522" Type="http://schemas.openxmlformats.org/officeDocument/2006/relationships/hyperlink" Target="https://vt.tiktok.com/ZS9H2LwwK/" TargetMode="External"/><Relationship Id="rId7854" Type="http://schemas.openxmlformats.org/officeDocument/2006/relationships/hyperlink" Target="https://vt.tiktok.com/ZSxyPuj76/" TargetMode="External"/><Relationship Id="rId6523" Type="http://schemas.openxmlformats.org/officeDocument/2006/relationships/hyperlink" Target="https://vt.tiktok.com/ZS9H2PPny/" TargetMode="External"/><Relationship Id="rId7853" Type="http://schemas.openxmlformats.org/officeDocument/2006/relationships/hyperlink" Target="https://vt.tiktok.com/ZS9ovkvoy/" TargetMode="External"/><Relationship Id="rId6517" Type="http://schemas.openxmlformats.org/officeDocument/2006/relationships/hyperlink" Target="https://vt.tiktok.com/ZS9H2LwwK/" TargetMode="External"/><Relationship Id="rId7849" Type="http://schemas.openxmlformats.org/officeDocument/2006/relationships/hyperlink" Target="https://vt.tiktok.com/ZSxyPg4GN/" TargetMode="External"/><Relationship Id="rId6518" Type="http://schemas.openxmlformats.org/officeDocument/2006/relationships/hyperlink" Target="https://vt.tiktok.com/ZS9H2PPny/" TargetMode="External"/><Relationship Id="rId7848" Type="http://schemas.openxmlformats.org/officeDocument/2006/relationships/hyperlink" Target="https://vt.tiktok.com/ZSxyPnmbe/" TargetMode="External"/><Relationship Id="rId6515" Type="http://schemas.openxmlformats.org/officeDocument/2006/relationships/hyperlink" Target="https://www.tiktok.com/@Spilby_anisusanti" TargetMode="External"/><Relationship Id="rId7847" Type="http://schemas.openxmlformats.org/officeDocument/2006/relationships/hyperlink" Target="https://vt.tiktok.com/ZSxyPy46y/" TargetMode="External"/><Relationship Id="rId6516" Type="http://schemas.openxmlformats.org/officeDocument/2006/relationships/hyperlink" Target="https://vt.tiktok.com/ZS9H2BvDV/" TargetMode="External"/><Relationship Id="rId7846" Type="http://schemas.openxmlformats.org/officeDocument/2006/relationships/hyperlink" Target="https://www.tiktok.com/@rismaracing87" TargetMode="External"/><Relationship Id="rId6519" Type="http://schemas.openxmlformats.org/officeDocument/2006/relationships/hyperlink" Target="https://vt.tiktok.com/ZS9H2eUCb/" TargetMode="External"/><Relationship Id="rId7841" Type="http://schemas.openxmlformats.org/officeDocument/2006/relationships/hyperlink" Target="https://www.tiktok.com/@sipin_13" TargetMode="External"/><Relationship Id="rId6510" Type="http://schemas.openxmlformats.org/officeDocument/2006/relationships/hyperlink" Target="https://www.tiktok.com/@2noviaramadhan" TargetMode="External"/><Relationship Id="rId7840" Type="http://schemas.openxmlformats.org/officeDocument/2006/relationships/hyperlink" Target="https://vt.tiktok.com/ZSxmeUUYa/" TargetMode="External"/><Relationship Id="rId6513" Type="http://schemas.openxmlformats.org/officeDocument/2006/relationships/hyperlink" Target="https://vt.tiktok.com/ZS9H2PPny/" TargetMode="External"/><Relationship Id="rId7845" Type="http://schemas.openxmlformats.org/officeDocument/2006/relationships/hyperlink" Target="https://vt.tiktok.com/ZSxyP72BK/" TargetMode="External"/><Relationship Id="rId6514" Type="http://schemas.openxmlformats.org/officeDocument/2006/relationships/hyperlink" Target="https://vt.tiktok.com/ZS9H2eUCb/" TargetMode="External"/><Relationship Id="rId7844" Type="http://schemas.openxmlformats.org/officeDocument/2006/relationships/hyperlink" Target="https://vt.tiktok.com/ZSx9ynb5D/" TargetMode="External"/><Relationship Id="rId6511" Type="http://schemas.openxmlformats.org/officeDocument/2006/relationships/hyperlink" Target="https://vt.tiktok.com/ZS9H2BvDV/" TargetMode="External"/><Relationship Id="rId7843" Type="http://schemas.openxmlformats.org/officeDocument/2006/relationships/hyperlink" Target="https://www.tiktok.com/@sarsaparillaa/video/7634977370390285589?_r=1&amp;u_code=6198hfcj6k43c&amp;region=&amp;mid=7632888350513908501&amp;preview_pb=0&amp;sharer_language=&amp;_d=0&amp;ec_shared_reflux_dynamic_params=%7B%22placeholder_material_id%22%3A%227634977370390285589%22%2C%22placeholder_origin_cover%22%3A%22https%253A%252F%252Fp16-common-sign.tiktokcdn.com%252Ftos-alisg-p-0037%252FoAEhSAIgUgAFCEO4LHRRq9fhFMD2BBsIfB4pM0~tplv-tiktokx-origin.jpeg%253Fdr%253D14572%2526refresh_token%253D95d46316%2526x-expires%253D1809504000%2526x-signature%253D0fEaBXznpOgeH2YAMtRu7%25252B3P2Y4%25253D%2526t%253D4d5b0474%2526ps%253D13740610%2526shp%253Dd05b14bd%2526shcp%253D34ff8df6%2526idc%253Dmy%2526s%253DTIKTOK_AFFILIATE_VIRAL_VIDEO%22%2C%22placeholder_product_id%22%3A%221729427766722726591%22%2C%22placeholder_video_id%22%3A%227634977370390285589%22%7D&amp;ec_shared_reflux_scene=shop_tab_feed&amp;share_item_id=7634977370390285589&amp;source=h5_t" TargetMode="External"/><Relationship Id="rId6512" Type="http://schemas.openxmlformats.org/officeDocument/2006/relationships/hyperlink" Target="https://vt.tiktok.com/ZS9H2LwwK/" TargetMode="External"/><Relationship Id="rId7842" Type="http://schemas.openxmlformats.org/officeDocument/2006/relationships/hyperlink" Target="https://www.tiktok.com/@sarsaparillaa/video/7634942262597750037?_r=1&amp;u_code=6198hfcj6k43c&amp;region=&amp;mid=7619742846682400785&amp;preview_pb=0&amp;sharer_language=&amp;_d=0&amp;ec_shared_reflux_dynamic_params=%7B%22placeholder_material_id%22%3A%227634942262597750037%22%2C%22placeholder_origin_cover%22%3A%22https%253A%252F%252Fp16-common-sign.tiktokcdn.com%252Ftos-alisg-p-0037%252FowcNQUa7LDAxhrEeiMF9BRpCvEtgxBP9QIf5pE~tplv-tiktokx-origin.jpeg%253Fdr%253D14572%2526refresh_token%253D31cfb09e%2526x-expires%253D1809504000%2526x-signature%253DW0jbDihJpjiJdmv%25252FAxwl%25252FqQe8aw%25253D%2526t%253D4d5b0474%2526ps%253D13740610%2526shp%253Dd05b14bd%2526shcp%253D34ff8df6%2526idc%253Dmy%2526s%253DTIKTOK_AFFILIATE_VIRAL_VIDEO%22%2C%22placeholder_product_id%22%3A%221729427766722726591%22%2C%22placeholder_video_id%22%3A%227634942262597750037%22%7D&amp;ec_shared_reflux_scene=shop_tab_feed&amp;share_item_id=7634942262597750037&amp;source=h5_t" TargetMode="External"/><Relationship Id="rId899" Type="http://schemas.openxmlformats.org/officeDocument/2006/relationships/hyperlink" Target="https://www.tiktok.com/@nina_kadier/video/7620224540446084360?is_from_webapp=1&amp;sender_device=pc" TargetMode="External"/><Relationship Id="rId898" Type="http://schemas.openxmlformats.org/officeDocument/2006/relationships/hyperlink" Target="https://vt.tiktok.com/ZSHPdE8t6/" TargetMode="External"/><Relationship Id="rId897" Type="http://schemas.openxmlformats.org/officeDocument/2006/relationships/hyperlink" Target="https://vt.tiktok.com/ZSHPR1n4x/" TargetMode="External"/><Relationship Id="rId896" Type="http://schemas.openxmlformats.org/officeDocument/2006/relationships/hyperlink" Target="https://vt.tiktok.com/ZSHPdokpg/" TargetMode="External"/><Relationship Id="rId891" Type="http://schemas.openxmlformats.org/officeDocument/2006/relationships/hyperlink" Target="https://www.tiktok.com/@kepiting.rebus1/video/7615199694465027335?is_from_webapp=1&amp;sender_device=pc" TargetMode="External"/><Relationship Id="rId890" Type="http://schemas.openxmlformats.org/officeDocument/2006/relationships/hyperlink" Target="https://www.tiktok.com/@kepiting.rebus1" TargetMode="External"/><Relationship Id="rId895" Type="http://schemas.openxmlformats.org/officeDocument/2006/relationships/hyperlink" Target="https://www.tiktok.com/@faladinaa" TargetMode="External"/><Relationship Id="rId894" Type="http://schemas.openxmlformats.org/officeDocument/2006/relationships/hyperlink" Target="https://vt.tiktok.com/ZSHPd3YMj/" TargetMode="External"/><Relationship Id="rId893" Type="http://schemas.openxmlformats.org/officeDocument/2006/relationships/hyperlink" Target="https://vt.tiktok.com/ZSHPdEeAV/" TargetMode="External"/><Relationship Id="rId892" Type="http://schemas.openxmlformats.org/officeDocument/2006/relationships/hyperlink" Target="https://vt.tiktok.com/ZSHPR2Xk5/" TargetMode="External"/><Relationship Id="rId7816" Type="http://schemas.openxmlformats.org/officeDocument/2006/relationships/hyperlink" Target="https://vt.tiktok.com/ZSxS7RhGf/" TargetMode="External"/><Relationship Id="rId7815" Type="http://schemas.openxmlformats.org/officeDocument/2006/relationships/hyperlink" Target="https://vt.tiktok.com/ZSxS78d4g/" TargetMode="External"/><Relationship Id="rId7814" Type="http://schemas.openxmlformats.org/officeDocument/2006/relationships/hyperlink" Target="https://vt.tiktok.com/ZSxS7dkAF/" TargetMode="External"/><Relationship Id="rId7813" Type="http://schemas.openxmlformats.org/officeDocument/2006/relationships/hyperlink" Target="https://www.tiktok.com/@reskyimma" TargetMode="External"/><Relationship Id="rId7819" Type="http://schemas.openxmlformats.org/officeDocument/2006/relationships/hyperlink" Target="https://vt.tiktok.com/ZSxU3KfDc/" TargetMode="External"/><Relationship Id="rId7818" Type="http://schemas.openxmlformats.org/officeDocument/2006/relationships/hyperlink" Target="https://www.tiktok.com/@mamanur_shop" TargetMode="External"/><Relationship Id="rId7817" Type="http://schemas.openxmlformats.org/officeDocument/2006/relationships/hyperlink" Target="https://vt.tiktok.com/ZSxU3CdQq/" TargetMode="External"/><Relationship Id="rId7812" Type="http://schemas.openxmlformats.org/officeDocument/2006/relationships/hyperlink" Target="https://vt.tiktok.com/ZSxS78U71/" TargetMode="External"/><Relationship Id="rId7811" Type="http://schemas.openxmlformats.org/officeDocument/2006/relationships/hyperlink" Target="https://vt.tiktok.com/ZSxS7FRu2/" TargetMode="External"/><Relationship Id="rId7810" Type="http://schemas.openxmlformats.org/officeDocument/2006/relationships/hyperlink" Target="https://vt.tiktok.com/ZSxS7jRYr/" TargetMode="External"/><Relationship Id="rId7805" Type="http://schemas.openxmlformats.org/officeDocument/2006/relationships/hyperlink" Target="https://vt.tiktok.com/ZSxmpK193/" TargetMode="External"/><Relationship Id="rId7804" Type="http://schemas.openxmlformats.org/officeDocument/2006/relationships/hyperlink" Target="https://vt.tiktok.com/ZSxmeHRef/" TargetMode="External"/><Relationship Id="rId7803" Type="http://schemas.openxmlformats.org/officeDocument/2006/relationships/hyperlink" Target="https://www.tiktok.com/@umiaisyahser1skincer" TargetMode="External"/><Relationship Id="rId7802" Type="http://schemas.openxmlformats.org/officeDocument/2006/relationships/hyperlink" Target="https://vt.tiktok.com/ZS9H2eUCb/" TargetMode="External"/><Relationship Id="rId7809" Type="http://schemas.openxmlformats.org/officeDocument/2006/relationships/hyperlink" Target="https://vt.tiktok.com/ZSxrGBVXr/" TargetMode="External"/><Relationship Id="rId7808" Type="http://schemas.openxmlformats.org/officeDocument/2006/relationships/hyperlink" Target="https://www.tiktok.com/@prestiapriliani" TargetMode="External"/><Relationship Id="rId7807" Type="http://schemas.openxmlformats.org/officeDocument/2006/relationships/hyperlink" Target="https://vt.tiktok.com/ZSxmeG7TR/" TargetMode="External"/><Relationship Id="rId7806" Type="http://schemas.openxmlformats.org/officeDocument/2006/relationships/hyperlink" Target="https://vt.tiktok.com/ZSxmeXeGF/" TargetMode="External"/><Relationship Id="rId7801" Type="http://schemas.openxmlformats.org/officeDocument/2006/relationships/hyperlink" Target="https://vt.tiktok.com/ZS9H2PPny/" TargetMode="External"/><Relationship Id="rId7800" Type="http://schemas.openxmlformats.org/officeDocument/2006/relationships/hyperlink" Target="https://vt.tiktok.com/ZS9H2LwwK/" TargetMode="External"/></Relationships>
</file>

<file path=xl/worksheets/_rels/sheet17.xml.rels><?xml version="1.0" encoding="UTF-8" standalone="yes"?><Relationships xmlns="http://schemas.openxmlformats.org/package/2006/relationships"><Relationship Id="rId190" Type="http://schemas.openxmlformats.org/officeDocument/2006/relationships/hyperlink" Target="https://vt.tiktok.com/ZSmEpfXNQ/" TargetMode="External"/><Relationship Id="rId194" Type="http://schemas.openxmlformats.org/officeDocument/2006/relationships/hyperlink" Target="https://www.tiktok.com/@mei_arifin180899" TargetMode="External"/><Relationship Id="rId193" Type="http://schemas.openxmlformats.org/officeDocument/2006/relationships/hyperlink" Target="https://vt.tiktok.com/ZSH6asrWo/" TargetMode="External"/><Relationship Id="rId192" Type="http://schemas.openxmlformats.org/officeDocument/2006/relationships/hyperlink" Target="https://vt.tiktok.com/ZSuB5mMDe/" TargetMode="External"/><Relationship Id="rId191" Type="http://schemas.openxmlformats.org/officeDocument/2006/relationships/hyperlink" Target="https://www.tiktok.com/@ruangsehari_" TargetMode="External"/><Relationship Id="rId187" Type="http://schemas.openxmlformats.org/officeDocument/2006/relationships/hyperlink" Target="https://vt.tiktok.com/ZSuxoQyfJ" TargetMode="External"/><Relationship Id="rId186" Type="http://schemas.openxmlformats.org/officeDocument/2006/relationships/hyperlink" Target="https://www.tiktok.com/@idasela09" TargetMode="External"/><Relationship Id="rId185" Type="http://schemas.openxmlformats.org/officeDocument/2006/relationships/hyperlink" Target="https://vt.tiktok.com/ZSumwa6YG/" TargetMode="External"/><Relationship Id="rId184" Type="http://schemas.openxmlformats.org/officeDocument/2006/relationships/hyperlink" Target="https://vt.tiktok.com/ZSuULE9Fw/" TargetMode="External"/><Relationship Id="rId189" Type="http://schemas.openxmlformats.org/officeDocument/2006/relationships/hyperlink" Target="https://www.tiktok.com/@emak_kekinian" TargetMode="External"/><Relationship Id="rId188" Type="http://schemas.openxmlformats.org/officeDocument/2006/relationships/hyperlink" Target="https://www.tiktok.com/@idasela09/video/7622856985502813448?_r=1&amp;u_code=dfe0lg8b175fi1&amp;region=&amp;mid=7622857005656558344&amp;preview_pb=0&amp;sharer_language=&amp;_d=0&amp;ec_shared_reflux_dynamic_params=%7B%22placeholder_material_id%22%3A%227622856985502813448%22%2C%22placeholder_origin_cover%22%3A%22https%253A%252F%252Fp16-common-sign.tiktokcdn.com%252Ftos-alisg-p-0037%252FoYIJIBBDR1ByAGDpZFzIfF2XzKeEVE6gU7dBBj~tplv-tiktokx-origin.jpeg%253Fdr%253D14572%2526refresh_token%253D9edb3fdd%2526x-expires%253D1807581600%2526x-signature%253DFHmhr0zi4FL6jH6Ot6LuChZrI44%25253D%2526t%253D4d5b0474%2526ps%253D13740610%2526shp%253Dd05b14bd%2526shcp%253D34ff8df6%2526idc%253Dmy2%2526s%253DTIKTOK_AFFILIATE_VIRAL_VIDEO%22%2C%22placeholder_product_id%22%3A%221729917357927597223%22%2C%22placeholder_video_id%22%3A%227622856985502813448%22%7D&amp;ec_shared_reflux_scene=shop_tab_feed&amp;share_item_id=7622856985502813448&amp;source=h5_t" TargetMode="External"/><Relationship Id="rId183" Type="http://schemas.openxmlformats.org/officeDocument/2006/relationships/hyperlink" Target="https://vt.tiktok.com/ZSuUN1WUF/" TargetMode="External"/><Relationship Id="rId182" Type="http://schemas.openxmlformats.org/officeDocument/2006/relationships/hyperlink" Target="https://www.tiktok.com/@.bang.fey" TargetMode="External"/><Relationship Id="rId181" Type="http://schemas.openxmlformats.org/officeDocument/2006/relationships/hyperlink" Target="https://vt.tiktok.com/ZSHtGXx9c/" TargetMode="External"/><Relationship Id="rId180" Type="http://schemas.openxmlformats.org/officeDocument/2006/relationships/hyperlink" Target="https://www.tiktok.com/@nonazawa" TargetMode="External"/><Relationship Id="rId176" Type="http://schemas.openxmlformats.org/officeDocument/2006/relationships/hyperlink" Target="https://www.tiktok.com/@teguhprass_1992" TargetMode="External"/><Relationship Id="rId175" Type="http://schemas.openxmlformats.org/officeDocument/2006/relationships/hyperlink" Target="https://vt.tiktok.com/ZSuacqNXp/" TargetMode="External"/><Relationship Id="rId174" Type="http://schemas.openxmlformats.org/officeDocument/2006/relationships/hyperlink" Target="https://vt.tiktok.com/ZSuDg6fD8/" TargetMode="External"/><Relationship Id="rId173" Type="http://schemas.openxmlformats.org/officeDocument/2006/relationships/hyperlink" Target="https://vt.tiktok.com/ZSu1t9XmE/" TargetMode="External"/><Relationship Id="rId179" Type="http://schemas.openxmlformats.org/officeDocument/2006/relationships/hyperlink" Target="https://vt.tiktok.com/ZSHoYVGty/" TargetMode="External"/><Relationship Id="rId178" Type="http://schemas.openxmlformats.org/officeDocument/2006/relationships/hyperlink" Target="https://vt.tiktok.com/ZSuSpak9d/" TargetMode="External"/><Relationship Id="rId177" Type="http://schemas.openxmlformats.org/officeDocument/2006/relationships/hyperlink" Target="https://vt.tiktok.com/ZSmVGAJVW/" TargetMode="External"/><Relationship Id="rId198" Type="http://schemas.openxmlformats.org/officeDocument/2006/relationships/hyperlink" Target="https://www.tiktok.com/@galeyyaid23" TargetMode="External"/><Relationship Id="rId197" Type="http://schemas.openxmlformats.org/officeDocument/2006/relationships/hyperlink" Target="https://www.tiktok.com/@davidwilliemr" TargetMode="External"/><Relationship Id="rId196" Type="http://schemas.openxmlformats.org/officeDocument/2006/relationships/hyperlink" Target="https://www.tiktok.com/@oxgear" TargetMode="External"/><Relationship Id="rId195" Type="http://schemas.openxmlformats.org/officeDocument/2006/relationships/hyperlink" Target="https://vt.tiktok.com/ZSujMpcgj/" TargetMode="External"/><Relationship Id="rId199" Type="http://schemas.openxmlformats.org/officeDocument/2006/relationships/hyperlink" Target="https://www.tiktok.com/@nursidah54" TargetMode="External"/><Relationship Id="rId150" Type="http://schemas.openxmlformats.org/officeDocument/2006/relationships/hyperlink" Target="https://vt.tiktok.com/ZSuxVuWrj/" TargetMode="External"/><Relationship Id="rId149" Type="http://schemas.openxmlformats.org/officeDocument/2006/relationships/hyperlink" Target="https://vt.tiktok.com/ZSudT4PBK/" TargetMode="External"/><Relationship Id="rId148" Type="http://schemas.openxmlformats.org/officeDocument/2006/relationships/hyperlink" Target="https://www.tiktok.com/@sarlang17" TargetMode="External"/><Relationship Id="rId143" Type="http://schemas.openxmlformats.org/officeDocument/2006/relationships/hyperlink" Target="https://www.tiktok.com/@zenuyadjha" TargetMode="External"/><Relationship Id="rId142" Type="http://schemas.openxmlformats.org/officeDocument/2006/relationships/hyperlink" Target="https://vt.tiktok.com/ZSuk9w93u/" TargetMode="External"/><Relationship Id="rId141" Type="http://schemas.openxmlformats.org/officeDocument/2006/relationships/hyperlink" Target="https://vt.tiktok.com/ZSmwgthxK/" TargetMode="External"/><Relationship Id="rId140" Type="http://schemas.openxmlformats.org/officeDocument/2006/relationships/hyperlink" Target="https://vt.tiktok.com/ZSmVuy49J/" TargetMode="External"/><Relationship Id="rId147" Type="http://schemas.openxmlformats.org/officeDocument/2006/relationships/hyperlink" Target="https://vt.tiktok.com/ZSmGdrpF3/" TargetMode="External"/><Relationship Id="rId146" Type="http://schemas.openxmlformats.org/officeDocument/2006/relationships/hyperlink" Target="https://vt.tiktok.com/ZSmsWue9s/" TargetMode="External"/><Relationship Id="rId145" Type="http://schemas.openxmlformats.org/officeDocument/2006/relationships/hyperlink" Target="https://vt.tiktok.com/ZSmxpDjDn/" TargetMode="External"/><Relationship Id="rId144" Type="http://schemas.openxmlformats.org/officeDocument/2006/relationships/hyperlink" Target="https://vt.tiktok.com/ZSmxp5kNS/" TargetMode="External"/><Relationship Id="rId139" Type="http://schemas.openxmlformats.org/officeDocument/2006/relationships/hyperlink" Target="https://www.tiktok.com/@bundakabarinews" TargetMode="External"/><Relationship Id="rId138" Type="http://schemas.openxmlformats.org/officeDocument/2006/relationships/hyperlink" Target="https://vt.tiktok.com/ZSukvD2bb/" TargetMode="External"/><Relationship Id="rId137" Type="http://schemas.openxmlformats.org/officeDocument/2006/relationships/hyperlink" Target="https://vt.tiktok.com/ZSuJfEEcd/" TargetMode="External"/><Relationship Id="rId132" Type="http://schemas.openxmlformats.org/officeDocument/2006/relationships/hyperlink" Target="https://vt.tiktok.com/ZSuB3DjX1/" TargetMode="External"/><Relationship Id="rId131" Type="http://schemas.openxmlformats.org/officeDocument/2006/relationships/hyperlink" Target="https://www.tiktok.com/@tia.vlogkampung" TargetMode="External"/><Relationship Id="rId130" Type="http://schemas.openxmlformats.org/officeDocument/2006/relationships/hyperlink" Target="https://vt.tiktok.com/ZSuJ5aVE1/" TargetMode="External"/><Relationship Id="rId136" Type="http://schemas.openxmlformats.org/officeDocument/2006/relationships/hyperlink" Target="https://www.tiktok.com/@kimoy59" TargetMode="External"/><Relationship Id="rId135" Type="http://schemas.openxmlformats.org/officeDocument/2006/relationships/hyperlink" Target="https://www.tiktok.com/@coachvithaalie" TargetMode="External"/><Relationship Id="rId134" Type="http://schemas.openxmlformats.org/officeDocument/2006/relationships/hyperlink" Target="https://vt.tiktok.com/ZSHBuPQDc/" TargetMode="External"/><Relationship Id="rId133" Type="http://schemas.openxmlformats.org/officeDocument/2006/relationships/hyperlink" Target="https://vt.tiktok.com/ZSucWpQm6/" TargetMode="External"/><Relationship Id="rId172" Type="http://schemas.openxmlformats.org/officeDocument/2006/relationships/hyperlink" Target="https://www.tiktok.com/@madutama" TargetMode="External"/><Relationship Id="rId171" Type="http://schemas.openxmlformats.org/officeDocument/2006/relationships/hyperlink" Target="https://vt.tiktok.com/ZSuPD3kUH/" TargetMode="External"/><Relationship Id="rId170" Type="http://schemas.openxmlformats.org/officeDocument/2006/relationships/hyperlink" Target="https://vt.tiktok.com/ZSuP1sym9/" TargetMode="External"/><Relationship Id="rId165" Type="http://schemas.openxmlformats.org/officeDocument/2006/relationships/hyperlink" Target="https://vt.tiktok.com/ZSmwPvDeG/" TargetMode="External"/><Relationship Id="rId164" Type="http://schemas.openxmlformats.org/officeDocument/2006/relationships/hyperlink" Target="https://www.tiktok.com/@vinasalim23" TargetMode="External"/><Relationship Id="rId163" Type="http://schemas.openxmlformats.org/officeDocument/2006/relationships/hyperlink" Target="https://vt.tiktok.com/ZSujhB3H2/" TargetMode="External"/><Relationship Id="rId162" Type="http://schemas.openxmlformats.org/officeDocument/2006/relationships/hyperlink" Target="https://www.tiktok.com/@rindiantika_id" TargetMode="External"/><Relationship Id="rId169" Type="http://schemas.openxmlformats.org/officeDocument/2006/relationships/hyperlink" Target="https://vt.tiktok.com/ZSu2YLJ8t/" TargetMode="External"/><Relationship Id="rId168" Type="http://schemas.openxmlformats.org/officeDocument/2006/relationships/hyperlink" Target="https://vt.tiktok.com/ZSm3U8osR/" TargetMode="External"/><Relationship Id="rId167" Type="http://schemas.openxmlformats.org/officeDocument/2006/relationships/hyperlink" Target="https://www.tiktok.com/@lailaafff" TargetMode="External"/><Relationship Id="rId166" Type="http://schemas.openxmlformats.org/officeDocument/2006/relationships/hyperlink" Target="https://vt.tiktok.com/ZSurg6hBu/" TargetMode="External"/><Relationship Id="rId161" Type="http://schemas.openxmlformats.org/officeDocument/2006/relationships/hyperlink" Target="https://vt.tiktok.com/ZSmCEutrX/" TargetMode="External"/><Relationship Id="rId160" Type="http://schemas.openxmlformats.org/officeDocument/2006/relationships/hyperlink" Target="https://www.tiktok.com/@verysaidah.adam" TargetMode="External"/><Relationship Id="rId159" Type="http://schemas.openxmlformats.org/officeDocument/2006/relationships/hyperlink" Target="https://vt.tiktok.com/ZSH9XU6nF/" TargetMode="External"/><Relationship Id="rId154" Type="http://schemas.openxmlformats.org/officeDocument/2006/relationships/hyperlink" Target="https://vt.tiktok.com/ZSuJb4vRq/" TargetMode="External"/><Relationship Id="rId153" Type="http://schemas.openxmlformats.org/officeDocument/2006/relationships/hyperlink" Target="https://vt.tiktok.com/ZSuJbxtu3/" TargetMode="External"/><Relationship Id="rId152" Type="http://schemas.openxmlformats.org/officeDocument/2006/relationships/hyperlink" Target="https://www.tiktok.com/@jurragan999" TargetMode="External"/><Relationship Id="rId151" Type="http://schemas.openxmlformats.org/officeDocument/2006/relationships/hyperlink" Target="https://vt.tiktok.com/ZSucHXeeJ/" TargetMode="External"/><Relationship Id="rId158" Type="http://schemas.openxmlformats.org/officeDocument/2006/relationships/hyperlink" Target="https://vt.tiktok.com/ZSuQDXvTS/" TargetMode="External"/><Relationship Id="rId157" Type="http://schemas.openxmlformats.org/officeDocument/2006/relationships/hyperlink" Target="https://vt.tiktok.com/ZSm4N8JK7/" TargetMode="External"/><Relationship Id="rId156" Type="http://schemas.openxmlformats.org/officeDocument/2006/relationships/hyperlink" Target="https://www.tiktok.com/@solusi_sehat85" TargetMode="External"/><Relationship Id="rId155" Type="http://schemas.openxmlformats.org/officeDocument/2006/relationships/hyperlink" Target="https://vt.tiktok.com/ZSuJbHK5u/" TargetMode="External"/><Relationship Id="rId107" Type="http://schemas.openxmlformats.org/officeDocument/2006/relationships/hyperlink" Target="https://vt.tiktok.com/ZSmgHpXjm/" TargetMode="External"/><Relationship Id="rId106" Type="http://schemas.openxmlformats.org/officeDocument/2006/relationships/hyperlink" Target="https://vt.tiktok.com/ZSmxcoh3C/" TargetMode="External"/><Relationship Id="rId105" Type="http://schemas.openxmlformats.org/officeDocument/2006/relationships/hyperlink" Target="https://www.tiktok.com/@ko.pepen" TargetMode="External"/><Relationship Id="rId104" Type="http://schemas.openxmlformats.org/officeDocument/2006/relationships/hyperlink" Target="https://www.tiktok.com/@kakak.khalid8" TargetMode="External"/><Relationship Id="rId109" Type="http://schemas.openxmlformats.org/officeDocument/2006/relationships/hyperlink" Target="https://vt.tiktok.com/ZSmf237GC/" TargetMode="External"/><Relationship Id="rId108" Type="http://schemas.openxmlformats.org/officeDocument/2006/relationships/hyperlink" Target="https://www.tiktok.com/@titiksurya88" TargetMode="External"/><Relationship Id="rId103" Type="http://schemas.openxmlformats.org/officeDocument/2006/relationships/hyperlink" Target="https://vt.tiktok.com/ZSmqXCtBY/" TargetMode="External"/><Relationship Id="rId102" Type="http://schemas.openxmlformats.org/officeDocument/2006/relationships/hyperlink" Target="https://www.tiktok.com/@resepsehatrempah" TargetMode="External"/><Relationship Id="rId101" Type="http://schemas.openxmlformats.org/officeDocument/2006/relationships/hyperlink" Target="https://vt.tiktok.com/ZSHf7pceP/" TargetMode="External"/><Relationship Id="rId100" Type="http://schemas.openxmlformats.org/officeDocument/2006/relationships/hyperlink" Target="https://vt.tiktok.com/ZSudWk4md/" TargetMode="External"/><Relationship Id="rId129" Type="http://schemas.openxmlformats.org/officeDocument/2006/relationships/hyperlink" Target="https://vt.tiktok.com/ZSmwX4y2v/" TargetMode="External"/><Relationship Id="rId128" Type="http://schemas.openxmlformats.org/officeDocument/2006/relationships/hyperlink" Target="https://vt.tiktok.com/ZSmVGX93P/" TargetMode="External"/><Relationship Id="rId127" Type="http://schemas.openxmlformats.org/officeDocument/2006/relationships/hyperlink" Target="https://www.tiktok.com/@osbherbalstore" TargetMode="External"/><Relationship Id="rId126" Type="http://schemas.openxmlformats.org/officeDocument/2006/relationships/hyperlink" Target="https://vt.tiktok.com/ZSuNCx3Cx/" TargetMode="External"/><Relationship Id="rId121" Type="http://schemas.openxmlformats.org/officeDocument/2006/relationships/hyperlink" Target="https://vt.tiktok.com/ZSm3jfmdv/" TargetMode="External"/><Relationship Id="rId120" Type="http://schemas.openxmlformats.org/officeDocument/2006/relationships/hyperlink" Target="https://www.tiktok.com/@apanerecord" TargetMode="External"/><Relationship Id="rId125" Type="http://schemas.openxmlformats.org/officeDocument/2006/relationships/hyperlink" Target="https://vt.tiktok.com/ZSm5WWtrV/" TargetMode="External"/><Relationship Id="rId124" Type="http://schemas.openxmlformats.org/officeDocument/2006/relationships/hyperlink" Target="https://vt.tiktok.com/ZSm5WWtrV/" TargetMode="External"/><Relationship Id="rId123" Type="http://schemas.openxmlformats.org/officeDocument/2006/relationships/hyperlink" Target="https://vt.tiktok.com/ZSmUvsVkY/" TargetMode="External"/><Relationship Id="rId122" Type="http://schemas.openxmlformats.org/officeDocument/2006/relationships/hyperlink" Target="https://www.tiktok.com/@rikohub_274" TargetMode="External"/><Relationship Id="rId118" Type="http://schemas.openxmlformats.org/officeDocument/2006/relationships/hyperlink" Target="https://vt.tiktok.com/ZSmsm1NnJ/" TargetMode="External"/><Relationship Id="rId117" Type="http://schemas.openxmlformats.org/officeDocument/2006/relationships/hyperlink" Target="https://vt.tiktok.com/ZSmVWBj4K/" TargetMode="External"/><Relationship Id="rId116" Type="http://schemas.openxmlformats.org/officeDocument/2006/relationships/hyperlink" Target="https://www.tiktok.com/@adhipiontalucur" TargetMode="External"/><Relationship Id="rId115" Type="http://schemas.openxmlformats.org/officeDocument/2006/relationships/hyperlink" Target="https://vt.tiktok.com/ZSmpodDy8/" TargetMode="External"/><Relationship Id="rId119" Type="http://schemas.openxmlformats.org/officeDocument/2006/relationships/hyperlink" Target="https://vt.tiktok.com/ZSmcb6BhP/" TargetMode="External"/><Relationship Id="rId110" Type="http://schemas.openxmlformats.org/officeDocument/2006/relationships/hyperlink" Target="https://vt.tiktok.com/ZSmufaxv7/" TargetMode="External"/><Relationship Id="rId114" Type="http://schemas.openxmlformats.org/officeDocument/2006/relationships/hyperlink" Target="https://vt.tiktok.com/ZSmHRBfvv/" TargetMode="External"/><Relationship Id="rId113" Type="http://schemas.openxmlformats.org/officeDocument/2006/relationships/hyperlink" Target="https://vt.tiktok.com/ZSmHdb3jr/" TargetMode="External"/><Relationship Id="rId112" Type="http://schemas.openxmlformats.org/officeDocument/2006/relationships/hyperlink" Target="https://www.tiktok.com/@spillbarang124" TargetMode="External"/><Relationship Id="rId111" Type="http://schemas.openxmlformats.org/officeDocument/2006/relationships/hyperlink" Target="https://vt.tiktok.com/ZSmKRuJ8E/" TargetMode="External"/><Relationship Id="rId392" Type="http://schemas.openxmlformats.org/officeDocument/2006/relationships/hyperlink" Target="https://www.tiktok.com/@dokterpuja" TargetMode="External"/><Relationship Id="rId391" Type="http://schemas.openxmlformats.org/officeDocument/2006/relationships/hyperlink" Target="https://vt.tiktok.com/ZSxLBUx8G/" TargetMode="External"/><Relationship Id="rId390" Type="http://schemas.openxmlformats.org/officeDocument/2006/relationships/hyperlink" Target="https://vt.tiktok.com/ZS9t6StCs/" TargetMode="External"/><Relationship Id="rId385" Type="http://schemas.openxmlformats.org/officeDocument/2006/relationships/hyperlink" Target="https://vt.tiktok.com/ZSxe72Fv8/" TargetMode="External"/><Relationship Id="rId384" Type="http://schemas.openxmlformats.org/officeDocument/2006/relationships/hyperlink" Target="https://vt.tiktok.com/ZS9p6prKa/" TargetMode="External"/><Relationship Id="rId383" Type="http://schemas.openxmlformats.org/officeDocument/2006/relationships/hyperlink" Target="https://www.tiktok.com/@reviewnurro" TargetMode="External"/><Relationship Id="rId382" Type="http://schemas.openxmlformats.org/officeDocument/2006/relationships/hyperlink" Target="https://vt.tiktok.com/ZSxFa7HQv/" TargetMode="External"/><Relationship Id="rId389" Type="http://schemas.openxmlformats.org/officeDocument/2006/relationships/hyperlink" Target="https://www.tiktok.com/@nandanarlya2" TargetMode="External"/><Relationship Id="rId388" Type="http://schemas.openxmlformats.org/officeDocument/2006/relationships/hyperlink" Target="https://www.tiktok.com/@lisaolshope1" TargetMode="External"/><Relationship Id="rId387" Type="http://schemas.openxmlformats.org/officeDocument/2006/relationships/hyperlink" Target="https://vt.tiktok.com/ZSx8u6ENP/" TargetMode="External"/><Relationship Id="rId386" Type="http://schemas.openxmlformats.org/officeDocument/2006/relationships/hyperlink" Target="https://vt.tiktok.com/ZSx8mQhjS/" TargetMode="External"/><Relationship Id="rId381" Type="http://schemas.openxmlformats.org/officeDocument/2006/relationships/hyperlink" Target="https://vt.tiktok.com/ZS9bFrnkm/" TargetMode="External"/><Relationship Id="rId380" Type="http://schemas.openxmlformats.org/officeDocument/2006/relationships/hyperlink" Target="https://www.tiktok.com/@daily_rosse" TargetMode="External"/><Relationship Id="rId379" Type="http://schemas.openxmlformats.org/officeDocument/2006/relationships/hyperlink" Target="https://www.tiktok.com/@amiihnuna" TargetMode="External"/><Relationship Id="rId374" Type="http://schemas.openxmlformats.org/officeDocument/2006/relationships/hyperlink" Target="https://www.tiktok.com/@anggi_ningsih" TargetMode="External"/><Relationship Id="rId373" Type="http://schemas.openxmlformats.org/officeDocument/2006/relationships/hyperlink" Target="https://vt.tiktok.com/ZSxWC5qDD//" TargetMode="External"/><Relationship Id="rId372" Type="http://schemas.openxmlformats.org/officeDocument/2006/relationships/hyperlink" Target="https://vt.tiktok.com/ZSxUgftaP/" TargetMode="External"/><Relationship Id="rId371" Type="http://schemas.openxmlformats.org/officeDocument/2006/relationships/hyperlink" Target="https://www.tiktok.com/@oddelianamaku" TargetMode="External"/><Relationship Id="rId378" Type="http://schemas.openxmlformats.org/officeDocument/2006/relationships/hyperlink" Target="https://www.tiktok.com/@mas_ag_nganjuk/video/7632232334514752789?is_from_webapp=1&amp;sender_device=pc" TargetMode="External"/><Relationship Id="rId377" Type="http://schemas.openxmlformats.org/officeDocument/2006/relationships/hyperlink" Target="https://www.tiktok.com/@mas_ag_nganjuk/video/7632230397832629525?is_from_webapp=1&amp;sender_device=pc" TargetMode="External"/><Relationship Id="rId376" Type="http://schemas.openxmlformats.org/officeDocument/2006/relationships/hyperlink" Target="https://www.tiktok.com/@mas_ag_nganjuk" TargetMode="External"/><Relationship Id="rId375" Type="http://schemas.openxmlformats.org/officeDocument/2006/relationships/hyperlink" Target="https://vt.tiktok.com/ZSxRxtrmC/" TargetMode="External"/><Relationship Id="rId396" Type="http://schemas.openxmlformats.org/officeDocument/2006/relationships/hyperlink" Target="https://www.tiktok.com/@azwaajun.muthahharah" TargetMode="External"/><Relationship Id="rId395" Type="http://schemas.openxmlformats.org/officeDocument/2006/relationships/hyperlink" Target="https://www.tiktok.com/@fatihatina_" TargetMode="External"/><Relationship Id="rId394" Type="http://schemas.openxmlformats.org/officeDocument/2006/relationships/hyperlink" Target="https://www.tiktok.com/@greatsecuritybank" TargetMode="External"/><Relationship Id="rId393" Type="http://schemas.openxmlformats.org/officeDocument/2006/relationships/hyperlink" Target="https://vt.tiktok.com/ZSxkCbhbx/" TargetMode="External"/><Relationship Id="rId399" Type="http://schemas.openxmlformats.org/officeDocument/2006/relationships/hyperlink" Target="https://vt.tiktok.com/ZSxKNLEES/" TargetMode="External"/><Relationship Id="rId398" Type="http://schemas.openxmlformats.org/officeDocument/2006/relationships/hyperlink" Target="https://www.tiktok.com/@meihrdnt_" TargetMode="External"/><Relationship Id="rId397" Type="http://schemas.openxmlformats.org/officeDocument/2006/relationships/hyperlink" Target="https://vt.tiktok.com/ZSxAQcy5x/" TargetMode="External"/><Relationship Id="rId40" Type="http://schemas.openxmlformats.org/officeDocument/2006/relationships/hyperlink" Target="https://vt.tiktok.com/ZSHbB7V73/" TargetMode="External"/><Relationship Id="rId42" Type="http://schemas.openxmlformats.org/officeDocument/2006/relationships/hyperlink" Target="https://vt.tiktok.com/ZSmsHQGPn/" TargetMode="External"/><Relationship Id="rId41" Type="http://schemas.openxmlformats.org/officeDocument/2006/relationships/hyperlink" Target="https://www.tiktok.com/@lutfimanfaluthy_30" TargetMode="External"/><Relationship Id="rId44" Type="http://schemas.openxmlformats.org/officeDocument/2006/relationships/hyperlink" Target="https://vt.tiktok.com/ZSurDRnHP/" TargetMode="External"/><Relationship Id="rId43" Type="http://schemas.openxmlformats.org/officeDocument/2006/relationships/hyperlink" Target="https://vt.tiktok.com/ZSuJANgY1/" TargetMode="External"/><Relationship Id="rId46" Type="http://schemas.openxmlformats.org/officeDocument/2006/relationships/hyperlink" Target="https://vt.tiktok.com/ZSuNBctQG/" TargetMode="External"/><Relationship Id="rId45" Type="http://schemas.openxmlformats.org/officeDocument/2006/relationships/hyperlink" Target="https://www.tiktok.com/@gaoory" TargetMode="External"/><Relationship Id="rId48" Type="http://schemas.openxmlformats.org/officeDocument/2006/relationships/hyperlink" Target="https://vt.tiktok.com/ZSuTmohCc/" TargetMode="External"/><Relationship Id="rId47" Type="http://schemas.openxmlformats.org/officeDocument/2006/relationships/hyperlink" Target="https://vt.tiktok.com/ZSuxPHUFF/" TargetMode="External"/><Relationship Id="rId49" Type="http://schemas.openxmlformats.org/officeDocument/2006/relationships/hyperlink" Target="https://www.tiktok.com/@nurbaeutystyle" TargetMode="External"/><Relationship Id="rId31" Type="http://schemas.openxmlformats.org/officeDocument/2006/relationships/hyperlink" Target="https://vt.tiktok.com/ZSmb3S4kW/" TargetMode="External"/><Relationship Id="rId30" Type="http://schemas.openxmlformats.org/officeDocument/2006/relationships/hyperlink" Target="https://vt.tiktok.com/ZSmXBvbhV/" TargetMode="External"/><Relationship Id="rId33" Type="http://schemas.openxmlformats.org/officeDocument/2006/relationships/hyperlink" Target="https://vt.tiktok.com/ZSmXroQ2Y/" TargetMode="External"/><Relationship Id="rId32" Type="http://schemas.openxmlformats.org/officeDocument/2006/relationships/hyperlink" Target="https://www.tiktok.com/@risnawati6806" TargetMode="External"/><Relationship Id="rId35" Type="http://schemas.openxmlformats.org/officeDocument/2006/relationships/hyperlink" Target="https://vt.tiktok.com/ZSmbvFPbu/" TargetMode="External"/><Relationship Id="rId34" Type="http://schemas.openxmlformats.org/officeDocument/2006/relationships/hyperlink" Target="https://vt.tiktok.com/ZSmVftJf3/" TargetMode="External"/><Relationship Id="rId37" Type="http://schemas.openxmlformats.org/officeDocument/2006/relationships/hyperlink" Target="https://www.tiktok.com/@riskadiana22" TargetMode="External"/><Relationship Id="rId36" Type="http://schemas.openxmlformats.org/officeDocument/2006/relationships/hyperlink" Target="https://www.tiktok.com/@shihati.jasmaniyah3" TargetMode="External"/><Relationship Id="rId39" Type="http://schemas.openxmlformats.org/officeDocument/2006/relationships/hyperlink" Target="https://www.tiktok.com/@riskadiana22/video/7611413181868592405?is_from_webapp=1&amp;sender_device=pc" TargetMode="External"/><Relationship Id="rId38" Type="http://schemas.openxmlformats.org/officeDocument/2006/relationships/hyperlink" Target="https://vt.tiktok.com/ZSmXEJdCa/" TargetMode="External"/><Relationship Id="rId20" Type="http://schemas.openxmlformats.org/officeDocument/2006/relationships/hyperlink" Target="https://www.tiktok.com/@sintiayaaabarokah" TargetMode="External"/><Relationship Id="rId22" Type="http://schemas.openxmlformats.org/officeDocument/2006/relationships/hyperlink" Target="https://vt.tiktok.com/ZSH7nNEo7/" TargetMode="External"/><Relationship Id="rId21" Type="http://schemas.openxmlformats.org/officeDocument/2006/relationships/hyperlink" Target="https://vt.tiktok.com/ZSmbgFvAr/" TargetMode="External"/><Relationship Id="rId24" Type="http://schemas.openxmlformats.org/officeDocument/2006/relationships/hyperlink" Target="https://www.tiktok.com/@vranita.story" TargetMode="External"/><Relationship Id="rId23" Type="http://schemas.openxmlformats.org/officeDocument/2006/relationships/hyperlink" Target="https://vt.tiktok.com/ZSH7nNEo7/" TargetMode="External"/><Relationship Id="rId26" Type="http://schemas.openxmlformats.org/officeDocument/2006/relationships/hyperlink" Target="https://vt.tiktok.com/ZSmgJVfV9/" TargetMode="External"/><Relationship Id="rId25" Type="http://schemas.openxmlformats.org/officeDocument/2006/relationships/hyperlink" Target="https://vt.tiktok.com/ZSmQasDx7/" TargetMode="External"/><Relationship Id="rId28" Type="http://schemas.openxmlformats.org/officeDocument/2006/relationships/hyperlink" Target="https://www.tiktok.com/@mimikarlina" TargetMode="External"/><Relationship Id="rId27" Type="http://schemas.openxmlformats.org/officeDocument/2006/relationships/hyperlink" Target="https://vt.tiktok.com/ZSmcXtNH1/" TargetMode="External"/><Relationship Id="rId29" Type="http://schemas.openxmlformats.org/officeDocument/2006/relationships/hyperlink" Target="https://vt.tiktok.com/ZSm5L9PDB/" TargetMode="External"/><Relationship Id="rId11" Type="http://schemas.openxmlformats.org/officeDocument/2006/relationships/hyperlink" Target="https://www.tiktok.com/@nurulaini280902" TargetMode="External"/><Relationship Id="rId10" Type="http://schemas.openxmlformats.org/officeDocument/2006/relationships/hyperlink" Target="https://vt.tiktok.com/ZSuDeXU4e" TargetMode="External"/><Relationship Id="rId13" Type="http://schemas.openxmlformats.org/officeDocument/2006/relationships/hyperlink" Target="https://vt.tiktok.com/ZSmXC8oug/" TargetMode="External"/><Relationship Id="rId12" Type="http://schemas.openxmlformats.org/officeDocument/2006/relationships/hyperlink" Target="https://vt.tiktok.com/ZSmmAb1KK/" TargetMode="External"/><Relationship Id="rId15" Type="http://schemas.openxmlformats.org/officeDocument/2006/relationships/hyperlink" Target="https://vt.tiktok.com/ZSHPR3aUY/" TargetMode="External"/><Relationship Id="rId14" Type="http://schemas.openxmlformats.org/officeDocument/2006/relationships/hyperlink" Target="https://vt.tiktok.com/ZSmsSg34S/" TargetMode="External"/><Relationship Id="rId17" Type="http://schemas.openxmlformats.org/officeDocument/2006/relationships/hyperlink" Target="https://vt.tiktok.com/ZSmXVQXng/" TargetMode="External"/><Relationship Id="rId16" Type="http://schemas.openxmlformats.org/officeDocument/2006/relationships/hyperlink" Target="https://www.tiktok.com/@emirhabibi89" TargetMode="External"/><Relationship Id="rId19" Type="http://schemas.openxmlformats.org/officeDocument/2006/relationships/hyperlink" Target="https://vt.tiktok.com/ZSHFfSh9j/" TargetMode="External"/><Relationship Id="rId18" Type="http://schemas.openxmlformats.org/officeDocument/2006/relationships/hyperlink" Target="https://vt.tiktok.com/ZSu821MH6/" TargetMode="External"/><Relationship Id="rId84" Type="http://schemas.openxmlformats.org/officeDocument/2006/relationships/hyperlink" Target="https://vt.tiktok.com/ZSmX9TwDX/" TargetMode="External"/><Relationship Id="rId83" Type="http://schemas.openxmlformats.org/officeDocument/2006/relationships/hyperlink" Target="https://vt.tiktok.com/ZSmQNSa9S/" TargetMode="External"/><Relationship Id="rId86" Type="http://schemas.openxmlformats.org/officeDocument/2006/relationships/hyperlink" Target="https://vt.tiktok.com/ZSmXXnUhf/" TargetMode="External"/><Relationship Id="rId85" Type="http://schemas.openxmlformats.org/officeDocument/2006/relationships/hyperlink" Target="https://www.tiktok.com/@naniichan__" TargetMode="External"/><Relationship Id="rId88" Type="http://schemas.openxmlformats.org/officeDocument/2006/relationships/hyperlink" Target="https://vt.tiktok.com/ZSmcVRM92/" TargetMode="External"/><Relationship Id="rId87" Type="http://schemas.openxmlformats.org/officeDocument/2006/relationships/hyperlink" Target="https://vt.tiktok.com/ZSmVqdNh5/" TargetMode="External"/><Relationship Id="rId89" Type="http://schemas.openxmlformats.org/officeDocument/2006/relationships/hyperlink" Target="https://www.tiktok.com/@dherenzshop91" TargetMode="External"/><Relationship Id="rId80" Type="http://schemas.openxmlformats.org/officeDocument/2006/relationships/hyperlink" Target="https://vt.tiktok.com/ZSmQBxwnR/" TargetMode="External"/><Relationship Id="rId82" Type="http://schemas.openxmlformats.org/officeDocument/2006/relationships/hyperlink" Target="https://vt.tiktok.com/ZSmX9KcmD/" TargetMode="External"/><Relationship Id="rId81" Type="http://schemas.openxmlformats.org/officeDocument/2006/relationships/hyperlink" Target="https://www.tiktok.com/@teungkuridhwan" TargetMode="External"/><Relationship Id="rId73" Type="http://schemas.openxmlformats.org/officeDocument/2006/relationships/hyperlink" Target="https://www.tiktok.com/@tokodinda27" TargetMode="External"/><Relationship Id="rId72" Type="http://schemas.openxmlformats.org/officeDocument/2006/relationships/hyperlink" Target="https://vt.tiktok.com/ZSuRhDeCw/" TargetMode="External"/><Relationship Id="rId75" Type="http://schemas.openxmlformats.org/officeDocument/2006/relationships/hyperlink" Target="https://vt.tiktok.com/ZSmVmwupD/" TargetMode="External"/><Relationship Id="rId74" Type="http://schemas.openxmlformats.org/officeDocument/2006/relationships/hyperlink" Target="https://www.tiktok.com/@makrega" TargetMode="External"/><Relationship Id="rId77" Type="http://schemas.openxmlformats.org/officeDocument/2006/relationships/hyperlink" Target="https://vt.tiktok.com/ZSmWfwmeq/" TargetMode="External"/><Relationship Id="rId76" Type="http://schemas.openxmlformats.org/officeDocument/2006/relationships/hyperlink" Target="https://vt.tiktok.com/ZSmV9Pph7/" TargetMode="External"/><Relationship Id="rId79" Type="http://schemas.openxmlformats.org/officeDocument/2006/relationships/hyperlink" Target="https://www.tiktok.com/@ekaretnowatii" TargetMode="External"/><Relationship Id="rId78" Type="http://schemas.openxmlformats.org/officeDocument/2006/relationships/hyperlink" Target="https://vt.tiktok.com/ZSmWfwFvC/" TargetMode="External"/><Relationship Id="rId71" Type="http://schemas.openxmlformats.org/officeDocument/2006/relationships/hyperlink" Target="https://www.tiktok.com/@bunda.saba1" TargetMode="External"/><Relationship Id="rId70" Type="http://schemas.openxmlformats.org/officeDocument/2006/relationships/hyperlink" Target="https://vt.tiktok.com/ZSHoqwoLw/" TargetMode="External"/><Relationship Id="rId62" Type="http://schemas.openxmlformats.org/officeDocument/2006/relationships/hyperlink" Target="https://www.tiktok.com/@purniabolo" TargetMode="External"/><Relationship Id="rId61" Type="http://schemas.openxmlformats.org/officeDocument/2006/relationships/hyperlink" Target="https://vt.tiktok.com/ZSmT1aj1G/" TargetMode="External"/><Relationship Id="rId64" Type="http://schemas.openxmlformats.org/officeDocument/2006/relationships/hyperlink" Target="https://vt.tiktok.com/ZSm7Xekds/" TargetMode="External"/><Relationship Id="rId63" Type="http://schemas.openxmlformats.org/officeDocument/2006/relationships/hyperlink" Target="https://vt.tiktok.com/ZSmstkRcb/" TargetMode="External"/><Relationship Id="rId66" Type="http://schemas.openxmlformats.org/officeDocument/2006/relationships/hyperlink" Target="https://vt.tiktok.com/ZSuJjaxhF/" TargetMode="External"/><Relationship Id="rId65" Type="http://schemas.openxmlformats.org/officeDocument/2006/relationships/hyperlink" Target="https://vt.tiktok.com/ZSm7Xj46D/" TargetMode="External"/><Relationship Id="rId68" Type="http://schemas.openxmlformats.org/officeDocument/2006/relationships/hyperlink" Target="https://vt.tiktok.com/ZSmaJ28fg/" TargetMode="External"/><Relationship Id="rId67" Type="http://schemas.openxmlformats.org/officeDocument/2006/relationships/hyperlink" Target="https://www.tiktok.com/@duonisaa_" TargetMode="External"/><Relationship Id="rId60" Type="http://schemas.openxmlformats.org/officeDocument/2006/relationships/hyperlink" Target="https://vt.tiktok.com/ZSmT1Jws3/" TargetMode="External"/><Relationship Id="rId69" Type="http://schemas.openxmlformats.org/officeDocument/2006/relationships/hyperlink" Target="https://vt.tiktok.com/ZSHq4J9tM/" TargetMode="External"/><Relationship Id="rId51" Type="http://schemas.openxmlformats.org/officeDocument/2006/relationships/hyperlink" Target="https://vt.tiktok.com/ZSm5mkweL/" TargetMode="External"/><Relationship Id="rId50" Type="http://schemas.openxmlformats.org/officeDocument/2006/relationships/hyperlink" Target="https://vt.tiktok.com/ZSm5mUXvH/" TargetMode="External"/><Relationship Id="rId53" Type="http://schemas.openxmlformats.org/officeDocument/2006/relationships/hyperlink" Target="https://www.tiktok.com/@thiaaa93" TargetMode="External"/><Relationship Id="rId52" Type="http://schemas.openxmlformats.org/officeDocument/2006/relationships/hyperlink" Target="https://vt.tiktok.com/ZSm5msLsY/" TargetMode="External"/><Relationship Id="rId55" Type="http://schemas.openxmlformats.org/officeDocument/2006/relationships/hyperlink" Target="https://vt.tiktok.com/ZSuefQTmU/" TargetMode="External"/><Relationship Id="rId54" Type="http://schemas.openxmlformats.org/officeDocument/2006/relationships/hyperlink" Target="https://vt.tiktok.com/ZSmf8CX5r/" TargetMode="External"/><Relationship Id="rId57" Type="http://schemas.openxmlformats.org/officeDocument/2006/relationships/hyperlink" Target="https://vt.tiktok.com/ZSuUdhEm2/" TargetMode="External"/><Relationship Id="rId56" Type="http://schemas.openxmlformats.org/officeDocument/2006/relationships/hyperlink" Target="https://vt.tiktok.com/ZSuUdahYA/" TargetMode="External"/><Relationship Id="rId59" Type="http://schemas.openxmlformats.org/officeDocument/2006/relationships/hyperlink" Target="https://vt.tiktok.com/ZSmT1FB2M/" TargetMode="External"/><Relationship Id="rId58" Type="http://schemas.openxmlformats.org/officeDocument/2006/relationships/hyperlink" Target="https://www.tiktok.com/@promo.murah.berkualitas1" TargetMode="External"/><Relationship Id="rId349" Type="http://schemas.openxmlformats.org/officeDocument/2006/relationships/hyperlink" Target="https://www.tiktok.com/@reyshaka_kenizio27" TargetMode="External"/><Relationship Id="rId348" Type="http://schemas.openxmlformats.org/officeDocument/2006/relationships/hyperlink" Target="https://vt.tiktok.com/ZS9KRv9gR/" TargetMode="External"/><Relationship Id="rId347" Type="http://schemas.openxmlformats.org/officeDocument/2006/relationships/hyperlink" Target="https://www.tiktok.com/@zoom_experimental" TargetMode="External"/><Relationship Id="rId346" Type="http://schemas.openxmlformats.org/officeDocument/2006/relationships/hyperlink" Target="https://www.tiktok.com/@semestakamuu" TargetMode="External"/><Relationship Id="rId341" Type="http://schemas.openxmlformats.org/officeDocument/2006/relationships/hyperlink" Target="https://vt.tiktok.com/ZS9Lw2xhn/" TargetMode="External"/><Relationship Id="rId340" Type="http://schemas.openxmlformats.org/officeDocument/2006/relationships/hyperlink" Target="https://www.tiktok.com/@isni.cunong27" TargetMode="External"/><Relationship Id="rId345" Type="http://schemas.openxmlformats.org/officeDocument/2006/relationships/hyperlink" Target="https://vt.tiktok.com/ZS9exVfmr/" TargetMode="External"/><Relationship Id="rId344" Type="http://schemas.openxmlformats.org/officeDocument/2006/relationships/hyperlink" Target="https://www.tiktok.com/@restistrhmw_" TargetMode="External"/><Relationship Id="rId343" Type="http://schemas.openxmlformats.org/officeDocument/2006/relationships/hyperlink" Target="https://vt.tiktok.com/ZSxMmKf6h/" TargetMode="External"/><Relationship Id="rId342" Type="http://schemas.openxmlformats.org/officeDocument/2006/relationships/hyperlink" Target="https://www.tiktok.com/@isni.cunong27/video/7631949693308095764?is_from_webapp=1&amp;sender_device=pc" TargetMode="External"/><Relationship Id="rId338" Type="http://schemas.openxmlformats.org/officeDocument/2006/relationships/hyperlink" Target="https://vt.tiktok.com/ZS9j3wjtu/" TargetMode="External"/><Relationship Id="rId337" Type="http://schemas.openxmlformats.org/officeDocument/2006/relationships/hyperlink" Target="https://vt.tiktok.com/ZSHoNrGk1/" TargetMode="External"/><Relationship Id="rId336" Type="http://schemas.openxmlformats.org/officeDocument/2006/relationships/hyperlink" Target="https://www.tiktok.com/@nianiania09" TargetMode="External"/><Relationship Id="rId335" Type="http://schemas.openxmlformats.org/officeDocument/2006/relationships/hyperlink" Target="https://www.tiktok.com/@annea___" TargetMode="External"/><Relationship Id="rId339" Type="http://schemas.openxmlformats.org/officeDocument/2006/relationships/hyperlink" Target="https://vt.tiktok.com/ZS9DGenwE/" TargetMode="External"/><Relationship Id="rId330" Type="http://schemas.openxmlformats.org/officeDocument/2006/relationships/hyperlink" Target="https://vt.tiktok.com/ZSHvjPU9w/" TargetMode="External"/><Relationship Id="rId334" Type="http://schemas.openxmlformats.org/officeDocument/2006/relationships/hyperlink" Target="https://vt.tiktok.com/ZS9JreHGA/" TargetMode="External"/><Relationship Id="rId333" Type="http://schemas.openxmlformats.org/officeDocument/2006/relationships/hyperlink" Target="https://www.tiktok.com/@nul.minul" TargetMode="External"/><Relationship Id="rId332" Type="http://schemas.openxmlformats.org/officeDocument/2006/relationships/hyperlink" Target="https://vt.tiktok.com/ZS9Lpv1yc/" TargetMode="External"/><Relationship Id="rId331" Type="http://schemas.openxmlformats.org/officeDocument/2006/relationships/hyperlink" Target="https://vt.tiktok.com/ZS9J6detG/" TargetMode="External"/><Relationship Id="rId370" Type="http://schemas.openxmlformats.org/officeDocument/2006/relationships/hyperlink" Target="https://vt.tiktok.com/ZSxNfFjWS/" TargetMode="External"/><Relationship Id="rId369" Type="http://schemas.openxmlformats.org/officeDocument/2006/relationships/hyperlink" Target="https://www.tiktok.com/@sii.lifa" TargetMode="External"/><Relationship Id="rId368" Type="http://schemas.openxmlformats.org/officeDocument/2006/relationships/hyperlink" Target="https://vt.tiktok.com/ZS9dVYtx1/" TargetMode="External"/><Relationship Id="rId363" Type="http://schemas.openxmlformats.org/officeDocument/2006/relationships/hyperlink" Target="https://vt.tiktok.com/ZS9yHdfCa/" TargetMode="External"/><Relationship Id="rId362" Type="http://schemas.openxmlformats.org/officeDocument/2006/relationships/hyperlink" Target="https://vt.tiktok.com/ZSHoJ4e5n/" TargetMode="External"/><Relationship Id="rId361" Type="http://schemas.openxmlformats.org/officeDocument/2006/relationships/hyperlink" Target="https://www.tiktok.com/@ratnasari28_____" TargetMode="External"/><Relationship Id="rId360" Type="http://schemas.openxmlformats.org/officeDocument/2006/relationships/hyperlink" Target="https://vt.tiktok.com/ZSxv99c5P/" TargetMode="External"/><Relationship Id="rId367" Type="http://schemas.openxmlformats.org/officeDocument/2006/relationships/hyperlink" Target="https://vt.tiktok.com/ZSHTBpSpo/" TargetMode="External"/><Relationship Id="rId366" Type="http://schemas.openxmlformats.org/officeDocument/2006/relationships/hyperlink" Target="https://vt.tiktok.com/ZSHWAWEKM/" TargetMode="External"/><Relationship Id="rId365" Type="http://schemas.openxmlformats.org/officeDocument/2006/relationships/hyperlink" Target="https://www.tiktok.com/@gallerymutie" TargetMode="External"/><Relationship Id="rId364" Type="http://schemas.openxmlformats.org/officeDocument/2006/relationships/hyperlink" Target="https://vt.tiktok.com/ZSxAWqv1r/" TargetMode="External"/><Relationship Id="rId95" Type="http://schemas.openxmlformats.org/officeDocument/2006/relationships/hyperlink" Target="https://vt.tiktok.com/ZSHHHDFCM/" TargetMode="External"/><Relationship Id="rId94" Type="http://schemas.openxmlformats.org/officeDocument/2006/relationships/hyperlink" Target="https://vt.tiktok.com/ZSHY6muw5/" TargetMode="External"/><Relationship Id="rId97" Type="http://schemas.openxmlformats.org/officeDocument/2006/relationships/hyperlink" Target="https://vt.tiktok.com/ZSHCa8KTj/" TargetMode="External"/><Relationship Id="rId96" Type="http://schemas.openxmlformats.org/officeDocument/2006/relationships/hyperlink" Target="https://vt.tiktok.com/ZSHC5Hw5q/" TargetMode="External"/><Relationship Id="rId99" Type="http://schemas.openxmlformats.org/officeDocument/2006/relationships/hyperlink" Target="https://vt.tiktok.com/ZSmVafmHu/" TargetMode="External"/><Relationship Id="rId98" Type="http://schemas.openxmlformats.org/officeDocument/2006/relationships/hyperlink" Target="https://www.tiktok.com/@herbal.store54" TargetMode="External"/><Relationship Id="rId91" Type="http://schemas.openxmlformats.org/officeDocument/2006/relationships/hyperlink" Target="https://vt.tiktok.com/ZSmx3NGkE/" TargetMode="External"/><Relationship Id="rId90" Type="http://schemas.openxmlformats.org/officeDocument/2006/relationships/hyperlink" Target="https://vt.tiktok.com/ZSmUJ2aGd/" TargetMode="External"/><Relationship Id="rId93" Type="http://schemas.openxmlformats.org/officeDocument/2006/relationships/hyperlink" Target="https://www.tiktok.com/@browwyyy8" TargetMode="External"/><Relationship Id="rId92" Type="http://schemas.openxmlformats.org/officeDocument/2006/relationships/hyperlink" Target="https://vt.tiktok.com/ZSmcjXtqk/" TargetMode="External"/><Relationship Id="rId359" Type="http://schemas.openxmlformats.org/officeDocument/2006/relationships/hyperlink" Target="https://vt.tiktok.com/ZSxv9CywN/" TargetMode="External"/><Relationship Id="rId358" Type="http://schemas.openxmlformats.org/officeDocument/2006/relationships/hyperlink" Target="https://vt.tiktok.com/ZSxv9G3nH/" TargetMode="External"/><Relationship Id="rId357" Type="http://schemas.openxmlformats.org/officeDocument/2006/relationships/hyperlink" Target="https://www.tiktok.com/@alderzk" TargetMode="External"/><Relationship Id="rId352" Type="http://schemas.openxmlformats.org/officeDocument/2006/relationships/hyperlink" Target="https://www.tiktok.com/@cutemebaby7" TargetMode="External"/><Relationship Id="rId351" Type="http://schemas.openxmlformats.org/officeDocument/2006/relationships/hyperlink" Target="https://vt.tiktok.com/ZSxS7NbRc/" TargetMode="External"/><Relationship Id="rId350" Type="http://schemas.openxmlformats.org/officeDocument/2006/relationships/hyperlink" Target="https://vt.tiktok.com/ZS9u4a2AT/" TargetMode="External"/><Relationship Id="rId356" Type="http://schemas.openxmlformats.org/officeDocument/2006/relationships/hyperlink" Target="https://vt.tiktok.com/ZSxSE9pcx/" TargetMode="External"/><Relationship Id="rId355" Type="http://schemas.openxmlformats.org/officeDocument/2006/relationships/hyperlink" Target="https://vt.tiktok.com/ZSxkshwd1/" TargetMode="External"/><Relationship Id="rId354" Type="http://schemas.openxmlformats.org/officeDocument/2006/relationships/hyperlink" Target="https://vt.tiktok.com/ZSxjHt4k7/" TargetMode="External"/><Relationship Id="rId353" Type="http://schemas.openxmlformats.org/officeDocument/2006/relationships/hyperlink" Target="https://vt.tiktok.com/ZS94sd4hs/" TargetMode="External"/><Relationship Id="rId305" Type="http://schemas.openxmlformats.org/officeDocument/2006/relationships/hyperlink" Target="https://www.tiktok.com/@bryanelzein00" TargetMode="External"/><Relationship Id="rId304" Type="http://schemas.openxmlformats.org/officeDocument/2006/relationships/hyperlink" Target="https://vt.tiktok.com/ZSHbCgJmr/" TargetMode="External"/><Relationship Id="rId303" Type="http://schemas.openxmlformats.org/officeDocument/2006/relationships/hyperlink" Target="https://www.tiktok.com/@92herlina" TargetMode="External"/><Relationship Id="rId302" Type="http://schemas.openxmlformats.org/officeDocument/2006/relationships/hyperlink" Target="https://www.tiktok.com/@ilaa.iueo" TargetMode="External"/><Relationship Id="rId309" Type="http://schemas.openxmlformats.org/officeDocument/2006/relationships/hyperlink" Target="https://www.tiktok.com/@pusatperabotanmurah84" TargetMode="External"/><Relationship Id="rId308" Type="http://schemas.openxmlformats.org/officeDocument/2006/relationships/hyperlink" Target="https://vt.tiktok.com/ZSxjLUvMD/" TargetMode="External"/><Relationship Id="rId307" Type="http://schemas.openxmlformats.org/officeDocument/2006/relationships/hyperlink" Target="https://www.tiktok.com/@mami_sheva" TargetMode="External"/><Relationship Id="rId306" Type="http://schemas.openxmlformats.org/officeDocument/2006/relationships/hyperlink" Target="https://vt.tiktok.com/ZS9VL9HWa/" TargetMode="External"/><Relationship Id="rId301" Type="http://schemas.openxmlformats.org/officeDocument/2006/relationships/hyperlink" Target="https://www.tiktok.com/@zainalaniaz" TargetMode="External"/><Relationship Id="rId300" Type="http://schemas.openxmlformats.org/officeDocument/2006/relationships/hyperlink" Target="https://vt.tiktok.com/ZSx2d8dRY/" TargetMode="External"/><Relationship Id="rId327" Type="http://schemas.openxmlformats.org/officeDocument/2006/relationships/hyperlink" Target="https://www.tiktok.com/@sulis.ummiazfa" TargetMode="External"/><Relationship Id="rId326" Type="http://schemas.openxmlformats.org/officeDocument/2006/relationships/hyperlink" Target="https://www.tiktok.com/@machalaattee_01l" TargetMode="External"/><Relationship Id="rId325" Type="http://schemas.openxmlformats.org/officeDocument/2006/relationships/hyperlink" Target="https://vt.tiktok.com/ZSxS5qeCS/" TargetMode="External"/><Relationship Id="rId324" Type="http://schemas.openxmlformats.org/officeDocument/2006/relationships/hyperlink" Target="https://vt.tiktok.com/ZS9L6qfUD/" TargetMode="External"/><Relationship Id="rId329" Type="http://schemas.openxmlformats.org/officeDocument/2006/relationships/hyperlink" Target="https://www.tiktok.com/@afaproject3" TargetMode="External"/><Relationship Id="rId328" Type="http://schemas.openxmlformats.org/officeDocument/2006/relationships/hyperlink" Target="https://www.tiktok.com/@spill_healthycare" TargetMode="External"/><Relationship Id="rId323" Type="http://schemas.openxmlformats.org/officeDocument/2006/relationships/hyperlink" Target="https://www.tiktok.com/@pupud__" TargetMode="External"/><Relationship Id="rId322" Type="http://schemas.openxmlformats.org/officeDocument/2006/relationships/hyperlink" Target="https://vt.tiktok.com/ZSxjRgY1g/" TargetMode="External"/><Relationship Id="rId321" Type="http://schemas.openxmlformats.org/officeDocument/2006/relationships/hyperlink" Target="https://vt.tiktok.com/ZS9aL47Nq/" TargetMode="External"/><Relationship Id="rId320" Type="http://schemas.openxmlformats.org/officeDocument/2006/relationships/hyperlink" Target="https://vt.tiktok.com/ZS9LWGU1k/" TargetMode="External"/><Relationship Id="rId316" Type="http://schemas.openxmlformats.org/officeDocument/2006/relationships/hyperlink" Target="https://www.tiktok.com/@tetehdela" TargetMode="External"/><Relationship Id="rId315" Type="http://schemas.openxmlformats.org/officeDocument/2006/relationships/hyperlink" Target="https://vt.tiktok.com/ZSxNmpJ5u/" TargetMode="External"/><Relationship Id="rId314" Type="http://schemas.openxmlformats.org/officeDocument/2006/relationships/hyperlink" Target="https://www.tiktok.com/@yanti_lontar" TargetMode="External"/><Relationship Id="rId313" Type="http://schemas.openxmlformats.org/officeDocument/2006/relationships/hyperlink" Target="https://www.tiktok.com/@russelskin" TargetMode="External"/><Relationship Id="rId319" Type="http://schemas.openxmlformats.org/officeDocument/2006/relationships/hyperlink" Target="https://vt.tiktok.com/ZSHEEARXb/" TargetMode="External"/><Relationship Id="rId318" Type="http://schemas.openxmlformats.org/officeDocument/2006/relationships/hyperlink" Target="https://www.tiktok.com/@fitriandriyani559" TargetMode="External"/><Relationship Id="rId317" Type="http://schemas.openxmlformats.org/officeDocument/2006/relationships/hyperlink" Target="https://vt.tiktok.com/ZSx7Xho9R/" TargetMode="External"/><Relationship Id="rId312" Type="http://schemas.openxmlformats.org/officeDocument/2006/relationships/hyperlink" Target="https://vt.tiktok.com/ZS9SoAAuw/" TargetMode="External"/><Relationship Id="rId311" Type="http://schemas.openxmlformats.org/officeDocument/2006/relationships/hyperlink" Target="https://vt.tiktok.com/ZS9N2V54y/" TargetMode="External"/><Relationship Id="rId310" Type="http://schemas.openxmlformats.org/officeDocument/2006/relationships/hyperlink" Target="https://www.tiktok.com/@nam.bar3" TargetMode="External"/><Relationship Id="rId297" Type="http://schemas.openxmlformats.org/officeDocument/2006/relationships/hyperlink" Target="https://www.tiktok.com/@siskaching27" TargetMode="External"/><Relationship Id="rId296" Type="http://schemas.openxmlformats.org/officeDocument/2006/relationships/hyperlink" Target="https://vt.tiktok.com/ZS9f82Byj/" TargetMode="External"/><Relationship Id="rId295" Type="http://schemas.openxmlformats.org/officeDocument/2006/relationships/hyperlink" Target="https://vt.tiktok.com/ZS9hpBwWK/" TargetMode="External"/><Relationship Id="rId294" Type="http://schemas.openxmlformats.org/officeDocument/2006/relationships/hyperlink" Target="https://vt.tiktok.com/ZSH7LfbbB/" TargetMode="External"/><Relationship Id="rId299" Type="http://schemas.openxmlformats.org/officeDocument/2006/relationships/hyperlink" Target="https://vt.tiktok.com/ZS94GaPeU/" TargetMode="External"/><Relationship Id="rId298" Type="http://schemas.openxmlformats.org/officeDocument/2006/relationships/hyperlink" Target="https://vt.tiktok.com/ZS9J36abJ/" TargetMode="External"/><Relationship Id="rId271" Type="http://schemas.openxmlformats.org/officeDocument/2006/relationships/hyperlink" Target="https://vt.tiktok.com/ZSH8YXkhH/" TargetMode="External"/><Relationship Id="rId270" Type="http://schemas.openxmlformats.org/officeDocument/2006/relationships/hyperlink" Target="https://www.tiktok.com/@fitrah_ramdhani_furqon" TargetMode="External"/><Relationship Id="rId269" Type="http://schemas.openxmlformats.org/officeDocument/2006/relationships/hyperlink" Target="https://vt.tiktok.com/ZSH2UvHHd/" TargetMode="External"/><Relationship Id="rId264" Type="http://schemas.openxmlformats.org/officeDocument/2006/relationships/hyperlink" Target="https://vt.tiktok.com/ZSHUCCLxF/" TargetMode="External"/><Relationship Id="rId263" Type="http://schemas.openxmlformats.org/officeDocument/2006/relationships/hyperlink" Target="https://vt.tiktok.com/ZSHUX1jrM/" TargetMode="External"/><Relationship Id="rId262" Type="http://schemas.openxmlformats.org/officeDocument/2006/relationships/hyperlink" Target="https://www.tiktok.com/@wijayasehatapotek" TargetMode="External"/><Relationship Id="rId261" Type="http://schemas.openxmlformats.org/officeDocument/2006/relationships/hyperlink" Target="https://vt.tiktok.com/ZSHL6r7RG/" TargetMode="External"/><Relationship Id="rId268" Type="http://schemas.openxmlformats.org/officeDocument/2006/relationships/hyperlink" Target="https://vt.tiktok.com/ZSHJroXMn/" TargetMode="External"/><Relationship Id="rId267" Type="http://schemas.openxmlformats.org/officeDocument/2006/relationships/hyperlink" Target="https://vt.tiktok.com/ZSuTg7eL1/" TargetMode="External"/><Relationship Id="rId266" Type="http://schemas.openxmlformats.org/officeDocument/2006/relationships/hyperlink" Target="https://www.tiktok.com/@hanyainginjadiorangbaik" TargetMode="External"/><Relationship Id="rId265" Type="http://schemas.openxmlformats.org/officeDocument/2006/relationships/hyperlink" Target="https://vt.tiktok.com/ZSHucYakG/" TargetMode="External"/><Relationship Id="rId260" Type="http://schemas.openxmlformats.org/officeDocument/2006/relationships/hyperlink" Target="https://vt.tiktok.com/ZSuKYJcu6/" TargetMode="External"/><Relationship Id="rId259" Type="http://schemas.openxmlformats.org/officeDocument/2006/relationships/hyperlink" Target="https://www.tiktok.com/@mazherbal" TargetMode="External"/><Relationship Id="rId258" Type="http://schemas.openxmlformats.org/officeDocument/2006/relationships/hyperlink" Target="https://www.tiktok.com/@anitanursyifa" TargetMode="External"/><Relationship Id="rId253" Type="http://schemas.openxmlformats.org/officeDocument/2006/relationships/hyperlink" Target="https://www.tiktok.com/@kak_asma" TargetMode="External"/><Relationship Id="rId252" Type="http://schemas.openxmlformats.org/officeDocument/2006/relationships/hyperlink" Target="https://vt.tiktok.com/ZSHpoxoCA/" TargetMode="External"/><Relationship Id="rId251" Type="http://schemas.openxmlformats.org/officeDocument/2006/relationships/hyperlink" Target="https://vt.tiktok.com/ZSH92HEn6/" TargetMode="External"/><Relationship Id="rId250" Type="http://schemas.openxmlformats.org/officeDocument/2006/relationships/hyperlink" Target="https://vt.tiktok.com/ZSHj6CLuT/" TargetMode="External"/><Relationship Id="rId257" Type="http://schemas.openxmlformats.org/officeDocument/2006/relationships/hyperlink" Target="https://www.tiktok.com/@claudya_tan" TargetMode="External"/><Relationship Id="rId256" Type="http://schemas.openxmlformats.org/officeDocument/2006/relationships/hyperlink" Target="https://vt.tiktok.com/ZSxSWv7vP/" TargetMode="External"/><Relationship Id="rId255" Type="http://schemas.openxmlformats.org/officeDocument/2006/relationships/hyperlink" Target="https://vt.tiktok.com/ZS9Y6harS/" TargetMode="External"/><Relationship Id="rId254" Type="http://schemas.openxmlformats.org/officeDocument/2006/relationships/hyperlink" Target="https://vt.tiktok.com/ZSHXqtXdk/" TargetMode="External"/><Relationship Id="rId293" Type="http://schemas.openxmlformats.org/officeDocument/2006/relationships/hyperlink" Target="https://www.tiktok.com/@dytafdya_" TargetMode="External"/><Relationship Id="rId292" Type="http://schemas.openxmlformats.org/officeDocument/2006/relationships/hyperlink" Target="https://www.tiktok.com/@putrinavisyy" TargetMode="External"/><Relationship Id="rId291" Type="http://schemas.openxmlformats.org/officeDocument/2006/relationships/hyperlink" Target="https://vt.tiktok.com/ZSHGBNnhM/" TargetMode="External"/><Relationship Id="rId290" Type="http://schemas.openxmlformats.org/officeDocument/2006/relationships/hyperlink" Target="https://www.tiktok.com/@yolaraslah" TargetMode="External"/><Relationship Id="rId286" Type="http://schemas.openxmlformats.org/officeDocument/2006/relationships/hyperlink" Target="https://vt.tiktok.com/ZSHqGNc9Q/" TargetMode="External"/><Relationship Id="rId285" Type="http://schemas.openxmlformats.org/officeDocument/2006/relationships/hyperlink" Target="https://vt.tiktok.com/ZSHUVGCJy/" TargetMode="External"/><Relationship Id="rId284" Type="http://schemas.openxmlformats.org/officeDocument/2006/relationships/hyperlink" Target="https://www.tiktok.com/@purnomohadisusatyo" TargetMode="External"/><Relationship Id="rId283" Type="http://schemas.openxmlformats.org/officeDocument/2006/relationships/hyperlink" Target="https://vt.tiktok.com/ZSHP1T3jC/" TargetMode="External"/><Relationship Id="rId289" Type="http://schemas.openxmlformats.org/officeDocument/2006/relationships/hyperlink" Target="https://www.tiktok.com/@yeoliannie" TargetMode="External"/><Relationship Id="rId288" Type="http://schemas.openxmlformats.org/officeDocument/2006/relationships/hyperlink" Target="https://www.tiktok.com/@ziesiemu" TargetMode="External"/><Relationship Id="rId287" Type="http://schemas.openxmlformats.org/officeDocument/2006/relationships/hyperlink" Target="https://vt.tiktok.com/ZSHWw2L8R/" TargetMode="External"/><Relationship Id="rId282" Type="http://schemas.openxmlformats.org/officeDocument/2006/relationships/hyperlink" Target="https://www.tiktok.com/@lisna_tanjung" TargetMode="External"/><Relationship Id="rId281" Type="http://schemas.openxmlformats.org/officeDocument/2006/relationships/hyperlink" Target="https://www.tiktok.com/@gentongku" TargetMode="External"/><Relationship Id="rId280" Type="http://schemas.openxmlformats.org/officeDocument/2006/relationships/hyperlink" Target="https://www.tiktok.com/@herbaladisentoso" TargetMode="External"/><Relationship Id="rId275" Type="http://schemas.openxmlformats.org/officeDocument/2006/relationships/hyperlink" Target="https://www.tiktok.com/@aizashop9590" TargetMode="External"/><Relationship Id="rId274" Type="http://schemas.openxmlformats.org/officeDocument/2006/relationships/hyperlink" Target="https://vt.tiktok.com/ZSHfEpFoj/" TargetMode="External"/><Relationship Id="rId273" Type="http://schemas.openxmlformats.org/officeDocument/2006/relationships/hyperlink" Target="https://vt.tiktok.com/ZSHfE5DmH/" TargetMode="External"/><Relationship Id="rId272" Type="http://schemas.openxmlformats.org/officeDocument/2006/relationships/hyperlink" Target="https://vt.tiktok.com/ZSHfESFu2/" TargetMode="External"/><Relationship Id="rId279" Type="http://schemas.openxmlformats.org/officeDocument/2006/relationships/hyperlink" Target="https://vt.tiktok.com/ZSHUHHb73/" TargetMode="External"/><Relationship Id="rId278" Type="http://schemas.openxmlformats.org/officeDocument/2006/relationships/hyperlink" Target="https://vt.tiktok.com/ZSHYtLJF8/" TargetMode="External"/><Relationship Id="rId277" Type="http://schemas.openxmlformats.org/officeDocument/2006/relationships/hyperlink" Target="https://vt.tiktok.com/ZSHFSEmF7/" TargetMode="External"/><Relationship Id="rId276" Type="http://schemas.openxmlformats.org/officeDocument/2006/relationships/hyperlink" Target="https://vt.tiktok.com/ZSH8NnAKj/" TargetMode="External"/><Relationship Id="rId228" Type="http://schemas.openxmlformats.org/officeDocument/2006/relationships/hyperlink" Target="https://vt.tiktok.com/ZSHGWSoWy/" TargetMode="External"/><Relationship Id="rId227" Type="http://schemas.openxmlformats.org/officeDocument/2006/relationships/hyperlink" Target="https://vt.tiktok.com/ZSHSu9r5E/" TargetMode="External"/><Relationship Id="rId226" Type="http://schemas.openxmlformats.org/officeDocument/2006/relationships/hyperlink" Target="https://vt.tiktok.com/ZSu3PXXo6/" TargetMode="External"/><Relationship Id="rId225" Type="http://schemas.openxmlformats.org/officeDocument/2006/relationships/hyperlink" Target="https://www.tiktok.com/@3agrazy" TargetMode="External"/><Relationship Id="rId229" Type="http://schemas.openxmlformats.org/officeDocument/2006/relationships/hyperlink" Target="https://www.tiktok.com/@_bulan05" TargetMode="External"/><Relationship Id="rId220" Type="http://schemas.openxmlformats.org/officeDocument/2006/relationships/hyperlink" Target="https://vt.tiktok.com/ZSHBFwW6G/" TargetMode="External"/><Relationship Id="rId224" Type="http://schemas.openxmlformats.org/officeDocument/2006/relationships/hyperlink" Target="https://vt.tiktok.com/ZSHmFFe5C/" TargetMode="External"/><Relationship Id="rId223" Type="http://schemas.openxmlformats.org/officeDocument/2006/relationships/hyperlink" Target="https://vt.tiktok.com/ZSuTxc2dn/" TargetMode="External"/><Relationship Id="rId222" Type="http://schemas.openxmlformats.org/officeDocument/2006/relationships/hyperlink" Target="https://www.tiktok.com/@omaliherbal" TargetMode="External"/><Relationship Id="rId221" Type="http://schemas.openxmlformats.org/officeDocument/2006/relationships/hyperlink" Target="https://vt.tiktok.com/ZSHm1rSWc/" TargetMode="External"/><Relationship Id="rId217" Type="http://schemas.openxmlformats.org/officeDocument/2006/relationships/hyperlink" Target="https://www.tiktok.com/@mygastore" TargetMode="External"/><Relationship Id="rId216" Type="http://schemas.openxmlformats.org/officeDocument/2006/relationships/hyperlink" Target="https://vt.tiktok.com/ZSHtCxtrY/" TargetMode="External"/><Relationship Id="rId215" Type="http://schemas.openxmlformats.org/officeDocument/2006/relationships/hyperlink" Target="https://vt.tiktok.com/ZSHNvjpnU/" TargetMode="External"/><Relationship Id="rId214" Type="http://schemas.openxmlformats.org/officeDocument/2006/relationships/hyperlink" Target="https://www.tiktok.com/@nadiapurba53" TargetMode="External"/><Relationship Id="rId219" Type="http://schemas.openxmlformats.org/officeDocument/2006/relationships/hyperlink" Target="https://vt.tiktok.com/ZSHNnUGpQ/" TargetMode="External"/><Relationship Id="rId218" Type="http://schemas.openxmlformats.org/officeDocument/2006/relationships/hyperlink" Target="https://vt.tiktok.com/ZSuqxd39D/" TargetMode="External"/><Relationship Id="rId213" Type="http://schemas.openxmlformats.org/officeDocument/2006/relationships/hyperlink" Target="https://vt.tiktok.com/ZSuV8EnBN/" TargetMode="External"/><Relationship Id="rId212" Type="http://schemas.openxmlformats.org/officeDocument/2006/relationships/hyperlink" Target="https://vt.tiktok.com/ZSufwTJWX/" TargetMode="External"/><Relationship Id="rId211" Type="http://schemas.openxmlformats.org/officeDocument/2006/relationships/hyperlink" Target="https://vt.tiktok.com/ZSuUb93vu/" TargetMode="External"/><Relationship Id="rId210" Type="http://schemas.openxmlformats.org/officeDocument/2006/relationships/hyperlink" Target="https://www.tiktok.com/@nande_nande011" TargetMode="External"/><Relationship Id="rId249" Type="http://schemas.openxmlformats.org/officeDocument/2006/relationships/hyperlink" Target="https://www.tiktok.com/@m_yustore" TargetMode="External"/><Relationship Id="rId248" Type="http://schemas.openxmlformats.org/officeDocument/2006/relationships/hyperlink" Target="https://vt.tiktok.com/ZSHqpTum7/" TargetMode="External"/><Relationship Id="rId247" Type="http://schemas.openxmlformats.org/officeDocument/2006/relationships/hyperlink" Target="https://vt.tiktok.com/ZSHUuECS9/" TargetMode="External"/><Relationship Id="rId242" Type="http://schemas.openxmlformats.org/officeDocument/2006/relationships/hyperlink" Target="https://www.tiktok.com/@strtiktok/video/7621040264626408712?_r=1&amp;u_code=dg59gj41lgk99j&amp;region=&amp;mid=7481302750296951557&amp;preview_pb=0&amp;sharer_language=&amp;_d=0&amp;ec_shared_reflux_dynamic_params=%7B%22placeholder_material_id%22%3A%227621040264626408712%22%2C%22placeholder_origin_cover%22%3A%22https%253A%252F%252Fp16-sign-sg.tiktokcdn.com%252Ftos-alisg-p-0037%252FoQcHBTfDcQmmRkpEovfc2wi1GB5AwE9rFDIbQg~tplv-tiktokx-origin.jpeg%253Fdr%253D14572%2526refresh_token%253D452999c5%2526x-expires%253D1806976800%2526x-signature%253Dlq%25252FzvwiANJbNY0DJX1XjvRMfvJ0%25253D%2526t%253D4d5b0474%2526ps%253D13740610%2526shp%253Dd05b14bd%2526shcp%253D34ff8df6%2526idc%253Dmy2%2526s%253DTIKTOK_AFFILIATE_VIRAL_VIDEO%22%2C%22placeholder_product_id%22%3A%221729744224888456359%22%2C%22placeholder_video_id%22%3A%227621040264626408712%22%7D&amp;ec_shared_reflux_scene=shop_tab_feed&amp;share_item_id=7621040264626408712&amp;source=h5_t" TargetMode="External"/><Relationship Id="rId241" Type="http://schemas.openxmlformats.org/officeDocument/2006/relationships/hyperlink" Target="https://vt.tiktok.com/ZSux59PxS/" TargetMode="External"/><Relationship Id="rId240" Type="http://schemas.openxmlformats.org/officeDocument/2006/relationships/hyperlink" Target="https://www.tiktok.com/@strtiktok" TargetMode="External"/><Relationship Id="rId246" Type="http://schemas.openxmlformats.org/officeDocument/2006/relationships/hyperlink" Target="https://vt.tiktok.com/ZSH8PGrby/" TargetMode="External"/><Relationship Id="rId245" Type="http://schemas.openxmlformats.org/officeDocument/2006/relationships/hyperlink" Target="https://www.tiktok.com/@infobidanku" TargetMode="External"/><Relationship Id="rId244" Type="http://schemas.openxmlformats.org/officeDocument/2006/relationships/hyperlink" Target="https://vt.tiktok.com/ZSu3f51eV/" TargetMode="External"/><Relationship Id="rId243" Type="http://schemas.openxmlformats.org/officeDocument/2006/relationships/hyperlink" Target="https://www.tiktok.com/@shatikah04" TargetMode="External"/><Relationship Id="rId239" Type="http://schemas.openxmlformats.org/officeDocument/2006/relationships/hyperlink" Target="https://vt.tiktok.com/ZSHGSAkSH/" TargetMode="External"/><Relationship Id="rId238" Type="http://schemas.openxmlformats.org/officeDocument/2006/relationships/hyperlink" Target="https://vt.tiktok.com/ZSHPLay2Q/" TargetMode="External"/><Relationship Id="rId237" Type="http://schemas.openxmlformats.org/officeDocument/2006/relationships/hyperlink" Target="https://www.tiktok.com/@aaaratted" TargetMode="External"/><Relationship Id="rId236" Type="http://schemas.openxmlformats.org/officeDocument/2006/relationships/hyperlink" Target="https://vt.tiktok.com/ZSHyWAnEs/" TargetMode="External"/><Relationship Id="rId231" Type="http://schemas.openxmlformats.org/officeDocument/2006/relationships/hyperlink" Target="https://vt.tiktok.com/ZSHaUpmhN/" TargetMode="External"/><Relationship Id="rId230" Type="http://schemas.openxmlformats.org/officeDocument/2006/relationships/hyperlink" Target="https://vt.tiktok.com/ZSHAKb9qH/" TargetMode="External"/><Relationship Id="rId235" Type="http://schemas.openxmlformats.org/officeDocument/2006/relationships/hyperlink" Target="https://www.tiktok.com/@maiaannisa" TargetMode="External"/><Relationship Id="rId234" Type="http://schemas.openxmlformats.org/officeDocument/2006/relationships/hyperlink" Target="https://vt.tiktok.com/ZS9y5S5e5/" TargetMode="External"/><Relationship Id="rId233" Type="http://schemas.openxmlformats.org/officeDocument/2006/relationships/hyperlink" Target="https://vt.tiktok.com/ZS9fAn3b8/" TargetMode="External"/><Relationship Id="rId232" Type="http://schemas.openxmlformats.org/officeDocument/2006/relationships/hyperlink" Target="https://www.tiktok.com/@zulfaqurin" TargetMode="External"/><Relationship Id="rId206" Type="http://schemas.openxmlformats.org/officeDocument/2006/relationships/hyperlink" Target="https://vt.tiktok.com/ZS9RjQDMg/" TargetMode="External"/><Relationship Id="rId205" Type="http://schemas.openxmlformats.org/officeDocument/2006/relationships/hyperlink" Target="https://vt.tiktok.com/ZSHGMoqFw/" TargetMode="External"/><Relationship Id="rId204" Type="http://schemas.openxmlformats.org/officeDocument/2006/relationships/hyperlink" Target="https://vt.tiktok.com/ZSH6VqCmw/" TargetMode="External"/><Relationship Id="rId203" Type="http://schemas.openxmlformats.org/officeDocument/2006/relationships/hyperlink" Target="https://www.tiktok.com/@sistjojo1" TargetMode="External"/><Relationship Id="rId209" Type="http://schemas.openxmlformats.org/officeDocument/2006/relationships/hyperlink" Target="https://vt.tiktok.com/ZSuuTyfhv/" TargetMode="External"/><Relationship Id="rId208" Type="http://schemas.openxmlformats.org/officeDocument/2006/relationships/hyperlink" Target="https://vt.tiktok.com/ZSur6gbPJ/" TargetMode="External"/><Relationship Id="rId207" Type="http://schemas.openxmlformats.org/officeDocument/2006/relationships/hyperlink" Target="https://www.tiktok.com/@arul_baster" TargetMode="External"/><Relationship Id="rId202" Type="http://schemas.openxmlformats.org/officeDocument/2006/relationships/hyperlink" Target="https://vt.tiktok.com/ZSHq3UgSU/" TargetMode="External"/><Relationship Id="rId201" Type="http://schemas.openxmlformats.org/officeDocument/2006/relationships/hyperlink" Target="https://vt.tiktok.com/ZSHUHFStJ/" TargetMode="External"/><Relationship Id="rId200" Type="http://schemas.openxmlformats.org/officeDocument/2006/relationships/hyperlink" Target="https://vt.tiktok.com/ZSuH8Ffb7/" TargetMode="External"/><Relationship Id="rId409" Type="http://schemas.openxmlformats.org/officeDocument/2006/relationships/hyperlink" Target="https://www.tiktok.com/@amarliazakaria" TargetMode="External"/><Relationship Id="rId404" Type="http://schemas.openxmlformats.org/officeDocument/2006/relationships/hyperlink" Target="https://www.tiktok.com/@almaira.zea" TargetMode="External"/><Relationship Id="rId403" Type="http://schemas.openxmlformats.org/officeDocument/2006/relationships/hyperlink" Target="https://vt.tiktok.com/ZSxGdaGm3/" TargetMode="External"/><Relationship Id="rId402" Type="http://schemas.openxmlformats.org/officeDocument/2006/relationships/hyperlink" Target="https://vt.tiktok.com/ZSxGdt6v1/" TargetMode="External"/><Relationship Id="rId401" Type="http://schemas.openxmlformats.org/officeDocument/2006/relationships/hyperlink" Target="https://vt.tiktok.com/ZSxGdGBnh/" TargetMode="External"/><Relationship Id="rId408" Type="http://schemas.openxmlformats.org/officeDocument/2006/relationships/hyperlink" Target="https://www.tiktok.com/@wahyu_healthylife" TargetMode="External"/><Relationship Id="rId407" Type="http://schemas.openxmlformats.org/officeDocument/2006/relationships/hyperlink" Target="https://vt.tiktok.com/ZSxUQ1MKL/" TargetMode="External"/><Relationship Id="rId406" Type="http://schemas.openxmlformats.org/officeDocument/2006/relationships/hyperlink" Target="https://www.tiktok.com/@rosdianasary3" TargetMode="External"/><Relationship Id="rId405" Type="http://schemas.openxmlformats.org/officeDocument/2006/relationships/hyperlink" Target="https://vt.tiktok.com/ZSxkoNbnA/" TargetMode="External"/><Relationship Id="rId400" Type="http://schemas.openxmlformats.org/officeDocument/2006/relationships/hyperlink" Target="https://www.tiktok.com/@ameliahmusthofa" TargetMode="External"/><Relationship Id="rId426" Type="http://schemas.openxmlformats.org/officeDocument/2006/relationships/hyperlink" Target="https://www.tiktok.com/@rossi_77" TargetMode="External"/><Relationship Id="rId425" Type="http://schemas.openxmlformats.org/officeDocument/2006/relationships/hyperlink" Target="https://www.tiktok.com/@chipsagoy" TargetMode="External"/><Relationship Id="rId424" Type="http://schemas.openxmlformats.org/officeDocument/2006/relationships/hyperlink" Target="https://www.tiktok.com/@hi_jaena" TargetMode="External"/><Relationship Id="rId423" Type="http://schemas.openxmlformats.org/officeDocument/2006/relationships/hyperlink" Target="https://www.tiktok.com/@desy5014" TargetMode="External"/><Relationship Id="rId429" Type="http://schemas.openxmlformats.org/officeDocument/2006/relationships/hyperlink" Target="https://www.tiktok.com/@abay_septiawan" TargetMode="External"/><Relationship Id="rId428" Type="http://schemas.openxmlformats.org/officeDocument/2006/relationships/hyperlink" Target="https://www.tiktok.com/@_alfathann" TargetMode="External"/><Relationship Id="rId427" Type="http://schemas.openxmlformats.org/officeDocument/2006/relationships/hyperlink" Target="https://www.tiktok.com/@dekorlamaran_murah" TargetMode="External"/><Relationship Id="rId422" Type="http://schemas.openxmlformats.org/officeDocument/2006/relationships/hyperlink" Target="https://www.tiktok.com/@itakmarsela" TargetMode="External"/><Relationship Id="rId421" Type="http://schemas.openxmlformats.org/officeDocument/2006/relationships/hyperlink" Target="https://www.tiktok.com/@mommycastiel" TargetMode="External"/><Relationship Id="rId420" Type="http://schemas.openxmlformats.org/officeDocument/2006/relationships/hyperlink" Target="https://www.tiktok.com/@cekoneng1" TargetMode="External"/><Relationship Id="rId415" Type="http://schemas.openxmlformats.org/officeDocument/2006/relationships/hyperlink" Target="https://www.tiktok.com/@animasi_herbal" TargetMode="External"/><Relationship Id="rId414" Type="http://schemas.openxmlformats.org/officeDocument/2006/relationships/hyperlink" Target="https://vt.tiktok.com/ZSxQ4kscK/" TargetMode="External"/><Relationship Id="rId413" Type="http://schemas.openxmlformats.org/officeDocument/2006/relationships/hyperlink" Target="https://vt.tiktok.com/ZSxQ4NXgM/" TargetMode="External"/><Relationship Id="rId412" Type="http://schemas.openxmlformats.org/officeDocument/2006/relationships/hyperlink" Target="https://vt.tiktok.com/ZSxQ4UbjW/" TargetMode="External"/><Relationship Id="rId419" Type="http://schemas.openxmlformats.org/officeDocument/2006/relationships/hyperlink" Target="https://www.tiktok.com/@vio_arvianoo" TargetMode="External"/><Relationship Id="rId418" Type="http://schemas.openxmlformats.org/officeDocument/2006/relationships/hyperlink" Target="https://www.tiktok.com/@animasi_herbal/video/7642213578849783048?is_from_webapp=1&amp;sender_device=pc&amp;web_id=76221474845676027099" TargetMode="External"/><Relationship Id="rId417" Type="http://schemas.openxmlformats.org/officeDocument/2006/relationships/hyperlink" Target="https://vt.tiktok.com/ZSxgYNv2U/" TargetMode="External"/><Relationship Id="rId416" Type="http://schemas.openxmlformats.org/officeDocument/2006/relationships/hyperlink" Target="https://vt.tiktok.com/ZSxakHEQy/" TargetMode="External"/><Relationship Id="rId411" Type="http://schemas.openxmlformats.org/officeDocument/2006/relationships/hyperlink" Target="https://vt.tiktok.com/ZSxQXnMgu/" TargetMode="External"/><Relationship Id="rId410" Type="http://schemas.openxmlformats.org/officeDocument/2006/relationships/hyperlink" Target="https://www.tiktok.com/@momyhusna" TargetMode="External"/><Relationship Id="rId432" Type="http://schemas.openxmlformats.org/officeDocument/2006/relationships/vmlDrawing" Target="../drawings/vmlDrawing8.vml"/><Relationship Id="rId431" Type="http://schemas.openxmlformats.org/officeDocument/2006/relationships/drawing" Target="../drawings/drawing17.xml"/><Relationship Id="rId430" Type="http://schemas.openxmlformats.org/officeDocument/2006/relationships/hyperlink" Target="https://www.tiktok.com/@lienci_saragih" TargetMode="External"/><Relationship Id="rId1" Type="http://schemas.openxmlformats.org/officeDocument/2006/relationships/comments" Target="../comments8.xml"/><Relationship Id="rId2" Type="http://schemas.openxmlformats.org/officeDocument/2006/relationships/hyperlink" Target="https://www.tiktok.com/@manis_3521" TargetMode="External"/><Relationship Id="rId3" Type="http://schemas.openxmlformats.org/officeDocument/2006/relationships/hyperlink" Target="https://vt.tiktok.com/ZSmDQFBSD/" TargetMode="External"/><Relationship Id="rId4" Type="http://schemas.openxmlformats.org/officeDocument/2006/relationships/hyperlink" Target="https://vt.tiktok.com/ZSmUSPSM1/" TargetMode="External"/><Relationship Id="rId9" Type="http://schemas.openxmlformats.org/officeDocument/2006/relationships/hyperlink" Target="https://www.tiktok.com/@fey_mel21" TargetMode="External"/><Relationship Id="rId5" Type="http://schemas.openxmlformats.org/officeDocument/2006/relationships/hyperlink" Target="https://vt.tiktok.com/ZSmQBLGLB/" TargetMode="External"/><Relationship Id="rId6" Type="http://schemas.openxmlformats.org/officeDocument/2006/relationships/hyperlink" Target="https://www.tiktok.com/@indribilal25" TargetMode="External"/><Relationship Id="rId7" Type="http://schemas.openxmlformats.org/officeDocument/2006/relationships/hyperlink" Target="https://vt.tiktok.com/ZSmUqfApx/" TargetMode="External"/><Relationship Id="rId8" Type="http://schemas.openxmlformats.org/officeDocument/2006/relationships/hyperlink" Target="https://vt.tiktok.com/ZSmQ9gYjf/" TargetMode="External"/></Relationships>
</file>

<file path=xl/worksheets/_rels/sheet18.xml.rels><?xml version="1.0" encoding="UTF-8" standalone="yes"?><Relationships xmlns="http://schemas.openxmlformats.org/package/2006/relationships"><Relationship Id="rId132" Type="http://schemas.openxmlformats.org/officeDocument/2006/relationships/hyperlink" Target="https://www.tiktok.com/@olinshop789" TargetMode="External"/><Relationship Id="rId131" Type="http://schemas.openxmlformats.org/officeDocument/2006/relationships/hyperlink" Target="https://www.tiktok.com/@nlfitriaa_" TargetMode="External"/><Relationship Id="rId130" Type="http://schemas.openxmlformats.org/officeDocument/2006/relationships/hyperlink" Target="https://www.tiktok.com/@bang.ara62" TargetMode="External"/><Relationship Id="rId135" Type="http://schemas.openxmlformats.org/officeDocument/2006/relationships/drawing" Target="../drawings/drawing18.xml"/><Relationship Id="rId134" Type="http://schemas.openxmlformats.org/officeDocument/2006/relationships/hyperlink" Target="https://www.tiktok.com/@diviasaputrii" TargetMode="External"/><Relationship Id="rId133" Type="http://schemas.openxmlformats.org/officeDocument/2006/relationships/hyperlink" Target="https://www.tiktok.com/@sis.915" TargetMode="External"/><Relationship Id="rId107" Type="http://schemas.openxmlformats.org/officeDocument/2006/relationships/hyperlink" Target="https://www.tiktok.com/@nayllaauliaaa" TargetMode="External"/><Relationship Id="rId106" Type="http://schemas.openxmlformats.org/officeDocument/2006/relationships/hyperlink" Target="https://www.tiktok.com/@auroraanzh" TargetMode="External"/><Relationship Id="rId105" Type="http://schemas.openxmlformats.org/officeDocument/2006/relationships/hyperlink" Target="https://www.tiktok.com/@sabinaaccura" TargetMode="External"/><Relationship Id="rId104" Type="http://schemas.openxmlformats.org/officeDocument/2006/relationships/hyperlink" Target="https://www.tiktok.com/@tiktokshopp017/video/7647148840272825621?is_from_webapp=1&amp;sender_device=pc" TargetMode="External"/><Relationship Id="rId109" Type="http://schemas.openxmlformats.org/officeDocument/2006/relationships/hyperlink" Target="https://www.tiktok.com/@nayllaauliaaa/video/7647029980442168596?is_from_webapp=1&amp;sender_device=pc" TargetMode="External"/><Relationship Id="rId108" Type="http://schemas.openxmlformats.org/officeDocument/2006/relationships/hyperlink" Target="https://www.tiktok.com/@nayllaauliaaa/video/7646654376911686932?is_from_webapp=1&amp;sender_device=pc" TargetMode="External"/><Relationship Id="rId103" Type="http://schemas.openxmlformats.org/officeDocument/2006/relationships/hyperlink" Target="https://vt.tiktok.com/ZSxEoCUD4/" TargetMode="External"/><Relationship Id="rId102" Type="http://schemas.openxmlformats.org/officeDocument/2006/relationships/hyperlink" Target="https://www.tiktok.com/@tiktokshopp017" TargetMode="External"/><Relationship Id="rId101" Type="http://schemas.openxmlformats.org/officeDocument/2006/relationships/hyperlink" Target="https://www.tiktok.com/@rik.amlia" TargetMode="External"/><Relationship Id="rId100" Type="http://schemas.openxmlformats.org/officeDocument/2006/relationships/hyperlink" Target="https://www.tiktok.com/@lilieesel" TargetMode="External"/><Relationship Id="rId129" Type="http://schemas.openxmlformats.org/officeDocument/2006/relationships/hyperlink" Target="https://www.tiktok.com/@puspitajasmine26" TargetMode="External"/><Relationship Id="rId128" Type="http://schemas.openxmlformats.org/officeDocument/2006/relationships/hyperlink" Target="https://www.tiktok.com/@zrly__" TargetMode="External"/><Relationship Id="rId127" Type="http://schemas.openxmlformats.org/officeDocument/2006/relationships/hyperlink" Target="https://www.tiktok.com/@ptsabbythrds" TargetMode="External"/><Relationship Id="rId126" Type="http://schemas.openxmlformats.org/officeDocument/2006/relationships/hyperlink" Target="https://www.tiktok.com/@ptsabbythrds" TargetMode="External"/><Relationship Id="rId121" Type="http://schemas.openxmlformats.org/officeDocument/2006/relationships/hyperlink" Target="https://www.tiktok.com/@istribaramukti" TargetMode="External"/><Relationship Id="rId120" Type="http://schemas.openxmlformats.org/officeDocument/2006/relationships/hyperlink" Target="https://www.tiktok.com/@shakashop04" TargetMode="External"/><Relationship Id="rId125" Type="http://schemas.openxmlformats.org/officeDocument/2006/relationships/hyperlink" Target="https://www.tiktok.com/@ptsabbythrds" TargetMode="External"/><Relationship Id="rId124" Type="http://schemas.openxmlformats.org/officeDocument/2006/relationships/hyperlink" Target="https://www.tiktok.com/@ptsabbythrds" TargetMode="External"/><Relationship Id="rId123" Type="http://schemas.openxmlformats.org/officeDocument/2006/relationships/hyperlink" Target="https://www.tiktok.com/@ptsabbythrds" TargetMode="External"/><Relationship Id="rId122" Type="http://schemas.openxmlformats.org/officeDocument/2006/relationships/hyperlink" Target="https://www.tiktok.com/@racunmurahshopping_" TargetMode="External"/><Relationship Id="rId118" Type="http://schemas.openxmlformats.org/officeDocument/2006/relationships/hyperlink" Target="https://www.tiktok.com/@gebby.valenzka.ama" TargetMode="External"/><Relationship Id="rId117" Type="http://schemas.openxmlformats.org/officeDocument/2006/relationships/hyperlink" Target="https://www.tiktok.com/@kosmetiksagalamurah" TargetMode="External"/><Relationship Id="rId116" Type="http://schemas.openxmlformats.org/officeDocument/2006/relationships/hyperlink" Target="https://www.tiktok.com/@mellan99" TargetMode="External"/><Relationship Id="rId115" Type="http://schemas.openxmlformats.org/officeDocument/2006/relationships/hyperlink" Target="https://www.tiktok.com/@_sweetly19/video/7646728145336454420?is_from_webapp=1&amp;sender_device=pc" TargetMode="External"/><Relationship Id="rId119" Type="http://schemas.openxmlformats.org/officeDocument/2006/relationships/hyperlink" Target="https://www.tiktok.com/@nafisahabbas" TargetMode="External"/><Relationship Id="rId110" Type="http://schemas.openxmlformats.org/officeDocument/2006/relationships/hyperlink" Target="https://www.tiktok.com/@tetehnuyy0" TargetMode="External"/><Relationship Id="rId114" Type="http://schemas.openxmlformats.org/officeDocument/2006/relationships/hyperlink" Target="https://www.tiktok.com/@_sweetly19/video/7645594450038738197?is_from_webapp=1&amp;sender_device=pc" TargetMode="External"/><Relationship Id="rId113" Type="http://schemas.openxmlformats.org/officeDocument/2006/relationships/hyperlink" Target="https://www.tiktok.com/@_sweetly19" TargetMode="External"/><Relationship Id="rId112" Type="http://schemas.openxmlformats.org/officeDocument/2006/relationships/hyperlink" Target="https://www.tiktok.com/@kikiromli89" TargetMode="External"/><Relationship Id="rId111" Type="http://schemas.openxmlformats.org/officeDocument/2006/relationships/hyperlink" Target="https://www.tiktok.com/@wwzn13" TargetMode="External"/><Relationship Id="rId40" Type="http://schemas.openxmlformats.org/officeDocument/2006/relationships/hyperlink" Target="https://www.tiktok.com/@mrsrepiew" TargetMode="External"/><Relationship Id="rId42" Type="http://schemas.openxmlformats.org/officeDocument/2006/relationships/hyperlink" Target="https://vt.tiktok.com/ZS9XqJtnN/" TargetMode="External"/><Relationship Id="rId41" Type="http://schemas.openxmlformats.org/officeDocument/2006/relationships/hyperlink" Target="https://www.tiktok.com/@myname_hana" TargetMode="External"/><Relationship Id="rId44" Type="http://schemas.openxmlformats.org/officeDocument/2006/relationships/hyperlink" Target="https://www.tiktok.com/@dreamm.png" TargetMode="External"/><Relationship Id="rId43" Type="http://schemas.openxmlformats.org/officeDocument/2006/relationships/hyperlink" Target="https://vt.tiktok.com/ZS9XVEA8k/" TargetMode="External"/><Relationship Id="rId46" Type="http://schemas.openxmlformats.org/officeDocument/2006/relationships/hyperlink" Target="https://www.tiktok.com/@dreamm.png/video/7638142487810428168?_r=1&amp;u_code=e36al7997c2gli&amp;region=&amp;mid=7632536758063909648&amp;preview_pb=0&amp;sharer_language=&amp;_d=0&amp;ec_shared_reflux_dynamic_params=%7B%22placeholder_material_id%22%3A%227638142487810428168%22%2C%22placeholder_origin_cover%22%3A%22https%253A%252F%252Fp16-common-sign.tiktokcdn.com%252Ftos-alisg-p-0037%252FoIXNudiIIAw1SiAfHIiqAy0wmiD7vCAdBABIBz~tplv-tiktokx-origin.jpeg%253Fdr%253D14572%2526refresh_token%253D5a900e5e%2526x-expires%253D1810612800%2526x-signature%253DDArl5FOH%25252BcY4oImnZfU7MC14sMk%25253D%2526t%253D4d5b0474%2526ps%253D13740610%2526shp%253Dd05b14bd%2526shcp%253D34ff8df6%2526idc%253Dmy3%2526s%253DTIKTOK_AFFILIATE_VIRAL_VIDEO%22%2C%22placeholder_product_id%22%3A%221729557995886774017%22%2C%22placeholder_video_id%22%3A%227638142487810428168%22%7D&amp;ec_shared_reflux_scene=shop_tab_feed&amp;share_item_id=7638142487810428168&amp;source=h5_t" TargetMode="External"/><Relationship Id="rId45" Type="http://schemas.openxmlformats.org/officeDocument/2006/relationships/hyperlink" Target="https://vt.tiktok.com/ZS9qgL35h/" TargetMode="External"/><Relationship Id="rId48" Type="http://schemas.openxmlformats.org/officeDocument/2006/relationships/hyperlink" Target="https://vt.tiktok.com/ZSxQNCCCk/" TargetMode="External"/><Relationship Id="rId47" Type="http://schemas.openxmlformats.org/officeDocument/2006/relationships/hyperlink" Target="https://www.tiktok.com/@delladewintaaa" TargetMode="External"/><Relationship Id="rId49" Type="http://schemas.openxmlformats.org/officeDocument/2006/relationships/hyperlink" Target="https://vt.tiktok.com/ZSxQNaPpN/" TargetMode="External"/><Relationship Id="rId31" Type="http://schemas.openxmlformats.org/officeDocument/2006/relationships/hyperlink" Target="https://vt.tiktok.com/ZS9KSfvpB/" TargetMode="External"/><Relationship Id="rId30" Type="http://schemas.openxmlformats.org/officeDocument/2006/relationships/hyperlink" Target="https://www.tiktok.com/@infopromoaja" TargetMode="External"/><Relationship Id="rId33" Type="http://schemas.openxmlformats.org/officeDocument/2006/relationships/hyperlink" Target="https://vt.tiktok.com/ZS9KSD6Xu/" TargetMode="External"/><Relationship Id="rId32" Type="http://schemas.openxmlformats.org/officeDocument/2006/relationships/hyperlink" Target="https://vt.tiktok.com/ZS9KSf2Bd/" TargetMode="External"/><Relationship Id="rId35" Type="http://schemas.openxmlformats.org/officeDocument/2006/relationships/hyperlink" Target="https://www.tiktok.com/@vernikaariani" TargetMode="External"/><Relationship Id="rId34" Type="http://schemas.openxmlformats.org/officeDocument/2006/relationships/hyperlink" Target="https://www.tiktok.com/@infopromoaja/video/7639252268398726417?_r=1&amp;u_code=f0j3bk1fa00ii3&amp;region=&amp;mid=7617377616906980117&amp;preview_pb=0&amp;sharer_language=&amp;_d=0&amp;ec_shared_reflux_dynamic_params=%7B%22placeholder_material_id%22%3A%227639252268398726417%22%2C%22placeholder_origin_cover%22%3A%22https%253A%252F%252Fp16-common-sign.tiktokcdn.com%252Ftos-alisg-p-0037%252FocgbIUkIfCCfGAjWJggAgLIDYJGtICEQReQRx4~tplv-tiktokx-origin.jpeg%253Fdr%253D14572%2526refresh_token%253D18307052%2526x-expires%253D1810202400%2526x-signature%253DWkH8%25252FQmEHyW1k5KA8NaWJ8Zqi5s%25253D%2526t%253D4d5b0474%2526ps%253D13740610%2526shp%253Dd05b14bd%2526shcp%253D34ff8df6%2526idc%253Dmy2%2526s%253DTIKTOK_AFFILIATE_VIRAL_VIDEO%22%2C%22placeholder_product_id%22%3A%221729384958349379329%22%2C%22placeholder_video_id%22%3A%227639252268398726417%22%7D&amp;ec_shared_reflux_scene=shop_tab_feed&amp;share_item_id=7639252268398726417&amp;source=h5_t" TargetMode="External"/><Relationship Id="rId37" Type="http://schemas.openxmlformats.org/officeDocument/2006/relationships/hyperlink" Target="https://www.tiktok.com/@vernikaariani/video/7637142188048272660?_r=1&amp;u_code=dbl1j1l79c2ag5&amp;region=&amp;mid=7559095724965922832&amp;preview_pb=0&amp;sharer_language=&amp;_d=0&amp;ec_shared_reflux_dynamic_params=%7B%22placeholder_material_id%22%3A%227637142188048272660%22%2C%22placeholder_origin_cover%22%3A%22https%253A%252F%252Fp16-common-sign.tiktokcdn.com%252Ftos-alisg-p-0037%252FoIGyNBfBIAq0i4AC5Ali2AT3LInIwciV08ACFv~tplv-tiktokx-origin.jpeg%253Fdr%253D14572%2526refresh_token%253Df8c3e3a9%2526x-expires%253D1810008000%2526x-signature%253Dq0Ezmuu%25252Bt0Q%25252FxMzdJC%25252Be1r6B2C4%25253D%2526t%253D4d5b0474%2526ps%253D13740610%2526shp%253Dd05b14bd%2526shcp%253D34ff8df6%2526idc%253Dmy%2526s%253DTIKTOK_AFFILIATE_VIRAL_VIDEO%22%2C%22placeholder_product_id%22%3A%221729557995886774017%22%2C%22placeholder_video_id%22%3A%227637142188048272660%22%7D&amp;ec_shared_reflux_scene=shop_tab_feed&amp;share_item_id=7637142188048272660&amp;source=h5_t" TargetMode="External"/><Relationship Id="rId36" Type="http://schemas.openxmlformats.org/officeDocument/2006/relationships/hyperlink" Target="https://vt.tiktok.com/ZS9pRHmUm/" TargetMode="External"/><Relationship Id="rId39" Type="http://schemas.openxmlformats.org/officeDocument/2006/relationships/hyperlink" Target="https://www.tiktok.com/@vernikaariani/video/7638168825225071892?_r=1&amp;u_code=dbl1j1l79c2ag5&amp;region=&amp;mid=7390591004217214992&amp;preview_pb=0&amp;sharer_language=&amp;_d=0&amp;ec_shared_reflux_dynamic_params=%7B%22placeholder_material_id%22%3A%227638168825225071892%22%2C%22placeholder_origin_cover%22%3A%22https%253A%252F%252Fp16-common-sign.tiktokcdn.com%252Ftos-alisg-p-0037%252FoEwm8iB11ATwOdZxABAbE9NAiBzIqIfIhCDxAw~tplv-tiktokx-origin.jpeg%253Fdr%253D14572%2526refresh_token%253Dd1e4da3b%2526x-expires%253D1810008000%2526x-signature%253D%25252BIZUSWxkDg%25252FJnyHGNCWuYAMv8%25252FI%25253D%2526t%253D4d5b0474%2526ps%253D13740610%2526shp%253Dd05b14bd%2526shcp%253D34ff8df6%2526idc%253Dmy%2526s%253DTIKTOK_AFFILIATE_VIRAL_VIDEO%22%2C%22placeholder_product_id%22%3A%221729783568527361793%22%2C%22placeholder_video_id%22%3A%227638168825225071892%22%7D&amp;ec_shared_reflux_scene=shop_tab_feed&amp;share_item_id=7638168825225071892&amp;source=h5_t" TargetMode="External"/><Relationship Id="rId38" Type="http://schemas.openxmlformats.org/officeDocument/2006/relationships/hyperlink" Target="https://www.tiktok.com/@vernikaariani/video/7637781697005849876?_r=1&amp;u_code=dbl1j1l79c2ag5&amp;region=&amp;mid=7406153125789157393&amp;preview_pb=0&amp;sharer_language=&amp;_d=0&amp;ec_shared_reflux_dynamic_params=%7B%22placeholder_material_id%22%3A%227637781697005849876%22%2C%22placeholder_origin_cover%22%3A%22https%253A%252F%252Fp16-common-sign.tiktokcdn.com%252Ftos-alisg-p-0037%252FogFmAhrTfAMkDJvCE43tnjtCo79fQfrvIJuAQD~tplv-tiktokx-origin.jpeg%253Fdr%253D14572%2526refresh_token%253D058e2a99%2526x-expires%253D1810008000%2526x-signature%253DAlo61o4yNeOF7bt9%25252F92nI0CmPaA%25253D%2526t%253D4d5b0474%2526ps%253D13740610%2526shp%253Dd05b14bd%2526shcp%253D34ff8df6%2526idc%253Dmy%2526s%253DTIKTOK_AFFILIATE_VIRAL_VIDEO%22%2C%22placeholder_product_id%22%3A%221729783568527361793%22%2C%22placeholder_video_id%22%3A%227637781697005849876%22%7D&amp;ec_shared_reflux_scene=shop_tab_feed&amp;share_item_id=7637781697005849876&amp;source=h5_t" TargetMode="External"/><Relationship Id="rId20" Type="http://schemas.openxmlformats.org/officeDocument/2006/relationships/hyperlink" Target="https://www.tiktok.com/@deksiti164" TargetMode="External"/><Relationship Id="rId22" Type="http://schemas.openxmlformats.org/officeDocument/2006/relationships/hyperlink" Target="https://vt.tiktok.com/ZS9GVyb1T/" TargetMode="External"/><Relationship Id="rId21" Type="http://schemas.openxmlformats.org/officeDocument/2006/relationships/hyperlink" Target="https://www.tiktok.com/@mawarinddah" TargetMode="External"/><Relationship Id="rId24" Type="http://schemas.openxmlformats.org/officeDocument/2006/relationships/hyperlink" Target="https://vt.tiktok.com/ZSQ6KFAc1/" TargetMode="External"/><Relationship Id="rId23" Type="http://schemas.openxmlformats.org/officeDocument/2006/relationships/hyperlink" Target="https://vt.tiktok.com/ZS97LJQN9/" TargetMode="External"/><Relationship Id="rId26" Type="http://schemas.openxmlformats.org/officeDocument/2006/relationships/hyperlink" Target="https://www.tiktok.com/@ariantiw_" TargetMode="External"/><Relationship Id="rId25" Type="http://schemas.openxmlformats.org/officeDocument/2006/relationships/hyperlink" Target="https://www.tiktok.com/@lilyisnotflowerrr" TargetMode="External"/><Relationship Id="rId28" Type="http://schemas.openxmlformats.org/officeDocument/2006/relationships/hyperlink" Target="https://vt.tiktok.com/ZS9qkbuuF/" TargetMode="External"/><Relationship Id="rId27" Type="http://schemas.openxmlformats.org/officeDocument/2006/relationships/hyperlink" Target="https://vt.tiktok.com/ZS9qk4LoF/" TargetMode="External"/><Relationship Id="rId29" Type="http://schemas.openxmlformats.org/officeDocument/2006/relationships/hyperlink" Target="https://vt.tiktok.com/ZS9qk4LoF/" TargetMode="External"/><Relationship Id="rId11" Type="http://schemas.openxmlformats.org/officeDocument/2006/relationships/hyperlink" Target="https://vt.tiktok.com/ZS94h4MA1/" TargetMode="External"/><Relationship Id="rId10" Type="http://schemas.openxmlformats.org/officeDocument/2006/relationships/hyperlink" Target="https://www.tiktok.com/@naylaazhrni" TargetMode="External"/><Relationship Id="rId13" Type="http://schemas.openxmlformats.org/officeDocument/2006/relationships/hyperlink" Target="https://vt.tiktok.com/ZS93bthHj/" TargetMode="External"/><Relationship Id="rId12" Type="http://schemas.openxmlformats.org/officeDocument/2006/relationships/hyperlink" Target="https://www.tiktok.com/@mamak_kao" TargetMode="External"/><Relationship Id="rId15" Type="http://schemas.openxmlformats.org/officeDocument/2006/relationships/hyperlink" Target="https://www.tiktok.com/@tata81692" TargetMode="External"/><Relationship Id="rId14" Type="http://schemas.openxmlformats.org/officeDocument/2006/relationships/hyperlink" Target="https://vt.tiktok.com/ZS93bQvuJ/" TargetMode="External"/><Relationship Id="rId17" Type="http://schemas.openxmlformats.org/officeDocument/2006/relationships/hyperlink" Target="https://vt.tiktok.com/ZSxYccHTH/" TargetMode="External"/><Relationship Id="rId16" Type="http://schemas.openxmlformats.org/officeDocument/2006/relationships/hyperlink" Target="https://vt.tiktok.com/ZSxYcnChT/" TargetMode="External"/><Relationship Id="rId19" Type="http://schemas.openxmlformats.org/officeDocument/2006/relationships/hyperlink" Target="https://vt.tiktok.com/ZSxE1MB5V/" TargetMode="External"/><Relationship Id="rId18" Type="http://schemas.openxmlformats.org/officeDocument/2006/relationships/hyperlink" Target="https://www.tiktok.com/@ndaahq" TargetMode="External"/><Relationship Id="rId84" Type="http://schemas.openxmlformats.org/officeDocument/2006/relationships/hyperlink" Target="https://vt.tiktok.com/ZSx9FEgMG/" TargetMode="External"/><Relationship Id="rId83" Type="http://schemas.openxmlformats.org/officeDocument/2006/relationships/hyperlink" Target="https://www.tiktok.com/@deabeautyy" TargetMode="External"/><Relationship Id="rId86" Type="http://schemas.openxmlformats.org/officeDocument/2006/relationships/hyperlink" Target="https://vt.tiktok.com/ZSx9F3Wv6/" TargetMode="External"/><Relationship Id="rId85" Type="http://schemas.openxmlformats.org/officeDocument/2006/relationships/hyperlink" Target="https://vt.tiktok.com/ZSx9FEngt/" TargetMode="External"/><Relationship Id="rId88" Type="http://schemas.openxmlformats.org/officeDocument/2006/relationships/hyperlink" Target="https://www.tiktok.com/@onediyah_/video/7645152220526365973?is_from_webapp=1&amp;sender_device=pc" TargetMode="External"/><Relationship Id="rId87" Type="http://schemas.openxmlformats.org/officeDocument/2006/relationships/hyperlink" Target="https://www.tiktok.com/@onediyah_" TargetMode="External"/><Relationship Id="rId89" Type="http://schemas.openxmlformats.org/officeDocument/2006/relationships/hyperlink" Target="https://www.tiktok.com/@onediyah_/video/7645152442903989524?is_from_webapp=1&amp;sender_device=pc" TargetMode="External"/><Relationship Id="rId80" Type="http://schemas.openxmlformats.org/officeDocument/2006/relationships/hyperlink" Target="https://www.tiktok.com/@ptsabbythrds" TargetMode="External"/><Relationship Id="rId82" Type="http://schemas.openxmlformats.org/officeDocument/2006/relationships/hyperlink" Target="https://www.tiktok.com/@ayuulestariii31" TargetMode="External"/><Relationship Id="rId81" Type="http://schemas.openxmlformats.org/officeDocument/2006/relationships/hyperlink" Target="https://www.tiktok.com/@hayati_kdg1" TargetMode="External"/><Relationship Id="rId73" Type="http://schemas.openxmlformats.org/officeDocument/2006/relationships/hyperlink" Target="https://www.tiktok.com/@beauty.iidd/video/7640818405607542034?_r=1&amp;u_code=ebjf03139m95gf&amp;region=&amp;mid=7636832672606259985&amp;preview_pb=0&amp;sharer_language=&amp;_d=0&amp;ec_shared_reflux_dynamic_params=%7B%22placeholder_material_id%22%3A%227640818405607542034%22%2C%22placeholder_origin_cover%22%3A%22https%253A%252F%252Fp16-common-sign.tiktokcdn.com%252Ftos-alisg-p-0037%252FoYFBIDAL0QhvgjCA6OIEncQ0TIRzGeWC4eEUeT~tplv-tiktokx-origin.jpeg%253Fdr%253D14572%2526refresh_token%253Df722e4b4%2526x-expires%253D1810612800%2526x-signature%253DEXy%25252F1bkwsRKdOmgQphUrIO0jJP8%25253D%2526t%253D4d5b0474%2526ps%253D13740610%2526shp%253Dd05b14bd%2526shcp%253D34ff8df6%2526idc%253Dmy3%2526s%253DTIKTOK_AFFILIATE_VIRAL_VIDEO%22%2C%22placeholder_product_id%22%3A%221729558297773246209%22%2C%22placeholder_video_id%22%3A%227640818405607542034%22%7D&amp;ec_shared_reflux_scene=shop_tab_feed&amp;share_item_id=7640818405607542034&amp;source=h5_t" TargetMode="External"/><Relationship Id="rId72" Type="http://schemas.openxmlformats.org/officeDocument/2006/relationships/hyperlink" Target="https://www.tiktok.com/@beauty.iidd" TargetMode="External"/><Relationship Id="rId75" Type="http://schemas.openxmlformats.org/officeDocument/2006/relationships/hyperlink" Target="https://www.tiktok.com/@amdwt_" TargetMode="External"/><Relationship Id="rId74" Type="http://schemas.openxmlformats.org/officeDocument/2006/relationships/hyperlink" Target="https://www.tiktok.com/@beauty.iidd/video/7643709196785028370?_r=1&amp;u_code=ebjf03139m95gf&amp;region=&amp;mid=7641254503123651336&amp;preview_pb=0&amp;sharer_language=&amp;_d=0&amp;ec_shared_reflux_dynamic_params=%7B%22placeholder_material_id%22%3A%227643709196785028370%22%2C%22placeholder_origin_cover%22%3A%22https%253A%252F%252Fp16-common-sign.tiktokcdn.com%252Ftos-alisg-p-0037%252FoQF9GvY0Tg64Peeens6ywp7gCEOvgRofGgAAho~tplv-tiktokx-origin.jpeg%253Fdr%253D14572%2526refresh_token%253D743ef80a%2526x-expires%253D1811239200%2526x-signature%253DyOH6M3K2oVhc1a6CRIggrHfly8c%25253D%2526t%253D4d5b0474%2526ps%253D13740610%2526shp%253Dd05b14bd%2526shcp%253D34ff8df6%2526idc%253Dmy2%2526s%253DTIKTOK_AFFILIATE_VIRAL_VIDEO%22%2C%22placeholder_product_id%22%3A%221729783568527361793%22%2C%22placeholder_video_id%22%3A%227643709196785028370%22%7D&amp;ec_shared_reflux_scene=shop_tab_feed&amp;share_item_id=7643709196785028370&amp;source=h5_t" TargetMode="External"/><Relationship Id="rId77" Type="http://schemas.openxmlformats.org/officeDocument/2006/relationships/hyperlink" Target="https://vt.tiktok.com/ZSxTJBf7b/" TargetMode="External"/><Relationship Id="rId76" Type="http://schemas.openxmlformats.org/officeDocument/2006/relationships/hyperlink" Target="https://vt.tiktok.com/ZSxTJATxX/" TargetMode="External"/><Relationship Id="rId79" Type="http://schemas.openxmlformats.org/officeDocument/2006/relationships/hyperlink" Target="https://www.tiktok.com/@jeezythingz/video/7645159656251329800?is_from_webapp=1&amp;sender_device=pc" TargetMode="External"/><Relationship Id="rId78" Type="http://schemas.openxmlformats.org/officeDocument/2006/relationships/hyperlink" Target="https://www.tiktok.com/@jeezythingz" TargetMode="External"/><Relationship Id="rId71" Type="http://schemas.openxmlformats.org/officeDocument/2006/relationships/hyperlink" Target="https://www.tiktok.com/@putri.antris" TargetMode="External"/><Relationship Id="rId70" Type="http://schemas.openxmlformats.org/officeDocument/2006/relationships/hyperlink" Target="https://www.tiktok.com/@sintakurniawati.61" TargetMode="External"/><Relationship Id="rId62" Type="http://schemas.openxmlformats.org/officeDocument/2006/relationships/hyperlink" Target="https://vt.tiktok.com/ZS9oHvUsy/" TargetMode="External"/><Relationship Id="rId61" Type="http://schemas.openxmlformats.org/officeDocument/2006/relationships/hyperlink" Target="https://vt.tiktok.com/ZS9gQFKHP/" TargetMode="External"/><Relationship Id="rId64" Type="http://schemas.openxmlformats.org/officeDocument/2006/relationships/hyperlink" Target="https://www.tiktok.com/@afrillamuthiia" TargetMode="External"/><Relationship Id="rId63" Type="http://schemas.openxmlformats.org/officeDocument/2006/relationships/hyperlink" Target="https://www.tiktok.com/@ptsabbythrds" TargetMode="External"/><Relationship Id="rId66" Type="http://schemas.openxmlformats.org/officeDocument/2006/relationships/hyperlink" Target="https://www.tiktok.com/@byliyah/video/7643691286058339591?_r=1&amp;u_code=dj0c9igeb6ei5f&amp;region=&amp;mid=7415463043465201680&amp;preview_pb=0&amp;sharer_language=&amp;_d=0&amp;ec_shared_reflux_dynamic_params=%7B%22placeholder_material_id%22%3A%227643691286058339591%22%2C%22placeholder_origin_cover%22%3A%22https%253A%252F%252Fp16-common-sign.tiktokcdn.com%252Ftos-alisg-p-0037%252FosiEDfxQEEocQM2u8BqgFBKTQjR9AsHicBOekB~tplv-tiktokx-origin.jpeg%253Fdr%253D14572%2526refresh_token%253D97b555b9%2526x-expires%253D1811239200%2526x-signature%253DqJ6SIzLNHAoHQhl8AEcII0Pt60s%25253D%2526t%253D4d5b0474%2526ps%253D13740610%2526shp%253Dd05b14bd%2526shcp%253D34ff8df6%2526idc%253Dmy2%2526s%253DTIKTOK_AFFILIATE_VIRAL_VIDEO%22%2C%22placeholder_product_id%22%3A%221729444169226291969%22%2C%22placeholder_video_id%22%3A%227643691286058339591%22%7D&amp;ec_shared_reflux_scene=shop_tab_feed&amp;share_item_id=7643691286058339591&amp;source=h5_t" TargetMode="External"/><Relationship Id="rId65" Type="http://schemas.openxmlformats.org/officeDocument/2006/relationships/hyperlink" Target="https://www.tiktok.com/@Byliyah" TargetMode="External"/><Relationship Id="rId68" Type="http://schemas.openxmlformats.org/officeDocument/2006/relationships/hyperlink" Target="https://www.tiktok.com/@byliyah/video/7644377303438363911?is_from_webapp=1&amp;sender_device=pc" TargetMode="External"/><Relationship Id="rId67" Type="http://schemas.openxmlformats.org/officeDocument/2006/relationships/hyperlink" Target="https://www.tiktok.com/@byliyah/video/7644088937631206663?_r=1&amp;u_code=dj0c9igeb6ei5f&amp;region=&amp;mid=7613322474528279303&amp;preview_pb=0&amp;sharer_language=&amp;_d=0&amp;ec_shared_reflux_dynamic_params=%7B%22placeholder_material_id%22%3A%227644088937631206663%22%2C%22placeholder_origin_cover%22%3A%22https%253A%252F%252Fp16-common-sign.tiktokcdn.com%252Ftos-alisg-p-0037%252Fo8ABCmYVrCqIfBJKi4DUeIZ6cFQREJFgihlEaD~tplv-tiktokx-origin.jpeg%253Fdr%253D14572%2526refresh_token%253Dcb4da413%2526x-expires%253D1811498400%2526x-signature%253DxF0x2QivDoee3Jby%25252F313kcfTiwI%25253D%2526t%253D4d5b0474%2526ps%253D13740610%2526shp%253Dd05b14bd%2526shcp%253D34ff8df6%2526idc%253Dmy%2526s%253DTIKTOK_AFFILIATE_VIRAL_VIDEO%22%2C%22placeholder_product_id%22%3A%221729384958349379329%22%2C%22placeholder_video_id%22%3A%227644088937631206663%22%7D&amp;ec_shared_reflux_scene=shop_tab_feed&amp;share_item_id=7644088937631206663&amp;source=h5_t" TargetMode="External"/><Relationship Id="rId60" Type="http://schemas.openxmlformats.org/officeDocument/2006/relationships/hyperlink" Target="https://www.tiktok.com/@rnggrn_" TargetMode="External"/><Relationship Id="rId69" Type="http://schemas.openxmlformats.org/officeDocument/2006/relationships/hyperlink" Target="https://www.tiktok.com/@byliyah/video/7645915838054288647?is_from_webapp=1&amp;sender_device=pc" TargetMode="External"/><Relationship Id="rId51" Type="http://schemas.openxmlformats.org/officeDocument/2006/relationships/hyperlink" Target="https://www.tiktok.com/@zihanokta" TargetMode="External"/><Relationship Id="rId50" Type="http://schemas.openxmlformats.org/officeDocument/2006/relationships/hyperlink" Target="https://vt.tiktok.com/ZSxQNCaar/" TargetMode="External"/><Relationship Id="rId53" Type="http://schemas.openxmlformats.org/officeDocument/2006/relationships/hyperlink" Target="https://www.tiktok.com/@kelilingskincare" TargetMode="External"/><Relationship Id="rId52" Type="http://schemas.openxmlformats.org/officeDocument/2006/relationships/hyperlink" Target="https://vt.tiktok.com/ZSxVEL3nF/" TargetMode="External"/><Relationship Id="rId55" Type="http://schemas.openxmlformats.org/officeDocument/2006/relationships/hyperlink" Target="https://www.tiktok.com/@melani.makeup17" TargetMode="External"/><Relationship Id="rId54" Type="http://schemas.openxmlformats.org/officeDocument/2006/relationships/hyperlink" Target="https://vt.tiktok.com/ZS9ogKyBB/" TargetMode="External"/><Relationship Id="rId57" Type="http://schemas.openxmlformats.org/officeDocument/2006/relationships/hyperlink" Target="https://vt.tiktok.com/ZS9gXL1Yh/" TargetMode="External"/><Relationship Id="rId56" Type="http://schemas.openxmlformats.org/officeDocument/2006/relationships/hyperlink" Target="https://vt.tiktok.com/ZS9qEDYou/" TargetMode="External"/><Relationship Id="rId59" Type="http://schemas.openxmlformats.org/officeDocument/2006/relationships/hyperlink" Target="https://vt.tiktok.com/ZS9EcL4U2/" TargetMode="External"/><Relationship Id="rId58" Type="http://schemas.openxmlformats.org/officeDocument/2006/relationships/hyperlink" Target="https://vt.tiktok.com/ZS9vfov4r/" TargetMode="External"/><Relationship Id="rId95" Type="http://schemas.openxmlformats.org/officeDocument/2006/relationships/hyperlink" Target="https://www.tiktok.com/@nris9" TargetMode="External"/><Relationship Id="rId94" Type="http://schemas.openxmlformats.org/officeDocument/2006/relationships/hyperlink" Target="https://vt.tiktok.com/ZSxAJkrNd/" TargetMode="External"/><Relationship Id="rId97" Type="http://schemas.openxmlformats.org/officeDocument/2006/relationships/hyperlink" Target="https://www.tiktok.com/@meell.yy" TargetMode="External"/><Relationship Id="rId96" Type="http://schemas.openxmlformats.org/officeDocument/2006/relationships/hyperlink" Target="https://vt.tiktok.com/ZSQ1QgA1b/" TargetMode="External"/><Relationship Id="rId99" Type="http://schemas.openxmlformats.org/officeDocument/2006/relationships/hyperlink" Target="https://www.tiktok.com/@meell.yy/video/7646997211670138120?is_from_webapp=1&amp;sender_device=pc" TargetMode="External"/><Relationship Id="rId98" Type="http://schemas.openxmlformats.org/officeDocument/2006/relationships/hyperlink" Target="https://www.tiktok.com/@meell.yy/video/7644050078956621064?_r=1&amp;u_code=de8c4i13me21ek&amp;region=&amp;mid=7587565342097656596&amp;preview_pb=0&amp;sharer_language=&amp;_d=0&amp;ec_shared_reflux_dynamic_params=%7B%22placeholder_material_id%22%3A%227644050078956621064%22%2C%22placeholder_origin_cover%22%3A%22https%253A%252F%252Fp16-common-sign.tiktokcdn.com%252Ftos-alisg-p-0037%252Fowf1XmIcCmBCaVHiPHi9dImxAYO1IwA5o3CupA~tplv-tiktokx-origin.jpeg%253Fdr%253D14572%2526refresh_token%253Dcd29e208%2526x-expires%253D1811473200%2526x-signature%253Dh1BJ5I9LFZ2OtB5cy8%25252B3nscp4zQ%25253D%2526t%253D4d5b0474%2526ps%253D13740610%2526shp%253Dd05b14bd%2526shcp%253D34ff8df6%2526idc%253Dmy%2526s%253DTIKTOK_AFFILIATE_VIRAL_VIDEO%22%2C%22placeholder_product_id%22%3A%221729558297773246209%22%2C%22placeholder_video_id%22%3A%227644050078956621064%22%7D&amp;ec_shared_reflux_scene=shop_tab_feed&amp;share_item_id=7644050078956621064&amp;source=h5_t" TargetMode="External"/><Relationship Id="rId91" Type="http://schemas.openxmlformats.org/officeDocument/2006/relationships/hyperlink" Target="https://www.tiktok.com/@ameccaa.id" TargetMode="External"/><Relationship Id="rId90" Type="http://schemas.openxmlformats.org/officeDocument/2006/relationships/hyperlink" Target="http://ameccaa.id" TargetMode="External"/><Relationship Id="rId93" Type="http://schemas.openxmlformats.org/officeDocument/2006/relationships/hyperlink" Target="https://www.tiktok.com/@hanisasarah18" TargetMode="External"/><Relationship Id="rId92" Type="http://schemas.openxmlformats.org/officeDocument/2006/relationships/hyperlink" Target="https://www.tiktok.com/@septiatj_" TargetMode="External"/><Relationship Id="rId1" Type="http://schemas.openxmlformats.org/officeDocument/2006/relationships/hyperlink" Target="https://www.tiktok.com/@desymufti96" TargetMode="External"/><Relationship Id="rId2" Type="http://schemas.openxmlformats.org/officeDocument/2006/relationships/hyperlink" Target="https://www.tiktok.com/@desymufti96/video/7637417395073699092?_r=1&amp;u_code=dmk4ba9jk9f5k8&amp;region=&amp;mid=7631905101759875088&amp;preview_pb=0&amp;sharer_language=&amp;_d=0&amp;ec_shared_reflux_dynamic_params=%7B%22placeholder_material_id%22%3A%227637417395073699092%22%2C%22placeholder_origin_cover%22%3A%22https%253A%252F%252Fp16-common-sign.tiktokcdn.com%252Ftos-alisg-p-0037%252FoMtJ45DOQEurRKpDYjTI9DrCfQrNohvfAAvFfj~tplv-tiktokx-origin.jpeg%253Fdr%253D14572%2526refresh_token%253Daa5cf00a%2526x-expires%253D1810112400%2526x-signature%253D5noDsMC0RF6%25252BSfUi89DNlxwWpXo%25253D%2526t%253D4d5b0474%2526ps%253D13740610%2526shp%253Dd05b14bd%2526shcp%253D34ff8df6%2526idc%253Dmy%2526s%253DTIKTOK_AFFILIATE_VIRAL_VIDEO%22%2C%22placeholder_product_id%22%3A%221729557995886774017%22%2C%22placeholder_video_id%22%3A%227637417395073699092%22%7D&amp;ec_shared_reflux_scene=shop_tab_feed&amp;share_item_id=7637417395073699092&amp;source=h5_t" TargetMode="External"/><Relationship Id="rId3" Type="http://schemas.openxmlformats.org/officeDocument/2006/relationships/hyperlink" Target="https://www.tiktok.com/@desymufti96/video/7638874867026234644?_r=1&amp;u_code=dmk4ba9jk9f5k8&amp;region=&amp;mid=7548418713817484037&amp;preview_pb=0&amp;sharer_language=&amp;_d=0&amp;ec_shared_reflux_dynamic_params=%7B%22placeholder_material_id%22%3A%227638874867026234644%22%2C%22placeholder_origin_cover%22%3A%22https%253A%252F%252Fp16-common-sign.tiktokcdn.com%252Ftos-alisg-p-0037%252FoUQ5v1lwfAArBRB8CEkC3JIwZiIOVAy8ZqiIAd~tplv-tiktokx-origin.jpeg%253Fdr%253D14572%2526refresh_token%253De03c203b%2526x-expires%253D1810112400%2526x-signature%253DAVGmzKPPs6Qo5OtrUG2VXHRjCX8%25253D%2526t%253D4d5b0474%2526ps%253D13740610%2526shp%253Dd05b14bd%2526shcp%253D34ff8df6%2526idc%253Dmy%2526s%253DTIKTOK_AFFILIATE_VIRAL_VIDEO%22%2C%22placeholder_product_id%22%3A%221729557995886774017%22%2C%22placeholder_video_id%22%3A%227638874867026234644%22%7D&amp;ec_shared_reflux_scene=shop_tab_feed&amp;share_item_id=7638874867026234644&amp;source=h5_t" TargetMode="External"/><Relationship Id="rId4" Type="http://schemas.openxmlformats.org/officeDocument/2006/relationships/hyperlink" Target="https://www.tiktok.com/@norhayaani" TargetMode="External"/><Relationship Id="rId9" Type="http://schemas.openxmlformats.org/officeDocument/2006/relationships/hyperlink" Target="https://www.tiktok.com/@rindi.afrilia" TargetMode="External"/><Relationship Id="rId5" Type="http://schemas.openxmlformats.org/officeDocument/2006/relationships/hyperlink" Target="https://www.tiktok.com/@putriinabila89" TargetMode="External"/><Relationship Id="rId6" Type="http://schemas.openxmlformats.org/officeDocument/2006/relationships/hyperlink" Target="https://vt.tiktok.com/ZS9qbp8HD/" TargetMode="External"/><Relationship Id="rId7" Type="http://schemas.openxmlformats.org/officeDocument/2006/relationships/hyperlink" Target="https://www.tiktok.com/@dreamm.png/video/7638142487810428168?_r=1&amp;u_code=e36al7997c2gli&amp;region=&amp;mid=7632536758063909648&amp;preview_pb=0&amp;sharer_language=&amp;_d=0&amp;ec_shared_reflux_dynamic_params=%7B%22placeholder_material_id%22%3A%227638142487810428168%22%2C%22placeholder_origin_cover%22%3A%22https%253A%252F%252Fp16-common-sign.tiktokcdn.com%252Ftos-alisg-p-0037%252FoIXNudiIIAw1SiAfHIiqAy0wmiD7vCAdBABIBz~tplv-tiktokx-origin.jpeg%253Fdr%253D14572%2526refresh_token%253D280d26fa%2526x-expires%253D1810112400%2526x-signature%253DkN6p9fOiAfAfs7rUSybLJuF12OE%25253D%2526t%253D4d5b0474%2526ps%253D13740610%2526shp%253Dd05b14bd%2526shcp%253D34ff8df6%2526idc%253Dmy%2526s%253DTIKTOK_AFFILIATE_VIRAL_VIDEO%22%2C%22placeholder_product_id%22%3A%221729557995886774017%22%2C%22placeholder_video_id%22%3A%227638142487810428168%22%7D&amp;ec_shared_reflux_scene=shop_tab_feed&amp;share_item_id=7638142487810428168&amp;source=h5_t" TargetMode="External"/><Relationship Id="rId8" Type="http://schemas.openxmlformats.org/officeDocument/2006/relationships/hyperlink" Target="https://www.tiktok.com/@putriinabila89/video/7639033005541018901?_r=1&amp;u_code=da7h4ff96af635&amp;region=&amp;mid=7606071400499628049&amp;preview_pb=0&amp;sharer_language=&amp;_d=0&amp;ec_shared_reflux_dynamic_params=%7B%22placeholder_material_id%22%3A%227639033005541018901%22%2C%22placeholder_origin_cover%22%3A%22https%253A%252F%252Fp16-common-sign.tiktokcdn.com%252Ftos-alisg-p-0037%252FocTQYPEQiY2gBiblvwwLiBH8XDBNAIWIAaBYw~tplv-tiktokx-origin.jpeg%253Fdr%253D14572%2526refresh_token%253D09f784e5%2526x-expires%253D1810202400%2526x-signature%253DzkbG0Z9axrJsNJbuB3cbCn%25252BpkdU%25253D%2526t%253D4d5b0474%2526ps%253D13740610%2526shp%253Dd05b14bd%2526shcp%253D34ff8df6%2526idc%253Dmy2%2526s%253DTIKTOK_AFFILIATE_VIRAL_VIDEO%22%2C%22placeholder_product_id%22%3A%221729783568527361793%22%2C%22placeholder_video_id%22%3A%227639033005541018901%22%7D&amp;ec_shared_reflux_scene=shop_tab_feed&amp;share_item_id=7639033005541018901&amp;source=h5_t" TargetMode="External"/></Relationships>
</file>

<file path=xl/worksheets/_rels/sheet19.xml.rels><?xml version="1.0" encoding="UTF-8" standalone="yes"?><Relationships xmlns="http://schemas.openxmlformats.org/package/2006/relationships"><Relationship Id="rId190" Type="http://schemas.openxmlformats.org/officeDocument/2006/relationships/hyperlink" Target="https://vt.tiktok.com/ZS9S1MmHv/" TargetMode="External"/><Relationship Id="rId194" Type="http://schemas.openxmlformats.org/officeDocument/2006/relationships/hyperlink" Target="https://vt.tiktok.com/ZSx626Wm2/" TargetMode="External"/><Relationship Id="rId193" Type="http://schemas.openxmlformats.org/officeDocument/2006/relationships/hyperlink" Target="https://vt.tiktok.com/ZS9TADeS2/" TargetMode="External"/><Relationship Id="rId192" Type="http://schemas.openxmlformats.org/officeDocument/2006/relationships/hyperlink" Target="https://www.tiktok.com/@storydhch2g" TargetMode="External"/><Relationship Id="rId191" Type="http://schemas.openxmlformats.org/officeDocument/2006/relationships/hyperlink" Target="https://vt.tiktok.com/ZS99geugS/" TargetMode="External"/><Relationship Id="rId187" Type="http://schemas.openxmlformats.org/officeDocument/2006/relationships/hyperlink" Target="https://vt.tiktok.com/ZS9Y7LpWH/" TargetMode="External"/><Relationship Id="rId186" Type="http://schemas.openxmlformats.org/officeDocument/2006/relationships/hyperlink" Target="https://www.tiktok.com/@inii.dyan" TargetMode="External"/><Relationship Id="rId185" Type="http://schemas.openxmlformats.org/officeDocument/2006/relationships/hyperlink" Target="https://vt.tiktok.com/ZS9pE7x1d/" TargetMode="External"/><Relationship Id="rId184" Type="http://schemas.openxmlformats.org/officeDocument/2006/relationships/hyperlink" Target="https://vt.tiktok.com/ZS9MQXSja/" TargetMode="External"/><Relationship Id="rId189" Type="http://schemas.openxmlformats.org/officeDocument/2006/relationships/hyperlink" Target="https://www.tiktok.com/@isnainimaria2" TargetMode="External"/><Relationship Id="rId188" Type="http://schemas.openxmlformats.org/officeDocument/2006/relationships/hyperlink" Target="https://vt.tiktok.com/ZS9MfQmMB/" TargetMode="External"/><Relationship Id="rId183" Type="http://schemas.openxmlformats.org/officeDocument/2006/relationships/hyperlink" Target="https://www.tiktok.com/@yanpuspita05" TargetMode="External"/><Relationship Id="rId182" Type="http://schemas.openxmlformats.org/officeDocument/2006/relationships/hyperlink" Target="https://vt.tiktok.com/ZSxPABUsp/" TargetMode="External"/><Relationship Id="rId181" Type="http://schemas.openxmlformats.org/officeDocument/2006/relationships/hyperlink" Target="https://vt.tiktok.com/ZSxPAk9Qs/" TargetMode="External"/><Relationship Id="rId180" Type="http://schemas.openxmlformats.org/officeDocument/2006/relationships/hyperlink" Target="https://www.tiktok.com/@dreamyglow_up" TargetMode="External"/><Relationship Id="rId176" Type="http://schemas.openxmlformats.org/officeDocument/2006/relationships/hyperlink" Target="https://vt.tiktok.com/ZS999WmBb/" TargetMode="External"/><Relationship Id="rId175" Type="http://schemas.openxmlformats.org/officeDocument/2006/relationships/hyperlink" Target="https://vt.tiktok.com/ZS9ycNPrp/" TargetMode="External"/><Relationship Id="rId174" Type="http://schemas.openxmlformats.org/officeDocument/2006/relationships/hyperlink" Target="https://www.tiktok.com/@haymawardah12" TargetMode="External"/><Relationship Id="rId173" Type="http://schemas.openxmlformats.org/officeDocument/2006/relationships/hyperlink" Target="https://vt.tiktok.com/ZS9QcbR7y/" TargetMode="External"/><Relationship Id="rId179" Type="http://schemas.openxmlformats.org/officeDocument/2006/relationships/hyperlink" Target="https://vt.tiktok.com/ZS9C2aHLp/" TargetMode="External"/><Relationship Id="rId178" Type="http://schemas.openxmlformats.org/officeDocument/2006/relationships/hyperlink" Target="https://vt.tiktok.com/ZS9x6wxbB/" TargetMode="External"/><Relationship Id="rId177" Type="http://schemas.openxmlformats.org/officeDocument/2006/relationships/hyperlink" Target="https://www.tiktok.com/@shofi_aliyatuningrum" TargetMode="External"/><Relationship Id="rId198" Type="http://schemas.openxmlformats.org/officeDocument/2006/relationships/hyperlink" Target="https://vt.tiktok.com/ZS9SvYfHW/" TargetMode="External"/><Relationship Id="rId197" Type="http://schemas.openxmlformats.org/officeDocument/2006/relationships/hyperlink" Target="https://vt.tiktok.com/ZS9SDfwbQ/" TargetMode="External"/><Relationship Id="rId196" Type="http://schemas.openxmlformats.org/officeDocument/2006/relationships/hyperlink" Target="https://www.tiktok.com/@rika_yusnia" TargetMode="External"/><Relationship Id="rId195" Type="http://schemas.openxmlformats.org/officeDocument/2006/relationships/hyperlink" Target="https://www.tiktok.com/@riviewbywina" TargetMode="External"/><Relationship Id="rId199" Type="http://schemas.openxmlformats.org/officeDocument/2006/relationships/hyperlink" Target="https://www.tiktok.com/@atsatsah" TargetMode="External"/><Relationship Id="rId150" Type="http://schemas.openxmlformats.org/officeDocument/2006/relationships/hyperlink" Target="https://www.tiktok.com/@aghania02" TargetMode="External"/><Relationship Id="rId149" Type="http://schemas.openxmlformats.org/officeDocument/2006/relationships/hyperlink" Target="https://vt.tiktok.com/ZS9pa6exc/" TargetMode="External"/><Relationship Id="rId148" Type="http://schemas.openxmlformats.org/officeDocument/2006/relationships/hyperlink" Target="https://vt.tiktok.com/ZS99GfKap/" TargetMode="External"/><Relationship Id="rId143" Type="http://schemas.openxmlformats.org/officeDocument/2006/relationships/hyperlink" Target="https://vt.tiktok.com/ZS9ygUkxT/" TargetMode="External"/><Relationship Id="rId142" Type="http://schemas.openxmlformats.org/officeDocument/2006/relationships/hyperlink" Target="https://vt.tiktok.com/ZS9kx1gQa/" TargetMode="External"/><Relationship Id="rId141" Type="http://schemas.openxmlformats.org/officeDocument/2006/relationships/hyperlink" Target="https://www.tiktok.com/@review.erna27" TargetMode="External"/><Relationship Id="rId140" Type="http://schemas.openxmlformats.org/officeDocument/2006/relationships/hyperlink" Target="https://www.tiktok.com/@mardi_yanti" TargetMode="External"/><Relationship Id="rId147" Type="http://schemas.openxmlformats.org/officeDocument/2006/relationships/hyperlink" Target="https://www.tiktok.com/@friiskaaay_4" TargetMode="External"/><Relationship Id="rId146" Type="http://schemas.openxmlformats.org/officeDocument/2006/relationships/hyperlink" Target="https://vt.tiktok.com/ZS9CLhM6y/" TargetMode="External"/><Relationship Id="rId145" Type="http://schemas.openxmlformats.org/officeDocument/2006/relationships/hyperlink" Target="https://vt.tiktok.com/ZS9CRkbVs/" TargetMode="External"/><Relationship Id="rId144" Type="http://schemas.openxmlformats.org/officeDocument/2006/relationships/hyperlink" Target="https://www.tiktok.com/@review_ama" TargetMode="External"/><Relationship Id="rId139" Type="http://schemas.openxmlformats.org/officeDocument/2006/relationships/hyperlink" Target="https://vt.tiktok.com/ZS9b8jhB6/" TargetMode="External"/><Relationship Id="rId138" Type="http://schemas.openxmlformats.org/officeDocument/2006/relationships/hyperlink" Target="https://vt.tiktok.com/ZS9CRBkCt/" TargetMode="External"/><Relationship Id="rId137" Type="http://schemas.openxmlformats.org/officeDocument/2006/relationships/hyperlink" Target="https://www.tiktok.com/@gabolegalakya" TargetMode="External"/><Relationship Id="rId132" Type="http://schemas.openxmlformats.org/officeDocument/2006/relationships/hyperlink" Target="https://www.tiktok.com/@princessbackpacker_" TargetMode="External"/><Relationship Id="rId131" Type="http://schemas.openxmlformats.org/officeDocument/2006/relationships/hyperlink" Target="https://vt.tiktok.com/ZSx6dhpvb/" TargetMode="External"/><Relationship Id="rId130" Type="http://schemas.openxmlformats.org/officeDocument/2006/relationships/hyperlink" Target="https://vt.tiktok.com/ZS9qXLBsT/" TargetMode="External"/><Relationship Id="rId136" Type="http://schemas.openxmlformats.org/officeDocument/2006/relationships/hyperlink" Target="https://vt.tiktok.com/ZS9ueARQ5/" TargetMode="External"/><Relationship Id="rId135" Type="http://schemas.openxmlformats.org/officeDocument/2006/relationships/hyperlink" Target="https://vt.tiktok.com/ZS9ue9Nvc/" TargetMode="External"/><Relationship Id="rId134" Type="http://schemas.openxmlformats.org/officeDocument/2006/relationships/hyperlink" Target="https://vt.tiktok.com/ZS9uefekq/" TargetMode="External"/><Relationship Id="rId133" Type="http://schemas.openxmlformats.org/officeDocument/2006/relationships/hyperlink" Target="https://www.tiktok.com/@vernikaariani" TargetMode="External"/><Relationship Id="rId172" Type="http://schemas.openxmlformats.org/officeDocument/2006/relationships/hyperlink" Target="https://vt.tiktok.com/ZSxreEtq7/" TargetMode="External"/><Relationship Id="rId171" Type="http://schemas.openxmlformats.org/officeDocument/2006/relationships/hyperlink" Target="https://www.tiktok.com/@queena_03kl" TargetMode="External"/><Relationship Id="rId170" Type="http://schemas.openxmlformats.org/officeDocument/2006/relationships/hyperlink" Target="https://vt.tiktok.com/ZS9FG81oa/" TargetMode="External"/><Relationship Id="rId165" Type="http://schemas.openxmlformats.org/officeDocument/2006/relationships/hyperlink" Target="https://www.tiktok.com/@ini_uniii" TargetMode="External"/><Relationship Id="rId164" Type="http://schemas.openxmlformats.org/officeDocument/2006/relationships/hyperlink" Target="https://vt.tiktok.com/ZSxe9QGUe/" TargetMode="External"/><Relationship Id="rId163" Type="http://schemas.openxmlformats.org/officeDocument/2006/relationships/hyperlink" Target="https://vt.tiktok.com/ZS9Ck1aoT/" TargetMode="External"/><Relationship Id="rId162" Type="http://schemas.openxmlformats.org/officeDocument/2006/relationships/hyperlink" Target="https://www.tiktok.com/@matchaaa.cha4" TargetMode="External"/><Relationship Id="rId169" Type="http://schemas.openxmlformats.org/officeDocument/2006/relationships/hyperlink" Target="https://vt.tiktok.com/ZS9e1Sobv/" TargetMode="External"/><Relationship Id="rId168" Type="http://schemas.openxmlformats.org/officeDocument/2006/relationships/hyperlink" Target="https://www.tiktok.com/@anayeppeo77" TargetMode="External"/><Relationship Id="rId167" Type="http://schemas.openxmlformats.org/officeDocument/2006/relationships/hyperlink" Target="https://vt.tiktok.com/ZS9xM2dA4/" TargetMode="External"/><Relationship Id="rId166" Type="http://schemas.openxmlformats.org/officeDocument/2006/relationships/hyperlink" Target="https://vt.tiktok.com/ZS9hFrEbP/" TargetMode="External"/><Relationship Id="rId161" Type="http://schemas.openxmlformats.org/officeDocument/2006/relationships/hyperlink" Target="https://vt.tiktok.com/ZS99us4Lr/" TargetMode="External"/><Relationship Id="rId160" Type="http://schemas.openxmlformats.org/officeDocument/2006/relationships/hyperlink" Target="https://vt.tiktok.com/ZS9RVSufG/" TargetMode="External"/><Relationship Id="rId159" Type="http://schemas.openxmlformats.org/officeDocument/2006/relationships/hyperlink" Target="https://www.tiktok.com/@meirayu2" TargetMode="External"/><Relationship Id="rId154" Type="http://schemas.openxmlformats.org/officeDocument/2006/relationships/hyperlink" Target="https://vt.tiktok.com/ZS9dsjUAq/" TargetMode="External"/><Relationship Id="rId153" Type="http://schemas.openxmlformats.org/officeDocument/2006/relationships/hyperlink" Target="https://www.tiktok.com/@raninuraeni143" TargetMode="External"/><Relationship Id="rId152" Type="http://schemas.openxmlformats.org/officeDocument/2006/relationships/hyperlink" Target="https://vt.tiktok.com/ZS9RH476Y/" TargetMode="External"/><Relationship Id="rId151" Type="http://schemas.openxmlformats.org/officeDocument/2006/relationships/hyperlink" Target="https://vt.tiktok.com/ZS9dntomQ/" TargetMode="External"/><Relationship Id="rId158" Type="http://schemas.openxmlformats.org/officeDocument/2006/relationships/hyperlink" Target="https://www.tiktok.com/@itsme_enjesyn/video/7633310841495948565" TargetMode="External"/><Relationship Id="rId157" Type="http://schemas.openxmlformats.org/officeDocument/2006/relationships/hyperlink" Target="https://www.tiktok.com/@itsme_enjesyn/video/7633302193608641813" TargetMode="External"/><Relationship Id="rId156" Type="http://schemas.openxmlformats.org/officeDocument/2006/relationships/hyperlink" Target="https://www.tiktok.com/@itsme_enjesyn" TargetMode="External"/><Relationship Id="rId155" Type="http://schemas.openxmlformats.org/officeDocument/2006/relationships/hyperlink" Target="https://vt.tiktok.com/ZS99t2XK1/" TargetMode="External"/><Relationship Id="rId107" Type="http://schemas.openxmlformats.org/officeDocument/2006/relationships/hyperlink" Target="https://vt.tiktok.com/ZSxEjXYCk/" TargetMode="External"/><Relationship Id="rId106" Type="http://schemas.openxmlformats.org/officeDocument/2006/relationships/hyperlink" Target="https://vt.tiktok.com/ZSxM56a3y/" TargetMode="External"/><Relationship Id="rId105" Type="http://schemas.openxmlformats.org/officeDocument/2006/relationships/hyperlink" Target="https://www.tiktok.com/@andiniekaputri2211" TargetMode="External"/><Relationship Id="rId104" Type="http://schemas.openxmlformats.org/officeDocument/2006/relationships/hyperlink" Target="https://vt.tiktok.com/ZS9A2jpS8/" TargetMode="External"/><Relationship Id="rId109" Type="http://schemas.openxmlformats.org/officeDocument/2006/relationships/hyperlink" Target="https://vt.tiktok.com/ZS9gnXWVb/" TargetMode="External"/><Relationship Id="rId108" Type="http://schemas.openxmlformats.org/officeDocument/2006/relationships/hyperlink" Target="https://www.tiktok.com/@lohshindy" TargetMode="External"/><Relationship Id="rId103" Type="http://schemas.openxmlformats.org/officeDocument/2006/relationships/hyperlink" Target="https://vt.tiktok.com/ZS9YErnr1/" TargetMode="External"/><Relationship Id="rId102" Type="http://schemas.openxmlformats.org/officeDocument/2006/relationships/hyperlink" Target="https://www.tiktok.com/@reviewofbeauty" TargetMode="External"/><Relationship Id="rId101" Type="http://schemas.openxmlformats.org/officeDocument/2006/relationships/hyperlink" Target="https://vt.tiktok.com/ZSxr63d12/" TargetMode="External"/><Relationship Id="rId100" Type="http://schemas.openxmlformats.org/officeDocument/2006/relationships/hyperlink" Target="https://vt.tiktok.com/ZS9wTac7c/" TargetMode="External"/><Relationship Id="rId129" Type="http://schemas.openxmlformats.org/officeDocument/2006/relationships/hyperlink" Target="https://www.tiktok.com/@aputtii" TargetMode="External"/><Relationship Id="rId128" Type="http://schemas.openxmlformats.org/officeDocument/2006/relationships/hyperlink" Target="https://vt.tiktok.com/ZS9Q32aqj/" TargetMode="External"/><Relationship Id="rId127" Type="http://schemas.openxmlformats.org/officeDocument/2006/relationships/hyperlink" Target="https://vt.tiktok.com/ZS95HNhFs/" TargetMode="External"/><Relationship Id="rId126" Type="http://schemas.openxmlformats.org/officeDocument/2006/relationships/hyperlink" Target="https://www.tiktok.com/@salwanarulita" TargetMode="External"/><Relationship Id="rId121" Type="http://schemas.openxmlformats.org/officeDocument/2006/relationships/hyperlink" Target="https://vt.tiktok.com/ZS9kaN78E/" TargetMode="External"/><Relationship Id="rId120" Type="http://schemas.openxmlformats.org/officeDocument/2006/relationships/hyperlink" Target="https://www.tiktok.com/@ririwindarii" TargetMode="External"/><Relationship Id="rId125" Type="http://schemas.openxmlformats.org/officeDocument/2006/relationships/hyperlink" Target="https://vt.tiktok.com/ZSHwGb4CR/" TargetMode="External"/><Relationship Id="rId124" Type="http://schemas.openxmlformats.org/officeDocument/2006/relationships/hyperlink" Target="https://vt.tiktok.com/ZSHCXAhEb/" TargetMode="External"/><Relationship Id="rId123" Type="http://schemas.openxmlformats.org/officeDocument/2006/relationships/hyperlink" Target="https://www.tiktok.com/@sygkmu__3" TargetMode="External"/><Relationship Id="rId122" Type="http://schemas.openxmlformats.org/officeDocument/2006/relationships/hyperlink" Target="https://vt.tiktok.com/ZSxEXrNwJ/" TargetMode="External"/><Relationship Id="rId118" Type="http://schemas.openxmlformats.org/officeDocument/2006/relationships/hyperlink" Target="https://vt.tiktok.com/ZS9RTpMpg/" TargetMode="External"/><Relationship Id="rId117" Type="http://schemas.openxmlformats.org/officeDocument/2006/relationships/hyperlink" Target="https://www.tiktok.com/@itsmeanie3" TargetMode="External"/><Relationship Id="rId116" Type="http://schemas.openxmlformats.org/officeDocument/2006/relationships/hyperlink" Target="https://vt.tiktok.com/ZS9NkMmdB/" TargetMode="External"/><Relationship Id="rId115" Type="http://schemas.openxmlformats.org/officeDocument/2006/relationships/hyperlink" Target="https://vt.tiktok.com/ZS9eYBM1f/" TargetMode="External"/><Relationship Id="rId119" Type="http://schemas.openxmlformats.org/officeDocument/2006/relationships/hyperlink" Target="https://vt.tiktok.com/ZS9CaHJsM/" TargetMode="External"/><Relationship Id="rId110" Type="http://schemas.openxmlformats.org/officeDocument/2006/relationships/hyperlink" Target="https://vt.tiktok.com/ZS9T6fxCu/" TargetMode="External"/><Relationship Id="rId114" Type="http://schemas.openxmlformats.org/officeDocument/2006/relationships/hyperlink" Target="https://www.tiktok.com/@lehabottoh" TargetMode="External"/><Relationship Id="rId113" Type="http://schemas.openxmlformats.org/officeDocument/2006/relationships/hyperlink" Target="https://vt.tiktok.com/ZSx2oJWE7/" TargetMode="External"/><Relationship Id="rId112" Type="http://schemas.openxmlformats.org/officeDocument/2006/relationships/hyperlink" Target="https://vt.tiktok.com/ZS9XV6TXX/" TargetMode="External"/><Relationship Id="rId111" Type="http://schemas.openxmlformats.org/officeDocument/2006/relationships/hyperlink" Target="https://www.tiktok.com/@tesazakia" TargetMode="External"/><Relationship Id="rId40" Type="http://schemas.openxmlformats.org/officeDocument/2006/relationships/hyperlink" Target="https://www.tiktok.com/@thnlykai" TargetMode="External"/><Relationship Id="rId42" Type="http://schemas.openxmlformats.org/officeDocument/2006/relationships/hyperlink" Target="https://vt.tiktok.com/ZSHXkcLUj/" TargetMode="External"/><Relationship Id="rId41" Type="http://schemas.openxmlformats.org/officeDocument/2006/relationships/hyperlink" Target="https://vt.tiktok.com/ZSHXB136e/" TargetMode="External"/><Relationship Id="rId44" Type="http://schemas.openxmlformats.org/officeDocument/2006/relationships/hyperlink" Target="https://vt.tiktok.com/ZS95oj2Hq/" TargetMode="External"/><Relationship Id="rId43" Type="http://schemas.openxmlformats.org/officeDocument/2006/relationships/hyperlink" Target="https://www.tiktok.com/@angelmatondang14" TargetMode="External"/><Relationship Id="rId46" Type="http://schemas.openxmlformats.org/officeDocument/2006/relationships/hyperlink" Target="https://vt.tiktok.com/ZSHayACt2/" TargetMode="External"/><Relationship Id="rId45" Type="http://schemas.openxmlformats.org/officeDocument/2006/relationships/hyperlink" Target="https://www.tiktok.com/@apriliakartiningsih" TargetMode="External"/><Relationship Id="rId48" Type="http://schemas.openxmlformats.org/officeDocument/2006/relationships/hyperlink" Target="https://www.tiktok.com/@ifanasyiffa" TargetMode="External"/><Relationship Id="rId47" Type="http://schemas.openxmlformats.org/officeDocument/2006/relationships/hyperlink" Target="https://vt.tiktok.com/ZS9S84V9a/" TargetMode="External"/><Relationship Id="rId49" Type="http://schemas.openxmlformats.org/officeDocument/2006/relationships/hyperlink" Target="https://vt.tiktok.com/ZS9YCmuG2/" TargetMode="External"/><Relationship Id="rId31" Type="http://schemas.openxmlformats.org/officeDocument/2006/relationships/hyperlink" Target="https://www.tiktok.com/@thya_pookie" TargetMode="External"/><Relationship Id="rId30" Type="http://schemas.openxmlformats.org/officeDocument/2006/relationships/hyperlink" Target="https://vt.tiktok.com/ZSHfcbKT3/" TargetMode="External"/><Relationship Id="rId33" Type="http://schemas.openxmlformats.org/officeDocument/2006/relationships/hyperlink" Target="https://vt.tiktok.com/ZSu3MF6CC/" TargetMode="External"/><Relationship Id="rId32" Type="http://schemas.openxmlformats.org/officeDocument/2006/relationships/hyperlink" Target="https://vt.tiktok.com/ZSuHEXWnk/" TargetMode="External"/><Relationship Id="rId35" Type="http://schemas.openxmlformats.org/officeDocument/2006/relationships/hyperlink" Target="https://vt.tiktok.com/ZSH6n7cbr/" TargetMode="External"/><Relationship Id="rId34" Type="http://schemas.openxmlformats.org/officeDocument/2006/relationships/hyperlink" Target="https://www.tiktok.com/@itsdianity" TargetMode="External"/><Relationship Id="rId37" Type="http://schemas.openxmlformats.org/officeDocument/2006/relationships/hyperlink" Target="https://www.tiktok.com/@umashanum" TargetMode="External"/><Relationship Id="rId36" Type="http://schemas.openxmlformats.org/officeDocument/2006/relationships/hyperlink" Target="https://vt.tiktok.com/ZSHMK1tcU/" TargetMode="External"/><Relationship Id="rId39" Type="http://schemas.openxmlformats.org/officeDocument/2006/relationships/hyperlink" Target="https://vt.tiktok.com/ZSH9dAWNQ/" TargetMode="External"/><Relationship Id="rId38" Type="http://schemas.openxmlformats.org/officeDocument/2006/relationships/hyperlink" Target="https://vt.tiktok.com/ZSH2mPD2g/" TargetMode="External"/><Relationship Id="rId20" Type="http://schemas.openxmlformats.org/officeDocument/2006/relationships/hyperlink" Target="https://www.tiktok.com/@putri.antris" TargetMode="External"/><Relationship Id="rId22" Type="http://schemas.openxmlformats.org/officeDocument/2006/relationships/hyperlink" Target="https://vt.tiktok.com/ZS9RUx778/" TargetMode="External"/><Relationship Id="rId21" Type="http://schemas.openxmlformats.org/officeDocument/2006/relationships/hyperlink" Target="https://vt.tiktok.com/ZS9RUXuQu/" TargetMode="External"/><Relationship Id="rId24" Type="http://schemas.openxmlformats.org/officeDocument/2006/relationships/hyperlink" Target="http://auroraaa.jm" TargetMode="External"/><Relationship Id="rId23" Type="http://schemas.openxmlformats.org/officeDocument/2006/relationships/hyperlink" Target="https://vt.tiktok.com/ZS9RU413c/" TargetMode="External"/><Relationship Id="rId26" Type="http://schemas.openxmlformats.org/officeDocument/2006/relationships/hyperlink" Target="https://vt.tiktok.com/ZSHpFqQU4/" TargetMode="External"/><Relationship Id="rId25" Type="http://schemas.openxmlformats.org/officeDocument/2006/relationships/hyperlink" Target="https://www.tiktok.com/@auroraaa.jm" TargetMode="External"/><Relationship Id="rId28" Type="http://schemas.openxmlformats.org/officeDocument/2006/relationships/hyperlink" Target="https://www.tiktok.com/@rumahaika" TargetMode="External"/><Relationship Id="rId27" Type="http://schemas.openxmlformats.org/officeDocument/2006/relationships/hyperlink" Target="https://vt.tiktok.com/ZSHpF47XA/" TargetMode="External"/><Relationship Id="rId29" Type="http://schemas.openxmlformats.org/officeDocument/2006/relationships/hyperlink" Target="https://vt.tiktok.com/ZSHfcunxN/" TargetMode="External"/><Relationship Id="rId11" Type="http://schemas.openxmlformats.org/officeDocument/2006/relationships/hyperlink" Target="https://www.tiktok.com/@nandajeliss" TargetMode="External"/><Relationship Id="rId10" Type="http://schemas.openxmlformats.org/officeDocument/2006/relationships/hyperlink" Target="https://vt.tiktok.com/ZSxHdJP3n/" TargetMode="External"/><Relationship Id="rId13" Type="http://schemas.openxmlformats.org/officeDocument/2006/relationships/hyperlink" Target="https://vt.tiktok.com/ZS9RgPKj3/" TargetMode="External"/><Relationship Id="rId12" Type="http://schemas.openxmlformats.org/officeDocument/2006/relationships/hyperlink" Target="https://vt.tiktok.com/ZSuwgjdn2/" TargetMode="External"/><Relationship Id="rId15" Type="http://schemas.openxmlformats.org/officeDocument/2006/relationships/hyperlink" Target="https://vt.tiktok.com/ZSHyVVXf5/" TargetMode="External"/><Relationship Id="rId14" Type="http://schemas.openxmlformats.org/officeDocument/2006/relationships/hyperlink" Target="https://www.tiktok.com/@salmahsrii" TargetMode="External"/><Relationship Id="rId17" Type="http://schemas.openxmlformats.org/officeDocument/2006/relationships/hyperlink" Target="https://www.tiktok.com/@weni_ilham" TargetMode="External"/><Relationship Id="rId16" Type="http://schemas.openxmlformats.org/officeDocument/2006/relationships/hyperlink" Target="https://vt.tiktok.com/ZS983GYLq/" TargetMode="External"/><Relationship Id="rId19" Type="http://schemas.openxmlformats.org/officeDocument/2006/relationships/hyperlink" Target="https://vt.tiktok.com/ZSmosNhAL/" TargetMode="External"/><Relationship Id="rId18" Type="http://schemas.openxmlformats.org/officeDocument/2006/relationships/hyperlink" Target="https://vt.tiktok.com/ZSuHXWTJT/" TargetMode="External"/><Relationship Id="rId84" Type="http://schemas.openxmlformats.org/officeDocument/2006/relationships/hyperlink" Target="https://www.tiktok.com/@nris9" TargetMode="External"/><Relationship Id="rId83" Type="http://schemas.openxmlformats.org/officeDocument/2006/relationships/hyperlink" Target="https://vt.tiktok.com/ZSQerrnak/" TargetMode="External"/><Relationship Id="rId86" Type="http://schemas.openxmlformats.org/officeDocument/2006/relationships/hyperlink" Target="https://vt.tiktok.com/ZS9NyrYft/" TargetMode="External"/><Relationship Id="rId85" Type="http://schemas.openxmlformats.org/officeDocument/2006/relationships/hyperlink" Target="https://vt.tiktok.com/ZS9e9FRqk/" TargetMode="External"/><Relationship Id="rId88" Type="http://schemas.openxmlformats.org/officeDocument/2006/relationships/hyperlink" Target="https://vt.tiktok.com/ZSHyktPQL/" TargetMode="External"/><Relationship Id="rId87" Type="http://schemas.openxmlformats.org/officeDocument/2006/relationships/hyperlink" Target="https://www.tiktok.com/@ferenaceta" TargetMode="External"/><Relationship Id="rId89" Type="http://schemas.openxmlformats.org/officeDocument/2006/relationships/hyperlink" Target="https://vt.tiktok.com/ZSHXDPkRL/" TargetMode="External"/><Relationship Id="rId80" Type="http://schemas.openxmlformats.org/officeDocument/2006/relationships/hyperlink" Target="https://vt.tiktok.com/ZS96Mgetf/" TargetMode="External"/><Relationship Id="rId82" Type="http://schemas.openxmlformats.org/officeDocument/2006/relationships/hyperlink" Target="https://www.tiktok.com/@nurnnyas" TargetMode="External"/><Relationship Id="rId81" Type="http://schemas.openxmlformats.org/officeDocument/2006/relationships/hyperlink" Target="https://vt.tiktok.com/ZS9Snx7wC/" TargetMode="External"/><Relationship Id="rId73" Type="http://schemas.openxmlformats.org/officeDocument/2006/relationships/hyperlink" Target="https://www.tiktok.com/@focusonmeehh" TargetMode="External"/><Relationship Id="rId72" Type="http://schemas.openxmlformats.org/officeDocument/2006/relationships/hyperlink" Target="https://vt.tiktok.com/ZS94DYY8v/" TargetMode="External"/><Relationship Id="rId75" Type="http://schemas.openxmlformats.org/officeDocument/2006/relationships/hyperlink" Target="https://www.tiktok.com/@liayulianti1278" TargetMode="External"/><Relationship Id="rId74" Type="http://schemas.openxmlformats.org/officeDocument/2006/relationships/hyperlink" Target="https://vt.tiktok.com/ZSHxarxGd/" TargetMode="External"/><Relationship Id="rId77" Type="http://schemas.openxmlformats.org/officeDocument/2006/relationships/hyperlink" Target="https://vt.tiktok.com/ZS9XQ5RjH/" TargetMode="External"/><Relationship Id="rId76" Type="http://schemas.openxmlformats.org/officeDocument/2006/relationships/hyperlink" Target="https://vt.tiktok.com/ZS9S2EPxm/" TargetMode="External"/><Relationship Id="rId79" Type="http://schemas.openxmlformats.org/officeDocument/2006/relationships/hyperlink" Target="https://www.tiktok.com/@elzahiraa25" TargetMode="External"/><Relationship Id="rId78" Type="http://schemas.openxmlformats.org/officeDocument/2006/relationships/hyperlink" Target="https://vt.tiktok.com/ZS93pgXhN/" TargetMode="External"/><Relationship Id="rId71" Type="http://schemas.openxmlformats.org/officeDocument/2006/relationships/hyperlink" Target="https://vt.tiktok.com/ZS9UH4NaC/" TargetMode="External"/><Relationship Id="rId70" Type="http://schemas.openxmlformats.org/officeDocument/2006/relationships/hyperlink" Target="https://www.tiktok.com/@innaahhiyan" TargetMode="External"/><Relationship Id="rId62" Type="http://schemas.openxmlformats.org/officeDocument/2006/relationships/hyperlink" Target="https://vt.tiktok.com/ZS9TSSUPr/" TargetMode="External"/><Relationship Id="rId61" Type="http://schemas.openxmlformats.org/officeDocument/2006/relationships/hyperlink" Target="https://www.tiktok.com/@Anitanursyifa" TargetMode="External"/><Relationship Id="rId64" Type="http://schemas.openxmlformats.org/officeDocument/2006/relationships/hyperlink" Target="https://www.tiktok.com/@shinta.deput" TargetMode="External"/><Relationship Id="rId63" Type="http://schemas.openxmlformats.org/officeDocument/2006/relationships/hyperlink" Target="https://vt.tiktok.com/ZSxRoPfQU/" TargetMode="External"/><Relationship Id="rId66" Type="http://schemas.openxmlformats.org/officeDocument/2006/relationships/hyperlink" Target="https://vt.tiktok.com/ZS9qrk87h/" TargetMode="External"/><Relationship Id="rId65" Type="http://schemas.openxmlformats.org/officeDocument/2006/relationships/hyperlink" Target="https://vt.tiktok.com/ZS96SC5e8/" TargetMode="External"/><Relationship Id="rId68" Type="http://schemas.openxmlformats.org/officeDocument/2006/relationships/hyperlink" Target="https://vt.tiktok.com/ZS9R96LND/" TargetMode="External"/><Relationship Id="rId67" Type="http://schemas.openxmlformats.org/officeDocument/2006/relationships/hyperlink" Target="https://www.tiktok.com/@queenrfl" TargetMode="External"/><Relationship Id="rId60" Type="http://schemas.openxmlformats.org/officeDocument/2006/relationships/hyperlink" Target="https://vt.tiktok.com/ZS94H12G7/" TargetMode="External"/><Relationship Id="rId69" Type="http://schemas.openxmlformats.org/officeDocument/2006/relationships/hyperlink" Target="https://vt.tiktok.com/ZSxhRJtU7/" TargetMode="External"/><Relationship Id="rId51" Type="http://schemas.openxmlformats.org/officeDocument/2006/relationships/hyperlink" Target="https://www.tiktok.com/@moodtiaraaaaa" TargetMode="External"/><Relationship Id="rId50" Type="http://schemas.openxmlformats.org/officeDocument/2006/relationships/hyperlink" Target="https://vt.tiktok.com/ZS9gtSmYJ/" TargetMode="External"/><Relationship Id="rId53" Type="http://schemas.openxmlformats.org/officeDocument/2006/relationships/hyperlink" Target="https://vt.tiktok.com/ZS9SLQSJQ/" TargetMode="External"/><Relationship Id="rId52" Type="http://schemas.openxmlformats.org/officeDocument/2006/relationships/hyperlink" Target="https://vt.tiktok.com/ZSHjnf1uN/" TargetMode="External"/><Relationship Id="rId55" Type="http://schemas.openxmlformats.org/officeDocument/2006/relationships/hyperlink" Target="https://vt.tiktok.com/ZSHxxdeoX/" TargetMode="External"/><Relationship Id="rId54" Type="http://schemas.openxmlformats.org/officeDocument/2006/relationships/hyperlink" Target="https://www.tiktok.com/@maydarafsha" TargetMode="External"/><Relationship Id="rId57" Type="http://schemas.openxmlformats.org/officeDocument/2006/relationships/hyperlink" Target="https://vt.tiktok.com/ZS936TvHr/" TargetMode="External"/><Relationship Id="rId56" Type="http://schemas.openxmlformats.org/officeDocument/2006/relationships/hyperlink" Target="https://www.tiktok.com/@upaahsn" TargetMode="External"/><Relationship Id="rId59" Type="http://schemas.openxmlformats.org/officeDocument/2006/relationships/hyperlink" Target="https://vt.tiktok.com/ZS98LF73s/" TargetMode="External"/><Relationship Id="rId58" Type="http://schemas.openxmlformats.org/officeDocument/2006/relationships/hyperlink" Target="https://www.tiktok.com/@storyandine" TargetMode="External"/><Relationship Id="rId95" Type="http://schemas.openxmlformats.org/officeDocument/2006/relationships/hyperlink" Target="https://vt.tiktok.com/ZS997t783/" TargetMode="External"/><Relationship Id="rId94" Type="http://schemas.openxmlformats.org/officeDocument/2006/relationships/hyperlink" Target="https://vt.tiktok.com/ZS9rmMKDB/" TargetMode="External"/><Relationship Id="rId97" Type="http://schemas.openxmlformats.org/officeDocument/2006/relationships/hyperlink" Target="https://vt.tiktok.com/ZS9yXoa2t/" TargetMode="External"/><Relationship Id="rId96" Type="http://schemas.openxmlformats.org/officeDocument/2006/relationships/hyperlink" Target="https://www.tiktok.com/@cherry_review21" TargetMode="External"/><Relationship Id="rId99" Type="http://schemas.openxmlformats.org/officeDocument/2006/relationships/hyperlink" Target="https://www.tiktok.com/@_nonatidore" TargetMode="External"/><Relationship Id="rId98" Type="http://schemas.openxmlformats.org/officeDocument/2006/relationships/hyperlink" Target="https://vt.tiktok.com/ZS9xJEfvn/" TargetMode="External"/><Relationship Id="rId91" Type="http://schemas.openxmlformats.org/officeDocument/2006/relationships/hyperlink" Target="https://vt.tiktok.com/ZS94Sqmxa/" TargetMode="External"/><Relationship Id="rId90" Type="http://schemas.openxmlformats.org/officeDocument/2006/relationships/hyperlink" Target="https://www.tiktok.com/@fitrianahisnainy" TargetMode="External"/><Relationship Id="rId93" Type="http://schemas.openxmlformats.org/officeDocument/2006/relationships/hyperlink" Target="https://www.tiktok.com/@ayla19553" TargetMode="External"/><Relationship Id="rId92" Type="http://schemas.openxmlformats.org/officeDocument/2006/relationships/hyperlink" Target="https://vt.tiktok.com/ZSx6YafL1/" TargetMode="External"/><Relationship Id="rId228" Type="http://schemas.openxmlformats.org/officeDocument/2006/relationships/hyperlink" Target="https://vt.tiktok.com/ZSQNfRcxc/" TargetMode="External"/><Relationship Id="rId227" Type="http://schemas.openxmlformats.org/officeDocument/2006/relationships/hyperlink" Target="https://vt.tiktok.com/ZSxuEqHXV/" TargetMode="External"/><Relationship Id="rId226" Type="http://schemas.openxmlformats.org/officeDocument/2006/relationships/hyperlink" Target="https://www.tiktok.com/@lisna_tanjung" TargetMode="External"/><Relationship Id="rId225" Type="http://schemas.openxmlformats.org/officeDocument/2006/relationships/hyperlink" Target="https://vt.tiktok.com/ZSQRwvXAv/" TargetMode="External"/><Relationship Id="rId229" Type="http://schemas.openxmlformats.org/officeDocument/2006/relationships/hyperlink" Target="https://www.tiktok.com/@haloastrii" TargetMode="External"/><Relationship Id="rId220" Type="http://schemas.openxmlformats.org/officeDocument/2006/relationships/hyperlink" Target="https://www.tiktok.com/@tia.vlogkampung" TargetMode="External"/><Relationship Id="rId224" Type="http://schemas.openxmlformats.org/officeDocument/2006/relationships/hyperlink" Target="https://vt.tiktok.com/ZSxUEDYKg/" TargetMode="External"/><Relationship Id="rId223" Type="http://schemas.openxmlformats.org/officeDocument/2006/relationships/hyperlink" Target="https://www.tiktok.com/@nursidah54" TargetMode="External"/><Relationship Id="rId222" Type="http://schemas.openxmlformats.org/officeDocument/2006/relationships/hyperlink" Target="https://vt.tiktok.com/ZSxkWAEc4/" TargetMode="External"/><Relationship Id="rId221" Type="http://schemas.openxmlformats.org/officeDocument/2006/relationships/hyperlink" Target="https://www.tiktok.com/@kimoy59" TargetMode="External"/><Relationship Id="rId217" Type="http://schemas.openxmlformats.org/officeDocument/2006/relationships/hyperlink" Target="https://vt.tiktok.com/ZSQRtUEra/" TargetMode="External"/><Relationship Id="rId216" Type="http://schemas.openxmlformats.org/officeDocument/2006/relationships/hyperlink" Target="https://www.tiktok.com/@zrshafaaaa" TargetMode="External"/><Relationship Id="rId215" Type="http://schemas.openxmlformats.org/officeDocument/2006/relationships/hyperlink" Target="https://www.tiktok.com/@slvistory" TargetMode="External"/><Relationship Id="rId214" Type="http://schemas.openxmlformats.org/officeDocument/2006/relationships/hyperlink" Target="https://www.tiktok.com/@verapurn" TargetMode="External"/><Relationship Id="rId219" Type="http://schemas.openxmlformats.org/officeDocument/2006/relationships/hyperlink" Target="https://vt.tiktok.com/ZSQRxNhpd/" TargetMode="External"/><Relationship Id="rId218" Type="http://schemas.openxmlformats.org/officeDocument/2006/relationships/hyperlink" Target="https://www.tiktok.com/@naadeblue" TargetMode="External"/><Relationship Id="rId213" Type="http://schemas.openxmlformats.org/officeDocument/2006/relationships/hyperlink" Target="https://www.tiktok.com/@stvncae" TargetMode="External"/><Relationship Id="rId212" Type="http://schemas.openxmlformats.org/officeDocument/2006/relationships/hyperlink" Target="https://vt.tiktok.com/ZSxSTNSto/" TargetMode="External"/><Relationship Id="rId211" Type="http://schemas.openxmlformats.org/officeDocument/2006/relationships/hyperlink" Target="https://vt.tiktok.com/ZSx617yYe/" TargetMode="External"/><Relationship Id="rId210" Type="http://schemas.openxmlformats.org/officeDocument/2006/relationships/hyperlink" Target="https://www.tiktok.com/@sellaaaalala" TargetMode="External"/><Relationship Id="rId249" Type="http://schemas.openxmlformats.org/officeDocument/2006/relationships/drawing" Target="../drawings/drawing19.xml"/><Relationship Id="rId248" Type="http://schemas.openxmlformats.org/officeDocument/2006/relationships/hyperlink" Target="https://www.tiktok.com/@" TargetMode="External"/><Relationship Id="rId247" Type="http://schemas.openxmlformats.org/officeDocument/2006/relationships/hyperlink" Target="https://www.tiktok.com/@ceciliazebua" TargetMode="External"/><Relationship Id="rId242" Type="http://schemas.openxmlformats.org/officeDocument/2006/relationships/hyperlink" Target="https://www.tiktok.com/@dialecxy" TargetMode="External"/><Relationship Id="rId241" Type="http://schemas.openxmlformats.org/officeDocument/2006/relationships/hyperlink" Target="https://www.tiktok.com/@ihaamour" TargetMode="External"/><Relationship Id="rId240" Type="http://schemas.openxmlformats.org/officeDocument/2006/relationships/hyperlink" Target="https://www.tiktok.com/@hi_jaenaa" TargetMode="External"/><Relationship Id="rId246" Type="http://schemas.openxmlformats.org/officeDocument/2006/relationships/hyperlink" Target="https://www.tiktok.com/@somethinlostt" TargetMode="External"/><Relationship Id="rId245" Type="http://schemas.openxmlformats.org/officeDocument/2006/relationships/hyperlink" Target="https://www.tiktok.com/@meyjayanti3" TargetMode="External"/><Relationship Id="rId244" Type="http://schemas.openxmlformats.org/officeDocument/2006/relationships/hyperlink" Target="https://www.tiktok.com/@kheaa.kr" TargetMode="External"/><Relationship Id="rId243" Type="http://schemas.openxmlformats.org/officeDocument/2006/relationships/hyperlink" Target="http://kheaa.kr" TargetMode="External"/><Relationship Id="rId239" Type="http://schemas.openxmlformats.org/officeDocument/2006/relationships/hyperlink" Target="https://vt.tiktok.com/ZSxTmwwNs/" TargetMode="External"/><Relationship Id="rId238" Type="http://schemas.openxmlformats.org/officeDocument/2006/relationships/hyperlink" Target="https://vt.tiktok.com/ZSxVXHdmD/" TargetMode="External"/><Relationship Id="rId237" Type="http://schemas.openxmlformats.org/officeDocument/2006/relationships/hyperlink" Target="https://www.tiktok.com/@yanti_nainggolan" TargetMode="External"/><Relationship Id="rId236" Type="http://schemas.openxmlformats.org/officeDocument/2006/relationships/hyperlink" Target="https://www.tiktok.com/@bypujii" TargetMode="External"/><Relationship Id="rId231" Type="http://schemas.openxmlformats.org/officeDocument/2006/relationships/hyperlink" Target="https://www.tiktok.com/@lehaa.27" TargetMode="External"/><Relationship Id="rId230" Type="http://schemas.openxmlformats.org/officeDocument/2006/relationships/hyperlink" Target="https://www.tiktok.com/@eristaaa03" TargetMode="External"/><Relationship Id="rId235" Type="http://schemas.openxmlformats.org/officeDocument/2006/relationships/hyperlink" Target="https://www.tiktok.com/@indriminyo" TargetMode="External"/><Relationship Id="rId234" Type="http://schemas.openxmlformats.org/officeDocument/2006/relationships/hyperlink" Target="https://www.tiktok.com/@leonejessi" TargetMode="External"/><Relationship Id="rId233" Type="http://schemas.openxmlformats.org/officeDocument/2006/relationships/hyperlink" Target="https://www.tiktok.com/@oliviasompie" TargetMode="External"/><Relationship Id="rId232" Type="http://schemas.openxmlformats.org/officeDocument/2006/relationships/hyperlink" Target="https://vt.tiktok.com/ZSxkvdX7j/" TargetMode="External"/><Relationship Id="rId206" Type="http://schemas.openxmlformats.org/officeDocument/2006/relationships/hyperlink" Target="https://vt.tiktok.com/ZS9p8S53F/" TargetMode="External"/><Relationship Id="rId205" Type="http://schemas.openxmlformats.org/officeDocument/2006/relationships/hyperlink" Target="https://www.tiktok.com/@gadisaries97" TargetMode="External"/><Relationship Id="rId204" Type="http://schemas.openxmlformats.org/officeDocument/2006/relationships/hyperlink" Target="https://vt.tiktok.com/ZS9CUUr5B/" TargetMode="External"/><Relationship Id="rId203" Type="http://schemas.openxmlformats.org/officeDocument/2006/relationships/hyperlink" Target="https://vt.tiktok.com/ZS9krsYDV/" TargetMode="External"/><Relationship Id="rId209" Type="http://schemas.openxmlformats.org/officeDocument/2006/relationships/hyperlink" Target="https://vt.tiktok.com/ZSx6ovCbL/" TargetMode="External"/><Relationship Id="rId208" Type="http://schemas.openxmlformats.org/officeDocument/2006/relationships/hyperlink" Target="https://www.tiktok.com/@kaaaaast" TargetMode="External"/><Relationship Id="rId207" Type="http://schemas.openxmlformats.org/officeDocument/2006/relationships/hyperlink" Target="https://vt.tiktok.com/ZSxmhVsvK/" TargetMode="External"/><Relationship Id="rId202" Type="http://schemas.openxmlformats.org/officeDocument/2006/relationships/hyperlink" Target="https://www.tiktok.com/@nurul_amelia47" TargetMode="External"/><Relationship Id="rId201" Type="http://schemas.openxmlformats.org/officeDocument/2006/relationships/hyperlink" Target="https://vt.tiktok.com/ZS9Qp9JF3/" TargetMode="External"/><Relationship Id="rId200" Type="http://schemas.openxmlformats.org/officeDocument/2006/relationships/hyperlink" Target="https://vt.tiktok.com/ZS9S4MB8T/" TargetMode="External"/><Relationship Id="rId1" Type="http://schemas.openxmlformats.org/officeDocument/2006/relationships/hyperlink" Target="https://www.tiktok.com/@ndiranavsyari" TargetMode="External"/><Relationship Id="rId2" Type="http://schemas.openxmlformats.org/officeDocument/2006/relationships/hyperlink" Target="https://vt.tiktok.com/ZSHe6GfwE/" TargetMode="External"/><Relationship Id="rId3" Type="http://schemas.openxmlformats.org/officeDocument/2006/relationships/hyperlink" Target="https://vt.tiktok.com/ZS9rWDfhg/" TargetMode="External"/><Relationship Id="rId4" Type="http://schemas.openxmlformats.org/officeDocument/2006/relationships/hyperlink" Target="https://www.tiktok.com/@vivikimss" TargetMode="External"/><Relationship Id="rId9" Type="http://schemas.openxmlformats.org/officeDocument/2006/relationships/hyperlink" Target="https://vt.tiktok.com/ZSHgT1x1b/" TargetMode="External"/><Relationship Id="rId5" Type="http://schemas.openxmlformats.org/officeDocument/2006/relationships/hyperlink" Target="https://www.tiktok.com/@harumpertiwi12" TargetMode="External"/><Relationship Id="rId6" Type="http://schemas.openxmlformats.org/officeDocument/2006/relationships/hyperlink" Target="https://vt.tiktok.com/ZSH514ev8/" TargetMode="External"/><Relationship Id="rId7" Type="http://schemas.openxmlformats.org/officeDocument/2006/relationships/hyperlink" Target="https://vt.tiktok.com/ZS9qVCNP8/" TargetMode="External"/><Relationship Id="rId8" Type="http://schemas.openxmlformats.org/officeDocument/2006/relationships/hyperlink" Target="https://www.tiktok.com/@seli.desi.liani" TargetMode="External"/></Relationships>
</file>

<file path=xl/worksheets/_rels/sheet20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tiktok.com/@nonazawaa2/video/7626748446745185544" TargetMode="External"/><Relationship Id="rId194" Type="http://schemas.openxmlformats.org/officeDocument/2006/relationships/hyperlink" Target="https://vt.tiktok.com/ZSHP8r5Mb/" TargetMode="External"/><Relationship Id="rId193" Type="http://schemas.openxmlformats.org/officeDocument/2006/relationships/hyperlink" Target="https://vt.tiktok.com/ZSHP8Qw8u/" TargetMode="External"/><Relationship Id="rId192" Type="http://schemas.openxmlformats.org/officeDocument/2006/relationships/hyperlink" Target="https://www.tiktok.com/@storyandine" TargetMode="External"/><Relationship Id="rId191" Type="http://schemas.openxmlformats.org/officeDocument/2006/relationships/hyperlink" Target="https://vt.tiktok.com/ZSHG2hj69/" TargetMode="External"/><Relationship Id="rId187" Type="http://schemas.openxmlformats.org/officeDocument/2006/relationships/hyperlink" Target="https://vt.tiktok.com/ZSHL6h5hh/" TargetMode="External"/><Relationship Id="rId186" Type="http://schemas.openxmlformats.org/officeDocument/2006/relationships/hyperlink" Target="https://vt.tiktok.com/ZSHhEwGXA/" TargetMode="External"/><Relationship Id="rId185" Type="http://schemas.openxmlformats.org/officeDocument/2006/relationships/hyperlink" Target="https://www.tiktok.com/@innaahhiyan" TargetMode="External"/><Relationship Id="rId184" Type="http://schemas.openxmlformats.org/officeDocument/2006/relationships/hyperlink" Target="https://vt.tiktok.com/ZSujybNcc/" TargetMode="External"/><Relationship Id="rId189" Type="http://schemas.openxmlformats.org/officeDocument/2006/relationships/hyperlink" Target="https://www.tiktok.com/@nonazawaa2" TargetMode="External"/><Relationship Id="rId188" Type="http://schemas.openxmlformats.org/officeDocument/2006/relationships/hyperlink" Target="https://vt.tiktok.com/ZS9RqTvKh/" TargetMode="External"/><Relationship Id="rId183" Type="http://schemas.openxmlformats.org/officeDocument/2006/relationships/hyperlink" Target="https://vt.tiktok.com/ZSuR18ymU/" TargetMode="External"/><Relationship Id="rId182" Type="http://schemas.openxmlformats.org/officeDocument/2006/relationships/hyperlink" Target="https://www.tiktok.com/@im.here__" TargetMode="External"/><Relationship Id="rId181" Type="http://schemas.openxmlformats.org/officeDocument/2006/relationships/hyperlink" Target="https://vt.tiktok.com/ZSuoa2mAQ/" TargetMode="External"/><Relationship Id="rId180" Type="http://schemas.openxmlformats.org/officeDocument/2006/relationships/hyperlink" Target="https://vt.tiktok.com/ZSurmFpdm/" TargetMode="External"/><Relationship Id="rId176" Type="http://schemas.openxmlformats.org/officeDocument/2006/relationships/hyperlink" Target="https://www.tiktok.com/@hanasofianaa" TargetMode="External"/><Relationship Id="rId175" Type="http://schemas.openxmlformats.org/officeDocument/2006/relationships/hyperlink" Target="https://vt.tiktok.com/ZSujDN1JV/" TargetMode="External"/><Relationship Id="rId174" Type="http://schemas.openxmlformats.org/officeDocument/2006/relationships/hyperlink" Target="https://vt.tiktok.com/ZSueABbAQ/" TargetMode="External"/><Relationship Id="rId173" Type="http://schemas.openxmlformats.org/officeDocument/2006/relationships/hyperlink" Target="https://www.tiktok.com/@nandajeliss" TargetMode="External"/><Relationship Id="rId179" Type="http://schemas.openxmlformats.org/officeDocument/2006/relationships/hyperlink" Target="https://www.tiktok.com/@shinta.deput" TargetMode="External"/><Relationship Id="rId178" Type="http://schemas.openxmlformats.org/officeDocument/2006/relationships/hyperlink" Target="https://vt.tiktok.com/ZSu6hDMEu/" TargetMode="External"/><Relationship Id="rId177" Type="http://schemas.openxmlformats.org/officeDocument/2006/relationships/hyperlink" Target="https://vt.tiktok.com/ZSue55wed/" TargetMode="External"/><Relationship Id="rId198" Type="http://schemas.openxmlformats.org/officeDocument/2006/relationships/hyperlink" Target="https://www.tiktok.com/@atin.sglow" TargetMode="External"/><Relationship Id="rId197" Type="http://schemas.openxmlformats.org/officeDocument/2006/relationships/hyperlink" Target="https://vt.tiktok.com/ZSuLHDYM3/" TargetMode="External"/><Relationship Id="rId196" Type="http://schemas.openxmlformats.org/officeDocument/2006/relationships/hyperlink" Target="https://vt.tiktok.com/ZSuRLUFJS/" TargetMode="External"/><Relationship Id="rId195" Type="http://schemas.openxmlformats.org/officeDocument/2006/relationships/hyperlink" Target="https://www.tiktok.com/@__vaaadwis" TargetMode="External"/><Relationship Id="rId199" Type="http://schemas.openxmlformats.org/officeDocument/2006/relationships/hyperlink" Target="https://vt.tiktok.com/ZSmwXs3cj/" TargetMode="External"/><Relationship Id="rId150" Type="http://schemas.openxmlformats.org/officeDocument/2006/relationships/hyperlink" Target="https://vt.tiktok.com/ZSmqLKU9N/" TargetMode="External"/><Relationship Id="rId149" Type="http://schemas.openxmlformats.org/officeDocument/2006/relationships/hyperlink" Target="https://www.tiktok.com/@vivikimss" TargetMode="External"/><Relationship Id="rId148" Type="http://schemas.openxmlformats.org/officeDocument/2006/relationships/hyperlink" Target="https://vt.tiktok.com/ZSuydaH7u/" TargetMode="External"/><Relationship Id="rId143" Type="http://schemas.openxmlformats.org/officeDocument/2006/relationships/hyperlink" Target="https://www.tiktok.com/@mrsrepiew" TargetMode="External"/><Relationship Id="rId142" Type="http://schemas.openxmlformats.org/officeDocument/2006/relationships/hyperlink" Target="https://vt.tiktok.com/ZSH3YMmQv/" TargetMode="External"/><Relationship Id="rId141" Type="http://schemas.openxmlformats.org/officeDocument/2006/relationships/hyperlink" Target="https://vt.tiktok.com/ZSHrtexeY/" TargetMode="External"/><Relationship Id="rId140" Type="http://schemas.openxmlformats.org/officeDocument/2006/relationships/hyperlink" Target="https://www.tiktok.com/@upaahsn" TargetMode="External"/><Relationship Id="rId147" Type="http://schemas.openxmlformats.org/officeDocument/2006/relationships/hyperlink" Target="https://vt.tiktok.com/ZSmEvm3mu/" TargetMode="External"/><Relationship Id="rId146" Type="http://schemas.openxmlformats.org/officeDocument/2006/relationships/hyperlink" Target="https://www.tiktok.com/@thnlykai" TargetMode="External"/><Relationship Id="rId145" Type="http://schemas.openxmlformats.org/officeDocument/2006/relationships/hyperlink" Target="https://vt.tiktok.com/ZSuAajoaA/" TargetMode="External"/><Relationship Id="rId144" Type="http://schemas.openxmlformats.org/officeDocument/2006/relationships/hyperlink" Target="https://vt.tiktok.com/ZSmE7tfdA/" TargetMode="External"/><Relationship Id="rId139" Type="http://schemas.openxmlformats.org/officeDocument/2006/relationships/hyperlink" Target="https://vt.tiktok.com/ZSu6GXBfc/" TargetMode="External"/><Relationship Id="rId138" Type="http://schemas.openxmlformats.org/officeDocument/2006/relationships/hyperlink" Target="https://vt.tiktok.com/ZSmGHdAhG/" TargetMode="External"/><Relationship Id="rId137" Type="http://schemas.openxmlformats.org/officeDocument/2006/relationships/hyperlink" Target="https://www.tiktok.com/@theonlyara_6" TargetMode="External"/><Relationship Id="rId132" Type="http://schemas.openxmlformats.org/officeDocument/2006/relationships/hyperlink" Target="https://vt.tiktok.com/ZSm7dTvc6/" TargetMode="External"/><Relationship Id="rId131" Type="http://schemas.openxmlformats.org/officeDocument/2006/relationships/hyperlink" Target="https://vt.tiktok.com/ZSmgVwqRt/" TargetMode="External"/><Relationship Id="rId130" Type="http://schemas.openxmlformats.org/officeDocument/2006/relationships/hyperlink" Target="https://www.tiktok.com/@pinkiesgurl" TargetMode="External"/><Relationship Id="rId136" Type="http://schemas.openxmlformats.org/officeDocument/2006/relationships/hyperlink" Target="https://vt.tiktok.com/ZSH1ksPB5/" TargetMode="External"/><Relationship Id="rId135" Type="http://schemas.openxmlformats.org/officeDocument/2006/relationships/hyperlink" Target="https://vt.tiktok.com/ZSmwywY66/" TargetMode="External"/><Relationship Id="rId134" Type="http://schemas.openxmlformats.org/officeDocument/2006/relationships/hyperlink" Target="https://www.tiktok.com/@sekaaulia2" TargetMode="External"/><Relationship Id="rId133" Type="http://schemas.openxmlformats.org/officeDocument/2006/relationships/hyperlink" Target="https://vt.tiktok.com/ZSmo9Qj8D/" TargetMode="External"/><Relationship Id="rId172" Type="http://schemas.openxmlformats.org/officeDocument/2006/relationships/hyperlink" Target="https://vt.tiktok.com/ZSuhJJu5o/" TargetMode="External"/><Relationship Id="rId171" Type="http://schemas.openxmlformats.org/officeDocument/2006/relationships/hyperlink" Target="https://vt.tiktok.com/ZSueBNEwY/" TargetMode="External"/><Relationship Id="rId170" Type="http://schemas.openxmlformats.org/officeDocument/2006/relationships/hyperlink" Target="https://www.tiktok.com/@cherry_review21" TargetMode="External"/><Relationship Id="rId165" Type="http://schemas.openxmlformats.org/officeDocument/2006/relationships/hyperlink" Target="https://vt.tiktok.com/ZSmgC12RF/" TargetMode="External"/><Relationship Id="rId164" Type="http://schemas.openxmlformats.org/officeDocument/2006/relationships/hyperlink" Target="https://www.tiktok.com/@melisadyp" TargetMode="External"/><Relationship Id="rId163" Type="http://schemas.openxmlformats.org/officeDocument/2006/relationships/hyperlink" Target="https://vt.tiktok.com/ZSmPVfxdw/" TargetMode="External"/><Relationship Id="rId162" Type="http://schemas.openxmlformats.org/officeDocument/2006/relationships/hyperlink" Target="https://vt.tiktok.com/ZSmUmpYxV/" TargetMode="External"/><Relationship Id="rId169" Type="http://schemas.openxmlformats.org/officeDocument/2006/relationships/hyperlink" Target="https://vt.tiktok.com/ZSurunegv/" TargetMode="External"/><Relationship Id="rId168" Type="http://schemas.openxmlformats.org/officeDocument/2006/relationships/hyperlink" Target="https://vt.tiktok.com/ZSuj5YwDf/" TargetMode="External"/><Relationship Id="rId167" Type="http://schemas.openxmlformats.org/officeDocument/2006/relationships/hyperlink" Target="https://www.tiktok.com/@ayla19553" TargetMode="External"/><Relationship Id="rId166" Type="http://schemas.openxmlformats.org/officeDocument/2006/relationships/hyperlink" Target="https://vt.tiktok.com/ZSurqoNou/" TargetMode="External"/><Relationship Id="rId161" Type="http://schemas.openxmlformats.org/officeDocument/2006/relationships/hyperlink" Target="https://www.tiktok.com/@nbillahnc" TargetMode="External"/><Relationship Id="rId160" Type="http://schemas.openxmlformats.org/officeDocument/2006/relationships/hyperlink" Target="https://vt.tiktok.com/ZSma9n82U/" TargetMode="External"/><Relationship Id="rId159" Type="http://schemas.openxmlformats.org/officeDocument/2006/relationships/hyperlink" Target="https://vt.tiktok.com/ZSmUkaxVk/" TargetMode="External"/><Relationship Id="rId154" Type="http://schemas.openxmlformats.org/officeDocument/2006/relationships/hyperlink" Target="https://vt.tiktok.com/ZSuYtnSdq/" TargetMode="External"/><Relationship Id="rId153" Type="http://schemas.openxmlformats.org/officeDocument/2006/relationships/hyperlink" Target="https://vt.tiktok.com/ZSm4BBosF/" TargetMode="External"/><Relationship Id="rId152" Type="http://schemas.openxmlformats.org/officeDocument/2006/relationships/hyperlink" Target="https://www.tiktok.com/@angelmatondang14" TargetMode="External"/><Relationship Id="rId151" Type="http://schemas.openxmlformats.org/officeDocument/2006/relationships/hyperlink" Target="https://vt.tiktok.com/ZSmEt9osV/" TargetMode="External"/><Relationship Id="rId158" Type="http://schemas.openxmlformats.org/officeDocument/2006/relationships/hyperlink" Target="https://www.tiktok.com/@fitrianahisnainy" TargetMode="External"/><Relationship Id="rId157" Type="http://schemas.openxmlformats.org/officeDocument/2006/relationships/hyperlink" Target="https://vt.tiktok.com/ZSuHJQ64o/" TargetMode="External"/><Relationship Id="rId156" Type="http://schemas.openxmlformats.org/officeDocument/2006/relationships/hyperlink" Target="https://vt.tiktok.com/ZSuLaoAQT/" TargetMode="External"/><Relationship Id="rId155" Type="http://schemas.openxmlformats.org/officeDocument/2006/relationships/hyperlink" Target="https://www.tiktok.com/@ndiranavsyari" TargetMode="External"/><Relationship Id="rId107" Type="http://schemas.openxmlformats.org/officeDocument/2006/relationships/hyperlink" Target="https://vt.tiktok.com/ZSmU2Dh1u/" TargetMode="External"/><Relationship Id="rId106" Type="http://schemas.openxmlformats.org/officeDocument/2006/relationships/hyperlink" Target="https://www.tiktok.com/@Friskafrl" TargetMode="External"/><Relationship Id="rId105" Type="http://schemas.openxmlformats.org/officeDocument/2006/relationships/hyperlink" Target="https://vt.tiktok.com/ZSmspPUfy/" TargetMode="External"/><Relationship Id="rId104" Type="http://schemas.openxmlformats.org/officeDocument/2006/relationships/hyperlink" Target="https://vt.tiktok.com/ZSmyqoxAE/" TargetMode="External"/><Relationship Id="rId109" Type="http://schemas.openxmlformats.org/officeDocument/2006/relationships/hyperlink" Target="https://www.tiktok.com/@popynoviana_" TargetMode="External"/><Relationship Id="rId108" Type="http://schemas.openxmlformats.org/officeDocument/2006/relationships/hyperlink" Target="https://vt.tiktok.com/ZSmgAxcB3/" TargetMode="External"/><Relationship Id="rId103" Type="http://schemas.openxmlformats.org/officeDocument/2006/relationships/hyperlink" Target="https://www.tiktok.com/@itsmeevaniii" TargetMode="External"/><Relationship Id="rId102" Type="http://schemas.openxmlformats.org/officeDocument/2006/relationships/hyperlink" Target="https://vt.tiktok.com/ZSmVUGoeQ/" TargetMode="External"/><Relationship Id="rId101" Type="http://schemas.openxmlformats.org/officeDocument/2006/relationships/hyperlink" Target="https://vt.tiktok.com/ZSmhJ9nX3/" TargetMode="External"/><Relationship Id="rId100" Type="http://schemas.openxmlformats.org/officeDocument/2006/relationships/hyperlink" Target="https://www.tiktok.com/@ferenaceta" TargetMode="External"/><Relationship Id="rId129" Type="http://schemas.openxmlformats.org/officeDocument/2006/relationships/hyperlink" Target="https://vt.tiktok.com/ZSHXuvkKJ/" TargetMode="External"/><Relationship Id="rId128" Type="http://schemas.openxmlformats.org/officeDocument/2006/relationships/hyperlink" Target="https://vt.tiktok.com/ZSujWTB2b/" TargetMode="External"/><Relationship Id="rId127" Type="http://schemas.openxmlformats.org/officeDocument/2006/relationships/hyperlink" Target="https://vt.tiktok.com/ZSmwWLboY/" TargetMode="External"/><Relationship Id="rId126" Type="http://schemas.openxmlformats.org/officeDocument/2006/relationships/hyperlink" Target="https://vt.tiktok.com/ZSukhPKSe/" TargetMode="External"/><Relationship Id="rId121" Type="http://schemas.openxmlformats.org/officeDocument/2006/relationships/hyperlink" Target="https://www.tiktok.com/@anasthetixs" TargetMode="External"/><Relationship Id="rId120" Type="http://schemas.openxmlformats.org/officeDocument/2006/relationships/hyperlink" Target="https://vt.tiktok.com/ZSuj9QW3R/" TargetMode="External"/><Relationship Id="rId125" Type="http://schemas.openxmlformats.org/officeDocument/2006/relationships/hyperlink" Target="https://www.tiktok.com/@maydarafsha" TargetMode="External"/><Relationship Id="rId124" Type="http://schemas.openxmlformats.org/officeDocument/2006/relationships/hyperlink" Target="https://vt.tiktok.com/ZSHXubC47/" TargetMode="External"/><Relationship Id="rId123" Type="http://schemas.openxmlformats.org/officeDocument/2006/relationships/hyperlink" Target="https://vt.tiktok.com/ZSHhWc4n4/" TargetMode="External"/><Relationship Id="rId122" Type="http://schemas.openxmlformats.org/officeDocument/2006/relationships/hyperlink" Target="https://vt.tiktok.com/ZSuyuynPf/" TargetMode="External"/><Relationship Id="rId118" Type="http://schemas.openxmlformats.org/officeDocument/2006/relationships/hyperlink" Target="https://www.tiktok.com/@ekbardiary" TargetMode="External"/><Relationship Id="rId117" Type="http://schemas.openxmlformats.org/officeDocument/2006/relationships/hyperlink" Target="https://vt.tiktok.com/ZSmCFFJkX/" TargetMode="External"/><Relationship Id="rId116" Type="http://schemas.openxmlformats.org/officeDocument/2006/relationships/hyperlink" Target="https://vt.tiktok.com/ZSmfpw5QQ/" TargetMode="External"/><Relationship Id="rId115" Type="http://schemas.openxmlformats.org/officeDocument/2006/relationships/hyperlink" Target="https://www.tiktok.com/@erisawahyunii" TargetMode="External"/><Relationship Id="rId119" Type="http://schemas.openxmlformats.org/officeDocument/2006/relationships/hyperlink" Target="https://vt.tiktok.com/ZSuRAQGtf/" TargetMode="External"/><Relationship Id="rId110" Type="http://schemas.openxmlformats.org/officeDocument/2006/relationships/hyperlink" Target="https://vt.tiktok.com/ZSmQPykUh/" TargetMode="External"/><Relationship Id="rId114" Type="http://schemas.openxmlformats.org/officeDocument/2006/relationships/hyperlink" Target="https://vt.tiktok.com/ZSmvJ4ERF/" TargetMode="External"/><Relationship Id="rId113" Type="http://schemas.openxmlformats.org/officeDocument/2006/relationships/hyperlink" Target="https://vt.tiktok.com/ZSmuQvEar/" TargetMode="External"/><Relationship Id="rId112" Type="http://schemas.openxmlformats.org/officeDocument/2006/relationships/hyperlink" Target="https://www.tiktok.com/@qrtlaenii_" TargetMode="External"/><Relationship Id="rId111" Type="http://schemas.openxmlformats.org/officeDocument/2006/relationships/hyperlink" Target="https://vt.tiktok.com/ZSmnsrhJv//" TargetMode="External"/><Relationship Id="rId40" Type="http://schemas.openxmlformats.org/officeDocument/2006/relationships/hyperlink" Target="https://vt.tiktok.com/ZSmjNcJJD/" TargetMode="External"/><Relationship Id="rId42" Type="http://schemas.openxmlformats.org/officeDocument/2006/relationships/hyperlink" Target="https://www.tiktok.com/@they.callmelst" TargetMode="External"/><Relationship Id="rId41" Type="http://schemas.openxmlformats.org/officeDocument/2006/relationships/hyperlink" Target="https://vt.tiktok.com/ZSmBWY9nB/" TargetMode="External"/><Relationship Id="rId44" Type="http://schemas.openxmlformats.org/officeDocument/2006/relationships/hyperlink" Target="https://vt.tiktok.com/ZSmJ79LTQ/" TargetMode="External"/><Relationship Id="rId43" Type="http://schemas.openxmlformats.org/officeDocument/2006/relationships/hyperlink" Target="https://vt.tiktok.com/ZSmJ7bWSW/" TargetMode="External"/><Relationship Id="rId46" Type="http://schemas.openxmlformats.org/officeDocument/2006/relationships/hyperlink" Target="https://vt.tiktok.com/ZSmScyfoS/" TargetMode="External"/><Relationship Id="rId45" Type="http://schemas.openxmlformats.org/officeDocument/2006/relationships/hyperlink" Target="https://www.tiktok.com/@itscendi" TargetMode="External"/><Relationship Id="rId48" Type="http://schemas.openxmlformats.org/officeDocument/2006/relationships/hyperlink" Target="https://www.tiktok.com/@gadisaries97" TargetMode="External"/><Relationship Id="rId47" Type="http://schemas.openxmlformats.org/officeDocument/2006/relationships/hyperlink" Target="https://vt.tiktok.com/ZSm5A241B/" TargetMode="External"/><Relationship Id="rId49" Type="http://schemas.openxmlformats.org/officeDocument/2006/relationships/hyperlink" Target="https://vt.tiktok.com/ZSmWCeGYe/" TargetMode="External"/><Relationship Id="rId31" Type="http://schemas.openxmlformats.org/officeDocument/2006/relationships/hyperlink" Target="https://vt.tiktok.com/ZSuVFPyg2/" TargetMode="External"/><Relationship Id="rId30" Type="http://schemas.openxmlformats.org/officeDocument/2006/relationships/hyperlink" Target="https://vt.tiktok.com/ZSm7MtFU6/" TargetMode="External"/><Relationship Id="rId33" Type="http://schemas.openxmlformats.org/officeDocument/2006/relationships/hyperlink" Target="https://www.tiktok.com/@arfatus.sh" TargetMode="External"/><Relationship Id="rId32" Type="http://schemas.openxmlformats.org/officeDocument/2006/relationships/hyperlink" Target="http://arfatus.sh" TargetMode="External"/><Relationship Id="rId35" Type="http://schemas.openxmlformats.org/officeDocument/2006/relationships/hyperlink" Target="https://vt.tiktok.com/ZSuk5vrbB/" TargetMode="External"/><Relationship Id="rId34" Type="http://schemas.openxmlformats.org/officeDocument/2006/relationships/hyperlink" Target="https://vt.tiktok.com/ZSms441hs/" TargetMode="External"/><Relationship Id="rId37" Type="http://schemas.openxmlformats.org/officeDocument/2006/relationships/hyperlink" Target="https://vt.tiktok.com/ZSmdUhF1m/" TargetMode="External"/><Relationship Id="rId36" Type="http://schemas.openxmlformats.org/officeDocument/2006/relationships/hyperlink" Target="https://www.tiktok.com/@hi_jaenaa" TargetMode="External"/><Relationship Id="rId39" Type="http://schemas.openxmlformats.org/officeDocument/2006/relationships/hyperlink" Target="https://www.tiktok.com/@sinanr18" TargetMode="External"/><Relationship Id="rId38" Type="http://schemas.openxmlformats.org/officeDocument/2006/relationships/hyperlink" Target="https://vt.tiktok.com/ZSm3fPf41/" TargetMode="External"/><Relationship Id="rId20" Type="http://schemas.openxmlformats.org/officeDocument/2006/relationships/hyperlink" Target="https://www.tiktok.com/@sunny.beaute" TargetMode="External"/><Relationship Id="rId22" Type="http://schemas.openxmlformats.org/officeDocument/2006/relationships/hyperlink" Target="https://vt.tiktok.com/ZSujB5mJM/" TargetMode="External"/><Relationship Id="rId21" Type="http://schemas.openxmlformats.org/officeDocument/2006/relationships/hyperlink" Target="https://vt.tiktok.com/ZSmWaasBh/" TargetMode="External"/><Relationship Id="rId24" Type="http://schemas.openxmlformats.org/officeDocument/2006/relationships/hyperlink" Target="https://vt.tiktok.com/ZSab5BcX5/" TargetMode="External"/><Relationship Id="rId23" Type="http://schemas.openxmlformats.org/officeDocument/2006/relationships/hyperlink" Target="https://www.tiktok.com/@sforsheilaww" TargetMode="External"/><Relationship Id="rId26" Type="http://schemas.openxmlformats.org/officeDocument/2006/relationships/hyperlink" Target="https://www.tiktok.com/@Racunversiaku" TargetMode="External"/><Relationship Id="rId25" Type="http://schemas.openxmlformats.org/officeDocument/2006/relationships/hyperlink" Target="https://vt.tiktok.com/ZSmK13rdC/" TargetMode="External"/><Relationship Id="rId28" Type="http://schemas.openxmlformats.org/officeDocument/2006/relationships/hyperlink" Target="https://vt.tiktok.com/ZSanh1af5/" TargetMode="External"/><Relationship Id="rId27" Type="http://schemas.openxmlformats.org/officeDocument/2006/relationships/hyperlink" Target="https://vt.tiktok.com/ZSanheQqu/" TargetMode="External"/><Relationship Id="rId29" Type="http://schemas.openxmlformats.org/officeDocument/2006/relationships/hyperlink" Target="https://www.tiktok.com/@Wulandarisabda" TargetMode="External"/><Relationship Id="rId11" Type="http://schemas.openxmlformats.org/officeDocument/2006/relationships/hyperlink" Target="https://vt.tiktok.com/ZSm64chj7/" TargetMode="External"/><Relationship Id="rId10" Type="http://schemas.openxmlformats.org/officeDocument/2006/relationships/hyperlink" Target="https://www.tiktok.com/@anifanadifa" TargetMode="External"/><Relationship Id="rId13" Type="http://schemas.openxmlformats.org/officeDocument/2006/relationships/hyperlink" Target="https://www.tiktok.com/@apriliakartiningsih" TargetMode="External"/><Relationship Id="rId12" Type="http://schemas.openxmlformats.org/officeDocument/2006/relationships/hyperlink" Target="https://vt.tiktok.com/ZSms4vg8V/" TargetMode="External"/><Relationship Id="rId15" Type="http://schemas.openxmlformats.org/officeDocument/2006/relationships/hyperlink" Target="https://vt.tiktok.com/ZSmffQ4gx/" TargetMode="External"/><Relationship Id="rId14" Type="http://schemas.openxmlformats.org/officeDocument/2006/relationships/hyperlink" Target="https://vt.tiktok.com/ZSawGwwWd/" TargetMode="External"/><Relationship Id="rId17" Type="http://schemas.openxmlformats.org/officeDocument/2006/relationships/hyperlink" Target="https://www.tiktok.com/@focusonmeehh" TargetMode="External"/><Relationship Id="rId16" Type="http://schemas.openxmlformats.org/officeDocument/2006/relationships/hyperlink" Target="https://vt.tiktok.com/ZS9RWEyKM/" TargetMode="External"/><Relationship Id="rId19" Type="http://schemas.openxmlformats.org/officeDocument/2006/relationships/hyperlink" Target="https://vt.tiktok.com/ZSmQB5SBV/" TargetMode="External"/><Relationship Id="rId18" Type="http://schemas.openxmlformats.org/officeDocument/2006/relationships/hyperlink" Target="https://vt.tiktok.com/ZSmj24Sps/" TargetMode="External"/><Relationship Id="rId84" Type="http://schemas.openxmlformats.org/officeDocument/2006/relationships/hyperlink" Target="https://vt.tiktok.com/ZSm56APov/" TargetMode="External"/><Relationship Id="rId83" Type="http://schemas.openxmlformats.org/officeDocument/2006/relationships/hyperlink" Target="https://www.tiktok.com/@urchocobite" TargetMode="External"/><Relationship Id="rId86" Type="http://schemas.openxmlformats.org/officeDocument/2006/relationships/hyperlink" Target="https://www.tiktok.com/@nris9" TargetMode="External"/><Relationship Id="rId85" Type="http://schemas.openxmlformats.org/officeDocument/2006/relationships/hyperlink" Target="https://vt.tiktok.com/ZSmXSF3cg/" TargetMode="External"/><Relationship Id="rId88" Type="http://schemas.openxmlformats.org/officeDocument/2006/relationships/hyperlink" Target="https://vt.tiktok.com/ZSmGocbqa/" TargetMode="External"/><Relationship Id="rId87" Type="http://schemas.openxmlformats.org/officeDocument/2006/relationships/hyperlink" Target="https://vt.tiktok.com/ZSmCqAXoG/" TargetMode="External"/><Relationship Id="rId89" Type="http://schemas.openxmlformats.org/officeDocument/2006/relationships/hyperlink" Target="https://www.tiktok.com/@armiheppii" TargetMode="External"/><Relationship Id="rId80" Type="http://schemas.openxmlformats.org/officeDocument/2006/relationships/hyperlink" Target="https://www.tiktok.com/@ssndeti" TargetMode="External"/><Relationship Id="rId82" Type="http://schemas.openxmlformats.org/officeDocument/2006/relationships/hyperlink" Target="https://vt.tiktok.com/ZSmWhEDWn/" TargetMode="External"/><Relationship Id="rId81" Type="http://schemas.openxmlformats.org/officeDocument/2006/relationships/hyperlink" Target="https://vt.tiktok.com/ZSmpwCwWM/" TargetMode="External"/><Relationship Id="rId73" Type="http://schemas.openxmlformats.org/officeDocument/2006/relationships/hyperlink" Target="https://vt.tiktok.com/ZSm4N14wY/" TargetMode="External"/><Relationship Id="rId72" Type="http://schemas.openxmlformats.org/officeDocument/2006/relationships/hyperlink" Target="https://vt.tiktok.com/ZSmh6y3VC/" TargetMode="External"/><Relationship Id="rId75" Type="http://schemas.openxmlformats.org/officeDocument/2006/relationships/hyperlink" Target="https://vt.tiktok.com/ZSmY8UnUp/" TargetMode="External"/><Relationship Id="rId74" Type="http://schemas.openxmlformats.org/officeDocument/2006/relationships/hyperlink" Target="https://www.tiktok.com/@naadeblue" TargetMode="External"/><Relationship Id="rId77" Type="http://schemas.openxmlformats.org/officeDocument/2006/relationships/hyperlink" Target="https://www.tiktok.com/@elzahiraa25" TargetMode="External"/><Relationship Id="rId76" Type="http://schemas.openxmlformats.org/officeDocument/2006/relationships/hyperlink" Target="https://vt.tiktok.com/ZSmY8mJsN/" TargetMode="External"/><Relationship Id="rId79" Type="http://schemas.openxmlformats.org/officeDocument/2006/relationships/hyperlink" Target="https://vt.tiktok.com/ZSm5VJt8V/" TargetMode="External"/><Relationship Id="rId78" Type="http://schemas.openxmlformats.org/officeDocument/2006/relationships/hyperlink" Target="https://vt.tiktok.com/ZSmYRR3Qf/" TargetMode="External"/><Relationship Id="rId71" Type="http://schemas.openxmlformats.org/officeDocument/2006/relationships/hyperlink" Target="https://www.tiktok.com/@zrshafaaaa" TargetMode="External"/><Relationship Id="rId70" Type="http://schemas.openxmlformats.org/officeDocument/2006/relationships/hyperlink" Target="https://vt.tiktok.com/ZSavuEWFf/" TargetMode="External"/><Relationship Id="rId62" Type="http://schemas.openxmlformats.org/officeDocument/2006/relationships/hyperlink" Target="https://www.tiktok.com/@dinifu1" TargetMode="External"/><Relationship Id="rId61" Type="http://schemas.openxmlformats.org/officeDocument/2006/relationships/hyperlink" Target="https://vt.tiktok.com/ZSHmBhL2X/" TargetMode="External"/><Relationship Id="rId64" Type="http://schemas.openxmlformats.org/officeDocument/2006/relationships/hyperlink" Target="https://vt.tiktok.com/ZSmW5Ek8f/" TargetMode="External"/><Relationship Id="rId63" Type="http://schemas.openxmlformats.org/officeDocument/2006/relationships/hyperlink" Target="https://vt.tiktok.com/ZSmq1BrAY/" TargetMode="External"/><Relationship Id="rId66" Type="http://schemas.openxmlformats.org/officeDocument/2006/relationships/hyperlink" Target="https://vt.tiktok.com/ZSmfQNxqF/" TargetMode="External"/><Relationship Id="rId65" Type="http://schemas.openxmlformats.org/officeDocument/2006/relationships/hyperlink" Target="https://www.tiktok.com/@queenhannisss" TargetMode="External"/><Relationship Id="rId68" Type="http://schemas.openxmlformats.org/officeDocument/2006/relationships/hyperlink" Target="https://www.tiktok.com/@melani.makeup17" TargetMode="External"/><Relationship Id="rId67" Type="http://schemas.openxmlformats.org/officeDocument/2006/relationships/hyperlink" Target="https://vt.tiktok.com/ZSmQDj2Qd/" TargetMode="External"/><Relationship Id="rId60" Type="http://schemas.openxmlformats.org/officeDocument/2006/relationships/hyperlink" Target="https://vt.tiktok.com/ZSHmk38Ey/" TargetMode="External"/><Relationship Id="rId69" Type="http://schemas.openxmlformats.org/officeDocument/2006/relationships/hyperlink" Target="https://vt.tiktok.com/ZSatUQUfR/" TargetMode="External"/><Relationship Id="rId51" Type="http://schemas.openxmlformats.org/officeDocument/2006/relationships/hyperlink" Target="https://www.tiktok.com/@dvirh9" TargetMode="External"/><Relationship Id="rId50" Type="http://schemas.openxmlformats.org/officeDocument/2006/relationships/hyperlink" Target="https://vt.tiktok.com/ZSu6JLJUK/" TargetMode="External"/><Relationship Id="rId53" Type="http://schemas.openxmlformats.org/officeDocument/2006/relationships/hyperlink" Target="https://vt.tiktok.com/ZSm2cQctq/" TargetMode="External"/><Relationship Id="rId52" Type="http://schemas.openxmlformats.org/officeDocument/2006/relationships/hyperlink" Target="https://vt.tiktok.com/ZSagHMUrQ/" TargetMode="External"/><Relationship Id="rId55" Type="http://schemas.openxmlformats.org/officeDocument/2006/relationships/hyperlink" Target="https://vt.tiktok.com/ZSm5PRGE7/" TargetMode="External"/><Relationship Id="rId54" Type="http://schemas.openxmlformats.org/officeDocument/2006/relationships/hyperlink" Target="https://www.tiktok.com/@beautysan_" TargetMode="External"/><Relationship Id="rId57" Type="http://schemas.openxmlformats.org/officeDocument/2006/relationships/hyperlink" Target="https://www.tiktok.com/@liayulianti1278" TargetMode="External"/><Relationship Id="rId56" Type="http://schemas.openxmlformats.org/officeDocument/2006/relationships/hyperlink" Target="https://vt.tiktok.com/ZSmqkw9Hp/" TargetMode="External"/><Relationship Id="rId59" Type="http://schemas.openxmlformats.org/officeDocument/2006/relationships/hyperlink" Target="https://vt.tiktok.com/ZSuJgvEDX/" TargetMode="External"/><Relationship Id="rId58" Type="http://schemas.openxmlformats.org/officeDocument/2006/relationships/hyperlink" Target="https://vt.tiktok.com/ZSmY1sS1X/" TargetMode="External"/><Relationship Id="rId95" Type="http://schemas.openxmlformats.org/officeDocument/2006/relationships/hyperlink" Target="https://www.tiktok.com/@thya_pookie" TargetMode="External"/><Relationship Id="rId94" Type="http://schemas.openxmlformats.org/officeDocument/2006/relationships/hyperlink" Target="https://vt.tiktok.com/ZSmQXYk8S/" TargetMode="External"/><Relationship Id="rId97" Type="http://schemas.openxmlformats.org/officeDocument/2006/relationships/hyperlink" Target="https://vt.tiktok.com/ZSmf34mya/" TargetMode="External"/><Relationship Id="rId96" Type="http://schemas.openxmlformats.org/officeDocument/2006/relationships/hyperlink" Target="https://vt.tiktok.com/ZSmBrfdYM/" TargetMode="External"/><Relationship Id="rId99" Type="http://schemas.openxmlformats.org/officeDocument/2006/relationships/hyperlink" Target="https://vt.tiktok.com/ZSuXycYjU/" TargetMode="External"/><Relationship Id="rId98" Type="http://schemas.openxmlformats.org/officeDocument/2006/relationships/hyperlink" Target="https://www.tiktok.com/@ridathoughts" TargetMode="External"/><Relationship Id="rId91" Type="http://schemas.openxmlformats.org/officeDocument/2006/relationships/hyperlink" Target="https://vt.tiktok.com/ZSHgoYbqm/" TargetMode="External"/><Relationship Id="rId90" Type="http://schemas.openxmlformats.org/officeDocument/2006/relationships/hyperlink" Target="https://vt.tiktok.com/ZSmgHRDuc/" TargetMode="External"/><Relationship Id="rId93" Type="http://schemas.openxmlformats.org/officeDocument/2006/relationships/hyperlink" Target="https://vt.tiktok.com/ZSmhAUXH4/" TargetMode="External"/><Relationship Id="rId92" Type="http://schemas.openxmlformats.org/officeDocument/2006/relationships/hyperlink" Target="https://www.tiktok.com/@septiaammelia" TargetMode="External"/><Relationship Id="rId217" Type="http://schemas.openxmlformats.org/officeDocument/2006/relationships/hyperlink" Target="https://vt.tiktok.com/ZSuykgtDj/" TargetMode="External"/><Relationship Id="rId216" Type="http://schemas.openxmlformats.org/officeDocument/2006/relationships/hyperlink" Target="https://www.tiktok.com/@itsyeeelllaaa" TargetMode="External"/><Relationship Id="rId215" Type="http://schemas.openxmlformats.org/officeDocument/2006/relationships/hyperlink" Target="https://vt.tiktok.com/ZSHm82AgY/" TargetMode="External"/><Relationship Id="rId214" Type="http://schemas.openxmlformats.org/officeDocument/2006/relationships/hyperlink" Target="https://vt.tiktok.com/ZSH8tNB1a/" TargetMode="External"/><Relationship Id="rId219" Type="http://schemas.openxmlformats.org/officeDocument/2006/relationships/drawing" Target="../drawings/drawing20.xml"/><Relationship Id="rId218" Type="http://schemas.openxmlformats.org/officeDocument/2006/relationships/hyperlink" Target="https://vt.tiktok.com/ZSuyksMog/" TargetMode="External"/><Relationship Id="rId213" Type="http://schemas.openxmlformats.org/officeDocument/2006/relationships/hyperlink" Target="https://www.tiktok.com/@euis.nry" TargetMode="External"/><Relationship Id="rId212" Type="http://schemas.openxmlformats.org/officeDocument/2006/relationships/hyperlink" Target="https://vt.tiktok.com/ZSuH9VvX7/" TargetMode="External"/><Relationship Id="rId211" Type="http://schemas.openxmlformats.org/officeDocument/2006/relationships/hyperlink" Target="https://vt.tiktok.com/ZSuBAMftD/" TargetMode="External"/><Relationship Id="rId210" Type="http://schemas.openxmlformats.org/officeDocument/2006/relationships/hyperlink" Target="https://www.tiktok.com/@Rnggrn_" TargetMode="External"/><Relationship Id="rId206" Type="http://schemas.openxmlformats.org/officeDocument/2006/relationships/hyperlink" Target="https://vt.tiktok.com/ZSu9mGXgA/" TargetMode="External"/><Relationship Id="rId205" Type="http://schemas.openxmlformats.org/officeDocument/2006/relationships/hyperlink" Target="https://vt.tiktok.com/ZSuk9HTt8/" TargetMode="External"/><Relationship Id="rId204" Type="http://schemas.openxmlformats.org/officeDocument/2006/relationships/hyperlink" Target="https://www.tiktok.com/@indribilal25" TargetMode="External"/><Relationship Id="rId203" Type="http://schemas.openxmlformats.org/officeDocument/2006/relationships/hyperlink" Target="https://vt.tiktok.com/ZSmosNhAL/" TargetMode="External"/><Relationship Id="rId209" Type="http://schemas.openxmlformats.org/officeDocument/2006/relationships/hyperlink" Target="https://www.tiktok.com/@hixybinn/video/7626699638187248916?_d=" TargetMode="External"/><Relationship Id="rId208" Type="http://schemas.openxmlformats.org/officeDocument/2006/relationships/hyperlink" Target="https://vt.tiktok.com/ZSHa5o4J3/" TargetMode="External"/><Relationship Id="rId207" Type="http://schemas.openxmlformats.org/officeDocument/2006/relationships/hyperlink" Target="https://www.tiktok.com/@hixybinn" TargetMode="External"/><Relationship Id="rId202" Type="http://schemas.openxmlformats.org/officeDocument/2006/relationships/hyperlink" Target="https://vt.tiktok.com/ZSmKSvGuW/" TargetMode="External"/><Relationship Id="rId201" Type="http://schemas.openxmlformats.org/officeDocument/2006/relationships/hyperlink" Target="https://www.tiktok.com/@weni_ilham" TargetMode="External"/><Relationship Id="rId200" Type="http://schemas.openxmlformats.org/officeDocument/2006/relationships/hyperlink" Target="https://vt.tiktok.com/ZSuRWUwMK/" TargetMode="External"/><Relationship Id="rId1" Type="http://schemas.openxmlformats.org/officeDocument/2006/relationships/hyperlink" Target="https://www.tiktok.com/@_ikaawdwnty" TargetMode="External"/><Relationship Id="rId2" Type="http://schemas.openxmlformats.org/officeDocument/2006/relationships/hyperlink" Target="https://vt.tiktok.com/ZSmf7CG6q/" TargetMode="External"/><Relationship Id="rId3" Type="http://schemas.openxmlformats.org/officeDocument/2006/relationships/hyperlink" Target="https://vt.tiktok.com/ZSmGaGoTt/" TargetMode="External"/><Relationship Id="rId4" Type="http://schemas.openxmlformats.org/officeDocument/2006/relationships/hyperlink" Target="https://www.tiktok.com/@justnedder" TargetMode="External"/><Relationship Id="rId9" Type="http://schemas.openxmlformats.org/officeDocument/2006/relationships/hyperlink" Target="https://vt.tiktok.com/ZSm3RQbpL/" TargetMode="External"/><Relationship Id="rId5" Type="http://schemas.openxmlformats.org/officeDocument/2006/relationships/hyperlink" Target="https://vt.tiktok.com/ZSHpmmuUe/" TargetMode="External"/><Relationship Id="rId6" Type="http://schemas.openxmlformats.org/officeDocument/2006/relationships/hyperlink" Target="https://vt.tiktok.com/ZSmEccNGL/" TargetMode="External"/><Relationship Id="rId7" Type="http://schemas.openxmlformats.org/officeDocument/2006/relationships/hyperlink" Target="https://www.tiktok.com/@medumee" TargetMode="External"/><Relationship Id="rId8" Type="http://schemas.openxmlformats.org/officeDocument/2006/relationships/hyperlink" Target="https://vt.tiktok.com/ZSmGrXdTv/" TargetMode="External"/></Relationships>
</file>

<file path=xl/worksheets/_rels/sheet2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tiktok.com/@melani.makeup17" TargetMode="External"/><Relationship Id="rId194" Type="http://schemas.openxmlformats.org/officeDocument/2006/relationships/hyperlink" Target="https://www.tiktok.com/@isanrbr" TargetMode="External"/><Relationship Id="rId193" Type="http://schemas.openxmlformats.org/officeDocument/2006/relationships/hyperlink" Target="https://www.tiktok.com/@glowupwithacan" TargetMode="External"/><Relationship Id="rId192" Type="http://schemas.openxmlformats.org/officeDocument/2006/relationships/hyperlink" Target="https://www.tiktok.com/@workoutbulk" TargetMode="External"/><Relationship Id="rId191" Type="http://schemas.openxmlformats.org/officeDocument/2006/relationships/hyperlink" Target="https://www.tiktok.com/@edugrooming" TargetMode="External"/><Relationship Id="rId187" Type="http://schemas.openxmlformats.org/officeDocument/2006/relationships/hyperlink" Target="https://www.tiktok.com/@tiarasabirin6" TargetMode="External"/><Relationship Id="rId186" Type="http://schemas.openxmlformats.org/officeDocument/2006/relationships/hyperlink" Target="https://www.tiktok.com/@denis.park_" TargetMode="External"/><Relationship Id="rId185" Type="http://schemas.openxmlformats.org/officeDocument/2006/relationships/hyperlink" Target="https://www.tiktok.com/@anjelina5600" TargetMode="External"/><Relationship Id="rId184" Type="http://schemas.openxmlformats.org/officeDocument/2006/relationships/hyperlink" Target="https://www.tiktok.com/@afira.sya" TargetMode="External"/><Relationship Id="rId189" Type="http://schemas.openxmlformats.org/officeDocument/2006/relationships/hyperlink" Target="https://www.tiktok.com/@azahrahf" TargetMode="External"/><Relationship Id="rId188" Type="http://schemas.openxmlformats.org/officeDocument/2006/relationships/hyperlink" Target="https://www.tiktok.com/@yanti_nainggolan" TargetMode="External"/><Relationship Id="rId183" Type="http://schemas.openxmlformats.org/officeDocument/2006/relationships/hyperlink" Target="https://www.tiktok.com/@itscendi" TargetMode="External"/><Relationship Id="rId182" Type="http://schemas.openxmlformats.org/officeDocument/2006/relationships/hyperlink" Target="https://www.tiktok.com/@henry.ijo" TargetMode="External"/><Relationship Id="rId181" Type="http://schemas.openxmlformats.org/officeDocument/2006/relationships/hyperlink" Target="https://www.tiktok.com/@muzovi_610" TargetMode="External"/><Relationship Id="rId180" Type="http://schemas.openxmlformats.org/officeDocument/2006/relationships/hyperlink" Target="https://www.tiktok.com/@bangglowmen" TargetMode="External"/><Relationship Id="rId176" Type="http://schemas.openxmlformats.org/officeDocument/2006/relationships/hyperlink" Target="https://www.tiktok.com/@jangudy" TargetMode="External"/><Relationship Id="rId175" Type="http://schemas.openxmlformats.org/officeDocument/2006/relationships/hyperlink" Target="https://www.tiktok.com/@ryzexin2" TargetMode="External"/><Relationship Id="rId174" Type="http://schemas.openxmlformats.org/officeDocument/2006/relationships/hyperlink" Target="https://www.tiktok.com/@cakmanofficialll" TargetMode="External"/><Relationship Id="rId173" Type="http://schemas.openxmlformats.org/officeDocument/2006/relationships/hyperlink" Target="https://www.tiktok.com/@malikalter" TargetMode="External"/><Relationship Id="rId179" Type="http://schemas.openxmlformats.org/officeDocument/2006/relationships/hyperlink" Target="https://www.tiktok.com/@akunkentangku1" TargetMode="External"/><Relationship Id="rId178" Type="http://schemas.openxmlformats.org/officeDocument/2006/relationships/hyperlink" Target="https://www.tiktok.com/@laksapro26" TargetMode="External"/><Relationship Id="rId177" Type="http://schemas.openxmlformats.org/officeDocument/2006/relationships/hyperlink" Target="https://www.tiktok.com/@_daffanr" TargetMode="External"/><Relationship Id="rId198" Type="http://schemas.openxmlformats.org/officeDocument/2006/relationships/hyperlink" Target="https://www.tiktok.com/@rizky_dino" TargetMode="External"/><Relationship Id="rId197" Type="http://schemas.openxmlformats.org/officeDocument/2006/relationships/hyperlink" Target="https://www.tiktok.com/@masmore2" TargetMode="External"/><Relationship Id="rId196" Type="http://schemas.openxmlformats.org/officeDocument/2006/relationships/hyperlink" Target="https://www.tiktok.com/@.beniakbar" TargetMode="External"/><Relationship Id="rId195" Type="http://schemas.openxmlformats.org/officeDocument/2006/relationships/hyperlink" Target="https://www.tiktok.com/@daznyy" TargetMode="External"/><Relationship Id="rId199" Type="http://schemas.openxmlformats.org/officeDocument/2006/relationships/hyperlink" Target="https://www.tiktok.com/@itral8" TargetMode="External"/><Relationship Id="rId150" Type="http://schemas.openxmlformats.org/officeDocument/2006/relationships/hyperlink" Target="https://www.tiktok.com/@muhannah.fitria" TargetMode="External"/><Relationship Id="rId149" Type="http://schemas.openxmlformats.org/officeDocument/2006/relationships/hyperlink" Target="https://www.tiktok.com/@nnfshah" TargetMode="External"/><Relationship Id="rId148" Type="http://schemas.openxmlformats.org/officeDocument/2006/relationships/hyperlink" Target="https://www.tiktok.com/@anotherbinaa_" TargetMode="External"/><Relationship Id="rId143" Type="http://schemas.openxmlformats.org/officeDocument/2006/relationships/hyperlink" Target="https://www.tiktok.com/@kakaklin_" TargetMode="External"/><Relationship Id="rId142" Type="http://schemas.openxmlformats.org/officeDocument/2006/relationships/hyperlink" Target="https://www.tiktok.com/@choconad22" TargetMode="External"/><Relationship Id="rId141" Type="http://schemas.openxmlformats.org/officeDocument/2006/relationships/hyperlink" Target="https://www.tiktok.com/@ncaaaaaaa24_" TargetMode="External"/><Relationship Id="rId140" Type="http://schemas.openxmlformats.org/officeDocument/2006/relationships/hyperlink" Target="https://www.tiktok.com/@pian.s7" TargetMode="External"/><Relationship Id="rId147" Type="http://schemas.openxmlformats.org/officeDocument/2006/relationships/hyperlink" Target="https://www.tiktok.com/@intnwulnn_" TargetMode="External"/><Relationship Id="rId146" Type="http://schemas.openxmlformats.org/officeDocument/2006/relationships/hyperlink" Target="https://www.tiktok.com/@hayndep" TargetMode="External"/><Relationship Id="rId145" Type="http://schemas.openxmlformats.org/officeDocument/2006/relationships/hyperlink" Target="https://www.tiktok.com/@fhateeem" TargetMode="External"/><Relationship Id="rId144" Type="http://schemas.openxmlformats.org/officeDocument/2006/relationships/hyperlink" Target="https://www.tiktok.com/@beningtyasw" TargetMode="External"/><Relationship Id="rId139" Type="http://schemas.openxmlformats.org/officeDocument/2006/relationships/hyperlink" Target="https://www.tiktok.com/@browwyyy8" TargetMode="External"/><Relationship Id="rId138" Type="http://schemas.openxmlformats.org/officeDocument/2006/relationships/hyperlink" Target="https://www.tiktok.com/@lilis_sfr" TargetMode="External"/><Relationship Id="rId137" Type="http://schemas.openxmlformats.org/officeDocument/2006/relationships/hyperlink" Target="https://www.tiktok.com/@ekbardiary" TargetMode="External"/><Relationship Id="rId132" Type="http://schemas.openxmlformats.org/officeDocument/2006/relationships/hyperlink" Target="https://www.tiktok.com/@si.imel" TargetMode="External"/><Relationship Id="rId131" Type="http://schemas.openxmlformats.org/officeDocument/2006/relationships/hyperlink" Target="https://www.tiktok.com/@liansseptiana" TargetMode="External"/><Relationship Id="rId130" Type="http://schemas.openxmlformats.org/officeDocument/2006/relationships/hyperlink" Target="https://www.tiktok.com/@shavirapuspitacitra" TargetMode="External"/><Relationship Id="rId136" Type="http://schemas.openxmlformats.org/officeDocument/2006/relationships/hyperlink" Target="https://www.tiktok.com/@mia07024" TargetMode="External"/><Relationship Id="rId135" Type="http://schemas.openxmlformats.org/officeDocument/2006/relationships/hyperlink" Target="https://www.tiktok.com/@deni_febrianti2" TargetMode="External"/><Relationship Id="rId134" Type="http://schemas.openxmlformats.org/officeDocument/2006/relationships/hyperlink" Target="https://www.tiktok.com/@vansswan" TargetMode="External"/><Relationship Id="rId133" Type="http://schemas.openxmlformats.org/officeDocument/2006/relationships/hyperlink" Target="https://www.tiktok.com/@shand_id" TargetMode="External"/><Relationship Id="rId172" Type="http://schemas.openxmlformats.org/officeDocument/2006/relationships/hyperlink" Target="https://www.tiktok.com/@otwhulk_" TargetMode="External"/><Relationship Id="rId171" Type="http://schemas.openxmlformats.org/officeDocument/2006/relationships/hyperlink" Target="https://www.tiktok.com/@dsmanlase" TargetMode="External"/><Relationship Id="rId170" Type="http://schemas.openxmlformats.org/officeDocument/2006/relationships/hyperlink" Target="https://www.tiktok.com/@panderismad" TargetMode="External"/><Relationship Id="rId165" Type="http://schemas.openxmlformats.org/officeDocument/2006/relationships/hyperlink" Target="https://www.tiktok.com/@zzaaerr" TargetMode="External"/><Relationship Id="rId164" Type="http://schemas.openxmlformats.org/officeDocument/2006/relationships/hyperlink" Target="https://www.tiktok.com/@naomiifarsya" TargetMode="External"/><Relationship Id="rId163" Type="http://schemas.openxmlformats.org/officeDocument/2006/relationships/hyperlink" Target="https://www.tiktok.com/@dian.wulan_sari" TargetMode="External"/><Relationship Id="rId162" Type="http://schemas.openxmlformats.org/officeDocument/2006/relationships/hyperlink" Target="https://www.tiktok.com/@racunnya_riska" TargetMode="External"/><Relationship Id="rId169" Type="http://schemas.openxmlformats.org/officeDocument/2006/relationships/hyperlink" Target="https://www.tiktok.com/@kalefried" TargetMode="External"/><Relationship Id="rId168" Type="http://schemas.openxmlformats.org/officeDocument/2006/relationships/hyperlink" Target="https://www.tiktok.com/@ayub.indra" TargetMode="External"/><Relationship Id="rId167" Type="http://schemas.openxmlformats.org/officeDocument/2006/relationships/hyperlink" Target="https://vt.tiktok.com/ZSQ2UQoxu/" TargetMode="External"/><Relationship Id="rId166" Type="http://schemas.openxmlformats.org/officeDocument/2006/relationships/hyperlink" Target="https://www.tiktok.com/@jimmy.hen" TargetMode="External"/><Relationship Id="rId161" Type="http://schemas.openxmlformats.org/officeDocument/2006/relationships/hyperlink" Target="https://www.tiktok.com/@lala41376" TargetMode="External"/><Relationship Id="rId160" Type="http://schemas.openxmlformats.org/officeDocument/2006/relationships/hyperlink" Target="https://www.tiktok.com/@jinggaradiksaa" TargetMode="External"/><Relationship Id="rId159" Type="http://schemas.openxmlformats.org/officeDocument/2006/relationships/hyperlink" Target="https://www.tiktok.com/@beautystore.officia" TargetMode="External"/><Relationship Id="rId154" Type="http://schemas.openxmlformats.org/officeDocument/2006/relationships/hyperlink" Target="https://www.tiktok.com/@pptlktskm" TargetMode="External"/><Relationship Id="rId153" Type="http://schemas.openxmlformats.org/officeDocument/2006/relationships/hyperlink" Target="https://www.tiktok.com/@papiipaw" TargetMode="External"/><Relationship Id="rId152" Type="http://schemas.openxmlformats.org/officeDocument/2006/relationships/hyperlink" Target="https://www.tiktok.com/@nanadd0.7" TargetMode="External"/><Relationship Id="rId151" Type="http://schemas.openxmlformats.org/officeDocument/2006/relationships/hyperlink" Target="https://www.tiktok.com/@liansseptiana" TargetMode="External"/><Relationship Id="rId158" Type="http://schemas.openxmlformats.org/officeDocument/2006/relationships/hyperlink" Target="https://www.tiktok.com/@tokomama08_" TargetMode="External"/><Relationship Id="rId157" Type="http://schemas.openxmlformats.org/officeDocument/2006/relationships/hyperlink" Target="https://www.tiktok.com/@racuntiktokarrahmi" TargetMode="External"/><Relationship Id="rId156" Type="http://schemas.openxmlformats.org/officeDocument/2006/relationships/hyperlink" Target="https://www.tiktok.com/@puspitajasmine26" TargetMode="External"/><Relationship Id="rId155" Type="http://schemas.openxmlformats.org/officeDocument/2006/relationships/hyperlink" Target="https://www.tiktok.com/@anyagabrielles" TargetMode="External"/><Relationship Id="rId107" Type="http://schemas.openxmlformats.org/officeDocument/2006/relationships/hyperlink" Target="https://www.tiktok.com/@tika_dewi027" TargetMode="External"/><Relationship Id="rId106" Type="http://schemas.openxmlformats.org/officeDocument/2006/relationships/hyperlink" Target="https://vt.tiktok.com/ZSxXkrqNF/" TargetMode="External"/><Relationship Id="rId105" Type="http://schemas.openxmlformats.org/officeDocument/2006/relationships/hyperlink" Target="https://www.tiktok.com/@dindaaprd_" TargetMode="External"/><Relationship Id="rId104" Type="http://schemas.openxmlformats.org/officeDocument/2006/relationships/hyperlink" Target="https://vt.tiktok.com/ZSxxPWdUQ/" TargetMode="External"/><Relationship Id="rId109" Type="http://schemas.openxmlformats.org/officeDocument/2006/relationships/hyperlink" Target="https://vt.tiktok.com/ZSQLtC62H/" TargetMode="External"/><Relationship Id="rId108" Type="http://schemas.openxmlformats.org/officeDocument/2006/relationships/hyperlink" Target="https://vt.tiktok.com/ZSxGXJ9K6/" TargetMode="External"/><Relationship Id="rId103" Type="http://schemas.openxmlformats.org/officeDocument/2006/relationships/hyperlink" Target="https://www.tiktok.com/@sellaaaalala" TargetMode="External"/><Relationship Id="rId102" Type="http://schemas.openxmlformats.org/officeDocument/2006/relationships/hyperlink" Target="https://vt.tiktok.com/ZSx3oCpR6/" TargetMode="External"/><Relationship Id="rId101" Type="http://schemas.openxmlformats.org/officeDocument/2006/relationships/hyperlink" Target="https://vt.tiktok.com/ZSxqvJfJb/" TargetMode="External"/><Relationship Id="rId100" Type="http://schemas.openxmlformats.org/officeDocument/2006/relationships/hyperlink" Target="https://www.tiktok.com/@mayanadiaa" TargetMode="External"/><Relationship Id="rId129" Type="http://schemas.openxmlformats.org/officeDocument/2006/relationships/hyperlink" Target="https://www.tiktok.com/@chaaaajalahyah" TargetMode="External"/><Relationship Id="rId128" Type="http://schemas.openxmlformats.org/officeDocument/2006/relationships/hyperlink" Target="https://www.tiktok.com/@ncaaaaaaa24_" TargetMode="External"/><Relationship Id="rId127" Type="http://schemas.openxmlformats.org/officeDocument/2006/relationships/hyperlink" Target="https://vt.tiktok.com/ZSQNgEPCf/" TargetMode="External"/><Relationship Id="rId126" Type="http://schemas.openxmlformats.org/officeDocument/2006/relationships/hyperlink" Target="https://www.tiktok.com/@zihanokta" TargetMode="External"/><Relationship Id="rId121" Type="http://schemas.openxmlformats.org/officeDocument/2006/relationships/hyperlink" Target="https://vt.tiktok.com/ZSxrRcLG3/" TargetMode="External"/><Relationship Id="rId120" Type="http://schemas.openxmlformats.org/officeDocument/2006/relationships/hyperlink" Target="https://www.tiktok.com/@cipawwanisa" TargetMode="External"/><Relationship Id="rId125" Type="http://schemas.openxmlformats.org/officeDocument/2006/relationships/hyperlink" Target="https://www.tiktok.com/@yuliimawth" TargetMode="External"/><Relationship Id="rId124" Type="http://schemas.openxmlformats.org/officeDocument/2006/relationships/hyperlink" Target="https://vt.tiktok.com/ZSxqCXECD/" TargetMode="External"/><Relationship Id="rId123" Type="http://schemas.openxmlformats.org/officeDocument/2006/relationships/hyperlink" Target="https://www.tiktok.com/@lehabottoh" TargetMode="External"/><Relationship Id="rId122" Type="http://schemas.openxmlformats.org/officeDocument/2006/relationships/hyperlink" Target="https://www.tiktok.com/@eristaaa03" TargetMode="External"/><Relationship Id="rId118" Type="http://schemas.openxmlformats.org/officeDocument/2006/relationships/hyperlink" Target="https://www.tiktok.com/@alviradevikaa" TargetMode="External"/><Relationship Id="rId117" Type="http://schemas.openxmlformats.org/officeDocument/2006/relationships/hyperlink" Target="https://www.tiktok.com/@ditaanindhita12" TargetMode="External"/><Relationship Id="rId116" Type="http://schemas.openxmlformats.org/officeDocument/2006/relationships/hyperlink" Target="https://www.tiktok.com/@_putriitidurr_" TargetMode="External"/><Relationship Id="rId115" Type="http://schemas.openxmlformats.org/officeDocument/2006/relationships/hyperlink" Target="https://www.tiktok.com/@byfloe_" TargetMode="External"/><Relationship Id="rId119" Type="http://schemas.openxmlformats.org/officeDocument/2006/relationships/hyperlink" Target="https://www.tiktok.com/@unboxingtime___" TargetMode="External"/><Relationship Id="rId110" Type="http://schemas.openxmlformats.org/officeDocument/2006/relationships/hyperlink" Target="https://www.tiktok.com/@salwanarulita" TargetMode="External"/><Relationship Id="rId114" Type="http://schemas.openxmlformats.org/officeDocument/2006/relationships/hyperlink" Target="https://vt.tiktok.com/ZSxakPyMp/" TargetMode="External"/><Relationship Id="rId113" Type="http://schemas.openxmlformats.org/officeDocument/2006/relationships/hyperlink" Target="https://www.tiktok.com/@stvncae" TargetMode="External"/><Relationship Id="rId112" Type="http://schemas.openxmlformats.org/officeDocument/2006/relationships/hyperlink" Target="https://vt.tiktok.com/ZSQNpvcvk/" TargetMode="External"/><Relationship Id="rId111" Type="http://schemas.openxmlformats.org/officeDocument/2006/relationships/hyperlink" Target="https://vt.tiktok.com/ZSxpAj1A3/" TargetMode="External"/><Relationship Id="rId40" Type="http://schemas.openxmlformats.org/officeDocument/2006/relationships/hyperlink" Target="https://www.tiktok.com/@ngasihtaukamu" TargetMode="External"/><Relationship Id="rId42" Type="http://schemas.openxmlformats.org/officeDocument/2006/relationships/hyperlink" Target="https://vt.tiktok.com/ZSxV7F9ve/" TargetMode="External"/><Relationship Id="rId41" Type="http://schemas.openxmlformats.org/officeDocument/2006/relationships/hyperlink" Target="https://www.tiktok.com/@mayang_skincare" TargetMode="External"/><Relationship Id="rId44" Type="http://schemas.openxmlformats.org/officeDocument/2006/relationships/hyperlink" Target="https://vt.tiktok.com/ZSxV7A14k/" TargetMode="External"/><Relationship Id="rId43" Type="http://schemas.openxmlformats.org/officeDocument/2006/relationships/hyperlink" Target="https://vt.tiktok.com/ZSxV7NHVr/" TargetMode="External"/><Relationship Id="rId46" Type="http://schemas.openxmlformats.org/officeDocument/2006/relationships/hyperlink" Target="https://www.tiktok.com/@veyoyo" TargetMode="External"/><Relationship Id="rId45" Type="http://schemas.openxmlformats.org/officeDocument/2006/relationships/hyperlink" Target="https://vt.tiktok.com/ZSxVv6mSY/" TargetMode="External"/><Relationship Id="rId48" Type="http://schemas.openxmlformats.org/officeDocument/2006/relationships/hyperlink" Target="https://www.tiktok.com/@anita_ramantaboutique" TargetMode="External"/><Relationship Id="rId47" Type="http://schemas.openxmlformats.org/officeDocument/2006/relationships/hyperlink" Target="https://www.tiktok.com/@nnden72" TargetMode="External"/><Relationship Id="rId49" Type="http://schemas.openxmlformats.org/officeDocument/2006/relationships/hyperlink" Target="https://www.tiktok.com/@indhsaa___" TargetMode="External"/><Relationship Id="rId31" Type="http://schemas.openxmlformats.org/officeDocument/2006/relationships/hyperlink" Target="https://vt.tiktok.com/ZSxbm3hva/" TargetMode="External"/><Relationship Id="rId30" Type="http://schemas.openxmlformats.org/officeDocument/2006/relationships/hyperlink" Target="https://www.tiktok.com/@angelmatondang14" TargetMode="External"/><Relationship Id="rId33" Type="http://schemas.openxmlformats.org/officeDocument/2006/relationships/hyperlink" Target="https://vt.tiktok.com/ZSQ2Asg7a/" TargetMode="External"/><Relationship Id="rId32" Type="http://schemas.openxmlformats.org/officeDocument/2006/relationships/hyperlink" Target="https://vt.tiktok.com/ZSxGknCND/" TargetMode="External"/><Relationship Id="rId35" Type="http://schemas.openxmlformats.org/officeDocument/2006/relationships/hyperlink" Target="https://vt.tiktok.com/ZSxt2Txe6/" TargetMode="External"/><Relationship Id="rId34" Type="http://schemas.openxmlformats.org/officeDocument/2006/relationships/hyperlink" Target="https://www.tiktok.com/@marizarizka_" TargetMode="External"/><Relationship Id="rId37" Type="http://schemas.openxmlformats.org/officeDocument/2006/relationships/hyperlink" Target="https://www.tiktok.com/@tesazakia" TargetMode="External"/><Relationship Id="rId36" Type="http://schemas.openxmlformats.org/officeDocument/2006/relationships/hyperlink" Target="https://www.tiktok.com/@bbydreamer93" TargetMode="External"/><Relationship Id="rId39" Type="http://schemas.openxmlformats.org/officeDocument/2006/relationships/hyperlink" Target="https://vt.tiktok.com/ZSQeHc4NF/" TargetMode="External"/><Relationship Id="rId38" Type="http://schemas.openxmlformats.org/officeDocument/2006/relationships/hyperlink" Target="https://vt.tiktok.com/ZSxAFduRm/" TargetMode="External"/><Relationship Id="rId20" Type="http://schemas.openxmlformats.org/officeDocument/2006/relationships/hyperlink" Target="https://vt.tiktok.com/ZSx27Gbuq/" TargetMode="External"/><Relationship Id="rId22" Type="http://schemas.openxmlformats.org/officeDocument/2006/relationships/hyperlink" Target="https://vt.tiktok.com/ZSQeM4pdP/" TargetMode="External"/><Relationship Id="rId21" Type="http://schemas.openxmlformats.org/officeDocument/2006/relationships/hyperlink" Target="https://www.tiktok.com/@nurnnyas" TargetMode="External"/><Relationship Id="rId24" Type="http://schemas.openxmlformats.org/officeDocument/2006/relationships/hyperlink" Target="https://www.tiktok.com/@popynoviana_" TargetMode="External"/><Relationship Id="rId23" Type="http://schemas.openxmlformats.org/officeDocument/2006/relationships/hyperlink" Target="https://vt.tiktok.com/ZSQMcoKcB/" TargetMode="External"/><Relationship Id="rId26" Type="http://schemas.openxmlformats.org/officeDocument/2006/relationships/hyperlink" Target="https://www.tiktok.com/@fitrianahisnainy" TargetMode="External"/><Relationship Id="rId25" Type="http://schemas.openxmlformats.org/officeDocument/2006/relationships/hyperlink" Target="https://vt.tiktok.com/ZS945pAY6/" TargetMode="External"/><Relationship Id="rId28" Type="http://schemas.openxmlformats.org/officeDocument/2006/relationships/hyperlink" Target="https://vt.tiktok.com/ZSxABmas1/" TargetMode="External"/><Relationship Id="rId27" Type="http://schemas.openxmlformats.org/officeDocument/2006/relationships/hyperlink" Target="https://vt.tiktok.com/ZS9KVLQuD/" TargetMode="External"/><Relationship Id="rId29" Type="http://schemas.openxmlformats.org/officeDocument/2006/relationships/hyperlink" Target="https://www.tiktok.com/@dinifu1" TargetMode="External"/><Relationship Id="rId11" Type="http://schemas.openxmlformats.org/officeDocument/2006/relationships/hyperlink" Target="https://www.tiktok.com/@storyandine" TargetMode="External"/><Relationship Id="rId10" Type="http://schemas.openxmlformats.org/officeDocument/2006/relationships/hyperlink" Target="https://vt.tiktok.com/ZSxDJetqq/" TargetMode="External"/><Relationship Id="rId13" Type="http://schemas.openxmlformats.org/officeDocument/2006/relationships/hyperlink" Target="https://vt.tiktok.com/ZS9fBb4kV/" TargetMode="External"/><Relationship Id="rId12" Type="http://schemas.openxmlformats.org/officeDocument/2006/relationships/hyperlink" Target="https://www.tiktok.com/@liayulianti1278" TargetMode="External"/><Relationship Id="rId15" Type="http://schemas.openxmlformats.org/officeDocument/2006/relationships/hyperlink" Target="https://vt.tiktok.com/ZS9fBQrbe/" TargetMode="External"/><Relationship Id="rId14" Type="http://schemas.openxmlformats.org/officeDocument/2006/relationships/hyperlink" Target="https://vt.tiktok.com/ZS9fBkfNS/" TargetMode="External"/><Relationship Id="rId17" Type="http://schemas.openxmlformats.org/officeDocument/2006/relationships/hyperlink" Target="https://vt.tiktok.com/ZS9fBmQA5/" TargetMode="External"/><Relationship Id="rId16" Type="http://schemas.openxmlformats.org/officeDocument/2006/relationships/hyperlink" Target="https://vt.tiktok.com/ZS9fBmQA5/" TargetMode="External"/><Relationship Id="rId19" Type="http://schemas.openxmlformats.org/officeDocument/2006/relationships/hyperlink" Target="https://vt.tiktok.com/ZS9gVGRbN/" TargetMode="External"/><Relationship Id="rId18" Type="http://schemas.openxmlformats.org/officeDocument/2006/relationships/hyperlink" Target="https://www.tiktok.com/@nris9" TargetMode="External"/><Relationship Id="rId84" Type="http://schemas.openxmlformats.org/officeDocument/2006/relationships/hyperlink" Target="https://www.tiktok.com/@saefulbahri_15" TargetMode="External"/><Relationship Id="rId83" Type="http://schemas.openxmlformats.org/officeDocument/2006/relationships/hyperlink" Target="https://www.tiktok.com/@io_morhis" TargetMode="External"/><Relationship Id="rId86" Type="http://schemas.openxmlformats.org/officeDocument/2006/relationships/hyperlink" Target="https://www.tiktok.com/@njst0r3" TargetMode="External"/><Relationship Id="rId85" Type="http://schemas.openxmlformats.org/officeDocument/2006/relationships/hyperlink" Target="https://vt.tiktok.com/ZSQMxxTux/" TargetMode="External"/><Relationship Id="rId88" Type="http://schemas.openxmlformats.org/officeDocument/2006/relationships/hyperlink" Target="https://www.tiktok.com/@berakal_sempurna" TargetMode="External"/><Relationship Id="rId87" Type="http://schemas.openxmlformats.org/officeDocument/2006/relationships/hyperlink" Target="https://www.tiktok.com/@rezarama142" TargetMode="External"/><Relationship Id="rId89" Type="http://schemas.openxmlformats.org/officeDocument/2006/relationships/hyperlink" Target="https://www.tiktok.com/@bangreview07" TargetMode="External"/><Relationship Id="rId80" Type="http://schemas.openxmlformats.org/officeDocument/2006/relationships/hyperlink" Target="https://vt.tiktok.com/ZSxAhukM6/" TargetMode="External"/><Relationship Id="rId82" Type="http://schemas.openxmlformats.org/officeDocument/2006/relationships/hyperlink" Target="https://www.tiktok.com/@heymim_" TargetMode="External"/><Relationship Id="rId81" Type="http://schemas.openxmlformats.org/officeDocument/2006/relationships/hyperlink" Target="https://vt.tiktok.com/ZSxQ8EPEf/" TargetMode="External"/><Relationship Id="rId73" Type="http://schemas.openxmlformats.org/officeDocument/2006/relationships/hyperlink" Target="https://vt.tiktok.com/ZSxmhAvVo/" TargetMode="External"/><Relationship Id="rId72" Type="http://schemas.openxmlformats.org/officeDocument/2006/relationships/hyperlink" Target="https://vt.tiktok.com/ZS9p8ksGC/" TargetMode="External"/><Relationship Id="rId75" Type="http://schemas.openxmlformats.org/officeDocument/2006/relationships/hyperlink" Target="https://vt.tiktok.com/ZSxXa2Lqf/" TargetMode="External"/><Relationship Id="rId74" Type="http://schemas.openxmlformats.org/officeDocument/2006/relationships/hyperlink" Target="https://www.tiktok.com/@glowupwithfalih" TargetMode="External"/><Relationship Id="rId77" Type="http://schemas.openxmlformats.org/officeDocument/2006/relationships/hyperlink" Target="https://vt.tiktok.com/ZSxyHYKuj/" TargetMode="External"/><Relationship Id="rId76" Type="http://schemas.openxmlformats.org/officeDocument/2006/relationships/hyperlink" Target="https://www.tiktok.com/@patrickchristian_" TargetMode="External"/><Relationship Id="rId79" Type="http://schemas.openxmlformats.org/officeDocument/2006/relationships/hyperlink" Target="https://www.tiktok.com/@volgensius_wilson" TargetMode="External"/><Relationship Id="rId78" Type="http://schemas.openxmlformats.org/officeDocument/2006/relationships/hyperlink" Target="https://www.tiktok.com/@aryaprdnn_" TargetMode="External"/><Relationship Id="rId71" Type="http://schemas.openxmlformats.org/officeDocument/2006/relationships/hyperlink" Target="https://www.tiktok.com/@gadisaries97" TargetMode="External"/><Relationship Id="rId70" Type="http://schemas.openxmlformats.org/officeDocument/2006/relationships/hyperlink" Target="https://www.tiktok.com/@hanisasarah18" TargetMode="External"/><Relationship Id="rId62" Type="http://schemas.openxmlformats.org/officeDocument/2006/relationships/hyperlink" Target="https://www.tiktok.com/@friskajulia" TargetMode="External"/><Relationship Id="rId61" Type="http://schemas.openxmlformats.org/officeDocument/2006/relationships/hyperlink" Target="https://vt.tiktok.com/ZSxqrfJU2/" TargetMode="External"/><Relationship Id="rId64" Type="http://schemas.openxmlformats.org/officeDocument/2006/relationships/hyperlink" Target="https://vt.tiktok.com/ZSxXPaPtQ/" TargetMode="External"/><Relationship Id="rId63" Type="http://schemas.openxmlformats.org/officeDocument/2006/relationships/hyperlink" Target="https://vt.tiktok.com/ZS9vFyEwg/" TargetMode="External"/><Relationship Id="rId66" Type="http://schemas.openxmlformats.org/officeDocument/2006/relationships/hyperlink" Target="https://www.tiktok.com/@ameccaa.id" TargetMode="External"/><Relationship Id="rId65" Type="http://schemas.openxmlformats.org/officeDocument/2006/relationships/hyperlink" Target="http://ameccaa.id" TargetMode="External"/><Relationship Id="rId68" Type="http://schemas.openxmlformats.org/officeDocument/2006/relationships/hyperlink" Target="https://www.tiktok.com/@nonazawaa2" TargetMode="External"/><Relationship Id="rId67" Type="http://schemas.openxmlformats.org/officeDocument/2006/relationships/hyperlink" Target="https://www.tiktok.com/@junewita" TargetMode="External"/><Relationship Id="rId60" Type="http://schemas.openxmlformats.org/officeDocument/2006/relationships/hyperlink" Target="https://vt.tiktok.com/ZSxqr5K6V/" TargetMode="External"/><Relationship Id="rId69" Type="http://schemas.openxmlformats.org/officeDocument/2006/relationships/hyperlink" Target="https://www.tiktok.com/@libranwww" TargetMode="External"/><Relationship Id="rId51" Type="http://schemas.openxmlformats.org/officeDocument/2006/relationships/hyperlink" Target="https://vt.tiktok.com/ZSxUnGBTC/" TargetMode="External"/><Relationship Id="rId50" Type="http://schemas.openxmlformats.org/officeDocument/2006/relationships/hyperlink" Target="https://www.tiktok.com/@ndaahq" TargetMode="External"/><Relationship Id="rId53" Type="http://schemas.openxmlformats.org/officeDocument/2006/relationships/hyperlink" Target="https://www.tiktok.com/@Racunversiaku" TargetMode="External"/><Relationship Id="rId52" Type="http://schemas.openxmlformats.org/officeDocument/2006/relationships/hyperlink" Target="https://vt.tiktok.com/ZSxVuWwqp/" TargetMode="External"/><Relationship Id="rId55" Type="http://schemas.openxmlformats.org/officeDocument/2006/relationships/hyperlink" Target="https://vt.tiktok.com/ZS9WYjjJG/" TargetMode="External"/><Relationship Id="rId54" Type="http://schemas.openxmlformats.org/officeDocument/2006/relationships/hyperlink" Target="https://www.tiktok.com/@cococrunch13_" TargetMode="External"/><Relationship Id="rId57" Type="http://schemas.openxmlformats.org/officeDocument/2006/relationships/hyperlink" Target="https://www.tiktok.com/@perawatan.diri" TargetMode="External"/><Relationship Id="rId56" Type="http://schemas.openxmlformats.org/officeDocument/2006/relationships/hyperlink" Target="https://vt.tiktok.com/ZSxM9nUP3/" TargetMode="External"/><Relationship Id="rId59" Type="http://schemas.openxmlformats.org/officeDocument/2006/relationships/hyperlink" Target="https://vt.tiktok.com/ZSxStocTR/" TargetMode="External"/><Relationship Id="rId58" Type="http://schemas.openxmlformats.org/officeDocument/2006/relationships/hyperlink" Target="https://www.tiktok.com/@perawatan.diri/video/7636604513268337940" TargetMode="External"/><Relationship Id="rId95" Type="http://schemas.openxmlformats.org/officeDocument/2006/relationships/hyperlink" Target="https://www.tiktok.com/@danz_muhammad" TargetMode="External"/><Relationship Id="rId94" Type="http://schemas.openxmlformats.org/officeDocument/2006/relationships/hyperlink" Target="https://www.tiktok.com/@rizkiju_" TargetMode="External"/><Relationship Id="rId97" Type="http://schemas.openxmlformats.org/officeDocument/2006/relationships/hyperlink" Target="https://www.tiktok.com/@brocus_" TargetMode="External"/><Relationship Id="rId96" Type="http://schemas.openxmlformats.org/officeDocument/2006/relationships/hyperlink" Target="https://www.tiktok.com/@rokhim13__" TargetMode="External"/><Relationship Id="rId99" Type="http://schemas.openxmlformats.org/officeDocument/2006/relationships/hyperlink" Target="https://www.tiktok.com/@febrypramanda" TargetMode="External"/><Relationship Id="rId98" Type="http://schemas.openxmlformats.org/officeDocument/2006/relationships/hyperlink" Target="https://vt.tiktok.com/ZSQrGFwwg/" TargetMode="External"/><Relationship Id="rId91" Type="http://schemas.openxmlformats.org/officeDocument/2006/relationships/hyperlink" Target="https://vt.tiktok.com/ZS9bgL74j/" TargetMode="External"/><Relationship Id="rId90" Type="http://schemas.openxmlformats.org/officeDocument/2006/relationships/hyperlink" Target="https://vt.tiktok.com/ZS9bHomup/" TargetMode="External"/><Relationship Id="rId93" Type="http://schemas.openxmlformats.org/officeDocument/2006/relationships/hyperlink" Target="https://www.tiktok.com/@bangreview07/video/7644085770386541845?_r=" TargetMode="External"/><Relationship Id="rId92" Type="http://schemas.openxmlformats.org/officeDocument/2006/relationships/hyperlink" Target="https://vt.tiktok.com/ZSxkuAGMq/" TargetMode="External"/><Relationship Id="rId217" Type="http://schemas.openxmlformats.org/officeDocument/2006/relationships/drawing" Target="../drawings/drawing21.xml"/><Relationship Id="rId216" Type="http://schemas.openxmlformats.org/officeDocument/2006/relationships/hyperlink" Target="https://www.tiktok.com/@" TargetMode="External"/><Relationship Id="rId215" Type="http://schemas.openxmlformats.org/officeDocument/2006/relationships/hyperlink" Target="https://www.tiktok.com/@" TargetMode="External"/><Relationship Id="rId214" Type="http://schemas.openxmlformats.org/officeDocument/2006/relationships/hyperlink" Target="https://www.tiktok.com/@" TargetMode="External"/><Relationship Id="rId213" Type="http://schemas.openxmlformats.org/officeDocument/2006/relationships/hyperlink" Target="https://www.tiktok.com/@" TargetMode="External"/><Relationship Id="rId212" Type="http://schemas.openxmlformats.org/officeDocument/2006/relationships/hyperlink" Target="https://www.tiktok.com/@" TargetMode="External"/><Relationship Id="rId211" Type="http://schemas.openxmlformats.org/officeDocument/2006/relationships/hyperlink" Target="https://www.tiktok.com/@" TargetMode="External"/><Relationship Id="rId210" Type="http://schemas.openxmlformats.org/officeDocument/2006/relationships/hyperlink" Target="https://www.tiktok.com/@" TargetMode="External"/><Relationship Id="rId206" Type="http://schemas.openxmlformats.org/officeDocument/2006/relationships/hyperlink" Target="https://www.tiktok.com/@" TargetMode="External"/><Relationship Id="rId205" Type="http://schemas.openxmlformats.org/officeDocument/2006/relationships/hyperlink" Target="https://www.tiktok.com/@" TargetMode="External"/><Relationship Id="rId204" Type="http://schemas.openxmlformats.org/officeDocument/2006/relationships/hyperlink" Target="https://www.tiktok.com/@" TargetMode="External"/><Relationship Id="rId203" Type="http://schemas.openxmlformats.org/officeDocument/2006/relationships/hyperlink" Target="https://www.tiktok.com/@snlaily" TargetMode="External"/><Relationship Id="rId209" Type="http://schemas.openxmlformats.org/officeDocument/2006/relationships/hyperlink" Target="https://www.tiktok.com/@" TargetMode="External"/><Relationship Id="rId208" Type="http://schemas.openxmlformats.org/officeDocument/2006/relationships/hyperlink" Target="https://www.tiktok.com/@" TargetMode="External"/><Relationship Id="rId207" Type="http://schemas.openxmlformats.org/officeDocument/2006/relationships/hyperlink" Target="https://www.tiktok.com/@" TargetMode="External"/><Relationship Id="rId202" Type="http://schemas.openxmlformats.org/officeDocument/2006/relationships/hyperlink" Target="https://www.tiktok.com/@yoonab" TargetMode="External"/><Relationship Id="rId201" Type="http://schemas.openxmlformats.org/officeDocument/2006/relationships/hyperlink" Target="https://www.tiktok.com/@gabolegalakya" TargetMode="External"/><Relationship Id="rId200" Type="http://schemas.openxmlformats.org/officeDocument/2006/relationships/hyperlink" Target="https://www.tiktok.com/@winduangga" TargetMode="External"/><Relationship Id="rId1" Type="http://schemas.openxmlformats.org/officeDocument/2006/relationships/hyperlink" Target="https://www.tiktok.com/@princessbackpacker_" TargetMode="External"/><Relationship Id="rId2" Type="http://schemas.openxmlformats.org/officeDocument/2006/relationships/hyperlink" Target="https://www.tiktok.com/@putri.antris" TargetMode="External"/><Relationship Id="rId3" Type="http://schemas.openxmlformats.org/officeDocument/2006/relationships/hyperlink" Target="https://vt.tiktok.com/ZS9qCFJ5e/" TargetMode="External"/><Relationship Id="rId4" Type="http://schemas.openxmlformats.org/officeDocument/2006/relationships/hyperlink" Target="https://vt.tiktok.com/ZS9qCyR9D/" TargetMode="External"/><Relationship Id="rId9" Type="http://schemas.openxmlformats.org/officeDocument/2006/relationships/hyperlink" Target="https://vt.tiktok.com/ZSxB1cSMY/" TargetMode="External"/><Relationship Id="rId5" Type="http://schemas.openxmlformats.org/officeDocument/2006/relationships/hyperlink" Target="https://vt.tiktok.com/ZS9qCdmQh/" TargetMode="External"/><Relationship Id="rId6" Type="http://schemas.openxmlformats.org/officeDocument/2006/relationships/hyperlink" Target="https://www.tiktok.com/@apriliakartiningsih" TargetMode="External"/><Relationship Id="rId7" Type="http://schemas.openxmlformats.org/officeDocument/2006/relationships/hyperlink" Target="https://vt.tiktok.com/ZSx2sG9ks/" TargetMode="External"/><Relationship Id="rId8" Type="http://schemas.openxmlformats.org/officeDocument/2006/relationships/hyperlink" Target="https://vt.tiktok.com/ZSxkRnbP3/" TargetMode="External"/></Relationships>
</file>

<file path=xl/worksheets/_rels/sheet22.xml.rels><?xml version="1.0" encoding="UTF-8" standalone="yes"?><Relationships xmlns="http://schemas.openxmlformats.org/package/2006/relationships"><Relationship Id="rId190" Type="http://schemas.openxmlformats.org/officeDocument/2006/relationships/drawing" Target="../drawings/drawing22.xml"/><Relationship Id="rId191" Type="http://schemas.openxmlformats.org/officeDocument/2006/relationships/vmlDrawing" Target="../drawings/vmlDrawing9.vml"/><Relationship Id="rId187" Type="http://schemas.openxmlformats.org/officeDocument/2006/relationships/hyperlink" Target="https://www.tiktok.com/@azizahmsi1234" TargetMode="External"/><Relationship Id="rId186" Type="http://schemas.openxmlformats.org/officeDocument/2006/relationships/hyperlink" Target="https://www.tiktok.com/@olinshop789" TargetMode="External"/><Relationship Id="rId185" Type="http://schemas.openxmlformats.org/officeDocument/2006/relationships/hyperlink" Target="https://www.tiktok.com/@sayaaul__" TargetMode="External"/><Relationship Id="rId184" Type="http://schemas.openxmlformats.org/officeDocument/2006/relationships/hyperlink" Target="https://www.tiktok.com/@bang.ara62" TargetMode="External"/><Relationship Id="rId189" Type="http://schemas.openxmlformats.org/officeDocument/2006/relationships/hyperlink" Target="https://www.tiktok.com/@lailiyabeuty" TargetMode="External"/><Relationship Id="rId188" Type="http://schemas.openxmlformats.org/officeDocument/2006/relationships/hyperlink" Target="https://www.tiktok.com/@mamashanea17" TargetMode="External"/><Relationship Id="rId183" Type="http://schemas.openxmlformats.org/officeDocument/2006/relationships/hyperlink" Target="https://www.tiktok.com/@meisyalsa" TargetMode="External"/><Relationship Id="rId182" Type="http://schemas.openxmlformats.org/officeDocument/2006/relationships/hyperlink" Target="https://www.tiktok.com/@princesszelinee" TargetMode="External"/><Relationship Id="rId181" Type="http://schemas.openxmlformats.org/officeDocument/2006/relationships/hyperlink" Target="https://www.tiktok.com/@melani.makeup17" TargetMode="External"/><Relationship Id="rId180" Type="http://schemas.openxmlformats.org/officeDocument/2006/relationships/hyperlink" Target="https://www.tiktok.com/@kenylrnz" TargetMode="External"/><Relationship Id="rId176" Type="http://schemas.openxmlformats.org/officeDocument/2006/relationships/hyperlink" Target="https://www.tiktok.com/@ariff.ratnaa" TargetMode="External"/><Relationship Id="rId175" Type="http://schemas.openxmlformats.org/officeDocument/2006/relationships/hyperlink" Target="https://www.tiktok.com/@shakashop04" TargetMode="External"/><Relationship Id="rId174" Type="http://schemas.openxmlformats.org/officeDocument/2006/relationships/hyperlink" Target="https://www.tiktok.com/@Iniicaaaaa_19" TargetMode="External"/><Relationship Id="rId173" Type="http://schemas.openxmlformats.org/officeDocument/2006/relationships/hyperlink" Target="https://www.tiktok.com/@Floraluxe.lmj" TargetMode="External"/><Relationship Id="rId179" Type="http://schemas.openxmlformats.org/officeDocument/2006/relationships/hyperlink" Target="https://www.tiktok.com/@ameccaa.id" TargetMode="External"/><Relationship Id="rId178" Type="http://schemas.openxmlformats.org/officeDocument/2006/relationships/hyperlink" Target="http://ameccaa.id" TargetMode="External"/><Relationship Id="rId177" Type="http://schemas.openxmlformats.org/officeDocument/2006/relationships/hyperlink" Target="https://www.tiktok.com/@Ayunitanf" TargetMode="External"/><Relationship Id="rId150" Type="http://schemas.openxmlformats.org/officeDocument/2006/relationships/hyperlink" Target="https://www.tiktok.com/@iniziraajuga" TargetMode="External"/><Relationship Id="rId149" Type="http://schemas.openxmlformats.org/officeDocument/2006/relationships/hyperlink" Target="https://www.tiktok.com/@euis.nry" TargetMode="External"/><Relationship Id="rId148" Type="http://schemas.openxmlformats.org/officeDocument/2006/relationships/hyperlink" Target="https://www.tiktok.com/@infopromoaja/video/7641459505376578817?is_from_webapp=1&amp;sender_device=pc" TargetMode="External"/><Relationship Id="rId143" Type="http://schemas.openxmlformats.org/officeDocument/2006/relationships/hyperlink" Target="https://www.tiktok.com/@a.etikk/video/7646382329543413013?is_from_webapp=1&amp;sender_device=pc" TargetMode="External"/><Relationship Id="rId142" Type="http://schemas.openxmlformats.org/officeDocument/2006/relationships/hyperlink" Target="https://www.tiktok.com/@a.etikk/video/7645892422400101652?is_from_webapp=1&amp;sender_device=pc" TargetMode="External"/><Relationship Id="rId141" Type="http://schemas.openxmlformats.org/officeDocument/2006/relationships/hyperlink" Target="https://www.tiktok.com/@a.etikk/video/7645218444752735509?is_from_webapp=1&amp;sender_device=pc" TargetMode="External"/><Relationship Id="rId140" Type="http://schemas.openxmlformats.org/officeDocument/2006/relationships/hyperlink" Target="https://www.tiktok.com/@a.etikk" TargetMode="External"/><Relationship Id="rId147" Type="http://schemas.openxmlformats.org/officeDocument/2006/relationships/hyperlink" Target="https://vt.tiktok.com/ZSxUEphHS/" TargetMode="External"/><Relationship Id="rId146" Type="http://schemas.openxmlformats.org/officeDocument/2006/relationships/hyperlink" Target="https://vt.tiktok.com/ZSxUEESuU/" TargetMode="External"/><Relationship Id="rId145" Type="http://schemas.openxmlformats.org/officeDocument/2006/relationships/hyperlink" Target="https://www.tiktok.com/@infopromoaja" TargetMode="External"/><Relationship Id="rId144" Type="http://schemas.openxmlformats.org/officeDocument/2006/relationships/hyperlink" Target="https://www.tiktok.com/@bbstore25" TargetMode="External"/><Relationship Id="rId139" Type="http://schemas.openxmlformats.org/officeDocument/2006/relationships/hyperlink" Target="https://www.tiktok.com/@lilieesel" TargetMode="External"/><Relationship Id="rId138" Type="http://schemas.openxmlformats.org/officeDocument/2006/relationships/hyperlink" Target="https://vt.tiktok.com/ZSx3cLV4P/" TargetMode="External"/><Relationship Id="rId137" Type="http://schemas.openxmlformats.org/officeDocument/2006/relationships/hyperlink" Target="https://www.tiktok.com/@filza_aeris" TargetMode="External"/><Relationship Id="rId132" Type="http://schemas.openxmlformats.org/officeDocument/2006/relationships/hyperlink" Target="https://www.tiktok.com/@nris9" TargetMode="External"/><Relationship Id="rId131" Type="http://schemas.openxmlformats.org/officeDocument/2006/relationships/hyperlink" Target="https://www.tiktok.com/@getmeplease_" TargetMode="External"/><Relationship Id="rId130" Type="http://schemas.openxmlformats.org/officeDocument/2006/relationships/hyperlink" Target="https://www.tiktok.com/@stylesonnnn" TargetMode="External"/><Relationship Id="rId136" Type="http://schemas.openxmlformats.org/officeDocument/2006/relationships/hyperlink" Target="https://vt.tiktok.com/ZSQhWDfnu/" TargetMode="External"/><Relationship Id="rId135" Type="http://schemas.openxmlformats.org/officeDocument/2006/relationships/hyperlink" Target="https://www.tiktok.com/@fitriafitri3031" TargetMode="External"/><Relationship Id="rId134" Type="http://schemas.openxmlformats.org/officeDocument/2006/relationships/hyperlink" Target="https://www.tiktok.com/@fitrianahisnainy/video/7641445288334347541?_r=1&amp;u_code=cmkmk21l2603lh&amp;region=&amp;mid=7641445310983719697&amp;preview_pb=0&amp;sharer_language=&amp;_d=0&amp;ec_shared_reflux_dynamic_params=%7B%22placeholder_material_id%22%3A%227641445288334347541%22%2C%22placeholder_origin_cover%22%3A%22https%253A%252F%252Fp16-common-sign.tiktokcdn.com%252Ftos-alisg-p-0037%252FoEe2UiBYREBgPIjkvLiIg6BA3B0gg5UoCqfCv0~tplv-tiktokx-origin.jpeg%253Fdr%253D14572%2526refresh_token%253D112a461a%2526x-expires%253D1810717200%2526x-signature%253DHQ8HecDmiED5IWnNRmYremqX0RE%25253D%2526t%253D4d5b0474%2526ps%253D13740610%2526shp%253Dd05b14bd%2526shcp%253D34ff8df6%2526idc%253Dmy3%2526s%253DTIKTOK_AFFILIATE_VIRAL_VIDEO%22%2C%22placeholder_product_id%22%3A%221729688131472034430%22%2C%22placeholder_video_id%22%3A%227641445288334347541%22%7D&amp;ec_shared_reflux_scene=shop_tab_feed&amp;share_item_id=7641445288334347541&amp;source=h5_t" TargetMode="External"/><Relationship Id="rId133" Type="http://schemas.openxmlformats.org/officeDocument/2006/relationships/hyperlink" Target="https://www.tiktok.com/@fitrianahisnainy" TargetMode="External"/><Relationship Id="rId172" Type="http://schemas.openxmlformats.org/officeDocument/2006/relationships/hyperlink" Target="https://www.tiktok.com/@inlovee.skin" TargetMode="External"/><Relationship Id="rId171" Type="http://schemas.openxmlformats.org/officeDocument/2006/relationships/hyperlink" Target="https://www.tiktok.com/@mellan99" TargetMode="External"/><Relationship Id="rId170" Type="http://schemas.openxmlformats.org/officeDocument/2006/relationships/hyperlink" Target="https://www.tiktok.com/@nafisahabbas" TargetMode="External"/><Relationship Id="rId165" Type="http://schemas.openxmlformats.org/officeDocument/2006/relationships/hyperlink" Target="https://www.tiktok.com/@khalisah_rizkillah" TargetMode="External"/><Relationship Id="rId164" Type="http://schemas.openxmlformats.org/officeDocument/2006/relationships/hyperlink" Target="https://www.tiktok.com/@kikiromli89" TargetMode="External"/><Relationship Id="rId163" Type="http://schemas.openxmlformats.org/officeDocument/2006/relationships/hyperlink" Target="https://www.tiktok.com/@lolafeliciaa" TargetMode="External"/><Relationship Id="rId162" Type="http://schemas.openxmlformats.org/officeDocument/2006/relationships/hyperlink" Target="https://www.tiktok.com/@jeonjungkey" TargetMode="External"/><Relationship Id="rId169" Type="http://schemas.openxmlformats.org/officeDocument/2006/relationships/hyperlink" Target="https://www.tiktok.com/@gebby.valenzka.ama" TargetMode="External"/><Relationship Id="rId168" Type="http://schemas.openxmlformats.org/officeDocument/2006/relationships/hyperlink" Target="https://www.tiktok.com/@kosmetiksagalamurah" TargetMode="External"/><Relationship Id="rId167" Type="http://schemas.openxmlformats.org/officeDocument/2006/relationships/hyperlink" Target="https://www.tiktok.com/@Rina_audinaaaa" TargetMode="External"/><Relationship Id="rId166" Type="http://schemas.openxmlformats.org/officeDocument/2006/relationships/hyperlink" Target="https://www.tiktok.com/@skincarebynita" TargetMode="External"/><Relationship Id="rId161" Type="http://schemas.openxmlformats.org/officeDocument/2006/relationships/hyperlink" Target="https://www.tiktok.com/@micel211" TargetMode="External"/><Relationship Id="rId160" Type="http://schemas.openxmlformats.org/officeDocument/2006/relationships/hyperlink" Target="https://www.tiktok.com/@mbakadeklaris17" TargetMode="External"/><Relationship Id="rId159" Type="http://schemas.openxmlformats.org/officeDocument/2006/relationships/hyperlink" Target="https://www.tiktok.com/@ika.setiana12" TargetMode="External"/><Relationship Id="rId154" Type="http://schemas.openxmlformats.org/officeDocument/2006/relationships/hyperlink" Target="https://www.tiktok.com/@septiatj_" TargetMode="External"/><Relationship Id="rId153" Type="http://schemas.openxmlformats.org/officeDocument/2006/relationships/hyperlink" Target="https://www.tiktok.com/@tiarasalsabella23" TargetMode="External"/><Relationship Id="rId152" Type="http://schemas.openxmlformats.org/officeDocument/2006/relationships/hyperlink" Target="https://www.tiktok.com/@allaboutspill" TargetMode="External"/><Relationship Id="rId151" Type="http://schemas.openxmlformats.org/officeDocument/2006/relationships/hyperlink" Target="https://www.tiktok.com/@rik.amlia" TargetMode="External"/><Relationship Id="rId158" Type="http://schemas.openxmlformats.org/officeDocument/2006/relationships/hyperlink" Target="https://www.tiktok.com/@razani891" TargetMode="External"/><Relationship Id="rId157" Type="http://schemas.openxmlformats.org/officeDocument/2006/relationships/hyperlink" Target="https://www.tiktok.com/@auroraanzh" TargetMode="External"/><Relationship Id="rId156" Type="http://schemas.openxmlformats.org/officeDocument/2006/relationships/hyperlink" Target="https://www.tiktok.com/@sye.stuff" TargetMode="External"/><Relationship Id="rId155" Type="http://schemas.openxmlformats.org/officeDocument/2006/relationships/hyperlink" Target="https://www.tiktok.com/@rikayunitadamayanti" TargetMode="External"/><Relationship Id="rId107" Type="http://schemas.openxmlformats.org/officeDocument/2006/relationships/hyperlink" Target="https://www.tiktok.com/@atikwindharti/video/7646665955401125140?is_from_webapp=1&amp;sender_device=pc" TargetMode="External"/><Relationship Id="rId106" Type="http://schemas.openxmlformats.org/officeDocument/2006/relationships/hyperlink" Target="https://www.tiktok.com/@atikwindharti/video/7646665424037367060?is_from_webapp=1&amp;sender_device=pc" TargetMode="External"/><Relationship Id="rId105" Type="http://schemas.openxmlformats.org/officeDocument/2006/relationships/hyperlink" Target="https://www.tiktok.com/@atikwindharti" TargetMode="External"/><Relationship Id="rId104" Type="http://schemas.openxmlformats.org/officeDocument/2006/relationships/hyperlink" Target="https://vt.tiktok.com/ZSxr5UwMa/" TargetMode="External"/><Relationship Id="rId109" Type="http://schemas.openxmlformats.org/officeDocument/2006/relationships/hyperlink" Target="https://www.tiktok.com/@revinawl" TargetMode="External"/><Relationship Id="rId108" Type="http://schemas.openxmlformats.org/officeDocument/2006/relationships/hyperlink" Target="https://www.tiktok.com/@atikwindharti/video/7646666379390668052?is_from_webapp=1&amp;sender_device=pc" TargetMode="External"/><Relationship Id="rId103" Type="http://schemas.openxmlformats.org/officeDocument/2006/relationships/hyperlink" Target="https://www.tiktok.com/@sabinaaccura" TargetMode="External"/><Relationship Id="rId102" Type="http://schemas.openxmlformats.org/officeDocument/2006/relationships/hyperlink" Target="https://www.tiktok.com/@nandajeliss/video/7641254456025189639?_r=1&amp;u_code=e764lld7374f0j&amp;region=&amp;mid=7634083032534321938&amp;preview_pb=0&amp;sharer_language=&amp;_d=0&amp;ec_shared_reflux_dynamic_params=%7B%22placeholder_material_id%22%3A%227641254456025189639%22%2C%22placeholder_origin_cover%22%3A%22https%253A%252F%252Fp16-common-sign.tiktokcdn.com%252Ftos-alisg-p-0037%252FooDLHmwIiEBABqiiZNAsM1Mg6DjAICBWIlHXfD~tplv-tiktokx-origin.jpeg%253Fdr%253D14572%2526refresh_token%253D27128554%2526x-expires%253D1810717200%2526x-signature%253Dmgbgk29WZAnxqsTST1a7Rtos3zc%25253D%2526t%253D4d5b0474%2526ps%253D13740610%2526shp%253Dd05b14bd%2526shcp%253D34ff8df6%2526idc%253Dmy3%2526s%253DTIKTOK_AFFILIATE_VIRAL_VIDEO%22%2C%22placeholder_product_id%22%3A%221733994191119943294%22%2C%22placeholder_video_id%22%3A%227641254456025189639%22%7D&amp;ec_shared_reflux_scene=shop_tab_feed&amp;share_item_id=7641254456025189639&amp;source=h5_t" TargetMode="External"/><Relationship Id="rId101" Type="http://schemas.openxmlformats.org/officeDocument/2006/relationships/hyperlink" Target="https://www.tiktok.com/@nandajeliss/video/7638593172091981063?_r=1&amp;u_code=e764lld7374f0j&amp;region=&amp;mid=7633305049822251796&amp;preview_pb=0&amp;sharer_language=&amp;_d=0&amp;ec_shared_reflux_dynamic_params=%7B%22placeholder_material_id%22%3A%227638593172091981063%22%2C%22placeholder_origin_cover%22%3A%22https%253A%252F%252Fp16-common-sign.tiktokcdn.com%252Ftos-alisg-p-0037%252FoQfhvbucABBFf9tIAIJZv3A7CAugAqplDERBEQ~tplv-tiktokx-origin.jpeg%253Fdr%253D14572%2526refresh_token%253D3ea06fb1%2526x-expires%253D1810112400%2526x-signature%253DvHoCBC8WA4cNnB5TSQI9dpjtRlg%25253D%2526t%253D4d5b0474%2526ps%253D13740610%2526shp%253Dd05b14bd%2526shcp%253D34ff8df6%2526idc%253Dmy%2526s%253DTIKTOK_AFFILIATE_VIRAL_VIDEO%22%2C%22placeholder_product_id%22%3A%221733994191119943294%22%2C%22placeholder_video_id%22%3A%227638593172091981063%22%7D&amp;ec_shared_reflux_scene=shop_tab_feed&amp;share_item_id=7638593172091981063&amp;source=h5_t" TargetMode="External"/><Relationship Id="rId100" Type="http://schemas.openxmlformats.org/officeDocument/2006/relationships/hyperlink" Target="https://www.tiktok.com/@nandajeliss" TargetMode="External"/><Relationship Id="rId129" Type="http://schemas.openxmlformats.org/officeDocument/2006/relationships/hyperlink" Target="https://www.tiktok.com/@nurnnyas" TargetMode="External"/><Relationship Id="rId128" Type="http://schemas.openxmlformats.org/officeDocument/2006/relationships/hyperlink" Target="https://www.tiktok.com/@ctnamiraa" TargetMode="External"/><Relationship Id="rId127" Type="http://schemas.openxmlformats.org/officeDocument/2006/relationships/hyperlink" Target="https://www.tiktok.com/@ayuulestariii31" TargetMode="External"/><Relationship Id="rId126" Type="http://schemas.openxmlformats.org/officeDocument/2006/relationships/hyperlink" Target="https://vt.tiktok.com/ZSxVWweGj/" TargetMode="External"/><Relationship Id="rId121" Type="http://schemas.openxmlformats.org/officeDocument/2006/relationships/hyperlink" Target="https://vt.tiktok.com/ZSxGrfK1m/" TargetMode="External"/><Relationship Id="rId120" Type="http://schemas.openxmlformats.org/officeDocument/2006/relationships/hyperlink" Target="https://www.tiktok.com/@andyraka" TargetMode="External"/><Relationship Id="rId125" Type="http://schemas.openxmlformats.org/officeDocument/2006/relationships/hyperlink" Target="https://www.tiktok.com/@si.imel" TargetMode="External"/><Relationship Id="rId124" Type="http://schemas.openxmlformats.org/officeDocument/2006/relationships/hyperlink" Target="https://www.tiktok.com/@aiisaaaaaaaaaa" TargetMode="External"/><Relationship Id="rId123" Type="http://schemas.openxmlformats.org/officeDocument/2006/relationships/hyperlink" Target="https://www.tiktok.com/@a.etikk/video/7645218444752735509?is_from_webapp=1&amp;sender_device=pc" TargetMode="External"/><Relationship Id="rId122" Type="http://schemas.openxmlformats.org/officeDocument/2006/relationships/hyperlink" Target="https://www.tiktok.com/@jeezythingz" TargetMode="External"/><Relationship Id="rId118" Type="http://schemas.openxmlformats.org/officeDocument/2006/relationships/hyperlink" Target="https://www.tiktok.com/@zihanokta" TargetMode="External"/><Relationship Id="rId117" Type="http://schemas.openxmlformats.org/officeDocument/2006/relationships/hyperlink" Target="https://vt.tiktok.com/ZSQ6x8sp6/" TargetMode="External"/><Relationship Id="rId116" Type="http://schemas.openxmlformats.org/officeDocument/2006/relationships/hyperlink" Target="https://www.tiktok.com/@mrsrepiew" TargetMode="External"/><Relationship Id="rId115" Type="http://schemas.openxmlformats.org/officeDocument/2006/relationships/hyperlink" Target="https://www.tiktok.com/@kania_angelo" TargetMode="External"/><Relationship Id="rId119" Type="http://schemas.openxmlformats.org/officeDocument/2006/relationships/hyperlink" Target="https://vt.tiktok.com/ZSxQ8NT4a/" TargetMode="External"/><Relationship Id="rId110" Type="http://schemas.openxmlformats.org/officeDocument/2006/relationships/hyperlink" Target="https://www.tiktok.com/@pch992" TargetMode="External"/><Relationship Id="rId114" Type="http://schemas.openxmlformats.org/officeDocument/2006/relationships/hyperlink" Target="https://www.tiktok.com/@ekbardiary" TargetMode="External"/><Relationship Id="rId113" Type="http://schemas.openxmlformats.org/officeDocument/2006/relationships/hyperlink" Target="https://www.tiktok.com/@lilyisnotflowerrr" TargetMode="External"/><Relationship Id="rId112" Type="http://schemas.openxmlformats.org/officeDocument/2006/relationships/hyperlink" Target="https://www.tiktok.com/@thisisalulaa" TargetMode="External"/><Relationship Id="rId111" Type="http://schemas.openxmlformats.org/officeDocument/2006/relationships/hyperlink" Target="https://vt.tiktok.com/ZSx5kVTXU/" TargetMode="External"/><Relationship Id="rId40" Type="http://schemas.openxmlformats.org/officeDocument/2006/relationships/hyperlink" Target="https://vt.tiktok.com/ZSQJME7PY/" TargetMode="External"/><Relationship Id="rId42" Type="http://schemas.openxmlformats.org/officeDocument/2006/relationships/hyperlink" Target="https://vt.tiktok.com/ZSx1xdpyp/" TargetMode="External"/><Relationship Id="rId41" Type="http://schemas.openxmlformats.org/officeDocument/2006/relationships/hyperlink" Target="https://www.tiktok.com/@thnlykai" TargetMode="External"/><Relationship Id="rId44" Type="http://schemas.openxmlformats.org/officeDocument/2006/relationships/hyperlink" Target="https://www.tiktok.com/@itscendi" TargetMode="External"/><Relationship Id="rId43" Type="http://schemas.openxmlformats.org/officeDocument/2006/relationships/hyperlink" Target="https://vt.tiktok.com/ZSxCFQmjr/" TargetMode="External"/><Relationship Id="rId46" Type="http://schemas.openxmlformats.org/officeDocument/2006/relationships/hyperlink" Target="https://www.tiktok.com/@racuncantikmu31_" TargetMode="External"/><Relationship Id="rId45" Type="http://schemas.openxmlformats.org/officeDocument/2006/relationships/hyperlink" Target="https://www.tiktok.com/@itscendi/video/7639330499206401300?_r=1&amp;u_code=e239bdmi98lbec&amp;region=&amp;mid=7223826568140654594&amp;preview_pb=0&amp;sharer_language=&amp;_d=0&amp;ec_shared_reflux_dynamic_params=%7B%22placeholder_material_id%22%3A%227639330499206401300%22%2C%22placeholder_origin_cover%22%3A%22https%253A%252F%252Fp16-common-sign.tiktokcdn.com%252Ftos-alisg-p-0037%252FoUgfDEFqqB8TWkBwADBCgSEBFBqQUQfRqE82E6~tplv-tiktokx-origin.jpeg%253Fdr%253D14572%2526refresh_token%253D923c4a3f%2526x-expires%253D1810717200%2526x-signature%253D%25252Fr%25252BTSf4kOl3UB%25252FY6QJ1FGn0DJsw%25253D%2526t%253D4d5b0474%2526ps%253D13740610%2526shp%253Dd05b14bd%2526shcp%253D34ff8df6%2526idc%253Dmy3%2526s%253DTIKTOK_AFFILIATE_VIRAL_VIDEO%22%2C%22placeholder_product_id%22%3A%221733994191119943294%22%2C%22placeholder_video_id%22%3A%227639330499206401300%22%7D&amp;ec_shared_reflux_scene=shop_tab_feed&amp;share_item_id=7639330499206401300&amp;source=h5_t" TargetMode="External"/><Relationship Id="rId48" Type="http://schemas.openxmlformats.org/officeDocument/2006/relationships/hyperlink" Target="https://vt.tiktok.com/ZS9K39HUE/" TargetMode="External"/><Relationship Id="rId47" Type="http://schemas.openxmlformats.org/officeDocument/2006/relationships/hyperlink" Target="https://vt.tiktok.com/ZS9gjwPge/" TargetMode="External"/><Relationship Id="rId49" Type="http://schemas.openxmlformats.org/officeDocument/2006/relationships/hyperlink" Target="https://www.tiktok.com/@nadastylee" TargetMode="External"/><Relationship Id="rId31" Type="http://schemas.openxmlformats.org/officeDocument/2006/relationships/hyperlink" Target="https://www.tiktok.com/@hi_jaenaa" TargetMode="External"/><Relationship Id="rId30" Type="http://schemas.openxmlformats.org/officeDocument/2006/relationships/hyperlink" Target="https://www.tiktok.com/@hann01232" TargetMode="External"/><Relationship Id="rId33" Type="http://schemas.openxmlformats.org/officeDocument/2006/relationships/hyperlink" Target="https://www.tiktok.com/@yoonab" TargetMode="External"/><Relationship Id="rId32" Type="http://schemas.openxmlformats.org/officeDocument/2006/relationships/hyperlink" Target="https://www.tiktok.com/@hi_jaenaa/video/7647606212384591122?is_from_webapp=1&amp;sender_device=pc" TargetMode="External"/><Relationship Id="rId35" Type="http://schemas.openxmlformats.org/officeDocument/2006/relationships/hyperlink" Target="https://vt.tiktok.com/ZS9Ur7CFr/" TargetMode="External"/><Relationship Id="rId34" Type="http://schemas.openxmlformats.org/officeDocument/2006/relationships/hyperlink" Target="https://vt.tiktok.com/ZS9UrtjsK/" TargetMode="External"/><Relationship Id="rId37" Type="http://schemas.openxmlformats.org/officeDocument/2006/relationships/hyperlink" Target="https://www.tiktok.com/@yoonab/video/7637507607523020040?_r=1&amp;u_code=dabh7g7fgb02kl&amp;region=&amp;mid=7618434961690970881&amp;preview_pb=0&amp;sharer_language=&amp;_d=0&amp;ec_shared_reflux_dynamic_params=%7B%22placeholder_material_id%22%3A%227637507607523020040%22%2C%22placeholder_origin_cover%22%3A%22https%253A%252F%252Fp16-sign-sg.tiktokcdn.com%252Ftos-alisg-p-0037%252FoUFZGxG4eL8eE0oI9fsDwxLICfFLIRnLGIAALG~tplv-tiktokx-origin.jpeg%253Fdr%253D14572%2526refresh_token%253D8804794a%2526x-expires%253D1810008000%2526x-signature%253DIH%25252BxbHidTGyiuEX5LEDJ13n7uls%25253D%2526t%253D4d5b0474%2526ps%253D13740610%2526shp%253Dd05b14bd%2526shcp%253D34ff8df6%2526idc%253Dmy%2526s%253DTIKTOK_AFFILIATE_VIRAL_VIDEO%22%2C%22placeholder_product_id%22%3A%221733993897950938750%22%2C%22placeholder_video_id%22%3A%227637507607523020040%22%7D&amp;ec_shared_reflux_scene=shop_tab_feed&amp;share_item_id=7637507607523020040&amp;source=h5_t" TargetMode="External"/><Relationship Id="rId36" Type="http://schemas.openxmlformats.org/officeDocument/2006/relationships/hyperlink" Target="https://vt.tiktok.com/ZS9fV8CCW/" TargetMode="External"/><Relationship Id="rId39" Type="http://schemas.openxmlformats.org/officeDocument/2006/relationships/hyperlink" Target="https://vt.tiktok.com/ZS9PJajWq/" TargetMode="External"/><Relationship Id="rId38" Type="http://schemas.openxmlformats.org/officeDocument/2006/relationships/hyperlink" Target="https://www.tiktok.com/@sasaamuuuu" TargetMode="External"/><Relationship Id="rId20" Type="http://schemas.openxmlformats.org/officeDocument/2006/relationships/hyperlink" Target="https://vt.tiktok.com/ZS9hbRe6W/" TargetMode="External"/><Relationship Id="rId22" Type="http://schemas.openxmlformats.org/officeDocument/2006/relationships/hyperlink" Target="https://vt.tiktok.com/ZS9YDmLKA/" TargetMode="External"/><Relationship Id="rId21" Type="http://schemas.openxmlformats.org/officeDocument/2006/relationships/hyperlink" Target="https://www.tiktok.com/@ptriimyaa" TargetMode="External"/><Relationship Id="rId24" Type="http://schemas.openxmlformats.org/officeDocument/2006/relationships/hyperlink" Target="https://vt.tiktok.com/ZS9mQY4KJ/" TargetMode="External"/><Relationship Id="rId23" Type="http://schemas.openxmlformats.org/officeDocument/2006/relationships/hyperlink" Target="https://vt.tiktok.com/ZS9mQNy5C/" TargetMode="External"/><Relationship Id="rId26" Type="http://schemas.openxmlformats.org/officeDocument/2006/relationships/hyperlink" Target="https://www.tiktok.com/@mim07_27" TargetMode="External"/><Relationship Id="rId25" Type="http://schemas.openxmlformats.org/officeDocument/2006/relationships/hyperlink" Target="https://vt.tiktok.com/ZS93a2M6K/" TargetMode="External"/><Relationship Id="rId28" Type="http://schemas.openxmlformats.org/officeDocument/2006/relationships/hyperlink" Target="https://vt.tiktok.com/ZS9QbLKqB/" TargetMode="External"/><Relationship Id="rId27" Type="http://schemas.openxmlformats.org/officeDocument/2006/relationships/hyperlink" Target="https://vt.tiktok.com/ZS9QNmyyL/" TargetMode="External"/><Relationship Id="rId29" Type="http://schemas.openxmlformats.org/officeDocument/2006/relationships/hyperlink" Target="https://www.tiktok.com/@mim07_27/video/7642273752746691861?_r=1&amp;u_code=ed1bfba1e0h9i9&amp;region=&amp;mid=7637936038535187218&amp;preview_pb=0&amp;sharer_language=&amp;_d=0&amp;ec_shared_reflux_dynamic_params=%7B%22placeholder_material_id%22%3A%227642273752746691861%22%2C%22placeholder_origin_cover%22%3A%22https%253A%252F%252Fp19-common-sign.tiktokcdn.com%252Ftos-alisg-p-0037%252FoQXBYXaOA3mU4X0PA2iBWgaPIwB0z7BIEviEJ~tplv-tiktokx-origin.jpeg%253Fdr%253D14572%2526refresh_token%253D4f04b6ad%2526x-expires%253D1811239200%2526x-signature%253D6jupnY6kHEyHs8fnkNBRyyh8520%25253D%2526t%253D4d5b0474%2526ps%253D13740610%2526shp%253Dd05b14bd%2526shcp%253D34ff8df6%2526idc%253Dmy2%2526s%253DTIKTOK_AFFILIATE_VIRAL_VIDEO%22%2C%22placeholder_product_id%22%3A%221729579915792254590%22%2C%22placeholder_video_id%22%3A%227642273752746691861%22%7D&amp;ec_shared_reflux_scene=shop_tab_feed&amp;share_item_id=7642273752746691861&amp;source=h5_t" TargetMode="External"/><Relationship Id="rId11" Type="http://schemas.openxmlformats.org/officeDocument/2006/relationships/hyperlink" Target="https://www.tiktok.com/@indyglowing7/video/7642906481544662290?_r=1&amp;u_code=egk0jk8il41bie&amp;region=&amp;mid=7408068079124466437&amp;preview_pb=0&amp;sharer_language=&amp;_d=0&amp;ec_shared_reflux_dynamic_params=%7B%22placeholder_material_id%22%3A%227642906481544662290%22%2C%22placeholder_origin_cover%22%3A%22https%253A%252F%252Fp16-common-sign.tiktokcdn.com%252Ftos-alisg-p-0037%252Fo07RIo5xyXPEIhViEjvLQ7YDBAIaAi5O0BlAI~tplv-tiktokx-origin.jpeg%253Fdr%253D14572%2526refresh_token%253Df48bbb1d%2526x-expires%253D1811239200%2526x-signature%253DMCc%25252FvPt6Qc%25252B9f%25252Fxj7lIziGWCOuk%25253D%2526t%253D4d5b0474%2526ps%253D13740610%2526shp%253Dd05b14bd%2526shcp%253D34ff8df6%2526idc%253Dmy3%2526s%253DTIKTOK_AFFILIATE_VIRAL_VIDEO%22%2C%22placeholder_product_id%22%3A%221730862762781279870%22%2C%22placeholder_video_id%22%3A%227642906481544662290%22%7D&amp;ec_shared_reflux_scene=shop_tab_feed&amp;share_item_id=7642906481544662290&amp;source=h5_t" TargetMode="External"/><Relationship Id="rId10" Type="http://schemas.openxmlformats.org/officeDocument/2006/relationships/hyperlink" Target="https://www.tiktok.com/@indyglowing7" TargetMode="External"/><Relationship Id="rId13" Type="http://schemas.openxmlformats.org/officeDocument/2006/relationships/hyperlink" Target="https://vt.tiktok.com/ZS9hatacw/" TargetMode="External"/><Relationship Id="rId12" Type="http://schemas.openxmlformats.org/officeDocument/2006/relationships/hyperlink" Target="https://www.tiktok.com/@esgeerte" TargetMode="External"/><Relationship Id="rId15" Type="http://schemas.openxmlformats.org/officeDocument/2006/relationships/hyperlink" Target="https://www.tiktok.com/@gabolegalakya" TargetMode="External"/><Relationship Id="rId14" Type="http://schemas.openxmlformats.org/officeDocument/2006/relationships/hyperlink" Target="https://vt.tiktok.com/ZS9fq6f6U/" TargetMode="External"/><Relationship Id="rId17" Type="http://schemas.openxmlformats.org/officeDocument/2006/relationships/hyperlink" Target="https://www.tiktok.com/@aradumpie.__" TargetMode="External"/><Relationship Id="rId16" Type="http://schemas.openxmlformats.org/officeDocument/2006/relationships/hyperlink" Target="https://vt.tiktok.com/ZS9aY1Exb/" TargetMode="External"/><Relationship Id="rId19" Type="http://schemas.openxmlformats.org/officeDocument/2006/relationships/hyperlink" Target="https://www.tiktok.com/@riskakhusnia" TargetMode="External"/><Relationship Id="rId18" Type="http://schemas.openxmlformats.org/officeDocument/2006/relationships/hyperlink" Target="https://vt.tiktok.com/ZS94JhgdR/" TargetMode="External"/><Relationship Id="rId84" Type="http://schemas.openxmlformats.org/officeDocument/2006/relationships/hyperlink" Target="https://vt.tiktok.com/ZS95NNaun/" TargetMode="External"/><Relationship Id="rId83" Type="http://schemas.openxmlformats.org/officeDocument/2006/relationships/hyperlink" Target="https://www.tiktok.com/@ceyicherry" TargetMode="External"/><Relationship Id="rId86" Type="http://schemas.openxmlformats.org/officeDocument/2006/relationships/hyperlink" Target="https://www.tiktok.com/@rikaa.han" TargetMode="External"/><Relationship Id="rId85" Type="http://schemas.openxmlformats.org/officeDocument/2006/relationships/hyperlink" Target="https://vt.tiktok.com/ZS95NQP6R/" TargetMode="External"/><Relationship Id="rId88" Type="http://schemas.openxmlformats.org/officeDocument/2006/relationships/hyperlink" Target="https://www.tiktok.com/@chaaaajalahyah" TargetMode="External"/><Relationship Id="rId87" Type="http://schemas.openxmlformats.org/officeDocument/2006/relationships/hyperlink" Target="https://www.tiktok.com/@rikaa.han/video/7638592992516885780?_r=1&amp;u_code=daf7gl1k8bd8md&amp;region=&amp;mid=7140825716413041435&amp;preview_pb=0&amp;sharer_language=&amp;_d=0&amp;ec_shared_reflux_dynamic_params=%7B%22placeholder_material_id%22%3A%227638592992516885780%22%2C%22placeholder_origin_cover%22%3A%22https%253A%252F%252Fp16-common-sign.tiktokcdn.com%252Ftos-alisg-p-0037%252FoIJdeBgeoYGWrByDFmWQAeMpRBAGjbHQQf8kQu~tplv-tiktokx-origin.jpeg%253Fdr%253D14572%2526refresh_token%253Db9e8c6e1%2526x-expires%253D1810112400%2526x-signature%253D3DXlnSI%25252FJtQUqZvkivedp%25252BG1pFw%25253D%2526t%253D4d5b0474%2526ps%253D13740610%2526shp%253Dd05b14bd%2526shcp%253D34ff8df6%2526idc%253Dmy%2526s%253DTIKTOK_AFFILIATE_VIRAL_VIDEO%22%2C%22placeholder_product_id%22%3A%221733994191119943294%22%2C%22placeholder_video_id%22%3A%227638592992516885780%22%7D&amp;ec_shared_reflux_scene=shop_tab_feed&amp;share_item_id=7638592992516885780&amp;source=h5_t" TargetMode="External"/><Relationship Id="rId89" Type="http://schemas.openxmlformats.org/officeDocument/2006/relationships/hyperlink" Target="https://vt.tiktok.com/ZS9gKnt8B/" TargetMode="External"/><Relationship Id="rId80" Type="http://schemas.openxmlformats.org/officeDocument/2006/relationships/hyperlink" Target="https://www.tiktok.com/@wulanmaulida056" TargetMode="External"/><Relationship Id="rId82" Type="http://schemas.openxmlformats.org/officeDocument/2006/relationships/hyperlink" Target="https://vt.tiktok.com/ZSxEMEnH3/" TargetMode="External"/><Relationship Id="rId81" Type="http://schemas.openxmlformats.org/officeDocument/2006/relationships/hyperlink" Target="https://www.tiktok.com/@itshaazz" TargetMode="External"/><Relationship Id="rId73" Type="http://schemas.openxmlformats.org/officeDocument/2006/relationships/hyperlink" Target="https://www.tiktok.com/@itsmetresna2" TargetMode="External"/><Relationship Id="rId72" Type="http://schemas.openxmlformats.org/officeDocument/2006/relationships/hyperlink" Target="https://vt.tiktok.com/ZSxjBfthH/" TargetMode="External"/><Relationship Id="rId75" Type="http://schemas.openxmlformats.org/officeDocument/2006/relationships/hyperlink" Target="https://vt.tiktok.com/ZSxjewAug/" TargetMode="External"/><Relationship Id="rId74" Type="http://schemas.openxmlformats.org/officeDocument/2006/relationships/hyperlink" Target="https://vt.tiktok.com/ZS9GY2RXA/" TargetMode="External"/><Relationship Id="rId77" Type="http://schemas.openxmlformats.org/officeDocument/2006/relationships/hyperlink" Target="https://vt.tiktok.com/ZS9pnxter/" TargetMode="External"/><Relationship Id="rId76" Type="http://schemas.openxmlformats.org/officeDocument/2006/relationships/hyperlink" Target="https://www.tiktok.com/@pipittindah_" TargetMode="External"/><Relationship Id="rId79" Type="http://schemas.openxmlformats.org/officeDocument/2006/relationships/hyperlink" Target="https://vt.tiktok.com/ZS94dJUoc/" TargetMode="External"/><Relationship Id="rId78" Type="http://schemas.openxmlformats.org/officeDocument/2006/relationships/hyperlink" Target="https://www.tiktok.com/@euphoriatz" TargetMode="External"/><Relationship Id="rId71" Type="http://schemas.openxmlformats.org/officeDocument/2006/relationships/hyperlink" Target="https://vt.tiktok.com/ZSxjeP7r4/" TargetMode="External"/><Relationship Id="rId70" Type="http://schemas.openxmlformats.org/officeDocument/2006/relationships/hyperlink" Target="https://vt.tiktok.com/ZSxjeUdTg/" TargetMode="External"/><Relationship Id="rId62" Type="http://schemas.openxmlformats.org/officeDocument/2006/relationships/hyperlink" Target="https://www.tiktok.com/@putri.antris" TargetMode="External"/><Relationship Id="rId61" Type="http://schemas.openxmlformats.org/officeDocument/2006/relationships/hyperlink" Target="https://www.tiktok.com/@snlaily/video/7635627155304516885?_r=1&amp;u_code=de5cg8iead66ac&amp;region=&amp;mid=7437416641845119761&amp;preview_pb=0&amp;sharer_language=&amp;_d=0&amp;ec_shared_reflux_dynamic_params=%7B%22placeholder_material_id%22%3A%227635627155304516885%22%2C%22placeholder_origin_cover%22%3A%22https%253A%252F%252Fp16-common-sign.tiktokcdn.com%252Ftos-alisg-p-0037%252FoovjGIAeQFTD8qIPQCubN4Lwh7IpZDem8fADTV~tplv-tiktokx-origin.jpeg%253Fdr%253D14572%2526refresh_token%253Df2bdfeaa%2526x-expires%253D1809684000%2526x-signature%253DoICw9ySIfsMn7o%25252BFXJYi9uJbc%25252B4%25253D%2526t%253D4d5b0474%2526ps%253D13740610%2526shp%253Dd05b14bd%2526shcp%253D34ff8df6%2526idc%253Dmy%2526s%253DTIKTOK_AFFILIATE_VIRAL_VIDEO%22%2C%22placeholder_product_id%22%3A%221733993897950938750%22%2C%22placeholder_video_id%22%3A%227635627155304516885%22%7D&amp;ec_shared_reflux_scene=shop_tab_feed&amp;share_item_id=7635627155304516885&amp;source=h5_t" TargetMode="External"/><Relationship Id="rId64" Type="http://schemas.openxmlformats.org/officeDocument/2006/relationships/hyperlink" Target="https://vt.tiktok.com/ZSxJWYv3n/" TargetMode="External"/><Relationship Id="rId63" Type="http://schemas.openxmlformats.org/officeDocument/2006/relationships/hyperlink" Target="https://vt.tiktok.com/ZSxJnQX28/" TargetMode="External"/><Relationship Id="rId66" Type="http://schemas.openxmlformats.org/officeDocument/2006/relationships/hyperlink" Target="https://www.tiktok.com/@zoshiday" TargetMode="External"/><Relationship Id="rId65" Type="http://schemas.openxmlformats.org/officeDocument/2006/relationships/hyperlink" Target="https://vt.tiktok.com/ZSxJW1m3v/" TargetMode="External"/><Relationship Id="rId68" Type="http://schemas.openxmlformats.org/officeDocument/2006/relationships/hyperlink" Target="https://www.tiktok.com/@Serbaserbishp" TargetMode="External"/><Relationship Id="rId67" Type="http://schemas.openxmlformats.org/officeDocument/2006/relationships/hyperlink" Target="https://vt.tiktok.com/ZS93dAsBJ/" TargetMode="External"/><Relationship Id="rId60" Type="http://schemas.openxmlformats.org/officeDocument/2006/relationships/hyperlink" Target="https://vt.tiktok.com/ZS9QrqAGV/" TargetMode="External"/><Relationship Id="rId69" Type="http://schemas.openxmlformats.org/officeDocument/2006/relationships/hyperlink" Target="https://vt.tiktok.com/ZSxjeDs4M/" TargetMode="External"/><Relationship Id="rId51" Type="http://schemas.openxmlformats.org/officeDocument/2006/relationships/hyperlink" Target="https://vt.tiktok.com/ZS9Bv4dmP/" TargetMode="External"/><Relationship Id="rId50" Type="http://schemas.openxmlformats.org/officeDocument/2006/relationships/hyperlink" Target="https://vt.tiktok.com/ZS9BvTDtA/" TargetMode="External"/><Relationship Id="rId53" Type="http://schemas.openxmlformats.org/officeDocument/2006/relationships/hyperlink" Target="https://www.tiktok.com/@lidiaas__" TargetMode="External"/><Relationship Id="rId52" Type="http://schemas.openxmlformats.org/officeDocument/2006/relationships/hyperlink" Target="https://vt.tiktok.com/ZS9BvGPrH/" TargetMode="External"/><Relationship Id="rId55" Type="http://schemas.openxmlformats.org/officeDocument/2006/relationships/hyperlink" Target="https://www.tiktok.com/@ditapermata__" TargetMode="External"/><Relationship Id="rId54" Type="http://schemas.openxmlformats.org/officeDocument/2006/relationships/hyperlink" Target="https://www.tiktok.com/@lidiaas__/video/7643298866346855697?_r=1&amp;u_code=e4jfbhb9f0f22l&amp;region=&amp;mid=7485847719690242065&amp;preview_pb=0&amp;sharer_language=&amp;_d=0&amp;ec_shared_reflux_dynamic_params=%7B%22placeholder_material_id%22%3A%227643298866346855697%22%2C%22placeholder_origin_cover%22%3A%22https%253A%252F%252Fp16-common-sign.tiktokcdn.com%252Ftos-alisg-p-0037%252FoM0BDJi0IIEIvPEsGYaiBSBVAAizANhEkydAz~tplv-tiktokx-origin.jpeg%253Fdr%253D14572%2526refresh_token%253D2f259adf%2526x-expires%253D1811325600%2526x-signature%253DMilWptUIcLKctAdHg7jXxP4sHF0%25253D%2526t%253D4d5b0474%2526ps%253D13740610%2526shp%253Dd05b14bd%2526shcp%253D34ff8df6%2526idc%253Dmy2%2526s%253DTIKTOK_AFFILIATE_VIRAL_VIDEO%22%2C%22placeholder_product_id%22%3A%221730862762781279870%22%2C%22placeholder_video_id%22%3A%227643298866346855697%22%7D&amp;ec_shared_reflux_scene=shop_tab_feed&amp;share_item_id=7643298866346855697&amp;source=h5_t" TargetMode="External"/><Relationship Id="rId57" Type="http://schemas.openxmlformats.org/officeDocument/2006/relationships/hyperlink" Target="https://www.tiktok.com/@snlaily" TargetMode="External"/><Relationship Id="rId56" Type="http://schemas.openxmlformats.org/officeDocument/2006/relationships/hyperlink" Target="https://www.tiktok.com/@ifha_raisya" TargetMode="External"/><Relationship Id="rId59" Type="http://schemas.openxmlformats.org/officeDocument/2006/relationships/hyperlink" Target="https://vt.tiktok.com/ZS9Qr7hW6/" TargetMode="External"/><Relationship Id="rId58" Type="http://schemas.openxmlformats.org/officeDocument/2006/relationships/hyperlink" Target="https://vt.tiktok.com/ZS9Qr4BwM/" TargetMode="External"/><Relationship Id="rId95" Type="http://schemas.openxmlformats.org/officeDocument/2006/relationships/hyperlink" Target="https://www.tiktok.com/@septiikaaa3/video/7642367401253981458?_r=1&amp;u_code=d7bl00j20kfjhg&amp;region=&amp;mid=7642367434728409863&amp;preview_pb=0&amp;sharer_language=&amp;_d=0&amp;ec_shared_reflux_dynamic_params=%7B%22placeholder_material_id%22%3A%227642367401253981458%22%2C%22placeholder_origin_cover%22%3A%22https%253A%252F%252Fp16-common-sign.tiktokcdn.com%252Ftos-alisg-p-0037%252Focn1QIHbOAbxBISUwIiEBJqBQfWLuM5iACA4PI~tplv-tiktokx-origin.jpeg%253Fdr%253D14572%2526refresh_token%253Dcde81432%2526x-expires%253D1811239200%2526x-signature%253DjrsaCA93trRffZT2gS8mjoaqBbo%25253D%2526t%253D4d5b0474%2526ps%253D13740610%2526shp%253Dd05b14bd%2526shcp%253D34ff8df6%2526idc%253Dmy2%2526s%253DTIKTOK_AFFILIATE_VIRAL_VIDEO%22%2C%22placeholder_product_id%22%3A%221729430957134940798%22%2C%22placeholder_video_id%22%3A%227642367401253981458%22%7D&amp;ec_shared_reflux_scene=shop_tab_feed&amp;share_item_id=7642367401253981458&amp;source=h5_t" TargetMode="External"/><Relationship Id="rId94" Type="http://schemas.openxmlformats.org/officeDocument/2006/relationships/hyperlink" Target="https://www.tiktok.com/@septi.ikaa" TargetMode="External"/><Relationship Id="rId97" Type="http://schemas.openxmlformats.org/officeDocument/2006/relationships/hyperlink" Target="https://vt.tiktok.com/ZSxGcahCa/" TargetMode="External"/><Relationship Id="rId96" Type="http://schemas.openxmlformats.org/officeDocument/2006/relationships/hyperlink" Target="https://www.tiktok.com/@ndaahq" TargetMode="External"/><Relationship Id="rId99" Type="http://schemas.openxmlformats.org/officeDocument/2006/relationships/hyperlink" Target="https://www.tiktok.com/@anisarobiyanti" TargetMode="External"/><Relationship Id="rId98" Type="http://schemas.openxmlformats.org/officeDocument/2006/relationships/hyperlink" Target="https://www.tiktok.com/@naylaazhrni" TargetMode="External"/><Relationship Id="rId91" Type="http://schemas.openxmlformats.org/officeDocument/2006/relationships/hyperlink" Target="https://www.tiktok.com/@witzzbeauty" TargetMode="External"/><Relationship Id="rId90" Type="http://schemas.openxmlformats.org/officeDocument/2006/relationships/hyperlink" Target="https://www.tiktok.com/@whoshuna" TargetMode="External"/><Relationship Id="rId93" Type="http://schemas.openxmlformats.org/officeDocument/2006/relationships/hyperlink" Target="https://vt.tiktok.com/ZSQeHNVXm/" TargetMode="External"/><Relationship Id="rId92" Type="http://schemas.openxmlformats.org/officeDocument/2006/relationships/hyperlink" Target="https://www.tiktok.com/@moon_haloho" TargetMode="External"/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hyperlink" Target="http://dinif.sa" TargetMode="External"/><Relationship Id="rId9" Type="http://schemas.openxmlformats.org/officeDocument/2006/relationships/hyperlink" Target="https://vt.tiktok.com/ZS9f4L7eA/" TargetMode="External"/><Relationship Id="rId5" Type="http://schemas.openxmlformats.org/officeDocument/2006/relationships/hyperlink" Target="https://www.tiktok.com/@dinif.sa" TargetMode="External"/><Relationship Id="rId6" Type="http://schemas.openxmlformats.org/officeDocument/2006/relationships/hyperlink" Target="https://vt.tiktok.com/ZS9UrhXM2/" TargetMode="External"/><Relationship Id="rId7" Type="http://schemas.openxmlformats.org/officeDocument/2006/relationships/hyperlink" Target="https://vt.tiktok.com/ZS9UrNYHW/" TargetMode="External"/><Relationship Id="rId8" Type="http://schemas.openxmlformats.org/officeDocument/2006/relationships/hyperlink" Target="https://vt.tiktok.com/ZS9Ur5eN8/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iktok.com/@tamiputriars" TargetMode="External"/><Relationship Id="rId42" Type="http://schemas.openxmlformats.org/officeDocument/2006/relationships/hyperlink" Target="https://www.tiktok.com/@bilqiesky" TargetMode="External"/><Relationship Id="rId41" Type="http://schemas.openxmlformats.org/officeDocument/2006/relationships/hyperlink" Target="https://www.tiktok.com/@hi_jaenaa" TargetMode="External"/><Relationship Id="rId44" Type="http://schemas.openxmlformats.org/officeDocument/2006/relationships/hyperlink" Target="https://www.tiktok.com/@" TargetMode="External"/><Relationship Id="rId43" Type="http://schemas.openxmlformats.org/officeDocument/2006/relationships/hyperlink" Target="https://www.tiktok.com/@" TargetMode="External"/><Relationship Id="rId46" Type="http://schemas.openxmlformats.org/officeDocument/2006/relationships/hyperlink" Target="https://www.tiktok.com/@" TargetMode="External"/><Relationship Id="rId45" Type="http://schemas.openxmlformats.org/officeDocument/2006/relationships/hyperlink" Target="https://www.tiktok.com/@" TargetMode="External"/><Relationship Id="rId48" Type="http://schemas.openxmlformats.org/officeDocument/2006/relationships/hyperlink" Target="https://www.tiktok.com/@" TargetMode="External"/><Relationship Id="rId47" Type="http://schemas.openxmlformats.org/officeDocument/2006/relationships/hyperlink" Target="https://www.tiktok.com/@" TargetMode="External"/><Relationship Id="rId49" Type="http://schemas.openxmlformats.org/officeDocument/2006/relationships/hyperlink" Target="https://www.tiktok.com/@" TargetMode="External"/><Relationship Id="rId31" Type="http://schemas.openxmlformats.org/officeDocument/2006/relationships/hyperlink" Target="https://www.tiktok.com/@rikaa.han" TargetMode="External"/><Relationship Id="rId30" Type="http://schemas.openxmlformats.org/officeDocument/2006/relationships/hyperlink" Target="https://www.tiktok.com/@pipittindah_" TargetMode="External"/><Relationship Id="rId33" Type="http://schemas.openxmlformats.org/officeDocument/2006/relationships/hyperlink" Target="https://www.tiktok.com/@innaahhiyan" TargetMode="External"/><Relationship Id="rId32" Type="http://schemas.openxmlformats.org/officeDocument/2006/relationships/hyperlink" Target="https://www.tiktok.com/@itshaazz" TargetMode="External"/><Relationship Id="rId35" Type="http://schemas.openxmlformats.org/officeDocument/2006/relationships/hyperlink" Target="https://www.tiktok.com/@akunkentangku1" TargetMode="External"/><Relationship Id="rId34" Type="http://schemas.openxmlformats.org/officeDocument/2006/relationships/hyperlink" Target="https://www.tiktok.com/@dindaaprd_" TargetMode="External"/><Relationship Id="rId37" Type="http://schemas.openxmlformats.org/officeDocument/2006/relationships/hyperlink" Target="https://www.tiktok.com/@zihanokta" TargetMode="External"/><Relationship Id="rId36" Type="http://schemas.openxmlformats.org/officeDocument/2006/relationships/hyperlink" Target="https://www.tiktok.com/@libranwww" TargetMode="External"/><Relationship Id="rId39" Type="http://schemas.openxmlformats.org/officeDocument/2006/relationships/hyperlink" Target="https://www.tiktok.com/@spillbareng.april" TargetMode="External"/><Relationship Id="rId38" Type="http://schemas.openxmlformats.org/officeDocument/2006/relationships/hyperlink" Target="https://www.tiktok.com/@tesazakia" TargetMode="External"/><Relationship Id="rId20" Type="http://schemas.openxmlformats.org/officeDocument/2006/relationships/hyperlink" Target="https://www.tiktok.com/@ekbardiary" TargetMode="External"/><Relationship Id="rId22" Type="http://schemas.openxmlformats.org/officeDocument/2006/relationships/hyperlink" Target="https://www.tiktok.com/@yanti_nainggolan" TargetMode="External"/><Relationship Id="rId21" Type="http://schemas.openxmlformats.org/officeDocument/2006/relationships/hyperlink" Target="https://www.tiktok.com/@nris9" TargetMode="External"/><Relationship Id="rId24" Type="http://schemas.openxmlformats.org/officeDocument/2006/relationships/hyperlink" Target="https://www.tiktok.com/@ndaahq" TargetMode="External"/><Relationship Id="rId23" Type="http://schemas.openxmlformats.org/officeDocument/2006/relationships/hyperlink" Target="https://www.tiktok.com/@melani.makeup17" TargetMode="External"/><Relationship Id="rId26" Type="http://schemas.openxmlformats.org/officeDocument/2006/relationships/hyperlink" Target="https://www.tiktok.com/@mayanadiaa" TargetMode="External"/><Relationship Id="rId25" Type="http://schemas.openxmlformats.org/officeDocument/2006/relationships/hyperlink" Target="https://www.tiktok.com/@intnwulnn_" TargetMode="External"/><Relationship Id="rId28" Type="http://schemas.openxmlformats.org/officeDocument/2006/relationships/hyperlink" Target="https://www.tiktok.com/@popynoviana_" TargetMode="External"/><Relationship Id="rId27" Type="http://schemas.openxmlformats.org/officeDocument/2006/relationships/hyperlink" Target="https://www.tiktok.com/@liayulianti1278" TargetMode="External"/><Relationship Id="rId29" Type="http://schemas.openxmlformats.org/officeDocument/2006/relationships/hyperlink" Target="https://www.tiktok.com/@melisadyp" TargetMode="External"/><Relationship Id="rId11" Type="http://schemas.openxmlformats.org/officeDocument/2006/relationships/hyperlink" Target="https://www.tiktok.com/@mardi_yanti" TargetMode="External"/><Relationship Id="rId10" Type="http://schemas.openxmlformats.org/officeDocument/2006/relationships/hyperlink" Target="https://www.tiktok.com/@urchocobite" TargetMode="External"/><Relationship Id="rId13" Type="http://schemas.openxmlformats.org/officeDocument/2006/relationships/hyperlink" Target="https://www.tiktok.com/@sinanr18" TargetMode="External"/><Relationship Id="rId12" Type="http://schemas.openxmlformats.org/officeDocument/2006/relationships/hyperlink" Target="https://www.tiktok.com/@thya_pookie" TargetMode="External"/><Relationship Id="rId15" Type="http://schemas.openxmlformats.org/officeDocument/2006/relationships/hyperlink" Target="https://www.tiktok.com/@fitrianahisnainy" TargetMode="External"/><Relationship Id="rId14" Type="http://schemas.openxmlformats.org/officeDocument/2006/relationships/hyperlink" Target="https://www.tiktok.com/@_ikaawdwnty" TargetMode="External"/><Relationship Id="rId17" Type="http://schemas.openxmlformats.org/officeDocument/2006/relationships/hyperlink" Target="https://www.tiktok.com/@thnlykai" TargetMode="External"/><Relationship Id="rId16" Type="http://schemas.openxmlformats.org/officeDocument/2006/relationships/hyperlink" Target="https://www.tiktok.com/@apriliakartiningsih" TargetMode="External"/><Relationship Id="rId19" Type="http://schemas.openxmlformats.org/officeDocument/2006/relationships/hyperlink" Target="https://www.tiktok.com/@zrshafaaaa" TargetMode="External"/><Relationship Id="rId18" Type="http://schemas.openxmlformats.org/officeDocument/2006/relationships/hyperlink" Target="https://www.tiktok.com/@gabolegalakya" TargetMode="External"/><Relationship Id="rId61" Type="http://schemas.openxmlformats.org/officeDocument/2006/relationships/drawing" Target="../drawings/drawing23.xml"/><Relationship Id="rId63" Type="http://schemas.openxmlformats.org/officeDocument/2006/relationships/table" Target="../tables/table4.xml"/><Relationship Id="rId60" Type="http://schemas.openxmlformats.org/officeDocument/2006/relationships/hyperlink" Target="https://www.tiktok.com/@" TargetMode="External"/><Relationship Id="rId51" Type="http://schemas.openxmlformats.org/officeDocument/2006/relationships/hyperlink" Target="https://www.tiktok.com/@" TargetMode="External"/><Relationship Id="rId50" Type="http://schemas.openxmlformats.org/officeDocument/2006/relationships/hyperlink" Target="https://www.tiktok.com/@" TargetMode="External"/><Relationship Id="rId53" Type="http://schemas.openxmlformats.org/officeDocument/2006/relationships/hyperlink" Target="https://www.tiktok.com/@" TargetMode="External"/><Relationship Id="rId52" Type="http://schemas.openxmlformats.org/officeDocument/2006/relationships/hyperlink" Target="https://www.tiktok.com/@" TargetMode="External"/><Relationship Id="rId55" Type="http://schemas.openxmlformats.org/officeDocument/2006/relationships/hyperlink" Target="https://www.tiktok.com/@" TargetMode="External"/><Relationship Id="rId54" Type="http://schemas.openxmlformats.org/officeDocument/2006/relationships/hyperlink" Target="https://www.tiktok.com/@" TargetMode="External"/><Relationship Id="rId57" Type="http://schemas.openxmlformats.org/officeDocument/2006/relationships/hyperlink" Target="https://www.tiktok.com/@" TargetMode="External"/><Relationship Id="rId56" Type="http://schemas.openxmlformats.org/officeDocument/2006/relationships/hyperlink" Target="https://www.tiktok.com/@" TargetMode="External"/><Relationship Id="rId59" Type="http://schemas.openxmlformats.org/officeDocument/2006/relationships/hyperlink" Target="https://www.tiktok.com/@" TargetMode="External"/><Relationship Id="rId58" Type="http://schemas.openxmlformats.org/officeDocument/2006/relationships/hyperlink" Target="https://www.tiktok.com/@" TargetMode="External"/><Relationship Id="rId1" Type="http://schemas.openxmlformats.org/officeDocument/2006/relationships/hyperlink" Target="https://www.tiktok.com/@itscendi" TargetMode="External"/><Relationship Id="rId2" Type="http://schemas.openxmlformats.org/officeDocument/2006/relationships/hyperlink" Target="https://www.tiktok.com/@gadisaries97" TargetMode="External"/><Relationship Id="rId3" Type="http://schemas.openxmlformats.org/officeDocument/2006/relationships/hyperlink" Target="https://www.tiktok.com/@aputtii" TargetMode="External"/><Relationship Id="rId4" Type="http://schemas.openxmlformats.org/officeDocument/2006/relationships/hyperlink" Target="https://www.tiktok.com/@seli.desi.liani" TargetMode="External"/><Relationship Id="rId9" Type="http://schemas.openxmlformats.org/officeDocument/2006/relationships/hyperlink" Target="https://www.tiktok.com/@byfloe_" TargetMode="External"/><Relationship Id="rId5" Type="http://schemas.openxmlformats.org/officeDocument/2006/relationships/hyperlink" Target="https://www.tiktok.com/@sillviaaagr" TargetMode="External"/><Relationship Id="rId6" Type="http://schemas.openxmlformats.org/officeDocument/2006/relationships/hyperlink" Target="https://www.tiktok.com/@ferenaceta" TargetMode="External"/><Relationship Id="rId7" Type="http://schemas.openxmlformats.org/officeDocument/2006/relationships/hyperlink" Target="https://www.tiktok.com/@shavirapuspitacitra" TargetMode="External"/><Relationship Id="rId8" Type="http://schemas.openxmlformats.org/officeDocument/2006/relationships/hyperlink" Target="https://www.tiktok.com/@sunny.beaute" TargetMode="External"/></Relationships>
</file>

<file path=xl/worksheets/_rels/sheet24.xml.rels><?xml version="1.0" encoding="UTF-8" standalone="yes"?><Relationships xmlns="http://schemas.openxmlformats.org/package/2006/relationships"><Relationship Id="rId107" Type="http://schemas.openxmlformats.org/officeDocument/2006/relationships/hyperlink" Target="https://www.tiktok.com/@panderismad" TargetMode="External"/><Relationship Id="rId106" Type="http://schemas.openxmlformats.org/officeDocument/2006/relationships/hyperlink" Target="https://www.tiktok.com/@wansyah799" TargetMode="External"/><Relationship Id="rId105" Type="http://schemas.openxmlformats.org/officeDocument/2006/relationships/hyperlink" Target="https://www.tiktok.com/@plainjad" TargetMode="External"/><Relationship Id="rId104" Type="http://schemas.openxmlformats.org/officeDocument/2006/relationships/hyperlink" Target="https://www.tiktok.com/@agus.mensgrooming" TargetMode="External"/><Relationship Id="rId109" Type="http://schemas.openxmlformats.org/officeDocument/2006/relationships/drawing" Target="../drawings/drawing24.xml"/><Relationship Id="rId108" Type="http://schemas.openxmlformats.org/officeDocument/2006/relationships/hyperlink" Target="https://www.tiktok.com/@brocus_" TargetMode="External"/><Relationship Id="rId103" Type="http://schemas.openxmlformats.org/officeDocument/2006/relationships/hyperlink" Target="https://www.tiktok.com/@donisptr03_" TargetMode="External"/><Relationship Id="rId102" Type="http://schemas.openxmlformats.org/officeDocument/2006/relationships/hyperlink" Target="https://www.tiktok.com/@dsmanlase" TargetMode="External"/><Relationship Id="rId101" Type="http://schemas.openxmlformats.org/officeDocument/2006/relationships/hyperlink" Target="https://www.tiktok.com/@riyadus_sholichin" TargetMode="External"/><Relationship Id="rId100" Type="http://schemas.openxmlformats.org/officeDocument/2006/relationships/hyperlink" Target="https://www.tiktok.com/@situkangoutdoor" TargetMode="External"/><Relationship Id="rId40" Type="http://schemas.openxmlformats.org/officeDocument/2006/relationships/hyperlink" Target="https://vt.tiktok.com/ZSQMEJE8M/" TargetMode="External"/><Relationship Id="rId42" Type="http://schemas.openxmlformats.org/officeDocument/2006/relationships/hyperlink" Target="https://vt.tiktok.com/ZSQkRkvA5/" TargetMode="External"/><Relationship Id="rId41" Type="http://schemas.openxmlformats.org/officeDocument/2006/relationships/hyperlink" Target="https://vt.tiktok.com/ZSQh9NMXg/" TargetMode="External"/><Relationship Id="rId44" Type="http://schemas.openxmlformats.org/officeDocument/2006/relationships/hyperlink" Target="https://www.tiktok.com/@_daffanr" TargetMode="External"/><Relationship Id="rId43" Type="http://schemas.openxmlformats.org/officeDocument/2006/relationships/hyperlink" Target="https://www.tiktok.com/@wdnme_" TargetMode="External"/><Relationship Id="rId46" Type="http://schemas.openxmlformats.org/officeDocument/2006/relationships/hyperlink" Target="https://vt.tiktok.com/ZSQN8Jpn7/" TargetMode="External"/><Relationship Id="rId45" Type="http://schemas.openxmlformats.org/officeDocument/2006/relationships/hyperlink" Target="https://www.tiktok.com/@okinskincarepria" TargetMode="External"/><Relationship Id="rId48" Type="http://schemas.openxmlformats.org/officeDocument/2006/relationships/hyperlink" Target="https://www.tiktok.com/@bangglowmen" TargetMode="External"/><Relationship Id="rId47" Type="http://schemas.openxmlformats.org/officeDocument/2006/relationships/hyperlink" Target="https://vt.tiktok.com/ZSQrxnHf8/" TargetMode="External"/><Relationship Id="rId49" Type="http://schemas.openxmlformats.org/officeDocument/2006/relationships/hyperlink" Target="https://www.tiktok.com/@reviewbydavid_" TargetMode="External"/><Relationship Id="rId31" Type="http://schemas.openxmlformats.org/officeDocument/2006/relationships/hyperlink" Target="https://www.tiktok.com/@samjoe960" TargetMode="External"/><Relationship Id="rId30" Type="http://schemas.openxmlformats.org/officeDocument/2006/relationships/hyperlink" Target="https://vt.tiktok.com/ZSQMKmChx/" TargetMode="External"/><Relationship Id="rId33" Type="http://schemas.openxmlformats.org/officeDocument/2006/relationships/hyperlink" Target="http://mas.bozes.id" TargetMode="External"/><Relationship Id="rId32" Type="http://schemas.openxmlformats.org/officeDocument/2006/relationships/hyperlink" Target="https://www.tiktok.com/@jangudy" TargetMode="External"/><Relationship Id="rId35" Type="http://schemas.openxmlformats.org/officeDocument/2006/relationships/hyperlink" Target="https://vt.tiktok.com/ZSQ69fEPN/" TargetMode="External"/><Relationship Id="rId34" Type="http://schemas.openxmlformats.org/officeDocument/2006/relationships/hyperlink" Target="https://www.tiktok.com/@mas.bozes.id" TargetMode="External"/><Relationship Id="rId37" Type="http://schemas.openxmlformats.org/officeDocument/2006/relationships/hyperlink" Target="https://vt.tiktok.com/ZSQ69CKP8/" TargetMode="External"/><Relationship Id="rId36" Type="http://schemas.openxmlformats.org/officeDocument/2006/relationships/hyperlink" Target="https://vt.tiktok.com/ZSQ69CgHq/" TargetMode="External"/><Relationship Id="rId39" Type="http://schemas.openxmlformats.org/officeDocument/2006/relationships/hyperlink" Target="https://www.tiktok.com/@za.official.za" TargetMode="External"/><Relationship Id="rId38" Type="http://schemas.openxmlformats.org/officeDocument/2006/relationships/hyperlink" Target="http://za.official.za" TargetMode="External"/><Relationship Id="rId20" Type="http://schemas.openxmlformats.org/officeDocument/2006/relationships/hyperlink" Target="https://vt.tiktok.com/ZSQ6ufQ4K/" TargetMode="External"/><Relationship Id="rId22" Type="http://schemas.openxmlformats.org/officeDocument/2006/relationships/hyperlink" Target="https://vt.tiktok.com/ZSQ6urd6M/" TargetMode="External"/><Relationship Id="rId21" Type="http://schemas.openxmlformats.org/officeDocument/2006/relationships/hyperlink" Target="https://vt.tiktok.com/ZSQ6ukbCM/" TargetMode="External"/><Relationship Id="rId24" Type="http://schemas.openxmlformats.org/officeDocument/2006/relationships/hyperlink" Target="https://vt.tiktok.com/ZSQYybMGF/" TargetMode="External"/><Relationship Id="rId23" Type="http://schemas.openxmlformats.org/officeDocument/2006/relationships/hyperlink" Target="https://www.tiktok.com/@alimustofa567" TargetMode="External"/><Relationship Id="rId26" Type="http://schemas.openxmlformats.org/officeDocument/2006/relationships/hyperlink" Target="https://vt.tiktok.com/ZSQ67VYRs/" TargetMode="External"/><Relationship Id="rId25" Type="http://schemas.openxmlformats.org/officeDocument/2006/relationships/hyperlink" Target="https://vt.tiktok.com/ZSQYfwKsY/" TargetMode="External"/><Relationship Id="rId28" Type="http://schemas.openxmlformats.org/officeDocument/2006/relationships/hyperlink" Target="https://www.tiktok.com/@jujun2.7" TargetMode="External"/><Relationship Id="rId27" Type="http://schemas.openxmlformats.org/officeDocument/2006/relationships/hyperlink" Target="https://vt.tiktok.com/ZSQh4Af2u/" TargetMode="External"/><Relationship Id="rId29" Type="http://schemas.openxmlformats.org/officeDocument/2006/relationships/hyperlink" Target="https://vt.tiktok.com/ZSQ27rNEA/" TargetMode="External"/><Relationship Id="rId11" Type="http://schemas.openxmlformats.org/officeDocument/2006/relationships/hyperlink" Target="https://www.tiktok.com/@masss.raden22" TargetMode="External"/><Relationship Id="rId10" Type="http://schemas.openxmlformats.org/officeDocument/2006/relationships/hyperlink" Target="https://www.tiktok.com/@cakmanofficialll" TargetMode="External"/><Relationship Id="rId13" Type="http://schemas.openxmlformats.org/officeDocument/2006/relationships/hyperlink" Target="https://vt.tiktok.com/ZSQMeMn6e/" TargetMode="External"/><Relationship Id="rId12" Type="http://schemas.openxmlformats.org/officeDocument/2006/relationships/hyperlink" Target="https://www.tiktok.com/@ryzexin2" TargetMode="External"/><Relationship Id="rId15" Type="http://schemas.openxmlformats.org/officeDocument/2006/relationships/hyperlink" Target="https://www.tiktok.com/@nanang1710_" TargetMode="External"/><Relationship Id="rId14" Type="http://schemas.openxmlformats.org/officeDocument/2006/relationships/hyperlink" Target="https://vt.tiktok.com/ZSQMeMn6e/" TargetMode="External"/><Relationship Id="rId17" Type="http://schemas.openxmlformats.org/officeDocument/2006/relationships/hyperlink" Target="https://vt.tiktok.com/ZSQ6t8kMT/" TargetMode="External"/><Relationship Id="rId16" Type="http://schemas.openxmlformats.org/officeDocument/2006/relationships/hyperlink" Target="https://vt.tiktok.com/ZSQ6QHJ6A/" TargetMode="External"/><Relationship Id="rId19" Type="http://schemas.openxmlformats.org/officeDocument/2006/relationships/hyperlink" Target="https://vt.tiktok.com/ZSQ6uuDRp/" TargetMode="External"/><Relationship Id="rId18" Type="http://schemas.openxmlformats.org/officeDocument/2006/relationships/hyperlink" Target="https://www.tiktok.com/@irvan_adityaa" TargetMode="External"/><Relationship Id="rId84" Type="http://schemas.openxmlformats.org/officeDocument/2006/relationships/hyperlink" Target="https://www.tiktok.com/@glowupwithacan" TargetMode="External"/><Relationship Id="rId83" Type="http://schemas.openxmlformats.org/officeDocument/2006/relationships/hyperlink" Target="https://www.tiktok.com/@dibeli06" TargetMode="External"/><Relationship Id="rId86" Type="http://schemas.openxmlformats.org/officeDocument/2006/relationships/hyperlink" Target="https://www.tiktok.com/@rizkiju_" TargetMode="External"/><Relationship Id="rId85" Type="http://schemas.openxmlformats.org/officeDocument/2006/relationships/hyperlink" Target="https://www.tiktok.com/@edugrooming" TargetMode="External"/><Relationship Id="rId88" Type="http://schemas.openxmlformats.org/officeDocument/2006/relationships/hyperlink" Target="https://www.tiktok.com/@plainjad" TargetMode="External"/><Relationship Id="rId87" Type="http://schemas.openxmlformats.org/officeDocument/2006/relationships/hyperlink" Target="https://www.tiktok.com/@rizky_dino" TargetMode="External"/><Relationship Id="rId89" Type="http://schemas.openxmlformats.org/officeDocument/2006/relationships/hyperlink" Target="https://www.tiktok.com/@criesbabiess" TargetMode="External"/><Relationship Id="rId80" Type="http://schemas.openxmlformats.org/officeDocument/2006/relationships/hyperlink" Target="https://www.tiktok.com/@farasdanii" TargetMode="External"/><Relationship Id="rId82" Type="http://schemas.openxmlformats.org/officeDocument/2006/relationships/hyperlink" Target="https://www.tiktok.com/@hndiii2" TargetMode="External"/><Relationship Id="rId81" Type="http://schemas.openxmlformats.org/officeDocument/2006/relationships/hyperlink" Target="https://www.tiktok.com/@agiaalamsyah" TargetMode="External"/><Relationship Id="rId73" Type="http://schemas.openxmlformats.org/officeDocument/2006/relationships/hyperlink" Target="https://www.tiktok.com/@ojan" TargetMode="External"/><Relationship Id="rId72" Type="http://schemas.openxmlformats.org/officeDocument/2006/relationships/hyperlink" Target="https://www.tiktok.com/@mhmdfrns3" TargetMode="External"/><Relationship Id="rId75" Type="http://schemas.openxmlformats.org/officeDocument/2006/relationships/hyperlink" Target="https://www.tiktok.com/@trendipria.id" TargetMode="External"/><Relationship Id="rId74" Type="http://schemas.openxmlformats.org/officeDocument/2006/relationships/hyperlink" Target="http://trendipria.id" TargetMode="External"/><Relationship Id="rId77" Type="http://schemas.openxmlformats.org/officeDocument/2006/relationships/hyperlink" Target="https://www.tiktok.com/@zfofficialstore_" TargetMode="External"/><Relationship Id="rId76" Type="http://schemas.openxmlformats.org/officeDocument/2006/relationships/hyperlink" Target="https://www.tiktok.com/@samu3ll6" TargetMode="External"/><Relationship Id="rId79" Type="http://schemas.openxmlformats.org/officeDocument/2006/relationships/hyperlink" Target="https://www.tiktok.com/@bang.ara62" TargetMode="External"/><Relationship Id="rId78" Type="http://schemas.openxmlformats.org/officeDocument/2006/relationships/hyperlink" Target="https://www.tiktok.com/@adisaputra.real" TargetMode="External"/><Relationship Id="rId71" Type="http://schemas.openxmlformats.org/officeDocument/2006/relationships/hyperlink" Target="https://www.tiktok.com/@krakalat" TargetMode="External"/><Relationship Id="rId70" Type="http://schemas.openxmlformats.org/officeDocument/2006/relationships/hyperlink" Target="https://www.tiktok.com/@winduangga" TargetMode="External"/><Relationship Id="rId62" Type="http://schemas.openxmlformats.org/officeDocument/2006/relationships/hyperlink" Target="https://www.tiktok.com/@justkyyy17" TargetMode="External"/><Relationship Id="rId61" Type="http://schemas.openxmlformats.org/officeDocument/2006/relationships/hyperlink" Target="https://vt.tiktok.com/ZSQ6QRDTN/" TargetMode="External"/><Relationship Id="rId64" Type="http://schemas.openxmlformats.org/officeDocument/2006/relationships/hyperlink" Target="https://www.tiktok.com/@otwhulk_" TargetMode="External"/><Relationship Id="rId63" Type="http://schemas.openxmlformats.org/officeDocument/2006/relationships/hyperlink" Target="https://www.tiktok.com/@bang.clv" TargetMode="External"/><Relationship Id="rId66" Type="http://schemas.openxmlformats.org/officeDocument/2006/relationships/hyperlink" Target="https://www.tiktok.com/@itral8" TargetMode="External"/><Relationship Id="rId65" Type="http://schemas.openxmlformats.org/officeDocument/2006/relationships/hyperlink" Target="https://www.tiktok.com/@patrickchristian_" TargetMode="External"/><Relationship Id="rId68" Type="http://schemas.openxmlformats.org/officeDocument/2006/relationships/hyperlink" Target="https://www.tiktok.com/@kayycekout" TargetMode="External"/><Relationship Id="rId67" Type="http://schemas.openxmlformats.org/officeDocument/2006/relationships/hyperlink" Target="https://www.tiktok.com/@aryaprdnn_" TargetMode="External"/><Relationship Id="rId60" Type="http://schemas.openxmlformats.org/officeDocument/2006/relationships/hyperlink" Target="https://www.tiktok.com/@dodiafrizal13" TargetMode="External"/><Relationship Id="rId69" Type="http://schemas.openxmlformats.org/officeDocument/2006/relationships/hyperlink" Target="https://www.tiktok.com/@rizkyrare" TargetMode="External"/><Relationship Id="rId51" Type="http://schemas.openxmlformats.org/officeDocument/2006/relationships/hyperlink" Target="https://www.tiktok.com/@dylanfrozenfood" TargetMode="External"/><Relationship Id="rId50" Type="http://schemas.openxmlformats.org/officeDocument/2006/relationships/hyperlink" Target="https://www.tiktok.com/@luvveramide" TargetMode="External"/><Relationship Id="rId53" Type="http://schemas.openxmlformats.org/officeDocument/2006/relationships/hyperlink" Target="https://www.tiktok.com/@fbrian.ism" TargetMode="External"/><Relationship Id="rId52" Type="http://schemas.openxmlformats.org/officeDocument/2006/relationships/hyperlink" Target="https://www.tiktok.com/@henry.ijo" TargetMode="External"/><Relationship Id="rId55" Type="http://schemas.openxmlformats.org/officeDocument/2006/relationships/hyperlink" Target="https://www.tiktok.com/@odette.co.id" TargetMode="External"/><Relationship Id="rId54" Type="http://schemas.openxmlformats.org/officeDocument/2006/relationships/hyperlink" Target="http://odette.co.id" TargetMode="External"/><Relationship Id="rId57" Type="http://schemas.openxmlformats.org/officeDocument/2006/relationships/hyperlink" Target="https://www.tiktok.com/@masickkk_" TargetMode="External"/><Relationship Id="rId56" Type="http://schemas.openxmlformats.org/officeDocument/2006/relationships/hyperlink" Target="https://www.tiktok.com/@riqqo_" TargetMode="External"/><Relationship Id="rId59" Type="http://schemas.openxmlformats.org/officeDocument/2006/relationships/hyperlink" Target="https://www.tiktok.com/@laksapro26" TargetMode="External"/><Relationship Id="rId58" Type="http://schemas.openxmlformats.org/officeDocument/2006/relationships/hyperlink" Target="https://www.tiktok.com/@kawanbrother.01" TargetMode="External"/><Relationship Id="rId95" Type="http://schemas.openxmlformats.org/officeDocument/2006/relationships/hyperlink" Target="https://www.tiktok.com/@alfian242" TargetMode="External"/><Relationship Id="rId94" Type="http://schemas.openxmlformats.org/officeDocument/2006/relationships/hyperlink" Target="https://www.tiktok.com/@dino_anyket" TargetMode="External"/><Relationship Id="rId97" Type="http://schemas.openxmlformats.org/officeDocument/2006/relationships/hyperlink" Target="https://www.tiktok.com/@4beey" TargetMode="External"/><Relationship Id="rId96" Type="http://schemas.openxmlformats.org/officeDocument/2006/relationships/hyperlink" Target="https://www.tiktok.com/@jagatsusilo" TargetMode="External"/><Relationship Id="rId99" Type="http://schemas.openxmlformats.org/officeDocument/2006/relationships/hyperlink" Target="https://www.tiktok.com/@andhikawbw" TargetMode="External"/><Relationship Id="rId98" Type="http://schemas.openxmlformats.org/officeDocument/2006/relationships/hyperlink" Target="https://www.tiktok.com/@glowupwithfalih" TargetMode="External"/><Relationship Id="rId91" Type="http://schemas.openxmlformats.org/officeDocument/2006/relationships/hyperlink" Target="https://www.tiktok.com/@workoutbulk" TargetMode="External"/><Relationship Id="rId90" Type="http://schemas.openxmlformats.org/officeDocument/2006/relationships/hyperlink" Target="https://www.tiktok.com/@saefulbahri_15" TargetMode="External"/><Relationship Id="rId93" Type="http://schemas.openxmlformats.org/officeDocument/2006/relationships/hyperlink" Target="https://www.tiktok.com/@isanrbr" TargetMode="External"/><Relationship Id="rId92" Type="http://schemas.openxmlformats.org/officeDocument/2006/relationships/hyperlink" Target="https://www.tiktok.com/@ardy.gtg" TargetMode="External"/><Relationship Id="rId1" Type="http://schemas.openxmlformats.org/officeDocument/2006/relationships/hyperlink" Target="https://www.tiktok.com/@toekanktoeroe17" TargetMode="External"/><Relationship Id="rId2" Type="http://schemas.openxmlformats.org/officeDocument/2006/relationships/hyperlink" Target="https://www.tiktok.com/@maksimalkeren_" TargetMode="External"/><Relationship Id="rId3" Type="http://schemas.openxmlformats.org/officeDocument/2006/relationships/hyperlink" Target="https://www.tiktok.com/@alisykrn_" TargetMode="External"/><Relationship Id="rId4" Type="http://schemas.openxmlformats.org/officeDocument/2006/relationships/hyperlink" Target="https://vt.tiktok.com/ZSQ6bYf5p/" TargetMode="External"/><Relationship Id="rId9" Type="http://schemas.openxmlformats.org/officeDocument/2006/relationships/hyperlink" Target="https://www.tiktok.com/@nkkyoo_17" TargetMode="External"/><Relationship Id="rId5" Type="http://schemas.openxmlformats.org/officeDocument/2006/relationships/hyperlink" Target="https://vt.tiktok.com/ZSQ6tpbR1/" TargetMode="External"/><Relationship Id="rId6" Type="http://schemas.openxmlformats.org/officeDocument/2006/relationships/hyperlink" Target="https://vt.tiktok.com/ZSQ6ty62P/" TargetMode="External"/><Relationship Id="rId7" Type="http://schemas.openxmlformats.org/officeDocument/2006/relationships/hyperlink" Target="https://www.tiktok.com/@malikalter" TargetMode="External"/><Relationship Id="rId8" Type="http://schemas.openxmlformats.org/officeDocument/2006/relationships/hyperlink" Target="https://www.tiktok.com/@llaavieenbluu" TargetMode="Externa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://source.name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4.13"/>
    <col customWidth="1" min="3" max="3" width="57.88"/>
    <col customWidth="1" min="4" max="4" width="22.13"/>
    <col customWidth="1" min="7" max="7" width="1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7</v>
      </c>
      <c r="B2" s="4" t="s">
        <v>8</v>
      </c>
      <c r="C2" s="4" t="s">
        <v>9</v>
      </c>
      <c r="D2" s="5" t="s">
        <v>10</v>
      </c>
      <c r="E2" s="4" t="s">
        <v>11</v>
      </c>
      <c r="F2" s="6" t="s">
        <v>12</v>
      </c>
      <c r="G2" s="7">
        <v>0.09</v>
      </c>
    </row>
    <row r="3">
      <c r="A3" s="4" t="s">
        <v>7</v>
      </c>
      <c r="B3" s="4" t="s">
        <v>8</v>
      </c>
      <c r="C3" s="4" t="s">
        <v>13</v>
      </c>
      <c r="D3" s="4" t="s">
        <v>14</v>
      </c>
      <c r="E3" s="4" t="s">
        <v>15</v>
      </c>
      <c r="F3" s="6" t="s">
        <v>16</v>
      </c>
      <c r="G3" s="7">
        <v>0.09</v>
      </c>
    </row>
    <row r="4">
      <c r="A4" s="4" t="s">
        <v>7</v>
      </c>
      <c r="B4" s="4" t="s">
        <v>8</v>
      </c>
      <c r="C4" s="4" t="s">
        <v>17</v>
      </c>
      <c r="D4" s="4" t="s">
        <v>18</v>
      </c>
      <c r="E4" s="4" t="s">
        <v>15</v>
      </c>
      <c r="F4" s="6" t="s">
        <v>19</v>
      </c>
      <c r="G4" s="7">
        <v>0.09</v>
      </c>
    </row>
    <row r="5">
      <c r="A5" s="4" t="s">
        <v>7</v>
      </c>
      <c r="B5" s="4" t="s">
        <v>8</v>
      </c>
      <c r="C5" s="4" t="s">
        <v>20</v>
      </c>
      <c r="D5" s="4" t="s">
        <v>21</v>
      </c>
      <c r="E5" s="4" t="s">
        <v>11</v>
      </c>
      <c r="F5" s="6" t="s">
        <v>22</v>
      </c>
      <c r="G5" s="7">
        <v>0.1</v>
      </c>
    </row>
    <row r="6">
      <c r="A6" s="4" t="s">
        <v>7</v>
      </c>
      <c r="B6" s="4" t="s">
        <v>8</v>
      </c>
      <c r="C6" s="4" t="s">
        <v>23</v>
      </c>
      <c r="D6" s="4" t="s">
        <v>24</v>
      </c>
      <c r="E6" s="4" t="s">
        <v>11</v>
      </c>
      <c r="F6" s="6" t="s">
        <v>25</v>
      </c>
      <c r="G6" s="7">
        <v>0.1</v>
      </c>
    </row>
    <row r="7">
      <c r="A7" s="4" t="s">
        <v>7</v>
      </c>
      <c r="B7" s="4" t="s">
        <v>8</v>
      </c>
      <c r="C7" s="4" t="s">
        <v>26</v>
      </c>
      <c r="D7" s="4" t="s">
        <v>27</v>
      </c>
      <c r="E7" s="4" t="s">
        <v>11</v>
      </c>
      <c r="F7" s="6" t="s">
        <v>28</v>
      </c>
      <c r="G7" s="7">
        <v>0.1</v>
      </c>
    </row>
    <row r="8">
      <c r="A8" s="4" t="s">
        <v>7</v>
      </c>
      <c r="B8" s="4" t="s">
        <v>8</v>
      </c>
      <c r="C8" s="4" t="s">
        <v>29</v>
      </c>
      <c r="D8" s="4" t="s">
        <v>30</v>
      </c>
      <c r="E8" s="4" t="s">
        <v>11</v>
      </c>
      <c r="F8" s="6" t="s">
        <v>31</v>
      </c>
      <c r="G8" s="7">
        <v>0.1</v>
      </c>
    </row>
    <row r="9">
      <c r="A9" s="4" t="s">
        <v>7</v>
      </c>
      <c r="B9" s="4" t="s">
        <v>8</v>
      </c>
      <c r="C9" s="4" t="s">
        <v>32</v>
      </c>
      <c r="D9" s="4" t="s">
        <v>33</v>
      </c>
      <c r="E9" s="4" t="s">
        <v>11</v>
      </c>
      <c r="F9" s="6" t="s">
        <v>34</v>
      </c>
      <c r="G9" s="7">
        <v>0.1</v>
      </c>
    </row>
    <row r="10">
      <c r="A10" s="4" t="s">
        <v>7</v>
      </c>
      <c r="B10" s="4" t="s">
        <v>8</v>
      </c>
      <c r="C10" s="4" t="s">
        <v>35</v>
      </c>
      <c r="D10" s="4" t="s">
        <v>36</v>
      </c>
      <c r="E10" s="4" t="s">
        <v>11</v>
      </c>
      <c r="F10" s="6" t="s">
        <v>37</v>
      </c>
      <c r="G10" s="7">
        <v>0.1</v>
      </c>
    </row>
    <row r="11">
      <c r="A11" s="4" t="s">
        <v>7</v>
      </c>
      <c r="B11" s="4" t="s">
        <v>8</v>
      </c>
      <c r="C11" s="4" t="s">
        <v>38</v>
      </c>
      <c r="D11" s="4" t="s">
        <v>39</v>
      </c>
      <c r="E11" s="4" t="s">
        <v>11</v>
      </c>
      <c r="F11" s="6" t="s">
        <v>40</v>
      </c>
      <c r="G11" s="7">
        <v>0.1</v>
      </c>
    </row>
    <row r="12">
      <c r="A12" s="4" t="s">
        <v>41</v>
      </c>
      <c r="B12" s="4" t="s">
        <v>8</v>
      </c>
      <c r="C12" s="4" t="s">
        <v>42</v>
      </c>
      <c r="D12" s="4" t="s">
        <v>43</v>
      </c>
      <c r="E12" s="4" t="s">
        <v>15</v>
      </c>
      <c r="F12" s="6" t="s">
        <v>44</v>
      </c>
      <c r="G12" s="7">
        <v>0.1</v>
      </c>
    </row>
    <row r="13">
      <c r="A13" s="4" t="s">
        <v>41</v>
      </c>
      <c r="B13" s="4" t="s">
        <v>8</v>
      </c>
      <c r="C13" s="4" t="s">
        <v>45</v>
      </c>
      <c r="D13" s="4" t="s">
        <v>46</v>
      </c>
      <c r="E13" s="4" t="s">
        <v>15</v>
      </c>
      <c r="F13" s="6" t="s">
        <v>47</v>
      </c>
      <c r="G13" s="7">
        <v>0.1</v>
      </c>
    </row>
    <row r="14">
      <c r="A14" s="4" t="s">
        <v>41</v>
      </c>
      <c r="B14" s="4" t="s">
        <v>8</v>
      </c>
      <c r="C14" s="4" t="s">
        <v>48</v>
      </c>
      <c r="D14" s="4" t="s">
        <v>49</v>
      </c>
      <c r="E14" s="4" t="s">
        <v>15</v>
      </c>
      <c r="F14" s="6" t="s">
        <v>50</v>
      </c>
      <c r="G14" s="7">
        <v>0.1</v>
      </c>
    </row>
    <row r="15">
      <c r="A15" s="4" t="s">
        <v>51</v>
      </c>
      <c r="B15" s="4" t="s">
        <v>52</v>
      </c>
      <c r="C15" s="4" t="s">
        <v>53</v>
      </c>
      <c r="D15" s="4" t="s">
        <v>54</v>
      </c>
      <c r="E15" s="4" t="s">
        <v>15</v>
      </c>
      <c r="F15" s="6" t="s">
        <v>55</v>
      </c>
      <c r="G15" s="8">
        <v>0.07</v>
      </c>
    </row>
    <row r="16">
      <c r="A16" s="4" t="s">
        <v>51</v>
      </c>
      <c r="B16" s="4" t="s">
        <v>52</v>
      </c>
      <c r="C16" s="4" t="s">
        <v>56</v>
      </c>
      <c r="D16" s="4" t="s">
        <v>57</v>
      </c>
      <c r="E16" s="4" t="s">
        <v>15</v>
      </c>
      <c r="F16" s="6" t="s">
        <v>58</v>
      </c>
      <c r="G16" s="8">
        <v>0.07</v>
      </c>
    </row>
    <row r="17">
      <c r="A17" s="4" t="s">
        <v>51</v>
      </c>
      <c r="B17" s="4" t="s">
        <v>52</v>
      </c>
      <c r="C17" s="4" t="s">
        <v>59</v>
      </c>
      <c r="D17" s="4" t="s">
        <v>60</v>
      </c>
      <c r="E17" s="4" t="s">
        <v>15</v>
      </c>
      <c r="F17" s="6" t="s">
        <v>61</v>
      </c>
      <c r="G17" s="8">
        <v>0.1</v>
      </c>
    </row>
    <row r="18">
      <c r="A18" s="4" t="s">
        <v>51</v>
      </c>
      <c r="B18" s="4" t="s">
        <v>52</v>
      </c>
      <c r="C18" s="4" t="s">
        <v>62</v>
      </c>
      <c r="D18" s="4" t="s">
        <v>63</v>
      </c>
      <c r="E18" s="4" t="s">
        <v>15</v>
      </c>
      <c r="F18" s="6" t="s">
        <v>64</v>
      </c>
      <c r="G18" s="8">
        <v>0.1</v>
      </c>
    </row>
    <row r="19">
      <c r="A19" s="4" t="s">
        <v>51</v>
      </c>
      <c r="B19" s="4" t="s">
        <v>8</v>
      </c>
      <c r="C19" s="4" t="s">
        <v>65</v>
      </c>
      <c r="D19" s="4" t="s">
        <v>66</v>
      </c>
      <c r="E19" s="4" t="s">
        <v>15</v>
      </c>
      <c r="F19" s="6" t="s">
        <v>67</v>
      </c>
      <c r="G19" s="8">
        <v>0.09</v>
      </c>
    </row>
    <row r="20">
      <c r="A20" s="4" t="s">
        <v>51</v>
      </c>
      <c r="B20" s="4" t="s">
        <v>8</v>
      </c>
      <c r="C20" s="4" t="s">
        <v>68</v>
      </c>
      <c r="D20" s="4" t="s">
        <v>69</v>
      </c>
      <c r="E20" s="4" t="s">
        <v>15</v>
      </c>
      <c r="F20" s="6" t="s">
        <v>70</v>
      </c>
      <c r="G20" s="8">
        <v>0.04</v>
      </c>
    </row>
    <row r="21">
      <c r="A21" s="4" t="s">
        <v>51</v>
      </c>
      <c r="B21" s="4" t="s">
        <v>8</v>
      </c>
      <c r="C21" s="4" t="s">
        <v>71</v>
      </c>
      <c r="D21" s="4" t="s">
        <v>72</v>
      </c>
      <c r="E21" s="4" t="s">
        <v>15</v>
      </c>
      <c r="F21" s="6" t="s">
        <v>73</v>
      </c>
      <c r="G21" s="8">
        <v>0.09</v>
      </c>
    </row>
    <row r="22">
      <c r="A22" s="4" t="s">
        <v>51</v>
      </c>
      <c r="B22" s="4" t="s">
        <v>8</v>
      </c>
      <c r="C22" s="4" t="s">
        <v>74</v>
      </c>
      <c r="D22" s="4" t="s">
        <v>75</v>
      </c>
      <c r="E22" s="4" t="s">
        <v>15</v>
      </c>
      <c r="F22" s="6" t="s">
        <v>76</v>
      </c>
      <c r="G22" s="8">
        <v>0.04</v>
      </c>
    </row>
    <row r="23">
      <c r="A23" s="4" t="s">
        <v>77</v>
      </c>
      <c r="B23" s="4" t="s">
        <v>52</v>
      </c>
      <c r="C23" s="4" t="s">
        <v>78</v>
      </c>
      <c r="D23" s="4" t="s">
        <v>79</v>
      </c>
      <c r="E23" s="4" t="s">
        <v>15</v>
      </c>
      <c r="F23" s="6" t="s">
        <v>80</v>
      </c>
      <c r="G23" s="8">
        <v>0.1</v>
      </c>
    </row>
    <row r="24">
      <c r="A24" s="4" t="s">
        <v>77</v>
      </c>
      <c r="B24" s="4" t="s">
        <v>52</v>
      </c>
      <c r="C24" s="4" t="s">
        <v>81</v>
      </c>
      <c r="D24" s="4" t="s">
        <v>82</v>
      </c>
      <c r="E24" s="4" t="s">
        <v>15</v>
      </c>
      <c r="F24" s="6" t="s">
        <v>83</v>
      </c>
      <c r="G24" s="8">
        <v>0.07</v>
      </c>
    </row>
    <row r="25">
      <c r="A25" s="4" t="s">
        <v>77</v>
      </c>
      <c r="B25" s="4" t="s">
        <v>52</v>
      </c>
      <c r="C25" s="4" t="s">
        <v>84</v>
      </c>
      <c r="D25" s="4" t="s">
        <v>85</v>
      </c>
      <c r="E25" s="4" t="s">
        <v>15</v>
      </c>
      <c r="F25" s="6" t="s">
        <v>86</v>
      </c>
      <c r="G25" s="8">
        <v>0.03</v>
      </c>
    </row>
    <row r="26">
      <c r="A26" s="4" t="s">
        <v>77</v>
      </c>
      <c r="B26" s="4" t="s">
        <v>52</v>
      </c>
      <c r="C26" s="4" t="s">
        <v>87</v>
      </c>
      <c r="D26" s="4" t="s">
        <v>88</v>
      </c>
      <c r="E26" s="4" t="s">
        <v>15</v>
      </c>
      <c r="F26" s="6" t="s">
        <v>89</v>
      </c>
      <c r="G26" s="8">
        <v>0.03</v>
      </c>
    </row>
    <row r="27">
      <c r="A27" s="4" t="s">
        <v>77</v>
      </c>
      <c r="B27" s="4" t="s">
        <v>8</v>
      </c>
      <c r="C27" s="4" t="s">
        <v>90</v>
      </c>
      <c r="D27" s="4" t="s">
        <v>91</v>
      </c>
      <c r="E27" s="4" t="s">
        <v>15</v>
      </c>
      <c r="F27" s="6" t="s">
        <v>92</v>
      </c>
      <c r="G27" s="8">
        <v>0.03</v>
      </c>
    </row>
    <row r="28">
      <c r="A28" s="4" t="s">
        <v>77</v>
      </c>
      <c r="B28" s="4" t="s">
        <v>8</v>
      </c>
      <c r="C28" s="4" t="s">
        <v>93</v>
      </c>
      <c r="D28" s="4" t="s">
        <v>94</v>
      </c>
      <c r="E28" s="4" t="s">
        <v>15</v>
      </c>
      <c r="F28" s="6" t="s">
        <v>95</v>
      </c>
      <c r="G28" s="8">
        <v>0.03</v>
      </c>
    </row>
    <row r="29">
      <c r="A29" s="4" t="s">
        <v>77</v>
      </c>
      <c r="B29" s="4" t="s">
        <v>8</v>
      </c>
      <c r="C29" s="4" t="s">
        <v>96</v>
      </c>
      <c r="D29" s="4" t="s">
        <v>97</v>
      </c>
      <c r="E29" s="4" t="s">
        <v>15</v>
      </c>
      <c r="F29" s="6" t="s">
        <v>98</v>
      </c>
      <c r="G29" s="8">
        <v>0.03</v>
      </c>
    </row>
    <row r="30">
      <c r="A30" s="4" t="s">
        <v>77</v>
      </c>
      <c r="B30" s="4" t="s">
        <v>8</v>
      </c>
      <c r="C30" s="4" t="s">
        <v>99</v>
      </c>
      <c r="D30" s="4" t="s">
        <v>100</v>
      </c>
      <c r="E30" s="4" t="s">
        <v>15</v>
      </c>
      <c r="F30" s="6" t="s">
        <v>101</v>
      </c>
      <c r="G30" s="8">
        <v>0.03</v>
      </c>
    </row>
    <row r="31">
      <c r="A31" s="4" t="s">
        <v>102</v>
      </c>
      <c r="B31" s="4" t="s">
        <v>52</v>
      </c>
      <c r="C31" s="4" t="s">
        <v>103</v>
      </c>
      <c r="D31" s="4" t="s">
        <v>104</v>
      </c>
      <c r="E31" s="4" t="s">
        <v>11</v>
      </c>
      <c r="F31" s="9" t="s">
        <v>105</v>
      </c>
      <c r="G31" s="8">
        <v>0.09</v>
      </c>
    </row>
    <row r="32">
      <c r="A32" s="4" t="s">
        <v>102</v>
      </c>
      <c r="B32" s="4" t="s">
        <v>52</v>
      </c>
      <c r="C32" s="4" t="s">
        <v>106</v>
      </c>
      <c r="D32" s="4" t="s">
        <v>107</v>
      </c>
      <c r="E32" s="4" t="s">
        <v>11</v>
      </c>
      <c r="F32" s="9" t="s">
        <v>108</v>
      </c>
      <c r="G32" s="8">
        <v>0.05</v>
      </c>
    </row>
    <row r="33">
      <c r="A33" s="4" t="s">
        <v>109</v>
      </c>
      <c r="B33" s="4" t="s">
        <v>52</v>
      </c>
      <c r="C33" s="4" t="s">
        <v>110</v>
      </c>
      <c r="D33" s="4" t="s">
        <v>111</v>
      </c>
      <c r="E33" s="4" t="s">
        <v>112</v>
      </c>
      <c r="F33" s="6" t="s">
        <v>113</v>
      </c>
      <c r="G33" s="8">
        <v>0.1</v>
      </c>
    </row>
    <row r="34">
      <c r="A34" s="4" t="s">
        <v>109</v>
      </c>
      <c r="B34" s="4" t="s">
        <v>8</v>
      </c>
      <c r="C34" s="4" t="s">
        <v>114</v>
      </c>
      <c r="D34" s="4" t="s">
        <v>115</v>
      </c>
      <c r="E34" s="4" t="s">
        <v>15</v>
      </c>
      <c r="F34" s="6" t="s">
        <v>116</v>
      </c>
      <c r="G34" s="8">
        <v>0.1</v>
      </c>
    </row>
    <row r="35">
      <c r="A35" s="4" t="s">
        <v>117</v>
      </c>
      <c r="B35" s="4" t="s">
        <v>52</v>
      </c>
      <c r="C35" s="10" t="s">
        <v>118</v>
      </c>
      <c r="D35" s="4" t="s">
        <v>119</v>
      </c>
      <c r="E35" s="4" t="s">
        <v>11</v>
      </c>
      <c r="F35" s="11" t="s">
        <v>120</v>
      </c>
      <c r="G35" s="8">
        <v>0.08</v>
      </c>
    </row>
    <row r="36">
      <c r="A36" s="4" t="s">
        <v>117</v>
      </c>
      <c r="B36" s="4" t="s">
        <v>52</v>
      </c>
      <c r="C36" s="10" t="s">
        <v>121</v>
      </c>
      <c r="D36" s="4" t="s">
        <v>122</v>
      </c>
      <c r="E36" s="4" t="s">
        <v>15</v>
      </c>
      <c r="F36" s="6" t="s">
        <v>123</v>
      </c>
      <c r="G36" s="8">
        <v>0.08</v>
      </c>
    </row>
    <row r="37">
      <c r="A37" s="4" t="s">
        <v>117</v>
      </c>
      <c r="B37" s="4" t="s">
        <v>52</v>
      </c>
      <c r="C37" s="10" t="s">
        <v>124</v>
      </c>
      <c r="D37" s="4" t="s">
        <v>125</v>
      </c>
      <c r="E37" s="4" t="s">
        <v>15</v>
      </c>
      <c r="F37" s="6" t="s">
        <v>126</v>
      </c>
      <c r="G37" s="8">
        <v>0.08</v>
      </c>
    </row>
    <row r="38">
      <c r="A38" s="4" t="s">
        <v>127</v>
      </c>
      <c r="B38" s="4" t="s">
        <v>52</v>
      </c>
      <c r="C38" s="4" t="s">
        <v>128</v>
      </c>
      <c r="D38" s="4" t="s">
        <v>129</v>
      </c>
      <c r="E38" s="4" t="s">
        <v>15</v>
      </c>
      <c r="F38" s="11" t="s">
        <v>130</v>
      </c>
      <c r="G38" s="8">
        <v>0.05</v>
      </c>
    </row>
    <row r="39">
      <c r="A39" s="4" t="s">
        <v>127</v>
      </c>
      <c r="B39" s="4" t="s">
        <v>52</v>
      </c>
      <c r="C39" s="4" t="s">
        <v>131</v>
      </c>
      <c r="D39" s="4" t="s">
        <v>132</v>
      </c>
      <c r="E39" s="4" t="s">
        <v>15</v>
      </c>
      <c r="F39" s="11" t="s">
        <v>133</v>
      </c>
      <c r="G39" s="8">
        <v>0.05</v>
      </c>
    </row>
    <row r="40">
      <c r="A40" s="4" t="s">
        <v>127</v>
      </c>
      <c r="B40" s="4" t="s">
        <v>52</v>
      </c>
      <c r="C40" s="4" t="s">
        <v>134</v>
      </c>
      <c r="D40" s="4" t="s">
        <v>135</v>
      </c>
      <c r="E40" s="4" t="s">
        <v>11</v>
      </c>
      <c r="F40" s="11" t="s">
        <v>136</v>
      </c>
      <c r="G40" s="8">
        <v>0.05</v>
      </c>
    </row>
    <row r="41">
      <c r="A41" s="4" t="s">
        <v>127</v>
      </c>
      <c r="B41" s="4" t="s">
        <v>52</v>
      </c>
      <c r="C41" s="4" t="s">
        <v>137</v>
      </c>
      <c r="D41" s="4" t="s">
        <v>138</v>
      </c>
      <c r="E41" s="4" t="s">
        <v>15</v>
      </c>
      <c r="F41" s="11" t="s">
        <v>139</v>
      </c>
      <c r="G41" s="8">
        <v>0.05</v>
      </c>
    </row>
    <row r="42">
      <c r="A42" s="4" t="s">
        <v>127</v>
      </c>
      <c r="B42" s="4" t="s">
        <v>52</v>
      </c>
      <c r="C42" s="4" t="s">
        <v>140</v>
      </c>
      <c r="D42" s="4" t="s">
        <v>141</v>
      </c>
      <c r="E42" s="4" t="s">
        <v>15</v>
      </c>
      <c r="F42" s="11" t="s">
        <v>142</v>
      </c>
      <c r="G42" s="8">
        <v>0.05</v>
      </c>
    </row>
    <row r="43">
      <c r="A43" s="4" t="s">
        <v>127</v>
      </c>
      <c r="B43" s="4" t="s">
        <v>52</v>
      </c>
      <c r="C43" s="4" t="s">
        <v>143</v>
      </c>
      <c r="D43" s="4" t="s">
        <v>144</v>
      </c>
      <c r="E43" s="4" t="s">
        <v>15</v>
      </c>
      <c r="F43" s="11" t="s">
        <v>145</v>
      </c>
      <c r="G43" s="8">
        <v>0.05</v>
      </c>
    </row>
    <row r="44">
      <c r="A44" s="4" t="s">
        <v>127</v>
      </c>
      <c r="B44" s="4" t="s">
        <v>52</v>
      </c>
      <c r="C44" s="4" t="s">
        <v>146</v>
      </c>
      <c r="D44" s="4" t="s">
        <v>147</v>
      </c>
      <c r="E44" s="4" t="s">
        <v>11</v>
      </c>
      <c r="F44" s="11" t="s">
        <v>148</v>
      </c>
      <c r="G44" s="8">
        <v>0.05</v>
      </c>
    </row>
    <row r="45">
      <c r="A45" s="4" t="s">
        <v>127</v>
      </c>
      <c r="B45" s="4" t="s">
        <v>52</v>
      </c>
      <c r="C45" s="4" t="s">
        <v>149</v>
      </c>
      <c r="D45" s="4" t="s">
        <v>150</v>
      </c>
      <c r="E45" s="4" t="s">
        <v>15</v>
      </c>
      <c r="F45" s="11" t="s">
        <v>151</v>
      </c>
      <c r="G45" s="8">
        <v>0.05</v>
      </c>
    </row>
    <row r="46">
      <c r="A46" s="4" t="s">
        <v>127</v>
      </c>
      <c r="B46" s="4" t="s">
        <v>52</v>
      </c>
      <c r="C46" s="4" t="s">
        <v>152</v>
      </c>
      <c r="D46" s="4" t="s">
        <v>153</v>
      </c>
      <c r="E46" s="4" t="s">
        <v>11</v>
      </c>
      <c r="F46" s="11" t="s">
        <v>154</v>
      </c>
      <c r="G46" s="8">
        <v>0.05</v>
      </c>
    </row>
    <row r="47">
      <c r="F47" s="12"/>
      <c r="G47" s="13"/>
    </row>
    <row r="48">
      <c r="F48" s="12"/>
      <c r="G48" s="13"/>
    </row>
    <row r="49">
      <c r="F49" s="12"/>
      <c r="G49" s="13"/>
    </row>
    <row r="50">
      <c r="F50" s="12"/>
      <c r="G50" s="13"/>
    </row>
    <row r="51">
      <c r="F51" s="12"/>
      <c r="G51" s="13"/>
    </row>
    <row r="52">
      <c r="F52" s="12"/>
      <c r="G52" s="13"/>
    </row>
    <row r="53">
      <c r="F53" s="12"/>
      <c r="G53" s="13"/>
    </row>
    <row r="54">
      <c r="F54" s="12"/>
      <c r="G54" s="13"/>
    </row>
    <row r="55">
      <c r="F55" s="12"/>
      <c r="G55" s="13"/>
    </row>
    <row r="56">
      <c r="F56" s="12"/>
      <c r="G56" s="13"/>
    </row>
    <row r="57">
      <c r="F57" s="12"/>
      <c r="G57" s="13"/>
    </row>
    <row r="58">
      <c r="F58" s="12"/>
      <c r="G58" s="13"/>
    </row>
    <row r="59">
      <c r="F59" s="12"/>
      <c r="G59" s="13"/>
    </row>
    <row r="60">
      <c r="F60" s="12"/>
      <c r="G60" s="13"/>
    </row>
    <row r="61">
      <c r="F61" s="12"/>
      <c r="G61" s="13"/>
    </row>
    <row r="62">
      <c r="F62" s="12"/>
      <c r="G62" s="13"/>
    </row>
    <row r="63">
      <c r="F63" s="12"/>
      <c r="G63" s="13"/>
    </row>
    <row r="64">
      <c r="F64" s="12"/>
      <c r="G64" s="13"/>
    </row>
    <row r="65">
      <c r="F65" s="12"/>
      <c r="G65" s="13"/>
    </row>
    <row r="66">
      <c r="F66" s="12"/>
      <c r="G66" s="13"/>
    </row>
    <row r="67">
      <c r="F67" s="12"/>
      <c r="G67" s="13"/>
    </row>
    <row r="68">
      <c r="F68" s="12"/>
      <c r="G68" s="13"/>
    </row>
    <row r="69">
      <c r="F69" s="12"/>
      <c r="G69" s="13"/>
    </row>
    <row r="70">
      <c r="F70" s="12"/>
      <c r="G70" s="13"/>
    </row>
    <row r="71">
      <c r="F71" s="12"/>
      <c r="G71" s="13"/>
    </row>
    <row r="72">
      <c r="F72" s="12"/>
      <c r="G72" s="13"/>
    </row>
    <row r="73">
      <c r="F73" s="12"/>
      <c r="G73" s="13"/>
    </row>
    <row r="74">
      <c r="F74" s="12"/>
      <c r="G74" s="13"/>
    </row>
    <row r="75">
      <c r="F75" s="12"/>
      <c r="G75" s="13"/>
    </row>
    <row r="76">
      <c r="F76" s="12"/>
      <c r="G76" s="13"/>
    </row>
    <row r="77">
      <c r="F77" s="12"/>
      <c r="G77" s="13"/>
    </row>
    <row r="78">
      <c r="F78" s="12"/>
      <c r="G78" s="13"/>
    </row>
    <row r="79">
      <c r="F79" s="12"/>
      <c r="G79" s="13"/>
    </row>
    <row r="80">
      <c r="F80" s="12"/>
      <c r="G80" s="13"/>
    </row>
    <row r="81">
      <c r="F81" s="12"/>
      <c r="G81" s="13"/>
    </row>
    <row r="82">
      <c r="F82" s="12"/>
      <c r="G82" s="13"/>
    </row>
    <row r="83">
      <c r="F83" s="12"/>
      <c r="G83" s="13"/>
    </row>
    <row r="84">
      <c r="F84" s="12"/>
      <c r="G84" s="13"/>
    </row>
    <row r="85">
      <c r="F85" s="12"/>
      <c r="G85" s="13"/>
    </row>
    <row r="86">
      <c r="F86" s="12"/>
      <c r="G86" s="13"/>
    </row>
    <row r="87">
      <c r="F87" s="12"/>
      <c r="G87" s="13"/>
    </row>
    <row r="88">
      <c r="F88" s="12"/>
      <c r="G88" s="13"/>
    </row>
    <row r="89">
      <c r="F89" s="12"/>
      <c r="G89" s="13"/>
    </row>
    <row r="90">
      <c r="F90" s="12"/>
      <c r="G90" s="13"/>
    </row>
    <row r="91">
      <c r="F91" s="12"/>
      <c r="G91" s="13"/>
    </row>
    <row r="92">
      <c r="F92" s="12"/>
      <c r="G92" s="13"/>
    </row>
    <row r="93">
      <c r="F93" s="12"/>
      <c r="G93" s="13"/>
    </row>
    <row r="94">
      <c r="F94" s="12"/>
      <c r="G94" s="13"/>
    </row>
    <row r="95">
      <c r="F95" s="12"/>
      <c r="G95" s="13"/>
    </row>
    <row r="96">
      <c r="F96" s="12"/>
      <c r="G96" s="13"/>
    </row>
    <row r="97">
      <c r="F97" s="12"/>
      <c r="G97" s="13"/>
    </row>
    <row r="98">
      <c r="F98" s="12"/>
      <c r="G98" s="13"/>
    </row>
    <row r="99">
      <c r="F99" s="12"/>
      <c r="G99" s="13"/>
    </row>
    <row r="100">
      <c r="F100" s="12"/>
      <c r="G100" s="13"/>
    </row>
    <row r="101">
      <c r="F101" s="12"/>
      <c r="G101" s="13"/>
    </row>
    <row r="102">
      <c r="F102" s="12"/>
      <c r="G102" s="13"/>
    </row>
    <row r="103">
      <c r="F103" s="12"/>
      <c r="G103" s="13"/>
    </row>
    <row r="104">
      <c r="F104" s="12"/>
      <c r="G104" s="13"/>
    </row>
    <row r="105">
      <c r="F105" s="12"/>
      <c r="G105" s="13"/>
    </row>
    <row r="106">
      <c r="F106" s="12"/>
      <c r="G106" s="13"/>
    </row>
    <row r="107">
      <c r="F107" s="12"/>
      <c r="G107" s="13"/>
    </row>
    <row r="108">
      <c r="F108" s="12"/>
      <c r="G108" s="13"/>
    </row>
    <row r="109">
      <c r="F109" s="12"/>
      <c r="G109" s="13"/>
    </row>
    <row r="110">
      <c r="F110" s="12"/>
      <c r="G110" s="13"/>
    </row>
    <row r="111">
      <c r="F111" s="12"/>
      <c r="G111" s="13"/>
    </row>
    <row r="112">
      <c r="F112" s="12"/>
      <c r="G112" s="13"/>
    </row>
    <row r="113">
      <c r="F113" s="12"/>
      <c r="G113" s="13"/>
    </row>
    <row r="114">
      <c r="F114" s="12"/>
      <c r="G114" s="13"/>
    </row>
    <row r="115">
      <c r="F115" s="12"/>
      <c r="G115" s="13"/>
    </row>
    <row r="116">
      <c r="F116" s="12"/>
      <c r="G116" s="13"/>
    </row>
    <row r="117">
      <c r="F117" s="12"/>
      <c r="G117" s="13"/>
    </row>
    <row r="118">
      <c r="F118" s="12"/>
      <c r="G118" s="13"/>
    </row>
    <row r="119">
      <c r="F119" s="12"/>
      <c r="G119" s="13"/>
    </row>
    <row r="120">
      <c r="F120" s="12"/>
      <c r="G120" s="13"/>
    </row>
    <row r="121">
      <c r="F121" s="12"/>
      <c r="G121" s="13"/>
    </row>
    <row r="122">
      <c r="F122" s="12"/>
      <c r="G122" s="13"/>
    </row>
    <row r="123">
      <c r="F123" s="12"/>
      <c r="G123" s="13"/>
    </row>
    <row r="124">
      <c r="F124" s="12"/>
      <c r="G124" s="13"/>
    </row>
    <row r="125">
      <c r="F125" s="12"/>
      <c r="G125" s="13"/>
    </row>
    <row r="126">
      <c r="F126" s="12"/>
      <c r="G126" s="13"/>
    </row>
    <row r="127">
      <c r="F127" s="12"/>
      <c r="G127" s="13"/>
    </row>
    <row r="128">
      <c r="F128" s="12"/>
      <c r="G128" s="13"/>
    </row>
    <row r="129">
      <c r="F129" s="12"/>
      <c r="G129" s="13"/>
    </row>
    <row r="130">
      <c r="F130" s="12"/>
      <c r="G130" s="13"/>
    </row>
    <row r="131">
      <c r="F131" s="12"/>
      <c r="G131" s="13"/>
    </row>
    <row r="132">
      <c r="F132" s="12"/>
      <c r="G132" s="13"/>
    </row>
    <row r="133">
      <c r="F133" s="12"/>
      <c r="G133" s="13"/>
    </row>
    <row r="134">
      <c r="F134" s="12"/>
      <c r="G134" s="13"/>
    </row>
    <row r="135">
      <c r="F135" s="12"/>
      <c r="G135" s="13"/>
    </row>
    <row r="136">
      <c r="F136" s="12"/>
      <c r="G136" s="13"/>
    </row>
    <row r="137">
      <c r="F137" s="12"/>
      <c r="G137" s="13"/>
    </row>
    <row r="138">
      <c r="F138" s="12"/>
      <c r="G138" s="13"/>
    </row>
    <row r="139">
      <c r="F139" s="12"/>
      <c r="G139" s="13"/>
    </row>
    <row r="140">
      <c r="F140" s="12"/>
      <c r="G140" s="13"/>
    </row>
    <row r="141">
      <c r="F141" s="12"/>
      <c r="G141" s="13"/>
    </row>
    <row r="142">
      <c r="F142" s="12"/>
      <c r="G142" s="13"/>
    </row>
    <row r="143">
      <c r="F143" s="12"/>
      <c r="G143" s="13"/>
    </row>
    <row r="144">
      <c r="F144" s="12"/>
      <c r="G144" s="13"/>
    </row>
    <row r="145">
      <c r="F145" s="12"/>
      <c r="G145" s="13"/>
    </row>
    <row r="146">
      <c r="F146" s="12"/>
      <c r="G146" s="13"/>
    </row>
    <row r="147">
      <c r="F147" s="12"/>
      <c r="G147" s="13"/>
    </row>
    <row r="148">
      <c r="F148" s="12"/>
      <c r="G148" s="13"/>
    </row>
    <row r="149">
      <c r="F149" s="12"/>
      <c r="G149" s="13"/>
    </row>
    <row r="150">
      <c r="F150" s="12"/>
      <c r="G150" s="13"/>
    </row>
    <row r="151">
      <c r="F151" s="12"/>
      <c r="G151" s="13"/>
    </row>
    <row r="152">
      <c r="F152" s="12"/>
      <c r="G152" s="13"/>
    </row>
    <row r="153">
      <c r="F153" s="12"/>
      <c r="G153" s="13"/>
    </row>
    <row r="154">
      <c r="F154" s="12"/>
      <c r="G154" s="13"/>
    </row>
    <row r="155">
      <c r="F155" s="12"/>
      <c r="G155" s="13"/>
    </row>
    <row r="156">
      <c r="F156" s="12"/>
      <c r="G156" s="13"/>
    </row>
    <row r="157">
      <c r="F157" s="12"/>
      <c r="G157" s="13"/>
    </row>
    <row r="158">
      <c r="F158" s="12"/>
      <c r="G158" s="13"/>
    </row>
    <row r="159">
      <c r="F159" s="12"/>
      <c r="G159" s="13"/>
    </row>
    <row r="160">
      <c r="F160" s="12"/>
      <c r="G160" s="13"/>
    </row>
    <row r="161">
      <c r="F161" s="12"/>
      <c r="G161" s="13"/>
    </row>
    <row r="162">
      <c r="F162" s="12"/>
      <c r="G162" s="13"/>
    </row>
    <row r="163">
      <c r="F163" s="12"/>
      <c r="G163" s="13"/>
    </row>
    <row r="164">
      <c r="F164" s="12"/>
      <c r="G164" s="13"/>
    </row>
    <row r="165">
      <c r="F165" s="12"/>
      <c r="G165" s="13"/>
    </row>
    <row r="166">
      <c r="F166" s="12"/>
      <c r="G166" s="13"/>
    </row>
    <row r="167">
      <c r="F167" s="12"/>
      <c r="G167" s="13"/>
    </row>
    <row r="168">
      <c r="F168" s="12"/>
      <c r="G168" s="13"/>
    </row>
    <row r="169">
      <c r="F169" s="12"/>
      <c r="G169" s="13"/>
    </row>
    <row r="170">
      <c r="F170" s="12"/>
      <c r="G170" s="13"/>
    </row>
    <row r="171">
      <c r="F171" s="12"/>
      <c r="G171" s="13"/>
    </row>
    <row r="172">
      <c r="F172" s="12"/>
      <c r="G172" s="13"/>
    </row>
    <row r="173">
      <c r="F173" s="12"/>
      <c r="G173" s="13"/>
    </row>
    <row r="174">
      <c r="F174" s="12"/>
      <c r="G174" s="13"/>
    </row>
    <row r="175">
      <c r="F175" s="12"/>
      <c r="G175" s="13"/>
    </row>
    <row r="176">
      <c r="F176" s="12"/>
      <c r="G176" s="13"/>
    </row>
    <row r="177">
      <c r="F177" s="12"/>
      <c r="G177" s="13"/>
    </row>
    <row r="178">
      <c r="F178" s="12"/>
      <c r="G178" s="13"/>
    </row>
    <row r="179">
      <c r="F179" s="12"/>
      <c r="G179" s="13"/>
    </row>
    <row r="180">
      <c r="F180" s="12"/>
      <c r="G180" s="13"/>
    </row>
    <row r="181">
      <c r="F181" s="12"/>
      <c r="G181" s="13"/>
    </row>
    <row r="182">
      <c r="F182" s="12"/>
      <c r="G182" s="13"/>
    </row>
    <row r="183">
      <c r="F183" s="12"/>
      <c r="G183" s="13"/>
    </row>
    <row r="184">
      <c r="F184" s="12"/>
      <c r="G184" s="13"/>
    </row>
    <row r="185">
      <c r="F185" s="12"/>
      <c r="G185" s="13"/>
    </row>
    <row r="186">
      <c r="F186" s="12"/>
      <c r="G186" s="13"/>
    </row>
    <row r="187">
      <c r="F187" s="12"/>
      <c r="G187" s="13"/>
    </row>
    <row r="188">
      <c r="F188" s="12"/>
      <c r="G188" s="13"/>
    </row>
    <row r="189">
      <c r="F189" s="12"/>
      <c r="G189" s="13"/>
    </row>
    <row r="190">
      <c r="F190" s="12"/>
      <c r="G190" s="13"/>
    </row>
    <row r="191">
      <c r="F191" s="12"/>
      <c r="G191" s="13"/>
    </row>
    <row r="192">
      <c r="F192" s="12"/>
      <c r="G192" s="13"/>
    </row>
    <row r="193">
      <c r="F193" s="12"/>
      <c r="G193" s="13"/>
    </row>
    <row r="194">
      <c r="F194" s="12"/>
      <c r="G194" s="13"/>
    </row>
    <row r="195">
      <c r="F195" s="12"/>
      <c r="G195" s="13"/>
    </row>
    <row r="196">
      <c r="F196" s="12"/>
      <c r="G196" s="13"/>
    </row>
    <row r="197">
      <c r="F197" s="12"/>
      <c r="G197" s="13"/>
    </row>
    <row r="198">
      <c r="F198" s="12"/>
      <c r="G198" s="13"/>
    </row>
    <row r="199">
      <c r="F199" s="12"/>
      <c r="G199" s="13"/>
    </row>
    <row r="200">
      <c r="F200" s="12"/>
      <c r="G200" s="13"/>
    </row>
    <row r="201">
      <c r="F201" s="12"/>
      <c r="G201" s="13"/>
    </row>
    <row r="202">
      <c r="F202" s="12"/>
      <c r="G202" s="13"/>
    </row>
    <row r="203">
      <c r="F203" s="12"/>
      <c r="G203" s="13"/>
    </row>
    <row r="204">
      <c r="F204" s="12"/>
      <c r="G204" s="13"/>
    </row>
    <row r="205">
      <c r="F205" s="12"/>
      <c r="G205" s="13"/>
    </row>
    <row r="206">
      <c r="F206" s="12"/>
      <c r="G206" s="13"/>
    </row>
    <row r="207">
      <c r="F207" s="12"/>
      <c r="G207" s="13"/>
    </row>
    <row r="208">
      <c r="F208" s="12"/>
      <c r="G208" s="13"/>
    </row>
    <row r="209">
      <c r="F209" s="12"/>
      <c r="G209" s="13"/>
    </row>
    <row r="210">
      <c r="F210" s="12"/>
      <c r="G210" s="13"/>
    </row>
    <row r="211">
      <c r="F211" s="12"/>
      <c r="G211" s="13"/>
    </row>
    <row r="212">
      <c r="F212" s="12"/>
      <c r="G212" s="13"/>
    </row>
    <row r="213">
      <c r="F213" s="12"/>
      <c r="G213" s="13"/>
    </row>
    <row r="214">
      <c r="F214" s="12"/>
      <c r="G214" s="13"/>
    </row>
    <row r="215">
      <c r="F215" s="12"/>
      <c r="G215" s="13"/>
    </row>
    <row r="216">
      <c r="F216" s="12"/>
      <c r="G216" s="13"/>
    </row>
    <row r="217">
      <c r="F217" s="12"/>
      <c r="G217" s="13"/>
    </row>
    <row r="218">
      <c r="F218" s="12"/>
      <c r="G218" s="13"/>
    </row>
    <row r="219">
      <c r="F219" s="12"/>
      <c r="G219" s="13"/>
    </row>
    <row r="220">
      <c r="F220" s="12"/>
      <c r="G220" s="13"/>
    </row>
    <row r="221">
      <c r="F221" s="12"/>
      <c r="G221" s="13"/>
    </row>
    <row r="222">
      <c r="F222" s="12"/>
      <c r="G222" s="13"/>
    </row>
    <row r="223">
      <c r="F223" s="12"/>
      <c r="G223" s="13"/>
    </row>
    <row r="224">
      <c r="F224" s="12"/>
      <c r="G224" s="13"/>
    </row>
    <row r="225">
      <c r="F225" s="12"/>
      <c r="G225" s="13"/>
    </row>
    <row r="226">
      <c r="F226" s="12"/>
      <c r="G226" s="13"/>
    </row>
    <row r="227">
      <c r="F227" s="12"/>
      <c r="G227" s="13"/>
    </row>
    <row r="228">
      <c r="F228" s="12"/>
      <c r="G228" s="13"/>
    </row>
    <row r="229">
      <c r="F229" s="12"/>
      <c r="G229" s="13"/>
    </row>
    <row r="230">
      <c r="F230" s="12"/>
      <c r="G230" s="13"/>
    </row>
    <row r="231">
      <c r="F231" s="12"/>
      <c r="G231" s="13"/>
    </row>
    <row r="232">
      <c r="F232" s="12"/>
      <c r="G232" s="13"/>
    </row>
    <row r="233">
      <c r="F233" s="12"/>
      <c r="G233" s="13"/>
    </row>
    <row r="234">
      <c r="F234" s="12"/>
      <c r="G234" s="13"/>
    </row>
    <row r="235">
      <c r="F235" s="12"/>
      <c r="G235" s="13"/>
    </row>
    <row r="236">
      <c r="F236" s="12"/>
      <c r="G236" s="13"/>
    </row>
    <row r="237">
      <c r="F237" s="12"/>
      <c r="G237" s="13"/>
    </row>
    <row r="238">
      <c r="F238" s="12"/>
      <c r="G238" s="13"/>
    </row>
    <row r="239">
      <c r="F239" s="12"/>
      <c r="G239" s="13"/>
    </row>
    <row r="240">
      <c r="F240" s="12"/>
      <c r="G240" s="13"/>
    </row>
    <row r="241">
      <c r="F241" s="12"/>
      <c r="G241" s="13"/>
    </row>
    <row r="242">
      <c r="F242" s="12"/>
      <c r="G242" s="13"/>
    </row>
    <row r="243">
      <c r="F243" s="12"/>
      <c r="G243" s="13"/>
    </row>
    <row r="244">
      <c r="F244" s="12"/>
      <c r="G244" s="13"/>
    </row>
    <row r="245">
      <c r="F245" s="12"/>
      <c r="G245" s="13"/>
    </row>
    <row r="246">
      <c r="F246" s="12"/>
      <c r="G246" s="13"/>
    </row>
    <row r="247">
      <c r="F247" s="12"/>
      <c r="G247" s="13"/>
    </row>
    <row r="248">
      <c r="F248" s="12"/>
      <c r="G248" s="13"/>
    </row>
    <row r="249">
      <c r="F249" s="12"/>
      <c r="G249" s="13"/>
    </row>
    <row r="250">
      <c r="F250" s="12"/>
      <c r="G250" s="13"/>
    </row>
    <row r="251">
      <c r="F251" s="12"/>
      <c r="G251" s="13"/>
    </row>
    <row r="252">
      <c r="F252" s="12"/>
      <c r="G252" s="13"/>
    </row>
    <row r="253">
      <c r="F253" s="12"/>
      <c r="G253" s="13"/>
    </row>
    <row r="254">
      <c r="F254" s="12"/>
      <c r="G254" s="13"/>
    </row>
    <row r="255">
      <c r="F255" s="12"/>
      <c r="G255" s="13"/>
    </row>
    <row r="256">
      <c r="F256" s="12"/>
      <c r="G256" s="13"/>
    </row>
    <row r="257">
      <c r="F257" s="12"/>
      <c r="G257" s="13"/>
    </row>
    <row r="258">
      <c r="F258" s="12"/>
      <c r="G258" s="13"/>
    </row>
    <row r="259">
      <c r="F259" s="12"/>
      <c r="G259" s="13"/>
    </row>
    <row r="260">
      <c r="F260" s="12"/>
      <c r="G260" s="13"/>
    </row>
    <row r="261">
      <c r="F261" s="12"/>
      <c r="G261" s="13"/>
    </row>
    <row r="262">
      <c r="F262" s="12"/>
      <c r="G262" s="13"/>
    </row>
    <row r="263">
      <c r="F263" s="12"/>
      <c r="G263" s="13"/>
    </row>
    <row r="264">
      <c r="F264" s="12"/>
      <c r="G264" s="13"/>
    </row>
    <row r="265">
      <c r="F265" s="12"/>
      <c r="G265" s="13"/>
    </row>
    <row r="266">
      <c r="F266" s="12"/>
      <c r="G266" s="13"/>
    </row>
    <row r="267">
      <c r="F267" s="12"/>
      <c r="G267" s="13"/>
    </row>
    <row r="268">
      <c r="F268" s="12"/>
      <c r="G268" s="13"/>
    </row>
    <row r="269">
      <c r="F269" s="12"/>
      <c r="G269" s="13"/>
    </row>
    <row r="270">
      <c r="F270" s="12"/>
      <c r="G270" s="13"/>
    </row>
    <row r="271">
      <c r="F271" s="12"/>
      <c r="G271" s="13"/>
    </row>
    <row r="272">
      <c r="F272" s="12"/>
      <c r="G272" s="13"/>
    </row>
    <row r="273">
      <c r="F273" s="12"/>
      <c r="G273" s="13"/>
    </row>
    <row r="274">
      <c r="F274" s="12"/>
      <c r="G274" s="13"/>
    </row>
    <row r="275">
      <c r="F275" s="12"/>
      <c r="G275" s="13"/>
    </row>
    <row r="276">
      <c r="F276" s="12"/>
      <c r="G276" s="13"/>
    </row>
    <row r="277">
      <c r="F277" s="12"/>
      <c r="G277" s="13"/>
    </row>
    <row r="278">
      <c r="F278" s="12"/>
      <c r="G278" s="13"/>
    </row>
    <row r="279">
      <c r="F279" s="12"/>
      <c r="G279" s="13"/>
    </row>
    <row r="280">
      <c r="F280" s="12"/>
      <c r="G280" s="13"/>
    </row>
    <row r="281">
      <c r="F281" s="12"/>
      <c r="G281" s="13"/>
    </row>
    <row r="282">
      <c r="F282" s="12"/>
      <c r="G282" s="13"/>
    </row>
    <row r="283">
      <c r="F283" s="12"/>
      <c r="G283" s="13"/>
    </row>
    <row r="284">
      <c r="F284" s="12"/>
      <c r="G284" s="13"/>
    </row>
    <row r="285">
      <c r="F285" s="12"/>
      <c r="G285" s="13"/>
    </row>
    <row r="286">
      <c r="F286" s="12"/>
      <c r="G286" s="13"/>
    </row>
    <row r="287">
      <c r="F287" s="12"/>
      <c r="G287" s="13"/>
    </row>
    <row r="288">
      <c r="F288" s="12"/>
      <c r="G288" s="13"/>
    </row>
    <row r="289">
      <c r="F289" s="12"/>
      <c r="G289" s="13"/>
    </row>
    <row r="290">
      <c r="F290" s="12"/>
      <c r="G290" s="13"/>
    </row>
    <row r="291">
      <c r="F291" s="12"/>
      <c r="G291" s="13"/>
    </row>
    <row r="292">
      <c r="F292" s="12"/>
      <c r="G292" s="13"/>
    </row>
    <row r="293">
      <c r="F293" s="12"/>
      <c r="G293" s="13"/>
    </row>
    <row r="294">
      <c r="F294" s="12"/>
      <c r="G294" s="13"/>
    </row>
    <row r="295">
      <c r="F295" s="12"/>
      <c r="G295" s="13"/>
    </row>
    <row r="296">
      <c r="F296" s="12"/>
      <c r="G296" s="13"/>
    </row>
    <row r="297">
      <c r="F297" s="12"/>
      <c r="G297" s="13"/>
    </row>
    <row r="298">
      <c r="F298" s="12"/>
      <c r="G298" s="13"/>
    </row>
    <row r="299">
      <c r="F299" s="12"/>
      <c r="G299" s="13"/>
    </row>
    <row r="300">
      <c r="F300" s="12"/>
      <c r="G300" s="13"/>
    </row>
    <row r="301">
      <c r="F301" s="12"/>
      <c r="G301" s="13"/>
    </row>
    <row r="302">
      <c r="F302" s="12"/>
      <c r="G302" s="13"/>
    </row>
    <row r="303">
      <c r="F303" s="12"/>
      <c r="G303" s="13"/>
    </row>
    <row r="304">
      <c r="F304" s="12"/>
      <c r="G304" s="13"/>
    </row>
    <row r="305">
      <c r="F305" s="12"/>
      <c r="G305" s="13"/>
    </row>
    <row r="306">
      <c r="F306" s="12"/>
      <c r="G306" s="13"/>
    </row>
    <row r="307">
      <c r="F307" s="12"/>
      <c r="G307" s="13"/>
    </row>
    <row r="308">
      <c r="F308" s="12"/>
      <c r="G308" s="13"/>
    </row>
    <row r="309">
      <c r="F309" s="12"/>
      <c r="G309" s="13"/>
    </row>
    <row r="310">
      <c r="F310" s="12"/>
      <c r="G310" s="13"/>
    </row>
    <row r="311">
      <c r="F311" s="12"/>
      <c r="G311" s="13"/>
    </row>
    <row r="312">
      <c r="F312" s="12"/>
      <c r="G312" s="13"/>
    </row>
    <row r="313">
      <c r="F313" s="12"/>
      <c r="G313" s="13"/>
    </row>
    <row r="314">
      <c r="F314" s="12"/>
      <c r="G314" s="13"/>
    </row>
    <row r="315">
      <c r="F315" s="12"/>
      <c r="G315" s="13"/>
    </row>
    <row r="316">
      <c r="F316" s="12"/>
      <c r="G316" s="13"/>
    </row>
    <row r="317">
      <c r="F317" s="12"/>
      <c r="G317" s="13"/>
    </row>
    <row r="318">
      <c r="F318" s="12"/>
      <c r="G318" s="13"/>
    </row>
    <row r="319">
      <c r="F319" s="12"/>
      <c r="G319" s="13"/>
    </row>
    <row r="320">
      <c r="F320" s="12"/>
      <c r="G320" s="13"/>
    </row>
    <row r="321">
      <c r="F321" s="12"/>
      <c r="G321" s="13"/>
    </row>
    <row r="322">
      <c r="F322" s="12"/>
      <c r="G322" s="13"/>
    </row>
    <row r="323">
      <c r="F323" s="12"/>
      <c r="G323" s="13"/>
    </row>
    <row r="324">
      <c r="F324" s="12"/>
      <c r="G324" s="13"/>
    </row>
    <row r="325">
      <c r="F325" s="12"/>
      <c r="G325" s="13"/>
    </row>
    <row r="326">
      <c r="F326" s="12"/>
      <c r="G326" s="13"/>
    </row>
    <row r="327">
      <c r="F327" s="12"/>
      <c r="G327" s="13"/>
    </row>
    <row r="328">
      <c r="F328" s="12"/>
      <c r="G328" s="13"/>
    </row>
    <row r="329">
      <c r="F329" s="12"/>
      <c r="G329" s="13"/>
    </row>
    <row r="330">
      <c r="F330" s="12"/>
      <c r="G330" s="13"/>
    </row>
    <row r="331">
      <c r="F331" s="12"/>
      <c r="G331" s="13"/>
    </row>
    <row r="332">
      <c r="F332" s="12"/>
      <c r="G332" s="13"/>
    </row>
    <row r="333">
      <c r="F333" s="12"/>
      <c r="G333" s="13"/>
    </row>
    <row r="334">
      <c r="F334" s="12"/>
      <c r="G334" s="13"/>
    </row>
    <row r="335">
      <c r="F335" s="12"/>
      <c r="G335" s="13"/>
    </row>
    <row r="336">
      <c r="F336" s="12"/>
      <c r="G336" s="13"/>
    </row>
    <row r="337">
      <c r="F337" s="12"/>
      <c r="G337" s="13"/>
    </row>
    <row r="338">
      <c r="F338" s="12"/>
      <c r="G338" s="13"/>
    </row>
    <row r="339">
      <c r="F339" s="12"/>
      <c r="G339" s="13"/>
    </row>
    <row r="340">
      <c r="F340" s="12"/>
      <c r="G340" s="13"/>
    </row>
    <row r="341">
      <c r="F341" s="12"/>
      <c r="G341" s="13"/>
    </row>
    <row r="342">
      <c r="F342" s="12"/>
      <c r="G342" s="13"/>
    </row>
    <row r="343">
      <c r="F343" s="12"/>
      <c r="G343" s="13"/>
    </row>
    <row r="344">
      <c r="F344" s="12"/>
      <c r="G344" s="13"/>
    </row>
    <row r="345">
      <c r="F345" s="12"/>
      <c r="G345" s="13"/>
    </row>
    <row r="346">
      <c r="F346" s="12"/>
      <c r="G346" s="13"/>
    </row>
    <row r="347">
      <c r="F347" s="12"/>
      <c r="G347" s="13"/>
    </row>
    <row r="348">
      <c r="F348" s="12"/>
      <c r="G348" s="13"/>
    </row>
    <row r="349">
      <c r="F349" s="12"/>
      <c r="G349" s="13"/>
    </row>
    <row r="350">
      <c r="F350" s="12"/>
      <c r="G350" s="13"/>
    </row>
    <row r="351">
      <c r="F351" s="12"/>
      <c r="G351" s="13"/>
    </row>
    <row r="352">
      <c r="F352" s="12"/>
      <c r="G352" s="13"/>
    </row>
    <row r="353">
      <c r="F353" s="12"/>
      <c r="G353" s="13"/>
    </row>
    <row r="354">
      <c r="F354" s="12"/>
      <c r="G354" s="13"/>
    </row>
    <row r="355">
      <c r="F355" s="12"/>
      <c r="G355" s="13"/>
    </row>
    <row r="356">
      <c r="F356" s="12"/>
      <c r="G356" s="13"/>
    </row>
    <row r="357">
      <c r="F357" s="12"/>
      <c r="G357" s="13"/>
    </row>
    <row r="358">
      <c r="F358" s="12"/>
      <c r="G358" s="13"/>
    </row>
    <row r="359">
      <c r="F359" s="12"/>
      <c r="G359" s="13"/>
    </row>
    <row r="360">
      <c r="F360" s="12"/>
      <c r="G360" s="13"/>
    </row>
    <row r="361">
      <c r="F361" s="12"/>
      <c r="G361" s="13"/>
    </row>
    <row r="362">
      <c r="F362" s="12"/>
      <c r="G362" s="13"/>
    </row>
    <row r="363">
      <c r="F363" s="12"/>
      <c r="G363" s="13"/>
    </row>
    <row r="364">
      <c r="F364" s="12"/>
      <c r="G364" s="13"/>
    </row>
    <row r="365">
      <c r="F365" s="12"/>
      <c r="G365" s="13"/>
    </row>
    <row r="366">
      <c r="F366" s="12"/>
      <c r="G366" s="13"/>
    </row>
    <row r="367">
      <c r="F367" s="12"/>
      <c r="G367" s="13"/>
    </row>
    <row r="368">
      <c r="F368" s="12"/>
      <c r="G368" s="13"/>
    </row>
    <row r="369">
      <c r="F369" s="12"/>
      <c r="G369" s="13"/>
    </row>
    <row r="370">
      <c r="F370" s="12"/>
      <c r="G370" s="13"/>
    </row>
    <row r="371">
      <c r="F371" s="12"/>
      <c r="G371" s="13"/>
    </row>
    <row r="372">
      <c r="F372" s="12"/>
      <c r="G372" s="13"/>
    </row>
    <row r="373">
      <c r="F373" s="12"/>
      <c r="G373" s="13"/>
    </row>
    <row r="374">
      <c r="F374" s="12"/>
      <c r="G374" s="13"/>
    </row>
    <row r="375">
      <c r="F375" s="12"/>
      <c r="G375" s="13"/>
    </row>
    <row r="376">
      <c r="F376" s="12"/>
      <c r="G376" s="13"/>
    </row>
    <row r="377">
      <c r="F377" s="12"/>
      <c r="G377" s="13"/>
    </row>
    <row r="378">
      <c r="F378" s="12"/>
      <c r="G378" s="13"/>
    </row>
    <row r="379">
      <c r="F379" s="12"/>
      <c r="G379" s="13"/>
    </row>
    <row r="380">
      <c r="F380" s="12"/>
      <c r="G380" s="13"/>
    </row>
    <row r="381">
      <c r="F381" s="12"/>
      <c r="G381" s="13"/>
    </row>
    <row r="382">
      <c r="F382" s="12"/>
      <c r="G382" s="13"/>
    </row>
    <row r="383">
      <c r="F383" s="12"/>
      <c r="G383" s="13"/>
    </row>
    <row r="384">
      <c r="F384" s="12"/>
      <c r="G384" s="13"/>
    </row>
    <row r="385">
      <c r="F385" s="12"/>
      <c r="G385" s="13"/>
    </row>
    <row r="386">
      <c r="F386" s="12"/>
      <c r="G386" s="13"/>
    </row>
    <row r="387">
      <c r="F387" s="12"/>
      <c r="G387" s="13"/>
    </row>
    <row r="388">
      <c r="F388" s="12"/>
      <c r="G388" s="13"/>
    </row>
    <row r="389">
      <c r="F389" s="12"/>
      <c r="G389" s="13"/>
    </row>
    <row r="390">
      <c r="F390" s="12"/>
      <c r="G390" s="13"/>
    </row>
    <row r="391">
      <c r="F391" s="12"/>
      <c r="G391" s="13"/>
    </row>
    <row r="392">
      <c r="F392" s="12"/>
      <c r="G392" s="13"/>
    </row>
    <row r="393">
      <c r="F393" s="12"/>
      <c r="G393" s="13"/>
    </row>
    <row r="394">
      <c r="F394" s="12"/>
      <c r="G394" s="13"/>
    </row>
    <row r="395">
      <c r="F395" s="12"/>
      <c r="G395" s="13"/>
    </row>
    <row r="396">
      <c r="F396" s="12"/>
      <c r="G396" s="13"/>
    </row>
    <row r="397">
      <c r="F397" s="12"/>
      <c r="G397" s="13"/>
    </row>
    <row r="398">
      <c r="F398" s="12"/>
      <c r="G398" s="13"/>
    </row>
    <row r="399">
      <c r="F399" s="12"/>
      <c r="G399" s="13"/>
    </row>
    <row r="400">
      <c r="F400" s="12"/>
      <c r="G400" s="13"/>
    </row>
    <row r="401">
      <c r="F401" s="12"/>
      <c r="G401" s="13"/>
    </row>
    <row r="402">
      <c r="F402" s="12"/>
      <c r="G402" s="13"/>
    </row>
    <row r="403">
      <c r="F403" s="12"/>
      <c r="G403" s="13"/>
    </row>
    <row r="404">
      <c r="F404" s="12"/>
      <c r="G404" s="13"/>
    </row>
    <row r="405">
      <c r="F405" s="12"/>
      <c r="G405" s="13"/>
    </row>
    <row r="406">
      <c r="F406" s="12"/>
      <c r="G406" s="13"/>
    </row>
    <row r="407">
      <c r="F407" s="12"/>
      <c r="G407" s="13"/>
    </row>
    <row r="408">
      <c r="F408" s="12"/>
      <c r="G408" s="13"/>
    </row>
    <row r="409">
      <c r="F409" s="12"/>
      <c r="G409" s="13"/>
    </row>
    <row r="410">
      <c r="F410" s="12"/>
      <c r="G410" s="13"/>
    </row>
    <row r="411">
      <c r="F411" s="12"/>
      <c r="G411" s="13"/>
    </row>
    <row r="412">
      <c r="F412" s="12"/>
      <c r="G412" s="13"/>
    </row>
    <row r="413">
      <c r="F413" s="12"/>
      <c r="G413" s="13"/>
    </row>
    <row r="414">
      <c r="F414" s="12"/>
      <c r="G414" s="13"/>
    </row>
    <row r="415">
      <c r="F415" s="12"/>
      <c r="G415" s="13"/>
    </row>
    <row r="416">
      <c r="F416" s="12"/>
      <c r="G416" s="13"/>
    </row>
    <row r="417">
      <c r="F417" s="12"/>
      <c r="G417" s="13"/>
    </row>
    <row r="418">
      <c r="F418" s="12"/>
      <c r="G418" s="13"/>
    </row>
    <row r="419">
      <c r="F419" s="12"/>
      <c r="G419" s="13"/>
    </row>
    <row r="420">
      <c r="F420" s="12"/>
      <c r="G420" s="13"/>
    </row>
    <row r="421">
      <c r="F421" s="12"/>
      <c r="G421" s="13"/>
    </row>
    <row r="422">
      <c r="F422" s="12"/>
      <c r="G422" s="13"/>
    </row>
    <row r="423">
      <c r="F423" s="12"/>
      <c r="G423" s="13"/>
    </row>
    <row r="424">
      <c r="F424" s="12"/>
      <c r="G424" s="13"/>
    </row>
    <row r="425">
      <c r="F425" s="12"/>
      <c r="G425" s="13"/>
    </row>
    <row r="426">
      <c r="F426" s="12"/>
      <c r="G426" s="13"/>
    </row>
    <row r="427">
      <c r="F427" s="12"/>
      <c r="G427" s="13"/>
    </row>
    <row r="428">
      <c r="F428" s="12"/>
      <c r="G428" s="13"/>
    </row>
    <row r="429">
      <c r="F429" s="12"/>
      <c r="G429" s="13"/>
    </row>
    <row r="430">
      <c r="F430" s="12"/>
      <c r="G430" s="13"/>
    </row>
    <row r="431">
      <c r="F431" s="12"/>
      <c r="G431" s="13"/>
    </row>
    <row r="432">
      <c r="F432" s="12"/>
      <c r="G432" s="13"/>
    </row>
    <row r="433">
      <c r="F433" s="12"/>
      <c r="G433" s="13"/>
    </row>
    <row r="434">
      <c r="F434" s="12"/>
      <c r="G434" s="13"/>
    </row>
    <row r="435">
      <c r="F435" s="12"/>
      <c r="G435" s="13"/>
    </row>
    <row r="436">
      <c r="F436" s="12"/>
      <c r="G436" s="13"/>
    </row>
    <row r="437">
      <c r="F437" s="12"/>
      <c r="G437" s="13"/>
    </row>
    <row r="438">
      <c r="F438" s="12"/>
      <c r="G438" s="13"/>
    </row>
    <row r="439">
      <c r="F439" s="12"/>
      <c r="G439" s="13"/>
    </row>
    <row r="440">
      <c r="F440" s="12"/>
      <c r="G440" s="13"/>
    </row>
    <row r="441">
      <c r="F441" s="12"/>
      <c r="G441" s="13"/>
    </row>
    <row r="442">
      <c r="F442" s="12"/>
      <c r="G442" s="13"/>
    </row>
    <row r="443">
      <c r="F443" s="12"/>
      <c r="G443" s="13"/>
    </row>
    <row r="444">
      <c r="F444" s="12"/>
      <c r="G444" s="13"/>
    </row>
    <row r="445">
      <c r="F445" s="12"/>
      <c r="G445" s="13"/>
    </row>
    <row r="446">
      <c r="F446" s="12"/>
      <c r="G446" s="13"/>
    </row>
    <row r="447">
      <c r="F447" s="12"/>
      <c r="G447" s="13"/>
    </row>
    <row r="448">
      <c r="F448" s="12"/>
      <c r="G448" s="13"/>
    </row>
    <row r="449">
      <c r="F449" s="12"/>
      <c r="G449" s="13"/>
    </row>
    <row r="450">
      <c r="F450" s="12"/>
      <c r="G450" s="13"/>
    </row>
    <row r="451">
      <c r="F451" s="12"/>
      <c r="G451" s="13"/>
    </row>
    <row r="452">
      <c r="F452" s="12"/>
      <c r="G452" s="13"/>
    </row>
    <row r="453">
      <c r="F453" s="12"/>
      <c r="G453" s="13"/>
    </row>
    <row r="454">
      <c r="F454" s="12"/>
      <c r="G454" s="13"/>
    </row>
    <row r="455">
      <c r="F455" s="12"/>
      <c r="G455" s="13"/>
    </row>
    <row r="456">
      <c r="F456" s="12"/>
      <c r="G456" s="13"/>
    </row>
    <row r="457">
      <c r="F457" s="12"/>
      <c r="G457" s="13"/>
    </row>
    <row r="458">
      <c r="F458" s="12"/>
      <c r="G458" s="13"/>
    </row>
    <row r="459">
      <c r="F459" s="12"/>
      <c r="G459" s="13"/>
    </row>
    <row r="460">
      <c r="F460" s="12"/>
      <c r="G460" s="13"/>
    </row>
    <row r="461">
      <c r="F461" s="12"/>
      <c r="G461" s="13"/>
    </row>
    <row r="462">
      <c r="F462" s="12"/>
      <c r="G462" s="13"/>
    </row>
    <row r="463">
      <c r="F463" s="12"/>
      <c r="G463" s="13"/>
    </row>
    <row r="464">
      <c r="F464" s="12"/>
      <c r="G464" s="13"/>
    </row>
    <row r="465">
      <c r="F465" s="12"/>
      <c r="G465" s="13"/>
    </row>
    <row r="466">
      <c r="F466" s="12"/>
      <c r="G466" s="13"/>
    </row>
    <row r="467">
      <c r="F467" s="12"/>
      <c r="G467" s="13"/>
    </row>
    <row r="468">
      <c r="F468" s="12"/>
      <c r="G468" s="13"/>
    </row>
    <row r="469">
      <c r="F469" s="12"/>
      <c r="G469" s="13"/>
    </row>
    <row r="470">
      <c r="F470" s="12"/>
      <c r="G470" s="13"/>
    </row>
    <row r="471">
      <c r="F471" s="12"/>
      <c r="G471" s="13"/>
    </row>
    <row r="472">
      <c r="F472" s="12"/>
      <c r="G472" s="13"/>
    </row>
    <row r="473">
      <c r="F473" s="12"/>
      <c r="G473" s="13"/>
    </row>
    <row r="474">
      <c r="F474" s="12"/>
      <c r="G474" s="13"/>
    </row>
    <row r="475">
      <c r="F475" s="12"/>
      <c r="G475" s="13"/>
    </row>
    <row r="476">
      <c r="F476" s="12"/>
      <c r="G476" s="13"/>
    </row>
    <row r="477">
      <c r="F477" s="12"/>
      <c r="G477" s="13"/>
    </row>
    <row r="478">
      <c r="F478" s="12"/>
      <c r="G478" s="13"/>
    </row>
    <row r="479">
      <c r="F479" s="12"/>
      <c r="G479" s="13"/>
    </row>
    <row r="480">
      <c r="F480" s="12"/>
      <c r="G480" s="13"/>
    </row>
    <row r="481">
      <c r="F481" s="12"/>
      <c r="G481" s="13"/>
    </row>
    <row r="482">
      <c r="F482" s="12"/>
      <c r="G482" s="13"/>
    </row>
    <row r="483">
      <c r="F483" s="12"/>
      <c r="G483" s="13"/>
    </row>
    <row r="484">
      <c r="F484" s="12"/>
      <c r="G484" s="13"/>
    </row>
    <row r="485">
      <c r="F485" s="12"/>
      <c r="G485" s="13"/>
    </row>
    <row r="486">
      <c r="F486" s="12"/>
      <c r="G486" s="13"/>
    </row>
    <row r="487">
      <c r="F487" s="12"/>
      <c r="G487" s="13"/>
    </row>
    <row r="488">
      <c r="F488" s="12"/>
      <c r="G488" s="13"/>
    </row>
    <row r="489">
      <c r="F489" s="12"/>
      <c r="G489" s="13"/>
    </row>
    <row r="490">
      <c r="F490" s="12"/>
      <c r="G490" s="13"/>
    </row>
    <row r="491">
      <c r="F491" s="12"/>
      <c r="G491" s="13"/>
    </row>
    <row r="492">
      <c r="F492" s="12"/>
      <c r="G492" s="13"/>
    </row>
    <row r="493">
      <c r="F493" s="12"/>
      <c r="G493" s="13"/>
    </row>
    <row r="494">
      <c r="F494" s="12"/>
      <c r="G494" s="13"/>
    </row>
    <row r="495">
      <c r="F495" s="12"/>
      <c r="G495" s="13"/>
    </row>
    <row r="496">
      <c r="F496" s="12"/>
      <c r="G496" s="13"/>
    </row>
    <row r="497">
      <c r="F497" s="12"/>
      <c r="G497" s="13"/>
    </row>
    <row r="498">
      <c r="F498" s="12"/>
      <c r="G498" s="13"/>
    </row>
    <row r="499">
      <c r="F499" s="12"/>
      <c r="G499" s="13"/>
    </row>
    <row r="500">
      <c r="F500" s="12"/>
      <c r="G500" s="13"/>
    </row>
    <row r="501">
      <c r="F501" s="12"/>
      <c r="G501" s="13"/>
    </row>
    <row r="502">
      <c r="F502" s="12"/>
      <c r="G502" s="13"/>
    </row>
    <row r="503">
      <c r="F503" s="12"/>
      <c r="G503" s="13"/>
    </row>
    <row r="504">
      <c r="F504" s="12"/>
      <c r="G504" s="13"/>
    </row>
    <row r="505">
      <c r="F505" s="12"/>
      <c r="G505" s="13"/>
    </row>
    <row r="506">
      <c r="F506" s="12"/>
      <c r="G506" s="13"/>
    </row>
    <row r="507">
      <c r="F507" s="12"/>
      <c r="G507" s="13"/>
    </row>
    <row r="508">
      <c r="F508" s="12"/>
      <c r="G508" s="13"/>
    </row>
    <row r="509">
      <c r="F509" s="12"/>
      <c r="G509" s="13"/>
    </row>
    <row r="510">
      <c r="F510" s="12"/>
      <c r="G510" s="13"/>
    </row>
    <row r="511">
      <c r="F511" s="12"/>
      <c r="G511" s="13"/>
    </row>
    <row r="512">
      <c r="F512" s="12"/>
      <c r="G512" s="13"/>
    </row>
    <row r="513">
      <c r="F513" s="12"/>
      <c r="G513" s="13"/>
    </row>
    <row r="514">
      <c r="F514" s="12"/>
      <c r="G514" s="13"/>
    </row>
    <row r="515">
      <c r="F515" s="12"/>
      <c r="G515" s="13"/>
    </row>
    <row r="516">
      <c r="F516" s="12"/>
      <c r="G516" s="13"/>
    </row>
    <row r="517">
      <c r="F517" s="12"/>
      <c r="G517" s="13"/>
    </row>
    <row r="518">
      <c r="F518" s="12"/>
      <c r="G518" s="13"/>
    </row>
    <row r="519">
      <c r="F519" s="12"/>
      <c r="G519" s="13"/>
    </row>
    <row r="520">
      <c r="F520" s="12"/>
      <c r="G520" s="13"/>
    </row>
    <row r="521">
      <c r="F521" s="12"/>
      <c r="G521" s="13"/>
    </row>
    <row r="522">
      <c r="F522" s="12"/>
      <c r="G522" s="13"/>
    </row>
    <row r="523">
      <c r="F523" s="12"/>
      <c r="G523" s="13"/>
    </row>
    <row r="524">
      <c r="F524" s="12"/>
      <c r="G524" s="13"/>
    </row>
    <row r="525">
      <c r="F525" s="12"/>
      <c r="G525" s="13"/>
    </row>
    <row r="526">
      <c r="F526" s="12"/>
      <c r="G526" s="13"/>
    </row>
    <row r="527">
      <c r="F527" s="12"/>
      <c r="G527" s="13"/>
    </row>
    <row r="528">
      <c r="F528" s="12"/>
      <c r="G528" s="13"/>
    </row>
    <row r="529">
      <c r="F529" s="12"/>
      <c r="G529" s="13"/>
    </row>
    <row r="530">
      <c r="F530" s="12"/>
      <c r="G530" s="13"/>
    </row>
    <row r="531">
      <c r="F531" s="12"/>
      <c r="G531" s="13"/>
    </row>
    <row r="532">
      <c r="F532" s="12"/>
      <c r="G532" s="13"/>
    </row>
    <row r="533">
      <c r="F533" s="12"/>
      <c r="G533" s="13"/>
    </row>
    <row r="534">
      <c r="F534" s="12"/>
      <c r="G534" s="13"/>
    </row>
    <row r="535">
      <c r="F535" s="12"/>
      <c r="G535" s="13"/>
    </row>
    <row r="536">
      <c r="F536" s="12"/>
      <c r="G536" s="13"/>
    </row>
    <row r="537">
      <c r="F537" s="12"/>
      <c r="G537" s="13"/>
    </row>
    <row r="538">
      <c r="F538" s="12"/>
      <c r="G538" s="13"/>
    </row>
    <row r="539">
      <c r="F539" s="12"/>
      <c r="G539" s="13"/>
    </row>
    <row r="540">
      <c r="F540" s="12"/>
      <c r="G540" s="13"/>
    </row>
    <row r="541">
      <c r="F541" s="12"/>
      <c r="G541" s="13"/>
    </row>
    <row r="542">
      <c r="F542" s="12"/>
      <c r="G542" s="13"/>
    </row>
    <row r="543">
      <c r="F543" s="12"/>
      <c r="G543" s="13"/>
    </row>
    <row r="544">
      <c r="F544" s="12"/>
      <c r="G544" s="13"/>
    </row>
    <row r="545">
      <c r="F545" s="12"/>
      <c r="G545" s="13"/>
    </row>
    <row r="546">
      <c r="F546" s="12"/>
      <c r="G546" s="13"/>
    </row>
    <row r="547">
      <c r="F547" s="12"/>
      <c r="G547" s="13"/>
    </row>
    <row r="548">
      <c r="F548" s="12"/>
      <c r="G548" s="13"/>
    </row>
    <row r="549">
      <c r="F549" s="12"/>
      <c r="G549" s="13"/>
    </row>
    <row r="550">
      <c r="F550" s="12"/>
      <c r="G550" s="13"/>
    </row>
    <row r="551">
      <c r="F551" s="12"/>
      <c r="G551" s="13"/>
    </row>
    <row r="552">
      <c r="F552" s="12"/>
      <c r="G552" s="13"/>
    </row>
    <row r="553">
      <c r="F553" s="12"/>
      <c r="G553" s="13"/>
    </row>
    <row r="554">
      <c r="F554" s="12"/>
      <c r="G554" s="13"/>
    </row>
    <row r="555">
      <c r="F555" s="12"/>
      <c r="G555" s="13"/>
    </row>
    <row r="556">
      <c r="F556" s="12"/>
      <c r="G556" s="13"/>
    </row>
    <row r="557">
      <c r="F557" s="12"/>
      <c r="G557" s="13"/>
    </row>
    <row r="558">
      <c r="F558" s="12"/>
      <c r="G558" s="13"/>
    </row>
    <row r="559">
      <c r="F559" s="12"/>
      <c r="G559" s="13"/>
    </row>
    <row r="560">
      <c r="F560" s="12"/>
      <c r="G560" s="13"/>
    </row>
    <row r="561">
      <c r="F561" s="12"/>
      <c r="G561" s="13"/>
    </row>
    <row r="562">
      <c r="F562" s="12"/>
      <c r="G562" s="13"/>
    </row>
    <row r="563">
      <c r="F563" s="12"/>
      <c r="G563" s="13"/>
    </row>
    <row r="564">
      <c r="F564" s="12"/>
      <c r="G564" s="13"/>
    </row>
    <row r="565">
      <c r="F565" s="12"/>
      <c r="G565" s="13"/>
    </row>
    <row r="566">
      <c r="F566" s="12"/>
      <c r="G566" s="13"/>
    </row>
    <row r="567">
      <c r="F567" s="12"/>
      <c r="G567" s="13"/>
    </row>
    <row r="568">
      <c r="F568" s="12"/>
      <c r="G568" s="13"/>
    </row>
    <row r="569">
      <c r="F569" s="12"/>
      <c r="G569" s="13"/>
    </row>
    <row r="570">
      <c r="F570" s="12"/>
      <c r="G570" s="13"/>
    </row>
    <row r="571">
      <c r="F571" s="12"/>
      <c r="G571" s="13"/>
    </row>
    <row r="572">
      <c r="F572" s="12"/>
      <c r="G572" s="13"/>
    </row>
    <row r="573">
      <c r="F573" s="12"/>
      <c r="G573" s="13"/>
    </row>
    <row r="574">
      <c r="F574" s="12"/>
      <c r="G574" s="13"/>
    </row>
    <row r="575">
      <c r="F575" s="12"/>
      <c r="G575" s="13"/>
    </row>
    <row r="576">
      <c r="F576" s="12"/>
      <c r="G576" s="13"/>
    </row>
    <row r="577">
      <c r="F577" s="12"/>
      <c r="G577" s="13"/>
    </row>
    <row r="578">
      <c r="F578" s="12"/>
      <c r="G578" s="13"/>
    </row>
    <row r="579">
      <c r="F579" s="12"/>
      <c r="G579" s="13"/>
    </row>
    <row r="580">
      <c r="F580" s="12"/>
      <c r="G580" s="13"/>
    </row>
    <row r="581">
      <c r="F581" s="12"/>
      <c r="G581" s="13"/>
    </row>
    <row r="582">
      <c r="F582" s="12"/>
      <c r="G582" s="13"/>
    </row>
    <row r="583">
      <c r="F583" s="12"/>
      <c r="G583" s="13"/>
    </row>
    <row r="584">
      <c r="F584" s="12"/>
      <c r="G584" s="13"/>
    </row>
    <row r="585">
      <c r="F585" s="12"/>
      <c r="G585" s="13"/>
    </row>
    <row r="586">
      <c r="F586" s="12"/>
      <c r="G586" s="13"/>
    </row>
    <row r="587">
      <c r="F587" s="12"/>
      <c r="G587" s="13"/>
    </row>
    <row r="588">
      <c r="F588" s="12"/>
      <c r="G588" s="13"/>
    </row>
    <row r="589">
      <c r="F589" s="12"/>
      <c r="G589" s="13"/>
    </row>
    <row r="590">
      <c r="F590" s="12"/>
      <c r="G590" s="13"/>
    </row>
    <row r="591">
      <c r="F591" s="12"/>
      <c r="G591" s="13"/>
    </row>
    <row r="592">
      <c r="F592" s="12"/>
      <c r="G592" s="13"/>
    </row>
    <row r="593">
      <c r="F593" s="12"/>
      <c r="G593" s="13"/>
    </row>
    <row r="594">
      <c r="F594" s="12"/>
      <c r="G594" s="13"/>
    </row>
    <row r="595">
      <c r="F595" s="12"/>
      <c r="G595" s="13"/>
    </row>
    <row r="596">
      <c r="F596" s="12"/>
      <c r="G596" s="13"/>
    </row>
    <row r="597">
      <c r="F597" s="12"/>
      <c r="G597" s="13"/>
    </row>
    <row r="598">
      <c r="F598" s="12"/>
      <c r="G598" s="13"/>
    </row>
    <row r="599">
      <c r="F599" s="12"/>
      <c r="G599" s="13"/>
    </row>
    <row r="600">
      <c r="F600" s="12"/>
      <c r="G600" s="13"/>
    </row>
    <row r="601">
      <c r="F601" s="12"/>
      <c r="G601" s="13"/>
    </row>
    <row r="602">
      <c r="F602" s="12"/>
      <c r="G602" s="13"/>
    </row>
    <row r="603">
      <c r="F603" s="12"/>
      <c r="G603" s="13"/>
    </row>
    <row r="604">
      <c r="F604" s="12"/>
      <c r="G604" s="13"/>
    </row>
    <row r="605">
      <c r="F605" s="12"/>
      <c r="G605" s="13"/>
    </row>
    <row r="606">
      <c r="F606" s="12"/>
      <c r="G606" s="13"/>
    </row>
    <row r="607">
      <c r="F607" s="12"/>
      <c r="G607" s="13"/>
    </row>
    <row r="608">
      <c r="F608" s="12"/>
      <c r="G608" s="13"/>
    </row>
    <row r="609">
      <c r="F609" s="12"/>
      <c r="G609" s="13"/>
    </row>
    <row r="610">
      <c r="F610" s="12"/>
      <c r="G610" s="13"/>
    </row>
    <row r="611">
      <c r="F611" s="12"/>
      <c r="G611" s="13"/>
    </row>
    <row r="612">
      <c r="F612" s="12"/>
      <c r="G612" s="13"/>
    </row>
    <row r="613">
      <c r="F613" s="12"/>
      <c r="G613" s="13"/>
    </row>
    <row r="614">
      <c r="F614" s="12"/>
      <c r="G614" s="13"/>
    </row>
    <row r="615">
      <c r="F615" s="12"/>
      <c r="G615" s="13"/>
    </row>
    <row r="616">
      <c r="F616" s="12"/>
      <c r="G616" s="13"/>
    </row>
    <row r="617">
      <c r="F617" s="12"/>
      <c r="G617" s="13"/>
    </row>
    <row r="618">
      <c r="F618" s="12"/>
      <c r="G618" s="13"/>
    </row>
    <row r="619">
      <c r="F619" s="12"/>
      <c r="G619" s="13"/>
    </row>
    <row r="620">
      <c r="F620" s="12"/>
      <c r="G620" s="13"/>
    </row>
    <row r="621">
      <c r="F621" s="12"/>
      <c r="G621" s="13"/>
    </row>
    <row r="622">
      <c r="F622" s="12"/>
      <c r="G622" s="13"/>
    </row>
    <row r="623">
      <c r="F623" s="12"/>
      <c r="G623" s="13"/>
    </row>
    <row r="624">
      <c r="F624" s="12"/>
      <c r="G624" s="13"/>
    </row>
    <row r="625">
      <c r="F625" s="12"/>
      <c r="G625" s="13"/>
    </row>
    <row r="626">
      <c r="F626" s="12"/>
      <c r="G626" s="13"/>
    </row>
    <row r="627">
      <c r="F627" s="12"/>
      <c r="G627" s="13"/>
    </row>
    <row r="628">
      <c r="F628" s="12"/>
      <c r="G628" s="13"/>
    </row>
    <row r="629">
      <c r="F629" s="12"/>
      <c r="G629" s="13"/>
    </row>
    <row r="630">
      <c r="F630" s="12"/>
      <c r="G630" s="13"/>
    </row>
    <row r="631">
      <c r="F631" s="12"/>
      <c r="G631" s="13"/>
    </row>
    <row r="632">
      <c r="F632" s="12"/>
      <c r="G632" s="13"/>
    </row>
    <row r="633">
      <c r="F633" s="12"/>
      <c r="G633" s="13"/>
    </row>
    <row r="634">
      <c r="F634" s="12"/>
      <c r="G634" s="13"/>
    </row>
    <row r="635">
      <c r="F635" s="12"/>
      <c r="G635" s="13"/>
    </row>
    <row r="636">
      <c r="F636" s="12"/>
      <c r="G636" s="13"/>
    </row>
    <row r="637">
      <c r="F637" s="12"/>
      <c r="G637" s="13"/>
    </row>
    <row r="638">
      <c r="F638" s="12"/>
      <c r="G638" s="13"/>
    </row>
    <row r="639">
      <c r="F639" s="12"/>
      <c r="G639" s="13"/>
    </row>
    <row r="640">
      <c r="F640" s="12"/>
      <c r="G640" s="13"/>
    </row>
    <row r="641">
      <c r="F641" s="12"/>
      <c r="G641" s="13"/>
    </row>
    <row r="642">
      <c r="F642" s="12"/>
      <c r="G642" s="13"/>
    </row>
    <row r="643">
      <c r="F643" s="12"/>
      <c r="G643" s="13"/>
    </row>
    <row r="644">
      <c r="F644" s="12"/>
      <c r="G644" s="13"/>
    </row>
    <row r="645">
      <c r="F645" s="12"/>
      <c r="G645" s="13"/>
    </row>
    <row r="646">
      <c r="F646" s="12"/>
      <c r="G646" s="13"/>
    </row>
    <row r="647">
      <c r="F647" s="12"/>
      <c r="G647" s="13"/>
    </row>
    <row r="648">
      <c r="F648" s="12"/>
      <c r="G648" s="13"/>
    </row>
    <row r="649">
      <c r="F649" s="12"/>
      <c r="G649" s="13"/>
    </row>
    <row r="650">
      <c r="F650" s="12"/>
      <c r="G650" s="13"/>
    </row>
    <row r="651">
      <c r="F651" s="12"/>
      <c r="G651" s="13"/>
    </row>
    <row r="652">
      <c r="F652" s="12"/>
      <c r="G652" s="13"/>
    </row>
    <row r="653">
      <c r="F653" s="12"/>
      <c r="G653" s="13"/>
    </row>
    <row r="654">
      <c r="F654" s="12"/>
      <c r="G654" s="13"/>
    </row>
    <row r="655">
      <c r="F655" s="12"/>
      <c r="G655" s="13"/>
    </row>
    <row r="656">
      <c r="F656" s="12"/>
      <c r="G656" s="13"/>
    </row>
    <row r="657">
      <c r="F657" s="12"/>
      <c r="G657" s="13"/>
    </row>
    <row r="658">
      <c r="F658" s="12"/>
      <c r="G658" s="13"/>
    </row>
    <row r="659">
      <c r="F659" s="12"/>
      <c r="G659" s="13"/>
    </row>
    <row r="660">
      <c r="F660" s="12"/>
      <c r="G660" s="13"/>
    </row>
    <row r="661">
      <c r="F661" s="12"/>
      <c r="G661" s="13"/>
    </row>
    <row r="662">
      <c r="F662" s="12"/>
      <c r="G662" s="13"/>
    </row>
    <row r="663">
      <c r="F663" s="12"/>
      <c r="G663" s="13"/>
    </row>
    <row r="664">
      <c r="F664" s="12"/>
      <c r="G664" s="13"/>
    </row>
    <row r="665">
      <c r="F665" s="12"/>
      <c r="G665" s="13"/>
    </row>
    <row r="666">
      <c r="F666" s="12"/>
      <c r="G666" s="13"/>
    </row>
    <row r="667">
      <c r="F667" s="12"/>
      <c r="G667" s="13"/>
    </row>
    <row r="668">
      <c r="F668" s="12"/>
      <c r="G668" s="13"/>
    </row>
    <row r="669">
      <c r="F669" s="12"/>
      <c r="G669" s="13"/>
    </row>
    <row r="670">
      <c r="F670" s="12"/>
      <c r="G670" s="13"/>
    </row>
    <row r="671">
      <c r="F671" s="12"/>
      <c r="G671" s="13"/>
    </row>
    <row r="672">
      <c r="F672" s="12"/>
      <c r="G672" s="13"/>
    </row>
    <row r="673">
      <c r="F673" s="12"/>
      <c r="G673" s="13"/>
    </row>
    <row r="674">
      <c r="F674" s="12"/>
      <c r="G674" s="13"/>
    </row>
    <row r="675">
      <c r="F675" s="12"/>
      <c r="G675" s="13"/>
    </row>
    <row r="676">
      <c r="F676" s="12"/>
      <c r="G676" s="13"/>
    </row>
    <row r="677">
      <c r="F677" s="12"/>
      <c r="G677" s="13"/>
    </row>
    <row r="678">
      <c r="F678" s="12"/>
      <c r="G678" s="13"/>
    </row>
    <row r="679">
      <c r="F679" s="12"/>
      <c r="G679" s="13"/>
    </row>
    <row r="680">
      <c r="F680" s="12"/>
      <c r="G680" s="13"/>
    </row>
    <row r="681">
      <c r="F681" s="12"/>
      <c r="G681" s="13"/>
    </row>
    <row r="682">
      <c r="F682" s="12"/>
      <c r="G682" s="13"/>
    </row>
    <row r="683">
      <c r="F683" s="12"/>
      <c r="G683" s="13"/>
    </row>
    <row r="684">
      <c r="F684" s="12"/>
      <c r="G684" s="13"/>
    </row>
    <row r="685">
      <c r="F685" s="12"/>
      <c r="G685" s="13"/>
    </row>
    <row r="686">
      <c r="F686" s="12"/>
      <c r="G686" s="13"/>
    </row>
    <row r="687">
      <c r="F687" s="12"/>
      <c r="G687" s="13"/>
    </row>
    <row r="688">
      <c r="F688" s="12"/>
      <c r="G688" s="13"/>
    </row>
    <row r="689">
      <c r="F689" s="12"/>
      <c r="G689" s="13"/>
    </row>
    <row r="690">
      <c r="F690" s="12"/>
      <c r="G690" s="13"/>
    </row>
    <row r="691">
      <c r="F691" s="12"/>
      <c r="G691" s="13"/>
    </row>
    <row r="692">
      <c r="F692" s="12"/>
      <c r="G692" s="13"/>
    </row>
    <row r="693">
      <c r="F693" s="12"/>
      <c r="G693" s="13"/>
    </row>
    <row r="694">
      <c r="F694" s="12"/>
      <c r="G694" s="13"/>
    </row>
    <row r="695">
      <c r="F695" s="12"/>
      <c r="G695" s="13"/>
    </row>
    <row r="696">
      <c r="F696" s="12"/>
      <c r="G696" s="13"/>
    </row>
    <row r="697">
      <c r="F697" s="12"/>
      <c r="G697" s="13"/>
    </row>
    <row r="698">
      <c r="F698" s="12"/>
      <c r="G698" s="13"/>
    </row>
    <row r="699">
      <c r="F699" s="12"/>
      <c r="G699" s="13"/>
    </row>
    <row r="700">
      <c r="F700" s="12"/>
      <c r="G700" s="13"/>
    </row>
    <row r="701">
      <c r="F701" s="12"/>
      <c r="G701" s="13"/>
    </row>
    <row r="702">
      <c r="F702" s="12"/>
      <c r="G702" s="13"/>
    </row>
    <row r="703">
      <c r="F703" s="12"/>
      <c r="G703" s="13"/>
    </row>
    <row r="704">
      <c r="F704" s="12"/>
      <c r="G704" s="13"/>
    </row>
    <row r="705">
      <c r="F705" s="12"/>
      <c r="G705" s="13"/>
    </row>
    <row r="706">
      <c r="F706" s="12"/>
      <c r="G706" s="13"/>
    </row>
    <row r="707">
      <c r="F707" s="12"/>
      <c r="G707" s="13"/>
    </row>
    <row r="708">
      <c r="F708" s="12"/>
      <c r="G708" s="13"/>
    </row>
    <row r="709">
      <c r="F709" s="12"/>
      <c r="G709" s="13"/>
    </row>
    <row r="710">
      <c r="F710" s="12"/>
      <c r="G710" s="13"/>
    </row>
    <row r="711">
      <c r="F711" s="12"/>
      <c r="G711" s="13"/>
    </row>
    <row r="712">
      <c r="F712" s="12"/>
      <c r="G712" s="13"/>
    </row>
    <row r="713">
      <c r="F713" s="12"/>
      <c r="G713" s="13"/>
    </row>
    <row r="714">
      <c r="F714" s="12"/>
      <c r="G714" s="13"/>
    </row>
    <row r="715">
      <c r="F715" s="12"/>
      <c r="G715" s="13"/>
    </row>
    <row r="716">
      <c r="F716" s="12"/>
      <c r="G716" s="13"/>
    </row>
    <row r="717">
      <c r="F717" s="12"/>
      <c r="G717" s="13"/>
    </row>
    <row r="718">
      <c r="F718" s="12"/>
      <c r="G718" s="13"/>
    </row>
    <row r="719">
      <c r="F719" s="12"/>
      <c r="G719" s="13"/>
    </row>
    <row r="720">
      <c r="F720" s="12"/>
      <c r="G720" s="13"/>
    </row>
    <row r="721">
      <c r="F721" s="12"/>
      <c r="G721" s="13"/>
    </row>
    <row r="722">
      <c r="F722" s="12"/>
      <c r="G722" s="13"/>
    </row>
    <row r="723">
      <c r="F723" s="12"/>
      <c r="G723" s="13"/>
    </row>
    <row r="724">
      <c r="F724" s="12"/>
      <c r="G724" s="13"/>
    </row>
    <row r="725">
      <c r="F725" s="12"/>
      <c r="G725" s="13"/>
    </row>
    <row r="726">
      <c r="F726" s="12"/>
      <c r="G726" s="13"/>
    </row>
    <row r="727">
      <c r="F727" s="12"/>
      <c r="G727" s="13"/>
    </row>
    <row r="728">
      <c r="F728" s="12"/>
      <c r="G728" s="13"/>
    </row>
    <row r="729">
      <c r="F729" s="12"/>
      <c r="G729" s="13"/>
    </row>
    <row r="730">
      <c r="F730" s="12"/>
      <c r="G730" s="13"/>
    </row>
    <row r="731">
      <c r="F731" s="12"/>
      <c r="G731" s="13"/>
    </row>
    <row r="732">
      <c r="F732" s="12"/>
      <c r="G732" s="13"/>
    </row>
    <row r="733">
      <c r="F733" s="12"/>
      <c r="G733" s="13"/>
    </row>
    <row r="734">
      <c r="F734" s="12"/>
      <c r="G734" s="13"/>
    </row>
    <row r="735">
      <c r="F735" s="12"/>
      <c r="G735" s="13"/>
    </row>
    <row r="736">
      <c r="F736" s="12"/>
      <c r="G736" s="13"/>
    </row>
    <row r="737">
      <c r="F737" s="12"/>
      <c r="G737" s="13"/>
    </row>
    <row r="738">
      <c r="F738" s="12"/>
      <c r="G738" s="13"/>
    </row>
    <row r="739">
      <c r="F739" s="12"/>
      <c r="G739" s="13"/>
    </row>
    <row r="740">
      <c r="F740" s="12"/>
      <c r="G740" s="13"/>
    </row>
    <row r="741">
      <c r="F741" s="12"/>
      <c r="G741" s="13"/>
    </row>
    <row r="742">
      <c r="F742" s="12"/>
      <c r="G742" s="13"/>
    </row>
    <row r="743">
      <c r="F743" s="12"/>
      <c r="G743" s="13"/>
    </row>
    <row r="744">
      <c r="F744" s="12"/>
      <c r="G744" s="13"/>
    </row>
    <row r="745">
      <c r="F745" s="12"/>
      <c r="G745" s="13"/>
    </row>
    <row r="746">
      <c r="F746" s="12"/>
      <c r="G746" s="13"/>
    </row>
    <row r="747">
      <c r="F747" s="12"/>
      <c r="G747" s="13"/>
    </row>
    <row r="748">
      <c r="F748" s="12"/>
      <c r="G748" s="13"/>
    </row>
    <row r="749">
      <c r="F749" s="12"/>
      <c r="G749" s="13"/>
    </row>
    <row r="750">
      <c r="F750" s="12"/>
      <c r="G750" s="13"/>
    </row>
    <row r="751">
      <c r="F751" s="12"/>
      <c r="G751" s="13"/>
    </row>
    <row r="752">
      <c r="F752" s="12"/>
      <c r="G752" s="13"/>
    </row>
    <row r="753">
      <c r="F753" s="12"/>
      <c r="G753" s="13"/>
    </row>
    <row r="754">
      <c r="F754" s="12"/>
      <c r="G754" s="13"/>
    </row>
    <row r="755">
      <c r="F755" s="12"/>
      <c r="G755" s="13"/>
    </row>
    <row r="756">
      <c r="F756" s="12"/>
      <c r="G756" s="13"/>
    </row>
    <row r="757">
      <c r="F757" s="12"/>
      <c r="G757" s="13"/>
    </row>
    <row r="758">
      <c r="F758" s="12"/>
      <c r="G758" s="13"/>
    </row>
    <row r="759">
      <c r="F759" s="12"/>
      <c r="G759" s="13"/>
    </row>
    <row r="760">
      <c r="F760" s="12"/>
      <c r="G760" s="13"/>
    </row>
    <row r="761">
      <c r="F761" s="12"/>
      <c r="G761" s="13"/>
    </row>
    <row r="762">
      <c r="F762" s="12"/>
      <c r="G762" s="13"/>
    </row>
    <row r="763">
      <c r="F763" s="12"/>
      <c r="G763" s="13"/>
    </row>
    <row r="764">
      <c r="F764" s="12"/>
      <c r="G764" s="13"/>
    </row>
    <row r="765">
      <c r="F765" s="12"/>
      <c r="G765" s="13"/>
    </row>
    <row r="766">
      <c r="F766" s="12"/>
      <c r="G766" s="13"/>
    </row>
    <row r="767">
      <c r="F767" s="12"/>
      <c r="G767" s="13"/>
    </row>
    <row r="768">
      <c r="F768" s="12"/>
      <c r="G768" s="13"/>
    </row>
    <row r="769">
      <c r="F769" s="12"/>
      <c r="G769" s="13"/>
    </row>
    <row r="770">
      <c r="F770" s="12"/>
      <c r="G770" s="13"/>
    </row>
    <row r="771">
      <c r="F771" s="12"/>
      <c r="G771" s="13"/>
    </row>
    <row r="772">
      <c r="F772" s="12"/>
      <c r="G772" s="13"/>
    </row>
    <row r="773">
      <c r="F773" s="12"/>
      <c r="G773" s="13"/>
    </row>
    <row r="774">
      <c r="F774" s="12"/>
      <c r="G774" s="13"/>
    </row>
    <row r="775">
      <c r="F775" s="12"/>
      <c r="G775" s="13"/>
    </row>
    <row r="776">
      <c r="F776" s="12"/>
      <c r="G776" s="13"/>
    </row>
    <row r="777">
      <c r="F777" s="12"/>
      <c r="G777" s="13"/>
    </row>
    <row r="778">
      <c r="F778" s="12"/>
      <c r="G778" s="13"/>
    </row>
    <row r="779">
      <c r="F779" s="12"/>
      <c r="G779" s="13"/>
    </row>
    <row r="780">
      <c r="F780" s="12"/>
      <c r="G780" s="13"/>
    </row>
    <row r="781">
      <c r="F781" s="12"/>
      <c r="G781" s="13"/>
    </row>
    <row r="782">
      <c r="F782" s="12"/>
      <c r="G782" s="13"/>
    </row>
    <row r="783">
      <c r="F783" s="12"/>
      <c r="G783" s="13"/>
    </row>
    <row r="784">
      <c r="F784" s="12"/>
      <c r="G784" s="13"/>
    </row>
    <row r="785">
      <c r="F785" s="12"/>
      <c r="G785" s="13"/>
    </row>
    <row r="786">
      <c r="F786" s="12"/>
      <c r="G786" s="13"/>
    </row>
    <row r="787">
      <c r="F787" s="12"/>
      <c r="G787" s="13"/>
    </row>
    <row r="788">
      <c r="F788" s="12"/>
      <c r="G788" s="13"/>
    </row>
    <row r="789">
      <c r="F789" s="12"/>
      <c r="G789" s="13"/>
    </row>
    <row r="790">
      <c r="F790" s="12"/>
      <c r="G790" s="13"/>
    </row>
    <row r="791">
      <c r="F791" s="12"/>
      <c r="G791" s="13"/>
    </row>
    <row r="792">
      <c r="F792" s="12"/>
      <c r="G792" s="13"/>
    </row>
    <row r="793">
      <c r="F793" s="12"/>
      <c r="G793" s="13"/>
    </row>
    <row r="794">
      <c r="F794" s="12"/>
      <c r="G794" s="13"/>
    </row>
    <row r="795">
      <c r="F795" s="12"/>
      <c r="G795" s="13"/>
    </row>
    <row r="796">
      <c r="F796" s="12"/>
      <c r="G796" s="13"/>
    </row>
    <row r="797">
      <c r="F797" s="12"/>
      <c r="G797" s="13"/>
    </row>
    <row r="798">
      <c r="F798" s="12"/>
      <c r="G798" s="13"/>
    </row>
    <row r="799">
      <c r="F799" s="12"/>
      <c r="G799" s="13"/>
    </row>
    <row r="800">
      <c r="F800" s="12"/>
      <c r="G800" s="13"/>
    </row>
    <row r="801">
      <c r="F801" s="12"/>
      <c r="G801" s="13"/>
    </row>
    <row r="802">
      <c r="F802" s="12"/>
      <c r="G802" s="13"/>
    </row>
    <row r="803">
      <c r="F803" s="12"/>
      <c r="G803" s="13"/>
    </row>
    <row r="804">
      <c r="F804" s="12"/>
      <c r="G804" s="13"/>
    </row>
    <row r="805">
      <c r="F805" s="12"/>
      <c r="G805" s="13"/>
    </row>
    <row r="806">
      <c r="F806" s="12"/>
      <c r="G806" s="13"/>
    </row>
    <row r="807">
      <c r="F807" s="12"/>
      <c r="G807" s="13"/>
    </row>
    <row r="808">
      <c r="F808" s="12"/>
      <c r="G808" s="13"/>
    </row>
    <row r="809">
      <c r="F809" s="12"/>
      <c r="G809" s="13"/>
    </row>
    <row r="810">
      <c r="F810" s="12"/>
      <c r="G810" s="13"/>
    </row>
    <row r="811">
      <c r="F811" s="12"/>
      <c r="G811" s="13"/>
    </row>
    <row r="812">
      <c r="F812" s="12"/>
      <c r="G812" s="13"/>
    </row>
    <row r="813">
      <c r="F813" s="12"/>
      <c r="G813" s="13"/>
    </row>
    <row r="814">
      <c r="F814" s="12"/>
      <c r="G814" s="13"/>
    </row>
    <row r="815">
      <c r="F815" s="12"/>
      <c r="G815" s="13"/>
    </row>
    <row r="816">
      <c r="F816" s="12"/>
      <c r="G816" s="13"/>
    </row>
    <row r="817">
      <c r="F817" s="12"/>
      <c r="G817" s="13"/>
    </row>
    <row r="818">
      <c r="F818" s="12"/>
      <c r="G818" s="13"/>
    </row>
    <row r="819">
      <c r="F819" s="12"/>
      <c r="G819" s="13"/>
    </row>
    <row r="820">
      <c r="F820" s="12"/>
      <c r="G820" s="13"/>
    </row>
    <row r="821">
      <c r="F821" s="12"/>
      <c r="G821" s="13"/>
    </row>
    <row r="822">
      <c r="F822" s="12"/>
      <c r="G822" s="13"/>
    </row>
    <row r="823">
      <c r="F823" s="12"/>
      <c r="G823" s="13"/>
    </row>
    <row r="824">
      <c r="F824" s="12"/>
      <c r="G824" s="13"/>
    </row>
    <row r="825">
      <c r="F825" s="12"/>
      <c r="G825" s="13"/>
    </row>
    <row r="826">
      <c r="F826" s="12"/>
      <c r="G826" s="13"/>
    </row>
    <row r="827">
      <c r="F827" s="12"/>
      <c r="G827" s="13"/>
    </row>
    <row r="828">
      <c r="F828" s="12"/>
      <c r="G828" s="13"/>
    </row>
    <row r="829">
      <c r="F829" s="12"/>
      <c r="G829" s="13"/>
    </row>
    <row r="830">
      <c r="F830" s="12"/>
      <c r="G830" s="13"/>
    </row>
    <row r="831">
      <c r="F831" s="12"/>
      <c r="G831" s="13"/>
    </row>
    <row r="832">
      <c r="F832" s="12"/>
      <c r="G832" s="13"/>
    </row>
    <row r="833">
      <c r="F833" s="12"/>
      <c r="G833" s="13"/>
    </row>
    <row r="834">
      <c r="F834" s="12"/>
      <c r="G834" s="13"/>
    </row>
    <row r="835">
      <c r="F835" s="12"/>
      <c r="G835" s="13"/>
    </row>
    <row r="836">
      <c r="F836" s="12"/>
      <c r="G836" s="13"/>
    </row>
    <row r="837">
      <c r="F837" s="12"/>
      <c r="G837" s="13"/>
    </row>
    <row r="838">
      <c r="F838" s="12"/>
      <c r="G838" s="13"/>
    </row>
    <row r="839">
      <c r="F839" s="12"/>
      <c r="G839" s="13"/>
    </row>
    <row r="840">
      <c r="F840" s="12"/>
      <c r="G840" s="13"/>
    </row>
    <row r="841">
      <c r="F841" s="12"/>
      <c r="G841" s="13"/>
    </row>
    <row r="842">
      <c r="F842" s="12"/>
      <c r="G842" s="13"/>
    </row>
    <row r="843">
      <c r="F843" s="12"/>
      <c r="G843" s="13"/>
    </row>
    <row r="844">
      <c r="F844" s="12"/>
      <c r="G844" s="13"/>
    </row>
    <row r="845">
      <c r="F845" s="12"/>
      <c r="G845" s="13"/>
    </row>
    <row r="846">
      <c r="F846" s="12"/>
      <c r="G846" s="13"/>
    </row>
    <row r="847">
      <c r="F847" s="12"/>
      <c r="G847" s="13"/>
    </row>
    <row r="848">
      <c r="F848" s="12"/>
      <c r="G848" s="13"/>
    </row>
    <row r="849">
      <c r="F849" s="12"/>
      <c r="G849" s="13"/>
    </row>
    <row r="850">
      <c r="F850" s="12"/>
      <c r="G850" s="13"/>
    </row>
    <row r="851">
      <c r="F851" s="12"/>
      <c r="G851" s="13"/>
    </row>
    <row r="852">
      <c r="F852" s="12"/>
      <c r="G852" s="13"/>
    </row>
    <row r="853">
      <c r="F853" s="12"/>
      <c r="G853" s="13"/>
    </row>
    <row r="854">
      <c r="F854" s="12"/>
      <c r="G854" s="13"/>
    </row>
    <row r="855">
      <c r="F855" s="12"/>
      <c r="G855" s="13"/>
    </row>
    <row r="856">
      <c r="F856" s="12"/>
      <c r="G856" s="13"/>
    </row>
    <row r="857">
      <c r="F857" s="12"/>
      <c r="G857" s="13"/>
    </row>
    <row r="858">
      <c r="F858" s="12"/>
      <c r="G858" s="13"/>
    </row>
    <row r="859">
      <c r="F859" s="12"/>
      <c r="G859" s="13"/>
    </row>
    <row r="860">
      <c r="F860" s="12"/>
      <c r="G860" s="13"/>
    </row>
    <row r="861">
      <c r="F861" s="12"/>
      <c r="G861" s="13"/>
    </row>
    <row r="862">
      <c r="F862" s="12"/>
      <c r="G862" s="13"/>
    </row>
    <row r="863">
      <c r="F863" s="12"/>
      <c r="G863" s="13"/>
    </row>
    <row r="864">
      <c r="F864" s="12"/>
      <c r="G864" s="13"/>
    </row>
    <row r="865">
      <c r="F865" s="12"/>
      <c r="G865" s="13"/>
    </row>
    <row r="866">
      <c r="F866" s="12"/>
      <c r="G866" s="13"/>
    </row>
    <row r="867">
      <c r="F867" s="12"/>
      <c r="G867" s="13"/>
    </row>
    <row r="868">
      <c r="F868" s="12"/>
      <c r="G868" s="13"/>
    </row>
    <row r="869">
      <c r="F869" s="12"/>
      <c r="G869" s="13"/>
    </row>
    <row r="870">
      <c r="F870" s="12"/>
      <c r="G870" s="13"/>
    </row>
    <row r="871">
      <c r="F871" s="12"/>
      <c r="G871" s="13"/>
    </row>
    <row r="872">
      <c r="F872" s="12"/>
      <c r="G872" s="13"/>
    </row>
    <row r="873">
      <c r="F873" s="12"/>
      <c r="G873" s="13"/>
    </row>
    <row r="874">
      <c r="F874" s="12"/>
      <c r="G874" s="13"/>
    </row>
    <row r="875">
      <c r="F875" s="12"/>
      <c r="G875" s="13"/>
    </row>
    <row r="876">
      <c r="F876" s="12"/>
      <c r="G876" s="13"/>
    </row>
    <row r="877">
      <c r="F877" s="12"/>
      <c r="G877" s="13"/>
    </row>
    <row r="878">
      <c r="F878" s="12"/>
      <c r="G878" s="13"/>
    </row>
    <row r="879">
      <c r="F879" s="12"/>
      <c r="G879" s="13"/>
    </row>
    <row r="880">
      <c r="F880" s="12"/>
      <c r="G880" s="13"/>
    </row>
    <row r="881">
      <c r="F881" s="12"/>
      <c r="G881" s="13"/>
    </row>
    <row r="882">
      <c r="F882" s="12"/>
      <c r="G882" s="13"/>
    </row>
    <row r="883">
      <c r="F883" s="12"/>
      <c r="G883" s="13"/>
    </row>
    <row r="884">
      <c r="F884" s="12"/>
      <c r="G884" s="13"/>
    </row>
    <row r="885">
      <c r="F885" s="12"/>
      <c r="G885" s="13"/>
    </row>
    <row r="886">
      <c r="F886" s="12"/>
      <c r="G886" s="13"/>
    </row>
    <row r="887">
      <c r="F887" s="12"/>
      <c r="G887" s="13"/>
    </row>
    <row r="888">
      <c r="F888" s="12"/>
      <c r="G888" s="13"/>
    </row>
    <row r="889">
      <c r="F889" s="12"/>
      <c r="G889" s="13"/>
    </row>
    <row r="890">
      <c r="F890" s="12"/>
      <c r="G890" s="13"/>
    </row>
    <row r="891">
      <c r="F891" s="12"/>
      <c r="G891" s="13"/>
    </row>
    <row r="892">
      <c r="F892" s="12"/>
      <c r="G892" s="13"/>
    </row>
    <row r="893">
      <c r="F893" s="12"/>
      <c r="G893" s="13"/>
    </row>
    <row r="894">
      <c r="F894" s="12"/>
      <c r="G894" s="13"/>
    </row>
    <row r="895">
      <c r="F895" s="12"/>
      <c r="G895" s="13"/>
    </row>
    <row r="896">
      <c r="F896" s="12"/>
      <c r="G896" s="13"/>
    </row>
    <row r="897">
      <c r="F897" s="12"/>
      <c r="G897" s="13"/>
    </row>
    <row r="898">
      <c r="F898" s="12"/>
      <c r="G898" s="13"/>
    </row>
    <row r="899">
      <c r="F899" s="12"/>
      <c r="G899" s="13"/>
    </row>
    <row r="900">
      <c r="F900" s="12"/>
      <c r="G900" s="13"/>
    </row>
    <row r="901">
      <c r="F901" s="12"/>
      <c r="G901" s="13"/>
    </row>
    <row r="902">
      <c r="F902" s="12"/>
      <c r="G902" s="13"/>
    </row>
    <row r="903">
      <c r="F903" s="12"/>
      <c r="G903" s="13"/>
    </row>
    <row r="904">
      <c r="F904" s="12"/>
      <c r="G904" s="13"/>
    </row>
    <row r="905">
      <c r="F905" s="12"/>
      <c r="G905" s="13"/>
    </row>
    <row r="906">
      <c r="F906" s="12"/>
      <c r="G906" s="13"/>
    </row>
    <row r="907">
      <c r="F907" s="12"/>
      <c r="G907" s="13"/>
    </row>
    <row r="908">
      <c r="F908" s="12"/>
      <c r="G908" s="13"/>
    </row>
    <row r="909">
      <c r="F909" s="12"/>
      <c r="G909" s="13"/>
    </row>
    <row r="910">
      <c r="F910" s="12"/>
      <c r="G910" s="13"/>
    </row>
    <row r="911">
      <c r="F911" s="12"/>
      <c r="G911" s="13"/>
    </row>
    <row r="912">
      <c r="F912" s="12"/>
      <c r="G912" s="13"/>
    </row>
    <row r="913">
      <c r="F913" s="12"/>
      <c r="G913" s="13"/>
    </row>
    <row r="914">
      <c r="F914" s="12"/>
      <c r="G914" s="13"/>
    </row>
    <row r="915">
      <c r="F915" s="12"/>
      <c r="G915" s="13"/>
    </row>
    <row r="916">
      <c r="F916" s="12"/>
      <c r="G916" s="13"/>
    </row>
    <row r="917">
      <c r="F917" s="12"/>
      <c r="G917" s="13"/>
    </row>
    <row r="918">
      <c r="F918" s="12"/>
      <c r="G918" s="13"/>
    </row>
    <row r="919">
      <c r="F919" s="12"/>
      <c r="G919" s="13"/>
    </row>
    <row r="920">
      <c r="F920" s="12"/>
      <c r="G920" s="13"/>
    </row>
    <row r="921">
      <c r="F921" s="12"/>
      <c r="G921" s="13"/>
    </row>
    <row r="922">
      <c r="F922" s="12"/>
      <c r="G922" s="13"/>
    </row>
    <row r="923">
      <c r="F923" s="12"/>
      <c r="G923" s="13"/>
    </row>
    <row r="924">
      <c r="F924" s="12"/>
      <c r="G924" s="13"/>
    </row>
    <row r="925">
      <c r="F925" s="12"/>
      <c r="G925" s="13"/>
    </row>
    <row r="926">
      <c r="F926" s="12"/>
      <c r="G926" s="13"/>
    </row>
    <row r="927">
      <c r="F927" s="12"/>
      <c r="G927" s="13"/>
    </row>
    <row r="928">
      <c r="F928" s="12"/>
      <c r="G928" s="13"/>
    </row>
    <row r="929">
      <c r="F929" s="12"/>
      <c r="G929" s="13"/>
    </row>
    <row r="930">
      <c r="F930" s="12"/>
      <c r="G930" s="13"/>
    </row>
    <row r="931">
      <c r="F931" s="12"/>
      <c r="G931" s="13"/>
    </row>
    <row r="932">
      <c r="F932" s="12"/>
      <c r="G932" s="13"/>
    </row>
    <row r="933">
      <c r="F933" s="12"/>
      <c r="G933" s="13"/>
    </row>
    <row r="934">
      <c r="F934" s="12"/>
      <c r="G934" s="13"/>
    </row>
    <row r="935">
      <c r="F935" s="12"/>
      <c r="G935" s="13"/>
    </row>
    <row r="936">
      <c r="F936" s="12"/>
      <c r="G936" s="13"/>
    </row>
    <row r="937">
      <c r="F937" s="12"/>
      <c r="G937" s="13"/>
    </row>
    <row r="938">
      <c r="F938" s="12"/>
      <c r="G938" s="13"/>
    </row>
    <row r="939">
      <c r="F939" s="12"/>
      <c r="G939" s="13"/>
    </row>
    <row r="940">
      <c r="F940" s="12"/>
      <c r="G940" s="13"/>
    </row>
    <row r="941">
      <c r="F941" s="12"/>
      <c r="G941" s="13"/>
    </row>
    <row r="942">
      <c r="F942" s="12"/>
      <c r="G942" s="13"/>
    </row>
    <row r="943">
      <c r="F943" s="12"/>
      <c r="G943" s="13"/>
    </row>
    <row r="944">
      <c r="F944" s="12"/>
      <c r="G944" s="13"/>
    </row>
    <row r="945">
      <c r="F945" s="12"/>
      <c r="G945" s="13"/>
    </row>
    <row r="946">
      <c r="F946" s="12"/>
      <c r="G946" s="13"/>
    </row>
    <row r="947">
      <c r="F947" s="12"/>
      <c r="G947" s="13"/>
    </row>
    <row r="948">
      <c r="F948" s="12"/>
      <c r="G948" s="13"/>
    </row>
    <row r="949">
      <c r="F949" s="12"/>
      <c r="G949" s="13"/>
    </row>
    <row r="950">
      <c r="F950" s="12"/>
      <c r="G950" s="13"/>
    </row>
    <row r="951">
      <c r="F951" s="12"/>
      <c r="G951" s="13"/>
    </row>
    <row r="952">
      <c r="F952" s="12"/>
      <c r="G952" s="13"/>
    </row>
    <row r="953">
      <c r="F953" s="12"/>
      <c r="G953" s="13"/>
    </row>
    <row r="954">
      <c r="F954" s="12"/>
      <c r="G954" s="13"/>
    </row>
    <row r="955">
      <c r="F955" s="12"/>
      <c r="G955" s="13"/>
    </row>
    <row r="956">
      <c r="F956" s="12"/>
      <c r="G956" s="13"/>
    </row>
    <row r="957">
      <c r="F957" s="12"/>
      <c r="G957" s="13"/>
    </row>
    <row r="958">
      <c r="F958" s="12"/>
      <c r="G958" s="13"/>
    </row>
    <row r="959">
      <c r="F959" s="12"/>
      <c r="G959" s="13"/>
    </row>
    <row r="960">
      <c r="F960" s="12"/>
      <c r="G960" s="13"/>
    </row>
    <row r="961">
      <c r="F961" s="12"/>
      <c r="G961" s="13"/>
    </row>
    <row r="962">
      <c r="F962" s="12"/>
      <c r="G962" s="13"/>
    </row>
    <row r="963">
      <c r="F963" s="12"/>
      <c r="G963" s="13"/>
    </row>
    <row r="964">
      <c r="F964" s="12"/>
      <c r="G964" s="13"/>
    </row>
    <row r="965">
      <c r="F965" s="12"/>
      <c r="G965" s="13"/>
    </row>
    <row r="966">
      <c r="F966" s="12"/>
      <c r="G966" s="13"/>
    </row>
    <row r="967">
      <c r="F967" s="12"/>
      <c r="G967" s="13"/>
    </row>
    <row r="968">
      <c r="F968" s="12"/>
      <c r="G968" s="13"/>
    </row>
    <row r="969">
      <c r="F969" s="12"/>
      <c r="G969" s="13"/>
    </row>
    <row r="970">
      <c r="F970" s="12"/>
      <c r="G970" s="13"/>
    </row>
    <row r="971">
      <c r="F971" s="12"/>
      <c r="G971" s="13"/>
    </row>
    <row r="972">
      <c r="F972" s="12"/>
      <c r="G972" s="13"/>
    </row>
    <row r="973">
      <c r="F973" s="12"/>
      <c r="G973" s="13"/>
    </row>
    <row r="974">
      <c r="F974" s="12"/>
      <c r="G974" s="13"/>
    </row>
    <row r="975">
      <c r="F975" s="12"/>
      <c r="G975" s="13"/>
    </row>
    <row r="976">
      <c r="F976" s="12"/>
      <c r="G976" s="13"/>
    </row>
    <row r="977">
      <c r="F977" s="12"/>
      <c r="G977" s="13"/>
    </row>
    <row r="978">
      <c r="F978" s="12"/>
      <c r="G978" s="13"/>
    </row>
    <row r="979">
      <c r="F979" s="12"/>
      <c r="G979" s="13"/>
    </row>
    <row r="980">
      <c r="F980" s="12"/>
      <c r="G980" s="13"/>
    </row>
    <row r="981">
      <c r="F981" s="12"/>
      <c r="G981" s="13"/>
    </row>
    <row r="982">
      <c r="F982" s="12"/>
      <c r="G982" s="13"/>
    </row>
    <row r="983">
      <c r="F983" s="12"/>
      <c r="G983" s="13"/>
    </row>
    <row r="984">
      <c r="F984" s="12"/>
      <c r="G984" s="13"/>
    </row>
    <row r="985">
      <c r="F985" s="12"/>
      <c r="G985" s="13"/>
    </row>
    <row r="986">
      <c r="F986" s="12"/>
      <c r="G986" s="13"/>
    </row>
    <row r="987">
      <c r="F987" s="12"/>
      <c r="G987" s="13"/>
    </row>
    <row r="988">
      <c r="F988" s="12"/>
      <c r="G988" s="13"/>
    </row>
    <row r="989">
      <c r="F989" s="12"/>
      <c r="G989" s="13"/>
    </row>
    <row r="990">
      <c r="F990" s="12"/>
      <c r="G990" s="13"/>
    </row>
    <row r="991">
      <c r="F991" s="12"/>
      <c r="G991" s="13"/>
    </row>
    <row r="992">
      <c r="F992" s="12"/>
      <c r="G992" s="13"/>
    </row>
    <row r="993">
      <c r="F993" s="12"/>
      <c r="G993" s="13"/>
    </row>
    <row r="994">
      <c r="F994" s="12"/>
      <c r="G994" s="13"/>
    </row>
    <row r="995">
      <c r="F995" s="12"/>
      <c r="G995" s="13"/>
    </row>
    <row r="996">
      <c r="F996" s="12"/>
      <c r="G996" s="13"/>
    </row>
    <row r="997">
      <c r="F997" s="12"/>
      <c r="G997" s="13"/>
    </row>
    <row r="998">
      <c r="F998" s="12"/>
      <c r="G998" s="13"/>
    </row>
    <row r="999">
      <c r="F999" s="12"/>
      <c r="G999" s="13"/>
    </row>
    <row r="1000">
      <c r="F1000" s="12"/>
      <c r="G1000" s="13"/>
    </row>
    <row r="1001">
      <c r="F1001" s="12"/>
      <c r="G1001" s="13"/>
    </row>
    <row r="1002">
      <c r="F1002" s="12"/>
      <c r="G1002" s="13"/>
    </row>
    <row r="1003">
      <c r="F1003" s="12"/>
      <c r="G1003" s="13"/>
    </row>
    <row r="1004">
      <c r="F1004" s="12"/>
      <c r="G1004" s="13"/>
    </row>
    <row r="1005">
      <c r="F1005" s="12"/>
      <c r="G1005" s="13"/>
    </row>
    <row r="1006">
      <c r="F1006" s="12"/>
      <c r="G1006" s="13"/>
    </row>
    <row r="1007">
      <c r="F1007" s="12"/>
      <c r="G1007" s="13"/>
    </row>
    <row r="1008">
      <c r="F1008" s="12"/>
      <c r="G1008" s="13"/>
    </row>
    <row r="1009">
      <c r="F1009" s="12"/>
      <c r="G1009" s="13"/>
    </row>
    <row r="1010">
      <c r="F1010" s="12"/>
      <c r="G1010" s="13"/>
    </row>
    <row r="1011">
      <c r="F1011" s="12"/>
      <c r="G1011" s="13"/>
    </row>
    <row r="1012">
      <c r="F1012" s="12"/>
      <c r="G1012" s="13"/>
    </row>
    <row r="1013">
      <c r="F1013" s="12"/>
      <c r="G1013" s="13"/>
    </row>
  </sheetData>
  <dataValidations>
    <dataValidation type="list" allowBlank="1" showErrorMessage="1" sqref="B2:B46">
      <formula1>"Organic (GMV MAX BRAND),VSA"</formula1>
    </dataValidation>
    <dataValidation type="list" allowBlank="1" showErrorMessage="1" sqref="E2:E46">
      <formula1>"Satuan,Bundling,Mix 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</hyperlinks>
  <drawing r:id="rId4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25"/>
  </cols>
  <sheetData>
    <row r="1">
      <c r="A1" s="14" t="s">
        <v>155</v>
      </c>
      <c r="B1" s="14" t="s">
        <v>156</v>
      </c>
      <c r="C1" s="14" t="s">
        <v>157</v>
      </c>
    </row>
    <row r="2">
      <c r="A2" s="15" t="s">
        <v>158</v>
      </c>
      <c r="B2" s="15" t="s">
        <v>159</v>
      </c>
      <c r="C2" s="16" t="s">
        <v>160</v>
      </c>
    </row>
    <row r="3">
      <c r="A3" s="17"/>
      <c r="B3" s="15"/>
      <c r="C3" s="17"/>
    </row>
    <row r="4">
      <c r="A4" s="17"/>
      <c r="B4" s="15"/>
      <c r="C4" s="17"/>
    </row>
    <row r="5">
      <c r="A5" s="17"/>
      <c r="B5" s="15"/>
      <c r="C5" s="17"/>
    </row>
    <row r="6">
      <c r="A6" s="17"/>
      <c r="B6" s="15"/>
      <c r="C6" s="17"/>
    </row>
    <row r="7">
      <c r="A7" s="15"/>
      <c r="B7" s="15"/>
      <c r="C7" s="17"/>
    </row>
    <row r="8">
      <c r="A8" s="15"/>
      <c r="B8" s="15"/>
      <c r="C8" s="17"/>
    </row>
    <row r="9">
      <c r="A9" s="15"/>
      <c r="B9" s="15"/>
      <c r="C9" s="17"/>
    </row>
    <row r="10">
      <c r="A10" s="17"/>
      <c r="B10" s="15"/>
      <c r="C10" s="17"/>
    </row>
    <row r="11">
      <c r="A11" s="15"/>
      <c r="B11" s="15"/>
      <c r="C11" s="17"/>
    </row>
  </sheetData>
  <dataValidations>
    <dataValidation type="list" allowBlank="1" showErrorMessage="1" sqref="B2:B11">
      <formula1>"Internal,External"</formula1>
    </dataValidation>
  </dataValidations>
  <hyperlinks>
    <hyperlink r:id="rId1" location="gid=0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63"/>
    <col customWidth="1" min="3" max="3" width="2.88"/>
    <col customWidth="1" min="4" max="4" width="16.88"/>
    <col customWidth="1" min="6" max="6" width="3.38"/>
    <col customWidth="1" min="9" max="9" width="3.0"/>
    <col customWidth="1" min="10" max="10" width="16.5"/>
    <col customWidth="1" min="12" max="12" width="3.25"/>
    <col customWidth="1" min="15" max="15" width="2.88"/>
    <col customWidth="1" min="18" max="18" width="2.75"/>
    <col customWidth="1" min="21" max="21" width="3.25"/>
    <col customWidth="1" min="22" max="22" width="13.38"/>
    <col customWidth="1" min="24" max="24" width="3.25"/>
    <col customWidth="1" min="27" max="27" width="3.63"/>
    <col customWidth="1" min="30" max="30" width="2.88"/>
    <col customWidth="1" min="31" max="31" width="13.38"/>
    <col customWidth="1" min="33" max="33" width="3.75"/>
    <col customWidth="1" min="34" max="34" width="13.38"/>
  </cols>
  <sheetData>
    <row r="1">
      <c r="A1" s="1" t="s">
        <v>51</v>
      </c>
      <c r="C1" s="3"/>
      <c r="D1" s="1" t="s">
        <v>77</v>
      </c>
      <c r="F1" s="3"/>
      <c r="G1" s="1" t="s">
        <v>161</v>
      </c>
      <c r="I1" s="3"/>
      <c r="J1" s="1" t="s">
        <v>162</v>
      </c>
      <c r="L1" s="3"/>
      <c r="M1" s="1" t="s">
        <v>163</v>
      </c>
      <c r="O1" s="3"/>
      <c r="P1" s="1" t="s">
        <v>164</v>
      </c>
      <c r="R1" s="3"/>
      <c r="S1" s="1" t="s">
        <v>165</v>
      </c>
      <c r="U1" s="3"/>
      <c r="V1" s="1" t="s">
        <v>166</v>
      </c>
      <c r="X1" s="3"/>
      <c r="Y1" s="1" t="s">
        <v>167</v>
      </c>
      <c r="AA1" s="3"/>
      <c r="AB1" s="1" t="s">
        <v>168</v>
      </c>
      <c r="AD1" s="3"/>
      <c r="AE1" s="1" t="s">
        <v>169</v>
      </c>
      <c r="AG1" s="1"/>
      <c r="AH1" s="1" t="s">
        <v>170</v>
      </c>
    </row>
    <row r="2">
      <c r="A2" s="1" t="s">
        <v>171</v>
      </c>
      <c r="B2" s="1" t="s">
        <v>172</v>
      </c>
      <c r="C2" s="3"/>
      <c r="D2" s="1" t="s">
        <v>171</v>
      </c>
      <c r="E2" s="1" t="s">
        <v>172</v>
      </c>
      <c r="F2" s="3"/>
      <c r="G2" s="1" t="s">
        <v>171</v>
      </c>
      <c r="H2" s="1" t="s">
        <v>172</v>
      </c>
      <c r="I2" s="3"/>
      <c r="J2" s="1" t="s">
        <v>171</v>
      </c>
      <c r="K2" s="1" t="s">
        <v>172</v>
      </c>
      <c r="L2" s="3"/>
      <c r="M2" s="1" t="s">
        <v>171</v>
      </c>
      <c r="N2" s="1" t="s">
        <v>172</v>
      </c>
      <c r="O2" s="3"/>
      <c r="P2" s="1" t="s">
        <v>171</v>
      </c>
      <c r="Q2" s="1" t="s">
        <v>172</v>
      </c>
      <c r="R2" s="3"/>
      <c r="S2" s="1" t="s">
        <v>171</v>
      </c>
      <c r="T2" s="1" t="s">
        <v>172</v>
      </c>
      <c r="U2" s="3"/>
      <c r="V2" s="1" t="s">
        <v>171</v>
      </c>
      <c r="W2" s="1" t="s">
        <v>172</v>
      </c>
      <c r="X2" s="3"/>
      <c r="Y2" s="1" t="s">
        <v>171</v>
      </c>
      <c r="Z2" s="1" t="s">
        <v>172</v>
      </c>
      <c r="AA2" s="3"/>
      <c r="AB2" s="1" t="s">
        <v>171</v>
      </c>
      <c r="AC2" s="1" t="s">
        <v>172</v>
      </c>
      <c r="AD2" s="3"/>
      <c r="AE2" s="1" t="s">
        <v>171</v>
      </c>
      <c r="AF2" s="1" t="s">
        <v>172</v>
      </c>
      <c r="AG2" s="1"/>
      <c r="AH2" s="1" t="s">
        <v>171</v>
      </c>
      <c r="AI2" s="1" t="s">
        <v>172</v>
      </c>
    </row>
    <row r="3">
      <c r="A3" s="18" t="s">
        <v>173</v>
      </c>
      <c r="B3" s="19" t="s">
        <v>174</v>
      </c>
      <c r="C3" s="3"/>
      <c r="D3" s="20" t="s">
        <v>175</v>
      </c>
      <c r="E3" s="21">
        <v>1.0</v>
      </c>
      <c r="F3" s="3"/>
      <c r="G3" s="18" t="s">
        <v>176</v>
      </c>
      <c r="H3" s="18">
        <v>1.0</v>
      </c>
      <c r="I3" s="3"/>
      <c r="J3" s="22" t="s">
        <v>177</v>
      </c>
      <c r="K3" s="22">
        <v>1.0</v>
      </c>
      <c r="L3" s="3"/>
      <c r="M3" s="23" t="s">
        <v>178</v>
      </c>
      <c r="N3" s="20">
        <v>1.0</v>
      </c>
      <c r="O3" s="3"/>
      <c r="P3" s="23" t="s">
        <v>179</v>
      </c>
      <c r="Q3" s="20">
        <v>1.0</v>
      </c>
      <c r="R3" s="3"/>
      <c r="S3" s="18" t="s">
        <v>180</v>
      </c>
      <c r="T3" s="19" t="s">
        <v>174</v>
      </c>
      <c r="U3" s="3"/>
      <c r="V3" s="18" t="s">
        <v>181</v>
      </c>
      <c r="W3" s="24" t="s">
        <v>174</v>
      </c>
      <c r="X3" s="3"/>
      <c r="Y3" s="20" t="s">
        <v>182</v>
      </c>
      <c r="Z3" s="21">
        <v>1.0</v>
      </c>
      <c r="AA3" s="3"/>
      <c r="AB3" s="20" t="s">
        <v>183</v>
      </c>
      <c r="AC3" s="21">
        <v>1.0</v>
      </c>
      <c r="AD3" s="3"/>
      <c r="AE3" s="25" t="s">
        <v>183</v>
      </c>
      <c r="AF3" s="24" t="s">
        <v>174</v>
      </c>
      <c r="AG3" s="26"/>
      <c r="AH3" s="25"/>
      <c r="AI3" s="24" t="s">
        <v>174</v>
      </c>
    </row>
    <row r="4">
      <c r="A4" s="18" t="s">
        <v>184</v>
      </c>
      <c r="B4" s="19" t="s">
        <v>185</v>
      </c>
      <c r="C4" s="3"/>
      <c r="D4" s="20" t="s">
        <v>186</v>
      </c>
      <c r="E4" s="21">
        <v>2.0</v>
      </c>
      <c r="F4" s="3"/>
      <c r="G4" s="18" t="s">
        <v>173</v>
      </c>
      <c r="H4" s="18">
        <v>2.0</v>
      </c>
      <c r="I4" s="3"/>
      <c r="J4" s="18" t="s">
        <v>187</v>
      </c>
      <c r="K4" s="18">
        <v>2.0</v>
      </c>
      <c r="L4" s="3"/>
      <c r="M4" s="23" t="s">
        <v>188</v>
      </c>
      <c r="N4" s="20">
        <v>2.0</v>
      </c>
      <c r="O4" s="3"/>
      <c r="P4" s="23" t="s">
        <v>189</v>
      </c>
      <c r="Q4" s="20">
        <v>2.0</v>
      </c>
      <c r="R4" s="3"/>
      <c r="S4" s="18" t="s">
        <v>190</v>
      </c>
      <c r="T4" s="19" t="s">
        <v>185</v>
      </c>
      <c r="U4" s="3"/>
      <c r="V4" s="18" t="s">
        <v>191</v>
      </c>
      <c r="W4" s="24" t="s">
        <v>185</v>
      </c>
      <c r="X4" s="3"/>
      <c r="Y4" s="20" t="s">
        <v>191</v>
      </c>
      <c r="Z4" s="21">
        <v>2.0</v>
      </c>
      <c r="AA4" s="3"/>
      <c r="AB4" s="20" t="s">
        <v>192</v>
      </c>
      <c r="AC4" s="21">
        <v>2.0</v>
      </c>
      <c r="AD4" s="3"/>
      <c r="AE4" s="25"/>
      <c r="AF4" s="24" t="s">
        <v>185</v>
      </c>
      <c r="AG4" s="26"/>
      <c r="AH4" s="25"/>
      <c r="AI4" s="24" t="s">
        <v>185</v>
      </c>
    </row>
    <row r="5">
      <c r="A5" s="18" t="s">
        <v>193</v>
      </c>
      <c r="B5" s="19" t="s">
        <v>194</v>
      </c>
      <c r="C5" s="3"/>
      <c r="D5" s="20" t="s">
        <v>195</v>
      </c>
      <c r="E5" s="21">
        <v>3.0</v>
      </c>
      <c r="F5" s="3"/>
      <c r="G5" s="18" t="s">
        <v>196</v>
      </c>
      <c r="H5" s="18">
        <v>3.0</v>
      </c>
      <c r="I5" s="3"/>
      <c r="J5" s="18" t="s">
        <v>197</v>
      </c>
      <c r="K5" s="18">
        <v>3.0</v>
      </c>
      <c r="L5" s="3"/>
      <c r="M5" s="23" t="s">
        <v>198</v>
      </c>
      <c r="N5" s="20">
        <v>3.0</v>
      </c>
      <c r="O5" s="3"/>
      <c r="P5" s="23" t="s">
        <v>199</v>
      </c>
      <c r="Q5" s="20">
        <v>3.0</v>
      </c>
      <c r="R5" s="3"/>
      <c r="S5" s="18" t="s">
        <v>195</v>
      </c>
      <c r="T5" s="19" t="s">
        <v>194</v>
      </c>
      <c r="U5" s="3"/>
      <c r="V5" s="18" t="s">
        <v>173</v>
      </c>
      <c r="W5" s="24" t="s">
        <v>194</v>
      </c>
      <c r="X5" s="3"/>
      <c r="Y5" s="20" t="s">
        <v>200</v>
      </c>
      <c r="Z5" s="21">
        <v>3.0</v>
      </c>
      <c r="AA5" s="3"/>
      <c r="AB5" s="20" t="s">
        <v>201</v>
      </c>
      <c r="AC5" s="21">
        <v>3.0</v>
      </c>
      <c r="AD5" s="3"/>
      <c r="AE5" s="25"/>
      <c r="AF5" s="24" t="s">
        <v>194</v>
      </c>
      <c r="AG5" s="26"/>
      <c r="AH5" s="25"/>
      <c r="AI5" s="24" t="s">
        <v>194</v>
      </c>
    </row>
    <row r="6">
      <c r="A6" s="18" t="s">
        <v>195</v>
      </c>
      <c r="B6" s="19" t="s">
        <v>202</v>
      </c>
      <c r="C6" s="3"/>
      <c r="D6" s="20" t="s">
        <v>203</v>
      </c>
      <c r="E6" s="21">
        <v>4.0</v>
      </c>
      <c r="F6" s="3"/>
      <c r="G6" s="18" t="s">
        <v>204</v>
      </c>
      <c r="H6" s="18">
        <v>4.0</v>
      </c>
      <c r="I6" s="3"/>
      <c r="J6" s="18" t="s">
        <v>205</v>
      </c>
      <c r="K6" s="18">
        <v>4.0</v>
      </c>
      <c r="L6" s="3"/>
      <c r="M6" s="23" t="s">
        <v>191</v>
      </c>
      <c r="N6" s="20">
        <v>4.0</v>
      </c>
      <c r="O6" s="3"/>
      <c r="P6" s="23" t="s">
        <v>206</v>
      </c>
      <c r="Q6" s="20">
        <v>4.0</v>
      </c>
      <c r="R6" s="3"/>
      <c r="S6" s="18" t="s">
        <v>204</v>
      </c>
      <c r="T6" s="19" t="s">
        <v>202</v>
      </c>
      <c r="U6" s="3"/>
      <c r="V6" s="18" t="s">
        <v>190</v>
      </c>
      <c r="W6" s="24" t="s">
        <v>202</v>
      </c>
      <c r="X6" s="3"/>
      <c r="Y6" s="20" t="s">
        <v>183</v>
      </c>
      <c r="Z6" s="21">
        <v>4.0</v>
      </c>
      <c r="AA6" s="3"/>
      <c r="AB6" s="20" t="s">
        <v>207</v>
      </c>
      <c r="AC6" s="21">
        <v>4.0</v>
      </c>
      <c r="AD6" s="3"/>
      <c r="AE6" s="25"/>
      <c r="AF6" s="24" t="s">
        <v>202</v>
      </c>
      <c r="AG6" s="26"/>
      <c r="AH6" s="25"/>
      <c r="AI6" s="24" t="s">
        <v>202</v>
      </c>
    </row>
    <row r="7">
      <c r="A7" s="18" t="s">
        <v>208</v>
      </c>
      <c r="B7" s="19" t="s">
        <v>209</v>
      </c>
      <c r="C7" s="3"/>
      <c r="D7" s="20" t="s">
        <v>210</v>
      </c>
      <c r="E7" s="21">
        <v>5.0</v>
      </c>
      <c r="F7" s="3"/>
      <c r="G7" s="18" t="s">
        <v>211</v>
      </c>
      <c r="H7" s="18">
        <v>5.0</v>
      </c>
      <c r="I7" s="3"/>
      <c r="J7" s="18" t="s">
        <v>212</v>
      </c>
      <c r="K7" s="18">
        <v>5.0</v>
      </c>
      <c r="L7" s="3"/>
      <c r="M7" s="23" t="s">
        <v>173</v>
      </c>
      <c r="N7" s="20">
        <v>5.0</v>
      </c>
      <c r="O7" s="3"/>
      <c r="P7" s="23" t="s">
        <v>213</v>
      </c>
      <c r="Q7" s="20">
        <v>5.0</v>
      </c>
      <c r="R7" s="3"/>
      <c r="S7" s="18" t="s">
        <v>173</v>
      </c>
      <c r="T7" s="19" t="s">
        <v>209</v>
      </c>
      <c r="U7" s="3"/>
      <c r="V7" s="18" t="s">
        <v>204</v>
      </c>
      <c r="W7" s="24" t="s">
        <v>209</v>
      </c>
      <c r="X7" s="3"/>
      <c r="Y7" s="20" t="s">
        <v>214</v>
      </c>
      <c r="Z7" s="21">
        <v>5.0</v>
      </c>
      <c r="AA7" s="3"/>
      <c r="AB7" s="20"/>
      <c r="AC7" s="21">
        <v>5.0</v>
      </c>
      <c r="AD7" s="3"/>
      <c r="AE7" s="25"/>
      <c r="AF7" s="24" t="s">
        <v>209</v>
      </c>
      <c r="AG7" s="26"/>
      <c r="AH7" s="25"/>
      <c r="AI7" s="24" t="s">
        <v>209</v>
      </c>
    </row>
    <row r="8">
      <c r="A8" s="18" t="s">
        <v>215</v>
      </c>
      <c r="B8" s="19" t="s">
        <v>216</v>
      </c>
      <c r="C8" s="3"/>
      <c r="D8" s="20" t="s">
        <v>217</v>
      </c>
      <c r="E8" s="21">
        <v>6.0</v>
      </c>
      <c r="F8" s="3"/>
      <c r="G8" s="18" t="s">
        <v>195</v>
      </c>
      <c r="H8" s="18">
        <v>6.0</v>
      </c>
      <c r="I8" s="3"/>
      <c r="J8" s="27" t="s">
        <v>218</v>
      </c>
      <c r="K8" s="27">
        <v>6.0</v>
      </c>
      <c r="L8" s="3"/>
      <c r="M8" s="23" t="s">
        <v>181</v>
      </c>
      <c r="N8" s="20">
        <v>6.0</v>
      </c>
      <c r="O8" s="3"/>
      <c r="P8" s="23" t="s">
        <v>219</v>
      </c>
      <c r="Q8" s="20">
        <v>6.0</v>
      </c>
      <c r="R8" s="3"/>
      <c r="S8" s="18" t="s">
        <v>208</v>
      </c>
      <c r="T8" s="19" t="s">
        <v>216</v>
      </c>
      <c r="U8" s="3"/>
      <c r="V8" s="28" t="s">
        <v>195</v>
      </c>
      <c r="W8" s="29" t="s">
        <v>216</v>
      </c>
      <c r="X8" s="3"/>
      <c r="Y8" s="20" t="s">
        <v>176</v>
      </c>
      <c r="Z8" s="21">
        <v>6.0</v>
      </c>
      <c r="AA8" s="3"/>
      <c r="AB8" s="20"/>
      <c r="AC8" s="21">
        <v>6.0</v>
      </c>
      <c r="AD8" s="3"/>
      <c r="AE8" s="30"/>
      <c r="AF8" s="29" t="s">
        <v>216</v>
      </c>
      <c r="AG8" s="31"/>
      <c r="AH8" s="30"/>
      <c r="AI8" s="29" t="s">
        <v>216</v>
      </c>
    </row>
    <row r="9">
      <c r="A9" s="18" t="s">
        <v>190</v>
      </c>
      <c r="B9" s="19" t="s">
        <v>220</v>
      </c>
      <c r="C9" s="3"/>
      <c r="D9" s="20" t="s">
        <v>173</v>
      </c>
      <c r="E9" s="21">
        <v>7.0</v>
      </c>
      <c r="F9" s="3"/>
      <c r="G9" s="18" t="s">
        <v>208</v>
      </c>
      <c r="H9" s="18">
        <v>7.0</v>
      </c>
      <c r="I9" s="3"/>
      <c r="J9" s="18" t="s">
        <v>221</v>
      </c>
      <c r="K9" s="18">
        <v>7.0</v>
      </c>
      <c r="L9" s="3"/>
      <c r="M9" s="32" t="s">
        <v>222</v>
      </c>
      <c r="N9" s="20">
        <v>7.0</v>
      </c>
      <c r="O9" s="3"/>
      <c r="P9" s="33" t="s">
        <v>223</v>
      </c>
      <c r="Q9" s="20">
        <v>7.0</v>
      </c>
      <c r="R9" s="3"/>
      <c r="S9" s="20" t="s">
        <v>224</v>
      </c>
      <c r="T9" s="24" t="s">
        <v>220</v>
      </c>
      <c r="U9" s="3"/>
      <c r="V9" s="18" t="s">
        <v>225</v>
      </c>
      <c r="W9" s="24" t="s">
        <v>220</v>
      </c>
      <c r="X9" s="3"/>
      <c r="Y9" s="20" t="s">
        <v>201</v>
      </c>
      <c r="Z9" s="21">
        <v>7.0</v>
      </c>
      <c r="AA9" s="3"/>
      <c r="AB9" s="3"/>
      <c r="AC9" s="3"/>
      <c r="AD9" s="3"/>
      <c r="AE9" s="25"/>
      <c r="AF9" s="24" t="s">
        <v>220</v>
      </c>
      <c r="AG9" s="26"/>
      <c r="AH9" s="25"/>
      <c r="AI9" s="24" t="s">
        <v>220</v>
      </c>
    </row>
    <row r="10">
      <c r="A10" s="18" t="s">
        <v>211</v>
      </c>
      <c r="B10" s="19" t="s">
        <v>226</v>
      </c>
      <c r="C10" s="3"/>
      <c r="D10" s="20" t="s">
        <v>227</v>
      </c>
      <c r="E10" s="21">
        <v>8.0</v>
      </c>
      <c r="F10" s="3"/>
      <c r="G10" s="18" t="s">
        <v>191</v>
      </c>
      <c r="H10" s="18">
        <v>8.0</v>
      </c>
      <c r="I10" s="3"/>
      <c r="J10" s="18" t="s">
        <v>228</v>
      </c>
      <c r="K10" s="18">
        <v>8.0</v>
      </c>
      <c r="L10" s="3"/>
      <c r="M10" s="32" t="s">
        <v>229</v>
      </c>
      <c r="N10" s="20">
        <v>8.0</v>
      </c>
      <c r="O10" s="3"/>
      <c r="P10" s="32" t="s">
        <v>230</v>
      </c>
      <c r="Q10" s="20">
        <v>8.0</v>
      </c>
      <c r="R10" s="3"/>
      <c r="S10" s="18" t="s">
        <v>181</v>
      </c>
      <c r="T10" s="19" t="s">
        <v>226</v>
      </c>
      <c r="U10" s="3"/>
      <c r="V10" s="18" t="s">
        <v>231</v>
      </c>
      <c r="W10" s="24" t="s">
        <v>226</v>
      </c>
      <c r="X10" s="3"/>
      <c r="Y10" s="20" t="s">
        <v>232</v>
      </c>
      <c r="Z10" s="21">
        <v>8.0</v>
      </c>
      <c r="AA10" s="3"/>
      <c r="AB10" s="3"/>
      <c r="AC10" s="3"/>
      <c r="AD10" s="3"/>
      <c r="AE10" s="25"/>
      <c r="AF10" s="24" t="s">
        <v>226</v>
      </c>
      <c r="AG10" s="26"/>
      <c r="AH10" s="25"/>
      <c r="AI10" s="24" t="s">
        <v>226</v>
      </c>
    </row>
    <row r="11">
      <c r="A11" s="18" t="s">
        <v>176</v>
      </c>
      <c r="B11" s="19" t="s">
        <v>233</v>
      </c>
      <c r="C11" s="3"/>
      <c r="D11" s="20" t="s">
        <v>204</v>
      </c>
      <c r="E11" s="21">
        <v>9.0</v>
      </c>
      <c r="F11" s="3"/>
      <c r="G11" s="18" t="s">
        <v>186</v>
      </c>
      <c r="H11" s="18">
        <v>9.0</v>
      </c>
      <c r="I11" s="3"/>
      <c r="J11" s="22" t="s">
        <v>234</v>
      </c>
      <c r="K11" s="22">
        <v>9.0</v>
      </c>
      <c r="L11" s="3"/>
      <c r="M11" s="34"/>
      <c r="N11" s="34"/>
      <c r="O11" s="3"/>
      <c r="P11" s="35" t="s">
        <v>235</v>
      </c>
      <c r="Q11" s="20">
        <v>9.0</v>
      </c>
      <c r="R11" s="3"/>
      <c r="S11" s="18" t="s">
        <v>236</v>
      </c>
      <c r="T11" s="19" t="s">
        <v>233</v>
      </c>
      <c r="U11" s="3"/>
      <c r="V11" s="18" t="s">
        <v>237</v>
      </c>
      <c r="W11" s="24" t="s">
        <v>233</v>
      </c>
      <c r="X11" s="3"/>
      <c r="Y11" s="20" t="s">
        <v>238</v>
      </c>
      <c r="Z11" s="21">
        <v>9.0</v>
      </c>
      <c r="AA11" s="3"/>
      <c r="AB11" s="3"/>
      <c r="AC11" s="3"/>
      <c r="AD11" s="3"/>
      <c r="AE11" s="25"/>
      <c r="AF11" s="24" t="s">
        <v>233</v>
      </c>
      <c r="AG11" s="26"/>
      <c r="AH11" s="25"/>
      <c r="AI11" s="24" t="s">
        <v>233</v>
      </c>
    </row>
    <row r="12">
      <c r="A12" s="18" t="s">
        <v>180</v>
      </c>
      <c r="B12" s="19" t="s">
        <v>239</v>
      </c>
      <c r="C12" s="3"/>
      <c r="D12" s="20" t="s">
        <v>240</v>
      </c>
      <c r="E12" s="21">
        <v>10.0</v>
      </c>
      <c r="F12" s="3"/>
      <c r="G12" s="18" t="s">
        <v>218</v>
      </c>
      <c r="H12" s="18">
        <v>10.0</v>
      </c>
      <c r="I12" s="3"/>
      <c r="J12" s="18" t="s">
        <v>241</v>
      </c>
      <c r="K12" s="18">
        <v>10.0</v>
      </c>
      <c r="L12" s="3"/>
      <c r="M12" s="34"/>
      <c r="N12" s="34"/>
      <c r="O12" s="3"/>
      <c r="P12" s="20" t="s">
        <v>242</v>
      </c>
      <c r="Q12" s="20">
        <v>10.0</v>
      </c>
      <c r="R12" s="3"/>
      <c r="S12" s="18" t="s">
        <v>196</v>
      </c>
      <c r="T12" s="19" t="s">
        <v>239</v>
      </c>
      <c r="U12" s="3"/>
      <c r="V12" s="18" t="s">
        <v>243</v>
      </c>
      <c r="W12" s="24" t="s">
        <v>239</v>
      </c>
      <c r="X12" s="3"/>
      <c r="Y12" s="20" t="s">
        <v>207</v>
      </c>
      <c r="Z12" s="21">
        <v>10.0</v>
      </c>
      <c r="AA12" s="3"/>
      <c r="AB12" s="3"/>
      <c r="AC12" s="3"/>
      <c r="AD12" s="3"/>
      <c r="AE12" s="25"/>
      <c r="AF12" s="24" t="s">
        <v>239</v>
      </c>
      <c r="AG12" s="26"/>
      <c r="AH12" s="25"/>
      <c r="AI12" s="24" t="s">
        <v>239</v>
      </c>
    </row>
    <row r="13">
      <c r="A13" s="18" t="s">
        <v>196</v>
      </c>
      <c r="B13" s="19" t="s">
        <v>244</v>
      </c>
      <c r="C13" s="3"/>
      <c r="D13" s="20" t="s">
        <v>245</v>
      </c>
      <c r="E13" s="21">
        <v>11.0</v>
      </c>
      <c r="F13" s="3"/>
      <c r="G13" s="18" t="s">
        <v>224</v>
      </c>
      <c r="H13" s="18">
        <v>11.0</v>
      </c>
      <c r="I13" s="3"/>
      <c r="J13" s="18" t="s">
        <v>246</v>
      </c>
      <c r="K13" s="18">
        <v>11.0</v>
      </c>
      <c r="L13" s="3"/>
      <c r="M13" s="34"/>
      <c r="N13" s="34"/>
      <c r="O13" s="3"/>
      <c r="P13" s="36" t="s">
        <v>247</v>
      </c>
      <c r="Q13" s="20">
        <v>11.0</v>
      </c>
      <c r="R13" s="3"/>
      <c r="S13" s="18" t="s">
        <v>186</v>
      </c>
      <c r="T13" s="19" t="s">
        <v>248</v>
      </c>
      <c r="U13" s="3"/>
      <c r="V13" s="18" t="s">
        <v>249</v>
      </c>
      <c r="W13" s="24" t="s">
        <v>244</v>
      </c>
      <c r="X13" s="3"/>
      <c r="Y13" s="3"/>
      <c r="Z13" s="3"/>
      <c r="AA13" s="3"/>
      <c r="AB13" s="3"/>
      <c r="AC13" s="3"/>
      <c r="AD13" s="3"/>
      <c r="AE13" s="25"/>
      <c r="AF13" s="24" t="s">
        <v>244</v>
      </c>
      <c r="AG13" s="26"/>
      <c r="AH13" s="25"/>
      <c r="AI13" s="24" t="s">
        <v>244</v>
      </c>
    </row>
    <row r="14">
      <c r="A14" s="18" t="s">
        <v>250</v>
      </c>
      <c r="B14" s="19" t="s">
        <v>251</v>
      </c>
      <c r="C14" s="3"/>
      <c r="D14" s="20" t="s">
        <v>218</v>
      </c>
      <c r="E14" s="21">
        <v>12.0</v>
      </c>
      <c r="F14" s="3"/>
      <c r="G14" s="3"/>
      <c r="H14" s="3"/>
      <c r="I14" s="3"/>
      <c r="J14" s="20" t="s">
        <v>252</v>
      </c>
      <c r="K14" s="20">
        <v>12.0</v>
      </c>
      <c r="L14" s="3"/>
      <c r="M14" s="34"/>
      <c r="N14" s="34"/>
      <c r="O14" s="3"/>
      <c r="P14" s="37" t="s">
        <v>253</v>
      </c>
      <c r="Q14" s="20">
        <v>12.0</v>
      </c>
      <c r="R14" s="3"/>
      <c r="S14" s="18" t="s">
        <v>254</v>
      </c>
      <c r="T14" s="19" t="s">
        <v>255</v>
      </c>
      <c r="U14" s="3"/>
      <c r="V14" s="18" t="s">
        <v>256</v>
      </c>
      <c r="W14" s="24" t="s">
        <v>251</v>
      </c>
      <c r="X14" s="3"/>
      <c r="Y14" s="3"/>
      <c r="Z14" s="3"/>
      <c r="AA14" s="3"/>
      <c r="AB14" s="3"/>
      <c r="AC14" s="3"/>
      <c r="AD14" s="3"/>
      <c r="AE14" s="25"/>
      <c r="AF14" s="24" t="s">
        <v>251</v>
      </c>
      <c r="AG14" s="26"/>
      <c r="AH14" s="25"/>
      <c r="AI14" s="24" t="s">
        <v>251</v>
      </c>
    </row>
    <row r="15">
      <c r="A15" s="18" t="s">
        <v>224</v>
      </c>
      <c r="B15" s="19" t="s">
        <v>248</v>
      </c>
      <c r="C15" s="3"/>
      <c r="D15" s="20" t="s">
        <v>257</v>
      </c>
      <c r="E15" s="21">
        <v>13.0</v>
      </c>
      <c r="F15" s="3"/>
      <c r="G15" s="3"/>
      <c r="H15" s="3"/>
      <c r="I15" s="3"/>
      <c r="J15" s="18" t="s">
        <v>258</v>
      </c>
      <c r="K15" s="18">
        <v>13.0</v>
      </c>
      <c r="L15" s="3"/>
      <c r="M15" s="3"/>
      <c r="N15" s="3"/>
      <c r="O15" s="3"/>
      <c r="P15" s="3"/>
      <c r="Q15" s="3"/>
      <c r="R15" s="3"/>
      <c r="S15" s="18" t="s">
        <v>259</v>
      </c>
      <c r="T15" s="19" t="s">
        <v>260</v>
      </c>
      <c r="U15" s="3"/>
      <c r="V15" s="18" t="s">
        <v>261</v>
      </c>
      <c r="W15" s="24" t="s">
        <v>248</v>
      </c>
      <c r="X15" s="3"/>
      <c r="Y15" s="3"/>
      <c r="Z15" s="3"/>
      <c r="AA15" s="3"/>
      <c r="AB15" s="3"/>
      <c r="AC15" s="3"/>
      <c r="AD15" s="3"/>
      <c r="AE15" s="25"/>
      <c r="AF15" s="24" t="s">
        <v>248</v>
      </c>
      <c r="AG15" s="26"/>
      <c r="AH15" s="25"/>
      <c r="AI15" s="24" t="s">
        <v>248</v>
      </c>
    </row>
    <row r="16">
      <c r="A16" s="18" t="s">
        <v>181</v>
      </c>
      <c r="B16" s="19" t="s">
        <v>255</v>
      </c>
      <c r="C16" s="3"/>
      <c r="D16" s="20" t="s">
        <v>191</v>
      </c>
      <c r="E16" s="21">
        <v>14.0</v>
      </c>
      <c r="F16" s="3"/>
      <c r="G16" s="3"/>
      <c r="H16" s="3"/>
      <c r="I16" s="3"/>
      <c r="J16" s="22" t="s">
        <v>262</v>
      </c>
      <c r="K16" s="22">
        <v>14.0</v>
      </c>
      <c r="L16" s="3"/>
      <c r="M16" s="3"/>
      <c r="N16" s="3"/>
      <c r="O16" s="3"/>
      <c r="P16" s="3"/>
      <c r="Q16" s="3"/>
      <c r="R16" s="3"/>
      <c r="S16" s="18" t="s">
        <v>263</v>
      </c>
      <c r="T16" s="19" t="s">
        <v>264</v>
      </c>
      <c r="U16" s="3"/>
      <c r="V16" s="18" t="s">
        <v>265</v>
      </c>
      <c r="W16" s="24" t="s">
        <v>255</v>
      </c>
      <c r="X16" s="3"/>
      <c r="Y16" s="3"/>
      <c r="Z16" s="3"/>
      <c r="AA16" s="3"/>
      <c r="AB16" s="3"/>
      <c r="AC16" s="3"/>
      <c r="AD16" s="3"/>
      <c r="AE16" s="25"/>
      <c r="AF16" s="24" t="s">
        <v>255</v>
      </c>
      <c r="AG16" s="26"/>
      <c r="AH16" s="25"/>
      <c r="AI16" s="24" t="s">
        <v>255</v>
      </c>
    </row>
    <row r="17">
      <c r="A17" s="18" t="s">
        <v>266</v>
      </c>
      <c r="B17" s="19" t="s">
        <v>260</v>
      </c>
      <c r="C17" s="3"/>
      <c r="D17" s="20" t="s">
        <v>181</v>
      </c>
      <c r="E17" s="21">
        <v>15.0</v>
      </c>
      <c r="F17" s="3"/>
      <c r="G17" s="3"/>
      <c r="H17" s="3"/>
      <c r="I17" s="3"/>
      <c r="J17" s="18" t="s">
        <v>267</v>
      </c>
      <c r="K17" s="18">
        <v>15.0</v>
      </c>
      <c r="L17" s="3"/>
      <c r="M17" s="3"/>
      <c r="N17" s="3"/>
      <c r="O17" s="3"/>
      <c r="P17" s="3"/>
      <c r="Q17" s="3"/>
      <c r="R17" s="3"/>
      <c r="S17" s="18" t="s">
        <v>268</v>
      </c>
      <c r="T17" s="19" t="s">
        <v>269</v>
      </c>
      <c r="U17" s="3"/>
      <c r="V17" s="18" t="s">
        <v>270</v>
      </c>
      <c r="W17" s="24" t="s">
        <v>260</v>
      </c>
      <c r="X17" s="3"/>
      <c r="Y17" s="3"/>
      <c r="Z17" s="3"/>
      <c r="AA17" s="3"/>
      <c r="AB17" s="3"/>
      <c r="AC17" s="3"/>
      <c r="AD17" s="3"/>
      <c r="AE17" s="25"/>
      <c r="AF17" s="24" t="s">
        <v>260</v>
      </c>
      <c r="AG17" s="26"/>
      <c r="AH17" s="25"/>
      <c r="AI17" s="24" t="s">
        <v>260</v>
      </c>
    </row>
    <row r="18">
      <c r="A18" s="38" t="s">
        <v>271</v>
      </c>
      <c r="B18" s="19" t="s">
        <v>264</v>
      </c>
      <c r="C18" s="3"/>
      <c r="D18" s="20" t="s">
        <v>176</v>
      </c>
      <c r="E18" s="21">
        <v>16.0</v>
      </c>
      <c r="F18" s="3"/>
      <c r="G18" s="3"/>
      <c r="H18" s="3"/>
      <c r="I18" s="3"/>
      <c r="J18" s="18" t="s">
        <v>272</v>
      </c>
      <c r="K18" s="18">
        <v>16.0</v>
      </c>
      <c r="L18" s="3"/>
      <c r="M18" s="3"/>
      <c r="N18" s="3"/>
      <c r="O18" s="3"/>
      <c r="P18" s="3"/>
      <c r="Q18" s="3"/>
      <c r="R18" s="3"/>
      <c r="S18" s="18" t="s">
        <v>229</v>
      </c>
      <c r="T18" s="19" t="s">
        <v>273</v>
      </c>
      <c r="U18" s="3"/>
      <c r="V18" s="18" t="s">
        <v>274</v>
      </c>
      <c r="W18" s="24" t="s">
        <v>264</v>
      </c>
      <c r="X18" s="3"/>
      <c r="Y18" s="3"/>
      <c r="Z18" s="3"/>
      <c r="AA18" s="3"/>
      <c r="AB18" s="3"/>
      <c r="AC18" s="3"/>
      <c r="AD18" s="3"/>
      <c r="AE18" s="25"/>
      <c r="AF18" s="24" t="s">
        <v>264</v>
      </c>
      <c r="AG18" s="26"/>
      <c r="AH18" s="25"/>
      <c r="AI18" s="24" t="s">
        <v>264</v>
      </c>
    </row>
    <row r="19">
      <c r="A19" s="18" t="s">
        <v>275</v>
      </c>
      <c r="B19" s="19" t="s">
        <v>269</v>
      </c>
      <c r="C19" s="3"/>
      <c r="D19" s="20" t="s">
        <v>276</v>
      </c>
      <c r="E19" s="21">
        <v>17.0</v>
      </c>
      <c r="F19" s="3"/>
      <c r="G19" s="3"/>
      <c r="H19" s="3"/>
      <c r="I19" s="3"/>
      <c r="J19" s="18" t="s">
        <v>277</v>
      </c>
      <c r="K19" s="18">
        <v>17.0</v>
      </c>
      <c r="L19" s="3"/>
      <c r="M19" s="3"/>
      <c r="N19" s="3"/>
      <c r="O19" s="3"/>
      <c r="P19" s="3"/>
      <c r="Q19" s="3"/>
      <c r="R19" s="3"/>
      <c r="S19" s="18" t="s">
        <v>176</v>
      </c>
      <c r="T19" s="19" t="s">
        <v>278</v>
      </c>
      <c r="U19" s="3"/>
      <c r="V19" s="28" t="s">
        <v>279</v>
      </c>
      <c r="W19" s="24" t="s">
        <v>269</v>
      </c>
      <c r="X19" s="3"/>
      <c r="Y19" s="3"/>
      <c r="Z19" s="3"/>
      <c r="AA19" s="3"/>
      <c r="AB19" s="3"/>
      <c r="AC19" s="3"/>
      <c r="AD19" s="3"/>
      <c r="AE19" s="30"/>
      <c r="AF19" s="24" t="s">
        <v>269</v>
      </c>
      <c r="AG19" s="26"/>
      <c r="AH19" s="30"/>
      <c r="AI19" s="24" t="s">
        <v>269</v>
      </c>
    </row>
    <row r="20">
      <c r="A20" s="18" t="s">
        <v>238</v>
      </c>
      <c r="B20" s="19" t="s">
        <v>273</v>
      </c>
      <c r="C20" s="3"/>
      <c r="D20" s="20" t="s">
        <v>280</v>
      </c>
      <c r="E20" s="21">
        <v>18.0</v>
      </c>
      <c r="F20" s="3"/>
      <c r="G20" s="3"/>
      <c r="H20" s="3"/>
      <c r="I20" s="3"/>
      <c r="J20" s="18" t="s">
        <v>281</v>
      </c>
      <c r="K20" s="18">
        <v>18.0</v>
      </c>
      <c r="L20" s="3"/>
      <c r="M20" s="3"/>
      <c r="N20" s="3"/>
      <c r="O20" s="3"/>
      <c r="P20" s="3"/>
      <c r="Q20" s="3"/>
      <c r="R20" s="3"/>
      <c r="S20" s="18" t="s">
        <v>282</v>
      </c>
      <c r="T20" s="19" t="s">
        <v>283</v>
      </c>
      <c r="U20" s="3"/>
      <c r="V20" s="28" t="s">
        <v>284</v>
      </c>
      <c r="W20" s="24" t="s">
        <v>273</v>
      </c>
      <c r="X20" s="3"/>
      <c r="Y20" s="3"/>
      <c r="Z20" s="3"/>
      <c r="AA20" s="3"/>
      <c r="AB20" s="3"/>
      <c r="AC20" s="3"/>
      <c r="AD20" s="3"/>
      <c r="AE20" s="30"/>
      <c r="AF20" s="24" t="s">
        <v>273</v>
      </c>
      <c r="AG20" s="26"/>
      <c r="AH20" s="30"/>
      <c r="AI20" s="24" t="s">
        <v>273</v>
      </c>
    </row>
    <row r="21">
      <c r="A21" s="18" t="s">
        <v>285</v>
      </c>
      <c r="B21" s="19" t="s">
        <v>278</v>
      </c>
      <c r="C21" s="3"/>
      <c r="D21" s="20" t="s">
        <v>286</v>
      </c>
      <c r="E21" s="21">
        <v>19.0</v>
      </c>
      <c r="F21" s="3"/>
      <c r="G21" s="3"/>
      <c r="H21" s="3"/>
      <c r="I21" s="3"/>
      <c r="J21" s="18" t="s">
        <v>287</v>
      </c>
      <c r="K21" s="18">
        <v>19.0</v>
      </c>
      <c r="L21" s="3"/>
      <c r="M21" s="3"/>
      <c r="N21" s="3"/>
      <c r="O21" s="3"/>
      <c r="P21" s="3"/>
      <c r="Q21" s="3"/>
      <c r="R21" s="3"/>
      <c r="S21" s="18" t="s">
        <v>288</v>
      </c>
      <c r="T21" s="19" t="s">
        <v>289</v>
      </c>
      <c r="U21" s="3"/>
      <c r="V21" s="39" t="s">
        <v>290</v>
      </c>
      <c r="W21" s="24" t="s">
        <v>278</v>
      </c>
      <c r="X21" s="3"/>
      <c r="Y21" s="3"/>
      <c r="Z21" s="3"/>
      <c r="AA21" s="3"/>
      <c r="AB21" s="3"/>
      <c r="AC21" s="3"/>
      <c r="AD21" s="3"/>
      <c r="AE21" s="30"/>
      <c r="AF21" s="24" t="s">
        <v>278</v>
      </c>
      <c r="AG21" s="26"/>
      <c r="AH21" s="30"/>
      <c r="AI21" s="24" t="s">
        <v>278</v>
      </c>
    </row>
    <row r="22">
      <c r="A22" s="18" t="s">
        <v>186</v>
      </c>
      <c r="B22" s="19" t="s">
        <v>283</v>
      </c>
      <c r="C22" s="3"/>
      <c r="D22" s="20" t="s">
        <v>291</v>
      </c>
      <c r="E22" s="21">
        <v>20.0</v>
      </c>
      <c r="F22" s="3"/>
      <c r="G22" s="3"/>
      <c r="H22" s="3"/>
      <c r="I22" s="3"/>
      <c r="J22" s="18" t="s">
        <v>292</v>
      </c>
      <c r="K22" s="18">
        <v>20.0</v>
      </c>
      <c r="L22" s="3"/>
      <c r="M22" s="3"/>
      <c r="N22" s="3"/>
      <c r="O22" s="40"/>
      <c r="P22" s="3"/>
      <c r="Q22" s="3"/>
      <c r="R22" s="3"/>
      <c r="S22" s="27" t="s">
        <v>201</v>
      </c>
      <c r="T22" s="41" t="s">
        <v>293</v>
      </c>
      <c r="U22" s="3"/>
      <c r="V22" s="42" t="s">
        <v>294</v>
      </c>
      <c r="W22" s="24" t="s">
        <v>283</v>
      </c>
      <c r="X22" s="3"/>
      <c r="Y22" s="3"/>
      <c r="Z22" s="3"/>
      <c r="AA22" s="3"/>
      <c r="AB22" s="3"/>
      <c r="AC22" s="3"/>
      <c r="AD22" s="3"/>
      <c r="AE22" s="43"/>
      <c r="AF22" s="24" t="s">
        <v>283</v>
      </c>
      <c r="AG22" s="26"/>
      <c r="AH22" s="43"/>
      <c r="AI22" s="24" t="s">
        <v>283</v>
      </c>
    </row>
    <row r="23">
      <c r="A23" s="18" t="s">
        <v>295</v>
      </c>
      <c r="B23" s="19" t="s">
        <v>289</v>
      </c>
      <c r="C23" s="3"/>
      <c r="D23" s="20" t="s">
        <v>182</v>
      </c>
      <c r="E23" s="21">
        <v>21.0</v>
      </c>
      <c r="F23" s="3"/>
      <c r="G23" s="3"/>
      <c r="H23" s="3"/>
      <c r="I23" s="3"/>
      <c r="J23" s="18" t="s">
        <v>296</v>
      </c>
      <c r="K23" s="18">
        <v>21.0</v>
      </c>
      <c r="L23" s="3"/>
      <c r="M23" s="3"/>
      <c r="N23" s="3"/>
      <c r="O23" s="3"/>
      <c r="P23" s="3"/>
      <c r="Q23" s="3"/>
      <c r="R23" s="3"/>
      <c r="S23" s="27" t="s">
        <v>297</v>
      </c>
      <c r="T23" s="41" t="s">
        <v>298</v>
      </c>
      <c r="U23" s="3"/>
      <c r="V23" s="20" t="s">
        <v>299</v>
      </c>
      <c r="W23" s="24" t="s">
        <v>289</v>
      </c>
      <c r="X23" s="3"/>
      <c r="Y23" s="3"/>
      <c r="Z23" s="3"/>
      <c r="AA23" s="3"/>
      <c r="AB23" s="3"/>
      <c r="AC23" s="3"/>
      <c r="AD23" s="3"/>
      <c r="AE23" s="34"/>
      <c r="AF23" s="44"/>
      <c r="AG23" s="45"/>
      <c r="AH23" s="34"/>
      <c r="AI23" s="44"/>
    </row>
    <row r="24">
      <c r="A24" s="18" t="s">
        <v>175</v>
      </c>
      <c r="B24" s="19" t="s">
        <v>293</v>
      </c>
      <c r="C24" s="3"/>
      <c r="D24" s="20" t="s">
        <v>214</v>
      </c>
      <c r="E24" s="21">
        <v>22.0</v>
      </c>
      <c r="F24" s="3"/>
      <c r="G24" s="3"/>
      <c r="H24" s="3"/>
      <c r="I24" s="3"/>
      <c r="J24" s="27" t="s">
        <v>300</v>
      </c>
      <c r="K24" s="27">
        <v>22.0</v>
      </c>
      <c r="L24" s="3"/>
      <c r="M24" s="3"/>
      <c r="N24" s="3"/>
      <c r="O24" s="3"/>
      <c r="P24" s="3"/>
      <c r="Q24" s="3"/>
      <c r="R24" s="3"/>
      <c r="S24" s="34"/>
      <c r="T24" s="44"/>
      <c r="U24" s="3"/>
      <c r="V24" s="34"/>
      <c r="W24" s="44"/>
      <c r="X24" s="3"/>
      <c r="Y24" s="3"/>
      <c r="Z24" s="3"/>
      <c r="AA24" s="3"/>
      <c r="AB24" s="3"/>
      <c r="AC24" s="3"/>
      <c r="AD24" s="3"/>
      <c r="AE24" s="34"/>
      <c r="AF24" s="44"/>
      <c r="AG24" s="45"/>
      <c r="AH24" s="34"/>
      <c r="AI24" s="44"/>
    </row>
    <row r="25">
      <c r="A25" s="18" t="s">
        <v>301</v>
      </c>
      <c r="B25" s="19" t="s">
        <v>298</v>
      </c>
      <c r="C25" s="3"/>
      <c r="D25" s="20" t="s">
        <v>302</v>
      </c>
      <c r="E25" s="21">
        <v>23.0</v>
      </c>
      <c r="F25" s="3"/>
      <c r="G25" s="3"/>
      <c r="H25" s="3"/>
      <c r="I25" s="3"/>
      <c r="J25" s="27" t="s">
        <v>303</v>
      </c>
      <c r="K25" s="27">
        <v>23.0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4"/>
      <c r="W25" s="34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>
      <c r="A26" s="18" t="s">
        <v>304</v>
      </c>
      <c r="B26" s="19" t="s">
        <v>305</v>
      </c>
      <c r="C26" s="3"/>
      <c r="D26" s="3"/>
      <c r="E26" s="3"/>
      <c r="F26" s="3"/>
      <c r="G26" s="3"/>
      <c r="H26" s="3"/>
      <c r="I26" s="3"/>
      <c r="J26" s="27" t="s">
        <v>306</v>
      </c>
      <c r="K26" s="27">
        <v>24.0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4"/>
      <c r="W26" s="34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>
      <c r="A27" s="18" t="s">
        <v>222</v>
      </c>
      <c r="B27" s="19" t="s">
        <v>307</v>
      </c>
      <c r="C27" s="3"/>
      <c r="D27" s="3"/>
      <c r="E27" s="3"/>
      <c r="F27" s="3"/>
      <c r="G27" s="3"/>
      <c r="H27" s="3"/>
      <c r="I27" s="3"/>
      <c r="J27" s="25" t="s">
        <v>308</v>
      </c>
      <c r="K27" s="20">
        <v>25.0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4"/>
      <c r="W27" s="34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>
      <c r="A28" s="18" t="s">
        <v>236</v>
      </c>
      <c r="B28" s="19" t="s">
        <v>309</v>
      </c>
      <c r="C28" s="3"/>
      <c r="D28" s="3"/>
      <c r="E28" s="3"/>
      <c r="F28" s="3"/>
      <c r="G28" s="3"/>
      <c r="H28" s="3"/>
      <c r="I28" s="3"/>
      <c r="J28" s="25"/>
      <c r="K28" s="34"/>
      <c r="L28" s="3"/>
      <c r="M28" s="3"/>
      <c r="N28" s="3"/>
      <c r="O28" s="3"/>
      <c r="P28" s="3"/>
      <c r="Q28" s="3"/>
      <c r="R28" s="3"/>
      <c r="S28" s="3"/>
      <c r="T28" s="3"/>
      <c r="U28" s="3"/>
      <c r="V28" s="34"/>
      <c r="W28" s="34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>
      <c r="A29" s="18" t="s">
        <v>310</v>
      </c>
      <c r="B29" s="19" t="s">
        <v>311</v>
      </c>
      <c r="C29" s="3"/>
      <c r="D29" s="3"/>
      <c r="E29" s="3"/>
      <c r="F29" s="3"/>
      <c r="G29" s="3"/>
      <c r="H29" s="3"/>
      <c r="I29" s="3"/>
      <c r="J29" s="34"/>
      <c r="K29" s="34"/>
      <c r="L29" s="3"/>
      <c r="M29" s="3"/>
      <c r="N29" s="3"/>
      <c r="O29" s="3"/>
      <c r="P29" s="3"/>
      <c r="Q29" s="3"/>
      <c r="R29" s="3"/>
      <c r="S29" s="3"/>
      <c r="T29" s="3"/>
      <c r="U29" s="3"/>
      <c r="V29" s="34"/>
      <c r="W29" s="34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>
      <c r="A30" s="18" t="s">
        <v>312</v>
      </c>
      <c r="B30" s="19" t="s">
        <v>313</v>
      </c>
      <c r="C30" s="3"/>
      <c r="D30" s="3"/>
      <c r="E30" s="3"/>
      <c r="F30" s="3"/>
      <c r="G30" s="3"/>
      <c r="H30" s="3"/>
      <c r="I30" s="3"/>
      <c r="J30" s="34"/>
      <c r="K30" s="34"/>
      <c r="L30" s="3"/>
      <c r="M30" s="3"/>
      <c r="N30" s="3"/>
      <c r="O30" s="3"/>
      <c r="P30" s="3"/>
      <c r="Q30" s="3"/>
      <c r="R30" s="3"/>
      <c r="S30" s="3"/>
      <c r="T30" s="3"/>
      <c r="U30" s="3"/>
      <c r="V30" s="34"/>
      <c r="W30" s="34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>
      <c r="A31" s="18" t="s">
        <v>192</v>
      </c>
      <c r="B31" s="19" t="s">
        <v>314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40" t="s">
        <v>315</v>
      </c>
      <c r="R31" s="3"/>
      <c r="S31" s="3"/>
      <c r="T31" s="3"/>
      <c r="U31" s="3"/>
      <c r="V31" s="34"/>
      <c r="W31" s="34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>
      <c r="A32" s="18" t="s">
        <v>183</v>
      </c>
      <c r="B32" s="19" t="s">
        <v>316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4"/>
      <c r="W32" s="34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>
      <c r="A33" s="34"/>
      <c r="B33" s="4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4"/>
      <c r="W33" s="34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>
      <c r="A34" s="34"/>
      <c r="B34" s="4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4"/>
      <c r="W34" s="34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>
      <c r="A35" s="34"/>
      <c r="B35" s="4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4"/>
      <c r="W35" s="34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4"/>
      <c r="W36" s="34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4"/>
      <c r="W37" s="34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4"/>
      <c r="W38" s="34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4"/>
      <c r="W39" s="34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4"/>
      <c r="W40" s="34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4"/>
      <c r="W41" s="34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4"/>
      <c r="W42" s="34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</row>
  </sheetData>
  <mergeCells count="12">
    <mergeCell ref="V1:W1"/>
    <mergeCell ref="Y1:Z1"/>
    <mergeCell ref="AB1:AC1"/>
    <mergeCell ref="AE1:AF1"/>
    <mergeCell ref="AH1:AI1"/>
    <mergeCell ref="A1:B1"/>
    <mergeCell ref="D1:E1"/>
    <mergeCell ref="G1:H1"/>
    <mergeCell ref="J1:K1"/>
    <mergeCell ref="M1:N1"/>
    <mergeCell ref="P1:Q1"/>
    <mergeCell ref="S1:T1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88"/>
    <col customWidth="1" min="3" max="3" width="14.0"/>
  </cols>
  <sheetData>
    <row r="1">
      <c r="A1" s="46" t="s">
        <v>0</v>
      </c>
      <c r="B1" s="46" t="s">
        <v>317</v>
      </c>
      <c r="C1" s="46" t="s">
        <v>318</v>
      </c>
    </row>
    <row r="2">
      <c r="A2" s="17"/>
      <c r="B2" s="17"/>
      <c r="C2" s="17"/>
    </row>
    <row r="3">
      <c r="A3" s="17"/>
      <c r="B3" s="17"/>
      <c r="C3" s="17"/>
    </row>
    <row r="4">
      <c r="A4" s="17"/>
      <c r="B4" s="17"/>
      <c r="C4" s="17"/>
    </row>
    <row r="5">
      <c r="A5" s="17"/>
      <c r="B5" s="17"/>
      <c r="C5" s="17"/>
    </row>
    <row r="6">
      <c r="A6" s="17"/>
      <c r="B6" s="17"/>
      <c r="C6" s="17"/>
    </row>
    <row r="7">
      <c r="A7" s="17"/>
      <c r="B7" s="17"/>
      <c r="C7" s="17"/>
    </row>
    <row r="8">
      <c r="A8" s="17"/>
      <c r="B8" s="17"/>
      <c r="C8" s="17"/>
    </row>
    <row r="9">
      <c r="A9" s="17"/>
      <c r="B9" s="17"/>
      <c r="C9" s="17"/>
    </row>
    <row r="10">
      <c r="A10" s="17"/>
      <c r="B10" s="17"/>
      <c r="C10" s="17"/>
    </row>
    <row r="11">
      <c r="A11" s="17"/>
      <c r="B11" s="17"/>
      <c r="C11" s="17"/>
    </row>
    <row r="12">
      <c r="A12" s="17"/>
      <c r="B12" s="17"/>
      <c r="C12" s="17"/>
    </row>
    <row r="13">
      <c r="A13" s="17"/>
      <c r="B13" s="17"/>
      <c r="C13" s="17"/>
    </row>
    <row r="14">
      <c r="A14" s="17"/>
      <c r="B14" s="17"/>
      <c r="C14" s="17"/>
    </row>
    <row r="15">
      <c r="A15" s="17"/>
      <c r="B15" s="17"/>
      <c r="C15" s="17"/>
    </row>
    <row r="16">
      <c r="A16" s="17"/>
      <c r="B16" s="17"/>
      <c r="C16" s="17"/>
    </row>
    <row r="17">
      <c r="A17" s="17"/>
      <c r="B17" s="17"/>
      <c r="C17" s="17"/>
    </row>
    <row r="18">
      <c r="A18" s="17"/>
      <c r="B18" s="17"/>
      <c r="C18" s="17"/>
    </row>
    <row r="19">
      <c r="A19" s="17"/>
      <c r="B19" s="17"/>
      <c r="C19" s="17"/>
    </row>
    <row r="20">
      <c r="A20" s="17"/>
      <c r="B20" s="17"/>
      <c r="C20" s="17"/>
    </row>
    <row r="21">
      <c r="A21" s="17"/>
      <c r="B21" s="17"/>
      <c r="C21" s="17"/>
    </row>
    <row r="22">
      <c r="A22" s="17"/>
      <c r="B22" s="17"/>
      <c r="C22" s="17"/>
    </row>
  </sheetData>
  <dataValidations>
    <dataValidation type="list" allowBlank="1" showErrorMessage="1" sqref="C2:C22">
      <formula1>"Approved,Belum di input"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5"/>
    <col customWidth="1" min="2" max="2" width="16.0"/>
    <col customWidth="1" min="3" max="3" width="19.75"/>
    <col customWidth="1" min="4" max="4" width="13.75"/>
    <col customWidth="1" min="5" max="6" width="14.75"/>
    <col customWidth="1" min="7" max="7" width="18.13"/>
    <col customWidth="1" min="8" max="8" width="15.75"/>
    <col customWidth="1" min="9" max="9" width="13.75"/>
    <col customWidth="1" min="12" max="12" width="17.75"/>
    <col customWidth="1" min="14" max="14" width="14.0"/>
    <col customWidth="1" min="15" max="15" width="16.88"/>
    <col customWidth="1" min="16" max="16" width="19.5"/>
    <col customWidth="1" min="17" max="17" width="21.5"/>
    <col customWidth="1" min="18" max="18" width="15.75"/>
  </cols>
  <sheetData>
    <row r="1">
      <c r="A1" s="47" t="s">
        <v>319</v>
      </c>
      <c r="Q1" s="48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</row>
    <row r="2">
      <c r="A2" s="50" t="s">
        <v>320</v>
      </c>
      <c r="B2" s="51" t="s">
        <v>0</v>
      </c>
      <c r="C2" s="50" t="s">
        <v>321</v>
      </c>
      <c r="D2" s="51" t="s">
        <v>322</v>
      </c>
      <c r="E2" s="51" t="s">
        <v>323</v>
      </c>
      <c r="F2" s="52" t="s">
        <v>324</v>
      </c>
      <c r="G2" s="53" t="s">
        <v>325</v>
      </c>
      <c r="H2" s="51" t="s">
        <v>326</v>
      </c>
      <c r="I2" s="51" t="s">
        <v>327</v>
      </c>
      <c r="J2" s="51" t="s">
        <v>328</v>
      </c>
      <c r="K2" s="51" t="s">
        <v>329</v>
      </c>
      <c r="L2" s="54" t="s">
        <v>330</v>
      </c>
      <c r="M2" s="47" t="s">
        <v>331</v>
      </c>
      <c r="N2" s="47" t="s">
        <v>332</v>
      </c>
      <c r="O2" s="55" t="s">
        <v>333</v>
      </c>
      <c r="P2" s="55" t="s">
        <v>334</v>
      </c>
      <c r="Q2" s="48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</row>
    <row r="3">
      <c r="A3" s="56">
        <v>1.0</v>
      </c>
      <c r="B3" s="57" t="s">
        <v>77</v>
      </c>
      <c r="C3" s="58" t="s">
        <v>335</v>
      </c>
      <c r="D3" s="59" t="s">
        <v>336</v>
      </c>
      <c r="E3" s="60">
        <v>46138.0</v>
      </c>
      <c r="F3" s="61" t="str">
        <f t="shared" ref="F3:F13" si="1">INT(E3-NOW()) &amp; " days " </f>
        <v>-45 days </v>
      </c>
      <c r="G3" s="62">
        <f>sum('OMG SKINCARE'!J10)</f>
        <v>990000</v>
      </c>
      <c r="H3" s="63">
        <f>sum('OMG SKINCARE'!L10)</f>
        <v>3000000</v>
      </c>
      <c r="I3" s="64">
        <f>SUM('Daily Performance'!A5)</f>
        <v>1000000000</v>
      </c>
      <c r="J3" s="64">
        <f>SUM('Daily Performance'!C2:C3)</f>
        <v>770793578.8</v>
      </c>
      <c r="K3" s="65">
        <f t="shared" ref="K3:K13" si="2">IFERROR(J3/I3,"N/A")</f>
        <v>0.7707935788</v>
      </c>
      <c r="L3" s="66" t="b">
        <v>1</v>
      </c>
      <c r="M3" s="67" t="s">
        <v>337</v>
      </c>
      <c r="N3" s="67" t="s">
        <v>338</v>
      </c>
      <c r="O3" s="68" t="s">
        <v>77</v>
      </c>
      <c r="P3" s="69" t="s">
        <v>339</v>
      </c>
      <c r="Q3" s="70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>
      <c r="A4" s="56">
        <v>2.0</v>
      </c>
      <c r="B4" s="57" t="s">
        <v>51</v>
      </c>
      <c r="C4" s="58" t="s">
        <v>340</v>
      </c>
      <c r="D4" s="59" t="s">
        <v>336</v>
      </c>
      <c r="E4" s="60">
        <v>46138.0</v>
      </c>
      <c r="F4" s="61" t="str">
        <f t="shared" si="1"/>
        <v>-45 days </v>
      </c>
      <c r="G4" s="62">
        <f>sum('OMG MAKEUP'!I10)</f>
        <v>8575000</v>
      </c>
      <c r="H4" s="63">
        <f>sum('OMG MAKEUP'!K7)</f>
        <v>25800000</v>
      </c>
      <c r="I4" s="64">
        <f>SUM('Daily Performance'!A15)</f>
        <v>2500000000</v>
      </c>
      <c r="J4" s="64">
        <f>SUM('Daily Performance'!C12:C13)</f>
        <v>673280168</v>
      </c>
      <c r="K4" s="71">
        <f t="shared" si="2"/>
        <v>0.2693120672</v>
      </c>
      <c r="L4" s="72" t="b">
        <v>1</v>
      </c>
      <c r="M4" s="73" t="s">
        <v>341</v>
      </c>
      <c r="N4" s="73" t="s">
        <v>342</v>
      </c>
      <c r="O4" s="68" t="s">
        <v>51</v>
      </c>
      <c r="P4" s="69" t="s">
        <v>343</v>
      </c>
      <c r="Q4" s="70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</row>
    <row r="5" ht="15.0" customHeight="1">
      <c r="A5" s="56">
        <v>3.0</v>
      </c>
      <c r="B5" s="74" t="s">
        <v>109</v>
      </c>
      <c r="C5" s="75" t="s">
        <v>344</v>
      </c>
      <c r="D5" s="20" t="s">
        <v>345</v>
      </c>
      <c r="E5" s="76">
        <v>46160.0</v>
      </c>
      <c r="F5" s="61" t="str">
        <f t="shared" si="1"/>
        <v>-23 days </v>
      </c>
      <c r="G5" s="62">
        <f>sum(QAHIRA!K10)</f>
        <v>5740000</v>
      </c>
      <c r="H5" s="62">
        <f>sum(QAHIRA!M10)</f>
        <v>12760000</v>
      </c>
      <c r="I5" s="77">
        <f>SUM('Daily Performance'!A25)</f>
        <v>500000000</v>
      </c>
      <c r="J5" s="64">
        <f>SUM('Daily Performance'!C22:C23)</f>
        <v>98661174.6</v>
      </c>
      <c r="K5" s="71">
        <f t="shared" si="2"/>
        <v>0.1973223492</v>
      </c>
      <c r="L5" s="66" t="b">
        <v>1</v>
      </c>
      <c r="M5" s="78" t="s">
        <v>341</v>
      </c>
      <c r="N5" s="78" t="s">
        <v>337</v>
      </c>
      <c r="O5" s="79" t="s">
        <v>109</v>
      </c>
      <c r="P5" s="80" t="s">
        <v>346</v>
      </c>
    </row>
    <row r="6">
      <c r="A6" s="56">
        <v>4.0</v>
      </c>
      <c r="B6" s="81" t="s">
        <v>7</v>
      </c>
      <c r="C6" s="58" t="s">
        <v>347</v>
      </c>
      <c r="D6" s="59" t="s">
        <v>348</v>
      </c>
      <c r="E6" s="76">
        <v>46164.0</v>
      </c>
      <c r="F6" s="61" t="str">
        <f t="shared" si="1"/>
        <v>-19 days </v>
      </c>
      <c r="G6" s="62">
        <f>sum('SALSA COSME'!I7)</f>
        <v>4792000</v>
      </c>
      <c r="H6" s="62">
        <f>sum('SALSA COSME'!K7)</f>
        <v>15000000</v>
      </c>
      <c r="I6" s="64">
        <f>SUM('Daily Performance'!A61)</f>
        <v>750000000</v>
      </c>
      <c r="J6" s="64">
        <f>SUM('Daily Performance'!C58:C59)</f>
        <v>234339337</v>
      </c>
      <c r="K6" s="71">
        <f t="shared" si="2"/>
        <v>0.3124524493</v>
      </c>
      <c r="L6" s="66" t="b">
        <v>1</v>
      </c>
      <c r="M6" s="67" t="s">
        <v>341</v>
      </c>
      <c r="N6" s="67" t="s">
        <v>342</v>
      </c>
      <c r="O6" s="68" t="s">
        <v>7</v>
      </c>
      <c r="P6" s="69" t="s">
        <v>349</v>
      </c>
      <c r="Q6" s="70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</row>
    <row r="7" ht="16.5" customHeight="1">
      <c r="A7" s="56">
        <v>5.0</v>
      </c>
      <c r="B7" s="57" t="s">
        <v>350</v>
      </c>
      <c r="C7" s="58" t="s">
        <v>347</v>
      </c>
      <c r="D7" s="59" t="s">
        <v>348</v>
      </c>
      <c r="E7" s="76">
        <v>46164.0</v>
      </c>
      <c r="F7" s="61" t="str">
        <f t="shared" si="1"/>
        <v>-19 days </v>
      </c>
      <c r="G7" s="62">
        <f>sum('SALSA M&amp;B'!I10)</f>
        <v>10000000</v>
      </c>
      <c r="H7" s="62">
        <f>sum('SALSA M&amp;B'!K10)</f>
        <v>2000000</v>
      </c>
      <c r="I7" s="64">
        <f>SUM('Daily Performance'!A71)</f>
        <v>200000000</v>
      </c>
      <c r="J7" s="64">
        <f>SUM('Daily Performance'!C68:C69)</f>
        <v>65050469</v>
      </c>
      <c r="K7" s="71">
        <f t="shared" si="2"/>
        <v>0.325252345</v>
      </c>
      <c r="L7" s="66" t="b">
        <v>1</v>
      </c>
      <c r="M7" s="67" t="s">
        <v>351</v>
      </c>
      <c r="N7" s="67"/>
      <c r="O7" s="68" t="s">
        <v>41</v>
      </c>
      <c r="P7" s="82" t="s">
        <v>352</v>
      </c>
      <c r="Q7" s="70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</row>
    <row r="8">
      <c r="A8" s="56">
        <v>6.0</v>
      </c>
      <c r="B8" s="57" t="s">
        <v>102</v>
      </c>
      <c r="C8" s="83" t="s">
        <v>353</v>
      </c>
      <c r="D8" s="59" t="s">
        <v>354</v>
      </c>
      <c r="E8" s="76">
        <v>46175.0</v>
      </c>
      <c r="F8" s="61" t="str">
        <f t="shared" si="1"/>
        <v>-8 days </v>
      </c>
      <c r="G8" s="62">
        <f>sum(WARDAH!I10)</f>
        <v>5100000</v>
      </c>
      <c r="H8" s="62">
        <f>sum(WARDAH!K10)</f>
        <v>8000000</v>
      </c>
      <c r="I8" s="64">
        <f>SUM('Daily Performance'!A51)</f>
        <v>150000000</v>
      </c>
      <c r="J8" s="64">
        <f>SUM('Daily Performance'!C48:C49)</f>
        <v>13204326</v>
      </c>
      <c r="K8" s="71">
        <f t="shared" si="2"/>
        <v>0.08802884</v>
      </c>
      <c r="L8" s="84" t="b">
        <v>0</v>
      </c>
      <c r="M8" s="67" t="s">
        <v>351</v>
      </c>
      <c r="N8" s="85"/>
      <c r="O8" s="86" t="s">
        <v>102</v>
      </c>
      <c r="P8" s="57" t="s">
        <v>355</v>
      </c>
      <c r="Q8" s="70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</row>
    <row r="9">
      <c r="A9" s="56">
        <v>7.0</v>
      </c>
      <c r="B9" s="74" t="s">
        <v>167</v>
      </c>
      <c r="C9" s="20" t="s">
        <v>356</v>
      </c>
      <c r="D9" s="76">
        <v>46136.0</v>
      </c>
      <c r="E9" s="76">
        <v>46227.0</v>
      </c>
      <c r="F9" s="87" t="str">
        <f t="shared" si="1"/>
        <v>44 days </v>
      </c>
      <c r="G9" s="88">
        <f>sum(ISWHITE!J10)</f>
        <v>10972500</v>
      </c>
      <c r="H9" s="62">
        <f>sum(ISWHITE!L10)</f>
        <v>13000000</v>
      </c>
      <c r="I9" s="64">
        <f>SUM('Daily Performance'!A89)</f>
        <v>600000000</v>
      </c>
      <c r="J9" s="89">
        <f>SUM('Daily Performance'!C86:C87)</f>
        <v>6599755</v>
      </c>
      <c r="K9" s="71">
        <f t="shared" si="2"/>
        <v>0.01099959167</v>
      </c>
      <c r="L9" s="66" t="b">
        <v>1</v>
      </c>
      <c r="M9" s="20" t="s">
        <v>337</v>
      </c>
      <c r="N9" s="20" t="s">
        <v>341</v>
      </c>
      <c r="O9" s="79" t="s">
        <v>167</v>
      </c>
      <c r="P9" s="90" t="s">
        <v>357</v>
      </c>
      <c r="Q9" s="91"/>
    </row>
    <row r="10">
      <c r="A10" s="56">
        <v>8.0</v>
      </c>
      <c r="B10" s="74" t="s">
        <v>169</v>
      </c>
      <c r="C10" s="20" t="s">
        <v>358</v>
      </c>
      <c r="D10" s="76">
        <v>46136.0</v>
      </c>
      <c r="E10" s="76">
        <v>46227.0</v>
      </c>
      <c r="F10" s="87" t="str">
        <f t="shared" si="1"/>
        <v>44 days </v>
      </c>
      <c r="G10" s="92">
        <f>sum(NAISDAY!J10)</f>
        <v>18200000</v>
      </c>
      <c r="H10" s="77">
        <f>sum(NAISDAY!L10)</f>
        <v>17000000</v>
      </c>
      <c r="I10" s="63">
        <f>SUM('Daily Performance'!A89)</f>
        <v>600000000</v>
      </c>
      <c r="J10" s="89">
        <f>SUM('Daily Performance'!C96:C97)</f>
        <v>9890704</v>
      </c>
      <c r="K10" s="93">
        <f t="shared" si="2"/>
        <v>0.01648450667</v>
      </c>
      <c r="L10" s="66" t="b">
        <v>1</v>
      </c>
      <c r="M10" s="20" t="s">
        <v>342</v>
      </c>
      <c r="N10" s="20"/>
      <c r="O10" s="79" t="s">
        <v>169</v>
      </c>
      <c r="P10" s="94" t="s">
        <v>359</v>
      </c>
    </row>
    <row r="11">
      <c r="A11" s="56">
        <v>9.0</v>
      </c>
      <c r="B11" s="74" t="s">
        <v>168</v>
      </c>
      <c r="C11" s="20" t="s">
        <v>360</v>
      </c>
      <c r="D11" s="76">
        <v>46148.0</v>
      </c>
      <c r="E11" s="76">
        <v>46240.0</v>
      </c>
      <c r="F11" s="95" t="str">
        <f t="shared" si="1"/>
        <v>57 days </v>
      </c>
      <c r="G11" s="77">
        <f>sum(SYB!J10)</f>
        <v>38750000</v>
      </c>
      <c r="H11" s="77">
        <f>sum(SYB!L10)</f>
        <v>32000000</v>
      </c>
      <c r="I11" s="63">
        <f>SUM('Daily Performance'!A109)</f>
        <v>1500000000</v>
      </c>
      <c r="J11" s="96">
        <f>SUM('Daily Performance'!C106:C107)</f>
        <v>17329022</v>
      </c>
      <c r="K11" s="93">
        <f t="shared" si="2"/>
        <v>0.01155268133</v>
      </c>
      <c r="L11" s="66" t="b">
        <v>1</v>
      </c>
      <c r="M11" s="78" t="s">
        <v>337</v>
      </c>
      <c r="N11" s="78"/>
      <c r="O11" s="79" t="s">
        <v>168</v>
      </c>
      <c r="P11" s="94" t="s">
        <v>361</v>
      </c>
    </row>
    <row r="12">
      <c r="A12" s="56">
        <v>10.0</v>
      </c>
      <c r="B12" s="74" t="s">
        <v>362</v>
      </c>
      <c r="C12" s="20" t="s">
        <v>363</v>
      </c>
      <c r="D12" s="20" t="s">
        <v>364</v>
      </c>
      <c r="E12" s="76">
        <v>46268.0</v>
      </c>
      <c r="F12" s="95" t="str">
        <f t="shared" si="1"/>
        <v>85 days </v>
      </c>
      <c r="G12" s="77">
        <f>sum(MSGLOWBEAUTY!J10)</f>
        <v>112000000</v>
      </c>
      <c r="H12" s="77">
        <f>sum(MSGLOWBEAUTY!L10)</f>
        <v>200000000</v>
      </c>
      <c r="I12" s="63">
        <f>SUM('Daily Performance'!A127)</f>
        <v>4000000000</v>
      </c>
      <c r="J12" s="96">
        <f>SUM('Daily Performance'!C124:C125)</f>
        <v>0</v>
      </c>
      <c r="K12" s="93">
        <f t="shared" si="2"/>
        <v>0</v>
      </c>
      <c r="L12" s="66" t="b">
        <v>0</v>
      </c>
      <c r="M12" s="78" t="s">
        <v>342</v>
      </c>
      <c r="N12" s="78"/>
      <c r="O12" s="79" t="s">
        <v>365</v>
      </c>
      <c r="P12" s="94" t="s">
        <v>366</v>
      </c>
    </row>
    <row r="13">
      <c r="A13" s="56">
        <v>11.0</v>
      </c>
      <c r="B13" s="74" t="s">
        <v>367</v>
      </c>
      <c r="C13" s="20" t="s">
        <v>363</v>
      </c>
      <c r="D13" s="20" t="s">
        <v>368</v>
      </c>
      <c r="E13" s="76">
        <v>46301.0</v>
      </c>
      <c r="F13" s="95" t="str">
        <f t="shared" si="1"/>
        <v>118 days </v>
      </c>
      <c r="G13" s="77">
        <f>sum(MSGLOWFORMEN!J10)</f>
        <v>84000000</v>
      </c>
      <c r="H13" s="77">
        <f>sum(MSGLOWFORMEN!L10)</f>
        <v>100000000</v>
      </c>
      <c r="I13" s="63">
        <f>SUM('Daily Performance'!A137)</f>
        <v>1200000000</v>
      </c>
      <c r="J13" s="96">
        <f>SUM('Daily Performance'!C134:C135)</f>
        <v>0</v>
      </c>
      <c r="K13" s="93">
        <f t="shared" si="2"/>
        <v>0</v>
      </c>
      <c r="L13" s="66" t="b">
        <v>0</v>
      </c>
      <c r="M13" s="78" t="s">
        <v>369</v>
      </c>
      <c r="N13" s="78"/>
      <c r="O13" s="79" t="s">
        <v>370</v>
      </c>
      <c r="P13" s="94" t="s">
        <v>371</v>
      </c>
    </row>
    <row r="14">
      <c r="A14" s="3"/>
    </row>
    <row r="15">
      <c r="A15" s="47" t="s">
        <v>372</v>
      </c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</row>
    <row r="16">
      <c r="A16" s="50" t="s">
        <v>320</v>
      </c>
      <c r="B16" s="51" t="s">
        <v>0</v>
      </c>
      <c r="C16" s="50" t="s">
        <v>321</v>
      </c>
      <c r="D16" s="51" t="s">
        <v>322</v>
      </c>
      <c r="E16" s="51" t="s">
        <v>323</v>
      </c>
      <c r="F16" s="51"/>
      <c r="G16" s="53" t="s">
        <v>325</v>
      </c>
      <c r="H16" s="50" t="s">
        <v>373</v>
      </c>
      <c r="I16" s="50" t="s">
        <v>374</v>
      </c>
      <c r="J16" s="50" t="s">
        <v>375</v>
      </c>
      <c r="K16" s="51" t="s">
        <v>329</v>
      </c>
      <c r="L16" s="97" t="s">
        <v>376</v>
      </c>
      <c r="M16" s="97" t="s">
        <v>377</v>
      </c>
      <c r="N16" s="97" t="s">
        <v>378</v>
      </c>
      <c r="O16" s="47" t="s">
        <v>331</v>
      </c>
      <c r="P16" s="47" t="s">
        <v>332</v>
      </c>
      <c r="Q16" s="55" t="s">
        <v>333</v>
      </c>
      <c r="R16" s="55" t="s">
        <v>334</v>
      </c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</row>
    <row r="17">
      <c r="A17" s="98">
        <v>1.0</v>
      </c>
      <c r="B17" s="74" t="s">
        <v>379</v>
      </c>
      <c r="C17" s="59" t="s">
        <v>380</v>
      </c>
      <c r="D17" s="20" t="s">
        <v>381</v>
      </c>
      <c r="E17" s="76">
        <v>46173.0</v>
      </c>
      <c r="F17" s="61" t="str">
        <f>INT(E17-NOW()) &amp; " days " </f>
        <v>-10 days </v>
      </c>
      <c r="G17" s="62">
        <f>sum(KIMME!I10)</f>
        <v>52915000</v>
      </c>
      <c r="H17" s="34"/>
      <c r="I17" s="99">
        <f>SUM('Daily Performance'!B34)</f>
        <v>3750</v>
      </c>
      <c r="J17" s="100">
        <f>SUM('Daily Performance'!B35)</f>
        <v>15000</v>
      </c>
      <c r="K17" s="65">
        <f>IFERROR(M17/J17,"N/A")</f>
        <v>0.5548666667</v>
      </c>
      <c r="L17" s="101">
        <f>sum('Daily Performance'!C32)</f>
        <v>2840</v>
      </c>
      <c r="M17" s="101">
        <f>sum('Daily Performance'!C33)</f>
        <v>8323</v>
      </c>
      <c r="N17" s="102">
        <v>0.0</v>
      </c>
      <c r="O17" s="103" t="s">
        <v>338</v>
      </c>
      <c r="P17" s="103" t="s">
        <v>382</v>
      </c>
      <c r="Q17" s="104" t="s">
        <v>379</v>
      </c>
      <c r="R17" s="74" t="s">
        <v>383</v>
      </c>
    </row>
    <row r="18" hidden="1">
      <c r="A18" s="98">
        <v>2.0</v>
      </c>
      <c r="B18" s="105" t="s">
        <v>384</v>
      </c>
      <c r="C18" s="20" t="s">
        <v>385</v>
      </c>
      <c r="D18" s="20" t="s">
        <v>386</v>
      </c>
      <c r="E18" s="20" t="s">
        <v>387</v>
      </c>
      <c r="F18" s="106"/>
      <c r="G18" s="62">
        <f>sum(SKINMOLOGY!I10)</f>
        <v>1197500</v>
      </c>
      <c r="H18" s="34"/>
      <c r="I18" s="99">
        <f>SUM('Daily Performance'!B42)</f>
        <v>70</v>
      </c>
      <c r="J18" s="99">
        <f>SUM('Daily Performance'!B43)</f>
        <v>140</v>
      </c>
      <c r="K18" s="59">
        <v>0.0</v>
      </c>
      <c r="L18" s="107">
        <f>sum('Daily Performance'!C40)</f>
        <v>70</v>
      </c>
      <c r="M18" s="107">
        <f>sum('Daily Performance'!C41)</f>
        <v>140</v>
      </c>
      <c r="N18" s="102">
        <v>0.0</v>
      </c>
      <c r="O18" s="20" t="s">
        <v>342</v>
      </c>
      <c r="P18" s="20" t="s">
        <v>337</v>
      </c>
      <c r="Q18" s="79" t="s">
        <v>388</v>
      </c>
      <c r="R18" s="74" t="s">
        <v>389</v>
      </c>
    </row>
    <row r="19">
      <c r="A19" s="98">
        <v>2.0</v>
      </c>
      <c r="B19" s="74" t="s">
        <v>390</v>
      </c>
      <c r="C19" s="20" t="s">
        <v>391</v>
      </c>
      <c r="D19" s="20" t="s">
        <v>392</v>
      </c>
      <c r="E19" s="76">
        <v>46153.0</v>
      </c>
      <c r="F19" s="61" t="str">
        <f t="shared" ref="F19:F20" si="3">INT(E19-NOW()) &amp; " days " </f>
        <v>-30 days </v>
      </c>
      <c r="G19" s="77">
        <f>sum(DIOLY!I10)</f>
        <v>5900000</v>
      </c>
      <c r="H19" s="34"/>
      <c r="I19" s="20">
        <v>250.0</v>
      </c>
      <c r="J19" s="20">
        <v>500.0</v>
      </c>
      <c r="K19" s="65">
        <f t="shared" ref="K19:K20" si="4">IFERROR(M19/J19,"N/A")</f>
        <v>0.278</v>
      </c>
      <c r="L19" s="107">
        <f>sum('Daily Performance'!C78)</f>
        <v>106</v>
      </c>
      <c r="M19" s="107">
        <f>sum('Daily Performance'!C79)</f>
        <v>139</v>
      </c>
      <c r="N19" s="108"/>
      <c r="O19" s="20" t="s">
        <v>342</v>
      </c>
      <c r="P19" s="20"/>
      <c r="Q19" s="79" t="s">
        <v>393</v>
      </c>
      <c r="R19" s="74" t="s">
        <v>394</v>
      </c>
    </row>
    <row r="20">
      <c r="A20" s="20">
        <v>3.0</v>
      </c>
      <c r="B20" s="109" t="s">
        <v>395</v>
      </c>
      <c r="C20" s="20" t="s">
        <v>396</v>
      </c>
      <c r="D20" s="76">
        <v>46149.0</v>
      </c>
      <c r="E20" s="76">
        <v>46241.0</v>
      </c>
      <c r="F20" s="95" t="str">
        <f t="shared" si="3"/>
        <v>58 days </v>
      </c>
      <c r="G20" s="77" t="s">
        <v>397</v>
      </c>
      <c r="H20" s="34"/>
      <c r="I20" s="20">
        <v>3000.0</v>
      </c>
      <c r="J20" s="99">
        <v>10000.0</v>
      </c>
      <c r="K20" s="65">
        <f t="shared" si="4"/>
        <v>0.1254</v>
      </c>
      <c r="L20" s="20">
        <v>1124.0</v>
      </c>
      <c r="M20" s="20">
        <v>1254.0</v>
      </c>
      <c r="N20" s="110"/>
      <c r="O20" s="20" t="s">
        <v>351</v>
      </c>
      <c r="P20" s="20" t="s">
        <v>338</v>
      </c>
      <c r="Q20" s="111" t="s">
        <v>398</v>
      </c>
      <c r="R20" s="109" t="s">
        <v>399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>
      <c r="A21" s="3"/>
      <c r="B21" s="4"/>
      <c r="C21" s="3"/>
      <c r="D21" s="3"/>
      <c r="E21" s="3"/>
      <c r="F21" s="3"/>
      <c r="G21" s="112"/>
      <c r="H21" s="3"/>
      <c r="J21" s="3"/>
      <c r="K21" s="3"/>
      <c r="M21" s="3"/>
    </row>
    <row r="22">
      <c r="A22" s="3"/>
      <c r="C22" s="3"/>
      <c r="D22" s="3"/>
      <c r="E22" s="3"/>
      <c r="F22" s="3"/>
      <c r="G22" s="112"/>
      <c r="H22" s="3"/>
      <c r="J22" s="3"/>
      <c r="K22" s="3"/>
      <c r="M22" s="3"/>
    </row>
    <row r="23">
      <c r="A23" s="3"/>
      <c r="C23" s="3"/>
      <c r="D23" s="3"/>
      <c r="E23" s="3"/>
      <c r="F23" s="3"/>
      <c r="G23" s="112"/>
      <c r="H23" s="3"/>
      <c r="J23" s="3"/>
      <c r="K23" s="3"/>
      <c r="M23" s="3"/>
    </row>
    <row r="24">
      <c r="A24" s="3"/>
      <c r="C24" s="3"/>
      <c r="D24" s="3"/>
      <c r="E24" s="3"/>
      <c r="F24" s="3"/>
      <c r="G24" s="112"/>
      <c r="H24" s="3"/>
      <c r="J24" s="3"/>
      <c r="K24" s="3"/>
      <c r="M24" s="3"/>
    </row>
    <row r="25">
      <c r="A25" s="3"/>
      <c r="C25" s="3"/>
      <c r="D25" s="3"/>
      <c r="E25" s="3"/>
      <c r="F25" s="3"/>
      <c r="G25" s="112"/>
      <c r="H25" s="3"/>
      <c r="J25" s="3"/>
      <c r="K25" s="3"/>
      <c r="M25" s="3"/>
    </row>
    <row r="26">
      <c r="A26" s="3"/>
      <c r="C26" s="3"/>
      <c r="D26" s="3"/>
      <c r="E26" s="3"/>
      <c r="F26" s="3"/>
      <c r="G26" s="112"/>
      <c r="H26" s="3"/>
      <c r="J26" s="3"/>
      <c r="K26" s="3"/>
      <c r="M26" s="3"/>
    </row>
    <row r="27">
      <c r="A27" s="3"/>
      <c r="C27" s="3"/>
      <c r="D27" s="3"/>
      <c r="E27" s="3"/>
      <c r="F27" s="3"/>
      <c r="G27" s="112"/>
      <c r="H27" s="3"/>
      <c r="J27" s="3"/>
      <c r="K27" s="3"/>
      <c r="M27" s="3"/>
    </row>
    <row r="28">
      <c r="A28" s="3"/>
      <c r="C28" s="3"/>
      <c r="D28" s="3"/>
      <c r="E28" s="3"/>
      <c r="F28" s="3"/>
      <c r="G28" s="112"/>
      <c r="H28" s="3"/>
      <c r="J28" s="3"/>
      <c r="K28" s="3"/>
      <c r="M28" s="3"/>
    </row>
    <row r="29">
      <c r="A29" s="3"/>
      <c r="C29" s="3"/>
      <c r="D29" s="3"/>
      <c r="E29" s="3"/>
      <c r="F29" s="3"/>
      <c r="G29" s="112"/>
      <c r="H29" s="3"/>
      <c r="J29" s="3"/>
      <c r="K29" s="3"/>
      <c r="M29" s="3"/>
    </row>
    <row r="30">
      <c r="A30" s="3"/>
      <c r="C30" s="3"/>
      <c r="D30" s="3"/>
      <c r="E30" s="3"/>
      <c r="F30" s="3"/>
      <c r="G30" s="112"/>
      <c r="H30" s="3"/>
      <c r="J30" s="3"/>
      <c r="K30" s="3"/>
      <c r="M30" s="3"/>
    </row>
    <row r="31">
      <c r="A31" s="3"/>
      <c r="C31" s="3"/>
      <c r="D31" s="3"/>
      <c r="E31" s="3"/>
      <c r="F31" s="3"/>
      <c r="G31" s="112"/>
      <c r="H31" s="3"/>
      <c r="J31" s="3"/>
      <c r="K31" s="3"/>
      <c r="M31" s="3"/>
    </row>
    <row r="32">
      <c r="A32" s="3"/>
      <c r="C32" s="3"/>
      <c r="D32" s="3"/>
      <c r="E32" s="3"/>
      <c r="F32" s="3"/>
      <c r="G32" s="112"/>
      <c r="H32" s="3"/>
      <c r="J32" s="3"/>
      <c r="K32" s="3"/>
      <c r="M32" s="3"/>
    </row>
    <row r="33">
      <c r="A33" s="3"/>
      <c r="C33" s="3"/>
      <c r="D33" s="3"/>
      <c r="E33" s="3"/>
      <c r="F33" s="3"/>
      <c r="G33" s="112"/>
      <c r="H33" s="3"/>
      <c r="J33" s="3"/>
      <c r="K33" s="3"/>
      <c r="M33" s="3"/>
    </row>
    <row r="34">
      <c r="A34" s="3"/>
      <c r="C34" s="3"/>
      <c r="D34" s="3"/>
      <c r="E34" s="3"/>
      <c r="F34" s="3"/>
      <c r="G34" s="112"/>
      <c r="H34" s="3"/>
      <c r="J34" s="3"/>
      <c r="K34" s="3"/>
      <c r="M34" s="3"/>
    </row>
    <row r="35">
      <c r="A35" s="3"/>
      <c r="C35" s="3"/>
      <c r="D35" s="3"/>
      <c r="E35" s="3"/>
      <c r="F35" s="3"/>
      <c r="G35" s="112"/>
      <c r="H35" s="3"/>
      <c r="J35" s="3"/>
      <c r="K35" s="3"/>
      <c r="M35" s="3"/>
    </row>
    <row r="36">
      <c r="A36" s="3"/>
      <c r="C36" s="3"/>
      <c r="D36" s="3"/>
      <c r="E36" s="3"/>
      <c r="F36" s="3"/>
      <c r="G36" s="112"/>
      <c r="H36" s="3"/>
      <c r="J36" s="3"/>
      <c r="K36" s="3"/>
      <c r="M36" s="3"/>
    </row>
    <row r="37">
      <c r="A37" s="3"/>
      <c r="C37" s="3"/>
      <c r="D37" s="3"/>
      <c r="E37" s="3"/>
      <c r="F37" s="3"/>
      <c r="G37" s="112"/>
      <c r="H37" s="3"/>
      <c r="J37" s="3"/>
      <c r="K37" s="3"/>
      <c r="M37" s="3"/>
    </row>
    <row r="38">
      <c r="A38" s="3"/>
      <c r="C38" s="3"/>
      <c r="D38" s="3"/>
      <c r="E38" s="3"/>
      <c r="F38" s="3"/>
      <c r="G38" s="112"/>
      <c r="H38" s="3"/>
      <c r="J38" s="3"/>
      <c r="K38" s="3"/>
      <c r="M38" s="3"/>
    </row>
    <row r="39">
      <c r="A39" s="3"/>
      <c r="C39" s="3"/>
      <c r="D39" s="3"/>
      <c r="E39" s="3"/>
      <c r="F39" s="3"/>
      <c r="G39" s="112"/>
      <c r="H39" s="3"/>
      <c r="J39" s="3"/>
      <c r="K39" s="3"/>
      <c r="M39" s="3"/>
    </row>
    <row r="40">
      <c r="A40" s="3"/>
      <c r="C40" s="3"/>
      <c r="D40" s="3"/>
      <c r="E40" s="3"/>
      <c r="F40" s="3"/>
      <c r="G40" s="112"/>
      <c r="H40" s="3"/>
      <c r="J40" s="3"/>
      <c r="K40" s="3"/>
      <c r="M40" s="3"/>
    </row>
    <row r="41">
      <c r="A41" s="3"/>
      <c r="C41" s="3"/>
      <c r="D41" s="3"/>
      <c r="E41" s="3"/>
      <c r="F41" s="3"/>
      <c r="G41" s="112"/>
      <c r="H41" s="3"/>
      <c r="J41" s="3"/>
      <c r="K41" s="3"/>
      <c r="M41" s="3"/>
    </row>
    <row r="42">
      <c r="A42" s="3"/>
      <c r="C42" s="3"/>
      <c r="D42" s="3"/>
      <c r="E42" s="3"/>
      <c r="F42" s="3"/>
      <c r="G42" s="112"/>
      <c r="H42" s="3"/>
      <c r="J42" s="3"/>
      <c r="K42" s="3"/>
      <c r="M42" s="3"/>
    </row>
    <row r="43">
      <c r="A43" s="3"/>
      <c r="C43" s="3"/>
      <c r="D43" s="3"/>
      <c r="E43" s="3"/>
      <c r="F43" s="3"/>
      <c r="G43" s="112"/>
      <c r="H43" s="3"/>
      <c r="J43" s="3"/>
      <c r="K43" s="3"/>
      <c r="M43" s="3"/>
    </row>
    <row r="44">
      <c r="A44" s="3"/>
      <c r="C44" s="3"/>
      <c r="D44" s="3"/>
      <c r="E44" s="3"/>
      <c r="F44" s="3"/>
      <c r="G44" s="112"/>
      <c r="H44" s="3"/>
      <c r="J44" s="3"/>
      <c r="K44" s="3"/>
      <c r="M44" s="3"/>
    </row>
    <row r="45">
      <c r="A45" s="3"/>
      <c r="C45" s="3"/>
      <c r="D45" s="3"/>
      <c r="E45" s="3"/>
      <c r="F45" s="3"/>
      <c r="G45" s="112"/>
      <c r="H45" s="3"/>
      <c r="J45" s="3"/>
      <c r="K45" s="3"/>
      <c r="M45" s="3"/>
    </row>
    <row r="46">
      <c r="A46" s="3"/>
      <c r="C46" s="3"/>
      <c r="D46" s="3"/>
      <c r="E46" s="3"/>
      <c r="F46" s="3"/>
      <c r="G46" s="112"/>
      <c r="H46" s="3"/>
      <c r="J46" s="3"/>
      <c r="K46" s="3"/>
      <c r="M46" s="3"/>
    </row>
    <row r="47">
      <c r="A47" s="3"/>
      <c r="C47" s="3"/>
      <c r="D47" s="3"/>
      <c r="E47" s="3"/>
      <c r="F47" s="3"/>
      <c r="G47" s="112"/>
      <c r="H47" s="3"/>
      <c r="J47" s="3"/>
      <c r="K47" s="3"/>
      <c r="M47" s="3"/>
    </row>
    <row r="48">
      <c r="A48" s="3"/>
      <c r="C48" s="3"/>
      <c r="D48" s="3"/>
      <c r="E48" s="3"/>
      <c r="F48" s="3"/>
      <c r="G48" s="112"/>
      <c r="H48" s="3"/>
      <c r="J48" s="3"/>
      <c r="K48" s="3"/>
      <c r="M48" s="3"/>
    </row>
    <row r="49">
      <c r="A49" s="3"/>
      <c r="C49" s="3"/>
      <c r="D49" s="3"/>
      <c r="E49" s="3"/>
      <c r="F49" s="3"/>
      <c r="G49" s="112"/>
      <c r="H49" s="3"/>
      <c r="J49" s="3"/>
      <c r="K49" s="3"/>
      <c r="M49" s="3"/>
    </row>
    <row r="50">
      <c r="A50" s="3"/>
      <c r="C50" s="3"/>
      <c r="D50" s="3"/>
      <c r="E50" s="3"/>
      <c r="F50" s="3"/>
      <c r="G50" s="112"/>
      <c r="H50" s="3"/>
      <c r="J50" s="3"/>
      <c r="K50" s="3"/>
      <c r="M50" s="3"/>
    </row>
    <row r="51">
      <c r="A51" s="3"/>
      <c r="C51" s="3"/>
      <c r="D51" s="3"/>
      <c r="E51" s="3"/>
      <c r="F51" s="3"/>
      <c r="G51" s="112"/>
      <c r="H51" s="3"/>
      <c r="J51" s="3"/>
      <c r="K51" s="3"/>
      <c r="M51" s="3"/>
    </row>
    <row r="52">
      <c r="A52" s="3"/>
      <c r="C52" s="3"/>
      <c r="D52" s="3"/>
      <c r="E52" s="3"/>
      <c r="F52" s="3"/>
      <c r="G52" s="112"/>
      <c r="H52" s="3"/>
      <c r="J52" s="3"/>
      <c r="K52" s="3"/>
      <c r="M52" s="3"/>
    </row>
    <row r="53">
      <c r="A53" s="3"/>
      <c r="C53" s="3"/>
      <c r="D53" s="3"/>
      <c r="E53" s="3"/>
      <c r="F53" s="3"/>
      <c r="G53" s="112"/>
      <c r="H53" s="3"/>
      <c r="J53" s="3"/>
      <c r="K53" s="3"/>
      <c r="M53" s="3"/>
    </row>
    <row r="54">
      <c r="A54" s="3"/>
      <c r="C54" s="3"/>
      <c r="D54" s="3"/>
      <c r="E54" s="3"/>
      <c r="F54" s="3"/>
      <c r="G54" s="112"/>
      <c r="H54" s="3"/>
      <c r="J54" s="3"/>
      <c r="K54" s="3"/>
      <c r="M54" s="3"/>
    </row>
    <row r="55">
      <c r="A55" s="3"/>
      <c r="C55" s="3"/>
      <c r="D55" s="3"/>
      <c r="E55" s="3"/>
      <c r="F55" s="3"/>
      <c r="G55" s="112"/>
      <c r="H55" s="3"/>
      <c r="J55" s="3"/>
      <c r="K55" s="3"/>
      <c r="M55" s="3"/>
    </row>
    <row r="56">
      <c r="A56" s="3"/>
      <c r="C56" s="3"/>
      <c r="D56" s="3"/>
      <c r="E56" s="3"/>
      <c r="F56" s="3"/>
      <c r="G56" s="112"/>
      <c r="H56" s="3"/>
      <c r="J56" s="3"/>
      <c r="K56" s="3"/>
      <c r="M56" s="3"/>
    </row>
    <row r="57">
      <c r="A57" s="3"/>
      <c r="C57" s="3"/>
      <c r="D57" s="3"/>
      <c r="E57" s="3"/>
      <c r="F57" s="3"/>
      <c r="G57" s="112"/>
      <c r="H57" s="3"/>
      <c r="J57" s="3"/>
      <c r="K57" s="3"/>
      <c r="M57" s="3"/>
    </row>
    <row r="58">
      <c r="A58" s="3"/>
      <c r="C58" s="3"/>
      <c r="D58" s="3"/>
      <c r="E58" s="3"/>
      <c r="F58" s="3"/>
      <c r="G58" s="112"/>
      <c r="H58" s="3"/>
      <c r="J58" s="3"/>
      <c r="K58" s="3"/>
      <c r="M58" s="3"/>
    </row>
    <row r="59">
      <c r="A59" s="3"/>
      <c r="C59" s="3"/>
      <c r="D59" s="3"/>
      <c r="E59" s="3"/>
      <c r="F59" s="3"/>
      <c r="G59" s="112"/>
      <c r="H59" s="3"/>
      <c r="J59" s="3"/>
      <c r="K59" s="3"/>
      <c r="M59" s="3"/>
    </row>
    <row r="60">
      <c r="A60" s="3"/>
      <c r="C60" s="3"/>
      <c r="D60" s="3"/>
      <c r="E60" s="3"/>
      <c r="F60" s="3"/>
      <c r="G60" s="112"/>
      <c r="H60" s="3"/>
      <c r="J60" s="3"/>
      <c r="K60" s="3"/>
      <c r="M60" s="3"/>
    </row>
    <row r="61">
      <c r="A61" s="3"/>
      <c r="C61" s="3"/>
      <c r="D61" s="3"/>
      <c r="E61" s="3"/>
      <c r="F61" s="3"/>
      <c r="G61" s="112"/>
      <c r="H61" s="3"/>
      <c r="J61" s="3"/>
      <c r="K61" s="3"/>
      <c r="M61" s="3"/>
    </row>
    <row r="62">
      <c r="A62" s="3"/>
      <c r="C62" s="3"/>
      <c r="D62" s="3"/>
      <c r="E62" s="3"/>
      <c r="F62" s="3"/>
      <c r="G62" s="112"/>
      <c r="H62" s="3"/>
      <c r="J62" s="3"/>
      <c r="K62" s="3"/>
      <c r="M62" s="3"/>
    </row>
    <row r="63">
      <c r="A63" s="3"/>
      <c r="C63" s="3"/>
      <c r="D63" s="3"/>
      <c r="E63" s="3"/>
      <c r="F63" s="3"/>
      <c r="G63" s="112"/>
      <c r="H63" s="3"/>
      <c r="J63" s="3"/>
      <c r="K63" s="3"/>
      <c r="M63" s="3"/>
    </row>
    <row r="64">
      <c r="A64" s="3"/>
      <c r="C64" s="3"/>
      <c r="D64" s="3"/>
      <c r="E64" s="3"/>
      <c r="F64" s="3"/>
      <c r="G64" s="112"/>
      <c r="H64" s="3"/>
      <c r="J64" s="3"/>
      <c r="K64" s="3"/>
      <c r="M64" s="3"/>
    </row>
    <row r="65">
      <c r="A65" s="3"/>
      <c r="C65" s="3"/>
      <c r="D65" s="3"/>
      <c r="E65" s="3"/>
      <c r="F65" s="3"/>
      <c r="G65" s="112"/>
      <c r="H65" s="3"/>
      <c r="J65" s="3"/>
      <c r="K65" s="3"/>
      <c r="M65" s="3"/>
    </row>
    <row r="66">
      <c r="A66" s="3"/>
      <c r="C66" s="3"/>
      <c r="D66" s="3"/>
      <c r="E66" s="3"/>
      <c r="F66" s="3"/>
      <c r="G66" s="112"/>
      <c r="H66" s="3"/>
      <c r="J66" s="3"/>
      <c r="K66" s="3"/>
      <c r="M66" s="3"/>
    </row>
    <row r="67">
      <c r="A67" s="3"/>
      <c r="C67" s="3"/>
      <c r="D67" s="3"/>
      <c r="E67" s="3"/>
      <c r="F67" s="3"/>
      <c r="G67" s="112"/>
      <c r="H67" s="3"/>
      <c r="J67" s="3"/>
      <c r="K67" s="3"/>
      <c r="M67" s="3"/>
    </row>
    <row r="68">
      <c r="A68" s="3"/>
      <c r="C68" s="3"/>
      <c r="D68" s="3"/>
      <c r="E68" s="3"/>
      <c r="F68" s="3"/>
      <c r="G68" s="112"/>
      <c r="H68" s="3"/>
      <c r="J68" s="3"/>
      <c r="K68" s="3"/>
      <c r="M68" s="3"/>
    </row>
    <row r="69">
      <c r="A69" s="3"/>
      <c r="C69" s="3"/>
      <c r="D69" s="3"/>
      <c r="E69" s="3"/>
      <c r="F69" s="3"/>
      <c r="G69" s="112"/>
      <c r="H69" s="3"/>
      <c r="J69" s="3"/>
      <c r="K69" s="3"/>
      <c r="M69" s="3"/>
    </row>
    <row r="70">
      <c r="A70" s="3"/>
      <c r="C70" s="3"/>
      <c r="D70" s="3"/>
      <c r="E70" s="3"/>
      <c r="F70" s="3"/>
      <c r="G70" s="112"/>
      <c r="H70" s="3"/>
      <c r="J70" s="3"/>
      <c r="K70" s="3"/>
      <c r="M70" s="3"/>
    </row>
    <row r="71">
      <c r="A71" s="3"/>
      <c r="C71" s="3"/>
      <c r="D71" s="3"/>
      <c r="E71" s="3"/>
      <c r="F71" s="3"/>
      <c r="G71" s="112"/>
      <c r="H71" s="3"/>
      <c r="J71" s="3"/>
      <c r="K71" s="3"/>
      <c r="M71" s="3"/>
    </row>
    <row r="72">
      <c r="A72" s="3"/>
      <c r="C72" s="3"/>
      <c r="D72" s="3"/>
      <c r="E72" s="3"/>
      <c r="F72" s="3"/>
      <c r="G72" s="112"/>
      <c r="H72" s="3"/>
      <c r="J72" s="3"/>
      <c r="K72" s="3"/>
      <c r="M72" s="3"/>
    </row>
    <row r="73">
      <c r="A73" s="3"/>
      <c r="C73" s="3"/>
      <c r="D73" s="3"/>
      <c r="E73" s="3"/>
      <c r="F73" s="3"/>
      <c r="G73" s="112"/>
      <c r="H73" s="3"/>
      <c r="J73" s="3"/>
      <c r="K73" s="3"/>
      <c r="M73" s="3"/>
    </row>
    <row r="74">
      <c r="A74" s="3"/>
      <c r="C74" s="3"/>
      <c r="D74" s="3"/>
      <c r="E74" s="3"/>
      <c r="F74" s="3"/>
      <c r="G74" s="112"/>
      <c r="H74" s="3"/>
      <c r="J74" s="3"/>
      <c r="K74" s="3"/>
      <c r="M74" s="3"/>
    </row>
    <row r="75">
      <c r="A75" s="3"/>
      <c r="C75" s="3"/>
      <c r="D75" s="3"/>
      <c r="E75" s="3"/>
      <c r="F75" s="3"/>
      <c r="G75" s="112"/>
      <c r="H75" s="3"/>
      <c r="J75" s="3"/>
      <c r="K75" s="3"/>
      <c r="M75" s="3"/>
    </row>
    <row r="76">
      <c r="A76" s="3"/>
      <c r="C76" s="3"/>
      <c r="D76" s="3"/>
      <c r="E76" s="3"/>
      <c r="F76" s="3"/>
      <c r="G76" s="112"/>
      <c r="H76" s="3"/>
      <c r="J76" s="3"/>
      <c r="K76" s="3"/>
      <c r="M76" s="3"/>
    </row>
    <row r="77">
      <c r="A77" s="3"/>
      <c r="C77" s="3"/>
      <c r="D77" s="3"/>
      <c r="E77" s="3"/>
      <c r="F77" s="3"/>
      <c r="G77" s="112"/>
      <c r="H77" s="3"/>
      <c r="J77" s="3"/>
      <c r="K77" s="3"/>
      <c r="M77" s="3"/>
    </row>
    <row r="78">
      <c r="A78" s="3"/>
      <c r="C78" s="3"/>
      <c r="D78" s="3"/>
      <c r="E78" s="3"/>
      <c r="F78" s="3"/>
      <c r="G78" s="112"/>
      <c r="H78" s="3"/>
      <c r="J78" s="3"/>
      <c r="K78" s="3"/>
      <c r="M78" s="3"/>
    </row>
    <row r="79">
      <c r="A79" s="3"/>
      <c r="C79" s="3"/>
      <c r="D79" s="3"/>
      <c r="E79" s="3"/>
      <c r="F79" s="3"/>
      <c r="G79" s="112"/>
      <c r="H79" s="3"/>
      <c r="J79" s="3"/>
      <c r="K79" s="3"/>
      <c r="M79" s="3"/>
    </row>
    <row r="80">
      <c r="A80" s="3"/>
      <c r="C80" s="3"/>
      <c r="D80" s="3"/>
      <c r="E80" s="3"/>
      <c r="F80" s="3"/>
      <c r="G80" s="112"/>
      <c r="H80" s="3"/>
      <c r="J80" s="3"/>
      <c r="K80" s="3"/>
      <c r="M80" s="3"/>
    </row>
    <row r="81">
      <c r="A81" s="3"/>
      <c r="C81" s="3"/>
      <c r="D81" s="3"/>
      <c r="E81" s="3"/>
      <c r="F81" s="3"/>
      <c r="G81" s="112"/>
      <c r="H81" s="3"/>
      <c r="J81" s="3"/>
      <c r="K81" s="3"/>
      <c r="M81" s="3"/>
    </row>
    <row r="82">
      <c r="A82" s="3"/>
      <c r="C82" s="3"/>
      <c r="D82" s="3"/>
      <c r="E82" s="3"/>
      <c r="F82" s="3"/>
      <c r="G82" s="112"/>
      <c r="H82" s="3"/>
      <c r="J82" s="3"/>
      <c r="K82" s="3"/>
      <c r="M82" s="3"/>
    </row>
    <row r="83">
      <c r="A83" s="3"/>
      <c r="C83" s="3"/>
      <c r="D83" s="3"/>
      <c r="E83" s="3"/>
      <c r="F83" s="3"/>
      <c r="G83" s="112"/>
      <c r="H83" s="3"/>
      <c r="J83" s="3"/>
      <c r="K83" s="3"/>
      <c r="M83" s="3"/>
    </row>
    <row r="84">
      <c r="A84" s="3"/>
      <c r="C84" s="3"/>
      <c r="D84" s="3"/>
      <c r="E84" s="3"/>
      <c r="F84" s="3"/>
      <c r="G84" s="112"/>
      <c r="H84" s="3"/>
      <c r="J84" s="3"/>
      <c r="K84" s="3"/>
      <c r="M84" s="3"/>
    </row>
    <row r="85">
      <c r="A85" s="3"/>
      <c r="C85" s="3"/>
      <c r="D85" s="3"/>
      <c r="E85" s="3"/>
      <c r="F85" s="3"/>
      <c r="G85" s="112"/>
      <c r="H85" s="3"/>
      <c r="J85" s="3"/>
      <c r="K85" s="3"/>
      <c r="M85" s="3"/>
    </row>
    <row r="86">
      <c r="A86" s="3"/>
      <c r="C86" s="3"/>
      <c r="D86" s="3"/>
      <c r="E86" s="3"/>
      <c r="F86" s="3"/>
      <c r="G86" s="112"/>
      <c r="H86" s="3"/>
      <c r="J86" s="3"/>
      <c r="K86" s="3"/>
      <c r="M86" s="3"/>
    </row>
    <row r="87">
      <c r="A87" s="3"/>
      <c r="C87" s="3"/>
      <c r="D87" s="3"/>
      <c r="E87" s="3"/>
      <c r="F87" s="3"/>
      <c r="G87" s="112"/>
      <c r="H87" s="3"/>
      <c r="J87" s="3"/>
      <c r="K87" s="3"/>
      <c r="M87" s="3"/>
    </row>
    <row r="88">
      <c r="A88" s="3"/>
      <c r="C88" s="3"/>
      <c r="D88" s="3"/>
      <c r="E88" s="3"/>
      <c r="F88" s="3"/>
      <c r="G88" s="112"/>
      <c r="H88" s="3"/>
      <c r="J88" s="3"/>
      <c r="K88" s="3"/>
      <c r="M88" s="3"/>
    </row>
    <row r="89">
      <c r="A89" s="3"/>
      <c r="C89" s="3"/>
      <c r="D89" s="3"/>
      <c r="E89" s="3"/>
      <c r="F89" s="3"/>
      <c r="G89" s="112"/>
      <c r="H89" s="3"/>
      <c r="J89" s="3"/>
      <c r="K89" s="3"/>
      <c r="M89" s="3"/>
    </row>
    <row r="90">
      <c r="A90" s="3"/>
      <c r="C90" s="3"/>
      <c r="D90" s="3"/>
      <c r="E90" s="3"/>
      <c r="F90" s="3"/>
      <c r="G90" s="112"/>
      <c r="H90" s="3"/>
      <c r="J90" s="3"/>
      <c r="K90" s="3"/>
      <c r="M90" s="3"/>
    </row>
    <row r="91">
      <c r="A91" s="3"/>
      <c r="C91" s="3"/>
      <c r="D91" s="3"/>
      <c r="E91" s="3"/>
      <c r="F91" s="3"/>
      <c r="G91" s="112"/>
      <c r="H91" s="3"/>
      <c r="J91" s="3"/>
      <c r="K91" s="3"/>
      <c r="M91" s="3"/>
    </row>
    <row r="92">
      <c r="A92" s="3"/>
      <c r="C92" s="3"/>
      <c r="D92" s="3"/>
      <c r="E92" s="3"/>
      <c r="F92" s="3"/>
      <c r="G92" s="112"/>
      <c r="H92" s="3"/>
      <c r="J92" s="3"/>
      <c r="K92" s="3"/>
      <c r="M92" s="3"/>
    </row>
    <row r="93">
      <c r="A93" s="3"/>
      <c r="C93" s="3"/>
      <c r="D93" s="3"/>
      <c r="E93" s="3"/>
      <c r="F93" s="3"/>
      <c r="G93" s="112"/>
      <c r="H93" s="3"/>
      <c r="J93" s="3"/>
      <c r="K93" s="3"/>
      <c r="M93" s="3"/>
    </row>
    <row r="94">
      <c r="A94" s="3"/>
      <c r="C94" s="3"/>
      <c r="D94" s="3"/>
      <c r="E94" s="3"/>
      <c r="F94" s="3"/>
      <c r="G94" s="112"/>
      <c r="H94" s="3"/>
      <c r="J94" s="3"/>
      <c r="K94" s="3"/>
      <c r="M94" s="3"/>
    </row>
    <row r="95">
      <c r="A95" s="3"/>
      <c r="C95" s="3"/>
      <c r="D95" s="3"/>
      <c r="E95" s="3"/>
      <c r="F95" s="3"/>
      <c r="G95" s="112"/>
      <c r="H95" s="3"/>
      <c r="J95" s="3"/>
      <c r="K95" s="3"/>
      <c r="M95" s="3"/>
    </row>
    <row r="96">
      <c r="A96" s="3"/>
      <c r="C96" s="3"/>
      <c r="D96" s="3"/>
      <c r="E96" s="3"/>
      <c r="F96" s="3"/>
      <c r="G96" s="112"/>
      <c r="H96" s="3"/>
      <c r="J96" s="3"/>
      <c r="K96" s="3"/>
      <c r="M96" s="3"/>
    </row>
    <row r="97">
      <c r="A97" s="3"/>
      <c r="C97" s="3"/>
      <c r="D97" s="3"/>
      <c r="E97" s="3"/>
      <c r="F97" s="3"/>
      <c r="G97" s="112"/>
      <c r="H97" s="3"/>
      <c r="J97" s="3"/>
      <c r="K97" s="3"/>
      <c r="M97" s="3"/>
    </row>
    <row r="98">
      <c r="A98" s="3"/>
      <c r="C98" s="3"/>
      <c r="D98" s="3"/>
      <c r="E98" s="3"/>
      <c r="F98" s="3"/>
      <c r="G98" s="112"/>
      <c r="H98" s="3"/>
      <c r="J98" s="3"/>
      <c r="K98" s="3"/>
      <c r="M98" s="3"/>
    </row>
    <row r="99">
      <c r="A99" s="3"/>
      <c r="C99" s="3"/>
      <c r="D99" s="3"/>
      <c r="E99" s="3"/>
      <c r="F99" s="3"/>
      <c r="G99" s="112"/>
      <c r="H99" s="3"/>
      <c r="J99" s="3"/>
      <c r="K99" s="3"/>
      <c r="M99" s="3"/>
    </row>
    <row r="100">
      <c r="A100" s="3"/>
      <c r="C100" s="3"/>
      <c r="D100" s="3"/>
      <c r="E100" s="3"/>
      <c r="F100" s="3"/>
      <c r="G100" s="112"/>
      <c r="H100" s="3"/>
      <c r="J100" s="3"/>
      <c r="K100" s="3"/>
      <c r="M100" s="3"/>
    </row>
    <row r="101">
      <c r="A101" s="3"/>
      <c r="C101" s="3"/>
      <c r="D101" s="3"/>
      <c r="E101" s="3"/>
      <c r="F101" s="3"/>
      <c r="G101" s="112"/>
      <c r="H101" s="3"/>
      <c r="J101" s="3"/>
      <c r="K101" s="3"/>
      <c r="M101" s="3"/>
    </row>
    <row r="102">
      <c r="A102" s="3"/>
      <c r="C102" s="3"/>
      <c r="D102" s="3"/>
      <c r="E102" s="3"/>
      <c r="F102" s="3"/>
      <c r="G102" s="112"/>
      <c r="H102" s="3"/>
      <c r="J102" s="3"/>
      <c r="K102" s="3"/>
      <c r="M102" s="3"/>
    </row>
    <row r="103">
      <c r="A103" s="3"/>
      <c r="C103" s="3"/>
      <c r="D103" s="3"/>
      <c r="E103" s="3"/>
      <c r="F103" s="3"/>
      <c r="G103" s="112"/>
      <c r="H103" s="3"/>
      <c r="J103" s="3"/>
      <c r="K103" s="3"/>
      <c r="M103" s="3"/>
    </row>
    <row r="104">
      <c r="A104" s="3"/>
      <c r="C104" s="3"/>
      <c r="D104" s="3"/>
      <c r="E104" s="3"/>
      <c r="F104" s="3"/>
      <c r="G104" s="112"/>
      <c r="H104" s="3"/>
      <c r="J104" s="3"/>
      <c r="K104" s="3"/>
      <c r="M104" s="3"/>
    </row>
    <row r="105">
      <c r="A105" s="3"/>
      <c r="C105" s="3"/>
      <c r="D105" s="3"/>
      <c r="E105" s="3"/>
      <c r="F105" s="3"/>
      <c r="G105" s="112"/>
      <c r="H105" s="3"/>
      <c r="J105" s="3"/>
      <c r="K105" s="3"/>
      <c r="M105" s="3"/>
    </row>
    <row r="106">
      <c r="A106" s="3"/>
      <c r="C106" s="3"/>
      <c r="D106" s="3"/>
      <c r="E106" s="3"/>
      <c r="F106" s="3"/>
      <c r="G106" s="112"/>
      <c r="H106" s="3"/>
      <c r="J106" s="3"/>
      <c r="K106" s="3"/>
      <c r="M106" s="3"/>
    </row>
    <row r="107">
      <c r="A107" s="3"/>
      <c r="C107" s="3"/>
      <c r="D107" s="3"/>
      <c r="E107" s="3"/>
      <c r="F107" s="3"/>
      <c r="G107" s="112"/>
      <c r="H107" s="3"/>
      <c r="J107" s="3"/>
      <c r="K107" s="3"/>
      <c r="M107" s="3"/>
    </row>
    <row r="108">
      <c r="A108" s="3"/>
      <c r="C108" s="3"/>
      <c r="D108" s="3"/>
      <c r="E108" s="3"/>
      <c r="F108" s="3"/>
      <c r="G108" s="112"/>
      <c r="H108" s="3"/>
      <c r="J108" s="3"/>
      <c r="K108" s="3"/>
      <c r="M108" s="3"/>
    </row>
    <row r="109">
      <c r="A109" s="3"/>
      <c r="C109" s="3"/>
      <c r="D109" s="3"/>
      <c r="E109" s="3"/>
      <c r="F109" s="3"/>
      <c r="G109" s="112"/>
      <c r="H109" s="3"/>
      <c r="J109" s="3"/>
      <c r="K109" s="3"/>
      <c r="M109" s="3"/>
    </row>
    <row r="110">
      <c r="A110" s="3"/>
      <c r="C110" s="3"/>
      <c r="D110" s="3"/>
      <c r="E110" s="3"/>
      <c r="F110" s="3"/>
      <c r="G110" s="112"/>
      <c r="H110" s="3"/>
      <c r="J110" s="3"/>
      <c r="K110" s="3"/>
      <c r="M110" s="3"/>
    </row>
    <row r="111">
      <c r="A111" s="3"/>
      <c r="C111" s="3"/>
      <c r="D111" s="3"/>
      <c r="E111" s="3"/>
      <c r="F111" s="3"/>
      <c r="G111" s="112"/>
      <c r="H111" s="3"/>
      <c r="J111" s="3"/>
      <c r="K111" s="3"/>
      <c r="M111" s="3"/>
    </row>
    <row r="112">
      <c r="A112" s="3"/>
      <c r="C112" s="3"/>
      <c r="D112" s="3"/>
      <c r="E112" s="3"/>
      <c r="F112" s="3"/>
      <c r="G112" s="112"/>
      <c r="H112" s="3"/>
      <c r="J112" s="3"/>
      <c r="K112" s="3"/>
      <c r="M112" s="3"/>
    </row>
    <row r="113">
      <c r="A113" s="3"/>
      <c r="C113" s="3"/>
      <c r="D113" s="3"/>
      <c r="E113" s="3"/>
      <c r="F113" s="3"/>
      <c r="G113" s="112"/>
      <c r="H113" s="3"/>
      <c r="J113" s="3"/>
      <c r="K113" s="3"/>
      <c r="M113" s="3"/>
    </row>
    <row r="114">
      <c r="A114" s="3"/>
      <c r="C114" s="3"/>
      <c r="D114" s="3"/>
      <c r="E114" s="3"/>
      <c r="F114" s="3"/>
      <c r="G114" s="112"/>
      <c r="H114" s="3"/>
      <c r="J114" s="3"/>
      <c r="K114" s="3"/>
      <c r="M114" s="3"/>
    </row>
    <row r="115">
      <c r="A115" s="3"/>
      <c r="C115" s="3"/>
      <c r="D115" s="3"/>
      <c r="E115" s="3"/>
      <c r="F115" s="3"/>
      <c r="G115" s="112"/>
      <c r="H115" s="3"/>
      <c r="J115" s="3"/>
      <c r="K115" s="3"/>
      <c r="M115" s="3"/>
    </row>
    <row r="116">
      <c r="A116" s="3"/>
      <c r="C116" s="3"/>
      <c r="D116" s="3"/>
      <c r="E116" s="3"/>
      <c r="F116" s="3"/>
      <c r="G116" s="112"/>
      <c r="H116" s="3"/>
      <c r="J116" s="3"/>
      <c r="K116" s="3"/>
      <c r="M116" s="3"/>
    </row>
    <row r="117">
      <c r="A117" s="3"/>
      <c r="C117" s="3"/>
      <c r="D117" s="3"/>
      <c r="E117" s="3"/>
      <c r="F117" s="3"/>
      <c r="G117" s="112"/>
      <c r="H117" s="3"/>
      <c r="J117" s="3"/>
      <c r="K117" s="3"/>
      <c r="M117" s="3"/>
    </row>
    <row r="118">
      <c r="A118" s="3"/>
      <c r="C118" s="3"/>
      <c r="D118" s="3"/>
      <c r="E118" s="3"/>
      <c r="F118" s="3"/>
      <c r="G118" s="112"/>
      <c r="H118" s="3"/>
      <c r="J118" s="3"/>
      <c r="K118" s="3"/>
      <c r="M118" s="3"/>
    </row>
    <row r="119">
      <c r="A119" s="3"/>
      <c r="C119" s="3"/>
      <c r="D119" s="3"/>
      <c r="E119" s="3"/>
      <c r="F119" s="3"/>
      <c r="G119" s="112"/>
      <c r="H119" s="3"/>
      <c r="J119" s="3"/>
      <c r="K119" s="3"/>
      <c r="M119" s="3"/>
    </row>
    <row r="120">
      <c r="A120" s="3"/>
      <c r="C120" s="3"/>
      <c r="D120" s="3"/>
      <c r="E120" s="3"/>
      <c r="F120" s="3"/>
      <c r="G120" s="112"/>
      <c r="H120" s="3"/>
      <c r="J120" s="3"/>
      <c r="K120" s="3"/>
      <c r="M120" s="3"/>
    </row>
    <row r="121">
      <c r="A121" s="3"/>
      <c r="C121" s="3"/>
      <c r="D121" s="3"/>
      <c r="E121" s="3"/>
      <c r="F121" s="3"/>
      <c r="G121" s="112"/>
      <c r="H121" s="3"/>
      <c r="J121" s="3"/>
      <c r="K121" s="3"/>
      <c r="M121" s="3"/>
    </row>
    <row r="122">
      <c r="A122" s="3"/>
      <c r="C122" s="3"/>
      <c r="D122" s="3"/>
      <c r="E122" s="3"/>
      <c r="F122" s="3"/>
      <c r="G122" s="112"/>
      <c r="H122" s="3"/>
      <c r="J122" s="3"/>
      <c r="K122" s="3"/>
      <c r="M122" s="3"/>
    </row>
    <row r="123">
      <c r="A123" s="3"/>
      <c r="C123" s="3"/>
      <c r="D123" s="3"/>
      <c r="E123" s="3"/>
      <c r="F123" s="3"/>
      <c r="G123" s="112"/>
      <c r="H123" s="3"/>
      <c r="J123" s="3"/>
      <c r="K123" s="3"/>
      <c r="M123" s="3"/>
    </row>
    <row r="124">
      <c r="A124" s="3"/>
      <c r="C124" s="3"/>
      <c r="D124" s="3"/>
      <c r="E124" s="3"/>
      <c r="F124" s="3"/>
      <c r="G124" s="112"/>
      <c r="H124" s="3"/>
      <c r="J124" s="3"/>
      <c r="K124" s="3"/>
      <c r="M124" s="3"/>
    </row>
    <row r="125">
      <c r="A125" s="3"/>
      <c r="C125" s="3"/>
      <c r="D125" s="3"/>
      <c r="E125" s="3"/>
      <c r="F125" s="3"/>
      <c r="G125" s="112"/>
      <c r="H125" s="3"/>
      <c r="J125" s="3"/>
      <c r="K125" s="3"/>
      <c r="M125" s="3"/>
    </row>
    <row r="126">
      <c r="A126" s="3"/>
      <c r="C126" s="3"/>
      <c r="D126" s="3"/>
      <c r="E126" s="3"/>
      <c r="F126" s="3"/>
      <c r="G126" s="112"/>
      <c r="H126" s="3"/>
      <c r="J126" s="3"/>
      <c r="K126" s="3"/>
      <c r="M126" s="3"/>
    </row>
    <row r="127">
      <c r="A127" s="3"/>
      <c r="C127" s="3"/>
      <c r="D127" s="3"/>
      <c r="E127" s="3"/>
      <c r="F127" s="3"/>
      <c r="G127" s="112"/>
      <c r="H127" s="3"/>
      <c r="J127" s="3"/>
      <c r="K127" s="3"/>
      <c r="M127" s="3"/>
    </row>
    <row r="128">
      <c r="A128" s="3"/>
      <c r="C128" s="3"/>
      <c r="D128" s="3"/>
      <c r="E128" s="3"/>
      <c r="F128" s="3"/>
      <c r="G128" s="112"/>
      <c r="H128" s="3"/>
      <c r="J128" s="3"/>
      <c r="K128" s="3"/>
      <c r="M128" s="3"/>
    </row>
    <row r="129">
      <c r="A129" s="3"/>
      <c r="C129" s="3"/>
      <c r="D129" s="3"/>
      <c r="E129" s="3"/>
      <c r="F129" s="3"/>
      <c r="G129" s="112"/>
      <c r="H129" s="3"/>
      <c r="J129" s="3"/>
      <c r="K129" s="3"/>
      <c r="M129" s="3"/>
    </row>
    <row r="130">
      <c r="A130" s="3"/>
      <c r="C130" s="3"/>
      <c r="D130" s="3"/>
      <c r="E130" s="3"/>
      <c r="F130" s="3"/>
      <c r="G130" s="112"/>
      <c r="H130" s="3"/>
      <c r="J130" s="3"/>
      <c r="K130" s="3"/>
      <c r="M130" s="3"/>
    </row>
    <row r="131">
      <c r="A131" s="3"/>
      <c r="C131" s="3"/>
      <c r="D131" s="3"/>
      <c r="E131" s="3"/>
      <c r="F131" s="3"/>
      <c r="G131" s="112"/>
      <c r="H131" s="3"/>
      <c r="J131" s="3"/>
      <c r="K131" s="3"/>
      <c r="M131" s="3"/>
    </row>
    <row r="132">
      <c r="A132" s="3"/>
      <c r="C132" s="3"/>
      <c r="D132" s="3"/>
      <c r="E132" s="3"/>
      <c r="F132" s="3"/>
      <c r="G132" s="112"/>
      <c r="H132" s="3"/>
      <c r="J132" s="3"/>
      <c r="K132" s="3"/>
      <c r="M132" s="3"/>
    </row>
    <row r="133">
      <c r="A133" s="3"/>
      <c r="C133" s="3"/>
      <c r="D133" s="3"/>
      <c r="E133" s="3"/>
      <c r="F133" s="3"/>
      <c r="G133" s="112"/>
      <c r="H133" s="3"/>
      <c r="J133" s="3"/>
      <c r="K133" s="3"/>
      <c r="M133" s="3"/>
    </row>
    <row r="134">
      <c r="A134" s="3"/>
      <c r="C134" s="3"/>
      <c r="D134" s="3"/>
      <c r="E134" s="3"/>
      <c r="F134" s="3"/>
      <c r="G134" s="112"/>
      <c r="H134" s="3"/>
      <c r="J134" s="3"/>
      <c r="K134" s="3"/>
      <c r="M134" s="3"/>
    </row>
    <row r="135">
      <c r="A135" s="3"/>
      <c r="C135" s="3"/>
      <c r="D135" s="3"/>
      <c r="E135" s="3"/>
      <c r="F135" s="3"/>
      <c r="G135" s="112"/>
      <c r="H135" s="3"/>
      <c r="J135" s="3"/>
      <c r="K135" s="3"/>
      <c r="M135" s="3"/>
    </row>
    <row r="136">
      <c r="A136" s="3"/>
      <c r="C136" s="3"/>
      <c r="D136" s="3"/>
      <c r="E136" s="3"/>
      <c r="F136" s="3"/>
      <c r="G136" s="112"/>
      <c r="H136" s="3"/>
      <c r="J136" s="3"/>
      <c r="K136" s="3"/>
      <c r="M136" s="3"/>
    </row>
    <row r="137">
      <c r="A137" s="3"/>
      <c r="C137" s="3"/>
      <c r="D137" s="3"/>
      <c r="E137" s="3"/>
      <c r="F137" s="3"/>
      <c r="G137" s="112"/>
      <c r="H137" s="3"/>
      <c r="J137" s="3"/>
      <c r="K137" s="3"/>
      <c r="M137" s="3"/>
    </row>
    <row r="138">
      <c r="A138" s="3"/>
      <c r="C138" s="3"/>
      <c r="D138" s="3"/>
      <c r="E138" s="3"/>
      <c r="F138" s="3"/>
      <c r="G138" s="112"/>
      <c r="H138" s="3"/>
      <c r="J138" s="3"/>
      <c r="K138" s="3"/>
      <c r="M138" s="3"/>
    </row>
    <row r="139">
      <c r="A139" s="3"/>
      <c r="C139" s="3"/>
      <c r="D139" s="3"/>
      <c r="E139" s="3"/>
      <c r="F139" s="3"/>
      <c r="G139" s="112"/>
      <c r="H139" s="3"/>
      <c r="J139" s="3"/>
      <c r="K139" s="3"/>
      <c r="M139" s="3"/>
    </row>
    <row r="140">
      <c r="A140" s="3"/>
      <c r="C140" s="3"/>
      <c r="D140" s="3"/>
      <c r="E140" s="3"/>
      <c r="F140" s="3"/>
      <c r="G140" s="112"/>
      <c r="H140" s="3"/>
      <c r="J140" s="3"/>
      <c r="K140" s="3"/>
      <c r="M140" s="3"/>
    </row>
    <row r="141">
      <c r="A141" s="3"/>
      <c r="C141" s="3"/>
      <c r="D141" s="3"/>
      <c r="E141" s="3"/>
      <c r="F141" s="3"/>
      <c r="G141" s="112"/>
      <c r="H141" s="3"/>
      <c r="J141" s="3"/>
      <c r="K141" s="3"/>
      <c r="M141" s="3"/>
    </row>
    <row r="142">
      <c r="A142" s="3"/>
      <c r="C142" s="3"/>
      <c r="D142" s="3"/>
      <c r="E142" s="3"/>
      <c r="F142" s="3"/>
      <c r="G142" s="112"/>
      <c r="H142" s="3"/>
      <c r="J142" s="3"/>
      <c r="K142" s="3"/>
      <c r="M142" s="3"/>
    </row>
    <row r="143">
      <c r="A143" s="3"/>
      <c r="C143" s="3"/>
      <c r="D143" s="3"/>
      <c r="E143" s="3"/>
      <c r="F143" s="3"/>
      <c r="G143" s="112"/>
      <c r="H143" s="3"/>
      <c r="J143" s="3"/>
      <c r="K143" s="3"/>
      <c r="M143" s="3"/>
    </row>
    <row r="144">
      <c r="A144" s="3"/>
      <c r="C144" s="3"/>
      <c r="D144" s="3"/>
      <c r="E144" s="3"/>
      <c r="F144" s="3"/>
      <c r="G144" s="112"/>
      <c r="H144" s="3"/>
      <c r="J144" s="3"/>
      <c r="K144" s="3"/>
      <c r="M144" s="3"/>
    </row>
    <row r="145">
      <c r="A145" s="3"/>
      <c r="C145" s="3"/>
      <c r="D145" s="3"/>
      <c r="E145" s="3"/>
      <c r="F145" s="3"/>
      <c r="G145" s="112"/>
      <c r="H145" s="3"/>
      <c r="J145" s="3"/>
      <c r="K145" s="3"/>
      <c r="M145" s="3"/>
    </row>
    <row r="146">
      <c r="A146" s="3"/>
      <c r="C146" s="3"/>
      <c r="D146" s="3"/>
      <c r="E146" s="3"/>
      <c r="F146" s="3"/>
      <c r="G146" s="112"/>
      <c r="H146" s="3"/>
      <c r="J146" s="3"/>
      <c r="K146" s="3"/>
      <c r="M146" s="3"/>
    </row>
    <row r="147">
      <c r="A147" s="3"/>
      <c r="C147" s="3"/>
      <c r="D147" s="3"/>
      <c r="E147" s="3"/>
      <c r="F147" s="3"/>
      <c r="G147" s="112"/>
      <c r="H147" s="3"/>
      <c r="J147" s="3"/>
      <c r="K147" s="3"/>
      <c r="M147" s="3"/>
    </row>
    <row r="148">
      <c r="A148" s="3"/>
      <c r="C148" s="3"/>
      <c r="D148" s="3"/>
      <c r="E148" s="3"/>
      <c r="F148" s="3"/>
      <c r="G148" s="112"/>
      <c r="H148" s="3"/>
      <c r="J148" s="3"/>
      <c r="K148" s="3"/>
      <c r="M148" s="3"/>
    </row>
    <row r="149">
      <c r="A149" s="3"/>
      <c r="C149" s="3"/>
      <c r="D149" s="3"/>
      <c r="E149" s="3"/>
      <c r="F149" s="3"/>
      <c r="G149" s="112"/>
      <c r="H149" s="3"/>
      <c r="J149" s="3"/>
      <c r="K149" s="3"/>
      <c r="M149" s="3"/>
    </row>
    <row r="150">
      <c r="A150" s="3"/>
      <c r="C150" s="3"/>
      <c r="D150" s="3"/>
      <c r="E150" s="3"/>
      <c r="F150" s="3"/>
      <c r="G150" s="112"/>
      <c r="H150" s="3"/>
      <c r="J150" s="3"/>
      <c r="K150" s="3"/>
      <c r="M150" s="3"/>
    </row>
    <row r="151">
      <c r="A151" s="3"/>
      <c r="C151" s="3"/>
      <c r="D151" s="3"/>
      <c r="E151" s="3"/>
      <c r="F151" s="3"/>
      <c r="G151" s="112"/>
      <c r="H151" s="3"/>
      <c r="J151" s="3"/>
      <c r="K151" s="3"/>
      <c r="M151" s="3"/>
    </row>
    <row r="152">
      <c r="A152" s="3"/>
      <c r="C152" s="3"/>
      <c r="D152" s="3"/>
      <c r="E152" s="3"/>
      <c r="F152" s="3"/>
      <c r="G152" s="112"/>
      <c r="H152" s="3"/>
      <c r="J152" s="3"/>
      <c r="K152" s="3"/>
      <c r="M152" s="3"/>
    </row>
    <row r="153">
      <c r="A153" s="3"/>
      <c r="C153" s="3"/>
      <c r="D153" s="3"/>
      <c r="E153" s="3"/>
      <c r="F153" s="3"/>
      <c r="G153" s="112"/>
      <c r="H153" s="3"/>
      <c r="J153" s="3"/>
      <c r="K153" s="3"/>
      <c r="M153" s="3"/>
    </row>
    <row r="154">
      <c r="A154" s="3"/>
      <c r="C154" s="3"/>
      <c r="D154" s="3"/>
      <c r="E154" s="3"/>
      <c r="F154" s="3"/>
      <c r="G154" s="112"/>
      <c r="H154" s="3"/>
      <c r="J154" s="3"/>
      <c r="K154" s="3"/>
      <c r="M154" s="3"/>
    </row>
    <row r="155">
      <c r="A155" s="3"/>
      <c r="C155" s="3"/>
      <c r="D155" s="3"/>
      <c r="E155" s="3"/>
      <c r="F155" s="3"/>
      <c r="G155" s="112"/>
      <c r="H155" s="3"/>
      <c r="J155" s="3"/>
      <c r="K155" s="3"/>
      <c r="M155" s="3"/>
    </row>
    <row r="156">
      <c r="A156" s="3"/>
      <c r="C156" s="3"/>
      <c r="D156" s="3"/>
      <c r="E156" s="3"/>
      <c r="F156" s="3"/>
      <c r="G156" s="112"/>
      <c r="H156" s="3"/>
      <c r="J156" s="3"/>
      <c r="K156" s="3"/>
      <c r="M156" s="3"/>
    </row>
    <row r="157">
      <c r="A157" s="3"/>
      <c r="C157" s="3"/>
      <c r="D157" s="3"/>
      <c r="E157" s="3"/>
      <c r="F157" s="3"/>
      <c r="G157" s="112"/>
      <c r="H157" s="3"/>
      <c r="J157" s="3"/>
      <c r="K157" s="3"/>
      <c r="M157" s="3"/>
    </row>
    <row r="158">
      <c r="A158" s="3"/>
      <c r="C158" s="3"/>
      <c r="D158" s="3"/>
      <c r="E158" s="3"/>
      <c r="F158" s="3"/>
      <c r="G158" s="112"/>
      <c r="H158" s="3"/>
      <c r="J158" s="3"/>
      <c r="K158" s="3"/>
      <c r="M158" s="3"/>
    </row>
    <row r="159">
      <c r="A159" s="3"/>
      <c r="C159" s="3"/>
      <c r="D159" s="3"/>
      <c r="E159" s="3"/>
      <c r="F159" s="3"/>
      <c r="G159" s="112"/>
      <c r="H159" s="3"/>
      <c r="J159" s="3"/>
      <c r="K159" s="3"/>
      <c r="M159" s="3"/>
    </row>
    <row r="160">
      <c r="A160" s="3"/>
      <c r="C160" s="3"/>
      <c r="D160" s="3"/>
      <c r="E160" s="3"/>
      <c r="F160" s="3"/>
      <c r="G160" s="112"/>
      <c r="H160" s="3"/>
      <c r="J160" s="3"/>
      <c r="K160" s="3"/>
      <c r="M160" s="3"/>
    </row>
    <row r="161">
      <c r="A161" s="3"/>
      <c r="C161" s="3"/>
      <c r="D161" s="3"/>
      <c r="E161" s="3"/>
      <c r="F161" s="3"/>
      <c r="G161" s="112"/>
      <c r="H161" s="3"/>
      <c r="J161" s="3"/>
      <c r="K161" s="3"/>
      <c r="M161" s="3"/>
    </row>
    <row r="162">
      <c r="A162" s="3"/>
      <c r="C162" s="3"/>
      <c r="D162" s="3"/>
      <c r="E162" s="3"/>
      <c r="F162" s="3"/>
      <c r="G162" s="112"/>
      <c r="H162" s="3"/>
      <c r="J162" s="3"/>
      <c r="K162" s="3"/>
      <c r="M162" s="3"/>
    </row>
    <row r="163">
      <c r="A163" s="3"/>
      <c r="C163" s="3"/>
      <c r="D163" s="3"/>
      <c r="E163" s="3"/>
      <c r="F163" s="3"/>
      <c r="G163" s="112"/>
      <c r="H163" s="3"/>
      <c r="J163" s="3"/>
      <c r="K163" s="3"/>
      <c r="M163" s="3"/>
    </row>
    <row r="164">
      <c r="A164" s="3"/>
      <c r="C164" s="3"/>
      <c r="D164" s="3"/>
      <c r="E164" s="3"/>
      <c r="F164" s="3"/>
      <c r="G164" s="112"/>
      <c r="H164" s="3"/>
      <c r="J164" s="3"/>
      <c r="K164" s="3"/>
      <c r="M164" s="3"/>
    </row>
    <row r="165">
      <c r="A165" s="3"/>
      <c r="C165" s="3"/>
      <c r="D165" s="3"/>
      <c r="E165" s="3"/>
      <c r="F165" s="3"/>
      <c r="G165" s="112"/>
      <c r="H165" s="3"/>
      <c r="J165" s="3"/>
      <c r="K165" s="3"/>
      <c r="M165" s="3"/>
    </row>
    <row r="166">
      <c r="A166" s="3"/>
      <c r="C166" s="3"/>
      <c r="D166" s="3"/>
      <c r="E166" s="3"/>
      <c r="F166" s="3"/>
      <c r="G166" s="112"/>
      <c r="H166" s="3"/>
      <c r="J166" s="3"/>
      <c r="K166" s="3"/>
      <c r="M166" s="3"/>
    </row>
    <row r="167">
      <c r="A167" s="3"/>
      <c r="C167" s="3"/>
      <c r="D167" s="3"/>
      <c r="E167" s="3"/>
      <c r="F167" s="3"/>
      <c r="G167" s="112"/>
      <c r="H167" s="3"/>
      <c r="J167" s="3"/>
      <c r="K167" s="3"/>
      <c r="M167" s="3"/>
    </row>
    <row r="168">
      <c r="A168" s="3"/>
      <c r="C168" s="3"/>
      <c r="D168" s="3"/>
      <c r="E168" s="3"/>
      <c r="F168" s="3"/>
      <c r="G168" s="112"/>
      <c r="H168" s="3"/>
      <c r="J168" s="3"/>
      <c r="K168" s="3"/>
      <c r="M168" s="3"/>
    </row>
    <row r="169">
      <c r="A169" s="3"/>
      <c r="C169" s="3"/>
      <c r="D169" s="3"/>
      <c r="E169" s="3"/>
      <c r="F169" s="3"/>
      <c r="G169" s="112"/>
      <c r="H169" s="3"/>
      <c r="J169" s="3"/>
      <c r="K169" s="3"/>
      <c r="M169" s="3"/>
    </row>
    <row r="170">
      <c r="A170" s="3"/>
      <c r="C170" s="3"/>
      <c r="D170" s="3"/>
      <c r="E170" s="3"/>
      <c r="F170" s="3"/>
      <c r="G170" s="112"/>
      <c r="H170" s="3"/>
      <c r="J170" s="3"/>
      <c r="K170" s="3"/>
      <c r="M170" s="3"/>
    </row>
    <row r="171">
      <c r="A171" s="3"/>
      <c r="C171" s="3"/>
      <c r="D171" s="3"/>
      <c r="E171" s="3"/>
      <c r="F171" s="3"/>
      <c r="G171" s="112"/>
      <c r="H171" s="3"/>
      <c r="J171" s="3"/>
      <c r="K171" s="3"/>
      <c r="M171" s="3"/>
    </row>
    <row r="172">
      <c r="A172" s="3"/>
      <c r="C172" s="3"/>
      <c r="D172" s="3"/>
      <c r="E172" s="3"/>
      <c r="F172" s="3"/>
      <c r="G172" s="112"/>
      <c r="H172" s="3"/>
      <c r="J172" s="3"/>
      <c r="K172" s="3"/>
      <c r="M172" s="3"/>
    </row>
    <row r="173">
      <c r="A173" s="3"/>
      <c r="C173" s="3"/>
      <c r="D173" s="3"/>
      <c r="E173" s="3"/>
      <c r="F173" s="3"/>
      <c r="G173" s="112"/>
      <c r="H173" s="3"/>
      <c r="J173" s="3"/>
      <c r="K173" s="3"/>
      <c r="M173" s="3"/>
    </row>
    <row r="174">
      <c r="A174" s="3"/>
      <c r="C174" s="3"/>
      <c r="D174" s="3"/>
      <c r="E174" s="3"/>
      <c r="F174" s="3"/>
      <c r="G174" s="112"/>
      <c r="H174" s="3"/>
      <c r="J174" s="3"/>
      <c r="K174" s="3"/>
      <c r="M174" s="3"/>
    </row>
    <row r="175">
      <c r="A175" s="3"/>
      <c r="C175" s="3"/>
      <c r="D175" s="3"/>
      <c r="E175" s="3"/>
      <c r="F175" s="3"/>
      <c r="G175" s="112"/>
      <c r="H175" s="3"/>
      <c r="J175" s="3"/>
      <c r="K175" s="3"/>
      <c r="M175" s="3"/>
    </row>
    <row r="176">
      <c r="A176" s="3"/>
      <c r="C176" s="3"/>
      <c r="D176" s="3"/>
      <c r="E176" s="3"/>
      <c r="F176" s="3"/>
      <c r="G176" s="112"/>
      <c r="H176" s="3"/>
      <c r="J176" s="3"/>
      <c r="K176" s="3"/>
      <c r="M176" s="3"/>
    </row>
    <row r="177">
      <c r="A177" s="3"/>
      <c r="C177" s="3"/>
      <c r="D177" s="3"/>
      <c r="E177" s="3"/>
      <c r="F177" s="3"/>
      <c r="G177" s="112"/>
      <c r="H177" s="3"/>
      <c r="J177" s="3"/>
      <c r="K177" s="3"/>
      <c r="M177" s="3"/>
    </row>
    <row r="178">
      <c r="A178" s="3"/>
      <c r="C178" s="3"/>
      <c r="D178" s="3"/>
      <c r="E178" s="3"/>
      <c r="F178" s="3"/>
      <c r="G178" s="112"/>
      <c r="H178" s="3"/>
      <c r="J178" s="3"/>
      <c r="K178" s="3"/>
      <c r="M178" s="3"/>
    </row>
    <row r="179">
      <c r="A179" s="3"/>
      <c r="C179" s="3"/>
      <c r="D179" s="3"/>
      <c r="E179" s="3"/>
      <c r="F179" s="3"/>
      <c r="G179" s="112"/>
      <c r="H179" s="3"/>
      <c r="J179" s="3"/>
      <c r="K179" s="3"/>
      <c r="M179" s="3"/>
    </row>
    <row r="180">
      <c r="A180" s="3"/>
      <c r="C180" s="3"/>
      <c r="D180" s="3"/>
      <c r="E180" s="3"/>
      <c r="F180" s="3"/>
      <c r="G180" s="112"/>
      <c r="H180" s="3"/>
      <c r="J180" s="3"/>
      <c r="K180" s="3"/>
      <c r="M180" s="3"/>
    </row>
    <row r="181">
      <c r="A181" s="3"/>
      <c r="C181" s="3"/>
      <c r="D181" s="3"/>
      <c r="E181" s="3"/>
      <c r="F181" s="3"/>
      <c r="G181" s="112"/>
      <c r="H181" s="3"/>
      <c r="J181" s="3"/>
      <c r="K181" s="3"/>
      <c r="M181" s="3"/>
    </row>
    <row r="182">
      <c r="A182" s="3"/>
      <c r="C182" s="3"/>
      <c r="D182" s="3"/>
      <c r="E182" s="3"/>
      <c r="F182" s="3"/>
      <c r="G182" s="112"/>
      <c r="H182" s="3"/>
      <c r="J182" s="3"/>
      <c r="K182" s="3"/>
      <c r="M182" s="3"/>
    </row>
    <row r="183">
      <c r="A183" s="3"/>
      <c r="C183" s="3"/>
      <c r="D183" s="3"/>
      <c r="E183" s="3"/>
      <c r="F183" s="3"/>
      <c r="G183" s="112"/>
      <c r="H183" s="3"/>
      <c r="J183" s="3"/>
      <c r="K183" s="3"/>
      <c r="M183" s="3"/>
    </row>
    <row r="184">
      <c r="A184" s="3"/>
      <c r="C184" s="3"/>
      <c r="D184" s="3"/>
      <c r="E184" s="3"/>
      <c r="F184" s="3"/>
      <c r="G184" s="112"/>
      <c r="H184" s="3"/>
      <c r="J184" s="3"/>
      <c r="K184" s="3"/>
      <c r="M184" s="3"/>
    </row>
    <row r="185">
      <c r="A185" s="3"/>
      <c r="C185" s="3"/>
      <c r="D185" s="3"/>
      <c r="E185" s="3"/>
      <c r="F185" s="3"/>
      <c r="G185" s="112"/>
      <c r="H185" s="3"/>
      <c r="J185" s="3"/>
      <c r="K185" s="3"/>
      <c r="M185" s="3"/>
    </row>
    <row r="186">
      <c r="A186" s="3"/>
      <c r="C186" s="3"/>
      <c r="D186" s="3"/>
      <c r="E186" s="3"/>
      <c r="F186" s="3"/>
      <c r="G186" s="112"/>
      <c r="H186" s="3"/>
      <c r="J186" s="3"/>
      <c r="K186" s="3"/>
      <c r="M186" s="3"/>
    </row>
    <row r="187">
      <c r="A187" s="3"/>
      <c r="C187" s="3"/>
      <c r="D187" s="3"/>
      <c r="E187" s="3"/>
      <c r="F187" s="3"/>
      <c r="G187" s="112"/>
      <c r="H187" s="3"/>
      <c r="J187" s="3"/>
      <c r="K187" s="3"/>
      <c r="M187" s="3"/>
    </row>
    <row r="188">
      <c r="A188" s="3"/>
      <c r="C188" s="3"/>
      <c r="D188" s="3"/>
      <c r="E188" s="3"/>
      <c r="F188" s="3"/>
      <c r="G188" s="112"/>
      <c r="H188" s="3"/>
      <c r="J188" s="3"/>
      <c r="K188" s="3"/>
      <c r="M188" s="3"/>
    </row>
    <row r="189">
      <c r="A189" s="3"/>
      <c r="C189" s="3"/>
      <c r="D189" s="3"/>
      <c r="E189" s="3"/>
      <c r="F189" s="3"/>
      <c r="G189" s="112"/>
      <c r="H189" s="3"/>
      <c r="J189" s="3"/>
      <c r="K189" s="3"/>
      <c r="M189" s="3"/>
    </row>
    <row r="190">
      <c r="A190" s="3"/>
      <c r="C190" s="3"/>
      <c r="D190" s="3"/>
      <c r="E190" s="3"/>
      <c r="F190" s="3"/>
      <c r="G190" s="112"/>
      <c r="H190" s="3"/>
      <c r="J190" s="3"/>
      <c r="K190" s="3"/>
      <c r="M190" s="3"/>
    </row>
    <row r="191">
      <c r="A191" s="3"/>
      <c r="C191" s="3"/>
      <c r="D191" s="3"/>
      <c r="E191" s="3"/>
      <c r="F191" s="3"/>
      <c r="G191" s="112"/>
      <c r="H191" s="3"/>
      <c r="J191" s="3"/>
      <c r="K191" s="3"/>
      <c r="M191" s="3"/>
    </row>
    <row r="192">
      <c r="A192" s="3"/>
      <c r="C192" s="3"/>
      <c r="D192" s="3"/>
      <c r="E192" s="3"/>
      <c r="F192" s="3"/>
      <c r="G192" s="112"/>
      <c r="H192" s="3"/>
      <c r="J192" s="3"/>
      <c r="K192" s="3"/>
      <c r="M192" s="3"/>
    </row>
    <row r="193">
      <c r="A193" s="3"/>
      <c r="C193" s="3"/>
      <c r="D193" s="3"/>
      <c r="E193" s="3"/>
      <c r="F193" s="3"/>
      <c r="G193" s="112"/>
      <c r="H193" s="3"/>
      <c r="J193" s="3"/>
      <c r="K193" s="3"/>
      <c r="M193" s="3"/>
    </row>
    <row r="194">
      <c r="A194" s="3"/>
      <c r="C194" s="3"/>
      <c r="D194" s="3"/>
      <c r="E194" s="3"/>
      <c r="F194" s="3"/>
      <c r="G194" s="112"/>
      <c r="H194" s="3"/>
      <c r="J194" s="3"/>
      <c r="K194" s="3"/>
      <c r="M194" s="3"/>
    </row>
    <row r="195">
      <c r="A195" s="3"/>
      <c r="C195" s="3"/>
      <c r="D195" s="3"/>
      <c r="E195" s="3"/>
      <c r="F195" s="3"/>
      <c r="G195" s="112"/>
      <c r="H195" s="3"/>
      <c r="J195" s="3"/>
      <c r="K195" s="3"/>
      <c r="M195" s="3"/>
    </row>
    <row r="196">
      <c r="A196" s="3"/>
      <c r="C196" s="3"/>
      <c r="D196" s="3"/>
      <c r="E196" s="3"/>
      <c r="F196" s="3"/>
      <c r="G196" s="112"/>
      <c r="H196" s="3"/>
      <c r="J196" s="3"/>
      <c r="K196" s="3"/>
      <c r="M196" s="3"/>
    </row>
    <row r="197">
      <c r="A197" s="3"/>
      <c r="C197" s="3"/>
      <c r="D197" s="3"/>
      <c r="E197" s="3"/>
      <c r="F197" s="3"/>
      <c r="G197" s="112"/>
      <c r="H197" s="3"/>
      <c r="J197" s="3"/>
      <c r="K197" s="3"/>
      <c r="M197" s="3"/>
    </row>
    <row r="198">
      <c r="A198" s="3"/>
      <c r="C198" s="3"/>
      <c r="D198" s="3"/>
      <c r="E198" s="3"/>
      <c r="F198" s="3"/>
      <c r="G198" s="112"/>
      <c r="H198" s="3"/>
      <c r="J198" s="3"/>
      <c r="K198" s="3"/>
      <c r="M198" s="3"/>
    </row>
    <row r="199">
      <c r="A199" s="3"/>
      <c r="C199" s="3"/>
      <c r="D199" s="3"/>
      <c r="E199" s="3"/>
      <c r="F199" s="3"/>
      <c r="G199" s="112"/>
      <c r="H199" s="3"/>
      <c r="J199" s="3"/>
      <c r="K199" s="3"/>
      <c r="M199" s="3"/>
    </row>
    <row r="200">
      <c r="A200" s="3"/>
      <c r="C200" s="3"/>
      <c r="D200" s="3"/>
      <c r="E200" s="3"/>
      <c r="F200" s="3"/>
      <c r="G200" s="112"/>
      <c r="H200" s="3"/>
      <c r="J200" s="3"/>
      <c r="K200" s="3"/>
      <c r="M200" s="3"/>
    </row>
    <row r="201">
      <c r="A201" s="3"/>
      <c r="C201" s="3"/>
      <c r="D201" s="3"/>
      <c r="E201" s="3"/>
      <c r="F201" s="3"/>
      <c r="G201" s="112"/>
      <c r="H201" s="3"/>
      <c r="J201" s="3"/>
      <c r="K201" s="3"/>
      <c r="M201" s="3"/>
    </row>
    <row r="202">
      <c r="A202" s="3"/>
      <c r="C202" s="3"/>
      <c r="D202" s="3"/>
      <c r="E202" s="3"/>
      <c r="F202" s="3"/>
      <c r="G202" s="112"/>
      <c r="H202" s="3"/>
      <c r="J202" s="3"/>
      <c r="K202" s="3"/>
      <c r="M202" s="3"/>
    </row>
    <row r="203">
      <c r="A203" s="3"/>
      <c r="C203" s="3"/>
      <c r="D203" s="3"/>
      <c r="E203" s="3"/>
      <c r="F203" s="3"/>
      <c r="G203" s="112"/>
      <c r="H203" s="3"/>
      <c r="J203" s="3"/>
      <c r="K203" s="3"/>
      <c r="M203" s="3"/>
    </row>
    <row r="204">
      <c r="A204" s="3"/>
      <c r="C204" s="3"/>
      <c r="D204" s="3"/>
      <c r="E204" s="3"/>
      <c r="F204" s="3"/>
      <c r="G204" s="112"/>
      <c r="H204" s="3"/>
      <c r="J204" s="3"/>
      <c r="K204" s="3"/>
      <c r="M204" s="3"/>
    </row>
    <row r="205">
      <c r="A205" s="3"/>
      <c r="C205" s="3"/>
      <c r="D205" s="3"/>
      <c r="E205" s="3"/>
      <c r="F205" s="3"/>
      <c r="G205" s="112"/>
      <c r="H205" s="3"/>
      <c r="J205" s="3"/>
      <c r="K205" s="3"/>
      <c r="M205" s="3"/>
    </row>
    <row r="206">
      <c r="A206" s="3"/>
      <c r="C206" s="3"/>
      <c r="D206" s="3"/>
      <c r="E206" s="3"/>
      <c r="F206" s="3"/>
      <c r="G206" s="112"/>
      <c r="H206" s="3"/>
      <c r="J206" s="3"/>
      <c r="K206" s="3"/>
      <c r="M206" s="3"/>
    </row>
    <row r="207">
      <c r="A207" s="3"/>
      <c r="C207" s="3"/>
      <c r="D207" s="3"/>
      <c r="E207" s="3"/>
      <c r="F207" s="3"/>
      <c r="G207" s="112"/>
      <c r="H207" s="3"/>
      <c r="J207" s="3"/>
      <c r="K207" s="3"/>
      <c r="M207" s="3"/>
    </row>
    <row r="208">
      <c r="A208" s="3"/>
      <c r="C208" s="3"/>
      <c r="D208" s="3"/>
      <c r="E208" s="3"/>
      <c r="F208" s="3"/>
      <c r="G208" s="112"/>
      <c r="H208" s="3"/>
      <c r="J208" s="3"/>
      <c r="K208" s="3"/>
      <c r="M208" s="3"/>
    </row>
    <row r="209">
      <c r="A209" s="3"/>
      <c r="C209" s="3"/>
      <c r="D209" s="3"/>
      <c r="E209" s="3"/>
      <c r="F209" s="3"/>
      <c r="G209" s="112"/>
      <c r="H209" s="3"/>
      <c r="J209" s="3"/>
      <c r="K209" s="3"/>
      <c r="M209" s="3"/>
    </row>
    <row r="210">
      <c r="A210" s="3"/>
      <c r="C210" s="3"/>
      <c r="D210" s="3"/>
      <c r="E210" s="3"/>
      <c r="F210" s="3"/>
      <c r="G210" s="112"/>
      <c r="H210" s="3"/>
      <c r="J210" s="3"/>
      <c r="K210" s="3"/>
      <c r="M210" s="3"/>
    </row>
    <row r="211">
      <c r="A211" s="3"/>
      <c r="C211" s="3"/>
      <c r="D211" s="3"/>
      <c r="E211" s="3"/>
      <c r="F211" s="3"/>
      <c r="G211" s="112"/>
      <c r="H211" s="3"/>
      <c r="J211" s="3"/>
      <c r="K211" s="3"/>
      <c r="M211" s="3"/>
    </row>
    <row r="212">
      <c r="A212" s="3"/>
      <c r="C212" s="3"/>
      <c r="D212" s="3"/>
      <c r="E212" s="3"/>
      <c r="F212" s="3"/>
      <c r="G212" s="112"/>
      <c r="H212" s="3"/>
      <c r="J212" s="3"/>
      <c r="K212" s="3"/>
      <c r="M212" s="3"/>
    </row>
    <row r="213">
      <c r="A213" s="3"/>
      <c r="C213" s="3"/>
      <c r="D213" s="3"/>
      <c r="E213" s="3"/>
      <c r="F213" s="3"/>
      <c r="G213" s="112"/>
      <c r="H213" s="3"/>
      <c r="J213" s="3"/>
      <c r="K213" s="3"/>
      <c r="M213" s="3"/>
    </row>
    <row r="214">
      <c r="A214" s="3"/>
      <c r="C214" s="3"/>
      <c r="D214" s="3"/>
      <c r="E214" s="3"/>
      <c r="F214" s="3"/>
      <c r="G214" s="112"/>
      <c r="H214" s="3"/>
      <c r="J214" s="3"/>
      <c r="K214" s="3"/>
      <c r="M214" s="3"/>
    </row>
    <row r="215">
      <c r="A215" s="3"/>
      <c r="C215" s="3"/>
      <c r="D215" s="3"/>
      <c r="E215" s="3"/>
      <c r="F215" s="3"/>
      <c r="G215" s="112"/>
      <c r="H215" s="3"/>
      <c r="J215" s="3"/>
      <c r="K215" s="3"/>
      <c r="M215" s="3"/>
    </row>
    <row r="216">
      <c r="A216" s="3"/>
      <c r="C216" s="3"/>
      <c r="D216" s="3"/>
      <c r="E216" s="3"/>
      <c r="F216" s="3"/>
      <c r="G216" s="112"/>
      <c r="H216" s="3"/>
      <c r="J216" s="3"/>
      <c r="K216" s="3"/>
      <c r="M216" s="3"/>
    </row>
    <row r="217">
      <c r="A217" s="3"/>
      <c r="C217" s="3"/>
      <c r="D217" s="3"/>
      <c r="E217" s="3"/>
      <c r="F217" s="3"/>
      <c r="G217" s="112"/>
      <c r="H217" s="3"/>
      <c r="J217" s="3"/>
      <c r="K217" s="3"/>
      <c r="M217" s="3"/>
    </row>
    <row r="218">
      <c r="A218" s="3"/>
      <c r="C218" s="3"/>
      <c r="D218" s="3"/>
      <c r="E218" s="3"/>
      <c r="F218" s="3"/>
      <c r="G218" s="112"/>
      <c r="H218" s="3"/>
      <c r="J218" s="3"/>
      <c r="K218" s="3"/>
      <c r="M218" s="3"/>
    </row>
    <row r="219">
      <c r="A219" s="3"/>
      <c r="C219" s="3"/>
      <c r="D219" s="3"/>
      <c r="E219" s="3"/>
      <c r="F219" s="3"/>
      <c r="G219" s="112"/>
      <c r="H219" s="3"/>
      <c r="J219" s="3"/>
      <c r="K219" s="3"/>
      <c r="M219" s="3"/>
    </row>
    <row r="220">
      <c r="A220" s="3"/>
      <c r="C220" s="3"/>
      <c r="D220" s="3"/>
      <c r="E220" s="3"/>
      <c r="F220" s="3"/>
      <c r="G220" s="112"/>
      <c r="H220" s="3"/>
      <c r="J220" s="3"/>
      <c r="K220" s="3"/>
      <c r="M220" s="3"/>
    </row>
    <row r="221">
      <c r="A221" s="3"/>
      <c r="C221" s="3"/>
      <c r="D221" s="3"/>
      <c r="E221" s="3"/>
      <c r="F221" s="3"/>
      <c r="G221" s="112"/>
      <c r="H221" s="3"/>
      <c r="J221" s="3"/>
      <c r="K221" s="3"/>
      <c r="M221" s="3"/>
    </row>
    <row r="222">
      <c r="A222" s="3"/>
      <c r="C222" s="3"/>
      <c r="D222" s="3"/>
      <c r="E222" s="3"/>
      <c r="F222" s="3"/>
      <c r="G222" s="112"/>
      <c r="H222" s="3"/>
      <c r="J222" s="3"/>
      <c r="K222" s="3"/>
      <c r="M222" s="3"/>
    </row>
    <row r="223">
      <c r="A223" s="3"/>
      <c r="C223" s="3"/>
      <c r="D223" s="3"/>
      <c r="E223" s="3"/>
      <c r="F223" s="3"/>
      <c r="G223" s="112"/>
      <c r="H223" s="3"/>
      <c r="J223" s="3"/>
      <c r="K223" s="3"/>
      <c r="M223" s="3"/>
    </row>
    <row r="224">
      <c r="A224" s="3"/>
      <c r="C224" s="3"/>
      <c r="D224" s="3"/>
      <c r="E224" s="3"/>
      <c r="F224" s="3"/>
      <c r="G224" s="112"/>
      <c r="H224" s="3"/>
      <c r="J224" s="3"/>
      <c r="K224" s="3"/>
      <c r="M224" s="3"/>
    </row>
    <row r="225">
      <c r="A225" s="3"/>
      <c r="C225" s="3"/>
      <c r="D225" s="3"/>
      <c r="E225" s="3"/>
      <c r="F225" s="3"/>
      <c r="G225" s="112"/>
      <c r="H225" s="3"/>
      <c r="J225" s="3"/>
      <c r="K225" s="3"/>
      <c r="M225" s="3"/>
    </row>
    <row r="226">
      <c r="A226" s="3"/>
      <c r="C226" s="3"/>
      <c r="D226" s="3"/>
      <c r="E226" s="3"/>
      <c r="F226" s="3"/>
      <c r="G226" s="112"/>
      <c r="H226" s="3"/>
      <c r="J226" s="3"/>
      <c r="K226" s="3"/>
      <c r="M226" s="3"/>
    </row>
    <row r="227">
      <c r="A227" s="3"/>
      <c r="C227" s="3"/>
      <c r="D227" s="3"/>
      <c r="E227" s="3"/>
      <c r="F227" s="3"/>
      <c r="G227" s="112"/>
      <c r="H227" s="3"/>
      <c r="J227" s="3"/>
      <c r="K227" s="3"/>
      <c r="M227" s="3"/>
    </row>
    <row r="228">
      <c r="A228" s="3"/>
      <c r="C228" s="3"/>
      <c r="D228" s="3"/>
      <c r="E228" s="3"/>
      <c r="F228" s="3"/>
      <c r="G228" s="112"/>
      <c r="H228" s="3"/>
      <c r="J228" s="3"/>
      <c r="K228" s="3"/>
      <c r="M228" s="3"/>
    </row>
    <row r="229">
      <c r="A229" s="3"/>
      <c r="C229" s="3"/>
      <c r="D229" s="3"/>
      <c r="E229" s="3"/>
      <c r="F229" s="3"/>
      <c r="G229" s="112"/>
      <c r="H229" s="3"/>
      <c r="J229" s="3"/>
      <c r="K229" s="3"/>
      <c r="M229" s="3"/>
    </row>
    <row r="230">
      <c r="A230" s="3"/>
      <c r="C230" s="3"/>
      <c r="D230" s="3"/>
      <c r="E230" s="3"/>
      <c r="F230" s="3"/>
      <c r="G230" s="112"/>
      <c r="H230" s="3"/>
      <c r="J230" s="3"/>
      <c r="K230" s="3"/>
      <c r="M230" s="3"/>
    </row>
    <row r="231">
      <c r="A231" s="3"/>
      <c r="C231" s="3"/>
      <c r="D231" s="3"/>
      <c r="E231" s="3"/>
      <c r="F231" s="3"/>
      <c r="G231" s="112"/>
      <c r="H231" s="3"/>
      <c r="J231" s="3"/>
      <c r="K231" s="3"/>
      <c r="M231" s="3"/>
    </row>
    <row r="232">
      <c r="A232" s="3"/>
      <c r="C232" s="3"/>
      <c r="D232" s="3"/>
      <c r="E232" s="3"/>
      <c r="F232" s="3"/>
      <c r="G232" s="112"/>
      <c r="H232" s="3"/>
      <c r="J232" s="3"/>
      <c r="K232" s="3"/>
      <c r="M232" s="3"/>
    </row>
    <row r="233">
      <c r="A233" s="3"/>
      <c r="C233" s="3"/>
      <c r="D233" s="3"/>
      <c r="E233" s="3"/>
      <c r="F233" s="3"/>
      <c r="G233" s="112"/>
      <c r="H233" s="3"/>
      <c r="J233" s="3"/>
      <c r="K233" s="3"/>
      <c r="M233" s="3"/>
    </row>
    <row r="234">
      <c r="A234" s="3"/>
      <c r="C234" s="3"/>
      <c r="D234" s="3"/>
      <c r="E234" s="3"/>
      <c r="F234" s="3"/>
      <c r="G234" s="112"/>
      <c r="H234" s="3"/>
      <c r="J234" s="3"/>
      <c r="K234" s="3"/>
      <c r="M234" s="3"/>
    </row>
    <row r="235">
      <c r="A235" s="3"/>
      <c r="C235" s="3"/>
      <c r="D235" s="3"/>
      <c r="E235" s="3"/>
      <c r="F235" s="3"/>
      <c r="G235" s="112"/>
      <c r="H235" s="3"/>
      <c r="J235" s="3"/>
      <c r="K235" s="3"/>
      <c r="M235" s="3"/>
    </row>
    <row r="236">
      <c r="A236" s="3"/>
      <c r="C236" s="3"/>
      <c r="D236" s="3"/>
      <c r="E236" s="3"/>
      <c r="F236" s="3"/>
      <c r="G236" s="112"/>
      <c r="H236" s="3"/>
      <c r="J236" s="3"/>
      <c r="K236" s="3"/>
      <c r="M236" s="3"/>
    </row>
    <row r="237">
      <c r="A237" s="3"/>
      <c r="C237" s="3"/>
      <c r="D237" s="3"/>
      <c r="E237" s="3"/>
      <c r="F237" s="3"/>
      <c r="G237" s="112"/>
      <c r="H237" s="3"/>
      <c r="J237" s="3"/>
      <c r="K237" s="3"/>
      <c r="M237" s="3"/>
    </row>
    <row r="238">
      <c r="A238" s="3"/>
      <c r="C238" s="3"/>
      <c r="D238" s="3"/>
      <c r="E238" s="3"/>
      <c r="F238" s="3"/>
      <c r="G238" s="112"/>
      <c r="H238" s="3"/>
      <c r="J238" s="3"/>
      <c r="K238" s="3"/>
      <c r="M238" s="3"/>
    </row>
    <row r="239">
      <c r="A239" s="3"/>
      <c r="C239" s="3"/>
      <c r="D239" s="3"/>
      <c r="E239" s="3"/>
      <c r="F239" s="3"/>
      <c r="G239" s="112"/>
      <c r="H239" s="3"/>
      <c r="J239" s="3"/>
      <c r="K239" s="3"/>
      <c r="M239" s="3"/>
    </row>
    <row r="240">
      <c r="A240" s="3"/>
      <c r="C240" s="3"/>
      <c r="D240" s="3"/>
      <c r="E240" s="3"/>
      <c r="F240" s="3"/>
      <c r="G240" s="112"/>
      <c r="H240" s="3"/>
      <c r="J240" s="3"/>
      <c r="K240" s="3"/>
      <c r="M240" s="3"/>
    </row>
    <row r="241">
      <c r="A241" s="3"/>
      <c r="C241" s="3"/>
      <c r="D241" s="3"/>
      <c r="E241" s="3"/>
      <c r="F241" s="3"/>
      <c r="G241" s="112"/>
      <c r="H241" s="3"/>
      <c r="J241" s="3"/>
      <c r="K241" s="3"/>
      <c r="M241" s="3"/>
    </row>
    <row r="242">
      <c r="A242" s="3"/>
      <c r="C242" s="3"/>
      <c r="D242" s="3"/>
      <c r="E242" s="3"/>
      <c r="F242" s="3"/>
      <c r="G242" s="112"/>
      <c r="H242" s="3"/>
      <c r="J242" s="3"/>
      <c r="K242" s="3"/>
      <c r="M242" s="3"/>
    </row>
    <row r="243">
      <c r="A243" s="3"/>
      <c r="C243" s="3"/>
      <c r="D243" s="3"/>
      <c r="E243" s="3"/>
      <c r="F243" s="3"/>
      <c r="G243" s="112"/>
      <c r="H243" s="3"/>
      <c r="J243" s="3"/>
      <c r="K243" s="3"/>
      <c r="M243" s="3"/>
    </row>
    <row r="244">
      <c r="A244" s="3"/>
      <c r="C244" s="3"/>
      <c r="D244" s="3"/>
      <c r="E244" s="3"/>
      <c r="F244" s="3"/>
      <c r="G244" s="112"/>
      <c r="H244" s="3"/>
      <c r="J244" s="3"/>
      <c r="K244" s="3"/>
      <c r="M244" s="3"/>
    </row>
    <row r="245">
      <c r="A245" s="3"/>
      <c r="C245" s="3"/>
      <c r="D245" s="3"/>
      <c r="E245" s="3"/>
      <c r="F245" s="3"/>
      <c r="G245" s="112"/>
      <c r="H245" s="3"/>
      <c r="J245" s="3"/>
      <c r="K245" s="3"/>
      <c r="M245" s="3"/>
    </row>
    <row r="246">
      <c r="A246" s="3"/>
      <c r="C246" s="3"/>
      <c r="D246" s="3"/>
      <c r="E246" s="3"/>
      <c r="F246" s="3"/>
      <c r="G246" s="112"/>
      <c r="H246" s="3"/>
      <c r="J246" s="3"/>
      <c r="K246" s="3"/>
      <c r="M246" s="3"/>
    </row>
    <row r="247">
      <c r="A247" s="3"/>
      <c r="C247" s="3"/>
      <c r="D247" s="3"/>
      <c r="E247" s="3"/>
      <c r="F247" s="3"/>
      <c r="G247" s="112"/>
      <c r="H247" s="3"/>
      <c r="J247" s="3"/>
      <c r="K247" s="3"/>
      <c r="M247" s="3"/>
    </row>
    <row r="248">
      <c r="A248" s="3"/>
      <c r="C248" s="3"/>
      <c r="D248" s="3"/>
      <c r="E248" s="3"/>
      <c r="F248" s="3"/>
      <c r="G248" s="112"/>
      <c r="H248" s="3"/>
      <c r="J248" s="3"/>
      <c r="K248" s="3"/>
      <c r="M248" s="3"/>
    </row>
    <row r="249">
      <c r="A249" s="3"/>
      <c r="C249" s="3"/>
      <c r="D249" s="3"/>
      <c r="E249" s="3"/>
      <c r="F249" s="3"/>
      <c r="G249" s="112"/>
      <c r="H249" s="3"/>
      <c r="J249" s="3"/>
      <c r="K249" s="3"/>
      <c r="M249" s="3"/>
    </row>
    <row r="250">
      <c r="A250" s="3"/>
      <c r="C250" s="3"/>
      <c r="D250" s="3"/>
      <c r="E250" s="3"/>
      <c r="F250" s="3"/>
      <c r="G250" s="112"/>
      <c r="H250" s="3"/>
      <c r="J250" s="3"/>
      <c r="K250" s="3"/>
      <c r="M250" s="3"/>
    </row>
    <row r="251">
      <c r="A251" s="3"/>
      <c r="C251" s="3"/>
      <c r="D251" s="3"/>
      <c r="E251" s="3"/>
      <c r="F251" s="3"/>
      <c r="G251" s="112"/>
      <c r="H251" s="3"/>
      <c r="J251" s="3"/>
      <c r="K251" s="3"/>
      <c r="M251" s="3"/>
    </row>
    <row r="252">
      <c r="A252" s="3"/>
      <c r="C252" s="3"/>
      <c r="D252" s="3"/>
      <c r="E252" s="3"/>
      <c r="F252" s="3"/>
      <c r="G252" s="112"/>
      <c r="H252" s="3"/>
      <c r="J252" s="3"/>
      <c r="K252" s="3"/>
      <c r="M252" s="3"/>
    </row>
    <row r="253">
      <c r="A253" s="3"/>
      <c r="C253" s="3"/>
      <c r="D253" s="3"/>
      <c r="E253" s="3"/>
      <c r="F253" s="3"/>
      <c r="G253" s="112"/>
      <c r="H253" s="3"/>
      <c r="J253" s="3"/>
      <c r="K253" s="3"/>
      <c r="M253" s="3"/>
    </row>
    <row r="254">
      <c r="A254" s="3"/>
      <c r="C254" s="3"/>
      <c r="D254" s="3"/>
      <c r="E254" s="3"/>
      <c r="F254" s="3"/>
      <c r="G254" s="112"/>
      <c r="H254" s="3"/>
      <c r="J254" s="3"/>
      <c r="K254" s="3"/>
      <c r="M254" s="3"/>
    </row>
    <row r="255">
      <c r="A255" s="3"/>
      <c r="C255" s="3"/>
      <c r="D255" s="3"/>
      <c r="E255" s="3"/>
      <c r="F255" s="3"/>
      <c r="G255" s="112"/>
      <c r="H255" s="3"/>
      <c r="J255" s="3"/>
      <c r="K255" s="3"/>
      <c r="M255" s="3"/>
    </row>
    <row r="256">
      <c r="A256" s="3"/>
      <c r="C256" s="3"/>
      <c r="D256" s="3"/>
      <c r="E256" s="3"/>
      <c r="F256" s="3"/>
      <c r="G256" s="112"/>
      <c r="H256" s="3"/>
      <c r="J256" s="3"/>
      <c r="K256" s="3"/>
      <c r="M256" s="3"/>
    </row>
    <row r="257">
      <c r="A257" s="3"/>
      <c r="C257" s="3"/>
      <c r="D257" s="3"/>
      <c r="E257" s="3"/>
      <c r="F257" s="3"/>
      <c r="G257" s="112"/>
      <c r="H257" s="3"/>
      <c r="J257" s="3"/>
      <c r="K257" s="3"/>
      <c r="M257" s="3"/>
    </row>
    <row r="258">
      <c r="A258" s="3"/>
      <c r="C258" s="3"/>
      <c r="D258" s="3"/>
      <c r="E258" s="3"/>
      <c r="F258" s="3"/>
      <c r="G258" s="112"/>
      <c r="H258" s="3"/>
      <c r="J258" s="3"/>
      <c r="K258" s="3"/>
      <c r="M258" s="3"/>
    </row>
    <row r="259">
      <c r="A259" s="3"/>
      <c r="C259" s="3"/>
      <c r="D259" s="3"/>
      <c r="E259" s="3"/>
      <c r="F259" s="3"/>
      <c r="G259" s="112"/>
      <c r="H259" s="3"/>
      <c r="J259" s="3"/>
      <c r="K259" s="3"/>
      <c r="M259" s="3"/>
    </row>
    <row r="260">
      <c r="A260" s="3"/>
      <c r="C260" s="3"/>
      <c r="D260" s="3"/>
      <c r="E260" s="3"/>
      <c r="F260" s="3"/>
      <c r="G260" s="112"/>
      <c r="H260" s="3"/>
      <c r="J260" s="3"/>
      <c r="K260" s="3"/>
      <c r="M260" s="3"/>
    </row>
    <row r="261">
      <c r="A261" s="3"/>
      <c r="C261" s="3"/>
      <c r="D261" s="3"/>
      <c r="E261" s="3"/>
      <c r="F261" s="3"/>
      <c r="G261" s="112"/>
      <c r="H261" s="3"/>
      <c r="J261" s="3"/>
      <c r="K261" s="3"/>
      <c r="M261" s="3"/>
    </row>
    <row r="262">
      <c r="A262" s="3"/>
      <c r="C262" s="3"/>
      <c r="D262" s="3"/>
      <c r="E262" s="3"/>
      <c r="F262" s="3"/>
      <c r="G262" s="112"/>
      <c r="H262" s="3"/>
      <c r="J262" s="3"/>
      <c r="K262" s="3"/>
      <c r="M262" s="3"/>
    </row>
    <row r="263">
      <c r="A263" s="3"/>
      <c r="C263" s="3"/>
      <c r="D263" s="3"/>
      <c r="E263" s="3"/>
      <c r="F263" s="3"/>
      <c r="G263" s="112"/>
      <c r="H263" s="3"/>
      <c r="J263" s="3"/>
      <c r="K263" s="3"/>
      <c r="M263" s="3"/>
    </row>
    <row r="264">
      <c r="A264" s="3"/>
      <c r="C264" s="3"/>
      <c r="D264" s="3"/>
      <c r="E264" s="3"/>
      <c r="F264" s="3"/>
      <c r="G264" s="112"/>
      <c r="H264" s="3"/>
      <c r="J264" s="3"/>
      <c r="K264" s="3"/>
      <c r="M264" s="3"/>
    </row>
    <row r="265">
      <c r="A265" s="3"/>
      <c r="C265" s="3"/>
      <c r="D265" s="3"/>
      <c r="E265" s="3"/>
      <c r="F265" s="3"/>
      <c r="G265" s="112"/>
      <c r="H265" s="3"/>
      <c r="J265" s="3"/>
      <c r="K265" s="3"/>
      <c r="M265" s="3"/>
    </row>
    <row r="266">
      <c r="A266" s="3"/>
      <c r="C266" s="3"/>
      <c r="D266" s="3"/>
      <c r="E266" s="3"/>
      <c r="F266" s="3"/>
      <c r="G266" s="112"/>
      <c r="H266" s="3"/>
      <c r="J266" s="3"/>
      <c r="K266" s="3"/>
      <c r="M266" s="3"/>
    </row>
    <row r="267">
      <c r="A267" s="3"/>
      <c r="C267" s="3"/>
      <c r="D267" s="3"/>
      <c r="E267" s="3"/>
      <c r="F267" s="3"/>
      <c r="G267" s="112"/>
      <c r="H267" s="3"/>
      <c r="J267" s="3"/>
      <c r="K267" s="3"/>
      <c r="M267" s="3"/>
    </row>
    <row r="268">
      <c r="A268" s="3"/>
      <c r="C268" s="3"/>
      <c r="D268" s="3"/>
      <c r="E268" s="3"/>
      <c r="F268" s="3"/>
      <c r="G268" s="112"/>
      <c r="H268" s="3"/>
      <c r="J268" s="3"/>
      <c r="K268" s="3"/>
      <c r="M268" s="3"/>
    </row>
    <row r="269">
      <c r="A269" s="3"/>
      <c r="C269" s="3"/>
      <c r="D269" s="3"/>
      <c r="E269" s="3"/>
      <c r="F269" s="3"/>
      <c r="G269" s="112"/>
      <c r="H269" s="3"/>
      <c r="J269" s="3"/>
      <c r="K269" s="3"/>
      <c r="M269" s="3"/>
    </row>
    <row r="270">
      <c r="A270" s="3"/>
      <c r="C270" s="3"/>
      <c r="D270" s="3"/>
      <c r="E270" s="3"/>
      <c r="F270" s="3"/>
      <c r="G270" s="112"/>
      <c r="H270" s="3"/>
      <c r="J270" s="3"/>
      <c r="K270" s="3"/>
      <c r="M270" s="3"/>
    </row>
    <row r="271">
      <c r="A271" s="3"/>
      <c r="C271" s="3"/>
      <c r="D271" s="3"/>
      <c r="E271" s="3"/>
      <c r="F271" s="3"/>
      <c r="G271" s="112"/>
      <c r="H271" s="3"/>
      <c r="J271" s="3"/>
      <c r="K271" s="3"/>
      <c r="M271" s="3"/>
    </row>
    <row r="272">
      <c r="A272" s="3"/>
      <c r="C272" s="3"/>
      <c r="D272" s="3"/>
      <c r="E272" s="3"/>
      <c r="F272" s="3"/>
      <c r="G272" s="112"/>
      <c r="H272" s="3"/>
      <c r="J272" s="3"/>
      <c r="K272" s="3"/>
      <c r="M272" s="3"/>
    </row>
    <row r="273">
      <c r="A273" s="3"/>
      <c r="C273" s="3"/>
      <c r="D273" s="3"/>
      <c r="E273" s="3"/>
      <c r="F273" s="3"/>
      <c r="G273" s="112"/>
      <c r="H273" s="3"/>
      <c r="J273" s="3"/>
      <c r="K273" s="3"/>
      <c r="M273" s="3"/>
    </row>
    <row r="274">
      <c r="A274" s="3"/>
      <c r="C274" s="3"/>
      <c r="D274" s="3"/>
      <c r="E274" s="3"/>
      <c r="F274" s="3"/>
      <c r="G274" s="112"/>
      <c r="H274" s="3"/>
      <c r="J274" s="3"/>
      <c r="K274" s="3"/>
      <c r="M274" s="3"/>
    </row>
    <row r="275">
      <c r="A275" s="3"/>
      <c r="C275" s="3"/>
      <c r="D275" s="3"/>
      <c r="E275" s="3"/>
      <c r="F275" s="3"/>
      <c r="G275" s="112"/>
      <c r="H275" s="3"/>
      <c r="J275" s="3"/>
      <c r="K275" s="3"/>
      <c r="M275" s="3"/>
    </row>
    <row r="276">
      <c r="A276" s="3"/>
      <c r="C276" s="3"/>
      <c r="D276" s="3"/>
      <c r="E276" s="3"/>
      <c r="F276" s="3"/>
      <c r="G276" s="112"/>
      <c r="H276" s="3"/>
      <c r="J276" s="3"/>
      <c r="K276" s="3"/>
      <c r="M276" s="3"/>
    </row>
    <row r="277">
      <c r="A277" s="3"/>
      <c r="C277" s="3"/>
      <c r="D277" s="3"/>
      <c r="E277" s="3"/>
      <c r="F277" s="3"/>
      <c r="G277" s="112"/>
      <c r="H277" s="3"/>
      <c r="J277" s="3"/>
      <c r="K277" s="3"/>
      <c r="M277" s="3"/>
    </row>
    <row r="278">
      <c r="A278" s="3"/>
      <c r="C278" s="3"/>
      <c r="D278" s="3"/>
      <c r="E278" s="3"/>
      <c r="F278" s="3"/>
      <c r="G278" s="112"/>
      <c r="H278" s="3"/>
      <c r="J278" s="3"/>
      <c r="K278" s="3"/>
      <c r="M278" s="3"/>
    </row>
    <row r="279">
      <c r="A279" s="3"/>
      <c r="C279" s="3"/>
      <c r="D279" s="3"/>
      <c r="E279" s="3"/>
      <c r="F279" s="3"/>
      <c r="G279" s="112"/>
      <c r="H279" s="3"/>
      <c r="J279" s="3"/>
      <c r="K279" s="3"/>
      <c r="M279" s="3"/>
    </row>
    <row r="280">
      <c r="A280" s="3"/>
      <c r="C280" s="3"/>
      <c r="D280" s="3"/>
      <c r="E280" s="3"/>
      <c r="F280" s="3"/>
      <c r="G280" s="112"/>
      <c r="H280" s="3"/>
      <c r="J280" s="3"/>
      <c r="K280" s="3"/>
      <c r="M280" s="3"/>
    </row>
    <row r="281">
      <c r="A281" s="3"/>
      <c r="C281" s="3"/>
      <c r="D281" s="3"/>
      <c r="E281" s="3"/>
      <c r="F281" s="3"/>
      <c r="G281" s="112"/>
      <c r="H281" s="3"/>
      <c r="J281" s="3"/>
      <c r="K281" s="3"/>
      <c r="M281" s="3"/>
    </row>
    <row r="282">
      <c r="A282" s="3"/>
      <c r="C282" s="3"/>
      <c r="D282" s="3"/>
      <c r="E282" s="3"/>
      <c r="F282" s="3"/>
      <c r="G282" s="112"/>
      <c r="H282" s="3"/>
      <c r="J282" s="3"/>
      <c r="K282" s="3"/>
      <c r="M282" s="3"/>
    </row>
    <row r="283">
      <c r="A283" s="3"/>
      <c r="C283" s="3"/>
      <c r="D283" s="3"/>
      <c r="E283" s="3"/>
      <c r="F283" s="3"/>
      <c r="G283" s="112"/>
      <c r="H283" s="3"/>
      <c r="J283" s="3"/>
      <c r="K283" s="3"/>
      <c r="M283" s="3"/>
    </row>
    <row r="284">
      <c r="A284" s="3"/>
      <c r="C284" s="3"/>
      <c r="D284" s="3"/>
      <c r="E284" s="3"/>
      <c r="F284" s="3"/>
      <c r="G284" s="112"/>
      <c r="H284" s="3"/>
      <c r="J284" s="3"/>
      <c r="K284" s="3"/>
      <c r="M284" s="3"/>
    </row>
    <row r="285">
      <c r="A285" s="3"/>
      <c r="C285" s="3"/>
      <c r="D285" s="3"/>
      <c r="E285" s="3"/>
      <c r="F285" s="3"/>
      <c r="G285" s="112"/>
      <c r="H285" s="3"/>
      <c r="J285" s="3"/>
      <c r="K285" s="3"/>
      <c r="M285" s="3"/>
    </row>
    <row r="286">
      <c r="A286" s="3"/>
      <c r="C286" s="3"/>
      <c r="D286" s="3"/>
      <c r="E286" s="3"/>
      <c r="F286" s="3"/>
      <c r="G286" s="112"/>
      <c r="H286" s="3"/>
      <c r="J286" s="3"/>
      <c r="K286" s="3"/>
      <c r="M286" s="3"/>
    </row>
    <row r="287">
      <c r="A287" s="3"/>
      <c r="C287" s="3"/>
      <c r="D287" s="3"/>
      <c r="E287" s="3"/>
      <c r="F287" s="3"/>
      <c r="G287" s="112"/>
      <c r="H287" s="3"/>
      <c r="J287" s="3"/>
      <c r="K287" s="3"/>
      <c r="M287" s="3"/>
    </row>
    <row r="288">
      <c r="A288" s="3"/>
      <c r="C288" s="3"/>
      <c r="D288" s="3"/>
      <c r="E288" s="3"/>
      <c r="F288" s="3"/>
      <c r="G288" s="112"/>
      <c r="H288" s="3"/>
      <c r="J288" s="3"/>
      <c r="K288" s="3"/>
      <c r="M288" s="3"/>
    </row>
    <row r="289">
      <c r="A289" s="3"/>
      <c r="C289" s="3"/>
      <c r="D289" s="3"/>
      <c r="E289" s="3"/>
      <c r="F289" s="3"/>
      <c r="G289" s="112"/>
      <c r="H289" s="3"/>
      <c r="J289" s="3"/>
      <c r="K289" s="3"/>
      <c r="M289" s="3"/>
    </row>
    <row r="290">
      <c r="A290" s="3"/>
      <c r="C290" s="3"/>
      <c r="D290" s="3"/>
      <c r="E290" s="3"/>
      <c r="F290" s="3"/>
      <c r="G290" s="112"/>
      <c r="H290" s="3"/>
      <c r="J290" s="3"/>
      <c r="K290" s="3"/>
      <c r="M290" s="3"/>
    </row>
    <row r="291">
      <c r="A291" s="3"/>
      <c r="C291" s="3"/>
      <c r="D291" s="3"/>
      <c r="E291" s="3"/>
      <c r="F291" s="3"/>
      <c r="G291" s="112"/>
      <c r="H291" s="3"/>
      <c r="J291" s="3"/>
      <c r="K291" s="3"/>
      <c r="M291" s="3"/>
    </row>
    <row r="292">
      <c r="A292" s="3"/>
      <c r="C292" s="3"/>
      <c r="D292" s="3"/>
      <c r="E292" s="3"/>
      <c r="F292" s="3"/>
      <c r="G292" s="112"/>
      <c r="H292" s="3"/>
      <c r="J292" s="3"/>
      <c r="K292" s="3"/>
      <c r="M292" s="3"/>
    </row>
    <row r="293">
      <c r="A293" s="3"/>
      <c r="C293" s="3"/>
      <c r="D293" s="3"/>
      <c r="E293" s="3"/>
      <c r="F293" s="3"/>
      <c r="G293" s="112"/>
      <c r="H293" s="3"/>
      <c r="J293" s="3"/>
      <c r="K293" s="3"/>
      <c r="M293" s="3"/>
    </row>
    <row r="294">
      <c r="A294" s="3"/>
      <c r="C294" s="3"/>
      <c r="D294" s="3"/>
      <c r="E294" s="3"/>
      <c r="F294" s="3"/>
      <c r="G294" s="112"/>
      <c r="H294" s="3"/>
      <c r="J294" s="3"/>
      <c r="K294" s="3"/>
      <c r="M294" s="3"/>
    </row>
    <row r="295">
      <c r="A295" s="3"/>
      <c r="C295" s="3"/>
      <c r="D295" s="3"/>
      <c r="E295" s="3"/>
      <c r="F295" s="3"/>
      <c r="G295" s="112"/>
      <c r="H295" s="3"/>
      <c r="J295" s="3"/>
      <c r="K295" s="3"/>
      <c r="M295" s="3"/>
    </row>
    <row r="296">
      <c r="A296" s="3"/>
      <c r="C296" s="3"/>
      <c r="D296" s="3"/>
      <c r="E296" s="3"/>
      <c r="F296" s="3"/>
      <c r="G296" s="112"/>
      <c r="H296" s="3"/>
      <c r="J296" s="3"/>
      <c r="K296" s="3"/>
      <c r="M296" s="3"/>
    </row>
    <row r="297">
      <c r="A297" s="3"/>
      <c r="C297" s="3"/>
      <c r="D297" s="3"/>
      <c r="E297" s="3"/>
      <c r="F297" s="3"/>
      <c r="G297" s="112"/>
      <c r="H297" s="3"/>
      <c r="J297" s="3"/>
      <c r="K297" s="3"/>
      <c r="M297" s="3"/>
    </row>
    <row r="298">
      <c r="A298" s="3"/>
      <c r="C298" s="3"/>
      <c r="D298" s="3"/>
      <c r="E298" s="3"/>
      <c r="F298" s="3"/>
      <c r="G298" s="112"/>
      <c r="H298" s="3"/>
      <c r="J298" s="3"/>
      <c r="K298" s="3"/>
      <c r="M298" s="3"/>
    </row>
    <row r="299">
      <c r="A299" s="3"/>
      <c r="C299" s="3"/>
      <c r="D299" s="3"/>
      <c r="E299" s="3"/>
      <c r="F299" s="3"/>
      <c r="G299" s="112"/>
      <c r="H299" s="3"/>
      <c r="J299" s="3"/>
      <c r="K299" s="3"/>
      <c r="M299" s="3"/>
    </row>
    <row r="300">
      <c r="A300" s="3"/>
      <c r="C300" s="3"/>
      <c r="D300" s="3"/>
      <c r="E300" s="3"/>
      <c r="F300" s="3"/>
      <c r="G300" s="112"/>
      <c r="H300" s="3"/>
      <c r="J300" s="3"/>
      <c r="K300" s="3"/>
      <c r="M300" s="3"/>
    </row>
    <row r="301">
      <c r="A301" s="3"/>
      <c r="C301" s="3"/>
      <c r="D301" s="3"/>
      <c r="E301" s="3"/>
      <c r="F301" s="3"/>
      <c r="G301" s="112"/>
      <c r="H301" s="3"/>
      <c r="J301" s="3"/>
      <c r="K301" s="3"/>
      <c r="M301" s="3"/>
    </row>
    <row r="302">
      <c r="A302" s="3"/>
      <c r="C302" s="3"/>
      <c r="D302" s="3"/>
      <c r="E302" s="3"/>
      <c r="F302" s="3"/>
      <c r="G302" s="112"/>
      <c r="H302" s="3"/>
      <c r="J302" s="3"/>
      <c r="K302" s="3"/>
      <c r="M302" s="3"/>
    </row>
    <row r="303">
      <c r="A303" s="3"/>
      <c r="C303" s="3"/>
      <c r="D303" s="3"/>
      <c r="E303" s="3"/>
      <c r="F303" s="3"/>
      <c r="G303" s="112"/>
      <c r="H303" s="3"/>
      <c r="J303" s="3"/>
      <c r="K303" s="3"/>
      <c r="M303" s="3"/>
    </row>
    <row r="304">
      <c r="A304" s="3"/>
      <c r="C304" s="3"/>
      <c r="D304" s="3"/>
      <c r="E304" s="3"/>
      <c r="F304" s="3"/>
      <c r="G304" s="112"/>
      <c r="H304" s="3"/>
      <c r="J304" s="3"/>
      <c r="K304" s="3"/>
      <c r="M304" s="3"/>
    </row>
    <row r="305">
      <c r="A305" s="3"/>
      <c r="C305" s="3"/>
      <c r="D305" s="3"/>
      <c r="E305" s="3"/>
      <c r="F305" s="3"/>
      <c r="G305" s="112"/>
      <c r="H305" s="3"/>
      <c r="J305" s="3"/>
      <c r="K305" s="3"/>
      <c r="M305" s="3"/>
    </row>
    <row r="306">
      <c r="A306" s="3"/>
      <c r="C306" s="3"/>
      <c r="D306" s="3"/>
      <c r="E306" s="3"/>
      <c r="F306" s="3"/>
      <c r="G306" s="112"/>
      <c r="H306" s="3"/>
      <c r="J306" s="3"/>
      <c r="K306" s="3"/>
      <c r="M306" s="3"/>
    </row>
    <row r="307">
      <c r="A307" s="3"/>
      <c r="C307" s="3"/>
      <c r="D307" s="3"/>
      <c r="E307" s="3"/>
      <c r="F307" s="3"/>
      <c r="G307" s="112"/>
      <c r="H307" s="3"/>
      <c r="J307" s="3"/>
      <c r="K307" s="3"/>
      <c r="M307" s="3"/>
    </row>
    <row r="308">
      <c r="A308" s="3"/>
      <c r="C308" s="3"/>
      <c r="D308" s="3"/>
      <c r="E308" s="3"/>
      <c r="F308" s="3"/>
      <c r="G308" s="112"/>
      <c r="H308" s="3"/>
      <c r="J308" s="3"/>
      <c r="K308" s="3"/>
      <c r="M308" s="3"/>
    </row>
    <row r="309">
      <c r="A309" s="3"/>
      <c r="C309" s="3"/>
      <c r="D309" s="3"/>
      <c r="E309" s="3"/>
      <c r="F309" s="3"/>
      <c r="G309" s="112"/>
      <c r="H309" s="3"/>
      <c r="J309" s="3"/>
      <c r="K309" s="3"/>
      <c r="M309" s="3"/>
    </row>
    <row r="310">
      <c r="A310" s="3"/>
      <c r="C310" s="3"/>
      <c r="D310" s="3"/>
      <c r="E310" s="3"/>
      <c r="F310" s="3"/>
      <c r="G310" s="112"/>
      <c r="H310" s="3"/>
      <c r="J310" s="3"/>
      <c r="K310" s="3"/>
      <c r="M310" s="3"/>
    </row>
    <row r="311">
      <c r="A311" s="3"/>
      <c r="C311" s="3"/>
      <c r="D311" s="3"/>
      <c r="E311" s="3"/>
      <c r="F311" s="3"/>
      <c r="G311" s="112"/>
      <c r="H311" s="3"/>
      <c r="J311" s="3"/>
      <c r="K311" s="3"/>
      <c r="M311" s="3"/>
    </row>
    <row r="312">
      <c r="A312" s="3"/>
      <c r="C312" s="3"/>
      <c r="D312" s="3"/>
      <c r="E312" s="3"/>
      <c r="F312" s="3"/>
      <c r="G312" s="112"/>
      <c r="H312" s="3"/>
      <c r="J312" s="3"/>
      <c r="K312" s="3"/>
      <c r="M312" s="3"/>
    </row>
    <row r="313">
      <c r="A313" s="3"/>
      <c r="C313" s="3"/>
      <c r="D313" s="3"/>
      <c r="E313" s="3"/>
      <c r="F313" s="3"/>
      <c r="G313" s="112"/>
      <c r="H313" s="3"/>
      <c r="J313" s="3"/>
      <c r="K313" s="3"/>
      <c r="M313" s="3"/>
    </row>
    <row r="314">
      <c r="A314" s="3"/>
      <c r="C314" s="3"/>
      <c r="D314" s="3"/>
      <c r="E314" s="3"/>
      <c r="F314" s="3"/>
      <c r="G314" s="112"/>
      <c r="H314" s="3"/>
      <c r="J314" s="3"/>
      <c r="K314" s="3"/>
      <c r="M314" s="3"/>
    </row>
    <row r="315">
      <c r="A315" s="3"/>
      <c r="C315" s="3"/>
      <c r="D315" s="3"/>
      <c r="E315" s="3"/>
      <c r="F315" s="3"/>
      <c r="G315" s="112"/>
      <c r="H315" s="3"/>
      <c r="J315" s="3"/>
      <c r="K315" s="3"/>
      <c r="M315" s="3"/>
    </row>
    <row r="316">
      <c r="A316" s="3"/>
      <c r="C316" s="3"/>
      <c r="D316" s="3"/>
      <c r="E316" s="3"/>
      <c r="F316" s="3"/>
      <c r="G316" s="112"/>
      <c r="H316" s="3"/>
      <c r="J316" s="3"/>
      <c r="K316" s="3"/>
      <c r="M316" s="3"/>
    </row>
    <row r="317">
      <c r="A317" s="3"/>
      <c r="C317" s="3"/>
      <c r="D317" s="3"/>
      <c r="E317" s="3"/>
      <c r="F317" s="3"/>
      <c r="G317" s="112"/>
      <c r="H317" s="3"/>
      <c r="J317" s="3"/>
      <c r="K317" s="3"/>
      <c r="M317" s="3"/>
    </row>
    <row r="318">
      <c r="A318" s="3"/>
      <c r="C318" s="3"/>
      <c r="D318" s="3"/>
      <c r="E318" s="3"/>
      <c r="F318" s="3"/>
      <c r="G318" s="112"/>
      <c r="H318" s="3"/>
      <c r="J318" s="3"/>
      <c r="K318" s="3"/>
      <c r="M318" s="3"/>
    </row>
    <row r="319">
      <c r="A319" s="3"/>
      <c r="C319" s="3"/>
      <c r="D319" s="3"/>
      <c r="E319" s="3"/>
      <c r="F319" s="3"/>
      <c r="G319" s="112"/>
      <c r="H319" s="3"/>
      <c r="J319" s="3"/>
      <c r="K319" s="3"/>
      <c r="M319" s="3"/>
    </row>
    <row r="320">
      <c r="A320" s="3"/>
      <c r="C320" s="3"/>
      <c r="D320" s="3"/>
      <c r="E320" s="3"/>
      <c r="F320" s="3"/>
      <c r="G320" s="112"/>
      <c r="H320" s="3"/>
      <c r="J320" s="3"/>
      <c r="K320" s="3"/>
      <c r="M320" s="3"/>
    </row>
    <row r="321">
      <c r="A321" s="3"/>
      <c r="C321" s="3"/>
      <c r="D321" s="3"/>
      <c r="E321" s="3"/>
      <c r="F321" s="3"/>
      <c r="G321" s="112"/>
      <c r="H321" s="3"/>
      <c r="J321" s="3"/>
      <c r="K321" s="3"/>
      <c r="M321" s="3"/>
    </row>
    <row r="322">
      <c r="A322" s="3"/>
      <c r="C322" s="3"/>
      <c r="D322" s="3"/>
      <c r="E322" s="3"/>
      <c r="F322" s="3"/>
      <c r="G322" s="112"/>
      <c r="H322" s="3"/>
      <c r="J322" s="3"/>
      <c r="K322" s="3"/>
      <c r="M322" s="3"/>
    </row>
    <row r="323">
      <c r="A323" s="3"/>
      <c r="C323" s="3"/>
      <c r="D323" s="3"/>
      <c r="E323" s="3"/>
      <c r="F323" s="3"/>
      <c r="G323" s="112"/>
      <c r="H323" s="3"/>
      <c r="J323" s="3"/>
      <c r="K323" s="3"/>
      <c r="M323" s="3"/>
    </row>
    <row r="324">
      <c r="A324" s="3"/>
      <c r="C324" s="3"/>
      <c r="D324" s="3"/>
      <c r="E324" s="3"/>
      <c r="F324" s="3"/>
      <c r="G324" s="112"/>
      <c r="H324" s="3"/>
      <c r="J324" s="3"/>
      <c r="K324" s="3"/>
      <c r="M324" s="3"/>
    </row>
    <row r="325">
      <c r="A325" s="3"/>
      <c r="C325" s="3"/>
      <c r="D325" s="3"/>
      <c r="E325" s="3"/>
      <c r="F325" s="3"/>
      <c r="G325" s="112"/>
      <c r="H325" s="3"/>
      <c r="J325" s="3"/>
      <c r="K325" s="3"/>
      <c r="M325" s="3"/>
    </row>
    <row r="326">
      <c r="A326" s="3"/>
      <c r="C326" s="3"/>
      <c r="D326" s="3"/>
      <c r="E326" s="3"/>
      <c r="F326" s="3"/>
      <c r="G326" s="112"/>
      <c r="H326" s="3"/>
      <c r="J326" s="3"/>
      <c r="K326" s="3"/>
      <c r="M326" s="3"/>
    </row>
    <row r="327">
      <c r="A327" s="3"/>
      <c r="C327" s="3"/>
      <c r="D327" s="3"/>
      <c r="E327" s="3"/>
      <c r="F327" s="3"/>
      <c r="G327" s="112"/>
      <c r="H327" s="3"/>
      <c r="J327" s="3"/>
      <c r="K327" s="3"/>
      <c r="M327" s="3"/>
    </row>
    <row r="328">
      <c r="A328" s="3"/>
      <c r="C328" s="3"/>
      <c r="D328" s="3"/>
      <c r="E328" s="3"/>
      <c r="F328" s="3"/>
      <c r="G328" s="112"/>
      <c r="H328" s="3"/>
      <c r="J328" s="3"/>
      <c r="K328" s="3"/>
      <c r="M328" s="3"/>
    </row>
    <row r="329">
      <c r="A329" s="3"/>
      <c r="C329" s="3"/>
      <c r="D329" s="3"/>
      <c r="E329" s="3"/>
      <c r="F329" s="3"/>
      <c r="G329" s="112"/>
      <c r="H329" s="3"/>
      <c r="J329" s="3"/>
      <c r="K329" s="3"/>
      <c r="M329" s="3"/>
    </row>
    <row r="330">
      <c r="A330" s="3"/>
      <c r="C330" s="3"/>
      <c r="D330" s="3"/>
      <c r="E330" s="3"/>
      <c r="F330" s="3"/>
      <c r="G330" s="112"/>
      <c r="H330" s="3"/>
      <c r="J330" s="3"/>
      <c r="K330" s="3"/>
      <c r="M330" s="3"/>
    </row>
    <row r="331">
      <c r="A331" s="3"/>
      <c r="C331" s="3"/>
      <c r="D331" s="3"/>
      <c r="E331" s="3"/>
      <c r="F331" s="3"/>
      <c r="G331" s="112"/>
      <c r="H331" s="3"/>
      <c r="J331" s="3"/>
      <c r="K331" s="3"/>
      <c r="M331" s="3"/>
    </row>
    <row r="332">
      <c r="A332" s="3"/>
      <c r="C332" s="3"/>
      <c r="D332" s="3"/>
      <c r="E332" s="3"/>
      <c r="F332" s="3"/>
      <c r="G332" s="112"/>
      <c r="H332" s="3"/>
      <c r="J332" s="3"/>
      <c r="K332" s="3"/>
      <c r="M332" s="3"/>
    </row>
    <row r="333">
      <c r="A333" s="3"/>
      <c r="C333" s="3"/>
      <c r="D333" s="3"/>
      <c r="E333" s="3"/>
      <c r="F333" s="3"/>
      <c r="G333" s="112"/>
      <c r="H333" s="3"/>
      <c r="J333" s="3"/>
      <c r="K333" s="3"/>
      <c r="M333" s="3"/>
    </row>
    <row r="334">
      <c r="A334" s="3"/>
      <c r="C334" s="3"/>
      <c r="D334" s="3"/>
      <c r="E334" s="3"/>
      <c r="F334" s="3"/>
      <c r="G334" s="112"/>
      <c r="H334" s="3"/>
      <c r="J334" s="3"/>
      <c r="K334" s="3"/>
      <c r="M334" s="3"/>
    </row>
    <row r="335">
      <c r="A335" s="3"/>
      <c r="C335" s="3"/>
      <c r="D335" s="3"/>
      <c r="E335" s="3"/>
      <c r="F335" s="3"/>
      <c r="G335" s="112"/>
      <c r="H335" s="3"/>
      <c r="J335" s="3"/>
      <c r="K335" s="3"/>
      <c r="M335" s="3"/>
    </row>
    <row r="336">
      <c r="A336" s="3"/>
      <c r="C336" s="3"/>
      <c r="D336" s="3"/>
      <c r="E336" s="3"/>
      <c r="F336" s="3"/>
      <c r="G336" s="112"/>
      <c r="H336" s="3"/>
      <c r="J336" s="3"/>
      <c r="K336" s="3"/>
      <c r="M336" s="3"/>
    </row>
    <row r="337">
      <c r="A337" s="3"/>
      <c r="C337" s="3"/>
      <c r="D337" s="3"/>
      <c r="E337" s="3"/>
      <c r="F337" s="3"/>
      <c r="G337" s="112"/>
      <c r="H337" s="3"/>
      <c r="J337" s="3"/>
      <c r="K337" s="3"/>
      <c r="M337" s="3"/>
    </row>
    <row r="338">
      <c r="A338" s="3"/>
      <c r="C338" s="3"/>
      <c r="D338" s="3"/>
      <c r="E338" s="3"/>
      <c r="F338" s="3"/>
      <c r="G338" s="112"/>
      <c r="H338" s="3"/>
      <c r="J338" s="3"/>
      <c r="K338" s="3"/>
      <c r="M338" s="3"/>
    </row>
    <row r="339">
      <c r="A339" s="3"/>
      <c r="C339" s="3"/>
      <c r="D339" s="3"/>
      <c r="E339" s="3"/>
      <c r="F339" s="3"/>
      <c r="G339" s="112"/>
      <c r="H339" s="3"/>
      <c r="J339" s="3"/>
      <c r="K339" s="3"/>
      <c r="M339" s="3"/>
    </row>
    <row r="340">
      <c r="A340" s="3"/>
      <c r="C340" s="3"/>
      <c r="D340" s="3"/>
      <c r="E340" s="3"/>
      <c r="F340" s="3"/>
      <c r="G340" s="112"/>
      <c r="H340" s="3"/>
      <c r="J340" s="3"/>
      <c r="K340" s="3"/>
      <c r="M340" s="3"/>
    </row>
    <row r="341">
      <c r="A341" s="3"/>
      <c r="C341" s="3"/>
      <c r="D341" s="3"/>
      <c r="E341" s="3"/>
      <c r="F341" s="3"/>
      <c r="G341" s="112"/>
      <c r="H341" s="3"/>
      <c r="J341" s="3"/>
      <c r="K341" s="3"/>
      <c r="M341" s="3"/>
    </row>
    <row r="342">
      <c r="A342" s="3"/>
      <c r="C342" s="3"/>
      <c r="D342" s="3"/>
      <c r="E342" s="3"/>
      <c r="F342" s="3"/>
      <c r="G342" s="112"/>
      <c r="H342" s="3"/>
      <c r="J342" s="3"/>
      <c r="K342" s="3"/>
      <c r="M342" s="3"/>
    </row>
    <row r="343">
      <c r="A343" s="3"/>
      <c r="C343" s="3"/>
      <c r="D343" s="3"/>
      <c r="E343" s="3"/>
      <c r="F343" s="3"/>
      <c r="G343" s="112"/>
      <c r="H343" s="3"/>
      <c r="J343" s="3"/>
      <c r="K343" s="3"/>
      <c r="M343" s="3"/>
    </row>
    <row r="344">
      <c r="A344" s="3"/>
      <c r="C344" s="3"/>
      <c r="D344" s="3"/>
      <c r="E344" s="3"/>
      <c r="F344" s="3"/>
      <c r="G344" s="112"/>
      <c r="H344" s="3"/>
      <c r="J344" s="3"/>
      <c r="K344" s="3"/>
      <c r="M344" s="3"/>
    </row>
    <row r="345">
      <c r="A345" s="3"/>
      <c r="C345" s="3"/>
      <c r="D345" s="3"/>
      <c r="E345" s="3"/>
      <c r="F345" s="3"/>
      <c r="G345" s="112"/>
      <c r="H345" s="3"/>
      <c r="J345" s="3"/>
      <c r="K345" s="3"/>
      <c r="M345" s="3"/>
    </row>
    <row r="346">
      <c r="A346" s="3"/>
      <c r="C346" s="3"/>
      <c r="D346" s="3"/>
      <c r="E346" s="3"/>
      <c r="F346" s="3"/>
      <c r="G346" s="112"/>
      <c r="H346" s="3"/>
      <c r="J346" s="3"/>
      <c r="K346" s="3"/>
      <c r="M346" s="3"/>
    </row>
    <row r="347">
      <c r="A347" s="3"/>
      <c r="C347" s="3"/>
      <c r="D347" s="3"/>
      <c r="E347" s="3"/>
      <c r="F347" s="3"/>
      <c r="G347" s="112"/>
      <c r="H347" s="3"/>
      <c r="J347" s="3"/>
      <c r="K347" s="3"/>
      <c r="M347" s="3"/>
    </row>
    <row r="348">
      <c r="A348" s="3"/>
      <c r="C348" s="3"/>
      <c r="D348" s="3"/>
      <c r="E348" s="3"/>
      <c r="F348" s="3"/>
      <c r="G348" s="112"/>
      <c r="H348" s="3"/>
      <c r="J348" s="3"/>
      <c r="K348" s="3"/>
      <c r="M348" s="3"/>
    </row>
    <row r="349">
      <c r="A349" s="3"/>
      <c r="C349" s="3"/>
      <c r="D349" s="3"/>
      <c r="E349" s="3"/>
      <c r="F349" s="3"/>
      <c r="G349" s="112"/>
      <c r="H349" s="3"/>
      <c r="J349" s="3"/>
      <c r="K349" s="3"/>
      <c r="M349" s="3"/>
    </row>
    <row r="350">
      <c r="A350" s="3"/>
      <c r="C350" s="3"/>
      <c r="D350" s="3"/>
      <c r="E350" s="3"/>
      <c r="F350" s="3"/>
      <c r="G350" s="112"/>
      <c r="H350" s="3"/>
      <c r="J350" s="3"/>
      <c r="K350" s="3"/>
      <c r="M350" s="3"/>
    </row>
    <row r="351">
      <c r="A351" s="3"/>
      <c r="C351" s="3"/>
      <c r="D351" s="3"/>
      <c r="E351" s="3"/>
      <c r="F351" s="3"/>
      <c r="G351" s="112"/>
      <c r="H351" s="3"/>
      <c r="J351" s="3"/>
      <c r="K351" s="3"/>
      <c r="M351" s="3"/>
    </row>
    <row r="352">
      <c r="A352" s="3"/>
      <c r="C352" s="3"/>
      <c r="D352" s="3"/>
      <c r="E352" s="3"/>
      <c r="F352" s="3"/>
      <c r="G352" s="112"/>
      <c r="H352" s="3"/>
      <c r="J352" s="3"/>
      <c r="K352" s="3"/>
      <c r="M352" s="3"/>
    </row>
    <row r="353">
      <c r="A353" s="3"/>
      <c r="C353" s="3"/>
      <c r="D353" s="3"/>
      <c r="E353" s="3"/>
      <c r="F353" s="3"/>
      <c r="G353" s="112"/>
      <c r="H353" s="3"/>
      <c r="J353" s="3"/>
      <c r="K353" s="3"/>
      <c r="M353" s="3"/>
    </row>
    <row r="354">
      <c r="A354" s="3"/>
      <c r="C354" s="3"/>
      <c r="D354" s="3"/>
      <c r="E354" s="3"/>
      <c r="F354" s="3"/>
      <c r="G354" s="112"/>
      <c r="H354" s="3"/>
      <c r="J354" s="3"/>
      <c r="K354" s="3"/>
      <c r="M354" s="3"/>
    </row>
    <row r="355">
      <c r="A355" s="3"/>
      <c r="C355" s="3"/>
      <c r="D355" s="3"/>
      <c r="E355" s="3"/>
      <c r="F355" s="3"/>
      <c r="G355" s="112"/>
      <c r="H355" s="3"/>
      <c r="J355" s="3"/>
      <c r="K355" s="3"/>
      <c r="M355" s="3"/>
    </row>
    <row r="356">
      <c r="A356" s="3"/>
      <c r="C356" s="3"/>
      <c r="D356" s="3"/>
      <c r="E356" s="3"/>
      <c r="F356" s="3"/>
      <c r="G356" s="112"/>
      <c r="H356" s="3"/>
      <c r="J356" s="3"/>
      <c r="K356" s="3"/>
      <c r="M356" s="3"/>
    </row>
    <row r="357">
      <c r="A357" s="3"/>
      <c r="C357" s="3"/>
      <c r="D357" s="3"/>
      <c r="E357" s="3"/>
      <c r="F357" s="3"/>
      <c r="G357" s="112"/>
      <c r="H357" s="3"/>
      <c r="J357" s="3"/>
      <c r="K357" s="3"/>
      <c r="M357" s="3"/>
    </row>
    <row r="358">
      <c r="A358" s="3"/>
      <c r="C358" s="3"/>
      <c r="D358" s="3"/>
      <c r="E358" s="3"/>
      <c r="F358" s="3"/>
      <c r="G358" s="112"/>
      <c r="H358" s="3"/>
      <c r="J358" s="3"/>
      <c r="K358" s="3"/>
      <c r="M358" s="3"/>
    </row>
    <row r="359">
      <c r="A359" s="3"/>
      <c r="C359" s="3"/>
      <c r="D359" s="3"/>
      <c r="E359" s="3"/>
      <c r="F359" s="3"/>
      <c r="G359" s="112"/>
      <c r="H359" s="3"/>
      <c r="J359" s="3"/>
      <c r="K359" s="3"/>
      <c r="M359" s="3"/>
    </row>
    <row r="360">
      <c r="A360" s="3"/>
      <c r="C360" s="3"/>
      <c r="D360" s="3"/>
      <c r="E360" s="3"/>
      <c r="F360" s="3"/>
      <c r="G360" s="112"/>
      <c r="H360" s="3"/>
      <c r="J360" s="3"/>
      <c r="K360" s="3"/>
      <c r="M360" s="3"/>
    </row>
    <row r="361">
      <c r="A361" s="3"/>
      <c r="C361" s="3"/>
      <c r="D361" s="3"/>
      <c r="E361" s="3"/>
      <c r="F361" s="3"/>
      <c r="G361" s="112"/>
      <c r="H361" s="3"/>
      <c r="J361" s="3"/>
      <c r="K361" s="3"/>
      <c r="M361" s="3"/>
    </row>
    <row r="362">
      <c r="A362" s="3"/>
      <c r="C362" s="3"/>
      <c r="D362" s="3"/>
      <c r="E362" s="3"/>
      <c r="F362" s="3"/>
      <c r="G362" s="112"/>
      <c r="H362" s="3"/>
      <c r="J362" s="3"/>
      <c r="K362" s="3"/>
      <c r="M362" s="3"/>
    </row>
    <row r="363">
      <c r="A363" s="3"/>
      <c r="C363" s="3"/>
      <c r="D363" s="3"/>
      <c r="E363" s="3"/>
      <c r="F363" s="3"/>
      <c r="G363" s="112"/>
      <c r="H363" s="3"/>
      <c r="J363" s="3"/>
      <c r="K363" s="3"/>
      <c r="M363" s="3"/>
    </row>
    <row r="364">
      <c r="A364" s="3"/>
      <c r="C364" s="3"/>
      <c r="D364" s="3"/>
      <c r="E364" s="3"/>
      <c r="F364" s="3"/>
      <c r="G364" s="112"/>
      <c r="H364" s="3"/>
      <c r="J364" s="3"/>
      <c r="K364" s="3"/>
      <c r="M364" s="3"/>
    </row>
    <row r="365">
      <c r="A365" s="3"/>
      <c r="C365" s="3"/>
      <c r="D365" s="3"/>
      <c r="E365" s="3"/>
      <c r="F365" s="3"/>
      <c r="G365" s="112"/>
      <c r="H365" s="3"/>
      <c r="J365" s="3"/>
      <c r="K365" s="3"/>
      <c r="M365" s="3"/>
    </row>
    <row r="366">
      <c r="A366" s="3"/>
      <c r="C366" s="3"/>
      <c r="D366" s="3"/>
      <c r="E366" s="3"/>
      <c r="F366" s="3"/>
      <c r="G366" s="112"/>
      <c r="H366" s="3"/>
      <c r="J366" s="3"/>
      <c r="K366" s="3"/>
      <c r="M366" s="3"/>
    </row>
    <row r="367">
      <c r="A367" s="3"/>
      <c r="C367" s="3"/>
      <c r="D367" s="3"/>
      <c r="E367" s="3"/>
      <c r="F367" s="3"/>
      <c r="G367" s="112"/>
      <c r="H367" s="3"/>
      <c r="J367" s="3"/>
      <c r="K367" s="3"/>
      <c r="M367" s="3"/>
    </row>
    <row r="368">
      <c r="A368" s="3"/>
      <c r="C368" s="3"/>
      <c r="D368" s="3"/>
      <c r="E368" s="3"/>
      <c r="F368" s="3"/>
      <c r="G368" s="112"/>
      <c r="H368" s="3"/>
      <c r="J368" s="3"/>
      <c r="K368" s="3"/>
      <c r="M368" s="3"/>
    </row>
    <row r="369">
      <c r="A369" s="3"/>
      <c r="C369" s="3"/>
      <c r="D369" s="3"/>
      <c r="E369" s="3"/>
      <c r="F369" s="3"/>
      <c r="G369" s="112"/>
      <c r="H369" s="3"/>
      <c r="J369" s="3"/>
      <c r="K369" s="3"/>
      <c r="M369" s="3"/>
    </row>
    <row r="370">
      <c r="A370" s="3"/>
      <c r="C370" s="3"/>
      <c r="D370" s="3"/>
      <c r="E370" s="3"/>
      <c r="F370" s="3"/>
      <c r="G370" s="112"/>
      <c r="H370" s="3"/>
      <c r="J370" s="3"/>
      <c r="K370" s="3"/>
      <c r="M370" s="3"/>
    </row>
    <row r="371">
      <c r="A371" s="3"/>
      <c r="C371" s="3"/>
      <c r="D371" s="3"/>
      <c r="E371" s="3"/>
      <c r="F371" s="3"/>
      <c r="G371" s="112"/>
      <c r="H371" s="3"/>
      <c r="J371" s="3"/>
      <c r="K371" s="3"/>
      <c r="M371" s="3"/>
    </row>
    <row r="372">
      <c r="A372" s="3"/>
      <c r="C372" s="3"/>
      <c r="D372" s="3"/>
      <c r="E372" s="3"/>
      <c r="F372" s="3"/>
      <c r="G372" s="112"/>
      <c r="H372" s="3"/>
      <c r="J372" s="3"/>
      <c r="K372" s="3"/>
      <c r="M372" s="3"/>
    </row>
    <row r="373">
      <c r="A373" s="3"/>
      <c r="C373" s="3"/>
      <c r="D373" s="3"/>
      <c r="E373" s="3"/>
      <c r="F373" s="3"/>
      <c r="G373" s="112"/>
      <c r="H373" s="3"/>
      <c r="J373" s="3"/>
      <c r="K373" s="3"/>
      <c r="M373" s="3"/>
    </row>
    <row r="374">
      <c r="A374" s="3"/>
      <c r="C374" s="3"/>
      <c r="D374" s="3"/>
      <c r="E374" s="3"/>
      <c r="F374" s="3"/>
      <c r="G374" s="112"/>
      <c r="H374" s="3"/>
      <c r="J374" s="3"/>
      <c r="K374" s="3"/>
      <c r="M374" s="3"/>
    </row>
    <row r="375">
      <c r="A375" s="3"/>
      <c r="C375" s="3"/>
      <c r="D375" s="3"/>
      <c r="E375" s="3"/>
      <c r="F375" s="3"/>
      <c r="G375" s="112"/>
      <c r="H375" s="3"/>
      <c r="J375" s="3"/>
      <c r="K375" s="3"/>
      <c r="M375" s="3"/>
    </row>
    <row r="376">
      <c r="A376" s="3"/>
      <c r="C376" s="3"/>
      <c r="D376" s="3"/>
      <c r="E376" s="3"/>
      <c r="F376" s="3"/>
      <c r="G376" s="112"/>
      <c r="H376" s="3"/>
      <c r="J376" s="3"/>
      <c r="K376" s="3"/>
      <c r="M376" s="3"/>
    </row>
    <row r="377">
      <c r="A377" s="3"/>
      <c r="C377" s="3"/>
      <c r="D377" s="3"/>
      <c r="E377" s="3"/>
      <c r="F377" s="3"/>
      <c r="G377" s="112"/>
      <c r="H377" s="3"/>
      <c r="J377" s="3"/>
      <c r="K377" s="3"/>
      <c r="M377" s="3"/>
    </row>
    <row r="378">
      <c r="A378" s="3"/>
      <c r="C378" s="3"/>
      <c r="D378" s="3"/>
      <c r="E378" s="3"/>
      <c r="F378" s="3"/>
      <c r="G378" s="112"/>
      <c r="H378" s="3"/>
      <c r="J378" s="3"/>
      <c r="K378" s="3"/>
      <c r="M378" s="3"/>
    </row>
    <row r="379">
      <c r="A379" s="3"/>
      <c r="C379" s="3"/>
      <c r="D379" s="3"/>
      <c r="E379" s="3"/>
      <c r="F379" s="3"/>
      <c r="G379" s="112"/>
      <c r="H379" s="3"/>
      <c r="J379" s="3"/>
      <c r="K379" s="3"/>
      <c r="M379" s="3"/>
    </row>
    <row r="380">
      <c r="A380" s="3"/>
      <c r="C380" s="3"/>
      <c r="D380" s="3"/>
      <c r="E380" s="3"/>
      <c r="F380" s="3"/>
      <c r="G380" s="112"/>
      <c r="H380" s="3"/>
      <c r="J380" s="3"/>
      <c r="K380" s="3"/>
      <c r="M380" s="3"/>
    </row>
    <row r="381">
      <c r="A381" s="3"/>
      <c r="C381" s="3"/>
      <c r="D381" s="3"/>
      <c r="E381" s="3"/>
      <c r="F381" s="3"/>
      <c r="G381" s="112"/>
      <c r="H381" s="3"/>
      <c r="J381" s="3"/>
      <c r="K381" s="3"/>
      <c r="M381" s="3"/>
    </row>
    <row r="382">
      <c r="A382" s="3"/>
      <c r="C382" s="3"/>
      <c r="D382" s="3"/>
      <c r="E382" s="3"/>
      <c r="F382" s="3"/>
      <c r="G382" s="112"/>
      <c r="H382" s="3"/>
      <c r="J382" s="3"/>
      <c r="K382" s="3"/>
      <c r="M382" s="3"/>
    </row>
    <row r="383">
      <c r="A383" s="3"/>
      <c r="C383" s="3"/>
      <c r="D383" s="3"/>
      <c r="E383" s="3"/>
      <c r="F383" s="3"/>
      <c r="G383" s="112"/>
      <c r="H383" s="3"/>
      <c r="J383" s="3"/>
      <c r="K383" s="3"/>
      <c r="M383" s="3"/>
    </row>
    <row r="384">
      <c r="A384" s="3"/>
      <c r="C384" s="3"/>
      <c r="D384" s="3"/>
      <c r="E384" s="3"/>
      <c r="F384" s="3"/>
      <c r="G384" s="112"/>
      <c r="H384" s="3"/>
      <c r="J384" s="3"/>
      <c r="K384" s="3"/>
      <c r="M384" s="3"/>
    </row>
    <row r="385">
      <c r="A385" s="3"/>
      <c r="C385" s="3"/>
      <c r="D385" s="3"/>
      <c r="E385" s="3"/>
      <c r="F385" s="3"/>
      <c r="G385" s="112"/>
      <c r="H385" s="3"/>
      <c r="J385" s="3"/>
      <c r="K385" s="3"/>
      <c r="M385" s="3"/>
    </row>
    <row r="386">
      <c r="A386" s="3"/>
      <c r="C386" s="3"/>
      <c r="D386" s="3"/>
      <c r="E386" s="3"/>
      <c r="F386" s="3"/>
      <c r="G386" s="112"/>
      <c r="H386" s="3"/>
      <c r="J386" s="3"/>
      <c r="K386" s="3"/>
      <c r="M386" s="3"/>
    </row>
    <row r="387">
      <c r="A387" s="3"/>
      <c r="C387" s="3"/>
      <c r="D387" s="3"/>
      <c r="E387" s="3"/>
      <c r="F387" s="3"/>
      <c r="G387" s="112"/>
      <c r="H387" s="3"/>
      <c r="J387" s="3"/>
      <c r="K387" s="3"/>
      <c r="M387" s="3"/>
    </row>
    <row r="388">
      <c r="A388" s="3"/>
      <c r="C388" s="3"/>
      <c r="D388" s="3"/>
      <c r="E388" s="3"/>
      <c r="F388" s="3"/>
      <c r="G388" s="112"/>
      <c r="H388" s="3"/>
      <c r="J388" s="3"/>
      <c r="K388" s="3"/>
      <c r="M388" s="3"/>
    </row>
    <row r="389">
      <c r="A389" s="3"/>
      <c r="C389" s="3"/>
      <c r="D389" s="3"/>
      <c r="E389" s="3"/>
      <c r="F389" s="3"/>
      <c r="G389" s="112"/>
      <c r="H389" s="3"/>
      <c r="J389" s="3"/>
      <c r="K389" s="3"/>
      <c r="M389" s="3"/>
    </row>
    <row r="390">
      <c r="A390" s="3"/>
      <c r="C390" s="3"/>
      <c r="D390" s="3"/>
      <c r="E390" s="3"/>
      <c r="F390" s="3"/>
      <c r="G390" s="112"/>
      <c r="H390" s="3"/>
      <c r="J390" s="3"/>
      <c r="K390" s="3"/>
      <c r="M390" s="3"/>
    </row>
    <row r="391">
      <c r="A391" s="3"/>
      <c r="C391" s="3"/>
      <c r="D391" s="3"/>
      <c r="E391" s="3"/>
      <c r="F391" s="3"/>
      <c r="G391" s="112"/>
      <c r="H391" s="3"/>
      <c r="J391" s="3"/>
      <c r="K391" s="3"/>
      <c r="M391" s="3"/>
    </row>
    <row r="392">
      <c r="A392" s="3"/>
      <c r="C392" s="3"/>
      <c r="D392" s="3"/>
      <c r="E392" s="3"/>
      <c r="F392" s="3"/>
      <c r="G392" s="112"/>
      <c r="H392" s="3"/>
      <c r="J392" s="3"/>
      <c r="K392" s="3"/>
      <c r="M392" s="3"/>
    </row>
    <row r="393">
      <c r="A393" s="3"/>
      <c r="C393" s="3"/>
      <c r="D393" s="3"/>
      <c r="E393" s="3"/>
      <c r="F393" s="3"/>
      <c r="G393" s="112"/>
      <c r="H393" s="3"/>
      <c r="J393" s="3"/>
      <c r="K393" s="3"/>
      <c r="M393" s="3"/>
    </row>
    <row r="394">
      <c r="A394" s="3"/>
      <c r="C394" s="3"/>
      <c r="D394" s="3"/>
      <c r="E394" s="3"/>
      <c r="F394" s="3"/>
      <c r="G394" s="112"/>
      <c r="H394" s="3"/>
      <c r="J394" s="3"/>
      <c r="K394" s="3"/>
      <c r="M394" s="3"/>
    </row>
    <row r="395">
      <c r="A395" s="3"/>
      <c r="C395" s="3"/>
      <c r="D395" s="3"/>
      <c r="E395" s="3"/>
      <c r="F395" s="3"/>
      <c r="G395" s="112"/>
      <c r="H395" s="3"/>
      <c r="J395" s="3"/>
      <c r="K395" s="3"/>
      <c r="M395" s="3"/>
    </row>
    <row r="396">
      <c r="A396" s="3"/>
      <c r="C396" s="3"/>
      <c r="D396" s="3"/>
      <c r="E396" s="3"/>
      <c r="F396" s="3"/>
      <c r="G396" s="112"/>
      <c r="H396" s="3"/>
      <c r="J396" s="3"/>
      <c r="K396" s="3"/>
      <c r="M396" s="3"/>
    </row>
    <row r="397">
      <c r="A397" s="3"/>
      <c r="C397" s="3"/>
      <c r="D397" s="3"/>
      <c r="E397" s="3"/>
      <c r="F397" s="3"/>
      <c r="G397" s="112"/>
      <c r="H397" s="3"/>
      <c r="J397" s="3"/>
      <c r="K397" s="3"/>
      <c r="M397" s="3"/>
    </row>
    <row r="398">
      <c r="A398" s="3"/>
      <c r="C398" s="3"/>
      <c r="D398" s="3"/>
      <c r="E398" s="3"/>
      <c r="F398" s="3"/>
      <c r="G398" s="112"/>
      <c r="H398" s="3"/>
      <c r="J398" s="3"/>
      <c r="K398" s="3"/>
      <c r="M398" s="3"/>
    </row>
    <row r="399">
      <c r="A399" s="3"/>
      <c r="C399" s="3"/>
      <c r="D399" s="3"/>
      <c r="E399" s="3"/>
      <c r="F399" s="3"/>
      <c r="G399" s="112"/>
      <c r="H399" s="3"/>
      <c r="J399" s="3"/>
      <c r="K399" s="3"/>
      <c r="M399" s="3"/>
    </row>
    <row r="400">
      <c r="A400" s="3"/>
      <c r="C400" s="3"/>
      <c r="D400" s="3"/>
      <c r="E400" s="3"/>
      <c r="F400" s="3"/>
      <c r="G400" s="112"/>
      <c r="H400" s="3"/>
      <c r="J400" s="3"/>
      <c r="K400" s="3"/>
      <c r="M400" s="3"/>
    </row>
    <row r="401">
      <c r="A401" s="3"/>
      <c r="C401" s="3"/>
      <c r="D401" s="3"/>
      <c r="E401" s="3"/>
      <c r="F401" s="3"/>
      <c r="G401" s="112"/>
      <c r="H401" s="3"/>
      <c r="J401" s="3"/>
      <c r="K401" s="3"/>
      <c r="M401" s="3"/>
    </row>
    <row r="402">
      <c r="A402" s="3"/>
      <c r="C402" s="3"/>
      <c r="D402" s="3"/>
      <c r="E402" s="3"/>
      <c r="F402" s="3"/>
      <c r="G402" s="112"/>
      <c r="H402" s="3"/>
      <c r="J402" s="3"/>
      <c r="K402" s="3"/>
      <c r="M402" s="3"/>
    </row>
    <row r="403">
      <c r="A403" s="3"/>
      <c r="C403" s="3"/>
      <c r="D403" s="3"/>
      <c r="E403" s="3"/>
      <c r="F403" s="3"/>
      <c r="G403" s="112"/>
      <c r="H403" s="3"/>
      <c r="J403" s="3"/>
      <c r="K403" s="3"/>
      <c r="M403" s="3"/>
    </row>
    <row r="404">
      <c r="A404" s="3"/>
      <c r="C404" s="3"/>
      <c r="D404" s="3"/>
      <c r="E404" s="3"/>
      <c r="F404" s="3"/>
      <c r="G404" s="112"/>
      <c r="H404" s="3"/>
      <c r="J404" s="3"/>
      <c r="K404" s="3"/>
      <c r="M404" s="3"/>
    </row>
    <row r="405">
      <c r="A405" s="3"/>
      <c r="C405" s="3"/>
      <c r="D405" s="3"/>
      <c r="E405" s="3"/>
      <c r="F405" s="3"/>
      <c r="G405" s="112"/>
      <c r="H405" s="3"/>
      <c r="J405" s="3"/>
      <c r="K405" s="3"/>
      <c r="M405" s="3"/>
    </row>
    <row r="406">
      <c r="A406" s="3"/>
      <c r="C406" s="3"/>
      <c r="D406" s="3"/>
      <c r="E406" s="3"/>
      <c r="F406" s="3"/>
      <c r="G406" s="112"/>
      <c r="H406" s="3"/>
      <c r="J406" s="3"/>
      <c r="K406" s="3"/>
      <c r="M406" s="3"/>
    </row>
    <row r="407">
      <c r="A407" s="3"/>
      <c r="C407" s="3"/>
      <c r="D407" s="3"/>
      <c r="E407" s="3"/>
      <c r="F407" s="3"/>
      <c r="G407" s="112"/>
      <c r="H407" s="3"/>
      <c r="J407" s="3"/>
      <c r="K407" s="3"/>
      <c r="M407" s="3"/>
    </row>
    <row r="408">
      <c r="A408" s="3"/>
      <c r="C408" s="3"/>
      <c r="D408" s="3"/>
      <c r="E408" s="3"/>
      <c r="F408" s="3"/>
      <c r="G408" s="112"/>
      <c r="H408" s="3"/>
      <c r="J408" s="3"/>
      <c r="K408" s="3"/>
      <c r="M408" s="3"/>
    </row>
    <row r="409">
      <c r="A409" s="3"/>
      <c r="C409" s="3"/>
      <c r="D409" s="3"/>
      <c r="E409" s="3"/>
      <c r="F409" s="3"/>
      <c r="G409" s="112"/>
      <c r="H409" s="3"/>
      <c r="J409" s="3"/>
      <c r="K409" s="3"/>
      <c r="M409" s="3"/>
    </row>
    <row r="410">
      <c r="A410" s="3"/>
      <c r="C410" s="3"/>
      <c r="D410" s="3"/>
      <c r="E410" s="3"/>
      <c r="F410" s="3"/>
      <c r="G410" s="112"/>
      <c r="H410" s="3"/>
      <c r="J410" s="3"/>
      <c r="K410" s="3"/>
      <c r="M410" s="3"/>
    </row>
    <row r="411">
      <c r="A411" s="3"/>
      <c r="C411" s="3"/>
      <c r="D411" s="3"/>
      <c r="E411" s="3"/>
      <c r="F411" s="3"/>
      <c r="G411" s="112"/>
      <c r="H411" s="3"/>
      <c r="J411" s="3"/>
      <c r="K411" s="3"/>
      <c r="M411" s="3"/>
    </row>
    <row r="412">
      <c r="A412" s="3"/>
      <c r="C412" s="3"/>
      <c r="D412" s="3"/>
      <c r="E412" s="3"/>
      <c r="F412" s="3"/>
      <c r="G412" s="112"/>
      <c r="H412" s="3"/>
      <c r="J412" s="3"/>
      <c r="K412" s="3"/>
      <c r="M412" s="3"/>
    </row>
    <row r="413">
      <c r="A413" s="3"/>
      <c r="C413" s="3"/>
      <c r="D413" s="3"/>
      <c r="E413" s="3"/>
      <c r="F413" s="3"/>
      <c r="G413" s="112"/>
      <c r="H413" s="3"/>
      <c r="J413" s="3"/>
      <c r="K413" s="3"/>
      <c r="M413" s="3"/>
    </row>
    <row r="414">
      <c r="A414" s="3"/>
      <c r="C414" s="3"/>
      <c r="D414" s="3"/>
      <c r="E414" s="3"/>
      <c r="F414" s="3"/>
      <c r="G414" s="112"/>
      <c r="H414" s="3"/>
      <c r="J414" s="3"/>
      <c r="K414" s="3"/>
      <c r="M414" s="3"/>
    </row>
    <row r="415">
      <c r="A415" s="3"/>
      <c r="C415" s="3"/>
      <c r="D415" s="3"/>
      <c r="E415" s="3"/>
      <c r="F415" s="3"/>
      <c r="G415" s="112"/>
      <c r="H415" s="3"/>
      <c r="J415" s="3"/>
      <c r="K415" s="3"/>
      <c r="M415" s="3"/>
    </row>
    <row r="416">
      <c r="A416" s="3"/>
      <c r="C416" s="3"/>
      <c r="D416" s="3"/>
      <c r="E416" s="3"/>
      <c r="F416" s="3"/>
      <c r="G416" s="112"/>
      <c r="H416" s="3"/>
      <c r="J416" s="3"/>
      <c r="K416" s="3"/>
      <c r="M416" s="3"/>
    </row>
    <row r="417">
      <c r="A417" s="3"/>
      <c r="C417" s="3"/>
      <c r="D417" s="3"/>
      <c r="E417" s="3"/>
      <c r="F417" s="3"/>
      <c r="G417" s="112"/>
      <c r="H417" s="3"/>
      <c r="J417" s="3"/>
      <c r="K417" s="3"/>
      <c r="M417" s="3"/>
    </row>
    <row r="418">
      <c r="A418" s="3"/>
      <c r="C418" s="3"/>
      <c r="D418" s="3"/>
      <c r="E418" s="3"/>
      <c r="F418" s="3"/>
      <c r="G418" s="112"/>
      <c r="H418" s="3"/>
      <c r="J418" s="3"/>
      <c r="K418" s="3"/>
      <c r="M418" s="3"/>
    </row>
    <row r="419">
      <c r="A419" s="3"/>
      <c r="C419" s="3"/>
      <c r="D419" s="3"/>
      <c r="E419" s="3"/>
      <c r="F419" s="3"/>
      <c r="G419" s="112"/>
      <c r="H419" s="3"/>
      <c r="J419" s="3"/>
      <c r="K419" s="3"/>
      <c r="M419" s="3"/>
    </row>
    <row r="420">
      <c r="A420" s="3"/>
      <c r="C420" s="3"/>
      <c r="D420" s="3"/>
      <c r="E420" s="3"/>
      <c r="F420" s="3"/>
      <c r="G420" s="112"/>
      <c r="H420" s="3"/>
      <c r="J420" s="3"/>
      <c r="K420" s="3"/>
      <c r="M420" s="3"/>
    </row>
    <row r="421">
      <c r="A421" s="3"/>
      <c r="C421" s="3"/>
      <c r="D421" s="3"/>
      <c r="E421" s="3"/>
      <c r="F421" s="3"/>
      <c r="G421" s="112"/>
      <c r="H421" s="3"/>
      <c r="J421" s="3"/>
      <c r="K421" s="3"/>
      <c r="M421" s="3"/>
    </row>
    <row r="422">
      <c r="A422" s="3"/>
      <c r="C422" s="3"/>
      <c r="D422" s="3"/>
      <c r="E422" s="3"/>
      <c r="F422" s="3"/>
      <c r="G422" s="112"/>
      <c r="H422" s="3"/>
      <c r="J422" s="3"/>
      <c r="K422" s="3"/>
      <c r="M422" s="3"/>
    </row>
    <row r="423">
      <c r="A423" s="3"/>
      <c r="C423" s="3"/>
      <c r="D423" s="3"/>
      <c r="E423" s="3"/>
      <c r="F423" s="3"/>
      <c r="G423" s="112"/>
      <c r="H423" s="3"/>
      <c r="J423" s="3"/>
      <c r="K423" s="3"/>
      <c r="M423" s="3"/>
    </row>
    <row r="424">
      <c r="A424" s="3"/>
      <c r="C424" s="3"/>
      <c r="D424" s="3"/>
      <c r="E424" s="3"/>
      <c r="F424" s="3"/>
      <c r="G424" s="112"/>
      <c r="H424" s="3"/>
      <c r="J424" s="3"/>
      <c r="K424" s="3"/>
      <c r="M424" s="3"/>
    </row>
    <row r="425">
      <c r="A425" s="3"/>
      <c r="C425" s="3"/>
      <c r="D425" s="3"/>
      <c r="E425" s="3"/>
      <c r="F425" s="3"/>
      <c r="G425" s="112"/>
      <c r="H425" s="3"/>
      <c r="J425" s="3"/>
      <c r="K425" s="3"/>
      <c r="M425" s="3"/>
    </row>
    <row r="426">
      <c r="A426" s="3"/>
      <c r="C426" s="3"/>
      <c r="D426" s="3"/>
      <c r="E426" s="3"/>
      <c r="F426" s="3"/>
      <c r="G426" s="112"/>
      <c r="H426" s="3"/>
      <c r="J426" s="3"/>
      <c r="K426" s="3"/>
      <c r="M426" s="3"/>
    </row>
    <row r="427">
      <c r="A427" s="3"/>
      <c r="C427" s="3"/>
      <c r="D427" s="3"/>
      <c r="E427" s="3"/>
      <c r="F427" s="3"/>
      <c r="G427" s="112"/>
      <c r="H427" s="3"/>
      <c r="J427" s="3"/>
      <c r="K427" s="3"/>
      <c r="M427" s="3"/>
    </row>
    <row r="428">
      <c r="A428" s="3"/>
      <c r="C428" s="3"/>
      <c r="D428" s="3"/>
      <c r="E428" s="3"/>
      <c r="F428" s="3"/>
      <c r="G428" s="112"/>
      <c r="H428" s="3"/>
      <c r="J428" s="3"/>
      <c r="K428" s="3"/>
      <c r="M428" s="3"/>
    </row>
    <row r="429">
      <c r="A429" s="3"/>
      <c r="C429" s="3"/>
      <c r="D429" s="3"/>
      <c r="E429" s="3"/>
      <c r="F429" s="3"/>
      <c r="G429" s="112"/>
      <c r="H429" s="3"/>
      <c r="J429" s="3"/>
      <c r="K429" s="3"/>
      <c r="M429" s="3"/>
    </row>
    <row r="430">
      <c r="A430" s="3"/>
      <c r="C430" s="3"/>
      <c r="D430" s="3"/>
      <c r="E430" s="3"/>
      <c r="F430" s="3"/>
      <c r="G430" s="112"/>
      <c r="H430" s="3"/>
      <c r="J430" s="3"/>
      <c r="K430" s="3"/>
      <c r="M430" s="3"/>
    </row>
    <row r="431">
      <c r="A431" s="3"/>
      <c r="C431" s="3"/>
      <c r="D431" s="3"/>
      <c r="E431" s="3"/>
      <c r="F431" s="3"/>
      <c r="G431" s="112"/>
      <c r="H431" s="3"/>
      <c r="J431" s="3"/>
      <c r="K431" s="3"/>
      <c r="M431" s="3"/>
    </row>
    <row r="432">
      <c r="A432" s="3"/>
      <c r="C432" s="3"/>
      <c r="D432" s="3"/>
      <c r="E432" s="3"/>
      <c r="F432" s="3"/>
      <c r="G432" s="112"/>
      <c r="H432" s="3"/>
      <c r="J432" s="3"/>
      <c r="K432" s="3"/>
      <c r="M432" s="3"/>
    </row>
    <row r="433">
      <c r="A433" s="3"/>
      <c r="C433" s="3"/>
      <c r="D433" s="3"/>
      <c r="E433" s="3"/>
      <c r="F433" s="3"/>
      <c r="G433" s="112"/>
      <c r="H433" s="3"/>
      <c r="J433" s="3"/>
      <c r="K433" s="3"/>
      <c r="M433" s="3"/>
    </row>
    <row r="434">
      <c r="A434" s="3"/>
      <c r="C434" s="3"/>
      <c r="D434" s="3"/>
      <c r="E434" s="3"/>
      <c r="F434" s="3"/>
      <c r="G434" s="112"/>
      <c r="H434" s="3"/>
      <c r="J434" s="3"/>
      <c r="K434" s="3"/>
      <c r="M434" s="3"/>
    </row>
    <row r="435">
      <c r="A435" s="3"/>
      <c r="C435" s="3"/>
      <c r="D435" s="3"/>
      <c r="E435" s="3"/>
      <c r="F435" s="3"/>
      <c r="G435" s="112"/>
      <c r="H435" s="3"/>
      <c r="J435" s="3"/>
      <c r="K435" s="3"/>
      <c r="M435" s="3"/>
    </row>
    <row r="436">
      <c r="A436" s="3"/>
      <c r="C436" s="3"/>
      <c r="D436" s="3"/>
      <c r="E436" s="3"/>
      <c r="F436" s="3"/>
      <c r="G436" s="112"/>
      <c r="H436" s="3"/>
      <c r="J436" s="3"/>
      <c r="K436" s="3"/>
      <c r="M436" s="3"/>
    </row>
    <row r="437">
      <c r="A437" s="3"/>
      <c r="C437" s="3"/>
      <c r="D437" s="3"/>
      <c r="E437" s="3"/>
      <c r="F437" s="3"/>
      <c r="G437" s="112"/>
      <c r="H437" s="3"/>
      <c r="J437" s="3"/>
      <c r="K437" s="3"/>
      <c r="M437" s="3"/>
    </row>
    <row r="438">
      <c r="A438" s="3"/>
      <c r="C438" s="3"/>
      <c r="D438" s="3"/>
      <c r="E438" s="3"/>
      <c r="F438" s="3"/>
      <c r="G438" s="112"/>
      <c r="H438" s="3"/>
      <c r="J438" s="3"/>
      <c r="K438" s="3"/>
      <c r="M438" s="3"/>
    </row>
    <row r="439">
      <c r="A439" s="3"/>
      <c r="C439" s="3"/>
      <c r="D439" s="3"/>
      <c r="E439" s="3"/>
      <c r="F439" s="3"/>
      <c r="G439" s="112"/>
      <c r="H439" s="3"/>
      <c r="J439" s="3"/>
      <c r="K439" s="3"/>
      <c r="M439" s="3"/>
    </row>
    <row r="440">
      <c r="A440" s="3"/>
      <c r="C440" s="3"/>
      <c r="D440" s="3"/>
      <c r="E440" s="3"/>
      <c r="F440" s="3"/>
      <c r="G440" s="112"/>
      <c r="H440" s="3"/>
      <c r="J440" s="3"/>
      <c r="K440" s="3"/>
      <c r="M440" s="3"/>
    </row>
    <row r="441">
      <c r="A441" s="3"/>
      <c r="C441" s="3"/>
      <c r="D441" s="3"/>
      <c r="E441" s="3"/>
      <c r="F441" s="3"/>
      <c r="G441" s="112"/>
      <c r="H441" s="3"/>
      <c r="J441" s="3"/>
      <c r="K441" s="3"/>
      <c r="M441" s="3"/>
    </row>
    <row r="442">
      <c r="A442" s="3"/>
      <c r="C442" s="3"/>
      <c r="D442" s="3"/>
      <c r="E442" s="3"/>
      <c r="F442" s="3"/>
      <c r="G442" s="112"/>
      <c r="H442" s="3"/>
      <c r="J442" s="3"/>
      <c r="K442" s="3"/>
      <c r="M442" s="3"/>
    </row>
    <row r="443">
      <c r="A443" s="3"/>
      <c r="C443" s="3"/>
      <c r="D443" s="3"/>
      <c r="E443" s="3"/>
      <c r="F443" s="3"/>
      <c r="G443" s="112"/>
      <c r="H443" s="3"/>
      <c r="J443" s="3"/>
      <c r="K443" s="3"/>
      <c r="M443" s="3"/>
    </row>
    <row r="444">
      <c r="A444" s="3"/>
      <c r="C444" s="3"/>
      <c r="D444" s="3"/>
      <c r="E444" s="3"/>
      <c r="F444" s="3"/>
      <c r="G444" s="112"/>
      <c r="H444" s="3"/>
      <c r="J444" s="3"/>
      <c r="K444" s="3"/>
      <c r="M444" s="3"/>
    </row>
    <row r="445">
      <c r="A445" s="3"/>
      <c r="C445" s="3"/>
      <c r="D445" s="3"/>
      <c r="E445" s="3"/>
      <c r="F445" s="3"/>
      <c r="G445" s="112"/>
      <c r="H445" s="3"/>
      <c r="J445" s="3"/>
      <c r="K445" s="3"/>
      <c r="M445" s="3"/>
    </row>
    <row r="446">
      <c r="A446" s="3"/>
      <c r="C446" s="3"/>
      <c r="D446" s="3"/>
      <c r="E446" s="3"/>
      <c r="F446" s="3"/>
      <c r="G446" s="112"/>
      <c r="H446" s="3"/>
      <c r="J446" s="3"/>
      <c r="K446" s="3"/>
      <c r="M446" s="3"/>
    </row>
    <row r="447">
      <c r="A447" s="3"/>
      <c r="C447" s="3"/>
      <c r="D447" s="3"/>
      <c r="E447" s="3"/>
      <c r="F447" s="3"/>
      <c r="G447" s="112"/>
      <c r="H447" s="3"/>
      <c r="J447" s="3"/>
      <c r="K447" s="3"/>
      <c r="M447" s="3"/>
    </row>
    <row r="448">
      <c r="A448" s="3"/>
      <c r="C448" s="3"/>
      <c r="D448" s="3"/>
      <c r="E448" s="3"/>
      <c r="F448" s="3"/>
      <c r="G448" s="112"/>
      <c r="H448" s="3"/>
      <c r="J448" s="3"/>
      <c r="K448" s="3"/>
      <c r="M448" s="3"/>
    </row>
    <row r="449">
      <c r="A449" s="3"/>
      <c r="C449" s="3"/>
      <c r="D449" s="3"/>
      <c r="E449" s="3"/>
      <c r="F449" s="3"/>
      <c r="G449" s="112"/>
      <c r="H449" s="3"/>
      <c r="J449" s="3"/>
      <c r="K449" s="3"/>
      <c r="M449" s="3"/>
    </row>
    <row r="450">
      <c r="A450" s="3"/>
      <c r="C450" s="3"/>
      <c r="D450" s="3"/>
      <c r="E450" s="3"/>
      <c r="F450" s="3"/>
      <c r="G450" s="112"/>
      <c r="H450" s="3"/>
      <c r="J450" s="3"/>
      <c r="K450" s="3"/>
      <c r="M450" s="3"/>
    </row>
    <row r="451">
      <c r="A451" s="3"/>
      <c r="C451" s="3"/>
      <c r="D451" s="3"/>
      <c r="E451" s="3"/>
      <c r="F451" s="3"/>
      <c r="G451" s="112"/>
      <c r="H451" s="3"/>
      <c r="J451" s="3"/>
      <c r="K451" s="3"/>
      <c r="M451" s="3"/>
    </row>
    <row r="452">
      <c r="A452" s="3"/>
      <c r="C452" s="3"/>
      <c r="D452" s="3"/>
      <c r="E452" s="3"/>
      <c r="F452" s="3"/>
      <c r="G452" s="112"/>
      <c r="H452" s="3"/>
      <c r="J452" s="3"/>
      <c r="K452" s="3"/>
      <c r="M452" s="3"/>
    </row>
    <row r="453">
      <c r="A453" s="3"/>
      <c r="C453" s="3"/>
      <c r="D453" s="3"/>
      <c r="E453" s="3"/>
      <c r="F453" s="3"/>
      <c r="G453" s="112"/>
      <c r="H453" s="3"/>
      <c r="J453" s="3"/>
      <c r="K453" s="3"/>
      <c r="M453" s="3"/>
    </row>
    <row r="454">
      <c r="A454" s="3"/>
      <c r="C454" s="3"/>
      <c r="D454" s="3"/>
      <c r="E454" s="3"/>
      <c r="F454" s="3"/>
      <c r="G454" s="112"/>
      <c r="H454" s="3"/>
      <c r="J454" s="3"/>
      <c r="K454" s="3"/>
      <c r="M454" s="3"/>
    </row>
    <row r="455">
      <c r="A455" s="3"/>
      <c r="C455" s="3"/>
      <c r="D455" s="3"/>
      <c r="E455" s="3"/>
      <c r="F455" s="3"/>
      <c r="G455" s="112"/>
      <c r="H455" s="3"/>
      <c r="J455" s="3"/>
      <c r="K455" s="3"/>
      <c r="M455" s="3"/>
    </row>
    <row r="456">
      <c r="A456" s="3"/>
      <c r="C456" s="3"/>
      <c r="D456" s="3"/>
      <c r="E456" s="3"/>
      <c r="F456" s="3"/>
      <c r="G456" s="112"/>
      <c r="H456" s="3"/>
      <c r="J456" s="3"/>
      <c r="K456" s="3"/>
      <c r="M456" s="3"/>
    </row>
    <row r="457">
      <c r="A457" s="3"/>
      <c r="C457" s="3"/>
      <c r="D457" s="3"/>
      <c r="E457" s="3"/>
      <c r="F457" s="3"/>
      <c r="G457" s="112"/>
      <c r="H457" s="3"/>
      <c r="J457" s="3"/>
      <c r="K457" s="3"/>
      <c r="M457" s="3"/>
    </row>
    <row r="458">
      <c r="A458" s="3"/>
      <c r="C458" s="3"/>
      <c r="D458" s="3"/>
      <c r="E458" s="3"/>
      <c r="F458" s="3"/>
      <c r="G458" s="112"/>
      <c r="H458" s="3"/>
      <c r="J458" s="3"/>
      <c r="K458" s="3"/>
      <c r="M458" s="3"/>
    </row>
    <row r="459">
      <c r="A459" s="3"/>
      <c r="C459" s="3"/>
      <c r="D459" s="3"/>
      <c r="E459" s="3"/>
      <c r="F459" s="3"/>
      <c r="G459" s="112"/>
      <c r="H459" s="3"/>
      <c r="J459" s="3"/>
      <c r="K459" s="3"/>
      <c r="M459" s="3"/>
    </row>
    <row r="460">
      <c r="A460" s="3"/>
      <c r="C460" s="3"/>
      <c r="D460" s="3"/>
      <c r="E460" s="3"/>
      <c r="F460" s="3"/>
      <c r="G460" s="112"/>
      <c r="H460" s="3"/>
      <c r="J460" s="3"/>
      <c r="K460" s="3"/>
      <c r="M460" s="3"/>
    </row>
    <row r="461">
      <c r="A461" s="3"/>
      <c r="C461" s="3"/>
      <c r="D461" s="3"/>
      <c r="E461" s="3"/>
      <c r="F461" s="3"/>
      <c r="G461" s="112"/>
      <c r="H461" s="3"/>
      <c r="J461" s="3"/>
      <c r="K461" s="3"/>
      <c r="M461" s="3"/>
    </row>
    <row r="462">
      <c r="A462" s="3"/>
      <c r="C462" s="3"/>
      <c r="D462" s="3"/>
      <c r="E462" s="3"/>
      <c r="F462" s="3"/>
      <c r="G462" s="112"/>
      <c r="H462" s="3"/>
      <c r="J462" s="3"/>
      <c r="K462" s="3"/>
      <c r="M462" s="3"/>
    </row>
    <row r="463">
      <c r="A463" s="3"/>
      <c r="C463" s="3"/>
      <c r="D463" s="3"/>
      <c r="E463" s="3"/>
      <c r="F463" s="3"/>
      <c r="G463" s="112"/>
      <c r="H463" s="3"/>
      <c r="J463" s="3"/>
      <c r="K463" s="3"/>
      <c r="M463" s="3"/>
    </row>
    <row r="464">
      <c r="A464" s="3"/>
      <c r="C464" s="3"/>
      <c r="D464" s="3"/>
      <c r="E464" s="3"/>
      <c r="F464" s="3"/>
      <c r="G464" s="112"/>
      <c r="H464" s="3"/>
      <c r="J464" s="3"/>
      <c r="K464" s="3"/>
      <c r="M464" s="3"/>
    </row>
    <row r="465">
      <c r="A465" s="3"/>
      <c r="C465" s="3"/>
      <c r="D465" s="3"/>
      <c r="E465" s="3"/>
      <c r="F465" s="3"/>
      <c r="G465" s="112"/>
      <c r="H465" s="3"/>
      <c r="J465" s="3"/>
      <c r="K465" s="3"/>
      <c r="M465" s="3"/>
    </row>
    <row r="466">
      <c r="A466" s="3"/>
      <c r="C466" s="3"/>
      <c r="D466" s="3"/>
      <c r="E466" s="3"/>
      <c r="F466" s="3"/>
      <c r="G466" s="112"/>
      <c r="H466" s="3"/>
      <c r="J466" s="3"/>
      <c r="K466" s="3"/>
      <c r="M466" s="3"/>
    </row>
    <row r="467">
      <c r="A467" s="3"/>
      <c r="C467" s="3"/>
      <c r="D467" s="3"/>
      <c r="E467" s="3"/>
      <c r="F467" s="3"/>
      <c r="G467" s="112"/>
      <c r="H467" s="3"/>
      <c r="J467" s="3"/>
      <c r="K467" s="3"/>
      <c r="M467" s="3"/>
    </row>
    <row r="468">
      <c r="A468" s="3"/>
      <c r="C468" s="3"/>
      <c r="D468" s="3"/>
      <c r="E468" s="3"/>
      <c r="F468" s="3"/>
      <c r="G468" s="112"/>
      <c r="H468" s="3"/>
      <c r="J468" s="3"/>
      <c r="K468" s="3"/>
      <c r="M468" s="3"/>
    </row>
    <row r="469">
      <c r="A469" s="3"/>
      <c r="C469" s="3"/>
      <c r="D469" s="3"/>
      <c r="E469" s="3"/>
      <c r="F469" s="3"/>
      <c r="G469" s="112"/>
      <c r="H469" s="3"/>
      <c r="J469" s="3"/>
      <c r="K469" s="3"/>
      <c r="M469" s="3"/>
    </row>
    <row r="470">
      <c r="A470" s="3"/>
      <c r="C470" s="3"/>
      <c r="D470" s="3"/>
      <c r="E470" s="3"/>
      <c r="F470" s="3"/>
      <c r="G470" s="112"/>
      <c r="H470" s="3"/>
      <c r="J470" s="3"/>
      <c r="K470" s="3"/>
      <c r="M470" s="3"/>
    </row>
    <row r="471">
      <c r="A471" s="3"/>
      <c r="C471" s="3"/>
      <c r="D471" s="3"/>
      <c r="E471" s="3"/>
      <c r="F471" s="3"/>
      <c r="G471" s="112"/>
      <c r="H471" s="3"/>
      <c r="J471" s="3"/>
      <c r="K471" s="3"/>
      <c r="M471" s="3"/>
    </row>
    <row r="472">
      <c r="A472" s="3"/>
      <c r="C472" s="3"/>
      <c r="D472" s="3"/>
      <c r="E472" s="3"/>
      <c r="F472" s="3"/>
      <c r="G472" s="112"/>
      <c r="H472" s="3"/>
      <c r="J472" s="3"/>
      <c r="K472" s="3"/>
      <c r="M472" s="3"/>
    </row>
    <row r="473">
      <c r="A473" s="3"/>
      <c r="C473" s="3"/>
      <c r="D473" s="3"/>
      <c r="E473" s="3"/>
      <c r="F473" s="3"/>
      <c r="G473" s="112"/>
      <c r="H473" s="3"/>
      <c r="J473" s="3"/>
      <c r="K473" s="3"/>
      <c r="M473" s="3"/>
    </row>
    <row r="474">
      <c r="A474" s="3"/>
      <c r="C474" s="3"/>
      <c r="D474" s="3"/>
      <c r="E474" s="3"/>
      <c r="F474" s="3"/>
      <c r="G474" s="112"/>
      <c r="H474" s="3"/>
      <c r="J474" s="3"/>
      <c r="K474" s="3"/>
      <c r="M474" s="3"/>
    </row>
    <row r="475">
      <c r="A475" s="3"/>
      <c r="C475" s="3"/>
      <c r="D475" s="3"/>
      <c r="E475" s="3"/>
      <c r="F475" s="3"/>
      <c r="G475" s="112"/>
      <c r="H475" s="3"/>
      <c r="J475" s="3"/>
      <c r="K475" s="3"/>
      <c r="M475" s="3"/>
    </row>
    <row r="476">
      <c r="A476" s="3"/>
      <c r="C476" s="3"/>
      <c r="D476" s="3"/>
      <c r="E476" s="3"/>
      <c r="F476" s="3"/>
      <c r="G476" s="112"/>
      <c r="H476" s="3"/>
      <c r="J476" s="3"/>
      <c r="K476" s="3"/>
      <c r="M476" s="3"/>
    </row>
    <row r="477">
      <c r="A477" s="3"/>
      <c r="C477" s="3"/>
      <c r="D477" s="3"/>
      <c r="E477" s="3"/>
      <c r="F477" s="3"/>
      <c r="G477" s="112"/>
      <c r="H477" s="3"/>
      <c r="J477" s="3"/>
      <c r="K477" s="3"/>
      <c r="M477" s="3"/>
    </row>
    <row r="478">
      <c r="A478" s="3"/>
      <c r="C478" s="3"/>
      <c r="D478" s="3"/>
      <c r="E478" s="3"/>
      <c r="F478" s="3"/>
      <c r="G478" s="112"/>
      <c r="H478" s="3"/>
      <c r="J478" s="3"/>
      <c r="K478" s="3"/>
      <c r="M478" s="3"/>
    </row>
    <row r="479">
      <c r="A479" s="3"/>
      <c r="C479" s="3"/>
      <c r="D479" s="3"/>
      <c r="E479" s="3"/>
      <c r="F479" s="3"/>
      <c r="G479" s="112"/>
      <c r="H479" s="3"/>
      <c r="J479" s="3"/>
      <c r="K479" s="3"/>
      <c r="M479" s="3"/>
    </row>
    <row r="480">
      <c r="A480" s="3"/>
      <c r="C480" s="3"/>
      <c r="D480" s="3"/>
      <c r="E480" s="3"/>
      <c r="F480" s="3"/>
      <c r="G480" s="112"/>
      <c r="H480" s="3"/>
      <c r="J480" s="3"/>
      <c r="K480" s="3"/>
      <c r="M480" s="3"/>
    </row>
    <row r="481">
      <c r="A481" s="3"/>
      <c r="C481" s="3"/>
      <c r="D481" s="3"/>
      <c r="E481" s="3"/>
      <c r="F481" s="3"/>
      <c r="G481" s="112"/>
      <c r="H481" s="3"/>
      <c r="J481" s="3"/>
      <c r="K481" s="3"/>
      <c r="M481" s="3"/>
    </row>
    <row r="482">
      <c r="A482" s="3"/>
      <c r="C482" s="3"/>
      <c r="D482" s="3"/>
      <c r="E482" s="3"/>
      <c r="F482" s="3"/>
      <c r="G482" s="112"/>
      <c r="H482" s="3"/>
      <c r="J482" s="3"/>
      <c r="K482" s="3"/>
      <c r="M482" s="3"/>
    </row>
    <row r="483">
      <c r="A483" s="3"/>
      <c r="C483" s="3"/>
      <c r="D483" s="3"/>
      <c r="E483" s="3"/>
      <c r="F483" s="3"/>
      <c r="G483" s="112"/>
      <c r="H483" s="3"/>
      <c r="J483" s="3"/>
      <c r="K483" s="3"/>
      <c r="M483" s="3"/>
    </row>
    <row r="484">
      <c r="A484" s="3"/>
      <c r="C484" s="3"/>
      <c r="D484" s="3"/>
      <c r="E484" s="3"/>
      <c r="F484" s="3"/>
      <c r="G484" s="112"/>
      <c r="H484" s="3"/>
      <c r="J484" s="3"/>
      <c r="K484" s="3"/>
      <c r="M484" s="3"/>
    </row>
    <row r="485">
      <c r="A485" s="3"/>
      <c r="C485" s="3"/>
      <c r="D485" s="3"/>
      <c r="E485" s="3"/>
      <c r="F485" s="3"/>
      <c r="G485" s="112"/>
      <c r="H485" s="3"/>
      <c r="J485" s="3"/>
      <c r="K485" s="3"/>
      <c r="M485" s="3"/>
    </row>
    <row r="486">
      <c r="A486" s="3"/>
      <c r="C486" s="3"/>
      <c r="D486" s="3"/>
      <c r="E486" s="3"/>
      <c r="F486" s="3"/>
      <c r="G486" s="112"/>
      <c r="H486" s="3"/>
      <c r="J486" s="3"/>
      <c r="K486" s="3"/>
      <c r="M486" s="3"/>
    </row>
    <row r="487">
      <c r="A487" s="3"/>
      <c r="C487" s="3"/>
      <c r="D487" s="3"/>
      <c r="E487" s="3"/>
      <c r="F487" s="3"/>
      <c r="G487" s="112"/>
      <c r="H487" s="3"/>
      <c r="J487" s="3"/>
      <c r="K487" s="3"/>
      <c r="M487" s="3"/>
    </row>
    <row r="488">
      <c r="A488" s="3"/>
      <c r="C488" s="3"/>
      <c r="D488" s="3"/>
      <c r="E488" s="3"/>
      <c r="F488" s="3"/>
      <c r="G488" s="112"/>
      <c r="H488" s="3"/>
      <c r="J488" s="3"/>
      <c r="K488" s="3"/>
      <c r="M488" s="3"/>
    </row>
    <row r="489">
      <c r="A489" s="3"/>
      <c r="C489" s="3"/>
      <c r="D489" s="3"/>
      <c r="E489" s="3"/>
      <c r="F489" s="3"/>
      <c r="G489" s="112"/>
      <c r="H489" s="3"/>
      <c r="J489" s="3"/>
      <c r="K489" s="3"/>
      <c r="M489" s="3"/>
    </row>
    <row r="490">
      <c r="A490" s="3"/>
      <c r="C490" s="3"/>
      <c r="D490" s="3"/>
      <c r="E490" s="3"/>
      <c r="F490" s="3"/>
      <c r="G490" s="112"/>
      <c r="H490" s="3"/>
      <c r="J490" s="3"/>
      <c r="K490" s="3"/>
      <c r="M490" s="3"/>
    </row>
    <row r="491">
      <c r="A491" s="3"/>
      <c r="C491" s="3"/>
      <c r="D491" s="3"/>
      <c r="E491" s="3"/>
      <c r="F491" s="3"/>
      <c r="G491" s="112"/>
      <c r="H491" s="3"/>
      <c r="J491" s="3"/>
      <c r="K491" s="3"/>
      <c r="M491" s="3"/>
    </row>
    <row r="492">
      <c r="A492" s="3"/>
      <c r="C492" s="3"/>
      <c r="D492" s="3"/>
      <c r="E492" s="3"/>
      <c r="F492" s="3"/>
      <c r="G492" s="112"/>
      <c r="H492" s="3"/>
      <c r="J492" s="3"/>
      <c r="K492" s="3"/>
      <c r="M492" s="3"/>
    </row>
    <row r="493">
      <c r="A493" s="3"/>
      <c r="C493" s="3"/>
      <c r="D493" s="3"/>
      <c r="E493" s="3"/>
      <c r="F493" s="3"/>
      <c r="G493" s="112"/>
      <c r="H493" s="3"/>
      <c r="J493" s="3"/>
      <c r="K493" s="3"/>
      <c r="M493" s="3"/>
    </row>
    <row r="494">
      <c r="A494" s="3"/>
      <c r="C494" s="3"/>
      <c r="D494" s="3"/>
      <c r="E494" s="3"/>
      <c r="F494" s="3"/>
      <c r="G494" s="112"/>
      <c r="H494" s="3"/>
      <c r="J494" s="3"/>
      <c r="K494" s="3"/>
      <c r="M494" s="3"/>
    </row>
    <row r="495">
      <c r="A495" s="3"/>
      <c r="C495" s="3"/>
      <c r="D495" s="3"/>
      <c r="E495" s="3"/>
      <c r="F495" s="3"/>
      <c r="G495" s="112"/>
      <c r="H495" s="3"/>
      <c r="J495" s="3"/>
      <c r="K495" s="3"/>
      <c r="M495" s="3"/>
    </row>
    <row r="496">
      <c r="A496" s="3"/>
      <c r="C496" s="3"/>
      <c r="D496" s="3"/>
      <c r="E496" s="3"/>
      <c r="F496" s="3"/>
      <c r="G496" s="112"/>
      <c r="H496" s="3"/>
      <c r="J496" s="3"/>
      <c r="K496" s="3"/>
      <c r="M496" s="3"/>
    </row>
    <row r="497">
      <c r="A497" s="3"/>
      <c r="C497" s="3"/>
      <c r="D497" s="3"/>
      <c r="E497" s="3"/>
      <c r="F497" s="3"/>
      <c r="G497" s="112"/>
      <c r="H497" s="3"/>
      <c r="J497" s="3"/>
      <c r="K497" s="3"/>
      <c r="M497" s="3"/>
    </row>
    <row r="498">
      <c r="A498" s="3"/>
      <c r="C498" s="3"/>
      <c r="D498" s="3"/>
      <c r="E498" s="3"/>
      <c r="F498" s="3"/>
      <c r="G498" s="112"/>
      <c r="H498" s="3"/>
      <c r="J498" s="3"/>
      <c r="K498" s="3"/>
      <c r="M498" s="3"/>
    </row>
    <row r="499">
      <c r="A499" s="3"/>
      <c r="C499" s="3"/>
      <c r="D499" s="3"/>
      <c r="E499" s="3"/>
      <c r="F499" s="3"/>
      <c r="G499" s="112"/>
      <c r="H499" s="3"/>
      <c r="J499" s="3"/>
      <c r="K499" s="3"/>
      <c r="M499" s="3"/>
    </row>
    <row r="500">
      <c r="A500" s="3"/>
      <c r="C500" s="3"/>
      <c r="D500" s="3"/>
      <c r="E500" s="3"/>
      <c r="F500" s="3"/>
      <c r="G500" s="112"/>
      <c r="H500" s="3"/>
      <c r="J500" s="3"/>
      <c r="K500" s="3"/>
      <c r="M500" s="3"/>
    </row>
    <row r="501">
      <c r="A501" s="3"/>
      <c r="C501" s="3"/>
      <c r="D501" s="3"/>
      <c r="E501" s="3"/>
      <c r="F501" s="3"/>
      <c r="G501" s="112"/>
      <c r="H501" s="3"/>
      <c r="J501" s="3"/>
      <c r="K501" s="3"/>
      <c r="M501" s="3"/>
    </row>
    <row r="502">
      <c r="A502" s="3"/>
      <c r="C502" s="3"/>
      <c r="D502" s="3"/>
      <c r="E502" s="3"/>
      <c r="F502" s="3"/>
      <c r="G502" s="112"/>
      <c r="H502" s="3"/>
      <c r="J502" s="3"/>
      <c r="K502" s="3"/>
      <c r="M502" s="3"/>
    </row>
    <row r="503">
      <c r="A503" s="3"/>
      <c r="C503" s="3"/>
      <c r="D503" s="3"/>
      <c r="E503" s="3"/>
      <c r="F503" s="3"/>
      <c r="G503" s="112"/>
      <c r="H503" s="3"/>
      <c r="J503" s="3"/>
      <c r="K503" s="3"/>
      <c r="M503" s="3"/>
    </row>
    <row r="504">
      <c r="A504" s="3"/>
      <c r="C504" s="3"/>
      <c r="D504" s="3"/>
      <c r="E504" s="3"/>
      <c r="F504" s="3"/>
      <c r="G504" s="112"/>
      <c r="H504" s="3"/>
      <c r="J504" s="3"/>
      <c r="K504" s="3"/>
      <c r="M504" s="3"/>
    </row>
    <row r="505">
      <c r="A505" s="3"/>
      <c r="C505" s="3"/>
      <c r="D505" s="3"/>
      <c r="E505" s="3"/>
      <c r="F505" s="3"/>
      <c r="G505" s="112"/>
      <c r="H505" s="3"/>
      <c r="J505" s="3"/>
      <c r="K505" s="3"/>
      <c r="M505" s="3"/>
    </row>
    <row r="506">
      <c r="A506" s="3"/>
      <c r="C506" s="3"/>
      <c r="D506" s="3"/>
      <c r="E506" s="3"/>
      <c r="F506" s="3"/>
      <c r="G506" s="112"/>
      <c r="H506" s="3"/>
      <c r="J506" s="3"/>
      <c r="K506" s="3"/>
      <c r="M506" s="3"/>
    </row>
    <row r="507">
      <c r="A507" s="3"/>
      <c r="C507" s="3"/>
      <c r="D507" s="3"/>
      <c r="E507" s="3"/>
      <c r="F507" s="3"/>
      <c r="G507" s="112"/>
      <c r="H507" s="3"/>
      <c r="J507" s="3"/>
      <c r="K507" s="3"/>
      <c r="M507" s="3"/>
    </row>
    <row r="508">
      <c r="A508" s="3"/>
      <c r="C508" s="3"/>
      <c r="D508" s="3"/>
      <c r="E508" s="3"/>
      <c r="F508" s="3"/>
      <c r="G508" s="112"/>
      <c r="H508" s="3"/>
      <c r="J508" s="3"/>
      <c r="K508" s="3"/>
      <c r="M508" s="3"/>
    </row>
    <row r="509">
      <c r="A509" s="3"/>
      <c r="C509" s="3"/>
      <c r="D509" s="3"/>
      <c r="E509" s="3"/>
      <c r="F509" s="3"/>
      <c r="G509" s="112"/>
      <c r="H509" s="3"/>
      <c r="J509" s="3"/>
      <c r="K509" s="3"/>
      <c r="M509" s="3"/>
    </row>
    <row r="510">
      <c r="A510" s="3"/>
      <c r="C510" s="3"/>
      <c r="D510" s="3"/>
      <c r="E510" s="3"/>
      <c r="F510" s="3"/>
      <c r="G510" s="112"/>
      <c r="H510" s="3"/>
      <c r="J510" s="3"/>
      <c r="K510" s="3"/>
      <c r="M510" s="3"/>
    </row>
    <row r="511">
      <c r="A511" s="3"/>
      <c r="C511" s="3"/>
      <c r="D511" s="3"/>
      <c r="E511" s="3"/>
      <c r="F511" s="3"/>
      <c r="G511" s="112"/>
      <c r="H511" s="3"/>
      <c r="J511" s="3"/>
      <c r="K511" s="3"/>
      <c r="M511" s="3"/>
    </row>
    <row r="512">
      <c r="A512" s="3"/>
      <c r="C512" s="3"/>
      <c r="D512" s="3"/>
      <c r="E512" s="3"/>
      <c r="F512" s="3"/>
      <c r="G512" s="112"/>
      <c r="H512" s="3"/>
      <c r="J512" s="3"/>
      <c r="K512" s="3"/>
      <c r="M512" s="3"/>
    </row>
    <row r="513">
      <c r="A513" s="3"/>
      <c r="C513" s="3"/>
      <c r="D513" s="3"/>
      <c r="E513" s="3"/>
      <c r="F513" s="3"/>
      <c r="G513" s="112"/>
      <c r="H513" s="3"/>
      <c r="J513" s="3"/>
      <c r="K513" s="3"/>
      <c r="M513" s="3"/>
    </row>
    <row r="514">
      <c r="A514" s="3"/>
      <c r="C514" s="3"/>
      <c r="D514" s="3"/>
      <c r="E514" s="3"/>
      <c r="F514" s="3"/>
      <c r="G514" s="112"/>
      <c r="H514" s="3"/>
      <c r="J514" s="3"/>
      <c r="K514" s="3"/>
      <c r="M514" s="3"/>
    </row>
    <row r="515">
      <c r="A515" s="3"/>
      <c r="C515" s="3"/>
      <c r="D515" s="3"/>
      <c r="E515" s="3"/>
      <c r="F515" s="3"/>
      <c r="G515" s="112"/>
      <c r="H515" s="3"/>
      <c r="J515" s="3"/>
      <c r="K515" s="3"/>
      <c r="M515" s="3"/>
    </row>
    <row r="516">
      <c r="A516" s="3"/>
      <c r="C516" s="3"/>
      <c r="D516" s="3"/>
      <c r="E516" s="3"/>
      <c r="F516" s="3"/>
      <c r="G516" s="112"/>
      <c r="H516" s="3"/>
      <c r="J516" s="3"/>
      <c r="K516" s="3"/>
      <c r="M516" s="3"/>
    </row>
    <row r="517">
      <c r="A517" s="3"/>
      <c r="C517" s="3"/>
      <c r="D517" s="3"/>
      <c r="E517" s="3"/>
      <c r="F517" s="3"/>
      <c r="G517" s="112"/>
      <c r="H517" s="3"/>
      <c r="J517" s="3"/>
      <c r="K517" s="3"/>
      <c r="M517" s="3"/>
    </row>
    <row r="518">
      <c r="A518" s="3"/>
      <c r="C518" s="3"/>
      <c r="D518" s="3"/>
      <c r="E518" s="3"/>
      <c r="F518" s="3"/>
      <c r="G518" s="112"/>
      <c r="H518" s="3"/>
      <c r="J518" s="3"/>
      <c r="K518" s="3"/>
      <c r="M518" s="3"/>
    </row>
    <row r="519">
      <c r="A519" s="3"/>
      <c r="C519" s="3"/>
      <c r="D519" s="3"/>
      <c r="E519" s="3"/>
      <c r="F519" s="3"/>
      <c r="G519" s="112"/>
      <c r="H519" s="3"/>
      <c r="J519" s="3"/>
      <c r="K519" s="3"/>
      <c r="M519" s="3"/>
    </row>
    <row r="520">
      <c r="A520" s="3"/>
      <c r="C520" s="3"/>
      <c r="D520" s="3"/>
      <c r="E520" s="3"/>
      <c r="F520" s="3"/>
      <c r="G520" s="112"/>
      <c r="H520" s="3"/>
      <c r="J520" s="3"/>
      <c r="K520" s="3"/>
      <c r="M520" s="3"/>
    </row>
    <row r="521">
      <c r="A521" s="3"/>
      <c r="C521" s="3"/>
      <c r="D521" s="3"/>
      <c r="E521" s="3"/>
      <c r="F521" s="3"/>
      <c r="G521" s="112"/>
      <c r="H521" s="3"/>
      <c r="J521" s="3"/>
      <c r="K521" s="3"/>
      <c r="M521" s="3"/>
    </row>
    <row r="522">
      <c r="A522" s="3"/>
      <c r="C522" s="3"/>
      <c r="D522" s="3"/>
      <c r="E522" s="3"/>
      <c r="F522" s="3"/>
      <c r="G522" s="112"/>
      <c r="H522" s="3"/>
      <c r="J522" s="3"/>
      <c r="K522" s="3"/>
      <c r="M522" s="3"/>
    </row>
    <row r="523">
      <c r="A523" s="3"/>
      <c r="C523" s="3"/>
      <c r="D523" s="3"/>
      <c r="E523" s="3"/>
      <c r="F523" s="3"/>
      <c r="G523" s="112"/>
      <c r="H523" s="3"/>
      <c r="J523" s="3"/>
      <c r="K523" s="3"/>
      <c r="M523" s="3"/>
    </row>
    <row r="524">
      <c r="A524" s="3"/>
      <c r="C524" s="3"/>
      <c r="D524" s="3"/>
      <c r="E524" s="3"/>
      <c r="F524" s="3"/>
      <c r="G524" s="112"/>
      <c r="H524" s="3"/>
      <c r="J524" s="3"/>
      <c r="K524" s="3"/>
      <c r="M524" s="3"/>
    </row>
    <row r="525">
      <c r="A525" s="3"/>
      <c r="C525" s="3"/>
      <c r="D525" s="3"/>
      <c r="E525" s="3"/>
      <c r="F525" s="3"/>
      <c r="G525" s="112"/>
      <c r="H525" s="3"/>
      <c r="J525" s="3"/>
      <c r="K525" s="3"/>
      <c r="M525" s="3"/>
    </row>
    <row r="526">
      <c r="A526" s="3"/>
      <c r="C526" s="3"/>
      <c r="D526" s="3"/>
      <c r="E526" s="3"/>
      <c r="F526" s="3"/>
      <c r="G526" s="112"/>
      <c r="H526" s="3"/>
      <c r="J526" s="3"/>
      <c r="K526" s="3"/>
      <c r="M526" s="3"/>
    </row>
    <row r="527">
      <c r="A527" s="3"/>
      <c r="C527" s="3"/>
      <c r="D527" s="3"/>
      <c r="E527" s="3"/>
      <c r="F527" s="3"/>
      <c r="G527" s="112"/>
      <c r="H527" s="3"/>
      <c r="J527" s="3"/>
      <c r="K527" s="3"/>
      <c r="M527" s="3"/>
    </row>
    <row r="528">
      <c r="A528" s="3"/>
      <c r="C528" s="3"/>
      <c r="D528" s="3"/>
      <c r="E528" s="3"/>
      <c r="F528" s="3"/>
      <c r="G528" s="112"/>
      <c r="H528" s="3"/>
      <c r="J528" s="3"/>
      <c r="K528" s="3"/>
      <c r="M528" s="3"/>
    </row>
    <row r="529">
      <c r="A529" s="3"/>
      <c r="C529" s="3"/>
      <c r="D529" s="3"/>
      <c r="E529" s="3"/>
      <c r="F529" s="3"/>
      <c r="G529" s="112"/>
      <c r="H529" s="3"/>
      <c r="J529" s="3"/>
      <c r="K529" s="3"/>
      <c r="M529" s="3"/>
    </row>
    <row r="530">
      <c r="A530" s="3"/>
      <c r="C530" s="3"/>
      <c r="D530" s="3"/>
      <c r="E530" s="3"/>
      <c r="F530" s="3"/>
      <c r="G530" s="112"/>
      <c r="H530" s="3"/>
      <c r="J530" s="3"/>
      <c r="K530" s="3"/>
      <c r="M530" s="3"/>
    </row>
    <row r="531">
      <c r="A531" s="3"/>
      <c r="C531" s="3"/>
      <c r="D531" s="3"/>
      <c r="E531" s="3"/>
      <c r="F531" s="3"/>
      <c r="G531" s="112"/>
      <c r="H531" s="3"/>
      <c r="J531" s="3"/>
      <c r="K531" s="3"/>
      <c r="M531" s="3"/>
    </row>
    <row r="532">
      <c r="A532" s="3"/>
      <c r="C532" s="3"/>
      <c r="D532" s="3"/>
      <c r="E532" s="3"/>
      <c r="F532" s="3"/>
      <c r="G532" s="112"/>
      <c r="H532" s="3"/>
      <c r="J532" s="3"/>
      <c r="K532" s="3"/>
      <c r="M532" s="3"/>
    </row>
    <row r="533">
      <c r="A533" s="3"/>
      <c r="C533" s="3"/>
      <c r="D533" s="3"/>
      <c r="E533" s="3"/>
      <c r="F533" s="3"/>
      <c r="G533" s="112"/>
      <c r="H533" s="3"/>
      <c r="J533" s="3"/>
      <c r="K533" s="3"/>
      <c r="M533" s="3"/>
    </row>
    <row r="534">
      <c r="A534" s="3"/>
      <c r="C534" s="3"/>
      <c r="D534" s="3"/>
      <c r="E534" s="3"/>
      <c r="F534" s="3"/>
      <c r="G534" s="112"/>
      <c r="H534" s="3"/>
      <c r="J534" s="3"/>
      <c r="K534" s="3"/>
      <c r="M534" s="3"/>
    </row>
    <row r="535">
      <c r="A535" s="3"/>
      <c r="C535" s="3"/>
      <c r="D535" s="3"/>
      <c r="E535" s="3"/>
      <c r="F535" s="3"/>
      <c r="G535" s="112"/>
      <c r="H535" s="3"/>
      <c r="J535" s="3"/>
      <c r="K535" s="3"/>
      <c r="M535" s="3"/>
    </row>
    <row r="536">
      <c r="A536" s="3"/>
      <c r="C536" s="3"/>
      <c r="D536" s="3"/>
      <c r="E536" s="3"/>
      <c r="F536" s="3"/>
      <c r="G536" s="112"/>
      <c r="H536" s="3"/>
      <c r="J536" s="3"/>
      <c r="K536" s="3"/>
      <c r="M536" s="3"/>
    </row>
    <row r="537">
      <c r="A537" s="3"/>
      <c r="C537" s="3"/>
      <c r="D537" s="3"/>
      <c r="E537" s="3"/>
      <c r="F537" s="3"/>
      <c r="G537" s="112"/>
      <c r="H537" s="3"/>
      <c r="J537" s="3"/>
      <c r="K537" s="3"/>
      <c r="M537" s="3"/>
    </row>
    <row r="538">
      <c r="A538" s="3"/>
      <c r="C538" s="3"/>
      <c r="D538" s="3"/>
      <c r="E538" s="3"/>
      <c r="F538" s="3"/>
      <c r="G538" s="112"/>
      <c r="H538" s="3"/>
      <c r="J538" s="3"/>
      <c r="K538" s="3"/>
      <c r="M538" s="3"/>
    </row>
    <row r="539">
      <c r="A539" s="3"/>
      <c r="C539" s="3"/>
      <c r="D539" s="3"/>
      <c r="E539" s="3"/>
      <c r="F539" s="3"/>
      <c r="G539" s="112"/>
      <c r="H539" s="3"/>
      <c r="J539" s="3"/>
      <c r="K539" s="3"/>
      <c r="M539" s="3"/>
    </row>
    <row r="540">
      <c r="A540" s="3"/>
      <c r="C540" s="3"/>
      <c r="D540" s="3"/>
      <c r="E540" s="3"/>
      <c r="F540" s="3"/>
      <c r="G540" s="112"/>
      <c r="H540" s="3"/>
      <c r="J540" s="3"/>
      <c r="K540" s="3"/>
      <c r="M540" s="3"/>
    </row>
    <row r="541">
      <c r="A541" s="3"/>
      <c r="C541" s="3"/>
      <c r="D541" s="3"/>
      <c r="E541" s="3"/>
      <c r="F541" s="3"/>
      <c r="G541" s="112"/>
      <c r="H541" s="3"/>
      <c r="J541" s="3"/>
      <c r="K541" s="3"/>
      <c r="M541" s="3"/>
    </row>
    <row r="542">
      <c r="A542" s="3"/>
      <c r="C542" s="3"/>
      <c r="D542" s="3"/>
      <c r="E542" s="3"/>
      <c r="F542" s="3"/>
      <c r="G542" s="112"/>
      <c r="H542" s="3"/>
      <c r="J542" s="3"/>
      <c r="K542" s="3"/>
      <c r="M542" s="3"/>
    </row>
    <row r="543">
      <c r="A543" s="3"/>
      <c r="C543" s="3"/>
      <c r="D543" s="3"/>
      <c r="E543" s="3"/>
      <c r="F543" s="3"/>
      <c r="G543" s="112"/>
      <c r="H543" s="3"/>
      <c r="J543" s="3"/>
      <c r="K543" s="3"/>
      <c r="M543" s="3"/>
    </row>
    <row r="544">
      <c r="A544" s="3"/>
      <c r="C544" s="3"/>
      <c r="D544" s="3"/>
      <c r="E544" s="3"/>
      <c r="F544" s="3"/>
      <c r="G544" s="112"/>
      <c r="H544" s="3"/>
      <c r="J544" s="3"/>
      <c r="K544" s="3"/>
      <c r="M544" s="3"/>
    </row>
    <row r="545">
      <c r="A545" s="3"/>
      <c r="C545" s="3"/>
      <c r="D545" s="3"/>
      <c r="E545" s="3"/>
      <c r="F545" s="3"/>
      <c r="G545" s="112"/>
      <c r="H545" s="3"/>
      <c r="J545" s="3"/>
      <c r="K545" s="3"/>
      <c r="M545" s="3"/>
    </row>
    <row r="546">
      <c r="A546" s="3"/>
      <c r="C546" s="3"/>
      <c r="D546" s="3"/>
      <c r="E546" s="3"/>
      <c r="F546" s="3"/>
      <c r="G546" s="112"/>
      <c r="H546" s="3"/>
      <c r="J546" s="3"/>
      <c r="K546" s="3"/>
      <c r="M546" s="3"/>
    </row>
    <row r="547">
      <c r="A547" s="3"/>
      <c r="C547" s="3"/>
      <c r="D547" s="3"/>
      <c r="E547" s="3"/>
      <c r="F547" s="3"/>
      <c r="G547" s="112"/>
      <c r="H547" s="3"/>
      <c r="J547" s="3"/>
      <c r="K547" s="3"/>
      <c r="M547" s="3"/>
    </row>
    <row r="548">
      <c r="A548" s="3"/>
      <c r="C548" s="3"/>
      <c r="D548" s="3"/>
      <c r="E548" s="3"/>
      <c r="F548" s="3"/>
      <c r="G548" s="112"/>
      <c r="H548" s="3"/>
      <c r="J548" s="3"/>
      <c r="K548" s="3"/>
      <c r="M548" s="3"/>
    </row>
    <row r="549">
      <c r="A549" s="3"/>
      <c r="C549" s="3"/>
      <c r="D549" s="3"/>
      <c r="E549" s="3"/>
      <c r="F549" s="3"/>
      <c r="G549" s="112"/>
      <c r="H549" s="3"/>
      <c r="J549" s="3"/>
      <c r="K549" s="3"/>
      <c r="M549" s="3"/>
    </row>
    <row r="550">
      <c r="A550" s="3"/>
      <c r="C550" s="3"/>
      <c r="D550" s="3"/>
      <c r="E550" s="3"/>
      <c r="F550" s="3"/>
      <c r="G550" s="112"/>
      <c r="H550" s="3"/>
      <c r="J550" s="3"/>
      <c r="K550" s="3"/>
      <c r="M550" s="3"/>
    </row>
    <row r="551">
      <c r="A551" s="3"/>
      <c r="C551" s="3"/>
      <c r="D551" s="3"/>
      <c r="E551" s="3"/>
      <c r="F551" s="3"/>
      <c r="G551" s="112"/>
      <c r="H551" s="3"/>
      <c r="J551" s="3"/>
      <c r="K551" s="3"/>
      <c r="M551" s="3"/>
    </row>
    <row r="552">
      <c r="A552" s="3"/>
      <c r="C552" s="3"/>
      <c r="D552" s="3"/>
      <c r="E552" s="3"/>
      <c r="F552" s="3"/>
      <c r="G552" s="112"/>
      <c r="H552" s="3"/>
      <c r="J552" s="3"/>
      <c r="K552" s="3"/>
      <c r="M552" s="3"/>
    </row>
    <row r="553">
      <c r="A553" s="3"/>
      <c r="C553" s="3"/>
      <c r="D553" s="3"/>
      <c r="E553" s="3"/>
      <c r="F553" s="3"/>
      <c r="G553" s="112"/>
      <c r="H553" s="3"/>
      <c r="J553" s="3"/>
      <c r="K553" s="3"/>
      <c r="M553" s="3"/>
    </row>
    <row r="554">
      <c r="A554" s="3"/>
      <c r="C554" s="3"/>
      <c r="D554" s="3"/>
      <c r="E554" s="3"/>
      <c r="F554" s="3"/>
      <c r="G554" s="112"/>
      <c r="H554" s="3"/>
      <c r="J554" s="3"/>
      <c r="K554" s="3"/>
      <c r="M554" s="3"/>
    </row>
    <row r="555">
      <c r="A555" s="3"/>
      <c r="C555" s="3"/>
      <c r="D555" s="3"/>
      <c r="E555" s="3"/>
      <c r="F555" s="3"/>
      <c r="G555" s="112"/>
      <c r="H555" s="3"/>
      <c r="J555" s="3"/>
      <c r="K555" s="3"/>
      <c r="M555" s="3"/>
    </row>
    <row r="556">
      <c r="A556" s="3"/>
      <c r="C556" s="3"/>
      <c r="D556" s="3"/>
      <c r="E556" s="3"/>
      <c r="F556" s="3"/>
      <c r="G556" s="112"/>
      <c r="H556" s="3"/>
      <c r="J556" s="3"/>
      <c r="K556" s="3"/>
      <c r="M556" s="3"/>
    </row>
    <row r="557">
      <c r="A557" s="3"/>
      <c r="C557" s="3"/>
      <c r="D557" s="3"/>
      <c r="E557" s="3"/>
      <c r="F557" s="3"/>
      <c r="G557" s="112"/>
      <c r="H557" s="3"/>
      <c r="J557" s="3"/>
      <c r="K557" s="3"/>
      <c r="M557" s="3"/>
    </row>
    <row r="558">
      <c r="A558" s="3"/>
      <c r="C558" s="3"/>
      <c r="D558" s="3"/>
      <c r="E558" s="3"/>
      <c r="F558" s="3"/>
      <c r="G558" s="112"/>
      <c r="H558" s="3"/>
      <c r="J558" s="3"/>
      <c r="K558" s="3"/>
      <c r="M558" s="3"/>
    </row>
    <row r="559">
      <c r="A559" s="3"/>
      <c r="C559" s="3"/>
      <c r="D559" s="3"/>
      <c r="E559" s="3"/>
      <c r="F559" s="3"/>
      <c r="G559" s="112"/>
      <c r="H559" s="3"/>
      <c r="J559" s="3"/>
      <c r="K559" s="3"/>
      <c r="M559" s="3"/>
    </row>
    <row r="560">
      <c r="A560" s="3"/>
      <c r="C560" s="3"/>
      <c r="D560" s="3"/>
      <c r="E560" s="3"/>
      <c r="F560" s="3"/>
      <c r="G560" s="112"/>
      <c r="H560" s="3"/>
      <c r="J560" s="3"/>
      <c r="K560" s="3"/>
      <c r="M560" s="3"/>
    </row>
    <row r="561">
      <c r="A561" s="3"/>
      <c r="C561" s="3"/>
      <c r="D561" s="3"/>
      <c r="E561" s="3"/>
      <c r="F561" s="3"/>
      <c r="G561" s="112"/>
      <c r="H561" s="3"/>
      <c r="J561" s="3"/>
      <c r="K561" s="3"/>
      <c r="M561" s="3"/>
    </row>
    <row r="562">
      <c r="A562" s="3"/>
      <c r="C562" s="3"/>
      <c r="D562" s="3"/>
      <c r="E562" s="3"/>
      <c r="F562" s="3"/>
      <c r="G562" s="112"/>
      <c r="H562" s="3"/>
      <c r="J562" s="3"/>
      <c r="K562" s="3"/>
      <c r="M562" s="3"/>
    </row>
    <row r="563">
      <c r="A563" s="3"/>
      <c r="C563" s="3"/>
      <c r="D563" s="3"/>
      <c r="E563" s="3"/>
      <c r="F563" s="3"/>
      <c r="G563" s="112"/>
      <c r="H563" s="3"/>
      <c r="J563" s="3"/>
      <c r="K563" s="3"/>
      <c r="M563" s="3"/>
    </row>
    <row r="564">
      <c r="A564" s="3"/>
      <c r="C564" s="3"/>
      <c r="D564" s="3"/>
      <c r="E564" s="3"/>
      <c r="F564" s="3"/>
      <c r="G564" s="112"/>
      <c r="H564" s="3"/>
      <c r="J564" s="3"/>
      <c r="K564" s="3"/>
      <c r="M564" s="3"/>
    </row>
    <row r="565">
      <c r="A565" s="3"/>
      <c r="C565" s="3"/>
      <c r="D565" s="3"/>
      <c r="E565" s="3"/>
      <c r="F565" s="3"/>
      <c r="G565" s="112"/>
      <c r="H565" s="3"/>
      <c r="J565" s="3"/>
      <c r="K565" s="3"/>
      <c r="M565" s="3"/>
    </row>
    <row r="566">
      <c r="A566" s="3"/>
      <c r="C566" s="3"/>
      <c r="D566" s="3"/>
      <c r="E566" s="3"/>
      <c r="F566" s="3"/>
      <c r="G566" s="112"/>
      <c r="H566" s="3"/>
      <c r="J566" s="3"/>
      <c r="K566" s="3"/>
      <c r="M566" s="3"/>
    </row>
    <row r="567">
      <c r="A567" s="3"/>
      <c r="C567" s="3"/>
      <c r="D567" s="3"/>
      <c r="E567" s="3"/>
      <c r="F567" s="3"/>
      <c r="G567" s="112"/>
      <c r="H567" s="3"/>
      <c r="J567" s="3"/>
      <c r="K567" s="3"/>
      <c r="M567" s="3"/>
    </row>
    <row r="568">
      <c r="A568" s="3"/>
      <c r="C568" s="3"/>
      <c r="D568" s="3"/>
      <c r="E568" s="3"/>
      <c r="F568" s="3"/>
      <c r="G568" s="112"/>
      <c r="H568" s="3"/>
      <c r="J568" s="3"/>
      <c r="K568" s="3"/>
      <c r="M568" s="3"/>
    </row>
    <row r="569">
      <c r="A569" s="3"/>
      <c r="C569" s="3"/>
      <c r="D569" s="3"/>
      <c r="E569" s="3"/>
      <c r="F569" s="3"/>
      <c r="G569" s="112"/>
      <c r="H569" s="3"/>
      <c r="J569" s="3"/>
      <c r="K569" s="3"/>
      <c r="M569" s="3"/>
    </row>
    <row r="570">
      <c r="A570" s="3"/>
      <c r="C570" s="3"/>
      <c r="D570" s="3"/>
      <c r="E570" s="3"/>
      <c r="F570" s="3"/>
      <c r="G570" s="112"/>
      <c r="H570" s="3"/>
      <c r="J570" s="3"/>
      <c r="K570" s="3"/>
      <c r="M570" s="3"/>
    </row>
    <row r="571">
      <c r="A571" s="3"/>
      <c r="C571" s="3"/>
      <c r="D571" s="3"/>
      <c r="E571" s="3"/>
      <c r="F571" s="3"/>
      <c r="G571" s="112"/>
      <c r="H571" s="3"/>
      <c r="J571" s="3"/>
      <c r="K571" s="3"/>
      <c r="M571" s="3"/>
    </row>
    <row r="572">
      <c r="A572" s="3"/>
      <c r="C572" s="3"/>
      <c r="D572" s="3"/>
      <c r="E572" s="3"/>
      <c r="F572" s="3"/>
      <c r="G572" s="112"/>
      <c r="H572" s="3"/>
      <c r="J572" s="3"/>
      <c r="K572" s="3"/>
      <c r="M572" s="3"/>
    </row>
    <row r="573">
      <c r="A573" s="3"/>
      <c r="C573" s="3"/>
      <c r="D573" s="3"/>
      <c r="E573" s="3"/>
      <c r="F573" s="3"/>
      <c r="G573" s="112"/>
      <c r="H573" s="3"/>
      <c r="J573" s="3"/>
      <c r="K573" s="3"/>
      <c r="M573" s="3"/>
    </row>
    <row r="574">
      <c r="A574" s="3"/>
      <c r="C574" s="3"/>
      <c r="D574" s="3"/>
      <c r="E574" s="3"/>
      <c r="F574" s="3"/>
      <c r="G574" s="112"/>
      <c r="H574" s="3"/>
      <c r="J574" s="3"/>
      <c r="K574" s="3"/>
      <c r="M574" s="3"/>
    </row>
    <row r="575">
      <c r="A575" s="3"/>
      <c r="C575" s="3"/>
      <c r="D575" s="3"/>
      <c r="E575" s="3"/>
      <c r="F575" s="3"/>
      <c r="G575" s="112"/>
      <c r="H575" s="3"/>
      <c r="J575" s="3"/>
      <c r="K575" s="3"/>
      <c r="M575" s="3"/>
    </row>
    <row r="576">
      <c r="A576" s="3"/>
      <c r="C576" s="3"/>
      <c r="D576" s="3"/>
      <c r="E576" s="3"/>
      <c r="F576" s="3"/>
      <c r="G576" s="112"/>
      <c r="H576" s="3"/>
      <c r="J576" s="3"/>
      <c r="K576" s="3"/>
      <c r="M576" s="3"/>
    </row>
    <row r="577">
      <c r="A577" s="3"/>
      <c r="C577" s="3"/>
      <c r="D577" s="3"/>
      <c r="E577" s="3"/>
      <c r="F577" s="3"/>
      <c r="G577" s="112"/>
      <c r="H577" s="3"/>
      <c r="J577" s="3"/>
      <c r="K577" s="3"/>
      <c r="M577" s="3"/>
    </row>
    <row r="578">
      <c r="A578" s="3"/>
      <c r="C578" s="3"/>
      <c r="D578" s="3"/>
      <c r="E578" s="3"/>
      <c r="F578" s="3"/>
      <c r="G578" s="112"/>
      <c r="H578" s="3"/>
      <c r="J578" s="3"/>
      <c r="K578" s="3"/>
      <c r="M578" s="3"/>
    </row>
    <row r="579">
      <c r="A579" s="3"/>
      <c r="C579" s="3"/>
      <c r="D579" s="3"/>
      <c r="E579" s="3"/>
      <c r="F579" s="3"/>
      <c r="G579" s="112"/>
      <c r="H579" s="3"/>
      <c r="J579" s="3"/>
      <c r="K579" s="3"/>
      <c r="M579" s="3"/>
    </row>
    <row r="580">
      <c r="A580" s="3"/>
      <c r="C580" s="3"/>
      <c r="D580" s="3"/>
      <c r="E580" s="3"/>
      <c r="F580" s="3"/>
      <c r="G580" s="112"/>
      <c r="H580" s="3"/>
      <c r="J580" s="3"/>
      <c r="K580" s="3"/>
      <c r="M580" s="3"/>
    </row>
    <row r="581">
      <c r="A581" s="3"/>
      <c r="C581" s="3"/>
      <c r="D581" s="3"/>
      <c r="E581" s="3"/>
      <c r="F581" s="3"/>
      <c r="G581" s="112"/>
      <c r="H581" s="3"/>
      <c r="J581" s="3"/>
      <c r="K581" s="3"/>
      <c r="M581" s="3"/>
    </row>
    <row r="582">
      <c r="A582" s="3"/>
      <c r="C582" s="3"/>
      <c r="D582" s="3"/>
      <c r="E582" s="3"/>
      <c r="F582" s="3"/>
      <c r="G582" s="112"/>
      <c r="H582" s="3"/>
      <c r="J582" s="3"/>
      <c r="K582" s="3"/>
      <c r="M582" s="3"/>
    </row>
    <row r="583">
      <c r="A583" s="3"/>
      <c r="C583" s="3"/>
      <c r="D583" s="3"/>
      <c r="E583" s="3"/>
      <c r="F583" s="3"/>
      <c r="G583" s="112"/>
      <c r="H583" s="3"/>
      <c r="J583" s="3"/>
      <c r="K583" s="3"/>
      <c r="M583" s="3"/>
    </row>
    <row r="584">
      <c r="A584" s="3"/>
      <c r="C584" s="3"/>
      <c r="D584" s="3"/>
      <c r="E584" s="3"/>
      <c r="F584" s="3"/>
      <c r="G584" s="112"/>
      <c r="H584" s="3"/>
      <c r="J584" s="3"/>
      <c r="K584" s="3"/>
      <c r="M584" s="3"/>
    </row>
    <row r="585">
      <c r="A585" s="3"/>
      <c r="C585" s="3"/>
      <c r="D585" s="3"/>
      <c r="E585" s="3"/>
      <c r="F585" s="3"/>
      <c r="G585" s="112"/>
      <c r="H585" s="3"/>
      <c r="J585" s="3"/>
      <c r="K585" s="3"/>
      <c r="M585" s="3"/>
    </row>
    <row r="586">
      <c r="A586" s="3"/>
      <c r="C586" s="3"/>
      <c r="D586" s="3"/>
      <c r="E586" s="3"/>
      <c r="F586" s="3"/>
      <c r="G586" s="112"/>
      <c r="H586" s="3"/>
      <c r="J586" s="3"/>
      <c r="K586" s="3"/>
      <c r="M586" s="3"/>
    </row>
    <row r="587">
      <c r="A587" s="3"/>
      <c r="C587" s="3"/>
      <c r="D587" s="3"/>
      <c r="E587" s="3"/>
      <c r="F587" s="3"/>
      <c r="G587" s="112"/>
      <c r="H587" s="3"/>
      <c r="J587" s="3"/>
      <c r="K587" s="3"/>
      <c r="M587" s="3"/>
    </row>
    <row r="588">
      <c r="A588" s="3"/>
      <c r="C588" s="3"/>
      <c r="D588" s="3"/>
      <c r="E588" s="3"/>
      <c r="F588" s="3"/>
      <c r="G588" s="112"/>
      <c r="H588" s="3"/>
      <c r="J588" s="3"/>
      <c r="K588" s="3"/>
      <c r="M588" s="3"/>
    </row>
    <row r="589">
      <c r="A589" s="3"/>
      <c r="C589" s="3"/>
      <c r="D589" s="3"/>
      <c r="E589" s="3"/>
      <c r="F589" s="3"/>
      <c r="G589" s="112"/>
      <c r="H589" s="3"/>
      <c r="J589" s="3"/>
      <c r="K589" s="3"/>
      <c r="M589" s="3"/>
    </row>
    <row r="590">
      <c r="A590" s="3"/>
      <c r="C590" s="3"/>
      <c r="D590" s="3"/>
      <c r="E590" s="3"/>
      <c r="F590" s="3"/>
      <c r="G590" s="112"/>
      <c r="H590" s="3"/>
      <c r="J590" s="3"/>
      <c r="K590" s="3"/>
      <c r="M590" s="3"/>
    </row>
    <row r="591">
      <c r="A591" s="3"/>
      <c r="C591" s="3"/>
      <c r="D591" s="3"/>
      <c r="E591" s="3"/>
      <c r="F591" s="3"/>
      <c r="G591" s="112"/>
      <c r="H591" s="3"/>
      <c r="J591" s="3"/>
      <c r="K591" s="3"/>
      <c r="M591" s="3"/>
    </row>
    <row r="592">
      <c r="A592" s="3"/>
      <c r="C592" s="3"/>
      <c r="D592" s="3"/>
      <c r="E592" s="3"/>
      <c r="F592" s="3"/>
      <c r="G592" s="112"/>
      <c r="H592" s="3"/>
      <c r="J592" s="3"/>
      <c r="K592" s="3"/>
      <c r="M592" s="3"/>
    </row>
    <row r="593">
      <c r="A593" s="3"/>
      <c r="C593" s="3"/>
      <c r="D593" s="3"/>
      <c r="E593" s="3"/>
      <c r="F593" s="3"/>
      <c r="G593" s="112"/>
      <c r="H593" s="3"/>
      <c r="J593" s="3"/>
      <c r="K593" s="3"/>
      <c r="M593" s="3"/>
    </row>
    <row r="594">
      <c r="A594" s="3"/>
      <c r="C594" s="3"/>
      <c r="D594" s="3"/>
      <c r="E594" s="3"/>
      <c r="F594" s="3"/>
      <c r="G594" s="112"/>
      <c r="H594" s="3"/>
      <c r="J594" s="3"/>
      <c r="K594" s="3"/>
      <c r="M594" s="3"/>
    </row>
    <row r="595">
      <c r="A595" s="3"/>
      <c r="C595" s="3"/>
      <c r="D595" s="3"/>
      <c r="E595" s="3"/>
      <c r="F595" s="3"/>
      <c r="G595" s="112"/>
      <c r="H595" s="3"/>
      <c r="J595" s="3"/>
      <c r="K595" s="3"/>
      <c r="M595" s="3"/>
    </row>
    <row r="596">
      <c r="A596" s="3"/>
      <c r="C596" s="3"/>
      <c r="D596" s="3"/>
      <c r="E596" s="3"/>
      <c r="F596" s="3"/>
      <c r="G596" s="112"/>
      <c r="H596" s="3"/>
      <c r="J596" s="3"/>
      <c r="K596" s="3"/>
      <c r="M596" s="3"/>
    </row>
    <row r="597">
      <c r="A597" s="3"/>
      <c r="C597" s="3"/>
      <c r="D597" s="3"/>
      <c r="E597" s="3"/>
      <c r="F597" s="3"/>
      <c r="G597" s="112"/>
      <c r="H597" s="3"/>
      <c r="J597" s="3"/>
      <c r="K597" s="3"/>
      <c r="M597" s="3"/>
    </row>
    <row r="598">
      <c r="A598" s="3"/>
      <c r="C598" s="3"/>
      <c r="D598" s="3"/>
      <c r="E598" s="3"/>
      <c r="F598" s="3"/>
      <c r="G598" s="112"/>
      <c r="H598" s="3"/>
      <c r="J598" s="3"/>
      <c r="K598" s="3"/>
      <c r="M598" s="3"/>
    </row>
    <row r="599">
      <c r="A599" s="3"/>
      <c r="C599" s="3"/>
      <c r="D599" s="3"/>
      <c r="E599" s="3"/>
      <c r="F599" s="3"/>
      <c r="G599" s="112"/>
      <c r="H599" s="3"/>
      <c r="J599" s="3"/>
      <c r="K599" s="3"/>
      <c r="M599" s="3"/>
    </row>
    <row r="600">
      <c r="A600" s="3"/>
      <c r="C600" s="3"/>
      <c r="D600" s="3"/>
      <c r="E600" s="3"/>
      <c r="F600" s="3"/>
      <c r="G600" s="112"/>
      <c r="H600" s="3"/>
      <c r="J600" s="3"/>
      <c r="K600" s="3"/>
      <c r="M600" s="3"/>
    </row>
    <row r="601">
      <c r="A601" s="3"/>
      <c r="C601" s="3"/>
      <c r="D601" s="3"/>
      <c r="E601" s="3"/>
      <c r="F601" s="3"/>
      <c r="G601" s="112"/>
      <c r="H601" s="3"/>
      <c r="J601" s="3"/>
      <c r="K601" s="3"/>
      <c r="M601" s="3"/>
    </row>
    <row r="602">
      <c r="A602" s="3"/>
      <c r="C602" s="3"/>
      <c r="D602" s="3"/>
      <c r="E602" s="3"/>
      <c r="F602" s="3"/>
      <c r="G602" s="112"/>
      <c r="H602" s="3"/>
      <c r="J602" s="3"/>
      <c r="K602" s="3"/>
      <c r="M602" s="3"/>
    </row>
    <row r="603">
      <c r="A603" s="3"/>
      <c r="C603" s="3"/>
      <c r="D603" s="3"/>
      <c r="E603" s="3"/>
      <c r="F603" s="3"/>
      <c r="G603" s="112"/>
      <c r="H603" s="3"/>
      <c r="J603" s="3"/>
      <c r="K603" s="3"/>
      <c r="M603" s="3"/>
    </row>
    <row r="604">
      <c r="A604" s="3"/>
      <c r="C604" s="3"/>
      <c r="D604" s="3"/>
      <c r="E604" s="3"/>
      <c r="F604" s="3"/>
      <c r="G604" s="112"/>
      <c r="H604" s="3"/>
      <c r="J604" s="3"/>
      <c r="K604" s="3"/>
      <c r="M604" s="3"/>
    </row>
    <row r="605">
      <c r="A605" s="3"/>
      <c r="C605" s="3"/>
      <c r="D605" s="3"/>
      <c r="E605" s="3"/>
      <c r="F605" s="3"/>
      <c r="G605" s="112"/>
      <c r="H605" s="3"/>
      <c r="J605" s="3"/>
      <c r="K605" s="3"/>
      <c r="M605" s="3"/>
    </row>
    <row r="606">
      <c r="A606" s="3"/>
      <c r="C606" s="3"/>
      <c r="D606" s="3"/>
      <c r="E606" s="3"/>
      <c r="F606" s="3"/>
      <c r="G606" s="112"/>
      <c r="H606" s="3"/>
      <c r="J606" s="3"/>
      <c r="K606" s="3"/>
      <c r="M606" s="3"/>
    </row>
    <row r="607">
      <c r="A607" s="3"/>
      <c r="C607" s="3"/>
      <c r="D607" s="3"/>
      <c r="E607" s="3"/>
      <c r="F607" s="3"/>
      <c r="G607" s="112"/>
      <c r="H607" s="3"/>
      <c r="J607" s="3"/>
      <c r="K607" s="3"/>
      <c r="M607" s="3"/>
    </row>
    <row r="608">
      <c r="A608" s="3"/>
      <c r="C608" s="3"/>
      <c r="D608" s="3"/>
      <c r="E608" s="3"/>
      <c r="F608" s="3"/>
      <c r="G608" s="112"/>
      <c r="H608" s="3"/>
      <c r="J608" s="3"/>
      <c r="K608" s="3"/>
      <c r="M608" s="3"/>
    </row>
    <row r="609">
      <c r="A609" s="3"/>
      <c r="C609" s="3"/>
      <c r="D609" s="3"/>
      <c r="E609" s="3"/>
      <c r="F609" s="3"/>
      <c r="G609" s="112"/>
      <c r="H609" s="3"/>
      <c r="J609" s="3"/>
      <c r="K609" s="3"/>
      <c r="M609" s="3"/>
    </row>
    <row r="610">
      <c r="A610" s="3"/>
      <c r="C610" s="3"/>
      <c r="D610" s="3"/>
      <c r="E610" s="3"/>
      <c r="F610" s="3"/>
      <c r="G610" s="112"/>
      <c r="H610" s="3"/>
      <c r="J610" s="3"/>
      <c r="K610" s="3"/>
      <c r="M610" s="3"/>
    </row>
    <row r="611">
      <c r="A611" s="3"/>
      <c r="C611" s="3"/>
      <c r="D611" s="3"/>
      <c r="E611" s="3"/>
      <c r="F611" s="3"/>
      <c r="G611" s="112"/>
      <c r="H611" s="3"/>
      <c r="J611" s="3"/>
      <c r="K611" s="3"/>
      <c r="M611" s="3"/>
    </row>
    <row r="612">
      <c r="A612" s="3"/>
      <c r="C612" s="3"/>
      <c r="D612" s="3"/>
      <c r="E612" s="3"/>
      <c r="F612" s="3"/>
      <c r="G612" s="112"/>
      <c r="H612" s="3"/>
      <c r="J612" s="3"/>
      <c r="K612" s="3"/>
      <c r="M612" s="3"/>
    </row>
    <row r="613">
      <c r="A613" s="3"/>
      <c r="C613" s="3"/>
      <c r="D613" s="3"/>
      <c r="E613" s="3"/>
      <c r="F613" s="3"/>
      <c r="G613" s="112"/>
      <c r="H613" s="3"/>
      <c r="J613" s="3"/>
      <c r="K613" s="3"/>
      <c r="M613" s="3"/>
    </row>
    <row r="614">
      <c r="A614" s="3"/>
      <c r="C614" s="3"/>
      <c r="D614" s="3"/>
      <c r="E614" s="3"/>
      <c r="F614" s="3"/>
      <c r="G614" s="112"/>
      <c r="H614" s="3"/>
      <c r="J614" s="3"/>
      <c r="K614" s="3"/>
      <c r="M614" s="3"/>
    </row>
    <row r="615">
      <c r="A615" s="3"/>
      <c r="C615" s="3"/>
      <c r="D615" s="3"/>
      <c r="E615" s="3"/>
      <c r="F615" s="3"/>
      <c r="G615" s="112"/>
      <c r="H615" s="3"/>
      <c r="J615" s="3"/>
      <c r="K615" s="3"/>
      <c r="M615" s="3"/>
    </row>
    <row r="616">
      <c r="A616" s="3"/>
      <c r="C616" s="3"/>
      <c r="D616" s="3"/>
      <c r="E616" s="3"/>
      <c r="F616" s="3"/>
      <c r="G616" s="112"/>
      <c r="H616" s="3"/>
      <c r="J616" s="3"/>
      <c r="K616" s="3"/>
      <c r="M616" s="3"/>
    </row>
    <row r="617">
      <c r="A617" s="3"/>
      <c r="C617" s="3"/>
      <c r="D617" s="3"/>
      <c r="E617" s="3"/>
      <c r="F617" s="3"/>
      <c r="G617" s="112"/>
      <c r="H617" s="3"/>
      <c r="J617" s="3"/>
      <c r="K617" s="3"/>
      <c r="M617" s="3"/>
    </row>
    <row r="618">
      <c r="A618" s="3"/>
      <c r="C618" s="3"/>
      <c r="D618" s="3"/>
      <c r="E618" s="3"/>
      <c r="F618" s="3"/>
      <c r="G618" s="112"/>
      <c r="H618" s="3"/>
      <c r="J618" s="3"/>
      <c r="K618" s="3"/>
      <c r="M618" s="3"/>
    </row>
    <row r="619">
      <c r="A619" s="3"/>
      <c r="C619" s="3"/>
      <c r="D619" s="3"/>
      <c r="E619" s="3"/>
      <c r="F619" s="3"/>
      <c r="G619" s="112"/>
      <c r="H619" s="3"/>
      <c r="J619" s="3"/>
      <c r="K619" s="3"/>
      <c r="M619" s="3"/>
    </row>
    <row r="620">
      <c r="A620" s="3"/>
      <c r="C620" s="3"/>
      <c r="D620" s="3"/>
      <c r="E620" s="3"/>
      <c r="F620" s="3"/>
      <c r="G620" s="112"/>
      <c r="H620" s="3"/>
      <c r="J620" s="3"/>
      <c r="K620" s="3"/>
      <c r="M620" s="3"/>
    </row>
    <row r="621">
      <c r="A621" s="3"/>
      <c r="C621" s="3"/>
      <c r="D621" s="3"/>
      <c r="E621" s="3"/>
      <c r="F621" s="3"/>
      <c r="G621" s="112"/>
      <c r="H621" s="3"/>
      <c r="J621" s="3"/>
      <c r="K621" s="3"/>
      <c r="M621" s="3"/>
    </row>
    <row r="622">
      <c r="A622" s="3"/>
      <c r="C622" s="3"/>
      <c r="D622" s="3"/>
      <c r="E622" s="3"/>
      <c r="F622" s="3"/>
      <c r="G622" s="112"/>
      <c r="H622" s="3"/>
      <c r="J622" s="3"/>
      <c r="K622" s="3"/>
      <c r="M622" s="3"/>
    </row>
    <row r="623">
      <c r="A623" s="3"/>
      <c r="C623" s="3"/>
      <c r="D623" s="3"/>
      <c r="E623" s="3"/>
      <c r="F623" s="3"/>
      <c r="G623" s="112"/>
      <c r="H623" s="3"/>
      <c r="J623" s="3"/>
      <c r="K623" s="3"/>
      <c r="M623" s="3"/>
    </row>
    <row r="624">
      <c r="A624" s="3"/>
      <c r="C624" s="3"/>
      <c r="D624" s="3"/>
      <c r="E624" s="3"/>
      <c r="F624" s="3"/>
      <c r="G624" s="112"/>
      <c r="H624" s="3"/>
      <c r="J624" s="3"/>
      <c r="K624" s="3"/>
      <c r="M624" s="3"/>
    </row>
    <row r="625">
      <c r="A625" s="3"/>
      <c r="C625" s="3"/>
      <c r="D625" s="3"/>
      <c r="E625" s="3"/>
      <c r="F625" s="3"/>
      <c r="G625" s="112"/>
      <c r="H625" s="3"/>
      <c r="J625" s="3"/>
      <c r="K625" s="3"/>
      <c r="M625" s="3"/>
    </row>
    <row r="626">
      <c r="A626" s="3"/>
      <c r="C626" s="3"/>
      <c r="D626" s="3"/>
      <c r="E626" s="3"/>
      <c r="F626" s="3"/>
      <c r="G626" s="112"/>
      <c r="H626" s="3"/>
      <c r="J626" s="3"/>
      <c r="K626" s="3"/>
      <c r="M626" s="3"/>
    </row>
    <row r="627">
      <c r="A627" s="3"/>
      <c r="C627" s="3"/>
      <c r="D627" s="3"/>
      <c r="E627" s="3"/>
      <c r="F627" s="3"/>
      <c r="G627" s="112"/>
      <c r="H627" s="3"/>
      <c r="J627" s="3"/>
      <c r="K627" s="3"/>
      <c r="M627" s="3"/>
    </row>
    <row r="628">
      <c r="A628" s="3"/>
      <c r="C628" s="3"/>
      <c r="D628" s="3"/>
      <c r="E628" s="3"/>
      <c r="F628" s="3"/>
      <c r="G628" s="112"/>
      <c r="H628" s="3"/>
      <c r="J628" s="3"/>
      <c r="K628" s="3"/>
      <c r="M628" s="3"/>
    </row>
    <row r="629">
      <c r="A629" s="3"/>
      <c r="C629" s="3"/>
      <c r="D629" s="3"/>
      <c r="E629" s="3"/>
      <c r="F629" s="3"/>
      <c r="G629" s="112"/>
      <c r="H629" s="3"/>
      <c r="J629" s="3"/>
      <c r="K629" s="3"/>
      <c r="M629" s="3"/>
    </row>
    <row r="630">
      <c r="A630" s="3"/>
      <c r="C630" s="3"/>
      <c r="D630" s="3"/>
      <c r="E630" s="3"/>
      <c r="F630" s="3"/>
      <c r="G630" s="112"/>
      <c r="H630" s="3"/>
      <c r="J630" s="3"/>
      <c r="K630" s="3"/>
      <c r="M630" s="3"/>
    </row>
    <row r="631">
      <c r="A631" s="3"/>
      <c r="C631" s="3"/>
      <c r="D631" s="3"/>
      <c r="E631" s="3"/>
      <c r="F631" s="3"/>
      <c r="G631" s="112"/>
      <c r="H631" s="3"/>
      <c r="J631" s="3"/>
      <c r="K631" s="3"/>
      <c r="M631" s="3"/>
    </row>
    <row r="632">
      <c r="A632" s="3"/>
      <c r="C632" s="3"/>
      <c r="D632" s="3"/>
      <c r="E632" s="3"/>
      <c r="F632" s="3"/>
      <c r="G632" s="112"/>
      <c r="H632" s="3"/>
      <c r="J632" s="3"/>
      <c r="K632" s="3"/>
      <c r="M632" s="3"/>
    </row>
    <row r="633">
      <c r="A633" s="3"/>
      <c r="C633" s="3"/>
      <c r="D633" s="3"/>
      <c r="E633" s="3"/>
      <c r="F633" s="3"/>
      <c r="G633" s="112"/>
      <c r="H633" s="3"/>
      <c r="J633" s="3"/>
      <c r="K633" s="3"/>
      <c r="M633" s="3"/>
    </row>
    <row r="634">
      <c r="A634" s="3"/>
      <c r="C634" s="3"/>
      <c r="D634" s="3"/>
      <c r="E634" s="3"/>
      <c r="F634" s="3"/>
      <c r="G634" s="112"/>
      <c r="H634" s="3"/>
      <c r="J634" s="3"/>
      <c r="K634" s="3"/>
      <c r="M634" s="3"/>
    </row>
    <row r="635">
      <c r="A635" s="3"/>
      <c r="C635" s="3"/>
      <c r="D635" s="3"/>
      <c r="E635" s="3"/>
      <c r="F635" s="3"/>
      <c r="G635" s="112"/>
      <c r="H635" s="3"/>
      <c r="J635" s="3"/>
      <c r="K635" s="3"/>
      <c r="M635" s="3"/>
    </row>
    <row r="636">
      <c r="A636" s="3"/>
      <c r="C636" s="3"/>
      <c r="D636" s="3"/>
      <c r="E636" s="3"/>
      <c r="F636" s="3"/>
      <c r="G636" s="112"/>
      <c r="H636" s="3"/>
      <c r="J636" s="3"/>
      <c r="K636" s="3"/>
      <c r="M636" s="3"/>
    </row>
    <row r="637">
      <c r="A637" s="3"/>
      <c r="C637" s="3"/>
      <c r="D637" s="3"/>
      <c r="E637" s="3"/>
      <c r="F637" s="3"/>
      <c r="G637" s="112"/>
      <c r="H637" s="3"/>
      <c r="J637" s="3"/>
      <c r="K637" s="3"/>
      <c r="M637" s="3"/>
    </row>
    <row r="638">
      <c r="A638" s="3"/>
      <c r="C638" s="3"/>
      <c r="D638" s="3"/>
      <c r="E638" s="3"/>
      <c r="F638" s="3"/>
      <c r="G638" s="112"/>
      <c r="H638" s="3"/>
      <c r="J638" s="3"/>
      <c r="K638" s="3"/>
      <c r="M638" s="3"/>
    </row>
    <row r="639">
      <c r="A639" s="3"/>
      <c r="C639" s="3"/>
      <c r="D639" s="3"/>
      <c r="E639" s="3"/>
      <c r="F639" s="3"/>
      <c r="G639" s="112"/>
      <c r="H639" s="3"/>
      <c r="J639" s="3"/>
      <c r="K639" s="3"/>
      <c r="M639" s="3"/>
    </row>
    <row r="640">
      <c r="A640" s="3"/>
      <c r="C640" s="3"/>
      <c r="D640" s="3"/>
      <c r="E640" s="3"/>
      <c r="F640" s="3"/>
      <c r="G640" s="112"/>
      <c r="H640" s="3"/>
      <c r="J640" s="3"/>
      <c r="K640" s="3"/>
      <c r="M640" s="3"/>
    </row>
    <row r="641">
      <c r="A641" s="3"/>
      <c r="C641" s="3"/>
      <c r="D641" s="3"/>
      <c r="E641" s="3"/>
      <c r="F641" s="3"/>
      <c r="G641" s="112"/>
      <c r="H641" s="3"/>
      <c r="J641" s="3"/>
      <c r="K641" s="3"/>
      <c r="M641" s="3"/>
    </row>
    <row r="642">
      <c r="A642" s="3"/>
      <c r="C642" s="3"/>
      <c r="D642" s="3"/>
      <c r="E642" s="3"/>
      <c r="F642" s="3"/>
      <c r="G642" s="112"/>
      <c r="H642" s="3"/>
      <c r="J642" s="3"/>
      <c r="K642" s="3"/>
      <c r="M642" s="3"/>
    </row>
    <row r="643">
      <c r="A643" s="3"/>
      <c r="C643" s="3"/>
      <c r="D643" s="3"/>
      <c r="E643" s="3"/>
      <c r="F643" s="3"/>
      <c r="G643" s="112"/>
      <c r="H643" s="3"/>
      <c r="J643" s="3"/>
      <c r="K643" s="3"/>
      <c r="M643" s="3"/>
    </row>
    <row r="644">
      <c r="A644" s="3"/>
      <c r="C644" s="3"/>
      <c r="D644" s="3"/>
      <c r="E644" s="3"/>
      <c r="F644" s="3"/>
      <c r="G644" s="112"/>
      <c r="H644" s="3"/>
      <c r="J644" s="3"/>
      <c r="K644" s="3"/>
      <c r="M644" s="3"/>
    </row>
    <row r="645">
      <c r="A645" s="3"/>
      <c r="C645" s="3"/>
      <c r="D645" s="3"/>
      <c r="E645" s="3"/>
      <c r="F645" s="3"/>
      <c r="G645" s="112"/>
      <c r="H645" s="3"/>
      <c r="J645" s="3"/>
      <c r="K645" s="3"/>
      <c r="M645" s="3"/>
    </row>
    <row r="646">
      <c r="A646" s="3"/>
      <c r="C646" s="3"/>
      <c r="D646" s="3"/>
      <c r="E646" s="3"/>
      <c r="F646" s="3"/>
      <c r="G646" s="112"/>
      <c r="H646" s="3"/>
      <c r="J646" s="3"/>
      <c r="K646" s="3"/>
      <c r="M646" s="3"/>
    </row>
    <row r="647">
      <c r="A647" s="3"/>
      <c r="C647" s="3"/>
      <c r="D647" s="3"/>
      <c r="E647" s="3"/>
      <c r="F647" s="3"/>
      <c r="G647" s="112"/>
      <c r="H647" s="3"/>
      <c r="J647" s="3"/>
      <c r="K647" s="3"/>
      <c r="M647" s="3"/>
    </row>
    <row r="648">
      <c r="A648" s="3"/>
      <c r="C648" s="3"/>
      <c r="D648" s="3"/>
      <c r="E648" s="3"/>
      <c r="F648" s="3"/>
      <c r="G648" s="112"/>
      <c r="H648" s="3"/>
      <c r="J648" s="3"/>
      <c r="K648" s="3"/>
      <c r="M648" s="3"/>
    </row>
    <row r="649">
      <c r="A649" s="3"/>
      <c r="C649" s="3"/>
      <c r="D649" s="3"/>
      <c r="E649" s="3"/>
      <c r="F649" s="3"/>
      <c r="G649" s="112"/>
      <c r="H649" s="3"/>
      <c r="J649" s="3"/>
      <c r="K649" s="3"/>
      <c r="M649" s="3"/>
    </row>
    <row r="650">
      <c r="A650" s="3"/>
      <c r="C650" s="3"/>
      <c r="D650" s="3"/>
      <c r="E650" s="3"/>
      <c r="F650" s="3"/>
      <c r="G650" s="112"/>
      <c r="H650" s="3"/>
      <c r="J650" s="3"/>
      <c r="K650" s="3"/>
      <c r="M650" s="3"/>
    </row>
    <row r="651">
      <c r="A651" s="3"/>
      <c r="C651" s="3"/>
      <c r="D651" s="3"/>
      <c r="E651" s="3"/>
      <c r="F651" s="3"/>
      <c r="G651" s="112"/>
      <c r="H651" s="3"/>
      <c r="J651" s="3"/>
      <c r="K651" s="3"/>
      <c r="M651" s="3"/>
    </row>
    <row r="652">
      <c r="A652" s="3"/>
      <c r="C652" s="3"/>
      <c r="D652" s="3"/>
      <c r="E652" s="3"/>
      <c r="F652" s="3"/>
      <c r="G652" s="112"/>
      <c r="H652" s="3"/>
      <c r="J652" s="3"/>
      <c r="K652" s="3"/>
      <c r="M652" s="3"/>
    </row>
    <row r="653">
      <c r="A653" s="3"/>
      <c r="C653" s="3"/>
      <c r="D653" s="3"/>
      <c r="E653" s="3"/>
      <c r="F653" s="3"/>
      <c r="G653" s="112"/>
      <c r="H653" s="3"/>
      <c r="J653" s="3"/>
      <c r="K653" s="3"/>
      <c r="M653" s="3"/>
    </row>
    <row r="654">
      <c r="A654" s="3"/>
      <c r="C654" s="3"/>
      <c r="D654" s="3"/>
      <c r="E654" s="3"/>
      <c r="F654" s="3"/>
      <c r="G654" s="112"/>
      <c r="H654" s="3"/>
      <c r="J654" s="3"/>
      <c r="K654" s="3"/>
      <c r="M654" s="3"/>
    </row>
    <row r="655">
      <c r="A655" s="3"/>
      <c r="C655" s="3"/>
      <c r="D655" s="3"/>
      <c r="E655" s="3"/>
      <c r="F655" s="3"/>
      <c r="G655" s="112"/>
      <c r="H655" s="3"/>
      <c r="J655" s="3"/>
      <c r="K655" s="3"/>
      <c r="M655" s="3"/>
    </row>
    <row r="656">
      <c r="A656" s="3"/>
      <c r="C656" s="3"/>
      <c r="D656" s="3"/>
      <c r="E656" s="3"/>
      <c r="F656" s="3"/>
      <c r="G656" s="112"/>
      <c r="H656" s="3"/>
      <c r="J656" s="3"/>
      <c r="K656" s="3"/>
      <c r="M656" s="3"/>
    </row>
    <row r="657">
      <c r="A657" s="3"/>
      <c r="C657" s="3"/>
      <c r="D657" s="3"/>
      <c r="E657" s="3"/>
      <c r="F657" s="3"/>
      <c r="G657" s="112"/>
      <c r="H657" s="3"/>
      <c r="J657" s="3"/>
      <c r="K657" s="3"/>
      <c r="M657" s="3"/>
    </row>
    <row r="658">
      <c r="A658" s="3"/>
      <c r="C658" s="3"/>
      <c r="D658" s="3"/>
      <c r="E658" s="3"/>
      <c r="F658" s="3"/>
      <c r="G658" s="112"/>
      <c r="H658" s="3"/>
      <c r="J658" s="3"/>
      <c r="K658" s="3"/>
      <c r="M658" s="3"/>
    </row>
    <row r="659">
      <c r="A659" s="3"/>
      <c r="C659" s="3"/>
      <c r="D659" s="3"/>
      <c r="E659" s="3"/>
      <c r="F659" s="3"/>
      <c r="G659" s="112"/>
      <c r="H659" s="3"/>
      <c r="J659" s="3"/>
      <c r="K659" s="3"/>
      <c r="M659" s="3"/>
    </row>
    <row r="660">
      <c r="A660" s="3"/>
      <c r="C660" s="3"/>
      <c r="D660" s="3"/>
      <c r="E660" s="3"/>
      <c r="F660" s="3"/>
      <c r="G660" s="112"/>
      <c r="H660" s="3"/>
      <c r="J660" s="3"/>
      <c r="K660" s="3"/>
      <c r="M660" s="3"/>
    </row>
    <row r="661">
      <c r="A661" s="3"/>
      <c r="C661" s="3"/>
      <c r="D661" s="3"/>
      <c r="E661" s="3"/>
      <c r="F661" s="3"/>
      <c r="G661" s="112"/>
      <c r="H661" s="3"/>
      <c r="J661" s="3"/>
      <c r="K661" s="3"/>
      <c r="M661" s="3"/>
    </row>
    <row r="662">
      <c r="A662" s="3"/>
      <c r="C662" s="3"/>
      <c r="D662" s="3"/>
      <c r="E662" s="3"/>
      <c r="F662" s="3"/>
      <c r="G662" s="112"/>
      <c r="H662" s="3"/>
      <c r="J662" s="3"/>
      <c r="K662" s="3"/>
      <c r="M662" s="3"/>
    </row>
    <row r="663">
      <c r="A663" s="3"/>
      <c r="C663" s="3"/>
      <c r="D663" s="3"/>
      <c r="E663" s="3"/>
      <c r="F663" s="3"/>
      <c r="G663" s="112"/>
      <c r="H663" s="3"/>
      <c r="J663" s="3"/>
      <c r="K663" s="3"/>
      <c r="M663" s="3"/>
    </row>
    <row r="664">
      <c r="A664" s="3"/>
      <c r="C664" s="3"/>
      <c r="D664" s="3"/>
      <c r="E664" s="3"/>
      <c r="F664" s="3"/>
      <c r="G664" s="112"/>
      <c r="H664" s="3"/>
      <c r="J664" s="3"/>
      <c r="K664" s="3"/>
      <c r="M664" s="3"/>
    </row>
    <row r="665">
      <c r="A665" s="3"/>
      <c r="C665" s="3"/>
      <c r="D665" s="3"/>
      <c r="E665" s="3"/>
      <c r="F665" s="3"/>
      <c r="G665" s="112"/>
      <c r="H665" s="3"/>
      <c r="J665" s="3"/>
      <c r="K665" s="3"/>
      <c r="M665" s="3"/>
    </row>
    <row r="666">
      <c r="A666" s="3"/>
      <c r="C666" s="3"/>
      <c r="D666" s="3"/>
      <c r="E666" s="3"/>
      <c r="F666" s="3"/>
      <c r="G666" s="112"/>
      <c r="H666" s="3"/>
      <c r="J666" s="3"/>
      <c r="K666" s="3"/>
      <c r="M666" s="3"/>
    </row>
    <row r="667">
      <c r="A667" s="3"/>
      <c r="C667" s="3"/>
      <c r="D667" s="3"/>
      <c r="E667" s="3"/>
      <c r="F667" s="3"/>
      <c r="G667" s="112"/>
      <c r="H667" s="3"/>
      <c r="J667" s="3"/>
      <c r="K667" s="3"/>
      <c r="M667" s="3"/>
    </row>
    <row r="668">
      <c r="A668" s="3"/>
      <c r="C668" s="3"/>
      <c r="D668" s="3"/>
      <c r="E668" s="3"/>
      <c r="F668" s="3"/>
      <c r="G668" s="112"/>
      <c r="H668" s="3"/>
      <c r="J668" s="3"/>
      <c r="K668" s="3"/>
      <c r="M668" s="3"/>
    </row>
    <row r="669">
      <c r="A669" s="3"/>
      <c r="C669" s="3"/>
      <c r="D669" s="3"/>
      <c r="E669" s="3"/>
      <c r="F669" s="3"/>
      <c r="G669" s="112"/>
      <c r="H669" s="3"/>
      <c r="J669" s="3"/>
      <c r="K669" s="3"/>
      <c r="M669" s="3"/>
    </row>
    <row r="670">
      <c r="A670" s="3"/>
      <c r="C670" s="3"/>
      <c r="D670" s="3"/>
      <c r="E670" s="3"/>
      <c r="F670" s="3"/>
      <c r="G670" s="112"/>
      <c r="H670" s="3"/>
      <c r="J670" s="3"/>
      <c r="K670" s="3"/>
      <c r="M670" s="3"/>
    </row>
    <row r="671">
      <c r="A671" s="3"/>
      <c r="C671" s="3"/>
      <c r="D671" s="3"/>
      <c r="E671" s="3"/>
      <c r="F671" s="3"/>
      <c r="G671" s="112"/>
      <c r="H671" s="3"/>
      <c r="J671" s="3"/>
      <c r="K671" s="3"/>
      <c r="M671" s="3"/>
    </row>
    <row r="672">
      <c r="A672" s="3"/>
      <c r="C672" s="3"/>
      <c r="D672" s="3"/>
      <c r="E672" s="3"/>
      <c r="F672" s="3"/>
      <c r="G672" s="112"/>
      <c r="H672" s="3"/>
      <c r="J672" s="3"/>
      <c r="K672" s="3"/>
      <c r="M672" s="3"/>
    </row>
    <row r="673">
      <c r="A673" s="3"/>
      <c r="C673" s="3"/>
      <c r="D673" s="3"/>
      <c r="E673" s="3"/>
      <c r="F673" s="3"/>
      <c r="G673" s="112"/>
      <c r="H673" s="3"/>
      <c r="J673" s="3"/>
      <c r="K673" s="3"/>
      <c r="M673" s="3"/>
    </row>
    <row r="674">
      <c r="A674" s="3"/>
      <c r="C674" s="3"/>
      <c r="D674" s="3"/>
      <c r="E674" s="3"/>
      <c r="F674" s="3"/>
      <c r="G674" s="112"/>
      <c r="H674" s="3"/>
      <c r="J674" s="3"/>
      <c r="K674" s="3"/>
      <c r="M674" s="3"/>
    </row>
    <row r="675">
      <c r="A675" s="3"/>
      <c r="C675" s="3"/>
      <c r="D675" s="3"/>
      <c r="E675" s="3"/>
      <c r="F675" s="3"/>
      <c r="G675" s="112"/>
      <c r="H675" s="3"/>
      <c r="J675" s="3"/>
      <c r="K675" s="3"/>
      <c r="M675" s="3"/>
    </row>
    <row r="676">
      <c r="A676" s="3"/>
      <c r="C676" s="3"/>
      <c r="D676" s="3"/>
      <c r="E676" s="3"/>
      <c r="F676" s="3"/>
      <c r="G676" s="112"/>
      <c r="H676" s="3"/>
      <c r="J676" s="3"/>
      <c r="K676" s="3"/>
      <c r="M676" s="3"/>
    </row>
    <row r="677">
      <c r="A677" s="3"/>
      <c r="C677" s="3"/>
      <c r="D677" s="3"/>
      <c r="E677" s="3"/>
      <c r="F677" s="3"/>
      <c r="G677" s="112"/>
      <c r="H677" s="3"/>
      <c r="J677" s="3"/>
      <c r="K677" s="3"/>
      <c r="M677" s="3"/>
    </row>
    <row r="678">
      <c r="A678" s="3"/>
      <c r="C678" s="3"/>
      <c r="D678" s="3"/>
      <c r="E678" s="3"/>
      <c r="F678" s="3"/>
      <c r="G678" s="112"/>
      <c r="H678" s="3"/>
      <c r="J678" s="3"/>
      <c r="K678" s="3"/>
      <c r="M678" s="3"/>
    </row>
    <row r="679">
      <c r="A679" s="3"/>
      <c r="C679" s="3"/>
      <c r="D679" s="3"/>
      <c r="E679" s="3"/>
      <c r="F679" s="3"/>
      <c r="G679" s="112"/>
      <c r="H679" s="3"/>
      <c r="J679" s="3"/>
      <c r="K679" s="3"/>
      <c r="M679" s="3"/>
    </row>
    <row r="680">
      <c r="A680" s="3"/>
      <c r="C680" s="3"/>
      <c r="D680" s="3"/>
      <c r="E680" s="3"/>
      <c r="F680" s="3"/>
      <c r="G680" s="112"/>
      <c r="H680" s="3"/>
      <c r="J680" s="3"/>
      <c r="K680" s="3"/>
      <c r="M680" s="3"/>
    </row>
    <row r="681">
      <c r="A681" s="3"/>
      <c r="C681" s="3"/>
      <c r="D681" s="3"/>
      <c r="E681" s="3"/>
      <c r="F681" s="3"/>
      <c r="G681" s="112"/>
      <c r="H681" s="3"/>
      <c r="J681" s="3"/>
      <c r="K681" s="3"/>
      <c r="M681" s="3"/>
    </row>
    <row r="682">
      <c r="A682" s="3"/>
      <c r="C682" s="3"/>
      <c r="D682" s="3"/>
      <c r="E682" s="3"/>
      <c r="F682" s="3"/>
      <c r="G682" s="112"/>
      <c r="H682" s="3"/>
      <c r="J682" s="3"/>
      <c r="K682" s="3"/>
      <c r="M682" s="3"/>
    </row>
    <row r="683">
      <c r="A683" s="3"/>
      <c r="C683" s="3"/>
      <c r="D683" s="3"/>
      <c r="E683" s="3"/>
      <c r="F683" s="3"/>
      <c r="G683" s="112"/>
      <c r="H683" s="3"/>
      <c r="J683" s="3"/>
      <c r="K683" s="3"/>
      <c r="M683" s="3"/>
    </row>
    <row r="684">
      <c r="A684" s="3"/>
      <c r="C684" s="3"/>
      <c r="D684" s="3"/>
      <c r="E684" s="3"/>
      <c r="F684" s="3"/>
      <c r="G684" s="112"/>
      <c r="H684" s="3"/>
      <c r="J684" s="3"/>
      <c r="K684" s="3"/>
      <c r="M684" s="3"/>
    </row>
    <row r="685">
      <c r="A685" s="3"/>
      <c r="C685" s="3"/>
      <c r="D685" s="3"/>
      <c r="E685" s="3"/>
      <c r="F685" s="3"/>
      <c r="G685" s="112"/>
      <c r="H685" s="3"/>
      <c r="J685" s="3"/>
      <c r="K685" s="3"/>
      <c r="M685" s="3"/>
    </row>
    <row r="686">
      <c r="A686" s="3"/>
      <c r="C686" s="3"/>
      <c r="D686" s="3"/>
      <c r="E686" s="3"/>
      <c r="F686" s="3"/>
      <c r="G686" s="112"/>
      <c r="H686" s="3"/>
      <c r="J686" s="3"/>
      <c r="K686" s="3"/>
      <c r="M686" s="3"/>
    </row>
    <row r="687">
      <c r="A687" s="3"/>
      <c r="C687" s="3"/>
      <c r="D687" s="3"/>
      <c r="E687" s="3"/>
      <c r="F687" s="3"/>
      <c r="G687" s="112"/>
      <c r="H687" s="3"/>
      <c r="J687" s="3"/>
      <c r="K687" s="3"/>
      <c r="M687" s="3"/>
    </row>
    <row r="688">
      <c r="A688" s="3"/>
      <c r="C688" s="3"/>
      <c r="D688" s="3"/>
      <c r="E688" s="3"/>
      <c r="F688" s="3"/>
      <c r="G688" s="112"/>
      <c r="H688" s="3"/>
      <c r="J688" s="3"/>
      <c r="K688" s="3"/>
      <c r="M688" s="3"/>
    </row>
    <row r="689">
      <c r="A689" s="3"/>
      <c r="C689" s="3"/>
      <c r="D689" s="3"/>
      <c r="E689" s="3"/>
      <c r="F689" s="3"/>
      <c r="G689" s="112"/>
      <c r="H689" s="3"/>
      <c r="J689" s="3"/>
      <c r="K689" s="3"/>
      <c r="M689" s="3"/>
    </row>
    <row r="690">
      <c r="A690" s="3"/>
      <c r="C690" s="3"/>
      <c r="D690" s="3"/>
      <c r="E690" s="3"/>
      <c r="F690" s="3"/>
      <c r="G690" s="112"/>
      <c r="H690" s="3"/>
      <c r="J690" s="3"/>
      <c r="K690" s="3"/>
      <c r="M690" s="3"/>
    </row>
    <row r="691">
      <c r="A691" s="3"/>
      <c r="C691" s="3"/>
      <c r="D691" s="3"/>
      <c r="E691" s="3"/>
      <c r="F691" s="3"/>
      <c r="G691" s="112"/>
      <c r="H691" s="3"/>
      <c r="J691" s="3"/>
      <c r="K691" s="3"/>
      <c r="M691" s="3"/>
    </row>
    <row r="692">
      <c r="A692" s="3"/>
      <c r="C692" s="3"/>
      <c r="D692" s="3"/>
      <c r="E692" s="3"/>
      <c r="F692" s="3"/>
      <c r="G692" s="112"/>
      <c r="H692" s="3"/>
      <c r="J692" s="3"/>
      <c r="K692" s="3"/>
      <c r="M692" s="3"/>
    </row>
    <row r="693">
      <c r="A693" s="3"/>
      <c r="C693" s="3"/>
      <c r="D693" s="3"/>
      <c r="E693" s="3"/>
      <c r="F693" s="3"/>
      <c r="G693" s="112"/>
      <c r="H693" s="3"/>
      <c r="J693" s="3"/>
      <c r="K693" s="3"/>
      <c r="M693" s="3"/>
    </row>
    <row r="694">
      <c r="A694" s="3"/>
      <c r="C694" s="3"/>
      <c r="D694" s="3"/>
      <c r="E694" s="3"/>
      <c r="F694" s="3"/>
      <c r="G694" s="112"/>
      <c r="H694" s="3"/>
      <c r="J694" s="3"/>
      <c r="K694" s="3"/>
      <c r="M694" s="3"/>
    </row>
    <row r="695">
      <c r="A695" s="3"/>
      <c r="C695" s="3"/>
      <c r="D695" s="3"/>
      <c r="E695" s="3"/>
      <c r="F695" s="3"/>
      <c r="G695" s="112"/>
      <c r="H695" s="3"/>
      <c r="J695" s="3"/>
      <c r="K695" s="3"/>
      <c r="M695" s="3"/>
    </row>
    <row r="696">
      <c r="A696" s="3"/>
      <c r="C696" s="3"/>
      <c r="D696" s="3"/>
      <c r="E696" s="3"/>
      <c r="F696" s="3"/>
      <c r="G696" s="112"/>
      <c r="H696" s="3"/>
      <c r="J696" s="3"/>
      <c r="K696" s="3"/>
      <c r="M696" s="3"/>
    </row>
    <row r="697">
      <c r="A697" s="3"/>
      <c r="C697" s="3"/>
      <c r="D697" s="3"/>
      <c r="E697" s="3"/>
      <c r="F697" s="3"/>
      <c r="G697" s="112"/>
      <c r="H697" s="3"/>
      <c r="J697" s="3"/>
      <c r="K697" s="3"/>
      <c r="M697" s="3"/>
    </row>
    <row r="698">
      <c r="A698" s="3"/>
      <c r="C698" s="3"/>
      <c r="D698" s="3"/>
      <c r="E698" s="3"/>
      <c r="F698" s="3"/>
      <c r="G698" s="112"/>
      <c r="H698" s="3"/>
      <c r="J698" s="3"/>
      <c r="K698" s="3"/>
      <c r="M698" s="3"/>
    </row>
    <row r="699">
      <c r="A699" s="3"/>
      <c r="C699" s="3"/>
      <c r="D699" s="3"/>
      <c r="E699" s="3"/>
      <c r="F699" s="3"/>
      <c r="G699" s="112"/>
      <c r="H699" s="3"/>
      <c r="J699" s="3"/>
      <c r="K699" s="3"/>
      <c r="M699" s="3"/>
    </row>
    <row r="700">
      <c r="A700" s="3"/>
      <c r="C700" s="3"/>
      <c r="D700" s="3"/>
      <c r="E700" s="3"/>
      <c r="F700" s="3"/>
      <c r="G700" s="112"/>
      <c r="H700" s="3"/>
      <c r="J700" s="3"/>
      <c r="K700" s="3"/>
      <c r="M700" s="3"/>
    </row>
    <row r="701">
      <c r="A701" s="3"/>
      <c r="C701" s="3"/>
      <c r="D701" s="3"/>
      <c r="E701" s="3"/>
      <c r="F701" s="3"/>
      <c r="G701" s="112"/>
      <c r="H701" s="3"/>
      <c r="J701" s="3"/>
      <c r="K701" s="3"/>
      <c r="M701" s="3"/>
    </row>
    <row r="702">
      <c r="A702" s="3"/>
      <c r="C702" s="3"/>
      <c r="D702" s="3"/>
      <c r="E702" s="3"/>
      <c r="F702" s="3"/>
      <c r="G702" s="112"/>
      <c r="H702" s="3"/>
      <c r="J702" s="3"/>
      <c r="K702" s="3"/>
      <c r="M702" s="3"/>
    </row>
    <row r="703">
      <c r="A703" s="3"/>
      <c r="C703" s="3"/>
      <c r="D703" s="3"/>
      <c r="E703" s="3"/>
      <c r="F703" s="3"/>
      <c r="G703" s="112"/>
      <c r="H703" s="3"/>
      <c r="J703" s="3"/>
      <c r="K703" s="3"/>
      <c r="M703" s="3"/>
    </row>
    <row r="704">
      <c r="A704" s="3"/>
      <c r="C704" s="3"/>
      <c r="D704" s="3"/>
      <c r="E704" s="3"/>
      <c r="F704" s="3"/>
      <c r="G704" s="112"/>
      <c r="H704" s="3"/>
      <c r="J704" s="3"/>
      <c r="K704" s="3"/>
      <c r="M704" s="3"/>
    </row>
    <row r="705">
      <c r="A705" s="3"/>
      <c r="C705" s="3"/>
      <c r="D705" s="3"/>
      <c r="E705" s="3"/>
      <c r="F705" s="3"/>
      <c r="G705" s="112"/>
      <c r="H705" s="3"/>
      <c r="J705" s="3"/>
      <c r="K705" s="3"/>
      <c r="M705" s="3"/>
    </row>
    <row r="706">
      <c r="A706" s="3"/>
      <c r="C706" s="3"/>
      <c r="D706" s="3"/>
      <c r="E706" s="3"/>
      <c r="F706" s="3"/>
      <c r="G706" s="112"/>
      <c r="H706" s="3"/>
      <c r="J706" s="3"/>
      <c r="K706" s="3"/>
      <c r="M706" s="3"/>
    </row>
    <row r="707">
      <c r="A707" s="3"/>
      <c r="C707" s="3"/>
      <c r="D707" s="3"/>
      <c r="E707" s="3"/>
      <c r="F707" s="3"/>
      <c r="G707" s="112"/>
      <c r="H707" s="3"/>
      <c r="J707" s="3"/>
      <c r="K707" s="3"/>
      <c r="M707" s="3"/>
    </row>
    <row r="708">
      <c r="A708" s="3"/>
      <c r="C708" s="3"/>
      <c r="D708" s="3"/>
      <c r="E708" s="3"/>
      <c r="F708" s="3"/>
      <c r="G708" s="112"/>
      <c r="H708" s="3"/>
      <c r="J708" s="3"/>
      <c r="K708" s="3"/>
      <c r="M708" s="3"/>
    </row>
    <row r="709">
      <c r="A709" s="3"/>
      <c r="C709" s="3"/>
      <c r="D709" s="3"/>
      <c r="E709" s="3"/>
      <c r="F709" s="3"/>
      <c r="G709" s="112"/>
      <c r="H709" s="3"/>
      <c r="J709" s="3"/>
      <c r="K709" s="3"/>
      <c r="M709" s="3"/>
    </row>
    <row r="710">
      <c r="A710" s="3"/>
      <c r="C710" s="3"/>
      <c r="D710" s="3"/>
      <c r="E710" s="3"/>
      <c r="F710" s="3"/>
      <c r="G710" s="112"/>
      <c r="H710" s="3"/>
      <c r="J710" s="3"/>
      <c r="K710" s="3"/>
      <c r="M710" s="3"/>
    </row>
    <row r="711">
      <c r="A711" s="3"/>
      <c r="C711" s="3"/>
      <c r="D711" s="3"/>
      <c r="E711" s="3"/>
      <c r="F711" s="3"/>
      <c r="G711" s="112"/>
      <c r="H711" s="3"/>
      <c r="J711" s="3"/>
      <c r="K711" s="3"/>
      <c r="M711" s="3"/>
    </row>
    <row r="712">
      <c r="A712" s="3"/>
      <c r="C712" s="3"/>
      <c r="D712" s="3"/>
      <c r="E712" s="3"/>
      <c r="F712" s="3"/>
      <c r="G712" s="112"/>
      <c r="H712" s="3"/>
      <c r="J712" s="3"/>
      <c r="K712" s="3"/>
      <c r="M712" s="3"/>
    </row>
    <row r="713">
      <c r="A713" s="3"/>
      <c r="C713" s="3"/>
      <c r="D713" s="3"/>
      <c r="E713" s="3"/>
      <c r="F713" s="3"/>
      <c r="G713" s="112"/>
      <c r="H713" s="3"/>
      <c r="J713" s="3"/>
      <c r="K713" s="3"/>
      <c r="M713" s="3"/>
    </row>
    <row r="714">
      <c r="A714" s="3"/>
      <c r="C714" s="3"/>
      <c r="D714" s="3"/>
      <c r="E714" s="3"/>
      <c r="F714" s="3"/>
      <c r="G714" s="112"/>
      <c r="H714" s="3"/>
      <c r="J714" s="3"/>
      <c r="K714" s="3"/>
      <c r="M714" s="3"/>
    </row>
    <row r="715">
      <c r="A715" s="3"/>
      <c r="C715" s="3"/>
      <c r="D715" s="3"/>
      <c r="E715" s="3"/>
      <c r="F715" s="3"/>
      <c r="G715" s="112"/>
      <c r="H715" s="3"/>
      <c r="J715" s="3"/>
      <c r="K715" s="3"/>
      <c r="M715" s="3"/>
    </row>
    <row r="716">
      <c r="A716" s="3"/>
      <c r="C716" s="3"/>
      <c r="D716" s="3"/>
      <c r="E716" s="3"/>
      <c r="F716" s="3"/>
      <c r="G716" s="112"/>
      <c r="H716" s="3"/>
      <c r="J716" s="3"/>
      <c r="K716" s="3"/>
      <c r="M716" s="3"/>
    </row>
    <row r="717">
      <c r="A717" s="3"/>
      <c r="C717" s="3"/>
      <c r="D717" s="3"/>
      <c r="E717" s="3"/>
      <c r="F717" s="3"/>
      <c r="G717" s="112"/>
      <c r="H717" s="3"/>
      <c r="J717" s="3"/>
      <c r="K717" s="3"/>
      <c r="M717" s="3"/>
    </row>
    <row r="718">
      <c r="A718" s="3"/>
      <c r="C718" s="3"/>
      <c r="D718" s="3"/>
      <c r="E718" s="3"/>
      <c r="F718" s="3"/>
      <c r="G718" s="112"/>
      <c r="H718" s="3"/>
      <c r="J718" s="3"/>
      <c r="K718" s="3"/>
      <c r="M718" s="3"/>
    </row>
    <row r="719">
      <c r="A719" s="3"/>
      <c r="C719" s="3"/>
      <c r="D719" s="3"/>
      <c r="E719" s="3"/>
      <c r="F719" s="3"/>
      <c r="G719" s="112"/>
      <c r="H719" s="3"/>
      <c r="J719" s="3"/>
      <c r="K719" s="3"/>
      <c r="M719" s="3"/>
    </row>
    <row r="720">
      <c r="A720" s="3"/>
      <c r="C720" s="3"/>
      <c r="D720" s="3"/>
      <c r="E720" s="3"/>
      <c r="F720" s="3"/>
      <c r="G720" s="112"/>
      <c r="H720" s="3"/>
      <c r="J720" s="3"/>
      <c r="K720" s="3"/>
      <c r="M720" s="3"/>
    </row>
    <row r="721">
      <c r="A721" s="3"/>
      <c r="C721" s="3"/>
      <c r="D721" s="3"/>
      <c r="E721" s="3"/>
      <c r="F721" s="3"/>
      <c r="G721" s="112"/>
      <c r="H721" s="3"/>
      <c r="J721" s="3"/>
      <c r="K721" s="3"/>
      <c r="M721" s="3"/>
    </row>
    <row r="722">
      <c r="A722" s="3"/>
      <c r="C722" s="3"/>
      <c r="D722" s="3"/>
      <c r="E722" s="3"/>
      <c r="F722" s="3"/>
      <c r="G722" s="112"/>
      <c r="H722" s="3"/>
      <c r="J722" s="3"/>
      <c r="K722" s="3"/>
      <c r="M722" s="3"/>
    </row>
    <row r="723">
      <c r="A723" s="3"/>
      <c r="C723" s="3"/>
      <c r="D723" s="3"/>
      <c r="E723" s="3"/>
      <c r="F723" s="3"/>
      <c r="G723" s="112"/>
      <c r="H723" s="3"/>
      <c r="J723" s="3"/>
      <c r="K723" s="3"/>
      <c r="M723" s="3"/>
    </row>
    <row r="724">
      <c r="A724" s="3"/>
      <c r="C724" s="3"/>
      <c r="D724" s="3"/>
      <c r="E724" s="3"/>
      <c r="F724" s="3"/>
      <c r="G724" s="112"/>
      <c r="H724" s="3"/>
      <c r="J724" s="3"/>
      <c r="K724" s="3"/>
      <c r="M724" s="3"/>
    </row>
    <row r="725">
      <c r="A725" s="3"/>
      <c r="C725" s="3"/>
      <c r="D725" s="3"/>
      <c r="E725" s="3"/>
      <c r="F725" s="3"/>
      <c r="G725" s="112"/>
      <c r="H725" s="3"/>
      <c r="J725" s="3"/>
      <c r="K725" s="3"/>
      <c r="M725" s="3"/>
    </row>
    <row r="726">
      <c r="A726" s="3"/>
      <c r="C726" s="3"/>
      <c r="D726" s="3"/>
      <c r="E726" s="3"/>
      <c r="F726" s="3"/>
      <c r="G726" s="112"/>
      <c r="H726" s="3"/>
      <c r="J726" s="3"/>
      <c r="K726" s="3"/>
      <c r="M726" s="3"/>
    </row>
    <row r="727">
      <c r="A727" s="3"/>
      <c r="C727" s="3"/>
      <c r="D727" s="3"/>
      <c r="E727" s="3"/>
      <c r="F727" s="3"/>
      <c r="G727" s="112"/>
      <c r="H727" s="3"/>
      <c r="J727" s="3"/>
      <c r="K727" s="3"/>
      <c r="M727" s="3"/>
    </row>
    <row r="728">
      <c r="A728" s="3"/>
      <c r="C728" s="3"/>
      <c r="D728" s="3"/>
      <c r="E728" s="3"/>
      <c r="F728" s="3"/>
      <c r="G728" s="112"/>
      <c r="H728" s="3"/>
      <c r="J728" s="3"/>
      <c r="K728" s="3"/>
      <c r="M728" s="3"/>
    </row>
    <row r="729">
      <c r="A729" s="3"/>
      <c r="C729" s="3"/>
      <c r="D729" s="3"/>
      <c r="E729" s="3"/>
      <c r="F729" s="3"/>
      <c r="G729" s="112"/>
      <c r="H729" s="3"/>
      <c r="J729" s="3"/>
      <c r="K729" s="3"/>
      <c r="M729" s="3"/>
    </row>
    <row r="730">
      <c r="A730" s="3"/>
      <c r="C730" s="3"/>
      <c r="D730" s="3"/>
      <c r="E730" s="3"/>
      <c r="F730" s="3"/>
      <c r="G730" s="112"/>
      <c r="H730" s="3"/>
      <c r="J730" s="3"/>
      <c r="K730" s="3"/>
      <c r="M730" s="3"/>
    </row>
    <row r="731">
      <c r="A731" s="3"/>
      <c r="C731" s="3"/>
      <c r="D731" s="3"/>
      <c r="E731" s="3"/>
      <c r="F731" s="3"/>
      <c r="G731" s="112"/>
      <c r="H731" s="3"/>
      <c r="J731" s="3"/>
      <c r="K731" s="3"/>
      <c r="M731" s="3"/>
    </row>
    <row r="732">
      <c r="A732" s="3"/>
      <c r="C732" s="3"/>
      <c r="D732" s="3"/>
      <c r="E732" s="3"/>
      <c r="F732" s="3"/>
      <c r="G732" s="112"/>
      <c r="H732" s="3"/>
      <c r="J732" s="3"/>
      <c r="K732" s="3"/>
      <c r="M732" s="3"/>
    </row>
    <row r="733">
      <c r="A733" s="3"/>
      <c r="C733" s="3"/>
      <c r="D733" s="3"/>
      <c r="E733" s="3"/>
      <c r="F733" s="3"/>
      <c r="G733" s="112"/>
      <c r="H733" s="3"/>
      <c r="J733" s="3"/>
      <c r="K733" s="3"/>
      <c r="M733" s="3"/>
    </row>
    <row r="734">
      <c r="A734" s="3"/>
      <c r="C734" s="3"/>
      <c r="D734" s="3"/>
      <c r="E734" s="3"/>
      <c r="F734" s="3"/>
      <c r="G734" s="112"/>
      <c r="H734" s="3"/>
      <c r="J734" s="3"/>
      <c r="K734" s="3"/>
      <c r="M734" s="3"/>
    </row>
    <row r="735">
      <c r="A735" s="3"/>
      <c r="C735" s="3"/>
      <c r="D735" s="3"/>
      <c r="E735" s="3"/>
      <c r="F735" s="3"/>
      <c r="G735" s="112"/>
      <c r="H735" s="3"/>
      <c r="J735" s="3"/>
      <c r="K735" s="3"/>
      <c r="M735" s="3"/>
    </row>
    <row r="736">
      <c r="A736" s="3"/>
      <c r="C736" s="3"/>
      <c r="D736" s="3"/>
      <c r="E736" s="3"/>
      <c r="F736" s="3"/>
      <c r="G736" s="112"/>
      <c r="H736" s="3"/>
      <c r="J736" s="3"/>
      <c r="K736" s="3"/>
      <c r="M736" s="3"/>
    </row>
    <row r="737">
      <c r="A737" s="3"/>
      <c r="C737" s="3"/>
      <c r="D737" s="3"/>
      <c r="E737" s="3"/>
      <c r="F737" s="3"/>
      <c r="G737" s="112"/>
      <c r="H737" s="3"/>
      <c r="J737" s="3"/>
      <c r="K737" s="3"/>
      <c r="M737" s="3"/>
    </row>
    <row r="738">
      <c r="A738" s="3"/>
      <c r="C738" s="3"/>
      <c r="D738" s="3"/>
      <c r="E738" s="3"/>
      <c r="F738" s="3"/>
      <c r="G738" s="112"/>
      <c r="H738" s="3"/>
      <c r="J738" s="3"/>
      <c r="K738" s="3"/>
      <c r="M738" s="3"/>
    </row>
    <row r="739">
      <c r="A739" s="3"/>
      <c r="C739" s="3"/>
      <c r="D739" s="3"/>
      <c r="E739" s="3"/>
      <c r="F739" s="3"/>
      <c r="G739" s="112"/>
      <c r="H739" s="3"/>
      <c r="J739" s="3"/>
      <c r="K739" s="3"/>
      <c r="M739" s="3"/>
    </row>
    <row r="740">
      <c r="A740" s="3"/>
      <c r="C740" s="3"/>
      <c r="D740" s="3"/>
      <c r="E740" s="3"/>
      <c r="F740" s="3"/>
      <c r="G740" s="112"/>
      <c r="H740" s="3"/>
      <c r="J740" s="3"/>
      <c r="K740" s="3"/>
      <c r="M740" s="3"/>
    </row>
    <row r="741">
      <c r="A741" s="3"/>
      <c r="C741" s="3"/>
      <c r="D741" s="3"/>
      <c r="E741" s="3"/>
      <c r="F741" s="3"/>
      <c r="G741" s="112"/>
      <c r="H741" s="3"/>
      <c r="J741" s="3"/>
      <c r="K741" s="3"/>
      <c r="M741" s="3"/>
    </row>
    <row r="742">
      <c r="A742" s="3"/>
      <c r="C742" s="3"/>
      <c r="D742" s="3"/>
      <c r="E742" s="3"/>
      <c r="F742" s="3"/>
      <c r="G742" s="112"/>
      <c r="H742" s="3"/>
      <c r="J742" s="3"/>
      <c r="K742" s="3"/>
      <c r="M742" s="3"/>
    </row>
    <row r="743">
      <c r="A743" s="3"/>
      <c r="C743" s="3"/>
      <c r="D743" s="3"/>
      <c r="E743" s="3"/>
      <c r="F743" s="3"/>
      <c r="G743" s="112"/>
      <c r="H743" s="3"/>
      <c r="J743" s="3"/>
      <c r="K743" s="3"/>
      <c r="M743" s="3"/>
    </row>
    <row r="744">
      <c r="A744" s="3"/>
      <c r="C744" s="3"/>
      <c r="D744" s="3"/>
      <c r="E744" s="3"/>
      <c r="F744" s="3"/>
      <c r="G744" s="112"/>
      <c r="H744" s="3"/>
      <c r="J744" s="3"/>
      <c r="K744" s="3"/>
      <c r="M744" s="3"/>
    </row>
    <row r="745">
      <c r="A745" s="3"/>
      <c r="C745" s="3"/>
      <c r="D745" s="3"/>
      <c r="E745" s="3"/>
      <c r="F745" s="3"/>
      <c r="G745" s="112"/>
      <c r="H745" s="3"/>
      <c r="J745" s="3"/>
      <c r="K745" s="3"/>
      <c r="M745" s="3"/>
    </row>
    <row r="746">
      <c r="A746" s="3"/>
      <c r="C746" s="3"/>
      <c r="D746" s="3"/>
      <c r="E746" s="3"/>
      <c r="F746" s="3"/>
      <c r="G746" s="112"/>
      <c r="H746" s="3"/>
      <c r="J746" s="3"/>
      <c r="K746" s="3"/>
      <c r="M746" s="3"/>
    </row>
    <row r="747">
      <c r="A747" s="3"/>
      <c r="C747" s="3"/>
      <c r="D747" s="3"/>
      <c r="E747" s="3"/>
      <c r="F747" s="3"/>
      <c r="G747" s="112"/>
      <c r="H747" s="3"/>
      <c r="J747" s="3"/>
      <c r="K747" s="3"/>
      <c r="M747" s="3"/>
    </row>
    <row r="748">
      <c r="A748" s="3"/>
      <c r="C748" s="3"/>
      <c r="D748" s="3"/>
      <c r="E748" s="3"/>
      <c r="F748" s="3"/>
      <c r="G748" s="112"/>
      <c r="H748" s="3"/>
      <c r="J748" s="3"/>
      <c r="K748" s="3"/>
      <c r="M748" s="3"/>
    </row>
    <row r="749">
      <c r="A749" s="3"/>
      <c r="C749" s="3"/>
      <c r="D749" s="3"/>
      <c r="E749" s="3"/>
      <c r="F749" s="3"/>
      <c r="G749" s="112"/>
      <c r="H749" s="3"/>
      <c r="J749" s="3"/>
      <c r="K749" s="3"/>
      <c r="M749" s="3"/>
    </row>
    <row r="750">
      <c r="A750" s="3"/>
      <c r="C750" s="3"/>
      <c r="D750" s="3"/>
      <c r="E750" s="3"/>
      <c r="F750" s="3"/>
      <c r="G750" s="112"/>
      <c r="H750" s="3"/>
      <c r="J750" s="3"/>
      <c r="K750" s="3"/>
      <c r="M750" s="3"/>
    </row>
    <row r="751">
      <c r="A751" s="3"/>
      <c r="C751" s="3"/>
      <c r="D751" s="3"/>
      <c r="E751" s="3"/>
      <c r="F751" s="3"/>
      <c r="G751" s="112"/>
      <c r="H751" s="3"/>
      <c r="J751" s="3"/>
      <c r="K751" s="3"/>
      <c r="M751" s="3"/>
    </row>
    <row r="752">
      <c r="A752" s="3"/>
      <c r="C752" s="3"/>
      <c r="D752" s="3"/>
      <c r="E752" s="3"/>
      <c r="F752" s="3"/>
      <c r="G752" s="112"/>
      <c r="H752" s="3"/>
      <c r="J752" s="3"/>
      <c r="K752" s="3"/>
      <c r="M752" s="3"/>
    </row>
    <row r="753">
      <c r="A753" s="3"/>
      <c r="C753" s="3"/>
      <c r="D753" s="3"/>
      <c r="E753" s="3"/>
      <c r="F753" s="3"/>
      <c r="G753" s="112"/>
      <c r="H753" s="3"/>
      <c r="J753" s="3"/>
      <c r="K753" s="3"/>
      <c r="M753" s="3"/>
    </row>
    <row r="754">
      <c r="A754" s="3"/>
      <c r="C754" s="3"/>
      <c r="D754" s="3"/>
      <c r="E754" s="3"/>
      <c r="F754" s="3"/>
      <c r="G754" s="112"/>
      <c r="H754" s="3"/>
      <c r="J754" s="3"/>
      <c r="K754" s="3"/>
      <c r="M754" s="3"/>
    </row>
    <row r="755">
      <c r="A755" s="3"/>
      <c r="C755" s="3"/>
      <c r="D755" s="3"/>
      <c r="E755" s="3"/>
      <c r="F755" s="3"/>
      <c r="G755" s="112"/>
      <c r="H755" s="3"/>
      <c r="J755" s="3"/>
      <c r="K755" s="3"/>
      <c r="M755" s="3"/>
    </row>
    <row r="756">
      <c r="A756" s="3"/>
      <c r="C756" s="3"/>
      <c r="D756" s="3"/>
      <c r="E756" s="3"/>
      <c r="F756" s="3"/>
      <c r="G756" s="112"/>
      <c r="H756" s="3"/>
      <c r="J756" s="3"/>
      <c r="K756" s="3"/>
      <c r="M756" s="3"/>
    </row>
    <row r="757">
      <c r="A757" s="3"/>
      <c r="C757" s="3"/>
      <c r="D757" s="3"/>
      <c r="E757" s="3"/>
      <c r="F757" s="3"/>
      <c r="G757" s="112"/>
      <c r="H757" s="3"/>
      <c r="J757" s="3"/>
      <c r="K757" s="3"/>
      <c r="M757" s="3"/>
    </row>
    <row r="758">
      <c r="A758" s="3"/>
      <c r="C758" s="3"/>
      <c r="D758" s="3"/>
      <c r="E758" s="3"/>
      <c r="F758" s="3"/>
      <c r="G758" s="112"/>
      <c r="H758" s="3"/>
      <c r="J758" s="3"/>
      <c r="K758" s="3"/>
      <c r="M758" s="3"/>
    </row>
    <row r="759">
      <c r="A759" s="3"/>
      <c r="C759" s="3"/>
      <c r="D759" s="3"/>
      <c r="E759" s="3"/>
      <c r="F759" s="3"/>
      <c r="G759" s="112"/>
      <c r="H759" s="3"/>
      <c r="J759" s="3"/>
      <c r="K759" s="3"/>
      <c r="M759" s="3"/>
    </row>
    <row r="760">
      <c r="A760" s="3"/>
      <c r="C760" s="3"/>
      <c r="D760" s="3"/>
      <c r="E760" s="3"/>
      <c r="F760" s="3"/>
      <c r="G760" s="112"/>
      <c r="H760" s="3"/>
      <c r="J760" s="3"/>
      <c r="K760" s="3"/>
      <c r="M760" s="3"/>
    </row>
    <row r="761">
      <c r="A761" s="3"/>
      <c r="C761" s="3"/>
      <c r="D761" s="3"/>
      <c r="E761" s="3"/>
      <c r="F761" s="3"/>
      <c r="G761" s="112"/>
      <c r="H761" s="3"/>
      <c r="J761" s="3"/>
      <c r="K761" s="3"/>
      <c r="M761" s="3"/>
    </row>
    <row r="762">
      <c r="A762" s="3"/>
      <c r="C762" s="3"/>
      <c r="D762" s="3"/>
      <c r="E762" s="3"/>
      <c r="F762" s="3"/>
      <c r="G762" s="112"/>
      <c r="H762" s="3"/>
      <c r="J762" s="3"/>
      <c r="K762" s="3"/>
      <c r="M762" s="3"/>
    </row>
    <row r="763">
      <c r="A763" s="3"/>
      <c r="C763" s="3"/>
      <c r="D763" s="3"/>
      <c r="E763" s="3"/>
      <c r="F763" s="3"/>
      <c r="G763" s="112"/>
      <c r="H763" s="3"/>
      <c r="J763" s="3"/>
      <c r="K763" s="3"/>
      <c r="M763" s="3"/>
    </row>
    <row r="764">
      <c r="A764" s="3"/>
      <c r="C764" s="3"/>
      <c r="D764" s="3"/>
      <c r="E764" s="3"/>
      <c r="F764" s="3"/>
      <c r="G764" s="112"/>
      <c r="H764" s="3"/>
      <c r="J764" s="3"/>
      <c r="K764" s="3"/>
      <c r="M764" s="3"/>
    </row>
    <row r="765">
      <c r="A765" s="3"/>
      <c r="C765" s="3"/>
      <c r="D765" s="3"/>
      <c r="E765" s="3"/>
      <c r="F765" s="3"/>
      <c r="G765" s="112"/>
      <c r="H765" s="3"/>
      <c r="J765" s="3"/>
      <c r="K765" s="3"/>
      <c r="M765" s="3"/>
    </row>
    <row r="766">
      <c r="A766" s="3"/>
      <c r="C766" s="3"/>
      <c r="D766" s="3"/>
      <c r="E766" s="3"/>
      <c r="F766" s="3"/>
      <c r="G766" s="112"/>
      <c r="H766" s="3"/>
      <c r="J766" s="3"/>
      <c r="K766" s="3"/>
      <c r="M766" s="3"/>
    </row>
    <row r="767">
      <c r="A767" s="3"/>
      <c r="C767" s="3"/>
      <c r="D767" s="3"/>
      <c r="E767" s="3"/>
      <c r="F767" s="3"/>
      <c r="G767" s="112"/>
      <c r="H767" s="3"/>
      <c r="J767" s="3"/>
      <c r="K767" s="3"/>
      <c r="M767" s="3"/>
    </row>
    <row r="768">
      <c r="A768" s="3"/>
      <c r="C768" s="3"/>
      <c r="D768" s="3"/>
      <c r="E768" s="3"/>
      <c r="F768" s="3"/>
      <c r="G768" s="112"/>
      <c r="H768" s="3"/>
      <c r="J768" s="3"/>
      <c r="K768" s="3"/>
      <c r="M768" s="3"/>
    </row>
    <row r="769">
      <c r="A769" s="3"/>
      <c r="C769" s="3"/>
      <c r="D769" s="3"/>
      <c r="E769" s="3"/>
      <c r="F769" s="3"/>
      <c r="G769" s="112"/>
      <c r="H769" s="3"/>
      <c r="J769" s="3"/>
      <c r="K769" s="3"/>
      <c r="M769" s="3"/>
    </row>
    <row r="770">
      <c r="A770" s="3"/>
      <c r="C770" s="3"/>
      <c r="D770" s="3"/>
      <c r="E770" s="3"/>
      <c r="F770" s="3"/>
      <c r="G770" s="112"/>
      <c r="H770" s="3"/>
      <c r="J770" s="3"/>
      <c r="K770" s="3"/>
      <c r="M770" s="3"/>
    </row>
    <row r="771">
      <c r="A771" s="3"/>
      <c r="C771" s="3"/>
      <c r="D771" s="3"/>
      <c r="E771" s="3"/>
      <c r="F771" s="3"/>
      <c r="G771" s="112"/>
      <c r="H771" s="3"/>
      <c r="J771" s="3"/>
      <c r="K771" s="3"/>
      <c r="M771" s="3"/>
    </row>
    <row r="772">
      <c r="A772" s="3"/>
      <c r="C772" s="3"/>
      <c r="D772" s="3"/>
      <c r="E772" s="3"/>
      <c r="F772" s="3"/>
      <c r="G772" s="112"/>
      <c r="H772" s="3"/>
      <c r="J772" s="3"/>
      <c r="K772" s="3"/>
      <c r="M772" s="3"/>
    </row>
    <row r="773">
      <c r="A773" s="3"/>
      <c r="C773" s="3"/>
      <c r="D773" s="3"/>
      <c r="E773" s="3"/>
      <c r="F773" s="3"/>
      <c r="G773" s="112"/>
      <c r="H773" s="3"/>
      <c r="J773" s="3"/>
      <c r="K773" s="3"/>
      <c r="M773" s="3"/>
    </row>
    <row r="774">
      <c r="A774" s="3"/>
      <c r="C774" s="3"/>
      <c r="D774" s="3"/>
      <c r="E774" s="3"/>
      <c r="F774" s="3"/>
      <c r="G774" s="112"/>
      <c r="H774" s="3"/>
      <c r="J774" s="3"/>
      <c r="K774" s="3"/>
      <c r="M774" s="3"/>
    </row>
    <row r="775">
      <c r="A775" s="3"/>
      <c r="C775" s="3"/>
      <c r="D775" s="3"/>
      <c r="E775" s="3"/>
      <c r="F775" s="3"/>
      <c r="G775" s="112"/>
      <c r="H775" s="3"/>
      <c r="J775" s="3"/>
      <c r="K775" s="3"/>
      <c r="M775" s="3"/>
    </row>
    <row r="776">
      <c r="A776" s="3"/>
      <c r="C776" s="3"/>
      <c r="D776" s="3"/>
      <c r="E776" s="3"/>
      <c r="F776" s="3"/>
      <c r="G776" s="112"/>
      <c r="H776" s="3"/>
      <c r="J776" s="3"/>
      <c r="K776" s="3"/>
      <c r="M776" s="3"/>
    </row>
    <row r="777">
      <c r="A777" s="3"/>
      <c r="C777" s="3"/>
      <c r="D777" s="3"/>
      <c r="E777" s="3"/>
      <c r="F777" s="3"/>
      <c r="G777" s="112"/>
      <c r="H777" s="3"/>
      <c r="J777" s="3"/>
      <c r="K777" s="3"/>
      <c r="M777" s="3"/>
    </row>
    <row r="778">
      <c r="A778" s="3"/>
      <c r="C778" s="3"/>
      <c r="D778" s="3"/>
      <c r="E778" s="3"/>
      <c r="F778" s="3"/>
      <c r="G778" s="112"/>
      <c r="H778" s="3"/>
      <c r="J778" s="3"/>
      <c r="K778" s="3"/>
      <c r="M778" s="3"/>
    </row>
    <row r="779">
      <c r="A779" s="3"/>
      <c r="C779" s="3"/>
      <c r="D779" s="3"/>
      <c r="E779" s="3"/>
      <c r="F779" s="3"/>
      <c r="G779" s="112"/>
      <c r="H779" s="3"/>
      <c r="J779" s="3"/>
      <c r="K779" s="3"/>
      <c r="M779" s="3"/>
    </row>
    <row r="780">
      <c r="A780" s="3"/>
      <c r="C780" s="3"/>
      <c r="D780" s="3"/>
      <c r="E780" s="3"/>
      <c r="F780" s="3"/>
      <c r="G780" s="112"/>
      <c r="H780" s="3"/>
      <c r="J780" s="3"/>
      <c r="K780" s="3"/>
      <c r="M780" s="3"/>
    </row>
    <row r="781">
      <c r="A781" s="3"/>
      <c r="C781" s="3"/>
      <c r="D781" s="3"/>
      <c r="E781" s="3"/>
      <c r="F781" s="3"/>
      <c r="G781" s="112"/>
      <c r="H781" s="3"/>
      <c r="J781" s="3"/>
      <c r="K781" s="3"/>
      <c r="M781" s="3"/>
    </row>
    <row r="782">
      <c r="A782" s="3"/>
      <c r="C782" s="3"/>
      <c r="D782" s="3"/>
      <c r="E782" s="3"/>
      <c r="F782" s="3"/>
      <c r="G782" s="112"/>
      <c r="H782" s="3"/>
      <c r="J782" s="3"/>
      <c r="K782" s="3"/>
      <c r="M782" s="3"/>
    </row>
    <row r="783">
      <c r="A783" s="3"/>
      <c r="C783" s="3"/>
      <c r="D783" s="3"/>
      <c r="E783" s="3"/>
      <c r="F783" s="3"/>
      <c r="G783" s="112"/>
      <c r="H783" s="3"/>
      <c r="J783" s="3"/>
      <c r="K783" s="3"/>
      <c r="M783" s="3"/>
    </row>
    <row r="784">
      <c r="A784" s="3"/>
      <c r="C784" s="3"/>
      <c r="D784" s="3"/>
      <c r="E784" s="3"/>
      <c r="F784" s="3"/>
      <c r="G784" s="112"/>
      <c r="H784" s="3"/>
      <c r="J784" s="3"/>
      <c r="K784" s="3"/>
      <c r="M784" s="3"/>
    </row>
    <row r="785">
      <c r="A785" s="3"/>
      <c r="C785" s="3"/>
      <c r="D785" s="3"/>
      <c r="E785" s="3"/>
      <c r="F785" s="3"/>
      <c r="G785" s="112"/>
      <c r="H785" s="3"/>
      <c r="J785" s="3"/>
      <c r="K785" s="3"/>
      <c r="M785" s="3"/>
    </row>
    <row r="786">
      <c r="A786" s="3"/>
      <c r="C786" s="3"/>
      <c r="D786" s="3"/>
      <c r="E786" s="3"/>
      <c r="F786" s="3"/>
      <c r="G786" s="112"/>
      <c r="H786" s="3"/>
      <c r="J786" s="3"/>
      <c r="K786" s="3"/>
      <c r="M786" s="3"/>
    </row>
    <row r="787">
      <c r="A787" s="3"/>
      <c r="C787" s="3"/>
      <c r="D787" s="3"/>
      <c r="E787" s="3"/>
      <c r="F787" s="3"/>
      <c r="G787" s="112"/>
      <c r="H787" s="3"/>
      <c r="J787" s="3"/>
      <c r="K787" s="3"/>
      <c r="M787" s="3"/>
    </row>
    <row r="788">
      <c r="A788" s="3"/>
      <c r="C788" s="3"/>
      <c r="D788" s="3"/>
      <c r="E788" s="3"/>
      <c r="F788" s="3"/>
      <c r="G788" s="112"/>
      <c r="H788" s="3"/>
      <c r="J788" s="3"/>
      <c r="K788" s="3"/>
      <c r="M788" s="3"/>
    </row>
    <row r="789">
      <c r="A789" s="3"/>
      <c r="C789" s="3"/>
      <c r="D789" s="3"/>
      <c r="E789" s="3"/>
      <c r="F789" s="3"/>
      <c r="G789" s="112"/>
      <c r="H789" s="3"/>
      <c r="J789" s="3"/>
      <c r="K789" s="3"/>
      <c r="M789" s="3"/>
    </row>
    <row r="790">
      <c r="A790" s="3"/>
      <c r="C790" s="3"/>
      <c r="D790" s="3"/>
      <c r="E790" s="3"/>
      <c r="F790" s="3"/>
      <c r="G790" s="112"/>
      <c r="H790" s="3"/>
      <c r="J790" s="3"/>
      <c r="K790" s="3"/>
      <c r="M790" s="3"/>
    </row>
    <row r="791">
      <c r="A791" s="3"/>
      <c r="C791" s="3"/>
      <c r="D791" s="3"/>
      <c r="E791" s="3"/>
      <c r="F791" s="3"/>
      <c r="G791" s="112"/>
      <c r="H791" s="3"/>
      <c r="J791" s="3"/>
      <c r="K791" s="3"/>
      <c r="M791" s="3"/>
    </row>
    <row r="792">
      <c r="A792" s="3"/>
      <c r="C792" s="3"/>
      <c r="D792" s="3"/>
      <c r="E792" s="3"/>
      <c r="F792" s="3"/>
      <c r="G792" s="112"/>
      <c r="H792" s="3"/>
      <c r="J792" s="3"/>
      <c r="K792" s="3"/>
      <c r="M792" s="3"/>
    </row>
    <row r="793">
      <c r="A793" s="3"/>
      <c r="C793" s="3"/>
      <c r="D793" s="3"/>
      <c r="E793" s="3"/>
      <c r="F793" s="3"/>
      <c r="G793" s="112"/>
      <c r="H793" s="3"/>
      <c r="J793" s="3"/>
      <c r="K793" s="3"/>
      <c r="M793" s="3"/>
    </row>
    <row r="794">
      <c r="A794" s="3"/>
      <c r="C794" s="3"/>
      <c r="D794" s="3"/>
      <c r="E794" s="3"/>
      <c r="F794" s="3"/>
      <c r="G794" s="112"/>
      <c r="H794" s="3"/>
      <c r="J794" s="3"/>
      <c r="K794" s="3"/>
      <c r="M794" s="3"/>
    </row>
    <row r="795">
      <c r="A795" s="3"/>
      <c r="C795" s="3"/>
      <c r="D795" s="3"/>
      <c r="E795" s="3"/>
      <c r="F795" s="3"/>
      <c r="G795" s="112"/>
      <c r="H795" s="3"/>
      <c r="J795" s="3"/>
      <c r="K795" s="3"/>
      <c r="M795" s="3"/>
    </row>
    <row r="796">
      <c r="A796" s="3"/>
      <c r="C796" s="3"/>
      <c r="D796" s="3"/>
      <c r="E796" s="3"/>
      <c r="F796" s="3"/>
      <c r="G796" s="112"/>
      <c r="H796" s="3"/>
      <c r="J796" s="3"/>
      <c r="K796" s="3"/>
      <c r="M796" s="3"/>
    </row>
    <row r="797">
      <c r="A797" s="3"/>
      <c r="C797" s="3"/>
      <c r="D797" s="3"/>
      <c r="E797" s="3"/>
      <c r="F797" s="3"/>
      <c r="G797" s="112"/>
      <c r="H797" s="3"/>
      <c r="J797" s="3"/>
      <c r="K797" s="3"/>
      <c r="M797" s="3"/>
    </row>
    <row r="798">
      <c r="A798" s="3"/>
      <c r="C798" s="3"/>
      <c r="D798" s="3"/>
      <c r="E798" s="3"/>
      <c r="F798" s="3"/>
      <c r="G798" s="112"/>
      <c r="H798" s="3"/>
      <c r="J798" s="3"/>
      <c r="K798" s="3"/>
      <c r="M798" s="3"/>
    </row>
    <row r="799">
      <c r="A799" s="3"/>
      <c r="C799" s="3"/>
      <c r="D799" s="3"/>
      <c r="E799" s="3"/>
      <c r="F799" s="3"/>
      <c r="G799" s="112"/>
      <c r="H799" s="3"/>
      <c r="J799" s="3"/>
      <c r="K799" s="3"/>
      <c r="M799" s="3"/>
    </row>
    <row r="800">
      <c r="A800" s="3"/>
      <c r="C800" s="3"/>
      <c r="D800" s="3"/>
      <c r="E800" s="3"/>
      <c r="F800" s="3"/>
      <c r="G800" s="112"/>
      <c r="H800" s="3"/>
      <c r="J800" s="3"/>
      <c r="K800" s="3"/>
      <c r="M800" s="3"/>
    </row>
    <row r="801">
      <c r="A801" s="3"/>
      <c r="C801" s="3"/>
      <c r="D801" s="3"/>
      <c r="E801" s="3"/>
      <c r="F801" s="3"/>
      <c r="G801" s="112"/>
      <c r="H801" s="3"/>
      <c r="J801" s="3"/>
      <c r="K801" s="3"/>
      <c r="M801" s="3"/>
    </row>
    <row r="802">
      <c r="A802" s="3"/>
      <c r="C802" s="3"/>
      <c r="D802" s="3"/>
      <c r="E802" s="3"/>
      <c r="F802" s="3"/>
      <c r="G802" s="112"/>
      <c r="H802" s="3"/>
      <c r="J802" s="3"/>
      <c r="K802" s="3"/>
      <c r="M802" s="3"/>
    </row>
    <row r="803">
      <c r="A803" s="3"/>
      <c r="C803" s="3"/>
      <c r="D803" s="3"/>
      <c r="E803" s="3"/>
      <c r="F803" s="3"/>
      <c r="G803" s="112"/>
      <c r="H803" s="3"/>
      <c r="J803" s="3"/>
      <c r="K803" s="3"/>
      <c r="M803" s="3"/>
    </row>
    <row r="804">
      <c r="A804" s="3"/>
      <c r="C804" s="3"/>
      <c r="D804" s="3"/>
      <c r="E804" s="3"/>
      <c r="F804" s="3"/>
      <c r="G804" s="112"/>
      <c r="H804" s="3"/>
      <c r="J804" s="3"/>
      <c r="K804" s="3"/>
      <c r="M804" s="3"/>
    </row>
    <row r="805">
      <c r="A805" s="3"/>
      <c r="C805" s="3"/>
      <c r="D805" s="3"/>
      <c r="E805" s="3"/>
      <c r="F805" s="3"/>
      <c r="G805" s="112"/>
      <c r="H805" s="3"/>
      <c r="J805" s="3"/>
      <c r="K805" s="3"/>
      <c r="M805" s="3"/>
    </row>
    <row r="806">
      <c r="A806" s="3"/>
      <c r="C806" s="3"/>
      <c r="D806" s="3"/>
      <c r="E806" s="3"/>
      <c r="F806" s="3"/>
      <c r="G806" s="112"/>
      <c r="H806" s="3"/>
      <c r="J806" s="3"/>
      <c r="K806" s="3"/>
      <c r="M806" s="3"/>
    </row>
    <row r="807">
      <c r="A807" s="3"/>
      <c r="C807" s="3"/>
      <c r="D807" s="3"/>
      <c r="E807" s="3"/>
      <c r="F807" s="3"/>
      <c r="G807" s="112"/>
      <c r="H807" s="3"/>
      <c r="J807" s="3"/>
      <c r="K807" s="3"/>
      <c r="M807" s="3"/>
    </row>
    <row r="808">
      <c r="A808" s="3"/>
      <c r="C808" s="3"/>
      <c r="D808" s="3"/>
      <c r="E808" s="3"/>
      <c r="F808" s="3"/>
      <c r="G808" s="112"/>
      <c r="H808" s="3"/>
      <c r="J808" s="3"/>
      <c r="K808" s="3"/>
      <c r="M808" s="3"/>
    </row>
    <row r="809">
      <c r="A809" s="3"/>
      <c r="C809" s="3"/>
      <c r="D809" s="3"/>
      <c r="E809" s="3"/>
      <c r="F809" s="3"/>
      <c r="G809" s="112"/>
      <c r="H809" s="3"/>
      <c r="J809" s="3"/>
      <c r="K809" s="3"/>
      <c r="M809" s="3"/>
    </row>
    <row r="810">
      <c r="A810" s="3"/>
      <c r="C810" s="3"/>
      <c r="D810" s="3"/>
      <c r="E810" s="3"/>
      <c r="F810" s="3"/>
      <c r="G810" s="112"/>
      <c r="H810" s="3"/>
      <c r="J810" s="3"/>
      <c r="K810" s="3"/>
      <c r="M810" s="3"/>
    </row>
    <row r="811">
      <c r="A811" s="3"/>
      <c r="C811" s="3"/>
      <c r="D811" s="3"/>
      <c r="E811" s="3"/>
      <c r="F811" s="3"/>
      <c r="G811" s="112"/>
      <c r="H811" s="3"/>
      <c r="J811" s="3"/>
      <c r="K811" s="3"/>
      <c r="M811" s="3"/>
    </row>
    <row r="812">
      <c r="A812" s="3"/>
      <c r="C812" s="3"/>
      <c r="D812" s="3"/>
      <c r="E812" s="3"/>
      <c r="F812" s="3"/>
      <c r="G812" s="112"/>
      <c r="H812" s="3"/>
      <c r="J812" s="3"/>
      <c r="K812" s="3"/>
      <c r="M812" s="3"/>
    </row>
    <row r="813">
      <c r="A813" s="3"/>
      <c r="C813" s="3"/>
      <c r="D813" s="3"/>
      <c r="E813" s="3"/>
      <c r="F813" s="3"/>
      <c r="G813" s="112"/>
      <c r="H813" s="3"/>
      <c r="J813" s="3"/>
      <c r="K813" s="3"/>
      <c r="M813" s="3"/>
    </row>
    <row r="814">
      <c r="A814" s="3"/>
      <c r="C814" s="3"/>
      <c r="D814" s="3"/>
      <c r="E814" s="3"/>
      <c r="F814" s="3"/>
      <c r="G814" s="112"/>
      <c r="H814" s="3"/>
      <c r="J814" s="3"/>
      <c r="K814" s="3"/>
      <c r="M814" s="3"/>
    </row>
    <row r="815">
      <c r="A815" s="3"/>
      <c r="C815" s="3"/>
      <c r="D815" s="3"/>
      <c r="E815" s="3"/>
      <c r="F815" s="3"/>
      <c r="G815" s="112"/>
      <c r="H815" s="3"/>
      <c r="J815" s="3"/>
      <c r="K815" s="3"/>
      <c r="M815" s="3"/>
    </row>
    <row r="816">
      <c r="A816" s="3"/>
      <c r="C816" s="3"/>
      <c r="D816" s="3"/>
      <c r="E816" s="3"/>
      <c r="F816" s="3"/>
      <c r="G816" s="112"/>
      <c r="H816" s="3"/>
      <c r="J816" s="3"/>
      <c r="K816" s="3"/>
      <c r="M816" s="3"/>
    </row>
    <row r="817">
      <c r="A817" s="3"/>
      <c r="C817" s="3"/>
      <c r="D817" s="3"/>
      <c r="E817" s="3"/>
      <c r="F817" s="3"/>
      <c r="G817" s="112"/>
      <c r="H817" s="3"/>
      <c r="J817" s="3"/>
      <c r="K817" s="3"/>
      <c r="M817" s="3"/>
    </row>
    <row r="818">
      <c r="A818" s="3"/>
      <c r="C818" s="3"/>
      <c r="D818" s="3"/>
      <c r="E818" s="3"/>
      <c r="F818" s="3"/>
      <c r="G818" s="112"/>
      <c r="H818" s="3"/>
      <c r="J818" s="3"/>
      <c r="K818" s="3"/>
      <c r="M818" s="3"/>
    </row>
    <row r="819">
      <c r="A819" s="3"/>
      <c r="C819" s="3"/>
      <c r="D819" s="3"/>
      <c r="E819" s="3"/>
      <c r="F819" s="3"/>
      <c r="G819" s="112"/>
      <c r="H819" s="3"/>
      <c r="J819" s="3"/>
      <c r="K819" s="3"/>
      <c r="M819" s="3"/>
    </row>
    <row r="820">
      <c r="A820" s="3"/>
      <c r="C820" s="3"/>
      <c r="D820" s="3"/>
      <c r="E820" s="3"/>
      <c r="F820" s="3"/>
      <c r="G820" s="112"/>
      <c r="H820" s="3"/>
      <c r="J820" s="3"/>
      <c r="K820" s="3"/>
      <c r="M820" s="3"/>
    </row>
    <row r="821">
      <c r="A821" s="3"/>
      <c r="C821" s="3"/>
      <c r="D821" s="3"/>
      <c r="E821" s="3"/>
      <c r="F821" s="3"/>
      <c r="G821" s="112"/>
      <c r="H821" s="3"/>
      <c r="J821" s="3"/>
      <c r="K821" s="3"/>
      <c r="M821" s="3"/>
    </row>
    <row r="822">
      <c r="A822" s="3"/>
      <c r="C822" s="3"/>
      <c r="D822" s="3"/>
      <c r="E822" s="3"/>
      <c r="F822" s="3"/>
      <c r="G822" s="112"/>
      <c r="H822" s="3"/>
      <c r="J822" s="3"/>
      <c r="K822" s="3"/>
      <c r="M822" s="3"/>
    </row>
    <row r="823">
      <c r="A823" s="3"/>
      <c r="C823" s="3"/>
      <c r="D823" s="3"/>
      <c r="E823" s="3"/>
      <c r="F823" s="3"/>
      <c r="G823" s="112"/>
      <c r="H823" s="3"/>
      <c r="J823" s="3"/>
      <c r="K823" s="3"/>
      <c r="M823" s="3"/>
    </row>
    <row r="824">
      <c r="A824" s="3"/>
      <c r="C824" s="3"/>
      <c r="D824" s="3"/>
      <c r="E824" s="3"/>
      <c r="F824" s="3"/>
      <c r="G824" s="112"/>
      <c r="H824" s="3"/>
      <c r="J824" s="3"/>
      <c r="K824" s="3"/>
      <c r="M824" s="3"/>
    </row>
    <row r="825">
      <c r="A825" s="3"/>
      <c r="C825" s="3"/>
      <c r="D825" s="3"/>
      <c r="E825" s="3"/>
      <c r="F825" s="3"/>
      <c r="G825" s="112"/>
      <c r="H825" s="3"/>
      <c r="J825" s="3"/>
      <c r="K825" s="3"/>
      <c r="M825" s="3"/>
    </row>
    <row r="826">
      <c r="A826" s="3"/>
      <c r="C826" s="3"/>
      <c r="D826" s="3"/>
      <c r="E826" s="3"/>
      <c r="F826" s="3"/>
      <c r="G826" s="112"/>
      <c r="H826" s="3"/>
      <c r="J826" s="3"/>
      <c r="K826" s="3"/>
      <c r="M826" s="3"/>
    </row>
    <row r="827">
      <c r="A827" s="3"/>
      <c r="C827" s="3"/>
      <c r="D827" s="3"/>
      <c r="E827" s="3"/>
      <c r="F827" s="3"/>
      <c r="G827" s="112"/>
      <c r="H827" s="3"/>
      <c r="J827" s="3"/>
      <c r="K827" s="3"/>
      <c r="M827" s="3"/>
    </row>
    <row r="828">
      <c r="A828" s="3"/>
      <c r="C828" s="3"/>
      <c r="D828" s="3"/>
      <c r="E828" s="3"/>
      <c r="F828" s="3"/>
      <c r="G828" s="112"/>
      <c r="H828" s="3"/>
      <c r="J828" s="3"/>
      <c r="K828" s="3"/>
      <c r="M828" s="3"/>
    </row>
    <row r="829">
      <c r="A829" s="3"/>
      <c r="C829" s="3"/>
      <c r="D829" s="3"/>
      <c r="E829" s="3"/>
      <c r="F829" s="3"/>
      <c r="G829" s="112"/>
      <c r="H829" s="3"/>
      <c r="J829" s="3"/>
      <c r="K829" s="3"/>
      <c r="M829" s="3"/>
    </row>
    <row r="830">
      <c r="A830" s="3"/>
      <c r="C830" s="3"/>
      <c r="D830" s="3"/>
      <c r="E830" s="3"/>
      <c r="F830" s="3"/>
      <c r="G830" s="112"/>
      <c r="H830" s="3"/>
      <c r="J830" s="3"/>
      <c r="K830" s="3"/>
      <c r="M830" s="3"/>
    </row>
    <row r="831">
      <c r="A831" s="3"/>
      <c r="C831" s="3"/>
      <c r="D831" s="3"/>
      <c r="E831" s="3"/>
      <c r="F831" s="3"/>
      <c r="G831" s="112"/>
      <c r="H831" s="3"/>
      <c r="J831" s="3"/>
      <c r="K831" s="3"/>
      <c r="M831" s="3"/>
    </row>
    <row r="832">
      <c r="A832" s="3"/>
      <c r="C832" s="3"/>
      <c r="D832" s="3"/>
      <c r="E832" s="3"/>
      <c r="F832" s="3"/>
      <c r="G832" s="112"/>
      <c r="H832" s="3"/>
      <c r="J832" s="3"/>
      <c r="K832" s="3"/>
      <c r="M832" s="3"/>
    </row>
    <row r="833">
      <c r="A833" s="3"/>
      <c r="C833" s="3"/>
      <c r="D833" s="3"/>
      <c r="E833" s="3"/>
      <c r="F833" s="3"/>
      <c r="G833" s="112"/>
      <c r="H833" s="3"/>
      <c r="J833" s="3"/>
      <c r="K833" s="3"/>
      <c r="M833" s="3"/>
    </row>
    <row r="834">
      <c r="A834" s="3"/>
      <c r="C834" s="3"/>
      <c r="D834" s="3"/>
      <c r="E834" s="3"/>
      <c r="F834" s="3"/>
      <c r="G834" s="112"/>
      <c r="H834" s="3"/>
      <c r="J834" s="3"/>
      <c r="K834" s="3"/>
      <c r="M834" s="3"/>
    </row>
    <row r="835">
      <c r="A835" s="3"/>
      <c r="C835" s="3"/>
      <c r="D835" s="3"/>
      <c r="E835" s="3"/>
      <c r="F835" s="3"/>
      <c r="G835" s="112"/>
      <c r="H835" s="3"/>
      <c r="J835" s="3"/>
      <c r="K835" s="3"/>
      <c r="M835" s="3"/>
    </row>
    <row r="836">
      <c r="A836" s="3"/>
      <c r="C836" s="3"/>
      <c r="D836" s="3"/>
      <c r="E836" s="3"/>
      <c r="F836" s="3"/>
      <c r="G836" s="112"/>
      <c r="H836" s="3"/>
      <c r="J836" s="3"/>
      <c r="K836" s="3"/>
      <c r="M836" s="3"/>
    </row>
    <row r="837">
      <c r="A837" s="3"/>
      <c r="C837" s="3"/>
      <c r="D837" s="3"/>
      <c r="E837" s="3"/>
      <c r="F837" s="3"/>
      <c r="G837" s="112"/>
      <c r="H837" s="3"/>
      <c r="J837" s="3"/>
      <c r="K837" s="3"/>
      <c r="M837" s="3"/>
    </row>
    <row r="838">
      <c r="A838" s="3"/>
      <c r="C838" s="3"/>
      <c r="D838" s="3"/>
      <c r="E838" s="3"/>
      <c r="F838" s="3"/>
      <c r="G838" s="112"/>
      <c r="H838" s="3"/>
      <c r="J838" s="3"/>
      <c r="K838" s="3"/>
      <c r="M838" s="3"/>
    </row>
    <row r="839">
      <c r="A839" s="3"/>
      <c r="C839" s="3"/>
      <c r="D839" s="3"/>
      <c r="E839" s="3"/>
      <c r="F839" s="3"/>
      <c r="G839" s="112"/>
      <c r="H839" s="3"/>
      <c r="J839" s="3"/>
      <c r="K839" s="3"/>
      <c r="M839" s="3"/>
    </row>
    <row r="840">
      <c r="A840" s="3"/>
      <c r="C840" s="3"/>
      <c r="D840" s="3"/>
      <c r="E840" s="3"/>
      <c r="F840" s="3"/>
      <c r="G840" s="112"/>
      <c r="H840" s="3"/>
      <c r="J840" s="3"/>
      <c r="K840" s="3"/>
      <c r="M840" s="3"/>
    </row>
    <row r="841">
      <c r="A841" s="3"/>
      <c r="C841" s="3"/>
      <c r="D841" s="3"/>
      <c r="E841" s="3"/>
      <c r="F841" s="3"/>
      <c r="G841" s="112"/>
      <c r="H841" s="3"/>
      <c r="J841" s="3"/>
      <c r="K841" s="3"/>
      <c r="M841" s="3"/>
    </row>
    <row r="842">
      <c r="A842" s="3"/>
      <c r="C842" s="3"/>
      <c r="D842" s="3"/>
      <c r="E842" s="3"/>
      <c r="F842" s="3"/>
      <c r="G842" s="112"/>
      <c r="H842" s="3"/>
      <c r="J842" s="3"/>
      <c r="K842" s="3"/>
      <c r="M842" s="3"/>
    </row>
    <row r="843">
      <c r="A843" s="3"/>
      <c r="C843" s="3"/>
      <c r="D843" s="3"/>
      <c r="E843" s="3"/>
      <c r="F843" s="3"/>
      <c r="G843" s="112"/>
      <c r="H843" s="3"/>
      <c r="J843" s="3"/>
      <c r="K843" s="3"/>
      <c r="M843" s="3"/>
    </row>
    <row r="844">
      <c r="A844" s="3"/>
      <c r="C844" s="3"/>
      <c r="D844" s="3"/>
      <c r="E844" s="3"/>
      <c r="F844" s="3"/>
      <c r="G844" s="112"/>
      <c r="H844" s="3"/>
      <c r="J844" s="3"/>
      <c r="K844" s="3"/>
      <c r="M844" s="3"/>
    </row>
    <row r="845">
      <c r="A845" s="3"/>
      <c r="C845" s="3"/>
      <c r="D845" s="3"/>
      <c r="E845" s="3"/>
      <c r="F845" s="3"/>
      <c r="G845" s="112"/>
      <c r="H845" s="3"/>
      <c r="J845" s="3"/>
      <c r="K845" s="3"/>
      <c r="M845" s="3"/>
    </row>
    <row r="846">
      <c r="A846" s="3"/>
      <c r="C846" s="3"/>
      <c r="D846" s="3"/>
      <c r="E846" s="3"/>
      <c r="F846" s="3"/>
      <c r="G846" s="112"/>
      <c r="H846" s="3"/>
      <c r="J846" s="3"/>
      <c r="K846" s="3"/>
      <c r="M846" s="3"/>
    </row>
    <row r="847">
      <c r="A847" s="3"/>
      <c r="C847" s="3"/>
      <c r="D847" s="3"/>
      <c r="E847" s="3"/>
      <c r="F847" s="3"/>
      <c r="G847" s="112"/>
      <c r="H847" s="3"/>
      <c r="J847" s="3"/>
      <c r="K847" s="3"/>
      <c r="M847" s="3"/>
    </row>
    <row r="848">
      <c r="A848" s="3"/>
      <c r="C848" s="3"/>
      <c r="D848" s="3"/>
      <c r="E848" s="3"/>
      <c r="F848" s="3"/>
      <c r="G848" s="112"/>
      <c r="H848" s="3"/>
      <c r="J848" s="3"/>
      <c r="K848" s="3"/>
      <c r="M848" s="3"/>
    </row>
    <row r="849">
      <c r="A849" s="3"/>
      <c r="C849" s="3"/>
      <c r="D849" s="3"/>
      <c r="E849" s="3"/>
      <c r="F849" s="3"/>
      <c r="G849" s="112"/>
      <c r="H849" s="3"/>
      <c r="J849" s="3"/>
      <c r="K849" s="3"/>
      <c r="M849" s="3"/>
    </row>
    <row r="850">
      <c r="A850" s="3"/>
      <c r="C850" s="3"/>
      <c r="D850" s="3"/>
      <c r="E850" s="3"/>
      <c r="F850" s="3"/>
      <c r="G850" s="112"/>
      <c r="H850" s="3"/>
      <c r="J850" s="3"/>
      <c r="K850" s="3"/>
      <c r="M850" s="3"/>
    </row>
    <row r="851">
      <c r="A851" s="3"/>
      <c r="C851" s="3"/>
      <c r="D851" s="3"/>
      <c r="E851" s="3"/>
      <c r="F851" s="3"/>
      <c r="G851" s="112"/>
      <c r="H851" s="3"/>
      <c r="J851" s="3"/>
      <c r="K851" s="3"/>
      <c r="M851" s="3"/>
    </row>
    <row r="852">
      <c r="A852" s="3"/>
      <c r="C852" s="3"/>
      <c r="D852" s="3"/>
      <c r="E852" s="3"/>
      <c r="F852" s="3"/>
      <c r="G852" s="112"/>
      <c r="H852" s="3"/>
      <c r="J852" s="3"/>
      <c r="K852" s="3"/>
      <c r="M852" s="3"/>
    </row>
    <row r="853">
      <c r="A853" s="3"/>
      <c r="C853" s="3"/>
      <c r="D853" s="3"/>
      <c r="E853" s="3"/>
      <c r="F853" s="3"/>
      <c r="G853" s="112"/>
      <c r="H853" s="3"/>
      <c r="J853" s="3"/>
      <c r="K853" s="3"/>
      <c r="M853" s="3"/>
    </row>
    <row r="854">
      <c r="A854" s="3"/>
      <c r="C854" s="3"/>
      <c r="D854" s="3"/>
      <c r="E854" s="3"/>
      <c r="F854" s="3"/>
      <c r="G854" s="112"/>
      <c r="H854" s="3"/>
      <c r="J854" s="3"/>
      <c r="K854" s="3"/>
      <c r="M854" s="3"/>
    </row>
    <row r="855">
      <c r="A855" s="3"/>
      <c r="C855" s="3"/>
      <c r="D855" s="3"/>
      <c r="E855" s="3"/>
      <c r="F855" s="3"/>
      <c r="G855" s="112"/>
      <c r="H855" s="3"/>
      <c r="J855" s="3"/>
      <c r="K855" s="3"/>
      <c r="M855" s="3"/>
    </row>
    <row r="856">
      <c r="A856" s="3"/>
      <c r="C856" s="3"/>
      <c r="D856" s="3"/>
      <c r="E856" s="3"/>
      <c r="F856" s="3"/>
      <c r="G856" s="112"/>
      <c r="H856" s="3"/>
      <c r="J856" s="3"/>
      <c r="K856" s="3"/>
      <c r="M856" s="3"/>
    </row>
    <row r="857">
      <c r="A857" s="3"/>
      <c r="C857" s="3"/>
      <c r="D857" s="3"/>
      <c r="E857" s="3"/>
      <c r="F857" s="3"/>
      <c r="G857" s="112"/>
      <c r="H857" s="3"/>
      <c r="J857" s="3"/>
      <c r="K857" s="3"/>
      <c r="M857" s="3"/>
    </row>
    <row r="858">
      <c r="A858" s="3"/>
      <c r="C858" s="3"/>
      <c r="D858" s="3"/>
      <c r="E858" s="3"/>
      <c r="F858" s="3"/>
      <c r="G858" s="112"/>
      <c r="H858" s="3"/>
      <c r="J858" s="3"/>
      <c r="K858" s="3"/>
      <c r="M858" s="3"/>
    </row>
    <row r="859">
      <c r="A859" s="3"/>
      <c r="C859" s="3"/>
      <c r="D859" s="3"/>
      <c r="E859" s="3"/>
      <c r="F859" s="3"/>
      <c r="G859" s="112"/>
      <c r="H859" s="3"/>
      <c r="J859" s="3"/>
      <c r="K859" s="3"/>
      <c r="M859" s="3"/>
    </row>
    <row r="860">
      <c r="A860" s="3"/>
      <c r="C860" s="3"/>
      <c r="D860" s="3"/>
      <c r="E860" s="3"/>
      <c r="F860" s="3"/>
      <c r="G860" s="112"/>
      <c r="H860" s="3"/>
      <c r="J860" s="3"/>
      <c r="K860" s="3"/>
      <c r="M860" s="3"/>
    </row>
    <row r="861">
      <c r="A861" s="3"/>
      <c r="C861" s="3"/>
      <c r="D861" s="3"/>
      <c r="E861" s="3"/>
      <c r="F861" s="3"/>
      <c r="G861" s="112"/>
      <c r="H861" s="3"/>
      <c r="J861" s="3"/>
      <c r="K861" s="3"/>
      <c r="M861" s="3"/>
    </row>
    <row r="862">
      <c r="A862" s="3"/>
      <c r="C862" s="3"/>
      <c r="D862" s="3"/>
      <c r="E862" s="3"/>
      <c r="F862" s="3"/>
      <c r="G862" s="112"/>
      <c r="H862" s="3"/>
      <c r="J862" s="3"/>
      <c r="K862" s="3"/>
      <c r="M862" s="3"/>
    </row>
    <row r="863">
      <c r="A863" s="3"/>
      <c r="C863" s="3"/>
      <c r="D863" s="3"/>
      <c r="E863" s="3"/>
      <c r="F863" s="3"/>
      <c r="G863" s="112"/>
      <c r="H863" s="3"/>
      <c r="J863" s="3"/>
      <c r="K863" s="3"/>
      <c r="M863" s="3"/>
    </row>
    <row r="864">
      <c r="A864" s="3"/>
      <c r="C864" s="3"/>
      <c r="D864" s="3"/>
      <c r="E864" s="3"/>
      <c r="F864" s="3"/>
      <c r="G864" s="112"/>
      <c r="H864" s="3"/>
      <c r="J864" s="3"/>
      <c r="K864" s="3"/>
      <c r="M864" s="3"/>
    </row>
    <row r="865">
      <c r="A865" s="3"/>
      <c r="C865" s="3"/>
      <c r="D865" s="3"/>
      <c r="E865" s="3"/>
      <c r="F865" s="3"/>
      <c r="G865" s="112"/>
      <c r="H865" s="3"/>
      <c r="J865" s="3"/>
      <c r="K865" s="3"/>
      <c r="M865" s="3"/>
    </row>
    <row r="866">
      <c r="A866" s="3"/>
      <c r="C866" s="3"/>
      <c r="D866" s="3"/>
      <c r="E866" s="3"/>
      <c r="F866" s="3"/>
      <c r="G866" s="112"/>
      <c r="H866" s="3"/>
      <c r="J866" s="3"/>
      <c r="K866" s="3"/>
      <c r="M866" s="3"/>
    </row>
    <row r="867">
      <c r="A867" s="3"/>
      <c r="C867" s="3"/>
      <c r="D867" s="3"/>
      <c r="E867" s="3"/>
      <c r="F867" s="3"/>
      <c r="G867" s="112"/>
      <c r="H867" s="3"/>
      <c r="J867" s="3"/>
      <c r="K867" s="3"/>
      <c r="M867" s="3"/>
    </row>
    <row r="868">
      <c r="A868" s="3"/>
      <c r="C868" s="3"/>
      <c r="D868" s="3"/>
      <c r="E868" s="3"/>
      <c r="F868" s="3"/>
      <c r="G868" s="112"/>
      <c r="H868" s="3"/>
      <c r="J868" s="3"/>
      <c r="K868" s="3"/>
      <c r="M868" s="3"/>
    </row>
    <row r="869">
      <c r="A869" s="3"/>
      <c r="C869" s="3"/>
      <c r="D869" s="3"/>
      <c r="E869" s="3"/>
      <c r="F869" s="3"/>
      <c r="G869" s="112"/>
      <c r="H869" s="3"/>
      <c r="J869" s="3"/>
      <c r="K869" s="3"/>
      <c r="M869" s="3"/>
    </row>
    <row r="870">
      <c r="A870" s="3"/>
      <c r="C870" s="3"/>
      <c r="D870" s="3"/>
      <c r="E870" s="3"/>
      <c r="F870" s="3"/>
      <c r="G870" s="112"/>
      <c r="H870" s="3"/>
      <c r="J870" s="3"/>
      <c r="K870" s="3"/>
      <c r="M870" s="3"/>
    </row>
    <row r="871">
      <c r="A871" s="3"/>
      <c r="C871" s="3"/>
      <c r="D871" s="3"/>
      <c r="E871" s="3"/>
      <c r="F871" s="3"/>
      <c r="G871" s="112"/>
      <c r="H871" s="3"/>
      <c r="J871" s="3"/>
      <c r="K871" s="3"/>
      <c r="M871" s="3"/>
    </row>
    <row r="872">
      <c r="A872" s="3"/>
      <c r="C872" s="3"/>
      <c r="D872" s="3"/>
      <c r="E872" s="3"/>
      <c r="F872" s="3"/>
      <c r="G872" s="112"/>
      <c r="H872" s="3"/>
      <c r="J872" s="3"/>
      <c r="K872" s="3"/>
      <c r="M872" s="3"/>
    </row>
    <row r="873">
      <c r="A873" s="3"/>
      <c r="C873" s="3"/>
      <c r="D873" s="3"/>
      <c r="E873" s="3"/>
      <c r="F873" s="3"/>
      <c r="G873" s="112"/>
      <c r="H873" s="3"/>
      <c r="J873" s="3"/>
      <c r="K873" s="3"/>
      <c r="M873" s="3"/>
    </row>
    <row r="874">
      <c r="A874" s="3"/>
      <c r="C874" s="3"/>
      <c r="D874" s="3"/>
      <c r="E874" s="3"/>
      <c r="F874" s="3"/>
      <c r="G874" s="112"/>
      <c r="H874" s="3"/>
      <c r="J874" s="3"/>
      <c r="K874" s="3"/>
      <c r="M874" s="3"/>
    </row>
    <row r="875">
      <c r="A875" s="3"/>
      <c r="C875" s="3"/>
      <c r="D875" s="3"/>
      <c r="E875" s="3"/>
      <c r="F875" s="3"/>
      <c r="G875" s="112"/>
      <c r="H875" s="3"/>
      <c r="J875" s="3"/>
      <c r="K875" s="3"/>
      <c r="M875" s="3"/>
    </row>
    <row r="876">
      <c r="A876" s="3"/>
      <c r="C876" s="3"/>
      <c r="D876" s="3"/>
      <c r="E876" s="3"/>
      <c r="F876" s="3"/>
      <c r="G876" s="112"/>
      <c r="H876" s="3"/>
      <c r="J876" s="3"/>
      <c r="K876" s="3"/>
      <c r="M876" s="3"/>
    </row>
    <row r="877">
      <c r="A877" s="3"/>
      <c r="C877" s="3"/>
      <c r="D877" s="3"/>
      <c r="E877" s="3"/>
      <c r="F877" s="3"/>
      <c r="G877" s="112"/>
      <c r="H877" s="3"/>
      <c r="J877" s="3"/>
      <c r="K877" s="3"/>
      <c r="M877" s="3"/>
    </row>
    <row r="878">
      <c r="A878" s="3"/>
      <c r="C878" s="3"/>
      <c r="D878" s="3"/>
      <c r="E878" s="3"/>
      <c r="F878" s="3"/>
      <c r="G878" s="112"/>
      <c r="H878" s="3"/>
      <c r="J878" s="3"/>
      <c r="K878" s="3"/>
      <c r="M878" s="3"/>
    </row>
    <row r="879">
      <c r="A879" s="3"/>
      <c r="C879" s="3"/>
      <c r="D879" s="3"/>
      <c r="E879" s="3"/>
      <c r="F879" s="3"/>
      <c r="G879" s="112"/>
      <c r="H879" s="3"/>
      <c r="J879" s="3"/>
      <c r="K879" s="3"/>
      <c r="M879" s="3"/>
    </row>
    <row r="880">
      <c r="A880" s="3"/>
      <c r="C880" s="3"/>
      <c r="D880" s="3"/>
      <c r="E880" s="3"/>
      <c r="F880" s="3"/>
      <c r="G880" s="112"/>
      <c r="H880" s="3"/>
      <c r="J880" s="3"/>
      <c r="K880" s="3"/>
      <c r="M880" s="3"/>
    </row>
    <row r="881">
      <c r="A881" s="3"/>
      <c r="C881" s="3"/>
      <c r="D881" s="3"/>
      <c r="E881" s="3"/>
      <c r="F881" s="3"/>
      <c r="G881" s="112"/>
      <c r="H881" s="3"/>
      <c r="J881" s="3"/>
      <c r="K881" s="3"/>
      <c r="M881" s="3"/>
    </row>
    <row r="882">
      <c r="A882" s="3"/>
      <c r="C882" s="3"/>
      <c r="D882" s="3"/>
      <c r="E882" s="3"/>
      <c r="F882" s="3"/>
      <c r="G882" s="112"/>
      <c r="H882" s="3"/>
      <c r="J882" s="3"/>
      <c r="K882" s="3"/>
      <c r="M882" s="3"/>
    </row>
    <row r="883">
      <c r="A883" s="3"/>
      <c r="C883" s="3"/>
      <c r="D883" s="3"/>
      <c r="E883" s="3"/>
      <c r="F883" s="3"/>
      <c r="G883" s="112"/>
      <c r="H883" s="3"/>
      <c r="J883" s="3"/>
      <c r="K883" s="3"/>
      <c r="M883" s="3"/>
    </row>
    <row r="884">
      <c r="A884" s="3"/>
      <c r="C884" s="3"/>
      <c r="D884" s="3"/>
      <c r="E884" s="3"/>
      <c r="F884" s="3"/>
      <c r="G884" s="112"/>
      <c r="H884" s="3"/>
      <c r="J884" s="3"/>
      <c r="K884" s="3"/>
      <c r="M884" s="3"/>
    </row>
    <row r="885">
      <c r="A885" s="3"/>
      <c r="C885" s="3"/>
      <c r="D885" s="3"/>
      <c r="E885" s="3"/>
      <c r="F885" s="3"/>
      <c r="G885" s="112"/>
      <c r="H885" s="3"/>
      <c r="J885" s="3"/>
      <c r="K885" s="3"/>
      <c r="M885" s="3"/>
    </row>
    <row r="886">
      <c r="A886" s="3"/>
      <c r="C886" s="3"/>
      <c r="D886" s="3"/>
      <c r="E886" s="3"/>
      <c r="F886" s="3"/>
      <c r="G886" s="112"/>
      <c r="H886" s="3"/>
      <c r="J886" s="3"/>
      <c r="K886" s="3"/>
      <c r="M886" s="3"/>
    </row>
    <row r="887">
      <c r="A887" s="3"/>
      <c r="C887" s="3"/>
      <c r="D887" s="3"/>
      <c r="E887" s="3"/>
      <c r="F887" s="3"/>
      <c r="G887" s="112"/>
      <c r="H887" s="3"/>
      <c r="J887" s="3"/>
      <c r="K887" s="3"/>
      <c r="M887" s="3"/>
    </row>
    <row r="888">
      <c r="A888" s="3"/>
      <c r="C888" s="3"/>
      <c r="D888" s="3"/>
      <c r="E888" s="3"/>
      <c r="F888" s="3"/>
      <c r="G888" s="112"/>
      <c r="H888" s="3"/>
      <c r="J888" s="3"/>
      <c r="K888" s="3"/>
      <c r="M888" s="3"/>
    </row>
    <row r="889">
      <c r="A889" s="3"/>
      <c r="C889" s="3"/>
      <c r="D889" s="3"/>
      <c r="E889" s="3"/>
      <c r="F889" s="3"/>
      <c r="G889" s="112"/>
      <c r="H889" s="3"/>
      <c r="J889" s="3"/>
      <c r="K889" s="3"/>
      <c r="M889" s="3"/>
    </row>
    <row r="890">
      <c r="A890" s="3"/>
      <c r="C890" s="3"/>
      <c r="D890" s="3"/>
      <c r="E890" s="3"/>
      <c r="F890" s="3"/>
      <c r="G890" s="112"/>
      <c r="H890" s="3"/>
      <c r="J890" s="3"/>
      <c r="K890" s="3"/>
      <c r="M890" s="3"/>
    </row>
    <row r="891">
      <c r="A891" s="3"/>
      <c r="C891" s="3"/>
      <c r="D891" s="3"/>
      <c r="E891" s="3"/>
      <c r="F891" s="3"/>
      <c r="G891" s="112"/>
      <c r="H891" s="3"/>
      <c r="J891" s="3"/>
      <c r="K891" s="3"/>
      <c r="M891" s="3"/>
    </row>
    <row r="892">
      <c r="A892" s="3"/>
      <c r="C892" s="3"/>
      <c r="D892" s="3"/>
      <c r="E892" s="3"/>
      <c r="F892" s="3"/>
      <c r="G892" s="112"/>
      <c r="H892" s="3"/>
      <c r="J892" s="3"/>
      <c r="K892" s="3"/>
      <c r="M892" s="3"/>
    </row>
    <row r="893">
      <c r="A893" s="3"/>
      <c r="C893" s="3"/>
      <c r="D893" s="3"/>
      <c r="E893" s="3"/>
      <c r="F893" s="3"/>
      <c r="G893" s="112"/>
      <c r="H893" s="3"/>
      <c r="J893" s="3"/>
      <c r="K893" s="3"/>
      <c r="M893" s="3"/>
    </row>
    <row r="894">
      <c r="A894" s="3"/>
      <c r="C894" s="3"/>
      <c r="D894" s="3"/>
      <c r="E894" s="3"/>
      <c r="F894" s="3"/>
      <c r="G894" s="112"/>
      <c r="H894" s="3"/>
      <c r="J894" s="3"/>
      <c r="K894" s="3"/>
      <c r="M894" s="3"/>
    </row>
    <row r="895">
      <c r="A895" s="3"/>
      <c r="C895" s="3"/>
      <c r="D895" s="3"/>
      <c r="E895" s="3"/>
      <c r="F895" s="3"/>
      <c r="G895" s="112"/>
      <c r="H895" s="3"/>
      <c r="J895" s="3"/>
      <c r="K895" s="3"/>
      <c r="M895" s="3"/>
    </row>
    <row r="896">
      <c r="A896" s="3"/>
      <c r="C896" s="3"/>
      <c r="D896" s="3"/>
      <c r="E896" s="3"/>
      <c r="F896" s="3"/>
      <c r="G896" s="112"/>
      <c r="H896" s="3"/>
      <c r="J896" s="3"/>
      <c r="K896" s="3"/>
      <c r="M896" s="3"/>
    </row>
    <row r="897">
      <c r="A897" s="3"/>
      <c r="C897" s="3"/>
      <c r="D897" s="3"/>
      <c r="E897" s="3"/>
      <c r="F897" s="3"/>
      <c r="G897" s="112"/>
      <c r="H897" s="3"/>
      <c r="J897" s="3"/>
      <c r="K897" s="3"/>
      <c r="M897" s="3"/>
    </row>
    <row r="898">
      <c r="A898" s="3"/>
      <c r="C898" s="3"/>
      <c r="D898" s="3"/>
      <c r="E898" s="3"/>
      <c r="F898" s="3"/>
      <c r="G898" s="112"/>
      <c r="H898" s="3"/>
      <c r="J898" s="3"/>
      <c r="K898" s="3"/>
      <c r="M898" s="3"/>
    </row>
    <row r="899">
      <c r="A899" s="3"/>
      <c r="C899" s="3"/>
      <c r="D899" s="3"/>
      <c r="E899" s="3"/>
      <c r="F899" s="3"/>
      <c r="G899" s="112"/>
      <c r="H899" s="3"/>
      <c r="J899" s="3"/>
      <c r="K899" s="3"/>
      <c r="M899" s="3"/>
    </row>
    <row r="900">
      <c r="A900" s="3"/>
      <c r="C900" s="3"/>
      <c r="D900" s="3"/>
      <c r="E900" s="3"/>
      <c r="F900" s="3"/>
      <c r="G900" s="112"/>
      <c r="H900" s="3"/>
      <c r="J900" s="3"/>
      <c r="K900" s="3"/>
      <c r="M900" s="3"/>
    </row>
    <row r="901">
      <c r="A901" s="3"/>
      <c r="C901" s="3"/>
      <c r="D901" s="3"/>
      <c r="E901" s="3"/>
      <c r="F901" s="3"/>
      <c r="G901" s="112"/>
      <c r="H901" s="3"/>
      <c r="J901" s="3"/>
      <c r="K901" s="3"/>
      <c r="M901" s="3"/>
    </row>
    <row r="902">
      <c r="A902" s="3"/>
      <c r="C902" s="3"/>
      <c r="D902" s="3"/>
      <c r="E902" s="3"/>
      <c r="F902" s="3"/>
      <c r="G902" s="112"/>
      <c r="H902" s="3"/>
      <c r="J902" s="3"/>
      <c r="K902" s="3"/>
      <c r="M902" s="3"/>
    </row>
    <row r="903">
      <c r="A903" s="3"/>
      <c r="C903" s="3"/>
      <c r="D903" s="3"/>
      <c r="E903" s="3"/>
      <c r="F903" s="3"/>
      <c r="G903" s="112"/>
      <c r="H903" s="3"/>
      <c r="J903" s="3"/>
      <c r="K903" s="3"/>
      <c r="M903" s="3"/>
    </row>
    <row r="904">
      <c r="A904" s="3"/>
      <c r="C904" s="3"/>
      <c r="D904" s="3"/>
      <c r="E904" s="3"/>
      <c r="F904" s="3"/>
      <c r="G904" s="112"/>
      <c r="H904" s="3"/>
      <c r="J904" s="3"/>
      <c r="K904" s="3"/>
      <c r="M904" s="3"/>
    </row>
    <row r="905">
      <c r="A905" s="3"/>
      <c r="C905" s="3"/>
      <c r="D905" s="3"/>
      <c r="E905" s="3"/>
      <c r="F905" s="3"/>
      <c r="G905" s="112"/>
      <c r="H905" s="3"/>
      <c r="J905" s="3"/>
      <c r="K905" s="3"/>
      <c r="M905" s="3"/>
    </row>
    <row r="906">
      <c r="A906" s="3"/>
      <c r="C906" s="3"/>
      <c r="D906" s="3"/>
      <c r="E906" s="3"/>
      <c r="F906" s="3"/>
      <c r="G906" s="112"/>
      <c r="H906" s="3"/>
      <c r="J906" s="3"/>
      <c r="K906" s="3"/>
      <c r="M906" s="3"/>
    </row>
    <row r="907">
      <c r="A907" s="3"/>
      <c r="C907" s="3"/>
      <c r="D907" s="3"/>
      <c r="E907" s="3"/>
      <c r="F907" s="3"/>
      <c r="G907" s="112"/>
      <c r="H907" s="3"/>
      <c r="J907" s="3"/>
      <c r="K907" s="3"/>
      <c r="M907" s="3"/>
    </row>
    <row r="908">
      <c r="A908" s="3"/>
      <c r="C908" s="3"/>
      <c r="D908" s="3"/>
      <c r="E908" s="3"/>
      <c r="F908" s="3"/>
      <c r="G908" s="112"/>
      <c r="H908" s="3"/>
      <c r="J908" s="3"/>
      <c r="K908" s="3"/>
      <c r="M908" s="3"/>
    </row>
    <row r="909">
      <c r="A909" s="3"/>
      <c r="C909" s="3"/>
      <c r="D909" s="3"/>
      <c r="E909" s="3"/>
      <c r="F909" s="3"/>
      <c r="G909" s="112"/>
      <c r="H909" s="3"/>
      <c r="J909" s="3"/>
      <c r="K909" s="3"/>
      <c r="M909" s="3"/>
    </row>
    <row r="910">
      <c r="A910" s="3"/>
      <c r="C910" s="3"/>
      <c r="D910" s="3"/>
      <c r="E910" s="3"/>
      <c r="F910" s="3"/>
      <c r="G910" s="112"/>
      <c r="H910" s="3"/>
      <c r="J910" s="3"/>
      <c r="K910" s="3"/>
      <c r="M910" s="3"/>
    </row>
    <row r="911">
      <c r="A911" s="3"/>
      <c r="C911" s="3"/>
      <c r="D911" s="3"/>
      <c r="E911" s="3"/>
      <c r="F911" s="3"/>
      <c r="G911" s="112"/>
      <c r="H911" s="3"/>
      <c r="J911" s="3"/>
      <c r="K911" s="3"/>
      <c r="M911" s="3"/>
    </row>
    <row r="912">
      <c r="A912" s="3"/>
      <c r="C912" s="3"/>
      <c r="D912" s="3"/>
      <c r="E912" s="3"/>
      <c r="F912" s="3"/>
      <c r="G912" s="112"/>
      <c r="H912" s="3"/>
      <c r="J912" s="3"/>
      <c r="K912" s="3"/>
      <c r="M912" s="3"/>
    </row>
    <row r="913">
      <c r="A913" s="3"/>
      <c r="C913" s="3"/>
      <c r="D913" s="3"/>
      <c r="E913" s="3"/>
      <c r="F913" s="3"/>
      <c r="G913" s="112"/>
      <c r="H913" s="3"/>
      <c r="J913" s="3"/>
      <c r="K913" s="3"/>
      <c r="M913" s="3"/>
    </row>
    <row r="914">
      <c r="A914" s="3"/>
      <c r="C914" s="3"/>
      <c r="D914" s="3"/>
      <c r="E914" s="3"/>
      <c r="F914" s="3"/>
      <c r="G914" s="112"/>
      <c r="H914" s="3"/>
      <c r="J914" s="3"/>
      <c r="K914" s="3"/>
      <c r="M914" s="3"/>
    </row>
    <row r="915">
      <c r="A915" s="3"/>
      <c r="C915" s="3"/>
      <c r="D915" s="3"/>
      <c r="E915" s="3"/>
      <c r="F915" s="3"/>
      <c r="G915" s="112"/>
      <c r="H915" s="3"/>
      <c r="J915" s="3"/>
      <c r="K915" s="3"/>
      <c r="M915" s="3"/>
    </row>
    <row r="916">
      <c r="A916" s="3"/>
      <c r="C916" s="3"/>
      <c r="D916" s="3"/>
      <c r="E916" s="3"/>
      <c r="F916" s="3"/>
      <c r="G916" s="112"/>
      <c r="H916" s="3"/>
      <c r="J916" s="3"/>
      <c r="K916" s="3"/>
      <c r="M916" s="3"/>
    </row>
    <row r="917">
      <c r="A917" s="3"/>
      <c r="C917" s="3"/>
      <c r="D917" s="3"/>
      <c r="E917" s="3"/>
      <c r="F917" s="3"/>
      <c r="G917" s="112"/>
      <c r="H917" s="3"/>
      <c r="J917" s="3"/>
      <c r="K917" s="3"/>
      <c r="M917" s="3"/>
    </row>
    <row r="918">
      <c r="A918" s="3"/>
      <c r="C918" s="3"/>
      <c r="D918" s="3"/>
      <c r="E918" s="3"/>
      <c r="F918" s="3"/>
      <c r="G918" s="112"/>
      <c r="H918" s="3"/>
      <c r="J918" s="3"/>
      <c r="K918" s="3"/>
      <c r="M918" s="3"/>
    </row>
    <row r="919">
      <c r="A919" s="3"/>
      <c r="C919" s="3"/>
      <c r="D919" s="3"/>
      <c r="E919" s="3"/>
      <c r="F919" s="3"/>
      <c r="G919" s="112"/>
      <c r="H919" s="3"/>
      <c r="J919" s="3"/>
      <c r="K919" s="3"/>
      <c r="M919" s="3"/>
    </row>
    <row r="920">
      <c r="A920" s="3"/>
      <c r="C920" s="3"/>
      <c r="D920" s="3"/>
      <c r="E920" s="3"/>
      <c r="F920" s="3"/>
      <c r="G920" s="112"/>
      <c r="H920" s="3"/>
      <c r="J920" s="3"/>
      <c r="K920" s="3"/>
      <c r="M920" s="3"/>
    </row>
    <row r="921">
      <c r="A921" s="3"/>
      <c r="C921" s="3"/>
      <c r="D921" s="3"/>
      <c r="E921" s="3"/>
      <c r="F921" s="3"/>
      <c r="G921" s="112"/>
      <c r="H921" s="3"/>
      <c r="J921" s="3"/>
      <c r="K921" s="3"/>
      <c r="M921" s="3"/>
    </row>
    <row r="922">
      <c r="A922" s="3"/>
      <c r="C922" s="3"/>
      <c r="D922" s="3"/>
      <c r="E922" s="3"/>
      <c r="F922" s="3"/>
      <c r="G922" s="112"/>
      <c r="H922" s="3"/>
      <c r="J922" s="3"/>
      <c r="K922" s="3"/>
      <c r="M922" s="3"/>
    </row>
    <row r="923">
      <c r="A923" s="3"/>
      <c r="C923" s="3"/>
      <c r="D923" s="3"/>
      <c r="E923" s="3"/>
      <c r="F923" s="3"/>
      <c r="G923" s="112"/>
      <c r="H923" s="3"/>
      <c r="J923" s="3"/>
      <c r="K923" s="3"/>
      <c r="M923" s="3"/>
    </row>
    <row r="924">
      <c r="A924" s="3"/>
      <c r="C924" s="3"/>
      <c r="D924" s="3"/>
      <c r="E924" s="3"/>
      <c r="F924" s="3"/>
      <c r="G924" s="112"/>
      <c r="H924" s="3"/>
      <c r="J924" s="3"/>
      <c r="K924" s="3"/>
      <c r="M924" s="3"/>
    </row>
    <row r="925">
      <c r="A925" s="3"/>
      <c r="C925" s="3"/>
      <c r="D925" s="3"/>
      <c r="E925" s="3"/>
      <c r="F925" s="3"/>
      <c r="G925" s="112"/>
      <c r="H925" s="3"/>
      <c r="J925" s="3"/>
      <c r="K925" s="3"/>
      <c r="M925" s="3"/>
    </row>
    <row r="926">
      <c r="A926" s="3"/>
      <c r="C926" s="3"/>
      <c r="D926" s="3"/>
      <c r="E926" s="3"/>
      <c r="F926" s="3"/>
      <c r="G926" s="112"/>
      <c r="H926" s="3"/>
      <c r="J926" s="3"/>
      <c r="K926" s="3"/>
      <c r="M926" s="3"/>
    </row>
    <row r="927">
      <c r="A927" s="3"/>
      <c r="C927" s="3"/>
      <c r="D927" s="3"/>
      <c r="E927" s="3"/>
      <c r="F927" s="3"/>
      <c r="G927" s="112"/>
      <c r="H927" s="3"/>
      <c r="J927" s="3"/>
      <c r="K927" s="3"/>
      <c r="M927" s="3"/>
    </row>
    <row r="928">
      <c r="A928" s="3"/>
      <c r="C928" s="3"/>
      <c r="D928" s="3"/>
      <c r="E928" s="3"/>
      <c r="F928" s="3"/>
      <c r="G928" s="112"/>
      <c r="H928" s="3"/>
      <c r="J928" s="3"/>
      <c r="K928" s="3"/>
      <c r="M928" s="3"/>
    </row>
    <row r="929">
      <c r="A929" s="3"/>
      <c r="C929" s="3"/>
      <c r="D929" s="3"/>
      <c r="E929" s="3"/>
      <c r="F929" s="3"/>
      <c r="G929" s="112"/>
      <c r="H929" s="3"/>
      <c r="J929" s="3"/>
      <c r="K929" s="3"/>
      <c r="M929" s="3"/>
    </row>
    <row r="930">
      <c r="A930" s="3"/>
      <c r="C930" s="3"/>
      <c r="D930" s="3"/>
      <c r="E930" s="3"/>
      <c r="F930" s="3"/>
      <c r="G930" s="112"/>
      <c r="H930" s="3"/>
      <c r="J930" s="3"/>
      <c r="K930" s="3"/>
      <c r="M930" s="3"/>
    </row>
    <row r="931">
      <c r="A931" s="3"/>
      <c r="C931" s="3"/>
      <c r="D931" s="3"/>
      <c r="E931" s="3"/>
      <c r="F931" s="3"/>
      <c r="G931" s="112"/>
      <c r="H931" s="3"/>
      <c r="J931" s="3"/>
      <c r="K931" s="3"/>
      <c r="M931" s="3"/>
    </row>
    <row r="932">
      <c r="A932" s="3"/>
      <c r="C932" s="3"/>
      <c r="D932" s="3"/>
      <c r="E932" s="3"/>
      <c r="F932" s="3"/>
      <c r="G932" s="112"/>
      <c r="H932" s="3"/>
      <c r="J932" s="3"/>
      <c r="K932" s="3"/>
      <c r="M932" s="3"/>
    </row>
    <row r="933">
      <c r="A933" s="3"/>
      <c r="C933" s="3"/>
      <c r="D933" s="3"/>
      <c r="E933" s="3"/>
      <c r="F933" s="3"/>
      <c r="G933" s="112"/>
      <c r="H933" s="3"/>
      <c r="J933" s="3"/>
      <c r="K933" s="3"/>
      <c r="M933" s="3"/>
    </row>
    <row r="934">
      <c r="A934" s="3"/>
      <c r="C934" s="3"/>
      <c r="D934" s="3"/>
      <c r="E934" s="3"/>
      <c r="F934" s="3"/>
      <c r="G934" s="112"/>
      <c r="H934" s="3"/>
      <c r="J934" s="3"/>
      <c r="K934" s="3"/>
      <c r="M934" s="3"/>
    </row>
    <row r="935">
      <c r="A935" s="3"/>
      <c r="C935" s="3"/>
      <c r="D935" s="3"/>
      <c r="E935" s="3"/>
      <c r="F935" s="3"/>
      <c r="G935" s="112"/>
      <c r="H935" s="3"/>
      <c r="J935" s="3"/>
      <c r="K935" s="3"/>
      <c r="M935" s="3"/>
    </row>
    <row r="936">
      <c r="A936" s="3"/>
      <c r="C936" s="3"/>
      <c r="D936" s="3"/>
      <c r="E936" s="3"/>
      <c r="F936" s="3"/>
      <c r="G936" s="112"/>
      <c r="H936" s="3"/>
      <c r="J936" s="3"/>
      <c r="K936" s="3"/>
      <c r="M936" s="3"/>
    </row>
    <row r="937">
      <c r="A937" s="3"/>
      <c r="C937" s="3"/>
      <c r="D937" s="3"/>
      <c r="E937" s="3"/>
      <c r="F937" s="3"/>
      <c r="G937" s="112"/>
      <c r="H937" s="3"/>
      <c r="J937" s="3"/>
      <c r="K937" s="3"/>
      <c r="M937" s="3"/>
    </row>
    <row r="938">
      <c r="A938" s="3"/>
      <c r="C938" s="3"/>
      <c r="D938" s="3"/>
      <c r="E938" s="3"/>
      <c r="F938" s="3"/>
      <c r="G938" s="112"/>
      <c r="H938" s="3"/>
      <c r="J938" s="3"/>
      <c r="K938" s="3"/>
      <c r="M938" s="3"/>
    </row>
    <row r="939">
      <c r="A939" s="3"/>
      <c r="C939" s="3"/>
      <c r="D939" s="3"/>
      <c r="E939" s="3"/>
      <c r="F939" s="3"/>
      <c r="G939" s="112"/>
      <c r="H939" s="3"/>
      <c r="J939" s="3"/>
      <c r="K939" s="3"/>
      <c r="M939" s="3"/>
    </row>
    <row r="940">
      <c r="A940" s="3"/>
      <c r="C940" s="3"/>
      <c r="D940" s="3"/>
      <c r="E940" s="3"/>
      <c r="F940" s="3"/>
      <c r="G940" s="112"/>
      <c r="H940" s="3"/>
      <c r="J940" s="3"/>
      <c r="K940" s="3"/>
      <c r="M940" s="3"/>
    </row>
    <row r="941">
      <c r="A941" s="3"/>
      <c r="C941" s="3"/>
      <c r="D941" s="3"/>
      <c r="E941" s="3"/>
      <c r="F941" s="3"/>
      <c r="G941" s="112"/>
      <c r="H941" s="3"/>
      <c r="J941" s="3"/>
      <c r="K941" s="3"/>
      <c r="M941" s="3"/>
    </row>
    <row r="942">
      <c r="A942" s="3"/>
      <c r="C942" s="3"/>
      <c r="D942" s="3"/>
      <c r="E942" s="3"/>
      <c r="F942" s="3"/>
      <c r="G942" s="112"/>
      <c r="H942" s="3"/>
      <c r="J942" s="3"/>
      <c r="K942" s="3"/>
      <c r="M942" s="3"/>
    </row>
    <row r="943">
      <c r="A943" s="3"/>
      <c r="C943" s="3"/>
      <c r="D943" s="3"/>
      <c r="E943" s="3"/>
      <c r="F943" s="3"/>
      <c r="G943" s="112"/>
      <c r="H943" s="3"/>
      <c r="J943" s="3"/>
      <c r="K943" s="3"/>
      <c r="M943" s="3"/>
    </row>
    <row r="944">
      <c r="A944" s="3"/>
      <c r="C944" s="3"/>
      <c r="D944" s="3"/>
      <c r="E944" s="3"/>
      <c r="F944" s="3"/>
      <c r="G944" s="112"/>
      <c r="H944" s="3"/>
      <c r="J944" s="3"/>
      <c r="K944" s="3"/>
      <c r="M944" s="3"/>
    </row>
    <row r="945">
      <c r="A945" s="3"/>
      <c r="C945" s="3"/>
      <c r="D945" s="3"/>
      <c r="E945" s="3"/>
      <c r="F945" s="3"/>
      <c r="G945" s="112"/>
      <c r="H945" s="3"/>
      <c r="J945" s="3"/>
      <c r="K945" s="3"/>
      <c r="M945" s="3"/>
    </row>
    <row r="946">
      <c r="A946" s="3"/>
      <c r="C946" s="3"/>
      <c r="D946" s="3"/>
      <c r="E946" s="3"/>
      <c r="F946" s="3"/>
      <c r="G946" s="112"/>
      <c r="H946" s="3"/>
      <c r="J946" s="3"/>
      <c r="K946" s="3"/>
      <c r="M946" s="3"/>
    </row>
    <row r="947">
      <c r="A947" s="3"/>
      <c r="C947" s="3"/>
      <c r="D947" s="3"/>
      <c r="E947" s="3"/>
      <c r="F947" s="3"/>
      <c r="G947" s="112"/>
      <c r="H947" s="3"/>
      <c r="J947" s="3"/>
      <c r="K947" s="3"/>
      <c r="M947" s="3"/>
    </row>
    <row r="948">
      <c r="A948" s="3"/>
      <c r="C948" s="3"/>
      <c r="D948" s="3"/>
      <c r="E948" s="3"/>
      <c r="F948" s="3"/>
      <c r="G948" s="112"/>
      <c r="H948" s="3"/>
      <c r="J948" s="3"/>
      <c r="K948" s="3"/>
      <c r="M948" s="3"/>
    </row>
    <row r="949">
      <c r="A949" s="3"/>
      <c r="C949" s="3"/>
      <c r="D949" s="3"/>
      <c r="E949" s="3"/>
      <c r="F949" s="3"/>
      <c r="G949" s="112"/>
      <c r="H949" s="3"/>
      <c r="J949" s="3"/>
      <c r="K949" s="3"/>
      <c r="M949" s="3"/>
    </row>
    <row r="950">
      <c r="A950" s="3"/>
      <c r="C950" s="3"/>
      <c r="D950" s="3"/>
      <c r="E950" s="3"/>
      <c r="F950" s="3"/>
      <c r="G950" s="112"/>
      <c r="H950" s="3"/>
      <c r="J950" s="3"/>
      <c r="K950" s="3"/>
      <c r="M950" s="3"/>
    </row>
    <row r="951">
      <c r="A951" s="3"/>
      <c r="C951" s="3"/>
      <c r="D951" s="3"/>
      <c r="E951" s="3"/>
      <c r="F951" s="3"/>
      <c r="G951" s="112"/>
      <c r="H951" s="3"/>
      <c r="J951" s="3"/>
      <c r="K951" s="3"/>
      <c r="M951" s="3"/>
    </row>
    <row r="952">
      <c r="A952" s="3"/>
      <c r="C952" s="3"/>
      <c r="D952" s="3"/>
      <c r="E952" s="3"/>
      <c r="F952" s="3"/>
      <c r="G952" s="112"/>
      <c r="H952" s="3"/>
      <c r="J952" s="3"/>
      <c r="K952" s="3"/>
      <c r="M952" s="3"/>
    </row>
    <row r="953">
      <c r="A953" s="3"/>
      <c r="C953" s="3"/>
      <c r="D953" s="3"/>
      <c r="E953" s="3"/>
      <c r="F953" s="3"/>
      <c r="G953" s="112"/>
      <c r="H953" s="3"/>
      <c r="J953" s="3"/>
      <c r="K953" s="3"/>
      <c r="M953" s="3"/>
    </row>
    <row r="954">
      <c r="A954" s="3"/>
      <c r="C954" s="3"/>
      <c r="D954" s="3"/>
      <c r="E954" s="3"/>
      <c r="F954" s="3"/>
      <c r="G954" s="112"/>
      <c r="H954" s="3"/>
      <c r="J954" s="3"/>
      <c r="K954" s="3"/>
      <c r="M954" s="3"/>
    </row>
    <row r="955">
      <c r="A955" s="3"/>
      <c r="C955" s="3"/>
      <c r="D955" s="3"/>
      <c r="E955" s="3"/>
      <c r="F955" s="3"/>
      <c r="G955" s="112"/>
      <c r="H955" s="3"/>
      <c r="J955" s="3"/>
      <c r="K955" s="3"/>
      <c r="M955" s="3"/>
    </row>
    <row r="956">
      <c r="A956" s="3"/>
      <c r="C956" s="3"/>
      <c r="D956" s="3"/>
      <c r="E956" s="3"/>
      <c r="F956" s="3"/>
      <c r="G956" s="112"/>
      <c r="H956" s="3"/>
      <c r="J956" s="3"/>
      <c r="K956" s="3"/>
      <c r="M956" s="3"/>
    </row>
    <row r="957">
      <c r="A957" s="3"/>
      <c r="C957" s="3"/>
      <c r="D957" s="3"/>
      <c r="E957" s="3"/>
      <c r="F957" s="3"/>
      <c r="G957" s="112"/>
      <c r="H957" s="3"/>
      <c r="J957" s="3"/>
      <c r="K957" s="3"/>
      <c r="M957" s="3"/>
    </row>
    <row r="958">
      <c r="A958" s="3"/>
      <c r="C958" s="3"/>
      <c r="D958" s="3"/>
      <c r="E958" s="3"/>
      <c r="F958" s="3"/>
      <c r="G958" s="112"/>
      <c r="H958" s="3"/>
      <c r="J958" s="3"/>
      <c r="K958" s="3"/>
      <c r="M958" s="3"/>
    </row>
    <row r="959">
      <c r="A959" s="3"/>
      <c r="C959" s="3"/>
      <c r="D959" s="3"/>
      <c r="E959" s="3"/>
      <c r="F959" s="3"/>
      <c r="G959" s="112"/>
      <c r="H959" s="3"/>
      <c r="J959" s="3"/>
      <c r="K959" s="3"/>
      <c r="M959" s="3"/>
    </row>
    <row r="960">
      <c r="A960" s="3"/>
      <c r="C960" s="3"/>
      <c r="D960" s="3"/>
      <c r="E960" s="3"/>
      <c r="F960" s="3"/>
      <c r="G960" s="112"/>
      <c r="H960" s="3"/>
      <c r="J960" s="3"/>
      <c r="K960" s="3"/>
      <c r="M960" s="3"/>
    </row>
    <row r="961">
      <c r="A961" s="3"/>
      <c r="C961" s="3"/>
      <c r="D961" s="3"/>
      <c r="E961" s="3"/>
      <c r="F961" s="3"/>
      <c r="G961" s="112"/>
      <c r="H961" s="3"/>
      <c r="J961" s="3"/>
      <c r="K961" s="3"/>
      <c r="M961" s="3"/>
    </row>
    <row r="962">
      <c r="A962" s="3"/>
      <c r="C962" s="3"/>
      <c r="D962" s="3"/>
      <c r="E962" s="3"/>
      <c r="F962" s="3"/>
      <c r="G962" s="112"/>
      <c r="H962" s="3"/>
      <c r="J962" s="3"/>
      <c r="K962" s="3"/>
      <c r="M962" s="3"/>
    </row>
    <row r="963">
      <c r="A963" s="3"/>
      <c r="C963" s="3"/>
      <c r="D963" s="3"/>
      <c r="E963" s="3"/>
      <c r="F963" s="3"/>
      <c r="G963" s="112"/>
      <c r="H963" s="3"/>
      <c r="J963" s="3"/>
      <c r="K963" s="3"/>
      <c r="M963" s="3"/>
    </row>
    <row r="964">
      <c r="A964" s="3"/>
      <c r="C964" s="3"/>
      <c r="D964" s="3"/>
      <c r="E964" s="3"/>
      <c r="F964" s="3"/>
      <c r="G964" s="112"/>
      <c r="H964" s="3"/>
      <c r="J964" s="3"/>
      <c r="K964" s="3"/>
      <c r="M964" s="3"/>
    </row>
    <row r="965">
      <c r="A965" s="3"/>
      <c r="C965" s="3"/>
      <c r="D965" s="3"/>
      <c r="E965" s="3"/>
      <c r="F965" s="3"/>
      <c r="G965" s="112"/>
      <c r="H965" s="3"/>
      <c r="J965" s="3"/>
      <c r="K965" s="3"/>
      <c r="M965" s="3"/>
    </row>
    <row r="966">
      <c r="A966" s="3"/>
      <c r="C966" s="3"/>
      <c r="D966" s="3"/>
      <c r="E966" s="3"/>
      <c r="F966" s="3"/>
      <c r="G966" s="112"/>
      <c r="H966" s="3"/>
      <c r="J966" s="3"/>
      <c r="K966" s="3"/>
      <c r="M966" s="3"/>
    </row>
    <row r="967">
      <c r="A967" s="3"/>
      <c r="C967" s="3"/>
      <c r="D967" s="3"/>
      <c r="E967" s="3"/>
      <c r="F967" s="3"/>
      <c r="G967" s="112"/>
      <c r="H967" s="3"/>
      <c r="J967" s="3"/>
      <c r="K967" s="3"/>
      <c r="M967" s="3"/>
    </row>
    <row r="968">
      <c r="A968" s="3"/>
      <c r="C968" s="3"/>
      <c r="D968" s="3"/>
      <c r="E968" s="3"/>
      <c r="F968" s="3"/>
      <c r="G968" s="112"/>
      <c r="H968" s="3"/>
      <c r="J968" s="3"/>
      <c r="K968" s="3"/>
      <c r="M968" s="3"/>
    </row>
    <row r="969">
      <c r="A969" s="3"/>
      <c r="C969" s="3"/>
      <c r="D969" s="3"/>
      <c r="E969" s="3"/>
      <c r="F969" s="3"/>
      <c r="G969" s="112"/>
      <c r="H969" s="3"/>
      <c r="J969" s="3"/>
      <c r="K969" s="3"/>
      <c r="M969" s="3"/>
    </row>
    <row r="970">
      <c r="A970" s="3"/>
      <c r="C970" s="3"/>
      <c r="D970" s="3"/>
      <c r="E970" s="3"/>
      <c r="F970" s="3"/>
      <c r="G970" s="112"/>
      <c r="H970" s="3"/>
      <c r="J970" s="3"/>
      <c r="K970" s="3"/>
      <c r="M970" s="3"/>
    </row>
    <row r="971">
      <c r="A971" s="3"/>
      <c r="C971" s="3"/>
      <c r="D971" s="3"/>
      <c r="E971" s="3"/>
      <c r="F971" s="3"/>
      <c r="G971" s="112"/>
      <c r="H971" s="3"/>
      <c r="J971" s="3"/>
      <c r="K971" s="3"/>
      <c r="M971" s="3"/>
    </row>
    <row r="972">
      <c r="A972" s="3"/>
      <c r="C972" s="3"/>
      <c r="D972" s="3"/>
      <c r="E972" s="3"/>
      <c r="F972" s="3"/>
      <c r="G972" s="112"/>
      <c r="H972" s="3"/>
      <c r="J972" s="3"/>
      <c r="K972" s="3"/>
      <c r="M972" s="3"/>
    </row>
    <row r="973">
      <c r="A973" s="3"/>
      <c r="C973" s="3"/>
      <c r="D973" s="3"/>
      <c r="E973" s="3"/>
      <c r="F973" s="3"/>
      <c r="G973" s="112"/>
      <c r="H973" s="3"/>
      <c r="J973" s="3"/>
      <c r="K973" s="3"/>
      <c r="M973" s="3"/>
    </row>
    <row r="974">
      <c r="A974" s="3"/>
      <c r="C974" s="3"/>
      <c r="D974" s="3"/>
      <c r="E974" s="3"/>
      <c r="F974" s="3"/>
      <c r="G974" s="112"/>
      <c r="H974" s="3"/>
      <c r="J974" s="3"/>
      <c r="K974" s="3"/>
      <c r="M974" s="3"/>
    </row>
    <row r="975">
      <c r="A975" s="3"/>
      <c r="C975" s="3"/>
      <c r="D975" s="3"/>
      <c r="E975" s="3"/>
      <c r="F975" s="3"/>
      <c r="G975" s="112"/>
      <c r="H975" s="3"/>
      <c r="J975" s="3"/>
      <c r="K975" s="3"/>
      <c r="M975" s="3"/>
    </row>
    <row r="976">
      <c r="A976" s="3"/>
      <c r="C976" s="3"/>
      <c r="D976" s="3"/>
      <c r="E976" s="3"/>
      <c r="F976" s="3"/>
      <c r="G976" s="112"/>
      <c r="H976" s="3"/>
      <c r="J976" s="3"/>
      <c r="K976" s="3"/>
      <c r="M976" s="3"/>
    </row>
    <row r="977">
      <c r="A977" s="3"/>
      <c r="C977" s="3"/>
      <c r="D977" s="3"/>
      <c r="E977" s="3"/>
      <c r="F977" s="3"/>
      <c r="G977" s="112"/>
      <c r="H977" s="3"/>
      <c r="J977" s="3"/>
      <c r="K977" s="3"/>
      <c r="M977" s="3"/>
    </row>
    <row r="978">
      <c r="A978" s="3"/>
      <c r="C978" s="3"/>
      <c r="D978" s="3"/>
      <c r="E978" s="3"/>
      <c r="F978" s="3"/>
      <c r="G978" s="112"/>
      <c r="H978" s="3"/>
      <c r="J978" s="3"/>
      <c r="K978" s="3"/>
      <c r="M978" s="3"/>
    </row>
    <row r="979">
      <c r="A979" s="3"/>
      <c r="C979" s="3"/>
      <c r="D979" s="3"/>
      <c r="E979" s="3"/>
      <c r="F979" s="3"/>
      <c r="G979" s="112"/>
      <c r="H979" s="3"/>
      <c r="J979" s="3"/>
      <c r="K979" s="3"/>
      <c r="M979" s="3"/>
    </row>
    <row r="980">
      <c r="A980" s="3"/>
      <c r="C980" s="3"/>
      <c r="D980" s="3"/>
      <c r="E980" s="3"/>
      <c r="F980" s="3"/>
      <c r="G980" s="112"/>
      <c r="H980" s="3"/>
      <c r="J980" s="3"/>
      <c r="K980" s="3"/>
      <c r="M980" s="3"/>
    </row>
    <row r="981">
      <c r="A981" s="3"/>
      <c r="C981" s="3"/>
      <c r="D981" s="3"/>
      <c r="E981" s="3"/>
      <c r="F981" s="3"/>
      <c r="G981" s="112"/>
      <c r="H981" s="3"/>
      <c r="J981" s="3"/>
      <c r="K981" s="3"/>
      <c r="M981" s="3"/>
    </row>
    <row r="982">
      <c r="A982" s="3"/>
      <c r="C982" s="3"/>
      <c r="D982" s="3"/>
      <c r="E982" s="3"/>
      <c r="F982" s="3"/>
      <c r="G982" s="112"/>
      <c r="H982" s="3"/>
      <c r="J982" s="3"/>
      <c r="K982" s="3"/>
      <c r="M982" s="3"/>
    </row>
    <row r="983">
      <c r="A983" s="3"/>
      <c r="C983" s="3"/>
      <c r="D983" s="3"/>
      <c r="E983" s="3"/>
      <c r="F983" s="3"/>
      <c r="G983" s="112"/>
      <c r="H983" s="3"/>
      <c r="J983" s="3"/>
      <c r="K983" s="3"/>
      <c r="M983" s="3"/>
    </row>
    <row r="984">
      <c r="A984" s="3"/>
      <c r="C984" s="3"/>
      <c r="D984" s="3"/>
      <c r="E984" s="3"/>
      <c r="F984" s="3"/>
      <c r="G984" s="112"/>
      <c r="H984" s="3"/>
      <c r="J984" s="3"/>
      <c r="K984" s="3"/>
      <c r="M984" s="3"/>
    </row>
    <row r="985">
      <c r="A985" s="3"/>
      <c r="C985" s="3"/>
      <c r="D985" s="3"/>
      <c r="E985" s="3"/>
      <c r="F985" s="3"/>
      <c r="G985" s="112"/>
      <c r="H985" s="3"/>
      <c r="J985" s="3"/>
      <c r="K985" s="3"/>
      <c r="M985" s="3"/>
    </row>
    <row r="986">
      <c r="A986" s="3"/>
      <c r="C986" s="3"/>
      <c r="D986" s="3"/>
      <c r="E986" s="3"/>
      <c r="F986" s="3"/>
      <c r="G986" s="112"/>
      <c r="H986" s="3"/>
      <c r="J986" s="3"/>
      <c r="K986" s="3"/>
      <c r="M986" s="3"/>
    </row>
    <row r="987">
      <c r="A987" s="3"/>
      <c r="C987" s="3"/>
      <c r="D987" s="3"/>
      <c r="E987" s="3"/>
      <c r="F987" s="3"/>
      <c r="G987" s="112"/>
      <c r="H987" s="3"/>
      <c r="J987" s="3"/>
      <c r="K987" s="3"/>
      <c r="M987" s="3"/>
    </row>
    <row r="988">
      <c r="A988" s="3"/>
      <c r="C988" s="3"/>
      <c r="D988" s="3"/>
      <c r="E988" s="3"/>
      <c r="F988" s="3"/>
      <c r="G988" s="112"/>
      <c r="H988" s="3"/>
      <c r="J988" s="3"/>
      <c r="K988" s="3"/>
      <c r="M988" s="3"/>
    </row>
    <row r="989">
      <c r="A989" s="3"/>
      <c r="C989" s="3"/>
      <c r="D989" s="3"/>
      <c r="E989" s="3"/>
      <c r="F989" s="3"/>
      <c r="G989" s="112"/>
      <c r="H989" s="3"/>
      <c r="J989" s="3"/>
      <c r="K989" s="3"/>
      <c r="M989" s="3"/>
    </row>
    <row r="990">
      <c r="A990" s="3"/>
      <c r="C990" s="3"/>
      <c r="D990" s="3"/>
      <c r="E990" s="3"/>
      <c r="F990" s="3"/>
      <c r="G990" s="112"/>
      <c r="H990" s="3"/>
      <c r="J990" s="3"/>
      <c r="K990" s="3"/>
      <c r="M990" s="3"/>
    </row>
    <row r="991">
      <c r="A991" s="3"/>
      <c r="C991" s="3"/>
      <c r="D991" s="3"/>
      <c r="E991" s="3"/>
      <c r="F991" s="3"/>
      <c r="G991" s="112"/>
      <c r="H991" s="3"/>
      <c r="J991" s="3"/>
      <c r="K991" s="3"/>
      <c r="M991" s="3"/>
    </row>
    <row r="992">
      <c r="A992" s="3"/>
      <c r="C992" s="3"/>
      <c r="D992" s="3"/>
      <c r="E992" s="3"/>
      <c r="F992" s="3"/>
      <c r="G992" s="112"/>
      <c r="H992" s="3"/>
      <c r="J992" s="3"/>
      <c r="K992" s="3"/>
      <c r="M992" s="3"/>
    </row>
    <row r="993">
      <c r="A993" s="3"/>
      <c r="C993" s="3"/>
      <c r="D993" s="3"/>
      <c r="E993" s="3"/>
      <c r="F993" s="3"/>
      <c r="G993" s="112"/>
      <c r="H993" s="3"/>
      <c r="J993" s="3"/>
      <c r="K993" s="3"/>
      <c r="M993" s="3"/>
    </row>
    <row r="994">
      <c r="A994" s="3"/>
      <c r="C994" s="3"/>
      <c r="D994" s="3"/>
      <c r="E994" s="3"/>
      <c r="F994" s="3"/>
      <c r="G994" s="112"/>
      <c r="H994" s="3"/>
      <c r="J994" s="3"/>
      <c r="K994" s="3"/>
      <c r="M994" s="3"/>
    </row>
    <row r="995">
      <c r="A995" s="3"/>
      <c r="C995" s="3"/>
      <c r="D995" s="3"/>
      <c r="E995" s="3"/>
      <c r="F995" s="3"/>
      <c r="G995" s="112"/>
      <c r="H995" s="3"/>
      <c r="J995" s="3"/>
      <c r="K995" s="3"/>
      <c r="M995" s="3"/>
    </row>
    <row r="996">
      <c r="A996" s="3"/>
      <c r="C996" s="3"/>
      <c r="D996" s="3"/>
      <c r="E996" s="3"/>
      <c r="F996" s="3"/>
      <c r="G996" s="112"/>
      <c r="H996" s="3"/>
      <c r="J996" s="3"/>
      <c r="K996" s="3"/>
      <c r="M996" s="3"/>
    </row>
    <row r="997">
      <c r="A997" s="3"/>
      <c r="C997" s="3"/>
      <c r="D997" s="3"/>
      <c r="E997" s="3"/>
      <c r="F997" s="3"/>
      <c r="G997" s="112"/>
      <c r="H997" s="3"/>
      <c r="J997" s="3"/>
      <c r="K997" s="3"/>
      <c r="M997" s="3"/>
    </row>
    <row r="998">
      <c r="A998" s="3"/>
      <c r="C998" s="3"/>
      <c r="D998" s="3"/>
      <c r="E998" s="3"/>
      <c r="F998" s="3"/>
      <c r="G998" s="112"/>
      <c r="H998" s="3"/>
      <c r="J998" s="3"/>
      <c r="K998" s="3"/>
      <c r="M998" s="3"/>
    </row>
    <row r="999">
      <c r="A999" s="3"/>
      <c r="C999" s="3"/>
      <c r="D999" s="3"/>
      <c r="E999" s="3"/>
      <c r="F999" s="3"/>
      <c r="G999" s="112"/>
      <c r="H999" s="3"/>
      <c r="J999" s="3"/>
      <c r="K999" s="3"/>
      <c r="M999" s="3"/>
    </row>
    <row r="1000">
      <c r="A1000" s="3"/>
      <c r="C1000" s="3"/>
      <c r="D1000" s="3"/>
      <c r="E1000" s="3"/>
      <c r="F1000" s="3"/>
      <c r="G1000" s="112"/>
      <c r="H1000" s="3"/>
      <c r="J1000" s="3"/>
      <c r="K1000" s="3"/>
      <c r="M1000" s="3"/>
    </row>
    <row r="1001">
      <c r="A1001" s="3"/>
      <c r="C1001" s="3"/>
      <c r="D1001" s="3"/>
      <c r="E1001" s="3"/>
      <c r="F1001" s="3"/>
      <c r="G1001" s="112"/>
      <c r="H1001" s="3"/>
      <c r="J1001" s="3"/>
      <c r="K1001" s="3"/>
      <c r="M1001" s="3"/>
    </row>
    <row r="1002">
      <c r="A1002" s="3"/>
      <c r="C1002" s="3"/>
      <c r="D1002" s="3"/>
      <c r="E1002" s="3"/>
      <c r="F1002" s="3"/>
      <c r="G1002" s="112"/>
      <c r="H1002" s="3"/>
      <c r="J1002" s="3"/>
      <c r="K1002" s="3"/>
      <c r="M1002" s="3"/>
    </row>
    <row r="1003">
      <c r="A1003" s="3"/>
      <c r="C1003" s="3"/>
      <c r="D1003" s="3"/>
      <c r="E1003" s="3"/>
      <c r="F1003" s="3"/>
      <c r="G1003" s="112"/>
      <c r="H1003" s="3"/>
      <c r="J1003" s="3"/>
      <c r="K1003" s="3"/>
      <c r="M1003" s="3"/>
    </row>
    <row r="1004">
      <c r="A1004" s="3"/>
      <c r="C1004" s="3"/>
      <c r="D1004" s="3"/>
      <c r="E1004" s="3"/>
      <c r="F1004" s="3"/>
      <c r="G1004" s="112"/>
      <c r="H1004" s="3"/>
      <c r="J1004" s="3"/>
      <c r="K1004" s="3"/>
      <c r="M1004" s="3"/>
    </row>
    <row r="1005">
      <c r="A1005" s="3"/>
      <c r="C1005" s="3"/>
      <c r="D1005" s="3"/>
      <c r="E1005" s="3"/>
      <c r="F1005" s="3"/>
      <c r="G1005" s="112"/>
      <c r="H1005" s="3"/>
      <c r="J1005" s="3"/>
      <c r="K1005" s="3"/>
      <c r="M1005" s="3"/>
    </row>
    <row r="1006">
      <c r="A1006" s="3"/>
      <c r="C1006" s="3"/>
      <c r="D1006" s="3"/>
      <c r="E1006" s="3"/>
      <c r="F1006" s="3"/>
      <c r="G1006" s="112"/>
      <c r="H1006" s="3"/>
      <c r="J1006" s="3"/>
      <c r="K1006" s="3"/>
      <c r="M1006" s="3"/>
    </row>
    <row r="1007">
      <c r="A1007" s="3"/>
      <c r="C1007" s="3"/>
      <c r="D1007" s="3"/>
      <c r="E1007" s="3"/>
      <c r="F1007" s="3"/>
      <c r="G1007" s="112"/>
      <c r="H1007" s="3"/>
      <c r="J1007" s="3"/>
      <c r="K1007" s="3"/>
      <c r="M1007" s="3"/>
    </row>
  </sheetData>
  <mergeCells count="3">
    <mergeCell ref="A1:P1"/>
    <mergeCell ref="A14:P14"/>
    <mergeCell ref="A15:R15"/>
  </mergeCells>
  <conditionalFormatting sqref="F1:F1007">
    <cfRule type="cellIs" dxfId="0" priority="1" operator="lessThan">
      <formula>30</formula>
    </cfRule>
  </conditionalFormatting>
  <conditionalFormatting sqref="F1:F1007">
    <cfRule type="cellIs" dxfId="1" priority="2" operator="between">
      <formula>31</formula>
      <formula>60</formula>
    </cfRule>
  </conditionalFormatting>
  <conditionalFormatting sqref="F1:F1007">
    <cfRule type="cellIs" dxfId="2" priority="3" operator="greaterThan">
      <formula>61</formula>
    </cfRule>
  </conditionalFormatting>
  <hyperlinks>
    <hyperlink display="OMG Skincare" location="'OMG SKINCARE'!A1" ref="B3"/>
    <hyperlink r:id="rId2" location="gid=0" ref="O3"/>
    <hyperlink r:id="rId3" ref="P3"/>
    <hyperlink display="OMG Makeup" location="'OMG MAKEUP'!A1" ref="B4"/>
    <hyperlink r:id="rId4" location="gid=277101169" ref="O4"/>
    <hyperlink r:id="rId5" ref="P4"/>
    <hyperlink display="Qahira" location="QAHIRA!A1" ref="B5"/>
    <hyperlink r:id="rId6" location="gid=2007227611" ref="O5"/>
    <hyperlink r:id="rId7" ref="P5"/>
    <hyperlink display="Salsa Cosmetics" location="'SALSA COSME'!A1" ref="B6"/>
    <hyperlink r:id="rId8" location="gid=0" ref="O6"/>
    <hyperlink r:id="rId9" ref="P6"/>
    <hyperlink display="Salsa Mom &amp; Baby" location="'SALSA M&amp;B'!A1" ref="B7"/>
    <hyperlink r:id="rId10" location="gid=1912522919" ref="O7"/>
    <hyperlink r:id="rId11" ref="P7"/>
    <hyperlink display="Wardah" location="WARDAH!A1" ref="B8"/>
    <hyperlink r:id="rId12" location="gid=0" ref="O8"/>
    <hyperlink r:id="rId13" ref="P8"/>
    <hyperlink display="ISWHITE" location="ISWHITE!A1" ref="B9"/>
    <hyperlink r:id="rId14" ref="O9"/>
    <hyperlink r:id="rId15" ref="P9"/>
    <hyperlink display="NAISDAY" location="NAISDAY!A1" ref="B10"/>
    <hyperlink r:id="rId16" ref="O10"/>
    <hyperlink r:id="rId17" ref="P10"/>
    <hyperlink display="SYB" location="SYB!A1" ref="B11"/>
    <hyperlink r:id="rId18" location="gid=0" ref="O11"/>
    <hyperlink r:id="rId19" ref="P11"/>
    <hyperlink display="Ms Glow Beauty" location="MSGLOWBEAUTY!A1" ref="B12"/>
    <hyperlink r:id="rId20" ref="O12"/>
    <hyperlink r:id="rId21" ref="P12"/>
    <hyperlink display="Ms Glow for Men" location="MSGLOWFORMEN!A1" ref="B13"/>
    <hyperlink r:id="rId22" ref="O13"/>
    <hyperlink r:id="rId23" ref="P13"/>
    <hyperlink display="Kimme" location="KIMME!A1" ref="B17"/>
    <hyperlink r:id="rId24" ref="Q17"/>
    <hyperlink r:id="rId25" location="1" ref="R17"/>
    <hyperlink display="Skinmology" location="SKINMOLOGY!A1" ref="B18"/>
    <hyperlink r:id="rId26" location="gid=0" ref="Q18"/>
    <hyperlink r:id="rId27" ref="R18"/>
    <hyperlink display="Dioly" location="DIOLY!A1" ref="B19"/>
    <hyperlink r:id="rId28" ref="Q19"/>
    <hyperlink r:id="rId29" ref="R19"/>
    <hyperlink display="PWS" location="PWS!A1" ref="B20"/>
    <hyperlink r:id="rId30" location="gid=687753557" ref="Q20"/>
    <hyperlink r:id="rId31" ref="R20"/>
  </hyperlinks>
  <drawing r:id="rId32"/>
  <legacyDrawing r:id="rId3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7.63"/>
    <col customWidth="1" min="2" max="2" width="16.13"/>
    <col customWidth="1" min="4" max="4" width="13.0"/>
  </cols>
  <sheetData>
    <row r="1">
      <c r="A1" s="113" t="s">
        <v>400</v>
      </c>
      <c r="B1" s="114"/>
      <c r="C1" s="115" t="s">
        <v>401</v>
      </c>
      <c r="D1" s="116" t="s">
        <v>402</v>
      </c>
      <c r="E1" s="116" t="s">
        <v>403</v>
      </c>
      <c r="F1" s="116" t="s">
        <v>404</v>
      </c>
      <c r="G1" s="116" t="s">
        <v>341</v>
      </c>
      <c r="H1" s="116" t="s">
        <v>405</v>
      </c>
      <c r="I1" s="117">
        <v>46174.0</v>
      </c>
      <c r="J1" s="117">
        <v>46175.0</v>
      </c>
      <c r="K1" s="117">
        <v>46176.0</v>
      </c>
      <c r="L1" s="117">
        <v>46177.0</v>
      </c>
      <c r="M1" s="117">
        <v>46178.0</v>
      </c>
      <c r="N1" s="117">
        <v>46179.0</v>
      </c>
      <c r="O1" s="117">
        <v>46180.0</v>
      </c>
      <c r="P1" s="117">
        <v>46181.0</v>
      </c>
      <c r="Q1" s="117">
        <v>46182.0</v>
      </c>
      <c r="R1" s="117">
        <v>46183.0</v>
      </c>
      <c r="S1" s="117">
        <v>46184.0</v>
      </c>
      <c r="T1" s="117">
        <v>46185.0</v>
      </c>
      <c r="U1" s="117">
        <v>46186.0</v>
      </c>
      <c r="V1" s="117">
        <v>46187.0</v>
      </c>
      <c r="W1" s="117">
        <v>46188.0</v>
      </c>
      <c r="X1" s="117">
        <v>46189.0</v>
      </c>
      <c r="Y1" s="117">
        <v>46190.0</v>
      </c>
      <c r="Z1" s="117">
        <v>46191.0</v>
      </c>
      <c r="AA1" s="117">
        <v>46192.0</v>
      </c>
      <c r="AB1" s="117">
        <v>46193.0</v>
      </c>
      <c r="AC1" s="117">
        <v>46194.0</v>
      </c>
      <c r="AD1" s="117">
        <v>46195.0</v>
      </c>
      <c r="AE1" s="117">
        <v>46196.0</v>
      </c>
      <c r="AF1" s="117">
        <v>46197.0</v>
      </c>
      <c r="AG1" s="117">
        <v>46198.0</v>
      </c>
      <c r="AH1" s="117">
        <v>46199.0</v>
      </c>
      <c r="AI1" s="117">
        <v>46200.0</v>
      </c>
      <c r="AJ1" s="117">
        <v>46201.0</v>
      </c>
      <c r="AK1" s="117">
        <v>46202.0</v>
      </c>
      <c r="AL1" s="117">
        <v>46203.0</v>
      </c>
      <c r="AM1" s="118"/>
      <c r="AN1" s="118"/>
    </row>
    <row r="2">
      <c r="A2" s="119" t="s">
        <v>77</v>
      </c>
      <c r="B2" s="120" t="s">
        <v>406</v>
      </c>
      <c r="C2" s="121">
        <f>SUM(D2:AJ2)</f>
        <v>29541876</v>
      </c>
      <c r="D2" s="122">
        <f>SUMIFS(RAW_organic!$V:$V, RAW_organic!$A:$A, $B5, RAW_organic!$K:$K, "OMG")</f>
        <v>0</v>
      </c>
      <c r="E2" s="122">
        <v>1005766.0</v>
      </c>
      <c r="F2" s="122">
        <v>1671154.0</v>
      </c>
      <c r="G2" s="122">
        <v>8839852.0</v>
      </c>
      <c r="H2" s="122">
        <v>1.3256495E7</v>
      </c>
      <c r="I2" s="122">
        <v>509530.0</v>
      </c>
      <c r="J2" s="122">
        <v>578493.0</v>
      </c>
      <c r="K2" s="122">
        <v>874972.0</v>
      </c>
      <c r="L2" s="122">
        <v>477172.0</v>
      </c>
      <c r="M2" s="122">
        <v>553977.0</v>
      </c>
      <c r="N2" s="122">
        <v>820671.0</v>
      </c>
      <c r="O2" s="122">
        <v>474121.0</v>
      </c>
      <c r="P2" s="122">
        <v>379211.0</v>
      </c>
      <c r="Q2" s="122">
        <v>100462.0</v>
      </c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3"/>
      <c r="AN2" s="123"/>
    </row>
    <row r="3">
      <c r="A3" s="124"/>
      <c r="B3" s="120" t="s">
        <v>8</v>
      </c>
      <c r="C3" s="121">
        <f t="shared" ref="C3:C4" si="1">SUM(D3:AI3)</f>
        <v>741251702.8</v>
      </c>
      <c r="D3" s="122">
        <v>0.0</v>
      </c>
      <c r="E3" s="122">
        <v>0.0</v>
      </c>
      <c r="F3" s="125">
        <v>2.7199922976E8</v>
      </c>
      <c r="G3" s="126">
        <v>6.1762437E7</v>
      </c>
      <c r="H3" s="126">
        <v>2.64617351E8</v>
      </c>
      <c r="I3" s="126">
        <v>0.0</v>
      </c>
      <c r="J3" s="126">
        <v>1.201817E8</v>
      </c>
      <c r="K3" s="126">
        <v>0.0</v>
      </c>
      <c r="L3" s="126">
        <v>0.0</v>
      </c>
      <c r="M3" s="126">
        <v>0.0</v>
      </c>
      <c r="N3" s="122">
        <v>0.0</v>
      </c>
      <c r="O3" s="122">
        <v>0.0</v>
      </c>
      <c r="P3" s="122">
        <v>2.2690985E7</v>
      </c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3"/>
      <c r="AN3" s="123"/>
    </row>
    <row r="4">
      <c r="A4" s="127" t="s">
        <v>407</v>
      </c>
      <c r="B4" s="128" t="s">
        <v>408</v>
      </c>
      <c r="C4" s="129">
        <f t="shared" si="1"/>
        <v>0.7707935788</v>
      </c>
      <c r="D4" s="129">
        <f t="shared" ref="D4:AL4" si="2">sum(D2:D3)/$A$5</f>
        <v>0</v>
      </c>
      <c r="E4" s="129">
        <f t="shared" si="2"/>
        <v>0.001005766</v>
      </c>
      <c r="F4" s="129">
        <f t="shared" si="2"/>
        <v>0.2736703838</v>
      </c>
      <c r="G4" s="129">
        <f t="shared" si="2"/>
        <v>0.070602289</v>
      </c>
      <c r="H4" s="129">
        <f t="shared" si="2"/>
        <v>0.277873846</v>
      </c>
      <c r="I4" s="129">
        <f t="shared" si="2"/>
        <v>0.00050953</v>
      </c>
      <c r="J4" s="129">
        <f t="shared" si="2"/>
        <v>0.120760193</v>
      </c>
      <c r="K4" s="129">
        <f t="shared" si="2"/>
        <v>0.000874972</v>
      </c>
      <c r="L4" s="129">
        <f t="shared" si="2"/>
        <v>0.000477172</v>
      </c>
      <c r="M4" s="129">
        <f t="shared" si="2"/>
        <v>0.000553977</v>
      </c>
      <c r="N4" s="129">
        <f t="shared" si="2"/>
        <v>0.000820671</v>
      </c>
      <c r="O4" s="129">
        <f t="shared" si="2"/>
        <v>0.000474121</v>
      </c>
      <c r="P4" s="129">
        <f t="shared" si="2"/>
        <v>0.023070196</v>
      </c>
      <c r="Q4" s="129">
        <f t="shared" si="2"/>
        <v>0.000100462</v>
      </c>
      <c r="R4" s="129">
        <f t="shared" si="2"/>
        <v>0</v>
      </c>
      <c r="S4" s="129">
        <f t="shared" si="2"/>
        <v>0</v>
      </c>
      <c r="T4" s="129">
        <f t="shared" si="2"/>
        <v>0</v>
      </c>
      <c r="U4" s="129">
        <f t="shared" si="2"/>
        <v>0</v>
      </c>
      <c r="V4" s="129">
        <f t="shared" si="2"/>
        <v>0</v>
      </c>
      <c r="W4" s="129">
        <f t="shared" si="2"/>
        <v>0</v>
      </c>
      <c r="X4" s="129">
        <f t="shared" si="2"/>
        <v>0</v>
      </c>
      <c r="Y4" s="129">
        <f t="shared" si="2"/>
        <v>0</v>
      </c>
      <c r="Z4" s="129">
        <f t="shared" si="2"/>
        <v>0</v>
      </c>
      <c r="AA4" s="129">
        <f t="shared" si="2"/>
        <v>0</v>
      </c>
      <c r="AB4" s="129">
        <f t="shared" si="2"/>
        <v>0</v>
      </c>
      <c r="AC4" s="129">
        <f t="shared" si="2"/>
        <v>0</v>
      </c>
      <c r="AD4" s="129">
        <f t="shared" si="2"/>
        <v>0</v>
      </c>
      <c r="AE4" s="129">
        <f t="shared" si="2"/>
        <v>0</v>
      </c>
      <c r="AF4" s="129">
        <f t="shared" si="2"/>
        <v>0</v>
      </c>
      <c r="AG4" s="129">
        <f t="shared" si="2"/>
        <v>0</v>
      </c>
      <c r="AH4" s="129">
        <f t="shared" si="2"/>
        <v>0</v>
      </c>
      <c r="AI4" s="129">
        <f t="shared" si="2"/>
        <v>0</v>
      </c>
      <c r="AJ4" s="129">
        <f t="shared" si="2"/>
        <v>0</v>
      </c>
      <c r="AK4" s="129">
        <f t="shared" si="2"/>
        <v>0</v>
      </c>
      <c r="AL4" s="129">
        <f t="shared" si="2"/>
        <v>0</v>
      </c>
      <c r="AM4" s="130"/>
      <c r="AN4" s="130"/>
    </row>
    <row r="5">
      <c r="A5" s="131">
        <v>1.0E9</v>
      </c>
      <c r="B5" s="132" t="s">
        <v>409</v>
      </c>
      <c r="C5" s="133">
        <f>sum(D5:AJ5)</f>
        <v>251</v>
      </c>
      <c r="D5" s="134">
        <v>10.0</v>
      </c>
      <c r="E5" s="134">
        <v>72.0</v>
      </c>
      <c r="F5" s="134">
        <v>65.0</v>
      </c>
      <c r="G5" s="134">
        <v>49.0</v>
      </c>
      <c r="H5" s="134">
        <v>45.0</v>
      </c>
      <c r="I5" s="134">
        <v>1.0</v>
      </c>
      <c r="J5" s="134">
        <v>2.0</v>
      </c>
      <c r="K5" s="135">
        <v>1.0</v>
      </c>
      <c r="L5" s="135">
        <v>1.0</v>
      </c>
      <c r="M5" s="135">
        <v>1.0</v>
      </c>
      <c r="N5" s="135">
        <v>1.0</v>
      </c>
      <c r="O5" s="135">
        <v>1.0</v>
      </c>
      <c r="P5" s="135">
        <v>2.0</v>
      </c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4"/>
      <c r="AE5" s="134"/>
      <c r="AF5" s="134"/>
      <c r="AG5" s="134"/>
      <c r="AH5" s="134"/>
      <c r="AI5" s="134"/>
      <c r="AJ5" s="134"/>
      <c r="AK5" s="134"/>
      <c r="AL5" s="134"/>
      <c r="AM5" s="136"/>
      <c r="AN5" s="136"/>
    </row>
    <row r="6">
      <c r="A6" s="127" t="s">
        <v>410</v>
      </c>
      <c r="B6" s="137" t="s">
        <v>411</v>
      </c>
      <c r="C6" s="133">
        <f>sum(D6:AH6)</f>
        <v>22</v>
      </c>
      <c r="D6" s="133"/>
      <c r="E6" s="134">
        <v>9.0</v>
      </c>
      <c r="F6" s="134">
        <v>5.0</v>
      </c>
      <c r="G6" s="134">
        <v>8.0</v>
      </c>
      <c r="H6" s="134"/>
      <c r="I6" s="133"/>
      <c r="J6" s="133"/>
      <c r="K6" s="138"/>
      <c r="L6" s="139"/>
      <c r="M6" s="139"/>
      <c r="N6" s="139"/>
      <c r="O6" s="139"/>
      <c r="P6" s="135"/>
      <c r="Q6" s="135"/>
      <c r="R6" s="135"/>
      <c r="S6" s="140"/>
      <c r="T6" s="135"/>
      <c r="U6" s="140"/>
      <c r="V6" s="135"/>
      <c r="W6" s="135"/>
      <c r="X6" s="135"/>
      <c r="Y6" s="141"/>
      <c r="Z6" s="142"/>
      <c r="AA6" s="142"/>
      <c r="AB6" s="134"/>
      <c r="AC6" s="134"/>
      <c r="AD6" s="134"/>
      <c r="AE6" s="134"/>
      <c r="AF6" s="134"/>
      <c r="AG6" s="143"/>
      <c r="AH6" s="143"/>
      <c r="AI6" s="143"/>
      <c r="AJ6" s="143"/>
      <c r="AK6" s="143"/>
      <c r="AL6" s="143"/>
      <c r="AM6" s="144"/>
      <c r="AN6" s="144"/>
    </row>
    <row r="7">
      <c r="A7" s="127">
        <f>(A5-(C2 + C3))/30</f>
        <v>7640214.041</v>
      </c>
      <c r="B7" s="137" t="s">
        <v>412</v>
      </c>
      <c r="C7" s="133">
        <f>sum(D7:U7)</f>
        <v>0</v>
      </c>
      <c r="D7" s="133"/>
      <c r="E7" s="133"/>
      <c r="F7" s="133"/>
      <c r="G7" s="133"/>
      <c r="H7" s="133"/>
      <c r="I7" s="133"/>
      <c r="J7" s="133"/>
      <c r="K7" s="138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45"/>
      <c r="X7" s="141"/>
      <c r="Y7" s="141"/>
      <c r="Z7" s="142"/>
      <c r="AA7" s="142"/>
      <c r="AB7" s="142"/>
      <c r="AC7" s="142"/>
      <c r="AD7" s="143"/>
      <c r="AE7" s="143"/>
      <c r="AF7" s="143"/>
      <c r="AG7" s="143"/>
      <c r="AH7" s="143"/>
      <c r="AI7" s="143"/>
      <c r="AJ7" s="143"/>
      <c r="AK7" s="143"/>
      <c r="AL7" s="143"/>
      <c r="AM7" s="144"/>
      <c r="AN7" s="144"/>
    </row>
    <row r="8">
      <c r="A8" s="127"/>
      <c r="B8" s="146" t="s">
        <v>413</v>
      </c>
      <c r="C8" s="133"/>
      <c r="D8" s="133"/>
      <c r="E8" s="133"/>
      <c r="F8" s="133"/>
      <c r="G8" s="133"/>
      <c r="H8" s="147">
        <f>(A5-(C2 + C3))/30</f>
        <v>7640214.041</v>
      </c>
      <c r="I8" s="147" t="s">
        <v>414</v>
      </c>
      <c r="J8" s="147" t="s">
        <v>414</v>
      </c>
      <c r="K8" s="147" t="s">
        <v>414</v>
      </c>
      <c r="L8" s="147" t="s">
        <v>414</v>
      </c>
      <c r="M8" s="147" t="s">
        <v>414</v>
      </c>
      <c r="N8" s="147" t="s">
        <v>414</v>
      </c>
      <c r="O8" s="147" t="s">
        <v>414</v>
      </c>
      <c r="P8" s="147" t="s">
        <v>414</v>
      </c>
      <c r="Q8" s="147" t="s">
        <v>414</v>
      </c>
      <c r="R8" s="147" t="s">
        <v>414</v>
      </c>
      <c r="S8" s="147" t="s">
        <v>414</v>
      </c>
      <c r="T8" s="147" t="s">
        <v>414</v>
      </c>
      <c r="U8" s="147" t="s">
        <v>414</v>
      </c>
      <c r="V8" s="147" t="s">
        <v>414</v>
      </c>
      <c r="W8" s="147" t="s">
        <v>414</v>
      </c>
      <c r="X8" s="147" t="s">
        <v>414</v>
      </c>
      <c r="Y8" s="147" t="s">
        <v>414</v>
      </c>
      <c r="Z8" s="147" t="s">
        <v>414</v>
      </c>
      <c r="AA8" s="147" t="s">
        <v>414</v>
      </c>
      <c r="AB8" s="147" t="s">
        <v>414</v>
      </c>
      <c r="AC8" s="147" t="s">
        <v>414</v>
      </c>
      <c r="AD8" s="147" t="s">
        <v>414</v>
      </c>
      <c r="AE8" s="147" t="s">
        <v>414</v>
      </c>
      <c r="AF8" s="147" t="s">
        <v>414</v>
      </c>
      <c r="AG8" s="147" t="s">
        <v>414</v>
      </c>
      <c r="AH8" s="143"/>
      <c r="AI8" s="143"/>
      <c r="AJ8" s="143"/>
      <c r="AK8" s="143"/>
      <c r="AL8" s="143"/>
      <c r="AM8" s="144"/>
      <c r="AN8" s="144"/>
    </row>
    <row r="9">
      <c r="A9" s="127"/>
      <c r="B9" s="148" t="s">
        <v>415</v>
      </c>
      <c r="C9" s="133"/>
      <c r="D9" s="133"/>
      <c r="E9" s="133"/>
      <c r="F9" s="133"/>
      <c r="G9" s="133"/>
      <c r="H9" s="134" t="s">
        <v>416</v>
      </c>
      <c r="I9" s="134" t="s">
        <v>416</v>
      </c>
      <c r="J9" s="134" t="s">
        <v>416</v>
      </c>
      <c r="K9" s="134" t="s">
        <v>416</v>
      </c>
      <c r="L9" s="134" t="s">
        <v>416</v>
      </c>
      <c r="M9" s="134" t="s">
        <v>416</v>
      </c>
      <c r="N9" s="134" t="s">
        <v>416</v>
      </c>
      <c r="O9" s="134" t="s">
        <v>416</v>
      </c>
      <c r="P9" s="134" t="s">
        <v>416</v>
      </c>
      <c r="Q9" s="134" t="s">
        <v>416</v>
      </c>
      <c r="R9" s="134" t="s">
        <v>416</v>
      </c>
      <c r="S9" s="134" t="s">
        <v>416</v>
      </c>
      <c r="T9" s="134" t="s">
        <v>416</v>
      </c>
      <c r="U9" s="134" t="s">
        <v>416</v>
      </c>
      <c r="V9" s="134" t="s">
        <v>416</v>
      </c>
      <c r="W9" s="134" t="s">
        <v>416</v>
      </c>
      <c r="X9" s="134" t="s">
        <v>416</v>
      </c>
      <c r="Y9" s="134" t="s">
        <v>416</v>
      </c>
      <c r="Z9" s="134" t="s">
        <v>416</v>
      </c>
      <c r="AA9" s="134" t="s">
        <v>416</v>
      </c>
      <c r="AB9" s="134" t="s">
        <v>416</v>
      </c>
      <c r="AC9" s="134" t="s">
        <v>416</v>
      </c>
      <c r="AD9" s="134" t="s">
        <v>416</v>
      </c>
      <c r="AE9" s="134" t="s">
        <v>416</v>
      </c>
      <c r="AF9" s="134" t="s">
        <v>416</v>
      </c>
      <c r="AG9" s="134" t="s">
        <v>416</v>
      </c>
      <c r="AH9" s="143"/>
      <c r="AI9" s="143"/>
      <c r="AJ9" s="143"/>
      <c r="AK9" s="143"/>
      <c r="AL9" s="143"/>
      <c r="AM9" s="144"/>
      <c r="AN9" s="144"/>
    </row>
    <row r="10">
      <c r="A10" s="149" t="s">
        <v>417</v>
      </c>
      <c r="B10" s="150"/>
      <c r="C10" s="151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3"/>
      <c r="AD10" s="152"/>
      <c r="AE10" s="152"/>
      <c r="AF10" s="152"/>
      <c r="AG10" s="154" t="s">
        <v>418</v>
      </c>
      <c r="AH10" s="152"/>
      <c r="AI10" s="155"/>
      <c r="AJ10" s="155"/>
      <c r="AK10" s="155"/>
      <c r="AL10" s="155"/>
      <c r="AM10" s="152"/>
      <c r="AN10" s="152"/>
    </row>
    <row r="11">
      <c r="A11" s="113" t="s">
        <v>419</v>
      </c>
      <c r="B11" s="114"/>
      <c r="C11" s="115" t="s">
        <v>401</v>
      </c>
      <c r="D11" s="116" t="s">
        <v>402</v>
      </c>
      <c r="E11" s="116" t="s">
        <v>403</v>
      </c>
      <c r="F11" s="116" t="s">
        <v>404</v>
      </c>
      <c r="G11" s="116" t="s">
        <v>341</v>
      </c>
      <c r="H11" s="116" t="s">
        <v>405</v>
      </c>
      <c r="I11" s="117">
        <v>46174.0</v>
      </c>
      <c r="J11" s="117">
        <v>46175.0</v>
      </c>
      <c r="K11" s="117">
        <v>46176.0</v>
      </c>
      <c r="L11" s="117">
        <v>46177.0</v>
      </c>
      <c r="M11" s="117">
        <v>46178.0</v>
      </c>
      <c r="N11" s="117">
        <v>46179.0</v>
      </c>
      <c r="O11" s="117">
        <v>46180.0</v>
      </c>
      <c r="P11" s="117">
        <v>46181.0</v>
      </c>
      <c r="Q11" s="117">
        <v>46182.0</v>
      </c>
      <c r="R11" s="117">
        <v>46183.0</v>
      </c>
      <c r="S11" s="117">
        <v>46184.0</v>
      </c>
      <c r="T11" s="117">
        <v>46185.0</v>
      </c>
      <c r="U11" s="117">
        <v>46186.0</v>
      </c>
      <c r="V11" s="117">
        <v>46187.0</v>
      </c>
      <c r="W11" s="117">
        <v>46188.0</v>
      </c>
      <c r="X11" s="117">
        <v>46189.0</v>
      </c>
      <c r="Y11" s="117">
        <v>46190.0</v>
      </c>
      <c r="Z11" s="117">
        <v>46191.0</v>
      </c>
      <c r="AA11" s="117">
        <v>46192.0</v>
      </c>
      <c r="AB11" s="117">
        <v>46193.0</v>
      </c>
      <c r="AC11" s="117">
        <v>46194.0</v>
      </c>
      <c r="AD11" s="117">
        <v>46195.0</v>
      </c>
      <c r="AE11" s="117">
        <v>46196.0</v>
      </c>
      <c r="AF11" s="117">
        <v>46197.0</v>
      </c>
      <c r="AG11" s="117">
        <v>46198.0</v>
      </c>
      <c r="AH11" s="117">
        <v>46199.0</v>
      </c>
      <c r="AI11" s="117">
        <v>46200.0</v>
      </c>
      <c r="AJ11" s="117">
        <v>46201.0</v>
      </c>
      <c r="AK11" s="117">
        <v>46202.0</v>
      </c>
      <c r="AL11" s="117">
        <v>46203.0</v>
      </c>
      <c r="AM11" s="118"/>
      <c r="AN11" s="118"/>
    </row>
    <row r="12">
      <c r="A12" s="119" t="s">
        <v>51</v>
      </c>
      <c r="B12" s="120" t="s">
        <v>406</v>
      </c>
      <c r="C12" s="121">
        <f t="shared" ref="C12:C13" si="3">SUM(D12:AI12)</f>
        <v>40422633</v>
      </c>
      <c r="D12" s="120">
        <f>SUMIFS(RAW_organic!$V:$V, RAW_organic!$A:$A, $B5, RAW_organic!$K:$K, "OMG Makeup")</f>
        <v>0</v>
      </c>
      <c r="E12" s="122">
        <v>1067696.0</v>
      </c>
      <c r="F12" s="122">
        <v>3947061.0</v>
      </c>
      <c r="G12" s="122">
        <v>1865681.0</v>
      </c>
      <c r="H12" s="122">
        <v>2.1568927E7</v>
      </c>
      <c r="I12" s="122">
        <v>757630.0</v>
      </c>
      <c r="J12" s="122">
        <v>1456587.0</v>
      </c>
      <c r="K12" s="122">
        <v>1137163.0</v>
      </c>
      <c r="L12" s="122">
        <v>1496548.0</v>
      </c>
      <c r="M12" s="122">
        <v>1538336.0</v>
      </c>
      <c r="N12" s="122">
        <v>2472342.0</v>
      </c>
      <c r="O12" s="122">
        <v>1615211.0</v>
      </c>
      <c r="P12" s="122">
        <v>1233834.0</v>
      </c>
      <c r="Q12" s="122">
        <v>265617.0</v>
      </c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56"/>
      <c r="AI12" s="122"/>
      <c r="AJ12" s="122"/>
      <c r="AK12" s="122"/>
      <c r="AL12" s="122"/>
      <c r="AM12" s="123"/>
      <c r="AN12" s="123"/>
    </row>
    <row r="13">
      <c r="A13" s="124"/>
      <c r="B13" s="120" t="s">
        <v>8</v>
      </c>
      <c r="C13" s="121">
        <f t="shared" si="3"/>
        <v>632857535</v>
      </c>
      <c r="D13" s="122">
        <v>0.0</v>
      </c>
      <c r="E13" s="122">
        <v>0.0</v>
      </c>
      <c r="F13" s="122">
        <f>305116678</f>
        <v>305116678</v>
      </c>
      <c r="G13" s="122">
        <v>1.25748724E8</v>
      </c>
      <c r="H13" s="122">
        <v>1.19689816E8</v>
      </c>
      <c r="I13" s="122"/>
      <c r="J13" s="122">
        <v>5.998111E7</v>
      </c>
      <c r="K13" s="122"/>
      <c r="L13" s="126"/>
      <c r="M13" s="126"/>
      <c r="N13" s="126"/>
      <c r="O13" s="156"/>
      <c r="P13" s="126">
        <v>2.2321207E7</v>
      </c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3"/>
      <c r="AN13" s="123"/>
    </row>
    <row r="14">
      <c r="A14" s="127" t="s">
        <v>407</v>
      </c>
      <c r="B14" s="128" t="s">
        <v>408</v>
      </c>
      <c r="C14" s="129">
        <f>SUM(D14:AJ14)</f>
        <v>0.2693120672</v>
      </c>
      <c r="D14" s="129">
        <f t="shared" ref="D14:AL14" si="4">(D12+D13)/2500000000</f>
        <v>0</v>
      </c>
      <c r="E14" s="129">
        <f t="shared" si="4"/>
        <v>0.0004270784</v>
      </c>
      <c r="F14" s="129">
        <f t="shared" si="4"/>
        <v>0.1236254956</v>
      </c>
      <c r="G14" s="129">
        <f t="shared" si="4"/>
        <v>0.051045762</v>
      </c>
      <c r="H14" s="129">
        <f t="shared" si="4"/>
        <v>0.0565034972</v>
      </c>
      <c r="I14" s="129">
        <f t="shared" si="4"/>
        <v>0.000303052</v>
      </c>
      <c r="J14" s="129">
        <f t="shared" si="4"/>
        <v>0.0245750788</v>
      </c>
      <c r="K14" s="129">
        <f t="shared" si="4"/>
        <v>0.0004548652</v>
      </c>
      <c r="L14" s="129">
        <f t="shared" si="4"/>
        <v>0.0005986192</v>
      </c>
      <c r="M14" s="129">
        <f t="shared" si="4"/>
        <v>0.0006153344</v>
      </c>
      <c r="N14" s="129">
        <f t="shared" si="4"/>
        <v>0.0009889368</v>
      </c>
      <c r="O14" s="129">
        <f t="shared" si="4"/>
        <v>0.0006460844</v>
      </c>
      <c r="P14" s="129">
        <f t="shared" si="4"/>
        <v>0.0094220164</v>
      </c>
      <c r="Q14" s="129">
        <f t="shared" si="4"/>
        <v>0.0001062468</v>
      </c>
      <c r="R14" s="129">
        <f t="shared" si="4"/>
        <v>0</v>
      </c>
      <c r="S14" s="129">
        <f t="shared" si="4"/>
        <v>0</v>
      </c>
      <c r="T14" s="129">
        <f t="shared" si="4"/>
        <v>0</v>
      </c>
      <c r="U14" s="129">
        <f t="shared" si="4"/>
        <v>0</v>
      </c>
      <c r="V14" s="129">
        <f t="shared" si="4"/>
        <v>0</v>
      </c>
      <c r="W14" s="129">
        <f t="shared" si="4"/>
        <v>0</v>
      </c>
      <c r="X14" s="129">
        <f t="shared" si="4"/>
        <v>0</v>
      </c>
      <c r="Y14" s="129">
        <f t="shared" si="4"/>
        <v>0</v>
      </c>
      <c r="Z14" s="129">
        <f t="shared" si="4"/>
        <v>0</v>
      </c>
      <c r="AA14" s="129">
        <f t="shared" si="4"/>
        <v>0</v>
      </c>
      <c r="AB14" s="129">
        <f t="shared" si="4"/>
        <v>0</v>
      </c>
      <c r="AC14" s="129">
        <f t="shared" si="4"/>
        <v>0</v>
      </c>
      <c r="AD14" s="129">
        <f t="shared" si="4"/>
        <v>0</v>
      </c>
      <c r="AE14" s="129">
        <f t="shared" si="4"/>
        <v>0</v>
      </c>
      <c r="AF14" s="129">
        <f t="shared" si="4"/>
        <v>0</v>
      </c>
      <c r="AG14" s="129">
        <f t="shared" si="4"/>
        <v>0</v>
      </c>
      <c r="AH14" s="129">
        <f t="shared" si="4"/>
        <v>0</v>
      </c>
      <c r="AI14" s="129">
        <f t="shared" si="4"/>
        <v>0</v>
      </c>
      <c r="AJ14" s="129">
        <f t="shared" si="4"/>
        <v>0</v>
      </c>
      <c r="AK14" s="129">
        <f t="shared" si="4"/>
        <v>0</v>
      </c>
      <c r="AL14" s="129">
        <f t="shared" si="4"/>
        <v>0</v>
      </c>
      <c r="AM14" s="130"/>
      <c r="AN14" s="130"/>
    </row>
    <row r="15">
      <c r="A15" s="131">
        <v>2.5E9</v>
      </c>
      <c r="B15" s="132" t="s">
        <v>409</v>
      </c>
      <c r="C15" s="133">
        <f t="shared" ref="C15:C16" si="5">sum(D15:AH15)</f>
        <v>264</v>
      </c>
      <c r="D15" s="134">
        <v>15.0</v>
      </c>
      <c r="E15" s="134">
        <v>80.0</v>
      </c>
      <c r="F15" s="134">
        <v>42.0</v>
      </c>
      <c r="G15" s="134">
        <v>60.0</v>
      </c>
      <c r="H15" s="134">
        <v>58.0</v>
      </c>
      <c r="I15" s="134"/>
      <c r="J15" s="134">
        <v>3.0</v>
      </c>
      <c r="K15" s="135">
        <v>3.0</v>
      </c>
      <c r="L15" s="135">
        <v>3.0</v>
      </c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43"/>
      <c r="AL15" s="143"/>
      <c r="AM15" s="144"/>
      <c r="AN15" s="144"/>
    </row>
    <row r="16">
      <c r="A16" s="127" t="s">
        <v>410</v>
      </c>
      <c r="B16" s="137" t="s">
        <v>411</v>
      </c>
      <c r="C16" s="133">
        <f t="shared" si="5"/>
        <v>0</v>
      </c>
      <c r="D16" s="133"/>
      <c r="E16" s="133"/>
      <c r="F16" s="133"/>
      <c r="G16" s="133"/>
      <c r="H16" s="133"/>
      <c r="I16" s="133"/>
      <c r="J16" s="133"/>
      <c r="K16" s="138"/>
      <c r="L16" s="157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45"/>
      <c r="X16" s="145"/>
      <c r="Y16" s="139"/>
      <c r="Z16" s="143"/>
      <c r="AA16" s="143"/>
      <c r="AB16" s="143"/>
      <c r="AC16" s="143"/>
      <c r="AD16" s="143"/>
      <c r="AE16" s="143"/>
      <c r="AF16" s="133"/>
      <c r="AG16" s="133"/>
      <c r="AH16" s="133"/>
      <c r="AI16" s="133"/>
      <c r="AJ16" s="133"/>
      <c r="AK16" s="143"/>
      <c r="AL16" s="143"/>
      <c r="AM16" s="144"/>
      <c r="AN16" s="144"/>
    </row>
    <row r="17">
      <c r="A17" s="127">
        <f>(A15-(C12 + C13))/14</f>
        <v>130479988</v>
      </c>
      <c r="B17" s="137" t="s">
        <v>412</v>
      </c>
      <c r="C17" s="133">
        <f>sum(D17:U17)</f>
        <v>0</v>
      </c>
      <c r="D17" s="133"/>
      <c r="E17" s="133"/>
      <c r="F17" s="133"/>
      <c r="G17" s="133"/>
      <c r="H17" s="133"/>
      <c r="I17" s="133"/>
      <c r="J17" s="133"/>
      <c r="K17" s="138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45"/>
      <c r="X17" s="145"/>
      <c r="Y17" s="139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4"/>
      <c r="AN17" s="144"/>
    </row>
    <row r="18">
      <c r="A18" s="127"/>
      <c r="B18" s="158" t="s">
        <v>413</v>
      </c>
      <c r="C18" s="159"/>
      <c r="D18" s="159"/>
      <c r="E18" s="159"/>
      <c r="F18" s="159"/>
      <c r="G18" s="159"/>
      <c r="H18" s="147">
        <v>7.2078015E7</v>
      </c>
      <c r="I18" s="147">
        <v>7.2078015E7</v>
      </c>
      <c r="J18" s="147">
        <v>7.2078015E7</v>
      </c>
      <c r="K18" s="147">
        <v>7.2078015E7</v>
      </c>
      <c r="L18" s="147">
        <v>7.2078015E7</v>
      </c>
      <c r="M18" s="147">
        <v>7.2078015E7</v>
      </c>
      <c r="N18" s="147">
        <v>7.2078015E7</v>
      </c>
      <c r="O18" s="147">
        <v>7.2078015E7</v>
      </c>
      <c r="P18" s="147">
        <v>7.2078015E7</v>
      </c>
      <c r="Q18" s="147">
        <v>7.2078015E7</v>
      </c>
      <c r="R18" s="147">
        <v>7.2078015E7</v>
      </c>
      <c r="S18" s="147">
        <v>7.2078015E7</v>
      </c>
      <c r="T18" s="147">
        <v>7.2078015E7</v>
      </c>
      <c r="U18" s="147">
        <v>7.2078015E7</v>
      </c>
      <c r="V18" s="147">
        <v>7.2078015E7</v>
      </c>
      <c r="W18" s="147">
        <v>7.2078015E7</v>
      </c>
      <c r="X18" s="147">
        <v>7.2078015E7</v>
      </c>
      <c r="Y18" s="147">
        <v>7.2078015E7</v>
      </c>
      <c r="Z18" s="147">
        <v>7.2078015E7</v>
      </c>
      <c r="AA18" s="147">
        <v>7.2078015E7</v>
      </c>
      <c r="AB18" s="147">
        <v>7.2078015E7</v>
      </c>
      <c r="AC18" s="147">
        <v>7.2078015E7</v>
      </c>
      <c r="AD18" s="147">
        <v>7.2078015E7</v>
      </c>
      <c r="AE18" s="147">
        <v>7.2078015E7</v>
      </c>
      <c r="AF18" s="147">
        <v>7.2078015E7</v>
      </c>
      <c r="AG18" s="147">
        <v>7.2078015E7</v>
      </c>
      <c r="AH18" s="160"/>
      <c r="AI18" s="160"/>
      <c r="AJ18" s="160"/>
      <c r="AK18" s="160"/>
      <c r="AL18" s="160"/>
      <c r="AM18" s="161"/>
      <c r="AN18" s="161"/>
    </row>
    <row r="19">
      <c r="A19" s="127"/>
      <c r="B19" s="131" t="s">
        <v>415</v>
      </c>
      <c r="C19" s="159"/>
      <c r="D19" s="159"/>
      <c r="E19" s="159"/>
      <c r="F19" s="159"/>
      <c r="G19" s="159"/>
      <c r="H19" s="147" t="s">
        <v>420</v>
      </c>
      <c r="I19" s="147" t="s">
        <v>420</v>
      </c>
      <c r="J19" s="147" t="s">
        <v>420</v>
      </c>
      <c r="K19" s="147" t="s">
        <v>420</v>
      </c>
      <c r="L19" s="147" t="s">
        <v>420</v>
      </c>
      <c r="M19" s="147" t="s">
        <v>420</v>
      </c>
      <c r="N19" s="147" t="s">
        <v>420</v>
      </c>
      <c r="O19" s="147" t="s">
        <v>420</v>
      </c>
      <c r="P19" s="147" t="s">
        <v>420</v>
      </c>
      <c r="Q19" s="147" t="s">
        <v>420</v>
      </c>
      <c r="R19" s="147" t="s">
        <v>420</v>
      </c>
      <c r="S19" s="147" t="s">
        <v>420</v>
      </c>
      <c r="T19" s="147" t="s">
        <v>420</v>
      </c>
      <c r="U19" s="147" t="s">
        <v>420</v>
      </c>
      <c r="V19" s="147" t="s">
        <v>420</v>
      </c>
      <c r="W19" s="147" t="s">
        <v>420</v>
      </c>
      <c r="X19" s="147" t="s">
        <v>420</v>
      </c>
      <c r="Y19" s="147" t="s">
        <v>420</v>
      </c>
      <c r="Z19" s="147" t="s">
        <v>420</v>
      </c>
      <c r="AA19" s="147" t="s">
        <v>420</v>
      </c>
      <c r="AB19" s="147" t="s">
        <v>420</v>
      </c>
      <c r="AC19" s="147" t="s">
        <v>420</v>
      </c>
      <c r="AD19" s="147" t="s">
        <v>420</v>
      </c>
      <c r="AE19" s="147" t="s">
        <v>420</v>
      </c>
      <c r="AF19" s="147" t="s">
        <v>420</v>
      </c>
      <c r="AG19" s="147" t="s">
        <v>420</v>
      </c>
      <c r="AH19" s="160"/>
      <c r="AI19" s="160"/>
      <c r="AJ19" s="160"/>
      <c r="AK19" s="160"/>
      <c r="AL19" s="160"/>
      <c r="AM19" s="161"/>
      <c r="AN19" s="161"/>
    </row>
    <row r="20">
      <c r="A20" s="149" t="s">
        <v>417</v>
      </c>
      <c r="B20" s="162"/>
      <c r="C20" s="151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3"/>
      <c r="AD20" s="152"/>
      <c r="AE20" s="152"/>
      <c r="AF20" s="152"/>
      <c r="AG20" s="154" t="s">
        <v>418</v>
      </c>
      <c r="AH20" s="152"/>
      <c r="AI20" s="155"/>
      <c r="AJ20" s="155"/>
      <c r="AK20" s="155"/>
      <c r="AL20" s="155"/>
      <c r="AM20" s="152"/>
      <c r="AN20" s="152"/>
    </row>
    <row r="21">
      <c r="A21" s="163" t="s">
        <v>421</v>
      </c>
      <c r="B21" s="114"/>
      <c r="C21" s="164" t="s">
        <v>401</v>
      </c>
      <c r="D21" s="116" t="s">
        <v>403</v>
      </c>
      <c r="E21" s="116" t="s">
        <v>404</v>
      </c>
      <c r="F21" s="116" t="s">
        <v>341</v>
      </c>
      <c r="G21" s="116" t="s">
        <v>405</v>
      </c>
      <c r="H21" s="117">
        <v>46174.0</v>
      </c>
      <c r="I21" s="117">
        <v>46175.0</v>
      </c>
      <c r="J21" s="117">
        <v>46176.0</v>
      </c>
      <c r="K21" s="117">
        <v>46177.0</v>
      </c>
      <c r="L21" s="117">
        <v>46178.0</v>
      </c>
      <c r="M21" s="117">
        <v>46179.0</v>
      </c>
      <c r="N21" s="117">
        <v>46180.0</v>
      </c>
      <c r="O21" s="117">
        <v>46181.0</v>
      </c>
      <c r="P21" s="117">
        <v>46182.0</v>
      </c>
      <c r="Q21" s="117">
        <v>46183.0</v>
      </c>
      <c r="R21" s="117">
        <v>46184.0</v>
      </c>
      <c r="S21" s="117">
        <v>46185.0</v>
      </c>
      <c r="T21" s="117">
        <v>46186.0</v>
      </c>
      <c r="U21" s="117">
        <v>46187.0</v>
      </c>
      <c r="V21" s="117">
        <v>46188.0</v>
      </c>
      <c r="W21" s="117">
        <v>46189.0</v>
      </c>
      <c r="X21" s="117">
        <v>46190.0</v>
      </c>
      <c r="Y21" s="117">
        <v>46191.0</v>
      </c>
      <c r="Z21" s="117">
        <v>46192.0</v>
      </c>
      <c r="AA21" s="117">
        <v>46193.0</v>
      </c>
      <c r="AB21" s="117">
        <v>46194.0</v>
      </c>
      <c r="AC21" s="117">
        <v>46195.0</v>
      </c>
      <c r="AD21" s="117">
        <v>46196.0</v>
      </c>
      <c r="AE21" s="117">
        <v>46197.0</v>
      </c>
      <c r="AF21" s="117">
        <v>46198.0</v>
      </c>
      <c r="AG21" s="117">
        <v>46199.0</v>
      </c>
      <c r="AH21" s="117">
        <v>46200.0</v>
      </c>
      <c r="AI21" s="117">
        <v>46201.0</v>
      </c>
      <c r="AJ21" s="117">
        <v>46202.0</v>
      </c>
      <c r="AK21" s="117">
        <v>46203.0</v>
      </c>
      <c r="AL21" s="117"/>
      <c r="AM21" s="118"/>
      <c r="AN21" s="118"/>
    </row>
    <row r="22">
      <c r="A22" s="119" t="s">
        <v>109</v>
      </c>
      <c r="B22" s="120" t="s">
        <v>406</v>
      </c>
      <c r="C22" s="121">
        <f t="shared" ref="C22:C24" si="6">SUM(D22:AI22)</f>
        <v>36565797</v>
      </c>
      <c r="D22" s="122">
        <v>423975.0</v>
      </c>
      <c r="E22" s="165">
        <v>5791848.0</v>
      </c>
      <c r="F22" s="126">
        <v>1.3251415E7</v>
      </c>
      <c r="G22" s="122">
        <v>1.290481E7</v>
      </c>
      <c r="H22" s="122">
        <v>538369.0</v>
      </c>
      <c r="I22" s="122">
        <v>1116363.0</v>
      </c>
      <c r="J22" s="122">
        <v>651104.0</v>
      </c>
      <c r="K22" s="122">
        <v>369455.0</v>
      </c>
      <c r="L22" s="122">
        <v>485397.0</v>
      </c>
      <c r="M22" s="122">
        <v>286183.0</v>
      </c>
      <c r="N22" s="126">
        <v>653742.0</v>
      </c>
      <c r="O22" s="122">
        <v>93136.0</v>
      </c>
      <c r="P22" s="126"/>
      <c r="Q22" s="126"/>
      <c r="R22" s="126"/>
      <c r="S22" s="126"/>
      <c r="T22" s="126"/>
      <c r="U22" s="126"/>
      <c r="V22" s="126"/>
      <c r="W22" s="126"/>
      <c r="X22" s="126"/>
      <c r="Y22" s="122"/>
      <c r="Z22" s="122"/>
      <c r="AA22" s="122"/>
      <c r="AB22" s="122"/>
      <c r="AC22" s="126"/>
      <c r="AD22" s="122"/>
      <c r="AE22" s="122"/>
      <c r="AF22" s="122"/>
      <c r="AG22" s="122"/>
      <c r="AH22" s="122"/>
      <c r="AI22" s="122"/>
      <c r="AJ22" s="122"/>
      <c r="AK22" s="122"/>
      <c r="AL22" s="122"/>
      <c r="AM22" s="123"/>
      <c r="AN22" s="123"/>
    </row>
    <row r="23">
      <c r="A23" s="124"/>
      <c r="B23" s="120" t="s">
        <v>8</v>
      </c>
      <c r="C23" s="121">
        <f t="shared" si="6"/>
        <v>62095377.6</v>
      </c>
      <c r="D23" s="122">
        <v>0.0</v>
      </c>
      <c r="E23" s="125">
        <v>2.0603055E7</v>
      </c>
      <c r="F23" s="126">
        <v>1.7103524E7</v>
      </c>
      <c r="G23" s="122">
        <v>1.8772309E7</v>
      </c>
      <c r="H23" s="122"/>
      <c r="I23" s="122">
        <v>4681418.16</v>
      </c>
      <c r="J23" s="122"/>
      <c r="K23" s="122"/>
      <c r="L23" s="122"/>
      <c r="M23" s="122"/>
      <c r="N23" s="126"/>
      <c r="O23" s="122">
        <v>935071.44</v>
      </c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3"/>
      <c r="AN23" s="123"/>
    </row>
    <row r="24">
      <c r="A24" s="127" t="s">
        <v>407</v>
      </c>
      <c r="B24" s="128" t="s">
        <v>408</v>
      </c>
      <c r="C24" s="129">
        <f t="shared" si="6"/>
        <v>0.1973223492</v>
      </c>
      <c r="D24" s="129">
        <f t="shared" ref="D24:AK24" si="7">sum(D22:D23)/$A$25</f>
        <v>0.00084795</v>
      </c>
      <c r="E24" s="129">
        <f t="shared" si="7"/>
        <v>0.052789806</v>
      </c>
      <c r="F24" s="129">
        <f t="shared" si="7"/>
        <v>0.060709878</v>
      </c>
      <c r="G24" s="129">
        <f t="shared" si="7"/>
        <v>0.063354238</v>
      </c>
      <c r="H24" s="129">
        <f t="shared" si="7"/>
        <v>0.001076738</v>
      </c>
      <c r="I24" s="129">
        <f t="shared" si="7"/>
        <v>0.01159556232</v>
      </c>
      <c r="J24" s="129">
        <f t="shared" si="7"/>
        <v>0.001302208</v>
      </c>
      <c r="K24" s="129">
        <f t="shared" si="7"/>
        <v>0.00073891</v>
      </c>
      <c r="L24" s="129">
        <f t="shared" si="7"/>
        <v>0.000970794</v>
      </c>
      <c r="M24" s="129">
        <f t="shared" si="7"/>
        <v>0.000572366</v>
      </c>
      <c r="N24" s="129">
        <f t="shared" si="7"/>
        <v>0.001307484</v>
      </c>
      <c r="O24" s="129">
        <f t="shared" si="7"/>
        <v>0.00205641488</v>
      </c>
      <c r="P24" s="129">
        <f t="shared" si="7"/>
        <v>0</v>
      </c>
      <c r="Q24" s="129">
        <f t="shared" si="7"/>
        <v>0</v>
      </c>
      <c r="R24" s="129">
        <f t="shared" si="7"/>
        <v>0</v>
      </c>
      <c r="S24" s="129">
        <f t="shared" si="7"/>
        <v>0</v>
      </c>
      <c r="T24" s="129">
        <f t="shared" si="7"/>
        <v>0</v>
      </c>
      <c r="U24" s="129">
        <f t="shared" si="7"/>
        <v>0</v>
      </c>
      <c r="V24" s="129">
        <f t="shared" si="7"/>
        <v>0</v>
      </c>
      <c r="W24" s="129">
        <f t="shared" si="7"/>
        <v>0</v>
      </c>
      <c r="X24" s="129">
        <f t="shared" si="7"/>
        <v>0</v>
      </c>
      <c r="Y24" s="129">
        <f t="shared" si="7"/>
        <v>0</v>
      </c>
      <c r="Z24" s="129">
        <f t="shared" si="7"/>
        <v>0</v>
      </c>
      <c r="AA24" s="129">
        <f t="shared" si="7"/>
        <v>0</v>
      </c>
      <c r="AB24" s="129">
        <f t="shared" si="7"/>
        <v>0</v>
      </c>
      <c r="AC24" s="129">
        <f t="shared" si="7"/>
        <v>0</v>
      </c>
      <c r="AD24" s="129">
        <f t="shared" si="7"/>
        <v>0</v>
      </c>
      <c r="AE24" s="129">
        <f t="shared" si="7"/>
        <v>0</v>
      </c>
      <c r="AF24" s="129">
        <f t="shared" si="7"/>
        <v>0</v>
      </c>
      <c r="AG24" s="129">
        <f t="shared" si="7"/>
        <v>0</v>
      </c>
      <c r="AH24" s="129">
        <f t="shared" si="7"/>
        <v>0</v>
      </c>
      <c r="AI24" s="129">
        <f t="shared" si="7"/>
        <v>0</v>
      </c>
      <c r="AJ24" s="129">
        <f t="shared" si="7"/>
        <v>0</v>
      </c>
      <c r="AK24" s="129">
        <f t="shared" si="7"/>
        <v>0</v>
      </c>
      <c r="AL24" s="129"/>
      <c r="AM24" s="130"/>
      <c r="AN24" s="130"/>
    </row>
    <row r="25">
      <c r="A25" s="131">
        <v>5.0E8</v>
      </c>
      <c r="B25" s="132" t="s">
        <v>409</v>
      </c>
      <c r="C25" s="133">
        <f>sum(D25:AI25)</f>
        <v>279</v>
      </c>
      <c r="D25" s="134">
        <v>59.0</v>
      </c>
      <c r="E25" s="135">
        <v>80.0</v>
      </c>
      <c r="F25" s="135">
        <v>80.0</v>
      </c>
      <c r="G25" s="134">
        <v>50.0</v>
      </c>
      <c r="H25" s="134"/>
      <c r="I25" s="134">
        <v>3.0</v>
      </c>
      <c r="J25" s="134">
        <v>3.0</v>
      </c>
      <c r="K25" s="135">
        <v>4.0</v>
      </c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6"/>
      <c r="AN25" s="136"/>
    </row>
    <row r="26">
      <c r="A26" s="127" t="s">
        <v>410</v>
      </c>
      <c r="B26" s="137" t="s">
        <v>411</v>
      </c>
      <c r="C26" s="133">
        <f>sum(D26:AH26)</f>
        <v>2</v>
      </c>
      <c r="D26" s="133"/>
      <c r="E26" s="134">
        <v>2.0</v>
      </c>
      <c r="F26" s="133"/>
      <c r="G26" s="134"/>
      <c r="H26" s="133"/>
      <c r="I26" s="133"/>
      <c r="J26" s="133"/>
      <c r="K26" s="138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45"/>
      <c r="X26" s="145"/>
      <c r="Y26" s="139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4"/>
      <c r="AN26" s="144"/>
    </row>
    <row r="27">
      <c r="A27" s="127">
        <f>(A25-(C22 + C23))/80</f>
        <v>5016735.318</v>
      </c>
      <c r="B27" s="137" t="s">
        <v>412</v>
      </c>
      <c r="C27" s="133">
        <f>sum(D27:AI27)</f>
        <v>0</v>
      </c>
      <c r="D27" s="133"/>
      <c r="E27" s="133"/>
      <c r="F27" s="133"/>
      <c r="G27" s="133"/>
      <c r="H27" s="133"/>
      <c r="I27" s="133"/>
      <c r="J27" s="133"/>
      <c r="K27" s="138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45"/>
      <c r="X27" s="145"/>
      <c r="Y27" s="139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4"/>
      <c r="AN27" s="144"/>
    </row>
    <row r="28">
      <c r="A28" s="127"/>
      <c r="B28" s="158" t="s">
        <v>413</v>
      </c>
      <c r="C28" s="159"/>
      <c r="D28" s="159"/>
      <c r="E28" s="159"/>
      <c r="F28" s="159"/>
      <c r="G28" s="147">
        <v>2.6059775E7</v>
      </c>
      <c r="H28" s="147">
        <v>2.6059775E7</v>
      </c>
      <c r="I28" s="147">
        <v>2.6059775E7</v>
      </c>
      <c r="J28" s="147">
        <v>2.6059775E7</v>
      </c>
      <c r="K28" s="147">
        <v>2.6059775E7</v>
      </c>
      <c r="L28" s="147">
        <v>2.6059775E7</v>
      </c>
      <c r="M28" s="147">
        <v>2.6059775E7</v>
      </c>
      <c r="N28" s="147">
        <v>2.6059775E7</v>
      </c>
      <c r="O28" s="147">
        <v>2.6059775E7</v>
      </c>
      <c r="P28" s="147">
        <v>2.6059775E7</v>
      </c>
      <c r="Q28" s="147">
        <v>2.6059775E7</v>
      </c>
      <c r="R28" s="147">
        <v>2.6059775E7</v>
      </c>
      <c r="S28" s="147">
        <v>2.6059775E7</v>
      </c>
      <c r="T28" s="147">
        <v>2.6059775E7</v>
      </c>
      <c r="U28" s="147">
        <v>2.6059775E7</v>
      </c>
      <c r="V28" s="147">
        <v>2.6059775E7</v>
      </c>
      <c r="W28" s="147">
        <v>2.6059775E7</v>
      </c>
      <c r="X28" s="147">
        <v>2.6059775E7</v>
      </c>
      <c r="Y28" s="145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1"/>
      <c r="AN28" s="161"/>
    </row>
    <row r="29">
      <c r="A29" s="127"/>
      <c r="B29" s="131" t="s">
        <v>415</v>
      </c>
      <c r="C29" s="159"/>
      <c r="D29" s="159"/>
      <c r="E29" s="159"/>
      <c r="F29" s="159"/>
      <c r="G29" s="147"/>
      <c r="H29" s="147" t="s">
        <v>422</v>
      </c>
      <c r="I29" s="147" t="s">
        <v>422</v>
      </c>
      <c r="J29" s="147" t="s">
        <v>422</v>
      </c>
      <c r="K29" s="147" t="s">
        <v>422</v>
      </c>
      <c r="L29" s="147" t="s">
        <v>422</v>
      </c>
      <c r="M29" s="147" t="s">
        <v>422</v>
      </c>
      <c r="N29" s="147" t="s">
        <v>422</v>
      </c>
      <c r="O29" s="147" t="s">
        <v>422</v>
      </c>
      <c r="P29" s="147" t="s">
        <v>422</v>
      </c>
      <c r="Q29" s="147" t="s">
        <v>422</v>
      </c>
      <c r="R29" s="147" t="s">
        <v>422</v>
      </c>
      <c r="S29" s="147" t="s">
        <v>422</v>
      </c>
      <c r="T29" s="147" t="s">
        <v>422</v>
      </c>
      <c r="U29" s="147" t="s">
        <v>422</v>
      </c>
      <c r="V29" s="147" t="s">
        <v>422</v>
      </c>
      <c r="W29" s="147" t="s">
        <v>422</v>
      </c>
      <c r="X29" s="147" t="s">
        <v>422</v>
      </c>
      <c r="Y29" s="145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0"/>
      <c r="AL29" s="160"/>
      <c r="AM29" s="161"/>
      <c r="AN29" s="161"/>
    </row>
    <row r="30">
      <c r="A30" s="149" t="s">
        <v>423</v>
      </c>
      <c r="B30" s="166"/>
      <c r="C30" s="151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3"/>
      <c r="AD30" s="152"/>
      <c r="AE30" s="152"/>
      <c r="AF30" s="152"/>
      <c r="AG30" s="154" t="s">
        <v>418</v>
      </c>
      <c r="AH30" s="152"/>
      <c r="AI30" s="155"/>
      <c r="AJ30" s="155"/>
      <c r="AK30" s="155"/>
      <c r="AL30" s="155"/>
      <c r="AM30" s="152"/>
      <c r="AN30" s="152"/>
    </row>
    <row r="31">
      <c r="A31" s="113" t="s">
        <v>424</v>
      </c>
      <c r="B31" s="114"/>
      <c r="C31" s="115" t="s">
        <v>401</v>
      </c>
      <c r="D31" s="116" t="s">
        <v>425</v>
      </c>
      <c r="E31" s="116" t="s">
        <v>403</v>
      </c>
      <c r="F31" s="116" t="s">
        <v>404</v>
      </c>
      <c r="G31" s="116" t="s">
        <v>341</v>
      </c>
      <c r="H31" s="116" t="s">
        <v>405</v>
      </c>
      <c r="I31" s="117">
        <v>46174.0</v>
      </c>
      <c r="J31" s="117">
        <v>46175.0</v>
      </c>
      <c r="K31" s="117">
        <v>46176.0</v>
      </c>
      <c r="L31" s="117">
        <v>46177.0</v>
      </c>
      <c r="M31" s="117">
        <v>46178.0</v>
      </c>
      <c r="N31" s="117">
        <v>46179.0</v>
      </c>
      <c r="O31" s="117">
        <v>46180.0</v>
      </c>
      <c r="P31" s="117">
        <v>46181.0</v>
      </c>
      <c r="Q31" s="117">
        <v>46182.0</v>
      </c>
      <c r="R31" s="117">
        <v>46183.0</v>
      </c>
      <c r="S31" s="117">
        <v>46184.0</v>
      </c>
      <c r="T31" s="117">
        <v>46185.0</v>
      </c>
      <c r="U31" s="117">
        <v>46186.0</v>
      </c>
      <c r="V31" s="117">
        <v>46187.0</v>
      </c>
      <c r="W31" s="117">
        <v>46188.0</v>
      </c>
      <c r="X31" s="117">
        <v>46189.0</v>
      </c>
      <c r="Y31" s="117">
        <v>46190.0</v>
      </c>
      <c r="Z31" s="117">
        <v>46191.0</v>
      </c>
      <c r="AA31" s="117">
        <v>46192.0</v>
      </c>
      <c r="AB31" s="117">
        <v>46193.0</v>
      </c>
      <c r="AC31" s="117">
        <v>46194.0</v>
      </c>
      <c r="AD31" s="117">
        <v>46195.0</v>
      </c>
      <c r="AE31" s="117">
        <v>46196.0</v>
      </c>
      <c r="AF31" s="117">
        <v>46197.0</v>
      </c>
      <c r="AG31" s="117">
        <v>46198.0</v>
      </c>
      <c r="AH31" s="117">
        <v>46199.0</v>
      </c>
      <c r="AI31" s="117">
        <v>46200.0</v>
      </c>
      <c r="AJ31" s="117">
        <v>46201.0</v>
      </c>
      <c r="AK31" s="117">
        <v>46202.0</v>
      </c>
      <c r="AL31" s="117">
        <v>46203.0</v>
      </c>
      <c r="AM31" s="118"/>
      <c r="AN31" s="118"/>
    </row>
    <row r="32">
      <c r="A32" s="167" t="s">
        <v>379</v>
      </c>
      <c r="B32" s="168" t="s">
        <v>426</v>
      </c>
      <c r="C32" s="169">
        <f t="shared" ref="C32:C33" si="8">SUM(D32:AL32)</f>
        <v>2840</v>
      </c>
      <c r="D32" s="168">
        <v>171.0</v>
      </c>
      <c r="E32" s="170">
        <v>281.0</v>
      </c>
      <c r="F32" s="168">
        <v>619.0</v>
      </c>
      <c r="G32" s="168">
        <v>944.0</v>
      </c>
      <c r="H32" s="168">
        <v>459.0</v>
      </c>
      <c r="I32" s="168">
        <v>0.0</v>
      </c>
      <c r="J32" s="168">
        <v>66.0</v>
      </c>
      <c r="K32" s="168">
        <v>100.0</v>
      </c>
      <c r="L32" s="59">
        <v>119.0</v>
      </c>
      <c r="M32" s="59">
        <v>81.0</v>
      </c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168"/>
      <c r="AJ32" s="168"/>
      <c r="AK32" s="168"/>
      <c r="AL32" s="168"/>
      <c r="AM32" s="171"/>
      <c r="AN32" s="171"/>
    </row>
    <row r="33">
      <c r="A33" s="124"/>
      <c r="B33" s="168" t="s">
        <v>427</v>
      </c>
      <c r="C33" s="169">
        <f t="shared" si="8"/>
        <v>8323</v>
      </c>
      <c r="D33" s="168">
        <v>0.0</v>
      </c>
      <c r="E33" s="170">
        <v>290.0</v>
      </c>
      <c r="F33" s="168">
        <v>546.0</v>
      </c>
      <c r="G33" s="168">
        <v>1881.0</v>
      </c>
      <c r="H33" s="168">
        <v>4782.0</v>
      </c>
      <c r="I33" s="168">
        <v>0.0</v>
      </c>
      <c r="J33" s="168">
        <v>209.0</v>
      </c>
      <c r="K33" s="168">
        <v>150.0</v>
      </c>
      <c r="L33" s="59">
        <v>264.0</v>
      </c>
      <c r="M33" s="59">
        <v>201.0</v>
      </c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168"/>
      <c r="AJ33" s="168"/>
      <c r="AK33" s="168"/>
      <c r="AL33" s="168"/>
      <c r="AM33" s="171"/>
      <c r="AN33" s="171"/>
    </row>
    <row r="34">
      <c r="A34" s="131" t="s">
        <v>374</v>
      </c>
      <c r="B34" s="172">
        <v>3750.0</v>
      </c>
      <c r="C34" s="129">
        <f t="shared" ref="C34:C35" si="10">IFERROR(C32/B34,"N/A")</f>
        <v>0.7573333333</v>
      </c>
      <c r="D34" s="129">
        <f t="shared" ref="D34:D35" si="11">IFERROR(D32/B34,"N/A")</f>
        <v>0.0456</v>
      </c>
      <c r="E34" s="129">
        <f t="shared" ref="E34:E35" si="12">IFERROR(E32/B34,"N/A")</f>
        <v>0.07493333333</v>
      </c>
      <c r="F34" s="129">
        <f t="shared" ref="F34:F35" si="13">IFERROR(F32/B34,"N/A")</f>
        <v>0.1650666667</v>
      </c>
      <c r="G34" s="129">
        <f t="shared" ref="G34:G35" si="14">IFERROR(G32/B34,"N/A")</f>
        <v>0.2517333333</v>
      </c>
      <c r="H34" s="129">
        <f t="shared" ref="H34:H35" si="15">IFERROR(H32/B34,"N/A")</f>
        <v>0.1224</v>
      </c>
      <c r="I34" s="129">
        <f t="shared" ref="I34:I35" si="16">IFERROR(I32/B34,"N/A")</f>
        <v>0</v>
      </c>
      <c r="J34" s="129">
        <f t="shared" ref="J34:J35" si="17">IFERROR(J32/B34,"N/A")</f>
        <v>0.0176</v>
      </c>
      <c r="K34" s="129">
        <f t="shared" ref="K34:K35" si="18">IFERROR(K32/B34,"N/A")</f>
        <v>0.02666666667</v>
      </c>
      <c r="L34" s="129">
        <f t="shared" ref="L34:L35" si="19">IFERROR(L32/B34,"N/A")</f>
        <v>0.03173333333</v>
      </c>
      <c r="M34" s="129">
        <f t="shared" ref="M34:M35" si="20">IFERROR(M32/B34,"N/A")</f>
        <v>0.0216</v>
      </c>
      <c r="N34" s="129">
        <f t="shared" ref="N34:N35" si="21">IFERROR(N32/B34,"N/A")</f>
        <v>0</v>
      </c>
      <c r="O34" s="129">
        <f t="shared" ref="O34:O35" si="22">IFERROR(O32/B34,"N/A")</f>
        <v>0</v>
      </c>
      <c r="P34" s="129">
        <f t="shared" ref="P34:P35" si="23">IFERROR(P32/B34,"N/A")</f>
        <v>0</v>
      </c>
      <c r="Q34" s="129">
        <f t="shared" ref="Q34:Q35" si="24">IFERROR(Q32/B34,"N/A")</f>
        <v>0</v>
      </c>
      <c r="R34" s="129">
        <f t="shared" ref="R34:R35" si="25">IFERROR(R32/B34,"N/A")</f>
        <v>0</v>
      </c>
      <c r="S34" s="129">
        <f t="shared" ref="S34:S35" si="26">IFERROR(S32/B34,"N/A")</f>
        <v>0</v>
      </c>
      <c r="T34" s="129">
        <f t="shared" ref="T34:T35" si="27">IFERROR(T32/B34,"N/A")</f>
        <v>0</v>
      </c>
      <c r="U34" s="129">
        <f t="shared" ref="U34:U35" si="28">IFERROR(U32/B34,"N/A")</f>
        <v>0</v>
      </c>
      <c r="V34" s="129">
        <f t="shared" ref="V34:V35" si="29">IFERROR(V32/B34,"N/A")</f>
        <v>0</v>
      </c>
      <c r="W34" s="129">
        <f t="shared" ref="W34:W35" si="30">IFERROR(W32/B34,"N/A")</f>
        <v>0</v>
      </c>
      <c r="X34" s="129">
        <f t="shared" ref="X34:X35" si="31">IFERROR(X32/B34,"N/A")</f>
        <v>0</v>
      </c>
      <c r="Y34" s="129">
        <f t="shared" ref="Y34:Y35" si="32">IFERROR(Y32/B34,"N/A")</f>
        <v>0</v>
      </c>
      <c r="Z34" s="173">
        <f t="shared" ref="Z34:Z35" si="33">IFERROR(Z32/B34,"N/A")</f>
        <v>0</v>
      </c>
      <c r="AA34" s="173">
        <f t="shared" ref="AA34:AA35" si="34">IFERROR(AA32/B34,"N/A")</f>
        <v>0</v>
      </c>
      <c r="AB34" s="173">
        <f t="shared" ref="AB34:AB35" si="35">IFERROR(AB32/B34,"N/A")</f>
        <v>0</v>
      </c>
      <c r="AC34" s="173">
        <f t="shared" ref="AC34:AC35" si="36">IFERROR(AC32/B34,"N/A")</f>
        <v>0</v>
      </c>
      <c r="AD34" s="173">
        <f t="shared" ref="AD34:AD35" si="37">IFERROR(AD32/B34,"N/A")</f>
        <v>0</v>
      </c>
      <c r="AE34" s="129">
        <f t="shared" ref="AE34:AE35" si="38">IFERROR(AE32/B34,"N/A")</f>
        <v>0</v>
      </c>
      <c r="AF34" s="129">
        <f t="shared" ref="AF34:AF35" si="39">IFERROR(AF32/B34,"N/A")</f>
        <v>0</v>
      </c>
      <c r="AG34" s="173">
        <f t="shared" ref="AG34:AG35" si="40">IFERROR(AG32/B34,"N/A")</f>
        <v>0</v>
      </c>
      <c r="AH34" s="173">
        <f t="shared" ref="AH34:AH35" si="41">IFERROR(AH32/B34,"N/A")</f>
        <v>0</v>
      </c>
      <c r="AI34" s="173">
        <f t="shared" ref="AI34:AI35" si="42">IFERROR(AI32/B34,"N/A")</f>
        <v>0</v>
      </c>
      <c r="AJ34" s="173">
        <f t="shared" ref="AJ34:AL34" si="9">IFERROR(AJ32/B34,"N/A")</f>
        <v>0</v>
      </c>
      <c r="AK34" s="173">
        <f t="shared" si="9"/>
        <v>0</v>
      </c>
      <c r="AL34" s="173">
        <f t="shared" si="9"/>
        <v>0</v>
      </c>
      <c r="AM34" s="174"/>
      <c r="AN34" s="174"/>
    </row>
    <row r="35">
      <c r="A35" s="131" t="s">
        <v>375</v>
      </c>
      <c r="B35" s="172">
        <v>15000.0</v>
      </c>
      <c r="C35" s="129">
        <f t="shared" si="10"/>
        <v>0.5548666667</v>
      </c>
      <c r="D35" s="129">
        <f t="shared" si="11"/>
        <v>0</v>
      </c>
      <c r="E35" s="129">
        <f t="shared" si="12"/>
        <v>0.01933333333</v>
      </c>
      <c r="F35" s="129">
        <f t="shared" si="13"/>
        <v>0.0364</v>
      </c>
      <c r="G35" s="129">
        <f t="shared" si="14"/>
        <v>0.1254</v>
      </c>
      <c r="H35" s="129">
        <f t="shared" si="15"/>
        <v>0.3188</v>
      </c>
      <c r="I35" s="129">
        <f t="shared" si="16"/>
        <v>0</v>
      </c>
      <c r="J35" s="129">
        <f t="shared" si="17"/>
        <v>0.01393333333</v>
      </c>
      <c r="K35" s="129">
        <f t="shared" si="18"/>
        <v>0.01</v>
      </c>
      <c r="L35" s="129">
        <f t="shared" si="19"/>
        <v>0.0176</v>
      </c>
      <c r="M35" s="129">
        <f t="shared" si="20"/>
        <v>0.0134</v>
      </c>
      <c r="N35" s="129">
        <f t="shared" si="21"/>
        <v>0</v>
      </c>
      <c r="O35" s="129">
        <f t="shared" si="22"/>
        <v>0</v>
      </c>
      <c r="P35" s="129">
        <f t="shared" si="23"/>
        <v>0</v>
      </c>
      <c r="Q35" s="129">
        <f t="shared" si="24"/>
        <v>0</v>
      </c>
      <c r="R35" s="129">
        <f t="shared" si="25"/>
        <v>0</v>
      </c>
      <c r="S35" s="129">
        <f t="shared" si="26"/>
        <v>0</v>
      </c>
      <c r="T35" s="129">
        <f t="shared" si="27"/>
        <v>0</v>
      </c>
      <c r="U35" s="129">
        <f t="shared" si="28"/>
        <v>0</v>
      </c>
      <c r="V35" s="129">
        <f t="shared" si="29"/>
        <v>0</v>
      </c>
      <c r="W35" s="129">
        <f t="shared" si="30"/>
        <v>0</v>
      </c>
      <c r="X35" s="129">
        <f t="shared" si="31"/>
        <v>0</v>
      </c>
      <c r="Y35" s="129">
        <f t="shared" si="32"/>
        <v>0</v>
      </c>
      <c r="Z35" s="173">
        <f t="shared" si="33"/>
        <v>0</v>
      </c>
      <c r="AA35" s="173">
        <f t="shared" si="34"/>
        <v>0</v>
      </c>
      <c r="AB35" s="173">
        <f t="shared" si="35"/>
        <v>0</v>
      </c>
      <c r="AC35" s="173">
        <f t="shared" si="36"/>
        <v>0</v>
      </c>
      <c r="AD35" s="173">
        <f t="shared" si="37"/>
        <v>0</v>
      </c>
      <c r="AE35" s="129">
        <f t="shared" si="38"/>
        <v>0</v>
      </c>
      <c r="AF35" s="129">
        <f t="shared" si="39"/>
        <v>0</v>
      </c>
      <c r="AG35" s="173">
        <f t="shared" si="40"/>
        <v>0</v>
      </c>
      <c r="AH35" s="173">
        <f t="shared" si="41"/>
        <v>0</v>
      </c>
      <c r="AI35" s="173">
        <f t="shared" si="42"/>
        <v>0</v>
      </c>
      <c r="AJ35" s="173">
        <f t="shared" ref="AJ35:AL35" si="43">IFERROR(AJ33/B35,"N/A")</f>
        <v>0</v>
      </c>
      <c r="AK35" s="173">
        <f t="shared" si="43"/>
        <v>0</v>
      </c>
      <c r="AL35" s="173" t="str">
        <f t="shared" si="43"/>
        <v>N/A</v>
      </c>
      <c r="AM35" s="174"/>
      <c r="AN35" s="174"/>
    </row>
    <row r="36">
      <c r="A36" s="131" t="s">
        <v>428</v>
      </c>
      <c r="B36" s="132">
        <f t="shared" ref="B36:B37" si="44">B34/50</f>
        <v>75</v>
      </c>
      <c r="C36" s="133"/>
      <c r="D36" s="133"/>
      <c r="E36" s="133"/>
      <c r="F36" s="133"/>
      <c r="G36" s="133"/>
      <c r="H36" s="133"/>
      <c r="I36" s="133"/>
      <c r="J36" s="133"/>
      <c r="K36" s="135">
        <v>258.0</v>
      </c>
      <c r="L36" s="135">
        <v>258.0</v>
      </c>
      <c r="M36" s="135">
        <v>258.0</v>
      </c>
      <c r="N36" s="135">
        <v>258.0</v>
      </c>
      <c r="O36" s="135">
        <v>258.0</v>
      </c>
      <c r="P36" s="135">
        <v>258.0</v>
      </c>
      <c r="Q36" s="135">
        <v>258.0</v>
      </c>
      <c r="R36" s="139"/>
      <c r="S36" s="139"/>
      <c r="T36" s="139"/>
      <c r="U36" s="139"/>
      <c r="V36" s="139"/>
      <c r="W36" s="145"/>
      <c r="X36" s="145"/>
      <c r="Y36" s="139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4"/>
      <c r="AN36" s="144"/>
    </row>
    <row r="37">
      <c r="A37" s="131" t="s">
        <v>429</v>
      </c>
      <c r="B37" s="137">
        <f t="shared" si="44"/>
        <v>300</v>
      </c>
      <c r="C37" s="133"/>
      <c r="D37" s="133"/>
      <c r="E37" s="133"/>
      <c r="F37" s="133"/>
      <c r="G37" s="133"/>
      <c r="H37" s="133"/>
      <c r="I37" s="133"/>
      <c r="J37" s="133"/>
      <c r="K37" s="135">
        <v>1.791</v>
      </c>
      <c r="L37" s="135">
        <v>1.791</v>
      </c>
      <c r="M37" s="135">
        <v>1.791</v>
      </c>
      <c r="N37" s="135">
        <v>1.791</v>
      </c>
      <c r="O37" s="135">
        <v>1.791</v>
      </c>
      <c r="P37" s="135">
        <v>1.791</v>
      </c>
      <c r="Q37" s="135">
        <v>1.791</v>
      </c>
      <c r="R37" s="138"/>
      <c r="S37" s="139"/>
      <c r="T37" s="139"/>
      <c r="U37" s="139"/>
      <c r="V37" s="139"/>
      <c r="W37" s="145"/>
      <c r="X37" s="145"/>
      <c r="Y37" s="139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4"/>
      <c r="AN37" s="144"/>
    </row>
    <row r="38">
      <c r="A38" s="149" t="s">
        <v>430</v>
      </c>
      <c r="B38" s="162"/>
      <c r="C38" s="151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3"/>
      <c r="AD38" s="152"/>
      <c r="AE38" s="152"/>
      <c r="AF38" s="152"/>
      <c r="AG38" s="154" t="s">
        <v>418</v>
      </c>
      <c r="AH38" s="152"/>
      <c r="AI38" s="155"/>
      <c r="AJ38" s="155"/>
      <c r="AK38" s="155"/>
      <c r="AL38" s="155"/>
      <c r="AM38" s="152"/>
      <c r="AN38" s="152"/>
    </row>
    <row r="39" hidden="1">
      <c r="A39" s="113" t="s">
        <v>431</v>
      </c>
      <c r="B39" s="114"/>
      <c r="C39" s="115" t="s">
        <v>401</v>
      </c>
      <c r="D39" s="116" t="s">
        <v>403</v>
      </c>
      <c r="E39" s="116" t="s">
        <v>404</v>
      </c>
      <c r="F39" s="175">
        <v>46113.0</v>
      </c>
      <c r="G39" s="175">
        <v>46114.0</v>
      </c>
      <c r="H39" s="175">
        <v>46115.0</v>
      </c>
      <c r="I39" s="175">
        <v>46116.0</v>
      </c>
      <c r="J39" s="175">
        <v>46117.0</v>
      </c>
      <c r="K39" s="175">
        <v>46118.0</v>
      </c>
      <c r="L39" s="175">
        <v>46119.0</v>
      </c>
      <c r="M39" s="175">
        <v>46120.0</v>
      </c>
      <c r="N39" s="175">
        <v>46121.0</v>
      </c>
      <c r="O39" s="175">
        <v>46122.0</v>
      </c>
      <c r="P39" s="175">
        <v>46123.0</v>
      </c>
      <c r="Q39" s="175">
        <v>46124.0</v>
      </c>
      <c r="R39" s="175">
        <v>46125.0</v>
      </c>
      <c r="S39" s="175">
        <v>46126.0</v>
      </c>
      <c r="T39" s="175">
        <v>46127.0</v>
      </c>
      <c r="U39" s="175">
        <v>46128.0</v>
      </c>
      <c r="V39" s="175">
        <v>46129.0</v>
      </c>
      <c r="W39" s="175">
        <v>46130.0</v>
      </c>
      <c r="X39" s="175">
        <v>46131.0</v>
      </c>
      <c r="Y39" s="175">
        <v>46132.0</v>
      </c>
      <c r="Z39" s="175">
        <v>46133.0</v>
      </c>
      <c r="AA39" s="175">
        <v>46134.0</v>
      </c>
      <c r="AB39" s="175">
        <v>46135.0</v>
      </c>
      <c r="AC39" s="175">
        <v>46136.0</v>
      </c>
      <c r="AD39" s="175">
        <v>46137.0</v>
      </c>
      <c r="AE39" s="175">
        <v>46138.0</v>
      </c>
      <c r="AF39" s="175">
        <v>46139.0</v>
      </c>
      <c r="AG39" s="175">
        <v>46140.0</v>
      </c>
      <c r="AH39" s="175">
        <v>46141.0</v>
      </c>
      <c r="AI39" s="175">
        <v>46142.0</v>
      </c>
      <c r="AJ39" s="176"/>
      <c r="AK39" s="176"/>
      <c r="AL39" s="176"/>
      <c r="AM39" s="177"/>
      <c r="AN39" s="177"/>
    </row>
    <row r="40" ht="16.5" hidden="1" customHeight="1">
      <c r="A40" s="178" t="s">
        <v>384</v>
      </c>
      <c r="B40" s="179" t="s">
        <v>426</v>
      </c>
      <c r="C40" s="180">
        <f>SUM(D40:AH40)</f>
        <v>70</v>
      </c>
      <c r="D40" s="179">
        <v>70.0</v>
      </c>
      <c r="E40" s="179">
        <v>0.0</v>
      </c>
      <c r="F40" s="179"/>
      <c r="G40" s="179"/>
      <c r="H40" s="179"/>
      <c r="I40" s="179"/>
      <c r="J40" s="179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79"/>
      <c r="Z40" s="179"/>
      <c r="AA40" s="179"/>
      <c r="AB40" s="179"/>
      <c r="AC40" s="179"/>
      <c r="AD40" s="179"/>
      <c r="AE40" s="179"/>
      <c r="AF40" s="180"/>
      <c r="AG40" s="180"/>
      <c r="AH40" s="180"/>
      <c r="AI40" s="180"/>
      <c r="AJ40" s="180"/>
      <c r="AK40" s="180"/>
      <c r="AL40" s="180"/>
      <c r="AM40" s="182"/>
      <c r="AN40" s="182"/>
    </row>
    <row r="41" hidden="1">
      <c r="A41" s="124"/>
      <c r="B41" s="122" t="s">
        <v>427</v>
      </c>
      <c r="C41" s="180">
        <f>SUM(D41:AJ41)</f>
        <v>140</v>
      </c>
      <c r="D41" s="179">
        <v>60.0</v>
      </c>
      <c r="E41" s="179">
        <v>70.0</v>
      </c>
      <c r="F41" s="179">
        <v>1.0</v>
      </c>
      <c r="G41" s="179">
        <v>1.0</v>
      </c>
      <c r="H41" s="179">
        <v>1.0</v>
      </c>
      <c r="I41" s="179">
        <v>1.0</v>
      </c>
      <c r="J41" s="179">
        <v>1.0</v>
      </c>
      <c r="K41" s="181">
        <v>1.0</v>
      </c>
      <c r="L41" s="181">
        <v>1.0</v>
      </c>
      <c r="M41" s="181">
        <v>2.0</v>
      </c>
      <c r="N41" s="181">
        <v>1.0</v>
      </c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79"/>
      <c r="Z41" s="179"/>
      <c r="AA41" s="179"/>
      <c r="AB41" s="179"/>
      <c r="AC41" s="179"/>
      <c r="AD41" s="179"/>
      <c r="AE41" s="179"/>
      <c r="AF41" s="179"/>
      <c r="AG41" s="179"/>
      <c r="AH41" s="183"/>
      <c r="AI41" s="183"/>
      <c r="AJ41" s="120"/>
      <c r="AK41" s="120"/>
      <c r="AL41" s="120"/>
      <c r="AM41" s="184"/>
      <c r="AN41" s="184"/>
    </row>
    <row r="42" hidden="1">
      <c r="A42" s="131" t="s">
        <v>374</v>
      </c>
      <c r="B42" s="172">
        <v>70.0</v>
      </c>
      <c r="C42" s="129">
        <f t="shared" ref="C42:C43" si="45">IFERROR(C40/B42,"N/A")</f>
        <v>1</v>
      </c>
      <c r="D42" s="129"/>
      <c r="E42" s="129"/>
      <c r="F42" s="129"/>
      <c r="G42" s="129"/>
      <c r="H42" s="129"/>
      <c r="I42" s="129"/>
      <c r="J42" s="129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  <c r="AG42" s="173"/>
      <c r="AH42" s="173"/>
      <c r="AI42" s="173"/>
      <c r="AJ42" s="173"/>
      <c r="AK42" s="173"/>
      <c r="AL42" s="173"/>
      <c r="AM42" s="174"/>
      <c r="AN42" s="174"/>
    </row>
    <row r="43" hidden="1">
      <c r="A43" s="131" t="s">
        <v>375</v>
      </c>
      <c r="B43" s="172">
        <v>140.0</v>
      </c>
      <c r="C43" s="129">
        <f t="shared" si="45"/>
        <v>1</v>
      </c>
      <c r="D43" s="133"/>
      <c r="E43" s="133"/>
      <c r="F43" s="133"/>
      <c r="G43" s="133"/>
      <c r="H43" s="133"/>
      <c r="I43" s="133"/>
      <c r="J43" s="133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3"/>
      <c r="Z43" s="13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4"/>
      <c r="AN43" s="144"/>
    </row>
    <row r="44" hidden="1">
      <c r="A44" s="131" t="s">
        <v>432</v>
      </c>
      <c r="B44" s="132">
        <f t="shared" ref="B44:B45" si="46">B42/50</f>
        <v>1.4</v>
      </c>
      <c r="C44" s="185"/>
      <c r="D44" s="185"/>
      <c r="E44" s="185"/>
      <c r="F44" s="185"/>
      <c r="G44" s="185"/>
      <c r="H44" s="185"/>
      <c r="I44" s="185"/>
      <c r="J44" s="185"/>
      <c r="K44" s="186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8"/>
      <c r="X44" s="188"/>
      <c r="Y44" s="187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155"/>
      <c r="AM44" s="152"/>
      <c r="AN44" s="152"/>
    </row>
    <row r="45" hidden="1">
      <c r="A45" s="131" t="s">
        <v>433</v>
      </c>
      <c r="B45" s="137">
        <f t="shared" si="46"/>
        <v>2.8</v>
      </c>
      <c r="C45" s="185"/>
      <c r="D45" s="185"/>
      <c r="E45" s="185"/>
      <c r="F45" s="185"/>
      <c r="G45" s="185"/>
      <c r="H45" s="185"/>
      <c r="I45" s="185"/>
      <c r="J45" s="185"/>
      <c r="K45" s="186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8"/>
      <c r="X45" s="188"/>
      <c r="Y45" s="187"/>
      <c r="Z45" s="155"/>
      <c r="AA45" s="155"/>
      <c r="AB45" s="155"/>
      <c r="AC45" s="155"/>
      <c r="AD45" s="155"/>
      <c r="AE45" s="155"/>
      <c r="AF45" s="155"/>
      <c r="AG45" s="155"/>
      <c r="AH45" s="155"/>
      <c r="AI45" s="155"/>
      <c r="AJ45" s="155"/>
      <c r="AK45" s="155"/>
      <c r="AL45" s="155"/>
      <c r="AM45" s="152"/>
      <c r="AN45" s="152"/>
    </row>
    <row r="46" hidden="1">
      <c r="A46" s="149" t="s">
        <v>430</v>
      </c>
      <c r="B46" s="162"/>
      <c r="C46" s="151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3"/>
      <c r="AD46" s="152"/>
      <c r="AE46" s="152"/>
      <c r="AF46" s="152"/>
      <c r="AG46" s="154" t="s">
        <v>418</v>
      </c>
      <c r="AH46" s="152"/>
      <c r="AI46" s="155"/>
      <c r="AJ46" s="155"/>
      <c r="AK46" s="155"/>
      <c r="AL46" s="155"/>
      <c r="AM46" s="152"/>
      <c r="AN46" s="152"/>
    </row>
    <row r="47">
      <c r="A47" s="113" t="s">
        <v>434</v>
      </c>
      <c r="B47" s="114"/>
      <c r="C47" s="115" t="s">
        <v>401</v>
      </c>
      <c r="D47" s="116" t="s">
        <v>404</v>
      </c>
      <c r="E47" s="116" t="s">
        <v>341</v>
      </c>
      <c r="F47" s="116" t="s">
        <v>405</v>
      </c>
      <c r="G47" s="117">
        <v>46174.0</v>
      </c>
      <c r="H47" s="117">
        <v>46175.0</v>
      </c>
      <c r="I47" s="117">
        <v>46176.0</v>
      </c>
      <c r="J47" s="117">
        <v>46177.0</v>
      </c>
      <c r="K47" s="117">
        <v>46178.0</v>
      </c>
      <c r="L47" s="117">
        <v>46179.0</v>
      </c>
      <c r="M47" s="117">
        <v>46180.0</v>
      </c>
      <c r="N47" s="117">
        <v>46181.0</v>
      </c>
      <c r="O47" s="117">
        <v>46182.0</v>
      </c>
      <c r="P47" s="117">
        <v>46183.0</v>
      </c>
      <c r="Q47" s="117">
        <v>46184.0</v>
      </c>
      <c r="R47" s="117">
        <v>46185.0</v>
      </c>
      <c r="S47" s="117">
        <v>46186.0</v>
      </c>
      <c r="T47" s="117">
        <v>46187.0</v>
      </c>
      <c r="U47" s="117">
        <v>46188.0</v>
      </c>
      <c r="V47" s="117">
        <v>46189.0</v>
      </c>
      <c r="W47" s="117">
        <v>46190.0</v>
      </c>
      <c r="X47" s="117">
        <v>46191.0</v>
      </c>
      <c r="Y47" s="117">
        <v>46192.0</v>
      </c>
      <c r="Z47" s="117">
        <v>46193.0</v>
      </c>
      <c r="AA47" s="117">
        <v>46194.0</v>
      </c>
      <c r="AB47" s="117">
        <v>46195.0</v>
      </c>
      <c r="AC47" s="117">
        <v>46196.0</v>
      </c>
      <c r="AD47" s="117">
        <v>46197.0</v>
      </c>
      <c r="AE47" s="117">
        <v>46198.0</v>
      </c>
      <c r="AF47" s="117">
        <v>46199.0</v>
      </c>
      <c r="AG47" s="117">
        <v>46200.0</v>
      </c>
      <c r="AH47" s="117">
        <v>46201.0</v>
      </c>
      <c r="AI47" s="117">
        <v>46202.0</v>
      </c>
      <c r="AJ47" s="117">
        <v>46203.0</v>
      </c>
      <c r="AK47" s="117">
        <v>46174.0</v>
      </c>
      <c r="AL47" s="117">
        <v>46175.0</v>
      </c>
      <c r="AM47" s="118"/>
      <c r="AN47" s="118"/>
    </row>
    <row r="48">
      <c r="A48" s="119" t="s">
        <v>102</v>
      </c>
      <c r="B48" s="120" t="s">
        <v>406</v>
      </c>
      <c r="C48" s="121">
        <f t="shared" ref="C48:C50" si="47">SUM(D48:AH48)</f>
        <v>13204326</v>
      </c>
      <c r="D48" s="122">
        <v>467492.0</v>
      </c>
      <c r="E48" s="122">
        <v>2212382.0</v>
      </c>
      <c r="F48" s="189">
        <v>9831571.0</v>
      </c>
      <c r="G48" s="122"/>
      <c r="H48" s="189">
        <v>165766.0</v>
      </c>
      <c r="I48" s="189">
        <v>527115.0</v>
      </c>
      <c r="J48" s="189"/>
      <c r="K48" s="189"/>
      <c r="L48" s="189"/>
      <c r="M48" s="189"/>
      <c r="N48" s="189"/>
      <c r="O48" s="189"/>
      <c r="P48" s="189"/>
      <c r="Q48" s="122"/>
      <c r="R48" s="189"/>
      <c r="S48" s="122"/>
      <c r="T48" s="122"/>
      <c r="U48" s="122"/>
      <c r="V48" s="122"/>
      <c r="W48" s="122"/>
      <c r="X48" s="122"/>
      <c r="Y48" s="122"/>
      <c r="Z48" s="122"/>
      <c r="AA48" s="190"/>
      <c r="AB48" s="190"/>
      <c r="AC48" s="190"/>
      <c r="AD48" s="191"/>
      <c r="AE48" s="191"/>
      <c r="AF48" s="191"/>
      <c r="AG48" s="191"/>
      <c r="AH48" s="189"/>
      <c r="AI48" s="189"/>
      <c r="AJ48" s="120"/>
      <c r="AK48" s="120"/>
      <c r="AL48" s="120"/>
      <c r="AM48" s="184"/>
      <c r="AN48" s="184"/>
    </row>
    <row r="49">
      <c r="A49" s="124"/>
      <c r="B49" s="120" t="s">
        <v>8</v>
      </c>
      <c r="C49" s="121">
        <f t="shared" si="47"/>
        <v>0</v>
      </c>
      <c r="D49" s="122">
        <v>0.0</v>
      </c>
      <c r="E49" s="122">
        <v>0.0</v>
      </c>
      <c r="F49" s="122">
        <v>0.0</v>
      </c>
      <c r="G49" s="122">
        <v>0.0</v>
      </c>
      <c r="H49" s="122">
        <v>0.0</v>
      </c>
      <c r="I49" s="122">
        <v>0.0</v>
      </c>
      <c r="J49" s="122">
        <v>0.0</v>
      </c>
      <c r="K49" s="122">
        <v>0.0</v>
      </c>
      <c r="L49" s="122">
        <v>0.0</v>
      </c>
      <c r="M49" s="122">
        <v>0.0</v>
      </c>
      <c r="N49" s="122">
        <v>0.0</v>
      </c>
      <c r="O49" s="122">
        <v>0.0</v>
      </c>
      <c r="P49" s="122">
        <v>0.0</v>
      </c>
      <c r="Q49" s="122">
        <v>0.0</v>
      </c>
      <c r="R49" s="122">
        <v>0.0</v>
      </c>
      <c r="S49" s="122">
        <v>0.0</v>
      </c>
      <c r="T49" s="122">
        <v>0.0</v>
      </c>
      <c r="U49" s="122">
        <v>0.0</v>
      </c>
      <c r="V49" s="122">
        <v>0.0</v>
      </c>
      <c r="W49" s="122">
        <v>0.0</v>
      </c>
      <c r="X49" s="122">
        <v>0.0</v>
      </c>
      <c r="Y49" s="126">
        <v>0.0</v>
      </c>
      <c r="Z49" s="126"/>
      <c r="AA49" s="122"/>
      <c r="AB49" s="122"/>
      <c r="AC49" s="122"/>
      <c r="AD49" s="122"/>
      <c r="AE49" s="122"/>
      <c r="AF49" s="122"/>
      <c r="AG49" s="120"/>
      <c r="AH49" s="120"/>
      <c r="AI49" s="120"/>
      <c r="AJ49" s="120"/>
      <c r="AK49" s="120"/>
      <c r="AL49" s="120"/>
      <c r="AM49" s="184"/>
      <c r="AN49" s="184"/>
    </row>
    <row r="50">
      <c r="A50" s="127" t="s">
        <v>407</v>
      </c>
      <c r="B50" s="128" t="s">
        <v>408</v>
      </c>
      <c r="C50" s="129">
        <f t="shared" si="47"/>
        <v>0.026408652</v>
      </c>
      <c r="D50" s="129">
        <f t="shared" ref="D50:AJ50" si="48">sum(D48:D49)/$A$25</f>
        <v>0.000934984</v>
      </c>
      <c r="E50" s="129">
        <f t="shared" si="48"/>
        <v>0.004424764</v>
      </c>
      <c r="F50" s="129">
        <f t="shared" si="48"/>
        <v>0.019663142</v>
      </c>
      <c r="G50" s="129">
        <f t="shared" si="48"/>
        <v>0</v>
      </c>
      <c r="H50" s="129">
        <f t="shared" si="48"/>
        <v>0.000331532</v>
      </c>
      <c r="I50" s="129">
        <f t="shared" si="48"/>
        <v>0.00105423</v>
      </c>
      <c r="J50" s="129">
        <f t="shared" si="48"/>
        <v>0</v>
      </c>
      <c r="K50" s="129">
        <f t="shared" si="48"/>
        <v>0</v>
      </c>
      <c r="L50" s="129">
        <f t="shared" si="48"/>
        <v>0</v>
      </c>
      <c r="M50" s="129">
        <f t="shared" si="48"/>
        <v>0</v>
      </c>
      <c r="N50" s="129">
        <f t="shared" si="48"/>
        <v>0</v>
      </c>
      <c r="O50" s="129">
        <f t="shared" si="48"/>
        <v>0</v>
      </c>
      <c r="P50" s="129">
        <f t="shared" si="48"/>
        <v>0</v>
      </c>
      <c r="Q50" s="129">
        <f t="shared" si="48"/>
        <v>0</v>
      </c>
      <c r="R50" s="129">
        <f t="shared" si="48"/>
        <v>0</v>
      </c>
      <c r="S50" s="129">
        <f t="shared" si="48"/>
        <v>0</v>
      </c>
      <c r="T50" s="129">
        <f t="shared" si="48"/>
        <v>0</v>
      </c>
      <c r="U50" s="129">
        <f t="shared" si="48"/>
        <v>0</v>
      </c>
      <c r="V50" s="129">
        <f t="shared" si="48"/>
        <v>0</v>
      </c>
      <c r="W50" s="129">
        <f t="shared" si="48"/>
        <v>0</v>
      </c>
      <c r="X50" s="129">
        <f t="shared" si="48"/>
        <v>0</v>
      </c>
      <c r="Y50" s="129">
        <f t="shared" si="48"/>
        <v>0</v>
      </c>
      <c r="Z50" s="129">
        <f t="shared" si="48"/>
        <v>0</v>
      </c>
      <c r="AA50" s="129">
        <f t="shared" si="48"/>
        <v>0</v>
      </c>
      <c r="AB50" s="129">
        <f t="shared" si="48"/>
        <v>0</v>
      </c>
      <c r="AC50" s="129">
        <f t="shared" si="48"/>
        <v>0</v>
      </c>
      <c r="AD50" s="129">
        <f t="shared" si="48"/>
        <v>0</v>
      </c>
      <c r="AE50" s="129">
        <f t="shared" si="48"/>
        <v>0</v>
      </c>
      <c r="AF50" s="129">
        <f t="shared" si="48"/>
        <v>0</v>
      </c>
      <c r="AG50" s="129">
        <f t="shared" si="48"/>
        <v>0</v>
      </c>
      <c r="AH50" s="129">
        <f t="shared" si="48"/>
        <v>0</v>
      </c>
      <c r="AI50" s="129">
        <f t="shared" si="48"/>
        <v>0</v>
      </c>
      <c r="AJ50" s="129">
        <f t="shared" si="48"/>
        <v>0</v>
      </c>
      <c r="AK50" s="173"/>
      <c r="AL50" s="173"/>
      <c r="AM50" s="174"/>
      <c r="AN50" s="174"/>
    </row>
    <row r="51">
      <c r="A51" s="131">
        <v>1.5E8</v>
      </c>
      <c r="B51" s="132" t="s">
        <v>409</v>
      </c>
      <c r="C51" s="133">
        <f t="shared" ref="C51:C52" si="49">sum(D51:AH51)</f>
        <v>397</v>
      </c>
      <c r="D51" s="134">
        <v>125.0</v>
      </c>
      <c r="E51" s="134">
        <v>200.0</v>
      </c>
      <c r="F51" s="134">
        <v>0.0</v>
      </c>
      <c r="G51" s="134">
        <v>0.0</v>
      </c>
      <c r="H51" s="134">
        <v>10.0</v>
      </c>
      <c r="I51" s="134">
        <v>5.0</v>
      </c>
      <c r="J51" s="134">
        <v>5.0</v>
      </c>
      <c r="K51" s="135">
        <v>5.0</v>
      </c>
      <c r="L51" s="135">
        <v>3.0</v>
      </c>
      <c r="M51" s="135">
        <v>5.0</v>
      </c>
      <c r="N51" s="135">
        <v>0.0</v>
      </c>
      <c r="O51" s="135">
        <v>0.0</v>
      </c>
      <c r="P51" s="135">
        <v>5.0</v>
      </c>
      <c r="Q51" s="135">
        <v>5.0</v>
      </c>
      <c r="R51" s="135">
        <v>3.0</v>
      </c>
      <c r="S51" s="135">
        <v>0.0</v>
      </c>
      <c r="T51" s="135">
        <v>2.0</v>
      </c>
      <c r="U51" s="135">
        <v>0.0</v>
      </c>
      <c r="V51" s="135">
        <v>0.0</v>
      </c>
      <c r="W51" s="135">
        <v>3.0</v>
      </c>
      <c r="X51" s="135">
        <v>5.0</v>
      </c>
      <c r="Y51" s="134">
        <v>5.0</v>
      </c>
      <c r="Z51" s="134">
        <v>3.0</v>
      </c>
      <c r="AA51" s="134">
        <v>5.0</v>
      </c>
      <c r="AB51" s="134">
        <v>0.0</v>
      </c>
      <c r="AC51" s="134">
        <v>0.0</v>
      </c>
      <c r="AD51" s="134">
        <v>3.0</v>
      </c>
      <c r="AE51" s="134"/>
      <c r="AF51" s="134"/>
      <c r="AG51" s="143"/>
      <c r="AH51" s="143"/>
      <c r="AI51" s="143"/>
      <c r="AJ51" s="143"/>
      <c r="AK51" s="143"/>
      <c r="AL51" s="143"/>
      <c r="AM51" s="144"/>
      <c r="AN51" s="144"/>
    </row>
    <row r="52">
      <c r="A52" s="127" t="s">
        <v>410</v>
      </c>
      <c r="B52" s="137" t="s">
        <v>411</v>
      </c>
      <c r="C52" s="133">
        <f t="shared" si="49"/>
        <v>0</v>
      </c>
      <c r="D52" s="133"/>
      <c r="E52" s="133"/>
      <c r="F52" s="133"/>
      <c r="G52" s="133"/>
      <c r="H52" s="133"/>
      <c r="I52" s="133"/>
      <c r="J52" s="133"/>
      <c r="K52" s="138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45"/>
      <c r="X52" s="145"/>
      <c r="Y52" s="139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4"/>
      <c r="AN52" s="144"/>
    </row>
    <row r="53">
      <c r="A53" s="127">
        <f>(A51-(C48 + C49))/80</f>
        <v>1709945.925</v>
      </c>
      <c r="B53" s="137" t="s">
        <v>412</v>
      </c>
      <c r="C53" s="133">
        <f>sum(D53:U53)</f>
        <v>0</v>
      </c>
      <c r="D53" s="133"/>
      <c r="E53" s="133"/>
      <c r="F53" s="133"/>
      <c r="G53" s="133"/>
      <c r="H53" s="133"/>
      <c r="I53" s="133"/>
      <c r="J53" s="133"/>
      <c r="K53" s="138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45"/>
      <c r="X53" s="145"/>
      <c r="Y53" s="139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4"/>
      <c r="AN53" s="144"/>
    </row>
    <row r="54">
      <c r="A54" s="127"/>
      <c r="B54" s="158" t="s">
        <v>413</v>
      </c>
      <c r="C54" s="159"/>
      <c r="D54" s="159"/>
      <c r="E54" s="159"/>
      <c r="F54" s="159"/>
      <c r="G54" s="159"/>
      <c r="H54" s="147">
        <v>4613013.0</v>
      </c>
      <c r="I54" s="147">
        <v>4613013.0</v>
      </c>
      <c r="J54" s="147">
        <v>4613013.0</v>
      </c>
      <c r="K54" s="147">
        <v>4613013.0</v>
      </c>
      <c r="L54" s="147">
        <v>4613013.0</v>
      </c>
      <c r="M54" s="147">
        <v>4613013.0</v>
      </c>
      <c r="N54" s="147">
        <v>4613013.0</v>
      </c>
      <c r="O54" s="147">
        <v>4613013.0</v>
      </c>
      <c r="P54" s="147">
        <v>4613013.0</v>
      </c>
      <c r="Q54" s="147">
        <v>4613013.0</v>
      </c>
      <c r="R54" s="147">
        <v>4613013.0</v>
      </c>
      <c r="S54" s="147">
        <v>4613013.0</v>
      </c>
      <c r="T54" s="147">
        <v>4613013.0</v>
      </c>
      <c r="U54" s="147">
        <v>4613013.0</v>
      </c>
      <c r="V54" s="147">
        <v>4613013.0</v>
      </c>
      <c r="W54" s="147">
        <v>4613013.0</v>
      </c>
      <c r="X54" s="147">
        <v>4613013.0</v>
      </c>
      <c r="Y54" s="147">
        <v>4613013.0</v>
      </c>
      <c r="Z54" s="147">
        <v>4613013.0</v>
      </c>
      <c r="AA54" s="147">
        <v>4613013.0</v>
      </c>
      <c r="AB54" s="147">
        <v>4613013.0</v>
      </c>
      <c r="AC54" s="147">
        <v>4613013.0</v>
      </c>
      <c r="AD54" s="147">
        <v>4613013.0</v>
      </c>
      <c r="AE54" s="147">
        <v>4613013.0</v>
      </c>
      <c r="AF54" s="147">
        <v>4613013.0</v>
      </c>
      <c r="AG54" s="147">
        <v>4613013.0</v>
      </c>
      <c r="AH54" s="147">
        <v>4613013.0</v>
      </c>
      <c r="AI54" s="147">
        <v>4613013.0</v>
      </c>
      <c r="AJ54" s="147">
        <v>4613013.0</v>
      </c>
      <c r="AK54" s="147">
        <v>4613013.0</v>
      </c>
      <c r="AL54" s="147">
        <v>4613013.0</v>
      </c>
      <c r="AM54" s="192"/>
      <c r="AN54" s="192"/>
    </row>
    <row r="55">
      <c r="A55" s="127"/>
      <c r="B55" s="131" t="s">
        <v>415</v>
      </c>
      <c r="C55" s="159"/>
      <c r="D55" s="159"/>
      <c r="E55" s="159"/>
      <c r="F55" s="159"/>
      <c r="G55" s="159"/>
      <c r="H55" s="147" t="s">
        <v>435</v>
      </c>
      <c r="I55" s="147" t="s">
        <v>435</v>
      </c>
      <c r="J55" s="147" t="s">
        <v>435</v>
      </c>
      <c r="K55" s="147" t="s">
        <v>435</v>
      </c>
      <c r="L55" s="147" t="s">
        <v>435</v>
      </c>
      <c r="M55" s="147" t="s">
        <v>435</v>
      </c>
      <c r="N55" s="147" t="s">
        <v>435</v>
      </c>
      <c r="O55" s="147" t="s">
        <v>435</v>
      </c>
      <c r="P55" s="147" t="s">
        <v>435</v>
      </c>
      <c r="Q55" s="147" t="s">
        <v>435</v>
      </c>
      <c r="R55" s="147" t="s">
        <v>435</v>
      </c>
      <c r="S55" s="147" t="s">
        <v>435</v>
      </c>
      <c r="T55" s="147" t="s">
        <v>435</v>
      </c>
      <c r="U55" s="147" t="s">
        <v>435</v>
      </c>
      <c r="V55" s="147" t="s">
        <v>435</v>
      </c>
      <c r="W55" s="147" t="s">
        <v>435</v>
      </c>
      <c r="X55" s="147" t="s">
        <v>435</v>
      </c>
      <c r="Y55" s="147" t="s">
        <v>435</v>
      </c>
      <c r="Z55" s="147" t="s">
        <v>435</v>
      </c>
      <c r="AA55" s="147" t="s">
        <v>435</v>
      </c>
      <c r="AB55" s="147" t="s">
        <v>435</v>
      </c>
      <c r="AC55" s="147" t="s">
        <v>435</v>
      </c>
      <c r="AD55" s="147" t="s">
        <v>435</v>
      </c>
      <c r="AE55" s="147" t="s">
        <v>435</v>
      </c>
      <c r="AF55" s="147" t="s">
        <v>435</v>
      </c>
      <c r="AG55" s="147" t="s">
        <v>435</v>
      </c>
      <c r="AH55" s="147" t="s">
        <v>435</v>
      </c>
      <c r="AI55" s="147" t="s">
        <v>435</v>
      </c>
      <c r="AJ55" s="147" t="s">
        <v>435</v>
      </c>
      <c r="AK55" s="147" t="s">
        <v>435</v>
      </c>
      <c r="AL55" s="147" t="s">
        <v>435</v>
      </c>
      <c r="AM55" s="192"/>
      <c r="AN55" s="192"/>
    </row>
    <row r="56">
      <c r="A56" s="149" t="s">
        <v>436</v>
      </c>
      <c r="B56" s="162"/>
      <c r="C56" s="151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3"/>
      <c r="AD56" s="152"/>
      <c r="AE56" s="152"/>
      <c r="AF56" s="152"/>
      <c r="AG56" s="154" t="s">
        <v>418</v>
      </c>
      <c r="AH56" s="152"/>
      <c r="AI56" s="155"/>
      <c r="AJ56" s="155"/>
      <c r="AK56" s="155"/>
      <c r="AL56" s="155"/>
      <c r="AM56" s="152"/>
      <c r="AN56" s="152"/>
    </row>
    <row r="57">
      <c r="A57" s="113" t="s">
        <v>437</v>
      </c>
      <c r="B57" s="114"/>
      <c r="C57" s="115" t="s">
        <v>401</v>
      </c>
      <c r="D57" s="116" t="s">
        <v>404</v>
      </c>
      <c r="E57" s="116" t="s">
        <v>341</v>
      </c>
      <c r="F57" s="116" t="s">
        <v>405</v>
      </c>
      <c r="G57" s="117">
        <v>46174.0</v>
      </c>
      <c r="H57" s="117">
        <v>46175.0</v>
      </c>
      <c r="I57" s="117">
        <v>46176.0</v>
      </c>
      <c r="J57" s="117">
        <v>46177.0</v>
      </c>
      <c r="K57" s="117">
        <v>46178.0</v>
      </c>
      <c r="L57" s="117">
        <v>46179.0</v>
      </c>
      <c r="M57" s="117">
        <v>46180.0</v>
      </c>
      <c r="N57" s="117">
        <v>46181.0</v>
      </c>
      <c r="O57" s="117">
        <v>46182.0</v>
      </c>
      <c r="P57" s="117">
        <v>46183.0</v>
      </c>
      <c r="Q57" s="117">
        <v>46184.0</v>
      </c>
      <c r="R57" s="117">
        <v>46185.0</v>
      </c>
      <c r="S57" s="117">
        <v>46186.0</v>
      </c>
      <c r="T57" s="117">
        <v>46187.0</v>
      </c>
      <c r="U57" s="117">
        <v>46188.0</v>
      </c>
      <c r="V57" s="117">
        <v>46189.0</v>
      </c>
      <c r="W57" s="117">
        <v>46190.0</v>
      </c>
      <c r="X57" s="117">
        <v>46191.0</v>
      </c>
      <c r="Y57" s="117">
        <v>46192.0</v>
      </c>
      <c r="Z57" s="117">
        <v>46193.0</v>
      </c>
      <c r="AA57" s="117">
        <v>46194.0</v>
      </c>
      <c r="AB57" s="117">
        <v>46195.0</v>
      </c>
      <c r="AC57" s="117">
        <v>46196.0</v>
      </c>
      <c r="AD57" s="117">
        <v>46197.0</v>
      </c>
      <c r="AE57" s="117">
        <v>46198.0</v>
      </c>
      <c r="AF57" s="117">
        <v>46199.0</v>
      </c>
      <c r="AG57" s="117">
        <v>46200.0</v>
      </c>
      <c r="AH57" s="117">
        <v>46201.0</v>
      </c>
      <c r="AI57" s="117">
        <v>46202.0</v>
      </c>
      <c r="AJ57" s="117">
        <v>46203.0</v>
      </c>
      <c r="AK57" s="176"/>
      <c r="AL57" s="176"/>
      <c r="AM57" s="177"/>
      <c r="AN57" s="177"/>
    </row>
    <row r="58">
      <c r="A58" s="119" t="s">
        <v>7</v>
      </c>
      <c r="B58" s="120" t="s">
        <v>406</v>
      </c>
      <c r="C58" s="193">
        <f t="shared" ref="C58:C59" si="50">SUM(D58:AH58)</f>
        <v>913231</v>
      </c>
      <c r="D58" s="194">
        <v>99190.0</v>
      </c>
      <c r="E58" s="122">
        <v>388044.0</v>
      </c>
      <c r="F58" s="122">
        <v>210910.0</v>
      </c>
      <c r="G58" s="122">
        <v>69310.0</v>
      </c>
      <c r="H58" s="122">
        <v>98477.0</v>
      </c>
      <c r="I58" s="122">
        <v>47300.0</v>
      </c>
      <c r="J58" s="122">
        <v>0.0</v>
      </c>
      <c r="K58" s="122">
        <v>0.0</v>
      </c>
      <c r="L58" s="122">
        <v>0.0</v>
      </c>
      <c r="M58" s="122">
        <v>0.0</v>
      </c>
      <c r="N58" s="126">
        <v>0.0</v>
      </c>
      <c r="O58" s="126"/>
      <c r="P58" s="122"/>
      <c r="Q58" s="126"/>
      <c r="R58" s="126"/>
      <c r="S58" s="126"/>
      <c r="T58" s="126"/>
      <c r="U58" s="126"/>
      <c r="V58" s="126"/>
      <c r="W58" s="126"/>
      <c r="X58" s="126"/>
      <c r="Y58" s="122"/>
      <c r="Z58" s="122"/>
      <c r="AA58" s="122"/>
      <c r="AB58" s="123"/>
      <c r="AC58" s="122"/>
      <c r="AD58" s="122"/>
      <c r="AE58" s="122"/>
      <c r="AF58" s="122"/>
      <c r="AG58" s="122"/>
      <c r="AH58" s="122"/>
      <c r="AI58" s="120"/>
      <c r="AJ58" s="120"/>
      <c r="AK58" s="120"/>
      <c r="AL58" s="120"/>
      <c r="AM58" s="184"/>
      <c r="AN58" s="184"/>
    </row>
    <row r="59">
      <c r="A59" s="124"/>
      <c r="B59" s="120" t="s">
        <v>8</v>
      </c>
      <c r="C59" s="193">
        <f t="shared" si="50"/>
        <v>233426106</v>
      </c>
      <c r="D59" s="126">
        <v>3.0330679E7</v>
      </c>
      <c r="E59" s="122">
        <v>5.141349E7</v>
      </c>
      <c r="F59" s="122">
        <v>1.01594662E8</v>
      </c>
      <c r="G59" s="122"/>
      <c r="H59" s="122">
        <v>4.1684144E7</v>
      </c>
      <c r="I59" s="122"/>
      <c r="J59" s="122"/>
      <c r="K59" s="122"/>
      <c r="L59" s="122"/>
      <c r="M59" s="122"/>
      <c r="N59" s="122">
        <v>8403131.0</v>
      </c>
      <c r="O59" s="122"/>
      <c r="P59" s="122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2"/>
      <c r="AC59" s="122"/>
      <c r="AD59" s="122"/>
      <c r="AE59" s="122"/>
      <c r="AF59" s="120"/>
      <c r="AG59" s="120"/>
      <c r="AH59" s="120"/>
      <c r="AI59" s="120"/>
      <c r="AJ59" s="120"/>
      <c r="AK59" s="120"/>
      <c r="AL59" s="120"/>
      <c r="AM59" s="184"/>
      <c r="AN59" s="184"/>
    </row>
    <row r="60">
      <c r="A60" s="127" t="s">
        <v>407</v>
      </c>
      <c r="B60" s="128" t="s">
        <v>408</v>
      </c>
      <c r="C60" s="129">
        <f>SUM(D60:AJ60)</f>
        <v>0.3124524493</v>
      </c>
      <c r="D60" s="129">
        <f t="shared" ref="D60:AG60" si="51">(D58+D59)/750000000</f>
        <v>0.04057315867</v>
      </c>
      <c r="E60" s="129">
        <f t="shared" si="51"/>
        <v>0.069068712</v>
      </c>
      <c r="F60" s="129">
        <f t="shared" si="51"/>
        <v>0.1357407627</v>
      </c>
      <c r="G60" s="129">
        <f t="shared" si="51"/>
        <v>0.00009241333333</v>
      </c>
      <c r="H60" s="129">
        <f t="shared" si="51"/>
        <v>0.05571016133</v>
      </c>
      <c r="I60" s="129">
        <f t="shared" si="51"/>
        <v>0.00006306666667</v>
      </c>
      <c r="J60" s="129">
        <f t="shared" si="51"/>
        <v>0</v>
      </c>
      <c r="K60" s="129">
        <f t="shared" si="51"/>
        <v>0</v>
      </c>
      <c r="L60" s="129">
        <f t="shared" si="51"/>
        <v>0</v>
      </c>
      <c r="M60" s="129">
        <f t="shared" si="51"/>
        <v>0</v>
      </c>
      <c r="N60" s="129">
        <f t="shared" si="51"/>
        <v>0.01120417467</v>
      </c>
      <c r="O60" s="129">
        <f t="shared" si="51"/>
        <v>0</v>
      </c>
      <c r="P60" s="129">
        <f t="shared" si="51"/>
        <v>0</v>
      </c>
      <c r="Q60" s="129">
        <f t="shared" si="51"/>
        <v>0</v>
      </c>
      <c r="R60" s="129">
        <f t="shared" si="51"/>
        <v>0</v>
      </c>
      <c r="S60" s="129">
        <f t="shared" si="51"/>
        <v>0</v>
      </c>
      <c r="T60" s="129">
        <f t="shared" si="51"/>
        <v>0</v>
      </c>
      <c r="U60" s="129">
        <f t="shared" si="51"/>
        <v>0</v>
      </c>
      <c r="V60" s="129">
        <f t="shared" si="51"/>
        <v>0</v>
      </c>
      <c r="W60" s="129">
        <f t="shared" si="51"/>
        <v>0</v>
      </c>
      <c r="X60" s="129">
        <f t="shared" si="51"/>
        <v>0</v>
      </c>
      <c r="Y60" s="129">
        <f t="shared" si="51"/>
        <v>0</v>
      </c>
      <c r="Z60" s="129">
        <f t="shared" si="51"/>
        <v>0</v>
      </c>
      <c r="AA60" s="129">
        <f t="shared" si="51"/>
        <v>0</v>
      </c>
      <c r="AB60" s="129">
        <f t="shared" si="51"/>
        <v>0</v>
      </c>
      <c r="AC60" s="129">
        <f t="shared" si="51"/>
        <v>0</v>
      </c>
      <c r="AD60" s="129">
        <f t="shared" si="51"/>
        <v>0</v>
      </c>
      <c r="AE60" s="129">
        <f t="shared" si="51"/>
        <v>0</v>
      </c>
      <c r="AF60" s="129">
        <f t="shared" si="51"/>
        <v>0</v>
      </c>
      <c r="AG60" s="129">
        <f t="shared" si="51"/>
        <v>0</v>
      </c>
      <c r="AH60" s="173"/>
      <c r="AI60" s="173"/>
      <c r="AJ60" s="173"/>
      <c r="AK60" s="173"/>
      <c r="AL60" s="173"/>
      <c r="AM60" s="174"/>
      <c r="AN60" s="174"/>
    </row>
    <row r="61">
      <c r="A61" s="131">
        <v>7.5E8</v>
      </c>
      <c r="B61" s="132" t="s">
        <v>409</v>
      </c>
      <c r="C61" s="133">
        <f t="shared" ref="C61:C62" si="52">sum(D61:AH61)</f>
        <v>202</v>
      </c>
      <c r="D61" s="134">
        <v>65.0</v>
      </c>
      <c r="E61" s="134">
        <v>60.0</v>
      </c>
      <c r="F61" s="134">
        <v>65.0</v>
      </c>
      <c r="G61" s="134"/>
      <c r="H61" s="134">
        <v>4.0</v>
      </c>
      <c r="I61" s="134">
        <v>4.0</v>
      </c>
      <c r="J61" s="134">
        <v>4.0</v>
      </c>
      <c r="K61" s="135"/>
      <c r="L61" s="135"/>
      <c r="M61" s="135"/>
      <c r="N61" s="135"/>
      <c r="O61" s="138"/>
      <c r="P61" s="135"/>
      <c r="Q61" s="135"/>
      <c r="R61" s="135"/>
      <c r="S61" s="135"/>
      <c r="T61" s="135"/>
      <c r="U61" s="135"/>
      <c r="V61" s="138"/>
      <c r="W61" s="135"/>
      <c r="X61" s="135"/>
      <c r="Y61" s="134"/>
      <c r="Z61" s="134"/>
      <c r="AA61" s="134"/>
      <c r="AB61" s="133"/>
      <c r="AC61" s="133"/>
      <c r="AD61" s="134"/>
      <c r="AE61" s="134"/>
      <c r="AF61" s="134"/>
      <c r="AG61" s="134"/>
      <c r="AH61" s="134"/>
      <c r="AI61" s="143"/>
      <c r="AJ61" s="143"/>
      <c r="AK61" s="143"/>
      <c r="AL61" s="143"/>
      <c r="AM61" s="144"/>
      <c r="AN61" s="144"/>
    </row>
    <row r="62">
      <c r="A62" s="127" t="s">
        <v>410</v>
      </c>
      <c r="B62" s="137" t="s">
        <v>411</v>
      </c>
      <c r="C62" s="133">
        <f t="shared" si="52"/>
        <v>0</v>
      </c>
      <c r="D62" s="133"/>
      <c r="E62" s="133"/>
      <c r="F62" s="133"/>
      <c r="G62" s="133"/>
      <c r="H62" s="133"/>
      <c r="I62" s="133"/>
      <c r="J62" s="133"/>
      <c r="K62" s="138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45"/>
      <c r="X62" s="145"/>
      <c r="Y62" s="139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4"/>
      <c r="AN62" s="144"/>
    </row>
    <row r="63">
      <c r="A63" s="127">
        <f>(A61-(C58 + C59))/80</f>
        <v>6445758.288</v>
      </c>
      <c r="B63" s="137" t="s">
        <v>412</v>
      </c>
      <c r="C63" s="133">
        <f>sum(D63:U63)</f>
        <v>0</v>
      </c>
      <c r="D63" s="133"/>
      <c r="E63" s="133"/>
      <c r="F63" s="133"/>
      <c r="G63" s="133"/>
      <c r="H63" s="133"/>
      <c r="I63" s="133"/>
      <c r="J63" s="133"/>
      <c r="K63" s="138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45"/>
      <c r="X63" s="145"/>
      <c r="Y63" s="139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4"/>
      <c r="AN63" s="144"/>
    </row>
    <row r="64">
      <c r="A64" s="127"/>
      <c r="B64" s="158" t="s">
        <v>413</v>
      </c>
      <c r="C64" s="159"/>
      <c r="D64" s="159"/>
      <c r="E64" s="159"/>
      <c r="F64" s="147">
        <v>3.1798505E7</v>
      </c>
      <c r="G64" s="147">
        <v>3.1798505E7</v>
      </c>
      <c r="H64" s="147">
        <v>3.1798505E7</v>
      </c>
      <c r="I64" s="147">
        <v>3.1798505E7</v>
      </c>
      <c r="J64" s="147">
        <v>3.1798505E7</v>
      </c>
      <c r="K64" s="147">
        <v>3.1798505E7</v>
      </c>
      <c r="L64" s="147">
        <v>3.1798505E7</v>
      </c>
      <c r="M64" s="147">
        <v>3.1798505E7</v>
      </c>
      <c r="N64" s="147">
        <v>3.1798505E7</v>
      </c>
      <c r="O64" s="147">
        <v>3.1798505E7</v>
      </c>
      <c r="P64" s="147">
        <v>3.1798505E7</v>
      </c>
      <c r="Q64" s="147">
        <v>3.1798505E7</v>
      </c>
      <c r="R64" s="147">
        <v>3.1798505E7</v>
      </c>
      <c r="S64" s="147">
        <v>3.1798505E7</v>
      </c>
      <c r="T64" s="147">
        <v>3.1798505E7</v>
      </c>
      <c r="U64" s="147">
        <v>3.1798505E7</v>
      </c>
      <c r="V64" s="147">
        <v>3.1798505E7</v>
      </c>
      <c r="W64" s="147">
        <v>3.1798505E7</v>
      </c>
      <c r="X64" s="147">
        <v>3.1798505E7</v>
      </c>
      <c r="Y64" s="147">
        <v>3.1798505E7</v>
      </c>
      <c r="Z64" s="147">
        <v>3.1798505E7</v>
      </c>
      <c r="AA64" s="147">
        <v>3.1798505E7</v>
      </c>
      <c r="AB64" s="160"/>
      <c r="AC64" s="160"/>
      <c r="AD64" s="160"/>
      <c r="AE64" s="160"/>
      <c r="AF64" s="160"/>
      <c r="AG64" s="160"/>
      <c r="AH64" s="160"/>
      <c r="AI64" s="160"/>
      <c r="AJ64" s="160"/>
      <c r="AK64" s="160"/>
      <c r="AL64" s="160"/>
      <c r="AM64" s="161"/>
      <c r="AN64" s="161"/>
    </row>
    <row r="65">
      <c r="A65" s="127"/>
      <c r="B65" s="131" t="s">
        <v>415</v>
      </c>
      <c r="C65" s="159"/>
      <c r="D65" s="159"/>
      <c r="E65" s="159"/>
      <c r="F65" s="147" t="s">
        <v>438</v>
      </c>
      <c r="G65" s="147" t="s">
        <v>438</v>
      </c>
      <c r="H65" s="147" t="s">
        <v>438</v>
      </c>
      <c r="I65" s="147" t="s">
        <v>438</v>
      </c>
      <c r="J65" s="147" t="s">
        <v>438</v>
      </c>
      <c r="K65" s="147" t="s">
        <v>438</v>
      </c>
      <c r="L65" s="147" t="s">
        <v>438</v>
      </c>
      <c r="M65" s="147" t="s">
        <v>438</v>
      </c>
      <c r="N65" s="147" t="s">
        <v>438</v>
      </c>
      <c r="O65" s="147" t="s">
        <v>438</v>
      </c>
      <c r="P65" s="147" t="s">
        <v>438</v>
      </c>
      <c r="Q65" s="147" t="s">
        <v>438</v>
      </c>
      <c r="R65" s="147" t="s">
        <v>438</v>
      </c>
      <c r="S65" s="147" t="s">
        <v>438</v>
      </c>
      <c r="T65" s="147" t="s">
        <v>438</v>
      </c>
      <c r="U65" s="147" t="s">
        <v>438</v>
      </c>
      <c r="V65" s="147" t="s">
        <v>438</v>
      </c>
      <c r="W65" s="147" t="s">
        <v>438</v>
      </c>
      <c r="X65" s="147" t="s">
        <v>438</v>
      </c>
      <c r="Y65" s="147" t="s">
        <v>438</v>
      </c>
      <c r="Z65" s="147" t="s">
        <v>438</v>
      </c>
      <c r="AA65" s="147" t="s">
        <v>438</v>
      </c>
      <c r="AB65" s="160"/>
      <c r="AC65" s="160"/>
      <c r="AD65" s="160"/>
      <c r="AE65" s="160"/>
      <c r="AF65" s="160"/>
      <c r="AG65" s="160"/>
      <c r="AH65" s="160"/>
      <c r="AI65" s="160"/>
      <c r="AJ65" s="160"/>
      <c r="AK65" s="160"/>
      <c r="AL65" s="160"/>
      <c r="AM65" s="161"/>
      <c r="AN65" s="161"/>
    </row>
    <row r="66">
      <c r="A66" s="149" t="s">
        <v>439</v>
      </c>
      <c r="B66" s="162"/>
      <c r="C66" s="151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3"/>
      <c r="AD66" s="152"/>
      <c r="AE66" s="152"/>
      <c r="AF66" s="152"/>
      <c r="AG66" s="154" t="s">
        <v>418</v>
      </c>
      <c r="AH66" s="152"/>
      <c r="AI66" s="155"/>
      <c r="AJ66" s="155"/>
      <c r="AK66" s="155"/>
      <c r="AL66" s="155"/>
      <c r="AM66" s="152"/>
      <c r="AN66" s="152"/>
    </row>
    <row r="67">
      <c r="A67" s="113" t="s">
        <v>440</v>
      </c>
      <c r="B67" s="114"/>
      <c r="C67" s="115" t="s">
        <v>401</v>
      </c>
      <c r="D67" s="116" t="s">
        <v>402</v>
      </c>
      <c r="E67" s="116" t="s">
        <v>403</v>
      </c>
      <c r="F67" s="116" t="s">
        <v>404</v>
      </c>
      <c r="G67" s="116" t="s">
        <v>341</v>
      </c>
      <c r="H67" s="116" t="s">
        <v>405</v>
      </c>
      <c r="I67" s="117">
        <v>46174.0</v>
      </c>
      <c r="J67" s="117">
        <v>46175.0</v>
      </c>
      <c r="K67" s="117">
        <v>46176.0</v>
      </c>
      <c r="L67" s="117">
        <v>46177.0</v>
      </c>
      <c r="M67" s="117">
        <v>46178.0</v>
      </c>
      <c r="N67" s="117">
        <v>46179.0</v>
      </c>
      <c r="O67" s="117">
        <v>46180.0</v>
      </c>
      <c r="P67" s="117">
        <v>46181.0</v>
      </c>
      <c r="Q67" s="117">
        <v>46182.0</v>
      </c>
      <c r="R67" s="117">
        <v>46183.0</v>
      </c>
      <c r="S67" s="117">
        <v>46184.0</v>
      </c>
      <c r="T67" s="117">
        <v>46185.0</v>
      </c>
      <c r="U67" s="117">
        <v>46186.0</v>
      </c>
      <c r="V67" s="117">
        <v>46187.0</v>
      </c>
      <c r="W67" s="117">
        <v>46188.0</v>
      </c>
      <c r="X67" s="117">
        <v>46189.0</v>
      </c>
      <c r="Y67" s="117">
        <v>46190.0</v>
      </c>
      <c r="Z67" s="117">
        <v>46191.0</v>
      </c>
      <c r="AA67" s="117">
        <v>46192.0</v>
      </c>
      <c r="AB67" s="117">
        <v>46193.0</v>
      </c>
      <c r="AC67" s="117">
        <v>46194.0</v>
      </c>
      <c r="AD67" s="117">
        <v>46195.0</v>
      </c>
      <c r="AE67" s="117">
        <v>46196.0</v>
      </c>
      <c r="AF67" s="117">
        <v>46197.0</v>
      </c>
      <c r="AG67" s="117">
        <v>46198.0</v>
      </c>
      <c r="AH67" s="117">
        <v>46199.0</v>
      </c>
      <c r="AI67" s="117">
        <v>46200.0</v>
      </c>
      <c r="AJ67" s="117">
        <v>46201.0</v>
      </c>
      <c r="AK67" s="117">
        <v>46202.0</v>
      </c>
      <c r="AL67" s="117">
        <v>46203.0</v>
      </c>
      <c r="AM67" s="118">
        <v>46174.0</v>
      </c>
      <c r="AN67" s="118">
        <v>46175.0</v>
      </c>
    </row>
    <row r="68">
      <c r="A68" s="119" t="s">
        <v>41</v>
      </c>
      <c r="B68" s="120" t="s">
        <v>406</v>
      </c>
      <c r="C68" s="121">
        <f t="shared" ref="C68:C69" si="53">SUM(D68:AH68)</f>
        <v>28499180</v>
      </c>
      <c r="D68" s="120">
        <f>SUMIFS(RAW_organic!$V:$V, RAW_organic!$A:$A, $B61, RAW_organic!$K:$K, "OMG Makeup")</f>
        <v>0</v>
      </c>
      <c r="E68" s="120">
        <f>SUMIFS(RAW_organic!$V:$V, RAW_organic!$A:$A, $B61, RAW_organic!$K:$K, "OMG Makeup")</f>
        <v>0</v>
      </c>
      <c r="F68" s="195">
        <v>1978380.0</v>
      </c>
      <c r="G68" s="122">
        <v>1.097248E7</v>
      </c>
      <c r="H68" s="196">
        <v>1.3555016E7</v>
      </c>
      <c r="I68" s="197">
        <v>473969.0</v>
      </c>
      <c r="J68" s="197">
        <v>616519.0</v>
      </c>
      <c r="K68" s="197">
        <v>530517.0</v>
      </c>
      <c r="L68" s="191">
        <v>64406.0</v>
      </c>
      <c r="M68" s="191">
        <v>249781.0</v>
      </c>
      <c r="N68" s="191">
        <v>58112.0</v>
      </c>
      <c r="O68" s="126"/>
      <c r="P68" s="126"/>
      <c r="Q68" s="126"/>
      <c r="R68" s="126"/>
      <c r="S68" s="126"/>
      <c r="T68" s="126"/>
      <c r="U68" s="126"/>
      <c r="V68" s="197"/>
      <c r="W68" s="126"/>
      <c r="X68" s="126"/>
      <c r="Y68" s="122"/>
      <c r="Z68" s="122"/>
      <c r="AA68" s="122"/>
      <c r="AB68" s="122"/>
      <c r="AC68" s="190"/>
      <c r="AD68" s="190"/>
      <c r="AE68" s="190"/>
      <c r="AF68" s="191"/>
      <c r="AG68" s="191"/>
      <c r="AH68" s="191"/>
      <c r="AI68" s="191"/>
      <c r="AJ68" s="189"/>
      <c r="AK68" s="189"/>
      <c r="AL68" s="189"/>
      <c r="AM68" s="189"/>
      <c r="AN68" s="189"/>
    </row>
    <row r="69">
      <c r="A69" s="124"/>
      <c r="B69" s="120" t="s">
        <v>8</v>
      </c>
      <c r="C69" s="121">
        <f t="shared" si="53"/>
        <v>36551289</v>
      </c>
      <c r="D69" s="122">
        <v>0.0</v>
      </c>
      <c r="E69" s="122">
        <v>0.0</v>
      </c>
      <c r="F69" s="122">
        <v>2187705.0</v>
      </c>
      <c r="G69" s="77">
        <v>1.3187208E7</v>
      </c>
      <c r="H69" s="195">
        <v>1.4493609E7</v>
      </c>
      <c r="I69" s="195">
        <v>0.0</v>
      </c>
      <c r="J69" s="122">
        <v>4675892.0</v>
      </c>
      <c r="K69" s="195"/>
      <c r="L69" s="195">
        <v>0.0</v>
      </c>
      <c r="M69" s="195">
        <v>0.0</v>
      </c>
      <c r="N69" s="195">
        <v>0.0</v>
      </c>
      <c r="O69" s="195">
        <v>0.0</v>
      </c>
      <c r="P69" s="195">
        <v>2006875.0</v>
      </c>
      <c r="Q69" s="195">
        <v>0.0</v>
      </c>
      <c r="R69" s="195"/>
      <c r="S69" s="195">
        <v>0.0</v>
      </c>
      <c r="T69" s="195">
        <v>0.0</v>
      </c>
      <c r="U69" s="195">
        <v>0.0</v>
      </c>
      <c r="V69" s="195">
        <v>0.0</v>
      </c>
      <c r="W69" s="195">
        <v>0.0</v>
      </c>
      <c r="X69" s="195">
        <v>0.0</v>
      </c>
      <c r="Y69" s="195">
        <v>0.0</v>
      </c>
      <c r="Z69" s="195"/>
      <c r="AA69" s="195">
        <v>0.0</v>
      </c>
      <c r="AB69" s="195"/>
      <c r="AC69" s="195"/>
      <c r="AD69" s="195"/>
      <c r="AE69" s="195"/>
      <c r="AF69" s="198"/>
      <c r="AG69" s="122"/>
      <c r="AH69" s="122"/>
      <c r="AI69" s="120"/>
      <c r="AJ69" s="120"/>
      <c r="AK69" s="120"/>
      <c r="AL69" s="120"/>
      <c r="AM69" s="120"/>
      <c r="AN69" s="122"/>
    </row>
    <row r="70">
      <c r="A70" s="127" t="s">
        <v>407</v>
      </c>
      <c r="B70" s="128" t="s">
        <v>408</v>
      </c>
      <c r="C70" s="129">
        <f t="shared" ref="C70:AN70" si="54">(C68+C69)/200000000</f>
        <v>0.325252345</v>
      </c>
      <c r="D70" s="129">
        <f t="shared" si="54"/>
        <v>0</v>
      </c>
      <c r="E70" s="129">
        <f t="shared" si="54"/>
        <v>0</v>
      </c>
      <c r="F70" s="129">
        <f t="shared" si="54"/>
        <v>0.020830425</v>
      </c>
      <c r="G70" s="129">
        <f t="shared" si="54"/>
        <v>0.12079844</v>
      </c>
      <c r="H70" s="129">
        <f t="shared" si="54"/>
        <v>0.140243125</v>
      </c>
      <c r="I70" s="129">
        <f t="shared" si="54"/>
        <v>0.002369845</v>
      </c>
      <c r="J70" s="129">
        <f t="shared" si="54"/>
        <v>0.026462055</v>
      </c>
      <c r="K70" s="129">
        <f t="shared" si="54"/>
        <v>0.002652585</v>
      </c>
      <c r="L70" s="129">
        <f t="shared" si="54"/>
        <v>0.00032203</v>
      </c>
      <c r="M70" s="129">
        <f t="shared" si="54"/>
        <v>0.001248905</v>
      </c>
      <c r="N70" s="129">
        <f t="shared" si="54"/>
        <v>0.00029056</v>
      </c>
      <c r="O70" s="129">
        <f t="shared" si="54"/>
        <v>0</v>
      </c>
      <c r="P70" s="129">
        <f t="shared" si="54"/>
        <v>0.010034375</v>
      </c>
      <c r="Q70" s="129">
        <f t="shared" si="54"/>
        <v>0</v>
      </c>
      <c r="R70" s="129">
        <f t="shared" si="54"/>
        <v>0</v>
      </c>
      <c r="S70" s="129">
        <f t="shared" si="54"/>
        <v>0</v>
      </c>
      <c r="T70" s="129">
        <f t="shared" si="54"/>
        <v>0</v>
      </c>
      <c r="U70" s="129">
        <f t="shared" si="54"/>
        <v>0</v>
      </c>
      <c r="V70" s="129">
        <f t="shared" si="54"/>
        <v>0</v>
      </c>
      <c r="W70" s="129">
        <f t="shared" si="54"/>
        <v>0</v>
      </c>
      <c r="X70" s="129">
        <f t="shared" si="54"/>
        <v>0</v>
      </c>
      <c r="Y70" s="129">
        <f t="shared" si="54"/>
        <v>0</v>
      </c>
      <c r="Z70" s="129">
        <f t="shared" si="54"/>
        <v>0</v>
      </c>
      <c r="AA70" s="129">
        <f t="shared" si="54"/>
        <v>0</v>
      </c>
      <c r="AB70" s="129">
        <f t="shared" si="54"/>
        <v>0</v>
      </c>
      <c r="AC70" s="129">
        <f t="shared" si="54"/>
        <v>0</v>
      </c>
      <c r="AD70" s="129">
        <f t="shared" si="54"/>
        <v>0</v>
      </c>
      <c r="AE70" s="129">
        <f t="shared" si="54"/>
        <v>0</v>
      </c>
      <c r="AF70" s="129">
        <f t="shared" si="54"/>
        <v>0</v>
      </c>
      <c r="AG70" s="129">
        <f t="shared" si="54"/>
        <v>0</v>
      </c>
      <c r="AH70" s="129">
        <f t="shared" si="54"/>
        <v>0</v>
      </c>
      <c r="AI70" s="129">
        <f t="shared" si="54"/>
        <v>0</v>
      </c>
      <c r="AJ70" s="129">
        <f t="shared" si="54"/>
        <v>0</v>
      </c>
      <c r="AK70" s="129">
        <f t="shared" si="54"/>
        <v>0</v>
      </c>
      <c r="AL70" s="129">
        <f t="shared" si="54"/>
        <v>0</v>
      </c>
      <c r="AM70" s="129">
        <f t="shared" si="54"/>
        <v>0</v>
      </c>
      <c r="AN70" s="129">
        <f t="shared" si="54"/>
        <v>0</v>
      </c>
    </row>
    <row r="71">
      <c r="A71" s="131">
        <v>2.0E8</v>
      </c>
      <c r="B71" s="132" t="s">
        <v>409</v>
      </c>
      <c r="C71" s="133">
        <f t="shared" ref="C71:C72" si="55">sum(D71:AH71)</f>
        <v>195</v>
      </c>
      <c r="D71" s="134">
        <v>15.0</v>
      </c>
      <c r="E71" s="134">
        <v>9.0</v>
      </c>
      <c r="F71" s="134">
        <v>55.0</v>
      </c>
      <c r="G71" s="134">
        <v>82.0</v>
      </c>
      <c r="H71" s="134">
        <v>0.0</v>
      </c>
      <c r="I71" s="134">
        <v>0.0</v>
      </c>
      <c r="J71" s="134">
        <v>0.0</v>
      </c>
      <c r="K71" s="135">
        <v>3.0</v>
      </c>
      <c r="L71" s="135">
        <v>3.0</v>
      </c>
      <c r="M71" s="135">
        <v>2.0</v>
      </c>
      <c r="N71" s="135">
        <v>2.0</v>
      </c>
      <c r="O71" s="135">
        <v>3.0</v>
      </c>
      <c r="P71" s="135">
        <v>0.0</v>
      </c>
      <c r="Q71" s="135">
        <v>0.0</v>
      </c>
      <c r="R71" s="135">
        <v>2.0</v>
      </c>
      <c r="S71" s="135">
        <v>2.0</v>
      </c>
      <c r="T71" s="135">
        <v>3.0</v>
      </c>
      <c r="U71" s="135">
        <v>0.0</v>
      </c>
      <c r="V71" s="135">
        <v>2.0</v>
      </c>
      <c r="W71" s="135">
        <v>0.0</v>
      </c>
      <c r="X71" s="135">
        <v>0.0</v>
      </c>
      <c r="Y71" s="134">
        <v>2.0</v>
      </c>
      <c r="Z71" s="134">
        <v>3.0</v>
      </c>
      <c r="AA71" s="134">
        <v>2.0</v>
      </c>
      <c r="AB71" s="134">
        <v>1.0</v>
      </c>
      <c r="AC71" s="134">
        <v>2.0</v>
      </c>
      <c r="AD71" s="134">
        <v>0.0</v>
      </c>
      <c r="AE71" s="134">
        <v>0.0</v>
      </c>
      <c r="AF71" s="134">
        <v>2.0</v>
      </c>
      <c r="AG71" s="134"/>
      <c r="AH71" s="134"/>
      <c r="AI71" s="143"/>
      <c r="AJ71" s="143"/>
      <c r="AK71" s="143"/>
      <c r="AL71" s="143"/>
      <c r="AM71" s="143"/>
      <c r="AN71" s="143"/>
    </row>
    <row r="72">
      <c r="A72" s="127" t="s">
        <v>410</v>
      </c>
      <c r="B72" s="137" t="s">
        <v>411</v>
      </c>
      <c r="C72" s="133">
        <f t="shared" si="55"/>
        <v>0</v>
      </c>
      <c r="D72" s="133"/>
      <c r="E72" s="133"/>
      <c r="F72" s="133"/>
      <c r="G72" s="133"/>
      <c r="H72" s="133"/>
      <c r="I72" s="133"/>
      <c r="J72" s="133"/>
      <c r="K72" s="135"/>
      <c r="L72" s="139"/>
      <c r="M72" s="139"/>
      <c r="N72" s="139"/>
      <c r="O72" s="139"/>
      <c r="P72" s="139"/>
      <c r="Q72" s="139"/>
      <c r="R72" s="157"/>
      <c r="S72" s="139"/>
      <c r="T72" s="139"/>
      <c r="U72" s="139"/>
      <c r="V72" s="139"/>
      <c r="W72" s="145"/>
      <c r="X72" s="145"/>
      <c r="Y72" s="139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</row>
    <row r="73">
      <c r="A73" s="127">
        <f>(A71-(C68 + C69))/80</f>
        <v>1686869.138</v>
      </c>
      <c r="B73" s="137" t="s">
        <v>412</v>
      </c>
      <c r="C73" s="133">
        <f>sum(D73:U73)</f>
        <v>0</v>
      </c>
      <c r="D73" s="133"/>
      <c r="E73" s="133"/>
      <c r="F73" s="133"/>
      <c r="G73" s="133"/>
      <c r="H73" s="133"/>
      <c r="I73" s="133"/>
      <c r="J73" s="133"/>
      <c r="K73" s="138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45"/>
      <c r="X73" s="145"/>
      <c r="Y73" s="139"/>
      <c r="Z73" s="143"/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3"/>
      <c r="AM73" s="143"/>
      <c r="AN73" s="143"/>
    </row>
    <row r="74">
      <c r="A74" s="127"/>
      <c r="B74" s="158" t="s">
        <v>413</v>
      </c>
      <c r="C74" s="159"/>
      <c r="D74" s="159"/>
      <c r="E74" s="159"/>
      <c r="F74" s="159"/>
      <c r="G74" s="159"/>
      <c r="H74" s="147">
        <v>8352724.0</v>
      </c>
      <c r="I74" s="147">
        <v>8352724.0</v>
      </c>
      <c r="J74" s="147">
        <v>8352724.0</v>
      </c>
      <c r="K74" s="147">
        <v>8352724.0</v>
      </c>
      <c r="L74" s="147">
        <v>8352724.0</v>
      </c>
      <c r="M74" s="147">
        <v>8352724.0</v>
      </c>
      <c r="N74" s="147">
        <v>8352724.0</v>
      </c>
      <c r="O74" s="147">
        <v>8352724.0</v>
      </c>
      <c r="P74" s="147">
        <v>8352724.0</v>
      </c>
      <c r="Q74" s="147">
        <v>8352724.0</v>
      </c>
      <c r="R74" s="147">
        <v>8352724.0</v>
      </c>
      <c r="S74" s="147">
        <v>8352724.0</v>
      </c>
      <c r="T74" s="147">
        <v>8352724.0</v>
      </c>
      <c r="U74" s="147">
        <v>8352724.0</v>
      </c>
      <c r="V74" s="147">
        <v>8352724.0</v>
      </c>
      <c r="W74" s="147">
        <v>8352724.0</v>
      </c>
      <c r="X74" s="147">
        <v>8352724.0</v>
      </c>
      <c r="Y74" s="147">
        <v>8352724.0</v>
      </c>
      <c r="Z74" s="147">
        <v>8352724.0</v>
      </c>
      <c r="AA74" s="147">
        <v>8352724.0</v>
      </c>
      <c r="AB74" s="147">
        <v>8352724.0</v>
      </c>
      <c r="AC74" s="147">
        <v>8352724.0</v>
      </c>
      <c r="AD74" s="160"/>
      <c r="AE74" s="160"/>
      <c r="AF74" s="160"/>
      <c r="AG74" s="160"/>
      <c r="AH74" s="160"/>
      <c r="AI74" s="160"/>
      <c r="AJ74" s="160"/>
      <c r="AK74" s="160"/>
      <c r="AL74" s="160"/>
      <c r="AM74" s="160"/>
      <c r="AN74" s="160"/>
    </row>
    <row r="75">
      <c r="A75" s="127"/>
      <c r="B75" s="131" t="s">
        <v>415</v>
      </c>
      <c r="C75" s="159"/>
      <c r="D75" s="159"/>
      <c r="E75" s="159"/>
      <c r="F75" s="159"/>
      <c r="G75" s="159"/>
      <c r="H75" s="147" t="s">
        <v>441</v>
      </c>
      <c r="I75" s="147" t="s">
        <v>441</v>
      </c>
      <c r="J75" s="147" t="s">
        <v>441</v>
      </c>
      <c r="K75" s="147" t="s">
        <v>441</v>
      </c>
      <c r="L75" s="147" t="s">
        <v>441</v>
      </c>
      <c r="M75" s="147" t="s">
        <v>441</v>
      </c>
      <c r="N75" s="147" t="s">
        <v>441</v>
      </c>
      <c r="O75" s="147" t="s">
        <v>441</v>
      </c>
      <c r="P75" s="147" t="s">
        <v>441</v>
      </c>
      <c r="Q75" s="147" t="s">
        <v>441</v>
      </c>
      <c r="R75" s="147" t="s">
        <v>441</v>
      </c>
      <c r="S75" s="147" t="s">
        <v>441</v>
      </c>
      <c r="T75" s="147" t="s">
        <v>441</v>
      </c>
      <c r="U75" s="147" t="s">
        <v>441</v>
      </c>
      <c r="V75" s="147" t="s">
        <v>441</v>
      </c>
      <c r="W75" s="147" t="s">
        <v>441</v>
      </c>
      <c r="X75" s="147" t="s">
        <v>441</v>
      </c>
      <c r="Y75" s="147" t="s">
        <v>441</v>
      </c>
      <c r="Z75" s="147" t="s">
        <v>441</v>
      </c>
      <c r="AA75" s="147" t="s">
        <v>441</v>
      </c>
      <c r="AB75" s="147" t="s">
        <v>441</v>
      </c>
      <c r="AC75" s="147" t="s">
        <v>441</v>
      </c>
      <c r="AD75" s="160"/>
      <c r="AE75" s="160"/>
      <c r="AF75" s="160"/>
      <c r="AG75" s="160"/>
      <c r="AH75" s="160"/>
      <c r="AI75" s="160"/>
      <c r="AJ75" s="160"/>
      <c r="AK75" s="160"/>
      <c r="AL75" s="160"/>
      <c r="AM75" s="160"/>
      <c r="AN75" s="160"/>
    </row>
    <row r="76">
      <c r="A76" s="149" t="s">
        <v>439</v>
      </c>
      <c r="B76" s="162"/>
      <c r="C76" s="151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3"/>
      <c r="AD76" s="152"/>
      <c r="AE76" s="152"/>
      <c r="AF76" s="152"/>
      <c r="AG76" s="154" t="s">
        <v>418</v>
      </c>
      <c r="AH76" s="152"/>
      <c r="AI76" s="155"/>
      <c r="AJ76" s="155"/>
      <c r="AK76" s="155"/>
      <c r="AL76" s="155"/>
      <c r="AM76" s="152"/>
      <c r="AN76" s="152"/>
    </row>
    <row r="77">
      <c r="A77" s="113" t="s">
        <v>442</v>
      </c>
      <c r="B77" s="114"/>
      <c r="C77" s="115" t="s">
        <v>401</v>
      </c>
      <c r="D77" s="116" t="s">
        <v>443</v>
      </c>
      <c r="E77" s="116" t="s">
        <v>404</v>
      </c>
      <c r="F77" s="116" t="s">
        <v>341</v>
      </c>
      <c r="G77" s="116" t="s">
        <v>405</v>
      </c>
      <c r="H77" s="117">
        <v>46174.0</v>
      </c>
      <c r="I77" s="117">
        <v>46175.0</v>
      </c>
      <c r="J77" s="117">
        <v>46176.0</v>
      </c>
      <c r="K77" s="117">
        <v>46177.0</v>
      </c>
      <c r="L77" s="117">
        <v>46178.0</v>
      </c>
      <c r="M77" s="117">
        <v>46179.0</v>
      </c>
      <c r="N77" s="117">
        <v>46180.0</v>
      </c>
      <c r="O77" s="117">
        <v>46181.0</v>
      </c>
      <c r="P77" s="117">
        <v>46182.0</v>
      </c>
      <c r="Q77" s="117">
        <v>46183.0</v>
      </c>
      <c r="R77" s="117">
        <v>46184.0</v>
      </c>
      <c r="S77" s="117">
        <v>46185.0</v>
      </c>
      <c r="T77" s="117">
        <v>46186.0</v>
      </c>
      <c r="U77" s="117">
        <v>46187.0</v>
      </c>
      <c r="V77" s="117">
        <v>46188.0</v>
      </c>
      <c r="W77" s="117">
        <v>46189.0</v>
      </c>
      <c r="X77" s="117">
        <v>46190.0</v>
      </c>
      <c r="Y77" s="117">
        <v>46191.0</v>
      </c>
      <c r="Z77" s="117">
        <v>46192.0</v>
      </c>
      <c r="AA77" s="117">
        <v>46193.0</v>
      </c>
      <c r="AB77" s="117">
        <v>46194.0</v>
      </c>
      <c r="AC77" s="117">
        <v>46195.0</v>
      </c>
      <c r="AD77" s="117">
        <v>46196.0</v>
      </c>
      <c r="AE77" s="117">
        <v>46197.0</v>
      </c>
      <c r="AF77" s="117">
        <v>46198.0</v>
      </c>
      <c r="AG77" s="117">
        <v>46199.0</v>
      </c>
      <c r="AH77" s="117">
        <v>46200.0</v>
      </c>
      <c r="AI77" s="117">
        <v>46201.0</v>
      </c>
      <c r="AJ77" s="117">
        <v>46202.0</v>
      </c>
      <c r="AK77" s="117">
        <v>46203.0</v>
      </c>
      <c r="AL77" s="117"/>
      <c r="AM77" s="177"/>
      <c r="AN77" s="177"/>
    </row>
    <row r="78">
      <c r="A78" s="178" t="s">
        <v>444</v>
      </c>
      <c r="B78" s="179" t="s">
        <v>426</v>
      </c>
      <c r="C78" s="180">
        <f t="shared" ref="C78:C79" si="56">SUM(D78:AH78)</f>
        <v>106</v>
      </c>
      <c r="D78" s="179">
        <v>10.0</v>
      </c>
      <c r="E78" s="199">
        <v>6.0</v>
      </c>
      <c r="F78" s="179">
        <v>60.0</v>
      </c>
      <c r="G78" s="179">
        <v>1.0</v>
      </c>
      <c r="H78" s="179">
        <v>1.0</v>
      </c>
      <c r="I78" s="179">
        <v>1.0</v>
      </c>
      <c r="J78" s="179">
        <v>1.0</v>
      </c>
      <c r="K78" s="181">
        <v>1.0</v>
      </c>
      <c r="L78" s="181">
        <v>1.0</v>
      </c>
      <c r="M78" s="181">
        <v>1.0</v>
      </c>
      <c r="N78" s="181">
        <v>1.0</v>
      </c>
      <c r="O78" s="181">
        <v>2.0</v>
      </c>
      <c r="P78" s="181">
        <v>2.0</v>
      </c>
      <c r="Q78" s="181">
        <v>4.0</v>
      </c>
      <c r="R78" s="181">
        <v>4.0</v>
      </c>
      <c r="S78" s="181"/>
      <c r="T78" s="181"/>
      <c r="U78" s="181"/>
      <c r="V78" s="181"/>
      <c r="W78" s="181"/>
      <c r="X78" s="181">
        <v>3.0</v>
      </c>
      <c r="Y78" s="200">
        <v>3.0</v>
      </c>
      <c r="Z78" s="201">
        <v>2.0</v>
      </c>
      <c r="AA78" s="201">
        <v>2.0</v>
      </c>
      <c r="AB78" s="202"/>
      <c r="AC78" s="179"/>
      <c r="AD78" s="179"/>
      <c r="AE78" s="179"/>
      <c r="AF78" s="179"/>
      <c r="AG78" s="179"/>
      <c r="AH78" s="179"/>
      <c r="AI78" s="179"/>
      <c r="AJ78" s="180"/>
      <c r="AK78" s="180"/>
      <c r="AL78" s="180"/>
      <c r="AM78" s="182"/>
      <c r="AN78" s="182"/>
    </row>
    <row r="79">
      <c r="A79" s="124"/>
      <c r="B79" s="179" t="s">
        <v>427</v>
      </c>
      <c r="C79" s="107">
        <f t="shared" si="56"/>
        <v>139</v>
      </c>
      <c r="D79" s="181">
        <v>10.0</v>
      </c>
      <c r="E79" s="203">
        <v>5.0</v>
      </c>
      <c r="F79" s="181">
        <v>58.0</v>
      </c>
      <c r="G79" s="181">
        <v>66.0</v>
      </c>
      <c r="H79" s="181"/>
      <c r="I79" s="181"/>
      <c r="J79" s="204"/>
      <c r="K79" s="204"/>
      <c r="L79" s="204"/>
      <c r="M79" s="204"/>
      <c r="N79" s="205"/>
      <c r="O79" s="181"/>
      <c r="P79" s="181"/>
      <c r="Q79" s="181"/>
      <c r="R79" s="206"/>
      <c r="S79" s="207"/>
      <c r="T79" s="207"/>
      <c r="U79" s="207"/>
      <c r="V79" s="207"/>
      <c r="W79" s="207"/>
      <c r="X79" s="206"/>
      <c r="Y79" s="206"/>
      <c r="Z79" s="181"/>
      <c r="AA79" s="179"/>
      <c r="AB79" s="179"/>
      <c r="AC79" s="179"/>
      <c r="AD79" s="179"/>
      <c r="AE79" s="179"/>
      <c r="AF79" s="179"/>
      <c r="AG79" s="179"/>
      <c r="AH79" s="179"/>
      <c r="AI79" s="179"/>
      <c r="AJ79" s="180"/>
      <c r="AK79" s="180"/>
      <c r="AL79" s="180"/>
      <c r="AM79" s="182"/>
      <c r="AN79" s="182"/>
    </row>
    <row r="80">
      <c r="A80" s="131" t="s">
        <v>374</v>
      </c>
      <c r="B80" s="172">
        <v>250.0</v>
      </c>
      <c r="C80" s="129">
        <f t="shared" ref="C80:C81" si="58">IFERROR(C78/B80,"N/A")</f>
        <v>0.424</v>
      </c>
      <c r="D80" s="129">
        <f t="shared" ref="D80:D81" si="59">IFERROR(D78/B80,"N/A")</f>
        <v>0.04</v>
      </c>
      <c r="E80" s="129">
        <f t="shared" ref="E80:E81" si="60">IFERROR(E78/B80,"N/A")</f>
        <v>0.024</v>
      </c>
      <c r="F80" s="129">
        <f t="shared" ref="F80:F81" si="61">IFERROR(F78/B80,"N/A")</f>
        <v>0.24</v>
      </c>
      <c r="G80" s="129">
        <f t="shared" ref="G80:G81" si="62">IFERROR(G78/B80,"N/A")</f>
        <v>0.004</v>
      </c>
      <c r="H80" s="129">
        <f t="shared" ref="H80:H81" si="63">IFERROR(H78/B80,"N/A")</f>
        <v>0.004</v>
      </c>
      <c r="I80" s="129">
        <f t="shared" ref="I80:I81" si="64">IFERROR(I78/B80,"N/A")</f>
        <v>0.004</v>
      </c>
      <c r="J80" s="129">
        <f t="shared" ref="J80:J81" si="65">IFERROR(J78/B80,"N/A")</f>
        <v>0.004</v>
      </c>
      <c r="K80" s="129">
        <f t="shared" ref="K80:K81" si="66">IFERROR(K78/B80,"N/A")</f>
        <v>0.004</v>
      </c>
      <c r="L80" s="129">
        <f t="shared" ref="L80:L81" si="67">IFERROR(L78/B80,"N/A")</f>
        <v>0.004</v>
      </c>
      <c r="M80" s="129">
        <f t="shared" ref="M80:M81" si="68">IFERROR(M78/B80,"N/A")</f>
        <v>0.004</v>
      </c>
      <c r="N80" s="129">
        <f t="shared" ref="N80:N81" si="69">IFERROR(N78/B80,"N/A")</f>
        <v>0.004</v>
      </c>
      <c r="O80" s="129">
        <f t="shared" ref="O80:O81" si="70">IFERROR(O78/B80,"N/A")</f>
        <v>0.008</v>
      </c>
      <c r="P80" s="129">
        <f t="shared" ref="P80:P81" si="71">IFERROR(P78/B80,"N/A")</f>
        <v>0.008</v>
      </c>
      <c r="Q80" s="129">
        <f>IFERROR(Q78/B80,"N/A")</f>
        <v>0.016</v>
      </c>
      <c r="R80" s="129">
        <f>IFERROR(R78/B80,"N/A")</f>
        <v>0.016</v>
      </c>
      <c r="S80" s="129">
        <f>IFERROR(S78/B80,"N/A")</f>
        <v>0</v>
      </c>
      <c r="T80" s="129">
        <f>IFERROR(T78/B80,"N/A")</f>
        <v>0</v>
      </c>
      <c r="U80" s="129">
        <f>IFERROR(U78/B80,"N/A")</f>
        <v>0</v>
      </c>
      <c r="V80" s="129">
        <f>IFERROR(V78/J80,"N/A")</f>
        <v>0</v>
      </c>
      <c r="W80" s="129">
        <f t="shared" ref="W80:AK80" si="57">(W78+W79)/2500000000</f>
        <v>0</v>
      </c>
      <c r="X80" s="129">
        <f t="shared" si="57"/>
        <v>0.0000000012</v>
      </c>
      <c r="Y80" s="129">
        <f t="shared" si="57"/>
        <v>0.0000000012</v>
      </c>
      <c r="Z80" s="129">
        <f t="shared" si="57"/>
        <v>0.0000000008</v>
      </c>
      <c r="AA80" s="129">
        <f t="shared" si="57"/>
        <v>0.0000000008</v>
      </c>
      <c r="AB80" s="129">
        <f t="shared" si="57"/>
        <v>0</v>
      </c>
      <c r="AC80" s="129">
        <f t="shared" si="57"/>
        <v>0</v>
      </c>
      <c r="AD80" s="129">
        <f t="shared" si="57"/>
        <v>0</v>
      </c>
      <c r="AE80" s="129">
        <f t="shared" si="57"/>
        <v>0</v>
      </c>
      <c r="AF80" s="129">
        <f t="shared" si="57"/>
        <v>0</v>
      </c>
      <c r="AG80" s="129">
        <f t="shared" si="57"/>
        <v>0</v>
      </c>
      <c r="AH80" s="129">
        <f t="shared" si="57"/>
        <v>0</v>
      </c>
      <c r="AI80" s="129">
        <f t="shared" si="57"/>
        <v>0</v>
      </c>
      <c r="AJ80" s="129">
        <f t="shared" si="57"/>
        <v>0</v>
      </c>
      <c r="AK80" s="129">
        <f t="shared" si="57"/>
        <v>0</v>
      </c>
      <c r="AL80" s="173"/>
      <c r="AM80" s="174"/>
      <c r="AN80" s="174"/>
    </row>
    <row r="81">
      <c r="A81" s="131" t="s">
        <v>375</v>
      </c>
      <c r="B81" s="208">
        <v>500.0</v>
      </c>
      <c r="C81" s="129">
        <f t="shared" si="58"/>
        <v>0.278</v>
      </c>
      <c r="D81" s="129">
        <f t="shared" si="59"/>
        <v>0.02</v>
      </c>
      <c r="E81" s="129">
        <f t="shared" si="60"/>
        <v>0.01</v>
      </c>
      <c r="F81" s="129">
        <f t="shared" si="61"/>
        <v>0.116</v>
      </c>
      <c r="G81" s="129">
        <f t="shared" si="62"/>
        <v>0.132</v>
      </c>
      <c r="H81" s="129">
        <f t="shared" si="63"/>
        <v>0</v>
      </c>
      <c r="I81" s="129">
        <f t="shared" si="64"/>
        <v>0</v>
      </c>
      <c r="J81" s="129">
        <f t="shared" si="65"/>
        <v>0</v>
      </c>
      <c r="K81" s="129">
        <f t="shared" si="66"/>
        <v>0</v>
      </c>
      <c r="L81" s="129">
        <f t="shared" si="67"/>
        <v>0</v>
      </c>
      <c r="M81" s="209">
        <f t="shared" si="68"/>
        <v>0</v>
      </c>
      <c r="N81" s="129">
        <f t="shared" si="69"/>
        <v>0</v>
      </c>
      <c r="O81" s="209">
        <f t="shared" si="70"/>
        <v>0</v>
      </c>
      <c r="P81" s="173">
        <f t="shared" si="71"/>
        <v>0</v>
      </c>
      <c r="Q81" s="173"/>
      <c r="R81" s="173"/>
      <c r="S81" s="138"/>
      <c r="T81" s="138"/>
      <c r="U81" s="138"/>
      <c r="V81" s="138"/>
      <c r="W81" s="138"/>
      <c r="X81" s="138"/>
      <c r="Y81" s="133"/>
      <c r="Z81" s="13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44"/>
      <c r="AN81" s="144"/>
    </row>
    <row r="82">
      <c r="A82" s="131" t="s">
        <v>432</v>
      </c>
      <c r="B82" s="148">
        <f t="shared" ref="B82:B83" si="72">B80/50</f>
        <v>5</v>
      </c>
      <c r="C82" s="133">
        <f>sum(D82:AH82)</f>
        <v>0</v>
      </c>
      <c r="D82" s="133"/>
      <c r="E82" s="133"/>
      <c r="F82" s="133"/>
      <c r="G82" s="133"/>
      <c r="H82" s="133"/>
      <c r="I82" s="133"/>
      <c r="J82" s="133"/>
      <c r="K82" s="138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45"/>
      <c r="X82" s="145"/>
      <c r="Y82" s="139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  <c r="AM82" s="144"/>
      <c r="AN82" s="144"/>
    </row>
    <row r="83">
      <c r="A83" s="131" t="s">
        <v>433</v>
      </c>
      <c r="B83" s="148">
        <f t="shared" si="72"/>
        <v>10</v>
      </c>
      <c r="C83" s="133">
        <f>sum(D83:U83)</f>
        <v>0</v>
      </c>
      <c r="D83" s="133"/>
      <c r="E83" s="133"/>
      <c r="F83" s="133"/>
      <c r="G83" s="133"/>
      <c r="H83" s="133"/>
      <c r="I83" s="133"/>
      <c r="J83" s="133"/>
      <c r="K83" s="138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45"/>
      <c r="X83" s="145"/>
      <c r="Y83" s="139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4"/>
      <c r="AN83" s="144"/>
    </row>
    <row r="84">
      <c r="A84" s="149" t="s">
        <v>430</v>
      </c>
      <c r="B84" s="162"/>
      <c r="C84" s="151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3"/>
      <c r="AD84" s="152"/>
      <c r="AE84" s="152"/>
      <c r="AF84" s="152"/>
      <c r="AG84" s="154" t="s">
        <v>418</v>
      </c>
      <c r="AH84" s="152"/>
      <c r="AI84" s="155"/>
      <c r="AJ84" s="155"/>
      <c r="AK84" s="155"/>
      <c r="AL84" s="155"/>
      <c r="AM84" s="152"/>
      <c r="AN84" s="152"/>
    </row>
    <row r="85">
      <c r="A85" s="113" t="s">
        <v>445</v>
      </c>
      <c r="B85" s="114"/>
      <c r="C85" s="115" t="s">
        <v>401</v>
      </c>
      <c r="D85" s="116" t="s">
        <v>341</v>
      </c>
      <c r="E85" s="116" t="s">
        <v>405</v>
      </c>
      <c r="F85" s="117">
        <v>46174.0</v>
      </c>
      <c r="G85" s="117">
        <v>46175.0</v>
      </c>
      <c r="H85" s="117">
        <v>46176.0</v>
      </c>
      <c r="I85" s="117">
        <v>46177.0</v>
      </c>
      <c r="J85" s="117">
        <v>46178.0</v>
      </c>
      <c r="K85" s="117">
        <v>46179.0</v>
      </c>
      <c r="L85" s="117">
        <v>46180.0</v>
      </c>
      <c r="M85" s="117">
        <v>46181.0</v>
      </c>
      <c r="N85" s="117">
        <v>46182.0</v>
      </c>
      <c r="O85" s="117">
        <v>46183.0</v>
      </c>
      <c r="P85" s="117">
        <v>46184.0</v>
      </c>
      <c r="Q85" s="117">
        <v>46185.0</v>
      </c>
      <c r="R85" s="117">
        <v>46186.0</v>
      </c>
      <c r="S85" s="117">
        <v>46187.0</v>
      </c>
      <c r="T85" s="117">
        <v>46188.0</v>
      </c>
      <c r="U85" s="117">
        <v>46189.0</v>
      </c>
      <c r="V85" s="117">
        <v>46190.0</v>
      </c>
      <c r="W85" s="117">
        <v>46191.0</v>
      </c>
      <c r="X85" s="117">
        <v>46192.0</v>
      </c>
      <c r="Y85" s="117">
        <v>46193.0</v>
      </c>
      <c r="Z85" s="117">
        <v>46194.0</v>
      </c>
      <c r="AA85" s="117">
        <v>46195.0</v>
      </c>
      <c r="AB85" s="117">
        <v>46196.0</v>
      </c>
      <c r="AC85" s="117">
        <v>46197.0</v>
      </c>
      <c r="AD85" s="117">
        <v>46198.0</v>
      </c>
      <c r="AE85" s="117">
        <v>46199.0</v>
      </c>
      <c r="AF85" s="117">
        <v>46200.0</v>
      </c>
      <c r="AG85" s="117">
        <v>46201.0</v>
      </c>
      <c r="AH85" s="117">
        <v>46202.0</v>
      </c>
      <c r="AI85" s="117">
        <v>46203.0</v>
      </c>
      <c r="AJ85" s="117"/>
      <c r="AK85" s="117"/>
      <c r="AL85" s="117"/>
      <c r="AM85" s="118"/>
      <c r="AN85" s="118"/>
    </row>
    <row r="86">
      <c r="A86" s="119" t="s">
        <v>167</v>
      </c>
      <c r="B86" s="120" t="s">
        <v>406</v>
      </c>
      <c r="C86" s="121">
        <f t="shared" ref="C86:C88" si="73">SUM(D86:AI86)</f>
        <v>1090823</v>
      </c>
      <c r="D86" s="122">
        <v>0.0</v>
      </c>
      <c r="E86" s="122">
        <v>727031.0</v>
      </c>
      <c r="F86" s="122">
        <v>27200.0</v>
      </c>
      <c r="G86" s="122">
        <v>0.0</v>
      </c>
      <c r="H86" s="122">
        <v>0.0</v>
      </c>
      <c r="I86" s="122">
        <v>25745.0</v>
      </c>
      <c r="J86" s="122">
        <v>121205.0</v>
      </c>
      <c r="K86" s="122">
        <v>0.0</v>
      </c>
      <c r="L86" s="122">
        <v>189642.0</v>
      </c>
      <c r="M86" s="122">
        <v>0.0</v>
      </c>
      <c r="N86" s="122">
        <v>0.0</v>
      </c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  <c r="AL86" s="122"/>
      <c r="AM86" s="123"/>
      <c r="AN86" s="123"/>
    </row>
    <row r="87">
      <c r="A87" s="124"/>
      <c r="B87" s="120" t="s">
        <v>8</v>
      </c>
      <c r="C87" s="121">
        <f t="shared" si="73"/>
        <v>5508932</v>
      </c>
      <c r="D87" s="122">
        <v>0.0</v>
      </c>
      <c r="E87" s="122">
        <v>1578590.0</v>
      </c>
      <c r="F87" s="122">
        <v>0.0</v>
      </c>
      <c r="G87" s="122">
        <v>2065783.0</v>
      </c>
      <c r="H87" s="122">
        <v>0.0</v>
      </c>
      <c r="I87" s="122">
        <v>0.0</v>
      </c>
      <c r="J87" s="122">
        <v>0.0</v>
      </c>
      <c r="K87" s="126">
        <v>0.0</v>
      </c>
      <c r="L87" s="126">
        <v>0.0</v>
      </c>
      <c r="M87" s="126">
        <v>1864559.0</v>
      </c>
      <c r="N87" s="126"/>
      <c r="O87" s="15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3"/>
      <c r="AN87" s="123"/>
    </row>
    <row r="88">
      <c r="A88" s="127" t="s">
        <v>407</v>
      </c>
      <c r="B88" s="128" t="s">
        <v>408</v>
      </c>
      <c r="C88" s="129">
        <f t="shared" si="73"/>
        <v>0.002639902</v>
      </c>
      <c r="D88" s="129">
        <f t="shared" ref="D88:AI88" si="74">(D86+D87)/2500000000</f>
        <v>0</v>
      </c>
      <c r="E88" s="129">
        <f t="shared" si="74"/>
        <v>0.0009222484</v>
      </c>
      <c r="F88" s="129">
        <f t="shared" si="74"/>
        <v>0.00001088</v>
      </c>
      <c r="G88" s="129">
        <f t="shared" si="74"/>
        <v>0.0008263132</v>
      </c>
      <c r="H88" s="129">
        <f t="shared" si="74"/>
        <v>0</v>
      </c>
      <c r="I88" s="129">
        <f t="shared" si="74"/>
        <v>0.000010298</v>
      </c>
      <c r="J88" s="129">
        <f t="shared" si="74"/>
        <v>0.000048482</v>
      </c>
      <c r="K88" s="129">
        <f t="shared" si="74"/>
        <v>0</v>
      </c>
      <c r="L88" s="129">
        <f t="shared" si="74"/>
        <v>0.0000758568</v>
      </c>
      <c r="M88" s="129">
        <f t="shared" si="74"/>
        <v>0.0007458236</v>
      </c>
      <c r="N88" s="129">
        <f t="shared" si="74"/>
        <v>0</v>
      </c>
      <c r="O88" s="129">
        <f t="shared" si="74"/>
        <v>0</v>
      </c>
      <c r="P88" s="129">
        <f t="shared" si="74"/>
        <v>0</v>
      </c>
      <c r="Q88" s="129">
        <f t="shared" si="74"/>
        <v>0</v>
      </c>
      <c r="R88" s="129">
        <f t="shared" si="74"/>
        <v>0</v>
      </c>
      <c r="S88" s="129">
        <f t="shared" si="74"/>
        <v>0</v>
      </c>
      <c r="T88" s="129">
        <f t="shared" si="74"/>
        <v>0</v>
      </c>
      <c r="U88" s="129">
        <f t="shared" si="74"/>
        <v>0</v>
      </c>
      <c r="V88" s="129">
        <f t="shared" si="74"/>
        <v>0</v>
      </c>
      <c r="W88" s="129">
        <f t="shared" si="74"/>
        <v>0</v>
      </c>
      <c r="X88" s="129">
        <f t="shared" si="74"/>
        <v>0</v>
      </c>
      <c r="Y88" s="129">
        <f t="shared" si="74"/>
        <v>0</v>
      </c>
      <c r="Z88" s="129">
        <f t="shared" si="74"/>
        <v>0</v>
      </c>
      <c r="AA88" s="129">
        <f t="shared" si="74"/>
        <v>0</v>
      </c>
      <c r="AB88" s="129">
        <f t="shared" si="74"/>
        <v>0</v>
      </c>
      <c r="AC88" s="129">
        <f t="shared" si="74"/>
        <v>0</v>
      </c>
      <c r="AD88" s="129">
        <f t="shared" si="74"/>
        <v>0</v>
      </c>
      <c r="AE88" s="129">
        <f t="shared" si="74"/>
        <v>0</v>
      </c>
      <c r="AF88" s="129">
        <f t="shared" si="74"/>
        <v>0</v>
      </c>
      <c r="AG88" s="129">
        <f t="shared" si="74"/>
        <v>0</v>
      </c>
      <c r="AH88" s="129">
        <f t="shared" si="74"/>
        <v>0</v>
      </c>
      <c r="AI88" s="129">
        <f t="shared" si="74"/>
        <v>0</v>
      </c>
      <c r="AJ88" s="129"/>
      <c r="AK88" s="129"/>
      <c r="AL88" s="129"/>
      <c r="AM88" s="130"/>
      <c r="AN88" s="130"/>
    </row>
    <row r="89">
      <c r="A89" s="131">
        <v>6.0E8</v>
      </c>
      <c r="B89" s="132" t="s">
        <v>409</v>
      </c>
      <c r="C89" s="133">
        <f t="shared" ref="C89:C90" si="75">sum(D89:AH89)</f>
        <v>82</v>
      </c>
      <c r="D89" s="134">
        <v>17.0</v>
      </c>
      <c r="E89" s="134">
        <v>51.0</v>
      </c>
      <c r="F89" s="134">
        <v>1.0</v>
      </c>
      <c r="G89" s="134">
        <v>2.0</v>
      </c>
      <c r="H89" s="134">
        <v>2.0</v>
      </c>
      <c r="I89" s="134">
        <v>3.0</v>
      </c>
      <c r="J89" s="134">
        <v>2.0</v>
      </c>
      <c r="K89" s="135">
        <v>1.0</v>
      </c>
      <c r="L89" s="135">
        <v>1.0</v>
      </c>
      <c r="M89" s="135">
        <v>2.0</v>
      </c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4"/>
      <c r="Z89" s="134"/>
      <c r="AA89" s="134"/>
      <c r="AB89" s="134"/>
      <c r="AC89" s="134"/>
      <c r="AD89" s="134"/>
      <c r="AE89" s="134"/>
      <c r="AF89" s="134"/>
      <c r="AG89" s="134"/>
      <c r="AH89" s="143"/>
      <c r="AI89" s="143"/>
      <c r="AJ89" s="143"/>
      <c r="AK89" s="143"/>
      <c r="AL89" s="143"/>
      <c r="AM89" s="144"/>
      <c r="AN89" s="144"/>
    </row>
    <row r="90">
      <c r="A90" s="127" t="s">
        <v>410</v>
      </c>
      <c r="B90" s="137" t="s">
        <v>411</v>
      </c>
      <c r="C90" s="133">
        <f t="shared" si="75"/>
        <v>34</v>
      </c>
      <c r="D90" s="134"/>
      <c r="E90" s="134">
        <v>12.0</v>
      </c>
      <c r="F90" s="133"/>
      <c r="G90" s="134">
        <v>4.0</v>
      </c>
      <c r="H90" s="134">
        <v>3.0</v>
      </c>
      <c r="I90" s="134">
        <v>3.0</v>
      </c>
      <c r="J90" s="134">
        <v>3.0</v>
      </c>
      <c r="K90" s="135">
        <v>3.0</v>
      </c>
      <c r="L90" s="135">
        <v>3.0</v>
      </c>
      <c r="M90" s="135">
        <v>3.0</v>
      </c>
      <c r="N90" s="139"/>
      <c r="O90" s="139"/>
      <c r="P90" s="139"/>
      <c r="Q90" s="139"/>
      <c r="R90" s="139"/>
      <c r="S90" s="139"/>
      <c r="T90" s="139"/>
      <c r="U90" s="139"/>
      <c r="V90" s="139"/>
      <c r="W90" s="145"/>
      <c r="X90" s="145"/>
      <c r="Y90" s="139"/>
      <c r="Z90" s="143"/>
      <c r="AA90" s="143"/>
      <c r="AB90" s="143"/>
      <c r="AC90" s="134"/>
      <c r="AD90" s="134"/>
      <c r="AE90" s="134"/>
      <c r="AF90" s="134"/>
      <c r="AG90" s="134"/>
      <c r="AH90" s="143"/>
      <c r="AI90" s="143"/>
      <c r="AJ90" s="143"/>
      <c r="AK90" s="143"/>
      <c r="AL90" s="143"/>
      <c r="AM90" s="144"/>
      <c r="AN90" s="144"/>
    </row>
    <row r="91">
      <c r="A91" s="127">
        <f>(A89-(C86 + C87))/80</f>
        <v>7417503.063</v>
      </c>
      <c r="B91" s="137" t="s">
        <v>412</v>
      </c>
      <c r="C91" s="133">
        <f>sum(D91:U91)</f>
        <v>0</v>
      </c>
      <c r="D91" s="134"/>
      <c r="E91" s="133"/>
      <c r="F91" s="133"/>
      <c r="G91" s="133"/>
      <c r="H91" s="133"/>
      <c r="I91" s="133"/>
      <c r="J91" s="133"/>
      <c r="K91" s="138"/>
      <c r="L91" s="139"/>
      <c r="M91" s="138"/>
      <c r="N91" s="139"/>
      <c r="O91" s="139"/>
      <c r="P91" s="139"/>
      <c r="Q91" s="139"/>
      <c r="R91" s="139"/>
      <c r="S91" s="139"/>
      <c r="T91" s="139"/>
      <c r="U91" s="139"/>
      <c r="V91" s="139"/>
      <c r="W91" s="145"/>
      <c r="X91" s="145"/>
      <c r="Y91" s="139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44"/>
      <c r="AN91" s="144"/>
    </row>
    <row r="92">
      <c r="A92" s="127"/>
      <c r="B92" s="158" t="s">
        <v>413</v>
      </c>
      <c r="C92" s="159"/>
      <c r="D92" s="159"/>
      <c r="E92" s="159"/>
      <c r="F92" s="159"/>
      <c r="G92" s="159"/>
      <c r="H92" s="147">
        <v>7142857.0</v>
      </c>
      <c r="I92" s="147">
        <v>7142857.0</v>
      </c>
      <c r="J92" s="147">
        <v>7142857.0</v>
      </c>
      <c r="K92" s="147">
        <v>7142857.0</v>
      </c>
      <c r="L92" s="147">
        <v>7142857.0</v>
      </c>
      <c r="M92" s="147">
        <v>7142857.0</v>
      </c>
      <c r="N92" s="147">
        <v>7142857.0</v>
      </c>
      <c r="O92" s="147">
        <v>7142857.0</v>
      </c>
      <c r="P92" s="147">
        <v>7142857.0</v>
      </c>
      <c r="Q92" s="147">
        <v>7142857.0</v>
      </c>
      <c r="R92" s="147">
        <v>7142857.0</v>
      </c>
      <c r="S92" s="147">
        <v>7142857.0</v>
      </c>
      <c r="T92" s="147">
        <v>7142857.0</v>
      </c>
      <c r="U92" s="147">
        <v>7142857.0</v>
      </c>
      <c r="V92" s="147">
        <v>7142857.0</v>
      </c>
      <c r="W92" s="147">
        <v>7142857.0</v>
      </c>
      <c r="X92" s="147">
        <v>7142857.0</v>
      </c>
      <c r="Y92" s="147">
        <v>7142857.0</v>
      </c>
      <c r="Z92" s="147">
        <v>7142857.0</v>
      </c>
      <c r="AA92" s="147">
        <v>7142857.0</v>
      </c>
      <c r="AB92" s="147">
        <v>7142857.0</v>
      </c>
      <c r="AC92" s="147">
        <v>7142857.0</v>
      </c>
      <c r="AD92" s="147">
        <v>7142857.0</v>
      </c>
      <c r="AE92" s="147">
        <v>7142857.0</v>
      </c>
      <c r="AF92" s="147">
        <v>7142857.0</v>
      </c>
      <c r="AG92" s="147">
        <v>7142857.0</v>
      </c>
      <c r="AH92" s="147">
        <v>7142857.0</v>
      </c>
      <c r="AI92" s="147">
        <v>7142857.0</v>
      </c>
      <c r="AJ92" s="160"/>
      <c r="AK92" s="160"/>
      <c r="AL92" s="160"/>
      <c r="AM92" s="161"/>
      <c r="AN92" s="161"/>
    </row>
    <row r="93">
      <c r="A93" s="127"/>
      <c r="B93" s="131" t="s">
        <v>415</v>
      </c>
      <c r="C93" s="159"/>
      <c r="D93" s="159"/>
      <c r="E93" s="159"/>
      <c r="F93" s="159"/>
      <c r="G93" s="159"/>
      <c r="H93" s="147" t="s">
        <v>446</v>
      </c>
      <c r="I93" s="147" t="s">
        <v>446</v>
      </c>
      <c r="J93" s="147" t="s">
        <v>446</v>
      </c>
      <c r="K93" s="147" t="s">
        <v>446</v>
      </c>
      <c r="L93" s="147" t="s">
        <v>446</v>
      </c>
      <c r="M93" s="147" t="s">
        <v>446</v>
      </c>
      <c r="N93" s="147" t="s">
        <v>446</v>
      </c>
      <c r="O93" s="147" t="s">
        <v>446</v>
      </c>
      <c r="P93" s="147" t="s">
        <v>446</v>
      </c>
      <c r="Q93" s="147" t="s">
        <v>446</v>
      </c>
      <c r="R93" s="147" t="s">
        <v>446</v>
      </c>
      <c r="S93" s="147" t="s">
        <v>446</v>
      </c>
      <c r="T93" s="147" t="s">
        <v>446</v>
      </c>
      <c r="U93" s="147" t="s">
        <v>446</v>
      </c>
      <c r="V93" s="147" t="s">
        <v>446</v>
      </c>
      <c r="W93" s="147" t="s">
        <v>446</v>
      </c>
      <c r="X93" s="147" t="s">
        <v>446</v>
      </c>
      <c r="Y93" s="147" t="s">
        <v>446</v>
      </c>
      <c r="Z93" s="147" t="s">
        <v>446</v>
      </c>
      <c r="AA93" s="147" t="s">
        <v>446</v>
      </c>
      <c r="AB93" s="147" t="s">
        <v>446</v>
      </c>
      <c r="AC93" s="147" t="s">
        <v>446</v>
      </c>
      <c r="AD93" s="147" t="s">
        <v>446</v>
      </c>
      <c r="AE93" s="147" t="s">
        <v>446</v>
      </c>
      <c r="AF93" s="147" t="s">
        <v>446</v>
      </c>
      <c r="AG93" s="147" t="s">
        <v>446</v>
      </c>
      <c r="AH93" s="147" t="s">
        <v>446</v>
      </c>
      <c r="AI93" s="147" t="s">
        <v>446</v>
      </c>
      <c r="AJ93" s="160"/>
      <c r="AK93" s="160"/>
      <c r="AL93" s="160"/>
      <c r="AM93" s="161"/>
      <c r="AN93" s="161"/>
    </row>
    <row r="94">
      <c r="A94" s="149" t="s">
        <v>430</v>
      </c>
      <c r="B94" s="162"/>
      <c r="C94" s="151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3"/>
      <c r="AD94" s="152"/>
      <c r="AE94" s="152"/>
      <c r="AF94" s="152"/>
      <c r="AG94" s="154" t="s">
        <v>418</v>
      </c>
      <c r="AH94" s="152"/>
      <c r="AI94" s="155"/>
      <c r="AJ94" s="155"/>
      <c r="AK94" s="155"/>
      <c r="AL94" s="155"/>
      <c r="AM94" s="152"/>
      <c r="AN94" s="152"/>
    </row>
    <row r="95">
      <c r="A95" s="113" t="s">
        <v>447</v>
      </c>
      <c r="B95" s="114"/>
      <c r="C95" s="115" t="s">
        <v>401</v>
      </c>
      <c r="D95" s="116" t="s">
        <v>341</v>
      </c>
      <c r="E95" s="116" t="s">
        <v>405</v>
      </c>
      <c r="F95" s="117">
        <v>46174.0</v>
      </c>
      <c r="G95" s="117">
        <v>46175.0</v>
      </c>
      <c r="H95" s="117">
        <v>46176.0</v>
      </c>
      <c r="I95" s="117">
        <v>46177.0</v>
      </c>
      <c r="J95" s="117">
        <v>46178.0</v>
      </c>
      <c r="K95" s="117">
        <v>46179.0</v>
      </c>
      <c r="L95" s="117">
        <v>46180.0</v>
      </c>
      <c r="M95" s="117">
        <v>46181.0</v>
      </c>
      <c r="N95" s="117">
        <v>46182.0</v>
      </c>
      <c r="O95" s="117">
        <v>46183.0</v>
      </c>
      <c r="P95" s="117">
        <v>46184.0</v>
      </c>
      <c r="Q95" s="117">
        <v>46185.0</v>
      </c>
      <c r="R95" s="117">
        <v>46186.0</v>
      </c>
      <c r="S95" s="117">
        <v>46187.0</v>
      </c>
      <c r="T95" s="117">
        <v>46188.0</v>
      </c>
      <c r="U95" s="117">
        <v>46189.0</v>
      </c>
      <c r="V95" s="117">
        <v>46190.0</v>
      </c>
      <c r="W95" s="117">
        <v>46191.0</v>
      </c>
      <c r="X95" s="117">
        <v>46192.0</v>
      </c>
      <c r="Y95" s="117">
        <v>46193.0</v>
      </c>
      <c r="Z95" s="117">
        <v>46194.0</v>
      </c>
      <c r="AA95" s="117">
        <v>46195.0</v>
      </c>
      <c r="AB95" s="117">
        <v>46196.0</v>
      </c>
      <c r="AC95" s="117">
        <v>46197.0</v>
      </c>
      <c r="AD95" s="117">
        <v>46198.0</v>
      </c>
      <c r="AE95" s="117">
        <v>46199.0</v>
      </c>
      <c r="AF95" s="117">
        <v>46200.0</v>
      </c>
      <c r="AG95" s="117">
        <v>46201.0</v>
      </c>
      <c r="AH95" s="117">
        <v>46202.0</v>
      </c>
      <c r="AI95" s="117">
        <v>46203.0</v>
      </c>
      <c r="AJ95" s="117"/>
      <c r="AK95" s="117"/>
      <c r="AL95" s="117"/>
      <c r="AM95" s="118"/>
      <c r="AN95" s="118"/>
    </row>
    <row r="96">
      <c r="A96" s="119" t="s">
        <v>169</v>
      </c>
      <c r="B96" s="120" t="s">
        <v>406</v>
      </c>
      <c r="C96" s="121">
        <f t="shared" ref="C96:C98" si="76">SUM(D96:AI96)</f>
        <v>3229955</v>
      </c>
      <c r="D96" s="122">
        <v>305933.0</v>
      </c>
      <c r="E96" s="122">
        <v>2550018.0</v>
      </c>
      <c r="F96" s="122">
        <v>0.0</v>
      </c>
      <c r="G96" s="122">
        <v>75650.0</v>
      </c>
      <c r="H96" s="122">
        <v>106425.0</v>
      </c>
      <c r="I96" s="122">
        <v>0.0</v>
      </c>
      <c r="J96" s="122">
        <v>92805.0</v>
      </c>
      <c r="K96" s="122">
        <v>99124.0</v>
      </c>
      <c r="L96" s="122">
        <v>0.0</v>
      </c>
      <c r="M96" s="122">
        <v>0.0</v>
      </c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  <c r="AL96" s="122"/>
      <c r="AM96" s="123"/>
      <c r="AN96" s="123"/>
    </row>
    <row r="97">
      <c r="A97" s="124"/>
      <c r="B97" s="180" t="s">
        <v>8</v>
      </c>
      <c r="C97" s="121">
        <f t="shared" si="76"/>
        <v>6660749</v>
      </c>
      <c r="D97" s="122">
        <v>0.0</v>
      </c>
      <c r="E97" s="122">
        <v>0.0</v>
      </c>
      <c r="F97" s="122">
        <v>0.0</v>
      </c>
      <c r="G97" s="122">
        <v>5752296.0</v>
      </c>
      <c r="H97" s="122">
        <v>0.0</v>
      </c>
      <c r="I97" s="122">
        <v>0.0</v>
      </c>
      <c r="J97" s="122">
        <v>0.0</v>
      </c>
      <c r="K97" s="126">
        <v>0.0</v>
      </c>
      <c r="L97" s="126">
        <v>0.0</v>
      </c>
      <c r="M97" s="126">
        <v>908453.0</v>
      </c>
      <c r="N97" s="181"/>
      <c r="O97" s="210"/>
      <c r="P97" s="181"/>
      <c r="Q97" s="107"/>
      <c r="R97" s="107"/>
      <c r="S97" s="107"/>
      <c r="T97" s="107"/>
      <c r="U97" s="107"/>
      <c r="V97" s="181"/>
      <c r="W97" s="107"/>
      <c r="X97" s="107"/>
      <c r="Y97" s="107"/>
      <c r="Z97" s="107"/>
      <c r="AA97" s="180"/>
      <c r="AB97" s="180"/>
      <c r="AC97" s="180"/>
      <c r="AD97" s="179"/>
      <c r="AE97" s="180"/>
      <c r="AF97" s="180"/>
      <c r="AG97" s="180"/>
      <c r="AH97" s="179"/>
      <c r="AI97" s="179"/>
      <c r="AJ97" s="179"/>
      <c r="AK97" s="179"/>
      <c r="AL97" s="179"/>
      <c r="AM97" s="202"/>
      <c r="AN97" s="202"/>
    </row>
    <row r="98">
      <c r="A98" s="127" t="s">
        <v>407</v>
      </c>
      <c r="B98" s="128" t="s">
        <v>408</v>
      </c>
      <c r="C98" s="129">
        <f t="shared" si="76"/>
        <v>0.0039562816</v>
      </c>
      <c r="D98" s="129">
        <f t="shared" ref="D98:AI98" si="77">(D96+D97)/2500000000</f>
        <v>0.0001223732</v>
      </c>
      <c r="E98" s="129">
        <f t="shared" si="77"/>
        <v>0.0010200072</v>
      </c>
      <c r="F98" s="129">
        <f t="shared" si="77"/>
        <v>0</v>
      </c>
      <c r="G98" s="129">
        <f t="shared" si="77"/>
        <v>0.0023311784</v>
      </c>
      <c r="H98" s="129">
        <f t="shared" si="77"/>
        <v>0.00004257</v>
      </c>
      <c r="I98" s="129">
        <f t="shared" si="77"/>
        <v>0</v>
      </c>
      <c r="J98" s="129">
        <f t="shared" si="77"/>
        <v>0.000037122</v>
      </c>
      <c r="K98" s="129">
        <f t="shared" si="77"/>
        <v>0.0000396496</v>
      </c>
      <c r="L98" s="129">
        <f t="shared" si="77"/>
        <v>0</v>
      </c>
      <c r="M98" s="129">
        <f t="shared" si="77"/>
        <v>0.0003633812</v>
      </c>
      <c r="N98" s="129">
        <f t="shared" si="77"/>
        <v>0</v>
      </c>
      <c r="O98" s="129">
        <f t="shared" si="77"/>
        <v>0</v>
      </c>
      <c r="P98" s="129">
        <f t="shared" si="77"/>
        <v>0</v>
      </c>
      <c r="Q98" s="129">
        <f t="shared" si="77"/>
        <v>0</v>
      </c>
      <c r="R98" s="129">
        <f t="shared" si="77"/>
        <v>0</v>
      </c>
      <c r="S98" s="129">
        <f t="shared" si="77"/>
        <v>0</v>
      </c>
      <c r="T98" s="129">
        <f t="shared" si="77"/>
        <v>0</v>
      </c>
      <c r="U98" s="129">
        <f t="shared" si="77"/>
        <v>0</v>
      </c>
      <c r="V98" s="129">
        <f t="shared" si="77"/>
        <v>0</v>
      </c>
      <c r="W98" s="129">
        <f t="shared" si="77"/>
        <v>0</v>
      </c>
      <c r="X98" s="129">
        <f t="shared" si="77"/>
        <v>0</v>
      </c>
      <c r="Y98" s="129">
        <f t="shared" si="77"/>
        <v>0</v>
      </c>
      <c r="Z98" s="129">
        <f t="shared" si="77"/>
        <v>0</v>
      </c>
      <c r="AA98" s="129">
        <f t="shared" si="77"/>
        <v>0</v>
      </c>
      <c r="AB98" s="129">
        <f t="shared" si="77"/>
        <v>0</v>
      </c>
      <c r="AC98" s="129">
        <f t="shared" si="77"/>
        <v>0</v>
      </c>
      <c r="AD98" s="129">
        <f t="shared" si="77"/>
        <v>0</v>
      </c>
      <c r="AE98" s="129">
        <f t="shared" si="77"/>
        <v>0</v>
      </c>
      <c r="AF98" s="129">
        <f t="shared" si="77"/>
        <v>0</v>
      </c>
      <c r="AG98" s="129">
        <f t="shared" si="77"/>
        <v>0</v>
      </c>
      <c r="AH98" s="129">
        <f t="shared" si="77"/>
        <v>0</v>
      </c>
      <c r="AI98" s="129">
        <f t="shared" si="77"/>
        <v>0</v>
      </c>
      <c r="AJ98" s="129"/>
      <c r="AK98" s="129"/>
      <c r="AL98" s="129"/>
      <c r="AM98" s="130"/>
      <c r="AN98" s="130"/>
    </row>
    <row r="99">
      <c r="A99" s="131">
        <v>6.0E8</v>
      </c>
      <c r="B99" s="132" t="s">
        <v>409</v>
      </c>
      <c r="C99" s="133">
        <f t="shared" ref="C99:C100" si="78">sum(D99:AH99)</f>
        <v>59</v>
      </c>
      <c r="D99" s="134">
        <v>5.0</v>
      </c>
      <c r="E99" s="134">
        <v>50.0</v>
      </c>
      <c r="F99" s="134">
        <v>1.0</v>
      </c>
      <c r="G99" s="134">
        <v>1.0</v>
      </c>
      <c r="H99" s="134">
        <v>1.0</v>
      </c>
      <c r="I99" s="134">
        <v>1.0</v>
      </c>
      <c r="J99" s="134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4"/>
      <c r="Z99" s="134"/>
      <c r="AA99" s="134"/>
      <c r="AB99" s="134"/>
      <c r="AC99" s="134"/>
      <c r="AD99" s="134"/>
      <c r="AE99" s="134"/>
      <c r="AF99" s="134"/>
      <c r="AG99" s="211"/>
      <c r="AH99" s="143"/>
      <c r="AI99" s="143"/>
      <c r="AJ99" s="143"/>
      <c r="AK99" s="143"/>
      <c r="AL99" s="143"/>
      <c r="AM99" s="144"/>
      <c r="AN99" s="144"/>
    </row>
    <row r="100">
      <c r="A100" s="127" t="s">
        <v>410</v>
      </c>
      <c r="B100" s="137" t="s">
        <v>411</v>
      </c>
      <c r="C100" s="133">
        <f t="shared" si="78"/>
        <v>0</v>
      </c>
      <c r="D100" s="133"/>
      <c r="E100" s="133"/>
      <c r="F100" s="133"/>
      <c r="G100" s="133"/>
      <c r="H100" s="133"/>
      <c r="I100" s="133"/>
      <c r="J100" s="133"/>
      <c r="K100" s="138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45"/>
      <c r="X100" s="145"/>
      <c r="Y100" s="139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  <c r="AM100" s="144"/>
      <c r="AN100" s="144"/>
    </row>
    <row r="101">
      <c r="A101" s="127">
        <f>(A99-(C96 + C97))/80</f>
        <v>7376366.2</v>
      </c>
      <c r="B101" s="137" t="s">
        <v>412</v>
      </c>
      <c r="C101" s="133">
        <f>sum(D101:U101)</f>
        <v>0</v>
      </c>
      <c r="D101" s="133"/>
      <c r="E101" s="133"/>
      <c r="F101" s="133"/>
      <c r="G101" s="133"/>
      <c r="H101" s="133"/>
      <c r="I101" s="133"/>
      <c r="J101" s="133"/>
      <c r="K101" s="138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45"/>
      <c r="X101" s="145"/>
      <c r="Y101" s="139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4"/>
      <c r="AN101" s="144"/>
    </row>
    <row r="102">
      <c r="A102" s="127"/>
      <c r="B102" s="158" t="s">
        <v>413</v>
      </c>
      <c r="C102" s="159"/>
      <c r="D102" s="159"/>
      <c r="E102" s="147">
        <v>7228916.0</v>
      </c>
      <c r="F102" s="147">
        <v>7228916.0</v>
      </c>
      <c r="G102" s="147">
        <v>7228916.0</v>
      </c>
      <c r="H102" s="147">
        <v>7228916.0</v>
      </c>
      <c r="I102" s="147">
        <v>7228916.0</v>
      </c>
      <c r="J102" s="147">
        <v>7228916.0</v>
      </c>
      <c r="K102" s="147">
        <v>7228916.0</v>
      </c>
      <c r="L102" s="147">
        <v>7228916.0</v>
      </c>
      <c r="M102" s="147">
        <v>7228916.0</v>
      </c>
      <c r="N102" s="147">
        <v>7228916.0</v>
      </c>
      <c r="O102" s="147">
        <v>7228916.0</v>
      </c>
      <c r="P102" s="147">
        <v>7228916.0</v>
      </c>
      <c r="Q102" s="147">
        <v>7228916.0</v>
      </c>
      <c r="R102" s="147">
        <v>7228916.0</v>
      </c>
      <c r="S102" s="147">
        <v>7228916.0</v>
      </c>
      <c r="T102" s="147">
        <v>7228916.0</v>
      </c>
      <c r="U102" s="147">
        <v>7228916.0</v>
      </c>
      <c r="V102" s="147">
        <v>7228916.0</v>
      </c>
      <c r="W102" s="147">
        <v>7228916.0</v>
      </c>
      <c r="X102" s="147">
        <v>7228916.0</v>
      </c>
      <c r="Y102" s="147">
        <v>7228916.0</v>
      </c>
      <c r="Z102" s="147">
        <v>7228916.0</v>
      </c>
      <c r="AA102" s="147">
        <v>7228916.0</v>
      </c>
      <c r="AB102" s="147">
        <v>7228916.0</v>
      </c>
      <c r="AC102" s="147">
        <v>7228916.0</v>
      </c>
      <c r="AD102" s="147">
        <v>7228916.0</v>
      </c>
      <c r="AE102" s="147">
        <v>7228916.0</v>
      </c>
      <c r="AF102" s="147">
        <v>7228916.0</v>
      </c>
      <c r="AG102" s="147">
        <v>7228916.0</v>
      </c>
      <c r="AH102" s="147">
        <v>7228916.0</v>
      </c>
      <c r="AI102" s="147">
        <v>7228916.0</v>
      </c>
      <c r="AJ102" s="160"/>
      <c r="AK102" s="160"/>
      <c r="AL102" s="160"/>
      <c r="AM102" s="161"/>
      <c r="AN102" s="161"/>
    </row>
    <row r="103">
      <c r="A103" s="127"/>
      <c r="B103" s="131" t="s">
        <v>415</v>
      </c>
      <c r="C103" s="159"/>
      <c r="D103" s="159"/>
      <c r="E103" s="147" t="s">
        <v>448</v>
      </c>
      <c r="F103" s="147" t="s">
        <v>448</v>
      </c>
      <c r="G103" s="147" t="s">
        <v>448</v>
      </c>
      <c r="H103" s="147" t="s">
        <v>448</v>
      </c>
      <c r="I103" s="147" t="s">
        <v>448</v>
      </c>
      <c r="J103" s="147" t="s">
        <v>448</v>
      </c>
      <c r="K103" s="147" t="s">
        <v>448</v>
      </c>
      <c r="L103" s="147" t="s">
        <v>448</v>
      </c>
      <c r="M103" s="147" t="s">
        <v>448</v>
      </c>
      <c r="N103" s="147" t="s">
        <v>448</v>
      </c>
      <c r="O103" s="147" t="s">
        <v>448</v>
      </c>
      <c r="P103" s="147" t="s">
        <v>448</v>
      </c>
      <c r="Q103" s="147" t="s">
        <v>448</v>
      </c>
      <c r="R103" s="147" t="s">
        <v>448</v>
      </c>
      <c r="S103" s="147" t="s">
        <v>448</v>
      </c>
      <c r="T103" s="147" t="s">
        <v>448</v>
      </c>
      <c r="U103" s="147" t="s">
        <v>448</v>
      </c>
      <c r="V103" s="147" t="s">
        <v>448</v>
      </c>
      <c r="W103" s="147" t="s">
        <v>448</v>
      </c>
      <c r="X103" s="147" t="s">
        <v>448</v>
      </c>
      <c r="Y103" s="147" t="s">
        <v>448</v>
      </c>
      <c r="Z103" s="147" t="s">
        <v>448</v>
      </c>
      <c r="AA103" s="147" t="s">
        <v>448</v>
      </c>
      <c r="AB103" s="147" t="s">
        <v>448</v>
      </c>
      <c r="AC103" s="147" t="s">
        <v>448</v>
      </c>
      <c r="AD103" s="147" t="s">
        <v>448</v>
      </c>
      <c r="AE103" s="147" t="s">
        <v>448</v>
      </c>
      <c r="AF103" s="147" t="s">
        <v>448</v>
      </c>
      <c r="AG103" s="147" t="s">
        <v>448</v>
      </c>
      <c r="AH103" s="147" t="s">
        <v>448</v>
      </c>
      <c r="AI103" s="147" t="s">
        <v>448</v>
      </c>
      <c r="AJ103" s="160"/>
      <c r="AK103" s="160"/>
      <c r="AL103" s="160"/>
      <c r="AM103" s="161"/>
      <c r="AN103" s="161"/>
    </row>
    <row r="104">
      <c r="A104" s="149" t="s">
        <v>430</v>
      </c>
      <c r="B104" s="162"/>
      <c r="C104" s="151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3"/>
      <c r="AD104" s="152"/>
      <c r="AE104" s="152"/>
      <c r="AF104" s="152"/>
      <c r="AG104" s="154" t="s">
        <v>418</v>
      </c>
      <c r="AH104" s="152"/>
      <c r="AI104" s="155"/>
      <c r="AJ104" s="155"/>
      <c r="AK104" s="155"/>
      <c r="AL104" s="155"/>
      <c r="AM104" s="152"/>
      <c r="AN104" s="152"/>
    </row>
    <row r="105">
      <c r="A105" s="113" t="s">
        <v>449</v>
      </c>
      <c r="B105" s="114"/>
      <c r="C105" s="115" t="s">
        <v>401</v>
      </c>
      <c r="D105" s="116" t="s">
        <v>405</v>
      </c>
      <c r="E105" s="117">
        <v>46174.0</v>
      </c>
      <c r="F105" s="117">
        <v>46175.0</v>
      </c>
      <c r="G105" s="117">
        <v>46176.0</v>
      </c>
      <c r="H105" s="117">
        <v>46177.0</v>
      </c>
      <c r="I105" s="117">
        <v>46178.0</v>
      </c>
      <c r="J105" s="117">
        <v>46179.0</v>
      </c>
      <c r="K105" s="117">
        <v>46180.0</v>
      </c>
      <c r="L105" s="117">
        <v>46181.0</v>
      </c>
      <c r="M105" s="117">
        <v>46182.0</v>
      </c>
      <c r="N105" s="117">
        <v>46183.0</v>
      </c>
      <c r="O105" s="117">
        <v>46184.0</v>
      </c>
      <c r="P105" s="117">
        <v>46185.0</v>
      </c>
      <c r="Q105" s="117">
        <v>46186.0</v>
      </c>
      <c r="R105" s="117">
        <v>46187.0</v>
      </c>
      <c r="S105" s="117">
        <v>46188.0</v>
      </c>
      <c r="T105" s="117">
        <v>46189.0</v>
      </c>
      <c r="U105" s="117">
        <v>46190.0</v>
      </c>
      <c r="V105" s="117">
        <v>46191.0</v>
      </c>
      <c r="W105" s="117">
        <v>46192.0</v>
      </c>
      <c r="X105" s="117">
        <v>46193.0</v>
      </c>
      <c r="Y105" s="117">
        <v>46194.0</v>
      </c>
      <c r="Z105" s="117">
        <v>46195.0</v>
      </c>
      <c r="AA105" s="117">
        <v>46196.0</v>
      </c>
      <c r="AB105" s="117">
        <v>46197.0</v>
      </c>
      <c r="AC105" s="117">
        <v>46198.0</v>
      </c>
      <c r="AD105" s="117">
        <v>46199.0</v>
      </c>
      <c r="AE105" s="117">
        <v>46200.0</v>
      </c>
      <c r="AF105" s="117">
        <v>46201.0</v>
      </c>
      <c r="AG105" s="117">
        <v>46202.0</v>
      </c>
      <c r="AH105" s="117">
        <v>46203.0</v>
      </c>
      <c r="AI105" s="117"/>
      <c r="AJ105" s="176"/>
      <c r="AK105" s="176"/>
      <c r="AL105" s="176"/>
      <c r="AM105" s="177"/>
      <c r="AN105" s="177"/>
    </row>
    <row r="106">
      <c r="A106" s="119" t="s">
        <v>168</v>
      </c>
      <c r="B106" s="120" t="s">
        <v>406</v>
      </c>
      <c r="C106" s="193">
        <f t="shared" ref="C106:C107" si="79">SUM(D106:AH106)</f>
        <v>2460596</v>
      </c>
      <c r="D106" s="194">
        <v>1277609.0</v>
      </c>
      <c r="E106" s="194">
        <v>45698.0</v>
      </c>
      <c r="F106" s="122">
        <v>100604.0</v>
      </c>
      <c r="G106" s="122">
        <v>251023.0</v>
      </c>
      <c r="H106" s="122">
        <v>177617.0</v>
      </c>
      <c r="I106" s="122">
        <v>213094.0</v>
      </c>
      <c r="J106" s="122">
        <v>151131.0</v>
      </c>
      <c r="K106" s="122">
        <v>100740.0</v>
      </c>
      <c r="L106" s="122">
        <v>94080.0</v>
      </c>
      <c r="M106" s="122">
        <v>49000.0</v>
      </c>
      <c r="N106" s="126"/>
      <c r="O106" s="126"/>
      <c r="P106" s="122"/>
      <c r="Q106" s="126"/>
      <c r="R106" s="126"/>
      <c r="S106" s="126"/>
      <c r="T106" s="126"/>
      <c r="U106" s="126"/>
      <c r="V106" s="126"/>
      <c r="W106" s="126"/>
      <c r="X106" s="126"/>
      <c r="Y106" s="122"/>
      <c r="Z106" s="122"/>
      <c r="AA106" s="122"/>
      <c r="AB106" s="123"/>
      <c r="AC106" s="120"/>
      <c r="AD106" s="120"/>
      <c r="AE106" s="120"/>
      <c r="AF106" s="120"/>
      <c r="AG106" s="120"/>
      <c r="AH106" s="120"/>
      <c r="AI106" s="120"/>
      <c r="AJ106" s="120"/>
      <c r="AK106" s="120"/>
      <c r="AL106" s="120"/>
      <c r="AM106" s="184"/>
      <c r="AN106" s="184"/>
    </row>
    <row r="107">
      <c r="A107" s="124"/>
      <c r="B107" s="120" t="s">
        <v>8</v>
      </c>
      <c r="C107" s="121">
        <f t="shared" si="79"/>
        <v>14868426</v>
      </c>
      <c r="D107" s="126">
        <v>3042119.0</v>
      </c>
      <c r="E107" s="126">
        <v>0.0</v>
      </c>
      <c r="F107" s="122">
        <v>9160220.0</v>
      </c>
      <c r="G107" s="122">
        <v>0.0</v>
      </c>
      <c r="H107" s="122">
        <v>0.0</v>
      </c>
      <c r="I107" s="122">
        <v>0.0</v>
      </c>
      <c r="J107" s="122">
        <v>0.0</v>
      </c>
      <c r="K107" s="122">
        <v>0.0</v>
      </c>
      <c r="L107" s="122">
        <v>2666087.0</v>
      </c>
      <c r="M107" s="122"/>
      <c r="N107" s="122"/>
      <c r="O107" s="122"/>
      <c r="P107" s="122"/>
      <c r="Q107" s="122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2"/>
      <c r="AB107" s="122"/>
      <c r="AC107" s="120"/>
      <c r="AD107" s="120"/>
      <c r="AE107" s="120"/>
      <c r="AF107" s="120"/>
      <c r="AG107" s="120"/>
      <c r="AH107" s="120"/>
      <c r="AI107" s="120"/>
      <c r="AJ107" s="120"/>
      <c r="AK107" s="120"/>
      <c r="AL107" s="120"/>
      <c r="AM107" s="184"/>
      <c r="AN107" s="184"/>
    </row>
    <row r="108">
      <c r="A108" s="127" t="s">
        <v>407</v>
      </c>
      <c r="B108" s="128" t="s">
        <v>408</v>
      </c>
      <c r="C108" s="129">
        <f>SUM(D108:S108)</f>
        <v>0.0069316088</v>
      </c>
      <c r="D108" s="129">
        <f t="shared" ref="D108:AH108" si="80">(D106+D107)/2500000000</f>
        <v>0.0017278912</v>
      </c>
      <c r="E108" s="129">
        <f t="shared" si="80"/>
        <v>0.0000182792</v>
      </c>
      <c r="F108" s="129">
        <f t="shared" si="80"/>
        <v>0.0037043296</v>
      </c>
      <c r="G108" s="129">
        <f t="shared" si="80"/>
        <v>0.0001004092</v>
      </c>
      <c r="H108" s="129">
        <f t="shared" si="80"/>
        <v>0.0000710468</v>
      </c>
      <c r="I108" s="129">
        <f t="shared" si="80"/>
        <v>0.0000852376</v>
      </c>
      <c r="J108" s="129">
        <f t="shared" si="80"/>
        <v>0.0000604524</v>
      </c>
      <c r="K108" s="129">
        <f t="shared" si="80"/>
        <v>0.000040296</v>
      </c>
      <c r="L108" s="129">
        <f t="shared" si="80"/>
        <v>0.0011040668</v>
      </c>
      <c r="M108" s="129">
        <f t="shared" si="80"/>
        <v>0.0000196</v>
      </c>
      <c r="N108" s="129">
        <f t="shared" si="80"/>
        <v>0</v>
      </c>
      <c r="O108" s="129">
        <f t="shared" si="80"/>
        <v>0</v>
      </c>
      <c r="P108" s="129">
        <f t="shared" si="80"/>
        <v>0</v>
      </c>
      <c r="Q108" s="129">
        <f t="shared" si="80"/>
        <v>0</v>
      </c>
      <c r="R108" s="129">
        <f t="shared" si="80"/>
        <v>0</v>
      </c>
      <c r="S108" s="129">
        <f t="shared" si="80"/>
        <v>0</v>
      </c>
      <c r="T108" s="129">
        <f t="shared" si="80"/>
        <v>0</v>
      </c>
      <c r="U108" s="129">
        <f t="shared" si="80"/>
        <v>0</v>
      </c>
      <c r="V108" s="129">
        <f t="shared" si="80"/>
        <v>0</v>
      </c>
      <c r="W108" s="129">
        <f t="shared" si="80"/>
        <v>0</v>
      </c>
      <c r="X108" s="129">
        <f t="shared" si="80"/>
        <v>0</v>
      </c>
      <c r="Y108" s="129">
        <f t="shared" si="80"/>
        <v>0</v>
      </c>
      <c r="Z108" s="129">
        <f t="shared" si="80"/>
        <v>0</v>
      </c>
      <c r="AA108" s="129">
        <f t="shared" si="80"/>
        <v>0</v>
      </c>
      <c r="AB108" s="129">
        <f t="shared" si="80"/>
        <v>0</v>
      </c>
      <c r="AC108" s="129">
        <f t="shared" si="80"/>
        <v>0</v>
      </c>
      <c r="AD108" s="129">
        <f t="shared" si="80"/>
        <v>0</v>
      </c>
      <c r="AE108" s="129">
        <f t="shared" si="80"/>
        <v>0</v>
      </c>
      <c r="AF108" s="129">
        <f t="shared" si="80"/>
        <v>0</v>
      </c>
      <c r="AG108" s="129">
        <f t="shared" si="80"/>
        <v>0</v>
      </c>
      <c r="AH108" s="129">
        <f t="shared" si="80"/>
        <v>0</v>
      </c>
      <c r="AI108" s="173"/>
      <c r="AJ108" s="173"/>
      <c r="AK108" s="173"/>
      <c r="AL108" s="173"/>
      <c r="AM108" s="174"/>
      <c r="AN108" s="174"/>
    </row>
    <row r="109">
      <c r="A109" s="131">
        <v>1.5E9</v>
      </c>
      <c r="B109" s="132" t="s">
        <v>409</v>
      </c>
      <c r="C109" s="133">
        <f t="shared" ref="C109:C110" si="81">sum(D109:AH109)</f>
        <v>68</v>
      </c>
      <c r="D109" s="134">
        <v>54.0</v>
      </c>
      <c r="E109" s="134">
        <v>1.0</v>
      </c>
      <c r="F109" s="134">
        <v>2.0</v>
      </c>
      <c r="G109" s="134">
        <v>2.0</v>
      </c>
      <c r="H109" s="134">
        <v>3.0</v>
      </c>
      <c r="I109" s="134">
        <v>2.0</v>
      </c>
      <c r="J109" s="134">
        <v>1.0</v>
      </c>
      <c r="K109" s="135">
        <v>1.0</v>
      </c>
      <c r="L109" s="135">
        <v>2.0</v>
      </c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4"/>
      <c r="Z109" s="134"/>
      <c r="AA109" s="134"/>
      <c r="AB109" s="134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43"/>
      <c r="AM109" s="144"/>
      <c r="AN109" s="144"/>
    </row>
    <row r="110">
      <c r="A110" s="127" t="s">
        <v>410</v>
      </c>
      <c r="B110" s="137" t="s">
        <v>411</v>
      </c>
      <c r="C110" s="133">
        <f t="shared" si="81"/>
        <v>37</v>
      </c>
      <c r="D110" s="134">
        <v>25.0</v>
      </c>
      <c r="E110" s="134">
        <v>1.0</v>
      </c>
      <c r="F110" s="134">
        <v>1.0</v>
      </c>
      <c r="G110" s="134">
        <v>2.0</v>
      </c>
      <c r="H110" s="134">
        <v>1.0</v>
      </c>
      <c r="I110" s="134">
        <v>2.0</v>
      </c>
      <c r="J110" s="134">
        <v>2.0</v>
      </c>
      <c r="K110" s="135">
        <v>2.0</v>
      </c>
      <c r="L110" s="135">
        <v>1.0</v>
      </c>
      <c r="M110" s="139"/>
      <c r="N110" s="139"/>
      <c r="O110" s="139"/>
      <c r="P110" s="139"/>
      <c r="Q110" s="135"/>
      <c r="R110" s="135"/>
      <c r="S110" s="135"/>
      <c r="T110" s="135"/>
      <c r="U110" s="135"/>
      <c r="V110" s="135"/>
      <c r="W110" s="135"/>
      <c r="X110" s="135"/>
      <c r="Y110" s="135"/>
      <c r="Z110" s="134"/>
      <c r="AA110" s="134"/>
      <c r="AB110" s="134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43"/>
      <c r="AM110" s="144"/>
      <c r="AN110" s="144"/>
    </row>
    <row r="111">
      <c r="A111" s="127">
        <f>(A109-(C106 + C107))/80</f>
        <v>18533387.23</v>
      </c>
      <c r="B111" s="137" t="s">
        <v>412</v>
      </c>
      <c r="C111" s="133">
        <f>sum(D111:U111)</f>
        <v>0</v>
      </c>
      <c r="D111" s="133"/>
      <c r="E111" s="133"/>
      <c r="F111" s="133"/>
      <c r="G111" s="133"/>
      <c r="H111" s="133"/>
      <c r="I111" s="133"/>
      <c r="J111" s="133"/>
      <c r="K111" s="138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45"/>
      <c r="X111" s="145"/>
      <c r="Y111" s="139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43"/>
      <c r="AM111" s="144"/>
      <c r="AN111" s="144"/>
    </row>
    <row r="112">
      <c r="A112" s="127"/>
      <c r="B112" s="158" t="s">
        <v>413</v>
      </c>
      <c r="C112" s="159"/>
      <c r="D112" s="147">
        <v>1.5463918E7</v>
      </c>
      <c r="E112" s="147">
        <v>1.5463918E7</v>
      </c>
      <c r="F112" s="147">
        <v>1.5463918E7</v>
      </c>
      <c r="G112" s="147">
        <v>1.5463918E7</v>
      </c>
      <c r="H112" s="147">
        <v>1.5463918E7</v>
      </c>
      <c r="I112" s="147">
        <v>1.5463918E7</v>
      </c>
      <c r="J112" s="147">
        <v>1.5463918E7</v>
      </c>
      <c r="K112" s="147">
        <v>1.5463918E7</v>
      </c>
      <c r="L112" s="147">
        <v>1.5463918E7</v>
      </c>
      <c r="M112" s="147">
        <v>1.5463918E7</v>
      </c>
      <c r="N112" s="147">
        <v>1.5463918E7</v>
      </c>
      <c r="O112" s="147">
        <v>1.5463918E7</v>
      </c>
      <c r="P112" s="147">
        <v>1.5463918E7</v>
      </c>
      <c r="Q112" s="147">
        <v>1.5463918E7</v>
      </c>
      <c r="R112" s="147">
        <v>1.5463918E7</v>
      </c>
      <c r="S112" s="147">
        <v>1.5463918E7</v>
      </c>
      <c r="T112" s="147">
        <v>1.5463918E7</v>
      </c>
      <c r="U112" s="147">
        <v>1.5463918E7</v>
      </c>
      <c r="V112" s="147">
        <v>1.5463918E7</v>
      </c>
      <c r="W112" s="147">
        <v>1.5463918E7</v>
      </c>
      <c r="X112" s="147">
        <v>1.5463918E7</v>
      </c>
      <c r="Y112" s="147">
        <v>1.5463918E7</v>
      </c>
      <c r="Z112" s="147">
        <v>1.5463918E7</v>
      </c>
      <c r="AA112" s="147">
        <v>1.5463918E7</v>
      </c>
      <c r="AB112" s="147">
        <v>1.5463918E7</v>
      </c>
      <c r="AC112" s="147">
        <v>1.5463918E7</v>
      </c>
      <c r="AD112" s="147">
        <v>1.5463918E7</v>
      </c>
      <c r="AE112" s="147">
        <v>1.5463918E7</v>
      </c>
      <c r="AF112" s="147">
        <v>1.5463918E7</v>
      </c>
      <c r="AG112" s="147">
        <v>1.5463918E7</v>
      </c>
      <c r="AH112" s="147">
        <v>1.5463918E7</v>
      </c>
      <c r="AI112" s="160"/>
      <c r="AJ112" s="160"/>
      <c r="AK112" s="160"/>
      <c r="AL112" s="160"/>
      <c r="AM112" s="161"/>
      <c r="AN112" s="161"/>
    </row>
    <row r="113">
      <c r="A113" s="127"/>
      <c r="B113" s="131" t="s">
        <v>415</v>
      </c>
      <c r="C113" s="159"/>
      <c r="D113" s="147" t="s">
        <v>450</v>
      </c>
      <c r="E113" s="147" t="s">
        <v>450</v>
      </c>
      <c r="F113" s="147" t="s">
        <v>450</v>
      </c>
      <c r="G113" s="147" t="s">
        <v>450</v>
      </c>
      <c r="H113" s="147" t="s">
        <v>450</v>
      </c>
      <c r="I113" s="147" t="s">
        <v>450</v>
      </c>
      <c r="J113" s="147" t="s">
        <v>450</v>
      </c>
      <c r="K113" s="147" t="s">
        <v>450</v>
      </c>
      <c r="L113" s="147" t="s">
        <v>450</v>
      </c>
      <c r="M113" s="147" t="s">
        <v>450</v>
      </c>
      <c r="N113" s="147" t="s">
        <v>450</v>
      </c>
      <c r="O113" s="147" t="s">
        <v>450</v>
      </c>
      <c r="P113" s="147" t="s">
        <v>450</v>
      </c>
      <c r="Q113" s="147" t="s">
        <v>450</v>
      </c>
      <c r="R113" s="147" t="s">
        <v>450</v>
      </c>
      <c r="S113" s="147" t="s">
        <v>450</v>
      </c>
      <c r="T113" s="147" t="s">
        <v>450</v>
      </c>
      <c r="U113" s="147" t="s">
        <v>450</v>
      </c>
      <c r="V113" s="147" t="s">
        <v>450</v>
      </c>
      <c r="W113" s="147" t="s">
        <v>450</v>
      </c>
      <c r="X113" s="147" t="s">
        <v>450</v>
      </c>
      <c r="Y113" s="147" t="s">
        <v>450</v>
      </c>
      <c r="Z113" s="147" t="s">
        <v>450</v>
      </c>
      <c r="AA113" s="147" t="s">
        <v>450</v>
      </c>
      <c r="AB113" s="147" t="s">
        <v>450</v>
      </c>
      <c r="AC113" s="147" t="s">
        <v>450</v>
      </c>
      <c r="AD113" s="147" t="s">
        <v>450</v>
      </c>
      <c r="AE113" s="147" t="s">
        <v>450</v>
      </c>
      <c r="AF113" s="147" t="s">
        <v>450</v>
      </c>
      <c r="AG113" s="147" t="s">
        <v>450</v>
      </c>
      <c r="AH113" s="147" t="s">
        <v>450</v>
      </c>
      <c r="AI113" s="160"/>
      <c r="AJ113" s="160"/>
      <c r="AK113" s="160"/>
      <c r="AL113" s="160"/>
      <c r="AM113" s="161"/>
      <c r="AN113" s="161"/>
    </row>
    <row r="114">
      <c r="A114" s="149" t="s">
        <v>430</v>
      </c>
      <c r="B114" s="162"/>
      <c r="C114" s="151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3"/>
      <c r="AD114" s="152"/>
      <c r="AE114" s="152"/>
      <c r="AF114" s="152"/>
      <c r="AG114" s="154" t="s">
        <v>418</v>
      </c>
      <c r="AH114" s="152"/>
      <c r="AI114" s="155"/>
      <c r="AJ114" s="212"/>
      <c r="AK114" s="155"/>
      <c r="AL114" s="155"/>
      <c r="AM114" s="152"/>
      <c r="AN114" s="152"/>
    </row>
    <row r="115">
      <c r="A115" s="113" t="s">
        <v>451</v>
      </c>
      <c r="B115" s="114"/>
      <c r="C115" s="115" t="s">
        <v>401</v>
      </c>
      <c r="D115" s="116" t="s">
        <v>425</v>
      </c>
      <c r="E115" s="116" t="s">
        <v>403</v>
      </c>
      <c r="F115" s="116" t="s">
        <v>404</v>
      </c>
      <c r="G115" s="116" t="s">
        <v>341</v>
      </c>
      <c r="H115" s="116" t="s">
        <v>405</v>
      </c>
      <c r="I115" s="117">
        <v>46174.0</v>
      </c>
      <c r="J115" s="117">
        <v>46175.0</v>
      </c>
      <c r="K115" s="117">
        <v>46176.0</v>
      </c>
      <c r="L115" s="117">
        <v>46177.0</v>
      </c>
      <c r="M115" s="117">
        <v>46178.0</v>
      </c>
      <c r="N115" s="117">
        <v>46179.0</v>
      </c>
      <c r="O115" s="117">
        <v>46180.0</v>
      </c>
      <c r="P115" s="117">
        <v>46181.0</v>
      </c>
      <c r="Q115" s="117">
        <v>46182.0</v>
      </c>
      <c r="R115" s="117">
        <v>46183.0</v>
      </c>
      <c r="S115" s="117">
        <v>46184.0</v>
      </c>
      <c r="T115" s="117">
        <v>46185.0</v>
      </c>
      <c r="U115" s="117">
        <v>46186.0</v>
      </c>
      <c r="V115" s="117">
        <v>46187.0</v>
      </c>
      <c r="W115" s="117">
        <v>46188.0</v>
      </c>
      <c r="X115" s="117">
        <v>46189.0</v>
      </c>
      <c r="Y115" s="117">
        <v>46190.0</v>
      </c>
      <c r="Z115" s="117">
        <v>46191.0</v>
      </c>
      <c r="AA115" s="117">
        <v>46192.0</v>
      </c>
      <c r="AB115" s="117">
        <v>46193.0</v>
      </c>
      <c r="AC115" s="117">
        <v>46194.0</v>
      </c>
      <c r="AD115" s="117">
        <v>46195.0</v>
      </c>
      <c r="AE115" s="117">
        <v>46196.0</v>
      </c>
      <c r="AF115" s="117">
        <v>46197.0</v>
      </c>
      <c r="AG115" s="117">
        <v>46198.0</v>
      </c>
      <c r="AH115" s="117">
        <v>46199.0</v>
      </c>
      <c r="AI115" s="117">
        <v>46200.0</v>
      </c>
      <c r="AJ115" s="117">
        <v>46201.0</v>
      </c>
      <c r="AK115" s="117">
        <v>46202.0</v>
      </c>
      <c r="AL115" s="117">
        <v>46203.0</v>
      </c>
      <c r="AM115" s="118"/>
      <c r="AN115" s="118"/>
    </row>
    <row r="116">
      <c r="A116" s="167" t="s">
        <v>395</v>
      </c>
      <c r="B116" s="168" t="s">
        <v>426</v>
      </c>
      <c r="C116" s="169">
        <f t="shared" ref="C116:C117" si="82">SUM(D116:AL116)</f>
        <v>1198</v>
      </c>
      <c r="D116" s="168"/>
      <c r="E116" s="170"/>
      <c r="F116" s="168"/>
      <c r="G116" s="168">
        <v>100.0</v>
      </c>
      <c r="H116" s="168">
        <v>1024.0</v>
      </c>
      <c r="I116" s="168"/>
      <c r="J116" s="168"/>
      <c r="K116" s="168"/>
      <c r="L116" s="59"/>
      <c r="M116" s="59">
        <v>74.0</v>
      </c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168"/>
      <c r="AE116" s="59"/>
      <c r="AF116" s="59"/>
      <c r="AG116" s="59"/>
      <c r="AH116" s="59"/>
      <c r="AI116" s="168"/>
      <c r="AJ116" s="168"/>
      <c r="AK116" s="168"/>
      <c r="AL116" s="168"/>
      <c r="AM116" s="171"/>
      <c r="AN116" s="171"/>
    </row>
    <row r="117">
      <c r="A117" s="124"/>
      <c r="B117" s="168" t="s">
        <v>427</v>
      </c>
      <c r="C117" s="169">
        <f t="shared" si="82"/>
        <v>1280</v>
      </c>
      <c r="D117" s="168"/>
      <c r="E117" s="170"/>
      <c r="F117" s="168"/>
      <c r="G117" s="168"/>
      <c r="H117" s="168">
        <v>966.0</v>
      </c>
      <c r="I117" s="168">
        <v>84.0</v>
      </c>
      <c r="J117" s="168">
        <v>48.0</v>
      </c>
      <c r="K117" s="168">
        <v>16.0</v>
      </c>
      <c r="L117" s="59">
        <v>140.0</v>
      </c>
      <c r="M117" s="59">
        <v>26.0</v>
      </c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168"/>
      <c r="AE117" s="59"/>
      <c r="AF117" s="59"/>
      <c r="AG117" s="59"/>
      <c r="AH117" s="59"/>
      <c r="AI117" s="168"/>
      <c r="AJ117" s="168"/>
      <c r="AK117" s="168"/>
      <c r="AL117" s="168"/>
      <c r="AM117" s="171"/>
      <c r="AN117" s="171"/>
    </row>
    <row r="118">
      <c r="A118" s="131" t="s">
        <v>374</v>
      </c>
      <c r="B118" s="172">
        <v>3000.0</v>
      </c>
      <c r="C118" s="129">
        <f t="shared" ref="C118:C119" si="84">IFERROR(C116/B118,"N/A")</f>
        <v>0.3993333333</v>
      </c>
      <c r="D118" s="129">
        <f t="shared" ref="D118:D119" si="85">IFERROR(D116/B118,"N/A")</f>
        <v>0</v>
      </c>
      <c r="E118" s="129">
        <f t="shared" ref="E118:E119" si="86">IFERROR(E116/B118,"N/A")</f>
        <v>0</v>
      </c>
      <c r="F118" s="129">
        <f t="shared" ref="F118:F119" si="87">IFERROR(F116/B118,"N/A")</f>
        <v>0</v>
      </c>
      <c r="G118" s="129">
        <f t="shared" ref="G118:G119" si="88">IFERROR(G116/B118,"N/A")</f>
        <v>0.03333333333</v>
      </c>
      <c r="H118" s="129">
        <f t="shared" ref="H118:H119" si="89">IFERROR(H116/B118,"N/A")</f>
        <v>0.3413333333</v>
      </c>
      <c r="I118" s="129">
        <f t="shared" ref="I118:I119" si="90">IFERROR(I116/B118,"N/A")</f>
        <v>0</v>
      </c>
      <c r="J118" s="129">
        <f t="shared" ref="J118:J119" si="91">IFERROR(J116/B118,"N/A")</f>
        <v>0</v>
      </c>
      <c r="K118" s="129">
        <f t="shared" ref="K118:K119" si="92">IFERROR(K116/B118,"N/A")</f>
        <v>0</v>
      </c>
      <c r="L118" s="129">
        <f t="shared" ref="L118:L119" si="93">IFERROR(L116/B118,"N/A")</f>
        <v>0</v>
      </c>
      <c r="M118" s="129">
        <f t="shared" ref="M118:M119" si="94">IFERROR(M116/B118,"N/A")</f>
        <v>0.02466666667</v>
      </c>
      <c r="N118" s="129">
        <f t="shared" ref="N118:N119" si="95">IFERROR(N116/B118,"N/A")</f>
        <v>0</v>
      </c>
      <c r="O118" s="129">
        <f t="shared" ref="O118:O119" si="96">IFERROR(O116/B118,"N/A")</f>
        <v>0</v>
      </c>
      <c r="P118" s="129">
        <f t="shared" ref="P118:P119" si="97">IFERROR(P116/B118,"N/A")</f>
        <v>0</v>
      </c>
      <c r="Q118" s="129">
        <f t="shared" ref="Q118:Q119" si="98">IFERROR(Q116/B118,"N/A")</f>
        <v>0</v>
      </c>
      <c r="R118" s="129">
        <f t="shared" ref="R118:R119" si="99">IFERROR(R116/B118,"N/A")</f>
        <v>0</v>
      </c>
      <c r="S118" s="129">
        <f t="shared" ref="S118:S119" si="100">IFERROR(S116/B118,"N/A")</f>
        <v>0</v>
      </c>
      <c r="T118" s="129">
        <f t="shared" ref="T118:T119" si="101">IFERROR(T116/B118,"N/A")</f>
        <v>0</v>
      </c>
      <c r="U118" s="129">
        <f t="shared" ref="U118:U119" si="102">IFERROR(U116/B118,"N/A")</f>
        <v>0</v>
      </c>
      <c r="V118" s="129">
        <f t="shared" ref="V118:V119" si="103">IFERROR(V116/B118,"N/A")</f>
        <v>0</v>
      </c>
      <c r="W118" s="129">
        <f t="shared" ref="W118:W119" si="104">IFERROR(W116/B118,"N/A")</f>
        <v>0</v>
      </c>
      <c r="X118" s="129">
        <f t="shared" ref="X118:X119" si="105">IFERROR(X116/B118,"N/A")</f>
        <v>0</v>
      </c>
      <c r="Y118" s="129">
        <f t="shared" ref="Y118:Y119" si="106">IFERROR(Y116/B118,"N/A")</f>
        <v>0</v>
      </c>
      <c r="Z118" s="173">
        <f t="shared" ref="Z118:Z119" si="107">IFERROR(Z116/B118,"N/A")</f>
        <v>0</v>
      </c>
      <c r="AA118" s="173">
        <f t="shared" ref="AA118:AA119" si="108">IFERROR(AA116/B118,"N/A")</f>
        <v>0</v>
      </c>
      <c r="AB118" s="173">
        <f t="shared" ref="AB118:AB119" si="109">IFERROR(AB116/B118,"N/A")</f>
        <v>0</v>
      </c>
      <c r="AC118" s="173">
        <f t="shared" ref="AC118:AC119" si="110">IFERROR(AC116/B118,"N/A")</f>
        <v>0</v>
      </c>
      <c r="AD118" s="173">
        <f t="shared" ref="AD118:AD119" si="111">IFERROR(AD116/B118,"N/A")</f>
        <v>0</v>
      </c>
      <c r="AE118" s="129">
        <f t="shared" ref="AE118:AE119" si="112">IFERROR(AE116/B118,"N/A")</f>
        <v>0</v>
      </c>
      <c r="AF118" s="129">
        <f t="shared" ref="AF118:AF119" si="113">IFERROR(AF116/B118,"N/A")</f>
        <v>0</v>
      </c>
      <c r="AG118" s="173">
        <f t="shared" ref="AG118:AG119" si="114">IFERROR(AG116/B118,"N/A")</f>
        <v>0</v>
      </c>
      <c r="AH118" s="173">
        <f t="shared" ref="AH118:AH119" si="115">IFERROR(AH116/B118,"N/A")</f>
        <v>0</v>
      </c>
      <c r="AI118" s="173">
        <f t="shared" ref="AI118:AI119" si="116">IFERROR(AI116/B118,"N/A")</f>
        <v>0</v>
      </c>
      <c r="AJ118" s="173">
        <f t="shared" ref="AJ118:AL118" si="83">IFERROR(AJ116/B118,"N/A")</f>
        <v>0</v>
      </c>
      <c r="AK118" s="173">
        <f t="shared" si="83"/>
        <v>0</v>
      </c>
      <c r="AL118" s="173" t="str">
        <f t="shared" si="83"/>
        <v>N/A</v>
      </c>
      <c r="AM118" s="174"/>
      <c r="AN118" s="174"/>
    </row>
    <row r="119">
      <c r="A119" s="131" t="s">
        <v>375</v>
      </c>
      <c r="B119" s="172">
        <v>10000.0</v>
      </c>
      <c r="C119" s="129">
        <f t="shared" si="84"/>
        <v>0.128</v>
      </c>
      <c r="D119" s="129">
        <f t="shared" si="85"/>
        <v>0</v>
      </c>
      <c r="E119" s="129">
        <f t="shared" si="86"/>
        <v>0</v>
      </c>
      <c r="F119" s="129">
        <f t="shared" si="87"/>
        <v>0</v>
      </c>
      <c r="G119" s="129">
        <f t="shared" si="88"/>
        <v>0</v>
      </c>
      <c r="H119" s="129">
        <f t="shared" si="89"/>
        <v>0.0966</v>
      </c>
      <c r="I119" s="129">
        <f t="shared" si="90"/>
        <v>0.0084</v>
      </c>
      <c r="J119" s="129">
        <f t="shared" si="91"/>
        <v>0.0048</v>
      </c>
      <c r="K119" s="129">
        <f t="shared" si="92"/>
        <v>0.0016</v>
      </c>
      <c r="L119" s="129">
        <f t="shared" si="93"/>
        <v>0.014</v>
      </c>
      <c r="M119" s="129">
        <f t="shared" si="94"/>
        <v>0.0026</v>
      </c>
      <c r="N119" s="129">
        <f t="shared" si="95"/>
        <v>0</v>
      </c>
      <c r="O119" s="129">
        <f t="shared" si="96"/>
        <v>0</v>
      </c>
      <c r="P119" s="129">
        <f t="shared" si="97"/>
        <v>0</v>
      </c>
      <c r="Q119" s="129">
        <f t="shared" si="98"/>
        <v>0</v>
      </c>
      <c r="R119" s="129">
        <f t="shared" si="99"/>
        <v>0</v>
      </c>
      <c r="S119" s="129">
        <f t="shared" si="100"/>
        <v>0</v>
      </c>
      <c r="T119" s="129">
        <f t="shared" si="101"/>
        <v>0</v>
      </c>
      <c r="U119" s="129">
        <f t="shared" si="102"/>
        <v>0</v>
      </c>
      <c r="V119" s="129">
        <f t="shared" si="103"/>
        <v>0</v>
      </c>
      <c r="W119" s="129">
        <f t="shared" si="104"/>
        <v>0</v>
      </c>
      <c r="X119" s="129">
        <f t="shared" si="105"/>
        <v>0</v>
      </c>
      <c r="Y119" s="129">
        <f t="shared" si="106"/>
        <v>0</v>
      </c>
      <c r="Z119" s="173">
        <f t="shared" si="107"/>
        <v>0</v>
      </c>
      <c r="AA119" s="173">
        <f t="shared" si="108"/>
        <v>0</v>
      </c>
      <c r="AB119" s="173">
        <f t="shared" si="109"/>
        <v>0</v>
      </c>
      <c r="AC119" s="173">
        <f t="shared" si="110"/>
        <v>0</v>
      </c>
      <c r="AD119" s="173">
        <f t="shared" si="111"/>
        <v>0</v>
      </c>
      <c r="AE119" s="129">
        <f t="shared" si="112"/>
        <v>0</v>
      </c>
      <c r="AF119" s="129">
        <f t="shared" si="113"/>
        <v>0</v>
      </c>
      <c r="AG119" s="173">
        <f t="shared" si="114"/>
        <v>0</v>
      </c>
      <c r="AH119" s="173">
        <f t="shared" si="115"/>
        <v>0</v>
      </c>
      <c r="AI119" s="173">
        <f t="shared" si="116"/>
        <v>0</v>
      </c>
      <c r="AJ119" s="173">
        <f t="shared" ref="AJ119:AL119" si="117">IFERROR(AJ117/B119,"N/A")</f>
        <v>0</v>
      </c>
      <c r="AK119" s="173">
        <f t="shared" si="117"/>
        <v>0</v>
      </c>
      <c r="AL119" s="173" t="str">
        <f t="shared" si="117"/>
        <v>N/A</v>
      </c>
      <c r="AM119" s="174"/>
      <c r="AN119" s="174"/>
    </row>
    <row r="120">
      <c r="A120" s="131" t="s">
        <v>428</v>
      </c>
      <c r="B120" s="132">
        <f t="shared" ref="B120:B121" si="118">B118/50</f>
        <v>60</v>
      </c>
      <c r="C120" s="133"/>
      <c r="D120" s="133"/>
      <c r="E120" s="133"/>
      <c r="F120" s="133"/>
      <c r="G120" s="133"/>
      <c r="H120" s="133"/>
      <c r="I120" s="133"/>
      <c r="J120" s="133"/>
      <c r="K120" s="135"/>
      <c r="L120" s="135"/>
      <c r="M120" s="135"/>
      <c r="N120" s="135"/>
      <c r="O120" s="135"/>
      <c r="P120" s="135"/>
      <c r="Q120" s="135"/>
      <c r="R120" s="139"/>
      <c r="S120" s="139"/>
      <c r="T120" s="139"/>
      <c r="U120" s="139"/>
      <c r="V120" s="139"/>
      <c r="W120" s="145"/>
      <c r="X120" s="145"/>
      <c r="Y120" s="139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43"/>
      <c r="AM120" s="144"/>
      <c r="AN120" s="144"/>
    </row>
    <row r="121">
      <c r="A121" s="131" t="s">
        <v>429</v>
      </c>
      <c r="B121" s="137">
        <f t="shared" si="118"/>
        <v>200</v>
      </c>
      <c r="C121" s="133"/>
      <c r="D121" s="133"/>
      <c r="E121" s="133"/>
      <c r="F121" s="133"/>
      <c r="G121" s="133"/>
      <c r="H121" s="133"/>
      <c r="I121" s="133"/>
      <c r="J121" s="133"/>
      <c r="K121" s="135"/>
      <c r="L121" s="135"/>
      <c r="M121" s="135"/>
      <c r="N121" s="135"/>
      <c r="O121" s="135"/>
      <c r="P121" s="135"/>
      <c r="Q121" s="135"/>
      <c r="R121" s="138"/>
      <c r="S121" s="139"/>
      <c r="T121" s="139"/>
      <c r="U121" s="139"/>
      <c r="V121" s="139"/>
      <c r="W121" s="145"/>
      <c r="X121" s="145"/>
      <c r="Y121" s="139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43"/>
      <c r="AM121" s="144"/>
      <c r="AN121" s="144"/>
    </row>
    <row r="122">
      <c r="A122" s="149" t="s">
        <v>430</v>
      </c>
      <c r="B122" s="162"/>
      <c r="C122" s="151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3"/>
      <c r="AD122" s="152"/>
      <c r="AE122" s="152"/>
      <c r="AF122" s="152"/>
      <c r="AG122" s="154" t="s">
        <v>418</v>
      </c>
      <c r="AH122" s="152"/>
      <c r="AI122" s="155"/>
      <c r="AJ122" s="155"/>
      <c r="AK122" s="155"/>
      <c r="AL122" s="155"/>
      <c r="AM122" s="152"/>
      <c r="AN122" s="152"/>
    </row>
    <row r="123">
      <c r="A123" s="113" t="s">
        <v>452</v>
      </c>
      <c r="B123" s="114"/>
      <c r="C123" s="115" t="s">
        <v>401</v>
      </c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7"/>
      <c r="AH123" s="117"/>
      <c r="AI123" s="117"/>
      <c r="AJ123" s="176"/>
      <c r="AK123" s="176"/>
      <c r="AL123" s="176"/>
      <c r="AM123" s="177"/>
      <c r="AN123" s="177"/>
    </row>
    <row r="124">
      <c r="A124" s="119" t="s">
        <v>453</v>
      </c>
      <c r="B124" s="120" t="s">
        <v>406</v>
      </c>
      <c r="C124" s="193">
        <f t="shared" ref="C124:C125" si="119">SUM(D124:AH124)</f>
        <v>0</v>
      </c>
      <c r="D124" s="194"/>
      <c r="E124" s="194"/>
      <c r="F124" s="122"/>
      <c r="G124" s="122"/>
      <c r="H124" s="122"/>
      <c r="I124" s="122"/>
      <c r="J124" s="122"/>
      <c r="K124" s="122"/>
      <c r="L124" s="122"/>
      <c r="M124" s="122"/>
      <c r="N124" s="126"/>
      <c r="O124" s="126"/>
      <c r="P124" s="122"/>
      <c r="Q124" s="126"/>
      <c r="R124" s="126"/>
      <c r="S124" s="126"/>
      <c r="T124" s="126"/>
      <c r="U124" s="126"/>
      <c r="V124" s="126"/>
      <c r="W124" s="126"/>
      <c r="X124" s="126"/>
      <c r="Y124" s="120"/>
      <c r="Z124" s="120"/>
      <c r="AA124" s="120"/>
      <c r="AB124" s="184"/>
      <c r="AC124" s="120"/>
      <c r="AD124" s="120"/>
      <c r="AE124" s="120"/>
      <c r="AF124" s="120"/>
      <c r="AG124" s="120"/>
      <c r="AH124" s="120"/>
      <c r="AI124" s="120"/>
      <c r="AJ124" s="120"/>
      <c r="AK124" s="120"/>
      <c r="AL124" s="120"/>
      <c r="AM124" s="184"/>
      <c r="AN124" s="184"/>
    </row>
    <row r="125">
      <c r="A125" s="124"/>
      <c r="B125" s="120" t="s">
        <v>8</v>
      </c>
      <c r="C125" s="121">
        <f t="shared" si="119"/>
        <v>0</v>
      </c>
      <c r="D125" s="126"/>
      <c r="E125" s="126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6"/>
      <c r="R125" s="62"/>
      <c r="S125" s="126"/>
      <c r="T125" s="62"/>
      <c r="U125" s="62"/>
      <c r="V125" s="62"/>
      <c r="W125" s="62"/>
      <c r="X125" s="62"/>
      <c r="Y125" s="62"/>
      <c r="Z125" s="62"/>
      <c r="AA125" s="120"/>
      <c r="AB125" s="120"/>
      <c r="AC125" s="120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84"/>
      <c r="AN125" s="184"/>
    </row>
    <row r="126">
      <c r="A126" s="127" t="s">
        <v>407</v>
      </c>
      <c r="B126" s="128" t="s">
        <v>408</v>
      </c>
      <c r="C126" s="129">
        <f>SUM(D126:S126)</f>
        <v>0</v>
      </c>
      <c r="D126" s="129">
        <f t="shared" ref="D126:AH126" si="120">(D124+D125)/2500000000</f>
        <v>0</v>
      </c>
      <c r="E126" s="129">
        <f t="shared" si="120"/>
        <v>0</v>
      </c>
      <c r="F126" s="129">
        <f t="shared" si="120"/>
        <v>0</v>
      </c>
      <c r="G126" s="129">
        <f t="shared" si="120"/>
        <v>0</v>
      </c>
      <c r="H126" s="129">
        <f t="shared" si="120"/>
        <v>0</v>
      </c>
      <c r="I126" s="129">
        <f t="shared" si="120"/>
        <v>0</v>
      </c>
      <c r="J126" s="129">
        <f t="shared" si="120"/>
        <v>0</v>
      </c>
      <c r="K126" s="129">
        <f t="shared" si="120"/>
        <v>0</v>
      </c>
      <c r="L126" s="129">
        <f t="shared" si="120"/>
        <v>0</v>
      </c>
      <c r="M126" s="129">
        <f t="shared" si="120"/>
        <v>0</v>
      </c>
      <c r="N126" s="129">
        <f t="shared" si="120"/>
        <v>0</v>
      </c>
      <c r="O126" s="129">
        <f t="shared" si="120"/>
        <v>0</v>
      </c>
      <c r="P126" s="129">
        <f t="shared" si="120"/>
        <v>0</v>
      </c>
      <c r="Q126" s="129">
        <f t="shared" si="120"/>
        <v>0</v>
      </c>
      <c r="R126" s="129">
        <f t="shared" si="120"/>
        <v>0</v>
      </c>
      <c r="S126" s="129">
        <f t="shared" si="120"/>
        <v>0</v>
      </c>
      <c r="T126" s="129">
        <f t="shared" si="120"/>
        <v>0</v>
      </c>
      <c r="U126" s="129">
        <f t="shared" si="120"/>
        <v>0</v>
      </c>
      <c r="V126" s="129">
        <f t="shared" si="120"/>
        <v>0</v>
      </c>
      <c r="W126" s="129">
        <f t="shared" si="120"/>
        <v>0</v>
      </c>
      <c r="X126" s="129">
        <f t="shared" si="120"/>
        <v>0</v>
      </c>
      <c r="Y126" s="129">
        <f t="shared" si="120"/>
        <v>0</v>
      </c>
      <c r="Z126" s="129">
        <f t="shared" si="120"/>
        <v>0</v>
      </c>
      <c r="AA126" s="129">
        <f t="shared" si="120"/>
        <v>0</v>
      </c>
      <c r="AB126" s="129">
        <f t="shared" si="120"/>
        <v>0</v>
      </c>
      <c r="AC126" s="129">
        <f t="shared" si="120"/>
        <v>0</v>
      </c>
      <c r="AD126" s="129">
        <f t="shared" si="120"/>
        <v>0</v>
      </c>
      <c r="AE126" s="129">
        <f t="shared" si="120"/>
        <v>0</v>
      </c>
      <c r="AF126" s="129">
        <f t="shared" si="120"/>
        <v>0</v>
      </c>
      <c r="AG126" s="129">
        <f t="shared" si="120"/>
        <v>0</v>
      </c>
      <c r="AH126" s="129">
        <f t="shared" si="120"/>
        <v>0</v>
      </c>
      <c r="AI126" s="173"/>
      <c r="AJ126" s="173"/>
      <c r="AK126" s="173"/>
      <c r="AL126" s="173"/>
      <c r="AM126" s="174"/>
      <c r="AN126" s="174"/>
    </row>
    <row r="127">
      <c r="A127" s="131">
        <v>4.0E9</v>
      </c>
      <c r="B127" s="132" t="s">
        <v>409</v>
      </c>
      <c r="C127" s="133">
        <f t="shared" ref="C127:C128" si="121">sum(D127:AH127)</f>
        <v>0</v>
      </c>
      <c r="D127" s="134"/>
      <c r="E127" s="134"/>
      <c r="F127" s="134"/>
      <c r="G127" s="134"/>
      <c r="H127" s="134"/>
      <c r="I127" s="134"/>
      <c r="J127" s="134"/>
      <c r="K127" s="135"/>
      <c r="L127" s="135"/>
      <c r="M127" s="135"/>
      <c r="N127" s="135"/>
      <c r="O127" s="138"/>
      <c r="P127" s="138"/>
      <c r="Q127" s="135"/>
      <c r="R127" s="135"/>
      <c r="S127" s="135"/>
      <c r="T127" s="135"/>
      <c r="U127" s="135"/>
      <c r="V127" s="138"/>
      <c r="W127" s="138"/>
      <c r="X127" s="135"/>
      <c r="Y127" s="133"/>
      <c r="Z127" s="13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3"/>
      <c r="AM127" s="144"/>
      <c r="AN127" s="144"/>
    </row>
    <row r="128">
      <c r="A128" s="127" t="s">
        <v>410</v>
      </c>
      <c r="B128" s="137" t="s">
        <v>411</v>
      </c>
      <c r="C128" s="133">
        <f t="shared" si="121"/>
        <v>0</v>
      </c>
      <c r="D128" s="133"/>
      <c r="E128" s="133"/>
      <c r="F128" s="134"/>
      <c r="G128" s="133"/>
      <c r="H128" s="134"/>
      <c r="I128" s="133"/>
      <c r="J128" s="133"/>
      <c r="K128" s="138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45"/>
      <c r="X128" s="145"/>
      <c r="Y128" s="139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43"/>
      <c r="AM128" s="144"/>
      <c r="AN128" s="144"/>
    </row>
    <row r="129">
      <c r="A129" s="127">
        <f>(A127-(C124 + C125))/80</f>
        <v>50000000</v>
      </c>
      <c r="B129" s="137" t="s">
        <v>412</v>
      </c>
      <c r="C129" s="133">
        <f>sum(D129:U129)</f>
        <v>0</v>
      </c>
      <c r="D129" s="133"/>
      <c r="E129" s="133"/>
      <c r="F129" s="133"/>
      <c r="G129" s="133"/>
      <c r="H129" s="133"/>
      <c r="I129" s="133"/>
      <c r="J129" s="133"/>
      <c r="K129" s="138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139"/>
      <c r="W129" s="145"/>
      <c r="X129" s="145"/>
      <c r="Y129" s="139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3"/>
      <c r="AM129" s="144"/>
      <c r="AN129" s="144"/>
    </row>
    <row r="130">
      <c r="A130" s="127"/>
      <c r="B130" s="158" t="s">
        <v>413</v>
      </c>
      <c r="C130" s="159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  <c r="AH130" s="147"/>
      <c r="AI130" s="160"/>
      <c r="AJ130" s="160"/>
      <c r="AK130" s="160"/>
      <c r="AL130" s="160"/>
      <c r="AM130" s="161"/>
      <c r="AN130" s="161"/>
    </row>
    <row r="131">
      <c r="A131" s="127"/>
      <c r="B131" s="131" t="s">
        <v>415</v>
      </c>
      <c r="C131" s="159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60"/>
      <c r="AJ131" s="160"/>
      <c r="AK131" s="160"/>
      <c r="AL131" s="160"/>
      <c r="AM131" s="161"/>
      <c r="AN131" s="161"/>
    </row>
    <row r="132">
      <c r="A132" s="149" t="s">
        <v>430</v>
      </c>
      <c r="B132" s="162"/>
      <c r="C132" s="151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3"/>
      <c r="AD132" s="152"/>
      <c r="AE132" s="152"/>
      <c r="AF132" s="152"/>
      <c r="AG132" s="154" t="s">
        <v>418</v>
      </c>
      <c r="AH132" s="152"/>
      <c r="AI132" s="155"/>
      <c r="AJ132" s="212"/>
      <c r="AK132" s="155"/>
      <c r="AL132" s="155"/>
      <c r="AM132" s="152"/>
      <c r="AN132" s="152"/>
    </row>
    <row r="133">
      <c r="A133" s="113" t="s">
        <v>452</v>
      </c>
      <c r="B133" s="114"/>
      <c r="C133" s="115" t="s">
        <v>401</v>
      </c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17"/>
      <c r="AH133" s="117"/>
      <c r="AI133" s="117"/>
      <c r="AJ133" s="176"/>
      <c r="AK133" s="176"/>
      <c r="AL133" s="176"/>
      <c r="AM133" s="177"/>
      <c r="AN133" s="177"/>
    </row>
    <row r="134">
      <c r="A134" s="119" t="s">
        <v>454</v>
      </c>
      <c r="B134" s="120" t="s">
        <v>406</v>
      </c>
      <c r="C134" s="193">
        <f t="shared" ref="C134:C135" si="122">SUM(D134:AH134)</f>
        <v>0</v>
      </c>
      <c r="D134" s="194"/>
      <c r="E134" s="194"/>
      <c r="F134" s="122"/>
      <c r="G134" s="122"/>
      <c r="H134" s="122"/>
      <c r="I134" s="122"/>
      <c r="J134" s="122"/>
      <c r="K134" s="122"/>
      <c r="L134" s="122"/>
      <c r="M134" s="122"/>
      <c r="N134" s="126"/>
      <c r="O134" s="126"/>
      <c r="P134" s="122"/>
      <c r="Q134" s="126"/>
      <c r="R134" s="126"/>
      <c r="S134" s="126"/>
      <c r="T134" s="126"/>
      <c r="U134" s="126"/>
      <c r="V134" s="126"/>
      <c r="W134" s="126"/>
      <c r="X134" s="126"/>
      <c r="Y134" s="120"/>
      <c r="Z134" s="120"/>
      <c r="AA134" s="120"/>
      <c r="AB134" s="184"/>
      <c r="AC134" s="120"/>
      <c r="AD134" s="120"/>
      <c r="AE134" s="120"/>
      <c r="AF134" s="120"/>
      <c r="AG134" s="120"/>
      <c r="AH134" s="120"/>
      <c r="AI134" s="120"/>
      <c r="AJ134" s="120"/>
      <c r="AK134" s="120"/>
      <c r="AL134" s="120"/>
      <c r="AM134" s="184"/>
      <c r="AN134" s="184"/>
    </row>
    <row r="135">
      <c r="A135" s="124"/>
      <c r="B135" s="120" t="s">
        <v>8</v>
      </c>
      <c r="C135" s="121">
        <f t="shared" si="122"/>
        <v>0</v>
      </c>
      <c r="D135" s="126"/>
      <c r="E135" s="126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6"/>
      <c r="R135" s="62"/>
      <c r="S135" s="126"/>
      <c r="T135" s="62"/>
      <c r="U135" s="62"/>
      <c r="V135" s="62"/>
      <c r="W135" s="62"/>
      <c r="X135" s="62"/>
      <c r="Y135" s="62"/>
      <c r="Z135" s="62"/>
      <c r="AA135" s="120"/>
      <c r="AB135" s="120"/>
      <c r="AC135" s="120"/>
      <c r="AD135" s="120"/>
      <c r="AE135" s="120"/>
      <c r="AF135" s="120"/>
      <c r="AG135" s="120"/>
      <c r="AH135" s="120"/>
      <c r="AI135" s="120"/>
      <c r="AJ135" s="120"/>
      <c r="AK135" s="120"/>
      <c r="AL135" s="120"/>
      <c r="AM135" s="184"/>
      <c r="AN135" s="184"/>
    </row>
    <row r="136">
      <c r="A136" s="127" t="s">
        <v>407</v>
      </c>
      <c r="B136" s="128" t="s">
        <v>408</v>
      </c>
      <c r="C136" s="129">
        <f>SUM(D136:S136)</f>
        <v>0</v>
      </c>
      <c r="D136" s="129">
        <f t="shared" ref="D136:AH136" si="123">(D134+D135)/2500000000</f>
        <v>0</v>
      </c>
      <c r="E136" s="129">
        <f t="shared" si="123"/>
        <v>0</v>
      </c>
      <c r="F136" s="129">
        <f t="shared" si="123"/>
        <v>0</v>
      </c>
      <c r="G136" s="129">
        <f t="shared" si="123"/>
        <v>0</v>
      </c>
      <c r="H136" s="129">
        <f t="shared" si="123"/>
        <v>0</v>
      </c>
      <c r="I136" s="129">
        <f t="shared" si="123"/>
        <v>0</v>
      </c>
      <c r="J136" s="129">
        <f t="shared" si="123"/>
        <v>0</v>
      </c>
      <c r="K136" s="129">
        <f t="shared" si="123"/>
        <v>0</v>
      </c>
      <c r="L136" s="129">
        <f t="shared" si="123"/>
        <v>0</v>
      </c>
      <c r="M136" s="129">
        <f t="shared" si="123"/>
        <v>0</v>
      </c>
      <c r="N136" s="129">
        <f t="shared" si="123"/>
        <v>0</v>
      </c>
      <c r="O136" s="129">
        <f t="shared" si="123"/>
        <v>0</v>
      </c>
      <c r="P136" s="129">
        <f t="shared" si="123"/>
        <v>0</v>
      </c>
      <c r="Q136" s="129">
        <f t="shared" si="123"/>
        <v>0</v>
      </c>
      <c r="R136" s="129">
        <f t="shared" si="123"/>
        <v>0</v>
      </c>
      <c r="S136" s="129">
        <f t="shared" si="123"/>
        <v>0</v>
      </c>
      <c r="T136" s="129">
        <f t="shared" si="123"/>
        <v>0</v>
      </c>
      <c r="U136" s="129">
        <f t="shared" si="123"/>
        <v>0</v>
      </c>
      <c r="V136" s="129">
        <f t="shared" si="123"/>
        <v>0</v>
      </c>
      <c r="W136" s="129">
        <f t="shared" si="123"/>
        <v>0</v>
      </c>
      <c r="X136" s="129">
        <f t="shared" si="123"/>
        <v>0</v>
      </c>
      <c r="Y136" s="129">
        <f t="shared" si="123"/>
        <v>0</v>
      </c>
      <c r="Z136" s="129">
        <f t="shared" si="123"/>
        <v>0</v>
      </c>
      <c r="AA136" s="129">
        <f t="shared" si="123"/>
        <v>0</v>
      </c>
      <c r="AB136" s="129">
        <f t="shared" si="123"/>
        <v>0</v>
      </c>
      <c r="AC136" s="129">
        <f t="shared" si="123"/>
        <v>0</v>
      </c>
      <c r="AD136" s="129">
        <f t="shared" si="123"/>
        <v>0</v>
      </c>
      <c r="AE136" s="129">
        <f t="shared" si="123"/>
        <v>0</v>
      </c>
      <c r="AF136" s="129">
        <f t="shared" si="123"/>
        <v>0</v>
      </c>
      <c r="AG136" s="129">
        <f t="shared" si="123"/>
        <v>0</v>
      </c>
      <c r="AH136" s="129">
        <f t="shared" si="123"/>
        <v>0</v>
      </c>
      <c r="AI136" s="173"/>
      <c r="AJ136" s="173"/>
      <c r="AK136" s="173"/>
      <c r="AL136" s="173"/>
      <c r="AM136" s="174"/>
      <c r="AN136" s="174"/>
    </row>
    <row r="137">
      <c r="A137" s="131">
        <v>1.2E9</v>
      </c>
      <c r="B137" s="132" t="s">
        <v>409</v>
      </c>
      <c r="C137" s="133">
        <f t="shared" ref="C137:C138" si="124">sum(D137:AH137)</f>
        <v>0</v>
      </c>
      <c r="D137" s="134"/>
      <c r="E137" s="134"/>
      <c r="F137" s="134"/>
      <c r="G137" s="134"/>
      <c r="H137" s="134"/>
      <c r="I137" s="134"/>
      <c r="J137" s="134"/>
      <c r="K137" s="135"/>
      <c r="L137" s="135"/>
      <c r="M137" s="135"/>
      <c r="N137" s="135"/>
      <c r="O137" s="138"/>
      <c r="P137" s="138"/>
      <c r="Q137" s="135"/>
      <c r="R137" s="135"/>
      <c r="S137" s="135"/>
      <c r="T137" s="135"/>
      <c r="U137" s="135"/>
      <c r="V137" s="138"/>
      <c r="W137" s="138"/>
      <c r="X137" s="135"/>
      <c r="Y137" s="133"/>
      <c r="Z137" s="13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  <c r="AL137" s="143"/>
      <c r="AM137" s="144"/>
      <c r="AN137" s="144"/>
    </row>
    <row r="138">
      <c r="A138" s="127" t="s">
        <v>410</v>
      </c>
      <c r="B138" s="137" t="s">
        <v>411</v>
      </c>
      <c r="C138" s="133">
        <f t="shared" si="124"/>
        <v>0</v>
      </c>
      <c r="D138" s="133"/>
      <c r="E138" s="133"/>
      <c r="F138" s="134"/>
      <c r="G138" s="133"/>
      <c r="H138" s="134"/>
      <c r="I138" s="133"/>
      <c r="J138" s="133"/>
      <c r="K138" s="138"/>
      <c r="L138" s="139"/>
      <c r="M138" s="139"/>
      <c r="N138" s="139"/>
      <c r="O138" s="139"/>
      <c r="P138" s="139"/>
      <c r="Q138" s="139"/>
      <c r="R138" s="139"/>
      <c r="S138" s="139"/>
      <c r="T138" s="139"/>
      <c r="U138" s="139"/>
      <c r="V138" s="139"/>
      <c r="W138" s="145"/>
      <c r="X138" s="145"/>
      <c r="Y138" s="139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143"/>
      <c r="AM138" s="144"/>
      <c r="AN138" s="144"/>
    </row>
    <row r="139">
      <c r="A139" s="127">
        <f>(A137-(C134 + C135))/80</f>
        <v>15000000</v>
      </c>
      <c r="B139" s="137" t="s">
        <v>412</v>
      </c>
      <c r="C139" s="133">
        <f>sum(D139:U139)</f>
        <v>0</v>
      </c>
      <c r="D139" s="133"/>
      <c r="E139" s="133"/>
      <c r="F139" s="133"/>
      <c r="G139" s="133"/>
      <c r="H139" s="133"/>
      <c r="I139" s="133"/>
      <c r="J139" s="133"/>
      <c r="K139" s="138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45"/>
      <c r="X139" s="145"/>
      <c r="Y139" s="139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  <c r="AL139" s="143"/>
      <c r="AM139" s="144"/>
      <c r="AN139" s="144"/>
    </row>
    <row r="140">
      <c r="A140" s="127"/>
      <c r="B140" s="158" t="s">
        <v>413</v>
      </c>
      <c r="C140" s="159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  <c r="AI140" s="160"/>
      <c r="AJ140" s="160"/>
      <c r="AK140" s="160"/>
      <c r="AL140" s="160"/>
      <c r="AM140" s="161"/>
      <c r="AN140" s="161"/>
    </row>
    <row r="141">
      <c r="A141" s="127"/>
      <c r="B141" s="131" t="s">
        <v>415</v>
      </c>
      <c r="C141" s="159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  <c r="AH141" s="147"/>
      <c r="AI141" s="160"/>
      <c r="AJ141" s="160"/>
      <c r="AK141" s="160"/>
      <c r="AL141" s="160"/>
      <c r="AM141" s="161"/>
      <c r="AN141" s="161"/>
    </row>
    <row r="142">
      <c r="A142" s="149" t="s">
        <v>430</v>
      </c>
      <c r="B142" s="162"/>
      <c r="C142" s="151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3"/>
      <c r="AD142" s="152"/>
      <c r="AE142" s="152"/>
      <c r="AF142" s="152"/>
      <c r="AG142" s="154" t="s">
        <v>418</v>
      </c>
      <c r="AH142" s="152"/>
      <c r="AI142" s="155"/>
      <c r="AJ142" s="212"/>
      <c r="AK142" s="155"/>
      <c r="AL142" s="155"/>
      <c r="AM142" s="152"/>
      <c r="AN142" s="152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  <row r="1002">
      <c r="A1002" s="3"/>
    </row>
    <row r="1003">
      <c r="A1003" s="3"/>
    </row>
    <row r="1004">
      <c r="A1004" s="3"/>
    </row>
    <row r="1005">
      <c r="A1005" s="3"/>
    </row>
    <row r="1006">
      <c r="A1006" s="3"/>
    </row>
    <row r="1007">
      <c r="A1007" s="3"/>
    </row>
    <row r="1008">
      <c r="A1008" s="3"/>
    </row>
  </sheetData>
  <mergeCells count="30">
    <mergeCell ref="A1:B1"/>
    <mergeCell ref="A2:A3"/>
    <mergeCell ref="A11:B11"/>
    <mergeCell ref="A12:A13"/>
    <mergeCell ref="A21:B21"/>
    <mergeCell ref="A22:A23"/>
    <mergeCell ref="A31:B31"/>
    <mergeCell ref="A32:A33"/>
    <mergeCell ref="A39:B39"/>
    <mergeCell ref="A40:A41"/>
    <mergeCell ref="A47:B47"/>
    <mergeCell ref="A48:A49"/>
    <mergeCell ref="A57:B57"/>
    <mergeCell ref="A58:A59"/>
    <mergeCell ref="A67:B67"/>
    <mergeCell ref="A68:A69"/>
    <mergeCell ref="A77:B77"/>
    <mergeCell ref="A78:A79"/>
    <mergeCell ref="A85:B85"/>
    <mergeCell ref="A86:A87"/>
    <mergeCell ref="A95:B95"/>
    <mergeCell ref="A133:B133"/>
    <mergeCell ref="A134:A135"/>
    <mergeCell ref="A96:A97"/>
    <mergeCell ref="A105:B105"/>
    <mergeCell ref="A106:A107"/>
    <mergeCell ref="A115:B115"/>
    <mergeCell ref="A116:A117"/>
    <mergeCell ref="A123:B123"/>
    <mergeCell ref="A124:A125"/>
  </mergeCell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22.38"/>
    <col customWidth="1" min="4" max="4" width="7.38"/>
    <col customWidth="1" min="7" max="7" width="16.0"/>
    <col customWidth="1" min="9" max="9" width="19.38"/>
    <col customWidth="1" min="11" max="11" width="19.25"/>
  </cols>
  <sheetData>
    <row r="1">
      <c r="A1" s="213" t="s">
        <v>455</v>
      </c>
      <c r="B1" s="214"/>
      <c r="C1" s="214"/>
      <c r="D1" s="215"/>
      <c r="E1" s="213" t="s">
        <v>328</v>
      </c>
      <c r="F1" s="214"/>
      <c r="G1" s="216"/>
      <c r="I1" s="217" t="s">
        <v>456</v>
      </c>
      <c r="J1" s="214"/>
      <c r="K1" s="214"/>
      <c r="L1" s="216"/>
      <c r="Q1" s="218"/>
      <c r="R1" s="218"/>
      <c r="S1" s="218"/>
      <c r="T1" s="218"/>
    </row>
    <row r="2">
      <c r="A2" s="219" t="s">
        <v>457</v>
      </c>
      <c r="B2" s="220"/>
      <c r="C2" s="219" t="s">
        <v>455</v>
      </c>
      <c r="D2" s="215"/>
      <c r="E2" s="221" t="s">
        <v>327</v>
      </c>
      <c r="F2" s="214"/>
      <c r="G2" s="216"/>
      <c r="I2" s="222" t="s">
        <v>458</v>
      </c>
      <c r="J2" s="214"/>
      <c r="K2" s="214"/>
      <c r="L2" s="216"/>
      <c r="Q2" s="218"/>
      <c r="R2" s="218"/>
      <c r="S2" s="218"/>
      <c r="T2" s="218"/>
    </row>
    <row r="3">
      <c r="A3" s="223">
        <v>1.0</v>
      </c>
      <c r="B3" s="224"/>
      <c r="C3" s="225">
        <v>1.0</v>
      </c>
      <c r="D3" s="215"/>
      <c r="E3" s="226">
        <f>Maindata!I3</f>
        <v>1000000000</v>
      </c>
      <c r="F3" s="227"/>
      <c r="G3" s="228"/>
      <c r="I3" s="229" t="s">
        <v>459</v>
      </c>
      <c r="J3" s="216"/>
      <c r="K3" s="230" t="s">
        <v>460</v>
      </c>
      <c r="L3" s="216"/>
      <c r="Q3" s="218"/>
      <c r="R3" s="218"/>
      <c r="S3" s="218"/>
      <c r="T3" s="218"/>
    </row>
    <row r="4">
      <c r="A4" s="231"/>
      <c r="B4" s="220"/>
      <c r="C4" s="225">
        <v>2.0</v>
      </c>
      <c r="D4" s="215"/>
      <c r="E4" s="232"/>
      <c r="F4" s="233"/>
      <c r="G4" s="234"/>
      <c r="I4" s="235"/>
      <c r="J4" s="228"/>
      <c r="K4" s="226">
        <f>IFERROR(__xludf.DUMMYFUNCTION("IMPORTRANGE(""https://docs.google.com/spreadsheets/d/1XGHyffJQ7KjI292zt5QVK_1XTfEMh_HDpl_2BHAzd4c/edit?gid=1335890585#gid=1335890585"",""OMG Skincare!H21"")        "),2.732E7)</f>
        <v>27320000</v>
      </c>
      <c r="L4" s="228"/>
      <c r="Q4" s="218"/>
      <c r="R4" s="218"/>
      <c r="S4" s="218"/>
      <c r="T4" s="218"/>
    </row>
    <row r="5">
      <c r="A5" s="236">
        <v>2.0</v>
      </c>
      <c r="B5" s="224"/>
      <c r="C5" s="225">
        <v>1.0</v>
      </c>
      <c r="D5" s="215"/>
      <c r="E5" s="237" t="s">
        <v>461</v>
      </c>
      <c r="F5" s="214"/>
      <c r="G5" s="216"/>
      <c r="I5" s="232"/>
      <c r="J5" s="234"/>
      <c r="K5" s="232"/>
      <c r="L5" s="234"/>
      <c r="Q5" s="218"/>
      <c r="R5" s="218"/>
      <c r="S5" s="218"/>
      <c r="T5" s="218"/>
    </row>
    <row r="6">
      <c r="A6" s="231"/>
      <c r="B6" s="220"/>
      <c r="C6" s="225">
        <v>2.0</v>
      </c>
      <c r="D6" s="215"/>
      <c r="E6" s="226">
        <f>SUM(Q16:T249)</f>
        <v>0</v>
      </c>
      <c r="F6" s="227"/>
      <c r="G6" s="228"/>
      <c r="I6" s="238" t="s">
        <v>462</v>
      </c>
      <c r="J6" s="214"/>
      <c r="K6" s="214"/>
      <c r="L6" s="216"/>
      <c r="Q6" s="218"/>
      <c r="R6" s="218"/>
      <c r="S6" s="218"/>
      <c r="T6" s="218"/>
    </row>
    <row r="7">
      <c r="A7" s="236">
        <v>3.0</v>
      </c>
      <c r="B7" s="224"/>
      <c r="C7" s="225">
        <v>1.0</v>
      </c>
      <c r="D7" s="215"/>
      <c r="E7" s="232"/>
      <c r="F7" s="233"/>
      <c r="G7" s="234"/>
      <c r="I7" s="235">
        <f>IFERROR(__xludf.DUMMYFUNCTION("IMPORTRANGE(""https://docs.google.com/spreadsheets/d/1XGHyffJQ7KjI292zt5QVK_1XTfEMh_HDpl_2BHAzd4c/edit?gid=1335890585#gid=1335890585"",""OMG Skincare!H4"")"),6690000.0)</f>
        <v>6690000</v>
      </c>
      <c r="J7" s="228"/>
      <c r="K7" s="226">
        <f>IFERROR(__xludf.DUMMYFUNCTION("IMPORTRANGE(""https://docs.google.com/spreadsheets/d/1XGHyffJQ7KjI292zt5QVK_1XTfEMh_HDpl_2BHAzd4c/edit?gid=1335890585#gid=1335890585"",""OMG Skincare!K4"")        "),2.432E7)</f>
        <v>24320000</v>
      </c>
      <c r="L7" s="228"/>
      <c r="Q7" s="218"/>
      <c r="R7" s="218"/>
      <c r="S7" s="218"/>
      <c r="T7" s="218"/>
    </row>
    <row r="8">
      <c r="A8" s="231"/>
      <c r="B8" s="220"/>
      <c r="C8" s="225">
        <v>2.0</v>
      </c>
      <c r="D8" s="215"/>
      <c r="E8" s="239" t="s">
        <v>329</v>
      </c>
      <c r="F8" s="214"/>
      <c r="G8" s="216"/>
      <c r="I8" s="232"/>
      <c r="J8" s="234"/>
      <c r="K8" s="232"/>
      <c r="L8" s="234"/>
      <c r="Q8" s="218"/>
      <c r="R8" s="218"/>
      <c r="S8" s="218"/>
      <c r="T8" s="218"/>
    </row>
    <row r="9">
      <c r="A9" s="236">
        <v>4.0</v>
      </c>
      <c r="B9" s="224"/>
      <c r="C9" s="225">
        <v>1.0</v>
      </c>
      <c r="D9" s="215"/>
      <c r="E9" s="240">
        <f>E6/E3</f>
        <v>0</v>
      </c>
      <c r="F9" s="227"/>
      <c r="G9" s="228"/>
      <c r="I9" s="241" t="s">
        <v>463</v>
      </c>
      <c r="J9" s="214"/>
      <c r="K9" s="214"/>
      <c r="L9" s="216"/>
      <c r="Q9" s="218"/>
      <c r="R9" s="218"/>
      <c r="S9" s="218"/>
      <c r="T9" s="218"/>
    </row>
    <row r="10">
      <c r="A10" s="231"/>
      <c r="B10" s="220"/>
      <c r="C10" s="225">
        <v>2.0</v>
      </c>
      <c r="D10" s="215"/>
      <c r="E10" s="232"/>
      <c r="F10" s="233"/>
      <c r="G10" s="234"/>
      <c r="I10" s="235">
        <f>I4-I7</f>
        <v>-6690000</v>
      </c>
      <c r="J10" s="228"/>
      <c r="K10" s="226">
        <f>K4-K7</f>
        <v>3000000</v>
      </c>
      <c r="L10" s="228"/>
      <c r="Q10" s="218"/>
      <c r="R10" s="218"/>
      <c r="S10" s="218"/>
      <c r="T10" s="218"/>
    </row>
    <row r="11">
      <c r="A11" s="236">
        <v>5.0</v>
      </c>
      <c r="B11" s="224"/>
      <c r="C11" s="225">
        <v>1.0</v>
      </c>
      <c r="D11" s="215"/>
      <c r="E11" s="215"/>
      <c r="I11" s="232"/>
      <c r="J11" s="234"/>
      <c r="K11" s="232"/>
      <c r="L11" s="234"/>
      <c r="Q11" s="218"/>
      <c r="R11" s="218"/>
      <c r="S11" s="218"/>
      <c r="T11" s="218"/>
    </row>
    <row r="12">
      <c r="A12" s="231"/>
      <c r="B12" s="220"/>
      <c r="C12" s="225">
        <v>2.0</v>
      </c>
      <c r="D12" s="215"/>
      <c r="E12" s="215"/>
      <c r="J12" s="242"/>
      <c r="K12" s="215"/>
      <c r="L12" s="242"/>
      <c r="M12" s="243"/>
      <c r="N12" s="243"/>
      <c r="O12" s="243"/>
      <c r="P12" s="243"/>
      <c r="Q12" s="244"/>
      <c r="R12" s="244"/>
      <c r="S12" s="244"/>
      <c r="T12" s="244"/>
    </row>
    <row r="13">
      <c r="A13" s="245"/>
      <c r="B13" s="245"/>
      <c r="J13" s="12"/>
      <c r="K13" s="243"/>
      <c r="L13" s="243"/>
      <c r="M13" s="243"/>
      <c r="N13" s="243"/>
      <c r="O13" s="243"/>
      <c r="P13" s="243"/>
      <c r="Q13" s="244"/>
      <c r="R13" s="244"/>
      <c r="S13" s="244"/>
      <c r="T13" s="244"/>
    </row>
    <row r="14">
      <c r="A14" s="246"/>
      <c r="B14" s="246"/>
      <c r="C14" s="246"/>
      <c r="D14" s="246"/>
      <c r="E14" s="246"/>
      <c r="F14" s="246"/>
      <c r="G14" s="246"/>
      <c r="H14" s="246"/>
      <c r="I14" s="246"/>
      <c r="J14" s="247"/>
      <c r="K14" s="246"/>
      <c r="L14" s="247"/>
      <c r="M14" s="246"/>
      <c r="N14" s="246"/>
      <c r="O14" s="246"/>
      <c r="P14" s="246"/>
      <c r="Q14" s="248" t="s">
        <v>464</v>
      </c>
      <c r="R14" s="249"/>
      <c r="S14" s="248" t="s">
        <v>465</v>
      </c>
      <c r="T14" s="249"/>
    </row>
    <row r="15">
      <c r="A15" s="250" t="s">
        <v>466</v>
      </c>
      <c r="B15" s="250" t="s">
        <v>467</v>
      </c>
      <c r="C15" s="251" t="s">
        <v>468</v>
      </c>
      <c r="D15" s="252" t="s">
        <v>469</v>
      </c>
      <c r="E15" s="253" t="s">
        <v>470</v>
      </c>
      <c r="F15" s="251" t="s">
        <v>471</v>
      </c>
      <c r="G15" s="251" t="s">
        <v>457</v>
      </c>
      <c r="H15" s="254" t="s">
        <v>472</v>
      </c>
      <c r="I15" s="251" t="s">
        <v>455</v>
      </c>
      <c r="J15" s="251" t="s">
        <v>473</v>
      </c>
      <c r="K15" s="251" t="s">
        <v>455</v>
      </c>
      <c r="L15" s="251" t="s">
        <v>474</v>
      </c>
      <c r="M15" s="251" t="s">
        <v>455</v>
      </c>
      <c r="N15" s="251" t="s">
        <v>475</v>
      </c>
      <c r="O15" s="251" t="s">
        <v>455</v>
      </c>
      <c r="P15" s="251" t="s">
        <v>476</v>
      </c>
      <c r="Q15" s="248" t="s">
        <v>427</v>
      </c>
      <c r="R15" s="248" t="s">
        <v>477</v>
      </c>
      <c r="S15" s="248" t="s">
        <v>427</v>
      </c>
      <c r="T15" s="248" t="s">
        <v>477</v>
      </c>
    </row>
    <row r="16">
      <c r="A16" s="255" t="str">
        <f>IFERROR(__xludf.DUMMYFUNCTION("QUERY(IMPORTRANGE(""https://docs.google.com/spreadsheets/d/10wdjc5GKQIqHka9D7QGq1b4WkRuVqG0ylA8lw57ns-I/edit?usp=sharing"", ""TEMPLATE SALES!A3:AB1000""), ""SELECT Col1, Col2, Col3, Col4, Col5, Col6, Col11, Col16, Col17, Col18, Col19, Col20, Col21, Col22,"&amp;" Col23, Col24, Col25, Col26, Col27, Col28 WHERE Col12 = 'Approved'"")"),"MEGA")</f>
        <v>MEGA</v>
      </c>
      <c r="B16" s="256" t="str">
        <f>IFERROR(__xludf.DUMMYFUNCTION("""COMPUTED_VALUE"""),"A")</f>
        <v>A</v>
      </c>
      <c r="C16" s="257" t="str">
        <f>IFERROR(__xludf.DUMMYFUNCTION("""COMPUTED_VALUE"""),"https://www.tiktok.com/@A")</f>
        <v>https://www.tiktok.com/@A</v>
      </c>
      <c r="D16" s="25" t="str">
        <f>IFERROR(__xludf.DUMMYFUNCTION("""COMPUTED_VALUE"""),"021")</f>
        <v>021</v>
      </c>
      <c r="E16" s="258" t="str">
        <f>IFERROR(__xludf.DUMMYFUNCTION("""COMPUTED_VALUE"""),"DF")</f>
        <v>DF</v>
      </c>
      <c r="F16" s="25">
        <f>IFERROR(__xludf.DUMMYFUNCTION("""COMPUTED_VALUE"""),3.0)</f>
        <v>3</v>
      </c>
      <c r="G16" s="259" t="str">
        <f>IFERROR(__xludf.DUMMYFUNCTION("""COMPUTED_VALUE"""),"OMG OH MY GLOW UV Barrier Sunscreen SPF 50 PA++++ 60 ml")</f>
        <v>OMG OH MY GLOW UV Barrier Sunscreen SPF 50 PA++++ 60 ml</v>
      </c>
      <c r="H16" s="260" t="str">
        <f>IFERROR(__xludf.DUMMYFUNCTION("""COMPUTED_VALUE"""),"Sampai")</f>
        <v>Sampai</v>
      </c>
      <c r="I16" s="261" t="str">
        <f>IFERROR(__xludf.DUMMYFUNCTION("""COMPUTED_VALUE"""),"Concept 2")</f>
        <v>Concept 2</v>
      </c>
      <c r="J16" s="262" t="str">
        <f>IFERROR(__xludf.DUMMYFUNCTION("""COMPUTED_VALUE"""),"A")</f>
        <v>A</v>
      </c>
      <c r="K16" s="261"/>
      <c r="L16" s="262"/>
      <c r="M16" s="261"/>
      <c r="N16" s="17"/>
      <c r="O16" s="261"/>
      <c r="P16" s="17"/>
      <c r="Q16" s="263">
        <f>IFERROR(__xludf.DUMMYFUNCTION("""COMPUTED_VALUE"""),0.0)</f>
        <v>0</v>
      </c>
      <c r="R16" s="263">
        <f>IFERROR(__xludf.DUMMYFUNCTION("""COMPUTED_VALUE"""),0.0)</f>
        <v>0</v>
      </c>
      <c r="S16" s="263">
        <f>IFERROR(__xludf.DUMMYFUNCTION("""COMPUTED_VALUE"""),0.0)</f>
        <v>0</v>
      </c>
      <c r="T16" s="263">
        <f>IFERROR(__xludf.DUMMYFUNCTION("""COMPUTED_VALUE"""),0.0)</f>
        <v>0</v>
      </c>
    </row>
    <row r="17">
      <c r="A17" s="255"/>
      <c r="B17" s="256"/>
      <c r="C17" s="23"/>
      <c r="D17" s="25"/>
      <c r="E17" s="258"/>
      <c r="F17" s="25"/>
      <c r="G17" s="259"/>
      <c r="H17" s="260"/>
      <c r="I17" s="261"/>
      <c r="J17" s="262"/>
      <c r="K17" s="261"/>
      <c r="L17" s="262"/>
      <c r="M17" s="261"/>
      <c r="N17" s="17"/>
      <c r="O17" s="261"/>
      <c r="P17" s="17"/>
      <c r="Q17" s="264"/>
      <c r="R17" s="265"/>
      <c r="S17" s="266"/>
      <c r="T17" s="266"/>
    </row>
    <row r="18">
      <c r="A18" s="255"/>
      <c r="B18" s="256"/>
      <c r="C18" s="23"/>
      <c r="D18" s="25"/>
      <c r="E18" s="258"/>
      <c r="F18" s="25"/>
      <c r="G18" s="259"/>
      <c r="H18" s="260"/>
      <c r="I18" s="261"/>
      <c r="J18" s="267"/>
      <c r="K18" s="261"/>
      <c r="L18" s="262"/>
      <c r="M18" s="261"/>
      <c r="N18" s="17"/>
      <c r="O18" s="261"/>
      <c r="P18" s="17"/>
      <c r="Q18" s="264"/>
      <c r="R18" s="265"/>
      <c r="S18" s="266"/>
      <c r="T18" s="266"/>
    </row>
    <row r="19">
      <c r="A19" s="255"/>
      <c r="B19" s="256"/>
      <c r="C19" s="23"/>
      <c r="D19" s="25"/>
      <c r="E19" s="258"/>
      <c r="F19" s="25"/>
      <c r="G19" s="259"/>
      <c r="H19" s="260"/>
      <c r="I19" s="261"/>
      <c r="J19" s="262"/>
      <c r="K19" s="261"/>
      <c r="L19" s="262"/>
      <c r="M19" s="261"/>
      <c r="N19" s="17"/>
      <c r="O19" s="261"/>
      <c r="P19" s="17"/>
      <c r="Q19" s="264"/>
      <c r="R19" s="265"/>
      <c r="S19" s="266"/>
      <c r="T19" s="266"/>
    </row>
    <row r="20">
      <c r="A20" s="255"/>
      <c r="B20" s="256"/>
      <c r="C20" s="268"/>
      <c r="D20" s="25"/>
      <c r="E20" s="258"/>
      <c r="F20" s="25"/>
      <c r="G20" s="259"/>
      <c r="H20" s="260"/>
      <c r="I20" s="261"/>
      <c r="J20" s="262"/>
      <c r="K20" s="261"/>
      <c r="L20" s="262"/>
      <c r="M20" s="261"/>
      <c r="N20" s="17"/>
      <c r="O20" s="261"/>
      <c r="P20" s="17"/>
      <c r="Q20" s="264"/>
      <c r="R20" s="265"/>
      <c r="S20" s="266"/>
      <c r="T20" s="266"/>
    </row>
    <row r="21">
      <c r="A21" s="255"/>
      <c r="B21" s="256"/>
      <c r="C21" s="23"/>
      <c r="D21" s="25"/>
      <c r="E21" s="258"/>
      <c r="F21" s="25"/>
      <c r="G21" s="259"/>
      <c r="H21" s="260"/>
      <c r="I21" s="261"/>
      <c r="J21" s="267"/>
      <c r="K21" s="261"/>
      <c r="L21" s="262"/>
      <c r="M21" s="261"/>
      <c r="N21" s="17"/>
      <c r="O21" s="261"/>
      <c r="P21" s="17"/>
      <c r="Q21" s="264"/>
      <c r="R21" s="265"/>
      <c r="S21" s="266"/>
      <c r="T21" s="266"/>
    </row>
    <row r="22">
      <c r="A22" s="255"/>
      <c r="B22" s="256"/>
      <c r="C22" s="23"/>
      <c r="D22" s="25"/>
      <c r="E22" s="258"/>
      <c r="F22" s="25"/>
      <c r="G22" s="259"/>
      <c r="H22" s="260"/>
      <c r="I22" s="261"/>
      <c r="J22" s="262"/>
      <c r="K22" s="261"/>
      <c r="L22" s="262"/>
      <c r="M22" s="261"/>
      <c r="N22" s="17"/>
      <c r="O22" s="261"/>
      <c r="P22" s="17"/>
      <c r="Q22" s="264"/>
      <c r="R22" s="265"/>
      <c r="S22" s="266"/>
      <c r="T22" s="266"/>
    </row>
    <row r="23">
      <c r="A23" s="255"/>
      <c r="B23" s="256"/>
      <c r="C23" s="23"/>
      <c r="D23" s="25"/>
      <c r="E23" s="258"/>
      <c r="F23" s="25"/>
      <c r="G23" s="259"/>
      <c r="H23" s="260"/>
      <c r="I23" s="261"/>
      <c r="J23" s="267"/>
      <c r="K23" s="261"/>
      <c r="L23" s="262"/>
      <c r="M23" s="261"/>
      <c r="N23" s="17"/>
      <c r="O23" s="261"/>
      <c r="P23" s="17"/>
      <c r="Q23" s="264"/>
      <c r="R23" s="265"/>
      <c r="S23" s="266"/>
      <c r="T23" s="266"/>
    </row>
    <row r="24">
      <c r="A24" s="255"/>
      <c r="B24" s="23"/>
      <c r="C24" s="23"/>
      <c r="D24" s="25"/>
      <c r="E24" s="258"/>
      <c r="F24" s="25"/>
      <c r="G24" s="259"/>
      <c r="H24" s="260"/>
      <c r="I24" s="261"/>
      <c r="J24" s="267"/>
      <c r="K24" s="261"/>
      <c r="L24" s="262"/>
      <c r="M24" s="261"/>
      <c r="N24" s="17"/>
      <c r="O24" s="261"/>
      <c r="P24" s="17"/>
      <c r="Q24" s="264"/>
      <c r="R24" s="265"/>
      <c r="S24" s="266"/>
      <c r="T24" s="266"/>
    </row>
    <row r="25">
      <c r="A25" s="255"/>
      <c r="B25" s="23"/>
      <c r="C25" s="23"/>
      <c r="D25" s="25"/>
      <c r="E25" s="258"/>
      <c r="F25" s="25"/>
      <c r="G25" s="259"/>
      <c r="H25" s="260"/>
      <c r="I25" s="261"/>
      <c r="J25" s="262"/>
      <c r="K25" s="261"/>
      <c r="L25" s="262"/>
      <c r="M25" s="261"/>
      <c r="N25" s="17"/>
      <c r="O25" s="261"/>
      <c r="P25" s="17"/>
      <c r="Q25" s="264"/>
      <c r="R25" s="265"/>
      <c r="S25" s="266"/>
      <c r="T25" s="266"/>
    </row>
    <row r="26">
      <c r="A26" s="255"/>
      <c r="B26" s="23"/>
      <c r="C26" s="23"/>
      <c r="D26" s="25"/>
      <c r="E26" s="258"/>
      <c r="F26" s="25"/>
      <c r="G26" s="259"/>
      <c r="H26" s="260"/>
      <c r="I26" s="261"/>
      <c r="J26" s="262"/>
      <c r="K26" s="261"/>
      <c r="L26" s="262"/>
      <c r="M26" s="261"/>
      <c r="N26" s="17"/>
      <c r="O26" s="261"/>
      <c r="P26" s="17"/>
      <c r="Q26" s="264"/>
      <c r="R26" s="265"/>
      <c r="S26" s="266"/>
      <c r="T26" s="266"/>
    </row>
    <row r="27">
      <c r="A27" s="255"/>
      <c r="B27" s="23"/>
      <c r="C27" s="23"/>
      <c r="D27" s="25"/>
      <c r="E27" s="269"/>
      <c r="F27" s="25"/>
      <c r="G27" s="259"/>
      <c r="H27" s="260"/>
      <c r="I27" s="261"/>
      <c r="J27" s="262"/>
      <c r="K27" s="261"/>
      <c r="L27" s="262"/>
      <c r="M27" s="261"/>
      <c r="N27" s="17"/>
      <c r="O27" s="261"/>
      <c r="P27" s="17"/>
      <c r="Q27" s="264"/>
      <c r="R27" s="265"/>
      <c r="S27" s="266"/>
      <c r="T27" s="266"/>
    </row>
    <row r="28">
      <c r="A28" s="255"/>
      <c r="B28" s="23"/>
      <c r="C28" s="23"/>
      <c r="D28" s="25"/>
      <c r="E28" s="258"/>
      <c r="F28" s="25"/>
      <c r="G28" s="259"/>
      <c r="H28" s="260"/>
      <c r="I28" s="261"/>
      <c r="J28" s="262"/>
      <c r="K28" s="261"/>
      <c r="L28" s="262"/>
      <c r="M28" s="261"/>
      <c r="N28" s="17"/>
      <c r="O28" s="261"/>
      <c r="P28" s="17"/>
      <c r="Q28" s="264"/>
      <c r="R28" s="265"/>
      <c r="S28" s="266"/>
      <c r="T28" s="266"/>
    </row>
    <row r="29">
      <c r="A29" s="255"/>
      <c r="B29" s="23"/>
      <c r="C29" s="23"/>
      <c r="D29" s="25"/>
      <c r="E29" s="258"/>
      <c r="F29" s="25"/>
      <c r="G29" s="259"/>
      <c r="H29" s="260"/>
      <c r="I29" s="261"/>
      <c r="J29" s="262"/>
      <c r="K29" s="261"/>
      <c r="L29" s="262"/>
      <c r="M29" s="261"/>
      <c r="N29" s="17"/>
      <c r="O29" s="261"/>
      <c r="P29" s="17"/>
      <c r="Q29" s="264"/>
      <c r="R29" s="265"/>
      <c r="S29" s="266"/>
      <c r="T29" s="266"/>
    </row>
    <row r="30">
      <c r="A30" s="255"/>
      <c r="B30" s="256"/>
      <c r="C30" s="23"/>
      <c r="D30" s="25"/>
      <c r="E30" s="258"/>
      <c r="F30" s="25"/>
      <c r="G30" s="259"/>
      <c r="H30" s="260"/>
      <c r="I30" s="261"/>
      <c r="J30" s="262"/>
      <c r="K30" s="261"/>
      <c r="L30" s="262"/>
      <c r="M30" s="261"/>
      <c r="N30" s="17"/>
      <c r="O30" s="261"/>
      <c r="P30" s="17"/>
      <c r="Q30" s="264"/>
      <c r="R30" s="265"/>
      <c r="S30" s="266"/>
      <c r="T30" s="266"/>
    </row>
    <row r="31">
      <c r="A31" s="255"/>
      <c r="B31" s="23"/>
      <c r="C31" s="23"/>
      <c r="D31" s="25"/>
      <c r="E31" s="269"/>
      <c r="F31" s="25"/>
      <c r="G31" s="259"/>
      <c r="H31" s="260"/>
      <c r="I31" s="261"/>
      <c r="J31" s="262"/>
      <c r="K31" s="261"/>
      <c r="L31" s="262"/>
      <c r="M31" s="261"/>
      <c r="N31" s="17"/>
      <c r="O31" s="261"/>
      <c r="P31" s="17"/>
      <c r="Q31" s="264"/>
      <c r="R31" s="265"/>
      <c r="S31" s="266"/>
      <c r="T31" s="266"/>
    </row>
    <row r="32">
      <c r="A32" s="255"/>
      <c r="B32" s="23"/>
      <c r="C32" s="23"/>
      <c r="D32" s="25"/>
      <c r="E32" s="258"/>
      <c r="F32" s="25"/>
      <c r="G32" s="259"/>
      <c r="H32" s="260"/>
      <c r="I32" s="261"/>
      <c r="J32" s="267"/>
      <c r="K32" s="261"/>
      <c r="L32" s="267"/>
      <c r="M32" s="261"/>
      <c r="N32" s="17"/>
      <c r="O32" s="261"/>
      <c r="P32" s="17"/>
      <c r="Q32" s="264"/>
      <c r="R32" s="265"/>
      <c r="S32" s="266"/>
      <c r="T32" s="266"/>
    </row>
    <row r="33">
      <c r="A33" s="255"/>
      <c r="B33" s="23"/>
      <c r="C33" s="23"/>
      <c r="D33" s="25"/>
      <c r="E33" s="258"/>
      <c r="F33" s="25"/>
      <c r="G33" s="259"/>
      <c r="H33" s="260"/>
      <c r="I33" s="261"/>
      <c r="J33" s="262"/>
      <c r="K33" s="261"/>
      <c r="L33" s="262"/>
      <c r="M33" s="261"/>
      <c r="N33" s="17"/>
      <c r="O33" s="261"/>
      <c r="P33" s="17"/>
      <c r="Q33" s="264"/>
      <c r="R33" s="265"/>
      <c r="S33" s="266"/>
      <c r="T33" s="266"/>
    </row>
    <row r="34">
      <c r="A34" s="255"/>
      <c r="B34" s="23"/>
      <c r="C34" s="23"/>
      <c r="D34" s="270"/>
      <c r="E34" s="271"/>
      <c r="F34" s="270"/>
      <c r="G34" s="259"/>
      <c r="H34" s="260"/>
      <c r="I34" s="261"/>
      <c r="J34" s="262"/>
      <c r="K34" s="261"/>
      <c r="L34" s="262"/>
      <c r="M34" s="261"/>
      <c r="N34" s="17"/>
      <c r="O34" s="261"/>
      <c r="P34" s="17"/>
      <c r="Q34" s="266"/>
      <c r="R34" s="266"/>
      <c r="S34" s="266"/>
      <c r="T34" s="266"/>
    </row>
    <row r="35">
      <c r="A35" s="255"/>
      <c r="B35" s="23"/>
      <c r="C35" s="23"/>
      <c r="D35" s="270"/>
      <c r="E35" s="271"/>
      <c r="F35" s="270"/>
      <c r="G35" s="259"/>
      <c r="H35" s="260"/>
      <c r="I35" s="261"/>
      <c r="J35" s="262"/>
      <c r="K35" s="261"/>
      <c r="L35" s="262"/>
      <c r="M35" s="261"/>
      <c r="N35" s="17"/>
      <c r="O35" s="261"/>
      <c r="P35" s="17"/>
      <c r="Q35" s="266"/>
      <c r="R35" s="266"/>
      <c r="S35" s="266"/>
      <c r="T35" s="266"/>
    </row>
    <row r="36">
      <c r="A36" s="255"/>
      <c r="B36" s="23"/>
      <c r="C36" s="23"/>
      <c r="D36" s="270"/>
      <c r="E36" s="271"/>
      <c r="F36" s="270"/>
      <c r="G36" s="259"/>
      <c r="H36" s="260"/>
      <c r="I36" s="261"/>
      <c r="J36" s="262"/>
      <c r="K36" s="261"/>
      <c r="L36" s="262"/>
      <c r="M36" s="261"/>
      <c r="N36" s="17"/>
      <c r="O36" s="261"/>
      <c r="P36" s="17"/>
      <c r="Q36" s="266"/>
      <c r="R36" s="266"/>
      <c r="S36" s="266"/>
      <c r="T36" s="266"/>
    </row>
    <row r="37">
      <c r="A37" s="255"/>
      <c r="B37" s="23"/>
      <c r="C37" s="23"/>
      <c r="D37" s="270"/>
      <c r="E37" s="271"/>
      <c r="F37" s="270"/>
      <c r="G37" s="259"/>
      <c r="H37" s="260"/>
      <c r="I37" s="261"/>
      <c r="J37" s="262"/>
      <c r="K37" s="261"/>
      <c r="L37" s="262"/>
      <c r="M37" s="261"/>
      <c r="N37" s="17"/>
      <c r="O37" s="261"/>
      <c r="P37" s="17"/>
      <c r="Q37" s="266"/>
      <c r="R37" s="266"/>
      <c r="S37" s="266"/>
      <c r="T37" s="266"/>
    </row>
    <row r="38">
      <c r="A38" s="255"/>
      <c r="B38" s="23"/>
      <c r="C38" s="23"/>
      <c r="D38" s="270"/>
      <c r="E38" s="271"/>
      <c r="F38" s="270"/>
      <c r="G38" s="259"/>
      <c r="H38" s="260"/>
      <c r="I38" s="261"/>
      <c r="J38" s="262"/>
      <c r="K38" s="261"/>
      <c r="L38" s="262"/>
      <c r="M38" s="261"/>
      <c r="N38" s="17"/>
      <c r="O38" s="261"/>
      <c r="P38" s="17"/>
      <c r="Q38" s="266"/>
      <c r="R38" s="266"/>
      <c r="S38" s="266"/>
      <c r="T38" s="266"/>
    </row>
    <row r="39">
      <c r="A39" s="255"/>
      <c r="B39" s="23"/>
      <c r="C39" s="23"/>
      <c r="D39" s="270"/>
      <c r="E39" s="271"/>
      <c r="F39" s="270"/>
      <c r="G39" s="259"/>
      <c r="H39" s="260"/>
      <c r="I39" s="261"/>
      <c r="J39" s="262"/>
      <c r="K39" s="261"/>
      <c r="L39" s="262"/>
      <c r="M39" s="261"/>
      <c r="N39" s="17"/>
      <c r="O39" s="261"/>
      <c r="P39" s="17"/>
      <c r="Q39" s="266"/>
      <c r="R39" s="266"/>
      <c r="S39" s="266"/>
      <c r="T39" s="266"/>
    </row>
    <row r="40">
      <c r="A40" s="255"/>
      <c r="B40" s="23"/>
      <c r="C40" s="23"/>
      <c r="D40" s="270"/>
      <c r="E40" s="271"/>
      <c r="F40" s="270"/>
      <c r="G40" s="259"/>
      <c r="H40" s="260"/>
      <c r="I40" s="261"/>
      <c r="J40" s="262"/>
      <c r="K40" s="261"/>
      <c r="L40" s="262"/>
      <c r="M40" s="261"/>
      <c r="N40" s="17"/>
      <c r="O40" s="261"/>
      <c r="P40" s="17"/>
      <c r="Q40" s="266"/>
      <c r="R40" s="266"/>
      <c r="S40" s="266"/>
      <c r="T40" s="266"/>
    </row>
    <row r="41">
      <c r="A41" s="255"/>
      <c r="B41" s="23"/>
      <c r="C41" s="23"/>
      <c r="D41" s="270"/>
      <c r="E41" s="271"/>
      <c r="F41" s="270"/>
      <c r="G41" s="259"/>
      <c r="H41" s="260"/>
      <c r="I41" s="261"/>
      <c r="J41" s="262"/>
      <c r="K41" s="261"/>
      <c r="L41" s="262"/>
      <c r="M41" s="261"/>
      <c r="N41" s="17"/>
      <c r="O41" s="261"/>
      <c r="P41" s="17"/>
      <c r="Q41" s="266"/>
      <c r="R41" s="266"/>
      <c r="S41" s="266"/>
      <c r="T41" s="266"/>
    </row>
    <row r="42">
      <c r="A42" s="255"/>
      <c r="B42" s="23"/>
      <c r="C42" s="23"/>
      <c r="D42" s="270"/>
      <c r="E42" s="271"/>
      <c r="F42" s="270"/>
      <c r="G42" s="259"/>
      <c r="H42" s="260"/>
      <c r="I42" s="261"/>
      <c r="J42" s="262"/>
      <c r="K42" s="261"/>
      <c r="L42" s="262"/>
      <c r="M42" s="261"/>
      <c r="N42" s="17"/>
      <c r="O42" s="261"/>
      <c r="P42" s="17"/>
      <c r="Q42" s="266"/>
      <c r="R42" s="266"/>
      <c r="S42" s="266"/>
      <c r="T42" s="266"/>
    </row>
    <row r="43">
      <c r="A43" s="255"/>
      <c r="B43" s="23"/>
      <c r="C43" s="23"/>
      <c r="D43" s="270"/>
      <c r="E43" s="271"/>
      <c r="F43" s="270"/>
      <c r="G43" s="259"/>
      <c r="H43" s="260"/>
      <c r="I43" s="261"/>
      <c r="J43" s="262"/>
      <c r="K43" s="261"/>
      <c r="L43" s="262"/>
      <c r="M43" s="261"/>
      <c r="N43" s="17"/>
      <c r="O43" s="261"/>
      <c r="P43" s="17"/>
      <c r="Q43" s="266"/>
      <c r="R43" s="266"/>
      <c r="S43" s="266"/>
      <c r="T43" s="266"/>
    </row>
    <row r="44">
      <c r="A44" s="255"/>
      <c r="B44" s="23"/>
      <c r="C44" s="23"/>
      <c r="D44" s="270"/>
      <c r="E44" s="271"/>
      <c r="F44" s="270"/>
      <c r="G44" s="259"/>
      <c r="H44" s="260"/>
      <c r="I44" s="261"/>
      <c r="J44" s="262"/>
      <c r="K44" s="261"/>
      <c r="L44" s="262"/>
      <c r="M44" s="261"/>
      <c r="N44" s="17"/>
      <c r="O44" s="261"/>
      <c r="P44" s="17"/>
      <c r="Q44" s="266"/>
      <c r="R44" s="266"/>
      <c r="S44" s="266"/>
      <c r="T44" s="266"/>
    </row>
    <row r="45">
      <c r="A45" s="255"/>
      <c r="B45" s="23"/>
      <c r="C45" s="23"/>
      <c r="D45" s="270"/>
      <c r="E45" s="271"/>
      <c r="F45" s="270"/>
      <c r="G45" s="259"/>
      <c r="H45" s="260"/>
      <c r="I45" s="261"/>
      <c r="J45" s="262"/>
      <c r="K45" s="261"/>
      <c r="L45" s="262"/>
      <c r="M45" s="261"/>
      <c r="N45" s="17"/>
      <c r="O45" s="261"/>
      <c r="P45" s="17"/>
      <c r="Q45" s="266"/>
      <c r="R45" s="266"/>
      <c r="S45" s="266"/>
      <c r="T45" s="266"/>
    </row>
    <row r="46">
      <c r="A46" s="255"/>
      <c r="B46" s="23"/>
      <c r="C46" s="23"/>
      <c r="D46" s="270"/>
      <c r="E46" s="271"/>
      <c r="F46" s="270"/>
      <c r="G46" s="259"/>
      <c r="H46" s="260"/>
      <c r="I46" s="261"/>
      <c r="J46" s="262"/>
      <c r="K46" s="261"/>
      <c r="L46" s="262"/>
      <c r="M46" s="261"/>
      <c r="N46" s="17"/>
      <c r="O46" s="261"/>
      <c r="P46" s="17"/>
      <c r="Q46" s="266"/>
      <c r="R46" s="266"/>
      <c r="S46" s="266"/>
      <c r="T46" s="266"/>
    </row>
    <row r="47">
      <c r="A47" s="255"/>
      <c r="B47" s="23"/>
      <c r="C47" s="23"/>
      <c r="D47" s="270"/>
      <c r="E47" s="271"/>
      <c r="F47" s="270"/>
      <c r="G47" s="259"/>
      <c r="H47" s="260"/>
      <c r="I47" s="261"/>
      <c r="J47" s="262"/>
      <c r="K47" s="261"/>
      <c r="L47" s="262"/>
      <c r="M47" s="261"/>
      <c r="N47" s="17"/>
      <c r="O47" s="261"/>
      <c r="P47" s="17"/>
      <c r="Q47" s="266"/>
      <c r="R47" s="266"/>
      <c r="S47" s="266"/>
      <c r="T47" s="266"/>
    </row>
    <row r="48">
      <c r="A48" s="255"/>
      <c r="B48" s="23"/>
      <c r="C48" s="23"/>
      <c r="D48" s="270"/>
      <c r="E48" s="271"/>
      <c r="F48" s="270"/>
      <c r="G48" s="259"/>
      <c r="H48" s="260"/>
      <c r="I48" s="261"/>
      <c r="J48" s="262"/>
      <c r="K48" s="261"/>
      <c r="L48" s="262"/>
      <c r="M48" s="261"/>
      <c r="N48" s="17"/>
      <c r="O48" s="261"/>
      <c r="P48" s="17"/>
      <c r="Q48" s="266"/>
      <c r="R48" s="266"/>
      <c r="S48" s="266"/>
      <c r="T48" s="266"/>
    </row>
    <row r="49">
      <c r="A49" s="255"/>
      <c r="B49" s="23"/>
      <c r="C49" s="23"/>
      <c r="D49" s="270"/>
      <c r="E49" s="271"/>
      <c r="F49" s="270"/>
      <c r="G49" s="259"/>
      <c r="H49" s="260"/>
      <c r="I49" s="261"/>
      <c r="J49" s="262"/>
      <c r="K49" s="261"/>
      <c r="L49" s="262"/>
      <c r="M49" s="261"/>
      <c r="N49" s="17"/>
      <c r="O49" s="261"/>
      <c r="P49" s="17"/>
      <c r="Q49" s="266"/>
      <c r="R49" s="266"/>
      <c r="S49" s="266"/>
      <c r="T49" s="266"/>
    </row>
    <row r="50">
      <c r="A50" s="255"/>
      <c r="B50" s="23"/>
      <c r="C50" s="23"/>
      <c r="D50" s="270"/>
      <c r="E50" s="271"/>
      <c r="F50" s="270"/>
      <c r="G50" s="259"/>
      <c r="H50" s="260"/>
      <c r="I50" s="261"/>
      <c r="J50" s="262"/>
      <c r="K50" s="261"/>
      <c r="L50" s="262"/>
      <c r="M50" s="261"/>
      <c r="N50" s="17"/>
      <c r="O50" s="261"/>
      <c r="P50" s="17"/>
      <c r="Q50" s="266"/>
      <c r="R50" s="266"/>
      <c r="S50" s="266"/>
      <c r="T50" s="266"/>
    </row>
    <row r="51">
      <c r="A51" s="255"/>
      <c r="B51" s="23"/>
      <c r="C51" s="23"/>
      <c r="D51" s="270"/>
      <c r="E51" s="271"/>
      <c r="F51" s="270"/>
      <c r="G51" s="259"/>
      <c r="H51" s="260"/>
      <c r="I51" s="261"/>
      <c r="J51" s="262"/>
      <c r="K51" s="261"/>
      <c r="L51" s="262"/>
      <c r="M51" s="261"/>
      <c r="N51" s="17"/>
      <c r="O51" s="261"/>
      <c r="P51" s="17"/>
      <c r="Q51" s="266"/>
      <c r="R51" s="266"/>
      <c r="S51" s="266"/>
      <c r="T51" s="266"/>
    </row>
    <row r="52">
      <c r="A52" s="255"/>
      <c r="B52" s="23"/>
      <c r="C52" s="23"/>
      <c r="D52" s="270"/>
      <c r="E52" s="271"/>
      <c r="F52" s="270"/>
      <c r="G52" s="259"/>
      <c r="H52" s="260"/>
      <c r="I52" s="261"/>
      <c r="J52" s="262"/>
      <c r="K52" s="261"/>
      <c r="L52" s="262"/>
      <c r="M52" s="261"/>
      <c r="N52" s="17"/>
      <c r="O52" s="261"/>
      <c r="P52" s="17"/>
      <c r="Q52" s="266"/>
      <c r="R52" s="266"/>
      <c r="S52" s="266"/>
      <c r="T52" s="266"/>
    </row>
    <row r="53">
      <c r="A53" s="255"/>
      <c r="B53" s="23"/>
      <c r="C53" s="23"/>
      <c r="D53" s="270"/>
      <c r="E53" s="271"/>
      <c r="F53" s="270"/>
      <c r="G53" s="259"/>
      <c r="H53" s="260"/>
      <c r="I53" s="261"/>
      <c r="J53" s="262"/>
      <c r="K53" s="261"/>
      <c r="L53" s="262"/>
      <c r="M53" s="261"/>
      <c r="N53" s="17"/>
      <c r="O53" s="261"/>
      <c r="P53" s="17"/>
      <c r="Q53" s="266"/>
      <c r="R53" s="266"/>
      <c r="S53" s="266"/>
      <c r="T53" s="266"/>
    </row>
    <row r="54">
      <c r="A54" s="255"/>
      <c r="B54" s="23"/>
      <c r="C54" s="23"/>
      <c r="D54" s="270"/>
      <c r="E54" s="271"/>
      <c r="F54" s="270"/>
      <c r="G54" s="259"/>
      <c r="H54" s="260"/>
      <c r="I54" s="261"/>
      <c r="J54" s="262"/>
      <c r="K54" s="261"/>
      <c r="L54" s="262"/>
      <c r="M54" s="261"/>
      <c r="N54" s="17"/>
      <c r="O54" s="261"/>
      <c r="P54" s="17"/>
      <c r="Q54" s="266"/>
      <c r="R54" s="266"/>
      <c r="S54" s="266"/>
      <c r="T54" s="266"/>
    </row>
    <row r="55">
      <c r="A55" s="255"/>
      <c r="B55" s="23"/>
      <c r="C55" s="23"/>
      <c r="D55" s="270"/>
      <c r="E55" s="271"/>
      <c r="F55" s="270"/>
      <c r="G55" s="259"/>
      <c r="H55" s="260"/>
      <c r="I55" s="261"/>
      <c r="J55" s="262"/>
      <c r="K55" s="261"/>
      <c r="L55" s="262"/>
      <c r="M55" s="261"/>
      <c r="N55" s="17"/>
      <c r="O55" s="261"/>
      <c r="P55" s="17"/>
      <c r="Q55" s="266"/>
      <c r="R55" s="266"/>
      <c r="S55" s="266"/>
      <c r="T55" s="266"/>
    </row>
    <row r="56">
      <c r="A56" s="255"/>
      <c r="B56" s="23"/>
      <c r="C56" s="23"/>
      <c r="D56" s="270"/>
      <c r="E56" s="271"/>
      <c r="F56" s="270"/>
      <c r="G56" s="259"/>
      <c r="H56" s="260"/>
      <c r="I56" s="261"/>
      <c r="J56" s="262"/>
      <c r="K56" s="261"/>
      <c r="L56" s="262"/>
      <c r="M56" s="261"/>
      <c r="N56" s="17"/>
      <c r="O56" s="261"/>
      <c r="P56" s="17"/>
      <c r="Q56" s="266"/>
      <c r="R56" s="266"/>
      <c r="S56" s="266"/>
      <c r="T56" s="266"/>
    </row>
    <row r="57">
      <c r="A57" s="255"/>
      <c r="B57" s="23"/>
      <c r="C57" s="23"/>
      <c r="D57" s="270"/>
      <c r="E57" s="271"/>
      <c r="F57" s="270"/>
      <c r="G57" s="259"/>
      <c r="H57" s="260"/>
      <c r="I57" s="261"/>
      <c r="J57" s="262"/>
      <c r="K57" s="261"/>
      <c r="L57" s="262"/>
      <c r="M57" s="261"/>
      <c r="N57" s="17"/>
      <c r="O57" s="261"/>
      <c r="P57" s="17"/>
      <c r="Q57" s="266"/>
      <c r="R57" s="266"/>
      <c r="S57" s="266"/>
      <c r="T57" s="266"/>
    </row>
    <row r="58">
      <c r="A58" s="255"/>
      <c r="B58" s="23"/>
      <c r="C58" s="23"/>
      <c r="D58" s="270"/>
      <c r="E58" s="271"/>
      <c r="F58" s="270"/>
      <c r="G58" s="259"/>
      <c r="H58" s="260"/>
      <c r="I58" s="261"/>
      <c r="J58" s="262"/>
      <c r="K58" s="261"/>
      <c r="L58" s="262"/>
      <c r="M58" s="261"/>
      <c r="N58" s="17"/>
      <c r="O58" s="261"/>
      <c r="P58" s="17"/>
      <c r="Q58" s="266"/>
      <c r="R58" s="266"/>
      <c r="S58" s="266"/>
      <c r="T58" s="266"/>
    </row>
    <row r="59">
      <c r="A59" s="255"/>
      <c r="B59" s="23"/>
      <c r="C59" s="23"/>
      <c r="D59" s="270"/>
      <c r="E59" s="271"/>
      <c r="F59" s="270"/>
      <c r="G59" s="259"/>
      <c r="H59" s="260"/>
      <c r="I59" s="261"/>
      <c r="J59" s="262"/>
      <c r="K59" s="261"/>
      <c r="L59" s="262"/>
      <c r="M59" s="261"/>
      <c r="N59" s="17"/>
      <c r="O59" s="261"/>
      <c r="P59" s="17"/>
      <c r="Q59" s="266"/>
      <c r="R59" s="266"/>
      <c r="S59" s="266"/>
      <c r="T59" s="266"/>
    </row>
    <row r="60">
      <c r="A60" s="255"/>
      <c r="B60" s="23"/>
      <c r="C60" s="23"/>
      <c r="D60" s="270"/>
      <c r="E60" s="271"/>
      <c r="F60" s="270"/>
      <c r="G60" s="259"/>
      <c r="H60" s="260"/>
      <c r="I60" s="261"/>
      <c r="J60" s="262"/>
      <c r="K60" s="261"/>
      <c r="L60" s="262"/>
      <c r="M60" s="261"/>
      <c r="N60" s="17"/>
      <c r="O60" s="261"/>
      <c r="P60" s="17"/>
      <c r="Q60" s="266"/>
      <c r="R60" s="266"/>
      <c r="S60" s="266"/>
      <c r="T60" s="266"/>
    </row>
    <row r="61">
      <c r="A61" s="255"/>
      <c r="B61" s="23"/>
      <c r="C61" s="23"/>
      <c r="D61" s="270"/>
      <c r="E61" s="271"/>
      <c r="F61" s="270"/>
      <c r="G61" s="259"/>
      <c r="H61" s="260"/>
      <c r="I61" s="261"/>
      <c r="J61" s="262"/>
      <c r="K61" s="261"/>
      <c r="L61" s="262"/>
      <c r="M61" s="261"/>
      <c r="N61" s="17"/>
      <c r="O61" s="261"/>
      <c r="P61" s="17"/>
      <c r="Q61" s="266"/>
      <c r="R61" s="266"/>
      <c r="S61" s="266"/>
      <c r="T61" s="266"/>
    </row>
    <row r="62">
      <c r="A62" s="255"/>
      <c r="B62" s="23"/>
      <c r="C62" s="23"/>
      <c r="D62" s="270"/>
      <c r="E62" s="271"/>
      <c r="F62" s="270"/>
      <c r="G62" s="259"/>
      <c r="H62" s="260"/>
      <c r="I62" s="261"/>
      <c r="J62" s="262"/>
      <c r="K62" s="261"/>
      <c r="L62" s="262"/>
      <c r="M62" s="261"/>
      <c r="N62" s="17"/>
      <c r="O62" s="261"/>
      <c r="P62" s="17"/>
      <c r="Q62" s="266"/>
      <c r="R62" s="266"/>
      <c r="S62" s="266"/>
      <c r="T62" s="266"/>
    </row>
    <row r="63">
      <c r="A63" s="255"/>
      <c r="B63" s="23"/>
      <c r="C63" s="23"/>
      <c r="D63" s="270"/>
      <c r="E63" s="271"/>
      <c r="F63" s="270"/>
      <c r="G63" s="259"/>
      <c r="H63" s="260"/>
      <c r="I63" s="261"/>
      <c r="J63" s="262"/>
      <c r="K63" s="261"/>
      <c r="L63" s="262"/>
      <c r="M63" s="261"/>
      <c r="N63" s="17"/>
      <c r="O63" s="261"/>
      <c r="P63" s="17"/>
      <c r="Q63" s="266"/>
      <c r="R63" s="266"/>
      <c r="S63" s="266"/>
      <c r="T63" s="266"/>
    </row>
    <row r="64">
      <c r="A64" s="255"/>
      <c r="B64" s="23"/>
      <c r="C64" s="23"/>
      <c r="D64" s="270"/>
      <c r="E64" s="271"/>
      <c r="F64" s="270"/>
      <c r="G64" s="259"/>
      <c r="H64" s="260"/>
      <c r="I64" s="261"/>
      <c r="J64" s="262"/>
      <c r="K64" s="261"/>
      <c r="L64" s="262"/>
      <c r="M64" s="261"/>
      <c r="N64" s="17"/>
      <c r="O64" s="261"/>
      <c r="P64" s="17"/>
      <c r="Q64" s="266"/>
      <c r="R64" s="266"/>
      <c r="S64" s="266"/>
      <c r="T64" s="266"/>
    </row>
    <row r="65">
      <c r="A65" s="255"/>
      <c r="B65" s="23"/>
      <c r="C65" s="23"/>
      <c r="D65" s="270"/>
      <c r="E65" s="271"/>
      <c r="F65" s="270"/>
      <c r="G65" s="259"/>
      <c r="H65" s="260"/>
      <c r="I65" s="261"/>
      <c r="J65" s="262"/>
      <c r="K65" s="261"/>
      <c r="L65" s="262"/>
      <c r="M65" s="261"/>
      <c r="N65" s="17"/>
      <c r="O65" s="261"/>
      <c r="P65" s="17"/>
      <c r="Q65" s="266"/>
      <c r="R65" s="266"/>
      <c r="S65" s="266"/>
      <c r="T65" s="266"/>
    </row>
    <row r="66">
      <c r="A66" s="255"/>
      <c r="B66" s="23"/>
      <c r="C66" s="23"/>
      <c r="D66" s="270"/>
      <c r="E66" s="271"/>
      <c r="F66" s="270"/>
      <c r="G66" s="259"/>
      <c r="H66" s="260"/>
      <c r="I66" s="261"/>
      <c r="J66" s="262"/>
      <c r="K66" s="261"/>
      <c r="L66" s="262"/>
      <c r="M66" s="261"/>
      <c r="N66" s="17"/>
      <c r="O66" s="261"/>
      <c r="P66" s="17"/>
      <c r="Q66" s="266"/>
      <c r="R66" s="266"/>
      <c r="S66" s="266"/>
      <c r="T66" s="266"/>
    </row>
    <row r="67">
      <c r="A67" s="255"/>
      <c r="B67" s="23"/>
      <c r="C67" s="23"/>
      <c r="D67" s="270"/>
      <c r="E67" s="271"/>
      <c r="F67" s="270"/>
      <c r="G67" s="259"/>
      <c r="H67" s="260"/>
      <c r="I67" s="261"/>
      <c r="J67" s="262"/>
      <c r="K67" s="261"/>
      <c r="L67" s="262"/>
      <c r="M67" s="261"/>
      <c r="N67" s="17"/>
      <c r="O67" s="261"/>
      <c r="P67" s="17"/>
      <c r="Q67" s="266"/>
      <c r="R67" s="266"/>
      <c r="S67" s="266"/>
      <c r="T67" s="266"/>
    </row>
    <row r="68">
      <c r="A68" s="255"/>
      <c r="B68" s="23"/>
      <c r="C68" s="23"/>
      <c r="D68" s="270"/>
      <c r="E68" s="271"/>
      <c r="F68" s="270"/>
      <c r="G68" s="259"/>
      <c r="H68" s="260"/>
      <c r="I68" s="261"/>
      <c r="J68" s="262"/>
      <c r="K68" s="261"/>
      <c r="L68" s="262"/>
      <c r="M68" s="261"/>
      <c r="N68" s="17"/>
      <c r="O68" s="261"/>
      <c r="P68" s="17"/>
      <c r="Q68" s="266"/>
      <c r="R68" s="266"/>
      <c r="S68" s="266"/>
      <c r="T68" s="266"/>
    </row>
    <row r="69">
      <c r="A69" s="255"/>
      <c r="B69" s="23"/>
      <c r="C69" s="23"/>
      <c r="D69" s="270"/>
      <c r="E69" s="271"/>
      <c r="F69" s="270"/>
      <c r="G69" s="259"/>
      <c r="H69" s="260"/>
      <c r="I69" s="261"/>
      <c r="J69" s="262"/>
      <c r="K69" s="261"/>
      <c r="L69" s="262"/>
      <c r="M69" s="261"/>
      <c r="N69" s="17"/>
      <c r="O69" s="261"/>
      <c r="P69" s="17"/>
      <c r="Q69" s="266"/>
      <c r="R69" s="266"/>
      <c r="S69" s="266"/>
      <c r="T69" s="266"/>
    </row>
    <row r="70">
      <c r="A70" s="255"/>
      <c r="B70" s="23"/>
      <c r="C70" s="23"/>
      <c r="D70" s="270"/>
      <c r="E70" s="271"/>
      <c r="F70" s="270"/>
      <c r="G70" s="259"/>
      <c r="H70" s="260"/>
      <c r="I70" s="261"/>
      <c r="J70" s="262"/>
      <c r="K70" s="261"/>
      <c r="L70" s="262"/>
      <c r="M70" s="261"/>
      <c r="N70" s="17"/>
      <c r="O70" s="261"/>
      <c r="P70" s="17"/>
      <c r="Q70" s="266"/>
      <c r="R70" s="266"/>
      <c r="S70" s="266"/>
      <c r="T70" s="266"/>
    </row>
    <row r="71">
      <c r="A71" s="255"/>
      <c r="B71" s="23"/>
      <c r="C71" s="23"/>
      <c r="D71" s="270"/>
      <c r="E71" s="271"/>
      <c r="F71" s="270"/>
      <c r="G71" s="259"/>
      <c r="H71" s="260"/>
      <c r="I71" s="261"/>
      <c r="J71" s="262"/>
      <c r="K71" s="261"/>
      <c r="L71" s="262"/>
      <c r="M71" s="261"/>
      <c r="N71" s="17"/>
      <c r="O71" s="261"/>
      <c r="P71" s="17"/>
      <c r="Q71" s="266"/>
      <c r="R71" s="266"/>
      <c r="S71" s="266"/>
      <c r="T71" s="266"/>
    </row>
    <row r="72">
      <c r="A72" s="255"/>
      <c r="B72" s="23"/>
      <c r="C72" s="23"/>
      <c r="D72" s="270"/>
      <c r="E72" s="271"/>
      <c r="F72" s="270"/>
      <c r="G72" s="259"/>
      <c r="H72" s="260"/>
      <c r="I72" s="261"/>
      <c r="J72" s="262"/>
      <c r="K72" s="261"/>
      <c r="L72" s="262"/>
      <c r="M72" s="261"/>
      <c r="N72" s="17"/>
      <c r="O72" s="261"/>
      <c r="P72" s="17"/>
      <c r="Q72" s="266"/>
      <c r="R72" s="266"/>
      <c r="S72" s="266"/>
      <c r="T72" s="266"/>
    </row>
    <row r="73">
      <c r="A73" s="255"/>
      <c r="B73" s="23"/>
      <c r="C73" s="23"/>
      <c r="D73" s="270"/>
      <c r="E73" s="271"/>
      <c r="F73" s="270"/>
      <c r="G73" s="259"/>
      <c r="H73" s="260"/>
      <c r="I73" s="261"/>
      <c r="J73" s="262"/>
      <c r="K73" s="261"/>
      <c r="L73" s="262"/>
      <c r="M73" s="261"/>
      <c r="N73" s="17"/>
      <c r="O73" s="261"/>
      <c r="P73" s="17"/>
      <c r="Q73" s="266"/>
      <c r="R73" s="266"/>
      <c r="S73" s="266"/>
      <c r="T73" s="266"/>
    </row>
    <row r="74">
      <c r="A74" s="255"/>
      <c r="B74" s="23"/>
      <c r="C74" s="23"/>
      <c r="D74" s="270"/>
      <c r="E74" s="271"/>
      <c r="F74" s="270"/>
      <c r="G74" s="259"/>
      <c r="H74" s="260"/>
      <c r="I74" s="261"/>
      <c r="J74" s="262"/>
      <c r="K74" s="261"/>
      <c r="L74" s="262"/>
      <c r="M74" s="261"/>
      <c r="N74" s="17"/>
      <c r="O74" s="261"/>
      <c r="P74" s="17"/>
      <c r="Q74" s="266"/>
      <c r="R74" s="266"/>
      <c r="S74" s="266"/>
      <c r="T74" s="266"/>
    </row>
    <row r="75">
      <c r="A75" s="255"/>
      <c r="B75" s="23"/>
      <c r="C75" s="23"/>
      <c r="D75" s="270"/>
      <c r="E75" s="271"/>
      <c r="F75" s="270"/>
      <c r="G75" s="259"/>
      <c r="H75" s="260"/>
      <c r="I75" s="261"/>
      <c r="J75" s="262"/>
      <c r="K75" s="261"/>
      <c r="L75" s="262"/>
      <c r="M75" s="261"/>
      <c r="N75" s="17"/>
      <c r="O75" s="261"/>
      <c r="P75" s="17"/>
      <c r="Q75" s="266"/>
      <c r="R75" s="266"/>
      <c r="S75" s="266"/>
      <c r="T75" s="266"/>
    </row>
    <row r="76">
      <c r="A76" s="255"/>
      <c r="B76" s="23"/>
      <c r="C76" s="23"/>
      <c r="D76" s="270"/>
      <c r="E76" s="271"/>
      <c r="F76" s="270"/>
      <c r="G76" s="259"/>
      <c r="H76" s="260"/>
      <c r="I76" s="261"/>
      <c r="J76" s="262"/>
      <c r="K76" s="261"/>
      <c r="L76" s="262"/>
      <c r="M76" s="261"/>
      <c r="N76" s="17"/>
      <c r="O76" s="261"/>
      <c r="P76" s="17"/>
      <c r="Q76" s="266"/>
      <c r="R76" s="266"/>
      <c r="S76" s="266"/>
      <c r="T76" s="266"/>
    </row>
    <row r="77">
      <c r="A77" s="255"/>
      <c r="B77" s="23"/>
      <c r="C77" s="23"/>
      <c r="D77" s="270"/>
      <c r="E77" s="271"/>
      <c r="F77" s="270"/>
      <c r="G77" s="259"/>
      <c r="H77" s="260"/>
      <c r="I77" s="261"/>
      <c r="J77" s="262"/>
      <c r="K77" s="261"/>
      <c r="L77" s="262"/>
      <c r="M77" s="261"/>
      <c r="N77" s="17"/>
      <c r="O77" s="261"/>
      <c r="P77" s="17"/>
      <c r="Q77" s="266"/>
      <c r="R77" s="266"/>
      <c r="S77" s="266"/>
      <c r="T77" s="266"/>
    </row>
    <row r="78">
      <c r="A78" s="255"/>
      <c r="B78" s="23"/>
      <c r="C78" s="23"/>
      <c r="D78" s="270"/>
      <c r="E78" s="271"/>
      <c r="F78" s="270"/>
      <c r="G78" s="259"/>
      <c r="H78" s="260"/>
      <c r="I78" s="261"/>
      <c r="J78" s="262"/>
      <c r="K78" s="261"/>
      <c r="L78" s="262"/>
      <c r="M78" s="261"/>
      <c r="N78" s="17"/>
      <c r="O78" s="261"/>
      <c r="P78" s="17"/>
      <c r="Q78" s="266"/>
      <c r="R78" s="266"/>
      <c r="S78" s="266"/>
      <c r="T78" s="266"/>
    </row>
    <row r="79">
      <c r="A79" s="255"/>
      <c r="B79" s="23"/>
      <c r="C79" s="23"/>
      <c r="D79" s="270"/>
      <c r="E79" s="271"/>
      <c r="F79" s="270"/>
      <c r="G79" s="259"/>
      <c r="H79" s="260"/>
      <c r="I79" s="261"/>
      <c r="J79" s="262"/>
      <c r="K79" s="261"/>
      <c r="L79" s="262"/>
      <c r="M79" s="261"/>
      <c r="N79" s="17"/>
      <c r="O79" s="261"/>
      <c r="P79" s="17"/>
      <c r="Q79" s="266"/>
      <c r="R79" s="266"/>
      <c r="S79" s="266"/>
      <c r="T79" s="266"/>
    </row>
    <row r="80">
      <c r="A80" s="255"/>
      <c r="B80" s="23"/>
      <c r="C80" s="23"/>
      <c r="D80" s="270"/>
      <c r="E80" s="271"/>
      <c r="F80" s="270"/>
      <c r="G80" s="259"/>
      <c r="H80" s="260"/>
      <c r="I80" s="261"/>
      <c r="J80" s="262"/>
      <c r="K80" s="261"/>
      <c r="L80" s="262"/>
      <c r="M80" s="261"/>
      <c r="N80" s="17"/>
      <c r="O80" s="261"/>
      <c r="P80" s="17"/>
      <c r="Q80" s="266"/>
      <c r="R80" s="266"/>
      <c r="S80" s="266"/>
      <c r="T80" s="266"/>
    </row>
    <row r="81">
      <c r="A81" s="255"/>
      <c r="B81" s="23"/>
      <c r="C81" s="23"/>
      <c r="D81" s="270"/>
      <c r="E81" s="271"/>
      <c r="F81" s="270"/>
      <c r="G81" s="259"/>
      <c r="H81" s="260"/>
      <c r="I81" s="261"/>
      <c r="J81" s="262"/>
      <c r="K81" s="261"/>
      <c r="L81" s="262"/>
      <c r="M81" s="261"/>
      <c r="N81" s="17"/>
      <c r="O81" s="261"/>
      <c r="P81" s="17"/>
      <c r="Q81" s="266"/>
      <c r="R81" s="266"/>
      <c r="S81" s="266"/>
      <c r="T81" s="266"/>
    </row>
    <row r="82">
      <c r="A82" s="255"/>
      <c r="B82" s="23"/>
      <c r="C82" s="23"/>
      <c r="D82" s="270"/>
      <c r="E82" s="271"/>
      <c r="F82" s="270"/>
      <c r="G82" s="259"/>
      <c r="H82" s="260"/>
      <c r="I82" s="261"/>
      <c r="J82" s="262"/>
      <c r="K82" s="261"/>
      <c r="L82" s="262"/>
      <c r="M82" s="261"/>
      <c r="N82" s="17"/>
      <c r="O82" s="261"/>
      <c r="P82" s="17"/>
      <c r="Q82" s="266"/>
      <c r="R82" s="266"/>
      <c r="S82" s="266"/>
      <c r="T82" s="266"/>
    </row>
    <row r="83">
      <c r="A83" s="255"/>
      <c r="B83" s="23"/>
      <c r="C83" s="23"/>
      <c r="D83" s="270"/>
      <c r="E83" s="271"/>
      <c r="F83" s="270"/>
      <c r="G83" s="259"/>
      <c r="H83" s="260"/>
      <c r="I83" s="261"/>
      <c r="J83" s="262"/>
      <c r="K83" s="261"/>
      <c r="L83" s="262"/>
      <c r="M83" s="261"/>
      <c r="N83" s="17"/>
      <c r="O83" s="261"/>
      <c r="P83" s="17"/>
      <c r="Q83" s="266"/>
      <c r="R83" s="266"/>
      <c r="S83" s="266"/>
      <c r="T83" s="266"/>
    </row>
    <row r="84">
      <c r="A84" s="255"/>
      <c r="B84" s="23"/>
      <c r="C84" s="23"/>
      <c r="D84" s="270"/>
      <c r="E84" s="271"/>
      <c r="F84" s="270"/>
      <c r="G84" s="259"/>
      <c r="H84" s="260"/>
      <c r="I84" s="261"/>
      <c r="J84" s="262"/>
      <c r="K84" s="261"/>
      <c r="L84" s="262"/>
      <c r="M84" s="261"/>
      <c r="N84" s="17"/>
      <c r="O84" s="261"/>
      <c r="P84" s="17"/>
      <c r="Q84" s="266"/>
      <c r="R84" s="266"/>
      <c r="S84" s="266"/>
      <c r="T84" s="266"/>
    </row>
    <row r="85">
      <c r="A85" s="255"/>
      <c r="B85" s="23"/>
      <c r="C85" s="23"/>
      <c r="D85" s="270"/>
      <c r="E85" s="271"/>
      <c r="F85" s="270"/>
      <c r="G85" s="259"/>
      <c r="H85" s="260"/>
      <c r="I85" s="261"/>
      <c r="J85" s="262"/>
      <c r="K85" s="261"/>
      <c r="L85" s="262"/>
      <c r="M85" s="261"/>
      <c r="N85" s="17"/>
      <c r="O85" s="261"/>
      <c r="P85" s="17"/>
      <c r="Q85" s="266"/>
      <c r="R85" s="266"/>
      <c r="S85" s="266"/>
      <c r="T85" s="266"/>
    </row>
    <row r="86">
      <c r="A86" s="255"/>
      <c r="B86" s="23"/>
      <c r="C86" s="23"/>
      <c r="D86" s="270"/>
      <c r="E86" s="271"/>
      <c r="F86" s="270"/>
      <c r="G86" s="259"/>
      <c r="H86" s="260"/>
      <c r="I86" s="261"/>
      <c r="J86" s="262"/>
      <c r="K86" s="261"/>
      <c r="L86" s="262"/>
      <c r="M86" s="261"/>
      <c r="N86" s="17"/>
      <c r="O86" s="261"/>
      <c r="P86" s="17"/>
      <c r="Q86" s="266"/>
      <c r="R86" s="266"/>
      <c r="S86" s="266"/>
      <c r="T86" s="266"/>
    </row>
    <row r="87">
      <c r="A87" s="255"/>
      <c r="B87" s="23"/>
      <c r="C87" s="23"/>
      <c r="D87" s="270"/>
      <c r="E87" s="271"/>
      <c r="F87" s="270"/>
      <c r="G87" s="259"/>
      <c r="H87" s="260"/>
      <c r="I87" s="261"/>
      <c r="J87" s="262"/>
      <c r="K87" s="261"/>
      <c r="L87" s="262"/>
      <c r="M87" s="261"/>
      <c r="N87" s="17"/>
      <c r="O87" s="261"/>
      <c r="P87" s="17"/>
      <c r="Q87" s="266"/>
      <c r="R87" s="266"/>
      <c r="S87" s="266"/>
      <c r="T87" s="266"/>
    </row>
    <row r="88">
      <c r="A88" s="255"/>
      <c r="B88" s="23"/>
      <c r="C88" s="23"/>
      <c r="D88" s="270"/>
      <c r="E88" s="271"/>
      <c r="F88" s="270"/>
      <c r="G88" s="259"/>
      <c r="H88" s="260"/>
      <c r="I88" s="261"/>
      <c r="J88" s="262"/>
      <c r="K88" s="261"/>
      <c r="L88" s="262"/>
      <c r="M88" s="261"/>
      <c r="N88" s="17"/>
      <c r="O88" s="261"/>
      <c r="P88" s="17"/>
      <c r="Q88" s="266"/>
      <c r="R88" s="266"/>
      <c r="S88" s="266"/>
      <c r="T88" s="266"/>
    </row>
    <row r="89">
      <c r="A89" s="255"/>
      <c r="B89" s="23"/>
      <c r="C89" s="23"/>
      <c r="D89" s="270"/>
      <c r="E89" s="271"/>
      <c r="F89" s="270"/>
      <c r="G89" s="259"/>
      <c r="H89" s="260"/>
      <c r="I89" s="261"/>
      <c r="J89" s="262"/>
      <c r="K89" s="261"/>
      <c r="L89" s="262"/>
      <c r="M89" s="261"/>
      <c r="N89" s="17"/>
      <c r="O89" s="261"/>
      <c r="P89" s="17"/>
      <c r="Q89" s="266"/>
      <c r="R89" s="266"/>
      <c r="S89" s="266"/>
      <c r="T89" s="266"/>
    </row>
    <row r="90">
      <c r="A90" s="255"/>
      <c r="B90" s="23"/>
      <c r="C90" s="23"/>
      <c r="D90" s="270"/>
      <c r="E90" s="271"/>
      <c r="F90" s="270"/>
      <c r="G90" s="259"/>
      <c r="H90" s="260"/>
      <c r="I90" s="261"/>
      <c r="J90" s="262"/>
      <c r="K90" s="261"/>
      <c r="L90" s="262"/>
      <c r="M90" s="261"/>
      <c r="N90" s="17"/>
      <c r="O90" s="261"/>
      <c r="P90" s="17"/>
      <c r="Q90" s="266"/>
      <c r="R90" s="266"/>
      <c r="S90" s="266"/>
      <c r="T90" s="266"/>
    </row>
    <row r="91">
      <c r="A91" s="255"/>
      <c r="B91" s="23"/>
      <c r="C91" s="23"/>
      <c r="D91" s="270"/>
      <c r="E91" s="271"/>
      <c r="F91" s="270"/>
      <c r="G91" s="259"/>
      <c r="H91" s="260"/>
      <c r="I91" s="261"/>
      <c r="J91" s="262"/>
      <c r="K91" s="261"/>
      <c r="L91" s="262"/>
      <c r="M91" s="261"/>
      <c r="N91" s="17"/>
      <c r="O91" s="261"/>
      <c r="P91" s="17"/>
      <c r="Q91" s="266"/>
      <c r="R91" s="266"/>
      <c r="S91" s="266"/>
      <c r="T91" s="266"/>
    </row>
    <row r="92">
      <c r="A92" s="255"/>
      <c r="B92" s="23"/>
      <c r="C92" s="23"/>
      <c r="D92" s="270"/>
      <c r="E92" s="271"/>
      <c r="F92" s="270"/>
      <c r="G92" s="259"/>
      <c r="H92" s="260"/>
      <c r="I92" s="261"/>
      <c r="J92" s="262"/>
      <c r="K92" s="261"/>
      <c r="L92" s="262"/>
      <c r="M92" s="261"/>
      <c r="N92" s="17"/>
      <c r="O92" s="261"/>
      <c r="P92" s="17"/>
      <c r="Q92" s="266"/>
      <c r="R92" s="266"/>
      <c r="S92" s="266"/>
      <c r="T92" s="266"/>
    </row>
    <row r="93">
      <c r="A93" s="255"/>
      <c r="B93" s="23"/>
      <c r="C93" s="23"/>
      <c r="D93" s="270"/>
      <c r="E93" s="271"/>
      <c r="F93" s="270"/>
      <c r="G93" s="259"/>
      <c r="H93" s="260"/>
      <c r="I93" s="261"/>
      <c r="J93" s="262"/>
      <c r="K93" s="261"/>
      <c r="L93" s="262"/>
      <c r="M93" s="261"/>
      <c r="N93" s="17"/>
      <c r="O93" s="261"/>
      <c r="P93" s="17"/>
      <c r="Q93" s="266"/>
      <c r="R93" s="266"/>
      <c r="S93" s="266"/>
      <c r="T93" s="266"/>
    </row>
    <row r="94">
      <c r="A94" s="255"/>
      <c r="B94" s="23"/>
      <c r="C94" s="23"/>
      <c r="D94" s="270"/>
      <c r="E94" s="271"/>
      <c r="F94" s="270"/>
      <c r="G94" s="259"/>
      <c r="H94" s="260"/>
      <c r="I94" s="261"/>
      <c r="J94" s="262"/>
      <c r="K94" s="261"/>
      <c r="L94" s="262"/>
      <c r="M94" s="261"/>
      <c r="N94" s="17"/>
      <c r="O94" s="261"/>
      <c r="P94" s="17"/>
      <c r="Q94" s="266"/>
      <c r="R94" s="266"/>
      <c r="S94" s="266"/>
      <c r="T94" s="266"/>
    </row>
    <row r="95">
      <c r="A95" s="255"/>
      <c r="B95" s="23"/>
      <c r="C95" s="23"/>
      <c r="D95" s="270"/>
      <c r="E95" s="271"/>
      <c r="F95" s="270"/>
      <c r="G95" s="259"/>
      <c r="H95" s="260"/>
      <c r="I95" s="261"/>
      <c r="J95" s="262"/>
      <c r="K95" s="261"/>
      <c r="L95" s="262"/>
      <c r="M95" s="261"/>
      <c r="N95" s="17"/>
      <c r="O95" s="261"/>
      <c r="P95" s="17"/>
      <c r="Q95" s="266"/>
      <c r="R95" s="266"/>
      <c r="S95" s="266"/>
      <c r="T95" s="266"/>
    </row>
    <row r="96">
      <c r="A96" s="255"/>
      <c r="B96" s="23"/>
      <c r="C96" s="23"/>
      <c r="D96" s="270"/>
      <c r="E96" s="271"/>
      <c r="F96" s="270"/>
      <c r="G96" s="259"/>
      <c r="H96" s="260"/>
      <c r="I96" s="261"/>
      <c r="J96" s="262"/>
      <c r="K96" s="261"/>
      <c r="L96" s="262"/>
      <c r="M96" s="261"/>
      <c r="N96" s="17"/>
      <c r="O96" s="261"/>
      <c r="P96" s="17"/>
      <c r="Q96" s="266"/>
      <c r="R96" s="266"/>
      <c r="S96" s="266"/>
      <c r="T96" s="266"/>
    </row>
    <row r="97">
      <c r="A97" s="255"/>
      <c r="B97" s="23"/>
      <c r="C97" s="23"/>
      <c r="D97" s="270"/>
      <c r="E97" s="271"/>
      <c r="F97" s="270"/>
      <c r="G97" s="259"/>
      <c r="H97" s="260"/>
      <c r="I97" s="261"/>
      <c r="J97" s="262"/>
      <c r="K97" s="261"/>
      <c r="L97" s="262"/>
      <c r="M97" s="261"/>
      <c r="N97" s="17"/>
      <c r="O97" s="261"/>
      <c r="P97" s="17"/>
      <c r="Q97" s="266"/>
      <c r="R97" s="266"/>
      <c r="S97" s="266"/>
      <c r="T97" s="266"/>
    </row>
    <row r="98">
      <c r="A98" s="255"/>
      <c r="B98" s="23"/>
      <c r="C98" s="23"/>
      <c r="D98" s="270"/>
      <c r="E98" s="271"/>
      <c r="F98" s="270"/>
      <c r="G98" s="259"/>
      <c r="H98" s="260"/>
      <c r="I98" s="261"/>
      <c r="J98" s="262"/>
      <c r="K98" s="261"/>
      <c r="L98" s="262"/>
      <c r="M98" s="261"/>
      <c r="N98" s="17"/>
      <c r="O98" s="261"/>
      <c r="P98" s="17"/>
      <c r="Q98" s="266"/>
      <c r="R98" s="266"/>
      <c r="S98" s="266"/>
      <c r="T98" s="266"/>
    </row>
    <row r="99">
      <c r="A99" s="255"/>
      <c r="B99" s="23"/>
      <c r="C99" s="23"/>
      <c r="D99" s="270"/>
      <c r="E99" s="271"/>
      <c r="F99" s="270"/>
      <c r="G99" s="259"/>
      <c r="H99" s="260"/>
      <c r="I99" s="261"/>
      <c r="J99" s="262"/>
      <c r="K99" s="261"/>
      <c r="L99" s="262"/>
      <c r="M99" s="261"/>
      <c r="N99" s="17"/>
      <c r="O99" s="261"/>
      <c r="P99" s="17"/>
      <c r="Q99" s="266"/>
      <c r="R99" s="266"/>
      <c r="S99" s="266"/>
      <c r="T99" s="266"/>
    </row>
    <row r="100">
      <c r="A100" s="255"/>
      <c r="B100" s="23"/>
      <c r="C100" s="23"/>
      <c r="D100" s="270"/>
      <c r="E100" s="271"/>
      <c r="F100" s="270"/>
      <c r="G100" s="259"/>
      <c r="H100" s="260"/>
      <c r="I100" s="261"/>
      <c r="J100" s="262"/>
      <c r="K100" s="261"/>
      <c r="L100" s="262"/>
      <c r="M100" s="261"/>
      <c r="N100" s="17"/>
      <c r="O100" s="261"/>
      <c r="P100" s="17"/>
      <c r="Q100" s="266"/>
      <c r="R100" s="266"/>
      <c r="S100" s="266"/>
      <c r="T100" s="266"/>
    </row>
    <row r="101">
      <c r="A101" s="255"/>
      <c r="B101" s="23"/>
      <c r="C101" s="23"/>
      <c r="D101" s="270"/>
      <c r="E101" s="271"/>
      <c r="F101" s="270"/>
      <c r="G101" s="259"/>
      <c r="H101" s="260"/>
      <c r="I101" s="261"/>
      <c r="J101" s="262"/>
      <c r="K101" s="261"/>
      <c r="L101" s="262"/>
      <c r="M101" s="261"/>
      <c r="N101" s="17"/>
      <c r="O101" s="261"/>
      <c r="P101" s="17"/>
      <c r="Q101" s="266"/>
      <c r="R101" s="266"/>
      <c r="S101" s="266"/>
      <c r="T101" s="266"/>
    </row>
    <row r="102">
      <c r="A102" s="255"/>
      <c r="B102" s="23"/>
      <c r="C102" s="23"/>
      <c r="D102" s="270"/>
      <c r="E102" s="271"/>
      <c r="F102" s="270"/>
      <c r="G102" s="259"/>
      <c r="H102" s="260"/>
      <c r="I102" s="261"/>
      <c r="J102" s="262"/>
      <c r="K102" s="261"/>
      <c r="L102" s="262"/>
      <c r="M102" s="261"/>
      <c r="N102" s="17"/>
      <c r="O102" s="261"/>
      <c r="P102" s="17"/>
      <c r="Q102" s="266"/>
      <c r="R102" s="266"/>
      <c r="S102" s="266"/>
      <c r="T102" s="266"/>
    </row>
    <row r="103">
      <c r="A103" s="255"/>
      <c r="B103" s="23"/>
      <c r="C103" s="23"/>
      <c r="D103" s="270"/>
      <c r="E103" s="271"/>
      <c r="F103" s="270"/>
      <c r="G103" s="259"/>
      <c r="H103" s="260"/>
      <c r="I103" s="261"/>
      <c r="J103" s="262"/>
      <c r="K103" s="261"/>
      <c r="L103" s="262"/>
      <c r="M103" s="261"/>
      <c r="N103" s="17"/>
      <c r="O103" s="261"/>
      <c r="P103" s="17"/>
      <c r="Q103" s="266"/>
      <c r="R103" s="266"/>
      <c r="S103" s="266"/>
      <c r="T103" s="266"/>
    </row>
    <row r="104">
      <c r="A104" s="255"/>
      <c r="B104" s="23"/>
      <c r="C104" s="23"/>
      <c r="D104" s="270"/>
      <c r="E104" s="271"/>
      <c r="F104" s="270"/>
      <c r="G104" s="259"/>
      <c r="H104" s="260"/>
      <c r="I104" s="261"/>
      <c r="J104" s="262"/>
      <c r="K104" s="261"/>
      <c r="L104" s="262"/>
      <c r="M104" s="261"/>
      <c r="N104" s="17"/>
      <c r="O104" s="261"/>
      <c r="P104" s="17"/>
      <c r="Q104" s="266"/>
      <c r="R104" s="266"/>
      <c r="S104" s="266"/>
      <c r="T104" s="266"/>
    </row>
    <row r="105">
      <c r="A105" s="255"/>
      <c r="B105" s="23"/>
      <c r="C105" s="23"/>
      <c r="D105" s="270"/>
      <c r="E105" s="271"/>
      <c r="F105" s="270"/>
      <c r="G105" s="259"/>
      <c r="H105" s="260"/>
      <c r="I105" s="261"/>
      <c r="J105" s="262"/>
      <c r="K105" s="261"/>
      <c r="L105" s="262"/>
      <c r="M105" s="261"/>
      <c r="N105" s="17"/>
      <c r="O105" s="261"/>
      <c r="P105" s="17"/>
      <c r="Q105" s="266"/>
      <c r="R105" s="266"/>
      <c r="S105" s="266"/>
      <c r="T105" s="266"/>
    </row>
    <row r="106">
      <c r="A106" s="255"/>
      <c r="B106" s="23"/>
      <c r="C106" s="23"/>
      <c r="D106" s="270"/>
      <c r="E106" s="271"/>
      <c r="F106" s="270"/>
      <c r="G106" s="259"/>
      <c r="H106" s="260"/>
      <c r="I106" s="261"/>
      <c r="J106" s="262"/>
      <c r="K106" s="261"/>
      <c r="L106" s="262"/>
      <c r="M106" s="261"/>
      <c r="N106" s="17"/>
      <c r="O106" s="261"/>
      <c r="P106" s="17"/>
      <c r="Q106" s="266"/>
      <c r="R106" s="266"/>
      <c r="S106" s="266"/>
      <c r="T106" s="266"/>
    </row>
    <row r="107">
      <c r="A107" s="255"/>
      <c r="B107" s="23"/>
      <c r="C107" s="23"/>
      <c r="D107" s="270"/>
      <c r="E107" s="271"/>
      <c r="F107" s="270"/>
      <c r="G107" s="259"/>
      <c r="H107" s="260"/>
      <c r="I107" s="261"/>
      <c r="J107" s="262"/>
      <c r="K107" s="261"/>
      <c r="L107" s="262"/>
      <c r="M107" s="261"/>
      <c r="N107" s="17"/>
      <c r="O107" s="261"/>
      <c r="P107" s="17"/>
      <c r="Q107" s="266"/>
      <c r="R107" s="266"/>
      <c r="S107" s="266"/>
      <c r="T107" s="266"/>
    </row>
    <row r="108">
      <c r="A108" s="255"/>
      <c r="B108" s="23"/>
      <c r="C108" s="23"/>
      <c r="D108" s="270"/>
      <c r="E108" s="271"/>
      <c r="F108" s="270"/>
      <c r="G108" s="259"/>
      <c r="H108" s="260"/>
      <c r="I108" s="261"/>
      <c r="J108" s="262"/>
      <c r="K108" s="261"/>
      <c r="L108" s="262"/>
      <c r="M108" s="261"/>
      <c r="N108" s="17"/>
      <c r="O108" s="261"/>
      <c r="P108" s="17"/>
      <c r="Q108" s="266"/>
      <c r="R108" s="266"/>
      <c r="S108" s="266"/>
      <c r="T108" s="266"/>
    </row>
    <row r="109">
      <c r="A109" s="255"/>
      <c r="B109" s="23"/>
      <c r="C109" s="23"/>
      <c r="D109" s="270"/>
      <c r="E109" s="271"/>
      <c r="F109" s="270"/>
      <c r="G109" s="259"/>
      <c r="H109" s="260"/>
      <c r="I109" s="261"/>
      <c r="J109" s="262"/>
      <c r="K109" s="261"/>
      <c r="L109" s="262"/>
      <c r="M109" s="261"/>
      <c r="N109" s="17"/>
      <c r="O109" s="261"/>
      <c r="P109" s="17"/>
      <c r="Q109" s="266"/>
      <c r="R109" s="266"/>
      <c r="S109" s="266"/>
      <c r="T109" s="266"/>
    </row>
    <row r="110">
      <c r="A110" s="255"/>
      <c r="B110" s="23"/>
      <c r="C110" s="23"/>
      <c r="D110" s="270"/>
      <c r="E110" s="271"/>
      <c r="F110" s="270"/>
      <c r="G110" s="259"/>
      <c r="H110" s="260"/>
      <c r="I110" s="261"/>
      <c r="J110" s="262"/>
      <c r="K110" s="261"/>
      <c r="L110" s="262"/>
      <c r="M110" s="261"/>
      <c r="N110" s="17"/>
      <c r="O110" s="261"/>
      <c r="P110" s="17"/>
      <c r="Q110" s="266"/>
      <c r="R110" s="266"/>
      <c r="S110" s="266"/>
      <c r="T110" s="266"/>
    </row>
    <row r="111">
      <c r="A111" s="255"/>
      <c r="B111" s="23"/>
      <c r="C111" s="23"/>
      <c r="D111" s="270"/>
      <c r="E111" s="271"/>
      <c r="F111" s="270"/>
      <c r="G111" s="259"/>
      <c r="H111" s="260"/>
      <c r="I111" s="261"/>
      <c r="J111" s="262"/>
      <c r="K111" s="261"/>
      <c r="L111" s="262"/>
      <c r="M111" s="261"/>
      <c r="N111" s="17"/>
      <c r="O111" s="261"/>
      <c r="P111" s="17"/>
      <c r="Q111" s="266"/>
      <c r="R111" s="266"/>
      <c r="S111" s="266"/>
      <c r="T111" s="266"/>
    </row>
    <row r="112">
      <c r="A112" s="255"/>
      <c r="B112" s="23"/>
      <c r="C112" s="23"/>
      <c r="D112" s="270"/>
      <c r="E112" s="271"/>
      <c r="F112" s="270"/>
      <c r="G112" s="259"/>
      <c r="H112" s="260"/>
      <c r="I112" s="261"/>
      <c r="J112" s="262"/>
      <c r="K112" s="261"/>
      <c r="L112" s="262"/>
      <c r="M112" s="261"/>
      <c r="N112" s="17"/>
      <c r="O112" s="261"/>
      <c r="P112" s="17"/>
      <c r="Q112" s="266"/>
      <c r="R112" s="266"/>
      <c r="S112" s="266"/>
      <c r="T112" s="266"/>
    </row>
    <row r="113">
      <c r="A113" s="255"/>
      <c r="B113" s="23"/>
      <c r="C113" s="23"/>
      <c r="D113" s="270"/>
      <c r="E113" s="271"/>
      <c r="F113" s="270"/>
      <c r="G113" s="259"/>
      <c r="H113" s="260"/>
      <c r="I113" s="261"/>
      <c r="J113" s="262"/>
      <c r="K113" s="261"/>
      <c r="L113" s="262"/>
      <c r="M113" s="261"/>
      <c r="N113" s="17"/>
      <c r="O113" s="261"/>
      <c r="P113" s="17"/>
      <c r="Q113" s="266"/>
      <c r="R113" s="266"/>
      <c r="S113" s="266"/>
      <c r="T113" s="266"/>
    </row>
    <row r="114">
      <c r="A114" s="255"/>
      <c r="B114" s="23"/>
      <c r="C114" s="23"/>
      <c r="D114" s="270"/>
      <c r="E114" s="271"/>
      <c r="F114" s="270"/>
      <c r="G114" s="259"/>
      <c r="H114" s="260"/>
      <c r="I114" s="261"/>
      <c r="J114" s="262"/>
      <c r="K114" s="261"/>
      <c r="L114" s="262"/>
      <c r="M114" s="261"/>
      <c r="N114" s="17"/>
      <c r="O114" s="261"/>
      <c r="P114" s="17"/>
      <c r="Q114" s="266"/>
      <c r="R114" s="266"/>
      <c r="S114" s="266"/>
      <c r="T114" s="266"/>
    </row>
    <row r="115">
      <c r="A115" s="255"/>
      <c r="B115" s="23"/>
      <c r="C115" s="23"/>
      <c r="D115" s="270"/>
      <c r="E115" s="271"/>
      <c r="F115" s="270"/>
      <c r="G115" s="259"/>
      <c r="H115" s="260"/>
      <c r="I115" s="261"/>
      <c r="J115" s="262"/>
      <c r="K115" s="261"/>
      <c r="L115" s="262"/>
      <c r="M115" s="261"/>
      <c r="N115" s="17"/>
      <c r="O115" s="261"/>
      <c r="P115" s="17"/>
      <c r="Q115" s="266"/>
      <c r="R115" s="266"/>
      <c r="S115" s="266"/>
      <c r="T115" s="266"/>
    </row>
    <row r="116">
      <c r="A116" s="255"/>
      <c r="B116" s="23"/>
      <c r="C116" s="23"/>
      <c r="D116" s="270"/>
      <c r="E116" s="271"/>
      <c r="F116" s="270"/>
      <c r="G116" s="259"/>
      <c r="H116" s="260"/>
      <c r="I116" s="261"/>
      <c r="J116" s="262"/>
      <c r="K116" s="261"/>
      <c r="L116" s="262"/>
      <c r="M116" s="261"/>
      <c r="N116" s="17"/>
      <c r="O116" s="261"/>
      <c r="P116" s="17"/>
      <c r="Q116" s="266"/>
      <c r="R116" s="266"/>
      <c r="S116" s="266"/>
      <c r="T116" s="266"/>
    </row>
    <row r="117">
      <c r="A117" s="255"/>
      <c r="B117" s="23"/>
      <c r="C117" s="23"/>
      <c r="D117" s="270"/>
      <c r="E117" s="271"/>
      <c r="F117" s="270"/>
      <c r="G117" s="259"/>
      <c r="H117" s="260"/>
      <c r="I117" s="261"/>
      <c r="J117" s="262"/>
      <c r="K117" s="261"/>
      <c r="L117" s="262"/>
      <c r="M117" s="261"/>
      <c r="N117" s="17"/>
      <c r="O117" s="261"/>
      <c r="P117" s="17"/>
      <c r="Q117" s="266"/>
      <c r="R117" s="266"/>
      <c r="S117" s="266"/>
      <c r="T117" s="266"/>
    </row>
    <row r="118">
      <c r="A118" s="255"/>
      <c r="B118" s="23"/>
      <c r="C118" s="23"/>
      <c r="D118" s="270"/>
      <c r="E118" s="271"/>
      <c r="F118" s="270"/>
      <c r="G118" s="259"/>
      <c r="H118" s="260"/>
      <c r="I118" s="261"/>
      <c r="J118" s="262"/>
      <c r="K118" s="261"/>
      <c r="L118" s="262"/>
      <c r="M118" s="261"/>
      <c r="N118" s="17"/>
      <c r="O118" s="261"/>
      <c r="P118" s="17"/>
      <c r="Q118" s="266"/>
      <c r="R118" s="266"/>
      <c r="S118" s="266"/>
      <c r="T118" s="266"/>
    </row>
    <row r="119">
      <c r="A119" s="255"/>
      <c r="B119" s="23"/>
      <c r="C119" s="23"/>
      <c r="D119" s="270"/>
      <c r="E119" s="271"/>
      <c r="F119" s="270"/>
      <c r="G119" s="259"/>
      <c r="H119" s="260"/>
      <c r="I119" s="261"/>
      <c r="J119" s="262"/>
      <c r="K119" s="261"/>
      <c r="L119" s="262"/>
      <c r="M119" s="261"/>
      <c r="N119" s="17"/>
      <c r="O119" s="261"/>
      <c r="P119" s="17"/>
      <c r="Q119" s="266"/>
      <c r="R119" s="266"/>
      <c r="S119" s="266"/>
      <c r="T119" s="266"/>
    </row>
    <row r="120">
      <c r="A120" s="255"/>
      <c r="B120" s="23"/>
      <c r="C120" s="23"/>
      <c r="D120" s="270"/>
      <c r="E120" s="271"/>
      <c r="F120" s="270"/>
      <c r="G120" s="259"/>
      <c r="H120" s="260"/>
      <c r="I120" s="261"/>
      <c r="J120" s="262"/>
      <c r="K120" s="261"/>
      <c r="L120" s="262"/>
      <c r="M120" s="261"/>
      <c r="N120" s="17"/>
      <c r="O120" s="261"/>
      <c r="P120" s="17"/>
      <c r="Q120" s="266"/>
      <c r="R120" s="266"/>
      <c r="S120" s="266"/>
      <c r="T120" s="266"/>
    </row>
    <row r="121">
      <c r="A121" s="255"/>
      <c r="B121" s="23"/>
      <c r="C121" s="23"/>
      <c r="D121" s="270"/>
      <c r="E121" s="271"/>
      <c r="F121" s="270"/>
      <c r="G121" s="259"/>
      <c r="H121" s="260"/>
      <c r="I121" s="261"/>
      <c r="J121" s="262"/>
      <c r="K121" s="261"/>
      <c r="L121" s="262"/>
      <c r="M121" s="261"/>
      <c r="N121" s="17"/>
      <c r="O121" s="261"/>
      <c r="P121" s="17"/>
      <c r="Q121" s="266"/>
      <c r="R121" s="266"/>
      <c r="S121" s="266"/>
      <c r="T121" s="266"/>
    </row>
    <row r="122">
      <c r="A122" s="255"/>
      <c r="B122" s="23"/>
      <c r="C122" s="23"/>
      <c r="D122" s="270"/>
      <c r="E122" s="271"/>
      <c r="F122" s="270"/>
      <c r="G122" s="259"/>
      <c r="H122" s="260"/>
      <c r="I122" s="261"/>
      <c r="J122" s="262"/>
      <c r="K122" s="261"/>
      <c r="L122" s="262"/>
      <c r="M122" s="261"/>
      <c r="N122" s="17"/>
      <c r="O122" s="261"/>
      <c r="P122" s="17"/>
      <c r="Q122" s="266"/>
      <c r="R122" s="266"/>
      <c r="S122" s="266"/>
      <c r="T122" s="266"/>
    </row>
    <row r="123">
      <c r="A123" s="255"/>
      <c r="B123" s="23"/>
      <c r="C123" s="23"/>
      <c r="D123" s="270"/>
      <c r="E123" s="271"/>
      <c r="F123" s="270"/>
      <c r="G123" s="259"/>
      <c r="H123" s="260"/>
      <c r="I123" s="261"/>
      <c r="J123" s="262"/>
      <c r="K123" s="261"/>
      <c r="L123" s="262"/>
      <c r="M123" s="261"/>
      <c r="N123" s="17"/>
      <c r="O123" s="261"/>
      <c r="P123" s="17"/>
      <c r="Q123" s="266"/>
      <c r="R123" s="266"/>
      <c r="S123" s="266"/>
      <c r="T123" s="266"/>
    </row>
    <row r="124">
      <c r="A124" s="255"/>
      <c r="B124" s="23"/>
      <c r="C124" s="23"/>
      <c r="D124" s="270"/>
      <c r="E124" s="271"/>
      <c r="F124" s="270"/>
      <c r="G124" s="259"/>
      <c r="H124" s="260"/>
      <c r="I124" s="261"/>
      <c r="J124" s="262"/>
      <c r="K124" s="261"/>
      <c r="L124" s="262"/>
      <c r="M124" s="261"/>
      <c r="N124" s="17"/>
      <c r="O124" s="261"/>
      <c r="P124" s="17"/>
      <c r="Q124" s="266"/>
      <c r="R124" s="266"/>
      <c r="S124" s="266"/>
      <c r="T124" s="266"/>
    </row>
    <row r="125">
      <c r="A125" s="255"/>
      <c r="B125" s="23"/>
      <c r="C125" s="23"/>
      <c r="D125" s="270"/>
      <c r="E125" s="271"/>
      <c r="F125" s="270"/>
      <c r="G125" s="259"/>
      <c r="H125" s="260"/>
      <c r="I125" s="261"/>
      <c r="J125" s="262"/>
      <c r="K125" s="261"/>
      <c r="L125" s="262"/>
      <c r="M125" s="261"/>
      <c r="N125" s="17"/>
      <c r="O125" s="261"/>
      <c r="P125" s="17"/>
      <c r="Q125" s="266"/>
      <c r="R125" s="266"/>
      <c r="S125" s="266"/>
      <c r="T125" s="266"/>
    </row>
    <row r="126">
      <c r="A126" s="255"/>
      <c r="B126" s="23"/>
      <c r="C126" s="23"/>
      <c r="D126" s="270"/>
      <c r="E126" s="271"/>
      <c r="F126" s="270"/>
      <c r="G126" s="259"/>
      <c r="H126" s="260"/>
      <c r="I126" s="261"/>
      <c r="J126" s="262"/>
      <c r="K126" s="261"/>
      <c r="L126" s="262"/>
      <c r="M126" s="261"/>
      <c r="N126" s="17"/>
      <c r="O126" s="261"/>
      <c r="P126" s="17"/>
      <c r="Q126" s="266"/>
      <c r="R126" s="266"/>
      <c r="S126" s="266"/>
      <c r="T126" s="266"/>
    </row>
    <row r="127">
      <c r="A127" s="255"/>
      <c r="B127" s="23"/>
      <c r="C127" s="23"/>
      <c r="D127" s="270"/>
      <c r="E127" s="271"/>
      <c r="F127" s="270"/>
      <c r="G127" s="259"/>
      <c r="H127" s="260"/>
      <c r="I127" s="261"/>
      <c r="J127" s="262"/>
      <c r="K127" s="261"/>
      <c r="L127" s="262"/>
      <c r="M127" s="261"/>
      <c r="N127" s="17"/>
      <c r="O127" s="261"/>
      <c r="P127" s="17"/>
      <c r="Q127" s="266"/>
      <c r="R127" s="266"/>
      <c r="S127" s="266"/>
      <c r="T127" s="266"/>
    </row>
    <row r="128">
      <c r="A128" s="255"/>
      <c r="B128" s="23"/>
      <c r="C128" s="23"/>
      <c r="D128" s="270"/>
      <c r="E128" s="271"/>
      <c r="F128" s="270"/>
      <c r="G128" s="259"/>
      <c r="H128" s="260"/>
      <c r="I128" s="261"/>
      <c r="J128" s="262"/>
      <c r="K128" s="261"/>
      <c r="L128" s="262"/>
      <c r="M128" s="261"/>
      <c r="N128" s="17"/>
      <c r="O128" s="261"/>
      <c r="P128" s="17"/>
      <c r="Q128" s="266"/>
      <c r="R128" s="266"/>
      <c r="S128" s="266"/>
      <c r="T128" s="266"/>
    </row>
    <row r="129">
      <c r="A129" s="255"/>
      <c r="B129" s="23"/>
      <c r="C129" s="23"/>
      <c r="D129" s="270"/>
      <c r="E129" s="271"/>
      <c r="F129" s="270"/>
      <c r="G129" s="259"/>
      <c r="H129" s="260"/>
      <c r="I129" s="261"/>
      <c r="J129" s="262"/>
      <c r="K129" s="261"/>
      <c r="L129" s="262"/>
      <c r="M129" s="261"/>
      <c r="N129" s="17"/>
      <c r="O129" s="261"/>
      <c r="P129" s="17"/>
      <c r="Q129" s="266"/>
      <c r="R129" s="266"/>
      <c r="S129" s="266"/>
      <c r="T129" s="266"/>
    </row>
    <row r="130">
      <c r="A130" s="255"/>
      <c r="B130" s="23"/>
      <c r="C130" s="23"/>
      <c r="D130" s="270"/>
      <c r="E130" s="271"/>
      <c r="F130" s="270"/>
      <c r="G130" s="259"/>
      <c r="H130" s="260"/>
      <c r="I130" s="261"/>
      <c r="J130" s="262"/>
      <c r="K130" s="261"/>
      <c r="L130" s="262"/>
      <c r="M130" s="261"/>
      <c r="N130" s="17"/>
      <c r="O130" s="261"/>
      <c r="P130" s="17"/>
      <c r="Q130" s="266"/>
      <c r="R130" s="266"/>
      <c r="S130" s="266"/>
      <c r="T130" s="266"/>
    </row>
    <row r="131">
      <c r="A131" s="255"/>
      <c r="B131" s="23"/>
      <c r="C131" s="23"/>
      <c r="D131" s="270"/>
      <c r="E131" s="271"/>
      <c r="F131" s="270"/>
      <c r="G131" s="259"/>
      <c r="H131" s="260"/>
      <c r="I131" s="261"/>
      <c r="J131" s="262"/>
      <c r="K131" s="261"/>
      <c r="L131" s="262"/>
      <c r="M131" s="261"/>
      <c r="N131" s="17"/>
      <c r="O131" s="261"/>
      <c r="P131" s="17"/>
      <c r="Q131" s="266"/>
      <c r="R131" s="266"/>
      <c r="S131" s="266"/>
      <c r="T131" s="266"/>
    </row>
    <row r="132">
      <c r="A132" s="255"/>
      <c r="B132" s="23"/>
      <c r="C132" s="23"/>
      <c r="D132" s="270"/>
      <c r="E132" s="271"/>
      <c r="F132" s="270"/>
      <c r="G132" s="259"/>
      <c r="H132" s="260"/>
      <c r="I132" s="261"/>
      <c r="J132" s="262"/>
      <c r="K132" s="261"/>
      <c r="L132" s="262"/>
      <c r="M132" s="261"/>
      <c r="N132" s="17"/>
      <c r="O132" s="261"/>
      <c r="P132" s="17"/>
      <c r="Q132" s="266"/>
      <c r="R132" s="266"/>
      <c r="S132" s="266"/>
      <c r="T132" s="266"/>
    </row>
    <row r="133">
      <c r="A133" s="255"/>
      <c r="B133" s="23"/>
      <c r="C133" s="23"/>
      <c r="D133" s="270"/>
      <c r="E133" s="271"/>
      <c r="F133" s="270"/>
      <c r="G133" s="259"/>
      <c r="H133" s="260"/>
      <c r="I133" s="261"/>
      <c r="J133" s="262"/>
      <c r="K133" s="261"/>
      <c r="L133" s="262"/>
      <c r="M133" s="261"/>
      <c r="N133" s="17"/>
      <c r="O133" s="261"/>
      <c r="P133" s="17"/>
      <c r="Q133" s="266"/>
      <c r="R133" s="266"/>
      <c r="S133" s="266"/>
      <c r="T133" s="266"/>
    </row>
    <row r="134">
      <c r="A134" s="255"/>
      <c r="B134" s="23"/>
      <c r="C134" s="23"/>
      <c r="D134" s="270"/>
      <c r="E134" s="271"/>
      <c r="F134" s="270"/>
      <c r="G134" s="259"/>
      <c r="H134" s="260"/>
      <c r="I134" s="261"/>
      <c r="J134" s="262"/>
      <c r="K134" s="261"/>
      <c r="L134" s="262"/>
      <c r="M134" s="261"/>
      <c r="N134" s="17"/>
      <c r="O134" s="261"/>
      <c r="P134" s="17"/>
      <c r="Q134" s="266"/>
      <c r="R134" s="266"/>
      <c r="S134" s="266"/>
      <c r="T134" s="266"/>
    </row>
    <row r="135">
      <c r="A135" s="255"/>
      <c r="B135" s="23"/>
      <c r="C135" s="23"/>
      <c r="D135" s="270"/>
      <c r="E135" s="271"/>
      <c r="F135" s="270"/>
      <c r="G135" s="259"/>
      <c r="H135" s="260"/>
      <c r="I135" s="261"/>
      <c r="J135" s="262"/>
      <c r="K135" s="261"/>
      <c r="L135" s="262"/>
      <c r="M135" s="261"/>
      <c r="N135" s="17"/>
      <c r="O135" s="261"/>
      <c r="P135" s="17"/>
      <c r="Q135" s="266"/>
      <c r="R135" s="266"/>
      <c r="S135" s="266"/>
      <c r="T135" s="266"/>
    </row>
    <row r="136">
      <c r="A136" s="255"/>
      <c r="B136" s="23"/>
      <c r="C136" s="23"/>
      <c r="D136" s="270"/>
      <c r="E136" s="271"/>
      <c r="F136" s="270"/>
      <c r="G136" s="259"/>
      <c r="H136" s="260"/>
      <c r="I136" s="261"/>
      <c r="J136" s="262"/>
      <c r="K136" s="261"/>
      <c r="L136" s="262"/>
      <c r="M136" s="261"/>
      <c r="N136" s="17"/>
      <c r="O136" s="261"/>
      <c r="P136" s="17"/>
      <c r="Q136" s="266"/>
      <c r="R136" s="266"/>
      <c r="S136" s="266"/>
      <c r="T136" s="266"/>
    </row>
    <row r="137">
      <c r="A137" s="255"/>
      <c r="B137" s="23"/>
      <c r="C137" s="23"/>
      <c r="D137" s="270"/>
      <c r="E137" s="271"/>
      <c r="F137" s="270"/>
      <c r="G137" s="259"/>
      <c r="H137" s="260"/>
      <c r="I137" s="261"/>
      <c r="J137" s="262"/>
      <c r="K137" s="261"/>
      <c r="L137" s="262"/>
      <c r="M137" s="261"/>
      <c r="N137" s="17"/>
      <c r="O137" s="261"/>
      <c r="P137" s="17"/>
      <c r="Q137" s="266"/>
      <c r="R137" s="266"/>
      <c r="S137" s="266"/>
      <c r="T137" s="266"/>
    </row>
    <row r="138">
      <c r="A138" s="255"/>
      <c r="B138" s="23"/>
      <c r="C138" s="23"/>
      <c r="D138" s="270"/>
      <c r="E138" s="271"/>
      <c r="F138" s="270"/>
      <c r="G138" s="259"/>
      <c r="H138" s="260"/>
      <c r="I138" s="261"/>
      <c r="J138" s="262"/>
      <c r="K138" s="261"/>
      <c r="L138" s="262"/>
      <c r="M138" s="261"/>
      <c r="N138" s="17"/>
      <c r="O138" s="261"/>
      <c r="P138" s="17"/>
      <c r="Q138" s="266"/>
      <c r="R138" s="266"/>
      <c r="S138" s="266"/>
      <c r="T138" s="266"/>
    </row>
    <row r="139">
      <c r="A139" s="255"/>
      <c r="B139" s="23"/>
      <c r="C139" s="23"/>
      <c r="D139" s="270"/>
      <c r="E139" s="271"/>
      <c r="F139" s="270"/>
      <c r="G139" s="259"/>
      <c r="H139" s="260"/>
      <c r="I139" s="261"/>
      <c r="J139" s="262"/>
      <c r="K139" s="261"/>
      <c r="L139" s="262"/>
      <c r="M139" s="261"/>
      <c r="N139" s="17"/>
      <c r="O139" s="261"/>
      <c r="P139" s="17"/>
      <c r="Q139" s="266"/>
      <c r="R139" s="266"/>
      <c r="S139" s="266"/>
      <c r="T139" s="266"/>
    </row>
    <row r="140">
      <c r="A140" s="255"/>
      <c r="B140" s="23"/>
      <c r="C140" s="23"/>
      <c r="D140" s="270"/>
      <c r="E140" s="271"/>
      <c r="F140" s="270"/>
      <c r="G140" s="259"/>
      <c r="H140" s="260"/>
      <c r="I140" s="261"/>
      <c r="J140" s="262"/>
      <c r="K140" s="261"/>
      <c r="L140" s="262"/>
      <c r="M140" s="261"/>
      <c r="N140" s="17"/>
      <c r="O140" s="261"/>
      <c r="P140" s="17"/>
      <c r="Q140" s="266"/>
      <c r="R140" s="266"/>
      <c r="S140" s="266"/>
      <c r="T140" s="266"/>
    </row>
    <row r="141">
      <c r="A141" s="255"/>
      <c r="B141" s="23"/>
      <c r="C141" s="23"/>
      <c r="D141" s="270"/>
      <c r="E141" s="271"/>
      <c r="F141" s="270"/>
      <c r="G141" s="259"/>
      <c r="H141" s="260"/>
      <c r="I141" s="261"/>
      <c r="J141" s="262"/>
      <c r="K141" s="261"/>
      <c r="L141" s="262"/>
      <c r="M141" s="261"/>
      <c r="N141" s="17"/>
      <c r="O141" s="261"/>
      <c r="P141" s="17"/>
      <c r="Q141" s="266"/>
      <c r="R141" s="266"/>
      <c r="S141" s="266"/>
      <c r="T141" s="266"/>
    </row>
    <row r="142">
      <c r="A142" s="255"/>
      <c r="B142" s="23"/>
      <c r="C142" s="23"/>
      <c r="D142" s="270"/>
      <c r="E142" s="271"/>
      <c r="F142" s="270"/>
      <c r="G142" s="259"/>
      <c r="H142" s="260"/>
      <c r="I142" s="261"/>
      <c r="J142" s="262"/>
      <c r="K142" s="261"/>
      <c r="L142" s="262"/>
      <c r="M142" s="261"/>
      <c r="N142" s="17"/>
      <c r="O142" s="261"/>
      <c r="P142" s="17"/>
      <c r="Q142" s="266"/>
      <c r="R142" s="266"/>
      <c r="S142" s="266"/>
      <c r="T142" s="266"/>
    </row>
    <row r="143">
      <c r="A143" s="255"/>
      <c r="B143" s="23"/>
      <c r="C143" s="23"/>
      <c r="D143" s="270"/>
      <c r="E143" s="271"/>
      <c r="F143" s="270"/>
      <c r="G143" s="259"/>
      <c r="H143" s="260"/>
      <c r="I143" s="261"/>
      <c r="J143" s="262"/>
      <c r="K143" s="261"/>
      <c r="L143" s="262"/>
      <c r="M143" s="261"/>
      <c r="N143" s="17"/>
      <c r="O143" s="261"/>
      <c r="P143" s="17"/>
      <c r="Q143" s="266"/>
      <c r="R143" s="266"/>
      <c r="S143" s="266"/>
      <c r="T143" s="266"/>
    </row>
    <row r="144">
      <c r="A144" s="255"/>
      <c r="B144" s="23"/>
      <c r="C144" s="23"/>
      <c r="D144" s="270"/>
      <c r="E144" s="271"/>
      <c r="F144" s="270"/>
      <c r="G144" s="259"/>
      <c r="H144" s="260"/>
      <c r="I144" s="261"/>
      <c r="J144" s="262"/>
      <c r="K144" s="261"/>
      <c r="L144" s="262"/>
      <c r="M144" s="261"/>
      <c r="N144" s="17"/>
      <c r="O144" s="261"/>
      <c r="P144" s="17"/>
      <c r="Q144" s="266"/>
      <c r="R144" s="266"/>
      <c r="S144" s="266"/>
      <c r="T144" s="266"/>
    </row>
    <row r="145">
      <c r="A145" s="255"/>
      <c r="B145" s="23"/>
      <c r="C145" s="23"/>
      <c r="D145" s="270"/>
      <c r="E145" s="271"/>
      <c r="F145" s="270"/>
      <c r="G145" s="259"/>
      <c r="H145" s="260"/>
      <c r="I145" s="261"/>
      <c r="J145" s="262"/>
      <c r="K145" s="261"/>
      <c r="L145" s="262"/>
      <c r="M145" s="261"/>
      <c r="N145" s="17"/>
      <c r="O145" s="261"/>
      <c r="P145" s="17"/>
      <c r="Q145" s="266"/>
      <c r="R145" s="266"/>
      <c r="S145" s="266"/>
      <c r="T145" s="266"/>
    </row>
    <row r="146">
      <c r="A146" s="255"/>
      <c r="B146" s="23"/>
      <c r="C146" s="23"/>
      <c r="D146" s="270"/>
      <c r="E146" s="271"/>
      <c r="F146" s="270"/>
      <c r="G146" s="259"/>
      <c r="H146" s="260"/>
      <c r="I146" s="261"/>
      <c r="J146" s="262"/>
      <c r="K146" s="261"/>
      <c r="L146" s="262"/>
      <c r="M146" s="261"/>
      <c r="N146" s="17"/>
      <c r="O146" s="261"/>
      <c r="P146" s="17"/>
      <c r="Q146" s="266"/>
      <c r="R146" s="266"/>
      <c r="S146" s="266"/>
      <c r="T146" s="266"/>
    </row>
    <row r="147">
      <c r="A147" s="255"/>
      <c r="B147" s="23"/>
      <c r="C147" s="23"/>
      <c r="D147" s="270"/>
      <c r="E147" s="271"/>
      <c r="F147" s="270"/>
      <c r="G147" s="259"/>
      <c r="H147" s="260"/>
      <c r="I147" s="261"/>
      <c r="J147" s="262"/>
      <c r="K147" s="261"/>
      <c r="L147" s="262"/>
      <c r="M147" s="261"/>
      <c r="N147" s="17"/>
      <c r="O147" s="261"/>
      <c r="P147" s="17"/>
      <c r="Q147" s="266"/>
      <c r="R147" s="266"/>
      <c r="S147" s="266"/>
      <c r="T147" s="266"/>
    </row>
    <row r="148">
      <c r="A148" s="255"/>
      <c r="B148" s="23"/>
      <c r="C148" s="23"/>
      <c r="D148" s="270"/>
      <c r="E148" s="271"/>
      <c r="F148" s="270"/>
      <c r="G148" s="259"/>
      <c r="H148" s="260"/>
      <c r="I148" s="261"/>
      <c r="J148" s="262"/>
      <c r="K148" s="261"/>
      <c r="L148" s="262"/>
      <c r="M148" s="261"/>
      <c r="N148" s="17"/>
      <c r="O148" s="261"/>
      <c r="P148" s="17"/>
      <c r="Q148" s="266"/>
      <c r="R148" s="266"/>
      <c r="S148" s="266"/>
      <c r="T148" s="266"/>
    </row>
    <row r="149">
      <c r="A149" s="255"/>
      <c r="B149" s="23"/>
      <c r="C149" s="23"/>
      <c r="D149" s="270"/>
      <c r="E149" s="271"/>
      <c r="F149" s="270"/>
      <c r="G149" s="259"/>
      <c r="H149" s="260"/>
      <c r="I149" s="261"/>
      <c r="J149" s="262"/>
      <c r="K149" s="261"/>
      <c r="L149" s="262"/>
      <c r="M149" s="261"/>
      <c r="N149" s="17"/>
      <c r="O149" s="261"/>
      <c r="P149" s="17"/>
      <c r="Q149" s="266"/>
      <c r="R149" s="266"/>
      <c r="S149" s="266"/>
      <c r="T149" s="266"/>
    </row>
    <row r="150">
      <c r="A150" s="255"/>
      <c r="B150" s="23"/>
      <c r="C150" s="23"/>
      <c r="D150" s="270"/>
      <c r="E150" s="271"/>
      <c r="F150" s="270"/>
      <c r="G150" s="259"/>
      <c r="H150" s="260"/>
      <c r="I150" s="261"/>
      <c r="J150" s="262"/>
      <c r="K150" s="261"/>
      <c r="L150" s="262"/>
      <c r="M150" s="261"/>
      <c r="N150" s="17"/>
      <c r="O150" s="261"/>
      <c r="P150" s="17"/>
      <c r="Q150" s="266"/>
      <c r="R150" s="266"/>
      <c r="S150" s="266"/>
      <c r="T150" s="266"/>
    </row>
    <row r="151">
      <c r="A151" s="255"/>
      <c r="B151" s="23"/>
      <c r="C151" s="23"/>
      <c r="D151" s="270"/>
      <c r="E151" s="271"/>
      <c r="F151" s="270"/>
      <c r="G151" s="259"/>
      <c r="H151" s="260"/>
      <c r="I151" s="261"/>
      <c r="J151" s="262"/>
      <c r="K151" s="261"/>
      <c r="L151" s="262"/>
      <c r="M151" s="261"/>
      <c r="N151" s="17"/>
      <c r="O151" s="261"/>
      <c r="P151" s="17"/>
      <c r="Q151" s="266"/>
      <c r="R151" s="266"/>
      <c r="S151" s="266"/>
      <c r="T151" s="266"/>
    </row>
    <row r="152">
      <c r="A152" s="255"/>
      <c r="B152" s="23"/>
      <c r="C152" s="23"/>
      <c r="D152" s="270"/>
      <c r="E152" s="271"/>
      <c r="F152" s="270"/>
      <c r="G152" s="259"/>
      <c r="H152" s="260"/>
      <c r="I152" s="261"/>
      <c r="J152" s="262"/>
      <c r="K152" s="261"/>
      <c r="L152" s="262"/>
      <c r="M152" s="261"/>
      <c r="N152" s="17"/>
      <c r="O152" s="261"/>
      <c r="P152" s="17"/>
      <c r="Q152" s="266"/>
      <c r="R152" s="266"/>
      <c r="S152" s="266"/>
      <c r="T152" s="266"/>
    </row>
    <row r="153">
      <c r="A153" s="255"/>
      <c r="B153" s="23"/>
      <c r="C153" s="23"/>
      <c r="D153" s="270"/>
      <c r="E153" s="271"/>
      <c r="F153" s="270"/>
      <c r="G153" s="259"/>
      <c r="H153" s="260"/>
      <c r="I153" s="261"/>
      <c r="J153" s="262"/>
      <c r="K153" s="261"/>
      <c r="L153" s="262"/>
      <c r="M153" s="261"/>
      <c r="N153" s="17"/>
      <c r="O153" s="261"/>
      <c r="P153" s="17"/>
      <c r="Q153" s="266"/>
      <c r="R153" s="266"/>
      <c r="S153" s="266"/>
      <c r="T153" s="266"/>
    </row>
    <row r="154">
      <c r="A154" s="255"/>
      <c r="B154" s="23"/>
      <c r="C154" s="23"/>
      <c r="D154" s="270"/>
      <c r="E154" s="271"/>
      <c r="F154" s="270"/>
      <c r="G154" s="259"/>
      <c r="H154" s="260"/>
      <c r="I154" s="261"/>
      <c r="J154" s="262"/>
      <c r="K154" s="261"/>
      <c r="L154" s="262"/>
      <c r="M154" s="261"/>
      <c r="N154" s="17"/>
      <c r="O154" s="261"/>
      <c r="P154" s="17"/>
      <c r="Q154" s="266"/>
      <c r="R154" s="266"/>
      <c r="S154" s="266"/>
      <c r="T154" s="266"/>
    </row>
    <row r="155">
      <c r="A155" s="255"/>
      <c r="B155" s="23"/>
      <c r="C155" s="23"/>
      <c r="D155" s="270"/>
      <c r="E155" s="271"/>
      <c r="F155" s="270"/>
      <c r="G155" s="259"/>
      <c r="H155" s="260"/>
      <c r="I155" s="261"/>
      <c r="J155" s="262"/>
      <c r="K155" s="261"/>
      <c r="L155" s="262"/>
      <c r="M155" s="261"/>
      <c r="N155" s="17"/>
      <c r="O155" s="261"/>
      <c r="P155" s="17"/>
      <c r="Q155" s="266"/>
      <c r="R155" s="266"/>
      <c r="S155" s="266"/>
      <c r="T155" s="266"/>
    </row>
    <row r="156">
      <c r="A156" s="255"/>
      <c r="B156" s="23"/>
      <c r="C156" s="23"/>
      <c r="D156" s="270"/>
      <c r="E156" s="271"/>
      <c r="F156" s="270"/>
      <c r="G156" s="259"/>
      <c r="H156" s="260"/>
      <c r="I156" s="261"/>
      <c r="J156" s="262"/>
      <c r="K156" s="261"/>
      <c r="L156" s="262"/>
      <c r="M156" s="261"/>
      <c r="N156" s="17"/>
      <c r="O156" s="261"/>
      <c r="P156" s="17"/>
      <c r="Q156" s="266"/>
      <c r="R156" s="266"/>
      <c r="S156" s="266"/>
      <c r="T156" s="266"/>
    </row>
    <row r="157">
      <c r="A157" s="255"/>
      <c r="B157" s="23"/>
      <c r="C157" s="23"/>
      <c r="D157" s="270"/>
      <c r="E157" s="271"/>
      <c r="F157" s="270"/>
      <c r="G157" s="259"/>
      <c r="H157" s="260"/>
      <c r="I157" s="261"/>
      <c r="J157" s="262"/>
      <c r="K157" s="261"/>
      <c r="L157" s="262"/>
      <c r="M157" s="261"/>
      <c r="N157" s="17"/>
      <c r="O157" s="261"/>
      <c r="P157" s="17"/>
      <c r="Q157" s="266"/>
      <c r="R157" s="266"/>
      <c r="S157" s="266"/>
      <c r="T157" s="266"/>
    </row>
    <row r="158">
      <c r="A158" s="255"/>
      <c r="B158" s="23"/>
      <c r="C158" s="23"/>
      <c r="D158" s="270"/>
      <c r="E158" s="271"/>
      <c r="F158" s="270"/>
      <c r="G158" s="259"/>
      <c r="H158" s="260"/>
      <c r="I158" s="261"/>
      <c r="J158" s="262"/>
      <c r="K158" s="261"/>
      <c r="L158" s="262"/>
      <c r="M158" s="261"/>
      <c r="N158" s="17"/>
      <c r="O158" s="261"/>
      <c r="P158" s="17"/>
      <c r="Q158" s="266"/>
      <c r="R158" s="266"/>
      <c r="S158" s="266"/>
      <c r="T158" s="266"/>
    </row>
    <row r="159">
      <c r="A159" s="255"/>
      <c r="B159" s="23"/>
      <c r="C159" s="23"/>
      <c r="D159" s="270"/>
      <c r="E159" s="271"/>
      <c r="F159" s="270"/>
      <c r="G159" s="259"/>
      <c r="H159" s="260"/>
      <c r="I159" s="261"/>
      <c r="J159" s="262"/>
      <c r="K159" s="261"/>
      <c r="L159" s="262"/>
      <c r="M159" s="261"/>
      <c r="N159" s="17"/>
      <c r="O159" s="261"/>
      <c r="P159" s="17"/>
      <c r="Q159" s="266"/>
      <c r="R159" s="266"/>
      <c r="S159" s="266"/>
      <c r="T159" s="266"/>
    </row>
    <row r="160">
      <c r="A160" s="255"/>
      <c r="B160" s="23"/>
      <c r="C160" s="23"/>
      <c r="D160" s="270"/>
      <c r="E160" s="271"/>
      <c r="F160" s="270"/>
      <c r="G160" s="259"/>
      <c r="H160" s="260"/>
      <c r="I160" s="261"/>
      <c r="J160" s="262"/>
      <c r="K160" s="261"/>
      <c r="L160" s="262"/>
      <c r="M160" s="261"/>
      <c r="N160" s="17"/>
      <c r="O160" s="261"/>
      <c r="P160" s="17"/>
      <c r="Q160" s="266"/>
      <c r="R160" s="266"/>
      <c r="S160" s="266"/>
      <c r="T160" s="266"/>
    </row>
    <row r="161">
      <c r="A161" s="272"/>
      <c r="B161" s="272"/>
      <c r="C161" s="272"/>
      <c r="D161" s="273"/>
      <c r="E161" s="274"/>
      <c r="F161" s="273"/>
      <c r="G161" s="12"/>
      <c r="J161" s="12"/>
      <c r="L161" s="12"/>
      <c r="Q161" s="218"/>
      <c r="R161" s="218"/>
      <c r="S161" s="218"/>
      <c r="T161" s="218"/>
    </row>
    <row r="162">
      <c r="A162" s="272"/>
      <c r="B162" s="272"/>
      <c r="C162" s="272"/>
      <c r="D162" s="273"/>
      <c r="E162" s="274"/>
      <c r="F162" s="273"/>
      <c r="G162" s="12"/>
      <c r="J162" s="12"/>
      <c r="L162" s="12"/>
      <c r="Q162" s="218"/>
      <c r="R162" s="218"/>
      <c r="S162" s="218"/>
      <c r="T162" s="218"/>
    </row>
    <row r="163">
      <c r="A163" s="272"/>
      <c r="B163" s="272"/>
      <c r="C163" s="272"/>
      <c r="D163" s="273"/>
      <c r="E163" s="274"/>
      <c r="F163" s="273"/>
      <c r="G163" s="12"/>
      <c r="J163" s="12"/>
      <c r="L163" s="12"/>
      <c r="Q163" s="218"/>
      <c r="R163" s="218"/>
      <c r="S163" s="218"/>
      <c r="T163" s="218"/>
    </row>
    <row r="164">
      <c r="A164" s="272"/>
      <c r="B164" s="272"/>
      <c r="C164" s="272"/>
      <c r="D164" s="273"/>
      <c r="E164" s="274"/>
      <c r="F164" s="273"/>
      <c r="G164" s="12"/>
      <c r="J164" s="12"/>
      <c r="L164" s="12"/>
      <c r="Q164" s="218"/>
      <c r="R164" s="218"/>
      <c r="S164" s="218"/>
      <c r="T164" s="218"/>
    </row>
    <row r="165">
      <c r="A165" s="272"/>
      <c r="B165" s="272"/>
      <c r="C165" s="272"/>
      <c r="D165" s="273"/>
      <c r="E165" s="274"/>
      <c r="F165" s="273"/>
      <c r="G165" s="12"/>
      <c r="J165" s="12"/>
      <c r="L165" s="12"/>
      <c r="Q165" s="218"/>
      <c r="R165" s="218"/>
      <c r="S165" s="218"/>
      <c r="T165" s="218"/>
    </row>
    <row r="166">
      <c r="A166" s="272"/>
      <c r="B166" s="272"/>
      <c r="C166" s="272"/>
      <c r="D166" s="273"/>
      <c r="E166" s="274"/>
      <c r="F166" s="273"/>
      <c r="G166" s="12"/>
      <c r="J166" s="12"/>
      <c r="L166" s="12"/>
      <c r="Q166" s="218"/>
      <c r="R166" s="218"/>
      <c r="S166" s="218"/>
      <c r="T166" s="218"/>
    </row>
    <row r="167">
      <c r="A167" s="272"/>
      <c r="B167" s="272"/>
      <c r="C167" s="272"/>
      <c r="D167" s="273"/>
      <c r="E167" s="274"/>
      <c r="F167" s="273"/>
      <c r="G167" s="12"/>
      <c r="J167" s="12"/>
      <c r="L167" s="12"/>
      <c r="Q167" s="218"/>
      <c r="R167" s="218"/>
      <c r="S167" s="218"/>
      <c r="T167" s="218"/>
    </row>
    <row r="168">
      <c r="A168" s="272"/>
      <c r="B168" s="272"/>
      <c r="C168" s="272"/>
      <c r="D168" s="273"/>
      <c r="E168" s="274"/>
      <c r="F168" s="273"/>
      <c r="G168" s="12"/>
      <c r="J168" s="12"/>
      <c r="L168" s="12"/>
      <c r="Q168" s="218"/>
      <c r="R168" s="218"/>
      <c r="S168" s="218"/>
      <c r="T168" s="218"/>
    </row>
    <row r="169">
      <c r="A169" s="272"/>
      <c r="B169" s="272"/>
      <c r="C169" s="272"/>
      <c r="D169" s="273"/>
      <c r="E169" s="274"/>
      <c r="F169" s="273"/>
      <c r="G169" s="12"/>
      <c r="J169" s="12"/>
      <c r="L169" s="12"/>
      <c r="Q169" s="218"/>
      <c r="R169" s="218"/>
      <c r="S169" s="218"/>
      <c r="T169" s="218"/>
    </row>
    <row r="170">
      <c r="A170" s="272"/>
      <c r="B170" s="272"/>
      <c r="C170" s="272"/>
      <c r="D170" s="273"/>
      <c r="E170" s="274"/>
      <c r="F170" s="273"/>
      <c r="G170" s="12"/>
      <c r="J170" s="12"/>
      <c r="L170" s="12"/>
      <c r="Q170" s="218"/>
      <c r="R170" s="218"/>
      <c r="S170" s="218"/>
      <c r="T170" s="218"/>
    </row>
    <row r="171">
      <c r="A171" s="272"/>
      <c r="B171" s="272"/>
      <c r="C171" s="272"/>
      <c r="D171" s="273"/>
      <c r="E171" s="274"/>
      <c r="F171" s="273"/>
      <c r="G171" s="12"/>
      <c r="J171" s="12"/>
      <c r="L171" s="12"/>
      <c r="Q171" s="218"/>
      <c r="R171" s="218"/>
      <c r="S171" s="218"/>
      <c r="T171" s="218"/>
    </row>
    <row r="172">
      <c r="A172" s="272"/>
      <c r="B172" s="272"/>
      <c r="C172" s="272"/>
      <c r="D172" s="273"/>
      <c r="E172" s="274"/>
      <c r="F172" s="273"/>
      <c r="G172" s="12"/>
      <c r="J172" s="12"/>
      <c r="L172" s="12"/>
      <c r="Q172" s="218"/>
      <c r="R172" s="218"/>
      <c r="S172" s="218"/>
      <c r="T172" s="218"/>
    </row>
    <row r="173">
      <c r="A173" s="272"/>
      <c r="B173" s="272"/>
      <c r="C173" s="272"/>
      <c r="D173" s="273"/>
      <c r="E173" s="274"/>
      <c r="F173" s="273"/>
      <c r="G173" s="12"/>
      <c r="J173" s="12"/>
      <c r="L173" s="12"/>
      <c r="Q173" s="218"/>
      <c r="R173" s="218"/>
      <c r="S173" s="218"/>
      <c r="T173" s="218"/>
    </row>
    <row r="174">
      <c r="A174" s="272"/>
      <c r="B174" s="272"/>
      <c r="C174" s="272"/>
      <c r="D174" s="273"/>
      <c r="E174" s="274"/>
      <c r="F174" s="273"/>
      <c r="G174" s="12"/>
      <c r="J174" s="12"/>
      <c r="L174" s="12"/>
      <c r="Q174" s="218"/>
      <c r="R174" s="218"/>
      <c r="S174" s="218"/>
      <c r="T174" s="218"/>
    </row>
    <row r="175">
      <c r="A175" s="272"/>
      <c r="B175" s="272"/>
      <c r="C175" s="272"/>
      <c r="D175" s="273"/>
      <c r="E175" s="274"/>
      <c r="F175" s="273"/>
      <c r="G175" s="12"/>
      <c r="J175" s="12"/>
      <c r="L175" s="12"/>
      <c r="Q175" s="218"/>
      <c r="R175" s="218"/>
      <c r="S175" s="218"/>
      <c r="T175" s="218"/>
    </row>
    <row r="176">
      <c r="A176" s="272"/>
      <c r="B176" s="272"/>
      <c r="C176" s="272"/>
      <c r="D176" s="273"/>
      <c r="E176" s="274"/>
      <c r="F176" s="273"/>
      <c r="G176" s="12"/>
      <c r="J176" s="12"/>
      <c r="L176" s="12"/>
      <c r="Q176" s="218"/>
      <c r="R176" s="218"/>
      <c r="S176" s="218"/>
      <c r="T176" s="218"/>
    </row>
    <row r="177">
      <c r="A177" s="272"/>
      <c r="B177" s="272"/>
      <c r="C177" s="272"/>
      <c r="D177" s="273"/>
      <c r="E177" s="274"/>
      <c r="F177" s="273"/>
      <c r="G177" s="12"/>
      <c r="J177" s="12"/>
      <c r="L177" s="12"/>
      <c r="Q177" s="218"/>
      <c r="R177" s="218"/>
      <c r="S177" s="218"/>
      <c r="T177" s="218"/>
    </row>
    <row r="178">
      <c r="A178" s="272"/>
      <c r="B178" s="272"/>
      <c r="C178" s="272"/>
      <c r="D178" s="273"/>
      <c r="E178" s="274"/>
      <c r="F178" s="273"/>
      <c r="G178" s="12"/>
      <c r="J178" s="12"/>
      <c r="L178" s="12"/>
      <c r="Q178" s="218"/>
      <c r="R178" s="218"/>
      <c r="S178" s="218"/>
      <c r="T178" s="218"/>
    </row>
    <row r="179">
      <c r="A179" s="272"/>
      <c r="B179" s="272"/>
      <c r="C179" s="272"/>
      <c r="D179" s="273"/>
      <c r="E179" s="274"/>
      <c r="F179" s="273"/>
      <c r="G179" s="12"/>
      <c r="J179" s="12"/>
      <c r="L179" s="12"/>
      <c r="Q179" s="218"/>
      <c r="R179" s="218"/>
      <c r="S179" s="218"/>
      <c r="T179" s="218"/>
    </row>
    <row r="180">
      <c r="A180" s="272"/>
      <c r="B180" s="272"/>
      <c r="C180" s="272"/>
      <c r="D180" s="273"/>
      <c r="E180" s="274"/>
      <c r="F180" s="273"/>
      <c r="G180" s="12"/>
      <c r="J180" s="12"/>
      <c r="L180" s="12"/>
      <c r="Q180" s="218"/>
      <c r="R180" s="218"/>
      <c r="S180" s="218"/>
      <c r="T180" s="218"/>
    </row>
    <row r="181">
      <c r="A181" s="272"/>
      <c r="B181" s="272"/>
      <c r="C181" s="272"/>
      <c r="D181" s="273"/>
      <c r="E181" s="274"/>
      <c r="F181" s="273"/>
      <c r="G181" s="12"/>
      <c r="J181" s="12"/>
      <c r="L181" s="12"/>
      <c r="Q181" s="218"/>
      <c r="R181" s="218"/>
      <c r="S181" s="218"/>
      <c r="T181" s="218"/>
    </row>
    <row r="182">
      <c r="A182" s="272"/>
      <c r="B182" s="272"/>
      <c r="C182" s="272"/>
      <c r="D182" s="273"/>
      <c r="E182" s="274"/>
      <c r="F182" s="273"/>
      <c r="G182" s="12"/>
      <c r="J182" s="12"/>
      <c r="L182" s="12"/>
      <c r="Q182" s="218"/>
      <c r="R182" s="218"/>
      <c r="S182" s="218"/>
      <c r="T182" s="218"/>
    </row>
    <row r="183">
      <c r="A183" s="272"/>
      <c r="B183" s="272"/>
      <c r="C183" s="272"/>
      <c r="D183" s="273"/>
      <c r="E183" s="274"/>
      <c r="F183" s="273"/>
      <c r="G183" s="12"/>
      <c r="J183" s="12"/>
      <c r="L183" s="12"/>
      <c r="Q183" s="218"/>
      <c r="R183" s="218"/>
      <c r="S183" s="218"/>
      <c r="T183" s="218"/>
    </row>
    <row r="184">
      <c r="A184" s="272"/>
      <c r="B184" s="272"/>
      <c r="C184" s="272"/>
      <c r="D184" s="273"/>
      <c r="E184" s="274"/>
      <c r="F184" s="273"/>
      <c r="G184" s="12"/>
      <c r="J184" s="12"/>
      <c r="L184" s="12"/>
      <c r="Q184" s="218"/>
      <c r="R184" s="218"/>
      <c r="S184" s="218"/>
      <c r="T184" s="218"/>
    </row>
    <row r="185">
      <c r="A185" s="272"/>
      <c r="B185" s="272"/>
      <c r="C185" s="272"/>
      <c r="D185" s="273"/>
      <c r="E185" s="274"/>
      <c r="F185" s="273"/>
      <c r="G185" s="12"/>
      <c r="J185" s="12"/>
      <c r="L185" s="12"/>
      <c r="Q185" s="218"/>
      <c r="R185" s="218"/>
      <c r="S185" s="218"/>
      <c r="T185" s="218"/>
    </row>
    <row r="186">
      <c r="A186" s="272"/>
      <c r="B186" s="272"/>
      <c r="C186" s="272"/>
      <c r="D186" s="273"/>
      <c r="E186" s="274"/>
      <c r="F186" s="273"/>
      <c r="G186" s="12"/>
      <c r="J186" s="12"/>
      <c r="L186" s="12"/>
      <c r="Q186" s="218"/>
      <c r="R186" s="218"/>
      <c r="S186" s="218"/>
      <c r="T186" s="218"/>
    </row>
    <row r="187">
      <c r="A187" s="272"/>
      <c r="B187" s="272"/>
      <c r="C187" s="272"/>
      <c r="D187" s="273"/>
      <c r="E187" s="274"/>
      <c r="F187" s="273"/>
      <c r="G187" s="12"/>
      <c r="J187" s="12"/>
      <c r="L187" s="12"/>
      <c r="Q187" s="218"/>
      <c r="R187" s="218"/>
      <c r="S187" s="218"/>
      <c r="T187" s="218"/>
    </row>
    <row r="188">
      <c r="A188" s="272"/>
      <c r="B188" s="272"/>
      <c r="C188" s="272"/>
      <c r="D188" s="273"/>
      <c r="E188" s="274"/>
      <c r="F188" s="273"/>
      <c r="G188" s="12"/>
      <c r="J188" s="12"/>
      <c r="L188" s="12"/>
      <c r="Q188" s="218"/>
      <c r="R188" s="218"/>
      <c r="S188" s="218"/>
      <c r="T188" s="218"/>
    </row>
    <row r="189">
      <c r="A189" s="272"/>
      <c r="B189" s="272"/>
      <c r="C189" s="272"/>
      <c r="D189" s="273"/>
      <c r="E189" s="274"/>
      <c r="F189" s="273"/>
      <c r="G189" s="12"/>
      <c r="J189" s="12"/>
      <c r="L189" s="12"/>
      <c r="Q189" s="218"/>
      <c r="R189" s="218"/>
      <c r="S189" s="218"/>
      <c r="T189" s="218"/>
    </row>
    <row r="190">
      <c r="A190" s="272"/>
      <c r="B190" s="272"/>
      <c r="C190" s="272"/>
      <c r="D190" s="273"/>
      <c r="E190" s="274"/>
      <c r="F190" s="273"/>
      <c r="G190" s="12"/>
      <c r="J190" s="12"/>
      <c r="L190" s="12"/>
      <c r="Q190" s="218"/>
      <c r="R190" s="218"/>
      <c r="S190" s="218"/>
      <c r="T190" s="218"/>
    </row>
    <row r="191">
      <c r="A191" s="272"/>
      <c r="B191" s="272"/>
      <c r="C191" s="272"/>
      <c r="D191" s="273"/>
      <c r="E191" s="274"/>
      <c r="F191" s="273"/>
      <c r="G191" s="12"/>
      <c r="J191" s="12"/>
      <c r="L191" s="12"/>
      <c r="Q191" s="218"/>
      <c r="R191" s="218"/>
      <c r="S191" s="218"/>
      <c r="T191" s="218"/>
    </row>
    <row r="192">
      <c r="A192" s="272"/>
      <c r="B192" s="272"/>
      <c r="C192" s="272"/>
      <c r="D192" s="273"/>
      <c r="E192" s="274"/>
      <c r="F192" s="273"/>
      <c r="G192" s="12"/>
      <c r="J192" s="12"/>
      <c r="L192" s="12"/>
      <c r="Q192" s="218"/>
      <c r="R192" s="218"/>
      <c r="S192" s="218"/>
      <c r="T192" s="218"/>
    </row>
    <row r="193">
      <c r="A193" s="272"/>
      <c r="B193" s="272"/>
      <c r="C193" s="272"/>
      <c r="D193" s="273"/>
      <c r="E193" s="274"/>
      <c r="F193" s="273"/>
      <c r="G193" s="12"/>
      <c r="J193" s="12"/>
      <c r="L193" s="12"/>
      <c r="Q193" s="218"/>
      <c r="R193" s="218"/>
      <c r="S193" s="218"/>
      <c r="T193" s="218"/>
    </row>
    <row r="194">
      <c r="A194" s="272"/>
      <c r="B194" s="272"/>
      <c r="C194" s="272"/>
      <c r="D194" s="273"/>
      <c r="E194" s="274"/>
      <c r="F194" s="273"/>
      <c r="G194" s="12"/>
      <c r="J194" s="12"/>
      <c r="L194" s="12"/>
      <c r="Q194" s="218"/>
      <c r="R194" s="218"/>
      <c r="S194" s="218"/>
      <c r="T194" s="218"/>
    </row>
    <row r="195">
      <c r="A195" s="272"/>
      <c r="B195" s="272"/>
      <c r="C195" s="272"/>
      <c r="D195" s="273"/>
      <c r="E195" s="274"/>
      <c r="F195" s="273"/>
      <c r="G195" s="12"/>
      <c r="J195" s="12"/>
      <c r="L195" s="12"/>
      <c r="Q195" s="218"/>
      <c r="R195" s="218"/>
      <c r="S195" s="218"/>
      <c r="T195" s="218"/>
    </row>
    <row r="196">
      <c r="A196" s="272"/>
      <c r="B196" s="272"/>
      <c r="C196" s="272"/>
      <c r="D196" s="273"/>
      <c r="E196" s="274"/>
      <c r="F196" s="273"/>
      <c r="G196" s="12"/>
      <c r="J196" s="12"/>
      <c r="L196" s="12"/>
      <c r="Q196" s="218"/>
      <c r="R196" s="218"/>
      <c r="S196" s="218"/>
      <c r="T196" s="218"/>
    </row>
    <row r="197">
      <c r="A197" s="272"/>
      <c r="B197" s="272"/>
      <c r="C197" s="272"/>
      <c r="D197" s="273"/>
      <c r="E197" s="274"/>
      <c r="F197" s="273"/>
      <c r="G197" s="12"/>
      <c r="J197" s="12"/>
      <c r="L197" s="12"/>
      <c r="Q197" s="218"/>
      <c r="R197" s="218"/>
      <c r="S197" s="218"/>
      <c r="T197" s="218"/>
    </row>
    <row r="198">
      <c r="A198" s="272"/>
      <c r="B198" s="272"/>
      <c r="C198" s="272"/>
      <c r="D198" s="273"/>
      <c r="E198" s="274"/>
      <c r="F198" s="273"/>
      <c r="G198" s="12"/>
      <c r="J198" s="12"/>
      <c r="L198" s="12"/>
      <c r="Q198" s="218"/>
      <c r="R198" s="218"/>
      <c r="S198" s="218"/>
      <c r="T198" s="218"/>
    </row>
    <row r="199">
      <c r="A199" s="272"/>
      <c r="B199" s="272"/>
      <c r="C199" s="272"/>
      <c r="D199" s="273"/>
      <c r="E199" s="274"/>
      <c r="F199" s="273"/>
      <c r="G199" s="12"/>
      <c r="J199" s="12"/>
      <c r="L199" s="12"/>
      <c r="Q199" s="218"/>
      <c r="R199" s="218"/>
      <c r="S199" s="218"/>
      <c r="T199" s="218"/>
    </row>
    <row r="200">
      <c r="A200" s="272"/>
      <c r="B200" s="272"/>
      <c r="C200" s="272"/>
      <c r="D200" s="273"/>
      <c r="E200" s="274"/>
      <c r="F200" s="273"/>
      <c r="G200" s="12"/>
      <c r="J200" s="12"/>
      <c r="L200" s="12"/>
      <c r="Q200" s="218"/>
      <c r="R200" s="218"/>
      <c r="S200" s="218"/>
      <c r="T200" s="218"/>
    </row>
    <row r="201">
      <c r="A201" s="272"/>
      <c r="B201" s="272"/>
      <c r="C201" s="272"/>
      <c r="D201" s="273"/>
      <c r="E201" s="274"/>
      <c r="F201" s="273"/>
      <c r="G201" s="12"/>
      <c r="J201" s="12"/>
      <c r="L201" s="12"/>
      <c r="Q201" s="218"/>
      <c r="R201" s="218"/>
      <c r="S201" s="218"/>
      <c r="T201" s="218"/>
    </row>
    <row r="202">
      <c r="A202" s="272"/>
      <c r="B202" s="272"/>
      <c r="C202" s="272"/>
      <c r="D202" s="273"/>
      <c r="E202" s="274"/>
      <c r="F202" s="273"/>
      <c r="G202" s="12"/>
      <c r="J202" s="12"/>
      <c r="L202" s="12"/>
      <c r="Q202" s="218"/>
      <c r="R202" s="218"/>
      <c r="S202" s="218"/>
      <c r="T202" s="218"/>
    </row>
    <row r="203">
      <c r="A203" s="272"/>
      <c r="B203" s="272"/>
      <c r="C203" s="272"/>
      <c r="D203" s="273"/>
      <c r="E203" s="274"/>
      <c r="F203" s="273"/>
      <c r="G203" s="12"/>
      <c r="J203" s="12"/>
      <c r="L203" s="12"/>
      <c r="Q203" s="218"/>
      <c r="R203" s="218"/>
      <c r="S203" s="218"/>
      <c r="T203" s="218"/>
    </row>
    <row r="204">
      <c r="A204" s="272"/>
      <c r="B204" s="272"/>
      <c r="C204" s="272"/>
      <c r="D204" s="273"/>
      <c r="E204" s="274"/>
      <c r="F204" s="273"/>
      <c r="G204" s="12"/>
      <c r="J204" s="12"/>
      <c r="L204" s="12"/>
      <c r="Q204" s="218"/>
      <c r="R204" s="218"/>
      <c r="S204" s="218"/>
      <c r="T204" s="218"/>
    </row>
    <row r="205">
      <c r="A205" s="272"/>
      <c r="B205" s="272"/>
      <c r="C205" s="272"/>
      <c r="D205" s="273"/>
      <c r="E205" s="274"/>
      <c r="F205" s="273"/>
      <c r="G205" s="12"/>
      <c r="J205" s="12"/>
      <c r="L205" s="12"/>
      <c r="Q205" s="218"/>
      <c r="R205" s="218"/>
      <c r="S205" s="218"/>
      <c r="T205" s="218"/>
    </row>
    <row r="206">
      <c r="A206" s="272"/>
      <c r="B206" s="272"/>
      <c r="C206" s="272"/>
      <c r="D206" s="273"/>
      <c r="E206" s="274"/>
      <c r="F206" s="273"/>
      <c r="G206" s="12"/>
      <c r="J206" s="12"/>
      <c r="L206" s="12"/>
      <c r="Q206" s="218"/>
      <c r="R206" s="218"/>
      <c r="S206" s="218"/>
      <c r="T206" s="218"/>
    </row>
    <row r="207">
      <c r="A207" s="272"/>
      <c r="B207" s="272"/>
      <c r="C207" s="272"/>
      <c r="D207" s="273"/>
      <c r="E207" s="274"/>
      <c r="F207" s="273"/>
      <c r="G207" s="12"/>
      <c r="J207" s="12"/>
      <c r="L207" s="12"/>
      <c r="Q207" s="218"/>
      <c r="R207" s="218"/>
      <c r="S207" s="218"/>
      <c r="T207" s="218"/>
    </row>
    <row r="208">
      <c r="A208" s="272"/>
      <c r="B208" s="272"/>
      <c r="C208" s="272"/>
      <c r="D208" s="273"/>
      <c r="E208" s="274"/>
      <c r="F208" s="273"/>
      <c r="G208" s="12"/>
      <c r="J208" s="12"/>
      <c r="L208" s="12"/>
      <c r="Q208" s="218"/>
      <c r="R208" s="218"/>
      <c r="S208" s="218"/>
      <c r="T208" s="218"/>
    </row>
    <row r="209">
      <c r="A209" s="272"/>
      <c r="B209" s="272"/>
      <c r="C209" s="272"/>
      <c r="D209" s="273"/>
      <c r="E209" s="274"/>
      <c r="F209" s="273"/>
      <c r="G209" s="12"/>
      <c r="J209" s="12"/>
      <c r="L209" s="12"/>
      <c r="Q209" s="218"/>
      <c r="R209" s="218"/>
      <c r="S209" s="218"/>
      <c r="T209" s="218"/>
    </row>
    <row r="210">
      <c r="A210" s="272"/>
      <c r="B210" s="272"/>
      <c r="C210" s="272"/>
      <c r="D210" s="273"/>
      <c r="E210" s="274"/>
      <c r="F210" s="273"/>
      <c r="G210" s="12"/>
      <c r="J210" s="12"/>
      <c r="L210" s="12"/>
      <c r="Q210" s="218"/>
      <c r="R210" s="218"/>
      <c r="S210" s="218"/>
      <c r="T210" s="218"/>
    </row>
    <row r="211">
      <c r="A211" s="272"/>
      <c r="B211" s="272"/>
      <c r="C211" s="272"/>
      <c r="D211" s="273"/>
      <c r="E211" s="274"/>
      <c r="F211" s="273"/>
      <c r="G211" s="12"/>
      <c r="J211" s="12"/>
      <c r="L211" s="12"/>
      <c r="Q211" s="218"/>
      <c r="R211" s="218"/>
      <c r="S211" s="218"/>
      <c r="T211" s="218"/>
    </row>
    <row r="212">
      <c r="A212" s="272"/>
      <c r="B212" s="272"/>
      <c r="C212" s="272"/>
      <c r="D212" s="273"/>
      <c r="E212" s="274"/>
      <c r="F212" s="273"/>
      <c r="G212" s="12"/>
      <c r="J212" s="12"/>
      <c r="L212" s="12"/>
      <c r="Q212" s="218"/>
      <c r="R212" s="218"/>
      <c r="S212" s="218"/>
      <c r="T212" s="218"/>
    </row>
    <row r="213">
      <c r="A213" s="272"/>
      <c r="B213" s="272"/>
      <c r="C213" s="272"/>
      <c r="D213" s="273"/>
      <c r="E213" s="274"/>
      <c r="F213" s="273"/>
      <c r="G213" s="12"/>
      <c r="J213" s="12"/>
      <c r="L213" s="12"/>
      <c r="Q213" s="218"/>
      <c r="R213" s="218"/>
      <c r="S213" s="218"/>
      <c r="T213" s="218"/>
    </row>
    <row r="214">
      <c r="A214" s="272"/>
      <c r="B214" s="272"/>
      <c r="C214" s="272"/>
      <c r="D214" s="273"/>
      <c r="E214" s="274"/>
      <c r="F214" s="273"/>
      <c r="G214" s="12"/>
      <c r="J214" s="12"/>
      <c r="L214" s="12"/>
      <c r="Q214" s="218"/>
      <c r="R214" s="218"/>
      <c r="S214" s="218"/>
      <c r="T214" s="218"/>
    </row>
    <row r="215">
      <c r="A215" s="272"/>
      <c r="B215" s="272"/>
      <c r="C215" s="272"/>
      <c r="D215" s="273"/>
      <c r="E215" s="274"/>
      <c r="F215" s="273"/>
      <c r="G215" s="12"/>
      <c r="J215" s="12"/>
      <c r="L215" s="12"/>
      <c r="Q215" s="218"/>
      <c r="R215" s="218"/>
      <c r="S215" s="218"/>
      <c r="T215" s="218"/>
    </row>
    <row r="216">
      <c r="A216" s="272"/>
      <c r="B216" s="272"/>
      <c r="C216" s="272"/>
      <c r="D216" s="273"/>
      <c r="E216" s="274"/>
      <c r="F216" s="273"/>
      <c r="G216" s="12"/>
      <c r="J216" s="12"/>
      <c r="L216" s="12"/>
      <c r="Q216" s="218"/>
      <c r="R216" s="218"/>
      <c r="S216" s="218"/>
      <c r="T216" s="218"/>
    </row>
    <row r="217">
      <c r="A217" s="272"/>
      <c r="B217" s="272"/>
      <c r="C217" s="272"/>
      <c r="D217" s="273"/>
      <c r="E217" s="274"/>
      <c r="F217" s="273"/>
      <c r="G217" s="12"/>
      <c r="J217" s="12"/>
      <c r="L217" s="12"/>
      <c r="Q217" s="218"/>
      <c r="R217" s="218"/>
      <c r="S217" s="218"/>
      <c r="T217" s="218"/>
    </row>
    <row r="218">
      <c r="A218" s="272"/>
      <c r="B218" s="272"/>
      <c r="C218" s="272"/>
      <c r="D218" s="273"/>
      <c r="E218" s="274"/>
      <c r="F218" s="273"/>
      <c r="G218" s="12"/>
      <c r="J218" s="12"/>
      <c r="L218" s="12"/>
      <c r="Q218" s="218"/>
      <c r="R218" s="218"/>
      <c r="S218" s="218"/>
      <c r="T218" s="218"/>
    </row>
    <row r="219">
      <c r="A219" s="272"/>
      <c r="B219" s="272"/>
      <c r="C219" s="272"/>
      <c r="D219" s="273"/>
      <c r="E219" s="274"/>
      <c r="F219" s="273"/>
      <c r="G219" s="12"/>
      <c r="J219" s="12"/>
      <c r="L219" s="12"/>
      <c r="Q219" s="218"/>
      <c r="R219" s="218"/>
      <c r="S219" s="218"/>
      <c r="T219" s="218"/>
    </row>
    <row r="220">
      <c r="A220" s="272"/>
      <c r="B220" s="272"/>
      <c r="C220" s="272"/>
      <c r="D220" s="273"/>
      <c r="E220" s="274"/>
      <c r="F220" s="273"/>
      <c r="G220" s="12"/>
      <c r="J220" s="12"/>
      <c r="L220" s="12"/>
      <c r="Q220" s="218"/>
      <c r="R220" s="218"/>
      <c r="S220" s="218"/>
      <c r="T220" s="218"/>
    </row>
    <row r="221">
      <c r="A221" s="272"/>
      <c r="B221" s="272"/>
      <c r="C221" s="272"/>
      <c r="D221" s="273"/>
      <c r="E221" s="274"/>
      <c r="F221" s="273"/>
      <c r="G221" s="12"/>
      <c r="J221" s="12"/>
      <c r="L221" s="12"/>
      <c r="Q221" s="218"/>
      <c r="R221" s="218"/>
      <c r="S221" s="218"/>
      <c r="T221" s="218"/>
    </row>
    <row r="222">
      <c r="A222" s="272"/>
      <c r="B222" s="272"/>
      <c r="C222" s="272"/>
      <c r="D222" s="273"/>
      <c r="E222" s="274"/>
      <c r="F222" s="273"/>
      <c r="G222" s="12"/>
      <c r="J222" s="12"/>
      <c r="L222" s="12"/>
      <c r="Q222" s="218"/>
      <c r="R222" s="218"/>
      <c r="S222" s="218"/>
      <c r="T222" s="218"/>
    </row>
    <row r="223">
      <c r="A223" s="272"/>
      <c r="B223" s="272"/>
      <c r="C223" s="272"/>
      <c r="D223" s="273"/>
      <c r="E223" s="274"/>
      <c r="F223" s="273"/>
      <c r="G223" s="12"/>
      <c r="J223" s="12"/>
      <c r="L223" s="12"/>
      <c r="Q223" s="218"/>
      <c r="R223" s="218"/>
      <c r="S223" s="218"/>
      <c r="T223" s="218"/>
    </row>
    <row r="224">
      <c r="A224" s="272"/>
      <c r="B224" s="272"/>
      <c r="C224" s="272"/>
      <c r="D224" s="273"/>
      <c r="E224" s="274"/>
      <c r="F224" s="273"/>
      <c r="G224" s="12"/>
      <c r="J224" s="12"/>
      <c r="L224" s="12"/>
      <c r="Q224" s="218"/>
      <c r="R224" s="218"/>
      <c r="S224" s="218"/>
      <c r="T224" s="218"/>
    </row>
    <row r="225">
      <c r="A225" s="272"/>
      <c r="B225" s="272"/>
      <c r="C225" s="272"/>
      <c r="D225" s="273"/>
      <c r="E225" s="274"/>
      <c r="F225" s="273"/>
      <c r="G225" s="12"/>
      <c r="J225" s="12"/>
      <c r="L225" s="12"/>
      <c r="Q225" s="218"/>
      <c r="R225" s="218"/>
      <c r="S225" s="218"/>
      <c r="T225" s="218"/>
    </row>
    <row r="226">
      <c r="A226" s="272"/>
      <c r="B226" s="272"/>
      <c r="C226" s="272"/>
      <c r="D226" s="273"/>
      <c r="E226" s="274"/>
      <c r="F226" s="273"/>
      <c r="G226" s="12"/>
      <c r="J226" s="12"/>
      <c r="L226" s="12"/>
      <c r="Q226" s="218"/>
      <c r="R226" s="218"/>
      <c r="S226" s="218"/>
      <c r="T226" s="218"/>
    </row>
    <row r="227">
      <c r="A227" s="272"/>
      <c r="B227" s="272"/>
      <c r="C227" s="272"/>
      <c r="D227" s="273"/>
      <c r="E227" s="274"/>
      <c r="F227" s="273"/>
      <c r="G227" s="12"/>
      <c r="J227" s="12"/>
      <c r="L227" s="12"/>
      <c r="Q227" s="218"/>
      <c r="R227" s="218"/>
      <c r="S227" s="218"/>
      <c r="T227" s="218"/>
    </row>
    <row r="228">
      <c r="A228" s="272"/>
      <c r="B228" s="272"/>
      <c r="C228" s="272"/>
      <c r="D228" s="273"/>
      <c r="E228" s="274"/>
      <c r="F228" s="273"/>
      <c r="G228" s="12"/>
      <c r="J228" s="12"/>
      <c r="L228" s="12"/>
      <c r="Q228" s="218"/>
      <c r="R228" s="218"/>
      <c r="S228" s="218"/>
      <c r="T228" s="218"/>
    </row>
    <row r="229">
      <c r="A229" s="272"/>
      <c r="B229" s="272"/>
      <c r="C229" s="272"/>
      <c r="D229" s="273"/>
      <c r="E229" s="274"/>
      <c r="F229" s="273"/>
      <c r="G229" s="12"/>
      <c r="J229" s="12"/>
      <c r="L229" s="12"/>
      <c r="Q229" s="218"/>
      <c r="R229" s="218"/>
      <c r="S229" s="218"/>
      <c r="T229" s="218"/>
    </row>
    <row r="230">
      <c r="A230" s="272"/>
      <c r="B230" s="272"/>
      <c r="C230" s="272"/>
      <c r="D230" s="273"/>
      <c r="E230" s="274"/>
      <c r="F230" s="273"/>
      <c r="G230" s="12"/>
      <c r="J230" s="12"/>
      <c r="L230" s="12"/>
      <c r="Q230" s="218"/>
      <c r="R230" s="218"/>
      <c r="S230" s="218"/>
      <c r="T230" s="218"/>
    </row>
    <row r="231">
      <c r="A231" s="272"/>
      <c r="B231" s="272"/>
      <c r="C231" s="272"/>
      <c r="D231" s="273"/>
      <c r="E231" s="274"/>
      <c r="F231" s="273"/>
      <c r="G231" s="12"/>
      <c r="J231" s="12"/>
      <c r="L231" s="12"/>
      <c r="Q231" s="218"/>
      <c r="R231" s="218"/>
      <c r="S231" s="218"/>
      <c r="T231" s="218"/>
    </row>
    <row r="232">
      <c r="A232" s="272"/>
      <c r="B232" s="272"/>
      <c r="C232" s="272"/>
      <c r="D232" s="273"/>
      <c r="E232" s="274"/>
      <c r="F232" s="273"/>
      <c r="G232" s="12"/>
      <c r="J232" s="12"/>
      <c r="L232" s="12"/>
      <c r="Q232" s="218"/>
      <c r="R232" s="218"/>
      <c r="S232" s="218"/>
      <c r="T232" s="218"/>
    </row>
    <row r="233">
      <c r="A233" s="272"/>
      <c r="B233" s="272"/>
      <c r="C233" s="272"/>
      <c r="D233" s="273"/>
      <c r="E233" s="274"/>
      <c r="F233" s="273"/>
      <c r="G233" s="12"/>
      <c r="J233" s="12"/>
      <c r="L233" s="12"/>
      <c r="Q233" s="218"/>
      <c r="R233" s="218"/>
      <c r="S233" s="218"/>
      <c r="T233" s="218"/>
    </row>
    <row r="234">
      <c r="A234" s="272"/>
      <c r="B234" s="272"/>
      <c r="C234" s="272"/>
      <c r="D234" s="273"/>
      <c r="E234" s="274"/>
      <c r="F234" s="273"/>
      <c r="G234" s="12"/>
      <c r="J234" s="12"/>
      <c r="L234" s="12"/>
      <c r="Q234" s="218"/>
      <c r="R234" s="218"/>
      <c r="S234" s="218"/>
      <c r="T234" s="218"/>
    </row>
    <row r="235">
      <c r="A235" s="272"/>
      <c r="B235" s="272"/>
      <c r="C235" s="272"/>
      <c r="D235" s="273"/>
      <c r="E235" s="274"/>
      <c r="F235" s="273"/>
      <c r="G235" s="12"/>
      <c r="J235" s="12"/>
      <c r="L235" s="12"/>
      <c r="Q235" s="218"/>
      <c r="R235" s="218"/>
      <c r="S235" s="218"/>
      <c r="T235" s="218"/>
    </row>
    <row r="236">
      <c r="A236" s="272"/>
      <c r="B236" s="272"/>
      <c r="C236" s="272"/>
      <c r="D236" s="273"/>
      <c r="E236" s="274"/>
      <c r="F236" s="273"/>
      <c r="G236" s="12"/>
      <c r="J236" s="12"/>
      <c r="L236" s="12"/>
      <c r="Q236" s="218"/>
      <c r="R236" s="218"/>
      <c r="S236" s="218"/>
      <c r="T236" s="218"/>
    </row>
    <row r="237">
      <c r="A237" s="272"/>
      <c r="B237" s="272"/>
      <c r="C237" s="272"/>
      <c r="D237" s="273"/>
      <c r="E237" s="274"/>
      <c r="F237" s="273"/>
      <c r="G237" s="12"/>
      <c r="J237" s="12"/>
      <c r="L237" s="12"/>
      <c r="Q237" s="218"/>
      <c r="R237" s="218"/>
      <c r="S237" s="218"/>
      <c r="T237" s="218"/>
    </row>
    <row r="238">
      <c r="A238" s="272"/>
      <c r="B238" s="272"/>
      <c r="C238" s="272"/>
      <c r="D238" s="273"/>
      <c r="E238" s="274"/>
      <c r="F238" s="273"/>
      <c r="G238" s="12"/>
      <c r="J238" s="12"/>
      <c r="L238" s="12"/>
      <c r="Q238" s="218"/>
      <c r="R238" s="218"/>
      <c r="S238" s="218"/>
      <c r="T238" s="218"/>
    </row>
    <row r="239">
      <c r="A239" s="272"/>
      <c r="B239" s="272"/>
      <c r="C239" s="272"/>
      <c r="D239" s="273"/>
      <c r="E239" s="274"/>
      <c r="F239" s="273"/>
      <c r="G239" s="12"/>
      <c r="J239" s="12"/>
      <c r="L239" s="12"/>
      <c r="Q239" s="218"/>
      <c r="R239" s="218"/>
      <c r="S239" s="218"/>
      <c r="T239" s="218"/>
    </row>
    <row r="240">
      <c r="A240" s="272"/>
      <c r="B240" s="272"/>
      <c r="C240" s="272"/>
      <c r="D240" s="273"/>
      <c r="E240" s="274"/>
      <c r="F240" s="273"/>
      <c r="G240" s="12"/>
      <c r="J240" s="12"/>
      <c r="L240" s="12"/>
      <c r="Q240" s="218"/>
      <c r="R240" s="218"/>
      <c r="S240" s="218"/>
      <c r="T240" s="218"/>
    </row>
    <row r="241">
      <c r="A241" s="272"/>
      <c r="B241" s="272"/>
      <c r="C241" s="272"/>
      <c r="D241" s="273"/>
      <c r="E241" s="274"/>
      <c r="F241" s="273"/>
      <c r="G241" s="12"/>
      <c r="J241" s="12"/>
      <c r="L241" s="12"/>
      <c r="Q241" s="218"/>
      <c r="R241" s="218"/>
      <c r="S241" s="218"/>
      <c r="T241" s="218"/>
    </row>
    <row r="242">
      <c r="A242" s="272"/>
      <c r="B242" s="272"/>
      <c r="C242" s="272"/>
      <c r="D242" s="273"/>
      <c r="E242" s="274"/>
      <c r="F242" s="273"/>
      <c r="G242" s="12"/>
      <c r="J242" s="12"/>
      <c r="L242" s="12"/>
      <c r="Q242" s="218"/>
      <c r="R242" s="218"/>
      <c r="S242" s="218"/>
      <c r="T242" s="218"/>
    </row>
    <row r="243">
      <c r="A243" s="272"/>
      <c r="B243" s="272"/>
      <c r="C243" s="272"/>
      <c r="D243" s="273"/>
      <c r="E243" s="274"/>
      <c r="F243" s="273"/>
      <c r="G243" s="12"/>
      <c r="J243" s="12"/>
      <c r="L243" s="12"/>
      <c r="Q243" s="218"/>
      <c r="R243" s="218"/>
      <c r="S243" s="218"/>
      <c r="T243" s="218"/>
    </row>
    <row r="244">
      <c r="A244" s="272"/>
      <c r="B244" s="272"/>
      <c r="C244" s="272"/>
      <c r="D244" s="273"/>
      <c r="E244" s="274"/>
      <c r="F244" s="273"/>
      <c r="G244" s="12"/>
      <c r="J244" s="12"/>
      <c r="L244" s="12"/>
      <c r="Q244" s="218"/>
      <c r="R244" s="218"/>
      <c r="S244" s="218"/>
      <c r="T244" s="218"/>
    </row>
    <row r="245">
      <c r="A245" s="272"/>
      <c r="B245" s="272"/>
      <c r="C245" s="272"/>
      <c r="D245" s="273"/>
      <c r="E245" s="274"/>
      <c r="F245" s="273"/>
      <c r="G245" s="12"/>
      <c r="J245" s="12"/>
      <c r="L245" s="12"/>
      <c r="Q245" s="218"/>
      <c r="R245" s="218"/>
      <c r="S245" s="218"/>
      <c r="T245" s="218"/>
    </row>
    <row r="246">
      <c r="A246" s="272"/>
      <c r="B246" s="272"/>
      <c r="C246" s="272"/>
      <c r="D246" s="273"/>
      <c r="E246" s="274"/>
      <c r="F246" s="273"/>
      <c r="G246" s="12"/>
      <c r="J246" s="12"/>
      <c r="L246" s="12"/>
      <c r="Q246" s="218"/>
      <c r="R246" s="218"/>
      <c r="S246" s="218"/>
      <c r="T246" s="218"/>
    </row>
    <row r="247">
      <c r="A247" s="272"/>
      <c r="B247" s="272"/>
      <c r="C247" s="272"/>
      <c r="D247" s="273"/>
      <c r="E247" s="274"/>
      <c r="F247" s="273"/>
      <c r="G247" s="12"/>
      <c r="J247" s="12"/>
      <c r="L247" s="12"/>
      <c r="Q247" s="218"/>
      <c r="R247" s="218"/>
      <c r="S247" s="218"/>
      <c r="T247" s="218"/>
    </row>
    <row r="248">
      <c r="A248" s="272"/>
      <c r="B248" s="272"/>
      <c r="C248" s="272"/>
      <c r="D248" s="273"/>
      <c r="E248" s="274"/>
      <c r="F248" s="273"/>
      <c r="G248" s="12"/>
      <c r="J248" s="12"/>
      <c r="L248" s="12"/>
      <c r="Q248" s="218"/>
      <c r="R248" s="218"/>
      <c r="S248" s="218"/>
      <c r="T248" s="218"/>
    </row>
    <row r="249">
      <c r="A249" s="272"/>
      <c r="B249" s="272"/>
      <c r="C249" s="272"/>
      <c r="D249" s="273"/>
      <c r="E249" s="274"/>
      <c r="F249" s="273"/>
      <c r="G249" s="12"/>
      <c r="J249" s="12"/>
      <c r="L249" s="12"/>
      <c r="Q249" s="218"/>
      <c r="R249" s="218"/>
      <c r="S249" s="218"/>
      <c r="T249" s="218"/>
    </row>
    <row r="250">
      <c r="A250" s="272"/>
      <c r="B250" s="272"/>
      <c r="C250" s="272"/>
      <c r="D250" s="273"/>
      <c r="E250" s="274"/>
      <c r="F250" s="273"/>
      <c r="G250" s="12"/>
      <c r="J250" s="12"/>
      <c r="L250" s="12"/>
      <c r="Q250" s="218"/>
      <c r="R250" s="218"/>
      <c r="S250" s="218"/>
      <c r="T250" s="218"/>
    </row>
    <row r="251">
      <c r="A251" s="272"/>
      <c r="B251" s="272"/>
      <c r="C251" s="272"/>
      <c r="D251" s="273"/>
      <c r="E251" s="274"/>
      <c r="F251" s="273"/>
      <c r="G251" s="12"/>
      <c r="J251" s="12"/>
      <c r="L251" s="12"/>
      <c r="Q251" s="218"/>
      <c r="R251" s="218"/>
      <c r="S251" s="218"/>
      <c r="T251" s="218"/>
    </row>
    <row r="252">
      <c r="A252" s="272"/>
      <c r="B252" s="272"/>
      <c r="C252" s="272"/>
      <c r="D252" s="273"/>
      <c r="E252" s="274"/>
      <c r="F252" s="273"/>
      <c r="G252" s="12"/>
      <c r="J252" s="12"/>
      <c r="L252" s="12"/>
      <c r="Q252" s="218"/>
      <c r="R252" s="218"/>
      <c r="S252" s="218"/>
      <c r="T252" s="218"/>
    </row>
    <row r="253">
      <c r="A253" s="272"/>
      <c r="B253" s="272"/>
      <c r="C253" s="272"/>
      <c r="D253" s="273"/>
      <c r="E253" s="274"/>
      <c r="F253" s="273"/>
      <c r="G253" s="12"/>
      <c r="J253" s="12"/>
      <c r="L253" s="12"/>
      <c r="Q253" s="218"/>
      <c r="R253" s="218"/>
      <c r="S253" s="218"/>
      <c r="T253" s="218"/>
    </row>
    <row r="254">
      <c r="A254" s="272"/>
      <c r="B254" s="272"/>
      <c r="C254" s="272"/>
      <c r="D254" s="273"/>
      <c r="E254" s="274"/>
      <c r="F254" s="273"/>
      <c r="G254" s="12"/>
      <c r="J254" s="12"/>
      <c r="L254" s="12"/>
      <c r="Q254" s="218"/>
      <c r="R254" s="218"/>
      <c r="S254" s="218"/>
      <c r="T254" s="218"/>
    </row>
    <row r="255">
      <c r="A255" s="272"/>
      <c r="B255" s="272"/>
      <c r="C255" s="272"/>
      <c r="D255" s="273"/>
      <c r="E255" s="274"/>
      <c r="F255" s="273"/>
      <c r="G255" s="12"/>
      <c r="J255" s="12"/>
      <c r="L255" s="12"/>
      <c r="Q255" s="218"/>
      <c r="R255" s="218"/>
      <c r="S255" s="218"/>
      <c r="T255" s="218"/>
    </row>
    <row r="256">
      <c r="A256" s="272"/>
      <c r="B256" s="272"/>
      <c r="C256" s="272"/>
      <c r="D256" s="273"/>
      <c r="E256" s="274"/>
      <c r="F256" s="273"/>
      <c r="G256" s="12"/>
      <c r="J256" s="12"/>
      <c r="L256" s="12"/>
      <c r="Q256" s="218"/>
      <c r="R256" s="218"/>
      <c r="S256" s="218"/>
      <c r="T256" s="218"/>
    </row>
    <row r="257">
      <c r="A257" s="272"/>
      <c r="B257" s="272"/>
      <c r="C257" s="272"/>
      <c r="D257" s="273"/>
      <c r="E257" s="274"/>
      <c r="F257" s="273"/>
      <c r="G257" s="12"/>
      <c r="J257" s="12"/>
      <c r="L257" s="12"/>
      <c r="Q257" s="218"/>
      <c r="R257" s="218"/>
      <c r="S257" s="218"/>
      <c r="T257" s="218"/>
    </row>
    <row r="258">
      <c r="A258" s="272"/>
      <c r="B258" s="272"/>
      <c r="C258" s="272"/>
      <c r="D258" s="273"/>
      <c r="E258" s="274"/>
      <c r="F258" s="273"/>
      <c r="G258" s="12"/>
      <c r="J258" s="12"/>
      <c r="L258" s="12"/>
      <c r="Q258" s="218"/>
      <c r="R258" s="218"/>
      <c r="S258" s="218"/>
      <c r="T258" s="218"/>
    </row>
    <row r="259">
      <c r="A259" s="272"/>
      <c r="B259" s="272"/>
      <c r="C259" s="272"/>
      <c r="D259" s="273"/>
      <c r="E259" s="274"/>
      <c r="F259" s="273"/>
      <c r="G259" s="12"/>
      <c r="J259" s="12"/>
      <c r="L259" s="12"/>
      <c r="Q259" s="218"/>
      <c r="R259" s="218"/>
      <c r="S259" s="218"/>
      <c r="T259" s="218"/>
    </row>
    <row r="260">
      <c r="A260" s="272"/>
      <c r="B260" s="272"/>
      <c r="C260" s="272"/>
      <c r="D260" s="273"/>
      <c r="E260" s="274"/>
      <c r="F260" s="273"/>
      <c r="G260" s="12"/>
      <c r="J260" s="12"/>
      <c r="L260" s="12"/>
      <c r="Q260" s="218"/>
      <c r="R260" s="218"/>
      <c r="S260" s="218"/>
      <c r="T260" s="218"/>
    </row>
    <row r="261">
      <c r="A261" s="272"/>
      <c r="B261" s="272"/>
      <c r="C261" s="272"/>
      <c r="D261" s="273"/>
      <c r="E261" s="274"/>
      <c r="F261" s="273"/>
      <c r="G261" s="12"/>
      <c r="J261" s="12"/>
      <c r="L261" s="12"/>
      <c r="Q261" s="218"/>
      <c r="R261" s="218"/>
      <c r="S261" s="218"/>
      <c r="T261" s="218"/>
    </row>
    <row r="262">
      <c r="A262" s="272"/>
      <c r="B262" s="272"/>
      <c r="C262" s="272"/>
      <c r="D262" s="273"/>
      <c r="E262" s="274"/>
      <c r="F262" s="273"/>
      <c r="G262" s="12"/>
      <c r="J262" s="12"/>
      <c r="L262" s="12"/>
      <c r="Q262" s="218"/>
      <c r="R262" s="218"/>
      <c r="S262" s="218"/>
      <c r="T262" s="218"/>
    </row>
    <row r="263">
      <c r="A263" s="272"/>
      <c r="B263" s="272"/>
      <c r="C263" s="272"/>
      <c r="D263" s="273"/>
      <c r="E263" s="274"/>
      <c r="F263" s="273"/>
      <c r="G263" s="12"/>
      <c r="J263" s="12"/>
      <c r="L263" s="12"/>
      <c r="Q263" s="218"/>
      <c r="R263" s="218"/>
      <c r="S263" s="218"/>
      <c r="T263" s="218"/>
    </row>
    <row r="264">
      <c r="A264" s="272"/>
      <c r="B264" s="272"/>
      <c r="C264" s="272"/>
      <c r="D264" s="273"/>
      <c r="E264" s="274"/>
      <c r="F264" s="273"/>
      <c r="G264" s="12"/>
      <c r="J264" s="12"/>
      <c r="L264" s="12"/>
      <c r="Q264" s="218"/>
      <c r="R264" s="218"/>
      <c r="S264" s="218"/>
      <c r="T264" s="218"/>
    </row>
    <row r="265">
      <c r="A265" s="272"/>
      <c r="B265" s="272"/>
      <c r="C265" s="272"/>
      <c r="D265" s="273"/>
      <c r="E265" s="274"/>
      <c r="F265" s="273"/>
      <c r="G265" s="12"/>
      <c r="J265" s="12"/>
      <c r="L265" s="12"/>
      <c r="Q265" s="218"/>
      <c r="R265" s="218"/>
      <c r="S265" s="218"/>
      <c r="T265" s="218"/>
    </row>
    <row r="266">
      <c r="A266" s="272"/>
      <c r="B266" s="272"/>
      <c r="C266" s="272"/>
      <c r="D266" s="273"/>
      <c r="E266" s="274"/>
      <c r="F266" s="273"/>
      <c r="G266" s="12"/>
      <c r="J266" s="12"/>
      <c r="L266" s="12"/>
      <c r="Q266" s="218"/>
      <c r="R266" s="218"/>
      <c r="S266" s="218"/>
      <c r="T266" s="218"/>
    </row>
    <row r="267">
      <c r="A267" s="272"/>
      <c r="B267" s="272"/>
      <c r="C267" s="272"/>
      <c r="D267" s="273"/>
      <c r="E267" s="274"/>
      <c r="F267" s="273"/>
      <c r="G267" s="12"/>
      <c r="J267" s="12"/>
      <c r="L267" s="12"/>
      <c r="Q267" s="218"/>
      <c r="R267" s="218"/>
      <c r="S267" s="218"/>
      <c r="T267" s="218"/>
    </row>
    <row r="268">
      <c r="A268" s="272"/>
      <c r="B268" s="272"/>
      <c r="C268" s="272"/>
      <c r="D268" s="273"/>
      <c r="E268" s="274"/>
      <c r="F268" s="273"/>
      <c r="G268" s="12"/>
      <c r="J268" s="12"/>
      <c r="L268" s="12"/>
      <c r="Q268" s="218"/>
      <c r="R268" s="218"/>
      <c r="S268" s="218"/>
      <c r="T268" s="218"/>
    </row>
    <row r="269">
      <c r="A269" s="272"/>
      <c r="B269" s="272"/>
      <c r="C269" s="272"/>
      <c r="D269" s="273"/>
      <c r="E269" s="274"/>
      <c r="F269" s="273"/>
      <c r="G269" s="12"/>
      <c r="J269" s="12"/>
      <c r="L269" s="12"/>
      <c r="Q269" s="218"/>
      <c r="R269" s="218"/>
      <c r="S269" s="218"/>
      <c r="T269" s="218"/>
    </row>
    <row r="270">
      <c r="A270" s="272"/>
      <c r="B270" s="272"/>
      <c r="C270" s="272"/>
      <c r="D270" s="273"/>
      <c r="E270" s="274"/>
      <c r="F270" s="273"/>
      <c r="G270" s="12"/>
      <c r="J270" s="12"/>
      <c r="L270" s="12"/>
      <c r="Q270" s="218"/>
      <c r="R270" s="218"/>
      <c r="S270" s="218"/>
      <c r="T270" s="218"/>
    </row>
    <row r="271">
      <c r="A271" s="272"/>
      <c r="B271" s="272"/>
      <c r="C271" s="272"/>
      <c r="D271" s="273"/>
      <c r="E271" s="274"/>
      <c r="F271" s="273"/>
      <c r="G271" s="12"/>
      <c r="J271" s="12"/>
      <c r="L271" s="12"/>
      <c r="Q271" s="218"/>
      <c r="R271" s="218"/>
      <c r="S271" s="218"/>
      <c r="T271" s="218"/>
    </row>
    <row r="272">
      <c r="A272" s="272"/>
      <c r="B272" s="272"/>
      <c r="C272" s="272"/>
      <c r="D272" s="273"/>
      <c r="E272" s="274"/>
      <c r="F272" s="273"/>
      <c r="G272" s="12"/>
      <c r="J272" s="12"/>
      <c r="L272" s="12"/>
      <c r="Q272" s="218"/>
      <c r="R272" s="218"/>
      <c r="S272" s="218"/>
      <c r="T272" s="218"/>
    </row>
    <row r="273">
      <c r="A273" s="272"/>
      <c r="B273" s="272"/>
      <c r="C273" s="272"/>
      <c r="D273" s="273"/>
      <c r="E273" s="274"/>
      <c r="F273" s="273"/>
      <c r="G273" s="12"/>
      <c r="J273" s="12"/>
      <c r="L273" s="12"/>
      <c r="Q273" s="218"/>
      <c r="R273" s="218"/>
      <c r="S273" s="218"/>
      <c r="T273" s="218"/>
    </row>
    <row r="274">
      <c r="A274" s="272"/>
      <c r="B274" s="272"/>
      <c r="C274" s="272"/>
      <c r="D274" s="273"/>
      <c r="E274" s="274"/>
      <c r="F274" s="273"/>
      <c r="G274" s="12"/>
      <c r="J274" s="12"/>
      <c r="L274" s="12"/>
      <c r="Q274" s="218"/>
      <c r="R274" s="218"/>
      <c r="S274" s="218"/>
      <c r="T274" s="218"/>
    </row>
    <row r="275">
      <c r="A275" s="272"/>
      <c r="B275" s="272"/>
      <c r="C275" s="272"/>
      <c r="D275" s="273"/>
      <c r="E275" s="274"/>
      <c r="F275" s="273"/>
      <c r="G275" s="12"/>
      <c r="J275" s="12"/>
      <c r="L275" s="12"/>
      <c r="Q275" s="218"/>
      <c r="R275" s="218"/>
      <c r="S275" s="218"/>
      <c r="T275" s="218"/>
    </row>
    <row r="276">
      <c r="A276" s="272"/>
      <c r="B276" s="272"/>
      <c r="C276" s="272"/>
      <c r="D276" s="273"/>
      <c r="E276" s="274"/>
      <c r="F276" s="273"/>
      <c r="G276" s="12"/>
      <c r="J276" s="12"/>
      <c r="L276" s="12"/>
      <c r="Q276" s="218"/>
      <c r="R276" s="218"/>
      <c r="S276" s="218"/>
      <c r="T276" s="218"/>
    </row>
    <row r="277">
      <c r="A277" s="272"/>
      <c r="B277" s="272"/>
      <c r="C277" s="272"/>
      <c r="D277" s="273"/>
      <c r="E277" s="274"/>
      <c r="F277" s="273"/>
      <c r="G277" s="12"/>
      <c r="J277" s="12"/>
      <c r="L277" s="12"/>
      <c r="Q277" s="218"/>
      <c r="R277" s="218"/>
      <c r="S277" s="218"/>
      <c r="T277" s="218"/>
    </row>
    <row r="278">
      <c r="A278" s="272"/>
      <c r="B278" s="272"/>
      <c r="C278" s="272"/>
      <c r="D278" s="273"/>
      <c r="E278" s="274"/>
      <c r="F278" s="273"/>
      <c r="G278" s="12"/>
      <c r="J278" s="12"/>
      <c r="L278" s="12"/>
      <c r="Q278" s="218"/>
      <c r="R278" s="218"/>
      <c r="S278" s="218"/>
      <c r="T278" s="218"/>
    </row>
    <row r="279">
      <c r="A279" s="272"/>
      <c r="B279" s="272"/>
      <c r="C279" s="272"/>
      <c r="D279" s="273"/>
      <c r="E279" s="274"/>
      <c r="F279" s="273"/>
      <c r="G279" s="12"/>
      <c r="J279" s="12"/>
      <c r="L279" s="12"/>
      <c r="Q279" s="218"/>
      <c r="R279" s="218"/>
      <c r="S279" s="218"/>
      <c r="T279" s="218"/>
    </row>
    <row r="280">
      <c r="A280" s="272"/>
      <c r="B280" s="272"/>
      <c r="C280" s="272"/>
      <c r="D280" s="273"/>
      <c r="E280" s="274"/>
      <c r="F280" s="273"/>
      <c r="G280" s="12"/>
      <c r="J280" s="12"/>
      <c r="L280" s="12"/>
      <c r="Q280" s="218"/>
      <c r="R280" s="218"/>
      <c r="S280" s="218"/>
      <c r="T280" s="218"/>
    </row>
    <row r="281">
      <c r="A281" s="272"/>
      <c r="B281" s="272"/>
      <c r="C281" s="272"/>
      <c r="D281" s="273"/>
      <c r="E281" s="274"/>
      <c r="F281" s="273"/>
      <c r="G281" s="12"/>
      <c r="J281" s="12"/>
      <c r="L281" s="12"/>
      <c r="Q281" s="218"/>
      <c r="R281" s="218"/>
      <c r="S281" s="218"/>
      <c r="T281" s="218"/>
    </row>
    <row r="282">
      <c r="A282" s="272"/>
      <c r="B282" s="272"/>
      <c r="C282" s="272"/>
      <c r="D282" s="273"/>
      <c r="E282" s="274"/>
      <c r="F282" s="273"/>
      <c r="G282" s="12"/>
      <c r="J282" s="12"/>
      <c r="L282" s="12"/>
      <c r="Q282" s="218"/>
      <c r="R282" s="218"/>
      <c r="S282" s="218"/>
      <c r="T282" s="218"/>
    </row>
    <row r="283">
      <c r="A283" s="272"/>
      <c r="B283" s="272"/>
      <c r="C283" s="272"/>
      <c r="D283" s="273"/>
      <c r="E283" s="274"/>
      <c r="F283" s="273"/>
      <c r="G283" s="12"/>
      <c r="J283" s="12"/>
      <c r="L283" s="12"/>
      <c r="Q283" s="218"/>
      <c r="R283" s="218"/>
      <c r="S283" s="218"/>
      <c r="T283" s="218"/>
    </row>
    <row r="284">
      <c r="A284" s="272"/>
      <c r="B284" s="272"/>
      <c r="C284" s="272"/>
      <c r="D284" s="273"/>
      <c r="E284" s="274"/>
      <c r="F284" s="273"/>
      <c r="G284" s="12"/>
      <c r="J284" s="12"/>
      <c r="L284" s="12"/>
      <c r="Q284" s="218"/>
      <c r="R284" s="218"/>
      <c r="S284" s="218"/>
      <c r="T284" s="218"/>
    </row>
    <row r="285">
      <c r="D285" s="3"/>
      <c r="E285" s="112"/>
      <c r="F285" s="3"/>
      <c r="G285" s="12"/>
      <c r="J285" s="12"/>
      <c r="L285" s="12"/>
      <c r="Q285" s="218"/>
      <c r="R285" s="218"/>
      <c r="S285" s="218"/>
      <c r="T285" s="218"/>
    </row>
    <row r="286">
      <c r="D286" s="3"/>
      <c r="E286" s="112"/>
      <c r="F286" s="3"/>
      <c r="G286" s="12"/>
      <c r="J286" s="12"/>
      <c r="L286" s="12"/>
      <c r="Q286" s="218"/>
      <c r="R286" s="218"/>
      <c r="S286" s="218"/>
      <c r="T286" s="218"/>
    </row>
    <row r="287">
      <c r="D287" s="3"/>
      <c r="E287" s="112"/>
      <c r="F287" s="3"/>
      <c r="G287" s="12"/>
      <c r="J287" s="12"/>
      <c r="L287" s="12"/>
      <c r="Q287" s="218"/>
      <c r="R287" s="218"/>
      <c r="S287" s="218"/>
      <c r="T287" s="218"/>
    </row>
    <row r="288">
      <c r="D288" s="3"/>
      <c r="E288" s="112"/>
      <c r="F288" s="3"/>
      <c r="G288" s="12"/>
      <c r="J288" s="12"/>
      <c r="L288" s="12"/>
      <c r="Q288" s="218"/>
      <c r="R288" s="218"/>
      <c r="S288" s="218"/>
      <c r="T288" s="218"/>
    </row>
    <row r="289">
      <c r="D289" s="3"/>
      <c r="E289" s="112"/>
      <c r="F289" s="3"/>
      <c r="G289" s="12"/>
      <c r="J289" s="12"/>
      <c r="L289" s="12"/>
      <c r="Q289" s="218"/>
      <c r="R289" s="218"/>
      <c r="S289" s="218"/>
      <c r="T289" s="218"/>
    </row>
    <row r="290">
      <c r="D290" s="3"/>
      <c r="E290" s="112"/>
      <c r="F290" s="3"/>
      <c r="G290" s="12"/>
      <c r="J290" s="12"/>
      <c r="L290" s="12"/>
      <c r="Q290" s="218"/>
      <c r="R290" s="218"/>
      <c r="S290" s="218"/>
      <c r="T290" s="218"/>
    </row>
    <row r="291">
      <c r="D291" s="3"/>
      <c r="E291" s="112"/>
      <c r="F291" s="3"/>
      <c r="G291" s="12"/>
      <c r="J291" s="12"/>
      <c r="L291" s="12"/>
      <c r="Q291" s="218"/>
      <c r="R291" s="218"/>
      <c r="S291" s="218"/>
      <c r="T291" s="218"/>
    </row>
    <row r="292">
      <c r="D292" s="3"/>
      <c r="E292" s="112"/>
      <c r="F292" s="3"/>
      <c r="G292" s="12"/>
      <c r="J292" s="12"/>
      <c r="L292" s="12"/>
      <c r="Q292" s="218"/>
      <c r="R292" s="218"/>
      <c r="S292" s="218"/>
      <c r="T292" s="218"/>
    </row>
    <row r="293">
      <c r="D293" s="3"/>
      <c r="E293" s="112"/>
      <c r="F293" s="3"/>
      <c r="G293" s="12"/>
      <c r="J293" s="12"/>
      <c r="L293" s="12"/>
      <c r="Q293" s="218"/>
      <c r="R293" s="218"/>
      <c r="S293" s="218"/>
      <c r="T293" s="218"/>
    </row>
    <row r="294">
      <c r="D294" s="3"/>
      <c r="E294" s="112"/>
      <c r="F294" s="3"/>
      <c r="G294" s="12"/>
      <c r="J294" s="12"/>
      <c r="L294" s="12"/>
      <c r="Q294" s="218"/>
      <c r="R294" s="218"/>
      <c r="S294" s="218"/>
      <c r="T294" s="218"/>
    </row>
    <row r="295">
      <c r="D295" s="3"/>
      <c r="E295" s="112"/>
      <c r="F295" s="3"/>
      <c r="G295" s="12"/>
      <c r="J295" s="12"/>
      <c r="L295" s="12"/>
      <c r="Q295" s="218"/>
      <c r="R295" s="218"/>
      <c r="S295" s="218"/>
      <c r="T295" s="218"/>
    </row>
    <row r="296">
      <c r="D296" s="3"/>
      <c r="E296" s="112"/>
      <c r="F296" s="3"/>
      <c r="G296" s="12"/>
      <c r="J296" s="12"/>
      <c r="L296" s="12"/>
      <c r="Q296" s="218"/>
      <c r="R296" s="218"/>
      <c r="S296" s="218"/>
      <c r="T296" s="218"/>
    </row>
    <row r="297">
      <c r="D297" s="3"/>
      <c r="E297" s="112"/>
      <c r="F297" s="3"/>
      <c r="G297" s="12"/>
      <c r="J297" s="12"/>
      <c r="L297" s="12"/>
      <c r="Q297" s="218"/>
      <c r="R297" s="218"/>
      <c r="S297" s="218"/>
      <c r="T297" s="218"/>
    </row>
    <row r="298">
      <c r="D298" s="3"/>
      <c r="E298" s="112"/>
      <c r="F298" s="3"/>
      <c r="G298" s="12"/>
      <c r="J298" s="12"/>
      <c r="L298" s="12"/>
      <c r="Q298" s="218"/>
      <c r="R298" s="218"/>
      <c r="S298" s="218"/>
      <c r="T298" s="218"/>
    </row>
    <row r="299">
      <c r="D299" s="3"/>
      <c r="E299" s="112"/>
      <c r="F299" s="3"/>
      <c r="G299" s="12"/>
      <c r="J299" s="12"/>
      <c r="L299" s="12"/>
      <c r="Q299" s="218"/>
      <c r="R299" s="218"/>
      <c r="S299" s="218"/>
      <c r="T299" s="218"/>
    </row>
    <row r="300">
      <c r="D300" s="3"/>
      <c r="E300" s="112"/>
      <c r="F300" s="3"/>
      <c r="G300" s="12"/>
      <c r="J300" s="12"/>
      <c r="L300" s="12"/>
      <c r="Q300" s="218"/>
      <c r="R300" s="218"/>
      <c r="S300" s="218"/>
      <c r="T300" s="218"/>
    </row>
    <row r="301">
      <c r="D301" s="3"/>
      <c r="E301" s="112"/>
      <c r="F301" s="3"/>
      <c r="G301" s="12"/>
      <c r="J301" s="12"/>
      <c r="L301" s="12"/>
      <c r="Q301" s="218"/>
      <c r="R301" s="218"/>
      <c r="S301" s="218"/>
      <c r="T301" s="218"/>
    </row>
    <row r="302">
      <c r="D302" s="3"/>
      <c r="E302" s="112"/>
      <c r="F302" s="3"/>
      <c r="G302" s="12"/>
      <c r="J302" s="12"/>
      <c r="L302" s="12"/>
      <c r="Q302" s="218"/>
      <c r="R302" s="218"/>
      <c r="S302" s="218"/>
      <c r="T302" s="218"/>
    </row>
    <row r="303">
      <c r="D303" s="3"/>
      <c r="E303" s="112"/>
      <c r="F303" s="3"/>
      <c r="G303" s="12"/>
      <c r="J303" s="12"/>
      <c r="L303" s="12"/>
      <c r="Q303" s="218"/>
      <c r="R303" s="218"/>
      <c r="S303" s="218"/>
      <c r="T303" s="218"/>
    </row>
    <row r="304">
      <c r="D304" s="3"/>
      <c r="E304" s="112"/>
      <c r="F304" s="3"/>
      <c r="G304" s="12"/>
      <c r="J304" s="12"/>
      <c r="L304" s="12"/>
      <c r="Q304" s="218"/>
      <c r="R304" s="218"/>
      <c r="S304" s="218"/>
      <c r="T304" s="218"/>
    </row>
    <row r="305">
      <c r="D305" s="3"/>
      <c r="E305" s="112"/>
      <c r="F305" s="3"/>
      <c r="G305" s="12"/>
      <c r="J305" s="12"/>
      <c r="L305" s="12"/>
      <c r="Q305" s="218"/>
      <c r="R305" s="218"/>
      <c r="S305" s="218"/>
      <c r="T305" s="218"/>
    </row>
    <row r="306">
      <c r="D306" s="3"/>
      <c r="E306" s="112"/>
      <c r="F306" s="3"/>
      <c r="G306" s="12"/>
      <c r="J306" s="12"/>
      <c r="L306" s="12"/>
      <c r="Q306" s="218"/>
      <c r="R306" s="218"/>
      <c r="S306" s="218"/>
      <c r="T306" s="218"/>
    </row>
    <row r="307">
      <c r="D307" s="3"/>
      <c r="E307" s="112"/>
      <c r="F307" s="3"/>
      <c r="G307" s="12"/>
      <c r="J307" s="12"/>
      <c r="L307" s="12"/>
      <c r="Q307" s="218"/>
      <c r="R307" s="218"/>
      <c r="S307" s="218"/>
      <c r="T307" s="218"/>
    </row>
    <row r="308">
      <c r="D308" s="3"/>
      <c r="E308" s="112"/>
      <c r="F308" s="3"/>
      <c r="G308" s="12"/>
      <c r="J308" s="12"/>
      <c r="L308" s="12"/>
      <c r="Q308" s="218"/>
      <c r="R308" s="218"/>
      <c r="S308" s="218"/>
      <c r="T308" s="218"/>
    </row>
    <row r="309">
      <c r="D309" s="3"/>
      <c r="E309" s="112"/>
      <c r="F309" s="3"/>
      <c r="G309" s="12"/>
      <c r="J309" s="12"/>
      <c r="L309" s="12"/>
      <c r="Q309" s="218"/>
      <c r="R309" s="218"/>
      <c r="S309" s="218"/>
      <c r="T309" s="218"/>
    </row>
    <row r="310">
      <c r="D310" s="3"/>
      <c r="E310" s="112"/>
      <c r="F310" s="3"/>
      <c r="G310" s="12"/>
      <c r="J310" s="12"/>
      <c r="L310" s="12"/>
      <c r="Q310" s="218"/>
      <c r="R310" s="218"/>
      <c r="S310" s="218"/>
      <c r="T310" s="218"/>
    </row>
    <row r="311">
      <c r="D311" s="3"/>
      <c r="E311" s="112"/>
      <c r="F311" s="3"/>
      <c r="G311" s="12"/>
      <c r="J311" s="12"/>
      <c r="L311" s="12"/>
      <c r="Q311" s="218"/>
      <c r="R311" s="218"/>
      <c r="S311" s="218"/>
      <c r="T311" s="218"/>
    </row>
    <row r="312">
      <c r="D312" s="3"/>
      <c r="E312" s="112"/>
      <c r="F312" s="3"/>
      <c r="G312" s="12"/>
      <c r="J312" s="12"/>
      <c r="L312" s="12"/>
      <c r="Q312" s="218"/>
      <c r="R312" s="218"/>
      <c r="S312" s="218"/>
      <c r="T312" s="218"/>
    </row>
    <row r="313">
      <c r="D313" s="3"/>
      <c r="E313" s="112"/>
      <c r="F313" s="3"/>
      <c r="G313" s="12"/>
      <c r="J313" s="12"/>
      <c r="L313" s="12"/>
      <c r="Q313" s="218"/>
      <c r="R313" s="218"/>
      <c r="S313" s="218"/>
      <c r="T313" s="218"/>
    </row>
    <row r="314">
      <c r="D314" s="3"/>
      <c r="E314" s="112"/>
      <c r="F314" s="3"/>
      <c r="G314" s="12"/>
      <c r="J314" s="12"/>
      <c r="L314" s="12"/>
      <c r="Q314" s="218"/>
      <c r="R314" s="218"/>
      <c r="S314" s="218"/>
      <c r="T314" s="218"/>
    </row>
    <row r="315">
      <c r="D315" s="3"/>
      <c r="E315" s="112"/>
      <c r="F315" s="3"/>
      <c r="G315" s="12"/>
      <c r="J315" s="12"/>
      <c r="L315" s="12"/>
      <c r="Q315" s="218"/>
      <c r="R315" s="218"/>
      <c r="S315" s="218"/>
      <c r="T315" s="218"/>
    </row>
    <row r="316">
      <c r="D316" s="3"/>
      <c r="E316" s="112"/>
      <c r="F316" s="3"/>
      <c r="G316" s="12"/>
      <c r="J316" s="12"/>
      <c r="L316" s="12"/>
      <c r="Q316" s="218"/>
      <c r="R316" s="218"/>
      <c r="S316" s="218"/>
      <c r="T316" s="218"/>
    </row>
    <row r="317">
      <c r="D317" s="3"/>
      <c r="E317" s="112"/>
      <c r="F317" s="3"/>
      <c r="G317" s="12"/>
      <c r="J317" s="12"/>
      <c r="L317" s="12"/>
      <c r="Q317" s="218"/>
      <c r="R317" s="218"/>
      <c r="S317" s="218"/>
      <c r="T317" s="218"/>
    </row>
    <row r="318">
      <c r="D318" s="3"/>
      <c r="E318" s="112"/>
      <c r="F318" s="3"/>
      <c r="G318" s="12"/>
      <c r="J318" s="12"/>
      <c r="L318" s="12"/>
      <c r="Q318" s="218"/>
      <c r="R318" s="218"/>
      <c r="S318" s="218"/>
      <c r="T318" s="218"/>
    </row>
    <row r="319">
      <c r="D319" s="3"/>
      <c r="E319" s="112"/>
      <c r="F319" s="3"/>
      <c r="G319" s="12"/>
      <c r="J319" s="12"/>
      <c r="L319" s="12"/>
      <c r="Q319" s="218"/>
      <c r="R319" s="218"/>
      <c r="S319" s="218"/>
      <c r="T319" s="218"/>
    </row>
    <row r="320">
      <c r="D320" s="3"/>
      <c r="E320" s="112"/>
      <c r="F320" s="3"/>
      <c r="G320" s="12"/>
      <c r="J320" s="12"/>
      <c r="L320" s="12"/>
      <c r="Q320" s="218"/>
      <c r="R320" s="218"/>
      <c r="S320" s="218"/>
      <c r="T320" s="218"/>
    </row>
    <row r="321">
      <c r="D321" s="3"/>
      <c r="E321" s="112"/>
      <c r="F321" s="3"/>
      <c r="G321" s="12"/>
      <c r="J321" s="12"/>
      <c r="L321" s="12"/>
      <c r="Q321" s="218"/>
      <c r="R321" s="218"/>
      <c r="S321" s="218"/>
      <c r="T321" s="218"/>
    </row>
    <row r="322">
      <c r="D322" s="3"/>
      <c r="E322" s="112"/>
      <c r="F322" s="3"/>
      <c r="G322" s="12"/>
      <c r="J322" s="12"/>
      <c r="L322" s="12"/>
      <c r="Q322" s="218"/>
      <c r="R322" s="218"/>
      <c r="S322" s="218"/>
      <c r="T322" s="218"/>
    </row>
    <row r="323">
      <c r="D323" s="3"/>
      <c r="E323" s="112"/>
      <c r="F323" s="3"/>
      <c r="G323" s="12"/>
      <c r="J323" s="12"/>
      <c r="L323" s="12"/>
      <c r="Q323" s="218"/>
      <c r="R323" s="218"/>
      <c r="S323" s="218"/>
      <c r="T323" s="218"/>
    </row>
    <row r="324">
      <c r="D324" s="3"/>
      <c r="E324" s="112"/>
      <c r="F324" s="3"/>
      <c r="G324" s="12"/>
      <c r="J324" s="12"/>
      <c r="L324" s="12"/>
      <c r="Q324" s="218"/>
      <c r="R324" s="218"/>
      <c r="S324" s="218"/>
      <c r="T324" s="218"/>
    </row>
    <row r="325">
      <c r="D325" s="3"/>
      <c r="E325" s="112"/>
      <c r="F325" s="3"/>
      <c r="G325" s="12"/>
      <c r="J325" s="12"/>
      <c r="L325" s="12"/>
      <c r="Q325" s="218"/>
      <c r="R325" s="218"/>
      <c r="S325" s="218"/>
      <c r="T325" s="218"/>
    </row>
    <row r="326">
      <c r="D326" s="3"/>
      <c r="E326" s="112"/>
      <c r="F326" s="3"/>
      <c r="G326" s="12"/>
      <c r="J326" s="12"/>
      <c r="L326" s="12"/>
      <c r="Q326" s="218"/>
      <c r="R326" s="218"/>
      <c r="S326" s="218"/>
      <c r="T326" s="218"/>
    </row>
    <row r="327">
      <c r="D327" s="3"/>
      <c r="E327" s="112"/>
      <c r="F327" s="3"/>
      <c r="G327" s="12"/>
      <c r="J327" s="12"/>
      <c r="L327" s="12"/>
      <c r="Q327" s="218"/>
      <c r="R327" s="218"/>
      <c r="S327" s="218"/>
      <c r="T327" s="218"/>
    </row>
    <row r="328">
      <c r="D328" s="3"/>
      <c r="E328" s="112"/>
      <c r="F328" s="3"/>
      <c r="G328" s="12"/>
      <c r="J328" s="12"/>
      <c r="L328" s="12"/>
      <c r="Q328" s="218"/>
      <c r="R328" s="218"/>
      <c r="S328" s="218"/>
      <c r="T328" s="218"/>
    </row>
    <row r="329">
      <c r="D329" s="3"/>
      <c r="E329" s="112"/>
      <c r="F329" s="3"/>
      <c r="G329" s="12"/>
      <c r="J329" s="12"/>
      <c r="L329" s="12"/>
      <c r="Q329" s="218"/>
      <c r="R329" s="218"/>
      <c r="S329" s="218"/>
      <c r="T329" s="218"/>
    </row>
    <row r="330">
      <c r="D330" s="3"/>
      <c r="E330" s="112"/>
      <c r="F330" s="3"/>
      <c r="G330" s="12"/>
      <c r="J330" s="12"/>
      <c r="L330" s="12"/>
      <c r="Q330" s="218"/>
      <c r="R330" s="218"/>
      <c r="S330" s="218"/>
      <c r="T330" s="218"/>
    </row>
    <row r="331">
      <c r="D331" s="3"/>
      <c r="E331" s="112"/>
      <c r="F331" s="3"/>
      <c r="G331" s="12"/>
      <c r="J331" s="12"/>
      <c r="L331" s="12"/>
      <c r="Q331" s="218"/>
      <c r="R331" s="218"/>
      <c r="S331" s="218"/>
      <c r="T331" s="218"/>
    </row>
    <row r="332">
      <c r="D332" s="3"/>
      <c r="E332" s="112"/>
      <c r="F332" s="3"/>
      <c r="G332" s="12"/>
      <c r="J332" s="12"/>
      <c r="L332" s="12"/>
      <c r="Q332" s="218"/>
      <c r="R332" s="218"/>
      <c r="S332" s="218"/>
      <c r="T332" s="218"/>
    </row>
    <row r="333">
      <c r="D333" s="3"/>
      <c r="E333" s="112"/>
      <c r="F333" s="3"/>
      <c r="G333" s="12"/>
      <c r="J333" s="12"/>
      <c r="L333" s="12"/>
      <c r="Q333" s="218"/>
      <c r="R333" s="218"/>
      <c r="S333" s="218"/>
      <c r="T333" s="218"/>
    </row>
    <row r="334">
      <c r="D334" s="3"/>
      <c r="E334" s="112"/>
      <c r="F334" s="3"/>
      <c r="G334" s="12"/>
      <c r="J334" s="12"/>
      <c r="L334" s="12"/>
      <c r="Q334" s="218"/>
      <c r="R334" s="218"/>
      <c r="S334" s="218"/>
      <c r="T334" s="218"/>
    </row>
    <row r="335">
      <c r="D335" s="3"/>
      <c r="E335" s="112"/>
      <c r="F335" s="3"/>
      <c r="G335" s="12"/>
      <c r="J335" s="12"/>
      <c r="L335" s="12"/>
      <c r="Q335" s="218"/>
      <c r="R335" s="218"/>
      <c r="S335" s="218"/>
      <c r="T335" s="218"/>
    </row>
    <row r="336">
      <c r="D336" s="3"/>
      <c r="E336" s="112"/>
      <c r="F336" s="3"/>
      <c r="G336" s="12"/>
      <c r="J336" s="12"/>
      <c r="L336" s="12"/>
      <c r="Q336" s="218"/>
      <c r="R336" s="218"/>
      <c r="S336" s="218"/>
      <c r="T336" s="218"/>
    </row>
    <row r="337">
      <c r="D337" s="3"/>
      <c r="E337" s="112"/>
      <c r="F337" s="3"/>
      <c r="G337" s="12"/>
      <c r="J337" s="12"/>
      <c r="L337" s="12"/>
      <c r="Q337" s="218"/>
      <c r="R337" s="218"/>
      <c r="S337" s="218"/>
      <c r="T337" s="218"/>
    </row>
    <row r="338">
      <c r="D338" s="3"/>
      <c r="E338" s="112"/>
      <c r="F338" s="3"/>
      <c r="G338" s="12"/>
      <c r="J338" s="12"/>
      <c r="L338" s="12"/>
      <c r="Q338" s="218"/>
      <c r="R338" s="218"/>
      <c r="S338" s="218"/>
      <c r="T338" s="218"/>
    </row>
    <row r="339">
      <c r="D339" s="3"/>
      <c r="E339" s="112"/>
      <c r="F339" s="3"/>
      <c r="G339" s="12"/>
      <c r="J339" s="12"/>
      <c r="L339" s="12"/>
      <c r="Q339" s="218"/>
      <c r="R339" s="218"/>
      <c r="S339" s="218"/>
      <c r="T339" s="218"/>
    </row>
    <row r="340">
      <c r="D340" s="3"/>
      <c r="E340" s="112"/>
      <c r="F340" s="3"/>
      <c r="G340" s="12"/>
      <c r="J340" s="12"/>
      <c r="L340" s="12"/>
      <c r="Q340" s="218"/>
      <c r="R340" s="218"/>
      <c r="S340" s="218"/>
      <c r="T340" s="218"/>
    </row>
    <row r="341">
      <c r="D341" s="3"/>
      <c r="E341" s="112"/>
      <c r="F341" s="3"/>
      <c r="G341" s="12"/>
      <c r="J341" s="12"/>
      <c r="L341" s="12"/>
      <c r="Q341" s="218"/>
      <c r="R341" s="218"/>
      <c r="S341" s="218"/>
      <c r="T341" s="218"/>
    </row>
    <row r="342">
      <c r="D342" s="3"/>
      <c r="E342" s="112"/>
      <c r="F342" s="3"/>
      <c r="G342" s="12"/>
      <c r="J342" s="12"/>
      <c r="L342" s="12"/>
      <c r="Q342" s="218"/>
      <c r="R342" s="218"/>
      <c r="S342" s="218"/>
      <c r="T342" s="218"/>
    </row>
    <row r="343">
      <c r="D343" s="3"/>
      <c r="E343" s="112"/>
      <c r="F343" s="3"/>
      <c r="G343" s="12"/>
      <c r="J343" s="12"/>
      <c r="L343" s="12"/>
      <c r="Q343" s="218"/>
      <c r="R343" s="218"/>
      <c r="S343" s="218"/>
      <c r="T343" s="218"/>
    </row>
    <row r="344">
      <c r="D344" s="3"/>
      <c r="E344" s="112"/>
      <c r="F344" s="3"/>
      <c r="G344" s="12"/>
      <c r="J344" s="12"/>
      <c r="L344" s="12"/>
      <c r="Q344" s="218"/>
      <c r="R344" s="218"/>
      <c r="S344" s="218"/>
      <c r="T344" s="218"/>
    </row>
    <row r="345">
      <c r="D345" s="3"/>
      <c r="E345" s="112"/>
      <c r="F345" s="3"/>
      <c r="G345" s="12"/>
      <c r="J345" s="12"/>
      <c r="L345" s="12"/>
      <c r="Q345" s="218"/>
      <c r="R345" s="218"/>
      <c r="S345" s="218"/>
      <c r="T345" s="218"/>
    </row>
    <row r="346">
      <c r="D346" s="3"/>
      <c r="E346" s="112"/>
      <c r="F346" s="3"/>
      <c r="G346" s="12"/>
      <c r="J346" s="12"/>
      <c r="L346" s="12"/>
      <c r="Q346" s="218"/>
      <c r="R346" s="218"/>
      <c r="S346" s="218"/>
      <c r="T346" s="218"/>
    </row>
    <row r="347">
      <c r="D347" s="3"/>
      <c r="E347" s="112"/>
      <c r="F347" s="3"/>
      <c r="G347" s="12"/>
      <c r="J347" s="12"/>
      <c r="L347" s="12"/>
      <c r="Q347" s="218"/>
      <c r="R347" s="218"/>
      <c r="S347" s="218"/>
      <c r="T347" s="218"/>
    </row>
    <row r="348">
      <c r="D348" s="3"/>
      <c r="E348" s="112"/>
      <c r="F348" s="3"/>
      <c r="G348" s="12"/>
      <c r="J348" s="12"/>
      <c r="L348" s="12"/>
      <c r="Q348" s="218"/>
      <c r="R348" s="218"/>
      <c r="S348" s="218"/>
      <c r="T348" s="218"/>
    </row>
    <row r="349">
      <c r="D349" s="3"/>
      <c r="E349" s="112"/>
      <c r="F349" s="3"/>
      <c r="G349" s="12"/>
      <c r="J349" s="12"/>
      <c r="L349" s="12"/>
      <c r="Q349" s="218"/>
      <c r="R349" s="218"/>
      <c r="S349" s="218"/>
      <c r="T349" s="218"/>
    </row>
    <row r="350">
      <c r="D350" s="3"/>
      <c r="E350" s="112"/>
      <c r="F350" s="3"/>
      <c r="G350" s="12"/>
      <c r="J350" s="12"/>
      <c r="L350" s="12"/>
      <c r="Q350" s="218"/>
      <c r="R350" s="218"/>
      <c r="S350" s="218"/>
      <c r="T350" s="218"/>
    </row>
    <row r="351">
      <c r="D351" s="3"/>
      <c r="E351" s="112"/>
      <c r="F351" s="3"/>
      <c r="G351" s="12"/>
      <c r="J351" s="12"/>
      <c r="L351" s="12"/>
      <c r="Q351" s="218"/>
      <c r="R351" s="218"/>
      <c r="S351" s="218"/>
      <c r="T351" s="218"/>
    </row>
    <row r="352">
      <c r="D352" s="3"/>
      <c r="E352" s="112"/>
      <c r="F352" s="3"/>
      <c r="G352" s="12"/>
      <c r="J352" s="12"/>
      <c r="L352" s="12"/>
      <c r="Q352" s="218"/>
      <c r="R352" s="218"/>
      <c r="S352" s="218"/>
      <c r="T352" s="218"/>
    </row>
    <row r="353">
      <c r="D353" s="3"/>
      <c r="E353" s="112"/>
      <c r="F353" s="3"/>
      <c r="G353" s="12"/>
      <c r="J353" s="12"/>
      <c r="L353" s="12"/>
      <c r="Q353" s="218"/>
      <c r="R353" s="218"/>
      <c r="S353" s="218"/>
      <c r="T353" s="218"/>
    </row>
    <row r="354">
      <c r="D354" s="3"/>
      <c r="E354" s="112"/>
      <c r="F354" s="3"/>
      <c r="G354" s="12"/>
      <c r="J354" s="12"/>
      <c r="L354" s="12"/>
      <c r="Q354" s="218"/>
      <c r="R354" s="218"/>
      <c r="S354" s="218"/>
      <c r="T354" s="218"/>
    </row>
    <row r="355">
      <c r="D355" s="3"/>
      <c r="E355" s="112"/>
      <c r="F355" s="3"/>
      <c r="G355" s="12"/>
      <c r="J355" s="12"/>
      <c r="L355" s="12"/>
      <c r="Q355" s="218"/>
      <c r="R355" s="218"/>
      <c r="S355" s="218"/>
      <c r="T355" s="218"/>
    </row>
    <row r="356">
      <c r="D356" s="3"/>
      <c r="E356" s="112"/>
      <c r="F356" s="3"/>
      <c r="G356" s="12"/>
      <c r="J356" s="12"/>
      <c r="L356" s="12"/>
      <c r="Q356" s="218"/>
      <c r="R356" s="218"/>
      <c r="S356" s="218"/>
      <c r="T356" s="218"/>
    </row>
    <row r="357">
      <c r="D357" s="3"/>
      <c r="E357" s="112"/>
      <c r="F357" s="3"/>
      <c r="G357" s="12"/>
      <c r="J357" s="12"/>
      <c r="L357" s="12"/>
      <c r="Q357" s="218"/>
      <c r="R357" s="218"/>
      <c r="S357" s="218"/>
      <c r="T357" s="218"/>
    </row>
    <row r="358">
      <c r="D358" s="3"/>
      <c r="E358" s="112"/>
      <c r="F358" s="3"/>
      <c r="G358" s="12"/>
      <c r="J358" s="12"/>
      <c r="L358" s="12"/>
      <c r="Q358" s="218"/>
      <c r="R358" s="218"/>
      <c r="S358" s="218"/>
      <c r="T358" s="218"/>
    </row>
    <row r="359">
      <c r="D359" s="3"/>
      <c r="E359" s="112"/>
      <c r="F359" s="3"/>
      <c r="G359" s="12"/>
      <c r="J359" s="12"/>
      <c r="L359" s="12"/>
      <c r="Q359" s="218"/>
      <c r="R359" s="218"/>
      <c r="S359" s="218"/>
      <c r="T359" s="218"/>
    </row>
    <row r="360">
      <c r="D360" s="3"/>
      <c r="E360" s="112"/>
      <c r="F360" s="3"/>
      <c r="G360" s="12"/>
      <c r="J360" s="12"/>
      <c r="L360" s="12"/>
      <c r="Q360" s="218"/>
      <c r="R360" s="218"/>
      <c r="S360" s="218"/>
      <c r="T360" s="218"/>
    </row>
    <row r="361">
      <c r="D361" s="3"/>
      <c r="E361" s="112"/>
      <c r="F361" s="3"/>
      <c r="G361" s="12"/>
      <c r="J361" s="12"/>
      <c r="L361" s="12"/>
      <c r="Q361" s="218"/>
      <c r="R361" s="218"/>
      <c r="S361" s="218"/>
      <c r="T361" s="218"/>
    </row>
    <row r="362">
      <c r="D362" s="3"/>
      <c r="E362" s="112"/>
      <c r="F362" s="3"/>
      <c r="G362" s="12"/>
      <c r="J362" s="12"/>
      <c r="L362" s="12"/>
      <c r="Q362" s="218"/>
      <c r="R362" s="218"/>
      <c r="S362" s="218"/>
      <c r="T362" s="218"/>
    </row>
    <row r="363">
      <c r="D363" s="3"/>
      <c r="E363" s="112"/>
      <c r="F363" s="3"/>
      <c r="G363" s="12"/>
      <c r="J363" s="12"/>
      <c r="L363" s="12"/>
      <c r="Q363" s="218"/>
      <c r="R363" s="218"/>
      <c r="S363" s="218"/>
      <c r="T363" s="218"/>
    </row>
    <row r="364">
      <c r="D364" s="3"/>
      <c r="E364" s="112"/>
      <c r="F364" s="3"/>
      <c r="G364" s="12"/>
      <c r="J364" s="12"/>
      <c r="L364" s="12"/>
      <c r="Q364" s="218"/>
      <c r="R364" s="218"/>
      <c r="S364" s="218"/>
      <c r="T364" s="218"/>
    </row>
    <row r="365">
      <c r="D365" s="3"/>
      <c r="E365" s="112"/>
      <c r="F365" s="3"/>
      <c r="G365" s="12"/>
      <c r="J365" s="12"/>
      <c r="L365" s="12"/>
      <c r="Q365" s="218"/>
      <c r="R365" s="218"/>
      <c r="S365" s="218"/>
      <c r="T365" s="218"/>
    </row>
    <row r="366">
      <c r="D366" s="3"/>
      <c r="E366" s="112"/>
      <c r="F366" s="3"/>
      <c r="G366" s="12"/>
      <c r="J366" s="12"/>
      <c r="L366" s="12"/>
      <c r="Q366" s="218"/>
      <c r="R366" s="218"/>
      <c r="S366" s="218"/>
      <c r="T366" s="218"/>
    </row>
    <row r="367">
      <c r="D367" s="3"/>
      <c r="E367" s="112"/>
      <c r="F367" s="3"/>
      <c r="G367" s="12"/>
      <c r="J367" s="12"/>
      <c r="L367" s="12"/>
      <c r="Q367" s="218"/>
      <c r="R367" s="218"/>
      <c r="S367" s="218"/>
      <c r="T367" s="218"/>
    </row>
    <row r="368">
      <c r="D368" s="3"/>
      <c r="E368" s="112"/>
      <c r="F368" s="3"/>
      <c r="G368" s="12"/>
      <c r="J368" s="12"/>
      <c r="L368" s="12"/>
      <c r="Q368" s="218"/>
      <c r="R368" s="218"/>
      <c r="S368" s="218"/>
      <c r="T368" s="218"/>
    </row>
    <row r="369">
      <c r="D369" s="3"/>
      <c r="E369" s="112"/>
      <c r="F369" s="3"/>
      <c r="G369" s="12"/>
      <c r="J369" s="12"/>
      <c r="L369" s="12"/>
      <c r="Q369" s="218"/>
      <c r="R369" s="218"/>
      <c r="S369" s="218"/>
      <c r="T369" s="218"/>
    </row>
    <row r="370">
      <c r="D370" s="3"/>
      <c r="E370" s="112"/>
      <c r="F370" s="3"/>
      <c r="G370" s="12"/>
      <c r="J370" s="12"/>
      <c r="L370" s="12"/>
      <c r="Q370" s="218"/>
      <c r="R370" s="218"/>
      <c r="S370" s="218"/>
      <c r="T370" s="218"/>
    </row>
    <row r="371">
      <c r="D371" s="3"/>
      <c r="E371" s="112"/>
      <c r="F371" s="3"/>
      <c r="G371" s="12"/>
      <c r="J371" s="12"/>
      <c r="L371" s="12"/>
      <c r="Q371" s="218"/>
      <c r="R371" s="218"/>
      <c r="S371" s="218"/>
      <c r="T371" s="218"/>
    </row>
    <row r="372">
      <c r="D372" s="3"/>
      <c r="E372" s="112"/>
      <c r="F372" s="3"/>
      <c r="G372" s="12"/>
      <c r="J372" s="12"/>
      <c r="L372" s="12"/>
      <c r="Q372" s="218"/>
      <c r="R372" s="218"/>
      <c r="S372" s="218"/>
      <c r="T372" s="218"/>
    </row>
    <row r="373">
      <c r="D373" s="3"/>
      <c r="E373" s="112"/>
      <c r="F373" s="3"/>
      <c r="G373" s="12"/>
      <c r="J373" s="12"/>
      <c r="L373" s="12"/>
      <c r="Q373" s="218"/>
      <c r="R373" s="218"/>
      <c r="S373" s="218"/>
      <c r="T373" s="218"/>
    </row>
    <row r="374">
      <c r="D374" s="3"/>
      <c r="E374" s="112"/>
      <c r="F374" s="3"/>
      <c r="G374" s="12"/>
      <c r="J374" s="12"/>
      <c r="L374" s="12"/>
      <c r="Q374" s="218"/>
      <c r="R374" s="218"/>
      <c r="S374" s="218"/>
      <c r="T374" s="218"/>
    </row>
    <row r="375">
      <c r="D375" s="3"/>
      <c r="E375" s="112"/>
      <c r="F375" s="3"/>
      <c r="G375" s="12"/>
      <c r="J375" s="12"/>
      <c r="L375" s="12"/>
      <c r="Q375" s="218"/>
      <c r="R375" s="218"/>
      <c r="S375" s="218"/>
      <c r="T375" s="218"/>
    </row>
    <row r="376">
      <c r="D376" s="3"/>
      <c r="E376" s="112"/>
      <c r="F376" s="3"/>
      <c r="G376" s="12"/>
      <c r="J376" s="12"/>
      <c r="L376" s="12"/>
      <c r="Q376" s="218"/>
      <c r="R376" s="218"/>
      <c r="S376" s="218"/>
      <c r="T376" s="218"/>
    </row>
    <row r="377">
      <c r="D377" s="3"/>
      <c r="E377" s="112"/>
      <c r="F377" s="3"/>
      <c r="G377" s="12"/>
      <c r="J377" s="12"/>
      <c r="L377" s="12"/>
      <c r="Q377" s="218"/>
      <c r="R377" s="218"/>
      <c r="S377" s="218"/>
      <c r="T377" s="218"/>
    </row>
    <row r="378">
      <c r="D378" s="3"/>
      <c r="E378" s="112"/>
      <c r="F378" s="3"/>
      <c r="G378" s="12"/>
      <c r="J378" s="12"/>
      <c r="L378" s="12"/>
      <c r="Q378" s="218"/>
      <c r="R378" s="218"/>
      <c r="S378" s="218"/>
      <c r="T378" s="218"/>
    </row>
    <row r="379">
      <c r="D379" s="3"/>
      <c r="E379" s="112"/>
      <c r="F379" s="3"/>
      <c r="G379" s="12"/>
      <c r="J379" s="12"/>
      <c r="L379" s="12"/>
      <c r="Q379" s="218"/>
      <c r="R379" s="218"/>
      <c r="S379" s="218"/>
      <c r="T379" s="218"/>
    </row>
    <row r="380">
      <c r="D380" s="3"/>
      <c r="E380" s="112"/>
      <c r="F380" s="3"/>
      <c r="G380" s="12"/>
      <c r="J380" s="12"/>
      <c r="L380" s="12"/>
      <c r="Q380" s="218"/>
      <c r="R380" s="218"/>
      <c r="S380" s="218"/>
      <c r="T380" s="218"/>
    </row>
    <row r="381">
      <c r="D381" s="3"/>
      <c r="E381" s="112"/>
      <c r="F381" s="3"/>
      <c r="G381" s="12"/>
      <c r="J381" s="12"/>
      <c r="L381" s="12"/>
      <c r="Q381" s="218"/>
      <c r="R381" s="218"/>
      <c r="S381" s="218"/>
      <c r="T381" s="218"/>
    </row>
    <row r="382">
      <c r="D382" s="3"/>
      <c r="E382" s="112"/>
      <c r="F382" s="3"/>
      <c r="G382" s="12"/>
      <c r="J382" s="12"/>
      <c r="L382" s="12"/>
      <c r="Q382" s="218"/>
      <c r="R382" s="218"/>
      <c r="S382" s="218"/>
      <c r="T382" s="218"/>
    </row>
    <row r="383">
      <c r="D383" s="3"/>
      <c r="E383" s="112"/>
      <c r="F383" s="3"/>
      <c r="G383" s="12"/>
      <c r="J383" s="12"/>
      <c r="L383" s="12"/>
      <c r="Q383" s="218"/>
      <c r="R383" s="218"/>
      <c r="S383" s="218"/>
      <c r="T383" s="218"/>
    </row>
    <row r="384">
      <c r="D384" s="3"/>
      <c r="E384" s="112"/>
      <c r="F384" s="3"/>
      <c r="G384" s="12"/>
      <c r="J384" s="12"/>
      <c r="L384" s="12"/>
      <c r="Q384" s="218"/>
      <c r="R384" s="218"/>
      <c r="S384" s="218"/>
      <c r="T384" s="218"/>
    </row>
    <row r="385">
      <c r="D385" s="3"/>
      <c r="E385" s="112"/>
      <c r="F385" s="3"/>
      <c r="G385" s="12"/>
      <c r="J385" s="12"/>
      <c r="L385" s="12"/>
      <c r="Q385" s="218"/>
      <c r="R385" s="218"/>
      <c r="S385" s="218"/>
      <c r="T385" s="218"/>
    </row>
    <row r="386">
      <c r="D386" s="3"/>
      <c r="E386" s="112"/>
      <c r="F386" s="3"/>
      <c r="G386" s="12"/>
      <c r="J386" s="12"/>
      <c r="L386" s="12"/>
      <c r="Q386" s="218"/>
      <c r="R386" s="218"/>
      <c r="S386" s="218"/>
      <c r="T386" s="218"/>
    </row>
    <row r="387">
      <c r="D387" s="3"/>
      <c r="E387" s="112"/>
      <c r="F387" s="3"/>
      <c r="G387" s="12"/>
      <c r="J387" s="12"/>
      <c r="L387" s="12"/>
      <c r="Q387" s="218"/>
      <c r="R387" s="218"/>
      <c r="S387" s="218"/>
      <c r="T387" s="218"/>
    </row>
    <row r="388">
      <c r="D388" s="3"/>
      <c r="E388" s="112"/>
      <c r="F388" s="3"/>
      <c r="G388" s="12"/>
      <c r="J388" s="12"/>
      <c r="L388" s="12"/>
      <c r="Q388" s="218"/>
      <c r="R388" s="218"/>
      <c r="S388" s="218"/>
      <c r="T388" s="218"/>
    </row>
    <row r="389">
      <c r="D389" s="3"/>
      <c r="E389" s="112"/>
      <c r="F389" s="3"/>
      <c r="G389" s="12"/>
      <c r="J389" s="12"/>
      <c r="L389" s="12"/>
      <c r="Q389" s="218"/>
      <c r="R389" s="218"/>
      <c r="S389" s="218"/>
      <c r="T389" s="218"/>
    </row>
    <row r="390">
      <c r="D390" s="3"/>
      <c r="E390" s="112"/>
      <c r="F390" s="3"/>
      <c r="G390" s="12"/>
      <c r="J390" s="12"/>
      <c r="L390" s="12"/>
      <c r="Q390" s="218"/>
      <c r="R390" s="218"/>
      <c r="S390" s="218"/>
      <c r="T390" s="218"/>
    </row>
    <row r="391">
      <c r="D391" s="3"/>
      <c r="E391" s="112"/>
      <c r="F391" s="3"/>
      <c r="G391" s="12"/>
      <c r="J391" s="12"/>
      <c r="L391" s="12"/>
      <c r="Q391" s="218"/>
      <c r="R391" s="218"/>
      <c r="S391" s="218"/>
      <c r="T391" s="218"/>
    </row>
    <row r="392">
      <c r="D392" s="3"/>
      <c r="E392" s="112"/>
      <c r="F392" s="3"/>
      <c r="G392" s="12"/>
      <c r="J392" s="12"/>
      <c r="L392" s="12"/>
      <c r="Q392" s="218"/>
      <c r="R392" s="218"/>
      <c r="S392" s="218"/>
      <c r="T392" s="218"/>
    </row>
    <row r="393">
      <c r="D393" s="3"/>
      <c r="E393" s="112"/>
      <c r="F393" s="3"/>
      <c r="G393" s="12"/>
      <c r="J393" s="12"/>
      <c r="L393" s="12"/>
      <c r="Q393" s="218"/>
      <c r="R393" s="218"/>
      <c r="S393" s="218"/>
      <c r="T393" s="218"/>
    </row>
    <row r="394">
      <c r="D394" s="3"/>
      <c r="E394" s="112"/>
      <c r="F394" s="3"/>
      <c r="G394" s="12"/>
      <c r="J394" s="12"/>
      <c r="L394" s="12"/>
      <c r="Q394" s="218"/>
      <c r="R394" s="218"/>
      <c r="S394" s="218"/>
      <c r="T394" s="218"/>
    </row>
    <row r="395">
      <c r="D395" s="3"/>
      <c r="E395" s="112"/>
      <c r="F395" s="3"/>
      <c r="G395" s="12"/>
      <c r="J395" s="12"/>
      <c r="L395" s="12"/>
      <c r="Q395" s="218"/>
      <c r="R395" s="218"/>
      <c r="S395" s="218"/>
      <c r="T395" s="218"/>
    </row>
    <row r="396">
      <c r="D396" s="3"/>
      <c r="E396" s="112"/>
      <c r="F396" s="3"/>
      <c r="G396" s="12"/>
      <c r="J396" s="12"/>
      <c r="L396" s="12"/>
      <c r="Q396" s="218"/>
      <c r="R396" s="218"/>
      <c r="S396" s="218"/>
      <c r="T396" s="218"/>
    </row>
    <row r="397">
      <c r="D397" s="3"/>
      <c r="E397" s="112"/>
      <c r="F397" s="3"/>
      <c r="G397" s="12"/>
      <c r="J397" s="12"/>
      <c r="L397" s="12"/>
      <c r="Q397" s="218"/>
      <c r="R397" s="218"/>
      <c r="S397" s="218"/>
      <c r="T397" s="218"/>
    </row>
    <row r="398">
      <c r="D398" s="3"/>
      <c r="E398" s="112"/>
      <c r="F398" s="3"/>
      <c r="G398" s="12"/>
      <c r="J398" s="12"/>
      <c r="L398" s="12"/>
      <c r="Q398" s="218"/>
      <c r="R398" s="218"/>
      <c r="S398" s="218"/>
      <c r="T398" s="218"/>
    </row>
    <row r="399">
      <c r="D399" s="3"/>
      <c r="E399" s="112"/>
      <c r="F399" s="3"/>
      <c r="G399" s="12"/>
      <c r="J399" s="12"/>
      <c r="L399" s="12"/>
      <c r="Q399" s="218"/>
      <c r="R399" s="218"/>
      <c r="S399" s="218"/>
      <c r="T399" s="218"/>
    </row>
    <row r="400">
      <c r="D400" s="3"/>
      <c r="E400" s="112"/>
      <c r="F400" s="3"/>
      <c r="G400" s="12"/>
      <c r="J400" s="12"/>
      <c r="L400" s="12"/>
      <c r="Q400" s="218"/>
      <c r="R400" s="218"/>
      <c r="S400" s="218"/>
      <c r="T400" s="218"/>
    </row>
    <row r="401">
      <c r="D401" s="3"/>
      <c r="E401" s="112"/>
      <c r="F401" s="3"/>
      <c r="G401" s="12"/>
      <c r="J401" s="12"/>
      <c r="L401" s="12"/>
      <c r="Q401" s="218"/>
      <c r="R401" s="218"/>
      <c r="S401" s="218"/>
      <c r="T401" s="218"/>
    </row>
    <row r="402">
      <c r="D402" s="3"/>
      <c r="E402" s="112"/>
      <c r="F402" s="3"/>
      <c r="G402" s="12"/>
      <c r="J402" s="12"/>
      <c r="L402" s="12"/>
      <c r="Q402" s="218"/>
      <c r="R402" s="218"/>
      <c r="S402" s="218"/>
      <c r="T402" s="218"/>
    </row>
    <row r="403">
      <c r="D403" s="3"/>
      <c r="E403" s="112"/>
      <c r="F403" s="3"/>
      <c r="G403" s="12"/>
      <c r="J403" s="12"/>
      <c r="L403" s="12"/>
      <c r="Q403" s="218"/>
      <c r="R403" s="218"/>
      <c r="S403" s="218"/>
      <c r="T403" s="218"/>
    </row>
    <row r="404">
      <c r="D404" s="3"/>
      <c r="E404" s="112"/>
      <c r="F404" s="3"/>
      <c r="G404" s="12"/>
      <c r="J404" s="12"/>
      <c r="L404" s="12"/>
      <c r="Q404" s="218"/>
      <c r="R404" s="218"/>
      <c r="S404" s="218"/>
      <c r="T404" s="218"/>
    </row>
    <row r="405">
      <c r="D405" s="3"/>
      <c r="E405" s="112"/>
      <c r="F405" s="3"/>
      <c r="G405" s="12"/>
      <c r="J405" s="12"/>
      <c r="L405" s="12"/>
      <c r="Q405" s="218"/>
      <c r="R405" s="218"/>
      <c r="S405" s="218"/>
      <c r="T405" s="218"/>
    </row>
    <row r="406">
      <c r="D406" s="3"/>
      <c r="E406" s="112"/>
      <c r="F406" s="3"/>
      <c r="G406" s="12"/>
      <c r="J406" s="12"/>
      <c r="L406" s="12"/>
      <c r="Q406" s="218"/>
      <c r="R406" s="218"/>
      <c r="S406" s="218"/>
      <c r="T406" s="218"/>
    </row>
    <row r="407">
      <c r="D407" s="3"/>
      <c r="E407" s="112"/>
      <c r="F407" s="3"/>
      <c r="G407" s="12"/>
      <c r="J407" s="12"/>
      <c r="L407" s="12"/>
      <c r="Q407" s="218"/>
      <c r="R407" s="218"/>
      <c r="S407" s="218"/>
      <c r="T407" s="218"/>
    </row>
    <row r="408">
      <c r="D408" s="3"/>
      <c r="E408" s="112"/>
      <c r="F408" s="3"/>
      <c r="G408" s="12"/>
      <c r="J408" s="12"/>
      <c r="L408" s="12"/>
      <c r="Q408" s="218"/>
      <c r="R408" s="218"/>
      <c r="S408" s="218"/>
      <c r="T408" s="218"/>
    </row>
    <row r="409">
      <c r="D409" s="3"/>
      <c r="E409" s="112"/>
      <c r="F409" s="3"/>
      <c r="G409" s="12"/>
      <c r="J409" s="12"/>
      <c r="L409" s="12"/>
      <c r="Q409" s="218"/>
      <c r="R409" s="218"/>
      <c r="S409" s="218"/>
      <c r="T409" s="218"/>
    </row>
    <row r="410">
      <c r="D410" s="3"/>
      <c r="E410" s="112"/>
      <c r="F410" s="3"/>
      <c r="G410" s="12"/>
      <c r="J410" s="12"/>
      <c r="L410" s="12"/>
      <c r="Q410" s="218"/>
      <c r="R410" s="218"/>
      <c r="S410" s="218"/>
      <c r="T410" s="218"/>
    </row>
    <row r="411">
      <c r="D411" s="3"/>
      <c r="E411" s="112"/>
      <c r="F411" s="3"/>
      <c r="G411" s="12"/>
      <c r="J411" s="12"/>
      <c r="L411" s="12"/>
      <c r="Q411" s="218"/>
      <c r="R411" s="218"/>
      <c r="S411" s="218"/>
      <c r="T411" s="218"/>
    </row>
    <row r="412">
      <c r="D412" s="3"/>
      <c r="E412" s="112"/>
      <c r="F412" s="3"/>
      <c r="G412" s="12"/>
      <c r="J412" s="12"/>
      <c r="L412" s="12"/>
      <c r="Q412" s="218"/>
      <c r="R412" s="218"/>
      <c r="S412" s="218"/>
      <c r="T412" s="218"/>
    </row>
    <row r="413">
      <c r="D413" s="3"/>
      <c r="E413" s="112"/>
      <c r="F413" s="3"/>
      <c r="G413" s="12"/>
      <c r="J413" s="12"/>
      <c r="L413" s="12"/>
      <c r="Q413" s="218"/>
      <c r="R413" s="218"/>
      <c r="S413" s="218"/>
      <c r="T413" s="218"/>
    </row>
    <row r="414">
      <c r="D414" s="3"/>
      <c r="E414" s="112"/>
      <c r="F414" s="3"/>
      <c r="G414" s="12"/>
      <c r="J414" s="12"/>
      <c r="L414" s="12"/>
      <c r="Q414" s="218"/>
      <c r="R414" s="218"/>
      <c r="S414" s="218"/>
      <c r="T414" s="218"/>
    </row>
    <row r="415">
      <c r="D415" s="3"/>
      <c r="E415" s="112"/>
      <c r="F415" s="3"/>
      <c r="G415" s="12"/>
      <c r="J415" s="12"/>
      <c r="L415" s="12"/>
      <c r="Q415" s="218"/>
      <c r="R415" s="218"/>
      <c r="S415" s="218"/>
      <c r="T415" s="218"/>
    </row>
    <row r="416">
      <c r="D416" s="3"/>
      <c r="E416" s="112"/>
      <c r="F416" s="3"/>
      <c r="G416" s="12"/>
      <c r="J416" s="12"/>
      <c r="L416" s="12"/>
      <c r="Q416" s="218"/>
      <c r="R416" s="218"/>
      <c r="S416" s="218"/>
      <c r="T416" s="218"/>
    </row>
    <row r="417">
      <c r="D417" s="3"/>
      <c r="E417" s="112"/>
      <c r="F417" s="3"/>
      <c r="G417" s="12"/>
      <c r="J417" s="12"/>
      <c r="L417" s="12"/>
      <c r="Q417" s="218"/>
      <c r="R417" s="218"/>
      <c r="S417" s="218"/>
      <c r="T417" s="218"/>
    </row>
    <row r="418">
      <c r="D418" s="3"/>
      <c r="E418" s="112"/>
      <c r="F418" s="3"/>
      <c r="G418" s="12"/>
      <c r="J418" s="12"/>
      <c r="L418" s="12"/>
      <c r="Q418" s="218"/>
      <c r="R418" s="218"/>
      <c r="S418" s="218"/>
      <c r="T418" s="218"/>
    </row>
    <row r="419">
      <c r="D419" s="3"/>
      <c r="E419" s="112"/>
      <c r="F419" s="3"/>
      <c r="G419" s="12"/>
      <c r="J419" s="12"/>
      <c r="L419" s="12"/>
      <c r="Q419" s="218"/>
      <c r="R419" s="218"/>
      <c r="S419" s="218"/>
      <c r="T419" s="218"/>
    </row>
    <row r="420">
      <c r="D420" s="3"/>
      <c r="E420" s="112"/>
      <c r="F420" s="3"/>
      <c r="G420" s="12"/>
      <c r="J420" s="12"/>
      <c r="L420" s="12"/>
      <c r="Q420" s="218"/>
      <c r="R420" s="218"/>
      <c r="S420" s="218"/>
      <c r="T420" s="218"/>
    </row>
    <row r="421">
      <c r="D421" s="3"/>
      <c r="E421" s="112"/>
      <c r="F421" s="3"/>
      <c r="G421" s="12"/>
      <c r="J421" s="12"/>
      <c r="L421" s="12"/>
      <c r="Q421" s="218"/>
      <c r="R421" s="218"/>
      <c r="S421" s="218"/>
      <c r="T421" s="218"/>
    </row>
    <row r="422">
      <c r="D422" s="3"/>
      <c r="E422" s="112"/>
      <c r="F422" s="3"/>
      <c r="G422" s="12"/>
      <c r="J422" s="12"/>
      <c r="L422" s="12"/>
      <c r="Q422" s="218"/>
      <c r="R422" s="218"/>
      <c r="S422" s="218"/>
      <c r="T422" s="218"/>
    </row>
    <row r="423">
      <c r="D423" s="3"/>
      <c r="E423" s="112"/>
      <c r="F423" s="3"/>
      <c r="G423" s="12"/>
      <c r="J423" s="12"/>
      <c r="L423" s="12"/>
      <c r="Q423" s="218"/>
      <c r="R423" s="218"/>
      <c r="S423" s="218"/>
      <c r="T423" s="218"/>
    </row>
    <row r="424">
      <c r="D424" s="3"/>
      <c r="E424" s="112"/>
      <c r="F424" s="3"/>
      <c r="G424" s="12"/>
      <c r="J424" s="12"/>
      <c r="L424" s="12"/>
      <c r="Q424" s="218"/>
      <c r="R424" s="218"/>
      <c r="S424" s="218"/>
      <c r="T424" s="218"/>
    </row>
    <row r="425">
      <c r="D425" s="3"/>
      <c r="E425" s="112"/>
      <c r="F425" s="3"/>
      <c r="G425" s="12"/>
      <c r="J425" s="12"/>
      <c r="L425" s="12"/>
      <c r="Q425" s="218"/>
      <c r="R425" s="218"/>
      <c r="S425" s="218"/>
      <c r="T425" s="218"/>
    </row>
    <row r="426">
      <c r="D426" s="3"/>
      <c r="E426" s="112"/>
      <c r="F426" s="3"/>
      <c r="G426" s="12"/>
      <c r="J426" s="12"/>
      <c r="L426" s="12"/>
      <c r="Q426" s="218"/>
      <c r="R426" s="218"/>
      <c r="S426" s="218"/>
      <c r="T426" s="218"/>
    </row>
    <row r="427">
      <c r="D427" s="3"/>
      <c r="E427" s="112"/>
      <c r="F427" s="3"/>
      <c r="G427" s="12"/>
      <c r="J427" s="12"/>
      <c r="L427" s="12"/>
      <c r="Q427" s="218"/>
      <c r="R427" s="218"/>
      <c r="S427" s="218"/>
      <c r="T427" s="218"/>
    </row>
    <row r="428">
      <c r="D428" s="3"/>
      <c r="E428" s="112"/>
      <c r="F428" s="3"/>
      <c r="G428" s="12"/>
      <c r="J428" s="12"/>
      <c r="L428" s="12"/>
      <c r="Q428" s="218"/>
      <c r="R428" s="218"/>
      <c r="S428" s="218"/>
      <c r="T428" s="218"/>
    </row>
    <row r="429">
      <c r="D429" s="3"/>
      <c r="E429" s="112"/>
      <c r="F429" s="3"/>
      <c r="G429" s="12"/>
      <c r="J429" s="12"/>
      <c r="L429" s="12"/>
      <c r="Q429" s="218"/>
      <c r="R429" s="218"/>
      <c r="S429" s="218"/>
      <c r="T429" s="218"/>
    </row>
    <row r="430">
      <c r="D430" s="3"/>
      <c r="E430" s="112"/>
      <c r="F430" s="3"/>
      <c r="G430" s="12"/>
      <c r="J430" s="12"/>
      <c r="L430" s="12"/>
      <c r="Q430" s="218"/>
      <c r="R430" s="218"/>
      <c r="S430" s="218"/>
      <c r="T430" s="218"/>
    </row>
    <row r="431">
      <c r="D431" s="3"/>
      <c r="E431" s="112"/>
      <c r="F431" s="3"/>
      <c r="G431" s="12"/>
      <c r="J431" s="12"/>
      <c r="L431" s="12"/>
      <c r="Q431" s="218"/>
      <c r="R431" s="218"/>
      <c r="S431" s="218"/>
      <c r="T431" s="218"/>
    </row>
    <row r="432">
      <c r="D432" s="3"/>
      <c r="E432" s="112"/>
      <c r="F432" s="3"/>
      <c r="G432" s="12"/>
      <c r="J432" s="12"/>
      <c r="L432" s="12"/>
      <c r="Q432" s="218"/>
      <c r="R432" s="218"/>
      <c r="S432" s="218"/>
      <c r="T432" s="218"/>
    </row>
    <row r="433">
      <c r="D433" s="3"/>
      <c r="E433" s="112"/>
      <c r="F433" s="3"/>
      <c r="G433" s="12"/>
      <c r="J433" s="12"/>
      <c r="L433" s="12"/>
      <c r="Q433" s="218"/>
      <c r="R433" s="218"/>
      <c r="S433" s="218"/>
      <c r="T433" s="218"/>
    </row>
    <row r="434">
      <c r="D434" s="3"/>
      <c r="E434" s="112"/>
      <c r="F434" s="3"/>
      <c r="G434" s="12"/>
      <c r="J434" s="12"/>
      <c r="L434" s="12"/>
      <c r="Q434" s="218"/>
      <c r="R434" s="218"/>
      <c r="S434" s="218"/>
      <c r="T434" s="218"/>
    </row>
    <row r="435">
      <c r="D435" s="3"/>
      <c r="E435" s="112"/>
      <c r="F435" s="3"/>
      <c r="G435" s="12"/>
      <c r="J435" s="12"/>
      <c r="L435" s="12"/>
      <c r="Q435" s="218"/>
      <c r="R435" s="218"/>
      <c r="S435" s="218"/>
      <c r="T435" s="218"/>
    </row>
    <row r="436">
      <c r="D436" s="3"/>
      <c r="E436" s="112"/>
      <c r="F436" s="3"/>
      <c r="G436" s="12"/>
      <c r="J436" s="12"/>
      <c r="L436" s="12"/>
      <c r="Q436" s="218"/>
      <c r="R436" s="218"/>
      <c r="S436" s="218"/>
      <c r="T436" s="218"/>
    </row>
    <row r="437">
      <c r="D437" s="3"/>
      <c r="E437" s="112"/>
      <c r="F437" s="3"/>
      <c r="G437" s="12"/>
      <c r="J437" s="12"/>
      <c r="L437" s="12"/>
      <c r="Q437" s="218"/>
      <c r="R437" s="218"/>
      <c r="S437" s="218"/>
      <c r="T437" s="218"/>
    </row>
    <row r="438">
      <c r="D438" s="3"/>
      <c r="E438" s="112"/>
      <c r="F438" s="3"/>
      <c r="G438" s="12"/>
      <c r="J438" s="12"/>
      <c r="L438" s="12"/>
      <c r="Q438" s="218"/>
      <c r="R438" s="218"/>
      <c r="S438" s="218"/>
      <c r="T438" s="218"/>
    </row>
    <row r="439">
      <c r="D439" s="3"/>
      <c r="E439" s="112"/>
      <c r="F439" s="3"/>
      <c r="G439" s="12"/>
      <c r="J439" s="12"/>
      <c r="L439" s="12"/>
      <c r="Q439" s="218"/>
      <c r="R439" s="218"/>
      <c r="S439" s="218"/>
      <c r="T439" s="218"/>
    </row>
    <row r="440">
      <c r="D440" s="3"/>
      <c r="E440" s="112"/>
      <c r="F440" s="3"/>
      <c r="G440" s="12"/>
      <c r="J440" s="12"/>
      <c r="L440" s="12"/>
      <c r="Q440" s="218"/>
      <c r="R440" s="218"/>
      <c r="S440" s="218"/>
      <c r="T440" s="218"/>
    </row>
    <row r="441">
      <c r="D441" s="3"/>
      <c r="E441" s="112"/>
      <c r="F441" s="3"/>
      <c r="G441" s="12"/>
      <c r="J441" s="12"/>
      <c r="L441" s="12"/>
      <c r="Q441" s="218"/>
      <c r="R441" s="218"/>
      <c r="S441" s="218"/>
      <c r="T441" s="218"/>
    </row>
    <row r="442">
      <c r="D442" s="3"/>
      <c r="E442" s="112"/>
      <c r="F442" s="3"/>
      <c r="G442" s="12"/>
      <c r="J442" s="12"/>
      <c r="L442" s="12"/>
      <c r="Q442" s="218"/>
      <c r="R442" s="218"/>
      <c r="S442" s="218"/>
      <c r="T442" s="218"/>
    </row>
    <row r="443">
      <c r="D443" s="3"/>
      <c r="E443" s="112"/>
      <c r="F443" s="3"/>
      <c r="G443" s="12"/>
      <c r="J443" s="12"/>
      <c r="L443" s="12"/>
      <c r="Q443" s="218"/>
      <c r="R443" s="218"/>
      <c r="S443" s="218"/>
      <c r="T443" s="218"/>
    </row>
    <row r="444">
      <c r="D444" s="3"/>
      <c r="E444" s="112"/>
      <c r="F444" s="3"/>
      <c r="G444" s="12"/>
      <c r="J444" s="12"/>
      <c r="L444" s="12"/>
      <c r="Q444" s="218"/>
      <c r="R444" s="218"/>
      <c r="S444" s="218"/>
      <c r="T444" s="218"/>
    </row>
    <row r="445">
      <c r="D445" s="3"/>
      <c r="E445" s="112"/>
      <c r="F445" s="3"/>
      <c r="G445" s="12"/>
      <c r="J445" s="12"/>
      <c r="L445" s="12"/>
      <c r="Q445" s="218"/>
      <c r="R445" s="218"/>
      <c r="S445" s="218"/>
      <c r="T445" s="218"/>
    </row>
    <row r="446">
      <c r="D446" s="3"/>
      <c r="E446" s="112"/>
      <c r="F446" s="3"/>
      <c r="G446" s="12"/>
      <c r="J446" s="12"/>
      <c r="L446" s="12"/>
      <c r="Q446" s="218"/>
      <c r="R446" s="218"/>
      <c r="S446" s="218"/>
      <c r="T446" s="218"/>
    </row>
    <row r="447">
      <c r="D447" s="3"/>
      <c r="E447" s="112"/>
      <c r="F447" s="3"/>
      <c r="G447" s="12"/>
      <c r="J447" s="12"/>
      <c r="L447" s="12"/>
      <c r="Q447" s="218"/>
      <c r="R447" s="218"/>
      <c r="S447" s="218"/>
      <c r="T447" s="218"/>
    </row>
    <row r="448">
      <c r="D448" s="3"/>
      <c r="E448" s="112"/>
      <c r="F448" s="3"/>
      <c r="G448" s="12"/>
      <c r="J448" s="12"/>
      <c r="L448" s="12"/>
      <c r="Q448" s="218"/>
      <c r="R448" s="218"/>
      <c r="S448" s="218"/>
      <c r="T448" s="218"/>
    </row>
    <row r="449">
      <c r="D449" s="3"/>
      <c r="E449" s="112"/>
      <c r="F449" s="3"/>
      <c r="G449" s="12"/>
      <c r="J449" s="12"/>
      <c r="L449" s="12"/>
      <c r="Q449" s="218"/>
      <c r="R449" s="218"/>
      <c r="S449" s="218"/>
      <c r="T449" s="218"/>
    </row>
    <row r="450">
      <c r="D450" s="3"/>
      <c r="E450" s="112"/>
      <c r="F450" s="3"/>
      <c r="G450" s="12"/>
      <c r="J450" s="12"/>
      <c r="L450" s="12"/>
      <c r="Q450" s="218"/>
      <c r="R450" s="218"/>
      <c r="S450" s="218"/>
      <c r="T450" s="218"/>
    </row>
    <row r="451">
      <c r="D451" s="3"/>
      <c r="E451" s="112"/>
      <c r="F451" s="3"/>
      <c r="G451" s="12"/>
      <c r="J451" s="12"/>
      <c r="L451" s="12"/>
      <c r="Q451" s="218"/>
      <c r="R451" s="218"/>
      <c r="S451" s="218"/>
      <c r="T451" s="218"/>
    </row>
    <row r="452">
      <c r="D452" s="3"/>
      <c r="E452" s="112"/>
      <c r="F452" s="3"/>
      <c r="G452" s="12"/>
      <c r="J452" s="12"/>
      <c r="L452" s="12"/>
      <c r="Q452" s="218"/>
      <c r="R452" s="218"/>
      <c r="S452" s="218"/>
      <c r="T452" s="218"/>
    </row>
    <row r="453">
      <c r="D453" s="3"/>
      <c r="E453" s="112"/>
      <c r="F453" s="3"/>
      <c r="G453" s="12"/>
      <c r="J453" s="12"/>
      <c r="L453" s="12"/>
      <c r="Q453" s="218"/>
      <c r="R453" s="218"/>
      <c r="S453" s="218"/>
      <c r="T453" s="218"/>
    </row>
    <row r="454">
      <c r="D454" s="3"/>
      <c r="E454" s="112"/>
      <c r="F454" s="3"/>
      <c r="G454" s="12"/>
      <c r="J454" s="12"/>
      <c r="L454" s="12"/>
      <c r="Q454" s="218"/>
      <c r="R454" s="218"/>
      <c r="S454" s="218"/>
      <c r="T454" s="218"/>
    </row>
    <row r="455">
      <c r="D455" s="3"/>
      <c r="E455" s="112"/>
      <c r="F455" s="3"/>
      <c r="G455" s="12"/>
      <c r="J455" s="12"/>
      <c r="L455" s="12"/>
      <c r="Q455" s="218"/>
      <c r="R455" s="218"/>
      <c r="S455" s="218"/>
      <c r="T455" s="218"/>
    </row>
    <row r="456">
      <c r="D456" s="3"/>
      <c r="E456" s="112"/>
      <c r="F456" s="3"/>
      <c r="G456" s="12"/>
      <c r="J456" s="12"/>
      <c r="L456" s="12"/>
      <c r="Q456" s="218"/>
      <c r="R456" s="218"/>
      <c r="S456" s="218"/>
      <c r="T456" s="218"/>
    </row>
    <row r="457">
      <c r="D457" s="3"/>
      <c r="E457" s="112"/>
      <c r="F457" s="3"/>
      <c r="G457" s="12"/>
      <c r="J457" s="12"/>
      <c r="L457" s="12"/>
      <c r="Q457" s="218"/>
      <c r="R457" s="218"/>
      <c r="S457" s="218"/>
      <c r="T457" s="218"/>
    </row>
    <row r="458">
      <c r="D458" s="3"/>
      <c r="E458" s="112"/>
      <c r="F458" s="3"/>
      <c r="G458" s="12"/>
      <c r="J458" s="12"/>
      <c r="L458" s="12"/>
      <c r="Q458" s="218"/>
      <c r="R458" s="218"/>
      <c r="S458" s="218"/>
      <c r="T458" s="218"/>
    </row>
    <row r="459">
      <c r="D459" s="3"/>
      <c r="E459" s="112"/>
      <c r="F459" s="3"/>
      <c r="G459" s="12"/>
      <c r="J459" s="12"/>
      <c r="L459" s="12"/>
      <c r="Q459" s="218"/>
      <c r="R459" s="218"/>
      <c r="S459" s="218"/>
      <c r="T459" s="218"/>
    </row>
    <row r="460">
      <c r="D460" s="3"/>
      <c r="E460" s="112"/>
      <c r="F460" s="3"/>
      <c r="G460" s="12"/>
      <c r="J460" s="12"/>
      <c r="L460" s="12"/>
      <c r="Q460" s="218"/>
      <c r="R460" s="218"/>
      <c r="S460" s="218"/>
      <c r="T460" s="218"/>
    </row>
    <row r="461">
      <c r="D461" s="3"/>
      <c r="E461" s="112"/>
      <c r="F461" s="3"/>
      <c r="G461" s="12"/>
      <c r="J461" s="12"/>
      <c r="L461" s="12"/>
      <c r="Q461" s="218"/>
      <c r="R461" s="218"/>
      <c r="S461" s="218"/>
      <c r="T461" s="218"/>
    </row>
    <row r="462">
      <c r="D462" s="3"/>
      <c r="E462" s="112"/>
      <c r="F462" s="3"/>
      <c r="G462" s="12"/>
      <c r="J462" s="12"/>
      <c r="L462" s="12"/>
      <c r="Q462" s="218"/>
      <c r="R462" s="218"/>
      <c r="S462" s="218"/>
      <c r="T462" s="218"/>
    </row>
    <row r="463">
      <c r="D463" s="3"/>
      <c r="E463" s="112"/>
      <c r="F463" s="3"/>
      <c r="G463" s="12"/>
      <c r="J463" s="12"/>
      <c r="L463" s="12"/>
      <c r="Q463" s="218"/>
      <c r="R463" s="218"/>
      <c r="S463" s="218"/>
      <c r="T463" s="218"/>
    </row>
    <row r="464">
      <c r="D464" s="3"/>
      <c r="E464" s="112"/>
      <c r="F464" s="3"/>
      <c r="G464" s="12"/>
      <c r="J464" s="12"/>
      <c r="L464" s="12"/>
      <c r="Q464" s="218"/>
      <c r="R464" s="218"/>
      <c r="S464" s="218"/>
      <c r="T464" s="218"/>
    </row>
    <row r="465">
      <c r="D465" s="3"/>
      <c r="E465" s="112"/>
      <c r="F465" s="3"/>
      <c r="G465" s="12"/>
      <c r="J465" s="12"/>
      <c r="L465" s="12"/>
      <c r="Q465" s="218"/>
      <c r="R465" s="218"/>
      <c r="S465" s="218"/>
      <c r="T465" s="218"/>
    </row>
    <row r="466">
      <c r="D466" s="3"/>
      <c r="E466" s="112"/>
      <c r="F466" s="3"/>
      <c r="G466" s="12"/>
      <c r="J466" s="12"/>
      <c r="L466" s="12"/>
      <c r="Q466" s="218"/>
      <c r="R466" s="218"/>
      <c r="S466" s="218"/>
      <c r="T466" s="218"/>
    </row>
    <row r="467">
      <c r="D467" s="3"/>
      <c r="E467" s="112"/>
      <c r="F467" s="3"/>
      <c r="G467" s="12"/>
      <c r="J467" s="12"/>
      <c r="L467" s="12"/>
      <c r="Q467" s="218"/>
      <c r="R467" s="218"/>
      <c r="S467" s="218"/>
      <c r="T467" s="218"/>
    </row>
    <row r="468">
      <c r="D468" s="3"/>
      <c r="E468" s="112"/>
      <c r="F468" s="3"/>
      <c r="G468" s="12"/>
      <c r="J468" s="12"/>
      <c r="L468" s="12"/>
      <c r="Q468" s="218"/>
      <c r="R468" s="218"/>
      <c r="S468" s="218"/>
      <c r="T468" s="218"/>
    </row>
    <row r="469">
      <c r="D469" s="3"/>
      <c r="E469" s="112"/>
      <c r="F469" s="3"/>
      <c r="G469" s="12"/>
      <c r="J469" s="12"/>
      <c r="L469" s="12"/>
      <c r="Q469" s="218"/>
      <c r="R469" s="218"/>
      <c r="S469" s="218"/>
      <c r="T469" s="218"/>
    </row>
    <row r="470">
      <c r="D470" s="3"/>
      <c r="E470" s="112"/>
      <c r="F470" s="3"/>
      <c r="G470" s="12"/>
      <c r="J470" s="12"/>
      <c r="L470" s="12"/>
      <c r="Q470" s="218"/>
      <c r="R470" s="218"/>
      <c r="S470" s="218"/>
      <c r="T470" s="218"/>
    </row>
    <row r="471">
      <c r="D471" s="3"/>
      <c r="E471" s="112"/>
      <c r="F471" s="3"/>
      <c r="G471" s="12"/>
      <c r="J471" s="12"/>
      <c r="L471" s="12"/>
      <c r="Q471" s="218"/>
      <c r="R471" s="218"/>
      <c r="S471" s="218"/>
      <c r="T471" s="218"/>
    </row>
    <row r="472">
      <c r="D472" s="3"/>
      <c r="E472" s="112"/>
      <c r="F472" s="3"/>
      <c r="G472" s="12"/>
      <c r="J472" s="12"/>
      <c r="L472" s="12"/>
      <c r="Q472" s="218"/>
      <c r="R472" s="218"/>
      <c r="S472" s="218"/>
      <c r="T472" s="218"/>
    </row>
    <row r="473">
      <c r="D473" s="3"/>
      <c r="E473" s="112"/>
      <c r="F473" s="3"/>
      <c r="G473" s="12"/>
      <c r="J473" s="12"/>
      <c r="L473" s="12"/>
      <c r="Q473" s="218"/>
      <c r="R473" s="218"/>
      <c r="S473" s="218"/>
      <c r="T473" s="218"/>
    </row>
    <row r="474">
      <c r="D474" s="3"/>
      <c r="E474" s="112"/>
      <c r="F474" s="3"/>
      <c r="G474" s="12"/>
      <c r="J474" s="12"/>
      <c r="L474" s="12"/>
      <c r="Q474" s="218"/>
      <c r="R474" s="218"/>
      <c r="S474" s="218"/>
      <c r="T474" s="218"/>
    </row>
    <row r="475">
      <c r="D475" s="3"/>
      <c r="E475" s="112"/>
      <c r="F475" s="3"/>
      <c r="G475" s="12"/>
      <c r="J475" s="12"/>
      <c r="L475" s="12"/>
      <c r="Q475" s="218"/>
      <c r="R475" s="218"/>
      <c r="S475" s="218"/>
      <c r="T475" s="218"/>
    </row>
    <row r="476">
      <c r="D476" s="3"/>
      <c r="E476" s="112"/>
      <c r="F476" s="3"/>
      <c r="G476" s="12"/>
      <c r="J476" s="12"/>
      <c r="L476" s="12"/>
      <c r="Q476" s="218"/>
      <c r="R476" s="218"/>
      <c r="S476" s="218"/>
      <c r="T476" s="218"/>
    </row>
    <row r="477">
      <c r="D477" s="3"/>
      <c r="E477" s="112"/>
      <c r="F477" s="3"/>
      <c r="G477" s="12"/>
      <c r="J477" s="12"/>
      <c r="L477" s="12"/>
      <c r="Q477" s="218"/>
      <c r="R477" s="218"/>
      <c r="S477" s="218"/>
      <c r="T477" s="218"/>
    </row>
    <row r="478">
      <c r="D478" s="3"/>
      <c r="E478" s="112"/>
      <c r="F478" s="3"/>
      <c r="G478" s="12"/>
      <c r="J478" s="12"/>
      <c r="L478" s="12"/>
      <c r="Q478" s="218"/>
      <c r="R478" s="218"/>
      <c r="S478" s="218"/>
      <c r="T478" s="218"/>
    </row>
    <row r="479">
      <c r="D479" s="3"/>
      <c r="E479" s="112"/>
      <c r="F479" s="3"/>
      <c r="G479" s="12"/>
      <c r="J479" s="12"/>
      <c r="L479" s="12"/>
      <c r="Q479" s="218"/>
      <c r="R479" s="218"/>
      <c r="S479" s="218"/>
      <c r="T479" s="218"/>
    </row>
    <row r="480">
      <c r="D480" s="3"/>
      <c r="E480" s="112"/>
      <c r="F480" s="3"/>
      <c r="G480" s="12"/>
      <c r="J480" s="12"/>
      <c r="L480" s="12"/>
      <c r="Q480" s="218"/>
      <c r="R480" s="218"/>
      <c r="S480" s="218"/>
      <c r="T480" s="218"/>
    </row>
    <row r="481">
      <c r="D481" s="3"/>
      <c r="E481" s="112"/>
      <c r="F481" s="3"/>
      <c r="G481" s="12"/>
      <c r="J481" s="12"/>
      <c r="L481" s="12"/>
      <c r="Q481" s="218"/>
      <c r="R481" s="218"/>
      <c r="S481" s="218"/>
      <c r="T481" s="218"/>
    </row>
    <row r="482">
      <c r="D482" s="3"/>
      <c r="E482" s="112"/>
      <c r="F482" s="3"/>
      <c r="G482" s="12"/>
      <c r="J482" s="12"/>
      <c r="L482" s="12"/>
      <c r="Q482" s="218"/>
      <c r="R482" s="218"/>
      <c r="S482" s="218"/>
      <c r="T482" s="218"/>
    </row>
    <row r="483">
      <c r="D483" s="3"/>
      <c r="E483" s="112"/>
      <c r="F483" s="3"/>
      <c r="G483" s="12"/>
      <c r="J483" s="12"/>
      <c r="L483" s="12"/>
      <c r="Q483" s="218"/>
      <c r="R483" s="218"/>
      <c r="S483" s="218"/>
      <c r="T483" s="218"/>
    </row>
    <row r="484">
      <c r="D484" s="3"/>
      <c r="E484" s="112"/>
      <c r="F484" s="3"/>
      <c r="G484" s="12"/>
      <c r="J484" s="12"/>
      <c r="L484" s="12"/>
      <c r="Q484" s="218"/>
      <c r="R484" s="218"/>
      <c r="S484" s="218"/>
      <c r="T484" s="218"/>
    </row>
    <row r="485">
      <c r="D485" s="3"/>
      <c r="E485" s="112"/>
      <c r="F485" s="3"/>
      <c r="G485" s="12"/>
      <c r="J485" s="12"/>
      <c r="L485" s="12"/>
      <c r="Q485" s="218"/>
      <c r="R485" s="218"/>
      <c r="S485" s="218"/>
      <c r="T485" s="218"/>
    </row>
    <row r="486">
      <c r="D486" s="3"/>
      <c r="E486" s="112"/>
      <c r="F486" s="3"/>
      <c r="G486" s="12"/>
      <c r="J486" s="12"/>
      <c r="L486" s="12"/>
      <c r="Q486" s="218"/>
      <c r="R486" s="218"/>
      <c r="S486" s="218"/>
      <c r="T486" s="218"/>
    </row>
    <row r="487">
      <c r="D487" s="3"/>
      <c r="E487" s="112"/>
      <c r="F487" s="3"/>
      <c r="G487" s="12"/>
      <c r="J487" s="12"/>
      <c r="L487" s="12"/>
      <c r="Q487" s="218"/>
      <c r="R487" s="218"/>
      <c r="S487" s="218"/>
      <c r="T487" s="218"/>
    </row>
    <row r="488">
      <c r="D488" s="3"/>
      <c r="E488" s="112"/>
      <c r="F488" s="3"/>
      <c r="G488" s="12"/>
      <c r="J488" s="12"/>
      <c r="L488" s="12"/>
      <c r="Q488" s="218"/>
      <c r="R488" s="218"/>
      <c r="S488" s="218"/>
      <c r="T488" s="218"/>
    </row>
    <row r="489">
      <c r="D489" s="3"/>
      <c r="E489" s="112"/>
      <c r="F489" s="3"/>
      <c r="G489" s="12"/>
      <c r="J489" s="12"/>
      <c r="L489" s="12"/>
      <c r="Q489" s="218"/>
      <c r="R489" s="218"/>
      <c r="S489" s="218"/>
      <c r="T489" s="218"/>
    </row>
    <row r="490">
      <c r="D490" s="3"/>
      <c r="E490" s="112"/>
      <c r="F490" s="3"/>
      <c r="G490" s="12"/>
      <c r="J490" s="12"/>
      <c r="L490" s="12"/>
      <c r="Q490" s="218"/>
      <c r="R490" s="218"/>
      <c r="S490" s="218"/>
      <c r="T490" s="218"/>
    </row>
    <row r="491">
      <c r="D491" s="3"/>
      <c r="E491" s="112"/>
      <c r="F491" s="3"/>
      <c r="G491" s="12"/>
      <c r="J491" s="12"/>
      <c r="L491" s="12"/>
      <c r="Q491" s="218"/>
      <c r="R491" s="218"/>
      <c r="S491" s="218"/>
      <c r="T491" s="218"/>
    </row>
    <row r="492">
      <c r="D492" s="3"/>
      <c r="E492" s="112"/>
      <c r="F492" s="3"/>
      <c r="G492" s="12"/>
      <c r="J492" s="12"/>
      <c r="L492" s="12"/>
      <c r="Q492" s="218"/>
      <c r="R492" s="218"/>
      <c r="S492" s="218"/>
      <c r="T492" s="218"/>
    </row>
    <row r="493">
      <c r="D493" s="3"/>
      <c r="E493" s="112"/>
      <c r="F493" s="3"/>
      <c r="G493" s="12"/>
      <c r="J493" s="12"/>
      <c r="L493" s="12"/>
      <c r="Q493" s="218"/>
      <c r="R493" s="218"/>
      <c r="S493" s="218"/>
      <c r="T493" s="218"/>
    </row>
    <row r="494">
      <c r="D494" s="3"/>
      <c r="E494" s="112"/>
      <c r="F494" s="3"/>
      <c r="G494" s="12"/>
      <c r="J494" s="12"/>
      <c r="L494" s="12"/>
      <c r="Q494" s="218"/>
      <c r="R494" s="218"/>
      <c r="S494" s="218"/>
      <c r="T494" s="218"/>
    </row>
    <row r="495">
      <c r="D495" s="3"/>
      <c r="E495" s="112"/>
      <c r="F495" s="3"/>
      <c r="G495" s="12"/>
      <c r="J495" s="12"/>
      <c r="L495" s="12"/>
      <c r="Q495" s="218"/>
      <c r="R495" s="218"/>
      <c r="S495" s="218"/>
      <c r="T495" s="218"/>
    </row>
    <row r="496">
      <c r="D496" s="3"/>
      <c r="E496" s="112"/>
      <c r="F496" s="3"/>
      <c r="G496" s="12"/>
      <c r="J496" s="12"/>
      <c r="L496" s="12"/>
      <c r="Q496" s="218"/>
      <c r="R496" s="218"/>
      <c r="S496" s="218"/>
      <c r="T496" s="218"/>
    </row>
    <row r="497">
      <c r="D497" s="3"/>
      <c r="E497" s="112"/>
      <c r="F497" s="3"/>
      <c r="G497" s="12"/>
      <c r="J497" s="12"/>
      <c r="L497" s="12"/>
      <c r="Q497" s="218"/>
      <c r="R497" s="218"/>
      <c r="S497" s="218"/>
      <c r="T497" s="218"/>
    </row>
    <row r="498">
      <c r="D498" s="3"/>
      <c r="E498" s="112"/>
      <c r="F498" s="3"/>
      <c r="G498" s="12"/>
      <c r="J498" s="12"/>
      <c r="L498" s="12"/>
      <c r="Q498" s="218"/>
      <c r="R498" s="218"/>
      <c r="S498" s="218"/>
      <c r="T498" s="218"/>
    </row>
    <row r="499">
      <c r="D499" s="3"/>
      <c r="E499" s="112"/>
      <c r="F499" s="3"/>
      <c r="G499" s="12"/>
      <c r="J499" s="12"/>
      <c r="L499" s="12"/>
      <c r="Q499" s="218"/>
      <c r="R499" s="218"/>
      <c r="S499" s="218"/>
      <c r="T499" s="218"/>
    </row>
    <row r="500">
      <c r="D500" s="3"/>
      <c r="E500" s="112"/>
      <c r="F500" s="3"/>
      <c r="G500" s="12"/>
      <c r="J500" s="12"/>
      <c r="L500" s="12"/>
      <c r="Q500" s="218"/>
      <c r="R500" s="218"/>
      <c r="S500" s="218"/>
      <c r="T500" s="218"/>
    </row>
    <row r="501">
      <c r="D501" s="3"/>
      <c r="E501" s="112"/>
      <c r="F501" s="3"/>
      <c r="G501" s="12"/>
      <c r="J501" s="12"/>
      <c r="L501" s="12"/>
      <c r="Q501" s="218"/>
      <c r="R501" s="218"/>
      <c r="S501" s="218"/>
      <c r="T501" s="218"/>
    </row>
    <row r="502">
      <c r="D502" s="3"/>
      <c r="E502" s="112"/>
      <c r="F502" s="3"/>
      <c r="G502" s="12"/>
      <c r="J502" s="12"/>
      <c r="L502" s="12"/>
      <c r="Q502" s="218"/>
      <c r="R502" s="218"/>
      <c r="S502" s="218"/>
      <c r="T502" s="218"/>
    </row>
    <row r="503">
      <c r="D503" s="3"/>
      <c r="E503" s="112"/>
      <c r="F503" s="3"/>
      <c r="G503" s="12"/>
      <c r="J503" s="12"/>
      <c r="L503" s="12"/>
      <c r="Q503" s="218"/>
      <c r="R503" s="218"/>
      <c r="S503" s="218"/>
      <c r="T503" s="218"/>
    </row>
    <row r="504">
      <c r="D504" s="3"/>
      <c r="E504" s="112"/>
      <c r="F504" s="3"/>
      <c r="G504" s="12"/>
      <c r="J504" s="12"/>
      <c r="L504" s="12"/>
      <c r="Q504" s="218"/>
      <c r="R504" s="218"/>
      <c r="S504" s="218"/>
      <c r="T504" s="218"/>
    </row>
    <row r="505">
      <c r="D505" s="3"/>
      <c r="E505" s="112"/>
      <c r="F505" s="3"/>
      <c r="G505" s="12"/>
      <c r="J505" s="12"/>
      <c r="L505" s="12"/>
      <c r="Q505" s="218"/>
      <c r="R505" s="218"/>
      <c r="S505" s="218"/>
      <c r="T505" s="218"/>
    </row>
    <row r="506">
      <c r="D506" s="3"/>
      <c r="E506" s="112"/>
      <c r="F506" s="3"/>
      <c r="G506" s="12"/>
      <c r="J506" s="12"/>
      <c r="L506" s="12"/>
      <c r="Q506" s="218"/>
      <c r="R506" s="218"/>
      <c r="S506" s="218"/>
      <c r="T506" s="218"/>
    </row>
    <row r="507">
      <c r="D507" s="3"/>
      <c r="E507" s="112"/>
      <c r="F507" s="3"/>
      <c r="G507" s="12"/>
      <c r="J507" s="12"/>
      <c r="L507" s="12"/>
      <c r="Q507" s="218"/>
      <c r="R507" s="218"/>
      <c r="S507" s="218"/>
      <c r="T507" s="218"/>
    </row>
    <row r="508">
      <c r="D508" s="3"/>
      <c r="E508" s="112"/>
      <c r="F508" s="3"/>
      <c r="G508" s="12"/>
      <c r="J508" s="12"/>
      <c r="L508" s="12"/>
      <c r="Q508" s="218"/>
      <c r="R508" s="218"/>
      <c r="S508" s="218"/>
      <c r="T508" s="218"/>
    </row>
    <row r="509">
      <c r="D509" s="3"/>
      <c r="E509" s="112"/>
      <c r="F509" s="3"/>
      <c r="G509" s="12"/>
      <c r="J509" s="12"/>
      <c r="L509" s="12"/>
      <c r="Q509" s="218"/>
      <c r="R509" s="218"/>
      <c r="S509" s="218"/>
      <c r="T509" s="218"/>
    </row>
    <row r="510">
      <c r="D510" s="3"/>
      <c r="E510" s="112"/>
      <c r="F510" s="3"/>
      <c r="G510" s="12"/>
      <c r="J510" s="12"/>
      <c r="L510" s="12"/>
      <c r="Q510" s="218"/>
      <c r="R510" s="218"/>
      <c r="S510" s="218"/>
      <c r="T510" s="218"/>
    </row>
    <row r="511">
      <c r="D511" s="3"/>
      <c r="E511" s="112"/>
      <c r="F511" s="3"/>
      <c r="G511" s="12"/>
      <c r="J511" s="12"/>
      <c r="L511" s="12"/>
      <c r="Q511" s="218"/>
      <c r="R511" s="218"/>
      <c r="S511" s="218"/>
      <c r="T511" s="218"/>
    </row>
    <row r="512">
      <c r="D512" s="3"/>
      <c r="E512" s="112"/>
      <c r="F512" s="3"/>
      <c r="G512" s="12"/>
      <c r="J512" s="12"/>
      <c r="L512" s="12"/>
      <c r="Q512" s="218"/>
      <c r="R512" s="218"/>
      <c r="S512" s="218"/>
      <c r="T512" s="218"/>
    </row>
    <row r="513">
      <c r="D513" s="3"/>
      <c r="E513" s="112"/>
      <c r="F513" s="3"/>
      <c r="G513" s="12"/>
      <c r="J513" s="12"/>
      <c r="L513" s="12"/>
      <c r="Q513" s="218"/>
      <c r="R513" s="218"/>
      <c r="S513" s="218"/>
      <c r="T513" s="218"/>
    </row>
    <row r="514">
      <c r="D514" s="3"/>
      <c r="E514" s="112"/>
      <c r="F514" s="3"/>
      <c r="G514" s="12"/>
      <c r="J514" s="12"/>
      <c r="L514" s="12"/>
      <c r="Q514" s="218"/>
      <c r="R514" s="218"/>
      <c r="S514" s="218"/>
      <c r="T514" s="218"/>
    </row>
    <row r="515">
      <c r="D515" s="3"/>
      <c r="E515" s="112"/>
      <c r="F515" s="3"/>
      <c r="G515" s="12"/>
      <c r="J515" s="12"/>
      <c r="L515" s="12"/>
      <c r="Q515" s="218"/>
      <c r="R515" s="218"/>
      <c r="S515" s="218"/>
      <c r="T515" s="218"/>
    </row>
    <row r="516">
      <c r="D516" s="3"/>
      <c r="E516" s="112"/>
      <c r="F516" s="3"/>
      <c r="G516" s="12"/>
      <c r="J516" s="12"/>
      <c r="L516" s="12"/>
      <c r="Q516" s="218"/>
      <c r="R516" s="218"/>
      <c r="S516" s="218"/>
      <c r="T516" s="218"/>
    </row>
    <row r="517">
      <c r="D517" s="3"/>
      <c r="E517" s="112"/>
      <c r="F517" s="3"/>
      <c r="G517" s="12"/>
      <c r="J517" s="12"/>
      <c r="L517" s="12"/>
      <c r="Q517" s="218"/>
      <c r="R517" s="218"/>
      <c r="S517" s="218"/>
      <c r="T517" s="218"/>
    </row>
    <row r="518">
      <c r="D518" s="3"/>
      <c r="E518" s="112"/>
      <c r="F518" s="3"/>
      <c r="G518" s="12"/>
      <c r="J518" s="12"/>
      <c r="L518" s="12"/>
      <c r="Q518" s="218"/>
      <c r="R518" s="218"/>
      <c r="S518" s="218"/>
      <c r="T518" s="218"/>
    </row>
    <row r="519">
      <c r="D519" s="3"/>
      <c r="E519" s="112"/>
      <c r="F519" s="3"/>
      <c r="G519" s="12"/>
      <c r="J519" s="12"/>
      <c r="L519" s="12"/>
      <c r="Q519" s="218"/>
      <c r="R519" s="218"/>
      <c r="S519" s="218"/>
      <c r="T519" s="218"/>
    </row>
    <row r="520">
      <c r="D520" s="3"/>
      <c r="E520" s="112"/>
      <c r="F520" s="3"/>
      <c r="G520" s="12"/>
      <c r="J520" s="12"/>
      <c r="L520" s="12"/>
      <c r="Q520" s="218"/>
      <c r="R520" s="218"/>
      <c r="S520" s="218"/>
      <c r="T520" s="218"/>
    </row>
    <row r="521">
      <c r="D521" s="3"/>
      <c r="E521" s="112"/>
      <c r="F521" s="3"/>
      <c r="G521" s="12"/>
      <c r="J521" s="12"/>
      <c r="L521" s="12"/>
      <c r="Q521" s="218"/>
      <c r="R521" s="218"/>
      <c r="S521" s="218"/>
      <c r="T521" s="218"/>
    </row>
    <row r="522">
      <c r="D522" s="3"/>
      <c r="E522" s="112"/>
      <c r="F522" s="3"/>
      <c r="G522" s="12"/>
      <c r="J522" s="12"/>
      <c r="L522" s="12"/>
      <c r="Q522" s="218"/>
      <c r="R522" s="218"/>
      <c r="S522" s="218"/>
      <c r="T522" s="218"/>
    </row>
    <row r="523">
      <c r="D523" s="3"/>
      <c r="E523" s="112"/>
      <c r="F523" s="3"/>
      <c r="G523" s="12"/>
      <c r="J523" s="12"/>
      <c r="L523" s="12"/>
      <c r="Q523" s="218"/>
      <c r="R523" s="218"/>
      <c r="S523" s="218"/>
      <c r="T523" s="218"/>
    </row>
    <row r="524">
      <c r="D524" s="3"/>
      <c r="E524" s="112"/>
      <c r="F524" s="3"/>
      <c r="G524" s="12"/>
      <c r="J524" s="12"/>
      <c r="L524" s="12"/>
      <c r="Q524" s="218"/>
      <c r="R524" s="218"/>
      <c r="S524" s="218"/>
      <c r="T524" s="218"/>
    </row>
    <row r="525">
      <c r="D525" s="3"/>
      <c r="E525" s="112"/>
      <c r="F525" s="3"/>
      <c r="G525" s="12"/>
      <c r="J525" s="12"/>
      <c r="L525" s="12"/>
      <c r="Q525" s="218"/>
      <c r="R525" s="218"/>
      <c r="S525" s="218"/>
      <c r="T525" s="218"/>
    </row>
    <row r="526">
      <c r="D526" s="3"/>
      <c r="E526" s="112"/>
      <c r="F526" s="3"/>
      <c r="G526" s="12"/>
      <c r="J526" s="12"/>
      <c r="L526" s="12"/>
      <c r="Q526" s="218"/>
      <c r="R526" s="218"/>
      <c r="S526" s="218"/>
      <c r="T526" s="218"/>
    </row>
    <row r="527">
      <c r="D527" s="3"/>
      <c r="E527" s="112"/>
      <c r="F527" s="3"/>
      <c r="G527" s="12"/>
      <c r="J527" s="12"/>
      <c r="L527" s="12"/>
      <c r="Q527" s="218"/>
      <c r="R527" s="218"/>
      <c r="S527" s="218"/>
      <c r="T527" s="218"/>
    </row>
    <row r="528">
      <c r="D528" s="3"/>
      <c r="E528" s="112"/>
      <c r="F528" s="3"/>
      <c r="G528" s="12"/>
      <c r="J528" s="12"/>
      <c r="L528" s="12"/>
      <c r="Q528" s="218"/>
      <c r="R528" s="218"/>
      <c r="S528" s="218"/>
      <c r="T528" s="218"/>
    </row>
    <row r="529">
      <c r="D529" s="3"/>
      <c r="E529" s="112"/>
      <c r="F529" s="3"/>
      <c r="G529" s="12"/>
      <c r="J529" s="12"/>
      <c r="L529" s="12"/>
      <c r="Q529" s="218"/>
      <c r="R529" s="218"/>
      <c r="S529" s="218"/>
      <c r="T529" s="218"/>
    </row>
    <row r="530">
      <c r="D530" s="3"/>
      <c r="E530" s="112"/>
      <c r="F530" s="3"/>
      <c r="G530" s="12"/>
      <c r="J530" s="12"/>
      <c r="L530" s="12"/>
      <c r="Q530" s="218"/>
      <c r="R530" s="218"/>
      <c r="S530" s="218"/>
      <c r="T530" s="218"/>
    </row>
    <row r="531">
      <c r="D531" s="3"/>
      <c r="E531" s="112"/>
      <c r="F531" s="3"/>
      <c r="G531" s="12"/>
      <c r="J531" s="12"/>
      <c r="L531" s="12"/>
      <c r="Q531" s="218"/>
      <c r="R531" s="218"/>
      <c r="S531" s="218"/>
      <c r="T531" s="218"/>
    </row>
    <row r="532">
      <c r="D532" s="3"/>
      <c r="E532" s="112"/>
      <c r="F532" s="3"/>
      <c r="G532" s="12"/>
      <c r="J532" s="12"/>
      <c r="L532" s="12"/>
      <c r="Q532" s="218"/>
      <c r="R532" s="218"/>
      <c r="S532" s="218"/>
      <c r="T532" s="218"/>
    </row>
    <row r="533">
      <c r="D533" s="3"/>
      <c r="E533" s="112"/>
      <c r="F533" s="3"/>
      <c r="G533" s="12"/>
      <c r="J533" s="12"/>
      <c r="L533" s="12"/>
      <c r="Q533" s="218"/>
      <c r="R533" s="218"/>
      <c r="S533" s="218"/>
      <c r="T533" s="218"/>
    </row>
    <row r="534">
      <c r="D534" s="3"/>
      <c r="E534" s="112"/>
      <c r="F534" s="3"/>
      <c r="G534" s="12"/>
      <c r="J534" s="12"/>
      <c r="L534" s="12"/>
      <c r="Q534" s="218"/>
      <c r="R534" s="218"/>
      <c r="S534" s="218"/>
      <c r="T534" s="218"/>
    </row>
    <row r="535">
      <c r="D535" s="3"/>
      <c r="E535" s="112"/>
      <c r="F535" s="3"/>
      <c r="G535" s="12"/>
      <c r="J535" s="12"/>
      <c r="L535" s="12"/>
      <c r="Q535" s="218"/>
      <c r="R535" s="218"/>
      <c r="S535" s="218"/>
      <c r="T535" s="218"/>
    </row>
    <row r="536">
      <c r="D536" s="3"/>
      <c r="E536" s="112"/>
      <c r="F536" s="3"/>
      <c r="G536" s="12"/>
      <c r="J536" s="12"/>
      <c r="L536" s="12"/>
      <c r="Q536" s="218"/>
      <c r="R536" s="218"/>
      <c r="S536" s="218"/>
      <c r="T536" s="218"/>
    </row>
    <row r="537">
      <c r="D537" s="3"/>
      <c r="E537" s="112"/>
      <c r="F537" s="3"/>
      <c r="G537" s="12"/>
      <c r="J537" s="12"/>
      <c r="L537" s="12"/>
      <c r="Q537" s="218"/>
      <c r="R537" s="218"/>
      <c r="S537" s="218"/>
      <c r="T537" s="218"/>
    </row>
    <row r="538">
      <c r="D538" s="3"/>
      <c r="E538" s="112"/>
      <c r="F538" s="3"/>
      <c r="G538" s="12"/>
      <c r="J538" s="12"/>
      <c r="L538" s="12"/>
      <c r="Q538" s="218"/>
      <c r="R538" s="218"/>
      <c r="S538" s="218"/>
      <c r="T538" s="218"/>
    </row>
    <row r="539">
      <c r="D539" s="3"/>
      <c r="E539" s="112"/>
      <c r="F539" s="3"/>
      <c r="G539" s="12"/>
      <c r="J539" s="12"/>
      <c r="L539" s="12"/>
      <c r="Q539" s="218"/>
      <c r="R539" s="218"/>
      <c r="S539" s="218"/>
      <c r="T539" s="218"/>
    </row>
    <row r="540">
      <c r="D540" s="3"/>
      <c r="E540" s="112"/>
      <c r="F540" s="3"/>
      <c r="G540" s="12"/>
      <c r="J540" s="12"/>
      <c r="L540" s="12"/>
      <c r="Q540" s="218"/>
      <c r="R540" s="218"/>
      <c r="S540" s="218"/>
      <c r="T540" s="218"/>
    </row>
    <row r="541">
      <c r="D541" s="3"/>
      <c r="E541" s="112"/>
      <c r="F541" s="3"/>
      <c r="G541" s="12"/>
      <c r="J541" s="12"/>
      <c r="L541" s="12"/>
      <c r="Q541" s="218"/>
      <c r="R541" s="218"/>
      <c r="S541" s="218"/>
      <c r="T541" s="218"/>
    </row>
    <row r="542">
      <c r="D542" s="3"/>
      <c r="E542" s="112"/>
      <c r="F542" s="3"/>
      <c r="G542" s="12"/>
      <c r="J542" s="12"/>
      <c r="L542" s="12"/>
      <c r="Q542" s="218"/>
      <c r="R542" s="218"/>
      <c r="S542" s="218"/>
      <c r="T542" s="218"/>
    </row>
    <row r="543">
      <c r="D543" s="3"/>
      <c r="E543" s="112"/>
      <c r="F543" s="3"/>
      <c r="G543" s="12"/>
      <c r="J543" s="12"/>
      <c r="L543" s="12"/>
      <c r="Q543" s="218"/>
      <c r="R543" s="218"/>
      <c r="S543" s="218"/>
      <c r="T543" s="218"/>
    </row>
    <row r="544">
      <c r="D544" s="3"/>
      <c r="E544" s="112"/>
      <c r="F544" s="3"/>
      <c r="G544" s="12"/>
      <c r="J544" s="12"/>
      <c r="L544" s="12"/>
      <c r="Q544" s="218"/>
      <c r="R544" s="218"/>
      <c r="S544" s="218"/>
      <c r="T544" s="218"/>
    </row>
    <row r="545">
      <c r="D545" s="3"/>
      <c r="E545" s="112"/>
      <c r="F545" s="3"/>
      <c r="G545" s="12"/>
      <c r="J545" s="12"/>
      <c r="L545" s="12"/>
      <c r="Q545" s="218"/>
      <c r="R545" s="218"/>
      <c r="S545" s="218"/>
      <c r="T545" s="218"/>
    </row>
    <row r="546">
      <c r="D546" s="3"/>
      <c r="E546" s="112"/>
      <c r="F546" s="3"/>
      <c r="G546" s="12"/>
      <c r="J546" s="12"/>
      <c r="L546" s="12"/>
      <c r="Q546" s="218"/>
      <c r="R546" s="218"/>
      <c r="S546" s="218"/>
      <c r="T546" s="218"/>
    </row>
    <row r="547">
      <c r="D547" s="3"/>
      <c r="E547" s="112"/>
      <c r="F547" s="3"/>
      <c r="G547" s="12"/>
      <c r="J547" s="12"/>
      <c r="L547" s="12"/>
      <c r="Q547" s="218"/>
      <c r="R547" s="218"/>
      <c r="S547" s="218"/>
      <c r="T547" s="218"/>
    </row>
    <row r="548">
      <c r="D548" s="3"/>
      <c r="E548" s="112"/>
      <c r="F548" s="3"/>
      <c r="G548" s="12"/>
      <c r="J548" s="12"/>
      <c r="L548" s="12"/>
      <c r="Q548" s="218"/>
      <c r="R548" s="218"/>
      <c r="S548" s="218"/>
      <c r="T548" s="218"/>
    </row>
    <row r="549">
      <c r="D549" s="3"/>
      <c r="E549" s="112"/>
      <c r="F549" s="3"/>
      <c r="G549" s="12"/>
      <c r="J549" s="12"/>
      <c r="L549" s="12"/>
      <c r="Q549" s="218"/>
      <c r="R549" s="218"/>
      <c r="S549" s="218"/>
      <c r="T549" s="218"/>
    </row>
    <row r="550">
      <c r="D550" s="3"/>
      <c r="E550" s="112"/>
      <c r="F550" s="3"/>
      <c r="G550" s="12"/>
      <c r="J550" s="12"/>
      <c r="L550" s="12"/>
      <c r="Q550" s="218"/>
      <c r="R550" s="218"/>
      <c r="S550" s="218"/>
      <c r="T550" s="218"/>
    </row>
    <row r="551">
      <c r="D551" s="3"/>
      <c r="E551" s="112"/>
      <c r="F551" s="3"/>
      <c r="G551" s="12"/>
      <c r="J551" s="12"/>
      <c r="L551" s="12"/>
      <c r="Q551" s="218"/>
      <c r="R551" s="218"/>
      <c r="S551" s="218"/>
      <c r="T551" s="218"/>
    </row>
    <row r="552">
      <c r="D552" s="3"/>
      <c r="E552" s="112"/>
      <c r="F552" s="3"/>
      <c r="G552" s="12"/>
      <c r="J552" s="12"/>
      <c r="L552" s="12"/>
      <c r="Q552" s="218"/>
      <c r="R552" s="218"/>
      <c r="S552" s="218"/>
      <c r="T552" s="218"/>
    </row>
    <row r="553">
      <c r="D553" s="3"/>
      <c r="E553" s="112"/>
      <c r="F553" s="3"/>
      <c r="G553" s="12"/>
      <c r="J553" s="12"/>
      <c r="L553" s="12"/>
      <c r="Q553" s="218"/>
      <c r="R553" s="218"/>
      <c r="S553" s="218"/>
      <c r="T553" s="218"/>
    </row>
    <row r="554">
      <c r="D554" s="3"/>
      <c r="E554" s="112"/>
      <c r="F554" s="3"/>
      <c r="G554" s="12"/>
      <c r="J554" s="12"/>
      <c r="L554" s="12"/>
      <c r="Q554" s="218"/>
      <c r="R554" s="218"/>
      <c r="S554" s="218"/>
      <c r="T554" s="218"/>
    </row>
    <row r="555">
      <c r="D555" s="3"/>
      <c r="E555" s="112"/>
      <c r="F555" s="3"/>
      <c r="G555" s="12"/>
      <c r="J555" s="12"/>
      <c r="L555" s="12"/>
      <c r="Q555" s="218"/>
      <c r="R555" s="218"/>
      <c r="S555" s="218"/>
      <c r="T555" s="218"/>
    </row>
    <row r="556">
      <c r="D556" s="3"/>
      <c r="E556" s="112"/>
      <c r="F556" s="3"/>
      <c r="G556" s="12"/>
      <c r="J556" s="12"/>
      <c r="L556" s="12"/>
      <c r="Q556" s="218"/>
      <c r="R556" s="218"/>
      <c r="S556" s="218"/>
      <c r="T556" s="218"/>
    </row>
    <row r="557">
      <c r="D557" s="3"/>
      <c r="E557" s="112"/>
      <c r="F557" s="3"/>
      <c r="G557" s="12"/>
      <c r="J557" s="12"/>
      <c r="L557" s="12"/>
      <c r="Q557" s="218"/>
      <c r="R557" s="218"/>
      <c r="S557" s="218"/>
      <c r="T557" s="218"/>
    </row>
    <row r="558">
      <c r="D558" s="3"/>
      <c r="E558" s="112"/>
      <c r="F558" s="3"/>
      <c r="G558" s="12"/>
      <c r="J558" s="12"/>
      <c r="L558" s="12"/>
      <c r="Q558" s="218"/>
      <c r="R558" s="218"/>
      <c r="S558" s="218"/>
      <c r="T558" s="218"/>
    </row>
    <row r="559">
      <c r="D559" s="3"/>
      <c r="E559" s="112"/>
      <c r="F559" s="3"/>
      <c r="G559" s="12"/>
      <c r="J559" s="12"/>
      <c r="L559" s="12"/>
      <c r="Q559" s="218"/>
      <c r="R559" s="218"/>
      <c r="S559" s="218"/>
      <c r="T559" s="218"/>
    </row>
    <row r="560">
      <c r="D560" s="3"/>
      <c r="E560" s="112"/>
      <c r="F560" s="3"/>
      <c r="G560" s="12"/>
      <c r="J560" s="12"/>
      <c r="L560" s="12"/>
      <c r="Q560" s="218"/>
      <c r="R560" s="218"/>
      <c r="S560" s="218"/>
      <c r="T560" s="218"/>
    </row>
    <row r="561">
      <c r="D561" s="3"/>
      <c r="E561" s="112"/>
      <c r="F561" s="3"/>
      <c r="G561" s="12"/>
      <c r="J561" s="12"/>
      <c r="L561" s="12"/>
      <c r="Q561" s="218"/>
      <c r="R561" s="218"/>
      <c r="S561" s="218"/>
      <c r="T561" s="218"/>
    </row>
    <row r="562">
      <c r="D562" s="3"/>
      <c r="E562" s="112"/>
      <c r="F562" s="3"/>
      <c r="G562" s="12"/>
      <c r="J562" s="12"/>
      <c r="L562" s="12"/>
      <c r="Q562" s="218"/>
      <c r="R562" s="218"/>
      <c r="S562" s="218"/>
      <c r="T562" s="218"/>
    </row>
    <row r="563">
      <c r="D563" s="3"/>
      <c r="E563" s="112"/>
      <c r="F563" s="3"/>
      <c r="G563" s="12"/>
      <c r="J563" s="12"/>
      <c r="L563" s="12"/>
      <c r="Q563" s="218"/>
      <c r="R563" s="218"/>
      <c r="S563" s="218"/>
      <c r="T563" s="218"/>
    </row>
    <row r="564">
      <c r="D564" s="3"/>
      <c r="E564" s="112"/>
      <c r="F564" s="3"/>
      <c r="G564" s="12"/>
      <c r="J564" s="12"/>
      <c r="L564" s="12"/>
      <c r="Q564" s="218"/>
      <c r="R564" s="218"/>
      <c r="S564" s="218"/>
      <c r="T564" s="218"/>
    </row>
    <row r="565">
      <c r="D565" s="3"/>
      <c r="E565" s="112"/>
      <c r="F565" s="3"/>
      <c r="G565" s="12"/>
      <c r="J565" s="12"/>
      <c r="L565" s="12"/>
      <c r="Q565" s="218"/>
      <c r="R565" s="218"/>
      <c r="S565" s="218"/>
      <c r="T565" s="218"/>
    </row>
    <row r="566">
      <c r="D566" s="3"/>
      <c r="E566" s="112"/>
      <c r="F566" s="3"/>
      <c r="G566" s="12"/>
      <c r="J566" s="12"/>
      <c r="L566" s="12"/>
      <c r="Q566" s="218"/>
      <c r="R566" s="218"/>
      <c r="S566" s="218"/>
      <c r="T566" s="218"/>
    </row>
    <row r="567">
      <c r="D567" s="3"/>
      <c r="E567" s="112"/>
      <c r="F567" s="3"/>
      <c r="G567" s="12"/>
      <c r="J567" s="12"/>
      <c r="L567" s="12"/>
      <c r="Q567" s="218"/>
      <c r="R567" s="218"/>
      <c r="S567" s="218"/>
      <c r="T567" s="218"/>
    </row>
    <row r="568">
      <c r="D568" s="3"/>
      <c r="E568" s="112"/>
      <c r="F568" s="3"/>
      <c r="G568" s="12"/>
      <c r="J568" s="12"/>
      <c r="L568" s="12"/>
      <c r="Q568" s="218"/>
      <c r="R568" s="218"/>
      <c r="S568" s="218"/>
      <c r="T568" s="218"/>
    </row>
    <row r="569">
      <c r="D569" s="3"/>
      <c r="E569" s="112"/>
      <c r="F569" s="3"/>
      <c r="G569" s="12"/>
      <c r="J569" s="12"/>
      <c r="L569" s="12"/>
      <c r="Q569" s="218"/>
      <c r="R569" s="218"/>
      <c r="S569" s="218"/>
      <c r="T569" s="218"/>
    </row>
    <row r="570">
      <c r="D570" s="3"/>
      <c r="E570" s="112"/>
      <c r="F570" s="3"/>
      <c r="G570" s="12"/>
      <c r="J570" s="12"/>
      <c r="L570" s="12"/>
      <c r="Q570" s="218"/>
      <c r="R570" s="218"/>
      <c r="S570" s="218"/>
      <c r="T570" s="218"/>
    </row>
    <row r="571">
      <c r="D571" s="3"/>
      <c r="E571" s="112"/>
      <c r="F571" s="3"/>
      <c r="G571" s="12"/>
      <c r="J571" s="12"/>
      <c r="L571" s="12"/>
      <c r="Q571" s="218"/>
      <c r="R571" s="218"/>
      <c r="S571" s="218"/>
      <c r="T571" s="218"/>
    </row>
    <row r="572">
      <c r="D572" s="3"/>
      <c r="E572" s="112"/>
      <c r="F572" s="3"/>
      <c r="G572" s="12"/>
      <c r="J572" s="12"/>
      <c r="L572" s="12"/>
      <c r="Q572" s="218"/>
      <c r="R572" s="218"/>
      <c r="S572" s="218"/>
      <c r="T572" s="218"/>
    </row>
    <row r="573">
      <c r="D573" s="3"/>
      <c r="E573" s="112"/>
      <c r="F573" s="3"/>
      <c r="G573" s="12"/>
      <c r="J573" s="12"/>
      <c r="L573" s="12"/>
      <c r="Q573" s="218"/>
      <c r="R573" s="218"/>
      <c r="S573" s="218"/>
      <c r="T573" s="218"/>
    </row>
    <row r="574">
      <c r="D574" s="3"/>
      <c r="E574" s="112"/>
      <c r="F574" s="3"/>
      <c r="G574" s="12"/>
      <c r="J574" s="12"/>
      <c r="L574" s="12"/>
      <c r="Q574" s="218"/>
      <c r="R574" s="218"/>
      <c r="S574" s="218"/>
      <c r="T574" s="218"/>
    </row>
    <row r="575">
      <c r="D575" s="3"/>
      <c r="E575" s="112"/>
      <c r="F575" s="3"/>
      <c r="G575" s="12"/>
      <c r="J575" s="12"/>
      <c r="L575" s="12"/>
      <c r="Q575" s="218"/>
      <c r="R575" s="218"/>
      <c r="S575" s="218"/>
      <c r="T575" s="218"/>
    </row>
    <row r="576">
      <c r="D576" s="3"/>
      <c r="E576" s="112"/>
      <c r="F576" s="3"/>
      <c r="G576" s="12"/>
      <c r="J576" s="12"/>
      <c r="L576" s="12"/>
      <c r="Q576" s="218"/>
      <c r="R576" s="218"/>
      <c r="S576" s="218"/>
      <c r="T576" s="218"/>
    </row>
    <row r="577">
      <c r="D577" s="3"/>
      <c r="E577" s="112"/>
      <c r="F577" s="3"/>
      <c r="G577" s="12"/>
      <c r="J577" s="12"/>
      <c r="L577" s="12"/>
      <c r="Q577" s="218"/>
      <c r="R577" s="218"/>
      <c r="S577" s="218"/>
      <c r="T577" s="218"/>
    </row>
    <row r="578">
      <c r="D578" s="3"/>
      <c r="E578" s="112"/>
      <c r="F578" s="3"/>
      <c r="G578" s="12"/>
      <c r="J578" s="12"/>
      <c r="L578" s="12"/>
      <c r="Q578" s="218"/>
      <c r="R578" s="218"/>
      <c r="S578" s="218"/>
      <c r="T578" s="218"/>
    </row>
    <row r="579">
      <c r="D579" s="3"/>
      <c r="E579" s="112"/>
      <c r="F579" s="3"/>
      <c r="G579" s="12"/>
      <c r="J579" s="12"/>
      <c r="L579" s="12"/>
      <c r="Q579" s="218"/>
      <c r="R579" s="218"/>
      <c r="S579" s="218"/>
      <c r="T579" s="218"/>
    </row>
    <row r="580">
      <c r="D580" s="3"/>
      <c r="E580" s="112"/>
      <c r="F580" s="3"/>
      <c r="G580" s="12"/>
      <c r="J580" s="12"/>
      <c r="L580" s="12"/>
      <c r="Q580" s="218"/>
      <c r="R580" s="218"/>
      <c r="S580" s="218"/>
      <c r="T580" s="218"/>
    </row>
    <row r="581">
      <c r="D581" s="3"/>
      <c r="E581" s="112"/>
      <c r="F581" s="3"/>
      <c r="G581" s="12"/>
      <c r="J581" s="12"/>
      <c r="L581" s="12"/>
      <c r="Q581" s="218"/>
      <c r="R581" s="218"/>
      <c r="S581" s="218"/>
      <c r="T581" s="218"/>
    </row>
    <row r="582">
      <c r="D582" s="3"/>
      <c r="E582" s="112"/>
      <c r="F582" s="3"/>
      <c r="G582" s="12"/>
      <c r="J582" s="12"/>
      <c r="L582" s="12"/>
      <c r="Q582" s="218"/>
      <c r="R582" s="218"/>
      <c r="S582" s="218"/>
      <c r="T582" s="218"/>
    </row>
    <row r="583">
      <c r="D583" s="3"/>
      <c r="E583" s="112"/>
      <c r="F583" s="3"/>
      <c r="G583" s="12"/>
      <c r="J583" s="12"/>
      <c r="L583" s="12"/>
      <c r="Q583" s="218"/>
      <c r="R583" s="218"/>
      <c r="S583" s="218"/>
      <c r="T583" s="218"/>
    </row>
    <row r="584">
      <c r="D584" s="3"/>
      <c r="E584" s="112"/>
      <c r="F584" s="3"/>
      <c r="G584" s="12"/>
      <c r="J584" s="12"/>
      <c r="L584" s="12"/>
      <c r="Q584" s="218"/>
      <c r="R584" s="218"/>
      <c r="S584" s="218"/>
      <c r="T584" s="218"/>
    </row>
    <row r="585">
      <c r="D585" s="3"/>
      <c r="E585" s="112"/>
      <c r="F585" s="3"/>
      <c r="G585" s="12"/>
      <c r="J585" s="12"/>
      <c r="L585" s="12"/>
      <c r="Q585" s="218"/>
      <c r="R585" s="218"/>
      <c r="S585" s="218"/>
      <c r="T585" s="218"/>
    </row>
    <row r="586">
      <c r="D586" s="3"/>
      <c r="E586" s="112"/>
      <c r="F586" s="3"/>
      <c r="G586" s="12"/>
      <c r="J586" s="12"/>
      <c r="L586" s="12"/>
      <c r="Q586" s="218"/>
      <c r="R586" s="218"/>
      <c r="S586" s="218"/>
      <c r="T586" s="218"/>
    </row>
    <row r="587">
      <c r="D587" s="3"/>
      <c r="E587" s="112"/>
      <c r="F587" s="3"/>
      <c r="G587" s="12"/>
      <c r="J587" s="12"/>
      <c r="L587" s="12"/>
      <c r="Q587" s="218"/>
      <c r="R587" s="218"/>
      <c r="S587" s="218"/>
      <c r="T587" s="218"/>
    </row>
    <row r="588">
      <c r="D588" s="3"/>
      <c r="E588" s="112"/>
      <c r="F588" s="3"/>
      <c r="G588" s="12"/>
      <c r="J588" s="12"/>
      <c r="L588" s="12"/>
      <c r="Q588" s="218"/>
      <c r="R588" s="218"/>
      <c r="S588" s="218"/>
      <c r="T588" s="218"/>
    </row>
    <row r="589">
      <c r="D589" s="3"/>
      <c r="E589" s="112"/>
      <c r="F589" s="3"/>
      <c r="G589" s="12"/>
      <c r="J589" s="12"/>
      <c r="L589" s="12"/>
      <c r="Q589" s="218"/>
      <c r="R589" s="218"/>
      <c r="S589" s="218"/>
      <c r="T589" s="218"/>
    </row>
    <row r="590">
      <c r="D590" s="3"/>
      <c r="E590" s="112"/>
      <c r="F590" s="3"/>
      <c r="G590" s="12"/>
      <c r="J590" s="12"/>
      <c r="L590" s="12"/>
      <c r="Q590" s="218"/>
      <c r="R590" s="218"/>
      <c r="S590" s="218"/>
      <c r="T590" s="218"/>
    </row>
    <row r="591">
      <c r="D591" s="3"/>
      <c r="E591" s="112"/>
      <c r="F591" s="3"/>
      <c r="G591" s="12"/>
      <c r="J591" s="12"/>
      <c r="L591" s="12"/>
      <c r="Q591" s="218"/>
      <c r="R591" s="218"/>
      <c r="S591" s="218"/>
      <c r="T591" s="218"/>
    </row>
    <row r="592">
      <c r="D592" s="3"/>
      <c r="E592" s="112"/>
      <c r="F592" s="3"/>
      <c r="G592" s="12"/>
      <c r="J592" s="12"/>
      <c r="L592" s="12"/>
      <c r="Q592" s="218"/>
      <c r="R592" s="218"/>
      <c r="S592" s="218"/>
      <c r="T592" s="218"/>
    </row>
    <row r="593">
      <c r="D593" s="3"/>
      <c r="E593" s="112"/>
      <c r="F593" s="3"/>
      <c r="G593" s="12"/>
      <c r="J593" s="12"/>
      <c r="L593" s="12"/>
      <c r="Q593" s="218"/>
      <c r="R593" s="218"/>
      <c r="S593" s="218"/>
      <c r="T593" s="218"/>
    </row>
    <row r="594">
      <c r="D594" s="3"/>
      <c r="E594" s="112"/>
      <c r="F594" s="3"/>
      <c r="G594" s="12"/>
      <c r="J594" s="12"/>
      <c r="L594" s="12"/>
      <c r="Q594" s="218"/>
      <c r="R594" s="218"/>
      <c r="S594" s="218"/>
      <c r="T594" s="218"/>
    </row>
    <row r="595">
      <c r="D595" s="3"/>
      <c r="E595" s="112"/>
      <c r="F595" s="3"/>
      <c r="G595" s="12"/>
      <c r="J595" s="12"/>
      <c r="L595" s="12"/>
      <c r="Q595" s="218"/>
      <c r="R595" s="218"/>
      <c r="S595" s="218"/>
      <c r="T595" s="218"/>
    </row>
    <row r="596">
      <c r="D596" s="3"/>
      <c r="E596" s="112"/>
      <c r="F596" s="3"/>
      <c r="G596" s="12"/>
      <c r="J596" s="12"/>
      <c r="L596" s="12"/>
      <c r="Q596" s="218"/>
      <c r="R596" s="218"/>
      <c r="S596" s="218"/>
      <c r="T596" s="218"/>
    </row>
    <row r="597">
      <c r="D597" s="3"/>
      <c r="E597" s="112"/>
      <c r="F597" s="3"/>
      <c r="G597" s="12"/>
      <c r="J597" s="12"/>
      <c r="L597" s="12"/>
      <c r="Q597" s="218"/>
      <c r="R597" s="218"/>
      <c r="S597" s="218"/>
      <c r="T597" s="218"/>
    </row>
    <row r="598">
      <c r="D598" s="3"/>
      <c r="E598" s="112"/>
      <c r="F598" s="3"/>
      <c r="G598" s="12"/>
      <c r="J598" s="12"/>
      <c r="L598" s="12"/>
      <c r="Q598" s="218"/>
      <c r="R598" s="218"/>
      <c r="S598" s="218"/>
      <c r="T598" s="218"/>
    </row>
    <row r="599">
      <c r="D599" s="3"/>
      <c r="E599" s="112"/>
      <c r="F599" s="3"/>
      <c r="G599" s="12"/>
      <c r="J599" s="12"/>
      <c r="L599" s="12"/>
      <c r="Q599" s="218"/>
      <c r="R599" s="218"/>
      <c r="S599" s="218"/>
      <c r="T599" s="218"/>
    </row>
    <row r="600">
      <c r="D600" s="3"/>
      <c r="E600" s="112"/>
      <c r="F600" s="3"/>
      <c r="G600" s="12"/>
      <c r="J600" s="12"/>
      <c r="L600" s="12"/>
      <c r="Q600" s="218"/>
      <c r="R600" s="218"/>
      <c r="S600" s="218"/>
      <c r="T600" s="218"/>
    </row>
    <row r="601">
      <c r="D601" s="3"/>
      <c r="E601" s="112"/>
      <c r="F601" s="3"/>
      <c r="G601" s="12"/>
      <c r="J601" s="12"/>
      <c r="L601" s="12"/>
      <c r="Q601" s="218"/>
      <c r="R601" s="218"/>
      <c r="S601" s="218"/>
      <c r="T601" s="218"/>
    </row>
    <row r="602">
      <c r="D602" s="3"/>
      <c r="E602" s="112"/>
      <c r="F602" s="3"/>
      <c r="G602" s="12"/>
      <c r="J602" s="12"/>
      <c r="L602" s="12"/>
      <c r="Q602" s="218"/>
      <c r="R602" s="218"/>
      <c r="S602" s="218"/>
      <c r="T602" s="218"/>
    </row>
    <row r="603">
      <c r="D603" s="3"/>
      <c r="E603" s="112"/>
      <c r="F603" s="3"/>
      <c r="G603" s="12"/>
      <c r="J603" s="12"/>
      <c r="L603" s="12"/>
      <c r="Q603" s="218"/>
      <c r="R603" s="218"/>
      <c r="S603" s="218"/>
      <c r="T603" s="218"/>
    </row>
    <row r="604">
      <c r="D604" s="3"/>
      <c r="E604" s="112"/>
      <c r="F604" s="3"/>
      <c r="G604" s="12"/>
      <c r="J604" s="12"/>
      <c r="L604" s="12"/>
      <c r="Q604" s="218"/>
      <c r="R604" s="218"/>
      <c r="S604" s="218"/>
      <c r="T604" s="218"/>
    </row>
    <row r="605">
      <c r="D605" s="3"/>
      <c r="E605" s="112"/>
      <c r="F605" s="3"/>
      <c r="G605" s="12"/>
      <c r="J605" s="12"/>
      <c r="L605" s="12"/>
      <c r="Q605" s="218"/>
      <c r="R605" s="218"/>
      <c r="S605" s="218"/>
      <c r="T605" s="218"/>
    </row>
    <row r="606">
      <c r="D606" s="3"/>
      <c r="E606" s="112"/>
      <c r="F606" s="3"/>
      <c r="G606" s="12"/>
      <c r="J606" s="12"/>
      <c r="L606" s="12"/>
      <c r="Q606" s="218"/>
      <c r="R606" s="218"/>
      <c r="S606" s="218"/>
      <c r="T606" s="218"/>
    </row>
    <row r="607">
      <c r="D607" s="3"/>
      <c r="E607" s="112"/>
      <c r="F607" s="3"/>
      <c r="G607" s="12"/>
      <c r="J607" s="12"/>
      <c r="L607" s="12"/>
      <c r="Q607" s="218"/>
      <c r="R607" s="218"/>
      <c r="S607" s="218"/>
      <c r="T607" s="218"/>
    </row>
    <row r="608">
      <c r="D608" s="3"/>
      <c r="E608" s="112"/>
      <c r="F608" s="3"/>
      <c r="G608" s="12"/>
      <c r="J608" s="12"/>
      <c r="L608" s="12"/>
      <c r="Q608" s="218"/>
      <c r="R608" s="218"/>
      <c r="S608" s="218"/>
      <c r="T608" s="218"/>
    </row>
    <row r="609">
      <c r="D609" s="3"/>
      <c r="E609" s="112"/>
      <c r="F609" s="3"/>
      <c r="G609" s="12"/>
      <c r="J609" s="12"/>
      <c r="L609" s="12"/>
      <c r="Q609" s="218"/>
      <c r="R609" s="218"/>
      <c r="S609" s="218"/>
      <c r="T609" s="218"/>
    </row>
    <row r="610">
      <c r="D610" s="3"/>
      <c r="E610" s="112"/>
      <c r="F610" s="3"/>
      <c r="G610" s="12"/>
      <c r="J610" s="12"/>
      <c r="L610" s="12"/>
      <c r="Q610" s="218"/>
      <c r="R610" s="218"/>
      <c r="S610" s="218"/>
      <c r="T610" s="218"/>
    </row>
    <row r="611">
      <c r="D611" s="3"/>
      <c r="E611" s="112"/>
      <c r="F611" s="3"/>
      <c r="G611" s="12"/>
      <c r="J611" s="12"/>
      <c r="L611" s="12"/>
      <c r="Q611" s="218"/>
      <c r="R611" s="218"/>
      <c r="S611" s="218"/>
      <c r="T611" s="218"/>
    </row>
    <row r="612">
      <c r="D612" s="3"/>
      <c r="E612" s="112"/>
      <c r="F612" s="3"/>
      <c r="G612" s="12"/>
      <c r="J612" s="12"/>
      <c r="L612" s="12"/>
      <c r="Q612" s="218"/>
      <c r="R612" s="218"/>
      <c r="S612" s="218"/>
      <c r="T612" s="218"/>
    </row>
    <row r="613">
      <c r="D613" s="3"/>
      <c r="E613" s="112"/>
      <c r="F613" s="3"/>
      <c r="G613" s="12"/>
      <c r="J613" s="12"/>
      <c r="L613" s="12"/>
      <c r="Q613" s="218"/>
      <c r="R613" s="218"/>
      <c r="S613" s="218"/>
      <c r="T613" s="218"/>
    </row>
    <row r="614">
      <c r="D614" s="3"/>
      <c r="E614" s="112"/>
      <c r="F614" s="3"/>
      <c r="G614" s="12"/>
      <c r="J614" s="12"/>
      <c r="L614" s="12"/>
      <c r="Q614" s="218"/>
      <c r="R614" s="218"/>
      <c r="S614" s="218"/>
      <c r="T614" s="218"/>
    </row>
    <row r="615">
      <c r="D615" s="3"/>
      <c r="E615" s="112"/>
      <c r="F615" s="3"/>
      <c r="G615" s="12"/>
      <c r="J615" s="12"/>
      <c r="L615" s="12"/>
      <c r="Q615" s="218"/>
      <c r="R615" s="218"/>
      <c r="S615" s="218"/>
      <c r="T615" s="218"/>
    </row>
    <row r="616">
      <c r="D616" s="3"/>
      <c r="E616" s="112"/>
      <c r="F616" s="3"/>
      <c r="G616" s="12"/>
      <c r="J616" s="12"/>
      <c r="L616" s="12"/>
      <c r="Q616" s="218"/>
      <c r="R616" s="218"/>
      <c r="S616" s="218"/>
      <c r="T616" s="218"/>
    </row>
    <row r="617">
      <c r="D617" s="3"/>
      <c r="E617" s="112"/>
      <c r="F617" s="3"/>
      <c r="G617" s="12"/>
      <c r="J617" s="12"/>
      <c r="L617" s="12"/>
      <c r="Q617" s="218"/>
      <c r="R617" s="218"/>
      <c r="S617" s="218"/>
      <c r="T617" s="218"/>
    </row>
    <row r="618">
      <c r="D618" s="3"/>
      <c r="E618" s="112"/>
      <c r="F618" s="3"/>
      <c r="G618" s="12"/>
      <c r="J618" s="12"/>
      <c r="L618" s="12"/>
      <c r="Q618" s="218"/>
      <c r="R618" s="218"/>
      <c r="S618" s="218"/>
      <c r="T618" s="218"/>
    </row>
    <row r="619">
      <c r="D619" s="3"/>
      <c r="E619" s="112"/>
      <c r="F619" s="3"/>
      <c r="G619" s="12"/>
      <c r="J619" s="12"/>
      <c r="L619" s="12"/>
      <c r="Q619" s="218"/>
      <c r="R619" s="218"/>
      <c r="S619" s="218"/>
      <c r="T619" s="218"/>
    </row>
    <row r="620">
      <c r="D620" s="3"/>
      <c r="E620" s="112"/>
      <c r="F620" s="3"/>
      <c r="G620" s="12"/>
      <c r="J620" s="12"/>
      <c r="L620" s="12"/>
      <c r="Q620" s="218"/>
      <c r="R620" s="218"/>
      <c r="S620" s="218"/>
      <c r="T620" s="218"/>
    </row>
    <row r="621">
      <c r="D621" s="3"/>
      <c r="E621" s="112"/>
      <c r="F621" s="3"/>
      <c r="G621" s="12"/>
      <c r="J621" s="12"/>
      <c r="L621" s="12"/>
      <c r="Q621" s="218"/>
      <c r="R621" s="218"/>
      <c r="S621" s="218"/>
      <c r="T621" s="218"/>
    </row>
    <row r="622">
      <c r="D622" s="3"/>
      <c r="E622" s="112"/>
      <c r="F622" s="3"/>
      <c r="G622" s="12"/>
      <c r="J622" s="12"/>
      <c r="L622" s="12"/>
      <c r="Q622" s="218"/>
      <c r="R622" s="218"/>
      <c r="S622" s="218"/>
      <c r="T622" s="218"/>
    </row>
    <row r="623">
      <c r="D623" s="3"/>
      <c r="E623" s="112"/>
      <c r="F623" s="3"/>
      <c r="G623" s="12"/>
      <c r="J623" s="12"/>
      <c r="L623" s="12"/>
      <c r="Q623" s="218"/>
      <c r="R623" s="218"/>
      <c r="S623" s="218"/>
      <c r="T623" s="218"/>
    </row>
    <row r="624">
      <c r="D624" s="3"/>
      <c r="E624" s="112"/>
      <c r="F624" s="3"/>
      <c r="G624" s="12"/>
      <c r="J624" s="12"/>
      <c r="L624" s="12"/>
      <c r="Q624" s="218"/>
      <c r="R624" s="218"/>
      <c r="S624" s="218"/>
      <c r="T624" s="218"/>
    </row>
    <row r="625">
      <c r="D625" s="3"/>
      <c r="E625" s="112"/>
      <c r="F625" s="3"/>
      <c r="G625" s="12"/>
      <c r="J625" s="12"/>
      <c r="L625" s="12"/>
      <c r="Q625" s="218"/>
      <c r="R625" s="218"/>
      <c r="S625" s="218"/>
      <c r="T625" s="218"/>
    </row>
    <row r="626">
      <c r="D626" s="3"/>
      <c r="E626" s="112"/>
      <c r="F626" s="3"/>
      <c r="G626" s="12"/>
      <c r="J626" s="12"/>
      <c r="L626" s="12"/>
      <c r="Q626" s="218"/>
      <c r="R626" s="218"/>
      <c r="S626" s="218"/>
      <c r="T626" s="218"/>
    </row>
    <row r="627">
      <c r="D627" s="3"/>
      <c r="E627" s="112"/>
      <c r="F627" s="3"/>
      <c r="G627" s="12"/>
      <c r="J627" s="12"/>
      <c r="L627" s="12"/>
      <c r="Q627" s="218"/>
      <c r="R627" s="218"/>
      <c r="S627" s="218"/>
      <c r="T627" s="218"/>
    </row>
    <row r="628">
      <c r="D628" s="3"/>
      <c r="E628" s="112"/>
      <c r="F628" s="3"/>
      <c r="G628" s="12"/>
      <c r="J628" s="12"/>
      <c r="L628" s="12"/>
      <c r="Q628" s="218"/>
      <c r="R628" s="218"/>
      <c r="S628" s="218"/>
      <c r="T628" s="218"/>
    </row>
    <row r="629">
      <c r="D629" s="3"/>
      <c r="E629" s="112"/>
      <c r="F629" s="3"/>
      <c r="G629" s="12"/>
      <c r="J629" s="12"/>
      <c r="L629" s="12"/>
      <c r="Q629" s="218"/>
      <c r="R629" s="218"/>
      <c r="S629" s="218"/>
      <c r="T629" s="218"/>
    </row>
    <row r="630">
      <c r="D630" s="3"/>
      <c r="E630" s="112"/>
      <c r="F630" s="3"/>
      <c r="G630" s="12"/>
      <c r="J630" s="12"/>
      <c r="L630" s="12"/>
      <c r="Q630" s="218"/>
      <c r="R630" s="218"/>
      <c r="S630" s="218"/>
      <c r="T630" s="218"/>
    </row>
    <row r="631">
      <c r="D631" s="3"/>
      <c r="E631" s="112"/>
      <c r="F631" s="3"/>
      <c r="G631" s="12"/>
      <c r="J631" s="12"/>
      <c r="L631" s="12"/>
      <c r="Q631" s="218"/>
      <c r="R631" s="218"/>
      <c r="S631" s="218"/>
      <c r="T631" s="218"/>
    </row>
    <row r="632">
      <c r="D632" s="3"/>
      <c r="E632" s="112"/>
      <c r="F632" s="3"/>
      <c r="G632" s="12"/>
      <c r="J632" s="12"/>
      <c r="L632" s="12"/>
      <c r="Q632" s="218"/>
      <c r="R632" s="218"/>
      <c r="S632" s="218"/>
      <c r="T632" s="218"/>
    </row>
    <row r="633">
      <c r="D633" s="3"/>
      <c r="E633" s="112"/>
      <c r="F633" s="3"/>
      <c r="G633" s="12"/>
      <c r="J633" s="12"/>
      <c r="L633" s="12"/>
      <c r="Q633" s="218"/>
      <c r="R633" s="218"/>
      <c r="S633" s="218"/>
      <c r="T633" s="218"/>
    </row>
    <row r="634">
      <c r="D634" s="3"/>
      <c r="E634" s="112"/>
      <c r="F634" s="3"/>
      <c r="G634" s="12"/>
      <c r="J634" s="12"/>
      <c r="L634" s="12"/>
      <c r="Q634" s="218"/>
      <c r="R634" s="218"/>
      <c r="S634" s="218"/>
      <c r="T634" s="218"/>
    </row>
    <row r="635">
      <c r="D635" s="3"/>
      <c r="E635" s="112"/>
      <c r="F635" s="3"/>
      <c r="G635" s="12"/>
      <c r="J635" s="12"/>
      <c r="L635" s="12"/>
      <c r="Q635" s="218"/>
      <c r="R635" s="218"/>
      <c r="S635" s="218"/>
      <c r="T635" s="218"/>
    </row>
    <row r="636">
      <c r="D636" s="3"/>
      <c r="E636" s="112"/>
      <c r="F636" s="3"/>
      <c r="G636" s="12"/>
      <c r="J636" s="12"/>
      <c r="L636" s="12"/>
      <c r="Q636" s="218"/>
      <c r="R636" s="218"/>
      <c r="S636" s="218"/>
      <c r="T636" s="218"/>
    </row>
    <row r="637">
      <c r="D637" s="3"/>
      <c r="E637" s="112"/>
      <c r="F637" s="3"/>
      <c r="G637" s="12"/>
      <c r="J637" s="12"/>
      <c r="L637" s="12"/>
      <c r="Q637" s="218"/>
      <c r="R637" s="218"/>
      <c r="S637" s="218"/>
      <c r="T637" s="218"/>
    </row>
    <row r="638">
      <c r="D638" s="3"/>
      <c r="E638" s="112"/>
      <c r="F638" s="3"/>
      <c r="G638" s="12"/>
      <c r="J638" s="12"/>
      <c r="L638" s="12"/>
      <c r="Q638" s="218"/>
      <c r="R638" s="218"/>
      <c r="S638" s="218"/>
      <c r="T638" s="218"/>
    </row>
    <row r="639">
      <c r="D639" s="3"/>
      <c r="E639" s="112"/>
      <c r="F639" s="3"/>
      <c r="G639" s="12"/>
      <c r="J639" s="12"/>
      <c r="L639" s="12"/>
      <c r="Q639" s="218"/>
      <c r="R639" s="218"/>
      <c r="S639" s="218"/>
      <c r="T639" s="218"/>
    </row>
    <row r="640">
      <c r="D640" s="3"/>
      <c r="E640" s="112"/>
      <c r="F640" s="3"/>
      <c r="G640" s="12"/>
      <c r="J640" s="12"/>
      <c r="L640" s="12"/>
      <c r="Q640" s="218"/>
      <c r="R640" s="218"/>
      <c r="S640" s="218"/>
      <c r="T640" s="218"/>
    </row>
    <row r="641">
      <c r="D641" s="3"/>
      <c r="E641" s="112"/>
      <c r="F641" s="3"/>
      <c r="G641" s="12"/>
      <c r="J641" s="12"/>
      <c r="L641" s="12"/>
      <c r="Q641" s="218"/>
      <c r="R641" s="218"/>
      <c r="S641" s="218"/>
      <c r="T641" s="218"/>
    </row>
    <row r="642">
      <c r="D642" s="3"/>
      <c r="E642" s="112"/>
      <c r="F642" s="3"/>
      <c r="G642" s="12"/>
      <c r="J642" s="12"/>
      <c r="L642" s="12"/>
      <c r="Q642" s="218"/>
      <c r="R642" s="218"/>
      <c r="S642" s="218"/>
      <c r="T642" s="218"/>
    </row>
    <row r="643">
      <c r="D643" s="3"/>
      <c r="E643" s="112"/>
      <c r="F643" s="3"/>
      <c r="G643" s="12"/>
      <c r="J643" s="12"/>
      <c r="L643" s="12"/>
      <c r="Q643" s="218"/>
      <c r="R643" s="218"/>
      <c r="S643" s="218"/>
      <c r="T643" s="218"/>
    </row>
    <row r="644">
      <c r="D644" s="3"/>
      <c r="E644" s="112"/>
      <c r="F644" s="3"/>
      <c r="G644" s="12"/>
      <c r="J644" s="12"/>
      <c r="L644" s="12"/>
      <c r="Q644" s="218"/>
      <c r="R644" s="218"/>
      <c r="S644" s="218"/>
      <c r="T644" s="218"/>
    </row>
    <row r="645">
      <c r="D645" s="3"/>
      <c r="E645" s="112"/>
      <c r="F645" s="3"/>
      <c r="G645" s="12"/>
      <c r="J645" s="12"/>
      <c r="L645" s="12"/>
      <c r="Q645" s="218"/>
      <c r="R645" s="218"/>
      <c r="S645" s="218"/>
      <c r="T645" s="218"/>
    </row>
    <row r="646">
      <c r="D646" s="3"/>
      <c r="E646" s="112"/>
      <c r="F646" s="3"/>
      <c r="G646" s="12"/>
      <c r="J646" s="12"/>
      <c r="L646" s="12"/>
      <c r="Q646" s="218"/>
      <c r="R646" s="218"/>
      <c r="S646" s="218"/>
      <c r="T646" s="218"/>
    </row>
    <row r="647">
      <c r="D647" s="3"/>
      <c r="E647" s="112"/>
      <c r="F647" s="3"/>
      <c r="G647" s="12"/>
      <c r="J647" s="12"/>
      <c r="L647" s="12"/>
      <c r="Q647" s="218"/>
      <c r="R647" s="218"/>
      <c r="S647" s="218"/>
      <c r="T647" s="218"/>
    </row>
    <row r="648">
      <c r="D648" s="3"/>
      <c r="E648" s="112"/>
      <c r="F648" s="3"/>
      <c r="G648" s="12"/>
      <c r="J648" s="12"/>
      <c r="L648" s="12"/>
      <c r="Q648" s="218"/>
      <c r="R648" s="218"/>
      <c r="S648" s="218"/>
      <c r="T648" s="218"/>
    </row>
    <row r="649">
      <c r="D649" s="3"/>
      <c r="E649" s="112"/>
      <c r="F649" s="3"/>
      <c r="G649" s="12"/>
      <c r="J649" s="12"/>
      <c r="L649" s="12"/>
      <c r="Q649" s="218"/>
      <c r="R649" s="218"/>
      <c r="S649" s="218"/>
      <c r="T649" s="218"/>
    </row>
    <row r="650">
      <c r="D650" s="3"/>
      <c r="E650" s="112"/>
      <c r="F650" s="3"/>
      <c r="G650" s="12"/>
      <c r="J650" s="12"/>
      <c r="L650" s="12"/>
      <c r="Q650" s="218"/>
      <c r="R650" s="218"/>
      <c r="S650" s="218"/>
      <c r="T650" s="218"/>
    </row>
    <row r="651">
      <c r="D651" s="3"/>
      <c r="E651" s="112"/>
      <c r="F651" s="3"/>
      <c r="G651" s="12"/>
      <c r="J651" s="12"/>
      <c r="L651" s="12"/>
      <c r="Q651" s="218"/>
      <c r="R651" s="218"/>
      <c r="S651" s="218"/>
      <c r="T651" s="218"/>
    </row>
    <row r="652">
      <c r="D652" s="3"/>
      <c r="E652" s="112"/>
      <c r="F652" s="3"/>
      <c r="G652" s="12"/>
      <c r="J652" s="12"/>
      <c r="L652" s="12"/>
      <c r="Q652" s="218"/>
      <c r="R652" s="218"/>
      <c r="S652" s="218"/>
      <c r="T652" s="218"/>
    </row>
    <row r="653">
      <c r="D653" s="3"/>
      <c r="E653" s="112"/>
      <c r="F653" s="3"/>
      <c r="G653" s="12"/>
      <c r="J653" s="12"/>
      <c r="L653" s="12"/>
      <c r="Q653" s="218"/>
      <c r="R653" s="218"/>
      <c r="S653" s="218"/>
      <c r="T653" s="218"/>
    </row>
    <row r="654">
      <c r="D654" s="3"/>
      <c r="E654" s="112"/>
      <c r="F654" s="3"/>
      <c r="G654" s="12"/>
      <c r="J654" s="12"/>
      <c r="L654" s="12"/>
      <c r="Q654" s="218"/>
      <c r="R654" s="218"/>
      <c r="S654" s="218"/>
      <c r="T654" s="218"/>
    </row>
    <row r="655">
      <c r="D655" s="3"/>
      <c r="E655" s="112"/>
      <c r="F655" s="3"/>
      <c r="G655" s="12"/>
      <c r="J655" s="12"/>
      <c r="L655" s="12"/>
      <c r="Q655" s="218"/>
      <c r="R655" s="218"/>
      <c r="S655" s="218"/>
      <c r="T655" s="218"/>
    </row>
    <row r="656">
      <c r="D656" s="3"/>
      <c r="E656" s="112"/>
      <c r="F656" s="3"/>
      <c r="G656" s="12"/>
      <c r="J656" s="12"/>
      <c r="L656" s="12"/>
      <c r="Q656" s="218"/>
      <c r="R656" s="218"/>
      <c r="S656" s="218"/>
      <c r="T656" s="218"/>
    </row>
    <row r="657">
      <c r="D657" s="3"/>
      <c r="E657" s="112"/>
      <c r="F657" s="3"/>
      <c r="G657" s="12"/>
      <c r="J657" s="12"/>
      <c r="L657" s="12"/>
      <c r="Q657" s="218"/>
      <c r="R657" s="218"/>
      <c r="S657" s="218"/>
      <c r="T657" s="218"/>
    </row>
    <row r="658">
      <c r="D658" s="3"/>
      <c r="E658" s="112"/>
      <c r="F658" s="3"/>
      <c r="G658" s="12"/>
      <c r="J658" s="12"/>
      <c r="L658" s="12"/>
      <c r="Q658" s="218"/>
      <c r="R658" s="218"/>
      <c r="S658" s="218"/>
      <c r="T658" s="218"/>
    </row>
    <row r="659">
      <c r="D659" s="3"/>
      <c r="E659" s="112"/>
      <c r="F659" s="3"/>
      <c r="G659" s="12"/>
      <c r="J659" s="12"/>
      <c r="L659" s="12"/>
      <c r="Q659" s="218"/>
      <c r="R659" s="218"/>
      <c r="S659" s="218"/>
      <c r="T659" s="218"/>
    </row>
    <row r="660">
      <c r="D660" s="3"/>
      <c r="E660" s="112"/>
      <c r="F660" s="3"/>
      <c r="G660" s="12"/>
      <c r="J660" s="12"/>
      <c r="L660" s="12"/>
      <c r="Q660" s="218"/>
      <c r="R660" s="218"/>
      <c r="S660" s="218"/>
      <c r="T660" s="218"/>
    </row>
    <row r="661">
      <c r="D661" s="3"/>
      <c r="E661" s="112"/>
      <c r="F661" s="3"/>
      <c r="G661" s="12"/>
      <c r="J661" s="12"/>
      <c r="L661" s="12"/>
      <c r="Q661" s="218"/>
      <c r="R661" s="218"/>
      <c r="S661" s="218"/>
      <c r="T661" s="218"/>
    </row>
    <row r="662">
      <c r="D662" s="3"/>
      <c r="E662" s="112"/>
      <c r="F662" s="3"/>
      <c r="G662" s="12"/>
      <c r="J662" s="12"/>
      <c r="L662" s="12"/>
      <c r="Q662" s="218"/>
      <c r="R662" s="218"/>
      <c r="S662" s="218"/>
      <c r="T662" s="218"/>
    </row>
    <row r="663">
      <c r="D663" s="3"/>
      <c r="E663" s="112"/>
      <c r="F663" s="3"/>
      <c r="G663" s="12"/>
      <c r="J663" s="12"/>
      <c r="L663" s="12"/>
      <c r="Q663" s="218"/>
      <c r="R663" s="218"/>
      <c r="S663" s="218"/>
      <c r="T663" s="218"/>
    </row>
    <row r="664">
      <c r="D664" s="3"/>
      <c r="E664" s="112"/>
      <c r="F664" s="3"/>
      <c r="G664" s="12"/>
      <c r="J664" s="12"/>
      <c r="L664" s="12"/>
      <c r="Q664" s="218"/>
      <c r="R664" s="218"/>
      <c r="S664" s="218"/>
      <c r="T664" s="218"/>
    </row>
    <row r="665">
      <c r="D665" s="3"/>
      <c r="E665" s="112"/>
      <c r="F665" s="3"/>
      <c r="G665" s="12"/>
      <c r="J665" s="12"/>
      <c r="L665" s="12"/>
      <c r="Q665" s="218"/>
      <c r="R665" s="218"/>
      <c r="S665" s="218"/>
      <c r="T665" s="218"/>
    </row>
    <row r="666">
      <c r="D666" s="3"/>
      <c r="E666" s="112"/>
      <c r="F666" s="3"/>
      <c r="G666" s="12"/>
      <c r="J666" s="12"/>
      <c r="L666" s="12"/>
      <c r="Q666" s="218"/>
      <c r="R666" s="218"/>
      <c r="S666" s="218"/>
      <c r="T666" s="218"/>
    </row>
    <row r="667">
      <c r="D667" s="3"/>
      <c r="E667" s="112"/>
      <c r="F667" s="3"/>
      <c r="G667" s="12"/>
      <c r="J667" s="12"/>
      <c r="L667" s="12"/>
      <c r="Q667" s="218"/>
      <c r="R667" s="218"/>
      <c r="S667" s="218"/>
      <c r="T667" s="218"/>
    </row>
    <row r="668">
      <c r="D668" s="3"/>
      <c r="E668" s="112"/>
      <c r="F668" s="3"/>
      <c r="G668" s="12"/>
      <c r="J668" s="12"/>
      <c r="L668" s="12"/>
      <c r="Q668" s="218"/>
      <c r="R668" s="218"/>
      <c r="S668" s="218"/>
      <c r="T668" s="218"/>
    </row>
    <row r="669">
      <c r="D669" s="3"/>
      <c r="E669" s="112"/>
      <c r="F669" s="3"/>
      <c r="G669" s="12"/>
      <c r="J669" s="12"/>
      <c r="L669" s="12"/>
      <c r="Q669" s="218"/>
      <c r="R669" s="218"/>
      <c r="S669" s="218"/>
      <c r="T669" s="218"/>
    </row>
    <row r="670">
      <c r="D670" s="3"/>
      <c r="E670" s="112"/>
      <c r="F670" s="3"/>
      <c r="G670" s="12"/>
      <c r="J670" s="12"/>
      <c r="L670" s="12"/>
      <c r="Q670" s="218"/>
      <c r="R670" s="218"/>
      <c r="S670" s="218"/>
      <c r="T670" s="218"/>
    </row>
    <row r="671">
      <c r="D671" s="3"/>
      <c r="E671" s="112"/>
      <c r="F671" s="3"/>
      <c r="G671" s="12"/>
      <c r="J671" s="12"/>
      <c r="L671" s="12"/>
      <c r="Q671" s="218"/>
      <c r="R671" s="218"/>
      <c r="S671" s="218"/>
      <c r="T671" s="218"/>
    </row>
    <row r="672">
      <c r="D672" s="3"/>
      <c r="E672" s="112"/>
      <c r="F672" s="3"/>
      <c r="G672" s="12"/>
      <c r="J672" s="12"/>
      <c r="L672" s="12"/>
      <c r="Q672" s="218"/>
      <c r="R672" s="218"/>
      <c r="S672" s="218"/>
      <c r="T672" s="218"/>
    </row>
    <row r="673">
      <c r="D673" s="3"/>
      <c r="E673" s="112"/>
      <c r="F673" s="3"/>
      <c r="G673" s="12"/>
      <c r="J673" s="12"/>
      <c r="L673" s="12"/>
      <c r="Q673" s="218"/>
      <c r="R673" s="218"/>
      <c r="S673" s="218"/>
      <c r="T673" s="218"/>
    </row>
    <row r="674">
      <c r="D674" s="3"/>
      <c r="E674" s="112"/>
      <c r="F674" s="3"/>
      <c r="G674" s="12"/>
      <c r="J674" s="12"/>
      <c r="L674" s="12"/>
      <c r="Q674" s="218"/>
      <c r="R674" s="218"/>
      <c r="S674" s="218"/>
      <c r="T674" s="218"/>
    </row>
    <row r="675">
      <c r="D675" s="3"/>
      <c r="E675" s="112"/>
      <c r="F675" s="3"/>
      <c r="G675" s="12"/>
      <c r="J675" s="12"/>
      <c r="L675" s="12"/>
      <c r="Q675" s="218"/>
      <c r="R675" s="218"/>
      <c r="S675" s="218"/>
      <c r="T675" s="218"/>
    </row>
    <row r="676">
      <c r="D676" s="3"/>
      <c r="E676" s="112"/>
      <c r="F676" s="3"/>
      <c r="G676" s="12"/>
      <c r="J676" s="12"/>
      <c r="L676" s="12"/>
      <c r="Q676" s="218"/>
      <c r="R676" s="218"/>
      <c r="S676" s="218"/>
      <c r="T676" s="218"/>
    </row>
    <row r="677">
      <c r="D677" s="3"/>
      <c r="E677" s="112"/>
      <c r="F677" s="3"/>
      <c r="G677" s="12"/>
      <c r="J677" s="12"/>
      <c r="L677" s="12"/>
      <c r="Q677" s="218"/>
      <c r="R677" s="218"/>
      <c r="S677" s="218"/>
      <c r="T677" s="218"/>
    </row>
    <row r="678">
      <c r="D678" s="3"/>
      <c r="E678" s="112"/>
      <c r="F678" s="3"/>
      <c r="G678" s="12"/>
      <c r="J678" s="12"/>
      <c r="L678" s="12"/>
      <c r="Q678" s="218"/>
      <c r="R678" s="218"/>
      <c r="S678" s="218"/>
      <c r="T678" s="218"/>
    </row>
    <row r="679">
      <c r="D679" s="3"/>
      <c r="E679" s="112"/>
      <c r="F679" s="3"/>
      <c r="G679" s="12"/>
      <c r="J679" s="12"/>
      <c r="L679" s="12"/>
      <c r="Q679" s="218"/>
      <c r="R679" s="218"/>
      <c r="S679" s="218"/>
      <c r="T679" s="218"/>
    </row>
    <row r="680">
      <c r="D680" s="3"/>
      <c r="E680" s="112"/>
      <c r="F680" s="3"/>
      <c r="G680" s="12"/>
      <c r="J680" s="12"/>
      <c r="L680" s="12"/>
      <c r="Q680" s="218"/>
      <c r="R680" s="218"/>
      <c r="S680" s="218"/>
      <c r="T680" s="218"/>
    </row>
    <row r="681">
      <c r="D681" s="3"/>
      <c r="E681" s="112"/>
      <c r="F681" s="3"/>
      <c r="G681" s="12"/>
      <c r="J681" s="12"/>
      <c r="L681" s="12"/>
      <c r="Q681" s="218"/>
      <c r="R681" s="218"/>
      <c r="S681" s="218"/>
      <c r="T681" s="218"/>
    </row>
    <row r="682">
      <c r="D682" s="3"/>
      <c r="E682" s="112"/>
      <c r="F682" s="3"/>
      <c r="G682" s="12"/>
      <c r="J682" s="12"/>
      <c r="L682" s="12"/>
      <c r="Q682" s="218"/>
      <c r="R682" s="218"/>
      <c r="S682" s="218"/>
      <c r="T682" s="218"/>
    </row>
    <row r="683">
      <c r="D683" s="3"/>
      <c r="E683" s="112"/>
      <c r="F683" s="3"/>
      <c r="G683" s="12"/>
      <c r="J683" s="12"/>
      <c r="L683" s="12"/>
      <c r="Q683" s="218"/>
      <c r="R683" s="218"/>
      <c r="S683" s="218"/>
      <c r="T683" s="218"/>
    </row>
    <row r="684">
      <c r="D684" s="3"/>
      <c r="E684" s="112"/>
      <c r="F684" s="3"/>
      <c r="G684" s="12"/>
      <c r="J684" s="12"/>
      <c r="L684" s="12"/>
      <c r="Q684" s="218"/>
      <c r="R684" s="218"/>
      <c r="S684" s="218"/>
      <c r="T684" s="218"/>
    </row>
    <row r="685">
      <c r="D685" s="3"/>
      <c r="E685" s="112"/>
      <c r="F685" s="3"/>
      <c r="G685" s="12"/>
      <c r="J685" s="12"/>
      <c r="L685" s="12"/>
      <c r="Q685" s="218"/>
      <c r="R685" s="218"/>
      <c r="S685" s="218"/>
      <c r="T685" s="218"/>
    </row>
    <row r="686">
      <c r="D686" s="3"/>
      <c r="E686" s="112"/>
      <c r="F686" s="3"/>
      <c r="G686" s="12"/>
      <c r="J686" s="12"/>
      <c r="L686" s="12"/>
      <c r="Q686" s="218"/>
      <c r="R686" s="218"/>
      <c r="S686" s="218"/>
      <c r="T686" s="218"/>
    </row>
    <row r="687">
      <c r="D687" s="3"/>
      <c r="E687" s="112"/>
      <c r="F687" s="3"/>
      <c r="G687" s="12"/>
      <c r="J687" s="12"/>
      <c r="L687" s="12"/>
      <c r="Q687" s="218"/>
      <c r="R687" s="218"/>
      <c r="S687" s="218"/>
      <c r="T687" s="218"/>
    </row>
    <row r="688">
      <c r="D688" s="3"/>
      <c r="E688" s="112"/>
      <c r="F688" s="3"/>
      <c r="G688" s="12"/>
      <c r="J688" s="12"/>
      <c r="L688" s="12"/>
      <c r="Q688" s="218"/>
      <c r="R688" s="218"/>
      <c r="S688" s="218"/>
      <c r="T688" s="218"/>
    </row>
    <row r="689">
      <c r="D689" s="3"/>
      <c r="E689" s="112"/>
      <c r="F689" s="3"/>
      <c r="G689" s="12"/>
      <c r="J689" s="12"/>
      <c r="L689" s="12"/>
      <c r="Q689" s="218"/>
      <c r="R689" s="218"/>
      <c r="S689" s="218"/>
      <c r="T689" s="218"/>
    </row>
    <row r="690">
      <c r="D690" s="3"/>
      <c r="E690" s="112"/>
      <c r="F690" s="3"/>
      <c r="G690" s="12"/>
      <c r="J690" s="12"/>
      <c r="L690" s="12"/>
      <c r="Q690" s="218"/>
      <c r="R690" s="218"/>
      <c r="S690" s="218"/>
      <c r="T690" s="218"/>
    </row>
    <row r="691">
      <c r="D691" s="3"/>
      <c r="E691" s="112"/>
      <c r="F691" s="3"/>
      <c r="G691" s="12"/>
      <c r="J691" s="12"/>
      <c r="L691" s="12"/>
      <c r="Q691" s="218"/>
      <c r="R691" s="218"/>
      <c r="S691" s="218"/>
      <c r="T691" s="218"/>
    </row>
    <row r="692">
      <c r="D692" s="3"/>
      <c r="E692" s="112"/>
      <c r="F692" s="3"/>
      <c r="G692" s="12"/>
      <c r="J692" s="12"/>
      <c r="L692" s="12"/>
      <c r="Q692" s="218"/>
      <c r="R692" s="218"/>
      <c r="S692" s="218"/>
      <c r="T692" s="218"/>
    </row>
    <row r="693">
      <c r="D693" s="3"/>
      <c r="E693" s="112"/>
      <c r="F693" s="3"/>
      <c r="G693" s="12"/>
      <c r="J693" s="12"/>
      <c r="L693" s="12"/>
      <c r="Q693" s="218"/>
      <c r="R693" s="218"/>
      <c r="S693" s="218"/>
      <c r="T693" s="218"/>
    </row>
    <row r="694">
      <c r="D694" s="3"/>
      <c r="E694" s="112"/>
      <c r="F694" s="3"/>
      <c r="G694" s="12"/>
      <c r="J694" s="12"/>
      <c r="L694" s="12"/>
      <c r="Q694" s="218"/>
      <c r="R694" s="218"/>
      <c r="S694" s="218"/>
      <c r="T694" s="218"/>
    </row>
    <row r="695">
      <c r="D695" s="3"/>
      <c r="E695" s="112"/>
      <c r="F695" s="3"/>
      <c r="G695" s="12"/>
      <c r="J695" s="12"/>
      <c r="L695" s="12"/>
      <c r="Q695" s="218"/>
      <c r="R695" s="218"/>
      <c r="S695" s="218"/>
      <c r="T695" s="218"/>
    </row>
    <row r="696">
      <c r="D696" s="3"/>
      <c r="E696" s="112"/>
      <c r="F696" s="3"/>
      <c r="G696" s="12"/>
      <c r="J696" s="12"/>
      <c r="L696" s="12"/>
      <c r="Q696" s="218"/>
      <c r="R696" s="218"/>
      <c r="S696" s="218"/>
      <c r="T696" s="218"/>
    </row>
    <row r="697">
      <c r="D697" s="3"/>
      <c r="E697" s="112"/>
      <c r="F697" s="3"/>
      <c r="G697" s="12"/>
      <c r="J697" s="12"/>
      <c r="L697" s="12"/>
      <c r="Q697" s="218"/>
      <c r="R697" s="218"/>
      <c r="S697" s="218"/>
      <c r="T697" s="218"/>
    </row>
    <row r="698">
      <c r="D698" s="3"/>
      <c r="E698" s="112"/>
      <c r="F698" s="3"/>
      <c r="G698" s="12"/>
      <c r="J698" s="12"/>
      <c r="L698" s="12"/>
      <c r="Q698" s="218"/>
      <c r="R698" s="218"/>
      <c r="S698" s="218"/>
      <c r="T698" s="218"/>
    </row>
    <row r="699">
      <c r="D699" s="3"/>
      <c r="E699" s="112"/>
      <c r="F699" s="3"/>
      <c r="G699" s="12"/>
      <c r="J699" s="12"/>
      <c r="L699" s="12"/>
      <c r="Q699" s="218"/>
      <c r="R699" s="218"/>
      <c r="S699" s="218"/>
      <c r="T699" s="218"/>
    </row>
    <row r="700">
      <c r="D700" s="3"/>
      <c r="E700" s="112"/>
      <c r="F700" s="3"/>
      <c r="G700" s="12"/>
      <c r="J700" s="12"/>
      <c r="L700" s="12"/>
      <c r="Q700" s="218"/>
      <c r="R700" s="218"/>
      <c r="S700" s="218"/>
      <c r="T700" s="218"/>
    </row>
    <row r="701">
      <c r="D701" s="3"/>
      <c r="E701" s="112"/>
      <c r="F701" s="3"/>
      <c r="G701" s="12"/>
      <c r="J701" s="12"/>
      <c r="L701" s="12"/>
      <c r="Q701" s="218"/>
      <c r="R701" s="218"/>
      <c r="S701" s="218"/>
      <c r="T701" s="218"/>
    </row>
    <row r="702">
      <c r="D702" s="3"/>
      <c r="E702" s="112"/>
      <c r="F702" s="3"/>
      <c r="G702" s="12"/>
      <c r="J702" s="12"/>
      <c r="L702" s="12"/>
      <c r="Q702" s="218"/>
      <c r="R702" s="218"/>
      <c r="S702" s="218"/>
      <c r="T702" s="218"/>
    </row>
    <row r="703">
      <c r="D703" s="3"/>
      <c r="E703" s="112"/>
      <c r="F703" s="3"/>
      <c r="G703" s="12"/>
      <c r="J703" s="12"/>
      <c r="L703" s="12"/>
      <c r="Q703" s="218"/>
      <c r="R703" s="218"/>
      <c r="S703" s="218"/>
      <c r="T703" s="218"/>
    </row>
    <row r="704">
      <c r="D704" s="3"/>
      <c r="E704" s="112"/>
      <c r="F704" s="3"/>
      <c r="G704" s="12"/>
      <c r="J704" s="12"/>
      <c r="L704" s="12"/>
      <c r="Q704" s="218"/>
      <c r="R704" s="218"/>
      <c r="S704" s="218"/>
      <c r="T704" s="218"/>
    </row>
    <row r="705">
      <c r="D705" s="3"/>
      <c r="E705" s="112"/>
      <c r="F705" s="3"/>
      <c r="G705" s="12"/>
      <c r="J705" s="12"/>
      <c r="L705" s="12"/>
      <c r="Q705" s="218"/>
      <c r="R705" s="218"/>
      <c r="S705" s="218"/>
      <c r="T705" s="218"/>
    </row>
    <row r="706">
      <c r="D706" s="3"/>
      <c r="E706" s="112"/>
      <c r="F706" s="3"/>
      <c r="G706" s="12"/>
      <c r="J706" s="12"/>
      <c r="L706" s="12"/>
      <c r="Q706" s="218"/>
      <c r="R706" s="218"/>
      <c r="S706" s="218"/>
      <c r="T706" s="218"/>
    </row>
    <row r="707">
      <c r="D707" s="3"/>
      <c r="E707" s="112"/>
      <c r="F707" s="3"/>
      <c r="G707" s="12"/>
      <c r="J707" s="12"/>
      <c r="L707" s="12"/>
      <c r="Q707" s="218"/>
      <c r="R707" s="218"/>
      <c r="S707" s="218"/>
      <c r="T707" s="218"/>
    </row>
    <row r="708">
      <c r="D708" s="3"/>
      <c r="E708" s="112"/>
      <c r="F708" s="3"/>
      <c r="G708" s="12"/>
      <c r="J708" s="12"/>
      <c r="L708" s="12"/>
      <c r="Q708" s="218"/>
      <c r="R708" s="218"/>
      <c r="S708" s="218"/>
      <c r="T708" s="218"/>
    </row>
    <row r="709">
      <c r="D709" s="3"/>
      <c r="E709" s="112"/>
      <c r="F709" s="3"/>
      <c r="G709" s="12"/>
      <c r="J709" s="12"/>
      <c r="L709" s="12"/>
      <c r="Q709" s="218"/>
      <c r="R709" s="218"/>
      <c r="S709" s="218"/>
      <c r="T709" s="218"/>
    </row>
    <row r="710">
      <c r="D710" s="3"/>
      <c r="E710" s="112"/>
      <c r="F710" s="3"/>
      <c r="G710" s="12"/>
      <c r="J710" s="12"/>
      <c r="L710" s="12"/>
      <c r="Q710" s="218"/>
      <c r="R710" s="218"/>
      <c r="S710" s="218"/>
      <c r="T710" s="218"/>
    </row>
    <row r="711">
      <c r="D711" s="3"/>
      <c r="E711" s="112"/>
      <c r="F711" s="3"/>
      <c r="G711" s="12"/>
      <c r="J711" s="12"/>
      <c r="L711" s="12"/>
      <c r="Q711" s="218"/>
      <c r="R711" s="218"/>
      <c r="S711" s="218"/>
      <c r="T711" s="218"/>
    </row>
    <row r="712">
      <c r="D712" s="3"/>
      <c r="E712" s="112"/>
      <c r="F712" s="3"/>
      <c r="G712" s="12"/>
      <c r="J712" s="12"/>
      <c r="L712" s="12"/>
      <c r="Q712" s="218"/>
      <c r="R712" s="218"/>
      <c r="S712" s="218"/>
      <c r="T712" s="218"/>
    </row>
    <row r="713">
      <c r="D713" s="3"/>
      <c r="E713" s="112"/>
      <c r="F713" s="3"/>
      <c r="G713" s="12"/>
      <c r="J713" s="12"/>
      <c r="L713" s="12"/>
      <c r="Q713" s="218"/>
      <c r="R713" s="218"/>
      <c r="S713" s="218"/>
      <c r="T713" s="218"/>
    </row>
    <row r="714">
      <c r="D714" s="3"/>
      <c r="E714" s="112"/>
      <c r="F714" s="3"/>
      <c r="G714" s="12"/>
      <c r="J714" s="12"/>
      <c r="L714" s="12"/>
      <c r="Q714" s="218"/>
      <c r="R714" s="218"/>
      <c r="S714" s="218"/>
      <c r="T714" s="218"/>
    </row>
    <row r="715">
      <c r="D715" s="3"/>
      <c r="E715" s="112"/>
      <c r="F715" s="3"/>
      <c r="G715" s="12"/>
      <c r="J715" s="12"/>
      <c r="L715" s="12"/>
      <c r="Q715" s="218"/>
      <c r="R715" s="218"/>
      <c r="S715" s="218"/>
      <c r="T715" s="218"/>
    </row>
    <row r="716">
      <c r="D716" s="3"/>
      <c r="E716" s="112"/>
      <c r="F716" s="3"/>
      <c r="G716" s="12"/>
      <c r="J716" s="12"/>
      <c r="L716" s="12"/>
      <c r="Q716" s="218"/>
      <c r="R716" s="218"/>
      <c r="S716" s="218"/>
      <c r="T716" s="218"/>
    </row>
    <row r="717">
      <c r="D717" s="3"/>
      <c r="E717" s="112"/>
      <c r="F717" s="3"/>
      <c r="G717" s="12"/>
      <c r="J717" s="12"/>
      <c r="L717" s="12"/>
      <c r="Q717" s="218"/>
      <c r="R717" s="218"/>
      <c r="S717" s="218"/>
      <c r="T717" s="218"/>
    </row>
    <row r="718">
      <c r="D718" s="3"/>
      <c r="E718" s="112"/>
      <c r="F718" s="3"/>
      <c r="G718" s="12"/>
      <c r="J718" s="12"/>
      <c r="L718" s="12"/>
      <c r="Q718" s="218"/>
      <c r="R718" s="218"/>
      <c r="S718" s="218"/>
      <c r="T718" s="218"/>
    </row>
    <row r="719">
      <c r="D719" s="3"/>
      <c r="E719" s="112"/>
      <c r="F719" s="3"/>
      <c r="G719" s="12"/>
      <c r="J719" s="12"/>
      <c r="L719" s="12"/>
      <c r="Q719" s="218"/>
      <c r="R719" s="218"/>
      <c r="S719" s="218"/>
      <c r="T719" s="218"/>
    </row>
    <row r="720">
      <c r="D720" s="3"/>
      <c r="E720" s="112"/>
      <c r="F720" s="3"/>
      <c r="G720" s="12"/>
      <c r="J720" s="12"/>
      <c r="L720" s="12"/>
      <c r="Q720" s="218"/>
      <c r="R720" s="218"/>
      <c r="S720" s="218"/>
      <c r="T720" s="218"/>
    </row>
    <row r="721">
      <c r="D721" s="3"/>
      <c r="E721" s="112"/>
      <c r="F721" s="3"/>
      <c r="G721" s="12"/>
      <c r="J721" s="12"/>
      <c r="L721" s="12"/>
      <c r="Q721" s="218"/>
      <c r="R721" s="218"/>
      <c r="S721" s="218"/>
      <c r="T721" s="218"/>
    </row>
    <row r="722">
      <c r="D722" s="3"/>
      <c r="E722" s="112"/>
      <c r="F722" s="3"/>
      <c r="G722" s="12"/>
      <c r="J722" s="12"/>
      <c r="L722" s="12"/>
      <c r="Q722" s="218"/>
      <c r="R722" s="218"/>
      <c r="S722" s="218"/>
      <c r="T722" s="218"/>
    </row>
    <row r="723">
      <c r="D723" s="3"/>
      <c r="E723" s="112"/>
      <c r="F723" s="3"/>
      <c r="G723" s="12"/>
      <c r="J723" s="12"/>
      <c r="L723" s="12"/>
      <c r="Q723" s="218"/>
      <c r="R723" s="218"/>
      <c r="S723" s="218"/>
      <c r="T723" s="218"/>
    </row>
    <row r="724">
      <c r="D724" s="3"/>
      <c r="E724" s="112"/>
      <c r="F724" s="3"/>
      <c r="G724" s="12"/>
      <c r="J724" s="12"/>
      <c r="L724" s="12"/>
      <c r="Q724" s="218"/>
      <c r="R724" s="218"/>
      <c r="S724" s="218"/>
      <c r="T724" s="218"/>
    </row>
    <row r="725">
      <c r="D725" s="3"/>
      <c r="E725" s="112"/>
      <c r="F725" s="3"/>
      <c r="G725" s="12"/>
      <c r="J725" s="12"/>
      <c r="L725" s="12"/>
      <c r="Q725" s="218"/>
      <c r="R725" s="218"/>
      <c r="S725" s="218"/>
      <c r="T725" s="218"/>
    </row>
    <row r="726">
      <c r="D726" s="3"/>
      <c r="E726" s="112"/>
      <c r="F726" s="3"/>
      <c r="G726" s="12"/>
      <c r="J726" s="12"/>
      <c r="L726" s="12"/>
      <c r="Q726" s="218"/>
      <c r="R726" s="218"/>
      <c r="S726" s="218"/>
      <c r="T726" s="218"/>
    </row>
    <row r="727">
      <c r="D727" s="3"/>
      <c r="E727" s="112"/>
      <c r="F727" s="3"/>
      <c r="G727" s="12"/>
      <c r="J727" s="12"/>
      <c r="L727" s="12"/>
      <c r="Q727" s="218"/>
      <c r="R727" s="218"/>
      <c r="S727" s="218"/>
      <c r="T727" s="218"/>
    </row>
    <row r="728">
      <c r="D728" s="3"/>
      <c r="E728" s="112"/>
      <c r="F728" s="3"/>
      <c r="G728" s="12"/>
      <c r="J728" s="12"/>
      <c r="L728" s="12"/>
      <c r="Q728" s="218"/>
      <c r="R728" s="218"/>
      <c r="S728" s="218"/>
      <c r="T728" s="218"/>
    </row>
    <row r="729">
      <c r="D729" s="3"/>
      <c r="E729" s="112"/>
      <c r="F729" s="3"/>
      <c r="G729" s="12"/>
      <c r="J729" s="12"/>
      <c r="L729" s="12"/>
      <c r="Q729" s="218"/>
      <c r="R729" s="218"/>
      <c r="S729" s="218"/>
      <c r="T729" s="218"/>
    </row>
    <row r="730">
      <c r="D730" s="3"/>
      <c r="E730" s="112"/>
      <c r="F730" s="3"/>
      <c r="G730" s="12"/>
      <c r="J730" s="12"/>
      <c r="L730" s="12"/>
      <c r="Q730" s="218"/>
      <c r="R730" s="218"/>
      <c r="S730" s="218"/>
      <c r="T730" s="218"/>
    </row>
    <row r="731">
      <c r="D731" s="3"/>
      <c r="E731" s="112"/>
      <c r="F731" s="3"/>
      <c r="G731" s="12"/>
      <c r="J731" s="12"/>
      <c r="L731" s="12"/>
      <c r="Q731" s="218"/>
      <c r="R731" s="218"/>
      <c r="S731" s="218"/>
      <c r="T731" s="218"/>
    </row>
    <row r="732">
      <c r="D732" s="3"/>
      <c r="E732" s="112"/>
      <c r="F732" s="3"/>
      <c r="G732" s="12"/>
      <c r="J732" s="12"/>
      <c r="L732" s="12"/>
      <c r="Q732" s="218"/>
      <c r="R732" s="218"/>
      <c r="S732" s="218"/>
      <c r="T732" s="218"/>
    </row>
    <row r="733">
      <c r="D733" s="3"/>
      <c r="E733" s="112"/>
      <c r="F733" s="3"/>
      <c r="G733" s="12"/>
      <c r="J733" s="12"/>
      <c r="L733" s="12"/>
      <c r="Q733" s="218"/>
      <c r="R733" s="218"/>
      <c r="S733" s="218"/>
      <c r="T733" s="218"/>
    </row>
    <row r="734">
      <c r="D734" s="3"/>
      <c r="E734" s="112"/>
      <c r="F734" s="3"/>
      <c r="G734" s="12"/>
      <c r="J734" s="12"/>
      <c r="L734" s="12"/>
      <c r="Q734" s="218"/>
      <c r="R734" s="218"/>
      <c r="S734" s="218"/>
      <c r="T734" s="218"/>
    </row>
    <row r="735">
      <c r="D735" s="3"/>
      <c r="E735" s="112"/>
      <c r="F735" s="3"/>
      <c r="G735" s="12"/>
      <c r="J735" s="12"/>
      <c r="L735" s="12"/>
      <c r="Q735" s="218"/>
      <c r="R735" s="218"/>
      <c r="S735" s="218"/>
      <c r="T735" s="218"/>
    </row>
    <row r="736">
      <c r="D736" s="3"/>
      <c r="E736" s="112"/>
      <c r="F736" s="3"/>
      <c r="G736" s="12"/>
      <c r="J736" s="12"/>
      <c r="L736" s="12"/>
      <c r="Q736" s="218"/>
      <c r="R736" s="218"/>
      <c r="S736" s="218"/>
      <c r="T736" s="218"/>
    </row>
    <row r="737">
      <c r="D737" s="3"/>
      <c r="E737" s="112"/>
      <c r="F737" s="3"/>
      <c r="G737" s="12"/>
      <c r="J737" s="12"/>
      <c r="L737" s="12"/>
      <c r="Q737" s="218"/>
      <c r="R737" s="218"/>
      <c r="S737" s="218"/>
      <c r="T737" s="218"/>
    </row>
    <row r="738">
      <c r="D738" s="3"/>
      <c r="E738" s="112"/>
      <c r="F738" s="3"/>
      <c r="G738" s="12"/>
      <c r="J738" s="12"/>
      <c r="L738" s="12"/>
      <c r="Q738" s="218"/>
      <c r="R738" s="218"/>
      <c r="S738" s="218"/>
      <c r="T738" s="218"/>
    </row>
    <row r="739">
      <c r="D739" s="3"/>
      <c r="E739" s="112"/>
      <c r="F739" s="3"/>
      <c r="G739" s="12"/>
      <c r="J739" s="12"/>
      <c r="L739" s="12"/>
      <c r="Q739" s="218"/>
      <c r="R739" s="218"/>
      <c r="S739" s="218"/>
      <c r="T739" s="218"/>
    </row>
    <row r="740">
      <c r="D740" s="3"/>
      <c r="E740" s="112"/>
      <c r="F740" s="3"/>
      <c r="G740" s="12"/>
      <c r="J740" s="12"/>
      <c r="L740" s="12"/>
      <c r="Q740" s="218"/>
      <c r="R740" s="218"/>
      <c r="S740" s="218"/>
      <c r="T740" s="218"/>
    </row>
    <row r="741">
      <c r="D741" s="3"/>
      <c r="E741" s="112"/>
      <c r="F741" s="3"/>
      <c r="G741" s="12"/>
      <c r="J741" s="12"/>
      <c r="L741" s="12"/>
      <c r="Q741" s="218"/>
      <c r="R741" s="218"/>
      <c r="S741" s="218"/>
      <c r="T741" s="218"/>
    </row>
    <row r="742">
      <c r="D742" s="3"/>
      <c r="E742" s="112"/>
      <c r="F742" s="3"/>
      <c r="G742" s="12"/>
      <c r="J742" s="12"/>
      <c r="L742" s="12"/>
      <c r="Q742" s="218"/>
      <c r="R742" s="218"/>
      <c r="S742" s="218"/>
      <c r="T742" s="218"/>
    </row>
    <row r="743">
      <c r="D743" s="3"/>
      <c r="E743" s="112"/>
      <c r="F743" s="3"/>
      <c r="G743" s="12"/>
      <c r="J743" s="12"/>
      <c r="L743" s="12"/>
      <c r="Q743" s="218"/>
      <c r="R743" s="218"/>
      <c r="S743" s="218"/>
      <c r="T743" s="218"/>
    </row>
    <row r="744">
      <c r="D744" s="3"/>
      <c r="E744" s="112"/>
      <c r="F744" s="3"/>
      <c r="G744" s="12"/>
      <c r="J744" s="12"/>
      <c r="L744" s="12"/>
      <c r="Q744" s="218"/>
      <c r="R744" s="218"/>
      <c r="S744" s="218"/>
      <c r="T744" s="218"/>
    </row>
    <row r="745">
      <c r="D745" s="3"/>
      <c r="E745" s="112"/>
      <c r="F745" s="3"/>
      <c r="G745" s="12"/>
      <c r="J745" s="12"/>
      <c r="L745" s="12"/>
      <c r="Q745" s="218"/>
      <c r="R745" s="218"/>
      <c r="S745" s="218"/>
      <c r="T745" s="218"/>
    </row>
    <row r="746">
      <c r="D746" s="3"/>
      <c r="E746" s="112"/>
      <c r="F746" s="3"/>
      <c r="G746" s="12"/>
      <c r="J746" s="12"/>
      <c r="L746" s="12"/>
      <c r="Q746" s="218"/>
      <c r="R746" s="218"/>
      <c r="S746" s="218"/>
      <c r="T746" s="218"/>
    </row>
    <row r="747">
      <c r="D747" s="3"/>
      <c r="E747" s="112"/>
      <c r="F747" s="3"/>
      <c r="G747" s="12"/>
      <c r="J747" s="12"/>
      <c r="L747" s="12"/>
      <c r="Q747" s="218"/>
      <c r="R747" s="218"/>
      <c r="S747" s="218"/>
      <c r="T747" s="218"/>
    </row>
    <row r="748">
      <c r="D748" s="3"/>
      <c r="E748" s="112"/>
      <c r="F748" s="3"/>
      <c r="G748" s="12"/>
      <c r="J748" s="12"/>
      <c r="L748" s="12"/>
      <c r="Q748" s="218"/>
      <c r="R748" s="218"/>
      <c r="S748" s="218"/>
      <c r="T748" s="218"/>
    </row>
    <row r="749">
      <c r="D749" s="3"/>
      <c r="E749" s="112"/>
      <c r="F749" s="3"/>
      <c r="G749" s="12"/>
      <c r="J749" s="12"/>
      <c r="L749" s="12"/>
      <c r="Q749" s="218"/>
      <c r="R749" s="218"/>
      <c r="S749" s="218"/>
      <c r="T749" s="218"/>
    </row>
    <row r="750">
      <c r="D750" s="3"/>
      <c r="E750" s="112"/>
      <c r="F750" s="3"/>
      <c r="G750" s="12"/>
      <c r="J750" s="12"/>
      <c r="L750" s="12"/>
      <c r="Q750" s="218"/>
      <c r="R750" s="218"/>
      <c r="S750" s="218"/>
      <c r="T750" s="218"/>
    </row>
    <row r="751">
      <c r="D751" s="3"/>
      <c r="E751" s="112"/>
      <c r="F751" s="3"/>
      <c r="G751" s="12"/>
      <c r="J751" s="12"/>
      <c r="L751" s="12"/>
      <c r="Q751" s="218"/>
      <c r="R751" s="218"/>
      <c r="S751" s="218"/>
      <c r="T751" s="218"/>
    </row>
    <row r="752">
      <c r="D752" s="3"/>
      <c r="E752" s="112"/>
      <c r="F752" s="3"/>
      <c r="G752" s="12"/>
      <c r="J752" s="12"/>
      <c r="L752" s="12"/>
      <c r="Q752" s="218"/>
      <c r="R752" s="218"/>
      <c r="S752" s="218"/>
      <c r="T752" s="218"/>
    </row>
    <row r="753">
      <c r="D753" s="3"/>
      <c r="E753" s="112"/>
      <c r="F753" s="3"/>
      <c r="G753" s="12"/>
      <c r="J753" s="12"/>
      <c r="L753" s="12"/>
      <c r="Q753" s="218"/>
      <c r="R753" s="218"/>
      <c r="S753" s="218"/>
      <c r="T753" s="218"/>
    </row>
    <row r="754">
      <c r="D754" s="3"/>
      <c r="E754" s="112"/>
      <c r="F754" s="3"/>
      <c r="G754" s="12"/>
      <c r="J754" s="12"/>
      <c r="L754" s="12"/>
      <c r="Q754" s="218"/>
      <c r="R754" s="218"/>
      <c r="S754" s="218"/>
      <c r="T754" s="218"/>
    </row>
    <row r="755">
      <c r="D755" s="3"/>
      <c r="E755" s="112"/>
      <c r="F755" s="3"/>
      <c r="G755" s="12"/>
      <c r="J755" s="12"/>
      <c r="L755" s="12"/>
      <c r="Q755" s="218"/>
      <c r="R755" s="218"/>
      <c r="S755" s="218"/>
      <c r="T755" s="218"/>
    </row>
    <row r="756">
      <c r="D756" s="3"/>
      <c r="E756" s="112"/>
      <c r="F756" s="3"/>
      <c r="G756" s="12"/>
      <c r="J756" s="12"/>
      <c r="L756" s="12"/>
      <c r="Q756" s="218"/>
      <c r="R756" s="218"/>
      <c r="S756" s="218"/>
      <c r="T756" s="218"/>
    </row>
    <row r="757">
      <c r="D757" s="3"/>
      <c r="E757" s="112"/>
      <c r="F757" s="3"/>
      <c r="G757" s="12"/>
      <c r="J757" s="12"/>
      <c r="L757" s="12"/>
      <c r="Q757" s="218"/>
      <c r="R757" s="218"/>
      <c r="S757" s="218"/>
      <c r="T757" s="218"/>
    </row>
    <row r="758">
      <c r="D758" s="3"/>
      <c r="E758" s="112"/>
      <c r="F758" s="3"/>
      <c r="G758" s="12"/>
      <c r="J758" s="12"/>
      <c r="L758" s="12"/>
      <c r="Q758" s="218"/>
      <c r="R758" s="218"/>
      <c r="S758" s="218"/>
      <c r="T758" s="218"/>
    </row>
    <row r="759">
      <c r="D759" s="3"/>
      <c r="E759" s="112"/>
      <c r="F759" s="3"/>
      <c r="G759" s="12"/>
      <c r="J759" s="12"/>
      <c r="L759" s="12"/>
      <c r="Q759" s="218"/>
      <c r="R759" s="218"/>
      <c r="S759" s="218"/>
      <c r="T759" s="218"/>
    </row>
    <row r="760">
      <c r="D760" s="3"/>
      <c r="E760" s="112"/>
      <c r="F760" s="3"/>
      <c r="G760" s="12"/>
      <c r="J760" s="12"/>
      <c r="L760" s="12"/>
      <c r="Q760" s="218"/>
      <c r="R760" s="218"/>
      <c r="S760" s="218"/>
      <c r="T760" s="218"/>
    </row>
    <row r="761">
      <c r="D761" s="3"/>
      <c r="E761" s="112"/>
      <c r="F761" s="3"/>
      <c r="G761" s="12"/>
      <c r="J761" s="12"/>
      <c r="L761" s="12"/>
      <c r="Q761" s="218"/>
      <c r="R761" s="218"/>
      <c r="S761" s="218"/>
      <c r="T761" s="218"/>
    </row>
    <row r="762">
      <c r="D762" s="3"/>
      <c r="E762" s="112"/>
      <c r="F762" s="3"/>
      <c r="G762" s="12"/>
      <c r="J762" s="12"/>
      <c r="L762" s="12"/>
      <c r="Q762" s="218"/>
      <c r="R762" s="218"/>
      <c r="S762" s="218"/>
      <c r="T762" s="218"/>
    </row>
    <row r="763">
      <c r="D763" s="3"/>
      <c r="E763" s="112"/>
      <c r="F763" s="3"/>
      <c r="G763" s="12"/>
      <c r="J763" s="12"/>
      <c r="L763" s="12"/>
      <c r="Q763" s="218"/>
      <c r="R763" s="218"/>
      <c r="S763" s="218"/>
      <c r="T763" s="218"/>
    </row>
    <row r="764">
      <c r="D764" s="3"/>
      <c r="E764" s="112"/>
      <c r="F764" s="3"/>
      <c r="G764" s="12"/>
      <c r="J764" s="12"/>
      <c r="L764" s="12"/>
      <c r="Q764" s="218"/>
      <c r="R764" s="218"/>
      <c r="S764" s="218"/>
      <c r="T764" s="218"/>
    </row>
    <row r="765">
      <c r="D765" s="3"/>
      <c r="E765" s="112"/>
      <c r="F765" s="3"/>
      <c r="G765" s="12"/>
      <c r="J765" s="12"/>
      <c r="L765" s="12"/>
      <c r="Q765" s="218"/>
      <c r="R765" s="218"/>
      <c r="S765" s="218"/>
      <c r="T765" s="218"/>
    </row>
    <row r="766">
      <c r="D766" s="3"/>
      <c r="E766" s="112"/>
      <c r="F766" s="3"/>
      <c r="G766" s="12"/>
      <c r="J766" s="12"/>
      <c r="L766" s="12"/>
      <c r="Q766" s="218"/>
      <c r="R766" s="218"/>
      <c r="S766" s="218"/>
      <c r="T766" s="218"/>
    </row>
    <row r="767">
      <c r="D767" s="3"/>
      <c r="E767" s="112"/>
      <c r="F767" s="3"/>
      <c r="G767" s="12"/>
      <c r="J767" s="12"/>
      <c r="L767" s="12"/>
      <c r="Q767" s="218"/>
      <c r="R767" s="218"/>
      <c r="S767" s="218"/>
      <c r="T767" s="218"/>
    </row>
    <row r="768">
      <c r="D768" s="3"/>
      <c r="E768" s="112"/>
      <c r="F768" s="3"/>
      <c r="G768" s="12"/>
      <c r="J768" s="12"/>
      <c r="L768" s="12"/>
      <c r="Q768" s="218"/>
      <c r="R768" s="218"/>
      <c r="S768" s="218"/>
      <c r="T768" s="218"/>
    </row>
    <row r="769">
      <c r="D769" s="3"/>
      <c r="E769" s="112"/>
      <c r="F769" s="3"/>
      <c r="G769" s="12"/>
      <c r="J769" s="12"/>
      <c r="L769" s="12"/>
      <c r="Q769" s="218"/>
      <c r="R769" s="218"/>
      <c r="S769" s="218"/>
      <c r="T769" s="218"/>
    </row>
    <row r="770">
      <c r="D770" s="3"/>
      <c r="E770" s="112"/>
      <c r="F770" s="3"/>
      <c r="G770" s="12"/>
      <c r="J770" s="12"/>
      <c r="L770" s="12"/>
      <c r="Q770" s="218"/>
      <c r="R770" s="218"/>
      <c r="S770" s="218"/>
      <c r="T770" s="218"/>
    </row>
    <row r="771">
      <c r="D771" s="3"/>
      <c r="E771" s="112"/>
      <c r="F771" s="3"/>
      <c r="G771" s="12"/>
      <c r="J771" s="12"/>
      <c r="L771" s="12"/>
      <c r="Q771" s="218"/>
      <c r="R771" s="218"/>
      <c r="S771" s="218"/>
      <c r="T771" s="218"/>
    </row>
    <row r="772">
      <c r="D772" s="3"/>
      <c r="E772" s="112"/>
      <c r="F772" s="3"/>
      <c r="G772" s="12"/>
      <c r="J772" s="12"/>
      <c r="L772" s="12"/>
      <c r="Q772" s="218"/>
      <c r="R772" s="218"/>
      <c r="S772" s="218"/>
      <c r="T772" s="218"/>
    </row>
    <row r="773">
      <c r="D773" s="3"/>
      <c r="E773" s="112"/>
      <c r="F773" s="3"/>
      <c r="G773" s="12"/>
      <c r="J773" s="12"/>
      <c r="L773" s="12"/>
      <c r="Q773" s="218"/>
      <c r="R773" s="218"/>
      <c r="S773" s="218"/>
      <c r="T773" s="218"/>
    </row>
    <row r="774">
      <c r="D774" s="3"/>
      <c r="E774" s="112"/>
      <c r="F774" s="3"/>
      <c r="G774" s="12"/>
      <c r="J774" s="12"/>
      <c r="L774" s="12"/>
      <c r="Q774" s="218"/>
      <c r="R774" s="218"/>
      <c r="S774" s="218"/>
      <c r="T774" s="218"/>
    </row>
    <row r="775">
      <c r="D775" s="3"/>
      <c r="E775" s="112"/>
      <c r="F775" s="3"/>
      <c r="G775" s="12"/>
      <c r="J775" s="12"/>
      <c r="L775" s="12"/>
      <c r="Q775" s="218"/>
      <c r="R775" s="218"/>
      <c r="S775" s="218"/>
      <c r="T775" s="218"/>
    </row>
    <row r="776">
      <c r="D776" s="3"/>
      <c r="E776" s="112"/>
      <c r="F776" s="3"/>
      <c r="G776" s="12"/>
      <c r="J776" s="12"/>
      <c r="L776" s="12"/>
      <c r="Q776" s="218"/>
      <c r="R776" s="218"/>
      <c r="S776" s="218"/>
      <c r="T776" s="218"/>
    </row>
    <row r="777">
      <c r="D777" s="3"/>
      <c r="E777" s="112"/>
      <c r="F777" s="3"/>
      <c r="G777" s="12"/>
      <c r="J777" s="12"/>
      <c r="L777" s="12"/>
      <c r="Q777" s="218"/>
      <c r="R777" s="218"/>
      <c r="S777" s="218"/>
      <c r="T777" s="218"/>
    </row>
    <row r="778">
      <c r="D778" s="3"/>
      <c r="E778" s="112"/>
      <c r="F778" s="3"/>
      <c r="G778" s="12"/>
      <c r="J778" s="12"/>
      <c r="L778" s="12"/>
      <c r="Q778" s="218"/>
      <c r="R778" s="218"/>
      <c r="S778" s="218"/>
      <c r="T778" s="218"/>
    </row>
    <row r="779">
      <c r="D779" s="3"/>
      <c r="E779" s="112"/>
      <c r="F779" s="3"/>
      <c r="G779" s="12"/>
      <c r="J779" s="12"/>
      <c r="L779" s="12"/>
      <c r="Q779" s="218"/>
      <c r="R779" s="218"/>
      <c r="S779" s="218"/>
      <c r="T779" s="218"/>
    </row>
    <row r="780">
      <c r="D780" s="3"/>
      <c r="E780" s="112"/>
      <c r="F780" s="3"/>
      <c r="G780" s="12"/>
      <c r="J780" s="12"/>
      <c r="L780" s="12"/>
      <c r="Q780" s="218"/>
      <c r="R780" s="218"/>
      <c r="S780" s="218"/>
      <c r="T780" s="218"/>
    </row>
    <row r="781">
      <c r="D781" s="3"/>
      <c r="E781" s="112"/>
      <c r="F781" s="3"/>
      <c r="G781" s="12"/>
      <c r="J781" s="12"/>
      <c r="L781" s="12"/>
      <c r="Q781" s="218"/>
      <c r="R781" s="218"/>
      <c r="S781" s="218"/>
      <c r="T781" s="218"/>
    </row>
    <row r="782">
      <c r="D782" s="3"/>
      <c r="E782" s="112"/>
      <c r="F782" s="3"/>
      <c r="G782" s="12"/>
      <c r="J782" s="12"/>
      <c r="L782" s="12"/>
      <c r="Q782" s="218"/>
      <c r="R782" s="218"/>
      <c r="S782" s="218"/>
      <c r="T782" s="218"/>
    </row>
    <row r="783">
      <c r="D783" s="3"/>
      <c r="E783" s="112"/>
      <c r="F783" s="3"/>
      <c r="G783" s="12"/>
      <c r="J783" s="12"/>
      <c r="L783" s="12"/>
      <c r="Q783" s="218"/>
      <c r="R783" s="218"/>
      <c r="S783" s="218"/>
      <c r="T783" s="218"/>
    </row>
    <row r="784">
      <c r="D784" s="3"/>
      <c r="E784" s="112"/>
      <c r="F784" s="3"/>
      <c r="G784" s="12"/>
      <c r="J784" s="12"/>
      <c r="L784" s="12"/>
      <c r="Q784" s="218"/>
      <c r="R784" s="218"/>
      <c r="S784" s="218"/>
      <c r="T784" s="218"/>
    </row>
    <row r="785">
      <c r="D785" s="3"/>
      <c r="E785" s="112"/>
      <c r="F785" s="3"/>
      <c r="G785" s="12"/>
      <c r="J785" s="12"/>
      <c r="L785" s="12"/>
      <c r="Q785" s="218"/>
      <c r="R785" s="218"/>
      <c r="S785" s="218"/>
      <c r="T785" s="218"/>
    </row>
    <row r="786">
      <c r="D786" s="3"/>
      <c r="E786" s="112"/>
      <c r="F786" s="3"/>
      <c r="G786" s="12"/>
      <c r="J786" s="12"/>
      <c r="L786" s="12"/>
      <c r="Q786" s="218"/>
      <c r="R786" s="218"/>
      <c r="S786" s="218"/>
      <c r="T786" s="218"/>
    </row>
    <row r="787">
      <c r="D787" s="3"/>
      <c r="E787" s="112"/>
      <c r="F787" s="3"/>
      <c r="G787" s="12"/>
      <c r="J787" s="12"/>
      <c r="L787" s="12"/>
      <c r="Q787" s="218"/>
      <c r="R787" s="218"/>
      <c r="S787" s="218"/>
      <c r="T787" s="218"/>
    </row>
    <row r="788">
      <c r="D788" s="3"/>
      <c r="E788" s="112"/>
      <c r="F788" s="3"/>
      <c r="G788" s="12"/>
      <c r="J788" s="12"/>
      <c r="L788" s="12"/>
      <c r="Q788" s="218"/>
      <c r="R788" s="218"/>
      <c r="S788" s="218"/>
      <c r="T788" s="218"/>
    </row>
    <row r="789">
      <c r="D789" s="3"/>
      <c r="E789" s="112"/>
      <c r="F789" s="3"/>
      <c r="G789" s="12"/>
      <c r="J789" s="12"/>
      <c r="L789" s="12"/>
      <c r="Q789" s="218"/>
      <c r="R789" s="218"/>
      <c r="S789" s="218"/>
      <c r="T789" s="218"/>
    </row>
    <row r="790">
      <c r="D790" s="3"/>
      <c r="E790" s="112"/>
      <c r="F790" s="3"/>
      <c r="G790" s="12"/>
      <c r="J790" s="12"/>
      <c r="L790" s="12"/>
      <c r="Q790" s="218"/>
      <c r="R790" s="218"/>
      <c r="S790" s="218"/>
      <c r="T790" s="218"/>
    </row>
    <row r="791">
      <c r="D791" s="3"/>
      <c r="E791" s="112"/>
      <c r="F791" s="3"/>
      <c r="G791" s="12"/>
      <c r="J791" s="12"/>
      <c r="L791" s="12"/>
      <c r="Q791" s="218"/>
      <c r="R791" s="218"/>
      <c r="S791" s="218"/>
      <c r="T791" s="218"/>
    </row>
    <row r="792">
      <c r="D792" s="3"/>
      <c r="E792" s="112"/>
      <c r="F792" s="3"/>
      <c r="G792" s="12"/>
      <c r="J792" s="12"/>
      <c r="L792" s="12"/>
      <c r="Q792" s="218"/>
      <c r="R792" s="218"/>
      <c r="S792" s="218"/>
      <c r="T792" s="218"/>
    </row>
    <row r="793">
      <c r="D793" s="3"/>
      <c r="E793" s="112"/>
      <c r="F793" s="3"/>
      <c r="G793" s="12"/>
      <c r="J793" s="12"/>
      <c r="L793" s="12"/>
      <c r="Q793" s="218"/>
      <c r="R793" s="218"/>
      <c r="S793" s="218"/>
      <c r="T793" s="218"/>
    </row>
    <row r="794">
      <c r="D794" s="3"/>
      <c r="E794" s="112"/>
      <c r="F794" s="3"/>
      <c r="G794" s="12"/>
      <c r="J794" s="12"/>
      <c r="L794" s="12"/>
      <c r="Q794" s="218"/>
      <c r="R794" s="218"/>
      <c r="S794" s="218"/>
      <c r="T794" s="218"/>
    </row>
    <row r="795">
      <c r="D795" s="3"/>
      <c r="E795" s="112"/>
      <c r="F795" s="3"/>
      <c r="G795" s="12"/>
      <c r="J795" s="12"/>
      <c r="L795" s="12"/>
      <c r="Q795" s="218"/>
      <c r="R795" s="218"/>
      <c r="S795" s="218"/>
      <c r="T795" s="218"/>
    </row>
    <row r="796">
      <c r="D796" s="3"/>
      <c r="E796" s="112"/>
      <c r="F796" s="3"/>
      <c r="G796" s="12"/>
      <c r="J796" s="12"/>
      <c r="L796" s="12"/>
      <c r="Q796" s="218"/>
      <c r="R796" s="218"/>
      <c r="S796" s="218"/>
      <c r="T796" s="218"/>
    </row>
    <row r="797">
      <c r="D797" s="3"/>
      <c r="E797" s="112"/>
      <c r="F797" s="3"/>
      <c r="G797" s="12"/>
      <c r="J797" s="12"/>
      <c r="L797" s="12"/>
      <c r="Q797" s="218"/>
      <c r="R797" s="218"/>
      <c r="S797" s="218"/>
      <c r="T797" s="218"/>
    </row>
    <row r="798">
      <c r="D798" s="3"/>
      <c r="E798" s="112"/>
      <c r="F798" s="3"/>
      <c r="G798" s="12"/>
      <c r="J798" s="12"/>
      <c r="L798" s="12"/>
      <c r="Q798" s="218"/>
      <c r="R798" s="218"/>
      <c r="S798" s="218"/>
      <c r="T798" s="218"/>
    </row>
    <row r="799">
      <c r="D799" s="3"/>
      <c r="E799" s="112"/>
      <c r="F799" s="3"/>
      <c r="G799" s="12"/>
      <c r="J799" s="12"/>
      <c r="L799" s="12"/>
      <c r="Q799" s="218"/>
      <c r="R799" s="218"/>
      <c r="S799" s="218"/>
      <c r="T799" s="218"/>
    </row>
    <row r="800">
      <c r="D800" s="3"/>
      <c r="E800" s="112"/>
      <c r="F800" s="3"/>
      <c r="G800" s="12"/>
      <c r="J800" s="12"/>
      <c r="L800" s="12"/>
      <c r="Q800" s="218"/>
      <c r="R800" s="218"/>
      <c r="S800" s="218"/>
      <c r="T800" s="218"/>
    </row>
    <row r="801">
      <c r="D801" s="3"/>
      <c r="E801" s="112"/>
      <c r="F801" s="3"/>
      <c r="G801" s="12"/>
      <c r="J801" s="12"/>
      <c r="L801" s="12"/>
      <c r="Q801" s="218"/>
      <c r="R801" s="218"/>
      <c r="S801" s="218"/>
      <c r="T801" s="218"/>
    </row>
    <row r="802">
      <c r="D802" s="3"/>
      <c r="E802" s="112"/>
      <c r="F802" s="3"/>
      <c r="G802" s="12"/>
      <c r="J802" s="12"/>
      <c r="L802" s="12"/>
      <c r="Q802" s="218"/>
      <c r="R802" s="218"/>
      <c r="S802" s="218"/>
      <c r="T802" s="218"/>
    </row>
    <row r="803">
      <c r="D803" s="3"/>
      <c r="E803" s="112"/>
      <c r="F803" s="3"/>
      <c r="G803" s="12"/>
      <c r="J803" s="12"/>
      <c r="L803" s="12"/>
      <c r="Q803" s="218"/>
      <c r="R803" s="218"/>
      <c r="S803" s="218"/>
      <c r="T803" s="218"/>
    </row>
    <row r="804">
      <c r="D804" s="3"/>
      <c r="E804" s="112"/>
      <c r="F804" s="3"/>
      <c r="G804" s="12"/>
      <c r="J804" s="12"/>
      <c r="L804" s="12"/>
      <c r="Q804" s="218"/>
      <c r="R804" s="218"/>
      <c r="S804" s="218"/>
      <c r="T804" s="218"/>
    </row>
    <row r="805">
      <c r="D805" s="3"/>
      <c r="E805" s="112"/>
      <c r="F805" s="3"/>
      <c r="G805" s="12"/>
      <c r="J805" s="12"/>
      <c r="L805" s="12"/>
      <c r="Q805" s="218"/>
      <c r="R805" s="218"/>
      <c r="S805" s="218"/>
      <c r="T805" s="218"/>
    </row>
    <row r="806">
      <c r="D806" s="3"/>
      <c r="E806" s="112"/>
      <c r="F806" s="3"/>
      <c r="G806" s="12"/>
      <c r="J806" s="12"/>
      <c r="L806" s="12"/>
      <c r="Q806" s="218"/>
      <c r="R806" s="218"/>
      <c r="S806" s="218"/>
      <c r="T806" s="218"/>
    </row>
    <row r="807">
      <c r="D807" s="3"/>
      <c r="E807" s="112"/>
      <c r="F807" s="3"/>
      <c r="G807" s="12"/>
      <c r="J807" s="12"/>
      <c r="L807" s="12"/>
      <c r="Q807" s="218"/>
      <c r="R807" s="218"/>
      <c r="S807" s="218"/>
      <c r="T807" s="218"/>
    </row>
    <row r="808">
      <c r="D808" s="3"/>
      <c r="E808" s="112"/>
      <c r="F808" s="3"/>
      <c r="G808" s="12"/>
      <c r="J808" s="12"/>
      <c r="L808" s="12"/>
      <c r="Q808" s="218"/>
      <c r="R808" s="218"/>
      <c r="S808" s="218"/>
      <c r="T808" s="218"/>
    </row>
    <row r="809">
      <c r="D809" s="3"/>
      <c r="E809" s="112"/>
      <c r="F809" s="3"/>
      <c r="G809" s="12"/>
      <c r="J809" s="12"/>
      <c r="L809" s="12"/>
      <c r="Q809" s="218"/>
      <c r="R809" s="218"/>
      <c r="S809" s="218"/>
      <c r="T809" s="218"/>
    </row>
    <row r="810">
      <c r="D810" s="3"/>
      <c r="E810" s="112"/>
      <c r="F810" s="3"/>
      <c r="G810" s="12"/>
      <c r="J810" s="12"/>
      <c r="L810" s="12"/>
      <c r="Q810" s="218"/>
      <c r="R810" s="218"/>
      <c r="S810" s="218"/>
      <c r="T810" s="218"/>
    </row>
    <row r="811">
      <c r="D811" s="3"/>
      <c r="E811" s="112"/>
      <c r="F811" s="3"/>
      <c r="G811" s="12"/>
      <c r="J811" s="12"/>
      <c r="L811" s="12"/>
      <c r="Q811" s="218"/>
      <c r="R811" s="218"/>
      <c r="S811" s="218"/>
      <c r="T811" s="218"/>
    </row>
    <row r="812">
      <c r="D812" s="3"/>
      <c r="E812" s="112"/>
      <c r="F812" s="3"/>
      <c r="G812" s="12"/>
      <c r="J812" s="12"/>
      <c r="L812" s="12"/>
      <c r="Q812" s="218"/>
      <c r="R812" s="218"/>
      <c r="S812" s="218"/>
      <c r="T812" s="218"/>
    </row>
    <row r="813">
      <c r="D813" s="3"/>
      <c r="E813" s="112"/>
      <c r="F813" s="3"/>
      <c r="G813" s="12"/>
      <c r="J813" s="12"/>
      <c r="L813" s="12"/>
      <c r="Q813" s="218"/>
      <c r="R813" s="218"/>
      <c r="S813" s="218"/>
      <c r="T813" s="218"/>
    </row>
    <row r="814">
      <c r="D814" s="3"/>
      <c r="E814" s="112"/>
      <c r="F814" s="3"/>
      <c r="G814" s="12"/>
      <c r="J814" s="12"/>
      <c r="L814" s="12"/>
      <c r="Q814" s="218"/>
      <c r="R814" s="218"/>
      <c r="S814" s="218"/>
      <c r="T814" s="218"/>
    </row>
    <row r="815">
      <c r="D815" s="3"/>
      <c r="E815" s="112"/>
      <c r="F815" s="3"/>
      <c r="G815" s="12"/>
      <c r="J815" s="12"/>
      <c r="L815" s="12"/>
      <c r="Q815" s="218"/>
      <c r="R815" s="218"/>
      <c r="S815" s="218"/>
      <c r="T815" s="218"/>
    </row>
    <row r="816">
      <c r="D816" s="3"/>
      <c r="E816" s="112"/>
      <c r="F816" s="3"/>
      <c r="G816" s="12"/>
      <c r="J816" s="12"/>
      <c r="L816" s="12"/>
      <c r="Q816" s="218"/>
      <c r="R816" s="218"/>
      <c r="S816" s="218"/>
      <c r="T816" s="218"/>
    </row>
    <row r="817">
      <c r="D817" s="3"/>
      <c r="E817" s="112"/>
      <c r="F817" s="3"/>
      <c r="G817" s="12"/>
      <c r="J817" s="12"/>
      <c r="L817" s="12"/>
      <c r="Q817" s="218"/>
      <c r="R817" s="218"/>
      <c r="S817" s="218"/>
      <c r="T817" s="218"/>
    </row>
    <row r="818">
      <c r="D818" s="3"/>
      <c r="E818" s="112"/>
      <c r="F818" s="3"/>
      <c r="G818" s="12"/>
      <c r="J818" s="12"/>
      <c r="L818" s="12"/>
      <c r="Q818" s="218"/>
      <c r="R818" s="218"/>
      <c r="S818" s="218"/>
      <c r="T818" s="218"/>
    </row>
    <row r="819">
      <c r="D819" s="3"/>
      <c r="E819" s="112"/>
      <c r="F819" s="3"/>
      <c r="G819" s="12"/>
      <c r="J819" s="12"/>
      <c r="L819" s="12"/>
      <c r="Q819" s="218"/>
      <c r="R819" s="218"/>
      <c r="S819" s="218"/>
      <c r="T819" s="218"/>
    </row>
    <row r="820">
      <c r="D820" s="3"/>
      <c r="E820" s="112"/>
      <c r="F820" s="3"/>
      <c r="G820" s="12"/>
      <c r="J820" s="12"/>
      <c r="L820" s="12"/>
      <c r="Q820" s="218"/>
      <c r="R820" s="218"/>
      <c r="S820" s="218"/>
      <c r="T820" s="218"/>
    </row>
    <row r="821">
      <c r="D821" s="3"/>
      <c r="E821" s="112"/>
      <c r="F821" s="3"/>
      <c r="G821" s="12"/>
      <c r="J821" s="12"/>
      <c r="L821" s="12"/>
      <c r="Q821" s="218"/>
      <c r="R821" s="218"/>
      <c r="S821" s="218"/>
      <c r="T821" s="218"/>
    </row>
    <row r="822">
      <c r="D822" s="3"/>
      <c r="E822" s="112"/>
      <c r="F822" s="3"/>
      <c r="G822" s="12"/>
      <c r="J822" s="12"/>
      <c r="L822" s="12"/>
      <c r="Q822" s="218"/>
      <c r="R822" s="218"/>
      <c r="S822" s="218"/>
      <c r="T822" s="218"/>
    </row>
    <row r="823">
      <c r="D823" s="3"/>
      <c r="E823" s="112"/>
      <c r="F823" s="3"/>
      <c r="G823" s="12"/>
      <c r="J823" s="12"/>
      <c r="L823" s="12"/>
      <c r="Q823" s="218"/>
      <c r="R823" s="218"/>
      <c r="S823" s="218"/>
      <c r="T823" s="218"/>
    </row>
    <row r="824">
      <c r="D824" s="3"/>
      <c r="E824" s="112"/>
      <c r="F824" s="3"/>
      <c r="G824" s="12"/>
      <c r="J824" s="12"/>
      <c r="L824" s="12"/>
      <c r="Q824" s="218"/>
      <c r="R824" s="218"/>
      <c r="S824" s="218"/>
      <c r="T824" s="218"/>
    </row>
    <row r="825">
      <c r="D825" s="3"/>
      <c r="E825" s="112"/>
      <c r="F825" s="3"/>
      <c r="G825" s="12"/>
      <c r="J825" s="12"/>
      <c r="L825" s="12"/>
      <c r="Q825" s="218"/>
      <c r="R825" s="218"/>
      <c r="S825" s="218"/>
      <c r="T825" s="218"/>
    </row>
    <row r="826">
      <c r="D826" s="3"/>
      <c r="E826" s="112"/>
      <c r="F826" s="3"/>
      <c r="G826" s="12"/>
      <c r="J826" s="12"/>
      <c r="L826" s="12"/>
      <c r="Q826" s="218"/>
      <c r="R826" s="218"/>
      <c r="S826" s="218"/>
      <c r="T826" s="218"/>
    </row>
    <row r="827">
      <c r="D827" s="3"/>
      <c r="E827" s="112"/>
      <c r="F827" s="3"/>
      <c r="G827" s="12"/>
      <c r="J827" s="12"/>
      <c r="L827" s="12"/>
      <c r="Q827" s="218"/>
      <c r="R827" s="218"/>
      <c r="S827" s="218"/>
      <c r="T827" s="218"/>
    </row>
    <row r="828">
      <c r="D828" s="3"/>
      <c r="E828" s="112"/>
      <c r="F828" s="3"/>
      <c r="G828" s="12"/>
      <c r="J828" s="12"/>
      <c r="L828" s="12"/>
      <c r="Q828" s="218"/>
      <c r="R828" s="218"/>
      <c r="S828" s="218"/>
      <c r="T828" s="218"/>
    </row>
    <row r="829">
      <c r="D829" s="3"/>
      <c r="E829" s="112"/>
      <c r="F829" s="3"/>
      <c r="G829" s="12"/>
      <c r="J829" s="12"/>
      <c r="L829" s="12"/>
      <c r="Q829" s="218"/>
      <c r="R829" s="218"/>
      <c r="S829" s="218"/>
      <c r="T829" s="218"/>
    </row>
    <row r="830">
      <c r="D830" s="3"/>
      <c r="E830" s="112"/>
      <c r="F830" s="3"/>
      <c r="G830" s="12"/>
      <c r="J830" s="12"/>
      <c r="L830" s="12"/>
      <c r="Q830" s="218"/>
      <c r="R830" s="218"/>
      <c r="S830" s="218"/>
      <c r="T830" s="218"/>
    </row>
    <row r="831">
      <c r="D831" s="3"/>
      <c r="E831" s="112"/>
      <c r="F831" s="3"/>
      <c r="G831" s="12"/>
      <c r="J831" s="12"/>
      <c r="L831" s="12"/>
      <c r="Q831" s="218"/>
      <c r="R831" s="218"/>
      <c r="S831" s="218"/>
      <c r="T831" s="218"/>
    </row>
    <row r="832">
      <c r="D832" s="3"/>
      <c r="E832" s="112"/>
      <c r="F832" s="3"/>
      <c r="G832" s="12"/>
      <c r="J832" s="12"/>
      <c r="L832" s="12"/>
      <c r="Q832" s="218"/>
      <c r="R832" s="218"/>
      <c r="S832" s="218"/>
      <c r="T832" s="218"/>
    </row>
    <row r="833">
      <c r="D833" s="3"/>
      <c r="E833" s="112"/>
      <c r="F833" s="3"/>
      <c r="G833" s="12"/>
      <c r="J833" s="12"/>
      <c r="L833" s="12"/>
      <c r="Q833" s="218"/>
      <c r="R833" s="218"/>
      <c r="S833" s="218"/>
      <c r="T833" s="218"/>
    </row>
    <row r="834">
      <c r="D834" s="3"/>
      <c r="E834" s="112"/>
      <c r="F834" s="3"/>
      <c r="G834" s="12"/>
      <c r="J834" s="12"/>
      <c r="L834" s="12"/>
      <c r="Q834" s="218"/>
      <c r="R834" s="218"/>
      <c r="S834" s="218"/>
      <c r="T834" s="218"/>
    </row>
    <row r="835">
      <c r="D835" s="3"/>
      <c r="E835" s="112"/>
      <c r="F835" s="3"/>
      <c r="G835" s="12"/>
      <c r="J835" s="12"/>
      <c r="L835" s="12"/>
      <c r="Q835" s="218"/>
      <c r="R835" s="218"/>
      <c r="S835" s="218"/>
      <c r="T835" s="218"/>
    </row>
    <row r="836">
      <c r="D836" s="3"/>
      <c r="E836" s="112"/>
      <c r="F836" s="3"/>
      <c r="G836" s="12"/>
      <c r="J836" s="12"/>
      <c r="L836" s="12"/>
      <c r="Q836" s="218"/>
      <c r="R836" s="218"/>
      <c r="S836" s="218"/>
      <c r="T836" s="218"/>
    </row>
    <row r="837">
      <c r="D837" s="3"/>
      <c r="E837" s="112"/>
      <c r="F837" s="3"/>
      <c r="G837" s="12"/>
      <c r="J837" s="12"/>
      <c r="L837" s="12"/>
      <c r="Q837" s="218"/>
      <c r="R837" s="218"/>
      <c r="S837" s="218"/>
      <c r="T837" s="218"/>
    </row>
    <row r="838">
      <c r="D838" s="3"/>
      <c r="E838" s="112"/>
      <c r="F838" s="3"/>
      <c r="G838" s="12"/>
      <c r="J838" s="12"/>
      <c r="L838" s="12"/>
      <c r="Q838" s="218"/>
      <c r="R838" s="218"/>
      <c r="S838" s="218"/>
      <c r="T838" s="218"/>
    </row>
    <row r="839">
      <c r="D839" s="3"/>
      <c r="E839" s="112"/>
      <c r="F839" s="3"/>
      <c r="G839" s="12"/>
      <c r="J839" s="12"/>
      <c r="L839" s="12"/>
      <c r="Q839" s="218"/>
      <c r="R839" s="218"/>
      <c r="S839" s="218"/>
      <c r="T839" s="218"/>
    </row>
    <row r="840">
      <c r="D840" s="3"/>
      <c r="E840" s="112"/>
      <c r="F840" s="3"/>
      <c r="G840" s="12"/>
      <c r="J840" s="12"/>
      <c r="L840" s="12"/>
      <c r="Q840" s="218"/>
      <c r="R840" s="218"/>
      <c r="S840" s="218"/>
      <c r="T840" s="218"/>
    </row>
    <row r="841">
      <c r="D841" s="3"/>
      <c r="E841" s="112"/>
      <c r="F841" s="3"/>
      <c r="G841" s="12"/>
      <c r="J841" s="12"/>
      <c r="L841" s="12"/>
      <c r="Q841" s="218"/>
      <c r="R841" s="218"/>
      <c r="S841" s="218"/>
      <c r="T841" s="218"/>
    </row>
    <row r="842">
      <c r="D842" s="3"/>
      <c r="E842" s="112"/>
      <c r="F842" s="3"/>
      <c r="G842" s="12"/>
      <c r="J842" s="12"/>
      <c r="L842" s="12"/>
      <c r="Q842" s="218"/>
      <c r="R842" s="218"/>
      <c r="S842" s="218"/>
      <c r="T842" s="218"/>
    </row>
    <row r="843">
      <c r="D843" s="3"/>
      <c r="E843" s="112"/>
      <c r="F843" s="3"/>
      <c r="G843" s="12"/>
      <c r="J843" s="12"/>
      <c r="L843" s="12"/>
      <c r="Q843" s="218"/>
      <c r="R843" s="218"/>
      <c r="S843" s="218"/>
      <c r="T843" s="218"/>
    </row>
    <row r="844">
      <c r="D844" s="3"/>
      <c r="E844" s="112"/>
      <c r="F844" s="3"/>
      <c r="G844" s="12"/>
      <c r="J844" s="12"/>
      <c r="L844" s="12"/>
      <c r="Q844" s="218"/>
      <c r="R844" s="218"/>
      <c r="S844" s="218"/>
      <c r="T844" s="218"/>
    </row>
    <row r="845">
      <c r="D845" s="3"/>
      <c r="E845" s="112"/>
      <c r="F845" s="3"/>
      <c r="G845" s="12"/>
      <c r="J845" s="12"/>
      <c r="L845" s="12"/>
      <c r="Q845" s="218"/>
      <c r="R845" s="218"/>
      <c r="S845" s="218"/>
      <c r="T845" s="218"/>
    </row>
    <row r="846">
      <c r="D846" s="3"/>
      <c r="E846" s="112"/>
      <c r="F846" s="3"/>
      <c r="G846" s="12"/>
      <c r="J846" s="12"/>
      <c r="L846" s="12"/>
      <c r="Q846" s="218"/>
      <c r="R846" s="218"/>
      <c r="S846" s="218"/>
      <c r="T846" s="218"/>
    </row>
    <row r="847">
      <c r="D847" s="3"/>
      <c r="E847" s="112"/>
      <c r="F847" s="3"/>
      <c r="G847" s="12"/>
      <c r="J847" s="12"/>
      <c r="L847" s="12"/>
      <c r="Q847" s="218"/>
      <c r="R847" s="218"/>
      <c r="S847" s="218"/>
      <c r="T847" s="218"/>
    </row>
    <row r="848">
      <c r="D848" s="3"/>
      <c r="E848" s="112"/>
      <c r="F848" s="3"/>
      <c r="G848" s="12"/>
      <c r="J848" s="12"/>
      <c r="L848" s="12"/>
      <c r="Q848" s="218"/>
      <c r="R848" s="218"/>
      <c r="S848" s="218"/>
      <c r="T848" s="218"/>
    </row>
    <row r="849">
      <c r="D849" s="3"/>
      <c r="E849" s="112"/>
      <c r="F849" s="3"/>
      <c r="G849" s="12"/>
      <c r="J849" s="12"/>
      <c r="L849" s="12"/>
      <c r="Q849" s="218"/>
      <c r="R849" s="218"/>
      <c r="S849" s="218"/>
      <c r="T849" s="218"/>
    </row>
    <row r="850">
      <c r="D850" s="3"/>
      <c r="E850" s="112"/>
      <c r="F850" s="3"/>
      <c r="G850" s="12"/>
      <c r="J850" s="12"/>
      <c r="L850" s="12"/>
      <c r="Q850" s="218"/>
      <c r="R850" s="218"/>
      <c r="S850" s="218"/>
      <c r="T850" s="218"/>
    </row>
    <row r="851">
      <c r="D851" s="3"/>
      <c r="E851" s="112"/>
      <c r="F851" s="3"/>
      <c r="G851" s="12"/>
      <c r="J851" s="12"/>
      <c r="L851" s="12"/>
      <c r="Q851" s="218"/>
      <c r="R851" s="218"/>
      <c r="S851" s="218"/>
      <c r="T851" s="218"/>
    </row>
    <row r="852">
      <c r="D852" s="3"/>
      <c r="E852" s="112"/>
      <c r="F852" s="3"/>
      <c r="G852" s="12"/>
      <c r="J852" s="12"/>
      <c r="L852" s="12"/>
      <c r="Q852" s="218"/>
      <c r="R852" s="218"/>
      <c r="S852" s="218"/>
      <c r="T852" s="218"/>
    </row>
    <row r="853">
      <c r="D853" s="3"/>
      <c r="E853" s="112"/>
      <c r="F853" s="3"/>
      <c r="G853" s="12"/>
      <c r="J853" s="12"/>
      <c r="L853" s="12"/>
      <c r="Q853" s="218"/>
      <c r="R853" s="218"/>
      <c r="S853" s="218"/>
      <c r="T853" s="218"/>
    </row>
    <row r="854">
      <c r="D854" s="3"/>
      <c r="E854" s="112"/>
      <c r="F854" s="3"/>
      <c r="G854" s="12"/>
      <c r="J854" s="12"/>
      <c r="L854" s="12"/>
      <c r="Q854" s="218"/>
      <c r="R854" s="218"/>
      <c r="S854" s="218"/>
      <c r="T854" s="218"/>
    </row>
    <row r="855">
      <c r="D855" s="3"/>
      <c r="E855" s="112"/>
      <c r="F855" s="3"/>
      <c r="G855" s="12"/>
      <c r="J855" s="12"/>
      <c r="L855" s="12"/>
      <c r="Q855" s="218"/>
      <c r="R855" s="218"/>
      <c r="S855" s="218"/>
      <c r="T855" s="218"/>
    </row>
    <row r="856">
      <c r="D856" s="3"/>
      <c r="E856" s="112"/>
      <c r="F856" s="3"/>
      <c r="G856" s="12"/>
      <c r="J856" s="12"/>
      <c r="L856" s="12"/>
      <c r="Q856" s="218"/>
      <c r="R856" s="218"/>
      <c r="S856" s="218"/>
      <c r="T856" s="218"/>
    </row>
    <row r="857">
      <c r="D857" s="3"/>
      <c r="E857" s="112"/>
      <c r="F857" s="3"/>
      <c r="G857" s="12"/>
      <c r="J857" s="12"/>
      <c r="L857" s="12"/>
      <c r="Q857" s="218"/>
      <c r="R857" s="218"/>
      <c r="S857" s="218"/>
      <c r="T857" s="218"/>
    </row>
    <row r="858">
      <c r="D858" s="3"/>
      <c r="E858" s="112"/>
      <c r="F858" s="3"/>
      <c r="G858" s="12"/>
      <c r="J858" s="12"/>
      <c r="L858" s="12"/>
      <c r="Q858" s="218"/>
      <c r="R858" s="218"/>
      <c r="S858" s="218"/>
      <c r="T858" s="218"/>
    </row>
    <row r="859">
      <c r="D859" s="3"/>
      <c r="E859" s="112"/>
      <c r="F859" s="3"/>
      <c r="G859" s="12"/>
      <c r="J859" s="12"/>
      <c r="L859" s="12"/>
      <c r="Q859" s="218"/>
      <c r="R859" s="218"/>
      <c r="S859" s="218"/>
      <c r="T859" s="218"/>
    </row>
    <row r="860">
      <c r="D860" s="3"/>
      <c r="E860" s="112"/>
      <c r="F860" s="3"/>
      <c r="G860" s="12"/>
      <c r="J860" s="12"/>
      <c r="L860" s="12"/>
      <c r="Q860" s="218"/>
      <c r="R860" s="218"/>
      <c r="S860" s="218"/>
      <c r="T860" s="218"/>
    </row>
    <row r="861">
      <c r="D861" s="3"/>
      <c r="E861" s="112"/>
      <c r="F861" s="3"/>
      <c r="G861" s="12"/>
      <c r="J861" s="12"/>
      <c r="L861" s="12"/>
      <c r="Q861" s="218"/>
      <c r="R861" s="218"/>
      <c r="S861" s="218"/>
      <c r="T861" s="218"/>
    </row>
    <row r="862">
      <c r="D862" s="3"/>
      <c r="E862" s="112"/>
      <c r="F862" s="3"/>
      <c r="G862" s="12"/>
      <c r="J862" s="12"/>
      <c r="L862" s="12"/>
      <c r="Q862" s="218"/>
      <c r="R862" s="218"/>
      <c r="S862" s="218"/>
      <c r="T862" s="218"/>
    </row>
    <row r="863">
      <c r="D863" s="3"/>
      <c r="E863" s="112"/>
      <c r="F863" s="3"/>
      <c r="G863" s="12"/>
      <c r="J863" s="12"/>
      <c r="L863" s="12"/>
      <c r="Q863" s="218"/>
      <c r="R863" s="218"/>
      <c r="S863" s="218"/>
      <c r="T863" s="218"/>
    </row>
    <row r="864">
      <c r="D864" s="3"/>
      <c r="E864" s="112"/>
      <c r="F864" s="3"/>
      <c r="G864" s="12"/>
      <c r="J864" s="12"/>
      <c r="L864" s="12"/>
      <c r="Q864" s="218"/>
      <c r="R864" s="218"/>
      <c r="S864" s="218"/>
      <c r="T864" s="218"/>
    </row>
    <row r="865">
      <c r="D865" s="3"/>
      <c r="E865" s="112"/>
      <c r="F865" s="3"/>
      <c r="G865" s="12"/>
      <c r="J865" s="12"/>
      <c r="L865" s="12"/>
      <c r="Q865" s="218"/>
      <c r="R865" s="218"/>
      <c r="S865" s="218"/>
      <c r="T865" s="218"/>
    </row>
    <row r="866">
      <c r="D866" s="3"/>
      <c r="E866" s="112"/>
      <c r="F866" s="3"/>
      <c r="G866" s="12"/>
      <c r="J866" s="12"/>
      <c r="L866" s="12"/>
      <c r="Q866" s="218"/>
      <c r="R866" s="218"/>
      <c r="S866" s="218"/>
      <c r="T866" s="218"/>
    </row>
    <row r="867">
      <c r="D867" s="3"/>
      <c r="E867" s="112"/>
      <c r="F867" s="3"/>
      <c r="G867" s="12"/>
      <c r="J867" s="12"/>
      <c r="L867" s="12"/>
      <c r="Q867" s="218"/>
      <c r="R867" s="218"/>
      <c r="S867" s="218"/>
      <c r="T867" s="218"/>
    </row>
    <row r="868">
      <c r="D868" s="3"/>
      <c r="E868" s="112"/>
      <c r="F868" s="3"/>
      <c r="G868" s="12"/>
      <c r="J868" s="12"/>
      <c r="L868" s="12"/>
      <c r="Q868" s="218"/>
      <c r="R868" s="218"/>
      <c r="S868" s="218"/>
      <c r="T868" s="218"/>
    </row>
    <row r="869">
      <c r="D869" s="3"/>
      <c r="E869" s="112"/>
      <c r="F869" s="3"/>
      <c r="G869" s="12"/>
      <c r="J869" s="12"/>
      <c r="L869" s="12"/>
      <c r="Q869" s="218"/>
      <c r="R869" s="218"/>
      <c r="S869" s="218"/>
      <c r="T869" s="218"/>
    </row>
    <row r="870">
      <c r="D870" s="3"/>
      <c r="E870" s="112"/>
      <c r="F870" s="3"/>
      <c r="G870" s="12"/>
      <c r="J870" s="12"/>
      <c r="L870" s="12"/>
      <c r="Q870" s="218"/>
      <c r="R870" s="218"/>
      <c r="S870" s="218"/>
      <c r="T870" s="218"/>
    </row>
    <row r="871">
      <c r="D871" s="3"/>
      <c r="E871" s="112"/>
      <c r="F871" s="3"/>
      <c r="G871" s="12"/>
      <c r="J871" s="12"/>
      <c r="L871" s="12"/>
      <c r="Q871" s="218"/>
      <c r="R871" s="218"/>
      <c r="S871" s="218"/>
      <c r="T871" s="218"/>
    </row>
    <row r="872">
      <c r="D872" s="3"/>
      <c r="E872" s="112"/>
      <c r="F872" s="3"/>
      <c r="G872" s="12"/>
      <c r="J872" s="12"/>
      <c r="L872" s="12"/>
      <c r="Q872" s="218"/>
      <c r="R872" s="218"/>
      <c r="S872" s="218"/>
      <c r="T872" s="218"/>
    </row>
    <row r="873">
      <c r="D873" s="3"/>
      <c r="E873" s="112"/>
      <c r="F873" s="3"/>
      <c r="G873" s="12"/>
      <c r="J873" s="12"/>
      <c r="L873" s="12"/>
      <c r="Q873" s="218"/>
      <c r="R873" s="218"/>
      <c r="S873" s="218"/>
      <c r="T873" s="218"/>
    </row>
    <row r="874">
      <c r="D874" s="3"/>
      <c r="E874" s="112"/>
      <c r="F874" s="3"/>
      <c r="G874" s="12"/>
      <c r="J874" s="12"/>
      <c r="L874" s="12"/>
      <c r="Q874" s="218"/>
      <c r="R874" s="218"/>
      <c r="S874" s="218"/>
      <c r="T874" s="218"/>
    </row>
    <row r="875">
      <c r="D875" s="3"/>
      <c r="E875" s="112"/>
      <c r="F875" s="3"/>
      <c r="G875" s="12"/>
      <c r="J875" s="12"/>
      <c r="L875" s="12"/>
      <c r="Q875" s="218"/>
      <c r="R875" s="218"/>
      <c r="S875" s="218"/>
      <c r="T875" s="218"/>
    </row>
    <row r="876">
      <c r="D876" s="3"/>
      <c r="E876" s="112"/>
      <c r="F876" s="3"/>
      <c r="G876" s="12"/>
      <c r="J876" s="12"/>
      <c r="L876" s="12"/>
      <c r="Q876" s="218"/>
      <c r="R876" s="218"/>
      <c r="S876" s="218"/>
      <c r="T876" s="218"/>
    </row>
    <row r="877">
      <c r="D877" s="3"/>
      <c r="E877" s="112"/>
      <c r="F877" s="3"/>
      <c r="G877" s="12"/>
      <c r="J877" s="12"/>
      <c r="L877" s="12"/>
      <c r="Q877" s="218"/>
      <c r="R877" s="218"/>
      <c r="S877" s="218"/>
      <c r="T877" s="218"/>
    </row>
    <row r="878">
      <c r="D878" s="3"/>
      <c r="E878" s="112"/>
      <c r="F878" s="3"/>
      <c r="G878" s="12"/>
      <c r="J878" s="12"/>
      <c r="L878" s="12"/>
      <c r="Q878" s="218"/>
      <c r="R878" s="218"/>
      <c r="S878" s="218"/>
      <c r="T878" s="218"/>
    </row>
    <row r="879">
      <c r="D879" s="3"/>
      <c r="E879" s="112"/>
      <c r="F879" s="3"/>
      <c r="G879" s="12"/>
      <c r="J879" s="12"/>
      <c r="L879" s="12"/>
      <c r="Q879" s="218"/>
      <c r="R879" s="218"/>
      <c r="S879" s="218"/>
      <c r="T879" s="218"/>
    </row>
    <row r="880">
      <c r="D880" s="3"/>
      <c r="E880" s="112"/>
      <c r="F880" s="3"/>
      <c r="G880" s="12"/>
      <c r="J880" s="12"/>
      <c r="L880" s="12"/>
      <c r="Q880" s="218"/>
      <c r="R880" s="218"/>
      <c r="S880" s="218"/>
      <c r="T880" s="218"/>
    </row>
    <row r="881">
      <c r="D881" s="3"/>
      <c r="E881" s="112"/>
      <c r="F881" s="3"/>
      <c r="G881" s="12"/>
      <c r="J881" s="12"/>
      <c r="L881" s="12"/>
      <c r="Q881" s="218"/>
      <c r="R881" s="218"/>
      <c r="S881" s="218"/>
      <c r="T881" s="218"/>
    </row>
    <row r="882">
      <c r="D882" s="3"/>
      <c r="E882" s="112"/>
      <c r="F882" s="3"/>
      <c r="G882" s="12"/>
      <c r="J882" s="12"/>
      <c r="L882" s="12"/>
      <c r="Q882" s="218"/>
      <c r="R882" s="218"/>
      <c r="S882" s="218"/>
      <c r="T882" s="218"/>
    </row>
    <row r="883">
      <c r="D883" s="3"/>
      <c r="E883" s="112"/>
      <c r="F883" s="3"/>
      <c r="G883" s="12"/>
      <c r="J883" s="12"/>
      <c r="L883" s="12"/>
      <c r="Q883" s="218"/>
      <c r="R883" s="218"/>
      <c r="S883" s="218"/>
      <c r="T883" s="218"/>
    </row>
    <row r="884">
      <c r="D884" s="3"/>
      <c r="E884" s="112"/>
      <c r="F884" s="3"/>
      <c r="G884" s="12"/>
      <c r="J884" s="12"/>
      <c r="L884" s="12"/>
      <c r="Q884" s="218"/>
      <c r="R884" s="218"/>
      <c r="S884" s="218"/>
      <c r="T884" s="218"/>
    </row>
    <row r="885">
      <c r="D885" s="3"/>
      <c r="E885" s="112"/>
      <c r="F885" s="3"/>
      <c r="G885" s="12"/>
      <c r="J885" s="12"/>
      <c r="L885" s="12"/>
      <c r="Q885" s="218"/>
      <c r="R885" s="218"/>
      <c r="S885" s="218"/>
      <c r="T885" s="218"/>
    </row>
    <row r="886">
      <c r="D886" s="3"/>
      <c r="E886" s="112"/>
      <c r="F886" s="3"/>
      <c r="G886" s="12"/>
      <c r="J886" s="12"/>
      <c r="L886" s="12"/>
      <c r="Q886" s="218"/>
      <c r="R886" s="218"/>
      <c r="S886" s="218"/>
      <c r="T886" s="218"/>
    </row>
    <row r="887">
      <c r="D887" s="3"/>
      <c r="E887" s="112"/>
      <c r="F887" s="3"/>
      <c r="G887" s="12"/>
      <c r="J887" s="12"/>
      <c r="L887" s="12"/>
      <c r="Q887" s="218"/>
      <c r="R887" s="218"/>
      <c r="S887" s="218"/>
      <c r="T887" s="218"/>
    </row>
    <row r="888">
      <c r="D888" s="3"/>
      <c r="E888" s="112"/>
      <c r="F888" s="3"/>
      <c r="G888" s="12"/>
      <c r="J888" s="12"/>
      <c r="L888" s="12"/>
      <c r="Q888" s="218"/>
      <c r="R888" s="218"/>
      <c r="S888" s="218"/>
      <c r="T888" s="218"/>
    </row>
    <row r="889">
      <c r="D889" s="3"/>
      <c r="E889" s="112"/>
      <c r="F889" s="3"/>
      <c r="G889" s="12"/>
      <c r="J889" s="12"/>
      <c r="L889" s="12"/>
      <c r="Q889" s="218"/>
      <c r="R889" s="218"/>
      <c r="S889" s="218"/>
      <c r="T889" s="218"/>
    </row>
    <row r="890">
      <c r="D890" s="3"/>
      <c r="E890" s="112"/>
      <c r="F890" s="3"/>
      <c r="G890" s="12"/>
      <c r="J890" s="12"/>
      <c r="L890" s="12"/>
      <c r="Q890" s="218"/>
      <c r="R890" s="218"/>
      <c r="S890" s="218"/>
      <c r="T890" s="218"/>
    </row>
    <row r="891">
      <c r="D891" s="3"/>
      <c r="E891" s="112"/>
      <c r="F891" s="3"/>
      <c r="G891" s="12"/>
      <c r="J891" s="12"/>
      <c r="L891" s="12"/>
      <c r="Q891" s="218"/>
      <c r="R891" s="218"/>
      <c r="S891" s="218"/>
      <c r="T891" s="218"/>
    </row>
    <row r="892">
      <c r="D892" s="3"/>
      <c r="E892" s="112"/>
      <c r="F892" s="3"/>
      <c r="G892" s="12"/>
      <c r="J892" s="12"/>
      <c r="L892" s="12"/>
      <c r="Q892" s="218"/>
      <c r="R892" s="218"/>
      <c r="S892" s="218"/>
      <c r="T892" s="218"/>
    </row>
    <row r="893">
      <c r="D893" s="3"/>
      <c r="E893" s="112"/>
      <c r="F893" s="3"/>
      <c r="G893" s="12"/>
      <c r="J893" s="12"/>
      <c r="L893" s="12"/>
      <c r="Q893" s="218"/>
      <c r="R893" s="218"/>
      <c r="S893" s="218"/>
      <c r="T893" s="218"/>
    </row>
    <row r="894">
      <c r="D894" s="3"/>
      <c r="E894" s="112"/>
      <c r="F894" s="3"/>
      <c r="G894" s="12"/>
      <c r="J894" s="12"/>
      <c r="L894" s="12"/>
      <c r="Q894" s="218"/>
      <c r="R894" s="218"/>
      <c r="S894" s="218"/>
      <c r="T894" s="218"/>
    </row>
    <row r="895">
      <c r="D895" s="3"/>
      <c r="E895" s="112"/>
      <c r="F895" s="3"/>
      <c r="G895" s="12"/>
      <c r="J895" s="12"/>
      <c r="L895" s="12"/>
      <c r="Q895" s="218"/>
      <c r="R895" s="218"/>
      <c r="S895" s="218"/>
      <c r="T895" s="218"/>
    </row>
    <row r="896">
      <c r="D896" s="3"/>
      <c r="E896" s="112"/>
      <c r="F896" s="3"/>
      <c r="G896" s="12"/>
      <c r="J896" s="12"/>
      <c r="L896" s="12"/>
      <c r="Q896" s="218"/>
      <c r="R896" s="218"/>
      <c r="S896" s="218"/>
      <c r="T896" s="218"/>
    </row>
    <row r="897">
      <c r="D897" s="3"/>
      <c r="E897" s="112"/>
      <c r="F897" s="3"/>
      <c r="G897" s="12"/>
      <c r="J897" s="12"/>
      <c r="L897" s="12"/>
      <c r="Q897" s="218"/>
      <c r="R897" s="218"/>
      <c r="S897" s="218"/>
      <c r="T897" s="218"/>
    </row>
    <row r="898">
      <c r="D898" s="3"/>
      <c r="E898" s="112"/>
      <c r="F898" s="3"/>
      <c r="G898" s="12"/>
      <c r="J898" s="12"/>
      <c r="L898" s="12"/>
      <c r="Q898" s="218"/>
      <c r="R898" s="218"/>
      <c r="S898" s="218"/>
      <c r="T898" s="218"/>
    </row>
    <row r="899">
      <c r="D899" s="3"/>
      <c r="E899" s="112"/>
      <c r="F899" s="3"/>
      <c r="G899" s="12"/>
      <c r="J899" s="12"/>
      <c r="L899" s="12"/>
      <c r="Q899" s="218"/>
      <c r="R899" s="218"/>
      <c r="S899" s="218"/>
      <c r="T899" s="218"/>
    </row>
    <row r="900">
      <c r="D900" s="3"/>
      <c r="E900" s="112"/>
      <c r="F900" s="3"/>
      <c r="G900" s="12"/>
      <c r="J900" s="12"/>
      <c r="L900" s="12"/>
      <c r="Q900" s="218"/>
      <c r="R900" s="218"/>
      <c r="S900" s="218"/>
      <c r="T900" s="218"/>
    </row>
    <row r="901">
      <c r="D901" s="3"/>
      <c r="E901" s="112"/>
      <c r="F901" s="3"/>
      <c r="G901" s="12"/>
      <c r="J901" s="12"/>
      <c r="L901" s="12"/>
      <c r="Q901" s="218"/>
      <c r="R901" s="218"/>
      <c r="S901" s="218"/>
      <c r="T901" s="218"/>
    </row>
    <row r="902">
      <c r="D902" s="3"/>
      <c r="E902" s="112"/>
      <c r="F902" s="3"/>
      <c r="G902" s="12"/>
      <c r="J902" s="12"/>
      <c r="L902" s="12"/>
      <c r="Q902" s="218"/>
      <c r="R902" s="218"/>
      <c r="S902" s="218"/>
      <c r="T902" s="218"/>
    </row>
    <row r="903">
      <c r="D903" s="3"/>
      <c r="E903" s="112"/>
      <c r="F903" s="3"/>
      <c r="G903" s="12"/>
      <c r="J903" s="12"/>
      <c r="L903" s="12"/>
      <c r="Q903" s="218"/>
      <c r="R903" s="218"/>
      <c r="S903" s="218"/>
      <c r="T903" s="218"/>
    </row>
    <row r="904">
      <c r="D904" s="3"/>
      <c r="E904" s="112"/>
      <c r="F904" s="3"/>
      <c r="G904" s="12"/>
      <c r="J904" s="12"/>
      <c r="L904" s="12"/>
      <c r="Q904" s="218"/>
      <c r="R904" s="218"/>
      <c r="S904" s="218"/>
      <c r="T904" s="218"/>
    </row>
    <row r="905">
      <c r="D905" s="3"/>
      <c r="E905" s="112"/>
      <c r="F905" s="3"/>
      <c r="G905" s="12"/>
      <c r="J905" s="12"/>
      <c r="L905" s="12"/>
      <c r="Q905" s="218"/>
      <c r="R905" s="218"/>
      <c r="S905" s="218"/>
      <c r="T905" s="218"/>
    </row>
    <row r="906">
      <c r="D906" s="3"/>
      <c r="E906" s="112"/>
      <c r="F906" s="3"/>
      <c r="G906" s="12"/>
      <c r="J906" s="12"/>
      <c r="L906" s="12"/>
      <c r="Q906" s="218"/>
      <c r="R906" s="218"/>
      <c r="S906" s="218"/>
      <c r="T906" s="218"/>
    </row>
    <row r="907">
      <c r="D907" s="3"/>
      <c r="E907" s="112"/>
      <c r="F907" s="3"/>
      <c r="G907" s="12"/>
      <c r="J907" s="12"/>
      <c r="L907" s="12"/>
      <c r="Q907" s="218"/>
      <c r="R907" s="218"/>
      <c r="S907" s="218"/>
      <c r="T907" s="218"/>
    </row>
    <row r="908">
      <c r="D908" s="3"/>
      <c r="E908" s="112"/>
      <c r="F908" s="3"/>
      <c r="G908" s="12"/>
      <c r="J908" s="12"/>
      <c r="L908" s="12"/>
      <c r="Q908" s="218"/>
      <c r="R908" s="218"/>
      <c r="S908" s="218"/>
      <c r="T908" s="218"/>
    </row>
    <row r="909">
      <c r="D909" s="3"/>
      <c r="E909" s="112"/>
      <c r="F909" s="3"/>
      <c r="G909" s="12"/>
      <c r="J909" s="12"/>
      <c r="L909" s="12"/>
      <c r="Q909" s="218"/>
      <c r="R909" s="218"/>
      <c r="S909" s="218"/>
      <c r="T909" s="218"/>
    </row>
    <row r="910">
      <c r="D910" s="3"/>
      <c r="E910" s="112"/>
      <c r="F910" s="3"/>
      <c r="G910" s="12"/>
      <c r="J910" s="12"/>
      <c r="L910" s="12"/>
      <c r="Q910" s="218"/>
      <c r="R910" s="218"/>
      <c r="S910" s="218"/>
      <c r="T910" s="218"/>
    </row>
    <row r="911">
      <c r="D911" s="3"/>
      <c r="E911" s="112"/>
      <c r="F911" s="3"/>
      <c r="G911" s="12"/>
      <c r="J911" s="12"/>
      <c r="L911" s="12"/>
      <c r="Q911" s="218"/>
      <c r="R911" s="218"/>
      <c r="S911" s="218"/>
      <c r="T911" s="218"/>
    </row>
    <row r="912">
      <c r="D912" s="3"/>
      <c r="E912" s="112"/>
      <c r="F912" s="3"/>
      <c r="G912" s="12"/>
      <c r="J912" s="12"/>
      <c r="L912" s="12"/>
      <c r="Q912" s="218"/>
      <c r="R912" s="218"/>
      <c r="S912" s="218"/>
      <c r="T912" s="218"/>
    </row>
    <row r="913">
      <c r="D913" s="3"/>
      <c r="E913" s="112"/>
      <c r="F913" s="3"/>
      <c r="G913" s="12"/>
      <c r="J913" s="12"/>
      <c r="L913" s="12"/>
      <c r="Q913" s="218"/>
      <c r="R913" s="218"/>
      <c r="S913" s="218"/>
      <c r="T913" s="218"/>
    </row>
    <row r="914">
      <c r="D914" s="3"/>
      <c r="E914" s="112"/>
      <c r="F914" s="3"/>
      <c r="G914" s="12"/>
      <c r="J914" s="12"/>
      <c r="L914" s="12"/>
      <c r="Q914" s="218"/>
      <c r="R914" s="218"/>
      <c r="S914" s="218"/>
      <c r="T914" s="218"/>
    </row>
    <row r="915">
      <c r="D915" s="3"/>
      <c r="E915" s="112"/>
      <c r="F915" s="3"/>
      <c r="G915" s="12"/>
      <c r="J915" s="12"/>
      <c r="L915" s="12"/>
      <c r="Q915" s="218"/>
      <c r="R915" s="218"/>
      <c r="S915" s="218"/>
      <c r="T915" s="218"/>
    </row>
    <row r="916">
      <c r="D916" s="3"/>
      <c r="E916" s="112"/>
      <c r="F916" s="3"/>
      <c r="G916" s="12"/>
      <c r="J916" s="12"/>
      <c r="L916" s="12"/>
      <c r="Q916" s="218"/>
      <c r="R916" s="218"/>
      <c r="S916" s="218"/>
      <c r="T916" s="218"/>
    </row>
    <row r="917">
      <c r="D917" s="3"/>
      <c r="E917" s="112"/>
      <c r="F917" s="3"/>
      <c r="G917" s="12"/>
      <c r="J917" s="12"/>
      <c r="L917" s="12"/>
      <c r="Q917" s="218"/>
      <c r="R917" s="218"/>
      <c r="S917" s="218"/>
      <c r="T917" s="218"/>
    </row>
    <row r="918">
      <c r="D918" s="3"/>
      <c r="E918" s="112"/>
      <c r="F918" s="3"/>
      <c r="G918" s="12"/>
      <c r="J918" s="12"/>
      <c r="L918" s="12"/>
      <c r="Q918" s="218"/>
      <c r="R918" s="218"/>
      <c r="S918" s="218"/>
      <c r="T918" s="218"/>
    </row>
    <row r="919">
      <c r="D919" s="3"/>
      <c r="E919" s="112"/>
      <c r="F919" s="3"/>
      <c r="G919" s="12"/>
      <c r="J919" s="12"/>
      <c r="L919" s="12"/>
      <c r="Q919" s="218"/>
      <c r="R919" s="218"/>
      <c r="S919" s="218"/>
      <c r="T919" s="218"/>
    </row>
    <row r="920">
      <c r="D920" s="3"/>
      <c r="E920" s="112"/>
      <c r="F920" s="3"/>
      <c r="G920" s="12"/>
      <c r="J920" s="12"/>
      <c r="L920" s="12"/>
      <c r="Q920" s="218"/>
      <c r="R920" s="218"/>
      <c r="S920" s="218"/>
      <c r="T920" s="218"/>
    </row>
    <row r="921">
      <c r="D921" s="3"/>
      <c r="E921" s="112"/>
      <c r="F921" s="3"/>
      <c r="G921" s="12"/>
      <c r="J921" s="12"/>
      <c r="L921" s="12"/>
      <c r="Q921" s="218"/>
      <c r="R921" s="218"/>
      <c r="S921" s="218"/>
      <c r="T921" s="218"/>
    </row>
    <row r="922">
      <c r="D922" s="3"/>
      <c r="E922" s="112"/>
      <c r="F922" s="3"/>
      <c r="G922" s="12"/>
      <c r="J922" s="12"/>
      <c r="L922" s="12"/>
      <c r="Q922" s="218"/>
      <c r="R922" s="218"/>
      <c r="S922" s="218"/>
      <c r="T922" s="218"/>
    </row>
    <row r="923">
      <c r="D923" s="3"/>
      <c r="E923" s="112"/>
      <c r="F923" s="3"/>
      <c r="G923" s="12"/>
      <c r="J923" s="12"/>
      <c r="L923" s="12"/>
      <c r="Q923" s="218"/>
      <c r="R923" s="218"/>
      <c r="S923" s="218"/>
      <c r="T923" s="218"/>
    </row>
    <row r="924">
      <c r="D924" s="3"/>
      <c r="E924" s="112"/>
      <c r="F924" s="3"/>
      <c r="G924" s="12"/>
      <c r="J924" s="12"/>
      <c r="L924" s="12"/>
      <c r="Q924" s="218"/>
      <c r="R924" s="218"/>
      <c r="S924" s="218"/>
      <c r="T924" s="218"/>
    </row>
    <row r="925">
      <c r="D925" s="3"/>
      <c r="E925" s="112"/>
      <c r="F925" s="3"/>
      <c r="G925" s="12"/>
      <c r="J925" s="12"/>
      <c r="L925" s="12"/>
      <c r="Q925" s="218"/>
      <c r="R925" s="218"/>
      <c r="S925" s="218"/>
      <c r="T925" s="218"/>
    </row>
    <row r="926">
      <c r="D926" s="3"/>
      <c r="E926" s="112"/>
      <c r="F926" s="3"/>
      <c r="G926" s="12"/>
      <c r="J926" s="12"/>
      <c r="L926" s="12"/>
      <c r="Q926" s="218"/>
      <c r="R926" s="218"/>
      <c r="S926" s="218"/>
      <c r="T926" s="218"/>
    </row>
    <row r="927">
      <c r="D927" s="3"/>
      <c r="E927" s="112"/>
      <c r="F927" s="3"/>
      <c r="G927" s="12"/>
      <c r="J927" s="12"/>
      <c r="L927" s="12"/>
      <c r="Q927" s="218"/>
      <c r="R927" s="218"/>
      <c r="S927" s="218"/>
      <c r="T927" s="218"/>
    </row>
    <row r="928">
      <c r="D928" s="3"/>
      <c r="E928" s="112"/>
      <c r="F928" s="3"/>
      <c r="G928" s="12"/>
      <c r="J928" s="12"/>
      <c r="L928" s="12"/>
      <c r="Q928" s="218"/>
      <c r="R928" s="218"/>
      <c r="S928" s="218"/>
      <c r="T928" s="218"/>
    </row>
    <row r="929">
      <c r="D929" s="3"/>
      <c r="E929" s="112"/>
      <c r="F929" s="3"/>
      <c r="G929" s="12"/>
      <c r="J929" s="12"/>
      <c r="L929" s="12"/>
      <c r="Q929" s="218"/>
      <c r="R929" s="218"/>
      <c r="S929" s="218"/>
      <c r="T929" s="218"/>
    </row>
    <row r="930">
      <c r="D930" s="3"/>
      <c r="E930" s="112"/>
      <c r="F930" s="3"/>
      <c r="G930" s="12"/>
      <c r="J930" s="12"/>
      <c r="L930" s="12"/>
      <c r="Q930" s="218"/>
      <c r="R930" s="218"/>
      <c r="S930" s="218"/>
      <c r="T930" s="218"/>
    </row>
    <row r="931">
      <c r="D931" s="3"/>
      <c r="E931" s="112"/>
      <c r="F931" s="3"/>
      <c r="G931" s="12"/>
      <c r="J931" s="12"/>
      <c r="L931" s="12"/>
      <c r="Q931" s="218"/>
      <c r="R931" s="218"/>
      <c r="S931" s="218"/>
      <c r="T931" s="218"/>
    </row>
    <row r="932">
      <c r="D932" s="3"/>
      <c r="E932" s="112"/>
      <c r="F932" s="3"/>
      <c r="G932" s="12"/>
      <c r="J932" s="12"/>
      <c r="L932" s="12"/>
      <c r="Q932" s="218"/>
      <c r="R932" s="218"/>
      <c r="S932" s="218"/>
      <c r="T932" s="218"/>
    </row>
    <row r="933">
      <c r="D933" s="3"/>
      <c r="E933" s="112"/>
      <c r="F933" s="3"/>
      <c r="G933" s="12"/>
      <c r="J933" s="12"/>
      <c r="L933" s="12"/>
      <c r="Q933" s="218"/>
      <c r="R933" s="218"/>
      <c r="S933" s="218"/>
      <c r="T933" s="218"/>
    </row>
    <row r="934">
      <c r="D934" s="3"/>
      <c r="E934" s="112"/>
      <c r="F934" s="3"/>
      <c r="G934" s="12"/>
      <c r="J934" s="12"/>
      <c r="L934" s="12"/>
      <c r="Q934" s="218"/>
      <c r="R934" s="218"/>
      <c r="S934" s="218"/>
      <c r="T934" s="218"/>
    </row>
    <row r="935">
      <c r="D935" s="3"/>
      <c r="E935" s="112"/>
      <c r="F935" s="3"/>
      <c r="G935" s="12"/>
      <c r="J935" s="12"/>
      <c r="L935" s="12"/>
      <c r="Q935" s="218"/>
      <c r="R935" s="218"/>
      <c r="S935" s="218"/>
      <c r="T935" s="218"/>
    </row>
    <row r="936">
      <c r="D936" s="3"/>
      <c r="E936" s="112"/>
      <c r="F936" s="3"/>
      <c r="G936" s="12"/>
      <c r="J936" s="12"/>
      <c r="L936" s="12"/>
      <c r="Q936" s="218"/>
      <c r="R936" s="218"/>
      <c r="S936" s="218"/>
      <c r="T936" s="218"/>
    </row>
    <row r="937">
      <c r="D937" s="3"/>
      <c r="E937" s="112"/>
      <c r="F937" s="3"/>
      <c r="G937" s="12"/>
      <c r="J937" s="12"/>
      <c r="L937" s="12"/>
      <c r="Q937" s="218"/>
      <c r="R937" s="218"/>
      <c r="S937" s="218"/>
      <c r="T937" s="218"/>
    </row>
    <row r="938">
      <c r="D938" s="3"/>
      <c r="E938" s="112"/>
      <c r="F938" s="3"/>
      <c r="G938" s="12"/>
      <c r="J938" s="12"/>
      <c r="L938" s="12"/>
      <c r="Q938" s="218"/>
      <c r="R938" s="218"/>
      <c r="S938" s="218"/>
      <c r="T938" s="218"/>
    </row>
    <row r="939">
      <c r="D939" s="3"/>
      <c r="E939" s="112"/>
      <c r="F939" s="3"/>
      <c r="G939" s="12"/>
      <c r="J939" s="12"/>
      <c r="L939" s="12"/>
      <c r="Q939" s="218"/>
      <c r="R939" s="218"/>
      <c r="S939" s="218"/>
      <c r="T939" s="218"/>
    </row>
    <row r="940">
      <c r="D940" s="3"/>
      <c r="E940" s="112"/>
      <c r="F940" s="3"/>
      <c r="G940" s="12"/>
      <c r="J940" s="12"/>
      <c r="L940" s="12"/>
      <c r="Q940" s="218"/>
      <c r="R940" s="218"/>
      <c r="S940" s="218"/>
      <c r="T940" s="218"/>
    </row>
    <row r="941">
      <c r="D941" s="3"/>
      <c r="E941" s="112"/>
      <c r="F941" s="3"/>
      <c r="G941" s="12"/>
      <c r="J941" s="12"/>
      <c r="L941" s="12"/>
      <c r="Q941" s="218"/>
      <c r="R941" s="218"/>
      <c r="S941" s="218"/>
      <c r="T941" s="218"/>
    </row>
    <row r="942">
      <c r="D942" s="3"/>
      <c r="E942" s="112"/>
      <c r="F942" s="3"/>
      <c r="G942" s="12"/>
      <c r="J942" s="12"/>
      <c r="L942" s="12"/>
      <c r="Q942" s="218"/>
      <c r="R942" s="218"/>
      <c r="S942" s="218"/>
      <c r="T942" s="218"/>
    </row>
    <row r="943">
      <c r="D943" s="3"/>
      <c r="E943" s="112"/>
      <c r="F943" s="3"/>
      <c r="G943" s="12"/>
      <c r="J943" s="12"/>
      <c r="L943" s="12"/>
      <c r="Q943" s="218"/>
      <c r="R943" s="218"/>
      <c r="S943" s="218"/>
      <c r="T943" s="218"/>
    </row>
    <row r="944">
      <c r="D944" s="3"/>
      <c r="E944" s="112"/>
      <c r="F944" s="3"/>
      <c r="G944" s="12"/>
      <c r="J944" s="12"/>
      <c r="L944" s="12"/>
      <c r="Q944" s="218"/>
      <c r="R944" s="218"/>
      <c r="S944" s="218"/>
      <c r="T944" s="218"/>
    </row>
    <row r="945">
      <c r="D945" s="3"/>
      <c r="E945" s="112"/>
      <c r="F945" s="3"/>
      <c r="G945" s="12"/>
      <c r="J945" s="12"/>
      <c r="L945" s="12"/>
      <c r="Q945" s="218"/>
      <c r="R945" s="218"/>
      <c r="S945" s="218"/>
      <c r="T945" s="218"/>
    </row>
    <row r="946">
      <c r="D946" s="3"/>
      <c r="E946" s="112"/>
      <c r="F946" s="3"/>
      <c r="G946" s="12"/>
      <c r="J946" s="12"/>
      <c r="L946" s="12"/>
      <c r="Q946" s="218"/>
      <c r="R946" s="218"/>
      <c r="S946" s="218"/>
      <c r="T946" s="218"/>
    </row>
    <row r="947">
      <c r="D947" s="3"/>
      <c r="E947" s="112"/>
      <c r="F947" s="3"/>
      <c r="G947" s="12"/>
      <c r="J947" s="12"/>
      <c r="L947" s="12"/>
      <c r="Q947" s="218"/>
      <c r="R947" s="218"/>
      <c r="S947" s="218"/>
      <c r="T947" s="218"/>
    </row>
    <row r="948">
      <c r="D948" s="3"/>
      <c r="E948" s="112"/>
      <c r="F948" s="3"/>
      <c r="G948" s="12"/>
      <c r="J948" s="12"/>
      <c r="L948" s="12"/>
      <c r="Q948" s="218"/>
      <c r="R948" s="218"/>
      <c r="S948" s="218"/>
      <c r="T948" s="218"/>
    </row>
    <row r="949">
      <c r="D949" s="3"/>
      <c r="E949" s="112"/>
      <c r="F949" s="3"/>
      <c r="G949" s="12"/>
      <c r="J949" s="12"/>
      <c r="L949" s="12"/>
      <c r="Q949" s="218"/>
      <c r="R949" s="218"/>
      <c r="S949" s="218"/>
      <c r="T949" s="218"/>
    </row>
    <row r="950">
      <c r="D950" s="3"/>
      <c r="E950" s="112"/>
      <c r="F950" s="3"/>
      <c r="G950" s="12"/>
      <c r="J950" s="12"/>
      <c r="L950" s="12"/>
      <c r="Q950" s="218"/>
      <c r="R950" s="218"/>
      <c r="S950" s="218"/>
      <c r="T950" s="218"/>
    </row>
    <row r="951">
      <c r="D951" s="3"/>
      <c r="E951" s="112"/>
      <c r="F951" s="3"/>
      <c r="G951" s="12"/>
      <c r="J951" s="12"/>
      <c r="L951" s="12"/>
      <c r="Q951" s="218"/>
      <c r="R951" s="218"/>
      <c r="S951" s="218"/>
      <c r="T951" s="218"/>
    </row>
    <row r="952">
      <c r="D952" s="3"/>
      <c r="E952" s="112"/>
      <c r="F952" s="3"/>
      <c r="G952" s="12"/>
      <c r="J952" s="12"/>
      <c r="L952" s="12"/>
      <c r="Q952" s="218"/>
      <c r="R952" s="218"/>
      <c r="S952" s="218"/>
      <c r="T952" s="218"/>
    </row>
    <row r="953">
      <c r="D953" s="3"/>
      <c r="E953" s="112"/>
      <c r="F953" s="3"/>
      <c r="G953" s="12"/>
      <c r="J953" s="12"/>
      <c r="L953" s="12"/>
      <c r="Q953" s="218"/>
      <c r="R953" s="218"/>
      <c r="S953" s="218"/>
      <c r="T953" s="218"/>
    </row>
    <row r="954">
      <c r="D954" s="3"/>
      <c r="E954" s="112"/>
      <c r="F954" s="3"/>
      <c r="G954" s="12"/>
      <c r="J954" s="12"/>
      <c r="L954" s="12"/>
      <c r="Q954" s="218"/>
      <c r="R954" s="218"/>
      <c r="S954" s="218"/>
      <c r="T954" s="218"/>
    </row>
    <row r="955">
      <c r="D955" s="3"/>
      <c r="E955" s="112"/>
      <c r="F955" s="3"/>
      <c r="G955" s="12"/>
      <c r="J955" s="12"/>
      <c r="L955" s="12"/>
      <c r="Q955" s="218"/>
      <c r="R955" s="218"/>
      <c r="S955" s="218"/>
      <c r="T955" s="218"/>
    </row>
    <row r="956">
      <c r="D956" s="3"/>
      <c r="E956" s="112"/>
      <c r="F956" s="3"/>
      <c r="G956" s="12"/>
      <c r="J956" s="12"/>
      <c r="L956" s="12"/>
      <c r="Q956" s="218"/>
      <c r="R956" s="218"/>
      <c r="S956" s="218"/>
      <c r="T956" s="218"/>
    </row>
    <row r="957">
      <c r="D957" s="3"/>
      <c r="E957" s="112"/>
      <c r="F957" s="3"/>
      <c r="G957" s="12"/>
      <c r="J957" s="12"/>
      <c r="L957" s="12"/>
      <c r="Q957" s="218"/>
      <c r="R957" s="218"/>
      <c r="S957" s="218"/>
      <c r="T957" s="218"/>
    </row>
    <row r="958">
      <c r="D958" s="3"/>
      <c r="E958" s="112"/>
      <c r="F958" s="3"/>
      <c r="G958" s="12"/>
      <c r="J958" s="12"/>
      <c r="L958" s="12"/>
      <c r="Q958" s="218"/>
      <c r="R958" s="218"/>
      <c r="S958" s="218"/>
      <c r="T958" s="218"/>
    </row>
    <row r="959">
      <c r="D959" s="3"/>
      <c r="E959" s="112"/>
      <c r="F959" s="3"/>
      <c r="G959" s="12"/>
      <c r="J959" s="12"/>
      <c r="L959" s="12"/>
      <c r="Q959" s="218"/>
      <c r="R959" s="218"/>
      <c r="S959" s="218"/>
      <c r="T959" s="218"/>
    </row>
    <row r="960">
      <c r="D960" s="3"/>
      <c r="E960" s="112"/>
      <c r="F960" s="3"/>
      <c r="G960" s="12"/>
      <c r="J960" s="12"/>
      <c r="L960" s="12"/>
      <c r="Q960" s="218"/>
      <c r="R960" s="218"/>
      <c r="S960" s="218"/>
      <c r="T960" s="218"/>
    </row>
    <row r="961">
      <c r="D961" s="3"/>
      <c r="E961" s="112"/>
      <c r="F961" s="3"/>
      <c r="G961" s="12"/>
      <c r="J961" s="12"/>
      <c r="L961" s="12"/>
      <c r="Q961" s="218"/>
      <c r="R961" s="218"/>
      <c r="S961" s="218"/>
      <c r="T961" s="218"/>
    </row>
    <row r="962">
      <c r="D962" s="3"/>
      <c r="E962" s="112"/>
      <c r="F962" s="3"/>
      <c r="G962" s="12"/>
      <c r="J962" s="12"/>
      <c r="L962" s="12"/>
      <c r="Q962" s="218"/>
      <c r="R962" s="218"/>
      <c r="S962" s="218"/>
      <c r="T962" s="218"/>
    </row>
    <row r="963">
      <c r="D963" s="3"/>
      <c r="E963" s="112"/>
      <c r="F963" s="3"/>
      <c r="G963" s="12"/>
      <c r="J963" s="12"/>
      <c r="L963" s="12"/>
      <c r="Q963" s="218"/>
      <c r="R963" s="218"/>
      <c r="S963" s="218"/>
      <c r="T963" s="218"/>
    </row>
    <row r="964">
      <c r="D964" s="3"/>
      <c r="E964" s="112"/>
      <c r="F964" s="3"/>
      <c r="G964" s="12"/>
      <c r="J964" s="12"/>
      <c r="L964" s="12"/>
      <c r="Q964" s="218"/>
      <c r="R964" s="218"/>
      <c r="S964" s="218"/>
      <c r="T964" s="218"/>
    </row>
    <row r="965">
      <c r="D965" s="3"/>
      <c r="E965" s="112"/>
      <c r="F965" s="3"/>
      <c r="G965" s="12"/>
      <c r="J965" s="12"/>
      <c r="L965" s="12"/>
      <c r="Q965" s="218"/>
      <c r="R965" s="218"/>
      <c r="S965" s="218"/>
      <c r="T965" s="218"/>
    </row>
    <row r="966">
      <c r="D966" s="3"/>
      <c r="E966" s="112"/>
      <c r="F966" s="3"/>
      <c r="G966" s="12"/>
      <c r="J966" s="12"/>
      <c r="L966" s="12"/>
      <c r="Q966" s="218"/>
      <c r="R966" s="218"/>
      <c r="S966" s="218"/>
      <c r="T966" s="218"/>
    </row>
    <row r="967">
      <c r="D967" s="3"/>
      <c r="E967" s="112"/>
      <c r="F967" s="3"/>
      <c r="G967" s="12"/>
      <c r="J967" s="12"/>
      <c r="L967" s="12"/>
      <c r="Q967" s="218"/>
      <c r="R967" s="218"/>
      <c r="S967" s="218"/>
      <c r="T967" s="218"/>
    </row>
    <row r="968">
      <c r="D968" s="3"/>
      <c r="E968" s="112"/>
      <c r="F968" s="3"/>
      <c r="G968" s="12"/>
      <c r="J968" s="12"/>
      <c r="L968" s="12"/>
      <c r="Q968" s="218"/>
      <c r="R968" s="218"/>
      <c r="S968" s="218"/>
      <c r="T968" s="218"/>
    </row>
    <row r="969">
      <c r="D969" s="3"/>
      <c r="E969" s="112"/>
      <c r="F969" s="3"/>
      <c r="G969" s="12"/>
      <c r="J969" s="12"/>
      <c r="L969" s="12"/>
      <c r="Q969" s="218"/>
      <c r="R969" s="218"/>
      <c r="S969" s="218"/>
      <c r="T969" s="218"/>
    </row>
    <row r="970">
      <c r="D970" s="3"/>
      <c r="E970" s="112"/>
      <c r="F970" s="3"/>
      <c r="G970" s="12"/>
      <c r="J970" s="12"/>
      <c r="L970" s="12"/>
      <c r="Q970" s="218"/>
      <c r="R970" s="218"/>
      <c r="S970" s="218"/>
      <c r="T970" s="218"/>
    </row>
    <row r="971">
      <c r="D971" s="3"/>
      <c r="E971" s="112"/>
      <c r="F971" s="3"/>
      <c r="G971" s="12"/>
      <c r="J971" s="12"/>
      <c r="L971" s="12"/>
      <c r="Q971" s="218"/>
      <c r="R971" s="218"/>
      <c r="S971" s="218"/>
      <c r="T971" s="218"/>
    </row>
    <row r="972">
      <c r="D972" s="3"/>
      <c r="E972" s="112"/>
      <c r="F972" s="3"/>
      <c r="G972" s="12"/>
      <c r="J972" s="12"/>
      <c r="L972" s="12"/>
      <c r="Q972" s="218"/>
      <c r="R972" s="218"/>
      <c r="S972" s="218"/>
      <c r="T972" s="218"/>
    </row>
    <row r="973">
      <c r="D973" s="3"/>
      <c r="E973" s="112"/>
      <c r="F973" s="3"/>
      <c r="G973" s="12"/>
      <c r="J973" s="12"/>
      <c r="L973" s="12"/>
      <c r="Q973" s="218"/>
      <c r="R973" s="218"/>
      <c r="S973" s="218"/>
      <c r="T973" s="218"/>
    </row>
    <row r="974">
      <c r="D974" s="3"/>
      <c r="E974" s="112"/>
      <c r="F974" s="3"/>
      <c r="G974" s="12"/>
      <c r="J974" s="12"/>
      <c r="L974" s="12"/>
      <c r="Q974" s="218"/>
      <c r="R974" s="218"/>
      <c r="S974" s="218"/>
      <c r="T974" s="218"/>
    </row>
    <row r="975">
      <c r="D975" s="3"/>
      <c r="E975" s="112"/>
      <c r="F975" s="3"/>
      <c r="G975" s="12"/>
      <c r="J975" s="12"/>
      <c r="L975" s="12"/>
      <c r="Q975" s="218"/>
      <c r="R975" s="218"/>
      <c r="S975" s="218"/>
      <c r="T975" s="218"/>
    </row>
    <row r="976">
      <c r="D976" s="3"/>
      <c r="E976" s="112"/>
      <c r="F976" s="3"/>
      <c r="G976" s="12"/>
      <c r="J976" s="12"/>
      <c r="L976" s="12"/>
      <c r="Q976" s="218"/>
      <c r="R976" s="218"/>
      <c r="S976" s="218"/>
      <c r="T976" s="218"/>
    </row>
    <row r="977">
      <c r="D977" s="3"/>
      <c r="E977" s="112"/>
      <c r="F977" s="3"/>
      <c r="G977" s="12"/>
      <c r="J977" s="12"/>
      <c r="L977" s="12"/>
      <c r="Q977" s="218"/>
      <c r="R977" s="218"/>
      <c r="S977" s="218"/>
      <c r="T977" s="218"/>
    </row>
    <row r="978">
      <c r="D978" s="3"/>
      <c r="E978" s="112"/>
      <c r="F978" s="3"/>
      <c r="G978" s="12"/>
      <c r="J978" s="12"/>
      <c r="L978" s="12"/>
      <c r="Q978" s="218"/>
      <c r="R978" s="218"/>
      <c r="S978" s="218"/>
      <c r="T978" s="218"/>
    </row>
    <row r="979">
      <c r="D979" s="3"/>
      <c r="E979" s="112"/>
      <c r="F979" s="3"/>
      <c r="G979" s="12"/>
      <c r="J979" s="12"/>
      <c r="L979" s="12"/>
      <c r="Q979" s="218"/>
      <c r="R979" s="218"/>
      <c r="S979" s="218"/>
      <c r="T979" s="218"/>
    </row>
    <row r="980">
      <c r="D980" s="3"/>
      <c r="E980" s="112"/>
      <c r="F980" s="3"/>
      <c r="G980" s="12"/>
      <c r="J980" s="12"/>
      <c r="L980" s="12"/>
      <c r="Q980" s="218"/>
      <c r="R980" s="218"/>
      <c r="S980" s="218"/>
      <c r="T980" s="218"/>
    </row>
    <row r="981">
      <c r="D981" s="3"/>
      <c r="E981" s="112"/>
      <c r="F981" s="3"/>
      <c r="G981" s="12"/>
      <c r="J981" s="12"/>
      <c r="L981" s="12"/>
      <c r="Q981" s="218"/>
      <c r="R981" s="218"/>
      <c r="S981" s="218"/>
      <c r="T981" s="218"/>
    </row>
    <row r="982">
      <c r="D982" s="3"/>
      <c r="E982" s="112"/>
      <c r="F982" s="3"/>
      <c r="G982" s="12"/>
      <c r="J982" s="12"/>
      <c r="L982" s="12"/>
      <c r="Q982" s="218"/>
      <c r="R982" s="218"/>
      <c r="S982" s="218"/>
      <c r="T982" s="218"/>
    </row>
    <row r="983">
      <c r="D983" s="3"/>
      <c r="E983" s="112"/>
      <c r="F983" s="3"/>
      <c r="G983" s="12"/>
      <c r="J983" s="12"/>
      <c r="L983" s="12"/>
      <c r="Q983" s="218"/>
      <c r="R983" s="218"/>
      <c r="S983" s="218"/>
      <c r="T983" s="218"/>
    </row>
    <row r="984">
      <c r="D984" s="3"/>
      <c r="E984" s="112"/>
      <c r="F984" s="3"/>
      <c r="G984" s="12"/>
      <c r="J984" s="12"/>
      <c r="L984" s="12"/>
      <c r="Q984" s="218"/>
      <c r="R984" s="218"/>
      <c r="S984" s="218"/>
      <c r="T984" s="218"/>
    </row>
    <row r="985">
      <c r="D985" s="3"/>
      <c r="E985" s="112"/>
      <c r="F985" s="3"/>
      <c r="G985" s="12"/>
      <c r="J985" s="12"/>
      <c r="L985" s="12"/>
      <c r="Q985" s="218"/>
      <c r="R985" s="218"/>
      <c r="S985" s="218"/>
      <c r="T985" s="218"/>
    </row>
    <row r="986">
      <c r="D986" s="3"/>
      <c r="E986" s="112"/>
      <c r="F986" s="3"/>
      <c r="G986" s="12"/>
      <c r="J986" s="12"/>
      <c r="L986" s="12"/>
      <c r="Q986" s="218"/>
      <c r="R986" s="218"/>
      <c r="S986" s="218"/>
      <c r="T986" s="218"/>
    </row>
    <row r="987">
      <c r="D987" s="3"/>
      <c r="E987" s="112"/>
      <c r="F987" s="3"/>
      <c r="G987" s="12"/>
      <c r="J987" s="12"/>
      <c r="L987" s="12"/>
      <c r="Q987" s="218"/>
      <c r="R987" s="218"/>
      <c r="S987" s="218"/>
      <c r="T987" s="218"/>
    </row>
    <row r="988">
      <c r="D988" s="3"/>
      <c r="E988" s="112"/>
      <c r="F988" s="3"/>
      <c r="G988" s="12"/>
      <c r="J988" s="12"/>
      <c r="L988" s="12"/>
      <c r="Q988" s="218"/>
      <c r="R988" s="218"/>
      <c r="S988" s="218"/>
      <c r="T988" s="218"/>
    </row>
    <row r="989">
      <c r="D989" s="3"/>
      <c r="E989" s="112"/>
      <c r="F989" s="3"/>
      <c r="G989" s="12"/>
      <c r="J989" s="12"/>
      <c r="L989" s="12"/>
      <c r="Q989" s="218"/>
      <c r="R989" s="218"/>
      <c r="S989" s="218"/>
      <c r="T989" s="218"/>
    </row>
    <row r="990">
      <c r="D990" s="3"/>
      <c r="E990" s="112"/>
      <c r="F990" s="3"/>
      <c r="G990" s="12"/>
      <c r="J990" s="12"/>
      <c r="L990" s="12"/>
      <c r="Q990" s="218"/>
      <c r="R990" s="218"/>
      <c r="S990" s="218"/>
      <c r="T990" s="218"/>
    </row>
    <row r="991">
      <c r="D991" s="3"/>
      <c r="E991" s="112"/>
      <c r="F991" s="3"/>
      <c r="G991" s="12"/>
      <c r="J991" s="12"/>
      <c r="L991" s="12"/>
      <c r="Q991" s="218"/>
      <c r="R991" s="218"/>
      <c r="S991" s="218"/>
      <c r="T991" s="218"/>
    </row>
    <row r="992">
      <c r="D992" s="3"/>
      <c r="E992" s="112"/>
      <c r="F992" s="3"/>
      <c r="G992" s="12"/>
      <c r="J992" s="12"/>
      <c r="L992" s="12"/>
      <c r="Q992" s="218"/>
      <c r="R992" s="218"/>
      <c r="S992" s="218"/>
      <c r="T992" s="218"/>
    </row>
    <row r="993">
      <c r="D993" s="3"/>
      <c r="E993" s="112"/>
      <c r="F993" s="3"/>
      <c r="G993" s="12"/>
      <c r="J993" s="12"/>
      <c r="L993" s="12"/>
      <c r="Q993" s="218"/>
      <c r="R993" s="218"/>
      <c r="S993" s="218"/>
      <c r="T993" s="218"/>
    </row>
    <row r="994">
      <c r="D994" s="3"/>
      <c r="E994" s="112"/>
      <c r="F994" s="3"/>
      <c r="G994" s="12"/>
      <c r="J994" s="12"/>
      <c r="L994" s="12"/>
      <c r="Q994" s="218"/>
      <c r="R994" s="218"/>
      <c r="S994" s="218"/>
      <c r="T994" s="218"/>
    </row>
    <row r="995">
      <c r="D995" s="3"/>
      <c r="E995" s="112"/>
      <c r="F995" s="3"/>
      <c r="G995" s="12"/>
      <c r="J995" s="12"/>
      <c r="L995" s="12"/>
      <c r="Q995" s="218"/>
      <c r="R995" s="218"/>
      <c r="S995" s="218"/>
      <c r="T995" s="218"/>
    </row>
    <row r="996">
      <c r="D996" s="3"/>
      <c r="E996" s="112"/>
      <c r="F996" s="3"/>
      <c r="G996" s="12"/>
      <c r="J996" s="12"/>
      <c r="L996" s="12"/>
      <c r="Q996" s="218"/>
      <c r="R996" s="218"/>
      <c r="S996" s="218"/>
      <c r="T996" s="218"/>
    </row>
    <row r="997">
      <c r="D997" s="3"/>
      <c r="E997" s="112"/>
      <c r="F997" s="3"/>
      <c r="G997" s="12"/>
      <c r="J997" s="12"/>
      <c r="L997" s="12"/>
      <c r="Q997" s="218"/>
      <c r="R997" s="218"/>
      <c r="S997" s="218"/>
      <c r="T997" s="218"/>
    </row>
    <row r="998">
      <c r="D998" s="3"/>
      <c r="E998" s="112"/>
      <c r="F998" s="3"/>
      <c r="G998" s="12"/>
      <c r="J998" s="12"/>
      <c r="L998" s="12"/>
      <c r="Q998" s="218"/>
      <c r="R998" s="218"/>
      <c r="S998" s="218"/>
      <c r="T998" s="218"/>
    </row>
    <row r="999">
      <c r="D999" s="3"/>
      <c r="E999" s="112"/>
      <c r="F999" s="3"/>
      <c r="G999" s="12"/>
      <c r="J999" s="12"/>
      <c r="L999" s="12"/>
      <c r="Q999" s="218"/>
      <c r="R999" s="218"/>
      <c r="S999" s="218"/>
      <c r="T999" s="218"/>
    </row>
    <row r="1000">
      <c r="D1000" s="3"/>
      <c r="E1000" s="112"/>
      <c r="F1000" s="3"/>
      <c r="G1000" s="12"/>
      <c r="J1000" s="12"/>
      <c r="L1000" s="12"/>
      <c r="Q1000" s="218"/>
      <c r="R1000" s="218"/>
      <c r="S1000" s="218"/>
      <c r="T1000" s="218"/>
    </row>
    <row r="1001">
      <c r="D1001" s="3"/>
      <c r="E1001" s="112"/>
      <c r="F1001" s="3"/>
      <c r="G1001" s="12"/>
      <c r="J1001" s="12"/>
      <c r="L1001" s="12"/>
      <c r="Q1001" s="218"/>
      <c r="R1001" s="218"/>
      <c r="S1001" s="218"/>
      <c r="T1001" s="218"/>
    </row>
    <row r="1002">
      <c r="D1002" s="3"/>
      <c r="E1002" s="112"/>
      <c r="F1002" s="3"/>
      <c r="G1002" s="12"/>
      <c r="J1002" s="12"/>
      <c r="L1002" s="12"/>
      <c r="Q1002" s="218"/>
      <c r="R1002" s="218"/>
      <c r="S1002" s="218"/>
      <c r="T1002" s="218"/>
    </row>
    <row r="1003">
      <c r="D1003" s="3"/>
      <c r="E1003" s="112"/>
      <c r="F1003" s="3"/>
      <c r="G1003" s="12"/>
      <c r="J1003" s="12"/>
      <c r="L1003" s="12"/>
      <c r="Q1003" s="218"/>
      <c r="R1003" s="218"/>
      <c r="S1003" s="218"/>
      <c r="T1003" s="218"/>
    </row>
    <row r="1004">
      <c r="D1004" s="3"/>
      <c r="E1004" s="112"/>
      <c r="F1004" s="3"/>
      <c r="G1004" s="12"/>
      <c r="J1004" s="12"/>
      <c r="L1004" s="12"/>
      <c r="Q1004" s="218"/>
      <c r="R1004" s="218"/>
      <c r="S1004" s="218"/>
      <c r="T1004" s="218"/>
    </row>
    <row r="1005">
      <c r="D1005" s="3"/>
      <c r="E1005" s="112"/>
      <c r="F1005" s="3"/>
      <c r="G1005" s="12"/>
      <c r="J1005" s="12"/>
      <c r="L1005" s="12"/>
      <c r="Q1005" s="218"/>
      <c r="R1005" s="218"/>
      <c r="S1005" s="218"/>
      <c r="T1005" s="218"/>
    </row>
    <row r="1006">
      <c r="D1006" s="3"/>
      <c r="E1006" s="112"/>
      <c r="F1006" s="3"/>
      <c r="G1006" s="12"/>
      <c r="J1006" s="12"/>
      <c r="L1006" s="12"/>
      <c r="Q1006" s="218"/>
      <c r="R1006" s="218"/>
      <c r="S1006" s="218"/>
      <c r="T1006" s="218"/>
    </row>
    <row r="1007">
      <c r="D1007" s="3"/>
      <c r="E1007" s="112"/>
      <c r="F1007" s="3"/>
      <c r="G1007" s="12"/>
      <c r="J1007" s="12"/>
      <c r="L1007" s="12"/>
      <c r="Q1007" s="218"/>
      <c r="R1007" s="218"/>
      <c r="S1007" s="218"/>
      <c r="T1007" s="218"/>
    </row>
    <row r="1008">
      <c r="D1008" s="3"/>
      <c r="E1008" s="112"/>
      <c r="F1008" s="3"/>
      <c r="G1008" s="12"/>
      <c r="J1008" s="12"/>
      <c r="L1008" s="12"/>
      <c r="Q1008" s="218"/>
      <c r="R1008" s="218"/>
      <c r="S1008" s="218"/>
      <c r="T1008" s="218"/>
    </row>
    <row r="1009">
      <c r="D1009" s="3"/>
      <c r="E1009" s="112"/>
      <c r="F1009" s="3"/>
      <c r="G1009" s="12"/>
      <c r="J1009" s="12"/>
      <c r="L1009" s="12"/>
      <c r="Q1009" s="218"/>
      <c r="R1009" s="218"/>
      <c r="S1009" s="218"/>
      <c r="T1009" s="218"/>
    </row>
    <row r="1010">
      <c r="D1010" s="3"/>
      <c r="E1010" s="112"/>
      <c r="F1010" s="3"/>
      <c r="G1010" s="12"/>
      <c r="J1010" s="12"/>
      <c r="L1010" s="12"/>
      <c r="Q1010" s="218"/>
      <c r="R1010" s="218"/>
      <c r="S1010" s="218"/>
      <c r="T1010" s="218"/>
    </row>
    <row r="1011">
      <c r="D1011" s="3"/>
      <c r="E1011" s="112"/>
      <c r="F1011" s="3"/>
      <c r="G1011" s="12"/>
      <c r="J1011" s="12"/>
      <c r="L1011" s="12"/>
      <c r="Q1011" s="218"/>
      <c r="R1011" s="218"/>
      <c r="S1011" s="218"/>
      <c r="T1011" s="218"/>
    </row>
    <row r="1012">
      <c r="D1012" s="3"/>
      <c r="E1012" s="112"/>
      <c r="F1012" s="3"/>
      <c r="G1012" s="12"/>
      <c r="J1012" s="12"/>
      <c r="L1012" s="12"/>
      <c r="Q1012" s="218"/>
      <c r="R1012" s="218"/>
      <c r="S1012" s="218"/>
      <c r="T1012" s="218"/>
    </row>
  </sheetData>
  <mergeCells count="26">
    <mergeCell ref="E3:G4"/>
    <mergeCell ref="E5:G5"/>
    <mergeCell ref="E6:G7"/>
    <mergeCell ref="E8:G8"/>
    <mergeCell ref="E9:G10"/>
    <mergeCell ref="A5:B6"/>
    <mergeCell ref="A7:B8"/>
    <mergeCell ref="A9:B10"/>
    <mergeCell ref="A11:B12"/>
    <mergeCell ref="A1:C1"/>
    <mergeCell ref="E1:G1"/>
    <mergeCell ref="I1:L1"/>
    <mergeCell ref="A2:B2"/>
    <mergeCell ref="E2:G2"/>
    <mergeCell ref="A3:B4"/>
    <mergeCell ref="I6:L6"/>
    <mergeCell ref="I7:J8"/>
    <mergeCell ref="I10:J11"/>
    <mergeCell ref="I2:L2"/>
    <mergeCell ref="I3:J3"/>
    <mergeCell ref="K3:L3"/>
    <mergeCell ref="I4:J5"/>
    <mergeCell ref="K4:L5"/>
    <mergeCell ref="K7:L8"/>
    <mergeCell ref="I9:L9"/>
    <mergeCell ref="K10:L11"/>
  </mergeCells>
  <dataValidations>
    <dataValidation type="list" allowBlank="1" showErrorMessage="1" sqref="H16:H160">
      <formula1>"Sampai,Sudah Proses Pengiriman,Kendala [FU!],Done Req Sample"</formula1>
    </dataValidation>
    <dataValidation type="list" allowBlank="1" showErrorMessage="1" sqref="A16:A160">
      <formula1>"MEGA,MACRO,MICRO,NANO"</formula1>
    </dataValidation>
    <dataValidation type="list" allowBlank="1" showErrorMessage="1" sqref="G16:G160">
      <formula1>"OMG OH MY GLOW UV Barrier Sunscreen SPF 50 PA++++ 60 ml,[BELI BANYAK, LEBIH MURAH!] OMG Oh My Glow Bright Tone Up UV Barrier Sunscreen SPF 50 PA++ 25 ml,NEW! OMG Acne &amp; Oil Control UV Barrier Sunscreen SPF50 PA++++ ,Brightening &amp; Soothing Toner"</formula1>
    </dataValidation>
    <dataValidation type="list" allowBlank="1" showErrorMessage="1" sqref="I16:I160 K16:K160 M16:M160 O16:O160">
      <formula1>" Concept 1,Concept 2,Concept 3,Concept 4"</formula1>
    </dataValidation>
  </dataValidations>
  <hyperlinks>
    <hyperlink r:id="rId1" ref="C16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24.63"/>
    <col customWidth="1" min="7" max="7" width="16.0"/>
    <col customWidth="1" min="9" max="9" width="19.38"/>
    <col customWidth="1" min="11" max="11" width="19.25"/>
  </cols>
  <sheetData>
    <row r="1">
      <c r="A1" s="213" t="s">
        <v>455</v>
      </c>
      <c r="B1" s="214"/>
      <c r="C1" s="214"/>
      <c r="D1" s="275" t="s">
        <v>478</v>
      </c>
      <c r="E1" s="213" t="s">
        <v>328</v>
      </c>
      <c r="F1" s="214"/>
      <c r="G1" s="216"/>
      <c r="I1" s="217" t="s">
        <v>456</v>
      </c>
      <c r="J1" s="214"/>
      <c r="K1" s="214"/>
      <c r="L1" s="216"/>
      <c r="Q1" s="218"/>
      <c r="R1" s="218"/>
      <c r="S1" s="218"/>
      <c r="T1" s="218"/>
    </row>
    <row r="2">
      <c r="A2" s="219" t="s">
        <v>457</v>
      </c>
      <c r="B2" s="220"/>
      <c r="C2" s="219" t="s">
        <v>455</v>
      </c>
      <c r="D2" s="275"/>
      <c r="E2" s="221" t="s">
        <v>327</v>
      </c>
      <c r="F2" s="214"/>
      <c r="G2" s="216"/>
      <c r="I2" s="222" t="s">
        <v>458</v>
      </c>
      <c r="J2" s="214"/>
      <c r="K2" s="214"/>
      <c r="L2" s="216"/>
      <c r="Q2" s="218"/>
      <c r="R2" s="218"/>
      <c r="S2" s="218"/>
      <c r="T2" s="218"/>
    </row>
    <row r="3">
      <c r="A3" s="223">
        <v>1.0</v>
      </c>
      <c r="B3" s="224"/>
      <c r="C3" s="225">
        <v>1.0</v>
      </c>
      <c r="D3" s="275"/>
      <c r="E3" s="226">
        <f>Maindata!I3</f>
        <v>1000000000</v>
      </c>
      <c r="F3" s="227"/>
      <c r="G3" s="228"/>
      <c r="I3" s="229" t="s">
        <v>459</v>
      </c>
      <c r="J3" s="216"/>
      <c r="K3" s="230" t="s">
        <v>460</v>
      </c>
      <c r="L3" s="216"/>
      <c r="Q3" s="218"/>
      <c r="R3" s="218"/>
      <c r="S3" s="218"/>
      <c r="T3" s="218"/>
    </row>
    <row r="4">
      <c r="A4" s="231"/>
      <c r="B4" s="220"/>
      <c r="C4" s="225">
        <v>2.0</v>
      </c>
      <c r="D4" s="275"/>
      <c r="E4" s="232"/>
      <c r="F4" s="233"/>
      <c r="G4" s="234"/>
      <c r="I4" s="235">
        <f>IFERROR(__xludf.DUMMYFUNCTION("IMPORTRANGE(""https://docs.google.com/spreadsheets/d/1XGHyffJQ7KjI292zt5QVK_1XTfEMh_HDpl_2BHAzd4c/edit?gid=1335890585#gid=1335890585"",""OMG Skincare!H16"")        "),7680000.0)</f>
        <v>7680000</v>
      </c>
      <c r="J4" s="228"/>
      <c r="K4" s="226">
        <f>IFERROR(__xludf.DUMMYFUNCTION("IMPORTRANGE(""https://docs.google.com/spreadsheets/d/1XGHyffJQ7KjI292zt5QVK_1XTfEMh_HDpl_2BHAzd4c/edit?gid=1335890585#gid=1335890585"",""OMG Skincare!H21"")        "),2.732E7)</f>
        <v>27320000</v>
      </c>
      <c r="L4" s="228"/>
      <c r="Q4" s="218"/>
      <c r="R4" s="218"/>
      <c r="S4" s="218"/>
      <c r="T4" s="218"/>
    </row>
    <row r="5">
      <c r="A5" s="236">
        <v>2.0</v>
      </c>
      <c r="B5" s="224"/>
      <c r="C5" s="225">
        <v>1.0</v>
      </c>
      <c r="D5" s="275"/>
      <c r="E5" s="237" t="s">
        <v>461</v>
      </c>
      <c r="F5" s="214"/>
      <c r="G5" s="216"/>
      <c r="I5" s="232"/>
      <c r="J5" s="234"/>
      <c r="K5" s="232"/>
      <c r="L5" s="234"/>
      <c r="Q5" s="218"/>
      <c r="R5" s="218"/>
      <c r="S5" s="218"/>
      <c r="T5" s="218"/>
    </row>
    <row r="6">
      <c r="A6" s="231"/>
      <c r="B6" s="220"/>
      <c r="C6" s="225">
        <v>2.0</v>
      </c>
      <c r="D6" s="275"/>
      <c r="E6" s="226">
        <f>SUM(Q16:T249)</f>
        <v>80000</v>
      </c>
      <c r="F6" s="227"/>
      <c r="G6" s="228"/>
      <c r="I6" s="238" t="s">
        <v>462</v>
      </c>
      <c r="J6" s="214"/>
      <c r="K6" s="214"/>
      <c r="L6" s="216"/>
      <c r="Q6" s="218"/>
      <c r="R6" s="218"/>
      <c r="S6" s="218"/>
      <c r="T6" s="218"/>
    </row>
    <row r="7">
      <c r="A7" s="236">
        <v>3.0</v>
      </c>
      <c r="B7" s="224"/>
      <c r="C7" s="225">
        <v>1.0</v>
      </c>
      <c r="D7" s="275"/>
      <c r="E7" s="232"/>
      <c r="F7" s="233"/>
      <c r="G7" s="234"/>
      <c r="I7" s="235">
        <f>IFERROR(__xludf.DUMMYFUNCTION("IMPORTRANGE(""https://docs.google.com/spreadsheets/d/1XGHyffJQ7KjI292zt5QVK_1XTfEMh_HDpl_2BHAzd4c/edit?gid=1335890585#gid=1335890585"",""OMG Skincare!H4"")"),6690000.0)</f>
        <v>6690000</v>
      </c>
      <c r="J7" s="228"/>
      <c r="K7" s="226">
        <f>IFERROR(__xludf.DUMMYFUNCTION("IMPORTRANGE(""https://docs.google.com/spreadsheets/d/1XGHyffJQ7KjI292zt5QVK_1XTfEMh_HDpl_2BHAzd4c/edit?gid=1335890585#gid=1335890585"",""OMG Skincare!K4"")        "),2.432E7)</f>
        <v>24320000</v>
      </c>
      <c r="L7" s="228"/>
      <c r="Q7" s="218"/>
      <c r="R7" s="218"/>
      <c r="S7" s="218"/>
      <c r="T7" s="218"/>
    </row>
    <row r="8">
      <c r="A8" s="231"/>
      <c r="B8" s="220"/>
      <c r="C8" s="225">
        <v>2.0</v>
      </c>
      <c r="D8" s="275"/>
      <c r="E8" s="239" t="s">
        <v>329</v>
      </c>
      <c r="F8" s="214"/>
      <c r="G8" s="216"/>
      <c r="I8" s="232"/>
      <c r="J8" s="234"/>
      <c r="K8" s="232"/>
      <c r="L8" s="234"/>
      <c r="Q8" s="218"/>
      <c r="R8" s="218"/>
      <c r="S8" s="218"/>
      <c r="T8" s="218"/>
    </row>
    <row r="9">
      <c r="A9" s="236">
        <v>4.0</v>
      </c>
      <c r="B9" s="224"/>
      <c r="C9" s="225">
        <v>1.0</v>
      </c>
      <c r="D9" s="275"/>
      <c r="E9" s="240">
        <f>E6/E3</f>
        <v>0.00008</v>
      </c>
      <c r="F9" s="227"/>
      <c r="G9" s="228"/>
      <c r="I9" s="241" t="s">
        <v>463</v>
      </c>
      <c r="J9" s="214"/>
      <c r="K9" s="214"/>
      <c r="L9" s="216"/>
      <c r="Q9" s="218"/>
      <c r="R9" s="218"/>
      <c r="S9" s="218"/>
      <c r="T9" s="218"/>
    </row>
    <row r="10">
      <c r="A10" s="231"/>
      <c r="B10" s="220"/>
      <c r="C10" s="225">
        <v>2.0</v>
      </c>
      <c r="D10" s="275"/>
      <c r="E10" s="232"/>
      <c r="F10" s="233"/>
      <c r="G10" s="234"/>
      <c r="I10" s="235">
        <f>I4-I7</f>
        <v>990000</v>
      </c>
      <c r="J10" s="228"/>
      <c r="K10" s="226">
        <f>K4-K7</f>
        <v>3000000</v>
      </c>
      <c r="L10" s="228"/>
      <c r="Q10" s="218"/>
      <c r="R10" s="218"/>
      <c r="S10" s="218"/>
      <c r="T10" s="218"/>
    </row>
    <row r="11">
      <c r="A11" s="236">
        <v>5.0</v>
      </c>
      <c r="B11" s="224"/>
      <c r="C11" s="225">
        <v>1.0</v>
      </c>
      <c r="D11" s="276"/>
      <c r="E11" s="276"/>
      <c r="I11" s="232"/>
      <c r="J11" s="234"/>
      <c r="K11" s="232"/>
      <c r="L11" s="234"/>
      <c r="Q11" s="218"/>
      <c r="R11" s="218"/>
      <c r="S11" s="218"/>
      <c r="T11" s="218"/>
    </row>
    <row r="12">
      <c r="A12" s="231"/>
      <c r="B12" s="220"/>
      <c r="C12" s="225">
        <v>2.0</v>
      </c>
      <c r="J12" s="12"/>
      <c r="K12" s="243"/>
      <c r="L12" s="243"/>
      <c r="M12" s="243"/>
      <c r="N12" s="243"/>
      <c r="O12" s="243"/>
      <c r="P12" s="243"/>
      <c r="Q12" s="244"/>
      <c r="R12" s="244"/>
      <c r="S12" s="244"/>
      <c r="T12" s="244"/>
    </row>
    <row r="13">
      <c r="A13" s="245"/>
      <c r="B13" s="245"/>
      <c r="J13" s="12"/>
      <c r="K13" s="243"/>
      <c r="L13" s="243"/>
      <c r="M13" s="243"/>
      <c r="N13" s="243"/>
      <c r="O13" s="243"/>
      <c r="P13" s="243"/>
      <c r="Q13" s="244"/>
      <c r="R13" s="244"/>
      <c r="S13" s="244"/>
      <c r="T13" s="244"/>
    </row>
    <row r="14">
      <c r="A14" s="246"/>
      <c r="B14" s="246"/>
      <c r="C14" s="246"/>
      <c r="D14" s="246"/>
      <c r="E14" s="246"/>
      <c r="F14" s="246"/>
      <c r="G14" s="246"/>
      <c r="H14" s="246"/>
      <c r="I14" s="246"/>
      <c r="J14" s="247"/>
      <c r="K14" s="246"/>
      <c r="L14" s="247"/>
      <c r="M14" s="246"/>
      <c r="N14" s="246"/>
      <c r="O14" s="246"/>
      <c r="P14" s="246"/>
      <c r="Q14" s="248" t="s">
        <v>464</v>
      </c>
      <c r="R14" s="249"/>
      <c r="S14" s="248" t="s">
        <v>465</v>
      </c>
      <c r="T14" s="249"/>
    </row>
    <row r="15">
      <c r="A15" s="250" t="s">
        <v>466</v>
      </c>
      <c r="B15" s="250" t="s">
        <v>467</v>
      </c>
      <c r="C15" s="251" t="s">
        <v>468</v>
      </c>
      <c r="D15" s="252" t="s">
        <v>469</v>
      </c>
      <c r="E15" s="253" t="s">
        <v>470</v>
      </c>
      <c r="F15" s="251" t="s">
        <v>471</v>
      </c>
      <c r="G15" s="251" t="s">
        <v>457</v>
      </c>
      <c r="H15" s="254" t="s">
        <v>472</v>
      </c>
      <c r="I15" s="251" t="s">
        <v>455</v>
      </c>
      <c r="J15" s="251" t="s">
        <v>473</v>
      </c>
      <c r="K15" s="251" t="s">
        <v>455</v>
      </c>
      <c r="L15" s="251" t="s">
        <v>474</v>
      </c>
      <c r="M15" s="251" t="s">
        <v>455</v>
      </c>
      <c r="N15" s="251" t="s">
        <v>475</v>
      </c>
      <c r="O15" s="251" t="s">
        <v>455</v>
      </c>
      <c r="P15" s="251" t="s">
        <v>476</v>
      </c>
      <c r="Q15" s="248" t="s">
        <v>427</v>
      </c>
      <c r="R15" s="248" t="s">
        <v>477</v>
      </c>
      <c r="S15" s="248" t="s">
        <v>427</v>
      </c>
      <c r="T15" s="248" t="s">
        <v>477</v>
      </c>
    </row>
    <row r="16">
      <c r="A16" s="23" t="str">
        <f>IFERROR(__xludf.DUMMYFUNCTION("QUERY(IMPORTRANGE(""https://docs.google.com/spreadsheets/d/10wdjc5GKQIqHka9D7QGq1b4WkRuVqG0ylA8lw57ns-I/edit?usp=sharing"", ""LAGI TESTING!A3:AA1000""), ""SELECT Col1, Col2, Col3, Col4, Col5, Col6, Col11, Col15, Col16, Col17, Col18, Col19, Col20, Col21, C"&amp;"ol22, Col23, Col24, Col25, Col26, Col27 WHERE Col12 = 'Approved'"")"),"NANO")</f>
        <v>NANO</v>
      </c>
      <c r="B16" s="256" t="str">
        <f>IFERROR(__xludf.DUMMYFUNCTION("""COMPUTED_VALUE"""),"arnilawati")</f>
        <v>arnilawati</v>
      </c>
      <c r="C16" s="257" t="str">
        <f>IFERROR(__xludf.DUMMYFUNCTION("""COMPUTED_VALUE"""),"https://www.tiktok.com/@arnilawati")</f>
        <v>https://www.tiktok.com/@arnilawati</v>
      </c>
      <c r="D16" s="25">
        <f>IFERROR(__xludf.DUMMYFUNCTION("""COMPUTED_VALUE"""),8.2188059466E10)</f>
        <v>82188059466</v>
      </c>
      <c r="E16" s="258">
        <f>IFERROR(__xludf.DUMMYFUNCTION("""COMPUTED_VALUE"""),150000.0)</f>
        <v>150000</v>
      </c>
      <c r="F16" s="25">
        <f>IFERROR(__xludf.DUMMYFUNCTION("""COMPUTED_VALUE"""),2.0)</f>
        <v>2</v>
      </c>
      <c r="G16" s="277" t="str">
        <f>IFERROR(__xludf.DUMMYFUNCTION("""COMPUTED_VALUE"""),"OMG OH MY GLOW UV Barrier Sunscreen SPF 50 PA++++ 60 ml")</f>
        <v>OMG OH MY GLOW UV Barrier Sunscreen SPF 50 PA++++ 60 ml</v>
      </c>
      <c r="H16" s="15" t="str">
        <f>IFERROR(__xludf.DUMMYFUNCTION("""COMPUTED_VALUE"""),"Pengiriman")</f>
        <v>Pengiriman</v>
      </c>
      <c r="I16" s="17"/>
      <c r="J16" s="262"/>
      <c r="K16" s="17"/>
      <c r="L16" s="262"/>
      <c r="M16" s="17"/>
      <c r="N16" s="17"/>
      <c r="O16" s="17"/>
      <c r="P16" s="17"/>
      <c r="Q16" s="264">
        <f>IFERROR(__xludf.DUMMYFUNCTION("""COMPUTED_VALUE"""),20000.0)</f>
        <v>20000</v>
      </c>
      <c r="R16" s="265">
        <f>IFERROR(__xludf.DUMMYFUNCTION("""COMPUTED_VALUE"""),20000.0)</f>
        <v>20000</v>
      </c>
      <c r="S16" s="265">
        <f>IFERROR(__xludf.DUMMYFUNCTION("""COMPUTED_VALUE"""),20000.0)</f>
        <v>20000</v>
      </c>
      <c r="T16" s="265">
        <f>IFERROR(__xludf.DUMMYFUNCTION("""COMPUTED_VALUE"""),20000.0)</f>
        <v>20000</v>
      </c>
    </row>
    <row r="17">
      <c r="A17" s="255" t="str">
        <f>IFERROR(__xludf.DUMMYFUNCTION("""COMPUTED_VALUE"""),"MICRO")</f>
        <v>MICRO</v>
      </c>
      <c r="B17" s="256" t="str">
        <f>IFERROR(__xludf.DUMMYFUNCTION("""COMPUTED_VALUE"""),"ekbardiary")</f>
        <v>ekbardiary</v>
      </c>
      <c r="C17" s="257" t="str">
        <f>IFERROR(__xludf.DUMMYFUNCTION("""COMPUTED_VALUE"""),"https://www.tiktok.com/@ekbardiary")</f>
        <v>https://www.tiktok.com/@ekbardiary</v>
      </c>
      <c r="D17" s="25">
        <f>IFERROR(__xludf.DUMMYFUNCTION("""COMPUTED_VALUE"""),8.2118716575E10)</f>
        <v>82118716575</v>
      </c>
      <c r="E17" s="258">
        <f>IFERROR(__xludf.DUMMYFUNCTION("""COMPUTED_VALUE"""),500000.0)</f>
        <v>500000</v>
      </c>
      <c r="F17" s="25">
        <f>IFERROR(__xludf.DUMMYFUNCTION("""COMPUTED_VALUE"""),1.0)</f>
        <v>1</v>
      </c>
      <c r="G17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H17" s="15" t="str">
        <f>IFERROR(__xludf.DUMMYFUNCTION("""COMPUTED_VALUE"""),"Pengiriman")</f>
        <v>Pengiriman</v>
      </c>
      <c r="I17" s="15" t="str">
        <f>IFERROR(__xludf.DUMMYFUNCTION("""COMPUTED_VALUE"""),"Concept 2")</f>
        <v>Concept 2</v>
      </c>
      <c r="J17" s="262"/>
      <c r="K17" s="17" t="str">
        <f>IFERROR(__xludf.DUMMYFUNCTION("""COMPUTED_VALUE"""),"Concept 2")</f>
        <v>Concept 2</v>
      </c>
      <c r="L17" s="278" t="str">
        <f>IFERROR(__xludf.DUMMYFUNCTION("""COMPUTED_VALUE"""),"https://vt.tiktok.com/ZSa9JWV6x/")</f>
        <v>https://vt.tiktok.com/ZSa9JWV6x/</v>
      </c>
      <c r="M17" s="17" t="str">
        <f>IFERROR(__xludf.DUMMYFUNCTION("""COMPUTED_VALUE"""),"Concept 2")</f>
        <v>Concept 2</v>
      </c>
      <c r="N17" s="279" t="str">
        <f>IFERROR(__xludf.DUMMYFUNCTION("""COMPUTED_VALUE"""),"https://vt.tiktok.com/ZSa9JWV6x/")</f>
        <v>https://vt.tiktok.com/ZSa9JWV6x/</v>
      </c>
      <c r="O17" s="17" t="str">
        <f>IFERROR(__xludf.DUMMYFUNCTION("""COMPUTED_VALUE"""),"Concept 2")</f>
        <v>Concept 2</v>
      </c>
      <c r="P17" s="279" t="str">
        <f>IFERROR(__xludf.DUMMYFUNCTION("""COMPUTED_VALUE"""),"https://vt.tiktok.com/ZSa9JWV6x/")</f>
        <v>https://vt.tiktok.com/ZSa9JWV6x/</v>
      </c>
      <c r="Q17" s="264"/>
      <c r="R17" s="265"/>
      <c r="S17" s="266"/>
      <c r="T17" s="266"/>
    </row>
    <row r="18">
      <c r="A18" s="255" t="str">
        <f>IFERROR(__xludf.DUMMYFUNCTION("""COMPUTED_VALUE"""),"NANO")</f>
        <v>NANO</v>
      </c>
      <c r="B18" s="256" t="str">
        <f>IFERROR(__xludf.DUMMYFUNCTION("""COMPUTED_VALUE"""),"queenhannisss")</f>
        <v>queenhannisss</v>
      </c>
      <c r="C18" s="257" t="str">
        <f>IFERROR(__xludf.DUMMYFUNCTION("""COMPUTED_VALUE"""),"https://www.tiktok.com/@queenhannisss")</f>
        <v>https://www.tiktok.com/@queenhannisss</v>
      </c>
      <c r="D18" s="25">
        <f>IFERROR(__xludf.DUMMYFUNCTION("""COMPUTED_VALUE"""),8.126685182E9)</f>
        <v>8126685182</v>
      </c>
      <c r="E18" s="258">
        <f>IFERROR(__xludf.DUMMYFUNCTION("""COMPUTED_VALUE"""),0.0)</f>
        <v>0</v>
      </c>
      <c r="F18" s="25">
        <f>IFERROR(__xludf.DUMMYFUNCTION("""COMPUTED_VALUE"""),4.0)</f>
        <v>4</v>
      </c>
      <c r="G18" s="277" t="str">
        <f>IFERROR(__xludf.DUMMYFUNCTION("""COMPUTED_VALUE"""),"Brightening &amp; Soothing Toner")</f>
        <v>Brightening &amp; Soothing Toner</v>
      </c>
      <c r="H18" s="15" t="str">
        <f>IFERROR(__xludf.DUMMYFUNCTION("""COMPUTED_VALUE"""),"Sampai")</f>
        <v>Sampai</v>
      </c>
      <c r="I18" s="15" t="str">
        <f>IFERROR(__xludf.DUMMYFUNCTION("""COMPUTED_VALUE"""),"Concept 2")</f>
        <v>Concept 2</v>
      </c>
      <c r="J18" s="280" t="str">
        <f>IFERROR(__xludf.DUMMYFUNCTION("""COMPUTED_VALUE"""),"https://vt.tiktok.com/ZSa9JWV6x/")</f>
        <v>https://vt.tiktok.com/ZSa9JWV6x/</v>
      </c>
      <c r="K18" s="17" t="str">
        <f>IFERROR(__xludf.DUMMYFUNCTION("""COMPUTED_VALUE"""),"Concept 2")</f>
        <v>Concept 2</v>
      </c>
      <c r="L18" s="262"/>
      <c r="M18" s="17" t="str">
        <f>IFERROR(__xludf.DUMMYFUNCTION("""COMPUTED_VALUE"""),"Concept 2")</f>
        <v>Concept 2</v>
      </c>
      <c r="N18" s="17"/>
      <c r="O18" s="17" t="str">
        <f>IFERROR(__xludf.DUMMYFUNCTION("""COMPUTED_VALUE"""),"Concept 2")</f>
        <v>Concept 2</v>
      </c>
      <c r="P18" s="17"/>
      <c r="Q18" s="264"/>
      <c r="R18" s="265"/>
      <c r="S18" s="266"/>
      <c r="T18" s="266"/>
    </row>
    <row r="19">
      <c r="A19" s="255" t="str">
        <f>IFERROR(__xludf.DUMMYFUNCTION("""COMPUTED_VALUE"""),"NANO")</f>
        <v>NANO</v>
      </c>
      <c r="B19" s="256" t="str">
        <f>IFERROR(__xludf.DUMMYFUNCTION("""COMPUTED_VALUE"""),"dreamm.png")</f>
        <v>dreamm.png</v>
      </c>
      <c r="C19" s="257" t="str">
        <f>IFERROR(__xludf.DUMMYFUNCTION("""COMPUTED_VALUE"""),"https://www.tiktok.com/@dreamm.png")</f>
        <v>https://www.tiktok.com/@dreamm.png</v>
      </c>
      <c r="D19" s="25">
        <f>IFERROR(__xludf.DUMMYFUNCTION("""COMPUTED_VALUE"""),8.5926503288E10)</f>
        <v>85926503288</v>
      </c>
      <c r="E19" s="258">
        <f>IFERROR(__xludf.DUMMYFUNCTION("""COMPUTED_VALUE"""),0.0)</f>
        <v>0</v>
      </c>
      <c r="F19" s="25">
        <f>IFERROR(__xludf.DUMMYFUNCTION("""COMPUTED_VALUE"""),1.0)</f>
        <v>1</v>
      </c>
      <c r="G19" s="277" t="str">
        <f>IFERROR(__xludf.DUMMYFUNCTION("""COMPUTED_VALUE"""),"NEW! OMG Acne &amp; Oil Control UV Barrier Sunscreen SPF50 PA++++ ")</f>
        <v>NEW! OMG Acne &amp; Oil Control UV Barrier Sunscreen SPF50 PA++++ </v>
      </c>
      <c r="H19" s="15" t="str">
        <f>IFERROR(__xludf.DUMMYFUNCTION("""COMPUTED_VALUE"""),"Sampai")</f>
        <v>Sampai</v>
      </c>
      <c r="I19" s="15" t="str">
        <f>IFERROR(__xludf.DUMMYFUNCTION("""COMPUTED_VALUE""")," Concept 1")</f>
        <v> Concept 1</v>
      </c>
      <c r="J19" s="262"/>
      <c r="K19" s="17" t="str">
        <f>IFERROR(__xludf.DUMMYFUNCTION("""COMPUTED_VALUE""")," Concept 1")</f>
        <v> Concept 1</v>
      </c>
      <c r="L19" s="262"/>
      <c r="M19" s="17" t="str">
        <f>IFERROR(__xludf.DUMMYFUNCTION("""COMPUTED_VALUE""")," Concept 1")</f>
        <v> Concept 1</v>
      </c>
      <c r="N19" s="17"/>
      <c r="O19" s="17" t="str">
        <f>IFERROR(__xludf.DUMMYFUNCTION("""COMPUTED_VALUE""")," Concept 1")</f>
        <v> Concept 1</v>
      </c>
      <c r="P19" s="17"/>
      <c r="Q19" s="264"/>
      <c r="R19" s="265"/>
      <c r="S19" s="266"/>
      <c r="T19" s="266"/>
    </row>
    <row r="20">
      <c r="A20" s="255" t="str">
        <f>IFERROR(__xludf.DUMMYFUNCTION("""COMPUTED_VALUE"""),"MICRO")</f>
        <v>MICRO</v>
      </c>
      <c r="B20" s="256" t="str">
        <f>IFERROR(__xludf.DUMMYFUNCTION("""COMPUTED_VALUE"""),"mood.umrah")</f>
        <v>mood.umrah</v>
      </c>
      <c r="C20" s="281" t="str">
        <f>IFERROR(__xludf.DUMMYFUNCTION("""COMPUTED_VALUE"""),"https://www.tiktok.com/@mood.umrah")</f>
        <v>https://www.tiktok.com/@mood.umrah</v>
      </c>
      <c r="D20" s="25">
        <f>IFERROR(__xludf.DUMMYFUNCTION("""COMPUTED_VALUE"""),8.5822053758E10)</f>
        <v>85822053758</v>
      </c>
      <c r="E20" s="258">
        <f>IFERROR(__xludf.DUMMYFUNCTION("""COMPUTED_VALUE"""),500000.0)</f>
        <v>500000</v>
      </c>
      <c r="F20" s="25">
        <f>IFERROR(__xludf.DUMMYFUNCTION("""COMPUTED_VALUE"""),1.0)</f>
        <v>1</v>
      </c>
      <c r="G20" s="277" t="str">
        <f>IFERROR(__xludf.DUMMYFUNCTION("""COMPUTED_VALUE"""),"NEW! OMG Acne &amp; Oil Control UV Barrier Sunscreen SPF50 PA++++ ")</f>
        <v>NEW! OMG Acne &amp; Oil Control UV Barrier Sunscreen SPF50 PA++++ </v>
      </c>
      <c r="H20" s="15" t="str">
        <f>IFERROR(__xludf.DUMMYFUNCTION("""COMPUTED_VALUE"""),"Request")</f>
        <v>Request</v>
      </c>
      <c r="I20" s="17"/>
      <c r="J20" s="262"/>
      <c r="K20" s="17"/>
      <c r="L20" s="262"/>
      <c r="M20" s="17"/>
      <c r="N20" s="17"/>
      <c r="O20" s="17"/>
      <c r="P20" s="17"/>
      <c r="Q20" s="264"/>
      <c r="R20" s="265"/>
      <c r="S20" s="266"/>
      <c r="T20" s="266"/>
    </row>
    <row r="21">
      <c r="A21" s="255" t="str">
        <f>IFERROR(__xludf.DUMMYFUNCTION("""COMPUTED_VALUE"""),"MICRO")</f>
        <v>MICRO</v>
      </c>
      <c r="B21" s="256" t="str">
        <f>IFERROR(__xludf.DUMMYFUNCTION("""COMPUTED_VALUE"""),"nris9")</f>
        <v>nris9</v>
      </c>
      <c r="C21" s="257" t="str">
        <f>IFERROR(__xludf.DUMMYFUNCTION("""COMPUTED_VALUE"""),"https://www.tiktok.com/@nris9")</f>
        <v>https://www.tiktok.com/@nris9</v>
      </c>
      <c r="D21" s="25">
        <f>IFERROR(__xludf.DUMMYFUNCTION("""COMPUTED_VALUE"""),8.7721316159E10)</f>
        <v>87721316159</v>
      </c>
      <c r="E21" s="258">
        <f>IFERROR(__xludf.DUMMYFUNCTION("""COMPUTED_VALUE"""),250000.0)</f>
        <v>250000</v>
      </c>
      <c r="F21" s="25">
        <f>IFERROR(__xludf.DUMMYFUNCTION("""COMPUTED_VALUE"""),1.0)</f>
        <v>1</v>
      </c>
      <c r="G21" s="277" t="str">
        <f>IFERROR(__xludf.DUMMYFUNCTION("""COMPUTED_VALUE"""),"Brightening &amp; Soothing Toner")</f>
        <v>Brightening &amp; Soothing Toner</v>
      </c>
      <c r="H21" s="15" t="str">
        <f>IFERROR(__xludf.DUMMYFUNCTION("""COMPUTED_VALUE"""),"Sampai")</f>
        <v>Sampai</v>
      </c>
      <c r="I21" s="15" t="str">
        <f>IFERROR(__xludf.DUMMYFUNCTION("""COMPUTED_VALUE"""),"Concept 2")</f>
        <v>Concept 2</v>
      </c>
      <c r="J21" s="280" t="str">
        <f>IFERROR(__xludf.DUMMYFUNCTION("""COMPUTED_VALUE"""),"https://vt.tiktok.com/ZSa9bTQGn/")</f>
        <v>https://vt.tiktok.com/ZSa9bTQGn/</v>
      </c>
      <c r="K21" s="17" t="str">
        <f>IFERROR(__xludf.DUMMYFUNCTION("""COMPUTED_VALUE"""),"Concept 2")</f>
        <v>Concept 2</v>
      </c>
      <c r="L21" s="262"/>
      <c r="M21" s="17" t="str">
        <f>IFERROR(__xludf.DUMMYFUNCTION("""COMPUTED_VALUE"""),"Concept 2")</f>
        <v>Concept 2</v>
      </c>
      <c r="N21" s="17"/>
      <c r="O21" s="17" t="str">
        <f>IFERROR(__xludf.DUMMYFUNCTION("""COMPUTED_VALUE"""),"Concept 2")</f>
        <v>Concept 2</v>
      </c>
      <c r="P21" s="17"/>
      <c r="Q21" s="264"/>
      <c r="R21" s="265"/>
      <c r="S21" s="266"/>
      <c r="T21" s="266"/>
    </row>
    <row r="22">
      <c r="A22" s="255" t="str">
        <f>IFERROR(__xludf.DUMMYFUNCTION("""COMPUTED_VALUE"""),"NANO")</f>
        <v>NANO</v>
      </c>
      <c r="B22" s="256" t="str">
        <f>IFERROR(__xludf.DUMMYFUNCTION("""COMPUTED_VALUE"""),"beranteminjerawat")</f>
        <v>beranteminjerawat</v>
      </c>
      <c r="C22" s="257" t="str">
        <f>IFERROR(__xludf.DUMMYFUNCTION("""COMPUTED_VALUE"""),"https://www.tiktok.com/@beranteminjerawat")</f>
        <v>https://www.tiktok.com/@beranteminjerawat</v>
      </c>
      <c r="D22" s="25">
        <f>IFERROR(__xludf.DUMMYFUNCTION("""COMPUTED_VALUE"""),8.2285558227E10)</f>
        <v>82285558227</v>
      </c>
      <c r="E22" s="258">
        <f>IFERROR(__xludf.DUMMYFUNCTION("""COMPUTED_VALUE"""),0.0)</f>
        <v>0</v>
      </c>
      <c r="F22" s="25">
        <f>IFERROR(__xludf.DUMMYFUNCTION("""COMPUTED_VALUE"""),1.0)</f>
        <v>1</v>
      </c>
      <c r="G22" s="277" t="str">
        <f>IFERROR(__xludf.DUMMYFUNCTION("""COMPUTED_VALUE"""),"NEW! OMG Acne &amp; Oil Control UV Barrier Sunscreen SPF50 PA++++ ")</f>
        <v>NEW! OMG Acne &amp; Oil Control UV Barrier Sunscreen SPF50 PA++++ </v>
      </c>
      <c r="H22" s="15" t="str">
        <f>IFERROR(__xludf.DUMMYFUNCTION("""COMPUTED_VALUE"""),"Pengiriman")</f>
        <v>Pengiriman</v>
      </c>
      <c r="I22" s="17"/>
      <c r="J22" s="262"/>
      <c r="K22" s="17"/>
      <c r="L22" s="262"/>
      <c r="M22" s="17"/>
      <c r="N22" s="17"/>
      <c r="O22" s="17"/>
      <c r="P22" s="17"/>
      <c r="Q22" s="264"/>
      <c r="R22" s="265"/>
      <c r="S22" s="266"/>
      <c r="T22" s="266"/>
    </row>
    <row r="23">
      <c r="A23" s="255" t="str">
        <f>IFERROR(__xludf.DUMMYFUNCTION("""COMPUTED_VALUE"""),"MICRO")</f>
        <v>MICRO</v>
      </c>
      <c r="B23" s="256" t="str">
        <f>IFERROR(__xludf.DUMMYFUNCTION("""COMPUTED_VALUE"""),"lina_chubby94")</f>
        <v>lina_chubby94</v>
      </c>
      <c r="C23" s="257" t="str">
        <f>IFERROR(__xludf.DUMMYFUNCTION("""COMPUTED_VALUE"""),"https://www.tiktok.com/@lina_chubby94")</f>
        <v>https://www.tiktok.com/@lina_chubby94</v>
      </c>
      <c r="D23" s="25">
        <f>IFERROR(__xludf.DUMMYFUNCTION("""COMPUTED_VALUE"""),8.9626315137E10)</f>
        <v>89626315137</v>
      </c>
      <c r="E23" s="258">
        <f>IFERROR(__xludf.DUMMYFUNCTION("""COMPUTED_VALUE"""),0.0)</f>
        <v>0</v>
      </c>
      <c r="F23" s="25">
        <f>IFERROR(__xludf.DUMMYFUNCTION("""COMPUTED_VALUE"""),1.0)</f>
        <v>1</v>
      </c>
      <c r="G23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H23" s="15" t="str">
        <f>IFERROR(__xludf.DUMMYFUNCTION("""COMPUTED_VALUE"""),"Sampai")</f>
        <v>Sampai</v>
      </c>
      <c r="I23" s="15" t="str">
        <f>IFERROR(__xludf.DUMMYFUNCTION("""COMPUTED_VALUE"""),"Concept 2")</f>
        <v>Concept 2</v>
      </c>
      <c r="J23" s="280" t="str">
        <f>IFERROR(__xludf.DUMMYFUNCTION("""COMPUTED_VALUE"""),"https://vt.tiktok.com/ZSaut274T/")</f>
        <v>https://vt.tiktok.com/ZSaut274T/</v>
      </c>
      <c r="K23" s="17" t="str">
        <f>IFERROR(__xludf.DUMMYFUNCTION("""COMPUTED_VALUE"""),"Concept 2")</f>
        <v>Concept 2</v>
      </c>
      <c r="L23" s="262"/>
      <c r="M23" s="17" t="str">
        <f>IFERROR(__xludf.DUMMYFUNCTION("""COMPUTED_VALUE"""),"Concept 2")</f>
        <v>Concept 2</v>
      </c>
      <c r="N23" s="17"/>
      <c r="O23" s="17" t="str">
        <f>IFERROR(__xludf.DUMMYFUNCTION("""COMPUTED_VALUE"""),"Concept 2")</f>
        <v>Concept 2</v>
      </c>
      <c r="P23" s="17"/>
      <c r="Q23" s="264"/>
      <c r="R23" s="265"/>
      <c r="S23" s="266"/>
      <c r="T23" s="266"/>
    </row>
    <row r="24">
      <c r="A24" s="255" t="str">
        <f>IFERROR(__xludf.DUMMYFUNCTION("""COMPUTED_VALUE"""),"MACRO")</f>
        <v>MACRO</v>
      </c>
      <c r="B24" s="23" t="str">
        <f>IFERROR(__xludf.DUMMYFUNCTION("""COMPUTED_VALUE"""),"girltigerr")</f>
        <v>girltigerr</v>
      </c>
      <c r="C24" s="257" t="str">
        <f>IFERROR(__xludf.DUMMYFUNCTION("""COMPUTED_VALUE"""),"https://www.tiktok.com/@girltigerr")</f>
        <v>https://www.tiktok.com/@girltigerr</v>
      </c>
      <c r="D24" s="25">
        <f>IFERROR(__xludf.DUMMYFUNCTION("""COMPUTED_VALUE"""),8.2177041906E10)</f>
        <v>82177041906</v>
      </c>
      <c r="E24" s="258">
        <f>IFERROR(__xludf.DUMMYFUNCTION("""COMPUTED_VALUE"""),0.0)</f>
        <v>0</v>
      </c>
      <c r="F24" s="25">
        <f>IFERROR(__xludf.DUMMYFUNCTION("""COMPUTED_VALUE"""),3.0)</f>
        <v>3</v>
      </c>
      <c r="G24" s="277" t="str">
        <f>IFERROR(__xludf.DUMMYFUNCTION("""COMPUTED_VALUE"""),"Brightening &amp; Soothing Toner")</f>
        <v>Brightening &amp; Soothing Toner</v>
      </c>
      <c r="H24" s="15" t="str">
        <f>IFERROR(__xludf.DUMMYFUNCTION("""COMPUTED_VALUE"""),"Sampai")</f>
        <v>Sampai</v>
      </c>
      <c r="I24" s="15" t="str">
        <f>IFERROR(__xludf.DUMMYFUNCTION("""COMPUTED_VALUE"""),"Concept 2")</f>
        <v>Concept 2</v>
      </c>
      <c r="J24" s="280" t="str">
        <f>IFERROR(__xludf.DUMMYFUNCTION("""COMPUTED_VALUE"""),"https://vt.tiktok.com/ZSauTYh5E/")</f>
        <v>https://vt.tiktok.com/ZSauTYh5E/</v>
      </c>
      <c r="K24" s="17" t="str">
        <f>IFERROR(__xludf.DUMMYFUNCTION("""COMPUTED_VALUE"""),"Concept 2")</f>
        <v>Concept 2</v>
      </c>
      <c r="L24" s="262"/>
      <c r="M24" s="17" t="str">
        <f>IFERROR(__xludf.DUMMYFUNCTION("""COMPUTED_VALUE"""),"Concept 2")</f>
        <v>Concept 2</v>
      </c>
      <c r="N24" s="17"/>
      <c r="O24" s="17" t="str">
        <f>IFERROR(__xludf.DUMMYFUNCTION("""COMPUTED_VALUE"""),"Concept 2")</f>
        <v>Concept 2</v>
      </c>
      <c r="P24" s="17"/>
      <c r="Q24" s="264"/>
      <c r="R24" s="265"/>
      <c r="S24" s="266"/>
      <c r="T24" s="266"/>
    </row>
    <row r="25">
      <c r="A25" s="255" t="str">
        <f>IFERROR(__xludf.DUMMYFUNCTION("""COMPUTED_VALUE"""),"MICRO")</f>
        <v>MICRO</v>
      </c>
      <c r="B25" s="23" t="str">
        <f>IFERROR(__xludf.DUMMYFUNCTION("""COMPUTED_VALUE"""),"naomiifarsya")</f>
        <v>naomiifarsya</v>
      </c>
      <c r="C25" s="257" t="str">
        <f>IFERROR(__xludf.DUMMYFUNCTION("""COMPUTED_VALUE"""),"https://www.tiktok.com/@naomiifarsya")</f>
        <v>https://www.tiktok.com/@naomiifarsya</v>
      </c>
      <c r="D25" s="25">
        <f>IFERROR(__xludf.DUMMYFUNCTION("""COMPUTED_VALUE"""),8.9539258699E11)</f>
        <v>895392586990</v>
      </c>
      <c r="E25" s="258">
        <f>IFERROR(__xludf.DUMMYFUNCTION("""COMPUTED_VALUE"""),0.0)</f>
        <v>0</v>
      </c>
      <c r="F25" s="25"/>
      <c r="G25" s="277" t="str">
        <f>IFERROR(__xludf.DUMMYFUNCTION("""COMPUTED_VALUE"""),"OMG OH MY GLOW UV Barrier Sunscreen SPF 50 PA++++ 60 ml")</f>
        <v>OMG OH MY GLOW UV Barrier Sunscreen SPF 50 PA++++ 60 ml</v>
      </c>
      <c r="H25" s="15" t="str">
        <f>IFERROR(__xludf.DUMMYFUNCTION("""COMPUTED_VALUE"""),"Pengiriman")</f>
        <v>Pengiriman</v>
      </c>
      <c r="I25" s="17"/>
      <c r="J25" s="262"/>
      <c r="K25" s="17"/>
      <c r="L25" s="262"/>
      <c r="M25" s="17"/>
      <c r="N25" s="17"/>
      <c r="O25" s="17"/>
      <c r="P25" s="17"/>
      <c r="Q25" s="264"/>
      <c r="R25" s="265"/>
      <c r="S25" s="266"/>
      <c r="T25" s="266"/>
    </row>
    <row r="26">
      <c r="A26" s="255" t="str">
        <f>IFERROR(__xludf.DUMMYFUNCTION("""COMPUTED_VALUE"""),"MICRO")</f>
        <v>MICRO</v>
      </c>
      <c r="B26" s="23" t="str">
        <f>IFERROR(__xludf.DUMMYFUNCTION("""COMPUTED_VALUE"""),"thnlykai")</f>
        <v>thnlykai</v>
      </c>
      <c r="C26" s="257" t="str">
        <f>IFERROR(__xludf.DUMMYFUNCTION("""COMPUTED_VALUE"""),"https://www.tiktok.com/@thnlykai")</f>
        <v>https://www.tiktok.com/@thnlykai</v>
      </c>
      <c r="D26" s="25">
        <f>IFERROR(__xludf.DUMMYFUNCTION("""COMPUTED_VALUE"""),8.98613759E9)</f>
        <v>8986137590</v>
      </c>
      <c r="E26" s="258">
        <f>IFERROR(__xludf.DUMMYFUNCTION("""COMPUTED_VALUE"""),150000.0)</f>
        <v>150000</v>
      </c>
      <c r="F26" s="25">
        <f>IFERROR(__xludf.DUMMYFUNCTION("""COMPUTED_VALUE"""),2.0)</f>
        <v>2</v>
      </c>
      <c r="G26" s="277" t="str">
        <f>IFERROR(__xludf.DUMMYFUNCTION("""COMPUTED_VALUE"""),"OMG OH MY GLOW UV Barrier Sunscreen SPF 50 PA++++ 60 ml")</f>
        <v>OMG OH MY GLOW UV Barrier Sunscreen SPF 50 PA++++ 60 ml</v>
      </c>
      <c r="H26" s="15"/>
      <c r="I26" s="17"/>
      <c r="J26" s="262"/>
      <c r="K26" s="17"/>
      <c r="L26" s="262"/>
      <c r="M26" s="17"/>
      <c r="N26" s="17"/>
      <c r="O26" s="17"/>
      <c r="P26" s="17"/>
      <c r="Q26" s="264"/>
      <c r="R26" s="265"/>
      <c r="S26" s="266"/>
      <c r="T26" s="266"/>
    </row>
    <row r="27">
      <c r="A27" s="255" t="str">
        <f>IFERROR(__xludf.DUMMYFUNCTION("""COMPUTED_VALUE"""),"MACRO")</f>
        <v>MACRO</v>
      </c>
      <c r="B27" s="23" t="str">
        <f>IFERROR(__xludf.DUMMYFUNCTION("""COMPUTED_VALUE"""),"putri.antris")</f>
        <v>putri.antris</v>
      </c>
      <c r="C27" s="257" t="str">
        <f>IFERROR(__xludf.DUMMYFUNCTION("""COMPUTED_VALUE"""),"https://www.tiktok.com/@putri.antris")</f>
        <v>https://www.tiktok.com/@putri.antris</v>
      </c>
      <c r="D27" s="25">
        <f>IFERROR(__xludf.DUMMYFUNCTION("""COMPUTED_VALUE"""),8.978216006E9)</f>
        <v>8978216006</v>
      </c>
      <c r="E27" s="269">
        <f>IFERROR(__xludf.DUMMYFUNCTION("""COMPUTED_VALUE"""),0.0)</f>
        <v>0</v>
      </c>
      <c r="F27" s="25">
        <f>IFERROR(__xludf.DUMMYFUNCTION("""COMPUTED_VALUE"""),3.0)</f>
        <v>3</v>
      </c>
      <c r="G27" s="277" t="str">
        <f>IFERROR(__xludf.DUMMYFUNCTION("""COMPUTED_VALUE"""),"OMG OH MY GLOW UV Barrier Sunscreen SPF 50 PA++++ 60 ml")</f>
        <v>OMG OH MY GLOW UV Barrier Sunscreen SPF 50 PA++++ 60 ml</v>
      </c>
      <c r="H27" s="15"/>
      <c r="I27" s="15"/>
      <c r="J27" s="262"/>
      <c r="K27" s="17"/>
      <c r="L27" s="262"/>
      <c r="M27" s="17"/>
      <c r="N27" s="17"/>
      <c r="O27" s="17"/>
      <c r="P27" s="17"/>
      <c r="Q27" s="264"/>
      <c r="R27" s="265"/>
      <c r="S27" s="266"/>
      <c r="T27" s="266"/>
    </row>
    <row r="28">
      <c r="A28" s="255" t="str">
        <f>IFERROR(__xludf.DUMMYFUNCTION("""COMPUTED_VALUE"""),"MICRO")</f>
        <v>MICRO</v>
      </c>
      <c r="B28" s="23" t="str">
        <f>IFERROR(__xludf.DUMMYFUNCTION("""COMPUTED_VALUE"""),"ferenaceta")</f>
        <v>ferenaceta</v>
      </c>
      <c r="C28" s="257" t="str">
        <f>IFERROR(__xludf.DUMMYFUNCTION("""COMPUTED_VALUE"""),"https://www.tiktok.com/@ferenaceta")</f>
        <v>https://www.tiktok.com/@ferenaceta</v>
      </c>
      <c r="D28" s="25">
        <f>IFERROR(__xludf.DUMMYFUNCTION("""COMPUTED_VALUE"""),8.95705700911E11)</f>
        <v>895705700911</v>
      </c>
      <c r="E28" s="258">
        <f>IFERROR(__xludf.DUMMYFUNCTION("""COMPUTED_VALUE"""),100000.0)</f>
        <v>100000</v>
      </c>
      <c r="F28" s="25">
        <f>IFERROR(__xludf.DUMMYFUNCTION("""COMPUTED_VALUE"""),1.0)</f>
        <v>1</v>
      </c>
      <c r="G28" s="277" t="str">
        <f>IFERROR(__xludf.DUMMYFUNCTION("""COMPUTED_VALUE"""),"OMG OH MY GLOW UV Barrier Sunscreen SPF 50 PA++++ 60 ml")</f>
        <v>OMG OH MY GLOW UV Barrier Sunscreen SPF 50 PA++++ 60 ml</v>
      </c>
      <c r="H28" s="15"/>
      <c r="I28" s="17"/>
      <c r="J28" s="262"/>
      <c r="K28" s="17"/>
      <c r="L28" s="262"/>
      <c r="M28" s="17"/>
      <c r="N28" s="17"/>
      <c r="O28" s="17"/>
      <c r="P28" s="17"/>
      <c r="Q28" s="264"/>
      <c r="R28" s="265"/>
      <c r="S28" s="266"/>
      <c r="T28" s="266"/>
    </row>
    <row r="29">
      <c r="A29" s="255" t="str">
        <f>IFERROR(__xludf.DUMMYFUNCTION("""COMPUTED_VALUE"""),"NANO")</f>
        <v>NANO</v>
      </c>
      <c r="B29" s="23" t="str">
        <f>IFERROR(__xludf.DUMMYFUNCTION("""COMPUTED_VALUE"""),"melisadyp")</f>
        <v>melisadyp</v>
      </c>
      <c r="C29" s="257" t="str">
        <f>IFERROR(__xludf.DUMMYFUNCTION("""COMPUTED_VALUE"""),"https://www.tiktok.com/@melisadyp")</f>
        <v>https://www.tiktok.com/@melisadyp</v>
      </c>
      <c r="D29" s="25">
        <f>IFERROR(__xludf.DUMMYFUNCTION("""COMPUTED_VALUE"""),8.5174215253E10)</f>
        <v>85174215253</v>
      </c>
      <c r="E29" s="258">
        <f>IFERROR(__xludf.DUMMYFUNCTION("""COMPUTED_VALUE"""),0.0)</f>
        <v>0</v>
      </c>
      <c r="F29" s="25">
        <f>IFERROR(__xludf.DUMMYFUNCTION("""COMPUTED_VALUE"""),1.0)</f>
        <v>1</v>
      </c>
      <c r="G29" s="277" t="str">
        <f>IFERROR(__xludf.DUMMYFUNCTION("""COMPUTED_VALUE"""),"OMG OH MY GLOW UV Barrier Sunscreen SPF 50 PA++++ 60 ml")</f>
        <v>OMG OH MY GLOW UV Barrier Sunscreen SPF 50 PA++++ 60 ml</v>
      </c>
      <c r="H29" s="15"/>
      <c r="I29" s="17"/>
      <c r="J29" s="262"/>
      <c r="K29" s="17"/>
      <c r="L29" s="262"/>
      <c r="M29" s="17"/>
      <c r="N29" s="17"/>
      <c r="O29" s="17"/>
      <c r="P29" s="17"/>
      <c r="Q29" s="264"/>
      <c r="R29" s="265"/>
      <c r="S29" s="266"/>
      <c r="T29" s="266"/>
    </row>
    <row r="30">
      <c r="A30" s="255" t="str">
        <f>IFERROR(__xludf.DUMMYFUNCTION("""COMPUTED_VALUE"""),"NANO")</f>
        <v>NANO</v>
      </c>
      <c r="B30" s="256" t="str">
        <f>IFERROR(__xludf.DUMMYFUNCTION("""COMPUTED_VALUE"""),"vernikaariani")</f>
        <v>vernikaariani</v>
      </c>
      <c r="C30" s="257" t="str">
        <f>IFERROR(__xludf.DUMMYFUNCTION("""COMPUTED_VALUE"""),"https://www.tiktok.com/@vernikaariani")</f>
        <v>https://www.tiktok.com/@vernikaariani</v>
      </c>
      <c r="D30" s="25">
        <f>IFERROR(__xludf.DUMMYFUNCTION("""COMPUTED_VALUE"""),8.5326728022E10)</f>
        <v>85326728022</v>
      </c>
      <c r="E30" s="258">
        <f>IFERROR(__xludf.DUMMYFUNCTION("""COMPUTED_VALUE"""),0.0)</f>
        <v>0</v>
      </c>
      <c r="F30" s="25">
        <f>IFERROR(__xludf.DUMMYFUNCTION("""COMPUTED_VALUE"""),3.0)</f>
        <v>3</v>
      </c>
      <c r="G30" s="277" t="str">
        <f>IFERROR(__xludf.DUMMYFUNCTION("""COMPUTED_VALUE"""),"OMG OH MY GLOW UV Barrier Sunscreen SPF 50 PA++++ 60 ml")</f>
        <v>OMG OH MY GLOW UV Barrier Sunscreen SPF 50 PA++++ 60 ml</v>
      </c>
      <c r="H30" s="15"/>
      <c r="I30" s="17"/>
      <c r="J30" s="262"/>
      <c r="K30" s="17"/>
      <c r="L30" s="262"/>
      <c r="M30" s="17"/>
      <c r="N30" s="17"/>
      <c r="O30" s="17"/>
      <c r="P30" s="17"/>
      <c r="Q30" s="264"/>
      <c r="R30" s="265"/>
      <c r="S30" s="266"/>
      <c r="T30" s="266"/>
    </row>
    <row r="31">
      <c r="A31" s="255" t="str">
        <f>IFERROR(__xludf.DUMMYFUNCTION("""COMPUTED_VALUE"""),"MICRO")</f>
        <v>MICRO</v>
      </c>
      <c r="B31" s="23" t="str">
        <f>IFERROR(__xludf.DUMMYFUNCTION("""COMPUTED_VALUE"""),"thya_pookie")</f>
        <v>thya_pookie</v>
      </c>
      <c r="C31" s="257" t="str">
        <f>IFERROR(__xludf.DUMMYFUNCTION("""COMPUTED_VALUE"""),"https://www.tiktok.com/@thya_pookie")</f>
        <v>https://www.tiktok.com/@thya_pookie</v>
      </c>
      <c r="D31" s="25">
        <f>IFERROR(__xludf.DUMMYFUNCTION("""COMPUTED_VALUE"""),8.5842486796E10)</f>
        <v>85842486796</v>
      </c>
      <c r="E31" s="269">
        <f>IFERROR(__xludf.DUMMYFUNCTION("""COMPUTED_VALUE"""),100000.0)</f>
        <v>100000</v>
      </c>
      <c r="F31" s="25">
        <f>IFERROR(__xludf.DUMMYFUNCTION("""COMPUTED_VALUE"""),1.0)</f>
        <v>1</v>
      </c>
      <c r="G31" s="277" t="str">
        <f>IFERROR(__xludf.DUMMYFUNCTION("""COMPUTED_VALUE"""),"OMG OH MY GLOW UV Barrier Sunscreen SPF 50 PA++++ 60 ml")</f>
        <v>OMG OH MY GLOW UV Barrier Sunscreen SPF 50 PA++++ 60 ml</v>
      </c>
      <c r="H31" s="15"/>
      <c r="I31" s="17"/>
      <c r="J31" s="262"/>
      <c r="K31" s="17"/>
      <c r="L31" s="262"/>
      <c r="M31" s="17"/>
      <c r="N31" s="17"/>
      <c r="O31" s="17"/>
      <c r="P31" s="17"/>
      <c r="Q31" s="264"/>
      <c r="R31" s="265"/>
      <c r="S31" s="266"/>
      <c r="T31" s="266"/>
    </row>
    <row r="32">
      <c r="A32" s="255" t="str">
        <f>IFERROR(__xludf.DUMMYFUNCTION("""COMPUTED_VALUE"""),"NANO")</f>
        <v>NANO</v>
      </c>
      <c r="B32" s="23" t="str">
        <f>IFERROR(__xludf.DUMMYFUNCTION("""COMPUTED_VALUE"""),"randomtrn")</f>
        <v>randomtrn</v>
      </c>
      <c r="C32" s="257" t="str">
        <f>IFERROR(__xludf.DUMMYFUNCTION("""COMPUTED_VALUE"""),"https://www.tiktok.com/@randomtrn")</f>
        <v>https://www.tiktok.com/@randomtrn</v>
      </c>
      <c r="D32" s="25">
        <f>IFERROR(__xludf.DUMMYFUNCTION("""COMPUTED_VALUE"""),8.572229105E10)</f>
        <v>85722291050</v>
      </c>
      <c r="E32" s="258">
        <f>IFERROR(__xludf.DUMMYFUNCTION("""COMPUTED_VALUE"""),0.0)</f>
        <v>0</v>
      </c>
      <c r="F32" s="25">
        <f>IFERROR(__xludf.DUMMYFUNCTION("""COMPUTED_VALUE"""),2.0)</f>
        <v>2</v>
      </c>
      <c r="G32" s="277" t="str">
        <f>IFERROR(__xludf.DUMMYFUNCTION("""COMPUTED_VALUE"""),"OMG OH MY GLOW UV Barrier Sunscreen SPF 50 PA++++ 60 ml")</f>
        <v>OMG OH MY GLOW UV Barrier Sunscreen SPF 50 PA++++ 60 ml</v>
      </c>
      <c r="H32" s="15"/>
      <c r="I32" s="15"/>
      <c r="J32" s="267"/>
      <c r="K32" s="15"/>
      <c r="L32" s="267"/>
      <c r="M32" s="17"/>
      <c r="N32" s="17"/>
      <c r="O32" s="17"/>
      <c r="P32" s="17"/>
      <c r="Q32" s="264"/>
      <c r="R32" s="265"/>
      <c r="S32" s="266"/>
      <c r="T32" s="266"/>
    </row>
    <row r="33">
      <c r="A33" s="255" t="str">
        <f>IFERROR(__xludf.DUMMYFUNCTION("""COMPUTED_VALUE"""),"NANO")</f>
        <v>NANO</v>
      </c>
      <c r="B33" s="23" t="str">
        <f>IFERROR(__xludf.DUMMYFUNCTION("""COMPUTED_VALUE"""),"sinanr18")</f>
        <v>sinanr18</v>
      </c>
      <c r="C33" s="257" t="str">
        <f>IFERROR(__xludf.DUMMYFUNCTION("""COMPUTED_VALUE"""),"https://www.tiktok.com/@sinanr18")</f>
        <v>https://www.tiktok.com/@sinanr18</v>
      </c>
      <c r="D33" s="25">
        <f>IFERROR(__xludf.DUMMYFUNCTION("""COMPUTED_VALUE"""),8.9670305045E10)</f>
        <v>89670305045</v>
      </c>
      <c r="E33" s="258">
        <f>IFERROR(__xludf.DUMMYFUNCTION("""COMPUTED_VALUE"""),0.0)</f>
        <v>0</v>
      </c>
      <c r="F33" s="25">
        <f>IFERROR(__xludf.DUMMYFUNCTION("""COMPUTED_VALUE"""),1.0)</f>
        <v>1</v>
      </c>
      <c r="G33" s="277" t="str">
        <f>IFERROR(__xludf.DUMMYFUNCTION("""COMPUTED_VALUE"""),"OMG OH MY GLOW UV Barrier Sunscreen SPF 50 PA++++ 60 ml")</f>
        <v>OMG OH MY GLOW UV Barrier Sunscreen SPF 50 PA++++ 60 ml</v>
      </c>
      <c r="H33" s="15"/>
      <c r="I33" s="15"/>
      <c r="J33" s="262"/>
      <c r="K33" s="17"/>
      <c r="L33" s="262"/>
      <c r="M33" s="17"/>
      <c r="N33" s="17"/>
      <c r="O33" s="17"/>
      <c r="P33" s="17"/>
      <c r="Q33" s="264"/>
      <c r="R33" s="265"/>
      <c r="S33" s="266"/>
      <c r="T33" s="266"/>
    </row>
    <row r="34">
      <c r="A34" s="255" t="str">
        <f>IFERROR(__xludf.DUMMYFUNCTION("""COMPUTED_VALUE"""),"NANO")</f>
        <v>NANO</v>
      </c>
      <c r="B34" s="23" t="str">
        <f>IFERROR(__xludf.DUMMYFUNCTION("""COMPUTED_VALUE"""),"indysabillah")</f>
        <v>indysabillah</v>
      </c>
      <c r="C34" s="257" t="str">
        <f>IFERROR(__xludf.DUMMYFUNCTION("""COMPUTED_VALUE"""),"https://www.tiktok.com/@indysabillah")</f>
        <v>https://www.tiktok.com/@indysabillah</v>
      </c>
      <c r="D34" s="270">
        <f>IFERROR(__xludf.DUMMYFUNCTION("""COMPUTED_VALUE"""),8.1242092003E10)</f>
        <v>81242092003</v>
      </c>
      <c r="E34" s="271">
        <f>IFERROR(__xludf.DUMMYFUNCTION("""COMPUTED_VALUE"""),0.0)</f>
        <v>0</v>
      </c>
      <c r="F34" s="270">
        <f>IFERROR(__xludf.DUMMYFUNCTION("""COMPUTED_VALUE"""),1.0)</f>
        <v>1</v>
      </c>
      <c r="G34" s="277" t="str">
        <f>IFERROR(__xludf.DUMMYFUNCTION("""COMPUTED_VALUE"""),"OMG OH MY GLOW UV Barrier Sunscreen SPF 50 PA++++ 60 ml")</f>
        <v>OMG OH MY GLOW UV Barrier Sunscreen SPF 50 PA++++ 60 ml</v>
      </c>
      <c r="H34" s="15"/>
      <c r="I34" s="17"/>
      <c r="J34" s="262"/>
      <c r="K34" s="17"/>
      <c r="L34" s="262"/>
      <c r="M34" s="17"/>
      <c r="N34" s="17"/>
      <c r="O34" s="17"/>
      <c r="P34" s="17"/>
      <c r="Q34" s="266"/>
      <c r="R34" s="266"/>
      <c r="S34" s="266"/>
      <c r="T34" s="266"/>
    </row>
    <row r="35">
      <c r="A35" s="255" t="str">
        <f>IFERROR(__xludf.DUMMYFUNCTION("""COMPUTED_VALUE"""),"NANO")</f>
        <v>NANO</v>
      </c>
      <c r="B35" s="23" t="str">
        <f>IFERROR(__xludf.DUMMYFUNCTION("""COMPUTED_VALUE"""),"pildaindah")</f>
        <v>pildaindah</v>
      </c>
      <c r="C35" s="257" t="str">
        <f>IFERROR(__xludf.DUMMYFUNCTION("""COMPUTED_VALUE"""),"https://www.tiktok.com/@pildaindah")</f>
        <v>https://www.tiktok.com/@pildaindah</v>
      </c>
      <c r="D35" s="270">
        <f>IFERROR(__xludf.DUMMYFUNCTION("""COMPUTED_VALUE"""),8.2297147196E10)</f>
        <v>82297147196</v>
      </c>
      <c r="E35" s="271">
        <f>IFERROR(__xludf.DUMMYFUNCTION("""COMPUTED_VALUE"""),0.0)</f>
        <v>0</v>
      </c>
      <c r="F35" s="270">
        <f>IFERROR(__xludf.DUMMYFUNCTION("""COMPUTED_VALUE"""),1.0)</f>
        <v>1</v>
      </c>
      <c r="G35" s="277" t="str">
        <f>IFERROR(__xludf.DUMMYFUNCTION("""COMPUTED_VALUE"""),"OMG OH MY GLOW UV Barrier Sunscreen SPF 50 PA++++ 60 ml")</f>
        <v>OMG OH MY GLOW UV Barrier Sunscreen SPF 50 PA++++ 60 ml</v>
      </c>
      <c r="H35" s="15"/>
      <c r="I35" s="17"/>
      <c r="J35" s="262"/>
      <c r="K35" s="17"/>
      <c r="L35" s="262"/>
      <c r="M35" s="17"/>
      <c r="N35" s="17"/>
      <c r="O35" s="17"/>
      <c r="P35" s="17"/>
      <c r="Q35" s="266"/>
      <c r="R35" s="266"/>
      <c r="S35" s="266"/>
      <c r="T35" s="266"/>
    </row>
    <row r="36">
      <c r="A36" s="255" t="str">
        <f>IFERROR(__xludf.DUMMYFUNCTION("""COMPUTED_VALUE"""),"NANO")</f>
        <v>NANO</v>
      </c>
      <c r="B36" s="23" t="str">
        <f>IFERROR(__xludf.DUMMYFUNCTION("""COMPUTED_VALUE"""),"ceisyaandr")</f>
        <v>ceisyaandr</v>
      </c>
      <c r="C36" s="257" t="str">
        <f>IFERROR(__xludf.DUMMYFUNCTION("""COMPUTED_VALUE"""),"https://www.tiktok.com/@ceisyaandr")</f>
        <v>https://www.tiktok.com/@ceisyaandr</v>
      </c>
      <c r="D36" s="270">
        <f>IFERROR(__xludf.DUMMYFUNCTION("""COMPUTED_VALUE"""),8.986957804E9)</f>
        <v>8986957804</v>
      </c>
      <c r="E36" s="271">
        <f>IFERROR(__xludf.DUMMYFUNCTION("""COMPUTED_VALUE"""),0.0)</f>
        <v>0</v>
      </c>
      <c r="F36" s="270">
        <f>IFERROR(__xludf.DUMMYFUNCTION("""COMPUTED_VALUE"""),3.0)</f>
        <v>3</v>
      </c>
      <c r="G36" s="277" t="str">
        <f>IFERROR(__xludf.DUMMYFUNCTION("""COMPUTED_VALUE"""),"OMG OH MY GLOW UV Barrier Sunscreen SPF 50 PA++++ 60 ml")</f>
        <v>OMG OH MY GLOW UV Barrier Sunscreen SPF 50 PA++++ 60 ml</v>
      </c>
      <c r="H36" s="15"/>
      <c r="I36" s="17"/>
      <c r="J36" s="262"/>
      <c r="K36" s="17"/>
      <c r="L36" s="262"/>
      <c r="M36" s="17"/>
      <c r="N36" s="17"/>
      <c r="O36" s="17"/>
      <c r="P36" s="17"/>
      <c r="Q36" s="266"/>
      <c r="R36" s="266"/>
      <c r="S36" s="266"/>
      <c r="T36" s="266"/>
    </row>
    <row r="37">
      <c r="A37" s="255" t="str">
        <f>IFERROR(__xludf.DUMMYFUNCTION("""COMPUTED_VALUE"""),"MICRO")</f>
        <v>MICRO</v>
      </c>
      <c r="B37" s="23" t="str">
        <f>IFERROR(__xludf.DUMMYFUNCTION("""COMPUTED_VALUE"""),"claudya.dona")</f>
        <v>claudya.dona</v>
      </c>
      <c r="C37" s="257" t="str">
        <f>IFERROR(__xludf.DUMMYFUNCTION("""COMPUTED_VALUE"""),"https://www.tiktok.com/@claudya.dona")</f>
        <v>https://www.tiktok.com/@claudya.dona</v>
      </c>
      <c r="D37" s="270">
        <f>IFERROR(__xludf.DUMMYFUNCTION("""COMPUTED_VALUE"""),8.95386273909E11)</f>
        <v>895386273909</v>
      </c>
      <c r="E37" s="271">
        <f>IFERROR(__xludf.DUMMYFUNCTION("""COMPUTED_VALUE"""),900000.0)</f>
        <v>900000</v>
      </c>
      <c r="F37" s="270">
        <f>IFERROR(__xludf.DUMMYFUNCTION("""COMPUTED_VALUE"""),1.0)</f>
        <v>1</v>
      </c>
      <c r="G37" s="277" t="str">
        <f>IFERROR(__xludf.DUMMYFUNCTION("""COMPUTED_VALUE"""),"OMG OH MY GLOW UV Barrier Sunscreen SPF 50 PA++++ 60 ml")</f>
        <v>OMG OH MY GLOW UV Barrier Sunscreen SPF 50 PA++++ 60 ml</v>
      </c>
      <c r="H37" s="15"/>
      <c r="I37" s="15"/>
      <c r="J37" s="262"/>
      <c r="K37" s="17"/>
      <c r="L37" s="262"/>
      <c r="M37" s="17"/>
      <c r="N37" s="17"/>
      <c r="O37" s="17"/>
      <c r="P37" s="17"/>
      <c r="Q37" s="266"/>
      <c r="R37" s="266"/>
      <c r="S37" s="266"/>
      <c r="T37" s="266"/>
    </row>
    <row r="38">
      <c r="A38" s="255" t="str">
        <f>IFERROR(__xludf.DUMMYFUNCTION("""COMPUTED_VALUE"""),"MICRO")</f>
        <v>MICRO</v>
      </c>
      <c r="B38" s="23" t="str">
        <f>IFERROR(__xludf.DUMMYFUNCTION("""COMPUTED_VALUE"""),"mayang_skincare")</f>
        <v>mayang_skincare</v>
      </c>
      <c r="C38" s="257" t="str">
        <f>IFERROR(__xludf.DUMMYFUNCTION("""COMPUTED_VALUE"""),"https://www.tiktok.com/@mayang_skincare")</f>
        <v>https://www.tiktok.com/@mayang_skincare</v>
      </c>
      <c r="D38" s="270">
        <f>IFERROR(__xludf.DUMMYFUNCTION("""COMPUTED_VALUE"""),8.95635947123E11)</f>
        <v>895635947123</v>
      </c>
      <c r="E38" s="271">
        <f>IFERROR(__xludf.DUMMYFUNCTION("""COMPUTED_VALUE"""),0.0)</f>
        <v>0</v>
      </c>
      <c r="F38" s="270">
        <f>IFERROR(__xludf.DUMMYFUNCTION("""COMPUTED_VALUE"""),2.0)</f>
        <v>2</v>
      </c>
      <c r="G38" s="277"/>
      <c r="H38" s="15"/>
      <c r="I38" s="17"/>
      <c r="J38" s="262"/>
      <c r="K38" s="17"/>
      <c r="L38" s="262"/>
      <c r="M38" s="17"/>
      <c r="N38" s="17"/>
      <c r="O38" s="17"/>
      <c r="P38" s="17"/>
      <c r="Q38" s="266"/>
      <c r="R38" s="266"/>
      <c r="S38" s="266"/>
      <c r="T38" s="266"/>
    </row>
    <row r="39">
      <c r="A39" s="255" t="str">
        <f>IFERROR(__xludf.DUMMYFUNCTION("""COMPUTED_VALUE"""),"NANO")</f>
        <v>NANO</v>
      </c>
      <c r="B39" s="23" t="str">
        <f>IFERROR(__xludf.DUMMYFUNCTION("""COMPUTED_VALUE"""),"shavirapuspitacitra")</f>
        <v>shavirapuspitacitra</v>
      </c>
      <c r="C39" s="257" t="str">
        <f>IFERROR(__xludf.DUMMYFUNCTION("""COMPUTED_VALUE"""),"https://www.tiktok.com/@shavirapuspitacitra")</f>
        <v>https://www.tiktok.com/@shavirapuspitacitra</v>
      </c>
      <c r="D39" s="270">
        <f>IFERROR(__xludf.DUMMYFUNCTION("""COMPUTED_VALUE"""),8.7768647289E10)</f>
        <v>87768647289</v>
      </c>
      <c r="E39" s="271">
        <f>IFERROR(__xludf.DUMMYFUNCTION("""COMPUTED_VALUE"""),250000.0)</f>
        <v>250000</v>
      </c>
      <c r="F39" s="270">
        <f>IFERROR(__xludf.DUMMYFUNCTION("""COMPUTED_VALUE"""),1.0)</f>
        <v>1</v>
      </c>
      <c r="G39" s="277"/>
      <c r="H39" s="15"/>
      <c r="I39" s="17"/>
      <c r="J39" s="262"/>
      <c r="K39" s="17"/>
      <c r="L39" s="262"/>
      <c r="M39" s="17"/>
      <c r="N39" s="17"/>
      <c r="O39" s="17"/>
      <c r="P39" s="17"/>
      <c r="Q39" s="266"/>
      <c r="R39" s="266"/>
      <c r="S39" s="266"/>
      <c r="T39" s="266"/>
    </row>
    <row r="40">
      <c r="A40" s="255" t="str">
        <f>IFERROR(__xludf.DUMMYFUNCTION("""COMPUTED_VALUE"""),"MICRO")</f>
        <v>MICRO</v>
      </c>
      <c r="B40" s="23" t="str">
        <f>IFERROR(__xludf.DUMMYFUNCTION("""COMPUTED_VALUE"""),"rysa_mon")</f>
        <v>rysa_mon</v>
      </c>
      <c r="C40" s="257" t="str">
        <f>IFERROR(__xludf.DUMMYFUNCTION("""COMPUTED_VALUE"""),"https://www.tiktok.com/@rysa_mon")</f>
        <v>https://www.tiktok.com/@rysa_mon</v>
      </c>
      <c r="D40" s="270">
        <f>IFERROR(__xludf.DUMMYFUNCTION("""COMPUTED_VALUE"""),8.223288345E10)</f>
        <v>82232883450</v>
      </c>
      <c r="E40" s="271">
        <f>IFERROR(__xludf.DUMMYFUNCTION("""COMPUTED_VALUE"""),0.0)</f>
        <v>0</v>
      </c>
      <c r="F40" s="270">
        <f>IFERROR(__xludf.DUMMYFUNCTION("""COMPUTED_VALUE"""),3.0)</f>
        <v>3</v>
      </c>
      <c r="G40" s="277"/>
      <c r="H40" s="15"/>
      <c r="I40" s="17"/>
      <c r="J40" s="262"/>
      <c r="K40" s="17"/>
      <c r="L40" s="262"/>
      <c r="M40" s="17"/>
      <c r="N40" s="17"/>
      <c r="O40" s="17"/>
      <c r="P40" s="17"/>
      <c r="Q40" s="266"/>
      <c r="R40" s="266"/>
      <c r="S40" s="266"/>
      <c r="T40" s="266"/>
    </row>
    <row r="41">
      <c r="A41" s="255" t="str">
        <f>IFERROR(__xludf.DUMMYFUNCTION("""COMPUTED_VALUE"""),"MICRO")</f>
        <v>MICRO</v>
      </c>
      <c r="B41" s="23" t="str">
        <f>IFERROR(__xludf.DUMMYFUNCTION("""COMPUTED_VALUE"""),"azahrahf")</f>
        <v>azahrahf</v>
      </c>
      <c r="C41" s="257" t="str">
        <f>IFERROR(__xludf.DUMMYFUNCTION("""COMPUTED_VALUE"""),"https://www.tiktok.com/@azahrahf")</f>
        <v>https://www.tiktok.com/@azahrahf</v>
      </c>
      <c r="D41" s="270">
        <f>IFERROR(__xludf.DUMMYFUNCTION("""COMPUTED_VALUE"""),8.512122429E10)</f>
        <v>85121224290</v>
      </c>
      <c r="E41" s="271">
        <f>IFERROR(__xludf.DUMMYFUNCTION("""COMPUTED_VALUE"""),1100000.0)</f>
        <v>1100000</v>
      </c>
      <c r="F41" s="270">
        <f>IFERROR(__xludf.DUMMYFUNCTION("""COMPUTED_VALUE"""),1.0)</f>
        <v>1</v>
      </c>
      <c r="G41" s="277"/>
      <c r="H41" s="15"/>
      <c r="I41" s="17"/>
      <c r="J41" s="262"/>
      <c r="K41" s="17"/>
      <c r="L41" s="262"/>
      <c r="M41" s="17"/>
      <c r="N41" s="17"/>
      <c r="O41" s="17"/>
      <c r="P41" s="17"/>
      <c r="Q41" s="266"/>
      <c r="R41" s="266"/>
      <c r="S41" s="266"/>
      <c r="T41" s="266"/>
    </row>
    <row r="42">
      <c r="A42" s="255" t="str">
        <f>IFERROR(__xludf.DUMMYFUNCTION("""COMPUTED_VALUE"""),"NANO")</f>
        <v>NANO</v>
      </c>
      <c r="B42" s="257" t="str">
        <f>IFERROR(__xludf.DUMMYFUNCTION("""COMPUTED_VALUE"""),"sinispill.id")</f>
        <v>sinispill.id</v>
      </c>
      <c r="C42" s="257" t="str">
        <f>IFERROR(__xludf.DUMMYFUNCTION("""COMPUTED_VALUE"""),"https://www.tiktok.com/@sinispill.id")</f>
        <v>https://www.tiktok.com/@sinispill.id</v>
      </c>
      <c r="D42" s="270">
        <f>IFERROR(__xludf.DUMMYFUNCTION("""COMPUTED_VALUE"""),8.5179889776E10)</f>
        <v>85179889776</v>
      </c>
      <c r="E42" s="271">
        <f>IFERROR(__xludf.DUMMYFUNCTION("""COMPUTED_VALUE"""),0.0)</f>
        <v>0</v>
      </c>
      <c r="F42" s="270">
        <f>IFERROR(__xludf.DUMMYFUNCTION("""COMPUTED_VALUE"""),3.0)</f>
        <v>3</v>
      </c>
      <c r="G42" s="277"/>
      <c r="H42" s="15"/>
      <c r="I42" s="17"/>
      <c r="J42" s="262"/>
      <c r="K42" s="17"/>
      <c r="L42" s="262"/>
      <c r="M42" s="17"/>
      <c r="N42" s="17"/>
      <c r="O42" s="17"/>
      <c r="P42" s="17"/>
      <c r="Q42" s="266"/>
      <c r="R42" s="266"/>
      <c r="S42" s="266"/>
      <c r="T42" s="266"/>
    </row>
    <row r="43">
      <c r="A43" s="255" t="str">
        <f>IFERROR(__xludf.DUMMYFUNCTION("""COMPUTED_VALUE"""),"NANO")</f>
        <v>NANO</v>
      </c>
      <c r="B43" s="23" t="str">
        <f>IFERROR(__xludf.DUMMYFUNCTION("""COMPUTED_VALUE"""),"rahayuuuu_2")</f>
        <v>rahayuuuu_2</v>
      </c>
      <c r="C43" s="257" t="str">
        <f>IFERROR(__xludf.DUMMYFUNCTION("""COMPUTED_VALUE"""),"https://www.tiktok.com/@rahayuuuu_2")</f>
        <v>https://www.tiktok.com/@rahayuuuu_2</v>
      </c>
      <c r="D43" s="270">
        <f>IFERROR(__xludf.DUMMYFUNCTION("""COMPUTED_VALUE"""),8.57039274E10)</f>
        <v>85703927400</v>
      </c>
      <c r="E43" s="271">
        <f>IFERROR(__xludf.DUMMYFUNCTION("""COMPUTED_VALUE"""),0.0)</f>
        <v>0</v>
      </c>
      <c r="F43" s="270">
        <f>IFERROR(__xludf.DUMMYFUNCTION("""COMPUTED_VALUE"""),1.0)</f>
        <v>1</v>
      </c>
      <c r="G43" s="277"/>
      <c r="H43" s="15"/>
      <c r="I43" s="17"/>
      <c r="J43" s="262"/>
      <c r="K43" s="17"/>
      <c r="L43" s="262"/>
      <c r="M43" s="17"/>
      <c r="N43" s="17"/>
      <c r="O43" s="17"/>
      <c r="P43" s="17"/>
      <c r="Q43" s="266"/>
      <c r="R43" s="266"/>
      <c r="S43" s="266"/>
      <c r="T43" s="266"/>
    </row>
    <row r="44">
      <c r="A44" s="255" t="str">
        <f>IFERROR(__xludf.DUMMYFUNCTION("""COMPUTED_VALUE"""),"MICRO")</f>
        <v>MICRO</v>
      </c>
      <c r="B44" s="23" t="str">
        <f>IFERROR(__xludf.DUMMYFUNCTION("""COMPUTED_VALUE"""),"oinlubis_")</f>
        <v>oinlubis_</v>
      </c>
      <c r="C44" s="257" t="str">
        <f>IFERROR(__xludf.DUMMYFUNCTION("""COMPUTED_VALUE"""),"https://www.tiktok.com/@oinlubis_")</f>
        <v>https://www.tiktok.com/@oinlubis_</v>
      </c>
      <c r="D44" s="270">
        <f>IFERROR(__xludf.DUMMYFUNCTION("""COMPUTED_VALUE"""),8.1270338721E10)</f>
        <v>81270338721</v>
      </c>
      <c r="E44" s="271">
        <f>IFERROR(__xludf.DUMMYFUNCTION("""COMPUTED_VALUE"""),150000.0)</f>
        <v>150000</v>
      </c>
      <c r="F44" s="270">
        <f>IFERROR(__xludf.DUMMYFUNCTION("""COMPUTED_VALUE"""),1.0)</f>
        <v>1</v>
      </c>
      <c r="G44" s="277"/>
      <c r="H44" s="15"/>
      <c r="I44" s="17"/>
      <c r="J44" s="262"/>
      <c r="K44" s="17"/>
      <c r="L44" s="262"/>
      <c r="M44" s="17"/>
      <c r="N44" s="17"/>
      <c r="O44" s="17"/>
      <c r="P44" s="17"/>
      <c r="Q44" s="266"/>
      <c r="R44" s="266"/>
      <c r="S44" s="266"/>
      <c r="T44" s="266"/>
    </row>
    <row r="45">
      <c r="A45" s="255" t="str">
        <f>IFERROR(__xludf.DUMMYFUNCTION("""COMPUTED_VALUE"""),"NANO")</f>
        <v>NANO</v>
      </c>
      <c r="B45" s="23" t="str">
        <f>IFERROR(__xludf.DUMMYFUNCTION("""COMPUTED_VALUE"""),"julianierina")</f>
        <v>julianierina</v>
      </c>
      <c r="C45" s="257" t="str">
        <f>IFERROR(__xludf.DUMMYFUNCTION("""COMPUTED_VALUE"""),"https://www.tiktok.com/@julianierina")</f>
        <v>https://www.tiktok.com/@julianierina</v>
      </c>
      <c r="D45" s="270">
        <f>IFERROR(__xludf.DUMMYFUNCTION("""COMPUTED_VALUE"""),8.96272222067E11)</f>
        <v>896272222067</v>
      </c>
      <c r="E45" s="271">
        <f>IFERROR(__xludf.DUMMYFUNCTION("""COMPUTED_VALUE"""),0.0)</f>
        <v>0</v>
      </c>
      <c r="F45" s="270">
        <f>IFERROR(__xludf.DUMMYFUNCTION("""COMPUTED_VALUE"""),3.0)</f>
        <v>3</v>
      </c>
      <c r="G45" s="277"/>
      <c r="H45" s="15"/>
      <c r="I45" s="17"/>
      <c r="J45" s="262"/>
      <c r="K45" s="17"/>
      <c r="L45" s="262"/>
      <c r="M45" s="17"/>
      <c r="N45" s="17"/>
      <c r="O45" s="17"/>
      <c r="P45" s="17"/>
      <c r="Q45" s="266"/>
      <c r="R45" s="266"/>
      <c r="S45" s="266"/>
      <c r="T45" s="266"/>
    </row>
    <row r="46">
      <c r="A46" s="255" t="str">
        <f>IFERROR(__xludf.DUMMYFUNCTION("""COMPUTED_VALUE"""),"NANO")</f>
        <v>NANO</v>
      </c>
      <c r="B46" s="23" t="str">
        <f>IFERROR(__xludf.DUMMYFUNCTION("""COMPUTED_VALUE"""),"bdhabits")</f>
        <v>bdhabits</v>
      </c>
      <c r="C46" s="257" t="str">
        <f>IFERROR(__xludf.DUMMYFUNCTION("""COMPUTED_VALUE"""),"https://www.tiktok.com/@bdhabits")</f>
        <v>https://www.tiktok.com/@bdhabits</v>
      </c>
      <c r="D46" s="270">
        <f>IFERROR(__xludf.DUMMYFUNCTION("""COMPUTED_VALUE"""),8.2126683143E10)</f>
        <v>82126683143</v>
      </c>
      <c r="E46" s="271">
        <f>IFERROR(__xludf.DUMMYFUNCTION("""COMPUTED_VALUE"""),0.0)</f>
        <v>0</v>
      </c>
      <c r="F46" s="270">
        <f>IFERROR(__xludf.DUMMYFUNCTION("""COMPUTED_VALUE"""),1.0)</f>
        <v>1</v>
      </c>
      <c r="G46" s="277"/>
      <c r="H46" s="15"/>
      <c r="I46" s="17"/>
      <c r="J46" s="262"/>
      <c r="K46" s="17"/>
      <c r="L46" s="262"/>
      <c r="M46" s="17"/>
      <c r="N46" s="17"/>
      <c r="O46" s="17"/>
      <c r="P46" s="17"/>
      <c r="Q46" s="266"/>
      <c r="R46" s="266"/>
      <c r="S46" s="266"/>
      <c r="T46" s="266"/>
    </row>
    <row r="47">
      <c r="A47" s="255" t="str">
        <f>IFERROR(__xludf.DUMMYFUNCTION("""COMPUTED_VALUE"""),"MICRO")</f>
        <v>MICRO</v>
      </c>
      <c r="B47" s="257" t="str">
        <f>IFERROR(__xludf.DUMMYFUNCTION("""COMPUTED_VALUE"""),"dinif.sa")</f>
        <v>dinif.sa</v>
      </c>
      <c r="C47" s="257" t="str">
        <f>IFERROR(__xludf.DUMMYFUNCTION("""COMPUTED_VALUE"""),"https://www.tiktok.com/@dinif.sa")</f>
        <v>https://www.tiktok.com/@dinif.sa</v>
      </c>
      <c r="D47" s="270">
        <f>IFERROR(__xludf.DUMMYFUNCTION("""COMPUTED_VALUE"""),8.5212884452E10)</f>
        <v>85212884452</v>
      </c>
      <c r="E47" s="271">
        <f>IFERROR(__xludf.DUMMYFUNCTION("""COMPUTED_VALUE"""),0.0)</f>
        <v>0</v>
      </c>
      <c r="F47" s="270">
        <f>IFERROR(__xludf.DUMMYFUNCTION("""COMPUTED_VALUE"""),3.0)</f>
        <v>3</v>
      </c>
      <c r="G47" s="277"/>
      <c r="H47" s="15"/>
      <c r="I47" s="17"/>
      <c r="J47" s="262"/>
      <c r="K47" s="17"/>
      <c r="L47" s="262"/>
      <c r="M47" s="17"/>
      <c r="N47" s="17"/>
      <c r="O47" s="17"/>
      <c r="P47" s="17"/>
      <c r="Q47" s="266"/>
      <c r="R47" s="266"/>
      <c r="S47" s="266"/>
      <c r="T47" s="266"/>
    </row>
    <row r="48">
      <c r="A48" s="255" t="str">
        <f>IFERROR(__xludf.DUMMYFUNCTION("""COMPUTED_VALUE"""),"MICRO")</f>
        <v>MICRO</v>
      </c>
      <c r="B48" s="23" t="str">
        <f>IFERROR(__xludf.DUMMYFUNCTION("""COMPUTED_VALUE"""),"amdwt_")</f>
        <v>amdwt_</v>
      </c>
      <c r="C48" s="257" t="str">
        <f>IFERROR(__xludf.DUMMYFUNCTION("""COMPUTED_VALUE"""),"https://www.tiktok.com/@amdwt_")</f>
        <v>https://www.tiktok.com/@amdwt_</v>
      </c>
      <c r="D48" s="270">
        <f>IFERROR(__xludf.DUMMYFUNCTION("""COMPUTED_VALUE"""),8.970126119E9)</f>
        <v>8970126119</v>
      </c>
      <c r="E48" s="271">
        <f>IFERROR(__xludf.DUMMYFUNCTION("""COMPUTED_VALUE"""),0.0)</f>
        <v>0</v>
      </c>
      <c r="F48" s="270">
        <f>IFERROR(__xludf.DUMMYFUNCTION("""COMPUTED_VALUE"""),3.0)</f>
        <v>3</v>
      </c>
      <c r="G48" s="277"/>
      <c r="H48" s="15"/>
      <c r="I48" s="17"/>
      <c r="J48" s="262"/>
      <c r="K48" s="17"/>
      <c r="L48" s="262"/>
      <c r="M48" s="17"/>
      <c r="N48" s="17"/>
      <c r="O48" s="17"/>
      <c r="P48" s="17"/>
      <c r="Q48" s="266"/>
      <c r="R48" s="266"/>
      <c r="S48" s="266"/>
      <c r="T48" s="266"/>
    </row>
    <row r="49">
      <c r="A49" s="255" t="str">
        <f>IFERROR(__xludf.DUMMYFUNCTION("""COMPUTED_VALUE"""),"NANO")</f>
        <v>NANO</v>
      </c>
      <c r="B49" s="23" t="str">
        <f>IFERROR(__xludf.DUMMYFUNCTION("""COMPUTED_VALUE"""),"melani.makeup17")</f>
        <v>melani.makeup17</v>
      </c>
      <c r="C49" s="257" t="str">
        <f>IFERROR(__xludf.DUMMYFUNCTION("""COMPUTED_VALUE"""),"https://www.tiktok.com/@melani.makeup17")</f>
        <v>https://www.tiktok.com/@melani.makeup17</v>
      </c>
      <c r="D49" s="270">
        <f>IFERROR(__xludf.DUMMYFUNCTION("""COMPUTED_VALUE"""),8.5728913779E10)</f>
        <v>85728913779</v>
      </c>
      <c r="E49" s="271">
        <f>IFERROR(__xludf.DUMMYFUNCTION("""COMPUTED_VALUE"""),0.0)</f>
        <v>0</v>
      </c>
      <c r="F49" s="270">
        <f>IFERROR(__xludf.DUMMYFUNCTION("""COMPUTED_VALUE"""),3.0)</f>
        <v>3</v>
      </c>
      <c r="G49" s="277"/>
      <c r="H49" s="15"/>
      <c r="I49" s="17"/>
      <c r="J49" s="262"/>
      <c r="K49" s="17"/>
      <c r="L49" s="262"/>
      <c r="M49" s="17"/>
      <c r="N49" s="17"/>
      <c r="O49" s="17"/>
      <c r="P49" s="17"/>
      <c r="Q49" s="266"/>
      <c r="R49" s="266"/>
      <c r="S49" s="266"/>
      <c r="T49" s="266"/>
    </row>
    <row r="50">
      <c r="A50" s="255" t="str">
        <f>IFERROR(__xludf.DUMMYFUNCTION("""COMPUTED_VALUE"""),"NANO")</f>
        <v>NANO</v>
      </c>
      <c r="B50" s="23" t="str">
        <f>IFERROR(__xludf.DUMMYFUNCTION("""COMPUTED_VALUE"""),"azzazhr21")</f>
        <v>azzazhr21</v>
      </c>
      <c r="C50" s="257" t="str">
        <f>IFERROR(__xludf.DUMMYFUNCTION("""COMPUTED_VALUE"""),"https://www.tiktok.com/@azzazhr21")</f>
        <v>https://www.tiktok.com/@azzazhr21</v>
      </c>
      <c r="D50" s="270">
        <f>IFERROR(__xludf.DUMMYFUNCTION("""COMPUTED_VALUE"""),8.1233977388E10)</f>
        <v>81233977388</v>
      </c>
      <c r="E50" s="271">
        <f>IFERROR(__xludf.DUMMYFUNCTION("""COMPUTED_VALUE"""),150000.0)</f>
        <v>150000</v>
      </c>
      <c r="F50" s="270">
        <f>IFERROR(__xludf.DUMMYFUNCTION("""COMPUTED_VALUE"""),1.0)</f>
        <v>1</v>
      </c>
      <c r="G50" s="277"/>
      <c r="H50" s="15"/>
      <c r="I50" s="17"/>
      <c r="J50" s="262"/>
      <c r="K50" s="17"/>
      <c r="L50" s="262"/>
      <c r="M50" s="17"/>
      <c r="N50" s="17"/>
      <c r="O50" s="17"/>
      <c r="P50" s="17"/>
      <c r="Q50" s="266"/>
      <c r="R50" s="266"/>
      <c r="S50" s="266"/>
      <c r="T50" s="266"/>
    </row>
    <row r="51">
      <c r="A51" s="255" t="str">
        <f>IFERROR(__xludf.DUMMYFUNCTION("""COMPUTED_VALUE"""),"NANO")</f>
        <v>NANO</v>
      </c>
      <c r="B51" s="23" t="str">
        <f>IFERROR(__xludf.DUMMYFUNCTION("""COMPUTED_VALUE"""),"frdqus")</f>
        <v>frdqus</v>
      </c>
      <c r="C51" s="257" t="str">
        <f>IFERROR(__xludf.DUMMYFUNCTION("""COMPUTED_VALUE"""),"https://www.tiktok.com/@frdqus")</f>
        <v>https://www.tiktok.com/@frdqus</v>
      </c>
      <c r="D51" s="270">
        <f>IFERROR(__xludf.DUMMYFUNCTION("""COMPUTED_VALUE"""),8.5654767435E10)</f>
        <v>85654767435</v>
      </c>
      <c r="E51" s="271">
        <f>IFERROR(__xludf.DUMMYFUNCTION("""COMPUTED_VALUE"""),0.0)</f>
        <v>0</v>
      </c>
      <c r="F51" s="270">
        <f>IFERROR(__xludf.DUMMYFUNCTION("""COMPUTED_VALUE"""),4.0)</f>
        <v>4</v>
      </c>
      <c r="G51" s="277"/>
      <c r="H51" s="15"/>
      <c r="I51" s="17"/>
      <c r="J51" s="262"/>
      <c r="K51" s="17"/>
      <c r="L51" s="262"/>
      <c r="M51" s="17"/>
      <c r="N51" s="17"/>
      <c r="O51" s="17"/>
      <c r="P51" s="17"/>
      <c r="Q51" s="266"/>
      <c r="R51" s="266"/>
      <c r="S51" s="266"/>
      <c r="T51" s="266"/>
    </row>
    <row r="52">
      <c r="A52" s="255" t="str">
        <f>IFERROR(__xludf.DUMMYFUNCTION("""COMPUTED_VALUE"""),"NANO")</f>
        <v>NANO</v>
      </c>
      <c r="B52" s="23" t="str">
        <f>IFERROR(__xludf.DUMMYFUNCTION("""COMPUTED_VALUE"""),"liansseptiana")</f>
        <v>liansseptiana</v>
      </c>
      <c r="C52" s="257" t="str">
        <f>IFERROR(__xludf.DUMMYFUNCTION("""COMPUTED_VALUE"""),"https://www.tiktok.com/@liansseptiana")</f>
        <v>https://www.tiktok.com/@liansseptiana</v>
      </c>
      <c r="D52" s="270">
        <f>IFERROR(__xludf.DUMMYFUNCTION("""COMPUTED_VALUE"""),8.5776666279E10)</f>
        <v>85776666279</v>
      </c>
      <c r="E52" s="271">
        <f>IFERROR(__xludf.DUMMYFUNCTION("""COMPUTED_VALUE"""),0.0)</f>
        <v>0</v>
      </c>
      <c r="F52" s="270">
        <f>IFERROR(__xludf.DUMMYFUNCTION("""COMPUTED_VALUE"""),1.0)</f>
        <v>1</v>
      </c>
      <c r="G52" s="277"/>
      <c r="H52" s="15"/>
      <c r="I52" s="17"/>
      <c r="J52" s="262"/>
      <c r="K52" s="17"/>
      <c r="L52" s="262"/>
      <c r="M52" s="17"/>
      <c r="N52" s="17"/>
      <c r="O52" s="17"/>
      <c r="P52" s="17"/>
      <c r="Q52" s="266"/>
      <c r="R52" s="266"/>
      <c r="S52" s="266"/>
      <c r="T52" s="266"/>
    </row>
    <row r="53">
      <c r="A53" s="255" t="str">
        <f>IFERROR(__xludf.DUMMYFUNCTION("""COMPUTED_VALUE"""),"NANO")</f>
        <v>NANO</v>
      </c>
      <c r="B53" s="23" t="str">
        <f>IFERROR(__xludf.DUMMYFUNCTION("""COMPUTED_VALUE"""),"neng.ofii")</f>
        <v>neng.ofii</v>
      </c>
      <c r="C53" s="257" t="str">
        <f>IFERROR(__xludf.DUMMYFUNCTION("""COMPUTED_VALUE"""),"https://www.tiktok.com/@neng.ofii")</f>
        <v>https://www.tiktok.com/@neng.ofii</v>
      </c>
      <c r="D53" s="270">
        <f>IFERROR(__xludf.DUMMYFUNCTION("""COMPUTED_VALUE"""),8.121420015E10)</f>
        <v>81214200150</v>
      </c>
      <c r="E53" s="271">
        <f>IFERROR(__xludf.DUMMYFUNCTION("""COMPUTED_VALUE"""),0.0)</f>
        <v>0</v>
      </c>
      <c r="F53" s="270">
        <f>IFERROR(__xludf.DUMMYFUNCTION("""COMPUTED_VALUE"""),3.0)</f>
        <v>3</v>
      </c>
      <c r="G53" s="277"/>
      <c r="H53" s="15"/>
      <c r="I53" s="17"/>
      <c r="J53" s="262"/>
      <c r="K53" s="17"/>
      <c r="L53" s="262"/>
      <c r="M53" s="17"/>
      <c r="N53" s="17"/>
      <c r="O53" s="17"/>
      <c r="P53" s="17"/>
      <c r="Q53" s="266"/>
      <c r="R53" s="266"/>
      <c r="S53" s="266"/>
      <c r="T53" s="266"/>
    </row>
    <row r="54">
      <c r="A54" s="255" t="str">
        <f>IFERROR(__xludf.DUMMYFUNCTION("""COMPUTED_VALUE"""),"NANO")</f>
        <v>NANO</v>
      </c>
      <c r="B54" s="23" t="str">
        <f>IFERROR(__xludf.DUMMYFUNCTION("""COMPUTED_VALUE"""),"rkmyng")</f>
        <v>rkmyng</v>
      </c>
      <c r="C54" s="257" t="str">
        <f>IFERROR(__xludf.DUMMYFUNCTION("""COMPUTED_VALUE"""),"https://www.tiktok.com/@rkmyng")</f>
        <v>https://www.tiktok.com/@rkmyng</v>
      </c>
      <c r="D54" s="270">
        <f>IFERROR(__xludf.DUMMYFUNCTION("""COMPUTED_VALUE"""),8.3121817656E10)</f>
        <v>83121817656</v>
      </c>
      <c r="E54" s="271">
        <f>IFERROR(__xludf.DUMMYFUNCTION("""COMPUTED_VALUE"""),0.0)</f>
        <v>0</v>
      </c>
      <c r="F54" s="270">
        <f>IFERROR(__xludf.DUMMYFUNCTION("""COMPUTED_VALUE"""),3.0)</f>
        <v>3</v>
      </c>
      <c r="G54" s="277"/>
      <c r="H54" s="15"/>
      <c r="I54" s="17"/>
      <c r="J54" s="262"/>
      <c r="K54" s="17"/>
      <c r="L54" s="262"/>
      <c r="M54" s="17"/>
      <c r="N54" s="17"/>
      <c r="O54" s="17"/>
      <c r="P54" s="17"/>
      <c r="Q54" s="266"/>
      <c r="R54" s="266"/>
      <c r="S54" s="266"/>
      <c r="T54" s="266"/>
    </row>
    <row r="55">
      <c r="A55" s="255" t="str">
        <f>IFERROR(__xludf.DUMMYFUNCTION("""COMPUTED_VALUE"""),"MICRO")</f>
        <v>MICRO</v>
      </c>
      <c r="B55" s="23" t="str">
        <f>IFERROR(__xludf.DUMMYFUNCTION("""COMPUTED_VALUE"""),"Pinkskieslova")</f>
        <v>Pinkskieslova</v>
      </c>
      <c r="C55" s="257" t="str">
        <f>IFERROR(__xludf.DUMMYFUNCTION("""COMPUTED_VALUE"""),"https://www.tiktok.com/@Pinkskieslova")</f>
        <v>https://www.tiktok.com/@Pinkskieslova</v>
      </c>
      <c r="D55" s="270">
        <f>IFERROR(__xludf.DUMMYFUNCTION("""COMPUTED_VALUE"""),8.589000504E10)</f>
        <v>85890005040</v>
      </c>
      <c r="E55" s="271">
        <f>IFERROR(__xludf.DUMMYFUNCTION("""COMPUTED_VALUE"""),800000.0)</f>
        <v>800000</v>
      </c>
      <c r="F55" s="270">
        <f>IFERROR(__xludf.DUMMYFUNCTION("""COMPUTED_VALUE"""),1.0)</f>
        <v>1</v>
      </c>
      <c r="G55" s="262"/>
      <c r="H55" s="17"/>
      <c r="I55" s="17"/>
      <c r="J55" s="262"/>
      <c r="K55" s="17"/>
      <c r="L55" s="262"/>
      <c r="M55" s="17"/>
      <c r="N55" s="17"/>
      <c r="O55" s="17"/>
      <c r="P55" s="17"/>
      <c r="Q55" s="266"/>
      <c r="R55" s="266"/>
      <c r="S55" s="266"/>
      <c r="T55" s="266"/>
    </row>
    <row r="56">
      <c r="A56" s="255" t="str">
        <f>IFERROR(__xludf.DUMMYFUNCTION("""COMPUTED_VALUE"""),"MICRO")</f>
        <v>MICRO</v>
      </c>
      <c r="B56" s="23" t="str">
        <f>IFERROR(__xludf.DUMMYFUNCTION("""COMPUTED_VALUE"""),"oinlubis_")</f>
        <v>oinlubis_</v>
      </c>
      <c r="C56" s="257" t="str">
        <f>IFERROR(__xludf.DUMMYFUNCTION("""COMPUTED_VALUE"""),"https://www.tiktok.com/@oinlubis_")</f>
        <v>https://www.tiktok.com/@oinlubis_</v>
      </c>
      <c r="D56" s="270"/>
      <c r="E56" s="271">
        <f>IFERROR(__xludf.DUMMYFUNCTION("""COMPUTED_VALUE"""),250000.0)</f>
        <v>250000</v>
      </c>
      <c r="F56" s="270">
        <f>IFERROR(__xludf.DUMMYFUNCTION("""COMPUTED_VALUE"""),1.0)</f>
        <v>1</v>
      </c>
      <c r="G56" s="262"/>
      <c r="H56" s="17"/>
      <c r="I56" s="17"/>
      <c r="J56" s="262"/>
      <c r="K56" s="17"/>
      <c r="L56" s="262"/>
      <c r="M56" s="17"/>
      <c r="N56" s="17"/>
      <c r="O56" s="17"/>
      <c r="P56" s="17"/>
      <c r="Q56" s="266"/>
      <c r="R56" s="266"/>
      <c r="S56" s="266"/>
      <c r="T56" s="266"/>
    </row>
    <row r="57">
      <c r="A57" s="282" t="str">
        <f>IFERROR(__xludf.DUMMYFUNCTION("""COMPUTED_VALUE"""),"NANO")</f>
        <v>NANO</v>
      </c>
      <c r="B57" s="272" t="str">
        <f>IFERROR(__xludf.DUMMYFUNCTION("""COMPUTED_VALUE"""),"_cipo07")</f>
        <v>_cipo07</v>
      </c>
      <c r="C57" s="283" t="str">
        <f>IFERROR(__xludf.DUMMYFUNCTION("""COMPUTED_VALUE"""),"https://www.tiktok.com/@_cipo07")</f>
        <v>https://www.tiktok.com/@_cipo07</v>
      </c>
      <c r="D57" s="273"/>
      <c r="E57" s="274">
        <f>IFERROR(__xludf.DUMMYFUNCTION("""COMPUTED_VALUE"""),100000.0)</f>
        <v>100000</v>
      </c>
      <c r="F57" s="273">
        <f>IFERROR(__xludf.DUMMYFUNCTION("""COMPUTED_VALUE"""),2.0)</f>
        <v>2</v>
      </c>
      <c r="G57" s="12"/>
      <c r="J57" s="12"/>
      <c r="L57" s="12"/>
      <c r="Q57" s="218"/>
      <c r="R57" s="218"/>
      <c r="S57" s="218"/>
      <c r="T57" s="218"/>
    </row>
    <row r="58">
      <c r="A58" s="282" t="str">
        <f>IFERROR(__xludf.DUMMYFUNCTION("""COMPUTED_VALUE"""),"NANO")</f>
        <v>NANO</v>
      </c>
      <c r="B58" s="272" t="str">
        <f>IFERROR(__xludf.DUMMYFUNCTION("""COMPUTED_VALUE"""),"syaciymi")</f>
        <v>syaciymi</v>
      </c>
      <c r="C58" s="283" t="str">
        <f>IFERROR(__xludf.DUMMYFUNCTION("""COMPUTED_VALUE"""),"https://www.tiktok.com/@syaciymi")</f>
        <v>https://www.tiktok.com/@syaciymi</v>
      </c>
      <c r="D58" s="273"/>
      <c r="E58" s="274">
        <f>IFERROR(__xludf.DUMMYFUNCTION("""COMPUTED_VALUE"""),0.0)</f>
        <v>0</v>
      </c>
      <c r="F58" s="273">
        <f>IFERROR(__xludf.DUMMYFUNCTION("""COMPUTED_VALUE"""),3.0)</f>
        <v>3</v>
      </c>
      <c r="G58" s="12"/>
      <c r="J58" s="12"/>
      <c r="L58" s="12"/>
      <c r="Q58" s="218"/>
      <c r="R58" s="218"/>
      <c r="S58" s="218"/>
      <c r="T58" s="218"/>
    </row>
    <row r="59">
      <c r="A59" s="282" t="str">
        <f>IFERROR(__xludf.DUMMYFUNCTION("""COMPUTED_VALUE"""),"NANO")</f>
        <v>NANO</v>
      </c>
      <c r="B59" s="272" t="str">
        <f>IFERROR(__xludf.DUMMYFUNCTION("""COMPUTED_VALUE"""),"cl0v3r577")</f>
        <v>cl0v3r577</v>
      </c>
      <c r="C59" s="283" t="str">
        <f>IFERROR(__xludf.DUMMYFUNCTION("""COMPUTED_VALUE"""),"https://www.tiktok.com/@cl0v3r577")</f>
        <v>https://www.tiktok.com/@cl0v3r577</v>
      </c>
      <c r="D59" s="273">
        <f>IFERROR(__xludf.DUMMYFUNCTION("""COMPUTED_VALUE"""),8.95604475273E11)</f>
        <v>895604475273</v>
      </c>
      <c r="E59" s="274">
        <f>IFERROR(__xludf.DUMMYFUNCTION("""COMPUTED_VALUE"""),0.0)</f>
        <v>0</v>
      </c>
      <c r="F59" s="273">
        <f>IFERROR(__xludf.DUMMYFUNCTION("""COMPUTED_VALUE"""),1.0)</f>
        <v>1</v>
      </c>
      <c r="G59" s="12"/>
      <c r="J59" s="12"/>
      <c r="L59" s="12"/>
      <c r="Q59" s="218"/>
      <c r="R59" s="218"/>
      <c r="S59" s="218"/>
      <c r="T59" s="218"/>
    </row>
    <row r="60">
      <c r="A60" s="282"/>
      <c r="B60" s="272"/>
      <c r="C60" s="272"/>
      <c r="D60" s="273"/>
      <c r="E60" s="274"/>
      <c r="F60" s="273"/>
      <c r="G60" s="12"/>
      <c r="J60" s="12"/>
      <c r="L60" s="12"/>
      <c r="Q60" s="218"/>
      <c r="R60" s="218"/>
      <c r="S60" s="218"/>
      <c r="T60" s="218"/>
    </row>
    <row r="61">
      <c r="A61" s="282"/>
      <c r="B61" s="272"/>
      <c r="C61" s="272"/>
      <c r="D61" s="273"/>
      <c r="E61" s="274"/>
      <c r="F61" s="273"/>
      <c r="G61" s="12"/>
      <c r="J61" s="12"/>
      <c r="L61" s="12"/>
      <c r="Q61" s="218"/>
      <c r="R61" s="218"/>
      <c r="S61" s="218"/>
      <c r="T61" s="218"/>
    </row>
    <row r="62">
      <c r="A62" s="282"/>
      <c r="B62" s="272"/>
      <c r="C62" s="272"/>
      <c r="D62" s="273"/>
      <c r="E62" s="274"/>
      <c r="F62" s="273"/>
      <c r="G62" s="12"/>
      <c r="J62" s="12"/>
      <c r="L62" s="12"/>
      <c r="Q62" s="218"/>
      <c r="R62" s="218"/>
      <c r="S62" s="218"/>
      <c r="T62" s="218"/>
    </row>
    <row r="63">
      <c r="A63" s="282"/>
      <c r="B63" s="272"/>
      <c r="C63" s="272"/>
      <c r="D63" s="273"/>
      <c r="E63" s="274"/>
      <c r="F63" s="273"/>
      <c r="G63" s="12"/>
      <c r="J63" s="12"/>
      <c r="L63" s="12"/>
      <c r="Q63" s="218"/>
      <c r="R63" s="218"/>
      <c r="S63" s="218"/>
      <c r="T63" s="218"/>
    </row>
    <row r="64">
      <c r="A64" s="282"/>
      <c r="B64" s="272"/>
      <c r="C64" s="272"/>
      <c r="D64" s="273"/>
      <c r="E64" s="274"/>
      <c r="F64" s="273"/>
      <c r="G64" s="12"/>
      <c r="J64" s="12"/>
      <c r="L64" s="12"/>
      <c r="Q64" s="218"/>
      <c r="R64" s="218"/>
      <c r="S64" s="218"/>
      <c r="T64" s="218"/>
    </row>
    <row r="65">
      <c r="A65" s="282"/>
      <c r="B65" s="272"/>
      <c r="C65" s="272"/>
      <c r="D65" s="273"/>
      <c r="E65" s="274"/>
      <c r="F65" s="273"/>
      <c r="G65" s="12"/>
      <c r="J65" s="12"/>
      <c r="L65" s="12"/>
      <c r="Q65" s="218"/>
      <c r="R65" s="218"/>
      <c r="S65" s="218"/>
      <c r="T65" s="218"/>
    </row>
    <row r="66">
      <c r="A66" s="282"/>
      <c r="B66" s="272"/>
      <c r="C66" s="272"/>
      <c r="D66" s="273"/>
      <c r="E66" s="274"/>
      <c r="F66" s="273"/>
      <c r="G66" s="12"/>
      <c r="J66" s="12"/>
      <c r="L66" s="12"/>
      <c r="Q66" s="218"/>
      <c r="R66" s="218"/>
      <c r="S66" s="218"/>
      <c r="T66" s="218"/>
    </row>
    <row r="67">
      <c r="A67" s="282"/>
      <c r="B67" s="272"/>
      <c r="C67" s="272"/>
      <c r="D67" s="273"/>
      <c r="E67" s="274"/>
      <c r="F67" s="273"/>
      <c r="G67" s="12"/>
      <c r="J67" s="12"/>
      <c r="L67" s="12"/>
      <c r="Q67" s="218"/>
      <c r="R67" s="218"/>
      <c r="S67" s="218"/>
      <c r="T67" s="218"/>
    </row>
    <row r="68">
      <c r="A68" s="282"/>
      <c r="B68" s="272"/>
      <c r="C68" s="272"/>
      <c r="D68" s="273"/>
      <c r="E68" s="274"/>
      <c r="F68" s="273"/>
      <c r="G68" s="12"/>
      <c r="J68" s="12"/>
      <c r="L68" s="12"/>
      <c r="Q68" s="218"/>
      <c r="R68" s="218"/>
      <c r="S68" s="218"/>
      <c r="T68" s="218"/>
    </row>
    <row r="69">
      <c r="A69" s="282"/>
      <c r="B69" s="272"/>
      <c r="C69" s="272"/>
      <c r="D69" s="273"/>
      <c r="E69" s="274"/>
      <c r="F69" s="273"/>
      <c r="G69" s="12"/>
      <c r="J69" s="12"/>
      <c r="L69" s="12"/>
      <c r="Q69" s="218"/>
      <c r="R69" s="218"/>
      <c r="S69" s="218"/>
      <c r="T69" s="218"/>
    </row>
    <row r="70">
      <c r="A70" s="282"/>
      <c r="B70" s="272"/>
      <c r="C70" s="272"/>
      <c r="D70" s="273"/>
      <c r="E70" s="274"/>
      <c r="F70" s="273"/>
      <c r="G70" s="12"/>
      <c r="J70" s="12"/>
      <c r="L70" s="12"/>
      <c r="Q70" s="218"/>
      <c r="R70" s="218"/>
      <c r="S70" s="218"/>
      <c r="T70" s="218"/>
    </row>
    <row r="71">
      <c r="A71" s="282"/>
      <c r="B71" s="272"/>
      <c r="C71" s="272"/>
      <c r="D71" s="273"/>
      <c r="E71" s="274"/>
      <c r="F71" s="273"/>
      <c r="G71" s="12"/>
      <c r="J71" s="12"/>
      <c r="L71" s="12"/>
      <c r="Q71" s="218"/>
      <c r="R71" s="218"/>
      <c r="S71" s="218"/>
      <c r="T71" s="218"/>
    </row>
    <row r="72">
      <c r="A72" s="282"/>
      <c r="B72" s="272"/>
      <c r="C72" s="272"/>
      <c r="D72" s="273"/>
      <c r="E72" s="274"/>
      <c r="F72" s="273"/>
      <c r="G72" s="12"/>
      <c r="J72" s="12"/>
      <c r="L72" s="12"/>
      <c r="Q72" s="218"/>
      <c r="R72" s="218"/>
      <c r="S72" s="218"/>
      <c r="T72" s="218"/>
    </row>
    <row r="73">
      <c r="A73" s="282"/>
      <c r="B73" s="272"/>
      <c r="C73" s="272"/>
      <c r="D73" s="273"/>
      <c r="E73" s="274"/>
      <c r="F73" s="273"/>
      <c r="G73" s="12"/>
      <c r="J73" s="12"/>
      <c r="L73" s="12"/>
      <c r="Q73" s="218"/>
      <c r="R73" s="218"/>
      <c r="S73" s="218"/>
      <c r="T73" s="218"/>
    </row>
    <row r="74">
      <c r="A74" s="282"/>
      <c r="B74" s="272"/>
      <c r="C74" s="272"/>
      <c r="D74" s="273"/>
      <c r="E74" s="274"/>
      <c r="F74" s="273"/>
      <c r="G74" s="12"/>
      <c r="J74" s="12"/>
      <c r="L74" s="12"/>
      <c r="Q74" s="218"/>
      <c r="R74" s="218"/>
      <c r="S74" s="218"/>
      <c r="T74" s="218"/>
    </row>
    <row r="75">
      <c r="A75" s="282"/>
      <c r="B75" s="272"/>
      <c r="C75" s="272"/>
      <c r="D75" s="273"/>
      <c r="E75" s="274"/>
      <c r="F75" s="273"/>
      <c r="G75" s="12"/>
      <c r="J75" s="12"/>
      <c r="L75" s="12"/>
      <c r="Q75" s="218"/>
      <c r="R75" s="218"/>
      <c r="S75" s="218"/>
      <c r="T75" s="218"/>
    </row>
    <row r="76">
      <c r="A76" s="282"/>
      <c r="B76" s="272"/>
      <c r="C76" s="272"/>
      <c r="D76" s="273"/>
      <c r="E76" s="274"/>
      <c r="F76" s="273"/>
      <c r="G76" s="12"/>
      <c r="J76" s="12"/>
      <c r="L76" s="12"/>
      <c r="Q76" s="218"/>
      <c r="R76" s="218"/>
      <c r="S76" s="218"/>
      <c r="T76" s="218"/>
    </row>
    <row r="77">
      <c r="A77" s="282"/>
      <c r="B77" s="272"/>
      <c r="C77" s="272"/>
      <c r="D77" s="273"/>
      <c r="E77" s="274"/>
      <c r="F77" s="273"/>
      <c r="G77" s="12"/>
      <c r="J77" s="12"/>
      <c r="L77" s="12"/>
      <c r="Q77" s="218"/>
      <c r="R77" s="218"/>
      <c r="S77" s="218"/>
      <c r="T77" s="218"/>
    </row>
    <row r="78">
      <c r="A78" s="282"/>
      <c r="B78" s="272"/>
      <c r="C78" s="272"/>
      <c r="D78" s="273"/>
      <c r="E78" s="274"/>
      <c r="F78" s="273"/>
      <c r="G78" s="12"/>
      <c r="J78" s="12"/>
      <c r="L78" s="12"/>
      <c r="Q78" s="218"/>
      <c r="R78" s="218"/>
      <c r="S78" s="218"/>
      <c r="T78" s="218"/>
    </row>
    <row r="79">
      <c r="A79" s="282"/>
      <c r="B79" s="272"/>
      <c r="C79" s="272"/>
      <c r="D79" s="273"/>
      <c r="E79" s="274"/>
      <c r="F79" s="273"/>
      <c r="G79" s="12"/>
      <c r="J79" s="12"/>
      <c r="L79" s="12"/>
      <c r="Q79" s="218"/>
      <c r="R79" s="218"/>
      <c r="S79" s="218"/>
      <c r="T79" s="218"/>
    </row>
    <row r="80">
      <c r="A80" s="282"/>
      <c r="B80" s="272"/>
      <c r="C80" s="272"/>
      <c r="D80" s="273"/>
      <c r="E80" s="274"/>
      <c r="F80" s="273"/>
      <c r="G80" s="12"/>
      <c r="J80" s="12"/>
      <c r="L80" s="12"/>
      <c r="Q80" s="218"/>
      <c r="R80" s="218"/>
      <c r="S80" s="218"/>
      <c r="T80" s="218"/>
    </row>
    <row r="81">
      <c r="A81" s="282"/>
      <c r="B81" s="272"/>
      <c r="C81" s="272"/>
      <c r="D81" s="273"/>
      <c r="E81" s="274"/>
      <c r="F81" s="273"/>
      <c r="G81" s="12"/>
      <c r="J81" s="12"/>
      <c r="L81" s="12"/>
      <c r="Q81" s="218"/>
      <c r="R81" s="218"/>
      <c r="S81" s="218"/>
      <c r="T81" s="218"/>
    </row>
    <row r="82">
      <c r="A82" s="282"/>
      <c r="B82" s="272"/>
      <c r="C82" s="272"/>
      <c r="D82" s="273"/>
      <c r="E82" s="274"/>
      <c r="F82" s="273"/>
      <c r="G82" s="12"/>
      <c r="J82" s="12"/>
      <c r="L82" s="12"/>
      <c r="Q82" s="218"/>
      <c r="R82" s="218"/>
      <c r="S82" s="218"/>
      <c r="T82" s="218"/>
    </row>
    <row r="83">
      <c r="A83" s="282"/>
      <c r="B83" s="272"/>
      <c r="C83" s="272"/>
      <c r="D83" s="273"/>
      <c r="E83" s="274"/>
      <c r="F83" s="273"/>
      <c r="G83" s="12"/>
      <c r="J83" s="12"/>
      <c r="L83" s="12"/>
      <c r="Q83" s="218"/>
      <c r="R83" s="218"/>
      <c r="S83" s="218"/>
      <c r="T83" s="218"/>
    </row>
    <row r="84">
      <c r="A84" s="282"/>
      <c r="B84" s="272"/>
      <c r="C84" s="272"/>
      <c r="D84" s="273"/>
      <c r="E84" s="274"/>
      <c r="F84" s="273"/>
      <c r="G84" s="12"/>
      <c r="J84" s="12"/>
      <c r="L84" s="12"/>
      <c r="Q84" s="218"/>
      <c r="R84" s="218"/>
      <c r="S84" s="218"/>
      <c r="T84" s="218"/>
    </row>
    <row r="85">
      <c r="A85" s="282"/>
      <c r="B85" s="272"/>
      <c r="C85" s="272"/>
      <c r="D85" s="273"/>
      <c r="E85" s="274"/>
      <c r="F85" s="273"/>
      <c r="G85" s="12"/>
      <c r="J85" s="12"/>
      <c r="L85" s="12"/>
      <c r="Q85" s="218"/>
      <c r="R85" s="218"/>
      <c r="S85" s="218"/>
      <c r="T85" s="218"/>
    </row>
    <row r="86">
      <c r="A86" s="282"/>
      <c r="B86" s="272"/>
      <c r="C86" s="272"/>
      <c r="D86" s="273"/>
      <c r="E86" s="274"/>
      <c r="F86" s="273"/>
      <c r="G86" s="12"/>
      <c r="J86" s="12"/>
      <c r="L86" s="12"/>
      <c r="Q86" s="218"/>
      <c r="R86" s="218"/>
      <c r="S86" s="218"/>
      <c r="T86" s="218"/>
    </row>
    <row r="87">
      <c r="A87" s="282"/>
      <c r="B87" s="272"/>
      <c r="C87" s="272"/>
      <c r="D87" s="273"/>
      <c r="E87" s="274"/>
      <c r="F87" s="273"/>
      <c r="G87" s="12"/>
      <c r="J87" s="12"/>
      <c r="L87" s="12"/>
      <c r="Q87" s="218"/>
      <c r="R87" s="218"/>
      <c r="S87" s="218"/>
      <c r="T87" s="218"/>
    </row>
    <row r="88">
      <c r="A88" s="282"/>
      <c r="B88" s="272"/>
      <c r="C88" s="272"/>
      <c r="D88" s="273"/>
      <c r="E88" s="274"/>
      <c r="F88" s="273"/>
      <c r="G88" s="12"/>
      <c r="J88" s="12"/>
      <c r="L88" s="12"/>
      <c r="Q88" s="218"/>
      <c r="R88" s="218"/>
      <c r="S88" s="218"/>
      <c r="T88" s="218"/>
    </row>
    <row r="89">
      <c r="A89" s="282"/>
      <c r="B89" s="272"/>
      <c r="C89" s="272"/>
      <c r="D89" s="273"/>
      <c r="E89" s="274"/>
      <c r="F89" s="273"/>
      <c r="G89" s="12"/>
      <c r="J89" s="12"/>
      <c r="L89" s="12"/>
      <c r="Q89" s="218"/>
      <c r="R89" s="218"/>
      <c r="S89" s="218"/>
      <c r="T89" s="218"/>
    </row>
    <row r="90">
      <c r="A90" s="282"/>
      <c r="B90" s="272"/>
      <c r="C90" s="272"/>
      <c r="D90" s="273"/>
      <c r="E90" s="274"/>
      <c r="F90" s="273"/>
      <c r="G90" s="12"/>
      <c r="J90" s="12"/>
      <c r="L90" s="12"/>
      <c r="Q90" s="218"/>
      <c r="R90" s="218"/>
      <c r="S90" s="218"/>
      <c r="T90" s="218"/>
    </row>
    <row r="91">
      <c r="A91" s="282"/>
      <c r="B91" s="272"/>
      <c r="C91" s="272"/>
      <c r="D91" s="273"/>
      <c r="E91" s="274"/>
      <c r="F91" s="273"/>
      <c r="G91" s="12"/>
      <c r="J91" s="12"/>
      <c r="L91" s="12"/>
      <c r="Q91" s="218"/>
      <c r="R91" s="218"/>
      <c r="S91" s="218"/>
      <c r="T91" s="218"/>
    </row>
    <row r="92">
      <c r="A92" s="282"/>
      <c r="B92" s="272"/>
      <c r="C92" s="272"/>
      <c r="D92" s="273"/>
      <c r="E92" s="274"/>
      <c r="F92" s="273"/>
      <c r="G92" s="12"/>
      <c r="J92" s="12"/>
      <c r="L92" s="12"/>
      <c r="Q92" s="218"/>
      <c r="R92" s="218"/>
      <c r="S92" s="218"/>
      <c r="T92" s="218"/>
    </row>
    <row r="93">
      <c r="A93" s="272"/>
      <c r="B93" s="272"/>
      <c r="C93" s="272"/>
      <c r="D93" s="273"/>
      <c r="E93" s="274"/>
      <c r="F93" s="273"/>
      <c r="G93" s="12"/>
      <c r="J93" s="12"/>
      <c r="L93" s="12"/>
      <c r="Q93" s="218"/>
      <c r="R93" s="218"/>
      <c r="S93" s="218"/>
      <c r="T93" s="218"/>
    </row>
    <row r="94">
      <c r="A94" s="272"/>
      <c r="B94" s="272"/>
      <c r="C94" s="272"/>
      <c r="D94" s="273"/>
      <c r="E94" s="274"/>
      <c r="F94" s="273"/>
      <c r="G94" s="12"/>
      <c r="J94" s="12"/>
      <c r="L94" s="12"/>
      <c r="Q94" s="218"/>
      <c r="R94" s="218"/>
      <c r="S94" s="218"/>
      <c r="T94" s="218"/>
    </row>
    <row r="95">
      <c r="A95" s="272"/>
      <c r="B95" s="272"/>
      <c r="C95" s="272"/>
      <c r="D95" s="273"/>
      <c r="E95" s="274"/>
      <c r="F95" s="273"/>
      <c r="G95" s="12"/>
      <c r="J95" s="12"/>
      <c r="L95" s="12"/>
      <c r="Q95" s="218"/>
      <c r="R95" s="218"/>
      <c r="S95" s="218"/>
      <c r="T95" s="218"/>
    </row>
    <row r="96">
      <c r="A96" s="272"/>
      <c r="B96" s="272"/>
      <c r="C96" s="272"/>
      <c r="D96" s="273"/>
      <c r="E96" s="274"/>
      <c r="F96" s="273"/>
      <c r="G96" s="12"/>
      <c r="J96" s="12"/>
      <c r="L96" s="12"/>
      <c r="Q96" s="218"/>
      <c r="R96" s="218"/>
      <c r="S96" s="218"/>
      <c r="T96" s="218"/>
    </row>
    <row r="97">
      <c r="A97" s="272"/>
      <c r="B97" s="272"/>
      <c r="C97" s="272"/>
      <c r="D97" s="273"/>
      <c r="E97" s="274"/>
      <c r="F97" s="273"/>
      <c r="G97" s="12"/>
      <c r="J97" s="12"/>
      <c r="L97" s="12"/>
      <c r="Q97" s="218"/>
      <c r="R97" s="218"/>
      <c r="S97" s="218"/>
      <c r="T97" s="218"/>
    </row>
    <row r="98">
      <c r="A98" s="272"/>
      <c r="B98" s="272"/>
      <c r="C98" s="272"/>
      <c r="D98" s="273"/>
      <c r="E98" s="274"/>
      <c r="F98" s="273"/>
      <c r="G98" s="12"/>
      <c r="J98" s="12"/>
      <c r="L98" s="12"/>
      <c r="Q98" s="218"/>
      <c r="R98" s="218"/>
      <c r="S98" s="218"/>
      <c r="T98" s="218"/>
    </row>
    <row r="99">
      <c r="A99" s="272"/>
      <c r="B99" s="272"/>
      <c r="C99" s="272"/>
      <c r="D99" s="273"/>
      <c r="E99" s="274"/>
      <c r="F99" s="273"/>
      <c r="G99" s="12"/>
      <c r="J99" s="12"/>
      <c r="L99" s="12"/>
      <c r="Q99" s="218"/>
      <c r="R99" s="218"/>
      <c r="S99" s="218"/>
      <c r="T99" s="218"/>
    </row>
    <row r="100">
      <c r="A100" s="272"/>
      <c r="B100" s="272"/>
      <c r="C100" s="272"/>
      <c r="D100" s="273"/>
      <c r="E100" s="274"/>
      <c r="F100" s="273"/>
      <c r="G100" s="12"/>
      <c r="J100" s="12"/>
      <c r="L100" s="12"/>
      <c r="Q100" s="218"/>
      <c r="R100" s="218"/>
      <c r="S100" s="218"/>
      <c r="T100" s="218"/>
    </row>
    <row r="101">
      <c r="A101" s="272"/>
      <c r="B101" s="272"/>
      <c r="C101" s="272"/>
      <c r="D101" s="273"/>
      <c r="E101" s="274"/>
      <c r="F101" s="273"/>
      <c r="G101" s="12"/>
      <c r="J101" s="12"/>
      <c r="L101" s="12"/>
      <c r="Q101" s="218"/>
      <c r="R101" s="218"/>
      <c r="S101" s="218"/>
      <c r="T101" s="218"/>
    </row>
    <row r="102">
      <c r="A102" s="272"/>
      <c r="B102" s="272"/>
      <c r="C102" s="272"/>
      <c r="D102" s="273"/>
      <c r="E102" s="274"/>
      <c r="F102" s="273"/>
      <c r="G102" s="12"/>
      <c r="J102" s="12"/>
      <c r="L102" s="12"/>
      <c r="Q102" s="218"/>
      <c r="R102" s="218"/>
      <c r="S102" s="218"/>
      <c r="T102" s="218"/>
    </row>
    <row r="103">
      <c r="A103" s="272"/>
      <c r="B103" s="272"/>
      <c r="C103" s="272"/>
      <c r="D103" s="273"/>
      <c r="E103" s="274"/>
      <c r="F103" s="273"/>
      <c r="G103" s="12"/>
      <c r="J103" s="12"/>
      <c r="L103" s="12"/>
      <c r="Q103" s="218"/>
      <c r="R103" s="218"/>
      <c r="S103" s="218"/>
      <c r="T103" s="218"/>
    </row>
    <row r="104">
      <c r="A104" s="272"/>
      <c r="B104" s="272"/>
      <c r="C104" s="272"/>
      <c r="D104" s="273"/>
      <c r="E104" s="274"/>
      <c r="F104" s="273"/>
      <c r="G104" s="12"/>
      <c r="J104" s="12"/>
      <c r="L104" s="12"/>
      <c r="Q104" s="218"/>
      <c r="R104" s="218"/>
      <c r="S104" s="218"/>
      <c r="T104" s="218"/>
    </row>
    <row r="105">
      <c r="A105" s="272"/>
      <c r="B105" s="272"/>
      <c r="C105" s="272"/>
      <c r="D105" s="273"/>
      <c r="E105" s="274"/>
      <c r="F105" s="273"/>
      <c r="G105" s="12"/>
      <c r="J105" s="12"/>
      <c r="L105" s="12"/>
      <c r="Q105" s="218"/>
      <c r="R105" s="218"/>
      <c r="S105" s="218"/>
      <c r="T105" s="218"/>
    </row>
    <row r="106">
      <c r="A106" s="272"/>
      <c r="B106" s="272"/>
      <c r="C106" s="272"/>
      <c r="D106" s="273"/>
      <c r="E106" s="274"/>
      <c r="F106" s="273"/>
      <c r="G106" s="12"/>
      <c r="J106" s="12"/>
      <c r="L106" s="12"/>
      <c r="Q106" s="218"/>
      <c r="R106" s="218"/>
      <c r="S106" s="218"/>
      <c r="T106" s="218"/>
    </row>
    <row r="107">
      <c r="A107" s="272"/>
      <c r="B107" s="272"/>
      <c r="C107" s="272"/>
      <c r="D107" s="273"/>
      <c r="E107" s="274"/>
      <c r="F107" s="273"/>
      <c r="G107" s="12"/>
      <c r="J107" s="12"/>
      <c r="L107" s="12"/>
      <c r="Q107" s="218"/>
      <c r="R107" s="218"/>
      <c r="S107" s="218"/>
      <c r="T107" s="218"/>
    </row>
    <row r="108">
      <c r="A108" s="272"/>
      <c r="B108" s="272"/>
      <c r="C108" s="272"/>
      <c r="D108" s="273"/>
      <c r="E108" s="274"/>
      <c r="F108" s="273"/>
      <c r="G108" s="12"/>
      <c r="J108" s="12"/>
      <c r="L108" s="12"/>
      <c r="Q108" s="218"/>
      <c r="R108" s="218"/>
      <c r="S108" s="218"/>
      <c r="T108" s="218"/>
    </row>
    <row r="109">
      <c r="A109" s="272"/>
      <c r="B109" s="272"/>
      <c r="C109" s="272"/>
      <c r="D109" s="273"/>
      <c r="E109" s="274"/>
      <c r="F109" s="273"/>
      <c r="G109" s="12"/>
      <c r="J109" s="12"/>
      <c r="L109" s="12"/>
      <c r="Q109" s="218"/>
      <c r="R109" s="218"/>
      <c r="S109" s="218"/>
      <c r="T109" s="218"/>
    </row>
    <row r="110">
      <c r="A110" s="272"/>
      <c r="B110" s="272"/>
      <c r="C110" s="272"/>
      <c r="D110" s="273"/>
      <c r="E110" s="274"/>
      <c r="F110" s="273"/>
      <c r="G110" s="12"/>
      <c r="J110" s="12"/>
      <c r="L110" s="12"/>
      <c r="Q110" s="218"/>
      <c r="R110" s="218"/>
      <c r="S110" s="218"/>
      <c r="T110" s="218"/>
    </row>
    <row r="111">
      <c r="A111" s="272"/>
      <c r="B111" s="272"/>
      <c r="C111" s="272"/>
      <c r="D111" s="273"/>
      <c r="E111" s="274"/>
      <c r="F111" s="273"/>
      <c r="G111" s="12"/>
      <c r="J111" s="12"/>
      <c r="L111" s="12"/>
      <c r="Q111" s="218"/>
      <c r="R111" s="218"/>
      <c r="S111" s="218"/>
      <c r="T111" s="218"/>
    </row>
    <row r="112">
      <c r="A112" s="272"/>
      <c r="B112" s="272"/>
      <c r="C112" s="272"/>
      <c r="D112" s="273"/>
      <c r="E112" s="274"/>
      <c r="F112" s="273"/>
      <c r="G112" s="12"/>
      <c r="J112" s="12"/>
      <c r="L112" s="12"/>
      <c r="Q112" s="218"/>
      <c r="R112" s="218"/>
      <c r="S112" s="218"/>
      <c r="T112" s="218"/>
    </row>
    <row r="113">
      <c r="A113" s="272"/>
      <c r="B113" s="272"/>
      <c r="C113" s="272"/>
      <c r="D113" s="273"/>
      <c r="E113" s="274"/>
      <c r="F113" s="273"/>
      <c r="G113" s="12"/>
      <c r="J113" s="12"/>
      <c r="L113" s="12"/>
      <c r="Q113" s="218"/>
      <c r="R113" s="218"/>
      <c r="S113" s="218"/>
      <c r="T113" s="218"/>
    </row>
    <row r="114">
      <c r="A114" s="272"/>
      <c r="B114" s="272"/>
      <c r="C114" s="272"/>
      <c r="D114" s="273"/>
      <c r="E114" s="274"/>
      <c r="F114" s="273"/>
      <c r="G114" s="12"/>
      <c r="J114" s="12"/>
      <c r="L114" s="12"/>
      <c r="Q114" s="218"/>
      <c r="R114" s="218"/>
      <c r="S114" s="218"/>
      <c r="T114" s="218"/>
    </row>
    <row r="115">
      <c r="A115" s="272"/>
      <c r="B115" s="272"/>
      <c r="C115" s="272"/>
      <c r="D115" s="273"/>
      <c r="E115" s="274"/>
      <c r="F115" s="273"/>
      <c r="G115" s="12"/>
      <c r="J115" s="12"/>
      <c r="L115" s="12"/>
      <c r="Q115" s="218"/>
      <c r="R115" s="218"/>
      <c r="S115" s="218"/>
      <c r="T115" s="218"/>
    </row>
    <row r="116">
      <c r="A116" s="272"/>
      <c r="B116" s="272"/>
      <c r="C116" s="272"/>
      <c r="D116" s="273"/>
      <c r="E116" s="274"/>
      <c r="F116" s="273"/>
      <c r="G116" s="12"/>
      <c r="J116" s="12"/>
      <c r="L116" s="12"/>
      <c r="Q116" s="218"/>
      <c r="R116" s="218"/>
      <c r="S116" s="218"/>
      <c r="T116" s="218"/>
    </row>
    <row r="117">
      <c r="A117" s="272"/>
      <c r="B117" s="272"/>
      <c r="C117" s="272"/>
      <c r="D117" s="273"/>
      <c r="E117" s="274"/>
      <c r="F117" s="273"/>
      <c r="G117" s="12"/>
      <c r="J117" s="12"/>
      <c r="L117" s="12"/>
      <c r="Q117" s="218"/>
      <c r="R117" s="218"/>
      <c r="S117" s="218"/>
      <c r="T117" s="218"/>
    </row>
    <row r="118">
      <c r="A118" s="272"/>
      <c r="B118" s="272"/>
      <c r="C118" s="272"/>
      <c r="D118" s="273"/>
      <c r="E118" s="274"/>
      <c r="F118" s="273"/>
      <c r="G118" s="12"/>
      <c r="J118" s="12"/>
      <c r="L118" s="12"/>
      <c r="Q118" s="218"/>
      <c r="R118" s="218"/>
      <c r="S118" s="218"/>
      <c r="T118" s="218"/>
    </row>
    <row r="119">
      <c r="A119" s="272"/>
      <c r="B119" s="272"/>
      <c r="C119" s="272"/>
      <c r="D119" s="273"/>
      <c r="E119" s="274"/>
      <c r="F119" s="273"/>
      <c r="G119" s="12"/>
      <c r="J119" s="12"/>
      <c r="L119" s="12"/>
      <c r="Q119" s="218"/>
      <c r="R119" s="218"/>
      <c r="S119" s="218"/>
      <c r="T119" s="218"/>
    </row>
    <row r="120">
      <c r="A120" s="272"/>
      <c r="B120" s="272"/>
      <c r="C120" s="272"/>
      <c r="D120" s="273"/>
      <c r="E120" s="274"/>
      <c r="F120" s="273"/>
      <c r="G120" s="12"/>
      <c r="J120" s="12"/>
      <c r="L120" s="12"/>
      <c r="Q120" s="218"/>
      <c r="R120" s="218"/>
      <c r="S120" s="218"/>
      <c r="T120" s="218"/>
    </row>
    <row r="121">
      <c r="A121" s="272"/>
      <c r="B121" s="272"/>
      <c r="C121" s="272"/>
      <c r="D121" s="273"/>
      <c r="E121" s="274"/>
      <c r="F121" s="273"/>
      <c r="G121" s="12"/>
      <c r="J121" s="12"/>
      <c r="L121" s="12"/>
      <c r="Q121" s="218"/>
      <c r="R121" s="218"/>
      <c r="S121" s="218"/>
      <c r="T121" s="218"/>
    </row>
    <row r="122">
      <c r="A122" s="272"/>
      <c r="B122" s="272"/>
      <c r="C122" s="272"/>
      <c r="D122" s="273"/>
      <c r="E122" s="274"/>
      <c r="F122" s="273"/>
      <c r="G122" s="12"/>
      <c r="J122" s="12"/>
      <c r="L122" s="12"/>
      <c r="Q122" s="218"/>
      <c r="R122" s="218"/>
      <c r="S122" s="218"/>
      <c r="T122" s="218"/>
    </row>
    <row r="123">
      <c r="A123" s="272"/>
      <c r="B123" s="272"/>
      <c r="C123" s="272"/>
      <c r="D123" s="273"/>
      <c r="E123" s="274"/>
      <c r="F123" s="273"/>
      <c r="G123" s="12"/>
      <c r="J123" s="12"/>
      <c r="L123" s="12"/>
      <c r="Q123" s="218"/>
      <c r="R123" s="218"/>
      <c r="S123" s="218"/>
      <c r="T123" s="218"/>
    </row>
    <row r="124">
      <c r="A124" s="272"/>
      <c r="B124" s="272"/>
      <c r="C124" s="272"/>
      <c r="D124" s="273"/>
      <c r="E124" s="274"/>
      <c r="F124" s="273"/>
      <c r="G124" s="12"/>
      <c r="J124" s="12"/>
      <c r="L124" s="12"/>
      <c r="Q124" s="218"/>
      <c r="R124" s="218"/>
      <c r="S124" s="218"/>
      <c r="T124" s="218"/>
    </row>
    <row r="125">
      <c r="A125" s="272"/>
      <c r="B125" s="272"/>
      <c r="C125" s="272"/>
      <c r="D125" s="273"/>
      <c r="E125" s="274"/>
      <c r="F125" s="273"/>
      <c r="G125" s="12"/>
      <c r="J125" s="12"/>
      <c r="L125" s="12"/>
      <c r="Q125" s="218"/>
      <c r="R125" s="218"/>
      <c r="S125" s="218"/>
      <c r="T125" s="218"/>
    </row>
    <row r="126">
      <c r="A126" s="272"/>
      <c r="B126" s="272"/>
      <c r="C126" s="272"/>
      <c r="D126" s="273"/>
      <c r="E126" s="274"/>
      <c r="F126" s="273"/>
      <c r="G126" s="12"/>
      <c r="J126" s="12"/>
      <c r="L126" s="12"/>
      <c r="Q126" s="218"/>
      <c r="R126" s="218"/>
      <c r="S126" s="218"/>
      <c r="T126" s="218"/>
    </row>
    <row r="127">
      <c r="A127" s="272"/>
      <c r="B127" s="272"/>
      <c r="C127" s="272"/>
      <c r="D127" s="273"/>
      <c r="E127" s="274"/>
      <c r="F127" s="273"/>
      <c r="G127" s="12"/>
      <c r="J127" s="12"/>
      <c r="L127" s="12"/>
      <c r="Q127" s="218"/>
      <c r="R127" s="218"/>
      <c r="S127" s="218"/>
      <c r="T127" s="218"/>
    </row>
    <row r="128">
      <c r="A128" s="272"/>
      <c r="B128" s="272"/>
      <c r="C128" s="272"/>
      <c r="D128" s="273"/>
      <c r="E128" s="274"/>
      <c r="F128" s="273"/>
      <c r="G128" s="12"/>
      <c r="J128" s="12"/>
      <c r="L128" s="12"/>
      <c r="Q128" s="218"/>
      <c r="R128" s="218"/>
      <c r="S128" s="218"/>
      <c r="T128" s="218"/>
    </row>
    <row r="129">
      <c r="A129" s="272"/>
      <c r="B129" s="272"/>
      <c r="C129" s="272"/>
      <c r="D129" s="273"/>
      <c r="E129" s="274"/>
      <c r="F129" s="273"/>
      <c r="G129" s="12"/>
      <c r="J129" s="12"/>
      <c r="L129" s="12"/>
      <c r="Q129" s="218"/>
      <c r="R129" s="218"/>
      <c r="S129" s="218"/>
      <c r="T129" s="218"/>
    </row>
    <row r="130">
      <c r="A130" s="272"/>
      <c r="B130" s="272"/>
      <c r="C130" s="272"/>
      <c r="D130" s="273"/>
      <c r="E130" s="274"/>
      <c r="F130" s="273"/>
      <c r="G130" s="12"/>
      <c r="J130" s="12"/>
      <c r="L130" s="12"/>
      <c r="Q130" s="218"/>
      <c r="R130" s="218"/>
      <c r="S130" s="218"/>
      <c r="T130" s="218"/>
    </row>
    <row r="131">
      <c r="A131" s="272"/>
      <c r="B131" s="272"/>
      <c r="C131" s="272"/>
      <c r="D131" s="273"/>
      <c r="E131" s="274"/>
      <c r="F131" s="273"/>
      <c r="G131" s="12"/>
      <c r="J131" s="12"/>
      <c r="L131" s="12"/>
      <c r="Q131" s="218"/>
      <c r="R131" s="218"/>
      <c r="S131" s="218"/>
      <c r="T131" s="218"/>
    </row>
    <row r="132">
      <c r="A132" s="272"/>
      <c r="B132" s="272"/>
      <c r="C132" s="272"/>
      <c r="D132" s="273"/>
      <c r="E132" s="274"/>
      <c r="F132" s="273"/>
      <c r="G132" s="12"/>
      <c r="J132" s="12"/>
      <c r="L132" s="12"/>
      <c r="Q132" s="218"/>
      <c r="R132" s="218"/>
      <c r="S132" s="218"/>
      <c r="T132" s="218"/>
    </row>
    <row r="133">
      <c r="A133" s="272"/>
      <c r="B133" s="272"/>
      <c r="C133" s="272"/>
      <c r="D133" s="273"/>
      <c r="E133" s="274"/>
      <c r="F133" s="273"/>
      <c r="G133" s="12"/>
      <c r="J133" s="12"/>
      <c r="L133" s="12"/>
      <c r="Q133" s="218"/>
      <c r="R133" s="218"/>
      <c r="S133" s="218"/>
      <c r="T133" s="218"/>
    </row>
    <row r="134">
      <c r="A134" s="272"/>
      <c r="B134" s="272"/>
      <c r="C134" s="272"/>
      <c r="D134" s="273"/>
      <c r="E134" s="274"/>
      <c r="F134" s="273"/>
      <c r="G134" s="12"/>
      <c r="J134" s="12"/>
      <c r="L134" s="12"/>
      <c r="Q134" s="218"/>
      <c r="R134" s="218"/>
      <c r="S134" s="218"/>
      <c r="T134" s="218"/>
    </row>
    <row r="135">
      <c r="A135" s="272"/>
      <c r="B135" s="272"/>
      <c r="C135" s="272"/>
      <c r="D135" s="273"/>
      <c r="E135" s="274"/>
      <c r="F135" s="273"/>
      <c r="G135" s="12"/>
      <c r="J135" s="12"/>
      <c r="L135" s="12"/>
      <c r="Q135" s="218"/>
      <c r="R135" s="218"/>
      <c r="S135" s="218"/>
      <c r="T135" s="218"/>
    </row>
    <row r="136">
      <c r="A136" s="272"/>
      <c r="B136" s="272"/>
      <c r="C136" s="272"/>
      <c r="D136" s="273"/>
      <c r="E136" s="274"/>
      <c r="F136" s="273"/>
      <c r="G136" s="12"/>
      <c r="J136" s="12"/>
      <c r="L136" s="12"/>
      <c r="Q136" s="218"/>
      <c r="R136" s="218"/>
      <c r="S136" s="218"/>
      <c r="T136" s="218"/>
    </row>
    <row r="137">
      <c r="A137" s="272"/>
      <c r="B137" s="272"/>
      <c r="C137" s="272"/>
      <c r="D137" s="273"/>
      <c r="E137" s="274"/>
      <c r="F137" s="273"/>
      <c r="G137" s="12"/>
      <c r="J137" s="12"/>
      <c r="L137" s="12"/>
      <c r="Q137" s="218"/>
      <c r="R137" s="218"/>
      <c r="S137" s="218"/>
      <c r="T137" s="218"/>
    </row>
    <row r="138">
      <c r="A138" s="272"/>
      <c r="B138" s="272"/>
      <c r="C138" s="272"/>
      <c r="D138" s="273"/>
      <c r="E138" s="274"/>
      <c r="F138" s="273"/>
      <c r="G138" s="12"/>
      <c r="J138" s="12"/>
      <c r="L138" s="12"/>
      <c r="Q138" s="218"/>
      <c r="R138" s="218"/>
      <c r="S138" s="218"/>
      <c r="T138" s="218"/>
    </row>
    <row r="139">
      <c r="A139" s="272"/>
      <c r="B139" s="272"/>
      <c r="C139" s="272"/>
      <c r="D139" s="273"/>
      <c r="E139" s="274"/>
      <c r="F139" s="273"/>
      <c r="G139" s="12"/>
      <c r="J139" s="12"/>
      <c r="L139" s="12"/>
      <c r="Q139" s="218"/>
      <c r="R139" s="218"/>
      <c r="S139" s="218"/>
      <c r="T139" s="218"/>
    </row>
    <row r="140">
      <c r="A140" s="272"/>
      <c r="B140" s="272"/>
      <c r="C140" s="272"/>
      <c r="D140" s="273"/>
      <c r="E140" s="274"/>
      <c r="F140" s="273"/>
      <c r="G140" s="12"/>
      <c r="J140" s="12"/>
      <c r="L140" s="12"/>
      <c r="Q140" s="218"/>
      <c r="R140" s="218"/>
      <c r="S140" s="218"/>
      <c r="T140" s="218"/>
    </row>
    <row r="141">
      <c r="A141" s="272"/>
      <c r="B141" s="272"/>
      <c r="C141" s="272"/>
      <c r="D141" s="273"/>
      <c r="E141" s="274"/>
      <c r="F141" s="273"/>
      <c r="G141" s="12"/>
      <c r="J141" s="12"/>
      <c r="L141" s="12"/>
      <c r="Q141" s="218"/>
      <c r="R141" s="218"/>
      <c r="S141" s="218"/>
      <c r="T141" s="218"/>
    </row>
    <row r="142">
      <c r="A142" s="272"/>
      <c r="B142" s="272"/>
      <c r="C142" s="272"/>
      <c r="D142" s="273"/>
      <c r="E142" s="274"/>
      <c r="F142" s="273"/>
      <c r="G142" s="12"/>
      <c r="J142" s="12"/>
      <c r="L142" s="12"/>
      <c r="Q142" s="218"/>
      <c r="R142" s="218"/>
      <c r="S142" s="218"/>
      <c r="T142" s="218"/>
    </row>
    <row r="143">
      <c r="A143" s="272"/>
      <c r="B143" s="272"/>
      <c r="C143" s="272"/>
      <c r="D143" s="273"/>
      <c r="E143" s="274"/>
      <c r="F143" s="273"/>
      <c r="G143" s="12"/>
      <c r="J143" s="12"/>
      <c r="L143" s="12"/>
      <c r="Q143" s="218"/>
      <c r="R143" s="218"/>
      <c r="S143" s="218"/>
      <c r="T143" s="218"/>
    </row>
    <row r="144">
      <c r="A144" s="272"/>
      <c r="B144" s="272"/>
      <c r="C144" s="272"/>
      <c r="D144" s="273"/>
      <c r="E144" s="274"/>
      <c r="F144" s="273"/>
      <c r="G144" s="12"/>
      <c r="J144" s="12"/>
      <c r="L144" s="12"/>
      <c r="Q144" s="218"/>
      <c r="R144" s="218"/>
      <c r="S144" s="218"/>
      <c r="T144" s="218"/>
    </row>
    <row r="145">
      <c r="A145" s="272"/>
      <c r="B145" s="272"/>
      <c r="C145" s="272"/>
      <c r="D145" s="273"/>
      <c r="E145" s="274"/>
      <c r="F145" s="273"/>
      <c r="G145" s="12"/>
      <c r="J145" s="12"/>
      <c r="L145" s="12"/>
      <c r="Q145" s="218"/>
      <c r="R145" s="218"/>
      <c r="S145" s="218"/>
      <c r="T145" s="218"/>
    </row>
    <row r="146">
      <c r="A146" s="272"/>
      <c r="B146" s="272"/>
      <c r="C146" s="272"/>
      <c r="D146" s="273"/>
      <c r="E146" s="274"/>
      <c r="F146" s="273"/>
      <c r="G146" s="12"/>
      <c r="J146" s="12"/>
      <c r="L146" s="12"/>
      <c r="Q146" s="218"/>
      <c r="R146" s="218"/>
      <c r="S146" s="218"/>
      <c r="T146" s="218"/>
    </row>
    <row r="147">
      <c r="A147" s="272"/>
      <c r="B147" s="272"/>
      <c r="C147" s="272"/>
      <c r="D147" s="273"/>
      <c r="E147" s="274"/>
      <c r="F147" s="273"/>
      <c r="G147" s="12"/>
      <c r="J147" s="12"/>
      <c r="L147" s="12"/>
      <c r="Q147" s="218"/>
      <c r="R147" s="218"/>
      <c r="S147" s="218"/>
      <c r="T147" s="218"/>
    </row>
    <row r="148">
      <c r="A148" s="272"/>
      <c r="B148" s="272"/>
      <c r="C148" s="272"/>
      <c r="D148" s="273"/>
      <c r="E148" s="274"/>
      <c r="F148" s="273"/>
      <c r="G148" s="12"/>
      <c r="J148" s="12"/>
      <c r="L148" s="12"/>
      <c r="Q148" s="218"/>
      <c r="R148" s="218"/>
      <c r="S148" s="218"/>
      <c r="T148" s="218"/>
    </row>
    <row r="149">
      <c r="A149" s="272"/>
      <c r="B149" s="272"/>
      <c r="C149" s="272"/>
      <c r="D149" s="273"/>
      <c r="E149" s="274"/>
      <c r="F149" s="273"/>
      <c r="G149" s="12"/>
      <c r="J149" s="12"/>
      <c r="L149" s="12"/>
      <c r="Q149" s="218"/>
      <c r="R149" s="218"/>
      <c r="S149" s="218"/>
      <c r="T149" s="218"/>
    </row>
    <row r="150">
      <c r="A150" s="272"/>
      <c r="B150" s="272"/>
      <c r="C150" s="272"/>
      <c r="D150" s="273"/>
      <c r="E150" s="274"/>
      <c r="F150" s="273"/>
      <c r="G150" s="12"/>
      <c r="J150" s="12"/>
      <c r="L150" s="12"/>
      <c r="Q150" s="218"/>
      <c r="R150" s="218"/>
      <c r="S150" s="218"/>
      <c r="T150" s="218"/>
    </row>
    <row r="151">
      <c r="A151" s="272"/>
      <c r="B151" s="272"/>
      <c r="C151" s="272"/>
      <c r="D151" s="273"/>
      <c r="E151" s="274"/>
      <c r="F151" s="273"/>
      <c r="G151" s="12"/>
      <c r="J151" s="12"/>
      <c r="L151" s="12"/>
      <c r="Q151" s="218"/>
      <c r="R151" s="218"/>
      <c r="S151" s="218"/>
      <c r="T151" s="218"/>
    </row>
    <row r="152">
      <c r="A152" s="272"/>
      <c r="B152" s="272"/>
      <c r="C152" s="272"/>
      <c r="D152" s="273"/>
      <c r="E152" s="274"/>
      <c r="F152" s="273"/>
      <c r="G152" s="12"/>
      <c r="J152" s="12"/>
      <c r="L152" s="12"/>
      <c r="Q152" s="218"/>
      <c r="R152" s="218"/>
      <c r="S152" s="218"/>
      <c r="T152" s="218"/>
    </row>
    <row r="153">
      <c r="A153" s="272"/>
      <c r="B153" s="272"/>
      <c r="C153" s="272"/>
      <c r="D153" s="273"/>
      <c r="E153" s="274"/>
      <c r="F153" s="273"/>
      <c r="G153" s="12"/>
      <c r="J153" s="12"/>
      <c r="L153" s="12"/>
      <c r="Q153" s="218"/>
      <c r="R153" s="218"/>
      <c r="S153" s="218"/>
      <c r="T153" s="218"/>
    </row>
    <row r="154">
      <c r="A154" s="272"/>
      <c r="B154" s="272"/>
      <c r="C154" s="272"/>
      <c r="D154" s="273"/>
      <c r="E154" s="274"/>
      <c r="F154" s="273"/>
      <c r="G154" s="12"/>
      <c r="J154" s="12"/>
      <c r="L154" s="12"/>
      <c r="Q154" s="218"/>
      <c r="R154" s="218"/>
      <c r="S154" s="218"/>
      <c r="T154" s="218"/>
    </row>
    <row r="155">
      <c r="A155" s="272"/>
      <c r="B155" s="272"/>
      <c r="C155" s="272"/>
      <c r="D155" s="273"/>
      <c r="E155" s="274"/>
      <c r="F155" s="273"/>
      <c r="G155" s="12"/>
      <c r="J155" s="12"/>
      <c r="L155" s="12"/>
      <c r="Q155" s="218"/>
      <c r="R155" s="218"/>
      <c r="S155" s="218"/>
      <c r="T155" s="218"/>
    </row>
    <row r="156">
      <c r="A156" s="272"/>
      <c r="B156" s="272"/>
      <c r="C156" s="272"/>
      <c r="D156" s="273"/>
      <c r="E156" s="274"/>
      <c r="F156" s="273"/>
      <c r="G156" s="12"/>
      <c r="J156" s="12"/>
      <c r="L156" s="12"/>
      <c r="Q156" s="218"/>
      <c r="R156" s="218"/>
      <c r="S156" s="218"/>
      <c r="T156" s="218"/>
    </row>
    <row r="157">
      <c r="A157" s="272"/>
      <c r="B157" s="272"/>
      <c r="C157" s="272"/>
      <c r="D157" s="273"/>
      <c r="E157" s="274"/>
      <c r="F157" s="273"/>
      <c r="G157" s="12"/>
      <c r="J157" s="12"/>
      <c r="L157" s="12"/>
      <c r="Q157" s="218"/>
      <c r="R157" s="218"/>
      <c r="S157" s="218"/>
      <c r="T157" s="218"/>
    </row>
    <row r="158">
      <c r="A158" s="272"/>
      <c r="B158" s="272"/>
      <c r="C158" s="272"/>
      <c r="D158" s="273"/>
      <c r="E158" s="274"/>
      <c r="F158" s="273"/>
      <c r="G158" s="12"/>
      <c r="J158" s="12"/>
      <c r="L158" s="12"/>
      <c r="Q158" s="218"/>
      <c r="R158" s="218"/>
      <c r="S158" s="218"/>
      <c r="T158" s="218"/>
    </row>
    <row r="159">
      <c r="A159" s="272"/>
      <c r="B159" s="272"/>
      <c r="C159" s="272"/>
      <c r="D159" s="273"/>
      <c r="E159" s="274"/>
      <c r="F159" s="273"/>
      <c r="G159" s="12"/>
      <c r="J159" s="12"/>
      <c r="L159" s="12"/>
      <c r="Q159" s="218"/>
      <c r="R159" s="218"/>
      <c r="S159" s="218"/>
      <c r="T159" s="218"/>
    </row>
    <row r="160">
      <c r="A160" s="272"/>
      <c r="B160" s="272"/>
      <c r="C160" s="272"/>
      <c r="D160" s="273"/>
      <c r="E160" s="274"/>
      <c r="F160" s="273"/>
      <c r="G160" s="12"/>
      <c r="J160" s="12"/>
      <c r="L160" s="12"/>
      <c r="Q160" s="218"/>
      <c r="R160" s="218"/>
      <c r="S160" s="218"/>
      <c r="T160" s="218"/>
    </row>
    <row r="161">
      <c r="A161" s="272"/>
      <c r="B161" s="272"/>
      <c r="C161" s="272"/>
      <c r="D161" s="273"/>
      <c r="E161" s="274"/>
      <c r="F161" s="273"/>
      <c r="G161" s="12"/>
      <c r="J161" s="12"/>
      <c r="L161" s="12"/>
      <c r="Q161" s="218"/>
      <c r="R161" s="218"/>
      <c r="S161" s="218"/>
      <c r="T161" s="218"/>
    </row>
    <row r="162">
      <c r="A162" s="272"/>
      <c r="B162" s="272"/>
      <c r="C162" s="272"/>
      <c r="D162" s="273"/>
      <c r="E162" s="274"/>
      <c r="F162" s="273"/>
      <c r="G162" s="12"/>
      <c r="J162" s="12"/>
      <c r="L162" s="12"/>
      <c r="Q162" s="218"/>
      <c r="R162" s="218"/>
      <c r="S162" s="218"/>
      <c r="T162" s="218"/>
    </row>
    <row r="163">
      <c r="A163" s="272"/>
      <c r="B163" s="272"/>
      <c r="C163" s="272"/>
      <c r="D163" s="273"/>
      <c r="E163" s="274"/>
      <c r="F163" s="273"/>
      <c r="G163" s="12"/>
      <c r="J163" s="12"/>
      <c r="L163" s="12"/>
      <c r="Q163" s="218"/>
      <c r="R163" s="218"/>
      <c r="S163" s="218"/>
      <c r="T163" s="218"/>
    </row>
    <row r="164">
      <c r="A164" s="272"/>
      <c r="B164" s="272"/>
      <c r="C164" s="272"/>
      <c r="D164" s="273"/>
      <c r="E164" s="274"/>
      <c r="F164" s="273"/>
      <c r="G164" s="12"/>
      <c r="J164" s="12"/>
      <c r="L164" s="12"/>
      <c r="Q164" s="218"/>
      <c r="R164" s="218"/>
      <c r="S164" s="218"/>
      <c r="T164" s="218"/>
    </row>
    <row r="165">
      <c r="A165" s="272"/>
      <c r="B165" s="272"/>
      <c r="C165" s="272"/>
      <c r="D165" s="273"/>
      <c r="E165" s="274"/>
      <c r="F165" s="273"/>
      <c r="G165" s="12"/>
      <c r="J165" s="12"/>
      <c r="L165" s="12"/>
      <c r="Q165" s="218"/>
      <c r="R165" s="218"/>
      <c r="S165" s="218"/>
      <c r="T165" s="218"/>
    </row>
    <row r="166">
      <c r="A166" s="272"/>
      <c r="B166" s="272"/>
      <c r="C166" s="272"/>
      <c r="D166" s="273"/>
      <c r="E166" s="274"/>
      <c r="F166" s="273"/>
      <c r="G166" s="12"/>
      <c r="J166" s="12"/>
      <c r="L166" s="12"/>
      <c r="Q166" s="218"/>
      <c r="R166" s="218"/>
      <c r="S166" s="218"/>
      <c r="T166" s="218"/>
    </row>
    <row r="167">
      <c r="A167" s="272"/>
      <c r="B167" s="272"/>
      <c r="C167" s="272"/>
      <c r="D167" s="273"/>
      <c r="E167" s="274"/>
      <c r="F167" s="273"/>
      <c r="G167" s="12"/>
      <c r="J167" s="12"/>
      <c r="L167" s="12"/>
      <c r="Q167" s="218"/>
      <c r="R167" s="218"/>
      <c r="S167" s="218"/>
      <c r="T167" s="218"/>
    </row>
    <row r="168">
      <c r="A168" s="272"/>
      <c r="B168" s="272"/>
      <c r="C168" s="272"/>
      <c r="D168" s="273"/>
      <c r="E168" s="274"/>
      <c r="F168" s="273"/>
      <c r="G168" s="12"/>
      <c r="J168" s="12"/>
      <c r="L168" s="12"/>
      <c r="Q168" s="218"/>
      <c r="R168" s="218"/>
      <c r="S168" s="218"/>
      <c r="T168" s="218"/>
    </row>
    <row r="169">
      <c r="A169" s="272"/>
      <c r="B169" s="272"/>
      <c r="C169" s="272"/>
      <c r="D169" s="273"/>
      <c r="E169" s="274"/>
      <c r="F169" s="273"/>
      <c r="G169" s="12"/>
      <c r="J169" s="12"/>
      <c r="L169" s="12"/>
      <c r="Q169" s="218"/>
      <c r="R169" s="218"/>
      <c r="S169" s="218"/>
      <c r="T169" s="218"/>
    </row>
    <row r="170">
      <c r="A170" s="272"/>
      <c r="B170" s="272"/>
      <c r="C170" s="272"/>
      <c r="D170" s="273"/>
      <c r="E170" s="274"/>
      <c r="F170" s="273"/>
      <c r="G170" s="12"/>
      <c r="J170" s="12"/>
      <c r="L170" s="12"/>
      <c r="Q170" s="218"/>
      <c r="R170" s="218"/>
      <c r="S170" s="218"/>
      <c r="T170" s="218"/>
    </row>
    <row r="171">
      <c r="A171" s="272"/>
      <c r="B171" s="272"/>
      <c r="C171" s="272"/>
      <c r="D171" s="273"/>
      <c r="E171" s="274"/>
      <c r="F171" s="273"/>
      <c r="G171" s="12"/>
      <c r="J171" s="12"/>
      <c r="L171" s="12"/>
      <c r="Q171" s="218"/>
      <c r="R171" s="218"/>
      <c r="S171" s="218"/>
      <c r="T171" s="218"/>
    </row>
    <row r="172">
      <c r="A172" s="272"/>
      <c r="B172" s="272"/>
      <c r="C172" s="272"/>
      <c r="D172" s="273"/>
      <c r="E172" s="274"/>
      <c r="F172" s="273"/>
      <c r="G172" s="12"/>
      <c r="J172" s="12"/>
      <c r="L172" s="12"/>
      <c r="Q172" s="218"/>
      <c r="R172" s="218"/>
      <c r="S172" s="218"/>
      <c r="T172" s="218"/>
    </row>
    <row r="173">
      <c r="A173" s="272"/>
      <c r="B173" s="272"/>
      <c r="C173" s="272"/>
      <c r="D173" s="273"/>
      <c r="E173" s="274"/>
      <c r="F173" s="273"/>
      <c r="G173" s="12"/>
      <c r="J173" s="12"/>
      <c r="L173" s="12"/>
      <c r="Q173" s="218"/>
      <c r="R173" s="218"/>
      <c r="S173" s="218"/>
      <c r="T173" s="218"/>
    </row>
    <row r="174">
      <c r="A174" s="272"/>
      <c r="B174" s="272"/>
      <c r="C174" s="272"/>
      <c r="D174" s="273"/>
      <c r="E174" s="274"/>
      <c r="F174" s="273"/>
      <c r="G174" s="12"/>
      <c r="J174" s="12"/>
      <c r="L174" s="12"/>
      <c r="Q174" s="218"/>
      <c r="R174" s="218"/>
      <c r="S174" s="218"/>
      <c r="T174" s="218"/>
    </row>
    <row r="175">
      <c r="A175" s="272"/>
      <c r="B175" s="272"/>
      <c r="C175" s="272"/>
      <c r="D175" s="273"/>
      <c r="E175" s="274"/>
      <c r="F175" s="273"/>
      <c r="G175" s="12"/>
      <c r="J175" s="12"/>
      <c r="L175" s="12"/>
      <c r="Q175" s="218"/>
      <c r="R175" s="218"/>
      <c r="S175" s="218"/>
      <c r="T175" s="218"/>
    </row>
    <row r="176">
      <c r="A176" s="272"/>
      <c r="B176" s="272"/>
      <c r="C176" s="272"/>
      <c r="D176" s="273"/>
      <c r="E176" s="274"/>
      <c r="F176" s="273"/>
      <c r="G176" s="12"/>
      <c r="J176" s="12"/>
      <c r="L176" s="12"/>
      <c r="Q176" s="218"/>
      <c r="R176" s="218"/>
      <c r="S176" s="218"/>
      <c r="T176" s="218"/>
    </row>
    <row r="177">
      <c r="A177" s="272"/>
      <c r="B177" s="272"/>
      <c r="C177" s="272"/>
      <c r="D177" s="273"/>
      <c r="E177" s="274"/>
      <c r="F177" s="273"/>
      <c r="G177" s="12"/>
      <c r="J177" s="12"/>
      <c r="L177" s="12"/>
      <c r="Q177" s="218"/>
      <c r="R177" s="218"/>
      <c r="S177" s="218"/>
      <c r="T177" s="218"/>
    </row>
    <row r="178">
      <c r="A178" s="272"/>
      <c r="B178" s="272"/>
      <c r="C178" s="272"/>
      <c r="D178" s="273"/>
      <c r="E178" s="274"/>
      <c r="F178" s="273"/>
      <c r="G178" s="12"/>
      <c r="J178" s="12"/>
      <c r="L178" s="12"/>
      <c r="Q178" s="218"/>
      <c r="R178" s="218"/>
      <c r="S178" s="218"/>
      <c r="T178" s="218"/>
    </row>
    <row r="179">
      <c r="A179" s="272"/>
      <c r="B179" s="272"/>
      <c r="C179" s="272"/>
      <c r="D179" s="273"/>
      <c r="E179" s="274"/>
      <c r="F179" s="273"/>
      <c r="G179" s="12"/>
      <c r="J179" s="12"/>
      <c r="L179" s="12"/>
      <c r="Q179" s="218"/>
      <c r="R179" s="218"/>
      <c r="S179" s="218"/>
      <c r="T179" s="218"/>
    </row>
    <row r="180">
      <c r="A180" s="272"/>
      <c r="B180" s="272"/>
      <c r="C180" s="272"/>
      <c r="D180" s="273"/>
      <c r="E180" s="274"/>
      <c r="F180" s="273"/>
      <c r="G180" s="12"/>
      <c r="J180" s="12"/>
      <c r="L180" s="12"/>
      <c r="Q180" s="218"/>
      <c r="R180" s="218"/>
      <c r="S180" s="218"/>
      <c r="T180" s="218"/>
    </row>
    <row r="181">
      <c r="A181" s="272"/>
      <c r="B181" s="272"/>
      <c r="C181" s="272"/>
      <c r="D181" s="273"/>
      <c r="E181" s="274"/>
      <c r="F181" s="273"/>
      <c r="G181" s="12"/>
      <c r="J181" s="12"/>
      <c r="L181" s="12"/>
      <c r="Q181" s="218"/>
      <c r="R181" s="218"/>
      <c r="S181" s="218"/>
      <c r="T181" s="218"/>
    </row>
    <row r="182">
      <c r="A182" s="272"/>
      <c r="B182" s="272"/>
      <c r="C182" s="272"/>
      <c r="D182" s="273"/>
      <c r="E182" s="274"/>
      <c r="F182" s="273"/>
      <c r="G182" s="12"/>
      <c r="J182" s="12"/>
      <c r="L182" s="12"/>
      <c r="Q182" s="218"/>
      <c r="R182" s="218"/>
      <c r="S182" s="218"/>
      <c r="T182" s="218"/>
    </row>
    <row r="183">
      <c r="A183" s="272"/>
      <c r="B183" s="272"/>
      <c r="C183" s="272"/>
      <c r="D183" s="273"/>
      <c r="E183" s="274"/>
      <c r="F183" s="273"/>
      <c r="G183" s="12"/>
      <c r="J183" s="12"/>
      <c r="L183" s="12"/>
      <c r="Q183" s="218"/>
      <c r="R183" s="218"/>
      <c r="S183" s="218"/>
      <c r="T183" s="218"/>
    </row>
    <row r="184">
      <c r="A184" s="272"/>
      <c r="B184" s="272"/>
      <c r="C184" s="272"/>
      <c r="D184" s="273"/>
      <c r="E184" s="274"/>
      <c r="F184" s="273"/>
      <c r="G184" s="12"/>
      <c r="J184" s="12"/>
      <c r="L184" s="12"/>
      <c r="Q184" s="218"/>
      <c r="R184" s="218"/>
      <c r="S184" s="218"/>
      <c r="T184" s="218"/>
    </row>
    <row r="185">
      <c r="A185" s="272"/>
      <c r="B185" s="272"/>
      <c r="C185" s="272"/>
      <c r="D185" s="273"/>
      <c r="E185" s="274"/>
      <c r="F185" s="273"/>
      <c r="G185" s="12"/>
      <c r="J185" s="12"/>
      <c r="L185" s="12"/>
      <c r="Q185" s="218"/>
      <c r="R185" s="218"/>
      <c r="S185" s="218"/>
      <c r="T185" s="218"/>
    </row>
    <row r="186">
      <c r="A186" s="272"/>
      <c r="B186" s="272"/>
      <c r="C186" s="272"/>
      <c r="D186" s="273"/>
      <c r="E186" s="274"/>
      <c r="F186" s="273"/>
      <c r="G186" s="12"/>
      <c r="J186" s="12"/>
      <c r="L186" s="12"/>
      <c r="Q186" s="218"/>
      <c r="R186" s="218"/>
      <c r="S186" s="218"/>
      <c r="T186" s="218"/>
    </row>
    <row r="187">
      <c r="A187" s="272"/>
      <c r="B187" s="272"/>
      <c r="C187" s="272"/>
      <c r="D187" s="273"/>
      <c r="E187" s="274"/>
      <c r="F187" s="273"/>
      <c r="G187" s="12"/>
      <c r="J187" s="12"/>
      <c r="L187" s="12"/>
      <c r="Q187" s="218"/>
      <c r="R187" s="218"/>
      <c r="S187" s="218"/>
      <c r="T187" s="218"/>
    </row>
    <row r="188">
      <c r="A188" s="272"/>
      <c r="B188" s="272"/>
      <c r="C188" s="272"/>
      <c r="D188" s="273"/>
      <c r="E188" s="274"/>
      <c r="F188" s="273"/>
      <c r="G188" s="12"/>
      <c r="J188" s="12"/>
      <c r="L188" s="12"/>
      <c r="Q188" s="218"/>
      <c r="R188" s="218"/>
      <c r="S188" s="218"/>
      <c r="T188" s="218"/>
    </row>
    <row r="189">
      <c r="A189" s="272"/>
      <c r="B189" s="272"/>
      <c r="C189" s="272"/>
      <c r="D189" s="273"/>
      <c r="E189" s="274"/>
      <c r="F189" s="273"/>
      <c r="G189" s="12"/>
      <c r="J189" s="12"/>
      <c r="L189" s="12"/>
      <c r="Q189" s="218"/>
      <c r="R189" s="218"/>
      <c r="S189" s="218"/>
      <c r="T189" s="218"/>
    </row>
    <row r="190">
      <c r="A190" s="272"/>
      <c r="B190" s="272"/>
      <c r="C190" s="272"/>
      <c r="D190" s="273"/>
      <c r="E190" s="274"/>
      <c r="F190" s="273"/>
      <c r="G190" s="12"/>
      <c r="J190" s="12"/>
      <c r="L190" s="12"/>
      <c r="Q190" s="218"/>
      <c r="R190" s="218"/>
      <c r="S190" s="218"/>
      <c r="T190" s="218"/>
    </row>
    <row r="191">
      <c r="A191" s="272"/>
      <c r="B191" s="272"/>
      <c r="C191" s="272"/>
      <c r="D191" s="273"/>
      <c r="E191" s="274"/>
      <c r="F191" s="273"/>
      <c r="G191" s="12"/>
      <c r="J191" s="12"/>
      <c r="L191" s="12"/>
      <c r="Q191" s="218"/>
      <c r="R191" s="218"/>
      <c r="S191" s="218"/>
      <c r="T191" s="218"/>
    </row>
    <row r="192">
      <c r="A192" s="272"/>
      <c r="B192" s="272"/>
      <c r="C192" s="272"/>
      <c r="D192" s="273"/>
      <c r="E192" s="274"/>
      <c r="F192" s="273"/>
      <c r="G192" s="12"/>
      <c r="J192" s="12"/>
      <c r="L192" s="12"/>
      <c r="Q192" s="218"/>
      <c r="R192" s="218"/>
      <c r="S192" s="218"/>
      <c r="T192" s="218"/>
    </row>
    <row r="193">
      <c r="A193" s="272"/>
      <c r="B193" s="272"/>
      <c r="C193" s="272"/>
      <c r="D193" s="273"/>
      <c r="E193" s="274"/>
      <c r="F193" s="273"/>
      <c r="G193" s="12"/>
      <c r="J193" s="12"/>
      <c r="L193" s="12"/>
      <c r="Q193" s="218"/>
      <c r="R193" s="218"/>
      <c r="S193" s="218"/>
      <c r="T193" s="218"/>
    </row>
    <row r="194">
      <c r="A194" s="272"/>
      <c r="B194" s="272"/>
      <c r="C194" s="272"/>
      <c r="D194" s="273"/>
      <c r="E194" s="274"/>
      <c r="F194" s="273"/>
      <c r="G194" s="12"/>
      <c r="J194" s="12"/>
      <c r="L194" s="12"/>
      <c r="Q194" s="218"/>
      <c r="R194" s="218"/>
      <c r="S194" s="218"/>
      <c r="T194" s="218"/>
    </row>
    <row r="195">
      <c r="A195" s="272"/>
      <c r="B195" s="272"/>
      <c r="C195" s="272"/>
      <c r="D195" s="273"/>
      <c r="E195" s="274"/>
      <c r="F195" s="273"/>
      <c r="G195" s="12"/>
      <c r="J195" s="12"/>
      <c r="L195" s="12"/>
      <c r="Q195" s="218"/>
      <c r="R195" s="218"/>
      <c r="S195" s="218"/>
      <c r="T195" s="218"/>
    </row>
    <row r="196">
      <c r="A196" s="272"/>
      <c r="B196" s="272"/>
      <c r="C196" s="272"/>
      <c r="D196" s="273"/>
      <c r="E196" s="274"/>
      <c r="F196" s="273"/>
      <c r="G196" s="12"/>
      <c r="J196" s="12"/>
      <c r="L196" s="12"/>
      <c r="Q196" s="218"/>
      <c r="R196" s="218"/>
      <c r="S196" s="218"/>
      <c r="T196" s="218"/>
    </row>
    <row r="197">
      <c r="A197" s="272"/>
      <c r="B197" s="272"/>
      <c r="C197" s="272"/>
      <c r="D197" s="273"/>
      <c r="E197" s="274"/>
      <c r="F197" s="273"/>
      <c r="G197" s="12"/>
      <c r="J197" s="12"/>
      <c r="L197" s="12"/>
      <c r="Q197" s="218"/>
      <c r="R197" s="218"/>
      <c r="S197" s="218"/>
      <c r="T197" s="218"/>
    </row>
    <row r="198">
      <c r="A198" s="272"/>
      <c r="B198" s="272"/>
      <c r="C198" s="272"/>
      <c r="D198" s="273"/>
      <c r="E198" s="274"/>
      <c r="F198" s="273"/>
      <c r="G198" s="12"/>
      <c r="J198" s="12"/>
      <c r="L198" s="12"/>
      <c r="Q198" s="218"/>
      <c r="R198" s="218"/>
      <c r="S198" s="218"/>
      <c r="T198" s="218"/>
    </row>
    <row r="199">
      <c r="A199" s="272"/>
      <c r="B199" s="272"/>
      <c r="C199" s="272"/>
      <c r="D199" s="273"/>
      <c r="E199" s="274"/>
      <c r="F199" s="273"/>
      <c r="G199" s="12"/>
      <c r="J199" s="12"/>
      <c r="L199" s="12"/>
      <c r="Q199" s="218"/>
      <c r="R199" s="218"/>
      <c r="S199" s="218"/>
      <c r="T199" s="218"/>
    </row>
    <row r="200">
      <c r="A200" s="272"/>
      <c r="B200" s="272"/>
      <c r="C200" s="272"/>
      <c r="D200" s="273"/>
      <c r="E200" s="274"/>
      <c r="F200" s="273"/>
      <c r="G200" s="12"/>
      <c r="J200" s="12"/>
      <c r="L200" s="12"/>
      <c r="Q200" s="218"/>
      <c r="R200" s="218"/>
      <c r="S200" s="218"/>
      <c r="T200" s="218"/>
    </row>
    <row r="201">
      <c r="A201" s="272"/>
      <c r="B201" s="272"/>
      <c r="C201" s="272"/>
      <c r="D201" s="273"/>
      <c r="E201" s="274"/>
      <c r="F201" s="273"/>
      <c r="G201" s="12"/>
      <c r="J201" s="12"/>
      <c r="L201" s="12"/>
      <c r="Q201" s="218"/>
      <c r="R201" s="218"/>
      <c r="S201" s="218"/>
      <c r="T201" s="218"/>
    </row>
    <row r="202">
      <c r="A202" s="272"/>
      <c r="B202" s="272"/>
      <c r="C202" s="272"/>
      <c r="D202" s="273"/>
      <c r="E202" s="274"/>
      <c r="F202" s="273"/>
      <c r="G202" s="12"/>
      <c r="J202" s="12"/>
      <c r="L202" s="12"/>
      <c r="Q202" s="218"/>
      <c r="R202" s="218"/>
      <c r="S202" s="218"/>
      <c r="T202" s="218"/>
    </row>
    <row r="203">
      <c r="A203" s="272"/>
      <c r="B203" s="272"/>
      <c r="C203" s="272"/>
      <c r="D203" s="273"/>
      <c r="E203" s="274"/>
      <c r="F203" s="273"/>
      <c r="G203" s="12"/>
      <c r="J203" s="12"/>
      <c r="L203" s="12"/>
      <c r="Q203" s="218"/>
      <c r="R203" s="218"/>
      <c r="S203" s="218"/>
      <c r="T203" s="218"/>
    </row>
    <row r="204">
      <c r="A204" s="272"/>
      <c r="B204" s="272"/>
      <c r="C204" s="272"/>
      <c r="D204" s="273"/>
      <c r="E204" s="274"/>
      <c r="F204" s="273"/>
      <c r="G204" s="12"/>
      <c r="J204" s="12"/>
      <c r="L204" s="12"/>
      <c r="Q204" s="218"/>
      <c r="R204" s="218"/>
      <c r="S204" s="218"/>
      <c r="T204" s="218"/>
    </row>
    <row r="205">
      <c r="A205" s="272"/>
      <c r="B205" s="272"/>
      <c r="C205" s="272"/>
      <c r="D205" s="273"/>
      <c r="E205" s="274"/>
      <c r="F205" s="273"/>
      <c r="G205" s="12"/>
      <c r="J205" s="12"/>
      <c r="L205" s="12"/>
      <c r="Q205" s="218"/>
      <c r="R205" s="218"/>
      <c r="S205" s="218"/>
      <c r="T205" s="218"/>
    </row>
    <row r="206">
      <c r="A206" s="272"/>
      <c r="B206" s="272"/>
      <c r="C206" s="272"/>
      <c r="D206" s="273"/>
      <c r="E206" s="274"/>
      <c r="F206" s="273"/>
      <c r="G206" s="12"/>
      <c r="J206" s="12"/>
      <c r="L206" s="12"/>
      <c r="Q206" s="218"/>
      <c r="R206" s="218"/>
      <c r="S206" s="218"/>
      <c r="T206" s="218"/>
    </row>
    <row r="207">
      <c r="A207" s="272"/>
      <c r="B207" s="272"/>
      <c r="C207" s="272"/>
      <c r="D207" s="273"/>
      <c r="E207" s="274"/>
      <c r="F207" s="273"/>
      <c r="G207" s="12"/>
      <c r="J207" s="12"/>
      <c r="L207" s="12"/>
      <c r="Q207" s="218"/>
      <c r="R207" s="218"/>
      <c r="S207" s="218"/>
      <c r="T207" s="218"/>
    </row>
    <row r="208">
      <c r="A208" s="272"/>
      <c r="B208" s="272"/>
      <c r="C208" s="272"/>
      <c r="D208" s="273"/>
      <c r="E208" s="274"/>
      <c r="F208" s="273"/>
      <c r="G208" s="12"/>
      <c r="J208" s="12"/>
      <c r="L208" s="12"/>
      <c r="Q208" s="218"/>
      <c r="R208" s="218"/>
      <c r="S208" s="218"/>
      <c r="T208" s="218"/>
    </row>
    <row r="209">
      <c r="A209" s="272"/>
      <c r="B209" s="272"/>
      <c r="C209" s="272"/>
      <c r="D209" s="273"/>
      <c r="E209" s="274"/>
      <c r="F209" s="273"/>
      <c r="G209" s="12"/>
      <c r="J209" s="12"/>
      <c r="L209" s="12"/>
      <c r="Q209" s="218"/>
      <c r="R209" s="218"/>
      <c r="S209" s="218"/>
      <c r="T209" s="218"/>
    </row>
    <row r="210">
      <c r="A210" s="272"/>
      <c r="B210" s="272"/>
      <c r="C210" s="272"/>
      <c r="D210" s="273"/>
      <c r="E210" s="274"/>
      <c r="F210" s="273"/>
      <c r="G210" s="12"/>
      <c r="J210" s="12"/>
      <c r="L210" s="12"/>
      <c r="Q210" s="218"/>
      <c r="R210" s="218"/>
      <c r="S210" s="218"/>
      <c r="T210" s="218"/>
    </row>
    <row r="211">
      <c r="A211" s="272"/>
      <c r="B211" s="272"/>
      <c r="C211" s="272"/>
      <c r="D211" s="273"/>
      <c r="E211" s="274"/>
      <c r="F211" s="273"/>
      <c r="G211" s="12"/>
      <c r="J211" s="12"/>
      <c r="L211" s="12"/>
      <c r="Q211" s="218"/>
      <c r="R211" s="218"/>
      <c r="S211" s="218"/>
      <c r="T211" s="218"/>
    </row>
    <row r="212">
      <c r="A212" s="272"/>
      <c r="B212" s="272"/>
      <c r="C212" s="272"/>
      <c r="D212" s="273"/>
      <c r="E212" s="274"/>
      <c r="F212" s="273"/>
      <c r="G212" s="12"/>
      <c r="J212" s="12"/>
      <c r="L212" s="12"/>
      <c r="Q212" s="218"/>
      <c r="R212" s="218"/>
      <c r="S212" s="218"/>
      <c r="T212" s="218"/>
    </row>
    <row r="213">
      <c r="A213" s="272"/>
      <c r="B213" s="272"/>
      <c r="C213" s="272"/>
      <c r="D213" s="273"/>
      <c r="E213" s="274"/>
      <c r="F213" s="273"/>
      <c r="G213" s="12"/>
      <c r="J213" s="12"/>
      <c r="L213" s="12"/>
      <c r="Q213" s="218"/>
      <c r="R213" s="218"/>
      <c r="S213" s="218"/>
      <c r="T213" s="218"/>
    </row>
    <row r="214">
      <c r="A214" s="272"/>
      <c r="B214" s="272"/>
      <c r="C214" s="272"/>
      <c r="D214" s="273"/>
      <c r="E214" s="274"/>
      <c r="F214" s="273"/>
      <c r="G214" s="12"/>
      <c r="J214" s="12"/>
      <c r="L214" s="12"/>
      <c r="Q214" s="218"/>
      <c r="R214" s="218"/>
      <c r="S214" s="218"/>
      <c r="T214" s="218"/>
    </row>
    <row r="215">
      <c r="A215" s="272"/>
      <c r="B215" s="272"/>
      <c r="C215" s="272"/>
      <c r="D215" s="273"/>
      <c r="E215" s="274"/>
      <c r="F215" s="273"/>
      <c r="G215" s="12"/>
      <c r="J215" s="12"/>
      <c r="L215" s="12"/>
      <c r="Q215" s="218"/>
      <c r="R215" s="218"/>
      <c r="S215" s="218"/>
      <c r="T215" s="218"/>
    </row>
    <row r="216">
      <c r="A216" s="272"/>
      <c r="B216" s="272"/>
      <c r="C216" s="272"/>
      <c r="D216" s="273"/>
      <c r="E216" s="274"/>
      <c r="F216" s="273"/>
      <c r="G216" s="12"/>
      <c r="J216" s="12"/>
      <c r="L216" s="12"/>
      <c r="Q216" s="218"/>
      <c r="R216" s="218"/>
      <c r="S216" s="218"/>
      <c r="T216" s="218"/>
    </row>
    <row r="217">
      <c r="A217" s="272"/>
      <c r="B217" s="272"/>
      <c r="C217" s="272"/>
      <c r="D217" s="273"/>
      <c r="E217" s="274"/>
      <c r="F217" s="273"/>
      <c r="G217" s="12"/>
      <c r="J217" s="12"/>
      <c r="L217" s="12"/>
      <c r="Q217" s="218"/>
      <c r="R217" s="218"/>
      <c r="S217" s="218"/>
      <c r="T217" s="218"/>
    </row>
    <row r="218">
      <c r="A218" s="272"/>
      <c r="B218" s="272"/>
      <c r="C218" s="272"/>
      <c r="D218" s="273"/>
      <c r="E218" s="274"/>
      <c r="F218" s="273"/>
      <c r="G218" s="12"/>
      <c r="J218" s="12"/>
      <c r="L218" s="12"/>
      <c r="Q218" s="218"/>
      <c r="R218" s="218"/>
      <c r="S218" s="218"/>
      <c r="T218" s="218"/>
    </row>
    <row r="219">
      <c r="A219" s="272"/>
      <c r="B219" s="272"/>
      <c r="C219" s="272"/>
      <c r="D219" s="273"/>
      <c r="E219" s="274"/>
      <c r="F219" s="273"/>
      <c r="G219" s="12"/>
      <c r="J219" s="12"/>
      <c r="L219" s="12"/>
      <c r="Q219" s="218"/>
      <c r="R219" s="218"/>
      <c r="S219" s="218"/>
      <c r="T219" s="218"/>
    </row>
    <row r="220">
      <c r="A220" s="272"/>
      <c r="B220" s="272"/>
      <c r="C220" s="272"/>
      <c r="D220" s="273"/>
      <c r="E220" s="274"/>
      <c r="F220" s="273"/>
      <c r="G220" s="12"/>
      <c r="J220" s="12"/>
      <c r="L220" s="12"/>
      <c r="Q220" s="218"/>
      <c r="R220" s="218"/>
      <c r="S220" s="218"/>
      <c r="T220" s="218"/>
    </row>
    <row r="221">
      <c r="A221" s="272"/>
      <c r="B221" s="272"/>
      <c r="C221" s="272"/>
      <c r="D221" s="273"/>
      <c r="E221" s="274"/>
      <c r="F221" s="273"/>
      <c r="G221" s="12"/>
      <c r="J221" s="12"/>
      <c r="L221" s="12"/>
      <c r="Q221" s="218"/>
      <c r="R221" s="218"/>
      <c r="S221" s="218"/>
      <c r="T221" s="218"/>
    </row>
    <row r="222">
      <c r="A222" s="272"/>
      <c r="B222" s="272"/>
      <c r="C222" s="272"/>
      <c r="D222" s="273"/>
      <c r="E222" s="274"/>
      <c r="F222" s="273"/>
      <c r="G222" s="12"/>
      <c r="J222" s="12"/>
      <c r="L222" s="12"/>
      <c r="Q222" s="218"/>
      <c r="R222" s="218"/>
      <c r="S222" s="218"/>
      <c r="T222" s="218"/>
    </row>
    <row r="223">
      <c r="A223" s="272"/>
      <c r="B223" s="272"/>
      <c r="C223" s="272"/>
      <c r="D223" s="273"/>
      <c r="E223" s="274"/>
      <c r="F223" s="273"/>
      <c r="G223" s="12"/>
      <c r="J223" s="12"/>
      <c r="L223" s="12"/>
      <c r="Q223" s="218"/>
      <c r="R223" s="218"/>
      <c r="S223" s="218"/>
      <c r="T223" s="218"/>
    </row>
    <row r="224">
      <c r="A224" s="272"/>
      <c r="B224" s="272"/>
      <c r="C224" s="272"/>
      <c r="D224" s="273"/>
      <c r="E224" s="274"/>
      <c r="F224" s="273"/>
      <c r="G224" s="12"/>
      <c r="J224" s="12"/>
      <c r="L224" s="12"/>
      <c r="Q224" s="218"/>
      <c r="R224" s="218"/>
      <c r="S224" s="218"/>
      <c r="T224" s="218"/>
    </row>
    <row r="225">
      <c r="A225" s="272"/>
      <c r="B225" s="272"/>
      <c r="C225" s="272"/>
      <c r="D225" s="273"/>
      <c r="E225" s="274"/>
      <c r="F225" s="273"/>
      <c r="G225" s="12"/>
      <c r="J225" s="12"/>
      <c r="L225" s="12"/>
      <c r="Q225" s="218"/>
      <c r="R225" s="218"/>
      <c r="S225" s="218"/>
      <c r="T225" s="218"/>
    </row>
    <row r="226">
      <c r="A226" s="272"/>
      <c r="B226" s="272"/>
      <c r="C226" s="272"/>
      <c r="D226" s="273"/>
      <c r="E226" s="274"/>
      <c r="F226" s="273"/>
      <c r="G226" s="12"/>
      <c r="J226" s="12"/>
      <c r="L226" s="12"/>
      <c r="Q226" s="218"/>
      <c r="R226" s="218"/>
      <c r="S226" s="218"/>
      <c r="T226" s="218"/>
    </row>
    <row r="227">
      <c r="A227" s="272"/>
      <c r="B227" s="272"/>
      <c r="C227" s="272"/>
      <c r="D227" s="273"/>
      <c r="E227" s="274"/>
      <c r="F227" s="273"/>
      <c r="G227" s="12"/>
      <c r="J227" s="12"/>
      <c r="L227" s="12"/>
      <c r="Q227" s="218"/>
      <c r="R227" s="218"/>
      <c r="S227" s="218"/>
      <c r="T227" s="218"/>
    </row>
    <row r="228">
      <c r="A228" s="272"/>
      <c r="B228" s="272"/>
      <c r="C228" s="272"/>
      <c r="D228" s="273"/>
      <c r="E228" s="274"/>
      <c r="F228" s="273"/>
      <c r="G228" s="12"/>
      <c r="J228" s="12"/>
      <c r="L228" s="12"/>
      <c r="Q228" s="218"/>
      <c r="R228" s="218"/>
      <c r="S228" s="218"/>
      <c r="T228" s="218"/>
    </row>
    <row r="229">
      <c r="A229" s="272"/>
      <c r="B229" s="272"/>
      <c r="C229" s="272"/>
      <c r="D229" s="273"/>
      <c r="E229" s="274"/>
      <c r="F229" s="273"/>
      <c r="G229" s="12"/>
      <c r="J229" s="12"/>
      <c r="L229" s="12"/>
      <c r="Q229" s="218"/>
      <c r="R229" s="218"/>
      <c r="S229" s="218"/>
      <c r="T229" s="218"/>
    </row>
    <row r="230">
      <c r="A230" s="272"/>
      <c r="B230" s="272"/>
      <c r="C230" s="272"/>
      <c r="D230" s="273"/>
      <c r="E230" s="274"/>
      <c r="F230" s="273"/>
      <c r="G230" s="12"/>
      <c r="J230" s="12"/>
      <c r="L230" s="12"/>
      <c r="Q230" s="218"/>
      <c r="R230" s="218"/>
      <c r="S230" s="218"/>
      <c r="T230" s="218"/>
    </row>
    <row r="231">
      <c r="A231" s="272"/>
      <c r="B231" s="272"/>
      <c r="C231" s="272"/>
      <c r="D231" s="273"/>
      <c r="E231" s="274"/>
      <c r="F231" s="273"/>
      <c r="G231" s="12"/>
      <c r="J231" s="12"/>
      <c r="L231" s="12"/>
      <c r="Q231" s="218"/>
      <c r="R231" s="218"/>
      <c r="S231" s="218"/>
      <c r="T231" s="218"/>
    </row>
    <row r="232">
      <c r="A232" s="272"/>
      <c r="B232" s="272"/>
      <c r="C232" s="272"/>
      <c r="D232" s="273"/>
      <c r="E232" s="274"/>
      <c r="F232" s="273"/>
      <c r="G232" s="12"/>
      <c r="J232" s="12"/>
      <c r="L232" s="12"/>
      <c r="Q232" s="218"/>
      <c r="R232" s="218"/>
      <c r="S232" s="218"/>
      <c r="T232" s="218"/>
    </row>
    <row r="233">
      <c r="A233" s="272"/>
      <c r="B233" s="272"/>
      <c r="C233" s="272"/>
      <c r="D233" s="273"/>
      <c r="E233" s="274"/>
      <c r="F233" s="273"/>
      <c r="G233" s="12"/>
      <c r="J233" s="12"/>
      <c r="L233" s="12"/>
      <c r="Q233" s="218"/>
      <c r="R233" s="218"/>
      <c r="S233" s="218"/>
      <c r="T233" s="218"/>
    </row>
    <row r="234">
      <c r="A234" s="272"/>
      <c r="B234" s="272"/>
      <c r="C234" s="272"/>
      <c r="D234" s="273"/>
      <c r="E234" s="274"/>
      <c r="F234" s="273"/>
      <c r="G234" s="12"/>
      <c r="J234" s="12"/>
      <c r="L234" s="12"/>
      <c r="Q234" s="218"/>
      <c r="R234" s="218"/>
      <c r="S234" s="218"/>
      <c r="T234" s="218"/>
    </row>
    <row r="235">
      <c r="A235" s="272"/>
      <c r="B235" s="272"/>
      <c r="C235" s="272"/>
      <c r="D235" s="273"/>
      <c r="E235" s="274"/>
      <c r="F235" s="273"/>
      <c r="G235" s="12"/>
      <c r="J235" s="12"/>
      <c r="L235" s="12"/>
      <c r="Q235" s="218"/>
      <c r="R235" s="218"/>
      <c r="S235" s="218"/>
      <c r="T235" s="218"/>
    </row>
    <row r="236">
      <c r="A236" s="272"/>
      <c r="B236" s="272"/>
      <c r="C236" s="272"/>
      <c r="D236" s="273"/>
      <c r="E236" s="274"/>
      <c r="F236" s="273"/>
      <c r="G236" s="12"/>
      <c r="J236" s="12"/>
      <c r="L236" s="12"/>
      <c r="Q236" s="218"/>
      <c r="R236" s="218"/>
      <c r="S236" s="218"/>
      <c r="T236" s="218"/>
    </row>
    <row r="237">
      <c r="A237" s="272"/>
      <c r="B237" s="272"/>
      <c r="C237" s="272"/>
      <c r="D237" s="273"/>
      <c r="E237" s="274"/>
      <c r="F237" s="273"/>
      <c r="G237" s="12"/>
      <c r="J237" s="12"/>
      <c r="L237" s="12"/>
      <c r="Q237" s="218"/>
      <c r="R237" s="218"/>
      <c r="S237" s="218"/>
      <c r="T237" s="218"/>
    </row>
    <row r="238">
      <c r="A238" s="272"/>
      <c r="B238" s="272"/>
      <c r="C238" s="272"/>
      <c r="D238" s="273"/>
      <c r="E238" s="274"/>
      <c r="F238" s="273"/>
      <c r="G238" s="12"/>
      <c r="J238" s="12"/>
      <c r="L238" s="12"/>
      <c r="Q238" s="218"/>
      <c r="R238" s="218"/>
      <c r="S238" s="218"/>
      <c r="T238" s="218"/>
    </row>
    <row r="239">
      <c r="A239" s="272"/>
      <c r="B239" s="272"/>
      <c r="C239" s="272"/>
      <c r="D239" s="273"/>
      <c r="E239" s="274"/>
      <c r="F239" s="273"/>
      <c r="G239" s="12"/>
      <c r="J239" s="12"/>
      <c r="L239" s="12"/>
      <c r="Q239" s="218"/>
      <c r="R239" s="218"/>
      <c r="S239" s="218"/>
      <c r="T239" s="218"/>
    </row>
    <row r="240">
      <c r="A240" s="272"/>
      <c r="B240" s="272"/>
      <c r="C240" s="272"/>
      <c r="D240" s="273"/>
      <c r="E240" s="274"/>
      <c r="F240" s="273"/>
      <c r="G240" s="12"/>
      <c r="J240" s="12"/>
      <c r="L240" s="12"/>
      <c r="Q240" s="218"/>
      <c r="R240" s="218"/>
      <c r="S240" s="218"/>
      <c r="T240" s="218"/>
    </row>
    <row r="241">
      <c r="A241" s="272"/>
      <c r="B241" s="272"/>
      <c r="C241" s="272"/>
      <c r="D241" s="273"/>
      <c r="E241" s="274"/>
      <c r="F241" s="273"/>
      <c r="G241" s="12"/>
      <c r="J241" s="12"/>
      <c r="L241" s="12"/>
      <c r="Q241" s="218"/>
      <c r="R241" s="218"/>
      <c r="S241" s="218"/>
      <c r="T241" s="218"/>
    </row>
    <row r="242">
      <c r="A242" s="272"/>
      <c r="B242" s="272"/>
      <c r="C242" s="272"/>
      <c r="D242" s="273"/>
      <c r="E242" s="274"/>
      <c r="F242" s="273"/>
      <c r="G242" s="12"/>
      <c r="J242" s="12"/>
      <c r="L242" s="12"/>
      <c r="Q242" s="218"/>
      <c r="R242" s="218"/>
      <c r="S242" s="218"/>
      <c r="T242" s="218"/>
    </row>
    <row r="243">
      <c r="A243" s="272"/>
      <c r="B243" s="272"/>
      <c r="C243" s="272"/>
      <c r="D243" s="273"/>
      <c r="E243" s="274"/>
      <c r="F243" s="273"/>
      <c r="G243" s="12"/>
      <c r="J243" s="12"/>
      <c r="L243" s="12"/>
      <c r="Q243" s="218"/>
      <c r="R243" s="218"/>
      <c r="S243" s="218"/>
      <c r="T243" s="218"/>
    </row>
    <row r="244">
      <c r="A244" s="272"/>
      <c r="B244" s="272"/>
      <c r="C244" s="272"/>
      <c r="D244" s="273"/>
      <c r="E244" s="274"/>
      <c r="F244" s="273"/>
      <c r="G244" s="12"/>
      <c r="J244" s="12"/>
      <c r="L244" s="12"/>
      <c r="Q244" s="218"/>
      <c r="R244" s="218"/>
      <c r="S244" s="218"/>
      <c r="T244" s="218"/>
    </row>
    <row r="245">
      <c r="A245" s="272"/>
      <c r="B245" s="272"/>
      <c r="C245" s="272"/>
      <c r="D245" s="273"/>
      <c r="E245" s="274"/>
      <c r="F245" s="273"/>
      <c r="G245" s="12"/>
      <c r="J245" s="12"/>
      <c r="L245" s="12"/>
      <c r="Q245" s="218"/>
      <c r="R245" s="218"/>
      <c r="S245" s="218"/>
      <c r="T245" s="218"/>
    </row>
    <row r="246">
      <c r="A246" s="272"/>
      <c r="B246" s="272"/>
      <c r="C246" s="272"/>
      <c r="D246" s="273"/>
      <c r="E246" s="274"/>
      <c r="F246" s="273"/>
      <c r="G246" s="12"/>
      <c r="J246" s="12"/>
      <c r="L246" s="12"/>
      <c r="Q246" s="218"/>
      <c r="R246" s="218"/>
      <c r="S246" s="218"/>
      <c r="T246" s="218"/>
    </row>
    <row r="247">
      <c r="A247" s="272"/>
      <c r="B247" s="272"/>
      <c r="C247" s="272"/>
      <c r="D247" s="273"/>
      <c r="E247" s="274"/>
      <c r="F247" s="273"/>
      <c r="G247" s="12"/>
      <c r="J247" s="12"/>
      <c r="L247" s="12"/>
      <c r="Q247" s="218"/>
      <c r="R247" s="218"/>
      <c r="S247" s="218"/>
      <c r="T247" s="218"/>
    </row>
    <row r="248">
      <c r="A248" s="272"/>
      <c r="B248" s="272"/>
      <c r="C248" s="272"/>
      <c r="D248" s="273"/>
      <c r="E248" s="274"/>
      <c r="F248" s="273"/>
      <c r="G248" s="12"/>
      <c r="J248" s="12"/>
      <c r="L248" s="12"/>
      <c r="Q248" s="218"/>
      <c r="R248" s="218"/>
      <c r="S248" s="218"/>
      <c r="T248" s="218"/>
    </row>
    <row r="249">
      <c r="A249" s="272"/>
      <c r="B249" s="272"/>
      <c r="C249" s="272"/>
      <c r="D249" s="273"/>
      <c r="E249" s="274"/>
      <c r="F249" s="273"/>
      <c r="G249" s="12"/>
      <c r="J249" s="12"/>
      <c r="L249" s="12"/>
      <c r="Q249" s="218"/>
      <c r="R249" s="218"/>
      <c r="S249" s="218"/>
      <c r="T249" s="218"/>
    </row>
    <row r="250">
      <c r="A250" s="272"/>
      <c r="B250" s="272"/>
      <c r="C250" s="272"/>
      <c r="D250" s="273"/>
      <c r="E250" s="274"/>
      <c r="F250" s="273"/>
      <c r="G250" s="12"/>
      <c r="J250" s="12"/>
      <c r="L250" s="12"/>
      <c r="Q250" s="218"/>
      <c r="R250" s="218"/>
      <c r="S250" s="218"/>
      <c r="T250" s="218"/>
    </row>
    <row r="251">
      <c r="A251" s="272"/>
      <c r="B251" s="272"/>
      <c r="C251" s="272"/>
      <c r="D251" s="273"/>
      <c r="E251" s="274"/>
      <c r="F251" s="273"/>
      <c r="G251" s="12"/>
      <c r="J251" s="12"/>
      <c r="L251" s="12"/>
      <c r="Q251" s="218"/>
      <c r="R251" s="218"/>
      <c r="S251" s="218"/>
      <c r="T251" s="218"/>
    </row>
    <row r="252">
      <c r="A252" s="272"/>
      <c r="B252" s="272"/>
      <c r="C252" s="272"/>
      <c r="D252" s="273"/>
      <c r="E252" s="274"/>
      <c r="F252" s="273"/>
      <c r="G252" s="12"/>
      <c r="J252" s="12"/>
      <c r="L252" s="12"/>
      <c r="Q252" s="218"/>
      <c r="R252" s="218"/>
      <c r="S252" s="218"/>
      <c r="T252" s="218"/>
    </row>
    <row r="253">
      <c r="A253" s="272"/>
      <c r="B253" s="272"/>
      <c r="C253" s="272"/>
      <c r="D253" s="273"/>
      <c r="E253" s="274"/>
      <c r="F253" s="273"/>
      <c r="G253" s="12"/>
      <c r="J253" s="12"/>
      <c r="L253" s="12"/>
      <c r="Q253" s="218"/>
      <c r="R253" s="218"/>
      <c r="S253" s="218"/>
      <c r="T253" s="218"/>
    </row>
    <row r="254">
      <c r="A254" s="272"/>
      <c r="B254" s="272"/>
      <c r="C254" s="272"/>
      <c r="D254" s="273"/>
      <c r="E254" s="274"/>
      <c r="F254" s="273"/>
      <c r="G254" s="12"/>
      <c r="J254" s="12"/>
      <c r="L254" s="12"/>
      <c r="Q254" s="218"/>
      <c r="R254" s="218"/>
      <c r="S254" s="218"/>
      <c r="T254" s="218"/>
    </row>
    <row r="255">
      <c r="A255" s="272"/>
      <c r="B255" s="272"/>
      <c r="C255" s="272"/>
      <c r="D255" s="273"/>
      <c r="E255" s="274"/>
      <c r="F255" s="273"/>
      <c r="G255" s="12"/>
      <c r="J255" s="12"/>
      <c r="L255" s="12"/>
      <c r="Q255" s="218"/>
      <c r="R255" s="218"/>
      <c r="S255" s="218"/>
      <c r="T255" s="218"/>
    </row>
    <row r="256">
      <c r="A256" s="272"/>
      <c r="B256" s="272"/>
      <c r="C256" s="272"/>
      <c r="D256" s="273"/>
      <c r="E256" s="274"/>
      <c r="F256" s="273"/>
      <c r="G256" s="12"/>
      <c r="J256" s="12"/>
      <c r="L256" s="12"/>
      <c r="Q256" s="218"/>
      <c r="R256" s="218"/>
      <c r="S256" s="218"/>
      <c r="T256" s="218"/>
    </row>
    <row r="257">
      <c r="A257" s="272"/>
      <c r="B257" s="272"/>
      <c r="C257" s="272"/>
      <c r="D257" s="273"/>
      <c r="E257" s="274"/>
      <c r="F257" s="273"/>
      <c r="G257" s="12"/>
      <c r="J257" s="12"/>
      <c r="L257" s="12"/>
      <c r="Q257" s="218"/>
      <c r="R257" s="218"/>
      <c r="S257" s="218"/>
      <c r="T257" s="218"/>
    </row>
    <row r="258">
      <c r="A258" s="272"/>
      <c r="B258" s="272"/>
      <c r="C258" s="272"/>
      <c r="D258" s="273"/>
      <c r="E258" s="274"/>
      <c r="F258" s="273"/>
      <c r="G258" s="12"/>
      <c r="J258" s="12"/>
      <c r="L258" s="12"/>
      <c r="Q258" s="218"/>
      <c r="R258" s="218"/>
      <c r="S258" s="218"/>
      <c r="T258" s="218"/>
    </row>
    <row r="259">
      <c r="A259" s="272"/>
      <c r="B259" s="272"/>
      <c r="C259" s="272"/>
      <c r="D259" s="273"/>
      <c r="E259" s="274"/>
      <c r="F259" s="273"/>
      <c r="G259" s="12"/>
      <c r="J259" s="12"/>
      <c r="L259" s="12"/>
      <c r="Q259" s="218"/>
      <c r="R259" s="218"/>
      <c r="S259" s="218"/>
      <c r="T259" s="218"/>
    </row>
    <row r="260">
      <c r="A260" s="272"/>
      <c r="B260" s="272"/>
      <c r="C260" s="272"/>
      <c r="D260" s="273"/>
      <c r="E260" s="274"/>
      <c r="F260" s="273"/>
      <c r="G260" s="12"/>
      <c r="J260" s="12"/>
      <c r="L260" s="12"/>
      <c r="Q260" s="218"/>
      <c r="R260" s="218"/>
      <c r="S260" s="218"/>
      <c r="T260" s="218"/>
    </row>
    <row r="261">
      <c r="A261" s="272"/>
      <c r="B261" s="272"/>
      <c r="C261" s="272"/>
      <c r="D261" s="273"/>
      <c r="E261" s="274"/>
      <c r="F261" s="273"/>
      <c r="G261" s="12"/>
      <c r="J261" s="12"/>
      <c r="L261" s="12"/>
      <c r="Q261" s="218"/>
      <c r="R261" s="218"/>
      <c r="S261" s="218"/>
      <c r="T261" s="218"/>
    </row>
    <row r="262">
      <c r="A262" s="272"/>
      <c r="B262" s="272"/>
      <c r="C262" s="272"/>
      <c r="D262" s="273"/>
      <c r="E262" s="274"/>
      <c r="F262" s="273"/>
      <c r="G262" s="12"/>
      <c r="J262" s="12"/>
      <c r="L262" s="12"/>
      <c r="Q262" s="218"/>
      <c r="R262" s="218"/>
      <c r="S262" s="218"/>
      <c r="T262" s="218"/>
    </row>
    <row r="263">
      <c r="A263" s="272"/>
      <c r="B263" s="272"/>
      <c r="C263" s="272"/>
      <c r="D263" s="273"/>
      <c r="E263" s="274"/>
      <c r="F263" s="273"/>
      <c r="G263" s="12"/>
      <c r="J263" s="12"/>
      <c r="L263" s="12"/>
      <c r="Q263" s="218"/>
      <c r="R263" s="218"/>
      <c r="S263" s="218"/>
      <c r="T263" s="218"/>
    </row>
    <row r="264">
      <c r="A264" s="272"/>
      <c r="B264" s="272"/>
      <c r="C264" s="272"/>
      <c r="D264" s="273"/>
      <c r="E264" s="274"/>
      <c r="F264" s="273"/>
      <c r="G264" s="12"/>
      <c r="J264" s="12"/>
      <c r="L264" s="12"/>
      <c r="Q264" s="218"/>
      <c r="R264" s="218"/>
      <c r="S264" s="218"/>
      <c r="T264" s="218"/>
    </row>
    <row r="265">
      <c r="A265" s="272"/>
      <c r="B265" s="272"/>
      <c r="C265" s="272"/>
      <c r="D265" s="273"/>
      <c r="E265" s="274"/>
      <c r="F265" s="273"/>
      <c r="G265" s="12"/>
      <c r="J265" s="12"/>
      <c r="L265" s="12"/>
      <c r="Q265" s="218"/>
      <c r="R265" s="218"/>
      <c r="S265" s="218"/>
      <c r="T265" s="218"/>
    </row>
    <row r="266">
      <c r="A266" s="272"/>
      <c r="B266" s="272"/>
      <c r="C266" s="272"/>
      <c r="D266" s="273"/>
      <c r="E266" s="274"/>
      <c r="F266" s="273"/>
      <c r="G266" s="12"/>
      <c r="J266" s="12"/>
      <c r="L266" s="12"/>
      <c r="Q266" s="218"/>
      <c r="R266" s="218"/>
      <c r="S266" s="218"/>
      <c r="T266" s="218"/>
    </row>
    <row r="267">
      <c r="A267" s="272"/>
      <c r="B267" s="272"/>
      <c r="C267" s="272"/>
      <c r="D267" s="273"/>
      <c r="E267" s="274"/>
      <c r="F267" s="273"/>
      <c r="G267" s="12"/>
      <c r="J267" s="12"/>
      <c r="L267" s="12"/>
      <c r="Q267" s="218"/>
      <c r="R267" s="218"/>
      <c r="S267" s="218"/>
      <c r="T267" s="218"/>
    </row>
    <row r="268">
      <c r="A268" s="272"/>
      <c r="B268" s="272"/>
      <c r="C268" s="272"/>
      <c r="D268" s="273"/>
      <c r="E268" s="274"/>
      <c r="F268" s="273"/>
      <c r="G268" s="12"/>
      <c r="J268" s="12"/>
      <c r="L268" s="12"/>
      <c r="Q268" s="218"/>
      <c r="R268" s="218"/>
      <c r="S268" s="218"/>
      <c r="T268" s="218"/>
    </row>
    <row r="269">
      <c r="A269" s="272"/>
      <c r="B269" s="272"/>
      <c r="C269" s="272"/>
      <c r="D269" s="273"/>
      <c r="E269" s="274"/>
      <c r="F269" s="273"/>
      <c r="G269" s="12"/>
      <c r="J269" s="12"/>
      <c r="L269" s="12"/>
      <c r="Q269" s="218"/>
      <c r="R269" s="218"/>
      <c r="S269" s="218"/>
      <c r="T269" s="218"/>
    </row>
    <row r="270">
      <c r="A270" s="272"/>
      <c r="B270" s="272"/>
      <c r="C270" s="272"/>
      <c r="D270" s="273"/>
      <c r="E270" s="274"/>
      <c r="F270" s="273"/>
      <c r="G270" s="12"/>
      <c r="J270" s="12"/>
      <c r="L270" s="12"/>
      <c r="Q270" s="218"/>
      <c r="R270" s="218"/>
      <c r="S270" s="218"/>
      <c r="T270" s="218"/>
    </row>
    <row r="271">
      <c r="A271" s="272"/>
      <c r="B271" s="272"/>
      <c r="C271" s="272"/>
      <c r="D271" s="273"/>
      <c r="E271" s="274"/>
      <c r="F271" s="273"/>
      <c r="G271" s="12"/>
      <c r="J271" s="12"/>
      <c r="L271" s="12"/>
      <c r="Q271" s="218"/>
      <c r="R271" s="218"/>
      <c r="S271" s="218"/>
      <c r="T271" s="218"/>
    </row>
    <row r="272">
      <c r="A272" s="272"/>
      <c r="B272" s="272"/>
      <c r="C272" s="272"/>
      <c r="D272" s="273"/>
      <c r="E272" s="274"/>
      <c r="F272" s="273"/>
      <c r="G272" s="12"/>
      <c r="J272" s="12"/>
      <c r="L272" s="12"/>
      <c r="Q272" s="218"/>
      <c r="R272" s="218"/>
      <c r="S272" s="218"/>
      <c r="T272" s="218"/>
    </row>
    <row r="273">
      <c r="A273" s="272"/>
      <c r="B273" s="272"/>
      <c r="C273" s="272"/>
      <c r="D273" s="273"/>
      <c r="E273" s="274"/>
      <c r="F273" s="273"/>
      <c r="G273" s="12"/>
      <c r="J273" s="12"/>
      <c r="L273" s="12"/>
      <c r="Q273" s="218"/>
      <c r="R273" s="218"/>
      <c r="S273" s="218"/>
      <c r="T273" s="218"/>
    </row>
    <row r="274">
      <c r="A274" s="272"/>
      <c r="B274" s="272"/>
      <c r="C274" s="272"/>
      <c r="D274" s="273"/>
      <c r="E274" s="274"/>
      <c r="F274" s="273"/>
      <c r="G274" s="12"/>
      <c r="J274" s="12"/>
      <c r="L274" s="12"/>
      <c r="Q274" s="218"/>
      <c r="R274" s="218"/>
      <c r="S274" s="218"/>
      <c r="T274" s="218"/>
    </row>
    <row r="275">
      <c r="A275" s="272"/>
      <c r="B275" s="272"/>
      <c r="C275" s="272"/>
      <c r="D275" s="273"/>
      <c r="E275" s="274"/>
      <c r="F275" s="273"/>
      <c r="G275" s="12"/>
      <c r="J275" s="12"/>
      <c r="L275" s="12"/>
      <c r="Q275" s="218"/>
      <c r="R275" s="218"/>
      <c r="S275" s="218"/>
      <c r="T275" s="218"/>
    </row>
    <row r="276">
      <c r="A276" s="272"/>
      <c r="B276" s="272"/>
      <c r="C276" s="272"/>
      <c r="D276" s="273"/>
      <c r="E276" s="274"/>
      <c r="F276" s="273"/>
      <c r="G276" s="12"/>
      <c r="J276" s="12"/>
      <c r="L276" s="12"/>
      <c r="Q276" s="218"/>
      <c r="R276" s="218"/>
      <c r="S276" s="218"/>
      <c r="T276" s="218"/>
    </row>
    <row r="277">
      <c r="A277" s="272"/>
      <c r="B277" s="272"/>
      <c r="C277" s="272"/>
      <c r="D277" s="273"/>
      <c r="E277" s="274"/>
      <c r="F277" s="273"/>
      <c r="G277" s="12"/>
      <c r="J277" s="12"/>
      <c r="L277" s="12"/>
      <c r="Q277" s="218"/>
      <c r="R277" s="218"/>
      <c r="S277" s="218"/>
      <c r="T277" s="218"/>
    </row>
    <row r="278">
      <c r="A278" s="272"/>
      <c r="B278" s="272"/>
      <c r="C278" s="272"/>
      <c r="D278" s="273"/>
      <c r="E278" s="274"/>
      <c r="F278" s="273"/>
      <c r="G278" s="12"/>
      <c r="J278" s="12"/>
      <c r="L278" s="12"/>
      <c r="Q278" s="218"/>
      <c r="R278" s="218"/>
      <c r="S278" s="218"/>
      <c r="T278" s="218"/>
    </row>
    <row r="279">
      <c r="A279" s="272"/>
      <c r="B279" s="272"/>
      <c r="C279" s="272"/>
      <c r="D279" s="273"/>
      <c r="E279" s="274"/>
      <c r="F279" s="273"/>
      <c r="G279" s="12"/>
      <c r="J279" s="12"/>
      <c r="L279" s="12"/>
      <c r="Q279" s="218"/>
      <c r="R279" s="218"/>
      <c r="S279" s="218"/>
      <c r="T279" s="218"/>
    </row>
    <row r="280">
      <c r="A280" s="272"/>
      <c r="B280" s="272"/>
      <c r="C280" s="272"/>
      <c r="D280" s="273"/>
      <c r="E280" s="274"/>
      <c r="F280" s="273"/>
      <c r="G280" s="12"/>
      <c r="J280" s="12"/>
      <c r="L280" s="12"/>
      <c r="Q280" s="218"/>
      <c r="R280" s="218"/>
      <c r="S280" s="218"/>
      <c r="T280" s="218"/>
    </row>
    <row r="281">
      <c r="A281" s="272"/>
      <c r="B281" s="272"/>
      <c r="C281" s="272"/>
      <c r="D281" s="273"/>
      <c r="E281" s="274"/>
      <c r="F281" s="273"/>
      <c r="G281" s="12"/>
      <c r="J281" s="12"/>
      <c r="L281" s="12"/>
      <c r="Q281" s="218"/>
      <c r="R281" s="218"/>
      <c r="S281" s="218"/>
      <c r="T281" s="218"/>
    </row>
    <row r="282">
      <c r="A282" s="272"/>
      <c r="B282" s="272"/>
      <c r="C282" s="272"/>
      <c r="D282" s="273"/>
      <c r="E282" s="274"/>
      <c r="F282" s="273"/>
      <c r="G282" s="12"/>
      <c r="J282" s="12"/>
      <c r="L282" s="12"/>
      <c r="Q282" s="218"/>
      <c r="R282" s="218"/>
      <c r="S282" s="218"/>
      <c r="T282" s="218"/>
    </row>
    <row r="283">
      <c r="A283" s="272"/>
      <c r="B283" s="272"/>
      <c r="C283" s="272"/>
      <c r="D283" s="273"/>
      <c r="E283" s="274"/>
      <c r="F283" s="273"/>
      <c r="G283" s="12"/>
      <c r="J283" s="12"/>
      <c r="L283" s="12"/>
      <c r="Q283" s="218"/>
      <c r="R283" s="218"/>
      <c r="S283" s="218"/>
      <c r="T283" s="218"/>
    </row>
    <row r="284">
      <c r="A284" s="272"/>
      <c r="B284" s="272"/>
      <c r="C284" s="272"/>
      <c r="D284" s="273"/>
      <c r="E284" s="274"/>
      <c r="F284" s="273"/>
      <c r="G284" s="12"/>
      <c r="J284" s="12"/>
      <c r="L284" s="12"/>
      <c r="Q284" s="218"/>
      <c r="R284" s="218"/>
      <c r="S284" s="218"/>
      <c r="T284" s="218"/>
    </row>
    <row r="285">
      <c r="D285" s="3"/>
      <c r="E285" s="112"/>
      <c r="F285" s="3"/>
      <c r="G285" s="12"/>
      <c r="J285" s="12"/>
      <c r="L285" s="12"/>
      <c r="Q285" s="218"/>
      <c r="R285" s="218"/>
      <c r="S285" s="218"/>
      <c r="T285" s="218"/>
    </row>
    <row r="286">
      <c r="D286" s="3"/>
      <c r="E286" s="112"/>
      <c r="F286" s="3"/>
      <c r="G286" s="12"/>
      <c r="J286" s="12"/>
      <c r="L286" s="12"/>
      <c r="Q286" s="218"/>
      <c r="R286" s="218"/>
      <c r="S286" s="218"/>
      <c r="T286" s="218"/>
    </row>
    <row r="287">
      <c r="D287" s="3"/>
      <c r="E287" s="112"/>
      <c r="F287" s="3"/>
      <c r="G287" s="12"/>
      <c r="J287" s="12"/>
      <c r="L287" s="12"/>
      <c r="Q287" s="218"/>
      <c r="R287" s="218"/>
      <c r="S287" s="218"/>
      <c r="T287" s="218"/>
    </row>
    <row r="288">
      <c r="D288" s="3"/>
      <c r="E288" s="112"/>
      <c r="F288" s="3"/>
      <c r="G288" s="12"/>
      <c r="J288" s="12"/>
      <c r="L288" s="12"/>
      <c r="Q288" s="218"/>
      <c r="R288" s="218"/>
      <c r="S288" s="218"/>
      <c r="T288" s="218"/>
    </row>
    <row r="289">
      <c r="D289" s="3"/>
      <c r="E289" s="112"/>
      <c r="F289" s="3"/>
      <c r="G289" s="12"/>
      <c r="J289" s="12"/>
      <c r="L289" s="12"/>
      <c r="Q289" s="218"/>
      <c r="R289" s="218"/>
      <c r="S289" s="218"/>
      <c r="T289" s="218"/>
    </row>
    <row r="290">
      <c r="D290" s="3"/>
      <c r="E290" s="112"/>
      <c r="F290" s="3"/>
      <c r="G290" s="12"/>
      <c r="J290" s="12"/>
      <c r="L290" s="12"/>
      <c r="Q290" s="218"/>
      <c r="R290" s="218"/>
      <c r="S290" s="218"/>
      <c r="T290" s="218"/>
    </row>
    <row r="291">
      <c r="D291" s="3"/>
      <c r="E291" s="112"/>
      <c r="F291" s="3"/>
      <c r="G291" s="12"/>
      <c r="J291" s="12"/>
      <c r="L291" s="12"/>
      <c r="Q291" s="218"/>
      <c r="R291" s="218"/>
      <c r="S291" s="218"/>
      <c r="T291" s="218"/>
    </row>
    <row r="292">
      <c r="D292" s="3"/>
      <c r="E292" s="112"/>
      <c r="F292" s="3"/>
      <c r="G292" s="12"/>
      <c r="J292" s="12"/>
      <c r="L292" s="12"/>
      <c r="Q292" s="218"/>
      <c r="R292" s="218"/>
      <c r="S292" s="218"/>
      <c r="T292" s="218"/>
    </row>
    <row r="293">
      <c r="D293" s="3"/>
      <c r="E293" s="112"/>
      <c r="F293" s="3"/>
      <c r="G293" s="12"/>
      <c r="J293" s="12"/>
      <c r="L293" s="12"/>
      <c r="Q293" s="218"/>
      <c r="R293" s="218"/>
      <c r="S293" s="218"/>
      <c r="T293" s="218"/>
    </row>
    <row r="294">
      <c r="D294" s="3"/>
      <c r="E294" s="112"/>
      <c r="F294" s="3"/>
      <c r="G294" s="12"/>
      <c r="J294" s="12"/>
      <c r="L294" s="12"/>
      <c r="Q294" s="218"/>
      <c r="R294" s="218"/>
      <c r="S294" s="218"/>
      <c r="T294" s="218"/>
    </row>
    <row r="295">
      <c r="D295" s="3"/>
      <c r="E295" s="112"/>
      <c r="F295" s="3"/>
      <c r="G295" s="12"/>
      <c r="J295" s="12"/>
      <c r="L295" s="12"/>
      <c r="Q295" s="218"/>
      <c r="R295" s="218"/>
      <c r="S295" s="218"/>
      <c r="T295" s="218"/>
    </row>
    <row r="296">
      <c r="D296" s="3"/>
      <c r="E296" s="112"/>
      <c r="F296" s="3"/>
      <c r="G296" s="12"/>
      <c r="J296" s="12"/>
      <c r="L296" s="12"/>
      <c r="Q296" s="218"/>
      <c r="R296" s="218"/>
      <c r="S296" s="218"/>
      <c r="T296" s="218"/>
    </row>
    <row r="297">
      <c r="D297" s="3"/>
      <c r="E297" s="112"/>
      <c r="F297" s="3"/>
      <c r="G297" s="12"/>
      <c r="J297" s="12"/>
      <c r="L297" s="12"/>
      <c r="Q297" s="218"/>
      <c r="R297" s="218"/>
      <c r="S297" s="218"/>
      <c r="T297" s="218"/>
    </row>
    <row r="298">
      <c r="D298" s="3"/>
      <c r="E298" s="112"/>
      <c r="F298" s="3"/>
      <c r="G298" s="12"/>
      <c r="J298" s="12"/>
      <c r="L298" s="12"/>
      <c r="Q298" s="218"/>
      <c r="R298" s="218"/>
      <c r="S298" s="218"/>
      <c r="T298" s="218"/>
    </row>
    <row r="299">
      <c r="D299" s="3"/>
      <c r="E299" s="112"/>
      <c r="F299" s="3"/>
      <c r="G299" s="12"/>
      <c r="J299" s="12"/>
      <c r="L299" s="12"/>
      <c r="Q299" s="218"/>
      <c r="R299" s="218"/>
      <c r="S299" s="218"/>
      <c r="T299" s="218"/>
    </row>
    <row r="300">
      <c r="D300" s="3"/>
      <c r="E300" s="112"/>
      <c r="F300" s="3"/>
      <c r="G300" s="12"/>
      <c r="J300" s="12"/>
      <c r="L300" s="12"/>
      <c r="Q300" s="218"/>
      <c r="R300" s="218"/>
      <c r="S300" s="218"/>
      <c r="T300" s="218"/>
    </row>
    <row r="301">
      <c r="D301" s="3"/>
      <c r="E301" s="112"/>
      <c r="F301" s="3"/>
      <c r="G301" s="12"/>
      <c r="J301" s="12"/>
      <c r="L301" s="12"/>
      <c r="Q301" s="218"/>
      <c r="R301" s="218"/>
      <c r="S301" s="218"/>
      <c r="T301" s="218"/>
    </row>
    <row r="302">
      <c r="D302" s="3"/>
      <c r="E302" s="112"/>
      <c r="F302" s="3"/>
      <c r="G302" s="12"/>
      <c r="J302" s="12"/>
      <c r="L302" s="12"/>
      <c r="Q302" s="218"/>
      <c r="R302" s="218"/>
      <c r="S302" s="218"/>
      <c r="T302" s="218"/>
    </row>
    <row r="303">
      <c r="D303" s="3"/>
      <c r="E303" s="112"/>
      <c r="F303" s="3"/>
      <c r="G303" s="12"/>
      <c r="J303" s="12"/>
      <c r="L303" s="12"/>
      <c r="Q303" s="218"/>
      <c r="R303" s="218"/>
      <c r="S303" s="218"/>
      <c r="T303" s="218"/>
    </row>
    <row r="304">
      <c r="D304" s="3"/>
      <c r="E304" s="112"/>
      <c r="F304" s="3"/>
      <c r="G304" s="12"/>
      <c r="J304" s="12"/>
      <c r="L304" s="12"/>
      <c r="Q304" s="218"/>
      <c r="R304" s="218"/>
      <c r="S304" s="218"/>
      <c r="T304" s="218"/>
    </row>
    <row r="305">
      <c r="D305" s="3"/>
      <c r="E305" s="112"/>
      <c r="F305" s="3"/>
      <c r="G305" s="12"/>
      <c r="J305" s="12"/>
      <c r="L305" s="12"/>
      <c r="Q305" s="218"/>
      <c r="R305" s="218"/>
      <c r="S305" s="218"/>
      <c r="T305" s="218"/>
    </row>
    <row r="306">
      <c r="D306" s="3"/>
      <c r="E306" s="112"/>
      <c r="F306" s="3"/>
      <c r="G306" s="12"/>
      <c r="J306" s="12"/>
      <c r="L306" s="12"/>
      <c r="Q306" s="218"/>
      <c r="R306" s="218"/>
      <c r="S306" s="218"/>
      <c r="T306" s="218"/>
    </row>
    <row r="307">
      <c r="D307" s="3"/>
      <c r="E307" s="112"/>
      <c r="F307" s="3"/>
      <c r="G307" s="12"/>
      <c r="J307" s="12"/>
      <c r="L307" s="12"/>
      <c r="Q307" s="218"/>
      <c r="R307" s="218"/>
      <c r="S307" s="218"/>
      <c r="T307" s="218"/>
    </row>
    <row r="308">
      <c r="D308" s="3"/>
      <c r="E308" s="112"/>
      <c r="F308" s="3"/>
      <c r="G308" s="12"/>
      <c r="J308" s="12"/>
      <c r="L308" s="12"/>
      <c r="Q308" s="218"/>
      <c r="R308" s="218"/>
      <c r="S308" s="218"/>
      <c r="T308" s="218"/>
    </row>
    <row r="309">
      <c r="D309" s="3"/>
      <c r="E309" s="112"/>
      <c r="F309" s="3"/>
      <c r="G309" s="12"/>
      <c r="J309" s="12"/>
      <c r="L309" s="12"/>
      <c r="Q309" s="218"/>
      <c r="R309" s="218"/>
      <c r="S309" s="218"/>
      <c r="T309" s="218"/>
    </row>
    <row r="310">
      <c r="D310" s="3"/>
      <c r="E310" s="112"/>
      <c r="F310" s="3"/>
      <c r="G310" s="12"/>
      <c r="J310" s="12"/>
      <c r="L310" s="12"/>
      <c r="Q310" s="218"/>
      <c r="R310" s="218"/>
      <c r="S310" s="218"/>
      <c r="T310" s="218"/>
    </row>
    <row r="311">
      <c r="D311" s="3"/>
      <c r="E311" s="112"/>
      <c r="F311" s="3"/>
      <c r="G311" s="12"/>
      <c r="J311" s="12"/>
      <c r="L311" s="12"/>
      <c r="Q311" s="218"/>
      <c r="R311" s="218"/>
      <c r="S311" s="218"/>
      <c r="T311" s="218"/>
    </row>
    <row r="312">
      <c r="D312" s="3"/>
      <c r="E312" s="112"/>
      <c r="F312" s="3"/>
      <c r="G312" s="12"/>
      <c r="J312" s="12"/>
      <c r="L312" s="12"/>
      <c r="Q312" s="218"/>
      <c r="R312" s="218"/>
      <c r="S312" s="218"/>
      <c r="T312" s="218"/>
    </row>
    <row r="313">
      <c r="D313" s="3"/>
      <c r="E313" s="112"/>
      <c r="F313" s="3"/>
      <c r="G313" s="12"/>
      <c r="J313" s="12"/>
      <c r="L313" s="12"/>
      <c r="Q313" s="218"/>
      <c r="R313" s="218"/>
      <c r="S313" s="218"/>
      <c r="T313" s="218"/>
    </row>
    <row r="314">
      <c r="D314" s="3"/>
      <c r="E314" s="112"/>
      <c r="F314" s="3"/>
      <c r="G314" s="12"/>
      <c r="J314" s="12"/>
      <c r="L314" s="12"/>
      <c r="Q314" s="218"/>
      <c r="R314" s="218"/>
      <c r="S314" s="218"/>
      <c r="T314" s="218"/>
    </row>
    <row r="315">
      <c r="D315" s="3"/>
      <c r="E315" s="112"/>
      <c r="F315" s="3"/>
      <c r="G315" s="12"/>
      <c r="J315" s="12"/>
      <c r="L315" s="12"/>
      <c r="Q315" s="218"/>
      <c r="R315" s="218"/>
      <c r="S315" s="218"/>
      <c r="T315" s="218"/>
    </row>
    <row r="316">
      <c r="D316" s="3"/>
      <c r="E316" s="112"/>
      <c r="F316" s="3"/>
      <c r="G316" s="12"/>
      <c r="J316" s="12"/>
      <c r="L316" s="12"/>
      <c r="Q316" s="218"/>
      <c r="R316" s="218"/>
      <c r="S316" s="218"/>
      <c r="T316" s="218"/>
    </row>
    <row r="317">
      <c r="D317" s="3"/>
      <c r="E317" s="112"/>
      <c r="F317" s="3"/>
      <c r="G317" s="12"/>
      <c r="J317" s="12"/>
      <c r="L317" s="12"/>
      <c r="Q317" s="218"/>
      <c r="R317" s="218"/>
      <c r="S317" s="218"/>
      <c r="T317" s="218"/>
    </row>
    <row r="318">
      <c r="D318" s="3"/>
      <c r="E318" s="112"/>
      <c r="F318" s="3"/>
      <c r="G318" s="12"/>
      <c r="J318" s="12"/>
      <c r="L318" s="12"/>
      <c r="Q318" s="218"/>
      <c r="R318" s="218"/>
      <c r="S318" s="218"/>
      <c r="T318" s="218"/>
    </row>
    <row r="319">
      <c r="D319" s="3"/>
      <c r="E319" s="112"/>
      <c r="F319" s="3"/>
      <c r="G319" s="12"/>
      <c r="J319" s="12"/>
      <c r="L319" s="12"/>
      <c r="Q319" s="218"/>
      <c r="R319" s="218"/>
      <c r="S319" s="218"/>
      <c r="T319" s="218"/>
    </row>
    <row r="320">
      <c r="D320" s="3"/>
      <c r="E320" s="112"/>
      <c r="F320" s="3"/>
      <c r="G320" s="12"/>
      <c r="J320" s="12"/>
      <c r="L320" s="12"/>
      <c r="Q320" s="218"/>
      <c r="R320" s="218"/>
      <c r="S320" s="218"/>
      <c r="T320" s="218"/>
    </row>
    <row r="321">
      <c r="D321" s="3"/>
      <c r="E321" s="112"/>
      <c r="F321" s="3"/>
      <c r="G321" s="12"/>
      <c r="J321" s="12"/>
      <c r="L321" s="12"/>
      <c r="Q321" s="218"/>
      <c r="R321" s="218"/>
      <c r="S321" s="218"/>
      <c r="T321" s="218"/>
    </row>
    <row r="322">
      <c r="D322" s="3"/>
      <c r="E322" s="112"/>
      <c r="F322" s="3"/>
      <c r="G322" s="12"/>
      <c r="J322" s="12"/>
      <c r="L322" s="12"/>
      <c r="Q322" s="218"/>
      <c r="R322" s="218"/>
      <c r="S322" s="218"/>
      <c r="T322" s="218"/>
    </row>
    <row r="323">
      <c r="D323" s="3"/>
      <c r="E323" s="112"/>
      <c r="F323" s="3"/>
      <c r="G323" s="12"/>
      <c r="J323" s="12"/>
      <c r="L323" s="12"/>
      <c r="Q323" s="218"/>
      <c r="R323" s="218"/>
      <c r="S323" s="218"/>
      <c r="T323" s="218"/>
    </row>
    <row r="324">
      <c r="D324" s="3"/>
      <c r="E324" s="112"/>
      <c r="F324" s="3"/>
      <c r="G324" s="12"/>
      <c r="J324" s="12"/>
      <c r="L324" s="12"/>
      <c r="Q324" s="218"/>
      <c r="R324" s="218"/>
      <c r="S324" s="218"/>
      <c r="T324" s="218"/>
    </row>
    <row r="325">
      <c r="D325" s="3"/>
      <c r="E325" s="112"/>
      <c r="F325" s="3"/>
      <c r="G325" s="12"/>
      <c r="J325" s="12"/>
      <c r="L325" s="12"/>
      <c r="Q325" s="218"/>
      <c r="R325" s="218"/>
      <c r="S325" s="218"/>
      <c r="T325" s="218"/>
    </row>
    <row r="326">
      <c r="D326" s="3"/>
      <c r="E326" s="112"/>
      <c r="F326" s="3"/>
      <c r="G326" s="12"/>
      <c r="J326" s="12"/>
      <c r="L326" s="12"/>
      <c r="Q326" s="218"/>
      <c r="R326" s="218"/>
      <c r="S326" s="218"/>
      <c r="T326" s="218"/>
    </row>
    <row r="327">
      <c r="D327" s="3"/>
      <c r="E327" s="112"/>
      <c r="F327" s="3"/>
      <c r="G327" s="12"/>
      <c r="J327" s="12"/>
      <c r="L327" s="12"/>
      <c r="Q327" s="218"/>
      <c r="R327" s="218"/>
      <c r="S327" s="218"/>
      <c r="T327" s="218"/>
    </row>
    <row r="328">
      <c r="D328" s="3"/>
      <c r="E328" s="112"/>
      <c r="F328" s="3"/>
      <c r="G328" s="12"/>
      <c r="J328" s="12"/>
      <c r="L328" s="12"/>
      <c r="Q328" s="218"/>
      <c r="R328" s="218"/>
      <c r="S328" s="218"/>
      <c r="T328" s="218"/>
    </row>
    <row r="329">
      <c r="D329" s="3"/>
      <c r="E329" s="112"/>
      <c r="F329" s="3"/>
      <c r="G329" s="12"/>
      <c r="J329" s="12"/>
      <c r="L329" s="12"/>
      <c r="Q329" s="218"/>
      <c r="R329" s="218"/>
      <c r="S329" s="218"/>
      <c r="T329" s="218"/>
    </row>
    <row r="330">
      <c r="D330" s="3"/>
      <c r="E330" s="112"/>
      <c r="F330" s="3"/>
      <c r="G330" s="12"/>
      <c r="J330" s="12"/>
      <c r="L330" s="12"/>
      <c r="Q330" s="218"/>
      <c r="R330" s="218"/>
      <c r="S330" s="218"/>
      <c r="T330" s="218"/>
    </row>
    <row r="331">
      <c r="D331" s="3"/>
      <c r="E331" s="112"/>
      <c r="F331" s="3"/>
      <c r="G331" s="12"/>
      <c r="J331" s="12"/>
      <c r="L331" s="12"/>
      <c r="Q331" s="218"/>
      <c r="R331" s="218"/>
      <c r="S331" s="218"/>
      <c r="T331" s="218"/>
    </row>
    <row r="332">
      <c r="D332" s="3"/>
      <c r="E332" s="112"/>
      <c r="F332" s="3"/>
      <c r="G332" s="12"/>
      <c r="J332" s="12"/>
      <c r="L332" s="12"/>
      <c r="Q332" s="218"/>
      <c r="R332" s="218"/>
      <c r="S332" s="218"/>
      <c r="T332" s="218"/>
    </row>
    <row r="333">
      <c r="D333" s="3"/>
      <c r="E333" s="112"/>
      <c r="F333" s="3"/>
      <c r="G333" s="12"/>
      <c r="J333" s="12"/>
      <c r="L333" s="12"/>
      <c r="Q333" s="218"/>
      <c r="R333" s="218"/>
      <c r="S333" s="218"/>
      <c r="T333" s="218"/>
    </row>
    <row r="334">
      <c r="D334" s="3"/>
      <c r="E334" s="112"/>
      <c r="F334" s="3"/>
      <c r="G334" s="12"/>
      <c r="J334" s="12"/>
      <c r="L334" s="12"/>
      <c r="Q334" s="218"/>
      <c r="R334" s="218"/>
      <c r="S334" s="218"/>
      <c r="T334" s="218"/>
    </row>
    <row r="335">
      <c r="D335" s="3"/>
      <c r="E335" s="112"/>
      <c r="F335" s="3"/>
      <c r="G335" s="12"/>
      <c r="J335" s="12"/>
      <c r="L335" s="12"/>
      <c r="Q335" s="218"/>
      <c r="R335" s="218"/>
      <c r="S335" s="218"/>
      <c r="T335" s="218"/>
    </row>
    <row r="336">
      <c r="D336" s="3"/>
      <c r="E336" s="112"/>
      <c r="F336" s="3"/>
      <c r="G336" s="12"/>
      <c r="J336" s="12"/>
      <c r="L336" s="12"/>
      <c r="Q336" s="218"/>
      <c r="R336" s="218"/>
      <c r="S336" s="218"/>
      <c r="T336" s="218"/>
    </row>
    <row r="337">
      <c r="D337" s="3"/>
      <c r="E337" s="112"/>
      <c r="F337" s="3"/>
      <c r="G337" s="12"/>
      <c r="J337" s="12"/>
      <c r="L337" s="12"/>
      <c r="Q337" s="218"/>
      <c r="R337" s="218"/>
      <c r="S337" s="218"/>
      <c r="T337" s="218"/>
    </row>
    <row r="338">
      <c r="D338" s="3"/>
      <c r="E338" s="112"/>
      <c r="F338" s="3"/>
      <c r="G338" s="12"/>
      <c r="J338" s="12"/>
      <c r="L338" s="12"/>
      <c r="Q338" s="218"/>
      <c r="R338" s="218"/>
      <c r="S338" s="218"/>
      <c r="T338" s="218"/>
    </row>
    <row r="339">
      <c r="D339" s="3"/>
      <c r="E339" s="112"/>
      <c r="F339" s="3"/>
      <c r="G339" s="12"/>
      <c r="J339" s="12"/>
      <c r="L339" s="12"/>
      <c r="Q339" s="218"/>
      <c r="R339" s="218"/>
      <c r="S339" s="218"/>
      <c r="T339" s="218"/>
    </row>
    <row r="340">
      <c r="D340" s="3"/>
      <c r="E340" s="112"/>
      <c r="F340" s="3"/>
      <c r="G340" s="12"/>
      <c r="J340" s="12"/>
      <c r="L340" s="12"/>
      <c r="Q340" s="218"/>
      <c r="R340" s="218"/>
      <c r="S340" s="218"/>
      <c r="T340" s="218"/>
    </row>
    <row r="341">
      <c r="D341" s="3"/>
      <c r="E341" s="112"/>
      <c r="F341" s="3"/>
      <c r="G341" s="12"/>
      <c r="J341" s="12"/>
      <c r="L341" s="12"/>
      <c r="Q341" s="218"/>
      <c r="R341" s="218"/>
      <c r="S341" s="218"/>
      <c r="T341" s="218"/>
    </row>
    <row r="342">
      <c r="D342" s="3"/>
      <c r="E342" s="112"/>
      <c r="F342" s="3"/>
      <c r="G342" s="12"/>
      <c r="J342" s="12"/>
      <c r="L342" s="12"/>
      <c r="Q342" s="218"/>
      <c r="R342" s="218"/>
      <c r="S342" s="218"/>
      <c r="T342" s="218"/>
    </row>
    <row r="343">
      <c r="D343" s="3"/>
      <c r="E343" s="112"/>
      <c r="F343" s="3"/>
      <c r="G343" s="12"/>
      <c r="J343" s="12"/>
      <c r="L343" s="12"/>
      <c r="Q343" s="218"/>
      <c r="R343" s="218"/>
      <c r="S343" s="218"/>
      <c r="T343" s="218"/>
    </row>
    <row r="344">
      <c r="D344" s="3"/>
      <c r="E344" s="112"/>
      <c r="F344" s="3"/>
      <c r="G344" s="12"/>
      <c r="J344" s="12"/>
      <c r="L344" s="12"/>
      <c r="Q344" s="218"/>
      <c r="R344" s="218"/>
      <c r="S344" s="218"/>
      <c r="T344" s="218"/>
    </row>
    <row r="345">
      <c r="D345" s="3"/>
      <c r="E345" s="112"/>
      <c r="F345" s="3"/>
      <c r="G345" s="12"/>
      <c r="J345" s="12"/>
      <c r="L345" s="12"/>
      <c r="Q345" s="218"/>
      <c r="R345" s="218"/>
      <c r="S345" s="218"/>
      <c r="T345" s="218"/>
    </row>
    <row r="346">
      <c r="D346" s="3"/>
      <c r="E346" s="112"/>
      <c r="F346" s="3"/>
      <c r="G346" s="12"/>
      <c r="J346" s="12"/>
      <c r="L346" s="12"/>
      <c r="Q346" s="218"/>
      <c r="R346" s="218"/>
      <c r="S346" s="218"/>
      <c r="T346" s="218"/>
    </row>
    <row r="347">
      <c r="D347" s="3"/>
      <c r="E347" s="112"/>
      <c r="F347" s="3"/>
      <c r="G347" s="12"/>
      <c r="J347" s="12"/>
      <c r="L347" s="12"/>
      <c r="Q347" s="218"/>
      <c r="R347" s="218"/>
      <c r="S347" s="218"/>
      <c r="T347" s="218"/>
    </row>
    <row r="348">
      <c r="D348" s="3"/>
      <c r="E348" s="112"/>
      <c r="F348" s="3"/>
      <c r="G348" s="12"/>
      <c r="J348" s="12"/>
      <c r="L348" s="12"/>
      <c r="Q348" s="218"/>
      <c r="R348" s="218"/>
      <c r="S348" s="218"/>
      <c r="T348" s="218"/>
    </row>
    <row r="349">
      <c r="D349" s="3"/>
      <c r="E349" s="112"/>
      <c r="F349" s="3"/>
      <c r="G349" s="12"/>
      <c r="J349" s="12"/>
      <c r="L349" s="12"/>
      <c r="Q349" s="218"/>
      <c r="R349" s="218"/>
      <c r="S349" s="218"/>
      <c r="T349" s="218"/>
    </row>
    <row r="350">
      <c r="D350" s="3"/>
      <c r="E350" s="112"/>
      <c r="F350" s="3"/>
      <c r="G350" s="12"/>
      <c r="J350" s="12"/>
      <c r="L350" s="12"/>
      <c r="Q350" s="218"/>
      <c r="R350" s="218"/>
      <c r="S350" s="218"/>
      <c r="T350" s="218"/>
    </row>
    <row r="351">
      <c r="D351" s="3"/>
      <c r="E351" s="112"/>
      <c r="F351" s="3"/>
      <c r="G351" s="12"/>
      <c r="J351" s="12"/>
      <c r="L351" s="12"/>
      <c r="Q351" s="218"/>
      <c r="R351" s="218"/>
      <c r="S351" s="218"/>
      <c r="T351" s="218"/>
    </row>
    <row r="352">
      <c r="D352" s="3"/>
      <c r="E352" s="112"/>
      <c r="F352" s="3"/>
      <c r="G352" s="12"/>
      <c r="J352" s="12"/>
      <c r="L352" s="12"/>
      <c r="Q352" s="218"/>
      <c r="R352" s="218"/>
      <c r="S352" s="218"/>
      <c r="T352" s="218"/>
    </row>
    <row r="353">
      <c r="D353" s="3"/>
      <c r="E353" s="112"/>
      <c r="F353" s="3"/>
      <c r="G353" s="12"/>
      <c r="J353" s="12"/>
      <c r="L353" s="12"/>
      <c r="Q353" s="218"/>
      <c r="R353" s="218"/>
      <c r="S353" s="218"/>
      <c r="T353" s="218"/>
    </row>
    <row r="354">
      <c r="D354" s="3"/>
      <c r="E354" s="112"/>
      <c r="F354" s="3"/>
      <c r="G354" s="12"/>
      <c r="J354" s="12"/>
      <c r="L354" s="12"/>
      <c r="Q354" s="218"/>
      <c r="R354" s="218"/>
      <c r="S354" s="218"/>
      <c r="T354" s="218"/>
    </row>
    <row r="355">
      <c r="D355" s="3"/>
      <c r="E355" s="112"/>
      <c r="F355" s="3"/>
      <c r="G355" s="12"/>
      <c r="J355" s="12"/>
      <c r="L355" s="12"/>
      <c r="Q355" s="218"/>
      <c r="R355" s="218"/>
      <c r="S355" s="218"/>
      <c r="T355" s="218"/>
    </row>
    <row r="356">
      <c r="D356" s="3"/>
      <c r="E356" s="112"/>
      <c r="F356" s="3"/>
      <c r="G356" s="12"/>
      <c r="J356" s="12"/>
      <c r="L356" s="12"/>
      <c r="Q356" s="218"/>
      <c r="R356" s="218"/>
      <c r="S356" s="218"/>
      <c r="T356" s="218"/>
    </row>
    <row r="357">
      <c r="D357" s="3"/>
      <c r="E357" s="112"/>
      <c r="F357" s="3"/>
      <c r="G357" s="12"/>
      <c r="J357" s="12"/>
      <c r="L357" s="12"/>
      <c r="Q357" s="218"/>
      <c r="R357" s="218"/>
      <c r="S357" s="218"/>
      <c r="T357" s="218"/>
    </row>
    <row r="358">
      <c r="D358" s="3"/>
      <c r="E358" s="112"/>
      <c r="F358" s="3"/>
      <c r="G358" s="12"/>
      <c r="J358" s="12"/>
      <c r="L358" s="12"/>
      <c r="Q358" s="218"/>
      <c r="R358" s="218"/>
      <c r="S358" s="218"/>
      <c r="T358" s="218"/>
    </row>
    <row r="359">
      <c r="D359" s="3"/>
      <c r="E359" s="112"/>
      <c r="F359" s="3"/>
      <c r="G359" s="12"/>
      <c r="J359" s="12"/>
      <c r="L359" s="12"/>
      <c r="Q359" s="218"/>
      <c r="R359" s="218"/>
      <c r="S359" s="218"/>
      <c r="T359" s="218"/>
    </row>
    <row r="360">
      <c r="D360" s="3"/>
      <c r="E360" s="112"/>
      <c r="F360" s="3"/>
      <c r="G360" s="12"/>
      <c r="J360" s="12"/>
      <c r="L360" s="12"/>
      <c r="Q360" s="218"/>
      <c r="R360" s="218"/>
      <c r="S360" s="218"/>
      <c r="T360" s="218"/>
    </row>
    <row r="361">
      <c r="D361" s="3"/>
      <c r="E361" s="112"/>
      <c r="F361" s="3"/>
      <c r="G361" s="12"/>
      <c r="J361" s="12"/>
      <c r="L361" s="12"/>
      <c r="Q361" s="218"/>
      <c r="R361" s="218"/>
      <c r="S361" s="218"/>
      <c r="T361" s="218"/>
    </row>
    <row r="362">
      <c r="D362" s="3"/>
      <c r="E362" s="112"/>
      <c r="F362" s="3"/>
      <c r="G362" s="12"/>
      <c r="J362" s="12"/>
      <c r="L362" s="12"/>
      <c r="Q362" s="218"/>
      <c r="R362" s="218"/>
      <c r="S362" s="218"/>
      <c r="T362" s="218"/>
    </row>
    <row r="363">
      <c r="D363" s="3"/>
      <c r="E363" s="112"/>
      <c r="F363" s="3"/>
      <c r="G363" s="12"/>
      <c r="J363" s="12"/>
      <c r="L363" s="12"/>
      <c r="Q363" s="218"/>
      <c r="R363" s="218"/>
      <c r="S363" s="218"/>
      <c r="T363" s="218"/>
    </row>
    <row r="364">
      <c r="D364" s="3"/>
      <c r="E364" s="112"/>
      <c r="F364" s="3"/>
      <c r="G364" s="12"/>
      <c r="J364" s="12"/>
      <c r="L364" s="12"/>
      <c r="Q364" s="218"/>
      <c r="R364" s="218"/>
      <c r="S364" s="218"/>
      <c r="T364" s="218"/>
    </row>
    <row r="365">
      <c r="D365" s="3"/>
      <c r="E365" s="112"/>
      <c r="F365" s="3"/>
      <c r="G365" s="12"/>
      <c r="J365" s="12"/>
      <c r="L365" s="12"/>
      <c r="Q365" s="218"/>
      <c r="R365" s="218"/>
      <c r="S365" s="218"/>
      <c r="T365" s="218"/>
    </row>
    <row r="366">
      <c r="D366" s="3"/>
      <c r="E366" s="112"/>
      <c r="F366" s="3"/>
      <c r="G366" s="12"/>
      <c r="J366" s="12"/>
      <c r="L366" s="12"/>
      <c r="Q366" s="218"/>
      <c r="R366" s="218"/>
      <c r="S366" s="218"/>
      <c r="T366" s="218"/>
    </row>
    <row r="367">
      <c r="D367" s="3"/>
      <c r="E367" s="112"/>
      <c r="F367" s="3"/>
      <c r="G367" s="12"/>
      <c r="J367" s="12"/>
      <c r="L367" s="12"/>
      <c r="Q367" s="218"/>
      <c r="R367" s="218"/>
      <c r="S367" s="218"/>
      <c r="T367" s="218"/>
    </row>
    <row r="368">
      <c r="D368" s="3"/>
      <c r="E368" s="112"/>
      <c r="F368" s="3"/>
      <c r="G368" s="12"/>
      <c r="J368" s="12"/>
      <c r="L368" s="12"/>
      <c r="Q368" s="218"/>
      <c r="R368" s="218"/>
      <c r="S368" s="218"/>
      <c r="T368" s="218"/>
    </row>
    <row r="369">
      <c r="D369" s="3"/>
      <c r="E369" s="112"/>
      <c r="F369" s="3"/>
      <c r="G369" s="12"/>
      <c r="J369" s="12"/>
      <c r="L369" s="12"/>
      <c r="Q369" s="218"/>
      <c r="R369" s="218"/>
      <c r="S369" s="218"/>
      <c r="T369" s="218"/>
    </row>
    <row r="370">
      <c r="D370" s="3"/>
      <c r="E370" s="112"/>
      <c r="F370" s="3"/>
      <c r="G370" s="12"/>
      <c r="J370" s="12"/>
      <c r="L370" s="12"/>
      <c r="Q370" s="218"/>
      <c r="R370" s="218"/>
      <c r="S370" s="218"/>
      <c r="T370" s="218"/>
    </row>
    <row r="371">
      <c r="D371" s="3"/>
      <c r="E371" s="112"/>
      <c r="F371" s="3"/>
      <c r="G371" s="12"/>
      <c r="J371" s="12"/>
      <c r="L371" s="12"/>
      <c r="Q371" s="218"/>
      <c r="R371" s="218"/>
      <c r="S371" s="218"/>
      <c r="T371" s="218"/>
    </row>
    <row r="372">
      <c r="D372" s="3"/>
      <c r="E372" s="112"/>
      <c r="F372" s="3"/>
      <c r="G372" s="12"/>
      <c r="J372" s="12"/>
      <c r="L372" s="12"/>
      <c r="Q372" s="218"/>
      <c r="R372" s="218"/>
      <c r="S372" s="218"/>
      <c r="T372" s="218"/>
    </row>
    <row r="373">
      <c r="D373" s="3"/>
      <c r="E373" s="112"/>
      <c r="F373" s="3"/>
      <c r="G373" s="12"/>
      <c r="J373" s="12"/>
      <c r="L373" s="12"/>
      <c r="Q373" s="218"/>
      <c r="R373" s="218"/>
      <c r="S373" s="218"/>
      <c r="T373" s="218"/>
    </row>
    <row r="374">
      <c r="D374" s="3"/>
      <c r="E374" s="112"/>
      <c r="F374" s="3"/>
      <c r="G374" s="12"/>
      <c r="J374" s="12"/>
      <c r="L374" s="12"/>
      <c r="Q374" s="218"/>
      <c r="R374" s="218"/>
      <c r="S374" s="218"/>
      <c r="T374" s="218"/>
    </row>
    <row r="375">
      <c r="D375" s="3"/>
      <c r="E375" s="112"/>
      <c r="F375" s="3"/>
      <c r="G375" s="12"/>
      <c r="J375" s="12"/>
      <c r="L375" s="12"/>
      <c r="Q375" s="218"/>
      <c r="R375" s="218"/>
      <c r="S375" s="218"/>
      <c r="T375" s="218"/>
    </row>
    <row r="376">
      <c r="D376" s="3"/>
      <c r="E376" s="112"/>
      <c r="F376" s="3"/>
      <c r="G376" s="12"/>
      <c r="J376" s="12"/>
      <c r="L376" s="12"/>
      <c r="Q376" s="218"/>
      <c r="R376" s="218"/>
      <c r="S376" s="218"/>
      <c r="T376" s="218"/>
    </row>
    <row r="377">
      <c r="D377" s="3"/>
      <c r="E377" s="112"/>
      <c r="F377" s="3"/>
      <c r="G377" s="12"/>
      <c r="J377" s="12"/>
      <c r="L377" s="12"/>
      <c r="Q377" s="218"/>
      <c r="R377" s="218"/>
      <c r="S377" s="218"/>
      <c r="T377" s="218"/>
    </row>
    <row r="378">
      <c r="D378" s="3"/>
      <c r="E378" s="112"/>
      <c r="F378" s="3"/>
      <c r="G378" s="12"/>
      <c r="J378" s="12"/>
      <c r="L378" s="12"/>
      <c r="Q378" s="218"/>
      <c r="R378" s="218"/>
      <c r="S378" s="218"/>
      <c r="T378" s="218"/>
    </row>
    <row r="379">
      <c r="D379" s="3"/>
      <c r="E379" s="112"/>
      <c r="F379" s="3"/>
      <c r="G379" s="12"/>
      <c r="J379" s="12"/>
      <c r="L379" s="12"/>
      <c r="Q379" s="218"/>
      <c r="R379" s="218"/>
      <c r="S379" s="218"/>
      <c r="T379" s="218"/>
    </row>
    <row r="380">
      <c r="D380" s="3"/>
      <c r="E380" s="112"/>
      <c r="F380" s="3"/>
      <c r="G380" s="12"/>
      <c r="J380" s="12"/>
      <c r="L380" s="12"/>
      <c r="Q380" s="218"/>
      <c r="R380" s="218"/>
      <c r="S380" s="218"/>
      <c r="T380" s="218"/>
    </row>
    <row r="381">
      <c r="D381" s="3"/>
      <c r="E381" s="112"/>
      <c r="F381" s="3"/>
      <c r="G381" s="12"/>
      <c r="J381" s="12"/>
      <c r="L381" s="12"/>
      <c r="Q381" s="218"/>
      <c r="R381" s="218"/>
      <c r="S381" s="218"/>
      <c r="T381" s="218"/>
    </row>
    <row r="382">
      <c r="D382" s="3"/>
      <c r="E382" s="112"/>
      <c r="F382" s="3"/>
      <c r="G382" s="12"/>
      <c r="J382" s="12"/>
      <c r="L382" s="12"/>
      <c r="Q382" s="218"/>
      <c r="R382" s="218"/>
      <c r="S382" s="218"/>
      <c r="T382" s="218"/>
    </row>
    <row r="383">
      <c r="D383" s="3"/>
      <c r="E383" s="112"/>
      <c r="F383" s="3"/>
      <c r="G383" s="12"/>
      <c r="J383" s="12"/>
      <c r="L383" s="12"/>
      <c r="Q383" s="218"/>
      <c r="R383" s="218"/>
      <c r="S383" s="218"/>
      <c r="T383" s="218"/>
    </row>
    <row r="384">
      <c r="D384" s="3"/>
      <c r="E384" s="112"/>
      <c r="F384" s="3"/>
      <c r="G384" s="12"/>
      <c r="J384" s="12"/>
      <c r="L384" s="12"/>
      <c r="Q384" s="218"/>
      <c r="R384" s="218"/>
      <c r="S384" s="218"/>
      <c r="T384" s="218"/>
    </row>
    <row r="385">
      <c r="D385" s="3"/>
      <c r="E385" s="112"/>
      <c r="F385" s="3"/>
      <c r="G385" s="12"/>
      <c r="J385" s="12"/>
      <c r="L385" s="12"/>
      <c r="Q385" s="218"/>
      <c r="R385" s="218"/>
      <c r="S385" s="218"/>
      <c r="T385" s="218"/>
    </row>
    <row r="386">
      <c r="D386" s="3"/>
      <c r="E386" s="112"/>
      <c r="F386" s="3"/>
      <c r="G386" s="12"/>
      <c r="J386" s="12"/>
      <c r="L386" s="12"/>
      <c r="Q386" s="218"/>
      <c r="R386" s="218"/>
      <c r="S386" s="218"/>
      <c r="T386" s="218"/>
    </row>
    <row r="387">
      <c r="D387" s="3"/>
      <c r="E387" s="112"/>
      <c r="F387" s="3"/>
      <c r="G387" s="12"/>
      <c r="J387" s="12"/>
      <c r="L387" s="12"/>
      <c r="Q387" s="218"/>
      <c r="R387" s="218"/>
      <c r="S387" s="218"/>
      <c r="T387" s="218"/>
    </row>
    <row r="388">
      <c r="D388" s="3"/>
      <c r="E388" s="112"/>
      <c r="F388" s="3"/>
      <c r="G388" s="12"/>
      <c r="J388" s="12"/>
      <c r="L388" s="12"/>
      <c r="Q388" s="218"/>
      <c r="R388" s="218"/>
      <c r="S388" s="218"/>
      <c r="T388" s="218"/>
    </row>
    <row r="389">
      <c r="D389" s="3"/>
      <c r="E389" s="112"/>
      <c r="F389" s="3"/>
      <c r="G389" s="12"/>
      <c r="J389" s="12"/>
      <c r="L389" s="12"/>
      <c r="Q389" s="218"/>
      <c r="R389" s="218"/>
      <c r="S389" s="218"/>
      <c r="T389" s="218"/>
    </row>
    <row r="390">
      <c r="D390" s="3"/>
      <c r="E390" s="112"/>
      <c r="F390" s="3"/>
      <c r="G390" s="12"/>
      <c r="J390" s="12"/>
      <c r="L390" s="12"/>
      <c r="Q390" s="218"/>
      <c r="R390" s="218"/>
      <c r="S390" s="218"/>
      <c r="T390" s="218"/>
    </row>
    <row r="391">
      <c r="D391" s="3"/>
      <c r="E391" s="112"/>
      <c r="F391" s="3"/>
      <c r="G391" s="12"/>
      <c r="J391" s="12"/>
      <c r="L391" s="12"/>
      <c r="Q391" s="218"/>
      <c r="R391" s="218"/>
      <c r="S391" s="218"/>
      <c r="T391" s="218"/>
    </row>
    <row r="392">
      <c r="D392" s="3"/>
      <c r="E392" s="112"/>
      <c r="F392" s="3"/>
      <c r="G392" s="12"/>
      <c r="J392" s="12"/>
      <c r="L392" s="12"/>
      <c r="Q392" s="218"/>
      <c r="R392" s="218"/>
      <c r="S392" s="218"/>
      <c r="T392" s="218"/>
    </row>
    <row r="393">
      <c r="D393" s="3"/>
      <c r="E393" s="112"/>
      <c r="F393" s="3"/>
      <c r="G393" s="12"/>
      <c r="J393" s="12"/>
      <c r="L393" s="12"/>
      <c r="Q393" s="218"/>
      <c r="R393" s="218"/>
      <c r="S393" s="218"/>
      <c r="T393" s="218"/>
    </row>
    <row r="394">
      <c r="D394" s="3"/>
      <c r="E394" s="112"/>
      <c r="F394" s="3"/>
      <c r="G394" s="12"/>
      <c r="J394" s="12"/>
      <c r="L394" s="12"/>
      <c r="Q394" s="218"/>
      <c r="R394" s="218"/>
      <c r="S394" s="218"/>
      <c r="T394" s="218"/>
    </row>
    <row r="395">
      <c r="D395" s="3"/>
      <c r="E395" s="112"/>
      <c r="F395" s="3"/>
      <c r="G395" s="12"/>
      <c r="J395" s="12"/>
      <c r="L395" s="12"/>
      <c r="Q395" s="218"/>
      <c r="R395" s="218"/>
      <c r="S395" s="218"/>
      <c r="T395" s="218"/>
    </row>
    <row r="396">
      <c r="D396" s="3"/>
      <c r="E396" s="112"/>
      <c r="F396" s="3"/>
      <c r="G396" s="12"/>
      <c r="J396" s="12"/>
      <c r="L396" s="12"/>
      <c r="Q396" s="218"/>
      <c r="R396" s="218"/>
      <c r="S396" s="218"/>
      <c r="T396" s="218"/>
    </row>
    <row r="397">
      <c r="D397" s="3"/>
      <c r="E397" s="112"/>
      <c r="F397" s="3"/>
      <c r="G397" s="12"/>
      <c r="J397" s="12"/>
      <c r="L397" s="12"/>
      <c r="Q397" s="218"/>
      <c r="R397" s="218"/>
      <c r="S397" s="218"/>
      <c r="T397" s="218"/>
    </row>
    <row r="398">
      <c r="D398" s="3"/>
      <c r="E398" s="112"/>
      <c r="F398" s="3"/>
      <c r="G398" s="12"/>
      <c r="J398" s="12"/>
      <c r="L398" s="12"/>
      <c r="Q398" s="218"/>
      <c r="R398" s="218"/>
      <c r="S398" s="218"/>
      <c r="T398" s="218"/>
    </row>
    <row r="399">
      <c r="D399" s="3"/>
      <c r="E399" s="112"/>
      <c r="F399" s="3"/>
      <c r="G399" s="12"/>
      <c r="J399" s="12"/>
      <c r="L399" s="12"/>
      <c r="Q399" s="218"/>
      <c r="R399" s="218"/>
      <c r="S399" s="218"/>
      <c r="T399" s="218"/>
    </row>
    <row r="400">
      <c r="D400" s="3"/>
      <c r="E400" s="112"/>
      <c r="F400" s="3"/>
      <c r="G400" s="12"/>
      <c r="J400" s="12"/>
      <c r="L400" s="12"/>
      <c r="Q400" s="218"/>
      <c r="R400" s="218"/>
      <c r="S400" s="218"/>
      <c r="T400" s="218"/>
    </row>
    <row r="401">
      <c r="D401" s="3"/>
      <c r="E401" s="112"/>
      <c r="F401" s="3"/>
      <c r="G401" s="12"/>
      <c r="J401" s="12"/>
      <c r="L401" s="12"/>
      <c r="Q401" s="218"/>
      <c r="R401" s="218"/>
      <c r="S401" s="218"/>
      <c r="T401" s="218"/>
    </row>
    <row r="402">
      <c r="D402" s="3"/>
      <c r="E402" s="112"/>
      <c r="F402" s="3"/>
      <c r="G402" s="12"/>
      <c r="J402" s="12"/>
      <c r="L402" s="12"/>
      <c r="Q402" s="218"/>
      <c r="R402" s="218"/>
      <c r="S402" s="218"/>
      <c r="T402" s="218"/>
    </row>
    <row r="403">
      <c r="D403" s="3"/>
      <c r="E403" s="112"/>
      <c r="F403" s="3"/>
      <c r="G403" s="12"/>
      <c r="J403" s="12"/>
      <c r="L403" s="12"/>
      <c r="Q403" s="218"/>
      <c r="R403" s="218"/>
      <c r="S403" s="218"/>
      <c r="T403" s="218"/>
    </row>
    <row r="404">
      <c r="D404" s="3"/>
      <c r="E404" s="112"/>
      <c r="F404" s="3"/>
      <c r="G404" s="12"/>
      <c r="J404" s="12"/>
      <c r="L404" s="12"/>
      <c r="Q404" s="218"/>
      <c r="R404" s="218"/>
      <c r="S404" s="218"/>
      <c r="T404" s="218"/>
    </row>
    <row r="405">
      <c r="D405" s="3"/>
      <c r="E405" s="112"/>
      <c r="F405" s="3"/>
      <c r="G405" s="12"/>
      <c r="J405" s="12"/>
      <c r="L405" s="12"/>
      <c r="Q405" s="218"/>
      <c r="R405" s="218"/>
      <c r="S405" s="218"/>
      <c r="T405" s="218"/>
    </row>
    <row r="406">
      <c r="D406" s="3"/>
      <c r="E406" s="112"/>
      <c r="F406" s="3"/>
      <c r="G406" s="12"/>
      <c r="J406" s="12"/>
      <c r="L406" s="12"/>
      <c r="Q406" s="218"/>
      <c r="R406" s="218"/>
      <c r="S406" s="218"/>
      <c r="T406" s="218"/>
    </row>
    <row r="407">
      <c r="D407" s="3"/>
      <c r="E407" s="112"/>
      <c r="F407" s="3"/>
      <c r="G407" s="12"/>
      <c r="J407" s="12"/>
      <c r="L407" s="12"/>
      <c r="Q407" s="218"/>
      <c r="R407" s="218"/>
      <c r="S407" s="218"/>
      <c r="T407" s="218"/>
    </row>
    <row r="408">
      <c r="D408" s="3"/>
      <c r="E408" s="112"/>
      <c r="F408" s="3"/>
      <c r="G408" s="12"/>
      <c r="J408" s="12"/>
      <c r="L408" s="12"/>
      <c r="Q408" s="218"/>
      <c r="R408" s="218"/>
      <c r="S408" s="218"/>
      <c r="T408" s="218"/>
    </row>
    <row r="409">
      <c r="D409" s="3"/>
      <c r="E409" s="112"/>
      <c r="F409" s="3"/>
      <c r="G409" s="12"/>
      <c r="J409" s="12"/>
      <c r="L409" s="12"/>
      <c r="Q409" s="218"/>
      <c r="R409" s="218"/>
      <c r="S409" s="218"/>
      <c r="T409" s="218"/>
    </row>
    <row r="410">
      <c r="D410" s="3"/>
      <c r="E410" s="112"/>
      <c r="F410" s="3"/>
      <c r="G410" s="12"/>
      <c r="J410" s="12"/>
      <c r="L410" s="12"/>
      <c r="Q410" s="218"/>
      <c r="R410" s="218"/>
      <c r="S410" s="218"/>
      <c r="T410" s="218"/>
    </row>
    <row r="411">
      <c r="D411" s="3"/>
      <c r="E411" s="112"/>
      <c r="F411" s="3"/>
      <c r="G411" s="12"/>
      <c r="J411" s="12"/>
      <c r="L411" s="12"/>
      <c r="Q411" s="218"/>
      <c r="R411" s="218"/>
      <c r="S411" s="218"/>
      <c r="T411" s="218"/>
    </row>
    <row r="412">
      <c r="D412" s="3"/>
      <c r="E412" s="112"/>
      <c r="F412" s="3"/>
      <c r="G412" s="12"/>
      <c r="J412" s="12"/>
      <c r="L412" s="12"/>
      <c r="Q412" s="218"/>
      <c r="R412" s="218"/>
      <c r="S412" s="218"/>
      <c r="T412" s="218"/>
    </row>
    <row r="413">
      <c r="D413" s="3"/>
      <c r="E413" s="112"/>
      <c r="F413" s="3"/>
      <c r="G413" s="12"/>
      <c r="J413" s="12"/>
      <c r="L413" s="12"/>
      <c r="Q413" s="218"/>
      <c r="R413" s="218"/>
      <c r="S413" s="218"/>
      <c r="T413" s="218"/>
    </row>
    <row r="414">
      <c r="D414" s="3"/>
      <c r="E414" s="112"/>
      <c r="F414" s="3"/>
      <c r="G414" s="12"/>
      <c r="J414" s="12"/>
      <c r="L414" s="12"/>
      <c r="Q414" s="218"/>
      <c r="R414" s="218"/>
      <c r="S414" s="218"/>
      <c r="T414" s="218"/>
    </row>
    <row r="415">
      <c r="D415" s="3"/>
      <c r="E415" s="112"/>
      <c r="F415" s="3"/>
      <c r="G415" s="12"/>
      <c r="J415" s="12"/>
      <c r="L415" s="12"/>
      <c r="Q415" s="218"/>
      <c r="R415" s="218"/>
      <c r="S415" s="218"/>
      <c r="T415" s="218"/>
    </row>
    <row r="416">
      <c r="D416" s="3"/>
      <c r="E416" s="112"/>
      <c r="F416" s="3"/>
      <c r="G416" s="12"/>
      <c r="J416" s="12"/>
      <c r="L416" s="12"/>
      <c r="Q416" s="218"/>
      <c r="R416" s="218"/>
      <c r="S416" s="218"/>
      <c r="T416" s="218"/>
    </row>
    <row r="417">
      <c r="D417" s="3"/>
      <c r="E417" s="112"/>
      <c r="F417" s="3"/>
      <c r="G417" s="12"/>
      <c r="J417" s="12"/>
      <c r="L417" s="12"/>
      <c r="Q417" s="218"/>
      <c r="R417" s="218"/>
      <c r="S417" s="218"/>
      <c r="T417" s="218"/>
    </row>
    <row r="418">
      <c r="D418" s="3"/>
      <c r="E418" s="112"/>
      <c r="F418" s="3"/>
      <c r="G418" s="12"/>
      <c r="J418" s="12"/>
      <c r="L418" s="12"/>
      <c r="Q418" s="218"/>
      <c r="R418" s="218"/>
      <c r="S418" s="218"/>
      <c r="T418" s="218"/>
    </row>
    <row r="419">
      <c r="D419" s="3"/>
      <c r="E419" s="112"/>
      <c r="F419" s="3"/>
      <c r="G419" s="12"/>
      <c r="J419" s="12"/>
      <c r="L419" s="12"/>
      <c r="Q419" s="218"/>
      <c r="R419" s="218"/>
      <c r="S419" s="218"/>
      <c r="T419" s="218"/>
    </row>
    <row r="420">
      <c r="D420" s="3"/>
      <c r="E420" s="112"/>
      <c r="F420" s="3"/>
      <c r="G420" s="12"/>
      <c r="J420" s="12"/>
      <c r="L420" s="12"/>
      <c r="Q420" s="218"/>
      <c r="R420" s="218"/>
      <c r="S420" s="218"/>
      <c r="T420" s="218"/>
    </row>
    <row r="421">
      <c r="D421" s="3"/>
      <c r="E421" s="112"/>
      <c r="F421" s="3"/>
      <c r="G421" s="12"/>
      <c r="J421" s="12"/>
      <c r="L421" s="12"/>
      <c r="Q421" s="218"/>
      <c r="R421" s="218"/>
      <c r="S421" s="218"/>
      <c r="T421" s="218"/>
    </row>
    <row r="422">
      <c r="D422" s="3"/>
      <c r="E422" s="112"/>
      <c r="F422" s="3"/>
      <c r="G422" s="12"/>
      <c r="J422" s="12"/>
      <c r="L422" s="12"/>
      <c r="Q422" s="218"/>
      <c r="R422" s="218"/>
      <c r="S422" s="218"/>
      <c r="T422" s="218"/>
    </row>
    <row r="423">
      <c r="D423" s="3"/>
      <c r="E423" s="112"/>
      <c r="F423" s="3"/>
      <c r="G423" s="12"/>
      <c r="J423" s="12"/>
      <c r="L423" s="12"/>
      <c r="Q423" s="218"/>
      <c r="R423" s="218"/>
      <c r="S423" s="218"/>
      <c r="T423" s="218"/>
    </row>
    <row r="424">
      <c r="D424" s="3"/>
      <c r="E424" s="112"/>
      <c r="F424" s="3"/>
      <c r="G424" s="12"/>
      <c r="J424" s="12"/>
      <c r="L424" s="12"/>
      <c r="Q424" s="218"/>
      <c r="R424" s="218"/>
      <c r="S424" s="218"/>
      <c r="T424" s="218"/>
    </row>
    <row r="425">
      <c r="D425" s="3"/>
      <c r="E425" s="112"/>
      <c r="F425" s="3"/>
      <c r="G425" s="12"/>
      <c r="J425" s="12"/>
      <c r="L425" s="12"/>
      <c r="Q425" s="218"/>
      <c r="R425" s="218"/>
      <c r="S425" s="218"/>
      <c r="T425" s="218"/>
    </row>
    <row r="426">
      <c r="D426" s="3"/>
      <c r="E426" s="112"/>
      <c r="F426" s="3"/>
      <c r="G426" s="12"/>
      <c r="J426" s="12"/>
      <c r="L426" s="12"/>
      <c r="Q426" s="218"/>
      <c r="R426" s="218"/>
      <c r="S426" s="218"/>
      <c r="T426" s="218"/>
    </row>
    <row r="427">
      <c r="D427" s="3"/>
      <c r="E427" s="112"/>
      <c r="F427" s="3"/>
      <c r="G427" s="12"/>
      <c r="J427" s="12"/>
      <c r="L427" s="12"/>
      <c r="Q427" s="218"/>
      <c r="R427" s="218"/>
      <c r="S427" s="218"/>
      <c r="T427" s="218"/>
    </row>
    <row r="428">
      <c r="D428" s="3"/>
      <c r="E428" s="112"/>
      <c r="F428" s="3"/>
      <c r="G428" s="12"/>
      <c r="J428" s="12"/>
      <c r="L428" s="12"/>
      <c r="Q428" s="218"/>
      <c r="R428" s="218"/>
      <c r="S428" s="218"/>
      <c r="T428" s="218"/>
    </row>
    <row r="429">
      <c r="D429" s="3"/>
      <c r="E429" s="112"/>
      <c r="F429" s="3"/>
      <c r="G429" s="12"/>
      <c r="J429" s="12"/>
      <c r="L429" s="12"/>
      <c r="Q429" s="218"/>
      <c r="R429" s="218"/>
      <c r="S429" s="218"/>
      <c r="T429" s="218"/>
    </row>
    <row r="430">
      <c r="D430" s="3"/>
      <c r="E430" s="112"/>
      <c r="F430" s="3"/>
      <c r="G430" s="12"/>
      <c r="J430" s="12"/>
      <c r="L430" s="12"/>
      <c r="Q430" s="218"/>
      <c r="R430" s="218"/>
      <c r="S430" s="218"/>
      <c r="T430" s="218"/>
    </row>
    <row r="431">
      <c r="D431" s="3"/>
      <c r="E431" s="112"/>
      <c r="F431" s="3"/>
      <c r="G431" s="12"/>
      <c r="J431" s="12"/>
      <c r="L431" s="12"/>
      <c r="Q431" s="218"/>
      <c r="R431" s="218"/>
      <c r="S431" s="218"/>
      <c r="T431" s="218"/>
    </row>
    <row r="432">
      <c r="D432" s="3"/>
      <c r="E432" s="112"/>
      <c r="F432" s="3"/>
      <c r="G432" s="12"/>
      <c r="J432" s="12"/>
      <c r="L432" s="12"/>
      <c r="Q432" s="218"/>
      <c r="R432" s="218"/>
      <c r="S432" s="218"/>
      <c r="T432" s="218"/>
    </row>
    <row r="433">
      <c r="D433" s="3"/>
      <c r="E433" s="112"/>
      <c r="F433" s="3"/>
      <c r="G433" s="12"/>
      <c r="J433" s="12"/>
      <c r="L433" s="12"/>
      <c r="Q433" s="218"/>
      <c r="R433" s="218"/>
      <c r="S433" s="218"/>
      <c r="T433" s="218"/>
    </row>
    <row r="434">
      <c r="D434" s="3"/>
      <c r="E434" s="112"/>
      <c r="F434" s="3"/>
      <c r="G434" s="12"/>
      <c r="J434" s="12"/>
      <c r="L434" s="12"/>
      <c r="Q434" s="218"/>
      <c r="R434" s="218"/>
      <c r="S434" s="218"/>
      <c r="T434" s="218"/>
    </row>
    <row r="435">
      <c r="D435" s="3"/>
      <c r="E435" s="112"/>
      <c r="F435" s="3"/>
      <c r="G435" s="12"/>
      <c r="J435" s="12"/>
      <c r="L435" s="12"/>
      <c r="Q435" s="218"/>
      <c r="R435" s="218"/>
      <c r="S435" s="218"/>
      <c r="T435" s="218"/>
    </row>
    <row r="436">
      <c r="D436" s="3"/>
      <c r="E436" s="112"/>
      <c r="F436" s="3"/>
      <c r="G436" s="12"/>
      <c r="J436" s="12"/>
      <c r="L436" s="12"/>
      <c r="Q436" s="218"/>
      <c r="R436" s="218"/>
      <c r="S436" s="218"/>
      <c r="T436" s="218"/>
    </row>
    <row r="437">
      <c r="D437" s="3"/>
      <c r="E437" s="112"/>
      <c r="F437" s="3"/>
      <c r="G437" s="12"/>
      <c r="J437" s="12"/>
      <c r="L437" s="12"/>
      <c r="Q437" s="218"/>
      <c r="R437" s="218"/>
      <c r="S437" s="218"/>
      <c r="T437" s="218"/>
    </row>
    <row r="438">
      <c r="D438" s="3"/>
      <c r="E438" s="112"/>
      <c r="F438" s="3"/>
      <c r="G438" s="12"/>
      <c r="J438" s="12"/>
      <c r="L438" s="12"/>
      <c r="Q438" s="218"/>
      <c r="R438" s="218"/>
      <c r="S438" s="218"/>
      <c r="T438" s="218"/>
    </row>
    <row r="439">
      <c r="D439" s="3"/>
      <c r="E439" s="112"/>
      <c r="F439" s="3"/>
      <c r="G439" s="12"/>
      <c r="J439" s="12"/>
      <c r="L439" s="12"/>
      <c r="Q439" s="218"/>
      <c r="R439" s="218"/>
      <c r="S439" s="218"/>
      <c r="T439" s="218"/>
    </row>
    <row r="440">
      <c r="D440" s="3"/>
      <c r="E440" s="112"/>
      <c r="F440" s="3"/>
      <c r="G440" s="12"/>
      <c r="J440" s="12"/>
      <c r="L440" s="12"/>
      <c r="Q440" s="218"/>
      <c r="R440" s="218"/>
      <c r="S440" s="218"/>
      <c r="T440" s="218"/>
    </row>
    <row r="441">
      <c r="D441" s="3"/>
      <c r="E441" s="112"/>
      <c r="F441" s="3"/>
      <c r="G441" s="12"/>
      <c r="J441" s="12"/>
      <c r="L441" s="12"/>
      <c r="Q441" s="218"/>
      <c r="R441" s="218"/>
      <c r="S441" s="218"/>
      <c r="T441" s="218"/>
    </row>
    <row r="442">
      <c r="D442" s="3"/>
      <c r="E442" s="112"/>
      <c r="F442" s="3"/>
      <c r="G442" s="12"/>
      <c r="J442" s="12"/>
      <c r="L442" s="12"/>
      <c r="Q442" s="218"/>
      <c r="R442" s="218"/>
      <c r="S442" s="218"/>
      <c r="T442" s="218"/>
    </row>
    <row r="443">
      <c r="D443" s="3"/>
      <c r="E443" s="112"/>
      <c r="F443" s="3"/>
      <c r="G443" s="12"/>
      <c r="J443" s="12"/>
      <c r="L443" s="12"/>
      <c r="Q443" s="218"/>
      <c r="R443" s="218"/>
      <c r="S443" s="218"/>
      <c r="T443" s="218"/>
    </row>
    <row r="444">
      <c r="D444" s="3"/>
      <c r="E444" s="112"/>
      <c r="F444" s="3"/>
      <c r="G444" s="12"/>
      <c r="J444" s="12"/>
      <c r="L444" s="12"/>
      <c r="Q444" s="218"/>
      <c r="R444" s="218"/>
      <c r="S444" s="218"/>
      <c r="T444" s="218"/>
    </row>
    <row r="445">
      <c r="D445" s="3"/>
      <c r="E445" s="112"/>
      <c r="F445" s="3"/>
      <c r="G445" s="12"/>
      <c r="J445" s="12"/>
      <c r="L445" s="12"/>
      <c r="Q445" s="218"/>
      <c r="R445" s="218"/>
      <c r="S445" s="218"/>
      <c r="T445" s="218"/>
    </row>
    <row r="446">
      <c r="D446" s="3"/>
      <c r="E446" s="112"/>
      <c r="F446" s="3"/>
      <c r="G446" s="12"/>
      <c r="J446" s="12"/>
      <c r="L446" s="12"/>
      <c r="Q446" s="218"/>
      <c r="R446" s="218"/>
      <c r="S446" s="218"/>
      <c r="T446" s="218"/>
    </row>
    <row r="447">
      <c r="D447" s="3"/>
      <c r="E447" s="112"/>
      <c r="F447" s="3"/>
      <c r="G447" s="12"/>
      <c r="J447" s="12"/>
      <c r="L447" s="12"/>
      <c r="Q447" s="218"/>
      <c r="R447" s="218"/>
      <c r="S447" s="218"/>
      <c r="T447" s="218"/>
    </row>
    <row r="448">
      <c r="D448" s="3"/>
      <c r="E448" s="112"/>
      <c r="F448" s="3"/>
      <c r="G448" s="12"/>
      <c r="J448" s="12"/>
      <c r="L448" s="12"/>
      <c r="Q448" s="218"/>
      <c r="R448" s="218"/>
      <c r="S448" s="218"/>
      <c r="T448" s="218"/>
    </row>
    <row r="449">
      <c r="D449" s="3"/>
      <c r="E449" s="112"/>
      <c r="F449" s="3"/>
      <c r="G449" s="12"/>
      <c r="J449" s="12"/>
      <c r="L449" s="12"/>
      <c r="Q449" s="218"/>
      <c r="R449" s="218"/>
      <c r="S449" s="218"/>
      <c r="T449" s="218"/>
    </row>
    <row r="450">
      <c r="D450" s="3"/>
      <c r="E450" s="112"/>
      <c r="F450" s="3"/>
      <c r="G450" s="12"/>
      <c r="J450" s="12"/>
      <c r="L450" s="12"/>
      <c r="Q450" s="218"/>
      <c r="R450" s="218"/>
      <c r="S450" s="218"/>
      <c r="T450" s="218"/>
    </row>
    <row r="451">
      <c r="D451" s="3"/>
      <c r="E451" s="112"/>
      <c r="F451" s="3"/>
      <c r="G451" s="12"/>
      <c r="J451" s="12"/>
      <c r="L451" s="12"/>
      <c r="Q451" s="218"/>
      <c r="R451" s="218"/>
      <c r="S451" s="218"/>
      <c r="T451" s="218"/>
    </row>
    <row r="452">
      <c r="D452" s="3"/>
      <c r="E452" s="112"/>
      <c r="F452" s="3"/>
      <c r="G452" s="12"/>
      <c r="J452" s="12"/>
      <c r="L452" s="12"/>
      <c r="Q452" s="218"/>
      <c r="R452" s="218"/>
      <c r="S452" s="218"/>
      <c r="T452" s="218"/>
    </row>
    <row r="453">
      <c r="D453" s="3"/>
      <c r="E453" s="112"/>
      <c r="F453" s="3"/>
      <c r="G453" s="12"/>
      <c r="J453" s="12"/>
      <c r="L453" s="12"/>
      <c r="Q453" s="218"/>
      <c r="R453" s="218"/>
      <c r="S453" s="218"/>
      <c r="T453" s="218"/>
    </row>
    <row r="454">
      <c r="D454" s="3"/>
      <c r="E454" s="112"/>
      <c r="F454" s="3"/>
      <c r="G454" s="12"/>
      <c r="J454" s="12"/>
      <c r="L454" s="12"/>
      <c r="Q454" s="218"/>
      <c r="R454" s="218"/>
      <c r="S454" s="218"/>
      <c r="T454" s="218"/>
    </row>
    <row r="455">
      <c r="D455" s="3"/>
      <c r="E455" s="112"/>
      <c r="F455" s="3"/>
      <c r="G455" s="12"/>
      <c r="J455" s="12"/>
      <c r="L455" s="12"/>
      <c r="Q455" s="218"/>
      <c r="R455" s="218"/>
      <c r="S455" s="218"/>
      <c r="T455" s="218"/>
    </row>
    <row r="456">
      <c r="D456" s="3"/>
      <c r="E456" s="112"/>
      <c r="F456" s="3"/>
      <c r="G456" s="12"/>
      <c r="J456" s="12"/>
      <c r="L456" s="12"/>
      <c r="Q456" s="218"/>
      <c r="R456" s="218"/>
      <c r="S456" s="218"/>
      <c r="T456" s="218"/>
    </row>
    <row r="457">
      <c r="D457" s="3"/>
      <c r="E457" s="112"/>
      <c r="F457" s="3"/>
      <c r="G457" s="12"/>
      <c r="J457" s="12"/>
      <c r="L457" s="12"/>
      <c r="Q457" s="218"/>
      <c r="R457" s="218"/>
      <c r="S457" s="218"/>
      <c r="T457" s="218"/>
    </row>
    <row r="458">
      <c r="D458" s="3"/>
      <c r="E458" s="112"/>
      <c r="F458" s="3"/>
      <c r="G458" s="12"/>
      <c r="J458" s="12"/>
      <c r="L458" s="12"/>
      <c r="Q458" s="218"/>
      <c r="R458" s="218"/>
      <c r="S458" s="218"/>
      <c r="T458" s="218"/>
    </row>
    <row r="459">
      <c r="D459" s="3"/>
      <c r="E459" s="112"/>
      <c r="F459" s="3"/>
      <c r="G459" s="12"/>
      <c r="J459" s="12"/>
      <c r="L459" s="12"/>
      <c r="Q459" s="218"/>
      <c r="R459" s="218"/>
      <c r="S459" s="218"/>
      <c r="T459" s="218"/>
    </row>
    <row r="460">
      <c r="D460" s="3"/>
      <c r="E460" s="112"/>
      <c r="F460" s="3"/>
      <c r="G460" s="12"/>
      <c r="J460" s="12"/>
      <c r="L460" s="12"/>
      <c r="Q460" s="218"/>
      <c r="R460" s="218"/>
      <c r="S460" s="218"/>
      <c r="T460" s="218"/>
    </row>
    <row r="461">
      <c r="D461" s="3"/>
      <c r="E461" s="112"/>
      <c r="F461" s="3"/>
      <c r="G461" s="12"/>
      <c r="J461" s="12"/>
      <c r="L461" s="12"/>
      <c r="Q461" s="218"/>
      <c r="R461" s="218"/>
      <c r="S461" s="218"/>
      <c r="T461" s="218"/>
    </row>
    <row r="462">
      <c r="D462" s="3"/>
      <c r="E462" s="112"/>
      <c r="F462" s="3"/>
      <c r="G462" s="12"/>
      <c r="J462" s="12"/>
      <c r="L462" s="12"/>
      <c r="Q462" s="218"/>
      <c r="R462" s="218"/>
      <c r="S462" s="218"/>
      <c r="T462" s="218"/>
    </row>
    <row r="463">
      <c r="D463" s="3"/>
      <c r="E463" s="112"/>
      <c r="F463" s="3"/>
      <c r="G463" s="12"/>
      <c r="J463" s="12"/>
      <c r="L463" s="12"/>
      <c r="Q463" s="218"/>
      <c r="R463" s="218"/>
      <c r="S463" s="218"/>
      <c r="T463" s="218"/>
    </row>
    <row r="464">
      <c r="D464" s="3"/>
      <c r="E464" s="112"/>
      <c r="F464" s="3"/>
      <c r="G464" s="12"/>
      <c r="J464" s="12"/>
      <c r="L464" s="12"/>
      <c r="Q464" s="218"/>
      <c r="R464" s="218"/>
      <c r="S464" s="218"/>
      <c r="T464" s="218"/>
    </row>
    <row r="465">
      <c r="D465" s="3"/>
      <c r="E465" s="112"/>
      <c r="F465" s="3"/>
      <c r="G465" s="12"/>
      <c r="J465" s="12"/>
      <c r="L465" s="12"/>
      <c r="Q465" s="218"/>
      <c r="R465" s="218"/>
      <c r="S465" s="218"/>
      <c r="T465" s="218"/>
    </row>
    <row r="466">
      <c r="D466" s="3"/>
      <c r="E466" s="112"/>
      <c r="F466" s="3"/>
      <c r="G466" s="12"/>
      <c r="J466" s="12"/>
      <c r="L466" s="12"/>
      <c r="Q466" s="218"/>
      <c r="R466" s="218"/>
      <c r="S466" s="218"/>
      <c r="T466" s="218"/>
    </row>
    <row r="467">
      <c r="D467" s="3"/>
      <c r="E467" s="112"/>
      <c r="F467" s="3"/>
      <c r="G467" s="12"/>
      <c r="J467" s="12"/>
      <c r="L467" s="12"/>
      <c r="Q467" s="218"/>
      <c r="R467" s="218"/>
      <c r="S467" s="218"/>
      <c r="T467" s="218"/>
    </row>
    <row r="468">
      <c r="D468" s="3"/>
      <c r="E468" s="112"/>
      <c r="F468" s="3"/>
      <c r="G468" s="12"/>
      <c r="J468" s="12"/>
      <c r="L468" s="12"/>
      <c r="Q468" s="218"/>
      <c r="R468" s="218"/>
      <c r="S468" s="218"/>
      <c r="T468" s="218"/>
    </row>
    <row r="469">
      <c r="D469" s="3"/>
      <c r="E469" s="112"/>
      <c r="F469" s="3"/>
      <c r="G469" s="12"/>
      <c r="J469" s="12"/>
      <c r="L469" s="12"/>
      <c r="Q469" s="218"/>
      <c r="R469" s="218"/>
      <c r="S469" s="218"/>
      <c r="T469" s="218"/>
    </row>
    <row r="470">
      <c r="D470" s="3"/>
      <c r="E470" s="112"/>
      <c r="F470" s="3"/>
      <c r="G470" s="12"/>
      <c r="J470" s="12"/>
      <c r="L470" s="12"/>
      <c r="Q470" s="218"/>
      <c r="R470" s="218"/>
      <c r="S470" s="218"/>
      <c r="T470" s="218"/>
    </row>
    <row r="471">
      <c r="D471" s="3"/>
      <c r="E471" s="112"/>
      <c r="F471" s="3"/>
      <c r="G471" s="12"/>
      <c r="J471" s="12"/>
      <c r="L471" s="12"/>
      <c r="Q471" s="218"/>
      <c r="R471" s="218"/>
      <c r="S471" s="218"/>
      <c r="T471" s="218"/>
    </row>
    <row r="472">
      <c r="D472" s="3"/>
      <c r="E472" s="112"/>
      <c r="F472" s="3"/>
      <c r="G472" s="12"/>
      <c r="J472" s="12"/>
      <c r="L472" s="12"/>
      <c r="Q472" s="218"/>
      <c r="R472" s="218"/>
      <c r="S472" s="218"/>
      <c r="T472" s="218"/>
    </row>
    <row r="473">
      <c r="D473" s="3"/>
      <c r="E473" s="112"/>
      <c r="F473" s="3"/>
      <c r="G473" s="12"/>
      <c r="J473" s="12"/>
      <c r="L473" s="12"/>
      <c r="Q473" s="218"/>
      <c r="R473" s="218"/>
      <c r="S473" s="218"/>
      <c r="T473" s="218"/>
    </row>
    <row r="474">
      <c r="D474" s="3"/>
      <c r="E474" s="112"/>
      <c r="F474" s="3"/>
      <c r="G474" s="12"/>
      <c r="J474" s="12"/>
      <c r="L474" s="12"/>
      <c r="Q474" s="218"/>
      <c r="R474" s="218"/>
      <c r="S474" s="218"/>
      <c r="T474" s="218"/>
    </row>
    <row r="475">
      <c r="D475" s="3"/>
      <c r="E475" s="112"/>
      <c r="F475" s="3"/>
      <c r="G475" s="12"/>
      <c r="J475" s="12"/>
      <c r="L475" s="12"/>
      <c r="Q475" s="218"/>
      <c r="R475" s="218"/>
      <c r="S475" s="218"/>
      <c r="T475" s="218"/>
    </row>
    <row r="476">
      <c r="D476" s="3"/>
      <c r="E476" s="112"/>
      <c r="F476" s="3"/>
      <c r="G476" s="12"/>
      <c r="J476" s="12"/>
      <c r="L476" s="12"/>
      <c r="Q476" s="218"/>
      <c r="R476" s="218"/>
      <c r="S476" s="218"/>
      <c r="T476" s="218"/>
    </row>
    <row r="477">
      <c r="D477" s="3"/>
      <c r="E477" s="112"/>
      <c r="F477" s="3"/>
      <c r="G477" s="12"/>
      <c r="J477" s="12"/>
      <c r="L477" s="12"/>
      <c r="Q477" s="218"/>
      <c r="R477" s="218"/>
      <c r="S477" s="218"/>
      <c r="T477" s="218"/>
    </row>
    <row r="478">
      <c r="D478" s="3"/>
      <c r="E478" s="112"/>
      <c r="F478" s="3"/>
      <c r="G478" s="12"/>
      <c r="J478" s="12"/>
      <c r="L478" s="12"/>
      <c r="Q478" s="218"/>
      <c r="R478" s="218"/>
      <c r="S478" s="218"/>
      <c r="T478" s="218"/>
    </row>
    <row r="479">
      <c r="D479" s="3"/>
      <c r="E479" s="112"/>
      <c r="F479" s="3"/>
      <c r="G479" s="12"/>
      <c r="J479" s="12"/>
      <c r="L479" s="12"/>
      <c r="Q479" s="218"/>
      <c r="R479" s="218"/>
      <c r="S479" s="218"/>
      <c r="T479" s="218"/>
    </row>
    <row r="480">
      <c r="D480" s="3"/>
      <c r="E480" s="112"/>
      <c r="F480" s="3"/>
      <c r="G480" s="12"/>
      <c r="J480" s="12"/>
      <c r="L480" s="12"/>
      <c r="Q480" s="218"/>
      <c r="R480" s="218"/>
      <c r="S480" s="218"/>
      <c r="T480" s="218"/>
    </row>
    <row r="481">
      <c r="D481" s="3"/>
      <c r="E481" s="112"/>
      <c r="F481" s="3"/>
      <c r="G481" s="12"/>
      <c r="J481" s="12"/>
      <c r="L481" s="12"/>
      <c r="Q481" s="218"/>
      <c r="R481" s="218"/>
      <c r="S481" s="218"/>
      <c r="T481" s="218"/>
    </row>
    <row r="482">
      <c r="D482" s="3"/>
      <c r="E482" s="112"/>
      <c r="F482" s="3"/>
      <c r="G482" s="12"/>
      <c r="J482" s="12"/>
      <c r="L482" s="12"/>
      <c r="Q482" s="218"/>
      <c r="R482" s="218"/>
      <c r="S482" s="218"/>
      <c r="T482" s="218"/>
    </row>
    <row r="483">
      <c r="D483" s="3"/>
      <c r="E483" s="112"/>
      <c r="F483" s="3"/>
      <c r="G483" s="12"/>
      <c r="J483" s="12"/>
      <c r="L483" s="12"/>
      <c r="Q483" s="218"/>
      <c r="R483" s="218"/>
      <c r="S483" s="218"/>
      <c r="T483" s="218"/>
    </row>
    <row r="484">
      <c r="D484" s="3"/>
      <c r="E484" s="112"/>
      <c r="F484" s="3"/>
      <c r="G484" s="12"/>
      <c r="J484" s="12"/>
      <c r="L484" s="12"/>
      <c r="Q484" s="218"/>
      <c r="R484" s="218"/>
      <c r="S484" s="218"/>
      <c r="T484" s="218"/>
    </row>
    <row r="485">
      <c r="D485" s="3"/>
      <c r="E485" s="112"/>
      <c r="F485" s="3"/>
      <c r="G485" s="12"/>
      <c r="J485" s="12"/>
      <c r="L485" s="12"/>
      <c r="Q485" s="218"/>
      <c r="R485" s="218"/>
      <c r="S485" s="218"/>
      <c r="T485" s="218"/>
    </row>
    <row r="486">
      <c r="D486" s="3"/>
      <c r="E486" s="112"/>
      <c r="F486" s="3"/>
      <c r="G486" s="12"/>
      <c r="J486" s="12"/>
      <c r="L486" s="12"/>
      <c r="Q486" s="218"/>
      <c r="R486" s="218"/>
      <c r="S486" s="218"/>
      <c r="T486" s="218"/>
    </row>
    <row r="487">
      <c r="D487" s="3"/>
      <c r="E487" s="112"/>
      <c r="F487" s="3"/>
      <c r="G487" s="12"/>
      <c r="J487" s="12"/>
      <c r="L487" s="12"/>
      <c r="Q487" s="218"/>
      <c r="R487" s="218"/>
      <c r="S487" s="218"/>
      <c r="T487" s="218"/>
    </row>
    <row r="488">
      <c r="D488" s="3"/>
      <c r="E488" s="112"/>
      <c r="F488" s="3"/>
      <c r="G488" s="12"/>
      <c r="J488" s="12"/>
      <c r="L488" s="12"/>
      <c r="Q488" s="218"/>
      <c r="R488" s="218"/>
      <c r="S488" s="218"/>
      <c r="T488" s="218"/>
    </row>
    <row r="489">
      <c r="D489" s="3"/>
      <c r="E489" s="112"/>
      <c r="F489" s="3"/>
      <c r="G489" s="12"/>
      <c r="J489" s="12"/>
      <c r="L489" s="12"/>
      <c r="Q489" s="218"/>
      <c r="R489" s="218"/>
      <c r="S489" s="218"/>
      <c r="T489" s="218"/>
    </row>
    <row r="490">
      <c r="D490" s="3"/>
      <c r="E490" s="112"/>
      <c r="F490" s="3"/>
      <c r="G490" s="12"/>
      <c r="J490" s="12"/>
      <c r="L490" s="12"/>
      <c r="Q490" s="218"/>
      <c r="R490" s="218"/>
      <c r="S490" s="218"/>
      <c r="T490" s="218"/>
    </row>
    <row r="491">
      <c r="D491" s="3"/>
      <c r="E491" s="112"/>
      <c r="F491" s="3"/>
      <c r="G491" s="12"/>
      <c r="J491" s="12"/>
      <c r="L491" s="12"/>
      <c r="Q491" s="218"/>
      <c r="R491" s="218"/>
      <c r="S491" s="218"/>
      <c r="T491" s="218"/>
    </row>
    <row r="492">
      <c r="D492" s="3"/>
      <c r="E492" s="112"/>
      <c r="F492" s="3"/>
      <c r="G492" s="12"/>
      <c r="J492" s="12"/>
      <c r="L492" s="12"/>
      <c r="Q492" s="218"/>
      <c r="R492" s="218"/>
      <c r="S492" s="218"/>
      <c r="T492" s="218"/>
    </row>
    <row r="493">
      <c r="D493" s="3"/>
      <c r="E493" s="112"/>
      <c r="F493" s="3"/>
      <c r="G493" s="12"/>
      <c r="J493" s="12"/>
      <c r="L493" s="12"/>
      <c r="Q493" s="218"/>
      <c r="R493" s="218"/>
      <c r="S493" s="218"/>
      <c r="T493" s="218"/>
    </row>
    <row r="494">
      <c r="D494" s="3"/>
      <c r="E494" s="112"/>
      <c r="F494" s="3"/>
      <c r="G494" s="12"/>
      <c r="J494" s="12"/>
      <c r="L494" s="12"/>
      <c r="Q494" s="218"/>
      <c r="R494" s="218"/>
      <c r="S494" s="218"/>
      <c r="T494" s="218"/>
    </row>
    <row r="495">
      <c r="D495" s="3"/>
      <c r="E495" s="112"/>
      <c r="F495" s="3"/>
      <c r="G495" s="12"/>
      <c r="J495" s="12"/>
      <c r="L495" s="12"/>
      <c r="Q495" s="218"/>
      <c r="R495" s="218"/>
      <c r="S495" s="218"/>
      <c r="T495" s="218"/>
    </row>
    <row r="496">
      <c r="D496" s="3"/>
      <c r="E496" s="112"/>
      <c r="F496" s="3"/>
      <c r="G496" s="12"/>
      <c r="J496" s="12"/>
      <c r="L496" s="12"/>
      <c r="Q496" s="218"/>
      <c r="R496" s="218"/>
      <c r="S496" s="218"/>
      <c r="T496" s="218"/>
    </row>
    <row r="497">
      <c r="D497" s="3"/>
      <c r="E497" s="112"/>
      <c r="F497" s="3"/>
      <c r="G497" s="12"/>
      <c r="J497" s="12"/>
      <c r="L497" s="12"/>
      <c r="Q497" s="218"/>
      <c r="R497" s="218"/>
      <c r="S497" s="218"/>
      <c r="T497" s="218"/>
    </row>
    <row r="498">
      <c r="D498" s="3"/>
      <c r="E498" s="112"/>
      <c r="F498" s="3"/>
      <c r="G498" s="12"/>
      <c r="J498" s="12"/>
      <c r="L498" s="12"/>
      <c r="Q498" s="218"/>
      <c r="R498" s="218"/>
      <c r="S498" s="218"/>
      <c r="T498" s="218"/>
    </row>
    <row r="499">
      <c r="D499" s="3"/>
      <c r="E499" s="112"/>
      <c r="F499" s="3"/>
      <c r="G499" s="12"/>
      <c r="J499" s="12"/>
      <c r="L499" s="12"/>
      <c r="Q499" s="218"/>
      <c r="R499" s="218"/>
      <c r="S499" s="218"/>
      <c r="T499" s="218"/>
    </row>
    <row r="500">
      <c r="D500" s="3"/>
      <c r="E500" s="112"/>
      <c r="F500" s="3"/>
      <c r="G500" s="12"/>
      <c r="J500" s="12"/>
      <c r="L500" s="12"/>
      <c r="Q500" s="218"/>
      <c r="R500" s="218"/>
      <c r="S500" s="218"/>
      <c r="T500" s="218"/>
    </row>
    <row r="501">
      <c r="D501" s="3"/>
      <c r="E501" s="112"/>
      <c r="F501" s="3"/>
      <c r="G501" s="12"/>
      <c r="J501" s="12"/>
      <c r="L501" s="12"/>
      <c r="Q501" s="218"/>
      <c r="R501" s="218"/>
      <c r="S501" s="218"/>
      <c r="T501" s="218"/>
    </row>
    <row r="502">
      <c r="D502" s="3"/>
      <c r="E502" s="112"/>
      <c r="F502" s="3"/>
      <c r="G502" s="12"/>
      <c r="J502" s="12"/>
      <c r="L502" s="12"/>
      <c r="Q502" s="218"/>
      <c r="R502" s="218"/>
      <c r="S502" s="218"/>
      <c r="T502" s="218"/>
    </row>
    <row r="503">
      <c r="D503" s="3"/>
      <c r="E503" s="112"/>
      <c r="F503" s="3"/>
      <c r="G503" s="12"/>
      <c r="J503" s="12"/>
      <c r="L503" s="12"/>
      <c r="Q503" s="218"/>
      <c r="R503" s="218"/>
      <c r="S503" s="218"/>
      <c r="T503" s="218"/>
    </row>
    <row r="504">
      <c r="D504" s="3"/>
      <c r="E504" s="112"/>
      <c r="F504" s="3"/>
      <c r="G504" s="12"/>
      <c r="J504" s="12"/>
      <c r="L504" s="12"/>
      <c r="Q504" s="218"/>
      <c r="R504" s="218"/>
      <c r="S504" s="218"/>
      <c r="T504" s="218"/>
    </row>
    <row r="505">
      <c r="D505" s="3"/>
      <c r="E505" s="112"/>
      <c r="F505" s="3"/>
      <c r="G505" s="12"/>
      <c r="J505" s="12"/>
      <c r="L505" s="12"/>
      <c r="Q505" s="218"/>
      <c r="R505" s="218"/>
      <c r="S505" s="218"/>
      <c r="T505" s="218"/>
    </row>
    <row r="506">
      <c r="D506" s="3"/>
      <c r="E506" s="112"/>
      <c r="F506" s="3"/>
      <c r="G506" s="12"/>
      <c r="J506" s="12"/>
      <c r="L506" s="12"/>
      <c r="Q506" s="218"/>
      <c r="R506" s="218"/>
      <c r="S506" s="218"/>
      <c r="T506" s="218"/>
    </row>
    <row r="507">
      <c r="D507" s="3"/>
      <c r="E507" s="112"/>
      <c r="F507" s="3"/>
      <c r="G507" s="12"/>
      <c r="J507" s="12"/>
      <c r="L507" s="12"/>
      <c r="Q507" s="218"/>
      <c r="R507" s="218"/>
      <c r="S507" s="218"/>
      <c r="T507" s="218"/>
    </row>
    <row r="508">
      <c r="D508" s="3"/>
      <c r="E508" s="112"/>
      <c r="F508" s="3"/>
      <c r="G508" s="12"/>
      <c r="J508" s="12"/>
      <c r="L508" s="12"/>
      <c r="Q508" s="218"/>
      <c r="R508" s="218"/>
      <c r="S508" s="218"/>
      <c r="T508" s="218"/>
    </row>
    <row r="509">
      <c r="D509" s="3"/>
      <c r="E509" s="112"/>
      <c r="F509" s="3"/>
      <c r="G509" s="12"/>
      <c r="J509" s="12"/>
      <c r="L509" s="12"/>
      <c r="Q509" s="218"/>
      <c r="R509" s="218"/>
      <c r="S509" s="218"/>
      <c r="T509" s="218"/>
    </row>
    <row r="510">
      <c r="D510" s="3"/>
      <c r="E510" s="112"/>
      <c r="F510" s="3"/>
      <c r="G510" s="12"/>
      <c r="J510" s="12"/>
      <c r="L510" s="12"/>
      <c r="Q510" s="218"/>
      <c r="R510" s="218"/>
      <c r="S510" s="218"/>
      <c r="T510" s="218"/>
    </row>
    <row r="511">
      <c r="D511" s="3"/>
      <c r="E511" s="112"/>
      <c r="F511" s="3"/>
      <c r="G511" s="12"/>
      <c r="J511" s="12"/>
      <c r="L511" s="12"/>
      <c r="Q511" s="218"/>
      <c r="R511" s="218"/>
      <c r="S511" s="218"/>
      <c r="T511" s="218"/>
    </row>
    <row r="512">
      <c r="D512" s="3"/>
      <c r="E512" s="112"/>
      <c r="F512" s="3"/>
      <c r="G512" s="12"/>
      <c r="J512" s="12"/>
      <c r="L512" s="12"/>
      <c r="Q512" s="218"/>
      <c r="R512" s="218"/>
      <c r="S512" s="218"/>
      <c r="T512" s="218"/>
    </row>
    <row r="513">
      <c r="D513" s="3"/>
      <c r="E513" s="112"/>
      <c r="F513" s="3"/>
      <c r="G513" s="12"/>
      <c r="J513" s="12"/>
      <c r="L513" s="12"/>
      <c r="Q513" s="218"/>
      <c r="R513" s="218"/>
      <c r="S513" s="218"/>
      <c r="T513" s="218"/>
    </row>
    <row r="514">
      <c r="D514" s="3"/>
      <c r="E514" s="112"/>
      <c r="F514" s="3"/>
      <c r="G514" s="12"/>
      <c r="J514" s="12"/>
      <c r="L514" s="12"/>
      <c r="Q514" s="218"/>
      <c r="R514" s="218"/>
      <c r="S514" s="218"/>
      <c r="T514" s="218"/>
    </row>
    <row r="515">
      <c r="D515" s="3"/>
      <c r="E515" s="112"/>
      <c r="F515" s="3"/>
      <c r="G515" s="12"/>
      <c r="J515" s="12"/>
      <c r="L515" s="12"/>
      <c r="Q515" s="218"/>
      <c r="R515" s="218"/>
      <c r="S515" s="218"/>
      <c r="T515" s="218"/>
    </row>
    <row r="516">
      <c r="D516" s="3"/>
      <c r="E516" s="112"/>
      <c r="F516" s="3"/>
      <c r="G516" s="12"/>
      <c r="J516" s="12"/>
      <c r="L516" s="12"/>
      <c r="Q516" s="218"/>
      <c r="R516" s="218"/>
      <c r="S516" s="218"/>
      <c r="T516" s="218"/>
    </row>
    <row r="517">
      <c r="D517" s="3"/>
      <c r="E517" s="112"/>
      <c r="F517" s="3"/>
      <c r="G517" s="12"/>
      <c r="J517" s="12"/>
      <c r="L517" s="12"/>
      <c r="Q517" s="218"/>
      <c r="R517" s="218"/>
      <c r="S517" s="218"/>
      <c r="T517" s="218"/>
    </row>
    <row r="518">
      <c r="D518" s="3"/>
      <c r="E518" s="112"/>
      <c r="F518" s="3"/>
      <c r="G518" s="12"/>
      <c r="J518" s="12"/>
      <c r="L518" s="12"/>
      <c r="Q518" s="218"/>
      <c r="R518" s="218"/>
      <c r="S518" s="218"/>
      <c r="T518" s="218"/>
    </row>
    <row r="519">
      <c r="D519" s="3"/>
      <c r="E519" s="112"/>
      <c r="F519" s="3"/>
      <c r="G519" s="12"/>
      <c r="J519" s="12"/>
      <c r="L519" s="12"/>
      <c r="Q519" s="218"/>
      <c r="R519" s="218"/>
      <c r="S519" s="218"/>
      <c r="T519" s="218"/>
    </row>
    <row r="520">
      <c r="D520" s="3"/>
      <c r="E520" s="112"/>
      <c r="F520" s="3"/>
      <c r="G520" s="12"/>
      <c r="J520" s="12"/>
      <c r="L520" s="12"/>
      <c r="Q520" s="218"/>
      <c r="R520" s="218"/>
      <c r="S520" s="218"/>
      <c r="T520" s="218"/>
    </row>
    <row r="521">
      <c r="D521" s="3"/>
      <c r="E521" s="112"/>
      <c r="F521" s="3"/>
      <c r="G521" s="12"/>
      <c r="J521" s="12"/>
      <c r="L521" s="12"/>
      <c r="Q521" s="218"/>
      <c r="R521" s="218"/>
      <c r="S521" s="218"/>
      <c r="T521" s="218"/>
    </row>
    <row r="522">
      <c r="D522" s="3"/>
      <c r="E522" s="112"/>
      <c r="F522" s="3"/>
      <c r="G522" s="12"/>
      <c r="J522" s="12"/>
      <c r="L522" s="12"/>
      <c r="Q522" s="218"/>
      <c r="R522" s="218"/>
      <c r="S522" s="218"/>
      <c r="T522" s="218"/>
    </row>
    <row r="523">
      <c r="D523" s="3"/>
      <c r="E523" s="112"/>
      <c r="F523" s="3"/>
      <c r="G523" s="12"/>
      <c r="J523" s="12"/>
      <c r="L523" s="12"/>
      <c r="Q523" s="218"/>
      <c r="R523" s="218"/>
      <c r="S523" s="218"/>
      <c r="T523" s="218"/>
    </row>
    <row r="524">
      <c r="D524" s="3"/>
      <c r="E524" s="112"/>
      <c r="F524" s="3"/>
      <c r="G524" s="12"/>
      <c r="J524" s="12"/>
      <c r="L524" s="12"/>
      <c r="Q524" s="218"/>
      <c r="R524" s="218"/>
      <c r="S524" s="218"/>
      <c r="T524" s="218"/>
    </row>
    <row r="525">
      <c r="D525" s="3"/>
      <c r="E525" s="112"/>
      <c r="F525" s="3"/>
      <c r="G525" s="12"/>
      <c r="J525" s="12"/>
      <c r="L525" s="12"/>
      <c r="Q525" s="218"/>
      <c r="R525" s="218"/>
      <c r="S525" s="218"/>
      <c r="T525" s="218"/>
    </row>
    <row r="526">
      <c r="D526" s="3"/>
      <c r="E526" s="112"/>
      <c r="F526" s="3"/>
      <c r="G526" s="12"/>
      <c r="J526" s="12"/>
      <c r="L526" s="12"/>
      <c r="Q526" s="218"/>
      <c r="R526" s="218"/>
      <c r="S526" s="218"/>
      <c r="T526" s="218"/>
    </row>
    <row r="527">
      <c r="D527" s="3"/>
      <c r="E527" s="112"/>
      <c r="F527" s="3"/>
      <c r="G527" s="12"/>
      <c r="J527" s="12"/>
      <c r="L527" s="12"/>
      <c r="Q527" s="218"/>
      <c r="R527" s="218"/>
      <c r="S527" s="218"/>
      <c r="T527" s="218"/>
    </row>
    <row r="528">
      <c r="D528" s="3"/>
      <c r="E528" s="112"/>
      <c r="F528" s="3"/>
      <c r="G528" s="12"/>
      <c r="J528" s="12"/>
      <c r="L528" s="12"/>
      <c r="Q528" s="218"/>
      <c r="R528" s="218"/>
      <c r="S528" s="218"/>
      <c r="T528" s="218"/>
    </row>
    <row r="529">
      <c r="D529" s="3"/>
      <c r="E529" s="112"/>
      <c r="F529" s="3"/>
      <c r="G529" s="12"/>
      <c r="J529" s="12"/>
      <c r="L529" s="12"/>
      <c r="Q529" s="218"/>
      <c r="R529" s="218"/>
      <c r="S529" s="218"/>
      <c r="T529" s="218"/>
    </row>
    <row r="530">
      <c r="D530" s="3"/>
      <c r="E530" s="112"/>
      <c r="F530" s="3"/>
      <c r="G530" s="12"/>
      <c r="J530" s="12"/>
      <c r="L530" s="12"/>
      <c r="Q530" s="218"/>
      <c r="R530" s="218"/>
      <c r="S530" s="218"/>
      <c r="T530" s="218"/>
    </row>
    <row r="531">
      <c r="D531" s="3"/>
      <c r="E531" s="112"/>
      <c r="F531" s="3"/>
      <c r="G531" s="12"/>
      <c r="J531" s="12"/>
      <c r="L531" s="12"/>
      <c r="Q531" s="218"/>
      <c r="R531" s="218"/>
      <c r="S531" s="218"/>
      <c r="T531" s="218"/>
    </row>
    <row r="532">
      <c r="D532" s="3"/>
      <c r="E532" s="112"/>
      <c r="F532" s="3"/>
      <c r="G532" s="12"/>
      <c r="J532" s="12"/>
      <c r="L532" s="12"/>
      <c r="Q532" s="218"/>
      <c r="R532" s="218"/>
      <c r="S532" s="218"/>
      <c r="T532" s="218"/>
    </row>
    <row r="533">
      <c r="D533" s="3"/>
      <c r="E533" s="112"/>
      <c r="F533" s="3"/>
      <c r="G533" s="12"/>
      <c r="J533" s="12"/>
      <c r="L533" s="12"/>
      <c r="Q533" s="218"/>
      <c r="R533" s="218"/>
      <c r="S533" s="218"/>
      <c r="T533" s="218"/>
    </row>
    <row r="534">
      <c r="D534" s="3"/>
      <c r="E534" s="112"/>
      <c r="F534" s="3"/>
      <c r="G534" s="12"/>
      <c r="J534" s="12"/>
      <c r="L534" s="12"/>
      <c r="Q534" s="218"/>
      <c r="R534" s="218"/>
      <c r="S534" s="218"/>
      <c r="T534" s="218"/>
    </row>
    <row r="535">
      <c r="D535" s="3"/>
      <c r="E535" s="112"/>
      <c r="F535" s="3"/>
      <c r="G535" s="12"/>
      <c r="J535" s="12"/>
      <c r="L535" s="12"/>
      <c r="Q535" s="218"/>
      <c r="R535" s="218"/>
      <c r="S535" s="218"/>
      <c r="T535" s="218"/>
    </row>
    <row r="536">
      <c r="D536" s="3"/>
      <c r="E536" s="112"/>
      <c r="F536" s="3"/>
      <c r="G536" s="12"/>
      <c r="J536" s="12"/>
      <c r="L536" s="12"/>
      <c r="Q536" s="218"/>
      <c r="R536" s="218"/>
      <c r="S536" s="218"/>
      <c r="T536" s="218"/>
    </row>
    <row r="537">
      <c r="D537" s="3"/>
      <c r="E537" s="112"/>
      <c r="F537" s="3"/>
      <c r="G537" s="12"/>
      <c r="J537" s="12"/>
      <c r="L537" s="12"/>
      <c r="Q537" s="218"/>
      <c r="R537" s="218"/>
      <c r="S537" s="218"/>
      <c r="T537" s="218"/>
    </row>
    <row r="538">
      <c r="D538" s="3"/>
      <c r="E538" s="112"/>
      <c r="F538" s="3"/>
      <c r="G538" s="12"/>
      <c r="J538" s="12"/>
      <c r="L538" s="12"/>
      <c r="Q538" s="218"/>
      <c r="R538" s="218"/>
      <c r="S538" s="218"/>
      <c r="T538" s="218"/>
    </row>
    <row r="539">
      <c r="D539" s="3"/>
      <c r="E539" s="112"/>
      <c r="F539" s="3"/>
      <c r="G539" s="12"/>
      <c r="J539" s="12"/>
      <c r="L539" s="12"/>
      <c r="Q539" s="218"/>
      <c r="R539" s="218"/>
      <c r="S539" s="218"/>
      <c r="T539" s="218"/>
    </row>
    <row r="540">
      <c r="D540" s="3"/>
      <c r="E540" s="112"/>
      <c r="F540" s="3"/>
      <c r="G540" s="12"/>
      <c r="J540" s="12"/>
      <c r="L540" s="12"/>
      <c r="Q540" s="218"/>
      <c r="R540" s="218"/>
      <c r="S540" s="218"/>
      <c r="T540" s="218"/>
    </row>
    <row r="541">
      <c r="D541" s="3"/>
      <c r="E541" s="112"/>
      <c r="F541" s="3"/>
      <c r="G541" s="12"/>
      <c r="J541" s="12"/>
      <c r="L541" s="12"/>
      <c r="Q541" s="218"/>
      <c r="R541" s="218"/>
      <c r="S541" s="218"/>
      <c r="T541" s="218"/>
    </row>
    <row r="542">
      <c r="D542" s="3"/>
      <c r="E542" s="112"/>
      <c r="F542" s="3"/>
      <c r="G542" s="12"/>
      <c r="J542" s="12"/>
      <c r="L542" s="12"/>
      <c r="Q542" s="218"/>
      <c r="R542" s="218"/>
      <c r="S542" s="218"/>
      <c r="T542" s="218"/>
    </row>
    <row r="543">
      <c r="D543" s="3"/>
      <c r="E543" s="112"/>
      <c r="F543" s="3"/>
      <c r="G543" s="12"/>
      <c r="J543" s="12"/>
      <c r="L543" s="12"/>
      <c r="Q543" s="218"/>
      <c r="R543" s="218"/>
      <c r="S543" s="218"/>
      <c r="T543" s="218"/>
    </row>
    <row r="544">
      <c r="D544" s="3"/>
      <c r="E544" s="112"/>
      <c r="F544" s="3"/>
      <c r="G544" s="12"/>
      <c r="J544" s="12"/>
      <c r="L544" s="12"/>
      <c r="Q544" s="218"/>
      <c r="R544" s="218"/>
      <c r="S544" s="218"/>
      <c r="T544" s="218"/>
    </row>
    <row r="545">
      <c r="D545" s="3"/>
      <c r="E545" s="112"/>
      <c r="F545" s="3"/>
      <c r="G545" s="12"/>
      <c r="J545" s="12"/>
      <c r="L545" s="12"/>
      <c r="Q545" s="218"/>
      <c r="R545" s="218"/>
      <c r="S545" s="218"/>
      <c r="T545" s="218"/>
    </row>
    <row r="546">
      <c r="D546" s="3"/>
      <c r="E546" s="112"/>
      <c r="F546" s="3"/>
      <c r="G546" s="12"/>
      <c r="J546" s="12"/>
      <c r="L546" s="12"/>
      <c r="Q546" s="218"/>
      <c r="R546" s="218"/>
      <c r="S546" s="218"/>
      <c r="T546" s="218"/>
    </row>
    <row r="547">
      <c r="D547" s="3"/>
      <c r="E547" s="112"/>
      <c r="F547" s="3"/>
      <c r="G547" s="12"/>
      <c r="J547" s="12"/>
      <c r="L547" s="12"/>
      <c r="Q547" s="218"/>
      <c r="R547" s="218"/>
      <c r="S547" s="218"/>
      <c r="T547" s="218"/>
    </row>
    <row r="548">
      <c r="D548" s="3"/>
      <c r="E548" s="112"/>
      <c r="F548" s="3"/>
      <c r="G548" s="12"/>
      <c r="J548" s="12"/>
      <c r="L548" s="12"/>
      <c r="Q548" s="218"/>
      <c r="R548" s="218"/>
      <c r="S548" s="218"/>
      <c r="T548" s="218"/>
    </row>
    <row r="549">
      <c r="D549" s="3"/>
      <c r="E549" s="112"/>
      <c r="F549" s="3"/>
      <c r="G549" s="12"/>
      <c r="J549" s="12"/>
      <c r="L549" s="12"/>
      <c r="Q549" s="218"/>
      <c r="R549" s="218"/>
      <c r="S549" s="218"/>
      <c r="T549" s="218"/>
    </row>
    <row r="550">
      <c r="D550" s="3"/>
      <c r="E550" s="112"/>
      <c r="F550" s="3"/>
      <c r="G550" s="12"/>
      <c r="J550" s="12"/>
      <c r="L550" s="12"/>
      <c r="Q550" s="218"/>
      <c r="R550" s="218"/>
      <c r="S550" s="218"/>
      <c r="T550" s="218"/>
    </row>
    <row r="551">
      <c r="D551" s="3"/>
      <c r="E551" s="112"/>
      <c r="F551" s="3"/>
      <c r="G551" s="12"/>
      <c r="J551" s="12"/>
      <c r="L551" s="12"/>
      <c r="Q551" s="218"/>
      <c r="R551" s="218"/>
      <c r="S551" s="218"/>
      <c r="T551" s="218"/>
    </row>
    <row r="552">
      <c r="D552" s="3"/>
      <c r="E552" s="112"/>
      <c r="F552" s="3"/>
      <c r="G552" s="12"/>
      <c r="J552" s="12"/>
      <c r="L552" s="12"/>
      <c r="Q552" s="218"/>
      <c r="R552" s="218"/>
      <c r="S552" s="218"/>
      <c r="T552" s="218"/>
    </row>
    <row r="553">
      <c r="D553" s="3"/>
      <c r="E553" s="112"/>
      <c r="F553" s="3"/>
      <c r="G553" s="12"/>
      <c r="J553" s="12"/>
      <c r="L553" s="12"/>
      <c r="Q553" s="218"/>
      <c r="R553" s="218"/>
      <c r="S553" s="218"/>
      <c r="T553" s="218"/>
    </row>
    <row r="554">
      <c r="D554" s="3"/>
      <c r="E554" s="112"/>
      <c r="F554" s="3"/>
      <c r="G554" s="12"/>
      <c r="J554" s="12"/>
      <c r="L554" s="12"/>
      <c r="Q554" s="218"/>
      <c r="R554" s="218"/>
      <c r="S554" s="218"/>
      <c r="T554" s="218"/>
    </row>
    <row r="555">
      <c r="D555" s="3"/>
      <c r="E555" s="112"/>
      <c r="F555" s="3"/>
      <c r="G555" s="12"/>
      <c r="J555" s="12"/>
      <c r="L555" s="12"/>
      <c r="Q555" s="218"/>
      <c r="R555" s="218"/>
      <c r="S555" s="218"/>
      <c r="T555" s="218"/>
    </row>
    <row r="556">
      <c r="D556" s="3"/>
      <c r="E556" s="112"/>
      <c r="F556" s="3"/>
      <c r="G556" s="12"/>
      <c r="J556" s="12"/>
      <c r="L556" s="12"/>
      <c r="Q556" s="218"/>
      <c r="R556" s="218"/>
      <c r="S556" s="218"/>
      <c r="T556" s="218"/>
    </row>
    <row r="557">
      <c r="D557" s="3"/>
      <c r="E557" s="112"/>
      <c r="F557" s="3"/>
      <c r="G557" s="12"/>
      <c r="J557" s="12"/>
      <c r="L557" s="12"/>
      <c r="Q557" s="218"/>
      <c r="R557" s="218"/>
      <c r="S557" s="218"/>
      <c r="T557" s="218"/>
    </row>
    <row r="558">
      <c r="D558" s="3"/>
      <c r="E558" s="112"/>
      <c r="F558" s="3"/>
      <c r="G558" s="12"/>
      <c r="J558" s="12"/>
      <c r="L558" s="12"/>
      <c r="Q558" s="218"/>
      <c r="R558" s="218"/>
      <c r="S558" s="218"/>
      <c r="T558" s="218"/>
    </row>
    <row r="559">
      <c r="D559" s="3"/>
      <c r="E559" s="112"/>
      <c r="F559" s="3"/>
      <c r="G559" s="12"/>
      <c r="J559" s="12"/>
      <c r="L559" s="12"/>
      <c r="Q559" s="218"/>
      <c r="R559" s="218"/>
      <c r="S559" s="218"/>
      <c r="T559" s="218"/>
    </row>
    <row r="560">
      <c r="D560" s="3"/>
      <c r="E560" s="112"/>
      <c r="F560" s="3"/>
      <c r="G560" s="12"/>
      <c r="J560" s="12"/>
      <c r="L560" s="12"/>
      <c r="Q560" s="218"/>
      <c r="R560" s="218"/>
      <c r="S560" s="218"/>
      <c r="T560" s="218"/>
    </row>
    <row r="561">
      <c r="D561" s="3"/>
      <c r="E561" s="112"/>
      <c r="F561" s="3"/>
      <c r="G561" s="12"/>
      <c r="J561" s="12"/>
      <c r="L561" s="12"/>
      <c r="Q561" s="218"/>
      <c r="R561" s="218"/>
      <c r="S561" s="218"/>
      <c r="T561" s="218"/>
    </row>
    <row r="562">
      <c r="D562" s="3"/>
      <c r="E562" s="112"/>
      <c r="F562" s="3"/>
      <c r="G562" s="12"/>
      <c r="J562" s="12"/>
      <c r="L562" s="12"/>
      <c r="Q562" s="218"/>
      <c r="R562" s="218"/>
      <c r="S562" s="218"/>
      <c r="T562" s="218"/>
    </row>
    <row r="563">
      <c r="D563" s="3"/>
      <c r="E563" s="112"/>
      <c r="F563" s="3"/>
      <c r="G563" s="12"/>
      <c r="J563" s="12"/>
      <c r="L563" s="12"/>
      <c r="Q563" s="218"/>
      <c r="R563" s="218"/>
      <c r="S563" s="218"/>
      <c r="T563" s="218"/>
    </row>
    <row r="564">
      <c r="D564" s="3"/>
      <c r="E564" s="112"/>
      <c r="F564" s="3"/>
      <c r="G564" s="12"/>
      <c r="J564" s="12"/>
      <c r="L564" s="12"/>
      <c r="Q564" s="218"/>
      <c r="R564" s="218"/>
      <c r="S564" s="218"/>
      <c r="T564" s="218"/>
    </row>
    <row r="565">
      <c r="D565" s="3"/>
      <c r="E565" s="112"/>
      <c r="F565" s="3"/>
      <c r="G565" s="12"/>
      <c r="J565" s="12"/>
      <c r="L565" s="12"/>
      <c r="Q565" s="218"/>
      <c r="R565" s="218"/>
      <c r="S565" s="218"/>
      <c r="T565" s="218"/>
    </row>
    <row r="566">
      <c r="D566" s="3"/>
      <c r="E566" s="112"/>
      <c r="F566" s="3"/>
      <c r="G566" s="12"/>
      <c r="J566" s="12"/>
      <c r="L566" s="12"/>
      <c r="Q566" s="218"/>
      <c r="R566" s="218"/>
      <c r="S566" s="218"/>
      <c r="T566" s="218"/>
    </row>
    <row r="567">
      <c r="D567" s="3"/>
      <c r="E567" s="112"/>
      <c r="F567" s="3"/>
      <c r="G567" s="12"/>
      <c r="J567" s="12"/>
      <c r="L567" s="12"/>
      <c r="Q567" s="218"/>
      <c r="R567" s="218"/>
      <c r="S567" s="218"/>
      <c r="T567" s="218"/>
    </row>
    <row r="568">
      <c r="D568" s="3"/>
      <c r="E568" s="112"/>
      <c r="F568" s="3"/>
      <c r="G568" s="12"/>
      <c r="J568" s="12"/>
      <c r="L568" s="12"/>
      <c r="Q568" s="218"/>
      <c r="R568" s="218"/>
      <c r="S568" s="218"/>
      <c r="T568" s="218"/>
    </row>
    <row r="569">
      <c r="D569" s="3"/>
      <c r="E569" s="112"/>
      <c r="F569" s="3"/>
      <c r="G569" s="12"/>
      <c r="J569" s="12"/>
      <c r="L569" s="12"/>
      <c r="Q569" s="218"/>
      <c r="R569" s="218"/>
      <c r="S569" s="218"/>
      <c r="T569" s="218"/>
    </row>
    <row r="570">
      <c r="D570" s="3"/>
      <c r="E570" s="112"/>
      <c r="F570" s="3"/>
      <c r="G570" s="12"/>
      <c r="J570" s="12"/>
      <c r="L570" s="12"/>
      <c r="Q570" s="218"/>
      <c r="R570" s="218"/>
      <c r="S570" s="218"/>
      <c r="T570" s="218"/>
    </row>
    <row r="571">
      <c r="D571" s="3"/>
      <c r="E571" s="112"/>
      <c r="F571" s="3"/>
      <c r="G571" s="12"/>
      <c r="J571" s="12"/>
      <c r="L571" s="12"/>
      <c r="Q571" s="218"/>
      <c r="R571" s="218"/>
      <c r="S571" s="218"/>
      <c r="T571" s="218"/>
    </row>
    <row r="572">
      <c r="D572" s="3"/>
      <c r="E572" s="112"/>
      <c r="F572" s="3"/>
      <c r="G572" s="12"/>
      <c r="J572" s="12"/>
      <c r="L572" s="12"/>
      <c r="Q572" s="218"/>
      <c r="R572" s="218"/>
      <c r="S572" s="218"/>
      <c r="T572" s="218"/>
    </row>
    <row r="573">
      <c r="D573" s="3"/>
      <c r="E573" s="112"/>
      <c r="F573" s="3"/>
      <c r="G573" s="12"/>
      <c r="J573" s="12"/>
      <c r="L573" s="12"/>
      <c r="Q573" s="218"/>
      <c r="R573" s="218"/>
      <c r="S573" s="218"/>
      <c r="T573" s="218"/>
    </row>
    <row r="574">
      <c r="D574" s="3"/>
      <c r="E574" s="112"/>
      <c r="F574" s="3"/>
      <c r="G574" s="12"/>
      <c r="J574" s="12"/>
      <c r="L574" s="12"/>
      <c r="Q574" s="218"/>
      <c r="R574" s="218"/>
      <c r="S574" s="218"/>
      <c r="T574" s="218"/>
    </row>
    <row r="575">
      <c r="D575" s="3"/>
      <c r="E575" s="112"/>
      <c r="F575" s="3"/>
      <c r="G575" s="12"/>
      <c r="J575" s="12"/>
      <c r="L575" s="12"/>
      <c r="Q575" s="218"/>
      <c r="R575" s="218"/>
      <c r="S575" s="218"/>
      <c r="T575" s="218"/>
    </row>
    <row r="576">
      <c r="D576" s="3"/>
      <c r="E576" s="112"/>
      <c r="F576" s="3"/>
      <c r="G576" s="12"/>
      <c r="J576" s="12"/>
      <c r="L576" s="12"/>
      <c r="Q576" s="218"/>
      <c r="R576" s="218"/>
      <c r="S576" s="218"/>
      <c r="T576" s="218"/>
    </row>
    <row r="577">
      <c r="D577" s="3"/>
      <c r="E577" s="112"/>
      <c r="F577" s="3"/>
      <c r="G577" s="12"/>
      <c r="J577" s="12"/>
      <c r="L577" s="12"/>
      <c r="Q577" s="218"/>
      <c r="R577" s="218"/>
      <c r="S577" s="218"/>
      <c r="T577" s="218"/>
    </row>
    <row r="578">
      <c r="D578" s="3"/>
      <c r="E578" s="112"/>
      <c r="F578" s="3"/>
      <c r="G578" s="12"/>
      <c r="J578" s="12"/>
      <c r="L578" s="12"/>
      <c r="Q578" s="218"/>
      <c r="R578" s="218"/>
      <c r="S578" s="218"/>
      <c r="T578" s="218"/>
    </row>
    <row r="579">
      <c r="D579" s="3"/>
      <c r="E579" s="112"/>
      <c r="F579" s="3"/>
      <c r="G579" s="12"/>
      <c r="J579" s="12"/>
      <c r="L579" s="12"/>
      <c r="Q579" s="218"/>
      <c r="R579" s="218"/>
      <c r="S579" s="218"/>
      <c r="T579" s="218"/>
    </row>
    <row r="580">
      <c r="D580" s="3"/>
      <c r="E580" s="112"/>
      <c r="F580" s="3"/>
      <c r="G580" s="12"/>
      <c r="J580" s="12"/>
      <c r="L580" s="12"/>
      <c r="Q580" s="218"/>
      <c r="R580" s="218"/>
      <c r="S580" s="218"/>
      <c r="T580" s="218"/>
    </row>
    <row r="581">
      <c r="D581" s="3"/>
      <c r="E581" s="112"/>
      <c r="F581" s="3"/>
      <c r="G581" s="12"/>
      <c r="J581" s="12"/>
      <c r="L581" s="12"/>
      <c r="Q581" s="218"/>
      <c r="R581" s="218"/>
      <c r="S581" s="218"/>
      <c r="T581" s="218"/>
    </row>
    <row r="582">
      <c r="D582" s="3"/>
      <c r="E582" s="112"/>
      <c r="F582" s="3"/>
      <c r="G582" s="12"/>
      <c r="J582" s="12"/>
      <c r="L582" s="12"/>
      <c r="Q582" s="218"/>
      <c r="R582" s="218"/>
      <c r="S582" s="218"/>
      <c r="T582" s="218"/>
    </row>
    <row r="583">
      <c r="D583" s="3"/>
      <c r="E583" s="112"/>
      <c r="F583" s="3"/>
      <c r="G583" s="12"/>
      <c r="J583" s="12"/>
      <c r="L583" s="12"/>
      <c r="Q583" s="218"/>
      <c r="R583" s="218"/>
      <c r="S583" s="218"/>
      <c r="T583" s="218"/>
    </row>
    <row r="584">
      <c r="D584" s="3"/>
      <c r="E584" s="112"/>
      <c r="F584" s="3"/>
      <c r="G584" s="12"/>
      <c r="J584" s="12"/>
      <c r="L584" s="12"/>
      <c r="Q584" s="218"/>
      <c r="R584" s="218"/>
      <c r="S584" s="218"/>
      <c r="T584" s="218"/>
    </row>
    <row r="585">
      <c r="D585" s="3"/>
      <c r="E585" s="112"/>
      <c r="F585" s="3"/>
      <c r="G585" s="12"/>
      <c r="J585" s="12"/>
      <c r="L585" s="12"/>
      <c r="Q585" s="218"/>
      <c r="R585" s="218"/>
      <c r="S585" s="218"/>
      <c r="T585" s="218"/>
    </row>
    <row r="586">
      <c r="D586" s="3"/>
      <c r="E586" s="112"/>
      <c r="F586" s="3"/>
      <c r="G586" s="12"/>
      <c r="J586" s="12"/>
      <c r="L586" s="12"/>
      <c r="Q586" s="218"/>
      <c r="R586" s="218"/>
      <c r="S586" s="218"/>
      <c r="T586" s="218"/>
    </row>
    <row r="587">
      <c r="D587" s="3"/>
      <c r="E587" s="112"/>
      <c r="F587" s="3"/>
      <c r="G587" s="12"/>
      <c r="J587" s="12"/>
      <c r="L587" s="12"/>
      <c r="Q587" s="218"/>
      <c r="R587" s="218"/>
      <c r="S587" s="218"/>
      <c r="T587" s="218"/>
    </row>
    <row r="588">
      <c r="D588" s="3"/>
      <c r="E588" s="112"/>
      <c r="F588" s="3"/>
      <c r="G588" s="12"/>
      <c r="J588" s="12"/>
      <c r="L588" s="12"/>
      <c r="Q588" s="218"/>
      <c r="R588" s="218"/>
      <c r="S588" s="218"/>
      <c r="T588" s="218"/>
    </row>
    <row r="589">
      <c r="D589" s="3"/>
      <c r="E589" s="112"/>
      <c r="F589" s="3"/>
      <c r="G589" s="12"/>
      <c r="J589" s="12"/>
      <c r="L589" s="12"/>
      <c r="Q589" s="218"/>
      <c r="R589" s="218"/>
      <c r="S589" s="218"/>
      <c r="T589" s="218"/>
    </row>
    <row r="590">
      <c r="D590" s="3"/>
      <c r="E590" s="112"/>
      <c r="F590" s="3"/>
      <c r="G590" s="12"/>
      <c r="J590" s="12"/>
      <c r="L590" s="12"/>
      <c r="Q590" s="218"/>
      <c r="R590" s="218"/>
      <c r="S590" s="218"/>
      <c r="T590" s="218"/>
    </row>
    <row r="591">
      <c r="D591" s="3"/>
      <c r="E591" s="112"/>
      <c r="F591" s="3"/>
      <c r="G591" s="12"/>
      <c r="J591" s="12"/>
      <c r="L591" s="12"/>
      <c r="Q591" s="218"/>
      <c r="R591" s="218"/>
      <c r="S591" s="218"/>
      <c r="T591" s="218"/>
    </row>
    <row r="592">
      <c r="D592" s="3"/>
      <c r="E592" s="112"/>
      <c r="F592" s="3"/>
      <c r="G592" s="12"/>
      <c r="J592" s="12"/>
      <c r="L592" s="12"/>
      <c r="Q592" s="218"/>
      <c r="R592" s="218"/>
      <c r="S592" s="218"/>
      <c r="T592" s="218"/>
    </row>
    <row r="593">
      <c r="D593" s="3"/>
      <c r="E593" s="112"/>
      <c r="F593" s="3"/>
      <c r="G593" s="12"/>
      <c r="J593" s="12"/>
      <c r="L593" s="12"/>
      <c r="Q593" s="218"/>
      <c r="R593" s="218"/>
      <c r="S593" s="218"/>
      <c r="T593" s="218"/>
    </row>
    <row r="594">
      <c r="D594" s="3"/>
      <c r="E594" s="112"/>
      <c r="F594" s="3"/>
      <c r="G594" s="12"/>
      <c r="J594" s="12"/>
      <c r="L594" s="12"/>
      <c r="Q594" s="218"/>
      <c r="R594" s="218"/>
      <c r="S594" s="218"/>
      <c r="T594" s="218"/>
    </row>
    <row r="595">
      <c r="D595" s="3"/>
      <c r="E595" s="112"/>
      <c r="F595" s="3"/>
      <c r="G595" s="12"/>
      <c r="J595" s="12"/>
      <c r="L595" s="12"/>
      <c r="Q595" s="218"/>
      <c r="R595" s="218"/>
      <c r="S595" s="218"/>
      <c r="T595" s="218"/>
    </row>
    <row r="596">
      <c r="D596" s="3"/>
      <c r="E596" s="112"/>
      <c r="F596" s="3"/>
      <c r="G596" s="12"/>
      <c r="J596" s="12"/>
      <c r="L596" s="12"/>
      <c r="Q596" s="218"/>
      <c r="R596" s="218"/>
      <c r="S596" s="218"/>
      <c r="T596" s="218"/>
    </row>
    <row r="597">
      <c r="D597" s="3"/>
      <c r="E597" s="112"/>
      <c r="F597" s="3"/>
      <c r="G597" s="12"/>
      <c r="J597" s="12"/>
      <c r="L597" s="12"/>
      <c r="Q597" s="218"/>
      <c r="R597" s="218"/>
      <c r="S597" s="218"/>
      <c r="T597" s="218"/>
    </row>
    <row r="598">
      <c r="D598" s="3"/>
      <c r="E598" s="112"/>
      <c r="F598" s="3"/>
      <c r="G598" s="12"/>
      <c r="J598" s="12"/>
      <c r="L598" s="12"/>
      <c r="Q598" s="218"/>
      <c r="R598" s="218"/>
      <c r="S598" s="218"/>
      <c r="T598" s="218"/>
    </row>
    <row r="599">
      <c r="D599" s="3"/>
      <c r="E599" s="112"/>
      <c r="F599" s="3"/>
      <c r="G599" s="12"/>
      <c r="J599" s="12"/>
      <c r="L599" s="12"/>
      <c r="Q599" s="218"/>
      <c r="R599" s="218"/>
      <c r="S599" s="218"/>
      <c r="T599" s="218"/>
    </row>
    <row r="600">
      <c r="D600" s="3"/>
      <c r="E600" s="112"/>
      <c r="F600" s="3"/>
      <c r="G600" s="12"/>
      <c r="J600" s="12"/>
      <c r="L600" s="12"/>
      <c r="Q600" s="218"/>
      <c r="R600" s="218"/>
      <c r="S600" s="218"/>
      <c r="T600" s="218"/>
    </row>
    <row r="601">
      <c r="D601" s="3"/>
      <c r="E601" s="112"/>
      <c r="F601" s="3"/>
      <c r="G601" s="12"/>
      <c r="J601" s="12"/>
      <c r="L601" s="12"/>
      <c r="Q601" s="218"/>
      <c r="R601" s="218"/>
      <c r="S601" s="218"/>
      <c r="T601" s="218"/>
    </row>
    <row r="602">
      <c r="D602" s="3"/>
      <c r="E602" s="112"/>
      <c r="F602" s="3"/>
      <c r="G602" s="12"/>
      <c r="J602" s="12"/>
      <c r="L602" s="12"/>
      <c r="Q602" s="218"/>
      <c r="R602" s="218"/>
      <c r="S602" s="218"/>
      <c r="T602" s="218"/>
    </row>
    <row r="603">
      <c r="D603" s="3"/>
      <c r="E603" s="112"/>
      <c r="F603" s="3"/>
      <c r="G603" s="12"/>
      <c r="J603" s="12"/>
      <c r="L603" s="12"/>
      <c r="Q603" s="218"/>
      <c r="R603" s="218"/>
      <c r="S603" s="218"/>
      <c r="T603" s="218"/>
    </row>
    <row r="604">
      <c r="D604" s="3"/>
      <c r="E604" s="112"/>
      <c r="F604" s="3"/>
      <c r="G604" s="12"/>
      <c r="J604" s="12"/>
      <c r="L604" s="12"/>
      <c r="Q604" s="218"/>
      <c r="R604" s="218"/>
      <c r="S604" s="218"/>
      <c r="T604" s="218"/>
    </row>
    <row r="605">
      <c r="D605" s="3"/>
      <c r="E605" s="112"/>
      <c r="F605" s="3"/>
      <c r="G605" s="12"/>
      <c r="J605" s="12"/>
      <c r="L605" s="12"/>
      <c r="Q605" s="218"/>
      <c r="R605" s="218"/>
      <c r="S605" s="218"/>
      <c r="T605" s="218"/>
    </row>
    <row r="606">
      <c r="D606" s="3"/>
      <c r="E606" s="112"/>
      <c r="F606" s="3"/>
      <c r="G606" s="12"/>
      <c r="J606" s="12"/>
      <c r="L606" s="12"/>
      <c r="Q606" s="218"/>
      <c r="R606" s="218"/>
      <c r="S606" s="218"/>
      <c r="T606" s="218"/>
    </row>
    <row r="607">
      <c r="D607" s="3"/>
      <c r="E607" s="112"/>
      <c r="F607" s="3"/>
      <c r="G607" s="12"/>
      <c r="J607" s="12"/>
      <c r="L607" s="12"/>
      <c r="Q607" s="218"/>
      <c r="R607" s="218"/>
      <c r="S607" s="218"/>
      <c r="T607" s="218"/>
    </row>
    <row r="608">
      <c r="D608" s="3"/>
      <c r="E608" s="112"/>
      <c r="F608" s="3"/>
      <c r="G608" s="12"/>
      <c r="J608" s="12"/>
      <c r="L608" s="12"/>
      <c r="Q608" s="218"/>
      <c r="R608" s="218"/>
      <c r="S608" s="218"/>
      <c r="T608" s="218"/>
    </row>
    <row r="609">
      <c r="D609" s="3"/>
      <c r="E609" s="112"/>
      <c r="F609" s="3"/>
      <c r="G609" s="12"/>
      <c r="J609" s="12"/>
      <c r="L609" s="12"/>
      <c r="Q609" s="218"/>
      <c r="R609" s="218"/>
      <c r="S609" s="218"/>
      <c r="T609" s="218"/>
    </row>
    <row r="610">
      <c r="D610" s="3"/>
      <c r="E610" s="112"/>
      <c r="F610" s="3"/>
      <c r="G610" s="12"/>
      <c r="J610" s="12"/>
      <c r="L610" s="12"/>
      <c r="Q610" s="218"/>
      <c r="R610" s="218"/>
      <c r="S610" s="218"/>
      <c r="T610" s="218"/>
    </row>
    <row r="611">
      <c r="D611" s="3"/>
      <c r="E611" s="112"/>
      <c r="F611" s="3"/>
      <c r="G611" s="12"/>
      <c r="J611" s="12"/>
      <c r="L611" s="12"/>
      <c r="Q611" s="218"/>
      <c r="R611" s="218"/>
      <c r="S611" s="218"/>
      <c r="T611" s="218"/>
    </row>
    <row r="612">
      <c r="D612" s="3"/>
      <c r="E612" s="112"/>
      <c r="F612" s="3"/>
      <c r="G612" s="12"/>
      <c r="J612" s="12"/>
      <c r="L612" s="12"/>
      <c r="Q612" s="218"/>
      <c r="R612" s="218"/>
      <c r="S612" s="218"/>
      <c r="T612" s="218"/>
    </row>
    <row r="613">
      <c r="D613" s="3"/>
      <c r="E613" s="112"/>
      <c r="F613" s="3"/>
      <c r="G613" s="12"/>
      <c r="J613" s="12"/>
      <c r="L613" s="12"/>
      <c r="Q613" s="218"/>
      <c r="R613" s="218"/>
      <c r="S613" s="218"/>
      <c r="T613" s="218"/>
    </row>
    <row r="614">
      <c r="D614" s="3"/>
      <c r="E614" s="112"/>
      <c r="F614" s="3"/>
      <c r="G614" s="12"/>
      <c r="J614" s="12"/>
      <c r="L614" s="12"/>
      <c r="Q614" s="218"/>
      <c r="R614" s="218"/>
      <c r="S614" s="218"/>
      <c r="T614" s="218"/>
    </row>
    <row r="615">
      <c r="D615" s="3"/>
      <c r="E615" s="112"/>
      <c r="F615" s="3"/>
      <c r="G615" s="12"/>
      <c r="J615" s="12"/>
      <c r="L615" s="12"/>
      <c r="Q615" s="218"/>
      <c r="R615" s="218"/>
      <c r="S615" s="218"/>
      <c r="T615" s="218"/>
    </row>
    <row r="616">
      <c r="D616" s="3"/>
      <c r="E616" s="112"/>
      <c r="F616" s="3"/>
      <c r="G616" s="12"/>
      <c r="J616" s="12"/>
      <c r="L616" s="12"/>
      <c r="Q616" s="218"/>
      <c r="R616" s="218"/>
      <c r="S616" s="218"/>
      <c r="T616" s="218"/>
    </row>
    <row r="617">
      <c r="D617" s="3"/>
      <c r="E617" s="112"/>
      <c r="F617" s="3"/>
      <c r="G617" s="12"/>
      <c r="J617" s="12"/>
      <c r="L617" s="12"/>
      <c r="Q617" s="218"/>
      <c r="R617" s="218"/>
      <c r="S617" s="218"/>
      <c r="T617" s="218"/>
    </row>
    <row r="618">
      <c r="D618" s="3"/>
      <c r="E618" s="112"/>
      <c r="F618" s="3"/>
      <c r="G618" s="12"/>
      <c r="J618" s="12"/>
      <c r="L618" s="12"/>
      <c r="Q618" s="218"/>
      <c r="R618" s="218"/>
      <c r="S618" s="218"/>
      <c r="T618" s="218"/>
    </row>
    <row r="619">
      <c r="D619" s="3"/>
      <c r="E619" s="112"/>
      <c r="F619" s="3"/>
      <c r="G619" s="12"/>
      <c r="J619" s="12"/>
      <c r="L619" s="12"/>
      <c r="Q619" s="218"/>
      <c r="R619" s="218"/>
      <c r="S619" s="218"/>
      <c r="T619" s="218"/>
    </row>
    <row r="620">
      <c r="D620" s="3"/>
      <c r="E620" s="112"/>
      <c r="F620" s="3"/>
      <c r="G620" s="12"/>
      <c r="J620" s="12"/>
      <c r="L620" s="12"/>
      <c r="Q620" s="218"/>
      <c r="R620" s="218"/>
      <c r="S620" s="218"/>
      <c r="T620" s="218"/>
    </row>
    <row r="621">
      <c r="D621" s="3"/>
      <c r="E621" s="112"/>
      <c r="F621" s="3"/>
      <c r="G621" s="12"/>
      <c r="J621" s="12"/>
      <c r="L621" s="12"/>
      <c r="Q621" s="218"/>
      <c r="R621" s="218"/>
      <c r="S621" s="218"/>
      <c r="T621" s="218"/>
    </row>
    <row r="622">
      <c r="D622" s="3"/>
      <c r="E622" s="112"/>
      <c r="F622" s="3"/>
      <c r="G622" s="12"/>
      <c r="J622" s="12"/>
      <c r="L622" s="12"/>
      <c r="Q622" s="218"/>
      <c r="R622" s="218"/>
      <c r="S622" s="218"/>
      <c r="T622" s="218"/>
    </row>
    <row r="623">
      <c r="D623" s="3"/>
      <c r="E623" s="112"/>
      <c r="F623" s="3"/>
      <c r="G623" s="12"/>
      <c r="J623" s="12"/>
      <c r="L623" s="12"/>
      <c r="Q623" s="218"/>
      <c r="R623" s="218"/>
      <c r="S623" s="218"/>
      <c r="T623" s="218"/>
    </row>
    <row r="624">
      <c r="D624" s="3"/>
      <c r="E624" s="112"/>
      <c r="F624" s="3"/>
      <c r="G624" s="12"/>
      <c r="J624" s="12"/>
      <c r="L624" s="12"/>
      <c r="Q624" s="218"/>
      <c r="R624" s="218"/>
      <c r="S624" s="218"/>
      <c r="T624" s="218"/>
    </row>
    <row r="625">
      <c r="D625" s="3"/>
      <c r="E625" s="112"/>
      <c r="F625" s="3"/>
      <c r="G625" s="12"/>
      <c r="J625" s="12"/>
      <c r="L625" s="12"/>
      <c r="Q625" s="218"/>
      <c r="R625" s="218"/>
      <c r="S625" s="218"/>
      <c r="T625" s="218"/>
    </row>
    <row r="626">
      <c r="D626" s="3"/>
      <c r="E626" s="112"/>
      <c r="F626" s="3"/>
      <c r="G626" s="12"/>
      <c r="J626" s="12"/>
      <c r="L626" s="12"/>
      <c r="Q626" s="218"/>
      <c r="R626" s="218"/>
      <c r="S626" s="218"/>
      <c r="T626" s="218"/>
    </row>
    <row r="627">
      <c r="D627" s="3"/>
      <c r="E627" s="112"/>
      <c r="F627" s="3"/>
      <c r="G627" s="12"/>
      <c r="J627" s="12"/>
      <c r="L627" s="12"/>
      <c r="Q627" s="218"/>
      <c r="R627" s="218"/>
      <c r="S627" s="218"/>
      <c r="T627" s="218"/>
    </row>
    <row r="628">
      <c r="D628" s="3"/>
      <c r="E628" s="112"/>
      <c r="F628" s="3"/>
      <c r="G628" s="12"/>
      <c r="J628" s="12"/>
      <c r="L628" s="12"/>
      <c r="Q628" s="218"/>
      <c r="R628" s="218"/>
      <c r="S628" s="218"/>
      <c r="T628" s="218"/>
    </row>
    <row r="629">
      <c r="D629" s="3"/>
      <c r="E629" s="112"/>
      <c r="F629" s="3"/>
      <c r="G629" s="12"/>
      <c r="J629" s="12"/>
      <c r="L629" s="12"/>
      <c r="Q629" s="218"/>
      <c r="R629" s="218"/>
      <c r="S629" s="218"/>
      <c r="T629" s="218"/>
    </row>
    <row r="630">
      <c r="D630" s="3"/>
      <c r="E630" s="112"/>
      <c r="F630" s="3"/>
      <c r="G630" s="12"/>
      <c r="J630" s="12"/>
      <c r="L630" s="12"/>
      <c r="Q630" s="218"/>
      <c r="R630" s="218"/>
      <c r="S630" s="218"/>
      <c r="T630" s="218"/>
    </row>
    <row r="631">
      <c r="D631" s="3"/>
      <c r="E631" s="112"/>
      <c r="F631" s="3"/>
      <c r="G631" s="12"/>
      <c r="J631" s="12"/>
      <c r="L631" s="12"/>
      <c r="Q631" s="218"/>
      <c r="R631" s="218"/>
      <c r="S631" s="218"/>
      <c r="T631" s="218"/>
    </row>
    <row r="632">
      <c r="D632" s="3"/>
      <c r="E632" s="112"/>
      <c r="F632" s="3"/>
      <c r="G632" s="12"/>
      <c r="J632" s="12"/>
      <c r="L632" s="12"/>
      <c r="Q632" s="218"/>
      <c r="R632" s="218"/>
      <c r="S632" s="218"/>
      <c r="T632" s="218"/>
    </row>
    <row r="633">
      <c r="D633" s="3"/>
      <c r="E633" s="112"/>
      <c r="F633" s="3"/>
      <c r="G633" s="12"/>
      <c r="J633" s="12"/>
      <c r="L633" s="12"/>
      <c r="Q633" s="218"/>
      <c r="R633" s="218"/>
      <c r="S633" s="218"/>
      <c r="T633" s="218"/>
    </row>
    <row r="634">
      <c r="D634" s="3"/>
      <c r="E634" s="112"/>
      <c r="F634" s="3"/>
      <c r="G634" s="12"/>
      <c r="J634" s="12"/>
      <c r="L634" s="12"/>
      <c r="Q634" s="218"/>
      <c r="R634" s="218"/>
      <c r="S634" s="218"/>
      <c r="T634" s="218"/>
    </row>
    <row r="635">
      <c r="D635" s="3"/>
      <c r="E635" s="112"/>
      <c r="F635" s="3"/>
      <c r="G635" s="12"/>
      <c r="J635" s="12"/>
      <c r="L635" s="12"/>
      <c r="Q635" s="218"/>
      <c r="R635" s="218"/>
      <c r="S635" s="218"/>
      <c r="T635" s="218"/>
    </row>
    <row r="636">
      <c r="D636" s="3"/>
      <c r="E636" s="112"/>
      <c r="F636" s="3"/>
      <c r="G636" s="12"/>
      <c r="J636" s="12"/>
      <c r="L636" s="12"/>
      <c r="Q636" s="218"/>
      <c r="R636" s="218"/>
      <c r="S636" s="218"/>
      <c r="T636" s="218"/>
    </row>
    <row r="637">
      <c r="D637" s="3"/>
      <c r="E637" s="112"/>
      <c r="F637" s="3"/>
      <c r="G637" s="12"/>
      <c r="J637" s="12"/>
      <c r="L637" s="12"/>
      <c r="Q637" s="218"/>
      <c r="R637" s="218"/>
      <c r="S637" s="218"/>
      <c r="T637" s="218"/>
    </row>
    <row r="638">
      <c r="D638" s="3"/>
      <c r="E638" s="112"/>
      <c r="F638" s="3"/>
      <c r="G638" s="12"/>
      <c r="J638" s="12"/>
      <c r="L638" s="12"/>
      <c r="Q638" s="218"/>
      <c r="R638" s="218"/>
      <c r="S638" s="218"/>
      <c r="T638" s="218"/>
    </row>
    <row r="639">
      <c r="D639" s="3"/>
      <c r="E639" s="112"/>
      <c r="F639" s="3"/>
      <c r="G639" s="12"/>
      <c r="J639" s="12"/>
      <c r="L639" s="12"/>
      <c r="Q639" s="218"/>
      <c r="R639" s="218"/>
      <c r="S639" s="218"/>
      <c r="T639" s="218"/>
    </row>
    <row r="640">
      <c r="D640" s="3"/>
      <c r="E640" s="112"/>
      <c r="F640" s="3"/>
      <c r="G640" s="12"/>
      <c r="J640" s="12"/>
      <c r="L640" s="12"/>
      <c r="Q640" s="218"/>
      <c r="R640" s="218"/>
      <c r="S640" s="218"/>
      <c r="T640" s="218"/>
    </row>
    <row r="641">
      <c r="D641" s="3"/>
      <c r="E641" s="112"/>
      <c r="F641" s="3"/>
      <c r="G641" s="12"/>
      <c r="J641" s="12"/>
      <c r="L641" s="12"/>
      <c r="Q641" s="218"/>
      <c r="R641" s="218"/>
      <c r="S641" s="218"/>
      <c r="T641" s="218"/>
    </row>
    <row r="642">
      <c r="D642" s="3"/>
      <c r="E642" s="112"/>
      <c r="F642" s="3"/>
      <c r="G642" s="12"/>
      <c r="J642" s="12"/>
      <c r="L642" s="12"/>
      <c r="Q642" s="218"/>
      <c r="R642" s="218"/>
      <c r="S642" s="218"/>
      <c r="T642" s="218"/>
    </row>
    <row r="643">
      <c r="D643" s="3"/>
      <c r="E643" s="112"/>
      <c r="F643" s="3"/>
      <c r="G643" s="12"/>
      <c r="J643" s="12"/>
      <c r="L643" s="12"/>
      <c r="Q643" s="218"/>
      <c r="R643" s="218"/>
      <c r="S643" s="218"/>
      <c r="T643" s="218"/>
    </row>
    <row r="644">
      <c r="D644" s="3"/>
      <c r="E644" s="112"/>
      <c r="F644" s="3"/>
      <c r="G644" s="12"/>
      <c r="J644" s="12"/>
      <c r="L644" s="12"/>
      <c r="Q644" s="218"/>
      <c r="R644" s="218"/>
      <c r="S644" s="218"/>
      <c r="T644" s="218"/>
    </row>
    <row r="645">
      <c r="D645" s="3"/>
      <c r="E645" s="112"/>
      <c r="F645" s="3"/>
      <c r="G645" s="12"/>
      <c r="J645" s="12"/>
      <c r="L645" s="12"/>
      <c r="Q645" s="218"/>
      <c r="R645" s="218"/>
      <c r="S645" s="218"/>
      <c r="T645" s="218"/>
    </row>
    <row r="646">
      <c r="D646" s="3"/>
      <c r="E646" s="112"/>
      <c r="F646" s="3"/>
      <c r="G646" s="12"/>
      <c r="J646" s="12"/>
      <c r="L646" s="12"/>
      <c r="Q646" s="218"/>
      <c r="R646" s="218"/>
      <c r="S646" s="218"/>
      <c r="T646" s="218"/>
    </row>
    <row r="647">
      <c r="D647" s="3"/>
      <c r="E647" s="112"/>
      <c r="F647" s="3"/>
      <c r="G647" s="12"/>
      <c r="J647" s="12"/>
      <c r="L647" s="12"/>
      <c r="Q647" s="218"/>
      <c r="R647" s="218"/>
      <c r="S647" s="218"/>
      <c r="T647" s="218"/>
    </row>
    <row r="648">
      <c r="D648" s="3"/>
      <c r="E648" s="112"/>
      <c r="F648" s="3"/>
      <c r="G648" s="12"/>
      <c r="J648" s="12"/>
      <c r="L648" s="12"/>
      <c r="Q648" s="218"/>
      <c r="R648" s="218"/>
      <c r="S648" s="218"/>
      <c r="T648" s="218"/>
    </row>
    <row r="649">
      <c r="D649" s="3"/>
      <c r="E649" s="112"/>
      <c r="F649" s="3"/>
      <c r="G649" s="12"/>
      <c r="J649" s="12"/>
      <c r="L649" s="12"/>
      <c r="Q649" s="218"/>
      <c r="R649" s="218"/>
      <c r="S649" s="218"/>
      <c r="T649" s="218"/>
    </row>
    <row r="650">
      <c r="D650" s="3"/>
      <c r="E650" s="112"/>
      <c r="F650" s="3"/>
      <c r="G650" s="12"/>
      <c r="J650" s="12"/>
      <c r="L650" s="12"/>
      <c r="Q650" s="218"/>
      <c r="R650" s="218"/>
      <c r="S650" s="218"/>
      <c r="T650" s="218"/>
    </row>
    <row r="651">
      <c r="D651" s="3"/>
      <c r="E651" s="112"/>
      <c r="F651" s="3"/>
      <c r="G651" s="12"/>
      <c r="J651" s="12"/>
      <c r="L651" s="12"/>
      <c r="Q651" s="218"/>
      <c r="R651" s="218"/>
      <c r="S651" s="218"/>
      <c r="T651" s="218"/>
    </row>
    <row r="652">
      <c r="D652" s="3"/>
      <c r="E652" s="112"/>
      <c r="F652" s="3"/>
      <c r="G652" s="12"/>
      <c r="J652" s="12"/>
      <c r="L652" s="12"/>
      <c r="Q652" s="218"/>
      <c r="R652" s="218"/>
      <c r="S652" s="218"/>
      <c r="T652" s="218"/>
    </row>
    <row r="653">
      <c r="D653" s="3"/>
      <c r="E653" s="112"/>
      <c r="F653" s="3"/>
      <c r="G653" s="12"/>
      <c r="J653" s="12"/>
      <c r="L653" s="12"/>
      <c r="Q653" s="218"/>
      <c r="R653" s="218"/>
      <c r="S653" s="218"/>
      <c r="T653" s="218"/>
    </row>
    <row r="654">
      <c r="D654" s="3"/>
      <c r="E654" s="112"/>
      <c r="F654" s="3"/>
      <c r="G654" s="12"/>
      <c r="J654" s="12"/>
      <c r="L654" s="12"/>
      <c r="Q654" s="218"/>
      <c r="R654" s="218"/>
      <c r="S654" s="218"/>
      <c r="T654" s="218"/>
    </row>
    <row r="655">
      <c r="D655" s="3"/>
      <c r="E655" s="112"/>
      <c r="F655" s="3"/>
      <c r="G655" s="12"/>
      <c r="J655" s="12"/>
      <c r="L655" s="12"/>
      <c r="Q655" s="218"/>
      <c r="R655" s="218"/>
      <c r="S655" s="218"/>
      <c r="T655" s="218"/>
    </row>
    <row r="656">
      <c r="D656" s="3"/>
      <c r="E656" s="112"/>
      <c r="F656" s="3"/>
      <c r="G656" s="12"/>
      <c r="J656" s="12"/>
      <c r="L656" s="12"/>
      <c r="Q656" s="218"/>
      <c r="R656" s="218"/>
      <c r="S656" s="218"/>
      <c r="T656" s="218"/>
    </row>
    <row r="657">
      <c r="D657" s="3"/>
      <c r="E657" s="112"/>
      <c r="F657" s="3"/>
      <c r="G657" s="12"/>
      <c r="J657" s="12"/>
      <c r="L657" s="12"/>
      <c r="Q657" s="218"/>
      <c r="R657" s="218"/>
      <c r="S657" s="218"/>
      <c r="T657" s="218"/>
    </row>
    <row r="658">
      <c r="D658" s="3"/>
      <c r="E658" s="112"/>
      <c r="F658" s="3"/>
      <c r="G658" s="12"/>
      <c r="J658" s="12"/>
      <c r="L658" s="12"/>
      <c r="Q658" s="218"/>
      <c r="R658" s="218"/>
      <c r="S658" s="218"/>
      <c r="T658" s="218"/>
    </row>
    <row r="659">
      <c r="D659" s="3"/>
      <c r="E659" s="112"/>
      <c r="F659" s="3"/>
      <c r="G659" s="12"/>
      <c r="J659" s="12"/>
      <c r="L659" s="12"/>
      <c r="Q659" s="218"/>
      <c r="R659" s="218"/>
      <c r="S659" s="218"/>
      <c r="T659" s="218"/>
    </row>
    <row r="660">
      <c r="D660" s="3"/>
      <c r="E660" s="112"/>
      <c r="F660" s="3"/>
      <c r="G660" s="12"/>
      <c r="J660" s="12"/>
      <c r="L660" s="12"/>
      <c r="Q660" s="218"/>
      <c r="R660" s="218"/>
      <c r="S660" s="218"/>
      <c r="T660" s="218"/>
    </row>
    <row r="661">
      <c r="D661" s="3"/>
      <c r="E661" s="112"/>
      <c r="F661" s="3"/>
      <c r="G661" s="12"/>
      <c r="J661" s="12"/>
      <c r="L661" s="12"/>
      <c r="Q661" s="218"/>
      <c r="R661" s="218"/>
      <c r="S661" s="218"/>
      <c r="T661" s="218"/>
    </row>
    <row r="662">
      <c r="D662" s="3"/>
      <c r="E662" s="112"/>
      <c r="F662" s="3"/>
      <c r="G662" s="12"/>
      <c r="J662" s="12"/>
      <c r="L662" s="12"/>
      <c r="Q662" s="218"/>
      <c r="R662" s="218"/>
      <c r="S662" s="218"/>
      <c r="T662" s="218"/>
    </row>
    <row r="663">
      <c r="D663" s="3"/>
      <c r="E663" s="112"/>
      <c r="F663" s="3"/>
      <c r="G663" s="12"/>
      <c r="J663" s="12"/>
      <c r="L663" s="12"/>
      <c r="Q663" s="218"/>
      <c r="R663" s="218"/>
      <c r="S663" s="218"/>
      <c r="T663" s="218"/>
    </row>
    <row r="664">
      <c r="D664" s="3"/>
      <c r="E664" s="112"/>
      <c r="F664" s="3"/>
      <c r="G664" s="12"/>
      <c r="J664" s="12"/>
      <c r="L664" s="12"/>
      <c r="Q664" s="218"/>
      <c r="R664" s="218"/>
      <c r="S664" s="218"/>
      <c r="T664" s="218"/>
    </row>
    <row r="665">
      <c r="D665" s="3"/>
      <c r="E665" s="112"/>
      <c r="F665" s="3"/>
      <c r="G665" s="12"/>
      <c r="J665" s="12"/>
      <c r="L665" s="12"/>
      <c r="Q665" s="218"/>
      <c r="R665" s="218"/>
      <c r="S665" s="218"/>
      <c r="T665" s="218"/>
    </row>
    <row r="666">
      <c r="D666" s="3"/>
      <c r="E666" s="112"/>
      <c r="F666" s="3"/>
      <c r="G666" s="12"/>
      <c r="J666" s="12"/>
      <c r="L666" s="12"/>
      <c r="Q666" s="218"/>
      <c r="R666" s="218"/>
      <c r="S666" s="218"/>
      <c r="T666" s="218"/>
    </row>
    <row r="667">
      <c r="D667" s="3"/>
      <c r="E667" s="112"/>
      <c r="F667" s="3"/>
      <c r="G667" s="12"/>
      <c r="J667" s="12"/>
      <c r="L667" s="12"/>
      <c r="Q667" s="218"/>
      <c r="R667" s="218"/>
      <c r="S667" s="218"/>
      <c r="T667" s="218"/>
    </row>
    <row r="668">
      <c r="D668" s="3"/>
      <c r="E668" s="112"/>
      <c r="F668" s="3"/>
      <c r="G668" s="12"/>
      <c r="J668" s="12"/>
      <c r="L668" s="12"/>
      <c r="Q668" s="218"/>
      <c r="R668" s="218"/>
      <c r="S668" s="218"/>
      <c r="T668" s="218"/>
    </row>
    <row r="669">
      <c r="D669" s="3"/>
      <c r="E669" s="112"/>
      <c r="F669" s="3"/>
      <c r="G669" s="12"/>
      <c r="J669" s="12"/>
      <c r="L669" s="12"/>
      <c r="Q669" s="218"/>
      <c r="R669" s="218"/>
      <c r="S669" s="218"/>
      <c r="T669" s="218"/>
    </row>
    <row r="670">
      <c r="D670" s="3"/>
      <c r="E670" s="112"/>
      <c r="F670" s="3"/>
      <c r="G670" s="12"/>
      <c r="J670" s="12"/>
      <c r="L670" s="12"/>
      <c r="Q670" s="218"/>
      <c r="R670" s="218"/>
      <c r="S670" s="218"/>
      <c r="T670" s="218"/>
    </row>
    <row r="671">
      <c r="D671" s="3"/>
      <c r="E671" s="112"/>
      <c r="F671" s="3"/>
      <c r="G671" s="12"/>
      <c r="J671" s="12"/>
      <c r="L671" s="12"/>
      <c r="Q671" s="218"/>
      <c r="R671" s="218"/>
      <c r="S671" s="218"/>
      <c r="T671" s="218"/>
    </row>
    <row r="672">
      <c r="D672" s="3"/>
      <c r="E672" s="112"/>
      <c r="F672" s="3"/>
      <c r="G672" s="12"/>
      <c r="J672" s="12"/>
      <c r="L672" s="12"/>
      <c r="Q672" s="218"/>
      <c r="R672" s="218"/>
      <c r="S672" s="218"/>
      <c r="T672" s="218"/>
    </row>
    <row r="673">
      <c r="D673" s="3"/>
      <c r="E673" s="112"/>
      <c r="F673" s="3"/>
      <c r="G673" s="12"/>
      <c r="J673" s="12"/>
      <c r="L673" s="12"/>
      <c r="Q673" s="218"/>
      <c r="R673" s="218"/>
      <c r="S673" s="218"/>
      <c r="T673" s="218"/>
    </row>
    <row r="674">
      <c r="D674" s="3"/>
      <c r="E674" s="112"/>
      <c r="F674" s="3"/>
      <c r="G674" s="12"/>
      <c r="J674" s="12"/>
      <c r="L674" s="12"/>
      <c r="Q674" s="218"/>
      <c r="R674" s="218"/>
      <c r="S674" s="218"/>
      <c r="T674" s="218"/>
    </row>
    <row r="675">
      <c r="D675" s="3"/>
      <c r="E675" s="112"/>
      <c r="F675" s="3"/>
      <c r="G675" s="12"/>
      <c r="J675" s="12"/>
      <c r="L675" s="12"/>
      <c r="Q675" s="218"/>
      <c r="R675" s="218"/>
      <c r="S675" s="218"/>
      <c r="T675" s="218"/>
    </row>
    <row r="676">
      <c r="D676" s="3"/>
      <c r="E676" s="112"/>
      <c r="F676" s="3"/>
      <c r="G676" s="12"/>
      <c r="J676" s="12"/>
      <c r="L676" s="12"/>
      <c r="Q676" s="218"/>
      <c r="R676" s="218"/>
      <c r="S676" s="218"/>
      <c r="T676" s="218"/>
    </row>
    <row r="677">
      <c r="D677" s="3"/>
      <c r="E677" s="112"/>
      <c r="F677" s="3"/>
      <c r="G677" s="12"/>
      <c r="J677" s="12"/>
      <c r="L677" s="12"/>
      <c r="Q677" s="218"/>
      <c r="R677" s="218"/>
      <c r="S677" s="218"/>
      <c r="T677" s="218"/>
    </row>
    <row r="678">
      <c r="D678" s="3"/>
      <c r="E678" s="112"/>
      <c r="F678" s="3"/>
      <c r="G678" s="12"/>
      <c r="J678" s="12"/>
      <c r="L678" s="12"/>
      <c r="Q678" s="218"/>
      <c r="R678" s="218"/>
      <c r="S678" s="218"/>
      <c r="T678" s="218"/>
    </row>
    <row r="679">
      <c r="D679" s="3"/>
      <c r="E679" s="112"/>
      <c r="F679" s="3"/>
      <c r="G679" s="12"/>
      <c r="J679" s="12"/>
      <c r="L679" s="12"/>
      <c r="Q679" s="218"/>
      <c r="R679" s="218"/>
      <c r="S679" s="218"/>
      <c r="T679" s="218"/>
    </row>
    <row r="680">
      <c r="D680" s="3"/>
      <c r="E680" s="112"/>
      <c r="F680" s="3"/>
      <c r="G680" s="12"/>
      <c r="J680" s="12"/>
      <c r="L680" s="12"/>
      <c r="Q680" s="218"/>
      <c r="R680" s="218"/>
      <c r="S680" s="218"/>
      <c r="T680" s="218"/>
    </row>
    <row r="681">
      <c r="D681" s="3"/>
      <c r="E681" s="112"/>
      <c r="F681" s="3"/>
      <c r="G681" s="12"/>
      <c r="J681" s="12"/>
      <c r="L681" s="12"/>
      <c r="Q681" s="218"/>
      <c r="R681" s="218"/>
      <c r="S681" s="218"/>
      <c r="T681" s="218"/>
    </row>
    <row r="682">
      <c r="D682" s="3"/>
      <c r="E682" s="112"/>
      <c r="F682" s="3"/>
      <c r="G682" s="12"/>
      <c r="J682" s="12"/>
      <c r="L682" s="12"/>
      <c r="Q682" s="218"/>
      <c r="R682" s="218"/>
      <c r="S682" s="218"/>
      <c r="T682" s="218"/>
    </row>
    <row r="683">
      <c r="D683" s="3"/>
      <c r="E683" s="112"/>
      <c r="F683" s="3"/>
      <c r="G683" s="12"/>
      <c r="J683" s="12"/>
      <c r="L683" s="12"/>
      <c r="Q683" s="218"/>
      <c r="R683" s="218"/>
      <c r="S683" s="218"/>
      <c r="T683" s="218"/>
    </row>
    <row r="684">
      <c r="D684" s="3"/>
      <c r="E684" s="112"/>
      <c r="F684" s="3"/>
      <c r="G684" s="12"/>
      <c r="J684" s="12"/>
      <c r="L684" s="12"/>
      <c r="Q684" s="218"/>
      <c r="R684" s="218"/>
      <c r="S684" s="218"/>
      <c r="T684" s="218"/>
    </row>
    <row r="685">
      <c r="D685" s="3"/>
      <c r="E685" s="112"/>
      <c r="F685" s="3"/>
      <c r="G685" s="12"/>
      <c r="J685" s="12"/>
      <c r="L685" s="12"/>
      <c r="Q685" s="218"/>
      <c r="R685" s="218"/>
      <c r="S685" s="218"/>
      <c r="T685" s="218"/>
    </row>
    <row r="686">
      <c r="D686" s="3"/>
      <c r="E686" s="112"/>
      <c r="F686" s="3"/>
      <c r="G686" s="12"/>
      <c r="J686" s="12"/>
      <c r="L686" s="12"/>
      <c r="Q686" s="218"/>
      <c r="R686" s="218"/>
      <c r="S686" s="218"/>
      <c r="T686" s="218"/>
    </row>
    <row r="687">
      <c r="D687" s="3"/>
      <c r="E687" s="112"/>
      <c r="F687" s="3"/>
      <c r="G687" s="12"/>
      <c r="J687" s="12"/>
      <c r="L687" s="12"/>
      <c r="Q687" s="218"/>
      <c r="R687" s="218"/>
      <c r="S687" s="218"/>
      <c r="T687" s="218"/>
    </row>
    <row r="688">
      <c r="D688" s="3"/>
      <c r="E688" s="112"/>
      <c r="F688" s="3"/>
      <c r="G688" s="12"/>
      <c r="J688" s="12"/>
      <c r="L688" s="12"/>
      <c r="Q688" s="218"/>
      <c r="R688" s="218"/>
      <c r="S688" s="218"/>
      <c r="T688" s="218"/>
    </row>
    <row r="689">
      <c r="D689" s="3"/>
      <c r="E689" s="112"/>
      <c r="F689" s="3"/>
      <c r="G689" s="12"/>
      <c r="J689" s="12"/>
      <c r="L689" s="12"/>
      <c r="Q689" s="218"/>
      <c r="R689" s="218"/>
      <c r="S689" s="218"/>
      <c r="T689" s="218"/>
    </row>
    <row r="690">
      <c r="D690" s="3"/>
      <c r="E690" s="112"/>
      <c r="F690" s="3"/>
      <c r="G690" s="12"/>
      <c r="J690" s="12"/>
      <c r="L690" s="12"/>
      <c r="Q690" s="218"/>
      <c r="R690" s="218"/>
      <c r="S690" s="218"/>
      <c r="T690" s="218"/>
    </row>
    <row r="691">
      <c r="D691" s="3"/>
      <c r="E691" s="112"/>
      <c r="F691" s="3"/>
      <c r="G691" s="12"/>
      <c r="J691" s="12"/>
      <c r="L691" s="12"/>
      <c r="Q691" s="218"/>
      <c r="R691" s="218"/>
      <c r="S691" s="218"/>
      <c r="T691" s="218"/>
    </row>
    <row r="692">
      <c r="D692" s="3"/>
      <c r="E692" s="112"/>
      <c r="F692" s="3"/>
      <c r="G692" s="12"/>
      <c r="J692" s="12"/>
      <c r="L692" s="12"/>
      <c r="Q692" s="218"/>
      <c r="R692" s="218"/>
      <c r="S692" s="218"/>
      <c r="T692" s="218"/>
    </row>
    <row r="693">
      <c r="D693" s="3"/>
      <c r="E693" s="112"/>
      <c r="F693" s="3"/>
      <c r="G693" s="12"/>
      <c r="J693" s="12"/>
      <c r="L693" s="12"/>
      <c r="Q693" s="218"/>
      <c r="R693" s="218"/>
      <c r="S693" s="218"/>
      <c r="T693" s="218"/>
    </row>
    <row r="694">
      <c r="D694" s="3"/>
      <c r="E694" s="112"/>
      <c r="F694" s="3"/>
      <c r="G694" s="12"/>
      <c r="J694" s="12"/>
      <c r="L694" s="12"/>
      <c r="Q694" s="218"/>
      <c r="R694" s="218"/>
      <c r="S694" s="218"/>
      <c r="T694" s="218"/>
    </row>
    <row r="695">
      <c r="D695" s="3"/>
      <c r="E695" s="112"/>
      <c r="F695" s="3"/>
      <c r="G695" s="12"/>
      <c r="J695" s="12"/>
      <c r="L695" s="12"/>
      <c r="Q695" s="218"/>
      <c r="R695" s="218"/>
      <c r="S695" s="218"/>
      <c r="T695" s="218"/>
    </row>
    <row r="696">
      <c r="D696" s="3"/>
      <c r="E696" s="112"/>
      <c r="F696" s="3"/>
      <c r="G696" s="12"/>
      <c r="J696" s="12"/>
      <c r="L696" s="12"/>
      <c r="Q696" s="218"/>
      <c r="R696" s="218"/>
      <c r="S696" s="218"/>
      <c r="T696" s="218"/>
    </row>
    <row r="697">
      <c r="D697" s="3"/>
      <c r="E697" s="112"/>
      <c r="F697" s="3"/>
      <c r="G697" s="12"/>
      <c r="J697" s="12"/>
      <c r="L697" s="12"/>
      <c r="Q697" s="218"/>
      <c r="R697" s="218"/>
      <c r="S697" s="218"/>
      <c r="T697" s="218"/>
    </row>
    <row r="698">
      <c r="D698" s="3"/>
      <c r="E698" s="112"/>
      <c r="F698" s="3"/>
      <c r="G698" s="12"/>
      <c r="J698" s="12"/>
      <c r="L698" s="12"/>
      <c r="Q698" s="218"/>
      <c r="R698" s="218"/>
      <c r="S698" s="218"/>
      <c r="T698" s="218"/>
    </row>
    <row r="699">
      <c r="D699" s="3"/>
      <c r="E699" s="112"/>
      <c r="F699" s="3"/>
      <c r="G699" s="12"/>
      <c r="J699" s="12"/>
      <c r="L699" s="12"/>
      <c r="Q699" s="218"/>
      <c r="R699" s="218"/>
      <c r="S699" s="218"/>
      <c r="T699" s="218"/>
    </row>
    <row r="700">
      <c r="D700" s="3"/>
      <c r="E700" s="112"/>
      <c r="F700" s="3"/>
      <c r="G700" s="12"/>
      <c r="J700" s="12"/>
      <c r="L700" s="12"/>
      <c r="Q700" s="218"/>
      <c r="R700" s="218"/>
      <c r="S700" s="218"/>
      <c r="T700" s="218"/>
    </row>
    <row r="701">
      <c r="D701" s="3"/>
      <c r="E701" s="112"/>
      <c r="F701" s="3"/>
      <c r="G701" s="12"/>
      <c r="J701" s="12"/>
      <c r="L701" s="12"/>
      <c r="Q701" s="218"/>
      <c r="R701" s="218"/>
      <c r="S701" s="218"/>
      <c r="T701" s="218"/>
    </row>
    <row r="702">
      <c r="D702" s="3"/>
      <c r="E702" s="112"/>
      <c r="F702" s="3"/>
      <c r="G702" s="12"/>
      <c r="J702" s="12"/>
      <c r="L702" s="12"/>
      <c r="Q702" s="218"/>
      <c r="R702" s="218"/>
      <c r="S702" s="218"/>
      <c r="T702" s="218"/>
    </row>
    <row r="703">
      <c r="D703" s="3"/>
      <c r="E703" s="112"/>
      <c r="F703" s="3"/>
      <c r="G703" s="12"/>
      <c r="J703" s="12"/>
      <c r="L703" s="12"/>
      <c r="Q703" s="218"/>
      <c r="R703" s="218"/>
      <c r="S703" s="218"/>
      <c r="T703" s="218"/>
    </row>
    <row r="704">
      <c r="D704" s="3"/>
      <c r="E704" s="112"/>
      <c r="F704" s="3"/>
      <c r="G704" s="12"/>
      <c r="J704" s="12"/>
      <c r="L704" s="12"/>
      <c r="Q704" s="218"/>
      <c r="R704" s="218"/>
      <c r="S704" s="218"/>
      <c r="T704" s="218"/>
    </row>
    <row r="705">
      <c r="D705" s="3"/>
      <c r="E705" s="112"/>
      <c r="F705" s="3"/>
      <c r="G705" s="12"/>
      <c r="J705" s="12"/>
      <c r="L705" s="12"/>
      <c r="Q705" s="218"/>
      <c r="R705" s="218"/>
      <c r="S705" s="218"/>
      <c r="T705" s="218"/>
    </row>
    <row r="706">
      <c r="D706" s="3"/>
      <c r="E706" s="112"/>
      <c r="F706" s="3"/>
      <c r="G706" s="12"/>
      <c r="J706" s="12"/>
      <c r="L706" s="12"/>
      <c r="Q706" s="218"/>
      <c r="R706" s="218"/>
      <c r="S706" s="218"/>
      <c r="T706" s="218"/>
    </row>
    <row r="707">
      <c r="D707" s="3"/>
      <c r="E707" s="112"/>
      <c r="F707" s="3"/>
      <c r="G707" s="12"/>
      <c r="J707" s="12"/>
      <c r="L707" s="12"/>
      <c r="Q707" s="218"/>
      <c r="R707" s="218"/>
      <c r="S707" s="218"/>
      <c r="T707" s="218"/>
    </row>
    <row r="708">
      <c r="D708" s="3"/>
      <c r="E708" s="112"/>
      <c r="F708" s="3"/>
      <c r="G708" s="12"/>
      <c r="J708" s="12"/>
      <c r="L708" s="12"/>
      <c r="Q708" s="218"/>
      <c r="R708" s="218"/>
      <c r="S708" s="218"/>
      <c r="T708" s="218"/>
    </row>
    <row r="709">
      <c r="D709" s="3"/>
      <c r="E709" s="112"/>
      <c r="F709" s="3"/>
      <c r="G709" s="12"/>
      <c r="J709" s="12"/>
      <c r="L709" s="12"/>
      <c r="Q709" s="218"/>
      <c r="R709" s="218"/>
      <c r="S709" s="218"/>
      <c r="T709" s="218"/>
    </row>
    <row r="710">
      <c r="D710" s="3"/>
      <c r="E710" s="112"/>
      <c r="F710" s="3"/>
      <c r="G710" s="12"/>
      <c r="J710" s="12"/>
      <c r="L710" s="12"/>
      <c r="Q710" s="218"/>
      <c r="R710" s="218"/>
      <c r="S710" s="218"/>
      <c r="T710" s="218"/>
    </row>
    <row r="711">
      <c r="D711" s="3"/>
      <c r="E711" s="112"/>
      <c r="F711" s="3"/>
      <c r="G711" s="12"/>
      <c r="J711" s="12"/>
      <c r="L711" s="12"/>
      <c r="Q711" s="218"/>
      <c r="R711" s="218"/>
      <c r="S711" s="218"/>
      <c r="T711" s="218"/>
    </row>
    <row r="712">
      <c r="D712" s="3"/>
      <c r="E712" s="112"/>
      <c r="F712" s="3"/>
      <c r="G712" s="12"/>
      <c r="J712" s="12"/>
      <c r="L712" s="12"/>
      <c r="Q712" s="218"/>
      <c r="R712" s="218"/>
      <c r="S712" s="218"/>
      <c r="T712" s="218"/>
    </row>
    <row r="713">
      <c r="D713" s="3"/>
      <c r="E713" s="112"/>
      <c r="F713" s="3"/>
      <c r="G713" s="12"/>
      <c r="J713" s="12"/>
      <c r="L713" s="12"/>
      <c r="Q713" s="218"/>
      <c r="R713" s="218"/>
      <c r="S713" s="218"/>
      <c r="T713" s="218"/>
    </row>
    <row r="714">
      <c r="D714" s="3"/>
      <c r="E714" s="112"/>
      <c r="F714" s="3"/>
      <c r="G714" s="12"/>
      <c r="J714" s="12"/>
      <c r="L714" s="12"/>
      <c r="Q714" s="218"/>
      <c r="R714" s="218"/>
      <c r="S714" s="218"/>
      <c r="T714" s="218"/>
    </row>
    <row r="715">
      <c r="D715" s="3"/>
      <c r="E715" s="112"/>
      <c r="F715" s="3"/>
      <c r="G715" s="12"/>
      <c r="J715" s="12"/>
      <c r="L715" s="12"/>
      <c r="Q715" s="218"/>
      <c r="R715" s="218"/>
      <c r="S715" s="218"/>
      <c r="T715" s="218"/>
    </row>
    <row r="716">
      <c r="D716" s="3"/>
      <c r="E716" s="112"/>
      <c r="F716" s="3"/>
      <c r="G716" s="12"/>
      <c r="J716" s="12"/>
      <c r="L716" s="12"/>
      <c r="Q716" s="218"/>
      <c r="R716" s="218"/>
      <c r="S716" s="218"/>
      <c r="T716" s="218"/>
    </row>
    <row r="717">
      <c r="D717" s="3"/>
      <c r="E717" s="112"/>
      <c r="F717" s="3"/>
      <c r="G717" s="12"/>
      <c r="J717" s="12"/>
      <c r="L717" s="12"/>
      <c r="Q717" s="218"/>
      <c r="R717" s="218"/>
      <c r="S717" s="218"/>
      <c r="T717" s="218"/>
    </row>
    <row r="718">
      <c r="D718" s="3"/>
      <c r="E718" s="112"/>
      <c r="F718" s="3"/>
      <c r="G718" s="12"/>
      <c r="J718" s="12"/>
      <c r="L718" s="12"/>
      <c r="Q718" s="218"/>
      <c r="R718" s="218"/>
      <c r="S718" s="218"/>
      <c r="T718" s="218"/>
    </row>
    <row r="719">
      <c r="D719" s="3"/>
      <c r="E719" s="112"/>
      <c r="F719" s="3"/>
      <c r="G719" s="12"/>
      <c r="J719" s="12"/>
      <c r="L719" s="12"/>
      <c r="Q719" s="218"/>
      <c r="R719" s="218"/>
      <c r="S719" s="218"/>
      <c r="T719" s="218"/>
    </row>
    <row r="720">
      <c r="D720" s="3"/>
      <c r="E720" s="112"/>
      <c r="F720" s="3"/>
      <c r="G720" s="12"/>
      <c r="J720" s="12"/>
      <c r="L720" s="12"/>
      <c r="Q720" s="218"/>
      <c r="R720" s="218"/>
      <c r="S720" s="218"/>
      <c r="T720" s="218"/>
    </row>
    <row r="721">
      <c r="D721" s="3"/>
      <c r="E721" s="112"/>
      <c r="F721" s="3"/>
      <c r="G721" s="12"/>
      <c r="J721" s="12"/>
      <c r="L721" s="12"/>
      <c r="Q721" s="218"/>
      <c r="R721" s="218"/>
      <c r="S721" s="218"/>
      <c r="T721" s="218"/>
    </row>
    <row r="722">
      <c r="D722" s="3"/>
      <c r="E722" s="112"/>
      <c r="F722" s="3"/>
      <c r="G722" s="12"/>
      <c r="J722" s="12"/>
      <c r="L722" s="12"/>
      <c r="Q722" s="218"/>
      <c r="R722" s="218"/>
      <c r="S722" s="218"/>
      <c r="T722" s="218"/>
    </row>
    <row r="723">
      <c r="D723" s="3"/>
      <c r="E723" s="112"/>
      <c r="F723" s="3"/>
      <c r="G723" s="12"/>
      <c r="J723" s="12"/>
      <c r="L723" s="12"/>
      <c r="Q723" s="218"/>
      <c r="R723" s="218"/>
      <c r="S723" s="218"/>
      <c r="T723" s="218"/>
    </row>
    <row r="724">
      <c r="D724" s="3"/>
      <c r="E724" s="112"/>
      <c r="F724" s="3"/>
      <c r="G724" s="12"/>
      <c r="J724" s="12"/>
      <c r="L724" s="12"/>
      <c r="Q724" s="218"/>
      <c r="R724" s="218"/>
      <c r="S724" s="218"/>
      <c r="T724" s="218"/>
    </row>
    <row r="725">
      <c r="D725" s="3"/>
      <c r="E725" s="112"/>
      <c r="F725" s="3"/>
      <c r="G725" s="12"/>
      <c r="J725" s="12"/>
      <c r="L725" s="12"/>
      <c r="Q725" s="218"/>
      <c r="R725" s="218"/>
      <c r="S725" s="218"/>
      <c r="T725" s="218"/>
    </row>
    <row r="726">
      <c r="D726" s="3"/>
      <c r="E726" s="112"/>
      <c r="F726" s="3"/>
      <c r="G726" s="12"/>
      <c r="J726" s="12"/>
      <c r="L726" s="12"/>
      <c r="Q726" s="218"/>
      <c r="R726" s="218"/>
      <c r="S726" s="218"/>
      <c r="T726" s="218"/>
    </row>
    <row r="727">
      <c r="D727" s="3"/>
      <c r="E727" s="112"/>
      <c r="F727" s="3"/>
      <c r="G727" s="12"/>
      <c r="J727" s="12"/>
      <c r="L727" s="12"/>
      <c r="Q727" s="218"/>
      <c r="R727" s="218"/>
      <c r="S727" s="218"/>
      <c r="T727" s="218"/>
    </row>
    <row r="728">
      <c r="D728" s="3"/>
      <c r="E728" s="112"/>
      <c r="F728" s="3"/>
      <c r="G728" s="12"/>
      <c r="J728" s="12"/>
      <c r="L728" s="12"/>
      <c r="Q728" s="218"/>
      <c r="R728" s="218"/>
      <c r="S728" s="218"/>
      <c r="T728" s="218"/>
    </row>
    <row r="729">
      <c r="D729" s="3"/>
      <c r="E729" s="112"/>
      <c r="F729" s="3"/>
      <c r="G729" s="12"/>
      <c r="J729" s="12"/>
      <c r="L729" s="12"/>
      <c r="Q729" s="218"/>
      <c r="R729" s="218"/>
      <c r="S729" s="218"/>
      <c r="T729" s="218"/>
    </row>
    <row r="730">
      <c r="D730" s="3"/>
      <c r="E730" s="112"/>
      <c r="F730" s="3"/>
      <c r="G730" s="12"/>
      <c r="J730" s="12"/>
      <c r="L730" s="12"/>
      <c r="Q730" s="218"/>
      <c r="R730" s="218"/>
      <c r="S730" s="218"/>
      <c r="T730" s="218"/>
    </row>
    <row r="731">
      <c r="D731" s="3"/>
      <c r="E731" s="112"/>
      <c r="F731" s="3"/>
      <c r="G731" s="12"/>
      <c r="J731" s="12"/>
      <c r="L731" s="12"/>
      <c r="Q731" s="218"/>
      <c r="R731" s="218"/>
      <c r="S731" s="218"/>
      <c r="T731" s="218"/>
    </row>
    <row r="732">
      <c r="D732" s="3"/>
      <c r="E732" s="112"/>
      <c r="F732" s="3"/>
      <c r="G732" s="12"/>
      <c r="J732" s="12"/>
      <c r="L732" s="12"/>
      <c r="Q732" s="218"/>
      <c r="R732" s="218"/>
      <c r="S732" s="218"/>
      <c r="T732" s="218"/>
    </row>
    <row r="733">
      <c r="D733" s="3"/>
      <c r="E733" s="112"/>
      <c r="F733" s="3"/>
      <c r="G733" s="12"/>
      <c r="J733" s="12"/>
      <c r="L733" s="12"/>
      <c r="Q733" s="218"/>
      <c r="R733" s="218"/>
      <c r="S733" s="218"/>
      <c r="T733" s="218"/>
    </row>
    <row r="734">
      <c r="D734" s="3"/>
      <c r="E734" s="112"/>
      <c r="F734" s="3"/>
      <c r="G734" s="12"/>
      <c r="J734" s="12"/>
      <c r="L734" s="12"/>
      <c r="Q734" s="218"/>
      <c r="R734" s="218"/>
      <c r="S734" s="218"/>
      <c r="T734" s="218"/>
    </row>
    <row r="735">
      <c r="D735" s="3"/>
      <c r="E735" s="112"/>
      <c r="F735" s="3"/>
      <c r="G735" s="12"/>
      <c r="J735" s="12"/>
      <c r="L735" s="12"/>
      <c r="Q735" s="218"/>
      <c r="R735" s="218"/>
      <c r="S735" s="218"/>
      <c r="T735" s="218"/>
    </row>
    <row r="736">
      <c r="D736" s="3"/>
      <c r="E736" s="112"/>
      <c r="F736" s="3"/>
      <c r="G736" s="12"/>
      <c r="J736" s="12"/>
      <c r="L736" s="12"/>
      <c r="Q736" s="218"/>
      <c r="R736" s="218"/>
      <c r="S736" s="218"/>
      <c r="T736" s="218"/>
    </row>
    <row r="737">
      <c r="D737" s="3"/>
      <c r="E737" s="112"/>
      <c r="F737" s="3"/>
      <c r="G737" s="12"/>
      <c r="J737" s="12"/>
      <c r="L737" s="12"/>
      <c r="Q737" s="218"/>
      <c r="R737" s="218"/>
      <c r="S737" s="218"/>
      <c r="T737" s="218"/>
    </row>
    <row r="738">
      <c r="D738" s="3"/>
      <c r="E738" s="112"/>
      <c r="F738" s="3"/>
      <c r="G738" s="12"/>
      <c r="J738" s="12"/>
      <c r="L738" s="12"/>
      <c r="Q738" s="218"/>
      <c r="R738" s="218"/>
      <c r="S738" s="218"/>
      <c r="T738" s="218"/>
    </row>
    <row r="739">
      <c r="D739" s="3"/>
      <c r="E739" s="112"/>
      <c r="F739" s="3"/>
      <c r="G739" s="12"/>
      <c r="J739" s="12"/>
      <c r="L739" s="12"/>
      <c r="Q739" s="218"/>
      <c r="R739" s="218"/>
      <c r="S739" s="218"/>
      <c r="T739" s="218"/>
    </row>
    <row r="740">
      <c r="D740" s="3"/>
      <c r="E740" s="112"/>
      <c r="F740" s="3"/>
      <c r="G740" s="12"/>
      <c r="J740" s="12"/>
      <c r="L740" s="12"/>
      <c r="Q740" s="218"/>
      <c r="R740" s="218"/>
      <c r="S740" s="218"/>
      <c r="T740" s="218"/>
    </row>
    <row r="741">
      <c r="D741" s="3"/>
      <c r="E741" s="112"/>
      <c r="F741" s="3"/>
      <c r="G741" s="12"/>
      <c r="J741" s="12"/>
      <c r="L741" s="12"/>
      <c r="Q741" s="218"/>
      <c r="R741" s="218"/>
      <c r="S741" s="218"/>
      <c r="T741" s="218"/>
    </row>
    <row r="742">
      <c r="D742" s="3"/>
      <c r="E742" s="112"/>
      <c r="F742" s="3"/>
      <c r="G742" s="12"/>
      <c r="J742" s="12"/>
      <c r="L742" s="12"/>
      <c r="Q742" s="218"/>
      <c r="R742" s="218"/>
      <c r="S742" s="218"/>
      <c r="T742" s="218"/>
    </row>
    <row r="743">
      <c r="D743" s="3"/>
      <c r="E743" s="112"/>
      <c r="F743" s="3"/>
      <c r="G743" s="12"/>
      <c r="J743" s="12"/>
      <c r="L743" s="12"/>
      <c r="Q743" s="218"/>
      <c r="R743" s="218"/>
      <c r="S743" s="218"/>
      <c r="T743" s="218"/>
    </row>
    <row r="744">
      <c r="D744" s="3"/>
      <c r="E744" s="112"/>
      <c r="F744" s="3"/>
      <c r="G744" s="12"/>
      <c r="J744" s="12"/>
      <c r="L744" s="12"/>
      <c r="Q744" s="218"/>
      <c r="R744" s="218"/>
      <c r="S744" s="218"/>
      <c r="T744" s="218"/>
    </row>
    <row r="745">
      <c r="D745" s="3"/>
      <c r="E745" s="112"/>
      <c r="F745" s="3"/>
      <c r="G745" s="12"/>
      <c r="J745" s="12"/>
      <c r="L745" s="12"/>
      <c r="Q745" s="218"/>
      <c r="R745" s="218"/>
      <c r="S745" s="218"/>
      <c r="T745" s="218"/>
    </row>
    <row r="746">
      <c r="D746" s="3"/>
      <c r="E746" s="112"/>
      <c r="F746" s="3"/>
      <c r="G746" s="12"/>
      <c r="J746" s="12"/>
      <c r="L746" s="12"/>
      <c r="Q746" s="218"/>
      <c r="R746" s="218"/>
      <c r="S746" s="218"/>
      <c r="T746" s="218"/>
    </row>
    <row r="747">
      <c r="D747" s="3"/>
      <c r="E747" s="112"/>
      <c r="F747" s="3"/>
      <c r="G747" s="12"/>
      <c r="J747" s="12"/>
      <c r="L747" s="12"/>
      <c r="Q747" s="218"/>
      <c r="R747" s="218"/>
      <c r="S747" s="218"/>
      <c r="T747" s="218"/>
    </row>
    <row r="748">
      <c r="D748" s="3"/>
      <c r="E748" s="112"/>
      <c r="F748" s="3"/>
      <c r="G748" s="12"/>
      <c r="J748" s="12"/>
      <c r="L748" s="12"/>
      <c r="Q748" s="218"/>
      <c r="R748" s="218"/>
      <c r="S748" s="218"/>
      <c r="T748" s="218"/>
    </row>
    <row r="749">
      <c r="D749" s="3"/>
      <c r="E749" s="112"/>
      <c r="F749" s="3"/>
      <c r="G749" s="12"/>
      <c r="J749" s="12"/>
      <c r="L749" s="12"/>
      <c r="Q749" s="218"/>
      <c r="R749" s="218"/>
      <c r="S749" s="218"/>
      <c r="T749" s="218"/>
    </row>
    <row r="750">
      <c r="D750" s="3"/>
      <c r="E750" s="112"/>
      <c r="F750" s="3"/>
      <c r="G750" s="12"/>
      <c r="J750" s="12"/>
      <c r="L750" s="12"/>
      <c r="Q750" s="218"/>
      <c r="R750" s="218"/>
      <c r="S750" s="218"/>
      <c r="T750" s="218"/>
    </row>
    <row r="751">
      <c r="D751" s="3"/>
      <c r="E751" s="112"/>
      <c r="F751" s="3"/>
      <c r="G751" s="12"/>
      <c r="J751" s="12"/>
      <c r="L751" s="12"/>
      <c r="Q751" s="218"/>
      <c r="R751" s="218"/>
      <c r="S751" s="218"/>
      <c r="T751" s="218"/>
    </row>
    <row r="752">
      <c r="D752" s="3"/>
      <c r="E752" s="112"/>
      <c r="F752" s="3"/>
      <c r="G752" s="12"/>
      <c r="J752" s="12"/>
      <c r="L752" s="12"/>
      <c r="Q752" s="218"/>
      <c r="R752" s="218"/>
      <c r="S752" s="218"/>
      <c r="T752" s="218"/>
    </row>
    <row r="753">
      <c r="D753" s="3"/>
      <c r="E753" s="112"/>
      <c r="F753" s="3"/>
      <c r="G753" s="12"/>
      <c r="J753" s="12"/>
      <c r="L753" s="12"/>
      <c r="Q753" s="218"/>
      <c r="R753" s="218"/>
      <c r="S753" s="218"/>
      <c r="T753" s="218"/>
    </row>
    <row r="754">
      <c r="D754" s="3"/>
      <c r="E754" s="112"/>
      <c r="F754" s="3"/>
      <c r="G754" s="12"/>
      <c r="J754" s="12"/>
      <c r="L754" s="12"/>
      <c r="Q754" s="218"/>
      <c r="R754" s="218"/>
      <c r="S754" s="218"/>
      <c r="T754" s="218"/>
    </row>
    <row r="755">
      <c r="D755" s="3"/>
      <c r="E755" s="112"/>
      <c r="F755" s="3"/>
      <c r="G755" s="12"/>
      <c r="J755" s="12"/>
      <c r="L755" s="12"/>
      <c r="Q755" s="218"/>
      <c r="R755" s="218"/>
      <c r="S755" s="218"/>
      <c r="T755" s="218"/>
    </row>
    <row r="756">
      <c r="D756" s="3"/>
      <c r="E756" s="112"/>
      <c r="F756" s="3"/>
      <c r="G756" s="12"/>
      <c r="J756" s="12"/>
      <c r="L756" s="12"/>
      <c r="Q756" s="218"/>
      <c r="R756" s="218"/>
      <c r="S756" s="218"/>
      <c r="T756" s="218"/>
    </row>
    <row r="757">
      <c r="D757" s="3"/>
      <c r="E757" s="112"/>
      <c r="F757" s="3"/>
      <c r="G757" s="12"/>
      <c r="J757" s="12"/>
      <c r="L757" s="12"/>
      <c r="Q757" s="218"/>
      <c r="R757" s="218"/>
      <c r="S757" s="218"/>
      <c r="T757" s="218"/>
    </row>
    <row r="758">
      <c r="D758" s="3"/>
      <c r="E758" s="112"/>
      <c r="F758" s="3"/>
      <c r="G758" s="12"/>
      <c r="J758" s="12"/>
      <c r="L758" s="12"/>
      <c r="Q758" s="218"/>
      <c r="R758" s="218"/>
      <c r="S758" s="218"/>
      <c r="T758" s="218"/>
    </row>
    <row r="759">
      <c r="D759" s="3"/>
      <c r="E759" s="112"/>
      <c r="F759" s="3"/>
      <c r="G759" s="12"/>
      <c r="J759" s="12"/>
      <c r="L759" s="12"/>
      <c r="Q759" s="218"/>
      <c r="R759" s="218"/>
      <c r="S759" s="218"/>
      <c r="T759" s="218"/>
    </row>
    <row r="760">
      <c r="D760" s="3"/>
      <c r="E760" s="112"/>
      <c r="F760" s="3"/>
      <c r="G760" s="12"/>
      <c r="J760" s="12"/>
      <c r="L760" s="12"/>
      <c r="Q760" s="218"/>
      <c r="R760" s="218"/>
      <c r="S760" s="218"/>
      <c r="T760" s="218"/>
    </row>
    <row r="761">
      <c r="D761" s="3"/>
      <c r="E761" s="112"/>
      <c r="F761" s="3"/>
      <c r="G761" s="12"/>
      <c r="J761" s="12"/>
      <c r="L761" s="12"/>
      <c r="Q761" s="218"/>
      <c r="R761" s="218"/>
      <c r="S761" s="218"/>
      <c r="T761" s="218"/>
    </row>
    <row r="762">
      <c r="D762" s="3"/>
      <c r="E762" s="112"/>
      <c r="F762" s="3"/>
      <c r="G762" s="12"/>
      <c r="J762" s="12"/>
      <c r="L762" s="12"/>
      <c r="Q762" s="218"/>
      <c r="R762" s="218"/>
      <c r="S762" s="218"/>
      <c r="T762" s="218"/>
    </row>
    <row r="763">
      <c r="D763" s="3"/>
      <c r="E763" s="112"/>
      <c r="F763" s="3"/>
      <c r="G763" s="12"/>
      <c r="J763" s="12"/>
      <c r="L763" s="12"/>
      <c r="Q763" s="218"/>
      <c r="R763" s="218"/>
      <c r="S763" s="218"/>
      <c r="T763" s="218"/>
    </row>
    <row r="764">
      <c r="D764" s="3"/>
      <c r="E764" s="112"/>
      <c r="F764" s="3"/>
      <c r="G764" s="12"/>
      <c r="J764" s="12"/>
      <c r="L764" s="12"/>
      <c r="Q764" s="218"/>
      <c r="R764" s="218"/>
      <c r="S764" s="218"/>
      <c r="T764" s="218"/>
    </row>
    <row r="765">
      <c r="D765" s="3"/>
      <c r="E765" s="112"/>
      <c r="F765" s="3"/>
      <c r="G765" s="12"/>
      <c r="J765" s="12"/>
      <c r="L765" s="12"/>
      <c r="Q765" s="218"/>
      <c r="R765" s="218"/>
      <c r="S765" s="218"/>
      <c r="T765" s="218"/>
    </row>
    <row r="766">
      <c r="D766" s="3"/>
      <c r="E766" s="112"/>
      <c r="F766" s="3"/>
      <c r="G766" s="12"/>
      <c r="J766" s="12"/>
      <c r="L766" s="12"/>
      <c r="Q766" s="218"/>
      <c r="R766" s="218"/>
      <c r="S766" s="218"/>
      <c r="T766" s="218"/>
    </row>
    <row r="767">
      <c r="D767" s="3"/>
      <c r="E767" s="112"/>
      <c r="F767" s="3"/>
      <c r="G767" s="12"/>
      <c r="J767" s="12"/>
      <c r="L767" s="12"/>
      <c r="Q767" s="218"/>
      <c r="R767" s="218"/>
      <c r="S767" s="218"/>
      <c r="T767" s="218"/>
    </row>
    <row r="768">
      <c r="D768" s="3"/>
      <c r="E768" s="112"/>
      <c r="F768" s="3"/>
      <c r="G768" s="12"/>
      <c r="J768" s="12"/>
      <c r="L768" s="12"/>
      <c r="Q768" s="218"/>
      <c r="R768" s="218"/>
      <c r="S768" s="218"/>
      <c r="T768" s="218"/>
    </row>
    <row r="769">
      <c r="D769" s="3"/>
      <c r="E769" s="112"/>
      <c r="F769" s="3"/>
      <c r="G769" s="12"/>
      <c r="J769" s="12"/>
      <c r="L769" s="12"/>
      <c r="Q769" s="218"/>
      <c r="R769" s="218"/>
      <c r="S769" s="218"/>
      <c r="T769" s="218"/>
    </row>
    <row r="770">
      <c r="D770" s="3"/>
      <c r="E770" s="112"/>
      <c r="F770" s="3"/>
      <c r="G770" s="12"/>
      <c r="J770" s="12"/>
      <c r="L770" s="12"/>
      <c r="Q770" s="218"/>
      <c r="R770" s="218"/>
      <c r="S770" s="218"/>
      <c r="T770" s="218"/>
    </row>
    <row r="771">
      <c r="D771" s="3"/>
      <c r="E771" s="112"/>
      <c r="F771" s="3"/>
      <c r="G771" s="12"/>
      <c r="J771" s="12"/>
      <c r="L771" s="12"/>
      <c r="Q771" s="218"/>
      <c r="R771" s="218"/>
      <c r="S771" s="218"/>
      <c r="T771" s="218"/>
    </row>
    <row r="772">
      <c r="D772" s="3"/>
      <c r="E772" s="112"/>
      <c r="F772" s="3"/>
      <c r="G772" s="12"/>
      <c r="J772" s="12"/>
      <c r="L772" s="12"/>
      <c r="Q772" s="218"/>
      <c r="R772" s="218"/>
      <c r="S772" s="218"/>
      <c r="T772" s="218"/>
    </row>
    <row r="773">
      <c r="D773" s="3"/>
      <c r="E773" s="112"/>
      <c r="F773" s="3"/>
      <c r="G773" s="12"/>
      <c r="J773" s="12"/>
      <c r="L773" s="12"/>
      <c r="Q773" s="218"/>
      <c r="R773" s="218"/>
      <c r="S773" s="218"/>
      <c r="T773" s="218"/>
    </row>
    <row r="774">
      <c r="D774" s="3"/>
      <c r="E774" s="112"/>
      <c r="F774" s="3"/>
      <c r="G774" s="12"/>
      <c r="J774" s="12"/>
      <c r="L774" s="12"/>
      <c r="Q774" s="218"/>
      <c r="R774" s="218"/>
      <c r="S774" s="218"/>
      <c r="T774" s="218"/>
    </row>
    <row r="775">
      <c r="D775" s="3"/>
      <c r="E775" s="112"/>
      <c r="F775" s="3"/>
      <c r="G775" s="12"/>
      <c r="J775" s="12"/>
      <c r="L775" s="12"/>
      <c r="Q775" s="218"/>
      <c r="R775" s="218"/>
      <c r="S775" s="218"/>
      <c r="T775" s="218"/>
    </row>
    <row r="776">
      <c r="D776" s="3"/>
      <c r="E776" s="112"/>
      <c r="F776" s="3"/>
      <c r="G776" s="12"/>
      <c r="J776" s="12"/>
      <c r="L776" s="12"/>
      <c r="Q776" s="218"/>
      <c r="R776" s="218"/>
      <c r="S776" s="218"/>
      <c r="T776" s="218"/>
    </row>
    <row r="777">
      <c r="D777" s="3"/>
      <c r="E777" s="112"/>
      <c r="F777" s="3"/>
      <c r="G777" s="12"/>
      <c r="J777" s="12"/>
      <c r="L777" s="12"/>
      <c r="Q777" s="218"/>
      <c r="R777" s="218"/>
      <c r="S777" s="218"/>
      <c r="T777" s="218"/>
    </row>
    <row r="778">
      <c r="D778" s="3"/>
      <c r="E778" s="112"/>
      <c r="F778" s="3"/>
      <c r="G778" s="12"/>
      <c r="J778" s="12"/>
      <c r="L778" s="12"/>
      <c r="Q778" s="218"/>
      <c r="R778" s="218"/>
      <c r="S778" s="218"/>
      <c r="T778" s="218"/>
    </row>
    <row r="779">
      <c r="D779" s="3"/>
      <c r="E779" s="112"/>
      <c r="F779" s="3"/>
      <c r="G779" s="12"/>
      <c r="J779" s="12"/>
      <c r="L779" s="12"/>
      <c r="Q779" s="218"/>
      <c r="R779" s="218"/>
      <c r="S779" s="218"/>
      <c r="T779" s="218"/>
    </row>
    <row r="780">
      <c r="D780" s="3"/>
      <c r="E780" s="112"/>
      <c r="F780" s="3"/>
      <c r="G780" s="12"/>
      <c r="J780" s="12"/>
      <c r="L780" s="12"/>
      <c r="Q780" s="218"/>
      <c r="R780" s="218"/>
      <c r="S780" s="218"/>
      <c r="T780" s="218"/>
    </row>
    <row r="781">
      <c r="D781" s="3"/>
      <c r="E781" s="112"/>
      <c r="F781" s="3"/>
      <c r="G781" s="12"/>
      <c r="J781" s="12"/>
      <c r="L781" s="12"/>
      <c r="Q781" s="218"/>
      <c r="R781" s="218"/>
      <c r="S781" s="218"/>
      <c r="T781" s="218"/>
    </row>
    <row r="782">
      <c r="D782" s="3"/>
      <c r="E782" s="112"/>
      <c r="F782" s="3"/>
      <c r="G782" s="12"/>
      <c r="J782" s="12"/>
      <c r="L782" s="12"/>
      <c r="Q782" s="218"/>
      <c r="R782" s="218"/>
      <c r="S782" s="218"/>
      <c r="T782" s="218"/>
    </row>
    <row r="783">
      <c r="D783" s="3"/>
      <c r="E783" s="112"/>
      <c r="F783" s="3"/>
      <c r="G783" s="12"/>
      <c r="J783" s="12"/>
      <c r="L783" s="12"/>
      <c r="Q783" s="218"/>
      <c r="R783" s="218"/>
      <c r="S783" s="218"/>
      <c r="T783" s="218"/>
    </row>
    <row r="784">
      <c r="D784" s="3"/>
      <c r="E784" s="112"/>
      <c r="F784" s="3"/>
      <c r="G784" s="12"/>
      <c r="J784" s="12"/>
      <c r="L784" s="12"/>
      <c r="Q784" s="218"/>
      <c r="R784" s="218"/>
      <c r="S784" s="218"/>
      <c r="T784" s="218"/>
    </row>
    <row r="785">
      <c r="D785" s="3"/>
      <c r="E785" s="112"/>
      <c r="F785" s="3"/>
      <c r="G785" s="12"/>
      <c r="J785" s="12"/>
      <c r="L785" s="12"/>
      <c r="Q785" s="218"/>
      <c r="R785" s="218"/>
      <c r="S785" s="218"/>
      <c r="T785" s="218"/>
    </row>
    <row r="786">
      <c r="D786" s="3"/>
      <c r="E786" s="112"/>
      <c r="F786" s="3"/>
      <c r="G786" s="12"/>
      <c r="J786" s="12"/>
      <c r="L786" s="12"/>
      <c r="Q786" s="218"/>
      <c r="R786" s="218"/>
      <c r="S786" s="218"/>
      <c r="T786" s="218"/>
    </row>
    <row r="787">
      <c r="D787" s="3"/>
      <c r="E787" s="112"/>
      <c r="F787" s="3"/>
      <c r="G787" s="12"/>
      <c r="J787" s="12"/>
      <c r="L787" s="12"/>
      <c r="Q787" s="218"/>
      <c r="R787" s="218"/>
      <c r="S787" s="218"/>
      <c r="T787" s="218"/>
    </row>
    <row r="788">
      <c r="D788" s="3"/>
      <c r="E788" s="112"/>
      <c r="F788" s="3"/>
      <c r="G788" s="12"/>
      <c r="J788" s="12"/>
      <c r="L788" s="12"/>
      <c r="Q788" s="218"/>
      <c r="R788" s="218"/>
      <c r="S788" s="218"/>
      <c r="T788" s="218"/>
    </row>
    <row r="789">
      <c r="D789" s="3"/>
      <c r="E789" s="112"/>
      <c r="F789" s="3"/>
      <c r="G789" s="12"/>
      <c r="J789" s="12"/>
      <c r="L789" s="12"/>
      <c r="Q789" s="218"/>
      <c r="R789" s="218"/>
      <c r="S789" s="218"/>
      <c r="T789" s="218"/>
    </row>
    <row r="790">
      <c r="D790" s="3"/>
      <c r="E790" s="112"/>
      <c r="F790" s="3"/>
      <c r="G790" s="12"/>
      <c r="J790" s="12"/>
      <c r="L790" s="12"/>
      <c r="Q790" s="218"/>
      <c r="R790" s="218"/>
      <c r="S790" s="218"/>
      <c r="T790" s="218"/>
    </row>
    <row r="791">
      <c r="D791" s="3"/>
      <c r="E791" s="112"/>
      <c r="F791" s="3"/>
      <c r="G791" s="12"/>
      <c r="J791" s="12"/>
      <c r="L791" s="12"/>
      <c r="Q791" s="218"/>
      <c r="R791" s="218"/>
      <c r="S791" s="218"/>
      <c r="T791" s="218"/>
    </row>
    <row r="792">
      <c r="D792" s="3"/>
      <c r="E792" s="112"/>
      <c r="F792" s="3"/>
      <c r="G792" s="12"/>
      <c r="J792" s="12"/>
      <c r="L792" s="12"/>
      <c r="Q792" s="218"/>
      <c r="R792" s="218"/>
      <c r="S792" s="218"/>
      <c r="T792" s="218"/>
    </row>
    <row r="793">
      <c r="D793" s="3"/>
      <c r="E793" s="112"/>
      <c r="F793" s="3"/>
      <c r="G793" s="12"/>
      <c r="J793" s="12"/>
      <c r="L793" s="12"/>
      <c r="Q793" s="218"/>
      <c r="R793" s="218"/>
      <c r="S793" s="218"/>
      <c r="T793" s="218"/>
    </row>
    <row r="794">
      <c r="D794" s="3"/>
      <c r="E794" s="112"/>
      <c r="F794" s="3"/>
      <c r="G794" s="12"/>
      <c r="J794" s="12"/>
      <c r="L794" s="12"/>
      <c r="Q794" s="218"/>
      <c r="R794" s="218"/>
      <c r="S794" s="218"/>
      <c r="T794" s="218"/>
    </row>
    <row r="795">
      <c r="D795" s="3"/>
      <c r="E795" s="112"/>
      <c r="F795" s="3"/>
      <c r="G795" s="12"/>
      <c r="J795" s="12"/>
      <c r="L795" s="12"/>
      <c r="Q795" s="218"/>
      <c r="R795" s="218"/>
      <c r="S795" s="218"/>
      <c r="T795" s="218"/>
    </row>
    <row r="796">
      <c r="D796" s="3"/>
      <c r="E796" s="112"/>
      <c r="F796" s="3"/>
      <c r="G796" s="12"/>
      <c r="J796" s="12"/>
      <c r="L796" s="12"/>
      <c r="Q796" s="218"/>
      <c r="R796" s="218"/>
      <c r="S796" s="218"/>
      <c r="T796" s="218"/>
    </row>
    <row r="797">
      <c r="D797" s="3"/>
      <c r="E797" s="112"/>
      <c r="F797" s="3"/>
      <c r="G797" s="12"/>
      <c r="J797" s="12"/>
      <c r="L797" s="12"/>
      <c r="Q797" s="218"/>
      <c r="R797" s="218"/>
      <c r="S797" s="218"/>
      <c r="T797" s="218"/>
    </row>
    <row r="798">
      <c r="D798" s="3"/>
      <c r="E798" s="112"/>
      <c r="F798" s="3"/>
      <c r="G798" s="12"/>
      <c r="J798" s="12"/>
      <c r="L798" s="12"/>
      <c r="Q798" s="218"/>
      <c r="R798" s="218"/>
      <c r="S798" s="218"/>
      <c r="T798" s="218"/>
    </row>
    <row r="799">
      <c r="D799" s="3"/>
      <c r="E799" s="112"/>
      <c r="F799" s="3"/>
      <c r="G799" s="12"/>
      <c r="J799" s="12"/>
      <c r="L799" s="12"/>
      <c r="Q799" s="218"/>
      <c r="R799" s="218"/>
      <c r="S799" s="218"/>
      <c r="T799" s="218"/>
    </row>
    <row r="800">
      <c r="D800" s="3"/>
      <c r="E800" s="112"/>
      <c r="F800" s="3"/>
      <c r="G800" s="12"/>
      <c r="J800" s="12"/>
      <c r="L800" s="12"/>
      <c r="Q800" s="218"/>
      <c r="R800" s="218"/>
      <c r="S800" s="218"/>
      <c r="T800" s="218"/>
    </row>
    <row r="801">
      <c r="D801" s="3"/>
      <c r="E801" s="112"/>
      <c r="F801" s="3"/>
      <c r="G801" s="12"/>
      <c r="J801" s="12"/>
      <c r="L801" s="12"/>
      <c r="Q801" s="218"/>
      <c r="R801" s="218"/>
      <c r="S801" s="218"/>
      <c r="T801" s="218"/>
    </row>
    <row r="802">
      <c r="D802" s="3"/>
      <c r="E802" s="112"/>
      <c r="F802" s="3"/>
      <c r="G802" s="12"/>
      <c r="J802" s="12"/>
      <c r="L802" s="12"/>
      <c r="Q802" s="218"/>
      <c r="R802" s="218"/>
      <c r="S802" s="218"/>
      <c r="T802" s="218"/>
    </row>
    <row r="803">
      <c r="D803" s="3"/>
      <c r="E803" s="112"/>
      <c r="F803" s="3"/>
      <c r="G803" s="12"/>
      <c r="J803" s="12"/>
      <c r="L803" s="12"/>
      <c r="Q803" s="218"/>
      <c r="R803" s="218"/>
      <c r="S803" s="218"/>
      <c r="T803" s="218"/>
    </row>
    <row r="804">
      <c r="D804" s="3"/>
      <c r="E804" s="112"/>
      <c r="F804" s="3"/>
      <c r="G804" s="12"/>
      <c r="J804" s="12"/>
      <c r="L804" s="12"/>
      <c r="Q804" s="218"/>
      <c r="R804" s="218"/>
      <c r="S804" s="218"/>
      <c r="T804" s="218"/>
    </row>
    <row r="805">
      <c r="D805" s="3"/>
      <c r="E805" s="112"/>
      <c r="F805" s="3"/>
      <c r="G805" s="12"/>
      <c r="J805" s="12"/>
      <c r="L805" s="12"/>
      <c r="Q805" s="218"/>
      <c r="R805" s="218"/>
      <c r="S805" s="218"/>
      <c r="T805" s="218"/>
    </row>
    <row r="806">
      <c r="D806" s="3"/>
      <c r="E806" s="112"/>
      <c r="F806" s="3"/>
      <c r="G806" s="12"/>
      <c r="J806" s="12"/>
      <c r="L806" s="12"/>
      <c r="Q806" s="218"/>
      <c r="R806" s="218"/>
      <c r="S806" s="218"/>
      <c r="T806" s="218"/>
    </row>
    <row r="807">
      <c r="D807" s="3"/>
      <c r="E807" s="112"/>
      <c r="F807" s="3"/>
      <c r="G807" s="12"/>
      <c r="J807" s="12"/>
      <c r="L807" s="12"/>
      <c r="Q807" s="218"/>
      <c r="R807" s="218"/>
      <c r="S807" s="218"/>
      <c r="T807" s="218"/>
    </row>
    <row r="808">
      <c r="D808" s="3"/>
      <c r="E808" s="112"/>
      <c r="F808" s="3"/>
      <c r="G808" s="12"/>
      <c r="J808" s="12"/>
      <c r="L808" s="12"/>
      <c r="Q808" s="218"/>
      <c r="R808" s="218"/>
      <c r="S808" s="218"/>
      <c r="T808" s="218"/>
    </row>
    <row r="809">
      <c r="D809" s="3"/>
      <c r="E809" s="112"/>
      <c r="F809" s="3"/>
      <c r="G809" s="12"/>
      <c r="J809" s="12"/>
      <c r="L809" s="12"/>
      <c r="Q809" s="218"/>
      <c r="R809" s="218"/>
      <c r="S809" s="218"/>
      <c r="T809" s="218"/>
    </row>
    <row r="810">
      <c r="D810" s="3"/>
      <c r="E810" s="112"/>
      <c r="F810" s="3"/>
      <c r="G810" s="12"/>
      <c r="J810" s="12"/>
      <c r="L810" s="12"/>
      <c r="Q810" s="218"/>
      <c r="R810" s="218"/>
      <c r="S810" s="218"/>
      <c r="T810" s="218"/>
    </row>
    <row r="811">
      <c r="D811" s="3"/>
      <c r="E811" s="112"/>
      <c r="F811" s="3"/>
      <c r="G811" s="12"/>
      <c r="J811" s="12"/>
      <c r="L811" s="12"/>
      <c r="Q811" s="218"/>
      <c r="R811" s="218"/>
      <c r="S811" s="218"/>
      <c r="T811" s="218"/>
    </row>
    <row r="812">
      <c r="D812" s="3"/>
      <c r="E812" s="112"/>
      <c r="F812" s="3"/>
      <c r="G812" s="12"/>
      <c r="J812" s="12"/>
      <c r="L812" s="12"/>
      <c r="Q812" s="218"/>
      <c r="R812" s="218"/>
      <c r="S812" s="218"/>
      <c r="T812" s="218"/>
    </row>
    <row r="813">
      <c r="D813" s="3"/>
      <c r="E813" s="112"/>
      <c r="F813" s="3"/>
      <c r="G813" s="12"/>
      <c r="J813" s="12"/>
      <c r="L813" s="12"/>
      <c r="Q813" s="218"/>
      <c r="R813" s="218"/>
      <c r="S813" s="218"/>
      <c r="T813" s="218"/>
    </row>
    <row r="814">
      <c r="D814" s="3"/>
      <c r="E814" s="112"/>
      <c r="F814" s="3"/>
      <c r="G814" s="12"/>
      <c r="J814" s="12"/>
      <c r="L814" s="12"/>
      <c r="Q814" s="218"/>
      <c r="R814" s="218"/>
      <c r="S814" s="218"/>
      <c r="T814" s="218"/>
    </row>
    <row r="815">
      <c r="D815" s="3"/>
      <c r="E815" s="112"/>
      <c r="F815" s="3"/>
      <c r="G815" s="12"/>
      <c r="J815" s="12"/>
      <c r="L815" s="12"/>
      <c r="Q815" s="218"/>
      <c r="R815" s="218"/>
      <c r="S815" s="218"/>
      <c r="T815" s="218"/>
    </row>
    <row r="816">
      <c r="D816" s="3"/>
      <c r="E816" s="112"/>
      <c r="F816" s="3"/>
      <c r="G816" s="12"/>
      <c r="J816" s="12"/>
      <c r="L816" s="12"/>
      <c r="Q816" s="218"/>
      <c r="R816" s="218"/>
      <c r="S816" s="218"/>
      <c r="T816" s="218"/>
    </row>
    <row r="817">
      <c r="D817" s="3"/>
      <c r="E817" s="112"/>
      <c r="F817" s="3"/>
      <c r="G817" s="12"/>
      <c r="J817" s="12"/>
      <c r="L817" s="12"/>
      <c r="Q817" s="218"/>
      <c r="R817" s="218"/>
      <c r="S817" s="218"/>
      <c r="T817" s="218"/>
    </row>
    <row r="818">
      <c r="D818" s="3"/>
      <c r="E818" s="112"/>
      <c r="F818" s="3"/>
      <c r="G818" s="12"/>
      <c r="J818" s="12"/>
      <c r="L818" s="12"/>
      <c r="Q818" s="218"/>
      <c r="R818" s="218"/>
      <c r="S818" s="218"/>
      <c r="T818" s="218"/>
    </row>
    <row r="819">
      <c r="D819" s="3"/>
      <c r="E819" s="112"/>
      <c r="F819" s="3"/>
      <c r="G819" s="12"/>
      <c r="J819" s="12"/>
      <c r="L819" s="12"/>
      <c r="Q819" s="218"/>
      <c r="R819" s="218"/>
      <c r="S819" s="218"/>
      <c r="T819" s="218"/>
    </row>
    <row r="820">
      <c r="D820" s="3"/>
      <c r="E820" s="112"/>
      <c r="F820" s="3"/>
      <c r="G820" s="12"/>
      <c r="J820" s="12"/>
      <c r="L820" s="12"/>
      <c r="Q820" s="218"/>
      <c r="R820" s="218"/>
      <c r="S820" s="218"/>
      <c r="T820" s="218"/>
    </row>
    <row r="821">
      <c r="D821" s="3"/>
      <c r="E821" s="112"/>
      <c r="F821" s="3"/>
      <c r="G821" s="12"/>
      <c r="J821" s="12"/>
      <c r="L821" s="12"/>
      <c r="Q821" s="218"/>
      <c r="R821" s="218"/>
      <c r="S821" s="218"/>
      <c r="T821" s="218"/>
    </row>
    <row r="822">
      <c r="D822" s="3"/>
      <c r="E822" s="112"/>
      <c r="F822" s="3"/>
      <c r="G822" s="12"/>
      <c r="J822" s="12"/>
      <c r="L822" s="12"/>
      <c r="Q822" s="218"/>
      <c r="R822" s="218"/>
      <c r="S822" s="218"/>
      <c r="T822" s="218"/>
    </row>
    <row r="823">
      <c r="D823" s="3"/>
      <c r="E823" s="112"/>
      <c r="F823" s="3"/>
      <c r="G823" s="12"/>
      <c r="J823" s="12"/>
      <c r="L823" s="12"/>
      <c r="Q823" s="218"/>
      <c r="R823" s="218"/>
      <c r="S823" s="218"/>
      <c r="T823" s="218"/>
    </row>
    <row r="824">
      <c r="D824" s="3"/>
      <c r="E824" s="112"/>
      <c r="F824" s="3"/>
      <c r="G824" s="12"/>
      <c r="J824" s="12"/>
      <c r="L824" s="12"/>
      <c r="Q824" s="218"/>
      <c r="R824" s="218"/>
      <c r="S824" s="218"/>
      <c r="T824" s="218"/>
    </row>
    <row r="825">
      <c r="D825" s="3"/>
      <c r="E825" s="112"/>
      <c r="F825" s="3"/>
      <c r="G825" s="12"/>
      <c r="J825" s="12"/>
      <c r="L825" s="12"/>
      <c r="Q825" s="218"/>
      <c r="R825" s="218"/>
      <c r="S825" s="218"/>
      <c r="T825" s="218"/>
    </row>
    <row r="826">
      <c r="D826" s="3"/>
      <c r="E826" s="112"/>
      <c r="F826" s="3"/>
      <c r="G826" s="12"/>
      <c r="J826" s="12"/>
      <c r="L826" s="12"/>
      <c r="Q826" s="218"/>
      <c r="R826" s="218"/>
      <c r="S826" s="218"/>
      <c r="T826" s="218"/>
    </row>
    <row r="827">
      <c r="D827" s="3"/>
      <c r="E827" s="112"/>
      <c r="F827" s="3"/>
      <c r="G827" s="12"/>
      <c r="J827" s="12"/>
      <c r="L827" s="12"/>
      <c r="Q827" s="218"/>
      <c r="R827" s="218"/>
      <c r="S827" s="218"/>
      <c r="T827" s="218"/>
    </row>
    <row r="828">
      <c r="D828" s="3"/>
      <c r="E828" s="112"/>
      <c r="F828" s="3"/>
      <c r="G828" s="12"/>
      <c r="J828" s="12"/>
      <c r="L828" s="12"/>
      <c r="Q828" s="218"/>
      <c r="R828" s="218"/>
      <c r="S828" s="218"/>
      <c r="T828" s="218"/>
    </row>
    <row r="829">
      <c r="D829" s="3"/>
      <c r="E829" s="112"/>
      <c r="F829" s="3"/>
      <c r="G829" s="12"/>
      <c r="J829" s="12"/>
      <c r="L829" s="12"/>
      <c r="Q829" s="218"/>
      <c r="R829" s="218"/>
      <c r="S829" s="218"/>
      <c r="T829" s="218"/>
    </row>
    <row r="830">
      <c r="D830" s="3"/>
      <c r="E830" s="112"/>
      <c r="F830" s="3"/>
      <c r="G830" s="12"/>
      <c r="J830" s="12"/>
      <c r="L830" s="12"/>
      <c r="Q830" s="218"/>
      <c r="R830" s="218"/>
      <c r="S830" s="218"/>
      <c r="T830" s="218"/>
    </row>
    <row r="831">
      <c r="D831" s="3"/>
      <c r="E831" s="112"/>
      <c r="F831" s="3"/>
      <c r="G831" s="12"/>
      <c r="J831" s="12"/>
      <c r="L831" s="12"/>
      <c r="Q831" s="218"/>
      <c r="R831" s="218"/>
      <c r="S831" s="218"/>
      <c r="T831" s="218"/>
    </row>
    <row r="832">
      <c r="D832" s="3"/>
      <c r="E832" s="112"/>
      <c r="F832" s="3"/>
      <c r="G832" s="12"/>
      <c r="J832" s="12"/>
      <c r="L832" s="12"/>
      <c r="Q832" s="218"/>
      <c r="R832" s="218"/>
      <c r="S832" s="218"/>
      <c r="T832" s="218"/>
    </row>
    <row r="833">
      <c r="D833" s="3"/>
      <c r="E833" s="112"/>
      <c r="F833" s="3"/>
      <c r="G833" s="12"/>
      <c r="J833" s="12"/>
      <c r="L833" s="12"/>
      <c r="Q833" s="218"/>
      <c r="R833" s="218"/>
      <c r="S833" s="218"/>
      <c r="T833" s="218"/>
    </row>
    <row r="834">
      <c r="D834" s="3"/>
      <c r="E834" s="112"/>
      <c r="F834" s="3"/>
      <c r="G834" s="12"/>
      <c r="J834" s="12"/>
      <c r="L834" s="12"/>
      <c r="Q834" s="218"/>
      <c r="R834" s="218"/>
      <c r="S834" s="218"/>
      <c r="T834" s="218"/>
    </row>
    <row r="835">
      <c r="D835" s="3"/>
      <c r="E835" s="112"/>
      <c r="F835" s="3"/>
      <c r="G835" s="12"/>
      <c r="J835" s="12"/>
      <c r="L835" s="12"/>
      <c r="Q835" s="218"/>
      <c r="R835" s="218"/>
      <c r="S835" s="218"/>
      <c r="T835" s="218"/>
    </row>
    <row r="836">
      <c r="D836" s="3"/>
      <c r="E836" s="112"/>
      <c r="F836" s="3"/>
      <c r="G836" s="12"/>
      <c r="J836" s="12"/>
      <c r="L836" s="12"/>
      <c r="Q836" s="218"/>
      <c r="R836" s="218"/>
      <c r="S836" s="218"/>
      <c r="T836" s="218"/>
    </row>
    <row r="837">
      <c r="D837" s="3"/>
      <c r="E837" s="112"/>
      <c r="F837" s="3"/>
      <c r="G837" s="12"/>
      <c r="J837" s="12"/>
      <c r="L837" s="12"/>
      <c r="Q837" s="218"/>
      <c r="R837" s="218"/>
      <c r="S837" s="218"/>
      <c r="T837" s="218"/>
    </row>
    <row r="838">
      <c r="D838" s="3"/>
      <c r="E838" s="112"/>
      <c r="F838" s="3"/>
      <c r="G838" s="12"/>
      <c r="J838" s="12"/>
      <c r="L838" s="12"/>
      <c r="Q838" s="218"/>
      <c r="R838" s="218"/>
      <c r="S838" s="218"/>
      <c r="T838" s="218"/>
    </row>
    <row r="839">
      <c r="D839" s="3"/>
      <c r="E839" s="112"/>
      <c r="F839" s="3"/>
      <c r="G839" s="12"/>
      <c r="J839" s="12"/>
      <c r="L839" s="12"/>
      <c r="Q839" s="218"/>
      <c r="R839" s="218"/>
      <c r="S839" s="218"/>
      <c r="T839" s="218"/>
    </row>
    <row r="840">
      <c r="D840" s="3"/>
      <c r="E840" s="112"/>
      <c r="F840" s="3"/>
      <c r="G840" s="12"/>
      <c r="J840" s="12"/>
      <c r="L840" s="12"/>
      <c r="Q840" s="218"/>
      <c r="R840" s="218"/>
      <c r="S840" s="218"/>
      <c r="T840" s="218"/>
    </row>
    <row r="841">
      <c r="D841" s="3"/>
      <c r="E841" s="112"/>
      <c r="F841" s="3"/>
      <c r="G841" s="12"/>
      <c r="J841" s="12"/>
      <c r="L841" s="12"/>
      <c r="Q841" s="218"/>
      <c r="R841" s="218"/>
      <c r="S841" s="218"/>
      <c r="T841" s="218"/>
    </row>
    <row r="842">
      <c r="D842" s="3"/>
      <c r="E842" s="112"/>
      <c r="F842" s="3"/>
      <c r="G842" s="12"/>
      <c r="J842" s="12"/>
      <c r="L842" s="12"/>
      <c r="Q842" s="218"/>
      <c r="R842" s="218"/>
      <c r="S842" s="218"/>
      <c r="T842" s="218"/>
    </row>
    <row r="843">
      <c r="D843" s="3"/>
      <c r="E843" s="112"/>
      <c r="F843" s="3"/>
      <c r="G843" s="12"/>
      <c r="J843" s="12"/>
      <c r="L843" s="12"/>
      <c r="Q843" s="218"/>
      <c r="R843" s="218"/>
      <c r="S843" s="218"/>
      <c r="T843" s="218"/>
    </row>
    <row r="844">
      <c r="D844" s="3"/>
      <c r="E844" s="112"/>
      <c r="F844" s="3"/>
      <c r="G844" s="12"/>
      <c r="J844" s="12"/>
      <c r="L844" s="12"/>
      <c r="Q844" s="218"/>
      <c r="R844" s="218"/>
      <c r="S844" s="218"/>
      <c r="T844" s="218"/>
    </row>
    <row r="845">
      <c r="D845" s="3"/>
      <c r="E845" s="112"/>
      <c r="F845" s="3"/>
      <c r="G845" s="12"/>
      <c r="J845" s="12"/>
      <c r="L845" s="12"/>
      <c r="Q845" s="218"/>
      <c r="R845" s="218"/>
      <c r="S845" s="218"/>
      <c r="T845" s="218"/>
    </row>
    <row r="846">
      <c r="D846" s="3"/>
      <c r="E846" s="112"/>
      <c r="F846" s="3"/>
      <c r="G846" s="12"/>
      <c r="J846" s="12"/>
      <c r="L846" s="12"/>
      <c r="Q846" s="218"/>
      <c r="R846" s="218"/>
      <c r="S846" s="218"/>
      <c r="T846" s="218"/>
    </row>
    <row r="847">
      <c r="D847" s="3"/>
      <c r="E847" s="112"/>
      <c r="F847" s="3"/>
      <c r="G847" s="12"/>
      <c r="J847" s="12"/>
      <c r="L847" s="12"/>
      <c r="Q847" s="218"/>
      <c r="R847" s="218"/>
      <c r="S847" s="218"/>
      <c r="T847" s="218"/>
    </row>
    <row r="848">
      <c r="D848" s="3"/>
      <c r="E848" s="112"/>
      <c r="F848" s="3"/>
      <c r="G848" s="12"/>
      <c r="J848" s="12"/>
      <c r="L848" s="12"/>
      <c r="Q848" s="218"/>
      <c r="R848" s="218"/>
      <c r="S848" s="218"/>
      <c r="T848" s="218"/>
    </row>
    <row r="849">
      <c r="D849" s="3"/>
      <c r="E849" s="112"/>
      <c r="F849" s="3"/>
      <c r="G849" s="12"/>
      <c r="J849" s="12"/>
      <c r="L849" s="12"/>
      <c r="Q849" s="218"/>
      <c r="R849" s="218"/>
      <c r="S849" s="218"/>
      <c r="T849" s="218"/>
    </row>
    <row r="850">
      <c r="D850" s="3"/>
      <c r="E850" s="112"/>
      <c r="F850" s="3"/>
      <c r="G850" s="12"/>
      <c r="J850" s="12"/>
      <c r="L850" s="12"/>
      <c r="Q850" s="218"/>
      <c r="R850" s="218"/>
      <c r="S850" s="218"/>
      <c r="T850" s="218"/>
    </row>
    <row r="851">
      <c r="D851" s="3"/>
      <c r="E851" s="112"/>
      <c r="F851" s="3"/>
      <c r="G851" s="12"/>
      <c r="J851" s="12"/>
      <c r="L851" s="12"/>
      <c r="Q851" s="218"/>
      <c r="R851" s="218"/>
      <c r="S851" s="218"/>
      <c r="T851" s="218"/>
    </row>
    <row r="852">
      <c r="D852" s="3"/>
      <c r="E852" s="112"/>
      <c r="F852" s="3"/>
      <c r="G852" s="12"/>
      <c r="J852" s="12"/>
      <c r="L852" s="12"/>
      <c r="Q852" s="218"/>
      <c r="R852" s="218"/>
      <c r="S852" s="218"/>
      <c r="T852" s="218"/>
    </row>
    <row r="853">
      <c r="D853" s="3"/>
      <c r="E853" s="112"/>
      <c r="F853" s="3"/>
      <c r="G853" s="12"/>
      <c r="J853" s="12"/>
      <c r="L853" s="12"/>
      <c r="Q853" s="218"/>
      <c r="R853" s="218"/>
      <c r="S853" s="218"/>
      <c r="T853" s="218"/>
    </row>
    <row r="854">
      <c r="D854" s="3"/>
      <c r="E854" s="112"/>
      <c r="F854" s="3"/>
      <c r="G854" s="12"/>
      <c r="J854" s="12"/>
      <c r="L854" s="12"/>
      <c r="Q854" s="218"/>
      <c r="R854" s="218"/>
      <c r="S854" s="218"/>
      <c r="T854" s="218"/>
    </row>
    <row r="855">
      <c r="D855" s="3"/>
      <c r="E855" s="112"/>
      <c r="F855" s="3"/>
      <c r="G855" s="12"/>
      <c r="J855" s="12"/>
      <c r="L855" s="12"/>
      <c r="Q855" s="218"/>
      <c r="R855" s="218"/>
      <c r="S855" s="218"/>
      <c r="T855" s="218"/>
    </row>
    <row r="856">
      <c r="D856" s="3"/>
      <c r="E856" s="112"/>
      <c r="F856" s="3"/>
      <c r="G856" s="12"/>
      <c r="J856" s="12"/>
      <c r="L856" s="12"/>
      <c r="Q856" s="218"/>
      <c r="R856" s="218"/>
      <c r="S856" s="218"/>
      <c r="T856" s="218"/>
    </row>
    <row r="857">
      <c r="D857" s="3"/>
      <c r="E857" s="112"/>
      <c r="F857" s="3"/>
      <c r="G857" s="12"/>
      <c r="J857" s="12"/>
      <c r="L857" s="12"/>
      <c r="Q857" s="218"/>
      <c r="R857" s="218"/>
      <c r="S857" s="218"/>
      <c r="T857" s="218"/>
    </row>
    <row r="858">
      <c r="D858" s="3"/>
      <c r="E858" s="112"/>
      <c r="F858" s="3"/>
      <c r="G858" s="12"/>
      <c r="J858" s="12"/>
      <c r="L858" s="12"/>
      <c r="Q858" s="218"/>
      <c r="R858" s="218"/>
      <c r="S858" s="218"/>
      <c r="T858" s="218"/>
    </row>
    <row r="859">
      <c r="D859" s="3"/>
      <c r="E859" s="112"/>
      <c r="F859" s="3"/>
      <c r="G859" s="12"/>
      <c r="J859" s="12"/>
      <c r="L859" s="12"/>
      <c r="Q859" s="218"/>
      <c r="R859" s="218"/>
      <c r="S859" s="218"/>
      <c r="T859" s="218"/>
    </row>
    <row r="860">
      <c r="D860" s="3"/>
      <c r="E860" s="112"/>
      <c r="F860" s="3"/>
      <c r="G860" s="12"/>
      <c r="J860" s="12"/>
      <c r="L860" s="12"/>
      <c r="Q860" s="218"/>
      <c r="R860" s="218"/>
      <c r="S860" s="218"/>
      <c r="T860" s="218"/>
    </row>
    <row r="861">
      <c r="D861" s="3"/>
      <c r="E861" s="112"/>
      <c r="F861" s="3"/>
      <c r="G861" s="12"/>
      <c r="J861" s="12"/>
      <c r="L861" s="12"/>
      <c r="Q861" s="218"/>
      <c r="R861" s="218"/>
      <c r="S861" s="218"/>
      <c r="T861" s="218"/>
    </row>
    <row r="862">
      <c r="D862" s="3"/>
      <c r="E862" s="112"/>
      <c r="F862" s="3"/>
      <c r="G862" s="12"/>
      <c r="J862" s="12"/>
      <c r="L862" s="12"/>
      <c r="Q862" s="218"/>
      <c r="R862" s="218"/>
      <c r="S862" s="218"/>
      <c r="T862" s="218"/>
    </row>
    <row r="863">
      <c r="D863" s="3"/>
      <c r="E863" s="112"/>
      <c r="F863" s="3"/>
      <c r="G863" s="12"/>
      <c r="J863" s="12"/>
      <c r="L863" s="12"/>
      <c r="Q863" s="218"/>
      <c r="R863" s="218"/>
      <c r="S863" s="218"/>
      <c r="T863" s="218"/>
    </row>
    <row r="864">
      <c r="D864" s="3"/>
      <c r="E864" s="112"/>
      <c r="F864" s="3"/>
      <c r="G864" s="12"/>
      <c r="J864" s="12"/>
      <c r="L864" s="12"/>
      <c r="Q864" s="218"/>
      <c r="R864" s="218"/>
      <c r="S864" s="218"/>
      <c r="T864" s="218"/>
    </row>
    <row r="865">
      <c r="D865" s="3"/>
      <c r="E865" s="112"/>
      <c r="F865" s="3"/>
      <c r="G865" s="12"/>
      <c r="J865" s="12"/>
      <c r="L865" s="12"/>
      <c r="Q865" s="218"/>
      <c r="R865" s="218"/>
      <c r="S865" s="218"/>
      <c r="T865" s="218"/>
    </row>
    <row r="866">
      <c r="D866" s="3"/>
      <c r="E866" s="112"/>
      <c r="F866" s="3"/>
      <c r="G866" s="12"/>
      <c r="J866" s="12"/>
      <c r="L866" s="12"/>
      <c r="Q866" s="218"/>
      <c r="R866" s="218"/>
      <c r="S866" s="218"/>
      <c r="T866" s="218"/>
    </row>
    <row r="867">
      <c r="D867" s="3"/>
      <c r="E867" s="112"/>
      <c r="F867" s="3"/>
      <c r="G867" s="12"/>
      <c r="J867" s="12"/>
      <c r="L867" s="12"/>
      <c r="Q867" s="218"/>
      <c r="R867" s="218"/>
      <c r="S867" s="218"/>
      <c r="T867" s="218"/>
    </row>
    <row r="868">
      <c r="D868" s="3"/>
      <c r="E868" s="112"/>
      <c r="F868" s="3"/>
      <c r="G868" s="12"/>
      <c r="J868" s="12"/>
      <c r="L868" s="12"/>
      <c r="Q868" s="218"/>
      <c r="R868" s="218"/>
      <c r="S868" s="218"/>
      <c r="T868" s="218"/>
    </row>
    <row r="869">
      <c r="D869" s="3"/>
      <c r="E869" s="112"/>
      <c r="F869" s="3"/>
      <c r="G869" s="12"/>
      <c r="J869" s="12"/>
      <c r="L869" s="12"/>
      <c r="Q869" s="218"/>
      <c r="R869" s="218"/>
      <c r="S869" s="218"/>
      <c r="T869" s="218"/>
    </row>
    <row r="870">
      <c r="D870" s="3"/>
      <c r="E870" s="112"/>
      <c r="F870" s="3"/>
      <c r="G870" s="12"/>
      <c r="J870" s="12"/>
      <c r="L870" s="12"/>
      <c r="Q870" s="218"/>
      <c r="R870" s="218"/>
      <c r="S870" s="218"/>
      <c r="T870" s="218"/>
    </row>
    <row r="871">
      <c r="D871" s="3"/>
      <c r="E871" s="112"/>
      <c r="F871" s="3"/>
      <c r="G871" s="12"/>
      <c r="J871" s="12"/>
      <c r="L871" s="12"/>
      <c r="Q871" s="218"/>
      <c r="R871" s="218"/>
      <c r="S871" s="218"/>
      <c r="T871" s="218"/>
    </row>
    <row r="872">
      <c r="D872" s="3"/>
      <c r="E872" s="112"/>
      <c r="F872" s="3"/>
      <c r="G872" s="12"/>
      <c r="J872" s="12"/>
      <c r="L872" s="12"/>
      <c r="Q872" s="218"/>
      <c r="R872" s="218"/>
      <c r="S872" s="218"/>
      <c r="T872" s="218"/>
    </row>
    <row r="873">
      <c r="D873" s="3"/>
      <c r="E873" s="112"/>
      <c r="F873" s="3"/>
      <c r="G873" s="12"/>
      <c r="J873" s="12"/>
      <c r="L873" s="12"/>
      <c r="Q873" s="218"/>
      <c r="R873" s="218"/>
      <c r="S873" s="218"/>
      <c r="T873" s="218"/>
    </row>
    <row r="874">
      <c r="D874" s="3"/>
      <c r="E874" s="112"/>
      <c r="F874" s="3"/>
      <c r="G874" s="12"/>
      <c r="J874" s="12"/>
      <c r="L874" s="12"/>
      <c r="Q874" s="218"/>
      <c r="R874" s="218"/>
      <c r="S874" s="218"/>
      <c r="T874" s="218"/>
    </row>
    <row r="875">
      <c r="D875" s="3"/>
      <c r="E875" s="112"/>
      <c r="F875" s="3"/>
      <c r="G875" s="12"/>
      <c r="J875" s="12"/>
      <c r="L875" s="12"/>
      <c r="Q875" s="218"/>
      <c r="R875" s="218"/>
      <c r="S875" s="218"/>
      <c r="T875" s="218"/>
    </row>
    <row r="876">
      <c r="D876" s="3"/>
      <c r="E876" s="112"/>
      <c r="F876" s="3"/>
      <c r="G876" s="12"/>
      <c r="J876" s="12"/>
      <c r="L876" s="12"/>
      <c r="Q876" s="218"/>
      <c r="R876" s="218"/>
      <c r="S876" s="218"/>
      <c r="T876" s="218"/>
    </row>
    <row r="877">
      <c r="D877" s="3"/>
      <c r="E877" s="112"/>
      <c r="F877" s="3"/>
      <c r="G877" s="12"/>
      <c r="J877" s="12"/>
      <c r="L877" s="12"/>
      <c r="Q877" s="218"/>
      <c r="R877" s="218"/>
      <c r="S877" s="218"/>
      <c r="T877" s="218"/>
    </row>
    <row r="878">
      <c r="D878" s="3"/>
      <c r="E878" s="112"/>
      <c r="F878" s="3"/>
      <c r="G878" s="12"/>
      <c r="J878" s="12"/>
      <c r="L878" s="12"/>
      <c r="Q878" s="218"/>
      <c r="R878" s="218"/>
      <c r="S878" s="218"/>
      <c r="T878" s="218"/>
    </row>
    <row r="879">
      <c r="D879" s="3"/>
      <c r="E879" s="112"/>
      <c r="F879" s="3"/>
      <c r="G879" s="12"/>
      <c r="J879" s="12"/>
      <c r="L879" s="12"/>
      <c r="Q879" s="218"/>
      <c r="R879" s="218"/>
      <c r="S879" s="218"/>
      <c r="T879" s="218"/>
    </row>
    <row r="880">
      <c r="D880" s="3"/>
      <c r="E880" s="112"/>
      <c r="F880" s="3"/>
      <c r="G880" s="12"/>
      <c r="J880" s="12"/>
      <c r="L880" s="12"/>
      <c r="Q880" s="218"/>
      <c r="R880" s="218"/>
      <c r="S880" s="218"/>
      <c r="T880" s="218"/>
    </row>
    <row r="881">
      <c r="D881" s="3"/>
      <c r="E881" s="112"/>
      <c r="F881" s="3"/>
      <c r="G881" s="12"/>
      <c r="J881" s="12"/>
      <c r="L881" s="12"/>
      <c r="Q881" s="218"/>
      <c r="R881" s="218"/>
      <c r="S881" s="218"/>
      <c r="T881" s="218"/>
    </row>
    <row r="882">
      <c r="D882" s="3"/>
      <c r="E882" s="112"/>
      <c r="F882" s="3"/>
      <c r="G882" s="12"/>
      <c r="J882" s="12"/>
      <c r="L882" s="12"/>
      <c r="Q882" s="218"/>
      <c r="R882" s="218"/>
      <c r="S882" s="218"/>
      <c r="T882" s="218"/>
    </row>
    <row r="883">
      <c r="D883" s="3"/>
      <c r="E883" s="112"/>
      <c r="F883" s="3"/>
      <c r="G883" s="12"/>
      <c r="J883" s="12"/>
      <c r="L883" s="12"/>
      <c r="Q883" s="218"/>
      <c r="R883" s="218"/>
      <c r="S883" s="218"/>
      <c r="T883" s="218"/>
    </row>
    <row r="884">
      <c r="D884" s="3"/>
      <c r="E884" s="112"/>
      <c r="F884" s="3"/>
      <c r="G884" s="12"/>
      <c r="J884" s="12"/>
      <c r="L884" s="12"/>
      <c r="Q884" s="218"/>
      <c r="R884" s="218"/>
      <c r="S884" s="218"/>
      <c r="T884" s="218"/>
    </row>
    <row r="885">
      <c r="D885" s="3"/>
      <c r="E885" s="112"/>
      <c r="F885" s="3"/>
      <c r="G885" s="12"/>
      <c r="J885" s="12"/>
      <c r="L885" s="12"/>
      <c r="Q885" s="218"/>
      <c r="R885" s="218"/>
      <c r="S885" s="218"/>
      <c r="T885" s="218"/>
    </row>
    <row r="886">
      <c r="D886" s="3"/>
      <c r="E886" s="112"/>
      <c r="F886" s="3"/>
      <c r="G886" s="12"/>
      <c r="J886" s="12"/>
      <c r="L886" s="12"/>
      <c r="Q886" s="218"/>
      <c r="R886" s="218"/>
      <c r="S886" s="218"/>
      <c r="T886" s="218"/>
    </row>
    <row r="887">
      <c r="D887" s="3"/>
      <c r="E887" s="112"/>
      <c r="F887" s="3"/>
      <c r="G887" s="12"/>
      <c r="J887" s="12"/>
      <c r="L887" s="12"/>
      <c r="Q887" s="218"/>
      <c r="R887" s="218"/>
      <c r="S887" s="218"/>
      <c r="T887" s="218"/>
    </row>
    <row r="888">
      <c r="D888" s="3"/>
      <c r="E888" s="112"/>
      <c r="F888" s="3"/>
      <c r="G888" s="12"/>
      <c r="J888" s="12"/>
      <c r="L888" s="12"/>
      <c r="Q888" s="218"/>
      <c r="R888" s="218"/>
      <c r="S888" s="218"/>
      <c r="T888" s="218"/>
    </row>
    <row r="889">
      <c r="D889" s="3"/>
      <c r="E889" s="112"/>
      <c r="F889" s="3"/>
      <c r="G889" s="12"/>
      <c r="J889" s="12"/>
      <c r="L889" s="12"/>
      <c r="Q889" s="218"/>
      <c r="R889" s="218"/>
      <c r="S889" s="218"/>
      <c r="T889" s="218"/>
    </row>
    <row r="890">
      <c r="D890" s="3"/>
      <c r="E890" s="112"/>
      <c r="F890" s="3"/>
      <c r="G890" s="12"/>
      <c r="J890" s="12"/>
      <c r="L890" s="12"/>
      <c r="Q890" s="218"/>
      <c r="R890" s="218"/>
      <c r="S890" s="218"/>
      <c r="T890" s="218"/>
    </row>
    <row r="891">
      <c r="D891" s="3"/>
      <c r="E891" s="112"/>
      <c r="F891" s="3"/>
      <c r="G891" s="12"/>
      <c r="J891" s="12"/>
      <c r="L891" s="12"/>
      <c r="Q891" s="218"/>
      <c r="R891" s="218"/>
      <c r="S891" s="218"/>
      <c r="T891" s="218"/>
    </row>
    <row r="892">
      <c r="D892" s="3"/>
      <c r="E892" s="112"/>
      <c r="F892" s="3"/>
      <c r="G892" s="12"/>
      <c r="J892" s="12"/>
      <c r="L892" s="12"/>
      <c r="Q892" s="218"/>
      <c r="R892" s="218"/>
      <c r="S892" s="218"/>
      <c r="T892" s="218"/>
    </row>
    <row r="893">
      <c r="D893" s="3"/>
      <c r="E893" s="112"/>
      <c r="F893" s="3"/>
      <c r="G893" s="12"/>
      <c r="J893" s="12"/>
      <c r="L893" s="12"/>
      <c r="Q893" s="218"/>
      <c r="R893" s="218"/>
      <c r="S893" s="218"/>
      <c r="T893" s="218"/>
    </row>
    <row r="894">
      <c r="D894" s="3"/>
      <c r="E894" s="112"/>
      <c r="F894" s="3"/>
      <c r="G894" s="12"/>
      <c r="J894" s="12"/>
      <c r="L894" s="12"/>
      <c r="Q894" s="218"/>
      <c r="R894" s="218"/>
      <c r="S894" s="218"/>
      <c r="T894" s="218"/>
    </row>
    <row r="895">
      <c r="D895" s="3"/>
      <c r="E895" s="112"/>
      <c r="F895" s="3"/>
      <c r="G895" s="12"/>
      <c r="J895" s="12"/>
      <c r="L895" s="12"/>
      <c r="Q895" s="218"/>
      <c r="R895" s="218"/>
      <c r="S895" s="218"/>
      <c r="T895" s="218"/>
    </row>
    <row r="896">
      <c r="D896" s="3"/>
      <c r="E896" s="112"/>
      <c r="F896" s="3"/>
      <c r="G896" s="12"/>
      <c r="J896" s="12"/>
      <c r="L896" s="12"/>
      <c r="Q896" s="218"/>
      <c r="R896" s="218"/>
      <c r="S896" s="218"/>
      <c r="T896" s="218"/>
    </row>
    <row r="897">
      <c r="D897" s="3"/>
      <c r="E897" s="112"/>
      <c r="F897" s="3"/>
      <c r="G897" s="12"/>
      <c r="J897" s="12"/>
      <c r="L897" s="12"/>
      <c r="Q897" s="218"/>
      <c r="R897" s="218"/>
      <c r="S897" s="218"/>
      <c r="T897" s="218"/>
    </row>
    <row r="898">
      <c r="D898" s="3"/>
      <c r="E898" s="112"/>
      <c r="F898" s="3"/>
      <c r="G898" s="12"/>
      <c r="J898" s="12"/>
      <c r="L898" s="12"/>
      <c r="Q898" s="218"/>
      <c r="R898" s="218"/>
      <c r="S898" s="218"/>
      <c r="T898" s="218"/>
    </row>
    <row r="899">
      <c r="D899" s="3"/>
      <c r="E899" s="112"/>
      <c r="F899" s="3"/>
      <c r="G899" s="12"/>
      <c r="J899" s="12"/>
      <c r="L899" s="12"/>
      <c r="Q899" s="218"/>
      <c r="R899" s="218"/>
      <c r="S899" s="218"/>
      <c r="T899" s="218"/>
    </row>
    <row r="900">
      <c r="D900" s="3"/>
      <c r="E900" s="112"/>
      <c r="F900" s="3"/>
      <c r="G900" s="12"/>
      <c r="J900" s="12"/>
      <c r="L900" s="12"/>
      <c r="Q900" s="218"/>
      <c r="R900" s="218"/>
      <c r="S900" s="218"/>
      <c r="T900" s="218"/>
    </row>
    <row r="901">
      <c r="D901" s="3"/>
      <c r="E901" s="112"/>
      <c r="F901" s="3"/>
      <c r="G901" s="12"/>
      <c r="J901" s="12"/>
      <c r="L901" s="12"/>
      <c r="Q901" s="218"/>
      <c r="R901" s="218"/>
      <c r="S901" s="218"/>
      <c r="T901" s="218"/>
    </row>
    <row r="902">
      <c r="D902" s="3"/>
      <c r="E902" s="112"/>
      <c r="F902" s="3"/>
      <c r="G902" s="12"/>
      <c r="J902" s="12"/>
      <c r="L902" s="12"/>
      <c r="Q902" s="218"/>
      <c r="R902" s="218"/>
      <c r="S902" s="218"/>
      <c r="T902" s="218"/>
    </row>
    <row r="903">
      <c r="D903" s="3"/>
      <c r="E903" s="112"/>
      <c r="F903" s="3"/>
      <c r="G903" s="12"/>
      <c r="J903" s="12"/>
      <c r="L903" s="12"/>
      <c r="Q903" s="218"/>
      <c r="R903" s="218"/>
      <c r="S903" s="218"/>
      <c r="T903" s="218"/>
    </row>
    <row r="904">
      <c r="D904" s="3"/>
      <c r="E904" s="112"/>
      <c r="F904" s="3"/>
      <c r="G904" s="12"/>
      <c r="J904" s="12"/>
      <c r="L904" s="12"/>
      <c r="Q904" s="218"/>
      <c r="R904" s="218"/>
      <c r="S904" s="218"/>
      <c r="T904" s="218"/>
    </row>
    <row r="905">
      <c r="D905" s="3"/>
      <c r="E905" s="112"/>
      <c r="F905" s="3"/>
      <c r="G905" s="12"/>
      <c r="J905" s="12"/>
      <c r="L905" s="12"/>
      <c r="Q905" s="218"/>
      <c r="R905" s="218"/>
      <c r="S905" s="218"/>
      <c r="T905" s="218"/>
    </row>
    <row r="906">
      <c r="D906" s="3"/>
      <c r="E906" s="112"/>
      <c r="F906" s="3"/>
      <c r="G906" s="12"/>
      <c r="J906" s="12"/>
      <c r="L906" s="12"/>
      <c r="Q906" s="218"/>
      <c r="R906" s="218"/>
      <c r="S906" s="218"/>
      <c r="T906" s="218"/>
    </row>
    <row r="907">
      <c r="D907" s="3"/>
      <c r="E907" s="112"/>
      <c r="F907" s="3"/>
      <c r="G907" s="12"/>
      <c r="J907" s="12"/>
      <c r="L907" s="12"/>
      <c r="Q907" s="218"/>
      <c r="R907" s="218"/>
      <c r="S907" s="218"/>
      <c r="T907" s="218"/>
    </row>
    <row r="908">
      <c r="D908" s="3"/>
      <c r="E908" s="112"/>
      <c r="F908" s="3"/>
      <c r="G908" s="12"/>
      <c r="J908" s="12"/>
      <c r="L908" s="12"/>
      <c r="Q908" s="218"/>
      <c r="R908" s="218"/>
      <c r="S908" s="218"/>
      <c r="T908" s="218"/>
    </row>
    <row r="909">
      <c r="D909" s="3"/>
      <c r="E909" s="112"/>
      <c r="F909" s="3"/>
      <c r="G909" s="12"/>
      <c r="J909" s="12"/>
      <c r="L909" s="12"/>
      <c r="Q909" s="218"/>
      <c r="R909" s="218"/>
      <c r="S909" s="218"/>
      <c r="T909" s="218"/>
    </row>
    <row r="910">
      <c r="D910" s="3"/>
      <c r="E910" s="112"/>
      <c r="F910" s="3"/>
      <c r="G910" s="12"/>
      <c r="J910" s="12"/>
      <c r="L910" s="12"/>
      <c r="Q910" s="218"/>
      <c r="R910" s="218"/>
      <c r="S910" s="218"/>
      <c r="T910" s="218"/>
    </row>
    <row r="911">
      <c r="D911" s="3"/>
      <c r="E911" s="112"/>
      <c r="F911" s="3"/>
      <c r="G911" s="12"/>
      <c r="J911" s="12"/>
      <c r="L911" s="12"/>
      <c r="Q911" s="218"/>
      <c r="R911" s="218"/>
      <c r="S911" s="218"/>
      <c r="T911" s="218"/>
    </row>
    <row r="912">
      <c r="D912" s="3"/>
      <c r="E912" s="112"/>
      <c r="F912" s="3"/>
      <c r="G912" s="12"/>
      <c r="J912" s="12"/>
      <c r="L912" s="12"/>
      <c r="Q912" s="218"/>
      <c r="R912" s="218"/>
      <c r="S912" s="218"/>
      <c r="T912" s="218"/>
    </row>
    <row r="913">
      <c r="D913" s="3"/>
      <c r="E913" s="112"/>
      <c r="F913" s="3"/>
      <c r="G913" s="12"/>
      <c r="J913" s="12"/>
      <c r="L913" s="12"/>
      <c r="Q913" s="218"/>
      <c r="R913" s="218"/>
      <c r="S913" s="218"/>
      <c r="T913" s="218"/>
    </row>
    <row r="914">
      <c r="D914" s="3"/>
      <c r="E914" s="112"/>
      <c r="F914" s="3"/>
      <c r="G914" s="12"/>
      <c r="J914" s="12"/>
      <c r="L914" s="12"/>
      <c r="Q914" s="218"/>
      <c r="R914" s="218"/>
      <c r="S914" s="218"/>
      <c r="T914" s="218"/>
    </row>
    <row r="915">
      <c r="D915" s="3"/>
      <c r="E915" s="112"/>
      <c r="F915" s="3"/>
      <c r="G915" s="12"/>
      <c r="J915" s="12"/>
      <c r="L915" s="12"/>
      <c r="Q915" s="218"/>
      <c r="R915" s="218"/>
      <c r="S915" s="218"/>
      <c r="T915" s="218"/>
    </row>
    <row r="916">
      <c r="D916" s="3"/>
      <c r="E916" s="112"/>
      <c r="F916" s="3"/>
      <c r="G916" s="12"/>
      <c r="J916" s="12"/>
      <c r="L916" s="12"/>
      <c r="Q916" s="218"/>
      <c r="R916" s="218"/>
      <c r="S916" s="218"/>
      <c r="T916" s="218"/>
    </row>
    <row r="917">
      <c r="D917" s="3"/>
      <c r="E917" s="112"/>
      <c r="F917" s="3"/>
      <c r="G917" s="12"/>
      <c r="J917" s="12"/>
      <c r="L917" s="12"/>
      <c r="Q917" s="218"/>
      <c r="R917" s="218"/>
      <c r="S917" s="218"/>
      <c r="T917" s="218"/>
    </row>
    <row r="918">
      <c r="D918" s="3"/>
      <c r="E918" s="112"/>
      <c r="F918" s="3"/>
      <c r="G918" s="12"/>
      <c r="J918" s="12"/>
      <c r="L918" s="12"/>
      <c r="Q918" s="218"/>
      <c r="R918" s="218"/>
      <c r="S918" s="218"/>
      <c r="T918" s="218"/>
    </row>
    <row r="919">
      <c r="D919" s="3"/>
      <c r="E919" s="112"/>
      <c r="F919" s="3"/>
      <c r="G919" s="12"/>
      <c r="J919" s="12"/>
      <c r="L919" s="12"/>
      <c r="Q919" s="218"/>
      <c r="R919" s="218"/>
      <c r="S919" s="218"/>
      <c r="T919" s="218"/>
    </row>
    <row r="920">
      <c r="D920" s="3"/>
      <c r="E920" s="112"/>
      <c r="F920" s="3"/>
      <c r="G920" s="12"/>
      <c r="J920" s="12"/>
      <c r="L920" s="12"/>
      <c r="Q920" s="218"/>
      <c r="R920" s="218"/>
      <c r="S920" s="218"/>
      <c r="T920" s="218"/>
    </row>
    <row r="921">
      <c r="D921" s="3"/>
      <c r="E921" s="112"/>
      <c r="F921" s="3"/>
      <c r="G921" s="12"/>
      <c r="J921" s="12"/>
      <c r="L921" s="12"/>
      <c r="Q921" s="218"/>
      <c r="R921" s="218"/>
      <c r="S921" s="218"/>
      <c r="T921" s="218"/>
    </row>
    <row r="922">
      <c r="D922" s="3"/>
      <c r="E922" s="112"/>
      <c r="F922" s="3"/>
      <c r="G922" s="12"/>
      <c r="J922" s="12"/>
      <c r="L922" s="12"/>
      <c r="Q922" s="218"/>
      <c r="R922" s="218"/>
      <c r="S922" s="218"/>
      <c r="T922" s="218"/>
    </row>
    <row r="923">
      <c r="D923" s="3"/>
      <c r="E923" s="112"/>
      <c r="F923" s="3"/>
      <c r="G923" s="12"/>
      <c r="J923" s="12"/>
      <c r="L923" s="12"/>
      <c r="Q923" s="218"/>
      <c r="R923" s="218"/>
      <c r="S923" s="218"/>
      <c r="T923" s="218"/>
    </row>
    <row r="924">
      <c r="D924" s="3"/>
      <c r="E924" s="112"/>
      <c r="F924" s="3"/>
      <c r="G924" s="12"/>
      <c r="J924" s="12"/>
      <c r="L924" s="12"/>
      <c r="Q924" s="218"/>
      <c r="R924" s="218"/>
      <c r="S924" s="218"/>
      <c r="T924" s="218"/>
    </row>
    <row r="925">
      <c r="D925" s="3"/>
      <c r="E925" s="112"/>
      <c r="F925" s="3"/>
      <c r="G925" s="12"/>
      <c r="J925" s="12"/>
      <c r="L925" s="12"/>
      <c r="Q925" s="218"/>
      <c r="R925" s="218"/>
      <c r="S925" s="218"/>
      <c r="T925" s="218"/>
    </row>
    <row r="926">
      <c r="D926" s="3"/>
      <c r="E926" s="112"/>
      <c r="F926" s="3"/>
      <c r="G926" s="12"/>
      <c r="J926" s="12"/>
      <c r="L926" s="12"/>
      <c r="Q926" s="218"/>
      <c r="R926" s="218"/>
      <c r="S926" s="218"/>
      <c r="T926" s="218"/>
    </row>
    <row r="927">
      <c r="D927" s="3"/>
      <c r="E927" s="112"/>
      <c r="F927" s="3"/>
      <c r="G927" s="12"/>
      <c r="J927" s="12"/>
      <c r="L927" s="12"/>
      <c r="Q927" s="218"/>
      <c r="R927" s="218"/>
      <c r="S927" s="218"/>
      <c r="T927" s="218"/>
    </row>
    <row r="928">
      <c r="D928" s="3"/>
      <c r="E928" s="112"/>
      <c r="F928" s="3"/>
      <c r="G928" s="12"/>
      <c r="J928" s="12"/>
      <c r="L928" s="12"/>
      <c r="Q928" s="218"/>
      <c r="R928" s="218"/>
      <c r="S928" s="218"/>
      <c r="T928" s="218"/>
    </row>
    <row r="929">
      <c r="D929" s="3"/>
      <c r="E929" s="112"/>
      <c r="F929" s="3"/>
      <c r="G929" s="12"/>
      <c r="J929" s="12"/>
      <c r="L929" s="12"/>
      <c r="Q929" s="218"/>
      <c r="R929" s="218"/>
      <c r="S929" s="218"/>
      <c r="T929" s="218"/>
    </row>
    <row r="930">
      <c r="D930" s="3"/>
      <c r="E930" s="112"/>
      <c r="F930" s="3"/>
      <c r="G930" s="12"/>
      <c r="J930" s="12"/>
      <c r="L930" s="12"/>
      <c r="Q930" s="218"/>
      <c r="R930" s="218"/>
      <c r="S930" s="218"/>
      <c r="T930" s="218"/>
    </row>
    <row r="931">
      <c r="D931" s="3"/>
      <c r="E931" s="112"/>
      <c r="F931" s="3"/>
      <c r="G931" s="12"/>
      <c r="J931" s="12"/>
      <c r="L931" s="12"/>
      <c r="Q931" s="218"/>
      <c r="R931" s="218"/>
      <c r="S931" s="218"/>
      <c r="T931" s="218"/>
    </row>
    <row r="932">
      <c r="D932" s="3"/>
      <c r="E932" s="112"/>
      <c r="F932" s="3"/>
      <c r="G932" s="12"/>
      <c r="J932" s="12"/>
      <c r="L932" s="12"/>
      <c r="Q932" s="218"/>
      <c r="R932" s="218"/>
      <c r="S932" s="218"/>
      <c r="T932" s="218"/>
    </row>
    <row r="933">
      <c r="D933" s="3"/>
      <c r="E933" s="112"/>
      <c r="F933" s="3"/>
      <c r="G933" s="12"/>
      <c r="J933" s="12"/>
      <c r="L933" s="12"/>
      <c r="Q933" s="218"/>
      <c r="R933" s="218"/>
      <c r="S933" s="218"/>
      <c r="T933" s="218"/>
    </row>
    <row r="934">
      <c r="D934" s="3"/>
      <c r="E934" s="112"/>
      <c r="F934" s="3"/>
      <c r="G934" s="12"/>
      <c r="J934" s="12"/>
      <c r="L934" s="12"/>
      <c r="Q934" s="218"/>
      <c r="R934" s="218"/>
      <c r="S934" s="218"/>
      <c r="T934" s="218"/>
    </row>
    <row r="935">
      <c r="D935" s="3"/>
      <c r="E935" s="112"/>
      <c r="F935" s="3"/>
      <c r="G935" s="12"/>
      <c r="J935" s="12"/>
      <c r="L935" s="12"/>
      <c r="Q935" s="218"/>
      <c r="R935" s="218"/>
      <c r="S935" s="218"/>
      <c r="T935" s="218"/>
    </row>
    <row r="936">
      <c r="D936" s="3"/>
      <c r="E936" s="112"/>
      <c r="F936" s="3"/>
      <c r="G936" s="12"/>
      <c r="J936" s="12"/>
      <c r="L936" s="12"/>
      <c r="Q936" s="218"/>
      <c r="R936" s="218"/>
      <c r="S936" s="218"/>
      <c r="T936" s="218"/>
    </row>
    <row r="937">
      <c r="D937" s="3"/>
      <c r="E937" s="112"/>
      <c r="F937" s="3"/>
      <c r="G937" s="12"/>
      <c r="J937" s="12"/>
      <c r="L937" s="12"/>
      <c r="Q937" s="218"/>
      <c r="R937" s="218"/>
      <c r="S937" s="218"/>
      <c r="T937" s="218"/>
    </row>
    <row r="938">
      <c r="D938" s="3"/>
      <c r="E938" s="112"/>
      <c r="F938" s="3"/>
      <c r="G938" s="12"/>
      <c r="J938" s="12"/>
      <c r="L938" s="12"/>
      <c r="Q938" s="218"/>
      <c r="R938" s="218"/>
      <c r="S938" s="218"/>
      <c r="T938" s="218"/>
    </row>
    <row r="939">
      <c r="D939" s="3"/>
      <c r="E939" s="112"/>
      <c r="F939" s="3"/>
      <c r="G939" s="12"/>
      <c r="J939" s="12"/>
      <c r="L939" s="12"/>
      <c r="Q939" s="218"/>
      <c r="R939" s="218"/>
      <c r="S939" s="218"/>
      <c r="T939" s="218"/>
    </row>
    <row r="940">
      <c r="D940" s="3"/>
      <c r="E940" s="112"/>
      <c r="F940" s="3"/>
      <c r="G940" s="12"/>
      <c r="J940" s="12"/>
      <c r="L940" s="12"/>
      <c r="Q940" s="218"/>
      <c r="R940" s="218"/>
      <c r="S940" s="218"/>
      <c r="T940" s="218"/>
    </row>
    <row r="941">
      <c r="D941" s="3"/>
      <c r="E941" s="112"/>
      <c r="F941" s="3"/>
      <c r="G941" s="12"/>
      <c r="J941" s="12"/>
      <c r="L941" s="12"/>
      <c r="Q941" s="218"/>
      <c r="R941" s="218"/>
      <c r="S941" s="218"/>
      <c r="T941" s="218"/>
    </row>
    <row r="942">
      <c r="D942" s="3"/>
      <c r="E942" s="112"/>
      <c r="F942" s="3"/>
      <c r="G942" s="12"/>
      <c r="J942" s="12"/>
      <c r="L942" s="12"/>
      <c r="Q942" s="218"/>
      <c r="R942" s="218"/>
      <c r="S942" s="218"/>
      <c r="T942" s="218"/>
    </row>
    <row r="943">
      <c r="D943" s="3"/>
      <c r="E943" s="112"/>
      <c r="F943" s="3"/>
      <c r="G943" s="12"/>
      <c r="J943" s="12"/>
      <c r="L943" s="12"/>
      <c r="Q943" s="218"/>
      <c r="R943" s="218"/>
      <c r="S943" s="218"/>
      <c r="T943" s="218"/>
    </row>
    <row r="944">
      <c r="D944" s="3"/>
      <c r="E944" s="112"/>
      <c r="F944" s="3"/>
      <c r="G944" s="12"/>
      <c r="J944" s="12"/>
      <c r="L944" s="12"/>
      <c r="Q944" s="218"/>
      <c r="R944" s="218"/>
      <c r="S944" s="218"/>
      <c r="T944" s="218"/>
    </row>
    <row r="945">
      <c r="D945" s="3"/>
      <c r="E945" s="112"/>
      <c r="F945" s="3"/>
      <c r="G945" s="12"/>
      <c r="J945" s="12"/>
      <c r="L945" s="12"/>
      <c r="Q945" s="218"/>
      <c r="R945" s="218"/>
      <c r="S945" s="218"/>
      <c r="T945" s="218"/>
    </row>
    <row r="946">
      <c r="D946" s="3"/>
      <c r="E946" s="112"/>
      <c r="F946" s="3"/>
      <c r="G946" s="12"/>
      <c r="J946" s="12"/>
      <c r="L946" s="12"/>
      <c r="Q946" s="218"/>
      <c r="R946" s="218"/>
      <c r="S946" s="218"/>
      <c r="T946" s="218"/>
    </row>
    <row r="947">
      <c r="D947" s="3"/>
      <c r="E947" s="112"/>
      <c r="F947" s="3"/>
      <c r="G947" s="12"/>
      <c r="J947" s="12"/>
      <c r="L947" s="12"/>
      <c r="Q947" s="218"/>
      <c r="R947" s="218"/>
      <c r="S947" s="218"/>
      <c r="T947" s="218"/>
    </row>
    <row r="948">
      <c r="D948" s="3"/>
      <c r="E948" s="112"/>
      <c r="F948" s="3"/>
      <c r="G948" s="12"/>
      <c r="J948" s="12"/>
      <c r="L948" s="12"/>
      <c r="Q948" s="218"/>
      <c r="R948" s="218"/>
      <c r="S948" s="218"/>
      <c r="T948" s="218"/>
    </row>
    <row r="949">
      <c r="D949" s="3"/>
      <c r="E949" s="112"/>
      <c r="F949" s="3"/>
      <c r="G949" s="12"/>
      <c r="J949" s="12"/>
      <c r="L949" s="12"/>
      <c r="Q949" s="218"/>
      <c r="R949" s="218"/>
      <c r="S949" s="218"/>
      <c r="T949" s="218"/>
    </row>
    <row r="950">
      <c r="D950" s="3"/>
      <c r="E950" s="112"/>
      <c r="F950" s="3"/>
      <c r="G950" s="12"/>
      <c r="J950" s="12"/>
      <c r="L950" s="12"/>
      <c r="Q950" s="218"/>
      <c r="R950" s="218"/>
      <c r="S950" s="218"/>
      <c r="T950" s="218"/>
    </row>
    <row r="951">
      <c r="D951" s="3"/>
      <c r="E951" s="112"/>
      <c r="F951" s="3"/>
      <c r="G951" s="12"/>
      <c r="J951" s="12"/>
      <c r="L951" s="12"/>
      <c r="Q951" s="218"/>
      <c r="R951" s="218"/>
      <c r="S951" s="218"/>
      <c r="T951" s="218"/>
    </row>
    <row r="952">
      <c r="D952" s="3"/>
      <c r="E952" s="112"/>
      <c r="F952" s="3"/>
      <c r="G952" s="12"/>
      <c r="J952" s="12"/>
      <c r="L952" s="12"/>
      <c r="Q952" s="218"/>
      <c r="R952" s="218"/>
      <c r="S952" s="218"/>
      <c r="T952" s="218"/>
    </row>
    <row r="953">
      <c r="D953" s="3"/>
      <c r="E953" s="112"/>
      <c r="F953" s="3"/>
      <c r="G953" s="12"/>
      <c r="J953" s="12"/>
      <c r="L953" s="12"/>
      <c r="Q953" s="218"/>
      <c r="R953" s="218"/>
      <c r="S953" s="218"/>
      <c r="T953" s="218"/>
    </row>
    <row r="954">
      <c r="D954" s="3"/>
      <c r="E954" s="112"/>
      <c r="F954" s="3"/>
      <c r="G954" s="12"/>
      <c r="J954" s="12"/>
      <c r="L954" s="12"/>
      <c r="Q954" s="218"/>
      <c r="R954" s="218"/>
      <c r="S954" s="218"/>
      <c r="T954" s="218"/>
    </row>
    <row r="955">
      <c r="D955" s="3"/>
      <c r="E955" s="112"/>
      <c r="F955" s="3"/>
      <c r="G955" s="12"/>
      <c r="J955" s="12"/>
      <c r="L955" s="12"/>
      <c r="Q955" s="218"/>
      <c r="R955" s="218"/>
      <c r="S955" s="218"/>
      <c r="T955" s="218"/>
    </row>
    <row r="956">
      <c r="D956" s="3"/>
      <c r="E956" s="112"/>
      <c r="F956" s="3"/>
      <c r="G956" s="12"/>
      <c r="J956" s="12"/>
      <c r="L956" s="12"/>
      <c r="Q956" s="218"/>
      <c r="R956" s="218"/>
      <c r="S956" s="218"/>
      <c r="T956" s="218"/>
    </row>
    <row r="957">
      <c r="D957" s="3"/>
      <c r="E957" s="112"/>
      <c r="F957" s="3"/>
      <c r="G957" s="12"/>
      <c r="J957" s="12"/>
      <c r="L957" s="12"/>
      <c r="Q957" s="218"/>
      <c r="R957" s="218"/>
      <c r="S957" s="218"/>
      <c r="T957" s="218"/>
    </row>
    <row r="958">
      <c r="D958" s="3"/>
      <c r="E958" s="112"/>
      <c r="F958" s="3"/>
      <c r="G958" s="12"/>
      <c r="J958" s="12"/>
      <c r="L958" s="12"/>
      <c r="Q958" s="218"/>
      <c r="R958" s="218"/>
      <c r="S958" s="218"/>
      <c r="T958" s="218"/>
    </row>
    <row r="959">
      <c r="D959" s="3"/>
      <c r="E959" s="112"/>
      <c r="F959" s="3"/>
      <c r="G959" s="12"/>
      <c r="J959" s="12"/>
      <c r="L959" s="12"/>
      <c r="Q959" s="218"/>
      <c r="R959" s="218"/>
      <c r="S959" s="218"/>
      <c r="T959" s="218"/>
    </row>
    <row r="960">
      <c r="D960" s="3"/>
      <c r="E960" s="112"/>
      <c r="F960" s="3"/>
      <c r="G960" s="12"/>
      <c r="J960" s="12"/>
      <c r="L960" s="12"/>
      <c r="Q960" s="218"/>
      <c r="R960" s="218"/>
      <c r="S960" s="218"/>
      <c r="T960" s="218"/>
    </row>
    <row r="961">
      <c r="D961" s="3"/>
      <c r="E961" s="112"/>
      <c r="F961" s="3"/>
      <c r="G961" s="12"/>
      <c r="J961" s="12"/>
      <c r="L961" s="12"/>
      <c r="Q961" s="218"/>
      <c r="R961" s="218"/>
      <c r="S961" s="218"/>
      <c r="T961" s="218"/>
    </row>
    <row r="962">
      <c r="D962" s="3"/>
      <c r="E962" s="112"/>
      <c r="F962" s="3"/>
      <c r="G962" s="12"/>
      <c r="J962" s="12"/>
      <c r="L962" s="12"/>
      <c r="Q962" s="218"/>
      <c r="R962" s="218"/>
      <c r="S962" s="218"/>
      <c r="T962" s="218"/>
    </row>
    <row r="963">
      <c r="D963" s="3"/>
      <c r="E963" s="112"/>
      <c r="F963" s="3"/>
      <c r="G963" s="12"/>
      <c r="J963" s="12"/>
      <c r="L963" s="12"/>
      <c r="Q963" s="218"/>
      <c r="R963" s="218"/>
      <c r="S963" s="218"/>
      <c r="T963" s="218"/>
    </row>
    <row r="964">
      <c r="D964" s="3"/>
      <c r="E964" s="112"/>
      <c r="F964" s="3"/>
      <c r="G964" s="12"/>
      <c r="J964" s="12"/>
      <c r="L964" s="12"/>
      <c r="Q964" s="218"/>
      <c r="R964" s="218"/>
      <c r="S964" s="218"/>
      <c r="T964" s="218"/>
    </row>
    <row r="965">
      <c r="D965" s="3"/>
      <c r="E965" s="112"/>
      <c r="F965" s="3"/>
      <c r="G965" s="12"/>
      <c r="J965" s="12"/>
      <c r="L965" s="12"/>
      <c r="Q965" s="218"/>
      <c r="R965" s="218"/>
      <c r="S965" s="218"/>
      <c r="T965" s="218"/>
    </row>
    <row r="966">
      <c r="D966" s="3"/>
      <c r="E966" s="112"/>
      <c r="F966" s="3"/>
      <c r="G966" s="12"/>
      <c r="J966" s="12"/>
      <c r="L966" s="12"/>
      <c r="Q966" s="218"/>
      <c r="R966" s="218"/>
      <c r="S966" s="218"/>
      <c r="T966" s="218"/>
    </row>
    <row r="967">
      <c r="D967" s="3"/>
      <c r="E967" s="112"/>
      <c r="F967" s="3"/>
      <c r="G967" s="12"/>
      <c r="J967" s="12"/>
      <c r="L967" s="12"/>
      <c r="Q967" s="218"/>
      <c r="R967" s="218"/>
      <c r="S967" s="218"/>
      <c r="T967" s="218"/>
    </row>
    <row r="968">
      <c r="D968" s="3"/>
      <c r="E968" s="112"/>
      <c r="F968" s="3"/>
      <c r="G968" s="12"/>
      <c r="J968" s="12"/>
      <c r="L968" s="12"/>
      <c r="Q968" s="218"/>
      <c r="R968" s="218"/>
      <c r="S968" s="218"/>
      <c r="T968" s="218"/>
    </row>
    <row r="969">
      <c r="D969" s="3"/>
      <c r="E969" s="112"/>
      <c r="F969" s="3"/>
      <c r="G969" s="12"/>
      <c r="J969" s="12"/>
      <c r="L969" s="12"/>
      <c r="Q969" s="218"/>
      <c r="R969" s="218"/>
      <c r="S969" s="218"/>
      <c r="T969" s="218"/>
    </row>
    <row r="970">
      <c r="D970" s="3"/>
      <c r="E970" s="112"/>
      <c r="F970" s="3"/>
      <c r="G970" s="12"/>
      <c r="J970" s="12"/>
      <c r="L970" s="12"/>
      <c r="Q970" s="218"/>
      <c r="R970" s="218"/>
      <c r="S970" s="218"/>
      <c r="T970" s="218"/>
    </row>
    <row r="971">
      <c r="D971" s="3"/>
      <c r="E971" s="112"/>
      <c r="F971" s="3"/>
      <c r="G971" s="12"/>
      <c r="J971" s="12"/>
      <c r="L971" s="12"/>
      <c r="Q971" s="218"/>
      <c r="R971" s="218"/>
      <c r="S971" s="218"/>
      <c r="T971" s="218"/>
    </row>
    <row r="972">
      <c r="D972" s="3"/>
      <c r="E972" s="112"/>
      <c r="F972" s="3"/>
      <c r="G972" s="12"/>
      <c r="J972" s="12"/>
      <c r="L972" s="12"/>
      <c r="Q972" s="218"/>
      <c r="R972" s="218"/>
      <c r="S972" s="218"/>
      <c r="T972" s="218"/>
    </row>
    <row r="973">
      <c r="D973" s="3"/>
      <c r="E973" s="112"/>
      <c r="F973" s="3"/>
      <c r="G973" s="12"/>
      <c r="J973" s="12"/>
      <c r="L973" s="12"/>
      <c r="Q973" s="218"/>
      <c r="R973" s="218"/>
      <c r="S973" s="218"/>
      <c r="T973" s="218"/>
    </row>
    <row r="974">
      <c r="D974" s="3"/>
      <c r="E974" s="112"/>
      <c r="F974" s="3"/>
      <c r="G974" s="12"/>
      <c r="J974" s="12"/>
      <c r="L974" s="12"/>
      <c r="Q974" s="218"/>
      <c r="R974" s="218"/>
      <c r="S974" s="218"/>
      <c r="T974" s="218"/>
    </row>
    <row r="975">
      <c r="D975" s="3"/>
      <c r="E975" s="112"/>
      <c r="F975" s="3"/>
      <c r="G975" s="12"/>
      <c r="J975" s="12"/>
      <c r="L975" s="12"/>
      <c r="Q975" s="218"/>
      <c r="R975" s="218"/>
      <c r="S975" s="218"/>
      <c r="T975" s="218"/>
    </row>
    <row r="976">
      <c r="D976" s="3"/>
      <c r="E976" s="112"/>
      <c r="F976" s="3"/>
      <c r="G976" s="12"/>
      <c r="J976" s="12"/>
      <c r="L976" s="12"/>
      <c r="Q976" s="218"/>
      <c r="R976" s="218"/>
      <c r="S976" s="218"/>
      <c r="T976" s="218"/>
    </row>
    <row r="977">
      <c r="D977" s="3"/>
      <c r="E977" s="112"/>
      <c r="F977" s="3"/>
      <c r="G977" s="12"/>
      <c r="J977" s="12"/>
      <c r="L977" s="12"/>
      <c r="Q977" s="218"/>
      <c r="R977" s="218"/>
      <c r="S977" s="218"/>
      <c r="T977" s="218"/>
    </row>
    <row r="978">
      <c r="D978" s="3"/>
      <c r="E978" s="112"/>
      <c r="F978" s="3"/>
      <c r="G978" s="12"/>
      <c r="J978" s="12"/>
      <c r="L978" s="12"/>
      <c r="Q978" s="218"/>
      <c r="R978" s="218"/>
      <c r="S978" s="218"/>
      <c r="T978" s="218"/>
    </row>
    <row r="979">
      <c r="D979" s="3"/>
      <c r="E979" s="112"/>
      <c r="F979" s="3"/>
      <c r="G979" s="12"/>
      <c r="J979" s="12"/>
      <c r="L979" s="12"/>
      <c r="Q979" s="218"/>
      <c r="R979" s="218"/>
      <c r="S979" s="218"/>
      <c r="T979" s="218"/>
    </row>
    <row r="980">
      <c r="D980" s="3"/>
      <c r="E980" s="112"/>
      <c r="F980" s="3"/>
      <c r="G980" s="12"/>
      <c r="J980" s="12"/>
      <c r="L980" s="12"/>
      <c r="Q980" s="218"/>
      <c r="R980" s="218"/>
      <c r="S980" s="218"/>
      <c r="T980" s="218"/>
    </row>
    <row r="981">
      <c r="D981" s="3"/>
      <c r="E981" s="112"/>
      <c r="F981" s="3"/>
      <c r="G981" s="12"/>
      <c r="J981" s="12"/>
      <c r="L981" s="12"/>
      <c r="Q981" s="218"/>
      <c r="R981" s="218"/>
      <c r="S981" s="218"/>
      <c r="T981" s="218"/>
    </row>
    <row r="982">
      <c r="D982" s="3"/>
      <c r="E982" s="112"/>
      <c r="F982" s="3"/>
      <c r="G982" s="12"/>
      <c r="J982" s="12"/>
      <c r="L982" s="12"/>
      <c r="Q982" s="218"/>
      <c r="R982" s="218"/>
      <c r="S982" s="218"/>
      <c r="T982" s="218"/>
    </row>
    <row r="983">
      <c r="D983" s="3"/>
      <c r="E983" s="112"/>
      <c r="F983" s="3"/>
      <c r="G983" s="12"/>
      <c r="J983" s="12"/>
      <c r="L983" s="12"/>
      <c r="Q983" s="218"/>
      <c r="R983" s="218"/>
      <c r="S983" s="218"/>
      <c r="T983" s="218"/>
    </row>
    <row r="984">
      <c r="D984" s="3"/>
      <c r="E984" s="112"/>
      <c r="F984" s="3"/>
      <c r="G984" s="12"/>
      <c r="J984" s="12"/>
      <c r="L984" s="12"/>
      <c r="Q984" s="218"/>
      <c r="R984" s="218"/>
      <c r="S984" s="218"/>
      <c r="T984" s="218"/>
    </row>
    <row r="985">
      <c r="D985" s="3"/>
      <c r="E985" s="112"/>
      <c r="F985" s="3"/>
      <c r="G985" s="12"/>
      <c r="J985" s="12"/>
      <c r="L985" s="12"/>
      <c r="Q985" s="218"/>
      <c r="R985" s="218"/>
      <c r="S985" s="218"/>
      <c r="T985" s="218"/>
    </row>
    <row r="986">
      <c r="D986" s="3"/>
      <c r="E986" s="112"/>
      <c r="F986" s="3"/>
      <c r="G986" s="12"/>
      <c r="J986" s="12"/>
      <c r="L986" s="12"/>
      <c r="Q986" s="218"/>
      <c r="R986" s="218"/>
      <c r="S986" s="218"/>
      <c r="T986" s="218"/>
    </row>
    <row r="987">
      <c r="D987" s="3"/>
      <c r="E987" s="112"/>
      <c r="F987" s="3"/>
      <c r="G987" s="12"/>
      <c r="J987" s="12"/>
      <c r="L987" s="12"/>
      <c r="Q987" s="218"/>
      <c r="R987" s="218"/>
      <c r="S987" s="218"/>
      <c r="T987" s="218"/>
    </row>
    <row r="988">
      <c r="D988" s="3"/>
      <c r="E988" s="112"/>
      <c r="F988" s="3"/>
      <c r="G988" s="12"/>
      <c r="J988" s="12"/>
      <c r="L988" s="12"/>
      <c r="Q988" s="218"/>
      <c r="R988" s="218"/>
      <c r="S988" s="218"/>
      <c r="T988" s="218"/>
    </row>
    <row r="989">
      <c r="D989" s="3"/>
      <c r="E989" s="112"/>
      <c r="F989" s="3"/>
      <c r="G989" s="12"/>
      <c r="J989" s="12"/>
      <c r="L989" s="12"/>
      <c r="Q989" s="218"/>
      <c r="R989" s="218"/>
      <c r="S989" s="218"/>
      <c r="T989" s="218"/>
    </row>
    <row r="990">
      <c r="D990" s="3"/>
      <c r="E990" s="112"/>
      <c r="F990" s="3"/>
      <c r="G990" s="12"/>
      <c r="J990" s="12"/>
      <c r="L990" s="12"/>
      <c r="Q990" s="218"/>
      <c r="R990" s="218"/>
      <c r="S990" s="218"/>
      <c r="T990" s="218"/>
    </row>
    <row r="991">
      <c r="D991" s="3"/>
      <c r="E991" s="112"/>
      <c r="F991" s="3"/>
      <c r="G991" s="12"/>
      <c r="J991" s="12"/>
      <c r="L991" s="12"/>
      <c r="Q991" s="218"/>
      <c r="R991" s="218"/>
      <c r="S991" s="218"/>
      <c r="T991" s="218"/>
    </row>
    <row r="992">
      <c r="D992" s="3"/>
      <c r="E992" s="112"/>
      <c r="F992" s="3"/>
      <c r="G992" s="12"/>
      <c r="J992" s="12"/>
      <c r="L992" s="12"/>
      <c r="Q992" s="218"/>
      <c r="R992" s="218"/>
      <c r="S992" s="218"/>
      <c r="T992" s="218"/>
    </row>
    <row r="993">
      <c r="D993" s="3"/>
      <c r="E993" s="112"/>
      <c r="F993" s="3"/>
      <c r="G993" s="12"/>
      <c r="J993" s="12"/>
      <c r="L993" s="12"/>
      <c r="Q993" s="218"/>
      <c r="R993" s="218"/>
      <c r="S993" s="218"/>
      <c r="T993" s="218"/>
    </row>
    <row r="994">
      <c r="D994" s="3"/>
      <c r="E994" s="112"/>
      <c r="F994" s="3"/>
      <c r="G994" s="12"/>
      <c r="J994" s="12"/>
      <c r="L994" s="12"/>
      <c r="Q994" s="218"/>
      <c r="R994" s="218"/>
      <c r="S994" s="218"/>
      <c r="T994" s="218"/>
    </row>
    <row r="995">
      <c r="D995" s="3"/>
      <c r="E995" s="112"/>
      <c r="F995" s="3"/>
      <c r="G995" s="12"/>
      <c r="J995" s="12"/>
      <c r="L995" s="12"/>
      <c r="Q995" s="218"/>
      <c r="R995" s="218"/>
      <c r="S995" s="218"/>
      <c r="T995" s="218"/>
    </row>
    <row r="996">
      <c r="D996" s="3"/>
      <c r="E996" s="112"/>
      <c r="F996" s="3"/>
      <c r="G996" s="12"/>
      <c r="J996" s="12"/>
      <c r="L996" s="12"/>
      <c r="Q996" s="218"/>
      <c r="R996" s="218"/>
      <c r="S996" s="218"/>
      <c r="T996" s="218"/>
    </row>
    <row r="997">
      <c r="D997" s="3"/>
      <c r="E997" s="112"/>
      <c r="F997" s="3"/>
      <c r="G997" s="12"/>
      <c r="J997" s="12"/>
      <c r="L997" s="12"/>
      <c r="Q997" s="218"/>
      <c r="R997" s="218"/>
      <c r="S997" s="218"/>
      <c r="T997" s="218"/>
    </row>
    <row r="998">
      <c r="D998" s="3"/>
      <c r="E998" s="112"/>
      <c r="F998" s="3"/>
      <c r="G998" s="12"/>
      <c r="J998" s="12"/>
      <c r="L998" s="12"/>
      <c r="Q998" s="218"/>
      <c r="R998" s="218"/>
      <c r="S998" s="218"/>
      <c r="T998" s="218"/>
    </row>
    <row r="999">
      <c r="D999" s="3"/>
      <c r="E999" s="112"/>
      <c r="F999" s="3"/>
      <c r="G999" s="12"/>
      <c r="J999" s="12"/>
      <c r="L999" s="12"/>
      <c r="Q999" s="218"/>
      <c r="R999" s="218"/>
      <c r="S999" s="218"/>
      <c r="T999" s="218"/>
    </row>
    <row r="1000">
      <c r="D1000" s="3"/>
      <c r="E1000" s="112"/>
      <c r="F1000" s="3"/>
      <c r="G1000" s="12"/>
      <c r="J1000" s="12"/>
      <c r="L1000" s="12"/>
      <c r="Q1000" s="218"/>
      <c r="R1000" s="218"/>
      <c r="S1000" s="218"/>
      <c r="T1000" s="218"/>
    </row>
    <row r="1001">
      <c r="D1001" s="3"/>
      <c r="E1001" s="112"/>
      <c r="F1001" s="3"/>
      <c r="G1001" s="12"/>
      <c r="J1001" s="12"/>
      <c r="L1001" s="12"/>
      <c r="Q1001" s="218"/>
      <c r="R1001" s="218"/>
      <c r="S1001" s="218"/>
      <c r="T1001" s="218"/>
    </row>
    <row r="1002">
      <c r="D1002" s="3"/>
      <c r="E1002" s="112"/>
      <c r="F1002" s="3"/>
      <c r="G1002" s="12"/>
      <c r="J1002" s="12"/>
      <c r="L1002" s="12"/>
      <c r="Q1002" s="218"/>
      <c r="R1002" s="218"/>
      <c r="S1002" s="218"/>
      <c r="T1002" s="218"/>
    </row>
    <row r="1003">
      <c r="D1003" s="3"/>
      <c r="E1003" s="112"/>
      <c r="F1003" s="3"/>
      <c r="G1003" s="12"/>
      <c r="J1003" s="12"/>
      <c r="L1003" s="12"/>
      <c r="Q1003" s="218"/>
      <c r="R1003" s="218"/>
      <c r="S1003" s="218"/>
      <c r="T1003" s="218"/>
    </row>
    <row r="1004">
      <c r="D1004" s="3"/>
      <c r="E1004" s="112"/>
      <c r="F1004" s="3"/>
      <c r="G1004" s="12"/>
      <c r="J1004" s="12"/>
      <c r="L1004" s="12"/>
      <c r="Q1004" s="218"/>
      <c r="R1004" s="218"/>
      <c r="S1004" s="218"/>
      <c r="T1004" s="218"/>
    </row>
    <row r="1005">
      <c r="D1005" s="3"/>
      <c r="E1005" s="112"/>
      <c r="F1005" s="3"/>
      <c r="G1005" s="12"/>
      <c r="J1005" s="12"/>
      <c r="L1005" s="12"/>
      <c r="Q1005" s="218"/>
      <c r="R1005" s="218"/>
      <c r="S1005" s="218"/>
      <c r="T1005" s="218"/>
    </row>
    <row r="1006">
      <c r="D1006" s="3"/>
      <c r="E1006" s="112"/>
      <c r="F1006" s="3"/>
      <c r="G1006" s="12"/>
      <c r="J1006" s="12"/>
      <c r="L1006" s="12"/>
      <c r="Q1006" s="218"/>
      <c r="R1006" s="218"/>
      <c r="S1006" s="218"/>
      <c r="T1006" s="218"/>
    </row>
    <row r="1007">
      <c r="D1007" s="3"/>
      <c r="E1007" s="112"/>
      <c r="F1007" s="3"/>
      <c r="G1007" s="12"/>
      <c r="J1007" s="12"/>
      <c r="L1007" s="12"/>
      <c r="Q1007" s="218"/>
      <c r="R1007" s="218"/>
      <c r="S1007" s="218"/>
      <c r="T1007" s="218"/>
    </row>
    <row r="1008">
      <c r="D1008" s="3"/>
      <c r="E1008" s="112"/>
      <c r="F1008" s="3"/>
      <c r="G1008" s="12"/>
      <c r="J1008" s="12"/>
      <c r="L1008" s="12"/>
      <c r="Q1008" s="218"/>
      <c r="R1008" s="218"/>
      <c r="S1008" s="218"/>
      <c r="T1008" s="218"/>
    </row>
    <row r="1009">
      <c r="D1009" s="3"/>
      <c r="E1009" s="112"/>
      <c r="F1009" s="3"/>
      <c r="G1009" s="12"/>
      <c r="J1009" s="12"/>
      <c r="L1009" s="12"/>
      <c r="Q1009" s="218"/>
      <c r="R1009" s="218"/>
      <c r="S1009" s="218"/>
      <c r="T1009" s="218"/>
    </row>
    <row r="1010">
      <c r="D1010" s="3"/>
      <c r="E1010" s="112"/>
      <c r="F1010" s="3"/>
      <c r="G1010" s="12"/>
      <c r="J1010" s="12"/>
      <c r="L1010" s="12"/>
      <c r="Q1010" s="218"/>
      <c r="R1010" s="218"/>
      <c r="S1010" s="218"/>
      <c r="T1010" s="218"/>
    </row>
    <row r="1011">
      <c r="D1011" s="3"/>
      <c r="E1011" s="112"/>
      <c r="F1011" s="3"/>
      <c r="G1011" s="12"/>
      <c r="J1011" s="12"/>
      <c r="L1011" s="12"/>
      <c r="Q1011" s="218"/>
      <c r="R1011" s="218"/>
      <c r="S1011" s="218"/>
      <c r="T1011" s="218"/>
    </row>
    <row r="1012">
      <c r="D1012" s="3"/>
      <c r="E1012" s="112"/>
      <c r="F1012" s="3"/>
      <c r="G1012" s="12"/>
      <c r="J1012" s="12"/>
      <c r="L1012" s="12"/>
      <c r="Q1012" s="218"/>
      <c r="R1012" s="218"/>
      <c r="S1012" s="218"/>
      <c r="T1012" s="218"/>
    </row>
  </sheetData>
  <mergeCells count="26">
    <mergeCell ref="E3:G4"/>
    <mergeCell ref="E5:G5"/>
    <mergeCell ref="E6:G7"/>
    <mergeCell ref="E8:G8"/>
    <mergeCell ref="E9:G10"/>
    <mergeCell ref="A5:B6"/>
    <mergeCell ref="A7:B8"/>
    <mergeCell ref="A9:B10"/>
    <mergeCell ref="A11:B12"/>
    <mergeCell ref="A1:C1"/>
    <mergeCell ref="E1:G1"/>
    <mergeCell ref="I1:L1"/>
    <mergeCell ref="A2:B2"/>
    <mergeCell ref="E2:G2"/>
    <mergeCell ref="A3:B4"/>
    <mergeCell ref="I6:L6"/>
    <mergeCell ref="I7:J8"/>
    <mergeCell ref="I10:J11"/>
    <mergeCell ref="I2:L2"/>
    <mergeCell ref="I3:J3"/>
    <mergeCell ref="K3:L3"/>
    <mergeCell ref="I4:J5"/>
    <mergeCell ref="K4:L5"/>
    <mergeCell ref="K7:L8"/>
    <mergeCell ref="I9:L9"/>
    <mergeCell ref="K10:L11"/>
  </mergeCells>
  <dataValidations>
    <dataValidation type="list" allowBlank="1" showErrorMessage="1" sqref="A17:A92">
      <formula1>"MEGA,MACRO,MICRO,NANO"</formula1>
    </dataValidation>
  </dataValidations>
  <hyperlinks>
    <hyperlink r:id="rId1" ref="C16"/>
    <hyperlink r:id="rId2" ref="C17"/>
    <hyperlink r:id="rId3" ref="L17"/>
    <hyperlink r:id="rId4" ref="N17"/>
    <hyperlink r:id="rId5" ref="P17"/>
    <hyperlink r:id="rId6" ref="C18"/>
    <hyperlink r:id="rId7" ref="J18"/>
    <hyperlink r:id="rId8" ref="C19"/>
    <hyperlink r:id="rId9" ref="C20"/>
    <hyperlink r:id="rId10" ref="C21"/>
    <hyperlink r:id="rId11" ref="J21"/>
    <hyperlink r:id="rId12" ref="C22"/>
    <hyperlink r:id="rId13" ref="C23"/>
    <hyperlink r:id="rId14" ref="J23"/>
    <hyperlink r:id="rId15" ref="C24"/>
    <hyperlink r:id="rId16" ref="J24"/>
    <hyperlink r:id="rId17" ref="C25"/>
    <hyperlink r:id="rId18" ref="C26"/>
    <hyperlink r:id="rId19" ref="C27"/>
    <hyperlink r:id="rId20" ref="C28"/>
    <hyperlink r:id="rId21" ref="C29"/>
    <hyperlink r:id="rId22" ref="C30"/>
    <hyperlink r:id="rId23" ref="C31"/>
    <hyperlink r:id="rId24" ref="C32"/>
    <hyperlink r:id="rId25" ref="C33"/>
    <hyperlink r:id="rId26" ref="C34"/>
    <hyperlink r:id="rId27" ref="C35"/>
    <hyperlink r:id="rId28" ref="C36"/>
    <hyperlink r:id="rId29" ref="C37"/>
    <hyperlink r:id="rId30" ref="C38"/>
    <hyperlink r:id="rId31" ref="C39"/>
    <hyperlink r:id="rId32" ref="C40"/>
    <hyperlink r:id="rId33" ref="C41"/>
    <hyperlink r:id="rId34" ref="B42"/>
    <hyperlink r:id="rId35" ref="C42"/>
    <hyperlink r:id="rId36" ref="C43"/>
    <hyperlink r:id="rId37" ref="C44"/>
    <hyperlink r:id="rId38" ref="C45"/>
    <hyperlink r:id="rId39" ref="C46"/>
    <hyperlink r:id="rId40" ref="B47"/>
    <hyperlink r:id="rId41" ref="C47"/>
    <hyperlink r:id="rId42" ref="C48"/>
    <hyperlink r:id="rId43" ref="C49"/>
    <hyperlink r:id="rId44" ref="C50"/>
    <hyperlink r:id="rId45" ref="C51"/>
    <hyperlink r:id="rId46" ref="C52"/>
    <hyperlink r:id="rId47" ref="C53"/>
    <hyperlink r:id="rId48" ref="C54"/>
    <hyperlink r:id="rId49" ref="C55"/>
    <hyperlink r:id="rId50" ref="C56"/>
    <hyperlink r:id="rId51" ref="C57"/>
    <hyperlink r:id="rId52" ref="C58"/>
    <hyperlink r:id="rId53" ref="C59"/>
  </hyperlinks>
  <drawing r:id="rId5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22.38"/>
  </cols>
  <sheetData>
    <row r="1">
      <c r="A1" s="284" t="s">
        <v>455</v>
      </c>
      <c r="B1" s="214"/>
      <c r="C1" s="214"/>
      <c r="D1" s="285"/>
      <c r="E1" s="284" t="s">
        <v>328</v>
      </c>
      <c r="F1" s="214"/>
      <c r="G1" s="216"/>
      <c r="H1" s="286"/>
      <c r="I1" s="287" t="s">
        <v>456</v>
      </c>
      <c r="J1" s="214"/>
      <c r="K1" s="214"/>
      <c r="L1" s="216"/>
      <c r="M1" s="286"/>
      <c r="N1" s="286"/>
    </row>
    <row r="2">
      <c r="A2" s="288" t="s">
        <v>457</v>
      </c>
      <c r="B2" s="220"/>
      <c r="C2" s="288" t="s">
        <v>455</v>
      </c>
      <c r="D2" s="285"/>
      <c r="E2" s="289" t="s">
        <v>374</v>
      </c>
      <c r="F2" s="290" t="s">
        <v>375</v>
      </c>
      <c r="G2" s="291" t="s">
        <v>479</v>
      </c>
      <c r="H2" s="286"/>
      <c r="I2" s="292" t="s">
        <v>458</v>
      </c>
      <c r="J2" s="214"/>
      <c r="K2" s="214"/>
      <c r="L2" s="216"/>
      <c r="M2" s="286"/>
      <c r="N2" s="286"/>
    </row>
    <row r="3">
      <c r="A3" s="223">
        <v>1.0</v>
      </c>
      <c r="B3" s="224"/>
      <c r="C3" s="293">
        <v>1.0</v>
      </c>
      <c r="D3" s="285"/>
      <c r="E3" s="294" t="s">
        <v>480</v>
      </c>
      <c r="F3" s="294" t="s">
        <v>480</v>
      </c>
      <c r="G3" s="294" t="s">
        <v>480</v>
      </c>
      <c r="H3" s="286"/>
      <c r="I3" s="295" t="s">
        <v>459</v>
      </c>
      <c r="J3" s="216"/>
      <c r="K3" s="296" t="s">
        <v>460</v>
      </c>
      <c r="L3" s="216"/>
      <c r="M3" s="286"/>
      <c r="N3" s="286"/>
    </row>
    <row r="4">
      <c r="A4" s="231"/>
      <c r="B4" s="220"/>
      <c r="C4" s="293">
        <v>2.0</v>
      </c>
      <c r="D4" s="285"/>
      <c r="E4" s="297"/>
      <c r="F4" s="297"/>
      <c r="G4" s="297"/>
      <c r="H4" s="286"/>
      <c r="I4" s="298">
        <f>IFERROR(__xludf.DUMMYFUNCTION("IMPORTRANGE(""https://docs.google.com/spreadsheets/d/1XGHyffJQ7KjI292zt5QVK_1XTfEMh_HDpl_2BHAzd4c/edit?gid=1335890585#gid=1335890585"",""OMG Skincare!H16"")        "),7680000.0)</f>
        <v>7680000</v>
      </c>
      <c r="J4" s="228"/>
      <c r="K4" s="299">
        <f>IFERROR(__xludf.DUMMYFUNCTION("IMPORTRANGE(""https://docs.google.com/spreadsheets/d/1XGHyffJQ7KjI292zt5QVK_1XTfEMh_HDpl_2BHAzd4c/edit?gid=1335890585#gid=1335890585"",""OMG Skincare!H21"")        "),2.732E7)</f>
        <v>27320000</v>
      </c>
      <c r="L4" s="228"/>
      <c r="M4" s="286"/>
      <c r="N4" s="286"/>
    </row>
    <row r="5">
      <c r="A5" s="236">
        <v>2.0</v>
      </c>
      <c r="B5" s="224"/>
      <c r="C5" s="293">
        <v>1.0</v>
      </c>
      <c r="D5" s="285"/>
      <c r="E5" s="300" t="s">
        <v>481</v>
      </c>
      <c r="F5" s="300" t="s">
        <v>409</v>
      </c>
      <c r="G5" s="300" t="s">
        <v>482</v>
      </c>
      <c r="H5" s="286"/>
      <c r="I5" s="232"/>
      <c r="J5" s="234"/>
      <c r="K5" s="232"/>
      <c r="L5" s="234"/>
      <c r="M5" s="286"/>
      <c r="N5" s="286"/>
    </row>
    <row r="6">
      <c r="A6" s="231"/>
      <c r="B6" s="220"/>
      <c r="C6" s="293">
        <v>2.0</v>
      </c>
      <c r="D6" s="285"/>
      <c r="E6" s="301">
        <f>SUM(B15:B1011)</f>
        <v>0</v>
      </c>
      <c r="F6" s="301">
        <f>COUNTA(I15:L100)</f>
        <v>0</v>
      </c>
      <c r="G6" s="301"/>
      <c r="H6" s="286"/>
      <c r="I6" s="302" t="s">
        <v>462</v>
      </c>
      <c r="J6" s="214"/>
      <c r="K6" s="214"/>
      <c r="L6" s="216"/>
      <c r="M6" s="286"/>
      <c r="N6" s="286"/>
    </row>
    <row r="7">
      <c r="A7" s="236">
        <v>3.0</v>
      </c>
      <c r="B7" s="224"/>
      <c r="C7" s="293">
        <v>1.0</v>
      </c>
      <c r="D7" s="285"/>
      <c r="E7" s="297"/>
      <c r="F7" s="297"/>
      <c r="G7" s="297"/>
      <c r="H7" s="286"/>
      <c r="I7" s="298">
        <f>IFERROR(__xludf.DUMMYFUNCTION("IMPORTRANGE(""https://docs.google.com/spreadsheets/d/1XGHyffJQ7KjI292zt5QVK_1XTfEMh_HDpl_2BHAzd4c/edit?gid=1335890585#gid=1335890585"",""OMG Skincare!H4"")"),6690000.0)</f>
        <v>6690000</v>
      </c>
      <c r="J7" s="228"/>
      <c r="K7" s="299">
        <f>IFERROR(__xludf.DUMMYFUNCTION("IMPORTRANGE(""https://docs.google.com/spreadsheets/d/1XGHyffJQ7KjI292zt5QVK_1XTfEMh_HDpl_2BHAzd4c/edit?gid=1335890585#gid=1335890585"",""OMG Skincare!K4"")        "),2.432E7)</f>
        <v>24320000</v>
      </c>
      <c r="L7" s="228"/>
      <c r="M7" s="286"/>
      <c r="N7" s="286"/>
    </row>
    <row r="8">
      <c r="A8" s="231"/>
      <c r="B8" s="220"/>
      <c r="C8" s="293">
        <v>2.0</v>
      </c>
      <c r="D8" s="285"/>
      <c r="E8" s="303" t="s">
        <v>329</v>
      </c>
      <c r="F8" s="233"/>
      <c r="G8" s="234"/>
      <c r="H8" s="286"/>
      <c r="I8" s="232"/>
      <c r="J8" s="234"/>
      <c r="K8" s="232"/>
      <c r="L8" s="234"/>
      <c r="M8" s="286"/>
      <c r="N8" s="286"/>
    </row>
    <row r="9">
      <c r="A9" s="236">
        <v>4.0</v>
      </c>
      <c r="B9" s="224"/>
      <c r="C9" s="293">
        <v>1.0</v>
      </c>
      <c r="D9" s="285"/>
      <c r="E9" s="304"/>
      <c r="F9" s="304"/>
      <c r="G9" s="304"/>
      <c r="H9" s="286"/>
      <c r="I9" s="292" t="s">
        <v>463</v>
      </c>
      <c r="J9" s="214"/>
      <c r="K9" s="214"/>
      <c r="L9" s="216"/>
      <c r="M9" s="286"/>
      <c r="N9" s="286"/>
    </row>
    <row r="10">
      <c r="A10" s="231"/>
      <c r="B10" s="220"/>
      <c r="C10" s="293">
        <v>2.0</v>
      </c>
      <c r="D10" s="285"/>
      <c r="E10" s="297"/>
      <c r="F10" s="297"/>
      <c r="G10" s="297"/>
      <c r="H10" s="286"/>
      <c r="I10" s="298">
        <f>I4-I7</f>
        <v>990000</v>
      </c>
      <c r="J10" s="228"/>
      <c r="K10" s="299">
        <f>K4-K7</f>
        <v>3000000</v>
      </c>
      <c r="L10" s="228"/>
      <c r="M10" s="286"/>
      <c r="N10" s="286"/>
    </row>
    <row r="11">
      <c r="A11" s="236">
        <v>5.0</v>
      </c>
      <c r="B11" s="224"/>
      <c r="C11" s="293">
        <v>1.0</v>
      </c>
      <c r="D11" s="285"/>
      <c r="E11" s="285"/>
      <c r="F11" s="286"/>
      <c r="G11" s="286"/>
      <c r="H11" s="286"/>
      <c r="I11" s="232"/>
      <c r="J11" s="234"/>
      <c r="K11" s="232"/>
      <c r="L11" s="234"/>
      <c r="M11" s="286"/>
      <c r="N11" s="286"/>
    </row>
    <row r="12">
      <c r="A12" s="231"/>
      <c r="B12" s="220"/>
      <c r="C12" s="293">
        <v>2.0</v>
      </c>
      <c r="D12" s="285"/>
      <c r="E12" s="285"/>
      <c r="F12" s="286"/>
      <c r="G12" s="286"/>
      <c r="H12" s="286"/>
      <c r="I12" s="286"/>
      <c r="J12" s="305"/>
      <c r="K12" s="285"/>
      <c r="L12" s="305"/>
      <c r="M12" s="243"/>
      <c r="N12" s="243"/>
    </row>
    <row r="13">
      <c r="A13" s="245"/>
      <c r="B13" s="245"/>
      <c r="C13" s="286"/>
      <c r="D13" s="286"/>
      <c r="E13" s="306"/>
      <c r="F13" s="306"/>
      <c r="G13" s="286"/>
      <c r="H13" s="286"/>
      <c r="I13" s="286"/>
      <c r="J13" s="286"/>
      <c r="K13" s="243"/>
      <c r="L13" s="243"/>
      <c r="M13" s="243"/>
      <c r="N13" s="243"/>
    </row>
    <row r="14">
      <c r="A14" s="250" t="s">
        <v>466</v>
      </c>
      <c r="B14" s="250" t="s">
        <v>467</v>
      </c>
      <c r="C14" s="251" t="s">
        <v>468</v>
      </c>
      <c r="D14" s="252" t="s">
        <v>469</v>
      </c>
      <c r="E14" s="253" t="s">
        <v>470</v>
      </c>
      <c r="F14" s="251" t="s">
        <v>471</v>
      </c>
      <c r="G14" s="251" t="s">
        <v>457</v>
      </c>
      <c r="H14" s="254" t="s">
        <v>472</v>
      </c>
      <c r="I14" s="251" t="s">
        <v>473</v>
      </c>
      <c r="J14" s="251" t="s">
        <v>474</v>
      </c>
      <c r="K14" s="251" t="s">
        <v>475</v>
      </c>
      <c r="L14" s="251" t="s">
        <v>476</v>
      </c>
      <c r="M14" s="249" t="s">
        <v>483</v>
      </c>
      <c r="N14" s="286"/>
    </row>
    <row r="15">
      <c r="A15" s="307"/>
      <c r="B15" s="308"/>
      <c r="C15" s="308"/>
      <c r="D15" s="309"/>
      <c r="E15" s="310"/>
      <c r="F15" s="311"/>
      <c r="G15" s="312"/>
      <c r="H15" s="312"/>
      <c r="I15" s="312"/>
      <c r="J15" s="312"/>
      <c r="K15" s="312"/>
      <c r="L15" s="312"/>
      <c r="M15" s="312"/>
      <c r="N15" s="286"/>
    </row>
    <row r="16">
      <c r="A16" s="307"/>
      <c r="B16" s="308"/>
      <c r="C16" s="308"/>
      <c r="D16" s="309"/>
      <c r="E16" s="310"/>
      <c r="F16" s="311"/>
      <c r="G16" s="312"/>
      <c r="H16" s="312"/>
      <c r="I16" s="312"/>
      <c r="J16" s="312"/>
      <c r="K16" s="312"/>
      <c r="L16" s="312"/>
      <c r="M16" s="312"/>
      <c r="N16" s="286"/>
    </row>
    <row r="17">
      <c r="A17" s="307"/>
      <c r="B17" s="308"/>
      <c r="C17" s="308"/>
      <c r="D17" s="309"/>
      <c r="E17" s="310"/>
      <c r="F17" s="311"/>
      <c r="G17" s="312"/>
      <c r="H17" s="312"/>
      <c r="I17" s="312"/>
      <c r="J17" s="312"/>
      <c r="K17" s="312"/>
      <c r="L17" s="312"/>
      <c r="M17" s="312"/>
      <c r="N17" s="286"/>
    </row>
    <row r="18">
      <c r="A18" s="307"/>
      <c r="B18" s="308"/>
      <c r="C18" s="308"/>
      <c r="D18" s="313"/>
      <c r="E18" s="310"/>
      <c r="F18" s="311"/>
      <c r="G18" s="312"/>
      <c r="H18" s="312"/>
      <c r="I18" s="312"/>
      <c r="J18" s="312"/>
      <c r="K18" s="312"/>
      <c r="L18" s="312"/>
      <c r="M18" s="312"/>
      <c r="N18" s="286"/>
    </row>
    <row r="19">
      <c r="A19" s="307"/>
      <c r="B19" s="314"/>
      <c r="C19" s="308"/>
      <c r="D19" s="315"/>
      <c r="E19" s="310"/>
      <c r="F19" s="311"/>
      <c r="G19" s="312"/>
      <c r="H19" s="312"/>
      <c r="I19" s="312"/>
      <c r="J19" s="312"/>
      <c r="K19" s="312"/>
      <c r="L19" s="312"/>
      <c r="M19" s="312"/>
      <c r="N19" s="286"/>
    </row>
    <row r="20">
      <c r="A20" s="307"/>
      <c r="B20" s="308"/>
      <c r="C20" s="308"/>
      <c r="D20" s="308"/>
      <c r="E20" s="310"/>
      <c r="F20" s="316"/>
      <c r="G20" s="312"/>
      <c r="H20" s="312"/>
      <c r="I20" s="312"/>
      <c r="J20" s="312"/>
      <c r="K20" s="312"/>
      <c r="L20" s="312"/>
      <c r="M20" s="312"/>
      <c r="N20" s="286"/>
    </row>
    <row r="21">
      <c r="A21" s="307"/>
      <c r="B21" s="308"/>
      <c r="C21" s="308"/>
      <c r="D21" s="308"/>
      <c r="E21" s="317"/>
      <c r="F21" s="316"/>
      <c r="G21" s="312"/>
      <c r="H21" s="312"/>
      <c r="I21" s="312"/>
      <c r="J21" s="312"/>
      <c r="K21" s="312"/>
      <c r="L21" s="312"/>
      <c r="M21" s="312"/>
      <c r="N21" s="286"/>
    </row>
    <row r="22">
      <c r="A22" s="307"/>
      <c r="B22" s="308"/>
      <c r="C22" s="308"/>
      <c r="D22" s="308"/>
      <c r="E22" s="317"/>
      <c r="F22" s="316"/>
      <c r="G22" s="312"/>
      <c r="H22" s="312"/>
      <c r="I22" s="312"/>
      <c r="J22" s="312"/>
      <c r="K22" s="312"/>
      <c r="L22" s="312"/>
      <c r="M22" s="312"/>
      <c r="N22" s="286"/>
    </row>
    <row r="23">
      <c r="A23" s="307"/>
      <c r="B23" s="308"/>
      <c r="C23" s="308"/>
      <c r="D23" s="308"/>
      <c r="E23" s="317"/>
      <c r="F23" s="316"/>
      <c r="G23" s="312"/>
      <c r="H23" s="312"/>
      <c r="I23" s="312"/>
      <c r="J23" s="312"/>
      <c r="K23" s="312"/>
      <c r="L23" s="312"/>
      <c r="M23" s="312"/>
      <c r="N23" s="286"/>
    </row>
    <row r="24">
      <c r="A24" s="307"/>
      <c r="B24" s="318"/>
      <c r="C24" s="318"/>
      <c r="D24" s="318"/>
      <c r="E24" s="319"/>
      <c r="F24" s="316"/>
      <c r="G24" s="312"/>
      <c r="H24" s="312"/>
      <c r="I24" s="312"/>
      <c r="J24" s="312"/>
      <c r="K24" s="312"/>
      <c r="L24" s="312"/>
      <c r="M24" s="312"/>
      <c r="N24" s="286"/>
    </row>
    <row r="25">
      <c r="A25" s="307"/>
      <c r="B25" s="318"/>
      <c r="C25" s="318"/>
      <c r="D25" s="318"/>
      <c r="E25" s="319"/>
      <c r="F25" s="316"/>
      <c r="G25" s="312"/>
      <c r="H25" s="312"/>
      <c r="I25" s="312"/>
      <c r="J25" s="312"/>
      <c r="K25" s="312"/>
      <c r="L25" s="312"/>
      <c r="M25" s="312"/>
      <c r="N25" s="286"/>
    </row>
    <row r="26">
      <c r="A26" s="307"/>
      <c r="B26" s="318"/>
      <c r="C26" s="318"/>
      <c r="D26" s="318"/>
      <c r="E26" s="319"/>
      <c r="F26" s="316"/>
      <c r="G26" s="312"/>
      <c r="H26" s="312"/>
      <c r="I26" s="312"/>
      <c r="J26" s="312"/>
      <c r="K26" s="312"/>
      <c r="L26" s="312"/>
      <c r="M26" s="312"/>
      <c r="N26" s="286"/>
    </row>
    <row r="27">
      <c r="A27" s="307"/>
      <c r="B27" s="318"/>
      <c r="C27" s="318"/>
      <c r="D27" s="318"/>
      <c r="E27" s="319"/>
      <c r="F27" s="316"/>
      <c r="G27" s="312"/>
      <c r="H27" s="312"/>
      <c r="I27" s="312"/>
      <c r="J27" s="312"/>
      <c r="K27" s="312"/>
      <c r="L27" s="312"/>
      <c r="M27" s="312"/>
      <c r="N27" s="286"/>
    </row>
    <row r="28">
      <c r="A28" s="307"/>
      <c r="B28" s="318"/>
      <c r="C28" s="318"/>
      <c r="D28" s="318"/>
      <c r="E28" s="319"/>
      <c r="F28" s="316"/>
      <c r="G28" s="312"/>
      <c r="H28" s="312"/>
      <c r="I28" s="312"/>
      <c r="J28" s="312"/>
      <c r="K28" s="312"/>
      <c r="L28" s="312"/>
      <c r="M28" s="312"/>
      <c r="N28" s="286"/>
    </row>
    <row r="29">
      <c r="A29" s="307"/>
      <c r="B29" s="318"/>
      <c r="C29" s="318"/>
      <c r="D29" s="318"/>
      <c r="E29" s="319"/>
      <c r="F29" s="316"/>
      <c r="G29" s="312"/>
      <c r="H29" s="312"/>
      <c r="I29" s="312"/>
      <c r="J29" s="312"/>
      <c r="K29" s="312"/>
      <c r="L29" s="312"/>
      <c r="M29" s="312"/>
      <c r="N29" s="286"/>
    </row>
    <row r="30">
      <c r="A30" s="307"/>
      <c r="B30" s="318"/>
      <c r="C30" s="318"/>
      <c r="D30" s="318"/>
      <c r="E30" s="319"/>
      <c r="F30" s="316"/>
      <c r="G30" s="312"/>
      <c r="H30" s="312"/>
      <c r="I30" s="312"/>
      <c r="J30" s="312"/>
      <c r="K30" s="312"/>
      <c r="L30" s="312"/>
      <c r="M30" s="312"/>
      <c r="N30" s="286"/>
    </row>
    <row r="31">
      <c r="A31" s="307"/>
      <c r="B31" s="318"/>
      <c r="C31" s="318"/>
      <c r="D31" s="318"/>
      <c r="E31" s="319"/>
      <c r="F31" s="316"/>
      <c r="G31" s="312"/>
      <c r="H31" s="312"/>
      <c r="I31" s="312"/>
      <c r="J31" s="312"/>
      <c r="K31" s="312"/>
      <c r="L31" s="312"/>
      <c r="M31" s="312"/>
      <c r="N31" s="286"/>
    </row>
    <row r="32">
      <c r="A32" s="307"/>
      <c r="B32" s="318"/>
      <c r="C32" s="318"/>
      <c r="D32" s="318"/>
      <c r="E32" s="319"/>
      <c r="F32" s="316"/>
      <c r="G32" s="312"/>
      <c r="H32" s="312"/>
      <c r="I32" s="312"/>
      <c r="J32" s="312"/>
      <c r="K32" s="312"/>
      <c r="L32" s="312"/>
      <c r="M32" s="312"/>
      <c r="N32" s="286"/>
    </row>
    <row r="33">
      <c r="A33" s="307"/>
      <c r="B33" s="318"/>
      <c r="C33" s="318"/>
      <c r="D33" s="318"/>
      <c r="E33" s="319"/>
      <c r="F33" s="316"/>
      <c r="G33" s="312"/>
      <c r="H33" s="312"/>
      <c r="I33" s="312"/>
      <c r="J33" s="312"/>
      <c r="K33" s="312"/>
      <c r="L33" s="312"/>
      <c r="M33" s="312"/>
      <c r="N33" s="286"/>
    </row>
    <row r="34">
      <c r="A34" s="307"/>
      <c r="B34" s="318"/>
      <c r="C34" s="318"/>
      <c r="D34" s="318"/>
      <c r="E34" s="319"/>
      <c r="F34" s="316"/>
      <c r="G34" s="312"/>
      <c r="H34" s="312"/>
      <c r="I34" s="312"/>
      <c r="J34" s="312"/>
      <c r="K34" s="312"/>
      <c r="L34" s="312"/>
      <c r="M34" s="312"/>
      <c r="N34" s="286"/>
    </row>
    <row r="35">
      <c r="A35" s="307"/>
      <c r="B35" s="318"/>
      <c r="C35" s="318"/>
      <c r="D35" s="318"/>
      <c r="E35" s="319"/>
      <c r="F35" s="316"/>
      <c r="G35" s="312"/>
      <c r="H35" s="312"/>
      <c r="I35" s="312"/>
      <c r="J35" s="312"/>
      <c r="K35" s="312"/>
      <c r="L35" s="312"/>
      <c r="M35" s="312"/>
      <c r="N35" s="286"/>
    </row>
    <row r="36">
      <c r="A36" s="307"/>
      <c r="B36" s="318"/>
      <c r="C36" s="318"/>
      <c r="D36" s="318"/>
      <c r="E36" s="316"/>
      <c r="F36" s="316"/>
      <c r="G36" s="312"/>
      <c r="H36" s="312"/>
      <c r="I36" s="312"/>
      <c r="J36" s="312"/>
      <c r="K36" s="312"/>
      <c r="L36" s="312"/>
      <c r="M36" s="312"/>
      <c r="N36" s="286"/>
    </row>
    <row r="37">
      <c r="A37" s="307"/>
      <c r="B37" s="318"/>
      <c r="C37" s="318"/>
      <c r="D37" s="318"/>
      <c r="E37" s="316"/>
      <c r="F37" s="316"/>
      <c r="G37" s="312"/>
      <c r="H37" s="312"/>
      <c r="I37" s="312"/>
      <c r="J37" s="312"/>
      <c r="K37" s="312"/>
      <c r="L37" s="312"/>
      <c r="M37" s="312"/>
      <c r="N37" s="286"/>
    </row>
    <row r="38">
      <c r="A38" s="307"/>
      <c r="B38" s="318"/>
      <c r="C38" s="318"/>
      <c r="D38" s="318"/>
      <c r="E38" s="316"/>
      <c r="F38" s="316"/>
      <c r="G38" s="312"/>
      <c r="H38" s="312"/>
      <c r="I38" s="312"/>
      <c r="J38" s="312"/>
      <c r="K38" s="312"/>
      <c r="L38" s="312"/>
      <c r="M38" s="312"/>
      <c r="N38" s="286"/>
    </row>
    <row r="39">
      <c r="A39" s="307"/>
      <c r="B39" s="318"/>
      <c r="C39" s="318"/>
      <c r="D39" s="318"/>
      <c r="E39" s="316"/>
      <c r="F39" s="316"/>
      <c r="G39" s="312"/>
      <c r="H39" s="312"/>
      <c r="I39" s="312"/>
      <c r="J39" s="312"/>
      <c r="K39" s="312"/>
      <c r="L39" s="312"/>
      <c r="M39" s="312"/>
      <c r="N39" s="286"/>
    </row>
    <row r="40">
      <c r="A40" s="307"/>
      <c r="B40" s="318"/>
      <c r="C40" s="318"/>
      <c r="D40" s="318"/>
      <c r="E40" s="316"/>
      <c r="F40" s="316"/>
      <c r="G40" s="312"/>
      <c r="H40" s="312"/>
      <c r="I40" s="312"/>
      <c r="J40" s="312"/>
      <c r="K40" s="312"/>
      <c r="L40" s="312"/>
      <c r="M40" s="312"/>
      <c r="N40" s="286"/>
    </row>
    <row r="41">
      <c r="A41" s="307"/>
      <c r="B41" s="318"/>
      <c r="C41" s="318"/>
      <c r="D41" s="318"/>
      <c r="E41" s="316"/>
      <c r="F41" s="316"/>
      <c r="G41" s="312"/>
      <c r="H41" s="312"/>
      <c r="I41" s="312"/>
      <c r="J41" s="312"/>
      <c r="K41" s="312"/>
      <c r="L41" s="312"/>
      <c r="M41" s="312"/>
      <c r="N41" s="286"/>
    </row>
    <row r="42">
      <c r="A42" s="307"/>
      <c r="B42" s="318"/>
      <c r="C42" s="318"/>
      <c r="D42" s="318"/>
      <c r="E42" s="316"/>
      <c r="F42" s="316"/>
      <c r="G42" s="312"/>
      <c r="H42" s="312"/>
      <c r="I42" s="312"/>
      <c r="J42" s="312"/>
      <c r="K42" s="312"/>
      <c r="L42" s="312"/>
      <c r="M42" s="312"/>
      <c r="N42" s="286"/>
    </row>
    <row r="43">
      <c r="A43" s="307"/>
      <c r="B43" s="318"/>
      <c r="C43" s="318"/>
      <c r="D43" s="318"/>
      <c r="E43" s="316"/>
      <c r="F43" s="316"/>
      <c r="G43" s="312"/>
      <c r="H43" s="312"/>
      <c r="I43" s="312"/>
      <c r="J43" s="312"/>
      <c r="K43" s="312"/>
      <c r="L43" s="312"/>
      <c r="M43" s="312"/>
      <c r="N43" s="286"/>
    </row>
    <row r="44">
      <c r="A44" s="307"/>
      <c r="B44" s="318"/>
      <c r="C44" s="318"/>
      <c r="D44" s="318"/>
      <c r="E44" s="316"/>
      <c r="F44" s="316"/>
      <c r="G44" s="312"/>
      <c r="H44" s="312"/>
      <c r="I44" s="312"/>
      <c r="J44" s="312"/>
      <c r="K44" s="312"/>
      <c r="L44" s="312"/>
      <c r="M44" s="312"/>
      <c r="N44" s="286"/>
    </row>
    <row r="45">
      <c r="A45" s="307"/>
      <c r="B45" s="318"/>
      <c r="C45" s="318"/>
      <c r="D45" s="318"/>
      <c r="E45" s="316"/>
      <c r="F45" s="316"/>
      <c r="G45" s="312"/>
      <c r="H45" s="312"/>
      <c r="I45" s="312"/>
      <c r="J45" s="312"/>
      <c r="K45" s="312"/>
      <c r="L45" s="312"/>
      <c r="M45" s="312"/>
      <c r="N45" s="286"/>
    </row>
    <row r="46">
      <c r="A46" s="307"/>
      <c r="B46" s="318"/>
      <c r="C46" s="318"/>
      <c r="D46" s="318"/>
      <c r="E46" s="316"/>
      <c r="F46" s="316"/>
      <c r="G46" s="312"/>
      <c r="H46" s="312"/>
      <c r="I46" s="312"/>
      <c r="J46" s="312"/>
      <c r="K46" s="312"/>
      <c r="L46" s="312"/>
      <c r="M46" s="312"/>
      <c r="N46" s="286"/>
    </row>
    <row r="47">
      <c r="A47" s="307"/>
      <c r="B47" s="318"/>
      <c r="C47" s="318"/>
      <c r="D47" s="318"/>
      <c r="E47" s="316"/>
      <c r="F47" s="316"/>
      <c r="G47" s="312"/>
      <c r="H47" s="312"/>
      <c r="I47" s="312"/>
      <c r="J47" s="312"/>
      <c r="K47" s="312"/>
      <c r="L47" s="312"/>
      <c r="M47" s="312"/>
      <c r="N47" s="286"/>
    </row>
    <row r="48">
      <c r="A48" s="307"/>
      <c r="B48" s="318"/>
      <c r="C48" s="318"/>
      <c r="D48" s="318"/>
      <c r="E48" s="316"/>
      <c r="F48" s="316"/>
      <c r="G48" s="312"/>
      <c r="H48" s="312"/>
      <c r="I48" s="312"/>
      <c r="J48" s="312"/>
      <c r="K48" s="312"/>
      <c r="L48" s="312"/>
      <c r="M48" s="312"/>
      <c r="N48" s="286"/>
    </row>
    <row r="49">
      <c r="A49" s="307"/>
      <c r="B49" s="318"/>
      <c r="C49" s="318"/>
      <c r="D49" s="318"/>
      <c r="E49" s="316"/>
      <c r="F49" s="316"/>
      <c r="G49" s="312"/>
      <c r="H49" s="312"/>
      <c r="I49" s="312"/>
      <c r="J49" s="312"/>
      <c r="K49" s="312"/>
      <c r="L49" s="312"/>
      <c r="M49" s="312"/>
      <c r="N49" s="286"/>
    </row>
    <row r="50">
      <c r="A50" s="307"/>
      <c r="B50" s="318"/>
      <c r="C50" s="318"/>
      <c r="D50" s="318"/>
      <c r="E50" s="316"/>
      <c r="F50" s="316"/>
      <c r="G50" s="312"/>
      <c r="H50" s="312"/>
      <c r="I50" s="312"/>
      <c r="J50" s="312"/>
      <c r="K50" s="312"/>
      <c r="L50" s="312"/>
      <c r="M50" s="312"/>
      <c r="N50" s="286"/>
    </row>
    <row r="51">
      <c r="A51" s="307"/>
      <c r="B51" s="318"/>
      <c r="C51" s="318"/>
      <c r="D51" s="318"/>
      <c r="E51" s="316"/>
      <c r="F51" s="316"/>
      <c r="G51" s="312"/>
      <c r="H51" s="312"/>
      <c r="I51" s="312"/>
      <c r="J51" s="312"/>
      <c r="K51" s="312"/>
      <c r="L51" s="312"/>
      <c r="M51" s="312"/>
      <c r="N51" s="286"/>
    </row>
    <row r="52">
      <c r="A52" s="307"/>
      <c r="B52" s="318"/>
      <c r="C52" s="318"/>
      <c r="D52" s="318"/>
      <c r="E52" s="316"/>
      <c r="F52" s="316"/>
      <c r="G52" s="312"/>
      <c r="H52" s="312"/>
      <c r="I52" s="312"/>
      <c r="J52" s="312"/>
      <c r="K52" s="312"/>
      <c r="L52" s="312"/>
      <c r="M52" s="312"/>
      <c r="N52" s="286"/>
    </row>
    <row r="53">
      <c r="A53" s="307"/>
      <c r="B53" s="318"/>
      <c r="C53" s="318"/>
      <c r="D53" s="318"/>
      <c r="E53" s="316"/>
      <c r="F53" s="316"/>
      <c r="G53" s="312"/>
      <c r="H53" s="312"/>
      <c r="I53" s="312"/>
      <c r="J53" s="312"/>
      <c r="K53" s="312"/>
      <c r="L53" s="312"/>
      <c r="M53" s="312"/>
      <c r="N53" s="286"/>
    </row>
    <row r="54">
      <c r="A54" s="307"/>
      <c r="B54" s="318"/>
      <c r="C54" s="318"/>
      <c r="D54" s="318"/>
      <c r="E54" s="316"/>
      <c r="F54" s="316"/>
      <c r="G54" s="312"/>
      <c r="H54" s="312"/>
      <c r="I54" s="312"/>
      <c r="J54" s="312"/>
      <c r="K54" s="312"/>
      <c r="L54" s="312"/>
      <c r="M54" s="312"/>
      <c r="N54" s="286"/>
    </row>
    <row r="55">
      <c r="A55" s="307"/>
      <c r="B55" s="318"/>
      <c r="C55" s="318"/>
      <c r="D55" s="318"/>
      <c r="E55" s="316"/>
      <c r="F55" s="316"/>
      <c r="G55" s="312"/>
      <c r="H55" s="312"/>
      <c r="I55" s="312"/>
      <c r="J55" s="312"/>
      <c r="K55" s="312"/>
      <c r="L55" s="312"/>
      <c r="M55" s="312"/>
      <c r="N55" s="286"/>
    </row>
    <row r="56">
      <c r="A56" s="307"/>
      <c r="B56" s="318"/>
      <c r="C56" s="318"/>
      <c r="D56" s="318"/>
      <c r="E56" s="316"/>
      <c r="F56" s="316"/>
      <c r="G56" s="312"/>
      <c r="H56" s="312"/>
      <c r="I56" s="312"/>
      <c r="J56" s="312"/>
      <c r="K56" s="312"/>
      <c r="L56" s="312"/>
      <c r="M56" s="312"/>
      <c r="N56" s="286"/>
    </row>
    <row r="57">
      <c r="A57" s="307"/>
      <c r="B57" s="318"/>
      <c r="C57" s="318"/>
      <c r="D57" s="318"/>
      <c r="E57" s="316"/>
      <c r="F57" s="316"/>
      <c r="G57" s="312"/>
      <c r="H57" s="312"/>
      <c r="I57" s="312"/>
      <c r="J57" s="312"/>
      <c r="K57" s="312"/>
      <c r="L57" s="312"/>
      <c r="M57" s="312"/>
      <c r="N57" s="286"/>
    </row>
    <row r="58">
      <c r="A58" s="307"/>
      <c r="B58" s="318"/>
      <c r="C58" s="318"/>
      <c r="D58" s="318"/>
      <c r="E58" s="316"/>
      <c r="F58" s="316"/>
      <c r="G58" s="312"/>
      <c r="H58" s="312"/>
      <c r="I58" s="312"/>
      <c r="J58" s="312"/>
      <c r="K58" s="312"/>
      <c r="L58" s="312"/>
      <c r="M58" s="312"/>
      <c r="N58" s="286"/>
    </row>
    <row r="59">
      <c r="A59" s="307"/>
      <c r="B59" s="318"/>
      <c r="C59" s="318"/>
      <c r="D59" s="318"/>
      <c r="E59" s="316"/>
      <c r="F59" s="316"/>
      <c r="G59" s="312"/>
      <c r="H59" s="312"/>
      <c r="I59" s="312"/>
      <c r="J59" s="312"/>
      <c r="K59" s="312"/>
      <c r="L59" s="312"/>
      <c r="M59" s="312"/>
      <c r="N59" s="286"/>
    </row>
    <row r="60">
      <c r="A60" s="307"/>
      <c r="B60" s="318"/>
      <c r="C60" s="318"/>
      <c r="D60" s="318"/>
      <c r="E60" s="316"/>
      <c r="F60" s="316"/>
      <c r="G60" s="312"/>
      <c r="H60" s="312"/>
      <c r="I60" s="312"/>
      <c r="J60" s="312"/>
      <c r="K60" s="312"/>
      <c r="L60" s="312"/>
      <c r="M60" s="312"/>
      <c r="N60" s="286"/>
    </row>
    <row r="61">
      <c r="A61" s="320"/>
      <c r="B61" s="321"/>
      <c r="C61" s="321"/>
      <c r="D61" s="321"/>
      <c r="E61" s="322"/>
      <c r="F61" s="322"/>
      <c r="G61" s="286"/>
      <c r="H61" s="286"/>
      <c r="I61" s="286"/>
      <c r="J61" s="286"/>
      <c r="K61" s="286"/>
      <c r="L61" s="286"/>
      <c r="M61" s="286"/>
      <c r="N61" s="286"/>
    </row>
    <row r="62">
      <c r="A62" s="320"/>
      <c r="B62" s="321"/>
      <c r="C62" s="321"/>
      <c r="D62" s="321"/>
      <c r="E62" s="322"/>
      <c r="F62" s="322"/>
      <c r="G62" s="286"/>
      <c r="H62" s="286"/>
      <c r="I62" s="286"/>
      <c r="J62" s="286"/>
      <c r="K62" s="286"/>
      <c r="L62" s="286"/>
      <c r="M62" s="286"/>
      <c r="N62" s="286"/>
    </row>
    <row r="63">
      <c r="A63" s="320"/>
      <c r="B63" s="321"/>
      <c r="C63" s="321"/>
      <c r="D63" s="321"/>
      <c r="E63" s="322"/>
      <c r="F63" s="322"/>
      <c r="G63" s="286"/>
      <c r="H63" s="286"/>
      <c r="I63" s="286"/>
      <c r="J63" s="286"/>
      <c r="K63" s="286"/>
      <c r="L63" s="286"/>
      <c r="M63" s="286"/>
      <c r="N63" s="286"/>
    </row>
    <row r="64">
      <c r="A64" s="320"/>
      <c r="B64" s="321"/>
      <c r="C64" s="321"/>
      <c r="D64" s="321"/>
      <c r="E64" s="322"/>
      <c r="F64" s="322"/>
      <c r="G64" s="286"/>
      <c r="H64" s="286"/>
      <c r="I64" s="286"/>
      <c r="J64" s="286"/>
      <c r="K64" s="286"/>
      <c r="L64" s="286"/>
      <c r="M64" s="286"/>
      <c r="N64" s="286"/>
    </row>
    <row r="65">
      <c r="A65" s="320"/>
      <c r="B65" s="321"/>
      <c r="C65" s="321"/>
      <c r="D65" s="321"/>
      <c r="E65" s="322"/>
      <c r="F65" s="322"/>
      <c r="G65" s="286"/>
      <c r="H65" s="286"/>
      <c r="I65" s="286"/>
      <c r="J65" s="286"/>
      <c r="K65" s="286"/>
      <c r="L65" s="286"/>
      <c r="M65" s="286"/>
      <c r="N65" s="286"/>
    </row>
    <row r="66">
      <c r="A66" s="320"/>
      <c r="B66" s="321"/>
      <c r="C66" s="321"/>
      <c r="D66" s="321"/>
      <c r="E66" s="322"/>
      <c r="F66" s="322"/>
      <c r="G66" s="286"/>
      <c r="H66" s="286"/>
      <c r="I66" s="286"/>
      <c r="J66" s="286"/>
      <c r="K66" s="286"/>
      <c r="L66" s="286"/>
      <c r="M66" s="286"/>
      <c r="N66" s="286"/>
    </row>
    <row r="67">
      <c r="A67" s="320"/>
      <c r="B67" s="321"/>
      <c r="C67" s="321"/>
      <c r="D67" s="321"/>
      <c r="E67" s="322"/>
      <c r="F67" s="322"/>
      <c r="G67" s="286"/>
      <c r="H67" s="286"/>
      <c r="I67" s="286"/>
      <c r="J67" s="286"/>
      <c r="K67" s="286"/>
      <c r="L67" s="286"/>
      <c r="M67" s="286"/>
      <c r="N67" s="286"/>
    </row>
    <row r="68">
      <c r="A68" s="320"/>
      <c r="B68" s="321"/>
      <c r="C68" s="321"/>
      <c r="D68" s="321"/>
      <c r="E68" s="322"/>
      <c r="F68" s="322"/>
      <c r="G68" s="286"/>
      <c r="H68" s="286"/>
      <c r="I68" s="286"/>
      <c r="J68" s="286"/>
      <c r="K68" s="286"/>
      <c r="L68" s="286"/>
      <c r="M68" s="286"/>
      <c r="N68" s="286"/>
    </row>
    <row r="69">
      <c r="A69" s="320"/>
      <c r="B69" s="321"/>
      <c r="C69" s="321"/>
      <c r="D69" s="321"/>
      <c r="E69" s="322"/>
      <c r="F69" s="322"/>
      <c r="G69" s="286"/>
      <c r="H69" s="286"/>
      <c r="I69" s="286"/>
      <c r="J69" s="286"/>
      <c r="K69" s="286"/>
      <c r="L69" s="286"/>
      <c r="M69" s="286"/>
      <c r="N69" s="286"/>
    </row>
    <row r="70">
      <c r="A70" s="320"/>
      <c r="B70" s="321"/>
      <c r="C70" s="321"/>
      <c r="D70" s="321"/>
      <c r="E70" s="322"/>
      <c r="F70" s="322"/>
      <c r="G70" s="286"/>
      <c r="H70" s="286"/>
      <c r="I70" s="286"/>
      <c r="J70" s="286"/>
      <c r="K70" s="286"/>
      <c r="L70" s="286"/>
      <c r="M70" s="286"/>
      <c r="N70" s="286"/>
    </row>
    <row r="71">
      <c r="A71" s="320"/>
      <c r="B71" s="321"/>
      <c r="C71" s="321"/>
      <c r="D71" s="321"/>
      <c r="E71" s="322"/>
      <c r="F71" s="322"/>
      <c r="G71" s="286"/>
      <c r="H71" s="286"/>
      <c r="I71" s="286"/>
      <c r="J71" s="286"/>
      <c r="K71" s="286"/>
      <c r="L71" s="286"/>
      <c r="M71" s="286"/>
      <c r="N71" s="286"/>
    </row>
    <row r="72">
      <c r="A72" s="320"/>
      <c r="B72" s="321"/>
      <c r="C72" s="321"/>
      <c r="D72" s="321"/>
      <c r="E72" s="322"/>
      <c r="F72" s="322"/>
      <c r="G72" s="286"/>
      <c r="H72" s="286"/>
      <c r="I72" s="286"/>
      <c r="J72" s="286"/>
      <c r="K72" s="286"/>
      <c r="L72" s="286"/>
      <c r="M72" s="286"/>
      <c r="N72" s="286"/>
    </row>
    <row r="73">
      <c r="A73" s="320"/>
      <c r="B73" s="321"/>
      <c r="C73" s="321"/>
      <c r="D73" s="321"/>
      <c r="E73" s="322"/>
      <c r="F73" s="322"/>
      <c r="G73" s="286"/>
      <c r="H73" s="286"/>
      <c r="I73" s="286"/>
      <c r="J73" s="286"/>
      <c r="K73" s="286"/>
      <c r="L73" s="286"/>
      <c r="M73" s="286"/>
      <c r="N73" s="286"/>
    </row>
    <row r="74">
      <c r="A74" s="320"/>
      <c r="B74" s="321"/>
      <c r="C74" s="321"/>
      <c r="D74" s="321"/>
      <c r="E74" s="322"/>
      <c r="F74" s="322"/>
      <c r="G74" s="286"/>
      <c r="H74" s="286"/>
      <c r="I74" s="286"/>
      <c r="J74" s="286"/>
      <c r="K74" s="286"/>
      <c r="L74" s="286"/>
      <c r="M74" s="286"/>
      <c r="N74" s="286"/>
    </row>
    <row r="75">
      <c r="A75" s="320"/>
      <c r="B75" s="321"/>
      <c r="C75" s="321"/>
      <c r="D75" s="321"/>
      <c r="E75" s="322"/>
      <c r="F75" s="322"/>
      <c r="G75" s="286"/>
      <c r="H75" s="286"/>
      <c r="I75" s="286"/>
      <c r="J75" s="286"/>
      <c r="K75" s="286"/>
      <c r="L75" s="286"/>
      <c r="M75" s="286"/>
      <c r="N75" s="286"/>
    </row>
    <row r="76">
      <c r="A76" s="320"/>
      <c r="B76" s="321"/>
      <c r="C76" s="321"/>
      <c r="D76" s="321"/>
      <c r="E76" s="322"/>
      <c r="F76" s="322"/>
      <c r="G76" s="286"/>
      <c r="H76" s="286"/>
      <c r="I76" s="286"/>
      <c r="J76" s="286"/>
      <c r="K76" s="286"/>
      <c r="L76" s="286"/>
      <c r="M76" s="286"/>
      <c r="N76" s="286"/>
    </row>
    <row r="77">
      <c r="A77" s="320"/>
      <c r="B77" s="321"/>
      <c r="C77" s="321"/>
      <c r="D77" s="321"/>
      <c r="E77" s="322"/>
      <c r="F77" s="322"/>
      <c r="G77" s="286"/>
      <c r="H77" s="286"/>
      <c r="I77" s="286"/>
      <c r="J77" s="286"/>
      <c r="K77" s="286"/>
      <c r="L77" s="286"/>
      <c r="M77" s="286"/>
      <c r="N77" s="286"/>
    </row>
    <row r="78">
      <c r="A78" s="320"/>
      <c r="B78" s="321"/>
      <c r="C78" s="321"/>
      <c r="D78" s="321"/>
      <c r="E78" s="322"/>
      <c r="F78" s="322"/>
      <c r="G78" s="286"/>
      <c r="H78" s="286"/>
      <c r="I78" s="286"/>
      <c r="J78" s="286"/>
      <c r="K78" s="286"/>
      <c r="L78" s="286"/>
      <c r="M78" s="286"/>
      <c r="N78" s="286"/>
    </row>
    <row r="79">
      <c r="A79" s="320"/>
      <c r="B79" s="321"/>
      <c r="C79" s="321"/>
      <c r="D79" s="321"/>
      <c r="E79" s="322"/>
      <c r="F79" s="322"/>
      <c r="G79" s="286"/>
      <c r="H79" s="286"/>
      <c r="I79" s="286"/>
      <c r="J79" s="286"/>
      <c r="K79" s="286"/>
      <c r="L79" s="286"/>
      <c r="M79" s="286"/>
      <c r="N79" s="286"/>
    </row>
    <row r="80">
      <c r="A80" s="320"/>
      <c r="B80" s="321"/>
      <c r="C80" s="321"/>
      <c r="D80" s="321"/>
      <c r="E80" s="322"/>
      <c r="F80" s="322"/>
      <c r="G80" s="286"/>
      <c r="H80" s="286"/>
      <c r="I80" s="286"/>
      <c r="J80" s="286"/>
      <c r="K80" s="286"/>
      <c r="L80" s="286"/>
      <c r="M80" s="286"/>
      <c r="N80" s="286"/>
    </row>
    <row r="81">
      <c r="A81" s="320"/>
      <c r="B81" s="321"/>
      <c r="C81" s="321"/>
      <c r="D81" s="321"/>
      <c r="E81" s="322"/>
      <c r="F81" s="322"/>
      <c r="G81" s="286"/>
      <c r="H81" s="286"/>
      <c r="I81" s="286"/>
      <c r="J81" s="286"/>
      <c r="K81" s="286"/>
      <c r="L81" s="286"/>
      <c r="M81" s="286"/>
      <c r="N81" s="286"/>
    </row>
    <row r="82">
      <c r="A82" s="320"/>
      <c r="B82" s="321"/>
      <c r="C82" s="321"/>
      <c r="D82" s="321"/>
      <c r="E82" s="322"/>
      <c r="F82" s="322"/>
      <c r="G82" s="286"/>
      <c r="H82" s="286"/>
      <c r="I82" s="286"/>
      <c r="J82" s="286"/>
      <c r="K82" s="286"/>
      <c r="L82" s="286"/>
      <c r="M82" s="286"/>
      <c r="N82" s="286"/>
    </row>
    <row r="83">
      <c r="A83" s="320"/>
      <c r="B83" s="321"/>
      <c r="C83" s="321"/>
      <c r="D83" s="321"/>
      <c r="E83" s="322"/>
      <c r="F83" s="322"/>
      <c r="G83" s="286"/>
      <c r="H83" s="286"/>
      <c r="I83" s="286"/>
      <c r="J83" s="286"/>
      <c r="K83" s="286"/>
      <c r="L83" s="286"/>
      <c r="M83" s="286"/>
      <c r="N83" s="286"/>
    </row>
    <row r="84">
      <c r="A84" s="320"/>
      <c r="B84" s="321"/>
      <c r="C84" s="321"/>
      <c r="D84" s="321"/>
      <c r="E84" s="322"/>
      <c r="F84" s="322"/>
      <c r="G84" s="286"/>
      <c r="H84" s="286"/>
      <c r="I84" s="286"/>
      <c r="J84" s="286"/>
      <c r="K84" s="286"/>
      <c r="L84" s="286"/>
      <c r="M84" s="286"/>
      <c r="N84" s="286"/>
    </row>
    <row r="85">
      <c r="A85" s="320"/>
      <c r="B85" s="321"/>
      <c r="C85" s="321"/>
      <c r="D85" s="321"/>
      <c r="E85" s="322"/>
      <c r="F85" s="322"/>
      <c r="G85" s="286"/>
      <c r="H85" s="286"/>
      <c r="I85" s="286"/>
      <c r="J85" s="286"/>
      <c r="K85" s="286"/>
      <c r="L85" s="286"/>
      <c r="M85" s="286"/>
      <c r="N85" s="286"/>
    </row>
    <row r="86">
      <c r="A86" s="320"/>
      <c r="B86" s="321"/>
      <c r="C86" s="321"/>
      <c r="D86" s="321"/>
      <c r="E86" s="322"/>
      <c r="F86" s="322"/>
      <c r="G86" s="286"/>
      <c r="H86" s="286"/>
      <c r="I86" s="286"/>
      <c r="J86" s="286"/>
      <c r="K86" s="286"/>
      <c r="L86" s="286"/>
      <c r="M86" s="286"/>
      <c r="N86" s="286"/>
    </row>
    <row r="87">
      <c r="A87" s="320"/>
      <c r="B87" s="321"/>
      <c r="C87" s="321"/>
      <c r="D87" s="321"/>
      <c r="E87" s="322"/>
      <c r="F87" s="322"/>
      <c r="G87" s="286"/>
      <c r="H87" s="286"/>
      <c r="I87" s="286"/>
      <c r="J87" s="286"/>
      <c r="K87" s="286"/>
      <c r="L87" s="286"/>
      <c r="M87" s="286"/>
      <c r="N87" s="286"/>
    </row>
    <row r="88">
      <c r="A88" s="320"/>
      <c r="B88" s="321"/>
      <c r="C88" s="321"/>
      <c r="D88" s="321"/>
      <c r="E88" s="322"/>
      <c r="F88" s="322"/>
      <c r="G88" s="286"/>
      <c r="H88" s="286"/>
      <c r="I88" s="286"/>
      <c r="J88" s="286"/>
      <c r="K88" s="286"/>
      <c r="L88" s="286"/>
      <c r="M88" s="286"/>
      <c r="N88" s="286"/>
    </row>
    <row r="89">
      <c r="A89" s="320"/>
      <c r="B89" s="321"/>
      <c r="C89" s="321"/>
      <c r="D89" s="321"/>
      <c r="E89" s="322"/>
      <c r="F89" s="322"/>
      <c r="G89" s="286"/>
      <c r="H89" s="286"/>
      <c r="I89" s="286"/>
      <c r="J89" s="286"/>
      <c r="K89" s="286"/>
      <c r="L89" s="286"/>
      <c r="M89" s="286"/>
      <c r="N89" s="286"/>
    </row>
    <row r="90">
      <c r="A90" s="320"/>
      <c r="B90" s="321"/>
      <c r="C90" s="321"/>
      <c r="D90" s="321"/>
      <c r="E90" s="322"/>
      <c r="F90" s="322"/>
      <c r="G90" s="286"/>
      <c r="H90" s="286"/>
      <c r="I90" s="286"/>
      <c r="J90" s="286"/>
      <c r="K90" s="286"/>
      <c r="L90" s="286"/>
      <c r="M90" s="286"/>
      <c r="N90" s="286"/>
    </row>
    <row r="91">
      <c r="A91" s="320"/>
      <c r="B91" s="321"/>
      <c r="C91" s="321"/>
      <c r="D91" s="321"/>
      <c r="E91" s="322"/>
      <c r="F91" s="322"/>
      <c r="G91" s="286"/>
      <c r="H91" s="286"/>
      <c r="I91" s="286"/>
      <c r="J91" s="286"/>
      <c r="K91" s="286"/>
      <c r="L91" s="286"/>
      <c r="M91" s="286"/>
      <c r="N91" s="286"/>
    </row>
    <row r="92">
      <c r="A92" s="320"/>
      <c r="B92" s="321"/>
      <c r="C92" s="321"/>
      <c r="D92" s="321"/>
      <c r="E92" s="322"/>
      <c r="F92" s="322"/>
      <c r="G92" s="286"/>
      <c r="H92" s="286"/>
      <c r="I92" s="286"/>
      <c r="J92" s="286"/>
      <c r="K92" s="286"/>
      <c r="L92" s="286"/>
      <c r="M92" s="286"/>
      <c r="N92" s="286"/>
    </row>
    <row r="93">
      <c r="A93" s="320"/>
      <c r="B93" s="321"/>
      <c r="C93" s="321"/>
      <c r="D93" s="321"/>
      <c r="E93" s="322"/>
      <c r="F93" s="322"/>
      <c r="G93" s="286"/>
      <c r="H93" s="286"/>
      <c r="I93" s="286"/>
      <c r="J93" s="286"/>
      <c r="K93" s="286"/>
      <c r="L93" s="286"/>
      <c r="M93" s="286"/>
      <c r="N93" s="286"/>
    </row>
    <row r="94">
      <c r="A94" s="320"/>
      <c r="B94" s="321"/>
      <c r="C94" s="321"/>
      <c r="D94" s="321"/>
      <c r="E94" s="322"/>
      <c r="F94" s="322"/>
      <c r="G94" s="286"/>
      <c r="H94" s="286"/>
      <c r="I94" s="286"/>
      <c r="J94" s="286"/>
      <c r="K94" s="286"/>
      <c r="L94" s="286"/>
      <c r="M94" s="286"/>
      <c r="N94" s="286"/>
    </row>
    <row r="95">
      <c r="A95" s="320"/>
      <c r="B95" s="321"/>
      <c r="C95" s="321"/>
      <c r="D95" s="321"/>
      <c r="E95" s="322"/>
      <c r="F95" s="322"/>
      <c r="G95" s="286"/>
      <c r="H95" s="286"/>
      <c r="I95" s="286"/>
      <c r="J95" s="286"/>
      <c r="K95" s="286"/>
      <c r="L95" s="286"/>
      <c r="M95" s="286"/>
      <c r="N95" s="286"/>
    </row>
    <row r="96">
      <c r="A96" s="321"/>
      <c r="B96" s="321"/>
      <c r="C96" s="321"/>
      <c r="D96" s="321"/>
      <c r="E96" s="322"/>
      <c r="F96" s="322"/>
      <c r="G96" s="286"/>
      <c r="H96" s="286"/>
      <c r="I96" s="286"/>
      <c r="J96" s="286"/>
      <c r="K96" s="286"/>
      <c r="L96" s="286"/>
      <c r="M96" s="286"/>
      <c r="N96" s="286"/>
    </row>
    <row r="97">
      <c r="A97" s="321"/>
      <c r="B97" s="321"/>
      <c r="C97" s="321"/>
      <c r="D97" s="321"/>
      <c r="E97" s="322"/>
      <c r="F97" s="322"/>
      <c r="G97" s="286"/>
      <c r="H97" s="286"/>
      <c r="I97" s="286"/>
      <c r="J97" s="286"/>
      <c r="K97" s="286"/>
      <c r="L97" s="286"/>
      <c r="M97" s="286"/>
      <c r="N97" s="286"/>
    </row>
    <row r="98">
      <c r="A98" s="321"/>
      <c r="B98" s="321"/>
      <c r="C98" s="321"/>
      <c r="D98" s="321"/>
      <c r="E98" s="322"/>
      <c r="F98" s="322"/>
      <c r="G98" s="286"/>
      <c r="H98" s="286"/>
      <c r="I98" s="286"/>
      <c r="J98" s="286"/>
      <c r="K98" s="286"/>
      <c r="L98" s="286"/>
      <c r="M98" s="286"/>
      <c r="N98" s="286"/>
    </row>
    <row r="99">
      <c r="A99" s="321"/>
      <c r="B99" s="321"/>
      <c r="C99" s="321"/>
      <c r="D99" s="321"/>
      <c r="E99" s="322"/>
      <c r="F99" s="322"/>
      <c r="G99" s="286"/>
      <c r="H99" s="286"/>
      <c r="I99" s="286"/>
      <c r="J99" s="286"/>
      <c r="K99" s="286"/>
      <c r="L99" s="286"/>
      <c r="M99" s="286"/>
      <c r="N99" s="286"/>
    </row>
    <row r="100">
      <c r="A100" s="321"/>
      <c r="B100" s="321"/>
      <c r="C100" s="321"/>
      <c r="D100" s="321"/>
      <c r="E100" s="322"/>
      <c r="F100" s="322"/>
      <c r="G100" s="286"/>
      <c r="H100" s="286"/>
      <c r="I100" s="286"/>
      <c r="J100" s="286"/>
      <c r="K100" s="286"/>
      <c r="L100" s="286"/>
      <c r="M100" s="286"/>
      <c r="N100" s="286"/>
    </row>
    <row r="101">
      <c r="A101" s="321"/>
      <c r="B101" s="321"/>
      <c r="C101" s="321"/>
      <c r="D101" s="321"/>
      <c r="E101" s="322"/>
      <c r="F101" s="322"/>
      <c r="G101" s="286"/>
      <c r="H101" s="286"/>
      <c r="I101" s="286"/>
      <c r="J101" s="286"/>
      <c r="K101" s="286"/>
      <c r="L101" s="286"/>
      <c r="M101" s="286"/>
      <c r="N101" s="286"/>
    </row>
    <row r="102">
      <c r="A102" s="321"/>
      <c r="B102" s="321"/>
      <c r="C102" s="321"/>
      <c r="D102" s="321"/>
      <c r="E102" s="322"/>
      <c r="F102" s="322"/>
      <c r="G102" s="286"/>
      <c r="H102" s="286"/>
      <c r="I102" s="286"/>
      <c r="J102" s="286"/>
      <c r="K102" s="286"/>
      <c r="L102" s="286"/>
      <c r="M102" s="286"/>
      <c r="N102" s="286"/>
    </row>
    <row r="103">
      <c r="A103" s="321"/>
      <c r="B103" s="321"/>
      <c r="C103" s="321"/>
      <c r="D103" s="321"/>
      <c r="E103" s="322"/>
      <c r="F103" s="322"/>
      <c r="G103" s="286"/>
      <c r="H103" s="286"/>
      <c r="I103" s="286"/>
      <c r="J103" s="286"/>
      <c r="K103" s="286"/>
      <c r="L103" s="286"/>
      <c r="M103" s="286"/>
      <c r="N103" s="286"/>
    </row>
    <row r="104">
      <c r="A104" s="321"/>
      <c r="B104" s="321"/>
      <c r="C104" s="321"/>
      <c r="D104" s="321"/>
      <c r="E104" s="322"/>
      <c r="F104" s="322"/>
      <c r="G104" s="286"/>
      <c r="H104" s="286"/>
      <c r="I104" s="286"/>
      <c r="J104" s="286"/>
      <c r="K104" s="286"/>
      <c r="L104" s="286"/>
      <c r="M104" s="286"/>
      <c r="N104" s="286"/>
    </row>
    <row r="105">
      <c r="A105" s="321"/>
      <c r="B105" s="321"/>
      <c r="C105" s="321"/>
      <c r="D105" s="321"/>
      <c r="E105" s="322"/>
      <c r="F105" s="322"/>
      <c r="G105" s="286"/>
      <c r="H105" s="286"/>
      <c r="I105" s="286"/>
      <c r="J105" s="286"/>
      <c r="K105" s="286"/>
      <c r="L105" s="286"/>
      <c r="M105" s="286"/>
      <c r="N105" s="286"/>
    </row>
    <row r="106">
      <c r="A106" s="321"/>
      <c r="B106" s="321"/>
      <c r="C106" s="321"/>
      <c r="D106" s="321"/>
      <c r="E106" s="322"/>
      <c r="F106" s="322"/>
      <c r="G106" s="286"/>
      <c r="H106" s="286"/>
      <c r="I106" s="286"/>
      <c r="J106" s="286"/>
      <c r="K106" s="286"/>
      <c r="L106" s="286"/>
      <c r="M106" s="286"/>
      <c r="N106" s="286"/>
    </row>
    <row r="107">
      <c r="A107" s="321"/>
      <c r="B107" s="321"/>
      <c r="C107" s="321"/>
      <c r="D107" s="321"/>
      <c r="E107" s="322"/>
      <c r="F107" s="322"/>
      <c r="G107" s="286"/>
      <c r="H107" s="286"/>
      <c r="I107" s="286"/>
      <c r="J107" s="286"/>
      <c r="K107" s="286"/>
      <c r="L107" s="286"/>
      <c r="M107" s="286"/>
      <c r="N107" s="286"/>
    </row>
    <row r="108">
      <c r="A108" s="321"/>
      <c r="B108" s="321"/>
      <c r="C108" s="321"/>
      <c r="D108" s="321"/>
      <c r="E108" s="322"/>
      <c r="F108" s="322"/>
      <c r="G108" s="286"/>
      <c r="H108" s="286"/>
      <c r="I108" s="286"/>
      <c r="J108" s="286"/>
      <c r="K108" s="286"/>
      <c r="L108" s="286"/>
      <c r="M108" s="286"/>
      <c r="N108" s="286"/>
    </row>
    <row r="109">
      <c r="A109" s="321"/>
      <c r="B109" s="321"/>
      <c r="C109" s="321"/>
      <c r="D109" s="321"/>
      <c r="E109" s="322"/>
      <c r="F109" s="322"/>
      <c r="G109" s="286"/>
      <c r="H109" s="286"/>
      <c r="I109" s="286"/>
      <c r="J109" s="286"/>
      <c r="K109" s="286"/>
      <c r="L109" s="286"/>
      <c r="M109" s="286"/>
      <c r="N109" s="286"/>
    </row>
    <row r="110">
      <c r="A110" s="321"/>
      <c r="B110" s="321"/>
      <c r="C110" s="321"/>
      <c r="D110" s="321"/>
      <c r="E110" s="322"/>
      <c r="F110" s="322"/>
      <c r="G110" s="286"/>
      <c r="H110" s="286"/>
      <c r="I110" s="286"/>
      <c r="J110" s="286"/>
      <c r="K110" s="286"/>
      <c r="L110" s="286"/>
      <c r="M110" s="286"/>
      <c r="N110" s="286"/>
    </row>
    <row r="111">
      <c r="A111" s="321"/>
      <c r="B111" s="321"/>
      <c r="C111" s="321"/>
      <c r="D111" s="321"/>
      <c r="E111" s="322"/>
      <c r="F111" s="322"/>
      <c r="G111" s="286"/>
      <c r="H111" s="286"/>
      <c r="I111" s="286"/>
      <c r="J111" s="286"/>
      <c r="K111" s="286"/>
      <c r="L111" s="286"/>
      <c r="M111" s="286"/>
      <c r="N111" s="286"/>
    </row>
    <row r="112">
      <c r="A112" s="321"/>
      <c r="B112" s="321"/>
      <c r="C112" s="321"/>
      <c r="D112" s="321"/>
      <c r="E112" s="322"/>
      <c r="F112" s="322"/>
      <c r="G112" s="286"/>
      <c r="H112" s="286"/>
      <c r="I112" s="286"/>
      <c r="J112" s="286"/>
      <c r="K112" s="286"/>
      <c r="L112" s="286"/>
      <c r="M112" s="286"/>
      <c r="N112" s="286"/>
    </row>
    <row r="113">
      <c r="A113" s="321"/>
      <c r="B113" s="321"/>
      <c r="C113" s="321"/>
      <c r="D113" s="321"/>
      <c r="E113" s="322"/>
      <c r="F113" s="322"/>
      <c r="G113" s="286"/>
      <c r="H113" s="286"/>
      <c r="I113" s="286"/>
      <c r="J113" s="286"/>
      <c r="K113" s="286"/>
      <c r="L113" s="286"/>
      <c r="M113" s="286"/>
      <c r="N113" s="286"/>
    </row>
    <row r="114">
      <c r="A114" s="321"/>
      <c r="B114" s="321"/>
      <c r="C114" s="321"/>
      <c r="D114" s="321"/>
      <c r="E114" s="322"/>
      <c r="F114" s="322"/>
      <c r="G114" s="286"/>
      <c r="H114" s="286"/>
      <c r="I114" s="286"/>
      <c r="J114" s="286"/>
      <c r="K114" s="286"/>
      <c r="L114" s="286"/>
      <c r="M114" s="286"/>
      <c r="N114" s="286"/>
    </row>
    <row r="115">
      <c r="A115" s="321"/>
      <c r="B115" s="321"/>
      <c r="C115" s="321"/>
      <c r="D115" s="321"/>
      <c r="E115" s="322"/>
      <c r="F115" s="322"/>
      <c r="G115" s="286"/>
      <c r="H115" s="286"/>
      <c r="I115" s="286"/>
      <c r="J115" s="286"/>
      <c r="K115" s="286"/>
      <c r="L115" s="286"/>
      <c r="M115" s="286"/>
      <c r="N115" s="286"/>
    </row>
    <row r="116">
      <c r="A116" s="321"/>
      <c r="B116" s="321"/>
      <c r="C116" s="321"/>
      <c r="D116" s="321"/>
      <c r="E116" s="322"/>
      <c r="F116" s="322"/>
      <c r="G116" s="286"/>
      <c r="H116" s="286"/>
      <c r="I116" s="286"/>
      <c r="J116" s="286"/>
      <c r="K116" s="286"/>
      <c r="L116" s="286"/>
      <c r="M116" s="286"/>
      <c r="N116" s="286"/>
    </row>
    <row r="117">
      <c r="A117" s="321"/>
      <c r="B117" s="321"/>
      <c r="C117" s="321"/>
      <c r="D117" s="321"/>
      <c r="E117" s="322"/>
      <c r="F117" s="322"/>
      <c r="G117" s="286"/>
      <c r="H117" s="286"/>
      <c r="I117" s="286"/>
      <c r="J117" s="286"/>
      <c r="K117" s="286"/>
      <c r="L117" s="286"/>
      <c r="M117" s="286"/>
      <c r="N117" s="286"/>
    </row>
    <row r="118">
      <c r="A118" s="321"/>
      <c r="B118" s="321"/>
      <c r="C118" s="321"/>
      <c r="D118" s="321"/>
      <c r="E118" s="322"/>
      <c r="F118" s="322"/>
      <c r="G118" s="286"/>
      <c r="H118" s="286"/>
      <c r="I118" s="286"/>
      <c r="J118" s="286"/>
      <c r="K118" s="286"/>
      <c r="L118" s="286"/>
      <c r="M118" s="286"/>
      <c r="N118" s="286"/>
    </row>
    <row r="119">
      <c r="A119" s="321"/>
      <c r="B119" s="321"/>
      <c r="C119" s="321"/>
      <c r="D119" s="321"/>
      <c r="E119" s="322"/>
      <c r="F119" s="322"/>
      <c r="G119" s="286"/>
      <c r="H119" s="286"/>
      <c r="I119" s="286"/>
      <c r="J119" s="286"/>
      <c r="K119" s="286"/>
      <c r="L119" s="286"/>
      <c r="M119" s="286"/>
      <c r="N119" s="286"/>
    </row>
    <row r="120">
      <c r="A120" s="321"/>
      <c r="B120" s="321"/>
      <c r="C120" s="321"/>
      <c r="D120" s="321"/>
      <c r="E120" s="322"/>
      <c r="F120" s="322"/>
      <c r="G120" s="286"/>
      <c r="H120" s="286"/>
      <c r="I120" s="286"/>
      <c r="J120" s="286"/>
      <c r="K120" s="286"/>
      <c r="L120" s="286"/>
      <c r="M120" s="286"/>
      <c r="N120" s="286"/>
    </row>
    <row r="121">
      <c r="A121" s="321"/>
      <c r="B121" s="321"/>
      <c r="C121" s="321"/>
      <c r="D121" s="321"/>
      <c r="E121" s="322"/>
      <c r="F121" s="322"/>
      <c r="G121" s="286"/>
      <c r="H121" s="286"/>
      <c r="I121" s="286"/>
      <c r="J121" s="286"/>
      <c r="K121" s="286"/>
      <c r="L121" s="286"/>
      <c r="M121" s="286"/>
      <c r="N121" s="286"/>
    </row>
    <row r="122">
      <c r="A122" s="321"/>
      <c r="B122" s="321"/>
      <c r="C122" s="321"/>
      <c r="D122" s="321"/>
      <c r="E122" s="322"/>
      <c r="F122" s="322"/>
      <c r="G122" s="286"/>
      <c r="H122" s="286"/>
      <c r="I122" s="286"/>
      <c r="J122" s="286"/>
      <c r="K122" s="286"/>
      <c r="L122" s="286"/>
      <c r="M122" s="286"/>
      <c r="N122" s="286"/>
    </row>
    <row r="123">
      <c r="A123" s="321"/>
      <c r="B123" s="321"/>
      <c r="C123" s="321"/>
      <c r="D123" s="321"/>
      <c r="E123" s="322"/>
      <c r="F123" s="322"/>
      <c r="G123" s="286"/>
      <c r="H123" s="286"/>
      <c r="I123" s="286"/>
      <c r="J123" s="286"/>
      <c r="K123" s="286"/>
      <c r="L123" s="286"/>
      <c r="M123" s="286"/>
      <c r="N123" s="286"/>
    </row>
    <row r="124">
      <c r="A124" s="321"/>
      <c r="B124" s="321"/>
      <c r="C124" s="321"/>
      <c r="D124" s="321"/>
      <c r="E124" s="322"/>
      <c r="F124" s="322"/>
      <c r="G124" s="286"/>
      <c r="H124" s="286"/>
      <c r="I124" s="286"/>
      <c r="J124" s="286"/>
      <c r="K124" s="286"/>
      <c r="L124" s="286"/>
      <c r="M124" s="286"/>
      <c r="N124" s="286"/>
    </row>
    <row r="125">
      <c r="A125" s="321"/>
      <c r="B125" s="321"/>
      <c r="C125" s="321"/>
      <c r="D125" s="321"/>
      <c r="E125" s="322"/>
      <c r="F125" s="322"/>
      <c r="G125" s="286"/>
      <c r="H125" s="286"/>
      <c r="I125" s="286"/>
      <c r="J125" s="286"/>
      <c r="K125" s="286"/>
      <c r="L125" s="286"/>
      <c r="M125" s="286"/>
      <c r="N125" s="286"/>
    </row>
    <row r="126">
      <c r="A126" s="321"/>
      <c r="B126" s="321"/>
      <c r="C126" s="321"/>
      <c r="D126" s="321"/>
      <c r="E126" s="322"/>
      <c r="F126" s="322"/>
      <c r="G126" s="286"/>
      <c r="H126" s="286"/>
      <c r="I126" s="286"/>
      <c r="J126" s="286"/>
      <c r="K126" s="286"/>
      <c r="L126" s="286"/>
      <c r="M126" s="286"/>
      <c r="N126" s="286"/>
    </row>
    <row r="127">
      <c r="A127" s="321"/>
      <c r="B127" s="321"/>
      <c r="C127" s="321"/>
      <c r="D127" s="321"/>
      <c r="E127" s="322"/>
      <c r="F127" s="322"/>
      <c r="G127" s="286"/>
      <c r="H127" s="286"/>
      <c r="I127" s="286"/>
      <c r="J127" s="286"/>
      <c r="K127" s="286"/>
      <c r="L127" s="286"/>
      <c r="M127" s="286"/>
      <c r="N127" s="286"/>
    </row>
    <row r="128">
      <c r="A128" s="321"/>
      <c r="B128" s="321"/>
      <c r="C128" s="321"/>
      <c r="D128" s="321"/>
      <c r="E128" s="322"/>
      <c r="F128" s="322"/>
      <c r="G128" s="286"/>
      <c r="H128" s="286"/>
      <c r="I128" s="286"/>
      <c r="J128" s="286"/>
      <c r="K128" s="286"/>
      <c r="L128" s="286"/>
      <c r="M128" s="286"/>
      <c r="N128" s="286"/>
    </row>
    <row r="129">
      <c r="A129" s="321"/>
      <c r="B129" s="321"/>
      <c r="C129" s="321"/>
      <c r="D129" s="321"/>
      <c r="E129" s="322"/>
      <c r="F129" s="322"/>
      <c r="G129" s="286"/>
      <c r="H129" s="286"/>
      <c r="I129" s="286"/>
      <c r="J129" s="286"/>
      <c r="K129" s="286"/>
      <c r="L129" s="286"/>
      <c r="M129" s="286"/>
      <c r="N129" s="286"/>
    </row>
    <row r="130">
      <c r="A130" s="321"/>
      <c r="B130" s="321"/>
      <c r="C130" s="321"/>
      <c r="D130" s="321"/>
      <c r="E130" s="322"/>
      <c r="F130" s="322"/>
      <c r="G130" s="286"/>
      <c r="H130" s="286"/>
      <c r="I130" s="286"/>
      <c r="J130" s="286"/>
      <c r="K130" s="286"/>
      <c r="L130" s="286"/>
      <c r="M130" s="286"/>
      <c r="N130" s="286"/>
    </row>
    <row r="131">
      <c r="A131" s="321"/>
      <c r="B131" s="321"/>
      <c r="C131" s="321"/>
      <c r="D131" s="321"/>
      <c r="E131" s="322"/>
      <c r="F131" s="322"/>
      <c r="G131" s="286"/>
      <c r="H131" s="286"/>
      <c r="I131" s="286"/>
      <c r="J131" s="286"/>
      <c r="K131" s="286"/>
      <c r="L131" s="286"/>
      <c r="M131" s="286"/>
      <c r="N131" s="286"/>
    </row>
    <row r="132">
      <c r="A132" s="321"/>
      <c r="B132" s="321"/>
      <c r="C132" s="321"/>
      <c r="D132" s="321"/>
      <c r="E132" s="322"/>
      <c r="F132" s="322"/>
      <c r="G132" s="286"/>
      <c r="H132" s="286"/>
      <c r="I132" s="286"/>
      <c r="J132" s="286"/>
      <c r="K132" s="286"/>
      <c r="L132" s="286"/>
      <c r="M132" s="286"/>
      <c r="N132" s="286"/>
    </row>
    <row r="133">
      <c r="A133" s="286"/>
      <c r="B133" s="286"/>
      <c r="C133" s="286"/>
      <c r="D133" s="286"/>
      <c r="E133" s="306"/>
      <c r="F133" s="306"/>
      <c r="G133" s="286"/>
      <c r="H133" s="286"/>
      <c r="I133" s="286"/>
      <c r="J133" s="286"/>
      <c r="K133" s="286"/>
      <c r="L133" s="286"/>
      <c r="M133" s="286"/>
      <c r="N133" s="286"/>
    </row>
    <row r="134">
      <c r="A134" s="286"/>
      <c r="B134" s="286"/>
      <c r="C134" s="286"/>
      <c r="D134" s="286"/>
      <c r="E134" s="306"/>
      <c r="F134" s="306"/>
      <c r="G134" s="286"/>
      <c r="H134" s="286"/>
      <c r="I134" s="286"/>
      <c r="J134" s="286"/>
      <c r="K134" s="286"/>
      <c r="L134" s="286"/>
      <c r="M134" s="286"/>
      <c r="N134" s="286"/>
    </row>
    <row r="135">
      <c r="A135" s="286"/>
      <c r="B135" s="286"/>
      <c r="C135" s="286"/>
      <c r="D135" s="286"/>
      <c r="E135" s="306"/>
      <c r="F135" s="306"/>
      <c r="G135" s="286"/>
      <c r="H135" s="286"/>
      <c r="I135" s="286"/>
      <c r="J135" s="286"/>
      <c r="K135" s="286"/>
      <c r="L135" s="286"/>
      <c r="M135" s="286"/>
      <c r="N135" s="286"/>
    </row>
    <row r="136">
      <c r="A136" s="286"/>
      <c r="B136" s="286"/>
      <c r="C136" s="286"/>
      <c r="D136" s="286"/>
      <c r="E136" s="306"/>
      <c r="F136" s="306"/>
      <c r="G136" s="286"/>
      <c r="H136" s="286"/>
      <c r="I136" s="286"/>
      <c r="J136" s="286"/>
      <c r="K136" s="286"/>
      <c r="L136" s="286"/>
      <c r="M136" s="286"/>
      <c r="N136" s="286"/>
    </row>
    <row r="137">
      <c r="A137" s="286"/>
      <c r="B137" s="286"/>
      <c r="C137" s="286"/>
      <c r="D137" s="286"/>
      <c r="E137" s="306"/>
      <c r="F137" s="306"/>
      <c r="G137" s="286"/>
      <c r="H137" s="286"/>
      <c r="I137" s="286"/>
      <c r="J137" s="286"/>
      <c r="K137" s="286"/>
      <c r="L137" s="286"/>
      <c r="M137" s="286"/>
      <c r="N137" s="286"/>
    </row>
    <row r="138">
      <c r="A138" s="286"/>
      <c r="B138" s="286"/>
      <c r="C138" s="286"/>
      <c r="D138" s="286"/>
      <c r="E138" s="306"/>
      <c r="F138" s="306"/>
      <c r="G138" s="286"/>
      <c r="H138" s="286"/>
      <c r="I138" s="286"/>
      <c r="J138" s="286"/>
      <c r="K138" s="286"/>
      <c r="L138" s="286"/>
      <c r="M138" s="286"/>
      <c r="N138" s="286"/>
    </row>
    <row r="139">
      <c r="A139" s="286"/>
      <c r="B139" s="286"/>
      <c r="C139" s="286"/>
      <c r="D139" s="286"/>
      <c r="E139" s="306"/>
      <c r="F139" s="306"/>
      <c r="G139" s="286"/>
      <c r="H139" s="286"/>
      <c r="I139" s="286"/>
      <c r="J139" s="286"/>
      <c r="K139" s="286"/>
      <c r="L139" s="286"/>
      <c r="M139" s="286"/>
      <c r="N139" s="286"/>
    </row>
    <row r="140">
      <c r="A140" s="286"/>
      <c r="B140" s="286"/>
      <c r="C140" s="286"/>
      <c r="D140" s="286"/>
      <c r="E140" s="306"/>
      <c r="F140" s="306"/>
      <c r="G140" s="286"/>
      <c r="H140" s="286"/>
      <c r="I140" s="286"/>
      <c r="J140" s="286"/>
      <c r="K140" s="286"/>
      <c r="L140" s="286"/>
      <c r="M140" s="286"/>
      <c r="N140" s="286"/>
    </row>
    <row r="141">
      <c r="A141" s="286"/>
      <c r="B141" s="286"/>
      <c r="C141" s="286"/>
      <c r="D141" s="286"/>
      <c r="E141" s="306"/>
      <c r="F141" s="306"/>
      <c r="G141" s="286"/>
      <c r="H141" s="286"/>
      <c r="I141" s="286"/>
      <c r="J141" s="286"/>
      <c r="K141" s="286"/>
      <c r="L141" s="286"/>
      <c r="M141" s="286"/>
      <c r="N141" s="286"/>
    </row>
    <row r="142">
      <c r="A142" s="286"/>
      <c r="B142" s="286"/>
      <c r="C142" s="286"/>
      <c r="D142" s="286"/>
      <c r="E142" s="306"/>
      <c r="F142" s="306"/>
      <c r="G142" s="286"/>
      <c r="H142" s="286"/>
      <c r="I142" s="286"/>
      <c r="J142" s="286"/>
      <c r="K142" s="286"/>
      <c r="L142" s="286"/>
      <c r="M142" s="286"/>
      <c r="N142" s="286"/>
    </row>
    <row r="143">
      <c r="A143" s="286"/>
      <c r="B143" s="286"/>
      <c r="C143" s="286"/>
      <c r="D143" s="286"/>
      <c r="E143" s="306"/>
      <c r="F143" s="306"/>
      <c r="G143" s="286"/>
      <c r="H143" s="286"/>
      <c r="I143" s="286"/>
      <c r="J143" s="286"/>
      <c r="K143" s="286"/>
      <c r="L143" s="286"/>
      <c r="M143" s="286"/>
      <c r="N143" s="286"/>
    </row>
    <row r="144">
      <c r="A144" s="286"/>
      <c r="B144" s="286"/>
      <c r="C144" s="286"/>
      <c r="D144" s="286"/>
      <c r="E144" s="306"/>
      <c r="F144" s="306"/>
      <c r="G144" s="286"/>
      <c r="H144" s="286"/>
      <c r="I144" s="286"/>
      <c r="J144" s="286"/>
      <c r="K144" s="286"/>
      <c r="L144" s="286"/>
      <c r="M144" s="286"/>
      <c r="N144" s="286"/>
    </row>
    <row r="145">
      <c r="A145" s="286"/>
      <c r="B145" s="286"/>
      <c r="C145" s="286"/>
      <c r="D145" s="286"/>
      <c r="E145" s="306"/>
      <c r="F145" s="306"/>
      <c r="G145" s="286"/>
      <c r="H145" s="286"/>
      <c r="I145" s="286"/>
      <c r="J145" s="286"/>
      <c r="K145" s="286"/>
      <c r="L145" s="286"/>
      <c r="M145" s="286"/>
      <c r="N145" s="286"/>
    </row>
    <row r="146">
      <c r="A146" s="286"/>
      <c r="B146" s="286"/>
      <c r="C146" s="286"/>
      <c r="D146" s="286"/>
      <c r="E146" s="306"/>
      <c r="F146" s="306"/>
      <c r="G146" s="286"/>
      <c r="H146" s="286"/>
      <c r="I146" s="286"/>
      <c r="J146" s="286"/>
      <c r="K146" s="286"/>
      <c r="L146" s="286"/>
      <c r="M146" s="286"/>
      <c r="N146" s="286"/>
    </row>
    <row r="147">
      <c r="A147" s="286"/>
      <c r="B147" s="286"/>
      <c r="C147" s="286"/>
      <c r="D147" s="286"/>
      <c r="E147" s="306"/>
      <c r="F147" s="306"/>
      <c r="G147" s="286"/>
      <c r="H147" s="286"/>
      <c r="I147" s="286"/>
      <c r="J147" s="286"/>
      <c r="K147" s="286"/>
      <c r="L147" s="286"/>
      <c r="M147" s="286"/>
      <c r="N147" s="286"/>
    </row>
    <row r="148">
      <c r="A148" s="286"/>
      <c r="B148" s="286"/>
      <c r="C148" s="286"/>
      <c r="D148" s="286"/>
      <c r="E148" s="306"/>
      <c r="F148" s="306"/>
      <c r="G148" s="286"/>
      <c r="H148" s="286"/>
      <c r="I148" s="286"/>
      <c r="J148" s="286"/>
      <c r="K148" s="286"/>
      <c r="L148" s="286"/>
      <c r="M148" s="286"/>
      <c r="N148" s="286"/>
    </row>
    <row r="149">
      <c r="A149" s="286"/>
      <c r="B149" s="286"/>
      <c r="C149" s="286"/>
      <c r="D149" s="286"/>
      <c r="E149" s="306"/>
      <c r="F149" s="306"/>
      <c r="G149" s="286"/>
      <c r="H149" s="286"/>
      <c r="I149" s="286"/>
      <c r="J149" s="286"/>
      <c r="K149" s="286"/>
      <c r="L149" s="286"/>
      <c r="M149" s="286"/>
      <c r="N149" s="286"/>
    </row>
    <row r="150">
      <c r="A150" s="286"/>
      <c r="B150" s="286"/>
      <c r="C150" s="286"/>
      <c r="D150" s="286"/>
      <c r="E150" s="306"/>
      <c r="F150" s="306"/>
      <c r="G150" s="286"/>
      <c r="H150" s="286"/>
      <c r="I150" s="286"/>
      <c r="J150" s="286"/>
      <c r="K150" s="286"/>
      <c r="L150" s="286"/>
      <c r="M150" s="286"/>
      <c r="N150" s="286"/>
    </row>
    <row r="151">
      <c r="A151" s="286"/>
      <c r="B151" s="286"/>
      <c r="C151" s="286"/>
      <c r="D151" s="286"/>
      <c r="E151" s="306"/>
      <c r="F151" s="306"/>
      <c r="G151" s="286"/>
      <c r="H151" s="286"/>
      <c r="I151" s="286"/>
      <c r="J151" s="286"/>
      <c r="K151" s="286"/>
      <c r="L151" s="286"/>
      <c r="M151" s="286"/>
      <c r="N151" s="286"/>
    </row>
    <row r="152">
      <c r="A152" s="286"/>
      <c r="B152" s="286"/>
      <c r="C152" s="286"/>
      <c r="D152" s="286"/>
      <c r="E152" s="306"/>
      <c r="F152" s="306"/>
      <c r="G152" s="286"/>
      <c r="H152" s="286"/>
      <c r="I152" s="286"/>
      <c r="J152" s="286"/>
      <c r="K152" s="286"/>
      <c r="L152" s="286"/>
      <c r="M152" s="286"/>
      <c r="N152" s="286"/>
    </row>
    <row r="153">
      <c r="A153" s="286"/>
      <c r="B153" s="286"/>
      <c r="C153" s="286"/>
      <c r="D153" s="286"/>
      <c r="E153" s="306"/>
      <c r="F153" s="306"/>
      <c r="G153" s="286"/>
      <c r="H153" s="286"/>
      <c r="I153" s="286"/>
      <c r="J153" s="286"/>
      <c r="K153" s="286"/>
      <c r="L153" s="286"/>
      <c r="M153" s="286"/>
      <c r="N153" s="286"/>
    </row>
    <row r="154">
      <c r="A154" s="286"/>
      <c r="B154" s="286"/>
      <c r="C154" s="286"/>
      <c r="D154" s="286"/>
      <c r="E154" s="306"/>
      <c r="F154" s="306"/>
      <c r="G154" s="286"/>
      <c r="H154" s="286"/>
      <c r="I154" s="286"/>
      <c r="J154" s="286"/>
      <c r="K154" s="286"/>
      <c r="L154" s="286"/>
      <c r="M154" s="286"/>
      <c r="N154" s="286"/>
    </row>
    <row r="155">
      <c r="A155" s="286"/>
      <c r="B155" s="286"/>
      <c r="C155" s="286"/>
      <c r="D155" s="286"/>
      <c r="E155" s="306"/>
      <c r="F155" s="306"/>
      <c r="G155" s="286"/>
      <c r="H155" s="286"/>
      <c r="I155" s="286"/>
      <c r="J155" s="286"/>
      <c r="K155" s="286"/>
      <c r="L155" s="286"/>
      <c r="M155" s="286"/>
      <c r="N155" s="286"/>
    </row>
    <row r="156">
      <c r="A156" s="286"/>
      <c r="B156" s="286"/>
      <c r="C156" s="286"/>
      <c r="D156" s="286"/>
      <c r="E156" s="306"/>
      <c r="F156" s="306"/>
      <c r="G156" s="286"/>
      <c r="H156" s="286"/>
      <c r="I156" s="286"/>
      <c r="J156" s="286"/>
      <c r="K156" s="286"/>
      <c r="L156" s="286"/>
      <c r="M156" s="286"/>
      <c r="N156" s="286"/>
    </row>
    <row r="157">
      <c r="A157" s="286"/>
      <c r="B157" s="286"/>
      <c r="C157" s="286"/>
      <c r="D157" s="286"/>
      <c r="E157" s="306"/>
      <c r="F157" s="306"/>
      <c r="G157" s="286"/>
      <c r="H157" s="286"/>
      <c r="I157" s="286"/>
      <c r="J157" s="286"/>
      <c r="K157" s="286"/>
      <c r="L157" s="286"/>
      <c r="M157" s="286"/>
      <c r="N157" s="286"/>
    </row>
    <row r="158">
      <c r="A158" s="286"/>
      <c r="B158" s="286"/>
      <c r="C158" s="286"/>
      <c r="D158" s="286"/>
      <c r="E158" s="306"/>
      <c r="F158" s="306"/>
      <c r="G158" s="286"/>
      <c r="H158" s="286"/>
      <c r="I158" s="286"/>
      <c r="J158" s="286"/>
      <c r="K158" s="286"/>
      <c r="L158" s="286"/>
      <c r="M158" s="286"/>
      <c r="N158" s="286"/>
    </row>
    <row r="159">
      <c r="A159" s="286"/>
      <c r="B159" s="286"/>
      <c r="C159" s="286"/>
      <c r="D159" s="286"/>
      <c r="E159" s="306"/>
      <c r="F159" s="306"/>
      <c r="G159" s="286"/>
      <c r="H159" s="286"/>
      <c r="I159" s="286"/>
      <c r="J159" s="286"/>
      <c r="K159" s="286"/>
      <c r="L159" s="286"/>
      <c r="M159" s="286"/>
      <c r="N159" s="286"/>
    </row>
    <row r="160">
      <c r="A160" s="286"/>
      <c r="B160" s="286"/>
      <c r="C160" s="286"/>
      <c r="D160" s="286"/>
      <c r="E160" s="306"/>
      <c r="F160" s="306"/>
      <c r="G160" s="286"/>
      <c r="H160" s="286"/>
      <c r="I160" s="286"/>
      <c r="J160" s="286"/>
      <c r="K160" s="286"/>
      <c r="L160" s="286"/>
      <c r="M160" s="286"/>
      <c r="N160" s="286"/>
    </row>
    <row r="161">
      <c r="A161" s="286"/>
      <c r="B161" s="286"/>
      <c r="C161" s="286"/>
      <c r="D161" s="286"/>
      <c r="E161" s="306"/>
      <c r="F161" s="306"/>
      <c r="G161" s="286"/>
      <c r="H161" s="286"/>
      <c r="I161" s="286"/>
      <c r="J161" s="286"/>
      <c r="K161" s="286"/>
      <c r="L161" s="286"/>
      <c r="M161" s="286"/>
      <c r="N161" s="286"/>
    </row>
    <row r="162">
      <c r="A162" s="286"/>
      <c r="B162" s="286"/>
      <c r="C162" s="286"/>
      <c r="D162" s="286"/>
      <c r="E162" s="306"/>
      <c r="F162" s="306"/>
      <c r="G162" s="286"/>
      <c r="H162" s="286"/>
      <c r="I162" s="286"/>
      <c r="J162" s="286"/>
      <c r="K162" s="286"/>
      <c r="L162" s="286"/>
      <c r="M162" s="286"/>
      <c r="N162" s="286"/>
    </row>
    <row r="163">
      <c r="A163" s="286"/>
      <c r="B163" s="286"/>
      <c r="C163" s="286"/>
      <c r="D163" s="286"/>
      <c r="E163" s="306"/>
      <c r="F163" s="306"/>
      <c r="G163" s="286"/>
      <c r="H163" s="286"/>
      <c r="I163" s="286"/>
      <c r="J163" s="286"/>
      <c r="K163" s="286"/>
      <c r="L163" s="286"/>
      <c r="M163" s="286"/>
      <c r="N163" s="286"/>
    </row>
    <row r="164">
      <c r="A164" s="286"/>
      <c r="B164" s="286"/>
      <c r="C164" s="286"/>
      <c r="D164" s="286"/>
      <c r="E164" s="306"/>
      <c r="F164" s="306"/>
      <c r="G164" s="286"/>
      <c r="H164" s="286"/>
      <c r="I164" s="286"/>
      <c r="J164" s="286"/>
      <c r="K164" s="286"/>
      <c r="L164" s="286"/>
      <c r="M164" s="286"/>
      <c r="N164" s="286"/>
    </row>
    <row r="165">
      <c r="A165" s="286"/>
      <c r="B165" s="286"/>
      <c r="C165" s="286"/>
      <c r="D165" s="286"/>
      <c r="E165" s="306"/>
      <c r="F165" s="306"/>
      <c r="G165" s="286"/>
      <c r="H165" s="286"/>
      <c r="I165" s="286"/>
      <c r="J165" s="286"/>
      <c r="K165" s="286"/>
      <c r="L165" s="286"/>
      <c r="M165" s="286"/>
      <c r="N165" s="286"/>
    </row>
    <row r="166">
      <c r="A166" s="286"/>
      <c r="B166" s="286"/>
      <c r="C166" s="286"/>
      <c r="D166" s="286"/>
      <c r="E166" s="306"/>
      <c r="F166" s="306"/>
      <c r="G166" s="286"/>
      <c r="H166" s="286"/>
      <c r="I166" s="286"/>
      <c r="J166" s="286"/>
      <c r="K166" s="286"/>
      <c r="L166" s="286"/>
      <c r="M166" s="286"/>
      <c r="N166" s="286"/>
    </row>
    <row r="167">
      <c r="A167" s="286"/>
      <c r="B167" s="286"/>
      <c r="C167" s="286"/>
      <c r="D167" s="286"/>
      <c r="E167" s="306"/>
      <c r="F167" s="306"/>
      <c r="G167" s="286"/>
      <c r="H167" s="286"/>
      <c r="I167" s="286"/>
      <c r="J167" s="286"/>
      <c r="K167" s="286"/>
      <c r="L167" s="286"/>
      <c r="M167" s="286"/>
      <c r="N167" s="286"/>
    </row>
    <row r="168">
      <c r="A168" s="286"/>
      <c r="B168" s="286"/>
      <c r="C168" s="286"/>
      <c r="D168" s="286"/>
      <c r="E168" s="306"/>
      <c r="F168" s="306"/>
      <c r="G168" s="286"/>
      <c r="H168" s="286"/>
      <c r="I168" s="286"/>
      <c r="J168" s="286"/>
      <c r="K168" s="286"/>
      <c r="L168" s="286"/>
      <c r="M168" s="286"/>
      <c r="N168" s="286"/>
    </row>
    <row r="169">
      <c r="A169" s="286"/>
      <c r="B169" s="286"/>
      <c r="C169" s="286"/>
      <c r="D169" s="286"/>
      <c r="E169" s="306"/>
      <c r="F169" s="306"/>
      <c r="G169" s="286"/>
      <c r="H169" s="286"/>
      <c r="I169" s="286"/>
      <c r="J169" s="286"/>
      <c r="K169" s="286"/>
      <c r="L169" s="286"/>
      <c r="M169" s="286"/>
      <c r="N169" s="286"/>
    </row>
    <row r="170">
      <c r="A170" s="286"/>
      <c r="B170" s="286"/>
      <c r="C170" s="286"/>
      <c r="D170" s="286"/>
      <c r="E170" s="306"/>
      <c r="F170" s="306"/>
      <c r="G170" s="286"/>
      <c r="H170" s="286"/>
      <c r="I170" s="286"/>
      <c r="J170" s="286"/>
      <c r="K170" s="286"/>
      <c r="L170" s="286"/>
      <c r="M170" s="286"/>
      <c r="N170" s="286"/>
    </row>
    <row r="171">
      <c r="A171" s="286"/>
      <c r="B171" s="286"/>
      <c r="C171" s="286"/>
      <c r="D171" s="286"/>
      <c r="E171" s="306"/>
      <c r="F171" s="306"/>
      <c r="G171" s="286"/>
      <c r="H171" s="286"/>
      <c r="I171" s="286"/>
      <c r="J171" s="286"/>
      <c r="K171" s="286"/>
      <c r="L171" s="286"/>
      <c r="M171" s="286"/>
      <c r="N171" s="286"/>
    </row>
    <row r="172">
      <c r="A172" s="286"/>
      <c r="B172" s="286"/>
      <c r="C172" s="286"/>
      <c r="D172" s="286"/>
      <c r="E172" s="306"/>
      <c r="F172" s="306"/>
      <c r="G172" s="286"/>
      <c r="H172" s="286"/>
      <c r="I172" s="286"/>
      <c r="J172" s="286"/>
      <c r="K172" s="286"/>
      <c r="L172" s="286"/>
      <c r="M172" s="286"/>
      <c r="N172" s="286"/>
    </row>
    <row r="173">
      <c r="A173" s="286"/>
      <c r="B173" s="286"/>
      <c r="C173" s="286"/>
      <c r="D173" s="286"/>
      <c r="E173" s="306"/>
      <c r="F173" s="306"/>
      <c r="G173" s="286"/>
      <c r="H173" s="286"/>
      <c r="I173" s="286"/>
      <c r="J173" s="286"/>
      <c r="K173" s="286"/>
      <c r="L173" s="286"/>
      <c r="M173" s="286"/>
      <c r="N173" s="286"/>
    </row>
    <row r="174">
      <c r="A174" s="286"/>
      <c r="B174" s="286"/>
      <c r="C174" s="286"/>
      <c r="D174" s="286"/>
      <c r="E174" s="306"/>
      <c r="F174" s="306"/>
      <c r="G174" s="286"/>
      <c r="H174" s="286"/>
      <c r="I174" s="286"/>
      <c r="J174" s="286"/>
      <c r="K174" s="286"/>
      <c r="L174" s="286"/>
      <c r="M174" s="286"/>
      <c r="N174" s="286"/>
    </row>
    <row r="175">
      <c r="A175" s="286"/>
      <c r="B175" s="286"/>
      <c r="C175" s="286"/>
      <c r="D175" s="286"/>
      <c r="E175" s="306"/>
      <c r="F175" s="306"/>
      <c r="G175" s="286"/>
      <c r="H175" s="286"/>
      <c r="I175" s="286"/>
      <c r="J175" s="286"/>
      <c r="K175" s="286"/>
      <c r="L175" s="286"/>
      <c r="M175" s="286"/>
      <c r="N175" s="286"/>
    </row>
    <row r="176">
      <c r="A176" s="286"/>
      <c r="B176" s="286"/>
      <c r="C176" s="286"/>
      <c r="D176" s="286"/>
      <c r="E176" s="306"/>
      <c r="F176" s="306"/>
      <c r="G176" s="286"/>
      <c r="H176" s="286"/>
      <c r="I176" s="286"/>
      <c r="J176" s="286"/>
      <c r="K176" s="286"/>
      <c r="L176" s="286"/>
      <c r="M176" s="286"/>
      <c r="N176" s="286"/>
    </row>
    <row r="177">
      <c r="A177" s="286"/>
      <c r="B177" s="286"/>
      <c r="C177" s="286"/>
      <c r="D177" s="286"/>
      <c r="E177" s="306"/>
      <c r="F177" s="306"/>
      <c r="G177" s="286"/>
      <c r="H177" s="286"/>
      <c r="I177" s="286"/>
      <c r="J177" s="286"/>
      <c r="K177" s="286"/>
      <c r="L177" s="286"/>
      <c r="M177" s="286"/>
      <c r="N177" s="286"/>
    </row>
    <row r="178">
      <c r="A178" s="286"/>
      <c r="B178" s="286"/>
      <c r="C178" s="286"/>
      <c r="D178" s="286"/>
      <c r="E178" s="306"/>
      <c r="F178" s="306"/>
      <c r="G178" s="286"/>
      <c r="H178" s="286"/>
      <c r="I178" s="286"/>
      <c r="J178" s="286"/>
      <c r="K178" s="286"/>
      <c r="L178" s="286"/>
      <c r="M178" s="286"/>
      <c r="N178" s="286"/>
    </row>
    <row r="179">
      <c r="A179" s="286"/>
      <c r="B179" s="286"/>
      <c r="C179" s="286"/>
      <c r="D179" s="286"/>
      <c r="E179" s="306"/>
      <c r="F179" s="306"/>
      <c r="G179" s="286"/>
      <c r="H179" s="286"/>
      <c r="I179" s="286"/>
      <c r="J179" s="286"/>
      <c r="K179" s="286"/>
      <c r="L179" s="286"/>
      <c r="M179" s="286"/>
      <c r="N179" s="286"/>
    </row>
    <row r="180">
      <c r="A180" s="286"/>
      <c r="B180" s="286"/>
      <c r="C180" s="286"/>
      <c r="D180" s="286"/>
      <c r="E180" s="306"/>
      <c r="F180" s="306"/>
      <c r="G180" s="286"/>
      <c r="H180" s="286"/>
      <c r="I180" s="286"/>
      <c r="J180" s="286"/>
      <c r="K180" s="286"/>
      <c r="L180" s="286"/>
      <c r="M180" s="286"/>
      <c r="N180" s="286"/>
    </row>
    <row r="181">
      <c r="A181" s="286"/>
      <c r="B181" s="286"/>
      <c r="C181" s="286"/>
      <c r="D181" s="286"/>
      <c r="E181" s="306"/>
      <c r="F181" s="306"/>
      <c r="G181" s="286"/>
      <c r="H181" s="286"/>
      <c r="I181" s="286"/>
      <c r="J181" s="286"/>
      <c r="K181" s="286"/>
      <c r="L181" s="286"/>
      <c r="M181" s="286"/>
      <c r="N181" s="286"/>
    </row>
    <row r="182">
      <c r="A182" s="286"/>
      <c r="B182" s="286"/>
      <c r="C182" s="286"/>
      <c r="D182" s="286"/>
      <c r="E182" s="306"/>
      <c r="F182" s="306"/>
      <c r="G182" s="286"/>
      <c r="H182" s="286"/>
      <c r="I182" s="286"/>
      <c r="J182" s="286"/>
      <c r="K182" s="286"/>
      <c r="L182" s="286"/>
      <c r="M182" s="286"/>
      <c r="N182" s="286"/>
    </row>
    <row r="183">
      <c r="A183" s="286"/>
      <c r="B183" s="286"/>
      <c r="C183" s="286"/>
      <c r="D183" s="286"/>
      <c r="E183" s="306"/>
      <c r="F183" s="306"/>
      <c r="G183" s="286"/>
      <c r="H183" s="286"/>
      <c r="I183" s="286"/>
      <c r="J183" s="286"/>
      <c r="K183" s="286"/>
      <c r="L183" s="286"/>
      <c r="M183" s="286"/>
      <c r="N183" s="286"/>
    </row>
    <row r="184">
      <c r="A184" s="286"/>
      <c r="B184" s="286"/>
      <c r="C184" s="286"/>
      <c r="D184" s="286"/>
      <c r="E184" s="306"/>
      <c r="F184" s="306"/>
      <c r="G184" s="286"/>
      <c r="H184" s="286"/>
      <c r="I184" s="286"/>
      <c r="J184" s="286"/>
      <c r="K184" s="286"/>
      <c r="L184" s="286"/>
      <c r="M184" s="286"/>
      <c r="N184" s="286"/>
    </row>
    <row r="185">
      <c r="A185" s="286"/>
      <c r="B185" s="286"/>
      <c r="C185" s="286"/>
      <c r="D185" s="286"/>
      <c r="E185" s="306"/>
      <c r="F185" s="306"/>
      <c r="G185" s="286"/>
      <c r="H185" s="286"/>
      <c r="I185" s="286"/>
      <c r="J185" s="286"/>
      <c r="K185" s="286"/>
      <c r="L185" s="286"/>
      <c r="M185" s="286"/>
      <c r="N185" s="286"/>
    </row>
    <row r="186">
      <c r="A186" s="286"/>
      <c r="B186" s="286"/>
      <c r="C186" s="286"/>
      <c r="D186" s="286"/>
      <c r="E186" s="306"/>
      <c r="F186" s="306"/>
      <c r="G186" s="286"/>
      <c r="H186" s="286"/>
      <c r="I186" s="286"/>
      <c r="J186" s="286"/>
      <c r="K186" s="286"/>
      <c r="L186" s="286"/>
      <c r="M186" s="286"/>
      <c r="N186" s="286"/>
    </row>
    <row r="187">
      <c r="A187" s="286"/>
      <c r="B187" s="286"/>
      <c r="C187" s="286"/>
      <c r="D187" s="286"/>
      <c r="E187" s="306"/>
      <c r="F187" s="306"/>
      <c r="G187" s="286"/>
      <c r="H187" s="286"/>
      <c r="I187" s="286"/>
      <c r="J187" s="286"/>
      <c r="K187" s="286"/>
      <c r="L187" s="286"/>
      <c r="M187" s="286"/>
      <c r="N187" s="286"/>
    </row>
    <row r="188">
      <c r="A188" s="286"/>
      <c r="B188" s="286"/>
      <c r="C188" s="286"/>
      <c r="D188" s="286"/>
      <c r="E188" s="306"/>
      <c r="F188" s="306"/>
      <c r="G188" s="286"/>
      <c r="H188" s="286"/>
      <c r="I188" s="286"/>
      <c r="J188" s="286"/>
      <c r="K188" s="286"/>
      <c r="L188" s="286"/>
      <c r="M188" s="286"/>
      <c r="N188" s="286"/>
    </row>
    <row r="189">
      <c r="A189" s="286"/>
      <c r="B189" s="286"/>
      <c r="C189" s="286"/>
      <c r="D189" s="286"/>
      <c r="E189" s="306"/>
      <c r="F189" s="306"/>
      <c r="G189" s="286"/>
      <c r="H189" s="286"/>
      <c r="I189" s="286"/>
      <c r="J189" s="286"/>
      <c r="K189" s="286"/>
      <c r="L189" s="286"/>
      <c r="M189" s="286"/>
      <c r="N189" s="286"/>
    </row>
    <row r="190">
      <c r="A190" s="286"/>
      <c r="B190" s="286"/>
      <c r="C190" s="286"/>
      <c r="D190" s="286"/>
      <c r="E190" s="306"/>
      <c r="F190" s="306"/>
      <c r="G190" s="286"/>
      <c r="H190" s="286"/>
      <c r="I190" s="286"/>
      <c r="J190" s="286"/>
      <c r="K190" s="286"/>
      <c r="L190" s="286"/>
      <c r="M190" s="286"/>
      <c r="N190" s="286"/>
    </row>
    <row r="191">
      <c r="A191" s="286"/>
      <c r="B191" s="286"/>
      <c r="C191" s="286"/>
      <c r="D191" s="286"/>
      <c r="E191" s="306"/>
      <c r="F191" s="306"/>
      <c r="G191" s="286"/>
      <c r="H191" s="286"/>
      <c r="I191" s="286"/>
      <c r="J191" s="286"/>
      <c r="K191" s="286"/>
      <c r="L191" s="286"/>
      <c r="M191" s="286"/>
      <c r="N191" s="286"/>
    </row>
    <row r="192">
      <c r="A192" s="286"/>
      <c r="B192" s="286"/>
      <c r="C192" s="286"/>
      <c r="D192" s="286"/>
      <c r="E192" s="306"/>
      <c r="F192" s="306"/>
      <c r="G192" s="286"/>
      <c r="H192" s="286"/>
      <c r="I192" s="286"/>
      <c r="J192" s="286"/>
      <c r="K192" s="286"/>
      <c r="L192" s="286"/>
      <c r="M192" s="286"/>
      <c r="N192" s="286"/>
    </row>
    <row r="193">
      <c r="A193" s="286"/>
      <c r="B193" s="286"/>
      <c r="C193" s="286"/>
      <c r="D193" s="286"/>
      <c r="E193" s="306"/>
      <c r="F193" s="306"/>
      <c r="G193" s="286"/>
      <c r="H193" s="286"/>
      <c r="I193" s="286"/>
      <c r="J193" s="286"/>
      <c r="K193" s="286"/>
      <c r="L193" s="286"/>
      <c r="M193" s="286"/>
      <c r="N193" s="286"/>
    </row>
    <row r="194">
      <c r="A194" s="286"/>
      <c r="B194" s="286"/>
      <c r="C194" s="286"/>
      <c r="D194" s="286"/>
      <c r="E194" s="306"/>
      <c r="F194" s="306"/>
      <c r="G194" s="286"/>
      <c r="H194" s="286"/>
      <c r="I194" s="286"/>
      <c r="J194" s="286"/>
      <c r="K194" s="286"/>
      <c r="L194" s="286"/>
      <c r="M194" s="286"/>
      <c r="N194" s="286"/>
    </row>
    <row r="195">
      <c r="A195" s="286"/>
      <c r="B195" s="286"/>
      <c r="C195" s="286"/>
      <c r="D195" s="286"/>
      <c r="E195" s="306"/>
      <c r="F195" s="306"/>
      <c r="G195" s="286"/>
      <c r="H195" s="286"/>
      <c r="I195" s="286"/>
      <c r="J195" s="286"/>
      <c r="K195" s="286"/>
      <c r="L195" s="286"/>
      <c r="M195" s="286"/>
      <c r="N195" s="286"/>
    </row>
    <row r="196">
      <c r="A196" s="286"/>
      <c r="B196" s="286"/>
      <c r="C196" s="286"/>
      <c r="D196" s="286"/>
      <c r="E196" s="306"/>
      <c r="F196" s="306"/>
      <c r="G196" s="286"/>
      <c r="H196" s="286"/>
      <c r="I196" s="286"/>
      <c r="J196" s="286"/>
      <c r="K196" s="286"/>
      <c r="L196" s="286"/>
      <c r="M196" s="286"/>
      <c r="N196" s="286"/>
    </row>
    <row r="197">
      <c r="A197" s="286"/>
      <c r="B197" s="286"/>
      <c r="C197" s="286"/>
      <c r="D197" s="286"/>
      <c r="E197" s="306"/>
      <c r="F197" s="306"/>
      <c r="G197" s="286"/>
      <c r="H197" s="286"/>
      <c r="I197" s="286"/>
      <c r="J197" s="286"/>
      <c r="K197" s="286"/>
      <c r="L197" s="286"/>
      <c r="M197" s="286"/>
      <c r="N197" s="286"/>
    </row>
    <row r="198">
      <c r="A198" s="286"/>
      <c r="B198" s="286"/>
      <c r="C198" s="286"/>
      <c r="D198" s="286"/>
      <c r="E198" s="306"/>
      <c r="F198" s="306"/>
      <c r="G198" s="286"/>
      <c r="H198" s="286"/>
      <c r="I198" s="286"/>
      <c r="J198" s="286"/>
      <c r="K198" s="286"/>
      <c r="L198" s="286"/>
      <c r="M198" s="286"/>
      <c r="N198" s="286"/>
    </row>
    <row r="199">
      <c r="A199" s="286"/>
      <c r="B199" s="286"/>
      <c r="C199" s="286"/>
      <c r="D199" s="286"/>
      <c r="E199" s="306"/>
      <c r="F199" s="306"/>
      <c r="G199" s="286"/>
      <c r="H199" s="286"/>
      <c r="I199" s="286"/>
      <c r="J199" s="286"/>
      <c r="K199" s="286"/>
      <c r="L199" s="286"/>
      <c r="M199" s="286"/>
      <c r="N199" s="286"/>
    </row>
    <row r="200">
      <c r="A200" s="286"/>
      <c r="B200" s="286"/>
      <c r="C200" s="286"/>
      <c r="D200" s="286"/>
      <c r="E200" s="306"/>
      <c r="F200" s="306"/>
      <c r="G200" s="286"/>
      <c r="H200" s="286"/>
      <c r="I200" s="286"/>
      <c r="J200" s="286"/>
      <c r="K200" s="286"/>
      <c r="L200" s="286"/>
      <c r="M200" s="286"/>
      <c r="N200" s="286"/>
    </row>
    <row r="201">
      <c r="A201" s="286"/>
      <c r="B201" s="286"/>
      <c r="C201" s="286"/>
      <c r="D201" s="286"/>
      <c r="E201" s="306"/>
      <c r="F201" s="306"/>
      <c r="G201" s="286"/>
      <c r="H201" s="286"/>
      <c r="I201" s="286"/>
      <c r="J201" s="286"/>
      <c r="K201" s="286"/>
      <c r="L201" s="286"/>
      <c r="M201" s="286"/>
      <c r="N201" s="286"/>
    </row>
    <row r="202">
      <c r="A202" s="286"/>
      <c r="B202" s="286"/>
      <c r="C202" s="286"/>
      <c r="D202" s="286"/>
      <c r="E202" s="306"/>
      <c r="F202" s="306"/>
      <c r="G202" s="286"/>
      <c r="H202" s="286"/>
      <c r="I202" s="286"/>
      <c r="J202" s="286"/>
      <c r="K202" s="286"/>
      <c r="L202" s="286"/>
      <c r="M202" s="286"/>
      <c r="N202" s="286"/>
    </row>
    <row r="203">
      <c r="A203" s="286"/>
      <c r="B203" s="286"/>
      <c r="C203" s="286"/>
      <c r="D203" s="286"/>
      <c r="E203" s="306"/>
      <c r="F203" s="306"/>
      <c r="G203" s="286"/>
      <c r="H203" s="286"/>
      <c r="I203" s="286"/>
      <c r="J203" s="286"/>
      <c r="K203" s="286"/>
      <c r="L203" s="286"/>
      <c r="M203" s="286"/>
      <c r="N203" s="286"/>
    </row>
    <row r="204">
      <c r="A204" s="286"/>
      <c r="B204" s="286"/>
      <c r="C204" s="286"/>
      <c r="D204" s="286"/>
      <c r="E204" s="306"/>
      <c r="F204" s="306"/>
      <c r="G204" s="286"/>
      <c r="H204" s="286"/>
      <c r="I204" s="286"/>
      <c r="J204" s="286"/>
      <c r="K204" s="286"/>
      <c r="L204" s="286"/>
      <c r="M204" s="286"/>
      <c r="N204" s="286"/>
    </row>
    <row r="205">
      <c r="A205" s="286"/>
      <c r="B205" s="286"/>
      <c r="C205" s="286"/>
      <c r="D205" s="286"/>
      <c r="E205" s="306"/>
      <c r="F205" s="306"/>
      <c r="G205" s="286"/>
      <c r="H205" s="286"/>
      <c r="I205" s="286"/>
      <c r="J205" s="286"/>
      <c r="K205" s="286"/>
      <c r="L205" s="286"/>
      <c r="M205" s="286"/>
      <c r="N205" s="286"/>
    </row>
    <row r="206">
      <c r="A206" s="286"/>
      <c r="B206" s="286"/>
      <c r="C206" s="286"/>
      <c r="D206" s="286"/>
      <c r="E206" s="306"/>
      <c r="F206" s="306"/>
      <c r="G206" s="286"/>
      <c r="H206" s="286"/>
      <c r="I206" s="286"/>
      <c r="J206" s="286"/>
      <c r="K206" s="286"/>
      <c r="L206" s="286"/>
      <c r="M206" s="286"/>
      <c r="N206" s="286"/>
    </row>
    <row r="207">
      <c r="A207" s="286"/>
      <c r="B207" s="286"/>
      <c r="C207" s="286"/>
      <c r="D207" s="286"/>
      <c r="E207" s="306"/>
      <c r="F207" s="306"/>
      <c r="G207" s="286"/>
      <c r="H207" s="286"/>
      <c r="I207" s="286"/>
      <c r="J207" s="286"/>
      <c r="K207" s="286"/>
      <c r="L207" s="286"/>
      <c r="M207" s="286"/>
      <c r="N207" s="286"/>
    </row>
    <row r="208">
      <c r="A208" s="286"/>
      <c r="B208" s="286"/>
      <c r="C208" s="286"/>
      <c r="D208" s="286"/>
      <c r="E208" s="306"/>
      <c r="F208" s="306"/>
      <c r="G208" s="286"/>
      <c r="H208" s="286"/>
      <c r="I208" s="286"/>
      <c r="J208" s="286"/>
      <c r="K208" s="286"/>
      <c r="L208" s="286"/>
      <c r="M208" s="286"/>
      <c r="N208" s="286"/>
    </row>
    <row r="209">
      <c r="A209" s="286"/>
      <c r="B209" s="286"/>
      <c r="C209" s="286"/>
      <c r="D209" s="286"/>
      <c r="E209" s="306"/>
      <c r="F209" s="306"/>
      <c r="G209" s="286"/>
      <c r="H209" s="286"/>
      <c r="I209" s="286"/>
      <c r="J209" s="286"/>
      <c r="K209" s="286"/>
      <c r="L209" s="286"/>
      <c r="M209" s="286"/>
      <c r="N209" s="286"/>
    </row>
    <row r="210">
      <c r="A210" s="286"/>
      <c r="B210" s="286"/>
      <c r="C210" s="286"/>
      <c r="D210" s="286"/>
      <c r="E210" s="306"/>
      <c r="F210" s="306"/>
      <c r="G210" s="286"/>
      <c r="H210" s="286"/>
      <c r="I210" s="286"/>
      <c r="J210" s="286"/>
      <c r="K210" s="286"/>
      <c r="L210" s="286"/>
      <c r="M210" s="286"/>
      <c r="N210" s="286"/>
    </row>
    <row r="211">
      <c r="A211" s="286"/>
      <c r="B211" s="286"/>
      <c r="C211" s="286"/>
      <c r="D211" s="286"/>
      <c r="E211" s="306"/>
      <c r="F211" s="306"/>
      <c r="G211" s="286"/>
      <c r="H211" s="286"/>
      <c r="I211" s="286"/>
      <c r="J211" s="286"/>
      <c r="K211" s="286"/>
      <c r="L211" s="286"/>
      <c r="M211" s="286"/>
      <c r="N211" s="286"/>
    </row>
    <row r="212">
      <c r="A212" s="286"/>
      <c r="B212" s="286"/>
      <c r="C212" s="286"/>
      <c r="D212" s="286"/>
      <c r="E212" s="306"/>
      <c r="F212" s="306"/>
      <c r="G212" s="286"/>
      <c r="H212" s="286"/>
      <c r="I212" s="286"/>
      <c r="J212" s="286"/>
      <c r="K212" s="286"/>
      <c r="L212" s="286"/>
      <c r="M212" s="286"/>
      <c r="N212" s="286"/>
    </row>
    <row r="213">
      <c r="A213" s="286"/>
      <c r="B213" s="286"/>
      <c r="C213" s="286"/>
      <c r="D213" s="286"/>
      <c r="E213" s="306"/>
      <c r="F213" s="306"/>
      <c r="G213" s="286"/>
      <c r="H213" s="286"/>
      <c r="I213" s="286"/>
      <c r="J213" s="286"/>
      <c r="K213" s="286"/>
      <c r="L213" s="286"/>
      <c r="M213" s="286"/>
      <c r="N213" s="286"/>
    </row>
    <row r="214">
      <c r="A214" s="286"/>
      <c r="B214" s="286"/>
      <c r="C214" s="286"/>
      <c r="D214" s="286"/>
      <c r="E214" s="306"/>
      <c r="F214" s="306"/>
      <c r="G214" s="286"/>
      <c r="H214" s="286"/>
      <c r="I214" s="286"/>
      <c r="J214" s="286"/>
      <c r="K214" s="286"/>
      <c r="L214" s="286"/>
      <c r="M214" s="286"/>
      <c r="N214" s="286"/>
    </row>
    <row r="215">
      <c r="A215" s="286"/>
      <c r="B215" s="286"/>
      <c r="C215" s="286"/>
      <c r="D215" s="286"/>
      <c r="E215" s="306"/>
      <c r="F215" s="306"/>
      <c r="G215" s="286"/>
      <c r="H215" s="286"/>
      <c r="I215" s="286"/>
      <c r="J215" s="286"/>
      <c r="K215" s="286"/>
      <c r="L215" s="286"/>
      <c r="M215" s="286"/>
      <c r="N215" s="286"/>
    </row>
    <row r="216">
      <c r="A216" s="286"/>
      <c r="B216" s="286"/>
      <c r="C216" s="286"/>
      <c r="D216" s="286"/>
      <c r="E216" s="306"/>
      <c r="F216" s="306"/>
      <c r="G216" s="286"/>
      <c r="H216" s="286"/>
      <c r="I216" s="286"/>
      <c r="J216" s="286"/>
      <c r="K216" s="286"/>
      <c r="L216" s="286"/>
      <c r="M216" s="286"/>
      <c r="N216" s="286"/>
    </row>
    <row r="217">
      <c r="A217" s="286"/>
      <c r="B217" s="286"/>
      <c r="C217" s="286"/>
      <c r="D217" s="286"/>
      <c r="E217" s="306"/>
      <c r="F217" s="306"/>
      <c r="G217" s="286"/>
      <c r="H217" s="286"/>
      <c r="I217" s="286"/>
      <c r="J217" s="286"/>
      <c r="K217" s="286"/>
      <c r="L217" s="286"/>
      <c r="M217" s="286"/>
      <c r="N217" s="286"/>
    </row>
    <row r="218">
      <c r="A218" s="286"/>
      <c r="B218" s="286"/>
      <c r="C218" s="286"/>
      <c r="D218" s="286"/>
      <c r="E218" s="306"/>
      <c r="F218" s="306"/>
      <c r="G218" s="286"/>
      <c r="H218" s="286"/>
      <c r="I218" s="286"/>
      <c r="J218" s="286"/>
      <c r="K218" s="286"/>
      <c r="L218" s="286"/>
      <c r="M218" s="286"/>
      <c r="N218" s="286"/>
    </row>
    <row r="219">
      <c r="A219" s="286"/>
      <c r="B219" s="286"/>
      <c r="C219" s="286"/>
      <c r="D219" s="286"/>
      <c r="E219" s="306"/>
      <c r="F219" s="306"/>
      <c r="G219" s="286"/>
      <c r="H219" s="286"/>
      <c r="I219" s="286"/>
      <c r="J219" s="286"/>
      <c r="K219" s="286"/>
      <c r="L219" s="286"/>
      <c r="M219" s="286"/>
      <c r="N219" s="286"/>
    </row>
    <row r="220">
      <c r="A220" s="286"/>
      <c r="B220" s="286"/>
      <c r="C220" s="286"/>
      <c r="D220" s="286"/>
      <c r="E220" s="306"/>
      <c r="F220" s="306"/>
      <c r="G220" s="286"/>
      <c r="H220" s="286"/>
      <c r="I220" s="286"/>
      <c r="J220" s="286"/>
      <c r="K220" s="286"/>
      <c r="L220" s="286"/>
      <c r="M220" s="286"/>
      <c r="N220" s="286"/>
    </row>
    <row r="221">
      <c r="A221" s="286"/>
      <c r="B221" s="286"/>
      <c r="C221" s="286"/>
      <c r="D221" s="286"/>
      <c r="E221" s="306"/>
      <c r="F221" s="306"/>
      <c r="G221" s="286"/>
      <c r="H221" s="286"/>
      <c r="I221" s="286"/>
      <c r="J221" s="286"/>
      <c r="K221" s="286"/>
      <c r="L221" s="286"/>
      <c r="M221" s="286"/>
      <c r="N221" s="286"/>
    </row>
    <row r="222">
      <c r="A222" s="286"/>
      <c r="B222" s="286"/>
      <c r="C222" s="286"/>
      <c r="D222" s="286"/>
      <c r="E222" s="306"/>
      <c r="F222" s="306"/>
      <c r="G222" s="286"/>
      <c r="H222" s="286"/>
      <c r="I222" s="286"/>
      <c r="J222" s="286"/>
      <c r="K222" s="286"/>
      <c r="L222" s="286"/>
      <c r="M222" s="286"/>
      <c r="N222" s="286"/>
    </row>
    <row r="223">
      <c r="A223" s="286"/>
      <c r="B223" s="286"/>
      <c r="C223" s="286"/>
      <c r="D223" s="286"/>
      <c r="E223" s="306"/>
      <c r="F223" s="306"/>
      <c r="G223" s="286"/>
      <c r="H223" s="286"/>
      <c r="I223" s="286"/>
      <c r="J223" s="286"/>
      <c r="K223" s="286"/>
      <c r="L223" s="286"/>
      <c r="M223" s="286"/>
      <c r="N223" s="286"/>
    </row>
    <row r="224">
      <c r="A224" s="286"/>
      <c r="B224" s="286"/>
      <c r="C224" s="286"/>
      <c r="D224" s="286"/>
      <c r="E224" s="306"/>
      <c r="F224" s="306"/>
      <c r="G224" s="286"/>
      <c r="H224" s="286"/>
      <c r="I224" s="286"/>
      <c r="J224" s="286"/>
      <c r="K224" s="286"/>
      <c r="L224" s="286"/>
      <c r="M224" s="286"/>
      <c r="N224" s="286"/>
    </row>
    <row r="225">
      <c r="A225" s="286"/>
      <c r="B225" s="286"/>
      <c r="C225" s="286"/>
      <c r="D225" s="286"/>
      <c r="E225" s="306"/>
      <c r="F225" s="306"/>
      <c r="G225" s="286"/>
      <c r="H225" s="286"/>
      <c r="I225" s="286"/>
      <c r="J225" s="286"/>
      <c r="K225" s="286"/>
      <c r="L225" s="286"/>
      <c r="M225" s="286"/>
      <c r="N225" s="286"/>
    </row>
    <row r="226">
      <c r="A226" s="286"/>
      <c r="B226" s="286"/>
      <c r="C226" s="286"/>
      <c r="D226" s="286"/>
      <c r="E226" s="306"/>
      <c r="F226" s="306"/>
      <c r="G226" s="286"/>
      <c r="H226" s="286"/>
      <c r="I226" s="286"/>
      <c r="J226" s="286"/>
      <c r="K226" s="286"/>
      <c r="L226" s="286"/>
      <c r="M226" s="286"/>
      <c r="N226" s="286"/>
    </row>
    <row r="227">
      <c r="A227" s="286"/>
      <c r="B227" s="286"/>
      <c r="C227" s="286"/>
      <c r="D227" s="286"/>
      <c r="E227" s="306"/>
      <c r="F227" s="306"/>
      <c r="G227" s="286"/>
      <c r="H227" s="286"/>
      <c r="I227" s="286"/>
      <c r="J227" s="286"/>
      <c r="K227" s="286"/>
      <c r="L227" s="286"/>
      <c r="M227" s="286"/>
      <c r="N227" s="286"/>
    </row>
    <row r="228">
      <c r="A228" s="286"/>
      <c r="B228" s="286"/>
      <c r="C228" s="286"/>
      <c r="D228" s="286"/>
      <c r="E228" s="306"/>
      <c r="F228" s="306"/>
      <c r="G228" s="286"/>
      <c r="H228" s="286"/>
      <c r="I228" s="286"/>
      <c r="J228" s="286"/>
      <c r="K228" s="286"/>
      <c r="L228" s="286"/>
      <c r="M228" s="286"/>
      <c r="N228" s="286"/>
    </row>
    <row r="229">
      <c r="A229" s="286"/>
      <c r="B229" s="286"/>
      <c r="C229" s="286"/>
      <c r="D229" s="286"/>
      <c r="E229" s="306"/>
      <c r="F229" s="306"/>
      <c r="G229" s="286"/>
      <c r="H229" s="286"/>
      <c r="I229" s="286"/>
      <c r="J229" s="286"/>
      <c r="K229" s="286"/>
      <c r="L229" s="286"/>
      <c r="M229" s="286"/>
      <c r="N229" s="286"/>
    </row>
    <row r="230">
      <c r="A230" s="286"/>
      <c r="B230" s="286"/>
      <c r="C230" s="286"/>
      <c r="D230" s="286"/>
      <c r="E230" s="306"/>
      <c r="F230" s="306"/>
      <c r="G230" s="286"/>
      <c r="H230" s="286"/>
      <c r="I230" s="286"/>
      <c r="J230" s="286"/>
      <c r="K230" s="286"/>
      <c r="L230" s="286"/>
      <c r="M230" s="286"/>
      <c r="N230" s="286"/>
    </row>
    <row r="231">
      <c r="A231" s="286"/>
      <c r="B231" s="286"/>
      <c r="C231" s="286"/>
      <c r="D231" s="286"/>
      <c r="E231" s="306"/>
      <c r="F231" s="306"/>
      <c r="G231" s="286"/>
      <c r="H231" s="286"/>
      <c r="I231" s="286"/>
      <c r="J231" s="286"/>
      <c r="K231" s="286"/>
      <c r="L231" s="286"/>
      <c r="M231" s="286"/>
      <c r="N231" s="286"/>
    </row>
    <row r="232">
      <c r="A232" s="286"/>
      <c r="B232" s="286"/>
      <c r="C232" s="286"/>
      <c r="D232" s="286"/>
      <c r="E232" s="306"/>
      <c r="F232" s="306"/>
      <c r="G232" s="286"/>
      <c r="H232" s="286"/>
      <c r="I232" s="286"/>
      <c r="J232" s="286"/>
      <c r="K232" s="286"/>
      <c r="L232" s="286"/>
      <c r="M232" s="286"/>
      <c r="N232" s="286"/>
    </row>
    <row r="233">
      <c r="A233" s="286"/>
      <c r="B233" s="286"/>
      <c r="C233" s="286"/>
      <c r="D233" s="286"/>
      <c r="E233" s="306"/>
      <c r="F233" s="306"/>
      <c r="G233" s="286"/>
      <c r="H233" s="286"/>
      <c r="I233" s="286"/>
      <c r="J233" s="286"/>
      <c r="K233" s="286"/>
      <c r="L233" s="286"/>
      <c r="M233" s="286"/>
      <c r="N233" s="286"/>
    </row>
    <row r="234">
      <c r="A234" s="286"/>
      <c r="B234" s="286"/>
      <c r="C234" s="286"/>
      <c r="D234" s="286"/>
      <c r="E234" s="306"/>
      <c r="F234" s="306"/>
      <c r="G234" s="286"/>
      <c r="H234" s="286"/>
      <c r="I234" s="286"/>
      <c r="J234" s="286"/>
      <c r="K234" s="286"/>
      <c r="L234" s="286"/>
      <c r="M234" s="286"/>
      <c r="N234" s="286"/>
    </row>
    <row r="235">
      <c r="A235" s="286"/>
      <c r="B235" s="286"/>
      <c r="C235" s="286"/>
      <c r="D235" s="286"/>
      <c r="E235" s="306"/>
      <c r="F235" s="306"/>
      <c r="G235" s="286"/>
      <c r="H235" s="286"/>
      <c r="I235" s="286"/>
      <c r="J235" s="286"/>
      <c r="K235" s="286"/>
      <c r="L235" s="286"/>
      <c r="M235" s="286"/>
      <c r="N235" s="286"/>
    </row>
    <row r="236">
      <c r="A236" s="286"/>
      <c r="B236" s="286"/>
      <c r="C236" s="286"/>
      <c r="D236" s="286"/>
      <c r="E236" s="306"/>
      <c r="F236" s="306"/>
      <c r="G236" s="286"/>
      <c r="H236" s="286"/>
      <c r="I236" s="286"/>
      <c r="J236" s="286"/>
      <c r="K236" s="286"/>
      <c r="L236" s="286"/>
      <c r="M236" s="286"/>
      <c r="N236" s="286"/>
    </row>
    <row r="237">
      <c r="A237" s="286"/>
      <c r="B237" s="286"/>
      <c r="C237" s="286"/>
      <c r="D237" s="286"/>
      <c r="E237" s="306"/>
      <c r="F237" s="306"/>
      <c r="G237" s="286"/>
      <c r="H237" s="286"/>
      <c r="I237" s="286"/>
      <c r="J237" s="286"/>
      <c r="K237" s="286"/>
      <c r="L237" s="286"/>
      <c r="M237" s="286"/>
      <c r="N237" s="286"/>
    </row>
    <row r="238">
      <c r="A238" s="286"/>
      <c r="B238" s="286"/>
      <c r="C238" s="286"/>
      <c r="D238" s="286"/>
      <c r="E238" s="306"/>
      <c r="F238" s="306"/>
      <c r="G238" s="286"/>
      <c r="H238" s="286"/>
      <c r="I238" s="286"/>
      <c r="J238" s="286"/>
      <c r="K238" s="286"/>
      <c r="L238" s="286"/>
      <c r="M238" s="286"/>
      <c r="N238" s="286"/>
    </row>
    <row r="239">
      <c r="A239" s="286"/>
      <c r="B239" s="286"/>
      <c r="C239" s="286"/>
      <c r="D239" s="286"/>
      <c r="E239" s="306"/>
      <c r="F239" s="306"/>
      <c r="G239" s="286"/>
      <c r="H239" s="286"/>
      <c r="I239" s="286"/>
      <c r="J239" s="286"/>
      <c r="K239" s="286"/>
      <c r="L239" s="286"/>
      <c r="M239" s="286"/>
      <c r="N239" s="286"/>
    </row>
    <row r="240">
      <c r="A240" s="286"/>
      <c r="B240" s="286"/>
      <c r="C240" s="286"/>
      <c r="D240" s="286"/>
      <c r="E240" s="306"/>
      <c r="F240" s="306"/>
      <c r="G240" s="286"/>
      <c r="H240" s="286"/>
      <c r="I240" s="286"/>
      <c r="J240" s="286"/>
      <c r="K240" s="286"/>
      <c r="L240" s="286"/>
      <c r="M240" s="286"/>
      <c r="N240" s="286"/>
    </row>
    <row r="241">
      <c r="A241" s="286"/>
      <c r="B241" s="286"/>
      <c r="C241" s="286"/>
      <c r="D241" s="286"/>
      <c r="E241" s="306"/>
      <c r="F241" s="306"/>
      <c r="G241" s="286"/>
      <c r="H241" s="286"/>
      <c r="I241" s="286"/>
      <c r="J241" s="286"/>
      <c r="K241" s="286"/>
      <c r="L241" s="286"/>
      <c r="M241" s="286"/>
      <c r="N241" s="286"/>
    </row>
    <row r="242">
      <c r="A242" s="286"/>
      <c r="B242" s="286"/>
      <c r="C242" s="286"/>
      <c r="D242" s="286"/>
      <c r="E242" s="306"/>
      <c r="F242" s="306"/>
      <c r="G242" s="286"/>
      <c r="H242" s="286"/>
      <c r="I242" s="286"/>
      <c r="J242" s="286"/>
      <c r="K242" s="286"/>
      <c r="L242" s="286"/>
      <c r="M242" s="286"/>
      <c r="N242" s="286"/>
    </row>
    <row r="243">
      <c r="A243" s="286"/>
      <c r="B243" s="286"/>
      <c r="C243" s="286"/>
      <c r="D243" s="286"/>
      <c r="E243" s="306"/>
      <c r="F243" s="306"/>
      <c r="G243" s="286"/>
      <c r="H243" s="286"/>
      <c r="I243" s="286"/>
      <c r="J243" s="286"/>
      <c r="K243" s="286"/>
      <c r="L243" s="286"/>
      <c r="M243" s="286"/>
      <c r="N243" s="286"/>
    </row>
    <row r="244">
      <c r="A244" s="286"/>
      <c r="B244" s="286"/>
      <c r="C244" s="286"/>
      <c r="D244" s="286"/>
      <c r="E244" s="306"/>
      <c r="F244" s="306"/>
      <c r="G244" s="286"/>
      <c r="H244" s="286"/>
      <c r="I244" s="286"/>
      <c r="J244" s="286"/>
      <c r="K244" s="286"/>
      <c r="L244" s="286"/>
      <c r="M244" s="286"/>
      <c r="N244" s="286"/>
    </row>
    <row r="245">
      <c r="A245" s="286"/>
      <c r="B245" s="286"/>
      <c r="C245" s="286"/>
      <c r="D245" s="286"/>
      <c r="E245" s="306"/>
      <c r="F245" s="306"/>
      <c r="G245" s="286"/>
      <c r="H245" s="286"/>
      <c r="I245" s="286"/>
      <c r="J245" s="286"/>
      <c r="K245" s="286"/>
      <c r="L245" s="286"/>
      <c r="M245" s="286"/>
      <c r="N245" s="286"/>
    </row>
    <row r="246">
      <c r="A246" s="286"/>
      <c r="B246" s="286"/>
      <c r="C246" s="286"/>
      <c r="D246" s="286"/>
      <c r="E246" s="306"/>
      <c r="F246" s="306"/>
      <c r="G246" s="286"/>
      <c r="H246" s="286"/>
      <c r="I246" s="286"/>
      <c r="J246" s="286"/>
      <c r="K246" s="286"/>
      <c r="L246" s="286"/>
      <c r="M246" s="286"/>
      <c r="N246" s="286"/>
    </row>
    <row r="247">
      <c r="A247" s="286"/>
      <c r="B247" s="286"/>
      <c r="C247" s="286"/>
      <c r="D247" s="286"/>
      <c r="E247" s="306"/>
      <c r="F247" s="306"/>
      <c r="G247" s="286"/>
      <c r="H247" s="286"/>
      <c r="I247" s="286"/>
      <c r="J247" s="286"/>
      <c r="K247" s="286"/>
      <c r="L247" s="286"/>
      <c r="M247" s="286"/>
      <c r="N247" s="286"/>
    </row>
    <row r="248">
      <c r="A248" s="286"/>
      <c r="B248" s="286"/>
      <c r="C248" s="286"/>
      <c r="D248" s="286"/>
      <c r="E248" s="306"/>
      <c r="F248" s="306"/>
      <c r="G248" s="286"/>
      <c r="H248" s="286"/>
      <c r="I248" s="286"/>
      <c r="J248" s="286"/>
      <c r="K248" s="286"/>
      <c r="L248" s="286"/>
      <c r="M248" s="286"/>
      <c r="N248" s="286"/>
    </row>
    <row r="249">
      <c r="A249" s="286"/>
      <c r="B249" s="286"/>
      <c r="C249" s="286"/>
      <c r="D249" s="286"/>
      <c r="E249" s="306"/>
      <c r="F249" s="306"/>
      <c r="G249" s="286"/>
      <c r="H249" s="286"/>
      <c r="I249" s="286"/>
      <c r="J249" s="286"/>
      <c r="K249" s="286"/>
      <c r="L249" s="286"/>
      <c r="M249" s="286"/>
      <c r="N249" s="286"/>
    </row>
    <row r="250">
      <c r="A250" s="286"/>
      <c r="B250" s="286"/>
      <c r="C250" s="286"/>
      <c r="D250" s="286"/>
      <c r="E250" s="306"/>
      <c r="F250" s="306"/>
      <c r="G250" s="286"/>
      <c r="H250" s="286"/>
      <c r="I250" s="286"/>
      <c r="J250" s="286"/>
      <c r="K250" s="286"/>
      <c r="L250" s="286"/>
      <c r="M250" s="286"/>
      <c r="N250" s="286"/>
    </row>
    <row r="251">
      <c r="A251" s="286"/>
      <c r="B251" s="286"/>
      <c r="C251" s="286"/>
      <c r="D251" s="286"/>
      <c r="E251" s="306"/>
      <c r="F251" s="306"/>
      <c r="G251" s="286"/>
      <c r="H251" s="286"/>
      <c r="I251" s="286"/>
      <c r="J251" s="286"/>
      <c r="K251" s="286"/>
      <c r="L251" s="286"/>
      <c r="M251" s="286"/>
      <c r="N251" s="286"/>
    </row>
    <row r="252">
      <c r="A252" s="286"/>
      <c r="B252" s="286"/>
      <c r="C252" s="286"/>
      <c r="D252" s="286"/>
      <c r="E252" s="306"/>
      <c r="F252" s="306"/>
      <c r="G252" s="286"/>
      <c r="H252" s="286"/>
      <c r="I252" s="286"/>
      <c r="J252" s="286"/>
      <c r="K252" s="286"/>
      <c r="L252" s="286"/>
      <c r="M252" s="286"/>
      <c r="N252" s="286"/>
    </row>
    <row r="253">
      <c r="A253" s="286"/>
      <c r="B253" s="286"/>
      <c r="C253" s="286"/>
      <c r="D253" s="286"/>
      <c r="E253" s="306"/>
      <c r="F253" s="306"/>
      <c r="G253" s="286"/>
      <c r="H253" s="286"/>
      <c r="I253" s="286"/>
      <c r="J253" s="286"/>
      <c r="K253" s="286"/>
      <c r="L253" s="286"/>
      <c r="M253" s="286"/>
      <c r="N253" s="286"/>
    </row>
    <row r="254">
      <c r="A254" s="286"/>
      <c r="B254" s="286"/>
      <c r="C254" s="286"/>
      <c r="D254" s="286"/>
      <c r="E254" s="306"/>
      <c r="F254" s="306"/>
      <c r="G254" s="286"/>
      <c r="H254" s="286"/>
      <c r="I254" s="286"/>
      <c r="J254" s="286"/>
      <c r="K254" s="286"/>
      <c r="L254" s="286"/>
      <c r="M254" s="286"/>
      <c r="N254" s="286"/>
    </row>
    <row r="255">
      <c r="A255" s="286"/>
      <c r="B255" s="286"/>
      <c r="C255" s="286"/>
      <c r="D255" s="286"/>
      <c r="E255" s="306"/>
      <c r="F255" s="306"/>
      <c r="G255" s="286"/>
      <c r="H255" s="286"/>
      <c r="I255" s="286"/>
      <c r="J255" s="286"/>
      <c r="K255" s="286"/>
      <c r="L255" s="286"/>
      <c r="M255" s="286"/>
      <c r="N255" s="286"/>
    </row>
    <row r="256">
      <c r="A256" s="286"/>
      <c r="B256" s="286"/>
      <c r="C256" s="286"/>
      <c r="D256" s="286"/>
      <c r="E256" s="306"/>
      <c r="F256" s="306"/>
      <c r="G256" s="286"/>
      <c r="H256" s="286"/>
      <c r="I256" s="286"/>
      <c r="J256" s="286"/>
      <c r="K256" s="286"/>
      <c r="L256" s="286"/>
      <c r="M256" s="286"/>
      <c r="N256" s="286"/>
    </row>
    <row r="257">
      <c r="A257" s="286"/>
      <c r="B257" s="286"/>
      <c r="C257" s="286"/>
      <c r="D257" s="286"/>
      <c r="E257" s="306"/>
      <c r="F257" s="306"/>
      <c r="G257" s="286"/>
      <c r="H257" s="286"/>
      <c r="I257" s="286"/>
      <c r="J257" s="286"/>
      <c r="K257" s="286"/>
      <c r="L257" s="286"/>
      <c r="M257" s="286"/>
      <c r="N257" s="286"/>
    </row>
    <row r="258">
      <c r="A258" s="286"/>
      <c r="B258" s="286"/>
      <c r="C258" s="286"/>
      <c r="D258" s="286"/>
      <c r="E258" s="306"/>
      <c r="F258" s="306"/>
      <c r="G258" s="286"/>
      <c r="H258" s="286"/>
      <c r="I258" s="286"/>
      <c r="J258" s="286"/>
      <c r="K258" s="286"/>
      <c r="L258" s="286"/>
      <c r="M258" s="286"/>
      <c r="N258" s="286"/>
    </row>
    <row r="259">
      <c r="A259" s="286"/>
      <c r="B259" s="286"/>
      <c r="C259" s="286"/>
      <c r="D259" s="286"/>
      <c r="E259" s="306"/>
      <c r="F259" s="306"/>
      <c r="G259" s="286"/>
      <c r="H259" s="286"/>
      <c r="I259" s="286"/>
      <c r="J259" s="286"/>
      <c r="K259" s="286"/>
      <c r="L259" s="286"/>
      <c r="M259" s="286"/>
      <c r="N259" s="286"/>
    </row>
    <row r="260">
      <c r="A260" s="286"/>
      <c r="B260" s="286"/>
      <c r="C260" s="286"/>
      <c r="D260" s="286"/>
      <c r="E260" s="306"/>
      <c r="F260" s="306"/>
      <c r="G260" s="286"/>
      <c r="H260" s="286"/>
      <c r="I260" s="286"/>
      <c r="J260" s="286"/>
      <c r="K260" s="286"/>
      <c r="L260" s="286"/>
      <c r="M260" s="286"/>
      <c r="N260" s="286"/>
    </row>
    <row r="261">
      <c r="A261" s="286"/>
      <c r="B261" s="286"/>
      <c r="C261" s="286"/>
      <c r="D261" s="286"/>
      <c r="E261" s="306"/>
      <c r="F261" s="306"/>
      <c r="G261" s="286"/>
      <c r="H261" s="286"/>
      <c r="I261" s="286"/>
      <c r="J261" s="286"/>
      <c r="K261" s="286"/>
      <c r="L261" s="286"/>
      <c r="M261" s="286"/>
      <c r="N261" s="286"/>
    </row>
    <row r="262">
      <c r="A262" s="286"/>
      <c r="B262" s="286"/>
      <c r="C262" s="286"/>
      <c r="D262" s="286"/>
      <c r="E262" s="306"/>
      <c r="F262" s="306"/>
      <c r="G262" s="286"/>
      <c r="H262" s="286"/>
      <c r="I262" s="286"/>
      <c r="J262" s="286"/>
      <c r="K262" s="286"/>
      <c r="L262" s="286"/>
      <c r="M262" s="286"/>
      <c r="N262" s="286"/>
    </row>
    <row r="263">
      <c r="A263" s="286"/>
      <c r="B263" s="286"/>
      <c r="C263" s="286"/>
      <c r="D263" s="286"/>
      <c r="E263" s="306"/>
      <c r="F263" s="306"/>
      <c r="G263" s="286"/>
      <c r="H263" s="286"/>
      <c r="I263" s="286"/>
      <c r="J263" s="286"/>
      <c r="K263" s="286"/>
      <c r="L263" s="286"/>
      <c r="M263" s="286"/>
      <c r="N263" s="286"/>
    </row>
    <row r="264">
      <c r="A264" s="286"/>
      <c r="B264" s="286"/>
      <c r="C264" s="286"/>
      <c r="D264" s="286"/>
      <c r="E264" s="306"/>
      <c r="F264" s="306"/>
      <c r="G264" s="286"/>
      <c r="H264" s="286"/>
      <c r="I264" s="286"/>
      <c r="J264" s="286"/>
      <c r="K264" s="286"/>
      <c r="L264" s="286"/>
      <c r="M264" s="286"/>
      <c r="N264" s="286"/>
    </row>
    <row r="265">
      <c r="A265" s="286"/>
      <c r="B265" s="286"/>
      <c r="C265" s="286"/>
      <c r="D265" s="286"/>
      <c r="E265" s="306"/>
      <c r="F265" s="306"/>
      <c r="G265" s="286"/>
      <c r="H265" s="286"/>
      <c r="I265" s="286"/>
      <c r="J265" s="286"/>
      <c r="K265" s="286"/>
      <c r="L265" s="286"/>
      <c r="M265" s="286"/>
      <c r="N265" s="286"/>
    </row>
    <row r="266">
      <c r="A266" s="286"/>
      <c r="B266" s="286"/>
      <c r="C266" s="286"/>
      <c r="D266" s="286"/>
      <c r="E266" s="306"/>
      <c r="F266" s="306"/>
      <c r="G266" s="286"/>
      <c r="H266" s="286"/>
      <c r="I266" s="286"/>
      <c r="J266" s="286"/>
      <c r="K266" s="286"/>
      <c r="L266" s="286"/>
      <c r="M266" s="286"/>
      <c r="N266" s="286"/>
    </row>
    <row r="267">
      <c r="A267" s="286"/>
      <c r="B267" s="286"/>
      <c r="C267" s="286"/>
      <c r="D267" s="286"/>
      <c r="E267" s="306"/>
      <c r="F267" s="306"/>
      <c r="G267" s="286"/>
      <c r="H267" s="286"/>
      <c r="I267" s="286"/>
      <c r="J267" s="286"/>
      <c r="K267" s="286"/>
      <c r="L267" s="286"/>
      <c r="M267" s="286"/>
      <c r="N267" s="286"/>
    </row>
    <row r="268">
      <c r="A268" s="286"/>
      <c r="B268" s="286"/>
      <c r="C268" s="286"/>
      <c r="D268" s="286"/>
      <c r="E268" s="306"/>
      <c r="F268" s="306"/>
      <c r="G268" s="286"/>
      <c r="H268" s="286"/>
      <c r="I268" s="286"/>
      <c r="J268" s="286"/>
      <c r="K268" s="286"/>
      <c r="L268" s="286"/>
      <c r="M268" s="286"/>
      <c r="N268" s="286"/>
    </row>
    <row r="269">
      <c r="A269" s="286"/>
      <c r="B269" s="286"/>
      <c r="C269" s="286"/>
      <c r="D269" s="286"/>
      <c r="E269" s="306"/>
      <c r="F269" s="306"/>
      <c r="G269" s="286"/>
      <c r="H269" s="286"/>
      <c r="I269" s="286"/>
      <c r="J269" s="286"/>
      <c r="K269" s="286"/>
      <c r="L269" s="286"/>
      <c r="M269" s="286"/>
      <c r="N269" s="286"/>
    </row>
    <row r="270">
      <c r="A270" s="286"/>
      <c r="B270" s="286"/>
      <c r="C270" s="286"/>
      <c r="D270" s="286"/>
      <c r="E270" s="306"/>
      <c r="F270" s="306"/>
      <c r="G270" s="286"/>
      <c r="H270" s="286"/>
      <c r="I270" s="286"/>
      <c r="J270" s="286"/>
      <c r="K270" s="286"/>
      <c r="L270" s="286"/>
      <c r="M270" s="286"/>
      <c r="N270" s="286"/>
    </row>
    <row r="271">
      <c r="A271" s="286"/>
      <c r="B271" s="286"/>
      <c r="C271" s="286"/>
      <c r="D271" s="286"/>
      <c r="E271" s="306"/>
      <c r="F271" s="306"/>
      <c r="G271" s="286"/>
      <c r="H271" s="286"/>
      <c r="I271" s="286"/>
      <c r="J271" s="286"/>
      <c r="K271" s="286"/>
      <c r="L271" s="286"/>
      <c r="M271" s="286"/>
      <c r="N271" s="286"/>
    </row>
    <row r="272">
      <c r="A272" s="286"/>
      <c r="B272" s="286"/>
      <c r="C272" s="286"/>
      <c r="D272" s="286"/>
      <c r="E272" s="306"/>
      <c r="F272" s="306"/>
      <c r="G272" s="286"/>
      <c r="H272" s="286"/>
      <c r="I272" s="286"/>
      <c r="J272" s="286"/>
      <c r="K272" s="286"/>
      <c r="L272" s="286"/>
      <c r="M272" s="286"/>
      <c r="N272" s="286"/>
    </row>
    <row r="273">
      <c r="A273" s="286"/>
      <c r="B273" s="286"/>
      <c r="C273" s="286"/>
      <c r="D273" s="286"/>
      <c r="E273" s="306"/>
      <c r="F273" s="306"/>
      <c r="G273" s="286"/>
      <c r="H273" s="286"/>
      <c r="I273" s="286"/>
      <c r="J273" s="286"/>
      <c r="K273" s="286"/>
      <c r="L273" s="286"/>
      <c r="M273" s="286"/>
      <c r="N273" s="286"/>
    </row>
    <row r="274">
      <c r="A274" s="286"/>
      <c r="B274" s="286"/>
      <c r="C274" s="286"/>
      <c r="D274" s="286"/>
      <c r="E274" s="306"/>
      <c r="F274" s="306"/>
      <c r="G274" s="286"/>
      <c r="H274" s="286"/>
      <c r="I274" s="286"/>
      <c r="J274" s="286"/>
      <c r="K274" s="286"/>
      <c r="L274" s="286"/>
      <c r="M274" s="286"/>
      <c r="N274" s="286"/>
    </row>
    <row r="275">
      <c r="A275" s="286"/>
      <c r="B275" s="286"/>
      <c r="C275" s="286"/>
      <c r="D275" s="286"/>
      <c r="E275" s="306"/>
      <c r="F275" s="306"/>
      <c r="G275" s="286"/>
      <c r="H275" s="286"/>
      <c r="I275" s="286"/>
      <c r="J275" s="286"/>
      <c r="K275" s="286"/>
      <c r="L275" s="286"/>
      <c r="M275" s="286"/>
      <c r="N275" s="286"/>
    </row>
    <row r="276">
      <c r="A276" s="286"/>
      <c r="B276" s="286"/>
      <c r="C276" s="286"/>
      <c r="D276" s="286"/>
      <c r="E276" s="306"/>
      <c r="F276" s="306"/>
      <c r="G276" s="286"/>
      <c r="H276" s="286"/>
      <c r="I276" s="286"/>
      <c r="J276" s="286"/>
      <c r="K276" s="286"/>
      <c r="L276" s="286"/>
      <c r="M276" s="286"/>
      <c r="N276" s="286"/>
    </row>
    <row r="277">
      <c r="A277" s="286"/>
      <c r="B277" s="286"/>
      <c r="C277" s="286"/>
      <c r="D277" s="286"/>
      <c r="E277" s="306"/>
      <c r="F277" s="306"/>
      <c r="G277" s="286"/>
      <c r="H277" s="286"/>
      <c r="I277" s="286"/>
      <c r="J277" s="286"/>
      <c r="K277" s="286"/>
      <c r="L277" s="286"/>
      <c r="M277" s="286"/>
      <c r="N277" s="286"/>
    </row>
    <row r="278">
      <c r="A278" s="286"/>
      <c r="B278" s="286"/>
      <c r="C278" s="286"/>
      <c r="D278" s="286"/>
      <c r="E278" s="306"/>
      <c r="F278" s="306"/>
      <c r="G278" s="286"/>
      <c r="H278" s="286"/>
      <c r="I278" s="286"/>
      <c r="J278" s="286"/>
      <c r="K278" s="286"/>
      <c r="L278" s="286"/>
      <c r="M278" s="286"/>
      <c r="N278" s="286"/>
    </row>
    <row r="279">
      <c r="A279" s="286"/>
      <c r="B279" s="286"/>
      <c r="C279" s="286"/>
      <c r="D279" s="286"/>
      <c r="E279" s="306"/>
      <c r="F279" s="306"/>
      <c r="G279" s="286"/>
      <c r="H279" s="286"/>
      <c r="I279" s="286"/>
      <c r="J279" s="286"/>
      <c r="K279" s="286"/>
      <c r="L279" s="286"/>
      <c r="M279" s="286"/>
      <c r="N279" s="286"/>
    </row>
    <row r="280">
      <c r="A280" s="286"/>
      <c r="B280" s="286"/>
      <c r="C280" s="286"/>
      <c r="D280" s="286"/>
      <c r="E280" s="306"/>
      <c r="F280" s="306"/>
      <c r="G280" s="286"/>
      <c r="H280" s="286"/>
      <c r="I280" s="286"/>
      <c r="J280" s="286"/>
      <c r="K280" s="286"/>
      <c r="L280" s="286"/>
      <c r="M280" s="286"/>
      <c r="N280" s="286"/>
    </row>
    <row r="281">
      <c r="A281" s="286"/>
      <c r="B281" s="286"/>
      <c r="C281" s="286"/>
      <c r="D281" s="286"/>
      <c r="E281" s="306"/>
      <c r="F281" s="306"/>
      <c r="G281" s="286"/>
      <c r="H281" s="286"/>
      <c r="I281" s="286"/>
      <c r="J281" s="286"/>
      <c r="K281" s="286"/>
      <c r="L281" s="286"/>
      <c r="M281" s="286"/>
      <c r="N281" s="286"/>
    </row>
    <row r="282">
      <c r="A282" s="286"/>
      <c r="B282" s="286"/>
      <c r="C282" s="286"/>
      <c r="D282" s="286"/>
      <c r="E282" s="306"/>
      <c r="F282" s="306"/>
      <c r="G282" s="286"/>
      <c r="H282" s="286"/>
      <c r="I282" s="286"/>
      <c r="J282" s="286"/>
      <c r="K282" s="286"/>
      <c r="L282" s="286"/>
      <c r="M282" s="286"/>
      <c r="N282" s="286"/>
    </row>
    <row r="283">
      <c r="A283" s="286"/>
      <c r="B283" s="286"/>
      <c r="C283" s="286"/>
      <c r="D283" s="286"/>
      <c r="E283" s="306"/>
      <c r="F283" s="306"/>
      <c r="G283" s="286"/>
      <c r="H283" s="286"/>
      <c r="I283" s="286"/>
      <c r="J283" s="286"/>
      <c r="K283" s="286"/>
      <c r="L283" s="286"/>
      <c r="M283" s="286"/>
      <c r="N283" s="286"/>
    </row>
    <row r="284">
      <c r="A284" s="286"/>
      <c r="B284" s="286"/>
      <c r="C284" s="286"/>
      <c r="D284" s="286"/>
      <c r="E284" s="306"/>
      <c r="F284" s="306"/>
      <c r="G284" s="286"/>
      <c r="H284" s="286"/>
      <c r="I284" s="286"/>
      <c r="J284" s="286"/>
      <c r="K284" s="286"/>
      <c r="L284" s="286"/>
      <c r="M284" s="286"/>
      <c r="N284" s="286"/>
    </row>
    <row r="285">
      <c r="A285" s="286"/>
      <c r="B285" s="286"/>
      <c r="C285" s="286"/>
      <c r="D285" s="286"/>
      <c r="E285" s="306"/>
      <c r="F285" s="306"/>
      <c r="G285" s="286"/>
      <c r="H285" s="286"/>
      <c r="I285" s="286"/>
      <c r="J285" s="286"/>
      <c r="K285" s="286"/>
      <c r="L285" s="286"/>
      <c r="M285" s="286"/>
      <c r="N285" s="286"/>
    </row>
    <row r="286">
      <c r="A286" s="286"/>
      <c r="B286" s="286"/>
      <c r="C286" s="286"/>
      <c r="D286" s="286"/>
      <c r="E286" s="306"/>
      <c r="F286" s="306"/>
      <c r="G286" s="286"/>
      <c r="H286" s="286"/>
      <c r="I286" s="286"/>
      <c r="J286" s="286"/>
      <c r="K286" s="286"/>
      <c r="L286" s="286"/>
      <c r="M286" s="286"/>
      <c r="N286" s="286"/>
    </row>
    <row r="287">
      <c r="A287" s="286"/>
      <c r="B287" s="286"/>
      <c r="C287" s="286"/>
      <c r="D287" s="286"/>
      <c r="E287" s="306"/>
      <c r="F287" s="306"/>
      <c r="G287" s="286"/>
      <c r="H287" s="286"/>
      <c r="I287" s="286"/>
      <c r="J287" s="286"/>
      <c r="K287" s="286"/>
      <c r="L287" s="286"/>
      <c r="M287" s="286"/>
      <c r="N287" s="286"/>
    </row>
    <row r="288">
      <c r="A288" s="286"/>
      <c r="B288" s="286"/>
      <c r="C288" s="286"/>
      <c r="D288" s="286"/>
      <c r="E288" s="306"/>
      <c r="F288" s="306"/>
      <c r="G288" s="286"/>
      <c r="H288" s="286"/>
      <c r="I288" s="286"/>
      <c r="J288" s="286"/>
      <c r="K288" s="286"/>
      <c r="L288" s="286"/>
      <c r="M288" s="286"/>
      <c r="N288" s="286"/>
    </row>
    <row r="289">
      <c r="A289" s="286"/>
      <c r="B289" s="286"/>
      <c r="C289" s="286"/>
      <c r="D289" s="286"/>
      <c r="E289" s="306"/>
      <c r="F289" s="306"/>
      <c r="G289" s="286"/>
      <c r="H289" s="286"/>
      <c r="I289" s="286"/>
      <c r="J289" s="286"/>
      <c r="K289" s="286"/>
      <c r="L289" s="286"/>
      <c r="M289" s="286"/>
      <c r="N289" s="286"/>
    </row>
    <row r="290">
      <c r="A290" s="286"/>
      <c r="B290" s="286"/>
      <c r="C290" s="286"/>
      <c r="D290" s="286"/>
      <c r="E290" s="306"/>
      <c r="F290" s="306"/>
      <c r="G290" s="286"/>
      <c r="H290" s="286"/>
      <c r="I290" s="286"/>
      <c r="J290" s="286"/>
      <c r="K290" s="286"/>
      <c r="L290" s="286"/>
      <c r="M290" s="286"/>
      <c r="N290" s="286"/>
    </row>
    <row r="291">
      <c r="A291" s="286"/>
      <c r="B291" s="286"/>
      <c r="C291" s="286"/>
      <c r="D291" s="286"/>
      <c r="E291" s="306"/>
      <c r="F291" s="306"/>
      <c r="G291" s="286"/>
      <c r="H291" s="286"/>
      <c r="I291" s="286"/>
      <c r="J291" s="286"/>
      <c r="K291" s="286"/>
      <c r="L291" s="286"/>
      <c r="M291" s="286"/>
      <c r="N291" s="286"/>
    </row>
    <row r="292">
      <c r="A292" s="286"/>
      <c r="B292" s="286"/>
      <c r="C292" s="286"/>
      <c r="D292" s="286"/>
      <c r="E292" s="306"/>
      <c r="F292" s="306"/>
      <c r="G292" s="286"/>
      <c r="H292" s="286"/>
      <c r="I292" s="286"/>
      <c r="J292" s="286"/>
      <c r="K292" s="286"/>
      <c r="L292" s="286"/>
      <c r="M292" s="286"/>
      <c r="N292" s="286"/>
    </row>
    <row r="293">
      <c r="A293" s="286"/>
      <c r="B293" s="286"/>
      <c r="C293" s="286"/>
      <c r="D293" s="286"/>
      <c r="E293" s="306"/>
      <c r="F293" s="306"/>
      <c r="G293" s="286"/>
      <c r="H293" s="286"/>
      <c r="I293" s="286"/>
      <c r="J293" s="286"/>
      <c r="K293" s="286"/>
      <c r="L293" s="286"/>
      <c r="M293" s="286"/>
      <c r="N293" s="286"/>
    </row>
    <row r="294">
      <c r="A294" s="286"/>
      <c r="B294" s="286"/>
      <c r="C294" s="286"/>
      <c r="D294" s="286"/>
      <c r="E294" s="306"/>
      <c r="F294" s="306"/>
      <c r="G294" s="286"/>
      <c r="H294" s="286"/>
      <c r="I294" s="286"/>
      <c r="J294" s="286"/>
      <c r="K294" s="286"/>
      <c r="L294" s="286"/>
      <c r="M294" s="286"/>
      <c r="N294" s="286"/>
    </row>
    <row r="295">
      <c r="A295" s="286"/>
      <c r="B295" s="286"/>
      <c r="C295" s="286"/>
      <c r="D295" s="286"/>
      <c r="E295" s="306"/>
      <c r="F295" s="306"/>
      <c r="G295" s="286"/>
      <c r="H295" s="286"/>
      <c r="I295" s="286"/>
      <c r="J295" s="286"/>
      <c r="K295" s="286"/>
      <c r="L295" s="286"/>
      <c r="M295" s="286"/>
      <c r="N295" s="286"/>
    </row>
    <row r="296">
      <c r="A296" s="286"/>
      <c r="B296" s="286"/>
      <c r="C296" s="286"/>
      <c r="D296" s="286"/>
      <c r="E296" s="306"/>
      <c r="F296" s="306"/>
      <c r="G296" s="286"/>
      <c r="H296" s="286"/>
      <c r="I296" s="286"/>
      <c r="J296" s="286"/>
      <c r="K296" s="286"/>
      <c r="L296" s="286"/>
      <c r="M296" s="286"/>
      <c r="N296" s="286"/>
    </row>
    <row r="297">
      <c r="A297" s="286"/>
      <c r="B297" s="286"/>
      <c r="C297" s="286"/>
      <c r="D297" s="286"/>
      <c r="E297" s="306"/>
      <c r="F297" s="306"/>
      <c r="G297" s="286"/>
      <c r="H297" s="286"/>
      <c r="I297" s="286"/>
      <c r="J297" s="286"/>
      <c r="K297" s="286"/>
      <c r="L297" s="286"/>
      <c r="M297" s="286"/>
      <c r="N297" s="286"/>
    </row>
    <row r="298">
      <c r="A298" s="286"/>
      <c r="B298" s="286"/>
      <c r="C298" s="286"/>
      <c r="D298" s="286"/>
      <c r="E298" s="306"/>
      <c r="F298" s="306"/>
      <c r="G298" s="286"/>
      <c r="H298" s="286"/>
      <c r="I298" s="286"/>
      <c r="J298" s="286"/>
      <c r="K298" s="286"/>
      <c r="L298" s="286"/>
      <c r="M298" s="286"/>
      <c r="N298" s="286"/>
    </row>
    <row r="299">
      <c r="A299" s="286"/>
      <c r="B299" s="286"/>
      <c r="C299" s="286"/>
      <c r="D299" s="286"/>
      <c r="E299" s="306"/>
      <c r="F299" s="306"/>
      <c r="G299" s="286"/>
      <c r="H299" s="286"/>
      <c r="I299" s="286"/>
      <c r="J299" s="286"/>
      <c r="K299" s="286"/>
      <c r="L299" s="286"/>
      <c r="M299" s="286"/>
      <c r="N299" s="286"/>
    </row>
    <row r="300">
      <c r="A300" s="286"/>
      <c r="B300" s="286"/>
      <c r="C300" s="286"/>
      <c r="D300" s="286"/>
      <c r="E300" s="306"/>
      <c r="F300" s="306"/>
      <c r="G300" s="286"/>
      <c r="H300" s="286"/>
      <c r="I300" s="286"/>
      <c r="J300" s="286"/>
      <c r="K300" s="286"/>
      <c r="L300" s="286"/>
      <c r="M300" s="286"/>
      <c r="N300" s="286"/>
    </row>
    <row r="301">
      <c r="A301" s="286"/>
      <c r="B301" s="286"/>
      <c r="C301" s="286"/>
      <c r="D301" s="286"/>
      <c r="E301" s="306"/>
      <c r="F301" s="306"/>
      <c r="G301" s="286"/>
      <c r="H301" s="286"/>
      <c r="I301" s="286"/>
      <c r="J301" s="286"/>
      <c r="K301" s="286"/>
      <c r="L301" s="286"/>
      <c r="M301" s="286"/>
      <c r="N301" s="286"/>
    </row>
    <row r="302">
      <c r="A302" s="286"/>
      <c r="B302" s="286"/>
      <c r="C302" s="286"/>
      <c r="D302" s="286"/>
      <c r="E302" s="306"/>
      <c r="F302" s="306"/>
      <c r="G302" s="286"/>
      <c r="H302" s="286"/>
      <c r="I302" s="286"/>
      <c r="J302" s="286"/>
      <c r="K302" s="286"/>
      <c r="L302" s="286"/>
      <c r="M302" s="286"/>
      <c r="N302" s="286"/>
    </row>
    <row r="303">
      <c r="A303" s="286"/>
      <c r="B303" s="286"/>
      <c r="C303" s="286"/>
      <c r="D303" s="286"/>
      <c r="E303" s="306"/>
      <c r="F303" s="306"/>
      <c r="G303" s="286"/>
      <c r="H303" s="286"/>
      <c r="I303" s="286"/>
      <c r="J303" s="286"/>
      <c r="K303" s="286"/>
      <c r="L303" s="286"/>
      <c r="M303" s="286"/>
      <c r="N303" s="286"/>
    </row>
    <row r="304">
      <c r="A304" s="286"/>
      <c r="B304" s="286"/>
      <c r="C304" s="286"/>
      <c r="D304" s="286"/>
      <c r="E304" s="306"/>
      <c r="F304" s="306"/>
      <c r="G304" s="286"/>
      <c r="H304" s="286"/>
      <c r="I304" s="286"/>
      <c r="J304" s="286"/>
      <c r="K304" s="286"/>
      <c r="L304" s="286"/>
      <c r="M304" s="286"/>
      <c r="N304" s="286"/>
    </row>
    <row r="305">
      <c r="A305" s="286"/>
      <c r="B305" s="286"/>
      <c r="C305" s="286"/>
      <c r="D305" s="286"/>
      <c r="E305" s="306"/>
      <c r="F305" s="306"/>
      <c r="G305" s="286"/>
      <c r="H305" s="286"/>
      <c r="I305" s="286"/>
      <c r="J305" s="286"/>
      <c r="K305" s="286"/>
      <c r="L305" s="286"/>
      <c r="M305" s="286"/>
      <c r="N305" s="286"/>
    </row>
    <row r="306">
      <c r="A306" s="286"/>
      <c r="B306" s="286"/>
      <c r="C306" s="286"/>
      <c r="D306" s="286"/>
      <c r="E306" s="306"/>
      <c r="F306" s="306"/>
      <c r="G306" s="286"/>
      <c r="H306" s="286"/>
      <c r="I306" s="286"/>
      <c r="J306" s="286"/>
      <c r="K306" s="286"/>
      <c r="L306" s="286"/>
      <c r="M306" s="286"/>
      <c r="N306" s="286"/>
    </row>
    <row r="307">
      <c r="A307" s="286"/>
      <c r="B307" s="286"/>
      <c r="C307" s="286"/>
      <c r="D307" s="286"/>
      <c r="E307" s="306"/>
      <c r="F307" s="306"/>
      <c r="G307" s="286"/>
      <c r="H307" s="286"/>
      <c r="I307" s="286"/>
      <c r="J307" s="286"/>
      <c r="K307" s="286"/>
      <c r="L307" s="286"/>
      <c r="M307" s="286"/>
      <c r="N307" s="286"/>
    </row>
    <row r="308">
      <c r="A308" s="286"/>
      <c r="B308" s="286"/>
      <c r="C308" s="286"/>
      <c r="D308" s="286"/>
      <c r="E308" s="306"/>
      <c r="F308" s="306"/>
      <c r="G308" s="286"/>
      <c r="H308" s="286"/>
      <c r="I308" s="286"/>
      <c r="J308" s="286"/>
      <c r="K308" s="286"/>
      <c r="L308" s="286"/>
      <c r="M308" s="286"/>
      <c r="N308" s="286"/>
    </row>
    <row r="309">
      <c r="A309" s="286"/>
      <c r="B309" s="286"/>
      <c r="C309" s="286"/>
      <c r="D309" s="286"/>
      <c r="E309" s="306"/>
      <c r="F309" s="306"/>
      <c r="G309" s="286"/>
      <c r="H309" s="286"/>
      <c r="I309" s="286"/>
      <c r="J309" s="286"/>
      <c r="K309" s="286"/>
      <c r="L309" s="286"/>
      <c r="M309" s="286"/>
      <c r="N309" s="286"/>
    </row>
    <row r="310">
      <c r="A310" s="286"/>
      <c r="B310" s="286"/>
      <c r="C310" s="286"/>
      <c r="D310" s="286"/>
      <c r="E310" s="306"/>
      <c r="F310" s="306"/>
      <c r="G310" s="286"/>
      <c r="H310" s="286"/>
      <c r="I310" s="286"/>
      <c r="J310" s="286"/>
      <c r="K310" s="286"/>
      <c r="L310" s="286"/>
      <c r="M310" s="286"/>
      <c r="N310" s="286"/>
    </row>
    <row r="311">
      <c r="A311" s="286"/>
      <c r="B311" s="286"/>
      <c r="C311" s="286"/>
      <c r="D311" s="286"/>
      <c r="E311" s="306"/>
      <c r="F311" s="306"/>
      <c r="G311" s="286"/>
      <c r="H311" s="286"/>
      <c r="I311" s="286"/>
      <c r="J311" s="286"/>
      <c r="K311" s="286"/>
      <c r="L311" s="286"/>
      <c r="M311" s="286"/>
      <c r="N311" s="286"/>
    </row>
    <row r="312">
      <c r="A312" s="286"/>
      <c r="B312" s="286"/>
      <c r="C312" s="286"/>
      <c r="D312" s="286"/>
      <c r="E312" s="306"/>
      <c r="F312" s="306"/>
      <c r="G312" s="286"/>
      <c r="H312" s="286"/>
      <c r="I312" s="286"/>
      <c r="J312" s="286"/>
      <c r="K312" s="286"/>
      <c r="L312" s="286"/>
      <c r="M312" s="286"/>
      <c r="N312" s="286"/>
    </row>
    <row r="313">
      <c r="A313" s="286"/>
      <c r="B313" s="286"/>
      <c r="C313" s="286"/>
      <c r="D313" s="286"/>
      <c r="E313" s="306"/>
      <c r="F313" s="306"/>
      <c r="G313" s="286"/>
      <c r="H313" s="286"/>
      <c r="I313" s="286"/>
      <c r="J313" s="286"/>
      <c r="K313" s="286"/>
      <c r="L313" s="286"/>
      <c r="M313" s="286"/>
      <c r="N313" s="286"/>
    </row>
    <row r="314">
      <c r="A314" s="286"/>
      <c r="B314" s="286"/>
      <c r="C314" s="286"/>
      <c r="D314" s="286"/>
      <c r="E314" s="306"/>
      <c r="F314" s="306"/>
      <c r="G314" s="286"/>
      <c r="H314" s="286"/>
      <c r="I314" s="286"/>
      <c r="J314" s="286"/>
      <c r="K314" s="286"/>
      <c r="L314" s="286"/>
      <c r="M314" s="286"/>
      <c r="N314" s="286"/>
    </row>
    <row r="315">
      <c r="A315" s="286"/>
      <c r="B315" s="286"/>
      <c r="C315" s="286"/>
      <c r="D315" s="286"/>
      <c r="E315" s="306"/>
      <c r="F315" s="306"/>
      <c r="G315" s="286"/>
      <c r="H315" s="286"/>
      <c r="I315" s="286"/>
      <c r="J315" s="286"/>
      <c r="K315" s="286"/>
      <c r="L315" s="286"/>
      <c r="M315" s="286"/>
      <c r="N315" s="286"/>
    </row>
    <row r="316">
      <c r="A316" s="286"/>
      <c r="B316" s="286"/>
      <c r="C316" s="286"/>
      <c r="D316" s="286"/>
      <c r="E316" s="306"/>
      <c r="F316" s="306"/>
      <c r="G316" s="286"/>
      <c r="H316" s="286"/>
      <c r="I316" s="286"/>
      <c r="J316" s="286"/>
      <c r="K316" s="286"/>
      <c r="L316" s="286"/>
      <c r="M316" s="286"/>
      <c r="N316" s="286"/>
    </row>
    <row r="317">
      <c r="A317" s="286"/>
      <c r="B317" s="286"/>
      <c r="C317" s="286"/>
      <c r="D317" s="286"/>
      <c r="E317" s="306"/>
      <c r="F317" s="306"/>
      <c r="G317" s="286"/>
      <c r="H317" s="286"/>
      <c r="I317" s="286"/>
      <c r="J317" s="286"/>
      <c r="K317" s="286"/>
      <c r="L317" s="286"/>
      <c r="M317" s="286"/>
      <c r="N317" s="286"/>
    </row>
    <row r="318">
      <c r="A318" s="286"/>
      <c r="B318" s="286"/>
      <c r="C318" s="286"/>
      <c r="D318" s="286"/>
      <c r="E318" s="306"/>
      <c r="F318" s="306"/>
      <c r="G318" s="286"/>
      <c r="H318" s="286"/>
      <c r="I318" s="286"/>
      <c r="J318" s="286"/>
      <c r="K318" s="286"/>
      <c r="L318" s="286"/>
      <c r="M318" s="286"/>
      <c r="N318" s="286"/>
    </row>
    <row r="319">
      <c r="A319" s="286"/>
      <c r="B319" s="286"/>
      <c r="C319" s="286"/>
      <c r="D319" s="286"/>
      <c r="E319" s="306"/>
      <c r="F319" s="306"/>
      <c r="G319" s="286"/>
      <c r="H319" s="286"/>
      <c r="I319" s="286"/>
      <c r="J319" s="286"/>
      <c r="K319" s="286"/>
      <c r="L319" s="286"/>
      <c r="M319" s="286"/>
      <c r="N319" s="286"/>
    </row>
    <row r="320">
      <c r="A320" s="286"/>
      <c r="B320" s="286"/>
      <c r="C320" s="286"/>
      <c r="D320" s="286"/>
      <c r="E320" s="306"/>
      <c r="F320" s="306"/>
      <c r="G320" s="286"/>
      <c r="H320" s="286"/>
      <c r="I320" s="286"/>
      <c r="J320" s="286"/>
      <c r="K320" s="286"/>
      <c r="L320" s="286"/>
      <c r="M320" s="286"/>
      <c r="N320" s="286"/>
    </row>
    <row r="321">
      <c r="A321" s="286"/>
      <c r="B321" s="286"/>
      <c r="C321" s="286"/>
      <c r="D321" s="286"/>
      <c r="E321" s="306"/>
      <c r="F321" s="306"/>
      <c r="G321" s="286"/>
      <c r="H321" s="286"/>
      <c r="I321" s="286"/>
      <c r="J321" s="286"/>
      <c r="K321" s="286"/>
      <c r="L321" s="286"/>
      <c r="M321" s="286"/>
      <c r="N321" s="286"/>
    </row>
    <row r="322">
      <c r="A322" s="286"/>
      <c r="B322" s="286"/>
      <c r="C322" s="286"/>
      <c r="D322" s="286"/>
      <c r="E322" s="306"/>
      <c r="F322" s="306"/>
      <c r="G322" s="286"/>
      <c r="H322" s="286"/>
      <c r="I322" s="286"/>
      <c r="J322" s="286"/>
      <c r="K322" s="286"/>
      <c r="L322" s="286"/>
      <c r="M322" s="286"/>
      <c r="N322" s="286"/>
    </row>
    <row r="323">
      <c r="A323" s="286"/>
      <c r="B323" s="286"/>
      <c r="C323" s="286"/>
      <c r="D323" s="286"/>
      <c r="E323" s="306"/>
      <c r="F323" s="306"/>
      <c r="G323" s="286"/>
      <c r="H323" s="286"/>
      <c r="I323" s="286"/>
      <c r="J323" s="286"/>
      <c r="K323" s="286"/>
      <c r="L323" s="286"/>
      <c r="M323" s="286"/>
      <c r="N323" s="286"/>
    </row>
    <row r="324">
      <c r="A324" s="286"/>
      <c r="B324" s="286"/>
      <c r="C324" s="286"/>
      <c r="D324" s="286"/>
      <c r="E324" s="306"/>
      <c r="F324" s="306"/>
      <c r="G324" s="286"/>
      <c r="H324" s="286"/>
      <c r="I324" s="286"/>
      <c r="J324" s="286"/>
      <c r="K324" s="286"/>
      <c r="L324" s="286"/>
      <c r="M324" s="286"/>
      <c r="N324" s="286"/>
    </row>
    <row r="325">
      <c r="A325" s="286"/>
      <c r="B325" s="286"/>
      <c r="C325" s="286"/>
      <c r="D325" s="286"/>
      <c r="E325" s="306"/>
      <c r="F325" s="306"/>
      <c r="G325" s="286"/>
      <c r="H325" s="286"/>
      <c r="I325" s="286"/>
      <c r="J325" s="286"/>
      <c r="K325" s="286"/>
      <c r="L325" s="286"/>
      <c r="M325" s="286"/>
      <c r="N325" s="286"/>
    </row>
    <row r="326">
      <c r="A326" s="286"/>
      <c r="B326" s="286"/>
      <c r="C326" s="286"/>
      <c r="D326" s="286"/>
      <c r="E326" s="306"/>
      <c r="F326" s="306"/>
      <c r="G326" s="286"/>
      <c r="H326" s="286"/>
      <c r="I326" s="286"/>
      <c r="J326" s="286"/>
      <c r="K326" s="286"/>
      <c r="L326" s="286"/>
      <c r="M326" s="286"/>
      <c r="N326" s="286"/>
    </row>
    <row r="327">
      <c r="A327" s="286"/>
      <c r="B327" s="286"/>
      <c r="C327" s="286"/>
      <c r="D327" s="286"/>
      <c r="E327" s="306"/>
      <c r="F327" s="306"/>
      <c r="G327" s="286"/>
      <c r="H327" s="286"/>
      <c r="I327" s="286"/>
      <c r="J327" s="286"/>
      <c r="K327" s="286"/>
      <c r="L327" s="286"/>
      <c r="M327" s="286"/>
      <c r="N327" s="286"/>
    </row>
    <row r="328">
      <c r="A328" s="286"/>
      <c r="B328" s="286"/>
      <c r="C328" s="286"/>
      <c r="D328" s="286"/>
      <c r="E328" s="306"/>
      <c r="F328" s="306"/>
      <c r="G328" s="286"/>
      <c r="H328" s="286"/>
      <c r="I328" s="286"/>
      <c r="J328" s="286"/>
      <c r="K328" s="286"/>
      <c r="L328" s="286"/>
      <c r="M328" s="286"/>
      <c r="N328" s="286"/>
    </row>
    <row r="329">
      <c r="A329" s="286"/>
      <c r="B329" s="286"/>
      <c r="C329" s="286"/>
      <c r="D329" s="286"/>
      <c r="E329" s="306"/>
      <c r="F329" s="306"/>
      <c r="G329" s="286"/>
      <c r="H329" s="286"/>
      <c r="I329" s="286"/>
      <c r="J329" s="286"/>
      <c r="K329" s="286"/>
      <c r="L329" s="286"/>
      <c r="M329" s="286"/>
      <c r="N329" s="286"/>
    </row>
    <row r="330">
      <c r="A330" s="286"/>
      <c r="B330" s="286"/>
      <c r="C330" s="286"/>
      <c r="D330" s="286"/>
      <c r="E330" s="306"/>
      <c r="F330" s="306"/>
      <c r="G330" s="286"/>
      <c r="H330" s="286"/>
      <c r="I330" s="286"/>
      <c r="J330" s="286"/>
      <c r="K330" s="286"/>
      <c r="L330" s="286"/>
      <c r="M330" s="286"/>
      <c r="N330" s="286"/>
    </row>
    <row r="331">
      <c r="A331" s="286"/>
      <c r="B331" s="286"/>
      <c r="C331" s="286"/>
      <c r="D331" s="286"/>
      <c r="E331" s="306"/>
      <c r="F331" s="306"/>
      <c r="G331" s="286"/>
      <c r="H331" s="286"/>
      <c r="I331" s="286"/>
      <c r="J331" s="286"/>
      <c r="K331" s="286"/>
      <c r="L331" s="286"/>
      <c r="M331" s="286"/>
      <c r="N331" s="286"/>
    </row>
    <row r="332">
      <c r="A332" s="286"/>
      <c r="B332" s="286"/>
      <c r="C332" s="286"/>
      <c r="D332" s="286"/>
      <c r="E332" s="306"/>
      <c r="F332" s="306"/>
      <c r="G332" s="286"/>
      <c r="H332" s="286"/>
      <c r="I332" s="286"/>
      <c r="J332" s="286"/>
      <c r="K332" s="286"/>
      <c r="L332" s="286"/>
      <c r="M332" s="286"/>
      <c r="N332" s="286"/>
    </row>
    <row r="333">
      <c r="A333" s="286"/>
      <c r="B333" s="286"/>
      <c r="C333" s="286"/>
      <c r="D333" s="286"/>
      <c r="E333" s="306"/>
      <c r="F333" s="306"/>
      <c r="G333" s="286"/>
      <c r="H333" s="286"/>
      <c r="I333" s="286"/>
      <c r="J333" s="286"/>
      <c r="K333" s="286"/>
      <c r="L333" s="286"/>
      <c r="M333" s="286"/>
      <c r="N333" s="286"/>
    </row>
    <row r="334">
      <c r="A334" s="286"/>
      <c r="B334" s="286"/>
      <c r="C334" s="286"/>
      <c r="D334" s="286"/>
      <c r="E334" s="306"/>
      <c r="F334" s="306"/>
      <c r="G334" s="286"/>
      <c r="H334" s="286"/>
      <c r="I334" s="286"/>
      <c r="J334" s="286"/>
      <c r="K334" s="286"/>
      <c r="L334" s="286"/>
      <c r="M334" s="286"/>
      <c r="N334" s="286"/>
    </row>
    <row r="335">
      <c r="A335" s="286"/>
      <c r="B335" s="286"/>
      <c r="C335" s="286"/>
      <c r="D335" s="286"/>
      <c r="E335" s="306"/>
      <c r="F335" s="306"/>
      <c r="G335" s="286"/>
      <c r="H335" s="286"/>
      <c r="I335" s="286"/>
      <c r="J335" s="286"/>
      <c r="K335" s="286"/>
      <c r="L335" s="286"/>
      <c r="M335" s="286"/>
      <c r="N335" s="286"/>
    </row>
    <row r="336">
      <c r="A336" s="286"/>
      <c r="B336" s="286"/>
      <c r="C336" s="286"/>
      <c r="D336" s="286"/>
      <c r="E336" s="306"/>
      <c r="F336" s="306"/>
      <c r="G336" s="286"/>
      <c r="H336" s="286"/>
      <c r="I336" s="286"/>
      <c r="J336" s="286"/>
      <c r="K336" s="286"/>
      <c r="L336" s="286"/>
      <c r="M336" s="286"/>
      <c r="N336" s="286"/>
    </row>
    <row r="337">
      <c r="A337" s="286"/>
      <c r="B337" s="286"/>
      <c r="C337" s="286"/>
      <c r="D337" s="286"/>
      <c r="E337" s="306"/>
      <c r="F337" s="306"/>
      <c r="G337" s="286"/>
      <c r="H337" s="286"/>
      <c r="I337" s="286"/>
      <c r="J337" s="286"/>
      <c r="K337" s="286"/>
      <c r="L337" s="286"/>
      <c r="M337" s="286"/>
      <c r="N337" s="286"/>
    </row>
    <row r="338">
      <c r="A338" s="286"/>
      <c r="B338" s="286"/>
      <c r="C338" s="286"/>
      <c r="D338" s="286"/>
      <c r="E338" s="306"/>
      <c r="F338" s="306"/>
      <c r="G338" s="286"/>
      <c r="H338" s="286"/>
      <c r="I338" s="286"/>
      <c r="J338" s="286"/>
      <c r="K338" s="286"/>
      <c r="L338" s="286"/>
      <c r="M338" s="286"/>
      <c r="N338" s="286"/>
    </row>
    <row r="339">
      <c r="A339" s="286"/>
      <c r="B339" s="286"/>
      <c r="C339" s="286"/>
      <c r="D339" s="286"/>
      <c r="E339" s="306"/>
      <c r="F339" s="306"/>
      <c r="G339" s="286"/>
      <c r="H339" s="286"/>
      <c r="I339" s="286"/>
      <c r="J339" s="286"/>
      <c r="K339" s="286"/>
      <c r="L339" s="286"/>
      <c r="M339" s="286"/>
      <c r="N339" s="286"/>
    </row>
    <row r="340">
      <c r="A340" s="286"/>
      <c r="B340" s="286"/>
      <c r="C340" s="286"/>
      <c r="D340" s="286"/>
      <c r="E340" s="306"/>
      <c r="F340" s="306"/>
      <c r="G340" s="286"/>
      <c r="H340" s="286"/>
      <c r="I340" s="286"/>
      <c r="J340" s="286"/>
      <c r="K340" s="286"/>
      <c r="L340" s="286"/>
      <c r="M340" s="286"/>
      <c r="N340" s="286"/>
    </row>
    <row r="341">
      <c r="A341" s="286"/>
      <c r="B341" s="286"/>
      <c r="C341" s="286"/>
      <c r="D341" s="286"/>
      <c r="E341" s="306"/>
      <c r="F341" s="306"/>
      <c r="G341" s="286"/>
      <c r="H341" s="286"/>
      <c r="I341" s="286"/>
      <c r="J341" s="286"/>
      <c r="K341" s="286"/>
      <c r="L341" s="286"/>
      <c r="M341" s="286"/>
      <c r="N341" s="286"/>
    </row>
    <row r="342">
      <c r="A342" s="286"/>
      <c r="B342" s="286"/>
      <c r="C342" s="286"/>
      <c r="D342" s="286"/>
      <c r="E342" s="306"/>
      <c r="F342" s="306"/>
      <c r="G342" s="286"/>
      <c r="H342" s="286"/>
      <c r="I342" s="286"/>
      <c r="J342" s="286"/>
      <c r="K342" s="286"/>
      <c r="L342" s="286"/>
      <c r="M342" s="286"/>
      <c r="N342" s="286"/>
    </row>
    <row r="343">
      <c r="A343" s="286"/>
      <c r="B343" s="286"/>
      <c r="C343" s="286"/>
      <c r="D343" s="286"/>
      <c r="E343" s="306"/>
      <c r="F343" s="306"/>
      <c r="G343" s="286"/>
      <c r="H343" s="286"/>
      <c r="I343" s="286"/>
      <c r="J343" s="286"/>
      <c r="K343" s="286"/>
      <c r="L343" s="286"/>
      <c r="M343" s="286"/>
      <c r="N343" s="286"/>
    </row>
    <row r="344">
      <c r="A344" s="286"/>
      <c r="B344" s="286"/>
      <c r="C344" s="286"/>
      <c r="D344" s="286"/>
      <c r="E344" s="306"/>
      <c r="F344" s="306"/>
      <c r="G344" s="286"/>
      <c r="H344" s="286"/>
      <c r="I344" s="286"/>
      <c r="J344" s="286"/>
      <c r="K344" s="286"/>
      <c r="L344" s="286"/>
      <c r="M344" s="286"/>
      <c r="N344" s="286"/>
    </row>
    <row r="345">
      <c r="A345" s="286"/>
      <c r="B345" s="286"/>
      <c r="C345" s="286"/>
      <c r="D345" s="286"/>
      <c r="E345" s="306"/>
      <c r="F345" s="306"/>
      <c r="G345" s="286"/>
      <c r="H345" s="286"/>
      <c r="I345" s="286"/>
      <c r="J345" s="286"/>
      <c r="K345" s="286"/>
      <c r="L345" s="286"/>
      <c r="M345" s="286"/>
      <c r="N345" s="286"/>
    </row>
    <row r="346">
      <c r="A346" s="286"/>
      <c r="B346" s="286"/>
      <c r="C346" s="286"/>
      <c r="D346" s="286"/>
      <c r="E346" s="306"/>
      <c r="F346" s="306"/>
      <c r="G346" s="286"/>
      <c r="H346" s="286"/>
      <c r="I346" s="286"/>
      <c r="J346" s="286"/>
      <c r="K346" s="286"/>
      <c r="L346" s="286"/>
      <c r="M346" s="286"/>
      <c r="N346" s="286"/>
    </row>
    <row r="347">
      <c r="A347" s="286"/>
      <c r="B347" s="286"/>
      <c r="C347" s="286"/>
      <c r="D347" s="286"/>
      <c r="E347" s="306"/>
      <c r="F347" s="306"/>
      <c r="G347" s="286"/>
      <c r="H347" s="286"/>
      <c r="I347" s="286"/>
      <c r="J347" s="286"/>
      <c r="K347" s="286"/>
      <c r="L347" s="286"/>
      <c r="M347" s="286"/>
      <c r="N347" s="286"/>
    </row>
    <row r="348">
      <c r="A348" s="286"/>
      <c r="B348" s="286"/>
      <c r="C348" s="286"/>
      <c r="D348" s="286"/>
      <c r="E348" s="306"/>
      <c r="F348" s="306"/>
      <c r="G348" s="286"/>
      <c r="H348" s="286"/>
      <c r="I348" s="286"/>
      <c r="J348" s="286"/>
      <c r="K348" s="286"/>
      <c r="L348" s="286"/>
      <c r="M348" s="286"/>
      <c r="N348" s="286"/>
    </row>
    <row r="349">
      <c r="A349" s="286"/>
      <c r="B349" s="286"/>
      <c r="C349" s="286"/>
      <c r="D349" s="286"/>
      <c r="E349" s="306"/>
      <c r="F349" s="306"/>
      <c r="G349" s="286"/>
      <c r="H349" s="286"/>
      <c r="I349" s="286"/>
      <c r="J349" s="286"/>
      <c r="K349" s="286"/>
      <c r="L349" s="286"/>
      <c r="M349" s="286"/>
      <c r="N349" s="286"/>
    </row>
    <row r="350">
      <c r="A350" s="286"/>
      <c r="B350" s="286"/>
      <c r="C350" s="286"/>
      <c r="D350" s="286"/>
      <c r="E350" s="306"/>
      <c r="F350" s="306"/>
      <c r="G350" s="286"/>
      <c r="H350" s="286"/>
      <c r="I350" s="286"/>
      <c r="J350" s="286"/>
      <c r="K350" s="286"/>
      <c r="L350" s="286"/>
      <c r="M350" s="286"/>
      <c r="N350" s="286"/>
    </row>
    <row r="351">
      <c r="A351" s="286"/>
      <c r="B351" s="286"/>
      <c r="C351" s="286"/>
      <c r="D351" s="286"/>
      <c r="E351" s="306"/>
      <c r="F351" s="306"/>
      <c r="G351" s="286"/>
      <c r="H351" s="286"/>
      <c r="I351" s="286"/>
      <c r="J351" s="286"/>
      <c r="K351" s="286"/>
      <c r="L351" s="286"/>
      <c r="M351" s="286"/>
      <c r="N351" s="286"/>
    </row>
    <row r="352">
      <c r="A352" s="286"/>
      <c r="B352" s="286"/>
      <c r="C352" s="286"/>
      <c r="D352" s="286"/>
      <c r="E352" s="306"/>
      <c r="F352" s="306"/>
      <c r="G352" s="286"/>
      <c r="H352" s="286"/>
      <c r="I352" s="286"/>
      <c r="J352" s="286"/>
      <c r="K352" s="286"/>
      <c r="L352" s="286"/>
      <c r="M352" s="286"/>
      <c r="N352" s="286"/>
    </row>
    <row r="353">
      <c r="A353" s="286"/>
      <c r="B353" s="286"/>
      <c r="C353" s="286"/>
      <c r="D353" s="286"/>
      <c r="E353" s="306"/>
      <c r="F353" s="306"/>
      <c r="G353" s="286"/>
      <c r="H353" s="286"/>
      <c r="I353" s="286"/>
      <c r="J353" s="286"/>
      <c r="K353" s="286"/>
      <c r="L353" s="286"/>
      <c r="M353" s="286"/>
      <c r="N353" s="286"/>
    </row>
    <row r="354">
      <c r="A354" s="286"/>
      <c r="B354" s="286"/>
      <c r="C354" s="286"/>
      <c r="D354" s="286"/>
      <c r="E354" s="306"/>
      <c r="F354" s="306"/>
      <c r="G354" s="286"/>
      <c r="H354" s="286"/>
      <c r="I354" s="286"/>
      <c r="J354" s="286"/>
      <c r="K354" s="286"/>
      <c r="L354" s="286"/>
      <c r="M354" s="286"/>
      <c r="N354" s="286"/>
    </row>
    <row r="355">
      <c r="A355" s="286"/>
      <c r="B355" s="286"/>
      <c r="C355" s="286"/>
      <c r="D355" s="286"/>
      <c r="E355" s="306"/>
      <c r="F355" s="306"/>
      <c r="G355" s="286"/>
      <c r="H355" s="286"/>
      <c r="I355" s="286"/>
      <c r="J355" s="286"/>
      <c r="K355" s="286"/>
      <c r="L355" s="286"/>
      <c r="M355" s="286"/>
      <c r="N355" s="286"/>
    </row>
    <row r="356">
      <c r="A356" s="286"/>
      <c r="B356" s="286"/>
      <c r="C356" s="286"/>
      <c r="D356" s="286"/>
      <c r="E356" s="306"/>
      <c r="F356" s="306"/>
      <c r="G356" s="286"/>
      <c r="H356" s="286"/>
      <c r="I356" s="286"/>
      <c r="J356" s="286"/>
      <c r="K356" s="286"/>
      <c r="L356" s="286"/>
      <c r="M356" s="286"/>
      <c r="N356" s="286"/>
    </row>
    <row r="357">
      <c r="A357" s="286"/>
      <c r="B357" s="286"/>
      <c r="C357" s="286"/>
      <c r="D357" s="286"/>
      <c r="E357" s="306"/>
      <c r="F357" s="306"/>
      <c r="G357" s="286"/>
      <c r="H357" s="286"/>
      <c r="I357" s="286"/>
      <c r="J357" s="286"/>
      <c r="K357" s="286"/>
      <c r="L357" s="286"/>
      <c r="M357" s="286"/>
      <c r="N357" s="286"/>
    </row>
    <row r="358">
      <c r="A358" s="286"/>
      <c r="B358" s="286"/>
      <c r="C358" s="286"/>
      <c r="D358" s="286"/>
      <c r="E358" s="306"/>
      <c r="F358" s="306"/>
      <c r="G358" s="286"/>
      <c r="H358" s="286"/>
      <c r="I358" s="286"/>
      <c r="J358" s="286"/>
      <c r="K358" s="286"/>
      <c r="L358" s="286"/>
      <c r="M358" s="286"/>
      <c r="N358" s="286"/>
    </row>
    <row r="359">
      <c r="A359" s="286"/>
      <c r="B359" s="286"/>
      <c r="C359" s="286"/>
      <c r="D359" s="286"/>
      <c r="E359" s="306"/>
      <c r="F359" s="306"/>
      <c r="G359" s="286"/>
      <c r="H359" s="286"/>
      <c r="I359" s="286"/>
      <c r="J359" s="286"/>
      <c r="K359" s="286"/>
      <c r="L359" s="286"/>
      <c r="M359" s="286"/>
      <c r="N359" s="286"/>
    </row>
    <row r="360">
      <c r="A360" s="286"/>
      <c r="B360" s="286"/>
      <c r="C360" s="286"/>
      <c r="D360" s="286"/>
      <c r="E360" s="306"/>
      <c r="F360" s="306"/>
      <c r="G360" s="286"/>
      <c r="H360" s="286"/>
      <c r="I360" s="286"/>
      <c r="J360" s="286"/>
      <c r="K360" s="286"/>
      <c r="L360" s="286"/>
      <c r="M360" s="286"/>
      <c r="N360" s="286"/>
    </row>
    <row r="361">
      <c r="A361" s="286"/>
      <c r="B361" s="286"/>
      <c r="C361" s="286"/>
      <c r="D361" s="286"/>
      <c r="E361" s="306"/>
      <c r="F361" s="306"/>
      <c r="G361" s="286"/>
      <c r="H361" s="286"/>
      <c r="I361" s="286"/>
      <c r="J361" s="286"/>
      <c r="K361" s="286"/>
      <c r="L361" s="286"/>
      <c r="M361" s="286"/>
      <c r="N361" s="286"/>
    </row>
    <row r="362">
      <c r="A362" s="286"/>
      <c r="B362" s="286"/>
      <c r="C362" s="286"/>
      <c r="D362" s="286"/>
      <c r="E362" s="306"/>
      <c r="F362" s="306"/>
      <c r="G362" s="286"/>
      <c r="H362" s="286"/>
      <c r="I362" s="286"/>
      <c r="J362" s="286"/>
      <c r="K362" s="286"/>
      <c r="L362" s="286"/>
      <c r="M362" s="286"/>
      <c r="N362" s="286"/>
    </row>
    <row r="363">
      <c r="A363" s="286"/>
      <c r="B363" s="286"/>
      <c r="C363" s="286"/>
      <c r="D363" s="286"/>
      <c r="E363" s="306"/>
      <c r="F363" s="306"/>
      <c r="G363" s="286"/>
      <c r="H363" s="286"/>
      <c r="I363" s="286"/>
      <c r="J363" s="286"/>
      <c r="K363" s="286"/>
      <c r="L363" s="286"/>
      <c r="M363" s="286"/>
      <c r="N363" s="286"/>
    </row>
    <row r="364">
      <c r="A364" s="286"/>
      <c r="B364" s="286"/>
      <c r="C364" s="286"/>
      <c r="D364" s="286"/>
      <c r="E364" s="306"/>
      <c r="F364" s="306"/>
      <c r="G364" s="286"/>
      <c r="H364" s="286"/>
      <c r="I364" s="286"/>
      <c r="J364" s="286"/>
      <c r="K364" s="286"/>
      <c r="L364" s="286"/>
      <c r="M364" s="286"/>
      <c r="N364" s="286"/>
    </row>
    <row r="365">
      <c r="A365" s="286"/>
      <c r="B365" s="286"/>
      <c r="C365" s="286"/>
      <c r="D365" s="286"/>
      <c r="E365" s="306"/>
      <c r="F365" s="306"/>
      <c r="G365" s="286"/>
      <c r="H365" s="286"/>
      <c r="I365" s="286"/>
      <c r="J365" s="286"/>
      <c r="K365" s="286"/>
      <c r="L365" s="286"/>
      <c r="M365" s="286"/>
      <c r="N365" s="286"/>
    </row>
    <row r="366">
      <c r="A366" s="286"/>
      <c r="B366" s="286"/>
      <c r="C366" s="286"/>
      <c r="D366" s="286"/>
      <c r="E366" s="306"/>
      <c r="F366" s="306"/>
      <c r="G366" s="286"/>
      <c r="H366" s="286"/>
      <c r="I366" s="286"/>
      <c r="J366" s="286"/>
      <c r="K366" s="286"/>
      <c r="L366" s="286"/>
      <c r="M366" s="286"/>
      <c r="N366" s="286"/>
    </row>
    <row r="367">
      <c r="A367" s="286"/>
      <c r="B367" s="286"/>
      <c r="C367" s="286"/>
      <c r="D367" s="286"/>
      <c r="E367" s="306"/>
      <c r="F367" s="306"/>
      <c r="G367" s="286"/>
      <c r="H367" s="286"/>
      <c r="I367" s="286"/>
      <c r="J367" s="286"/>
      <c r="K367" s="286"/>
      <c r="L367" s="286"/>
      <c r="M367" s="286"/>
      <c r="N367" s="286"/>
    </row>
    <row r="368">
      <c r="A368" s="286"/>
      <c r="B368" s="286"/>
      <c r="C368" s="286"/>
      <c r="D368" s="286"/>
      <c r="E368" s="306"/>
      <c r="F368" s="306"/>
      <c r="G368" s="286"/>
      <c r="H368" s="286"/>
      <c r="I368" s="286"/>
      <c r="J368" s="286"/>
      <c r="K368" s="286"/>
      <c r="L368" s="286"/>
      <c r="M368" s="286"/>
      <c r="N368" s="286"/>
    </row>
    <row r="369">
      <c r="A369" s="286"/>
      <c r="B369" s="286"/>
      <c r="C369" s="286"/>
      <c r="D369" s="286"/>
      <c r="E369" s="306"/>
      <c r="F369" s="306"/>
      <c r="G369" s="286"/>
      <c r="H369" s="286"/>
      <c r="I369" s="286"/>
      <c r="J369" s="286"/>
      <c r="K369" s="286"/>
      <c r="L369" s="286"/>
      <c r="M369" s="286"/>
      <c r="N369" s="286"/>
    </row>
    <row r="370">
      <c r="A370" s="286"/>
      <c r="B370" s="286"/>
      <c r="C370" s="286"/>
      <c r="D370" s="286"/>
      <c r="E370" s="306"/>
      <c r="F370" s="306"/>
      <c r="G370" s="286"/>
      <c r="H370" s="286"/>
      <c r="I370" s="286"/>
      <c r="J370" s="286"/>
      <c r="K370" s="286"/>
      <c r="L370" s="286"/>
      <c r="M370" s="286"/>
      <c r="N370" s="286"/>
    </row>
    <row r="371">
      <c r="A371" s="286"/>
      <c r="B371" s="286"/>
      <c r="C371" s="286"/>
      <c r="D371" s="286"/>
      <c r="E371" s="306"/>
      <c r="F371" s="306"/>
      <c r="G371" s="286"/>
      <c r="H371" s="286"/>
      <c r="I371" s="286"/>
      <c r="J371" s="286"/>
      <c r="K371" s="286"/>
      <c r="L371" s="286"/>
      <c r="M371" s="286"/>
      <c r="N371" s="286"/>
    </row>
    <row r="372">
      <c r="A372" s="286"/>
      <c r="B372" s="286"/>
      <c r="C372" s="286"/>
      <c r="D372" s="286"/>
      <c r="E372" s="306"/>
      <c r="F372" s="306"/>
      <c r="G372" s="286"/>
      <c r="H372" s="286"/>
      <c r="I372" s="286"/>
      <c r="J372" s="286"/>
      <c r="K372" s="286"/>
      <c r="L372" s="286"/>
      <c r="M372" s="286"/>
      <c r="N372" s="286"/>
    </row>
    <row r="373">
      <c r="A373" s="286"/>
      <c r="B373" s="286"/>
      <c r="C373" s="286"/>
      <c r="D373" s="286"/>
      <c r="E373" s="306"/>
      <c r="F373" s="306"/>
      <c r="G373" s="286"/>
      <c r="H373" s="286"/>
      <c r="I373" s="286"/>
      <c r="J373" s="286"/>
      <c r="K373" s="286"/>
      <c r="L373" s="286"/>
      <c r="M373" s="286"/>
      <c r="N373" s="286"/>
    </row>
    <row r="374">
      <c r="A374" s="286"/>
      <c r="B374" s="286"/>
      <c r="C374" s="286"/>
      <c r="D374" s="286"/>
      <c r="E374" s="306"/>
      <c r="F374" s="306"/>
      <c r="G374" s="286"/>
      <c r="H374" s="286"/>
      <c r="I374" s="286"/>
      <c r="J374" s="286"/>
      <c r="K374" s="286"/>
      <c r="L374" s="286"/>
      <c r="M374" s="286"/>
      <c r="N374" s="286"/>
    </row>
    <row r="375">
      <c r="A375" s="286"/>
      <c r="B375" s="286"/>
      <c r="C375" s="286"/>
      <c r="D375" s="286"/>
      <c r="E375" s="306"/>
      <c r="F375" s="306"/>
      <c r="G375" s="286"/>
      <c r="H375" s="286"/>
      <c r="I375" s="286"/>
      <c r="J375" s="286"/>
      <c r="K375" s="286"/>
      <c r="L375" s="286"/>
      <c r="M375" s="286"/>
      <c r="N375" s="286"/>
    </row>
    <row r="376">
      <c r="A376" s="286"/>
      <c r="B376" s="286"/>
      <c r="C376" s="286"/>
      <c r="D376" s="286"/>
      <c r="E376" s="306"/>
      <c r="F376" s="306"/>
      <c r="G376" s="286"/>
      <c r="H376" s="286"/>
      <c r="I376" s="286"/>
      <c r="J376" s="286"/>
      <c r="K376" s="286"/>
      <c r="L376" s="286"/>
      <c r="M376" s="286"/>
      <c r="N376" s="286"/>
    </row>
    <row r="377">
      <c r="A377" s="286"/>
      <c r="B377" s="286"/>
      <c r="C377" s="286"/>
      <c r="D377" s="286"/>
      <c r="E377" s="306"/>
      <c r="F377" s="306"/>
      <c r="G377" s="286"/>
      <c r="H377" s="286"/>
      <c r="I377" s="286"/>
      <c r="J377" s="286"/>
      <c r="K377" s="286"/>
      <c r="L377" s="286"/>
      <c r="M377" s="286"/>
      <c r="N377" s="286"/>
    </row>
    <row r="378">
      <c r="A378" s="286"/>
      <c r="B378" s="286"/>
      <c r="C378" s="286"/>
      <c r="D378" s="286"/>
      <c r="E378" s="306"/>
      <c r="F378" s="306"/>
      <c r="G378" s="286"/>
      <c r="H378" s="286"/>
      <c r="I378" s="286"/>
      <c r="J378" s="286"/>
      <c r="K378" s="286"/>
      <c r="L378" s="286"/>
      <c r="M378" s="286"/>
      <c r="N378" s="286"/>
    </row>
    <row r="379">
      <c r="A379" s="286"/>
      <c r="B379" s="286"/>
      <c r="C379" s="286"/>
      <c r="D379" s="286"/>
      <c r="E379" s="306"/>
      <c r="F379" s="306"/>
      <c r="G379" s="286"/>
      <c r="H379" s="286"/>
      <c r="I379" s="286"/>
      <c r="J379" s="286"/>
      <c r="K379" s="286"/>
      <c r="L379" s="286"/>
      <c r="M379" s="286"/>
      <c r="N379" s="286"/>
    </row>
    <row r="380">
      <c r="A380" s="286"/>
      <c r="B380" s="286"/>
      <c r="C380" s="286"/>
      <c r="D380" s="286"/>
      <c r="E380" s="306"/>
      <c r="F380" s="306"/>
      <c r="G380" s="286"/>
      <c r="H380" s="286"/>
      <c r="I380" s="286"/>
      <c r="J380" s="286"/>
      <c r="K380" s="286"/>
      <c r="L380" s="286"/>
      <c r="M380" s="286"/>
      <c r="N380" s="286"/>
    </row>
    <row r="381">
      <c r="A381" s="286"/>
      <c r="B381" s="286"/>
      <c r="C381" s="286"/>
      <c r="D381" s="286"/>
      <c r="E381" s="306"/>
      <c r="F381" s="306"/>
      <c r="G381" s="286"/>
      <c r="H381" s="286"/>
      <c r="I381" s="286"/>
      <c r="J381" s="286"/>
      <c r="K381" s="286"/>
      <c r="L381" s="286"/>
      <c r="M381" s="286"/>
      <c r="N381" s="286"/>
    </row>
    <row r="382">
      <c r="A382" s="286"/>
      <c r="B382" s="286"/>
      <c r="C382" s="286"/>
      <c r="D382" s="286"/>
      <c r="E382" s="306"/>
      <c r="F382" s="306"/>
      <c r="G382" s="286"/>
      <c r="H382" s="286"/>
      <c r="I382" s="286"/>
      <c r="J382" s="286"/>
      <c r="K382" s="286"/>
      <c r="L382" s="286"/>
      <c r="M382" s="286"/>
      <c r="N382" s="286"/>
    </row>
    <row r="383">
      <c r="A383" s="286"/>
      <c r="B383" s="286"/>
      <c r="C383" s="286"/>
      <c r="D383" s="286"/>
      <c r="E383" s="306"/>
      <c r="F383" s="306"/>
      <c r="G383" s="286"/>
      <c r="H383" s="286"/>
      <c r="I383" s="286"/>
      <c r="J383" s="286"/>
      <c r="K383" s="286"/>
      <c r="L383" s="286"/>
      <c r="M383" s="286"/>
      <c r="N383" s="286"/>
    </row>
    <row r="384">
      <c r="A384" s="286"/>
      <c r="B384" s="286"/>
      <c r="C384" s="286"/>
      <c r="D384" s="286"/>
      <c r="E384" s="306"/>
      <c r="F384" s="306"/>
      <c r="G384" s="286"/>
      <c r="H384" s="286"/>
      <c r="I384" s="286"/>
      <c r="J384" s="286"/>
      <c r="K384" s="286"/>
      <c r="L384" s="286"/>
      <c r="M384" s="286"/>
      <c r="N384" s="286"/>
    </row>
    <row r="385">
      <c r="A385" s="286"/>
      <c r="B385" s="286"/>
      <c r="C385" s="286"/>
      <c r="D385" s="286"/>
      <c r="E385" s="306"/>
      <c r="F385" s="306"/>
      <c r="G385" s="286"/>
      <c r="H385" s="286"/>
      <c r="I385" s="286"/>
      <c r="J385" s="286"/>
      <c r="K385" s="286"/>
      <c r="L385" s="286"/>
      <c r="M385" s="286"/>
      <c r="N385" s="286"/>
    </row>
    <row r="386">
      <c r="A386" s="286"/>
      <c r="B386" s="286"/>
      <c r="C386" s="286"/>
      <c r="D386" s="286"/>
      <c r="E386" s="306"/>
      <c r="F386" s="306"/>
      <c r="G386" s="286"/>
      <c r="H386" s="286"/>
      <c r="I386" s="286"/>
      <c r="J386" s="286"/>
      <c r="K386" s="286"/>
      <c r="L386" s="286"/>
      <c r="M386" s="286"/>
      <c r="N386" s="286"/>
    </row>
    <row r="387">
      <c r="A387" s="286"/>
      <c r="B387" s="286"/>
      <c r="C387" s="286"/>
      <c r="D387" s="286"/>
      <c r="E387" s="306"/>
      <c r="F387" s="306"/>
      <c r="G387" s="286"/>
      <c r="H387" s="286"/>
      <c r="I387" s="286"/>
      <c r="J387" s="286"/>
      <c r="K387" s="286"/>
      <c r="L387" s="286"/>
      <c r="M387" s="286"/>
      <c r="N387" s="286"/>
    </row>
    <row r="388">
      <c r="A388" s="286"/>
      <c r="B388" s="286"/>
      <c r="C388" s="286"/>
      <c r="D388" s="286"/>
      <c r="E388" s="306"/>
      <c r="F388" s="306"/>
      <c r="G388" s="286"/>
      <c r="H388" s="286"/>
      <c r="I388" s="286"/>
      <c r="J388" s="286"/>
      <c r="K388" s="286"/>
      <c r="L388" s="286"/>
      <c r="M388" s="286"/>
      <c r="N388" s="286"/>
    </row>
    <row r="389">
      <c r="A389" s="286"/>
      <c r="B389" s="286"/>
      <c r="C389" s="286"/>
      <c r="D389" s="286"/>
      <c r="E389" s="306"/>
      <c r="F389" s="306"/>
      <c r="G389" s="286"/>
      <c r="H389" s="286"/>
      <c r="I389" s="286"/>
      <c r="J389" s="286"/>
      <c r="K389" s="286"/>
      <c r="L389" s="286"/>
      <c r="M389" s="286"/>
      <c r="N389" s="286"/>
    </row>
    <row r="390">
      <c r="A390" s="286"/>
      <c r="B390" s="286"/>
      <c r="C390" s="286"/>
      <c r="D390" s="286"/>
      <c r="E390" s="306"/>
      <c r="F390" s="306"/>
      <c r="G390" s="286"/>
      <c r="H390" s="286"/>
      <c r="I390" s="286"/>
      <c r="J390" s="286"/>
      <c r="K390" s="286"/>
      <c r="L390" s="286"/>
      <c r="M390" s="286"/>
      <c r="N390" s="286"/>
    </row>
    <row r="391">
      <c r="A391" s="286"/>
      <c r="B391" s="286"/>
      <c r="C391" s="286"/>
      <c r="D391" s="286"/>
      <c r="E391" s="306"/>
      <c r="F391" s="306"/>
      <c r="G391" s="286"/>
      <c r="H391" s="286"/>
      <c r="I391" s="286"/>
      <c r="J391" s="286"/>
      <c r="K391" s="286"/>
      <c r="L391" s="286"/>
      <c r="M391" s="286"/>
      <c r="N391" s="286"/>
    </row>
    <row r="392">
      <c r="A392" s="286"/>
      <c r="B392" s="286"/>
      <c r="C392" s="286"/>
      <c r="D392" s="286"/>
      <c r="E392" s="306"/>
      <c r="F392" s="306"/>
      <c r="G392" s="286"/>
      <c r="H392" s="286"/>
      <c r="I392" s="286"/>
      <c r="J392" s="286"/>
      <c r="K392" s="286"/>
      <c r="L392" s="286"/>
      <c r="M392" s="286"/>
      <c r="N392" s="286"/>
    </row>
    <row r="393">
      <c r="A393" s="286"/>
      <c r="B393" s="286"/>
      <c r="C393" s="286"/>
      <c r="D393" s="286"/>
      <c r="E393" s="306"/>
      <c r="F393" s="306"/>
      <c r="G393" s="286"/>
      <c r="H393" s="286"/>
      <c r="I393" s="286"/>
      <c r="J393" s="286"/>
      <c r="K393" s="286"/>
      <c r="L393" s="286"/>
      <c r="M393" s="286"/>
      <c r="N393" s="286"/>
    </row>
    <row r="394">
      <c r="A394" s="286"/>
      <c r="B394" s="286"/>
      <c r="C394" s="286"/>
      <c r="D394" s="286"/>
      <c r="E394" s="306"/>
      <c r="F394" s="306"/>
      <c r="G394" s="286"/>
      <c r="H394" s="286"/>
      <c r="I394" s="286"/>
      <c r="J394" s="286"/>
      <c r="K394" s="286"/>
      <c r="L394" s="286"/>
      <c r="M394" s="286"/>
      <c r="N394" s="286"/>
    </row>
    <row r="395">
      <c r="A395" s="286"/>
      <c r="B395" s="286"/>
      <c r="C395" s="286"/>
      <c r="D395" s="286"/>
      <c r="E395" s="306"/>
      <c r="F395" s="306"/>
      <c r="G395" s="286"/>
      <c r="H395" s="286"/>
      <c r="I395" s="286"/>
      <c r="J395" s="286"/>
      <c r="K395" s="286"/>
      <c r="L395" s="286"/>
      <c r="M395" s="286"/>
      <c r="N395" s="286"/>
    </row>
    <row r="396">
      <c r="A396" s="286"/>
      <c r="B396" s="286"/>
      <c r="C396" s="286"/>
      <c r="D396" s="286"/>
      <c r="E396" s="306"/>
      <c r="F396" s="306"/>
      <c r="G396" s="286"/>
      <c r="H396" s="286"/>
      <c r="I396" s="286"/>
      <c r="J396" s="286"/>
      <c r="K396" s="286"/>
      <c r="L396" s="286"/>
      <c r="M396" s="286"/>
      <c r="N396" s="286"/>
    </row>
    <row r="397">
      <c r="A397" s="286"/>
      <c r="B397" s="286"/>
      <c r="C397" s="286"/>
      <c r="D397" s="286"/>
      <c r="E397" s="306"/>
      <c r="F397" s="306"/>
      <c r="G397" s="286"/>
      <c r="H397" s="286"/>
      <c r="I397" s="286"/>
      <c r="J397" s="286"/>
      <c r="K397" s="286"/>
      <c r="L397" s="286"/>
      <c r="M397" s="286"/>
      <c r="N397" s="286"/>
    </row>
    <row r="398">
      <c r="A398" s="286"/>
      <c r="B398" s="286"/>
      <c r="C398" s="286"/>
      <c r="D398" s="286"/>
      <c r="E398" s="306"/>
      <c r="F398" s="306"/>
      <c r="G398" s="286"/>
      <c r="H398" s="286"/>
      <c r="I398" s="286"/>
      <c r="J398" s="286"/>
      <c r="K398" s="286"/>
      <c r="L398" s="286"/>
      <c r="M398" s="286"/>
      <c r="N398" s="286"/>
    </row>
    <row r="399">
      <c r="A399" s="286"/>
      <c r="B399" s="286"/>
      <c r="C399" s="286"/>
      <c r="D399" s="286"/>
      <c r="E399" s="306"/>
      <c r="F399" s="306"/>
      <c r="G399" s="286"/>
      <c r="H399" s="286"/>
      <c r="I399" s="286"/>
      <c r="J399" s="286"/>
      <c r="K399" s="286"/>
      <c r="L399" s="286"/>
      <c r="M399" s="286"/>
      <c r="N399" s="286"/>
    </row>
    <row r="400">
      <c r="A400" s="286"/>
      <c r="B400" s="286"/>
      <c r="C400" s="286"/>
      <c r="D400" s="286"/>
      <c r="E400" s="306"/>
      <c r="F400" s="306"/>
      <c r="G400" s="286"/>
      <c r="H400" s="286"/>
      <c r="I400" s="286"/>
      <c r="J400" s="286"/>
      <c r="K400" s="286"/>
      <c r="L400" s="286"/>
      <c r="M400" s="286"/>
      <c r="N400" s="286"/>
    </row>
    <row r="401">
      <c r="A401" s="286"/>
      <c r="B401" s="286"/>
      <c r="C401" s="286"/>
      <c r="D401" s="286"/>
      <c r="E401" s="306"/>
      <c r="F401" s="306"/>
      <c r="G401" s="286"/>
      <c r="H401" s="286"/>
      <c r="I401" s="286"/>
      <c r="J401" s="286"/>
      <c r="K401" s="286"/>
      <c r="L401" s="286"/>
      <c r="M401" s="286"/>
      <c r="N401" s="286"/>
    </row>
    <row r="402">
      <c r="A402" s="286"/>
      <c r="B402" s="286"/>
      <c r="C402" s="286"/>
      <c r="D402" s="286"/>
      <c r="E402" s="306"/>
      <c r="F402" s="306"/>
      <c r="G402" s="286"/>
      <c r="H402" s="286"/>
      <c r="I402" s="286"/>
      <c r="J402" s="286"/>
      <c r="K402" s="286"/>
      <c r="L402" s="286"/>
      <c r="M402" s="286"/>
      <c r="N402" s="286"/>
    </row>
    <row r="403">
      <c r="A403" s="286"/>
      <c r="B403" s="286"/>
      <c r="C403" s="286"/>
      <c r="D403" s="286"/>
      <c r="E403" s="306"/>
      <c r="F403" s="306"/>
      <c r="G403" s="286"/>
      <c r="H403" s="286"/>
      <c r="I403" s="286"/>
      <c r="J403" s="286"/>
      <c r="K403" s="286"/>
      <c r="L403" s="286"/>
      <c r="M403" s="286"/>
      <c r="N403" s="286"/>
    </row>
    <row r="404">
      <c r="A404" s="286"/>
      <c r="B404" s="286"/>
      <c r="C404" s="286"/>
      <c r="D404" s="286"/>
      <c r="E404" s="306"/>
      <c r="F404" s="306"/>
      <c r="G404" s="286"/>
      <c r="H404" s="286"/>
      <c r="I404" s="286"/>
      <c r="J404" s="286"/>
      <c r="K404" s="286"/>
      <c r="L404" s="286"/>
      <c r="M404" s="286"/>
      <c r="N404" s="286"/>
    </row>
    <row r="405">
      <c r="A405" s="286"/>
      <c r="B405" s="286"/>
      <c r="C405" s="286"/>
      <c r="D405" s="286"/>
      <c r="E405" s="306"/>
      <c r="F405" s="306"/>
      <c r="G405" s="286"/>
      <c r="H405" s="286"/>
      <c r="I405" s="286"/>
      <c r="J405" s="286"/>
      <c r="K405" s="286"/>
      <c r="L405" s="286"/>
      <c r="M405" s="286"/>
      <c r="N405" s="286"/>
    </row>
    <row r="406">
      <c r="A406" s="286"/>
      <c r="B406" s="286"/>
      <c r="C406" s="286"/>
      <c r="D406" s="286"/>
      <c r="E406" s="306"/>
      <c r="F406" s="306"/>
      <c r="G406" s="286"/>
      <c r="H406" s="286"/>
      <c r="I406" s="286"/>
      <c r="J406" s="286"/>
      <c r="K406" s="286"/>
      <c r="L406" s="286"/>
      <c r="M406" s="286"/>
      <c r="N406" s="286"/>
    </row>
    <row r="407">
      <c r="A407" s="286"/>
      <c r="B407" s="286"/>
      <c r="C407" s="286"/>
      <c r="D407" s="286"/>
      <c r="E407" s="306"/>
      <c r="F407" s="306"/>
      <c r="G407" s="286"/>
      <c r="H407" s="286"/>
      <c r="I407" s="286"/>
      <c r="J407" s="286"/>
      <c r="K407" s="286"/>
      <c r="L407" s="286"/>
      <c r="M407" s="286"/>
      <c r="N407" s="286"/>
    </row>
    <row r="408">
      <c r="A408" s="286"/>
      <c r="B408" s="286"/>
      <c r="C408" s="286"/>
      <c r="D408" s="286"/>
      <c r="E408" s="306"/>
      <c r="F408" s="306"/>
      <c r="G408" s="286"/>
      <c r="H408" s="286"/>
      <c r="I408" s="286"/>
      <c r="J408" s="286"/>
      <c r="K408" s="286"/>
      <c r="L408" s="286"/>
      <c r="M408" s="286"/>
      <c r="N408" s="286"/>
    </row>
    <row r="409">
      <c r="A409" s="286"/>
      <c r="B409" s="286"/>
      <c r="C409" s="286"/>
      <c r="D409" s="286"/>
      <c r="E409" s="306"/>
      <c r="F409" s="306"/>
      <c r="G409" s="286"/>
      <c r="H409" s="286"/>
      <c r="I409" s="286"/>
      <c r="J409" s="286"/>
      <c r="K409" s="286"/>
      <c r="L409" s="286"/>
      <c r="M409" s="286"/>
      <c r="N409" s="286"/>
    </row>
    <row r="410">
      <c r="A410" s="286"/>
      <c r="B410" s="286"/>
      <c r="C410" s="286"/>
      <c r="D410" s="286"/>
      <c r="E410" s="306"/>
      <c r="F410" s="306"/>
      <c r="G410" s="286"/>
      <c r="H410" s="286"/>
      <c r="I410" s="286"/>
      <c r="J410" s="286"/>
      <c r="K410" s="286"/>
      <c r="L410" s="286"/>
      <c r="M410" s="286"/>
      <c r="N410" s="286"/>
    </row>
    <row r="411">
      <c r="A411" s="286"/>
      <c r="B411" s="286"/>
      <c r="C411" s="286"/>
      <c r="D411" s="286"/>
      <c r="E411" s="306"/>
      <c r="F411" s="306"/>
      <c r="G411" s="286"/>
      <c r="H411" s="286"/>
      <c r="I411" s="286"/>
      <c r="J411" s="286"/>
      <c r="K411" s="286"/>
      <c r="L411" s="286"/>
      <c r="M411" s="286"/>
      <c r="N411" s="286"/>
    </row>
    <row r="412">
      <c r="A412" s="286"/>
      <c r="B412" s="286"/>
      <c r="C412" s="286"/>
      <c r="D412" s="286"/>
      <c r="E412" s="306"/>
      <c r="F412" s="306"/>
      <c r="G412" s="286"/>
      <c r="H412" s="286"/>
      <c r="I412" s="286"/>
      <c r="J412" s="286"/>
      <c r="K412" s="286"/>
      <c r="L412" s="286"/>
      <c r="M412" s="286"/>
      <c r="N412" s="286"/>
    </row>
    <row r="413">
      <c r="A413" s="286"/>
      <c r="B413" s="286"/>
      <c r="C413" s="286"/>
      <c r="D413" s="286"/>
      <c r="E413" s="306"/>
      <c r="F413" s="306"/>
      <c r="G413" s="286"/>
      <c r="H413" s="286"/>
      <c r="I413" s="286"/>
      <c r="J413" s="286"/>
      <c r="K413" s="286"/>
      <c r="L413" s="286"/>
      <c r="M413" s="286"/>
      <c r="N413" s="286"/>
    </row>
    <row r="414">
      <c r="A414" s="286"/>
      <c r="B414" s="286"/>
      <c r="C414" s="286"/>
      <c r="D414" s="286"/>
      <c r="E414" s="306"/>
      <c r="F414" s="306"/>
      <c r="G414" s="286"/>
      <c r="H414" s="286"/>
      <c r="I414" s="286"/>
      <c r="J414" s="286"/>
      <c r="K414" s="286"/>
      <c r="L414" s="286"/>
      <c r="M414" s="286"/>
      <c r="N414" s="286"/>
    </row>
    <row r="415">
      <c r="A415" s="286"/>
      <c r="B415" s="286"/>
      <c r="C415" s="286"/>
      <c r="D415" s="286"/>
      <c r="E415" s="306"/>
      <c r="F415" s="306"/>
      <c r="G415" s="286"/>
      <c r="H415" s="286"/>
      <c r="I415" s="286"/>
      <c r="J415" s="286"/>
      <c r="K415" s="286"/>
      <c r="L415" s="286"/>
      <c r="M415" s="286"/>
      <c r="N415" s="286"/>
    </row>
    <row r="416">
      <c r="A416" s="286"/>
      <c r="B416" s="286"/>
      <c r="C416" s="286"/>
      <c r="D416" s="286"/>
      <c r="E416" s="306"/>
      <c r="F416" s="306"/>
      <c r="G416" s="286"/>
      <c r="H416" s="286"/>
      <c r="I416" s="286"/>
      <c r="J416" s="286"/>
      <c r="K416" s="286"/>
      <c r="L416" s="286"/>
      <c r="M416" s="286"/>
      <c r="N416" s="286"/>
    </row>
    <row r="417">
      <c r="A417" s="286"/>
      <c r="B417" s="286"/>
      <c r="C417" s="286"/>
      <c r="D417" s="286"/>
      <c r="E417" s="306"/>
      <c r="F417" s="306"/>
      <c r="G417" s="286"/>
      <c r="H417" s="286"/>
      <c r="I417" s="286"/>
      <c r="J417" s="286"/>
      <c r="K417" s="286"/>
      <c r="L417" s="286"/>
      <c r="M417" s="286"/>
      <c r="N417" s="286"/>
    </row>
    <row r="418">
      <c r="A418" s="286"/>
      <c r="B418" s="286"/>
      <c r="C418" s="286"/>
      <c r="D418" s="286"/>
      <c r="E418" s="306"/>
      <c r="F418" s="306"/>
      <c r="G418" s="286"/>
      <c r="H418" s="286"/>
      <c r="I418" s="286"/>
      <c r="J418" s="286"/>
      <c r="K418" s="286"/>
      <c r="L418" s="286"/>
      <c r="M418" s="286"/>
      <c r="N418" s="286"/>
    </row>
    <row r="419">
      <c r="A419" s="286"/>
      <c r="B419" s="286"/>
      <c r="C419" s="286"/>
      <c r="D419" s="286"/>
      <c r="E419" s="306"/>
      <c r="F419" s="306"/>
      <c r="G419" s="286"/>
      <c r="H419" s="286"/>
      <c r="I419" s="286"/>
      <c r="J419" s="286"/>
      <c r="K419" s="286"/>
      <c r="L419" s="286"/>
      <c r="M419" s="286"/>
      <c r="N419" s="286"/>
    </row>
    <row r="420">
      <c r="A420" s="286"/>
      <c r="B420" s="286"/>
      <c r="C420" s="286"/>
      <c r="D420" s="286"/>
      <c r="E420" s="306"/>
      <c r="F420" s="306"/>
      <c r="G420" s="286"/>
      <c r="H420" s="286"/>
      <c r="I420" s="286"/>
      <c r="J420" s="286"/>
      <c r="K420" s="286"/>
      <c r="L420" s="286"/>
      <c r="M420" s="286"/>
      <c r="N420" s="286"/>
    </row>
    <row r="421">
      <c r="A421" s="286"/>
      <c r="B421" s="286"/>
      <c r="C421" s="286"/>
      <c r="D421" s="286"/>
      <c r="E421" s="306"/>
      <c r="F421" s="306"/>
      <c r="G421" s="286"/>
      <c r="H421" s="286"/>
      <c r="I421" s="286"/>
      <c r="J421" s="286"/>
      <c r="K421" s="286"/>
      <c r="L421" s="286"/>
      <c r="M421" s="286"/>
      <c r="N421" s="286"/>
    </row>
    <row r="422">
      <c r="A422" s="286"/>
      <c r="B422" s="286"/>
      <c r="C422" s="286"/>
      <c r="D422" s="286"/>
      <c r="E422" s="306"/>
      <c r="F422" s="306"/>
      <c r="G422" s="286"/>
      <c r="H422" s="286"/>
      <c r="I422" s="286"/>
      <c r="J422" s="286"/>
      <c r="K422" s="286"/>
      <c r="L422" s="286"/>
      <c r="M422" s="286"/>
      <c r="N422" s="286"/>
    </row>
    <row r="423">
      <c r="A423" s="286"/>
      <c r="B423" s="286"/>
      <c r="C423" s="286"/>
      <c r="D423" s="286"/>
      <c r="E423" s="306"/>
      <c r="F423" s="306"/>
      <c r="G423" s="286"/>
      <c r="H423" s="286"/>
      <c r="I423" s="286"/>
      <c r="J423" s="286"/>
      <c r="K423" s="286"/>
      <c r="L423" s="286"/>
      <c r="M423" s="286"/>
      <c r="N423" s="286"/>
    </row>
    <row r="424">
      <c r="A424" s="286"/>
      <c r="B424" s="286"/>
      <c r="C424" s="286"/>
      <c r="D424" s="286"/>
      <c r="E424" s="306"/>
      <c r="F424" s="306"/>
      <c r="G424" s="286"/>
      <c r="H424" s="286"/>
      <c r="I424" s="286"/>
      <c r="J424" s="286"/>
      <c r="K424" s="286"/>
      <c r="L424" s="286"/>
      <c r="M424" s="286"/>
      <c r="N424" s="286"/>
    </row>
    <row r="425">
      <c r="A425" s="286"/>
      <c r="B425" s="286"/>
      <c r="C425" s="286"/>
      <c r="D425" s="286"/>
      <c r="E425" s="306"/>
      <c r="F425" s="306"/>
      <c r="G425" s="286"/>
      <c r="H425" s="286"/>
      <c r="I425" s="286"/>
      <c r="J425" s="286"/>
      <c r="K425" s="286"/>
      <c r="L425" s="286"/>
      <c r="M425" s="286"/>
      <c r="N425" s="286"/>
    </row>
    <row r="426">
      <c r="A426" s="286"/>
      <c r="B426" s="286"/>
      <c r="C426" s="286"/>
      <c r="D426" s="286"/>
      <c r="E426" s="306"/>
      <c r="F426" s="306"/>
      <c r="G426" s="286"/>
      <c r="H426" s="286"/>
      <c r="I426" s="286"/>
      <c r="J426" s="286"/>
      <c r="K426" s="286"/>
      <c r="L426" s="286"/>
      <c r="M426" s="286"/>
      <c r="N426" s="286"/>
    </row>
    <row r="427">
      <c r="A427" s="286"/>
      <c r="B427" s="286"/>
      <c r="C427" s="286"/>
      <c r="D427" s="286"/>
      <c r="E427" s="306"/>
      <c r="F427" s="306"/>
      <c r="G427" s="286"/>
      <c r="H427" s="286"/>
      <c r="I427" s="286"/>
      <c r="J427" s="286"/>
      <c r="K427" s="286"/>
      <c r="L427" s="286"/>
      <c r="M427" s="286"/>
      <c r="N427" s="286"/>
    </row>
    <row r="428">
      <c r="A428" s="286"/>
      <c r="B428" s="286"/>
      <c r="C428" s="286"/>
      <c r="D428" s="286"/>
      <c r="E428" s="306"/>
      <c r="F428" s="306"/>
      <c r="G428" s="286"/>
      <c r="H428" s="286"/>
      <c r="I428" s="286"/>
      <c r="J428" s="286"/>
      <c r="K428" s="286"/>
      <c r="L428" s="286"/>
      <c r="M428" s="286"/>
      <c r="N428" s="286"/>
    </row>
    <row r="429">
      <c r="A429" s="286"/>
      <c r="B429" s="286"/>
      <c r="C429" s="286"/>
      <c r="D429" s="286"/>
      <c r="E429" s="306"/>
      <c r="F429" s="306"/>
      <c r="G429" s="286"/>
      <c r="H429" s="286"/>
      <c r="I429" s="286"/>
      <c r="J429" s="286"/>
      <c r="K429" s="286"/>
      <c r="L429" s="286"/>
      <c r="M429" s="286"/>
      <c r="N429" s="286"/>
    </row>
    <row r="430">
      <c r="A430" s="286"/>
      <c r="B430" s="286"/>
      <c r="C430" s="286"/>
      <c r="D430" s="286"/>
      <c r="E430" s="306"/>
      <c r="F430" s="306"/>
      <c r="G430" s="286"/>
      <c r="H430" s="286"/>
      <c r="I430" s="286"/>
      <c r="J430" s="286"/>
      <c r="K430" s="286"/>
      <c r="L430" s="286"/>
      <c r="M430" s="286"/>
      <c r="N430" s="286"/>
    </row>
    <row r="431">
      <c r="A431" s="286"/>
      <c r="B431" s="286"/>
      <c r="C431" s="286"/>
      <c r="D431" s="286"/>
      <c r="E431" s="306"/>
      <c r="F431" s="306"/>
      <c r="G431" s="286"/>
      <c r="H431" s="286"/>
      <c r="I431" s="286"/>
      <c r="J431" s="286"/>
      <c r="K431" s="286"/>
      <c r="L431" s="286"/>
      <c r="M431" s="286"/>
      <c r="N431" s="286"/>
    </row>
    <row r="432">
      <c r="A432" s="286"/>
      <c r="B432" s="286"/>
      <c r="C432" s="286"/>
      <c r="D432" s="286"/>
      <c r="E432" s="306"/>
      <c r="F432" s="306"/>
      <c r="G432" s="286"/>
      <c r="H432" s="286"/>
      <c r="I432" s="286"/>
      <c r="J432" s="286"/>
      <c r="K432" s="286"/>
      <c r="L432" s="286"/>
      <c r="M432" s="286"/>
      <c r="N432" s="286"/>
    </row>
    <row r="433">
      <c r="A433" s="286"/>
      <c r="B433" s="286"/>
      <c r="C433" s="286"/>
      <c r="D433" s="286"/>
      <c r="E433" s="306"/>
      <c r="F433" s="306"/>
      <c r="G433" s="286"/>
      <c r="H433" s="286"/>
      <c r="I433" s="286"/>
      <c r="J433" s="286"/>
      <c r="K433" s="286"/>
      <c r="L433" s="286"/>
      <c r="M433" s="286"/>
      <c r="N433" s="286"/>
    </row>
    <row r="434">
      <c r="A434" s="286"/>
      <c r="B434" s="286"/>
      <c r="C434" s="286"/>
      <c r="D434" s="286"/>
      <c r="E434" s="306"/>
      <c r="F434" s="306"/>
      <c r="G434" s="286"/>
      <c r="H434" s="286"/>
      <c r="I434" s="286"/>
      <c r="J434" s="286"/>
      <c r="K434" s="286"/>
      <c r="L434" s="286"/>
      <c r="M434" s="286"/>
      <c r="N434" s="286"/>
    </row>
    <row r="435">
      <c r="A435" s="286"/>
      <c r="B435" s="286"/>
      <c r="C435" s="286"/>
      <c r="D435" s="286"/>
      <c r="E435" s="306"/>
      <c r="F435" s="306"/>
      <c r="G435" s="286"/>
      <c r="H435" s="286"/>
      <c r="I435" s="286"/>
      <c r="J435" s="286"/>
      <c r="K435" s="286"/>
      <c r="L435" s="286"/>
      <c r="M435" s="286"/>
      <c r="N435" s="286"/>
    </row>
    <row r="436">
      <c r="A436" s="286"/>
      <c r="B436" s="286"/>
      <c r="C436" s="286"/>
      <c r="D436" s="286"/>
      <c r="E436" s="306"/>
      <c r="F436" s="306"/>
      <c r="G436" s="286"/>
      <c r="H436" s="286"/>
      <c r="I436" s="286"/>
      <c r="J436" s="286"/>
      <c r="K436" s="286"/>
      <c r="L436" s="286"/>
      <c r="M436" s="286"/>
      <c r="N436" s="286"/>
    </row>
    <row r="437">
      <c r="A437" s="286"/>
      <c r="B437" s="286"/>
      <c r="C437" s="286"/>
      <c r="D437" s="286"/>
      <c r="E437" s="306"/>
      <c r="F437" s="306"/>
      <c r="G437" s="286"/>
      <c r="H437" s="286"/>
      <c r="I437" s="286"/>
      <c r="J437" s="286"/>
      <c r="K437" s="286"/>
      <c r="L437" s="286"/>
      <c r="M437" s="286"/>
      <c r="N437" s="286"/>
    </row>
    <row r="438">
      <c r="A438" s="286"/>
      <c r="B438" s="286"/>
      <c r="C438" s="286"/>
      <c r="D438" s="286"/>
      <c r="E438" s="306"/>
      <c r="F438" s="306"/>
      <c r="G438" s="286"/>
      <c r="H438" s="286"/>
      <c r="I438" s="286"/>
      <c r="J438" s="286"/>
      <c r="K438" s="286"/>
      <c r="L438" s="286"/>
      <c r="M438" s="286"/>
      <c r="N438" s="286"/>
    </row>
    <row r="439">
      <c r="A439" s="286"/>
      <c r="B439" s="286"/>
      <c r="C439" s="286"/>
      <c r="D439" s="286"/>
      <c r="E439" s="306"/>
      <c r="F439" s="306"/>
      <c r="G439" s="286"/>
      <c r="H439" s="286"/>
      <c r="I439" s="286"/>
      <c r="J439" s="286"/>
      <c r="K439" s="286"/>
      <c r="L439" s="286"/>
      <c r="M439" s="286"/>
      <c r="N439" s="286"/>
    </row>
    <row r="440">
      <c r="A440" s="286"/>
      <c r="B440" s="286"/>
      <c r="C440" s="286"/>
      <c r="D440" s="286"/>
      <c r="E440" s="306"/>
      <c r="F440" s="306"/>
      <c r="G440" s="286"/>
      <c r="H440" s="286"/>
      <c r="I440" s="286"/>
      <c r="J440" s="286"/>
      <c r="K440" s="286"/>
      <c r="L440" s="286"/>
      <c r="M440" s="286"/>
      <c r="N440" s="286"/>
    </row>
    <row r="441">
      <c r="A441" s="286"/>
      <c r="B441" s="286"/>
      <c r="C441" s="286"/>
      <c r="D441" s="286"/>
      <c r="E441" s="306"/>
      <c r="F441" s="306"/>
      <c r="G441" s="286"/>
      <c r="H441" s="286"/>
      <c r="I441" s="286"/>
      <c r="J441" s="286"/>
      <c r="K441" s="286"/>
      <c r="L441" s="286"/>
      <c r="M441" s="286"/>
      <c r="N441" s="286"/>
    </row>
    <row r="442">
      <c r="A442" s="286"/>
      <c r="B442" s="286"/>
      <c r="C442" s="286"/>
      <c r="D442" s="286"/>
      <c r="E442" s="306"/>
      <c r="F442" s="306"/>
      <c r="G442" s="286"/>
      <c r="H442" s="286"/>
      <c r="I442" s="286"/>
      <c r="J442" s="286"/>
      <c r="K442" s="286"/>
      <c r="L442" s="286"/>
      <c r="M442" s="286"/>
      <c r="N442" s="286"/>
    </row>
    <row r="443">
      <c r="A443" s="286"/>
      <c r="B443" s="286"/>
      <c r="C443" s="286"/>
      <c r="D443" s="286"/>
      <c r="E443" s="306"/>
      <c r="F443" s="306"/>
      <c r="G443" s="286"/>
      <c r="H443" s="286"/>
      <c r="I443" s="286"/>
      <c r="J443" s="286"/>
      <c r="K443" s="286"/>
      <c r="L443" s="286"/>
      <c r="M443" s="286"/>
      <c r="N443" s="286"/>
    </row>
    <row r="444">
      <c r="A444" s="286"/>
      <c r="B444" s="286"/>
      <c r="C444" s="286"/>
      <c r="D444" s="286"/>
      <c r="E444" s="306"/>
      <c r="F444" s="306"/>
      <c r="G444" s="286"/>
      <c r="H444" s="286"/>
      <c r="I444" s="286"/>
      <c r="J444" s="286"/>
      <c r="K444" s="286"/>
      <c r="L444" s="286"/>
      <c r="M444" s="286"/>
      <c r="N444" s="286"/>
    </row>
    <row r="445">
      <c r="A445" s="286"/>
      <c r="B445" s="286"/>
      <c r="C445" s="286"/>
      <c r="D445" s="286"/>
      <c r="E445" s="306"/>
      <c r="F445" s="306"/>
      <c r="G445" s="286"/>
      <c r="H445" s="286"/>
      <c r="I445" s="286"/>
      <c r="J445" s="286"/>
      <c r="K445" s="286"/>
      <c r="L445" s="286"/>
      <c r="M445" s="286"/>
      <c r="N445" s="286"/>
    </row>
    <row r="446">
      <c r="A446" s="286"/>
      <c r="B446" s="286"/>
      <c r="C446" s="286"/>
      <c r="D446" s="286"/>
      <c r="E446" s="306"/>
      <c r="F446" s="306"/>
      <c r="G446" s="286"/>
      <c r="H446" s="286"/>
      <c r="I446" s="286"/>
      <c r="J446" s="286"/>
      <c r="K446" s="286"/>
      <c r="L446" s="286"/>
      <c r="M446" s="286"/>
      <c r="N446" s="286"/>
    </row>
    <row r="447">
      <c r="A447" s="286"/>
      <c r="B447" s="286"/>
      <c r="C447" s="286"/>
      <c r="D447" s="286"/>
      <c r="E447" s="306"/>
      <c r="F447" s="306"/>
      <c r="G447" s="286"/>
      <c r="H447" s="286"/>
      <c r="I447" s="286"/>
      <c r="J447" s="286"/>
      <c r="K447" s="286"/>
      <c r="L447" s="286"/>
      <c r="M447" s="286"/>
      <c r="N447" s="286"/>
    </row>
    <row r="448">
      <c r="A448" s="286"/>
      <c r="B448" s="286"/>
      <c r="C448" s="286"/>
      <c r="D448" s="286"/>
      <c r="E448" s="306"/>
      <c r="F448" s="306"/>
      <c r="G448" s="286"/>
      <c r="H448" s="286"/>
      <c r="I448" s="286"/>
      <c r="J448" s="286"/>
      <c r="K448" s="286"/>
      <c r="L448" s="286"/>
      <c r="M448" s="286"/>
      <c r="N448" s="286"/>
    </row>
    <row r="449">
      <c r="A449" s="286"/>
      <c r="B449" s="286"/>
      <c r="C449" s="286"/>
      <c r="D449" s="286"/>
      <c r="E449" s="306"/>
      <c r="F449" s="306"/>
      <c r="G449" s="286"/>
      <c r="H449" s="286"/>
      <c r="I449" s="286"/>
      <c r="J449" s="286"/>
      <c r="K449" s="286"/>
      <c r="L449" s="286"/>
      <c r="M449" s="286"/>
      <c r="N449" s="286"/>
    </row>
    <row r="450">
      <c r="A450" s="286"/>
      <c r="B450" s="286"/>
      <c r="C450" s="286"/>
      <c r="D450" s="286"/>
      <c r="E450" s="306"/>
      <c r="F450" s="306"/>
      <c r="G450" s="286"/>
      <c r="H450" s="286"/>
      <c r="I450" s="286"/>
      <c r="J450" s="286"/>
      <c r="K450" s="286"/>
      <c r="L450" s="286"/>
      <c r="M450" s="286"/>
      <c r="N450" s="286"/>
    </row>
    <row r="451">
      <c r="A451" s="286"/>
      <c r="B451" s="286"/>
      <c r="C451" s="286"/>
      <c r="D451" s="286"/>
      <c r="E451" s="306"/>
      <c r="F451" s="306"/>
      <c r="G451" s="286"/>
      <c r="H451" s="286"/>
      <c r="I451" s="286"/>
      <c r="J451" s="286"/>
      <c r="K451" s="286"/>
      <c r="L451" s="286"/>
      <c r="M451" s="286"/>
      <c r="N451" s="286"/>
    </row>
    <row r="452">
      <c r="A452" s="286"/>
      <c r="B452" s="286"/>
      <c r="C452" s="286"/>
      <c r="D452" s="286"/>
      <c r="E452" s="306"/>
      <c r="F452" s="306"/>
      <c r="G452" s="286"/>
      <c r="H452" s="286"/>
      <c r="I452" s="286"/>
      <c r="J452" s="286"/>
      <c r="K452" s="286"/>
      <c r="L452" s="286"/>
      <c r="M452" s="286"/>
      <c r="N452" s="286"/>
    </row>
    <row r="453">
      <c r="A453" s="286"/>
      <c r="B453" s="286"/>
      <c r="C453" s="286"/>
      <c r="D453" s="286"/>
      <c r="E453" s="306"/>
      <c r="F453" s="306"/>
      <c r="G453" s="286"/>
      <c r="H453" s="286"/>
      <c r="I453" s="286"/>
      <c r="J453" s="286"/>
      <c r="K453" s="286"/>
      <c r="L453" s="286"/>
      <c r="M453" s="286"/>
      <c r="N453" s="286"/>
    </row>
    <row r="454">
      <c r="A454" s="286"/>
      <c r="B454" s="286"/>
      <c r="C454" s="286"/>
      <c r="D454" s="286"/>
      <c r="E454" s="306"/>
      <c r="F454" s="306"/>
      <c r="G454" s="286"/>
      <c r="H454" s="286"/>
      <c r="I454" s="286"/>
      <c r="J454" s="286"/>
      <c r="K454" s="286"/>
      <c r="L454" s="286"/>
      <c r="M454" s="286"/>
      <c r="N454" s="286"/>
    </row>
    <row r="455">
      <c r="A455" s="286"/>
      <c r="B455" s="286"/>
      <c r="C455" s="286"/>
      <c r="D455" s="286"/>
      <c r="E455" s="306"/>
      <c r="F455" s="306"/>
      <c r="G455" s="286"/>
      <c r="H455" s="286"/>
      <c r="I455" s="286"/>
      <c r="J455" s="286"/>
      <c r="K455" s="286"/>
      <c r="L455" s="286"/>
      <c r="M455" s="286"/>
      <c r="N455" s="286"/>
    </row>
    <row r="456">
      <c r="A456" s="286"/>
      <c r="B456" s="286"/>
      <c r="C456" s="286"/>
      <c r="D456" s="286"/>
      <c r="E456" s="306"/>
      <c r="F456" s="306"/>
      <c r="G456" s="286"/>
      <c r="H456" s="286"/>
      <c r="I456" s="286"/>
      <c r="J456" s="286"/>
      <c r="K456" s="286"/>
      <c r="L456" s="286"/>
      <c r="M456" s="286"/>
      <c r="N456" s="286"/>
    </row>
    <row r="457">
      <c r="A457" s="286"/>
      <c r="B457" s="286"/>
      <c r="C457" s="286"/>
      <c r="D457" s="286"/>
      <c r="E457" s="306"/>
      <c r="F457" s="306"/>
      <c r="G457" s="286"/>
      <c r="H457" s="286"/>
      <c r="I457" s="286"/>
      <c r="J457" s="286"/>
      <c r="K457" s="286"/>
      <c r="L457" s="286"/>
      <c r="M457" s="286"/>
      <c r="N457" s="286"/>
    </row>
    <row r="458">
      <c r="A458" s="286"/>
      <c r="B458" s="286"/>
      <c r="C458" s="286"/>
      <c r="D458" s="286"/>
      <c r="E458" s="306"/>
      <c r="F458" s="306"/>
      <c r="G458" s="286"/>
      <c r="H458" s="286"/>
      <c r="I458" s="286"/>
      <c r="J458" s="286"/>
      <c r="K458" s="286"/>
      <c r="L458" s="286"/>
      <c r="M458" s="286"/>
      <c r="N458" s="286"/>
    </row>
    <row r="459">
      <c r="A459" s="286"/>
      <c r="B459" s="286"/>
      <c r="C459" s="286"/>
      <c r="D459" s="286"/>
      <c r="E459" s="306"/>
      <c r="F459" s="306"/>
      <c r="G459" s="286"/>
      <c r="H459" s="286"/>
      <c r="I459" s="286"/>
      <c r="J459" s="286"/>
      <c r="K459" s="286"/>
      <c r="L459" s="286"/>
      <c r="M459" s="286"/>
      <c r="N459" s="286"/>
    </row>
    <row r="460">
      <c r="A460" s="286"/>
      <c r="B460" s="286"/>
      <c r="C460" s="286"/>
      <c r="D460" s="286"/>
      <c r="E460" s="306"/>
      <c r="F460" s="306"/>
      <c r="G460" s="286"/>
      <c r="H460" s="286"/>
      <c r="I460" s="286"/>
      <c r="J460" s="286"/>
      <c r="K460" s="286"/>
      <c r="L460" s="286"/>
      <c r="M460" s="286"/>
      <c r="N460" s="286"/>
    </row>
    <row r="461">
      <c r="A461" s="286"/>
      <c r="B461" s="286"/>
      <c r="C461" s="286"/>
      <c r="D461" s="286"/>
      <c r="E461" s="306"/>
      <c r="F461" s="306"/>
      <c r="G461" s="286"/>
      <c r="H461" s="286"/>
      <c r="I461" s="286"/>
      <c r="J461" s="286"/>
      <c r="K461" s="286"/>
      <c r="L461" s="286"/>
      <c r="M461" s="286"/>
      <c r="N461" s="286"/>
    </row>
    <row r="462">
      <c r="A462" s="286"/>
      <c r="B462" s="286"/>
      <c r="C462" s="286"/>
      <c r="D462" s="286"/>
      <c r="E462" s="306"/>
      <c r="F462" s="306"/>
      <c r="G462" s="286"/>
      <c r="H462" s="286"/>
      <c r="I462" s="286"/>
      <c r="J462" s="286"/>
      <c r="K462" s="286"/>
      <c r="L462" s="286"/>
      <c r="M462" s="286"/>
      <c r="N462" s="286"/>
    </row>
    <row r="463">
      <c r="A463" s="286"/>
      <c r="B463" s="286"/>
      <c r="C463" s="286"/>
      <c r="D463" s="286"/>
      <c r="E463" s="306"/>
      <c r="F463" s="306"/>
      <c r="G463" s="286"/>
      <c r="H463" s="286"/>
      <c r="I463" s="286"/>
      <c r="J463" s="286"/>
      <c r="K463" s="286"/>
      <c r="L463" s="286"/>
      <c r="M463" s="286"/>
      <c r="N463" s="286"/>
    </row>
    <row r="464">
      <c r="A464" s="286"/>
      <c r="B464" s="286"/>
      <c r="C464" s="286"/>
      <c r="D464" s="286"/>
      <c r="E464" s="306"/>
      <c r="F464" s="306"/>
      <c r="G464" s="286"/>
      <c r="H464" s="286"/>
      <c r="I464" s="286"/>
      <c r="J464" s="286"/>
      <c r="K464" s="286"/>
      <c r="L464" s="286"/>
      <c r="M464" s="286"/>
      <c r="N464" s="286"/>
    </row>
    <row r="465">
      <c r="A465" s="286"/>
      <c r="B465" s="286"/>
      <c r="C465" s="286"/>
      <c r="D465" s="286"/>
      <c r="E465" s="306"/>
      <c r="F465" s="306"/>
      <c r="G465" s="286"/>
      <c r="H465" s="286"/>
      <c r="I465" s="286"/>
      <c r="J465" s="286"/>
      <c r="K465" s="286"/>
      <c r="L465" s="286"/>
      <c r="M465" s="286"/>
      <c r="N465" s="286"/>
    </row>
    <row r="466">
      <c r="A466" s="286"/>
      <c r="B466" s="286"/>
      <c r="C466" s="286"/>
      <c r="D466" s="286"/>
      <c r="E466" s="306"/>
      <c r="F466" s="306"/>
      <c r="G466" s="286"/>
      <c r="H466" s="286"/>
      <c r="I466" s="286"/>
      <c r="J466" s="286"/>
      <c r="K466" s="286"/>
      <c r="L466" s="286"/>
      <c r="M466" s="286"/>
      <c r="N466" s="286"/>
    </row>
    <row r="467">
      <c r="A467" s="286"/>
      <c r="B467" s="286"/>
      <c r="C467" s="286"/>
      <c r="D467" s="286"/>
      <c r="E467" s="306"/>
      <c r="F467" s="306"/>
      <c r="G467" s="286"/>
      <c r="H467" s="286"/>
      <c r="I467" s="286"/>
      <c r="J467" s="286"/>
      <c r="K467" s="286"/>
      <c r="L467" s="286"/>
      <c r="M467" s="286"/>
      <c r="N467" s="286"/>
    </row>
    <row r="468">
      <c r="A468" s="286"/>
      <c r="B468" s="286"/>
      <c r="C468" s="286"/>
      <c r="D468" s="286"/>
      <c r="E468" s="306"/>
      <c r="F468" s="306"/>
      <c r="G468" s="286"/>
      <c r="H468" s="286"/>
      <c r="I468" s="286"/>
      <c r="J468" s="286"/>
      <c r="K468" s="286"/>
      <c r="L468" s="286"/>
      <c r="M468" s="286"/>
      <c r="N468" s="286"/>
    </row>
    <row r="469">
      <c r="A469" s="286"/>
      <c r="B469" s="286"/>
      <c r="C469" s="286"/>
      <c r="D469" s="286"/>
      <c r="E469" s="306"/>
      <c r="F469" s="306"/>
      <c r="G469" s="286"/>
      <c r="H469" s="286"/>
      <c r="I469" s="286"/>
      <c r="J469" s="286"/>
      <c r="K469" s="286"/>
      <c r="L469" s="286"/>
      <c r="M469" s="286"/>
      <c r="N469" s="286"/>
    </row>
    <row r="470">
      <c r="A470" s="286"/>
      <c r="B470" s="286"/>
      <c r="C470" s="286"/>
      <c r="D470" s="286"/>
      <c r="E470" s="306"/>
      <c r="F470" s="306"/>
      <c r="G470" s="286"/>
      <c r="H470" s="286"/>
      <c r="I470" s="286"/>
      <c r="J470" s="286"/>
      <c r="K470" s="286"/>
      <c r="L470" s="286"/>
      <c r="M470" s="286"/>
      <c r="N470" s="286"/>
    </row>
    <row r="471">
      <c r="A471" s="286"/>
      <c r="B471" s="286"/>
      <c r="C471" s="286"/>
      <c r="D471" s="286"/>
      <c r="E471" s="306"/>
      <c r="F471" s="306"/>
      <c r="G471" s="286"/>
      <c r="H471" s="286"/>
      <c r="I471" s="286"/>
      <c r="J471" s="286"/>
      <c r="K471" s="286"/>
      <c r="L471" s="286"/>
      <c r="M471" s="286"/>
      <c r="N471" s="286"/>
    </row>
    <row r="472">
      <c r="A472" s="286"/>
      <c r="B472" s="286"/>
      <c r="C472" s="286"/>
      <c r="D472" s="286"/>
      <c r="E472" s="306"/>
      <c r="F472" s="306"/>
      <c r="G472" s="286"/>
      <c r="H472" s="286"/>
      <c r="I472" s="286"/>
      <c r="J472" s="286"/>
      <c r="K472" s="286"/>
      <c r="L472" s="286"/>
      <c r="M472" s="286"/>
      <c r="N472" s="286"/>
    </row>
    <row r="473">
      <c r="A473" s="286"/>
      <c r="B473" s="286"/>
      <c r="C473" s="286"/>
      <c r="D473" s="286"/>
      <c r="E473" s="306"/>
      <c r="F473" s="306"/>
      <c r="G473" s="286"/>
      <c r="H473" s="286"/>
      <c r="I473" s="286"/>
      <c r="J473" s="286"/>
      <c r="K473" s="286"/>
      <c r="L473" s="286"/>
      <c r="M473" s="286"/>
      <c r="N473" s="286"/>
    </row>
    <row r="474">
      <c r="A474" s="286"/>
      <c r="B474" s="286"/>
      <c r="C474" s="286"/>
      <c r="D474" s="286"/>
      <c r="E474" s="306"/>
      <c r="F474" s="306"/>
      <c r="G474" s="286"/>
      <c r="H474" s="286"/>
      <c r="I474" s="286"/>
      <c r="J474" s="286"/>
      <c r="K474" s="286"/>
      <c r="L474" s="286"/>
      <c r="M474" s="286"/>
      <c r="N474" s="286"/>
    </row>
    <row r="475">
      <c r="A475" s="286"/>
      <c r="B475" s="286"/>
      <c r="C475" s="286"/>
      <c r="D475" s="286"/>
      <c r="E475" s="306"/>
      <c r="F475" s="306"/>
      <c r="G475" s="286"/>
      <c r="H475" s="286"/>
      <c r="I475" s="286"/>
      <c r="J475" s="286"/>
      <c r="K475" s="286"/>
      <c r="L475" s="286"/>
      <c r="M475" s="286"/>
      <c r="N475" s="286"/>
    </row>
    <row r="476">
      <c r="A476" s="286"/>
      <c r="B476" s="286"/>
      <c r="C476" s="286"/>
      <c r="D476" s="286"/>
      <c r="E476" s="306"/>
      <c r="F476" s="306"/>
      <c r="G476" s="286"/>
      <c r="H476" s="286"/>
      <c r="I476" s="286"/>
      <c r="J476" s="286"/>
      <c r="K476" s="286"/>
      <c r="L476" s="286"/>
      <c r="M476" s="286"/>
      <c r="N476" s="286"/>
    </row>
    <row r="477">
      <c r="A477" s="286"/>
      <c r="B477" s="286"/>
      <c r="C477" s="286"/>
      <c r="D477" s="286"/>
      <c r="E477" s="306"/>
      <c r="F477" s="306"/>
      <c r="G477" s="286"/>
      <c r="H477" s="286"/>
      <c r="I477" s="286"/>
      <c r="J477" s="286"/>
      <c r="K477" s="286"/>
      <c r="L477" s="286"/>
      <c r="M477" s="286"/>
      <c r="N477" s="286"/>
    </row>
    <row r="478">
      <c r="A478" s="286"/>
      <c r="B478" s="286"/>
      <c r="C478" s="286"/>
      <c r="D478" s="286"/>
      <c r="E478" s="306"/>
      <c r="F478" s="306"/>
      <c r="G478" s="286"/>
      <c r="H478" s="286"/>
      <c r="I478" s="286"/>
      <c r="J478" s="286"/>
      <c r="K478" s="286"/>
      <c r="L478" s="286"/>
      <c r="M478" s="286"/>
      <c r="N478" s="286"/>
    </row>
    <row r="479">
      <c r="A479" s="286"/>
      <c r="B479" s="286"/>
      <c r="C479" s="286"/>
      <c r="D479" s="286"/>
      <c r="E479" s="306"/>
      <c r="F479" s="306"/>
      <c r="G479" s="286"/>
      <c r="H479" s="286"/>
      <c r="I479" s="286"/>
      <c r="J479" s="286"/>
      <c r="K479" s="286"/>
      <c r="L479" s="286"/>
      <c r="M479" s="286"/>
      <c r="N479" s="286"/>
    </row>
    <row r="480">
      <c r="A480" s="286"/>
      <c r="B480" s="286"/>
      <c r="C480" s="286"/>
      <c r="D480" s="286"/>
      <c r="E480" s="306"/>
      <c r="F480" s="306"/>
      <c r="G480" s="286"/>
      <c r="H480" s="286"/>
      <c r="I480" s="286"/>
      <c r="J480" s="286"/>
      <c r="K480" s="286"/>
      <c r="L480" s="286"/>
      <c r="M480" s="286"/>
      <c r="N480" s="286"/>
    </row>
    <row r="481">
      <c r="A481" s="286"/>
      <c r="B481" s="286"/>
      <c r="C481" s="286"/>
      <c r="D481" s="286"/>
      <c r="E481" s="306"/>
      <c r="F481" s="306"/>
      <c r="G481" s="286"/>
      <c r="H481" s="286"/>
      <c r="I481" s="286"/>
      <c r="J481" s="286"/>
      <c r="K481" s="286"/>
      <c r="L481" s="286"/>
      <c r="M481" s="286"/>
      <c r="N481" s="286"/>
    </row>
    <row r="482">
      <c r="A482" s="286"/>
      <c r="B482" s="286"/>
      <c r="C482" s="286"/>
      <c r="D482" s="286"/>
      <c r="E482" s="306"/>
      <c r="F482" s="306"/>
      <c r="G482" s="286"/>
      <c r="H482" s="286"/>
      <c r="I482" s="286"/>
      <c r="J482" s="286"/>
      <c r="K482" s="286"/>
      <c r="L482" s="286"/>
      <c r="M482" s="286"/>
      <c r="N482" s="286"/>
    </row>
    <row r="483">
      <c r="A483" s="286"/>
      <c r="B483" s="286"/>
      <c r="C483" s="286"/>
      <c r="D483" s="286"/>
      <c r="E483" s="306"/>
      <c r="F483" s="306"/>
      <c r="G483" s="286"/>
      <c r="H483" s="286"/>
      <c r="I483" s="286"/>
      <c r="J483" s="286"/>
      <c r="K483" s="286"/>
      <c r="L483" s="286"/>
      <c r="M483" s="286"/>
      <c r="N483" s="286"/>
    </row>
    <row r="484">
      <c r="A484" s="286"/>
      <c r="B484" s="286"/>
      <c r="C484" s="286"/>
      <c r="D484" s="286"/>
      <c r="E484" s="306"/>
      <c r="F484" s="306"/>
      <c r="G484" s="286"/>
      <c r="H484" s="286"/>
      <c r="I484" s="286"/>
      <c r="J484" s="286"/>
      <c r="K484" s="286"/>
      <c r="L484" s="286"/>
      <c r="M484" s="286"/>
      <c r="N484" s="286"/>
    </row>
    <row r="485">
      <c r="A485" s="286"/>
      <c r="B485" s="286"/>
      <c r="C485" s="286"/>
      <c r="D485" s="286"/>
      <c r="E485" s="306"/>
      <c r="F485" s="306"/>
      <c r="G485" s="286"/>
      <c r="H485" s="286"/>
      <c r="I485" s="286"/>
      <c r="J485" s="286"/>
      <c r="K485" s="286"/>
      <c r="L485" s="286"/>
      <c r="M485" s="286"/>
      <c r="N485" s="286"/>
    </row>
    <row r="486">
      <c r="A486" s="286"/>
      <c r="B486" s="286"/>
      <c r="C486" s="286"/>
      <c r="D486" s="286"/>
      <c r="E486" s="306"/>
      <c r="F486" s="306"/>
      <c r="G486" s="286"/>
      <c r="H486" s="286"/>
      <c r="I486" s="286"/>
      <c r="J486" s="286"/>
      <c r="K486" s="286"/>
      <c r="L486" s="286"/>
      <c r="M486" s="286"/>
      <c r="N486" s="286"/>
    </row>
    <row r="487">
      <c r="A487" s="286"/>
      <c r="B487" s="286"/>
      <c r="C487" s="286"/>
      <c r="D487" s="286"/>
      <c r="E487" s="306"/>
      <c r="F487" s="306"/>
      <c r="G487" s="286"/>
      <c r="H487" s="286"/>
      <c r="I487" s="286"/>
      <c r="J487" s="286"/>
      <c r="K487" s="286"/>
      <c r="L487" s="286"/>
      <c r="M487" s="286"/>
      <c r="N487" s="286"/>
    </row>
    <row r="488">
      <c r="A488" s="286"/>
      <c r="B488" s="286"/>
      <c r="C488" s="286"/>
      <c r="D488" s="286"/>
      <c r="E488" s="306"/>
      <c r="F488" s="306"/>
      <c r="G488" s="286"/>
      <c r="H488" s="286"/>
      <c r="I488" s="286"/>
      <c r="J488" s="286"/>
      <c r="K488" s="286"/>
      <c r="L488" s="286"/>
      <c r="M488" s="286"/>
      <c r="N488" s="286"/>
    </row>
    <row r="489">
      <c r="A489" s="286"/>
      <c r="B489" s="286"/>
      <c r="C489" s="286"/>
      <c r="D489" s="286"/>
      <c r="E489" s="306"/>
      <c r="F489" s="306"/>
      <c r="G489" s="286"/>
      <c r="H489" s="286"/>
      <c r="I489" s="286"/>
      <c r="J489" s="286"/>
      <c r="K489" s="286"/>
      <c r="L489" s="286"/>
      <c r="M489" s="286"/>
      <c r="N489" s="286"/>
    </row>
    <row r="490">
      <c r="A490" s="286"/>
      <c r="B490" s="286"/>
      <c r="C490" s="286"/>
      <c r="D490" s="286"/>
      <c r="E490" s="306"/>
      <c r="F490" s="306"/>
      <c r="G490" s="286"/>
      <c r="H490" s="286"/>
      <c r="I490" s="286"/>
      <c r="J490" s="286"/>
      <c r="K490" s="286"/>
      <c r="L490" s="286"/>
      <c r="M490" s="286"/>
      <c r="N490" s="286"/>
    </row>
    <row r="491">
      <c r="A491" s="286"/>
      <c r="B491" s="286"/>
      <c r="C491" s="286"/>
      <c r="D491" s="286"/>
      <c r="E491" s="306"/>
      <c r="F491" s="306"/>
      <c r="G491" s="286"/>
      <c r="H491" s="286"/>
      <c r="I491" s="286"/>
      <c r="J491" s="286"/>
      <c r="K491" s="286"/>
      <c r="L491" s="286"/>
      <c r="M491" s="286"/>
      <c r="N491" s="286"/>
    </row>
    <row r="492">
      <c r="A492" s="286"/>
      <c r="B492" s="286"/>
      <c r="C492" s="286"/>
      <c r="D492" s="286"/>
      <c r="E492" s="306"/>
      <c r="F492" s="306"/>
      <c r="G492" s="286"/>
      <c r="H492" s="286"/>
      <c r="I492" s="286"/>
      <c r="J492" s="286"/>
      <c r="K492" s="286"/>
      <c r="L492" s="286"/>
      <c r="M492" s="286"/>
      <c r="N492" s="286"/>
    </row>
    <row r="493">
      <c r="A493" s="286"/>
      <c r="B493" s="286"/>
      <c r="C493" s="286"/>
      <c r="D493" s="286"/>
      <c r="E493" s="306"/>
      <c r="F493" s="306"/>
      <c r="G493" s="286"/>
      <c r="H493" s="286"/>
      <c r="I493" s="286"/>
      <c r="J493" s="286"/>
      <c r="K493" s="286"/>
      <c r="L493" s="286"/>
      <c r="M493" s="286"/>
      <c r="N493" s="286"/>
    </row>
    <row r="494">
      <c r="A494" s="286"/>
      <c r="B494" s="286"/>
      <c r="C494" s="286"/>
      <c r="D494" s="286"/>
      <c r="E494" s="306"/>
      <c r="F494" s="306"/>
      <c r="G494" s="286"/>
      <c r="H494" s="286"/>
      <c r="I494" s="286"/>
      <c r="J494" s="286"/>
      <c r="K494" s="286"/>
      <c r="L494" s="286"/>
      <c r="M494" s="286"/>
      <c r="N494" s="286"/>
    </row>
    <row r="495">
      <c r="A495" s="286"/>
      <c r="B495" s="286"/>
      <c r="C495" s="286"/>
      <c r="D495" s="286"/>
      <c r="E495" s="306"/>
      <c r="F495" s="306"/>
      <c r="G495" s="286"/>
      <c r="H495" s="286"/>
      <c r="I495" s="286"/>
      <c r="J495" s="286"/>
      <c r="K495" s="286"/>
      <c r="L495" s="286"/>
      <c r="M495" s="286"/>
      <c r="N495" s="286"/>
    </row>
    <row r="496">
      <c r="A496" s="286"/>
      <c r="B496" s="286"/>
      <c r="C496" s="286"/>
      <c r="D496" s="286"/>
      <c r="E496" s="306"/>
      <c r="F496" s="306"/>
      <c r="G496" s="286"/>
      <c r="H496" s="286"/>
      <c r="I496" s="286"/>
      <c r="J496" s="286"/>
      <c r="K496" s="286"/>
      <c r="L496" s="286"/>
      <c r="M496" s="286"/>
      <c r="N496" s="286"/>
    </row>
    <row r="497">
      <c r="A497" s="286"/>
      <c r="B497" s="286"/>
      <c r="C497" s="286"/>
      <c r="D497" s="286"/>
      <c r="E497" s="306"/>
      <c r="F497" s="306"/>
      <c r="G497" s="286"/>
      <c r="H497" s="286"/>
      <c r="I497" s="286"/>
      <c r="J497" s="286"/>
      <c r="K497" s="286"/>
      <c r="L497" s="286"/>
      <c r="M497" s="286"/>
      <c r="N497" s="286"/>
    </row>
    <row r="498">
      <c r="A498" s="286"/>
      <c r="B498" s="286"/>
      <c r="C498" s="286"/>
      <c r="D498" s="286"/>
      <c r="E498" s="306"/>
      <c r="F498" s="306"/>
      <c r="G498" s="286"/>
      <c r="H498" s="286"/>
      <c r="I498" s="286"/>
      <c r="J498" s="286"/>
      <c r="K498" s="286"/>
      <c r="L498" s="286"/>
      <c r="M498" s="286"/>
      <c r="N498" s="286"/>
    </row>
    <row r="499">
      <c r="A499" s="286"/>
      <c r="B499" s="286"/>
      <c r="C499" s="286"/>
      <c r="D499" s="286"/>
      <c r="E499" s="306"/>
      <c r="F499" s="306"/>
      <c r="G499" s="286"/>
      <c r="H499" s="286"/>
      <c r="I499" s="286"/>
      <c r="J499" s="286"/>
      <c r="K499" s="286"/>
      <c r="L499" s="286"/>
      <c r="M499" s="286"/>
      <c r="N499" s="286"/>
    </row>
    <row r="500">
      <c r="A500" s="286"/>
      <c r="B500" s="286"/>
      <c r="C500" s="286"/>
      <c r="D500" s="286"/>
      <c r="E500" s="306"/>
      <c r="F500" s="306"/>
      <c r="G500" s="286"/>
      <c r="H500" s="286"/>
      <c r="I500" s="286"/>
      <c r="J500" s="286"/>
      <c r="K500" s="286"/>
      <c r="L500" s="286"/>
      <c r="M500" s="286"/>
      <c r="N500" s="286"/>
    </row>
    <row r="501">
      <c r="A501" s="286"/>
      <c r="B501" s="286"/>
      <c r="C501" s="286"/>
      <c r="D501" s="286"/>
      <c r="E501" s="306"/>
      <c r="F501" s="306"/>
      <c r="G501" s="286"/>
      <c r="H501" s="286"/>
      <c r="I501" s="286"/>
      <c r="J501" s="286"/>
      <c r="K501" s="286"/>
      <c r="L501" s="286"/>
      <c r="M501" s="286"/>
      <c r="N501" s="286"/>
    </row>
    <row r="502">
      <c r="A502" s="286"/>
      <c r="B502" s="286"/>
      <c r="C502" s="286"/>
      <c r="D502" s="286"/>
      <c r="E502" s="306"/>
      <c r="F502" s="306"/>
      <c r="G502" s="286"/>
      <c r="H502" s="286"/>
      <c r="I502" s="286"/>
      <c r="J502" s="286"/>
      <c r="K502" s="286"/>
      <c r="L502" s="286"/>
      <c r="M502" s="286"/>
      <c r="N502" s="286"/>
    </row>
    <row r="503">
      <c r="A503" s="286"/>
      <c r="B503" s="286"/>
      <c r="C503" s="286"/>
      <c r="D503" s="286"/>
      <c r="E503" s="306"/>
      <c r="F503" s="306"/>
      <c r="G503" s="286"/>
      <c r="H503" s="286"/>
      <c r="I503" s="286"/>
      <c r="J503" s="286"/>
      <c r="K503" s="286"/>
      <c r="L503" s="286"/>
      <c r="M503" s="286"/>
      <c r="N503" s="286"/>
    </row>
    <row r="504">
      <c r="A504" s="286"/>
      <c r="B504" s="286"/>
      <c r="C504" s="286"/>
      <c r="D504" s="286"/>
      <c r="E504" s="306"/>
      <c r="F504" s="306"/>
      <c r="G504" s="286"/>
      <c r="H504" s="286"/>
      <c r="I504" s="286"/>
      <c r="J504" s="286"/>
      <c r="K504" s="286"/>
      <c r="L504" s="286"/>
      <c r="M504" s="286"/>
      <c r="N504" s="286"/>
    </row>
    <row r="505">
      <c r="A505" s="286"/>
      <c r="B505" s="286"/>
      <c r="C505" s="286"/>
      <c r="D505" s="286"/>
      <c r="E505" s="306"/>
      <c r="F505" s="306"/>
      <c r="G505" s="286"/>
      <c r="H505" s="286"/>
      <c r="I505" s="286"/>
      <c r="J505" s="286"/>
      <c r="K505" s="286"/>
      <c r="L505" s="286"/>
      <c r="M505" s="286"/>
      <c r="N505" s="286"/>
    </row>
    <row r="506">
      <c r="A506" s="286"/>
      <c r="B506" s="286"/>
      <c r="C506" s="286"/>
      <c r="D506" s="286"/>
      <c r="E506" s="306"/>
      <c r="F506" s="306"/>
      <c r="G506" s="286"/>
      <c r="H506" s="286"/>
      <c r="I506" s="286"/>
      <c r="J506" s="286"/>
      <c r="K506" s="286"/>
      <c r="L506" s="286"/>
      <c r="M506" s="286"/>
      <c r="N506" s="286"/>
    </row>
    <row r="507">
      <c r="A507" s="286"/>
      <c r="B507" s="286"/>
      <c r="C507" s="286"/>
      <c r="D507" s="286"/>
      <c r="E507" s="306"/>
      <c r="F507" s="306"/>
      <c r="G507" s="286"/>
      <c r="H507" s="286"/>
      <c r="I507" s="286"/>
      <c r="J507" s="286"/>
      <c r="K507" s="286"/>
      <c r="L507" s="286"/>
      <c r="M507" s="286"/>
      <c r="N507" s="286"/>
    </row>
    <row r="508">
      <c r="A508" s="286"/>
      <c r="B508" s="286"/>
      <c r="C508" s="286"/>
      <c r="D508" s="286"/>
      <c r="E508" s="306"/>
      <c r="F508" s="306"/>
      <c r="G508" s="286"/>
      <c r="H508" s="286"/>
      <c r="I508" s="286"/>
      <c r="J508" s="286"/>
      <c r="K508" s="286"/>
      <c r="L508" s="286"/>
      <c r="M508" s="286"/>
      <c r="N508" s="286"/>
    </row>
    <row r="509">
      <c r="A509" s="286"/>
      <c r="B509" s="286"/>
      <c r="C509" s="286"/>
      <c r="D509" s="286"/>
      <c r="E509" s="306"/>
      <c r="F509" s="306"/>
      <c r="G509" s="286"/>
      <c r="H509" s="286"/>
      <c r="I509" s="286"/>
      <c r="J509" s="286"/>
      <c r="K509" s="286"/>
      <c r="L509" s="286"/>
      <c r="M509" s="286"/>
      <c r="N509" s="286"/>
    </row>
    <row r="510">
      <c r="A510" s="286"/>
      <c r="B510" s="286"/>
      <c r="C510" s="286"/>
      <c r="D510" s="286"/>
      <c r="E510" s="306"/>
      <c r="F510" s="306"/>
      <c r="G510" s="286"/>
      <c r="H510" s="286"/>
      <c r="I510" s="286"/>
      <c r="J510" s="286"/>
      <c r="K510" s="286"/>
      <c r="L510" s="286"/>
      <c r="M510" s="286"/>
      <c r="N510" s="286"/>
    </row>
    <row r="511">
      <c r="A511" s="286"/>
      <c r="B511" s="286"/>
      <c r="C511" s="286"/>
      <c r="D511" s="286"/>
      <c r="E511" s="306"/>
      <c r="F511" s="306"/>
      <c r="G511" s="286"/>
      <c r="H511" s="286"/>
      <c r="I511" s="286"/>
      <c r="J511" s="286"/>
      <c r="K511" s="286"/>
      <c r="L511" s="286"/>
      <c r="M511" s="286"/>
      <c r="N511" s="286"/>
    </row>
    <row r="512">
      <c r="A512" s="286"/>
      <c r="B512" s="286"/>
      <c r="C512" s="286"/>
      <c r="D512" s="286"/>
      <c r="E512" s="306"/>
      <c r="F512" s="306"/>
      <c r="G512" s="286"/>
      <c r="H512" s="286"/>
      <c r="I512" s="286"/>
      <c r="J512" s="286"/>
      <c r="K512" s="286"/>
      <c r="L512" s="286"/>
      <c r="M512" s="286"/>
      <c r="N512" s="286"/>
    </row>
    <row r="513">
      <c r="A513" s="286"/>
      <c r="B513" s="286"/>
      <c r="C513" s="286"/>
      <c r="D513" s="286"/>
      <c r="E513" s="306"/>
      <c r="F513" s="306"/>
      <c r="G513" s="286"/>
      <c r="H513" s="286"/>
      <c r="I513" s="286"/>
      <c r="J513" s="286"/>
      <c r="K513" s="286"/>
      <c r="L513" s="286"/>
      <c r="M513" s="286"/>
      <c r="N513" s="286"/>
    </row>
    <row r="514">
      <c r="A514" s="286"/>
      <c r="B514" s="286"/>
      <c r="C514" s="286"/>
      <c r="D514" s="286"/>
      <c r="E514" s="306"/>
      <c r="F514" s="306"/>
      <c r="G514" s="286"/>
      <c r="H514" s="286"/>
      <c r="I514" s="286"/>
      <c r="J514" s="286"/>
      <c r="K514" s="286"/>
      <c r="L514" s="286"/>
      <c r="M514" s="286"/>
      <c r="N514" s="286"/>
    </row>
    <row r="515">
      <c r="A515" s="286"/>
      <c r="B515" s="286"/>
      <c r="C515" s="286"/>
      <c r="D515" s="286"/>
      <c r="E515" s="306"/>
      <c r="F515" s="306"/>
      <c r="G515" s="286"/>
      <c r="H515" s="286"/>
      <c r="I515" s="286"/>
      <c r="J515" s="286"/>
      <c r="K515" s="286"/>
      <c r="L515" s="286"/>
      <c r="M515" s="286"/>
      <c r="N515" s="286"/>
    </row>
    <row r="516">
      <c r="A516" s="286"/>
      <c r="B516" s="286"/>
      <c r="C516" s="286"/>
      <c r="D516" s="286"/>
      <c r="E516" s="306"/>
      <c r="F516" s="306"/>
      <c r="G516" s="286"/>
      <c r="H516" s="286"/>
      <c r="I516" s="286"/>
      <c r="J516" s="286"/>
      <c r="K516" s="286"/>
      <c r="L516" s="286"/>
      <c r="M516" s="286"/>
      <c r="N516" s="286"/>
    </row>
    <row r="517">
      <c r="A517" s="286"/>
      <c r="B517" s="286"/>
      <c r="C517" s="286"/>
      <c r="D517" s="286"/>
      <c r="E517" s="306"/>
      <c r="F517" s="306"/>
      <c r="G517" s="286"/>
      <c r="H517" s="286"/>
      <c r="I517" s="286"/>
      <c r="J517" s="286"/>
      <c r="K517" s="286"/>
      <c r="L517" s="286"/>
      <c r="M517" s="286"/>
      <c r="N517" s="286"/>
    </row>
    <row r="518">
      <c r="A518" s="286"/>
      <c r="B518" s="286"/>
      <c r="C518" s="286"/>
      <c r="D518" s="286"/>
      <c r="E518" s="306"/>
      <c r="F518" s="306"/>
      <c r="G518" s="286"/>
      <c r="H518" s="286"/>
      <c r="I518" s="286"/>
      <c r="J518" s="286"/>
      <c r="K518" s="286"/>
      <c r="L518" s="286"/>
      <c r="M518" s="286"/>
      <c r="N518" s="286"/>
    </row>
    <row r="519">
      <c r="A519" s="286"/>
      <c r="B519" s="286"/>
      <c r="C519" s="286"/>
      <c r="D519" s="286"/>
      <c r="E519" s="306"/>
      <c r="F519" s="306"/>
      <c r="G519" s="286"/>
      <c r="H519" s="286"/>
      <c r="I519" s="286"/>
      <c r="J519" s="286"/>
      <c r="K519" s="286"/>
      <c r="L519" s="286"/>
      <c r="M519" s="286"/>
      <c r="N519" s="286"/>
    </row>
    <row r="520">
      <c r="A520" s="286"/>
      <c r="B520" s="286"/>
      <c r="C520" s="286"/>
      <c r="D520" s="286"/>
      <c r="E520" s="306"/>
      <c r="F520" s="306"/>
      <c r="G520" s="286"/>
      <c r="H520" s="286"/>
      <c r="I520" s="286"/>
      <c r="J520" s="286"/>
      <c r="K520" s="286"/>
      <c r="L520" s="286"/>
      <c r="M520" s="286"/>
      <c r="N520" s="286"/>
    </row>
    <row r="521">
      <c r="A521" s="286"/>
      <c r="B521" s="286"/>
      <c r="C521" s="286"/>
      <c r="D521" s="286"/>
      <c r="E521" s="306"/>
      <c r="F521" s="306"/>
      <c r="G521" s="286"/>
      <c r="H521" s="286"/>
      <c r="I521" s="286"/>
      <c r="J521" s="286"/>
      <c r="K521" s="286"/>
      <c r="L521" s="286"/>
      <c r="M521" s="286"/>
      <c r="N521" s="286"/>
    </row>
    <row r="522">
      <c r="A522" s="286"/>
      <c r="B522" s="286"/>
      <c r="C522" s="286"/>
      <c r="D522" s="286"/>
      <c r="E522" s="306"/>
      <c r="F522" s="306"/>
      <c r="G522" s="286"/>
      <c r="H522" s="286"/>
      <c r="I522" s="286"/>
      <c r="J522" s="286"/>
      <c r="K522" s="286"/>
      <c r="L522" s="286"/>
      <c r="M522" s="286"/>
      <c r="N522" s="286"/>
    </row>
    <row r="523">
      <c r="A523" s="286"/>
      <c r="B523" s="286"/>
      <c r="C523" s="286"/>
      <c r="D523" s="286"/>
      <c r="E523" s="306"/>
      <c r="F523" s="306"/>
      <c r="G523" s="286"/>
      <c r="H523" s="286"/>
      <c r="I523" s="286"/>
      <c r="J523" s="286"/>
      <c r="K523" s="286"/>
      <c r="L523" s="286"/>
      <c r="M523" s="286"/>
      <c r="N523" s="286"/>
    </row>
    <row r="524">
      <c r="A524" s="286"/>
      <c r="B524" s="286"/>
      <c r="C524" s="286"/>
      <c r="D524" s="286"/>
      <c r="E524" s="306"/>
      <c r="F524" s="306"/>
      <c r="G524" s="286"/>
      <c r="H524" s="286"/>
      <c r="I524" s="286"/>
      <c r="J524" s="286"/>
      <c r="K524" s="286"/>
      <c r="L524" s="286"/>
      <c r="M524" s="286"/>
      <c r="N524" s="286"/>
    </row>
    <row r="525">
      <c r="A525" s="286"/>
      <c r="B525" s="286"/>
      <c r="C525" s="286"/>
      <c r="D525" s="286"/>
      <c r="E525" s="306"/>
      <c r="F525" s="306"/>
      <c r="G525" s="286"/>
      <c r="H525" s="286"/>
      <c r="I525" s="286"/>
      <c r="J525" s="286"/>
      <c r="K525" s="286"/>
      <c r="L525" s="286"/>
      <c r="M525" s="286"/>
      <c r="N525" s="286"/>
    </row>
    <row r="526">
      <c r="A526" s="286"/>
      <c r="B526" s="286"/>
      <c r="C526" s="286"/>
      <c r="D526" s="286"/>
      <c r="E526" s="306"/>
      <c r="F526" s="306"/>
      <c r="G526" s="286"/>
      <c r="H526" s="286"/>
      <c r="I526" s="286"/>
      <c r="J526" s="286"/>
      <c r="K526" s="286"/>
      <c r="L526" s="286"/>
      <c r="M526" s="286"/>
      <c r="N526" s="286"/>
    </row>
    <row r="527">
      <c r="A527" s="286"/>
      <c r="B527" s="286"/>
      <c r="C527" s="286"/>
      <c r="D527" s="286"/>
      <c r="E527" s="306"/>
      <c r="F527" s="306"/>
      <c r="G527" s="286"/>
      <c r="H527" s="286"/>
      <c r="I527" s="286"/>
      <c r="J527" s="286"/>
      <c r="K527" s="286"/>
      <c r="L527" s="286"/>
      <c r="M527" s="286"/>
      <c r="N527" s="286"/>
    </row>
    <row r="528">
      <c r="A528" s="286"/>
      <c r="B528" s="286"/>
      <c r="C528" s="286"/>
      <c r="D528" s="286"/>
      <c r="E528" s="306"/>
      <c r="F528" s="306"/>
      <c r="G528" s="286"/>
      <c r="H528" s="286"/>
      <c r="I528" s="286"/>
      <c r="J528" s="286"/>
      <c r="K528" s="286"/>
      <c r="L528" s="286"/>
      <c r="M528" s="286"/>
      <c r="N528" s="286"/>
    </row>
    <row r="529">
      <c r="A529" s="286"/>
      <c r="B529" s="286"/>
      <c r="C529" s="286"/>
      <c r="D529" s="286"/>
      <c r="E529" s="306"/>
      <c r="F529" s="306"/>
      <c r="G529" s="286"/>
      <c r="H529" s="286"/>
      <c r="I529" s="286"/>
      <c r="J529" s="286"/>
      <c r="K529" s="286"/>
      <c r="L529" s="286"/>
      <c r="M529" s="286"/>
      <c r="N529" s="286"/>
    </row>
    <row r="530">
      <c r="A530" s="286"/>
      <c r="B530" s="286"/>
      <c r="C530" s="286"/>
      <c r="D530" s="286"/>
      <c r="E530" s="306"/>
      <c r="F530" s="306"/>
      <c r="G530" s="286"/>
      <c r="H530" s="286"/>
      <c r="I530" s="286"/>
      <c r="J530" s="286"/>
      <c r="K530" s="286"/>
      <c r="L530" s="286"/>
      <c r="M530" s="286"/>
      <c r="N530" s="286"/>
    </row>
    <row r="531">
      <c r="A531" s="286"/>
      <c r="B531" s="286"/>
      <c r="C531" s="286"/>
      <c r="D531" s="286"/>
      <c r="E531" s="306"/>
      <c r="F531" s="306"/>
      <c r="G531" s="286"/>
      <c r="H531" s="286"/>
      <c r="I531" s="286"/>
      <c r="J531" s="286"/>
      <c r="K531" s="286"/>
      <c r="L531" s="286"/>
      <c r="M531" s="286"/>
      <c r="N531" s="286"/>
    </row>
    <row r="532">
      <c r="A532" s="286"/>
      <c r="B532" s="286"/>
      <c r="C532" s="286"/>
      <c r="D532" s="286"/>
      <c r="E532" s="306"/>
      <c r="F532" s="306"/>
      <c r="G532" s="286"/>
      <c r="H532" s="286"/>
      <c r="I532" s="286"/>
      <c r="J532" s="286"/>
      <c r="K532" s="286"/>
      <c r="L532" s="286"/>
      <c r="M532" s="286"/>
      <c r="N532" s="286"/>
    </row>
    <row r="533">
      <c r="A533" s="286"/>
      <c r="B533" s="286"/>
      <c r="C533" s="286"/>
      <c r="D533" s="286"/>
      <c r="E533" s="306"/>
      <c r="F533" s="306"/>
      <c r="G533" s="286"/>
      <c r="H533" s="286"/>
      <c r="I533" s="286"/>
      <c r="J533" s="286"/>
      <c r="K533" s="286"/>
      <c r="L533" s="286"/>
      <c r="M533" s="286"/>
      <c r="N533" s="286"/>
    </row>
    <row r="534">
      <c r="A534" s="286"/>
      <c r="B534" s="286"/>
      <c r="C534" s="286"/>
      <c r="D534" s="286"/>
      <c r="E534" s="306"/>
      <c r="F534" s="306"/>
      <c r="G534" s="286"/>
      <c r="H534" s="286"/>
      <c r="I534" s="286"/>
      <c r="J534" s="286"/>
      <c r="K534" s="286"/>
      <c r="L534" s="286"/>
      <c r="M534" s="286"/>
      <c r="N534" s="286"/>
    </row>
    <row r="535">
      <c r="A535" s="286"/>
      <c r="B535" s="286"/>
      <c r="C535" s="286"/>
      <c r="D535" s="286"/>
      <c r="E535" s="306"/>
      <c r="F535" s="306"/>
      <c r="G535" s="286"/>
      <c r="H535" s="286"/>
      <c r="I535" s="286"/>
      <c r="J535" s="286"/>
      <c r="K535" s="286"/>
      <c r="L535" s="286"/>
      <c r="M535" s="286"/>
      <c r="N535" s="286"/>
    </row>
    <row r="536">
      <c r="A536" s="286"/>
      <c r="B536" s="286"/>
      <c r="C536" s="286"/>
      <c r="D536" s="286"/>
      <c r="E536" s="306"/>
      <c r="F536" s="306"/>
      <c r="G536" s="286"/>
      <c r="H536" s="286"/>
      <c r="I536" s="286"/>
      <c r="J536" s="286"/>
      <c r="K536" s="286"/>
      <c r="L536" s="286"/>
      <c r="M536" s="286"/>
      <c r="N536" s="286"/>
    </row>
    <row r="537">
      <c r="A537" s="286"/>
      <c r="B537" s="286"/>
      <c r="C537" s="286"/>
      <c r="D537" s="286"/>
      <c r="E537" s="306"/>
      <c r="F537" s="306"/>
      <c r="G537" s="286"/>
      <c r="H537" s="286"/>
      <c r="I537" s="286"/>
      <c r="J537" s="286"/>
      <c r="K537" s="286"/>
      <c r="L537" s="286"/>
      <c r="M537" s="286"/>
      <c r="N537" s="286"/>
    </row>
    <row r="538">
      <c r="A538" s="286"/>
      <c r="B538" s="286"/>
      <c r="C538" s="286"/>
      <c r="D538" s="286"/>
      <c r="E538" s="306"/>
      <c r="F538" s="306"/>
      <c r="G538" s="286"/>
      <c r="H538" s="286"/>
      <c r="I538" s="286"/>
      <c r="J538" s="286"/>
      <c r="K538" s="286"/>
      <c r="L538" s="286"/>
      <c r="M538" s="286"/>
      <c r="N538" s="286"/>
    </row>
    <row r="539">
      <c r="A539" s="286"/>
      <c r="B539" s="286"/>
      <c r="C539" s="286"/>
      <c r="D539" s="286"/>
      <c r="E539" s="306"/>
      <c r="F539" s="306"/>
      <c r="G539" s="286"/>
      <c r="H539" s="286"/>
      <c r="I539" s="286"/>
      <c r="J539" s="286"/>
      <c r="K539" s="286"/>
      <c r="L539" s="286"/>
      <c r="M539" s="286"/>
      <c r="N539" s="286"/>
    </row>
    <row r="540">
      <c r="A540" s="286"/>
      <c r="B540" s="286"/>
      <c r="C540" s="286"/>
      <c r="D540" s="286"/>
      <c r="E540" s="306"/>
      <c r="F540" s="306"/>
      <c r="G540" s="286"/>
      <c r="H540" s="286"/>
      <c r="I540" s="286"/>
      <c r="J540" s="286"/>
      <c r="K540" s="286"/>
      <c r="L540" s="286"/>
      <c r="M540" s="286"/>
      <c r="N540" s="286"/>
    </row>
    <row r="541">
      <c r="A541" s="286"/>
      <c r="B541" s="286"/>
      <c r="C541" s="286"/>
      <c r="D541" s="286"/>
      <c r="E541" s="306"/>
      <c r="F541" s="306"/>
      <c r="G541" s="286"/>
      <c r="H541" s="286"/>
      <c r="I541" s="286"/>
      <c r="J541" s="286"/>
      <c r="K541" s="286"/>
      <c r="L541" s="286"/>
      <c r="M541" s="286"/>
      <c r="N541" s="286"/>
    </row>
    <row r="542">
      <c r="A542" s="286"/>
      <c r="B542" s="286"/>
      <c r="C542" s="286"/>
      <c r="D542" s="286"/>
      <c r="E542" s="306"/>
      <c r="F542" s="306"/>
      <c r="G542" s="286"/>
      <c r="H542" s="286"/>
      <c r="I542" s="286"/>
      <c r="J542" s="286"/>
      <c r="K542" s="286"/>
      <c r="L542" s="286"/>
      <c r="M542" s="286"/>
      <c r="N542" s="286"/>
    </row>
    <row r="543">
      <c r="A543" s="286"/>
      <c r="B543" s="286"/>
      <c r="C543" s="286"/>
      <c r="D543" s="286"/>
      <c r="E543" s="306"/>
      <c r="F543" s="306"/>
      <c r="G543" s="286"/>
      <c r="H543" s="286"/>
      <c r="I543" s="286"/>
      <c r="J543" s="286"/>
      <c r="K543" s="286"/>
      <c r="L543" s="286"/>
      <c r="M543" s="286"/>
      <c r="N543" s="286"/>
    </row>
    <row r="544">
      <c r="A544" s="286"/>
      <c r="B544" s="286"/>
      <c r="C544" s="286"/>
      <c r="D544" s="286"/>
      <c r="E544" s="306"/>
      <c r="F544" s="306"/>
      <c r="G544" s="286"/>
      <c r="H544" s="286"/>
      <c r="I544" s="286"/>
      <c r="J544" s="286"/>
      <c r="K544" s="286"/>
      <c r="L544" s="286"/>
      <c r="M544" s="286"/>
      <c r="N544" s="286"/>
    </row>
    <row r="545">
      <c r="A545" s="286"/>
      <c r="B545" s="286"/>
      <c r="C545" s="286"/>
      <c r="D545" s="286"/>
      <c r="E545" s="306"/>
      <c r="F545" s="306"/>
      <c r="G545" s="286"/>
      <c r="H545" s="286"/>
      <c r="I545" s="286"/>
      <c r="J545" s="286"/>
      <c r="K545" s="286"/>
      <c r="L545" s="286"/>
      <c r="M545" s="286"/>
      <c r="N545" s="286"/>
    </row>
    <row r="546">
      <c r="A546" s="286"/>
      <c r="B546" s="286"/>
      <c r="C546" s="286"/>
      <c r="D546" s="286"/>
      <c r="E546" s="306"/>
      <c r="F546" s="306"/>
      <c r="G546" s="286"/>
      <c r="H546" s="286"/>
      <c r="I546" s="286"/>
      <c r="J546" s="286"/>
      <c r="K546" s="286"/>
      <c r="L546" s="286"/>
      <c r="M546" s="286"/>
      <c r="N546" s="286"/>
    </row>
    <row r="547">
      <c r="A547" s="286"/>
      <c r="B547" s="286"/>
      <c r="C547" s="286"/>
      <c r="D547" s="286"/>
      <c r="E547" s="306"/>
      <c r="F547" s="306"/>
      <c r="G547" s="286"/>
      <c r="H547" s="286"/>
      <c r="I547" s="286"/>
      <c r="J547" s="286"/>
      <c r="K547" s="286"/>
      <c r="L547" s="286"/>
      <c r="M547" s="286"/>
      <c r="N547" s="286"/>
    </row>
    <row r="548">
      <c r="A548" s="286"/>
      <c r="B548" s="286"/>
      <c r="C548" s="286"/>
      <c r="D548" s="286"/>
      <c r="E548" s="306"/>
      <c r="F548" s="306"/>
      <c r="G548" s="286"/>
      <c r="H548" s="286"/>
      <c r="I548" s="286"/>
      <c r="J548" s="286"/>
      <c r="K548" s="286"/>
      <c r="L548" s="286"/>
      <c r="M548" s="286"/>
      <c r="N548" s="286"/>
    </row>
    <row r="549">
      <c r="A549" s="286"/>
      <c r="B549" s="286"/>
      <c r="C549" s="286"/>
      <c r="D549" s="286"/>
      <c r="E549" s="306"/>
      <c r="F549" s="306"/>
      <c r="G549" s="286"/>
      <c r="H549" s="286"/>
      <c r="I549" s="286"/>
      <c r="J549" s="286"/>
      <c r="K549" s="286"/>
      <c r="L549" s="286"/>
      <c r="M549" s="286"/>
      <c r="N549" s="286"/>
    </row>
    <row r="550">
      <c r="A550" s="286"/>
      <c r="B550" s="286"/>
      <c r="C550" s="286"/>
      <c r="D550" s="286"/>
      <c r="E550" s="306"/>
      <c r="F550" s="306"/>
      <c r="G550" s="286"/>
      <c r="H550" s="286"/>
      <c r="I550" s="286"/>
      <c r="J550" s="286"/>
      <c r="K550" s="286"/>
      <c r="L550" s="286"/>
      <c r="M550" s="286"/>
      <c r="N550" s="286"/>
    </row>
    <row r="551">
      <c r="A551" s="286"/>
      <c r="B551" s="286"/>
      <c r="C551" s="286"/>
      <c r="D551" s="286"/>
      <c r="E551" s="306"/>
      <c r="F551" s="306"/>
      <c r="G551" s="286"/>
      <c r="H551" s="286"/>
      <c r="I551" s="286"/>
      <c r="J551" s="286"/>
      <c r="K551" s="286"/>
      <c r="L551" s="286"/>
      <c r="M551" s="286"/>
      <c r="N551" s="286"/>
    </row>
    <row r="552">
      <c r="A552" s="286"/>
      <c r="B552" s="286"/>
      <c r="C552" s="286"/>
      <c r="D552" s="286"/>
      <c r="E552" s="306"/>
      <c r="F552" s="306"/>
      <c r="G552" s="286"/>
      <c r="H552" s="286"/>
      <c r="I552" s="286"/>
      <c r="J552" s="286"/>
      <c r="K552" s="286"/>
      <c r="L552" s="286"/>
      <c r="M552" s="286"/>
      <c r="N552" s="286"/>
    </row>
    <row r="553">
      <c r="A553" s="286"/>
      <c r="B553" s="286"/>
      <c r="C553" s="286"/>
      <c r="D553" s="286"/>
      <c r="E553" s="306"/>
      <c r="F553" s="306"/>
      <c r="G553" s="286"/>
      <c r="H553" s="286"/>
      <c r="I553" s="286"/>
      <c r="J553" s="286"/>
      <c r="K553" s="286"/>
      <c r="L553" s="286"/>
      <c r="M553" s="286"/>
      <c r="N553" s="286"/>
    </row>
    <row r="554">
      <c r="A554" s="286"/>
      <c r="B554" s="286"/>
      <c r="C554" s="286"/>
      <c r="D554" s="286"/>
      <c r="E554" s="306"/>
      <c r="F554" s="306"/>
      <c r="G554" s="286"/>
      <c r="H554" s="286"/>
      <c r="I554" s="286"/>
      <c r="J554" s="286"/>
      <c r="K554" s="286"/>
      <c r="L554" s="286"/>
      <c r="M554" s="286"/>
      <c r="N554" s="286"/>
    </row>
    <row r="555">
      <c r="A555" s="286"/>
      <c r="B555" s="286"/>
      <c r="C555" s="286"/>
      <c r="D555" s="286"/>
      <c r="E555" s="306"/>
      <c r="F555" s="306"/>
      <c r="G555" s="286"/>
      <c r="H555" s="286"/>
      <c r="I555" s="286"/>
      <c r="J555" s="286"/>
      <c r="K555" s="286"/>
      <c r="L555" s="286"/>
      <c r="M555" s="286"/>
      <c r="N555" s="286"/>
    </row>
    <row r="556">
      <c r="A556" s="286"/>
      <c r="B556" s="286"/>
      <c r="C556" s="286"/>
      <c r="D556" s="286"/>
      <c r="E556" s="306"/>
      <c r="F556" s="306"/>
      <c r="G556" s="286"/>
      <c r="H556" s="286"/>
      <c r="I556" s="286"/>
      <c r="J556" s="286"/>
      <c r="K556" s="286"/>
      <c r="L556" s="286"/>
      <c r="M556" s="286"/>
      <c r="N556" s="286"/>
    </row>
    <row r="557">
      <c r="A557" s="286"/>
      <c r="B557" s="286"/>
      <c r="C557" s="286"/>
      <c r="D557" s="286"/>
      <c r="E557" s="306"/>
      <c r="F557" s="306"/>
      <c r="G557" s="286"/>
      <c r="H557" s="286"/>
      <c r="I557" s="286"/>
      <c r="J557" s="286"/>
      <c r="K557" s="286"/>
      <c r="L557" s="286"/>
      <c r="M557" s="286"/>
      <c r="N557" s="286"/>
    </row>
    <row r="558">
      <c r="A558" s="286"/>
      <c r="B558" s="286"/>
      <c r="C558" s="286"/>
      <c r="D558" s="286"/>
      <c r="E558" s="306"/>
      <c r="F558" s="306"/>
      <c r="G558" s="286"/>
      <c r="H558" s="286"/>
      <c r="I558" s="286"/>
      <c r="J558" s="286"/>
      <c r="K558" s="286"/>
      <c r="L558" s="286"/>
      <c r="M558" s="286"/>
      <c r="N558" s="286"/>
    </row>
    <row r="559">
      <c r="A559" s="286"/>
      <c r="B559" s="286"/>
      <c r="C559" s="286"/>
      <c r="D559" s="286"/>
      <c r="E559" s="306"/>
      <c r="F559" s="306"/>
      <c r="G559" s="286"/>
      <c r="H559" s="286"/>
      <c r="I559" s="286"/>
      <c r="J559" s="286"/>
      <c r="K559" s="286"/>
      <c r="L559" s="286"/>
      <c r="M559" s="286"/>
      <c r="N559" s="286"/>
    </row>
    <row r="560">
      <c r="A560" s="286"/>
      <c r="B560" s="286"/>
      <c r="C560" s="286"/>
      <c r="D560" s="286"/>
      <c r="E560" s="306"/>
      <c r="F560" s="306"/>
      <c r="G560" s="286"/>
      <c r="H560" s="286"/>
      <c r="I560" s="286"/>
      <c r="J560" s="286"/>
      <c r="K560" s="286"/>
      <c r="L560" s="286"/>
      <c r="M560" s="286"/>
      <c r="N560" s="286"/>
    </row>
    <row r="561">
      <c r="A561" s="286"/>
      <c r="B561" s="286"/>
      <c r="C561" s="286"/>
      <c r="D561" s="286"/>
      <c r="E561" s="306"/>
      <c r="F561" s="306"/>
      <c r="G561" s="286"/>
      <c r="H561" s="286"/>
      <c r="I561" s="286"/>
      <c r="J561" s="286"/>
      <c r="K561" s="286"/>
      <c r="L561" s="286"/>
      <c r="M561" s="286"/>
      <c r="N561" s="286"/>
    </row>
    <row r="562">
      <c r="A562" s="286"/>
      <c r="B562" s="286"/>
      <c r="C562" s="286"/>
      <c r="D562" s="286"/>
      <c r="E562" s="306"/>
      <c r="F562" s="306"/>
      <c r="G562" s="286"/>
      <c r="H562" s="286"/>
      <c r="I562" s="286"/>
      <c r="J562" s="286"/>
      <c r="K562" s="286"/>
      <c r="L562" s="286"/>
      <c r="M562" s="286"/>
      <c r="N562" s="286"/>
    </row>
    <row r="563">
      <c r="A563" s="286"/>
      <c r="B563" s="286"/>
      <c r="C563" s="286"/>
      <c r="D563" s="286"/>
      <c r="E563" s="306"/>
      <c r="F563" s="306"/>
      <c r="G563" s="286"/>
      <c r="H563" s="286"/>
      <c r="I563" s="286"/>
      <c r="J563" s="286"/>
      <c r="K563" s="286"/>
      <c r="L563" s="286"/>
      <c r="M563" s="286"/>
      <c r="N563" s="286"/>
    </row>
    <row r="564">
      <c r="A564" s="286"/>
      <c r="B564" s="286"/>
      <c r="C564" s="286"/>
      <c r="D564" s="286"/>
      <c r="E564" s="306"/>
      <c r="F564" s="306"/>
      <c r="G564" s="286"/>
      <c r="H564" s="286"/>
      <c r="I564" s="286"/>
      <c r="J564" s="286"/>
      <c r="K564" s="286"/>
      <c r="L564" s="286"/>
      <c r="M564" s="286"/>
      <c r="N564" s="286"/>
    </row>
    <row r="565">
      <c r="A565" s="286"/>
      <c r="B565" s="286"/>
      <c r="C565" s="286"/>
      <c r="D565" s="286"/>
      <c r="E565" s="306"/>
      <c r="F565" s="306"/>
      <c r="G565" s="286"/>
      <c r="H565" s="286"/>
      <c r="I565" s="286"/>
      <c r="J565" s="286"/>
      <c r="K565" s="286"/>
      <c r="L565" s="286"/>
      <c r="M565" s="286"/>
      <c r="N565" s="286"/>
    </row>
    <row r="566">
      <c r="A566" s="286"/>
      <c r="B566" s="286"/>
      <c r="C566" s="286"/>
      <c r="D566" s="286"/>
      <c r="E566" s="306"/>
      <c r="F566" s="306"/>
      <c r="G566" s="286"/>
      <c r="H566" s="286"/>
      <c r="I566" s="286"/>
      <c r="J566" s="286"/>
      <c r="K566" s="286"/>
      <c r="L566" s="286"/>
      <c r="M566" s="286"/>
      <c r="N566" s="286"/>
    </row>
    <row r="567">
      <c r="A567" s="286"/>
      <c r="B567" s="286"/>
      <c r="C567" s="286"/>
      <c r="D567" s="286"/>
      <c r="E567" s="306"/>
      <c r="F567" s="306"/>
      <c r="G567" s="286"/>
      <c r="H567" s="286"/>
      <c r="I567" s="286"/>
      <c r="J567" s="286"/>
      <c r="K567" s="286"/>
      <c r="L567" s="286"/>
      <c r="M567" s="286"/>
      <c r="N567" s="286"/>
    </row>
    <row r="568">
      <c r="A568" s="286"/>
      <c r="B568" s="286"/>
      <c r="C568" s="286"/>
      <c r="D568" s="286"/>
      <c r="E568" s="306"/>
      <c r="F568" s="306"/>
      <c r="G568" s="286"/>
      <c r="H568" s="286"/>
      <c r="I568" s="286"/>
      <c r="J568" s="286"/>
      <c r="K568" s="286"/>
      <c r="L568" s="286"/>
      <c r="M568" s="286"/>
      <c r="N568" s="286"/>
    </row>
    <row r="569">
      <c r="A569" s="286"/>
      <c r="B569" s="286"/>
      <c r="C569" s="286"/>
      <c r="D569" s="286"/>
      <c r="E569" s="306"/>
      <c r="F569" s="306"/>
      <c r="G569" s="286"/>
      <c r="H569" s="286"/>
      <c r="I569" s="286"/>
      <c r="J569" s="286"/>
      <c r="K569" s="286"/>
      <c r="L569" s="286"/>
      <c r="M569" s="286"/>
      <c r="N569" s="286"/>
    </row>
    <row r="570">
      <c r="A570" s="286"/>
      <c r="B570" s="286"/>
      <c r="C570" s="286"/>
      <c r="D570" s="286"/>
      <c r="E570" s="306"/>
      <c r="F570" s="306"/>
      <c r="G570" s="286"/>
      <c r="H570" s="286"/>
      <c r="I570" s="286"/>
      <c r="J570" s="286"/>
      <c r="K570" s="286"/>
      <c r="L570" s="286"/>
      <c r="M570" s="286"/>
      <c r="N570" s="286"/>
    </row>
    <row r="571">
      <c r="A571" s="286"/>
      <c r="B571" s="286"/>
      <c r="C571" s="286"/>
      <c r="D571" s="286"/>
      <c r="E571" s="306"/>
      <c r="F571" s="306"/>
      <c r="G571" s="286"/>
      <c r="H571" s="286"/>
      <c r="I571" s="286"/>
      <c r="J571" s="286"/>
      <c r="K571" s="286"/>
      <c r="L571" s="286"/>
      <c r="M571" s="286"/>
      <c r="N571" s="286"/>
    </row>
    <row r="572">
      <c r="A572" s="286"/>
      <c r="B572" s="286"/>
      <c r="C572" s="286"/>
      <c r="D572" s="286"/>
      <c r="E572" s="306"/>
      <c r="F572" s="306"/>
      <c r="G572" s="286"/>
      <c r="H572" s="286"/>
      <c r="I572" s="286"/>
      <c r="J572" s="286"/>
      <c r="K572" s="286"/>
      <c r="L572" s="286"/>
      <c r="M572" s="286"/>
      <c r="N572" s="286"/>
    </row>
    <row r="573">
      <c r="A573" s="286"/>
      <c r="B573" s="286"/>
      <c r="C573" s="286"/>
      <c r="D573" s="286"/>
      <c r="E573" s="306"/>
      <c r="F573" s="306"/>
      <c r="G573" s="286"/>
      <c r="H573" s="286"/>
      <c r="I573" s="286"/>
      <c r="J573" s="286"/>
      <c r="K573" s="286"/>
      <c r="L573" s="286"/>
      <c r="M573" s="286"/>
      <c r="N573" s="286"/>
    </row>
    <row r="574">
      <c r="A574" s="286"/>
      <c r="B574" s="286"/>
      <c r="C574" s="286"/>
      <c r="D574" s="286"/>
      <c r="E574" s="306"/>
      <c r="F574" s="306"/>
      <c r="G574" s="286"/>
      <c r="H574" s="286"/>
      <c r="I574" s="286"/>
      <c r="J574" s="286"/>
      <c r="K574" s="286"/>
      <c r="L574" s="286"/>
      <c r="M574" s="286"/>
      <c r="N574" s="286"/>
    </row>
    <row r="575">
      <c r="A575" s="286"/>
      <c r="B575" s="286"/>
      <c r="C575" s="286"/>
      <c r="D575" s="286"/>
      <c r="E575" s="306"/>
      <c r="F575" s="306"/>
      <c r="G575" s="286"/>
      <c r="H575" s="286"/>
      <c r="I575" s="286"/>
      <c r="J575" s="286"/>
      <c r="K575" s="286"/>
      <c r="L575" s="286"/>
      <c r="M575" s="286"/>
      <c r="N575" s="286"/>
    </row>
    <row r="576">
      <c r="A576" s="286"/>
      <c r="B576" s="286"/>
      <c r="C576" s="286"/>
      <c r="D576" s="286"/>
      <c r="E576" s="306"/>
      <c r="F576" s="306"/>
      <c r="G576" s="286"/>
      <c r="H576" s="286"/>
      <c r="I576" s="286"/>
      <c r="J576" s="286"/>
      <c r="K576" s="286"/>
      <c r="L576" s="286"/>
      <c r="M576" s="286"/>
      <c r="N576" s="286"/>
    </row>
    <row r="577">
      <c r="A577" s="286"/>
      <c r="B577" s="286"/>
      <c r="C577" s="286"/>
      <c r="D577" s="286"/>
      <c r="E577" s="306"/>
      <c r="F577" s="306"/>
      <c r="G577" s="286"/>
      <c r="H577" s="286"/>
      <c r="I577" s="286"/>
      <c r="J577" s="286"/>
      <c r="K577" s="286"/>
      <c r="L577" s="286"/>
      <c r="M577" s="286"/>
      <c r="N577" s="286"/>
    </row>
    <row r="578">
      <c r="A578" s="286"/>
      <c r="B578" s="286"/>
      <c r="C578" s="286"/>
      <c r="D578" s="286"/>
      <c r="E578" s="306"/>
      <c r="F578" s="306"/>
      <c r="G578" s="286"/>
      <c r="H578" s="286"/>
      <c r="I578" s="286"/>
      <c r="J578" s="286"/>
      <c r="K578" s="286"/>
      <c r="L578" s="286"/>
      <c r="M578" s="286"/>
      <c r="N578" s="286"/>
    </row>
    <row r="579">
      <c r="A579" s="286"/>
      <c r="B579" s="286"/>
      <c r="C579" s="286"/>
      <c r="D579" s="286"/>
      <c r="E579" s="306"/>
      <c r="F579" s="306"/>
      <c r="G579" s="286"/>
      <c r="H579" s="286"/>
      <c r="I579" s="286"/>
      <c r="J579" s="286"/>
      <c r="K579" s="286"/>
      <c r="L579" s="286"/>
      <c r="M579" s="286"/>
      <c r="N579" s="286"/>
    </row>
    <row r="580">
      <c r="A580" s="286"/>
      <c r="B580" s="286"/>
      <c r="C580" s="286"/>
      <c r="D580" s="286"/>
      <c r="E580" s="306"/>
      <c r="F580" s="306"/>
      <c r="G580" s="286"/>
      <c r="H580" s="286"/>
      <c r="I580" s="286"/>
      <c r="J580" s="286"/>
      <c r="K580" s="286"/>
      <c r="L580" s="286"/>
      <c r="M580" s="286"/>
      <c r="N580" s="286"/>
    </row>
    <row r="581">
      <c r="A581" s="286"/>
      <c r="B581" s="286"/>
      <c r="C581" s="286"/>
      <c r="D581" s="286"/>
      <c r="E581" s="306"/>
      <c r="F581" s="306"/>
      <c r="G581" s="286"/>
      <c r="H581" s="286"/>
      <c r="I581" s="286"/>
      <c r="J581" s="286"/>
      <c r="K581" s="286"/>
      <c r="L581" s="286"/>
      <c r="M581" s="286"/>
      <c r="N581" s="286"/>
    </row>
    <row r="582">
      <c r="A582" s="286"/>
      <c r="B582" s="286"/>
      <c r="C582" s="286"/>
      <c r="D582" s="286"/>
      <c r="E582" s="306"/>
      <c r="F582" s="306"/>
      <c r="G582" s="286"/>
      <c r="H582" s="286"/>
      <c r="I582" s="286"/>
      <c r="J582" s="286"/>
      <c r="K582" s="286"/>
      <c r="L582" s="286"/>
      <c r="M582" s="286"/>
      <c r="N582" s="286"/>
    </row>
    <row r="583">
      <c r="A583" s="286"/>
      <c r="B583" s="286"/>
      <c r="C583" s="286"/>
      <c r="D583" s="286"/>
      <c r="E583" s="306"/>
      <c r="F583" s="306"/>
      <c r="G583" s="286"/>
      <c r="H583" s="286"/>
      <c r="I583" s="286"/>
      <c r="J583" s="286"/>
      <c r="K583" s="286"/>
      <c r="L583" s="286"/>
      <c r="M583" s="286"/>
      <c r="N583" s="286"/>
    </row>
    <row r="584">
      <c r="A584" s="286"/>
      <c r="B584" s="286"/>
      <c r="C584" s="286"/>
      <c r="D584" s="286"/>
      <c r="E584" s="306"/>
      <c r="F584" s="306"/>
      <c r="G584" s="286"/>
      <c r="H584" s="286"/>
      <c r="I584" s="286"/>
      <c r="J584" s="286"/>
      <c r="K584" s="286"/>
      <c r="L584" s="286"/>
      <c r="M584" s="286"/>
      <c r="N584" s="286"/>
    </row>
    <row r="585">
      <c r="A585" s="286"/>
      <c r="B585" s="286"/>
      <c r="C585" s="286"/>
      <c r="D585" s="286"/>
      <c r="E585" s="306"/>
      <c r="F585" s="306"/>
      <c r="G585" s="286"/>
      <c r="H585" s="286"/>
      <c r="I585" s="286"/>
      <c r="J585" s="286"/>
      <c r="K585" s="286"/>
      <c r="L585" s="286"/>
      <c r="M585" s="286"/>
      <c r="N585" s="286"/>
    </row>
    <row r="586">
      <c r="A586" s="286"/>
      <c r="B586" s="286"/>
      <c r="C586" s="286"/>
      <c r="D586" s="286"/>
      <c r="E586" s="306"/>
      <c r="F586" s="306"/>
      <c r="G586" s="286"/>
      <c r="H586" s="286"/>
      <c r="I586" s="286"/>
      <c r="J586" s="286"/>
      <c r="K586" s="286"/>
      <c r="L586" s="286"/>
      <c r="M586" s="286"/>
      <c r="N586" s="286"/>
    </row>
    <row r="587">
      <c r="A587" s="286"/>
      <c r="B587" s="286"/>
      <c r="C587" s="286"/>
      <c r="D587" s="286"/>
      <c r="E587" s="306"/>
      <c r="F587" s="306"/>
      <c r="G587" s="286"/>
      <c r="H587" s="286"/>
      <c r="I587" s="286"/>
      <c r="J587" s="286"/>
      <c r="K587" s="286"/>
      <c r="L587" s="286"/>
      <c r="M587" s="286"/>
      <c r="N587" s="286"/>
    </row>
    <row r="588">
      <c r="A588" s="286"/>
      <c r="B588" s="286"/>
      <c r="C588" s="286"/>
      <c r="D588" s="286"/>
      <c r="E588" s="306"/>
      <c r="F588" s="306"/>
      <c r="G588" s="286"/>
      <c r="H588" s="286"/>
      <c r="I588" s="286"/>
      <c r="J588" s="286"/>
      <c r="K588" s="286"/>
      <c r="L588" s="286"/>
      <c r="M588" s="286"/>
      <c r="N588" s="286"/>
    </row>
    <row r="589">
      <c r="A589" s="286"/>
      <c r="B589" s="286"/>
      <c r="C589" s="286"/>
      <c r="D589" s="286"/>
      <c r="E589" s="306"/>
      <c r="F589" s="306"/>
      <c r="G589" s="286"/>
      <c r="H589" s="286"/>
      <c r="I589" s="286"/>
      <c r="J589" s="286"/>
      <c r="K589" s="286"/>
      <c r="L589" s="286"/>
      <c r="M589" s="286"/>
      <c r="N589" s="286"/>
    </row>
    <row r="590">
      <c r="A590" s="286"/>
      <c r="B590" s="286"/>
      <c r="C590" s="286"/>
      <c r="D590" s="286"/>
      <c r="E590" s="306"/>
      <c r="F590" s="306"/>
      <c r="G590" s="286"/>
      <c r="H590" s="286"/>
      <c r="I590" s="286"/>
      <c r="J590" s="286"/>
      <c r="K590" s="286"/>
      <c r="L590" s="286"/>
      <c r="M590" s="286"/>
      <c r="N590" s="286"/>
    </row>
    <row r="591">
      <c r="A591" s="286"/>
      <c r="B591" s="286"/>
      <c r="C591" s="286"/>
      <c r="D591" s="286"/>
      <c r="E591" s="306"/>
      <c r="F591" s="306"/>
      <c r="G591" s="286"/>
      <c r="H591" s="286"/>
      <c r="I591" s="286"/>
      <c r="J591" s="286"/>
      <c r="K591" s="286"/>
      <c r="L591" s="286"/>
      <c r="M591" s="286"/>
      <c r="N591" s="286"/>
    </row>
    <row r="592">
      <c r="A592" s="286"/>
      <c r="B592" s="286"/>
      <c r="C592" s="286"/>
      <c r="D592" s="286"/>
      <c r="E592" s="306"/>
      <c r="F592" s="306"/>
      <c r="G592" s="286"/>
      <c r="H592" s="286"/>
      <c r="I592" s="286"/>
      <c r="J592" s="286"/>
      <c r="K592" s="286"/>
      <c r="L592" s="286"/>
      <c r="M592" s="286"/>
      <c r="N592" s="286"/>
    </row>
    <row r="593">
      <c r="A593" s="286"/>
      <c r="B593" s="286"/>
      <c r="C593" s="286"/>
      <c r="D593" s="286"/>
      <c r="E593" s="306"/>
      <c r="F593" s="306"/>
      <c r="G593" s="286"/>
      <c r="H593" s="286"/>
      <c r="I593" s="286"/>
      <c r="J593" s="286"/>
      <c r="K593" s="286"/>
      <c r="L593" s="286"/>
      <c r="M593" s="286"/>
      <c r="N593" s="286"/>
    </row>
    <row r="594">
      <c r="A594" s="286"/>
      <c r="B594" s="286"/>
      <c r="C594" s="286"/>
      <c r="D594" s="286"/>
      <c r="E594" s="306"/>
      <c r="F594" s="306"/>
      <c r="G594" s="286"/>
      <c r="H594" s="286"/>
      <c r="I594" s="286"/>
      <c r="J594" s="286"/>
      <c r="K594" s="286"/>
      <c r="L594" s="286"/>
      <c r="M594" s="286"/>
      <c r="N594" s="286"/>
    </row>
    <row r="595">
      <c r="A595" s="286"/>
      <c r="B595" s="286"/>
      <c r="C595" s="286"/>
      <c r="D595" s="286"/>
      <c r="E595" s="306"/>
      <c r="F595" s="306"/>
      <c r="G595" s="286"/>
      <c r="H595" s="286"/>
      <c r="I595" s="286"/>
      <c r="J595" s="286"/>
      <c r="K595" s="286"/>
      <c r="L595" s="286"/>
      <c r="M595" s="286"/>
      <c r="N595" s="286"/>
    </row>
    <row r="596">
      <c r="A596" s="286"/>
      <c r="B596" s="286"/>
      <c r="C596" s="286"/>
      <c r="D596" s="286"/>
      <c r="E596" s="306"/>
      <c r="F596" s="306"/>
      <c r="G596" s="286"/>
      <c r="H596" s="286"/>
      <c r="I596" s="286"/>
      <c r="J596" s="286"/>
      <c r="K596" s="286"/>
      <c r="L596" s="286"/>
      <c r="M596" s="286"/>
      <c r="N596" s="286"/>
    </row>
    <row r="597">
      <c r="A597" s="286"/>
      <c r="B597" s="286"/>
      <c r="C597" s="286"/>
      <c r="D597" s="286"/>
      <c r="E597" s="306"/>
      <c r="F597" s="306"/>
      <c r="G597" s="286"/>
      <c r="H597" s="286"/>
      <c r="I597" s="286"/>
      <c r="J597" s="286"/>
      <c r="K597" s="286"/>
      <c r="L597" s="286"/>
      <c r="M597" s="286"/>
      <c r="N597" s="286"/>
    </row>
    <row r="598">
      <c r="A598" s="286"/>
      <c r="B598" s="286"/>
      <c r="C598" s="286"/>
      <c r="D598" s="286"/>
      <c r="E598" s="306"/>
      <c r="F598" s="306"/>
      <c r="G598" s="286"/>
      <c r="H598" s="286"/>
      <c r="I598" s="286"/>
      <c r="J598" s="286"/>
      <c r="K598" s="286"/>
      <c r="L598" s="286"/>
      <c r="M598" s="286"/>
      <c r="N598" s="286"/>
    </row>
    <row r="599">
      <c r="A599" s="286"/>
      <c r="B599" s="286"/>
      <c r="C599" s="286"/>
      <c r="D599" s="286"/>
      <c r="E599" s="306"/>
      <c r="F599" s="306"/>
      <c r="G599" s="286"/>
      <c r="H599" s="286"/>
      <c r="I599" s="286"/>
      <c r="J599" s="286"/>
      <c r="K599" s="286"/>
      <c r="L599" s="286"/>
      <c r="M599" s="286"/>
      <c r="N599" s="286"/>
    </row>
    <row r="600">
      <c r="A600" s="286"/>
      <c r="B600" s="286"/>
      <c r="C600" s="286"/>
      <c r="D600" s="286"/>
      <c r="E600" s="306"/>
      <c r="F600" s="306"/>
      <c r="G600" s="286"/>
      <c r="H600" s="286"/>
      <c r="I600" s="286"/>
      <c r="J600" s="286"/>
      <c r="K600" s="286"/>
      <c r="L600" s="286"/>
      <c r="M600" s="286"/>
      <c r="N600" s="286"/>
    </row>
    <row r="601">
      <c r="A601" s="286"/>
      <c r="B601" s="286"/>
      <c r="C601" s="286"/>
      <c r="D601" s="286"/>
      <c r="E601" s="306"/>
      <c r="F601" s="306"/>
      <c r="G601" s="286"/>
      <c r="H601" s="286"/>
      <c r="I601" s="286"/>
      <c r="J601" s="286"/>
      <c r="K601" s="286"/>
      <c r="L601" s="286"/>
      <c r="M601" s="286"/>
      <c r="N601" s="286"/>
    </row>
    <row r="602">
      <c r="A602" s="286"/>
      <c r="B602" s="286"/>
      <c r="C602" s="286"/>
      <c r="D602" s="286"/>
      <c r="E602" s="306"/>
      <c r="F602" s="306"/>
      <c r="G602" s="286"/>
      <c r="H602" s="286"/>
      <c r="I602" s="286"/>
      <c r="J602" s="286"/>
      <c r="K602" s="286"/>
      <c r="L602" s="286"/>
      <c r="M602" s="286"/>
      <c r="N602" s="286"/>
    </row>
    <row r="603">
      <c r="A603" s="286"/>
      <c r="B603" s="286"/>
      <c r="C603" s="286"/>
      <c r="D603" s="286"/>
      <c r="E603" s="306"/>
      <c r="F603" s="306"/>
      <c r="G603" s="286"/>
      <c r="H603" s="286"/>
      <c r="I603" s="286"/>
      <c r="J603" s="286"/>
      <c r="K603" s="286"/>
      <c r="L603" s="286"/>
      <c r="M603" s="286"/>
      <c r="N603" s="286"/>
    </row>
    <row r="604">
      <c r="A604" s="286"/>
      <c r="B604" s="286"/>
      <c r="C604" s="286"/>
      <c r="D604" s="286"/>
      <c r="E604" s="306"/>
      <c r="F604" s="306"/>
      <c r="G604" s="286"/>
      <c r="H604" s="286"/>
      <c r="I604" s="286"/>
      <c r="J604" s="286"/>
      <c r="K604" s="286"/>
      <c r="L604" s="286"/>
      <c r="M604" s="286"/>
      <c r="N604" s="286"/>
    </row>
    <row r="605">
      <c r="A605" s="286"/>
      <c r="B605" s="286"/>
      <c r="C605" s="286"/>
      <c r="D605" s="286"/>
      <c r="E605" s="306"/>
      <c r="F605" s="306"/>
      <c r="G605" s="286"/>
      <c r="H605" s="286"/>
      <c r="I605" s="286"/>
      <c r="J605" s="286"/>
      <c r="K605" s="286"/>
      <c r="L605" s="286"/>
      <c r="M605" s="286"/>
      <c r="N605" s="286"/>
    </row>
    <row r="606">
      <c r="A606" s="286"/>
      <c r="B606" s="286"/>
      <c r="C606" s="286"/>
      <c r="D606" s="286"/>
      <c r="E606" s="306"/>
      <c r="F606" s="306"/>
      <c r="G606" s="286"/>
      <c r="H606" s="286"/>
      <c r="I606" s="286"/>
      <c r="J606" s="286"/>
      <c r="K606" s="286"/>
      <c r="L606" s="286"/>
      <c r="M606" s="286"/>
      <c r="N606" s="286"/>
    </row>
    <row r="607">
      <c r="A607" s="286"/>
      <c r="B607" s="286"/>
      <c r="C607" s="286"/>
      <c r="D607" s="286"/>
      <c r="E607" s="306"/>
      <c r="F607" s="306"/>
      <c r="G607" s="286"/>
      <c r="H607" s="286"/>
      <c r="I607" s="286"/>
      <c r="J607" s="286"/>
      <c r="K607" s="286"/>
      <c r="L607" s="286"/>
      <c r="M607" s="286"/>
      <c r="N607" s="286"/>
    </row>
    <row r="608">
      <c r="A608" s="286"/>
      <c r="B608" s="286"/>
      <c r="C608" s="286"/>
      <c r="D608" s="286"/>
      <c r="E608" s="306"/>
      <c r="F608" s="306"/>
      <c r="G608" s="286"/>
      <c r="H608" s="286"/>
      <c r="I608" s="286"/>
      <c r="J608" s="286"/>
      <c r="K608" s="286"/>
      <c r="L608" s="286"/>
      <c r="M608" s="286"/>
      <c r="N608" s="286"/>
    </row>
    <row r="609">
      <c r="A609" s="286"/>
      <c r="B609" s="286"/>
      <c r="C609" s="286"/>
      <c r="D609" s="286"/>
      <c r="E609" s="306"/>
      <c r="F609" s="306"/>
      <c r="G609" s="286"/>
      <c r="H609" s="286"/>
      <c r="I609" s="286"/>
      <c r="J609" s="286"/>
      <c r="K609" s="286"/>
      <c r="L609" s="286"/>
      <c r="M609" s="286"/>
      <c r="N609" s="286"/>
    </row>
    <row r="610">
      <c r="A610" s="286"/>
      <c r="B610" s="286"/>
      <c r="C610" s="286"/>
      <c r="D610" s="286"/>
      <c r="E610" s="306"/>
      <c r="F610" s="306"/>
      <c r="G610" s="286"/>
      <c r="H610" s="286"/>
      <c r="I610" s="286"/>
      <c r="J610" s="286"/>
      <c r="K610" s="286"/>
      <c r="L610" s="286"/>
      <c r="M610" s="286"/>
      <c r="N610" s="286"/>
    </row>
    <row r="611">
      <c r="A611" s="286"/>
      <c r="B611" s="286"/>
      <c r="C611" s="286"/>
      <c r="D611" s="286"/>
      <c r="E611" s="306"/>
      <c r="F611" s="306"/>
      <c r="G611" s="286"/>
      <c r="H611" s="286"/>
      <c r="I611" s="286"/>
      <c r="J611" s="286"/>
      <c r="K611" s="286"/>
      <c r="L611" s="286"/>
      <c r="M611" s="286"/>
      <c r="N611" s="286"/>
    </row>
    <row r="612">
      <c r="A612" s="286"/>
      <c r="B612" s="286"/>
      <c r="C612" s="286"/>
      <c r="D612" s="286"/>
      <c r="E612" s="306"/>
      <c r="F612" s="306"/>
      <c r="G612" s="286"/>
      <c r="H612" s="286"/>
      <c r="I612" s="286"/>
      <c r="J612" s="286"/>
      <c r="K612" s="286"/>
      <c r="L612" s="286"/>
      <c r="M612" s="286"/>
      <c r="N612" s="286"/>
    </row>
    <row r="613">
      <c r="A613" s="286"/>
      <c r="B613" s="286"/>
      <c r="C613" s="286"/>
      <c r="D613" s="286"/>
      <c r="E613" s="306"/>
      <c r="F613" s="306"/>
      <c r="G613" s="286"/>
      <c r="H613" s="286"/>
      <c r="I613" s="286"/>
      <c r="J613" s="286"/>
      <c r="K613" s="286"/>
      <c r="L613" s="286"/>
      <c r="M613" s="286"/>
      <c r="N613" s="286"/>
    </row>
    <row r="614">
      <c r="A614" s="286"/>
      <c r="B614" s="286"/>
      <c r="C614" s="286"/>
      <c r="D614" s="286"/>
      <c r="E614" s="306"/>
      <c r="F614" s="306"/>
      <c r="G614" s="286"/>
      <c r="H614" s="286"/>
      <c r="I614" s="286"/>
      <c r="J614" s="286"/>
      <c r="K614" s="286"/>
      <c r="L614" s="286"/>
      <c r="M614" s="286"/>
      <c r="N614" s="286"/>
    </row>
    <row r="615">
      <c r="A615" s="286"/>
      <c r="B615" s="286"/>
      <c r="C615" s="286"/>
      <c r="D615" s="286"/>
      <c r="E615" s="306"/>
      <c r="F615" s="306"/>
      <c r="G615" s="286"/>
      <c r="H615" s="286"/>
      <c r="I615" s="286"/>
      <c r="J615" s="286"/>
      <c r="K615" s="286"/>
      <c r="L615" s="286"/>
      <c r="M615" s="286"/>
      <c r="N615" s="286"/>
    </row>
    <row r="616">
      <c r="A616" s="286"/>
      <c r="B616" s="286"/>
      <c r="C616" s="286"/>
      <c r="D616" s="286"/>
      <c r="E616" s="306"/>
      <c r="F616" s="306"/>
      <c r="G616" s="286"/>
      <c r="H616" s="286"/>
      <c r="I616" s="286"/>
      <c r="J616" s="286"/>
      <c r="K616" s="286"/>
      <c r="L616" s="286"/>
      <c r="M616" s="286"/>
      <c r="N616" s="286"/>
    </row>
    <row r="617">
      <c r="A617" s="286"/>
      <c r="B617" s="286"/>
      <c r="C617" s="286"/>
      <c r="D617" s="286"/>
      <c r="E617" s="306"/>
      <c r="F617" s="306"/>
      <c r="G617" s="286"/>
      <c r="H617" s="286"/>
      <c r="I617" s="286"/>
      <c r="J617" s="286"/>
      <c r="K617" s="286"/>
      <c r="L617" s="286"/>
      <c r="M617" s="286"/>
      <c r="N617" s="286"/>
    </row>
    <row r="618">
      <c r="A618" s="286"/>
      <c r="B618" s="286"/>
      <c r="C618" s="286"/>
      <c r="D618" s="286"/>
      <c r="E618" s="306"/>
      <c r="F618" s="306"/>
      <c r="G618" s="286"/>
      <c r="H618" s="286"/>
      <c r="I618" s="286"/>
      <c r="J618" s="286"/>
      <c r="K618" s="286"/>
      <c r="L618" s="286"/>
      <c r="M618" s="286"/>
      <c r="N618" s="286"/>
    </row>
    <row r="619">
      <c r="A619" s="286"/>
      <c r="B619" s="286"/>
      <c r="C619" s="286"/>
      <c r="D619" s="286"/>
      <c r="E619" s="306"/>
      <c r="F619" s="306"/>
      <c r="G619" s="286"/>
      <c r="H619" s="286"/>
      <c r="I619" s="286"/>
      <c r="J619" s="286"/>
      <c r="K619" s="286"/>
      <c r="L619" s="286"/>
      <c r="M619" s="286"/>
      <c r="N619" s="286"/>
    </row>
    <row r="620">
      <c r="A620" s="286"/>
      <c r="B620" s="286"/>
      <c r="C620" s="286"/>
      <c r="D620" s="286"/>
      <c r="E620" s="306"/>
      <c r="F620" s="306"/>
      <c r="G620" s="286"/>
      <c r="H620" s="286"/>
      <c r="I620" s="286"/>
      <c r="J620" s="286"/>
      <c r="K620" s="286"/>
      <c r="L620" s="286"/>
      <c r="M620" s="286"/>
      <c r="N620" s="286"/>
    </row>
    <row r="621">
      <c r="A621" s="286"/>
      <c r="B621" s="286"/>
      <c r="C621" s="286"/>
      <c r="D621" s="286"/>
      <c r="E621" s="306"/>
      <c r="F621" s="306"/>
      <c r="G621" s="286"/>
      <c r="H621" s="286"/>
      <c r="I621" s="286"/>
      <c r="J621" s="286"/>
      <c r="K621" s="286"/>
      <c r="L621" s="286"/>
      <c r="M621" s="286"/>
      <c r="N621" s="286"/>
    </row>
    <row r="622">
      <c r="A622" s="286"/>
      <c r="B622" s="286"/>
      <c r="C622" s="286"/>
      <c r="D622" s="286"/>
      <c r="E622" s="306"/>
      <c r="F622" s="306"/>
      <c r="G622" s="286"/>
      <c r="H622" s="286"/>
      <c r="I622" s="286"/>
      <c r="J622" s="286"/>
      <c r="K622" s="286"/>
      <c r="L622" s="286"/>
      <c r="M622" s="286"/>
      <c r="N622" s="286"/>
    </row>
    <row r="623">
      <c r="A623" s="286"/>
      <c r="B623" s="286"/>
      <c r="C623" s="286"/>
      <c r="D623" s="286"/>
      <c r="E623" s="306"/>
      <c r="F623" s="306"/>
      <c r="G623" s="286"/>
      <c r="H623" s="286"/>
      <c r="I623" s="286"/>
      <c r="J623" s="286"/>
      <c r="K623" s="286"/>
      <c r="L623" s="286"/>
      <c r="M623" s="286"/>
      <c r="N623" s="286"/>
    </row>
    <row r="624">
      <c r="A624" s="286"/>
      <c r="B624" s="286"/>
      <c r="C624" s="286"/>
      <c r="D624" s="286"/>
      <c r="E624" s="306"/>
      <c r="F624" s="306"/>
      <c r="G624" s="286"/>
      <c r="H624" s="286"/>
      <c r="I624" s="286"/>
      <c r="J624" s="286"/>
      <c r="K624" s="286"/>
      <c r="L624" s="286"/>
      <c r="M624" s="286"/>
      <c r="N624" s="286"/>
    </row>
    <row r="625">
      <c r="A625" s="286"/>
      <c r="B625" s="286"/>
      <c r="C625" s="286"/>
      <c r="D625" s="286"/>
      <c r="E625" s="306"/>
      <c r="F625" s="306"/>
      <c r="G625" s="286"/>
      <c r="H625" s="286"/>
      <c r="I625" s="286"/>
      <c r="J625" s="286"/>
      <c r="K625" s="286"/>
      <c r="L625" s="286"/>
      <c r="M625" s="286"/>
      <c r="N625" s="286"/>
    </row>
    <row r="626">
      <c r="A626" s="286"/>
      <c r="B626" s="286"/>
      <c r="C626" s="286"/>
      <c r="D626" s="286"/>
      <c r="E626" s="306"/>
      <c r="F626" s="306"/>
      <c r="G626" s="286"/>
      <c r="H626" s="286"/>
      <c r="I626" s="286"/>
      <c r="J626" s="286"/>
      <c r="K626" s="286"/>
      <c r="L626" s="286"/>
      <c r="M626" s="286"/>
      <c r="N626" s="286"/>
    </row>
    <row r="627">
      <c r="A627" s="286"/>
      <c r="B627" s="286"/>
      <c r="C627" s="286"/>
      <c r="D627" s="286"/>
      <c r="E627" s="306"/>
      <c r="F627" s="306"/>
      <c r="G627" s="286"/>
      <c r="H627" s="286"/>
      <c r="I627" s="286"/>
      <c r="J627" s="286"/>
      <c r="K627" s="286"/>
      <c r="L627" s="286"/>
      <c r="M627" s="286"/>
      <c r="N627" s="286"/>
    </row>
    <row r="628">
      <c r="A628" s="286"/>
      <c r="B628" s="286"/>
      <c r="C628" s="286"/>
      <c r="D628" s="286"/>
      <c r="E628" s="306"/>
      <c r="F628" s="306"/>
      <c r="G628" s="286"/>
      <c r="H628" s="286"/>
      <c r="I628" s="286"/>
      <c r="J628" s="286"/>
      <c r="K628" s="286"/>
      <c r="L628" s="286"/>
      <c r="M628" s="286"/>
      <c r="N628" s="286"/>
    </row>
    <row r="629">
      <c r="A629" s="286"/>
      <c r="B629" s="286"/>
      <c r="C629" s="286"/>
      <c r="D629" s="286"/>
      <c r="E629" s="306"/>
      <c r="F629" s="306"/>
      <c r="G629" s="286"/>
      <c r="H629" s="286"/>
      <c r="I629" s="286"/>
      <c r="J629" s="286"/>
      <c r="K629" s="286"/>
      <c r="L629" s="286"/>
      <c r="M629" s="286"/>
      <c r="N629" s="286"/>
    </row>
    <row r="630">
      <c r="A630" s="286"/>
      <c r="B630" s="286"/>
      <c r="C630" s="286"/>
      <c r="D630" s="286"/>
      <c r="E630" s="306"/>
      <c r="F630" s="306"/>
      <c r="G630" s="286"/>
      <c r="H630" s="286"/>
      <c r="I630" s="286"/>
      <c r="J630" s="286"/>
      <c r="K630" s="286"/>
      <c r="L630" s="286"/>
      <c r="M630" s="286"/>
      <c r="N630" s="286"/>
    </row>
    <row r="631">
      <c r="A631" s="286"/>
      <c r="B631" s="286"/>
      <c r="C631" s="286"/>
      <c r="D631" s="286"/>
      <c r="E631" s="306"/>
      <c r="F631" s="306"/>
      <c r="G631" s="286"/>
      <c r="H631" s="286"/>
      <c r="I631" s="286"/>
      <c r="J631" s="286"/>
      <c r="K631" s="286"/>
      <c r="L631" s="286"/>
      <c r="M631" s="286"/>
      <c r="N631" s="286"/>
    </row>
    <row r="632">
      <c r="A632" s="286"/>
      <c r="B632" s="286"/>
      <c r="C632" s="286"/>
      <c r="D632" s="286"/>
      <c r="E632" s="306"/>
      <c r="F632" s="306"/>
      <c r="G632" s="286"/>
      <c r="H632" s="286"/>
      <c r="I632" s="286"/>
      <c r="J632" s="286"/>
      <c r="K632" s="286"/>
      <c r="L632" s="286"/>
      <c r="M632" s="286"/>
      <c r="N632" s="286"/>
    </row>
    <row r="633">
      <c r="A633" s="286"/>
      <c r="B633" s="286"/>
      <c r="C633" s="286"/>
      <c r="D633" s="286"/>
      <c r="E633" s="306"/>
      <c r="F633" s="306"/>
      <c r="G633" s="286"/>
      <c r="H633" s="286"/>
      <c r="I633" s="286"/>
      <c r="J633" s="286"/>
      <c r="K633" s="286"/>
      <c r="L633" s="286"/>
      <c r="M633" s="286"/>
      <c r="N633" s="286"/>
    </row>
    <row r="634">
      <c r="A634" s="286"/>
      <c r="B634" s="286"/>
      <c r="C634" s="286"/>
      <c r="D634" s="286"/>
      <c r="E634" s="306"/>
      <c r="F634" s="306"/>
      <c r="G634" s="286"/>
      <c r="H634" s="286"/>
      <c r="I634" s="286"/>
      <c r="J634" s="286"/>
      <c r="K634" s="286"/>
      <c r="L634" s="286"/>
      <c r="M634" s="286"/>
      <c r="N634" s="286"/>
    </row>
    <row r="635">
      <c r="A635" s="286"/>
      <c r="B635" s="286"/>
      <c r="C635" s="286"/>
      <c r="D635" s="286"/>
      <c r="E635" s="306"/>
      <c r="F635" s="306"/>
      <c r="G635" s="286"/>
      <c r="H635" s="286"/>
      <c r="I635" s="286"/>
      <c r="J635" s="286"/>
      <c r="K635" s="286"/>
      <c r="L635" s="286"/>
      <c r="M635" s="286"/>
      <c r="N635" s="286"/>
    </row>
    <row r="636">
      <c r="A636" s="286"/>
      <c r="B636" s="286"/>
      <c r="C636" s="286"/>
      <c r="D636" s="286"/>
      <c r="E636" s="306"/>
      <c r="F636" s="306"/>
      <c r="G636" s="286"/>
      <c r="H636" s="286"/>
      <c r="I636" s="286"/>
      <c r="J636" s="286"/>
      <c r="K636" s="286"/>
      <c r="L636" s="286"/>
      <c r="M636" s="286"/>
      <c r="N636" s="286"/>
    </row>
    <row r="637">
      <c r="A637" s="286"/>
      <c r="B637" s="286"/>
      <c r="C637" s="286"/>
      <c r="D637" s="286"/>
      <c r="E637" s="306"/>
      <c r="F637" s="306"/>
      <c r="G637" s="286"/>
      <c r="H637" s="286"/>
      <c r="I637" s="286"/>
      <c r="J637" s="286"/>
      <c r="K637" s="286"/>
      <c r="L637" s="286"/>
      <c r="M637" s="286"/>
      <c r="N637" s="286"/>
    </row>
    <row r="638">
      <c r="A638" s="286"/>
      <c r="B638" s="286"/>
      <c r="C638" s="286"/>
      <c r="D638" s="286"/>
      <c r="E638" s="306"/>
      <c r="F638" s="306"/>
      <c r="G638" s="286"/>
      <c r="H638" s="286"/>
      <c r="I638" s="286"/>
      <c r="J638" s="286"/>
      <c r="K638" s="286"/>
      <c r="L638" s="286"/>
      <c r="M638" s="286"/>
      <c r="N638" s="286"/>
    </row>
    <row r="639">
      <c r="A639" s="286"/>
      <c r="B639" s="286"/>
      <c r="C639" s="286"/>
      <c r="D639" s="286"/>
      <c r="E639" s="306"/>
      <c r="F639" s="306"/>
      <c r="G639" s="286"/>
      <c r="H639" s="286"/>
      <c r="I639" s="286"/>
      <c r="J639" s="286"/>
      <c r="K639" s="286"/>
      <c r="L639" s="286"/>
      <c r="M639" s="286"/>
      <c r="N639" s="286"/>
    </row>
    <row r="640">
      <c r="A640" s="286"/>
      <c r="B640" s="286"/>
      <c r="C640" s="286"/>
      <c r="D640" s="286"/>
      <c r="E640" s="306"/>
      <c r="F640" s="306"/>
      <c r="G640" s="286"/>
      <c r="H640" s="286"/>
      <c r="I640" s="286"/>
      <c r="J640" s="286"/>
      <c r="K640" s="286"/>
      <c r="L640" s="286"/>
      <c r="M640" s="286"/>
      <c r="N640" s="286"/>
    </row>
    <row r="641">
      <c r="A641" s="286"/>
      <c r="B641" s="286"/>
      <c r="C641" s="286"/>
      <c r="D641" s="286"/>
      <c r="E641" s="306"/>
      <c r="F641" s="306"/>
      <c r="G641" s="286"/>
      <c r="H641" s="286"/>
      <c r="I641" s="286"/>
      <c r="J641" s="286"/>
      <c r="K641" s="286"/>
      <c r="L641" s="286"/>
      <c r="M641" s="286"/>
      <c r="N641" s="286"/>
    </row>
    <row r="642">
      <c r="A642" s="286"/>
      <c r="B642" s="286"/>
      <c r="C642" s="286"/>
      <c r="D642" s="286"/>
      <c r="E642" s="306"/>
      <c r="F642" s="306"/>
      <c r="G642" s="286"/>
      <c r="H642" s="286"/>
      <c r="I642" s="286"/>
      <c r="J642" s="286"/>
      <c r="K642" s="286"/>
      <c r="L642" s="286"/>
      <c r="M642" s="286"/>
      <c r="N642" s="286"/>
    </row>
    <row r="643">
      <c r="A643" s="286"/>
      <c r="B643" s="286"/>
      <c r="C643" s="286"/>
      <c r="D643" s="286"/>
      <c r="E643" s="306"/>
      <c r="F643" s="306"/>
      <c r="G643" s="286"/>
      <c r="H643" s="286"/>
      <c r="I643" s="286"/>
      <c r="J643" s="286"/>
      <c r="K643" s="286"/>
      <c r="L643" s="286"/>
      <c r="M643" s="286"/>
      <c r="N643" s="286"/>
    </row>
    <row r="644">
      <c r="A644" s="286"/>
      <c r="B644" s="286"/>
      <c r="C644" s="286"/>
      <c r="D644" s="286"/>
      <c r="E644" s="306"/>
      <c r="F644" s="306"/>
      <c r="G644" s="286"/>
      <c r="H644" s="286"/>
      <c r="I644" s="286"/>
      <c r="J644" s="286"/>
      <c r="K644" s="286"/>
      <c r="L644" s="286"/>
      <c r="M644" s="286"/>
      <c r="N644" s="286"/>
    </row>
    <row r="645">
      <c r="A645" s="286"/>
      <c r="B645" s="286"/>
      <c r="C645" s="286"/>
      <c r="D645" s="286"/>
      <c r="E645" s="306"/>
      <c r="F645" s="306"/>
      <c r="G645" s="286"/>
      <c r="H645" s="286"/>
      <c r="I645" s="286"/>
      <c r="J645" s="286"/>
      <c r="K645" s="286"/>
      <c r="L645" s="286"/>
      <c r="M645" s="286"/>
      <c r="N645" s="286"/>
    </row>
    <row r="646">
      <c r="A646" s="286"/>
      <c r="B646" s="286"/>
      <c r="C646" s="286"/>
      <c r="D646" s="286"/>
      <c r="E646" s="306"/>
      <c r="F646" s="306"/>
      <c r="G646" s="286"/>
      <c r="H646" s="286"/>
      <c r="I646" s="286"/>
      <c r="J646" s="286"/>
      <c r="K646" s="286"/>
      <c r="L646" s="286"/>
      <c r="M646" s="286"/>
      <c r="N646" s="286"/>
    </row>
    <row r="647">
      <c r="A647" s="286"/>
      <c r="B647" s="286"/>
      <c r="C647" s="286"/>
      <c r="D647" s="286"/>
      <c r="E647" s="306"/>
      <c r="F647" s="306"/>
      <c r="G647" s="286"/>
      <c r="H647" s="286"/>
      <c r="I647" s="286"/>
      <c r="J647" s="286"/>
      <c r="K647" s="286"/>
      <c r="L647" s="286"/>
      <c r="M647" s="286"/>
      <c r="N647" s="286"/>
    </row>
    <row r="648">
      <c r="A648" s="286"/>
      <c r="B648" s="286"/>
      <c r="C648" s="286"/>
      <c r="D648" s="286"/>
      <c r="E648" s="306"/>
      <c r="F648" s="306"/>
      <c r="G648" s="286"/>
      <c r="H648" s="286"/>
      <c r="I648" s="286"/>
      <c r="J648" s="286"/>
      <c r="K648" s="286"/>
      <c r="L648" s="286"/>
      <c r="M648" s="286"/>
      <c r="N648" s="286"/>
    </row>
    <row r="649">
      <c r="A649" s="286"/>
      <c r="B649" s="286"/>
      <c r="C649" s="286"/>
      <c r="D649" s="286"/>
      <c r="E649" s="306"/>
      <c r="F649" s="306"/>
      <c r="G649" s="286"/>
      <c r="H649" s="286"/>
      <c r="I649" s="286"/>
      <c r="J649" s="286"/>
      <c r="K649" s="286"/>
      <c r="L649" s="286"/>
      <c r="M649" s="286"/>
      <c r="N649" s="286"/>
    </row>
    <row r="650">
      <c r="A650" s="286"/>
      <c r="B650" s="286"/>
      <c r="C650" s="286"/>
      <c r="D650" s="286"/>
      <c r="E650" s="306"/>
      <c r="F650" s="306"/>
      <c r="G650" s="286"/>
      <c r="H650" s="286"/>
      <c r="I650" s="286"/>
      <c r="J650" s="286"/>
      <c r="K650" s="286"/>
      <c r="L650" s="286"/>
      <c r="M650" s="286"/>
      <c r="N650" s="286"/>
    </row>
    <row r="651">
      <c r="A651" s="286"/>
      <c r="B651" s="286"/>
      <c r="C651" s="286"/>
      <c r="D651" s="286"/>
      <c r="E651" s="306"/>
      <c r="F651" s="306"/>
      <c r="G651" s="286"/>
      <c r="H651" s="286"/>
      <c r="I651" s="286"/>
      <c r="J651" s="286"/>
      <c r="K651" s="286"/>
      <c r="L651" s="286"/>
      <c r="M651" s="286"/>
      <c r="N651" s="286"/>
    </row>
    <row r="652">
      <c r="A652" s="286"/>
      <c r="B652" s="286"/>
      <c r="C652" s="286"/>
      <c r="D652" s="286"/>
      <c r="E652" s="306"/>
      <c r="F652" s="306"/>
      <c r="G652" s="286"/>
      <c r="H652" s="286"/>
      <c r="I652" s="286"/>
      <c r="J652" s="286"/>
      <c r="K652" s="286"/>
      <c r="L652" s="286"/>
      <c r="M652" s="286"/>
      <c r="N652" s="286"/>
    </row>
    <row r="653">
      <c r="A653" s="286"/>
      <c r="B653" s="286"/>
      <c r="C653" s="286"/>
      <c r="D653" s="286"/>
      <c r="E653" s="306"/>
      <c r="F653" s="306"/>
      <c r="G653" s="286"/>
      <c r="H653" s="286"/>
      <c r="I653" s="286"/>
      <c r="J653" s="286"/>
      <c r="K653" s="286"/>
      <c r="L653" s="286"/>
      <c r="M653" s="286"/>
      <c r="N653" s="286"/>
    </row>
    <row r="654">
      <c r="A654" s="286"/>
      <c r="B654" s="286"/>
      <c r="C654" s="286"/>
      <c r="D654" s="286"/>
      <c r="E654" s="306"/>
      <c r="F654" s="306"/>
      <c r="G654" s="286"/>
      <c r="H654" s="286"/>
      <c r="I654" s="286"/>
      <c r="J654" s="286"/>
      <c r="K654" s="286"/>
      <c r="L654" s="286"/>
      <c r="M654" s="286"/>
      <c r="N654" s="286"/>
    </row>
    <row r="655">
      <c r="A655" s="286"/>
      <c r="B655" s="286"/>
      <c r="C655" s="286"/>
      <c r="D655" s="286"/>
      <c r="E655" s="306"/>
      <c r="F655" s="306"/>
      <c r="G655" s="286"/>
      <c r="H655" s="286"/>
      <c r="I655" s="286"/>
      <c r="J655" s="286"/>
      <c r="K655" s="286"/>
      <c r="L655" s="286"/>
      <c r="M655" s="286"/>
      <c r="N655" s="286"/>
    </row>
    <row r="656">
      <c r="A656" s="286"/>
      <c r="B656" s="286"/>
      <c r="C656" s="286"/>
      <c r="D656" s="286"/>
      <c r="E656" s="306"/>
      <c r="F656" s="306"/>
      <c r="G656" s="286"/>
      <c r="H656" s="286"/>
      <c r="I656" s="286"/>
      <c r="J656" s="286"/>
      <c r="K656" s="286"/>
      <c r="L656" s="286"/>
      <c r="M656" s="286"/>
      <c r="N656" s="286"/>
    </row>
    <row r="657">
      <c r="A657" s="286"/>
      <c r="B657" s="286"/>
      <c r="C657" s="286"/>
      <c r="D657" s="286"/>
      <c r="E657" s="306"/>
      <c r="F657" s="306"/>
      <c r="G657" s="286"/>
      <c r="H657" s="286"/>
      <c r="I657" s="286"/>
      <c r="J657" s="286"/>
      <c r="K657" s="286"/>
      <c r="L657" s="286"/>
      <c r="M657" s="286"/>
      <c r="N657" s="286"/>
    </row>
    <row r="658">
      <c r="A658" s="286"/>
      <c r="B658" s="286"/>
      <c r="C658" s="286"/>
      <c r="D658" s="286"/>
      <c r="E658" s="306"/>
      <c r="F658" s="306"/>
      <c r="G658" s="286"/>
      <c r="H658" s="286"/>
      <c r="I658" s="286"/>
      <c r="J658" s="286"/>
      <c r="K658" s="286"/>
      <c r="L658" s="286"/>
      <c r="M658" s="286"/>
      <c r="N658" s="286"/>
    </row>
    <row r="659">
      <c r="A659" s="286"/>
      <c r="B659" s="286"/>
      <c r="C659" s="286"/>
      <c r="D659" s="286"/>
      <c r="E659" s="306"/>
      <c r="F659" s="306"/>
      <c r="G659" s="286"/>
      <c r="H659" s="286"/>
      <c r="I659" s="286"/>
      <c r="J659" s="286"/>
      <c r="K659" s="286"/>
      <c r="L659" s="286"/>
      <c r="M659" s="286"/>
      <c r="N659" s="286"/>
    </row>
    <row r="660">
      <c r="A660" s="286"/>
      <c r="B660" s="286"/>
      <c r="C660" s="286"/>
      <c r="D660" s="286"/>
      <c r="E660" s="306"/>
      <c r="F660" s="306"/>
      <c r="G660" s="286"/>
      <c r="H660" s="286"/>
      <c r="I660" s="286"/>
      <c r="J660" s="286"/>
      <c r="K660" s="286"/>
      <c r="L660" s="286"/>
      <c r="M660" s="286"/>
      <c r="N660" s="286"/>
    </row>
    <row r="661">
      <c r="A661" s="286"/>
      <c r="B661" s="286"/>
      <c r="C661" s="286"/>
      <c r="D661" s="286"/>
      <c r="E661" s="306"/>
      <c r="F661" s="306"/>
      <c r="G661" s="286"/>
      <c r="H661" s="286"/>
      <c r="I661" s="286"/>
      <c r="J661" s="286"/>
      <c r="K661" s="286"/>
      <c r="L661" s="286"/>
      <c r="M661" s="286"/>
      <c r="N661" s="286"/>
    </row>
    <row r="662">
      <c r="A662" s="286"/>
      <c r="B662" s="286"/>
      <c r="C662" s="286"/>
      <c r="D662" s="286"/>
      <c r="E662" s="306"/>
      <c r="F662" s="306"/>
      <c r="G662" s="286"/>
      <c r="H662" s="286"/>
      <c r="I662" s="286"/>
      <c r="J662" s="286"/>
      <c r="K662" s="286"/>
      <c r="L662" s="286"/>
      <c r="M662" s="286"/>
      <c r="N662" s="286"/>
    </row>
    <row r="663">
      <c r="A663" s="286"/>
      <c r="B663" s="286"/>
      <c r="C663" s="286"/>
      <c r="D663" s="286"/>
      <c r="E663" s="306"/>
      <c r="F663" s="306"/>
      <c r="G663" s="286"/>
      <c r="H663" s="286"/>
      <c r="I663" s="286"/>
      <c r="J663" s="286"/>
      <c r="K663" s="286"/>
      <c r="L663" s="286"/>
      <c r="M663" s="286"/>
      <c r="N663" s="286"/>
    </row>
    <row r="664">
      <c r="A664" s="286"/>
      <c r="B664" s="286"/>
      <c r="C664" s="286"/>
      <c r="D664" s="286"/>
      <c r="E664" s="306"/>
      <c r="F664" s="306"/>
      <c r="G664" s="286"/>
      <c r="H664" s="286"/>
      <c r="I664" s="286"/>
      <c r="J664" s="286"/>
      <c r="K664" s="286"/>
      <c r="L664" s="286"/>
      <c r="M664" s="286"/>
      <c r="N664" s="286"/>
    </row>
    <row r="665">
      <c r="A665" s="286"/>
      <c r="B665" s="286"/>
      <c r="C665" s="286"/>
      <c r="D665" s="286"/>
      <c r="E665" s="306"/>
      <c r="F665" s="306"/>
      <c r="G665" s="286"/>
      <c r="H665" s="286"/>
      <c r="I665" s="286"/>
      <c r="J665" s="286"/>
      <c r="K665" s="286"/>
      <c r="L665" s="286"/>
      <c r="M665" s="286"/>
      <c r="N665" s="286"/>
    </row>
    <row r="666">
      <c r="A666" s="286"/>
      <c r="B666" s="286"/>
      <c r="C666" s="286"/>
      <c r="D666" s="286"/>
      <c r="E666" s="306"/>
      <c r="F666" s="306"/>
      <c r="G666" s="286"/>
      <c r="H666" s="286"/>
      <c r="I666" s="286"/>
      <c r="J666" s="286"/>
      <c r="K666" s="286"/>
      <c r="L666" s="286"/>
      <c r="M666" s="286"/>
      <c r="N666" s="286"/>
    </row>
    <row r="667">
      <c r="A667" s="286"/>
      <c r="B667" s="286"/>
      <c r="C667" s="286"/>
      <c r="D667" s="286"/>
      <c r="E667" s="306"/>
      <c r="F667" s="306"/>
      <c r="G667" s="286"/>
      <c r="H667" s="286"/>
      <c r="I667" s="286"/>
      <c r="J667" s="286"/>
      <c r="K667" s="286"/>
      <c r="L667" s="286"/>
      <c r="M667" s="286"/>
      <c r="N667" s="286"/>
    </row>
    <row r="668">
      <c r="A668" s="286"/>
      <c r="B668" s="286"/>
      <c r="C668" s="286"/>
      <c r="D668" s="286"/>
      <c r="E668" s="306"/>
      <c r="F668" s="306"/>
      <c r="G668" s="286"/>
      <c r="H668" s="286"/>
      <c r="I668" s="286"/>
      <c r="J668" s="286"/>
      <c r="K668" s="286"/>
      <c r="L668" s="286"/>
      <c r="M668" s="286"/>
      <c r="N668" s="286"/>
    </row>
    <row r="669">
      <c r="A669" s="286"/>
      <c r="B669" s="286"/>
      <c r="C669" s="286"/>
      <c r="D669" s="286"/>
      <c r="E669" s="306"/>
      <c r="F669" s="306"/>
      <c r="G669" s="286"/>
      <c r="H669" s="286"/>
      <c r="I669" s="286"/>
      <c r="J669" s="286"/>
      <c r="K669" s="286"/>
      <c r="L669" s="286"/>
      <c r="M669" s="286"/>
      <c r="N669" s="286"/>
    </row>
    <row r="670">
      <c r="A670" s="286"/>
      <c r="B670" s="286"/>
      <c r="C670" s="286"/>
      <c r="D670" s="286"/>
      <c r="E670" s="306"/>
      <c r="F670" s="306"/>
      <c r="G670" s="286"/>
      <c r="H670" s="286"/>
      <c r="I670" s="286"/>
      <c r="J670" s="286"/>
      <c r="K670" s="286"/>
      <c r="L670" s="286"/>
      <c r="M670" s="286"/>
      <c r="N670" s="286"/>
    </row>
    <row r="671">
      <c r="A671" s="286"/>
      <c r="B671" s="286"/>
      <c r="C671" s="286"/>
      <c r="D671" s="286"/>
      <c r="E671" s="306"/>
      <c r="F671" s="306"/>
      <c r="G671" s="286"/>
      <c r="H671" s="286"/>
      <c r="I671" s="286"/>
      <c r="J671" s="286"/>
      <c r="K671" s="286"/>
      <c r="L671" s="286"/>
      <c r="M671" s="286"/>
      <c r="N671" s="286"/>
    </row>
    <row r="672">
      <c r="A672" s="286"/>
      <c r="B672" s="286"/>
      <c r="C672" s="286"/>
      <c r="D672" s="286"/>
      <c r="E672" s="306"/>
      <c r="F672" s="306"/>
      <c r="G672" s="286"/>
      <c r="H672" s="286"/>
      <c r="I672" s="286"/>
      <c r="J672" s="286"/>
      <c r="K672" s="286"/>
      <c r="L672" s="286"/>
      <c r="M672" s="286"/>
      <c r="N672" s="286"/>
    </row>
    <row r="673">
      <c r="A673" s="286"/>
      <c r="B673" s="286"/>
      <c r="C673" s="286"/>
      <c r="D673" s="286"/>
      <c r="E673" s="306"/>
      <c r="F673" s="306"/>
      <c r="G673" s="286"/>
      <c r="H673" s="286"/>
      <c r="I673" s="286"/>
      <c r="J673" s="286"/>
      <c r="K673" s="286"/>
      <c r="L673" s="286"/>
      <c r="M673" s="286"/>
      <c r="N673" s="286"/>
    </row>
    <row r="674">
      <c r="A674" s="286"/>
      <c r="B674" s="286"/>
      <c r="C674" s="286"/>
      <c r="D674" s="286"/>
      <c r="E674" s="306"/>
      <c r="F674" s="306"/>
      <c r="G674" s="286"/>
      <c r="H674" s="286"/>
      <c r="I674" s="286"/>
      <c r="J674" s="286"/>
      <c r="K674" s="286"/>
      <c r="L674" s="286"/>
      <c r="M674" s="286"/>
      <c r="N674" s="286"/>
    </row>
    <row r="675">
      <c r="A675" s="286"/>
      <c r="B675" s="286"/>
      <c r="C675" s="286"/>
      <c r="D675" s="286"/>
      <c r="E675" s="306"/>
      <c r="F675" s="306"/>
      <c r="G675" s="286"/>
      <c r="H675" s="286"/>
      <c r="I675" s="286"/>
      <c r="J675" s="286"/>
      <c r="K675" s="286"/>
      <c r="L675" s="286"/>
      <c r="M675" s="286"/>
      <c r="N675" s="286"/>
    </row>
    <row r="676">
      <c r="A676" s="286"/>
      <c r="B676" s="286"/>
      <c r="C676" s="286"/>
      <c r="D676" s="286"/>
      <c r="E676" s="306"/>
      <c r="F676" s="306"/>
      <c r="G676" s="286"/>
      <c r="H676" s="286"/>
      <c r="I676" s="286"/>
      <c r="J676" s="286"/>
      <c r="K676" s="286"/>
      <c r="L676" s="286"/>
      <c r="M676" s="286"/>
      <c r="N676" s="286"/>
    </row>
    <row r="677">
      <c r="A677" s="286"/>
      <c r="B677" s="286"/>
      <c r="C677" s="286"/>
      <c r="D677" s="286"/>
      <c r="E677" s="306"/>
      <c r="F677" s="306"/>
      <c r="G677" s="286"/>
      <c r="H677" s="286"/>
      <c r="I677" s="286"/>
      <c r="J677" s="286"/>
      <c r="K677" s="286"/>
      <c r="L677" s="286"/>
      <c r="M677" s="286"/>
      <c r="N677" s="286"/>
    </row>
    <row r="678">
      <c r="A678" s="286"/>
      <c r="B678" s="286"/>
      <c r="C678" s="286"/>
      <c r="D678" s="286"/>
      <c r="E678" s="306"/>
      <c r="F678" s="306"/>
      <c r="G678" s="286"/>
      <c r="H678" s="286"/>
      <c r="I678" s="286"/>
      <c r="J678" s="286"/>
      <c r="K678" s="286"/>
      <c r="L678" s="286"/>
      <c r="M678" s="286"/>
      <c r="N678" s="286"/>
    </row>
    <row r="679">
      <c r="A679" s="286"/>
      <c r="B679" s="286"/>
      <c r="C679" s="286"/>
      <c r="D679" s="286"/>
      <c r="E679" s="306"/>
      <c r="F679" s="306"/>
      <c r="G679" s="286"/>
      <c r="H679" s="286"/>
      <c r="I679" s="286"/>
      <c r="J679" s="286"/>
      <c r="K679" s="286"/>
      <c r="L679" s="286"/>
      <c r="M679" s="286"/>
      <c r="N679" s="286"/>
    </row>
    <row r="680">
      <c r="A680" s="286"/>
      <c r="B680" s="286"/>
      <c r="C680" s="286"/>
      <c r="D680" s="286"/>
      <c r="E680" s="306"/>
      <c r="F680" s="306"/>
      <c r="G680" s="286"/>
      <c r="H680" s="286"/>
      <c r="I680" s="286"/>
      <c r="J680" s="286"/>
      <c r="K680" s="286"/>
      <c r="L680" s="286"/>
      <c r="M680" s="286"/>
      <c r="N680" s="286"/>
    </row>
    <row r="681">
      <c r="A681" s="286"/>
      <c r="B681" s="286"/>
      <c r="C681" s="286"/>
      <c r="D681" s="286"/>
      <c r="E681" s="306"/>
      <c r="F681" s="306"/>
      <c r="G681" s="286"/>
      <c r="H681" s="286"/>
      <c r="I681" s="286"/>
      <c r="J681" s="286"/>
      <c r="K681" s="286"/>
      <c r="L681" s="286"/>
      <c r="M681" s="286"/>
      <c r="N681" s="286"/>
    </row>
    <row r="682">
      <c r="A682" s="286"/>
      <c r="B682" s="286"/>
      <c r="C682" s="286"/>
      <c r="D682" s="286"/>
      <c r="E682" s="306"/>
      <c r="F682" s="306"/>
      <c r="G682" s="286"/>
      <c r="H682" s="286"/>
      <c r="I682" s="286"/>
      <c r="J682" s="286"/>
      <c r="K682" s="286"/>
      <c r="L682" s="286"/>
      <c r="M682" s="286"/>
      <c r="N682" s="286"/>
    </row>
    <row r="683">
      <c r="A683" s="286"/>
      <c r="B683" s="286"/>
      <c r="C683" s="286"/>
      <c r="D683" s="286"/>
      <c r="E683" s="306"/>
      <c r="F683" s="306"/>
      <c r="G683" s="286"/>
      <c r="H683" s="286"/>
      <c r="I683" s="286"/>
      <c r="J683" s="286"/>
      <c r="K683" s="286"/>
      <c r="L683" s="286"/>
      <c r="M683" s="286"/>
      <c r="N683" s="286"/>
    </row>
    <row r="684">
      <c r="A684" s="286"/>
      <c r="B684" s="286"/>
      <c r="C684" s="286"/>
      <c r="D684" s="286"/>
      <c r="E684" s="306"/>
      <c r="F684" s="306"/>
      <c r="G684" s="286"/>
      <c r="H684" s="286"/>
      <c r="I684" s="286"/>
      <c r="J684" s="286"/>
      <c r="K684" s="286"/>
      <c r="L684" s="286"/>
      <c r="M684" s="286"/>
      <c r="N684" s="286"/>
    </row>
    <row r="685">
      <c r="A685" s="286"/>
      <c r="B685" s="286"/>
      <c r="C685" s="286"/>
      <c r="D685" s="286"/>
      <c r="E685" s="306"/>
      <c r="F685" s="306"/>
      <c r="G685" s="286"/>
      <c r="H685" s="286"/>
      <c r="I685" s="286"/>
      <c r="J685" s="286"/>
      <c r="K685" s="286"/>
      <c r="L685" s="286"/>
      <c r="M685" s="286"/>
      <c r="N685" s="286"/>
    </row>
    <row r="686">
      <c r="A686" s="286"/>
      <c r="B686" s="286"/>
      <c r="C686" s="286"/>
      <c r="D686" s="286"/>
      <c r="E686" s="306"/>
      <c r="F686" s="306"/>
      <c r="G686" s="286"/>
      <c r="H686" s="286"/>
      <c r="I686" s="286"/>
      <c r="J686" s="286"/>
      <c r="K686" s="286"/>
      <c r="L686" s="286"/>
      <c r="M686" s="286"/>
      <c r="N686" s="286"/>
    </row>
    <row r="687">
      <c r="A687" s="286"/>
      <c r="B687" s="286"/>
      <c r="C687" s="286"/>
      <c r="D687" s="286"/>
      <c r="E687" s="306"/>
      <c r="F687" s="306"/>
      <c r="G687" s="286"/>
      <c r="H687" s="286"/>
      <c r="I687" s="286"/>
      <c r="J687" s="286"/>
      <c r="K687" s="286"/>
      <c r="L687" s="286"/>
      <c r="M687" s="286"/>
      <c r="N687" s="286"/>
    </row>
    <row r="688">
      <c r="A688" s="286"/>
      <c r="B688" s="286"/>
      <c r="C688" s="286"/>
      <c r="D688" s="286"/>
      <c r="E688" s="306"/>
      <c r="F688" s="306"/>
      <c r="G688" s="286"/>
      <c r="H688" s="286"/>
      <c r="I688" s="286"/>
      <c r="J688" s="286"/>
      <c r="K688" s="286"/>
      <c r="L688" s="286"/>
      <c r="M688" s="286"/>
      <c r="N688" s="286"/>
    </row>
    <row r="689">
      <c r="A689" s="286"/>
      <c r="B689" s="286"/>
      <c r="C689" s="286"/>
      <c r="D689" s="286"/>
      <c r="E689" s="306"/>
      <c r="F689" s="306"/>
      <c r="G689" s="286"/>
      <c r="H689" s="286"/>
      <c r="I689" s="286"/>
      <c r="J689" s="286"/>
      <c r="K689" s="286"/>
      <c r="L689" s="286"/>
      <c r="M689" s="286"/>
      <c r="N689" s="286"/>
    </row>
    <row r="690">
      <c r="A690" s="286"/>
      <c r="B690" s="286"/>
      <c r="C690" s="286"/>
      <c r="D690" s="286"/>
      <c r="E690" s="306"/>
      <c r="F690" s="306"/>
      <c r="G690" s="286"/>
      <c r="H690" s="286"/>
      <c r="I690" s="286"/>
      <c r="J690" s="286"/>
      <c r="K690" s="286"/>
      <c r="L690" s="286"/>
      <c r="M690" s="286"/>
      <c r="N690" s="286"/>
    </row>
    <row r="691">
      <c r="A691" s="286"/>
      <c r="B691" s="286"/>
      <c r="C691" s="286"/>
      <c r="D691" s="286"/>
      <c r="E691" s="306"/>
      <c r="F691" s="306"/>
      <c r="G691" s="286"/>
      <c r="H691" s="286"/>
      <c r="I691" s="286"/>
      <c r="J691" s="286"/>
      <c r="K691" s="286"/>
      <c r="L691" s="286"/>
      <c r="M691" s="286"/>
      <c r="N691" s="286"/>
    </row>
    <row r="692">
      <c r="A692" s="286"/>
      <c r="B692" s="286"/>
      <c r="C692" s="286"/>
      <c r="D692" s="286"/>
      <c r="E692" s="306"/>
      <c r="F692" s="306"/>
      <c r="G692" s="286"/>
      <c r="H692" s="286"/>
      <c r="I692" s="286"/>
      <c r="J692" s="286"/>
      <c r="K692" s="286"/>
      <c r="L692" s="286"/>
      <c r="M692" s="286"/>
      <c r="N692" s="286"/>
    </row>
    <row r="693">
      <c r="A693" s="286"/>
      <c r="B693" s="286"/>
      <c r="C693" s="286"/>
      <c r="D693" s="286"/>
      <c r="E693" s="306"/>
      <c r="F693" s="306"/>
      <c r="G693" s="286"/>
      <c r="H693" s="286"/>
      <c r="I693" s="286"/>
      <c r="J693" s="286"/>
      <c r="K693" s="286"/>
      <c r="L693" s="286"/>
      <c r="M693" s="286"/>
      <c r="N693" s="286"/>
    </row>
    <row r="694">
      <c r="A694" s="286"/>
      <c r="B694" s="286"/>
      <c r="C694" s="286"/>
      <c r="D694" s="286"/>
      <c r="E694" s="306"/>
      <c r="F694" s="306"/>
      <c r="G694" s="286"/>
      <c r="H694" s="286"/>
      <c r="I694" s="286"/>
      <c r="J694" s="286"/>
      <c r="K694" s="286"/>
      <c r="L694" s="286"/>
      <c r="M694" s="286"/>
      <c r="N694" s="286"/>
    </row>
    <row r="695">
      <c r="A695" s="286"/>
      <c r="B695" s="286"/>
      <c r="C695" s="286"/>
      <c r="D695" s="286"/>
      <c r="E695" s="306"/>
      <c r="F695" s="306"/>
      <c r="G695" s="286"/>
      <c r="H695" s="286"/>
      <c r="I695" s="286"/>
      <c r="J695" s="286"/>
      <c r="K695" s="286"/>
      <c r="L695" s="286"/>
      <c r="M695" s="286"/>
      <c r="N695" s="286"/>
    </row>
    <row r="696">
      <c r="A696" s="286"/>
      <c r="B696" s="286"/>
      <c r="C696" s="286"/>
      <c r="D696" s="286"/>
      <c r="E696" s="306"/>
      <c r="F696" s="306"/>
      <c r="G696" s="286"/>
      <c r="H696" s="286"/>
      <c r="I696" s="286"/>
      <c r="J696" s="286"/>
      <c r="K696" s="286"/>
      <c r="L696" s="286"/>
      <c r="M696" s="286"/>
      <c r="N696" s="286"/>
    </row>
    <row r="697">
      <c r="A697" s="286"/>
      <c r="B697" s="286"/>
      <c r="C697" s="286"/>
      <c r="D697" s="286"/>
      <c r="E697" s="306"/>
      <c r="F697" s="306"/>
      <c r="G697" s="286"/>
      <c r="H697" s="286"/>
      <c r="I697" s="286"/>
      <c r="J697" s="286"/>
      <c r="K697" s="286"/>
      <c r="L697" s="286"/>
      <c r="M697" s="286"/>
      <c r="N697" s="286"/>
    </row>
    <row r="698">
      <c r="A698" s="286"/>
      <c r="B698" s="286"/>
      <c r="C698" s="286"/>
      <c r="D698" s="286"/>
      <c r="E698" s="306"/>
      <c r="F698" s="306"/>
      <c r="G698" s="286"/>
      <c r="H698" s="286"/>
      <c r="I698" s="286"/>
      <c r="J698" s="286"/>
      <c r="K698" s="286"/>
      <c r="L698" s="286"/>
      <c r="M698" s="286"/>
      <c r="N698" s="286"/>
    </row>
    <row r="699">
      <c r="A699" s="286"/>
      <c r="B699" s="286"/>
      <c r="C699" s="286"/>
      <c r="D699" s="286"/>
      <c r="E699" s="306"/>
      <c r="F699" s="306"/>
      <c r="G699" s="286"/>
      <c r="H699" s="286"/>
      <c r="I699" s="286"/>
      <c r="J699" s="286"/>
      <c r="K699" s="286"/>
      <c r="L699" s="286"/>
      <c r="M699" s="286"/>
      <c r="N699" s="286"/>
    </row>
    <row r="700">
      <c r="A700" s="286"/>
      <c r="B700" s="286"/>
      <c r="C700" s="286"/>
      <c r="D700" s="286"/>
      <c r="E700" s="306"/>
      <c r="F700" s="306"/>
      <c r="G700" s="286"/>
      <c r="H700" s="286"/>
      <c r="I700" s="286"/>
      <c r="J700" s="286"/>
      <c r="K700" s="286"/>
      <c r="L700" s="286"/>
      <c r="M700" s="286"/>
      <c r="N700" s="286"/>
    </row>
    <row r="701">
      <c r="A701" s="286"/>
      <c r="B701" s="286"/>
      <c r="C701" s="286"/>
      <c r="D701" s="286"/>
      <c r="E701" s="306"/>
      <c r="F701" s="306"/>
      <c r="G701" s="286"/>
      <c r="H701" s="286"/>
      <c r="I701" s="286"/>
      <c r="J701" s="286"/>
      <c r="K701" s="286"/>
      <c r="L701" s="286"/>
      <c r="M701" s="286"/>
      <c r="N701" s="286"/>
    </row>
    <row r="702">
      <c r="A702" s="286"/>
      <c r="B702" s="286"/>
      <c r="C702" s="286"/>
      <c r="D702" s="286"/>
      <c r="E702" s="306"/>
      <c r="F702" s="306"/>
      <c r="G702" s="286"/>
      <c r="H702" s="286"/>
      <c r="I702" s="286"/>
      <c r="J702" s="286"/>
      <c r="K702" s="286"/>
      <c r="L702" s="286"/>
      <c r="M702" s="286"/>
      <c r="N702" s="286"/>
    </row>
    <row r="703">
      <c r="A703" s="286"/>
      <c r="B703" s="286"/>
      <c r="C703" s="286"/>
      <c r="D703" s="286"/>
      <c r="E703" s="306"/>
      <c r="F703" s="306"/>
      <c r="G703" s="286"/>
      <c r="H703" s="286"/>
      <c r="I703" s="286"/>
      <c r="J703" s="286"/>
      <c r="K703" s="286"/>
      <c r="L703" s="286"/>
      <c r="M703" s="286"/>
      <c r="N703" s="286"/>
    </row>
    <row r="704">
      <c r="A704" s="286"/>
      <c r="B704" s="286"/>
      <c r="C704" s="286"/>
      <c r="D704" s="286"/>
      <c r="E704" s="306"/>
      <c r="F704" s="306"/>
      <c r="G704" s="286"/>
      <c r="H704" s="286"/>
      <c r="I704" s="286"/>
      <c r="J704" s="286"/>
      <c r="K704" s="286"/>
      <c r="L704" s="286"/>
      <c r="M704" s="286"/>
      <c r="N704" s="286"/>
    </row>
    <row r="705">
      <c r="A705" s="286"/>
      <c r="B705" s="286"/>
      <c r="C705" s="286"/>
      <c r="D705" s="286"/>
      <c r="E705" s="306"/>
      <c r="F705" s="306"/>
      <c r="G705" s="286"/>
      <c r="H705" s="286"/>
      <c r="I705" s="286"/>
      <c r="J705" s="286"/>
      <c r="K705" s="286"/>
      <c r="L705" s="286"/>
      <c r="M705" s="286"/>
      <c r="N705" s="286"/>
    </row>
    <row r="706">
      <c r="A706" s="286"/>
      <c r="B706" s="286"/>
      <c r="C706" s="286"/>
      <c r="D706" s="286"/>
      <c r="E706" s="306"/>
      <c r="F706" s="306"/>
      <c r="G706" s="286"/>
      <c r="H706" s="286"/>
      <c r="I706" s="286"/>
      <c r="J706" s="286"/>
      <c r="K706" s="286"/>
      <c r="L706" s="286"/>
      <c r="M706" s="286"/>
      <c r="N706" s="286"/>
    </row>
    <row r="707">
      <c r="A707" s="286"/>
      <c r="B707" s="286"/>
      <c r="C707" s="286"/>
      <c r="D707" s="286"/>
      <c r="E707" s="306"/>
      <c r="F707" s="306"/>
      <c r="G707" s="286"/>
      <c r="H707" s="286"/>
      <c r="I707" s="286"/>
      <c r="J707" s="286"/>
      <c r="K707" s="286"/>
      <c r="L707" s="286"/>
      <c r="M707" s="286"/>
      <c r="N707" s="286"/>
    </row>
    <row r="708">
      <c r="A708" s="286"/>
      <c r="B708" s="286"/>
      <c r="C708" s="286"/>
      <c r="D708" s="286"/>
      <c r="E708" s="306"/>
      <c r="F708" s="306"/>
      <c r="G708" s="286"/>
      <c r="H708" s="286"/>
      <c r="I708" s="286"/>
      <c r="J708" s="286"/>
      <c r="K708" s="286"/>
      <c r="L708" s="286"/>
      <c r="M708" s="286"/>
      <c r="N708" s="286"/>
    </row>
    <row r="709">
      <c r="A709" s="286"/>
      <c r="B709" s="286"/>
      <c r="C709" s="286"/>
      <c r="D709" s="286"/>
      <c r="E709" s="306"/>
      <c r="F709" s="306"/>
      <c r="G709" s="286"/>
      <c r="H709" s="286"/>
      <c r="I709" s="286"/>
      <c r="J709" s="286"/>
      <c r="K709" s="286"/>
      <c r="L709" s="286"/>
      <c r="M709" s="286"/>
      <c r="N709" s="286"/>
    </row>
    <row r="710">
      <c r="A710" s="286"/>
      <c r="B710" s="286"/>
      <c r="C710" s="286"/>
      <c r="D710" s="286"/>
      <c r="E710" s="306"/>
      <c r="F710" s="306"/>
      <c r="G710" s="286"/>
      <c r="H710" s="286"/>
      <c r="I710" s="286"/>
      <c r="J710" s="286"/>
      <c r="K710" s="286"/>
      <c r="L710" s="286"/>
      <c r="M710" s="286"/>
      <c r="N710" s="286"/>
    </row>
    <row r="711">
      <c r="A711" s="286"/>
      <c r="B711" s="286"/>
      <c r="C711" s="286"/>
      <c r="D711" s="286"/>
      <c r="E711" s="306"/>
      <c r="F711" s="306"/>
      <c r="G711" s="286"/>
      <c r="H711" s="286"/>
      <c r="I711" s="286"/>
      <c r="J711" s="286"/>
      <c r="K711" s="286"/>
      <c r="L711" s="286"/>
      <c r="M711" s="286"/>
      <c r="N711" s="286"/>
    </row>
    <row r="712">
      <c r="A712" s="286"/>
      <c r="B712" s="286"/>
      <c r="C712" s="286"/>
      <c r="D712" s="286"/>
      <c r="E712" s="306"/>
      <c r="F712" s="306"/>
      <c r="G712" s="286"/>
      <c r="H712" s="286"/>
      <c r="I712" s="286"/>
      <c r="J712" s="286"/>
      <c r="K712" s="286"/>
      <c r="L712" s="286"/>
      <c r="M712" s="286"/>
      <c r="N712" s="286"/>
    </row>
    <row r="713">
      <c r="A713" s="286"/>
      <c r="B713" s="286"/>
      <c r="C713" s="286"/>
      <c r="D713" s="286"/>
      <c r="E713" s="306"/>
      <c r="F713" s="306"/>
      <c r="G713" s="286"/>
      <c r="H713" s="286"/>
      <c r="I713" s="286"/>
      <c r="J713" s="286"/>
      <c r="K713" s="286"/>
      <c r="L713" s="286"/>
      <c r="M713" s="286"/>
      <c r="N713" s="286"/>
    </row>
    <row r="714">
      <c r="A714" s="286"/>
      <c r="B714" s="286"/>
      <c r="C714" s="286"/>
      <c r="D714" s="286"/>
      <c r="E714" s="306"/>
      <c r="F714" s="306"/>
      <c r="G714" s="286"/>
      <c r="H714" s="286"/>
      <c r="I714" s="286"/>
      <c r="J714" s="286"/>
      <c r="K714" s="286"/>
      <c r="L714" s="286"/>
      <c r="M714" s="286"/>
      <c r="N714" s="286"/>
    </row>
    <row r="715">
      <c r="A715" s="286"/>
      <c r="B715" s="286"/>
      <c r="C715" s="286"/>
      <c r="D715" s="286"/>
      <c r="E715" s="306"/>
      <c r="F715" s="306"/>
      <c r="G715" s="286"/>
      <c r="H715" s="286"/>
      <c r="I715" s="286"/>
      <c r="J715" s="286"/>
      <c r="K715" s="286"/>
      <c r="L715" s="286"/>
      <c r="M715" s="286"/>
      <c r="N715" s="286"/>
    </row>
    <row r="716">
      <c r="A716" s="286"/>
      <c r="B716" s="286"/>
      <c r="C716" s="286"/>
      <c r="D716" s="286"/>
      <c r="E716" s="306"/>
      <c r="F716" s="306"/>
      <c r="G716" s="286"/>
      <c r="H716" s="286"/>
      <c r="I716" s="286"/>
      <c r="J716" s="286"/>
      <c r="K716" s="286"/>
      <c r="L716" s="286"/>
      <c r="M716" s="286"/>
      <c r="N716" s="286"/>
    </row>
    <row r="717">
      <c r="A717" s="286"/>
      <c r="B717" s="286"/>
      <c r="C717" s="286"/>
      <c r="D717" s="286"/>
      <c r="E717" s="306"/>
      <c r="F717" s="306"/>
      <c r="G717" s="286"/>
      <c r="H717" s="286"/>
      <c r="I717" s="286"/>
      <c r="J717" s="286"/>
      <c r="K717" s="286"/>
      <c r="L717" s="286"/>
      <c r="M717" s="286"/>
      <c r="N717" s="286"/>
    </row>
    <row r="718">
      <c r="A718" s="286"/>
      <c r="B718" s="286"/>
      <c r="C718" s="286"/>
      <c r="D718" s="286"/>
      <c r="E718" s="306"/>
      <c r="F718" s="306"/>
      <c r="G718" s="286"/>
      <c r="H718" s="286"/>
      <c r="I718" s="286"/>
      <c r="J718" s="286"/>
      <c r="K718" s="286"/>
      <c r="L718" s="286"/>
      <c r="M718" s="286"/>
      <c r="N718" s="286"/>
    </row>
    <row r="719">
      <c r="A719" s="286"/>
      <c r="B719" s="286"/>
      <c r="C719" s="286"/>
      <c r="D719" s="286"/>
      <c r="E719" s="306"/>
      <c r="F719" s="306"/>
      <c r="G719" s="286"/>
      <c r="H719" s="286"/>
      <c r="I719" s="286"/>
      <c r="J719" s="286"/>
      <c r="K719" s="286"/>
      <c r="L719" s="286"/>
      <c r="M719" s="286"/>
      <c r="N719" s="286"/>
    </row>
    <row r="720">
      <c r="A720" s="286"/>
      <c r="B720" s="286"/>
      <c r="C720" s="286"/>
      <c r="D720" s="286"/>
      <c r="E720" s="306"/>
      <c r="F720" s="306"/>
      <c r="G720" s="286"/>
      <c r="H720" s="286"/>
      <c r="I720" s="286"/>
      <c r="J720" s="286"/>
      <c r="K720" s="286"/>
      <c r="L720" s="286"/>
      <c r="M720" s="286"/>
      <c r="N720" s="286"/>
    </row>
    <row r="721">
      <c r="A721" s="286"/>
      <c r="B721" s="286"/>
      <c r="C721" s="286"/>
      <c r="D721" s="286"/>
      <c r="E721" s="306"/>
      <c r="F721" s="306"/>
      <c r="G721" s="286"/>
      <c r="H721" s="286"/>
      <c r="I721" s="286"/>
      <c r="J721" s="286"/>
      <c r="K721" s="286"/>
      <c r="L721" s="286"/>
      <c r="M721" s="286"/>
      <c r="N721" s="286"/>
    </row>
    <row r="722">
      <c r="A722" s="286"/>
      <c r="B722" s="286"/>
      <c r="C722" s="286"/>
      <c r="D722" s="286"/>
      <c r="E722" s="306"/>
      <c r="F722" s="306"/>
      <c r="G722" s="286"/>
      <c r="H722" s="286"/>
      <c r="I722" s="286"/>
      <c r="J722" s="286"/>
      <c r="K722" s="286"/>
      <c r="L722" s="286"/>
      <c r="M722" s="286"/>
      <c r="N722" s="286"/>
    </row>
    <row r="723">
      <c r="A723" s="286"/>
      <c r="B723" s="286"/>
      <c r="C723" s="286"/>
      <c r="D723" s="286"/>
      <c r="E723" s="306"/>
      <c r="F723" s="306"/>
      <c r="G723" s="286"/>
      <c r="H723" s="286"/>
      <c r="I723" s="286"/>
      <c r="J723" s="286"/>
      <c r="K723" s="286"/>
      <c r="L723" s="286"/>
      <c r="M723" s="286"/>
      <c r="N723" s="286"/>
    </row>
    <row r="724">
      <c r="A724" s="286"/>
      <c r="B724" s="286"/>
      <c r="C724" s="286"/>
      <c r="D724" s="286"/>
      <c r="E724" s="306"/>
      <c r="F724" s="306"/>
      <c r="G724" s="286"/>
      <c r="H724" s="286"/>
      <c r="I724" s="286"/>
      <c r="J724" s="286"/>
      <c r="K724" s="286"/>
      <c r="L724" s="286"/>
      <c r="M724" s="286"/>
      <c r="N724" s="286"/>
    </row>
    <row r="725">
      <c r="A725" s="286"/>
      <c r="B725" s="286"/>
      <c r="C725" s="286"/>
      <c r="D725" s="286"/>
      <c r="E725" s="306"/>
      <c r="F725" s="306"/>
      <c r="G725" s="286"/>
      <c r="H725" s="286"/>
      <c r="I725" s="286"/>
      <c r="J725" s="286"/>
      <c r="K725" s="286"/>
      <c r="L725" s="286"/>
      <c r="M725" s="286"/>
      <c r="N725" s="286"/>
    </row>
    <row r="726">
      <c r="A726" s="286"/>
      <c r="B726" s="286"/>
      <c r="C726" s="286"/>
      <c r="D726" s="286"/>
      <c r="E726" s="306"/>
      <c r="F726" s="306"/>
      <c r="G726" s="286"/>
      <c r="H726" s="286"/>
      <c r="I726" s="286"/>
      <c r="J726" s="286"/>
      <c r="K726" s="286"/>
      <c r="L726" s="286"/>
      <c r="M726" s="286"/>
      <c r="N726" s="286"/>
    </row>
    <row r="727">
      <c r="A727" s="286"/>
      <c r="B727" s="286"/>
      <c r="C727" s="286"/>
      <c r="D727" s="286"/>
      <c r="E727" s="306"/>
      <c r="F727" s="306"/>
      <c r="G727" s="286"/>
      <c r="H727" s="286"/>
      <c r="I727" s="286"/>
      <c r="J727" s="286"/>
      <c r="K727" s="286"/>
      <c r="L727" s="286"/>
      <c r="M727" s="286"/>
      <c r="N727" s="286"/>
    </row>
    <row r="728">
      <c r="A728" s="286"/>
      <c r="B728" s="286"/>
      <c r="C728" s="286"/>
      <c r="D728" s="286"/>
      <c r="E728" s="306"/>
      <c r="F728" s="306"/>
      <c r="G728" s="286"/>
      <c r="H728" s="286"/>
      <c r="I728" s="286"/>
      <c r="J728" s="286"/>
      <c r="K728" s="286"/>
      <c r="L728" s="286"/>
      <c r="M728" s="286"/>
      <c r="N728" s="286"/>
    </row>
    <row r="729">
      <c r="A729" s="286"/>
      <c r="B729" s="286"/>
      <c r="C729" s="286"/>
      <c r="D729" s="286"/>
      <c r="E729" s="306"/>
      <c r="F729" s="306"/>
      <c r="G729" s="286"/>
      <c r="H729" s="286"/>
      <c r="I729" s="286"/>
      <c r="J729" s="286"/>
      <c r="K729" s="286"/>
      <c r="L729" s="286"/>
      <c r="M729" s="286"/>
      <c r="N729" s="286"/>
    </row>
    <row r="730">
      <c r="A730" s="286"/>
      <c r="B730" s="286"/>
      <c r="C730" s="286"/>
      <c r="D730" s="286"/>
      <c r="E730" s="306"/>
      <c r="F730" s="306"/>
      <c r="G730" s="286"/>
      <c r="H730" s="286"/>
      <c r="I730" s="286"/>
      <c r="J730" s="286"/>
      <c r="K730" s="286"/>
      <c r="L730" s="286"/>
      <c r="M730" s="286"/>
      <c r="N730" s="286"/>
    </row>
    <row r="731">
      <c r="A731" s="286"/>
      <c r="B731" s="286"/>
      <c r="C731" s="286"/>
      <c r="D731" s="286"/>
      <c r="E731" s="306"/>
      <c r="F731" s="306"/>
      <c r="G731" s="286"/>
      <c r="H731" s="286"/>
      <c r="I731" s="286"/>
      <c r="J731" s="286"/>
      <c r="K731" s="286"/>
      <c r="L731" s="286"/>
      <c r="M731" s="286"/>
      <c r="N731" s="286"/>
    </row>
    <row r="732">
      <c r="A732" s="286"/>
      <c r="B732" s="286"/>
      <c r="C732" s="286"/>
      <c r="D732" s="286"/>
      <c r="E732" s="306"/>
      <c r="F732" s="306"/>
      <c r="G732" s="286"/>
      <c r="H732" s="286"/>
      <c r="I732" s="286"/>
      <c r="J732" s="286"/>
      <c r="K732" s="286"/>
      <c r="L732" s="286"/>
      <c r="M732" s="286"/>
      <c r="N732" s="286"/>
    </row>
    <row r="733">
      <c r="A733" s="286"/>
      <c r="B733" s="286"/>
      <c r="C733" s="286"/>
      <c r="D733" s="286"/>
      <c r="E733" s="306"/>
      <c r="F733" s="306"/>
      <c r="G733" s="286"/>
      <c r="H733" s="286"/>
      <c r="I733" s="286"/>
      <c r="J733" s="286"/>
      <c r="K733" s="286"/>
      <c r="L733" s="286"/>
      <c r="M733" s="286"/>
      <c r="N733" s="286"/>
    </row>
    <row r="734">
      <c r="A734" s="286"/>
      <c r="B734" s="286"/>
      <c r="C734" s="286"/>
      <c r="D734" s="286"/>
      <c r="E734" s="306"/>
      <c r="F734" s="306"/>
      <c r="G734" s="286"/>
      <c r="H734" s="286"/>
      <c r="I734" s="286"/>
      <c r="J734" s="286"/>
      <c r="K734" s="286"/>
      <c r="L734" s="286"/>
      <c r="M734" s="286"/>
      <c r="N734" s="286"/>
    </row>
    <row r="735">
      <c r="A735" s="286"/>
      <c r="B735" s="286"/>
      <c r="C735" s="286"/>
      <c r="D735" s="286"/>
      <c r="E735" s="306"/>
      <c r="F735" s="306"/>
      <c r="G735" s="286"/>
      <c r="H735" s="286"/>
      <c r="I735" s="286"/>
      <c r="J735" s="286"/>
      <c r="K735" s="286"/>
      <c r="L735" s="286"/>
      <c r="M735" s="286"/>
      <c r="N735" s="286"/>
    </row>
    <row r="736">
      <c r="A736" s="286"/>
      <c r="B736" s="286"/>
      <c r="C736" s="286"/>
      <c r="D736" s="286"/>
      <c r="E736" s="306"/>
      <c r="F736" s="306"/>
      <c r="G736" s="286"/>
      <c r="H736" s="286"/>
      <c r="I736" s="286"/>
      <c r="J736" s="286"/>
      <c r="K736" s="286"/>
      <c r="L736" s="286"/>
      <c r="M736" s="286"/>
      <c r="N736" s="286"/>
    </row>
    <row r="737">
      <c r="A737" s="286"/>
      <c r="B737" s="286"/>
      <c r="C737" s="286"/>
      <c r="D737" s="286"/>
      <c r="E737" s="306"/>
      <c r="F737" s="306"/>
      <c r="G737" s="286"/>
      <c r="H737" s="286"/>
      <c r="I737" s="286"/>
      <c r="J737" s="286"/>
      <c r="K737" s="286"/>
      <c r="L737" s="286"/>
      <c r="M737" s="286"/>
      <c r="N737" s="286"/>
    </row>
    <row r="738">
      <c r="A738" s="286"/>
      <c r="B738" s="286"/>
      <c r="C738" s="286"/>
      <c r="D738" s="286"/>
      <c r="E738" s="306"/>
      <c r="F738" s="306"/>
      <c r="G738" s="286"/>
      <c r="H738" s="286"/>
      <c r="I738" s="286"/>
      <c r="J738" s="286"/>
      <c r="K738" s="286"/>
      <c r="L738" s="286"/>
      <c r="M738" s="286"/>
      <c r="N738" s="286"/>
    </row>
    <row r="739">
      <c r="A739" s="286"/>
      <c r="B739" s="286"/>
      <c r="C739" s="286"/>
      <c r="D739" s="286"/>
      <c r="E739" s="306"/>
      <c r="F739" s="306"/>
      <c r="G739" s="286"/>
      <c r="H739" s="286"/>
      <c r="I739" s="286"/>
      <c r="J739" s="286"/>
      <c r="K739" s="286"/>
      <c r="L739" s="286"/>
      <c r="M739" s="286"/>
      <c r="N739" s="286"/>
    </row>
    <row r="740">
      <c r="A740" s="286"/>
      <c r="B740" s="286"/>
      <c r="C740" s="286"/>
      <c r="D740" s="286"/>
      <c r="E740" s="306"/>
      <c r="F740" s="306"/>
      <c r="G740" s="286"/>
      <c r="H740" s="286"/>
      <c r="I740" s="286"/>
      <c r="J740" s="286"/>
      <c r="K740" s="286"/>
      <c r="L740" s="286"/>
      <c r="M740" s="286"/>
      <c r="N740" s="286"/>
    </row>
    <row r="741">
      <c r="A741" s="286"/>
      <c r="B741" s="286"/>
      <c r="C741" s="286"/>
      <c r="D741" s="286"/>
      <c r="E741" s="306"/>
      <c r="F741" s="306"/>
      <c r="G741" s="286"/>
      <c r="H741" s="286"/>
      <c r="I741" s="286"/>
      <c r="J741" s="286"/>
      <c r="K741" s="286"/>
      <c r="L741" s="286"/>
      <c r="M741" s="286"/>
      <c r="N741" s="286"/>
    </row>
    <row r="742">
      <c r="A742" s="286"/>
      <c r="B742" s="286"/>
      <c r="C742" s="286"/>
      <c r="D742" s="286"/>
      <c r="E742" s="306"/>
      <c r="F742" s="306"/>
      <c r="G742" s="286"/>
      <c r="H742" s="286"/>
      <c r="I742" s="286"/>
      <c r="J742" s="286"/>
      <c r="K742" s="286"/>
      <c r="L742" s="286"/>
      <c r="M742" s="286"/>
      <c r="N742" s="286"/>
    </row>
    <row r="743">
      <c r="A743" s="286"/>
      <c r="B743" s="286"/>
      <c r="C743" s="286"/>
      <c r="D743" s="286"/>
      <c r="E743" s="306"/>
      <c r="F743" s="306"/>
      <c r="G743" s="286"/>
      <c r="H743" s="286"/>
      <c r="I743" s="286"/>
      <c r="J743" s="286"/>
      <c r="K743" s="286"/>
      <c r="L743" s="286"/>
      <c r="M743" s="286"/>
      <c r="N743" s="286"/>
    </row>
    <row r="744">
      <c r="A744" s="286"/>
      <c r="B744" s="286"/>
      <c r="C744" s="286"/>
      <c r="D744" s="286"/>
      <c r="E744" s="306"/>
      <c r="F744" s="306"/>
      <c r="G744" s="286"/>
      <c r="H744" s="286"/>
      <c r="I744" s="286"/>
      <c r="J744" s="286"/>
      <c r="K744" s="286"/>
      <c r="L744" s="286"/>
      <c r="M744" s="286"/>
      <c r="N744" s="286"/>
    </row>
    <row r="745">
      <c r="A745" s="286"/>
      <c r="B745" s="286"/>
      <c r="C745" s="286"/>
      <c r="D745" s="286"/>
      <c r="E745" s="306"/>
      <c r="F745" s="306"/>
      <c r="G745" s="286"/>
      <c r="H745" s="286"/>
      <c r="I745" s="286"/>
      <c r="J745" s="286"/>
      <c r="K745" s="286"/>
      <c r="L745" s="286"/>
      <c r="M745" s="286"/>
      <c r="N745" s="286"/>
    </row>
    <row r="746">
      <c r="A746" s="286"/>
      <c r="B746" s="286"/>
      <c r="C746" s="286"/>
      <c r="D746" s="286"/>
      <c r="E746" s="306"/>
      <c r="F746" s="306"/>
      <c r="G746" s="286"/>
      <c r="H746" s="286"/>
      <c r="I746" s="286"/>
      <c r="J746" s="286"/>
      <c r="K746" s="286"/>
      <c r="L746" s="286"/>
      <c r="M746" s="286"/>
      <c r="N746" s="286"/>
    </row>
    <row r="747">
      <c r="A747" s="286"/>
      <c r="B747" s="286"/>
      <c r="C747" s="286"/>
      <c r="D747" s="286"/>
      <c r="E747" s="306"/>
      <c r="F747" s="306"/>
      <c r="G747" s="286"/>
      <c r="H747" s="286"/>
      <c r="I747" s="286"/>
      <c r="J747" s="286"/>
      <c r="K747" s="286"/>
      <c r="L747" s="286"/>
      <c r="M747" s="286"/>
      <c r="N747" s="286"/>
    </row>
    <row r="748">
      <c r="A748" s="286"/>
      <c r="B748" s="286"/>
      <c r="C748" s="286"/>
      <c r="D748" s="286"/>
      <c r="E748" s="306"/>
      <c r="F748" s="306"/>
      <c r="G748" s="286"/>
      <c r="H748" s="286"/>
      <c r="I748" s="286"/>
      <c r="J748" s="286"/>
      <c r="K748" s="286"/>
      <c r="L748" s="286"/>
      <c r="M748" s="286"/>
      <c r="N748" s="286"/>
    </row>
    <row r="749">
      <c r="A749" s="286"/>
      <c r="B749" s="286"/>
      <c r="C749" s="286"/>
      <c r="D749" s="286"/>
      <c r="E749" s="306"/>
      <c r="F749" s="306"/>
      <c r="G749" s="286"/>
      <c r="H749" s="286"/>
      <c r="I749" s="286"/>
      <c r="J749" s="286"/>
      <c r="K749" s="286"/>
      <c r="L749" s="286"/>
      <c r="M749" s="286"/>
      <c r="N749" s="286"/>
    </row>
    <row r="750">
      <c r="A750" s="286"/>
      <c r="B750" s="286"/>
      <c r="C750" s="286"/>
      <c r="D750" s="286"/>
      <c r="E750" s="306"/>
      <c r="F750" s="306"/>
      <c r="G750" s="286"/>
      <c r="H750" s="286"/>
      <c r="I750" s="286"/>
      <c r="J750" s="286"/>
      <c r="K750" s="286"/>
      <c r="L750" s="286"/>
      <c r="M750" s="286"/>
      <c r="N750" s="286"/>
    </row>
    <row r="751">
      <c r="A751" s="286"/>
      <c r="B751" s="286"/>
      <c r="C751" s="286"/>
      <c r="D751" s="286"/>
      <c r="E751" s="306"/>
      <c r="F751" s="306"/>
      <c r="G751" s="286"/>
      <c r="H751" s="286"/>
      <c r="I751" s="286"/>
      <c r="J751" s="286"/>
      <c r="K751" s="286"/>
      <c r="L751" s="286"/>
      <c r="M751" s="286"/>
      <c r="N751" s="286"/>
    </row>
    <row r="752">
      <c r="A752" s="286"/>
      <c r="B752" s="286"/>
      <c r="C752" s="286"/>
      <c r="D752" s="286"/>
      <c r="E752" s="306"/>
      <c r="F752" s="306"/>
      <c r="G752" s="286"/>
      <c r="H752" s="286"/>
      <c r="I752" s="286"/>
      <c r="J752" s="286"/>
      <c r="K752" s="286"/>
      <c r="L752" s="286"/>
      <c r="M752" s="286"/>
      <c r="N752" s="286"/>
    </row>
    <row r="753">
      <c r="A753" s="286"/>
      <c r="B753" s="286"/>
      <c r="C753" s="286"/>
      <c r="D753" s="286"/>
      <c r="E753" s="306"/>
      <c r="F753" s="306"/>
      <c r="G753" s="286"/>
      <c r="H753" s="286"/>
      <c r="I753" s="286"/>
      <c r="J753" s="286"/>
      <c r="K753" s="286"/>
      <c r="L753" s="286"/>
      <c r="M753" s="286"/>
      <c r="N753" s="286"/>
    </row>
    <row r="754">
      <c r="A754" s="286"/>
      <c r="B754" s="286"/>
      <c r="C754" s="286"/>
      <c r="D754" s="286"/>
      <c r="E754" s="306"/>
      <c r="F754" s="306"/>
      <c r="G754" s="286"/>
      <c r="H754" s="286"/>
      <c r="I754" s="286"/>
      <c r="J754" s="286"/>
      <c r="K754" s="286"/>
      <c r="L754" s="286"/>
      <c r="M754" s="286"/>
      <c r="N754" s="286"/>
    </row>
    <row r="755">
      <c r="A755" s="286"/>
      <c r="B755" s="286"/>
      <c r="C755" s="286"/>
      <c r="D755" s="286"/>
      <c r="E755" s="306"/>
      <c r="F755" s="306"/>
      <c r="G755" s="286"/>
      <c r="H755" s="286"/>
      <c r="I755" s="286"/>
      <c r="J755" s="286"/>
      <c r="K755" s="286"/>
      <c r="L755" s="286"/>
      <c r="M755" s="286"/>
      <c r="N755" s="286"/>
    </row>
    <row r="756">
      <c r="A756" s="286"/>
      <c r="B756" s="286"/>
      <c r="C756" s="286"/>
      <c r="D756" s="286"/>
      <c r="E756" s="306"/>
      <c r="F756" s="306"/>
      <c r="G756" s="286"/>
      <c r="H756" s="286"/>
      <c r="I756" s="286"/>
      <c r="J756" s="286"/>
      <c r="K756" s="286"/>
      <c r="L756" s="286"/>
      <c r="M756" s="286"/>
      <c r="N756" s="286"/>
    </row>
    <row r="757">
      <c r="A757" s="286"/>
      <c r="B757" s="286"/>
      <c r="C757" s="286"/>
      <c r="D757" s="286"/>
      <c r="E757" s="306"/>
      <c r="F757" s="306"/>
      <c r="G757" s="286"/>
      <c r="H757" s="286"/>
      <c r="I757" s="286"/>
      <c r="J757" s="286"/>
      <c r="K757" s="286"/>
      <c r="L757" s="286"/>
      <c r="M757" s="286"/>
      <c r="N757" s="286"/>
    </row>
    <row r="758">
      <c r="A758" s="286"/>
      <c r="B758" s="286"/>
      <c r="C758" s="286"/>
      <c r="D758" s="286"/>
      <c r="E758" s="306"/>
      <c r="F758" s="306"/>
      <c r="G758" s="286"/>
      <c r="H758" s="286"/>
      <c r="I758" s="286"/>
      <c r="J758" s="286"/>
      <c r="K758" s="286"/>
      <c r="L758" s="286"/>
      <c r="M758" s="286"/>
      <c r="N758" s="286"/>
    </row>
    <row r="759">
      <c r="A759" s="286"/>
      <c r="B759" s="286"/>
      <c r="C759" s="286"/>
      <c r="D759" s="286"/>
      <c r="E759" s="306"/>
      <c r="F759" s="306"/>
      <c r="G759" s="286"/>
      <c r="H759" s="286"/>
      <c r="I759" s="286"/>
      <c r="J759" s="286"/>
      <c r="K759" s="286"/>
      <c r="L759" s="286"/>
      <c r="M759" s="286"/>
      <c r="N759" s="286"/>
    </row>
    <row r="760">
      <c r="A760" s="286"/>
      <c r="B760" s="286"/>
      <c r="C760" s="286"/>
      <c r="D760" s="286"/>
      <c r="E760" s="306"/>
      <c r="F760" s="306"/>
      <c r="G760" s="286"/>
      <c r="H760" s="286"/>
      <c r="I760" s="286"/>
      <c r="J760" s="286"/>
      <c r="K760" s="286"/>
      <c r="L760" s="286"/>
      <c r="M760" s="286"/>
      <c r="N760" s="286"/>
    </row>
    <row r="761">
      <c r="A761" s="286"/>
      <c r="B761" s="286"/>
      <c r="C761" s="286"/>
      <c r="D761" s="286"/>
      <c r="E761" s="306"/>
      <c r="F761" s="306"/>
      <c r="G761" s="286"/>
      <c r="H761" s="286"/>
      <c r="I761" s="286"/>
      <c r="J761" s="286"/>
      <c r="K761" s="286"/>
      <c r="L761" s="286"/>
      <c r="M761" s="286"/>
      <c r="N761" s="286"/>
    </row>
    <row r="762">
      <c r="A762" s="286"/>
      <c r="B762" s="286"/>
      <c r="C762" s="286"/>
      <c r="D762" s="286"/>
      <c r="E762" s="306"/>
      <c r="F762" s="306"/>
      <c r="G762" s="286"/>
      <c r="H762" s="286"/>
      <c r="I762" s="286"/>
      <c r="J762" s="286"/>
      <c r="K762" s="286"/>
      <c r="L762" s="286"/>
      <c r="M762" s="286"/>
      <c r="N762" s="286"/>
    </row>
    <row r="763">
      <c r="A763" s="286"/>
      <c r="B763" s="286"/>
      <c r="C763" s="286"/>
      <c r="D763" s="286"/>
      <c r="E763" s="306"/>
      <c r="F763" s="306"/>
      <c r="G763" s="286"/>
      <c r="H763" s="286"/>
      <c r="I763" s="286"/>
      <c r="J763" s="286"/>
      <c r="K763" s="286"/>
      <c r="L763" s="286"/>
      <c r="M763" s="286"/>
      <c r="N763" s="286"/>
    </row>
    <row r="764">
      <c r="A764" s="286"/>
      <c r="B764" s="286"/>
      <c r="C764" s="286"/>
      <c r="D764" s="286"/>
      <c r="E764" s="306"/>
      <c r="F764" s="306"/>
      <c r="G764" s="286"/>
      <c r="H764" s="286"/>
      <c r="I764" s="286"/>
      <c r="J764" s="286"/>
      <c r="K764" s="286"/>
      <c r="L764" s="286"/>
      <c r="M764" s="286"/>
      <c r="N764" s="286"/>
    </row>
    <row r="765">
      <c r="A765" s="286"/>
      <c r="B765" s="286"/>
      <c r="C765" s="286"/>
      <c r="D765" s="286"/>
      <c r="E765" s="306"/>
      <c r="F765" s="306"/>
      <c r="G765" s="286"/>
      <c r="H765" s="286"/>
      <c r="I765" s="286"/>
      <c r="J765" s="286"/>
      <c r="K765" s="286"/>
      <c r="L765" s="286"/>
      <c r="M765" s="286"/>
      <c r="N765" s="286"/>
    </row>
    <row r="766">
      <c r="A766" s="286"/>
      <c r="B766" s="286"/>
      <c r="C766" s="286"/>
      <c r="D766" s="286"/>
      <c r="E766" s="306"/>
      <c r="F766" s="306"/>
      <c r="G766" s="286"/>
      <c r="H766" s="286"/>
      <c r="I766" s="286"/>
      <c r="J766" s="286"/>
      <c r="K766" s="286"/>
      <c r="L766" s="286"/>
      <c r="M766" s="286"/>
      <c r="N766" s="286"/>
    </row>
    <row r="767">
      <c r="A767" s="286"/>
      <c r="B767" s="286"/>
      <c r="C767" s="286"/>
      <c r="D767" s="286"/>
      <c r="E767" s="306"/>
      <c r="F767" s="306"/>
      <c r="G767" s="286"/>
      <c r="H767" s="286"/>
      <c r="I767" s="286"/>
      <c r="J767" s="286"/>
      <c r="K767" s="286"/>
      <c r="L767" s="286"/>
      <c r="M767" s="286"/>
      <c r="N767" s="286"/>
    </row>
    <row r="768">
      <c r="A768" s="286"/>
      <c r="B768" s="286"/>
      <c r="C768" s="286"/>
      <c r="D768" s="286"/>
      <c r="E768" s="306"/>
      <c r="F768" s="306"/>
      <c r="G768" s="286"/>
      <c r="H768" s="286"/>
      <c r="I768" s="286"/>
      <c r="J768" s="286"/>
      <c r="K768" s="286"/>
      <c r="L768" s="286"/>
      <c r="M768" s="286"/>
      <c r="N768" s="286"/>
    </row>
    <row r="769">
      <c r="A769" s="286"/>
      <c r="B769" s="286"/>
      <c r="C769" s="286"/>
      <c r="D769" s="286"/>
      <c r="E769" s="306"/>
      <c r="F769" s="306"/>
      <c r="G769" s="286"/>
      <c r="H769" s="286"/>
      <c r="I769" s="286"/>
      <c r="J769" s="286"/>
      <c r="K769" s="286"/>
      <c r="L769" s="286"/>
      <c r="M769" s="286"/>
      <c r="N769" s="286"/>
    </row>
    <row r="770">
      <c r="A770" s="286"/>
      <c r="B770" s="286"/>
      <c r="C770" s="286"/>
      <c r="D770" s="286"/>
      <c r="E770" s="306"/>
      <c r="F770" s="306"/>
      <c r="G770" s="286"/>
      <c r="H770" s="286"/>
      <c r="I770" s="286"/>
      <c r="J770" s="286"/>
      <c r="K770" s="286"/>
      <c r="L770" s="286"/>
      <c r="M770" s="286"/>
      <c r="N770" s="286"/>
    </row>
    <row r="771">
      <c r="A771" s="286"/>
      <c r="B771" s="286"/>
      <c r="C771" s="286"/>
      <c r="D771" s="286"/>
      <c r="E771" s="306"/>
      <c r="F771" s="306"/>
      <c r="G771" s="286"/>
      <c r="H771" s="286"/>
      <c r="I771" s="286"/>
      <c r="J771" s="286"/>
      <c r="K771" s="286"/>
      <c r="L771" s="286"/>
      <c r="M771" s="286"/>
      <c r="N771" s="286"/>
    </row>
    <row r="772">
      <c r="A772" s="286"/>
      <c r="B772" s="286"/>
      <c r="C772" s="286"/>
      <c r="D772" s="286"/>
      <c r="E772" s="306"/>
      <c r="F772" s="306"/>
      <c r="G772" s="286"/>
      <c r="H772" s="286"/>
      <c r="I772" s="286"/>
      <c r="J772" s="286"/>
      <c r="K772" s="286"/>
      <c r="L772" s="286"/>
      <c r="M772" s="286"/>
      <c r="N772" s="286"/>
    </row>
    <row r="773">
      <c r="A773" s="286"/>
      <c r="B773" s="286"/>
      <c r="C773" s="286"/>
      <c r="D773" s="286"/>
      <c r="E773" s="306"/>
      <c r="F773" s="306"/>
      <c r="G773" s="286"/>
      <c r="H773" s="286"/>
      <c r="I773" s="286"/>
      <c r="J773" s="286"/>
      <c r="K773" s="286"/>
      <c r="L773" s="286"/>
      <c r="M773" s="286"/>
      <c r="N773" s="286"/>
    </row>
    <row r="774">
      <c r="A774" s="286"/>
      <c r="B774" s="286"/>
      <c r="C774" s="286"/>
      <c r="D774" s="286"/>
      <c r="E774" s="306"/>
      <c r="F774" s="306"/>
      <c r="G774" s="286"/>
      <c r="H774" s="286"/>
      <c r="I774" s="286"/>
      <c r="J774" s="286"/>
      <c r="K774" s="286"/>
      <c r="L774" s="286"/>
      <c r="M774" s="286"/>
      <c r="N774" s="286"/>
    </row>
    <row r="775">
      <c r="A775" s="286"/>
      <c r="B775" s="286"/>
      <c r="C775" s="286"/>
      <c r="D775" s="286"/>
      <c r="E775" s="306"/>
      <c r="F775" s="306"/>
      <c r="G775" s="286"/>
      <c r="H775" s="286"/>
      <c r="I775" s="286"/>
      <c r="J775" s="286"/>
      <c r="K775" s="286"/>
      <c r="L775" s="286"/>
      <c r="M775" s="286"/>
      <c r="N775" s="286"/>
    </row>
    <row r="776">
      <c r="A776" s="286"/>
      <c r="B776" s="286"/>
      <c r="C776" s="286"/>
      <c r="D776" s="286"/>
      <c r="E776" s="306"/>
      <c r="F776" s="306"/>
      <c r="G776" s="286"/>
      <c r="H776" s="286"/>
      <c r="I776" s="286"/>
      <c r="J776" s="286"/>
      <c r="K776" s="286"/>
      <c r="L776" s="286"/>
      <c r="M776" s="286"/>
      <c r="N776" s="286"/>
    </row>
    <row r="777">
      <c r="A777" s="286"/>
      <c r="B777" s="286"/>
      <c r="C777" s="286"/>
      <c r="D777" s="286"/>
      <c r="E777" s="306"/>
      <c r="F777" s="306"/>
      <c r="G777" s="286"/>
      <c r="H777" s="286"/>
      <c r="I777" s="286"/>
      <c r="J777" s="286"/>
      <c r="K777" s="286"/>
      <c r="L777" s="286"/>
      <c r="M777" s="286"/>
      <c r="N777" s="286"/>
    </row>
    <row r="778">
      <c r="A778" s="286"/>
      <c r="B778" s="286"/>
      <c r="C778" s="286"/>
      <c r="D778" s="286"/>
      <c r="E778" s="306"/>
      <c r="F778" s="306"/>
      <c r="G778" s="286"/>
      <c r="H778" s="286"/>
      <c r="I778" s="286"/>
      <c r="J778" s="286"/>
      <c r="K778" s="286"/>
      <c r="L778" s="286"/>
      <c r="M778" s="286"/>
      <c r="N778" s="286"/>
    </row>
    <row r="779">
      <c r="A779" s="286"/>
      <c r="B779" s="286"/>
      <c r="C779" s="286"/>
      <c r="D779" s="286"/>
      <c r="E779" s="306"/>
      <c r="F779" s="306"/>
      <c r="G779" s="286"/>
      <c r="H779" s="286"/>
      <c r="I779" s="286"/>
      <c r="J779" s="286"/>
      <c r="K779" s="286"/>
      <c r="L779" s="286"/>
      <c r="M779" s="286"/>
      <c r="N779" s="286"/>
    </row>
    <row r="780">
      <c r="A780" s="286"/>
      <c r="B780" s="286"/>
      <c r="C780" s="286"/>
      <c r="D780" s="286"/>
      <c r="E780" s="306"/>
      <c r="F780" s="306"/>
      <c r="G780" s="286"/>
      <c r="H780" s="286"/>
      <c r="I780" s="286"/>
      <c r="J780" s="286"/>
      <c r="K780" s="286"/>
      <c r="L780" s="286"/>
      <c r="M780" s="286"/>
      <c r="N780" s="286"/>
    </row>
    <row r="781">
      <c r="A781" s="286"/>
      <c r="B781" s="286"/>
      <c r="C781" s="286"/>
      <c r="D781" s="286"/>
      <c r="E781" s="306"/>
      <c r="F781" s="306"/>
      <c r="G781" s="286"/>
      <c r="H781" s="286"/>
      <c r="I781" s="286"/>
      <c r="J781" s="286"/>
      <c r="K781" s="286"/>
      <c r="L781" s="286"/>
      <c r="M781" s="286"/>
      <c r="N781" s="286"/>
    </row>
    <row r="782">
      <c r="A782" s="286"/>
      <c r="B782" s="286"/>
      <c r="C782" s="286"/>
      <c r="D782" s="286"/>
      <c r="E782" s="306"/>
      <c r="F782" s="306"/>
      <c r="G782" s="286"/>
      <c r="H782" s="286"/>
      <c r="I782" s="286"/>
      <c r="J782" s="286"/>
      <c r="K782" s="286"/>
      <c r="L782" s="286"/>
      <c r="M782" s="286"/>
      <c r="N782" s="286"/>
    </row>
    <row r="783">
      <c r="A783" s="286"/>
      <c r="B783" s="286"/>
      <c r="C783" s="286"/>
      <c r="D783" s="286"/>
      <c r="E783" s="306"/>
      <c r="F783" s="306"/>
      <c r="G783" s="286"/>
      <c r="H783" s="286"/>
      <c r="I783" s="286"/>
      <c r="J783" s="286"/>
      <c r="K783" s="286"/>
      <c r="L783" s="286"/>
      <c r="M783" s="286"/>
      <c r="N783" s="286"/>
    </row>
    <row r="784">
      <c r="A784" s="286"/>
      <c r="B784" s="286"/>
      <c r="C784" s="286"/>
      <c r="D784" s="286"/>
      <c r="E784" s="306"/>
      <c r="F784" s="306"/>
      <c r="G784" s="286"/>
      <c r="H784" s="286"/>
      <c r="I784" s="286"/>
      <c r="J784" s="286"/>
      <c r="K784" s="286"/>
      <c r="L784" s="286"/>
      <c r="M784" s="286"/>
      <c r="N784" s="286"/>
    </row>
    <row r="785">
      <c r="A785" s="286"/>
      <c r="B785" s="286"/>
      <c r="C785" s="286"/>
      <c r="D785" s="286"/>
      <c r="E785" s="306"/>
      <c r="F785" s="306"/>
      <c r="G785" s="286"/>
      <c r="H785" s="286"/>
      <c r="I785" s="286"/>
      <c r="J785" s="286"/>
      <c r="K785" s="286"/>
      <c r="L785" s="286"/>
      <c r="M785" s="286"/>
      <c r="N785" s="286"/>
    </row>
    <row r="786">
      <c r="A786" s="286"/>
      <c r="B786" s="286"/>
      <c r="C786" s="286"/>
      <c r="D786" s="286"/>
      <c r="E786" s="306"/>
      <c r="F786" s="306"/>
      <c r="G786" s="286"/>
      <c r="H786" s="286"/>
      <c r="I786" s="286"/>
      <c r="J786" s="286"/>
      <c r="K786" s="286"/>
      <c r="L786" s="286"/>
      <c r="M786" s="286"/>
      <c r="N786" s="286"/>
    </row>
    <row r="787">
      <c r="A787" s="286"/>
      <c r="B787" s="286"/>
      <c r="C787" s="286"/>
      <c r="D787" s="286"/>
      <c r="E787" s="306"/>
      <c r="F787" s="306"/>
      <c r="G787" s="286"/>
      <c r="H787" s="286"/>
      <c r="I787" s="286"/>
      <c r="J787" s="286"/>
      <c r="K787" s="286"/>
      <c r="L787" s="286"/>
      <c r="M787" s="286"/>
      <c r="N787" s="286"/>
    </row>
    <row r="788">
      <c r="A788" s="286"/>
      <c r="B788" s="286"/>
      <c r="C788" s="286"/>
      <c r="D788" s="286"/>
      <c r="E788" s="306"/>
      <c r="F788" s="306"/>
      <c r="G788" s="286"/>
      <c r="H788" s="286"/>
      <c r="I788" s="286"/>
      <c r="J788" s="286"/>
      <c r="K788" s="286"/>
      <c r="L788" s="286"/>
      <c r="M788" s="286"/>
      <c r="N788" s="286"/>
    </row>
    <row r="789">
      <c r="A789" s="286"/>
      <c r="B789" s="286"/>
      <c r="C789" s="286"/>
      <c r="D789" s="286"/>
      <c r="E789" s="306"/>
      <c r="F789" s="306"/>
      <c r="G789" s="286"/>
      <c r="H789" s="286"/>
      <c r="I789" s="286"/>
      <c r="J789" s="286"/>
      <c r="K789" s="286"/>
      <c r="L789" s="286"/>
      <c r="M789" s="286"/>
      <c r="N789" s="286"/>
    </row>
    <row r="790">
      <c r="A790" s="286"/>
      <c r="B790" s="286"/>
      <c r="C790" s="286"/>
      <c r="D790" s="286"/>
      <c r="E790" s="306"/>
      <c r="F790" s="306"/>
      <c r="G790" s="286"/>
      <c r="H790" s="286"/>
      <c r="I790" s="286"/>
      <c r="J790" s="286"/>
      <c r="K790" s="286"/>
      <c r="L790" s="286"/>
      <c r="M790" s="286"/>
      <c r="N790" s="286"/>
    </row>
    <row r="791">
      <c r="A791" s="286"/>
      <c r="B791" s="286"/>
      <c r="C791" s="286"/>
      <c r="D791" s="286"/>
      <c r="E791" s="306"/>
      <c r="F791" s="306"/>
      <c r="G791" s="286"/>
      <c r="H791" s="286"/>
      <c r="I791" s="286"/>
      <c r="J791" s="286"/>
      <c r="K791" s="286"/>
      <c r="L791" s="286"/>
      <c r="M791" s="286"/>
      <c r="N791" s="286"/>
    </row>
    <row r="792">
      <c r="A792" s="286"/>
      <c r="B792" s="286"/>
      <c r="C792" s="286"/>
      <c r="D792" s="286"/>
      <c r="E792" s="306"/>
      <c r="F792" s="306"/>
      <c r="G792" s="286"/>
      <c r="H792" s="286"/>
      <c r="I792" s="286"/>
      <c r="J792" s="286"/>
      <c r="K792" s="286"/>
      <c r="L792" s="286"/>
      <c r="M792" s="286"/>
      <c r="N792" s="286"/>
    </row>
    <row r="793">
      <c r="A793" s="286"/>
      <c r="B793" s="286"/>
      <c r="C793" s="286"/>
      <c r="D793" s="286"/>
      <c r="E793" s="306"/>
      <c r="F793" s="306"/>
      <c r="G793" s="286"/>
      <c r="H793" s="286"/>
      <c r="I793" s="286"/>
      <c r="J793" s="286"/>
      <c r="K793" s="286"/>
      <c r="L793" s="286"/>
      <c r="M793" s="286"/>
      <c r="N793" s="286"/>
    </row>
    <row r="794">
      <c r="A794" s="286"/>
      <c r="B794" s="286"/>
      <c r="C794" s="286"/>
      <c r="D794" s="286"/>
      <c r="E794" s="306"/>
      <c r="F794" s="306"/>
      <c r="G794" s="286"/>
      <c r="H794" s="286"/>
      <c r="I794" s="286"/>
      <c r="J794" s="286"/>
      <c r="K794" s="286"/>
      <c r="L794" s="286"/>
      <c r="M794" s="286"/>
      <c r="N794" s="286"/>
    </row>
    <row r="795">
      <c r="A795" s="286"/>
      <c r="B795" s="286"/>
      <c r="C795" s="286"/>
      <c r="D795" s="286"/>
      <c r="E795" s="306"/>
      <c r="F795" s="306"/>
      <c r="G795" s="286"/>
      <c r="H795" s="286"/>
      <c r="I795" s="286"/>
      <c r="J795" s="286"/>
      <c r="K795" s="286"/>
      <c r="L795" s="286"/>
      <c r="M795" s="286"/>
      <c r="N795" s="286"/>
    </row>
    <row r="796">
      <c r="A796" s="286"/>
      <c r="B796" s="286"/>
      <c r="C796" s="286"/>
      <c r="D796" s="286"/>
      <c r="E796" s="306"/>
      <c r="F796" s="306"/>
      <c r="G796" s="286"/>
      <c r="H796" s="286"/>
      <c r="I796" s="286"/>
      <c r="J796" s="286"/>
      <c r="K796" s="286"/>
      <c r="L796" s="286"/>
      <c r="M796" s="286"/>
      <c r="N796" s="286"/>
    </row>
    <row r="797">
      <c r="A797" s="286"/>
      <c r="B797" s="286"/>
      <c r="C797" s="286"/>
      <c r="D797" s="286"/>
      <c r="E797" s="306"/>
      <c r="F797" s="306"/>
      <c r="G797" s="286"/>
      <c r="H797" s="286"/>
      <c r="I797" s="286"/>
      <c r="J797" s="286"/>
      <c r="K797" s="286"/>
      <c r="L797" s="286"/>
      <c r="M797" s="286"/>
      <c r="N797" s="286"/>
    </row>
    <row r="798">
      <c r="A798" s="286"/>
      <c r="B798" s="286"/>
      <c r="C798" s="286"/>
      <c r="D798" s="286"/>
      <c r="E798" s="306"/>
      <c r="F798" s="306"/>
      <c r="G798" s="286"/>
      <c r="H798" s="286"/>
      <c r="I798" s="286"/>
      <c r="J798" s="286"/>
      <c r="K798" s="286"/>
      <c r="L798" s="286"/>
      <c r="M798" s="286"/>
      <c r="N798" s="286"/>
    </row>
    <row r="799">
      <c r="A799" s="286"/>
      <c r="B799" s="286"/>
      <c r="C799" s="286"/>
      <c r="D799" s="286"/>
      <c r="E799" s="306"/>
      <c r="F799" s="306"/>
      <c r="G799" s="286"/>
      <c r="H799" s="286"/>
      <c r="I799" s="286"/>
      <c r="J799" s="286"/>
      <c r="K799" s="286"/>
      <c r="L799" s="286"/>
      <c r="M799" s="286"/>
      <c r="N799" s="286"/>
    </row>
    <row r="800">
      <c r="A800" s="286"/>
      <c r="B800" s="286"/>
      <c r="C800" s="286"/>
      <c r="D800" s="286"/>
      <c r="E800" s="306"/>
      <c r="F800" s="306"/>
      <c r="G800" s="286"/>
      <c r="H800" s="286"/>
      <c r="I800" s="286"/>
      <c r="J800" s="286"/>
      <c r="K800" s="286"/>
      <c r="L800" s="286"/>
      <c r="M800" s="286"/>
      <c r="N800" s="286"/>
    </row>
    <row r="801">
      <c r="A801" s="286"/>
      <c r="B801" s="286"/>
      <c r="C801" s="286"/>
      <c r="D801" s="286"/>
      <c r="E801" s="306"/>
      <c r="F801" s="306"/>
      <c r="G801" s="286"/>
      <c r="H801" s="286"/>
      <c r="I801" s="286"/>
      <c r="J801" s="286"/>
      <c r="K801" s="286"/>
      <c r="L801" s="286"/>
      <c r="M801" s="286"/>
      <c r="N801" s="286"/>
    </row>
    <row r="802">
      <c r="A802" s="286"/>
      <c r="B802" s="286"/>
      <c r="C802" s="286"/>
      <c r="D802" s="286"/>
      <c r="E802" s="306"/>
      <c r="F802" s="306"/>
      <c r="G802" s="286"/>
      <c r="H802" s="286"/>
      <c r="I802" s="286"/>
      <c r="J802" s="286"/>
      <c r="K802" s="286"/>
      <c r="L802" s="286"/>
      <c r="M802" s="286"/>
      <c r="N802" s="286"/>
    </row>
    <row r="803">
      <c r="A803" s="286"/>
      <c r="B803" s="286"/>
      <c r="C803" s="286"/>
      <c r="D803" s="286"/>
      <c r="E803" s="306"/>
      <c r="F803" s="306"/>
      <c r="G803" s="286"/>
      <c r="H803" s="286"/>
      <c r="I803" s="286"/>
      <c r="J803" s="286"/>
      <c r="K803" s="286"/>
      <c r="L803" s="286"/>
      <c r="M803" s="286"/>
      <c r="N803" s="286"/>
    </row>
    <row r="804">
      <c r="A804" s="286"/>
      <c r="B804" s="286"/>
      <c r="C804" s="286"/>
      <c r="D804" s="286"/>
      <c r="E804" s="306"/>
      <c r="F804" s="306"/>
      <c r="G804" s="286"/>
      <c r="H804" s="286"/>
      <c r="I804" s="286"/>
      <c r="J804" s="286"/>
      <c r="K804" s="286"/>
      <c r="L804" s="286"/>
      <c r="M804" s="286"/>
      <c r="N804" s="286"/>
    </row>
    <row r="805">
      <c r="A805" s="286"/>
      <c r="B805" s="286"/>
      <c r="C805" s="286"/>
      <c r="D805" s="286"/>
      <c r="E805" s="306"/>
      <c r="F805" s="306"/>
      <c r="G805" s="286"/>
      <c r="H805" s="286"/>
      <c r="I805" s="286"/>
      <c r="J805" s="286"/>
      <c r="K805" s="286"/>
      <c r="L805" s="286"/>
      <c r="M805" s="286"/>
      <c r="N805" s="286"/>
    </row>
    <row r="806">
      <c r="A806" s="286"/>
      <c r="B806" s="286"/>
      <c r="C806" s="286"/>
      <c r="D806" s="286"/>
      <c r="E806" s="306"/>
      <c r="F806" s="306"/>
      <c r="G806" s="286"/>
      <c r="H806" s="286"/>
      <c r="I806" s="286"/>
      <c r="J806" s="286"/>
      <c r="K806" s="286"/>
      <c r="L806" s="286"/>
      <c r="M806" s="286"/>
      <c r="N806" s="286"/>
    </row>
    <row r="807">
      <c r="A807" s="286"/>
      <c r="B807" s="286"/>
      <c r="C807" s="286"/>
      <c r="D807" s="286"/>
      <c r="E807" s="306"/>
      <c r="F807" s="306"/>
      <c r="G807" s="286"/>
      <c r="H807" s="286"/>
      <c r="I807" s="286"/>
      <c r="J807" s="286"/>
      <c r="K807" s="286"/>
      <c r="L807" s="286"/>
      <c r="M807" s="286"/>
      <c r="N807" s="286"/>
    </row>
    <row r="808">
      <c r="A808" s="286"/>
      <c r="B808" s="286"/>
      <c r="C808" s="286"/>
      <c r="D808" s="286"/>
      <c r="E808" s="306"/>
      <c r="F808" s="306"/>
      <c r="G808" s="286"/>
      <c r="H808" s="286"/>
      <c r="I808" s="286"/>
      <c r="J808" s="286"/>
      <c r="K808" s="286"/>
      <c r="L808" s="286"/>
      <c r="M808" s="286"/>
      <c r="N808" s="286"/>
    </row>
    <row r="809">
      <c r="A809" s="286"/>
      <c r="B809" s="286"/>
      <c r="C809" s="286"/>
      <c r="D809" s="286"/>
      <c r="E809" s="306"/>
      <c r="F809" s="306"/>
      <c r="G809" s="286"/>
      <c r="H809" s="286"/>
      <c r="I809" s="286"/>
      <c r="J809" s="286"/>
      <c r="K809" s="286"/>
      <c r="L809" s="286"/>
      <c r="M809" s="286"/>
      <c r="N809" s="286"/>
    </row>
    <row r="810">
      <c r="A810" s="286"/>
      <c r="B810" s="286"/>
      <c r="C810" s="286"/>
      <c r="D810" s="286"/>
      <c r="E810" s="306"/>
      <c r="F810" s="306"/>
      <c r="G810" s="286"/>
      <c r="H810" s="286"/>
      <c r="I810" s="286"/>
      <c r="J810" s="286"/>
      <c r="K810" s="286"/>
      <c r="L810" s="286"/>
      <c r="M810" s="286"/>
      <c r="N810" s="286"/>
    </row>
    <row r="811">
      <c r="A811" s="286"/>
      <c r="B811" s="286"/>
      <c r="C811" s="286"/>
      <c r="D811" s="286"/>
      <c r="E811" s="306"/>
      <c r="F811" s="306"/>
      <c r="G811" s="286"/>
      <c r="H811" s="286"/>
      <c r="I811" s="286"/>
      <c r="J811" s="286"/>
      <c r="K811" s="286"/>
      <c r="L811" s="286"/>
      <c r="M811" s="286"/>
      <c r="N811" s="286"/>
    </row>
    <row r="812">
      <c r="A812" s="286"/>
      <c r="B812" s="286"/>
      <c r="C812" s="286"/>
      <c r="D812" s="286"/>
      <c r="E812" s="306"/>
      <c r="F812" s="306"/>
      <c r="G812" s="286"/>
      <c r="H812" s="286"/>
      <c r="I812" s="286"/>
      <c r="J812" s="286"/>
      <c r="K812" s="286"/>
      <c r="L812" s="286"/>
      <c r="M812" s="286"/>
      <c r="N812" s="286"/>
    </row>
    <row r="813">
      <c r="A813" s="286"/>
      <c r="B813" s="286"/>
      <c r="C813" s="286"/>
      <c r="D813" s="286"/>
      <c r="E813" s="306"/>
      <c r="F813" s="306"/>
      <c r="G813" s="286"/>
      <c r="H813" s="286"/>
      <c r="I813" s="286"/>
      <c r="J813" s="286"/>
      <c r="K813" s="286"/>
      <c r="L813" s="286"/>
      <c r="M813" s="286"/>
      <c r="N813" s="286"/>
    </row>
    <row r="814">
      <c r="A814" s="286"/>
      <c r="B814" s="286"/>
      <c r="C814" s="286"/>
      <c r="D814" s="286"/>
      <c r="E814" s="306"/>
      <c r="F814" s="306"/>
      <c r="G814" s="286"/>
      <c r="H814" s="286"/>
      <c r="I814" s="286"/>
      <c r="J814" s="286"/>
      <c r="K814" s="286"/>
      <c r="L814" s="286"/>
      <c r="M814" s="286"/>
      <c r="N814" s="286"/>
    </row>
    <row r="815">
      <c r="A815" s="286"/>
      <c r="B815" s="286"/>
      <c r="C815" s="286"/>
      <c r="D815" s="286"/>
      <c r="E815" s="306"/>
      <c r="F815" s="306"/>
      <c r="G815" s="286"/>
      <c r="H815" s="286"/>
      <c r="I815" s="286"/>
      <c r="J815" s="286"/>
      <c r="K815" s="286"/>
      <c r="L815" s="286"/>
      <c r="M815" s="286"/>
      <c r="N815" s="286"/>
    </row>
    <row r="816">
      <c r="A816" s="286"/>
      <c r="B816" s="286"/>
      <c r="C816" s="286"/>
      <c r="D816" s="286"/>
      <c r="E816" s="306"/>
      <c r="F816" s="306"/>
      <c r="G816" s="286"/>
      <c r="H816" s="286"/>
      <c r="I816" s="286"/>
      <c r="J816" s="286"/>
      <c r="K816" s="286"/>
      <c r="L816" s="286"/>
      <c r="M816" s="286"/>
      <c r="N816" s="286"/>
    </row>
    <row r="817">
      <c r="A817" s="286"/>
      <c r="B817" s="286"/>
      <c r="C817" s="286"/>
      <c r="D817" s="286"/>
      <c r="E817" s="306"/>
      <c r="F817" s="306"/>
      <c r="G817" s="286"/>
      <c r="H817" s="286"/>
      <c r="I817" s="286"/>
      <c r="J817" s="286"/>
      <c r="K817" s="286"/>
      <c r="L817" s="286"/>
      <c r="M817" s="286"/>
      <c r="N817" s="286"/>
    </row>
    <row r="818">
      <c r="A818" s="286"/>
      <c r="B818" s="286"/>
      <c r="C818" s="286"/>
      <c r="D818" s="286"/>
      <c r="E818" s="306"/>
      <c r="F818" s="306"/>
      <c r="G818" s="286"/>
      <c r="H818" s="286"/>
      <c r="I818" s="286"/>
      <c r="J818" s="286"/>
      <c r="K818" s="286"/>
      <c r="L818" s="286"/>
      <c r="M818" s="286"/>
      <c r="N818" s="286"/>
    </row>
    <row r="819">
      <c r="A819" s="286"/>
      <c r="B819" s="286"/>
      <c r="C819" s="286"/>
      <c r="D819" s="286"/>
      <c r="E819" s="306"/>
      <c r="F819" s="306"/>
      <c r="G819" s="286"/>
      <c r="H819" s="286"/>
      <c r="I819" s="286"/>
      <c r="J819" s="286"/>
      <c r="K819" s="286"/>
      <c r="L819" s="286"/>
      <c r="M819" s="286"/>
      <c r="N819" s="286"/>
    </row>
    <row r="820">
      <c r="A820" s="286"/>
      <c r="B820" s="286"/>
      <c r="C820" s="286"/>
      <c r="D820" s="286"/>
      <c r="E820" s="306"/>
      <c r="F820" s="306"/>
      <c r="G820" s="286"/>
      <c r="H820" s="286"/>
      <c r="I820" s="286"/>
      <c r="J820" s="286"/>
      <c r="K820" s="286"/>
      <c r="L820" s="286"/>
      <c r="M820" s="286"/>
      <c r="N820" s="286"/>
    </row>
    <row r="821">
      <c r="A821" s="286"/>
      <c r="B821" s="286"/>
      <c r="C821" s="286"/>
      <c r="D821" s="286"/>
      <c r="E821" s="306"/>
      <c r="F821" s="306"/>
      <c r="G821" s="286"/>
      <c r="H821" s="286"/>
      <c r="I821" s="286"/>
      <c r="J821" s="286"/>
      <c r="K821" s="286"/>
      <c r="L821" s="286"/>
      <c r="M821" s="286"/>
      <c r="N821" s="286"/>
    </row>
    <row r="822">
      <c r="A822" s="286"/>
      <c r="B822" s="286"/>
      <c r="C822" s="286"/>
      <c r="D822" s="286"/>
      <c r="E822" s="306"/>
      <c r="F822" s="306"/>
      <c r="G822" s="286"/>
      <c r="H822" s="286"/>
      <c r="I822" s="286"/>
      <c r="J822" s="286"/>
      <c r="K822" s="286"/>
      <c r="L822" s="286"/>
      <c r="M822" s="286"/>
      <c r="N822" s="286"/>
    </row>
    <row r="823">
      <c r="A823" s="286"/>
      <c r="B823" s="286"/>
      <c r="C823" s="286"/>
      <c r="D823" s="286"/>
      <c r="E823" s="306"/>
      <c r="F823" s="306"/>
      <c r="G823" s="286"/>
      <c r="H823" s="286"/>
      <c r="I823" s="286"/>
      <c r="J823" s="286"/>
      <c r="K823" s="286"/>
      <c r="L823" s="286"/>
      <c r="M823" s="286"/>
      <c r="N823" s="286"/>
    </row>
    <row r="824">
      <c r="A824" s="286"/>
      <c r="B824" s="286"/>
      <c r="C824" s="286"/>
      <c r="D824" s="286"/>
      <c r="E824" s="306"/>
      <c r="F824" s="306"/>
      <c r="G824" s="286"/>
      <c r="H824" s="286"/>
      <c r="I824" s="286"/>
      <c r="J824" s="286"/>
      <c r="K824" s="286"/>
      <c r="L824" s="286"/>
      <c r="M824" s="286"/>
      <c r="N824" s="286"/>
    </row>
    <row r="825">
      <c r="A825" s="286"/>
      <c r="B825" s="286"/>
      <c r="C825" s="286"/>
      <c r="D825" s="286"/>
      <c r="E825" s="306"/>
      <c r="F825" s="306"/>
      <c r="G825" s="286"/>
      <c r="H825" s="286"/>
      <c r="I825" s="286"/>
      <c r="J825" s="286"/>
      <c r="K825" s="286"/>
      <c r="L825" s="286"/>
      <c r="M825" s="286"/>
      <c r="N825" s="286"/>
    </row>
    <row r="826">
      <c r="A826" s="286"/>
      <c r="B826" s="286"/>
      <c r="C826" s="286"/>
      <c r="D826" s="286"/>
      <c r="E826" s="306"/>
      <c r="F826" s="306"/>
      <c r="G826" s="286"/>
      <c r="H826" s="286"/>
      <c r="I826" s="286"/>
      <c r="J826" s="286"/>
      <c r="K826" s="286"/>
      <c r="L826" s="286"/>
      <c r="M826" s="286"/>
      <c r="N826" s="286"/>
    </row>
    <row r="827">
      <c r="A827" s="286"/>
      <c r="B827" s="286"/>
      <c r="C827" s="286"/>
      <c r="D827" s="286"/>
      <c r="E827" s="306"/>
      <c r="F827" s="306"/>
      <c r="G827" s="286"/>
      <c r="H827" s="286"/>
      <c r="I827" s="286"/>
      <c r="J827" s="286"/>
      <c r="K827" s="286"/>
      <c r="L827" s="286"/>
      <c r="M827" s="286"/>
      <c r="N827" s="286"/>
    </row>
    <row r="828">
      <c r="A828" s="286"/>
      <c r="B828" s="286"/>
      <c r="C828" s="286"/>
      <c r="D828" s="286"/>
      <c r="E828" s="306"/>
      <c r="F828" s="306"/>
      <c r="G828" s="286"/>
      <c r="H828" s="286"/>
      <c r="I828" s="286"/>
      <c r="J828" s="286"/>
      <c r="K828" s="286"/>
      <c r="L828" s="286"/>
      <c r="M828" s="286"/>
      <c r="N828" s="286"/>
    </row>
    <row r="829">
      <c r="A829" s="286"/>
      <c r="B829" s="286"/>
      <c r="C829" s="286"/>
      <c r="D829" s="286"/>
      <c r="E829" s="306"/>
      <c r="F829" s="306"/>
      <c r="G829" s="286"/>
      <c r="H829" s="286"/>
      <c r="I829" s="286"/>
      <c r="J829" s="286"/>
      <c r="K829" s="286"/>
      <c r="L829" s="286"/>
      <c r="M829" s="286"/>
      <c r="N829" s="286"/>
    </row>
    <row r="830">
      <c r="A830" s="286"/>
      <c r="B830" s="286"/>
      <c r="C830" s="286"/>
      <c r="D830" s="286"/>
      <c r="E830" s="306"/>
      <c r="F830" s="306"/>
      <c r="G830" s="286"/>
      <c r="H830" s="286"/>
      <c r="I830" s="286"/>
      <c r="J830" s="286"/>
      <c r="K830" s="286"/>
      <c r="L830" s="286"/>
      <c r="M830" s="286"/>
      <c r="N830" s="286"/>
    </row>
    <row r="831">
      <c r="A831" s="286"/>
      <c r="B831" s="286"/>
      <c r="C831" s="286"/>
      <c r="D831" s="286"/>
      <c r="E831" s="306"/>
      <c r="F831" s="306"/>
      <c r="G831" s="286"/>
      <c r="H831" s="286"/>
      <c r="I831" s="286"/>
      <c r="J831" s="286"/>
      <c r="K831" s="286"/>
      <c r="L831" s="286"/>
      <c r="M831" s="286"/>
      <c r="N831" s="286"/>
    </row>
    <row r="832">
      <c r="A832" s="286"/>
      <c r="B832" s="286"/>
      <c r="C832" s="286"/>
      <c r="D832" s="286"/>
      <c r="E832" s="306"/>
      <c r="F832" s="306"/>
      <c r="G832" s="286"/>
      <c r="H832" s="286"/>
      <c r="I832" s="286"/>
      <c r="J832" s="286"/>
      <c r="K832" s="286"/>
      <c r="L832" s="286"/>
      <c r="M832" s="286"/>
      <c r="N832" s="286"/>
    </row>
    <row r="833">
      <c r="A833" s="286"/>
      <c r="B833" s="286"/>
      <c r="C833" s="286"/>
      <c r="D833" s="286"/>
      <c r="E833" s="306"/>
      <c r="F833" s="306"/>
      <c r="G833" s="286"/>
      <c r="H833" s="286"/>
      <c r="I833" s="286"/>
      <c r="J833" s="286"/>
      <c r="K833" s="286"/>
      <c r="L833" s="286"/>
      <c r="M833" s="286"/>
      <c r="N833" s="286"/>
    </row>
    <row r="834">
      <c r="A834" s="286"/>
      <c r="B834" s="286"/>
      <c r="C834" s="286"/>
      <c r="D834" s="286"/>
      <c r="E834" s="306"/>
      <c r="F834" s="306"/>
      <c r="G834" s="286"/>
      <c r="H834" s="286"/>
      <c r="I834" s="286"/>
      <c r="J834" s="286"/>
      <c r="K834" s="286"/>
      <c r="L834" s="286"/>
      <c r="M834" s="286"/>
      <c r="N834" s="286"/>
    </row>
    <row r="835">
      <c r="A835" s="286"/>
      <c r="B835" s="286"/>
      <c r="C835" s="286"/>
      <c r="D835" s="286"/>
      <c r="E835" s="306"/>
      <c r="F835" s="306"/>
      <c r="G835" s="286"/>
      <c r="H835" s="286"/>
      <c r="I835" s="286"/>
      <c r="J835" s="286"/>
      <c r="K835" s="286"/>
      <c r="L835" s="286"/>
      <c r="M835" s="286"/>
      <c r="N835" s="286"/>
    </row>
    <row r="836">
      <c r="A836" s="286"/>
      <c r="B836" s="286"/>
      <c r="C836" s="286"/>
      <c r="D836" s="286"/>
      <c r="E836" s="306"/>
      <c r="F836" s="306"/>
      <c r="G836" s="286"/>
      <c r="H836" s="286"/>
      <c r="I836" s="286"/>
      <c r="J836" s="286"/>
      <c r="K836" s="286"/>
      <c r="L836" s="286"/>
      <c r="M836" s="286"/>
      <c r="N836" s="286"/>
    </row>
    <row r="837">
      <c r="A837" s="286"/>
      <c r="B837" s="286"/>
      <c r="C837" s="286"/>
      <c r="D837" s="286"/>
      <c r="E837" s="306"/>
      <c r="F837" s="306"/>
      <c r="G837" s="286"/>
      <c r="H837" s="286"/>
      <c r="I837" s="286"/>
      <c r="J837" s="286"/>
      <c r="K837" s="286"/>
      <c r="L837" s="286"/>
      <c r="M837" s="286"/>
      <c r="N837" s="286"/>
    </row>
    <row r="838">
      <c r="A838" s="286"/>
      <c r="B838" s="286"/>
      <c r="C838" s="286"/>
      <c r="D838" s="286"/>
      <c r="E838" s="306"/>
      <c r="F838" s="306"/>
      <c r="G838" s="286"/>
      <c r="H838" s="286"/>
      <c r="I838" s="286"/>
      <c r="J838" s="286"/>
      <c r="K838" s="286"/>
      <c r="L838" s="286"/>
      <c r="M838" s="286"/>
      <c r="N838" s="286"/>
    </row>
    <row r="839">
      <c r="A839" s="286"/>
      <c r="B839" s="286"/>
      <c r="C839" s="286"/>
      <c r="D839" s="286"/>
      <c r="E839" s="306"/>
      <c r="F839" s="306"/>
      <c r="G839" s="286"/>
      <c r="H839" s="286"/>
      <c r="I839" s="286"/>
      <c r="J839" s="286"/>
      <c r="K839" s="286"/>
      <c r="L839" s="286"/>
      <c r="M839" s="286"/>
      <c r="N839" s="286"/>
    </row>
    <row r="840">
      <c r="A840" s="286"/>
      <c r="B840" s="286"/>
      <c r="C840" s="286"/>
      <c r="D840" s="286"/>
      <c r="E840" s="306"/>
      <c r="F840" s="306"/>
      <c r="G840" s="286"/>
      <c r="H840" s="286"/>
      <c r="I840" s="286"/>
      <c r="J840" s="286"/>
      <c r="K840" s="286"/>
      <c r="L840" s="286"/>
      <c r="M840" s="286"/>
      <c r="N840" s="286"/>
    </row>
    <row r="841">
      <c r="A841" s="286"/>
      <c r="B841" s="286"/>
      <c r="C841" s="286"/>
      <c r="D841" s="286"/>
      <c r="E841" s="306"/>
      <c r="F841" s="306"/>
      <c r="G841" s="286"/>
      <c r="H841" s="286"/>
      <c r="I841" s="286"/>
      <c r="J841" s="286"/>
      <c r="K841" s="286"/>
      <c r="L841" s="286"/>
      <c r="M841" s="286"/>
      <c r="N841" s="286"/>
    </row>
    <row r="842">
      <c r="A842" s="286"/>
      <c r="B842" s="286"/>
      <c r="C842" s="286"/>
      <c r="D842" s="286"/>
      <c r="E842" s="306"/>
      <c r="F842" s="306"/>
      <c r="G842" s="286"/>
      <c r="H842" s="286"/>
      <c r="I842" s="286"/>
      <c r="J842" s="286"/>
      <c r="K842" s="286"/>
      <c r="L842" s="286"/>
      <c r="M842" s="286"/>
      <c r="N842" s="286"/>
    </row>
    <row r="843">
      <c r="A843" s="286"/>
      <c r="B843" s="286"/>
      <c r="C843" s="286"/>
      <c r="D843" s="286"/>
      <c r="E843" s="306"/>
      <c r="F843" s="306"/>
      <c r="G843" s="286"/>
      <c r="H843" s="286"/>
      <c r="I843" s="286"/>
      <c r="J843" s="286"/>
      <c r="K843" s="286"/>
      <c r="L843" s="286"/>
      <c r="M843" s="286"/>
      <c r="N843" s="286"/>
    </row>
    <row r="844">
      <c r="A844" s="286"/>
      <c r="B844" s="286"/>
      <c r="C844" s="286"/>
      <c r="D844" s="286"/>
      <c r="E844" s="306"/>
      <c r="F844" s="306"/>
      <c r="G844" s="286"/>
      <c r="H844" s="286"/>
      <c r="I844" s="286"/>
      <c r="J844" s="286"/>
      <c r="K844" s="286"/>
      <c r="L844" s="286"/>
      <c r="M844" s="286"/>
      <c r="N844" s="286"/>
    </row>
    <row r="845">
      <c r="A845" s="286"/>
      <c r="B845" s="286"/>
      <c r="C845" s="286"/>
      <c r="D845" s="286"/>
      <c r="E845" s="306"/>
      <c r="F845" s="306"/>
      <c r="G845" s="286"/>
      <c r="H845" s="286"/>
      <c r="I845" s="286"/>
      <c r="J845" s="286"/>
      <c r="K845" s="286"/>
      <c r="L845" s="286"/>
      <c r="M845" s="286"/>
      <c r="N845" s="286"/>
    </row>
    <row r="846">
      <c r="A846" s="286"/>
      <c r="B846" s="286"/>
      <c r="C846" s="286"/>
      <c r="D846" s="286"/>
      <c r="E846" s="306"/>
      <c r="F846" s="306"/>
      <c r="G846" s="286"/>
      <c r="H846" s="286"/>
      <c r="I846" s="286"/>
      <c r="J846" s="286"/>
      <c r="K846" s="286"/>
      <c r="L846" s="286"/>
      <c r="M846" s="286"/>
      <c r="N846" s="286"/>
    </row>
    <row r="847">
      <c r="A847" s="286"/>
      <c r="B847" s="286"/>
      <c r="C847" s="286"/>
      <c r="D847" s="286"/>
      <c r="E847" s="306"/>
      <c r="F847" s="306"/>
      <c r="G847" s="286"/>
      <c r="H847" s="286"/>
      <c r="I847" s="286"/>
      <c r="J847" s="286"/>
      <c r="K847" s="286"/>
      <c r="L847" s="286"/>
      <c r="M847" s="286"/>
      <c r="N847" s="286"/>
    </row>
    <row r="848">
      <c r="A848" s="286"/>
      <c r="B848" s="286"/>
      <c r="C848" s="286"/>
      <c r="D848" s="286"/>
      <c r="E848" s="306"/>
      <c r="F848" s="306"/>
      <c r="G848" s="286"/>
      <c r="H848" s="286"/>
      <c r="I848" s="286"/>
      <c r="J848" s="286"/>
      <c r="K848" s="286"/>
      <c r="L848" s="286"/>
      <c r="M848" s="286"/>
      <c r="N848" s="286"/>
    </row>
    <row r="849">
      <c r="A849" s="286"/>
      <c r="B849" s="286"/>
      <c r="C849" s="286"/>
      <c r="D849" s="286"/>
      <c r="E849" s="306"/>
      <c r="F849" s="306"/>
      <c r="G849" s="286"/>
      <c r="H849" s="286"/>
      <c r="I849" s="286"/>
      <c r="J849" s="286"/>
      <c r="K849" s="286"/>
      <c r="L849" s="286"/>
      <c r="M849" s="286"/>
      <c r="N849" s="286"/>
    </row>
    <row r="850">
      <c r="A850" s="286"/>
      <c r="B850" s="286"/>
      <c r="C850" s="286"/>
      <c r="D850" s="286"/>
      <c r="E850" s="306"/>
      <c r="F850" s="306"/>
      <c r="G850" s="286"/>
      <c r="H850" s="286"/>
      <c r="I850" s="286"/>
      <c r="J850" s="286"/>
      <c r="K850" s="286"/>
      <c r="L850" s="286"/>
      <c r="M850" s="286"/>
      <c r="N850" s="286"/>
    </row>
    <row r="851">
      <c r="A851" s="286"/>
      <c r="B851" s="286"/>
      <c r="C851" s="286"/>
      <c r="D851" s="286"/>
      <c r="E851" s="306"/>
      <c r="F851" s="306"/>
      <c r="G851" s="286"/>
      <c r="H851" s="286"/>
      <c r="I851" s="286"/>
      <c r="J851" s="286"/>
      <c r="K851" s="286"/>
      <c r="L851" s="286"/>
      <c r="M851" s="286"/>
      <c r="N851" s="286"/>
    </row>
    <row r="852">
      <c r="A852" s="286"/>
      <c r="B852" s="286"/>
      <c r="C852" s="286"/>
      <c r="D852" s="286"/>
      <c r="E852" s="306"/>
      <c r="F852" s="306"/>
      <c r="G852" s="286"/>
      <c r="H852" s="286"/>
      <c r="I852" s="286"/>
      <c r="J852" s="286"/>
      <c r="K852" s="286"/>
      <c r="L852" s="286"/>
      <c r="M852" s="286"/>
      <c r="N852" s="286"/>
    </row>
    <row r="853">
      <c r="A853" s="286"/>
      <c r="B853" s="286"/>
      <c r="C853" s="286"/>
      <c r="D853" s="286"/>
      <c r="E853" s="306"/>
      <c r="F853" s="306"/>
      <c r="G853" s="286"/>
      <c r="H853" s="286"/>
      <c r="I853" s="286"/>
      <c r="J853" s="286"/>
      <c r="K853" s="286"/>
      <c r="L853" s="286"/>
      <c r="M853" s="286"/>
      <c r="N853" s="286"/>
    </row>
    <row r="854">
      <c r="A854" s="286"/>
      <c r="B854" s="286"/>
      <c r="C854" s="286"/>
      <c r="D854" s="286"/>
      <c r="E854" s="306"/>
      <c r="F854" s="306"/>
      <c r="G854" s="286"/>
      <c r="H854" s="286"/>
      <c r="I854" s="286"/>
      <c r="J854" s="286"/>
      <c r="K854" s="286"/>
      <c r="L854" s="286"/>
      <c r="M854" s="286"/>
      <c r="N854" s="286"/>
    </row>
    <row r="855">
      <c r="A855" s="286"/>
      <c r="B855" s="286"/>
      <c r="C855" s="286"/>
      <c r="D855" s="286"/>
      <c r="E855" s="306"/>
      <c r="F855" s="306"/>
      <c r="G855" s="286"/>
      <c r="H855" s="286"/>
      <c r="I855" s="286"/>
      <c r="J855" s="286"/>
      <c r="K855" s="286"/>
      <c r="L855" s="286"/>
      <c r="M855" s="286"/>
      <c r="N855" s="286"/>
    </row>
    <row r="856">
      <c r="A856" s="286"/>
      <c r="B856" s="286"/>
      <c r="C856" s="286"/>
      <c r="D856" s="286"/>
      <c r="E856" s="306"/>
      <c r="F856" s="306"/>
      <c r="G856" s="286"/>
      <c r="H856" s="286"/>
      <c r="I856" s="286"/>
      <c r="J856" s="286"/>
      <c r="K856" s="286"/>
      <c r="L856" s="286"/>
      <c r="M856" s="286"/>
      <c r="N856" s="286"/>
    </row>
    <row r="857">
      <c r="A857" s="286"/>
      <c r="B857" s="286"/>
      <c r="C857" s="286"/>
      <c r="D857" s="286"/>
      <c r="E857" s="306"/>
      <c r="F857" s="306"/>
      <c r="G857" s="286"/>
      <c r="H857" s="286"/>
      <c r="I857" s="286"/>
      <c r="J857" s="286"/>
      <c r="K857" s="286"/>
      <c r="L857" s="286"/>
      <c r="M857" s="286"/>
      <c r="N857" s="286"/>
    </row>
    <row r="858">
      <c r="A858" s="286"/>
      <c r="B858" s="286"/>
      <c r="C858" s="286"/>
      <c r="D858" s="286"/>
      <c r="E858" s="306"/>
      <c r="F858" s="306"/>
      <c r="G858" s="286"/>
      <c r="H858" s="286"/>
      <c r="I858" s="286"/>
      <c r="J858" s="286"/>
      <c r="K858" s="286"/>
      <c r="L858" s="286"/>
      <c r="M858" s="286"/>
      <c r="N858" s="286"/>
    </row>
    <row r="859">
      <c r="A859" s="286"/>
      <c r="B859" s="286"/>
      <c r="C859" s="286"/>
      <c r="D859" s="286"/>
      <c r="E859" s="306"/>
      <c r="F859" s="306"/>
      <c r="G859" s="286"/>
      <c r="H859" s="286"/>
      <c r="I859" s="286"/>
      <c r="J859" s="286"/>
      <c r="K859" s="286"/>
      <c r="L859" s="286"/>
      <c r="M859" s="286"/>
      <c r="N859" s="286"/>
    </row>
    <row r="860">
      <c r="A860" s="286"/>
      <c r="B860" s="286"/>
      <c r="C860" s="286"/>
      <c r="D860" s="286"/>
      <c r="E860" s="306"/>
      <c r="F860" s="306"/>
      <c r="G860" s="286"/>
      <c r="H860" s="286"/>
      <c r="I860" s="286"/>
      <c r="J860" s="286"/>
      <c r="K860" s="286"/>
      <c r="L860" s="286"/>
      <c r="M860" s="286"/>
      <c r="N860" s="286"/>
    </row>
    <row r="861">
      <c r="A861" s="286"/>
      <c r="B861" s="286"/>
      <c r="C861" s="286"/>
      <c r="D861" s="286"/>
      <c r="E861" s="306"/>
      <c r="F861" s="306"/>
      <c r="G861" s="286"/>
      <c r="H861" s="286"/>
      <c r="I861" s="286"/>
      <c r="J861" s="286"/>
      <c r="K861" s="286"/>
      <c r="L861" s="286"/>
      <c r="M861" s="286"/>
      <c r="N861" s="286"/>
    </row>
    <row r="862">
      <c r="A862" s="286"/>
      <c r="B862" s="286"/>
      <c r="C862" s="286"/>
      <c r="D862" s="286"/>
      <c r="E862" s="306"/>
      <c r="F862" s="306"/>
      <c r="G862" s="286"/>
      <c r="H862" s="286"/>
      <c r="I862" s="286"/>
      <c r="J862" s="286"/>
      <c r="K862" s="286"/>
      <c r="L862" s="286"/>
      <c r="M862" s="286"/>
      <c r="N862" s="286"/>
    </row>
    <row r="863">
      <c r="A863" s="286"/>
      <c r="B863" s="286"/>
      <c r="C863" s="286"/>
      <c r="D863" s="286"/>
      <c r="E863" s="306"/>
      <c r="F863" s="306"/>
      <c r="G863" s="286"/>
      <c r="H863" s="286"/>
      <c r="I863" s="286"/>
      <c r="J863" s="286"/>
      <c r="K863" s="286"/>
      <c r="L863" s="286"/>
      <c r="M863" s="286"/>
      <c r="N863" s="286"/>
    </row>
    <row r="864">
      <c r="A864" s="286"/>
      <c r="B864" s="286"/>
      <c r="C864" s="286"/>
      <c r="D864" s="286"/>
      <c r="E864" s="306"/>
      <c r="F864" s="306"/>
      <c r="G864" s="286"/>
      <c r="H864" s="286"/>
      <c r="I864" s="286"/>
      <c r="J864" s="286"/>
      <c r="K864" s="286"/>
      <c r="L864" s="286"/>
      <c r="M864" s="286"/>
      <c r="N864" s="286"/>
    </row>
    <row r="865">
      <c r="A865" s="286"/>
      <c r="B865" s="286"/>
      <c r="C865" s="286"/>
      <c r="D865" s="286"/>
      <c r="E865" s="306"/>
      <c r="F865" s="306"/>
      <c r="G865" s="286"/>
      <c r="H865" s="286"/>
      <c r="I865" s="286"/>
      <c r="J865" s="286"/>
      <c r="K865" s="286"/>
      <c r="L865" s="286"/>
      <c r="M865" s="286"/>
      <c r="N865" s="286"/>
    </row>
    <row r="866">
      <c r="A866" s="286"/>
      <c r="B866" s="286"/>
      <c r="C866" s="286"/>
      <c r="D866" s="286"/>
      <c r="E866" s="306"/>
      <c r="F866" s="306"/>
      <c r="G866" s="286"/>
      <c r="H866" s="286"/>
      <c r="I866" s="286"/>
      <c r="J866" s="286"/>
      <c r="K866" s="286"/>
      <c r="L866" s="286"/>
      <c r="M866" s="286"/>
      <c r="N866" s="286"/>
    </row>
    <row r="867">
      <c r="A867" s="286"/>
      <c r="B867" s="286"/>
      <c r="C867" s="286"/>
      <c r="D867" s="286"/>
      <c r="E867" s="306"/>
      <c r="F867" s="306"/>
      <c r="G867" s="286"/>
      <c r="H867" s="286"/>
      <c r="I867" s="286"/>
      <c r="J867" s="286"/>
      <c r="K867" s="286"/>
      <c r="L867" s="286"/>
      <c r="M867" s="286"/>
      <c r="N867" s="286"/>
    </row>
    <row r="868">
      <c r="A868" s="286"/>
      <c r="B868" s="286"/>
      <c r="C868" s="286"/>
      <c r="D868" s="286"/>
      <c r="E868" s="306"/>
      <c r="F868" s="306"/>
      <c r="G868" s="286"/>
      <c r="H868" s="286"/>
      <c r="I868" s="286"/>
      <c r="J868" s="286"/>
      <c r="K868" s="286"/>
      <c r="L868" s="286"/>
      <c r="M868" s="286"/>
      <c r="N868" s="286"/>
    </row>
    <row r="869">
      <c r="A869" s="286"/>
      <c r="B869" s="286"/>
      <c r="C869" s="286"/>
      <c r="D869" s="286"/>
      <c r="E869" s="306"/>
      <c r="F869" s="306"/>
      <c r="G869" s="286"/>
      <c r="H869" s="286"/>
      <c r="I869" s="286"/>
      <c r="J869" s="286"/>
      <c r="K869" s="286"/>
      <c r="L869" s="286"/>
      <c r="M869" s="286"/>
      <c r="N869" s="286"/>
    </row>
    <row r="870">
      <c r="A870" s="286"/>
      <c r="B870" s="286"/>
      <c r="C870" s="286"/>
      <c r="D870" s="286"/>
      <c r="E870" s="306"/>
      <c r="F870" s="306"/>
      <c r="G870" s="286"/>
      <c r="H870" s="286"/>
      <c r="I870" s="286"/>
      <c r="J870" s="286"/>
      <c r="K870" s="286"/>
      <c r="L870" s="286"/>
      <c r="M870" s="286"/>
      <c r="N870" s="286"/>
    </row>
    <row r="871">
      <c r="A871" s="286"/>
      <c r="B871" s="286"/>
      <c r="C871" s="286"/>
      <c r="D871" s="286"/>
      <c r="E871" s="306"/>
      <c r="F871" s="306"/>
      <c r="G871" s="286"/>
      <c r="H871" s="286"/>
      <c r="I871" s="286"/>
      <c r="J871" s="286"/>
      <c r="K871" s="286"/>
      <c r="L871" s="286"/>
      <c r="M871" s="286"/>
      <c r="N871" s="286"/>
    </row>
    <row r="872">
      <c r="A872" s="286"/>
      <c r="B872" s="286"/>
      <c r="C872" s="286"/>
      <c r="D872" s="286"/>
      <c r="E872" s="306"/>
      <c r="F872" s="306"/>
      <c r="G872" s="286"/>
      <c r="H872" s="286"/>
      <c r="I872" s="286"/>
      <c r="J872" s="286"/>
      <c r="K872" s="286"/>
      <c r="L872" s="286"/>
      <c r="M872" s="286"/>
      <c r="N872" s="286"/>
    </row>
    <row r="873">
      <c r="A873" s="286"/>
      <c r="B873" s="286"/>
      <c r="C873" s="286"/>
      <c r="D873" s="286"/>
      <c r="E873" s="306"/>
      <c r="F873" s="306"/>
      <c r="G873" s="286"/>
      <c r="H873" s="286"/>
      <c r="I873" s="286"/>
      <c r="J873" s="286"/>
      <c r="K873" s="286"/>
      <c r="L873" s="286"/>
      <c r="M873" s="286"/>
      <c r="N873" s="286"/>
    </row>
    <row r="874">
      <c r="A874" s="286"/>
      <c r="B874" s="286"/>
      <c r="C874" s="286"/>
      <c r="D874" s="286"/>
      <c r="E874" s="306"/>
      <c r="F874" s="306"/>
      <c r="G874" s="286"/>
      <c r="H874" s="286"/>
      <c r="I874" s="286"/>
      <c r="J874" s="286"/>
      <c r="K874" s="286"/>
      <c r="L874" s="286"/>
      <c r="M874" s="286"/>
      <c r="N874" s="286"/>
    </row>
    <row r="875">
      <c r="A875" s="286"/>
      <c r="B875" s="286"/>
      <c r="C875" s="286"/>
      <c r="D875" s="286"/>
      <c r="E875" s="306"/>
      <c r="F875" s="306"/>
      <c r="G875" s="286"/>
      <c r="H875" s="286"/>
      <c r="I875" s="286"/>
      <c r="J875" s="286"/>
      <c r="K875" s="286"/>
      <c r="L875" s="286"/>
      <c r="M875" s="286"/>
      <c r="N875" s="286"/>
    </row>
    <row r="876">
      <c r="A876" s="286"/>
      <c r="B876" s="286"/>
      <c r="C876" s="286"/>
      <c r="D876" s="286"/>
      <c r="E876" s="306"/>
      <c r="F876" s="306"/>
      <c r="G876" s="286"/>
      <c r="H876" s="286"/>
      <c r="I876" s="286"/>
      <c r="J876" s="286"/>
      <c r="K876" s="286"/>
      <c r="L876" s="286"/>
      <c r="M876" s="286"/>
      <c r="N876" s="286"/>
    </row>
    <row r="877">
      <c r="A877" s="286"/>
      <c r="B877" s="286"/>
      <c r="C877" s="286"/>
      <c r="D877" s="286"/>
      <c r="E877" s="306"/>
      <c r="F877" s="306"/>
      <c r="G877" s="286"/>
      <c r="H877" s="286"/>
      <c r="I877" s="286"/>
      <c r="J877" s="286"/>
      <c r="K877" s="286"/>
      <c r="L877" s="286"/>
      <c r="M877" s="286"/>
      <c r="N877" s="286"/>
    </row>
    <row r="878">
      <c r="A878" s="286"/>
      <c r="B878" s="286"/>
      <c r="C878" s="286"/>
      <c r="D878" s="286"/>
      <c r="E878" s="306"/>
      <c r="F878" s="306"/>
      <c r="G878" s="286"/>
      <c r="H878" s="286"/>
      <c r="I878" s="286"/>
      <c r="J878" s="286"/>
      <c r="K878" s="286"/>
      <c r="L878" s="286"/>
      <c r="M878" s="286"/>
      <c r="N878" s="286"/>
    </row>
    <row r="879">
      <c r="A879" s="286"/>
      <c r="B879" s="286"/>
      <c r="C879" s="286"/>
      <c r="D879" s="286"/>
      <c r="E879" s="306"/>
      <c r="F879" s="306"/>
      <c r="G879" s="286"/>
      <c r="H879" s="286"/>
      <c r="I879" s="286"/>
      <c r="J879" s="286"/>
      <c r="K879" s="286"/>
      <c r="L879" s="286"/>
      <c r="M879" s="286"/>
      <c r="N879" s="286"/>
    </row>
    <row r="880">
      <c r="A880" s="286"/>
      <c r="B880" s="286"/>
      <c r="C880" s="286"/>
      <c r="D880" s="286"/>
      <c r="E880" s="306"/>
      <c r="F880" s="306"/>
      <c r="G880" s="286"/>
      <c r="H880" s="286"/>
      <c r="I880" s="286"/>
      <c r="J880" s="286"/>
      <c r="K880" s="286"/>
      <c r="L880" s="286"/>
      <c r="M880" s="286"/>
      <c r="N880" s="286"/>
    </row>
    <row r="881">
      <c r="A881" s="286"/>
      <c r="B881" s="286"/>
      <c r="C881" s="286"/>
      <c r="D881" s="286"/>
      <c r="E881" s="306"/>
      <c r="F881" s="306"/>
      <c r="G881" s="286"/>
      <c r="H881" s="286"/>
      <c r="I881" s="286"/>
      <c r="J881" s="286"/>
      <c r="K881" s="286"/>
      <c r="L881" s="286"/>
      <c r="M881" s="286"/>
      <c r="N881" s="286"/>
    </row>
    <row r="882">
      <c r="A882" s="286"/>
      <c r="B882" s="286"/>
      <c r="C882" s="286"/>
      <c r="D882" s="286"/>
      <c r="E882" s="306"/>
      <c r="F882" s="306"/>
      <c r="G882" s="286"/>
      <c r="H882" s="286"/>
      <c r="I882" s="286"/>
      <c r="J882" s="286"/>
      <c r="K882" s="286"/>
      <c r="L882" s="286"/>
      <c r="M882" s="286"/>
      <c r="N882" s="286"/>
    </row>
    <row r="883">
      <c r="A883" s="286"/>
      <c r="B883" s="286"/>
      <c r="C883" s="286"/>
      <c r="D883" s="286"/>
      <c r="E883" s="306"/>
      <c r="F883" s="306"/>
      <c r="G883" s="286"/>
      <c r="H883" s="286"/>
      <c r="I883" s="286"/>
      <c r="J883" s="286"/>
      <c r="K883" s="286"/>
      <c r="L883" s="286"/>
      <c r="M883" s="286"/>
      <c r="N883" s="286"/>
    </row>
    <row r="884">
      <c r="A884" s="286"/>
      <c r="B884" s="286"/>
      <c r="C884" s="286"/>
      <c r="D884" s="286"/>
      <c r="E884" s="306"/>
      <c r="F884" s="306"/>
      <c r="G884" s="286"/>
      <c r="H884" s="286"/>
      <c r="I884" s="286"/>
      <c r="J884" s="286"/>
      <c r="K884" s="286"/>
      <c r="L884" s="286"/>
      <c r="M884" s="286"/>
      <c r="N884" s="286"/>
    </row>
    <row r="885">
      <c r="A885" s="286"/>
      <c r="B885" s="286"/>
      <c r="C885" s="286"/>
      <c r="D885" s="286"/>
      <c r="E885" s="306"/>
      <c r="F885" s="306"/>
      <c r="G885" s="286"/>
      <c r="H885" s="286"/>
      <c r="I885" s="286"/>
      <c r="J885" s="286"/>
      <c r="K885" s="286"/>
      <c r="L885" s="286"/>
      <c r="M885" s="286"/>
      <c r="N885" s="286"/>
    </row>
    <row r="886">
      <c r="A886" s="286"/>
      <c r="B886" s="286"/>
      <c r="C886" s="286"/>
      <c r="D886" s="286"/>
      <c r="E886" s="306"/>
      <c r="F886" s="306"/>
      <c r="G886" s="286"/>
      <c r="H886" s="286"/>
      <c r="I886" s="286"/>
      <c r="J886" s="286"/>
      <c r="K886" s="286"/>
      <c r="L886" s="286"/>
      <c r="M886" s="286"/>
      <c r="N886" s="286"/>
    </row>
    <row r="887">
      <c r="A887" s="286"/>
      <c r="B887" s="286"/>
      <c r="C887" s="286"/>
      <c r="D887" s="286"/>
      <c r="E887" s="306"/>
      <c r="F887" s="306"/>
      <c r="G887" s="286"/>
      <c r="H887" s="286"/>
      <c r="I887" s="286"/>
      <c r="J887" s="286"/>
      <c r="K887" s="286"/>
      <c r="L887" s="286"/>
      <c r="M887" s="286"/>
      <c r="N887" s="286"/>
    </row>
    <row r="888">
      <c r="A888" s="286"/>
      <c r="B888" s="286"/>
      <c r="C888" s="286"/>
      <c r="D888" s="286"/>
      <c r="E888" s="306"/>
      <c r="F888" s="306"/>
      <c r="G888" s="286"/>
      <c r="H888" s="286"/>
      <c r="I888" s="286"/>
      <c r="J888" s="286"/>
      <c r="K888" s="286"/>
      <c r="L888" s="286"/>
      <c r="M888" s="286"/>
      <c r="N888" s="286"/>
    </row>
    <row r="889">
      <c r="A889" s="286"/>
      <c r="B889" s="286"/>
      <c r="C889" s="286"/>
      <c r="D889" s="286"/>
      <c r="E889" s="306"/>
      <c r="F889" s="306"/>
      <c r="G889" s="286"/>
      <c r="H889" s="286"/>
      <c r="I889" s="286"/>
      <c r="J889" s="286"/>
      <c r="K889" s="286"/>
      <c r="L889" s="286"/>
      <c r="M889" s="286"/>
      <c r="N889" s="286"/>
    </row>
    <row r="890">
      <c r="A890" s="286"/>
      <c r="B890" s="286"/>
      <c r="C890" s="286"/>
      <c r="D890" s="286"/>
      <c r="E890" s="306"/>
      <c r="F890" s="306"/>
      <c r="G890" s="286"/>
      <c r="H890" s="286"/>
      <c r="I890" s="286"/>
      <c r="J890" s="286"/>
      <c r="K890" s="286"/>
      <c r="L890" s="286"/>
      <c r="M890" s="286"/>
      <c r="N890" s="286"/>
    </row>
    <row r="891">
      <c r="A891" s="286"/>
      <c r="B891" s="286"/>
      <c r="C891" s="286"/>
      <c r="D891" s="286"/>
      <c r="E891" s="306"/>
      <c r="F891" s="306"/>
      <c r="G891" s="286"/>
      <c r="H891" s="286"/>
      <c r="I891" s="286"/>
      <c r="J891" s="286"/>
      <c r="K891" s="286"/>
      <c r="L891" s="286"/>
      <c r="M891" s="286"/>
      <c r="N891" s="286"/>
    </row>
    <row r="892">
      <c r="A892" s="286"/>
      <c r="B892" s="286"/>
      <c r="C892" s="286"/>
      <c r="D892" s="286"/>
      <c r="E892" s="306"/>
      <c r="F892" s="306"/>
      <c r="G892" s="286"/>
      <c r="H892" s="286"/>
      <c r="I892" s="286"/>
      <c r="J892" s="286"/>
      <c r="K892" s="286"/>
      <c r="L892" s="286"/>
      <c r="M892" s="286"/>
      <c r="N892" s="286"/>
    </row>
    <row r="893">
      <c r="A893" s="286"/>
      <c r="B893" s="286"/>
      <c r="C893" s="286"/>
      <c r="D893" s="286"/>
      <c r="E893" s="306"/>
      <c r="F893" s="306"/>
      <c r="G893" s="286"/>
      <c r="H893" s="286"/>
      <c r="I893" s="286"/>
      <c r="J893" s="286"/>
      <c r="K893" s="286"/>
      <c r="L893" s="286"/>
      <c r="M893" s="286"/>
      <c r="N893" s="286"/>
    </row>
    <row r="894">
      <c r="A894" s="286"/>
      <c r="B894" s="286"/>
      <c r="C894" s="286"/>
      <c r="D894" s="286"/>
      <c r="E894" s="306"/>
      <c r="F894" s="306"/>
      <c r="G894" s="286"/>
      <c r="H894" s="286"/>
      <c r="I894" s="286"/>
      <c r="J894" s="286"/>
      <c r="K894" s="286"/>
      <c r="L894" s="286"/>
      <c r="M894" s="286"/>
      <c r="N894" s="286"/>
    </row>
    <row r="895">
      <c r="A895" s="286"/>
      <c r="B895" s="286"/>
      <c r="C895" s="286"/>
      <c r="D895" s="286"/>
      <c r="E895" s="306"/>
      <c r="F895" s="306"/>
      <c r="G895" s="286"/>
      <c r="H895" s="286"/>
      <c r="I895" s="286"/>
      <c r="J895" s="286"/>
      <c r="K895" s="286"/>
      <c r="L895" s="286"/>
      <c r="M895" s="286"/>
      <c r="N895" s="286"/>
    </row>
    <row r="896">
      <c r="A896" s="286"/>
      <c r="B896" s="286"/>
      <c r="C896" s="286"/>
      <c r="D896" s="286"/>
      <c r="E896" s="306"/>
      <c r="F896" s="306"/>
      <c r="G896" s="286"/>
      <c r="H896" s="286"/>
      <c r="I896" s="286"/>
      <c r="J896" s="286"/>
      <c r="K896" s="286"/>
      <c r="L896" s="286"/>
      <c r="M896" s="286"/>
      <c r="N896" s="286"/>
    </row>
    <row r="897">
      <c r="A897" s="286"/>
      <c r="B897" s="286"/>
      <c r="C897" s="286"/>
      <c r="D897" s="286"/>
      <c r="E897" s="306"/>
      <c r="F897" s="306"/>
      <c r="G897" s="286"/>
      <c r="H897" s="286"/>
      <c r="I897" s="286"/>
      <c r="J897" s="286"/>
      <c r="K897" s="286"/>
      <c r="L897" s="286"/>
      <c r="M897" s="286"/>
      <c r="N897" s="286"/>
    </row>
    <row r="898">
      <c r="A898" s="286"/>
      <c r="B898" s="286"/>
      <c r="C898" s="286"/>
      <c r="D898" s="286"/>
      <c r="E898" s="306"/>
      <c r="F898" s="306"/>
      <c r="G898" s="286"/>
      <c r="H898" s="286"/>
      <c r="I898" s="286"/>
      <c r="J898" s="286"/>
      <c r="K898" s="286"/>
      <c r="L898" s="286"/>
      <c r="M898" s="286"/>
      <c r="N898" s="286"/>
    </row>
    <row r="899">
      <c r="A899" s="286"/>
      <c r="B899" s="286"/>
      <c r="C899" s="286"/>
      <c r="D899" s="286"/>
      <c r="E899" s="306"/>
      <c r="F899" s="306"/>
      <c r="G899" s="286"/>
      <c r="H899" s="286"/>
      <c r="I899" s="286"/>
      <c r="J899" s="286"/>
      <c r="K899" s="286"/>
      <c r="L899" s="286"/>
      <c r="M899" s="286"/>
      <c r="N899" s="286"/>
    </row>
    <row r="900">
      <c r="A900" s="286"/>
      <c r="B900" s="286"/>
      <c r="C900" s="286"/>
      <c r="D900" s="286"/>
      <c r="E900" s="306"/>
      <c r="F900" s="306"/>
      <c r="G900" s="286"/>
      <c r="H900" s="286"/>
      <c r="I900" s="286"/>
      <c r="J900" s="286"/>
      <c r="K900" s="286"/>
      <c r="L900" s="286"/>
      <c r="M900" s="286"/>
      <c r="N900" s="286"/>
    </row>
    <row r="901">
      <c r="A901" s="286"/>
      <c r="B901" s="286"/>
      <c r="C901" s="286"/>
      <c r="D901" s="286"/>
      <c r="E901" s="306"/>
      <c r="F901" s="306"/>
      <c r="G901" s="286"/>
      <c r="H901" s="286"/>
      <c r="I901" s="286"/>
      <c r="J901" s="286"/>
      <c r="K901" s="286"/>
      <c r="L901" s="286"/>
      <c r="M901" s="286"/>
      <c r="N901" s="286"/>
    </row>
    <row r="902">
      <c r="A902" s="286"/>
      <c r="B902" s="286"/>
      <c r="C902" s="286"/>
      <c r="D902" s="286"/>
      <c r="E902" s="306"/>
      <c r="F902" s="306"/>
      <c r="G902" s="286"/>
      <c r="H902" s="286"/>
      <c r="I902" s="286"/>
      <c r="J902" s="286"/>
      <c r="K902" s="286"/>
      <c r="L902" s="286"/>
      <c r="M902" s="286"/>
      <c r="N902" s="286"/>
    </row>
    <row r="903">
      <c r="A903" s="286"/>
      <c r="B903" s="286"/>
      <c r="C903" s="286"/>
      <c r="D903" s="286"/>
      <c r="E903" s="306"/>
      <c r="F903" s="306"/>
      <c r="G903" s="286"/>
      <c r="H903" s="286"/>
      <c r="I903" s="286"/>
      <c r="J903" s="286"/>
      <c r="K903" s="286"/>
      <c r="L903" s="286"/>
      <c r="M903" s="286"/>
      <c r="N903" s="286"/>
    </row>
    <row r="904">
      <c r="A904" s="286"/>
      <c r="B904" s="286"/>
      <c r="C904" s="286"/>
      <c r="D904" s="286"/>
      <c r="E904" s="306"/>
      <c r="F904" s="306"/>
      <c r="G904" s="286"/>
      <c r="H904" s="286"/>
      <c r="I904" s="286"/>
      <c r="J904" s="286"/>
      <c r="K904" s="286"/>
      <c r="L904" s="286"/>
      <c r="M904" s="286"/>
      <c r="N904" s="286"/>
    </row>
    <row r="905">
      <c r="A905" s="286"/>
      <c r="B905" s="286"/>
      <c r="C905" s="286"/>
      <c r="D905" s="286"/>
      <c r="E905" s="306"/>
      <c r="F905" s="306"/>
      <c r="G905" s="286"/>
      <c r="H905" s="286"/>
      <c r="I905" s="286"/>
      <c r="J905" s="286"/>
      <c r="K905" s="286"/>
      <c r="L905" s="286"/>
      <c r="M905" s="286"/>
      <c r="N905" s="286"/>
    </row>
    <row r="906">
      <c r="A906" s="286"/>
      <c r="B906" s="286"/>
      <c r="C906" s="286"/>
      <c r="D906" s="286"/>
      <c r="E906" s="306"/>
      <c r="F906" s="306"/>
      <c r="G906" s="286"/>
      <c r="H906" s="286"/>
      <c r="I906" s="286"/>
      <c r="J906" s="286"/>
      <c r="K906" s="286"/>
      <c r="L906" s="286"/>
      <c r="M906" s="286"/>
      <c r="N906" s="286"/>
    </row>
    <row r="907">
      <c r="A907" s="286"/>
      <c r="B907" s="286"/>
      <c r="C907" s="286"/>
      <c r="D907" s="286"/>
      <c r="E907" s="306"/>
      <c r="F907" s="306"/>
      <c r="G907" s="286"/>
      <c r="H907" s="286"/>
      <c r="I907" s="286"/>
      <c r="J907" s="286"/>
      <c r="K907" s="286"/>
      <c r="L907" s="286"/>
      <c r="M907" s="286"/>
      <c r="N907" s="286"/>
    </row>
    <row r="908">
      <c r="A908" s="286"/>
      <c r="B908" s="286"/>
      <c r="C908" s="286"/>
      <c r="D908" s="286"/>
      <c r="E908" s="306"/>
      <c r="F908" s="306"/>
      <c r="G908" s="286"/>
      <c r="H908" s="286"/>
      <c r="I908" s="286"/>
      <c r="J908" s="286"/>
      <c r="K908" s="286"/>
      <c r="L908" s="286"/>
      <c r="M908" s="286"/>
      <c r="N908" s="286"/>
    </row>
    <row r="909">
      <c r="A909" s="286"/>
      <c r="B909" s="286"/>
      <c r="C909" s="286"/>
      <c r="D909" s="286"/>
      <c r="E909" s="306"/>
      <c r="F909" s="306"/>
      <c r="G909" s="286"/>
      <c r="H909" s="286"/>
      <c r="I909" s="286"/>
      <c r="J909" s="286"/>
      <c r="K909" s="286"/>
      <c r="L909" s="286"/>
      <c r="M909" s="286"/>
      <c r="N909" s="286"/>
    </row>
    <row r="910">
      <c r="A910" s="286"/>
      <c r="B910" s="286"/>
      <c r="C910" s="286"/>
      <c r="D910" s="286"/>
      <c r="E910" s="306"/>
      <c r="F910" s="306"/>
      <c r="G910" s="286"/>
      <c r="H910" s="286"/>
      <c r="I910" s="286"/>
      <c r="J910" s="286"/>
      <c r="K910" s="286"/>
      <c r="L910" s="286"/>
      <c r="M910" s="286"/>
      <c r="N910" s="286"/>
    </row>
    <row r="911">
      <c r="A911" s="286"/>
      <c r="B911" s="286"/>
      <c r="C911" s="286"/>
      <c r="D911" s="286"/>
      <c r="E911" s="306"/>
      <c r="F911" s="306"/>
      <c r="G911" s="286"/>
      <c r="H911" s="286"/>
      <c r="I911" s="286"/>
      <c r="J911" s="286"/>
      <c r="K911" s="286"/>
      <c r="L911" s="286"/>
      <c r="M911" s="286"/>
      <c r="N911" s="286"/>
    </row>
    <row r="912">
      <c r="A912" s="286"/>
      <c r="B912" s="286"/>
      <c r="C912" s="286"/>
      <c r="D912" s="286"/>
      <c r="E912" s="306"/>
      <c r="F912" s="306"/>
      <c r="G912" s="286"/>
      <c r="H912" s="286"/>
      <c r="I912" s="286"/>
      <c r="J912" s="286"/>
      <c r="K912" s="286"/>
      <c r="L912" s="286"/>
      <c r="M912" s="286"/>
      <c r="N912" s="286"/>
    </row>
    <row r="913">
      <c r="A913" s="286"/>
      <c r="B913" s="286"/>
      <c r="C913" s="286"/>
      <c r="D913" s="286"/>
      <c r="E913" s="306"/>
      <c r="F913" s="306"/>
      <c r="G913" s="286"/>
      <c r="H913" s="286"/>
      <c r="I913" s="286"/>
      <c r="J913" s="286"/>
      <c r="K913" s="286"/>
      <c r="L913" s="286"/>
      <c r="M913" s="286"/>
      <c r="N913" s="286"/>
    </row>
    <row r="914">
      <c r="A914" s="286"/>
      <c r="B914" s="286"/>
      <c r="C914" s="286"/>
      <c r="D914" s="286"/>
      <c r="E914" s="306"/>
      <c r="F914" s="306"/>
      <c r="G914" s="286"/>
      <c r="H914" s="286"/>
      <c r="I914" s="286"/>
      <c r="J914" s="286"/>
      <c r="K914" s="286"/>
      <c r="L914" s="286"/>
      <c r="M914" s="286"/>
      <c r="N914" s="286"/>
    </row>
    <row r="915">
      <c r="A915" s="286"/>
      <c r="B915" s="286"/>
      <c r="C915" s="286"/>
      <c r="D915" s="286"/>
      <c r="E915" s="306"/>
      <c r="F915" s="306"/>
      <c r="G915" s="286"/>
      <c r="H915" s="286"/>
      <c r="I915" s="286"/>
      <c r="J915" s="286"/>
      <c r="K915" s="286"/>
      <c r="L915" s="286"/>
      <c r="M915" s="286"/>
      <c r="N915" s="286"/>
    </row>
    <row r="916">
      <c r="A916" s="286"/>
      <c r="B916" s="286"/>
      <c r="C916" s="286"/>
      <c r="D916" s="286"/>
      <c r="E916" s="306"/>
      <c r="F916" s="306"/>
      <c r="G916" s="286"/>
      <c r="H916" s="286"/>
      <c r="I916" s="286"/>
      <c r="J916" s="286"/>
      <c r="K916" s="286"/>
      <c r="L916" s="286"/>
      <c r="M916" s="286"/>
      <c r="N916" s="286"/>
    </row>
    <row r="917">
      <c r="A917" s="286"/>
      <c r="B917" s="286"/>
      <c r="C917" s="286"/>
      <c r="D917" s="286"/>
      <c r="E917" s="306"/>
      <c r="F917" s="306"/>
      <c r="G917" s="286"/>
      <c r="H917" s="286"/>
      <c r="I917" s="286"/>
      <c r="J917" s="286"/>
      <c r="K917" s="286"/>
      <c r="L917" s="286"/>
      <c r="M917" s="286"/>
      <c r="N917" s="286"/>
    </row>
    <row r="918">
      <c r="A918" s="286"/>
      <c r="B918" s="286"/>
      <c r="C918" s="286"/>
      <c r="D918" s="286"/>
      <c r="E918" s="306"/>
      <c r="F918" s="306"/>
      <c r="G918" s="286"/>
      <c r="H918" s="286"/>
      <c r="I918" s="286"/>
      <c r="J918" s="286"/>
      <c r="K918" s="286"/>
      <c r="L918" s="286"/>
      <c r="M918" s="286"/>
      <c r="N918" s="286"/>
    </row>
    <row r="919">
      <c r="A919" s="286"/>
      <c r="B919" s="286"/>
      <c r="C919" s="286"/>
      <c r="D919" s="286"/>
      <c r="E919" s="306"/>
      <c r="F919" s="306"/>
      <c r="G919" s="286"/>
      <c r="H919" s="286"/>
      <c r="I919" s="286"/>
      <c r="J919" s="286"/>
      <c r="K919" s="286"/>
      <c r="L919" s="286"/>
      <c r="M919" s="286"/>
      <c r="N919" s="286"/>
    </row>
    <row r="920">
      <c r="A920" s="286"/>
      <c r="B920" s="286"/>
      <c r="C920" s="286"/>
      <c r="D920" s="286"/>
      <c r="E920" s="306"/>
      <c r="F920" s="306"/>
      <c r="G920" s="286"/>
      <c r="H920" s="286"/>
      <c r="I920" s="286"/>
      <c r="J920" s="286"/>
      <c r="K920" s="286"/>
      <c r="L920" s="286"/>
      <c r="M920" s="286"/>
      <c r="N920" s="286"/>
    </row>
    <row r="921">
      <c r="A921" s="286"/>
      <c r="B921" s="286"/>
      <c r="C921" s="286"/>
      <c r="D921" s="286"/>
      <c r="E921" s="306"/>
      <c r="F921" s="306"/>
      <c r="G921" s="286"/>
      <c r="H921" s="286"/>
      <c r="I921" s="286"/>
      <c r="J921" s="286"/>
      <c r="K921" s="286"/>
      <c r="L921" s="286"/>
      <c r="M921" s="286"/>
      <c r="N921" s="286"/>
    </row>
    <row r="922">
      <c r="A922" s="286"/>
      <c r="B922" s="286"/>
      <c r="C922" s="286"/>
      <c r="D922" s="286"/>
      <c r="E922" s="306"/>
      <c r="F922" s="306"/>
      <c r="G922" s="286"/>
      <c r="H922" s="286"/>
      <c r="I922" s="286"/>
      <c r="J922" s="286"/>
      <c r="K922" s="286"/>
      <c r="L922" s="286"/>
      <c r="M922" s="286"/>
      <c r="N922" s="286"/>
    </row>
    <row r="923">
      <c r="A923" s="286"/>
      <c r="B923" s="286"/>
      <c r="C923" s="286"/>
      <c r="D923" s="286"/>
      <c r="E923" s="306"/>
      <c r="F923" s="306"/>
      <c r="G923" s="286"/>
      <c r="H923" s="286"/>
      <c r="I923" s="286"/>
      <c r="J923" s="286"/>
      <c r="K923" s="286"/>
      <c r="L923" s="286"/>
      <c r="M923" s="286"/>
      <c r="N923" s="286"/>
    </row>
    <row r="924">
      <c r="A924" s="286"/>
      <c r="B924" s="286"/>
      <c r="C924" s="286"/>
      <c r="D924" s="286"/>
      <c r="E924" s="306"/>
      <c r="F924" s="306"/>
      <c r="G924" s="286"/>
      <c r="H924" s="286"/>
      <c r="I924" s="286"/>
      <c r="J924" s="286"/>
      <c r="K924" s="286"/>
      <c r="L924" s="286"/>
      <c r="M924" s="286"/>
      <c r="N924" s="286"/>
    </row>
    <row r="925">
      <c r="A925" s="286"/>
      <c r="B925" s="286"/>
      <c r="C925" s="286"/>
      <c r="D925" s="286"/>
      <c r="E925" s="306"/>
      <c r="F925" s="306"/>
      <c r="G925" s="286"/>
      <c r="H925" s="286"/>
      <c r="I925" s="286"/>
      <c r="J925" s="286"/>
      <c r="K925" s="286"/>
      <c r="L925" s="286"/>
      <c r="M925" s="286"/>
      <c r="N925" s="286"/>
    </row>
    <row r="926">
      <c r="A926" s="286"/>
      <c r="B926" s="286"/>
      <c r="C926" s="286"/>
      <c r="D926" s="286"/>
      <c r="E926" s="306"/>
      <c r="F926" s="306"/>
      <c r="G926" s="286"/>
      <c r="H926" s="286"/>
      <c r="I926" s="286"/>
      <c r="J926" s="286"/>
      <c r="K926" s="286"/>
      <c r="L926" s="286"/>
      <c r="M926" s="286"/>
      <c r="N926" s="286"/>
    </row>
    <row r="927">
      <c r="A927" s="286"/>
      <c r="B927" s="286"/>
      <c r="C927" s="286"/>
      <c r="D927" s="286"/>
      <c r="E927" s="306"/>
      <c r="F927" s="306"/>
      <c r="G927" s="286"/>
      <c r="H927" s="286"/>
      <c r="I927" s="286"/>
      <c r="J927" s="286"/>
      <c r="K927" s="286"/>
      <c r="L927" s="286"/>
      <c r="M927" s="286"/>
      <c r="N927" s="286"/>
    </row>
    <row r="928">
      <c r="A928" s="286"/>
      <c r="B928" s="286"/>
      <c r="C928" s="286"/>
      <c r="D928" s="286"/>
      <c r="E928" s="306"/>
      <c r="F928" s="306"/>
      <c r="G928" s="286"/>
      <c r="H928" s="286"/>
      <c r="I928" s="286"/>
      <c r="J928" s="286"/>
      <c r="K928" s="286"/>
      <c r="L928" s="286"/>
      <c r="M928" s="286"/>
      <c r="N928" s="286"/>
    </row>
    <row r="929">
      <c r="A929" s="286"/>
      <c r="B929" s="286"/>
      <c r="C929" s="286"/>
      <c r="D929" s="286"/>
      <c r="E929" s="306"/>
      <c r="F929" s="306"/>
      <c r="G929" s="286"/>
      <c r="H929" s="286"/>
      <c r="I929" s="286"/>
      <c r="J929" s="286"/>
      <c r="K929" s="286"/>
      <c r="L929" s="286"/>
      <c r="M929" s="286"/>
      <c r="N929" s="286"/>
    </row>
    <row r="930">
      <c r="A930" s="286"/>
      <c r="B930" s="286"/>
      <c r="C930" s="286"/>
      <c r="D930" s="286"/>
      <c r="E930" s="306"/>
      <c r="F930" s="306"/>
      <c r="G930" s="286"/>
      <c r="H930" s="286"/>
      <c r="I930" s="286"/>
      <c r="J930" s="286"/>
      <c r="K930" s="286"/>
      <c r="L930" s="286"/>
      <c r="M930" s="286"/>
      <c r="N930" s="286"/>
    </row>
    <row r="931">
      <c r="A931" s="286"/>
      <c r="B931" s="286"/>
      <c r="C931" s="286"/>
      <c r="D931" s="286"/>
      <c r="E931" s="306"/>
      <c r="F931" s="306"/>
      <c r="G931" s="286"/>
      <c r="H931" s="286"/>
      <c r="I931" s="286"/>
      <c r="J931" s="286"/>
      <c r="K931" s="286"/>
      <c r="L931" s="286"/>
      <c r="M931" s="286"/>
      <c r="N931" s="286"/>
    </row>
    <row r="932">
      <c r="A932" s="286"/>
      <c r="B932" s="286"/>
      <c r="C932" s="286"/>
      <c r="D932" s="286"/>
      <c r="E932" s="306"/>
      <c r="F932" s="306"/>
      <c r="G932" s="286"/>
      <c r="H932" s="286"/>
      <c r="I932" s="286"/>
      <c r="J932" s="286"/>
      <c r="K932" s="286"/>
      <c r="L932" s="286"/>
      <c r="M932" s="286"/>
      <c r="N932" s="286"/>
    </row>
    <row r="933">
      <c r="A933" s="286"/>
      <c r="B933" s="286"/>
      <c r="C933" s="286"/>
      <c r="D933" s="286"/>
      <c r="E933" s="306"/>
      <c r="F933" s="306"/>
      <c r="G933" s="286"/>
      <c r="H933" s="286"/>
      <c r="I933" s="286"/>
      <c r="J933" s="286"/>
      <c r="K933" s="286"/>
      <c r="L933" s="286"/>
      <c r="M933" s="286"/>
      <c r="N933" s="286"/>
    </row>
    <row r="934">
      <c r="A934" s="286"/>
      <c r="B934" s="286"/>
      <c r="C934" s="286"/>
      <c r="D934" s="286"/>
      <c r="E934" s="306"/>
      <c r="F934" s="306"/>
      <c r="G934" s="286"/>
      <c r="H934" s="286"/>
      <c r="I934" s="286"/>
      <c r="J934" s="286"/>
      <c r="K934" s="286"/>
      <c r="L934" s="286"/>
      <c r="M934" s="286"/>
      <c r="N934" s="286"/>
    </row>
    <row r="935">
      <c r="A935" s="286"/>
      <c r="B935" s="286"/>
      <c r="C935" s="286"/>
      <c r="D935" s="286"/>
      <c r="E935" s="306"/>
      <c r="F935" s="306"/>
      <c r="G935" s="286"/>
      <c r="H935" s="286"/>
      <c r="I935" s="286"/>
      <c r="J935" s="286"/>
      <c r="K935" s="286"/>
      <c r="L935" s="286"/>
      <c r="M935" s="286"/>
      <c r="N935" s="286"/>
    </row>
    <row r="936">
      <c r="A936" s="286"/>
      <c r="B936" s="286"/>
      <c r="C936" s="286"/>
      <c r="D936" s="286"/>
      <c r="E936" s="306"/>
      <c r="F936" s="306"/>
      <c r="G936" s="286"/>
      <c r="H936" s="286"/>
      <c r="I936" s="286"/>
      <c r="J936" s="286"/>
      <c r="K936" s="286"/>
      <c r="L936" s="286"/>
      <c r="M936" s="286"/>
      <c r="N936" s="286"/>
    </row>
    <row r="937">
      <c r="A937" s="286"/>
      <c r="B937" s="286"/>
      <c r="C937" s="286"/>
      <c r="D937" s="286"/>
      <c r="E937" s="306"/>
      <c r="F937" s="306"/>
      <c r="G937" s="286"/>
      <c r="H937" s="286"/>
      <c r="I937" s="286"/>
      <c r="J937" s="286"/>
      <c r="K937" s="286"/>
      <c r="L937" s="286"/>
      <c r="M937" s="286"/>
      <c r="N937" s="286"/>
    </row>
    <row r="938">
      <c r="A938" s="286"/>
      <c r="B938" s="286"/>
      <c r="C938" s="286"/>
      <c r="D938" s="286"/>
      <c r="E938" s="306"/>
      <c r="F938" s="306"/>
      <c r="G938" s="286"/>
      <c r="H938" s="286"/>
      <c r="I938" s="286"/>
      <c r="J938" s="286"/>
      <c r="K938" s="286"/>
      <c r="L938" s="286"/>
      <c r="M938" s="286"/>
      <c r="N938" s="286"/>
    </row>
    <row r="939">
      <c r="A939" s="286"/>
      <c r="B939" s="286"/>
      <c r="C939" s="286"/>
      <c r="D939" s="286"/>
      <c r="E939" s="306"/>
      <c r="F939" s="306"/>
      <c r="G939" s="286"/>
      <c r="H939" s="286"/>
      <c r="I939" s="286"/>
      <c r="J939" s="286"/>
      <c r="K939" s="286"/>
      <c r="L939" s="286"/>
      <c r="M939" s="286"/>
      <c r="N939" s="286"/>
    </row>
    <row r="940">
      <c r="A940" s="286"/>
      <c r="B940" s="286"/>
      <c r="C940" s="286"/>
      <c r="D940" s="286"/>
      <c r="E940" s="306"/>
      <c r="F940" s="306"/>
      <c r="G940" s="286"/>
      <c r="H940" s="286"/>
      <c r="I940" s="286"/>
      <c r="J940" s="286"/>
      <c r="K940" s="286"/>
      <c r="L940" s="286"/>
      <c r="M940" s="286"/>
      <c r="N940" s="286"/>
    </row>
    <row r="941">
      <c r="A941" s="286"/>
      <c r="B941" s="286"/>
      <c r="C941" s="286"/>
      <c r="D941" s="286"/>
      <c r="E941" s="306"/>
      <c r="F941" s="306"/>
      <c r="G941" s="286"/>
      <c r="H941" s="286"/>
      <c r="I941" s="286"/>
      <c r="J941" s="286"/>
      <c r="K941" s="286"/>
      <c r="L941" s="286"/>
      <c r="M941" s="286"/>
      <c r="N941" s="286"/>
    </row>
    <row r="942">
      <c r="A942" s="286"/>
      <c r="B942" s="286"/>
      <c r="C942" s="286"/>
      <c r="D942" s="286"/>
      <c r="E942" s="306"/>
      <c r="F942" s="306"/>
      <c r="G942" s="286"/>
      <c r="H942" s="286"/>
      <c r="I942" s="286"/>
      <c r="J942" s="286"/>
      <c r="K942" s="286"/>
      <c r="L942" s="286"/>
      <c r="M942" s="286"/>
      <c r="N942" s="286"/>
    </row>
    <row r="943">
      <c r="A943" s="286"/>
      <c r="B943" s="286"/>
      <c r="C943" s="286"/>
      <c r="D943" s="286"/>
      <c r="E943" s="306"/>
      <c r="F943" s="306"/>
      <c r="G943" s="286"/>
      <c r="H943" s="286"/>
      <c r="I943" s="286"/>
      <c r="J943" s="286"/>
      <c r="K943" s="286"/>
      <c r="L943" s="286"/>
      <c r="M943" s="286"/>
      <c r="N943" s="286"/>
    </row>
    <row r="944">
      <c r="A944" s="286"/>
      <c r="B944" s="286"/>
      <c r="C944" s="286"/>
      <c r="D944" s="286"/>
      <c r="E944" s="306"/>
      <c r="F944" s="306"/>
      <c r="G944" s="286"/>
      <c r="H944" s="286"/>
      <c r="I944" s="286"/>
      <c r="J944" s="286"/>
      <c r="K944" s="286"/>
      <c r="L944" s="286"/>
      <c r="M944" s="286"/>
      <c r="N944" s="286"/>
    </row>
    <row r="945">
      <c r="A945" s="286"/>
      <c r="B945" s="286"/>
      <c r="C945" s="286"/>
      <c r="D945" s="286"/>
      <c r="E945" s="306"/>
      <c r="F945" s="306"/>
      <c r="G945" s="286"/>
      <c r="H945" s="286"/>
      <c r="I945" s="286"/>
      <c r="J945" s="286"/>
      <c r="K945" s="286"/>
      <c r="L945" s="286"/>
      <c r="M945" s="286"/>
      <c r="N945" s="286"/>
    </row>
    <row r="946">
      <c r="A946" s="286"/>
      <c r="B946" s="286"/>
      <c r="C946" s="286"/>
      <c r="D946" s="286"/>
      <c r="E946" s="306"/>
      <c r="F946" s="306"/>
      <c r="G946" s="286"/>
      <c r="H946" s="286"/>
      <c r="I946" s="286"/>
      <c r="J946" s="286"/>
      <c r="K946" s="286"/>
      <c r="L946" s="286"/>
      <c r="M946" s="286"/>
      <c r="N946" s="286"/>
    </row>
    <row r="947">
      <c r="A947" s="286"/>
      <c r="B947" s="286"/>
      <c r="C947" s="286"/>
      <c r="D947" s="286"/>
      <c r="E947" s="306"/>
      <c r="F947" s="306"/>
      <c r="G947" s="286"/>
      <c r="H947" s="286"/>
      <c r="I947" s="286"/>
      <c r="J947" s="286"/>
      <c r="K947" s="286"/>
      <c r="L947" s="286"/>
      <c r="M947" s="286"/>
      <c r="N947" s="286"/>
    </row>
    <row r="948">
      <c r="A948" s="286"/>
      <c r="B948" s="286"/>
      <c r="C948" s="286"/>
      <c r="D948" s="286"/>
      <c r="E948" s="306"/>
      <c r="F948" s="306"/>
      <c r="G948" s="286"/>
      <c r="H948" s="286"/>
      <c r="I948" s="286"/>
      <c r="J948" s="286"/>
      <c r="K948" s="286"/>
      <c r="L948" s="286"/>
      <c r="M948" s="286"/>
      <c r="N948" s="286"/>
    </row>
    <row r="949">
      <c r="A949" s="286"/>
      <c r="B949" s="286"/>
      <c r="C949" s="286"/>
      <c r="D949" s="286"/>
      <c r="E949" s="306"/>
      <c r="F949" s="306"/>
      <c r="G949" s="286"/>
      <c r="H949" s="286"/>
      <c r="I949" s="286"/>
      <c r="J949" s="286"/>
      <c r="K949" s="286"/>
      <c r="L949" s="286"/>
      <c r="M949" s="286"/>
      <c r="N949" s="286"/>
    </row>
    <row r="950">
      <c r="A950" s="286"/>
      <c r="B950" s="286"/>
      <c r="C950" s="286"/>
      <c r="D950" s="286"/>
      <c r="E950" s="306"/>
      <c r="F950" s="306"/>
      <c r="G950" s="286"/>
      <c r="H950" s="286"/>
      <c r="I950" s="286"/>
      <c r="J950" s="286"/>
      <c r="K950" s="286"/>
      <c r="L950" s="286"/>
      <c r="M950" s="286"/>
      <c r="N950" s="286"/>
    </row>
    <row r="951">
      <c r="A951" s="286"/>
      <c r="B951" s="286"/>
      <c r="C951" s="286"/>
      <c r="D951" s="286"/>
      <c r="E951" s="306"/>
      <c r="F951" s="306"/>
      <c r="G951" s="286"/>
      <c r="H951" s="286"/>
      <c r="I951" s="286"/>
      <c r="J951" s="286"/>
      <c r="K951" s="286"/>
      <c r="L951" s="286"/>
      <c r="M951" s="286"/>
      <c r="N951" s="286"/>
    </row>
    <row r="952">
      <c r="A952" s="286"/>
      <c r="B952" s="286"/>
      <c r="C952" s="286"/>
      <c r="D952" s="286"/>
      <c r="E952" s="306"/>
      <c r="F952" s="306"/>
      <c r="G952" s="286"/>
      <c r="H952" s="286"/>
      <c r="I952" s="286"/>
      <c r="J952" s="286"/>
      <c r="K952" s="286"/>
      <c r="L952" s="286"/>
      <c r="M952" s="286"/>
      <c r="N952" s="286"/>
    </row>
    <row r="953">
      <c r="A953" s="286"/>
      <c r="B953" s="286"/>
      <c r="C953" s="286"/>
      <c r="D953" s="286"/>
      <c r="E953" s="306"/>
      <c r="F953" s="306"/>
      <c r="G953" s="286"/>
      <c r="H953" s="286"/>
      <c r="I953" s="286"/>
      <c r="J953" s="286"/>
      <c r="K953" s="286"/>
      <c r="L953" s="286"/>
      <c r="M953" s="286"/>
      <c r="N953" s="286"/>
    </row>
    <row r="954">
      <c r="A954" s="286"/>
      <c r="B954" s="286"/>
      <c r="C954" s="286"/>
      <c r="D954" s="286"/>
      <c r="E954" s="306"/>
      <c r="F954" s="306"/>
      <c r="G954" s="286"/>
      <c r="H954" s="286"/>
      <c r="I954" s="286"/>
      <c r="J954" s="286"/>
      <c r="K954" s="286"/>
      <c r="L954" s="286"/>
      <c r="M954" s="286"/>
      <c r="N954" s="286"/>
    </row>
    <row r="955">
      <c r="A955" s="286"/>
      <c r="B955" s="286"/>
      <c r="C955" s="286"/>
      <c r="D955" s="286"/>
      <c r="E955" s="306"/>
      <c r="F955" s="306"/>
      <c r="G955" s="286"/>
      <c r="H955" s="286"/>
      <c r="I955" s="286"/>
      <c r="J955" s="286"/>
      <c r="K955" s="286"/>
      <c r="L955" s="286"/>
      <c r="M955" s="286"/>
      <c r="N955" s="286"/>
    </row>
    <row r="956">
      <c r="A956" s="286"/>
      <c r="B956" s="286"/>
      <c r="C956" s="286"/>
      <c r="D956" s="286"/>
      <c r="E956" s="306"/>
      <c r="F956" s="306"/>
      <c r="G956" s="286"/>
      <c r="H956" s="286"/>
      <c r="I956" s="286"/>
      <c r="J956" s="286"/>
      <c r="K956" s="286"/>
      <c r="L956" s="286"/>
      <c r="M956" s="286"/>
      <c r="N956" s="286"/>
    </row>
    <row r="957">
      <c r="A957" s="286"/>
      <c r="B957" s="286"/>
      <c r="C957" s="286"/>
      <c r="D957" s="286"/>
      <c r="E957" s="306"/>
      <c r="F957" s="306"/>
      <c r="G957" s="286"/>
      <c r="H957" s="286"/>
      <c r="I957" s="286"/>
      <c r="J957" s="286"/>
      <c r="K957" s="286"/>
      <c r="L957" s="286"/>
      <c r="M957" s="286"/>
      <c r="N957" s="286"/>
    </row>
    <row r="958">
      <c r="A958" s="286"/>
      <c r="B958" s="286"/>
      <c r="C958" s="286"/>
      <c r="D958" s="286"/>
      <c r="E958" s="306"/>
      <c r="F958" s="306"/>
      <c r="G958" s="286"/>
      <c r="H958" s="286"/>
      <c r="I958" s="286"/>
      <c r="J958" s="286"/>
      <c r="K958" s="286"/>
      <c r="L958" s="286"/>
      <c r="M958" s="286"/>
      <c r="N958" s="286"/>
    </row>
    <row r="959">
      <c r="A959" s="286"/>
      <c r="B959" s="286"/>
      <c r="C959" s="286"/>
      <c r="D959" s="286"/>
      <c r="E959" s="306"/>
      <c r="F959" s="306"/>
      <c r="G959" s="286"/>
      <c r="H959" s="286"/>
      <c r="I959" s="286"/>
      <c r="J959" s="286"/>
      <c r="K959" s="286"/>
      <c r="L959" s="286"/>
      <c r="M959" s="286"/>
      <c r="N959" s="286"/>
    </row>
    <row r="960">
      <c r="A960" s="286"/>
      <c r="B960" s="286"/>
      <c r="C960" s="286"/>
      <c r="D960" s="286"/>
      <c r="E960" s="306"/>
      <c r="F960" s="306"/>
      <c r="G960" s="286"/>
      <c r="H960" s="286"/>
      <c r="I960" s="286"/>
      <c r="J960" s="286"/>
      <c r="K960" s="286"/>
      <c r="L960" s="286"/>
      <c r="M960" s="286"/>
      <c r="N960" s="286"/>
    </row>
    <row r="961">
      <c r="A961" s="286"/>
      <c r="B961" s="286"/>
      <c r="C961" s="286"/>
      <c r="D961" s="286"/>
      <c r="E961" s="306"/>
      <c r="F961" s="306"/>
      <c r="G961" s="286"/>
      <c r="H961" s="286"/>
      <c r="I961" s="286"/>
      <c r="J961" s="286"/>
      <c r="K961" s="286"/>
      <c r="L961" s="286"/>
      <c r="M961" s="286"/>
      <c r="N961" s="286"/>
    </row>
    <row r="962">
      <c r="A962" s="286"/>
      <c r="B962" s="286"/>
      <c r="C962" s="286"/>
      <c r="D962" s="286"/>
      <c r="E962" s="306"/>
      <c r="F962" s="306"/>
      <c r="G962" s="286"/>
      <c r="H962" s="286"/>
      <c r="I962" s="286"/>
      <c r="J962" s="286"/>
      <c r="K962" s="286"/>
      <c r="L962" s="286"/>
      <c r="M962" s="286"/>
      <c r="N962" s="286"/>
    </row>
    <row r="963">
      <c r="A963" s="286"/>
      <c r="B963" s="286"/>
      <c r="C963" s="286"/>
      <c r="D963" s="286"/>
      <c r="E963" s="306"/>
      <c r="F963" s="306"/>
      <c r="G963" s="286"/>
      <c r="H963" s="286"/>
      <c r="I963" s="286"/>
      <c r="J963" s="286"/>
      <c r="K963" s="286"/>
      <c r="L963" s="286"/>
      <c r="M963" s="286"/>
      <c r="N963" s="286"/>
    </row>
    <row r="964">
      <c r="A964" s="286"/>
      <c r="B964" s="286"/>
      <c r="C964" s="286"/>
      <c r="D964" s="286"/>
      <c r="E964" s="306"/>
      <c r="F964" s="306"/>
      <c r="G964" s="286"/>
      <c r="H964" s="286"/>
      <c r="I964" s="286"/>
      <c r="J964" s="286"/>
      <c r="K964" s="286"/>
      <c r="L964" s="286"/>
      <c r="M964" s="286"/>
      <c r="N964" s="286"/>
    </row>
    <row r="965">
      <c r="A965" s="286"/>
      <c r="B965" s="286"/>
      <c r="C965" s="286"/>
      <c r="D965" s="286"/>
      <c r="E965" s="306"/>
      <c r="F965" s="306"/>
      <c r="G965" s="286"/>
      <c r="H965" s="286"/>
      <c r="I965" s="286"/>
      <c r="J965" s="286"/>
      <c r="K965" s="286"/>
      <c r="L965" s="286"/>
      <c r="M965" s="286"/>
      <c r="N965" s="286"/>
    </row>
    <row r="966">
      <c r="A966" s="286"/>
      <c r="B966" s="286"/>
      <c r="C966" s="286"/>
      <c r="D966" s="286"/>
      <c r="E966" s="306"/>
      <c r="F966" s="306"/>
      <c r="G966" s="286"/>
      <c r="H966" s="286"/>
      <c r="I966" s="286"/>
      <c r="J966" s="286"/>
      <c r="K966" s="286"/>
      <c r="L966" s="286"/>
      <c r="M966" s="286"/>
      <c r="N966" s="286"/>
    </row>
    <row r="967">
      <c r="A967" s="286"/>
      <c r="B967" s="286"/>
      <c r="C967" s="286"/>
      <c r="D967" s="286"/>
      <c r="E967" s="306"/>
      <c r="F967" s="306"/>
      <c r="G967" s="286"/>
      <c r="H967" s="286"/>
      <c r="I967" s="286"/>
      <c r="J967" s="286"/>
      <c r="K967" s="286"/>
      <c r="L967" s="286"/>
      <c r="M967" s="286"/>
      <c r="N967" s="286"/>
    </row>
    <row r="968">
      <c r="A968" s="286"/>
      <c r="B968" s="286"/>
      <c r="C968" s="286"/>
      <c r="D968" s="286"/>
      <c r="E968" s="306"/>
      <c r="F968" s="306"/>
      <c r="G968" s="286"/>
      <c r="H968" s="286"/>
      <c r="I968" s="286"/>
      <c r="J968" s="286"/>
      <c r="K968" s="286"/>
      <c r="L968" s="286"/>
      <c r="M968" s="286"/>
      <c r="N968" s="286"/>
    </row>
    <row r="969">
      <c r="A969" s="286"/>
      <c r="B969" s="286"/>
      <c r="C969" s="286"/>
      <c r="D969" s="286"/>
      <c r="E969" s="306"/>
      <c r="F969" s="306"/>
      <c r="G969" s="286"/>
      <c r="H969" s="286"/>
      <c r="I969" s="286"/>
      <c r="J969" s="286"/>
      <c r="K969" s="286"/>
      <c r="L969" s="286"/>
      <c r="M969" s="286"/>
      <c r="N969" s="286"/>
    </row>
    <row r="970">
      <c r="A970" s="286"/>
      <c r="B970" s="286"/>
      <c r="C970" s="286"/>
      <c r="D970" s="286"/>
      <c r="E970" s="306"/>
      <c r="F970" s="306"/>
      <c r="G970" s="286"/>
      <c r="H970" s="286"/>
      <c r="I970" s="286"/>
      <c r="J970" s="286"/>
      <c r="K970" s="286"/>
      <c r="L970" s="286"/>
      <c r="M970" s="286"/>
      <c r="N970" s="286"/>
    </row>
    <row r="971">
      <c r="A971" s="286"/>
      <c r="B971" s="286"/>
      <c r="C971" s="286"/>
      <c r="D971" s="286"/>
      <c r="E971" s="306"/>
      <c r="F971" s="306"/>
      <c r="G971" s="286"/>
      <c r="H971" s="286"/>
      <c r="I971" s="286"/>
      <c r="J971" s="286"/>
      <c r="K971" s="286"/>
      <c r="L971" s="286"/>
      <c r="M971" s="286"/>
      <c r="N971" s="286"/>
    </row>
    <row r="972">
      <c r="A972" s="286"/>
      <c r="B972" s="286"/>
      <c r="C972" s="286"/>
      <c r="D972" s="286"/>
      <c r="E972" s="306"/>
      <c r="F972" s="306"/>
      <c r="G972" s="286"/>
      <c r="H972" s="286"/>
      <c r="I972" s="286"/>
      <c r="J972" s="286"/>
      <c r="K972" s="286"/>
      <c r="L972" s="286"/>
      <c r="M972" s="286"/>
      <c r="N972" s="286"/>
    </row>
    <row r="973">
      <c r="A973" s="286"/>
      <c r="B973" s="286"/>
      <c r="C973" s="286"/>
      <c r="D973" s="286"/>
      <c r="E973" s="306"/>
      <c r="F973" s="306"/>
      <c r="G973" s="286"/>
      <c r="H973" s="286"/>
      <c r="I973" s="286"/>
      <c r="J973" s="286"/>
      <c r="K973" s="286"/>
      <c r="L973" s="286"/>
      <c r="M973" s="286"/>
      <c r="N973" s="286"/>
    </row>
    <row r="974">
      <c r="A974" s="286"/>
      <c r="B974" s="286"/>
      <c r="C974" s="286"/>
      <c r="D974" s="286"/>
      <c r="E974" s="306"/>
      <c r="F974" s="306"/>
      <c r="G974" s="286"/>
      <c r="H974" s="286"/>
      <c r="I974" s="286"/>
      <c r="J974" s="286"/>
      <c r="K974" s="286"/>
      <c r="L974" s="286"/>
      <c r="M974" s="286"/>
      <c r="N974" s="286"/>
    </row>
    <row r="975">
      <c r="A975" s="286"/>
      <c r="B975" s="286"/>
      <c r="C975" s="286"/>
      <c r="D975" s="286"/>
      <c r="E975" s="306"/>
      <c r="F975" s="306"/>
      <c r="G975" s="286"/>
      <c r="H975" s="286"/>
      <c r="I975" s="286"/>
      <c r="J975" s="286"/>
      <c r="K975" s="286"/>
      <c r="L975" s="286"/>
      <c r="M975" s="286"/>
      <c r="N975" s="286"/>
    </row>
    <row r="976">
      <c r="A976" s="286"/>
      <c r="B976" s="286"/>
      <c r="C976" s="286"/>
      <c r="D976" s="286"/>
      <c r="E976" s="306"/>
      <c r="F976" s="306"/>
      <c r="G976" s="286"/>
      <c r="H976" s="286"/>
      <c r="I976" s="286"/>
      <c r="J976" s="286"/>
      <c r="K976" s="286"/>
      <c r="L976" s="286"/>
      <c r="M976" s="286"/>
      <c r="N976" s="286"/>
    </row>
    <row r="977">
      <c r="A977" s="286"/>
      <c r="B977" s="286"/>
      <c r="C977" s="286"/>
      <c r="D977" s="286"/>
      <c r="E977" s="306"/>
      <c r="F977" s="306"/>
      <c r="G977" s="286"/>
      <c r="H977" s="286"/>
      <c r="I977" s="286"/>
      <c r="J977" s="286"/>
      <c r="K977" s="286"/>
      <c r="L977" s="286"/>
      <c r="M977" s="286"/>
      <c r="N977" s="286"/>
    </row>
    <row r="978">
      <c r="A978" s="286"/>
      <c r="B978" s="286"/>
      <c r="C978" s="286"/>
      <c r="D978" s="286"/>
      <c r="E978" s="306"/>
      <c r="F978" s="306"/>
      <c r="G978" s="286"/>
      <c r="H978" s="286"/>
      <c r="I978" s="286"/>
      <c r="J978" s="286"/>
      <c r="K978" s="286"/>
      <c r="L978" s="286"/>
      <c r="M978" s="286"/>
      <c r="N978" s="286"/>
    </row>
    <row r="979">
      <c r="A979" s="286"/>
      <c r="B979" s="286"/>
      <c r="C979" s="286"/>
      <c r="D979" s="286"/>
      <c r="E979" s="306"/>
      <c r="F979" s="306"/>
      <c r="G979" s="286"/>
      <c r="H979" s="286"/>
      <c r="I979" s="286"/>
      <c r="J979" s="286"/>
      <c r="K979" s="286"/>
      <c r="L979" s="286"/>
      <c r="M979" s="286"/>
      <c r="N979" s="286"/>
    </row>
    <row r="980">
      <c r="A980" s="286"/>
      <c r="B980" s="286"/>
      <c r="C980" s="286"/>
      <c r="D980" s="286"/>
      <c r="E980" s="306"/>
      <c r="F980" s="306"/>
      <c r="G980" s="286"/>
      <c r="H980" s="286"/>
      <c r="I980" s="286"/>
      <c r="J980" s="286"/>
      <c r="K980" s="286"/>
      <c r="L980" s="286"/>
      <c r="M980" s="286"/>
      <c r="N980" s="286"/>
    </row>
    <row r="981">
      <c r="A981" s="286"/>
      <c r="B981" s="286"/>
      <c r="C981" s="286"/>
      <c r="D981" s="286"/>
      <c r="E981" s="306"/>
      <c r="F981" s="306"/>
      <c r="G981" s="286"/>
      <c r="H981" s="286"/>
      <c r="I981" s="286"/>
      <c r="J981" s="286"/>
      <c r="K981" s="286"/>
      <c r="L981" s="286"/>
      <c r="M981" s="286"/>
      <c r="N981" s="286"/>
    </row>
    <row r="982">
      <c r="A982" s="286"/>
      <c r="B982" s="286"/>
      <c r="C982" s="286"/>
      <c r="D982" s="286"/>
      <c r="E982" s="306"/>
      <c r="F982" s="306"/>
      <c r="G982" s="286"/>
      <c r="H982" s="286"/>
      <c r="I982" s="286"/>
      <c r="J982" s="286"/>
      <c r="K982" s="286"/>
      <c r="L982" s="286"/>
      <c r="M982" s="286"/>
      <c r="N982" s="286"/>
    </row>
    <row r="983">
      <c r="A983" s="286"/>
      <c r="B983" s="286"/>
      <c r="C983" s="286"/>
      <c r="D983" s="286"/>
      <c r="E983" s="306"/>
      <c r="F983" s="306"/>
      <c r="G983" s="286"/>
      <c r="H983" s="286"/>
      <c r="I983" s="286"/>
      <c r="J983" s="286"/>
      <c r="K983" s="286"/>
      <c r="L983" s="286"/>
      <c r="M983" s="286"/>
      <c r="N983" s="286"/>
    </row>
    <row r="984">
      <c r="A984" s="286"/>
      <c r="B984" s="286"/>
      <c r="C984" s="286"/>
      <c r="D984" s="286"/>
      <c r="E984" s="306"/>
      <c r="F984" s="306"/>
      <c r="G984" s="286"/>
      <c r="H984" s="286"/>
      <c r="I984" s="286"/>
      <c r="J984" s="286"/>
      <c r="K984" s="286"/>
      <c r="L984" s="286"/>
      <c r="M984" s="286"/>
      <c r="N984" s="286"/>
    </row>
    <row r="985">
      <c r="A985" s="286"/>
      <c r="B985" s="286"/>
      <c r="C985" s="286"/>
      <c r="D985" s="286"/>
      <c r="E985" s="306"/>
      <c r="F985" s="306"/>
      <c r="G985" s="286"/>
      <c r="H985" s="286"/>
      <c r="I985" s="286"/>
      <c r="J985" s="286"/>
      <c r="K985" s="286"/>
      <c r="L985" s="286"/>
      <c r="M985" s="286"/>
      <c r="N985" s="286"/>
    </row>
    <row r="986">
      <c r="A986" s="286"/>
      <c r="B986" s="286"/>
      <c r="C986" s="286"/>
      <c r="D986" s="286"/>
      <c r="E986" s="306"/>
      <c r="F986" s="306"/>
      <c r="G986" s="286"/>
      <c r="H986" s="286"/>
      <c r="I986" s="286"/>
      <c r="J986" s="286"/>
      <c r="K986" s="286"/>
      <c r="L986" s="286"/>
      <c r="M986" s="286"/>
      <c r="N986" s="286"/>
    </row>
    <row r="987">
      <c r="A987" s="286"/>
      <c r="B987" s="286"/>
      <c r="C987" s="286"/>
      <c r="D987" s="286"/>
      <c r="E987" s="306"/>
      <c r="F987" s="306"/>
      <c r="G987" s="286"/>
      <c r="H987" s="286"/>
      <c r="I987" s="286"/>
      <c r="J987" s="286"/>
      <c r="K987" s="286"/>
      <c r="L987" s="286"/>
      <c r="M987" s="286"/>
      <c r="N987" s="286"/>
    </row>
    <row r="988">
      <c r="A988" s="286"/>
      <c r="B988" s="286"/>
      <c r="C988" s="286"/>
      <c r="D988" s="286"/>
      <c r="E988" s="306"/>
      <c r="F988" s="306"/>
      <c r="G988" s="286"/>
      <c r="H988" s="286"/>
      <c r="I988" s="286"/>
      <c r="J988" s="286"/>
      <c r="K988" s="286"/>
      <c r="L988" s="286"/>
      <c r="M988" s="286"/>
      <c r="N988" s="286"/>
    </row>
    <row r="989">
      <c r="A989" s="286"/>
      <c r="B989" s="286"/>
      <c r="C989" s="286"/>
      <c r="D989" s="286"/>
      <c r="E989" s="306"/>
      <c r="F989" s="306"/>
      <c r="G989" s="286"/>
      <c r="H989" s="286"/>
      <c r="I989" s="286"/>
      <c r="J989" s="286"/>
      <c r="K989" s="286"/>
      <c r="L989" s="286"/>
      <c r="M989" s="286"/>
      <c r="N989" s="286"/>
    </row>
    <row r="990">
      <c r="A990" s="286"/>
      <c r="B990" s="286"/>
      <c r="C990" s="286"/>
      <c r="D990" s="286"/>
      <c r="E990" s="306"/>
      <c r="F990" s="306"/>
      <c r="G990" s="286"/>
      <c r="H990" s="286"/>
      <c r="I990" s="286"/>
      <c r="J990" s="286"/>
      <c r="K990" s="286"/>
      <c r="L990" s="286"/>
      <c r="M990" s="286"/>
      <c r="N990" s="286"/>
    </row>
    <row r="991">
      <c r="A991" s="286"/>
      <c r="B991" s="286"/>
      <c r="C991" s="286"/>
      <c r="D991" s="286"/>
      <c r="E991" s="306"/>
      <c r="F991" s="306"/>
      <c r="G991" s="286"/>
      <c r="H991" s="286"/>
      <c r="I991" s="286"/>
      <c r="J991" s="286"/>
      <c r="K991" s="286"/>
      <c r="L991" s="286"/>
      <c r="M991" s="286"/>
      <c r="N991" s="286"/>
    </row>
    <row r="992">
      <c r="A992" s="286"/>
      <c r="B992" s="286"/>
      <c r="C992" s="286"/>
      <c r="D992" s="286"/>
      <c r="E992" s="306"/>
      <c r="F992" s="306"/>
      <c r="G992" s="286"/>
      <c r="H992" s="286"/>
      <c r="I992" s="286"/>
      <c r="J992" s="286"/>
      <c r="K992" s="286"/>
      <c r="L992" s="286"/>
      <c r="M992" s="286"/>
      <c r="N992" s="286"/>
    </row>
    <row r="993">
      <c r="A993" s="286"/>
      <c r="B993" s="286"/>
      <c r="C993" s="286"/>
      <c r="D993" s="286"/>
      <c r="E993" s="306"/>
      <c r="F993" s="306"/>
      <c r="G993" s="286"/>
      <c r="H993" s="286"/>
      <c r="I993" s="286"/>
      <c r="J993" s="286"/>
      <c r="K993" s="286"/>
      <c r="L993" s="286"/>
      <c r="M993" s="286"/>
      <c r="N993" s="286"/>
    </row>
    <row r="994">
      <c r="A994" s="286"/>
      <c r="B994" s="286"/>
      <c r="C994" s="286"/>
      <c r="D994" s="286"/>
      <c r="E994" s="306"/>
      <c r="F994" s="306"/>
      <c r="G994" s="286"/>
      <c r="H994" s="286"/>
      <c r="I994" s="286"/>
      <c r="J994" s="286"/>
      <c r="K994" s="286"/>
      <c r="L994" s="286"/>
      <c r="M994" s="286"/>
      <c r="N994" s="286"/>
    </row>
    <row r="995">
      <c r="A995" s="286"/>
      <c r="B995" s="286"/>
      <c r="C995" s="286"/>
      <c r="D995" s="286"/>
      <c r="E995" s="306"/>
      <c r="F995" s="306"/>
      <c r="G995" s="286"/>
      <c r="H995" s="286"/>
      <c r="I995" s="286"/>
      <c r="J995" s="286"/>
      <c r="K995" s="286"/>
      <c r="L995" s="286"/>
      <c r="M995" s="286"/>
      <c r="N995" s="286"/>
    </row>
    <row r="996">
      <c r="A996" s="286"/>
      <c r="B996" s="286"/>
      <c r="C996" s="286"/>
      <c r="D996" s="286"/>
      <c r="E996" s="306"/>
      <c r="F996" s="306"/>
      <c r="G996" s="286"/>
      <c r="H996" s="286"/>
      <c r="I996" s="286"/>
      <c r="J996" s="286"/>
      <c r="K996" s="286"/>
      <c r="L996" s="286"/>
      <c r="M996" s="286"/>
      <c r="N996" s="286"/>
    </row>
    <row r="997">
      <c r="A997" s="286"/>
      <c r="B997" s="286"/>
      <c r="C997" s="286"/>
      <c r="D997" s="286"/>
      <c r="E997" s="306"/>
      <c r="F997" s="306"/>
      <c r="G997" s="286"/>
      <c r="H997" s="286"/>
      <c r="I997" s="286"/>
      <c r="J997" s="286"/>
      <c r="K997" s="286"/>
      <c r="L997" s="286"/>
      <c r="M997" s="286"/>
      <c r="N997" s="286"/>
    </row>
    <row r="998">
      <c r="A998" s="286"/>
      <c r="B998" s="286"/>
      <c r="C998" s="286"/>
      <c r="D998" s="286"/>
      <c r="E998" s="306"/>
      <c r="F998" s="306"/>
      <c r="G998" s="286"/>
      <c r="H998" s="286"/>
      <c r="I998" s="286"/>
      <c r="J998" s="286"/>
      <c r="K998" s="286"/>
      <c r="L998" s="286"/>
      <c r="M998" s="286"/>
      <c r="N998" s="286"/>
    </row>
    <row r="999">
      <c r="A999" s="286"/>
      <c r="B999" s="286"/>
      <c r="C999" s="286"/>
      <c r="D999" s="286"/>
      <c r="E999" s="306"/>
      <c r="F999" s="306"/>
      <c r="G999" s="286"/>
      <c r="H999" s="286"/>
      <c r="I999" s="286"/>
      <c r="J999" s="286"/>
      <c r="K999" s="286"/>
      <c r="L999" s="286"/>
      <c r="M999" s="286"/>
      <c r="N999" s="286"/>
    </row>
    <row r="1000">
      <c r="A1000" s="286"/>
      <c r="B1000" s="286"/>
      <c r="C1000" s="286"/>
      <c r="D1000" s="286"/>
      <c r="E1000" s="306"/>
      <c r="F1000" s="306"/>
      <c r="G1000" s="286"/>
      <c r="H1000" s="286"/>
      <c r="I1000" s="286"/>
      <c r="J1000" s="286"/>
      <c r="K1000" s="286"/>
      <c r="L1000" s="286"/>
      <c r="M1000" s="286"/>
      <c r="N1000" s="286"/>
    </row>
    <row r="1001">
      <c r="A1001" s="286"/>
      <c r="B1001" s="286"/>
      <c r="C1001" s="286"/>
      <c r="D1001" s="286"/>
      <c r="E1001" s="306"/>
      <c r="F1001" s="306"/>
      <c r="G1001" s="286"/>
      <c r="H1001" s="286"/>
      <c r="I1001" s="286"/>
      <c r="J1001" s="286"/>
      <c r="K1001" s="286"/>
      <c r="L1001" s="286"/>
      <c r="M1001" s="286"/>
      <c r="N1001" s="286"/>
    </row>
    <row r="1002">
      <c r="A1002" s="286"/>
      <c r="B1002" s="286"/>
      <c r="C1002" s="286"/>
      <c r="D1002" s="286"/>
      <c r="E1002" s="306"/>
      <c r="F1002" s="306"/>
      <c r="G1002" s="286"/>
      <c r="H1002" s="286"/>
      <c r="I1002" s="286"/>
      <c r="J1002" s="286"/>
      <c r="K1002" s="286"/>
      <c r="L1002" s="286"/>
      <c r="M1002" s="286"/>
      <c r="N1002" s="286"/>
    </row>
    <row r="1003">
      <c r="A1003" s="286"/>
      <c r="B1003" s="286"/>
      <c r="C1003" s="286"/>
      <c r="D1003" s="286"/>
      <c r="E1003" s="306"/>
      <c r="F1003" s="306"/>
      <c r="G1003" s="286"/>
      <c r="H1003" s="286"/>
      <c r="I1003" s="286"/>
      <c r="J1003" s="286"/>
      <c r="K1003" s="286"/>
      <c r="L1003" s="286"/>
      <c r="M1003" s="286"/>
      <c r="N1003" s="286"/>
    </row>
    <row r="1004">
      <c r="A1004" s="286"/>
      <c r="B1004" s="286"/>
      <c r="C1004" s="286"/>
      <c r="D1004" s="286"/>
      <c r="E1004" s="306"/>
      <c r="F1004" s="306"/>
      <c r="G1004" s="286"/>
      <c r="H1004" s="286"/>
      <c r="I1004" s="286"/>
      <c r="J1004" s="286"/>
      <c r="K1004" s="286"/>
      <c r="L1004" s="286"/>
      <c r="M1004" s="286"/>
      <c r="N1004" s="286"/>
    </row>
    <row r="1005">
      <c r="A1005" s="286"/>
      <c r="B1005" s="286"/>
      <c r="C1005" s="286"/>
      <c r="D1005" s="286"/>
      <c r="E1005" s="306"/>
      <c r="F1005" s="306"/>
      <c r="G1005" s="286"/>
      <c r="H1005" s="286"/>
      <c r="I1005" s="286"/>
      <c r="J1005" s="286"/>
      <c r="K1005" s="286"/>
      <c r="L1005" s="286"/>
      <c r="M1005" s="286"/>
      <c r="N1005" s="286"/>
    </row>
    <row r="1006">
      <c r="A1006" s="286"/>
      <c r="B1006" s="286"/>
      <c r="C1006" s="286"/>
      <c r="D1006" s="286"/>
      <c r="E1006" s="306"/>
      <c r="F1006" s="306"/>
      <c r="G1006" s="286"/>
      <c r="H1006" s="286"/>
      <c r="I1006" s="286"/>
      <c r="J1006" s="286"/>
      <c r="K1006" s="286"/>
      <c r="L1006" s="286"/>
      <c r="M1006" s="286"/>
      <c r="N1006" s="286"/>
    </row>
    <row r="1007">
      <c r="A1007" s="286"/>
      <c r="B1007" s="286"/>
      <c r="C1007" s="286"/>
      <c r="D1007" s="286"/>
      <c r="E1007" s="306"/>
      <c r="F1007" s="306"/>
      <c r="G1007" s="286"/>
      <c r="H1007" s="286"/>
      <c r="I1007" s="286"/>
      <c r="J1007" s="286"/>
      <c r="K1007" s="286"/>
      <c r="L1007" s="286"/>
      <c r="M1007" s="286"/>
      <c r="N1007" s="286"/>
    </row>
    <row r="1008">
      <c r="A1008" s="286"/>
      <c r="B1008" s="286"/>
      <c r="C1008" s="286"/>
      <c r="D1008" s="286"/>
      <c r="E1008" s="306"/>
      <c r="F1008" s="306"/>
      <c r="G1008" s="286"/>
      <c r="H1008" s="286"/>
      <c r="I1008" s="286"/>
      <c r="J1008" s="286"/>
      <c r="K1008" s="286"/>
      <c r="L1008" s="286"/>
      <c r="M1008" s="286"/>
      <c r="N1008" s="286"/>
    </row>
    <row r="1009">
      <c r="A1009" s="286"/>
      <c r="B1009" s="286"/>
      <c r="C1009" s="286"/>
      <c r="D1009" s="286"/>
      <c r="E1009" s="306"/>
      <c r="F1009" s="306"/>
      <c r="G1009" s="286"/>
      <c r="H1009" s="286"/>
      <c r="I1009" s="286"/>
      <c r="J1009" s="286"/>
      <c r="K1009" s="286"/>
      <c r="L1009" s="286"/>
      <c r="M1009" s="286"/>
      <c r="N1009" s="286"/>
    </row>
    <row r="1010">
      <c r="A1010" s="286"/>
      <c r="B1010" s="286"/>
      <c r="C1010" s="286"/>
      <c r="D1010" s="286"/>
      <c r="E1010" s="306"/>
      <c r="F1010" s="306"/>
      <c r="G1010" s="286"/>
      <c r="H1010" s="286"/>
      <c r="I1010" s="286"/>
      <c r="J1010" s="286"/>
      <c r="K1010" s="286"/>
      <c r="L1010" s="286"/>
      <c r="M1010" s="286"/>
      <c r="N1010" s="286"/>
    </row>
    <row r="1011">
      <c r="A1011" s="286"/>
      <c r="B1011" s="286"/>
      <c r="C1011" s="286"/>
      <c r="D1011" s="286"/>
      <c r="E1011" s="306"/>
      <c r="F1011" s="306"/>
      <c r="G1011" s="286"/>
      <c r="H1011" s="286"/>
      <c r="I1011" s="286"/>
      <c r="J1011" s="286"/>
      <c r="K1011" s="286"/>
      <c r="L1011" s="286"/>
      <c r="M1011" s="286"/>
      <c r="N1011" s="286"/>
    </row>
  </sheetData>
  <mergeCells count="30">
    <mergeCell ref="F3:F4"/>
    <mergeCell ref="G3:G4"/>
    <mergeCell ref="E6:E7"/>
    <mergeCell ref="F6:F7"/>
    <mergeCell ref="G6:G7"/>
    <mergeCell ref="I3:J3"/>
    <mergeCell ref="K3:L3"/>
    <mergeCell ref="I4:J5"/>
    <mergeCell ref="K4:L5"/>
    <mergeCell ref="I2:L2"/>
    <mergeCell ref="I6:L6"/>
    <mergeCell ref="A1:C1"/>
    <mergeCell ref="E1:G1"/>
    <mergeCell ref="I1:L1"/>
    <mergeCell ref="A2:B2"/>
    <mergeCell ref="A3:B4"/>
    <mergeCell ref="E3:E4"/>
    <mergeCell ref="A5:B6"/>
    <mergeCell ref="K7:L8"/>
    <mergeCell ref="I9:L9"/>
    <mergeCell ref="I10:J11"/>
    <mergeCell ref="K10:L11"/>
    <mergeCell ref="A7:B8"/>
    <mergeCell ref="I7:J8"/>
    <mergeCell ref="E8:G8"/>
    <mergeCell ref="A9:B10"/>
    <mergeCell ref="E9:E10"/>
    <mergeCell ref="F9:F10"/>
    <mergeCell ref="G9:G10"/>
    <mergeCell ref="A11:B12"/>
  </mergeCells>
  <dataValidations>
    <dataValidation type="list" allowBlank="1" showErrorMessage="1" sqref="A15:A60">
      <formula1>"MEGA,MACRO,MICRO,NANO"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22.38"/>
    <col customWidth="1" min="7" max="7" width="15.88"/>
    <col customWidth="1" min="8" max="8" width="26.38"/>
    <col customWidth="1" min="10" max="10" width="19.38"/>
    <col customWidth="1" min="12" max="12" width="19.25"/>
  </cols>
  <sheetData>
    <row r="1">
      <c r="A1" s="323" t="s">
        <v>455</v>
      </c>
      <c r="B1" s="214"/>
      <c r="C1" s="214"/>
      <c r="D1" s="215"/>
      <c r="E1" s="284" t="s">
        <v>328</v>
      </c>
      <c r="F1" s="214"/>
      <c r="G1" s="214"/>
      <c r="H1" s="216"/>
      <c r="J1" s="217" t="s">
        <v>456</v>
      </c>
      <c r="K1" s="214"/>
      <c r="L1" s="214"/>
      <c r="M1" s="216"/>
      <c r="R1" s="218"/>
      <c r="S1" s="218"/>
      <c r="T1" s="218"/>
      <c r="U1" s="218"/>
    </row>
    <row r="2">
      <c r="A2" s="324" t="s">
        <v>457</v>
      </c>
      <c r="B2" s="220"/>
      <c r="C2" s="324" t="s">
        <v>455</v>
      </c>
      <c r="D2" s="215"/>
      <c r="E2" s="325" t="s">
        <v>327</v>
      </c>
      <c r="F2" s="214"/>
      <c r="G2" s="214"/>
      <c r="H2" s="216"/>
      <c r="J2" s="222" t="s">
        <v>458</v>
      </c>
      <c r="K2" s="214"/>
      <c r="L2" s="214"/>
      <c r="M2" s="216"/>
      <c r="R2" s="218"/>
      <c r="S2" s="218"/>
      <c r="T2" s="218"/>
      <c r="U2" s="218"/>
    </row>
    <row r="3">
      <c r="A3" s="326">
        <v>1.0</v>
      </c>
      <c r="B3" s="224"/>
      <c r="C3" s="327">
        <v>1.0</v>
      </c>
      <c r="D3" s="215"/>
      <c r="E3" s="299">
        <f>Maindata!I3</f>
        <v>1000000000</v>
      </c>
      <c r="F3" s="227"/>
      <c r="G3" s="227"/>
      <c r="H3" s="228"/>
      <c r="J3" s="229" t="s">
        <v>459</v>
      </c>
      <c r="K3" s="216"/>
      <c r="L3" s="230" t="s">
        <v>460</v>
      </c>
      <c r="M3" s="216"/>
      <c r="R3" s="218"/>
      <c r="S3" s="218"/>
      <c r="T3" s="218"/>
      <c r="U3" s="218"/>
    </row>
    <row r="4">
      <c r="A4" s="231"/>
      <c r="B4" s="220"/>
      <c r="C4" s="327">
        <v>2.0</v>
      </c>
      <c r="D4" s="215"/>
      <c r="E4" s="232"/>
      <c r="F4" s="233"/>
      <c r="G4" s="233"/>
      <c r="H4" s="234"/>
      <c r="J4" s="235">
        <f>IFERROR(__xludf.DUMMYFUNCTION("IMPORTRANGE(""https://docs.google.com/spreadsheets/d/1XGHyffJQ7KjI292zt5QVK_1XTfEMh_HDpl_2BHAzd4c/edit?gid=1335890585#gid=1335890585"",""OMG Skincare!H16"")        "),7680000.0)</f>
        <v>7680000</v>
      </c>
      <c r="K4" s="228"/>
      <c r="L4" s="226">
        <f>IFERROR(__xludf.DUMMYFUNCTION("IMPORTRANGE(""https://docs.google.com/spreadsheets/d/1XGHyffJQ7KjI292zt5QVK_1XTfEMh_HDpl_2BHAzd4c/edit?gid=1335890585#gid=1335890585"",""OMG Skincare!H21"")        "),2.732E7)</f>
        <v>27320000</v>
      </c>
      <c r="M4" s="228"/>
      <c r="R4" s="218"/>
      <c r="S4" s="218"/>
      <c r="T4" s="218"/>
      <c r="U4" s="218"/>
    </row>
    <row r="5">
      <c r="A5" s="328">
        <v>2.0</v>
      </c>
      <c r="B5" s="224"/>
      <c r="C5" s="327">
        <v>1.0</v>
      </c>
      <c r="D5" s="215"/>
      <c r="E5" s="329" t="s">
        <v>461</v>
      </c>
      <c r="F5" s="214"/>
      <c r="G5" s="214"/>
      <c r="H5" s="216"/>
      <c r="J5" s="232"/>
      <c r="K5" s="234"/>
      <c r="L5" s="232"/>
      <c r="M5" s="234"/>
      <c r="R5" s="218"/>
      <c r="S5" s="218"/>
      <c r="T5" s="218"/>
      <c r="U5" s="218"/>
    </row>
    <row r="6">
      <c r="A6" s="231"/>
      <c r="B6" s="220"/>
      <c r="C6" s="327">
        <v>2.0</v>
      </c>
      <c r="D6" s="215"/>
      <c r="E6" s="299">
        <f>SUM(R17:U250)</f>
        <v>770326405.6</v>
      </c>
      <c r="F6" s="227"/>
      <c r="G6" s="227"/>
      <c r="H6" s="228"/>
      <c r="J6" s="238" t="s">
        <v>462</v>
      </c>
      <c r="K6" s="214"/>
      <c r="L6" s="214"/>
      <c r="M6" s="216"/>
      <c r="R6" s="218"/>
      <c r="S6" s="218"/>
      <c r="T6" s="218"/>
      <c r="U6" s="218"/>
    </row>
    <row r="7">
      <c r="A7" s="328">
        <v>3.0</v>
      </c>
      <c r="B7" s="224"/>
      <c r="C7" s="327">
        <v>1.0</v>
      </c>
      <c r="D7" s="215"/>
      <c r="E7" s="232"/>
      <c r="F7" s="233"/>
      <c r="G7" s="233"/>
      <c r="H7" s="234"/>
      <c r="J7" s="235">
        <f>IFERROR(__xludf.DUMMYFUNCTION("IMPORTRANGE(""https://docs.google.com/spreadsheets/d/1XGHyffJQ7KjI292zt5QVK_1XTfEMh_HDpl_2BHAzd4c/edit?gid=1335890585#gid=1335890585"",""OMG Skincare!H4"")"),6690000.0)</f>
        <v>6690000</v>
      </c>
      <c r="K7" s="228"/>
      <c r="L7" s="226">
        <f>IFERROR(__xludf.DUMMYFUNCTION("IMPORTRANGE(""https://docs.google.com/spreadsheets/d/1XGHyffJQ7KjI292zt5QVK_1XTfEMh_HDpl_2BHAzd4c/edit?gid=1335890585#gid=1335890585"",""OMG Skincare!K4"")        "),2.432E7)</f>
        <v>24320000</v>
      </c>
      <c r="M7" s="228"/>
      <c r="R7" s="218"/>
      <c r="S7" s="218"/>
      <c r="T7" s="218"/>
      <c r="U7" s="218"/>
    </row>
    <row r="8">
      <c r="A8" s="231"/>
      <c r="B8" s="220"/>
      <c r="C8" s="327">
        <v>2.0</v>
      </c>
      <c r="D8" s="215"/>
      <c r="E8" s="325" t="s">
        <v>329</v>
      </c>
      <c r="F8" s="214"/>
      <c r="G8" s="214"/>
      <c r="H8" s="216"/>
      <c r="J8" s="232"/>
      <c r="K8" s="234"/>
      <c r="L8" s="232"/>
      <c r="M8" s="234"/>
      <c r="R8" s="218"/>
      <c r="S8" s="218"/>
      <c r="T8" s="218"/>
      <c r="U8" s="218"/>
    </row>
    <row r="9">
      <c r="A9" s="328">
        <v>4.0</v>
      </c>
      <c r="B9" s="224"/>
      <c r="C9" s="327">
        <v>1.0</v>
      </c>
      <c r="D9" s="215"/>
      <c r="E9" s="330">
        <f>E6/E3</f>
        <v>0.7703264056</v>
      </c>
      <c r="F9" s="227"/>
      <c r="G9" s="227"/>
      <c r="H9" s="228"/>
      <c r="J9" s="241" t="s">
        <v>463</v>
      </c>
      <c r="K9" s="214"/>
      <c r="L9" s="214"/>
      <c r="M9" s="216"/>
      <c r="R9" s="218"/>
      <c r="S9" s="218"/>
      <c r="T9" s="218"/>
      <c r="U9" s="218"/>
    </row>
    <row r="10">
      <c r="A10" s="231"/>
      <c r="B10" s="220"/>
      <c r="C10" s="327">
        <v>2.0</v>
      </c>
      <c r="D10" s="215"/>
      <c r="E10" s="232"/>
      <c r="F10" s="233"/>
      <c r="G10" s="233"/>
      <c r="H10" s="234"/>
      <c r="J10" s="235">
        <f>J4-J7</f>
        <v>990000</v>
      </c>
      <c r="K10" s="228"/>
      <c r="L10" s="226">
        <f>L4-L7</f>
        <v>3000000</v>
      </c>
      <c r="M10" s="228"/>
      <c r="R10" s="218"/>
      <c r="S10" s="218"/>
      <c r="T10" s="218"/>
      <c r="U10" s="218"/>
    </row>
    <row r="11">
      <c r="A11" s="328">
        <v>5.0</v>
      </c>
      <c r="B11" s="224"/>
      <c r="C11" s="327">
        <v>1.0</v>
      </c>
      <c r="D11" s="215"/>
      <c r="E11" s="215"/>
      <c r="G11" s="3"/>
      <c r="J11" s="232"/>
      <c r="K11" s="234"/>
      <c r="L11" s="232"/>
      <c r="M11" s="234"/>
      <c r="R11" s="218"/>
      <c r="S11" s="218"/>
      <c r="T11" s="218"/>
      <c r="U11" s="218"/>
    </row>
    <row r="12">
      <c r="A12" s="231"/>
      <c r="B12" s="220"/>
      <c r="C12" s="327">
        <v>2.0</v>
      </c>
      <c r="D12" s="215"/>
      <c r="E12" s="215"/>
      <c r="G12" s="3"/>
      <c r="J12" s="215"/>
      <c r="K12" s="242"/>
      <c r="L12" s="243"/>
      <c r="M12" s="243"/>
      <c r="P12" s="243"/>
      <c r="Q12" s="243"/>
      <c r="R12" s="244"/>
      <c r="S12" s="244"/>
      <c r="T12" s="244"/>
      <c r="U12" s="244"/>
    </row>
    <row r="13">
      <c r="A13" s="215"/>
      <c r="B13" s="215"/>
      <c r="C13" s="242"/>
      <c r="D13" s="215"/>
      <c r="E13" s="215"/>
      <c r="G13" s="3"/>
      <c r="K13" s="242"/>
      <c r="L13" s="215"/>
      <c r="M13" s="242"/>
      <c r="N13" s="243"/>
      <c r="O13" s="243"/>
      <c r="P13" s="243"/>
      <c r="Q13" s="243"/>
      <c r="R13" s="244"/>
      <c r="S13" s="244"/>
      <c r="T13" s="244"/>
      <c r="U13" s="244"/>
    </row>
    <row r="14">
      <c r="A14" s="245"/>
      <c r="B14" s="245"/>
      <c r="C14" s="12"/>
      <c r="G14" s="3"/>
      <c r="K14" s="12"/>
      <c r="L14" s="243"/>
      <c r="M14" s="243"/>
      <c r="N14" s="243"/>
      <c r="O14" s="243"/>
      <c r="P14" s="243"/>
      <c r="Q14" s="243"/>
      <c r="R14" s="244"/>
      <c r="S14" s="244"/>
      <c r="T14" s="244"/>
      <c r="U14" s="244"/>
    </row>
    <row r="15">
      <c r="A15" s="246"/>
      <c r="B15" s="246"/>
      <c r="C15" s="247"/>
      <c r="D15" s="246"/>
      <c r="E15" s="246"/>
      <c r="F15" s="246"/>
      <c r="G15" s="331"/>
      <c r="H15" s="246"/>
      <c r="I15" s="246"/>
      <c r="J15" s="246"/>
      <c r="K15" s="247"/>
      <c r="L15" s="246"/>
      <c r="M15" s="247"/>
      <c r="N15" s="246"/>
      <c r="O15" s="246"/>
      <c r="P15" s="246"/>
      <c r="Q15" s="246"/>
      <c r="R15" s="248" t="s">
        <v>464</v>
      </c>
      <c r="S15" s="249"/>
      <c r="T15" s="248" t="s">
        <v>465</v>
      </c>
      <c r="U15" s="249"/>
    </row>
    <row r="16">
      <c r="A16" s="250" t="s">
        <v>466</v>
      </c>
      <c r="B16" s="250" t="s">
        <v>467</v>
      </c>
      <c r="C16" s="251" t="s">
        <v>468</v>
      </c>
      <c r="D16" s="252" t="s">
        <v>469</v>
      </c>
      <c r="E16" s="253" t="s">
        <v>470</v>
      </c>
      <c r="F16" s="251" t="s">
        <v>471</v>
      </c>
      <c r="G16" s="332" t="s">
        <v>484</v>
      </c>
      <c r="H16" s="251" t="s">
        <v>457</v>
      </c>
      <c r="I16" s="254" t="s">
        <v>472</v>
      </c>
      <c r="J16" s="251" t="s">
        <v>455</v>
      </c>
      <c r="K16" s="251" t="s">
        <v>473</v>
      </c>
      <c r="L16" s="251" t="s">
        <v>455</v>
      </c>
      <c r="M16" s="251" t="s">
        <v>474</v>
      </c>
      <c r="N16" s="251" t="s">
        <v>455</v>
      </c>
      <c r="O16" s="251" t="s">
        <v>475</v>
      </c>
      <c r="P16" s="251" t="s">
        <v>455</v>
      </c>
      <c r="Q16" s="251" t="s">
        <v>476</v>
      </c>
      <c r="R16" s="248" t="s">
        <v>427</v>
      </c>
      <c r="S16" s="248" t="s">
        <v>477</v>
      </c>
      <c r="T16" s="248" t="s">
        <v>427</v>
      </c>
      <c r="U16" s="248" t="s">
        <v>477</v>
      </c>
    </row>
    <row r="17">
      <c r="A17" s="255" t="str">
        <f>IFERROR(__xludf.DUMMYFUNCTION("QUERY(IMPORTRANGE(""https://docs.google.com/spreadsheets/d/10wdjc5GKQIqHka9D7QGq1b4WkRuVqG0ylA8lw57ns-I/edit?usp=sharing"", ""OMG SKINCARE!A3:AB""), ""SELECT Col1, Col2, Col3, Col4, Col5, Col6, Col10, Col11, Col16, Col17, Col18, Col19, Col20, Col21, Col22"&amp;", Col23, Col24, Col25, Col26, Col27, Col28 WHERE Col12 = 'Approved'"")"),"NANO")</f>
        <v>NANO</v>
      </c>
      <c r="B17" s="256" t="str">
        <f>IFERROR(__xludf.DUMMYFUNCTION("""COMPUTED_VALUE"""),"arnilawati")</f>
        <v>arnilawati</v>
      </c>
      <c r="C17" s="281" t="str">
        <f>IFERROR(__xludf.DUMMYFUNCTION("""COMPUTED_VALUE"""),"https://www.tiktok.com/@arnilawati")</f>
        <v>https://www.tiktok.com/@arnilawati</v>
      </c>
      <c r="D17" s="25">
        <f>IFERROR(__xludf.DUMMYFUNCTION("""COMPUTED_VALUE"""),8.2188059466E10)</f>
        <v>82188059466</v>
      </c>
      <c r="E17" s="258">
        <f>IFERROR(__xludf.DUMMYFUNCTION("""COMPUTED_VALUE"""),150000.0)</f>
        <v>150000</v>
      </c>
      <c r="F17" s="25">
        <f>IFERROR(__xludf.DUMMYFUNCTION("""COMPUTED_VALUE"""),4.0)</f>
        <v>4</v>
      </c>
      <c r="G17" s="59" t="str">
        <f>IFERROR(__xludf.DUMMYFUNCTION("""COMPUTED_VALUE"""),"Rp4,1JT")</f>
        <v>Rp4,1JT</v>
      </c>
      <c r="H17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17" s="260" t="str">
        <f>IFERROR(__xludf.DUMMYFUNCTION("""COMPUTED_VALUE"""),"Sampai")</f>
        <v>Sampai</v>
      </c>
      <c r="J17" s="333" t="str">
        <f>IFERROR(__xludf.DUMMYFUNCTION("""COMPUTED_VALUE"""),"Concept 3")</f>
        <v>Concept 3</v>
      </c>
      <c r="K17" s="278" t="str">
        <f>IFERROR(__xludf.DUMMYFUNCTION("""COMPUTED_VALUE"""),"https://vt.tiktok.com/ZSmBLpaBx/")</f>
        <v>https://vt.tiktok.com/ZSmBLpaBx/</v>
      </c>
      <c r="L17" s="333" t="str">
        <f>IFERROR(__xludf.DUMMYFUNCTION("""COMPUTED_VALUE"""),"Concept 3")</f>
        <v>Concept 3</v>
      </c>
      <c r="M17" s="278" t="str">
        <f>IFERROR(__xludf.DUMMYFUNCTION("""COMPUTED_VALUE"""),"https://vt.tiktok.com/ZSmBLWkCc/")</f>
        <v>https://vt.tiktok.com/ZSmBLWkCc/</v>
      </c>
      <c r="N17" s="333" t="str">
        <f>IFERROR(__xludf.DUMMYFUNCTION("""COMPUTED_VALUE"""),"Concept 3")</f>
        <v>Concept 3</v>
      </c>
      <c r="O17" s="279" t="str">
        <f>IFERROR(__xludf.DUMMYFUNCTION("""COMPUTED_VALUE"""),"https://www.tiktok.com/@arnillawati/video/7607349199042022677?_r=1&amp;u_code=118ekm6ha&amp;region=&amp;mid=7576002677943831328&amp;preview_pb=0&amp;sharer_language=&amp;_d=0&amp;ec_shared_reflux_dynamic_params=%7B%22placeholder_material_id%22%3A%227607349199042022677%22%2C%22placeh"&amp;"older_origin_cover%22%3A%22https%253A%252F%252Fp16-sign-sg.tiktokcdn.com%252Ftos-alisg-p-0037%252FocBATprB4QuEEcFRtuQCfuAUndgfSLvluckQ6D~tplv-tiktokx-origin.jpeg%253Fdr%253D14572%2526refresh_token%253De63f14a5%2526x-expires%253D1803031200%2526x-signature%"&amp;"253DLI%25252F5IW3W63H7aklw1kDm76WRfnc%25253D%2526t%253D4d5b0474%2526ps%253D13740610%2526shp%253Dd05b14bd%2526shcp%253D34ff8df6%2526idc%253Dmy%2526s%253DTIKTOK_AFFILIATE_VIRAL_VIDEO%22%2C%22placeholder_product_id%22%3A%221729991116494375315%22%2C%22placeho"&amp;"lder_video_id%22%3A%227607349199042022677%22%7D&amp;ec_shared_reflux_scene=shop_tab_feed&amp;share_item_id=7607349199042022677&amp;source=h5_t")</f>
        <v>https://www.tiktok.com/@arnillawati/video/7607349199042022677?_r=1&amp;u_code=118ekm6ha&amp;region=&amp;mid=7576002677943831328&amp;preview_pb=0&amp;sharer_language=&amp;_d=0&amp;ec_shared_reflux_dynamic_params=%7B%22placeholder_material_id%22%3A%227607349199042022677%22%2C%22placeholder_origin_cover%22%3A%22https%253A%252F%252Fp16-sign-sg.tiktokcdn.com%252Ftos-alisg-p-0037%252FocBATprB4QuEEcFRtuQCfuAUndgfSLvluckQ6D~tplv-tiktokx-origin.jpeg%253Fdr%253D14572%2526refresh_token%253De63f14a5%2526x-expires%253D1803031200%2526x-signature%253DLI%25252F5IW3W63H7aklw1kDm76WRfnc%25253D%2526t%253D4d5b0474%2526ps%253D13740610%2526shp%253Dd05b14bd%2526shcp%253D34ff8df6%2526idc%253Dmy%2526s%253DTIKTOK_AFFILIATE_VIRAL_VIDEO%22%2C%22placeholder_product_id%22%3A%221729991116494375315%22%2C%22placeholder_video_id%22%3A%227607349199042022677%22%7D&amp;ec_shared_reflux_scene=shop_tab_feed&amp;share_item_id=7607349199042022677&amp;source=h5_t</v>
      </c>
      <c r="P17" s="333" t="str">
        <f>IFERROR(__xludf.DUMMYFUNCTION("""COMPUTED_VALUE"""),"Concept 3")</f>
        <v>Concept 3</v>
      </c>
      <c r="Q17" s="279" t="str">
        <f>IFERROR(__xludf.DUMMYFUNCTION("""COMPUTED_VALUE"""),"https://vt.tiktok.com/ZSuA2QRNB/")</f>
        <v>https://vt.tiktok.com/ZSuA2QRNB/</v>
      </c>
      <c r="R17" s="77">
        <f>IFERROR(__xludf.DUMMYFUNCTION("""COMPUTED_VALUE"""),0.0)</f>
        <v>0</v>
      </c>
      <c r="S17" s="77">
        <f>IFERROR(__xludf.DUMMYFUNCTION("""COMPUTED_VALUE"""),0.0)</f>
        <v>0</v>
      </c>
      <c r="T17" s="77">
        <f>IFERROR(__xludf.DUMMYFUNCTION("""COMPUTED_VALUE"""),3.4475344919999994E7)</f>
        <v>34475344.92</v>
      </c>
      <c r="U17" s="77">
        <f>IFERROR(__xludf.DUMMYFUNCTION("""COMPUTED_VALUE"""),0.0)</f>
        <v>0</v>
      </c>
    </row>
    <row r="18">
      <c r="A18" s="255" t="str">
        <f>IFERROR(__xludf.DUMMYFUNCTION("""COMPUTED_VALUE"""),"MICRO")</f>
        <v>MICRO</v>
      </c>
      <c r="B18" s="256" t="str">
        <f>IFERROR(__xludf.DUMMYFUNCTION("""COMPUTED_VALUE"""),"ekbardiary")</f>
        <v>ekbardiary</v>
      </c>
      <c r="C18" s="281" t="str">
        <f>IFERROR(__xludf.DUMMYFUNCTION("""COMPUTED_VALUE"""),"https://www.tiktok.com/@ekbardiary")</f>
        <v>https://www.tiktok.com/@ekbardiary</v>
      </c>
      <c r="D18" s="25">
        <f>IFERROR(__xludf.DUMMYFUNCTION("""COMPUTED_VALUE"""),8.2118716575E10)</f>
        <v>82118716575</v>
      </c>
      <c r="E18" s="258">
        <f>IFERROR(__xludf.DUMMYFUNCTION("""COMPUTED_VALUE"""),500000.0)</f>
        <v>500000</v>
      </c>
      <c r="F18" s="25">
        <f>IFERROR(__xludf.DUMMYFUNCTION("""COMPUTED_VALUE"""),1.0)</f>
        <v>1</v>
      </c>
      <c r="G18" s="59" t="str">
        <f>IFERROR(__xludf.DUMMYFUNCTION("""COMPUTED_VALUE"""),"Rp1JT+")</f>
        <v>Rp1JT+</v>
      </c>
      <c r="H18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18" s="260" t="str">
        <f>IFERROR(__xludf.DUMMYFUNCTION("""COMPUTED_VALUE"""),"Sampai")</f>
        <v>Sampai</v>
      </c>
      <c r="J18" s="333" t="str">
        <f>IFERROR(__xludf.DUMMYFUNCTION("""COMPUTED_VALUE"""),"Concept 2")</f>
        <v>Concept 2</v>
      </c>
      <c r="K18" s="278" t="str">
        <f>IFERROR(__xludf.DUMMYFUNCTION("""COMPUTED_VALUE"""),"https://vt.tiktok.com/ZSagQogg4/")</f>
        <v>https://vt.tiktok.com/ZSagQogg4/</v>
      </c>
      <c r="L18" s="333"/>
      <c r="M18" s="262"/>
      <c r="N18" s="333"/>
      <c r="O18" s="17"/>
      <c r="P18" s="333"/>
      <c r="Q18" s="17"/>
      <c r="R18" s="77">
        <f>IFERROR(__xludf.DUMMYFUNCTION("""COMPUTED_VALUE"""),65750.0)</f>
        <v>65750</v>
      </c>
      <c r="S18" s="77">
        <f>IFERROR(__xludf.DUMMYFUNCTION("""COMPUTED_VALUE"""),0.0)</f>
        <v>0</v>
      </c>
      <c r="T18" s="63">
        <f>IFERROR(__xludf.DUMMYFUNCTION("""COMPUTED_VALUE"""),3.3544433810000002E7)</f>
        <v>33544433.81</v>
      </c>
      <c r="U18" s="63">
        <f>IFERROR(__xludf.DUMMYFUNCTION("""COMPUTED_VALUE"""),0.0)</f>
        <v>0</v>
      </c>
    </row>
    <row r="19">
      <c r="A19" s="255" t="str">
        <f>IFERROR(__xludf.DUMMYFUNCTION("""COMPUTED_VALUE"""),"MACRO")</f>
        <v>MACRO</v>
      </c>
      <c r="B19" s="256" t="str">
        <f>IFERROR(__xludf.DUMMYFUNCTION("""COMPUTED_VALUE"""),"queenhannisss")</f>
        <v>queenhannisss</v>
      </c>
      <c r="C19" s="281" t="str">
        <f>IFERROR(__xludf.DUMMYFUNCTION("""COMPUTED_VALUE"""),"https://www.tiktok.com/@queenhannisss")</f>
        <v>https://www.tiktok.com/@queenhannisss</v>
      </c>
      <c r="D19" s="25">
        <f>IFERROR(__xludf.DUMMYFUNCTION("""COMPUTED_VALUE"""),8.126685182E9)</f>
        <v>8126685182</v>
      </c>
      <c r="E19" s="258">
        <f>IFERROR(__xludf.DUMMYFUNCTION("""COMPUTED_VALUE"""),0.0)</f>
        <v>0</v>
      </c>
      <c r="F19" s="25">
        <f>IFERROR(__xludf.DUMMYFUNCTION("""COMPUTED_VALUE"""),4.0)</f>
        <v>4</v>
      </c>
      <c r="G19" s="59" t="str">
        <f>IFERROR(__xludf.DUMMYFUNCTION("""COMPUTED_VALUE"""),"Rp22,9JT")</f>
        <v>Rp22,9JT</v>
      </c>
      <c r="H19" s="277" t="str">
        <f>IFERROR(__xludf.DUMMYFUNCTION("""COMPUTED_VALUE"""),"Brightening &amp; Soothing Toner")</f>
        <v>Brightening &amp; Soothing Toner</v>
      </c>
      <c r="I19" s="260" t="str">
        <f>IFERROR(__xludf.DUMMYFUNCTION("""COMPUTED_VALUE"""),"Sampai")</f>
        <v>Sampai</v>
      </c>
      <c r="J19" s="333" t="str">
        <f>IFERROR(__xludf.DUMMYFUNCTION("""COMPUTED_VALUE"""),"Concept 3")</f>
        <v>Concept 3</v>
      </c>
      <c r="K19" s="280" t="str">
        <f>IFERROR(__xludf.DUMMYFUNCTION("""COMPUTED_VALUE"""),"https://vt.tiktok.com/ZSa9JWV6x/")</f>
        <v>https://vt.tiktok.com/ZSa9JWV6x/</v>
      </c>
      <c r="L19" s="333" t="str">
        <f>IFERROR(__xludf.DUMMYFUNCTION("""COMPUTED_VALUE"""),"Concept 3")</f>
        <v>Concept 3</v>
      </c>
      <c r="M19" s="278" t="str">
        <f>IFERROR(__xludf.DUMMYFUNCTION("""COMPUTED_VALUE"""),"https://vt.tiktok.com/ZSa7naQyx/")</f>
        <v>https://vt.tiktok.com/ZSa7naQyx/</v>
      </c>
      <c r="N19" s="333" t="str">
        <f>IFERROR(__xludf.DUMMYFUNCTION("""COMPUTED_VALUE"""),"Concept 3")</f>
        <v>Concept 3</v>
      </c>
      <c r="O19" s="279" t="str">
        <f>IFERROR(__xludf.DUMMYFUNCTION("""COMPUTED_VALUE"""),"https://vt.tiktok.com/ZSmFHDS48/")</f>
        <v>https://vt.tiktok.com/ZSmFHDS48/</v>
      </c>
      <c r="P19" s="333" t="str">
        <f>IFERROR(__xludf.DUMMYFUNCTION("""COMPUTED_VALUE"""),"Concept 3")</f>
        <v>Concept 3</v>
      </c>
      <c r="Q19" s="279" t="str">
        <f>IFERROR(__xludf.DUMMYFUNCTION("""COMPUTED_VALUE"""),"https://vt.tiktok.com/ZSm2REBTe/")</f>
        <v>https://vt.tiktok.com/ZSm2REBTe/</v>
      </c>
      <c r="R19" s="77">
        <f>IFERROR(__xludf.DUMMYFUNCTION("""COMPUTED_VALUE"""),13680.0)</f>
        <v>13680</v>
      </c>
      <c r="S19" s="77">
        <f>IFERROR(__xludf.DUMMYFUNCTION("""COMPUTED_VALUE"""),0.0)</f>
        <v>0</v>
      </c>
      <c r="T19" s="63">
        <f>IFERROR(__xludf.DUMMYFUNCTION("""COMPUTED_VALUE"""),0.0)</f>
        <v>0</v>
      </c>
      <c r="U19" s="63">
        <f>IFERROR(__xludf.DUMMYFUNCTION("""COMPUTED_VALUE"""),0.0)</f>
        <v>0</v>
      </c>
    </row>
    <row r="20">
      <c r="A20" s="255" t="str">
        <f>IFERROR(__xludf.DUMMYFUNCTION("""COMPUTED_VALUE"""),"NANO")</f>
        <v>NANO</v>
      </c>
      <c r="B20" s="256" t="str">
        <f>IFERROR(__xludf.DUMMYFUNCTION("""COMPUTED_VALUE"""),"dreamm.png")</f>
        <v>dreamm.png</v>
      </c>
      <c r="C20" s="281" t="str">
        <f>IFERROR(__xludf.DUMMYFUNCTION("""COMPUTED_VALUE"""),"https://www.tiktok.com/@dreamm.png")</f>
        <v>https://www.tiktok.com/@dreamm.png</v>
      </c>
      <c r="D20" s="25">
        <f>IFERROR(__xludf.DUMMYFUNCTION("""COMPUTED_VALUE"""),8.5926503288E10)</f>
        <v>85926503288</v>
      </c>
      <c r="E20" s="258">
        <f>IFERROR(__xludf.DUMMYFUNCTION("""COMPUTED_VALUE"""),0.0)</f>
        <v>0</v>
      </c>
      <c r="F20" s="25">
        <f>IFERROR(__xludf.DUMMYFUNCTION("""COMPUTED_VALUE"""),4.0)</f>
        <v>4</v>
      </c>
      <c r="G20" s="59" t="str">
        <f>IFERROR(__xludf.DUMMYFUNCTION("""COMPUTED_VALUE"""),"Rp27,6JT")</f>
        <v>Rp27,6JT</v>
      </c>
      <c r="H20" s="277" t="str">
        <f>IFERROR(__xludf.DUMMYFUNCTION("""COMPUTED_VALUE"""),"Brightening &amp; Soothing Toner")</f>
        <v>Brightening &amp; Soothing Toner</v>
      </c>
      <c r="I20" s="260" t="str">
        <f>IFERROR(__xludf.DUMMYFUNCTION("""COMPUTED_VALUE"""),"Sampai")</f>
        <v>Sampai</v>
      </c>
      <c r="J20" s="333" t="str">
        <f>IFERROR(__xludf.DUMMYFUNCTION("""COMPUTED_VALUE""")," Concept 1")</f>
        <v> Concept 1</v>
      </c>
      <c r="K20" s="280" t="str">
        <f>IFERROR(__xludf.DUMMYFUNCTION("""COMPUTED_VALUE"""),"https://vt.tiktok.com/ZSaCdMpBQ/")</f>
        <v>https://vt.tiktok.com/ZSaCdMpBQ/</v>
      </c>
      <c r="L20" s="333" t="str">
        <f>IFERROR(__xludf.DUMMYFUNCTION("""COMPUTED_VALUE"""),"Concept 3")</f>
        <v>Concept 3</v>
      </c>
      <c r="M20" s="278" t="str">
        <f>IFERROR(__xludf.DUMMYFUNCTION("""COMPUTED_VALUE"""),"https://www.tiktok.com/@dreamm.png/video/7601491998746414343?_r=1&amp;u_code=e36al7997c2gli&amp;region=&amp;mid=7514003816174454785&amp;preview_pb=0&amp;sharer_language=&amp;_d=0&amp;ec_shared_reflux_dynamic_params=%7B%22placeholder_material_id%22%3A%227601491998746414343%22%2C%22pl"&amp;"aceholder_origin_cover%22%3A%22https%253A%252F%252Fp16-sign-sg.tiktokcdn.com%252Ftos-alisg-p-0037%252FoEI9IAGTG7feAoDlBFtxf2YsQxjRSE8AQbeLFh~tplv-tiktokx-origin.jpeg%253Fdr%253D14572%2526refresh_token%253D8e93053f%2526x-expires%253D1801904400%2526x-signat"&amp;"ure%253D%25252Fd65rcYVLUil7GAOP85H5HZVvcA%25253D%2526t%253D4d5b0474%2526ps%253D13740610%2526shp%253Dd05b14bd%2526shcp%253D34ff8df6%2526idc%253Dmy2%2526s%253DTIKTOK_AFFILIATE_VIRAL_VIDEO%22%2C%22placeholder_product_id%22%3A%221731793046946547091%22%2C%22pl"&amp;"aceholder_video_id%22%3A%227601491998746414343%22%7D&amp;ec_shared_reflux_scene=shop_tab_feed&amp;share_item_id=7601491998746414343&amp;source=h5_t")</f>
        <v>https://www.tiktok.com/@dreamm.png/video/7601491998746414343?_r=1&amp;u_code=e36al7997c2gli&amp;region=&amp;mid=7514003816174454785&amp;preview_pb=0&amp;sharer_language=&amp;_d=0&amp;ec_shared_reflux_dynamic_params=%7B%22placeholder_material_id%22%3A%227601491998746414343%22%2C%22placeholder_origin_cover%22%3A%22https%253A%252F%252Fp16-sign-sg.tiktokcdn.com%252Ftos-alisg-p-0037%252FoEI9IAGTG7feAoDlBFtxf2YsQxjRSE8AQbeLFh~tplv-tiktokx-origin.jpeg%253Fdr%253D14572%2526refresh_token%253D8e93053f%2526x-expires%253D1801904400%2526x-signature%253D%25252Fd65rcYVLUil7GAOP85H5HZVvcA%25253D%2526t%253D4d5b0474%2526ps%253D13740610%2526shp%253Dd05b14bd%2526shcp%253D34ff8df6%2526idc%253Dmy2%2526s%253DTIKTOK_AFFILIATE_VIRAL_VIDEO%22%2C%22placeholder_product_id%22%3A%221731793046946547091%22%2C%22placeholder_video_id%22%3A%227601491998746414343%22%7D&amp;ec_shared_reflux_scene=shop_tab_feed&amp;share_item_id=7601491998746414343&amp;source=h5_t</v>
      </c>
      <c r="N20" s="333" t="str">
        <f>IFERROR(__xludf.DUMMYFUNCTION("""COMPUTED_VALUE"""),"Concept 3")</f>
        <v>Concept 3</v>
      </c>
      <c r="O20" s="279" t="str">
        <f>IFERROR(__xludf.DUMMYFUNCTION("""COMPUTED_VALUE"""),"https://www.tiktok.com/@dreamm.png/video/7607242130444061960?_r=1&amp;u_code=e36al7997c2gli&amp;region=&amp;mid=7536222757655350032&amp;preview_pb=0&amp;sharer_language=&amp;_d=0&amp;ec_shared_reflux_dynamic_params=%7B%22placeholder_material_id%22%3A%227607242130444061960%22%2C%22pl"&amp;"aceholder_origin_cover%22%3A%22https%253A%252F%252Fp16-sign-sg.tiktokcdn.com%252Ftos-alisg-p-0037%252Foo7SZArAEIPxiBtBGqsqBIKSVYvQarankViWJ~tplv-tiktokx-origin.jpeg%253Fdr%253D14572%2526refresh_token%253D96c6b403%2526x-expires%253D1803110400%2526x-signatu"&amp;"re%253DqPQvAGqzAY9NRz4kn1sIYFTsF7I%25253D%2526t%253D4d5b0474%2526ps%253D13740610%2526shp%253Dd05b14bd%2526shcp%253D34ff8df6%2526idc%253Dmy%2526s%253DTIKTOK_AFFILIATE_VIRAL_VIDEO%22%2C%22placeholder_product_id%22%3A%221731793046946547091%22%2C%22placeholde"&amp;"r_video_id%22%3A%227607242130444061960%22%7D&amp;ec_shared_reflux_scene=shop_tab_feed&amp;share_item_id=7607242130444061960&amp;source=h5_t")</f>
        <v>https://www.tiktok.com/@dreamm.png/video/7607242130444061960?_r=1&amp;u_code=e36al7997c2gli&amp;region=&amp;mid=7536222757655350032&amp;preview_pb=0&amp;sharer_language=&amp;_d=0&amp;ec_shared_reflux_dynamic_params=%7B%22placeholder_material_id%22%3A%227607242130444061960%22%2C%22placeholder_origin_cover%22%3A%22https%253A%252F%252Fp16-sign-sg.tiktokcdn.com%252Ftos-alisg-p-0037%252Foo7SZArAEIPxiBtBGqsqBIKSVYvQarankViWJ~tplv-tiktokx-origin.jpeg%253Fdr%253D14572%2526refresh_token%253D96c6b403%2526x-expires%253D1803110400%2526x-signature%253DqPQvAGqzAY9NRz4kn1sIYFTsF7I%25253D%2526t%253D4d5b0474%2526ps%253D13740610%2526shp%253Dd05b14bd%2526shcp%253D34ff8df6%2526idc%253Dmy%2526s%253DTIKTOK_AFFILIATE_VIRAL_VIDEO%22%2C%22placeholder_product_id%22%3A%221731793046946547091%22%2C%22placeholder_video_id%22%3A%227607242130444061960%22%7D&amp;ec_shared_reflux_scene=shop_tab_feed&amp;share_item_id=7607242130444061960&amp;source=h5_t</v>
      </c>
      <c r="P20" s="333" t="str">
        <f>IFERROR(__xludf.DUMMYFUNCTION("""COMPUTED_VALUE"""),"Concept 3")</f>
        <v>Concept 3</v>
      </c>
      <c r="Q20" s="279" t="str">
        <f>IFERROR(__xludf.DUMMYFUNCTION("""COMPUTED_VALUE"""),"https://www.tiktok.com/@dreamm.png/video/7613324666005949704?_r=1&amp;u_code=e36al7997c2gli&amp;region=&amp;mid=7603367141978442504&amp;preview_pb=0&amp;sharer_language=&amp;_d=0&amp;ec_shared_reflux_dynamic_params=%7B%22placeholder_material_id%22%3A%227613324666005949704%22%2C%22pl"&amp;"aceholder_origin_cover%22%3A%22https%253A%252F%252Fp16-sign-sg.tiktokcdn.com%252Ftos-alisg-p-0037%252FoUIFQQfeePVQxvRGd7nmGDLzUk9GSdAGAesgPF~tplv-tiktokx-origin.jpeg%253Fdr%253D14572%2526refresh_token%253D94ccf0e2%2526x-expires%253D1804150800%2526x-signat"&amp;"ure%253DQI301F6s4HlurHACPo0L2fkKp9k%25253D%2526t%253D4d5b0474%2526ps%253D13740610%2526shp%253Dd05b14bd%2526shcp%253D34ff8df6%2526idc%253Dmy2%2526s%253DTIKTOK_AFFILIATE_VIRAL_VIDEO%22%2C%22placeholder_product_id%22%3A%221731793046946547091%22%2C%22placehol"&amp;"der_video_id%22%3A%227613324666005949704%22%7D&amp;ec_shared_reflux_scene=shop_tab_feed&amp;share_item_id=7613324666005949704&amp;source=h5_t")</f>
        <v>https://www.tiktok.com/@dreamm.png/video/7613324666005949704?_r=1&amp;u_code=e36al7997c2gli&amp;region=&amp;mid=7603367141978442504&amp;preview_pb=0&amp;sharer_language=&amp;_d=0&amp;ec_shared_reflux_dynamic_params=%7B%22placeholder_material_id%22%3A%227613324666005949704%22%2C%22placeholder_origin_cover%22%3A%22https%253A%252F%252Fp16-sign-sg.tiktokcdn.com%252Ftos-alisg-p-0037%252FoUIFQQfeePVQxvRGd7nmGDLzUk9GSdAGAesgPF~tplv-tiktokx-origin.jpeg%253Fdr%253D14572%2526refresh_token%253D94ccf0e2%2526x-expires%253D1804150800%2526x-signature%253DQI301F6s4HlurHACPo0L2fkKp9k%25253D%2526t%253D4d5b0474%2526ps%253D13740610%2526shp%253Dd05b14bd%2526shcp%253D34ff8df6%2526idc%253Dmy2%2526s%253DTIKTOK_AFFILIATE_VIRAL_VIDEO%22%2C%22placeholder_product_id%22%3A%221731793046946547091%22%2C%22placeholder_video_id%22%3A%227613324666005949704%22%7D&amp;ec_shared_reflux_scene=shop_tab_feed&amp;share_item_id=7613324666005949704&amp;source=h5_t</v>
      </c>
      <c r="R20" s="77">
        <f>IFERROR(__xludf.DUMMYFUNCTION("""COMPUTED_VALUE"""),80330.0)</f>
        <v>80330</v>
      </c>
      <c r="S20" s="77">
        <f>IFERROR(__xludf.DUMMYFUNCTION("""COMPUTED_VALUE"""),0.0)</f>
        <v>0</v>
      </c>
      <c r="T20" s="63">
        <f>IFERROR(__xludf.DUMMYFUNCTION("""COMPUTED_VALUE"""),0.0)</f>
        <v>0</v>
      </c>
      <c r="U20" s="63">
        <f>IFERROR(__xludf.DUMMYFUNCTION("""COMPUTED_VALUE"""),0.0)</f>
        <v>0</v>
      </c>
    </row>
    <row r="21">
      <c r="A21" s="255" t="str">
        <f>IFERROR(__xludf.DUMMYFUNCTION("""COMPUTED_VALUE"""),"MICRO")</f>
        <v>MICRO</v>
      </c>
      <c r="B21" s="256" t="str">
        <f>IFERROR(__xludf.DUMMYFUNCTION("""COMPUTED_VALUE"""),"mood.umrah")</f>
        <v>mood.umrah</v>
      </c>
      <c r="C21" s="281" t="str">
        <f>IFERROR(__xludf.DUMMYFUNCTION("""COMPUTED_VALUE"""),"https://www.tiktok.com/@mood.umrah")</f>
        <v>https://www.tiktok.com/@mood.umrah</v>
      </c>
      <c r="D21" s="25">
        <f>IFERROR(__xludf.DUMMYFUNCTION("""COMPUTED_VALUE"""),8.5822053758E10)</f>
        <v>85822053758</v>
      </c>
      <c r="E21" s="258">
        <f>IFERROR(__xludf.DUMMYFUNCTION("""COMPUTED_VALUE"""),500000.0)</f>
        <v>500000</v>
      </c>
      <c r="F21" s="25">
        <f>IFERROR(__xludf.DUMMYFUNCTION("""COMPUTED_VALUE"""),1.0)</f>
        <v>1</v>
      </c>
      <c r="G21" s="59" t="str">
        <f>IFERROR(__xludf.DUMMYFUNCTION("""COMPUTED_VALUE"""),"Rp1JT+")</f>
        <v>Rp1JT+</v>
      </c>
      <c r="H21" s="277" t="str">
        <f>IFERROR(__xludf.DUMMYFUNCTION("""COMPUTED_VALUE"""),"NEW! OMG Acne &amp; Oil Control UV Barrier Sunscreen SPF50 PA++++ ")</f>
        <v>NEW! OMG Acne &amp; Oil Control UV Barrier Sunscreen SPF50 PA++++ </v>
      </c>
      <c r="I21" s="260" t="str">
        <f>IFERROR(__xludf.DUMMYFUNCTION("""COMPUTED_VALUE"""),"Sampai")</f>
        <v>Sampai</v>
      </c>
      <c r="J21" s="333" t="str">
        <f>IFERROR(__xludf.DUMMYFUNCTION("""COMPUTED_VALUE""")," Concept 1")</f>
        <v> Concept 1</v>
      </c>
      <c r="K21" s="278" t="str">
        <f>IFERROR(__xludf.DUMMYFUNCTION("""COMPUTED_VALUE"""),"https://vt.tiktok.com/ZSm2s3A3f/")</f>
        <v>https://vt.tiktok.com/ZSm2s3A3f/</v>
      </c>
      <c r="L21" s="333"/>
      <c r="M21" s="262"/>
      <c r="N21" s="333"/>
      <c r="O21" s="17"/>
      <c r="P21" s="333"/>
      <c r="Q21" s="17"/>
      <c r="R21" s="77">
        <f>IFERROR(__xludf.DUMMYFUNCTION("""COMPUTED_VALUE"""),0.0)</f>
        <v>0</v>
      </c>
      <c r="S21" s="77">
        <f>IFERROR(__xludf.DUMMYFUNCTION("""COMPUTED_VALUE"""),0.0)</f>
        <v>0</v>
      </c>
      <c r="T21" s="63">
        <f>IFERROR(__xludf.DUMMYFUNCTION("""COMPUTED_VALUE"""),1.578272116E7)</f>
        <v>15782721.16</v>
      </c>
      <c r="U21" s="63">
        <f>IFERROR(__xludf.DUMMYFUNCTION("""COMPUTED_VALUE"""),0.0)</f>
        <v>0</v>
      </c>
    </row>
    <row r="22">
      <c r="A22" s="255" t="str">
        <f>IFERROR(__xludf.DUMMYFUNCTION("""COMPUTED_VALUE"""),"MICRO")</f>
        <v>MICRO</v>
      </c>
      <c r="B22" s="256" t="str">
        <f>IFERROR(__xludf.DUMMYFUNCTION("""COMPUTED_VALUE"""),"nris9")</f>
        <v>nris9</v>
      </c>
      <c r="C22" s="281" t="str">
        <f>IFERROR(__xludf.DUMMYFUNCTION("""COMPUTED_VALUE"""),"https://www.tiktok.com/@nris9")</f>
        <v>https://www.tiktok.com/@nris9</v>
      </c>
      <c r="D22" s="25">
        <f>IFERROR(__xludf.DUMMYFUNCTION("""COMPUTED_VALUE"""),8.7721316159E10)</f>
        <v>87721316159</v>
      </c>
      <c r="E22" s="258">
        <f>IFERROR(__xludf.DUMMYFUNCTION("""COMPUTED_VALUE"""),250000.0)</f>
        <v>250000</v>
      </c>
      <c r="F22" s="25">
        <f>IFERROR(__xludf.DUMMYFUNCTION("""COMPUTED_VALUE"""),1.0)</f>
        <v>1</v>
      </c>
      <c r="G22" s="59" t="str">
        <f>IFERROR(__xludf.DUMMYFUNCTION("""COMPUTED_VALUE"""),"Rp435,1JT")</f>
        <v>Rp435,1JT</v>
      </c>
      <c r="H22" s="277" t="str">
        <f>IFERROR(__xludf.DUMMYFUNCTION("""COMPUTED_VALUE"""),"Brightening &amp; Soothing Toner")</f>
        <v>Brightening &amp; Soothing Toner</v>
      </c>
      <c r="I22" s="260" t="str">
        <f>IFERROR(__xludf.DUMMYFUNCTION("""COMPUTED_VALUE"""),"Sampai")</f>
        <v>Sampai</v>
      </c>
      <c r="J22" s="333" t="str">
        <f>IFERROR(__xludf.DUMMYFUNCTION("""COMPUTED_VALUE"""),"Concept 2")</f>
        <v>Concept 2</v>
      </c>
      <c r="K22" s="280" t="str">
        <f>IFERROR(__xludf.DUMMYFUNCTION("""COMPUTED_VALUE"""),"https://vt.tiktok.com/ZSa9bTQGn/")</f>
        <v>https://vt.tiktok.com/ZSa9bTQGn/</v>
      </c>
      <c r="L22" s="333"/>
      <c r="M22" s="262"/>
      <c r="N22" s="333"/>
      <c r="O22" s="17"/>
      <c r="P22" s="333"/>
      <c r="Q22" s="17"/>
      <c r="R22" s="77">
        <f>IFERROR(__xludf.DUMMYFUNCTION("""COMPUTED_VALUE"""),0.0)</f>
        <v>0</v>
      </c>
      <c r="S22" s="77">
        <f>IFERROR(__xludf.DUMMYFUNCTION("""COMPUTED_VALUE"""),0.0)</f>
        <v>0</v>
      </c>
      <c r="T22" s="63">
        <f>IFERROR(__xludf.DUMMYFUNCTION("""COMPUTED_VALUE"""),2.6643823509999998E7)</f>
        <v>26643823.51</v>
      </c>
      <c r="U22" s="63">
        <f>IFERROR(__xludf.DUMMYFUNCTION("""COMPUTED_VALUE"""),0.0)</f>
        <v>0</v>
      </c>
    </row>
    <row r="23">
      <c r="A23" s="255" t="str">
        <f>IFERROR(__xludf.DUMMYFUNCTION("""COMPUTED_VALUE"""),"NANO")</f>
        <v>NANO</v>
      </c>
      <c r="B23" s="256" t="str">
        <f>IFERROR(__xludf.DUMMYFUNCTION("""COMPUTED_VALUE"""),"beranteminjerawat")</f>
        <v>beranteminjerawat</v>
      </c>
      <c r="C23" s="281" t="str">
        <f>IFERROR(__xludf.DUMMYFUNCTION("""COMPUTED_VALUE"""),"https://www.tiktok.com/@beranteminjerawat")</f>
        <v>https://www.tiktok.com/@beranteminjerawat</v>
      </c>
      <c r="D23" s="25">
        <f>IFERROR(__xludf.DUMMYFUNCTION("""COMPUTED_VALUE"""),8.2285558227E10)</f>
        <v>82285558227</v>
      </c>
      <c r="E23" s="258">
        <f>IFERROR(__xludf.DUMMYFUNCTION("""COMPUTED_VALUE"""),0.0)</f>
        <v>0</v>
      </c>
      <c r="F23" s="25">
        <f>IFERROR(__xludf.DUMMYFUNCTION("""COMPUTED_VALUE"""),1.0)</f>
        <v>1</v>
      </c>
      <c r="G23" s="59" t="str">
        <f>IFERROR(__xludf.DUMMYFUNCTION("""COMPUTED_VALUE"""),"Rp7,8JT")</f>
        <v>Rp7,8JT</v>
      </c>
      <c r="H23" s="277" t="str">
        <f>IFERROR(__xludf.DUMMYFUNCTION("""COMPUTED_VALUE"""),"NEW! OMG Acne &amp; Oil Control UV Barrier Sunscreen SPF50 PA++++ ")</f>
        <v>NEW! OMG Acne &amp; Oil Control UV Barrier Sunscreen SPF50 PA++++ </v>
      </c>
      <c r="I23" s="260" t="str">
        <f>IFERROR(__xludf.DUMMYFUNCTION("""COMPUTED_VALUE"""),"Sampai")</f>
        <v>Sampai</v>
      </c>
      <c r="J23" s="333" t="str">
        <f>IFERROR(__xludf.DUMMYFUNCTION("""COMPUTED_VALUE""")," Concept 1")</f>
        <v> Concept 1</v>
      </c>
      <c r="K23" s="278" t="str">
        <f>IFERROR(__xludf.DUMMYFUNCTION("""COMPUTED_VALUE"""),"https://vt.tiktok.com/ZSmFdfJhf/")</f>
        <v>https://vt.tiktok.com/ZSmFdfJhf/</v>
      </c>
      <c r="L23" s="333"/>
      <c r="M23" s="262"/>
      <c r="N23" s="333"/>
      <c r="O23" s="17"/>
      <c r="P23" s="333"/>
      <c r="Q23" s="17"/>
      <c r="R23" s="77">
        <f>IFERROR(__xludf.DUMMYFUNCTION("""COMPUTED_VALUE"""),0.0)</f>
        <v>0</v>
      </c>
      <c r="S23" s="77">
        <f>IFERROR(__xludf.DUMMYFUNCTION("""COMPUTED_VALUE"""),0.0)</f>
        <v>0</v>
      </c>
      <c r="T23" s="63">
        <f>IFERROR(__xludf.DUMMYFUNCTION("""COMPUTED_VALUE"""),2.097568755E7)</f>
        <v>20975687.55</v>
      </c>
      <c r="U23" s="63">
        <f>IFERROR(__xludf.DUMMYFUNCTION("""COMPUTED_VALUE"""),0.0)</f>
        <v>0</v>
      </c>
    </row>
    <row r="24">
      <c r="A24" s="255" t="str">
        <f>IFERROR(__xludf.DUMMYFUNCTION("""COMPUTED_VALUE"""),"MICRO")</f>
        <v>MICRO</v>
      </c>
      <c r="B24" s="256" t="str">
        <f>IFERROR(__xludf.DUMMYFUNCTION("""COMPUTED_VALUE"""),"lina_chubby94")</f>
        <v>lina_chubby94</v>
      </c>
      <c r="C24" s="281" t="str">
        <f>IFERROR(__xludf.DUMMYFUNCTION("""COMPUTED_VALUE"""),"https://www.tiktok.com/@lina_chubby94")</f>
        <v>https://www.tiktok.com/@lina_chubby94</v>
      </c>
      <c r="D24" s="25">
        <f>IFERROR(__xludf.DUMMYFUNCTION("""COMPUTED_VALUE"""),8.9626315137E10)</f>
        <v>89626315137</v>
      </c>
      <c r="E24" s="258">
        <f>IFERROR(__xludf.DUMMYFUNCTION("""COMPUTED_VALUE"""),0.0)</f>
        <v>0</v>
      </c>
      <c r="F24" s="25">
        <f>IFERROR(__xludf.DUMMYFUNCTION("""COMPUTED_VALUE"""),1.0)</f>
        <v>1</v>
      </c>
      <c r="G24" s="59" t="str">
        <f>IFERROR(__xludf.DUMMYFUNCTION("""COMPUTED_VALUE"""),"Rp23,7JT")</f>
        <v>Rp23,7JT</v>
      </c>
      <c r="H24" s="277" t="str">
        <f>IFERROR(__xludf.DUMMYFUNCTION("""COMPUTED_VALUE"""),"NEW! OMG Acne &amp; Oil Control UV Barrier Sunscreen SPF50 PA++++ ")</f>
        <v>NEW! OMG Acne &amp; Oil Control UV Barrier Sunscreen SPF50 PA++++ </v>
      </c>
      <c r="I24" s="260" t="str">
        <f>IFERROR(__xludf.DUMMYFUNCTION("""COMPUTED_VALUE"""),"Sampai")</f>
        <v>Sampai</v>
      </c>
      <c r="J24" s="333" t="str">
        <f>IFERROR(__xludf.DUMMYFUNCTION("""COMPUTED_VALUE"""),"Concept 2")</f>
        <v>Concept 2</v>
      </c>
      <c r="K24" s="280" t="str">
        <f>IFERROR(__xludf.DUMMYFUNCTION("""COMPUTED_VALUE"""),"https://vt.tiktok.com/ZSaut274T/")</f>
        <v>https://vt.tiktok.com/ZSaut274T/</v>
      </c>
      <c r="L24" s="333"/>
      <c r="M24" s="262"/>
      <c r="N24" s="333"/>
      <c r="O24" s="17"/>
      <c r="P24" s="333"/>
      <c r="Q24" s="17"/>
      <c r="R24" s="77">
        <f>IFERROR(__xludf.DUMMYFUNCTION("""COMPUTED_VALUE"""),0.0)</f>
        <v>0</v>
      </c>
      <c r="S24" s="77">
        <f>IFERROR(__xludf.DUMMYFUNCTION("""COMPUTED_VALUE"""),0.0)</f>
        <v>0</v>
      </c>
      <c r="T24" s="63">
        <f>IFERROR(__xludf.DUMMYFUNCTION("""COMPUTED_VALUE"""),0.0)</f>
        <v>0</v>
      </c>
      <c r="U24" s="63">
        <f>IFERROR(__xludf.DUMMYFUNCTION("""COMPUTED_VALUE"""),0.0)</f>
        <v>0</v>
      </c>
    </row>
    <row r="25">
      <c r="A25" s="255" t="str">
        <f>IFERROR(__xludf.DUMMYFUNCTION("""COMPUTED_VALUE"""),"MACRO")</f>
        <v>MACRO</v>
      </c>
      <c r="B25" s="23" t="str">
        <f>IFERROR(__xludf.DUMMYFUNCTION("""COMPUTED_VALUE"""),"girltigerr")</f>
        <v>girltigerr</v>
      </c>
      <c r="C25" s="281" t="str">
        <f>IFERROR(__xludf.DUMMYFUNCTION("""COMPUTED_VALUE"""),"https://www.tiktok.com/@girltigerr")</f>
        <v>https://www.tiktok.com/@girltigerr</v>
      </c>
      <c r="D25" s="25">
        <f>IFERROR(__xludf.DUMMYFUNCTION("""COMPUTED_VALUE"""),8.2177041906E10)</f>
        <v>82177041906</v>
      </c>
      <c r="E25" s="258">
        <f>IFERROR(__xludf.DUMMYFUNCTION("""COMPUTED_VALUE"""),0.0)</f>
        <v>0</v>
      </c>
      <c r="F25" s="25">
        <f>IFERROR(__xludf.DUMMYFUNCTION("""COMPUTED_VALUE"""),3.0)</f>
        <v>3</v>
      </c>
      <c r="G25" s="59" t="str">
        <f>IFERROR(__xludf.DUMMYFUNCTION("""COMPUTED_VALUE"""),"Rp37,0JT")</f>
        <v>Rp37,0JT</v>
      </c>
      <c r="H25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25" s="260" t="str">
        <f>IFERROR(__xludf.DUMMYFUNCTION("""COMPUTED_VALUE"""),"Sampai")</f>
        <v>Sampai</v>
      </c>
      <c r="J25" s="333" t="str">
        <f>IFERROR(__xludf.DUMMYFUNCTION("""COMPUTED_VALUE"""),"Concept 2")</f>
        <v>Concept 2</v>
      </c>
      <c r="K25" s="280" t="str">
        <f>IFERROR(__xludf.DUMMYFUNCTION("""COMPUTED_VALUE"""),"https://vt.tiktok.com/ZSauTYh5E/")</f>
        <v>https://vt.tiktok.com/ZSauTYh5E/</v>
      </c>
      <c r="L25" s="333" t="str">
        <f>IFERROR(__xludf.DUMMYFUNCTION("""COMPUTED_VALUE"""),"Concept 2")</f>
        <v>Concept 2</v>
      </c>
      <c r="M25" s="334" t="str">
        <f>IFERROR(__xludf.DUMMYFUNCTION("""COMPUTED_VALUE"""),"https://vt.tiktok.com/ZSauTffgy/")</f>
        <v>https://vt.tiktok.com/ZSauTffgy/</v>
      </c>
      <c r="N25" s="333" t="str">
        <f>IFERROR(__xludf.DUMMYFUNCTION("""COMPUTED_VALUE"""),"Concept 2")</f>
        <v>Concept 2</v>
      </c>
      <c r="O25" s="334" t="str">
        <f>IFERROR(__xludf.DUMMYFUNCTION("""COMPUTED_VALUE"""),"https://vt.tiktok.com/ZSauTH545/")</f>
        <v>https://vt.tiktok.com/ZSauTH545/</v>
      </c>
      <c r="P25" s="333" t="str">
        <f>IFERROR(__xludf.DUMMYFUNCTION("""COMPUTED_VALUE"""),"Concept 2")</f>
        <v>Concept 2</v>
      </c>
      <c r="Q25" s="279" t="str">
        <f>IFERROR(__xludf.DUMMYFUNCTION("""COMPUTED_VALUE"""),"https://www.tiktok.com/@girltigerr/video/7599885506456980756?_r=1&amp;u_code=clkm3k9dlfm8a7&amp;region=&amp;mid=7576345407526766608&amp;preview_pb=0&amp;sharer_language=&amp;_d=0&amp;ec_shared_reflux_dynamic_params=%7B%22placeholder_material_id%22%3A%227599885506456980756%22%2C%22pl"&amp;"aceholder_origin_cover%22%3A%22https%253A%252F%252Fp16-sign-sg.tiktokcdn.com%252Ftos-alisg-p-0037%252FowCEA3c8uLXanIGKgSIGYoe4gdffA7TqD4g3Aj~tplv-tiktokx-origin.jpeg%253Fdr%253D14572%2526refresh_token%253D7cd696b1%2526x-expires%253D1804150800%2526x-signat"&amp;"ure%253D0VsOEO8QPgM4KUmHQ7pqW7N%25252FchY%25253D%2526t%253D4d5b0474%2526ps%253D13740610%2526shp%253Dd05b14bd%2526shcp%253D34ff8df6%2526idc%253Dmy2%2526s%253DTIKTOK_AFFILIATE_VIRAL_VIDEO%22%2C%22placeholder_product_id%22%3A%221733551239648413075%22%2C%22pl"&amp;"aceholder_video_id%22%3A%227599885506456980756%22%7D&amp;ec_shared_reflux_scene=shop_tab_feed&amp;share_item_id=7599885506456980756&amp;source=h5_t")</f>
        <v>https://www.tiktok.com/@girltigerr/video/7599885506456980756?_r=1&amp;u_code=clkm3k9dlfm8a7&amp;region=&amp;mid=7576345407526766608&amp;preview_pb=0&amp;sharer_language=&amp;_d=0&amp;ec_shared_reflux_dynamic_params=%7B%22placeholder_material_id%22%3A%227599885506456980756%22%2C%22placeholder_origin_cover%22%3A%22https%253A%252F%252Fp16-sign-sg.tiktokcdn.com%252Ftos-alisg-p-0037%252FowCEA3c8uLXanIGKgSIGYoe4gdffA7TqD4g3Aj~tplv-tiktokx-origin.jpeg%253Fdr%253D14572%2526refresh_token%253D7cd696b1%2526x-expires%253D1804150800%2526x-signature%253D0VsOEO8QPgM4KUmHQ7pqW7N%25252FchY%25253D%2526t%253D4d5b0474%2526ps%253D13740610%2526shp%253Dd05b14bd%2526shcp%253D34ff8df6%2526idc%253Dmy2%2526s%253DTIKTOK_AFFILIATE_VIRAL_VIDEO%22%2C%22placeholder_product_id%22%3A%221733551239648413075%22%2C%22placeholder_video_id%22%3A%227599885506456980756%22%7D&amp;ec_shared_reflux_scene=shop_tab_feed&amp;share_item_id=7599885506456980756&amp;source=h5_t</v>
      </c>
      <c r="R25" s="77">
        <f>IFERROR(__xludf.DUMMYFUNCTION("""COMPUTED_VALUE"""),0.0)</f>
        <v>0</v>
      </c>
      <c r="S25" s="77">
        <f>IFERROR(__xludf.DUMMYFUNCTION("""COMPUTED_VALUE"""),0.0)</f>
        <v>0</v>
      </c>
      <c r="T25" s="63">
        <f>IFERROR(__xludf.DUMMYFUNCTION("""COMPUTED_VALUE"""),0.0)</f>
        <v>0</v>
      </c>
      <c r="U25" s="63">
        <f>IFERROR(__xludf.DUMMYFUNCTION("""COMPUTED_VALUE"""),0.0)</f>
        <v>0</v>
      </c>
    </row>
    <row r="26">
      <c r="A26" s="255" t="str">
        <f>IFERROR(__xludf.DUMMYFUNCTION("""COMPUTED_VALUE"""),"MICRO")</f>
        <v>MICRO</v>
      </c>
      <c r="B26" s="23" t="str">
        <f>IFERROR(__xludf.DUMMYFUNCTION("""COMPUTED_VALUE"""),"naomiifarsya")</f>
        <v>naomiifarsya</v>
      </c>
      <c r="C26" s="281" t="str">
        <f>IFERROR(__xludf.DUMMYFUNCTION("""COMPUTED_VALUE"""),"https://www.tiktok.com/@naomiifarsya")</f>
        <v>https://www.tiktok.com/@naomiifarsya</v>
      </c>
      <c r="D26" s="25">
        <f>IFERROR(__xludf.DUMMYFUNCTION("""COMPUTED_VALUE"""),8.9539258699E11)</f>
        <v>895392586990</v>
      </c>
      <c r="E26" s="258">
        <f>IFERROR(__xludf.DUMMYFUNCTION("""COMPUTED_VALUE"""),0.0)</f>
        <v>0</v>
      </c>
      <c r="F26" s="25"/>
      <c r="G26" s="59" t="str">
        <f>IFERROR(__xludf.DUMMYFUNCTION("""COMPUTED_VALUE"""),"Rp198,8JT")</f>
        <v>Rp198,8JT</v>
      </c>
      <c r="H26" s="277" t="str">
        <f>IFERROR(__xludf.DUMMYFUNCTION("""COMPUTED_VALUE"""),"Brightening &amp; Soothing Toner")</f>
        <v>Brightening &amp; Soothing Toner</v>
      </c>
      <c r="I26" s="260" t="str">
        <f>IFERROR(__xludf.DUMMYFUNCTION("""COMPUTED_VALUE"""),"Sampai")</f>
        <v>Sampai</v>
      </c>
      <c r="J26" s="333"/>
      <c r="K26" s="262"/>
      <c r="L26" s="333"/>
      <c r="M26" s="262"/>
      <c r="N26" s="333"/>
      <c r="O26" s="17"/>
      <c r="P26" s="333"/>
      <c r="Q26" s="17"/>
      <c r="R26" s="77">
        <f>IFERROR(__xludf.DUMMYFUNCTION("""COMPUTED_VALUE"""),0.0)</f>
        <v>0</v>
      </c>
      <c r="S26" s="77">
        <f>IFERROR(__xludf.DUMMYFUNCTION("""COMPUTED_VALUE"""),0.0)</f>
        <v>0</v>
      </c>
      <c r="T26" s="63">
        <f>IFERROR(__xludf.DUMMYFUNCTION("""COMPUTED_VALUE"""),0.0)</f>
        <v>0</v>
      </c>
      <c r="U26" s="63">
        <f>IFERROR(__xludf.DUMMYFUNCTION("""COMPUTED_VALUE"""),0.0)</f>
        <v>0</v>
      </c>
    </row>
    <row r="27">
      <c r="A27" s="255" t="str">
        <f>IFERROR(__xludf.DUMMYFUNCTION("""COMPUTED_VALUE"""),"MICRO")</f>
        <v>MICRO</v>
      </c>
      <c r="B27" s="23" t="str">
        <f>IFERROR(__xludf.DUMMYFUNCTION("""COMPUTED_VALUE"""),"thnlykai")</f>
        <v>thnlykai</v>
      </c>
      <c r="C27" s="281" t="str">
        <f>IFERROR(__xludf.DUMMYFUNCTION("""COMPUTED_VALUE"""),"https://www.tiktok.com/@thnlykai")</f>
        <v>https://www.tiktok.com/@thnlykai</v>
      </c>
      <c r="D27" s="25">
        <f>IFERROR(__xludf.DUMMYFUNCTION("""COMPUTED_VALUE"""),8.98613759E9)</f>
        <v>8986137590</v>
      </c>
      <c r="E27" s="258">
        <f>IFERROR(__xludf.DUMMYFUNCTION("""COMPUTED_VALUE"""),150000.0)</f>
        <v>150000</v>
      </c>
      <c r="F27" s="25">
        <f>IFERROR(__xludf.DUMMYFUNCTION("""COMPUTED_VALUE"""),2.0)</f>
        <v>2</v>
      </c>
      <c r="G27" s="59" t="str">
        <f>IFERROR(__xludf.DUMMYFUNCTION("""COMPUTED_VALUE"""),"Rp1,6JT")</f>
        <v>Rp1,6JT</v>
      </c>
      <c r="H27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27" s="260" t="str">
        <f>IFERROR(__xludf.DUMMYFUNCTION("""COMPUTED_VALUE"""),"Sampai")</f>
        <v>Sampai</v>
      </c>
      <c r="J27" s="333" t="str">
        <f>IFERROR(__xludf.DUMMYFUNCTION("""COMPUTED_VALUE"""),"Concept 3")</f>
        <v>Concept 3</v>
      </c>
      <c r="K27" s="278" t="str">
        <f>IFERROR(__xludf.DUMMYFUNCTION("""COMPUTED_VALUE"""),"https://www.tiktok.com/@thnlykai/video/7612306316182244626?is_from_webapp=1&amp;sender_device=pc")</f>
        <v>https://www.tiktok.com/@thnlykai/video/7612306316182244626?is_from_webapp=1&amp;sender_device=pc</v>
      </c>
      <c r="L27" s="333" t="str">
        <f>IFERROR(__xludf.DUMMYFUNCTION("""COMPUTED_VALUE"""),"Concept 3")</f>
        <v>Concept 3</v>
      </c>
      <c r="M27" s="278" t="str">
        <f>IFERROR(__xludf.DUMMYFUNCTION("""COMPUTED_VALUE"""),"https://vt.tiktok.com/ZSudoK2y8/")</f>
        <v>https://vt.tiktok.com/ZSudoK2y8/</v>
      </c>
      <c r="N27" s="333"/>
      <c r="O27" s="17"/>
      <c r="P27" s="333"/>
      <c r="Q27" s="17"/>
      <c r="R27" s="77"/>
      <c r="S27" s="77">
        <f>IFERROR(__xludf.DUMMYFUNCTION("""COMPUTED_VALUE"""),0.0)</f>
        <v>0</v>
      </c>
      <c r="T27" s="63">
        <f>IFERROR(__xludf.DUMMYFUNCTION("""COMPUTED_VALUE"""),0.0)</f>
        <v>0</v>
      </c>
      <c r="U27" s="63">
        <f>IFERROR(__xludf.DUMMYFUNCTION("""COMPUTED_VALUE"""),0.0)</f>
        <v>0</v>
      </c>
    </row>
    <row r="28">
      <c r="A28" s="255" t="str">
        <f>IFERROR(__xludf.DUMMYFUNCTION("""COMPUTED_VALUE"""),"MACRO")</f>
        <v>MACRO</v>
      </c>
      <c r="B28" s="23" t="str">
        <f>IFERROR(__xludf.DUMMYFUNCTION("""COMPUTED_VALUE"""),"putri.antris")</f>
        <v>putri.antris</v>
      </c>
      <c r="C28" s="281" t="str">
        <f>IFERROR(__xludf.DUMMYFUNCTION("""COMPUTED_VALUE"""),"https://www.tiktok.com/@putri.antris")</f>
        <v>https://www.tiktok.com/@putri.antris</v>
      </c>
      <c r="D28" s="25">
        <f>IFERROR(__xludf.DUMMYFUNCTION("""COMPUTED_VALUE"""),8.978216006E9)</f>
        <v>8978216006</v>
      </c>
      <c r="E28" s="269">
        <f>IFERROR(__xludf.DUMMYFUNCTION("""COMPUTED_VALUE"""),0.0)</f>
        <v>0</v>
      </c>
      <c r="F28" s="25">
        <f>IFERROR(__xludf.DUMMYFUNCTION("""COMPUTED_VALUE"""),3.0)</f>
        <v>3</v>
      </c>
      <c r="G28" s="59" t="str">
        <f>IFERROR(__xludf.DUMMYFUNCTION("""COMPUTED_VALUE"""),"Rp203,0JT")</f>
        <v>Rp203,0JT</v>
      </c>
      <c r="H28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28" s="260" t="str">
        <f>IFERROR(__xludf.DUMMYFUNCTION("""COMPUTED_VALUE"""),"Sampai")</f>
        <v>Sampai</v>
      </c>
      <c r="J28" s="333" t="str">
        <f>IFERROR(__xludf.DUMMYFUNCTION("""COMPUTED_VALUE""")," Concept 1")</f>
        <v> Concept 1</v>
      </c>
      <c r="K28" s="278" t="str">
        <f>IFERROR(__xludf.DUMMYFUNCTION("""COMPUTED_VALUE"""),"https://vt.tiktok.com/ZSmjYoJr6/")</f>
        <v>https://vt.tiktok.com/ZSmjYoJr6/</v>
      </c>
      <c r="L28" s="333" t="str">
        <f>IFERROR(__xludf.DUMMYFUNCTION("""COMPUTED_VALUE"""),"Concept 3")</f>
        <v>Concept 3</v>
      </c>
      <c r="M28" s="278" t="str">
        <f>IFERROR(__xludf.DUMMYFUNCTION("""COMPUTED_VALUE"""),"https://vt.tiktok.com/ZSmCJVDqT/")</f>
        <v>https://vt.tiktok.com/ZSmCJVDqT/</v>
      </c>
      <c r="N28" s="333" t="str">
        <f>IFERROR(__xludf.DUMMYFUNCTION("""COMPUTED_VALUE"""),"Concept 3")</f>
        <v>Concept 3</v>
      </c>
      <c r="O28" s="279" t="str">
        <f>IFERROR(__xludf.DUMMYFUNCTION("""COMPUTED_VALUE"""),"https://vt.tiktok.com/ZSmCJq6aG/")</f>
        <v>https://vt.tiktok.com/ZSmCJq6aG/</v>
      </c>
      <c r="P28" s="333"/>
      <c r="Q28" s="17"/>
      <c r="R28" s="77">
        <f>IFERROR(__xludf.DUMMYFUNCTION("""COMPUTED_VALUE"""),0.0)</f>
        <v>0</v>
      </c>
      <c r="S28" s="77">
        <f>IFERROR(__xludf.DUMMYFUNCTION("""COMPUTED_VALUE"""),0.0)</f>
        <v>0</v>
      </c>
      <c r="T28" s="63">
        <f>IFERROR(__xludf.DUMMYFUNCTION("""COMPUTED_VALUE"""),3.174584532E7)</f>
        <v>31745845.32</v>
      </c>
      <c r="U28" s="63">
        <f>IFERROR(__xludf.DUMMYFUNCTION("""COMPUTED_VALUE"""),0.0)</f>
        <v>0</v>
      </c>
    </row>
    <row r="29">
      <c r="A29" s="255" t="str">
        <f>IFERROR(__xludf.DUMMYFUNCTION("""COMPUTED_VALUE"""),"MICRO")</f>
        <v>MICRO</v>
      </c>
      <c r="B29" s="23" t="str">
        <f>IFERROR(__xludf.DUMMYFUNCTION("""COMPUTED_VALUE"""),"ferenaceta")</f>
        <v>ferenaceta</v>
      </c>
      <c r="C29" s="281" t="str">
        <f>IFERROR(__xludf.DUMMYFUNCTION("""COMPUTED_VALUE"""),"https://www.tiktok.com/@ferenaceta")</f>
        <v>https://www.tiktok.com/@ferenaceta</v>
      </c>
      <c r="D29" s="25">
        <f>IFERROR(__xludf.DUMMYFUNCTION("""COMPUTED_VALUE"""),8.95705700911E11)</f>
        <v>895705700911</v>
      </c>
      <c r="E29" s="258">
        <f>IFERROR(__xludf.DUMMYFUNCTION("""COMPUTED_VALUE"""),150000.0)</f>
        <v>150000</v>
      </c>
      <c r="F29" s="25">
        <f>IFERROR(__xludf.DUMMYFUNCTION("""COMPUTED_VALUE"""),2.0)</f>
        <v>2</v>
      </c>
      <c r="G29" s="59" t="str">
        <f>IFERROR(__xludf.DUMMYFUNCTION("""COMPUTED_VALUE"""),"Rp1JT+")</f>
        <v>Rp1JT+</v>
      </c>
      <c r="H29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29" s="260" t="str">
        <f>IFERROR(__xludf.DUMMYFUNCTION("""COMPUTED_VALUE"""),"Sampai")</f>
        <v>Sampai</v>
      </c>
      <c r="J29" s="333" t="str">
        <f>IFERROR(__xludf.DUMMYFUNCTION("""COMPUTED_VALUE"""),"Concept 3")</f>
        <v>Concept 3</v>
      </c>
      <c r="K29" s="278" t="str">
        <f>IFERROR(__xludf.DUMMYFUNCTION("""COMPUTED_VALUE"""),"https://vt.tiktok.com/ZSm6V5MbA/")</f>
        <v>https://vt.tiktok.com/ZSm6V5MbA/</v>
      </c>
      <c r="L29" s="333" t="str">
        <f>IFERROR(__xludf.DUMMYFUNCTION("""COMPUTED_VALUE"""),"Concept 3")</f>
        <v>Concept 3</v>
      </c>
      <c r="M29" s="278" t="str">
        <f>IFERROR(__xludf.DUMMYFUNCTION("""COMPUTED_VALUE"""),"https://vt.tiktok.com/ZSmmj5onS/")</f>
        <v>https://vt.tiktok.com/ZSmmj5onS/</v>
      </c>
      <c r="N29" s="333"/>
      <c r="O29" s="17"/>
      <c r="P29" s="333"/>
      <c r="Q29" s="17"/>
      <c r="R29" s="77">
        <f>IFERROR(__xludf.DUMMYFUNCTION("""COMPUTED_VALUE"""),0.0)</f>
        <v>0</v>
      </c>
      <c r="S29" s="77">
        <f>IFERROR(__xludf.DUMMYFUNCTION("""COMPUTED_VALUE"""),0.0)</f>
        <v>0</v>
      </c>
      <c r="T29" s="63">
        <f>IFERROR(__xludf.DUMMYFUNCTION("""COMPUTED_VALUE"""),3.623989339000001E7)</f>
        <v>36239893.39</v>
      </c>
      <c r="U29" s="63">
        <f>IFERROR(__xludf.DUMMYFUNCTION("""COMPUTED_VALUE"""),0.0)</f>
        <v>0</v>
      </c>
    </row>
    <row r="30">
      <c r="A30" s="255" t="str">
        <f>IFERROR(__xludf.DUMMYFUNCTION("""COMPUTED_VALUE"""),"NANO")</f>
        <v>NANO</v>
      </c>
      <c r="B30" s="23" t="str">
        <f>IFERROR(__xludf.DUMMYFUNCTION("""COMPUTED_VALUE"""),"melisadyp")</f>
        <v>melisadyp</v>
      </c>
      <c r="C30" s="281" t="str">
        <f>IFERROR(__xludf.DUMMYFUNCTION("""COMPUTED_VALUE"""),"https://www.tiktok.com/@melisadyp")</f>
        <v>https://www.tiktok.com/@melisadyp</v>
      </c>
      <c r="D30" s="25">
        <f>IFERROR(__xludf.DUMMYFUNCTION("""COMPUTED_VALUE"""),8.5174215253E10)</f>
        <v>85174215253</v>
      </c>
      <c r="E30" s="258">
        <f>IFERROR(__xludf.DUMMYFUNCTION("""COMPUTED_VALUE"""),0.0)</f>
        <v>0</v>
      </c>
      <c r="F30" s="25">
        <f>IFERROR(__xludf.DUMMYFUNCTION("""COMPUTED_VALUE"""),1.0)</f>
        <v>1</v>
      </c>
      <c r="G30" s="59" t="str">
        <f>IFERROR(__xludf.DUMMYFUNCTION("""COMPUTED_VALUE"""),"Rp1JT+")</f>
        <v>Rp1JT+</v>
      </c>
      <c r="H30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30" s="260" t="str">
        <f>IFERROR(__xludf.DUMMYFUNCTION("""COMPUTED_VALUE"""),"Sampai")</f>
        <v>Sampai</v>
      </c>
      <c r="J30" s="333" t="str">
        <f>IFERROR(__xludf.DUMMYFUNCTION("""COMPUTED_VALUE""")," Concept 1")</f>
        <v> Concept 1</v>
      </c>
      <c r="K30" s="278" t="str">
        <f>IFERROR(__xludf.DUMMYFUNCTION("""COMPUTED_VALUE"""),"https://vt.tiktok.com/ZSagPxp1U/")</f>
        <v>https://vt.tiktok.com/ZSagPxp1U/</v>
      </c>
      <c r="L30" s="333"/>
      <c r="M30" s="262"/>
      <c r="N30" s="333"/>
      <c r="O30" s="17"/>
      <c r="P30" s="333"/>
      <c r="Q30" s="17"/>
      <c r="R30" s="77">
        <f>IFERROR(__xludf.DUMMYFUNCTION("""COMPUTED_VALUE"""),0.0)</f>
        <v>0</v>
      </c>
      <c r="S30" s="77">
        <f>IFERROR(__xludf.DUMMYFUNCTION("""COMPUTED_VALUE"""),0.0)</f>
        <v>0</v>
      </c>
      <c r="T30" s="63">
        <f>IFERROR(__xludf.DUMMYFUNCTION("""COMPUTED_VALUE"""),0.0)</f>
        <v>0</v>
      </c>
      <c r="U30" s="63">
        <f>IFERROR(__xludf.DUMMYFUNCTION("""COMPUTED_VALUE"""),0.0)</f>
        <v>0</v>
      </c>
    </row>
    <row r="31">
      <c r="A31" s="255" t="str">
        <f>IFERROR(__xludf.DUMMYFUNCTION("""COMPUTED_VALUE"""),"NANO")</f>
        <v>NANO</v>
      </c>
      <c r="B31" s="256" t="str">
        <f>IFERROR(__xludf.DUMMYFUNCTION("""COMPUTED_VALUE"""),"vernikaariani")</f>
        <v>vernikaariani</v>
      </c>
      <c r="C31" s="281" t="str">
        <f>IFERROR(__xludf.DUMMYFUNCTION("""COMPUTED_VALUE"""),"https://www.tiktok.com/@vernikaariani")</f>
        <v>https://www.tiktok.com/@vernikaariani</v>
      </c>
      <c r="D31" s="25">
        <f>IFERROR(__xludf.DUMMYFUNCTION("""COMPUTED_VALUE"""),8.5326728022E10)</f>
        <v>85326728022</v>
      </c>
      <c r="E31" s="258">
        <f>IFERROR(__xludf.DUMMYFUNCTION("""COMPUTED_VALUE"""),0.0)</f>
        <v>0</v>
      </c>
      <c r="F31" s="25">
        <f>IFERROR(__xludf.DUMMYFUNCTION("""COMPUTED_VALUE"""),3.0)</f>
        <v>3</v>
      </c>
      <c r="G31" s="59" t="str">
        <f>IFERROR(__xludf.DUMMYFUNCTION("""COMPUTED_VALUE"""),"Rp2,1JT")</f>
        <v>Rp2,1JT</v>
      </c>
      <c r="H31" s="277" t="str">
        <f>IFERROR(__xludf.DUMMYFUNCTION("""COMPUTED_VALUE"""),"NEW! OMG Acne &amp; Oil Control UV Barrier Sunscreen SPF50 PA++++ ")</f>
        <v>NEW! OMG Acne &amp; Oil Control UV Barrier Sunscreen SPF50 PA++++ </v>
      </c>
      <c r="I31" s="260" t="str">
        <f>IFERROR(__xludf.DUMMYFUNCTION("""COMPUTED_VALUE"""),"Sampai")</f>
        <v>Sampai</v>
      </c>
      <c r="J31" s="333" t="str">
        <f>IFERROR(__xludf.DUMMYFUNCTION("""COMPUTED_VALUE"""),"Concept 3")</f>
        <v>Concept 3</v>
      </c>
      <c r="K31" s="278" t="str">
        <f>IFERROR(__xludf.DUMMYFUNCTION("""COMPUTED_VALUE"""),"https://vt.tiktok.com/ZSmfET7Ru/")</f>
        <v>https://vt.tiktok.com/ZSmfET7Ru/</v>
      </c>
      <c r="L31" s="333" t="str">
        <f>IFERROR(__xludf.DUMMYFUNCTION("""COMPUTED_VALUE"""),"Concept 3")</f>
        <v>Concept 3</v>
      </c>
      <c r="M31" s="278" t="str">
        <f>IFERROR(__xludf.DUMMYFUNCTION("""COMPUTED_VALUE"""),"https://vt.tiktok.com/ZSmfo2gdY/")</f>
        <v>https://vt.tiktok.com/ZSmfo2gdY/</v>
      </c>
      <c r="N31" s="333" t="str">
        <f>IFERROR(__xludf.DUMMYFUNCTION("""COMPUTED_VALUE"""),"Concept 2")</f>
        <v>Concept 2</v>
      </c>
      <c r="O31" s="279" t="str">
        <f>IFERROR(__xludf.DUMMYFUNCTION("""COMPUTED_VALUE"""),"https://vt.tiktok.com/ZSmQDse1d/")</f>
        <v>https://vt.tiktok.com/ZSmQDse1d/</v>
      </c>
      <c r="P31" s="333"/>
      <c r="Q31" s="17"/>
      <c r="R31" s="77">
        <f>IFERROR(__xludf.DUMMYFUNCTION("""COMPUTED_VALUE"""),23957.0)</f>
        <v>23957</v>
      </c>
      <c r="S31" s="77">
        <f>IFERROR(__xludf.DUMMYFUNCTION("""COMPUTED_VALUE"""),0.0)</f>
        <v>0</v>
      </c>
      <c r="T31" s="63">
        <f>IFERROR(__xludf.DUMMYFUNCTION("""COMPUTED_VALUE"""),3.131227273E7)</f>
        <v>31312272.73</v>
      </c>
      <c r="U31" s="63">
        <f>IFERROR(__xludf.DUMMYFUNCTION("""COMPUTED_VALUE"""),0.0)</f>
        <v>0</v>
      </c>
    </row>
    <row r="32">
      <c r="A32" s="255" t="str">
        <f>IFERROR(__xludf.DUMMYFUNCTION("""COMPUTED_VALUE"""),"MICRO")</f>
        <v>MICRO</v>
      </c>
      <c r="B32" s="23" t="str">
        <f>IFERROR(__xludf.DUMMYFUNCTION("""COMPUTED_VALUE"""),"thya_pookie")</f>
        <v>thya_pookie</v>
      </c>
      <c r="C32" s="281" t="str">
        <f>IFERROR(__xludf.DUMMYFUNCTION("""COMPUTED_VALUE"""),"https://www.tiktok.com/@thya_pookie")</f>
        <v>https://www.tiktok.com/@thya_pookie</v>
      </c>
      <c r="D32" s="25">
        <f>IFERROR(__xludf.DUMMYFUNCTION("""COMPUTED_VALUE"""),8.5842486796E10)</f>
        <v>85842486796</v>
      </c>
      <c r="E32" s="269">
        <f>IFERROR(__xludf.DUMMYFUNCTION("""COMPUTED_VALUE"""),100000.0)</f>
        <v>100000</v>
      </c>
      <c r="F32" s="25">
        <f>IFERROR(__xludf.DUMMYFUNCTION("""COMPUTED_VALUE"""),1.0)</f>
        <v>1</v>
      </c>
      <c r="G32" s="59" t="str">
        <f>IFERROR(__xludf.DUMMYFUNCTION("""COMPUTED_VALUE"""),"Rp1JT+")</f>
        <v>Rp1JT+</v>
      </c>
      <c r="H32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32" s="260" t="str">
        <f>IFERROR(__xludf.DUMMYFUNCTION("""COMPUTED_VALUE"""),"Sampai")</f>
        <v>Sampai</v>
      </c>
      <c r="J32" s="333" t="str">
        <f>IFERROR(__xludf.DUMMYFUNCTION("""COMPUTED_VALUE"""),"Concept 3")</f>
        <v>Concept 3</v>
      </c>
      <c r="K32" s="278" t="str">
        <f>IFERROR(__xludf.DUMMYFUNCTION("""COMPUTED_VALUE"""),"https://vt.tiktok.com/ZSmFKE1fW/")</f>
        <v>https://vt.tiktok.com/ZSmFKE1fW/</v>
      </c>
      <c r="L32" s="333"/>
      <c r="M32" s="262"/>
      <c r="N32" s="333"/>
      <c r="O32" s="17"/>
      <c r="P32" s="333"/>
      <c r="Q32" s="17"/>
      <c r="R32" s="77">
        <f>IFERROR(__xludf.DUMMYFUNCTION("""COMPUTED_VALUE"""),116001.0)</f>
        <v>116001</v>
      </c>
      <c r="S32" s="77">
        <f>IFERROR(__xludf.DUMMYFUNCTION("""COMPUTED_VALUE"""),0.0)</f>
        <v>0</v>
      </c>
      <c r="T32" s="63">
        <f>IFERROR(__xludf.DUMMYFUNCTION("""COMPUTED_VALUE"""),0.0)</f>
        <v>0</v>
      </c>
      <c r="U32" s="63">
        <f>IFERROR(__xludf.DUMMYFUNCTION("""COMPUTED_VALUE"""),0.0)</f>
        <v>0</v>
      </c>
    </row>
    <row r="33">
      <c r="A33" s="255" t="str">
        <f>IFERROR(__xludf.DUMMYFUNCTION("""COMPUTED_VALUE"""),"NANO")</f>
        <v>NANO</v>
      </c>
      <c r="B33" s="23" t="str">
        <f>IFERROR(__xludf.DUMMYFUNCTION("""COMPUTED_VALUE"""),"randomtrn")</f>
        <v>randomtrn</v>
      </c>
      <c r="C33" s="281" t="str">
        <f>IFERROR(__xludf.DUMMYFUNCTION("""COMPUTED_VALUE"""),"https://www.tiktok.com/@randomtrn")</f>
        <v>https://www.tiktok.com/@randomtrn</v>
      </c>
      <c r="D33" s="25">
        <f>IFERROR(__xludf.DUMMYFUNCTION("""COMPUTED_VALUE"""),8.572229105E10)</f>
        <v>85722291050</v>
      </c>
      <c r="E33" s="258">
        <f>IFERROR(__xludf.DUMMYFUNCTION("""COMPUTED_VALUE"""),0.0)</f>
        <v>0</v>
      </c>
      <c r="F33" s="25">
        <f>IFERROR(__xludf.DUMMYFUNCTION("""COMPUTED_VALUE"""),2.0)</f>
        <v>2</v>
      </c>
      <c r="G33" s="59" t="str">
        <f>IFERROR(__xludf.DUMMYFUNCTION("""COMPUTED_VALUE"""),"Rp1JT+")</f>
        <v>Rp1JT+</v>
      </c>
      <c r="H33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33" s="260" t="str">
        <f>IFERROR(__xludf.DUMMYFUNCTION("""COMPUTED_VALUE"""),"Sampai")</f>
        <v>Sampai</v>
      </c>
      <c r="J33" s="333" t="str">
        <f>IFERROR(__xludf.DUMMYFUNCTION("""COMPUTED_VALUE""")," Concept 1")</f>
        <v> Concept 1</v>
      </c>
      <c r="K33" s="280" t="str">
        <f>IFERROR(__xludf.DUMMYFUNCTION("""COMPUTED_VALUE"""),"https://vt.tiktok.com/ZSaubfoWd/")</f>
        <v>https://vt.tiktok.com/ZSaubfoWd/</v>
      </c>
      <c r="L33" s="333" t="str">
        <f>IFERROR(__xludf.DUMMYFUNCTION("""COMPUTED_VALUE""")," Concept 1")</f>
        <v> Concept 1</v>
      </c>
      <c r="M33" s="280" t="str">
        <f>IFERROR(__xludf.DUMMYFUNCTION("""COMPUTED_VALUE"""),"https://vt.tiktok.com/ZSa95FAnQ/")</f>
        <v>https://vt.tiktok.com/ZSa95FAnQ/</v>
      </c>
      <c r="N33" s="333"/>
      <c r="O33" s="17"/>
      <c r="P33" s="333"/>
      <c r="Q33" s="17"/>
      <c r="R33" s="77">
        <f>IFERROR(__xludf.DUMMYFUNCTION("""COMPUTED_VALUE"""),0.0)</f>
        <v>0</v>
      </c>
      <c r="S33" s="77">
        <f>IFERROR(__xludf.DUMMYFUNCTION("""COMPUTED_VALUE"""),0.0)</f>
        <v>0</v>
      </c>
      <c r="T33" s="63">
        <f>IFERROR(__xludf.DUMMYFUNCTION("""COMPUTED_VALUE"""),0.0)</f>
        <v>0</v>
      </c>
      <c r="U33" s="63">
        <f>IFERROR(__xludf.DUMMYFUNCTION("""COMPUTED_VALUE"""),0.0)</f>
        <v>0</v>
      </c>
    </row>
    <row r="34">
      <c r="A34" s="255" t="str">
        <f>IFERROR(__xludf.DUMMYFUNCTION("""COMPUTED_VALUE"""),"NANO")</f>
        <v>NANO</v>
      </c>
      <c r="B34" s="23" t="str">
        <f>IFERROR(__xludf.DUMMYFUNCTION("""COMPUTED_VALUE"""),"sinanr18")</f>
        <v>sinanr18</v>
      </c>
      <c r="C34" s="281" t="str">
        <f>IFERROR(__xludf.DUMMYFUNCTION("""COMPUTED_VALUE"""),"https://www.tiktok.com/@sinanr18")</f>
        <v>https://www.tiktok.com/@sinanr18</v>
      </c>
      <c r="D34" s="25">
        <f>IFERROR(__xludf.DUMMYFUNCTION("""COMPUTED_VALUE"""),8.9670305045E10)</f>
        <v>89670305045</v>
      </c>
      <c r="E34" s="258">
        <f>IFERROR(__xludf.DUMMYFUNCTION("""COMPUTED_VALUE"""),0.0)</f>
        <v>0</v>
      </c>
      <c r="F34" s="25">
        <f>IFERROR(__xludf.DUMMYFUNCTION("""COMPUTED_VALUE"""),1.0)</f>
        <v>1</v>
      </c>
      <c r="G34" s="59" t="str">
        <f>IFERROR(__xludf.DUMMYFUNCTION("""COMPUTED_VALUE"""),"Rp1JT+")</f>
        <v>Rp1JT+</v>
      </c>
      <c r="H34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34" s="260" t="str">
        <f>IFERROR(__xludf.DUMMYFUNCTION("""COMPUTED_VALUE"""),"Sampai")</f>
        <v>Sampai</v>
      </c>
      <c r="J34" s="333" t="str">
        <f>IFERROR(__xludf.DUMMYFUNCTION("""COMPUTED_VALUE""")," Concept 1")</f>
        <v> Concept 1</v>
      </c>
      <c r="K34" s="278" t="str">
        <f>IFERROR(__xludf.DUMMYFUNCTION("""COMPUTED_VALUE"""),"https://vt.tiktok.com/ZSaXKrPqK/")</f>
        <v>https://vt.tiktok.com/ZSaXKrPqK/</v>
      </c>
      <c r="L34" s="333"/>
      <c r="M34" s="262"/>
      <c r="N34" s="333"/>
      <c r="O34" s="17"/>
      <c r="P34" s="333"/>
      <c r="Q34" s="17"/>
      <c r="R34" s="77">
        <f>IFERROR(__xludf.DUMMYFUNCTION("""COMPUTED_VALUE"""),0.0)</f>
        <v>0</v>
      </c>
      <c r="S34" s="77">
        <f>IFERROR(__xludf.DUMMYFUNCTION("""COMPUTED_VALUE"""),0.0)</f>
        <v>0</v>
      </c>
      <c r="T34" s="63">
        <f>IFERROR(__xludf.DUMMYFUNCTION("""COMPUTED_VALUE"""),3.42203327E7)</f>
        <v>34220332.7</v>
      </c>
      <c r="U34" s="63">
        <f>IFERROR(__xludf.DUMMYFUNCTION("""COMPUTED_VALUE"""),0.0)</f>
        <v>0</v>
      </c>
    </row>
    <row r="35">
      <c r="A35" s="255" t="str">
        <f>IFERROR(__xludf.DUMMYFUNCTION("""COMPUTED_VALUE"""),"NANO")</f>
        <v>NANO</v>
      </c>
      <c r="B35" s="23" t="str">
        <f>IFERROR(__xludf.DUMMYFUNCTION("""COMPUTED_VALUE"""),"indysabillah")</f>
        <v>indysabillah</v>
      </c>
      <c r="C35" s="281" t="str">
        <f>IFERROR(__xludf.DUMMYFUNCTION("""COMPUTED_VALUE"""),"https://www.tiktok.com/@indysabillah")</f>
        <v>https://www.tiktok.com/@indysabillah</v>
      </c>
      <c r="D35" s="270">
        <f>IFERROR(__xludf.DUMMYFUNCTION("""COMPUTED_VALUE"""),8.1242092003E10)</f>
        <v>81242092003</v>
      </c>
      <c r="E35" s="271">
        <f>IFERROR(__xludf.DUMMYFUNCTION("""COMPUTED_VALUE"""),0.0)</f>
        <v>0</v>
      </c>
      <c r="F35" s="270">
        <f>IFERROR(__xludf.DUMMYFUNCTION("""COMPUTED_VALUE"""),1.0)</f>
        <v>1</v>
      </c>
      <c r="G35" s="59" t="str">
        <f>IFERROR(__xludf.DUMMYFUNCTION("""COMPUTED_VALUE"""),"Rp1JT+")</f>
        <v>Rp1JT+</v>
      </c>
      <c r="H35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35" s="260" t="str">
        <f>IFERROR(__xludf.DUMMYFUNCTION("""COMPUTED_VALUE"""),"Sampai")</f>
        <v>Sampai</v>
      </c>
      <c r="J35" s="333" t="str">
        <f>IFERROR(__xludf.DUMMYFUNCTION("""COMPUTED_VALUE"""),"Concept 3")</f>
        <v>Concept 3</v>
      </c>
      <c r="K35" s="278" t="str">
        <f>IFERROR(__xludf.DUMMYFUNCTION("""COMPUTED_VALUE"""),"https://www.tiktok.com/@dinif.sa/video/7621893246985489685?is_from_webapp=1&amp;sender_device=pc")</f>
        <v>https://www.tiktok.com/@dinif.sa/video/7621893246985489685?is_from_webapp=1&amp;sender_device=pc</v>
      </c>
      <c r="L35" s="333" t="str">
        <f>IFERROR(__xludf.DUMMYFUNCTION("""COMPUTED_VALUE"""),"Concept 3")</f>
        <v>Concept 3</v>
      </c>
      <c r="M35" s="278" t="str">
        <f>IFERROR(__xludf.DUMMYFUNCTION("""COMPUTED_VALUE"""),"https://www.tiktok.com/@dinif.sa/video/7622297896691485973?is_from_webapp=1&amp;sender_device=pc")</f>
        <v>https://www.tiktok.com/@dinif.sa/video/7622297896691485973?is_from_webapp=1&amp;sender_device=pc</v>
      </c>
      <c r="N35" s="333"/>
      <c r="O35" s="17"/>
      <c r="P35" s="333"/>
      <c r="Q35" s="17"/>
      <c r="R35" s="63">
        <f>IFERROR(__xludf.DUMMYFUNCTION("""COMPUTED_VALUE"""),0.0)</f>
        <v>0</v>
      </c>
      <c r="S35" s="63">
        <f>IFERROR(__xludf.DUMMYFUNCTION("""COMPUTED_VALUE"""),0.0)</f>
        <v>0</v>
      </c>
      <c r="T35" s="63">
        <f>IFERROR(__xludf.DUMMYFUNCTION("""COMPUTED_VALUE"""),0.0)</f>
        <v>0</v>
      </c>
      <c r="U35" s="63">
        <f>IFERROR(__xludf.DUMMYFUNCTION("""COMPUTED_VALUE"""),0.0)</f>
        <v>0</v>
      </c>
    </row>
    <row r="36">
      <c r="A36" s="255" t="str">
        <f>IFERROR(__xludf.DUMMYFUNCTION("""COMPUTED_VALUE"""),"NANO")</f>
        <v>NANO</v>
      </c>
      <c r="B36" s="23" t="str">
        <f>IFERROR(__xludf.DUMMYFUNCTION("""COMPUTED_VALUE"""),"pildaindah")</f>
        <v>pildaindah</v>
      </c>
      <c r="C36" s="281" t="str">
        <f>IFERROR(__xludf.DUMMYFUNCTION("""COMPUTED_VALUE"""),"https://www.tiktok.com/@pildaindah")</f>
        <v>https://www.tiktok.com/@pildaindah</v>
      </c>
      <c r="D36" s="270">
        <f>IFERROR(__xludf.DUMMYFUNCTION("""COMPUTED_VALUE"""),8.2297147196E10)</f>
        <v>82297147196</v>
      </c>
      <c r="E36" s="271">
        <f>IFERROR(__xludf.DUMMYFUNCTION("""COMPUTED_VALUE"""),0.0)</f>
        <v>0</v>
      </c>
      <c r="F36" s="270">
        <f>IFERROR(__xludf.DUMMYFUNCTION("""COMPUTED_VALUE"""),1.0)</f>
        <v>1</v>
      </c>
      <c r="G36" s="59" t="str">
        <f>IFERROR(__xludf.DUMMYFUNCTION("""COMPUTED_VALUE"""),"Rp2,6JT")</f>
        <v>Rp2,6JT</v>
      </c>
      <c r="H36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36" s="260" t="str">
        <f>IFERROR(__xludf.DUMMYFUNCTION("""COMPUTED_VALUE"""),"Sampai")</f>
        <v>Sampai</v>
      </c>
      <c r="J36" s="333" t="str">
        <f>IFERROR(__xludf.DUMMYFUNCTION("""COMPUTED_VALUE"""),"Concept 3")</f>
        <v>Concept 3</v>
      </c>
      <c r="K36" s="278" t="str">
        <f>IFERROR(__xludf.DUMMYFUNCTION("""COMPUTED_VALUE"""),"https://vt.tiktok.com/ZSavd7WM3/")</f>
        <v>https://vt.tiktok.com/ZSavd7WM3/</v>
      </c>
      <c r="L36" s="333" t="str">
        <f>IFERROR(__xludf.DUMMYFUNCTION("""COMPUTED_VALUE"""),"Concept 3")</f>
        <v>Concept 3</v>
      </c>
      <c r="M36" s="278" t="str">
        <f>IFERROR(__xludf.DUMMYFUNCTION("""COMPUTED_VALUE"""),"https://www.tiktok.com/@pildaindah/video/7608163883563371784?_r=1&amp;u_code=cl78h3mbdgb43g&amp;region=&amp;mid=7413181787679034145&amp;preview_pb=0&amp;sharer_language=&amp;_d=0&amp;ec_shared_reflux_dynamic_params=%7B%22placeholder_material_id%22%3A%227608163883563371784%22%2C%22pl"&amp;"aceholder_origin_cover%22%3A%22https%253A%252F%252Fp16-sign-sg.tiktokcdn.com%252Ftos-alisg-p-0037%252Fog2IoIo0AAfODhfUjFflzTDCUCKjTEI0MBjlBV~tplv-tiktokx-origin.jpeg%253Fdr%253D14572%2526refresh_token%253D80aaa591%2526x-expires%253D1803031200%2526x-signat"&amp;"ure%253DaSR5MKwpLBSjSyfqnysejfyVC0w%25253D%2526t%253D4d5b0474%2526ps%253D13740610%2526shp%253Dd05b14bd%2526shcp%253D34ff8df6%2526idc%253Dmy%2526s%253DTIKTOK_AFFILIATE_VIRAL_VIDEO%22%2C%22placeholder_product_id%22%3A%221729991116494375315%22%2C%22placehold"&amp;"er_video_id%22%3A%227608163883563371784%22%7D&amp;ec_shared_reflux_scene=shop_tab_feed&amp;share_item_id=7608163883563371784&amp;source=h5_t")</f>
        <v>https://www.tiktok.com/@pildaindah/video/7608163883563371784?_r=1&amp;u_code=cl78h3mbdgb43g&amp;region=&amp;mid=7413181787679034145&amp;preview_pb=0&amp;sharer_language=&amp;_d=0&amp;ec_shared_reflux_dynamic_params=%7B%22placeholder_material_id%22%3A%227608163883563371784%22%2C%22placeholder_origin_cover%22%3A%22https%253A%252F%252Fp16-sign-sg.tiktokcdn.com%252Ftos-alisg-p-0037%252Fog2IoIo0AAfODhfUjFflzTDCUCKjTEI0MBjlBV~tplv-tiktokx-origin.jpeg%253Fdr%253D14572%2526refresh_token%253D80aaa591%2526x-expires%253D1803031200%2526x-signature%253DaSR5MKwpLBSjSyfqnysejfyVC0w%25253D%2526t%253D4d5b0474%2526ps%253D13740610%2526shp%253Dd05b14bd%2526shcp%253D34ff8df6%2526idc%253Dmy%2526s%253DTIKTOK_AFFILIATE_VIRAL_VIDEO%22%2C%22placeholder_product_id%22%3A%221729991116494375315%22%2C%22placeholder_video_id%22%3A%227608163883563371784%22%7D&amp;ec_shared_reflux_scene=shop_tab_feed&amp;share_item_id=7608163883563371784&amp;source=h5_t</v>
      </c>
      <c r="N36" s="333"/>
      <c r="O36" s="17"/>
      <c r="P36" s="333"/>
      <c r="Q36" s="17"/>
      <c r="R36" s="63">
        <f>IFERROR(__xludf.DUMMYFUNCTION("""COMPUTED_VALUE"""),0.0)</f>
        <v>0</v>
      </c>
      <c r="S36" s="63">
        <f>IFERROR(__xludf.DUMMYFUNCTION("""COMPUTED_VALUE"""),0.0)</f>
        <v>0</v>
      </c>
      <c r="T36" s="63">
        <f>IFERROR(__xludf.DUMMYFUNCTION("""COMPUTED_VALUE"""),0.0)</f>
        <v>0</v>
      </c>
      <c r="U36" s="63">
        <f>IFERROR(__xludf.DUMMYFUNCTION("""COMPUTED_VALUE"""),0.0)</f>
        <v>0</v>
      </c>
    </row>
    <row r="37">
      <c r="A37" s="255" t="str">
        <f>IFERROR(__xludf.DUMMYFUNCTION("""COMPUTED_VALUE"""),"NANO")</f>
        <v>NANO</v>
      </c>
      <c r="B37" s="23" t="str">
        <f>IFERROR(__xludf.DUMMYFUNCTION("""COMPUTED_VALUE"""),"ceisyaandr")</f>
        <v>ceisyaandr</v>
      </c>
      <c r="C37" s="281" t="str">
        <f>IFERROR(__xludf.DUMMYFUNCTION("""COMPUTED_VALUE"""),"https://www.tiktok.com/@ceisyaandr")</f>
        <v>https://www.tiktok.com/@ceisyaandr</v>
      </c>
      <c r="D37" s="270">
        <f>IFERROR(__xludf.DUMMYFUNCTION("""COMPUTED_VALUE"""),8.986957804E9)</f>
        <v>8986957804</v>
      </c>
      <c r="E37" s="271">
        <f>IFERROR(__xludf.DUMMYFUNCTION("""COMPUTED_VALUE"""),0.0)</f>
        <v>0</v>
      </c>
      <c r="F37" s="270">
        <f>IFERROR(__xludf.DUMMYFUNCTION("""COMPUTED_VALUE"""),3.0)</f>
        <v>3</v>
      </c>
      <c r="G37" s="59" t="str">
        <f>IFERROR(__xludf.DUMMYFUNCTION("""COMPUTED_VALUE"""),"Rp19,8JT")</f>
        <v>Rp19,8JT</v>
      </c>
      <c r="H37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37" s="260" t="str">
        <f>IFERROR(__xludf.DUMMYFUNCTION("""COMPUTED_VALUE"""),"Sampai")</f>
        <v>Sampai</v>
      </c>
      <c r="J37" s="333" t="str">
        <f>IFERROR(__xludf.DUMMYFUNCTION("""COMPUTED_VALUE"""),"Concept 3")</f>
        <v>Concept 3</v>
      </c>
      <c r="K37" s="278" t="str">
        <f>IFERROR(__xludf.DUMMYFUNCTION("""COMPUTED_VALUE"""),"https://vt.tiktok.com/ZSmYN2JdJ/")</f>
        <v>https://vt.tiktok.com/ZSmYN2JdJ/</v>
      </c>
      <c r="L37" s="333" t="str">
        <f>IFERROR(__xludf.DUMMYFUNCTION("""COMPUTED_VALUE"""),"Concept 3")</f>
        <v>Concept 3</v>
      </c>
      <c r="M37" s="278" t="str">
        <f>IFERROR(__xludf.DUMMYFUNCTION("""COMPUTED_VALUE"""),"https://www.tiktok.com/@ceisyaandr/video/7608019415833103637?_r=1&amp;u_code=dic64lib4hd2hj&amp;region=&amp;mid=7608019489464044308&amp;preview_pb=0&amp;sharer_language=&amp;_d=0&amp;ec_shared_reflux_dynamic_params=%7B%22placeholder_material_id%22%3A%227608019415833103637%22%2C%22pl"&amp;"aceholder_origin_cover%22%3A%22https%253A%252F%252Fp16-sign-sg.tiktokcdn.com%252Ftos-alisg-p-0037%252FokI8UpWiPkdo3VAa6VBEIgB8BHAxYA8GCYiZa~tplv-tiktokx-origin.jpeg%253Fdr%253D14572%2526refresh_token%253Da34e8eda%2526x-expires%253D1803981600%2526x-signatu"&amp;"re%253D9%25252BvHOEEN3QMKszh2WOlQQyDnFAQ%25253D%2526t%253D4d5b0474%2526ps%253D13740610%2526shp%253Dd05b14bd%2526shcp%253D34ff8df6%2526idc%253Dmy%2526s%253DTIKTOK_AFFILIATE_VIRAL_VIDEO%22%2C%22placeholder_product_id%22%3A%221729991116494375315%22%2C%22plac"&amp;"eholder_video_id%22%3A%227608019415833103637%22%7D&amp;ec_shared_reflux_scene=shop_tab_feed&amp;share_item_id=7608019415833103637&amp;source=h5_t")</f>
        <v>https://www.tiktok.com/@ceisyaandr/video/7608019415833103637?_r=1&amp;u_code=dic64lib4hd2hj&amp;region=&amp;mid=7608019489464044308&amp;preview_pb=0&amp;sharer_language=&amp;_d=0&amp;ec_shared_reflux_dynamic_params=%7B%22placeholder_material_id%22%3A%227608019415833103637%22%2C%22placeholder_origin_cover%22%3A%22https%253A%252F%252Fp16-sign-sg.tiktokcdn.com%252Ftos-alisg-p-0037%252FokI8UpWiPkdo3VAa6VBEIgB8BHAxYA8GCYiZa~tplv-tiktokx-origin.jpeg%253Fdr%253D14572%2526refresh_token%253Da34e8eda%2526x-expires%253D1803981600%2526x-signature%253D9%25252BvHOEEN3QMKszh2WOlQQyDnFAQ%25253D%2526t%253D4d5b0474%2526ps%253D13740610%2526shp%253Dd05b14bd%2526shcp%253D34ff8df6%2526idc%253Dmy%2526s%253DTIKTOK_AFFILIATE_VIRAL_VIDEO%22%2C%22placeholder_product_id%22%3A%221729991116494375315%22%2C%22placeholder_video_id%22%3A%227608019415833103637%22%7D&amp;ec_shared_reflux_scene=shop_tab_feed&amp;share_item_id=7608019415833103637&amp;source=h5_t</v>
      </c>
      <c r="N37" s="333" t="str">
        <f>IFERROR(__xludf.DUMMYFUNCTION("""COMPUTED_VALUE"""),"Concept 3")</f>
        <v>Concept 3</v>
      </c>
      <c r="O37" s="279" t="str">
        <f>IFERROR(__xludf.DUMMYFUNCTION("""COMPUTED_VALUE"""),"https://vt.tiktok.com/ZSm3mjo1o/")</f>
        <v>https://vt.tiktok.com/ZSm3mjo1o/</v>
      </c>
      <c r="P37" s="333" t="str">
        <f>IFERROR(__xludf.DUMMYFUNCTION("""COMPUTED_VALUE"""),"Concept 3")</f>
        <v>Concept 3</v>
      </c>
      <c r="Q37" s="279" t="str">
        <f>IFERROR(__xludf.DUMMYFUNCTION("""COMPUTED_VALUE"""),"https://vt.tiktok.com/ZSuHtoh5q/")</f>
        <v>https://vt.tiktok.com/ZSuHtoh5q/</v>
      </c>
      <c r="R37" s="63">
        <f>IFERROR(__xludf.DUMMYFUNCTION("""COMPUTED_VALUE"""),27550.0)</f>
        <v>27550</v>
      </c>
      <c r="S37" s="63">
        <f>IFERROR(__xludf.DUMMYFUNCTION("""COMPUTED_VALUE"""),0.0)</f>
        <v>0</v>
      </c>
      <c r="T37" s="63">
        <f>IFERROR(__xludf.DUMMYFUNCTION("""COMPUTED_VALUE"""),3.4615783879999995E7)</f>
        <v>34615783.88</v>
      </c>
      <c r="U37" s="63">
        <f>IFERROR(__xludf.DUMMYFUNCTION("""COMPUTED_VALUE"""),0.0)</f>
        <v>0</v>
      </c>
    </row>
    <row r="38">
      <c r="A38" s="255" t="str">
        <f>IFERROR(__xludf.DUMMYFUNCTION("""COMPUTED_VALUE"""),"MICRO")</f>
        <v>MICRO</v>
      </c>
      <c r="B38" s="23" t="str">
        <f>IFERROR(__xludf.DUMMYFUNCTION("""COMPUTED_VALUE"""),"mayang_skincare")</f>
        <v>mayang_skincare</v>
      </c>
      <c r="C38" s="281" t="str">
        <f>IFERROR(__xludf.DUMMYFUNCTION("""COMPUTED_VALUE"""),"https://www.tiktok.com/@mayang_skincare")</f>
        <v>https://www.tiktok.com/@mayang_skincare</v>
      </c>
      <c r="D38" s="270">
        <f>IFERROR(__xludf.DUMMYFUNCTION("""COMPUTED_VALUE"""),8.95635947123E11)</f>
        <v>895635947123</v>
      </c>
      <c r="E38" s="271">
        <f>IFERROR(__xludf.DUMMYFUNCTION("""COMPUTED_VALUE"""),0.0)</f>
        <v>0</v>
      </c>
      <c r="F38" s="270">
        <f>IFERROR(__xludf.DUMMYFUNCTION("""COMPUTED_VALUE"""),2.0)</f>
        <v>2</v>
      </c>
      <c r="G38" s="59" t="str">
        <f>IFERROR(__xludf.DUMMYFUNCTION("""COMPUTED_VALUE"""),"Rp72,3JT")</f>
        <v>Rp72,3JT</v>
      </c>
      <c r="H38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38" s="260" t="str">
        <f>IFERROR(__xludf.DUMMYFUNCTION("""COMPUTED_VALUE"""),"Sampai")</f>
        <v>Sampai</v>
      </c>
      <c r="J38" s="333" t="str">
        <f>IFERROR(__xludf.DUMMYFUNCTION("""COMPUTED_VALUE""")," Concept 1")</f>
        <v> Concept 1</v>
      </c>
      <c r="K38" s="278" t="str">
        <f>IFERROR(__xludf.DUMMYFUNCTION("""COMPUTED_VALUE"""),"https://vt.tiktok.com/ZSmY2qsC4/")</f>
        <v>https://vt.tiktok.com/ZSmY2qsC4/</v>
      </c>
      <c r="L38" s="333" t="str">
        <f>IFERROR(__xludf.DUMMYFUNCTION("""COMPUTED_VALUE""")," Concept 1")</f>
        <v> Concept 1</v>
      </c>
      <c r="M38" s="278" t="str">
        <f>IFERROR(__xludf.DUMMYFUNCTION("""COMPUTED_VALUE"""),"https://vt.tiktok.com/ZSmMuKVdf/")</f>
        <v>https://vt.tiktok.com/ZSmMuKVdf/</v>
      </c>
      <c r="N38" s="333" t="str">
        <f>IFERROR(__xludf.DUMMYFUNCTION("""COMPUTED_VALUE""")," Concept 1")</f>
        <v> Concept 1</v>
      </c>
      <c r="O38" s="279" t="str">
        <f>IFERROR(__xludf.DUMMYFUNCTION("""COMPUTED_VALUE"""),"https://vt.tiktok.com/ZSmUWqqSR/")</f>
        <v>https://vt.tiktok.com/ZSmUWqqSR/</v>
      </c>
      <c r="P38" s="333"/>
      <c r="Q38" s="17"/>
      <c r="R38" s="63">
        <f>IFERROR(__xludf.DUMMYFUNCTION("""COMPUTED_VALUE"""),27550.0)</f>
        <v>27550</v>
      </c>
      <c r="S38" s="63">
        <f>IFERROR(__xludf.DUMMYFUNCTION("""COMPUTED_VALUE"""),0.0)</f>
        <v>0</v>
      </c>
      <c r="T38" s="63">
        <f>IFERROR(__xludf.DUMMYFUNCTION("""COMPUTED_VALUE"""),0.0)</f>
        <v>0</v>
      </c>
      <c r="U38" s="63">
        <f>IFERROR(__xludf.DUMMYFUNCTION("""COMPUTED_VALUE"""),0.0)</f>
        <v>0</v>
      </c>
    </row>
    <row r="39">
      <c r="A39" s="255" t="str">
        <f>IFERROR(__xludf.DUMMYFUNCTION("""COMPUTED_VALUE"""),"NANO")</f>
        <v>NANO</v>
      </c>
      <c r="B39" s="23" t="str">
        <f>IFERROR(__xludf.DUMMYFUNCTION("""COMPUTED_VALUE"""),"shavirapuspitacitra")</f>
        <v>shavirapuspitacitra</v>
      </c>
      <c r="C39" s="281" t="str">
        <f>IFERROR(__xludf.DUMMYFUNCTION("""COMPUTED_VALUE"""),"https://www.tiktok.com/@shavirapuspitacitra")</f>
        <v>https://www.tiktok.com/@shavirapuspitacitra</v>
      </c>
      <c r="D39" s="270">
        <f>IFERROR(__xludf.DUMMYFUNCTION("""COMPUTED_VALUE"""),8.7768647289E10)</f>
        <v>87768647289</v>
      </c>
      <c r="E39" s="271">
        <f>IFERROR(__xludf.DUMMYFUNCTION("""COMPUTED_VALUE"""),250000.0)</f>
        <v>250000</v>
      </c>
      <c r="F39" s="270">
        <f>IFERROR(__xludf.DUMMYFUNCTION("""COMPUTED_VALUE"""),1.0)</f>
        <v>1</v>
      </c>
      <c r="G39" s="59" t="str">
        <f>IFERROR(__xludf.DUMMYFUNCTION("""COMPUTED_VALUE"""),"Rp1JT+")</f>
        <v>Rp1JT+</v>
      </c>
      <c r="H39" s="277" t="str">
        <f>IFERROR(__xludf.DUMMYFUNCTION("""COMPUTED_VALUE"""),"NEW! OMG Acne &amp; Oil Control UV Barrier Sunscreen SPF50 PA++++ ")</f>
        <v>NEW! OMG Acne &amp; Oil Control UV Barrier Sunscreen SPF50 PA++++ </v>
      </c>
      <c r="I39" s="260" t="str">
        <f>IFERROR(__xludf.DUMMYFUNCTION("""COMPUTED_VALUE"""),"Sampai")</f>
        <v>Sampai</v>
      </c>
      <c r="J39" s="333" t="str">
        <f>IFERROR(__xludf.DUMMYFUNCTION("""COMPUTED_VALUE""")," Concept 1")</f>
        <v> Concept 1</v>
      </c>
      <c r="K39" s="278" t="str">
        <f>IFERROR(__xludf.DUMMYFUNCTION("""COMPUTED_VALUE"""),"https://vt.tiktok.com/ZSaQkHAae/")</f>
        <v>https://vt.tiktok.com/ZSaQkHAae/</v>
      </c>
      <c r="L39" s="333"/>
      <c r="M39" s="262"/>
      <c r="N39" s="333"/>
      <c r="O39" s="17"/>
      <c r="P39" s="333"/>
      <c r="Q39" s="17"/>
      <c r="R39" s="63">
        <f>IFERROR(__xludf.DUMMYFUNCTION("""COMPUTED_VALUE"""),52896.0)</f>
        <v>52896</v>
      </c>
      <c r="S39" s="63">
        <f>IFERROR(__xludf.DUMMYFUNCTION("""COMPUTED_VALUE"""),0.0)</f>
        <v>0</v>
      </c>
      <c r="T39" s="63">
        <f>IFERROR(__xludf.DUMMYFUNCTION("""COMPUTED_VALUE"""),7.174642311E7)</f>
        <v>71746423.11</v>
      </c>
      <c r="U39" s="63">
        <f>IFERROR(__xludf.DUMMYFUNCTION("""COMPUTED_VALUE"""),0.0)</f>
        <v>0</v>
      </c>
    </row>
    <row r="40">
      <c r="A40" s="255" t="str">
        <f>IFERROR(__xludf.DUMMYFUNCTION("""COMPUTED_VALUE"""),"MICRO")</f>
        <v>MICRO</v>
      </c>
      <c r="B40" s="23" t="str">
        <f>IFERROR(__xludf.DUMMYFUNCTION("""COMPUTED_VALUE"""),"rysa_mon")</f>
        <v>rysa_mon</v>
      </c>
      <c r="C40" s="281" t="str">
        <f>IFERROR(__xludf.DUMMYFUNCTION("""COMPUTED_VALUE"""),"https://www.tiktok.com/@rysa_mon")</f>
        <v>https://www.tiktok.com/@rysa_mon</v>
      </c>
      <c r="D40" s="270">
        <f>IFERROR(__xludf.DUMMYFUNCTION("""COMPUTED_VALUE"""),8.223288345E10)</f>
        <v>82232883450</v>
      </c>
      <c r="E40" s="271">
        <f>IFERROR(__xludf.DUMMYFUNCTION("""COMPUTED_VALUE"""),0.0)</f>
        <v>0</v>
      </c>
      <c r="F40" s="270">
        <f>IFERROR(__xludf.DUMMYFUNCTION("""COMPUTED_VALUE"""),2.0)</f>
        <v>2</v>
      </c>
      <c r="G40" s="59" t="str">
        <f>IFERROR(__xludf.DUMMYFUNCTION("""COMPUTED_VALUE"""),"Rp1JT+")</f>
        <v>Rp1JT+</v>
      </c>
      <c r="H40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40" s="260" t="str">
        <f>IFERROR(__xludf.DUMMYFUNCTION("""COMPUTED_VALUE"""),"Sampai")</f>
        <v>Sampai</v>
      </c>
      <c r="J40" s="333" t="str">
        <f>IFERROR(__xludf.DUMMYFUNCTION("""COMPUTED_VALUE"""),"Concept 3")</f>
        <v>Concept 3</v>
      </c>
      <c r="K40" s="278" t="str">
        <f>IFERROR(__xludf.DUMMYFUNCTION("""COMPUTED_VALUE"""),"https://vt.tiktok.com/ZSm2Egj8k/")</f>
        <v>https://vt.tiktok.com/ZSm2Egj8k/</v>
      </c>
      <c r="L40" s="333" t="str">
        <f>IFERROR(__xludf.DUMMYFUNCTION("""COMPUTED_VALUE"""),"Concept 3")</f>
        <v>Concept 3</v>
      </c>
      <c r="M40" s="278" t="str">
        <f>IFERROR(__xludf.DUMMYFUNCTION("""COMPUTED_VALUE"""),"https://vt.tiktok.com/ZSmDVmnGM/")</f>
        <v>https://vt.tiktok.com/ZSmDVmnGM/</v>
      </c>
      <c r="N40" s="333"/>
      <c r="O40" s="17"/>
      <c r="P40" s="333"/>
      <c r="Q40" s="17"/>
      <c r="R40" s="63">
        <f>IFERROR(__xludf.DUMMYFUNCTION("""COMPUTED_VALUE"""),52011.0)</f>
        <v>52011</v>
      </c>
      <c r="S40" s="63">
        <f>IFERROR(__xludf.DUMMYFUNCTION("""COMPUTED_VALUE"""),0.0)</f>
        <v>0</v>
      </c>
      <c r="T40" s="63">
        <f>IFERROR(__xludf.DUMMYFUNCTION("""COMPUTED_VALUE"""),0.0)</f>
        <v>0</v>
      </c>
      <c r="U40" s="63">
        <f>IFERROR(__xludf.DUMMYFUNCTION("""COMPUTED_VALUE"""),0.0)</f>
        <v>0</v>
      </c>
    </row>
    <row r="41">
      <c r="A41" s="255" t="str">
        <f>IFERROR(__xludf.DUMMYFUNCTION("""COMPUTED_VALUE"""),"MICRO")</f>
        <v>MICRO</v>
      </c>
      <c r="B41" s="23" t="str">
        <f>IFERROR(__xludf.DUMMYFUNCTION("""COMPUTED_VALUE"""),"azahrahf")</f>
        <v>azahrahf</v>
      </c>
      <c r="C41" s="281" t="str">
        <f>IFERROR(__xludf.DUMMYFUNCTION("""COMPUTED_VALUE"""),"https://www.tiktok.com/@azahrahf")</f>
        <v>https://www.tiktok.com/@azahrahf</v>
      </c>
      <c r="D41" s="270">
        <f>IFERROR(__xludf.DUMMYFUNCTION("""COMPUTED_VALUE"""),8.512122429E10)</f>
        <v>85121224290</v>
      </c>
      <c r="E41" s="271">
        <f>IFERROR(__xludf.DUMMYFUNCTION("""COMPUTED_VALUE"""),1102500.0)</f>
        <v>1102500</v>
      </c>
      <c r="F41" s="270">
        <f>IFERROR(__xludf.DUMMYFUNCTION("""COMPUTED_VALUE"""),1.0)</f>
        <v>1</v>
      </c>
      <c r="G41" s="59" t="str">
        <f>IFERROR(__xludf.DUMMYFUNCTION("""COMPUTED_VALUE"""),"Rp1JT+")</f>
        <v>Rp1JT+</v>
      </c>
      <c r="H41" s="277" t="str">
        <f>IFERROR(__xludf.DUMMYFUNCTION("""COMPUTED_VALUE"""),"NEW! OMG Acne &amp; Oil Control UV Barrier Sunscreen SPF50 PA++++ ")</f>
        <v>NEW! OMG Acne &amp; Oil Control UV Barrier Sunscreen SPF50 PA++++ </v>
      </c>
      <c r="I41" s="260" t="str">
        <f>IFERROR(__xludf.DUMMYFUNCTION("""COMPUTED_VALUE"""),"Sampai")</f>
        <v>Sampai</v>
      </c>
      <c r="J41" s="333" t="str">
        <f>IFERROR(__xludf.DUMMYFUNCTION("""COMPUTED_VALUE"""),"Concept 3")</f>
        <v>Concept 3</v>
      </c>
      <c r="K41" s="278" t="str">
        <f>IFERROR(__xludf.DUMMYFUNCTION("""COMPUTED_VALUE"""),"https://vt.tiktok.com/ZSmLGDxLk/")</f>
        <v>https://vt.tiktok.com/ZSmLGDxLk/</v>
      </c>
      <c r="L41" s="333"/>
      <c r="M41" s="262"/>
      <c r="N41" s="333"/>
      <c r="O41" s="17"/>
      <c r="P41" s="333"/>
      <c r="Q41" s="17"/>
      <c r="R41" s="63">
        <f>IFERROR(__xludf.DUMMYFUNCTION("""COMPUTED_VALUE"""),1.2333072E7)</f>
        <v>12333072</v>
      </c>
      <c r="S41" s="63">
        <f>IFERROR(__xludf.DUMMYFUNCTION("""COMPUTED_VALUE"""),0.0)</f>
        <v>0</v>
      </c>
      <c r="T41" s="63">
        <f>IFERROR(__xludf.DUMMYFUNCTION("""COMPUTED_VALUE"""),2.380493177E7)</f>
        <v>23804931.77</v>
      </c>
      <c r="U41" s="63">
        <f>IFERROR(__xludf.DUMMYFUNCTION("""COMPUTED_VALUE"""),0.0)</f>
        <v>0</v>
      </c>
    </row>
    <row r="42">
      <c r="A42" s="255" t="str">
        <f>IFERROR(__xludf.DUMMYFUNCTION("""COMPUTED_VALUE"""),"NANO")</f>
        <v>NANO</v>
      </c>
      <c r="B42" s="257" t="str">
        <f>IFERROR(__xludf.DUMMYFUNCTION("""COMPUTED_VALUE"""),"sinispill.id")</f>
        <v>sinispill.id</v>
      </c>
      <c r="C42" s="281" t="str">
        <f>IFERROR(__xludf.DUMMYFUNCTION("""COMPUTED_VALUE"""),"https://www.tiktok.com/@sinispill.id")</f>
        <v>https://www.tiktok.com/@sinispill.id</v>
      </c>
      <c r="D42" s="270">
        <f>IFERROR(__xludf.DUMMYFUNCTION("""COMPUTED_VALUE"""),8.5179889776E10)</f>
        <v>85179889776</v>
      </c>
      <c r="E42" s="271">
        <f>IFERROR(__xludf.DUMMYFUNCTION("""COMPUTED_VALUE"""),0.0)</f>
        <v>0</v>
      </c>
      <c r="F42" s="270">
        <f>IFERROR(__xludf.DUMMYFUNCTION("""COMPUTED_VALUE"""),3.0)</f>
        <v>3</v>
      </c>
      <c r="G42" s="59" t="str">
        <f>IFERROR(__xludf.DUMMYFUNCTION("""COMPUTED_VALUE"""),"Rp18,5JT")</f>
        <v>Rp18,5JT</v>
      </c>
      <c r="H42" s="277" t="str">
        <f>IFERROR(__xludf.DUMMYFUNCTION("""COMPUTED_VALUE"""),"NEW! OMG Acne &amp; Oil Control UV Barrier Sunscreen SPF50 PA++++ ")</f>
        <v>NEW! OMG Acne &amp; Oil Control UV Barrier Sunscreen SPF50 PA++++ </v>
      </c>
      <c r="I42" s="260" t="str">
        <f>IFERROR(__xludf.DUMMYFUNCTION("""COMPUTED_VALUE"""),"Sampai")</f>
        <v>Sampai</v>
      </c>
      <c r="J42" s="333" t="str">
        <f>IFERROR(__xludf.DUMMYFUNCTION("""COMPUTED_VALUE"""),"Concept 3")</f>
        <v>Concept 3</v>
      </c>
      <c r="K42" s="278" t="str">
        <f>IFERROR(__xludf.DUMMYFUNCTION("""COMPUTED_VALUE"""),"https://vt.tiktok.com/ZSmBeFAJ2/")</f>
        <v>https://vt.tiktok.com/ZSmBeFAJ2/</v>
      </c>
      <c r="L42" s="333" t="str">
        <f>IFERROR(__xludf.DUMMYFUNCTION("""COMPUTED_VALUE"""),"Concept 3")</f>
        <v>Concept 3</v>
      </c>
      <c r="M42" s="278" t="str">
        <f>IFERROR(__xludf.DUMMYFUNCTION("""COMPUTED_VALUE"""),"https://vt.tiktok.com/ZSm3aSoEo/")</f>
        <v>https://vt.tiktok.com/ZSm3aSoEo/</v>
      </c>
      <c r="N42" s="333" t="str">
        <f>IFERROR(__xludf.DUMMYFUNCTION("""COMPUTED_VALUE"""),"Concept 3")</f>
        <v>Concept 3</v>
      </c>
      <c r="O42" s="279" t="str">
        <f>IFERROR(__xludf.DUMMYFUNCTION("""COMPUTED_VALUE"""),"https://www.tiktok.com/@sinispill.id/video/7613574578383621396?is_from_webapp=1&amp;sender_device=pc")</f>
        <v>https://www.tiktok.com/@sinispill.id/video/7613574578383621396?is_from_webapp=1&amp;sender_device=pc</v>
      </c>
      <c r="P42" s="333"/>
      <c r="Q42" s="17"/>
      <c r="R42" s="63">
        <f>IFERROR(__xludf.DUMMYFUNCTION("""COMPUTED_VALUE"""),0.0)</f>
        <v>0</v>
      </c>
      <c r="S42" s="63">
        <f>IFERROR(__xludf.DUMMYFUNCTION("""COMPUTED_VALUE"""),0.0)</f>
        <v>0</v>
      </c>
      <c r="T42" s="63">
        <f>IFERROR(__xludf.DUMMYFUNCTION("""COMPUTED_VALUE"""),0.0)</f>
        <v>0</v>
      </c>
      <c r="U42" s="63">
        <f>IFERROR(__xludf.DUMMYFUNCTION("""COMPUTED_VALUE"""),0.0)</f>
        <v>0</v>
      </c>
    </row>
    <row r="43">
      <c r="A43" s="255" t="str">
        <f>IFERROR(__xludf.DUMMYFUNCTION("""COMPUTED_VALUE"""),"NANO")</f>
        <v>NANO</v>
      </c>
      <c r="B43" s="23" t="str">
        <f>IFERROR(__xludf.DUMMYFUNCTION("""COMPUTED_VALUE"""),"rahayuuuu_2")</f>
        <v>rahayuuuu_2</v>
      </c>
      <c r="C43" s="281" t="str">
        <f>IFERROR(__xludf.DUMMYFUNCTION("""COMPUTED_VALUE"""),"https://www.tiktok.com/@rahayuuuu_2")</f>
        <v>https://www.tiktok.com/@rahayuuuu_2</v>
      </c>
      <c r="D43" s="270">
        <f>IFERROR(__xludf.DUMMYFUNCTION("""COMPUTED_VALUE"""),8.57039274E10)</f>
        <v>85703927400</v>
      </c>
      <c r="E43" s="271">
        <f>IFERROR(__xludf.DUMMYFUNCTION("""COMPUTED_VALUE"""),0.0)</f>
        <v>0</v>
      </c>
      <c r="F43" s="270">
        <f>IFERROR(__xludf.DUMMYFUNCTION("""COMPUTED_VALUE"""),1.0)</f>
        <v>1</v>
      </c>
      <c r="G43" s="59" t="str">
        <f>IFERROR(__xludf.DUMMYFUNCTION("""COMPUTED_VALUE"""),"Rp1JT+")</f>
        <v>Rp1JT+</v>
      </c>
      <c r="H43" s="277" t="str">
        <f>IFERROR(__xludf.DUMMYFUNCTION("""COMPUTED_VALUE"""),"Brightening &amp; Soothing Toner")</f>
        <v>Brightening &amp; Soothing Toner</v>
      </c>
      <c r="I43" s="260" t="str">
        <f>IFERROR(__xludf.DUMMYFUNCTION("""COMPUTED_VALUE"""),"Sampai")</f>
        <v>Sampai</v>
      </c>
      <c r="J43" s="333" t="str">
        <f>IFERROR(__xludf.DUMMYFUNCTION("""COMPUTED_VALUE"""),"Concept 3")</f>
        <v>Concept 3</v>
      </c>
      <c r="K43" s="278" t="str">
        <f>IFERROR(__xludf.DUMMYFUNCTION("""COMPUTED_VALUE"""),"https://vt.tiktok.com/ZSmRUDGS7/")</f>
        <v>https://vt.tiktok.com/ZSmRUDGS7/</v>
      </c>
      <c r="L43" s="333" t="str">
        <f>IFERROR(__xludf.DUMMYFUNCTION("""COMPUTED_VALUE"""),"Concept 3")</f>
        <v>Concept 3</v>
      </c>
      <c r="M43" s="278" t="str">
        <f>IFERROR(__xludf.DUMMYFUNCTION("""COMPUTED_VALUE"""),"https://vt.tiktok.com/ZSmjhBF43/")</f>
        <v>https://vt.tiktok.com/ZSmjhBF43/</v>
      </c>
      <c r="N43" s="333" t="str">
        <f>IFERROR(__xludf.DUMMYFUNCTION("""COMPUTED_VALUE"""),"Concept 3")</f>
        <v>Concept 3</v>
      </c>
      <c r="O43" s="279" t="str">
        <f>IFERROR(__xludf.DUMMYFUNCTION("""COMPUTED_VALUE"""),"https://www.tiktok.com/@rahayuuuu_2/video/7605503595668196615?_r=1&amp;u_code=dhb5c4bm0f2l5k&amp;region=&amp;mid=7605503632775072520&amp;preview_pb=0&amp;sharer_language=&amp;_d=0&amp;ec_shared_reflux_dynamic_params=%7B%22placeholder_material_id%22%3A%227605503595668196615%22%2C%22p"&amp;"laceholder_origin_cover%22%3A%22https%253A%252F%252Fp16-sign-sg.tiktokcdn.com%252Ftos-alisg-p-0037%252FoAUfj4pRCIhcELOBEpCgByD7FrfAABW2KIZM74~tplv-tiktokx-origin.jpeg%253Fdr%253D14572%2526refresh_token%253D3c660902%2526x-expires%253D1804237200%2526x-signa"&amp;"ture%253DBT%25252FStQzvFtyqgtKpmtAwKVHsUP0%25253D%2526t%253D4d5b0474%2526ps%253D13740610%2526shp%253Dd05b14bd%2526shcp%253D34ff8df6%2526idc%253Dmy2%2526s%253DTIKTOK_AFFILIATE_VIRAL_VIDEO%22%2C%22placeholder_product_id%22%3A%221733551239648413075%22%2C%22p"&amp;"laceholder_video_id%22%3A%227605503595668196615%22%7D&amp;ec_shared_reflux_scene=shop_tab_feed&amp;share_item_id=7605503595668196615&amp;source=h5_t")</f>
        <v>https://www.tiktok.com/@rahayuuuu_2/video/7605503595668196615?_r=1&amp;u_code=dhb5c4bm0f2l5k&amp;region=&amp;mid=7605503632775072520&amp;preview_pb=0&amp;sharer_language=&amp;_d=0&amp;ec_shared_reflux_dynamic_params=%7B%22placeholder_material_id%22%3A%227605503595668196615%22%2C%22placeholder_origin_cover%22%3A%22https%253A%252F%252Fp16-sign-sg.tiktokcdn.com%252Ftos-alisg-p-0037%252FoAUfj4pRCIhcELOBEpCgByD7FrfAABW2KIZM74~tplv-tiktokx-origin.jpeg%253Fdr%253D14572%2526refresh_token%253D3c660902%2526x-expires%253D1804237200%2526x-signature%253DBT%25252FStQzvFtyqgtKpmtAwKVHsUP0%25253D%2526t%253D4d5b0474%2526ps%253D13740610%2526shp%253Dd05b14bd%2526shcp%253D34ff8df6%2526idc%253Dmy2%2526s%253DTIKTOK_AFFILIATE_VIRAL_VIDEO%22%2C%22placeholder_product_id%22%3A%221733551239648413075%22%2C%22placeholder_video_id%22%3A%227605503595668196615%22%7D&amp;ec_shared_reflux_scene=shop_tab_feed&amp;share_item_id=7605503595668196615&amp;source=h5_t</v>
      </c>
      <c r="P43" s="333"/>
      <c r="Q43" s="17"/>
      <c r="R43" s="63">
        <f>IFERROR(__xludf.DUMMYFUNCTION("""COMPUTED_VALUE"""),0.0)</f>
        <v>0</v>
      </c>
      <c r="S43" s="63">
        <f>IFERROR(__xludf.DUMMYFUNCTION("""COMPUTED_VALUE"""),0.0)</f>
        <v>0</v>
      </c>
      <c r="T43" s="63">
        <f>IFERROR(__xludf.DUMMYFUNCTION("""COMPUTED_VALUE"""),0.0)</f>
        <v>0</v>
      </c>
      <c r="U43" s="63">
        <f>IFERROR(__xludf.DUMMYFUNCTION("""COMPUTED_VALUE"""),0.0)</f>
        <v>0</v>
      </c>
    </row>
    <row r="44">
      <c r="A44" s="255" t="str">
        <f>IFERROR(__xludf.DUMMYFUNCTION("""COMPUTED_VALUE"""),"MICRO")</f>
        <v>MICRO</v>
      </c>
      <c r="B44" s="257" t="str">
        <f>IFERROR(__xludf.DUMMYFUNCTION("""COMPUTED_VALUE"""),"dinif.sa")</f>
        <v>dinif.sa</v>
      </c>
      <c r="C44" s="281" t="str">
        <f>IFERROR(__xludf.DUMMYFUNCTION("""COMPUTED_VALUE"""),"https://www.tiktok.com/@dinif.sa")</f>
        <v>https://www.tiktok.com/@dinif.sa</v>
      </c>
      <c r="D44" s="270">
        <f>IFERROR(__xludf.DUMMYFUNCTION("""COMPUTED_VALUE"""),8.5212884452E10)</f>
        <v>85212884452</v>
      </c>
      <c r="E44" s="271">
        <f>IFERROR(__xludf.DUMMYFUNCTION("""COMPUTED_VALUE"""),0.0)</f>
        <v>0</v>
      </c>
      <c r="F44" s="270">
        <f>IFERROR(__xludf.DUMMYFUNCTION("""COMPUTED_VALUE"""),3.0)</f>
        <v>3</v>
      </c>
      <c r="G44" s="59" t="str">
        <f>IFERROR(__xludf.DUMMYFUNCTION("""COMPUTED_VALUE"""),"Rp228,2JT")</f>
        <v>Rp228,2JT</v>
      </c>
      <c r="H44" s="277" t="str">
        <f>IFERROR(__xludf.DUMMYFUNCTION("""COMPUTED_VALUE"""),"Brightening &amp; Soothing Toner")</f>
        <v>Brightening &amp; Soothing Toner</v>
      </c>
      <c r="I44" s="260" t="str">
        <f>IFERROR(__xludf.DUMMYFUNCTION("""COMPUTED_VALUE"""),"Sampai")</f>
        <v>Sampai</v>
      </c>
      <c r="J44" s="333" t="str">
        <f>IFERROR(__xludf.DUMMYFUNCTION("""COMPUTED_VALUE"""),"Concept 3")</f>
        <v>Concept 3</v>
      </c>
      <c r="K44" s="278" t="str">
        <f>IFERROR(__xludf.DUMMYFUNCTION("""COMPUTED_VALUE"""),"https://www.tiktok.com/@dinif.sa/video/7607043133674671380?_r=1&amp;u_code=dbghm7c96hifg4&amp;region=&amp;mid=7570976337012230913&amp;preview_pb=0&amp;sharer_language=&amp;_d=0&amp;ec_shared_reflux_dynamic_params=%7B%22placeholder_material_id%22%3A%227607043133674671380%22%2C%22plac"&amp;"eholder_origin_cover%22%3A%22https%253A%252F%252Fp16-sign-sg.tiktokcdn.com%252Ftos-alisg-p-0037%252FoY3LYICvQtjoGnT3IeuzRQ0eTXepIGm5IFIAAD~tplv-tiktokx-origin.jpeg%253Fdr%253D14572%2526refresh_token%253D525c79d0%2526x-expires%253D1803031200%2526x-signatur"&amp;"e%253DB9bdSSuznSfVWc262Dq%25252FJPW%25252BKlw%25253D%2526t%253D4d5b0474%2526ps%253D13740610%2526shp%253Dd05b14bd%2526shcp%253D34ff8df6%2526idc%253Dmy%2526s%253DTIKTOK_AFFILIATE_VIRAL_VIDEO%22%2C%22placeholder_product_id%22%3A%221733551239648413075%22%2C%2"&amp;"2placeholder_video_id%22%3A%227607043133674671380%22%7D&amp;ec_shared_reflux_scene=shop_tab_feed&amp;share_item_id=7607043133674671380&amp;source=h5_t")</f>
        <v>https://www.tiktok.com/@dinif.sa/video/7607043133674671380?_r=1&amp;u_code=dbghm7c96hifg4&amp;region=&amp;mid=7570976337012230913&amp;preview_pb=0&amp;sharer_language=&amp;_d=0&amp;ec_shared_reflux_dynamic_params=%7B%22placeholder_material_id%22%3A%227607043133674671380%22%2C%22placeholder_origin_cover%22%3A%22https%253A%252F%252Fp16-sign-sg.tiktokcdn.com%252Ftos-alisg-p-0037%252FoY3LYICvQtjoGnT3IeuzRQ0eTXepIGm5IFIAAD~tplv-tiktokx-origin.jpeg%253Fdr%253D14572%2526refresh_token%253D525c79d0%2526x-expires%253D1803031200%2526x-signature%253DB9bdSSuznSfVWc262Dq%25252FJPW%25252BKlw%25253D%2526t%253D4d5b0474%2526ps%253D13740610%2526shp%253Dd05b14bd%2526shcp%253D34ff8df6%2526idc%253Dmy%2526s%253DTIKTOK_AFFILIATE_VIRAL_VIDEO%22%2C%22placeholder_product_id%22%3A%221733551239648413075%22%2C%22placeholder_video_id%22%3A%227607043133674671380%22%7D&amp;ec_shared_reflux_scene=shop_tab_feed&amp;share_item_id=7607043133674671380&amp;source=h5_t</v>
      </c>
      <c r="L44" s="333" t="str">
        <f>IFERROR(__xludf.DUMMYFUNCTION("""COMPUTED_VALUE"""),"Concept 3")</f>
        <v>Concept 3</v>
      </c>
      <c r="M44" s="278" t="str">
        <f>IFERROR(__xludf.DUMMYFUNCTION("""COMPUTED_VALUE"""),"https://www.tiktok.com/@dinif.sa/video/7608039221126843668?_r=1&amp;u_code=dbghm7c96hifg4&amp;region=&amp;mid=7535381417631713281&amp;preview_pb=0&amp;sharer_language=&amp;_d=0&amp;ec_shared_reflux_dynamic_params=%7B%22placeholder_material_id%22%3A%227608039221126843668%22%2C%22plac"&amp;"eholder_origin_cover%22%3A%22https%253A%252F%252Fp16-sign-sg.tiktokcdn.com%252Ftos-alisg-p-0037%252Fo4QVQFBGRLylAWDpFFeHf1OK62pE0ECgUJS2BM~tplv-tiktokx-origin.jpeg%253Fdr%253D14572%2526refresh_token%253D93412ca6%2526x-expires%253D1803031200%2526x-signatur"&amp;"e%253Du4NKzy3F%25252FoMC1TfKzsY5vVC4kWY%25253D%2526t%253D4d5b0474%2526ps%253D13740610%2526shp%253Dd05b14bd%2526shcp%253D34ff8df6%2526idc%253Dmy%2526s%253DTIKTOK_AFFILIATE_VIRAL_VIDEO%22%2C%22placeholder_product_id%22%3A%221734193621636318611%22%2C%22place"&amp;"holder_video_id%22%3A%227608039221126843668%22%7D&amp;ec_shared_reflux_scene=shop_tab_feed&amp;share_item_id=7608039221126843668&amp;source=h5_t")</f>
        <v>https://www.tiktok.com/@dinif.sa/video/7608039221126843668?_r=1&amp;u_code=dbghm7c96hifg4&amp;region=&amp;mid=7535381417631713281&amp;preview_pb=0&amp;sharer_language=&amp;_d=0&amp;ec_shared_reflux_dynamic_params=%7B%22placeholder_material_id%22%3A%227608039221126843668%22%2C%22placeholder_origin_cover%22%3A%22https%253A%252F%252Fp16-sign-sg.tiktokcdn.com%252Ftos-alisg-p-0037%252Fo4QVQFBGRLylAWDpFFeHf1OK62pE0ECgUJS2BM~tplv-tiktokx-origin.jpeg%253Fdr%253D14572%2526refresh_token%253D93412ca6%2526x-expires%253D1803031200%2526x-signature%253Du4NKzy3F%25252FoMC1TfKzsY5vVC4kWY%25253D%2526t%253D4d5b0474%2526ps%253D13740610%2526shp%253Dd05b14bd%2526shcp%253D34ff8df6%2526idc%253Dmy%2526s%253DTIKTOK_AFFILIATE_VIRAL_VIDEO%22%2C%22placeholder_product_id%22%3A%221734193621636318611%22%2C%22placeholder_video_id%22%3A%227608039221126843668%22%7D&amp;ec_shared_reflux_scene=shop_tab_feed&amp;share_item_id=7608039221126843668&amp;source=h5_t</v>
      </c>
      <c r="N44" s="333" t="str">
        <f>IFERROR(__xludf.DUMMYFUNCTION("""COMPUTED_VALUE"""),"Concept 3")</f>
        <v>Concept 3</v>
      </c>
      <c r="O44" s="279" t="str">
        <f>IFERROR(__xludf.DUMMYFUNCTION("""COMPUTED_VALUE"""),"https://www.tiktok.com/@dinif.sa/video/7609297164916903189?_r=1&amp;u_code=dbghm7c96hifg4&amp;region=&amp;mid=7576309970312989454&amp;preview_pb=0&amp;sharer_language=&amp;_d=0&amp;ec_shared_reflux_dynamic_params=%7B%22placeholder_material_id%22%3A%227609297164916903189%22%2C%22plac"&amp;"eholder_origin_cover%22%3A%22https%253A%252F%252Fp16-sign-sg.tiktokcdn.com%252Ftos-alisg-p-0037%252FoQD6zwfdFXVapFQE7ejBAXcYEmQBTQ7gR9UjEW~tplv-tiktokx-origin.jpeg%253Fdr%253D14572%2526refresh_token%253D8c060a3b%2526x-expires%253D1803380400%2526x-signatur"&amp;"e%253D0FE9gIkb3qzbkBF%25252FK6oNfIPVjWs%25253D%2526t%253D4d5b0474%2526ps%253D13740610%2526shp%253Dd05b14bd%2526shcp%253D34ff8df6%2526idc%253Dmy%2526s%253DTIKTOK_AFFILIATE_VIRAL_VIDEO%22%2C%22placeholder_product_id%22%3A%221733551239648413075%22%2C%22place"&amp;"holder_video_id%22%3A%227609297164916903189%22%7D&amp;ec_shared_reflux_scene=shop_tab_feed&amp;share_item_id=7609297164916903189&amp;source=h5_t")</f>
        <v>https://www.tiktok.com/@dinif.sa/video/7609297164916903189?_r=1&amp;u_code=dbghm7c96hifg4&amp;region=&amp;mid=7576309970312989454&amp;preview_pb=0&amp;sharer_language=&amp;_d=0&amp;ec_shared_reflux_dynamic_params=%7B%22placeholder_material_id%22%3A%227609297164916903189%22%2C%22placeholder_origin_cover%22%3A%22https%253A%252F%252Fp16-sign-sg.tiktokcdn.com%252Ftos-alisg-p-0037%252FoQD6zwfdFXVapFQE7ejBAXcYEmQBTQ7gR9UjEW~tplv-tiktokx-origin.jpeg%253Fdr%253D14572%2526refresh_token%253D8c060a3b%2526x-expires%253D1803380400%2526x-signature%253D0FE9gIkb3qzbkBF%25252FK6oNfIPVjWs%25253D%2526t%253D4d5b0474%2526ps%253D13740610%2526shp%253Dd05b14bd%2526shcp%253D34ff8df6%2526idc%253Dmy%2526s%253DTIKTOK_AFFILIATE_VIRAL_VIDEO%22%2C%22placeholder_product_id%22%3A%221733551239648413075%22%2C%22placeholder_video_id%22%3A%227609297164916903189%22%7D&amp;ec_shared_reflux_scene=shop_tab_feed&amp;share_item_id=7609297164916903189&amp;source=h5_t</v>
      </c>
      <c r="P44" s="333" t="str">
        <f>IFERROR(__xludf.DUMMYFUNCTION("""COMPUTED_VALUE"""),"Concept 3")</f>
        <v>Concept 3</v>
      </c>
      <c r="Q44" s="279" t="str">
        <f>IFERROR(__xludf.DUMMYFUNCTION("""COMPUTED_VALUE"""),"https://www.tiktok.com/@dinif.sa/video/7609975617034931477?_r=1&amp;u_code=dbghm7c96hifg4&amp;region=&amp;mid=7361113482927934254&amp;preview_pb=0&amp;sharer_language=&amp;_d=0&amp;ec_shared_reflux_dynamic_params=%7B%22placeholder_material_id%22%3A%227609975617034931477%22%2C%22plac"&amp;"eholder_origin_cover%22%3A%22https%253A%252F%252Fp16-sign-sg.tiktokcdn.com%252Ftos-alisg-p-0037%252Fowscw0gnfAIVkB2iCDRpcJBdEEBUFEIVsBhIXe~tplv-tiktokx-origin.jpeg%253Fdr%253D14572%2526refresh_token%253D364e1219%2526x-expires%253D1803380400%2526x-signatur"&amp;"e%253DNf%25252FIpgTsg%25252FnU2psp33rbBkV8qkw%25253D%2526t%253D4d5b0474%2526ps%253D13740610%2526shp%253Dd05b14bd%2526shcp%253D34ff8df6%2526idc%253Dmy%2526s%253DTIKTOK_AFFILIATE_VIRAL_VIDEO%22%2C%22placeholder_product_id%22%3A%221733551239648413075%22%2C%2"&amp;"2placeholder_video_id%22%3A%227609975617034931477%22%7D&amp;ec_shared_reflux_scene=shop_tab_feed&amp;share_item_id=7609975617034931477&amp;source=h5_t")</f>
        <v>https://www.tiktok.com/@dinif.sa/video/7609975617034931477?_r=1&amp;u_code=dbghm7c96hifg4&amp;region=&amp;mid=7361113482927934254&amp;preview_pb=0&amp;sharer_language=&amp;_d=0&amp;ec_shared_reflux_dynamic_params=%7B%22placeholder_material_id%22%3A%227609975617034931477%22%2C%22placeholder_origin_cover%22%3A%22https%253A%252F%252Fp16-sign-sg.tiktokcdn.com%252Ftos-alisg-p-0037%252Fowscw0gnfAIVkB2iCDRpcJBdEEBUFEIVsBhIXe~tplv-tiktokx-origin.jpeg%253Fdr%253D14572%2526refresh_token%253D364e1219%2526x-expires%253D1803380400%2526x-signature%253DNf%25252FIpgTsg%25252FnU2psp33rbBkV8qkw%25253D%2526t%253D4d5b0474%2526ps%253D13740610%2526shp%253Dd05b14bd%2526shcp%253D34ff8df6%2526idc%253Dmy%2526s%253DTIKTOK_AFFILIATE_VIRAL_VIDEO%22%2C%22placeholder_product_id%22%3A%221733551239648413075%22%2C%22placeholder_video_id%22%3A%227609975617034931477%22%7D&amp;ec_shared_reflux_scene=shop_tab_feed&amp;share_item_id=7609975617034931477&amp;source=h5_t</v>
      </c>
      <c r="R44" s="63">
        <f>IFERROR(__xludf.DUMMYFUNCTION("""COMPUTED_VALUE"""),8589902.0)</f>
        <v>8589902</v>
      </c>
      <c r="S44" s="63">
        <f>IFERROR(__xludf.DUMMYFUNCTION("""COMPUTED_VALUE"""),0.0)</f>
        <v>0</v>
      </c>
      <c r="T44" s="63">
        <f>IFERROR(__xludf.DUMMYFUNCTION("""COMPUTED_VALUE"""),0.0)</f>
        <v>0</v>
      </c>
      <c r="U44" s="63">
        <f>IFERROR(__xludf.DUMMYFUNCTION("""COMPUTED_VALUE"""),0.0)</f>
        <v>0</v>
      </c>
    </row>
    <row r="45">
      <c r="A45" s="255" t="str">
        <f>IFERROR(__xludf.DUMMYFUNCTION("""COMPUTED_VALUE"""),"MICRO")</f>
        <v>MICRO</v>
      </c>
      <c r="B45" s="23" t="str">
        <f>IFERROR(__xludf.DUMMYFUNCTION("""COMPUTED_VALUE"""),"amdwt_")</f>
        <v>amdwt_</v>
      </c>
      <c r="C45" s="281" t="str">
        <f>IFERROR(__xludf.DUMMYFUNCTION("""COMPUTED_VALUE"""),"https://www.tiktok.com/@amdwt_")</f>
        <v>https://www.tiktok.com/@amdwt_</v>
      </c>
      <c r="D45" s="270">
        <f>IFERROR(__xludf.DUMMYFUNCTION("""COMPUTED_VALUE"""),8.970126119E9)</f>
        <v>8970126119</v>
      </c>
      <c r="E45" s="271">
        <f>IFERROR(__xludf.DUMMYFUNCTION("""COMPUTED_VALUE"""),0.0)</f>
        <v>0</v>
      </c>
      <c r="F45" s="270">
        <f>IFERROR(__xludf.DUMMYFUNCTION("""COMPUTED_VALUE"""),3.0)</f>
        <v>3</v>
      </c>
      <c r="G45" s="59" t="str">
        <f>IFERROR(__xludf.DUMMYFUNCTION("""COMPUTED_VALUE"""),"Rp980,5JT")</f>
        <v>Rp980,5JT</v>
      </c>
      <c r="H45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45" s="260" t="str">
        <f>IFERROR(__xludf.DUMMYFUNCTION("""COMPUTED_VALUE"""),"Sampai")</f>
        <v>Sampai</v>
      </c>
      <c r="J45" s="333" t="str">
        <f>IFERROR(__xludf.DUMMYFUNCTION("""COMPUTED_VALUE"""),"Concept 3")</f>
        <v>Concept 3</v>
      </c>
      <c r="K45" s="278" t="str">
        <f>IFERROR(__xludf.DUMMYFUNCTION("""COMPUTED_VALUE"""),"https://www.tiktok.com/@amdwt_/video/7607406813390146817?_r=1&amp;u_code=e1hfcbaag95l92&amp;region=&amp;mid=7586522350683441927&amp;preview_pb=0&amp;sharer_language=&amp;_d=0&amp;ec_shared_reflux_dynamic_params=%7B%22placeholder_material_id%22%3A%227607406813390146817%22%2C%22placeh"&amp;"older_origin_cover%22%3A%22https%253A%252F%252Fp16-sign-sg.tiktokcdn.com%252Ftos-alisg-p-0037%252FogCyuIFIBnYgXA89wifFAxAziiMx80ACm1zI3S~tplv-tiktokx-origin.jpeg%253Fdr%253D14572%2526refresh_token%253D617923fe%2526x-expires%253D1802944800%2526x-signature%"&amp;"253DxKWgwZ%25252BG9dE364oCjQKcT4tex%25252Bk%25253D%2526t%253D4d5b0474%2526ps%253D13740610%2526shp%253Dd05b14bd%2526shcp%253D34ff8df6%2526idc%253Dmy%2526s%253DTIKTOK_AFFILIATE_VIRAL_VIDEO%22%2C%22placeholder_product_id%22%3A%221729991116494375315%22%2C%22p"&amp;"laceholder_video_id%22%3A%227607406813390146817%22%7D&amp;ec_shared_reflux_scene=shop_tab_feed&amp;share_item_id=7607406813390146817&amp;source=h5_t")</f>
        <v>https://www.tiktok.com/@amdwt_/video/7607406813390146817?_r=1&amp;u_code=e1hfcbaag95l92&amp;region=&amp;mid=7586522350683441927&amp;preview_pb=0&amp;sharer_language=&amp;_d=0&amp;ec_shared_reflux_dynamic_params=%7B%22placeholder_material_id%22%3A%227607406813390146817%22%2C%22placeholder_origin_cover%22%3A%22https%253A%252F%252Fp16-sign-sg.tiktokcdn.com%252Ftos-alisg-p-0037%252FogCyuIFIBnYgXA89wifFAxAziiMx80ACm1zI3S~tplv-tiktokx-origin.jpeg%253Fdr%253D14572%2526refresh_token%253D617923fe%2526x-expires%253D1802944800%2526x-signature%253DxKWgwZ%25252BG9dE364oCjQKcT4tex%25252Bk%25253D%2526t%253D4d5b0474%2526ps%253D13740610%2526shp%253Dd05b14bd%2526shcp%253D34ff8df6%2526idc%253Dmy%2526s%253DTIKTOK_AFFILIATE_VIRAL_VIDEO%22%2C%22placeholder_product_id%22%3A%221729991116494375315%22%2C%22placeholder_video_id%22%3A%227607406813390146817%22%7D&amp;ec_shared_reflux_scene=shop_tab_feed&amp;share_item_id=7607406813390146817&amp;source=h5_t</v>
      </c>
      <c r="L45" s="333" t="str">
        <f>IFERROR(__xludf.DUMMYFUNCTION("""COMPUTED_VALUE"""),"Concept 3")</f>
        <v>Concept 3</v>
      </c>
      <c r="M45" s="278" t="str">
        <f>IFERROR(__xludf.DUMMYFUNCTION("""COMPUTED_VALUE"""),"https://www.tiktok.com/@amdwt_/video/7607408303215234320?_r=1&amp;u_code=e1hfcbaag95l92&amp;region=&amp;mid=7586098842886621973&amp;preview_pb=0&amp;sharer_language=&amp;_d=0&amp;ec_shared_reflux_dynamic_params=%7B%22placeholder_material_id%22%3A%227607408303215234320%22%2C%22placeh"&amp;"older_origin_cover%22%3A%22https%253A%252F%252Fp16-sign-sg.tiktokcdn.com%252Ftos-alisg-p-0037%252FooAkC0XAM0iiCQiIP5IBpjAu68wPsf0SMuyIbB~tplv-tiktokx-origin.jpeg%253Fdr%253D14572%2526refresh_token%253Da96a3159%2526x-expires%253D1802944800%2526x-signature%"&amp;"253DSTu3oJYb38r5OaCIWWI6c%25252FY7mls%25253D%2526t%253D4d5b0474%2526ps%253D13740610%2526shp%253Dd05b14bd%2526shcp%253D34ff8df6%2526idc%253Dmy%2526s%253DTIKTOK_AFFILIATE_VIRAL_VIDEO%22%2C%22placeholder_product_id%22%3A%221729991116494375315%22%2C%22placeho"&amp;"lder_video_id%22%3A%227607408303215234320%22%7D&amp;ec_shared_reflux_scene=shop_tab_feed&amp;share_item_id=7607408303215234320&amp;source=h5_t")</f>
        <v>https://www.tiktok.com/@amdwt_/video/7607408303215234320?_r=1&amp;u_code=e1hfcbaag95l92&amp;region=&amp;mid=7586098842886621973&amp;preview_pb=0&amp;sharer_language=&amp;_d=0&amp;ec_shared_reflux_dynamic_params=%7B%22placeholder_material_id%22%3A%227607408303215234320%22%2C%22placeholder_origin_cover%22%3A%22https%253A%252F%252Fp16-sign-sg.tiktokcdn.com%252Ftos-alisg-p-0037%252FooAkC0XAM0iiCQiIP5IBpjAu68wPsf0SMuyIbB~tplv-tiktokx-origin.jpeg%253Fdr%253D14572%2526refresh_token%253Da96a3159%2526x-expires%253D1802944800%2526x-signature%253DSTu3oJYb38r5OaCIWWI6c%25252FY7mls%25253D%2526t%253D4d5b0474%2526ps%253D13740610%2526shp%253Dd05b14bd%2526shcp%253D34ff8df6%2526idc%253Dmy%2526s%253DTIKTOK_AFFILIATE_VIRAL_VIDEO%22%2C%22placeholder_product_id%22%3A%221729991116494375315%22%2C%22placeholder_video_id%22%3A%227607408303215234320%22%7D&amp;ec_shared_reflux_scene=shop_tab_feed&amp;share_item_id=7607408303215234320&amp;source=h5_t</v>
      </c>
      <c r="N45" s="333" t="str">
        <f>IFERROR(__xludf.DUMMYFUNCTION("""COMPUTED_VALUE"""),"Concept 3")</f>
        <v>Concept 3</v>
      </c>
      <c r="O45" s="279" t="str">
        <f>IFERROR(__xludf.DUMMYFUNCTION("""COMPUTED_VALUE"""),"https://www.tiktok.com/@amdwt_/video/7607479414678359313?_r=1&amp;u_code=e1hfcbaag95l92&amp;region=&amp;mid=7471609139404294913&amp;preview_pb=0&amp;sharer_language=&amp;_d=0&amp;ec_shared_reflux_dynamic_params=%7B%22placeholder_material_id%22%3A%227607479414678359313%22%2C%22placeh"&amp;"older_origin_cover%22%3A%22https%253A%252F%252Fp16-sign-sg.tiktokcdn.com%252Ftos-alisg-p-0037%252FoMyXOTIgJiSAylYFBmDMzMvZI3iBnJizBaAPE~tplv-tiktokx-origin.jpeg%253Fdr%253D14572%2526refresh_token%253De08b4db3%2526x-expires%253D1802944800%2526x-signature%2"&amp;"53D9AwJb2RhaLxp7rxS%25252BGnAFtHsfow%25253D%2526t%253D4d5b0474%2526ps%253D13740610%2526shp%253Dd05b14bd%2526shcp%253D34ff8df6%2526idc%253Dmy%2526s%253DTIKTOK_AFFILIATE_VIRAL_VIDEO%22%2C%22placeholder_product_id%22%3A%221729991116494375315%22%2C%22placehol"&amp;"der_video_id%22%3A%227607479414678359313%22%7D&amp;ec_shared_reflux_scene=shop_tab_feed&amp;share_item_id=7607479414678359313&amp;source=h5_t")</f>
        <v>https://www.tiktok.com/@amdwt_/video/7607479414678359313?_r=1&amp;u_code=e1hfcbaag95l92&amp;region=&amp;mid=7471609139404294913&amp;preview_pb=0&amp;sharer_language=&amp;_d=0&amp;ec_shared_reflux_dynamic_params=%7B%22placeholder_material_id%22%3A%227607479414678359313%22%2C%22placeholder_origin_cover%22%3A%22https%253A%252F%252Fp16-sign-sg.tiktokcdn.com%252Ftos-alisg-p-0037%252FoMyXOTIgJiSAylYFBmDMzMvZI3iBnJizBaAPE~tplv-tiktokx-origin.jpeg%253Fdr%253D14572%2526refresh_token%253De08b4db3%2526x-expires%253D1802944800%2526x-signature%253D9AwJb2RhaLxp7rxS%25252BGnAFtHsfow%25253D%2526t%253D4d5b0474%2526ps%253D13740610%2526shp%253Dd05b14bd%2526shcp%253D34ff8df6%2526idc%253Dmy%2526s%253DTIKTOK_AFFILIATE_VIRAL_VIDEO%22%2C%22placeholder_product_id%22%3A%221729991116494375315%22%2C%22placeholder_video_id%22%3A%227607479414678359313%22%7D&amp;ec_shared_reflux_scene=shop_tab_feed&amp;share_item_id=7607479414678359313&amp;source=h5_t</v>
      </c>
      <c r="P45" s="333" t="str">
        <f>IFERROR(__xludf.DUMMYFUNCTION("""COMPUTED_VALUE"""),"Concept 3")</f>
        <v>Concept 3</v>
      </c>
      <c r="Q45" s="279" t="str">
        <f>IFERROR(__xludf.DUMMYFUNCTION("""COMPUTED_VALUE"""),"https://www.tiktok.com/@amdwt_/video/7610279444728548624?is_from_webapp=1&amp;sender_device=pc")</f>
        <v>https://www.tiktok.com/@amdwt_/video/7610279444728548624?is_from_webapp=1&amp;sender_device=pc</v>
      </c>
      <c r="R45" s="63">
        <f>IFERROR(__xludf.DUMMYFUNCTION("""COMPUTED_VALUE"""),135092.0)</f>
        <v>135092</v>
      </c>
      <c r="S45" s="63">
        <f>IFERROR(__xludf.DUMMYFUNCTION("""COMPUTED_VALUE"""),0.0)</f>
        <v>0</v>
      </c>
      <c r="T45" s="63">
        <f>IFERROR(__xludf.DUMMYFUNCTION("""COMPUTED_VALUE"""),0.0)</f>
        <v>0</v>
      </c>
      <c r="U45" s="63">
        <f>IFERROR(__xludf.DUMMYFUNCTION("""COMPUTED_VALUE"""),0.0)</f>
        <v>0</v>
      </c>
    </row>
    <row r="46">
      <c r="A46" s="255" t="str">
        <f>IFERROR(__xludf.DUMMYFUNCTION("""COMPUTED_VALUE"""),"NANO")</f>
        <v>NANO</v>
      </c>
      <c r="B46" s="23" t="str">
        <f>IFERROR(__xludf.DUMMYFUNCTION("""COMPUTED_VALUE"""),"melani.makeup17")</f>
        <v>melani.makeup17</v>
      </c>
      <c r="C46" s="281" t="str">
        <f>IFERROR(__xludf.DUMMYFUNCTION("""COMPUTED_VALUE"""),"https://www.tiktok.com/@melani.makeup17")</f>
        <v>https://www.tiktok.com/@melani.makeup17</v>
      </c>
      <c r="D46" s="270">
        <f>IFERROR(__xludf.DUMMYFUNCTION("""COMPUTED_VALUE"""),8.5728913779E10)</f>
        <v>85728913779</v>
      </c>
      <c r="E46" s="271">
        <f>IFERROR(__xludf.DUMMYFUNCTION("""COMPUTED_VALUE"""),0.0)</f>
        <v>0</v>
      </c>
      <c r="F46" s="270">
        <f>IFERROR(__xludf.DUMMYFUNCTION("""COMPUTED_VALUE"""),5.0)</f>
        <v>5</v>
      </c>
      <c r="G46" s="59" t="str">
        <f>IFERROR(__xludf.DUMMYFUNCTION("""COMPUTED_VALUE"""),"Rp6,6JT")</f>
        <v>Rp6,6JT</v>
      </c>
      <c r="H46" s="277" t="str">
        <f>IFERROR(__xludf.DUMMYFUNCTION("""COMPUTED_VALUE"""),"Brightening &amp; Soothing Toner")</f>
        <v>Brightening &amp; Soothing Toner</v>
      </c>
      <c r="I46" s="260" t="str">
        <f>IFERROR(__xludf.DUMMYFUNCTION("""COMPUTED_VALUE"""),"Sampai")</f>
        <v>Sampai</v>
      </c>
      <c r="J46" s="333" t="str">
        <f>IFERROR(__xludf.DUMMYFUNCTION("""COMPUTED_VALUE"""),"Concept 2")</f>
        <v>Concept 2</v>
      </c>
      <c r="K46" s="278" t="str">
        <f>IFERROR(__xludf.DUMMYFUNCTION("""COMPUTED_VALUE"""),"https://vt.tiktok.com/ZSa3paXey/")</f>
        <v>https://vt.tiktok.com/ZSa3paXey/</v>
      </c>
      <c r="L46" s="333" t="str">
        <f>IFERROR(__xludf.DUMMYFUNCTION("""COMPUTED_VALUE"""),"Concept 2")</f>
        <v>Concept 2</v>
      </c>
      <c r="M46" s="278" t="str">
        <f>IFERROR(__xludf.DUMMYFUNCTION("""COMPUTED_VALUE"""),"https://vt.tiktok.com/ZSaw2GfT4/")</f>
        <v>https://vt.tiktok.com/ZSaw2GfT4/</v>
      </c>
      <c r="N46" s="333" t="str">
        <f>IFERROR(__xludf.DUMMYFUNCTION("""COMPUTED_VALUE"""),"Concept 2")</f>
        <v>Concept 2</v>
      </c>
      <c r="O46" s="279" t="str">
        <f>IFERROR(__xludf.DUMMYFUNCTION("""COMPUTED_VALUE"""),"https://vt.tiktok.com/ZSaoPXpjw/")</f>
        <v>https://vt.tiktok.com/ZSaoPXpjw/</v>
      </c>
      <c r="P46" s="333" t="str">
        <f>IFERROR(__xludf.DUMMYFUNCTION("""COMPUTED_VALUE"""),"Concept 2")</f>
        <v>Concept 2</v>
      </c>
      <c r="Q46" s="279" t="str">
        <f>IFERROR(__xludf.DUMMYFUNCTION("""COMPUTED_VALUE"""),"https://vt.tiktok.com/ZSao95PbC/")</f>
        <v>https://vt.tiktok.com/ZSao95PbC/</v>
      </c>
      <c r="R46" s="63">
        <f>IFERROR(__xludf.DUMMYFUNCTION("""COMPUTED_VALUE"""),0.0)</f>
        <v>0</v>
      </c>
      <c r="S46" s="63">
        <f>IFERROR(__xludf.DUMMYFUNCTION("""COMPUTED_VALUE"""),0.0)</f>
        <v>0</v>
      </c>
      <c r="T46" s="63">
        <f>IFERROR(__xludf.DUMMYFUNCTION("""COMPUTED_VALUE"""),0.0)</f>
        <v>0</v>
      </c>
      <c r="U46" s="63">
        <f>IFERROR(__xludf.DUMMYFUNCTION("""COMPUTED_VALUE"""),0.0)</f>
        <v>0</v>
      </c>
    </row>
    <row r="47">
      <c r="A47" s="255" t="str">
        <f>IFERROR(__xludf.DUMMYFUNCTION("""COMPUTED_VALUE"""),"MICRO")</f>
        <v>MICRO</v>
      </c>
      <c r="B47" s="23" t="str">
        <f>IFERROR(__xludf.DUMMYFUNCTION("""COMPUTED_VALUE"""),"azzazhr21")</f>
        <v>azzazhr21</v>
      </c>
      <c r="C47" s="281" t="str">
        <f>IFERROR(__xludf.DUMMYFUNCTION("""COMPUTED_VALUE"""),"https://www.tiktok.com/@azzazhr21")</f>
        <v>https://www.tiktok.com/@azzazhr21</v>
      </c>
      <c r="D47" s="270">
        <f>IFERROR(__xludf.DUMMYFUNCTION("""COMPUTED_VALUE"""),8.1233977388E10)</f>
        <v>81233977388</v>
      </c>
      <c r="E47" s="271">
        <f>IFERROR(__xludf.DUMMYFUNCTION("""COMPUTED_VALUE"""),150000.0)</f>
        <v>150000</v>
      </c>
      <c r="F47" s="270">
        <f>IFERROR(__xludf.DUMMYFUNCTION("""COMPUTED_VALUE"""),1.0)</f>
        <v>1</v>
      </c>
      <c r="G47" s="59" t="str">
        <f>IFERROR(__xludf.DUMMYFUNCTION("""COMPUTED_VALUE"""),"Rp4,6JT")</f>
        <v>Rp4,6JT</v>
      </c>
      <c r="H47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47" s="260" t="str">
        <f>IFERROR(__xludf.DUMMYFUNCTION("""COMPUTED_VALUE"""),"Sampai")</f>
        <v>Sampai</v>
      </c>
      <c r="J47" s="333" t="str">
        <f>IFERROR(__xludf.DUMMYFUNCTION("""COMPUTED_VALUE""")," Concept 1")</f>
        <v> Concept 1</v>
      </c>
      <c r="K47" s="278" t="str">
        <f>IFERROR(__xludf.DUMMYFUNCTION("""COMPUTED_VALUE"""),"https://vt.tiktok.com/ZSmKyTfhG/")</f>
        <v>https://vt.tiktok.com/ZSmKyTfhG/</v>
      </c>
      <c r="L47" s="333"/>
      <c r="M47" s="262"/>
      <c r="N47" s="333"/>
      <c r="O47" s="17"/>
      <c r="P47" s="333"/>
      <c r="Q47" s="17"/>
      <c r="R47" s="63">
        <f>IFERROR(__xludf.DUMMYFUNCTION("""COMPUTED_VALUE"""),154212.0)</f>
        <v>154212</v>
      </c>
      <c r="S47" s="63">
        <f>IFERROR(__xludf.DUMMYFUNCTION("""COMPUTED_VALUE"""),0.0)</f>
        <v>0</v>
      </c>
      <c r="T47" s="63">
        <f>IFERROR(__xludf.DUMMYFUNCTION("""COMPUTED_VALUE"""),0.0)</f>
        <v>0</v>
      </c>
      <c r="U47" s="63">
        <f>IFERROR(__xludf.DUMMYFUNCTION("""COMPUTED_VALUE"""),0.0)</f>
        <v>0</v>
      </c>
    </row>
    <row r="48">
      <c r="A48" s="255" t="str">
        <f>IFERROR(__xludf.DUMMYFUNCTION("""COMPUTED_VALUE"""),"NANO")</f>
        <v>NANO</v>
      </c>
      <c r="B48" s="23" t="str">
        <f>IFERROR(__xludf.DUMMYFUNCTION("""COMPUTED_VALUE"""),"frdqus")</f>
        <v>frdqus</v>
      </c>
      <c r="C48" s="281" t="str">
        <f>IFERROR(__xludf.DUMMYFUNCTION("""COMPUTED_VALUE"""),"https://www.tiktok.com/@frdqus")</f>
        <v>https://www.tiktok.com/@frdqus</v>
      </c>
      <c r="D48" s="270">
        <f>IFERROR(__xludf.DUMMYFUNCTION("""COMPUTED_VALUE"""),8.5654767435E10)</f>
        <v>85654767435</v>
      </c>
      <c r="E48" s="271">
        <f>IFERROR(__xludf.DUMMYFUNCTION("""COMPUTED_VALUE"""),0.0)</f>
        <v>0</v>
      </c>
      <c r="F48" s="270">
        <f>IFERROR(__xludf.DUMMYFUNCTION("""COMPUTED_VALUE"""),4.0)</f>
        <v>4</v>
      </c>
      <c r="G48" s="59" t="str">
        <f>IFERROR(__xludf.DUMMYFUNCTION("""COMPUTED_VALUE"""),"Rp179,9JT")</f>
        <v>Rp179,9JT</v>
      </c>
      <c r="H48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48" s="260" t="str">
        <f>IFERROR(__xludf.DUMMYFUNCTION("""COMPUTED_VALUE"""),"Sampai")</f>
        <v>Sampai</v>
      </c>
      <c r="J48" s="333" t="str">
        <f>IFERROR(__xludf.DUMMYFUNCTION("""COMPUTED_VALUE"""),"Concept 3")</f>
        <v>Concept 3</v>
      </c>
      <c r="K48" s="278" t="str">
        <f>IFERROR(__xludf.DUMMYFUNCTION("""COMPUTED_VALUE""")," https://vt.tiktok.com/ZSmLa3b32/")</f>
        <v> https://vt.tiktok.com/ZSmLa3b32/</v>
      </c>
      <c r="L48" s="333" t="str">
        <f>IFERROR(__xludf.DUMMYFUNCTION("""COMPUTED_VALUE"""),"Concept 3")</f>
        <v>Concept 3</v>
      </c>
      <c r="M48" s="278" t="str">
        <f>IFERROR(__xludf.DUMMYFUNCTION("""COMPUTED_VALUE"""),"https://vt.tiktok.com/ZSmB1CLWg/")</f>
        <v>https://vt.tiktok.com/ZSmB1CLWg/</v>
      </c>
      <c r="N48" s="333" t="str">
        <f>IFERROR(__xludf.DUMMYFUNCTION("""COMPUTED_VALUE"""),"Concept 3")</f>
        <v>Concept 3</v>
      </c>
      <c r="O48" s="279" t="str">
        <f>IFERROR(__xludf.DUMMYFUNCTION("""COMPUTED_VALUE"""),"https://vt.tiktok.com/ZSmB1DDBc/")</f>
        <v>https://vt.tiktok.com/ZSmB1DDBc/</v>
      </c>
      <c r="P48" s="333" t="str">
        <f>IFERROR(__xludf.DUMMYFUNCTION("""COMPUTED_VALUE"""),"Concept 3")</f>
        <v>Concept 3</v>
      </c>
      <c r="Q48" s="279" t="str">
        <f>IFERROR(__xludf.DUMMYFUNCTION("""COMPUTED_VALUE"""),"https://vt.tiktok.com/ZSmB1Qcuw/")</f>
        <v>https://vt.tiktok.com/ZSmB1Qcuw/</v>
      </c>
      <c r="R48" s="63">
        <f>IFERROR(__xludf.DUMMYFUNCTION("""COMPUTED_VALUE"""),84102.0)</f>
        <v>84102</v>
      </c>
      <c r="S48" s="63">
        <f>IFERROR(__xludf.DUMMYFUNCTION("""COMPUTED_VALUE"""),0.0)</f>
        <v>0</v>
      </c>
      <c r="T48" s="63">
        <f>IFERROR(__xludf.DUMMYFUNCTION("""COMPUTED_VALUE"""),0.0)</f>
        <v>0</v>
      </c>
      <c r="U48" s="63">
        <f>IFERROR(__xludf.DUMMYFUNCTION("""COMPUTED_VALUE"""),0.0)</f>
        <v>0</v>
      </c>
    </row>
    <row r="49">
      <c r="A49" s="255" t="str">
        <f>IFERROR(__xludf.DUMMYFUNCTION("""COMPUTED_VALUE"""),"NANO")</f>
        <v>NANO</v>
      </c>
      <c r="B49" s="23" t="str">
        <f>IFERROR(__xludf.DUMMYFUNCTION("""COMPUTED_VALUE"""),"liansseptiana")</f>
        <v>liansseptiana</v>
      </c>
      <c r="C49" s="281" t="str">
        <f>IFERROR(__xludf.DUMMYFUNCTION("""COMPUTED_VALUE"""),"https://www.tiktok.com/@liansseptiana")</f>
        <v>https://www.tiktok.com/@liansseptiana</v>
      </c>
      <c r="D49" s="270">
        <f>IFERROR(__xludf.DUMMYFUNCTION("""COMPUTED_VALUE"""),8.5776666279E10)</f>
        <v>85776666279</v>
      </c>
      <c r="E49" s="271">
        <f>IFERROR(__xludf.DUMMYFUNCTION("""COMPUTED_VALUE"""),0.0)</f>
        <v>0</v>
      </c>
      <c r="F49" s="270">
        <f>IFERROR(__xludf.DUMMYFUNCTION("""COMPUTED_VALUE"""),1.0)</f>
        <v>1</v>
      </c>
      <c r="G49" s="59" t="str">
        <f>IFERROR(__xludf.DUMMYFUNCTION("""COMPUTED_VALUE"""),"Rp35,6JT")</f>
        <v>Rp35,6JT</v>
      </c>
      <c r="H49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49" s="260" t="str">
        <f>IFERROR(__xludf.DUMMYFUNCTION("""COMPUTED_VALUE"""),"Sampai")</f>
        <v>Sampai</v>
      </c>
      <c r="J49" s="333" t="str">
        <f>IFERROR(__xludf.DUMMYFUNCTION("""COMPUTED_VALUE"""),"Concept 3")</f>
        <v>Concept 3</v>
      </c>
      <c r="K49" s="278" t="str">
        <f>IFERROR(__xludf.DUMMYFUNCTION("""COMPUTED_VALUE"""),"https://vt.tiktok.com/ZSmUUK86g/")</f>
        <v>https://vt.tiktok.com/ZSmUUK86g/</v>
      </c>
      <c r="L49" s="333"/>
      <c r="M49" s="262"/>
      <c r="N49" s="333"/>
      <c r="O49" s="17"/>
      <c r="P49" s="333"/>
      <c r="Q49" s="17"/>
      <c r="R49" s="63">
        <f>IFERROR(__xludf.DUMMYFUNCTION("""COMPUTED_VALUE"""),112194.0)</f>
        <v>112194</v>
      </c>
      <c r="S49" s="63">
        <f>IFERROR(__xludf.DUMMYFUNCTION("""COMPUTED_VALUE"""),0.0)</f>
        <v>0</v>
      </c>
      <c r="T49" s="63">
        <f>IFERROR(__xludf.DUMMYFUNCTION("""COMPUTED_VALUE"""),2.8324441449999996E7)</f>
        <v>28324441.45</v>
      </c>
      <c r="U49" s="63">
        <f>IFERROR(__xludf.DUMMYFUNCTION("""COMPUTED_VALUE"""),0.0)</f>
        <v>0</v>
      </c>
    </row>
    <row r="50">
      <c r="A50" s="255" t="str">
        <f>IFERROR(__xludf.DUMMYFUNCTION("""COMPUTED_VALUE"""),"MICRO")</f>
        <v>MICRO</v>
      </c>
      <c r="B50" s="23" t="str">
        <f>IFERROR(__xludf.DUMMYFUNCTION("""COMPUTED_VALUE"""),"rysa_mon")</f>
        <v>rysa_mon</v>
      </c>
      <c r="C50" s="281" t="str">
        <f>IFERROR(__xludf.DUMMYFUNCTION("""COMPUTED_VALUE"""),"https://www.tiktok.com/@rysa_mon")</f>
        <v>https://www.tiktok.com/@rysa_mon</v>
      </c>
      <c r="D50" s="270">
        <f>IFERROR(__xludf.DUMMYFUNCTION("""COMPUTED_VALUE"""),8.223288345E10)</f>
        <v>82232883450</v>
      </c>
      <c r="E50" s="271">
        <f>IFERROR(__xludf.DUMMYFUNCTION("""COMPUTED_VALUE"""),0.0)</f>
        <v>0</v>
      </c>
      <c r="F50" s="270">
        <f>IFERROR(__xludf.DUMMYFUNCTION("""COMPUTED_VALUE"""),1.0)</f>
        <v>1</v>
      </c>
      <c r="G50" s="59" t="str">
        <f>IFERROR(__xludf.DUMMYFUNCTION("""COMPUTED_VALUE"""),"Rp1JT+")</f>
        <v>Rp1JT+</v>
      </c>
      <c r="H50" s="277" t="str">
        <f>IFERROR(__xludf.DUMMYFUNCTION("""COMPUTED_VALUE"""),"OMG OH MY GLOW UV Barrier Sunscreen SPF 50 PA++++ 60 ml")</f>
        <v>OMG OH MY GLOW UV Barrier Sunscreen SPF 50 PA++++ 60 ml</v>
      </c>
      <c r="I50" s="260" t="str">
        <f>IFERROR(__xludf.DUMMYFUNCTION("""COMPUTED_VALUE"""),"Sampai")</f>
        <v>Sampai</v>
      </c>
      <c r="J50" s="333" t="str">
        <f>IFERROR(__xludf.DUMMYFUNCTION("""COMPUTED_VALUE"""),"Concept 3")</f>
        <v>Concept 3</v>
      </c>
      <c r="K50" s="278" t="str">
        <f>IFERROR(__xludf.DUMMYFUNCTION("""COMPUTED_VALUE"""),"https://vt.tiktok.com/ZSmDq29Fu/")</f>
        <v>https://vt.tiktok.com/ZSmDq29Fu/</v>
      </c>
      <c r="L50" s="333" t="str">
        <f>IFERROR(__xludf.DUMMYFUNCTION("""COMPUTED_VALUE"""),"Concept 3")</f>
        <v>Concept 3</v>
      </c>
      <c r="M50" s="278" t="str">
        <f>IFERROR(__xludf.DUMMYFUNCTION("""COMPUTED_VALUE"""),"https://www.tiktok.com/@rysa_mon/video/7610400939828202773?is_from_webapp=1&amp;sender_device=pc")</f>
        <v>https://www.tiktok.com/@rysa_mon/video/7610400939828202773?is_from_webapp=1&amp;sender_device=pc</v>
      </c>
      <c r="N50" s="333"/>
      <c r="O50" s="17"/>
      <c r="P50" s="333"/>
      <c r="Q50" s="17"/>
      <c r="R50" s="63">
        <f>IFERROR(__xludf.DUMMYFUNCTION("""COMPUTED_VALUE"""),0.0)</f>
        <v>0</v>
      </c>
      <c r="S50" s="63">
        <f>IFERROR(__xludf.DUMMYFUNCTION("""COMPUTED_VALUE"""),0.0)</f>
        <v>0</v>
      </c>
      <c r="T50" s="63">
        <f>IFERROR(__xludf.DUMMYFUNCTION("""COMPUTED_VALUE"""),0.0)</f>
        <v>0</v>
      </c>
      <c r="U50" s="63">
        <f>IFERROR(__xludf.DUMMYFUNCTION("""COMPUTED_VALUE"""),0.0)</f>
        <v>0</v>
      </c>
    </row>
    <row r="51">
      <c r="A51" s="255" t="str">
        <f>IFERROR(__xludf.DUMMYFUNCTION("""COMPUTED_VALUE"""),"NANO")</f>
        <v>NANO</v>
      </c>
      <c r="B51" s="23" t="str">
        <f>IFERROR(__xludf.DUMMYFUNCTION("""COMPUTED_VALUE"""),"neng.ofii")</f>
        <v>neng.ofii</v>
      </c>
      <c r="C51" s="281" t="str">
        <f>IFERROR(__xludf.DUMMYFUNCTION("""COMPUTED_VALUE"""),"https://www.tiktok.com/@neng.ofii")</f>
        <v>https://www.tiktok.com/@neng.ofii</v>
      </c>
      <c r="D51" s="270">
        <f>IFERROR(__xludf.DUMMYFUNCTION("""COMPUTED_VALUE"""),8.121420015E10)</f>
        <v>81214200150</v>
      </c>
      <c r="E51" s="271">
        <f>IFERROR(__xludf.DUMMYFUNCTION("""COMPUTED_VALUE"""),0.0)</f>
        <v>0</v>
      </c>
      <c r="F51" s="270">
        <f>IFERROR(__xludf.DUMMYFUNCTION("""COMPUTED_VALUE"""),3.0)</f>
        <v>3</v>
      </c>
      <c r="G51" s="59" t="str">
        <f>IFERROR(__xludf.DUMMYFUNCTION("""COMPUTED_VALUE"""),"Rp1JT+")</f>
        <v>Rp1JT+</v>
      </c>
      <c r="H51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51" s="260" t="str">
        <f>IFERROR(__xludf.DUMMYFUNCTION("""COMPUTED_VALUE"""),"Sampai")</f>
        <v>Sampai</v>
      </c>
      <c r="J51" s="333" t="str">
        <f>IFERROR(__xludf.DUMMYFUNCTION("""COMPUTED_VALUE"""),"Concept 3")</f>
        <v>Concept 3</v>
      </c>
      <c r="K51" s="278" t="str">
        <f>IFERROR(__xludf.DUMMYFUNCTION("""COMPUTED_VALUE"""),"https://www.tiktok.com/@neng.ofii/video/7613367496367770901?_r=1&amp;u_code=e8laed2miiaebb&amp;region=&amp;mid=7086563693013518338&amp;preview_pb=0&amp;sharer_language=&amp;_d=0&amp;ec_shared_reflux_dynamic_params=%7B%22placeholder_material_id%22%3A%227613367496367770901%22%2C%22pla"&amp;"ceholder_origin_cover%22%3A%22https%253A%252F%252Fp16-sign-sg.tiktokcdn.com%252Ftos-alisg-p-0037%252FoIf1upXmA0XMIwiIHGviZCOBAwpE1IIo56uAAA~tplv-tiktokx-origin.jpeg%253Fdr%253D14572%2526refresh_token%253D97e40453%2526x-expires%253D1804230000%2526x-signatu"&amp;"re%253DL%25252FdBp9c1P3KGaic28q7ub5FSBbU%25253D%2526t%253D4d5b0474%2526ps%253D13740610%2526shp%253Dd05b14bd%2526shcp%253D34ff8df6%2526idc%253Dmy2%2526s%253DTIKTOK_AFFILIATE_VIRAL_VIDEO%22%2C%22placeholder_product_id%22%3A%221729991116494375315%22%2C%22pla"&amp;"ceholder_video_id%22%3A%227613367496367770901%22%7D&amp;ec_shared_reflux_scene=shop_tab_feed&amp;share_item_id=7613367496367770901&amp;source=h5_t")</f>
        <v>https://www.tiktok.com/@neng.ofii/video/7613367496367770901?_r=1&amp;u_code=e8laed2miiaebb&amp;region=&amp;mid=7086563693013518338&amp;preview_pb=0&amp;sharer_language=&amp;_d=0&amp;ec_shared_reflux_dynamic_params=%7B%22placeholder_material_id%22%3A%227613367496367770901%22%2C%22placeholder_origin_cover%22%3A%22https%253A%252F%252Fp16-sign-sg.tiktokcdn.com%252Ftos-alisg-p-0037%252FoIf1upXmA0XMIwiIHGviZCOBAwpE1IIo56uAAA~tplv-tiktokx-origin.jpeg%253Fdr%253D14572%2526refresh_token%253D97e40453%2526x-expires%253D1804230000%2526x-signature%253DL%25252FdBp9c1P3KGaic28q7ub5FSBbU%25253D%2526t%253D4d5b0474%2526ps%253D13740610%2526shp%253Dd05b14bd%2526shcp%253D34ff8df6%2526idc%253Dmy2%2526s%253DTIKTOK_AFFILIATE_VIRAL_VIDEO%22%2C%22placeholder_product_id%22%3A%221729991116494375315%22%2C%22placeholder_video_id%22%3A%227613367496367770901%22%7D&amp;ec_shared_reflux_scene=shop_tab_feed&amp;share_item_id=7613367496367770901&amp;source=h5_t</v>
      </c>
      <c r="L51" s="333" t="str">
        <f>IFERROR(__xludf.DUMMYFUNCTION("""COMPUTED_VALUE"""),"Concept 3")</f>
        <v>Concept 3</v>
      </c>
      <c r="M51" s="278" t="str">
        <f>IFERROR(__xludf.DUMMYFUNCTION("""COMPUTED_VALUE"""),"https://vt.tiktok.com/ZSuMneLta/")</f>
        <v>https://vt.tiktok.com/ZSuMneLta/</v>
      </c>
      <c r="N51" s="333" t="str">
        <f>IFERROR(__xludf.DUMMYFUNCTION("""COMPUTED_VALUE"""),"Concept 3")</f>
        <v>Concept 3</v>
      </c>
      <c r="O51" s="279" t="str">
        <f>IFERROR(__xludf.DUMMYFUNCTION("""COMPUTED_VALUE"""),"https://www.tiktok.com/@neng.ofii/video/7613367496367770901?_r=1&amp;u_code=e8laed2miiaebb&amp;region=&amp;mid=7086563693013518338&amp;preview_pb=0&amp;sharer_language=&amp;_d=0&amp;ec_shared_reflux_dynamic_params=%7B%22placeholder_material_id%22%3A%227613367496367770901%22%2C%22pla"&amp;"ceholder_origin_cover%22%3A%22https%253A%252F%252Fp16-sign-sg.tiktokcdn.com%252Ftos-alisg-p-0037%252FoIf1upXmA0XMIwiIHGviZCOBAwpE1IIo56uAAA~tplv-tiktokx-origin.jpeg%253Fdr%253D14572%2526refresh_token%253D964c2bb2%2526x-expires%253D1807092000%2526x-signatu"&amp;"re%253DJ1arFBJp7aqYIJvDDmKYlY3IVyU%25253D%2526t%253D4d5b0474%2526ps%253D13740610%2526shp%253Dd05b14bd%2526shcp%253D34ff8df6%2526idc%253Dmy2%2526s%253DTIKTOK_AFFILIATE_VIRAL_VIDEO%22%2C%22placeholder_product_id%22%3A%221729991116494375315%22%2C%22placehold"&amp;"er_video_id%22%3A%227613367496367770901%22%7D&amp;ec_shared_reflux_scene=shop_tab_feed&amp;share_item_id=7613367496367770901&amp;source=h5_t")</f>
        <v>https://www.tiktok.com/@neng.ofii/video/7613367496367770901?_r=1&amp;u_code=e8laed2miiaebb&amp;region=&amp;mid=7086563693013518338&amp;preview_pb=0&amp;sharer_language=&amp;_d=0&amp;ec_shared_reflux_dynamic_params=%7B%22placeholder_material_id%22%3A%227613367496367770901%22%2C%22placeholder_origin_cover%22%3A%22https%253A%252F%252Fp16-sign-sg.tiktokcdn.com%252Ftos-alisg-p-0037%252FoIf1upXmA0XMIwiIHGviZCOBAwpE1IIo56uAAA~tplv-tiktokx-origin.jpeg%253Fdr%253D14572%2526refresh_token%253D964c2bb2%2526x-expires%253D1807092000%2526x-signature%253DJ1arFBJp7aqYIJvDDmKYlY3IVyU%25253D%2526t%253D4d5b0474%2526ps%253D13740610%2526shp%253Dd05b14bd%2526shcp%253D34ff8df6%2526idc%253Dmy2%2526s%253DTIKTOK_AFFILIATE_VIRAL_VIDEO%22%2C%22placeholder_product_id%22%3A%221729991116494375315%22%2C%22placeholder_video_id%22%3A%227613367496367770901%22%7D&amp;ec_shared_reflux_scene=shop_tab_feed&amp;share_item_id=7613367496367770901&amp;source=h5_t</v>
      </c>
      <c r="P51" s="333"/>
      <c r="Q51" s="17"/>
      <c r="R51" s="63">
        <f>IFERROR(__xludf.DUMMYFUNCTION("""COMPUTED_VALUE"""),29000.0)</f>
        <v>29000</v>
      </c>
      <c r="S51" s="63">
        <f>IFERROR(__xludf.DUMMYFUNCTION("""COMPUTED_VALUE"""),0.0)</f>
        <v>0</v>
      </c>
      <c r="T51" s="63">
        <f>IFERROR(__xludf.DUMMYFUNCTION("""COMPUTED_VALUE"""),0.0)</f>
        <v>0</v>
      </c>
      <c r="U51" s="63">
        <f>IFERROR(__xludf.DUMMYFUNCTION("""COMPUTED_VALUE"""),0.0)</f>
        <v>0</v>
      </c>
    </row>
    <row r="52">
      <c r="A52" s="255" t="str">
        <f>IFERROR(__xludf.DUMMYFUNCTION("""COMPUTED_VALUE"""),"NANO")</f>
        <v>NANO</v>
      </c>
      <c r="B52" s="23" t="str">
        <f>IFERROR(__xludf.DUMMYFUNCTION("""COMPUTED_VALUE"""),"rkmyng")</f>
        <v>rkmyng</v>
      </c>
      <c r="C52" s="281" t="str">
        <f>IFERROR(__xludf.DUMMYFUNCTION("""COMPUTED_VALUE"""),"https://www.tiktok.com/@rkmyng")</f>
        <v>https://www.tiktok.com/@rkmyng</v>
      </c>
      <c r="D52" s="270">
        <f>IFERROR(__xludf.DUMMYFUNCTION("""COMPUTED_VALUE"""),8.3121817656E10)</f>
        <v>83121817656</v>
      </c>
      <c r="E52" s="271">
        <f>IFERROR(__xludf.DUMMYFUNCTION("""COMPUTED_VALUE"""),0.0)</f>
        <v>0</v>
      </c>
      <c r="F52" s="270">
        <f>IFERROR(__xludf.DUMMYFUNCTION("""COMPUTED_VALUE"""),3.0)</f>
        <v>3</v>
      </c>
      <c r="G52" s="59" t="str">
        <f>IFERROR(__xludf.DUMMYFUNCTION("""COMPUTED_VALUE"""),"Rp47,1JT")</f>
        <v>Rp47,1JT</v>
      </c>
      <c r="H52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52" s="260" t="str">
        <f>IFERROR(__xludf.DUMMYFUNCTION("""COMPUTED_VALUE"""),"Sampai")</f>
        <v>Sampai</v>
      </c>
      <c r="J52" s="333" t="str">
        <f>IFERROR(__xludf.DUMMYFUNCTION("""COMPUTED_VALUE"""),"Concept 3")</f>
        <v>Concept 3</v>
      </c>
      <c r="K52" s="278" t="str">
        <f>IFERROR(__xludf.DUMMYFUNCTION("""COMPUTED_VALUE"""),"https://www.tiktok.com/@rkmyng/video/7618138776006675733?_r=1&amp;u_code=d6ekdaheggk4le&amp;region=&amp;mid=7477315942379932421&amp;preview_pb=0&amp;sharer_language=&amp;_d=0&amp;ec_shared_reflux_dynamic_params=%7B%22placeholder_material_id%22%3A%227618138776006675733%22%2C%22placeh"&amp;"older_origin_cover%22%3A%22https%253A%252F%252Fp16-sign-sg.tiktokcdn.com%252Ftos-alisg-p-0037%252FoAIiTDQ6DBGaAwARQjVICefyk4Ldjc9IG5MReT~tplv-tiktokx-origin.jpeg%253Fdr%253D14572%2526refresh_token%253Dcf7e7f6e%2526x-expires%253D1805274000%2526x-signature%"&amp;"253DNgHti4yYoaD7P973qxuNBuaCZ60%25253D%2526t%253D4d5b0474%2526ps%253D13740610%2526shp%253Dd05b14bd%2526shcp%253D34ff8df6%2526idc%253Dmy%2526s%253DTIKTOK_AFFILIATE_VIRAL_VIDEO%22%2C%22placeholder_product_id%22%3A%221729991116494375315%22%2C%22placeholder_v"&amp;"ideo_id%22%3A%227618138776006675733%22%7D&amp;ec_shared_reflux_scene=shop_tab_feed&amp;share_item_id=7618138776006675733&amp;source=h5_t")</f>
        <v>https://www.tiktok.com/@rkmyng/video/7618138776006675733?_r=1&amp;u_code=d6ekdaheggk4le&amp;region=&amp;mid=7477315942379932421&amp;preview_pb=0&amp;sharer_language=&amp;_d=0&amp;ec_shared_reflux_dynamic_params=%7B%22placeholder_material_id%22%3A%227618138776006675733%22%2C%22placeholder_origin_cover%22%3A%22https%253A%252F%252Fp16-sign-sg.tiktokcdn.com%252Ftos-alisg-p-0037%252FoAIiTDQ6DBGaAwARQjVICefyk4Ldjc9IG5MReT~tplv-tiktokx-origin.jpeg%253Fdr%253D14572%2526refresh_token%253Dcf7e7f6e%2526x-expires%253D1805274000%2526x-signature%253DNgHti4yYoaD7P973qxuNBuaCZ60%25253D%2526t%253D4d5b0474%2526ps%253D13740610%2526shp%253Dd05b14bd%2526shcp%253D34ff8df6%2526idc%253Dmy%2526s%253DTIKTOK_AFFILIATE_VIRAL_VIDEO%22%2C%22placeholder_product_id%22%3A%221729991116494375315%22%2C%22placeholder_video_id%22%3A%227618138776006675733%22%7D&amp;ec_shared_reflux_scene=shop_tab_feed&amp;share_item_id=7618138776006675733&amp;source=h5_t</v>
      </c>
      <c r="L52" s="333" t="str">
        <f>IFERROR(__xludf.DUMMYFUNCTION("""COMPUTED_VALUE"""),"Concept 3")</f>
        <v>Concept 3</v>
      </c>
      <c r="M52" s="278" t="str">
        <f>IFERROR(__xludf.DUMMYFUNCTION("""COMPUTED_VALUE"""),"https://vt.tiktok.com/ZS9Lgcd1L/")</f>
        <v>https://vt.tiktok.com/ZS9Lgcd1L/</v>
      </c>
      <c r="N52" s="333"/>
      <c r="O52" s="17"/>
      <c r="P52" s="333"/>
      <c r="Q52" s="17"/>
      <c r="R52" s="63">
        <f>IFERROR(__xludf.DUMMYFUNCTION("""COMPUTED_VALUE"""),0.0)</f>
        <v>0</v>
      </c>
      <c r="S52" s="63">
        <f>IFERROR(__xludf.DUMMYFUNCTION("""COMPUTED_VALUE"""),0.0)</f>
        <v>0</v>
      </c>
      <c r="T52" s="63">
        <f>IFERROR(__xludf.DUMMYFUNCTION("""COMPUTED_VALUE"""),0.0)</f>
        <v>0</v>
      </c>
      <c r="U52" s="63">
        <f>IFERROR(__xludf.DUMMYFUNCTION("""COMPUTED_VALUE"""),0.0)</f>
        <v>0</v>
      </c>
    </row>
    <row r="53">
      <c r="A53" s="255" t="str">
        <f>IFERROR(__xludf.DUMMYFUNCTION("""COMPUTED_VALUE"""),"MICRO")</f>
        <v>MICRO</v>
      </c>
      <c r="B53" s="23" t="str">
        <f>IFERROR(__xludf.DUMMYFUNCTION("""COMPUTED_VALUE"""),"Pinkskieslova")</f>
        <v>Pinkskieslova</v>
      </c>
      <c r="C53" s="281" t="str">
        <f>IFERROR(__xludf.DUMMYFUNCTION("""COMPUTED_VALUE"""),"https://www.tiktok.com/@Pinkskieslova")</f>
        <v>https://www.tiktok.com/@Pinkskieslova</v>
      </c>
      <c r="D53" s="270">
        <f>IFERROR(__xludf.DUMMYFUNCTION("""COMPUTED_VALUE"""),8.589000504E10)</f>
        <v>85890005040</v>
      </c>
      <c r="E53" s="271">
        <f>IFERROR(__xludf.DUMMYFUNCTION("""COMPUTED_VALUE"""),650000.0)</f>
        <v>650000</v>
      </c>
      <c r="F53" s="270">
        <f>IFERROR(__xludf.DUMMYFUNCTION("""COMPUTED_VALUE"""),1.0)</f>
        <v>1</v>
      </c>
      <c r="G53" s="59" t="str">
        <f>IFERROR(__xludf.DUMMYFUNCTION("""COMPUTED_VALUE"""),"Rp1JT+")</f>
        <v>Rp1JT+</v>
      </c>
      <c r="H53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53" s="260" t="str">
        <f>IFERROR(__xludf.DUMMYFUNCTION("""COMPUTED_VALUE"""),"Sampai")</f>
        <v>Sampai</v>
      </c>
      <c r="J53" s="333" t="str">
        <f>IFERROR(__xludf.DUMMYFUNCTION("""COMPUTED_VALUE"""),"Concept 3")</f>
        <v>Concept 3</v>
      </c>
      <c r="K53" s="278" t="str">
        <f>IFERROR(__xludf.DUMMYFUNCTION("""COMPUTED_VALUE"""),"https://vt.tiktok.com/ZSmgtXACW/")</f>
        <v>https://vt.tiktok.com/ZSmgtXACW/</v>
      </c>
      <c r="L53" s="333"/>
      <c r="M53" s="262"/>
      <c r="N53" s="333"/>
      <c r="O53" s="17"/>
      <c r="P53" s="333"/>
      <c r="Q53" s="17"/>
      <c r="R53" s="63">
        <f>IFERROR(__xludf.DUMMYFUNCTION("""COMPUTED_VALUE"""),27550.0)</f>
        <v>27550</v>
      </c>
      <c r="S53" s="63">
        <f>IFERROR(__xludf.DUMMYFUNCTION("""COMPUTED_VALUE"""),0.0)</f>
        <v>0</v>
      </c>
      <c r="T53" s="63">
        <f>IFERROR(__xludf.DUMMYFUNCTION("""COMPUTED_VALUE"""),0.0)</f>
        <v>0</v>
      </c>
      <c r="U53" s="63">
        <f>IFERROR(__xludf.DUMMYFUNCTION("""COMPUTED_VALUE"""),0.0)</f>
        <v>0</v>
      </c>
    </row>
    <row r="54">
      <c r="A54" s="255" t="str">
        <f>IFERROR(__xludf.DUMMYFUNCTION("""COMPUTED_VALUE"""),"NANO")</f>
        <v>NANO</v>
      </c>
      <c r="B54" s="23" t="str">
        <f>IFERROR(__xludf.DUMMYFUNCTION("""COMPUTED_VALUE"""),"_cipo07")</f>
        <v>_cipo07</v>
      </c>
      <c r="C54" s="281" t="str">
        <f>IFERROR(__xludf.DUMMYFUNCTION("""COMPUTED_VALUE"""),"https://www.tiktok.com/@_cipo07")</f>
        <v>https://www.tiktok.com/@_cipo07</v>
      </c>
      <c r="D54" s="270">
        <f>IFERROR(__xludf.DUMMYFUNCTION("""COMPUTED_VALUE"""),8.1249507217E10)</f>
        <v>81249507217</v>
      </c>
      <c r="E54" s="271">
        <f>IFERROR(__xludf.DUMMYFUNCTION("""COMPUTED_VALUE"""),200000.0)</f>
        <v>200000</v>
      </c>
      <c r="F54" s="270">
        <f>IFERROR(__xludf.DUMMYFUNCTION("""COMPUTED_VALUE"""),2.0)</f>
        <v>2</v>
      </c>
      <c r="G54" s="59" t="str">
        <f>IFERROR(__xludf.DUMMYFUNCTION("""COMPUTED_VALUE"""),"Rp951,6RB")</f>
        <v>Rp951,6RB</v>
      </c>
      <c r="H54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54" s="260" t="str">
        <f>IFERROR(__xludf.DUMMYFUNCTION("""COMPUTED_VALUE"""),"Sampai")</f>
        <v>Sampai</v>
      </c>
      <c r="J54" s="333" t="str">
        <f>IFERROR(__xludf.DUMMYFUNCTION("""COMPUTED_VALUE"""),"Concept 2")</f>
        <v>Concept 2</v>
      </c>
      <c r="K54" s="278" t="str">
        <f>IFERROR(__xludf.DUMMYFUNCTION("""COMPUTED_VALUE"""),"https://www.tiktok.com/@_cipo07/video/7611274876485225749?_r=1&amp;u_code=df9egdb78gif3g&amp;region=&amp;mid=6817306569852585985&amp;preview_pb=0&amp;sharer_language=&amp;_d=0&amp;ec_shared_reflux_dynamic_params=%7B%22placeholder_material_id%22%3A%227611274876485225749%22%2C%22place"&amp;"holder_origin_cover%22%3A%22https%253A%252F%252Fp16-sign-sg.tiktokcdn.com%252Ftos-alisg-p-0037%252FowDegjf4AmgKpFrEVXlBAacpEoIBrItgRj2yaV~tplv-tiktokx-origin.jpeg%253Fdr%253D14572%2526refresh_token%253D9bce676a%2526x-expires%253D1803711600%2526x-signature"&amp;"%253DBzmkRDdunKcIUWATc4XLq%25252BMPaJI%25253D%2526t%253D4d5b0474%2526ps%253D13740610%2526shp%253Dd05b14bd%2526shcp%253D34ff8df6%2526idc%253Dmy2%2526s%253DTIKTOK_AFFILIATE_VIRAL_VIDEO%22%2C%22placeholder_product_id%22%3A%221729991116494375315%22%2C%22place"&amp;"holder_video_id%22%3A%227611274876485225749%22%7D&amp;ec_shared_reflux_scene=shop_tab_feed&amp;share_item_id=7611274876485225749&amp;source=h5_t")</f>
        <v>https://www.tiktok.com/@_cipo07/video/7611274876485225749?_r=1&amp;u_code=df9egdb78gif3g&amp;region=&amp;mid=6817306569852585985&amp;preview_pb=0&amp;sharer_language=&amp;_d=0&amp;ec_shared_reflux_dynamic_params=%7B%22placeholder_material_id%22%3A%227611274876485225749%22%2C%22placeholder_origin_cover%22%3A%22https%253A%252F%252Fp16-sign-sg.tiktokcdn.com%252Ftos-alisg-p-0037%252FowDegjf4AmgKpFrEVXlBAacpEoIBrItgRj2yaV~tplv-tiktokx-origin.jpeg%253Fdr%253D14572%2526refresh_token%253D9bce676a%2526x-expires%253D1803711600%2526x-signature%253DBzmkRDdunKcIUWATc4XLq%25252BMPaJI%25253D%2526t%253D4d5b0474%2526ps%253D13740610%2526shp%253Dd05b14bd%2526shcp%253D34ff8df6%2526idc%253Dmy2%2526s%253DTIKTOK_AFFILIATE_VIRAL_VIDEO%22%2C%22placeholder_product_id%22%3A%221729991116494375315%22%2C%22placeholder_video_id%22%3A%227611274876485225749%22%7D&amp;ec_shared_reflux_scene=shop_tab_feed&amp;share_item_id=7611274876485225749&amp;source=h5_t</v>
      </c>
      <c r="L54" s="333" t="str">
        <f>IFERROR(__xludf.DUMMYFUNCTION("""COMPUTED_VALUE"""),"Concept 2")</f>
        <v>Concept 2</v>
      </c>
      <c r="M54" s="278" t="str">
        <f>IFERROR(__xludf.DUMMYFUNCTION("""COMPUTED_VALUE"""),"https://www.tiktok.com/@_cipo07/video/7612646448441707797?_r=1&amp;u_code=df9egdb78gif3g&amp;region=&amp;mid=7136445672676411393&amp;preview_pb=0&amp;sharer_language=&amp;_d=0&amp;ec_shared_reflux_dynamic_params=%7B%22placeholder_material_id%22%3A%227612646448441707797%22%2C%22place"&amp;"holder_origin_cover%22%3A%22https%253A%252F%252Fp16-sign-sg.tiktokcdn.com%252Ftos-alisg-p-0037%252FokTSexLjQrxMCqPIQeXlbDAQBjFau4fTkAXDqE~tplv-tiktokx-origin.jpeg%253Fdr%253D14572%2526refresh_token%253D42e1386e%2526x-expires%253D1804068000%2526x-signature"&amp;"%253DFjvzP8F0YvKTOva71YWeI4Mqsoc%25253D%2526t%253D4d5b0474%2526ps%253D13740610%2526shp%253Dd05b14bd%2526shcp%253D34ff8df6%2526idc%253Dmy2%2526s%253DTIKTOK_AFFILIATE_VIRAL_VIDEO%22%2C%22placeholder_product_id%22%3A%221729991116494375315%22%2C%22placeholder"&amp;"_video_id%22%3A%227612646448441707797%22%7D&amp;ec_shared_reflux_scene=shop_tab_feed&amp;share_item_id=7612646448441707797&amp;source=h5_t")</f>
        <v>https://www.tiktok.com/@_cipo07/video/7612646448441707797?_r=1&amp;u_code=df9egdb78gif3g&amp;region=&amp;mid=7136445672676411393&amp;preview_pb=0&amp;sharer_language=&amp;_d=0&amp;ec_shared_reflux_dynamic_params=%7B%22placeholder_material_id%22%3A%227612646448441707797%22%2C%22placeholder_origin_cover%22%3A%22https%253A%252F%252Fp16-sign-sg.tiktokcdn.com%252Ftos-alisg-p-0037%252FokTSexLjQrxMCqPIQeXlbDAQBjFau4fTkAXDqE~tplv-tiktokx-origin.jpeg%253Fdr%253D14572%2526refresh_token%253D42e1386e%2526x-expires%253D1804068000%2526x-signature%253DFjvzP8F0YvKTOva71YWeI4Mqsoc%25253D%2526t%253D4d5b0474%2526ps%253D13740610%2526shp%253Dd05b14bd%2526shcp%253D34ff8df6%2526idc%253Dmy2%2526s%253DTIKTOK_AFFILIATE_VIRAL_VIDEO%22%2C%22placeholder_product_id%22%3A%221729991116494375315%22%2C%22placeholder_video_id%22%3A%227612646448441707797%22%7D&amp;ec_shared_reflux_scene=shop_tab_feed&amp;share_item_id=7612646448441707797&amp;source=h5_t</v>
      </c>
      <c r="N54" s="333"/>
      <c r="O54" s="17"/>
      <c r="P54" s="333"/>
      <c r="Q54" s="17"/>
      <c r="R54" s="63">
        <f>IFERROR(__xludf.DUMMYFUNCTION("""COMPUTED_VALUE"""),0.0)</f>
        <v>0</v>
      </c>
      <c r="S54" s="63">
        <f>IFERROR(__xludf.DUMMYFUNCTION("""COMPUTED_VALUE"""),0.0)</f>
        <v>0</v>
      </c>
      <c r="T54" s="63">
        <f>IFERROR(__xludf.DUMMYFUNCTION("""COMPUTED_VALUE"""),0.0)</f>
        <v>0</v>
      </c>
      <c r="U54" s="63">
        <f>IFERROR(__xludf.DUMMYFUNCTION("""COMPUTED_VALUE"""),0.0)</f>
        <v>0</v>
      </c>
    </row>
    <row r="55">
      <c r="A55" s="255" t="str">
        <f>IFERROR(__xludf.DUMMYFUNCTION("""COMPUTED_VALUE"""),"MICRO")</f>
        <v>MICRO</v>
      </c>
      <c r="B55" s="23" t="str">
        <f>IFERROR(__xludf.DUMMYFUNCTION("""COMPUTED_VALUE"""),"Innahhiyan")</f>
        <v>Innahhiyan</v>
      </c>
      <c r="C55" s="281" t="str">
        <f>IFERROR(__xludf.DUMMYFUNCTION("""COMPUTED_VALUE"""),"https://www.tiktok.com/@Innahhiyan")</f>
        <v>https://www.tiktok.com/@Innahhiyan</v>
      </c>
      <c r="D55" s="270">
        <f>IFERROR(__xludf.DUMMYFUNCTION("""COMPUTED_VALUE"""),8.5226956975E10)</f>
        <v>85226956975</v>
      </c>
      <c r="E55" s="271">
        <f>IFERROR(__xludf.DUMMYFUNCTION("""COMPUTED_VALUE"""),0.0)</f>
        <v>0</v>
      </c>
      <c r="F55" s="270">
        <f>IFERROR(__xludf.DUMMYFUNCTION("""COMPUTED_VALUE"""),3.0)</f>
        <v>3</v>
      </c>
      <c r="G55" s="59" t="str">
        <f>IFERROR(__xludf.DUMMYFUNCTION("""COMPUTED_VALUE"""),"Rp1JT+")</f>
        <v>Rp1JT+</v>
      </c>
      <c r="H55" s="277" t="str">
        <f>IFERROR(__xludf.DUMMYFUNCTION("""COMPUTED_VALUE"""),"OMG OH MY GLOW UV Barrier Sunscreen SPF 50 PA++++ 60 ml")</f>
        <v>OMG OH MY GLOW UV Barrier Sunscreen SPF 50 PA++++ 60 ml</v>
      </c>
      <c r="I55" s="260" t="str">
        <f>IFERROR(__xludf.DUMMYFUNCTION("""COMPUTED_VALUE"""),"Sampai")</f>
        <v>Sampai</v>
      </c>
      <c r="J55" s="333" t="str">
        <f>IFERROR(__xludf.DUMMYFUNCTION("""COMPUTED_VALUE"""),"Concept 3")</f>
        <v>Concept 3</v>
      </c>
      <c r="K55" s="278" t="str">
        <f>IFERROR(__xludf.DUMMYFUNCTION("""COMPUTED_VALUE"""),"https://vt.tiktok.com/ZSuDsGnLo/")</f>
        <v>https://vt.tiktok.com/ZSuDsGnLo/</v>
      </c>
      <c r="L55" s="333" t="str">
        <f>IFERROR(__xludf.DUMMYFUNCTION("""COMPUTED_VALUE"""),"Concept 3")</f>
        <v>Concept 3</v>
      </c>
      <c r="M55" s="278" t="str">
        <f>IFERROR(__xludf.DUMMYFUNCTION("""COMPUTED_VALUE"""),"https://vt.tiktok.com/ZS9gwtG5p/")</f>
        <v>https://vt.tiktok.com/ZS9gwtG5p/</v>
      </c>
      <c r="N55" s="333" t="str">
        <f>IFERROR(__xludf.DUMMYFUNCTION("""COMPUTED_VALUE"""),"Concept 3")</f>
        <v>Concept 3</v>
      </c>
      <c r="O55" s="279" t="str">
        <f>IFERROR(__xludf.DUMMYFUNCTION("""COMPUTED_VALUE"""),"https://www.tiktok.com/@innaahhiyan/video/7635589837059263751?_r=1&amp;u_code=lb2cgb29&amp;region=&amp;mid=7592932992264276756&amp;preview_pb=0&amp;sharer_language=&amp;_d=0&amp;ec_shared_reflux_dynamic_params=%7B%22placeholder_material_id%22%3A%227635589837059263751%22%2C%22placeho"&amp;"lder_origin_cover%22%3A%22https%253A%252F%252Fp16-common-sign.tiktokcdn.com%252Ftos-alisg-p-0037%252Fowc3l8AIevjvCQcQXCLTAEXGA2o2YD8Iei7Ine~tplv-tiktokx-origin.jpeg%253Fdr%253D14572%2526refresh_token%253Dc98ea776%2526x-expires%253D1810980000%2526x-signatu"&amp;"re%253DvjDj4ogZoO%25252BmAqHxryZnuUCKcBI%25253D%2526t%253D4d5b0474%2526ps%253D13740610%2526shp%253Dd05b14bd%2526shcp%253D34ff8df6%2526idc%253Dmy2%2526s%253DTIKTOK_AFFILIATE_VIRAL_VIDEO%22%2C%22placeholder_product_id%22%3A%221734425989485397395%22%2C%22pla"&amp;"ceholder_video_id%22%3A%227635589837059263751%22%7D&amp;ec_shared_reflux_scene=shop_tab_feed&amp;share_item_id=7635589837059263751&amp;source=h5_t")</f>
        <v>https://www.tiktok.com/@innaahhiyan/video/7635589837059263751?_r=1&amp;u_code=lb2cgb29&amp;region=&amp;mid=7592932992264276756&amp;preview_pb=0&amp;sharer_language=&amp;_d=0&amp;ec_shared_reflux_dynamic_params=%7B%22placeholder_material_id%22%3A%227635589837059263751%22%2C%22placeholder_origin_cover%22%3A%22https%253A%252F%252Fp16-common-sign.tiktokcdn.com%252Ftos-alisg-p-0037%252Fowc3l8AIevjvCQcQXCLTAEXGA2o2YD8Iei7Ine~tplv-tiktokx-origin.jpeg%253Fdr%253D14572%2526refresh_token%253Dc98ea776%2526x-expires%253D1810980000%2526x-signature%253DvjDj4ogZoO%25252BmAqHxryZnuUCKcBI%25253D%2526t%253D4d5b0474%2526ps%253D13740610%2526shp%253Dd05b14bd%2526shcp%253D34ff8df6%2526idc%253Dmy2%2526s%253DTIKTOK_AFFILIATE_VIRAL_VIDEO%22%2C%22placeholder_product_id%22%3A%221734425989485397395%22%2C%22placeholder_video_id%22%3A%227635589837059263751%22%7D&amp;ec_shared_reflux_scene=shop_tab_feed&amp;share_item_id=7635589837059263751&amp;source=h5_t</v>
      </c>
      <c r="P55" s="333"/>
      <c r="Q55" s="17"/>
      <c r="R55" s="63">
        <f>IFERROR(__xludf.DUMMYFUNCTION("""COMPUTED_VALUE"""),0.0)</f>
        <v>0</v>
      </c>
      <c r="S55" s="63">
        <f>IFERROR(__xludf.DUMMYFUNCTION("""COMPUTED_VALUE"""),0.0)</f>
        <v>0</v>
      </c>
      <c r="T55" s="63">
        <f>IFERROR(__xludf.DUMMYFUNCTION("""COMPUTED_VALUE"""),0.0)</f>
        <v>0</v>
      </c>
      <c r="U55" s="63">
        <f>IFERROR(__xludf.DUMMYFUNCTION("""COMPUTED_VALUE"""),0.0)</f>
        <v>0</v>
      </c>
    </row>
    <row r="56">
      <c r="A56" s="255" t="str">
        <f>IFERROR(__xludf.DUMMYFUNCTION("""COMPUTED_VALUE"""),"NANO")</f>
        <v>NANO</v>
      </c>
      <c r="B56" s="23" t="str">
        <f>IFERROR(__xludf.DUMMYFUNCTION("""COMPUTED_VALUE"""),"spillskincarebymee")</f>
        <v>spillskincarebymee</v>
      </c>
      <c r="C56" s="281" t="str">
        <f>IFERROR(__xludf.DUMMYFUNCTION("""COMPUTED_VALUE"""),"https://www.tiktok.com/@spillskincarebymee")</f>
        <v>https://www.tiktok.com/@spillskincarebymee</v>
      </c>
      <c r="D56" s="270">
        <f>IFERROR(__xludf.DUMMYFUNCTION("""COMPUTED_VALUE"""),8.5777727924E10)</f>
        <v>85777727924</v>
      </c>
      <c r="E56" s="271">
        <f>IFERROR(__xludf.DUMMYFUNCTION("""COMPUTED_VALUE"""),0.0)</f>
        <v>0</v>
      </c>
      <c r="F56" s="270">
        <f>IFERROR(__xludf.DUMMYFUNCTION("""COMPUTED_VALUE"""),3.0)</f>
        <v>3</v>
      </c>
      <c r="G56" s="59" t="str">
        <f>IFERROR(__xludf.DUMMYFUNCTION("""COMPUTED_VALUE"""),"Rp14,7JT")</f>
        <v>Rp14,7JT</v>
      </c>
      <c r="H56" s="277" t="str">
        <f>IFERROR(__xludf.DUMMYFUNCTION("""COMPUTED_VALUE"""),"NEW! OMG Acne &amp; Oil Control UV Barrier Sunscreen SPF50 PA++++ ")</f>
        <v>NEW! OMG Acne &amp; Oil Control UV Barrier Sunscreen SPF50 PA++++ </v>
      </c>
      <c r="I56" s="260" t="str">
        <f>IFERROR(__xludf.DUMMYFUNCTION("""COMPUTED_VALUE"""),"Sampai")</f>
        <v>Sampai</v>
      </c>
      <c r="J56" s="333" t="str">
        <f>IFERROR(__xludf.DUMMYFUNCTION("""COMPUTED_VALUE"""),"Concept 3")</f>
        <v>Concept 3</v>
      </c>
      <c r="K56" s="278" t="str">
        <f>IFERROR(__xludf.DUMMYFUNCTION("""COMPUTED_VALUE"""),"https://vt.tiktok.com/ZSmwvD1MQ/")</f>
        <v>https://vt.tiktok.com/ZSmwvD1MQ/</v>
      </c>
      <c r="L56" s="333"/>
      <c r="M56" s="262"/>
      <c r="N56" s="333"/>
      <c r="O56" s="17"/>
      <c r="P56" s="333"/>
      <c r="Q56" s="17"/>
      <c r="R56" s="63">
        <f>IFERROR(__xludf.DUMMYFUNCTION("""COMPUTED_VALUE"""),0.0)</f>
        <v>0</v>
      </c>
      <c r="S56" s="63">
        <f>IFERROR(__xludf.DUMMYFUNCTION("""COMPUTED_VALUE"""),0.0)</f>
        <v>0</v>
      </c>
      <c r="T56" s="63">
        <f>IFERROR(__xludf.DUMMYFUNCTION("""COMPUTED_VALUE"""),0.0)</f>
        <v>0</v>
      </c>
      <c r="U56" s="63">
        <f>IFERROR(__xludf.DUMMYFUNCTION("""COMPUTED_VALUE"""),0.0)</f>
        <v>0</v>
      </c>
    </row>
    <row r="57">
      <c r="A57" s="255" t="str">
        <f>IFERROR(__xludf.DUMMYFUNCTION("""COMPUTED_VALUE"""),"NANO")</f>
        <v>NANO</v>
      </c>
      <c r="B57" s="23" t="str">
        <f>IFERROR(__xludf.DUMMYFUNCTION("""COMPUTED_VALUE"""),"euis.nry")</f>
        <v>euis.nry</v>
      </c>
      <c r="C57" s="281" t="str">
        <f>IFERROR(__xludf.DUMMYFUNCTION("""COMPUTED_VALUE"""),"https://www.tiktok.com/@euis.nry")</f>
        <v>https://www.tiktok.com/@euis.nry</v>
      </c>
      <c r="D57" s="270">
        <f>IFERROR(__xludf.DUMMYFUNCTION("""COMPUTED_VALUE"""),8.2115150885E10)</f>
        <v>82115150885</v>
      </c>
      <c r="E57" s="271">
        <f>IFERROR(__xludf.DUMMYFUNCTION("""COMPUTED_VALUE"""),0.0)</f>
        <v>0</v>
      </c>
      <c r="F57" s="270">
        <f>IFERROR(__xludf.DUMMYFUNCTION("""COMPUTED_VALUE"""),2.0)</f>
        <v>2</v>
      </c>
      <c r="G57" s="59" t="str">
        <f>IFERROR(__xludf.DUMMYFUNCTION("""COMPUTED_VALUE"""),"Rp1JT+")</f>
        <v>Rp1JT+</v>
      </c>
      <c r="H57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57" s="260" t="str">
        <f>IFERROR(__xludf.DUMMYFUNCTION("""COMPUTED_VALUE"""),"Sampai")</f>
        <v>Sampai</v>
      </c>
      <c r="J57" s="333" t="str">
        <f>IFERROR(__xludf.DUMMYFUNCTION("""COMPUTED_VALUE"""),"Concept 2")</f>
        <v>Concept 2</v>
      </c>
      <c r="K57" s="278" t="str">
        <f>IFERROR(__xludf.DUMMYFUNCTION("""COMPUTED_VALUE"""),"https://vt.tiktok.com/ZSmgLKpuk/")</f>
        <v>https://vt.tiktok.com/ZSmgLKpuk/</v>
      </c>
      <c r="L57" s="333" t="str">
        <f>IFERROR(__xludf.DUMMYFUNCTION("""COMPUTED_VALUE"""),"Concept 2")</f>
        <v>Concept 2</v>
      </c>
      <c r="M57" s="278" t="str">
        <f>IFERROR(__xludf.DUMMYFUNCTION("""COMPUTED_VALUE"""),"https://vt.tiktok.com/ZS9pbVtAV/")</f>
        <v>https://vt.tiktok.com/ZS9pbVtAV/</v>
      </c>
      <c r="N57" s="333"/>
      <c r="O57" s="17"/>
      <c r="P57" s="333"/>
      <c r="Q57" s="17"/>
      <c r="R57" s="335">
        <f>IFERROR(__xludf.DUMMYFUNCTION("""COMPUTED_VALUE"""),0.0)</f>
        <v>0</v>
      </c>
      <c r="S57" s="335">
        <f>IFERROR(__xludf.DUMMYFUNCTION("""COMPUTED_VALUE"""),0.0)</f>
        <v>0</v>
      </c>
      <c r="T57" s="335">
        <f>IFERROR(__xludf.DUMMYFUNCTION("""COMPUTED_VALUE"""),0.0)</f>
        <v>0</v>
      </c>
      <c r="U57" s="335">
        <f>IFERROR(__xludf.DUMMYFUNCTION("""COMPUTED_VALUE"""),0.0)</f>
        <v>0</v>
      </c>
    </row>
    <row r="58">
      <c r="A58" s="255" t="str">
        <f>IFERROR(__xludf.DUMMYFUNCTION("""COMPUTED_VALUE"""),"NANO")</f>
        <v>NANO</v>
      </c>
      <c r="B58" s="23" t="str">
        <f>IFERROR(__xludf.DUMMYFUNCTION("""COMPUTED_VALUE"""),"pinkiesgurl")</f>
        <v>pinkiesgurl</v>
      </c>
      <c r="C58" s="281" t="str">
        <f>IFERROR(__xludf.DUMMYFUNCTION("""COMPUTED_VALUE"""),"https://www.tiktok.com/@pinkiesgurl")</f>
        <v>https://www.tiktok.com/@pinkiesgurl</v>
      </c>
      <c r="D58" s="270">
        <f>IFERROR(__xludf.DUMMYFUNCTION("""COMPUTED_VALUE"""),8.5798859993E10)</f>
        <v>85798859993</v>
      </c>
      <c r="E58" s="271">
        <f>IFERROR(__xludf.DUMMYFUNCTION("""COMPUTED_VALUE"""),0.0)</f>
        <v>0</v>
      </c>
      <c r="F58" s="270">
        <f>IFERROR(__xludf.DUMMYFUNCTION("""COMPUTED_VALUE"""),3.0)</f>
        <v>3</v>
      </c>
      <c r="G58" s="59" t="str">
        <f>IFERROR(__xludf.DUMMYFUNCTION("""COMPUTED_VALUE"""),"Rp140,3rb")</f>
        <v>Rp140,3rb</v>
      </c>
      <c r="H58" s="277" t="str">
        <f>IFERROR(__xludf.DUMMYFUNCTION("""COMPUTED_VALUE"""),"OMG OH MY GLOW UV Barrier Sunscreen SPF 50 PA++++ 60 ml")</f>
        <v>OMG OH MY GLOW UV Barrier Sunscreen SPF 50 PA++++ 60 ml</v>
      </c>
      <c r="I58" s="260" t="str">
        <f>IFERROR(__xludf.DUMMYFUNCTION("""COMPUTED_VALUE"""),"Sampai")</f>
        <v>Sampai</v>
      </c>
      <c r="J58" s="333" t="str">
        <f>IFERROR(__xludf.DUMMYFUNCTION("""COMPUTED_VALUE"""),"Concept 3")</f>
        <v>Concept 3</v>
      </c>
      <c r="K58" s="278" t="str">
        <f>IFERROR(__xludf.DUMMYFUNCTION("""COMPUTED_VALUE"""),"https://vt.tiktok.com/ZSm4JJWMX/")</f>
        <v>https://vt.tiktok.com/ZSm4JJWMX/</v>
      </c>
      <c r="L58" s="333" t="str">
        <f>IFERROR(__xludf.DUMMYFUNCTION("""COMPUTED_VALUE"""),"Concept 3")</f>
        <v>Concept 3</v>
      </c>
      <c r="M58" s="278" t="str">
        <f>IFERROR(__xludf.DUMMYFUNCTION("""COMPUTED_VALUE"""),"https://vt.tiktok.com/ZSmcvPCeh/")</f>
        <v>https://vt.tiktok.com/ZSmcvPCeh/</v>
      </c>
      <c r="N58" s="333" t="str">
        <f>IFERROR(__xludf.DUMMYFUNCTION("""COMPUTED_VALUE"""),"Concept 3")</f>
        <v>Concept 3</v>
      </c>
      <c r="O58" s="279" t="str">
        <f>IFERROR(__xludf.DUMMYFUNCTION("""COMPUTED_VALUE"""),"https://vt.tiktok.com/ZSmwNXD5A/")</f>
        <v>https://vt.tiktok.com/ZSmwNXD5A/</v>
      </c>
      <c r="P58" s="333" t="str">
        <f>IFERROR(__xludf.DUMMYFUNCTION("""COMPUTED_VALUE"""),"Concept 3")</f>
        <v>Concept 3</v>
      </c>
      <c r="Q58" s="279" t="str">
        <f>IFERROR(__xludf.DUMMYFUNCTION("""COMPUTED_VALUE"""),"https://www.tiktok.com/@pinkiesgurl/video/7612845322011725073?_r=1&amp;u_code=d0b2eik403830m&amp;region=&amp;mid=7195511642566478619&amp;preview_pb=0&amp;sharer_language=&amp;_d=0&amp;ec_shared_reflux_dynamic_params=%7B%22placeholder_material_id%22%3A%227612845322011725073%22%2C%22p"&amp;"laceholder_origin_cover%22%3A%22https%253A%252F%252Fp16-sign-sg.tiktokcdn.com%252Ftos-alisg-p-0037%252FoAkpBmqGEIsFAeQAHgIQpiVxRKWADBCmEfOQqc~tplv-tiktokx-origin.jpeg%253Fdr%253D14572%2526refresh_token%253D268b3cd9%2526x-expires%253D1804230000%2526x-signa"&amp;"ture%253DVVHBA9wtOmj7SCv4tBJmMy9QAUg%25253D%2526t%253D4d5b0474%2526ps%253D13740610%2526shp%253Dd05b14bd%2526shcp%253D34ff8df6%2526idc%253Dmy2%2526s%253DTIKTOK_AFFILIATE_VIRAL_VIDEO%22%2C%22placeholder_product_id%22%3A%221734425989485397395%22%2C%22placeho"&amp;"lder_video_id%22%3A%227612845322011725073%22%7D&amp;ec_shared_reflux_scene=shop_tab_feed&amp;share_item_id=7612845322011725073&amp;source=h5_t")</f>
        <v>https://www.tiktok.com/@pinkiesgurl/video/7612845322011725073?_r=1&amp;u_code=d0b2eik403830m&amp;region=&amp;mid=7195511642566478619&amp;preview_pb=0&amp;sharer_language=&amp;_d=0&amp;ec_shared_reflux_dynamic_params=%7B%22placeholder_material_id%22%3A%227612845322011725073%22%2C%22placeholder_origin_cover%22%3A%22https%253A%252F%252Fp16-sign-sg.tiktokcdn.com%252Ftos-alisg-p-0037%252FoAkpBmqGEIsFAeQAHgIQpiVxRKWADBCmEfOQqc~tplv-tiktokx-origin.jpeg%253Fdr%253D14572%2526refresh_token%253D268b3cd9%2526x-expires%253D1804230000%2526x-signature%253DVVHBA9wtOmj7SCv4tBJmMy9QAUg%25253D%2526t%253D4d5b0474%2526ps%253D13740610%2526shp%253Dd05b14bd%2526shcp%253D34ff8df6%2526idc%253Dmy2%2526s%253DTIKTOK_AFFILIATE_VIRAL_VIDEO%22%2C%22placeholder_product_id%22%3A%221734425989485397395%22%2C%22placeholder_video_id%22%3A%227612845322011725073%22%7D&amp;ec_shared_reflux_scene=shop_tab_feed&amp;share_item_id=7612845322011725073&amp;source=h5_t</v>
      </c>
      <c r="R58" s="335">
        <f>IFERROR(__xludf.DUMMYFUNCTION("""COMPUTED_VALUE"""),0.0)</f>
        <v>0</v>
      </c>
      <c r="S58" s="335">
        <f>IFERROR(__xludf.DUMMYFUNCTION("""COMPUTED_VALUE"""),0.0)</f>
        <v>0</v>
      </c>
      <c r="T58" s="335">
        <f>IFERROR(__xludf.DUMMYFUNCTION("""COMPUTED_VALUE"""),0.0)</f>
        <v>0</v>
      </c>
      <c r="U58" s="335">
        <f>IFERROR(__xludf.DUMMYFUNCTION("""COMPUTED_VALUE"""),0.0)</f>
        <v>0</v>
      </c>
    </row>
    <row r="59">
      <c r="A59" s="255" t="str">
        <f>IFERROR(__xludf.DUMMYFUNCTION("""COMPUTED_VALUE"""),"MICRO")</f>
        <v>MICRO</v>
      </c>
      <c r="B59" s="23" t="str">
        <f>IFERROR(__xludf.DUMMYFUNCTION("""COMPUTED_VALUE"""),"delladewintaaa")</f>
        <v>delladewintaaa</v>
      </c>
      <c r="C59" s="281" t="str">
        <f>IFERROR(__xludf.DUMMYFUNCTION("""COMPUTED_VALUE"""),"https://www.tiktok.com/@delladewintaaa")</f>
        <v>https://www.tiktok.com/@delladewintaaa</v>
      </c>
      <c r="D59" s="270">
        <f>IFERROR(__xludf.DUMMYFUNCTION("""COMPUTED_VALUE"""),8.5793590723E10)</f>
        <v>85793590723</v>
      </c>
      <c r="E59" s="271">
        <f>IFERROR(__xludf.DUMMYFUNCTION("""COMPUTED_VALUE"""),0.0)</f>
        <v>0</v>
      </c>
      <c r="F59" s="270">
        <f>IFERROR(__xludf.DUMMYFUNCTION("""COMPUTED_VALUE"""),2.0)</f>
        <v>2</v>
      </c>
      <c r="G59" s="59" t="str">
        <f>IFERROR(__xludf.DUMMYFUNCTION("""COMPUTED_VALUE"""),"Rp1JT+")</f>
        <v>Rp1JT+</v>
      </c>
      <c r="H59" s="277" t="str">
        <f>IFERROR(__xludf.DUMMYFUNCTION("""COMPUTED_VALUE"""),"Brightening &amp; Soothing Toner")</f>
        <v>Brightening &amp; Soothing Toner</v>
      </c>
      <c r="I59" s="260" t="str">
        <f>IFERROR(__xludf.DUMMYFUNCTION("""COMPUTED_VALUE"""),"Sampai")</f>
        <v>Sampai</v>
      </c>
      <c r="J59" s="333" t="str">
        <f>IFERROR(__xludf.DUMMYFUNCTION("""COMPUTED_VALUE"""),"Concept 3")</f>
        <v>Concept 3</v>
      </c>
      <c r="K59" s="278" t="str">
        <f>IFERROR(__xludf.DUMMYFUNCTION("""COMPUTED_VALUE"""),"https://www.tiktok.com/@delladewintaaa/video/7609573910312537364?is_from_webapp=1&amp;sender_device=pc")</f>
        <v>https://www.tiktok.com/@delladewintaaa/video/7609573910312537364?is_from_webapp=1&amp;sender_device=pc</v>
      </c>
      <c r="L59" s="333" t="str">
        <f>IFERROR(__xludf.DUMMYFUNCTION("""COMPUTED_VALUE"""),"Concept 2")</f>
        <v>Concept 2</v>
      </c>
      <c r="M59" s="278" t="str">
        <f>IFERROR(__xludf.DUMMYFUNCTION("""COMPUTED_VALUE"""),"https://www.tiktok.com/@delladewintaaa/video/7609594251629890837?_r=1&amp;u_code=de97d9d4i39854&amp;region=&amp;mid=7585495322411961089&amp;preview_pb=0&amp;sharer_language=&amp;_d=0&amp;ec_shared_reflux_dynamic_params=%7B%22placeholder_material_id%22%3A%227609594251629890837%22%2C%"&amp;"22placeholder_origin_cover%22%3A%22https%253A%252F%252Fp16-sign-sg.tiktokcdn.com%252Ftos-alisg-p-0037%252Fo8rFcFD9REBZmQOkTaEQ3WBAtBvgb3Akmpfyve~tplv-tiktokx-origin.jpeg%253Fdr%253D14572%2526refresh_token%253Dd776a877%2526x-expires%253D1803380400%2526x-si"&amp;"gnature%253DEmiOZmemmrrQjhoNAAYArPUUpD0%25253D%2526t%253D4d5b0474%2526ps%253D13740610%2526shp%253Dd05b14bd%2526shcp%253D34ff8df6%2526idc%253Dmy%2526s%253DTIKTOK_AFFILIATE_VIRAL_VIDEO%22%2C%22placeholder_product_id%22%3A%221733551239648413075%22%2C%22place"&amp;"holder_video_id%22%3A%227609594251629890837%22%7D&amp;ec_shared_reflux_scene=shop_tab_feed&amp;share_item_id=7609594251629890837&amp;source=h5_t")</f>
        <v>https://www.tiktok.com/@delladewintaaa/video/7609594251629890837?_r=1&amp;u_code=de97d9d4i39854&amp;region=&amp;mid=7585495322411961089&amp;preview_pb=0&amp;sharer_language=&amp;_d=0&amp;ec_shared_reflux_dynamic_params=%7B%22placeholder_material_id%22%3A%227609594251629890837%22%2C%22placeholder_origin_cover%22%3A%22https%253A%252F%252Fp16-sign-sg.tiktokcdn.com%252Ftos-alisg-p-0037%252Fo8rFcFD9REBZmQOkTaEQ3WBAtBvgb3Akmpfyve~tplv-tiktokx-origin.jpeg%253Fdr%253D14572%2526refresh_token%253Dd776a877%2526x-expires%253D1803380400%2526x-signature%253DEmiOZmemmrrQjhoNAAYArPUUpD0%25253D%2526t%253D4d5b0474%2526ps%253D13740610%2526shp%253Dd05b14bd%2526shcp%253D34ff8df6%2526idc%253Dmy%2526s%253DTIKTOK_AFFILIATE_VIRAL_VIDEO%22%2C%22placeholder_product_id%22%3A%221733551239648413075%22%2C%22placeholder_video_id%22%3A%227609594251629890837%22%7D&amp;ec_shared_reflux_scene=shop_tab_feed&amp;share_item_id=7609594251629890837&amp;source=h5_t</v>
      </c>
      <c r="N59" s="333" t="str">
        <f>IFERROR(__xludf.DUMMYFUNCTION("""COMPUTED_VALUE"""),"Concept 3")</f>
        <v>Concept 3</v>
      </c>
      <c r="O59" s="279" t="str">
        <f>IFERROR(__xludf.DUMMYFUNCTION("""COMPUTED_VALUE"""),"https://www.tiktok.com/@delladewintaaa/video/7609594251629890837?_r=1&amp;u_code=de97d9d4i39854&amp;region=&amp;mid=7585495322411961089&amp;preview_pb=0&amp;sharer_language=&amp;_d=0&amp;ec_shared_reflux_dynamic_params=%7B%22placeholder_material_id%22%3A%227609594251629890837%22%2C%"&amp;"22placeholder_origin_cover%22%3A%22https%253A%252F%252Fp16-sign-sg.tiktokcdn.com%252Ftos-alisg-p-0037%252Fo8rFcFD9REBZmQOkTaEQ3WBAtBvgb3Akmpfyve~tplv-tiktokx-origin.jpeg%253Fdr%253D14572%2526refresh_token%253Dd776a877%2526x-expires%253D1803380400%2526x-si"&amp;"gnature%253DEmiOZmemmrrQjhoNAAYArPUUpD0%25253D%2526t%253D4d5b0474%2526ps%253D13740610%2526shp%253Dd05b14bd%2526shcp%253D34ff8df6%2526idc%253Dmy%2526s%253DTIKTOK_AFFILIATE_VIRAL_VIDEO%22%2C%22placeholder_product_id%22%3A%221733551239648413075%22%2C%22place"&amp;"holder_video_id%22%3A%227609594251629890837%22%7D&amp;ec_shared_reflux_scene=shop_tab_feed&amp;share_item_id=7609594251629890837&amp;source=h5_t")</f>
        <v>https://www.tiktok.com/@delladewintaaa/video/7609594251629890837?_r=1&amp;u_code=de97d9d4i39854&amp;region=&amp;mid=7585495322411961089&amp;preview_pb=0&amp;sharer_language=&amp;_d=0&amp;ec_shared_reflux_dynamic_params=%7B%22placeholder_material_id%22%3A%227609594251629890837%22%2C%22placeholder_origin_cover%22%3A%22https%253A%252F%252Fp16-sign-sg.tiktokcdn.com%252Ftos-alisg-p-0037%252Fo8rFcFD9REBZmQOkTaEQ3WBAtBvgb3Akmpfyve~tplv-tiktokx-origin.jpeg%253Fdr%253D14572%2526refresh_token%253Dd776a877%2526x-expires%253D1803380400%2526x-signature%253DEmiOZmemmrrQjhoNAAYArPUUpD0%25253D%2526t%253D4d5b0474%2526ps%253D13740610%2526shp%253Dd05b14bd%2526shcp%253D34ff8df6%2526idc%253Dmy%2526s%253DTIKTOK_AFFILIATE_VIRAL_VIDEO%22%2C%22placeholder_product_id%22%3A%221733551239648413075%22%2C%22placeholder_video_id%22%3A%227609594251629890837%22%7D&amp;ec_shared_reflux_scene=shop_tab_feed&amp;share_item_id=7609594251629890837&amp;source=h5_t</v>
      </c>
      <c r="P59" s="333" t="str">
        <f>IFERROR(__xludf.DUMMYFUNCTION("""COMPUTED_VALUE"""),"Concept 2")</f>
        <v>Concept 2</v>
      </c>
      <c r="Q59" s="279" t="str">
        <f>IFERROR(__xludf.DUMMYFUNCTION("""COMPUTED_VALUE"""),"https://www.tiktok.com/@delladewintaaa/video/7609610422215281941?is_from_webapp=1&amp;sender_device=pc")</f>
        <v>https://www.tiktok.com/@delladewintaaa/video/7609610422215281941?is_from_webapp=1&amp;sender_device=pc</v>
      </c>
      <c r="R59" s="335">
        <f>IFERROR(__xludf.DUMMYFUNCTION("""COMPUTED_VALUE"""),0.0)</f>
        <v>0</v>
      </c>
      <c r="S59" s="335">
        <f>IFERROR(__xludf.DUMMYFUNCTION("""COMPUTED_VALUE"""),0.0)</f>
        <v>0</v>
      </c>
      <c r="T59" s="335">
        <f>IFERROR(__xludf.DUMMYFUNCTION("""COMPUTED_VALUE"""),0.0)</f>
        <v>0</v>
      </c>
      <c r="U59" s="335">
        <f>IFERROR(__xludf.DUMMYFUNCTION("""COMPUTED_VALUE"""),0.0)</f>
        <v>0</v>
      </c>
    </row>
    <row r="60">
      <c r="A60" s="255" t="str">
        <f>IFERROR(__xludf.DUMMYFUNCTION("""COMPUTED_VALUE"""),"NANO")</f>
        <v>NANO</v>
      </c>
      <c r="B60" s="23" t="str">
        <f>IFERROR(__xludf.DUMMYFUNCTION("""COMPUTED_VALUE"""),"Rnggrn_")</f>
        <v>Rnggrn_</v>
      </c>
      <c r="C60" s="281" t="str">
        <f>IFERROR(__xludf.DUMMYFUNCTION("""COMPUTED_VALUE"""),"https://www.tiktok.com/@Rnggrn_")</f>
        <v>https://www.tiktok.com/@Rnggrn_</v>
      </c>
      <c r="D60" s="270">
        <f>IFERROR(__xludf.DUMMYFUNCTION("""COMPUTED_VALUE"""),8.5143277203E10)</f>
        <v>85143277203</v>
      </c>
      <c r="E60" s="271">
        <f>IFERROR(__xludf.DUMMYFUNCTION("""COMPUTED_VALUE"""),0.0)</f>
        <v>0</v>
      </c>
      <c r="F60" s="270">
        <f>IFERROR(__xludf.DUMMYFUNCTION("""COMPUTED_VALUE"""),3.0)</f>
        <v>3</v>
      </c>
      <c r="G60" s="59" t="str">
        <f>IFERROR(__xludf.DUMMYFUNCTION("""COMPUTED_VALUE"""),"Rp1,4JT")</f>
        <v>Rp1,4JT</v>
      </c>
      <c r="H60" s="277" t="str">
        <f>IFERROR(__xludf.DUMMYFUNCTION("""COMPUTED_VALUE"""),"OMG OH MY GLOW UV Barrier Sunscreen SPF 50 PA++++ 60 ml")</f>
        <v>OMG OH MY GLOW UV Barrier Sunscreen SPF 50 PA++++ 60 ml</v>
      </c>
      <c r="I60" s="260" t="str">
        <f>IFERROR(__xludf.DUMMYFUNCTION("""COMPUTED_VALUE"""),"Sampai")</f>
        <v>Sampai</v>
      </c>
      <c r="J60" s="333" t="str">
        <f>IFERROR(__xludf.DUMMYFUNCTION("""COMPUTED_VALUE"""),"Concept 3")</f>
        <v>Concept 3</v>
      </c>
      <c r="K60" s="278" t="str">
        <f>IFERROR(__xludf.DUMMYFUNCTION("""COMPUTED_VALUE"""),"https://vt.tiktok.com/ZSuj4bgHr/")</f>
        <v>https://vt.tiktok.com/ZSuj4bgHr/</v>
      </c>
      <c r="L60" s="333" t="str">
        <f>IFERROR(__xludf.DUMMYFUNCTION("""COMPUTED_VALUE"""),"Concept 3")</f>
        <v>Concept 3</v>
      </c>
      <c r="M60" s="278" t="str">
        <f>IFERROR(__xludf.DUMMYFUNCTION("""COMPUTED_VALUE"""),"https://vt.tiktok.com/ZSuj4nfEj/")</f>
        <v>https://vt.tiktok.com/ZSuj4nfEj/</v>
      </c>
      <c r="N60" s="333"/>
      <c r="O60" s="17"/>
      <c r="P60" s="333"/>
      <c r="Q60" s="17"/>
      <c r="R60" s="335">
        <f>IFERROR(__xludf.DUMMYFUNCTION("""COMPUTED_VALUE"""),183434.0)</f>
        <v>183434</v>
      </c>
      <c r="S60" s="335">
        <f>IFERROR(__xludf.DUMMYFUNCTION("""COMPUTED_VALUE"""),0.0)</f>
        <v>0</v>
      </c>
      <c r="T60" s="335">
        <f>IFERROR(__xludf.DUMMYFUNCTION("""COMPUTED_VALUE"""),0.0)</f>
        <v>0</v>
      </c>
      <c r="U60" s="335">
        <f>IFERROR(__xludf.DUMMYFUNCTION("""COMPUTED_VALUE"""),0.0)</f>
        <v>0</v>
      </c>
    </row>
    <row r="61">
      <c r="A61" s="255" t="str">
        <f>IFERROR(__xludf.DUMMYFUNCTION("""COMPUTED_VALUE"""),"NANO")</f>
        <v>NANO</v>
      </c>
      <c r="B61" s="23" t="str">
        <f>IFERROR(__xludf.DUMMYFUNCTION("""COMPUTED_VALUE"""),"diindiinaa")</f>
        <v>diindiinaa</v>
      </c>
      <c r="C61" s="281" t="str">
        <f>IFERROR(__xludf.DUMMYFUNCTION("""COMPUTED_VALUE"""),"https://www.tiktok.com/@diindiinaa")</f>
        <v>https://www.tiktok.com/@diindiinaa</v>
      </c>
      <c r="D61" s="270">
        <f>IFERROR(__xludf.DUMMYFUNCTION("""COMPUTED_VALUE"""),8.1331949877E10)</f>
        <v>81331949877</v>
      </c>
      <c r="E61" s="271">
        <f>IFERROR(__xludf.DUMMYFUNCTION("""COMPUTED_VALUE"""),0.0)</f>
        <v>0</v>
      </c>
      <c r="F61" s="270">
        <f>IFERROR(__xludf.DUMMYFUNCTION("""COMPUTED_VALUE"""),1.0)</f>
        <v>1</v>
      </c>
      <c r="G61" s="59" t="str">
        <f>IFERROR(__xludf.DUMMYFUNCTION("""COMPUTED_VALUE"""),"Rp8,5JT")</f>
        <v>Rp8,5JT</v>
      </c>
      <c r="H61" s="277" t="str">
        <f>IFERROR(__xludf.DUMMYFUNCTION("""COMPUTED_VALUE"""),"OMG OH MY GLOW UV Barrier Sunscreen SPF 50 PA++++ 60 ml")</f>
        <v>OMG OH MY GLOW UV Barrier Sunscreen SPF 50 PA++++ 60 ml</v>
      </c>
      <c r="I61" s="260" t="str">
        <f>IFERROR(__xludf.DUMMYFUNCTION("""COMPUTED_VALUE"""),"Sampai")</f>
        <v>Sampai</v>
      </c>
      <c r="J61" s="333" t="str">
        <f>IFERROR(__xludf.DUMMYFUNCTION("""COMPUTED_VALUE"""),"Concept 3")</f>
        <v>Concept 3</v>
      </c>
      <c r="K61" s="278" t="str">
        <f>IFERROR(__xludf.DUMMYFUNCTION("""COMPUTED_VALUE"""),"https://vt.tiktok.com/ZSm4yRB8W/")</f>
        <v>https://vt.tiktok.com/ZSm4yRB8W/</v>
      </c>
      <c r="L61" s="333"/>
      <c r="M61" s="262"/>
      <c r="N61" s="333"/>
      <c r="O61" s="17"/>
      <c r="P61" s="333"/>
      <c r="Q61" s="17"/>
      <c r="R61" s="335">
        <f>IFERROR(__xludf.DUMMYFUNCTION("""COMPUTED_VALUE"""),91238.0)</f>
        <v>91238</v>
      </c>
      <c r="S61" s="335">
        <f>IFERROR(__xludf.DUMMYFUNCTION("""COMPUTED_VALUE"""),0.0)</f>
        <v>0</v>
      </c>
      <c r="T61" s="335">
        <f>IFERROR(__xludf.DUMMYFUNCTION("""COMPUTED_VALUE"""),3.554249809E7)</f>
        <v>35542498.09</v>
      </c>
      <c r="U61" s="335">
        <f>IFERROR(__xludf.DUMMYFUNCTION("""COMPUTED_VALUE"""),0.0)</f>
        <v>0</v>
      </c>
    </row>
    <row r="62">
      <c r="A62" s="255" t="str">
        <f>IFERROR(__xludf.DUMMYFUNCTION("""COMPUTED_VALUE"""),"NANO")</f>
        <v>NANO</v>
      </c>
      <c r="B62" s="23" t="str">
        <f>IFERROR(__xludf.DUMMYFUNCTION("""COMPUTED_VALUE"""),"qrtlaenii_")</f>
        <v>qrtlaenii_</v>
      </c>
      <c r="C62" s="281" t="str">
        <f>IFERROR(__xludf.DUMMYFUNCTION("""COMPUTED_VALUE"""),"https://www.tiktok.com/@qrtlaenii_")</f>
        <v>https://www.tiktok.com/@qrtlaenii_</v>
      </c>
      <c r="D62" s="270">
        <f>IFERROR(__xludf.DUMMYFUNCTION("""COMPUTED_VALUE"""),8.7861632826E10)</f>
        <v>87861632826</v>
      </c>
      <c r="E62" s="271">
        <f>IFERROR(__xludf.DUMMYFUNCTION("""COMPUTED_VALUE"""),0.0)</f>
        <v>0</v>
      </c>
      <c r="F62" s="270">
        <f>IFERROR(__xludf.DUMMYFUNCTION("""COMPUTED_VALUE"""),2.0)</f>
        <v>2</v>
      </c>
      <c r="G62" s="59" t="str">
        <f>IFERROR(__xludf.DUMMYFUNCTION("""COMPUTED_VALUE"""),"Rp1JT+")</f>
        <v>Rp1JT+</v>
      </c>
      <c r="H62" s="277" t="str">
        <f>IFERROR(__xludf.DUMMYFUNCTION("""COMPUTED_VALUE"""),"Brightening &amp; Soothing Toner")</f>
        <v>Brightening &amp; Soothing Toner</v>
      </c>
      <c r="I62" s="260" t="str">
        <f>IFERROR(__xludf.DUMMYFUNCTION("""COMPUTED_VALUE"""),"Sampai")</f>
        <v>Sampai</v>
      </c>
      <c r="J62" s="333" t="str">
        <f>IFERROR(__xludf.DUMMYFUNCTION("""COMPUTED_VALUE"""),"Concept 2")</f>
        <v>Concept 2</v>
      </c>
      <c r="K62" s="278" t="str">
        <f>IFERROR(__xludf.DUMMYFUNCTION("""COMPUTED_VALUE"""),"https://vt.tiktok.com/ZSuAje5sT/")</f>
        <v>https://vt.tiktok.com/ZSuAje5sT/</v>
      </c>
      <c r="L62" s="333" t="str">
        <f>IFERROR(__xludf.DUMMYFUNCTION("""COMPUTED_VALUE"""),"Concept 2")</f>
        <v>Concept 2</v>
      </c>
      <c r="M62" s="278" t="str">
        <f>IFERROR(__xludf.DUMMYFUNCTION("""COMPUTED_VALUE"""),"https://www.tiktok.com/@qrtlaenii_/video/7618737148300348693?_r=1&amp;u_code=ej64dh5167i2cf&amp;region=&amp;mid=7605046453416758037&amp;preview_pb=0&amp;sharer_language=&amp;_d=0&amp;ec_shared_reflux_dynamic_params=%7B%22placeholder_material_id%22%3A%227618737148300348693%22%2C%22pl"&amp;"aceholder_origin_cover%22%3A%22https%253A%252F%252Fp16-sign-sg.tiktokcdn.com%252Ftos-alisg-p-0037%252FoMRABJ0I7BWBCAaZwNoJbfiIiBAK6A3699Ud7I~tplv-tiktokx-origin.jpeg%253Fdr%253D14572%2526refresh_token%253De8578a5d%2526x-expires%253D1805940000%2526x-signat"&amp;"ure%253DxL%25252FyGaYrfaHtL0jqn0RZQmLkFcw%25253D%2526t%253D4d5b0474%2526ps%253D13740610%2526shp%253Dd05b14bd%2526shcp%253D34ff8df6%2526idc%253Dmy2%2526s%253DTIKTOK_AFFILIATE_VIRAL_VIDEO%22%2C%22placeholder_product_id%22%3A%221733551239648413075%22%2C%22pl"&amp;"aceholder_video_id%22%3A%227618737148300348693%22%7D&amp;ec_shared_reflux_scene=shop_tab_feed&amp;share_item_id=7618737148300348693&amp;source=h5_t")</f>
        <v>https://www.tiktok.com/@qrtlaenii_/video/7618737148300348693?_r=1&amp;u_code=ej64dh5167i2cf&amp;region=&amp;mid=7605046453416758037&amp;preview_pb=0&amp;sharer_language=&amp;_d=0&amp;ec_shared_reflux_dynamic_params=%7B%22placeholder_material_id%22%3A%227618737148300348693%22%2C%22placeholder_origin_cover%22%3A%22https%253A%252F%252Fp16-sign-sg.tiktokcdn.com%252Ftos-alisg-p-0037%252FoMRABJ0I7BWBCAaZwNoJbfiIiBAK6A3699Ud7I~tplv-tiktokx-origin.jpeg%253Fdr%253D14572%2526refresh_token%253De8578a5d%2526x-expires%253D1805940000%2526x-signature%253DxL%25252FyGaYrfaHtL0jqn0RZQmLkFcw%25253D%2526t%253D4d5b0474%2526ps%253D13740610%2526shp%253Dd05b14bd%2526shcp%253D34ff8df6%2526idc%253Dmy2%2526s%253DTIKTOK_AFFILIATE_VIRAL_VIDEO%22%2C%22placeholder_product_id%22%3A%221733551239648413075%22%2C%22placeholder_video_id%22%3A%227618737148300348693%22%7D&amp;ec_shared_reflux_scene=shop_tab_feed&amp;share_item_id=7618737148300348693&amp;source=h5_t</v>
      </c>
      <c r="N62" s="333"/>
      <c r="O62" s="17"/>
      <c r="P62" s="333"/>
      <c r="Q62" s="17"/>
      <c r="R62" s="335">
        <f>IFERROR(__xludf.DUMMYFUNCTION("""COMPUTED_VALUE"""),55274.0)</f>
        <v>55274</v>
      </c>
      <c r="S62" s="335">
        <f>IFERROR(__xludf.DUMMYFUNCTION("""COMPUTED_VALUE"""),0.0)</f>
        <v>0</v>
      </c>
      <c r="T62" s="335">
        <f>IFERROR(__xludf.DUMMYFUNCTION("""COMPUTED_VALUE"""),2.384132159E7)</f>
        <v>23841321.59</v>
      </c>
      <c r="U62" s="335">
        <f>IFERROR(__xludf.DUMMYFUNCTION("""COMPUTED_VALUE"""),0.0)</f>
        <v>0</v>
      </c>
    </row>
    <row r="63">
      <c r="A63" s="255" t="str">
        <f>IFERROR(__xludf.DUMMYFUNCTION("""COMPUTED_VALUE"""),"NANO")</f>
        <v>NANO</v>
      </c>
      <c r="B63" s="23" t="str">
        <f>IFERROR(__xludf.DUMMYFUNCTION("""COMPUTED_VALUE"""),"iniziraajuga ")</f>
        <v>iniziraajuga </v>
      </c>
      <c r="C63" s="281" t="str">
        <f>IFERROR(__xludf.DUMMYFUNCTION("""COMPUTED_VALUE"""),"https://www.tiktok.com/@iniziraajuga ")</f>
        <v>https://www.tiktok.com/@iniziraajuga </v>
      </c>
      <c r="D63" s="270">
        <f>IFERROR(__xludf.DUMMYFUNCTION("""COMPUTED_VALUE"""),8.3197631206E10)</f>
        <v>83197631206</v>
      </c>
      <c r="E63" s="271">
        <f>IFERROR(__xludf.DUMMYFUNCTION("""COMPUTED_VALUE"""),0.0)</f>
        <v>0</v>
      </c>
      <c r="F63" s="270">
        <f>IFERROR(__xludf.DUMMYFUNCTION("""COMPUTED_VALUE"""),3.0)</f>
        <v>3</v>
      </c>
      <c r="G63" s="59" t="str">
        <f>IFERROR(__xludf.DUMMYFUNCTION("""COMPUTED_VALUE"""),"Rp285,3JT")</f>
        <v>Rp285,3JT</v>
      </c>
      <c r="H63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63" s="260" t="str">
        <f>IFERROR(__xludf.DUMMYFUNCTION("""COMPUTED_VALUE"""),"Sampai")</f>
        <v>Sampai</v>
      </c>
      <c r="J63" s="333" t="str">
        <f>IFERROR(__xludf.DUMMYFUNCTION("""COMPUTED_VALUE"""),"Concept 3")</f>
        <v>Concept 3</v>
      </c>
      <c r="K63" s="278" t="str">
        <f>IFERROR(__xludf.DUMMYFUNCTION("""COMPUTED_VALUE"""),"https://vt.tiktok.com/ZS9LpBk7q/")</f>
        <v>https://vt.tiktok.com/ZS9LpBk7q/</v>
      </c>
      <c r="L63" s="333" t="str">
        <f>IFERROR(__xludf.DUMMYFUNCTION("""COMPUTED_VALUE"""),"Concept 3")</f>
        <v>Concept 3</v>
      </c>
      <c r="M63" s="278" t="str">
        <f>IFERROR(__xludf.DUMMYFUNCTION("""COMPUTED_VALUE"""),"https://vt.tiktok.com/ZS9Lp9aed/")</f>
        <v>https://vt.tiktok.com/ZS9Lp9aed/</v>
      </c>
      <c r="N63" s="333"/>
      <c r="O63" s="17"/>
      <c r="P63" s="333"/>
      <c r="Q63" s="17"/>
      <c r="R63" s="335">
        <f>IFERROR(__xludf.DUMMYFUNCTION("""COMPUTED_VALUE"""),0.0)</f>
        <v>0</v>
      </c>
      <c r="S63" s="335">
        <f>IFERROR(__xludf.DUMMYFUNCTION("""COMPUTED_VALUE"""),0.0)</f>
        <v>0</v>
      </c>
      <c r="T63" s="335">
        <f>IFERROR(__xludf.DUMMYFUNCTION("""COMPUTED_VALUE"""),0.0)</f>
        <v>0</v>
      </c>
      <c r="U63" s="335">
        <f>IFERROR(__xludf.DUMMYFUNCTION("""COMPUTED_VALUE"""),0.0)</f>
        <v>0</v>
      </c>
    </row>
    <row r="64">
      <c r="A64" s="255" t="str">
        <f>IFERROR(__xludf.DUMMYFUNCTION("""COMPUTED_VALUE"""),"NANO")</f>
        <v>NANO</v>
      </c>
      <c r="B64" s="23" t="str">
        <f>IFERROR(__xludf.DUMMYFUNCTION("""COMPUTED_VALUE"""),"mutiaraaarv")</f>
        <v>mutiaraaarv</v>
      </c>
      <c r="C64" s="281" t="str">
        <f>IFERROR(__xludf.DUMMYFUNCTION("""COMPUTED_VALUE"""),"https://www.tiktok.com/@mutiaraaarv")</f>
        <v>https://www.tiktok.com/@mutiaraaarv</v>
      </c>
      <c r="D64" s="270">
        <f>IFERROR(__xludf.DUMMYFUNCTION("""COMPUTED_VALUE"""),8.138744878E10)</f>
        <v>81387448780</v>
      </c>
      <c r="E64" s="271">
        <f>IFERROR(__xludf.DUMMYFUNCTION("""COMPUTED_VALUE"""),100000.0)</f>
        <v>100000</v>
      </c>
      <c r="F64" s="270">
        <f>IFERROR(__xludf.DUMMYFUNCTION("""COMPUTED_VALUE"""),1.0)</f>
        <v>1</v>
      </c>
      <c r="G64" s="59" t="str">
        <f>IFERROR(__xludf.DUMMYFUNCTION("""COMPUTED_VALUE"""),"Rp10,6JT")</f>
        <v>Rp10,6JT</v>
      </c>
      <c r="H64" s="277" t="str">
        <f>IFERROR(__xludf.DUMMYFUNCTION("""COMPUTED_VALUE"""),"OMG OH MY GLOW UV Barrier Sunscreen SPF 50 PA++++ 60 ml")</f>
        <v>OMG OH MY GLOW UV Barrier Sunscreen SPF 50 PA++++ 60 ml</v>
      </c>
      <c r="I64" s="260" t="str">
        <f>IFERROR(__xludf.DUMMYFUNCTION("""COMPUTED_VALUE"""),"Sampai")</f>
        <v>Sampai</v>
      </c>
      <c r="J64" s="333" t="str">
        <f>IFERROR(__xludf.DUMMYFUNCTION("""COMPUTED_VALUE"""),"Concept 2")</f>
        <v>Concept 2</v>
      </c>
      <c r="K64" s="278" t="str">
        <f>IFERROR(__xludf.DUMMYFUNCTION("""COMPUTED_VALUE"""),"https://vt.tiktok.com/ZSu6yV2J7/")</f>
        <v>https://vt.tiktok.com/ZSu6yV2J7/</v>
      </c>
      <c r="L64" s="333"/>
      <c r="M64" s="262"/>
      <c r="N64" s="333"/>
      <c r="O64" s="17"/>
      <c r="P64" s="333"/>
      <c r="Q64" s="17"/>
      <c r="R64" s="335">
        <f>IFERROR(__xludf.DUMMYFUNCTION("""COMPUTED_VALUE"""),0.0)</f>
        <v>0</v>
      </c>
      <c r="S64" s="335">
        <f>IFERROR(__xludf.DUMMYFUNCTION("""COMPUTED_VALUE"""),0.0)</f>
        <v>0</v>
      </c>
      <c r="T64" s="335">
        <f>IFERROR(__xludf.DUMMYFUNCTION("""COMPUTED_VALUE"""),0.0)</f>
        <v>0</v>
      </c>
      <c r="U64" s="335">
        <f>IFERROR(__xludf.DUMMYFUNCTION("""COMPUTED_VALUE"""),0.0)</f>
        <v>0</v>
      </c>
    </row>
    <row r="65">
      <c r="A65" s="255" t="str">
        <f>IFERROR(__xludf.DUMMYFUNCTION("""COMPUTED_VALUE"""),"NANO")</f>
        <v>NANO</v>
      </c>
      <c r="B65" s="23" t="str">
        <f>IFERROR(__xludf.DUMMYFUNCTION("""COMPUTED_VALUE"""),"marizarizka_")</f>
        <v>marizarizka_</v>
      </c>
      <c r="C65" s="281" t="str">
        <f>IFERROR(__xludf.DUMMYFUNCTION("""COMPUTED_VALUE"""),"https://www.tiktok.com/@marizarizka_")</f>
        <v>https://www.tiktok.com/@marizarizka_</v>
      </c>
      <c r="D65" s="270">
        <f>IFERROR(__xludf.DUMMYFUNCTION("""COMPUTED_VALUE"""),8.7769115748E10)</f>
        <v>87769115748</v>
      </c>
      <c r="E65" s="271">
        <f>IFERROR(__xludf.DUMMYFUNCTION("""COMPUTED_VALUE"""),0.0)</f>
        <v>0</v>
      </c>
      <c r="F65" s="270">
        <f>IFERROR(__xludf.DUMMYFUNCTION("""COMPUTED_VALUE"""),1.0)</f>
        <v>1</v>
      </c>
      <c r="G65" s="59" t="str">
        <f>IFERROR(__xludf.DUMMYFUNCTION("""COMPUTED_VALUE"""),"Rp1JT+")</f>
        <v>Rp1JT+</v>
      </c>
      <c r="H65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65" s="260" t="str">
        <f>IFERROR(__xludf.DUMMYFUNCTION("""COMPUTED_VALUE"""),"Sampai")</f>
        <v>Sampai</v>
      </c>
      <c r="J65" s="333" t="str">
        <f>IFERROR(__xludf.DUMMYFUNCTION("""COMPUTED_VALUE"""),"Concept 3")</f>
        <v>Concept 3</v>
      </c>
      <c r="K65" s="278" t="str">
        <f>IFERROR(__xludf.DUMMYFUNCTION("""COMPUTED_VALUE"""),"https://vt.tiktok.com/ZSmXcyrhW/")</f>
        <v>https://vt.tiktok.com/ZSmXcyrhW/</v>
      </c>
      <c r="L65" s="333"/>
      <c r="M65" s="262"/>
      <c r="N65" s="333"/>
      <c r="O65" s="17"/>
      <c r="P65" s="333"/>
      <c r="Q65" s="17"/>
      <c r="R65" s="335">
        <f>IFERROR(__xludf.DUMMYFUNCTION("""COMPUTED_VALUE"""),107667.0)</f>
        <v>107667</v>
      </c>
      <c r="S65" s="335">
        <f>IFERROR(__xludf.DUMMYFUNCTION("""COMPUTED_VALUE"""),0.0)</f>
        <v>0</v>
      </c>
      <c r="T65" s="335">
        <f>IFERROR(__xludf.DUMMYFUNCTION("""COMPUTED_VALUE"""),1.0675735419999998E7)</f>
        <v>10675735.42</v>
      </c>
      <c r="U65" s="335">
        <f>IFERROR(__xludf.DUMMYFUNCTION("""COMPUTED_VALUE"""),0.0)</f>
        <v>0</v>
      </c>
    </row>
    <row r="66">
      <c r="A66" s="255" t="str">
        <f>IFERROR(__xludf.DUMMYFUNCTION("""COMPUTED_VALUE"""),"NANO")</f>
        <v>NANO</v>
      </c>
      <c r="B66" s="23" t="str">
        <f>IFERROR(__xludf.DUMMYFUNCTION("""COMPUTED_VALUE"""),"anakkeciiiiiiiil")</f>
        <v>anakkeciiiiiiiil</v>
      </c>
      <c r="C66" s="281" t="str">
        <f>IFERROR(__xludf.DUMMYFUNCTION("""COMPUTED_VALUE"""),"https://www.tiktok.com/@anakkeciiiiiiiil")</f>
        <v>https://www.tiktok.com/@anakkeciiiiiiiil</v>
      </c>
      <c r="D66" s="270">
        <f>IFERROR(__xludf.DUMMYFUNCTION("""COMPUTED_VALUE"""),8.2116271302E10)</f>
        <v>82116271302</v>
      </c>
      <c r="E66" s="271">
        <f>IFERROR(__xludf.DUMMYFUNCTION("""COMPUTED_VALUE"""),0.0)</f>
        <v>0</v>
      </c>
      <c r="F66" s="270">
        <f>IFERROR(__xludf.DUMMYFUNCTION("""COMPUTED_VALUE"""),3.0)</f>
        <v>3</v>
      </c>
      <c r="G66" s="59" t="str">
        <f>IFERROR(__xludf.DUMMYFUNCTION("""COMPUTED_VALUE"""),"Rp5,2JT")</f>
        <v>Rp5,2JT</v>
      </c>
      <c r="H66" s="277" t="str">
        <f>IFERROR(__xludf.DUMMYFUNCTION("""COMPUTED_VALUE"""),"OMG OH MY GLOW UV Barrier Sunscreen SPF 50 PA++++ 60 ml")</f>
        <v>OMG OH MY GLOW UV Barrier Sunscreen SPF 50 PA++++ 60 ml</v>
      </c>
      <c r="I66" s="260" t="str">
        <f>IFERROR(__xludf.DUMMYFUNCTION("""COMPUTED_VALUE"""),"Done Req Sample")</f>
        <v>Done Req Sample</v>
      </c>
      <c r="J66" s="333"/>
      <c r="K66" s="262"/>
      <c r="L66" s="333"/>
      <c r="M66" s="262"/>
      <c r="N66" s="333"/>
      <c r="O66" s="17"/>
      <c r="P66" s="333"/>
      <c r="Q66" s="17"/>
      <c r="R66" s="335">
        <f>IFERROR(__xludf.DUMMYFUNCTION("""COMPUTED_VALUE"""),0.0)</f>
        <v>0</v>
      </c>
      <c r="S66" s="335">
        <f>IFERROR(__xludf.DUMMYFUNCTION("""COMPUTED_VALUE"""),0.0)</f>
        <v>0</v>
      </c>
      <c r="T66" s="335">
        <f>IFERROR(__xludf.DUMMYFUNCTION("""COMPUTED_VALUE"""),0.0)</f>
        <v>0</v>
      </c>
      <c r="U66" s="335">
        <f>IFERROR(__xludf.DUMMYFUNCTION("""COMPUTED_VALUE"""),0.0)</f>
        <v>0</v>
      </c>
    </row>
    <row r="67">
      <c r="A67" s="255" t="str">
        <f>IFERROR(__xludf.DUMMYFUNCTION("""COMPUTED_VALUE"""),"NANO")</f>
        <v>NANO</v>
      </c>
      <c r="B67" s="23" t="str">
        <f>IFERROR(__xludf.DUMMYFUNCTION("""COMPUTED_VALUE"""),"a.etikk")</f>
        <v>a.etikk</v>
      </c>
      <c r="C67" s="281" t="str">
        <f>IFERROR(__xludf.DUMMYFUNCTION("""COMPUTED_VALUE"""),"https://www.tiktok.com/@a.etikk")</f>
        <v>https://www.tiktok.com/@a.etikk</v>
      </c>
      <c r="D67" s="270">
        <f>IFERROR(__xludf.DUMMYFUNCTION("""COMPUTED_VALUE"""),8.2191873737E10)</f>
        <v>82191873737</v>
      </c>
      <c r="E67" s="271">
        <f>IFERROR(__xludf.DUMMYFUNCTION("""COMPUTED_VALUE"""),0.0)</f>
        <v>0</v>
      </c>
      <c r="F67" s="270">
        <f>IFERROR(__xludf.DUMMYFUNCTION("""COMPUTED_VALUE"""),3.0)</f>
        <v>3</v>
      </c>
      <c r="G67" s="59" t="str">
        <f>IFERROR(__xludf.DUMMYFUNCTION("""COMPUTED_VALUE"""),"Rp62,3JT")</f>
        <v>Rp62,3JT</v>
      </c>
      <c r="H67" s="277" t="str">
        <f>IFERROR(__xludf.DUMMYFUNCTION("""COMPUTED_VALUE"""),"OMG OH MY GLOW UV Barrier Sunscreen SPF 50 PA++++ 60 ml")</f>
        <v>OMG OH MY GLOW UV Barrier Sunscreen SPF 50 PA++++ 60 ml</v>
      </c>
      <c r="I67" s="260" t="str">
        <f>IFERROR(__xludf.DUMMYFUNCTION("""COMPUTED_VALUE"""),"Sampai")</f>
        <v>Sampai</v>
      </c>
      <c r="J67" s="333" t="str">
        <f>IFERROR(__xludf.DUMMYFUNCTION("""COMPUTED_VALUE"""),"Concept 3")</f>
        <v>Concept 3</v>
      </c>
      <c r="K67" s="278" t="str">
        <f>IFERROR(__xludf.DUMMYFUNCTION("""COMPUTED_VALUE"""),"https://vt.tiktok.com/ZSmwsYb4W/")</f>
        <v>https://vt.tiktok.com/ZSmwsYb4W/</v>
      </c>
      <c r="L67" s="333" t="str">
        <f>IFERROR(__xludf.DUMMYFUNCTION("""COMPUTED_VALUE"""),"Concept 3")</f>
        <v>Concept 3</v>
      </c>
      <c r="M67" s="278" t="str">
        <f>IFERROR(__xludf.DUMMYFUNCTION("""COMPUTED_VALUE"""),"https://vt.tiktok.com/ZSuuv5A1w/")</f>
        <v>https://vt.tiktok.com/ZSuuv5A1w/</v>
      </c>
      <c r="N67" s="333"/>
      <c r="O67" s="17"/>
      <c r="P67" s="333"/>
      <c r="Q67" s="17"/>
      <c r="R67" s="335">
        <f>IFERROR(__xludf.DUMMYFUNCTION("""COMPUTED_VALUE"""),0.0)</f>
        <v>0</v>
      </c>
      <c r="S67" s="335">
        <f>IFERROR(__xludf.DUMMYFUNCTION("""COMPUTED_VALUE"""),0.0)</f>
        <v>0</v>
      </c>
      <c r="T67" s="335">
        <f>IFERROR(__xludf.DUMMYFUNCTION("""COMPUTED_VALUE"""),0.0)</f>
        <v>0</v>
      </c>
      <c r="U67" s="335">
        <f>IFERROR(__xludf.DUMMYFUNCTION("""COMPUTED_VALUE"""),0.0)</f>
        <v>0</v>
      </c>
    </row>
    <row r="68">
      <c r="A68" s="255" t="str">
        <f>IFERROR(__xludf.DUMMYFUNCTION("""COMPUTED_VALUE"""),"NANO")</f>
        <v>NANO</v>
      </c>
      <c r="B68" s="23" t="str">
        <f>IFERROR(__xludf.DUMMYFUNCTION("""COMPUTED_VALUE"""),"m00diegurlz")</f>
        <v>m00diegurlz</v>
      </c>
      <c r="C68" s="281" t="str">
        <f>IFERROR(__xludf.DUMMYFUNCTION("""COMPUTED_VALUE"""),"https://www.tiktok.com/@m00diegurlz")</f>
        <v>https://www.tiktok.com/@m00diegurlz</v>
      </c>
      <c r="D68" s="270">
        <f>IFERROR(__xludf.DUMMYFUNCTION("""COMPUTED_VALUE"""),8.9560068706E11)</f>
        <v>895600687060</v>
      </c>
      <c r="E68" s="271">
        <f>IFERROR(__xludf.DUMMYFUNCTION("""COMPUTED_VALUE"""),0.0)</f>
        <v>0</v>
      </c>
      <c r="F68" s="270">
        <f>IFERROR(__xludf.DUMMYFUNCTION("""COMPUTED_VALUE"""),2.0)</f>
        <v>2</v>
      </c>
      <c r="G68" s="59" t="str">
        <f>IFERROR(__xludf.DUMMYFUNCTION("""COMPUTED_VALUE"""),"Rp8,8JT")</f>
        <v>Rp8,8JT</v>
      </c>
      <c r="H68" s="277" t="str">
        <f>IFERROR(__xludf.DUMMYFUNCTION("""COMPUTED_VALUE"""),"OMG OH MY GLOW UV Barrier Sunscreen SPF 50 PA++++ 60 ml")</f>
        <v>OMG OH MY GLOW UV Barrier Sunscreen SPF 50 PA++++ 60 ml</v>
      </c>
      <c r="I68" s="260" t="str">
        <f>IFERROR(__xludf.DUMMYFUNCTION("""COMPUTED_VALUE"""),"Sampai")</f>
        <v>Sampai</v>
      </c>
      <c r="J68" s="333" t="str">
        <f>IFERROR(__xludf.DUMMYFUNCTION("""COMPUTED_VALUE"""),"Concept 3")</f>
        <v>Concept 3</v>
      </c>
      <c r="K68" s="278" t="str">
        <f>IFERROR(__xludf.DUMMYFUNCTION("""COMPUTED_VALUE"""),"https://www.tiktok.com/@m00diegurlz/video/7612174549811105045?_r=1&amp;u_code=df3lk5bckb7aik&amp;region=&amp;mid=7557549850489817877&amp;preview_pb=0&amp;sharer_language=&amp;_d=0&amp;ec_shared_reflux_dynamic_params=%7B%22placeholder_material_id%22%3A%227612174549811105045%22%2C%22p"&amp;"laceholder_origin_cover%22%3A%22https%253A%252F%252Fp16-sign-sg.tiktokcdn.com%252Ftos-alisg-p-0037%252FoAjOxNgIjQbAH4qfyOQC3rDTfmmFEDMeCAdA4R~tplv-tiktokx-origin.jpeg%253Fdr%253D14572%2526refresh_token%253Ddbee8ce5%2526x-expires%253D1804068000%2526x-signa"&amp;"ture%253D82cwXOkBg7DK5xyZNDyWyxZlZ%25252FA%25253D%2526t%253D4d5b0474%2526ps%253D13740610%2526shp%253Dd05b14bd%2526shcp%253D34ff8df6%2526idc%253Dmy2%2526s%253DTIKTOK_AFFILIATE_VIRAL_VIDEO%22%2C%22placeholder_product_id%22%3A%221731334333969302931%22%2C%22p"&amp;"laceholder_video_id%22%3A%227612174549811105045%22%7D&amp;ec_shared_reflux_scene=shop_tab_feed&amp;share_item_id=7612174549811105045&amp;source=h5_t")</f>
        <v>https://www.tiktok.com/@m00diegurlz/video/7612174549811105045?_r=1&amp;u_code=df3lk5bckb7aik&amp;region=&amp;mid=7557549850489817877&amp;preview_pb=0&amp;sharer_language=&amp;_d=0&amp;ec_shared_reflux_dynamic_params=%7B%22placeholder_material_id%22%3A%227612174549811105045%22%2C%22placeholder_origin_cover%22%3A%22https%253A%252F%252Fp16-sign-sg.tiktokcdn.com%252Ftos-alisg-p-0037%252FoAjOxNgIjQbAH4qfyOQC3rDTfmmFEDMeCAdA4R~tplv-tiktokx-origin.jpeg%253Fdr%253D14572%2526refresh_token%253Ddbee8ce5%2526x-expires%253D1804068000%2526x-signature%253D82cwXOkBg7DK5xyZNDyWyxZlZ%25252FA%25253D%2526t%253D4d5b0474%2526ps%253D13740610%2526shp%253Dd05b14bd%2526shcp%253D34ff8df6%2526idc%253Dmy2%2526s%253DTIKTOK_AFFILIATE_VIRAL_VIDEO%22%2C%22placeholder_product_id%22%3A%221731334333969302931%22%2C%22placeholder_video_id%22%3A%227612174549811105045%22%7D&amp;ec_shared_reflux_scene=shop_tab_feed&amp;share_item_id=7612174549811105045&amp;source=h5_t</v>
      </c>
      <c r="L68" s="333"/>
      <c r="M68" s="262"/>
      <c r="N68" s="333"/>
      <c r="O68" s="17"/>
      <c r="P68" s="333"/>
      <c r="Q68" s="17"/>
      <c r="R68" s="335">
        <f>IFERROR(__xludf.DUMMYFUNCTION("""COMPUTED_VALUE"""),63889.0)</f>
        <v>63889</v>
      </c>
      <c r="S68" s="335">
        <f>IFERROR(__xludf.DUMMYFUNCTION("""COMPUTED_VALUE"""),0.0)</f>
        <v>0</v>
      </c>
      <c r="T68" s="335">
        <f>IFERROR(__xludf.DUMMYFUNCTION("""COMPUTED_VALUE"""),0.0)</f>
        <v>0</v>
      </c>
      <c r="U68" s="335">
        <f>IFERROR(__xludf.DUMMYFUNCTION("""COMPUTED_VALUE"""),0.0)</f>
        <v>0</v>
      </c>
    </row>
    <row r="69">
      <c r="A69" s="255" t="str">
        <f>IFERROR(__xludf.DUMMYFUNCTION("""COMPUTED_VALUE"""),"NANO")</f>
        <v>NANO</v>
      </c>
      <c r="B69" s="23" t="str">
        <f>IFERROR(__xludf.DUMMYFUNCTION("""COMPUTED_VALUE"""),"ndrfadh")</f>
        <v>ndrfadh</v>
      </c>
      <c r="C69" s="281" t="str">
        <f>IFERROR(__xludf.DUMMYFUNCTION("""COMPUTED_VALUE"""),"https://www.tiktok.com/@ndrfadh")</f>
        <v>https://www.tiktok.com/@ndrfadh</v>
      </c>
      <c r="D69" s="270">
        <f>IFERROR(__xludf.DUMMYFUNCTION("""COMPUTED_VALUE"""),8.5173372354E10)</f>
        <v>85173372354</v>
      </c>
      <c r="E69" s="271">
        <f>IFERROR(__xludf.DUMMYFUNCTION("""COMPUTED_VALUE"""),0.0)</f>
        <v>0</v>
      </c>
      <c r="F69" s="270">
        <f>IFERROR(__xludf.DUMMYFUNCTION("""COMPUTED_VALUE"""),3.0)</f>
        <v>3</v>
      </c>
      <c r="G69" s="59" t="str">
        <f>IFERROR(__xludf.DUMMYFUNCTION("""COMPUTED_VALUE"""),"Rp114,7RB")</f>
        <v>Rp114,7RB</v>
      </c>
      <c r="H69" s="277" t="str">
        <f>IFERROR(__xludf.DUMMYFUNCTION("""COMPUTED_VALUE"""),"OMG OH MY GLOW UV Barrier Sunscreen SPF 50 PA++++ 60 ml")</f>
        <v>OMG OH MY GLOW UV Barrier Sunscreen SPF 50 PA++++ 60 ml</v>
      </c>
      <c r="I69" s="260" t="str">
        <f>IFERROR(__xludf.DUMMYFUNCTION("""COMPUTED_VALUE"""),"Sampai")</f>
        <v>Sampai</v>
      </c>
      <c r="J69" s="333" t="str">
        <f>IFERROR(__xludf.DUMMYFUNCTION("""COMPUTED_VALUE"""),"Concept 3")</f>
        <v>Concept 3</v>
      </c>
      <c r="K69" s="278" t="str">
        <f>IFERROR(__xludf.DUMMYFUNCTION("""COMPUTED_VALUE"""),"https://www.tiktok.com/@ndrfadh/video/7610820245179075847?is_from_webapp=1&amp;sender_device=pc")</f>
        <v>https://www.tiktok.com/@ndrfadh/video/7610820245179075847?is_from_webapp=1&amp;sender_device=pc</v>
      </c>
      <c r="L69" s="333" t="str">
        <f>IFERROR(__xludf.DUMMYFUNCTION("""COMPUTED_VALUE"""),"Concept 3")</f>
        <v>Concept 3</v>
      </c>
      <c r="M69" s="278" t="str">
        <f>IFERROR(__xludf.DUMMYFUNCTION("""COMPUTED_VALUE"""),"https://vt.tiktok.com/ZSmwBRocE/")</f>
        <v>https://vt.tiktok.com/ZSmwBRocE/</v>
      </c>
      <c r="N69" s="333"/>
      <c r="O69" s="17"/>
      <c r="P69" s="333"/>
      <c r="Q69" s="17"/>
      <c r="R69" s="335">
        <f>IFERROR(__xludf.DUMMYFUNCTION("""COMPUTED_VALUE"""),0.0)</f>
        <v>0</v>
      </c>
      <c r="S69" s="335">
        <f>IFERROR(__xludf.DUMMYFUNCTION("""COMPUTED_VALUE"""),0.0)</f>
        <v>0</v>
      </c>
      <c r="T69" s="335">
        <f>IFERROR(__xludf.DUMMYFUNCTION("""COMPUTED_VALUE"""),0.0)</f>
        <v>0</v>
      </c>
      <c r="U69" s="335">
        <f>IFERROR(__xludf.DUMMYFUNCTION("""COMPUTED_VALUE"""),0.0)</f>
        <v>0</v>
      </c>
    </row>
    <row r="70">
      <c r="A70" s="255" t="str">
        <f>IFERROR(__xludf.DUMMYFUNCTION("""COMPUTED_VALUE"""),"NANO")</f>
        <v>NANO</v>
      </c>
      <c r="B70" s="23" t="str">
        <f>IFERROR(__xludf.DUMMYFUNCTION("""COMPUTED_VALUE"""),"Dwk0612")</f>
        <v>Dwk0612</v>
      </c>
      <c r="C70" s="281" t="str">
        <f>IFERROR(__xludf.DUMMYFUNCTION("""COMPUTED_VALUE"""),"https://www.tiktok.com/@Dwk0612")</f>
        <v>https://www.tiktok.com/@Dwk0612</v>
      </c>
      <c r="D70" s="270">
        <f>IFERROR(__xludf.DUMMYFUNCTION("""COMPUTED_VALUE"""),8.789244642E10)</f>
        <v>87892446420</v>
      </c>
      <c r="E70" s="271">
        <f>IFERROR(__xludf.DUMMYFUNCTION("""COMPUTED_VALUE"""),0.0)</f>
        <v>0</v>
      </c>
      <c r="F70" s="270">
        <f>IFERROR(__xludf.DUMMYFUNCTION("""COMPUTED_VALUE"""),3.0)</f>
        <v>3</v>
      </c>
      <c r="G70" s="59" t="str">
        <f>IFERROR(__xludf.DUMMYFUNCTION("""COMPUTED_VALUE"""),"Rp199,7RB")</f>
        <v>Rp199,7RB</v>
      </c>
      <c r="H70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70" s="260" t="str">
        <f>IFERROR(__xludf.DUMMYFUNCTION("""COMPUTED_VALUE"""),"Sampai")</f>
        <v>Sampai</v>
      </c>
      <c r="J70" s="333" t="str">
        <f>IFERROR(__xludf.DUMMYFUNCTION("""COMPUTED_VALUE"""),"Concept 2")</f>
        <v>Concept 2</v>
      </c>
      <c r="K70" s="278" t="str">
        <f>IFERROR(__xludf.DUMMYFUNCTION("""COMPUTED_VALUE"""),"https://vt.tiktok.com/ZSm79kBy7/")</f>
        <v>https://vt.tiktok.com/ZSm79kBy7/</v>
      </c>
      <c r="L70" s="333" t="str">
        <f>IFERROR(__xludf.DUMMYFUNCTION("""COMPUTED_VALUE"""),"Concept 2")</f>
        <v>Concept 2</v>
      </c>
      <c r="M70" s="278" t="str">
        <f>IFERROR(__xludf.DUMMYFUNCTION("""COMPUTED_VALUE"""),"https://vt.tiktok.com/ZSm79Sq93/")</f>
        <v>https://vt.tiktok.com/ZSm79Sq93/</v>
      </c>
      <c r="N70" s="333" t="str">
        <f>IFERROR(__xludf.DUMMYFUNCTION("""COMPUTED_VALUE"""),"Concept 3")</f>
        <v>Concept 3</v>
      </c>
      <c r="O70" s="279" t="str">
        <f>IFERROR(__xludf.DUMMYFUNCTION("""COMPUTED_VALUE"""),"https://www.tiktok.com/@dwk0612/video/7642263358661774613?_r=1&amp;u_code=cmhak854bc0ci9&amp;region=&amp;mid=7511374913752827920&amp;preview_pb=0&amp;sharer_language=&amp;_d=0&amp;ec_shared_reflux_dynamic_params=%7B%22placeholder_material_id%22%3A%227642263358661774613%22%2C%22place"&amp;"holder_origin_cover%22%3A%22https%253A%252F%252Fp16-common-sign.tiktokcdn.com%252Ftos-alisg-p-0037%252FoQ7FgsXDBxGiaikE7CYAUhIOOI4BCL6AgzBhP~tplv-tiktokx-origin.jpeg%253Fdr%253D14572%2526refresh_token%253Df7d5c699%2526x-expires%253D1811239200%2526x-signat"&amp;"ure%253Dk9%25252BArLTU21AqqsOel3vgGYAv53A%25253D%2526t%253D4d5b0474%2526ps%253D13740610%2526shp%253Dd05b14bd%2526shcp%253D34ff8df6%2526idc%253Dmy3%2526s%253DTIKTOK_AFFILIATE_VIRAL_VIDEO%22%2C%22placeholder_product_id%22%3A%221729991116494375315%22%2C%22pl"&amp;"aceholder_video_id%22%3A%227642263358661774613%22%7D&amp;ec_shared_reflux_scene=shop_tab_feed&amp;share_item_id=7642263358661774613&amp;source=h5_t")</f>
        <v>https://www.tiktok.com/@dwk0612/video/7642263358661774613?_r=1&amp;u_code=cmhak854bc0ci9&amp;region=&amp;mid=7511374913752827920&amp;preview_pb=0&amp;sharer_language=&amp;_d=0&amp;ec_shared_reflux_dynamic_params=%7B%22placeholder_material_id%22%3A%227642263358661774613%22%2C%22placeholder_origin_cover%22%3A%22https%253A%252F%252Fp16-common-sign.tiktokcdn.com%252Ftos-alisg-p-0037%252FoQ7FgsXDBxGiaikE7CYAUhIOOI4BCL6AgzBhP~tplv-tiktokx-origin.jpeg%253Fdr%253D14572%2526refresh_token%253Df7d5c699%2526x-expires%253D1811239200%2526x-signature%253Dk9%25252BArLTU21AqqsOel3vgGYAv53A%25253D%2526t%253D4d5b0474%2526ps%253D13740610%2526shp%253Dd05b14bd%2526shcp%253D34ff8df6%2526idc%253Dmy3%2526s%253DTIKTOK_AFFILIATE_VIRAL_VIDEO%22%2C%22placeholder_product_id%22%3A%221729991116494375315%22%2C%22placeholder_video_id%22%3A%227642263358661774613%22%7D&amp;ec_shared_reflux_scene=shop_tab_feed&amp;share_item_id=7642263358661774613&amp;source=h5_t</v>
      </c>
      <c r="P70" s="333"/>
      <c r="Q70" s="17"/>
      <c r="R70" s="335">
        <f>IFERROR(__xludf.DUMMYFUNCTION("""COMPUTED_VALUE"""),24849.0)</f>
        <v>24849</v>
      </c>
      <c r="S70" s="335">
        <f>IFERROR(__xludf.DUMMYFUNCTION("""COMPUTED_VALUE"""),0.0)</f>
        <v>0</v>
      </c>
      <c r="T70" s="335">
        <f>IFERROR(__xludf.DUMMYFUNCTION("""COMPUTED_VALUE"""),0.0)</f>
        <v>0</v>
      </c>
      <c r="U70" s="335">
        <f>IFERROR(__xludf.DUMMYFUNCTION("""COMPUTED_VALUE"""),0.0)</f>
        <v>0</v>
      </c>
    </row>
    <row r="71">
      <c r="A71" s="255" t="str">
        <f>IFERROR(__xludf.DUMMYFUNCTION("""COMPUTED_VALUE"""),"MICRO")</f>
        <v>MICRO</v>
      </c>
      <c r="B71" s="23" t="str">
        <f>IFERROR(__xludf.DUMMYFUNCTION("""COMPUTED_VALUE"""),"bucinskincare_2")</f>
        <v>bucinskincare_2</v>
      </c>
      <c r="C71" s="281" t="str">
        <f>IFERROR(__xludf.DUMMYFUNCTION("""COMPUTED_VALUE"""),"https://www.tiktok.com/@bucinskincare_2")</f>
        <v>https://www.tiktok.com/@bucinskincare_2</v>
      </c>
      <c r="D71" s="270">
        <f>IFERROR(__xludf.DUMMYFUNCTION("""COMPUTED_VALUE"""),8.7888078631E10)</f>
        <v>87888078631</v>
      </c>
      <c r="E71" s="271">
        <f>IFERROR(__xludf.DUMMYFUNCTION("""COMPUTED_VALUE"""),0.0)</f>
        <v>0</v>
      </c>
      <c r="F71" s="270">
        <f>IFERROR(__xludf.DUMMYFUNCTION("""COMPUTED_VALUE"""),1.0)</f>
        <v>1</v>
      </c>
      <c r="G71" s="59" t="str">
        <f>IFERROR(__xludf.DUMMYFUNCTION("""COMPUTED_VALUE"""),"Rp616,7JT")</f>
        <v>Rp616,7JT</v>
      </c>
      <c r="H71" s="277" t="str">
        <f>IFERROR(__xludf.DUMMYFUNCTION("""COMPUTED_VALUE"""),"NEW! OMG Acne &amp; Oil Control UV Barrier Sunscreen SPF50 PA++++ ")</f>
        <v>NEW! OMG Acne &amp; Oil Control UV Barrier Sunscreen SPF50 PA++++ </v>
      </c>
      <c r="I71" s="260" t="str">
        <f>IFERROR(__xludf.DUMMYFUNCTION("""COMPUTED_VALUE"""),"Sampai")</f>
        <v>Sampai</v>
      </c>
      <c r="J71" s="333" t="str">
        <f>IFERROR(__xludf.DUMMYFUNCTION("""COMPUTED_VALUE"""),"Concept 3")</f>
        <v>Concept 3</v>
      </c>
      <c r="K71" s="278" t="str">
        <f>IFERROR(__xludf.DUMMYFUNCTION("""COMPUTED_VALUE"""),"https://vt.tiktok.com/ZSuYr2mDT/")</f>
        <v>https://vt.tiktok.com/ZSuYr2mDT/</v>
      </c>
      <c r="L71" s="333"/>
      <c r="M71" s="262"/>
      <c r="N71" s="333"/>
      <c r="O71" s="17"/>
      <c r="P71" s="333"/>
      <c r="Q71" s="17"/>
      <c r="R71" s="335">
        <f>IFERROR(__xludf.DUMMYFUNCTION("""COMPUTED_VALUE"""),23274.0)</f>
        <v>23274</v>
      </c>
      <c r="S71" s="335">
        <f>IFERROR(__xludf.DUMMYFUNCTION("""COMPUTED_VALUE"""),0.0)</f>
        <v>0</v>
      </c>
      <c r="T71" s="335">
        <f>IFERROR(__xludf.DUMMYFUNCTION("""COMPUTED_VALUE"""),0.0)</f>
        <v>0</v>
      </c>
      <c r="U71" s="335">
        <f>IFERROR(__xludf.DUMMYFUNCTION("""COMPUTED_VALUE"""),0.0)</f>
        <v>0</v>
      </c>
    </row>
    <row r="72">
      <c r="A72" s="255" t="str">
        <f>IFERROR(__xludf.DUMMYFUNCTION("""COMPUTED_VALUE"""),"NANO")</f>
        <v>NANO</v>
      </c>
      <c r="B72" s="257" t="str">
        <f>IFERROR(__xludf.DUMMYFUNCTION("""COMPUTED_VALUE"""),"ameccaa.id")</f>
        <v>ameccaa.id</v>
      </c>
      <c r="C72" s="281" t="str">
        <f>IFERROR(__xludf.DUMMYFUNCTION("""COMPUTED_VALUE"""),"https://www.tiktok.com/@ameccaa.id")</f>
        <v>https://www.tiktok.com/@ameccaa.id</v>
      </c>
      <c r="D72" s="270">
        <f>IFERROR(__xludf.DUMMYFUNCTION("""COMPUTED_VALUE"""),8.5796530526E10)</f>
        <v>85796530526</v>
      </c>
      <c r="E72" s="271">
        <f>IFERROR(__xludf.DUMMYFUNCTION("""COMPUTED_VALUE"""),0.0)</f>
        <v>0</v>
      </c>
      <c r="F72" s="270">
        <f>IFERROR(__xludf.DUMMYFUNCTION("""COMPUTED_VALUE"""),2.0)</f>
        <v>2</v>
      </c>
      <c r="G72" s="59" t="str">
        <f>IFERROR(__xludf.DUMMYFUNCTION("""COMPUTED_VALUE"""),"Rp207JT")</f>
        <v>Rp207JT</v>
      </c>
      <c r="H72" s="277" t="str">
        <f>IFERROR(__xludf.DUMMYFUNCTION("""COMPUTED_VALUE"""),"OMG OH MY GLOW UV Barrier Sunscreen SPF 50 PA++++ 60 ml")</f>
        <v>OMG OH MY GLOW UV Barrier Sunscreen SPF 50 PA++++ 60 ml</v>
      </c>
      <c r="I72" s="260" t="str">
        <f>IFERROR(__xludf.DUMMYFUNCTION("""COMPUTED_VALUE"""),"Sampai")</f>
        <v>Sampai</v>
      </c>
      <c r="J72" s="333" t="str">
        <f>IFERROR(__xludf.DUMMYFUNCTION("""COMPUTED_VALUE"""),"Concept 3")</f>
        <v>Concept 3</v>
      </c>
      <c r="K72" s="278" t="str">
        <f>IFERROR(__xludf.DUMMYFUNCTION("""COMPUTED_VALUE"""),"https://www.tiktok.com/@ameccaa.id/video/7615195532595563796?_r=1&amp;u_code=ei15i31605mlec&amp;region=&amp;mid=7349266765980043265&amp;preview_pb=0&amp;sharer_language=&amp;_d=0&amp;ec_shared_reflux_dynamic_params=%7B%22placeholder_material_id%22%3A%227615195532595563796%22%2C%22pl"&amp;"aceholder_origin_cover%22%3A%22https%253A%252F%252Fp16-sign-sg.tiktokcdn.com%252Ftos-alisg-p-0037%252FoUSALDneAueRm7QmGR9FGf8rAEI3IBFu6aGufD~tplv-tiktokx-origin.jpeg%253Fdr%253D14572%2526refresh_token%253D4ca3bbd6%2526x-expires%253D1804672800%2526x-signat"&amp;"ure%253DOm0G7CF5nOb0sx8nKTfQGwEGsCk%25253D%2526t%253D4d5b0474%2526ps%253D13740610%2526shp%253Dd05b14bd%2526shcp%253D34ff8df6%2526idc%253Dmy2%2526s%253DTIKTOK_AFFILIATE_VIRAL_VIDEO%22%2C%22placeholder_product_id%22%3A%221731334333969302931%22%2C%22placehol"&amp;"der_video_id%22%3A%227615195532595563796%22%7D&amp;ec_shared_reflux_scene=shop_tab_feed&amp;share_item_id=7615195532595563796&amp;source=h5_t")</f>
        <v>https://www.tiktok.com/@ameccaa.id/video/7615195532595563796?_r=1&amp;u_code=ei15i31605mlec&amp;region=&amp;mid=7349266765980043265&amp;preview_pb=0&amp;sharer_language=&amp;_d=0&amp;ec_shared_reflux_dynamic_params=%7B%22placeholder_material_id%22%3A%227615195532595563796%22%2C%22placeholder_origin_cover%22%3A%22https%253A%252F%252Fp16-sign-sg.tiktokcdn.com%252Ftos-alisg-p-0037%252FoUSALDneAueRm7QmGR9FGf8rAEI3IBFu6aGufD~tplv-tiktokx-origin.jpeg%253Fdr%253D14572%2526refresh_token%253D4ca3bbd6%2526x-expires%253D1804672800%2526x-signature%253DOm0G7CF5nOb0sx8nKTfQGwEGsCk%25253D%2526t%253D4d5b0474%2526ps%253D13740610%2526shp%253Dd05b14bd%2526shcp%253D34ff8df6%2526idc%253Dmy2%2526s%253DTIKTOK_AFFILIATE_VIRAL_VIDEO%22%2C%22placeholder_product_id%22%3A%221731334333969302931%22%2C%22placeholder_video_id%22%3A%227615195532595563796%22%7D&amp;ec_shared_reflux_scene=shop_tab_feed&amp;share_item_id=7615195532595563796&amp;source=h5_t</v>
      </c>
      <c r="L72" s="333"/>
      <c r="M72" s="262"/>
      <c r="N72" s="333"/>
      <c r="O72" s="17"/>
      <c r="P72" s="333"/>
      <c r="Q72" s="17"/>
      <c r="R72" s="335">
        <f>IFERROR(__xludf.DUMMYFUNCTION("""COMPUTED_VALUE"""),60362.0)</f>
        <v>60362</v>
      </c>
      <c r="S72" s="335">
        <f>IFERROR(__xludf.DUMMYFUNCTION("""COMPUTED_VALUE"""),0.0)</f>
        <v>0</v>
      </c>
      <c r="T72" s="335">
        <f>IFERROR(__xludf.DUMMYFUNCTION("""COMPUTED_VALUE"""),0.0)</f>
        <v>0</v>
      </c>
      <c r="U72" s="335">
        <f>IFERROR(__xludf.DUMMYFUNCTION("""COMPUTED_VALUE"""),0.0)</f>
        <v>0</v>
      </c>
    </row>
    <row r="73">
      <c r="A73" s="255" t="str">
        <f>IFERROR(__xludf.DUMMYFUNCTION("""COMPUTED_VALUE"""),"NANO")</f>
        <v>NANO</v>
      </c>
      <c r="B73" s="23" t="str">
        <f>IFERROR(__xludf.DUMMYFUNCTION("""COMPUTED_VALUE"""),"nonazawa")</f>
        <v>nonazawa</v>
      </c>
      <c r="C73" s="281" t="str">
        <f>IFERROR(__xludf.DUMMYFUNCTION("""COMPUTED_VALUE"""),"https://www.tiktok.com/@nonazawa")</f>
        <v>https://www.tiktok.com/@nonazawa</v>
      </c>
      <c r="D73" s="270">
        <f>IFERROR(__xludf.DUMMYFUNCTION("""COMPUTED_VALUE"""),8.2137380222E10)</f>
        <v>82137380222</v>
      </c>
      <c r="E73" s="271">
        <f>IFERROR(__xludf.DUMMYFUNCTION("""COMPUTED_VALUE"""),400000.0)</f>
        <v>400000</v>
      </c>
      <c r="F73" s="270">
        <f>IFERROR(__xludf.DUMMYFUNCTION("""COMPUTED_VALUE"""),1.0)</f>
        <v>1</v>
      </c>
      <c r="G73" s="59" t="str">
        <f>IFERROR(__xludf.DUMMYFUNCTION("""COMPUTED_VALUE"""),"Rp88JT")</f>
        <v>Rp88JT</v>
      </c>
      <c r="H73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73" s="260" t="str">
        <f>IFERROR(__xludf.DUMMYFUNCTION("""COMPUTED_VALUE"""),"Sampai")</f>
        <v>Sampai</v>
      </c>
      <c r="J73" s="333" t="str">
        <f>IFERROR(__xludf.DUMMYFUNCTION("""COMPUTED_VALUE"""),"Concept 2")</f>
        <v>Concept 2</v>
      </c>
      <c r="K73" s="278" t="str">
        <f>IFERROR(__xludf.DUMMYFUNCTION("""COMPUTED_VALUE"""),"https://vt.tiktok.com/ZSHySEkJb/")</f>
        <v>https://vt.tiktok.com/ZSHySEkJb/</v>
      </c>
      <c r="L73" s="333"/>
      <c r="M73" s="262"/>
      <c r="N73" s="333"/>
      <c r="O73" s="17"/>
      <c r="P73" s="333"/>
      <c r="Q73" s="17"/>
      <c r="R73" s="335">
        <f>IFERROR(__xludf.DUMMYFUNCTION("""COMPUTED_VALUE"""),111650.0)</f>
        <v>111650</v>
      </c>
      <c r="S73" s="335">
        <f>IFERROR(__xludf.DUMMYFUNCTION("""COMPUTED_VALUE"""),0.0)</f>
        <v>0</v>
      </c>
      <c r="T73" s="335">
        <f>IFERROR(__xludf.DUMMYFUNCTION("""COMPUTED_VALUE"""),0.0)</f>
        <v>0</v>
      </c>
      <c r="U73" s="335">
        <f>IFERROR(__xludf.DUMMYFUNCTION("""COMPUTED_VALUE"""),0.0)</f>
        <v>0</v>
      </c>
    </row>
    <row r="74">
      <c r="A74" s="255" t="str">
        <f>IFERROR(__xludf.DUMMYFUNCTION("""COMPUTED_VALUE"""),"NANO")</f>
        <v>NANO</v>
      </c>
      <c r="B74" s="23" t="str">
        <f>IFERROR(__xludf.DUMMYFUNCTION("""COMPUTED_VALUE"""),"Naylaazhrni")</f>
        <v>Naylaazhrni</v>
      </c>
      <c r="C74" s="281" t="str">
        <f>IFERROR(__xludf.DUMMYFUNCTION("""COMPUTED_VALUE"""),"https://www.tiktok.com/@Naylaazhrni")</f>
        <v>https://www.tiktok.com/@Naylaazhrni</v>
      </c>
      <c r="D74" s="270">
        <f>IFERROR(__xludf.DUMMYFUNCTION("""COMPUTED_VALUE"""),8.5770474008E10)</f>
        <v>85770474008</v>
      </c>
      <c r="E74" s="271">
        <f>IFERROR(__xludf.DUMMYFUNCTION("""COMPUTED_VALUE"""),0.0)</f>
        <v>0</v>
      </c>
      <c r="F74" s="270">
        <f>IFERROR(__xludf.DUMMYFUNCTION("""COMPUTED_VALUE"""),2.0)</f>
        <v>2</v>
      </c>
      <c r="G74" s="59" t="str">
        <f>IFERROR(__xludf.DUMMYFUNCTION("""COMPUTED_VALUE"""),"Rp16,0JT")</f>
        <v>Rp16,0JT</v>
      </c>
      <c r="H74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74" s="260" t="str">
        <f>IFERROR(__xludf.DUMMYFUNCTION("""COMPUTED_VALUE"""),"Sampai")</f>
        <v>Sampai</v>
      </c>
      <c r="J74" s="333" t="str">
        <f>IFERROR(__xludf.DUMMYFUNCTION("""COMPUTED_VALUE"""),"Concept 2")</f>
        <v>Concept 2</v>
      </c>
      <c r="K74" s="278" t="str">
        <f>IFERROR(__xludf.DUMMYFUNCTION("""COMPUTED_VALUE"""),"https://vt.tiktok.com/ZSuL4TYB9/")</f>
        <v>https://vt.tiktok.com/ZSuL4TYB9/</v>
      </c>
      <c r="L74" s="333"/>
      <c r="M74" s="262"/>
      <c r="N74" s="333"/>
      <c r="O74" s="17"/>
      <c r="P74" s="333"/>
      <c r="Q74" s="17"/>
      <c r="R74" s="335">
        <f>IFERROR(__xludf.DUMMYFUNCTION("""COMPUTED_VALUE"""),0.0)</f>
        <v>0</v>
      </c>
      <c r="S74" s="335">
        <f>IFERROR(__xludf.DUMMYFUNCTION("""COMPUTED_VALUE"""),0.0)</f>
        <v>0</v>
      </c>
      <c r="T74" s="335">
        <f>IFERROR(__xludf.DUMMYFUNCTION("""COMPUTED_VALUE"""),0.0)</f>
        <v>0</v>
      </c>
      <c r="U74" s="335">
        <f>IFERROR(__xludf.DUMMYFUNCTION("""COMPUTED_VALUE"""),0.0)</f>
        <v>0</v>
      </c>
    </row>
    <row r="75">
      <c r="A75" s="255" t="str">
        <f>IFERROR(__xludf.DUMMYFUNCTION("""COMPUTED_VALUE"""),"NANO")</f>
        <v>NANO</v>
      </c>
      <c r="B75" s="23" t="str">
        <f>IFERROR(__xludf.DUMMYFUNCTION("""COMPUTED_VALUE"""),"Naylaazhrni")</f>
        <v>Naylaazhrni</v>
      </c>
      <c r="C75" s="281" t="str">
        <f>IFERROR(__xludf.DUMMYFUNCTION("""COMPUTED_VALUE"""),"https://www.tiktok.com/@Naylaazhrni")</f>
        <v>https://www.tiktok.com/@Naylaazhrni</v>
      </c>
      <c r="D75" s="270">
        <f>IFERROR(__xludf.DUMMYFUNCTION("""COMPUTED_VALUE"""),8.5770474008E10)</f>
        <v>85770474008</v>
      </c>
      <c r="E75" s="271">
        <f>IFERROR(__xludf.DUMMYFUNCTION("""COMPUTED_VALUE"""),0.0)</f>
        <v>0</v>
      </c>
      <c r="F75" s="270">
        <f>IFERROR(__xludf.DUMMYFUNCTION("""COMPUTED_VALUE"""),2.0)</f>
        <v>2</v>
      </c>
      <c r="G75" s="59" t="str">
        <f>IFERROR(__xludf.DUMMYFUNCTION("""COMPUTED_VALUE"""),"Rp16,0JT")</f>
        <v>Rp16,0JT</v>
      </c>
      <c r="H75" s="277" t="str">
        <f>IFERROR(__xludf.DUMMYFUNCTION("""COMPUTED_VALUE"""),"OMG OH MY GLOW UV Barrier Sunscreen SPF 50 PA++++ 60 ml")</f>
        <v>OMG OH MY GLOW UV Barrier Sunscreen SPF 50 PA++++ 60 ml</v>
      </c>
      <c r="I75" s="260" t="str">
        <f>IFERROR(__xludf.DUMMYFUNCTION("""COMPUTED_VALUE"""),"Sampai")</f>
        <v>Sampai</v>
      </c>
      <c r="J75" s="333" t="str">
        <f>IFERROR(__xludf.DUMMYFUNCTION("""COMPUTED_VALUE"""),"Concept 3")</f>
        <v>Concept 3</v>
      </c>
      <c r="K75" s="278" t="str">
        <f>IFERROR(__xludf.DUMMYFUNCTION("""COMPUTED_VALUE"""),"https://vt.tiktok.com/ZSuL4ofVt/")</f>
        <v>https://vt.tiktok.com/ZSuL4ofVt/</v>
      </c>
      <c r="L75" s="333"/>
      <c r="M75" s="262"/>
      <c r="N75" s="333"/>
      <c r="O75" s="17"/>
      <c r="P75" s="333"/>
      <c r="Q75" s="17"/>
      <c r="R75" s="335">
        <f>IFERROR(__xludf.DUMMYFUNCTION("""COMPUTED_VALUE"""),0.0)</f>
        <v>0</v>
      </c>
      <c r="S75" s="335">
        <f>IFERROR(__xludf.DUMMYFUNCTION("""COMPUTED_VALUE"""),0.0)</f>
        <v>0</v>
      </c>
      <c r="T75" s="335">
        <f>IFERROR(__xludf.DUMMYFUNCTION("""COMPUTED_VALUE"""),0.0)</f>
        <v>0</v>
      </c>
      <c r="U75" s="335">
        <f>IFERROR(__xludf.DUMMYFUNCTION("""COMPUTED_VALUE"""),0.0)</f>
        <v>0</v>
      </c>
    </row>
    <row r="76">
      <c r="A76" s="255" t="str">
        <f>IFERROR(__xludf.DUMMYFUNCTION("""COMPUTED_VALUE"""),"MICRO")</f>
        <v>MICRO</v>
      </c>
      <c r="B76" s="23" t="str">
        <f>IFERROR(__xludf.DUMMYFUNCTION("""COMPUTED_VALUE"""),"storyandine")</f>
        <v>storyandine</v>
      </c>
      <c r="C76" s="281" t="str">
        <f>IFERROR(__xludf.DUMMYFUNCTION("""COMPUTED_VALUE"""),"https://www.tiktok.com/@storyandine")</f>
        <v>https://www.tiktok.com/@storyandine</v>
      </c>
      <c r="D76" s="270">
        <f>IFERROR(__xludf.DUMMYFUNCTION("""COMPUTED_VALUE"""),8.2194949379E10)</f>
        <v>82194949379</v>
      </c>
      <c r="E76" s="271">
        <f>IFERROR(__xludf.DUMMYFUNCTION("""COMPUTED_VALUE"""),0.0)</f>
        <v>0</v>
      </c>
      <c r="F76" s="270">
        <f>IFERROR(__xludf.DUMMYFUNCTION("""COMPUTED_VALUE"""),2.0)</f>
        <v>2</v>
      </c>
      <c r="G76" s="59" t="str">
        <f>IFERROR(__xludf.DUMMYFUNCTION("""COMPUTED_VALUE"""),"Rp1JT+")</f>
        <v>Rp1JT+</v>
      </c>
      <c r="H76" s="277" t="str">
        <f>IFERROR(__xludf.DUMMYFUNCTION("""COMPUTED_VALUE"""),"OMG OH MY GLOW UV Barrier Sunscreen SPF 50 PA++++ 60 ml")</f>
        <v>OMG OH MY GLOW UV Barrier Sunscreen SPF 50 PA++++ 60 ml</v>
      </c>
      <c r="I76" s="260" t="str">
        <f>IFERROR(__xludf.DUMMYFUNCTION("""COMPUTED_VALUE"""),"Sampai")</f>
        <v>Sampai</v>
      </c>
      <c r="J76" s="333" t="str">
        <f>IFERROR(__xludf.DUMMYFUNCTION("""COMPUTED_VALUE"""),"Concept 3")</f>
        <v>Concept 3</v>
      </c>
      <c r="K76" s="278" t="str">
        <f>IFERROR(__xludf.DUMMYFUNCTION("""COMPUTED_VALUE"""),"https://vt.tiktok.com/ZSurAoEjU/")</f>
        <v>https://vt.tiktok.com/ZSurAoEjU/</v>
      </c>
      <c r="L76" s="333" t="str">
        <f>IFERROR(__xludf.DUMMYFUNCTION("""COMPUTED_VALUE"""),"Concept 3")</f>
        <v>Concept 3</v>
      </c>
      <c r="M76" s="278" t="str">
        <f>IFERROR(__xludf.DUMMYFUNCTION("""COMPUTED_VALUE"""),"https://www.tiktok.com/@storyandine/video/7612568138705554706?_r=1&amp;u_code=d1970cc1egk2ec&amp;region=&amp;mid=7612568178052303637&amp;preview_pb=0&amp;sharer_language=&amp;_d=0&amp;ec_shared_reflux_dynamic_params=%7B%22placeholder_material_id%22%3A%227612568138705554706%22%2C%22p"&amp;"laceholder_origin_cover%22%3A%22https%253A%252F%252Fp16-sign-sg.tiktokcdn.com%252Ftos-alisg-p-0037%252FosSigRHmIF3Cuj0ACl7BfAzIMbAiBXqwdgC0I3~tplv-tiktokx-origin.jpeg%253Fdr%253D14572%2526refresh_token%253D163e5713%2526x-expires%253D1804672800%2526x-signa"&amp;"ture%253DHEPH8kK%25252FnyR0X7iYtcHAXLhxOk4%25253D%2526t%253D4d5b0474%2526ps%253D13740610%2526shp%253Dd05b14bd%2526shcp%253D34ff8df6%2526idc%253Dmy2%2526s%253DTIKTOK_AFFILIATE_VIRAL_VIDEO%22%2C%22placeholder_product_id%22%3A%221734428338733221267%22%2C%22p"&amp;"laceholder_video_id%22%3A%227612568138705554706%22%7D&amp;ec_shared_reflux_scene=shop_tab_feed&amp;share_item_id=7612568138705554706&amp;source=h5_t")</f>
        <v>https://www.tiktok.com/@storyandine/video/7612568138705554706?_r=1&amp;u_code=d1970cc1egk2ec&amp;region=&amp;mid=7612568178052303637&amp;preview_pb=0&amp;sharer_language=&amp;_d=0&amp;ec_shared_reflux_dynamic_params=%7B%22placeholder_material_id%22%3A%227612568138705554706%22%2C%22placeholder_origin_cover%22%3A%22https%253A%252F%252Fp16-sign-sg.tiktokcdn.com%252Ftos-alisg-p-0037%252FosSigRHmIF3Cuj0ACl7BfAzIMbAiBXqwdgC0I3~tplv-tiktokx-origin.jpeg%253Fdr%253D14572%2526refresh_token%253D163e5713%2526x-expires%253D1804672800%2526x-signature%253DHEPH8kK%25252FnyR0X7iYtcHAXLhxOk4%25253D%2526t%253D4d5b0474%2526ps%253D13740610%2526shp%253Dd05b14bd%2526shcp%253D34ff8df6%2526idc%253Dmy2%2526s%253DTIKTOK_AFFILIATE_VIRAL_VIDEO%22%2C%22placeholder_product_id%22%3A%221734428338733221267%22%2C%22placeholder_video_id%22%3A%227612568138705554706%22%7D&amp;ec_shared_reflux_scene=shop_tab_feed&amp;share_item_id=7612568138705554706&amp;source=h5_t</v>
      </c>
      <c r="N76" s="333"/>
      <c r="O76" s="17"/>
      <c r="P76" s="333"/>
      <c r="Q76" s="17"/>
      <c r="R76" s="335">
        <f>IFERROR(__xludf.DUMMYFUNCTION("""COMPUTED_VALUE"""),0.0)</f>
        <v>0</v>
      </c>
      <c r="S76" s="335">
        <f>IFERROR(__xludf.DUMMYFUNCTION("""COMPUTED_VALUE"""),0.0)</f>
        <v>0</v>
      </c>
      <c r="T76" s="335">
        <f>IFERROR(__xludf.DUMMYFUNCTION("""COMPUTED_VALUE"""),0.0)</f>
        <v>0</v>
      </c>
      <c r="U76" s="335">
        <f>IFERROR(__xludf.DUMMYFUNCTION("""COMPUTED_VALUE"""),0.0)</f>
        <v>0</v>
      </c>
    </row>
    <row r="77">
      <c r="A77" s="255" t="str">
        <f>IFERROR(__xludf.DUMMYFUNCTION("""COMPUTED_VALUE"""),"NANO")</f>
        <v>NANO</v>
      </c>
      <c r="B77" s="23" t="str">
        <f>IFERROR(__xludf.DUMMYFUNCTION("""COMPUTED_VALUE"""),"qoriadesuri")</f>
        <v>qoriadesuri</v>
      </c>
      <c r="C77" s="281" t="str">
        <f>IFERROR(__xludf.DUMMYFUNCTION("""COMPUTED_VALUE"""),"https://www.tiktok.com/@qoriadesuri")</f>
        <v>https://www.tiktok.com/@qoriadesuri</v>
      </c>
      <c r="D77" s="270"/>
      <c r="E77" s="271">
        <f>IFERROR(__xludf.DUMMYFUNCTION("""COMPUTED_VALUE"""),0.0)</f>
        <v>0</v>
      </c>
      <c r="F77" s="270">
        <f>IFERROR(__xludf.DUMMYFUNCTION("""COMPUTED_VALUE"""),2.0)</f>
        <v>2</v>
      </c>
      <c r="G77" s="59" t="str">
        <f>IFERROR(__xludf.DUMMYFUNCTION("""COMPUTED_VALUE"""),"Rp126,5JT")</f>
        <v>Rp126,5JT</v>
      </c>
      <c r="H77" s="277"/>
      <c r="I77" s="260" t="str">
        <f>IFERROR(__xludf.DUMMYFUNCTION("""COMPUTED_VALUE"""),"Kendala [FU!]")</f>
        <v>Kendala [FU!]</v>
      </c>
      <c r="J77" s="333"/>
      <c r="K77" s="262"/>
      <c r="L77" s="333"/>
      <c r="M77" s="262"/>
      <c r="N77" s="333"/>
      <c r="O77" s="17"/>
      <c r="P77" s="333"/>
      <c r="Q77" s="17"/>
      <c r="R77" s="335">
        <f>IFERROR(__xludf.DUMMYFUNCTION("""COMPUTED_VALUE"""),0.0)</f>
        <v>0</v>
      </c>
      <c r="S77" s="335"/>
      <c r="T77" s="335"/>
      <c r="U77" s="335"/>
    </row>
    <row r="78">
      <c r="A78" s="255" t="str">
        <f>IFERROR(__xludf.DUMMYFUNCTION("""COMPUTED_VALUE"""),"NANO")</f>
        <v>NANO</v>
      </c>
      <c r="B78" s="23" t="str">
        <f>IFERROR(__xludf.DUMMYFUNCTION("""COMPUTED_VALUE"""),"papiipaw")</f>
        <v>papiipaw</v>
      </c>
      <c r="C78" s="281" t="str">
        <f>IFERROR(__xludf.DUMMYFUNCTION("""COMPUTED_VALUE"""),"https://www.tiktok.com/@papiipaw")</f>
        <v>https://www.tiktok.com/@papiipaw</v>
      </c>
      <c r="D78" s="270">
        <f>IFERROR(__xludf.DUMMYFUNCTION("""COMPUTED_VALUE"""),8.8200610958E11)</f>
        <v>882006109580</v>
      </c>
      <c r="E78" s="271">
        <f>IFERROR(__xludf.DUMMYFUNCTION("""COMPUTED_VALUE"""),0.0)</f>
        <v>0</v>
      </c>
      <c r="F78" s="270">
        <f>IFERROR(__xludf.DUMMYFUNCTION("""COMPUTED_VALUE"""),2.0)</f>
        <v>2</v>
      </c>
      <c r="G78" s="59" t="str">
        <f>IFERROR(__xludf.DUMMYFUNCTION("""COMPUTED_VALUE"""),"Rp395,5JT")</f>
        <v>Rp395,5JT</v>
      </c>
      <c r="H78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78" s="260" t="str">
        <f>IFERROR(__xludf.DUMMYFUNCTION("""COMPUTED_VALUE"""),"Done Req Sample")</f>
        <v>Done Req Sample</v>
      </c>
      <c r="J78" s="333"/>
      <c r="K78" s="262"/>
      <c r="L78" s="333"/>
      <c r="M78" s="262"/>
      <c r="N78" s="333"/>
      <c r="O78" s="17"/>
      <c r="P78" s="333"/>
      <c r="Q78" s="17"/>
      <c r="R78" s="335">
        <f>IFERROR(__xludf.DUMMYFUNCTION("""COMPUTED_VALUE"""),0.0)</f>
        <v>0</v>
      </c>
      <c r="S78" s="335"/>
      <c r="T78" s="335"/>
      <c r="U78" s="335"/>
    </row>
    <row r="79">
      <c r="A79" s="255" t="str">
        <f>IFERROR(__xludf.DUMMYFUNCTION("""COMPUTED_VALUE"""),"NANO")</f>
        <v>NANO</v>
      </c>
      <c r="B79" s="23" t="str">
        <f>IFERROR(__xludf.DUMMYFUNCTION("""COMPUTED_VALUE"""),"azizahrisqi")</f>
        <v>azizahrisqi</v>
      </c>
      <c r="C79" s="281" t="str">
        <f>IFERROR(__xludf.DUMMYFUNCTION("""COMPUTED_VALUE"""),"https://www.tiktok.com/@azizahrisqi")</f>
        <v>https://www.tiktok.com/@azizahrisqi</v>
      </c>
      <c r="D79" s="270">
        <f>IFERROR(__xludf.DUMMYFUNCTION("""COMPUTED_VALUE"""),8.2337717119E10)</f>
        <v>82337717119</v>
      </c>
      <c r="E79" s="271">
        <f>IFERROR(__xludf.DUMMYFUNCTION("""COMPUTED_VALUE"""),0.0)</f>
        <v>0</v>
      </c>
      <c r="F79" s="270">
        <f>IFERROR(__xludf.DUMMYFUNCTION("""COMPUTED_VALUE"""),1.0)</f>
        <v>1</v>
      </c>
      <c r="G79" s="59" t="str">
        <f>IFERROR(__xludf.DUMMYFUNCTION("""COMPUTED_VALUE"""),"Rp483JT")</f>
        <v>Rp483JT</v>
      </c>
      <c r="H79" s="277" t="str">
        <f>IFERROR(__xludf.DUMMYFUNCTION("""COMPUTED_VALUE"""),"Brightening &amp; Soothing Toner")</f>
        <v>Brightening &amp; Soothing Toner</v>
      </c>
      <c r="I79" s="260" t="str">
        <f>IFERROR(__xludf.DUMMYFUNCTION("""COMPUTED_VALUE"""),"Done Req Sample")</f>
        <v>Done Req Sample</v>
      </c>
      <c r="J79" s="333"/>
      <c r="K79" s="262"/>
      <c r="L79" s="333"/>
      <c r="M79" s="262"/>
      <c r="N79" s="333"/>
      <c r="O79" s="17"/>
      <c r="P79" s="333"/>
      <c r="Q79" s="17"/>
      <c r="R79" s="335">
        <f>IFERROR(__xludf.DUMMYFUNCTION("""COMPUTED_VALUE"""),0.0)</f>
        <v>0</v>
      </c>
      <c r="S79" s="335"/>
      <c r="T79" s="335"/>
      <c r="U79" s="335"/>
    </row>
    <row r="80">
      <c r="A80" s="255" t="str">
        <f>IFERROR(__xludf.DUMMYFUNCTION("""COMPUTED_VALUE"""),"MICRO")</f>
        <v>MICRO</v>
      </c>
      <c r="B80" s="23" t="str">
        <f>IFERROR(__xludf.DUMMYFUNCTION("""COMPUTED_VALUE"""),"merahmudastore1")</f>
        <v>merahmudastore1</v>
      </c>
      <c r="C80" s="281" t="str">
        <f>IFERROR(__xludf.DUMMYFUNCTION("""COMPUTED_VALUE"""),"https://www.tiktok.com/@merahmudastore1")</f>
        <v>https://www.tiktok.com/@merahmudastore1</v>
      </c>
      <c r="D80" s="270"/>
      <c r="E80" s="271">
        <f>IFERROR(__xludf.DUMMYFUNCTION("""COMPUTED_VALUE"""),0.0)</f>
        <v>0</v>
      </c>
      <c r="F80" s="270">
        <f>IFERROR(__xludf.DUMMYFUNCTION("""COMPUTED_VALUE"""),2.0)</f>
        <v>2</v>
      </c>
      <c r="G80" s="59" t="str">
        <f>IFERROR(__xludf.DUMMYFUNCTION("""COMPUTED_VALUE"""),"Rp834,7JT")</f>
        <v>Rp834,7JT</v>
      </c>
      <c r="H80" s="277"/>
      <c r="I80" s="260" t="str">
        <f>IFERROR(__xludf.DUMMYFUNCTION("""COMPUTED_VALUE"""),"Kendala [FU!]")</f>
        <v>Kendala [FU!]</v>
      </c>
      <c r="J80" s="333"/>
      <c r="K80" s="262"/>
      <c r="L80" s="333"/>
      <c r="M80" s="262"/>
      <c r="N80" s="333"/>
      <c r="O80" s="17"/>
      <c r="P80" s="333"/>
      <c r="Q80" s="17"/>
      <c r="R80" s="335">
        <f>IFERROR(__xludf.DUMMYFUNCTION("""COMPUTED_VALUE"""),0.0)</f>
        <v>0</v>
      </c>
      <c r="S80" s="335"/>
      <c r="T80" s="335"/>
      <c r="U80" s="335"/>
    </row>
    <row r="81">
      <c r="A81" s="255" t="str">
        <f>IFERROR(__xludf.DUMMYFUNCTION("""COMPUTED_VALUE"""),"MICRO")</f>
        <v>MICRO</v>
      </c>
      <c r="B81" s="23" t="str">
        <f>IFERROR(__xludf.DUMMYFUNCTION("""COMPUTED_VALUE"""),"itscendi")</f>
        <v>itscendi</v>
      </c>
      <c r="C81" s="281" t="str">
        <f>IFERROR(__xludf.DUMMYFUNCTION("""COMPUTED_VALUE"""),"https://www.tiktok.com/@itscendi")</f>
        <v>https://www.tiktok.com/@itscendi</v>
      </c>
      <c r="D81" s="270">
        <f>IFERROR(__xludf.DUMMYFUNCTION("""COMPUTED_VALUE"""),8.7746514165E10)</f>
        <v>87746514165</v>
      </c>
      <c r="E81" s="271">
        <f>IFERROR(__xludf.DUMMYFUNCTION("""COMPUTED_VALUE"""),150000.0)</f>
        <v>150000</v>
      </c>
      <c r="F81" s="270">
        <f>IFERROR(__xludf.DUMMYFUNCTION("""COMPUTED_VALUE"""),1.0)</f>
        <v>1</v>
      </c>
      <c r="G81" s="59" t="str">
        <f>IFERROR(__xludf.DUMMYFUNCTION("""COMPUTED_VALUE"""),"Rp165,5JT")</f>
        <v>Rp165,5JT</v>
      </c>
      <c r="H81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81" s="260" t="str">
        <f>IFERROR(__xludf.DUMMYFUNCTION("""COMPUTED_VALUE"""),"Sampai")</f>
        <v>Sampai</v>
      </c>
      <c r="J81" s="333" t="str">
        <f>IFERROR(__xludf.DUMMYFUNCTION("""COMPUTED_VALUE"""),"Concept 2")</f>
        <v>Concept 2</v>
      </c>
      <c r="K81" s="278" t="str">
        <f>IFERROR(__xludf.DUMMYFUNCTION("""COMPUTED_VALUE"""),"https://vt.tiktok.com/ZSHhjLAdc/")</f>
        <v>https://vt.tiktok.com/ZSHhjLAdc/</v>
      </c>
      <c r="L81" s="333"/>
      <c r="M81" s="262"/>
      <c r="N81" s="333"/>
      <c r="O81" s="17"/>
      <c r="P81" s="333"/>
      <c r="Q81" s="17"/>
      <c r="R81" s="335">
        <f>IFERROR(__xludf.DUMMYFUNCTION("""COMPUTED_VALUE"""),0.0)</f>
        <v>0</v>
      </c>
      <c r="S81" s="335"/>
      <c r="T81" s="335"/>
      <c r="U81" s="335"/>
    </row>
    <row r="82">
      <c r="A82" s="255" t="str">
        <f>IFERROR(__xludf.DUMMYFUNCTION("""COMPUTED_VALUE"""),"NANO")</f>
        <v>NANO</v>
      </c>
      <c r="B82" s="23" t="str">
        <f>IFERROR(__xludf.DUMMYFUNCTION("""COMPUTED_VALUE"""),"estehmatchaaa._")</f>
        <v>estehmatchaaa._</v>
      </c>
      <c r="C82" s="281" t="str">
        <f>IFERROR(__xludf.DUMMYFUNCTION("""COMPUTED_VALUE"""),"https://www.tiktok.com/@estehmatchaaa._")</f>
        <v>https://www.tiktok.com/@estehmatchaaa._</v>
      </c>
      <c r="D82" s="270">
        <f>IFERROR(__xludf.DUMMYFUNCTION("""COMPUTED_VALUE"""),8.5382444201E10)</f>
        <v>85382444201</v>
      </c>
      <c r="E82" s="271">
        <f>IFERROR(__xludf.DUMMYFUNCTION("""COMPUTED_VALUE"""),0.0)</f>
        <v>0</v>
      </c>
      <c r="F82" s="270">
        <f>IFERROR(__xludf.DUMMYFUNCTION("""COMPUTED_VALUE"""),2.0)</f>
        <v>2</v>
      </c>
      <c r="G82" s="59" t="str">
        <f>IFERROR(__xludf.DUMMYFUNCTION("""COMPUTED_VALUE"""),"Rp39JT")</f>
        <v>Rp39JT</v>
      </c>
      <c r="H82" s="277" t="str">
        <f>IFERROR(__xludf.DUMMYFUNCTION("""COMPUTED_VALUE"""),"OMG OH MY GLOW UV Barrier Sunscreen SPF 50 PA++++ 60 ml")</f>
        <v>OMG OH MY GLOW UV Barrier Sunscreen SPF 50 PA++++ 60 ml</v>
      </c>
      <c r="I82" s="260" t="str">
        <f>IFERROR(__xludf.DUMMYFUNCTION("""COMPUTED_VALUE"""),"Sampai")</f>
        <v>Sampai</v>
      </c>
      <c r="J82" s="333" t="str">
        <f>IFERROR(__xludf.DUMMYFUNCTION("""COMPUTED_VALUE"""),"Concept 3")</f>
        <v>Concept 3</v>
      </c>
      <c r="K82" s="278" t="str">
        <f>IFERROR(__xludf.DUMMYFUNCTION("""COMPUTED_VALUE"""),"https://vt.tiktok.com/ZSuQyrX17/ ")</f>
        <v>https://vt.tiktok.com/ZSuQyrX17/ </v>
      </c>
      <c r="L82" s="333" t="str">
        <f>IFERROR(__xludf.DUMMYFUNCTION("""COMPUTED_VALUE"""),"Concept 3")</f>
        <v>Concept 3</v>
      </c>
      <c r="M82" s="278" t="str">
        <f>IFERROR(__xludf.DUMMYFUNCTION("""COMPUTED_VALUE"""),"https://vt.tiktok.com/ZSuQykRTr/")</f>
        <v>https://vt.tiktok.com/ZSuQykRTr/</v>
      </c>
      <c r="N82" s="333"/>
      <c r="O82" s="17"/>
      <c r="P82" s="333"/>
      <c r="Q82" s="17"/>
      <c r="R82" s="335">
        <f>IFERROR(__xludf.DUMMYFUNCTION("""COMPUTED_VALUE"""),0.0)</f>
        <v>0</v>
      </c>
      <c r="S82" s="335"/>
      <c r="T82" s="335"/>
      <c r="U82" s="335"/>
    </row>
    <row r="83">
      <c r="A83" s="255" t="str">
        <f>IFERROR(__xludf.DUMMYFUNCTION("""COMPUTED_VALUE"""),"NANO")</f>
        <v>NANO</v>
      </c>
      <c r="B83" s="23" t="str">
        <f>IFERROR(__xludf.DUMMYFUNCTION("""COMPUTED_VALUE"""),"ariantiw_")</f>
        <v>ariantiw_</v>
      </c>
      <c r="C83" s="281" t="str">
        <f>IFERROR(__xludf.DUMMYFUNCTION("""COMPUTED_VALUE"""),"https://www.tiktok.com/@ariantiw_")</f>
        <v>https://www.tiktok.com/@ariantiw_</v>
      </c>
      <c r="D83" s="270">
        <f>IFERROR(__xludf.DUMMYFUNCTION("""COMPUTED_VALUE"""),8.9695237529E10)</f>
        <v>89695237529</v>
      </c>
      <c r="E83" s="271">
        <f>IFERROR(__xludf.DUMMYFUNCTION("""COMPUTED_VALUE"""),0.0)</f>
        <v>0</v>
      </c>
      <c r="F83" s="270">
        <f>IFERROR(__xludf.DUMMYFUNCTION("""COMPUTED_VALUE"""),2.0)</f>
        <v>2</v>
      </c>
      <c r="G83" s="59" t="str">
        <f>IFERROR(__xludf.DUMMYFUNCTION("""COMPUTED_VALUE"""),"Rp122,9JT")</f>
        <v>Rp122,9JT</v>
      </c>
      <c r="H83" s="277" t="str">
        <f>IFERROR(__xludf.DUMMYFUNCTION("""COMPUTED_VALUE"""),"Brightening &amp; Soothing Toner")</f>
        <v>Brightening &amp; Soothing Toner</v>
      </c>
      <c r="I83" s="260" t="str">
        <f>IFERROR(__xludf.DUMMYFUNCTION("""COMPUTED_VALUE"""),"Sampai")</f>
        <v>Sampai</v>
      </c>
      <c r="J83" s="333" t="str">
        <f>IFERROR(__xludf.DUMMYFUNCTION("""COMPUTED_VALUE"""),"Concept 3")</f>
        <v>Concept 3</v>
      </c>
      <c r="K83" s="278" t="str">
        <f>IFERROR(__xludf.DUMMYFUNCTION("""COMPUTED_VALUE"""),"https://vt.tiktok.com/ZSH6XRt3J/")</f>
        <v>https://vt.tiktok.com/ZSH6XRt3J/</v>
      </c>
      <c r="L83" s="333" t="str">
        <f>IFERROR(__xludf.DUMMYFUNCTION("""COMPUTED_VALUE"""),"Concept 3")</f>
        <v>Concept 3</v>
      </c>
      <c r="M83" s="278" t="str">
        <f>IFERROR(__xludf.DUMMYFUNCTION("""COMPUTED_VALUE"""),"https://vt.tiktok.com/ZSH6XLsmm/")</f>
        <v>https://vt.tiktok.com/ZSH6XLsmm/</v>
      </c>
      <c r="N83" s="333" t="str">
        <f>IFERROR(__xludf.DUMMYFUNCTION("""COMPUTED_VALUE"""),"Concept 3")</f>
        <v>Concept 3</v>
      </c>
      <c r="O83" s="279" t="str">
        <f>IFERROR(__xludf.DUMMYFUNCTION("""COMPUTED_VALUE"""),"https://vt.tiktok.com/ZSH6XSj82/")</f>
        <v>https://vt.tiktok.com/ZSH6XSj82/</v>
      </c>
      <c r="P83" s="333"/>
      <c r="Q83" s="17"/>
      <c r="R83" s="335">
        <f>IFERROR(__xludf.DUMMYFUNCTION("""COMPUTED_VALUE"""),123045.0)</f>
        <v>123045</v>
      </c>
      <c r="S83" s="335"/>
      <c r="T83" s="335">
        <f>IFERROR(__xludf.DUMMYFUNCTION("""COMPUTED_VALUE"""),2.2336416840000004E7)</f>
        <v>22336416.84</v>
      </c>
      <c r="U83" s="335"/>
    </row>
    <row r="84">
      <c r="A84" s="255" t="str">
        <f>IFERROR(__xludf.DUMMYFUNCTION("""COMPUTED_VALUE"""),"NANO")</f>
        <v>NANO</v>
      </c>
      <c r="B84" s="23" t="str">
        <f>IFERROR(__xludf.DUMMYFUNCTION("""COMPUTED_VALUE"""),"naniinan09")</f>
        <v>naniinan09</v>
      </c>
      <c r="C84" s="281" t="str">
        <f>IFERROR(__xludf.DUMMYFUNCTION("""COMPUTED_VALUE"""),"https://www.tiktok.com/@naniinan09")</f>
        <v>https://www.tiktok.com/@naniinan09</v>
      </c>
      <c r="D84" s="270">
        <f>IFERROR(__xludf.DUMMYFUNCTION("""COMPUTED_VALUE"""),8.581470611E10)</f>
        <v>85814706110</v>
      </c>
      <c r="E84" s="271">
        <f>IFERROR(__xludf.DUMMYFUNCTION("""COMPUTED_VALUE"""),0.0)</f>
        <v>0</v>
      </c>
      <c r="F84" s="270">
        <f>IFERROR(__xludf.DUMMYFUNCTION("""COMPUTED_VALUE"""),2.0)</f>
        <v>2</v>
      </c>
      <c r="G84" s="59" t="str">
        <f>IFERROR(__xludf.DUMMYFUNCTION("""COMPUTED_VALUE"""),"Rp123,1JT")</f>
        <v>Rp123,1JT</v>
      </c>
      <c r="H84" s="277" t="str">
        <f>IFERROR(__xludf.DUMMYFUNCTION("""COMPUTED_VALUE"""),"OMG OH MY GLOW UV Barrier Sunscreen SPF 50 PA++++ 60 ml")</f>
        <v>OMG OH MY GLOW UV Barrier Sunscreen SPF 50 PA++++ 60 ml</v>
      </c>
      <c r="I84" s="260" t="str">
        <f>IFERROR(__xludf.DUMMYFUNCTION("""COMPUTED_VALUE"""),"Sampai")</f>
        <v>Sampai</v>
      </c>
      <c r="J84" s="333" t="str">
        <f>IFERROR(__xludf.DUMMYFUNCTION("""COMPUTED_VALUE"""),"Concept 3")</f>
        <v>Concept 3</v>
      </c>
      <c r="K84" s="278" t="str">
        <f>IFERROR(__xludf.DUMMYFUNCTION("""COMPUTED_VALUE"""),"https://vt.tiktok.com/ZSuBLwgPN/")</f>
        <v>https://vt.tiktok.com/ZSuBLwgPN/</v>
      </c>
      <c r="L84" s="333" t="str">
        <f>IFERROR(__xludf.DUMMYFUNCTION("""COMPUTED_VALUE"""),"Concept 3")</f>
        <v>Concept 3</v>
      </c>
      <c r="M84" s="278" t="str">
        <f>IFERROR(__xludf.DUMMYFUNCTION("""COMPUTED_VALUE"""),"https://vt.tiktok.com/ZSuAab9Ts/")</f>
        <v>https://vt.tiktok.com/ZSuAab9Ts/</v>
      </c>
      <c r="N84" s="333"/>
      <c r="O84" s="17"/>
      <c r="P84" s="333"/>
      <c r="Q84" s="17"/>
      <c r="R84" s="335">
        <f>IFERROR(__xludf.DUMMYFUNCTION("""COMPUTED_VALUE"""),2412042.0)</f>
        <v>2412042</v>
      </c>
      <c r="S84" s="335"/>
      <c r="T84" s="335"/>
      <c r="U84" s="335"/>
    </row>
    <row r="85">
      <c r="A85" s="255" t="str">
        <f>IFERROR(__xludf.DUMMYFUNCTION("""COMPUTED_VALUE"""),"NANO")</f>
        <v>NANO</v>
      </c>
      <c r="B85" s="23" t="str">
        <f>IFERROR(__xludf.DUMMYFUNCTION("""COMPUTED_VALUE"""),"spill_by02_")</f>
        <v>spill_by02_</v>
      </c>
      <c r="C85" s="281" t="str">
        <f>IFERROR(__xludf.DUMMYFUNCTION("""COMPUTED_VALUE"""),"https://www.tiktok.com/@spill_by02_")</f>
        <v>https://www.tiktok.com/@spill_by02_</v>
      </c>
      <c r="D85" s="270">
        <f>IFERROR(__xludf.DUMMYFUNCTION("""COMPUTED_VALUE"""),8.3879649945E10)</f>
        <v>83879649945</v>
      </c>
      <c r="E85" s="271">
        <f>IFERROR(__xludf.DUMMYFUNCTION("""COMPUTED_VALUE"""),0.0)</f>
        <v>0</v>
      </c>
      <c r="F85" s="270">
        <f>IFERROR(__xludf.DUMMYFUNCTION("""COMPUTED_VALUE"""),2.0)</f>
        <v>2</v>
      </c>
      <c r="G85" s="59" t="str">
        <f>IFERROR(__xludf.DUMMYFUNCTION("""COMPUTED_VALUE"""),"Rp34,7JT")</f>
        <v>Rp34,7JT</v>
      </c>
      <c r="H85" s="277" t="str">
        <f>IFERROR(__xludf.DUMMYFUNCTION("""COMPUTED_VALUE"""),"NEW! OMG Acne &amp; Oil Control UV Barrier Sunscreen SPF50 PA++++ ")</f>
        <v>NEW! OMG Acne &amp; Oil Control UV Barrier Sunscreen SPF50 PA++++ </v>
      </c>
      <c r="I85" s="260" t="str">
        <f>IFERROR(__xludf.DUMMYFUNCTION("""COMPUTED_VALUE"""),"Done Req Sample")</f>
        <v>Done Req Sample</v>
      </c>
      <c r="J85" s="333"/>
      <c r="K85" s="262"/>
      <c r="L85" s="333"/>
      <c r="M85" s="262"/>
      <c r="N85" s="333"/>
      <c r="O85" s="17"/>
      <c r="P85" s="333"/>
      <c r="Q85" s="17"/>
      <c r="R85" s="266">
        <f>IFERROR(__xludf.DUMMYFUNCTION("""COMPUTED_VALUE"""),0.0)</f>
        <v>0</v>
      </c>
      <c r="S85" s="266"/>
      <c r="T85" s="266"/>
      <c r="U85" s="266"/>
    </row>
    <row r="86">
      <c r="A86" s="255" t="str">
        <f>IFERROR(__xludf.DUMMYFUNCTION("""COMPUTED_VALUE"""),"NANO")</f>
        <v>NANO</v>
      </c>
      <c r="B86" s="23" t="str">
        <f>IFERROR(__xludf.DUMMYFUNCTION("""COMPUTED_VALUE"""),"lusitaadyaa")</f>
        <v>lusitaadyaa</v>
      </c>
      <c r="C86" s="281" t="str">
        <f>IFERROR(__xludf.DUMMYFUNCTION("""COMPUTED_VALUE"""),"https://www.tiktok.com/@lusitaadyaa")</f>
        <v>https://www.tiktok.com/@lusitaadyaa</v>
      </c>
      <c r="D86" s="270">
        <f>IFERROR(__xludf.DUMMYFUNCTION("""COMPUTED_VALUE"""),8.5815591601E10)</f>
        <v>85815591601</v>
      </c>
      <c r="E86" s="271">
        <f>IFERROR(__xludf.DUMMYFUNCTION("""COMPUTED_VALUE"""),0.0)</f>
        <v>0</v>
      </c>
      <c r="F86" s="270">
        <f>IFERROR(__xludf.DUMMYFUNCTION("""COMPUTED_VALUE"""),2.0)</f>
        <v>2</v>
      </c>
      <c r="G86" s="59" t="str">
        <f>IFERROR(__xludf.DUMMYFUNCTION("""COMPUTED_VALUE"""),"Rp118,9JT")</f>
        <v>Rp118,9JT</v>
      </c>
      <c r="H86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86" s="260" t="str">
        <f>IFERROR(__xludf.DUMMYFUNCTION("""COMPUTED_VALUE"""),"Sampai")</f>
        <v>Sampai</v>
      </c>
      <c r="J86" s="333" t="str">
        <f>IFERROR(__xludf.DUMMYFUNCTION("""COMPUTED_VALUE"""),"Concept 3")</f>
        <v>Concept 3</v>
      </c>
      <c r="K86" s="278" t="str">
        <f>IFERROR(__xludf.DUMMYFUNCTION("""COMPUTED_VALUE"""),"https://vt.tiktok.com/ZSHbq5QSB/")</f>
        <v>https://vt.tiktok.com/ZSHbq5QSB/</v>
      </c>
      <c r="L86" s="333"/>
      <c r="M86" s="262"/>
      <c r="N86" s="333"/>
      <c r="O86" s="17"/>
      <c r="P86" s="333"/>
      <c r="Q86" s="17"/>
      <c r="R86" s="266">
        <f>IFERROR(__xludf.DUMMYFUNCTION("""COMPUTED_VALUE"""),0.0)</f>
        <v>0</v>
      </c>
      <c r="S86" s="266"/>
      <c r="T86" s="266"/>
      <c r="U86" s="266"/>
    </row>
    <row r="87">
      <c r="A87" s="255" t="str">
        <f>IFERROR(__xludf.DUMMYFUNCTION("""COMPUTED_VALUE"""),"MICRO")</f>
        <v>MICRO</v>
      </c>
      <c r="B87" s="23" t="str">
        <f>IFERROR(__xludf.DUMMYFUNCTION("""COMPUTED_VALUE"""),"moodtiaraaaaa")</f>
        <v>moodtiaraaaaa</v>
      </c>
      <c r="C87" s="281" t="str">
        <f>IFERROR(__xludf.DUMMYFUNCTION("""COMPUTED_VALUE"""),"https://www.tiktok.com/@moodtiaraaaaa")</f>
        <v>https://www.tiktok.com/@moodtiaraaaaa</v>
      </c>
      <c r="D87" s="270">
        <f>IFERROR(__xludf.DUMMYFUNCTION("""COMPUTED_VALUE"""),8.1210255102E10)</f>
        <v>81210255102</v>
      </c>
      <c r="E87" s="271">
        <f>IFERROR(__xludf.DUMMYFUNCTION("""COMPUTED_VALUE"""),702500.0)</f>
        <v>702500</v>
      </c>
      <c r="F87" s="270">
        <f>IFERROR(__xludf.DUMMYFUNCTION("""COMPUTED_VALUE"""),1.0)</f>
        <v>1</v>
      </c>
      <c r="G87" s="59" t="str">
        <f>IFERROR(__xludf.DUMMYFUNCTION("""COMPUTED_VALUE"""),"Rp1JT+")</f>
        <v>Rp1JT+</v>
      </c>
      <c r="H87" s="277" t="str">
        <f>IFERROR(__xludf.DUMMYFUNCTION("""COMPUTED_VALUE"""),"OMG OH MY GLOW UV Barrier Sunscreen SPF 50 PA++++ 60 ml")</f>
        <v>OMG OH MY GLOW UV Barrier Sunscreen SPF 50 PA++++ 60 ml</v>
      </c>
      <c r="I87" s="260" t="str">
        <f>IFERROR(__xludf.DUMMYFUNCTION("""COMPUTED_VALUE"""),"Sampai")</f>
        <v>Sampai</v>
      </c>
      <c r="J87" s="333" t="str">
        <f>IFERROR(__xludf.DUMMYFUNCTION("""COMPUTED_VALUE"""),"Concept 2")</f>
        <v>Concept 2</v>
      </c>
      <c r="K87" s="278" t="str">
        <f>IFERROR(__xludf.DUMMYFUNCTION("""COMPUTED_VALUE"""),"https://vt.tiktok.com/ZSu3YDFbG/")</f>
        <v>https://vt.tiktok.com/ZSu3YDFbG/</v>
      </c>
      <c r="L87" s="333"/>
      <c r="M87" s="262"/>
      <c r="N87" s="333"/>
      <c r="O87" s="17"/>
      <c r="P87" s="333"/>
      <c r="Q87" s="17"/>
      <c r="R87" s="266">
        <f>IFERROR(__xludf.DUMMYFUNCTION("""COMPUTED_VALUE"""),74789.0)</f>
        <v>74789</v>
      </c>
      <c r="S87" s="266"/>
      <c r="T87" s="266">
        <f>IFERROR(__xludf.DUMMYFUNCTION("""COMPUTED_VALUE"""),1.7646055985E8)</f>
        <v>176460559.9</v>
      </c>
      <c r="U87" s="266"/>
    </row>
    <row r="88">
      <c r="A88" s="255" t="str">
        <f>IFERROR(__xludf.DUMMYFUNCTION("""COMPUTED_VALUE"""),"NANO")</f>
        <v>NANO</v>
      </c>
      <c r="B88" s="23" t="str">
        <f>IFERROR(__xludf.DUMMYFUNCTION("""COMPUTED_VALUE"""),"storetheskincare")</f>
        <v>storetheskincare</v>
      </c>
      <c r="C88" s="281" t="str">
        <f>IFERROR(__xludf.DUMMYFUNCTION("""COMPUTED_VALUE"""),"https://www.tiktok.com/@storetheskincare")</f>
        <v>https://www.tiktok.com/@storetheskincare</v>
      </c>
      <c r="D88" s="270">
        <f>IFERROR(__xludf.DUMMYFUNCTION("""COMPUTED_VALUE"""),8.95402533907E11)</f>
        <v>895402533907</v>
      </c>
      <c r="E88" s="271">
        <f>IFERROR(__xludf.DUMMYFUNCTION("""COMPUTED_VALUE"""),0.0)</f>
        <v>0</v>
      </c>
      <c r="F88" s="270">
        <f>IFERROR(__xludf.DUMMYFUNCTION("""COMPUTED_VALUE"""),2.0)</f>
        <v>2</v>
      </c>
      <c r="G88" s="59" t="str">
        <f>IFERROR(__xludf.DUMMYFUNCTION("""COMPUTED_VALUE"""),"Rp132,4JT")</f>
        <v>Rp132,4JT</v>
      </c>
      <c r="H88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88" s="260" t="str">
        <f>IFERROR(__xludf.DUMMYFUNCTION("""COMPUTED_VALUE"""),"Sampai")</f>
        <v>Sampai</v>
      </c>
      <c r="J88" s="333" t="str">
        <f>IFERROR(__xludf.DUMMYFUNCTION("""COMPUTED_VALUE"""),"Concept 3")</f>
        <v>Concept 3</v>
      </c>
      <c r="K88" s="278" t="str">
        <f>IFERROR(__xludf.DUMMYFUNCTION("""COMPUTED_VALUE"""),"https://vt.tiktok.com/ZSuB581KX/")</f>
        <v>https://vt.tiktok.com/ZSuB581KX/</v>
      </c>
      <c r="L88" s="333" t="str">
        <f>IFERROR(__xludf.DUMMYFUNCTION("""COMPUTED_VALUE"""),"Concept 3")</f>
        <v>Concept 3</v>
      </c>
      <c r="M88" s="278" t="str">
        <f>IFERROR(__xludf.DUMMYFUNCTION("""COMPUTED_VALUE"""),"https://www.tiktok.com/@storetheskincare/video/7619464445089123605?_r=1&amp;u_code=ehl4kibe50lhm3&amp;region=&amp;mid=7580087028324616193&amp;preview_pb=0&amp;sharer_language=&amp;_d=0&amp;ec_shared_reflux_dynamic_params=%7B%22placeholder_material_id%22%3A%227619464445089123605%22%2"&amp;"C%22placeholder_origin_cover%22%3A%22https%253A%252F%252Fp16-sign-sg.tiktokcdn.com%252Ftos-alisg-p-0037%252FowOmeEGGgGFIfl6TeRAAgGALg47vJwAzTfxGwj~tplv-tiktokx-origin.jpeg%253Fdr%253D14572%2526refresh_token%253D04a816c5%2526x-expires%253D1805940000%2526x-"&amp;"signature%253DeqHoCl9D%25252FRzK7hp5husD5jmemLQ%25253D%2526t%253D4d5b0474%2526ps%253D13740610%2526shp%253Dd05b14bd%2526shcp%253D34ff8df6%2526idc%253Dmy2%2526s%253DTIKTOK_AFFILIATE_VIRAL_VIDEO%22%2C%22placeholder_product_id%22%3A%221729991116494375315%22%2"&amp;"C%22placeholder_video_id%22%3A%227619464445089123605%22%7D&amp;ec_shared_reflux_scene=shop_tab_feed&amp;share_item_id=7619464445089123605&amp;source=h5_t")</f>
        <v>https://www.tiktok.com/@storetheskincare/video/7619464445089123605?_r=1&amp;u_code=ehl4kibe50lhm3&amp;region=&amp;mid=7580087028324616193&amp;preview_pb=0&amp;sharer_language=&amp;_d=0&amp;ec_shared_reflux_dynamic_params=%7B%22placeholder_material_id%22%3A%227619464445089123605%22%2C%22placeholder_origin_cover%22%3A%22https%253A%252F%252Fp16-sign-sg.tiktokcdn.com%252Ftos-alisg-p-0037%252FowOmeEGGgGFIfl6TeRAAgGALg47vJwAzTfxGwj~tplv-tiktokx-origin.jpeg%253Fdr%253D14572%2526refresh_token%253D04a816c5%2526x-expires%253D1805940000%2526x-signature%253DeqHoCl9D%25252FRzK7hp5husD5jmemLQ%25253D%2526t%253D4d5b0474%2526ps%253D13740610%2526shp%253Dd05b14bd%2526shcp%253D34ff8df6%2526idc%253Dmy2%2526s%253DTIKTOK_AFFILIATE_VIRAL_VIDEO%22%2C%22placeholder_product_id%22%3A%221729991116494375315%22%2C%22placeholder_video_id%22%3A%227619464445089123605%22%7D&amp;ec_shared_reflux_scene=shop_tab_feed&amp;share_item_id=7619464445089123605&amp;source=h5_t</v>
      </c>
      <c r="N88" s="333" t="str">
        <f>IFERROR(__xludf.DUMMYFUNCTION("""COMPUTED_VALUE"""),"Concept 3")</f>
        <v>Concept 3</v>
      </c>
      <c r="O88" s="279" t="str">
        <f>IFERROR(__xludf.DUMMYFUNCTION("""COMPUTED_VALUE"""),"https://www.tiktok.com/@storetheskincare/video/7620461933510003988?_r=1&amp;u_code=ehl4kibe50lhm3&amp;region=&amp;mid=7558786414730300171&amp;preview_pb=0&amp;sharer_language=&amp;_d=0&amp;ec_shared_reflux_dynamic_params=%7B%22placeholder_material_id%22%3A%227620461933510003988%22%2"&amp;"C%22placeholder_origin_cover%22%3A%22https%253A%252F%252Fp16-sign-sg.tiktokcdn.com%252Ftos-alisg-p-0037%252FoYeCNTPIIXeqALFmbC4Q3ADoxxSgCQGoIQ5ej5~tplv-tiktokx-origin.jpeg%253Fdr%253D14572%2526refresh_token%253Df3ba226a%2526x-expires%253D1805940000%2526x-"&amp;"signature%253D7EL6w36UTVvanr686F8mtme8lQA%25253D%2526t%253D4d5b0474%2526ps%253D13740610%2526shp%253Dd05b14bd%2526shcp%253D34ff8df6%2526idc%253Dmy2%2526s%253DTIKTOK_AFFILIATE_VIRAL_VIDEO%22%2C%22placeholder_product_id%22%3A%221729991116494375315%22%2C%22pl"&amp;"aceholder_video_id%22%3A%227620461933510003988%22%7D&amp;ec_shared_reflux_scene=shop_tab_feed&amp;share_item_id=7620461933510003988&amp;source=h5_t")</f>
        <v>https://www.tiktok.com/@storetheskincare/video/7620461933510003988?_r=1&amp;u_code=ehl4kibe50lhm3&amp;region=&amp;mid=7558786414730300171&amp;preview_pb=0&amp;sharer_language=&amp;_d=0&amp;ec_shared_reflux_dynamic_params=%7B%22placeholder_material_id%22%3A%227620461933510003988%22%2C%22placeholder_origin_cover%22%3A%22https%253A%252F%252Fp16-sign-sg.tiktokcdn.com%252Ftos-alisg-p-0037%252FoYeCNTPIIXeqALFmbC4Q3ADoxxSgCQGoIQ5ej5~tplv-tiktokx-origin.jpeg%253Fdr%253D14572%2526refresh_token%253Df3ba226a%2526x-expires%253D1805940000%2526x-signature%253D7EL6w36UTVvanr686F8mtme8lQA%25253D%2526t%253D4d5b0474%2526ps%253D13740610%2526shp%253Dd05b14bd%2526shcp%253D34ff8df6%2526idc%253Dmy2%2526s%253DTIKTOK_AFFILIATE_VIRAL_VIDEO%22%2C%22placeholder_product_id%22%3A%221729991116494375315%22%2C%22placeholder_video_id%22%3A%227620461933510003988%22%7D&amp;ec_shared_reflux_scene=shop_tab_feed&amp;share_item_id=7620461933510003988&amp;source=h5_t</v>
      </c>
      <c r="P88" s="333"/>
      <c r="Q88" s="17"/>
      <c r="R88" s="266">
        <f>IFERROR(__xludf.DUMMYFUNCTION("""COMPUTED_VALUE"""),0.0)</f>
        <v>0</v>
      </c>
      <c r="S88" s="266"/>
      <c r="T88" s="266"/>
      <c r="U88" s="266"/>
    </row>
    <row r="89">
      <c r="A89" s="255" t="str">
        <f>IFERROR(__xludf.DUMMYFUNCTION("""COMPUTED_VALUE"""),"NANO")</f>
        <v>NANO</v>
      </c>
      <c r="B89" s="23" t="str">
        <f>IFERROR(__xludf.DUMMYFUNCTION("""COMPUTED_VALUE"""),"infopromoaja")</f>
        <v>infopromoaja</v>
      </c>
      <c r="C89" s="281" t="str">
        <f>IFERROR(__xludf.DUMMYFUNCTION("""COMPUTED_VALUE"""),"https://www.tiktok.com/@infopromoaja")</f>
        <v>https://www.tiktok.com/@infopromoaja</v>
      </c>
      <c r="D89" s="270">
        <f>IFERROR(__xludf.DUMMYFUNCTION("""COMPUTED_VALUE"""),8.95418207454E11)</f>
        <v>895418207454</v>
      </c>
      <c r="E89" s="271">
        <f>IFERROR(__xludf.DUMMYFUNCTION("""COMPUTED_VALUE"""),0.0)</f>
        <v>0</v>
      </c>
      <c r="F89" s="270">
        <f>IFERROR(__xludf.DUMMYFUNCTION("""COMPUTED_VALUE"""),2.0)</f>
        <v>2</v>
      </c>
      <c r="G89" s="59" t="str">
        <f>IFERROR(__xludf.DUMMYFUNCTION("""COMPUTED_VALUE"""),"Rp96,1JT")</f>
        <v>Rp96,1JT</v>
      </c>
      <c r="H89" s="277" t="str">
        <f>IFERROR(__xludf.DUMMYFUNCTION("""COMPUTED_VALUE"""),"OMG OH MY GLOW UV Barrier Sunscreen SPF 50 PA++++ 60 ml")</f>
        <v>OMG OH MY GLOW UV Barrier Sunscreen SPF 50 PA++++ 60 ml</v>
      </c>
      <c r="I89" s="260" t="str">
        <f>IFERROR(__xludf.DUMMYFUNCTION("""COMPUTED_VALUE"""),"Sampai")</f>
        <v>Sampai</v>
      </c>
      <c r="J89" s="333" t="str">
        <f>IFERROR(__xludf.DUMMYFUNCTION("""COMPUTED_VALUE"""),"Concept 3")</f>
        <v>Concept 3</v>
      </c>
      <c r="K89" s="278" t="str">
        <f>IFERROR(__xludf.DUMMYFUNCTION("""COMPUTED_VALUE"""),"https://www.tiktok.com/@infopromoaja/video/7619162397621652737?_d=0&amp;_r=1&amp;ec_shared_reflux_dynamic_params=%7B%22placeholder_material_id%22%3A%227619162397621652737%22%2C%22placeholder_origin_cover%22%3A%22https%253A%252F%252Fp16-sign-sg.tiktokcdn.com%252Ft"&amp;"os-alisg-p-0037%252FoQimAQC03AbdA9sBi7klqItAqF8fIJGzCBswIB~tplv-tiktokx-origin.jpeg%253Fdr%253D14572%2526refresh_token%253D5a0aa919%2526x-expires%253D1805940000%2526x-signature%253DFWnV9CC%25252FRv1NLH493YBMAnXiwFk%25253D%2526t%253D4d5b0474%2526ps%253D137"&amp;"40610%2526shp%253Dd05b14bd%2526shcp%253D34ff8df6%2526idc%253Dmy2%2526s%253DTIKTOK_AFFILIATE_VIRAL_VIDEO%22%2C%22placeholder_product_id%22%3A%221731334333969302931%22%2C%22placeholder_video_id%22%3A%227619162397621652737%22%7D&amp;ec_shared_reflux_scene=shop_t"&amp;"ab_feed&amp;mid=7362193631252728581&amp;preview_pb=0&amp;region=&amp;share_item_id=7619162397621652737&amp;sharer_language=&amp;source=h5_t&amp;u_code=f0j3bk1fa00ii3")</f>
        <v>https://www.tiktok.com/@infopromoaja/video/7619162397621652737?_d=0&amp;_r=1&amp;ec_shared_reflux_dynamic_params=%7B%22placeholder_material_id%22%3A%227619162397621652737%22%2C%22placeholder_origin_cover%22%3A%22https%253A%252F%252Fp16-sign-sg.tiktokcdn.com%252Ftos-alisg-p-0037%252FoQimAQC03AbdA9sBi7klqItAqF8fIJGzCBswIB~tplv-tiktokx-origin.jpeg%253Fdr%253D14572%2526refresh_token%253D5a0aa919%2526x-expires%253D1805940000%2526x-signature%253DFWnV9CC%25252FRv1NLH493YBMAnXiwFk%25253D%2526t%253D4d5b0474%2526ps%253D13740610%2526shp%253Dd05b14bd%2526shcp%253D34ff8df6%2526idc%253Dmy2%2526s%253DTIKTOK_AFFILIATE_VIRAL_VIDEO%22%2C%22placeholder_product_id%22%3A%221731334333969302931%22%2C%22placeholder_video_id%22%3A%227619162397621652737%22%7D&amp;ec_shared_reflux_scene=shop_tab_feed&amp;mid=7362193631252728581&amp;preview_pb=0&amp;region=&amp;share_item_id=7619162397621652737&amp;sharer_language=&amp;source=h5_t&amp;u_code=f0j3bk1fa00ii3</v>
      </c>
      <c r="L89" s="333" t="str">
        <f>IFERROR(__xludf.DUMMYFUNCTION("""COMPUTED_VALUE"""),"Concept 3")</f>
        <v>Concept 3</v>
      </c>
      <c r="M89" s="278" t="str">
        <f>IFERROR(__xludf.DUMMYFUNCTION("""COMPUTED_VALUE"""),"https://www.tiktok.com/@infopromoaja/video/7619252597546831120?_r=1&amp;u_code=f0j3bk1fa00ii3&amp;region=&amp;mid=7586667641051007745&amp;preview_pb=0&amp;sharer_language=&amp;_d=0&amp;ec_shared_reflux_dynamic_params=%7B%22placeholder_material_id%22%3A%227619252597546831120%22%2C%22"&amp;"placeholder_origin_cover%22%3A%22https%253A%252F%252Fp16-sign-sg.tiktokcdn.com%252Ftos-alisg-p-0037%252FokGVNGPcAMFQmCemegQLIv6eQFBe7T06PAGCR2~tplv-tiktokx-origin.jpeg%253Fdr%253D14572%2526refresh_token%253D65045e35%2526x-expires%253D1805968800%2526x-sign"&amp;"ature%253D3bQKtrfumAavURNsdWK223AIp%25252FY%25253D%2526t%253D4d5b0474%2526ps%253D13740610%2526shp%253Dd05b14bd%2526shcp%253D34ff8df6%2526idc%253Dmy2%2526s%253DTIKTOK_AFFILIATE_VIRAL_VIDEO%22%2C%22placeholder_product_id%22%3A%221731334333969302931%22%2C%22"&amp;"placeholder_video_id%22%3A%227619252597546831120%22%7D&amp;ec_shared_reflux_scene=shop_tab_feed&amp;share_item_id=7619252597546831120&amp;source=h5_t")</f>
        <v>https://www.tiktok.com/@infopromoaja/video/7619252597546831120?_r=1&amp;u_code=f0j3bk1fa00ii3&amp;region=&amp;mid=7586667641051007745&amp;preview_pb=0&amp;sharer_language=&amp;_d=0&amp;ec_shared_reflux_dynamic_params=%7B%22placeholder_material_id%22%3A%227619252597546831120%22%2C%22placeholder_origin_cover%22%3A%22https%253A%252F%252Fp16-sign-sg.tiktokcdn.com%252Ftos-alisg-p-0037%252FokGVNGPcAMFQmCemegQLIv6eQFBe7T06PAGCR2~tplv-tiktokx-origin.jpeg%253Fdr%253D14572%2526refresh_token%253D65045e35%2526x-expires%253D1805968800%2526x-signature%253D3bQKtrfumAavURNsdWK223AIp%25252FY%25253D%2526t%253D4d5b0474%2526ps%253D13740610%2526shp%253Dd05b14bd%2526shcp%253D34ff8df6%2526idc%253Dmy2%2526s%253DTIKTOK_AFFILIATE_VIRAL_VIDEO%22%2C%22placeholder_product_id%22%3A%221731334333969302931%22%2C%22placeholder_video_id%22%3A%227619252597546831120%22%7D&amp;ec_shared_reflux_scene=shop_tab_feed&amp;share_item_id=7619252597546831120&amp;source=h5_t</v>
      </c>
      <c r="N89" s="333" t="str">
        <f>IFERROR(__xludf.DUMMYFUNCTION("""COMPUTED_VALUE"""),"Concept 3")</f>
        <v>Concept 3</v>
      </c>
      <c r="O89" s="279" t="str">
        <f>IFERROR(__xludf.DUMMYFUNCTION("""COMPUTED_VALUE"""),"https://www.tiktok.com/@infopromoaja/video/7620022924145200385?_r=1&amp;u_code=f0j3bk1fa00ii3&amp;region=&amp;mid=7594264901795728136&amp;preview_pb=0&amp;sharer_language=&amp;_d=0&amp;ec_shared_reflux_dynamic_params=%7B%22placeholder_material_id%22%3A%227620022924145200385%22%2C%22"&amp;"placeholder_origin_cover%22%3A%22https%253A%252F%252Fp16-sign-sg.tiktokcdn.com%252Ftos-alisg-p-0037%252Fo4GiyIYDSghfJLeRPQ4eLtnUpYM0FGAtfmg4AG~tplv-tiktokx-origin.jpeg%253Fdr%253D14572%2526refresh_token%253D4a37d36d%2526x-expires%253D1806055200%2526x-sign"&amp;"ature%253DrwA%25252BNnRiTXAwIPU5fC3FikF7NSA%25253D%2526t%253D4d5b0474%2526ps%253D13740610%2526shp%253Dd05b14bd%2526shcp%253D34ff8df6%2526idc%253Dmy2%2526s%253DTIKTOK_AFFILIATE_VIRAL_VIDEO%22%2C%22placeholder_product_id%22%3A%221731334333969302931%22%2C%22"&amp;"placeholder_video_id%22%3A%227620022924145200385%22%7D&amp;ec_shared_reflux_scene=shop_tab_feed&amp;share_item_id=7620022924145200385&amp;source=h5_t")</f>
        <v>https://www.tiktok.com/@infopromoaja/video/7620022924145200385?_r=1&amp;u_code=f0j3bk1fa00ii3&amp;region=&amp;mid=7594264901795728136&amp;preview_pb=0&amp;sharer_language=&amp;_d=0&amp;ec_shared_reflux_dynamic_params=%7B%22placeholder_material_id%22%3A%227620022924145200385%22%2C%22placeholder_origin_cover%22%3A%22https%253A%252F%252Fp16-sign-sg.tiktokcdn.com%252Ftos-alisg-p-0037%252Fo4GiyIYDSghfJLeRPQ4eLtnUpYM0FGAtfmg4AG~tplv-tiktokx-origin.jpeg%253Fdr%253D14572%2526refresh_token%253D4a37d36d%2526x-expires%253D1806055200%2526x-signature%253DrwA%25252BNnRiTXAwIPU5fC3FikF7NSA%25253D%2526t%253D4d5b0474%2526ps%253D13740610%2526shp%253Dd05b14bd%2526shcp%253D34ff8df6%2526idc%253Dmy2%2526s%253DTIKTOK_AFFILIATE_VIRAL_VIDEO%22%2C%22placeholder_product_id%22%3A%221731334333969302931%22%2C%22placeholder_video_id%22%3A%227620022924145200385%22%7D&amp;ec_shared_reflux_scene=shop_tab_feed&amp;share_item_id=7620022924145200385&amp;source=h5_t</v>
      </c>
      <c r="P89" s="333" t="str">
        <f>IFERROR(__xludf.DUMMYFUNCTION("""COMPUTED_VALUE"""),"Concept 3")</f>
        <v>Concept 3</v>
      </c>
      <c r="Q89" s="279" t="str">
        <f>IFERROR(__xludf.DUMMYFUNCTION("""COMPUTED_VALUE"""),"https://www.tiktok.com/@infopromoaja/video/7620774424853122305?_r=1&amp;u_code=f0j3bk1fa00ii3&amp;region=&amp;mid=7415463043465201680&amp;preview_pb=0&amp;sharer_language=&amp;_d=0&amp;ec_shared_reflux_dynamic_params=%7B%22placeholder_material_id%22%3A%227620774424853122305%22%2C%22"&amp;"placeholder_origin_cover%22%3A%22https%253A%252F%252Fp16-sign-sg.tiktokcdn.com%252Ftos-alisg-p-0037%252FoMgfMEwINlQnhtETA6CQj3qLxe2seNI4DGaCA4~tplv-tiktokx-origin.jpeg%253Fdr%253D14572%2526refresh_token%253D85da4b3f%2526x-expires%253D1806055200%2526x-sign"&amp;"ature%253Dp%25252FAuE3Qy1xRtHjwTo56xrADNPb0%25253D%2526t%253D4d5b0474%2526ps%253D13740610%2526shp%253Dd05b14bd%2526shcp%253D34ff8df6%2526idc%253Dmy2%2526s%253DTIKTOK_AFFILIATE_VIRAL_VIDEO%22%2C%22placeholder_product_id%22%3A%221731334333969302931%22%2C%22"&amp;"placeholder_video_id%22%3A%227620774424853122305%22%7D&amp;ec_shared_reflux_scene=shop_tab_feed&amp;share_item_id=7620774424853122305&amp;source=h5_t")</f>
        <v>https://www.tiktok.com/@infopromoaja/video/7620774424853122305?_r=1&amp;u_code=f0j3bk1fa00ii3&amp;region=&amp;mid=7415463043465201680&amp;preview_pb=0&amp;sharer_language=&amp;_d=0&amp;ec_shared_reflux_dynamic_params=%7B%22placeholder_material_id%22%3A%227620774424853122305%22%2C%22placeholder_origin_cover%22%3A%22https%253A%252F%252Fp16-sign-sg.tiktokcdn.com%252Ftos-alisg-p-0037%252FoMgfMEwINlQnhtETA6CQj3qLxe2seNI4DGaCA4~tplv-tiktokx-origin.jpeg%253Fdr%253D14572%2526refresh_token%253D85da4b3f%2526x-expires%253D1806055200%2526x-signature%253Dp%25252FAuE3Qy1xRtHjwTo56xrADNPb0%25253D%2526t%253D4d5b0474%2526ps%253D13740610%2526shp%253Dd05b14bd%2526shcp%253D34ff8df6%2526idc%253Dmy2%2526s%253DTIKTOK_AFFILIATE_VIRAL_VIDEO%22%2C%22placeholder_product_id%22%3A%221731334333969302931%22%2C%22placeholder_video_id%22%3A%227620774424853122305%22%7D&amp;ec_shared_reflux_scene=shop_tab_feed&amp;share_item_id=7620774424853122305&amp;source=h5_t</v>
      </c>
      <c r="R89" s="266">
        <f>IFERROR(__xludf.DUMMYFUNCTION("""COMPUTED_VALUE"""),280559.0)</f>
        <v>280559</v>
      </c>
      <c r="S89" s="266"/>
      <c r="T89" s="266"/>
      <c r="U89" s="266"/>
    </row>
    <row r="90">
      <c r="A90" s="255" t="str">
        <f>IFERROR(__xludf.DUMMYFUNCTION("""COMPUTED_VALUE"""),"NANO")</f>
        <v>NANO</v>
      </c>
      <c r="B90" s="23" t="str">
        <f>IFERROR(__xludf.DUMMYFUNCTION("""COMPUTED_VALUE"""),"thespillroom_")</f>
        <v>thespillroom_</v>
      </c>
      <c r="C90" s="281" t="str">
        <f>IFERROR(__xludf.DUMMYFUNCTION("""COMPUTED_VALUE"""),"https://www.tiktok.com/@thespillroom_")</f>
        <v>https://www.tiktok.com/@thespillroom_</v>
      </c>
      <c r="D90" s="270">
        <f>IFERROR(__xludf.DUMMYFUNCTION("""COMPUTED_VALUE"""),8.1381709398E10)</f>
        <v>81381709398</v>
      </c>
      <c r="E90" s="271">
        <f>IFERROR(__xludf.DUMMYFUNCTION("""COMPUTED_VALUE"""),0.0)</f>
        <v>0</v>
      </c>
      <c r="F90" s="270">
        <f>IFERROR(__xludf.DUMMYFUNCTION("""COMPUTED_VALUE"""),1.0)</f>
        <v>1</v>
      </c>
      <c r="G90" s="59" t="str">
        <f>IFERROR(__xludf.DUMMYFUNCTION("""COMPUTED_VALUE"""),"Rp773,1JT")</f>
        <v>Rp773,1JT</v>
      </c>
      <c r="H90" s="277" t="str">
        <f>IFERROR(__xludf.DUMMYFUNCTION("""COMPUTED_VALUE"""),"Brightening &amp; Soothing Toner")</f>
        <v>Brightening &amp; Soothing Toner</v>
      </c>
      <c r="I90" s="260" t="str">
        <f>IFERROR(__xludf.DUMMYFUNCTION("""COMPUTED_VALUE"""),"Sampai")</f>
        <v>Sampai</v>
      </c>
      <c r="J90" s="333" t="str">
        <f>IFERROR(__xludf.DUMMYFUNCTION("""COMPUTED_VALUE"""),"Concept 3")</f>
        <v>Concept 3</v>
      </c>
      <c r="K90" s="278" t="str">
        <f>IFERROR(__xludf.DUMMYFUNCTION("""COMPUTED_VALUE"""),"https://www.tiktok.com/@thespillroom_/video/7631528151356640519?_r=1&amp;u_code=e24308bk181a90&amp;region=&amp;mid=7476696512706186000&amp;preview_pb=0&amp;sharer_language=&amp;_d=0&amp;ec_shared_reflux_dynamic_params=%7B%22placeholder_material_id%22%3A%227631528151356640519%22%2C%2"&amp;"2placeholder_origin_cover%22%3A%22https%253A%252F%252Fp16-common-sign.tiktokcdn.com%252Ftos-alisg-p-0037%252Fo0C9Bf06Ci9uInokrB0wiAuoIYIFAzAoDALIUN~tplv-tiktokx-origin.jpeg%253Fdr%253D14572%2526refresh_token%253D4a3e6b48%2526x-expires%253D1808460000%2526x"&amp;"-signature%253DTGbs9s6q%25252FZl7P7g8XpZEwolG2qs%25253D%2526t%253D4d5b0474%2526ps%253D13740610%2526shp%253Dd05b14bd%2526shcp%253D34ff8df6%2526idc%253Dmy3%2526s%253DTIKTOK_AFFILIATE_VIRAL_VIDEO%22%2C%22placeholder_product_id%22%3A%221733551239648413075%22%"&amp;"2C%22placeholder_video_id%22%3A%227631528151356640519%22%7D&amp;ec_shared_reflux_scene=shop_tab_feed&amp;share_item_id=7631528151356640519&amp;source=h5_t")</f>
        <v>https://www.tiktok.com/@thespillroom_/video/7631528151356640519?_r=1&amp;u_code=e24308bk181a90&amp;region=&amp;mid=7476696512706186000&amp;preview_pb=0&amp;sharer_language=&amp;_d=0&amp;ec_shared_reflux_dynamic_params=%7B%22placeholder_material_id%22%3A%227631528151356640519%22%2C%22placeholder_origin_cover%22%3A%22https%253A%252F%252Fp16-common-sign.tiktokcdn.com%252Ftos-alisg-p-0037%252Fo0C9Bf06Ci9uInokrB0wiAuoIYIFAzAoDALIUN~tplv-tiktokx-origin.jpeg%253Fdr%253D14572%2526refresh_token%253D4a3e6b48%2526x-expires%253D1808460000%2526x-signature%253DTGbs9s6q%25252FZl7P7g8XpZEwolG2qs%25253D%2526t%253D4d5b0474%2526ps%253D13740610%2526shp%253Dd05b14bd%2526shcp%253D34ff8df6%2526idc%253Dmy3%2526s%253DTIKTOK_AFFILIATE_VIRAL_VIDEO%22%2C%22placeholder_product_id%22%3A%221733551239648413075%22%2C%22placeholder_video_id%22%3A%227631528151356640519%22%7D&amp;ec_shared_reflux_scene=shop_tab_feed&amp;share_item_id=7631528151356640519&amp;source=h5_t</v>
      </c>
      <c r="L90" s="333" t="str">
        <f>IFERROR(__xludf.DUMMYFUNCTION("""COMPUTED_VALUE"""),"Concept 3")</f>
        <v>Concept 3</v>
      </c>
      <c r="M90" s="278" t="str">
        <f>IFERROR(__xludf.DUMMYFUNCTION("""COMPUTED_VALUE"""),"https://vt.tiktok.com/ZS9LgUB8D/")</f>
        <v>https://vt.tiktok.com/ZS9LgUB8D/</v>
      </c>
      <c r="N90" s="333" t="str">
        <f>IFERROR(__xludf.DUMMYFUNCTION("""COMPUTED_VALUE"""),"Concept 3")</f>
        <v>Concept 3</v>
      </c>
      <c r="O90" s="279" t="str">
        <f>IFERROR(__xludf.DUMMYFUNCTION("""COMPUTED_VALUE"""),"https://www.tiktok.com/@thespillroom_/video/7632166629916331282?_r=1&amp;u_code=e24308bk181a90&amp;region=&amp;mid=7604121927885359105&amp;preview_pb=0&amp;sharer_language=&amp;_d=0&amp;ec_shared_reflux_dynamic_params=%7B%22placeholder_material_id%22%3A%227632166629916331282%22%2C%2"&amp;"2placeholder_origin_cover%22%3A%22https%253A%252F%252Fp16-common-sign.tiktokcdn.com%252Ftos-alisg-p-0037%252FoErwuiBzICAOsIKEsqiImnAA5DUwy059e0PMT7~tplv-tiktokx-origin.jpeg%253Fdr%253D14572%2526refresh_token%253Da713f638%2526x-expires%253D1808553600%2526x"&amp;"-signature%253D4Qpn839vfB2e%25252BtZvyGIK%25252BJmGZbQ%25253D%2526t%253D4d5b0474%2526ps%253D13740610%2526shp%253Dd05b14bd%2526shcp%253D34ff8df6%2526idc%253Dmy3%2526s%253DTIKTOK_AFFILIATE_VIRAL_VIDEO%22%2C%22placeholder_product_id%22%3A%2217335512396484130"&amp;"75%22%2C%22placeholder_video_id%22%3A%227632166629916331282%22%7D&amp;ec_shared_reflux_scene=shop_tab_feed&amp;share_item_id=7632166629916331282&amp;source=h5_t")</f>
        <v>https://www.tiktok.com/@thespillroom_/video/7632166629916331282?_r=1&amp;u_code=e24308bk181a90&amp;region=&amp;mid=7604121927885359105&amp;preview_pb=0&amp;sharer_language=&amp;_d=0&amp;ec_shared_reflux_dynamic_params=%7B%22placeholder_material_id%22%3A%227632166629916331282%22%2C%22placeholder_origin_cover%22%3A%22https%253A%252F%252Fp16-common-sign.tiktokcdn.com%252Ftos-alisg-p-0037%252FoErwuiBzICAOsIKEsqiImnAA5DUwy059e0PMT7~tplv-tiktokx-origin.jpeg%253Fdr%253D14572%2526refresh_token%253Da713f638%2526x-expires%253D1808553600%2526x-signature%253D4Qpn839vfB2e%25252BtZvyGIK%25252BJmGZbQ%25253D%2526t%253D4d5b0474%2526ps%253D13740610%2526shp%253Dd05b14bd%2526shcp%253D34ff8df6%2526idc%253Dmy3%2526s%253DTIKTOK_AFFILIATE_VIRAL_VIDEO%22%2C%22placeholder_product_id%22%3A%221733551239648413075%22%2C%22placeholder_video_id%22%3A%227632166629916331282%22%7D&amp;ec_shared_reflux_scene=shop_tab_feed&amp;share_item_id=7632166629916331282&amp;source=h5_t</v>
      </c>
      <c r="P90" s="333"/>
      <c r="Q90" s="17"/>
      <c r="R90" s="266">
        <f>IFERROR(__xludf.DUMMYFUNCTION("""COMPUTED_VALUE"""),125631.0)</f>
        <v>125631</v>
      </c>
      <c r="S90" s="266"/>
      <c r="T90" s="266"/>
      <c r="U90" s="266"/>
    </row>
    <row r="91">
      <c r="A91" s="255" t="str">
        <f>IFERROR(__xludf.DUMMYFUNCTION("""COMPUTED_VALUE"""),"NANO")</f>
        <v>NANO</v>
      </c>
      <c r="B91" s="23" t="str">
        <f>IFERROR(__xludf.DUMMYFUNCTION("""COMPUTED_VALUE"""),"mell.nt")</f>
        <v>mell.nt</v>
      </c>
      <c r="C91" s="281" t="str">
        <f>IFERROR(__xludf.DUMMYFUNCTION("""COMPUTED_VALUE"""),"https://www.tiktok.com/@mell.nt")</f>
        <v>https://www.tiktok.com/@mell.nt</v>
      </c>
      <c r="D91" s="270">
        <f>IFERROR(__xludf.DUMMYFUNCTION("""COMPUTED_VALUE"""),8.1399166275E10)</f>
        <v>81399166275</v>
      </c>
      <c r="E91" s="271">
        <f>IFERROR(__xludf.DUMMYFUNCTION("""COMPUTED_VALUE"""),0.0)</f>
        <v>0</v>
      </c>
      <c r="F91" s="270">
        <f>IFERROR(__xludf.DUMMYFUNCTION("""COMPUTED_VALUE"""),2.0)</f>
        <v>2</v>
      </c>
      <c r="G91" s="59" t="str">
        <f>IFERROR(__xludf.DUMMYFUNCTION("""COMPUTED_VALUE"""),"Rp50,3JT")</f>
        <v>Rp50,3JT</v>
      </c>
      <c r="H91" s="277" t="str">
        <f>IFERROR(__xludf.DUMMYFUNCTION("""COMPUTED_VALUE"""),"OMG OH MY GLOW UV Barrier Sunscreen SPF 50 PA++++ 60 ml")</f>
        <v>OMG OH MY GLOW UV Barrier Sunscreen SPF 50 PA++++ 60 ml</v>
      </c>
      <c r="I91" s="260" t="str">
        <f>IFERROR(__xludf.DUMMYFUNCTION("""COMPUTED_VALUE"""),"Sampai")</f>
        <v>Sampai</v>
      </c>
      <c r="J91" s="333" t="str">
        <f>IFERROR(__xludf.DUMMYFUNCTION("""COMPUTED_VALUE"""),"Concept 3")</f>
        <v>Concept 3</v>
      </c>
      <c r="K91" s="278" t="str">
        <f>IFERROR(__xludf.DUMMYFUNCTION("""COMPUTED_VALUE"""),"https://vt.tiktok.com/ZSHkjVmmQ/")</f>
        <v>https://vt.tiktok.com/ZSHkjVmmQ/</v>
      </c>
      <c r="L91" s="333" t="str">
        <f>IFERROR(__xludf.DUMMYFUNCTION("""COMPUTED_VALUE"""),"Concept 3")</f>
        <v>Concept 3</v>
      </c>
      <c r="M91" s="278" t="str">
        <f>IFERROR(__xludf.DUMMYFUNCTION("""COMPUTED_VALUE"""),"https://vt.tiktok.com/ZSHqPysNv/")</f>
        <v>https://vt.tiktok.com/ZSHqPysNv/</v>
      </c>
      <c r="N91" s="333" t="str">
        <f>IFERROR(__xludf.DUMMYFUNCTION("""COMPUTED_VALUE"""),"Concept 3")</f>
        <v>Concept 3</v>
      </c>
      <c r="O91" s="279" t="str">
        <f>IFERROR(__xludf.DUMMYFUNCTION("""COMPUTED_VALUE"""),"https://www.tiktok.com/@mell.nt/video/7632969321307753748?_r=1&amp;u_code=dk55im6hjml075&amp;region=&amp;mid=7615505674093234177&amp;preview_pb=0&amp;sharer_language=&amp;_d=0&amp;ec_shared_reflux_dynamic_params=%7B%22placeholder_material_id%22%3A%227632969321307753748%22%2C%22place"&amp;"holder_origin_cover%22%3A%22https%253A%252F%252Fp16-common-sign.tiktokcdn.com%252Ftos-alisg-p-0037%252FoYDntE9CEQw7BFkE9cNfHZ9TIjfGBRgZtpQcAB~tplv-tiktokx-origin.jpeg%253Fdr%253D14572%2526refresh_token%253D96b67b91%2526x-expires%253D1808820000%2526x-signa"&amp;"ture%253Dst7CLqFrSz0nnMUqsYClFeNQJc0%25253D%2526t%253D4d5b0474%2526ps%253D13740610%2526shp%253Dd05b14bd%2526shcp%253D34ff8df6%2526idc%253Dmy3%2526s%253DTIKTOK_AFFILIATE_VIRAL_VIDEO%22%2C%22placeholder_product_id%22%3A%221731334333969302931%22%2C%22placeho"&amp;"lder_video_id%22%3A%227632969321307753748%22%7D&amp;ec_shared_reflux_scene=shop_tab_feed&amp;share_item_id=7632969321307753748&amp;source=h5_t")</f>
        <v>https://www.tiktok.com/@mell.nt/video/7632969321307753748?_r=1&amp;u_code=dk55im6hjml075&amp;region=&amp;mid=7615505674093234177&amp;preview_pb=0&amp;sharer_language=&amp;_d=0&amp;ec_shared_reflux_dynamic_params=%7B%22placeholder_material_id%22%3A%227632969321307753748%22%2C%22placeholder_origin_cover%22%3A%22https%253A%252F%252Fp16-common-sign.tiktokcdn.com%252Ftos-alisg-p-0037%252FoYDntE9CEQw7BFkE9cNfHZ9TIjfGBRgZtpQcAB~tplv-tiktokx-origin.jpeg%253Fdr%253D14572%2526refresh_token%253D96b67b91%2526x-expires%253D1808820000%2526x-signature%253Dst7CLqFrSz0nnMUqsYClFeNQJc0%25253D%2526t%253D4d5b0474%2526ps%253D13740610%2526shp%253Dd05b14bd%2526shcp%253D34ff8df6%2526idc%253Dmy3%2526s%253DTIKTOK_AFFILIATE_VIRAL_VIDEO%22%2C%22placeholder_product_id%22%3A%221731334333969302931%22%2C%22placeholder_video_id%22%3A%227632969321307753748%22%7D&amp;ec_shared_reflux_scene=shop_tab_feed&amp;share_item_id=7632969321307753748&amp;source=h5_t</v>
      </c>
      <c r="P91" s="333" t="str">
        <f>IFERROR(__xludf.DUMMYFUNCTION("""COMPUTED_VALUE"""),"Concept 3")</f>
        <v>Concept 3</v>
      </c>
      <c r="Q91" s="279" t="str">
        <f>IFERROR(__xludf.DUMMYFUNCTION("""COMPUTED_VALUE"""),"https://www.tiktok.com/@mell.nt/video/7636710898979097876?_r=1&amp;u_code=dk55im6hjml075&amp;region=&amp;mid=7624657111119153938&amp;preview_pb=0&amp;sharer_language=&amp;_d=0&amp;ec_shared_reflux_dynamic_params=%7B%22placeholder_material_id%22%3A%227636710898979097876%22%2C%22place"&amp;"holder_origin_cover%22%3A%22https%253A%252F%252Fp16-common-sign.tiktokcdn.com%252Ftos-alisg-p-0037%252Fog37D0wfPAIUlMLgBBI0lCALDiAqiCPKIsWIn7~tplv-tiktokx-origin.jpeg%253Fdr%253D14572%2526refresh_token%253D852b45ac%2526x-expires%253D1809597600%2526x-signa"&amp;"ture%253D89LQBD8IVCbjPTqpWTGmg3jtgGs%25253D%2526t%253D4d5b0474%2526ps%253D13740610%2526shp%253Dd05b14bd%2526shcp%253D34ff8df6%2526idc%253Dmy%2526s%253DTIKTOK_AFFILIATE_VIRAL_VIDEO%22%2C%22placeholder_product_id%22%3A%221731334333969302931%22%2C%22placehol"&amp;"der_video_id%22%3A%227636710898979097876%22%7D&amp;ec_shared_reflux_scene=shop_tab_feed&amp;share_item_id=7636710898979097876&amp;source=h5_t")</f>
        <v>https://www.tiktok.com/@mell.nt/video/7636710898979097876?_r=1&amp;u_code=dk55im6hjml075&amp;region=&amp;mid=7624657111119153938&amp;preview_pb=0&amp;sharer_language=&amp;_d=0&amp;ec_shared_reflux_dynamic_params=%7B%22placeholder_material_id%22%3A%227636710898979097876%22%2C%22placeholder_origin_cover%22%3A%22https%253A%252F%252Fp16-common-sign.tiktokcdn.com%252Ftos-alisg-p-0037%252Fog37D0wfPAIUlMLgBBI0lCALDiAqiCPKIsWIn7~tplv-tiktokx-origin.jpeg%253Fdr%253D14572%2526refresh_token%253D852b45ac%2526x-expires%253D1809597600%2526x-signature%253D89LQBD8IVCbjPTqpWTGmg3jtgGs%25253D%2526t%253D4d5b0474%2526ps%253D13740610%2526shp%253Dd05b14bd%2526shcp%253D34ff8df6%2526idc%253Dmy%2526s%253DTIKTOK_AFFILIATE_VIRAL_VIDEO%22%2C%22placeholder_product_id%22%3A%221731334333969302931%22%2C%22placeholder_video_id%22%3A%227636710898979097876%22%7D&amp;ec_shared_reflux_scene=shop_tab_feed&amp;share_item_id=7636710898979097876&amp;source=h5_t</v>
      </c>
      <c r="R91" s="266">
        <f>IFERROR(__xludf.DUMMYFUNCTION("""COMPUTED_VALUE"""),180442.0)</f>
        <v>180442</v>
      </c>
      <c r="S91" s="266"/>
      <c r="T91" s="266"/>
      <c r="U91" s="266"/>
    </row>
    <row r="92">
      <c r="A92" s="255" t="str">
        <f>IFERROR(__xludf.DUMMYFUNCTION("""COMPUTED_VALUE"""),"NANO")</f>
        <v>NANO</v>
      </c>
      <c r="B92" s="23" t="str">
        <f>IFERROR(__xludf.DUMMYFUNCTION("""COMPUTED_VALUE"""),"letssgloow")</f>
        <v>letssgloow</v>
      </c>
      <c r="C92" s="281" t="str">
        <f>IFERROR(__xludf.DUMMYFUNCTION("""COMPUTED_VALUE"""),"https://www.tiktok.com/@letssgloow")</f>
        <v>https://www.tiktok.com/@letssgloow</v>
      </c>
      <c r="D92" s="270">
        <f>IFERROR(__xludf.DUMMYFUNCTION("""COMPUTED_VALUE"""),8.95321026432E11)</f>
        <v>895321026432</v>
      </c>
      <c r="E92" s="271">
        <f>IFERROR(__xludf.DUMMYFUNCTION("""COMPUTED_VALUE"""),300000.0)</f>
        <v>300000</v>
      </c>
      <c r="F92" s="270">
        <f>IFERROR(__xludf.DUMMYFUNCTION("""COMPUTED_VALUE"""),1.0)</f>
        <v>1</v>
      </c>
      <c r="G92" s="59" t="str">
        <f>IFERROR(__xludf.DUMMYFUNCTION("""COMPUTED_VALUE"""),"Rp1JT+")</f>
        <v>Rp1JT+</v>
      </c>
      <c r="H92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92" s="260" t="str">
        <f>IFERROR(__xludf.DUMMYFUNCTION("""COMPUTED_VALUE"""),"Sampai")</f>
        <v>Sampai</v>
      </c>
      <c r="J92" s="333" t="str">
        <f>IFERROR(__xludf.DUMMYFUNCTION("""COMPUTED_VALUE"""),"Concept 3")</f>
        <v>Concept 3</v>
      </c>
      <c r="K92" s="278" t="str">
        <f>IFERROR(__xludf.DUMMYFUNCTION("""COMPUTED_VALUE"""),"https://vt.tiktok.com/ZSHFU7TNQ/")</f>
        <v>https://vt.tiktok.com/ZSHFU7TNQ/</v>
      </c>
      <c r="L92" s="333" t="str">
        <f>IFERROR(__xludf.DUMMYFUNCTION("""COMPUTED_VALUE"""),"Concept 3")</f>
        <v>Concept 3</v>
      </c>
      <c r="M92" s="262"/>
      <c r="N92" s="333" t="str">
        <f>IFERROR(__xludf.DUMMYFUNCTION("""COMPUTED_VALUE"""),"Concept 3")</f>
        <v>Concept 3</v>
      </c>
      <c r="O92" s="17"/>
      <c r="P92" s="333"/>
      <c r="Q92" s="17"/>
      <c r="R92" s="266">
        <f>IFERROR(__xludf.DUMMYFUNCTION("""COMPUTED_VALUE"""),94036.0)</f>
        <v>94036</v>
      </c>
      <c r="S92" s="266"/>
      <c r="T92" s="266"/>
      <c r="U92" s="266"/>
    </row>
    <row r="93">
      <c r="A93" s="255" t="str">
        <f>IFERROR(__xludf.DUMMYFUNCTION("""COMPUTED_VALUE"""),"NANO")</f>
        <v>NANO</v>
      </c>
      <c r="B93" s="23" t="str">
        <f>IFERROR(__xludf.DUMMYFUNCTION("""COMPUTED_VALUE"""),"callmeqoory")</f>
        <v>callmeqoory</v>
      </c>
      <c r="C93" s="281" t="str">
        <f>IFERROR(__xludf.DUMMYFUNCTION("""COMPUTED_VALUE"""),"https://www.tiktok.com/@callmeqoory")</f>
        <v>https://www.tiktok.com/@callmeqoory</v>
      </c>
      <c r="D93" s="270">
        <f>IFERROR(__xludf.DUMMYFUNCTION("""COMPUTED_VALUE"""),8.7749839185E10)</f>
        <v>87749839185</v>
      </c>
      <c r="E93" s="271">
        <f>IFERROR(__xludf.DUMMYFUNCTION("""COMPUTED_VALUE"""),0.0)</f>
        <v>0</v>
      </c>
      <c r="F93" s="270">
        <f>IFERROR(__xludf.DUMMYFUNCTION("""COMPUTED_VALUE"""),2.0)</f>
        <v>2</v>
      </c>
      <c r="G93" s="59" t="str">
        <f>IFERROR(__xludf.DUMMYFUNCTION("""COMPUTED_VALUE"""),"Rp112,2JT")</f>
        <v>Rp112,2JT</v>
      </c>
      <c r="H93" s="277" t="str">
        <f>IFERROR(__xludf.DUMMYFUNCTION("""COMPUTED_VALUE"""),"NEW! OMG Acne &amp; Oil Control UV Barrier Sunscreen SPF50 PA++++ ")</f>
        <v>NEW! OMG Acne &amp; Oil Control UV Barrier Sunscreen SPF50 PA++++ </v>
      </c>
      <c r="I93" s="260" t="str">
        <f>IFERROR(__xludf.DUMMYFUNCTION("""COMPUTED_VALUE"""),"Sampai")</f>
        <v>Sampai</v>
      </c>
      <c r="J93" s="333" t="str">
        <f>IFERROR(__xludf.DUMMYFUNCTION("""COMPUTED_VALUE"""),"Concept 3")</f>
        <v>Concept 3</v>
      </c>
      <c r="K93" s="278" t="str">
        <f>IFERROR(__xludf.DUMMYFUNCTION("""COMPUTED_VALUE"""),"https://vt.tiktok.com/ZSHdffBHC/")</f>
        <v>https://vt.tiktok.com/ZSHdffBHC/</v>
      </c>
      <c r="L93" s="333" t="str">
        <f>IFERROR(__xludf.DUMMYFUNCTION("""COMPUTED_VALUE"""),"Concept 3")</f>
        <v>Concept 3</v>
      </c>
      <c r="M93" s="278" t="str">
        <f>IFERROR(__xludf.DUMMYFUNCTION("""COMPUTED_VALUE"""),"https://vt.tiktok.com/ZSHdft4SM/")</f>
        <v>https://vt.tiktok.com/ZSHdft4SM/</v>
      </c>
      <c r="N93" s="333" t="str">
        <f>IFERROR(__xludf.DUMMYFUNCTION("""COMPUTED_VALUE"""),"Concept 3")</f>
        <v>Concept 3</v>
      </c>
      <c r="O93" s="279" t="str">
        <f>IFERROR(__xludf.DUMMYFUNCTION("""COMPUTED_VALUE"""),"https://vt.tiktok.com/ZSHdfnGxT/")</f>
        <v>https://vt.tiktok.com/ZSHdfnGxT/</v>
      </c>
      <c r="P93" s="333"/>
      <c r="Q93" s="17"/>
      <c r="R93" s="266">
        <f>IFERROR(__xludf.DUMMYFUNCTION("""COMPUTED_VALUE"""),0.0)</f>
        <v>0</v>
      </c>
      <c r="S93" s="266"/>
      <c r="T93" s="266"/>
      <c r="U93" s="266"/>
    </row>
    <row r="94">
      <c r="A94" s="255" t="str">
        <f>IFERROR(__xludf.DUMMYFUNCTION("""COMPUTED_VALUE"""),"MICRO")</f>
        <v>MICRO</v>
      </c>
      <c r="B94" s="23" t="str">
        <f>IFERROR(__xludf.DUMMYFUNCTION("""COMPUTED_VALUE"""),"wwzn13")</f>
        <v>wwzn13</v>
      </c>
      <c r="C94" s="281" t="str">
        <f>IFERROR(__xludf.DUMMYFUNCTION("""COMPUTED_VALUE"""),"https://www.tiktok.com/@wwzn13")</f>
        <v>https://www.tiktok.com/@wwzn13</v>
      </c>
      <c r="D94" s="270">
        <f>IFERROR(__xludf.DUMMYFUNCTION("""COMPUTED_VALUE"""),8.5213302833E10)</f>
        <v>85213302833</v>
      </c>
      <c r="E94" s="271">
        <f>IFERROR(__xludf.DUMMYFUNCTION("""COMPUTED_VALUE"""),0.0)</f>
        <v>0</v>
      </c>
      <c r="F94" s="270">
        <f>IFERROR(__xludf.DUMMYFUNCTION("""COMPUTED_VALUE"""),2.0)</f>
        <v>2</v>
      </c>
      <c r="G94" s="59" t="str">
        <f>IFERROR(__xludf.DUMMYFUNCTION("""COMPUTED_VALUE"""),"Rp270,7JT")</f>
        <v>Rp270,7JT</v>
      </c>
      <c r="H94" s="277" t="str">
        <f>IFERROR(__xludf.DUMMYFUNCTION("""COMPUTED_VALUE"""),"OMG OH MY GLOW UV Barrier Sunscreen SPF 50 PA++++ 60 ml")</f>
        <v>OMG OH MY GLOW UV Barrier Sunscreen SPF 50 PA++++ 60 ml</v>
      </c>
      <c r="I94" s="260" t="str">
        <f>IFERROR(__xludf.DUMMYFUNCTION("""COMPUTED_VALUE"""),"Done Req Sample")</f>
        <v>Done Req Sample</v>
      </c>
      <c r="J94" s="333"/>
      <c r="K94" s="262"/>
      <c r="L94" s="333"/>
      <c r="M94" s="262"/>
      <c r="N94" s="333"/>
      <c r="O94" s="17"/>
      <c r="P94" s="333"/>
      <c r="Q94" s="17"/>
      <c r="R94" s="266">
        <f>IFERROR(__xludf.DUMMYFUNCTION("""COMPUTED_VALUE"""),0.0)</f>
        <v>0</v>
      </c>
      <c r="S94" s="266"/>
      <c r="T94" s="266"/>
      <c r="U94" s="266"/>
    </row>
    <row r="95">
      <c r="A95" s="255" t="str">
        <f>IFERROR(__xludf.DUMMYFUNCTION("""COMPUTED_VALUE"""),"NANO")</f>
        <v>NANO</v>
      </c>
      <c r="B95" s="23" t="str">
        <f>IFERROR(__xludf.DUMMYFUNCTION("""COMPUTED_VALUE"""),"kylaaagirl")</f>
        <v>kylaaagirl</v>
      </c>
      <c r="C95" s="281" t="str">
        <f>IFERROR(__xludf.DUMMYFUNCTION("""COMPUTED_VALUE"""),"https://www.tiktok.com/@kylaaagirl")</f>
        <v>https://www.tiktok.com/@kylaaagirl</v>
      </c>
      <c r="D95" s="270">
        <f>IFERROR(__xludf.DUMMYFUNCTION("""COMPUTED_VALUE"""),8.3875972442E10)</f>
        <v>83875972442</v>
      </c>
      <c r="E95" s="271">
        <f>IFERROR(__xludf.DUMMYFUNCTION("""COMPUTED_VALUE"""),0.0)</f>
        <v>0</v>
      </c>
      <c r="F95" s="270">
        <f>IFERROR(__xludf.DUMMYFUNCTION("""COMPUTED_VALUE"""),2.0)</f>
        <v>2</v>
      </c>
      <c r="G95" s="59" t="str">
        <f>IFERROR(__xludf.DUMMYFUNCTION("""COMPUTED_VALUE"""),"Rp433,7JT")</f>
        <v>Rp433,7JT</v>
      </c>
      <c r="H95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95" s="260" t="str">
        <f>IFERROR(__xludf.DUMMYFUNCTION("""COMPUTED_VALUE"""),"Sampai")</f>
        <v>Sampai</v>
      </c>
      <c r="J95" s="333" t="str">
        <f>IFERROR(__xludf.DUMMYFUNCTION("""COMPUTED_VALUE"""),"Concept 3")</f>
        <v>Concept 3</v>
      </c>
      <c r="K95" s="278" t="str">
        <f>IFERROR(__xludf.DUMMYFUNCTION("""COMPUTED_VALUE"""),"https://vt.tiktok.com/ZSHfEjVRe/")</f>
        <v>https://vt.tiktok.com/ZSHfEjVRe/</v>
      </c>
      <c r="L95" s="333" t="str">
        <f>IFERROR(__xludf.DUMMYFUNCTION("""COMPUTED_VALUE"""),"Concept 3")</f>
        <v>Concept 3</v>
      </c>
      <c r="M95" s="278" t="str">
        <f>IFERROR(__xludf.DUMMYFUNCTION("""COMPUTED_VALUE"""),"https://vt.tiktok.com/ZSH9Ty1JC/")</f>
        <v>https://vt.tiktok.com/ZSH9Ty1JC/</v>
      </c>
      <c r="N95" s="333"/>
      <c r="O95" s="17"/>
      <c r="P95" s="333"/>
      <c r="Q95" s="17"/>
      <c r="R95" s="266">
        <f>IFERROR(__xludf.DUMMYFUNCTION("""COMPUTED_VALUE"""),1396930.0)</f>
        <v>1396930</v>
      </c>
      <c r="S95" s="266"/>
      <c r="T95" s="266"/>
      <c r="U95" s="266"/>
    </row>
    <row r="96">
      <c r="A96" s="255" t="str">
        <f>IFERROR(__xludf.DUMMYFUNCTION("""COMPUTED_VALUE"""),"NANO")</f>
        <v>NANO</v>
      </c>
      <c r="B96" s="23" t="str">
        <f>IFERROR(__xludf.DUMMYFUNCTION("""COMPUTED_VALUE"""),"iwantu2dmoon")</f>
        <v>iwantu2dmoon</v>
      </c>
      <c r="C96" s="281" t="str">
        <f>IFERROR(__xludf.DUMMYFUNCTION("""COMPUTED_VALUE"""),"https://www.tiktok.com/@iwantu2dmoon")</f>
        <v>https://www.tiktok.com/@iwantu2dmoon</v>
      </c>
      <c r="D96" s="270">
        <f>IFERROR(__xludf.DUMMYFUNCTION("""COMPUTED_VALUE"""),8.3825217801E10)</f>
        <v>83825217801</v>
      </c>
      <c r="E96" s="271">
        <f>IFERROR(__xludf.DUMMYFUNCTION("""COMPUTED_VALUE"""),282500.0)</f>
        <v>282500</v>
      </c>
      <c r="F96" s="270">
        <f>IFERROR(__xludf.DUMMYFUNCTION("""COMPUTED_VALUE"""),1.0)</f>
        <v>1</v>
      </c>
      <c r="G96" s="59" t="str">
        <f>IFERROR(__xludf.DUMMYFUNCTION("""COMPUTED_VALUE"""),"Rp1JT+")</f>
        <v>Rp1JT+</v>
      </c>
      <c r="H96" s="277" t="str">
        <f>IFERROR(__xludf.DUMMYFUNCTION("""COMPUTED_VALUE"""),"Brightening &amp; Soothing Toner")</f>
        <v>Brightening &amp; Soothing Toner</v>
      </c>
      <c r="I96" s="260" t="str">
        <f>IFERROR(__xludf.DUMMYFUNCTION("""COMPUTED_VALUE"""),"Sampai")</f>
        <v>Sampai</v>
      </c>
      <c r="J96" s="333" t="str">
        <f>IFERROR(__xludf.DUMMYFUNCTION("""COMPUTED_VALUE"""),"Concept 3")</f>
        <v>Concept 3</v>
      </c>
      <c r="K96" s="278" t="str">
        <f>IFERROR(__xludf.DUMMYFUNCTION("""COMPUTED_VALUE"""),"https://vt.tiktok.com/ZSuVvkpBr/")</f>
        <v>https://vt.tiktok.com/ZSuVvkpBr/</v>
      </c>
      <c r="L96" s="333"/>
      <c r="M96" s="262"/>
      <c r="N96" s="333"/>
      <c r="O96" s="17"/>
      <c r="P96" s="333"/>
      <c r="Q96" s="17"/>
      <c r="R96" s="266">
        <f>IFERROR(__xludf.DUMMYFUNCTION("""COMPUTED_VALUE"""),137234.0)</f>
        <v>137234</v>
      </c>
      <c r="S96" s="266"/>
      <c r="T96" s="266">
        <f>IFERROR(__xludf.DUMMYFUNCTION("""COMPUTED_VALUE"""),2.183385967E7)</f>
        <v>21833859.67</v>
      </c>
      <c r="U96" s="266"/>
    </row>
    <row r="97">
      <c r="A97" s="255" t="str">
        <f>IFERROR(__xludf.DUMMYFUNCTION("""COMPUTED_VALUE"""),"NANO")</f>
        <v>NANO</v>
      </c>
      <c r="B97" s="23" t="str">
        <f>IFERROR(__xludf.DUMMYFUNCTION("""COMPUTED_VALUE"""),"bygurlsspil")</f>
        <v>bygurlsspil</v>
      </c>
      <c r="C97" s="281" t="str">
        <f>IFERROR(__xludf.DUMMYFUNCTION("""COMPUTED_VALUE"""),"https://www.tiktok.com/@bygurlsspil")</f>
        <v>https://www.tiktok.com/@bygurlsspil</v>
      </c>
      <c r="D97" s="270">
        <f>IFERROR(__xludf.DUMMYFUNCTION("""COMPUTED_VALUE"""),8.7834575611E10)</f>
        <v>87834575611</v>
      </c>
      <c r="E97" s="271">
        <f>IFERROR(__xludf.DUMMYFUNCTION("""COMPUTED_VALUE"""),0.0)</f>
        <v>0</v>
      </c>
      <c r="F97" s="270">
        <f>IFERROR(__xludf.DUMMYFUNCTION("""COMPUTED_VALUE"""),2.0)</f>
        <v>2</v>
      </c>
      <c r="G97" s="59" t="str">
        <f>IFERROR(__xludf.DUMMYFUNCTION("""COMPUTED_VALUE"""),"Rp1JT+")</f>
        <v>Rp1JT+</v>
      </c>
      <c r="H97" s="277" t="str">
        <f>IFERROR(__xludf.DUMMYFUNCTION("""COMPUTED_VALUE"""),"OMG OH MY GLOW UV Barrier Sunscreen SPF 50 PA++++ 60 ml")</f>
        <v>OMG OH MY GLOW UV Barrier Sunscreen SPF 50 PA++++ 60 ml</v>
      </c>
      <c r="I97" s="260" t="str">
        <f>IFERROR(__xludf.DUMMYFUNCTION("""COMPUTED_VALUE"""),"Done Req Sample")</f>
        <v>Done Req Sample</v>
      </c>
      <c r="J97" s="333"/>
      <c r="K97" s="262"/>
      <c r="L97" s="333"/>
      <c r="M97" s="262"/>
      <c r="N97" s="333"/>
      <c r="O97" s="17"/>
      <c r="P97" s="333"/>
      <c r="Q97" s="17"/>
      <c r="R97" s="266">
        <f>IFERROR(__xludf.DUMMYFUNCTION("""COMPUTED_VALUE"""),0.0)</f>
        <v>0</v>
      </c>
      <c r="S97" s="266"/>
      <c r="T97" s="266"/>
      <c r="U97" s="266"/>
    </row>
    <row r="98">
      <c r="A98" s="255" t="str">
        <f>IFERROR(__xludf.DUMMYFUNCTION("""COMPUTED_VALUE"""),"NANO")</f>
        <v>NANO</v>
      </c>
      <c r="B98" s="23" t="str">
        <f>IFERROR(__xludf.DUMMYFUNCTION("""COMPUTED_VALUE"""),"prettygirls.www")</f>
        <v>prettygirls.www</v>
      </c>
      <c r="C98" s="281" t="str">
        <f>IFERROR(__xludf.DUMMYFUNCTION("""COMPUTED_VALUE"""),"https://www.tiktok.com/@prettygirls.www")</f>
        <v>https://www.tiktok.com/@prettygirls.www</v>
      </c>
      <c r="D98" s="270">
        <f>IFERROR(__xludf.DUMMYFUNCTION("""COMPUTED_VALUE"""),8.1936933668E10)</f>
        <v>81936933668</v>
      </c>
      <c r="E98" s="271">
        <f>IFERROR(__xludf.DUMMYFUNCTION("""COMPUTED_VALUE"""),0.0)</f>
        <v>0</v>
      </c>
      <c r="F98" s="270">
        <f>IFERROR(__xludf.DUMMYFUNCTION("""COMPUTED_VALUE"""),2.0)</f>
        <v>2</v>
      </c>
      <c r="G98" s="59" t="str">
        <f>IFERROR(__xludf.DUMMYFUNCTION("""COMPUTED_VALUE"""),"Rp103,9Jt")</f>
        <v>Rp103,9Jt</v>
      </c>
      <c r="H98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98" s="260" t="str">
        <f>IFERROR(__xludf.DUMMYFUNCTION("""COMPUTED_VALUE"""),"Done Req Sample")</f>
        <v>Done Req Sample</v>
      </c>
      <c r="J98" s="333"/>
      <c r="K98" s="262"/>
      <c r="L98" s="333"/>
      <c r="M98" s="262"/>
      <c r="N98" s="333"/>
      <c r="O98" s="17"/>
      <c r="P98" s="333"/>
      <c r="Q98" s="17"/>
      <c r="R98" s="266">
        <f>IFERROR(__xludf.DUMMYFUNCTION("""COMPUTED_VALUE"""),0.0)</f>
        <v>0</v>
      </c>
      <c r="S98" s="266"/>
      <c r="T98" s="266"/>
      <c r="U98" s="266"/>
    </row>
    <row r="99">
      <c r="A99" s="255" t="str">
        <f>IFERROR(__xludf.DUMMYFUNCTION("""COMPUTED_VALUE"""),"NANO")</f>
        <v>NANO</v>
      </c>
      <c r="B99" s="23" t="str">
        <f>IFERROR(__xludf.DUMMYFUNCTION("""COMPUTED_VALUE"""),"kim.ivy18")</f>
        <v>kim.ivy18</v>
      </c>
      <c r="C99" s="281" t="str">
        <f>IFERROR(__xludf.DUMMYFUNCTION("""COMPUTED_VALUE"""),"https://www.tiktok.com/@kim.ivy18")</f>
        <v>https://www.tiktok.com/@kim.ivy18</v>
      </c>
      <c r="D99" s="270">
        <f>IFERROR(__xludf.DUMMYFUNCTION("""COMPUTED_VALUE"""),8.5137917799E10)</f>
        <v>85137917799</v>
      </c>
      <c r="E99" s="271">
        <f>IFERROR(__xludf.DUMMYFUNCTION("""COMPUTED_VALUE"""),0.0)</f>
        <v>0</v>
      </c>
      <c r="F99" s="270">
        <f>IFERROR(__xludf.DUMMYFUNCTION("""COMPUTED_VALUE"""),2.0)</f>
        <v>2</v>
      </c>
      <c r="G99" s="59" t="str">
        <f>IFERROR(__xludf.DUMMYFUNCTION("""COMPUTED_VALUE"""),"Rp114,2JT")</f>
        <v>Rp114,2JT</v>
      </c>
      <c r="H99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99" s="260" t="str">
        <f>IFERROR(__xludf.DUMMYFUNCTION("""COMPUTED_VALUE"""),"Done Req Sample")</f>
        <v>Done Req Sample</v>
      </c>
      <c r="J99" s="333"/>
      <c r="K99" s="262"/>
      <c r="L99" s="333"/>
      <c r="M99" s="262"/>
      <c r="N99" s="333"/>
      <c r="O99" s="17"/>
      <c r="P99" s="333"/>
      <c r="Q99" s="17"/>
      <c r="R99" s="266">
        <f>IFERROR(__xludf.DUMMYFUNCTION("""COMPUTED_VALUE"""),0.0)</f>
        <v>0</v>
      </c>
      <c r="S99" s="266"/>
      <c r="T99" s="266"/>
      <c r="U99" s="266"/>
    </row>
    <row r="100">
      <c r="A100" s="255" t="str">
        <f>IFERROR(__xludf.DUMMYFUNCTION("""COMPUTED_VALUE"""),"NANO")</f>
        <v>NANO</v>
      </c>
      <c r="B100" s="23" t="str">
        <f>IFERROR(__xludf.DUMMYFUNCTION("""COMPUTED_VALUE"""),"niacamallo")</f>
        <v>niacamallo</v>
      </c>
      <c r="C100" s="281" t="str">
        <f>IFERROR(__xludf.DUMMYFUNCTION("""COMPUTED_VALUE"""),"https://www.tiktok.com/@niacamallo")</f>
        <v>https://www.tiktok.com/@niacamallo</v>
      </c>
      <c r="D100" s="270">
        <f>IFERROR(__xludf.DUMMYFUNCTION("""COMPUTED_VALUE"""),8.2334141047E10)</f>
        <v>82334141047</v>
      </c>
      <c r="E100" s="271">
        <f>IFERROR(__xludf.DUMMYFUNCTION("""COMPUTED_VALUE"""),0.0)</f>
        <v>0</v>
      </c>
      <c r="F100" s="270">
        <f>IFERROR(__xludf.DUMMYFUNCTION("""COMPUTED_VALUE"""),2.0)</f>
        <v>2</v>
      </c>
      <c r="G100" s="59" t="str">
        <f>IFERROR(__xludf.DUMMYFUNCTION("""COMPUTED_VALUE"""),"Rp224,4JT")</f>
        <v>Rp224,4JT</v>
      </c>
      <c r="H100" s="277" t="str">
        <f>IFERROR(__xludf.DUMMYFUNCTION("""COMPUTED_VALUE"""),"Brightening &amp; Soothing Toner")</f>
        <v>Brightening &amp; Soothing Toner</v>
      </c>
      <c r="I100" s="260" t="str">
        <f>IFERROR(__xludf.DUMMYFUNCTION("""COMPUTED_VALUE"""),"Sampai")</f>
        <v>Sampai</v>
      </c>
      <c r="J100" s="333" t="str">
        <f>IFERROR(__xludf.DUMMYFUNCTION("""COMPUTED_VALUE"""),"Concept 3")</f>
        <v>Concept 3</v>
      </c>
      <c r="K100" s="278" t="str">
        <f>IFERROR(__xludf.DUMMYFUNCTION("""COMPUTED_VALUE"""),"https://vt.tiktok.com/ZSHu3oS2P/")</f>
        <v>https://vt.tiktok.com/ZSHu3oS2P/</v>
      </c>
      <c r="L100" s="333" t="str">
        <f>IFERROR(__xludf.DUMMYFUNCTION("""COMPUTED_VALUE"""),"Concept 3")</f>
        <v>Concept 3</v>
      </c>
      <c r="M100" s="278" t="str">
        <f>IFERROR(__xludf.DUMMYFUNCTION("""COMPUTED_VALUE"""),"https://www.tiktok.com/@niacamallo/video/7626616771738438919?_r=1&amp;u_code=dah368f8m5cege&amp;region=&amp;mid=7596631294790142741&amp;preview_pb=0&amp;sharer_language=&amp;_d=0&amp;ec_shared_reflux_dynamic_params=%7B%22placeholder_material_id%22%3A%227626616771738438919%22%2C%22pl"&amp;"aceholder_origin_cover%22%3A%22https%253A%252F%252Fp16-common-sign.tiktokcdn.com%252Ftos-alisg-p-0037%252Fo45yGD1TIAUjeZCEvBLEKP93TIDRgqFDpXBhXf~tplv-tiktokx-origin.jpeg%253Fdr%253D14572%2526refresh_token%253D46daa140%2526x-expires%253D1810980000%2526x-si"&amp;"gnature%253DUqDaywd6lniO5xNgFddr%25252F0fWiVI%25253D%2526t%253D4d5b0474%2526ps%253D13740610%2526shp%253Dd05b14bd%2526shcp%253D34ff8df6%2526idc%253Dmy2%2526s%253DTIKTOK_AFFILIATE_VIRAL_VIDEO%22%2C%22placeholder_product_id%22%3A%221734428346458932627%22%2C%"&amp;"22placeholder_video_id%22%3A%227626616771738438919%22%7D&amp;ec_shared_reflux_scene=shop_tab_feed&amp;share_item_id=7626616771738438919&amp;source=h5_t")</f>
        <v>https://www.tiktok.com/@niacamallo/video/7626616771738438919?_r=1&amp;u_code=dah368f8m5cege&amp;region=&amp;mid=7596631294790142741&amp;preview_pb=0&amp;sharer_language=&amp;_d=0&amp;ec_shared_reflux_dynamic_params=%7B%22placeholder_material_id%22%3A%227626616771738438919%22%2C%22placeholder_origin_cover%22%3A%22https%253A%252F%252Fp16-common-sign.tiktokcdn.com%252Ftos-alisg-p-0037%252Fo45yGD1TIAUjeZCEvBLEKP93TIDRgqFDpXBhXf~tplv-tiktokx-origin.jpeg%253Fdr%253D14572%2526refresh_token%253D46daa140%2526x-expires%253D1810980000%2526x-signature%253DUqDaywd6lniO5xNgFddr%25252F0fWiVI%25253D%2526t%253D4d5b0474%2526ps%253D13740610%2526shp%253Dd05b14bd%2526shcp%253D34ff8df6%2526idc%253Dmy2%2526s%253DTIKTOK_AFFILIATE_VIRAL_VIDEO%22%2C%22placeholder_product_id%22%3A%221734428346458932627%22%2C%22placeholder_video_id%22%3A%227626616771738438919%22%7D&amp;ec_shared_reflux_scene=shop_tab_feed&amp;share_item_id=7626616771738438919&amp;source=h5_t</v>
      </c>
      <c r="N100" s="333" t="str">
        <f>IFERROR(__xludf.DUMMYFUNCTION("""COMPUTED_VALUE"""),"Concept 3")</f>
        <v>Concept 3</v>
      </c>
      <c r="O100" s="279" t="str">
        <f>IFERROR(__xludf.DUMMYFUNCTION("""COMPUTED_VALUE"""),"https://www.tiktok.com/@niacamallo/video/7626616771738438919?_r=1&amp;u_code=dah368f8m5cege&amp;region=&amp;mid=7596631294790142741&amp;preview_pb=0&amp;sharer_language=&amp;_d=0&amp;ec_shared_reflux_dynamic_params=%7B%22placeholder_material_id%22%3A%227626616771738438919%22%2C%22pl"&amp;"aceholder_origin_cover%22%3A%22https%253A%252F%252Fp16-common-sign.tiktokcdn.com%252Ftos-alisg-p-0037%252Fo45yGD1TIAUjeZCEvBLEKP93TIDRgqFDpXBhXf~tplv-tiktokx-origin.jpeg%253Fdr%253D14572%2526refresh_token%253Dacf86f8b%2526x-expires%253D1811239200%2526x-si"&amp;"gnature%253DhPN5SO6DDqXgfpoSOB3BrdiNj08%25253D%2526t%253D4d5b0474%2526ps%253D13740610%2526shp%253Dd05b14bd%2526shcp%253D34ff8df6%2526idc%253Dmy3%2526s%253DTIKTOK_AFFILIATE_VIRAL_VIDEO%22%2C%22placeholder_product_id%22%3A%221734428346458932627%22%2C%22plac"&amp;"eholder_video_id%22%3A%227626616771738438919%22%7D&amp;ec_shared_reflux_scene=shop_tab_feed&amp;share_item_id=7626616771738438919&amp;source=h5_t")</f>
        <v>https://www.tiktok.com/@niacamallo/video/7626616771738438919?_r=1&amp;u_code=dah368f8m5cege&amp;region=&amp;mid=7596631294790142741&amp;preview_pb=0&amp;sharer_language=&amp;_d=0&amp;ec_shared_reflux_dynamic_params=%7B%22placeholder_material_id%22%3A%227626616771738438919%22%2C%22placeholder_origin_cover%22%3A%22https%253A%252F%252Fp16-common-sign.tiktokcdn.com%252Ftos-alisg-p-0037%252Fo45yGD1TIAUjeZCEvBLEKP93TIDRgqFDpXBhXf~tplv-tiktokx-origin.jpeg%253Fdr%253D14572%2526refresh_token%253Dacf86f8b%2526x-expires%253D1811239200%2526x-signature%253DhPN5SO6DDqXgfpoSOB3BrdiNj08%25253D%2526t%253D4d5b0474%2526ps%253D13740610%2526shp%253Dd05b14bd%2526shcp%253D34ff8df6%2526idc%253Dmy3%2526s%253DTIKTOK_AFFILIATE_VIRAL_VIDEO%22%2C%22placeholder_product_id%22%3A%221734428346458932627%22%2C%22placeholder_video_id%22%3A%227626616771738438919%22%7D&amp;ec_shared_reflux_scene=shop_tab_feed&amp;share_item_id=7626616771738438919&amp;source=h5_t</v>
      </c>
      <c r="P100" s="333"/>
      <c r="Q100" s="17"/>
      <c r="R100" s="266">
        <f>IFERROR(__xludf.DUMMYFUNCTION("""COMPUTED_VALUE"""),13680.0)</f>
        <v>13680</v>
      </c>
      <c r="S100" s="266"/>
      <c r="T100" s="266"/>
      <c r="U100" s="266"/>
    </row>
    <row r="101">
      <c r="A101" s="255" t="str">
        <f>IFERROR(__xludf.DUMMYFUNCTION("""COMPUTED_VALUE"""),"NANO")</f>
        <v>NANO</v>
      </c>
      <c r="B101" s="23" t="str">
        <f>IFERROR(__xludf.DUMMYFUNCTION("""COMPUTED_VALUE"""),"meamore42")</f>
        <v>meamore42</v>
      </c>
      <c r="C101" s="281" t="str">
        <f>IFERROR(__xludf.DUMMYFUNCTION("""COMPUTED_VALUE"""),"https://www.tiktok.com/@meamore42")</f>
        <v>https://www.tiktok.com/@meamore42</v>
      </c>
      <c r="D101" s="270">
        <f>IFERROR(__xludf.DUMMYFUNCTION("""COMPUTED_VALUE"""),8.5727007908E10)</f>
        <v>85727007908</v>
      </c>
      <c r="E101" s="271">
        <f>IFERROR(__xludf.DUMMYFUNCTION("""COMPUTED_VALUE"""),0.0)</f>
        <v>0</v>
      </c>
      <c r="F101" s="270">
        <f>IFERROR(__xludf.DUMMYFUNCTION("""COMPUTED_VALUE"""),1.0)</f>
        <v>1</v>
      </c>
      <c r="G101" s="59" t="str">
        <f>IFERROR(__xludf.DUMMYFUNCTION("""COMPUTED_VALUE"""),"Rp71,1JT")</f>
        <v>Rp71,1JT</v>
      </c>
      <c r="H101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101" s="260" t="str">
        <f>IFERROR(__xludf.DUMMYFUNCTION("""COMPUTED_VALUE"""),"Sampai")</f>
        <v>Sampai</v>
      </c>
      <c r="J101" s="333" t="str">
        <f>IFERROR(__xludf.DUMMYFUNCTION("""COMPUTED_VALUE"""),"Concept 3")</f>
        <v>Concept 3</v>
      </c>
      <c r="K101" s="278" t="str">
        <f>IFERROR(__xludf.DUMMYFUNCTION("""COMPUTED_VALUE"""),"https://vt.tiktok.com/ZSHbNnwcM/")</f>
        <v>https://vt.tiktok.com/ZSHbNnwcM/</v>
      </c>
      <c r="L101" s="333" t="str">
        <f>IFERROR(__xludf.DUMMYFUNCTION("""COMPUTED_VALUE"""),"Concept 3")</f>
        <v>Concept 3</v>
      </c>
      <c r="M101" s="278" t="str">
        <f>IFERROR(__xludf.DUMMYFUNCTION("""COMPUTED_VALUE"""),"https://www.tiktok.com/@meamore42/video/7628128422148984082?_r=1&amp;u_code=ee8d791ik7h785&amp;region=&amp;mid=7593347977686599681&amp;preview_pb=0&amp;sharer_language=&amp;_d=0&amp;ec_shared_reflux_dynamic_params=%7B%22placeholder_material_id%22%3A%227628128422148984082%22%2C%22pla"&amp;"ceholder_origin_cover%22%3A%22https%253A%252F%252Fp16-common-sign.tiktokcdn.com%252Ftos-alisg-p-0037%252FowuV7xlIwI0aCjuAi0kwQbByiFfCAAm1HIpc6B~tplv-tiktokx-origin.jpeg%253Fdr%253D14572%2526refresh_token%253D4ab62ee8%2526x-expires%253D1807956000%2526x-sig"&amp;"nature%253DSJAUzwgyWMtQF9Pv5r3LlJaiMyc%25253D%2526t%253D4d5b0474%2526ps%253D13740610%2526shp%253Dd05b14bd%2526shcp%253D34ff8df6%2526idc%253Dmy3%2526s%253DTIKTOK_AFFILIATE_VIRAL_VIDEO%22%2C%22placeholder_product_id%22%3A%221734428324539958675%22%2C%22place"&amp;"holder_video_id%22%3A%227628128422148984082%22%7D&amp;ec_shared_reflux_scene=shop_tab_feed&amp;share_item_id=7628128422148984082&amp;source=h5_t")</f>
        <v>https://www.tiktok.com/@meamore42/video/7628128422148984082?_r=1&amp;u_code=ee8d791ik7h785&amp;region=&amp;mid=7593347977686599681&amp;preview_pb=0&amp;sharer_language=&amp;_d=0&amp;ec_shared_reflux_dynamic_params=%7B%22placeholder_material_id%22%3A%227628128422148984082%22%2C%22placeholder_origin_cover%22%3A%22https%253A%252F%252Fp16-common-sign.tiktokcdn.com%252Ftos-alisg-p-0037%252FowuV7xlIwI0aCjuAi0kwQbByiFfCAAm1HIpc6B~tplv-tiktokx-origin.jpeg%253Fdr%253D14572%2526refresh_token%253D4ab62ee8%2526x-expires%253D1807956000%2526x-signature%253DSJAUzwgyWMtQF9Pv5r3LlJaiMyc%25253D%2526t%253D4d5b0474%2526ps%253D13740610%2526shp%253Dd05b14bd%2526shcp%253D34ff8df6%2526idc%253Dmy3%2526s%253DTIKTOK_AFFILIATE_VIRAL_VIDEO%22%2C%22placeholder_product_id%22%3A%221734428324539958675%22%2C%22placeholder_video_id%22%3A%227628128422148984082%22%7D&amp;ec_shared_reflux_scene=shop_tab_feed&amp;share_item_id=7628128422148984082&amp;source=h5_t</v>
      </c>
      <c r="N101" s="333"/>
      <c r="O101" s="17"/>
      <c r="P101" s="333"/>
      <c r="Q101" s="17"/>
      <c r="R101" s="266">
        <f>IFERROR(__xludf.DUMMYFUNCTION("""COMPUTED_VALUE"""),0.0)</f>
        <v>0</v>
      </c>
      <c r="S101" s="266"/>
      <c r="T101" s="266"/>
      <c r="U101" s="266"/>
    </row>
    <row r="102">
      <c r="A102" s="255" t="str">
        <f>IFERROR(__xludf.DUMMYFUNCTION("""COMPUTED_VALUE"""),"NANO")</f>
        <v>NANO</v>
      </c>
      <c r="B102" s="23" t="str">
        <f>IFERROR(__xludf.DUMMYFUNCTION("""COMPUTED_VALUE"""),"_nidini_")</f>
        <v>_nidini_</v>
      </c>
      <c r="C102" s="281" t="str">
        <f>IFERROR(__xludf.DUMMYFUNCTION("""COMPUTED_VALUE"""),"https://www.tiktok.com/@_nidini_")</f>
        <v>https://www.tiktok.com/@_nidini_</v>
      </c>
      <c r="D102" s="270">
        <f>IFERROR(__xludf.DUMMYFUNCTION("""COMPUTED_VALUE"""),8.23132207E10)</f>
        <v>82313220700</v>
      </c>
      <c r="E102" s="271">
        <f>IFERROR(__xludf.DUMMYFUNCTION("""COMPUTED_VALUE"""),0.0)</f>
        <v>0</v>
      </c>
      <c r="F102" s="270">
        <f>IFERROR(__xludf.DUMMYFUNCTION("""COMPUTED_VALUE"""),3.0)</f>
        <v>3</v>
      </c>
      <c r="G102" s="59" t="str">
        <f>IFERROR(__xludf.DUMMYFUNCTION("""COMPUTED_VALUE"""),"Rp27,3JT")</f>
        <v>Rp27,3JT</v>
      </c>
      <c r="H102" s="277" t="str">
        <f>IFERROR(__xludf.DUMMYFUNCTION("""COMPUTED_VALUE"""),"NEW! OMG Acne &amp; Oil Control UV Barrier Sunscreen SPF50 PA++++ ")</f>
        <v>NEW! OMG Acne &amp; Oil Control UV Barrier Sunscreen SPF50 PA++++ </v>
      </c>
      <c r="I102" s="260" t="str">
        <f>IFERROR(__xludf.DUMMYFUNCTION("""COMPUTED_VALUE"""),"Sampai")</f>
        <v>Sampai</v>
      </c>
      <c r="J102" s="333" t="str">
        <f>IFERROR(__xludf.DUMMYFUNCTION("""COMPUTED_VALUE"""),"Concept 3")</f>
        <v>Concept 3</v>
      </c>
      <c r="K102" s="278" t="str">
        <f>IFERROR(__xludf.DUMMYFUNCTION("""COMPUTED_VALUE"""),"https://www.tiktok.com/@_nidini_/video/7614394165325008148?_r=1&amp;u_code=dg51ha65hgcb2f&amp;region=&amp;mid=7611563246771800848&amp;preview_pb=0&amp;sharer_language=&amp;_d=0&amp;ec_shared_reflux_dynamic_params=%7B%22placeholder_material_id%22%3A%227614394165325008148%22%2C%22plac"&amp;"eholder_origin_cover%22%3A%22https%253A%252F%252Fp16-sign-sg.tiktokcdn.com%252Ftos-alisg-p-0037%252FoETA4zvlvCvg4ALjoDtgSM9IyVInAfe6eYDGI4~tplv-tiktokx-origin.jpeg%253Fdr%253D14572%2526refresh_token%253D05e8efc3%2526x-expires%253D1804564800%2526x-signatur"&amp;"e%253Dd1cgGGNMMwpK9LqgjuLKP9oJQlU%25253D%2526t%253D4d5b0474%2526ps%253D13740610%2526shp%253Dd05b14bd%2526shcp%253D34ff8df6%2526idc%253Dmy2%2526s%253DTIKTOK_AFFILIATE_VIRAL_VIDEO%22%2C%22placeholder_product_id%22%3A%221733551239648413075%22%2C%22placeholde"&amp;"r_video_id%22%3A%227614394165325008148%22%7D&amp;ec_shared_reflux_scene=shop_tab_feed&amp;share_item_id=7614394165325008148&amp;source=h5_t")</f>
        <v>https://www.tiktok.com/@_nidini_/video/7614394165325008148?_r=1&amp;u_code=dg51ha65hgcb2f&amp;region=&amp;mid=7611563246771800848&amp;preview_pb=0&amp;sharer_language=&amp;_d=0&amp;ec_shared_reflux_dynamic_params=%7B%22placeholder_material_id%22%3A%227614394165325008148%22%2C%22placeholder_origin_cover%22%3A%22https%253A%252F%252Fp16-sign-sg.tiktokcdn.com%252Ftos-alisg-p-0037%252FoETA4zvlvCvg4ALjoDtgSM9IyVInAfe6eYDGI4~tplv-tiktokx-origin.jpeg%253Fdr%253D14572%2526refresh_token%253D05e8efc3%2526x-expires%253D1804564800%2526x-signature%253Dd1cgGGNMMwpK9LqgjuLKP9oJQlU%25253D%2526t%253D4d5b0474%2526ps%253D13740610%2526shp%253Dd05b14bd%2526shcp%253D34ff8df6%2526idc%253Dmy2%2526s%253DTIKTOK_AFFILIATE_VIRAL_VIDEO%22%2C%22placeholder_product_id%22%3A%221733551239648413075%22%2C%22placeholder_video_id%22%3A%227614394165325008148%22%7D&amp;ec_shared_reflux_scene=shop_tab_feed&amp;share_item_id=7614394165325008148&amp;source=h5_t</v>
      </c>
      <c r="L102" s="333" t="str">
        <f>IFERROR(__xludf.DUMMYFUNCTION("""COMPUTED_VALUE"""),"Concept 3")</f>
        <v>Concept 3</v>
      </c>
      <c r="M102" s="278" t="str">
        <f>IFERROR(__xludf.DUMMYFUNCTION("""COMPUTED_VALUE"""),"https://www.tiktok.com/@_nidini_/video/7614519537182035220?_r=1&amp;u_code=dg51ha65hgcb2f&amp;region=&amp;mid=7610948525825034256&amp;preview_pb=0&amp;sharer_language=&amp;_d=0&amp;ec_shared_reflux_dynamic_params=%7B%22placeholder_material_id%22%3A%227614519537182035220%22%2C%22plac"&amp;"eholder_origin_cover%22%3A%22https%253A%252F%252Fp16-sign-sg.tiktokcdn.com%252Ftos-alisg-p-0037%252FokcAXYWAINai1hIBWXxiEWlvaBsCWBwkTasHJ~tplv-tiktokx-origin.jpeg%253Fdr%253D14572%2526refresh_token%253D79834e8a%2526x-expires%253D1804564800%2526x-signature"&amp;"%253DFkJ091STV85Sgm5aBYhUo9aRXB0%25253D%2526t%253D4d5b0474%2526ps%253D13740610%2526shp%253Dd05b14bd%2526shcp%253D34ff8df6%2526idc%253Dmy2%2526s%253DTIKTOK_AFFILIATE_VIRAL_VIDEO%22%2C%22placeholder_product_id%22%3A%221733551239648413075%22%2C%22placeholder"&amp;"_video_id%22%3A%227614519537182035220%22%7D&amp;ec_shared_reflux_scene=shop_tab_feed&amp;share_item_id=7614519537182035220&amp;source=h5_t")</f>
        <v>https://www.tiktok.com/@_nidini_/video/7614519537182035220?_r=1&amp;u_code=dg51ha65hgcb2f&amp;region=&amp;mid=7610948525825034256&amp;preview_pb=0&amp;sharer_language=&amp;_d=0&amp;ec_shared_reflux_dynamic_params=%7B%22placeholder_material_id%22%3A%227614519537182035220%22%2C%22placeholder_origin_cover%22%3A%22https%253A%252F%252Fp16-sign-sg.tiktokcdn.com%252Ftos-alisg-p-0037%252FokcAXYWAINai1hIBWXxiEWlvaBsCWBwkTasHJ~tplv-tiktokx-origin.jpeg%253Fdr%253D14572%2526refresh_token%253D79834e8a%2526x-expires%253D1804564800%2526x-signature%253DFkJ091STV85Sgm5aBYhUo9aRXB0%25253D%2526t%253D4d5b0474%2526ps%253D13740610%2526shp%253Dd05b14bd%2526shcp%253D34ff8df6%2526idc%253Dmy2%2526s%253DTIKTOK_AFFILIATE_VIRAL_VIDEO%22%2C%22placeholder_product_id%22%3A%221733551239648413075%22%2C%22placeholder_video_id%22%3A%227614519537182035220%22%7D&amp;ec_shared_reflux_scene=shop_tab_feed&amp;share_item_id=7614519537182035220&amp;source=h5_t</v>
      </c>
      <c r="N102" s="333" t="str">
        <f>IFERROR(__xludf.DUMMYFUNCTION("""COMPUTED_VALUE"""),"Concept 3")</f>
        <v>Concept 3</v>
      </c>
      <c r="O102" s="279" t="str">
        <f>IFERROR(__xludf.DUMMYFUNCTION("""COMPUTED_VALUE"""),"https://www.tiktok.com/@_nidini_/video/7620861927677545748?_r=1&amp;u_code=dg51ha65hgcb2f&amp;region=&amp;mid=7517218437312678672&amp;preview_pb=0&amp;sharer_language=&amp;_d=0&amp;ec_shared_reflux_dynamic_params=%7B%22placeholder_material_id%22%3A%227620861927677545748%22%2C%22plac"&amp;"eholder_origin_cover%22%3A%22https%253A%252F%252Fp16-sign-sg.tiktokcdn.com%252Ftos-alisg-p-0037%252FosLIoIv4AArDDaXejLevXTGCiAhRbIIcZZfjCC~tplv-tiktokx-origin.jpeg%253Fdr%253D14572%2526refresh_token%253Db2ffd9f6%2526x-expires%253D1805940000%2526x-signatur"&amp;"e%253DilQeFsusCgK50gspgjqAHNMGRUo%25253D%2526t%253D4d5b0474%2526ps%253D13740610%2526shp%253Dd05b14bd%2526shcp%253D34ff8df6%2526idc%253Dmy2%2526s%253DTIKTOK_AFFILIATE_VIRAL_VIDEO%22%2C%22placeholder_product_id%22%3A%221733551239648413075%22%2C%22placeholde"&amp;"r_video_id%22%3A%227620861927677545748%22%7D&amp;ec_shared_reflux_scene=shop_tab_feed&amp;share_item_id=7620861927677545748&amp;source=h5_t")</f>
        <v>https://www.tiktok.com/@_nidini_/video/7620861927677545748?_r=1&amp;u_code=dg51ha65hgcb2f&amp;region=&amp;mid=7517218437312678672&amp;preview_pb=0&amp;sharer_language=&amp;_d=0&amp;ec_shared_reflux_dynamic_params=%7B%22placeholder_material_id%22%3A%227620861927677545748%22%2C%22placeholder_origin_cover%22%3A%22https%253A%252F%252Fp16-sign-sg.tiktokcdn.com%252Ftos-alisg-p-0037%252FosLIoIv4AArDDaXejLevXTGCiAhRbIIcZZfjCC~tplv-tiktokx-origin.jpeg%253Fdr%253D14572%2526refresh_token%253Db2ffd9f6%2526x-expires%253D1805940000%2526x-signature%253DilQeFsusCgK50gspgjqAHNMGRUo%25253D%2526t%253D4d5b0474%2526ps%253D13740610%2526shp%253Dd05b14bd%2526shcp%253D34ff8df6%2526idc%253Dmy2%2526s%253DTIKTOK_AFFILIATE_VIRAL_VIDEO%22%2C%22placeholder_product_id%22%3A%221733551239648413075%22%2C%22placeholder_video_id%22%3A%227620861927677545748%22%7D&amp;ec_shared_reflux_scene=shop_tab_feed&amp;share_item_id=7620861927677545748&amp;source=h5_t</v>
      </c>
      <c r="P102" s="333" t="str">
        <f>IFERROR(__xludf.DUMMYFUNCTION("""COMPUTED_VALUE"""),"Concept 3")</f>
        <v>Concept 3</v>
      </c>
      <c r="Q102" s="279" t="str">
        <f>IFERROR(__xludf.DUMMYFUNCTION("""COMPUTED_VALUE"""),"https://www.tiktok.com/@_nidini_/video/7621744686964788500?_r=1&amp;u_code=dg51ha65hgcb2f&amp;region=&amp;mid=7601737673280195348&amp;preview_pb=0&amp;sharer_language=&amp;_d=0&amp;ec_shared_reflux_dynamic_params=%7B%22placeholder_material_id%22%3A%227621744686964788500%22%2C%22plac"&amp;"eholder_origin_cover%22%3A%22https%253A%252F%252Fp16-sign-sg.tiktokcdn.com%252Ftos-alisg-p-0037%252FoQ4QAIPDGf3QnA4eFswFf3HgqzLGRFL7Qf2GPI~tplv-tiktokx-origin.jpeg%253Fdr%253D14572%2526refresh_token%253D800d418f%2526x-expires%253D1806483600%2526x-signatur"&amp;"e%253DjJvYWc1e8mUo7aWxN9x%25252FieFCPGI%25253D%2526t%253D4d5b0474%2526ps%253D13740610%2526shp%253Dd05b14bd%2526shcp%253D34ff8df6%2526idc%253Dmy%2526s%253DTIKTOK_AFFILIATE_VIRAL_VIDEO%22%2C%22placeholder_product_id%22%3A%221733551239648413075%22%2C%22place"&amp;"holder_video_id%22%3A%227621744686964788500%22%7D&amp;ec_shared_reflux_scene=shop_tab_feed&amp;share_item_id=7621744686964788500&amp;source=h5_t")</f>
        <v>https://www.tiktok.com/@_nidini_/video/7621744686964788500?_r=1&amp;u_code=dg51ha65hgcb2f&amp;region=&amp;mid=7601737673280195348&amp;preview_pb=0&amp;sharer_language=&amp;_d=0&amp;ec_shared_reflux_dynamic_params=%7B%22placeholder_material_id%22%3A%227621744686964788500%22%2C%22placeholder_origin_cover%22%3A%22https%253A%252F%252Fp16-sign-sg.tiktokcdn.com%252Ftos-alisg-p-0037%252FoQ4QAIPDGf3QnA4eFswFf3HgqzLGRFL7Qf2GPI~tplv-tiktokx-origin.jpeg%253Fdr%253D14572%2526refresh_token%253D800d418f%2526x-expires%253D1806483600%2526x-signature%253DjJvYWc1e8mUo7aWxN9x%25252FieFCPGI%25253D%2526t%253D4d5b0474%2526ps%253D13740610%2526shp%253Dd05b14bd%2526shcp%253D34ff8df6%2526idc%253Dmy%2526s%253DTIKTOK_AFFILIATE_VIRAL_VIDEO%22%2C%22placeholder_product_id%22%3A%221733551239648413075%22%2C%22placeholder_video_id%22%3A%227621744686964788500%22%7D&amp;ec_shared_reflux_scene=shop_tab_feed&amp;share_item_id=7621744686964788500&amp;source=h5_t</v>
      </c>
      <c r="R102" s="266">
        <f>IFERROR(__xludf.DUMMYFUNCTION("""COMPUTED_VALUE"""),436874.0)</f>
        <v>436874</v>
      </c>
      <c r="S102" s="266">
        <f>IFERROR(__xludf.DUMMYFUNCTION("""COMPUTED_VALUE"""),0.0)</f>
        <v>0</v>
      </c>
      <c r="T102" s="266">
        <f>IFERROR(__xludf.DUMMYFUNCTION("""COMPUTED_VALUE"""),0.0)</f>
        <v>0</v>
      </c>
      <c r="U102" s="266">
        <f>IFERROR(__xludf.DUMMYFUNCTION("""COMPUTED_VALUE"""),0.0)</f>
        <v>0</v>
      </c>
    </row>
    <row r="103">
      <c r="A103" s="255" t="str">
        <f>IFERROR(__xludf.DUMMYFUNCTION("""COMPUTED_VALUE"""),"MICRO")</f>
        <v>MICRO</v>
      </c>
      <c r="B103" s="23" t="str">
        <f>IFERROR(__xludf.DUMMYFUNCTION("""COMPUTED_VALUE"""),"muhannah.fitria")</f>
        <v>muhannah.fitria</v>
      </c>
      <c r="C103" s="281" t="str">
        <f>IFERROR(__xludf.DUMMYFUNCTION("""COMPUTED_VALUE"""),"https://www.tiktok.com/@muhannah.fitria")</f>
        <v>https://www.tiktok.com/@muhannah.fitria</v>
      </c>
      <c r="D103" s="270">
        <f>IFERROR(__xludf.DUMMYFUNCTION("""COMPUTED_VALUE"""),8.5815210795E10)</f>
        <v>85815210795</v>
      </c>
      <c r="E103" s="271">
        <f>IFERROR(__xludf.DUMMYFUNCTION("""COMPUTED_VALUE"""),200000.0)</f>
        <v>200000</v>
      </c>
      <c r="F103" s="270">
        <f>IFERROR(__xludf.DUMMYFUNCTION("""COMPUTED_VALUE"""),1.0)</f>
        <v>1</v>
      </c>
      <c r="G103" s="59" t="str">
        <f>IFERROR(__xludf.DUMMYFUNCTION("""COMPUTED_VALUE"""),"Rp106,4JT")</f>
        <v>Rp106,4JT</v>
      </c>
      <c r="H103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103" s="260" t="str">
        <f>IFERROR(__xludf.DUMMYFUNCTION("""COMPUTED_VALUE"""),"Sampai")</f>
        <v>Sampai</v>
      </c>
      <c r="J103" s="333" t="str">
        <f>IFERROR(__xludf.DUMMYFUNCTION("""COMPUTED_VALUE"""),"Concept 3")</f>
        <v>Concept 3</v>
      </c>
      <c r="K103" s="278" t="str">
        <f>IFERROR(__xludf.DUMMYFUNCTION("""COMPUTED_VALUE"""),"https://vt.tiktok.com/ZSHuK4yCM/")</f>
        <v>https://vt.tiktok.com/ZSHuK4yCM/</v>
      </c>
      <c r="L103" s="333"/>
      <c r="M103" s="262"/>
      <c r="N103" s="333"/>
      <c r="O103" s="17"/>
      <c r="P103" s="333"/>
      <c r="Q103" s="17"/>
      <c r="R103" s="266">
        <f>IFERROR(__xludf.DUMMYFUNCTION("""COMPUTED_VALUE"""),0.0)</f>
        <v>0</v>
      </c>
      <c r="S103" s="266"/>
      <c r="T103" s="266"/>
      <c r="U103" s="266"/>
    </row>
    <row r="104">
      <c r="A104" s="255" t="str">
        <f>IFERROR(__xludf.DUMMYFUNCTION("""COMPUTED_VALUE"""),"MICRO")</f>
        <v>MICRO</v>
      </c>
      <c r="B104" s="23" t="str">
        <f>IFERROR(__xludf.DUMMYFUNCTION("""COMPUTED_VALUE"""),"nanadd0.7")</f>
        <v>nanadd0.7</v>
      </c>
      <c r="C104" s="281" t="str">
        <f>IFERROR(__xludf.DUMMYFUNCTION("""COMPUTED_VALUE"""),"https://www.tiktok.com/@nanadd0.7")</f>
        <v>https://www.tiktok.com/@nanadd0.7</v>
      </c>
      <c r="D104" s="270">
        <f>IFERROR(__xludf.DUMMYFUNCTION("""COMPUTED_VALUE"""),8.317583747E10)</f>
        <v>83175837470</v>
      </c>
      <c r="E104" s="271">
        <f>IFERROR(__xludf.DUMMYFUNCTION("""COMPUTED_VALUE"""),0.0)</f>
        <v>0</v>
      </c>
      <c r="F104" s="270">
        <f>IFERROR(__xludf.DUMMYFUNCTION("""COMPUTED_VALUE"""),2.0)</f>
        <v>2</v>
      </c>
      <c r="G104" s="59" t="str">
        <f>IFERROR(__xludf.DUMMYFUNCTION("""COMPUTED_VALUE"""),"Rp1JT+")</f>
        <v>Rp1JT+</v>
      </c>
      <c r="H104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104" s="260" t="str">
        <f>IFERROR(__xludf.DUMMYFUNCTION("""COMPUTED_VALUE"""),"Sampai")</f>
        <v>Sampai</v>
      </c>
      <c r="J104" s="333" t="str">
        <f>IFERROR(__xludf.DUMMYFUNCTION("""COMPUTED_VALUE"""),"Concept 3")</f>
        <v>Concept 3</v>
      </c>
      <c r="K104" s="278" t="str">
        <f>IFERROR(__xludf.DUMMYFUNCTION("""COMPUTED_VALUE"""),"https://vt.tiktok.com/ZSHxj33eH/")</f>
        <v>https://vt.tiktok.com/ZSHxj33eH/</v>
      </c>
      <c r="L104" s="333"/>
      <c r="M104" s="262"/>
      <c r="N104" s="333"/>
      <c r="O104" s="17"/>
      <c r="P104" s="333"/>
      <c r="Q104" s="17"/>
      <c r="R104" s="266">
        <f>IFERROR(__xludf.DUMMYFUNCTION("""COMPUTED_VALUE"""),0.0)</f>
        <v>0</v>
      </c>
      <c r="S104" s="266"/>
      <c r="T104" s="266"/>
      <c r="U104" s="266"/>
    </row>
    <row r="105">
      <c r="A105" s="255" t="str">
        <f>IFERROR(__xludf.DUMMYFUNCTION("""COMPUTED_VALUE"""),"MICRO")</f>
        <v>MICRO</v>
      </c>
      <c r="B105" s="23" t="str">
        <f>IFERROR(__xludf.DUMMYFUNCTION("""COMPUTED_VALUE"""),"rannmovv")</f>
        <v>rannmovv</v>
      </c>
      <c r="C105" s="281" t="str">
        <f>IFERROR(__xludf.DUMMYFUNCTION("""COMPUTED_VALUE"""),"https://www.tiktok.com/@rannmovv")</f>
        <v>https://www.tiktok.com/@rannmovv</v>
      </c>
      <c r="D105" s="270">
        <f>IFERROR(__xludf.DUMMYFUNCTION("""COMPUTED_VALUE"""),8.5334342459E10)</f>
        <v>85334342459</v>
      </c>
      <c r="E105" s="271">
        <f>IFERROR(__xludf.DUMMYFUNCTION("""COMPUTED_VALUE"""),402500.0)</f>
        <v>402500</v>
      </c>
      <c r="F105" s="270">
        <f>IFERROR(__xludf.DUMMYFUNCTION("""COMPUTED_VALUE"""),1.0)</f>
        <v>1</v>
      </c>
      <c r="G105" s="59" t="str">
        <f>IFERROR(__xludf.DUMMYFUNCTION("""COMPUTED_VALUE"""),"Rp38JT")</f>
        <v>Rp38JT</v>
      </c>
      <c r="H105" s="277" t="str">
        <f>IFERROR(__xludf.DUMMYFUNCTION("""COMPUTED_VALUE"""),"Brightening &amp; Soothing Toner")</f>
        <v>Brightening &amp; Soothing Toner</v>
      </c>
      <c r="I105" s="260" t="str">
        <f>IFERROR(__xludf.DUMMYFUNCTION("""COMPUTED_VALUE"""),"Sampai")</f>
        <v>Sampai</v>
      </c>
      <c r="J105" s="333" t="str">
        <f>IFERROR(__xludf.DUMMYFUNCTION("""COMPUTED_VALUE"""),"Concept 3")</f>
        <v>Concept 3</v>
      </c>
      <c r="K105" s="278" t="str">
        <f>IFERROR(__xludf.DUMMYFUNCTION("""COMPUTED_VALUE"""),"https://vt.tiktok.com/ZSHuxpbja/")</f>
        <v>https://vt.tiktok.com/ZSHuxpbja/</v>
      </c>
      <c r="L105" s="333"/>
      <c r="M105" s="262"/>
      <c r="N105" s="333"/>
      <c r="O105" s="17"/>
      <c r="P105" s="333"/>
      <c r="Q105" s="17"/>
      <c r="R105" s="266">
        <f>IFERROR(__xludf.DUMMYFUNCTION("""COMPUTED_VALUE"""),174705.0)</f>
        <v>174705</v>
      </c>
      <c r="S105" s="266"/>
      <c r="T105" s="266">
        <f>IFERROR(__xludf.DUMMYFUNCTION("""COMPUTED_VALUE"""),2.7118136849999998E7)</f>
        <v>27118136.85</v>
      </c>
      <c r="U105" s="266"/>
    </row>
    <row r="106">
      <c r="A106" s="255" t="str">
        <f>IFERROR(__xludf.DUMMYFUNCTION("""COMPUTED_VALUE"""),"NANO")</f>
        <v>NANO</v>
      </c>
      <c r="B106" s="23" t="str">
        <f>IFERROR(__xludf.DUMMYFUNCTION("""COMPUTED_VALUE"""),"family_skincare")</f>
        <v>family_skincare</v>
      </c>
      <c r="C106" s="281" t="str">
        <f>IFERROR(__xludf.DUMMYFUNCTION("""COMPUTED_VALUE"""),"https://www.tiktok.com/@family_skincare")</f>
        <v>https://www.tiktok.com/@family_skincare</v>
      </c>
      <c r="D106" s="270">
        <f>IFERROR(__xludf.DUMMYFUNCTION("""COMPUTED_VALUE"""),8.2269191168E10)</f>
        <v>82269191168</v>
      </c>
      <c r="E106" s="271">
        <f>IFERROR(__xludf.DUMMYFUNCTION("""COMPUTED_VALUE"""),0.0)</f>
        <v>0</v>
      </c>
      <c r="F106" s="270">
        <f>IFERROR(__xludf.DUMMYFUNCTION("""COMPUTED_VALUE"""),2.0)</f>
        <v>2</v>
      </c>
      <c r="G106" s="59" t="str">
        <f>IFERROR(__xludf.DUMMYFUNCTION("""COMPUTED_VALUE"""),"Rp503,8JT")</f>
        <v>Rp503,8JT</v>
      </c>
      <c r="H106" s="277" t="str">
        <f>IFERROR(__xludf.DUMMYFUNCTION("""COMPUTED_VALUE"""),"Brightening &amp; Soothing Toner")</f>
        <v>Brightening &amp; Soothing Toner</v>
      </c>
      <c r="I106" s="260" t="str">
        <f>IFERROR(__xludf.DUMMYFUNCTION("""COMPUTED_VALUE"""),"Sampai")</f>
        <v>Sampai</v>
      </c>
      <c r="J106" s="333" t="str">
        <f>IFERROR(__xludf.DUMMYFUNCTION("""COMPUTED_VALUE"""),"Concept 3")</f>
        <v>Concept 3</v>
      </c>
      <c r="K106" s="278" t="str">
        <f>IFERROR(__xludf.DUMMYFUNCTION("""COMPUTED_VALUE"""),"https://vt.tiktok.com/ZSHMBwpJW/")</f>
        <v>https://vt.tiktok.com/ZSHMBwpJW/</v>
      </c>
      <c r="L106" s="333" t="str">
        <f>IFERROR(__xludf.DUMMYFUNCTION("""COMPUTED_VALUE"""),"Concept 3")</f>
        <v>Concept 3</v>
      </c>
      <c r="M106" s="278" t="str">
        <f>IFERROR(__xludf.DUMMYFUNCTION("""COMPUTED_VALUE"""),"https://vt.tiktok.com/ZSHMB4tQa/")</f>
        <v>https://vt.tiktok.com/ZSHMB4tQa/</v>
      </c>
      <c r="N106" s="333" t="str">
        <f>IFERROR(__xludf.DUMMYFUNCTION("""COMPUTED_VALUE"""),"Concept 3")</f>
        <v>Concept 3</v>
      </c>
      <c r="O106" s="279" t="str">
        <f>IFERROR(__xludf.DUMMYFUNCTION("""COMPUTED_VALUE"""),"https://vt.tiktok.com/ZSHMShhSy/")</f>
        <v>https://vt.tiktok.com/ZSHMShhSy/</v>
      </c>
      <c r="P106" s="333" t="str">
        <f>IFERROR(__xludf.DUMMYFUNCTION("""COMPUTED_VALUE"""),"Concept 3")</f>
        <v>Concept 3</v>
      </c>
      <c r="Q106" s="279" t="str">
        <f>IFERROR(__xludf.DUMMYFUNCTION("""COMPUTED_VALUE"""),"https://www.tiktok.com/@family_skincare/video/7624083265821216008?_r=1&amp;u_code=e9ci4k1c37j6dg&amp;region=&amp;mid=7291195404551490309&amp;preview_pb=0&amp;sharer_language=&amp;_d=0&amp;ec_shared_reflux_dynamic_params=%7B%22placeholder_material_id%22%3A%227624083265821216008%22%2C"&amp;"%22placeholder_origin_cover%22%3A%22https%253A%252F%252Fp16-sign-sg.tiktokcdn.com%252Ftos-alisg-p-0037%252FooU6zZ2RhIszEL7BipigHeB6ikfEAB1ObIVOJC~tplv-tiktokx-origin.jpeg%253Fdr%253D14572%2526refresh_token%253D4e8229d5%2526x-expires%253D1807092000%2526x-s"&amp;"ignature%253DlfR0LXQz0NdAFKKxM6J6pYNbpSM%25253D%2526t%253D4d5b0474%2526ps%253D13740610%2526shp%253Dd05b14bd%2526shcp%253D34ff8df6%2526idc%253Dmy2%2526s%253DTIKTOK_AFFILIATE_VIRAL_VIDEO%22%2C%22placeholder_product_id%22%3A%221733551239648413075%22%2C%22pla"&amp;"ceholder_video_id%22%3A%227624083265821216008%22%7D&amp;ec_shared_reflux_scene=shop_tab_feed&amp;share_item_id=7624083265821216008&amp;source=h5_t")</f>
        <v>https://www.tiktok.com/@family_skincare/video/7624083265821216008?_r=1&amp;u_code=e9ci4k1c37j6dg&amp;region=&amp;mid=7291195404551490309&amp;preview_pb=0&amp;sharer_language=&amp;_d=0&amp;ec_shared_reflux_dynamic_params=%7B%22placeholder_material_id%22%3A%227624083265821216008%22%2C%22placeholder_origin_cover%22%3A%22https%253A%252F%252Fp16-sign-sg.tiktokcdn.com%252Ftos-alisg-p-0037%252FooU6zZ2RhIszEL7BipigHeB6ikfEAB1ObIVOJC~tplv-tiktokx-origin.jpeg%253Fdr%253D14572%2526refresh_token%253D4e8229d5%2526x-expires%253D1807092000%2526x-signature%253DlfR0LXQz0NdAFKKxM6J6pYNbpSM%25253D%2526t%253D4d5b0474%2526ps%253D13740610%2526shp%253Dd05b14bd%2526shcp%253D34ff8df6%2526idc%253Dmy2%2526s%253DTIKTOK_AFFILIATE_VIRAL_VIDEO%22%2C%22placeholder_product_id%22%3A%221733551239648413075%22%2C%22placeholder_video_id%22%3A%227624083265821216008%22%7D&amp;ec_shared_reflux_scene=shop_tab_feed&amp;share_item_id=7624083265821216008&amp;source=h5_t</v>
      </c>
      <c r="R106" s="266">
        <f>IFERROR(__xludf.DUMMYFUNCTION("""COMPUTED_VALUE"""),0.0)</f>
        <v>0</v>
      </c>
      <c r="S106" s="266"/>
      <c r="T106" s="266"/>
      <c r="U106" s="266"/>
    </row>
    <row r="107">
      <c r="A107" s="255" t="str">
        <f>IFERROR(__xludf.DUMMYFUNCTION("""COMPUTED_VALUE"""),"NANO")</f>
        <v>NANO</v>
      </c>
      <c r="B107" s="23" t="str">
        <f>IFERROR(__xludf.DUMMYFUNCTION("""COMPUTED_VALUE"""),"_karisma__01")</f>
        <v>_karisma__01</v>
      </c>
      <c r="C107" s="281" t="str">
        <f>IFERROR(__xludf.DUMMYFUNCTION("""COMPUTED_VALUE"""),"https://www.tiktok.com/@_karisma__01")</f>
        <v>https://www.tiktok.com/@_karisma__01</v>
      </c>
      <c r="D107" s="270">
        <f>IFERROR(__xludf.DUMMYFUNCTION("""COMPUTED_VALUE"""),8.2275670668E10)</f>
        <v>82275670668</v>
      </c>
      <c r="E107" s="271">
        <f>IFERROR(__xludf.DUMMYFUNCTION("""COMPUTED_VALUE"""),0.0)</f>
        <v>0</v>
      </c>
      <c r="F107" s="270">
        <f>IFERROR(__xludf.DUMMYFUNCTION("""COMPUTED_VALUE"""),2.0)</f>
        <v>2</v>
      </c>
      <c r="G107" s="59" t="str">
        <f>IFERROR(__xludf.DUMMYFUNCTION("""COMPUTED_VALUE"""),"Rp638,9JT")</f>
        <v>Rp638,9JT</v>
      </c>
      <c r="H107" s="277" t="str">
        <f>IFERROR(__xludf.DUMMYFUNCTION("""COMPUTED_VALUE"""),"Brightening &amp; Soothing Toner")</f>
        <v>Brightening &amp; Soothing Toner</v>
      </c>
      <c r="I107" s="260" t="str">
        <f>IFERROR(__xludf.DUMMYFUNCTION("""COMPUTED_VALUE"""),"Sampai")</f>
        <v>Sampai</v>
      </c>
      <c r="J107" s="333" t="str">
        <f>IFERROR(__xludf.DUMMYFUNCTION("""COMPUTED_VALUE"""),"Concept 3")</f>
        <v>Concept 3</v>
      </c>
      <c r="K107" s="278" t="str">
        <f>IFERROR(__xludf.DUMMYFUNCTION("""COMPUTED_VALUE"""),"https://www.tiktok.com/@_karisma__01/video/7634068799242685716?_r=1&amp;u_code=e7k3i65e352394&amp;region=&amp;mid=7634068835745745681&amp;preview_pb=0&amp;sharer_language=&amp;_d=0&amp;ec_shared_reflux_dynamic_params=%7B%22placeholder_material_id%22%3A%227634068799242685716%22%2C%22"&amp;"placeholder_origin_cover%22%3A%22https%253A%252F%252Fp16-common-sign.tiktokcdn.com%252Ftos-alisg-p-0037%252FocCEwHF89IDYBeBAhNTgf6EJpxIrRMHBUCSaqB~tplv-tiktokx-origin.jpeg%253Fdr%253D14572%2526refresh_token%253Deac68272%2526x-expires%253D1808992800%2526x-"&amp;"signature%253DDfvdpoLL6QBOcKx1JnE2WliJF%25252BY%25253D%2526t%253D4d5b0474%2526ps%253D13740610%2526shp%253Dd05b14bd%2526shcp%253D34ff8df6%2526idc%253Dmy2%2526s%253DTIKTOK_AFFILIATE_VIRAL_VIDEO%22%2C%22placeholder_product_id%22%3A%221731793046946547091%22%2"&amp;"C%22placeholder_video_id%22%3A%227634068799242685716%22%7D&amp;ec_shared_reflux_scene=shop_tab_feed&amp;share_item_id=7634068799242685716&amp;source=h5_t")</f>
        <v>https://www.tiktok.com/@_karisma__01/video/7634068799242685716?_r=1&amp;u_code=e7k3i65e352394&amp;region=&amp;mid=7634068835745745681&amp;preview_pb=0&amp;sharer_language=&amp;_d=0&amp;ec_shared_reflux_dynamic_params=%7B%22placeholder_material_id%22%3A%227634068799242685716%22%2C%22placeholder_origin_cover%22%3A%22https%253A%252F%252Fp16-common-sign.tiktokcdn.com%252Ftos-alisg-p-0037%252FocCEwHF89IDYBeBAhNTgf6EJpxIrRMHBUCSaqB~tplv-tiktokx-origin.jpeg%253Fdr%253D14572%2526refresh_token%253Deac68272%2526x-expires%253D1808992800%2526x-signature%253DDfvdpoLL6QBOcKx1JnE2WliJF%25252BY%25253D%2526t%253D4d5b0474%2526ps%253D13740610%2526shp%253Dd05b14bd%2526shcp%253D34ff8df6%2526idc%253Dmy2%2526s%253DTIKTOK_AFFILIATE_VIRAL_VIDEO%22%2C%22placeholder_product_id%22%3A%221731793046946547091%22%2C%22placeholder_video_id%22%3A%227634068799242685716%22%7D&amp;ec_shared_reflux_scene=shop_tab_feed&amp;share_item_id=7634068799242685716&amp;source=h5_t</v>
      </c>
      <c r="L107" s="333" t="str">
        <f>IFERROR(__xludf.DUMMYFUNCTION("""COMPUTED_VALUE"""),"Concept 3")</f>
        <v>Concept 3</v>
      </c>
      <c r="M107" s="278" t="str">
        <f>IFERROR(__xludf.DUMMYFUNCTION("""COMPUTED_VALUE"""),"https://www.tiktok.com/@_karisma__01/video/7634156642119994644?_r=1&amp;u_code=e7k3i65e352394&amp;region=&amp;mid=7634156678329535252&amp;preview_pb=0&amp;sharer_language=&amp;_d=0&amp;ec_shared_reflux_dynamic_params=%7B%22placeholder_material_id%22%3A%227634156642119994644%22%2C%22"&amp;"placeholder_origin_cover%22%3A%22https%253A%252F%252Fp16-common-sign.tiktokcdn.com%252Ftos-alisg-p-0037%252FooM3MDQGnFevQPVLI7heRAgqRGWjexsAJGgQfp~tplv-tiktokx-origin.jpeg%253Fdr%253D14572%2526refresh_token%253D89313fe2%2526x-expires%253D1810116000%2526x-"&amp;"signature%253DdJlOfqK%25252FqB9Ust5atFlZFjEi2nI%25253D%2526t%253D4d5b0474%2526ps%253D13740610%2526shp%253Dd05b14bd%2526shcp%253D34ff8df6%2526idc%253Dmy%2526s%253DTIKTOK_AFFILIATE_VIRAL_VIDEO%22%2C%22placeholder_product_id%22%3A%221733551239648413075%22%2C"&amp;"%22placeholder_video_id%22%3A%227634156642119994644%22%7D&amp;ec_shared_reflux_scene=shop_tab_feed&amp;share_item_id=7634156642119994644&amp;source=h5_t")</f>
        <v>https://www.tiktok.com/@_karisma__01/video/7634156642119994644?_r=1&amp;u_code=e7k3i65e352394&amp;region=&amp;mid=7634156678329535252&amp;preview_pb=0&amp;sharer_language=&amp;_d=0&amp;ec_shared_reflux_dynamic_params=%7B%22placeholder_material_id%22%3A%227634156642119994644%22%2C%22placeholder_origin_cover%22%3A%22https%253A%252F%252Fp16-common-sign.tiktokcdn.com%252Ftos-alisg-p-0037%252FooM3MDQGnFevQPVLI7heRAgqRGWjexsAJGgQfp~tplv-tiktokx-origin.jpeg%253Fdr%253D14572%2526refresh_token%253D89313fe2%2526x-expires%253D1810116000%2526x-signature%253DdJlOfqK%25252FqB9Ust5atFlZFjEi2nI%25253D%2526t%253D4d5b0474%2526ps%253D13740610%2526shp%253Dd05b14bd%2526shcp%253D34ff8df6%2526idc%253Dmy%2526s%253DTIKTOK_AFFILIATE_VIRAL_VIDEO%22%2C%22placeholder_product_id%22%3A%221733551239648413075%22%2C%22placeholder_video_id%22%3A%227634156642119994644%22%7D&amp;ec_shared_reflux_scene=shop_tab_feed&amp;share_item_id=7634156642119994644&amp;source=h5_t</v>
      </c>
      <c r="N107" s="333" t="str">
        <f>IFERROR(__xludf.DUMMYFUNCTION("""COMPUTED_VALUE"""),"Concept 3")</f>
        <v>Concept 3</v>
      </c>
      <c r="O107" s="279" t="str">
        <f>IFERROR(__xludf.DUMMYFUNCTION("""COMPUTED_VALUE"""),"https://www.tiktok.com/@_karisma__01/video/7635535058941512980?_r=1&amp;u_code=e7k3i65e352394&amp;region=&amp;mid=7635535086104513288&amp;preview_pb=0&amp;sharer_language=&amp;_d=0&amp;ec_shared_reflux_dynamic_params=%7B%22placeholder_material_id%22%3A%227635535058941512980%22%2C%22"&amp;"placeholder_origin_cover%22%3A%22https%253A%252F%252Fp16-common-sign.tiktokcdn.com%252Ftos-alisg-p-0037%252FoMfZvb3BMAPWBtEuANXH4ejlQC8aTfDBQxAVI7~tplv-tiktokx-origin.jpeg%253Fdr%253D14572%2526refresh_token%253D9a0ef0f7%2526x-expires%253D1810634400%2526x-"&amp;"signature%253DZkZrrPaU1iaFuc5h1sWDpit6vRY%25253D%2526t%253D4d5b0474%2526ps%253D13740610%2526shp%253Dd05b14bd%2526shcp%253D34ff8df6%2526idc%253Dmy3%2526s%253DTIKTOK_AFFILIATE_VIRAL_VIDEO%22%2C%22placeholder_product_id%22%3A%221733551239648413075%22%2C%22pl"&amp;"aceholder_video_id%22%3A%227635535058941512980%22%7D&amp;ec_shared_reflux_scene=shop_tab_feed&amp;share_item_id=7635535058941512980&amp;source=h5_t")</f>
        <v>https://www.tiktok.com/@_karisma__01/video/7635535058941512980?_r=1&amp;u_code=e7k3i65e352394&amp;region=&amp;mid=7635535086104513288&amp;preview_pb=0&amp;sharer_language=&amp;_d=0&amp;ec_shared_reflux_dynamic_params=%7B%22placeholder_material_id%22%3A%227635535058941512980%22%2C%22placeholder_origin_cover%22%3A%22https%253A%252F%252Fp16-common-sign.tiktokcdn.com%252Ftos-alisg-p-0037%252FoMfZvb3BMAPWBtEuANXH4ejlQC8aTfDBQxAVI7~tplv-tiktokx-origin.jpeg%253Fdr%253D14572%2526refresh_token%253D9a0ef0f7%2526x-expires%253D1810634400%2526x-signature%253DZkZrrPaU1iaFuc5h1sWDpit6vRY%25253D%2526t%253D4d5b0474%2526ps%253D13740610%2526shp%253Dd05b14bd%2526shcp%253D34ff8df6%2526idc%253Dmy3%2526s%253DTIKTOK_AFFILIATE_VIRAL_VIDEO%22%2C%22placeholder_product_id%22%3A%221733551239648413075%22%2C%22placeholder_video_id%22%3A%227635535058941512980%22%7D&amp;ec_shared_reflux_scene=shop_tab_feed&amp;share_item_id=7635535058941512980&amp;source=h5_t</v>
      </c>
      <c r="P107" s="333" t="str">
        <f>IFERROR(__xludf.DUMMYFUNCTION("""COMPUTED_VALUE"""),"Concept 3")</f>
        <v>Concept 3</v>
      </c>
      <c r="Q107" s="279" t="str">
        <f>IFERROR(__xludf.DUMMYFUNCTION("""COMPUTED_VALUE"""),"https://www.tiktok.com/@_karisma__01/video/7636251044250520853?_r=1&amp;u_code=e7k3i65e352394&amp;region=&amp;mid=7636256234337962760&amp;preview_pb=0&amp;sharer_language=&amp;_d=0&amp;ec_shared_reflux_dynamic_params=%7B%22placeholder_material_id%22%3A%227636251044250520853%22%2C%22"&amp;"placeholder_origin_cover%22%3A%22https%253A%252F%252Fp16-common-sign.tiktokcdn.com%252Ftos-alisg-p-0037%252FoAfIG0A8gnMI4B8Cuy0GeDUjKxALFrtA2fVTgp~tplv-tiktokx-origin.jpeg%253Fdr%253D14572%2526refresh_token%253Df440eb40%2526x-expires%253D1810634400%2526x-"&amp;"signature%253DeLfZUhtD1TfCEytsG5vdo42k7dE%25253D%2526t%253D4d5b0474%2526ps%253D13740610%2526shp%253Dd05b14bd%2526shcp%253D34ff8df6%2526idc%253Dmy3%2526s%253DTIKTOK_AFFILIATE_VIRAL_VIDEO%22%2C%22placeholder_product_id%22%3A%221733551239648413075%22%2C%22pl"&amp;"aceholder_video_id%22%3A%227636251044250520853%22%7D&amp;ec_shared_reflux_scene=shop_tab_feed&amp;share_item_id=7636251044250520853&amp;source=h5_t")</f>
        <v>https://www.tiktok.com/@_karisma__01/video/7636251044250520853?_r=1&amp;u_code=e7k3i65e352394&amp;region=&amp;mid=7636256234337962760&amp;preview_pb=0&amp;sharer_language=&amp;_d=0&amp;ec_shared_reflux_dynamic_params=%7B%22placeholder_material_id%22%3A%227636251044250520853%22%2C%22placeholder_origin_cover%22%3A%22https%253A%252F%252Fp16-common-sign.tiktokcdn.com%252Ftos-alisg-p-0037%252FoAfIG0A8gnMI4B8Cuy0GeDUjKxALFrtA2fVTgp~tplv-tiktokx-origin.jpeg%253Fdr%253D14572%2526refresh_token%253Df440eb40%2526x-expires%253D1810634400%2526x-signature%253DeLfZUhtD1TfCEytsG5vdo42k7dE%25253D%2526t%253D4d5b0474%2526ps%253D13740610%2526shp%253Dd05b14bd%2526shcp%253D34ff8df6%2526idc%253Dmy3%2526s%253DTIKTOK_AFFILIATE_VIRAL_VIDEO%22%2C%22placeholder_product_id%22%3A%221733551239648413075%22%2C%22placeholder_video_id%22%3A%227636251044250520853%22%7D&amp;ec_shared_reflux_scene=shop_tab_feed&amp;share_item_id=7636251044250520853&amp;source=h5_t</v>
      </c>
      <c r="R107" s="266">
        <f>IFERROR(__xludf.DUMMYFUNCTION("""COMPUTED_VALUE"""),276083.0)</f>
        <v>276083</v>
      </c>
      <c r="S107" s="266"/>
      <c r="T107" s="266"/>
      <c r="U107" s="266"/>
    </row>
    <row r="108">
      <c r="A108" s="255" t="str">
        <f>IFERROR(__xludf.DUMMYFUNCTION("""COMPUTED_VALUE"""),"NANO")</f>
        <v>NANO</v>
      </c>
      <c r="B108" s="23" t="str">
        <f>IFERROR(__xludf.DUMMYFUNCTION("""COMPUTED_VALUE"""),"rsmaw31")</f>
        <v>rsmaw31</v>
      </c>
      <c r="C108" s="281" t="str">
        <f>IFERROR(__xludf.DUMMYFUNCTION("""COMPUTED_VALUE"""),"https://www.tiktok.com/@rsmaw31")</f>
        <v>https://www.tiktok.com/@rsmaw31</v>
      </c>
      <c r="D108" s="270">
        <f>IFERROR(__xludf.DUMMYFUNCTION("""COMPUTED_VALUE"""),8.817879025E9)</f>
        <v>8817879025</v>
      </c>
      <c r="E108" s="271">
        <f>IFERROR(__xludf.DUMMYFUNCTION("""COMPUTED_VALUE"""),0.0)</f>
        <v>0</v>
      </c>
      <c r="F108" s="270">
        <f>IFERROR(__xludf.DUMMYFUNCTION("""COMPUTED_VALUE"""),2.0)</f>
        <v>2</v>
      </c>
      <c r="G108" s="59" t="str">
        <f>IFERROR(__xludf.DUMMYFUNCTION("""COMPUTED_VALUE"""),"Rp78,8JT")</f>
        <v>Rp78,8JT</v>
      </c>
      <c r="H108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108" s="260" t="str">
        <f>IFERROR(__xludf.DUMMYFUNCTION("""COMPUTED_VALUE"""),"Sampai")</f>
        <v>Sampai</v>
      </c>
      <c r="J108" s="333" t="str">
        <f>IFERROR(__xludf.DUMMYFUNCTION("""COMPUTED_VALUE"""),"Concept 3")</f>
        <v>Concept 3</v>
      </c>
      <c r="K108" s="278" t="str">
        <f>IFERROR(__xludf.DUMMYFUNCTION("""COMPUTED_VALUE"""),"https://vt.tiktok.com/ZS9RRYLRx/")</f>
        <v>https://vt.tiktok.com/ZS9RRYLRx/</v>
      </c>
      <c r="L108" s="333" t="str">
        <f>IFERROR(__xludf.DUMMYFUNCTION("""COMPUTED_VALUE"""),"Concept 3")</f>
        <v>Concept 3</v>
      </c>
      <c r="M108" s="278" t="str">
        <f>IFERROR(__xludf.DUMMYFUNCTION("""COMPUTED_VALUE"""),"https://www.tiktok.com/@rsmaw31/video/7643806384902933778?is_from_webapp=1&amp;sender_device=pc")</f>
        <v>https://www.tiktok.com/@rsmaw31/video/7643806384902933778?is_from_webapp=1&amp;sender_device=pc</v>
      </c>
      <c r="N108" s="333"/>
      <c r="O108" s="17"/>
      <c r="P108" s="333"/>
      <c r="Q108" s="17"/>
      <c r="R108" s="266">
        <f>IFERROR(__xludf.DUMMYFUNCTION("""COMPUTED_VALUE"""),27010.0)</f>
        <v>27010</v>
      </c>
      <c r="S108" s="266"/>
      <c r="T108" s="266"/>
      <c r="U108" s="266"/>
    </row>
    <row r="109">
      <c r="A109" s="255" t="str">
        <f>IFERROR(__xludf.DUMMYFUNCTION("""COMPUTED_VALUE"""),"NANO")</f>
        <v>NANO</v>
      </c>
      <c r="B109" s="23" t="str">
        <f>IFERROR(__xludf.DUMMYFUNCTION("""COMPUTED_VALUE"""),"bungejasmin98")</f>
        <v>bungejasmin98</v>
      </c>
      <c r="C109" s="281" t="str">
        <f>IFERROR(__xludf.DUMMYFUNCTION("""COMPUTED_VALUE"""),"https://www.tiktok.com/@bungejasmin98")</f>
        <v>https://www.tiktok.com/@bungejasmin98</v>
      </c>
      <c r="D109" s="270">
        <f>IFERROR(__xludf.DUMMYFUNCTION("""COMPUTED_VALUE"""),8.816670351E9)</f>
        <v>8816670351</v>
      </c>
      <c r="E109" s="271">
        <f>IFERROR(__xludf.DUMMYFUNCTION("""COMPUTED_VALUE"""),0.0)</f>
        <v>0</v>
      </c>
      <c r="F109" s="270">
        <f>IFERROR(__xludf.DUMMYFUNCTION("""COMPUTED_VALUE"""),1.0)</f>
        <v>1</v>
      </c>
      <c r="G109" s="59" t="str">
        <f>IFERROR(__xludf.DUMMYFUNCTION("""COMPUTED_VALUE"""),"Rp50,4JT")</f>
        <v>Rp50,4JT</v>
      </c>
      <c r="H109" s="277" t="str">
        <f>IFERROR(__xludf.DUMMYFUNCTION("""COMPUTED_VALUE"""),"Brightening &amp; Soothing Toner")</f>
        <v>Brightening &amp; Soothing Toner</v>
      </c>
      <c r="I109" s="260" t="str">
        <f>IFERROR(__xludf.DUMMYFUNCTION("""COMPUTED_VALUE"""),"Done Req Sample")</f>
        <v>Done Req Sample</v>
      </c>
      <c r="J109" s="333"/>
      <c r="K109" s="262"/>
      <c r="L109" s="333"/>
      <c r="M109" s="262"/>
      <c r="N109" s="333"/>
      <c r="O109" s="17"/>
      <c r="P109" s="333"/>
      <c r="Q109" s="17"/>
      <c r="R109" s="266">
        <f>IFERROR(__xludf.DUMMYFUNCTION("""COMPUTED_VALUE"""),0.0)</f>
        <v>0</v>
      </c>
      <c r="S109" s="266"/>
      <c r="T109" s="266"/>
      <c r="U109" s="266"/>
    </row>
    <row r="110">
      <c r="A110" s="255" t="str">
        <f>IFERROR(__xludf.DUMMYFUNCTION("""COMPUTED_VALUE"""),"NANO")</f>
        <v>NANO</v>
      </c>
      <c r="B110" s="23" t="str">
        <f>IFERROR(__xludf.DUMMYFUNCTION("""COMPUTED_VALUE"""),"shopingiin")</f>
        <v>shopingiin</v>
      </c>
      <c r="C110" s="281" t="str">
        <f>IFERROR(__xludf.DUMMYFUNCTION("""COMPUTED_VALUE"""),"https://www.tiktok.com/@shopingiin")</f>
        <v>https://www.tiktok.com/@shopingiin</v>
      </c>
      <c r="D110" s="270">
        <f>IFERROR(__xludf.DUMMYFUNCTION("""COMPUTED_VALUE"""),8.3170621626E10)</f>
        <v>83170621626</v>
      </c>
      <c r="E110" s="271">
        <f>IFERROR(__xludf.DUMMYFUNCTION("""COMPUTED_VALUE"""),0.0)</f>
        <v>0</v>
      </c>
      <c r="F110" s="270">
        <f>IFERROR(__xludf.DUMMYFUNCTION("""COMPUTED_VALUE"""),2.0)</f>
        <v>2</v>
      </c>
      <c r="G110" s="59" t="str">
        <f>IFERROR(__xludf.DUMMYFUNCTION("""COMPUTED_VALUE"""),"Rp1,1M")</f>
        <v>Rp1,1M</v>
      </c>
      <c r="H110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110" s="260" t="str">
        <f>IFERROR(__xludf.DUMMYFUNCTION("""COMPUTED_VALUE"""),"Done Req Sample")</f>
        <v>Done Req Sample</v>
      </c>
      <c r="J110" s="333"/>
      <c r="K110" s="262"/>
      <c r="L110" s="333"/>
      <c r="M110" s="262"/>
      <c r="N110" s="333"/>
      <c r="O110" s="17"/>
      <c r="P110" s="333"/>
      <c r="Q110" s="17"/>
      <c r="R110" s="266">
        <f>IFERROR(__xludf.DUMMYFUNCTION("""COMPUTED_VALUE"""),0.0)</f>
        <v>0</v>
      </c>
      <c r="S110" s="266"/>
      <c r="T110" s="266"/>
      <c r="U110" s="266"/>
    </row>
    <row r="111">
      <c r="A111" s="255" t="str">
        <f>IFERROR(__xludf.DUMMYFUNCTION("""COMPUTED_VALUE"""),"MACRO")</f>
        <v>MACRO</v>
      </c>
      <c r="B111" s="23" t="str">
        <f>IFERROR(__xludf.DUMMYFUNCTION("""COMPUTED_VALUE"""),"bbydreamer93")</f>
        <v>bbydreamer93</v>
      </c>
      <c r="C111" s="281" t="str">
        <f>IFERROR(__xludf.DUMMYFUNCTION("""COMPUTED_VALUE"""),"https://www.tiktok.com/@bbydreamer93")</f>
        <v>https://www.tiktok.com/@bbydreamer93</v>
      </c>
      <c r="D111" s="270">
        <f>IFERROR(__xludf.DUMMYFUNCTION("""COMPUTED_VALUE"""),8.2129140535E10)</f>
        <v>82129140535</v>
      </c>
      <c r="E111" s="271">
        <f>IFERROR(__xludf.DUMMYFUNCTION("""COMPUTED_VALUE"""),0.0)</f>
        <v>0</v>
      </c>
      <c r="F111" s="270">
        <f>IFERROR(__xludf.DUMMYFUNCTION("""COMPUTED_VALUE"""),1.0)</f>
        <v>1</v>
      </c>
      <c r="G111" s="59" t="str">
        <f>IFERROR(__xludf.DUMMYFUNCTION("""COMPUTED_VALUE"""),"Rp1,4M")</f>
        <v>Rp1,4M</v>
      </c>
      <c r="H111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111" s="260" t="str">
        <f>IFERROR(__xludf.DUMMYFUNCTION("""COMPUTED_VALUE"""),"Sampai")</f>
        <v>Sampai</v>
      </c>
      <c r="J111" s="333" t="str">
        <f>IFERROR(__xludf.DUMMYFUNCTION("""COMPUTED_VALUE"""),"Concept 3")</f>
        <v>Concept 3</v>
      </c>
      <c r="K111" s="278" t="str">
        <f>IFERROR(__xludf.DUMMYFUNCTION("""COMPUTED_VALUE"""),"https://vt.tiktok.com/ZS9DMGyCA/")</f>
        <v>https://vt.tiktok.com/ZS9DMGyCA/</v>
      </c>
      <c r="L111" s="333"/>
      <c r="M111" s="262"/>
      <c r="N111" s="333"/>
      <c r="O111" s="17"/>
      <c r="P111" s="333"/>
      <c r="Q111" s="17"/>
      <c r="R111" s="266">
        <f>IFERROR(__xludf.DUMMYFUNCTION("""COMPUTED_VALUE"""),54288.0)</f>
        <v>54288</v>
      </c>
      <c r="S111" s="266"/>
      <c r="T111" s="266"/>
      <c r="U111" s="266"/>
    </row>
    <row r="112">
      <c r="A112" s="255" t="str">
        <f>IFERROR(__xludf.DUMMYFUNCTION("""COMPUTED_VALUE"""),"NANO")</f>
        <v>NANO</v>
      </c>
      <c r="B112" s="23" t="str">
        <f>IFERROR(__xludf.DUMMYFUNCTION("""COMPUTED_VALUE"""),"mezamahira")</f>
        <v>mezamahira</v>
      </c>
      <c r="C112" s="281" t="str">
        <f>IFERROR(__xludf.DUMMYFUNCTION("""COMPUTED_VALUE"""),"https://www.tiktok.com/@mezamahira")</f>
        <v>https://www.tiktok.com/@mezamahira</v>
      </c>
      <c r="D112" s="270">
        <f>IFERROR(__xludf.DUMMYFUNCTION("""COMPUTED_VALUE"""),8.2166398794E10)</f>
        <v>82166398794</v>
      </c>
      <c r="E112" s="271">
        <f>IFERROR(__xludf.DUMMYFUNCTION("""COMPUTED_VALUE"""),0.0)</f>
        <v>0</v>
      </c>
      <c r="F112" s="270">
        <f>IFERROR(__xludf.DUMMYFUNCTION("""COMPUTED_VALUE"""),2.0)</f>
        <v>2</v>
      </c>
      <c r="G112" s="59" t="str">
        <f>IFERROR(__xludf.DUMMYFUNCTION("""COMPUTED_VALUE"""),"Rp134,6JT")</f>
        <v>Rp134,6JT</v>
      </c>
      <c r="H112" s="277" t="str">
        <f>IFERROR(__xludf.DUMMYFUNCTION("""COMPUTED_VALUE"""),"Brightening &amp; Soothing Toner")</f>
        <v>Brightening &amp; Soothing Toner</v>
      </c>
      <c r="I112" s="260" t="str">
        <f>IFERROR(__xludf.DUMMYFUNCTION("""COMPUTED_VALUE"""),"Sampai")</f>
        <v>Sampai</v>
      </c>
      <c r="J112" s="333" t="str">
        <f>IFERROR(__xludf.DUMMYFUNCTION("""COMPUTED_VALUE"""),"Concept 3")</f>
        <v>Concept 3</v>
      </c>
      <c r="K112" s="278" t="str">
        <f>IFERROR(__xludf.DUMMYFUNCTION("""COMPUTED_VALUE"""),"https://vt.tiktok.com/ZSHbB7oNc/")</f>
        <v>https://vt.tiktok.com/ZSHbB7oNc/</v>
      </c>
      <c r="L112" s="333" t="str">
        <f>IFERROR(__xludf.DUMMYFUNCTION("""COMPUTED_VALUE"""),"Concept 3")</f>
        <v>Concept 3</v>
      </c>
      <c r="M112" s="278" t="str">
        <f>IFERROR(__xludf.DUMMYFUNCTION("""COMPUTED_VALUE"""),"https://www.tiktok.com/@mezamahira/video/7631899966289497365?_r=1&amp;u_code=dj86m56bc50mg2&amp;region=&amp;mid=7395415388382824464&amp;preview_pb=0&amp;sharer_language=&amp;_d=0&amp;ec_shared_reflux_dynamic_params=%7B%22placeholder_material_id%22%3A%227631899966289497365%22%2C%22pl"&amp;"aceholder_origin_cover%22%3A%22https%253A%252F%252Fp16-sign-sg.tiktokcdn.com%252Ftos-alisg-p-0037%252FoovGgTGkLnUdp6TbeGiYAFpRtqpggwEeAneUfI~tplv-tiktokx-origin.jpeg%253Fdr%253D14572%2526refresh_token%253D55c3331f%2526x-expires%253D1808553600%2526x-signat"&amp;"ure%253Dl%25252FsAcYJfFwV6ugw5faUGN%25252BrF92w%25253D%2526t%253D4d5b0474%2526ps%253D13740610%2526shp%253Dd05b14bd%2526shcp%253D34ff8df6%2526idc%253Dmy3%2526s%253DTIKTOK_AFFILIATE_VIRAL_VIDEO%22%2C%22placeholder_product_id%22%3A%221733551239648413075%22%2"&amp;"C%22placeholder_video_id%22%3A%227631899966289497365%22%7D&amp;ec_shared_reflux_scene=shop_tab_feed&amp;share_item_id=7631899966289497365&amp;source=h5_t")</f>
        <v>https://www.tiktok.com/@mezamahira/video/7631899966289497365?_r=1&amp;u_code=dj86m56bc50mg2&amp;region=&amp;mid=7395415388382824464&amp;preview_pb=0&amp;sharer_language=&amp;_d=0&amp;ec_shared_reflux_dynamic_params=%7B%22placeholder_material_id%22%3A%227631899966289497365%22%2C%22placeholder_origin_cover%22%3A%22https%253A%252F%252Fp16-sign-sg.tiktokcdn.com%252Ftos-alisg-p-0037%252FoovGgTGkLnUdp6TbeGiYAFpRtqpggwEeAneUfI~tplv-tiktokx-origin.jpeg%253Fdr%253D14572%2526refresh_token%253D55c3331f%2526x-expires%253D1808553600%2526x-signature%253Dl%25252FsAcYJfFwV6ugw5faUGN%25252BrF92w%25253D%2526t%253D4d5b0474%2526ps%253D13740610%2526shp%253Dd05b14bd%2526shcp%253D34ff8df6%2526idc%253Dmy3%2526s%253DTIKTOK_AFFILIATE_VIRAL_VIDEO%22%2C%22placeholder_product_id%22%3A%221733551239648413075%22%2C%22placeholder_video_id%22%3A%227631899966289497365%22%7D&amp;ec_shared_reflux_scene=shop_tab_feed&amp;share_item_id=7631899966289497365&amp;source=h5_t</v>
      </c>
      <c r="N112" s="333" t="str">
        <f>IFERROR(__xludf.DUMMYFUNCTION("""COMPUTED_VALUE"""),"Concept 3")</f>
        <v>Concept 3</v>
      </c>
      <c r="O112" s="279" t="str">
        <f>IFERROR(__xludf.DUMMYFUNCTION("""COMPUTED_VALUE"""),"https://vt.tiktok.com/ZS96xBxjN/")</f>
        <v>https://vt.tiktok.com/ZS96xBxjN/</v>
      </c>
      <c r="P112" s="333"/>
      <c r="Q112" s="17"/>
      <c r="R112" s="266">
        <f>IFERROR(__xludf.DUMMYFUNCTION("""COMPUTED_VALUE"""),0.0)</f>
        <v>0</v>
      </c>
      <c r="S112" s="266">
        <f>IFERROR(__xludf.DUMMYFUNCTION("""COMPUTED_VALUE"""),0.0)</f>
        <v>0</v>
      </c>
      <c r="T112" s="266">
        <f>IFERROR(__xludf.DUMMYFUNCTION("""COMPUTED_VALUE"""),0.0)</f>
        <v>0</v>
      </c>
      <c r="U112" s="266">
        <f>IFERROR(__xludf.DUMMYFUNCTION("""COMPUTED_VALUE"""),0.0)</f>
        <v>0</v>
      </c>
    </row>
    <row r="113">
      <c r="A113" s="255" t="str">
        <f>IFERROR(__xludf.DUMMYFUNCTION("""COMPUTED_VALUE"""),"MICRO")</f>
        <v>MICRO</v>
      </c>
      <c r="B113" s="23" t="str">
        <f>IFERROR(__xludf.DUMMYFUNCTION("""COMPUTED_VALUE"""),"karaskinbeauty")</f>
        <v>karaskinbeauty</v>
      </c>
      <c r="C113" s="281" t="str">
        <f>IFERROR(__xludf.DUMMYFUNCTION("""COMPUTED_VALUE"""),"https://www.tiktok.com/@karaskinbeauty")</f>
        <v>https://www.tiktok.com/@karaskinbeauty</v>
      </c>
      <c r="D113" s="270">
        <f>IFERROR(__xludf.DUMMYFUNCTION("""COMPUTED_VALUE"""),8.7731128125E10)</f>
        <v>87731128125</v>
      </c>
      <c r="E113" s="271">
        <f>IFERROR(__xludf.DUMMYFUNCTION("""COMPUTED_VALUE"""),0.0)</f>
        <v>0</v>
      </c>
      <c r="F113" s="270">
        <f>IFERROR(__xludf.DUMMYFUNCTION("""COMPUTED_VALUE"""),2.0)</f>
        <v>2</v>
      </c>
      <c r="G113" s="59" t="str">
        <f>IFERROR(__xludf.DUMMYFUNCTION("""COMPUTED_VALUE"""),"Rp1JT+")</f>
        <v>Rp1JT+</v>
      </c>
      <c r="H113" s="277" t="str">
        <f>IFERROR(__xludf.DUMMYFUNCTION("""COMPUTED_VALUE"""),"Brightening &amp; Soothing Toner")</f>
        <v>Brightening &amp; Soothing Toner</v>
      </c>
      <c r="I113" s="260" t="str">
        <f>IFERROR(__xludf.DUMMYFUNCTION("""COMPUTED_VALUE"""),"Done Req Sample")</f>
        <v>Done Req Sample</v>
      </c>
      <c r="J113" s="333"/>
      <c r="K113" s="262"/>
      <c r="L113" s="333"/>
      <c r="M113" s="262"/>
      <c r="N113" s="333"/>
      <c r="O113" s="17"/>
      <c r="P113" s="333"/>
      <c r="Q113" s="17"/>
      <c r="R113" s="266">
        <f>IFERROR(__xludf.DUMMYFUNCTION("""COMPUTED_VALUE"""),0.0)</f>
        <v>0</v>
      </c>
      <c r="S113" s="266"/>
      <c r="T113" s="266"/>
      <c r="U113" s="266"/>
    </row>
    <row r="114">
      <c r="A114" s="255" t="str">
        <f>IFERROR(__xludf.DUMMYFUNCTION("""COMPUTED_VALUE"""),"NANO")</f>
        <v>NANO</v>
      </c>
      <c r="B114" s="23" t="str">
        <f>IFERROR(__xludf.DUMMYFUNCTION("""COMPUTED_VALUE"""),"jeezythingz")</f>
        <v>jeezythingz</v>
      </c>
      <c r="C114" s="281" t="str">
        <f>IFERROR(__xludf.DUMMYFUNCTION("""COMPUTED_VALUE"""),"https://www.tiktok.com/@jeezythingz")</f>
        <v>https://www.tiktok.com/@jeezythingz</v>
      </c>
      <c r="D114" s="270"/>
      <c r="E114" s="271">
        <f>IFERROR(__xludf.DUMMYFUNCTION("""COMPUTED_VALUE"""),0.0)</f>
        <v>0</v>
      </c>
      <c r="F114" s="270">
        <f>IFERROR(__xludf.DUMMYFUNCTION("""COMPUTED_VALUE"""),2.0)</f>
        <v>2</v>
      </c>
      <c r="G114" s="59" t="str">
        <f>IFERROR(__xludf.DUMMYFUNCTION("""COMPUTED_VALUE"""),"Rp119,4JT")</f>
        <v>Rp119,4JT</v>
      </c>
      <c r="H114" s="277"/>
      <c r="I114" s="260" t="str">
        <f>IFERROR(__xludf.DUMMYFUNCTION("""COMPUTED_VALUE"""),"Kendala [FU!]")</f>
        <v>Kendala [FU!]</v>
      </c>
      <c r="J114" s="333"/>
      <c r="K114" s="262"/>
      <c r="L114" s="333"/>
      <c r="M114" s="262"/>
      <c r="N114" s="333"/>
      <c r="O114" s="17"/>
      <c r="P114" s="333"/>
      <c r="Q114" s="17"/>
      <c r="R114" s="266">
        <f>IFERROR(__xludf.DUMMYFUNCTION("""COMPUTED_VALUE"""),0.0)</f>
        <v>0</v>
      </c>
      <c r="S114" s="266"/>
      <c r="T114" s="266"/>
      <c r="U114" s="266"/>
    </row>
    <row r="115">
      <c r="A115" s="255" t="str">
        <f>IFERROR(__xludf.DUMMYFUNCTION("""COMPUTED_VALUE"""),"MICRO")</f>
        <v>MICRO</v>
      </c>
      <c r="B115" s="23" t="str">
        <f>IFERROR(__xludf.DUMMYFUNCTION("""COMPUTED_VALUE"""),"gabolegalakya")</f>
        <v>gabolegalakya</v>
      </c>
      <c r="C115" s="281" t="str">
        <f>IFERROR(__xludf.DUMMYFUNCTION("""COMPUTED_VALUE"""),"https://www.tiktok.com/@gabolegalakya")</f>
        <v>https://www.tiktok.com/@gabolegalakya</v>
      </c>
      <c r="D115" s="270">
        <f>IFERROR(__xludf.DUMMYFUNCTION("""COMPUTED_VALUE"""),8.1375495494E10)</f>
        <v>81375495494</v>
      </c>
      <c r="E115" s="271">
        <f>IFERROR(__xludf.DUMMYFUNCTION("""COMPUTED_VALUE"""),100000.0)</f>
        <v>100000</v>
      </c>
      <c r="F115" s="270">
        <f>IFERROR(__xludf.DUMMYFUNCTION("""COMPUTED_VALUE"""),1.0)</f>
        <v>1</v>
      </c>
      <c r="G115" s="59" t="str">
        <f>IFERROR(__xludf.DUMMYFUNCTION("""COMPUTED_VALUE"""),"Rp1JT+")</f>
        <v>Rp1JT+</v>
      </c>
      <c r="H115" s="277" t="str">
        <f>IFERROR(__xludf.DUMMYFUNCTION("""COMPUTED_VALUE"""),"OMG OH MY GLOW UV Barrier Sunscreen SPF 50 PA++++ 60 ml")</f>
        <v>OMG OH MY GLOW UV Barrier Sunscreen SPF 50 PA++++ 60 ml</v>
      </c>
      <c r="I115" s="260" t="str">
        <f>IFERROR(__xludf.DUMMYFUNCTION("""COMPUTED_VALUE"""),"Sampai")</f>
        <v>Sampai</v>
      </c>
      <c r="J115" s="333" t="str">
        <f>IFERROR(__xludf.DUMMYFUNCTION("""COMPUTED_VALUE"""),"Concept 3")</f>
        <v>Concept 3</v>
      </c>
      <c r="K115" s="278" t="str">
        <f>IFERROR(__xludf.DUMMYFUNCTION("""COMPUTED_VALUE"""),"https://vt.tiktok.com/ZS9fJthGE/")</f>
        <v>https://vt.tiktok.com/ZS9fJthGE/</v>
      </c>
      <c r="L115" s="333"/>
      <c r="M115" s="262"/>
      <c r="N115" s="333"/>
      <c r="O115" s="17"/>
      <c r="P115" s="333"/>
      <c r="Q115" s="17"/>
      <c r="R115" s="266">
        <f>IFERROR(__xludf.DUMMYFUNCTION("""COMPUTED_VALUE"""),310013.0)</f>
        <v>310013</v>
      </c>
      <c r="S115" s="266">
        <f>IFERROR(__xludf.DUMMYFUNCTION("""COMPUTED_VALUE"""),0.0)</f>
        <v>0</v>
      </c>
      <c r="T115" s="266">
        <f>IFERROR(__xludf.DUMMYFUNCTION("""COMPUTED_VALUE"""),0.0)</f>
        <v>0</v>
      </c>
      <c r="U115" s="266">
        <f>IFERROR(__xludf.DUMMYFUNCTION("""COMPUTED_VALUE"""),0.0)</f>
        <v>0</v>
      </c>
    </row>
    <row r="116">
      <c r="A116" s="255" t="str">
        <f>IFERROR(__xludf.DUMMYFUNCTION("""COMPUTED_VALUE"""),"MACRO")</f>
        <v>MACRO</v>
      </c>
      <c r="B116" s="23" t="str">
        <f>IFERROR(__xludf.DUMMYFUNCTION("""COMPUTED_VALUE"""),"arsykhumairah27")</f>
        <v>arsykhumairah27</v>
      </c>
      <c r="C116" s="281" t="str">
        <f>IFERROR(__xludf.DUMMYFUNCTION("""COMPUTED_VALUE"""),"https://www.tiktok.com/@arsykhumairah27")</f>
        <v>https://www.tiktok.com/@arsykhumairah27</v>
      </c>
      <c r="D116" s="270">
        <f>IFERROR(__xludf.DUMMYFUNCTION("""COMPUTED_VALUE"""),8.95620646522E11)</f>
        <v>895620646522</v>
      </c>
      <c r="E116" s="271">
        <f>IFERROR(__xludf.DUMMYFUNCTION("""COMPUTED_VALUE"""),450000.0)</f>
        <v>450000</v>
      </c>
      <c r="F116" s="270">
        <f>IFERROR(__xludf.DUMMYFUNCTION("""COMPUTED_VALUE"""),1.0)</f>
        <v>1</v>
      </c>
      <c r="G116" s="59" t="str">
        <f>IFERROR(__xludf.DUMMYFUNCTION("""COMPUTED_VALUE"""),"Rp3M")</f>
        <v>Rp3M</v>
      </c>
      <c r="H116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116" s="260" t="str">
        <f>IFERROR(__xludf.DUMMYFUNCTION("""COMPUTED_VALUE"""),"Done Req Sample")</f>
        <v>Done Req Sample</v>
      </c>
      <c r="J116" s="333"/>
      <c r="K116" s="262"/>
      <c r="L116" s="333"/>
      <c r="M116" s="262"/>
      <c r="N116" s="333"/>
      <c r="O116" s="17"/>
      <c r="P116" s="333"/>
      <c r="Q116" s="17"/>
      <c r="R116" s="266">
        <f>IFERROR(__xludf.DUMMYFUNCTION("""COMPUTED_VALUE"""),0.0)</f>
        <v>0</v>
      </c>
      <c r="S116" s="266"/>
      <c r="T116" s="266"/>
      <c r="U116" s="266"/>
    </row>
    <row r="117">
      <c r="A117" s="255" t="str">
        <f>IFERROR(__xludf.DUMMYFUNCTION("""COMPUTED_VALUE"""),"NANO")</f>
        <v>NANO</v>
      </c>
      <c r="B117" s="23" t="str">
        <f>IFERROR(__xludf.DUMMYFUNCTION("""COMPUTED_VALUE"""),"dianasepti210")</f>
        <v>dianasepti210</v>
      </c>
      <c r="C117" s="281" t="str">
        <f>IFERROR(__xludf.DUMMYFUNCTION("""COMPUTED_VALUE"""),"https://www.tiktok.com/@dianasepti210")</f>
        <v>https://www.tiktok.com/@dianasepti210</v>
      </c>
      <c r="D117" s="270">
        <f>IFERROR(__xludf.DUMMYFUNCTION("""COMPUTED_VALUE"""),8.5781001141E10)</f>
        <v>85781001141</v>
      </c>
      <c r="E117" s="271">
        <f>IFERROR(__xludf.DUMMYFUNCTION("""COMPUTED_VALUE"""),0.0)</f>
        <v>0</v>
      </c>
      <c r="F117" s="270">
        <f>IFERROR(__xludf.DUMMYFUNCTION("""COMPUTED_VALUE"""),1.0)</f>
        <v>1</v>
      </c>
      <c r="G117" s="59" t="str">
        <f>IFERROR(__xludf.DUMMYFUNCTION("""COMPUTED_VALUE"""),"Rp1JT+")</f>
        <v>Rp1JT+</v>
      </c>
      <c r="H117" s="277" t="str">
        <f>IFERROR(__xludf.DUMMYFUNCTION("""COMPUTED_VALUE"""),"OMG OH MY GLOW UV Barrier Sunscreen SPF 50 PA++++ 60 ml")</f>
        <v>OMG OH MY GLOW UV Barrier Sunscreen SPF 50 PA++++ 60 ml</v>
      </c>
      <c r="I117" s="260" t="str">
        <f>IFERROR(__xludf.DUMMYFUNCTION("""COMPUTED_VALUE"""),"Sampai")</f>
        <v>Sampai</v>
      </c>
      <c r="J117" s="333" t="str">
        <f>IFERROR(__xludf.DUMMYFUNCTION("""COMPUTED_VALUE"""),"Concept 3")</f>
        <v>Concept 3</v>
      </c>
      <c r="K117" s="278" t="str">
        <f>IFERROR(__xludf.DUMMYFUNCTION("""COMPUTED_VALUE"""),"https://www.tiktok.com/@dianasepti210/video/7633077273305959688?_r=1&amp;u_code=e3lb4fe3b626el&amp;region=&amp;mid=7406831923794414342&amp;preview_pb=0&amp;sharer_language=&amp;_d=0&amp;ec_shared_reflux_dynamic_params=%7B%22placeholder_material_id%22%3A%227633077273305959688%22%2C%2"&amp;"2placeholder_origin_cover%22%3A%22https%253A%252F%252Fp16-common-sign.tiktokcdn.com%252Ftos-alisg-p-0037%252FosuzIqcRWE4ixbD9B7gFr71vIfI1pVEBfAIkuA~tplv-tiktokx-origin.jpeg%253Fdr%253D14572%2526refresh_token%253D4c5ed116%2526x-expires%253D1809424800%2526x"&amp;"-signature%253DVz5N5lmvYiRSJyOPT6sbD8q%25252BEvM%25253D%2526t%253D4d5b0474%2526ps%253D13740610%2526shp%253Dd05b14bd%2526shcp%253D34ff8df6%2526idc%253Dmy3%2526s%253DTIKTOK_AFFILIATE_VIRAL_VIDEO%22%2C%22placeholder_product_id%22%3A%221731334333969302931%22%"&amp;"2C%22placeholder_video_id%22%3A%227633077273305959688%22%7D&amp;ec_shared_reflux_scene=shop_tab_feed&amp;share_item_id=7633077273305959688&amp;source=h5_t")</f>
        <v>https://www.tiktok.com/@dianasepti210/video/7633077273305959688?_r=1&amp;u_code=e3lb4fe3b626el&amp;region=&amp;mid=7406831923794414342&amp;preview_pb=0&amp;sharer_language=&amp;_d=0&amp;ec_shared_reflux_dynamic_params=%7B%22placeholder_material_id%22%3A%227633077273305959688%22%2C%22placeholder_origin_cover%22%3A%22https%253A%252F%252Fp16-common-sign.tiktokcdn.com%252Ftos-alisg-p-0037%252FosuzIqcRWE4ixbD9B7gFr71vIfI1pVEBfAIkuA~tplv-tiktokx-origin.jpeg%253Fdr%253D14572%2526refresh_token%253D4c5ed116%2526x-expires%253D1809424800%2526x-signature%253DVz5N5lmvYiRSJyOPT6sbD8q%25252BEvM%25253D%2526t%253D4d5b0474%2526ps%253D13740610%2526shp%253Dd05b14bd%2526shcp%253D34ff8df6%2526idc%253Dmy3%2526s%253DTIKTOK_AFFILIATE_VIRAL_VIDEO%22%2C%22placeholder_product_id%22%3A%221731334333969302931%22%2C%22placeholder_video_id%22%3A%227633077273305959688%22%7D&amp;ec_shared_reflux_scene=shop_tab_feed&amp;share_item_id=7633077273305959688&amp;source=h5_t</v>
      </c>
      <c r="L117" s="333"/>
      <c r="M117" s="262"/>
      <c r="N117" s="333"/>
      <c r="O117" s="17"/>
      <c r="P117" s="333"/>
      <c r="Q117" s="17"/>
      <c r="R117" s="266">
        <f>IFERROR(__xludf.DUMMYFUNCTION("""COMPUTED_VALUE"""),0.0)</f>
        <v>0</v>
      </c>
      <c r="S117" s="266"/>
      <c r="T117" s="266"/>
      <c r="U117" s="266"/>
    </row>
    <row r="118">
      <c r="A118" s="255" t="str">
        <f>IFERROR(__xludf.DUMMYFUNCTION("""COMPUTED_VALUE"""),"NANO")</f>
        <v>NANO</v>
      </c>
      <c r="B118" t="str">
        <f>IFERROR(__xludf.DUMMYFUNCTION("""COMPUTED_VALUE"""),"skincaredaily96")</f>
        <v>skincaredaily96</v>
      </c>
      <c r="C118" s="281" t="str">
        <f>IFERROR(__xludf.DUMMYFUNCTION("""COMPUTED_VALUE"""),"https://www.tiktok.com/@skincaredaily96")</f>
        <v>https://www.tiktok.com/@skincaredaily96</v>
      </c>
      <c r="D118" s="270">
        <f>IFERROR(__xludf.DUMMYFUNCTION("""COMPUTED_VALUE"""),8.5773624738E10)</f>
        <v>85773624738</v>
      </c>
      <c r="E118" s="271">
        <f>IFERROR(__xludf.DUMMYFUNCTION("""COMPUTED_VALUE"""),0.0)</f>
        <v>0</v>
      </c>
      <c r="F118" s="270">
        <f>IFERROR(__xludf.DUMMYFUNCTION("""COMPUTED_VALUE"""),2.0)</f>
        <v>2</v>
      </c>
      <c r="G118" s="59" t="str">
        <f>IFERROR(__xludf.DUMMYFUNCTION("""COMPUTED_VALUE"""),"Rp35JT")</f>
        <v>Rp35JT</v>
      </c>
      <c r="H118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118" s="260" t="str">
        <f>IFERROR(__xludf.DUMMYFUNCTION("""COMPUTED_VALUE"""),"Sampai")</f>
        <v>Sampai</v>
      </c>
      <c r="J118" s="333" t="str">
        <f>IFERROR(__xludf.DUMMYFUNCTION("""COMPUTED_VALUE"""),"Concept 3")</f>
        <v>Concept 3</v>
      </c>
      <c r="K118" s="278" t="str">
        <f>IFERROR(__xludf.DUMMYFUNCTION("""COMPUTED_VALUE"""),"https://www.tiktok.com/@skincaredaily96/video/7637896835310390549?_r=1&amp;u_code=dgbh14bdm35bg9&amp;region=&amp;mid=7637896861043821313&amp;preview_pb=0&amp;sharer_language=&amp;_d=0&amp;ec_shared_reflux_dynamic_params=%7B%22placeholder_material_id%22%3A%227637896835310390549%22%2C"&amp;"%22placeholder_origin_cover%22%3A%22https%253A%252F%252Fp16-common-sign.tiktokcdn.com%252Ftos-alisg-p-0037%252FooyKQ40DqDArQx93T0F2DjTCHIMAoCBfQuf6fE~tplv-tiktokx-origin.jpeg%253Fdr%253D14572%2526refresh_token%253D953b93b7%2526x-expires%253D1810033200%252"&amp;"6x-signature%253D3ForllG08f7XtqTYUXJWUIj%25252Fa9o%25253D%2526t%253D4d5b0474%2526ps%253D13740610%2526shp%253Dd05b14bd%2526shcp%253D34ff8df6%2526idc%253Dmy%2526s%253DTIKTOK_AFFILIATE_VIRAL_VIDEO%22%2C%22placeholder_product_id%22%3A%221729991116494375315%22"&amp;"%2C%22placeholder_video_id%22%3A%227637896835310390549%22%7D&amp;ec_shared_reflux_scene=shop_tab_feed&amp;share_item_id=7637896835310390549&amp;source=h5_t")</f>
        <v>https://www.tiktok.com/@skincaredaily96/video/7637896835310390549?_r=1&amp;u_code=dgbh14bdm35bg9&amp;region=&amp;mid=7637896861043821313&amp;preview_pb=0&amp;sharer_language=&amp;_d=0&amp;ec_shared_reflux_dynamic_params=%7B%22placeholder_material_id%22%3A%227637896835310390549%22%2C%22placeholder_origin_cover%22%3A%22https%253A%252F%252Fp16-common-sign.tiktokcdn.com%252Ftos-alisg-p-0037%252FooyKQ40DqDArQx93T0F2DjTCHIMAoCBfQuf6fE~tplv-tiktokx-origin.jpeg%253Fdr%253D14572%2526refresh_token%253D953b93b7%2526x-expires%253D1810033200%2526x-signature%253D3ForllG08f7XtqTYUXJWUIj%25252Fa9o%25253D%2526t%253D4d5b0474%2526ps%253D13740610%2526shp%253Dd05b14bd%2526shcp%253D34ff8df6%2526idc%253Dmy%2526s%253DTIKTOK_AFFILIATE_VIRAL_VIDEO%22%2C%22placeholder_product_id%22%3A%221729991116494375315%22%2C%22placeholder_video_id%22%3A%227637896835310390549%22%7D&amp;ec_shared_reflux_scene=shop_tab_feed&amp;share_item_id=7637896835310390549&amp;source=h5_t</v>
      </c>
      <c r="L118" s="333" t="str">
        <f>IFERROR(__xludf.DUMMYFUNCTION("""COMPUTED_VALUE"""),"Concept 3")</f>
        <v>Concept 3</v>
      </c>
      <c r="M118" s="278" t="str">
        <f>IFERROR(__xludf.DUMMYFUNCTION("""COMPUTED_VALUE"""),"https://www.tiktok.com/@skincaredaily96/video/7637912893127740693?_r=1&amp;u_code=dgbh14bdm35bg9&amp;region=&amp;mid=7637912919615376136&amp;preview_pb=0&amp;sharer_language=&amp;_d=0&amp;ec_shared_reflux_dynamic_params=%7B%22placeholder_material_id%22%3A%227637912893127740693%22%2C"&amp;"%22placeholder_origin_cover%22%3A%22https%253A%252F%252Fp16-common-sign.tiktokcdn.com%252Ftos-alisg-p-0037%252FokUKguYUNiM5fAeTZegC1ULAodrAqZb5fP4Skf~tplv-tiktokx-origin.jpeg%253Fdr%253D14572%2526refresh_token%253D4a0aa74d%2526x-expires%253D1810033200%252"&amp;"6x-signature%253DU%25252BSLKWzig9u7trNTk27VB5PqOvI%25253D%2526t%253D4d5b0474%2526ps%253D13740610%2526shp%253Dd05b14bd%2526shcp%253D34ff8df6%2526idc%253Dmy%2526s%253DTIKTOK_AFFILIATE_VIRAL_VIDEO%22%2C%22placeholder_product_id%22%3A%221729991116494375315%22"&amp;"%2C%22placeholder_video_id%22%3A%227637912893127740693%22%7D&amp;ec_shared_reflux_scene=shop_tab_feed&amp;share_item_id=7637912893127740693&amp;source=h5_t")</f>
        <v>https://www.tiktok.com/@skincaredaily96/video/7637912893127740693?_r=1&amp;u_code=dgbh14bdm35bg9&amp;region=&amp;mid=7637912919615376136&amp;preview_pb=0&amp;sharer_language=&amp;_d=0&amp;ec_shared_reflux_dynamic_params=%7B%22placeholder_material_id%22%3A%227637912893127740693%22%2C%22placeholder_origin_cover%22%3A%22https%253A%252F%252Fp16-common-sign.tiktokcdn.com%252Ftos-alisg-p-0037%252FokUKguYUNiM5fAeTZegC1ULAodrAqZb5fP4Skf~tplv-tiktokx-origin.jpeg%253Fdr%253D14572%2526refresh_token%253D4a0aa74d%2526x-expires%253D1810033200%2526x-signature%253DU%25252BSLKWzig9u7trNTk27VB5PqOvI%25253D%2526t%253D4d5b0474%2526ps%253D13740610%2526shp%253Dd05b14bd%2526shcp%253D34ff8df6%2526idc%253Dmy%2526s%253DTIKTOK_AFFILIATE_VIRAL_VIDEO%22%2C%22placeholder_product_id%22%3A%221729991116494375315%22%2C%22placeholder_video_id%22%3A%227637912893127740693%22%7D&amp;ec_shared_reflux_scene=shop_tab_feed&amp;share_item_id=7637912893127740693&amp;source=h5_t</v>
      </c>
      <c r="N118" s="333" t="str">
        <f>IFERROR(__xludf.DUMMYFUNCTION("""COMPUTED_VALUE"""),"Concept 3")</f>
        <v>Concept 3</v>
      </c>
      <c r="O118" s="279" t="str">
        <f>IFERROR(__xludf.DUMMYFUNCTION("""COMPUTED_VALUE"""),"https://www.tiktok.com/@skincaredaily96/video/7639122037839023380?_r=1&amp;u_code=dgbh14bdm35bg9&amp;region=&amp;mid=7639122091479993096&amp;preview_pb=0&amp;sharer_language=&amp;_d=0&amp;ec_shared_reflux_dynamic_params=%7B%22placeholder_material_id%22%3A%227639122037839023380%22%2C"&amp;"%22placeholder_origin_cover%22%3A%22https%253A%252F%252Fp16-common-sign.tiktokcdn.com%252Ftos-alisg-p-0037%252FoE9XgPcB1mVAiDsrNIABaBREXpHIY9PBinK0O~tplv-tiktokx-origin.jpeg%253Fdr%253D14572%2526refresh_token%253D57ecb24a%2526x-expires%253D1810202400%2526"&amp;"x-signature%253DaPqyCmFw4ql8Ae6xmuNRqi5DHdE%25253D%2526t%253D4d5b0474%2526ps%253D13740610%2526shp%253Dd05b14bd%2526shcp%253D34ff8df6%2526idc%253Dmy2%2526s%253DTIKTOK_AFFILIATE_VIRAL_VIDEO%22%2C%22placeholder_product_id%22%3A%221729991116494375315%22%2C%22"&amp;"placeholder_video_id%22%3A%227639122037839023380%22%7D&amp;ec_shared_reflux_scene=shop_tab_feed&amp;share_item_id=7639122037839023380&amp;source=h5_t")</f>
        <v>https://www.tiktok.com/@skincaredaily96/video/7639122037839023380?_r=1&amp;u_code=dgbh14bdm35bg9&amp;region=&amp;mid=7639122091479993096&amp;preview_pb=0&amp;sharer_language=&amp;_d=0&amp;ec_shared_reflux_dynamic_params=%7B%22placeholder_material_id%22%3A%227639122037839023380%22%2C%22placeholder_origin_cover%22%3A%22https%253A%252F%252Fp16-common-sign.tiktokcdn.com%252Ftos-alisg-p-0037%252FoE9XgPcB1mVAiDsrNIABaBREXpHIY9PBinK0O~tplv-tiktokx-origin.jpeg%253Fdr%253D14572%2526refresh_token%253D57ecb24a%2526x-expires%253D1810202400%2526x-signature%253DaPqyCmFw4ql8Ae6xmuNRqi5DHdE%25253D%2526t%253D4d5b0474%2526ps%253D13740610%2526shp%253Dd05b14bd%2526shcp%253D34ff8df6%2526idc%253Dmy2%2526s%253DTIKTOK_AFFILIATE_VIRAL_VIDEO%22%2C%22placeholder_product_id%22%3A%221729991116494375315%22%2C%22placeholder_video_id%22%3A%227639122037839023380%22%7D&amp;ec_shared_reflux_scene=shop_tab_feed&amp;share_item_id=7639122037839023380&amp;source=h5_t</v>
      </c>
      <c r="P118" s="333" t="str">
        <f>IFERROR(__xludf.DUMMYFUNCTION("""COMPUTED_VALUE"""),"Concept 3")</f>
        <v>Concept 3</v>
      </c>
      <c r="Q118" s="279" t="str">
        <f>IFERROR(__xludf.DUMMYFUNCTION("""COMPUTED_VALUE"""),"https://www.tiktok.com/@skincaredaily96/video/7646738796976917781?is_from_webapp=1&amp;sender_device=pc")</f>
        <v>https://www.tiktok.com/@skincaredaily96/video/7646738796976917781?is_from_webapp=1&amp;sender_device=pc</v>
      </c>
      <c r="R118" s="266">
        <f>IFERROR(__xludf.DUMMYFUNCTION("""COMPUTED_VALUE"""),78517.0)</f>
        <v>78517</v>
      </c>
      <c r="S118" s="266"/>
      <c r="T118" s="266"/>
      <c r="U118" s="266"/>
    </row>
    <row r="119">
      <c r="A119" s="255" t="str">
        <f>IFERROR(__xludf.DUMMYFUNCTION("""COMPUTED_VALUE"""),"NANO")</f>
        <v>NANO</v>
      </c>
      <c r="B119" t="str">
        <f>IFERROR(__xludf.DUMMYFUNCTION("""COMPUTED_VALUE"""),"beauty.iidd")</f>
        <v>beauty.iidd</v>
      </c>
      <c r="C119" s="281" t="str">
        <f>IFERROR(__xludf.DUMMYFUNCTION("""COMPUTED_VALUE"""),"https://www.tiktok.com/@beauty.iidd")</f>
        <v>https://www.tiktok.com/@beauty.iidd</v>
      </c>
      <c r="D119" s="270">
        <f>IFERROR(__xludf.DUMMYFUNCTION("""COMPUTED_VALUE"""),8.5707293604E10)</f>
        <v>85707293604</v>
      </c>
      <c r="E119" s="271">
        <f>IFERROR(__xludf.DUMMYFUNCTION("""COMPUTED_VALUE"""),0.0)</f>
        <v>0</v>
      </c>
      <c r="F119" s="270">
        <f>IFERROR(__xludf.DUMMYFUNCTION("""COMPUTED_VALUE"""),2.0)</f>
        <v>2</v>
      </c>
      <c r="G119" s="59" t="str">
        <f>IFERROR(__xludf.DUMMYFUNCTION("""COMPUTED_VALUE"""),"Rp8,4JT")</f>
        <v>Rp8,4JT</v>
      </c>
      <c r="H119" s="277" t="str">
        <f>IFERROR(__xludf.DUMMYFUNCTION("""COMPUTED_VALUE"""),"Brightening &amp; Soothing Toner")</f>
        <v>Brightening &amp; Soothing Toner</v>
      </c>
      <c r="I119" s="260" t="str">
        <f>IFERROR(__xludf.DUMMYFUNCTION("""COMPUTED_VALUE"""),"Sampai")</f>
        <v>Sampai</v>
      </c>
      <c r="J119" s="333" t="str">
        <f>IFERROR(__xludf.DUMMYFUNCTION("""COMPUTED_VALUE"""),"Concept 3")</f>
        <v>Concept 3</v>
      </c>
      <c r="K119" s="278" t="str">
        <f>IFERROR(__xludf.DUMMYFUNCTION("""COMPUTED_VALUE"""),"https://www.tiktok.com/@beauty.iidd/video/7633621210512854280?_r=1&amp;u_code=ebjf03139m95gf&amp;region=&amp;mid=7601238861501040657&amp;preview_pb=0&amp;sharer_language=&amp;_d=0&amp;ec_shared_reflux_dynamic_params=%7B%22placeholder_material_id%22%3A%227633621210512854280%22%2C%22p"&amp;"laceholder_origin_cover%22%3A%22https%253A%252F%252Fp16-common-sign.tiktokcdn.com%252Ftos-alisg-p-0037%252Fo08DTOTCDJjIIlxILCAfjggGgAO44ZwC4felCU~tplv-tiktokx-origin.jpeg%253Fdr%253D14572%2526refresh_token%253De71d3e62%2526x-expires%253D1808906400%2526x-s"&amp;"ignature%253D8Yysrs87vz%25252FB3sZsKf7PeTILig4%25253D%2526t%253D4d5b0474%2526ps%253D13740610%2526shp%253Dd05b14bd%2526shcp%253D34ff8df6%2526idc%253Dmy3%2526s%253DTIKTOK_AFFILIATE_VIRAL_VIDEO%22%2C%22placeholder_product_id%22%3A%221733551239648413075%22%2C"&amp;"%22placeholder_video_id%22%3A%227633621210512854280%22%7D&amp;ec_shared_reflux_scene=shop_tab_feed&amp;share_item_id=7633621210512854280&amp;source=h5_t")</f>
        <v>https://www.tiktok.com/@beauty.iidd/video/7633621210512854280?_r=1&amp;u_code=ebjf03139m95gf&amp;region=&amp;mid=7601238861501040657&amp;preview_pb=0&amp;sharer_language=&amp;_d=0&amp;ec_shared_reflux_dynamic_params=%7B%22placeholder_material_id%22%3A%227633621210512854280%22%2C%22placeholder_origin_cover%22%3A%22https%253A%252F%252Fp16-common-sign.tiktokcdn.com%252Ftos-alisg-p-0037%252Fo08DTOTCDJjIIlxILCAfjggGgAO44ZwC4felCU~tplv-tiktokx-origin.jpeg%253Fdr%253D14572%2526refresh_token%253De71d3e62%2526x-expires%253D1808906400%2526x-signature%253D8Yysrs87vz%25252FB3sZsKf7PeTILig4%25253D%2526t%253D4d5b0474%2526ps%253D13740610%2526shp%253Dd05b14bd%2526shcp%253D34ff8df6%2526idc%253Dmy3%2526s%253DTIKTOK_AFFILIATE_VIRAL_VIDEO%22%2C%22placeholder_product_id%22%3A%221733551239648413075%22%2C%22placeholder_video_id%22%3A%227633621210512854280%22%7D&amp;ec_shared_reflux_scene=shop_tab_feed&amp;share_item_id=7633621210512854280&amp;source=h5_t</v>
      </c>
      <c r="L119" s="333" t="str">
        <f>IFERROR(__xludf.DUMMYFUNCTION("""COMPUTED_VALUE"""),"Concept 3")</f>
        <v>Concept 3</v>
      </c>
      <c r="M119" s="278" t="str">
        <f>IFERROR(__xludf.DUMMYFUNCTION("""COMPUTED_VALUE"""),"https://www.tiktok.com/@beauty.iidd/video/7633667797490486546?_r=1&amp;u_code=ebjf03139m95gf&amp;region=&amp;mid=7594443310195329041&amp;preview_pb=0&amp;sharer_language=&amp;_d=0&amp;ec_shared_reflux_dynamic_params=%7B%22placeholder_material_id%22%3A%227633667797490486546%22%2C%22p"&amp;"laceholder_origin_cover%22%3A%22https%253A%252F%252Fp16-common-sign.tiktokcdn.com%252Ftos-alisg-p-0037%252Fo0iSj7REIBAfHIXwApdgmlwVcBi4CPeBBrcvT0~tplv-tiktokx-origin.jpeg%253Fdr%253D14572%2526refresh_token%253D48824ed9%2526x-expires%253D1809507600%2526x-s"&amp;"ignature%253D6%25252F%25252FO4eDWFU6FupUMBWfWV9SNkX0%25253D%2526t%253D4d5b0474%2526ps%253D13740610%2526shp%253Dd05b14bd%2526shcp%253D34ff8df6%2526idc%253Dmy%2526s%253DTIKTOK_AFFILIATE_VIRAL_VIDEO%22%2C%22placeholder_product_id%22%3A%221733551239648413075%"&amp;"22%2C%22placeholder_video_id%22%3A%227633667797490486546%22%7D&amp;ec_shared_reflux_scene=shop_tab_feed&amp;share_item_id=7633667797490486546&amp;source=h5_t")</f>
        <v>https://www.tiktok.com/@beauty.iidd/video/7633667797490486546?_r=1&amp;u_code=ebjf03139m95gf&amp;region=&amp;mid=7594443310195329041&amp;preview_pb=0&amp;sharer_language=&amp;_d=0&amp;ec_shared_reflux_dynamic_params=%7B%22placeholder_material_id%22%3A%227633667797490486546%22%2C%22placeholder_origin_cover%22%3A%22https%253A%252F%252Fp16-common-sign.tiktokcdn.com%252Ftos-alisg-p-0037%252Fo0iSj7REIBAfHIXwApdgmlwVcBi4CPeBBrcvT0~tplv-tiktokx-origin.jpeg%253Fdr%253D14572%2526refresh_token%253D48824ed9%2526x-expires%253D1809507600%2526x-signature%253D6%25252F%25252FO4eDWFU6FupUMBWfWV9SNkX0%25253D%2526t%253D4d5b0474%2526ps%253D13740610%2526shp%253Dd05b14bd%2526shcp%253D34ff8df6%2526idc%253Dmy%2526s%253DTIKTOK_AFFILIATE_VIRAL_VIDEO%22%2C%22placeholder_product_id%22%3A%221733551239648413075%22%2C%22placeholder_video_id%22%3A%227633667797490486546%22%7D&amp;ec_shared_reflux_scene=shop_tab_feed&amp;share_item_id=7633667797490486546&amp;source=h5_t</v>
      </c>
      <c r="N119" s="333" t="str">
        <f>IFERROR(__xludf.DUMMYFUNCTION("""COMPUTED_VALUE"""),"Concept 3")</f>
        <v>Concept 3</v>
      </c>
      <c r="O119" s="279" t="str">
        <f>IFERROR(__xludf.DUMMYFUNCTION("""COMPUTED_VALUE"""),"https://www.tiktok.com/@beauty.iidd/video/7634842342737841426?_r=1&amp;u_code=ebjf03139m95gf&amp;region=&amp;mid=7622622325444545300&amp;preview_pb=0&amp;sharer_language=&amp;_d=0&amp;ec_shared_reflux_dynamic_params=%7B%22placeholder_material_id%22%3A%227634842342737841426%22%2C%22p"&amp;"laceholder_origin_cover%22%3A%22https%253A%252F%252Fp19-common-sign.tiktokcdn.com%252Ftos-alisg-p-0037%252Fo0gjE4TANYwRE50oMDgeh6Xfe5CCCA8LQ0IgAW~tplv-tiktokx-origin.jpeg%253Fdr%253D14572%2526refresh_token%253D34f91561%2526x-expires%253D1809507600%2526x-s"&amp;"ignature%253D3NcXaWWdZg0FfNg8e9OgHEQ2i7A%25253D%2526t%253D4d5b0474%2526ps%253D13740610%2526shp%253Dd05b14bd%2526shcp%253D34ff8df6%2526idc%253Dmy%2526s%253DTIKTOK_AFFILIATE_VIRAL_VIDEO%22%2C%22placeholder_product_id%22%3A%221733551239648413075%22%2C%22plac"&amp;"eholder_video_id%22%3A%227634842342737841426%22%7D&amp;ec_shared_reflux_scene=shop_tab_feed&amp;share_item_id=7634842342737841426&amp;source=h5_t")</f>
        <v>https://www.tiktok.com/@beauty.iidd/video/7634842342737841426?_r=1&amp;u_code=ebjf03139m95gf&amp;region=&amp;mid=7622622325444545300&amp;preview_pb=0&amp;sharer_language=&amp;_d=0&amp;ec_shared_reflux_dynamic_params=%7B%22placeholder_material_id%22%3A%227634842342737841426%22%2C%22placeholder_origin_cover%22%3A%22https%253A%252F%252Fp19-common-sign.tiktokcdn.com%252Ftos-alisg-p-0037%252Fo0gjE4TANYwRE50oMDgeh6Xfe5CCCA8LQ0IgAW~tplv-tiktokx-origin.jpeg%253Fdr%253D14572%2526refresh_token%253D34f91561%2526x-expires%253D1809507600%2526x-signature%253D3NcXaWWdZg0FfNg8e9OgHEQ2i7A%25253D%2526t%253D4d5b0474%2526ps%253D13740610%2526shp%253Dd05b14bd%2526shcp%253D34ff8df6%2526idc%253Dmy%2526s%253DTIKTOK_AFFILIATE_VIRAL_VIDEO%22%2C%22placeholder_product_id%22%3A%221733551239648413075%22%2C%22placeholder_video_id%22%3A%227634842342737841426%22%7D&amp;ec_shared_reflux_scene=shop_tab_feed&amp;share_item_id=7634842342737841426&amp;source=h5_t</v>
      </c>
      <c r="P119" s="333" t="str">
        <f>IFERROR(__xludf.DUMMYFUNCTION("""COMPUTED_VALUE"""),"Concept 3")</f>
        <v>Concept 3</v>
      </c>
      <c r="Q119" s="279" t="str">
        <f>IFERROR(__xludf.DUMMYFUNCTION("""COMPUTED_VALUE"""),"https://www.tiktok.com/@beauty.iidd/video/7636031847516114184?_r=1&amp;u_code=ebjf03139m95gf&amp;region=&amp;mid=7620330197195295506&amp;preview_pb=0&amp;sharer_language=&amp;_d=0&amp;ec_shared_reflux_dynamic_params=%7B%22placeholder_material_id%22%3A%227636031847516114184%22%2C%22p"&amp;"laceholder_origin_cover%22%3A%22https%253A%252F%252Fp16-common-sign.tiktokcdn.com%252Ftos-alisg-p-0037%252FowjfNDQsAkJQ3BoT4K4FEGReQCLfQXh4FADoI6~tplv-tiktokx-origin.jpeg%253Fdr%253D14572%2526refresh_token%253D66c77f95%2526x-expires%253D1809597600%2526x-s"&amp;"ignature%253D1c4DVsiko4CN%25252FoTZfZgixTSTL9k%25253D%2526t%253D4d5b0474%2526ps%253D13740610%2526shp%253Dd05b14bd%2526shcp%253D34ff8df6%2526idc%253Dmy%2526s%253DTIKTOK_AFFILIATE_VIRAL_VIDEO%22%2C%22placeholder_product_id%22%3A%221733551239648413075%22%2C%"&amp;"22placeholder_video_id%22%3A%227636031847516114184%22%7D&amp;ec_shared_reflux_scene=shop_tab_feed&amp;share_item_id=7636031847516114184&amp;source=h5_t")</f>
        <v>https://www.tiktok.com/@beauty.iidd/video/7636031847516114184?_r=1&amp;u_code=ebjf03139m95gf&amp;region=&amp;mid=7620330197195295506&amp;preview_pb=0&amp;sharer_language=&amp;_d=0&amp;ec_shared_reflux_dynamic_params=%7B%22placeholder_material_id%22%3A%227636031847516114184%22%2C%22placeholder_origin_cover%22%3A%22https%253A%252F%252Fp16-common-sign.tiktokcdn.com%252Ftos-alisg-p-0037%252FowjfNDQsAkJQ3BoT4K4FEGReQCLfQXh4FADoI6~tplv-tiktokx-origin.jpeg%253Fdr%253D14572%2526refresh_token%253D66c77f95%2526x-expires%253D1809597600%2526x-signature%253D1c4DVsiko4CN%25252FoTZfZgixTSTL9k%25253D%2526t%253D4d5b0474%2526ps%253D13740610%2526shp%253Dd05b14bd%2526shcp%253D34ff8df6%2526idc%253Dmy%2526s%253DTIKTOK_AFFILIATE_VIRAL_VIDEO%22%2C%22placeholder_product_id%22%3A%221733551239648413075%22%2C%22placeholder_video_id%22%3A%227636031847516114184%22%7D&amp;ec_shared_reflux_scene=shop_tab_feed&amp;share_item_id=7636031847516114184&amp;source=h5_t</v>
      </c>
      <c r="R119" s="266">
        <f>IFERROR(__xludf.DUMMYFUNCTION("""COMPUTED_VALUE"""),21972.0)</f>
        <v>21972</v>
      </c>
      <c r="S119" s="266"/>
      <c r="T119" s="266"/>
      <c r="U119" s="266"/>
    </row>
    <row r="120">
      <c r="A120" s="255" t="str">
        <f>IFERROR(__xludf.DUMMYFUNCTION("""COMPUTED_VALUE"""),"NANO")</f>
        <v>NANO</v>
      </c>
      <c r="B120" t="str">
        <f>IFERROR(__xludf.DUMMYFUNCTION("""COMPUTED_VALUE"""),"pipittindah_")</f>
        <v>pipittindah_</v>
      </c>
      <c r="C120" s="281" t="str">
        <f>IFERROR(__xludf.DUMMYFUNCTION("""COMPUTED_VALUE"""),"https://www.tiktok.com/@pipittindah_")</f>
        <v>https://www.tiktok.com/@pipittindah_</v>
      </c>
      <c r="D120" s="270">
        <f>IFERROR(__xludf.DUMMYFUNCTION("""COMPUTED_VALUE"""),8.585255342E10)</f>
        <v>85852553420</v>
      </c>
      <c r="E120" s="271">
        <f>IFERROR(__xludf.DUMMYFUNCTION("""COMPUTED_VALUE"""),0.0)</f>
        <v>0</v>
      </c>
      <c r="F120" s="270">
        <f>IFERROR(__xludf.DUMMYFUNCTION("""COMPUTED_VALUE"""),2.0)</f>
        <v>2</v>
      </c>
      <c r="G120" s="59" t="str">
        <f>IFERROR(__xludf.DUMMYFUNCTION("""COMPUTED_VALUE"""),"Rp298,8JT")</f>
        <v>Rp298,8JT</v>
      </c>
      <c r="H120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120" s="260" t="str">
        <f>IFERROR(__xludf.DUMMYFUNCTION("""COMPUTED_VALUE"""),"Sampai")</f>
        <v>Sampai</v>
      </c>
      <c r="J120" s="333" t="str">
        <f>IFERROR(__xludf.DUMMYFUNCTION("""COMPUTED_VALUE"""),"Concept 3")</f>
        <v>Concept 3</v>
      </c>
      <c r="K120" s="278" t="str">
        <f>IFERROR(__xludf.DUMMYFUNCTION("""COMPUTED_VALUE"""),"https://vt.tiktok.com/ZS9Xw6BJn/")</f>
        <v>https://vt.tiktok.com/ZS9Xw6BJn/</v>
      </c>
      <c r="L120" s="333" t="str">
        <f>IFERROR(__xludf.DUMMYFUNCTION("""COMPUTED_VALUE"""),"Concept 3")</f>
        <v>Concept 3</v>
      </c>
      <c r="M120" s="278" t="str">
        <f>IFERROR(__xludf.DUMMYFUNCTION("""COMPUTED_VALUE"""),"https://www.tiktok.com/@pipittindah_/video/7633407063917464840?_r=1&amp;u_code=ei7f388mlfm824&amp;region=&amp;mid=7367338564638837521&amp;preview_pb=0&amp;sharer_language=&amp;_d=0&amp;ec_shared_reflux_dynamic_params=%7B%22placeholder_material_id%22%3A%227633407063917464840%22%2C%22"&amp;"placeholder_origin_cover%22%3A%22https%253A%252F%252Fp16-common-sign.tiktokcdn.com%252Ftos-alisg-p-0037%252FoIV1leQABDATjw38znX4eleWRp41FIAiMCpjOZ~tplv-tiktokx-origin.jpeg%253Fdr%253D14572%2526refresh_token%253D7e0659bf%2526x-expires%253D1811325600%2526x-"&amp;"signature%253DnD%25252BEGfn6l83uAyNWY6UEXHY4h3o%25253D%2526t%253D4d5b0474%2526ps%253D13740610%2526shp%253Dd05b14bd%2526shcp%253D34ff8df6%2526idc%253Dmy2%2526s%253DTIKTOK_AFFILIATE_VIRAL_VIDEO%22%2C%22placeholder_product_id%22%3A%221734428324539958675%22%2"&amp;"C%22placeholder_video_id%22%3A%227633407063917464840%22%7D&amp;ec_shared_reflux_scene=shop_tab_feed&amp;share_item_id=7633407063917464840&amp;source=h5_t")</f>
        <v>https://www.tiktok.com/@pipittindah_/video/7633407063917464840?_r=1&amp;u_code=ei7f388mlfm824&amp;region=&amp;mid=7367338564638837521&amp;preview_pb=0&amp;sharer_language=&amp;_d=0&amp;ec_shared_reflux_dynamic_params=%7B%22placeholder_material_id%22%3A%227633407063917464840%22%2C%22placeholder_origin_cover%22%3A%22https%253A%252F%252Fp16-common-sign.tiktokcdn.com%252Ftos-alisg-p-0037%252FoIV1leQABDATjw38znX4eleWRp41FIAiMCpjOZ~tplv-tiktokx-origin.jpeg%253Fdr%253D14572%2526refresh_token%253D7e0659bf%2526x-expires%253D1811325600%2526x-signature%253DnD%25252BEGfn6l83uAyNWY6UEXHY4h3o%25253D%2526t%253D4d5b0474%2526ps%253D13740610%2526shp%253Dd05b14bd%2526shcp%253D34ff8df6%2526idc%253Dmy2%2526s%253DTIKTOK_AFFILIATE_VIRAL_VIDEO%22%2C%22placeholder_product_id%22%3A%221734428324539958675%22%2C%22placeholder_video_id%22%3A%227633407063917464840%22%7D&amp;ec_shared_reflux_scene=shop_tab_feed&amp;share_item_id=7633407063917464840&amp;source=h5_t</v>
      </c>
      <c r="N120" s="333"/>
      <c r="O120" s="17"/>
      <c r="P120" s="333"/>
      <c r="Q120" s="17"/>
      <c r="R120" s="266">
        <f>IFERROR(__xludf.DUMMYFUNCTION("""COMPUTED_VALUE"""),0.0)</f>
        <v>0</v>
      </c>
      <c r="S120" s="266"/>
      <c r="T120" s="266"/>
      <c r="U120" s="266"/>
    </row>
    <row r="121">
      <c r="A121" s="255" t="str">
        <f>IFERROR(__xludf.DUMMYFUNCTION("""COMPUTED_VALUE"""),"NANO")</f>
        <v>NANO</v>
      </c>
      <c r="B121" s="257" t="str">
        <f>IFERROR(__xludf.DUMMYFUNCTION("""COMPUTED_VALUE"""),"dinif.sa")</f>
        <v>dinif.sa</v>
      </c>
      <c r="C121" s="281" t="str">
        <f>IFERROR(__xludf.DUMMYFUNCTION("""COMPUTED_VALUE"""),"https://www.tiktok.com/@dinif.sa")</f>
        <v>https://www.tiktok.com/@dinif.sa</v>
      </c>
      <c r="D121" s="270">
        <f>IFERROR(__xludf.DUMMYFUNCTION("""COMPUTED_VALUE"""),8.5212884452E10)</f>
        <v>85212884452</v>
      </c>
      <c r="E121" s="271">
        <f>IFERROR(__xludf.DUMMYFUNCTION("""COMPUTED_VALUE"""),0.0)</f>
        <v>0</v>
      </c>
      <c r="F121" s="270">
        <f>IFERROR(__xludf.DUMMYFUNCTION("""COMPUTED_VALUE"""),2.0)</f>
        <v>2</v>
      </c>
      <c r="G121" s="59" t="str">
        <f>IFERROR(__xludf.DUMMYFUNCTION("""COMPUTED_VALUE"""),"Rp360,7JT")</f>
        <v>Rp360,7JT</v>
      </c>
      <c r="H121" s="277" t="str">
        <f>IFERROR(__xludf.DUMMYFUNCTION("""COMPUTED_VALUE"""),"NEW! OMG Acne &amp; Oil Control UV Barrier Sunscreen SPF50 PA++++ ")</f>
        <v>NEW! OMG Acne &amp; Oil Control UV Barrier Sunscreen SPF50 PA++++ </v>
      </c>
      <c r="I121" s="260" t="str">
        <f>IFERROR(__xludf.DUMMYFUNCTION("""COMPUTED_VALUE"""),"Sampai")</f>
        <v>Sampai</v>
      </c>
      <c r="J121" s="333" t="str">
        <f>IFERROR(__xludf.DUMMYFUNCTION("""COMPUTED_VALUE"""),"Concept 3")</f>
        <v>Concept 3</v>
      </c>
      <c r="K121" s="278" t="str">
        <f>IFERROR(__xludf.DUMMYFUNCTION("""COMPUTED_VALUE"""),"https://www.tiktok.com/@dinif.sa/video/7613613556050791700?_r=1&amp;u_code=dbghm7c96hifg4&amp;region=&amp;mid=7575135744474254098&amp;preview_pb=0&amp;sharer_language=&amp;_d=0&amp;ec_shared_reflux_dynamic_params=%7B%22placeholder_material_id%22%3A%227613613556050791700%22%2C%22plac"&amp;"eholder_origin_cover%22%3A%22https%253A%252F%252Fp16-common-sign.tiktokcdn.com%252Ftos-alisg-p-0037%252FoMRWqFBRcDpNqEE0fgnCAaT1Qf9YB4BEURQnPD~tplv-tiktokx-origin.jpeg%253Fdr%253D14572%2526refresh_token%253D568af14a%2526x-expires%253D1808820000%2526x-sign"&amp;"ature%253DeghHxpYs2o3MPBBnC6rkSztCMRw%25253D%2526t%253D4d5b0474%2526ps%253D13740610%2526shp%253Dd05b14bd%2526shcp%253D34ff8df6%2526idc%253Dmy3%2526s%253DTIKTOK_AFFILIATE_VIRAL_VIDEO%22%2C%22placeholder_product_id%22%3A%221733551239648413075%22%2C%22placeh"&amp;"older_video_id%22%3A%227613613556050791700%22%7D&amp;ec_shared_reflux_scene=shop_tab_feed&amp;share_item_id=7613613556050791700&amp;source=h5_t")</f>
        <v>https://www.tiktok.com/@dinif.sa/video/7613613556050791700?_r=1&amp;u_code=dbghm7c96hifg4&amp;region=&amp;mid=7575135744474254098&amp;preview_pb=0&amp;sharer_language=&amp;_d=0&amp;ec_shared_reflux_dynamic_params=%7B%22placeholder_material_id%22%3A%227613613556050791700%22%2C%22placeholder_origin_cover%22%3A%22https%253A%252F%252Fp16-common-sign.tiktokcdn.com%252Ftos-alisg-p-0037%252FoMRWqFBRcDpNqEE0fgnCAaT1Qf9YB4BEURQnPD~tplv-tiktokx-origin.jpeg%253Fdr%253D14572%2526refresh_token%253D568af14a%2526x-expires%253D1808820000%2526x-signature%253DeghHxpYs2o3MPBBnC6rkSztCMRw%25253D%2526t%253D4d5b0474%2526ps%253D13740610%2526shp%253Dd05b14bd%2526shcp%253D34ff8df6%2526idc%253Dmy3%2526s%253DTIKTOK_AFFILIATE_VIRAL_VIDEO%22%2C%22placeholder_product_id%22%3A%221733551239648413075%22%2C%22placeholder_video_id%22%3A%227613613556050791700%22%7D&amp;ec_shared_reflux_scene=shop_tab_feed&amp;share_item_id=7613613556050791700&amp;source=h5_t</v>
      </c>
      <c r="L121" s="333" t="str">
        <f>IFERROR(__xludf.DUMMYFUNCTION("""COMPUTED_VALUE"""),"Concept 3")</f>
        <v>Concept 3</v>
      </c>
      <c r="M121" s="278" t="str">
        <f>IFERROR(__xludf.DUMMYFUNCTION("""COMPUTED_VALUE"""),"https://www.tiktok.com/@dinif.sa/video/7613750988062723349?_r=1&amp;u_code=dbghm7c96hifg4&amp;region=&amp;mid=7543200900451273488&amp;preview_pb=0&amp;sharer_language=&amp;_d=0&amp;ec_shared_reflux_dynamic_params=%7B%22placeholder_material_id%22%3A%227613750988062723349%22%2C%22plac"&amp;"eholder_origin_cover%22%3A%22https%253A%252F%252Fp16-sign-sg.tiktokcdn.com%252Ftos-alisg-p-0037%252FogEjQccfXkYQvPERUeqpyEFo6j3D79gBAjnGSB~tplv-tiktokx-origin.jpeg%253Fdr%253D14572%2526refresh_token%253Dd695cbf2%2526x-expires%253D1808820000%2526x-signatur"&amp;"e%253DMmAebnfMRJ2j4hhXvgbNvTgwM7E%25253D%2526t%253D4d5b0474%2526ps%253D13740610%2526shp%253Dd05b14bd%2526shcp%253D34ff8df6%2526idc%253Dmy3%2526s%253DTIKTOK_AFFILIATE_VIRAL_VIDEO%22%2C%22placeholder_product_id%22%3A%221733551239648413075%22%2C%22placeholde"&amp;"r_video_id%22%3A%227613750988062723349%22%7D&amp;ec_shared_reflux_scene=shop_tab_feed&amp;share_item_id=7613750988062723349&amp;source=h5_t")</f>
        <v>https://www.tiktok.com/@dinif.sa/video/7613750988062723349?_r=1&amp;u_code=dbghm7c96hifg4&amp;region=&amp;mid=7543200900451273488&amp;preview_pb=0&amp;sharer_language=&amp;_d=0&amp;ec_shared_reflux_dynamic_params=%7B%22placeholder_material_id%22%3A%227613750988062723349%22%2C%22placeholder_origin_cover%22%3A%22https%253A%252F%252Fp16-sign-sg.tiktokcdn.com%252Ftos-alisg-p-0037%252FogEjQccfXkYQvPERUeqpyEFo6j3D79gBAjnGSB~tplv-tiktokx-origin.jpeg%253Fdr%253D14572%2526refresh_token%253Dd695cbf2%2526x-expires%253D1808820000%2526x-signature%253DMmAebnfMRJ2j4hhXvgbNvTgwM7E%25253D%2526t%253D4d5b0474%2526ps%253D13740610%2526shp%253Dd05b14bd%2526shcp%253D34ff8df6%2526idc%253Dmy3%2526s%253DTIKTOK_AFFILIATE_VIRAL_VIDEO%22%2C%22placeholder_product_id%22%3A%221733551239648413075%22%2C%22placeholder_video_id%22%3A%227613750988062723349%22%7D&amp;ec_shared_reflux_scene=shop_tab_feed&amp;share_item_id=7613750988062723349&amp;source=h5_t</v>
      </c>
      <c r="N121" s="333" t="str">
        <f>IFERROR(__xludf.DUMMYFUNCTION("""COMPUTED_VALUE"""),"Concept 3")</f>
        <v>Concept 3</v>
      </c>
      <c r="O121" s="279" t="str">
        <f>IFERROR(__xludf.DUMMYFUNCTION("""COMPUTED_VALUE"""),"https://www.tiktok.com/@dinif.sa/video/7616717267576868116?is_from_webapp=1&amp;sender_device=pc")</f>
        <v>https://www.tiktok.com/@dinif.sa/video/7616717267576868116?is_from_webapp=1&amp;sender_device=pc</v>
      </c>
      <c r="P121" s="333" t="str">
        <f>IFERROR(__xludf.DUMMYFUNCTION("""COMPUTED_VALUE"""),"Concept 3")</f>
        <v>Concept 3</v>
      </c>
      <c r="Q121" s="279" t="str">
        <f>IFERROR(__xludf.DUMMYFUNCTION("""COMPUTED_VALUE"""),"https://www.tiktok.com/@dinif.sa/video/7621129696100633876?is_from_webapp=1&amp;sender_device=pc")</f>
        <v>https://www.tiktok.com/@dinif.sa/video/7621129696100633876?is_from_webapp=1&amp;sender_device=pc</v>
      </c>
      <c r="R121" s="266">
        <f>IFERROR(__xludf.DUMMYFUNCTION("""COMPUTED_VALUE"""),0.0)</f>
        <v>0</v>
      </c>
      <c r="S121" s="266"/>
      <c r="T121" s="266"/>
      <c r="U121" s="266"/>
    </row>
    <row r="122">
      <c r="A122" s="255" t="str">
        <f>IFERROR(__xludf.DUMMYFUNCTION("""COMPUTED_VALUE"""),"NANO")</f>
        <v>NANO</v>
      </c>
      <c r="B122" s="23" t="str">
        <f>IFERROR(__xludf.DUMMYFUNCTION("""COMPUTED_VALUE"""),"toko.yaa_")</f>
        <v>toko.yaa_</v>
      </c>
      <c r="C122" s="281" t="str">
        <f>IFERROR(__xludf.DUMMYFUNCTION("""COMPUTED_VALUE"""),"https://www.tiktok.com/@toko.yaa_")</f>
        <v>https://www.tiktok.com/@toko.yaa_</v>
      </c>
      <c r="D122" s="270">
        <f>IFERROR(__xludf.DUMMYFUNCTION("""COMPUTED_VALUE"""),8.3834476714E10)</f>
        <v>83834476714</v>
      </c>
      <c r="E122" s="271">
        <f>IFERROR(__xludf.DUMMYFUNCTION("""COMPUTED_VALUE"""),0.0)</f>
        <v>0</v>
      </c>
      <c r="F122" s="270">
        <f>IFERROR(__xludf.DUMMYFUNCTION("""COMPUTED_VALUE"""),2.0)</f>
        <v>2</v>
      </c>
      <c r="G122" s="59" t="str">
        <f>IFERROR(__xludf.DUMMYFUNCTION("""COMPUTED_VALUE"""),"Rp12,0JT")</f>
        <v>Rp12,0JT</v>
      </c>
      <c r="H122" s="277" t="str">
        <f>IFERROR(__xludf.DUMMYFUNCTION("""COMPUTED_VALUE"""),"Brightening &amp; Soothing Toner")</f>
        <v>Brightening &amp; Soothing Toner</v>
      </c>
      <c r="I122" s="260" t="str">
        <f>IFERROR(__xludf.DUMMYFUNCTION("""COMPUTED_VALUE"""),"Sampai")</f>
        <v>Sampai</v>
      </c>
      <c r="J122" s="333" t="str">
        <f>IFERROR(__xludf.DUMMYFUNCTION("""COMPUTED_VALUE"""),"Concept 3")</f>
        <v>Concept 3</v>
      </c>
      <c r="K122" s="278" t="str">
        <f>IFERROR(__xludf.DUMMYFUNCTION("""COMPUTED_VALUE"""),"https://vt.tiktok.com/ZS9pR9AvT/")</f>
        <v>https://vt.tiktok.com/ZS9pR9AvT/</v>
      </c>
      <c r="L122" s="333" t="str">
        <f>IFERROR(__xludf.DUMMYFUNCTION("""COMPUTED_VALUE"""),"Concept 3")</f>
        <v>Concept 3</v>
      </c>
      <c r="M122" s="262" t="str">
        <f>IFERROR(__xludf.DUMMYFUNCTION("""COMPUTED_VALUE"""),"⁠https://vt.tiktok.com/ZS9pRkSce/")</f>
        <v>⁠https://vt.tiktok.com/ZS9pRkSce/</v>
      </c>
      <c r="N122" s="333" t="str">
        <f>IFERROR(__xludf.DUMMYFUNCTION("""COMPUTED_VALUE"""),"Concept 3")</f>
        <v>Concept 3</v>
      </c>
      <c r="O122" s="279" t="str">
        <f>IFERROR(__xludf.DUMMYFUNCTION("""COMPUTED_VALUE"""),"https://vt.tiktok.com/ZS9pR6r26/")</f>
        <v>https://vt.tiktok.com/ZS9pR6r26/</v>
      </c>
      <c r="P122" s="333" t="str">
        <f>IFERROR(__xludf.DUMMYFUNCTION("""COMPUTED_VALUE"""),"Concept 3")</f>
        <v>Concept 3</v>
      </c>
      <c r="Q122" s="279" t="str">
        <f>IFERROR(__xludf.DUMMYFUNCTION("""COMPUTED_VALUE"""),"https://vt.tiktok.com/ZS9pRkecX/")</f>
        <v>https://vt.tiktok.com/ZS9pRkecX/</v>
      </c>
      <c r="R122" s="266">
        <f>IFERROR(__xludf.DUMMYFUNCTION("""COMPUTED_VALUE"""),28350.0)</f>
        <v>28350</v>
      </c>
      <c r="S122" s="266"/>
      <c r="T122" s="266"/>
      <c r="U122" s="266"/>
    </row>
    <row r="123">
      <c r="A123" s="255" t="str">
        <f>IFERROR(__xludf.DUMMYFUNCTION("""COMPUTED_VALUE"""),"NANO")</f>
        <v>NANO</v>
      </c>
      <c r="B123" s="23" t="str">
        <f>IFERROR(__xludf.DUMMYFUNCTION("""COMPUTED_VALUE"""),"affiliatee482")</f>
        <v>affiliatee482</v>
      </c>
      <c r="C123" s="281" t="str">
        <f>IFERROR(__xludf.DUMMYFUNCTION("""COMPUTED_VALUE"""),"https://www.tiktok.com/@affiliatee482")</f>
        <v>https://www.tiktok.com/@affiliatee482</v>
      </c>
      <c r="D123" s="270">
        <f>IFERROR(__xludf.DUMMYFUNCTION("""COMPUTED_VALUE"""),8.82006858119E11)</f>
        <v>882006858119</v>
      </c>
      <c r="E123" s="271">
        <f>IFERROR(__xludf.DUMMYFUNCTION("""COMPUTED_VALUE"""),0.0)</f>
        <v>0</v>
      </c>
      <c r="F123" s="270">
        <f>IFERROR(__xludf.DUMMYFUNCTION("""COMPUTED_VALUE"""),2.0)</f>
        <v>2</v>
      </c>
      <c r="G123" s="59" t="str">
        <f>IFERROR(__xludf.DUMMYFUNCTION("""COMPUTED_VALUE"""),"Rp6,1JT")</f>
        <v>Rp6,1JT</v>
      </c>
      <c r="H123" s="277" t="str">
        <f>IFERROR(__xludf.DUMMYFUNCTION("""COMPUTED_VALUE"""),"Brightening &amp; Soothing Toner")</f>
        <v>Brightening &amp; Soothing Toner</v>
      </c>
      <c r="I123" s="260" t="str">
        <f>IFERROR(__xludf.DUMMYFUNCTION("""COMPUTED_VALUE"""),"Sampai")</f>
        <v>Sampai</v>
      </c>
      <c r="J123" s="333" t="str">
        <f>IFERROR(__xludf.DUMMYFUNCTION("""COMPUTED_VALUE"""),"Concept 3")</f>
        <v>Concept 3</v>
      </c>
      <c r="K123" s="278" t="str">
        <f>IFERROR(__xludf.DUMMYFUNCTION("""COMPUTED_VALUE"""),"https://vt.tiktok.com/ZS9bFgXfN/")</f>
        <v>https://vt.tiktok.com/ZS9bFgXfN/</v>
      </c>
      <c r="L123" s="333" t="str">
        <f>IFERROR(__xludf.DUMMYFUNCTION("""COMPUTED_VALUE"""),"Concept 3")</f>
        <v>Concept 3</v>
      </c>
      <c r="M123" s="278" t="str">
        <f>IFERROR(__xludf.DUMMYFUNCTION("""COMPUTED_VALUE"""),"https://www.tiktok.com/@affiliatee482/video/7636732719040482578?_d=0&amp;_r=1&amp;ec_shared_reflux_dynamic_params=%7B%22placeholder_material_id%22%3A%227636732719040482578%22%2C%22placeholder_origin_cover%22%3A%22https%253A%252F%252Fp16-common-sign.tiktokcdn.com%"&amp;"252Ftos-alisg-p-0037%252FoQ2YfiA24ACIHUfIYYNPLfLSfgMguiIWwPUAeT~tplv-tiktokx-origin.jpeg%253Fdr%253D14572%2526refresh_token%253Da7d1d196%2526x-expires%253D1810980000%2526x-signature%253DmBV98v5tTIcGFB5B3Ft9yyoLUB8%25253D%2526t%253D4d5b0474%2526ps%253D1374"&amp;"0610%2526shp%253Dd05b14bd%2526shcp%253D34ff8df6%2526idc%253Dmy2%2526s%253DTIKTOK_AFFILIATE_VIRAL_VIDEO%22%2C%22placeholder_product_id%22%3A%221733551239648413075%22%2C%22placeholder_video_id%22%3A%227636732719040482578%22%7D&amp;ec_shared_reflux_scene=shop_ta"&amp;"b_feed&amp;mid=7359400463302740768&amp;preview_pb=0&amp;region=&amp;share_item_id=7636732719040482578&amp;sharer_language=&amp;source=h5_t&amp;u_code=ei93hjm8hm70ef")</f>
        <v>https://www.tiktok.com/@affiliatee482/video/7636732719040482578?_d=0&amp;_r=1&amp;ec_shared_reflux_dynamic_params=%7B%22placeholder_material_id%22%3A%227636732719040482578%22%2C%22placeholder_origin_cover%22%3A%22https%253A%252F%252Fp16-common-sign.tiktokcdn.com%252Ftos-alisg-p-0037%252FoQ2YfiA24ACIHUfIYYNPLfLSfgMguiIWwPUAeT~tplv-tiktokx-origin.jpeg%253Fdr%253D14572%2526refresh_token%253Da7d1d196%2526x-expires%253D1810980000%2526x-signature%253DmBV98v5tTIcGFB5B3Ft9yyoLUB8%25253D%2526t%253D4d5b0474%2526ps%253D13740610%2526shp%253Dd05b14bd%2526shcp%253D34ff8df6%2526idc%253Dmy2%2526s%253DTIKTOK_AFFILIATE_VIRAL_VIDEO%22%2C%22placeholder_product_id%22%3A%221733551239648413075%22%2C%22placeholder_video_id%22%3A%227636732719040482578%22%7D&amp;ec_shared_reflux_scene=shop_tab_feed&amp;mid=7359400463302740768&amp;preview_pb=0&amp;region=&amp;share_item_id=7636732719040482578&amp;sharer_language=&amp;source=h5_t&amp;u_code=ei93hjm8hm70ef</v>
      </c>
      <c r="N123" s="333"/>
      <c r="O123" s="17"/>
      <c r="P123" s="333"/>
      <c r="Q123" s="17"/>
      <c r="R123" s="266">
        <f>IFERROR(__xludf.DUMMYFUNCTION("""COMPUTED_VALUE"""),0.0)</f>
        <v>0</v>
      </c>
      <c r="S123" s="266"/>
      <c r="T123" s="266"/>
      <c r="U123" s="266"/>
    </row>
    <row r="124">
      <c r="A124" s="255" t="str">
        <f>IFERROR(__xludf.DUMMYFUNCTION("""COMPUTED_VALUE"""),"MICRO")</f>
        <v>MICRO</v>
      </c>
      <c r="B124" s="23" t="str">
        <f>IFERROR(__xludf.DUMMYFUNCTION("""COMPUTED_VALUE"""),"puspitajasmine26")</f>
        <v>puspitajasmine26</v>
      </c>
      <c r="C124" s="281" t="str">
        <f>IFERROR(__xludf.DUMMYFUNCTION("""COMPUTED_VALUE"""),"https://www.tiktok.com/@puspitajasmine26")</f>
        <v>https://www.tiktok.com/@puspitajasmine26</v>
      </c>
      <c r="D124" s="270">
        <f>IFERROR(__xludf.DUMMYFUNCTION("""COMPUTED_VALUE"""),8.782568825E10)</f>
        <v>87825688250</v>
      </c>
      <c r="E124" s="271">
        <f>IFERROR(__xludf.DUMMYFUNCTION("""COMPUTED_VALUE"""),0.0)</f>
        <v>0</v>
      </c>
      <c r="F124" s="270">
        <f>IFERROR(__xludf.DUMMYFUNCTION("""COMPUTED_VALUE"""),2.0)</f>
        <v>2</v>
      </c>
      <c r="G124" s="59" t="str">
        <f>IFERROR(__xludf.DUMMYFUNCTION("""COMPUTED_VALUE"""),"Rp1JT+")</f>
        <v>Rp1JT+</v>
      </c>
      <c r="H124" s="277"/>
      <c r="I124" s="260" t="str">
        <f>IFERROR(__xludf.DUMMYFUNCTION("""COMPUTED_VALUE"""),"Kendala [FU!]")</f>
        <v>Kendala [FU!]</v>
      </c>
      <c r="J124" s="333"/>
      <c r="K124" s="262"/>
      <c r="L124" s="333"/>
      <c r="M124" s="262"/>
      <c r="N124" s="333"/>
      <c r="O124" s="17"/>
      <c r="P124" s="333"/>
      <c r="Q124" s="17"/>
      <c r="R124" s="266">
        <f>IFERROR(__xludf.DUMMYFUNCTION("""COMPUTED_VALUE"""),0.0)</f>
        <v>0</v>
      </c>
      <c r="S124" s="266"/>
      <c r="T124" s="266"/>
      <c r="U124" s="266"/>
    </row>
    <row r="125">
      <c r="A125" s="255" t="str">
        <f>IFERROR(__xludf.DUMMYFUNCTION("""COMPUTED_VALUE"""),"NANO")</f>
        <v>NANO</v>
      </c>
      <c r="B125" s="23" t="str">
        <f>IFERROR(__xludf.DUMMYFUNCTION("""COMPUTED_VALUE"""),"aradumpie.__")</f>
        <v>aradumpie.__</v>
      </c>
      <c r="C125" s="281" t="str">
        <f>IFERROR(__xludf.DUMMYFUNCTION("""COMPUTED_VALUE"""),"https://www.tiktok.com/@aradumpie.__")</f>
        <v>https://www.tiktok.com/@aradumpie.__</v>
      </c>
      <c r="D125" s="270">
        <f>IFERROR(__xludf.DUMMYFUNCTION("""COMPUTED_VALUE"""),8.9634663225E10)</f>
        <v>89634663225</v>
      </c>
      <c r="E125" s="271">
        <f>IFERROR(__xludf.DUMMYFUNCTION("""COMPUTED_VALUE"""),0.0)</f>
        <v>0</v>
      </c>
      <c r="F125" s="270">
        <f>IFERROR(__xludf.DUMMYFUNCTION("""COMPUTED_VALUE"""),2.0)</f>
        <v>2</v>
      </c>
      <c r="G125" s="59" t="str">
        <f>IFERROR(__xludf.DUMMYFUNCTION("""COMPUTED_VALUE"""),"Rp29,5JT")</f>
        <v>Rp29,5JT</v>
      </c>
      <c r="H125" s="277" t="str">
        <f>IFERROR(__xludf.DUMMYFUNCTION("""COMPUTED_VALUE"""),"Brightening &amp; Soothing Toner")</f>
        <v>Brightening &amp; Soothing Toner</v>
      </c>
      <c r="I125" s="260" t="str">
        <f>IFERROR(__xludf.DUMMYFUNCTION("""COMPUTED_VALUE"""),"Done Req Sample")</f>
        <v>Done Req Sample</v>
      </c>
      <c r="J125" s="333"/>
      <c r="K125" s="262"/>
      <c r="L125" s="333"/>
      <c r="M125" s="262"/>
      <c r="N125" s="333"/>
      <c r="O125" s="17"/>
      <c r="P125" s="333"/>
      <c r="Q125" s="17"/>
      <c r="R125" s="266">
        <f>IFERROR(__xludf.DUMMYFUNCTION("""COMPUTED_VALUE"""),0.0)</f>
        <v>0</v>
      </c>
      <c r="S125" s="266"/>
      <c r="T125" s="266"/>
      <c r="U125" s="266"/>
    </row>
    <row r="126">
      <c r="A126" s="255" t="str">
        <f>IFERROR(__xludf.DUMMYFUNCTION("""COMPUTED_VALUE"""),"NANO")</f>
        <v>NANO</v>
      </c>
      <c r="B126" s="23" t="str">
        <f>IFERROR(__xludf.DUMMYFUNCTION("""COMPUTED_VALUE"""),"iganisaadheliaas")</f>
        <v>iganisaadheliaas</v>
      </c>
      <c r="C126" s="281" t="str">
        <f>IFERROR(__xludf.DUMMYFUNCTION("""COMPUTED_VALUE"""),"https://www.tiktok.com/@iganisaadheliaas")</f>
        <v>https://www.tiktok.com/@iganisaadheliaas</v>
      </c>
      <c r="D126" s="270">
        <f>IFERROR(__xludf.DUMMYFUNCTION("""COMPUTED_VALUE"""),8.2167890916E10)</f>
        <v>82167890916</v>
      </c>
      <c r="E126" s="271">
        <f>IFERROR(__xludf.DUMMYFUNCTION("""COMPUTED_VALUE"""),0.0)</f>
        <v>0</v>
      </c>
      <c r="F126" s="270">
        <f>IFERROR(__xludf.DUMMYFUNCTION("""COMPUTED_VALUE"""),2.0)</f>
        <v>2</v>
      </c>
      <c r="G126" s="59" t="str">
        <f>IFERROR(__xludf.DUMMYFUNCTION("""COMPUTED_VALUE"""),"Rp28JT")</f>
        <v>Rp28JT</v>
      </c>
      <c r="H126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126" s="260" t="str">
        <f>IFERROR(__xludf.DUMMYFUNCTION("""COMPUTED_VALUE"""),"Sampai")</f>
        <v>Sampai</v>
      </c>
      <c r="J126" s="333" t="str">
        <f>IFERROR(__xludf.DUMMYFUNCTION("""COMPUTED_VALUE"""),"Concept 3")</f>
        <v>Concept 3</v>
      </c>
      <c r="K126" s="278" t="str">
        <f>IFERROR(__xludf.DUMMYFUNCTION("""COMPUTED_VALUE"""),"https://vt.tiktok.com/ZS9UsDAdy/")</f>
        <v>https://vt.tiktok.com/ZS9UsDAdy/</v>
      </c>
      <c r="L126" s="333" t="str">
        <f>IFERROR(__xludf.DUMMYFUNCTION("""COMPUTED_VALUE"""),"Concept 3")</f>
        <v>Concept 3</v>
      </c>
      <c r="M126" s="278" t="str">
        <f>IFERROR(__xludf.DUMMYFUNCTION("""COMPUTED_VALUE"""),"https://vt.tiktok.com/ZS9y6qek4/")</f>
        <v>https://vt.tiktok.com/ZS9y6qek4/</v>
      </c>
      <c r="N126" s="333"/>
      <c r="O126" s="17"/>
      <c r="P126" s="333"/>
      <c r="Q126" s="17"/>
      <c r="R126" s="266">
        <f>IFERROR(__xludf.DUMMYFUNCTION("""COMPUTED_VALUE"""),0.0)</f>
        <v>0</v>
      </c>
      <c r="S126" s="266"/>
      <c r="T126" s="266"/>
      <c r="U126" s="266"/>
    </row>
    <row r="127">
      <c r="A127" s="255" t="str">
        <f>IFERROR(__xludf.DUMMYFUNCTION("""COMPUTED_VALUE"""),"NANO")</f>
        <v>NANO</v>
      </c>
      <c r="B127" s="23" t="str">
        <f>IFERROR(__xludf.DUMMYFUNCTION("""COMPUTED_VALUE"""),"vinya.skincare")</f>
        <v>vinya.skincare</v>
      </c>
      <c r="C127" s="281" t="str">
        <f>IFERROR(__xludf.DUMMYFUNCTION("""COMPUTED_VALUE"""),"https://www.tiktok.com/@vinya.skincare")</f>
        <v>https://www.tiktok.com/@vinya.skincare</v>
      </c>
      <c r="D127" s="270">
        <f>IFERROR(__xludf.DUMMYFUNCTION("""COMPUTED_VALUE"""),8.2162535124E10)</f>
        <v>82162535124</v>
      </c>
      <c r="E127" s="271">
        <f>IFERROR(__xludf.DUMMYFUNCTION("""COMPUTED_VALUE"""),0.0)</f>
        <v>0</v>
      </c>
      <c r="F127" s="270">
        <f>IFERROR(__xludf.DUMMYFUNCTION("""COMPUTED_VALUE"""),2.0)</f>
        <v>2</v>
      </c>
      <c r="G127" s="59" t="str">
        <f>IFERROR(__xludf.DUMMYFUNCTION("""COMPUTED_VALUE"""),"Rp1JT+")</f>
        <v>Rp1JT+</v>
      </c>
      <c r="H127" s="277" t="str">
        <f>IFERROR(__xludf.DUMMYFUNCTION("""COMPUTED_VALUE"""),"Brightening &amp; Soothing Toner")</f>
        <v>Brightening &amp; Soothing Toner</v>
      </c>
      <c r="I127" s="260" t="str">
        <f>IFERROR(__xludf.DUMMYFUNCTION("""COMPUTED_VALUE"""),"Sampai")</f>
        <v>Sampai</v>
      </c>
      <c r="J127" s="333" t="str">
        <f>IFERROR(__xludf.DUMMYFUNCTION("""COMPUTED_VALUE"""),"Concept 3")</f>
        <v>Concept 3</v>
      </c>
      <c r="K127" s="278" t="str">
        <f>IFERROR(__xludf.DUMMYFUNCTION("""COMPUTED_VALUE"""),"https://www.tiktok.com/@vinya.skincare/video/7634120495579041044?_r=1&amp;u_code=e5e0d4ff523558&amp;region=&amp;mid=7615874061603719953&amp;preview_pb=0&amp;sharer_language=&amp;_d=0&amp;ec_shared_reflux_dynamic_params=%7B%22placeholder_material_id%22%3A%227634120495579041044%22%2C%"&amp;"22placeholder_origin_cover%22%3A%22https%253A%252F%252Fp16-common-sign.tiktokcdn.com%252Ftos-alisg-p-0037%252FokG2CD2YTfDwXCkxC1FEA8DfI4Ajj7lQQxfT46~tplv-tiktokx-origin.jpeg%253Fdr%253D14572%2526refresh_token%253D6cec8cbe%2526x-expires%253D1809424800%2526"&amp;"x-signature%253DWi7LapDCqhnz%25252FS6H9xRTzN%25252BIBOI%25253D%2526t%253D4d5b0474%2526ps%253D13740610%2526shp%253Dd05b14bd%2526shcp%253D34ff8df6%2526idc%253Dmy3%2526s%253DTIKTOK_AFFILIATE_VIRAL_VIDEO%22%2C%22placeholder_product_id%22%3A%221733551239648413"&amp;"075%22%2C%22placeholder_video_id%22%3A%227634120495579041044%22%7D&amp;ec_shared_reflux_scene=shop_tab_feed&amp;share_item_id=7634120495579041044&amp;source=h5_t")</f>
        <v>https://www.tiktok.com/@vinya.skincare/video/7634120495579041044?_r=1&amp;u_code=e5e0d4ff523558&amp;region=&amp;mid=7615874061603719953&amp;preview_pb=0&amp;sharer_language=&amp;_d=0&amp;ec_shared_reflux_dynamic_params=%7B%22placeholder_material_id%22%3A%227634120495579041044%22%2C%22placeholder_origin_cover%22%3A%22https%253A%252F%252Fp16-common-sign.tiktokcdn.com%252Ftos-alisg-p-0037%252FokG2CD2YTfDwXCkxC1FEA8DfI4Ajj7lQQxfT46~tplv-tiktokx-origin.jpeg%253Fdr%253D14572%2526refresh_token%253D6cec8cbe%2526x-expires%253D1809424800%2526x-signature%253DWi7LapDCqhnz%25252FS6H9xRTzN%25252BIBOI%25253D%2526t%253D4d5b0474%2526ps%253D13740610%2526shp%253Dd05b14bd%2526shcp%253D34ff8df6%2526idc%253Dmy3%2526s%253DTIKTOK_AFFILIATE_VIRAL_VIDEO%22%2C%22placeholder_product_id%22%3A%221733551239648413075%22%2C%22placeholder_video_id%22%3A%227634120495579041044%22%7D&amp;ec_shared_reflux_scene=shop_tab_feed&amp;share_item_id=7634120495579041044&amp;source=h5_t</v>
      </c>
      <c r="L127" s="333" t="str">
        <f>IFERROR(__xludf.DUMMYFUNCTION("""COMPUTED_VALUE"""),"Concept 3")</f>
        <v>Concept 3</v>
      </c>
      <c r="M127" s="278" t="str">
        <f>IFERROR(__xludf.DUMMYFUNCTION("""COMPUTED_VALUE"""),"https://www.tiktok.com/@vinya.skincare/video/7634100632999218453?_r=1&amp;u_code=e5e0d4ff523558&amp;region=&amp;mid=7155467080018429954&amp;preview_pb=0&amp;sharer_language=&amp;_d=0&amp;ec_shared_reflux_dynamic_params=%7B%22placeholder_material_id%22%3A%227634100632999218453%22%2C%"&amp;"22placeholder_origin_cover%22%3A%22https%253A%252F%252Fp19-common-sign.tiktokcdn.com%252Ftos-alisg-p-0037%252Fo0mhxAl7cUB2IEIp38FfBBgqvxPwX8IeRzD0Eq~tplv-tiktokx-origin.jpeg%253Fdr%253D14572%2526refresh_token%253Df215cba1%2526x-expires%253D1809424800%2526"&amp;"x-signature%253D%25252FI43VAoKbv7zvNhBwjq7ZkN8ooY%25253D%2526t%253D4d5b0474%2526ps%253D13740610%2526shp%253Dd05b14bd%2526shcp%253D34ff8df6%2526idc%253Dmy3%2526s%253DTIKTOK_AFFILIATE_VIRAL_VIDEO%22%2C%22placeholder_product_id%22%3A%221733551239648413075%22"&amp;"%2C%22placeholder_video_id%22%3A%227634100632999218453%22%7D&amp;ec_shared_reflux_scene=shop_tab_feed&amp;share_item_id=7634100632999218453&amp;source=h5_t")</f>
        <v>https://www.tiktok.com/@vinya.skincare/video/7634100632999218453?_r=1&amp;u_code=e5e0d4ff523558&amp;region=&amp;mid=7155467080018429954&amp;preview_pb=0&amp;sharer_language=&amp;_d=0&amp;ec_shared_reflux_dynamic_params=%7B%22placeholder_material_id%22%3A%227634100632999218453%22%2C%22placeholder_origin_cover%22%3A%22https%253A%252F%252Fp19-common-sign.tiktokcdn.com%252Ftos-alisg-p-0037%252Fo0mhxAl7cUB2IEIp38FfBBgqvxPwX8IeRzD0Eq~tplv-tiktokx-origin.jpeg%253Fdr%253D14572%2526refresh_token%253Df215cba1%2526x-expires%253D1809424800%2526x-signature%253D%25252FI43VAoKbv7zvNhBwjq7ZkN8ooY%25253D%2526t%253D4d5b0474%2526ps%253D13740610%2526shp%253Dd05b14bd%2526shcp%253D34ff8df6%2526idc%253Dmy3%2526s%253DTIKTOK_AFFILIATE_VIRAL_VIDEO%22%2C%22placeholder_product_id%22%3A%221733551239648413075%22%2C%22placeholder_video_id%22%3A%227634100632999218453%22%7D&amp;ec_shared_reflux_scene=shop_tab_feed&amp;share_item_id=7634100632999218453&amp;source=h5_t</v>
      </c>
      <c r="N127" s="333" t="str">
        <f>IFERROR(__xludf.DUMMYFUNCTION("""COMPUTED_VALUE"""),"Concept 3")</f>
        <v>Concept 3</v>
      </c>
      <c r="O127" s="279" t="str">
        <f>IFERROR(__xludf.DUMMYFUNCTION("""COMPUTED_VALUE"""),"https://www.tiktok.com/@vinya.skincare/video/7634095568926559509?_r=1&amp;u_code=e5e0d4ff523558&amp;region=&amp;mid=7611414933255670546&amp;preview_pb=0&amp;sharer_language=&amp;_d=0&amp;ec_shared_reflux_dynamic_params=%7B%22placeholder_material_id%22%3A%227634095568926559509%22%2C%"&amp;"22placeholder_origin_cover%22%3A%22https%253A%252F%252Fp16-common-sign.tiktokcdn.com%252Ftos-alisg-p-0037%252Fo4AIwUfIJbjwAK0GJiHaCZiCxBxYPDAgICABLq~tplv-tiktokx-origin.jpeg%253Fdr%253D14572%2526refresh_token%253D17adbfa3%2526x-expires%253D1809424800%2526"&amp;"x-signature%253D2%25252B%25252BOoopwtl7lisgIy5GicSWLUXw%25253D%2526t%253D4d5b0474%2526ps%253D13740610%2526shp%253Dd05b14bd%2526shcp%253D34ff8df6%2526idc%253Dmy3%2526s%253DTIKTOK_AFFILIATE_VIRAL_VIDEO%22%2C%22placeholder_product_id%22%3A%221733551239648413"&amp;"075%22%2C%22placeholder_video_id%22%3A%227634095568926559509%22%7D&amp;ec_shared_reflux_scene=shop_tab_feed&amp;share_item_id=7634095568926559509&amp;source=h5_t")</f>
        <v>https://www.tiktok.com/@vinya.skincare/video/7634095568926559509?_r=1&amp;u_code=e5e0d4ff523558&amp;region=&amp;mid=7611414933255670546&amp;preview_pb=0&amp;sharer_language=&amp;_d=0&amp;ec_shared_reflux_dynamic_params=%7B%22placeholder_material_id%22%3A%227634095568926559509%22%2C%22placeholder_origin_cover%22%3A%22https%253A%252F%252Fp16-common-sign.tiktokcdn.com%252Ftos-alisg-p-0037%252Fo4AIwUfIJbjwAK0GJiHaCZiCxBxYPDAgICABLq~tplv-tiktokx-origin.jpeg%253Fdr%253D14572%2526refresh_token%253D17adbfa3%2526x-expires%253D1809424800%2526x-signature%253D2%25252B%25252BOoopwtl7lisgIy5GicSWLUXw%25253D%2526t%253D4d5b0474%2526ps%253D13740610%2526shp%253Dd05b14bd%2526shcp%253D34ff8df6%2526idc%253Dmy3%2526s%253DTIKTOK_AFFILIATE_VIRAL_VIDEO%22%2C%22placeholder_product_id%22%3A%221733551239648413075%22%2C%22placeholder_video_id%22%3A%227634095568926559509%22%7D&amp;ec_shared_reflux_scene=shop_tab_feed&amp;share_item_id=7634095568926559509&amp;source=h5_t</v>
      </c>
      <c r="P127" s="333" t="str">
        <f>IFERROR(__xludf.DUMMYFUNCTION("""COMPUTED_VALUE"""),"Concept 3")</f>
        <v>Concept 3</v>
      </c>
      <c r="Q127" s="279" t="str">
        <f>IFERROR(__xludf.DUMMYFUNCTION("""COMPUTED_VALUE"""),"https://vt.tiktok.com/ZS9npU5JK/")</f>
        <v>https://vt.tiktok.com/ZS9npU5JK/</v>
      </c>
      <c r="R127" s="266">
        <f>IFERROR(__xludf.DUMMYFUNCTION("""COMPUTED_VALUE"""),0.0)</f>
        <v>0</v>
      </c>
      <c r="S127" s="266"/>
      <c r="T127" s="266"/>
      <c r="U127" s="266"/>
    </row>
    <row r="128">
      <c r="A128" s="255" t="str">
        <f>IFERROR(__xludf.DUMMYFUNCTION("""COMPUTED_VALUE"""),"NANO")</f>
        <v>NANO</v>
      </c>
      <c r="B128" s="23" t="str">
        <f>IFERROR(__xludf.DUMMYFUNCTION("""COMPUTED_VALUE"""),"tiktokshopp017_")</f>
        <v>tiktokshopp017_</v>
      </c>
      <c r="C128" s="281" t="str">
        <f>IFERROR(__xludf.DUMMYFUNCTION("""COMPUTED_VALUE"""),"https://www.tiktok.com/@tiktokshopp017_")</f>
        <v>https://www.tiktok.com/@tiktokshopp017_</v>
      </c>
      <c r="D128" s="270">
        <f>IFERROR(__xludf.DUMMYFUNCTION("""COMPUTED_VALUE"""),8.818239249E9)</f>
        <v>8818239249</v>
      </c>
      <c r="E128" s="271">
        <f>IFERROR(__xludf.DUMMYFUNCTION("""COMPUTED_VALUE"""),0.0)</f>
        <v>0</v>
      </c>
      <c r="F128" s="270">
        <f>IFERROR(__xludf.DUMMYFUNCTION("""COMPUTED_VALUE"""),2.0)</f>
        <v>2</v>
      </c>
      <c r="G128" s="59" t="str">
        <f>IFERROR(__xludf.DUMMYFUNCTION("""COMPUTED_VALUE"""),"Rp1JT+")</f>
        <v>Rp1JT+</v>
      </c>
      <c r="H128" s="277" t="str">
        <f>IFERROR(__xludf.DUMMYFUNCTION("""COMPUTED_VALUE"""),"Brightening &amp; Soothing Toner")</f>
        <v>Brightening &amp; Soothing Toner</v>
      </c>
      <c r="I128" s="260" t="str">
        <f>IFERROR(__xludf.DUMMYFUNCTION("""COMPUTED_VALUE"""),"Done Req Sample")</f>
        <v>Done Req Sample</v>
      </c>
      <c r="J128" s="333"/>
      <c r="K128" s="262"/>
      <c r="L128" s="333"/>
      <c r="M128" s="262"/>
      <c r="N128" s="333"/>
      <c r="O128" s="17"/>
      <c r="P128" s="333"/>
      <c r="Q128" s="17"/>
      <c r="R128" s="266">
        <f>IFERROR(__xludf.DUMMYFUNCTION("""COMPUTED_VALUE"""),0.0)</f>
        <v>0</v>
      </c>
      <c r="S128" s="266"/>
      <c r="T128" s="266"/>
      <c r="U128" s="266"/>
    </row>
    <row r="129">
      <c r="A129" s="255" t="str">
        <f>IFERROR(__xludf.DUMMYFUNCTION("""COMPUTED_VALUE"""),"NANO")</f>
        <v>NANO</v>
      </c>
      <c r="B129" s="23" t="str">
        <f>IFERROR(__xludf.DUMMYFUNCTION("""COMPUTED_VALUE"""),"pch992")</f>
        <v>pch992</v>
      </c>
      <c r="C129" s="281" t="str">
        <f>IFERROR(__xludf.DUMMYFUNCTION("""COMPUTED_VALUE"""),"https://www.tiktok.com/@pch992")</f>
        <v>https://www.tiktok.com/@pch992</v>
      </c>
      <c r="D129" s="270">
        <f>IFERROR(__xludf.DUMMYFUNCTION("""COMPUTED_VALUE"""),8.7709227979E10)</f>
        <v>87709227979</v>
      </c>
      <c r="E129" s="271">
        <f>IFERROR(__xludf.DUMMYFUNCTION("""COMPUTED_VALUE"""),125000.0)</f>
        <v>125000</v>
      </c>
      <c r="F129" s="270">
        <f>IFERROR(__xludf.DUMMYFUNCTION("""COMPUTED_VALUE"""),1.0)</f>
        <v>1</v>
      </c>
      <c r="G129" s="59" t="str">
        <f>IFERROR(__xludf.DUMMYFUNCTION("""COMPUTED_VALUE"""),"Rp1JT+")</f>
        <v>Rp1JT+</v>
      </c>
      <c r="H129" s="277" t="str">
        <f>IFERROR(__xludf.DUMMYFUNCTION("""COMPUTED_VALUE"""),"Brightening &amp; Soothing Toner")</f>
        <v>Brightening &amp; Soothing Toner</v>
      </c>
      <c r="I129" s="260" t="str">
        <f>IFERROR(__xludf.DUMMYFUNCTION("""COMPUTED_VALUE"""),"Sampai")</f>
        <v>Sampai</v>
      </c>
      <c r="J129" s="333" t="str">
        <f>IFERROR(__xludf.DUMMYFUNCTION("""COMPUTED_VALUE"""),"Concept 3")</f>
        <v>Concept 3</v>
      </c>
      <c r="K129" s="278" t="str">
        <f>IFERROR(__xludf.DUMMYFUNCTION("""COMPUTED_VALUE"""),"https://vt.tiktok.com/ZS9K88B7o/")</f>
        <v>https://vt.tiktok.com/ZS9K88B7o/</v>
      </c>
      <c r="L129" s="333"/>
      <c r="M129" s="262"/>
      <c r="N129" s="333"/>
      <c r="O129" s="17"/>
      <c r="P129" s="333"/>
      <c r="Q129" s="17"/>
      <c r="R129" s="266">
        <f>IFERROR(__xludf.DUMMYFUNCTION("""COMPUTED_VALUE"""),41187.0)</f>
        <v>41187</v>
      </c>
      <c r="S129" s="266"/>
      <c r="T129" s="266"/>
      <c r="U129" s="266"/>
    </row>
    <row r="130">
      <c r="A130" s="255" t="str">
        <f>IFERROR(__xludf.DUMMYFUNCTION("""COMPUTED_VALUE"""),"MICRO")</f>
        <v>MICRO</v>
      </c>
      <c r="B130" s="23" t="str">
        <f>IFERROR(__xludf.DUMMYFUNCTION("""COMPUTED_VALUE"""),"vansswan")</f>
        <v>vansswan</v>
      </c>
      <c r="C130" s="281" t="str">
        <f>IFERROR(__xludf.DUMMYFUNCTION("""COMPUTED_VALUE"""),"https://www.tiktok.com/@vansswan")</f>
        <v>https://www.tiktok.com/@vansswan</v>
      </c>
      <c r="D130" s="270">
        <f>IFERROR(__xludf.DUMMYFUNCTION("""COMPUTED_VALUE"""),8.7891113534E10)</f>
        <v>87891113534</v>
      </c>
      <c r="E130" s="271">
        <f>IFERROR(__xludf.DUMMYFUNCTION("""COMPUTED_VALUE"""),0.0)</f>
        <v>0</v>
      </c>
      <c r="F130" s="270">
        <f>IFERROR(__xludf.DUMMYFUNCTION("""COMPUTED_VALUE"""),2.0)</f>
        <v>2</v>
      </c>
      <c r="G130" s="59" t="str">
        <f>IFERROR(__xludf.DUMMYFUNCTION("""COMPUTED_VALUE"""),"Rp1JT+")</f>
        <v>Rp1JT+</v>
      </c>
      <c r="H130" s="277" t="str">
        <f>IFERROR(__xludf.DUMMYFUNCTION("""COMPUTED_VALUE"""),"NEW! OMG Acne &amp; Oil Control UV Barrier Sunscreen SPF50 PA++++ ")</f>
        <v>NEW! OMG Acne &amp; Oil Control UV Barrier Sunscreen SPF50 PA++++ </v>
      </c>
      <c r="I130" s="260" t="str">
        <f>IFERROR(__xludf.DUMMYFUNCTION("""COMPUTED_VALUE"""),"Done Req Sample")</f>
        <v>Done Req Sample</v>
      </c>
      <c r="J130" s="333"/>
      <c r="K130" s="262"/>
      <c r="L130" s="333"/>
      <c r="M130" s="262"/>
      <c r="N130" s="333"/>
      <c r="O130" s="17"/>
      <c r="P130" s="333"/>
      <c r="Q130" s="17"/>
      <c r="R130" s="266">
        <f>IFERROR(__xludf.DUMMYFUNCTION("""COMPUTED_VALUE"""),0.0)</f>
        <v>0</v>
      </c>
      <c r="S130" s="266"/>
      <c r="T130" s="266"/>
      <c r="U130" s="266"/>
    </row>
    <row r="131">
      <c r="A131" s="255" t="str">
        <f>IFERROR(__xludf.DUMMYFUNCTION("""COMPUTED_VALUE"""),"NANO")</f>
        <v>NANO</v>
      </c>
      <c r="B131" s="23" t="str">
        <f>IFERROR(__xludf.DUMMYFUNCTION("""COMPUTED_VALUE"""),"mamak_kao ")</f>
        <v>mamak_kao </v>
      </c>
      <c r="C131" s="281" t="str">
        <f>IFERROR(__xludf.DUMMYFUNCTION("""COMPUTED_VALUE"""),"https://www.tiktok.com/@ptsabbythrds")</f>
        <v>https://www.tiktok.com/@ptsabbythrds</v>
      </c>
      <c r="D131" s="270">
        <f>IFERROR(__xludf.DUMMYFUNCTION("""COMPUTED_VALUE"""),8.5319788767E10)</f>
        <v>85319788767</v>
      </c>
      <c r="E131" s="271">
        <f>IFERROR(__xludf.DUMMYFUNCTION("""COMPUTED_VALUE"""),0.0)</f>
        <v>0</v>
      </c>
      <c r="F131" s="270">
        <f>IFERROR(__xludf.DUMMYFUNCTION("""COMPUTED_VALUE"""),2.0)</f>
        <v>2</v>
      </c>
      <c r="G131" s="59" t="str">
        <f>IFERROR(__xludf.DUMMYFUNCTION("""COMPUTED_VALUE"""),"Rp68,2JT")</f>
        <v>Rp68,2JT</v>
      </c>
      <c r="H131" s="277" t="str">
        <f>IFERROR(__xludf.DUMMYFUNCTION("""COMPUTED_VALUE"""),"Brightening &amp; Soothing Toner")</f>
        <v>Brightening &amp; Soothing Toner</v>
      </c>
      <c r="I131" s="260" t="str">
        <f>IFERROR(__xludf.DUMMYFUNCTION("""COMPUTED_VALUE"""),"Sampai")</f>
        <v>Sampai</v>
      </c>
      <c r="J131" s="333" t="str">
        <f>IFERROR(__xludf.DUMMYFUNCTION("""COMPUTED_VALUE"""),"Concept 3")</f>
        <v>Concept 3</v>
      </c>
      <c r="K131" s="278" t="str">
        <f>IFERROR(__xludf.DUMMYFUNCTION("""COMPUTED_VALUE"""),"https://www.tiktok.com/@mamak_kao/video/7641730122462104852?_r=1&amp;u_code=d039e0h2dj1lcf&amp;region=&amp;mid=7638565651757599495&amp;preview_pb=0&amp;sharer_language=&amp;_d=0&amp;ec_shared_reflux_dynamic_params=%7B%22placeholder_material_id%22%3A%227641730122462104852%22%2C%22pla"&amp;"ceholder_origin_cover%22%3A%22https%253A%252F%252Fp16-common-sign.tiktokcdn.com%252Ftos-alisg-p-0037%252FosZgAGGCrQU2Lg4GI4eCjeTej1ADwcISAIDGaQ~tplv-tiktokx-origin.jpeg%253Fdr%253D14572%2526refresh_token%253Dccff93ad%2526x-expires%253D1810980000%2526x-sig"&amp;"nature%253DjrgqQouOMGkMYjqPHrXf%25252BFplET0%25253D%2526t%253D4d5b0474%2526ps%253D13740610%2526shp%253Dd05b14bd%2526shcp%253D34ff8df6%2526idc%253Dmy2%2526s%253DTIKTOK_AFFILIATE_VIRAL_VIDEO%22%2C%22placeholder_product_id%22%3A%221734428346458932627%22%2C%2"&amp;"2placeholder_video_id%22%3A%227641730122462104852%22%7D&amp;ec_shared_reflux_scene=shop_tab_feed&amp;share_item_id=7641730122462104852&amp;source=h5_t")</f>
        <v>https://www.tiktok.com/@mamak_kao/video/7641730122462104852?_r=1&amp;u_code=d039e0h2dj1lcf&amp;region=&amp;mid=7638565651757599495&amp;preview_pb=0&amp;sharer_language=&amp;_d=0&amp;ec_shared_reflux_dynamic_params=%7B%22placeholder_material_id%22%3A%227641730122462104852%22%2C%22placeholder_origin_cover%22%3A%22https%253A%252F%252Fp16-common-sign.tiktokcdn.com%252Ftos-alisg-p-0037%252FosZgAGGCrQU2Lg4GI4eCjeTej1ADwcISAIDGaQ~tplv-tiktokx-origin.jpeg%253Fdr%253D14572%2526refresh_token%253Dccff93ad%2526x-expires%253D1810980000%2526x-signature%253DjrgqQouOMGkMYjqPHrXf%25252BFplET0%25253D%2526t%253D4d5b0474%2526ps%253D13740610%2526shp%253Dd05b14bd%2526shcp%253D34ff8df6%2526idc%253Dmy2%2526s%253DTIKTOK_AFFILIATE_VIRAL_VIDEO%22%2C%22placeholder_product_id%22%3A%221734428346458932627%22%2C%22placeholder_video_id%22%3A%227641730122462104852%22%7D&amp;ec_shared_reflux_scene=shop_tab_feed&amp;share_item_id=7641730122462104852&amp;source=h5_t</v>
      </c>
      <c r="L131" s="333" t="str">
        <f>IFERROR(__xludf.DUMMYFUNCTION("""COMPUTED_VALUE"""),"Concept 3")</f>
        <v>Concept 3</v>
      </c>
      <c r="M131" s="278" t="str">
        <f>IFERROR(__xludf.DUMMYFUNCTION("""COMPUTED_VALUE"""),"https://www.tiktok.com/@mamak_kao/video/7645708886913191188?is_from_webapp=1&amp;sender_device=pc")</f>
        <v>https://www.tiktok.com/@mamak_kao/video/7645708886913191188?is_from_webapp=1&amp;sender_device=pc</v>
      </c>
      <c r="N131" s="333" t="str">
        <f>IFERROR(__xludf.DUMMYFUNCTION("""COMPUTED_VALUE"""),"Concept 3")</f>
        <v>Concept 3</v>
      </c>
      <c r="O131" s="279" t="str">
        <f>IFERROR(__xludf.DUMMYFUNCTION("""COMPUTED_VALUE"""),"https://www.tiktok.com/@mamak_kao/video/7645709028278013204?is_from_webapp=1&amp;sender_device=pc")</f>
        <v>https://www.tiktok.com/@mamak_kao/video/7645709028278013204?is_from_webapp=1&amp;sender_device=pc</v>
      </c>
      <c r="P131" s="333"/>
      <c r="Q131" s="17"/>
      <c r="R131" s="266">
        <f>IFERROR(__xludf.DUMMYFUNCTION("""COMPUTED_VALUE"""),23325.0)</f>
        <v>23325</v>
      </c>
      <c r="S131" s="266"/>
      <c r="T131" s="266"/>
      <c r="U131" s="266"/>
    </row>
    <row r="132">
      <c r="A132" s="255" t="str">
        <f>IFERROR(__xludf.DUMMYFUNCTION("""COMPUTED_VALUE"""),"MICRO")</f>
        <v>MICRO</v>
      </c>
      <c r="B132" s="23" t="str">
        <f>IFERROR(__xludf.DUMMYFUNCTION("""COMPUTED_VALUE"""),"tata81692 ")</f>
        <v>tata81692 </v>
      </c>
      <c r="C132" s="281" t="str">
        <f>IFERROR(__xludf.DUMMYFUNCTION("""COMPUTED_VALUE"""),"https://www.tiktok.com/@ptsabbythrds")</f>
        <v>https://www.tiktok.com/@ptsabbythrds</v>
      </c>
      <c r="D132" s="270">
        <f>IFERROR(__xludf.DUMMYFUNCTION("""COMPUTED_VALUE"""),8.7823234496E10)</f>
        <v>87823234496</v>
      </c>
      <c r="E132" s="271">
        <f>IFERROR(__xludf.DUMMYFUNCTION("""COMPUTED_VALUE"""),0.0)</f>
        <v>0</v>
      </c>
      <c r="F132" s="270">
        <f>IFERROR(__xludf.DUMMYFUNCTION("""COMPUTED_VALUE"""),2.0)</f>
        <v>2</v>
      </c>
      <c r="G132" s="59" t="str">
        <f>IFERROR(__xludf.DUMMYFUNCTION("""COMPUTED_VALUE"""),"Rp4,6JT")</f>
        <v>Rp4,6JT</v>
      </c>
      <c r="H132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132" s="260" t="str">
        <f>IFERROR(__xludf.DUMMYFUNCTION("""COMPUTED_VALUE"""),"Done Req Sample")</f>
        <v>Done Req Sample</v>
      </c>
      <c r="J132" s="333"/>
      <c r="K132" s="262"/>
      <c r="L132" s="333"/>
      <c r="M132" s="262"/>
      <c r="N132" s="333"/>
      <c r="O132" s="17"/>
      <c r="P132" s="333"/>
      <c r="Q132" s="17"/>
      <c r="R132" s="266">
        <f>IFERROR(__xludf.DUMMYFUNCTION("""COMPUTED_VALUE"""),0.0)</f>
        <v>0</v>
      </c>
      <c r="S132" s="266"/>
      <c r="T132" s="266"/>
      <c r="U132" s="266"/>
    </row>
    <row r="133">
      <c r="A133" s="255"/>
      <c r="B133" s="23" t="str">
        <f>IFERROR(__xludf.DUMMYFUNCTION("""COMPUTED_VALUE"""),"Internal")</f>
        <v>Internal</v>
      </c>
      <c r="C133" s="281" t="str">
        <f>IFERROR(__xludf.DUMMYFUNCTION("""COMPUTED_VALUE"""),"https://www.tiktok.com/@Internal")</f>
        <v>https://www.tiktok.com/@Internal</v>
      </c>
      <c r="D133" s="270">
        <f>IFERROR(__xludf.DUMMYFUNCTION("""COMPUTED_VALUE"""),8.5864696341E10)</f>
        <v>85864696341</v>
      </c>
      <c r="E133" s="271"/>
      <c r="F133" s="270"/>
      <c r="G133" s="59"/>
      <c r="H133" s="277" t="str">
        <f>IFERROR(__xludf.DUMMYFUNCTION("""COMPUTED_VALUE"""),"Barrier Sunscreen, Bright Tone Up Sunscreen, Acne &amp; Oil Correct Sunscreen, Brightening &amp; Soothing Toner")</f>
        <v>Barrier Sunscreen, Bright Tone Up Sunscreen, Acne &amp; Oil Correct Sunscreen, Brightening &amp; Soothing Toner</v>
      </c>
      <c r="I133" s="260"/>
      <c r="J133" s="333"/>
      <c r="K133" s="262"/>
      <c r="L133" s="333"/>
      <c r="M133" s="262"/>
      <c r="N133" s="333"/>
      <c r="O133" s="17"/>
      <c r="P133" s="333"/>
      <c r="Q133" s="17"/>
      <c r="R133" s="266">
        <f>IFERROR(__xludf.DUMMYFUNCTION("""COMPUTED_VALUE"""),0.0)</f>
        <v>0</v>
      </c>
      <c r="S133" s="266"/>
      <c r="T133" s="266"/>
      <c r="U133" s="266"/>
    </row>
    <row r="134">
      <c r="A134" s="255" t="str">
        <f>IFERROR(__xludf.DUMMYFUNCTION("""COMPUTED_VALUE"""),"MICRO")</f>
        <v>MICRO</v>
      </c>
      <c r="B134" s="23" t="str">
        <f>IFERROR(__xludf.DUMMYFUNCTION("""COMPUTED_VALUE"""),"sintakurniawati.61")</f>
        <v>sintakurniawati.61</v>
      </c>
      <c r="C134" s="281" t="str">
        <f>IFERROR(__xludf.DUMMYFUNCTION("""COMPUTED_VALUE"""),"https://www.tiktok.com/@sintakurniawati.61")</f>
        <v>https://www.tiktok.com/@sintakurniawati.61</v>
      </c>
      <c r="D134" s="270">
        <f>IFERROR(__xludf.DUMMYFUNCTION("""COMPUTED_VALUE"""),8.5875542623E10)</f>
        <v>85875542623</v>
      </c>
      <c r="E134" s="271">
        <f>IFERROR(__xludf.DUMMYFUNCTION("""COMPUTED_VALUE"""),0.0)</f>
        <v>0</v>
      </c>
      <c r="F134" s="270">
        <f>IFERROR(__xludf.DUMMYFUNCTION("""COMPUTED_VALUE"""),2.0)</f>
        <v>2</v>
      </c>
      <c r="G134" s="59" t="str">
        <f>IFERROR(__xludf.DUMMYFUNCTION("""COMPUTED_VALUE"""),"Rp6JT")</f>
        <v>Rp6JT</v>
      </c>
      <c r="H134" s="277" t="str">
        <f>IFERROR(__xludf.DUMMYFUNCTION("""COMPUTED_VALUE"""),"OMG OH MY GLOW UV Barrier Sunscreen SPF 50 PA++++ 60 ml")</f>
        <v>OMG OH MY GLOW UV Barrier Sunscreen SPF 50 PA++++ 60 ml</v>
      </c>
      <c r="I134" s="260" t="str">
        <f>IFERROR(__xludf.DUMMYFUNCTION("""COMPUTED_VALUE"""),"Done Req Sample")</f>
        <v>Done Req Sample</v>
      </c>
      <c r="J134" s="333"/>
      <c r="K134" s="262"/>
      <c r="L134" s="333"/>
      <c r="M134" s="262"/>
      <c r="N134" s="333"/>
      <c r="O134" s="17"/>
      <c r="P134" s="333"/>
      <c r="Q134" s="17"/>
      <c r="R134" s="266">
        <f>IFERROR(__xludf.DUMMYFUNCTION("""COMPUTED_VALUE"""),0.0)</f>
        <v>0</v>
      </c>
      <c r="S134" s="266"/>
      <c r="T134" s="266"/>
      <c r="U134" s="266"/>
    </row>
    <row r="135">
      <c r="A135" s="255" t="str">
        <f>IFERROR(__xludf.DUMMYFUNCTION("""COMPUTED_VALUE"""),"MICRO")</f>
        <v>MICRO</v>
      </c>
      <c r="B135" s="23" t="str">
        <f>IFERROR(__xludf.DUMMYFUNCTION("""COMPUTED_VALUE"""),"racunskincarefiqi")</f>
        <v>racunskincarefiqi</v>
      </c>
      <c r="C135" s="281" t="str">
        <f>IFERROR(__xludf.DUMMYFUNCTION("""COMPUTED_VALUE"""),"https://www.tiktok.com/@racunskincarefiqi")</f>
        <v>https://www.tiktok.com/@racunskincarefiqi</v>
      </c>
      <c r="D135" s="270">
        <f>IFERROR(__xludf.DUMMYFUNCTION("""COMPUTED_VALUE"""),8.2372289362E10)</f>
        <v>82372289362</v>
      </c>
      <c r="E135" s="271">
        <f>IFERROR(__xludf.DUMMYFUNCTION("""COMPUTED_VALUE"""),0.0)</f>
        <v>0</v>
      </c>
      <c r="F135" s="270">
        <f>IFERROR(__xludf.DUMMYFUNCTION("""COMPUTED_VALUE"""),2.0)</f>
        <v>2</v>
      </c>
      <c r="G135" s="59" t="str">
        <f>IFERROR(__xludf.DUMMYFUNCTION("""COMPUTED_VALUE"""),"Rp176,4JT")</f>
        <v>Rp176,4JT</v>
      </c>
      <c r="H135" s="277" t="str">
        <f>IFERROR(__xludf.DUMMYFUNCTION("""COMPUTED_VALUE"""),"Brightening &amp; Soothing Toner")</f>
        <v>Brightening &amp; Soothing Toner</v>
      </c>
      <c r="I135" s="260" t="str">
        <f>IFERROR(__xludf.DUMMYFUNCTION("""COMPUTED_VALUE"""),"Done Req Sample")</f>
        <v>Done Req Sample</v>
      </c>
      <c r="J135" s="333"/>
      <c r="K135" s="262"/>
      <c r="L135" s="333"/>
      <c r="M135" s="262"/>
      <c r="N135" s="333"/>
      <c r="O135" s="17"/>
      <c r="P135" s="333"/>
      <c r="Q135" s="17"/>
      <c r="R135" s="266">
        <f>IFERROR(__xludf.DUMMYFUNCTION("""COMPUTED_VALUE"""),0.0)</f>
        <v>0</v>
      </c>
      <c r="S135" s="266"/>
      <c r="T135" s="266"/>
      <c r="U135" s="266"/>
    </row>
    <row r="136">
      <c r="A136" s="255" t="str">
        <f>IFERROR(__xludf.DUMMYFUNCTION("""COMPUTED_VALUE"""),"NANO")</f>
        <v>NANO</v>
      </c>
      <c r="B136" s="23" t="str">
        <f>IFERROR(__xludf.DUMMYFUNCTION("""COMPUTED_VALUE"""),"crakersluf")</f>
        <v>crakersluf</v>
      </c>
      <c r="C136" s="281" t="str">
        <f>IFERROR(__xludf.DUMMYFUNCTION("""COMPUTED_VALUE"""),"https://www.tiktok.com/@crakersluf")</f>
        <v>https://www.tiktok.com/@crakersluf</v>
      </c>
      <c r="D136" s="270">
        <f>IFERROR(__xludf.DUMMYFUNCTION("""COMPUTED_VALUE"""),8.5800133934E10)</f>
        <v>85800133934</v>
      </c>
      <c r="E136" s="271">
        <f>IFERROR(__xludf.DUMMYFUNCTION("""COMPUTED_VALUE"""),0.0)</f>
        <v>0</v>
      </c>
      <c r="F136" s="270">
        <f>IFERROR(__xludf.DUMMYFUNCTION("""COMPUTED_VALUE"""),2.0)</f>
        <v>2</v>
      </c>
      <c r="G136" s="59" t="str">
        <f>IFERROR(__xludf.DUMMYFUNCTION("""COMPUTED_VALUE"""),"Rp107,4JT")</f>
        <v>Rp107,4JT</v>
      </c>
      <c r="H136" s="277" t="str">
        <f>IFERROR(__xludf.DUMMYFUNCTION("""COMPUTED_VALUE"""),"Brightening &amp; Soothing Toner")</f>
        <v>Brightening &amp; Soothing Toner</v>
      </c>
      <c r="I136" s="260" t="str">
        <f>IFERROR(__xludf.DUMMYFUNCTION("""COMPUTED_VALUE"""),"Sampai")</f>
        <v>Sampai</v>
      </c>
      <c r="J136" s="333" t="str">
        <f>IFERROR(__xludf.DUMMYFUNCTION("""COMPUTED_VALUE"""),"Concept 3")</f>
        <v>Concept 3</v>
      </c>
      <c r="K136" s="278" t="str">
        <f>IFERROR(__xludf.DUMMYFUNCTION("""COMPUTED_VALUE"""),"https://vt.tiktok.com/ZSxJ4EwM4/")</f>
        <v>https://vt.tiktok.com/ZSxJ4EwM4/</v>
      </c>
      <c r="L136" s="333" t="str">
        <f>IFERROR(__xludf.DUMMYFUNCTION("""COMPUTED_VALUE"""),"Concept 3")</f>
        <v>Concept 3</v>
      </c>
      <c r="M136" s="278" t="str">
        <f>IFERROR(__xludf.DUMMYFUNCTION("""COMPUTED_VALUE"""),"https://vt.tiktok.com/ZSxJVdXu7/")</f>
        <v>https://vt.tiktok.com/ZSxJVdXu7/</v>
      </c>
      <c r="N136" s="333" t="str">
        <f>IFERROR(__xludf.DUMMYFUNCTION("""COMPUTED_VALUE"""),"Concept 3")</f>
        <v>Concept 3</v>
      </c>
      <c r="O136" s="279" t="str">
        <f>IFERROR(__xludf.DUMMYFUNCTION("""COMPUTED_VALUE"""),"https://www.tiktok.com/@crakersluf/video/7639582949599399176?_r=1&amp;u_code=dih634fd6mh9bc&amp;region=&amp;mid=7558368334434159371&amp;preview_pb=0&amp;sharer_language=&amp;_d=0&amp;ec_shared_reflux_dynamic_params=%7B%22placeholder_material_id%22%3A%227639582949599399176%22%2C%22pl"&amp;"aceholder_origin_cover%22%3A%22https%253A%252F%252Fp16-common-sign.tiktokcdn.com%252Ftos-alisg-p-0037%252FoAIFIAAkIQ8AA6B1zi0cPrbNhf4CginwuppDAZ~tplv-tiktokx-origin.jpeg%253Fdr%253D14572%2526refresh_token%253D10a4f8fc%2526x-expires%253D1810634400%2526x-si"&amp;"gnature%253DrCab8uIV1fvUMUrByJAZiuMEYwE%25253D%2526t%253D4d5b0474%2526ps%253D13740610%2526shp%253Dd05b14bd%2526shcp%253D34ff8df6%2526idc%253Dmy3%2526s%253DTIKTOK_AFFILIATE_VIRAL_VIDEO%22%2C%22placeholder_product_id%22%3A%221733551239648413075%22%2C%22plac"&amp;"eholder_video_id%22%3A%227639582949599399176%22%7D&amp;ec_shared_reflux_scene=shop_tab_feed&amp;share_item_id=7639582949599399176&amp;source=h5_t")</f>
        <v>https://www.tiktok.com/@crakersluf/video/7639582949599399176?_r=1&amp;u_code=dih634fd6mh9bc&amp;region=&amp;mid=7558368334434159371&amp;preview_pb=0&amp;sharer_language=&amp;_d=0&amp;ec_shared_reflux_dynamic_params=%7B%22placeholder_material_id%22%3A%227639582949599399176%22%2C%22placeholder_origin_cover%22%3A%22https%253A%252F%252Fp16-common-sign.tiktokcdn.com%252Ftos-alisg-p-0037%252FoAIFIAAkIQ8AA6B1zi0cPrbNhf4CginwuppDAZ~tplv-tiktokx-origin.jpeg%253Fdr%253D14572%2526refresh_token%253D10a4f8fc%2526x-expires%253D1810634400%2526x-signature%253DrCab8uIV1fvUMUrByJAZiuMEYwE%25253D%2526t%253D4d5b0474%2526ps%253D13740610%2526shp%253Dd05b14bd%2526shcp%253D34ff8df6%2526idc%253Dmy3%2526s%253DTIKTOK_AFFILIATE_VIRAL_VIDEO%22%2C%22placeholder_product_id%22%3A%221733551239648413075%22%2C%22placeholder_video_id%22%3A%227639582949599399176%22%7D&amp;ec_shared_reflux_scene=shop_tab_feed&amp;share_item_id=7639582949599399176&amp;source=h5_t</v>
      </c>
      <c r="P136" s="333" t="str">
        <f>IFERROR(__xludf.DUMMYFUNCTION("""COMPUTED_VALUE"""),"Concept 3")</f>
        <v>Concept 3</v>
      </c>
      <c r="Q136" s="279" t="str">
        <f>IFERROR(__xludf.DUMMYFUNCTION("""COMPUTED_VALUE"""),"https://www.tiktok.com/@crakersluf/video/7639945558462975240?_r=1&amp;u_code=dih634fd6mh9bc&amp;region=&amp;mid=7636739860161727253&amp;preview_pb=0&amp;sharer_language=&amp;_d=0&amp;ec_shared_reflux_dynamic_params=%7B%22placeholder_material_id%22%3A%227639945558462975240%22%2C%22pl"&amp;"aceholder_origin_cover%22%3A%22https%253A%252F%252Fp16-common-sign.tiktokcdn.com%252Ftos-alisg-p-0037%252FoIjBNAPWR4BGRIQUoDLeDCA1iFfDMeQrjcGuIl~tplv-tiktokx-origin.jpeg%253Fdr%253D14572%2526refresh_token%253D481f9e89%2526x-expires%253D1810634400%2526x-si"&amp;"gnature%253D021DfHGVtXhYz1YVT6I6QaBaxnc%25253D%2526t%253D4d5b0474%2526ps%253D13740610%2526shp%253Dd05b14bd%2526shcp%253D34ff8df6%2526idc%253Dmy3%2526s%253DTIKTOK_AFFILIATE_VIRAL_VIDEO%22%2C%22placeholder_product_id%22%3A%221733551239648413075%22%2C%22plac"&amp;"eholder_video_id%22%3A%227639945558462975240%22%7D&amp;ec_shared_reflux_scene=shop_tab_feed&amp;share_item_id=7639945558462975240&amp;source=h5_t")</f>
        <v>https://www.tiktok.com/@crakersluf/video/7639945558462975240?_r=1&amp;u_code=dih634fd6mh9bc&amp;region=&amp;mid=7636739860161727253&amp;preview_pb=0&amp;sharer_language=&amp;_d=0&amp;ec_shared_reflux_dynamic_params=%7B%22placeholder_material_id%22%3A%227639945558462975240%22%2C%22placeholder_origin_cover%22%3A%22https%253A%252F%252Fp16-common-sign.tiktokcdn.com%252Ftos-alisg-p-0037%252FoIjBNAPWR4BGRIQUoDLeDCA1iFfDMeQrjcGuIl~tplv-tiktokx-origin.jpeg%253Fdr%253D14572%2526refresh_token%253D481f9e89%2526x-expires%253D1810634400%2526x-signature%253D021DfHGVtXhYz1YVT6I6QaBaxnc%25253D%2526t%253D4d5b0474%2526ps%253D13740610%2526shp%253Dd05b14bd%2526shcp%253D34ff8df6%2526idc%253Dmy3%2526s%253DTIKTOK_AFFILIATE_VIRAL_VIDEO%22%2C%22placeholder_product_id%22%3A%221733551239648413075%22%2C%22placeholder_video_id%22%3A%227639945558462975240%22%7D&amp;ec_shared_reflux_scene=shop_tab_feed&amp;share_item_id=7639945558462975240&amp;source=h5_t</v>
      </c>
      <c r="R136" s="266">
        <f>IFERROR(__xludf.DUMMYFUNCTION("""COMPUTED_VALUE"""),80737.0)</f>
        <v>80737</v>
      </c>
      <c r="S136" s="266"/>
      <c r="T136" s="266"/>
      <c r="U136" s="266"/>
    </row>
    <row r="137">
      <c r="A137" s="255" t="str">
        <f>IFERROR(__xludf.DUMMYFUNCTION("""COMPUTED_VALUE"""),"NANO")</f>
        <v>NANO</v>
      </c>
      <c r="B137" s="23" t="str">
        <f>IFERROR(__xludf.DUMMYFUNCTION("""COMPUTED_VALUE"""),"naniinan09")</f>
        <v>naniinan09</v>
      </c>
      <c r="C137" s="281" t="str">
        <f>IFERROR(__xludf.DUMMYFUNCTION("""COMPUTED_VALUE"""),"https://www.tiktok.com/@naniinan09")</f>
        <v>https://www.tiktok.com/@naniinan09</v>
      </c>
      <c r="D137" s="270">
        <f>IFERROR(__xludf.DUMMYFUNCTION("""COMPUTED_VALUE"""),8.581470611E10)</f>
        <v>85814706110</v>
      </c>
      <c r="E137" s="271">
        <f>IFERROR(__xludf.DUMMYFUNCTION("""COMPUTED_VALUE"""),0.0)</f>
        <v>0</v>
      </c>
      <c r="F137" s="270">
        <f>IFERROR(__xludf.DUMMYFUNCTION("""COMPUTED_VALUE"""),2.0)</f>
        <v>2</v>
      </c>
      <c r="G137" s="59" t="str">
        <f>IFERROR(__xludf.DUMMYFUNCTION("""COMPUTED_VALUE"""),"Rp123,1JT")</f>
        <v>Rp123,1JT</v>
      </c>
      <c r="H137" s="277" t="str">
        <f>IFERROR(__xludf.DUMMYFUNCTION("""COMPUTED_VALUE"""),"NEW! OMG Acne &amp; Oil Control UV Barrier Sunscreen SPF50 PA++++ ")</f>
        <v>NEW! OMG Acne &amp; Oil Control UV Barrier Sunscreen SPF50 PA++++ </v>
      </c>
      <c r="I137" s="260" t="str">
        <f>IFERROR(__xludf.DUMMYFUNCTION("""COMPUTED_VALUE"""),"Sampai")</f>
        <v>Sampai</v>
      </c>
      <c r="J137" s="333" t="str">
        <f>IFERROR(__xludf.DUMMYFUNCTION("""COMPUTED_VALUE"""),"Concept 3")</f>
        <v>Concept 3</v>
      </c>
      <c r="K137" s="278" t="str">
        <f>IFERROR(__xludf.DUMMYFUNCTION("""COMPUTED_VALUE"""),"https://www.tiktok.com/@naniinan09/video/7615892816526331156?is_from_webapp=1&amp;sender_device=pc")</f>
        <v>https://www.tiktok.com/@naniinan09/video/7615892816526331156?is_from_webapp=1&amp;sender_device=pc</v>
      </c>
      <c r="L137" s="333" t="str">
        <f>IFERROR(__xludf.DUMMYFUNCTION("""COMPUTED_VALUE"""),"Concept 3")</f>
        <v>Concept 3</v>
      </c>
      <c r="M137" s="278" t="str">
        <f>IFERROR(__xludf.DUMMYFUNCTION("""COMPUTED_VALUE"""),"https://www.tiktok.com/@naniinan09/video/7615892816526331156?is_from_webapp=1&amp;sender_device=pc")</f>
        <v>https://www.tiktok.com/@naniinan09/video/7615892816526331156?is_from_webapp=1&amp;sender_device=pc</v>
      </c>
      <c r="N137" s="333"/>
      <c r="O137" s="17"/>
      <c r="P137" s="333"/>
      <c r="Q137" s="17"/>
      <c r="R137" s="266">
        <f>IFERROR(__xludf.DUMMYFUNCTION("""COMPUTED_VALUE"""),0.0)</f>
        <v>0</v>
      </c>
      <c r="S137" s="266"/>
      <c r="T137" s="266"/>
      <c r="U137" s="266"/>
    </row>
    <row r="138">
      <c r="A138" s="255" t="str">
        <f>IFERROR(__xludf.DUMMYFUNCTION("""COMPUTED_VALUE"""),"NANO")</f>
        <v>NANO</v>
      </c>
      <c r="B138" s="23" t="str">
        <f>IFERROR(__xludf.DUMMYFUNCTION("""COMPUTED_VALUE"""),"ginafathonah_")</f>
        <v>ginafathonah_</v>
      </c>
      <c r="C138" s="281" t="str">
        <f>IFERROR(__xludf.DUMMYFUNCTION("""COMPUTED_VALUE"""),"https://www.tiktok.com/@ginafathonah_")</f>
        <v>https://www.tiktok.com/@ginafathonah_</v>
      </c>
      <c r="D138" s="270">
        <f>IFERROR(__xludf.DUMMYFUNCTION("""COMPUTED_VALUE"""),8.2119145119E10)</f>
        <v>82119145119</v>
      </c>
      <c r="E138" s="271">
        <f>IFERROR(__xludf.DUMMYFUNCTION("""COMPUTED_VALUE"""),0.0)</f>
        <v>0</v>
      </c>
      <c r="F138" s="270">
        <f>IFERROR(__xludf.DUMMYFUNCTION("""COMPUTED_VALUE"""),2.0)</f>
        <v>2</v>
      </c>
      <c r="G138" s="59" t="str">
        <f>IFERROR(__xludf.DUMMYFUNCTION("""COMPUTED_VALUE"""),"Rp6,9JT")</f>
        <v>Rp6,9JT</v>
      </c>
      <c r="H138" s="277" t="str">
        <f>IFERROR(__xludf.DUMMYFUNCTION("""COMPUTED_VALUE"""),"OMG OH MY GLOW UV Barrier Sunscreen SPF 50 PA++++ 60 ml")</f>
        <v>OMG OH MY GLOW UV Barrier Sunscreen SPF 50 PA++++ 60 ml</v>
      </c>
      <c r="I138" s="260" t="str">
        <f>IFERROR(__xludf.DUMMYFUNCTION("""COMPUTED_VALUE"""),"Done Req Sample")</f>
        <v>Done Req Sample</v>
      </c>
      <c r="J138" s="333"/>
      <c r="K138" s="262"/>
      <c r="L138" s="333"/>
      <c r="M138" s="262"/>
      <c r="N138" s="333"/>
      <c r="O138" s="17"/>
      <c r="P138" s="333"/>
      <c r="Q138" s="17"/>
      <c r="R138" s="266">
        <f>IFERROR(__xludf.DUMMYFUNCTION("""COMPUTED_VALUE"""),0.0)</f>
        <v>0</v>
      </c>
      <c r="S138" s="266"/>
      <c r="T138" s="266"/>
      <c r="U138" s="266"/>
    </row>
    <row r="139">
      <c r="A139" s="255" t="str">
        <f>IFERROR(__xludf.DUMMYFUNCTION("""COMPUTED_VALUE"""),"NANO")</f>
        <v>NANO</v>
      </c>
      <c r="B139" s="23" t="str">
        <f>IFERROR(__xludf.DUMMYFUNCTION("""COMPUTED_VALUE"""),"notyourbaeee6")</f>
        <v>notyourbaeee6</v>
      </c>
      <c r="C139" s="281" t="str">
        <f>IFERROR(__xludf.DUMMYFUNCTION("""COMPUTED_VALUE"""),"https://www.tiktok.com/@notyourbaeee6")</f>
        <v>https://www.tiktok.com/@notyourbaeee6</v>
      </c>
      <c r="D139" s="270">
        <f>IFERROR(__xludf.DUMMYFUNCTION("""COMPUTED_VALUE"""),8.5743166243E10)</f>
        <v>85743166243</v>
      </c>
      <c r="E139" s="271">
        <f>IFERROR(__xludf.DUMMYFUNCTION("""COMPUTED_VALUE"""),0.0)</f>
        <v>0</v>
      </c>
      <c r="F139" s="270">
        <f>IFERROR(__xludf.DUMMYFUNCTION("""COMPUTED_VALUE"""),2.0)</f>
        <v>2</v>
      </c>
      <c r="G139" s="59" t="str">
        <f>IFERROR(__xludf.DUMMYFUNCTION("""COMPUTED_VALUE"""),"Rp2,4JT")</f>
        <v>Rp2,4JT</v>
      </c>
      <c r="H139" s="277" t="str">
        <f>IFERROR(__xludf.DUMMYFUNCTION("""COMPUTED_VALUE"""),"Brightening &amp; Soothing Toner")</f>
        <v>Brightening &amp; Soothing Toner</v>
      </c>
      <c r="I139" s="260" t="str">
        <f>IFERROR(__xludf.DUMMYFUNCTION("""COMPUTED_VALUE"""),"Sampai")</f>
        <v>Sampai</v>
      </c>
      <c r="J139" s="333" t="str">
        <f>IFERROR(__xludf.DUMMYFUNCTION("""COMPUTED_VALUE"""),"Concept 3")</f>
        <v>Concept 3</v>
      </c>
      <c r="K139" s="278" t="str">
        <f>IFERROR(__xludf.DUMMYFUNCTION("""COMPUTED_VALUE"""),"https://www.tiktok.com/@notyourbaeee6/video/7641244788368346386?_r=1&amp;u_code=dgj9fj87m48ke1&amp;region=&amp;mid=7638981916192852756&amp;preview_pb=0&amp;sharer_language=&amp;_d=0&amp;ec_shared_reflux_dynamic_params=%7B%22placeholder_material_id%22%3A%227641244788368346386%22%2C%2"&amp;"2placeholder_origin_cover%22%3A%22https%253A%252F%252Fp16-common-sign.tiktokcdn.com%252Ftos-alisg-p-0037%252FoAE5BZjIIDAf6IQLBUgAezEVoCFe7JFDkXzZp5~tplv-tiktokx-origin.jpeg%253Fdr%253D14572%2526refresh_token%253D11b65c24%2526x-expires%253D1810720800%2526x"&amp;"-signature%253DCwVzSZzbc0fLrpWGFSOvjucXlY4%25253D%2526t%253D4d5b0474%2526ps%253D13740610%2526shp%253Dd05b14bd%2526shcp%253D34ff8df6%2526idc%253Dmy3%2526s%253DTIKTOK_AFFILIATE_VIRAL_VIDEO%22%2C%22placeholder_product_id%22%3A%221731793046946547091%22%2C%22p"&amp;"laceholder_video_id%22%3A%227641244788368346386%22%7D&amp;ec_shared_reflux_scene=shop_tab_feed&amp;share_item_id=7641244788368346386&amp;source=h5_t")</f>
        <v>https://www.tiktok.com/@notyourbaeee6/video/7641244788368346386?_r=1&amp;u_code=dgj9fj87m48ke1&amp;region=&amp;mid=7638981916192852756&amp;preview_pb=0&amp;sharer_language=&amp;_d=0&amp;ec_shared_reflux_dynamic_params=%7B%22placeholder_material_id%22%3A%227641244788368346386%22%2C%22placeholder_origin_cover%22%3A%22https%253A%252F%252Fp16-common-sign.tiktokcdn.com%252Ftos-alisg-p-0037%252FoAE5BZjIIDAf6IQLBUgAezEVoCFe7JFDkXzZp5~tplv-tiktokx-origin.jpeg%253Fdr%253D14572%2526refresh_token%253D11b65c24%2526x-expires%253D1810720800%2526x-signature%253DCwVzSZzbc0fLrpWGFSOvjucXlY4%25253D%2526t%253D4d5b0474%2526ps%253D13740610%2526shp%253Dd05b14bd%2526shcp%253D34ff8df6%2526idc%253Dmy3%2526s%253DTIKTOK_AFFILIATE_VIRAL_VIDEO%22%2C%22placeholder_product_id%22%3A%221731793046946547091%22%2C%22placeholder_video_id%22%3A%227641244788368346386%22%7D&amp;ec_shared_reflux_scene=shop_tab_feed&amp;share_item_id=7641244788368346386&amp;source=h5_t</v>
      </c>
      <c r="L139" s="333" t="str">
        <f>IFERROR(__xludf.DUMMYFUNCTION("""COMPUTED_VALUE"""),"Concept 3")</f>
        <v>Concept 3</v>
      </c>
      <c r="M139" s="278" t="str">
        <f>IFERROR(__xludf.DUMMYFUNCTION("""COMPUTED_VALUE"""),"https://www.tiktok.com/@notyourbaeee6/video/7641244788368346386?_r=1&amp;u_code=dgj9fj87m48ke1&amp;region=&amp;mid=7638981916192852756&amp;preview_pb=0&amp;sharer_language=&amp;_d=0&amp;ec_shared_reflux_dynamic_params=%7B%22placeholder_material_id%22%3A%227641244788368346386%22%2C%2"&amp;"2placeholder_origin_cover%22%3A%22https%253A%252F%252Fp16-common-sign.tiktokcdn.com%252Ftos-alisg-p-0037%252FoAE5BZjIIDAf6IQLBUgAezEVoCFe7JFDkXzZp5~tplv-tiktokx-origin.jpeg%253Fdr%253D14572%2526refresh_token%253Da99d27ab%2526x-expires%253D1810980000%2526x"&amp;"-signature%253DrF7jjr%25252Fjoy5SHJ7mZavPgdil1gg%25253D%2526t%253D4d5b0474%2526ps%253D13740610%2526shp%253Dd05b14bd%2526shcp%253D34ff8df6%2526idc%253Dmy2%2526s%253DTIKTOK_AFFILIATE_VIRAL_VIDEO%22%2C%22placeholder_product_id%22%3A%221731793046946547091%22%"&amp;"2C%22placeholder_video_id%22%3A%227641244788368346386%22%7D&amp;ec_shared_reflux_scene=shop_tab_feed&amp;share_item_id=7641244788368346386&amp;source=h5_t")</f>
        <v>https://www.tiktok.com/@notyourbaeee6/video/7641244788368346386?_r=1&amp;u_code=dgj9fj87m48ke1&amp;region=&amp;mid=7638981916192852756&amp;preview_pb=0&amp;sharer_language=&amp;_d=0&amp;ec_shared_reflux_dynamic_params=%7B%22placeholder_material_id%22%3A%227641244788368346386%22%2C%22placeholder_origin_cover%22%3A%22https%253A%252F%252Fp16-common-sign.tiktokcdn.com%252Ftos-alisg-p-0037%252FoAE5BZjIIDAf6IQLBUgAezEVoCFe7JFDkXzZp5~tplv-tiktokx-origin.jpeg%253Fdr%253D14572%2526refresh_token%253Da99d27ab%2526x-expires%253D1810980000%2526x-signature%253DrF7jjr%25252Fjoy5SHJ7mZavPgdil1gg%25253D%2526t%253D4d5b0474%2526ps%253D13740610%2526shp%253Dd05b14bd%2526shcp%253D34ff8df6%2526idc%253Dmy2%2526s%253DTIKTOK_AFFILIATE_VIRAL_VIDEO%22%2C%22placeholder_product_id%22%3A%221731793046946547091%22%2C%22placeholder_video_id%22%3A%227641244788368346386%22%7D&amp;ec_shared_reflux_scene=shop_tab_feed&amp;share_item_id=7641244788368346386&amp;source=h5_t</v>
      </c>
      <c r="N139" s="333" t="str">
        <f>IFERROR(__xludf.DUMMYFUNCTION("""COMPUTED_VALUE"""),"Concept 3")</f>
        <v>Concept 3</v>
      </c>
      <c r="O139" s="279" t="str">
        <f>IFERROR(__xludf.DUMMYFUNCTION("""COMPUTED_VALUE"""),"https://www.tiktok.com/@notyourbaeee6/video/7644103498283437330?is_from_webapp=1&amp;sender_device=pc")</f>
        <v>https://www.tiktok.com/@notyourbaeee6/video/7644103498283437330?is_from_webapp=1&amp;sender_device=pc</v>
      </c>
      <c r="P139" s="333"/>
      <c r="Q139" s="17"/>
      <c r="R139" s="266">
        <f>IFERROR(__xludf.DUMMYFUNCTION("""COMPUTED_VALUE"""),48007.0)</f>
        <v>48007</v>
      </c>
      <c r="S139" s="266"/>
      <c r="T139" s="266"/>
      <c r="U139" s="266"/>
    </row>
    <row r="140">
      <c r="A140" s="255" t="str">
        <f>IFERROR(__xludf.DUMMYFUNCTION("""COMPUTED_VALUE"""),"MICRO")</f>
        <v>MICRO</v>
      </c>
      <c r="B140" s="23" t="str">
        <f>IFERROR(__xludf.DUMMYFUNCTION("""COMPUTED_VALUE"""),"puspitajasmine26")</f>
        <v>puspitajasmine26</v>
      </c>
      <c r="C140" s="281" t="str">
        <f>IFERROR(__xludf.DUMMYFUNCTION("""COMPUTED_VALUE"""),"https://www.tiktok.com/@puspitajasmine26")</f>
        <v>https://www.tiktok.com/@puspitajasmine26</v>
      </c>
      <c r="D140" s="270">
        <f>IFERROR(__xludf.DUMMYFUNCTION("""COMPUTED_VALUE"""),8.782568825E10)</f>
        <v>87825688250</v>
      </c>
      <c r="E140" s="271">
        <f>IFERROR(__xludf.DUMMYFUNCTION("""COMPUTED_VALUE"""),0.0)</f>
        <v>0</v>
      </c>
      <c r="F140" s="270">
        <f>IFERROR(__xludf.DUMMYFUNCTION("""COMPUTED_VALUE"""),2.0)</f>
        <v>2</v>
      </c>
      <c r="G140" s="59" t="str">
        <f>IFERROR(__xludf.DUMMYFUNCTION("""COMPUTED_VALUE"""),"Rp1JT+")</f>
        <v>Rp1JT+</v>
      </c>
      <c r="H140" s="277" t="str">
        <f>IFERROR(__xludf.DUMMYFUNCTION("""COMPUTED_VALUE"""),"[BELI BANYAK, LEBIH MURAH!] OMG Oh My Glow Bright Tone Up UV Barrier Sunscreen SPF 50 PA++ 25 ml")</f>
        <v>[BELI BANYAK, LEBIH MURAH!] OMG Oh My Glow Bright Tone Up UV Barrier Sunscreen SPF 50 PA++ 25 ml</v>
      </c>
      <c r="I140" s="260" t="str">
        <f>IFERROR(__xludf.DUMMYFUNCTION("""COMPUTED_VALUE"""),"Sampai")</f>
        <v>Sampai</v>
      </c>
      <c r="J140" s="333" t="str">
        <f>IFERROR(__xludf.DUMMYFUNCTION("""COMPUTED_VALUE"""),"Concept 3")</f>
        <v>Concept 3</v>
      </c>
      <c r="K140" s="278" t="str">
        <f>IFERROR(__xludf.DUMMYFUNCTION("""COMPUTED_VALUE"""),"https://www.tiktok.com/@puspitajasmine26/video/7639644891030637832?_r=1&amp;u_code=dicfhiec9dj8ch&amp;region=&amp;mid=7639644931363031824&amp;preview_pb=0&amp;sharer_language=&amp;_d=0&amp;ec_shared_reflux_dynamic_params=%7B%22placeholder_material_id%22%3A%227639644891030637832%22%2"&amp;"C%22placeholder_origin_cover%22%3A%22https%253A%252F%252Fp16-common-sign.tiktokcdn.com%252Ftos-alisg-p-0037%252FoIKd8XrvDQoSMKphAVFCURRYLBf7q0BQEeglEB~tplv-tiktokx-origin.jpeg%253Fdr%253D14572%2526refresh_token%253D38b5b0db%2526x-expires%253D1810720800%25"&amp;"26x-signature%253DuiTJ%25252Bdv4D3PM7cDs9abPWWp%25252BJJg%25253D%2526t%253D4d5b0474%2526ps%253D13740610%2526shp%253Dd05b14bd%2526shcp%253D34ff8df6%2526idc%253Dmy3%2526s%253DTIKTOK_AFFILIATE_VIRAL_VIDEO%22%2C%22placeholder_product_id%22%3A%2217344259894853"&amp;"97395%22%2C%22placeholder_video_id%22%3A%227639644891030637832%22%7D&amp;ec_shared_reflux_scene=shop_tab_feed&amp;share_item_id=7639644891030637832&amp;source=h5_t")</f>
        <v>https://www.tiktok.com/@puspitajasmine26/video/7639644891030637832?_r=1&amp;u_code=dicfhiec9dj8ch&amp;region=&amp;mid=7639644931363031824&amp;preview_pb=0&amp;sharer_language=&amp;_d=0&amp;ec_shared_reflux_dynamic_params=%7B%22placeholder_material_id%22%3A%227639644891030637832%22%2C%22placeholder_origin_cover%22%3A%22https%253A%252F%252Fp16-common-sign.tiktokcdn.com%252Ftos-alisg-p-0037%252FoIKd8XrvDQoSMKphAVFCURRYLBf7q0BQEeglEB~tplv-tiktokx-origin.jpeg%253Fdr%253D14572%2526refresh_token%253D38b5b0db%2526x-expires%253D1810720800%2526x-signature%253DuiTJ%25252Bdv4D3PM7cDs9abPWWp%25252BJJg%25253D%2526t%253D4d5b0474%2526ps%253D13740610%2526shp%253Dd05b14bd%2526shcp%253D34ff8df6%2526idc%253Dmy3%2526s%253DTIKTOK_AFFILIATE_VIRAL_VIDEO%22%2C%22placeholder_product_id%22%3A%221734425989485397395%22%2C%22placeholder_video_id%22%3A%227639644891030637832%22%7D&amp;ec_shared_reflux_scene=shop_tab_feed&amp;share_item_id=7639644891030637832&amp;source=h5_t</v>
      </c>
      <c r="L140" s="333" t="str">
        <f>IFERROR(__xludf.DUMMYFUNCTION("""COMPUTED_VALUE"""),"Concept 3")</f>
        <v>Concept 3</v>
      </c>
      <c r="M140" s="278" t="str">
        <f>IFERROR(__xludf.DUMMYFUNCTION("""COMPUTED_VALUE"""),"https://www.tiktok.com/@puspitajasmine26/video/7640457316818570503?_r=1&amp;u_code=dicfhiec9dj8ch&amp;region=&amp;mid=7640458470516935444&amp;preview_pb=0&amp;sharer_language=&amp;_d=0&amp;ec_shared_reflux_dynamic_params=%7B%22placeholder_material_id%22%3A%227640457316818570503%22%2"&amp;"C%22placeholder_origin_cover%22%3A%22https%253A%252F%252Fp19-common-sign.tiktokcdn.com%252Ftos-alisg-p-0037%252FoYAmBCHqQE4BnV5IxbIfBFXC8DX7UFI690cpfg~tplv-tiktokx-origin.jpeg%253Fdr%253D14572%2526refresh_token%253Dfbe8b05e%2526x-expires%253D1810980000%25"&amp;"26x-signature%253DQepaQyrwQSl0JKEpnA96ZcOh5MM%25253D%2526t%253D4d5b0474%2526ps%253D13740610%2526shp%253Dd05b14bd%2526shcp%253D34ff8df6%2526idc%253Dmy2%2526s%253DTIKTOK_AFFILIATE_VIRAL_VIDEO%22%2C%22placeholder_product_id%22%3A%221734425989485397395%22%2C%"&amp;"22placeholder_video_id%22%3A%227640457316818570503%22%7D&amp;ec_shared_reflux_scene=shop_tab_feed&amp;share_item_id=7640457316818570503&amp;source=h5_t")</f>
        <v>https://www.tiktok.com/@puspitajasmine26/video/7640457316818570503?_r=1&amp;u_code=dicfhiec9dj8ch&amp;region=&amp;mid=7640458470516935444&amp;preview_pb=0&amp;sharer_language=&amp;_d=0&amp;ec_shared_reflux_dynamic_params=%7B%22placeholder_material_id%22%3A%227640457316818570503%22%2C%22placeholder_origin_cover%22%3A%22https%253A%252F%252Fp19-common-sign.tiktokcdn.com%252Ftos-alisg-p-0037%252FoYAmBCHqQE4BnV5IxbIfBFXC8DX7UFI690cpfg~tplv-tiktokx-origin.jpeg%253Fdr%253D14572%2526refresh_token%253Dfbe8b05e%2526x-expires%253D1810980000%2526x-signature%253DQepaQyrwQSl0JKEpnA96ZcOh5MM%25253D%2526t%253D4d5b0474%2526ps%253D13740610%2526shp%253Dd05b14bd%2526shcp%253D34ff8df6%2526idc%253Dmy2%2526s%253DTIKTOK_AFFILIATE_VIRAL_VIDEO%22%2C%22placeholder_product_id%22%3A%221734425989485397395%22%2C%22placeholder_video_id%22%3A%227640457316818570503%22%7D&amp;ec_shared_reflux_scene=shop_tab_feed&amp;share_item_id=7640457316818570503&amp;source=h5_t</v>
      </c>
      <c r="N140" s="333"/>
      <c r="O140" s="17"/>
      <c r="P140" s="333"/>
      <c r="Q140" s="17"/>
      <c r="R140" s="266">
        <f>IFERROR(__xludf.DUMMYFUNCTION("""COMPUTED_VALUE"""),0.0)</f>
        <v>0</v>
      </c>
      <c r="S140" s="266"/>
      <c r="T140" s="266"/>
      <c r="U140" s="266"/>
    </row>
    <row r="141">
      <c r="A141" s="255" t="str">
        <f>IFERROR(__xludf.DUMMYFUNCTION("""COMPUTED_VALUE"""),"NANO")</f>
        <v>NANO</v>
      </c>
      <c r="B141" s="23" t="str">
        <f>IFERROR(__xludf.DUMMYFUNCTION("""COMPUTED_VALUE"""),"mamak_kao")</f>
        <v>mamak_kao</v>
      </c>
      <c r="C141" s="281" t="str">
        <f>IFERROR(__xludf.DUMMYFUNCTION("""COMPUTED_VALUE"""),"https://www.tiktok.com/@mamak_kao")</f>
        <v>https://www.tiktok.com/@mamak_kao</v>
      </c>
      <c r="D141" s="270">
        <f>IFERROR(__xludf.DUMMYFUNCTION("""COMPUTED_VALUE"""),8.5319788767E10)</f>
        <v>85319788767</v>
      </c>
      <c r="E141" s="271">
        <f>IFERROR(__xludf.DUMMYFUNCTION("""COMPUTED_VALUE"""),0.0)</f>
        <v>0</v>
      </c>
      <c r="F141" s="270">
        <f>IFERROR(__xludf.DUMMYFUNCTION("""COMPUTED_VALUE"""),2.0)</f>
        <v>2</v>
      </c>
      <c r="G141" s="59" t="str">
        <f>IFERROR(__xludf.DUMMYFUNCTION("""COMPUTED_VALUE"""),"Rp71,5JT")</f>
        <v>Rp71,5JT</v>
      </c>
      <c r="H141" s="277" t="str">
        <f>IFERROR(__xludf.DUMMYFUNCTION("""COMPUTED_VALUE"""),"NEW! OMG Acne &amp; Oil Control UV Barrier Sunscreen SPF50 PA++++ ")</f>
        <v>NEW! OMG Acne &amp; Oil Control UV Barrier Sunscreen SPF50 PA++++ </v>
      </c>
      <c r="I141" s="260" t="str">
        <f>IFERROR(__xludf.DUMMYFUNCTION("""COMPUTED_VALUE"""),"Done Req Sample")</f>
        <v>Done Req Sample</v>
      </c>
      <c r="J141" s="333"/>
      <c r="K141" s="262"/>
      <c r="L141" s="333"/>
      <c r="M141" s="262"/>
      <c r="N141" s="333"/>
      <c r="O141" s="17"/>
      <c r="P141" s="333"/>
      <c r="Q141" s="17"/>
      <c r="R141" s="266">
        <f>IFERROR(__xludf.DUMMYFUNCTION("""COMPUTED_VALUE"""),0.0)</f>
        <v>0</v>
      </c>
      <c r="S141" s="266"/>
      <c r="T141" s="266"/>
      <c r="U141" s="266"/>
    </row>
    <row r="142">
      <c r="A142" s="255" t="str">
        <f>IFERROR(__xludf.DUMMYFUNCTION("""COMPUTED_VALUE"""),"MICRO")</f>
        <v>MICRO</v>
      </c>
      <c r="B142" s="23" t="str">
        <f>IFERROR(__xludf.DUMMYFUNCTION("""COMPUTED_VALUE"""),"haulbyping")</f>
        <v>haulbyping</v>
      </c>
      <c r="C142" s="281" t="str">
        <f>IFERROR(__xludf.DUMMYFUNCTION("""COMPUTED_VALUE"""),"https://www.tiktok.com/@haulbyping")</f>
        <v>https://www.tiktok.com/@haulbyping</v>
      </c>
      <c r="D142" s="270">
        <f>IFERROR(__xludf.DUMMYFUNCTION("""COMPUTED_VALUE"""),8.574543212E10)</f>
        <v>85745432120</v>
      </c>
      <c r="E142" s="271">
        <f>IFERROR(__xludf.DUMMYFUNCTION("""COMPUTED_VALUE"""),0.0)</f>
        <v>0</v>
      </c>
      <c r="F142" s="270">
        <f>IFERROR(__xludf.DUMMYFUNCTION("""COMPUTED_VALUE"""),2.0)</f>
        <v>2</v>
      </c>
      <c r="G142" s="59" t="str">
        <f>IFERROR(__xludf.DUMMYFUNCTION("""COMPUTED_VALUE"""),"Rp150,4JT")</f>
        <v>Rp150,4JT</v>
      </c>
      <c r="H142" s="277" t="str">
        <f>IFERROR(__xludf.DUMMYFUNCTION("""COMPUTED_VALUE"""),"OMG OH MY GLOW UV Barrier Sunscreen SPF 50 PA++++ 60 ml")</f>
        <v>OMG OH MY GLOW UV Barrier Sunscreen SPF 50 PA++++ 60 ml</v>
      </c>
      <c r="I142" s="260"/>
      <c r="J142" s="333"/>
      <c r="K142" s="262"/>
      <c r="L142" s="333"/>
      <c r="M142" s="262"/>
      <c r="N142" s="333"/>
      <c r="O142" s="17"/>
      <c r="P142" s="333"/>
      <c r="Q142" s="17"/>
      <c r="R142" s="266"/>
      <c r="S142" s="266"/>
      <c r="T142" s="266"/>
      <c r="U142" s="266"/>
    </row>
    <row r="143">
      <c r="A143" s="255" t="str">
        <f>IFERROR(__xludf.DUMMYFUNCTION("""COMPUTED_VALUE"""),"NANO")</f>
        <v>NANO</v>
      </c>
      <c r="B143" s="23" t="str">
        <f>IFERROR(__xludf.DUMMYFUNCTION("""COMPUTED_VALUE"""),"sye.stuff")</f>
        <v>sye.stuff</v>
      </c>
      <c r="C143" s="281" t="str">
        <f>IFERROR(__xludf.DUMMYFUNCTION("""COMPUTED_VALUE"""),"https://www.tiktok.com/@sye.stuff")</f>
        <v>https://www.tiktok.com/@sye.stuff</v>
      </c>
      <c r="D143" s="270">
        <f>IFERROR(__xludf.DUMMYFUNCTION("""COMPUTED_VALUE"""),8.5727185659E10)</f>
        <v>85727185659</v>
      </c>
      <c r="E143" s="271">
        <f>IFERROR(__xludf.DUMMYFUNCTION("""COMPUTED_VALUE"""),0.0)</f>
        <v>0</v>
      </c>
      <c r="F143" s="270">
        <f>IFERROR(__xludf.DUMMYFUNCTION("""COMPUTED_VALUE"""),2.0)</f>
        <v>2</v>
      </c>
      <c r="G143" s="59" t="str">
        <f>IFERROR(__xludf.DUMMYFUNCTION("""COMPUTED_VALUE"""),"Rp34,9JT")</f>
        <v>Rp34,9JT</v>
      </c>
      <c r="H143" s="277" t="str">
        <f>IFERROR(__xludf.DUMMYFUNCTION("""COMPUTED_VALUE"""),"OMG OH MY GLOW UV Barrier Sunscreen SPF 50 PA++++ 60 ml")</f>
        <v>OMG OH MY GLOW UV Barrier Sunscreen SPF 50 PA++++ 60 ml</v>
      </c>
      <c r="I143" s="260"/>
      <c r="J143" s="333"/>
      <c r="K143" s="262"/>
      <c r="L143" s="333"/>
      <c r="M143" s="262"/>
      <c r="N143" s="333"/>
      <c r="O143" s="17"/>
      <c r="P143" s="333"/>
      <c r="Q143" s="17"/>
      <c r="R143" s="266"/>
      <c r="S143" s="266"/>
      <c r="T143" s="266"/>
      <c r="U143" s="266"/>
    </row>
    <row r="144">
      <c r="A144" s="255" t="str">
        <f>IFERROR(__xludf.DUMMYFUNCTION("""COMPUTED_VALUE"""),"MICRO")</f>
        <v>MICRO</v>
      </c>
      <c r="B144" s="23" t="str">
        <f>IFERROR(__xludf.DUMMYFUNCTION("""COMPUTED_VALUE"""),"moona.things")</f>
        <v>moona.things</v>
      </c>
      <c r="C144" s="281" t="str">
        <f>IFERROR(__xludf.DUMMYFUNCTION("""COMPUTED_VALUE"""),"https://www.tiktok.com/@moona.things")</f>
        <v>https://www.tiktok.com/@moona.things</v>
      </c>
      <c r="D144" s="270">
        <f>IFERROR(__xludf.DUMMYFUNCTION("""COMPUTED_VALUE"""),8.3136507787E10)</f>
        <v>83136507787</v>
      </c>
      <c r="E144" s="271">
        <f>IFERROR(__xludf.DUMMYFUNCTION("""COMPUTED_VALUE"""),0.0)</f>
        <v>0</v>
      </c>
      <c r="F144" s="270">
        <f>IFERROR(__xludf.DUMMYFUNCTION("""COMPUTED_VALUE"""),2.0)</f>
        <v>2</v>
      </c>
      <c r="G144" s="59" t="str">
        <f>IFERROR(__xludf.DUMMYFUNCTION("""COMPUTED_VALUE"""),"Rp1JT+")</f>
        <v>Rp1JT+</v>
      </c>
      <c r="H144" s="277" t="str">
        <f>IFERROR(__xludf.DUMMYFUNCTION("""COMPUTED_VALUE"""),"Brightening &amp; Soothing Toner")</f>
        <v>Brightening &amp; Soothing Toner</v>
      </c>
      <c r="I144" s="260"/>
      <c r="J144" s="333"/>
      <c r="K144" s="262"/>
      <c r="L144" s="333"/>
      <c r="M144" s="262"/>
      <c r="N144" s="333"/>
      <c r="O144" s="17"/>
      <c r="P144" s="333"/>
      <c r="Q144" s="17"/>
      <c r="R144" s="266"/>
      <c r="S144" s="266"/>
      <c r="T144" s="266"/>
      <c r="U144" s="266"/>
    </row>
    <row r="145">
      <c r="A145" s="255" t="str">
        <f>IFERROR(__xludf.DUMMYFUNCTION("""COMPUTED_VALUE"""),"NANO")</f>
        <v>NANO</v>
      </c>
      <c r="B145" s="23" t="str">
        <f>IFERROR(__xludf.DUMMYFUNCTION("""COMPUTED_VALUE"""),"serbaserbishp")</f>
        <v>serbaserbishp</v>
      </c>
      <c r="C145" s="281" t="str">
        <f>IFERROR(__xludf.DUMMYFUNCTION("""COMPUTED_VALUE"""),"https://www.tiktok.com/@serbaserbishp")</f>
        <v>https://www.tiktok.com/@serbaserbishp</v>
      </c>
      <c r="D145" s="270">
        <f>IFERROR(__xludf.DUMMYFUNCTION("""COMPUTED_VALUE"""),8.1285447558E10)</f>
        <v>81285447558</v>
      </c>
      <c r="E145" s="271">
        <f>IFERROR(__xludf.DUMMYFUNCTION("""COMPUTED_VALUE"""),0.0)</f>
        <v>0</v>
      </c>
      <c r="F145" s="270">
        <f>IFERROR(__xludf.DUMMYFUNCTION("""COMPUTED_VALUE"""),2.0)</f>
        <v>2</v>
      </c>
      <c r="G145" s="59"/>
      <c r="H145" s="277" t="str">
        <f>IFERROR(__xludf.DUMMYFUNCTION("""COMPUTED_VALUE"""),"Brightening &amp; Soothing Toner")</f>
        <v>Brightening &amp; Soothing Toner</v>
      </c>
      <c r="I145" s="260"/>
      <c r="J145" s="333"/>
      <c r="K145" s="262"/>
      <c r="L145" s="333"/>
      <c r="M145" s="262"/>
      <c r="N145" s="333"/>
      <c r="O145" s="17"/>
      <c r="P145" s="333"/>
      <c r="Q145" s="17"/>
      <c r="R145" s="266"/>
      <c r="S145" s="266"/>
      <c r="T145" s="266"/>
      <c r="U145" s="266"/>
    </row>
    <row r="146">
      <c r="A146" s="255" t="str">
        <f>IFERROR(__xludf.DUMMYFUNCTION("""COMPUTED_VALUE"""),"MICRO")</f>
        <v>MICRO</v>
      </c>
      <c r="B146" s="23" t="str">
        <f>IFERROR(__xludf.DUMMYFUNCTION("""COMPUTED_VALUE"""),"anasthetixs")</f>
        <v>anasthetixs</v>
      </c>
      <c r="C146" s="281" t="str">
        <f>IFERROR(__xludf.DUMMYFUNCTION("""COMPUTED_VALUE"""),"https://www.tiktok.com/@anasthetixs")</f>
        <v>https://www.tiktok.com/@anasthetixs</v>
      </c>
      <c r="D146" s="270">
        <f>IFERROR(__xludf.DUMMYFUNCTION("""COMPUTED_VALUE"""),8.136157581E10)</f>
        <v>81361575810</v>
      </c>
      <c r="E146" s="271">
        <f>IFERROR(__xludf.DUMMYFUNCTION("""COMPUTED_VALUE"""),0.0)</f>
        <v>0</v>
      </c>
      <c r="F146" s="270">
        <f>IFERROR(__xludf.DUMMYFUNCTION("""COMPUTED_VALUE"""),2.0)</f>
        <v>2</v>
      </c>
      <c r="G146" s="59"/>
      <c r="H146" s="277" t="str">
        <f>IFERROR(__xludf.DUMMYFUNCTION("""COMPUTED_VALUE"""),"OMG OH MY GLOW UV Barrier Sunscreen SPF 50 PA++++ 60 ml")</f>
        <v>OMG OH MY GLOW UV Barrier Sunscreen SPF 50 PA++++ 60 ml</v>
      </c>
      <c r="I146" s="260"/>
      <c r="J146" s="333"/>
      <c r="K146" s="262"/>
      <c r="L146" s="333"/>
      <c r="M146" s="262"/>
      <c r="N146" s="333"/>
      <c r="O146" s="17"/>
      <c r="P146" s="333"/>
      <c r="Q146" s="17"/>
      <c r="R146" s="266"/>
      <c r="S146" s="266"/>
      <c r="T146" s="266"/>
      <c r="U146" s="266"/>
    </row>
    <row r="147">
      <c r="A147" s="255" t="str">
        <f>IFERROR(__xludf.DUMMYFUNCTION("""COMPUTED_VALUE"""),"NANO")</f>
        <v>NANO</v>
      </c>
      <c r="B147" s="23" t="str">
        <f>IFERROR(__xludf.DUMMYFUNCTION("""COMPUTED_VALUE"""),"zulfabeautycare_bwi")</f>
        <v>zulfabeautycare_bwi</v>
      </c>
      <c r="C147" s="281" t="str">
        <f>IFERROR(__xludf.DUMMYFUNCTION("""COMPUTED_VALUE"""),"https://www.tiktok.com/@beautynfinity_")</f>
        <v>https://www.tiktok.com/@beautynfinity_</v>
      </c>
      <c r="D147" s="270">
        <f>IFERROR(__xludf.DUMMYFUNCTION("""COMPUTED_VALUE"""),8.5608611692E10)</f>
        <v>85608611692</v>
      </c>
      <c r="E147" s="271">
        <f>IFERROR(__xludf.DUMMYFUNCTION("""COMPUTED_VALUE"""),0.0)</f>
        <v>0</v>
      </c>
      <c r="F147" s="270">
        <f>IFERROR(__xludf.DUMMYFUNCTION("""COMPUTED_VALUE"""),2.0)</f>
        <v>2</v>
      </c>
      <c r="G147" s="59" t="str">
        <f>IFERROR(__xludf.DUMMYFUNCTION("""COMPUTED_VALUE"""),"Rp13,6JT")</f>
        <v>Rp13,6JT</v>
      </c>
      <c r="H147" s="277" t="str">
        <f>IFERROR(__xludf.DUMMYFUNCTION("""COMPUTED_VALUE"""),"OMG OH MY GLOW UV Barrier Sunscreen SPF 50 PA++++ 60 ml")</f>
        <v>OMG OH MY GLOW UV Barrier Sunscreen SPF 50 PA++++ 60 ml</v>
      </c>
      <c r="I147" s="260"/>
      <c r="J147" s="333"/>
      <c r="K147" s="262"/>
      <c r="L147" s="333"/>
      <c r="M147" s="262"/>
      <c r="N147" s="333"/>
      <c r="O147" s="17"/>
      <c r="P147" s="333"/>
      <c r="Q147" s="17"/>
      <c r="R147" s="266"/>
      <c r="S147" s="266"/>
      <c r="T147" s="266"/>
      <c r="U147" s="266"/>
    </row>
    <row r="148">
      <c r="A148" s="255"/>
      <c r="B148" s="23"/>
      <c r="C148" s="268"/>
      <c r="D148" s="270"/>
      <c r="E148" s="271"/>
      <c r="F148" s="270"/>
      <c r="G148" s="59"/>
      <c r="H148" s="277"/>
      <c r="I148" s="260"/>
      <c r="J148" s="333"/>
      <c r="K148" s="262"/>
      <c r="L148" s="333"/>
      <c r="M148" s="262"/>
      <c r="N148" s="333"/>
      <c r="O148" s="17"/>
      <c r="P148" s="333"/>
      <c r="Q148" s="17"/>
      <c r="R148" s="266"/>
      <c r="S148" s="266"/>
      <c r="T148" s="266"/>
      <c r="U148" s="266"/>
    </row>
    <row r="149">
      <c r="A149" s="255"/>
      <c r="B149" s="23"/>
      <c r="C149" s="268"/>
      <c r="D149" s="270"/>
      <c r="E149" s="271"/>
      <c r="F149" s="270"/>
      <c r="G149" s="59"/>
      <c r="H149" s="277"/>
      <c r="I149" s="260"/>
      <c r="J149" s="333"/>
      <c r="K149" s="262"/>
      <c r="L149" s="333"/>
      <c r="M149" s="262"/>
      <c r="N149" s="333"/>
      <c r="O149" s="17"/>
      <c r="P149" s="333"/>
      <c r="Q149" s="17"/>
      <c r="R149" s="266"/>
      <c r="S149" s="266"/>
      <c r="T149" s="266"/>
      <c r="U149" s="266"/>
    </row>
    <row r="150">
      <c r="A150" s="272"/>
      <c r="B150" s="272"/>
      <c r="C150" s="336"/>
      <c r="D150" s="273"/>
      <c r="E150" s="274"/>
      <c r="F150" s="273"/>
      <c r="G150" s="13"/>
      <c r="H150" s="12"/>
      <c r="K150" s="12"/>
      <c r="M150" s="12"/>
      <c r="R150" s="218"/>
      <c r="S150" s="218"/>
      <c r="T150" s="218"/>
      <c r="U150" s="218"/>
    </row>
    <row r="151">
      <c r="A151" s="272"/>
      <c r="B151" s="272"/>
      <c r="C151" s="336"/>
      <c r="D151" s="273"/>
      <c r="E151" s="274"/>
      <c r="F151" s="273"/>
      <c r="G151" s="13"/>
      <c r="H151" s="12"/>
      <c r="K151" s="12"/>
      <c r="M151" s="12"/>
      <c r="R151" s="218"/>
      <c r="S151" s="218"/>
      <c r="T151" s="218"/>
      <c r="U151" s="218"/>
    </row>
    <row r="152">
      <c r="A152" s="272"/>
      <c r="B152" s="272"/>
      <c r="C152" s="336"/>
      <c r="D152" s="273"/>
      <c r="E152" s="274"/>
      <c r="F152" s="273"/>
      <c r="G152" s="13"/>
      <c r="H152" s="12"/>
      <c r="K152" s="12"/>
      <c r="M152" s="12"/>
      <c r="R152" s="218"/>
      <c r="S152" s="218"/>
      <c r="T152" s="218"/>
      <c r="U152" s="218"/>
    </row>
    <row r="153">
      <c r="A153" s="272"/>
      <c r="B153" s="272"/>
      <c r="C153" s="336"/>
      <c r="D153" s="273"/>
      <c r="E153" s="274"/>
      <c r="F153" s="273"/>
      <c r="G153" s="13"/>
      <c r="H153" s="12"/>
      <c r="K153" s="12"/>
      <c r="M153" s="12"/>
      <c r="R153" s="218"/>
      <c r="S153" s="218"/>
      <c r="T153" s="218"/>
      <c r="U153" s="218"/>
    </row>
    <row r="154">
      <c r="A154" s="272"/>
      <c r="B154" s="272"/>
      <c r="C154" s="336"/>
      <c r="D154" s="273"/>
      <c r="E154" s="274"/>
      <c r="F154" s="273"/>
      <c r="G154" s="13"/>
      <c r="H154" s="12"/>
      <c r="K154" s="12"/>
      <c r="M154" s="12"/>
      <c r="R154" s="218"/>
      <c r="S154" s="218"/>
      <c r="T154" s="218"/>
      <c r="U154" s="218"/>
    </row>
    <row r="155">
      <c r="A155" s="272"/>
      <c r="B155" s="272"/>
      <c r="C155" s="336"/>
      <c r="D155" s="273"/>
      <c r="E155" s="274"/>
      <c r="F155" s="273"/>
      <c r="G155" s="13"/>
      <c r="H155" s="12"/>
      <c r="K155" s="12"/>
      <c r="M155" s="12"/>
      <c r="R155" s="218"/>
      <c r="S155" s="218"/>
      <c r="T155" s="218"/>
      <c r="U155" s="218"/>
    </row>
    <row r="156">
      <c r="A156" s="272"/>
      <c r="B156" s="272"/>
      <c r="C156" s="336"/>
      <c r="D156" s="273"/>
      <c r="E156" s="274"/>
      <c r="F156" s="273"/>
      <c r="G156" s="13"/>
      <c r="H156" s="12"/>
      <c r="K156" s="12"/>
      <c r="M156" s="12"/>
      <c r="R156" s="218"/>
      <c r="S156" s="218"/>
      <c r="T156" s="218"/>
      <c r="U156" s="218"/>
    </row>
    <row r="157">
      <c r="A157" s="272"/>
      <c r="B157" s="272"/>
      <c r="C157" s="336"/>
      <c r="D157" s="273"/>
      <c r="E157" s="274"/>
      <c r="F157" s="273"/>
      <c r="G157" s="13"/>
      <c r="H157" s="12"/>
      <c r="K157" s="12"/>
      <c r="M157" s="12"/>
      <c r="R157" s="218"/>
      <c r="S157" s="218"/>
      <c r="T157" s="218"/>
      <c r="U157" s="218"/>
    </row>
    <row r="158">
      <c r="A158" s="272"/>
      <c r="B158" s="272"/>
      <c r="C158" s="336"/>
      <c r="D158" s="273"/>
      <c r="E158" s="274"/>
      <c r="F158" s="273"/>
      <c r="G158" s="13"/>
      <c r="H158" s="12"/>
      <c r="K158" s="12"/>
      <c r="M158" s="12"/>
      <c r="R158" s="218"/>
      <c r="S158" s="218"/>
      <c r="T158" s="218"/>
      <c r="U158" s="218"/>
    </row>
    <row r="159">
      <c r="A159" s="272"/>
      <c r="B159" s="272"/>
      <c r="C159" s="336"/>
      <c r="D159" s="273"/>
      <c r="E159" s="274"/>
      <c r="F159" s="273"/>
      <c r="G159" s="13"/>
      <c r="H159" s="12"/>
      <c r="K159" s="12"/>
      <c r="M159" s="12"/>
      <c r="R159" s="218"/>
      <c r="S159" s="218"/>
      <c r="T159" s="218"/>
      <c r="U159" s="218"/>
    </row>
    <row r="160">
      <c r="A160" s="272"/>
      <c r="B160" s="272"/>
      <c r="C160" s="336"/>
      <c r="D160" s="273"/>
      <c r="E160" s="274"/>
      <c r="F160" s="273"/>
      <c r="G160" s="13"/>
      <c r="H160" s="12"/>
      <c r="K160" s="12"/>
      <c r="M160" s="12"/>
      <c r="R160" s="218"/>
      <c r="S160" s="218"/>
      <c r="T160" s="218"/>
      <c r="U160" s="218"/>
    </row>
    <row r="161">
      <c r="A161" s="272"/>
      <c r="B161" s="272"/>
      <c r="C161" s="336"/>
      <c r="D161" s="273"/>
      <c r="E161" s="274"/>
      <c r="F161" s="273"/>
      <c r="G161" s="13"/>
      <c r="H161" s="12"/>
      <c r="K161" s="12"/>
      <c r="M161" s="12"/>
      <c r="R161" s="218"/>
      <c r="S161" s="218"/>
      <c r="T161" s="218"/>
      <c r="U161" s="218"/>
    </row>
    <row r="162">
      <c r="A162" s="272"/>
      <c r="B162" s="272"/>
      <c r="C162" s="336"/>
      <c r="D162" s="273"/>
      <c r="E162" s="274"/>
      <c r="F162" s="273"/>
      <c r="G162" s="13"/>
      <c r="H162" s="12"/>
      <c r="K162" s="12"/>
      <c r="M162" s="12"/>
      <c r="R162" s="218"/>
      <c r="S162" s="218"/>
      <c r="T162" s="218"/>
      <c r="U162" s="218"/>
    </row>
    <row r="163">
      <c r="A163" s="272"/>
      <c r="B163" s="272"/>
      <c r="C163" s="336"/>
      <c r="D163" s="273"/>
      <c r="E163" s="274"/>
      <c r="F163" s="273"/>
      <c r="G163" s="13"/>
      <c r="H163" s="12"/>
      <c r="K163" s="12"/>
      <c r="M163" s="12"/>
      <c r="R163" s="218"/>
      <c r="S163" s="218"/>
      <c r="T163" s="218"/>
      <c r="U163" s="218"/>
    </row>
    <row r="164">
      <c r="A164" s="272"/>
      <c r="B164" s="272"/>
      <c r="C164" s="336"/>
      <c r="D164" s="273"/>
      <c r="E164" s="274"/>
      <c r="F164" s="273"/>
      <c r="G164" s="13"/>
      <c r="H164" s="12"/>
      <c r="K164" s="12"/>
      <c r="M164" s="12"/>
      <c r="R164" s="218"/>
      <c r="S164" s="218"/>
      <c r="T164" s="218"/>
      <c r="U164" s="218"/>
    </row>
    <row r="165">
      <c r="A165" s="272"/>
      <c r="B165" s="272"/>
      <c r="C165" s="336"/>
      <c r="D165" s="273"/>
      <c r="E165" s="274"/>
      <c r="F165" s="273"/>
      <c r="G165" s="13"/>
      <c r="H165" s="12"/>
      <c r="K165" s="12"/>
      <c r="M165" s="12"/>
      <c r="R165" s="218"/>
      <c r="S165" s="218"/>
      <c r="T165" s="218"/>
      <c r="U165" s="218"/>
    </row>
    <row r="166">
      <c r="A166" s="272"/>
      <c r="B166" s="272"/>
      <c r="C166" s="336"/>
      <c r="D166" s="273"/>
      <c r="E166" s="274"/>
      <c r="F166" s="273"/>
      <c r="G166" s="13"/>
      <c r="H166" s="12"/>
      <c r="K166" s="12"/>
      <c r="M166" s="12"/>
      <c r="R166" s="218"/>
      <c r="S166" s="218"/>
      <c r="T166" s="218"/>
      <c r="U166" s="218"/>
    </row>
    <row r="167">
      <c r="A167" s="272"/>
      <c r="B167" s="272"/>
      <c r="C167" s="336"/>
      <c r="D167" s="273"/>
      <c r="E167" s="274"/>
      <c r="F167" s="273"/>
      <c r="G167" s="13"/>
      <c r="H167" s="12"/>
      <c r="K167" s="12"/>
      <c r="M167" s="12"/>
      <c r="R167" s="218"/>
      <c r="S167" s="218"/>
      <c r="T167" s="218"/>
      <c r="U167" s="218"/>
    </row>
    <row r="168">
      <c r="A168" s="272"/>
      <c r="B168" s="272"/>
      <c r="C168" s="336"/>
      <c r="D168" s="273"/>
      <c r="E168" s="274"/>
      <c r="F168" s="273"/>
      <c r="G168" s="13"/>
      <c r="H168" s="12"/>
      <c r="K168" s="12"/>
      <c r="M168" s="12"/>
      <c r="R168" s="218"/>
      <c r="S168" s="218"/>
      <c r="T168" s="218"/>
      <c r="U168" s="218"/>
    </row>
    <row r="169">
      <c r="A169" s="272"/>
      <c r="B169" s="272"/>
      <c r="C169" s="336"/>
      <c r="D169" s="273"/>
      <c r="E169" s="274"/>
      <c r="F169" s="273"/>
      <c r="G169" s="13"/>
      <c r="H169" s="12"/>
      <c r="K169" s="12"/>
      <c r="M169" s="12"/>
      <c r="R169" s="218"/>
      <c r="S169" s="218"/>
      <c r="T169" s="218"/>
      <c r="U169" s="218"/>
    </row>
    <row r="170">
      <c r="A170" s="272"/>
      <c r="B170" s="272"/>
      <c r="C170" s="336"/>
      <c r="D170" s="273"/>
      <c r="E170" s="274"/>
      <c r="F170" s="273"/>
      <c r="G170" s="13"/>
      <c r="H170" s="12"/>
      <c r="K170" s="12"/>
      <c r="M170" s="12"/>
      <c r="R170" s="218"/>
      <c r="S170" s="218"/>
      <c r="T170" s="218"/>
      <c r="U170" s="218"/>
    </row>
    <row r="171">
      <c r="A171" s="272"/>
      <c r="B171" s="272"/>
      <c r="C171" s="336"/>
      <c r="D171" s="273"/>
      <c r="E171" s="274"/>
      <c r="F171" s="273"/>
      <c r="G171" s="13"/>
      <c r="H171" s="12"/>
      <c r="K171" s="12"/>
      <c r="M171" s="12"/>
      <c r="R171" s="218"/>
      <c r="S171" s="218"/>
      <c r="T171" s="218"/>
      <c r="U171" s="218"/>
    </row>
    <row r="172">
      <c r="A172" s="272"/>
      <c r="B172" s="272"/>
      <c r="C172" s="336"/>
      <c r="D172" s="273"/>
      <c r="E172" s="274"/>
      <c r="F172" s="273"/>
      <c r="G172" s="13"/>
      <c r="H172" s="12"/>
      <c r="K172" s="12"/>
      <c r="M172" s="12"/>
      <c r="R172" s="218"/>
      <c r="S172" s="218"/>
      <c r="T172" s="218"/>
      <c r="U172" s="218"/>
    </row>
    <row r="173">
      <c r="A173" s="272"/>
      <c r="B173" s="272"/>
      <c r="C173" s="336"/>
      <c r="D173" s="273"/>
      <c r="E173" s="274"/>
      <c r="F173" s="273"/>
      <c r="G173" s="13"/>
      <c r="H173" s="12"/>
      <c r="K173" s="12"/>
      <c r="M173" s="12"/>
      <c r="R173" s="218"/>
      <c r="S173" s="218"/>
      <c r="T173" s="218"/>
      <c r="U173" s="218"/>
    </row>
    <row r="174">
      <c r="A174" s="272"/>
      <c r="B174" s="272"/>
      <c r="C174" s="336"/>
      <c r="D174" s="273"/>
      <c r="E174" s="274"/>
      <c r="F174" s="273"/>
      <c r="G174" s="13"/>
      <c r="H174" s="12"/>
      <c r="K174" s="12"/>
      <c r="M174" s="12"/>
      <c r="R174" s="218"/>
      <c r="S174" s="218"/>
      <c r="T174" s="218"/>
      <c r="U174" s="218"/>
    </row>
    <row r="175">
      <c r="A175" s="272"/>
      <c r="B175" s="272"/>
      <c r="C175" s="336"/>
      <c r="D175" s="273"/>
      <c r="E175" s="274"/>
      <c r="F175" s="273"/>
      <c r="G175" s="13"/>
      <c r="H175" s="12"/>
      <c r="K175" s="12"/>
      <c r="M175" s="12"/>
      <c r="R175" s="218"/>
      <c r="S175" s="218"/>
      <c r="T175" s="218"/>
      <c r="U175" s="218"/>
    </row>
    <row r="176">
      <c r="A176" s="272"/>
      <c r="B176" s="272"/>
      <c r="C176" s="336"/>
      <c r="D176" s="273"/>
      <c r="E176" s="274"/>
      <c r="F176" s="273"/>
      <c r="G176" s="13"/>
      <c r="H176" s="12"/>
      <c r="K176" s="12"/>
      <c r="M176" s="12"/>
      <c r="R176" s="218"/>
      <c r="S176" s="218"/>
      <c r="T176" s="218"/>
      <c r="U176" s="218"/>
    </row>
    <row r="177">
      <c r="A177" s="272"/>
      <c r="B177" s="272"/>
      <c r="C177" s="336"/>
      <c r="D177" s="273"/>
      <c r="E177" s="274"/>
      <c r="F177" s="273"/>
      <c r="G177" s="13"/>
      <c r="H177" s="12"/>
      <c r="K177" s="12"/>
      <c r="M177" s="12"/>
      <c r="R177" s="218"/>
      <c r="S177" s="218"/>
      <c r="T177" s="218"/>
      <c r="U177" s="218"/>
    </row>
    <row r="178">
      <c r="A178" s="272"/>
      <c r="B178" s="272"/>
      <c r="C178" s="336"/>
      <c r="D178" s="273"/>
      <c r="E178" s="274"/>
      <c r="F178" s="273"/>
      <c r="G178" s="13"/>
      <c r="H178" s="12"/>
      <c r="K178" s="12"/>
      <c r="M178" s="12"/>
      <c r="R178" s="218"/>
      <c r="S178" s="218"/>
      <c r="T178" s="218"/>
      <c r="U178" s="218"/>
    </row>
    <row r="179">
      <c r="A179" s="272"/>
      <c r="B179" s="272"/>
      <c r="C179" s="336"/>
      <c r="D179" s="273"/>
      <c r="E179" s="274"/>
      <c r="F179" s="273"/>
      <c r="G179" s="13"/>
      <c r="H179" s="12"/>
      <c r="K179" s="12"/>
      <c r="M179" s="12"/>
      <c r="R179" s="218"/>
      <c r="S179" s="218"/>
      <c r="T179" s="218"/>
      <c r="U179" s="218"/>
    </row>
    <row r="180">
      <c r="A180" s="272"/>
      <c r="B180" s="272"/>
      <c r="C180" s="336"/>
      <c r="D180" s="273"/>
      <c r="E180" s="274"/>
      <c r="F180" s="273"/>
      <c r="G180" s="13"/>
      <c r="H180" s="12"/>
      <c r="K180" s="12"/>
      <c r="M180" s="12"/>
      <c r="R180" s="218"/>
      <c r="S180" s="218"/>
      <c r="T180" s="218"/>
      <c r="U180" s="218"/>
    </row>
    <row r="181">
      <c r="A181" s="272"/>
      <c r="B181" s="272"/>
      <c r="C181" s="336"/>
      <c r="D181" s="273"/>
      <c r="E181" s="274"/>
      <c r="F181" s="273"/>
      <c r="G181" s="13"/>
      <c r="H181" s="12"/>
      <c r="K181" s="12"/>
      <c r="M181" s="12"/>
      <c r="R181" s="218"/>
      <c r="S181" s="218"/>
      <c r="T181" s="218"/>
      <c r="U181" s="218"/>
    </row>
    <row r="182">
      <c r="A182" s="272"/>
      <c r="B182" s="272"/>
      <c r="C182" s="336"/>
      <c r="D182" s="273"/>
      <c r="E182" s="274"/>
      <c r="F182" s="273"/>
      <c r="G182" s="13"/>
      <c r="H182" s="12"/>
      <c r="K182" s="12"/>
      <c r="M182" s="12"/>
      <c r="R182" s="218"/>
      <c r="S182" s="218"/>
      <c r="T182" s="218"/>
      <c r="U182" s="218"/>
    </row>
    <row r="183">
      <c r="A183" s="272"/>
      <c r="B183" s="272"/>
      <c r="C183" s="336"/>
      <c r="D183" s="273"/>
      <c r="E183" s="274"/>
      <c r="F183" s="273"/>
      <c r="G183" s="13"/>
      <c r="H183" s="12"/>
      <c r="K183" s="12"/>
      <c r="M183" s="12"/>
      <c r="R183" s="218"/>
      <c r="S183" s="218"/>
      <c r="T183" s="218"/>
      <c r="U183" s="218"/>
    </row>
    <row r="184">
      <c r="A184" s="272"/>
      <c r="B184" s="272"/>
      <c r="C184" s="336"/>
      <c r="D184" s="273"/>
      <c r="E184" s="274"/>
      <c r="F184" s="273"/>
      <c r="G184" s="13"/>
      <c r="H184" s="12"/>
      <c r="K184" s="12"/>
      <c r="M184" s="12"/>
      <c r="R184" s="218"/>
      <c r="S184" s="218"/>
      <c r="T184" s="218"/>
      <c r="U184" s="218"/>
    </row>
    <row r="185">
      <c r="A185" s="272"/>
      <c r="B185" s="272"/>
      <c r="C185" s="336"/>
      <c r="D185" s="273"/>
      <c r="E185" s="274"/>
      <c r="F185" s="273"/>
      <c r="G185" s="13"/>
      <c r="H185" s="12"/>
      <c r="K185" s="12"/>
      <c r="M185" s="12"/>
      <c r="R185" s="218"/>
      <c r="S185" s="218"/>
      <c r="T185" s="218"/>
      <c r="U185" s="218"/>
    </row>
    <row r="186">
      <c r="A186" s="272"/>
      <c r="B186" s="272"/>
      <c r="C186" s="336"/>
      <c r="D186" s="273"/>
      <c r="E186" s="274"/>
      <c r="F186" s="273"/>
      <c r="G186" s="13"/>
      <c r="H186" s="12"/>
      <c r="K186" s="12"/>
      <c r="M186" s="12"/>
      <c r="R186" s="218"/>
      <c r="S186" s="218"/>
      <c r="T186" s="218"/>
      <c r="U186" s="218"/>
    </row>
    <row r="187">
      <c r="A187" s="272"/>
      <c r="B187" s="272"/>
      <c r="C187" s="336"/>
      <c r="D187" s="273"/>
      <c r="E187" s="274"/>
      <c r="F187" s="273"/>
      <c r="G187" s="13"/>
      <c r="H187" s="12"/>
      <c r="K187" s="12"/>
      <c r="M187" s="12"/>
      <c r="R187" s="218"/>
      <c r="S187" s="218"/>
      <c r="T187" s="218"/>
      <c r="U187" s="218"/>
    </row>
    <row r="188">
      <c r="A188" s="272"/>
      <c r="B188" s="272"/>
      <c r="C188" s="336"/>
      <c r="D188" s="273"/>
      <c r="E188" s="274"/>
      <c r="F188" s="273"/>
      <c r="G188" s="13"/>
      <c r="H188" s="12"/>
      <c r="K188" s="12"/>
      <c r="M188" s="12"/>
      <c r="R188" s="218"/>
      <c r="S188" s="218"/>
      <c r="T188" s="218"/>
      <c r="U188" s="218"/>
    </row>
    <row r="189">
      <c r="A189" s="272"/>
      <c r="B189" s="272"/>
      <c r="C189" s="336"/>
      <c r="D189" s="273"/>
      <c r="E189" s="274"/>
      <c r="F189" s="273"/>
      <c r="G189" s="13"/>
      <c r="H189" s="12"/>
      <c r="K189" s="12"/>
      <c r="M189" s="12"/>
      <c r="R189" s="218"/>
      <c r="S189" s="218"/>
      <c r="T189" s="218"/>
      <c r="U189" s="218"/>
    </row>
    <row r="190">
      <c r="A190" s="272"/>
      <c r="B190" s="272"/>
      <c r="C190" s="336"/>
      <c r="D190" s="273"/>
      <c r="E190" s="274"/>
      <c r="F190" s="273"/>
      <c r="G190" s="13"/>
      <c r="H190" s="12"/>
      <c r="K190" s="12"/>
      <c r="M190" s="12"/>
      <c r="R190" s="218"/>
      <c r="S190" s="218"/>
      <c r="T190" s="218"/>
      <c r="U190" s="218"/>
    </row>
    <row r="191">
      <c r="A191" s="272"/>
      <c r="B191" s="272"/>
      <c r="C191" s="336"/>
      <c r="D191" s="273"/>
      <c r="E191" s="274"/>
      <c r="F191" s="273"/>
      <c r="G191" s="13"/>
      <c r="H191" s="12"/>
      <c r="K191" s="12"/>
      <c r="M191" s="12"/>
      <c r="R191" s="218"/>
      <c r="S191" s="218"/>
      <c r="T191" s="218"/>
      <c r="U191" s="218"/>
    </row>
    <row r="192">
      <c r="A192" s="272"/>
      <c r="B192" s="272"/>
      <c r="C192" s="336"/>
      <c r="D192" s="273"/>
      <c r="E192" s="274"/>
      <c r="F192" s="273"/>
      <c r="G192" s="13"/>
      <c r="H192" s="12"/>
      <c r="K192" s="12"/>
      <c r="M192" s="12"/>
      <c r="R192" s="218"/>
      <c r="S192" s="218"/>
      <c r="T192" s="218"/>
      <c r="U192" s="218"/>
    </row>
    <row r="193">
      <c r="A193" s="272"/>
      <c r="B193" s="272"/>
      <c r="C193" s="336"/>
      <c r="D193" s="273"/>
      <c r="E193" s="274"/>
      <c r="F193" s="273"/>
      <c r="G193" s="13"/>
      <c r="H193" s="12"/>
      <c r="K193" s="12"/>
      <c r="M193" s="12"/>
      <c r="R193" s="218"/>
      <c r="S193" s="218"/>
      <c r="T193" s="218"/>
      <c r="U193" s="218"/>
    </row>
    <row r="194">
      <c r="A194" s="272"/>
      <c r="B194" s="272"/>
      <c r="C194" s="336"/>
      <c r="D194" s="273"/>
      <c r="E194" s="274"/>
      <c r="F194" s="273"/>
      <c r="G194" s="13"/>
      <c r="H194" s="12"/>
      <c r="K194" s="12"/>
      <c r="M194" s="12"/>
      <c r="R194" s="218"/>
      <c r="S194" s="218"/>
      <c r="T194" s="218"/>
      <c r="U194" s="218"/>
    </row>
    <row r="195">
      <c r="A195" s="272"/>
      <c r="B195" s="272"/>
      <c r="C195" s="336"/>
      <c r="D195" s="273"/>
      <c r="E195" s="274"/>
      <c r="F195" s="273"/>
      <c r="G195" s="13"/>
      <c r="H195" s="12"/>
      <c r="K195" s="12"/>
      <c r="M195" s="12"/>
      <c r="R195" s="218"/>
      <c r="S195" s="218"/>
      <c r="T195" s="218"/>
      <c r="U195" s="218"/>
    </row>
    <row r="196">
      <c r="A196" s="272"/>
      <c r="B196" s="272"/>
      <c r="C196" s="336"/>
      <c r="D196" s="273"/>
      <c r="E196" s="274"/>
      <c r="F196" s="273"/>
      <c r="G196" s="13"/>
      <c r="H196" s="12"/>
      <c r="K196" s="12"/>
      <c r="M196" s="12"/>
      <c r="R196" s="218"/>
      <c r="S196" s="218"/>
      <c r="T196" s="218"/>
      <c r="U196" s="218"/>
    </row>
    <row r="197">
      <c r="A197" s="272"/>
      <c r="B197" s="272"/>
      <c r="C197" s="336"/>
      <c r="D197" s="273"/>
      <c r="E197" s="274"/>
      <c r="F197" s="273"/>
      <c r="G197" s="13"/>
      <c r="H197" s="12"/>
      <c r="K197" s="12"/>
      <c r="M197" s="12"/>
      <c r="R197" s="218"/>
      <c r="S197" s="218"/>
      <c r="T197" s="218"/>
      <c r="U197" s="218"/>
    </row>
    <row r="198">
      <c r="A198" s="272"/>
      <c r="B198" s="272"/>
      <c r="C198" s="336"/>
      <c r="D198" s="273"/>
      <c r="E198" s="274"/>
      <c r="F198" s="273"/>
      <c r="G198" s="13"/>
      <c r="H198" s="12"/>
      <c r="K198" s="12"/>
      <c r="M198" s="12"/>
      <c r="R198" s="218"/>
      <c r="S198" s="218"/>
      <c r="T198" s="218"/>
      <c r="U198" s="218"/>
    </row>
    <row r="199">
      <c r="A199" s="272"/>
      <c r="B199" s="272"/>
      <c r="C199" s="336"/>
      <c r="D199" s="273"/>
      <c r="E199" s="274"/>
      <c r="F199" s="273"/>
      <c r="G199" s="13"/>
      <c r="H199" s="12"/>
      <c r="K199" s="12"/>
      <c r="M199" s="12"/>
      <c r="R199" s="218"/>
      <c r="S199" s="218"/>
      <c r="T199" s="218"/>
      <c r="U199" s="218"/>
    </row>
    <row r="200">
      <c r="A200" s="272"/>
      <c r="B200" s="272"/>
      <c r="C200" s="336"/>
      <c r="D200" s="273"/>
      <c r="E200" s="274"/>
      <c r="F200" s="273"/>
      <c r="G200" s="13"/>
      <c r="H200" s="12"/>
      <c r="K200" s="12"/>
      <c r="M200" s="12"/>
      <c r="R200" s="218"/>
      <c r="S200" s="218"/>
      <c r="T200" s="218"/>
      <c r="U200" s="218"/>
    </row>
    <row r="201">
      <c r="A201" s="272"/>
      <c r="B201" s="272"/>
      <c r="C201" s="336"/>
      <c r="D201" s="273"/>
      <c r="E201" s="274"/>
      <c r="F201" s="273"/>
      <c r="G201" s="13"/>
      <c r="H201" s="12"/>
      <c r="K201" s="12"/>
      <c r="M201" s="12"/>
      <c r="R201" s="218"/>
      <c r="S201" s="218"/>
      <c r="T201" s="218"/>
      <c r="U201" s="218"/>
    </row>
    <row r="202">
      <c r="A202" s="272"/>
      <c r="B202" s="272"/>
      <c r="C202" s="336"/>
      <c r="D202" s="273"/>
      <c r="E202" s="274"/>
      <c r="F202" s="273"/>
      <c r="G202" s="13"/>
      <c r="H202" s="12"/>
      <c r="K202" s="12"/>
      <c r="M202" s="12"/>
      <c r="R202" s="218"/>
      <c r="S202" s="218"/>
      <c r="T202" s="218"/>
      <c r="U202" s="218"/>
    </row>
    <row r="203">
      <c r="A203" s="272"/>
      <c r="B203" s="272"/>
      <c r="C203" s="336"/>
      <c r="D203" s="273"/>
      <c r="E203" s="274"/>
      <c r="F203" s="273"/>
      <c r="G203" s="13"/>
      <c r="H203" s="12"/>
      <c r="K203" s="12"/>
      <c r="M203" s="12"/>
      <c r="R203" s="218"/>
      <c r="S203" s="218"/>
      <c r="T203" s="218"/>
      <c r="U203" s="218"/>
    </row>
    <row r="204">
      <c r="A204" s="272"/>
      <c r="B204" s="272"/>
      <c r="C204" s="336"/>
      <c r="D204" s="273"/>
      <c r="E204" s="274"/>
      <c r="F204" s="273"/>
      <c r="G204" s="13"/>
      <c r="H204" s="12"/>
      <c r="K204" s="12"/>
      <c r="M204" s="12"/>
      <c r="R204" s="218"/>
      <c r="S204" s="218"/>
      <c r="T204" s="218"/>
      <c r="U204" s="218"/>
    </row>
    <row r="205">
      <c r="A205" s="272"/>
      <c r="B205" s="272"/>
      <c r="C205" s="336"/>
      <c r="D205" s="273"/>
      <c r="E205" s="274"/>
      <c r="F205" s="273"/>
      <c r="G205" s="13"/>
      <c r="H205" s="12"/>
      <c r="K205" s="12"/>
      <c r="M205" s="12"/>
      <c r="R205" s="218"/>
      <c r="S205" s="218"/>
      <c r="T205" s="218"/>
      <c r="U205" s="218"/>
    </row>
    <row r="206">
      <c r="A206" s="272"/>
      <c r="B206" s="272"/>
      <c r="C206" s="336"/>
      <c r="D206" s="273"/>
      <c r="E206" s="274"/>
      <c r="F206" s="273"/>
      <c r="G206" s="13"/>
      <c r="H206" s="12"/>
      <c r="K206" s="12"/>
      <c r="M206" s="12"/>
      <c r="R206" s="218"/>
      <c r="S206" s="218"/>
      <c r="T206" s="218"/>
      <c r="U206" s="218"/>
    </row>
    <row r="207">
      <c r="A207" s="272"/>
      <c r="B207" s="272"/>
      <c r="C207" s="336"/>
      <c r="D207" s="273"/>
      <c r="E207" s="274"/>
      <c r="F207" s="273"/>
      <c r="G207" s="13"/>
      <c r="H207" s="12"/>
      <c r="K207" s="12"/>
      <c r="M207" s="12"/>
      <c r="R207" s="218"/>
      <c r="S207" s="218"/>
      <c r="T207" s="218"/>
      <c r="U207" s="218"/>
    </row>
    <row r="208">
      <c r="A208" s="272"/>
      <c r="B208" s="272"/>
      <c r="C208" s="336"/>
      <c r="D208" s="273"/>
      <c r="E208" s="274"/>
      <c r="F208" s="273"/>
      <c r="G208" s="13"/>
      <c r="H208" s="12"/>
      <c r="K208" s="12"/>
      <c r="M208" s="12"/>
      <c r="R208" s="218"/>
      <c r="S208" s="218"/>
      <c r="T208" s="218"/>
      <c r="U208" s="218"/>
    </row>
    <row r="209">
      <c r="A209" s="272"/>
      <c r="B209" s="272"/>
      <c r="C209" s="336"/>
      <c r="D209" s="273"/>
      <c r="E209" s="274"/>
      <c r="F209" s="273"/>
      <c r="G209" s="13"/>
      <c r="H209" s="12"/>
      <c r="K209" s="12"/>
      <c r="M209" s="12"/>
      <c r="R209" s="218"/>
      <c r="S209" s="218"/>
      <c r="T209" s="218"/>
      <c r="U209" s="218"/>
    </row>
    <row r="210">
      <c r="A210" s="272"/>
      <c r="B210" s="272"/>
      <c r="C210" s="336"/>
      <c r="D210" s="273"/>
      <c r="E210" s="274"/>
      <c r="F210" s="273"/>
      <c r="G210" s="13"/>
      <c r="H210" s="12"/>
      <c r="K210" s="12"/>
      <c r="M210" s="12"/>
      <c r="R210" s="218"/>
      <c r="S210" s="218"/>
      <c r="T210" s="218"/>
      <c r="U210" s="218"/>
    </row>
    <row r="211">
      <c r="A211" s="272"/>
      <c r="B211" s="272"/>
      <c r="C211" s="336"/>
      <c r="D211" s="273"/>
      <c r="E211" s="274"/>
      <c r="F211" s="273"/>
      <c r="G211" s="13"/>
      <c r="H211" s="12"/>
      <c r="K211" s="12"/>
      <c r="M211" s="12"/>
      <c r="R211" s="218"/>
      <c r="S211" s="218"/>
      <c r="T211" s="218"/>
      <c r="U211" s="218"/>
    </row>
    <row r="212">
      <c r="A212" s="272"/>
      <c r="B212" s="272"/>
      <c r="C212" s="336"/>
      <c r="D212" s="273"/>
      <c r="E212" s="274"/>
      <c r="F212" s="273"/>
      <c r="G212" s="13"/>
      <c r="H212" s="12"/>
      <c r="K212" s="12"/>
      <c r="M212" s="12"/>
      <c r="R212" s="218"/>
      <c r="S212" s="218"/>
      <c r="T212" s="218"/>
      <c r="U212" s="218"/>
    </row>
    <row r="213">
      <c r="A213" s="272"/>
      <c r="B213" s="272"/>
      <c r="C213" s="336"/>
      <c r="D213" s="273"/>
      <c r="E213" s="274"/>
      <c r="F213" s="273"/>
      <c r="G213" s="13"/>
      <c r="H213" s="12"/>
      <c r="K213" s="12"/>
      <c r="M213" s="12"/>
      <c r="R213" s="218"/>
      <c r="S213" s="218"/>
      <c r="T213" s="218"/>
      <c r="U213" s="218"/>
    </row>
    <row r="214">
      <c r="A214" s="272"/>
      <c r="B214" s="272"/>
      <c r="C214" s="336"/>
      <c r="D214" s="273"/>
      <c r="E214" s="274"/>
      <c r="F214" s="273"/>
      <c r="G214" s="13"/>
      <c r="H214" s="12"/>
      <c r="K214" s="12"/>
      <c r="M214" s="12"/>
      <c r="R214" s="218"/>
      <c r="S214" s="218"/>
      <c r="T214" s="218"/>
      <c r="U214" s="218"/>
    </row>
    <row r="215">
      <c r="A215" s="272"/>
      <c r="B215" s="272"/>
      <c r="C215" s="336"/>
      <c r="D215" s="273"/>
      <c r="E215" s="274"/>
      <c r="F215" s="273"/>
      <c r="G215" s="13"/>
      <c r="H215" s="12"/>
      <c r="K215" s="12"/>
      <c r="M215" s="12"/>
      <c r="R215" s="218"/>
      <c r="S215" s="218"/>
      <c r="T215" s="218"/>
      <c r="U215" s="218"/>
    </row>
    <row r="216">
      <c r="A216" s="272"/>
      <c r="B216" s="272"/>
      <c r="C216" s="336"/>
      <c r="D216" s="273"/>
      <c r="E216" s="274"/>
      <c r="F216" s="273"/>
      <c r="G216" s="13"/>
      <c r="H216" s="12"/>
      <c r="K216" s="12"/>
      <c r="M216" s="12"/>
      <c r="R216" s="218"/>
      <c r="S216" s="218"/>
      <c r="T216" s="218"/>
      <c r="U216" s="218"/>
    </row>
    <row r="217">
      <c r="A217" s="272"/>
      <c r="B217" s="272"/>
      <c r="C217" s="336"/>
      <c r="D217" s="273"/>
      <c r="E217" s="274"/>
      <c r="F217" s="273"/>
      <c r="G217" s="13"/>
      <c r="H217" s="12"/>
      <c r="K217" s="12"/>
      <c r="M217" s="12"/>
      <c r="R217" s="218"/>
      <c r="S217" s="218"/>
      <c r="T217" s="218"/>
      <c r="U217" s="218"/>
    </row>
    <row r="218">
      <c r="A218" s="272"/>
      <c r="B218" s="272"/>
      <c r="C218" s="336"/>
      <c r="D218" s="273"/>
      <c r="E218" s="274"/>
      <c r="F218" s="273"/>
      <c r="G218" s="13"/>
      <c r="H218" s="12"/>
      <c r="K218" s="12"/>
      <c r="M218" s="12"/>
      <c r="R218" s="218"/>
      <c r="S218" s="218"/>
      <c r="T218" s="218"/>
      <c r="U218" s="218"/>
    </row>
    <row r="219">
      <c r="A219" s="272"/>
      <c r="B219" s="272"/>
      <c r="C219" s="336"/>
      <c r="D219" s="273"/>
      <c r="E219" s="274"/>
      <c r="F219" s="273"/>
      <c r="G219" s="13"/>
      <c r="H219" s="12"/>
      <c r="K219" s="12"/>
      <c r="M219" s="12"/>
      <c r="R219" s="218"/>
      <c r="S219" s="218"/>
      <c r="T219" s="218"/>
      <c r="U219" s="218"/>
    </row>
    <row r="220">
      <c r="A220" s="272"/>
      <c r="B220" s="272"/>
      <c r="C220" s="336"/>
      <c r="D220" s="273"/>
      <c r="E220" s="274"/>
      <c r="F220" s="273"/>
      <c r="G220" s="13"/>
      <c r="H220" s="12"/>
      <c r="K220" s="12"/>
      <c r="M220" s="12"/>
      <c r="R220" s="218"/>
      <c r="S220" s="218"/>
      <c r="T220" s="218"/>
      <c r="U220" s="218"/>
    </row>
    <row r="221">
      <c r="A221" s="272"/>
      <c r="B221" s="272"/>
      <c r="C221" s="336"/>
      <c r="D221" s="273"/>
      <c r="E221" s="274"/>
      <c r="F221" s="273"/>
      <c r="G221" s="13"/>
      <c r="H221" s="12"/>
      <c r="K221" s="12"/>
      <c r="M221" s="12"/>
      <c r="R221" s="218"/>
      <c r="S221" s="218"/>
      <c r="T221" s="218"/>
      <c r="U221" s="218"/>
    </row>
    <row r="222">
      <c r="A222" s="272"/>
      <c r="B222" s="272"/>
      <c r="C222" s="336"/>
      <c r="D222" s="273"/>
      <c r="E222" s="274"/>
      <c r="F222" s="273"/>
      <c r="G222" s="13"/>
      <c r="H222" s="12"/>
      <c r="K222" s="12"/>
      <c r="M222" s="12"/>
      <c r="R222" s="218"/>
      <c r="S222" s="218"/>
      <c r="T222" s="218"/>
      <c r="U222" s="218"/>
    </row>
    <row r="223">
      <c r="A223" s="272"/>
      <c r="B223" s="272"/>
      <c r="C223" s="336"/>
      <c r="D223" s="273"/>
      <c r="E223" s="274"/>
      <c r="F223" s="273"/>
      <c r="G223" s="13"/>
      <c r="H223" s="12"/>
      <c r="K223" s="12"/>
      <c r="M223" s="12"/>
      <c r="R223" s="218"/>
      <c r="S223" s="218"/>
      <c r="T223" s="218"/>
      <c r="U223" s="218"/>
    </row>
    <row r="224">
      <c r="A224" s="272"/>
      <c r="B224" s="272"/>
      <c r="C224" s="336"/>
      <c r="D224" s="273"/>
      <c r="E224" s="274"/>
      <c r="F224" s="273"/>
      <c r="G224" s="13"/>
      <c r="H224" s="12"/>
      <c r="K224" s="12"/>
      <c r="M224" s="12"/>
      <c r="R224" s="218"/>
      <c r="S224" s="218"/>
      <c r="T224" s="218"/>
      <c r="U224" s="218"/>
    </row>
    <row r="225">
      <c r="A225" s="272"/>
      <c r="B225" s="272"/>
      <c r="C225" s="336"/>
      <c r="D225" s="273"/>
      <c r="E225" s="274"/>
      <c r="F225" s="273"/>
      <c r="G225" s="13"/>
      <c r="H225" s="12"/>
      <c r="K225" s="12"/>
      <c r="M225" s="12"/>
      <c r="R225" s="218"/>
      <c r="S225" s="218"/>
      <c r="T225" s="218"/>
      <c r="U225" s="218"/>
    </row>
    <row r="226">
      <c r="A226" s="272"/>
      <c r="B226" s="272"/>
      <c r="C226" s="336"/>
      <c r="D226" s="273"/>
      <c r="E226" s="274"/>
      <c r="F226" s="273"/>
      <c r="G226" s="13"/>
      <c r="H226" s="12"/>
      <c r="K226" s="12"/>
      <c r="M226" s="12"/>
      <c r="R226" s="218"/>
      <c r="S226" s="218"/>
      <c r="T226" s="218"/>
      <c r="U226" s="218"/>
    </row>
    <row r="227">
      <c r="A227" s="272"/>
      <c r="B227" s="272"/>
      <c r="C227" s="336"/>
      <c r="D227" s="273"/>
      <c r="E227" s="274"/>
      <c r="F227" s="273"/>
      <c r="G227" s="13"/>
      <c r="H227" s="12"/>
      <c r="K227" s="12"/>
      <c r="M227" s="12"/>
      <c r="R227" s="218"/>
      <c r="S227" s="218"/>
      <c r="T227" s="218"/>
      <c r="U227" s="218"/>
    </row>
    <row r="228">
      <c r="A228" s="272"/>
      <c r="B228" s="272"/>
      <c r="C228" s="336"/>
      <c r="D228" s="273"/>
      <c r="E228" s="274"/>
      <c r="F228" s="273"/>
      <c r="G228" s="13"/>
      <c r="H228" s="12"/>
      <c r="K228" s="12"/>
      <c r="M228" s="12"/>
      <c r="R228" s="218"/>
      <c r="S228" s="218"/>
      <c r="T228" s="218"/>
      <c r="U228" s="218"/>
    </row>
    <row r="229">
      <c r="A229" s="272"/>
      <c r="B229" s="272"/>
      <c r="C229" s="336"/>
      <c r="D229" s="273"/>
      <c r="E229" s="274"/>
      <c r="F229" s="273"/>
      <c r="G229" s="13"/>
      <c r="H229" s="12"/>
      <c r="K229" s="12"/>
      <c r="M229" s="12"/>
      <c r="R229" s="218"/>
      <c r="S229" s="218"/>
      <c r="T229" s="218"/>
      <c r="U229" s="218"/>
    </row>
    <row r="230">
      <c r="A230" s="272"/>
      <c r="B230" s="272"/>
      <c r="C230" s="336"/>
      <c r="D230" s="273"/>
      <c r="E230" s="274"/>
      <c r="F230" s="273"/>
      <c r="G230" s="13"/>
      <c r="H230" s="12"/>
      <c r="K230" s="12"/>
      <c r="M230" s="12"/>
      <c r="R230" s="218"/>
      <c r="S230" s="218"/>
      <c r="T230" s="218"/>
      <c r="U230" s="218"/>
    </row>
    <row r="231">
      <c r="A231" s="272"/>
      <c r="B231" s="272"/>
      <c r="C231" s="336"/>
      <c r="D231" s="273"/>
      <c r="E231" s="274"/>
      <c r="F231" s="273"/>
      <c r="G231" s="13"/>
      <c r="H231" s="12"/>
      <c r="K231" s="12"/>
      <c r="M231" s="12"/>
      <c r="R231" s="218"/>
      <c r="S231" s="218"/>
      <c r="T231" s="218"/>
      <c r="U231" s="218"/>
    </row>
    <row r="232">
      <c r="A232" s="272"/>
      <c r="B232" s="272"/>
      <c r="C232" s="336"/>
      <c r="D232" s="273"/>
      <c r="E232" s="274"/>
      <c r="F232" s="273"/>
      <c r="G232" s="13"/>
      <c r="H232" s="12"/>
      <c r="K232" s="12"/>
      <c r="M232" s="12"/>
      <c r="R232" s="218"/>
      <c r="S232" s="218"/>
      <c r="T232" s="218"/>
      <c r="U232" s="218"/>
    </row>
    <row r="233">
      <c r="A233" s="272"/>
      <c r="B233" s="272"/>
      <c r="C233" s="336"/>
      <c r="D233" s="273"/>
      <c r="E233" s="274"/>
      <c r="F233" s="273"/>
      <c r="G233" s="13"/>
      <c r="H233" s="12"/>
      <c r="K233" s="12"/>
      <c r="M233" s="12"/>
      <c r="R233" s="218"/>
      <c r="S233" s="218"/>
      <c r="T233" s="218"/>
      <c r="U233" s="218"/>
    </row>
    <row r="234">
      <c r="A234" s="272"/>
      <c r="B234" s="272"/>
      <c r="C234" s="336"/>
      <c r="D234" s="273"/>
      <c r="E234" s="274"/>
      <c r="F234" s="273"/>
      <c r="G234" s="13"/>
      <c r="H234" s="12"/>
      <c r="K234" s="12"/>
      <c r="M234" s="12"/>
      <c r="R234" s="218"/>
      <c r="S234" s="218"/>
      <c r="T234" s="218"/>
      <c r="U234" s="218"/>
    </row>
    <row r="235">
      <c r="A235" s="272"/>
      <c r="B235" s="272"/>
      <c r="C235" s="336"/>
      <c r="D235" s="273"/>
      <c r="E235" s="274"/>
      <c r="F235" s="273"/>
      <c r="G235" s="13"/>
      <c r="H235" s="12"/>
      <c r="K235" s="12"/>
      <c r="M235" s="12"/>
      <c r="R235" s="218"/>
      <c r="S235" s="218"/>
      <c r="T235" s="218"/>
      <c r="U235" s="218"/>
    </row>
    <row r="236">
      <c r="A236" s="272"/>
      <c r="B236" s="272"/>
      <c r="C236" s="336"/>
      <c r="D236" s="273"/>
      <c r="E236" s="274"/>
      <c r="F236" s="273"/>
      <c r="G236" s="13"/>
      <c r="H236" s="12"/>
      <c r="K236" s="12"/>
      <c r="M236" s="12"/>
      <c r="R236" s="218"/>
      <c r="S236" s="218"/>
      <c r="T236" s="218"/>
      <c r="U236" s="218"/>
    </row>
    <row r="237">
      <c r="A237" s="272"/>
      <c r="B237" s="272"/>
      <c r="C237" s="336"/>
      <c r="D237" s="273"/>
      <c r="E237" s="274"/>
      <c r="F237" s="273"/>
      <c r="G237" s="13"/>
      <c r="H237" s="12"/>
      <c r="K237" s="12"/>
      <c r="M237" s="12"/>
      <c r="R237" s="218"/>
      <c r="S237" s="218"/>
      <c r="T237" s="218"/>
      <c r="U237" s="218"/>
    </row>
    <row r="238">
      <c r="A238" s="272"/>
      <c r="B238" s="272"/>
      <c r="C238" s="336"/>
      <c r="D238" s="273"/>
      <c r="E238" s="274"/>
      <c r="F238" s="273"/>
      <c r="G238" s="13"/>
      <c r="H238" s="12"/>
      <c r="K238" s="12"/>
      <c r="M238" s="12"/>
      <c r="R238" s="218"/>
      <c r="S238" s="218"/>
      <c r="T238" s="218"/>
      <c r="U238" s="218"/>
    </row>
    <row r="239">
      <c r="A239" s="272"/>
      <c r="B239" s="272"/>
      <c r="C239" s="336"/>
      <c r="D239" s="273"/>
      <c r="E239" s="274"/>
      <c r="F239" s="273"/>
      <c r="G239" s="13"/>
      <c r="H239" s="12"/>
      <c r="K239" s="12"/>
      <c r="M239" s="12"/>
      <c r="R239" s="218"/>
      <c r="S239" s="218"/>
      <c r="T239" s="218"/>
      <c r="U239" s="218"/>
    </row>
    <row r="240">
      <c r="A240" s="272"/>
      <c r="B240" s="272"/>
      <c r="C240" s="336"/>
      <c r="D240" s="273"/>
      <c r="E240" s="274"/>
      <c r="F240" s="273"/>
      <c r="G240" s="13"/>
      <c r="H240" s="12"/>
      <c r="K240" s="12"/>
      <c r="M240" s="12"/>
      <c r="R240" s="218"/>
      <c r="S240" s="218"/>
      <c r="T240" s="218"/>
      <c r="U240" s="218"/>
    </row>
    <row r="241">
      <c r="A241" s="272"/>
      <c r="B241" s="272"/>
      <c r="C241" s="336"/>
      <c r="D241" s="273"/>
      <c r="E241" s="274"/>
      <c r="F241" s="273"/>
      <c r="G241" s="13"/>
      <c r="H241" s="12"/>
      <c r="K241" s="12"/>
      <c r="M241" s="12"/>
      <c r="R241" s="218"/>
      <c r="S241" s="218"/>
      <c r="T241" s="218"/>
      <c r="U241" s="218"/>
    </row>
    <row r="242">
      <c r="A242" s="272"/>
      <c r="B242" s="272"/>
      <c r="C242" s="336"/>
      <c r="D242" s="273"/>
      <c r="E242" s="274"/>
      <c r="F242" s="273"/>
      <c r="G242" s="13"/>
      <c r="H242" s="12"/>
      <c r="K242" s="12"/>
      <c r="M242" s="12"/>
      <c r="R242" s="218"/>
      <c r="S242" s="218"/>
      <c r="T242" s="218"/>
      <c r="U242" s="218"/>
    </row>
    <row r="243">
      <c r="A243" s="272"/>
      <c r="B243" s="272"/>
      <c r="C243" s="336"/>
      <c r="D243" s="273"/>
      <c r="E243" s="274"/>
      <c r="F243" s="273"/>
      <c r="G243" s="13"/>
      <c r="H243" s="12"/>
      <c r="K243" s="12"/>
      <c r="M243" s="12"/>
      <c r="R243" s="218"/>
      <c r="S243" s="218"/>
      <c r="T243" s="218"/>
      <c r="U243" s="218"/>
    </row>
    <row r="244">
      <c r="A244" s="272"/>
      <c r="B244" s="272"/>
      <c r="C244" s="336"/>
      <c r="D244" s="273"/>
      <c r="E244" s="274"/>
      <c r="F244" s="273"/>
      <c r="G244" s="13"/>
      <c r="H244" s="12"/>
      <c r="K244" s="12"/>
      <c r="M244" s="12"/>
      <c r="R244" s="218"/>
      <c r="S244" s="218"/>
      <c r="T244" s="218"/>
      <c r="U244" s="218"/>
    </row>
    <row r="245">
      <c r="A245" s="272"/>
      <c r="B245" s="272"/>
      <c r="C245" s="336"/>
      <c r="D245" s="273"/>
      <c r="E245" s="274"/>
      <c r="F245" s="273"/>
      <c r="G245" s="13"/>
      <c r="H245" s="12"/>
      <c r="K245" s="12"/>
      <c r="M245" s="12"/>
      <c r="R245" s="218"/>
      <c r="S245" s="218"/>
      <c r="T245" s="218"/>
      <c r="U245" s="218"/>
    </row>
    <row r="246">
      <c r="A246" s="272"/>
      <c r="B246" s="272"/>
      <c r="C246" s="336"/>
      <c r="D246" s="273"/>
      <c r="E246" s="274"/>
      <c r="F246" s="273"/>
      <c r="G246" s="13"/>
      <c r="H246" s="12"/>
      <c r="K246" s="12"/>
      <c r="M246" s="12"/>
      <c r="R246" s="218"/>
      <c r="S246" s="218"/>
      <c r="T246" s="218"/>
      <c r="U246" s="218"/>
    </row>
    <row r="247">
      <c r="A247" s="272"/>
      <c r="B247" s="272"/>
      <c r="C247" s="336"/>
      <c r="D247" s="273"/>
      <c r="E247" s="274"/>
      <c r="F247" s="273"/>
      <c r="G247" s="13"/>
      <c r="H247" s="12"/>
      <c r="K247" s="12"/>
      <c r="M247" s="12"/>
      <c r="R247" s="218"/>
      <c r="S247" s="218"/>
      <c r="T247" s="218"/>
      <c r="U247" s="218"/>
    </row>
    <row r="248">
      <c r="A248" s="272"/>
      <c r="B248" s="272"/>
      <c r="C248" s="336"/>
      <c r="D248" s="273"/>
      <c r="E248" s="274"/>
      <c r="F248" s="273"/>
      <c r="G248" s="13"/>
      <c r="H248" s="12"/>
      <c r="K248" s="12"/>
      <c r="M248" s="12"/>
      <c r="R248" s="218"/>
      <c r="S248" s="218"/>
      <c r="T248" s="218"/>
      <c r="U248" s="218"/>
    </row>
    <row r="249">
      <c r="A249" s="272"/>
      <c r="B249" s="272"/>
      <c r="C249" s="336"/>
      <c r="D249" s="273"/>
      <c r="E249" s="274"/>
      <c r="F249" s="273"/>
      <c r="G249" s="13"/>
      <c r="H249" s="12"/>
      <c r="K249" s="12"/>
      <c r="M249" s="12"/>
      <c r="R249" s="218"/>
      <c r="S249" s="218"/>
      <c r="T249" s="218"/>
      <c r="U249" s="218"/>
    </row>
    <row r="250">
      <c r="A250" s="272"/>
      <c r="B250" s="272"/>
      <c r="C250" s="336"/>
      <c r="D250" s="273"/>
      <c r="E250" s="274"/>
      <c r="F250" s="273"/>
      <c r="G250" s="13"/>
      <c r="H250" s="12"/>
      <c r="K250" s="12"/>
      <c r="M250" s="12"/>
      <c r="R250" s="218"/>
      <c r="S250" s="218"/>
      <c r="T250" s="218"/>
      <c r="U250" s="218"/>
    </row>
    <row r="251">
      <c r="A251" s="272"/>
      <c r="B251" s="272"/>
      <c r="C251" s="336"/>
      <c r="D251" s="273"/>
      <c r="E251" s="274"/>
      <c r="F251" s="273"/>
      <c r="G251" s="13"/>
      <c r="H251" s="12"/>
      <c r="K251" s="12"/>
      <c r="M251" s="12"/>
      <c r="R251" s="218"/>
      <c r="S251" s="218"/>
      <c r="T251" s="218"/>
      <c r="U251" s="218"/>
    </row>
    <row r="252">
      <c r="A252" s="272"/>
      <c r="B252" s="272"/>
      <c r="C252" s="336"/>
      <c r="D252" s="273"/>
      <c r="E252" s="274"/>
      <c r="F252" s="273"/>
      <c r="G252" s="13"/>
      <c r="H252" s="12"/>
      <c r="K252" s="12"/>
      <c r="M252" s="12"/>
      <c r="R252" s="218"/>
      <c r="S252" s="218"/>
      <c r="T252" s="218"/>
      <c r="U252" s="218"/>
    </row>
    <row r="253">
      <c r="A253" s="272"/>
      <c r="B253" s="272"/>
      <c r="C253" s="336"/>
      <c r="D253" s="273"/>
      <c r="E253" s="274"/>
      <c r="F253" s="273"/>
      <c r="G253" s="13"/>
      <c r="H253" s="12"/>
      <c r="K253" s="12"/>
      <c r="M253" s="12"/>
      <c r="R253" s="218"/>
      <c r="S253" s="218"/>
      <c r="T253" s="218"/>
      <c r="U253" s="218"/>
    </row>
    <row r="254">
      <c r="A254" s="272"/>
      <c r="B254" s="272"/>
      <c r="C254" s="336"/>
      <c r="D254" s="273"/>
      <c r="E254" s="274"/>
      <c r="F254" s="273"/>
      <c r="G254" s="13"/>
      <c r="H254" s="12"/>
      <c r="K254" s="12"/>
      <c r="M254" s="12"/>
      <c r="R254" s="218"/>
      <c r="S254" s="218"/>
      <c r="T254" s="218"/>
      <c r="U254" s="218"/>
    </row>
    <row r="255">
      <c r="A255" s="272"/>
      <c r="B255" s="272"/>
      <c r="C255" s="336"/>
      <c r="D255" s="273"/>
      <c r="E255" s="274"/>
      <c r="F255" s="273"/>
      <c r="G255" s="13"/>
      <c r="H255" s="12"/>
      <c r="K255" s="12"/>
      <c r="M255" s="12"/>
      <c r="R255" s="218"/>
      <c r="S255" s="218"/>
      <c r="T255" s="218"/>
      <c r="U255" s="218"/>
    </row>
    <row r="256">
      <c r="A256" s="272"/>
      <c r="B256" s="272"/>
      <c r="C256" s="336"/>
      <c r="D256" s="273"/>
      <c r="E256" s="274"/>
      <c r="F256" s="273"/>
      <c r="G256" s="13"/>
      <c r="H256" s="12"/>
      <c r="K256" s="12"/>
      <c r="M256" s="12"/>
      <c r="R256" s="218"/>
      <c r="S256" s="218"/>
      <c r="T256" s="218"/>
      <c r="U256" s="218"/>
    </row>
    <row r="257">
      <c r="A257" s="272"/>
      <c r="B257" s="272"/>
      <c r="C257" s="336"/>
      <c r="D257" s="273"/>
      <c r="E257" s="274"/>
      <c r="F257" s="273"/>
      <c r="G257" s="13"/>
      <c r="H257" s="12"/>
      <c r="K257" s="12"/>
      <c r="M257" s="12"/>
      <c r="R257" s="218"/>
      <c r="S257" s="218"/>
      <c r="T257" s="218"/>
      <c r="U257" s="218"/>
    </row>
    <row r="258">
      <c r="A258" s="272"/>
      <c r="B258" s="272"/>
      <c r="C258" s="336"/>
      <c r="D258" s="273"/>
      <c r="E258" s="274"/>
      <c r="F258" s="273"/>
      <c r="G258" s="13"/>
      <c r="H258" s="12"/>
      <c r="K258" s="12"/>
      <c r="M258" s="12"/>
      <c r="R258" s="218"/>
      <c r="S258" s="218"/>
      <c r="T258" s="218"/>
      <c r="U258" s="218"/>
    </row>
    <row r="259">
      <c r="A259" s="272"/>
      <c r="B259" s="272"/>
      <c r="C259" s="336"/>
      <c r="D259" s="273"/>
      <c r="E259" s="274"/>
      <c r="F259" s="273"/>
      <c r="G259" s="13"/>
      <c r="H259" s="12"/>
      <c r="K259" s="12"/>
      <c r="M259" s="12"/>
      <c r="R259" s="218"/>
      <c r="S259" s="218"/>
      <c r="T259" s="218"/>
      <c r="U259" s="218"/>
    </row>
    <row r="260">
      <c r="A260" s="272"/>
      <c r="B260" s="272"/>
      <c r="C260" s="336"/>
      <c r="D260" s="273"/>
      <c r="E260" s="274"/>
      <c r="F260" s="273"/>
      <c r="G260" s="13"/>
      <c r="H260" s="12"/>
      <c r="K260" s="12"/>
      <c r="M260" s="12"/>
      <c r="R260" s="218"/>
      <c r="S260" s="218"/>
      <c r="T260" s="218"/>
      <c r="U260" s="218"/>
    </row>
    <row r="261">
      <c r="A261" s="272"/>
      <c r="B261" s="272"/>
      <c r="C261" s="336"/>
      <c r="D261" s="273"/>
      <c r="E261" s="274"/>
      <c r="F261" s="273"/>
      <c r="G261" s="13"/>
      <c r="H261" s="12"/>
      <c r="K261" s="12"/>
      <c r="M261" s="12"/>
      <c r="R261" s="218"/>
      <c r="S261" s="218"/>
      <c r="T261" s="218"/>
      <c r="U261" s="218"/>
    </row>
    <row r="262">
      <c r="A262" s="272"/>
      <c r="B262" s="272"/>
      <c r="C262" s="336"/>
      <c r="D262" s="273"/>
      <c r="E262" s="274"/>
      <c r="F262" s="273"/>
      <c r="G262" s="13"/>
      <c r="H262" s="12"/>
      <c r="K262" s="12"/>
      <c r="M262" s="12"/>
      <c r="R262" s="218"/>
      <c r="S262" s="218"/>
      <c r="T262" s="218"/>
      <c r="U262" s="218"/>
    </row>
    <row r="263">
      <c r="A263" s="272"/>
      <c r="B263" s="272"/>
      <c r="C263" s="336"/>
      <c r="D263" s="273"/>
      <c r="E263" s="274"/>
      <c r="F263" s="273"/>
      <c r="G263" s="13"/>
      <c r="H263" s="12"/>
      <c r="K263" s="12"/>
      <c r="M263" s="12"/>
      <c r="R263" s="218"/>
      <c r="S263" s="218"/>
      <c r="T263" s="218"/>
      <c r="U263" s="218"/>
    </row>
    <row r="264">
      <c r="A264" s="272"/>
      <c r="B264" s="272"/>
      <c r="C264" s="336"/>
      <c r="D264" s="273"/>
      <c r="E264" s="274"/>
      <c r="F264" s="273"/>
      <c r="G264" s="13"/>
      <c r="H264" s="12"/>
      <c r="K264" s="12"/>
      <c r="M264" s="12"/>
      <c r="R264" s="218"/>
      <c r="S264" s="218"/>
      <c r="T264" s="218"/>
      <c r="U264" s="218"/>
    </row>
    <row r="265">
      <c r="A265" s="272"/>
      <c r="B265" s="272"/>
      <c r="C265" s="336"/>
      <c r="D265" s="273"/>
      <c r="E265" s="274"/>
      <c r="F265" s="273"/>
      <c r="G265" s="13"/>
      <c r="H265" s="12"/>
      <c r="K265" s="12"/>
      <c r="M265" s="12"/>
      <c r="R265" s="218"/>
      <c r="S265" s="218"/>
      <c r="T265" s="218"/>
      <c r="U265" s="218"/>
    </row>
    <row r="266">
      <c r="A266" s="272"/>
      <c r="B266" s="272"/>
      <c r="C266" s="336"/>
      <c r="D266" s="273"/>
      <c r="E266" s="274"/>
      <c r="F266" s="273"/>
      <c r="G266" s="13"/>
      <c r="H266" s="12"/>
      <c r="K266" s="12"/>
      <c r="M266" s="12"/>
      <c r="R266" s="218"/>
      <c r="S266" s="218"/>
      <c r="T266" s="218"/>
      <c r="U266" s="218"/>
    </row>
    <row r="267">
      <c r="A267" s="272"/>
      <c r="B267" s="272"/>
      <c r="C267" s="336"/>
      <c r="D267" s="273"/>
      <c r="E267" s="274"/>
      <c r="F267" s="273"/>
      <c r="G267" s="13"/>
      <c r="H267" s="12"/>
      <c r="K267" s="12"/>
      <c r="M267" s="12"/>
      <c r="R267" s="218"/>
      <c r="S267" s="218"/>
      <c r="T267" s="218"/>
      <c r="U267" s="218"/>
    </row>
    <row r="268">
      <c r="A268" s="272"/>
      <c r="B268" s="272"/>
      <c r="C268" s="336"/>
      <c r="D268" s="273"/>
      <c r="E268" s="274"/>
      <c r="F268" s="273"/>
      <c r="G268" s="13"/>
      <c r="H268" s="12"/>
      <c r="K268" s="12"/>
      <c r="M268" s="12"/>
      <c r="R268" s="218"/>
      <c r="S268" s="218"/>
      <c r="T268" s="218"/>
      <c r="U268" s="218"/>
    </row>
    <row r="269">
      <c r="A269" s="272"/>
      <c r="B269" s="272"/>
      <c r="C269" s="336"/>
      <c r="D269" s="273"/>
      <c r="E269" s="274"/>
      <c r="F269" s="273"/>
      <c r="G269" s="13"/>
      <c r="H269" s="12"/>
      <c r="K269" s="12"/>
      <c r="M269" s="12"/>
      <c r="R269" s="218"/>
      <c r="S269" s="218"/>
      <c r="T269" s="218"/>
      <c r="U269" s="218"/>
    </row>
    <row r="270">
      <c r="A270" s="272"/>
      <c r="B270" s="272"/>
      <c r="C270" s="336"/>
      <c r="D270" s="273"/>
      <c r="E270" s="274"/>
      <c r="F270" s="273"/>
      <c r="G270" s="13"/>
      <c r="H270" s="12"/>
      <c r="K270" s="12"/>
      <c r="M270" s="12"/>
      <c r="R270" s="218"/>
      <c r="S270" s="218"/>
      <c r="T270" s="218"/>
      <c r="U270" s="218"/>
    </row>
    <row r="271">
      <c r="A271" s="272"/>
      <c r="B271" s="272"/>
      <c r="C271" s="336"/>
      <c r="D271" s="273"/>
      <c r="E271" s="274"/>
      <c r="F271" s="273"/>
      <c r="G271" s="13"/>
      <c r="H271" s="12"/>
      <c r="K271" s="12"/>
      <c r="M271" s="12"/>
      <c r="R271" s="218"/>
      <c r="S271" s="218"/>
      <c r="T271" s="218"/>
      <c r="U271" s="218"/>
    </row>
    <row r="272">
      <c r="A272" s="272"/>
      <c r="B272" s="272"/>
      <c r="C272" s="336"/>
      <c r="D272" s="273"/>
      <c r="E272" s="274"/>
      <c r="F272" s="273"/>
      <c r="G272" s="13"/>
      <c r="H272" s="12"/>
      <c r="K272" s="12"/>
      <c r="M272" s="12"/>
      <c r="R272" s="218"/>
      <c r="S272" s="218"/>
      <c r="T272" s="218"/>
      <c r="U272" s="218"/>
    </row>
    <row r="273">
      <c r="A273" s="272"/>
      <c r="B273" s="272"/>
      <c r="C273" s="336"/>
      <c r="D273" s="273"/>
      <c r="E273" s="274"/>
      <c r="F273" s="273"/>
      <c r="G273" s="13"/>
      <c r="H273" s="12"/>
      <c r="K273" s="12"/>
      <c r="M273" s="12"/>
      <c r="R273" s="218"/>
      <c r="S273" s="218"/>
      <c r="T273" s="218"/>
      <c r="U273" s="218"/>
    </row>
    <row r="274">
      <c r="A274" s="272"/>
      <c r="B274" s="272"/>
      <c r="C274" s="336"/>
      <c r="D274" s="273"/>
      <c r="E274" s="274"/>
      <c r="F274" s="273"/>
      <c r="G274" s="13"/>
      <c r="H274" s="12"/>
      <c r="K274" s="12"/>
      <c r="M274" s="12"/>
      <c r="R274" s="218"/>
      <c r="S274" s="218"/>
      <c r="T274" s="218"/>
      <c r="U274" s="218"/>
    </row>
    <row r="275">
      <c r="A275" s="272"/>
      <c r="B275" s="272"/>
      <c r="C275" s="336"/>
      <c r="D275" s="273"/>
      <c r="E275" s="274"/>
      <c r="F275" s="273"/>
      <c r="G275" s="13"/>
      <c r="H275" s="12"/>
      <c r="K275" s="12"/>
      <c r="M275" s="12"/>
      <c r="R275" s="218"/>
      <c r="S275" s="218"/>
      <c r="T275" s="218"/>
      <c r="U275" s="218"/>
    </row>
    <row r="276">
      <c r="A276" s="272"/>
      <c r="B276" s="272"/>
      <c r="C276" s="336"/>
      <c r="D276" s="273"/>
      <c r="E276" s="274"/>
      <c r="F276" s="273"/>
      <c r="G276" s="13"/>
      <c r="H276" s="12"/>
      <c r="K276" s="12"/>
      <c r="M276" s="12"/>
      <c r="R276" s="218"/>
      <c r="S276" s="218"/>
      <c r="T276" s="218"/>
      <c r="U276" s="218"/>
    </row>
    <row r="277">
      <c r="A277" s="272"/>
      <c r="B277" s="272"/>
      <c r="C277" s="336"/>
      <c r="D277" s="273"/>
      <c r="E277" s="274"/>
      <c r="F277" s="273"/>
      <c r="G277" s="13"/>
      <c r="H277" s="12"/>
      <c r="K277" s="12"/>
      <c r="M277" s="12"/>
      <c r="R277" s="218"/>
      <c r="S277" s="218"/>
      <c r="T277" s="218"/>
      <c r="U277" s="218"/>
    </row>
    <row r="278">
      <c r="A278" s="272"/>
      <c r="B278" s="272"/>
      <c r="C278" s="336"/>
      <c r="D278" s="273"/>
      <c r="E278" s="274"/>
      <c r="F278" s="273"/>
      <c r="G278" s="13"/>
      <c r="H278" s="12"/>
      <c r="K278" s="12"/>
      <c r="M278" s="12"/>
      <c r="R278" s="218"/>
      <c r="S278" s="218"/>
      <c r="T278" s="218"/>
      <c r="U278" s="218"/>
    </row>
    <row r="279">
      <c r="A279" s="272"/>
      <c r="B279" s="272"/>
      <c r="C279" s="336"/>
      <c r="D279" s="273"/>
      <c r="E279" s="274"/>
      <c r="F279" s="273"/>
      <c r="G279" s="13"/>
      <c r="H279" s="12"/>
      <c r="K279" s="12"/>
      <c r="M279" s="12"/>
      <c r="R279" s="218"/>
      <c r="S279" s="218"/>
      <c r="T279" s="218"/>
      <c r="U279" s="218"/>
    </row>
    <row r="280">
      <c r="A280" s="272"/>
      <c r="B280" s="272"/>
      <c r="C280" s="336"/>
      <c r="D280" s="273"/>
      <c r="E280" s="274"/>
      <c r="F280" s="273"/>
      <c r="G280" s="13"/>
      <c r="H280" s="12"/>
      <c r="K280" s="12"/>
      <c r="M280" s="12"/>
      <c r="R280" s="218"/>
      <c r="S280" s="218"/>
      <c r="T280" s="218"/>
      <c r="U280" s="218"/>
    </row>
    <row r="281">
      <c r="A281" s="272"/>
      <c r="B281" s="272"/>
      <c r="C281" s="336"/>
      <c r="D281" s="273"/>
      <c r="E281" s="274"/>
      <c r="F281" s="273"/>
      <c r="G281" s="13"/>
      <c r="H281" s="12"/>
      <c r="K281" s="12"/>
      <c r="M281" s="12"/>
      <c r="R281" s="218"/>
      <c r="S281" s="218"/>
      <c r="T281" s="218"/>
      <c r="U281" s="218"/>
    </row>
    <row r="282">
      <c r="A282" s="272"/>
      <c r="B282" s="272"/>
      <c r="C282" s="336"/>
      <c r="D282" s="273"/>
      <c r="E282" s="274"/>
      <c r="F282" s="273"/>
      <c r="G282" s="13"/>
      <c r="H282" s="12"/>
      <c r="K282" s="12"/>
      <c r="M282" s="12"/>
      <c r="R282" s="218"/>
      <c r="S282" s="218"/>
      <c r="T282" s="218"/>
      <c r="U282" s="218"/>
    </row>
    <row r="283">
      <c r="A283" s="272"/>
      <c r="B283" s="272"/>
      <c r="C283" s="336"/>
      <c r="D283" s="273"/>
      <c r="E283" s="274"/>
      <c r="F283" s="273"/>
      <c r="G283" s="13"/>
      <c r="H283" s="12"/>
      <c r="K283" s="12"/>
      <c r="M283" s="12"/>
      <c r="R283" s="218"/>
      <c r="S283" s="218"/>
      <c r="T283" s="218"/>
      <c r="U283" s="218"/>
    </row>
    <row r="284">
      <c r="A284" s="272"/>
      <c r="B284" s="272"/>
      <c r="C284" s="336"/>
      <c r="D284" s="273"/>
      <c r="E284" s="274"/>
      <c r="F284" s="273"/>
      <c r="G284" s="13"/>
      <c r="H284" s="12"/>
      <c r="K284" s="12"/>
      <c r="M284" s="12"/>
      <c r="R284" s="218"/>
      <c r="S284" s="218"/>
      <c r="T284" s="218"/>
      <c r="U284" s="218"/>
    </row>
    <row r="285">
      <c r="A285" s="272"/>
      <c r="B285" s="272"/>
      <c r="C285" s="336"/>
      <c r="D285" s="273"/>
      <c r="E285" s="274"/>
      <c r="F285" s="273"/>
      <c r="G285" s="13"/>
      <c r="H285" s="12"/>
      <c r="K285" s="12"/>
      <c r="M285" s="12"/>
      <c r="R285" s="218"/>
      <c r="S285" s="218"/>
      <c r="T285" s="218"/>
      <c r="U285" s="218"/>
    </row>
    <row r="286">
      <c r="C286" s="12"/>
      <c r="D286" s="3"/>
      <c r="E286" s="112"/>
      <c r="F286" s="3"/>
      <c r="G286" s="13"/>
      <c r="H286" s="12"/>
      <c r="K286" s="12"/>
      <c r="M286" s="12"/>
      <c r="R286" s="218"/>
      <c r="S286" s="218"/>
      <c r="T286" s="218"/>
      <c r="U286" s="218"/>
    </row>
    <row r="287">
      <c r="C287" s="12"/>
      <c r="D287" s="3"/>
      <c r="E287" s="112"/>
      <c r="F287" s="3"/>
      <c r="G287" s="13"/>
      <c r="H287" s="12"/>
      <c r="K287" s="12"/>
      <c r="M287" s="12"/>
      <c r="R287" s="218"/>
      <c r="S287" s="218"/>
      <c r="T287" s="218"/>
      <c r="U287" s="218"/>
    </row>
    <row r="288">
      <c r="C288" s="12"/>
      <c r="D288" s="3"/>
      <c r="E288" s="112"/>
      <c r="F288" s="3"/>
      <c r="G288" s="13"/>
      <c r="H288" s="12"/>
      <c r="K288" s="12"/>
      <c r="M288" s="12"/>
      <c r="R288" s="218"/>
      <c r="S288" s="218"/>
      <c r="T288" s="218"/>
      <c r="U288" s="218"/>
    </row>
    <row r="289">
      <c r="C289" s="12"/>
      <c r="D289" s="3"/>
      <c r="E289" s="112"/>
      <c r="F289" s="3"/>
      <c r="G289" s="13"/>
      <c r="H289" s="12"/>
      <c r="K289" s="12"/>
      <c r="M289" s="12"/>
      <c r="R289" s="218"/>
      <c r="S289" s="218"/>
      <c r="T289" s="218"/>
      <c r="U289" s="218"/>
    </row>
    <row r="290">
      <c r="C290" s="12"/>
      <c r="D290" s="3"/>
      <c r="E290" s="112"/>
      <c r="F290" s="3"/>
      <c r="G290" s="13"/>
      <c r="H290" s="12"/>
      <c r="K290" s="12"/>
      <c r="M290" s="12"/>
      <c r="R290" s="218"/>
      <c r="S290" s="218"/>
      <c r="T290" s="218"/>
      <c r="U290" s="218"/>
    </row>
    <row r="291">
      <c r="C291" s="12"/>
      <c r="D291" s="3"/>
      <c r="E291" s="112"/>
      <c r="F291" s="3"/>
      <c r="G291" s="13"/>
      <c r="H291" s="12"/>
      <c r="K291" s="12"/>
      <c r="M291" s="12"/>
      <c r="R291" s="218"/>
      <c r="S291" s="218"/>
      <c r="T291" s="218"/>
      <c r="U291" s="218"/>
    </row>
    <row r="292">
      <c r="C292" s="12"/>
      <c r="D292" s="3"/>
      <c r="E292" s="112"/>
      <c r="F292" s="3"/>
      <c r="G292" s="13"/>
      <c r="H292" s="12"/>
      <c r="K292" s="12"/>
      <c r="M292" s="12"/>
      <c r="R292" s="218"/>
      <c r="S292" s="218"/>
      <c r="T292" s="218"/>
      <c r="U292" s="218"/>
    </row>
    <row r="293">
      <c r="C293" s="12"/>
      <c r="D293" s="3"/>
      <c r="E293" s="112"/>
      <c r="F293" s="3"/>
      <c r="G293" s="13"/>
      <c r="H293" s="12"/>
      <c r="K293" s="12"/>
      <c r="M293" s="12"/>
      <c r="R293" s="218"/>
      <c r="S293" s="218"/>
      <c r="T293" s="218"/>
      <c r="U293" s="218"/>
    </row>
    <row r="294">
      <c r="C294" s="12"/>
      <c r="D294" s="3"/>
      <c r="E294" s="112"/>
      <c r="F294" s="3"/>
      <c r="G294" s="13"/>
      <c r="H294" s="12"/>
      <c r="K294" s="12"/>
      <c r="M294" s="12"/>
      <c r="R294" s="218"/>
      <c r="S294" s="218"/>
      <c r="T294" s="218"/>
      <c r="U294" s="218"/>
    </row>
    <row r="295">
      <c r="C295" s="12"/>
      <c r="D295" s="3"/>
      <c r="E295" s="112"/>
      <c r="F295" s="3"/>
      <c r="G295" s="13"/>
      <c r="H295" s="12"/>
      <c r="K295" s="12"/>
      <c r="M295" s="12"/>
      <c r="R295" s="218"/>
      <c r="S295" s="218"/>
      <c r="T295" s="218"/>
      <c r="U295" s="218"/>
    </row>
    <row r="296">
      <c r="C296" s="12"/>
      <c r="D296" s="3"/>
      <c r="E296" s="112"/>
      <c r="F296" s="3"/>
      <c r="G296" s="13"/>
      <c r="H296" s="12"/>
      <c r="K296" s="12"/>
      <c r="M296" s="12"/>
      <c r="R296" s="218"/>
      <c r="S296" s="218"/>
      <c r="T296" s="218"/>
      <c r="U296" s="218"/>
    </row>
    <row r="297">
      <c r="C297" s="12"/>
      <c r="D297" s="3"/>
      <c r="E297" s="112"/>
      <c r="F297" s="3"/>
      <c r="G297" s="13"/>
      <c r="H297" s="12"/>
      <c r="K297" s="12"/>
      <c r="M297" s="12"/>
      <c r="R297" s="218"/>
      <c r="S297" s="218"/>
      <c r="T297" s="218"/>
      <c r="U297" s="218"/>
    </row>
    <row r="298">
      <c r="C298" s="12"/>
      <c r="D298" s="3"/>
      <c r="E298" s="112"/>
      <c r="F298" s="3"/>
      <c r="G298" s="13"/>
      <c r="H298" s="12"/>
      <c r="K298" s="12"/>
      <c r="M298" s="12"/>
      <c r="R298" s="218"/>
      <c r="S298" s="218"/>
      <c r="T298" s="218"/>
      <c r="U298" s="218"/>
    </row>
    <row r="299">
      <c r="C299" s="12"/>
      <c r="D299" s="3"/>
      <c r="E299" s="112"/>
      <c r="F299" s="3"/>
      <c r="G299" s="13"/>
      <c r="H299" s="12"/>
      <c r="K299" s="12"/>
      <c r="M299" s="12"/>
      <c r="R299" s="218"/>
      <c r="S299" s="218"/>
      <c r="T299" s="218"/>
      <c r="U299" s="218"/>
    </row>
    <row r="300">
      <c r="C300" s="12"/>
      <c r="D300" s="3"/>
      <c r="E300" s="112"/>
      <c r="F300" s="3"/>
      <c r="G300" s="13"/>
      <c r="H300" s="12"/>
      <c r="K300" s="12"/>
      <c r="M300" s="12"/>
      <c r="R300" s="218"/>
      <c r="S300" s="218"/>
      <c r="T300" s="218"/>
      <c r="U300" s="218"/>
    </row>
    <row r="301">
      <c r="C301" s="12"/>
      <c r="D301" s="3"/>
      <c r="E301" s="112"/>
      <c r="F301" s="3"/>
      <c r="G301" s="13"/>
      <c r="H301" s="12"/>
      <c r="K301" s="12"/>
      <c r="M301" s="12"/>
      <c r="R301" s="218"/>
      <c r="S301" s="218"/>
      <c r="T301" s="218"/>
      <c r="U301" s="218"/>
    </row>
    <row r="302">
      <c r="C302" s="12"/>
      <c r="D302" s="3"/>
      <c r="E302" s="112"/>
      <c r="F302" s="3"/>
      <c r="G302" s="13"/>
      <c r="H302" s="12"/>
      <c r="K302" s="12"/>
      <c r="M302" s="12"/>
      <c r="R302" s="218"/>
      <c r="S302" s="218"/>
      <c r="T302" s="218"/>
      <c r="U302" s="218"/>
    </row>
    <row r="303">
      <c r="C303" s="12"/>
      <c r="D303" s="3"/>
      <c r="E303" s="112"/>
      <c r="F303" s="3"/>
      <c r="G303" s="13"/>
      <c r="H303" s="12"/>
      <c r="K303" s="12"/>
      <c r="M303" s="12"/>
      <c r="R303" s="218"/>
      <c r="S303" s="218"/>
      <c r="T303" s="218"/>
      <c r="U303" s="218"/>
    </row>
    <row r="304">
      <c r="C304" s="12"/>
      <c r="D304" s="3"/>
      <c r="E304" s="112"/>
      <c r="F304" s="3"/>
      <c r="G304" s="13"/>
      <c r="H304" s="12"/>
      <c r="K304" s="12"/>
      <c r="M304" s="12"/>
      <c r="R304" s="218"/>
      <c r="S304" s="218"/>
      <c r="T304" s="218"/>
      <c r="U304" s="218"/>
    </row>
    <row r="305">
      <c r="C305" s="12"/>
      <c r="D305" s="3"/>
      <c r="E305" s="112"/>
      <c r="F305" s="3"/>
      <c r="G305" s="13"/>
      <c r="H305" s="12"/>
      <c r="K305" s="12"/>
      <c r="M305" s="12"/>
      <c r="R305" s="218"/>
      <c r="S305" s="218"/>
      <c r="T305" s="218"/>
      <c r="U305" s="218"/>
    </row>
    <row r="306">
      <c r="C306" s="12"/>
      <c r="D306" s="3"/>
      <c r="E306" s="112"/>
      <c r="F306" s="3"/>
      <c r="G306" s="13"/>
      <c r="H306" s="12"/>
      <c r="K306" s="12"/>
      <c r="M306" s="12"/>
      <c r="R306" s="218"/>
      <c r="S306" s="218"/>
      <c r="T306" s="218"/>
      <c r="U306" s="218"/>
    </row>
    <row r="307">
      <c r="C307" s="12"/>
      <c r="D307" s="3"/>
      <c r="E307" s="112"/>
      <c r="F307" s="3"/>
      <c r="G307" s="13"/>
      <c r="H307" s="12"/>
      <c r="K307" s="12"/>
      <c r="M307" s="12"/>
      <c r="R307" s="218"/>
      <c r="S307" s="218"/>
      <c r="T307" s="218"/>
      <c r="U307" s="218"/>
    </row>
    <row r="308">
      <c r="C308" s="12"/>
      <c r="D308" s="3"/>
      <c r="E308" s="112"/>
      <c r="F308" s="3"/>
      <c r="G308" s="13"/>
      <c r="H308" s="12"/>
      <c r="K308" s="12"/>
      <c r="M308" s="12"/>
      <c r="R308" s="218"/>
      <c r="S308" s="218"/>
      <c r="T308" s="218"/>
      <c r="U308" s="218"/>
    </row>
    <row r="309">
      <c r="C309" s="12"/>
      <c r="D309" s="3"/>
      <c r="E309" s="112"/>
      <c r="F309" s="3"/>
      <c r="G309" s="13"/>
      <c r="H309" s="12"/>
      <c r="K309" s="12"/>
      <c r="M309" s="12"/>
      <c r="R309" s="218"/>
      <c r="S309" s="218"/>
      <c r="T309" s="218"/>
      <c r="U309" s="218"/>
    </row>
    <row r="310">
      <c r="C310" s="12"/>
      <c r="D310" s="3"/>
      <c r="E310" s="112"/>
      <c r="F310" s="3"/>
      <c r="G310" s="13"/>
      <c r="H310" s="12"/>
      <c r="K310" s="12"/>
      <c r="M310" s="12"/>
      <c r="R310" s="218"/>
      <c r="S310" s="218"/>
      <c r="T310" s="218"/>
      <c r="U310" s="218"/>
    </row>
    <row r="311">
      <c r="C311" s="12"/>
      <c r="D311" s="3"/>
      <c r="E311" s="112"/>
      <c r="F311" s="3"/>
      <c r="G311" s="13"/>
      <c r="H311" s="12"/>
      <c r="K311" s="12"/>
      <c r="M311" s="12"/>
      <c r="R311" s="218"/>
      <c r="S311" s="218"/>
      <c r="T311" s="218"/>
      <c r="U311" s="218"/>
    </row>
    <row r="312">
      <c r="C312" s="12"/>
      <c r="D312" s="3"/>
      <c r="E312" s="112"/>
      <c r="F312" s="3"/>
      <c r="G312" s="13"/>
      <c r="H312" s="12"/>
      <c r="K312" s="12"/>
      <c r="M312" s="12"/>
      <c r="R312" s="218"/>
      <c r="S312" s="218"/>
      <c r="T312" s="218"/>
      <c r="U312" s="218"/>
    </row>
    <row r="313">
      <c r="C313" s="12"/>
      <c r="D313" s="3"/>
      <c r="E313" s="112"/>
      <c r="F313" s="3"/>
      <c r="G313" s="13"/>
      <c r="H313" s="12"/>
      <c r="K313" s="12"/>
      <c r="M313" s="12"/>
      <c r="R313" s="218"/>
      <c r="S313" s="218"/>
      <c r="T313" s="218"/>
      <c r="U313" s="218"/>
    </row>
    <row r="314">
      <c r="C314" s="12"/>
      <c r="D314" s="3"/>
      <c r="E314" s="112"/>
      <c r="F314" s="3"/>
      <c r="G314" s="13"/>
      <c r="H314" s="12"/>
      <c r="K314" s="12"/>
      <c r="M314" s="12"/>
      <c r="R314" s="218"/>
      <c r="S314" s="218"/>
      <c r="T314" s="218"/>
      <c r="U314" s="218"/>
    </row>
    <row r="315">
      <c r="C315" s="12"/>
      <c r="D315" s="3"/>
      <c r="E315" s="112"/>
      <c r="F315" s="3"/>
      <c r="G315" s="13"/>
      <c r="H315" s="12"/>
      <c r="K315" s="12"/>
      <c r="M315" s="12"/>
      <c r="R315" s="218"/>
      <c r="S315" s="218"/>
      <c r="T315" s="218"/>
      <c r="U315" s="218"/>
    </row>
    <row r="316">
      <c r="C316" s="12"/>
      <c r="D316" s="3"/>
      <c r="E316" s="112"/>
      <c r="F316" s="3"/>
      <c r="G316" s="13"/>
      <c r="H316" s="12"/>
      <c r="K316" s="12"/>
      <c r="M316" s="12"/>
      <c r="R316" s="218"/>
      <c r="S316" s="218"/>
      <c r="T316" s="218"/>
      <c r="U316" s="218"/>
    </row>
    <row r="317">
      <c r="C317" s="12"/>
      <c r="D317" s="3"/>
      <c r="E317" s="112"/>
      <c r="F317" s="3"/>
      <c r="G317" s="13"/>
      <c r="H317" s="12"/>
      <c r="K317" s="12"/>
      <c r="M317" s="12"/>
      <c r="R317" s="218"/>
      <c r="S317" s="218"/>
      <c r="T317" s="218"/>
      <c r="U317" s="218"/>
    </row>
    <row r="318">
      <c r="C318" s="12"/>
      <c r="D318" s="3"/>
      <c r="E318" s="112"/>
      <c r="F318" s="3"/>
      <c r="G318" s="13"/>
      <c r="H318" s="12"/>
      <c r="K318" s="12"/>
      <c r="M318" s="12"/>
      <c r="R318" s="218"/>
      <c r="S318" s="218"/>
      <c r="T318" s="218"/>
      <c r="U318" s="218"/>
    </row>
    <row r="319">
      <c r="C319" s="12"/>
      <c r="D319" s="3"/>
      <c r="E319" s="112"/>
      <c r="F319" s="3"/>
      <c r="G319" s="13"/>
      <c r="H319" s="12"/>
      <c r="K319" s="12"/>
      <c r="M319" s="12"/>
      <c r="R319" s="218"/>
      <c r="S319" s="218"/>
      <c r="T319" s="218"/>
      <c r="U319" s="218"/>
    </row>
    <row r="320">
      <c r="C320" s="12"/>
      <c r="D320" s="3"/>
      <c r="E320" s="112"/>
      <c r="F320" s="3"/>
      <c r="G320" s="13"/>
      <c r="H320" s="12"/>
      <c r="K320" s="12"/>
      <c r="M320" s="12"/>
      <c r="R320" s="218"/>
      <c r="S320" s="218"/>
      <c r="T320" s="218"/>
      <c r="U320" s="218"/>
    </row>
    <row r="321">
      <c r="C321" s="12"/>
      <c r="D321" s="3"/>
      <c r="E321" s="112"/>
      <c r="F321" s="3"/>
      <c r="G321" s="13"/>
      <c r="H321" s="12"/>
      <c r="K321" s="12"/>
      <c r="M321" s="12"/>
      <c r="R321" s="218"/>
      <c r="S321" s="218"/>
      <c r="T321" s="218"/>
      <c r="U321" s="218"/>
    </row>
    <row r="322">
      <c r="C322" s="12"/>
      <c r="D322" s="3"/>
      <c r="E322" s="112"/>
      <c r="F322" s="3"/>
      <c r="G322" s="13"/>
      <c r="H322" s="12"/>
      <c r="K322" s="12"/>
      <c r="M322" s="12"/>
      <c r="R322" s="218"/>
      <c r="S322" s="218"/>
      <c r="T322" s="218"/>
      <c r="U322" s="218"/>
    </row>
    <row r="323">
      <c r="C323" s="12"/>
      <c r="D323" s="3"/>
      <c r="E323" s="112"/>
      <c r="F323" s="3"/>
      <c r="G323" s="13"/>
      <c r="H323" s="12"/>
      <c r="K323" s="12"/>
      <c r="M323" s="12"/>
      <c r="R323" s="218"/>
      <c r="S323" s="218"/>
      <c r="T323" s="218"/>
      <c r="U323" s="218"/>
    </row>
    <row r="324">
      <c r="C324" s="12"/>
      <c r="D324" s="3"/>
      <c r="E324" s="112"/>
      <c r="F324" s="3"/>
      <c r="G324" s="13"/>
      <c r="H324" s="12"/>
      <c r="K324" s="12"/>
      <c r="M324" s="12"/>
      <c r="R324" s="218"/>
      <c r="S324" s="218"/>
      <c r="T324" s="218"/>
      <c r="U324" s="218"/>
    </row>
    <row r="325">
      <c r="C325" s="12"/>
      <c r="D325" s="3"/>
      <c r="E325" s="112"/>
      <c r="F325" s="3"/>
      <c r="G325" s="13"/>
      <c r="H325" s="12"/>
      <c r="K325" s="12"/>
      <c r="M325" s="12"/>
      <c r="R325" s="218"/>
      <c r="S325" s="218"/>
      <c r="T325" s="218"/>
      <c r="U325" s="218"/>
    </row>
    <row r="326">
      <c r="C326" s="12"/>
      <c r="D326" s="3"/>
      <c r="E326" s="112"/>
      <c r="F326" s="3"/>
      <c r="G326" s="13"/>
      <c r="H326" s="12"/>
      <c r="K326" s="12"/>
      <c r="M326" s="12"/>
      <c r="R326" s="218"/>
      <c r="S326" s="218"/>
      <c r="T326" s="218"/>
      <c r="U326" s="218"/>
    </row>
    <row r="327">
      <c r="C327" s="12"/>
      <c r="D327" s="3"/>
      <c r="E327" s="112"/>
      <c r="F327" s="3"/>
      <c r="G327" s="13"/>
      <c r="H327" s="12"/>
      <c r="K327" s="12"/>
      <c r="M327" s="12"/>
      <c r="R327" s="218"/>
      <c r="S327" s="218"/>
      <c r="T327" s="218"/>
      <c r="U327" s="218"/>
    </row>
    <row r="328">
      <c r="C328" s="12"/>
      <c r="D328" s="3"/>
      <c r="E328" s="112"/>
      <c r="F328" s="3"/>
      <c r="G328" s="13"/>
      <c r="H328" s="12"/>
      <c r="K328" s="12"/>
      <c r="M328" s="12"/>
      <c r="R328" s="218"/>
      <c r="S328" s="218"/>
      <c r="T328" s="218"/>
      <c r="U328" s="218"/>
    </row>
    <row r="329">
      <c r="C329" s="12"/>
      <c r="D329" s="3"/>
      <c r="E329" s="112"/>
      <c r="F329" s="3"/>
      <c r="G329" s="13"/>
      <c r="H329" s="12"/>
      <c r="K329" s="12"/>
      <c r="M329" s="12"/>
      <c r="R329" s="218"/>
      <c r="S329" s="218"/>
      <c r="T329" s="218"/>
      <c r="U329" s="218"/>
    </row>
    <row r="330">
      <c r="C330" s="12"/>
      <c r="D330" s="3"/>
      <c r="E330" s="112"/>
      <c r="F330" s="3"/>
      <c r="G330" s="13"/>
      <c r="H330" s="12"/>
      <c r="K330" s="12"/>
      <c r="M330" s="12"/>
      <c r="R330" s="218"/>
      <c r="S330" s="218"/>
      <c r="T330" s="218"/>
      <c r="U330" s="218"/>
    </row>
    <row r="331">
      <c r="C331" s="12"/>
      <c r="D331" s="3"/>
      <c r="E331" s="112"/>
      <c r="F331" s="3"/>
      <c r="G331" s="13"/>
      <c r="H331" s="12"/>
      <c r="K331" s="12"/>
      <c r="M331" s="12"/>
      <c r="R331" s="218"/>
      <c r="S331" s="218"/>
      <c r="T331" s="218"/>
      <c r="U331" s="218"/>
    </row>
    <row r="332">
      <c r="C332" s="12"/>
      <c r="D332" s="3"/>
      <c r="E332" s="112"/>
      <c r="F332" s="3"/>
      <c r="G332" s="13"/>
      <c r="H332" s="12"/>
      <c r="K332" s="12"/>
      <c r="M332" s="12"/>
      <c r="R332" s="218"/>
      <c r="S332" s="218"/>
      <c r="T332" s="218"/>
      <c r="U332" s="218"/>
    </row>
    <row r="333">
      <c r="C333" s="12"/>
      <c r="D333" s="3"/>
      <c r="E333" s="112"/>
      <c r="F333" s="3"/>
      <c r="G333" s="13"/>
      <c r="H333" s="12"/>
      <c r="K333" s="12"/>
      <c r="M333" s="12"/>
      <c r="R333" s="218"/>
      <c r="S333" s="218"/>
      <c r="T333" s="218"/>
      <c r="U333" s="218"/>
    </row>
    <row r="334">
      <c r="C334" s="12"/>
      <c r="D334" s="3"/>
      <c r="E334" s="112"/>
      <c r="F334" s="3"/>
      <c r="G334" s="13"/>
      <c r="H334" s="12"/>
      <c r="K334" s="12"/>
      <c r="M334" s="12"/>
      <c r="R334" s="218"/>
      <c r="S334" s="218"/>
      <c r="T334" s="218"/>
      <c r="U334" s="218"/>
    </row>
    <row r="335">
      <c r="C335" s="12"/>
      <c r="D335" s="3"/>
      <c r="E335" s="112"/>
      <c r="F335" s="3"/>
      <c r="G335" s="13"/>
      <c r="H335" s="12"/>
      <c r="K335" s="12"/>
      <c r="M335" s="12"/>
      <c r="R335" s="218"/>
      <c r="S335" s="218"/>
      <c r="T335" s="218"/>
      <c r="U335" s="218"/>
    </row>
    <row r="336">
      <c r="C336" s="12"/>
      <c r="D336" s="3"/>
      <c r="E336" s="112"/>
      <c r="F336" s="3"/>
      <c r="G336" s="13"/>
      <c r="H336" s="12"/>
      <c r="K336" s="12"/>
      <c r="M336" s="12"/>
      <c r="R336" s="218"/>
      <c r="S336" s="218"/>
      <c r="T336" s="218"/>
      <c r="U336" s="218"/>
    </row>
    <row r="337">
      <c r="C337" s="12"/>
      <c r="D337" s="3"/>
      <c r="E337" s="112"/>
      <c r="F337" s="3"/>
      <c r="G337" s="13"/>
      <c r="H337" s="12"/>
      <c r="K337" s="12"/>
      <c r="M337" s="12"/>
      <c r="R337" s="218"/>
      <c r="S337" s="218"/>
      <c r="T337" s="218"/>
      <c r="U337" s="218"/>
    </row>
    <row r="338">
      <c r="C338" s="12"/>
      <c r="D338" s="3"/>
      <c r="E338" s="112"/>
      <c r="F338" s="3"/>
      <c r="G338" s="13"/>
      <c r="H338" s="12"/>
      <c r="K338" s="12"/>
      <c r="M338" s="12"/>
      <c r="R338" s="218"/>
      <c r="S338" s="218"/>
      <c r="T338" s="218"/>
      <c r="U338" s="218"/>
    </row>
    <row r="339">
      <c r="C339" s="12"/>
      <c r="D339" s="3"/>
      <c r="E339" s="112"/>
      <c r="F339" s="3"/>
      <c r="G339" s="13"/>
      <c r="H339" s="12"/>
      <c r="K339" s="12"/>
      <c r="M339" s="12"/>
      <c r="R339" s="218"/>
      <c r="S339" s="218"/>
      <c r="T339" s="218"/>
      <c r="U339" s="218"/>
    </row>
    <row r="340">
      <c r="C340" s="12"/>
      <c r="D340" s="3"/>
      <c r="E340" s="112"/>
      <c r="F340" s="3"/>
      <c r="G340" s="13"/>
      <c r="H340" s="12"/>
      <c r="K340" s="12"/>
      <c r="M340" s="12"/>
      <c r="R340" s="218"/>
      <c r="S340" s="218"/>
      <c r="T340" s="218"/>
      <c r="U340" s="218"/>
    </row>
    <row r="341">
      <c r="C341" s="12"/>
      <c r="D341" s="3"/>
      <c r="E341" s="112"/>
      <c r="F341" s="3"/>
      <c r="G341" s="13"/>
      <c r="H341" s="12"/>
      <c r="K341" s="12"/>
      <c r="M341" s="12"/>
      <c r="R341" s="218"/>
      <c r="S341" s="218"/>
      <c r="T341" s="218"/>
      <c r="U341" s="218"/>
    </row>
    <row r="342">
      <c r="C342" s="12"/>
      <c r="D342" s="3"/>
      <c r="E342" s="112"/>
      <c r="F342" s="3"/>
      <c r="G342" s="13"/>
      <c r="H342" s="12"/>
      <c r="K342" s="12"/>
      <c r="M342" s="12"/>
      <c r="R342" s="218"/>
      <c r="S342" s="218"/>
      <c r="T342" s="218"/>
      <c r="U342" s="218"/>
    </row>
    <row r="343">
      <c r="C343" s="12"/>
      <c r="D343" s="3"/>
      <c r="E343" s="112"/>
      <c r="F343" s="3"/>
      <c r="G343" s="13"/>
      <c r="H343" s="12"/>
      <c r="K343" s="12"/>
      <c r="M343" s="12"/>
      <c r="R343" s="218"/>
      <c r="S343" s="218"/>
      <c r="T343" s="218"/>
      <c r="U343" s="218"/>
    </row>
    <row r="344">
      <c r="C344" s="12"/>
      <c r="D344" s="3"/>
      <c r="E344" s="112"/>
      <c r="F344" s="3"/>
      <c r="G344" s="13"/>
      <c r="H344" s="12"/>
      <c r="K344" s="12"/>
      <c r="M344" s="12"/>
      <c r="R344" s="218"/>
      <c r="S344" s="218"/>
      <c r="T344" s="218"/>
      <c r="U344" s="218"/>
    </row>
    <row r="345">
      <c r="C345" s="12"/>
      <c r="D345" s="3"/>
      <c r="E345" s="112"/>
      <c r="F345" s="3"/>
      <c r="G345" s="13"/>
      <c r="H345" s="12"/>
      <c r="K345" s="12"/>
      <c r="M345" s="12"/>
      <c r="R345" s="218"/>
      <c r="S345" s="218"/>
      <c r="T345" s="218"/>
      <c r="U345" s="218"/>
    </row>
    <row r="346">
      <c r="C346" s="12"/>
      <c r="D346" s="3"/>
      <c r="E346" s="112"/>
      <c r="F346" s="3"/>
      <c r="G346" s="13"/>
      <c r="H346" s="12"/>
      <c r="K346" s="12"/>
      <c r="M346" s="12"/>
      <c r="R346" s="218"/>
      <c r="S346" s="218"/>
      <c r="T346" s="218"/>
      <c r="U346" s="218"/>
    </row>
    <row r="347">
      <c r="C347" s="12"/>
      <c r="D347" s="3"/>
      <c r="E347" s="112"/>
      <c r="F347" s="3"/>
      <c r="G347" s="13"/>
      <c r="H347" s="12"/>
      <c r="K347" s="12"/>
      <c r="M347" s="12"/>
      <c r="R347" s="218"/>
      <c r="S347" s="218"/>
      <c r="T347" s="218"/>
      <c r="U347" s="218"/>
    </row>
    <row r="348">
      <c r="C348" s="12"/>
      <c r="D348" s="3"/>
      <c r="E348" s="112"/>
      <c r="F348" s="3"/>
      <c r="G348" s="13"/>
      <c r="H348" s="12"/>
      <c r="K348" s="12"/>
      <c r="M348" s="12"/>
      <c r="R348" s="218"/>
      <c r="S348" s="218"/>
      <c r="T348" s="218"/>
      <c r="U348" s="218"/>
    </row>
    <row r="349">
      <c r="C349" s="12"/>
      <c r="D349" s="3"/>
      <c r="E349" s="112"/>
      <c r="F349" s="3"/>
      <c r="G349" s="13"/>
      <c r="H349" s="12"/>
      <c r="K349" s="12"/>
      <c r="M349" s="12"/>
      <c r="R349" s="218"/>
      <c r="S349" s="218"/>
      <c r="T349" s="218"/>
      <c r="U349" s="218"/>
    </row>
    <row r="350">
      <c r="C350" s="12"/>
      <c r="D350" s="3"/>
      <c r="E350" s="112"/>
      <c r="F350" s="3"/>
      <c r="G350" s="13"/>
      <c r="H350" s="12"/>
      <c r="K350" s="12"/>
      <c r="M350" s="12"/>
      <c r="R350" s="218"/>
      <c r="S350" s="218"/>
      <c r="T350" s="218"/>
      <c r="U350" s="218"/>
    </row>
    <row r="351">
      <c r="C351" s="12"/>
      <c r="D351" s="3"/>
      <c r="E351" s="112"/>
      <c r="F351" s="3"/>
      <c r="G351" s="13"/>
      <c r="H351" s="12"/>
      <c r="K351" s="12"/>
      <c r="M351" s="12"/>
      <c r="R351" s="218"/>
      <c r="S351" s="218"/>
      <c r="T351" s="218"/>
      <c r="U351" s="218"/>
    </row>
    <row r="352">
      <c r="C352" s="12"/>
      <c r="D352" s="3"/>
      <c r="E352" s="112"/>
      <c r="F352" s="3"/>
      <c r="G352" s="13"/>
      <c r="H352" s="12"/>
      <c r="K352" s="12"/>
      <c r="M352" s="12"/>
      <c r="R352" s="218"/>
      <c r="S352" s="218"/>
      <c r="T352" s="218"/>
      <c r="U352" s="218"/>
    </row>
    <row r="353">
      <c r="C353" s="12"/>
      <c r="D353" s="3"/>
      <c r="E353" s="112"/>
      <c r="F353" s="3"/>
      <c r="G353" s="13"/>
      <c r="H353" s="12"/>
      <c r="K353" s="12"/>
      <c r="M353" s="12"/>
      <c r="R353" s="218"/>
      <c r="S353" s="218"/>
      <c r="T353" s="218"/>
      <c r="U353" s="218"/>
    </row>
    <row r="354">
      <c r="C354" s="12"/>
      <c r="D354" s="3"/>
      <c r="E354" s="112"/>
      <c r="F354" s="3"/>
      <c r="G354" s="13"/>
      <c r="H354" s="12"/>
      <c r="K354" s="12"/>
      <c r="M354" s="12"/>
      <c r="R354" s="218"/>
      <c r="S354" s="218"/>
      <c r="T354" s="218"/>
      <c r="U354" s="218"/>
    </row>
    <row r="355">
      <c r="C355" s="12"/>
      <c r="D355" s="3"/>
      <c r="E355" s="112"/>
      <c r="F355" s="3"/>
      <c r="G355" s="13"/>
      <c r="H355" s="12"/>
      <c r="K355" s="12"/>
      <c r="M355" s="12"/>
      <c r="R355" s="218"/>
      <c r="S355" s="218"/>
      <c r="T355" s="218"/>
      <c r="U355" s="218"/>
    </row>
    <row r="356">
      <c r="C356" s="12"/>
      <c r="D356" s="3"/>
      <c r="E356" s="112"/>
      <c r="F356" s="3"/>
      <c r="G356" s="13"/>
      <c r="H356" s="12"/>
      <c r="K356" s="12"/>
      <c r="M356" s="12"/>
      <c r="R356" s="218"/>
      <c r="S356" s="218"/>
      <c r="T356" s="218"/>
      <c r="U356" s="218"/>
    </row>
    <row r="357">
      <c r="C357" s="12"/>
      <c r="D357" s="3"/>
      <c r="E357" s="112"/>
      <c r="F357" s="3"/>
      <c r="G357" s="13"/>
      <c r="H357" s="12"/>
      <c r="K357" s="12"/>
      <c r="M357" s="12"/>
      <c r="R357" s="218"/>
      <c r="S357" s="218"/>
      <c r="T357" s="218"/>
      <c r="U357" s="218"/>
    </row>
    <row r="358">
      <c r="C358" s="12"/>
      <c r="D358" s="3"/>
      <c r="E358" s="112"/>
      <c r="F358" s="3"/>
      <c r="G358" s="13"/>
      <c r="H358" s="12"/>
      <c r="K358" s="12"/>
      <c r="M358" s="12"/>
      <c r="R358" s="218"/>
      <c r="S358" s="218"/>
      <c r="T358" s="218"/>
      <c r="U358" s="218"/>
    </row>
    <row r="359">
      <c r="C359" s="12"/>
      <c r="D359" s="3"/>
      <c r="E359" s="112"/>
      <c r="F359" s="3"/>
      <c r="G359" s="13"/>
      <c r="H359" s="12"/>
      <c r="K359" s="12"/>
      <c r="M359" s="12"/>
      <c r="R359" s="218"/>
      <c r="S359" s="218"/>
      <c r="T359" s="218"/>
      <c r="U359" s="218"/>
    </row>
    <row r="360">
      <c r="C360" s="12"/>
      <c r="D360" s="3"/>
      <c r="E360" s="112"/>
      <c r="F360" s="3"/>
      <c r="G360" s="13"/>
      <c r="H360" s="12"/>
      <c r="K360" s="12"/>
      <c r="M360" s="12"/>
      <c r="R360" s="218"/>
      <c r="S360" s="218"/>
      <c r="T360" s="218"/>
      <c r="U360" s="218"/>
    </row>
    <row r="361">
      <c r="C361" s="12"/>
      <c r="D361" s="3"/>
      <c r="E361" s="112"/>
      <c r="F361" s="3"/>
      <c r="G361" s="13"/>
      <c r="H361" s="12"/>
      <c r="K361" s="12"/>
      <c r="M361" s="12"/>
      <c r="R361" s="218"/>
      <c r="S361" s="218"/>
      <c r="T361" s="218"/>
      <c r="U361" s="218"/>
    </row>
    <row r="362">
      <c r="C362" s="12"/>
      <c r="D362" s="3"/>
      <c r="E362" s="112"/>
      <c r="F362" s="3"/>
      <c r="G362" s="13"/>
      <c r="H362" s="12"/>
      <c r="K362" s="12"/>
      <c r="M362" s="12"/>
      <c r="R362" s="218"/>
      <c r="S362" s="218"/>
      <c r="T362" s="218"/>
      <c r="U362" s="218"/>
    </row>
    <row r="363">
      <c r="C363" s="12"/>
      <c r="D363" s="3"/>
      <c r="E363" s="112"/>
      <c r="F363" s="3"/>
      <c r="G363" s="13"/>
      <c r="H363" s="12"/>
      <c r="K363" s="12"/>
      <c r="M363" s="12"/>
      <c r="R363" s="218"/>
      <c r="S363" s="218"/>
      <c r="T363" s="218"/>
      <c r="U363" s="218"/>
    </row>
    <row r="364">
      <c r="C364" s="12"/>
      <c r="D364" s="3"/>
      <c r="E364" s="112"/>
      <c r="F364" s="3"/>
      <c r="G364" s="13"/>
      <c r="H364" s="12"/>
      <c r="K364" s="12"/>
      <c r="M364" s="12"/>
      <c r="R364" s="218"/>
      <c r="S364" s="218"/>
      <c r="T364" s="218"/>
      <c r="U364" s="218"/>
    </row>
    <row r="365">
      <c r="C365" s="12"/>
      <c r="D365" s="3"/>
      <c r="E365" s="112"/>
      <c r="F365" s="3"/>
      <c r="G365" s="13"/>
      <c r="H365" s="12"/>
      <c r="K365" s="12"/>
      <c r="M365" s="12"/>
      <c r="R365" s="218"/>
      <c r="S365" s="218"/>
      <c r="T365" s="218"/>
      <c r="U365" s="218"/>
    </row>
    <row r="366">
      <c r="C366" s="12"/>
      <c r="D366" s="3"/>
      <c r="E366" s="112"/>
      <c r="F366" s="3"/>
      <c r="G366" s="13"/>
      <c r="H366" s="12"/>
      <c r="K366" s="12"/>
      <c r="M366" s="12"/>
      <c r="R366" s="218"/>
      <c r="S366" s="218"/>
      <c r="T366" s="218"/>
      <c r="U366" s="218"/>
    </row>
    <row r="367">
      <c r="C367" s="12"/>
      <c r="D367" s="3"/>
      <c r="E367" s="112"/>
      <c r="F367" s="3"/>
      <c r="G367" s="13"/>
      <c r="H367" s="12"/>
      <c r="K367" s="12"/>
      <c r="M367" s="12"/>
      <c r="R367" s="218"/>
      <c r="S367" s="218"/>
      <c r="T367" s="218"/>
      <c r="U367" s="218"/>
    </row>
    <row r="368">
      <c r="C368" s="12"/>
      <c r="D368" s="3"/>
      <c r="E368" s="112"/>
      <c r="F368" s="3"/>
      <c r="G368" s="13"/>
      <c r="H368" s="12"/>
      <c r="K368" s="12"/>
      <c r="M368" s="12"/>
      <c r="R368" s="218"/>
      <c r="S368" s="218"/>
      <c r="T368" s="218"/>
      <c r="U368" s="218"/>
    </row>
    <row r="369">
      <c r="C369" s="12"/>
      <c r="D369" s="3"/>
      <c r="E369" s="112"/>
      <c r="F369" s="3"/>
      <c r="G369" s="13"/>
      <c r="H369" s="12"/>
      <c r="K369" s="12"/>
      <c r="M369" s="12"/>
      <c r="R369" s="218"/>
      <c r="S369" s="218"/>
      <c r="T369" s="218"/>
      <c r="U369" s="218"/>
    </row>
    <row r="370">
      <c r="C370" s="12"/>
      <c r="D370" s="3"/>
      <c r="E370" s="112"/>
      <c r="F370" s="3"/>
      <c r="G370" s="13"/>
      <c r="H370" s="12"/>
      <c r="K370" s="12"/>
      <c r="M370" s="12"/>
      <c r="R370" s="218"/>
      <c r="S370" s="218"/>
      <c r="T370" s="218"/>
      <c r="U370" s="218"/>
    </row>
    <row r="371">
      <c r="C371" s="12"/>
      <c r="D371" s="3"/>
      <c r="E371" s="112"/>
      <c r="F371" s="3"/>
      <c r="G371" s="13"/>
      <c r="H371" s="12"/>
      <c r="K371" s="12"/>
      <c r="M371" s="12"/>
      <c r="R371" s="218"/>
      <c r="S371" s="218"/>
      <c r="T371" s="218"/>
      <c r="U371" s="218"/>
    </row>
    <row r="372">
      <c r="C372" s="12"/>
      <c r="D372" s="3"/>
      <c r="E372" s="112"/>
      <c r="F372" s="3"/>
      <c r="G372" s="13"/>
      <c r="H372" s="12"/>
      <c r="K372" s="12"/>
      <c r="M372" s="12"/>
      <c r="R372" s="218"/>
      <c r="S372" s="218"/>
      <c r="T372" s="218"/>
      <c r="U372" s="218"/>
    </row>
    <row r="373">
      <c r="C373" s="12"/>
      <c r="D373" s="3"/>
      <c r="E373" s="112"/>
      <c r="F373" s="3"/>
      <c r="G373" s="13"/>
      <c r="H373" s="12"/>
      <c r="K373" s="12"/>
      <c r="M373" s="12"/>
      <c r="R373" s="218"/>
      <c r="S373" s="218"/>
      <c r="T373" s="218"/>
      <c r="U373" s="218"/>
    </row>
    <row r="374">
      <c r="C374" s="12"/>
      <c r="D374" s="3"/>
      <c r="E374" s="112"/>
      <c r="F374" s="3"/>
      <c r="G374" s="13"/>
      <c r="H374" s="12"/>
      <c r="K374" s="12"/>
      <c r="M374" s="12"/>
      <c r="R374" s="218"/>
      <c r="S374" s="218"/>
      <c r="T374" s="218"/>
      <c r="U374" s="218"/>
    </row>
    <row r="375">
      <c r="C375" s="12"/>
      <c r="D375" s="3"/>
      <c r="E375" s="112"/>
      <c r="F375" s="3"/>
      <c r="G375" s="13"/>
      <c r="H375" s="12"/>
      <c r="K375" s="12"/>
      <c r="M375" s="12"/>
      <c r="R375" s="218"/>
      <c r="S375" s="218"/>
      <c r="T375" s="218"/>
      <c r="U375" s="218"/>
    </row>
    <row r="376">
      <c r="C376" s="12"/>
      <c r="D376" s="3"/>
      <c r="E376" s="112"/>
      <c r="F376" s="3"/>
      <c r="G376" s="13"/>
      <c r="H376" s="12"/>
      <c r="K376" s="12"/>
      <c r="M376" s="12"/>
      <c r="R376" s="218"/>
      <c r="S376" s="218"/>
      <c r="T376" s="218"/>
      <c r="U376" s="218"/>
    </row>
    <row r="377">
      <c r="C377" s="12"/>
      <c r="D377" s="3"/>
      <c r="E377" s="112"/>
      <c r="F377" s="3"/>
      <c r="G377" s="13"/>
      <c r="H377" s="12"/>
      <c r="K377" s="12"/>
      <c r="M377" s="12"/>
      <c r="R377" s="218"/>
      <c r="S377" s="218"/>
      <c r="T377" s="218"/>
      <c r="U377" s="218"/>
    </row>
    <row r="378">
      <c r="C378" s="12"/>
      <c r="D378" s="3"/>
      <c r="E378" s="112"/>
      <c r="F378" s="3"/>
      <c r="G378" s="13"/>
      <c r="H378" s="12"/>
      <c r="K378" s="12"/>
      <c r="M378" s="12"/>
      <c r="R378" s="218"/>
      <c r="S378" s="218"/>
      <c r="T378" s="218"/>
      <c r="U378" s="218"/>
    </row>
    <row r="379">
      <c r="C379" s="12"/>
      <c r="D379" s="3"/>
      <c r="E379" s="112"/>
      <c r="F379" s="3"/>
      <c r="G379" s="13"/>
      <c r="H379" s="12"/>
      <c r="K379" s="12"/>
      <c r="M379" s="12"/>
      <c r="R379" s="218"/>
      <c r="S379" s="218"/>
      <c r="T379" s="218"/>
      <c r="U379" s="218"/>
    </row>
    <row r="380">
      <c r="C380" s="12"/>
      <c r="D380" s="3"/>
      <c r="E380" s="112"/>
      <c r="F380" s="3"/>
      <c r="G380" s="13"/>
      <c r="H380" s="12"/>
      <c r="K380" s="12"/>
      <c r="M380" s="12"/>
      <c r="R380" s="218"/>
      <c r="S380" s="218"/>
      <c r="T380" s="218"/>
      <c r="U380" s="218"/>
    </row>
    <row r="381">
      <c r="C381" s="12"/>
      <c r="D381" s="3"/>
      <c r="E381" s="112"/>
      <c r="F381" s="3"/>
      <c r="G381" s="13"/>
      <c r="H381" s="12"/>
      <c r="K381" s="12"/>
      <c r="M381" s="12"/>
      <c r="R381" s="218"/>
      <c r="S381" s="218"/>
      <c r="T381" s="218"/>
      <c r="U381" s="218"/>
    </row>
    <row r="382">
      <c r="C382" s="12"/>
      <c r="D382" s="3"/>
      <c r="E382" s="112"/>
      <c r="F382" s="3"/>
      <c r="G382" s="13"/>
      <c r="H382" s="12"/>
      <c r="K382" s="12"/>
      <c r="M382" s="12"/>
      <c r="R382" s="218"/>
      <c r="S382" s="218"/>
      <c r="T382" s="218"/>
      <c r="U382" s="218"/>
    </row>
    <row r="383">
      <c r="C383" s="12"/>
      <c r="D383" s="3"/>
      <c r="E383" s="112"/>
      <c r="F383" s="3"/>
      <c r="G383" s="13"/>
      <c r="H383" s="12"/>
      <c r="K383" s="12"/>
      <c r="M383" s="12"/>
      <c r="R383" s="218"/>
      <c r="S383" s="218"/>
      <c r="T383" s="218"/>
      <c r="U383" s="218"/>
    </row>
    <row r="384">
      <c r="C384" s="12"/>
      <c r="D384" s="3"/>
      <c r="E384" s="112"/>
      <c r="F384" s="3"/>
      <c r="G384" s="13"/>
      <c r="H384" s="12"/>
      <c r="K384" s="12"/>
      <c r="M384" s="12"/>
      <c r="R384" s="218"/>
      <c r="S384" s="218"/>
      <c r="T384" s="218"/>
      <c r="U384" s="218"/>
    </row>
    <row r="385">
      <c r="C385" s="12"/>
      <c r="D385" s="3"/>
      <c r="E385" s="112"/>
      <c r="F385" s="3"/>
      <c r="G385" s="13"/>
      <c r="H385" s="12"/>
      <c r="K385" s="12"/>
      <c r="M385" s="12"/>
      <c r="R385" s="218"/>
      <c r="S385" s="218"/>
      <c r="T385" s="218"/>
      <c r="U385" s="218"/>
    </row>
    <row r="386">
      <c r="C386" s="12"/>
      <c r="D386" s="3"/>
      <c r="E386" s="112"/>
      <c r="F386" s="3"/>
      <c r="G386" s="13"/>
      <c r="H386" s="12"/>
      <c r="K386" s="12"/>
      <c r="M386" s="12"/>
      <c r="R386" s="218"/>
      <c r="S386" s="218"/>
      <c r="T386" s="218"/>
      <c r="U386" s="218"/>
    </row>
    <row r="387">
      <c r="C387" s="12"/>
      <c r="D387" s="3"/>
      <c r="E387" s="112"/>
      <c r="F387" s="3"/>
      <c r="G387" s="13"/>
      <c r="H387" s="12"/>
      <c r="K387" s="12"/>
      <c r="M387" s="12"/>
      <c r="R387" s="218"/>
      <c r="S387" s="218"/>
      <c r="T387" s="218"/>
      <c r="U387" s="218"/>
    </row>
    <row r="388">
      <c r="C388" s="12"/>
      <c r="D388" s="3"/>
      <c r="E388" s="112"/>
      <c r="F388" s="3"/>
      <c r="G388" s="13"/>
      <c r="H388" s="12"/>
      <c r="K388" s="12"/>
      <c r="M388" s="12"/>
      <c r="R388" s="218"/>
      <c r="S388" s="218"/>
      <c r="T388" s="218"/>
      <c r="U388" s="218"/>
    </row>
    <row r="389">
      <c r="C389" s="12"/>
      <c r="D389" s="3"/>
      <c r="E389" s="112"/>
      <c r="F389" s="3"/>
      <c r="G389" s="13"/>
      <c r="H389" s="12"/>
      <c r="K389" s="12"/>
      <c r="M389" s="12"/>
      <c r="R389" s="218"/>
      <c r="S389" s="218"/>
      <c r="T389" s="218"/>
      <c r="U389" s="218"/>
    </row>
    <row r="390">
      <c r="C390" s="12"/>
      <c r="D390" s="3"/>
      <c r="E390" s="112"/>
      <c r="F390" s="3"/>
      <c r="G390" s="13"/>
      <c r="H390" s="12"/>
      <c r="K390" s="12"/>
      <c r="M390" s="12"/>
      <c r="R390" s="218"/>
      <c r="S390" s="218"/>
      <c r="T390" s="218"/>
      <c r="U390" s="218"/>
    </row>
    <row r="391">
      <c r="C391" s="12"/>
      <c r="D391" s="3"/>
      <c r="E391" s="112"/>
      <c r="F391" s="3"/>
      <c r="G391" s="13"/>
      <c r="H391" s="12"/>
      <c r="K391" s="12"/>
      <c r="M391" s="12"/>
      <c r="R391" s="218"/>
      <c r="S391" s="218"/>
      <c r="T391" s="218"/>
      <c r="U391" s="218"/>
    </row>
    <row r="392">
      <c r="C392" s="12"/>
      <c r="D392" s="3"/>
      <c r="E392" s="112"/>
      <c r="F392" s="3"/>
      <c r="G392" s="13"/>
      <c r="H392" s="12"/>
      <c r="K392" s="12"/>
      <c r="M392" s="12"/>
      <c r="R392" s="218"/>
      <c r="S392" s="218"/>
      <c r="T392" s="218"/>
      <c r="U392" s="218"/>
    </row>
    <row r="393">
      <c r="C393" s="12"/>
      <c r="D393" s="3"/>
      <c r="E393" s="112"/>
      <c r="F393" s="3"/>
      <c r="G393" s="13"/>
      <c r="H393" s="12"/>
      <c r="K393" s="12"/>
      <c r="M393" s="12"/>
      <c r="R393" s="218"/>
      <c r="S393" s="218"/>
      <c r="T393" s="218"/>
      <c r="U393" s="218"/>
    </row>
    <row r="394">
      <c r="C394" s="12"/>
      <c r="D394" s="3"/>
      <c r="E394" s="112"/>
      <c r="F394" s="3"/>
      <c r="G394" s="13"/>
      <c r="H394" s="12"/>
      <c r="K394" s="12"/>
      <c r="M394" s="12"/>
      <c r="R394" s="218"/>
      <c r="S394" s="218"/>
      <c r="T394" s="218"/>
      <c r="U394" s="218"/>
    </row>
    <row r="395">
      <c r="C395" s="12"/>
      <c r="D395" s="3"/>
      <c r="E395" s="112"/>
      <c r="F395" s="3"/>
      <c r="G395" s="13"/>
      <c r="H395" s="12"/>
      <c r="K395" s="12"/>
      <c r="M395" s="12"/>
      <c r="R395" s="218"/>
      <c r="S395" s="218"/>
      <c r="T395" s="218"/>
      <c r="U395" s="218"/>
    </row>
    <row r="396">
      <c r="C396" s="12"/>
      <c r="D396" s="3"/>
      <c r="E396" s="112"/>
      <c r="F396" s="3"/>
      <c r="G396" s="13"/>
      <c r="H396" s="12"/>
      <c r="K396" s="12"/>
      <c r="M396" s="12"/>
      <c r="R396" s="218"/>
      <c r="S396" s="218"/>
      <c r="T396" s="218"/>
      <c r="U396" s="218"/>
    </row>
    <row r="397">
      <c r="C397" s="12"/>
      <c r="D397" s="3"/>
      <c r="E397" s="112"/>
      <c r="F397" s="3"/>
      <c r="G397" s="13"/>
      <c r="H397" s="12"/>
      <c r="K397" s="12"/>
      <c r="M397" s="12"/>
      <c r="R397" s="218"/>
      <c r="S397" s="218"/>
      <c r="T397" s="218"/>
      <c r="U397" s="218"/>
    </row>
    <row r="398">
      <c r="C398" s="12"/>
      <c r="D398" s="3"/>
      <c r="E398" s="112"/>
      <c r="F398" s="3"/>
      <c r="G398" s="13"/>
      <c r="H398" s="12"/>
      <c r="K398" s="12"/>
      <c r="M398" s="12"/>
      <c r="R398" s="218"/>
      <c r="S398" s="218"/>
      <c r="T398" s="218"/>
      <c r="U398" s="218"/>
    </row>
    <row r="399">
      <c r="C399" s="12"/>
      <c r="D399" s="3"/>
      <c r="E399" s="112"/>
      <c r="F399" s="3"/>
      <c r="G399" s="13"/>
      <c r="H399" s="12"/>
      <c r="K399" s="12"/>
      <c r="M399" s="12"/>
      <c r="R399" s="218"/>
      <c r="S399" s="218"/>
      <c r="T399" s="218"/>
      <c r="U399" s="218"/>
    </row>
    <row r="400">
      <c r="C400" s="12"/>
      <c r="D400" s="3"/>
      <c r="E400" s="112"/>
      <c r="F400" s="3"/>
      <c r="G400" s="13"/>
      <c r="H400" s="12"/>
      <c r="K400" s="12"/>
      <c r="M400" s="12"/>
      <c r="R400" s="218"/>
      <c r="S400" s="218"/>
      <c r="T400" s="218"/>
      <c r="U400" s="218"/>
    </row>
    <row r="401">
      <c r="C401" s="12"/>
      <c r="D401" s="3"/>
      <c r="E401" s="112"/>
      <c r="F401" s="3"/>
      <c r="G401" s="13"/>
      <c r="H401" s="12"/>
      <c r="K401" s="12"/>
      <c r="M401" s="12"/>
      <c r="R401" s="218"/>
      <c r="S401" s="218"/>
      <c r="T401" s="218"/>
      <c r="U401" s="218"/>
    </row>
    <row r="402">
      <c r="C402" s="12"/>
      <c r="D402" s="3"/>
      <c r="E402" s="112"/>
      <c r="F402" s="3"/>
      <c r="G402" s="13"/>
      <c r="H402" s="12"/>
      <c r="K402" s="12"/>
      <c r="M402" s="12"/>
      <c r="R402" s="218"/>
      <c r="S402" s="218"/>
      <c r="T402" s="218"/>
      <c r="U402" s="218"/>
    </row>
    <row r="403">
      <c r="C403" s="12"/>
      <c r="D403" s="3"/>
      <c r="E403" s="112"/>
      <c r="F403" s="3"/>
      <c r="G403" s="13"/>
      <c r="H403" s="12"/>
      <c r="K403" s="12"/>
      <c r="M403" s="12"/>
      <c r="R403" s="218"/>
      <c r="S403" s="218"/>
      <c r="T403" s="218"/>
      <c r="U403" s="218"/>
    </row>
    <row r="404">
      <c r="C404" s="12"/>
      <c r="D404" s="3"/>
      <c r="E404" s="112"/>
      <c r="F404" s="3"/>
      <c r="G404" s="13"/>
      <c r="H404" s="12"/>
      <c r="K404" s="12"/>
      <c r="M404" s="12"/>
      <c r="R404" s="218"/>
      <c r="S404" s="218"/>
      <c r="T404" s="218"/>
      <c r="U404" s="218"/>
    </row>
    <row r="405">
      <c r="C405" s="12"/>
      <c r="D405" s="3"/>
      <c r="E405" s="112"/>
      <c r="F405" s="3"/>
      <c r="G405" s="13"/>
      <c r="H405" s="12"/>
      <c r="K405" s="12"/>
      <c r="M405" s="12"/>
      <c r="R405" s="218"/>
      <c r="S405" s="218"/>
      <c r="T405" s="218"/>
      <c r="U405" s="218"/>
    </row>
    <row r="406">
      <c r="C406" s="12"/>
      <c r="D406" s="3"/>
      <c r="E406" s="112"/>
      <c r="F406" s="3"/>
      <c r="G406" s="13"/>
      <c r="H406" s="12"/>
      <c r="K406" s="12"/>
      <c r="M406" s="12"/>
      <c r="R406" s="218"/>
      <c r="S406" s="218"/>
      <c r="T406" s="218"/>
      <c r="U406" s="218"/>
    </row>
    <row r="407">
      <c r="C407" s="12"/>
      <c r="D407" s="3"/>
      <c r="E407" s="112"/>
      <c r="F407" s="3"/>
      <c r="G407" s="13"/>
      <c r="H407" s="12"/>
      <c r="K407" s="12"/>
      <c r="M407" s="12"/>
      <c r="R407" s="218"/>
      <c r="S407" s="218"/>
      <c r="T407" s="218"/>
      <c r="U407" s="218"/>
    </row>
    <row r="408">
      <c r="C408" s="12"/>
      <c r="D408" s="3"/>
      <c r="E408" s="112"/>
      <c r="F408" s="3"/>
      <c r="G408" s="13"/>
      <c r="H408" s="12"/>
      <c r="K408" s="12"/>
      <c r="M408" s="12"/>
      <c r="R408" s="218"/>
      <c r="S408" s="218"/>
      <c r="T408" s="218"/>
      <c r="U408" s="218"/>
    </row>
    <row r="409">
      <c r="C409" s="12"/>
      <c r="D409" s="3"/>
      <c r="E409" s="112"/>
      <c r="F409" s="3"/>
      <c r="G409" s="13"/>
      <c r="H409" s="12"/>
      <c r="K409" s="12"/>
      <c r="M409" s="12"/>
      <c r="R409" s="218"/>
      <c r="S409" s="218"/>
      <c r="T409" s="218"/>
      <c r="U409" s="218"/>
    </row>
    <row r="410">
      <c r="C410" s="12"/>
      <c r="D410" s="3"/>
      <c r="E410" s="112"/>
      <c r="F410" s="3"/>
      <c r="G410" s="13"/>
      <c r="H410" s="12"/>
      <c r="K410" s="12"/>
      <c r="M410" s="12"/>
      <c r="R410" s="218"/>
      <c r="S410" s="218"/>
      <c r="T410" s="218"/>
      <c r="U410" s="218"/>
    </row>
    <row r="411">
      <c r="C411" s="12"/>
      <c r="D411" s="3"/>
      <c r="E411" s="112"/>
      <c r="F411" s="3"/>
      <c r="G411" s="13"/>
      <c r="H411" s="12"/>
      <c r="K411" s="12"/>
      <c r="M411" s="12"/>
      <c r="R411" s="218"/>
      <c r="S411" s="218"/>
      <c r="T411" s="218"/>
      <c r="U411" s="218"/>
    </row>
    <row r="412">
      <c r="C412" s="12"/>
      <c r="D412" s="3"/>
      <c r="E412" s="112"/>
      <c r="F412" s="3"/>
      <c r="G412" s="13"/>
      <c r="H412" s="12"/>
      <c r="K412" s="12"/>
      <c r="M412" s="12"/>
      <c r="R412" s="218"/>
      <c r="S412" s="218"/>
      <c r="T412" s="218"/>
      <c r="U412" s="218"/>
    </row>
    <row r="413">
      <c r="C413" s="12"/>
      <c r="D413" s="3"/>
      <c r="E413" s="112"/>
      <c r="F413" s="3"/>
      <c r="G413" s="13"/>
      <c r="H413" s="12"/>
      <c r="K413" s="12"/>
      <c r="M413" s="12"/>
      <c r="R413" s="218"/>
      <c r="S413" s="218"/>
      <c r="T413" s="218"/>
      <c r="U413" s="218"/>
    </row>
    <row r="414">
      <c r="C414" s="12"/>
      <c r="D414" s="3"/>
      <c r="E414" s="112"/>
      <c r="F414" s="3"/>
      <c r="G414" s="13"/>
      <c r="H414" s="12"/>
      <c r="K414" s="12"/>
      <c r="M414" s="12"/>
      <c r="R414" s="218"/>
      <c r="S414" s="218"/>
      <c r="T414" s="218"/>
      <c r="U414" s="218"/>
    </row>
    <row r="415">
      <c r="C415" s="12"/>
      <c r="D415" s="3"/>
      <c r="E415" s="112"/>
      <c r="F415" s="3"/>
      <c r="G415" s="13"/>
      <c r="H415" s="12"/>
      <c r="K415" s="12"/>
      <c r="M415" s="12"/>
      <c r="R415" s="218"/>
      <c r="S415" s="218"/>
      <c r="T415" s="218"/>
      <c r="U415" s="218"/>
    </row>
    <row r="416">
      <c r="C416" s="12"/>
      <c r="D416" s="3"/>
      <c r="E416" s="112"/>
      <c r="F416" s="3"/>
      <c r="G416" s="13"/>
      <c r="H416" s="12"/>
      <c r="K416" s="12"/>
      <c r="M416" s="12"/>
      <c r="R416" s="218"/>
      <c r="S416" s="218"/>
      <c r="T416" s="218"/>
      <c r="U416" s="218"/>
    </row>
    <row r="417">
      <c r="C417" s="12"/>
      <c r="D417" s="3"/>
      <c r="E417" s="112"/>
      <c r="F417" s="3"/>
      <c r="G417" s="13"/>
      <c r="H417" s="12"/>
      <c r="K417" s="12"/>
      <c r="M417" s="12"/>
      <c r="R417" s="218"/>
      <c r="S417" s="218"/>
      <c r="T417" s="218"/>
      <c r="U417" s="218"/>
    </row>
    <row r="418">
      <c r="C418" s="12"/>
      <c r="D418" s="3"/>
      <c r="E418" s="112"/>
      <c r="F418" s="3"/>
      <c r="G418" s="13"/>
      <c r="H418" s="12"/>
      <c r="K418" s="12"/>
      <c r="M418" s="12"/>
      <c r="R418" s="218"/>
      <c r="S418" s="218"/>
      <c r="T418" s="218"/>
      <c r="U418" s="218"/>
    </row>
    <row r="419">
      <c r="C419" s="12"/>
      <c r="D419" s="3"/>
      <c r="E419" s="112"/>
      <c r="F419" s="3"/>
      <c r="G419" s="13"/>
      <c r="H419" s="12"/>
      <c r="K419" s="12"/>
      <c r="M419" s="12"/>
      <c r="R419" s="218"/>
      <c r="S419" s="218"/>
      <c r="T419" s="218"/>
      <c r="U419" s="218"/>
    </row>
    <row r="420">
      <c r="C420" s="12"/>
      <c r="D420" s="3"/>
      <c r="E420" s="112"/>
      <c r="F420" s="3"/>
      <c r="G420" s="13"/>
      <c r="H420" s="12"/>
      <c r="K420" s="12"/>
      <c r="M420" s="12"/>
      <c r="R420" s="218"/>
      <c r="S420" s="218"/>
      <c r="T420" s="218"/>
      <c r="U420" s="218"/>
    </row>
    <row r="421">
      <c r="C421" s="12"/>
      <c r="D421" s="3"/>
      <c r="E421" s="112"/>
      <c r="F421" s="3"/>
      <c r="G421" s="13"/>
      <c r="H421" s="12"/>
      <c r="K421" s="12"/>
      <c r="M421" s="12"/>
      <c r="R421" s="218"/>
      <c r="S421" s="218"/>
      <c r="T421" s="218"/>
      <c r="U421" s="218"/>
    </row>
    <row r="422">
      <c r="C422" s="12"/>
      <c r="D422" s="3"/>
      <c r="E422" s="112"/>
      <c r="F422" s="3"/>
      <c r="G422" s="13"/>
      <c r="H422" s="12"/>
      <c r="K422" s="12"/>
      <c r="M422" s="12"/>
      <c r="R422" s="218"/>
      <c r="S422" s="218"/>
      <c r="T422" s="218"/>
      <c r="U422" s="218"/>
    </row>
    <row r="423">
      <c r="C423" s="12"/>
      <c r="D423" s="3"/>
      <c r="E423" s="112"/>
      <c r="F423" s="3"/>
      <c r="G423" s="13"/>
      <c r="H423" s="12"/>
      <c r="K423" s="12"/>
      <c r="M423" s="12"/>
      <c r="R423" s="218"/>
      <c r="S423" s="218"/>
      <c r="T423" s="218"/>
      <c r="U423" s="218"/>
    </row>
    <row r="424">
      <c r="C424" s="12"/>
      <c r="D424" s="3"/>
      <c r="E424" s="112"/>
      <c r="F424" s="3"/>
      <c r="G424" s="13"/>
      <c r="H424" s="12"/>
      <c r="K424" s="12"/>
      <c r="M424" s="12"/>
      <c r="R424" s="218"/>
      <c r="S424" s="218"/>
      <c r="T424" s="218"/>
      <c r="U424" s="218"/>
    </row>
    <row r="425">
      <c r="C425" s="12"/>
      <c r="D425" s="3"/>
      <c r="E425" s="112"/>
      <c r="F425" s="3"/>
      <c r="G425" s="13"/>
      <c r="H425" s="12"/>
      <c r="K425" s="12"/>
      <c r="M425" s="12"/>
      <c r="R425" s="218"/>
      <c r="S425" s="218"/>
      <c r="T425" s="218"/>
      <c r="U425" s="218"/>
    </row>
    <row r="426">
      <c r="C426" s="12"/>
      <c r="D426" s="3"/>
      <c r="E426" s="112"/>
      <c r="F426" s="3"/>
      <c r="G426" s="13"/>
      <c r="H426" s="12"/>
      <c r="K426" s="12"/>
      <c r="M426" s="12"/>
      <c r="R426" s="218"/>
      <c r="S426" s="218"/>
      <c r="T426" s="218"/>
      <c r="U426" s="218"/>
    </row>
    <row r="427">
      <c r="C427" s="12"/>
      <c r="D427" s="3"/>
      <c r="E427" s="112"/>
      <c r="F427" s="3"/>
      <c r="G427" s="13"/>
      <c r="H427" s="12"/>
      <c r="K427" s="12"/>
      <c r="M427" s="12"/>
      <c r="R427" s="218"/>
      <c r="S427" s="218"/>
      <c r="T427" s="218"/>
      <c r="U427" s="218"/>
    </row>
    <row r="428">
      <c r="C428" s="12"/>
      <c r="D428" s="3"/>
      <c r="E428" s="112"/>
      <c r="F428" s="3"/>
      <c r="G428" s="13"/>
      <c r="H428" s="12"/>
      <c r="K428" s="12"/>
      <c r="M428" s="12"/>
      <c r="R428" s="218"/>
      <c r="S428" s="218"/>
      <c r="T428" s="218"/>
      <c r="U428" s="218"/>
    </row>
    <row r="429">
      <c r="C429" s="12"/>
      <c r="D429" s="3"/>
      <c r="E429" s="112"/>
      <c r="F429" s="3"/>
      <c r="G429" s="13"/>
      <c r="H429" s="12"/>
      <c r="K429" s="12"/>
      <c r="M429" s="12"/>
      <c r="R429" s="218"/>
      <c r="S429" s="218"/>
      <c r="T429" s="218"/>
      <c r="U429" s="218"/>
    </row>
    <row r="430">
      <c r="C430" s="12"/>
      <c r="D430" s="3"/>
      <c r="E430" s="112"/>
      <c r="F430" s="3"/>
      <c r="G430" s="13"/>
      <c r="H430" s="12"/>
      <c r="K430" s="12"/>
      <c r="M430" s="12"/>
      <c r="R430" s="218"/>
      <c r="S430" s="218"/>
      <c r="T430" s="218"/>
      <c r="U430" s="218"/>
    </row>
    <row r="431">
      <c r="C431" s="12"/>
      <c r="D431" s="3"/>
      <c r="E431" s="112"/>
      <c r="F431" s="3"/>
      <c r="G431" s="13"/>
      <c r="H431" s="12"/>
      <c r="K431" s="12"/>
      <c r="M431" s="12"/>
      <c r="R431" s="218"/>
      <c r="S431" s="218"/>
      <c r="T431" s="218"/>
      <c r="U431" s="218"/>
    </row>
    <row r="432">
      <c r="C432" s="12"/>
      <c r="D432" s="3"/>
      <c r="E432" s="112"/>
      <c r="F432" s="3"/>
      <c r="G432" s="13"/>
      <c r="H432" s="12"/>
      <c r="K432" s="12"/>
      <c r="M432" s="12"/>
      <c r="R432" s="218"/>
      <c r="S432" s="218"/>
      <c r="T432" s="218"/>
      <c r="U432" s="218"/>
    </row>
    <row r="433">
      <c r="C433" s="12"/>
      <c r="D433" s="3"/>
      <c r="E433" s="112"/>
      <c r="F433" s="3"/>
      <c r="G433" s="13"/>
      <c r="H433" s="12"/>
      <c r="K433" s="12"/>
      <c r="M433" s="12"/>
      <c r="R433" s="218"/>
      <c r="S433" s="218"/>
      <c r="T433" s="218"/>
      <c r="U433" s="218"/>
    </row>
    <row r="434">
      <c r="C434" s="12"/>
      <c r="D434" s="3"/>
      <c r="E434" s="112"/>
      <c r="F434" s="3"/>
      <c r="G434" s="13"/>
      <c r="H434" s="12"/>
      <c r="K434" s="12"/>
      <c r="M434" s="12"/>
      <c r="R434" s="218"/>
      <c r="S434" s="218"/>
      <c r="T434" s="218"/>
      <c r="U434" s="218"/>
    </row>
    <row r="435">
      <c r="C435" s="12"/>
      <c r="D435" s="3"/>
      <c r="E435" s="112"/>
      <c r="F435" s="3"/>
      <c r="G435" s="13"/>
      <c r="H435" s="12"/>
      <c r="K435" s="12"/>
      <c r="M435" s="12"/>
      <c r="R435" s="218"/>
      <c r="S435" s="218"/>
      <c r="T435" s="218"/>
      <c r="U435" s="218"/>
    </row>
    <row r="436">
      <c r="C436" s="12"/>
      <c r="D436" s="3"/>
      <c r="E436" s="112"/>
      <c r="F436" s="3"/>
      <c r="G436" s="13"/>
      <c r="H436" s="12"/>
      <c r="K436" s="12"/>
      <c r="M436" s="12"/>
      <c r="R436" s="218"/>
      <c r="S436" s="218"/>
      <c r="T436" s="218"/>
      <c r="U436" s="218"/>
    </row>
    <row r="437">
      <c r="C437" s="12"/>
      <c r="D437" s="3"/>
      <c r="E437" s="112"/>
      <c r="F437" s="3"/>
      <c r="G437" s="13"/>
      <c r="H437" s="12"/>
      <c r="K437" s="12"/>
      <c r="M437" s="12"/>
      <c r="R437" s="218"/>
      <c r="S437" s="218"/>
      <c r="T437" s="218"/>
      <c r="U437" s="218"/>
    </row>
    <row r="438">
      <c r="C438" s="12"/>
      <c r="D438" s="3"/>
      <c r="E438" s="112"/>
      <c r="F438" s="3"/>
      <c r="G438" s="13"/>
      <c r="H438" s="12"/>
      <c r="K438" s="12"/>
      <c r="M438" s="12"/>
      <c r="R438" s="218"/>
      <c r="S438" s="218"/>
      <c r="T438" s="218"/>
      <c r="U438" s="218"/>
    </row>
    <row r="439">
      <c r="C439" s="12"/>
      <c r="D439" s="3"/>
      <c r="E439" s="112"/>
      <c r="F439" s="3"/>
      <c r="G439" s="13"/>
      <c r="H439" s="12"/>
      <c r="K439" s="12"/>
      <c r="M439" s="12"/>
      <c r="R439" s="218"/>
      <c r="S439" s="218"/>
      <c r="T439" s="218"/>
      <c r="U439" s="218"/>
    </row>
    <row r="440">
      <c r="C440" s="12"/>
      <c r="D440" s="3"/>
      <c r="E440" s="112"/>
      <c r="F440" s="3"/>
      <c r="G440" s="13"/>
      <c r="H440" s="12"/>
      <c r="K440" s="12"/>
      <c r="M440" s="12"/>
      <c r="R440" s="218"/>
      <c r="S440" s="218"/>
      <c r="T440" s="218"/>
      <c r="U440" s="218"/>
    </row>
    <row r="441">
      <c r="C441" s="12"/>
      <c r="D441" s="3"/>
      <c r="E441" s="112"/>
      <c r="F441" s="3"/>
      <c r="G441" s="13"/>
      <c r="H441" s="12"/>
      <c r="K441" s="12"/>
      <c r="M441" s="12"/>
      <c r="R441" s="218"/>
      <c r="S441" s="218"/>
      <c r="T441" s="218"/>
      <c r="U441" s="218"/>
    </row>
    <row r="442">
      <c r="C442" s="12"/>
      <c r="D442" s="3"/>
      <c r="E442" s="112"/>
      <c r="F442" s="3"/>
      <c r="G442" s="13"/>
      <c r="H442" s="12"/>
      <c r="K442" s="12"/>
      <c r="M442" s="12"/>
      <c r="R442" s="218"/>
      <c r="S442" s="218"/>
      <c r="T442" s="218"/>
      <c r="U442" s="218"/>
    </row>
    <row r="443">
      <c r="C443" s="12"/>
      <c r="D443" s="3"/>
      <c r="E443" s="112"/>
      <c r="F443" s="3"/>
      <c r="G443" s="13"/>
      <c r="H443" s="12"/>
      <c r="K443" s="12"/>
      <c r="M443" s="12"/>
      <c r="R443" s="218"/>
      <c r="S443" s="218"/>
      <c r="T443" s="218"/>
      <c r="U443" s="218"/>
    </row>
    <row r="444">
      <c r="C444" s="12"/>
      <c r="D444" s="3"/>
      <c r="E444" s="112"/>
      <c r="F444" s="3"/>
      <c r="G444" s="13"/>
      <c r="H444" s="12"/>
      <c r="K444" s="12"/>
      <c r="M444" s="12"/>
      <c r="R444" s="218"/>
      <c r="S444" s="218"/>
      <c r="T444" s="218"/>
      <c r="U444" s="218"/>
    </row>
    <row r="445">
      <c r="C445" s="12"/>
      <c r="D445" s="3"/>
      <c r="E445" s="112"/>
      <c r="F445" s="3"/>
      <c r="G445" s="13"/>
      <c r="H445" s="12"/>
      <c r="K445" s="12"/>
      <c r="M445" s="12"/>
      <c r="R445" s="218"/>
      <c r="S445" s="218"/>
      <c r="T445" s="218"/>
      <c r="U445" s="218"/>
    </row>
    <row r="446">
      <c r="C446" s="12"/>
      <c r="D446" s="3"/>
      <c r="E446" s="112"/>
      <c r="F446" s="3"/>
      <c r="G446" s="13"/>
      <c r="H446" s="12"/>
      <c r="K446" s="12"/>
      <c r="M446" s="12"/>
      <c r="R446" s="218"/>
      <c r="S446" s="218"/>
      <c r="T446" s="218"/>
      <c r="U446" s="218"/>
    </row>
    <row r="447">
      <c r="C447" s="12"/>
      <c r="D447" s="3"/>
      <c r="E447" s="112"/>
      <c r="F447" s="3"/>
      <c r="G447" s="13"/>
      <c r="H447" s="12"/>
      <c r="K447" s="12"/>
      <c r="M447" s="12"/>
      <c r="R447" s="218"/>
      <c r="S447" s="218"/>
      <c r="T447" s="218"/>
      <c r="U447" s="218"/>
    </row>
    <row r="448">
      <c r="C448" s="12"/>
      <c r="D448" s="3"/>
      <c r="E448" s="112"/>
      <c r="F448" s="3"/>
      <c r="G448" s="13"/>
      <c r="H448" s="12"/>
      <c r="K448" s="12"/>
      <c r="M448" s="12"/>
      <c r="R448" s="218"/>
      <c r="S448" s="218"/>
      <c r="T448" s="218"/>
      <c r="U448" s="218"/>
    </row>
    <row r="449">
      <c r="C449" s="12"/>
      <c r="D449" s="3"/>
      <c r="E449" s="112"/>
      <c r="F449" s="3"/>
      <c r="G449" s="13"/>
      <c r="H449" s="12"/>
      <c r="K449" s="12"/>
      <c r="M449" s="12"/>
      <c r="R449" s="218"/>
      <c r="S449" s="218"/>
      <c r="T449" s="218"/>
      <c r="U449" s="218"/>
    </row>
    <row r="450">
      <c r="C450" s="12"/>
      <c r="D450" s="3"/>
      <c r="E450" s="112"/>
      <c r="F450" s="3"/>
      <c r="G450" s="13"/>
      <c r="H450" s="12"/>
      <c r="K450" s="12"/>
      <c r="M450" s="12"/>
      <c r="R450" s="218"/>
      <c r="S450" s="218"/>
      <c r="T450" s="218"/>
      <c r="U450" s="218"/>
    </row>
    <row r="451">
      <c r="C451" s="12"/>
      <c r="D451" s="3"/>
      <c r="E451" s="112"/>
      <c r="F451" s="3"/>
      <c r="G451" s="13"/>
      <c r="H451" s="12"/>
      <c r="K451" s="12"/>
      <c r="M451" s="12"/>
      <c r="R451" s="218"/>
      <c r="S451" s="218"/>
      <c r="T451" s="218"/>
      <c r="U451" s="218"/>
    </row>
    <row r="452">
      <c r="C452" s="12"/>
      <c r="D452" s="3"/>
      <c r="E452" s="112"/>
      <c r="F452" s="3"/>
      <c r="G452" s="13"/>
      <c r="H452" s="12"/>
      <c r="K452" s="12"/>
      <c r="M452" s="12"/>
      <c r="R452" s="218"/>
      <c r="S452" s="218"/>
      <c r="T452" s="218"/>
      <c r="U452" s="218"/>
    </row>
    <row r="453">
      <c r="C453" s="12"/>
      <c r="D453" s="3"/>
      <c r="E453" s="112"/>
      <c r="F453" s="3"/>
      <c r="G453" s="13"/>
      <c r="H453" s="12"/>
      <c r="K453" s="12"/>
      <c r="M453" s="12"/>
      <c r="R453" s="218"/>
      <c r="S453" s="218"/>
      <c r="T453" s="218"/>
      <c r="U453" s="218"/>
    </row>
    <row r="454">
      <c r="C454" s="12"/>
      <c r="D454" s="3"/>
      <c r="E454" s="112"/>
      <c r="F454" s="3"/>
      <c r="G454" s="13"/>
      <c r="H454" s="12"/>
      <c r="K454" s="12"/>
      <c r="M454" s="12"/>
      <c r="R454" s="218"/>
      <c r="S454" s="218"/>
      <c r="T454" s="218"/>
      <c r="U454" s="218"/>
    </row>
    <row r="455">
      <c r="C455" s="12"/>
      <c r="D455" s="3"/>
      <c r="E455" s="112"/>
      <c r="F455" s="3"/>
      <c r="G455" s="13"/>
      <c r="H455" s="12"/>
      <c r="K455" s="12"/>
      <c r="M455" s="12"/>
      <c r="R455" s="218"/>
      <c r="S455" s="218"/>
      <c r="T455" s="218"/>
      <c r="U455" s="218"/>
    </row>
    <row r="456">
      <c r="C456" s="12"/>
      <c r="D456" s="3"/>
      <c r="E456" s="112"/>
      <c r="F456" s="3"/>
      <c r="G456" s="13"/>
      <c r="H456" s="12"/>
      <c r="K456" s="12"/>
      <c r="M456" s="12"/>
      <c r="R456" s="218"/>
      <c r="S456" s="218"/>
      <c r="T456" s="218"/>
      <c r="U456" s="218"/>
    </row>
    <row r="457">
      <c r="C457" s="12"/>
      <c r="D457" s="3"/>
      <c r="E457" s="112"/>
      <c r="F457" s="3"/>
      <c r="G457" s="13"/>
      <c r="H457" s="12"/>
      <c r="K457" s="12"/>
      <c r="M457" s="12"/>
      <c r="R457" s="218"/>
      <c r="S457" s="218"/>
      <c r="T457" s="218"/>
      <c r="U457" s="218"/>
    </row>
    <row r="458">
      <c r="C458" s="12"/>
      <c r="D458" s="3"/>
      <c r="E458" s="112"/>
      <c r="F458" s="3"/>
      <c r="G458" s="13"/>
      <c r="H458" s="12"/>
      <c r="K458" s="12"/>
      <c r="M458" s="12"/>
      <c r="R458" s="218"/>
      <c r="S458" s="218"/>
      <c r="T458" s="218"/>
      <c r="U458" s="218"/>
    </row>
    <row r="459">
      <c r="C459" s="12"/>
      <c r="D459" s="3"/>
      <c r="E459" s="112"/>
      <c r="F459" s="3"/>
      <c r="G459" s="13"/>
      <c r="H459" s="12"/>
      <c r="K459" s="12"/>
      <c r="M459" s="12"/>
      <c r="R459" s="218"/>
      <c r="S459" s="218"/>
      <c r="T459" s="218"/>
      <c r="U459" s="218"/>
    </row>
    <row r="460">
      <c r="C460" s="12"/>
      <c r="D460" s="3"/>
      <c r="E460" s="112"/>
      <c r="F460" s="3"/>
      <c r="G460" s="13"/>
      <c r="H460" s="12"/>
      <c r="K460" s="12"/>
      <c r="M460" s="12"/>
      <c r="R460" s="218"/>
      <c r="S460" s="218"/>
      <c r="T460" s="218"/>
      <c r="U460" s="218"/>
    </row>
    <row r="461">
      <c r="C461" s="12"/>
      <c r="D461" s="3"/>
      <c r="E461" s="112"/>
      <c r="F461" s="3"/>
      <c r="G461" s="13"/>
      <c r="H461" s="12"/>
      <c r="K461" s="12"/>
      <c r="M461" s="12"/>
      <c r="R461" s="218"/>
      <c r="S461" s="218"/>
      <c r="T461" s="218"/>
      <c r="U461" s="218"/>
    </row>
    <row r="462">
      <c r="C462" s="12"/>
      <c r="D462" s="3"/>
      <c r="E462" s="112"/>
      <c r="F462" s="3"/>
      <c r="G462" s="13"/>
      <c r="H462" s="12"/>
      <c r="K462" s="12"/>
      <c r="M462" s="12"/>
      <c r="R462" s="218"/>
      <c r="S462" s="218"/>
      <c r="T462" s="218"/>
      <c r="U462" s="218"/>
    </row>
    <row r="463">
      <c r="C463" s="12"/>
      <c r="D463" s="3"/>
      <c r="E463" s="112"/>
      <c r="F463" s="3"/>
      <c r="G463" s="13"/>
      <c r="H463" s="12"/>
      <c r="K463" s="12"/>
      <c r="M463" s="12"/>
      <c r="R463" s="218"/>
      <c r="S463" s="218"/>
      <c r="T463" s="218"/>
      <c r="U463" s="218"/>
    </row>
    <row r="464">
      <c r="C464" s="12"/>
      <c r="D464" s="3"/>
      <c r="E464" s="112"/>
      <c r="F464" s="3"/>
      <c r="G464" s="13"/>
      <c r="H464" s="12"/>
      <c r="K464" s="12"/>
      <c r="M464" s="12"/>
      <c r="R464" s="218"/>
      <c r="S464" s="218"/>
      <c r="T464" s="218"/>
      <c r="U464" s="218"/>
    </row>
    <row r="465">
      <c r="C465" s="12"/>
      <c r="D465" s="3"/>
      <c r="E465" s="112"/>
      <c r="F465" s="3"/>
      <c r="G465" s="13"/>
      <c r="H465" s="12"/>
      <c r="K465" s="12"/>
      <c r="M465" s="12"/>
      <c r="R465" s="218"/>
      <c r="S465" s="218"/>
      <c r="T465" s="218"/>
      <c r="U465" s="218"/>
    </row>
    <row r="466">
      <c r="C466" s="12"/>
      <c r="D466" s="3"/>
      <c r="E466" s="112"/>
      <c r="F466" s="3"/>
      <c r="G466" s="13"/>
      <c r="H466" s="12"/>
      <c r="K466" s="12"/>
      <c r="M466" s="12"/>
      <c r="R466" s="218"/>
      <c r="S466" s="218"/>
      <c r="T466" s="218"/>
      <c r="U466" s="218"/>
    </row>
    <row r="467">
      <c r="C467" s="12"/>
      <c r="D467" s="3"/>
      <c r="E467" s="112"/>
      <c r="F467" s="3"/>
      <c r="G467" s="13"/>
      <c r="H467" s="12"/>
      <c r="K467" s="12"/>
      <c r="M467" s="12"/>
      <c r="R467" s="218"/>
      <c r="S467" s="218"/>
      <c r="T467" s="218"/>
      <c r="U467" s="218"/>
    </row>
    <row r="468">
      <c r="C468" s="12"/>
      <c r="D468" s="3"/>
      <c r="E468" s="112"/>
      <c r="F468" s="3"/>
      <c r="G468" s="13"/>
      <c r="H468" s="12"/>
      <c r="K468" s="12"/>
      <c r="M468" s="12"/>
      <c r="R468" s="218"/>
      <c r="S468" s="218"/>
      <c r="T468" s="218"/>
      <c r="U468" s="218"/>
    </row>
    <row r="469">
      <c r="C469" s="12"/>
      <c r="D469" s="3"/>
      <c r="E469" s="112"/>
      <c r="F469" s="3"/>
      <c r="G469" s="13"/>
      <c r="H469" s="12"/>
      <c r="K469" s="12"/>
      <c r="M469" s="12"/>
      <c r="R469" s="218"/>
      <c r="S469" s="218"/>
      <c r="T469" s="218"/>
      <c r="U469" s="218"/>
    </row>
    <row r="470">
      <c r="C470" s="12"/>
      <c r="D470" s="3"/>
      <c r="E470" s="112"/>
      <c r="F470" s="3"/>
      <c r="G470" s="13"/>
      <c r="H470" s="12"/>
      <c r="K470" s="12"/>
      <c r="M470" s="12"/>
      <c r="R470" s="218"/>
      <c r="S470" s="218"/>
      <c r="T470" s="218"/>
      <c r="U470" s="218"/>
    </row>
    <row r="471">
      <c r="C471" s="12"/>
      <c r="D471" s="3"/>
      <c r="E471" s="112"/>
      <c r="F471" s="3"/>
      <c r="G471" s="13"/>
      <c r="H471" s="12"/>
      <c r="K471" s="12"/>
      <c r="M471" s="12"/>
      <c r="R471" s="218"/>
      <c r="S471" s="218"/>
      <c r="T471" s="218"/>
      <c r="U471" s="218"/>
    </row>
    <row r="472">
      <c r="C472" s="12"/>
      <c r="D472" s="3"/>
      <c r="E472" s="112"/>
      <c r="F472" s="3"/>
      <c r="G472" s="13"/>
      <c r="H472" s="12"/>
      <c r="K472" s="12"/>
      <c r="M472" s="12"/>
      <c r="R472" s="218"/>
      <c r="S472" s="218"/>
      <c r="T472" s="218"/>
      <c r="U472" s="218"/>
    </row>
    <row r="473">
      <c r="C473" s="12"/>
      <c r="D473" s="3"/>
      <c r="E473" s="112"/>
      <c r="F473" s="3"/>
      <c r="G473" s="13"/>
      <c r="H473" s="12"/>
      <c r="K473" s="12"/>
      <c r="M473" s="12"/>
      <c r="R473" s="218"/>
      <c r="S473" s="218"/>
      <c r="T473" s="218"/>
      <c r="U473" s="218"/>
    </row>
    <row r="474">
      <c r="C474" s="12"/>
      <c r="D474" s="3"/>
      <c r="E474" s="112"/>
      <c r="F474" s="3"/>
      <c r="G474" s="13"/>
      <c r="H474" s="12"/>
      <c r="K474" s="12"/>
      <c r="M474" s="12"/>
      <c r="R474" s="218"/>
      <c r="S474" s="218"/>
      <c r="T474" s="218"/>
      <c r="U474" s="218"/>
    </row>
    <row r="475">
      <c r="C475" s="12"/>
      <c r="D475" s="3"/>
      <c r="E475" s="112"/>
      <c r="F475" s="3"/>
      <c r="G475" s="13"/>
      <c r="H475" s="12"/>
      <c r="K475" s="12"/>
      <c r="M475" s="12"/>
      <c r="R475" s="218"/>
      <c r="S475" s="218"/>
      <c r="T475" s="218"/>
      <c r="U475" s="218"/>
    </row>
    <row r="476">
      <c r="C476" s="12"/>
      <c r="D476" s="3"/>
      <c r="E476" s="112"/>
      <c r="F476" s="3"/>
      <c r="G476" s="13"/>
      <c r="H476" s="12"/>
      <c r="K476" s="12"/>
      <c r="M476" s="12"/>
      <c r="R476" s="218"/>
      <c r="S476" s="218"/>
      <c r="T476" s="218"/>
      <c r="U476" s="218"/>
    </row>
    <row r="477">
      <c r="C477" s="12"/>
      <c r="D477" s="3"/>
      <c r="E477" s="112"/>
      <c r="F477" s="3"/>
      <c r="G477" s="13"/>
      <c r="H477" s="12"/>
      <c r="K477" s="12"/>
      <c r="M477" s="12"/>
      <c r="R477" s="218"/>
      <c r="S477" s="218"/>
      <c r="T477" s="218"/>
      <c r="U477" s="218"/>
    </row>
    <row r="478">
      <c r="C478" s="12"/>
      <c r="D478" s="3"/>
      <c r="E478" s="112"/>
      <c r="F478" s="3"/>
      <c r="G478" s="13"/>
      <c r="H478" s="12"/>
      <c r="K478" s="12"/>
      <c r="M478" s="12"/>
      <c r="R478" s="218"/>
      <c r="S478" s="218"/>
      <c r="T478" s="218"/>
      <c r="U478" s="218"/>
    </row>
    <row r="479">
      <c r="C479" s="12"/>
      <c r="D479" s="3"/>
      <c r="E479" s="112"/>
      <c r="F479" s="3"/>
      <c r="G479" s="13"/>
      <c r="H479" s="12"/>
      <c r="K479" s="12"/>
      <c r="M479" s="12"/>
      <c r="R479" s="218"/>
      <c r="S479" s="218"/>
      <c r="T479" s="218"/>
      <c r="U479" s="218"/>
    </row>
    <row r="480">
      <c r="C480" s="12"/>
      <c r="D480" s="3"/>
      <c r="E480" s="112"/>
      <c r="F480" s="3"/>
      <c r="G480" s="13"/>
      <c r="H480" s="12"/>
      <c r="K480" s="12"/>
      <c r="M480" s="12"/>
      <c r="R480" s="218"/>
      <c r="S480" s="218"/>
      <c r="T480" s="218"/>
      <c r="U480" s="218"/>
    </row>
    <row r="481">
      <c r="C481" s="12"/>
      <c r="D481" s="3"/>
      <c r="E481" s="112"/>
      <c r="F481" s="3"/>
      <c r="G481" s="13"/>
      <c r="H481" s="12"/>
      <c r="K481" s="12"/>
      <c r="M481" s="12"/>
      <c r="R481" s="218"/>
      <c r="S481" s="218"/>
      <c r="T481" s="218"/>
      <c r="U481" s="218"/>
    </row>
    <row r="482">
      <c r="C482" s="12"/>
      <c r="D482" s="3"/>
      <c r="E482" s="112"/>
      <c r="F482" s="3"/>
      <c r="G482" s="13"/>
      <c r="H482" s="12"/>
      <c r="K482" s="12"/>
      <c r="M482" s="12"/>
      <c r="R482" s="218"/>
      <c r="S482" s="218"/>
      <c r="T482" s="218"/>
      <c r="U482" s="218"/>
    </row>
    <row r="483">
      <c r="C483" s="12"/>
      <c r="D483" s="3"/>
      <c r="E483" s="112"/>
      <c r="F483" s="3"/>
      <c r="G483" s="13"/>
      <c r="H483" s="12"/>
      <c r="K483" s="12"/>
      <c r="M483" s="12"/>
      <c r="R483" s="218"/>
      <c r="S483" s="218"/>
      <c r="T483" s="218"/>
      <c r="U483" s="218"/>
    </row>
    <row r="484">
      <c r="C484" s="12"/>
      <c r="D484" s="3"/>
      <c r="E484" s="112"/>
      <c r="F484" s="3"/>
      <c r="G484" s="13"/>
      <c r="H484" s="12"/>
      <c r="K484" s="12"/>
      <c r="M484" s="12"/>
      <c r="R484" s="218"/>
      <c r="S484" s="218"/>
      <c r="T484" s="218"/>
      <c r="U484" s="218"/>
    </row>
    <row r="485">
      <c r="C485" s="12"/>
      <c r="D485" s="3"/>
      <c r="E485" s="112"/>
      <c r="F485" s="3"/>
      <c r="G485" s="13"/>
      <c r="H485" s="12"/>
      <c r="K485" s="12"/>
      <c r="M485" s="12"/>
      <c r="R485" s="218"/>
      <c r="S485" s="218"/>
      <c r="T485" s="218"/>
      <c r="U485" s="218"/>
    </row>
    <row r="486">
      <c r="C486" s="12"/>
      <c r="D486" s="3"/>
      <c r="E486" s="112"/>
      <c r="F486" s="3"/>
      <c r="G486" s="13"/>
      <c r="H486" s="12"/>
      <c r="K486" s="12"/>
      <c r="M486" s="12"/>
      <c r="R486" s="218"/>
      <c r="S486" s="218"/>
      <c r="T486" s="218"/>
      <c r="U486" s="218"/>
    </row>
    <row r="487">
      <c r="C487" s="12"/>
      <c r="D487" s="3"/>
      <c r="E487" s="112"/>
      <c r="F487" s="3"/>
      <c r="G487" s="13"/>
      <c r="H487" s="12"/>
      <c r="K487" s="12"/>
      <c r="M487" s="12"/>
      <c r="R487" s="218"/>
      <c r="S487" s="218"/>
      <c r="T487" s="218"/>
      <c r="U487" s="218"/>
    </row>
    <row r="488">
      <c r="C488" s="12"/>
      <c r="D488" s="3"/>
      <c r="E488" s="112"/>
      <c r="F488" s="3"/>
      <c r="G488" s="13"/>
      <c r="H488" s="12"/>
      <c r="K488" s="12"/>
      <c r="M488" s="12"/>
      <c r="R488" s="218"/>
      <c r="S488" s="218"/>
      <c r="T488" s="218"/>
      <c r="U488" s="218"/>
    </row>
    <row r="489">
      <c r="C489" s="12"/>
      <c r="D489" s="3"/>
      <c r="E489" s="112"/>
      <c r="F489" s="3"/>
      <c r="G489" s="13"/>
      <c r="H489" s="12"/>
      <c r="K489" s="12"/>
      <c r="M489" s="12"/>
      <c r="R489" s="218"/>
      <c r="S489" s="218"/>
      <c r="T489" s="218"/>
      <c r="U489" s="218"/>
    </row>
    <row r="490">
      <c r="C490" s="12"/>
      <c r="D490" s="3"/>
      <c r="E490" s="112"/>
      <c r="F490" s="3"/>
      <c r="G490" s="13"/>
      <c r="H490" s="12"/>
      <c r="K490" s="12"/>
      <c r="M490" s="12"/>
      <c r="R490" s="218"/>
      <c r="S490" s="218"/>
      <c r="T490" s="218"/>
      <c r="U490" s="218"/>
    </row>
    <row r="491">
      <c r="C491" s="12"/>
      <c r="D491" s="3"/>
      <c r="E491" s="112"/>
      <c r="F491" s="3"/>
      <c r="G491" s="13"/>
      <c r="H491" s="12"/>
      <c r="K491" s="12"/>
      <c r="M491" s="12"/>
      <c r="R491" s="218"/>
      <c r="S491" s="218"/>
      <c r="T491" s="218"/>
      <c r="U491" s="218"/>
    </row>
    <row r="492">
      <c r="C492" s="12"/>
      <c r="D492" s="3"/>
      <c r="E492" s="112"/>
      <c r="F492" s="3"/>
      <c r="G492" s="13"/>
      <c r="H492" s="12"/>
      <c r="K492" s="12"/>
      <c r="M492" s="12"/>
      <c r="R492" s="218"/>
      <c r="S492" s="218"/>
      <c r="T492" s="218"/>
      <c r="U492" s="218"/>
    </row>
    <row r="493">
      <c r="C493" s="12"/>
      <c r="D493" s="3"/>
      <c r="E493" s="112"/>
      <c r="F493" s="3"/>
      <c r="G493" s="13"/>
      <c r="H493" s="12"/>
      <c r="K493" s="12"/>
      <c r="M493" s="12"/>
      <c r="R493" s="218"/>
      <c r="S493" s="218"/>
      <c r="T493" s="218"/>
      <c r="U493" s="218"/>
    </row>
    <row r="494">
      <c r="C494" s="12"/>
      <c r="D494" s="3"/>
      <c r="E494" s="112"/>
      <c r="F494" s="3"/>
      <c r="G494" s="13"/>
      <c r="H494" s="12"/>
      <c r="K494" s="12"/>
      <c r="M494" s="12"/>
      <c r="R494" s="218"/>
      <c r="S494" s="218"/>
      <c r="T494" s="218"/>
      <c r="U494" s="218"/>
    </row>
    <row r="495">
      <c r="C495" s="12"/>
      <c r="D495" s="3"/>
      <c r="E495" s="112"/>
      <c r="F495" s="3"/>
      <c r="G495" s="13"/>
      <c r="H495" s="12"/>
      <c r="K495" s="12"/>
      <c r="M495" s="12"/>
      <c r="R495" s="218"/>
      <c r="S495" s="218"/>
      <c r="T495" s="218"/>
      <c r="U495" s="218"/>
    </row>
    <row r="496">
      <c r="C496" s="12"/>
      <c r="D496" s="3"/>
      <c r="E496" s="112"/>
      <c r="F496" s="3"/>
      <c r="G496" s="13"/>
      <c r="H496" s="12"/>
      <c r="K496" s="12"/>
      <c r="M496" s="12"/>
      <c r="R496" s="218"/>
      <c r="S496" s="218"/>
      <c r="T496" s="218"/>
      <c r="U496" s="218"/>
    </row>
    <row r="497">
      <c r="C497" s="12"/>
      <c r="D497" s="3"/>
      <c r="E497" s="112"/>
      <c r="F497" s="3"/>
      <c r="G497" s="13"/>
      <c r="H497" s="12"/>
      <c r="K497" s="12"/>
      <c r="M497" s="12"/>
      <c r="R497" s="218"/>
      <c r="S497" s="218"/>
      <c r="T497" s="218"/>
      <c r="U497" s="218"/>
    </row>
    <row r="498">
      <c r="C498" s="12"/>
      <c r="D498" s="3"/>
      <c r="E498" s="112"/>
      <c r="F498" s="3"/>
      <c r="G498" s="13"/>
      <c r="H498" s="12"/>
      <c r="K498" s="12"/>
      <c r="M498" s="12"/>
      <c r="R498" s="218"/>
      <c r="S498" s="218"/>
      <c r="T498" s="218"/>
      <c r="U498" s="218"/>
    </row>
    <row r="499">
      <c r="C499" s="12"/>
      <c r="D499" s="3"/>
      <c r="E499" s="112"/>
      <c r="F499" s="3"/>
      <c r="G499" s="13"/>
      <c r="H499" s="12"/>
      <c r="K499" s="12"/>
      <c r="M499" s="12"/>
      <c r="R499" s="218"/>
      <c r="S499" s="218"/>
      <c r="T499" s="218"/>
      <c r="U499" s="218"/>
    </row>
    <row r="500">
      <c r="C500" s="12"/>
      <c r="D500" s="3"/>
      <c r="E500" s="112"/>
      <c r="F500" s="3"/>
      <c r="G500" s="13"/>
      <c r="H500" s="12"/>
      <c r="K500" s="12"/>
      <c r="M500" s="12"/>
      <c r="R500" s="218"/>
      <c r="S500" s="218"/>
      <c r="T500" s="218"/>
      <c r="U500" s="218"/>
    </row>
    <row r="501">
      <c r="C501" s="12"/>
      <c r="D501" s="3"/>
      <c r="E501" s="112"/>
      <c r="F501" s="3"/>
      <c r="G501" s="13"/>
      <c r="H501" s="12"/>
      <c r="K501" s="12"/>
      <c r="M501" s="12"/>
      <c r="R501" s="218"/>
      <c r="S501" s="218"/>
      <c r="T501" s="218"/>
      <c r="U501" s="218"/>
    </row>
    <row r="502">
      <c r="C502" s="12"/>
      <c r="D502" s="3"/>
      <c r="E502" s="112"/>
      <c r="F502" s="3"/>
      <c r="G502" s="13"/>
      <c r="H502" s="12"/>
      <c r="K502" s="12"/>
      <c r="M502" s="12"/>
      <c r="R502" s="218"/>
      <c r="S502" s="218"/>
      <c r="T502" s="218"/>
      <c r="U502" s="218"/>
    </row>
    <row r="503">
      <c r="C503" s="12"/>
      <c r="D503" s="3"/>
      <c r="E503" s="112"/>
      <c r="F503" s="3"/>
      <c r="G503" s="13"/>
      <c r="H503" s="12"/>
      <c r="K503" s="12"/>
      <c r="M503" s="12"/>
      <c r="R503" s="218"/>
      <c r="S503" s="218"/>
      <c r="T503" s="218"/>
      <c r="U503" s="218"/>
    </row>
    <row r="504">
      <c r="C504" s="12"/>
      <c r="D504" s="3"/>
      <c r="E504" s="112"/>
      <c r="F504" s="3"/>
      <c r="G504" s="13"/>
      <c r="H504" s="12"/>
      <c r="K504" s="12"/>
      <c r="M504" s="12"/>
      <c r="R504" s="218"/>
      <c r="S504" s="218"/>
      <c r="T504" s="218"/>
      <c r="U504" s="218"/>
    </row>
    <row r="505">
      <c r="C505" s="12"/>
      <c r="D505" s="3"/>
      <c r="E505" s="112"/>
      <c r="F505" s="3"/>
      <c r="G505" s="13"/>
      <c r="H505" s="12"/>
      <c r="K505" s="12"/>
      <c r="M505" s="12"/>
      <c r="R505" s="218"/>
      <c r="S505" s="218"/>
      <c r="T505" s="218"/>
      <c r="U505" s="218"/>
    </row>
    <row r="506">
      <c r="C506" s="12"/>
      <c r="D506" s="3"/>
      <c r="E506" s="112"/>
      <c r="F506" s="3"/>
      <c r="G506" s="13"/>
      <c r="H506" s="12"/>
      <c r="K506" s="12"/>
      <c r="M506" s="12"/>
      <c r="R506" s="218"/>
      <c r="S506" s="218"/>
      <c r="T506" s="218"/>
      <c r="U506" s="218"/>
    </row>
    <row r="507">
      <c r="C507" s="12"/>
      <c r="D507" s="3"/>
      <c r="E507" s="112"/>
      <c r="F507" s="3"/>
      <c r="G507" s="13"/>
      <c r="H507" s="12"/>
      <c r="K507" s="12"/>
      <c r="M507" s="12"/>
      <c r="R507" s="218"/>
      <c r="S507" s="218"/>
      <c r="T507" s="218"/>
      <c r="U507" s="218"/>
    </row>
    <row r="508">
      <c r="C508" s="12"/>
      <c r="D508" s="3"/>
      <c r="E508" s="112"/>
      <c r="F508" s="3"/>
      <c r="G508" s="13"/>
      <c r="H508" s="12"/>
      <c r="K508" s="12"/>
      <c r="M508" s="12"/>
      <c r="R508" s="218"/>
      <c r="S508" s="218"/>
      <c r="T508" s="218"/>
      <c r="U508" s="218"/>
    </row>
    <row r="509">
      <c r="C509" s="12"/>
      <c r="D509" s="3"/>
      <c r="E509" s="112"/>
      <c r="F509" s="3"/>
      <c r="G509" s="13"/>
      <c r="H509" s="12"/>
      <c r="K509" s="12"/>
      <c r="M509" s="12"/>
      <c r="R509" s="218"/>
      <c r="S509" s="218"/>
      <c r="T509" s="218"/>
      <c r="U509" s="218"/>
    </row>
    <row r="510">
      <c r="C510" s="12"/>
      <c r="D510" s="3"/>
      <c r="E510" s="112"/>
      <c r="F510" s="3"/>
      <c r="G510" s="13"/>
      <c r="H510" s="12"/>
      <c r="K510" s="12"/>
      <c r="M510" s="12"/>
      <c r="R510" s="218"/>
      <c r="S510" s="218"/>
      <c r="T510" s="218"/>
      <c r="U510" s="218"/>
    </row>
    <row r="511">
      <c r="C511" s="12"/>
      <c r="D511" s="3"/>
      <c r="E511" s="112"/>
      <c r="F511" s="3"/>
      <c r="G511" s="13"/>
      <c r="H511" s="12"/>
      <c r="K511" s="12"/>
      <c r="M511" s="12"/>
      <c r="R511" s="218"/>
      <c r="S511" s="218"/>
      <c r="T511" s="218"/>
      <c r="U511" s="218"/>
    </row>
    <row r="512">
      <c r="C512" s="12"/>
      <c r="D512" s="3"/>
      <c r="E512" s="112"/>
      <c r="F512" s="3"/>
      <c r="G512" s="13"/>
      <c r="H512" s="12"/>
      <c r="K512" s="12"/>
      <c r="M512" s="12"/>
      <c r="R512" s="218"/>
      <c r="S512" s="218"/>
      <c r="T512" s="218"/>
      <c r="U512" s="218"/>
    </row>
    <row r="513">
      <c r="C513" s="12"/>
      <c r="D513" s="3"/>
      <c r="E513" s="112"/>
      <c r="F513" s="3"/>
      <c r="G513" s="13"/>
      <c r="H513" s="12"/>
      <c r="K513" s="12"/>
      <c r="M513" s="12"/>
      <c r="R513" s="218"/>
      <c r="S513" s="218"/>
      <c r="T513" s="218"/>
      <c r="U513" s="218"/>
    </row>
    <row r="514">
      <c r="C514" s="12"/>
      <c r="D514" s="3"/>
      <c r="E514" s="112"/>
      <c r="F514" s="3"/>
      <c r="G514" s="13"/>
      <c r="H514" s="12"/>
      <c r="K514" s="12"/>
      <c r="M514" s="12"/>
      <c r="R514" s="218"/>
      <c r="S514" s="218"/>
      <c r="T514" s="218"/>
      <c r="U514" s="218"/>
    </row>
    <row r="515">
      <c r="C515" s="12"/>
      <c r="D515" s="3"/>
      <c r="E515" s="112"/>
      <c r="F515" s="3"/>
      <c r="G515" s="13"/>
      <c r="H515" s="12"/>
      <c r="K515" s="12"/>
      <c r="M515" s="12"/>
      <c r="R515" s="218"/>
      <c r="S515" s="218"/>
      <c r="T515" s="218"/>
      <c r="U515" s="218"/>
    </row>
    <row r="516">
      <c r="C516" s="12"/>
      <c r="D516" s="3"/>
      <c r="E516" s="112"/>
      <c r="F516" s="3"/>
      <c r="G516" s="13"/>
      <c r="H516" s="12"/>
      <c r="K516" s="12"/>
      <c r="M516" s="12"/>
      <c r="R516" s="218"/>
      <c r="S516" s="218"/>
      <c r="T516" s="218"/>
      <c r="U516" s="218"/>
    </row>
    <row r="517">
      <c r="C517" s="12"/>
      <c r="D517" s="3"/>
      <c r="E517" s="112"/>
      <c r="F517" s="3"/>
      <c r="G517" s="13"/>
      <c r="H517" s="12"/>
      <c r="K517" s="12"/>
      <c r="M517" s="12"/>
      <c r="R517" s="218"/>
      <c r="S517" s="218"/>
      <c r="T517" s="218"/>
      <c r="U517" s="218"/>
    </row>
    <row r="518">
      <c r="C518" s="12"/>
      <c r="D518" s="3"/>
      <c r="E518" s="112"/>
      <c r="F518" s="3"/>
      <c r="G518" s="13"/>
      <c r="H518" s="12"/>
      <c r="K518" s="12"/>
      <c r="M518" s="12"/>
      <c r="R518" s="218"/>
      <c r="S518" s="218"/>
      <c r="T518" s="218"/>
      <c r="U518" s="218"/>
    </row>
    <row r="519">
      <c r="C519" s="12"/>
      <c r="D519" s="3"/>
      <c r="E519" s="112"/>
      <c r="F519" s="3"/>
      <c r="G519" s="13"/>
      <c r="H519" s="12"/>
      <c r="K519" s="12"/>
      <c r="M519" s="12"/>
      <c r="R519" s="218"/>
      <c r="S519" s="218"/>
      <c r="T519" s="218"/>
      <c r="U519" s="218"/>
    </row>
    <row r="520">
      <c r="C520" s="12"/>
      <c r="D520" s="3"/>
      <c r="E520" s="112"/>
      <c r="F520" s="3"/>
      <c r="G520" s="13"/>
      <c r="H520" s="12"/>
      <c r="K520" s="12"/>
      <c r="M520" s="12"/>
      <c r="R520" s="218"/>
      <c r="S520" s="218"/>
      <c r="T520" s="218"/>
      <c r="U520" s="218"/>
    </row>
    <row r="521">
      <c r="C521" s="12"/>
      <c r="D521" s="3"/>
      <c r="E521" s="112"/>
      <c r="F521" s="3"/>
      <c r="G521" s="13"/>
      <c r="H521" s="12"/>
      <c r="K521" s="12"/>
      <c r="M521" s="12"/>
      <c r="R521" s="218"/>
      <c r="S521" s="218"/>
      <c r="T521" s="218"/>
      <c r="U521" s="218"/>
    </row>
    <row r="522">
      <c r="C522" s="12"/>
      <c r="D522" s="3"/>
      <c r="E522" s="112"/>
      <c r="F522" s="3"/>
      <c r="G522" s="13"/>
      <c r="H522" s="12"/>
      <c r="K522" s="12"/>
      <c r="M522" s="12"/>
      <c r="R522" s="218"/>
      <c r="S522" s="218"/>
      <c r="T522" s="218"/>
      <c r="U522" s="218"/>
    </row>
    <row r="523">
      <c r="C523" s="12"/>
      <c r="D523" s="3"/>
      <c r="E523" s="112"/>
      <c r="F523" s="3"/>
      <c r="G523" s="13"/>
      <c r="H523" s="12"/>
      <c r="K523" s="12"/>
      <c r="M523" s="12"/>
      <c r="R523" s="218"/>
      <c r="S523" s="218"/>
      <c r="T523" s="218"/>
      <c r="U523" s="218"/>
    </row>
    <row r="524">
      <c r="C524" s="12"/>
      <c r="D524" s="3"/>
      <c r="E524" s="112"/>
      <c r="F524" s="3"/>
      <c r="G524" s="13"/>
      <c r="H524" s="12"/>
      <c r="K524" s="12"/>
      <c r="M524" s="12"/>
      <c r="R524" s="218"/>
      <c r="S524" s="218"/>
      <c r="T524" s="218"/>
      <c r="U524" s="218"/>
    </row>
    <row r="525">
      <c r="C525" s="12"/>
      <c r="D525" s="3"/>
      <c r="E525" s="112"/>
      <c r="F525" s="3"/>
      <c r="G525" s="13"/>
      <c r="H525" s="12"/>
      <c r="K525" s="12"/>
      <c r="M525" s="12"/>
      <c r="R525" s="218"/>
      <c r="S525" s="218"/>
      <c r="T525" s="218"/>
      <c r="U525" s="218"/>
    </row>
    <row r="526">
      <c r="C526" s="12"/>
      <c r="D526" s="3"/>
      <c r="E526" s="112"/>
      <c r="F526" s="3"/>
      <c r="G526" s="13"/>
      <c r="H526" s="12"/>
      <c r="K526" s="12"/>
      <c r="M526" s="12"/>
      <c r="R526" s="218"/>
      <c r="S526" s="218"/>
      <c r="T526" s="218"/>
      <c r="U526" s="218"/>
    </row>
    <row r="527">
      <c r="C527" s="12"/>
      <c r="D527" s="3"/>
      <c r="E527" s="112"/>
      <c r="F527" s="3"/>
      <c r="G527" s="13"/>
      <c r="H527" s="12"/>
      <c r="K527" s="12"/>
      <c r="M527" s="12"/>
      <c r="R527" s="218"/>
      <c r="S527" s="218"/>
      <c r="T527" s="218"/>
      <c r="U527" s="218"/>
    </row>
    <row r="528">
      <c r="C528" s="12"/>
      <c r="D528" s="3"/>
      <c r="E528" s="112"/>
      <c r="F528" s="3"/>
      <c r="G528" s="13"/>
      <c r="H528" s="12"/>
      <c r="K528" s="12"/>
      <c r="M528" s="12"/>
      <c r="R528" s="218"/>
      <c r="S528" s="218"/>
      <c r="T528" s="218"/>
      <c r="U528" s="218"/>
    </row>
    <row r="529">
      <c r="C529" s="12"/>
      <c r="D529" s="3"/>
      <c r="E529" s="112"/>
      <c r="F529" s="3"/>
      <c r="G529" s="13"/>
      <c r="H529" s="12"/>
      <c r="K529" s="12"/>
      <c r="M529" s="12"/>
      <c r="R529" s="218"/>
      <c r="S529" s="218"/>
      <c r="T529" s="218"/>
      <c r="U529" s="218"/>
    </row>
    <row r="530">
      <c r="C530" s="12"/>
      <c r="D530" s="3"/>
      <c r="E530" s="112"/>
      <c r="F530" s="3"/>
      <c r="G530" s="13"/>
      <c r="H530" s="12"/>
      <c r="K530" s="12"/>
      <c r="M530" s="12"/>
      <c r="R530" s="218"/>
      <c r="S530" s="218"/>
      <c r="T530" s="218"/>
      <c r="U530" s="218"/>
    </row>
    <row r="531">
      <c r="C531" s="12"/>
      <c r="D531" s="3"/>
      <c r="E531" s="112"/>
      <c r="F531" s="3"/>
      <c r="G531" s="13"/>
      <c r="H531" s="12"/>
      <c r="K531" s="12"/>
      <c r="M531" s="12"/>
      <c r="R531" s="218"/>
      <c r="S531" s="218"/>
      <c r="T531" s="218"/>
      <c r="U531" s="218"/>
    </row>
    <row r="532">
      <c r="C532" s="12"/>
      <c r="D532" s="3"/>
      <c r="E532" s="112"/>
      <c r="F532" s="3"/>
      <c r="G532" s="13"/>
      <c r="H532" s="12"/>
      <c r="K532" s="12"/>
      <c r="M532" s="12"/>
      <c r="R532" s="218"/>
      <c r="S532" s="218"/>
      <c r="T532" s="218"/>
      <c r="U532" s="218"/>
    </row>
    <row r="533">
      <c r="C533" s="12"/>
      <c r="D533" s="3"/>
      <c r="E533" s="112"/>
      <c r="F533" s="3"/>
      <c r="G533" s="13"/>
      <c r="H533" s="12"/>
      <c r="K533" s="12"/>
      <c r="M533" s="12"/>
      <c r="R533" s="218"/>
      <c r="S533" s="218"/>
      <c r="T533" s="218"/>
      <c r="U533" s="218"/>
    </row>
    <row r="534">
      <c r="C534" s="12"/>
      <c r="D534" s="3"/>
      <c r="E534" s="112"/>
      <c r="F534" s="3"/>
      <c r="G534" s="13"/>
      <c r="H534" s="12"/>
      <c r="K534" s="12"/>
      <c r="M534" s="12"/>
      <c r="R534" s="218"/>
      <c r="S534" s="218"/>
      <c r="T534" s="218"/>
      <c r="U534" s="218"/>
    </row>
    <row r="535">
      <c r="C535" s="12"/>
      <c r="D535" s="3"/>
      <c r="E535" s="112"/>
      <c r="F535" s="3"/>
      <c r="G535" s="13"/>
      <c r="H535" s="12"/>
      <c r="K535" s="12"/>
      <c r="M535" s="12"/>
      <c r="R535" s="218"/>
      <c r="S535" s="218"/>
      <c r="T535" s="218"/>
      <c r="U535" s="218"/>
    </row>
    <row r="536">
      <c r="C536" s="12"/>
      <c r="D536" s="3"/>
      <c r="E536" s="112"/>
      <c r="F536" s="3"/>
      <c r="G536" s="13"/>
      <c r="H536" s="12"/>
      <c r="K536" s="12"/>
      <c r="M536" s="12"/>
      <c r="R536" s="218"/>
      <c r="S536" s="218"/>
      <c r="T536" s="218"/>
      <c r="U536" s="218"/>
    </row>
    <row r="537">
      <c r="C537" s="12"/>
      <c r="D537" s="3"/>
      <c r="E537" s="112"/>
      <c r="F537" s="3"/>
      <c r="G537" s="13"/>
      <c r="H537" s="12"/>
      <c r="K537" s="12"/>
      <c r="M537" s="12"/>
      <c r="R537" s="218"/>
      <c r="S537" s="218"/>
      <c r="T537" s="218"/>
      <c r="U537" s="218"/>
    </row>
    <row r="538">
      <c r="C538" s="12"/>
      <c r="D538" s="3"/>
      <c r="E538" s="112"/>
      <c r="F538" s="3"/>
      <c r="G538" s="13"/>
      <c r="H538" s="12"/>
      <c r="K538" s="12"/>
      <c r="M538" s="12"/>
      <c r="R538" s="218"/>
      <c r="S538" s="218"/>
      <c r="T538" s="218"/>
      <c r="U538" s="218"/>
    </row>
    <row r="539">
      <c r="C539" s="12"/>
      <c r="D539" s="3"/>
      <c r="E539" s="112"/>
      <c r="F539" s="3"/>
      <c r="G539" s="13"/>
      <c r="H539" s="12"/>
      <c r="K539" s="12"/>
      <c r="M539" s="12"/>
      <c r="R539" s="218"/>
      <c r="S539" s="218"/>
      <c r="T539" s="218"/>
      <c r="U539" s="218"/>
    </row>
    <row r="540">
      <c r="C540" s="12"/>
      <c r="D540" s="3"/>
      <c r="E540" s="112"/>
      <c r="F540" s="3"/>
      <c r="G540" s="13"/>
      <c r="H540" s="12"/>
      <c r="K540" s="12"/>
      <c r="M540" s="12"/>
      <c r="R540" s="218"/>
      <c r="S540" s="218"/>
      <c r="T540" s="218"/>
      <c r="U540" s="218"/>
    </row>
    <row r="541">
      <c r="C541" s="12"/>
      <c r="D541" s="3"/>
      <c r="E541" s="112"/>
      <c r="F541" s="3"/>
      <c r="G541" s="13"/>
      <c r="H541" s="12"/>
      <c r="K541" s="12"/>
      <c r="M541" s="12"/>
      <c r="R541" s="218"/>
      <c r="S541" s="218"/>
      <c r="T541" s="218"/>
      <c r="U541" s="218"/>
    </row>
    <row r="542">
      <c r="C542" s="12"/>
      <c r="D542" s="3"/>
      <c r="E542" s="112"/>
      <c r="F542" s="3"/>
      <c r="G542" s="13"/>
      <c r="H542" s="12"/>
      <c r="K542" s="12"/>
      <c r="M542" s="12"/>
      <c r="R542" s="218"/>
      <c r="S542" s="218"/>
      <c r="T542" s="218"/>
      <c r="U542" s="218"/>
    </row>
    <row r="543">
      <c r="C543" s="12"/>
      <c r="D543" s="3"/>
      <c r="E543" s="112"/>
      <c r="F543" s="3"/>
      <c r="G543" s="13"/>
      <c r="H543" s="12"/>
      <c r="K543" s="12"/>
      <c r="M543" s="12"/>
      <c r="R543" s="218"/>
      <c r="S543" s="218"/>
      <c r="T543" s="218"/>
      <c r="U543" s="218"/>
    </row>
    <row r="544">
      <c r="C544" s="12"/>
      <c r="D544" s="3"/>
      <c r="E544" s="112"/>
      <c r="F544" s="3"/>
      <c r="G544" s="13"/>
      <c r="H544" s="12"/>
      <c r="K544" s="12"/>
      <c r="M544" s="12"/>
      <c r="R544" s="218"/>
      <c r="S544" s="218"/>
      <c r="T544" s="218"/>
      <c r="U544" s="218"/>
    </row>
    <row r="545">
      <c r="C545" s="12"/>
      <c r="D545" s="3"/>
      <c r="E545" s="112"/>
      <c r="F545" s="3"/>
      <c r="G545" s="13"/>
      <c r="H545" s="12"/>
      <c r="K545" s="12"/>
      <c r="M545" s="12"/>
      <c r="R545" s="218"/>
      <c r="S545" s="218"/>
      <c r="T545" s="218"/>
      <c r="U545" s="218"/>
    </row>
    <row r="546">
      <c r="C546" s="12"/>
      <c r="D546" s="3"/>
      <c r="E546" s="112"/>
      <c r="F546" s="3"/>
      <c r="G546" s="13"/>
      <c r="H546" s="12"/>
      <c r="K546" s="12"/>
      <c r="M546" s="12"/>
      <c r="R546" s="218"/>
      <c r="S546" s="218"/>
      <c r="T546" s="218"/>
      <c r="U546" s="218"/>
    </row>
    <row r="547">
      <c r="C547" s="12"/>
      <c r="D547" s="3"/>
      <c r="E547" s="112"/>
      <c r="F547" s="3"/>
      <c r="G547" s="13"/>
      <c r="H547" s="12"/>
      <c r="K547" s="12"/>
      <c r="M547" s="12"/>
      <c r="R547" s="218"/>
      <c r="S547" s="218"/>
      <c r="T547" s="218"/>
      <c r="U547" s="218"/>
    </row>
    <row r="548">
      <c r="C548" s="12"/>
      <c r="D548" s="3"/>
      <c r="E548" s="112"/>
      <c r="F548" s="3"/>
      <c r="G548" s="13"/>
      <c r="H548" s="12"/>
      <c r="K548" s="12"/>
      <c r="M548" s="12"/>
      <c r="R548" s="218"/>
      <c r="S548" s="218"/>
      <c r="T548" s="218"/>
      <c r="U548" s="218"/>
    </row>
    <row r="549">
      <c r="C549" s="12"/>
      <c r="D549" s="3"/>
      <c r="E549" s="112"/>
      <c r="F549" s="3"/>
      <c r="G549" s="13"/>
      <c r="H549" s="12"/>
      <c r="K549" s="12"/>
      <c r="M549" s="12"/>
      <c r="R549" s="218"/>
      <c r="S549" s="218"/>
      <c r="T549" s="218"/>
      <c r="U549" s="218"/>
    </row>
    <row r="550">
      <c r="C550" s="12"/>
      <c r="D550" s="3"/>
      <c r="E550" s="112"/>
      <c r="F550" s="3"/>
      <c r="G550" s="13"/>
      <c r="H550" s="12"/>
      <c r="K550" s="12"/>
      <c r="M550" s="12"/>
      <c r="R550" s="218"/>
      <c r="S550" s="218"/>
      <c r="T550" s="218"/>
      <c r="U550" s="218"/>
    </row>
    <row r="551">
      <c r="C551" s="12"/>
      <c r="D551" s="3"/>
      <c r="E551" s="112"/>
      <c r="F551" s="3"/>
      <c r="G551" s="13"/>
      <c r="H551" s="12"/>
      <c r="K551" s="12"/>
      <c r="M551" s="12"/>
      <c r="R551" s="218"/>
      <c r="S551" s="218"/>
      <c r="T551" s="218"/>
      <c r="U551" s="218"/>
    </row>
    <row r="552">
      <c r="C552" s="12"/>
      <c r="D552" s="3"/>
      <c r="E552" s="112"/>
      <c r="F552" s="3"/>
      <c r="G552" s="13"/>
      <c r="H552" s="12"/>
      <c r="K552" s="12"/>
      <c r="M552" s="12"/>
      <c r="R552" s="218"/>
      <c r="S552" s="218"/>
      <c r="T552" s="218"/>
      <c r="U552" s="218"/>
    </row>
    <row r="553">
      <c r="C553" s="12"/>
      <c r="D553" s="3"/>
      <c r="E553" s="112"/>
      <c r="F553" s="3"/>
      <c r="G553" s="13"/>
      <c r="H553" s="12"/>
      <c r="K553" s="12"/>
      <c r="M553" s="12"/>
      <c r="R553" s="218"/>
      <c r="S553" s="218"/>
      <c r="T553" s="218"/>
      <c r="U553" s="218"/>
    </row>
    <row r="554">
      <c r="C554" s="12"/>
      <c r="D554" s="3"/>
      <c r="E554" s="112"/>
      <c r="F554" s="3"/>
      <c r="G554" s="13"/>
      <c r="H554" s="12"/>
      <c r="K554" s="12"/>
      <c r="M554" s="12"/>
      <c r="R554" s="218"/>
      <c r="S554" s="218"/>
      <c r="T554" s="218"/>
      <c r="U554" s="218"/>
    </row>
    <row r="555">
      <c r="C555" s="12"/>
      <c r="D555" s="3"/>
      <c r="E555" s="112"/>
      <c r="F555" s="3"/>
      <c r="G555" s="13"/>
      <c r="H555" s="12"/>
      <c r="K555" s="12"/>
      <c r="M555" s="12"/>
      <c r="R555" s="218"/>
      <c r="S555" s="218"/>
      <c r="T555" s="218"/>
      <c r="U555" s="218"/>
    </row>
    <row r="556">
      <c r="C556" s="12"/>
      <c r="D556" s="3"/>
      <c r="E556" s="112"/>
      <c r="F556" s="3"/>
      <c r="G556" s="13"/>
      <c r="H556" s="12"/>
      <c r="K556" s="12"/>
      <c r="M556" s="12"/>
      <c r="R556" s="218"/>
      <c r="S556" s="218"/>
      <c r="T556" s="218"/>
      <c r="U556" s="218"/>
    </row>
    <row r="557">
      <c r="C557" s="12"/>
      <c r="D557" s="3"/>
      <c r="E557" s="112"/>
      <c r="F557" s="3"/>
      <c r="G557" s="13"/>
      <c r="H557" s="12"/>
      <c r="K557" s="12"/>
      <c r="M557" s="12"/>
      <c r="R557" s="218"/>
      <c r="S557" s="218"/>
      <c r="T557" s="218"/>
      <c r="U557" s="218"/>
    </row>
    <row r="558">
      <c r="C558" s="12"/>
      <c r="D558" s="3"/>
      <c r="E558" s="112"/>
      <c r="F558" s="3"/>
      <c r="G558" s="13"/>
      <c r="H558" s="12"/>
      <c r="K558" s="12"/>
      <c r="M558" s="12"/>
      <c r="R558" s="218"/>
      <c r="S558" s="218"/>
      <c r="T558" s="218"/>
      <c r="U558" s="218"/>
    </row>
    <row r="559">
      <c r="C559" s="12"/>
      <c r="D559" s="3"/>
      <c r="E559" s="112"/>
      <c r="F559" s="3"/>
      <c r="G559" s="13"/>
      <c r="H559" s="12"/>
      <c r="K559" s="12"/>
      <c r="M559" s="12"/>
      <c r="R559" s="218"/>
      <c r="S559" s="218"/>
      <c r="T559" s="218"/>
      <c r="U559" s="218"/>
    </row>
    <row r="560">
      <c r="C560" s="12"/>
      <c r="D560" s="3"/>
      <c r="E560" s="112"/>
      <c r="F560" s="3"/>
      <c r="G560" s="13"/>
      <c r="H560" s="12"/>
      <c r="K560" s="12"/>
      <c r="M560" s="12"/>
      <c r="R560" s="218"/>
      <c r="S560" s="218"/>
      <c r="T560" s="218"/>
      <c r="U560" s="218"/>
    </row>
    <row r="561">
      <c r="C561" s="12"/>
      <c r="D561" s="3"/>
      <c r="E561" s="112"/>
      <c r="F561" s="3"/>
      <c r="G561" s="13"/>
      <c r="H561" s="12"/>
      <c r="K561" s="12"/>
      <c r="M561" s="12"/>
      <c r="R561" s="218"/>
      <c r="S561" s="218"/>
      <c r="T561" s="218"/>
      <c r="U561" s="218"/>
    </row>
    <row r="562">
      <c r="C562" s="12"/>
      <c r="D562" s="3"/>
      <c r="E562" s="112"/>
      <c r="F562" s="3"/>
      <c r="G562" s="13"/>
      <c r="H562" s="12"/>
      <c r="K562" s="12"/>
      <c r="M562" s="12"/>
      <c r="R562" s="218"/>
      <c r="S562" s="218"/>
      <c r="T562" s="218"/>
      <c r="U562" s="218"/>
    </row>
    <row r="563">
      <c r="C563" s="12"/>
      <c r="D563" s="3"/>
      <c r="E563" s="112"/>
      <c r="F563" s="3"/>
      <c r="G563" s="13"/>
      <c r="H563" s="12"/>
      <c r="K563" s="12"/>
      <c r="M563" s="12"/>
      <c r="R563" s="218"/>
      <c r="S563" s="218"/>
      <c r="T563" s="218"/>
      <c r="U563" s="218"/>
    </row>
    <row r="564">
      <c r="C564" s="12"/>
      <c r="D564" s="3"/>
      <c r="E564" s="112"/>
      <c r="F564" s="3"/>
      <c r="G564" s="13"/>
      <c r="H564" s="12"/>
      <c r="K564" s="12"/>
      <c r="M564" s="12"/>
      <c r="R564" s="218"/>
      <c r="S564" s="218"/>
      <c r="T564" s="218"/>
      <c r="U564" s="218"/>
    </row>
    <row r="565">
      <c r="C565" s="12"/>
      <c r="D565" s="3"/>
      <c r="E565" s="112"/>
      <c r="F565" s="3"/>
      <c r="G565" s="13"/>
      <c r="H565" s="12"/>
      <c r="K565" s="12"/>
      <c r="M565" s="12"/>
      <c r="R565" s="218"/>
      <c r="S565" s="218"/>
      <c r="T565" s="218"/>
      <c r="U565" s="218"/>
    </row>
    <row r="566">
      <c r="C566" s="12"/>
      <c r="D566" s="3"/>
      <c r="E566" s="112"/>
      <c r="F566" s="3"/>
      <c r="G566" s="13"/>
      <c r="H566" s="12"/>
      <c r="K566" s="12"/>
      <c r="M566" s="12"/>
      <c r="R566" s="218"/>
      <c r="S566" s="218"/>
      <c r="T566" s="218"/>
      <c r="U566" s="218"/>
    </row>
    <row r="567">
      <c r="C567" s="12"/>
      <c r="D567" s="3"/>
      <c r="E567" s="112"/>
      <c r="F567" s="3"/>
      <c r="G567" s="13"/>
      <c r="H567" s="12"/>
      <c r="K567" s="12"/>
      <c r="M567" s="12"/>
      <c r="R567" s="218"/>
      <c r="S567" s="218"/>
      <c r="T567" s="218"/>
      <c r="U567" s="218"/>
    </row>
    <row r="568">
      <c r="C568" s="12"/>
      <c r="D568" s="3"/>
      <c r="E568" s="112"/>
      <c r="F568" s="3"/>
      <c r="G568" s="13"/>
      <c r="H568" s="12"/>
      <c r="K568" s="12"/>
      <c r="M568" s="12"/>
      <c r="R568" s="218"/>
      <c r="S568" s="218"/>
      <c r="T568" s="218"/>
      <c r="U568" s="218"/>
    </row>
    <row r="569">
      <c r="C569" s="12"/>
      <c r="D569" s="3"/>
      <c r="E569" s="112"/>
      <c r="F569" s="3"/>
      <c r="G569" s="13"/>
      <c r="H569" s="12"/>
      <c r="K569" s="12"/>
      <c r="M569" s="12"/>
      <c r="R569" s="218"/>
      <c r="S569" s="218"/>
      <c r="T569" s="218"/>
      <c r="U569" s="218"/>
    </row>
    <row r="570">
      <c r="C570" s="12"/>
      <c r="D570" s="3"/>
      <c r="E570" s="112"/>
      <c r="F570" s="3"/>
      <c r="G570" s="13"/>
      <c r="H570" s="12"/>
      <c r="K570" s="12"/>
      <c r="M570" s="12"/>
      <c r="R570" s="218"/>
      <c r="S570" s="218"/>
      <c r="T570" s="218"/>
      <c r="U570" s="218"/>
    </row>
    <row r="571">
      <c r="C571" s="12"/>
      <c r="D571" s="3"/>
      <c r="E571" s="112"/>
      <c r="F571" s="3"/>
      <c r="G571" s="13"/>
      <c r="H571" s="12"/>
      <c r="K571" s="12"/>
      <c r="M571" s="12"/>
      <c r="R571" s="218"/>
      <c r="S571" s="218"/>
      <c r="T571" s="218"/>
      <c r="U571" s="218"/>
    </row>
    <row r="572">
      <c r="C572" s="12"/>
      <c r="D572" s="3"/>
      <c r="E572" s="112"/>
      <c r="F572" s="3"/>
      <c r="G572" s="13"/>
      <c r="H572" s="12"/>
      <c r="K572" s="12"/>
      <c r="M572" s="12"/>
      <c r="R572" s="218"/>
      <c r="S572" s="218"/>
      <c r="T572" s="218"/>
      <c r="U572" s="218"/>
    </row>
    <row r="573">
      <c r="C573" s="12"/>
      <c r="D573" s="3"/>
      <c r="E573" s="112"/>
      <c r="F573" s="3"/>
      <c r="G573" s="13"/>
      <c r="H573" s="12"/>
      <c r="K573" s="12"/>
      <c r="M573" s="12"/>
      <c r="R573" s="218"/>
      <c r="S573" s="218"/>
      <c r="T573" s="218"/>
      <c r="U573" s="218"/>
    </row>
    <row r="574">
      <c r="C574" s="12"/>
      <c r="D574" s="3"/>
      <c r="E574" s="112"/>
      <c r="F574" s="3"/>
      <c r="G574" s="13"/>
      <c r="H574" s="12"/>
      <c r="K574" s="12"/>
      <c r="M574" s="12"/>
      <c r="R574" s="218"/>
      <c r="S574" s="218"/>
      <c r="T574" s="218"/>
      <c r="U574" s="218"/>
    </row>
    <row r="575">
      <c r="C575" s="12"/>
      <c r="D575" s="3"/>
      <c r="E575" s="112"/>
      <c r="F575" s="3"/>
      <c r="G575" s="13"/>
      <c r="H575" s="12"/>
      <c r="K575" s="12"/>
      <c r="M575" s="12"/>
      <c r="R575" s="218"/>
      <c r="S575" s="218"/>
      <c r="T575" s="218"/>
      <c r="U575" s="218"/>
    </row>
    <row r="576">
      <c r="C576" s="12"/>
      <c r="D576" s="3"/>
      <c r="E576" s="112"/>
      <c r="F576" s="3"/>
      <c r="G576" s="13"/>
      <c r="H576" s="12"/>
      <c r="K576" s="12"/>
      <c r="M576" s="12"/>
      <c r="R576" s="218"/>
      <c r="S576" s="218"/>
      <c r="T576" s="218"/>
      <c r="U576" s="218"/>
    </row>
    <row r="577">
      <c r="C577" s="12"/>
      <c r="D577" s="3"/>
      <c r="E577" s="112"/>
      <c r="F577" s="3"/>
      <c r="G577" s="13"/>
      <c r="H577" s="12"/>
      <c r="K577" s="12"/>
      <c r="M577" s="12"/>
      <c r="R577" s="218"/>
      <c r="S577" s="218"/>
      <c r="T577" s="218"/>
      <c r="U577" s="218"/>
    </row>
    <row r="578">
      <c r="C578" s="12"/>
      <c r="D578" s="3"/>
      <c r="E578" s="112"/>
      <c r="F578" s="3"/>
      <c r="G578" s="13"/>
      <c r="H578" s="12"/>
      <c r="K578" s="12"/>
      <c r="M578" s="12"/>
      <c r="R578" s="218"/>
      <c r="S578" s="218"/>
      <c r="T578" s="218"/>
      <c r="U578" s="218"/>
    </row>
    <row r="579">
      <c r="C579" s="12"/>
      <c r="D579" s="3"/>
      <c r="E579" s="112"/>
      <c r="F579" s="3"/>
      <c r="G579" s="13"/>
      <c r="H579" s="12"/>
      <c r="K579" s="12"/>
      <c r="M579" s="12"/>
      <c r="R579" s="218"/>
      <c r="S579" s="218"/>
      <c r="T579" s="218"/>
      <c r="U579" s="218"/>
    </row>
    <row r="580">
      <c r="C580" s="12"/>
      <c r="D580" s="3"/>
      <c r="E580" s="112"/>
      <c r="F580" s="3"/>
      <c r="G580" s="13"/>
      <c r="H580" s="12"/>
      <c r="K580" s="12"/>
      <c r="M580" s="12"/>
      <c r="R580" s="218"/>
      <c r="S580" s="218"/>
      <c r="T580" s="218"/>
      <c r="U580" s="218"/>
    </row>
    <row r="581">
      <c r="C581" s="12"/>
      <c r="D581" s="3"/>
      <c r="E581" s="112"/>
      <c r="F581" s="3"/>
      <c r="G581" s="13"/>
      <c r="H581" s="12"/>
      <c r="K581" s="12"/>
      <c r="M581" s="12"/>
      <c r="R581" s="218"/>
      <c r="S581" s="218"/>
      <c r="T581" s="218"/>
      <c r="U581" s="218"/>
    </row>
    <row r="582">
      <c r="C582" s="12"/>
      <c r="D582" s="3"/>
      <c r="E582" s="112"/>
      <c r="F582" s="3"/>
      <c r="G582" s="13"/>
      <c r="H582" s="12"/>
      <c r="K582" s="12"/>
      <c r="M582" s="12"/>
      <c r="R582" s="218"/>
      <c r="S582" s="218"/>
      <c r="T582" s="218"/>
      <c r="U582" s="218"/>
    </row>
    <row r="583">
      <c r="C583" s="12"/>
      <c r="D583" s="3"/>
      <c r="E583" s="112"/>
      <c r="F583" s="3"/>
      <c r="G583" s="13"/>
      <c r="H583" s="12"/>
      <c r="K583" s="12"/>
      <c r="M583" s="12"/>
      <c r="R583" s="218"/>
      <c r="S583" s="218"/>
      <c r="T583" s="218"/>
      <c r="U583" s="218"/>
    </row>
    <row r="584">
      <c r="C584" s="12"/>
      <c r="D584" s="3"/>
      <c r="E584" s="112"/>
      <c r="F584" s="3"/>
      <c r="G584" s="13"/>
      <c r="H584" s="12"/>
      <c r="K584" s="12"/>
      <c r="M584" s="12"/>
      <c r="R584" s="218"/>
      <c r="S584" s="218"/>
      <c r="T584" s="218"/>
      <c r="U584" s="218"/>
    </row>
    <row r="585">
      <c r="C585" s="12"/>
      <c r="D585" s="3"/>
      <c r="E585" s="112"/>
      <c r="F585" s="3"/>
      <c r="G585" s="13"/>
      <c r="H585" s="12"/>
      <c r="K585" s="12"/>
      <c r="M585" s="12"/>
      <c r="R585" s="218"/>
      <c r="S585" s="218"/>
      <c r="T585" s="218"/>
      <c r="U585" s="218"/>
    </row>
    <row r="586">
      <c r="C586" s="12"/>
      <c r="D586" s="3"/>
      <c r="E586" s="112"/>
      <c r="F586" s="3"/>
      <c r="G586" s="13"/>
      <c r="H586" s="12"/>
      <c r="K586" s="12"/>
      <c r="M586" s="12"/>
      <c r="R586" s="218"/>
      <c r="S586" s="218"/>
      <c r="T586" s="218"/>
      <c r="U586" s="218"/>
    </row>
    <row r="587">
      <c r="C587" s="12"/>
      <c r="D587" s="3"/>
      <c r="E587" s="112"/>
      <c r="F587" s="3"/>
      <c r="G587" s="13"/>
      <c r="H587" s="12"/>
      <c r="K587" s="12"/>
      <c r="M587" s="12"/>
      <c r="R587" s="218"/>
      <c r="S587" s="218"/>
      <c r="T587" s="218"/>
      <c r="U587" s="218"/>
    </row>
    <row r="588">
      <c r="C588" s="12"/>
      <c r="D588" s="3"/>
      <c r="E588" s="112"/>
      <c r="F588" s="3"/>
      <c r="G588" s="13"/>
      <c r="H588" s="12"/>
      <c r="K588" s="12"/>
      <c r="M588" s="12"/>
      <c r="R588" s="218"/>
      <c r="S588" s="218"/>
      <c r="T588" s="218"/>
      <c r="U588" s="218"/>
    </row>
    <row r="589">
      <c r="C589" s="12"/>
      <c r="D589" s="3"/>
      <c r="E589" s="112"/>
      <c r="F589" s="3"/>
      <c r="G589" s="13"/>
      <c r="H589" s="12"/>
      <c r="K589" s="12"/>
      <c r="M589" s="12"/>
      <c r="R589" s="218"/>
      <c r="S589" s="218"/>
      <c r="T589" s="218"/>
      <c r="U589" s="218"/>
    </row>
    <row r="590">
      <c r="C590" s="12"/>
      <c r="D590" s="3"/>
      <c r="E590" s="112"/>
      <c r="F590" s="3"/>
      <c r="G590" s="13"/>
      <c r="H590" s="12"/>
      <c r="K590" s="12"/>
      <c r="M590" s="12"/>
      <c r="R590" s="218"/>
      <c r="S590" s="218"/>
      <c r="T590" s="218"/>
      <c r="U590" s="218"/>
    </row>
    <row r="591">
      <c r="C591" s="12"/>
      <c r="D591" s="3"/>
      <c r="E591" s="112"/>
      <c r="F591" s="3"/>
      <c r="G591" s="13"/>
      <c r="H591" s="12"/>
      <c r="K591" s="12"/>
      <c r="M591" s="12"/>
      <c r="R591" s="218"/>
      <c r="S591" s="218"/>
      <c r="T591" s="218"/>
      <c r="U591" s="218"/>
    </row>
    <row r="592">
      <c r="C592" s="12"/>
      <c r="D592" s="3"/>
      <c r="E592" s="112"/>
      <c r="F592" s="3"/>
      <c r="G592" s="13"/>
      <c r="H592" s="12"/>
      <c r="K592" s="12"/>
      <c r="M592" s="12"/>
      <c r="R592" s="218"/>
      <c r="S592" s="218"/>
      <c r="T592" s="218"/>
      <c r="U592" s="218"/>
    </row>
    <row r="593">
      <c r="C593" s="12"/>
      <c r="D593" s="3"/>
      <c r="E593" s="112"/>
      <c r="F593" s="3"/>
      <c r="G593" s="13"/>
      <c r="H593" s="12"/>
      <c r="K593" s="12"/>
      <c r="M593" s="12"/>
      <c r="R593" s="218"/>
      <c r="S593" s="218"/>
      <c r="T593" s="218"/>
      <c r="U593" s="218"/>
    </row>
    <row r="594">
      <c r="C594" s="12"/>
      <c r="D594" s="3"/>
      <c r="E594" s="112"/>
      <c r="F594" s="3"/>
      <c r="G594" s="13"/>
      <c r="H594" s="12"/>
      <c r="K594" s="12"/>
      <c r="M594" s="12"/>
      <c r="R594" s="218"/>
      <c r="S594" s="218"/>
      <c r="T594" s="218"/>
      <c r="U594" s="218"/>
    </row>
    <row r="595">
      <c r="C595" s="12"/>
      <c r="D595" s="3"/>
      <c r="E595" s="112"/>
      <c r="F595" s="3"/>
      <c r="G595" s="13"/>
      <c r="H595" s="12"/>
      <c r="K595" s="12"/>
      <c r="M595" s="12"/>
      <c r="R595" s="218"/>
      <c r="S595" s="218"/>
      <c r="T595" s="218"/>
      <c r="U595" s="218"/>
    </row>
    <row r="596">
      <c r="C596" s="12"/>
      <c r="D596" s="3"/>
      <c r="E596" s="112"/>
      <c r="F596" s="3"/>
      <c r="G596" s="13"/>
      <c r="H596" s="12"/>
      <c r="K596" s="12"/>
      <c r="M596" s="12"/>
      <c r="R596" s="218"/>
      <c r="S596" s="218"/>
      <c r="T596" s="218"/>
      <c r="U596" s="218"/>
    </row>
    <row r="597">
      <c r="C597" s="12"/>
      <c r="D597" s="3"/>
      <c r="E597" s="112"/>
      <c r="F597" s="3"/>
      <c r="G597" s="13"/>
      <c r="H597" s="12"/>
      <c r="K597" s="12"/>
      <c r="M597" s="12"/>
      <c r="R597" s="218"/>
      <c r="S597" s="218"/>
      <c r="T597" s="218"/>
      <c r="U597" s="218"/>
    </row>
    <row r="598">
      <c r="C598" s="12"/>
      <c r="D598" s="3"/>
      <c r="E598" s="112"/>
      <c r="F598" s="3"/>
      <c r="G598" s="13"/>
      <c r="H598" s="12"/>
      <c r="K598" s="12"/>
      <c r="M598" s="12"/>
      <c r="R598" s="218"/>
      <c r="S598" s="218"/>
      <c r="T598" s="218"/>
      <c r="U598" s="218"/>
    </row>
    <row r="599">
      <c r="C599" s="12"/>
      <c r="D599" s="3"/>
      <c r="E599" s="112"/>
      <c r="F599" s="3"/>
      <c r="G599" s="13"/>
      <c r="H599" s="12"/>
      <c r="K599" s="12"/>
      <c r="M599" s="12"/>
      <c r="R599" s="218"/>
      <c r="S599" s="218"/>
      <c r="T599" s="218"/>
      <c r="U599" s="218"/>
    </row>
    <row r="600">
      <c r="C600" s="12"/>
      <c r="D600" s="3"/>
      <c r="E600" s="112"/>
      <c r="F600" s="3"/>
      <c r="G600" s="13"/>
      <c r="H600" s="12"/>
      <c r="K600" s="12"/>
      <c r="M600" s="12"/>
      <c r="R600" s="218"/>
      <c r="S600" s="218"/>
      <c r="T600" s="218"/>
      <c r="U600" s="218"/>
    </row>
    <row r="601">
      <c r="C601" s="12"/>
      <c r="D601" s="3"/>
      <c r="E601" s="112"/>
      <c r="F601" s="3"/>
      <c r="G601" s="13"/>
      <c r="H601" s="12"/>
      <c r="K601" s="12"/>
      <c r="M601" s="12"/>
      <c r="R601" s="218"/>
      <c r="S601" s="218"/>
      <c r="T601" s="218"/>
      <c r="U601" s="218"/>
    </row>
    <row r="602">
      <c r="C602" s="12"/>
      <c r="D602" s="3"/>
      <c r="E602" s="112"/>
      <c r="F602" s="3"/>
      <c r="G602" s="13"/>
      <c r="H602" s="12"/>
      <c r="K602" s="12"/>
      <c r="M602" s="12"/>
      <c r="R602" s="218"/>
      <c r="S602" s="218"/>
      <c r="T602" s="218"/>
      <c r="U602" s="218"/>
    </row>
    <row r="603">
      <c r="C603" s="12"/>
      <c r="D603" s="3"/>
      <c r="E603" s="112"/>
      <c r="F603" s="3"/>
      <c r="G603" s="13"/>
      <c r="H603" s="12"/>
      <c r="K603" s="12"/>
      <c r="M603" s="12"/>
      <c r="R603" s="218"/>
      <c r="S603" s="218"/>
      <c r="T603" s="218"/>
      <c r="U603" s="218"/>
    </row>
    <row r="604">
      <c r="C604" s="12"/>
      <c r="D604" s="3"/>
      <c r="E604" s="112"/>
      <c r="F604" s="3"/>
      <c r="G604" s="13"/>
      <c r="H604" s="12"/>
      <c r="K604" s="12"/>
      <c r="M604" s="12"/>
      <c r="R604" s="218"/>
      <c r="S604" s="218"/>
      <c r="T604" s="218"/>
      <c r="U604" s="218"/>
    </row>
    <row r="605">
      <c r="C605" s="12"/>
      <c r="D605" s="3"/>
      <c r="E605" s="112"/>
      <c r="F605" s="3"/>
      <c r="G605" s="13"/>
      <c r="H605" s="12"/>
      <c r="K605" s="12"/>
      <c r="M605" s="12"/>
      <c r="R605" s="218"/>
      <c r="S605" s="218"/>
      <c r="T605" s="218"/>
      <c r="U605" s="218"/>
    </row>
    <row r="606">
      <c r="C606" s="12"/>
      <c r="D606" s="3"/>
      <c r="E606" s="112"/>
      <c r="F606" s="3"/>
      <c r="G606" s="13"/>
      <c r="H606" s="12"/>
      <c r="K606" s="12"/>
      <c r="M606" s="12"/>
      <c r="R606" s="218"/>
      <c r="S606" s="218"/>
      <c r="T606" s="218"/>
      <c r="U606" s="218"/>
    </row>
    <row r="607">
      <c r="C607" s="12"/>
      <c r="D607" s="3"/>
      <c r="E607" s="112"/>
      <c r="F607" s="3"/>
      <c r="G607" s="13"/>
      <c r="H607" s="12"/>
      <c r="K607" s="12"/>
      <c r="M607" s="12"/>
      <c r="R607" s="218"/>
      <c r="S607" s="218"/>
      <c r="T607" s="218"/>
      <c r="U607" s="218"/>
    </row>
    <row r="608">
      <c r="C608" s="12"/>
      <c r="D608" s="3"/>
      <c r="E608" s="112"/>
      <c r="F608" s="3"/>
      <c r="G608" s="13"/>
      <c r="H608" s="12"/>
      <c r="K608" s="12"/>
      <c r="M608" s="12"/>
      <c r="R608" s="218"/>
      <c r="S608" s="218"/>
      <c r="T608" s="218"/>
      <c r="U608" s="218"/>
    </row>
    <row r="609">
      <c r="C609" s="12"/>
      <c r="D609" s="3"/>
      <c r="E609" s="112"/>
      <c r="F609" s="3"/>
      <c r="G609" s="13"/>
      <c r="H609" s="12"/>
      <c r="K609" s="12"/>
      <c r="M609" s="12"/>
      <c r="R609" s="218"/>
      <c r="S609" s="218"/>
      <c r="T609" s="218"/>
      <c r="U609" s="218"/>
    </row>
    <row r="610">
      <c r="C610" s="12"/>
      <c r="D610" s="3"/>
      <c r="E610" s="112"/>
      <c r="F610" s="3"/>
      <c r="G610" s="13"/>
      <c r="H610" s="12"/>
      <c r="K610" s="12"/>
      <c r="M610" s="12"/>
      <c r="R610" s="218"/>
      <c r="S610" s="218"/>
      <c r="T610" s="218"/>
      <c r="U610" s="218"/>
    </row>
    <row r="611">
      <c r="C611" s="12"/>
      <c r="D611" s="3"/>
      <c r="E611" s="112"/>
      <c r="F611" s="3"/>
      <c r="G611" s="13"/>
      <c r="H611" s="12"/>
      <c r="K611" s="12"/>
      <c r="M611" s="12"/>
      <c r="R611" s="218"/>
      <c r="S611" s="218"/>
      <c r="T611" s="218"/>
      <c r="U611" s="218"/>
    </row>
    <row r="612">
      <c r="C612" s="12"/>
      <c r="D612" s="3"/>
      <c r="E612" s="112"/>
      <c r="F612" s="3"/>
      <c r="G612" s="13"/>
      <c r="H612" s="12"/>
      <c r="K612" s="12"/>
      <c r="M612" s="12"/>
      <c r="R612" s="218"/>
      <c r="S612" s="218"/>
      <c r="T612" s="218"/>
      <c r="U612" s="218"/>
    </row>
    <row r="613">
      <c r="C613" s="12"/>
      <c r="D613" s="3"/>
      <c r="E613" s="112"/>
      <c r="F613" s="3"/>
      <c r="G613" s="13"/>
      <c r="H613" s="12"/>
      <c r="K613" s="12"/>
      <c r="M613" s="12"/>
      <c r="R613" s="218"/>
      <c r="S613" s="218"/>
      <c r="T613" s="218"/>
      <c r="U613" s="218"/>
    </row>
    <row r="614">
      <c r="C614" s="12"/>
      <c r="D614" s="3"/>
      <c r="E614" s="112"/>
      <c r="F614" s="3"/>
      <c r="G614" s="13"/>
      <c r="H614" s="12"/>
      <c r="K614" s="12"/>
      <c r="M614" s="12"/>
      <c r="R614" s="218"/>
      <c r="S614" s="218"/>
      <c r="T614" s="218"/>
      <c r="U614" s="218"/>
    </row>
    <row r="615">
      <c r="C615" s="12"/>
      <c r="D615" s="3"/>
      <c r="E615" s="112"/>
      <c r="F615" s="3"/>
      <c r="G615" s="13"/>
      <c r="H615" s="12"/>
      <c r="K615" s="12"/>
      <c r="M615" s="12"/>
      <c r="R615" s="218"/>
      <c r="S615" s="218"/>
      <c r="T615" s="218"/>
      <c r="U615" s="218"/>
    </row>
    <row r="616">
      <c r="C616" s="12"/>
      <c r="D616" s="3"/>
      <c r="E616" s="112"/>
      <c r="F616" s="3"/>
      <c r="G616" s="13"/>
      <c r="H616" s="12"/>
      <c r="K616" s="12"/>
      <c r="M616" s="12"/>
      <c r="R616" s="218"/>
      <c r="S616" s="218"/>
      <c r="T616" s="218"/>
      <c r="U616" s="218"/>
    </row>
    <row r="617">
      <c r="C617" s="12"/>
      <c r="D617" s="3"/>
      <c r="E617" s="112"/>
      <c r="F617" s="3"/>
      <c r="G617" s="13"/>
      <c r="H617" s="12"/>
      <c r="K617" s="12"/>
      <c r="M617" s="12"/>
      <c r="R617" s="218"/>
      <c r="S617" s="218"/>
      <c r="T617" s="218"/>
      <c r="U617" s="218"/>
    </row>
    <row r="618">
      <c r="C618" s="12"/>
      <c r="D618" s="3"/>
      <c r="E618" s="112"/>
      <c r="F618" s="3"/>
      <c r="G618" s="13"/>
      <c r="H618" s="12"/>
      <c r="K618" s="12"/>
      <c r="M618" s="12"/>
      <c r="R618" s="218"/>
      <c r="S618" s="218"/>
      <c r="T618" s="218"/>
      <c r="U618" s="218"/>
    </row>
    <row r="619">
      <c r="C619" s="12"/>
      <c r="D619" s="3"/>
      <c r="E619" s="112"/>
      <c r="F619" s="3"/>
      <c r="G619" s="13"/>
      <c r="H619" s="12"/>
      <c r="K619" s="12"/>
      <c r="M619" s="12"/>
      <c r="R619" s="218"/>
      <c r="S619" s="218"/>
      <c r="T619" s="218"/>
      <c r="U619" s="218"/>
    </row>
    <row r="620">
      <c r="C620" s="12"/>
      <c r="D620" s="3"/>
      <c r="E620" s="112"/>
      <c r="F620" s="3"/>
      <c r="G620" s="13"/>
      <c r="H620" s="12"/>
      <c r="K620" s="12"/>
      <c r="M620" s="12"/>
      <c r="R620" s="218"/>
      <c r="S620" s="218"/>
      <c r="T620" s="218"/>
      <c r="U620" s="218"/>
    </row>
    <row r="621">
      <c r="C621" s="12"/>
      <c r="D621" s="3"/>
      <c r="E621" s="112"/>
      <c r="F621" s="3"/>
      <c r="G621" s="13"/>
      <c r="H621" s="12"/>
      <c r="K621" s="12"/>
      <c r="M621" s="12"/>
      <c r="R621" s="218"/>
      <c r="S621" s="218"/>
      <c r="T621" s="218"/>
      <c r="U621" s="218"/>
    </row>
    <row r="622">
      <c r="C622" s="12"/>
      <c r="D622" s="3"/>
      <c r="E622" s="112"/>
      <c r="F622" s="3"/>
      <c r="G622" s="13"/>
      <c r="H622" s="12"/>
      <c r="K622" s="12"/>
      <c r="M622" s="12"/>
      <c r="R622" s="218"/>
      <c r="S622" s="218"/>
      <c r="T622" s="218"/>
      <c r="U622" s="218"/>
    </row>
    <row r="623">
      <c r="C623" s="12"/>
      <c r="D623" s="3"/>
      <c r="E623" s="112"/>
      <c r="F623" s="3"/>
      <c r="G623" s="13"/>
      <c r="H623" s="12"/>
      <c r="K623" s="12"/>
      <c r="M623" s="12"/>
      <c r="R623" s="218"/>
      <c r="S623" s="218"/>
      <c r="T623" s="218"/>
      <c r="U623" s="218"/>
    </row>
    <row r="624">
      <c r="C624" s="12"/>
      <c r="D624" s="3"/>
      <c r="E624" s="112"/>
      <c r="F624" s="3"/>
      <c r="G624" s="13"/>
      <c r="H624" s="12"/>
      <c r="K624" s="12"/>
      <c r="M624" s="12"/>
      <c r="R624" s="218"/>
      <c r="S624" s="218"/>
      <c r="T624" s="218"/>
      <c r="U624" s="218"/>
    </row>
    <row r="625">
      <c r="C625" s="12"/>
      <c r="D625" s="3"/>
      <c r="E625" s="112"/>
      <c r="F625" s="3"/>
      <c r="G625" s="13"/>
      <c r="H625" s="12"/>
      <c r="K625" s="12"/>
      <c r="M625" s="12"/>
      <c r="R625" s="218"/>
      <c r="S625" s="218"/>
      <c r="T625" s="218"/>
      <c r="U625" s="218"/>
    </row>
    <row r="626">
      <c r="C626" s="12"/>
      <c r="D626" s="3"/>
      <c r="E626" s="112"/>
      <c r="F626" s="3"/>
      <c r="G626" s="13"/>
      <c r="H626" s="12"/>
      <c r="K626" s="12"/>
      <c r="M626" s="12"/>
      <c r="R626" s="218"/>
      <c r="S626" s="218"/>
      <c r="T626" s="218"/>
      <c r="U626" s="218"/>
    </row>
    <row r="627">
      <c r="C627" s="12"/>
      <c r="D627" s="3"/>
      <c r="E627" s="112"/>
      <c r="F627" s="3"/>
      <c r="G627" s="13"/>
      <c r="H627" s="12"/>
      <c r="K627" s="12"/>
      <c r="M627" s="12"/>
      <c r="R627" s="218"/>
      <c r="S627" s="218"/>
      <c r="T627" s="218"/>
      <c r="U627" s="218"/>
    </row>
    <row r="628">
      <c r="C628" s="12"/>
      <c r="D628" s="3"/>
      <c r="E628" s="112"/>
      <c r="F628" s="3"/>
      <c r="G628" s="13"/>
      <c r="H628" s="12"/>
      <c r="K628" s="12"/>
      <c r="M628" s="12"/>
      <c r="R628" s="218"/>
      <c r="S628" s="218"/>
      <c r="T628" s="218"/>
      <c r="U628" s="218"/>
    </row>
    <row r="629">
      <c r="C629" s="12"/>
      <c r="D629" s="3"/>
      <c r="E629" s="112"/>
      <c r="F629" s="3"/>
      <c r="G629" s="13"/>
      <c r="H629" s="12"/>
      <c r="K629" s="12"/>
      <c r="M629" s="12"/>
      <c r="R629" s="218"/>
      <c r="S629" s="218"/>
      <c r="T629" s="218"/>
      <c r="U629" s="218"/>
    </row>
    <row r="630">
      <c r="C630" s="12"/>
      <c r="D630" s="3"/>
      <c r="E630" s="112"/>
      <c r="F630" s="3"/>
      <c r="G630" s="13"/>
      <c r="H630" s="12"/>
      <c r="K630" s="12"/>
      <c r="M630" s="12"/>
      <c r="R630" s="218"/>
      <c r="S630" s="218"/>
      <c r="T630" s="218"/>
      <c r="U630" s="218"/>
    </row>
    <row r="631">
      <c r="C631" s="12"/>
      <c r="D631" s="3"/>
      <c r="E631" s="112"/>
      <c r="F631" s="3"/>
      <c r="G631" s="13"/>
      <c r="H631" s="12"/>
      <c r="K631" s="12"/>
      <c r="M631" s="12"/>
      <c r="R631" s="218"/>
      <c r="S631" s="218"/>
      <c r="T631" s="218"/>
      <c r="U631" s="218"/>
    </row>
    <row r="632">
      <c r="C632" s="12"/>
      <c r="D632" s="3"/>
      <c r="E632" s="112"/>
      <c r="F632" s="3"/>
      <c r="G632" s="13"/>
      <c r="H632" s="12"/>
      <c r="K632" s="12"/>
      <c r="M632" s="12"/>
      <c r="R632" s="218"/>
      <c r="S632" s="218"/>
      <c r="T632" s="218"/>
      <c r="U632" s="218"/>
    </row>
    <row r="633">
      <c r="C633" s="12"/>
      <c r="D633" s="3"/>
      <c r="E633" s="112"/>
      <c r="F633" s="3"/>
      <c r="G633" s="13"/>
      <c r="H633" s="12"/>
      <c r="K633" s="12"/>
      <c r="M633" s="12"/>
      <c r="R633" s="218"/>
      <c r="S633" s="218"/>
      <c r="T633" s="218"/>
      <c r="U633" s="218"/>
    </row>
    <row r="634">
      <c r="C634" s="12"/>
      <c r="D634" s="3"/>
      <c r="E634" s="112"/>
      <c r="F634" s="3"/>
      <c r="G634" s="13"/>
      <c r="H634" s="12"/>
      <c r="K634" s="12"/>
      <c r="M634" s="12"/>
      <c r="R634" s="218"/>
      <c r="S634" s="218"/>
      <c r="T634" s="218"/>
      <c r="U634" s="218"/>
    </row>
    <row r="635">
      <c r="C635" s="12"/>
      <c r="D635" s="3"/>
      <c r="E635" s="112"/>
      <c r="F635" s="3"/>
      <c r="G635" s="13"/>
      <c r="H635" s="12"/>
      <c r="K635" s="12"/>
      <c r="M635" s="12"/>
      <c r="R635" s="218"/>
      <c r="S635" s="218"/>
      <c r="T635" s="218"/>
      <c r="U635" s="218"/>
    </row>
    <row r="636">
      <c r="C636" s="12"/>
      <c r="D636" s="3"/>
      <c r="E636" s="112"/>
      <c r="F636" s="3"/>
      <c r="G636" s="13"/>
      <c r="H636" s="12"/>
      <c r="K636" s="12"/>
      <c r="M636" s="12"/>
      <c r="R636" s="218"/>
      <c r="S636" s="218"/>
      <c r="T636" s="218"/>
      <c r="U636" s="218"/>
    </row>
    <row r="637">
      <c r="C637" s="12"/>
      <c r="D637" s="3"/>
      <c r="E637" s="112"/>
      <c r="F637" s="3"/>
      <c r="G637" s="13"/>
      <c r="H637" s="12"/>
      <c r="K637" s="12"/>
      <c r="M637" s="12"/>
      <c r="R637" s="218"/>
      <c r="S637" s="218"/>
      <c r="T637" s="218"/>
      <c r="U637" s="218"/>
    </row>
    <row r="638">
      <c r="C638" s="12"/>
      <c r="D638" s="3"/>
      <c r="E638" s="112"/>
      <c r="F638" s="3"/>
      <c r="G638" s="13"/>
      <c r="H638" s="12"/>
      <c r="K638" s="12"/>
      <c r="M638" s="12"/>
      <c r="R638" s="218"/>
      <c r="S638" s="218"/>
      <c r="T638" s="218"/>
      <c r="U638" s="218"/>
    </row>
    <row r="639">
      <c r="C639" s="12"/>
      <c r="D639" s="3"/>
      <c r="E639" s="112"/>
      <c r="F639" s="3"/>
      <c r="G639" s="13"/>
      <c r="H639" s="12"/>
      <c r="K639" s="12"/>
      <c r="M639" s="12"/>
      <c r="R639" s="218"/>
      <c r="S639" s="218"/>
      <c r="T639" s="218"/>
      <c r="U639" s="218"/>
    </row>
    <row r="640">
      <c r="C640" s="12"/>
      <c r="D640" s="3"/>
      <c r="E640" s="112"/>
      <c r="F640" s="3"/>
      <c r="G640" s="13"/>
      <c r="H640" s="12"/>
      <c r="K640" s="12"/>
      <c r="M640" s="12"/>
      <c r="R640" s="218"/>
      <c r="S640" s="218"/>
      <c r="T640" s="218"/>
      <c r="U640" s="218"/>
    </row>
    <row r="641">
      <c r="C641" s="12"/>
      <c r="D641" s="3"/>
      <c r="E641" s="112"/>
      <c r="F641" s="3"/>
      <c r="G641" s="13"/>
      <c r="H641" s="12"/>
      <c r="K641" s="12"/>
      <c r="M641" s="12"/>
      <c r="R641" s="218"/>
      <c r="S641" s="218"/>
      <c r="T641" s="218"/>
      <c r="U641" s="218"/>
    </row>
    <row r="642">
      <c r="C642" s="12"/>
      <c r="D642" s="3"/>
      <c r="E642" s="112"/>
      <c r="F642" s="3"/>
      <c r="G642" s="13"/>
      <c r="H642" s="12"/>
      <c r="K642" s="12"/>
      <c r="M642" s="12"/>
      <c r="R642" s="218"/>
      <c r="S642" s="218"/>
      <c r="T642" s="218"/>
      <c r="U642" s="218"/>
    </row>
    <row r="643">
      <c r="C643" s="12"/>
      <c r="D643" s="3"/>
      <c r="E643" s="112"/>
      <c r="F643" s="3"/>
      <c r="G643" s="13"/>
      <c r="H643" s="12"/>
      <c r="K643" s="12"/>
      <c r="M643" s="12"/>
      <c r="R643" s="218"/>
      <c r="S643" s="218"/>
      <c r="T643" s="218"/>
      <c r="U643" s="218"/>
    </row>
    <row r="644">
      <c r="C644" s="12"/>
      <c r="D644" s="3"/>
      <c r="E644" s="112"/>
      <c r="F644" s="3"/>
      <c r="G644" s="13"/>
      <c r="H644" s="12"/>
      <c r="K644" s="12"/>
      <c r="M644" s="12"/>
      <c r="R644" s="218"/>
      <c r="S644" s="218"/>
      <c r="T644" s="218"/>
      <c r="U644" s="218"/>
    </row>
    <row r="645">
      <c r="C645" s="12"/>
      <c r="D645" s="3"/>
      <c r="E645" s="112"/>
      <c r="F645" s="3"/>
      <c r="G645" s="13"/>
      <c r="H645" s="12"/>
      <c r="K645" s="12"/>
      <c r="M645" s="12"/>
      <c r="R645" s="218"/>
      <c r="S645" s="218"/>
      <c r="T645" s="218"/>
      <c r="U645" s="218"/>
    </row>
    <row r="646">
      <c r="C646" s="12"/>
      <c r="D646" s="3"/>
      <c r="E646" s="112"/>
      <c r="F646" s="3"/>
      <c r="G646" s="13"/>
      <c r="H646" s="12"/>
      <c r="K646" s="12"/>
      <c r="M646" s="12"/>
      <c r="R646" s="218"/>
      <c r="S646" s="218"/>
      <c r="T646" s="218"/>
      <c r="U646" s="218"/>
    </row>
    <row r="647">
      <c r="C647" s="12"/>
      <c r="D647" s="3"/>
      <c r="E647" s="112"/>
      <c r="F647" s="3"/>
      <c r="G647" s="13"/>
      <c r="H647" s="12"/>
      <c r="K647" s="12"/>
      <c r="M647" s="12"/>
      <c r="R647" s="218"/>
      <c r="S647" s="218"/>
      <c r="T647" s="218"/>
      <c r="U647" s="218"/>
    </row>
    <row r="648">
      <c r="C648" s="12"/>
      <c r="D648" s="3"/>
      <c r="E648" s="112"/>
      <c r="F648" s="3"/>
      <c r="G648" s="13"/>
      <c r="H648" s="12"/>
      <c r="K648" s="12"/>
      <c r="M648" s="12"/>
      <c r="R648" s="218"/>
      <c r="S648" s="218"/>
      <c r="T648" s="218"/>
      <c r="U648" s="218"/>
    </row>
    <row r="649">
      <c r="C649" s="12"/>
      <c r="D649" s="3"/>
      <c r="E649" s="112"/>
      <c r="F649" s="3"/>
      <c r="G649" s="13"/>
      <c r="H649" s="12"/>
      <c r="K649" s="12"/>
      <c r="M649" s="12"/>
      <c r="R649" s="218"/>
      <c r="S649" s="218"/>
      <c r="T649" s="218"/>
      <c r="U649" s="218"/>
    </row>
    <row r="650">
      <c r="C650" s="12"/>
      <c r="D650" s="3"/>
      <c r="E650" s="112"/>
      <c r="F650" s="3"/>
      <c r="G650" s="13"/>
      <c r="H650" s="12"/>
      <c r="K650" s="12"/>
      <c r="M650" s="12"/>
      <c r="R650" s="218"/>
      <c r="S650" s="218"/>
      <c r="T650" s="218"/>
      <c r="U650" s="218"/>
    </row>
    <row r="651">
      <c r="C651" s="12"/>
      <c r="D651" s="3"/>
      <c r="E651" s="112"/>
      <c r="F651" s="3"/>
      <c r="G651" s="13"/>
      <c r="H651" s="12"/>
      <c r="K651" s="12"/>
      <c r="M651" s="12"/>
      <c r="R651" s="218"/>
      <c r="S651" s="218"/>
      <c r="T651" s="218"/>
      <c r="U651" s="218"/>
    </row>
    <row r="652">
      <c r="C652" s="12"/>
      <c r="D652" s="3"/>
      <c r="E652" s="112"/>
      <c r="F652" s="3"/>
      <c r="G652" s="13"/>
      <c r="H652" s="12"/>
      <c r="K652" s="12"/>
      <c r="M652" s="12"/>
      <c r="R652" s="218"/>
      <c r="S652" s="218"/>
      <c r="T652" s="218"/>
      <c r="U652" s="218"/>
    </row>
    <row r="653">
      <c r="C653" s="12"/>
      <c r="D653" s="3"/>
      <c r="E653" s="112"/>
      <c r="F653" s="3"/>
      <c r="G653" s="13"/>
      <c r="H653" s="12"/>
      <c r="K653" s="12"/>
      <c r="M653" s="12"/>
      <c r="R653" s="218"/>
      <c r="S653" s="218"/>
      <c r="T653" s="218"/>
      <c r="U653" s="218"/>
    </row>
    <row r="654">
      <c r="C654" s="12"/>
      <c r="D654" s="3"/>
      <c r="E654" s="112"/>
      <c r="F654" s="3"/>
      <c r="G654" s="13"/>
      <c r="H654" s="12"/>
      <c r="K654" s="12"/>
      <c r="M654" s="12"/>
      <c r="R654" s="218"/>
      <c r="S654" s="218"/>
      <c r="T654" s="218"/>
      <c r="U654" s="218"/>
    </row>
    <row r="655">
      <c r="C655" s="12"/>
      <c r="D655" s="3"/>
      <c r="E655" s="112"/>
      <c r="F655" s="3"/>
      <c r="G655" s="13"/>
      <c r="H655" s="12"/>
      <c r="K655" s="12"/>
      <c r="M655" s="12"/>
      <c r="R655" s="218"/>
      <c r="S655" s="218"/>
      <c r="T655" s="218"/>
      <c r="U655" s="218"/>
    </row>
    <row r="656">
      <c r="C656" s="12"/>
      <c r="D656" s="3"/>
      <c r="E656" s="112"/>
      <c r="F656" s="3"/>
      <c r="G656" s="13"/>
      <c r="H656" s="12"/>
      <c r="K656" s="12"/>
      <c r="M656" s="12"/>
      <c r="R656" s="218"/>
      <c r="S656" s="218"/>
      <c r="T656" s="218"/>
      <c r="U656" s="218"/>
    </row>
    <row r="657">
      <c r="C657" s="12"/>
      <c r="D657" s="3"/>
      <c r="E657" s="112"/>
      <c r="F657" s="3"/>
      <c r="G657" s="13"/>
      <c r="H657" s="12"/>
      <c r="K657" s="12"/>
      <c r="M657" s="12"/>
      <c r="R657" s="218"/>
      <c r="S657" s="218"/>
      <c r="T657" s="218"/>
      <c r="U657" s="218"/>
    </row>
    <row r="658">
      <c r="C658" s="12"/>
      <c r="D658" s="3"/>
      <c r="E658" s="112"/>
      <c r="F658" s="3"/>
      <c r="G658" s="13"/>
      <c r="H658" s="12"/>
      <c r="K658" s="12"/>
      <c r="M658" s="12"/>
      <c r="R658" s="218"/>
      <c r="S658" s="218"/>
      <c r="T658" s="218"/>
      <c r="U658" s="218"/>
    </row>
    <row r="659">
      <c r="C659" s="12"/>
      <c r="D659" s="3"/>
      <c r="E659" s="112"/>
      <c r="F659" s="3"/>
      <c r="G659" s="13"/>
      <c r="H659" s="12"/>
      <c r="K659" s="12"/>
      <c r="M659" s="12"/>
      <c r="R659" s="218"/>
      <c r="S659" s="218"/>
      <c r="T659" s="218"/>
      <c r="U659" s="218"/>
    </row>
    <row r="660">
      <c r="C660" s="12"/>
      <c r="D660" s="3"/>
      <c r="E660" s="112"/>
      <c r="F660" s="3"/>
      <c r="G660" s="13"/>
      <c r="H660" s="12"/>
      <c r="K660" s="12"/>
      <c r="M660" s="12"/>
      <c r="R660" s="218"/>
      <c r="S660" s="218"/>
      <c r="T660" s="218"/>
      <c r="U660" s="218"/>
    </row>
    <row r="661">
      <c r="C661" s="12"/>
      <c r="D661" s="3"/>
      <c r="E661" s="112"/>
      <c r="F661" s="3"/>
      <c r="G661" s="13"/>
      <c r="H661" s="12"/>
      <c r="K661" s="12"/>
      <c r="M661" s="12"/>
      <c r="R661" s="218"/>
      <c r="S661" s="218"/>
      <c r="T661" s="218"/>
      <c r="U661" s="218"/>
    </row>
    <row r="662">
      <c r="C662" s="12"/>
      <c r="D662" s="3"/>
      <c r="E662" s="112"/>
      <c r="F662" s="3"/>
      <c r="G662" s="13"/>
      <c r="H662" s="12"/>
      <c r="K662" s="12"/>
      <c r="M662" s="12"/>
      <c r="R662" s="218"/>
      <c r="S662" s="218"/>
      <c r="T662" s="218"/>
      <c r="U662" s="218"/>
    </row>
    <row r="663">
      <c r="C663" s="12"/>
      <c r="D663" s="3"/>
      <c r="E663" s="112"/>
      <c r="F663" s="3"/>
      <c r="G663" s="13"/>
      <c r="H663" s="12"/>
      <c r="K663" s="12"/>
      <c r="M663" s="12"/>
      <c r="R663" s="218"/>
      <c r="S663" s="218"/>
      <c r="T663" s="218"/>
      <c r="U663" s="218"/>
    </row>
    <row r="664">
      <c r="C664" s="12"/>
      <c r="D664" s="3"/>
      <c r="E664" s="112"/>
      <c r="F664" s="3"/>
      <c r="G664" s="13"/>
      <c r="H664" s="12"/>
      <c r="K664" s="12"/>
      <c r="M664" s="12"/>
      <c r="R664" s="218"/>
      <c r="S664" s="218"/>
      <c r="T664" s="218"/>
      <c r="U664" s="218"/>
    </row>
    <row r="665">
      <c r="C665" s="12"/>
      <c r="D665" s="3"/>
      <c r="E665" s="112"/>
      <c r="F665" s="3"/>
      <c r="G665" s="13"/>
      <c r="H665" s="12"/>
      <c r="K665" s="12"/>
      <c r="M665" s="12"/>
      <c r="R665" s="218"/>
      <c r="S665" s="218"/>
      <c r="T665" s="218"/>
      <c r="U665" s="218"/>
    </row>
    <row r="666">
      <c r="C666" s="12"/>
      <c r="D666" s="3"/>
      <c r="E666" s="112"/>
      <c r="F666" s="3"/>
      <c r="G666" s="13"/>
      <c r="H666" s="12"/>
      <c r="K666" s="12"/>
      <c r="M666" s="12"/>
      <c r="R666" s="218"/>
      <c r="S666" s="218"/>
      <c r="T666" s="218"/>
      <c r="U666" s="218"/>
    </row>
    <row r="667">
      <c r="C667" s="12"/>
      <c r="D667" s="3"/>
      <c r="E667" s="112"/>
      <c r="F667" s="3"/>
      <c r="G667" s="13"/>
      <c r="H667" s="12"/>
      <c r="K667" s="12"/>
      <c r="M667" s="12"/>
      <c r="R667" s="218"/>
      <c r="S667" s="218"/>
      <c r="T667" s="218"/>
      <c r="U667" s="218"/>
    </row>
    <row r="668">
      <c r="C668" s="12"/>
      <c r="D668" s="3"/>
      <c r="E668" s="112"/>
      <c r="F668" s="3"/>
      <c r="G668" s="13"/>
      <c r="H668" s="12"/>
      <c r="K668" s="12"/>
      <c r="M668" s="12"/>
      <c r="R668" s="218"/>
      <c r="S668" s="218"/>
      <c r="T668" s="218"/>
      <c r="U668" s="218"/>
    </row>
    <row r="669">
      <c r="C669" s="12"/>
      <c r="D669" s="3"/>
      <c r="E669" s="112"/>
      <c r="F669" s="3"/>
      <c r="G669" s="13"/>
      <c r="H669" s="12"/>
      <c r="K669" s="12"/>
      <c r="M669" s="12"/>
      <c r="R669" s="218"/>
      <c r="S669" s="218"/>
      <c r="T669" s="218"/>
      <c r="U669" s="218"/>
    </row>
    <row r="670">
      <c r="C670" s="12"/>
      <c r="D670" s="3"/>
      <c r="E670" s="112"/>
      <c r="F670" s="3"/>
      <c r="G670" s="13"/>
      <c r="H670" s="12"/>
      <c r="K670" s="12"/>
      <c r="M670" s="12"/>
      <c r="R670" s="218"/>
      <c r="S670" s="218"/>
      <c r="T670" s="218"/>
      <c r="U670" s="218"/>
    </row>
    <row r="671">
      <c r="C671" s="12"/>
      <c r="D671" s="3"/>
      <c r="E671" s="112"/>
      <c r="F671" s="3"/>
      <c r="G671" s="13"/>
      <c r="H671" s="12"/>
      <c r="K671" s="12"/>
      <c r="M671" s="12"/>
      <c r="R671" s="218"/>
      <c r="S671" s="218"/>
      <c r="T671" s="218"/>
      <c r="U671" s="218"/>
    </row>
    <row r="672">
      <c r="C672" s="12"/>
      <c r="D672" s="3"/>
      <c r="E672" s="112"/>
      <c r="F672" s="3"/>
      <c r="G672" s="13"/>
      <c r="H672" s="12"/>
      <c r="K672" s="12"/>
      <c r="M672" s="12"/>
      <c r="R672" s="218"/>
      <c r="S672" s="218"/>
      <c r="T672" s="218"/>
      <c r="U672" s="218"/>
    </row>
    <row r="673">
      <c r="C673" s="12"/>
      <c r="D673" s="3"/>
      <c r="E673" s="112"/>
      <c r="F673" s="3"/>
      <c r="G673" s="13"/>
      <c r="H673" s="12"/>
      <c r="K673" s="12"/>
      <c r="M673" s="12"/>
      <c r="R673" s="218"/>
      <c r="S673" s="218"/>
      <c r="T673" s="218"/>
      <c r="U673" s="218"/>
    </row>
    <row r="674">
      <c r="C674" s="12"/>
      <c r="D674" s="3"/>
      <c r="E674" s="112"/>
      <c r="F674" s="3"/>
      <c r="G674" s="13"/>
      <c r="H674" s="12"/>
      <c r="K674" s="12"/>
      <c r="M674" s="12"/>
      <c r="R674" s="218"/>
      <c r="S674" s="218"/>
      <c r="T674" s="218"/>
      <c r="U674" s="218"/>
    </row>
    <row r="675">
      <c r="C675" s="12"/>
      <c r="D675" s="3"/>
      <c r="E675" s="112"/>
      <c r="F675" s="3"/>
      <c r="G675" s="13"/>
      <c r="H675" s="12"/>
      <c r="K675" s="12"/>
      <c r="M675" s="12"/>
      <c r="R675" s="218"/>
      <c r="S675" s="218"/>
      <c r="T675" s="218"/>
      <c r="U675" s="218"/>
    </row>
    <row r="676">
      <c r="C676" s="12"/>
      <c r="D676" s="3"/>
      <c r="E676" s="112"/>
      <c r="F676" s="3"/>
      <c r="G676" s="13"/>
      <c r="H676" s="12"/>
      <c r="K676" s="12"/>
      <c r="M676" s="12"/>
      <c r="R676" s="218"/>
      <c r="S676" s="218"/>
      <c r="T676" s="218"/>
      <c r="U676" s="218"/>
    </row>
    <row r="677">
      <c r="C677" s="12"/>
      <c r="D677" s="3"/>
      <c r="E677" s="112"/>
      <c r="F677" s="3"/>
      <c r="G677" s="13"/>
      <c r="H677" s="12"/>
      <c r="K677" s="12"/>
      <c r="M677" s="12"/>
      <c r="R677" s="218"/>
      <c r="S677" s="218"/>
      <c r="T677" s="218"/>
      <c r="U677" s="218"/>
    </row>
    <row r="678">
      <c r="C678" s="12"/>
      <c r="D678" s="3"/>
      <c r="E678" s="112"/>
      <c r="F678" s="3"/>
      <c r="G678" s="13"/>
      <c r="H678" s="12"/>
      <c r="K678" s="12"/>
      <c r="M678" s="12"/>
      <c r="R678" s="218"/>
      <c r="S678" s="218"/>
      <c r="T678" s="218"/>
      <c r="U678" s="218"/>
    </row>
    <row r="679">
      <c r="C679" s="12"/>
      <c r="D679" s="3"/>
      <c r="E679" s="112"/>
      <c r="F679" s="3"/>
      <c r="G679" s="13"/>
      <c r="H679" s="12"/>
      <c r="K679" s="12"/>
      <c r="M679" s="12"/>
      <c r="R679" s="218"/>
      <c r="S679" s="218"/>
      <c r="T679" s="218"/>
      <c r="U679" s="218"/>
    </row>
    <row r="680">
      <c r="C680" s="12"/>
      <c r="D680" s="3"/>
      <c r="E680" s="112"/>
      <c r="F680" s="3"/>
      <c r="G680" s="13"/>
      <c r="H680" s="12"/>
      <c r="K680" s="12"/>
      <c r="M680" s="12"/>
      <c r="R680" s="218"/>
      <c r="S680" s="218"/>
      <c r="T680" s="218"/>
      <c r="U680" s="218"/>
    </row>
    <row r="681">
      <c r="C681" s="12"/>
      <c r="D681" s="3"/>
      <c r="E681" s="112"/>
      <c r="F681" s="3"/>
      <c r="G681" s="13"/>
      <c r="H681" s="12"/>
      <c r="K681" s="12"/>
      <c r="M681" s="12"/>
      <c r="R681" s="218"/>
      <c r="S681" s="218"/>
      <c r="T681" s="218"/>
      <c r="U681" s="218"/>
    </row>
    <row r="682">
      <c r="C682" s="12"/>
      <c r="D682" s="3"/>
      <c r="E682" s="112"/>
      <c r="F682" s="3"/>
      <c r="G682" s="13"/>
      <c r="H682" s="12"/>
      <c r="K682" s="12"/>
      <c r="M682" s="12"/>
      <c r="R682" s="218"/>
      <c r="S682" s="218"/>
      <c r="T682" s="218"/>
      <c r="U682" s="218"/>
    </row>
    <row r="683">
      <c r="C683" s="12"/>
      <c r="D683" s="3"/>
      <c r="E683" s="112"/>
      <c r="F683" s="3"/>
      <c r="G683" s="13"/>
      <c r="H683" s="12"/>
      <c r="K683" s="12"/>
      <c r="M683" s="12"/>
      <c r="R683" s="218"/>
      <c r="S683" s="218"/>
      <c r="T683" s="218"/>
      <c r="U683" s="218"/>
    </row>
    <row r="684">
      <c r="C684" s="12"/>
      <c r="D684" s="3"/>
      <c r="E684" s="112"/>
      <c r="F684" s="3"/>
      <c r="G684" s="13"/>
      <c r="H684" s="12"/>
      <c r="K684" s="12"/>
      <c r="M684" s="12"/>
      <c r="R684" s="218"/>
      <c r="S684" s="218"/>
      <c r="T684" s="218"/>
      <c r="U684" s="218"/>
    </row>
    <row r="685">
      <c r="C685" s="12"/>
      <c r="D685" s="3"/>
      <c r="E685" s="112"/>
      <c r="F685" s="3"/>
      <c r="G685" s="13"/>
      <c r="H685" s="12"/>
      <c r="K685" s="12"/>
      <c r="M685" s="12"/>
      <c r="R685" s="218"/>
      <c r="S685" s="218"/>
      <c r="T685" s="218"/>
      <c r="U685" s="218"/>
    </row>
    <row r="686">
      <c r="C686" s="12"/>
      <c r="D686" s="3"/>
      <c r="E686" s="112"/>
      <c r="F686" s="3"/>
      <c r="G686" s="13"/>
      <c r="H686" s="12"/>
      <c r="K686" s="12"/>
      <c r="M686" s="12"/>
      <c r="R686" s="218"/>
      <c r="S686" s="218"/>
      <c r="T686" s="218"/>
      <c r="U686" s="218"/>
    </row>
    <row r="687">
      <c r="C687" s="12"/>
      <c r="D687" s="3"/>
      <c r="E687" s="112"/>
      <c r="F687" s="3"/>
      <c r="G687" s="13"/>
      <c r="H687" s="12"/>
      <c r="K687" s="12"/>
      <c r="M687" s="12"/>
      <c r="R687" s="218"/>
      <c r="S687" s="218"/>
      <c r="T687" s="218"/>
      <c r="U687" s="218"/>
    </row>
    <row r="688">
      <c r="C688" s="12"/>
      <c r="D688" s="3"/>
      <c r="E688" s="112"/>
      <c r="F688" s="3"/>
      <c r="G688" s="13"/>
      <c r="H688" s="12"/>
      <c r="K688" s="12"/>
      <c r="M688" s="12"/>
      <c r="R688" s="218"/>
      <c r="S688" s="218"/>
      <c r="T688" s="218"/>
      <c r="U688" s="218"/>
    </row>
    <row r="689">
      <c r="C689" s="12"/>
      <c r="D689" s="3"/>
      <c r="E689" s="112"/>
      <c r="F689" s="3"/>
      <c r="G689" s="13"/>
      <c r="H689" s="12"/>
      <c r="K689" s="12"/>
      <c r="M689" s="12"/>
      <c r="R689" s="218"/>
      <c r="S689" s="218"/>
      <c r="T689" s="218"/>
      <c r="U689" s="218"/>
    </row>
    <row r="690">
      <c r="C690" s="12"/>
      <c r="D690" s="3"/>
      <c r="E690" s="112"/>
      <c r="F690" s="3"/>
      <c r="G690" s="13"/>
      <c r="H690" s="12"/>
      <c r="K690" s="12"/>
      <c r="M690" s="12"/>
      <c r="R690" s="218"/>
      <c r="S690" s="218"/>
      <c r="T690" s="218"/>
      <c r="U690" s="218"/>
    </row>
    <row r="691">
      <c r="C691" s="12"/>
      <c r="D691" s="3"/>
      <c r="E691" s="112"/>
      <c r="F691" s="3"/>
      <c r="G691" s="13"/>
      <c r="H691" s="12"/>
      <c r="K691" s="12"/>
      <c r="M691" s="12"/>
      <c r="R691" s="218"/>
      <c r="S691" s="218"/>
      <c r="T691" s="218"/>
      <c r="U691" s="218"/>
    </row>
    <row r="692">
      <c r="C692" s="12"/>
      <c r="D692" s="3"/>
      <c r="E692" s="112"/>
      <c r="F692" s="3"/>
      <c r="G692" s="13"/>
      <c r="H692" s="12"/>
      <c r="K692" s="12"/>
      <c r="M692" s="12"/>
      <c r="R692" s="218"/>
      <c r="S692" s="218"/>
      <c r="T692" s="218"/>
      <c r="U692" s="218"/>
    </row>
    <row r="693">
      <c r="C693" s="12"/>
      <c r="D693" s="3"/>
      <c r="E693" s="112"/>
      <c r="F693" s="3"/>
      <c r="G693" s="13"/>
      <c r="H693" s="12"/>
      <c r="K693" s="12"/>
      <c r="M693" s="12"/>
      <c r="R693" s="218"/>
      <c r="S693" s="218"/>
      <c r="T693" s="218"/>
      <c r="U693" s="218"/>
    </row>
    <row r="694">
      <c r="C694" s="12"/>
      <c r="D694" s="3"/>
      <c r="E694" s="112"/>
      <c r="F694" s="3"/>
      <c r="G694" s="13"/>
      <c r="H694" s="12"/>
      <c r="K694" s="12"/>
      <c r="M694" s="12"/>
      <c r="R694" s="218"/>
      <c r="S694" s="218"/>
      <c r="T694" s="218"/>
      <c r="U694" s="218"/>
    </row>
    <row r="695">
      <c r="C695" s="12"/>
      <c r="D695" s="3"/>
      <c r="E695" s="112"/>
      <c r="F695" s="3"/>
      <c r="G695" s="13"/>
      <c r="H695" s="12"/>
      <c r="K695" s="12"/>
      <c r="M695" s="12"/>
      <c r="R695" s="218"/>
      <c r="S695" s="218"/>
      <c r="T695" s="218"/>
      <c r="U695" s="218"/>
    </row>
    <row r="696">
      <c r="C696" s="12"/>
      <c r="D696" s="3"/>
      <c r="E696" s="112"/>
      <c r="F696" s="3"/>
      <c r="G696" s="13"/>
      <c r="H696" s="12"/>
      <c r="K696" s="12"/>
      <c r="M696" s="12"/>
      <c r="R696" s="218"/>
      <c r="S696" s="218"/>
      <c r="T696" s="218"/>
      <c r="U696" s="218"/>
    </row>
    <row r="697">
      <c r="C697" s="12"/>
      <c r="D697" s="3"/>
      <c r="E697" s="112"/>
      <c r="F697" s="3"/>
      <c r="G697" s="13"/>
      <c r="H697" s="12"/>
      <c r="K697" s="12"/>
      <c r="M697" s="12"/>
      <c r="R697" s="218"/>
      <c r="S697" s="218"/>
      <c r="T697" s="218"/>
      <c r="U697" s="218"/>
    </row>
    <row r="698">
      <c r="C698" s="12"/>
      <c r="D698" s="3"/>
      <c r="E698" s="112"/>
      <c r="F698" s="3"/>
      <c r="G698" s="13"/>
      <c r="H698" s="12"/>
      <c r="K698" s="12"/>
      <c r="M698" s="12"/>
      <c r="R698" s="218"/>
      <c r="S698" s="218"/>
      <c r="T698" s="218"/>
      <c r="U698" s="218"/>
    </row>
    <row r="699">
      <c r="C699" s="12"/>
      <c r="D699" s="3"/>
      <c r="E699" s="112"/>
      <c r="F699" s="3"/>
      <c r="G699" s="13"/>
      <c r="H699" s="12"/>
      <c r="K699" s="12"/>
      <c r="M699" s="12"/>
      <c r="R699" s="218"/>
      <c r="S699" s="218"/>
      <c r="T699" s="218"/>
      <c r="U699" s="218"/>
    </row>
    <row r="700">
      <c r="C700" s="12"/>
      <c r="D700" s="3"/>
      <c r="E700" s="112"/>
      <c r="F700" s="3"/>
      <c r="G700" s="13"/>
      <c r="H700" s="12"/>
      <c r="K700" s="12"/>
      <c r="M700" s="12"/>
      <c r="R700" s="218"/>
      <c r="S700" s="218"/>
      <c r="T700" s="218"/>
      <c r="U700" s="218"/>
    </row>
    <row r="701">
      <c r="C701" s="12"/>
      <c r="D701" s="3"/>
      <c r="E701" s="112"/>
      <c r="F701" s="3"/>
      <c r="G701" s="13"/>
      <c r="H701" s="12"/>
      <c r="K701" s="12"/>
      <c r="M701" s="12"/>
      <c r="R701" s="218"/>
      <c r="S701" s="218"/>
      <c r="T701" s="218"/>
      <c r="U701" s="218"/>
    </row>
    <row r="702">
      <c r="C702" s="12"/>
      <c r="D702" s="3"/>
      <c r="E702" s="112"/>
      <c r="F702" s="3"/>
      <c r="G702" s="13"/>
      <c r="H702" s="12"/>
      <c r="K702" s="12"/>
      <c r="M702" s="12"/>
      <c r="R702" s="218"/>
      <c r="S702" s="218"/>
      <c r="T702" s="218"/>
      <c r="U702" s="218"/>
    </row>
    <row r="703">
      <c r="C703" s="12"/>
      <c r="D703" s="3"/>
      <c r="E703" s="112"/>
      <c r="F703" s="3"/>
      <c r="G703" s="13"/>
      <c r="H703" s="12"/>
      <c r="K703" s="12"/>
      <c r="M703" s="12"/>
      <c r="R703" s="218"/>
      <c r="S703" s="218"/>
      <c r="T703" s="218"/>
      <c r="U703" s="218"/>
    </row>
    <row r="704">
      <c r="C704" s="12"/>
      <c r="D704" s="3"/>
      <c r="E704" s="112"/>
      <c r="F704" s="3"/>
      <c r="G704" s="13"/>
      <c r="H704" s="12"/>
      <c r="K704" s="12"/>
      <c r="M704" s="12"/>
      <c r="R704" s="218"/>
      <c r="S704" s="218"/>
      <c r="T704" s="218"/>
      <c r="U704" s="218"/>
    </row>
    <row r="705">
      <c r="C705" s="12"/>
      <c r="D705" s="3"/>
      <c r="E705" s="112"/>
      <c r="F705" s="3"/>
      <c r="G705" s="13"/>
      <c r="H705" s="12"/>
      <c r="K705" s="12"/>
      <c r="M705" s="12"/>
      <c r="R705" s="218"/>
      <c r="S705" s="218"/>
      <c r="T705" s="218"/>
      <c r="U705" s="218"/>
    </row>
    <row r="706">
      <c r="C706" s="12"/>
      <c r="D706" s="3"/>
      <c r="E706" s="112"/>
      <c r="F706" s="3"/>
      <c r="G706" s="13"/>
      <c r="H706" s="12"/>
      <c r="K706" s="12"/>
      <c r="M706" s="12"/>
      <c r="R706" s="218"/>
      <c r="S706" s="218"/>
      <c r="T706" s="218"/>
      <c r="U706" s="218"/>
    </row>
    <row r="707">
      <c r="C707" s="12"/>
      <c r="D707" s="3"/>
      <c r="E707" s="112"/>
      <c r="F707" s="3"/>
      <c r="G707" s="13"/>
      <c r="H707" s="12"/>
      <c r="K707" s="12"/>
      <c r="M707" s="12"/>
      <c r="R707" s="218"/>
      <c r="S707" s="218"/>
      <c r="T707" s="218"/>
      <c r="U707" s="218"/>
    </row>
    <row r="708">
      <c r="C708" s="12"/>
      <c r="D708" s="3"/>
      <c r="E708" s="112"/>
      <c r="F708" s="3"/>
      <c r="G708" s="13"/>
      <c r="H708" s="12"/>
      <c r="K708" s="12"/>
      <c r="M708" s="12"/>
      <c r="R708" s="218"/>
      <c r="S708" s="218"/>
      <c r="T708" s="218"/>
      <c r="U708" s="218"/>
    </row>
    <row r="709">
      <c r="C709" s="12"/>
      <c r="D709" s="3"/>
      <c r="E709" s="112"/>
      <c r="F709" s="3"/>
      <c r="G709" s="13"/>
      <c r="H709" s="12"/>
      <c r="K709" s="12"/>
      <c r="M709" s="12"/>
      <c r="R709" s="218"/>
      <c r="S709" s="218"/>
      <c r="T709" s="218"/>
      <c r="U709" s="218"/>
    </row>
    <row r="710">
      <c r="C710" s="12"/>
      <c r="D710" s="3"/>
      <c r="E710" s="112"/>
      <c r="F710" s="3"/>
      <c r="G710" s="13"/>
      <c r="H710" s="12"/>
      <c r="K710" s="12"/>
      <c r="M710" s="12"/>
      <c r="R710" s="218"/>
      <c r="S710" s="218"/>
      <c r="T710" s="218"/>
      <c r="U710" s="218"/>
    </row>
    <row r="711">
      <c r="C711" s="12"/>
      <c r="D711" s="3"/>
      <c r="E711" s="112"/>
      <c r="F711" s="3"/>
      <c r="G711" s="13"/>
      <c r="H711" s="12"/>
      <c r="K711" s="12"/>
      <c r="M711" s="12"/>
      <c r="R711" s="218"/>
      <c r="S711" s="218"/>
      <c r="T711" s="218"/>
      <c r="U711" s="218"/>
    </row>
    <row r="712">
      <c r="C712" s="12"/>
      <c r="D712" s="3"/>
      <c r="E712" s="112"/>
      <c r="F712" s="3"/>
      <c r="G712" s="13"/>
      <c r="H712" s="12"/>
      <c r="K712" s="12"/>
      <c r="M712" s="12"/>
      <c r="R712" s="218"/>
      <c r="S712" s="218"/>
      <c r="T712" s="218"/>
      <c r="U712" s="218"/>
    </row>
    <row r="713">
      <c r="C713" s="12"/>
      <c r="D713" s="3"/>
      <c r="E713" s="112"/>
      <c r="F713" s="3"/>
      <c r="G713" s="13"/>
      <c r="H713" s="12"/>
      <c r="K713" s="12"/>
      <c r="M713" s="12"/>
      <c r="R713" s="218"/>
      <c r="S713" s="218"/>
      <c r="T713" s="218"/>
      <c r="U713" s="218"/>
    </row>
    <row r="714">
      <c r="C714" s="12"/>
      <c r="D714" s="3"/>
      <c r="E714" s="112"/>
      <c r="F714" s="3"/>
      <c r="G714" s="13"/>
      <c r="H714" s="12"/>
      <c r="K714" s="12"/>
      <c r="M714" s="12"/>
      <c r="R714" s="218"/>
      <c r="S714" s="218"/>
      <c r="T714" s="218"/>
      <c r="U714" s="218"/>
    </row>
    <row r="715">
      <c r="C715" s="12"/>
      <c r="D715" s="3"/>
      <c r="E715" s="112"/>
      <c r="F715" s="3"/>
      <c r="G715" s="13"/>
      <c r="H715" s="12"/>
      <c r="K715" s="12"/>
      <c r="M715" s="12"/>
      <c r="R715" s="218"/>
      <c r="S715" s="218"/>
      <c r="T715" s="218"/>
      <c r="U715" s="218"/>
    </row>
    <row r="716">
      <c r="C716" s="12"/>
      <c r="D716" s="3"/>
      <c r="E716" s="112"/>
      <c r="F716" s="3"/>
      <c r="G716" s="13"/>
      <c r="H716" s="12"/>
      <c r="K716" s="12"/>
      <c r="M716" s="12"/>
      <c r="R716" s="218"/>
      <c r="S716" s="218"/>
      <c r="T716" s="218"/>
      <c r="U716" s="218"/>
    </row>
    <row r="717">
      <c r="C717" s="12"/>
      <c r="D717" s="3"/>
      <c r="E717" s="112"/>
      <c r="F717" s="3"/>
      <c r="G717" s="13"/>
      <c r="H717" s="12"/>
      <c r="K717" s="12"/>
      <c r="M717" s="12"/>
      <c r="R717" s="218"/>
      <c r="S717" s="218"/>
      <c r="T717" s="218"/>
      <c r="U717" s="218"/>
    </row>
    <row r="718">
      <c r="C718" s="12"/>
      <c r="D718" s="3"/>
      <c r="E718" s="112"/>
      <c r="F718" s="3"/>
      <c r="G718" s="13"/>
      <c r="H718" s="12"/>
      <c r="K718" s="12"/>
      <c r="M718" s="12"/>
      <c r="R718" s="218"/>
      <c r="S718" s="218"/>
      <c r="T718" s="218"/>
      <c r="U718" s="218"/>
    </row>
    <row r="719">
      <c r="C719" s="12"/>
      <c r="D719" s="3"/>
      <c r="E719" s="112"/>
      <c r="F719" s="3"/>
      <c r="G719" s="13"/>
      <c r="H719" s="12"/>
      <c r="K719" s="12"/>
      <c r="M719" s="12"/>
      <c r="R719" s="218"/>
      <c r="S719" s="218"/>
      <c r="T719" s="218"/>
      <c r="U719" s="218"/>
    </row>
    <row r="720">
      <c r="C720" s="12"/>
      <c r="D720" s="3"/>
      <c r="E720" s="112"/>
      <c r="F720" s="3"/>
      <c r="G720" s="13"/>
      <c r="H720" s="12"/>
      <c r="K720" s="12"/>
      <c r="M720" s="12"/>
      <c r="R720" s="218"/>
      <c r="S720" s="218"/>
      <c r="T720" s="218"/>
      <c r="U720" s="218"/>
    </row>
    <row r="721">
      <c r="C721" s="12"/>
      <c r="D721" s="3"/>
      <c r="E721" s="112"/>
      <c r="F721" s="3"/>
      <c r="G721" s="13"/>
      <c r="H721" s="12"/>
      <c r="K721" s="12"/>
      <c r="M721" s="12"/>
      <c r="R721" s="218"/>
      <c r="S721" s="218"/>
      <c r="T721" s="218"/>
      <c r="U721" s="218"/>
    </row>
    <row r="722">
      <c r="C722" s="12"/>
      <c r="D722" s="3"/>
      <c r="E722" s="112"/>
      <c r="F722" s="3"/>
      <c r="G722" s="13"/>
      <c r="H722" s="12"/>
      <c r="K722" s="12"/>
      <c r="M722" s="12"/>
      <c r="R722" s="218"/>
      <c r="S722" s="218"/>
      <c r="T722" s="218"/>
      <c r="U722" s="218"/>
    </row>
    <row r="723">
      <c r="C723" s="12"/>
      <c r="D723" s="3"/>
      <c r="E723" s="112"/>
      <c r="F723" s="3"/>
      <c r="G723" s="13"/>
      <c r="H723" s="12"/>
      <c r="K723" s="12"/>
      <c r="M723" s="12"/>
      <c r="R723" s="218"/>
      <c r="S723" s="218"/>
      <c r="T723" s="218"/>
      <c r="U723" s="218"/>
    </row>
    <row r="724">
      <c r="C724" s="12"/>
      <c r="D724" s="3"/>
      <c r="E724" s="112"/>
      <c r="F724" s="3"/>
      <c r="G724" s="13"/>
      <c r="H724" s="12"/>
      <c r="K724" s="12"/>
      <c r="M724" s="12"/>
      <c r="R724" s="218"/>
      <c r="S724" s="218"/>
      <c r="T724" s="218"/>
      <c r="U724" s="218"/>
    </row>
    <row r="725">
      <c r="C725" s="12"/>
      <c r="D725" s="3"/>
      <c r="E725" s="112"/>
      <c r="F725" s="3"/>
      <c r="G725" s="13"/>
      <c r="H725" s="12"/>
      <c r="K725" s="12"/>
      <c r="M725" s="12"/>
      <c r="R725" s="218"/>
      <c r="S725" s="218"/>
      <c r="T725" s="218"/>
      <c r="U725" s="218"/>
    </row>
    <row r="726">
      <c r="C726" s="12"/>
      <c r="D726" s="3"/>
      <c r="E726" s="112"/>
      <c r="F726" s="3"/>
      <c r="G726" s="13"/>
      <c r="H726" s="12"/>
      <c r="K726" s="12"/>
      <c r="M726" s="12"/>
      <c r="R726" s="218"/>
      <c r="S726" s="218"/>
      <c r="T726" s="218"/>
      <c r="U726" s="218"/>
    </row>
    <row r="727">
      <c r="C727" s="12"/>
      <c r="D727" s="3"/>
      <c r="E727" s="112"/>
      <c r="F727" s="3"/>
      <c r="G727" s="13"/>
      <c r="H727" s="12"/>
      <c r="K727" s="12"/>
      <c r="M727" s="12"/>
      <c r="R727" s="218"/>
      <c r="S727" s="218"/>
      <c r="T727" s="218"/>
      <c r="U727" s="218"/>
    </row>
    <row r="728">
      <c r="C728" s="12"/>
      <c r="D728" s="3"/>
      <c r="E728" s="112"/>
      <c r="F728" s="3"/>
      <c r="G728" s="13"/>
      <c r="H728" s="12"/>
      <c r="K728" s="12"/>
      <c r="M728" s="12"/>
      <c r="R728" s="218"/>
      <c r="S728" s="218"/>
      <c r="T728" s="218"/>
      <c r="U728" s="218"/>
    </row>
    <row r="729">
      <c r="C729" s="12"/>
      <c r="D729" s="3"/>
      <c r="E729" s="112"/>
      <c r="F729" s="3"/>
      <c r="G729" s="13"/>
      <c r="H729" s="12"/>
      <c r="K729" s="12"/>
      <c r="M729" s="12"/>
      <c r="R729" s="218"/>
      <c r="S729" s="218"/>
      <c r="T729" s="218"/>
      <c r="U729" s="218"/>
    </row>
    <row r="730">
      <c r="C730" s="12"/>
      <c r="D730" s="3"/>
      <c r="E730" s="112"/>
      <c r="F730" s="3"/>
      <c r="G730" s="13"/>
      <c r="H730" s="12"/>
      <c r="K730" s="12"/>
      <c r="M730" s="12"/>
      <c r="R730" s="218"/>
      <c r="S730" s="218"/>
      <c r="T730" s="218"/>
      <c r="U730" s="218"/>
    </row>
    <row r="731">
      <c r="C731" s="12"/>
      <c r="D731" s="3"/>
      <c r="E731" s="112"/>
      <c r="F731" s="3"/>
      <c r="G731" s="13"/>
      <c r="H731" s="12"/>
      <c r="K731" s="12"/>
      <c r="M731" s="12"/>
      <c r="R731" s="218"/>
      <c r="S731" s="218"/>
      <c r="T731" s="218"/>
      <c r="U731" s="218"/>
    </row>
    <row r="732">
      <c r="C732" s="12"/>
      <c r="D732" s="3"/>
      <c r="E732" s="112"/>
      <c r="F732" s="3"/>
      <c r="G732" s="13"/>
      <c r="H732" s="12"/>
      <c r="K732" s="12"/>
      <c r="M732" s="12"/>
      <c r="R732" s="218"/>
      <c r="S732" s="218"/>
      <c r="T732" s="218"/>
      <c r="U732" s="218"/>
    </row>
    <row r="733">
      <c r="C733" s="12"/>
      <c r="D733" s="3"/>
      <c r="E733" s="112"/>
      <c r="F733" s="3"/>
      <c r="G733" s="13"/>
      <c r="H733" s="12"/>
      <c r="K733" s="12"/>
      <c r="M733" s="12"/>
      <c r="R733" s="218"/>
      <c r="S733" s="218"/>
      <c r="T733" s="218"/>
      <c r="U733" s="218"/>
    </row>
    <row r="734">
      <c r="C734" s="12"/>
      <c r="D734" s="3"/>
      <c r="E734" s="112"/>
      <c r="F734" s="3"/>
      <c r="G734" s="13"/>
      <c r="H734" s="12"/>
      <c r="K734" s="12"/>
      <c r="M734" s="12"/>
      <c r="R734" s="218"/>
      <c r="S734" s="218"/>
      <c r="T734" s="218"/>
      <c r="U734" s="218"/>
    </row>
    <row r="735">
      <c r="C735" s="12"/>
      <c r="D735" s="3"/>
      <c r="E735" s="112"/>
      <c r="F735" s="3"/>
      <c r="G735" s="13"/>
      <c r="H735" s="12"/>
      <c r="K735" s="12"/>
      <c r="M735" s="12"/>
      <c r="R735" s="218"/>
      <c r="S735" s="218"/>
      <c r="T735" s="218"/>
      <c r="U735" s="218"/>
    </row>
    <row r="736">
      <c r="C736" s="12"/>
      <c r="D736" s="3"/>
      <c r="E736" s="112"/>
      <c r="F736" s="3"/>
      <c r="G736" s="13"/>
      <c r="H736" s="12"/>
      <c r="K736" s="12"/>
      <c r="M736" s="12"/>
      <c r="R736" s="218"/>
      <c r="S736" s="218"/>
      <c r="T736" s="218"/>
      <c r="U736" s="218"/>
    </row>
    <row r="737">
      <c r="C737" s="12"/>
      <c r="D737" s="3"/>
      <c r="E737" s="112"/>
      <c r="F737" s="3"/>
      <c r="G737" s="13"/>
      <c r="H737" s="12"/>
      <c r="K737" s="12"/>
      <c r="M737" s="12"/>
      <c r="R737" s="218"/>
      <c r="S737" s="218"/>
      <c r="T737" s="218"/>
      <c r="U737" s="218"/>
    </row>
    <row r="738">
      <c r="C738" s="12"/>
      <c r="D738" s="3"/>
      <c r="E738" s="112"/>
      <c r="F738" s="3"/>
      <c r="G738" s="13"/>
      <c r="H738" s="12"/>
      <c r="K738" s="12"/>
      <c r="M738" s="12"/>
      <c r="R738" s="218"/>
      <c r="S738" s="218"/>
      <c r="T738" s="218"/>
      <c r="U738" s="218"/>
    </row>
    <row r="739">
      <c r="C739" s="12"/>
      <c r="D739" s="3"/>
      <c r="E739" s="112"/>
      <c r="F739" s="3"/>
      <c r="G739" s="13"/>
      <c r="H739" s="12"/>
      <c r="K739" s="12"/>
      <c r="M739" s="12"/>
      <c r="R739" s="218"/>
      <c r="S739" s="218"/>
      <c r="T739" s="218"/>
      <c r="U739" s="218"/>
    </row>
    <row r="740">
      <c r="C740" s="12"/>
      <c r="D740" s="3"/>
      <c r="E740" s="112"/>
      <c r="F740" s="3"/>
      <c r="G740" s="13"/>
      <c r="H740" s="12"/>
      <c r="K740" s="12"/>
      <c r="M740" s="12"/>
      <c r="R740" s="218"/>
      <c r="S740" s="218"/>
      <c r="T740" s="218"/>
      <c r="U740" s="218"/>
    </row>
    <row r="741">
      <c r="C741" s="12"/>
      <c r="D741" s="3"/>
      <c r="E741" s="112"/>
      <c r="F741" s="3"/>
      <c r="G741" s="13"/>
      <c r="H741" s="12"/>
      <c r="K741" s="12"/>
      <c r="M741" s="12"/>
      <c r="R741" s="218"/>
      <c r="S741" s="218"/>
      <c r="T741" s="218"/>
      <c r="U741" s="218"/>
    </row>
    <row r="742">
      <c r="C742" s="12"/>
      <c r="D742" s="3"/>
      <c r="E742" s="112"/>
      <c r="F742" s="3"/>
      <c r="G742" s="13"/>
      <c r="H742" s="12"/>
      <c r="K742" s="12"/>
      <c r="M742" s="12"/>
      <c r="R742" s="218"/>
      <c r="S742" s="218"/>
      <c r="T742" s="218"/>
      <c r="U742" s="218"/>
    </row>
    <row r="743">
      <c r="C743" s="12"/>
      <c r="D743" s="3"/>
      <c r="E743" s="112"/>
      <c r="F743" s="3"/>
      <c r="G743" s="13"/>
      <c r="H743" s="12"/>
      <c r="K743" s="12"/>
      <c r="M743" s="12"/>
      <c r="R743" s="218"/>
      <c r="S743" s="218"/>
      <c r="T743" s="218"/>
      <c r="U743" s="218"/>
    </row>
    <row r="744">
      <c r="C744" s="12"/>
      <c r="D744" s="3"/>
      <c r="E744" s="112"/>
      <c r="F744" s="3"/>
      <c r="G744" s="13"/>
      <c r="H744" s="12"/>
      <c r="K744" s="12"/>
      <c r="M744" s="12"/>
      <c r="R744" s="218"/>
      <c r="S744" s="218"/>
      <c r="T744" s="218"/>
      <c r="U744" s="218"/>
    </row>
    <row r="745">
      <c r="C745" s="12"/>
      <c r="D745" s="3"/>
      <c r="E745" s="112"/>
      <c r="F745" s="3"/>
      <c r="G745" s="13"/>
      <c r="H745" s="12"/>
      <c r="K745" s="12"/>
      <c r="M745" s="12"/>
      <c r="R745" s="218"/>
      <c r="S745" s="218"/>
      <c r="T745" s="218"/>
      <c r="U745" s="218"/>
    </row>
    <row r="746">
      <c r="C746" s="12"/>
      <c r="D746" s="3"/>
      <c r="E746" s="112"/>
      <c r="F746" s="3"/>
      <c r="G746" s="13"/>
      <c r="H746" s="12"/>
      <c r="K746" s="12"/>
      <c r="M746" s="12"/>
      <c r="R746" s="218"/>
      <c r="S746" s="218"/>
      <c r="T746" s="218"/>
      <c r="U746" s="218"/>
    </row>
    <row r="747">
      <c r="C747" s="12"/>
      <c r="D747" s="3"/>
      <c r="E747" s="112"/>
      <c r="F747" s="3"/>
      <c r="G747" s="13"/>
      <c r="H747" s="12"/>
      <c r="K747" s="12"/>
      <c r="M747" s="12"/>
      <c r="R747" s="218"/>
      <c r="S747" s="218"/>
      <c r="T747" s="218"/>
      <c r="U747" s="218"/>
    </row>
    <row r="748">
      <c r="C748" s="12"/>
      <c r="D748" s="3"/>
      <c r="E748" s="112"/>
      <c r="F748" s="3"/>
      <c r="G748" s="13"/>
      <c r="H748" s="12"/>
      <c r="K748" s="12"/>
      <c r="M748" s="12"/>
      <c r="R748" s="218"/>
      <c r="S748" s="218"/>
      <c r="T748" s="218"/>
      <c r="U748" s="218"/>
    </row>
    <row r="749">
      <c r="C749" s="12"/>
      <c r="D749" s="3"/>
      <c r="E749" s="112"/>
      <c r="F749" s="3"/>
      <c r="G749" s="13"/>
      <c r="H749" s="12"/>
      <c r="K749" s="12"/>
      <c r="M749" s="12"/>
      <c r="R749" s="218"/>
      <c r="S749" s="218"/>
      <c r="T749" s="218"/>
      <c r="U749" s="218"/>
    </row>
    <row r="750">
      <c r="C750" s="12"/>
      <c r="D750" s="3"/>
      <c r="E750" s="112"/>
      <c r="F750" s="3"/>
      <c r="G750" s="13"/>
      <c r="H750" s="12"/>
      <c r="K750" s="12"/>
      <c r="M750" s="12"/>
      <c r="R750" s="218"/>
      <c r="S750" s="218"/>
      <c r="T750" s="218"/>
      <c r="U750" s="218"/>
    </row>
    <row r="751">
      <c r="C751" s="12"/>
      <c r="D751" s="3"/>
      <c r="E751" s="112"/>
      <c r="F751" s="3"/>
      <c r="G751" s="13"/>
      <c r="H751" s="12"/>
      <c r="K751" s="12"/>
      <c r="M751" s="12"/>
      <c r="R751" s="218"/>
      <c r="S751" s="218"/>
      <c r="T751" s="218"/>
      <c r="U751" s="218"/>
    </row>
    <row r="752">
      <c r="C752" s="12"/>
      <c r="D752" s="3"/>
      <c r="E752" s="112"/>
      <c r="F752" s="3"/>
      <c r="G752" s="13"/>
      <c r="H752" s="12"/>
      <c r="K752" s="12"/>
      <c r="M752" s="12"/>
      <c r="R752" s="218"/>
      <c r="S752" s="218"/>
      <c r="T752" s="218"/>
      <c r="U752" s="218"/>
    </row>
    <row r="753">
      <c r="C753" s="12"/>
      <c r="D753" s="3"/>
      <c r="E753" s="112"/>
      <c r="F753" s="3"/>
      <c r="G753" s="13"/>
      <c r="H753" s="12"/>
      <c r="K753" s="12"/>
      <c r="M753" s="12"/>
      <c r="R753" s="218"/>
      <c r="S753" s="218"/>
      <c r="T753" s="218"/>
      <c r="U753" s="218"/>
    </row>
    <row r="754">
      <c r="C754" s="12"/>
      <c r="D754" s="3"/>
      <c r="E754" s="112"/>
      <c r="F754" s="3"/>
      <c r="G754" s="13"/>
      <c r="H754" s="12"/>
      <c r="K754" s="12"/>
      <c r="M754" s="12"/>
      <c r="R754" s="218"/>
      <c r="S754" s="218"/>
      <c r="T754" s="218"/>
      <c r="U754" s="218"/>
    </row>
    <row r="755">
      <c r="C755" s="12"/>
      <c r="D755" s="3"/>
      <c r="E755" s="112"/>
      <c r="F755" s="3"/>
      <c r="G755" s="13"/>
      <c r="H755" s="12"/>
      <c r="K755" s="12"/>
      <c r="M755" s="12"/>
      <c r="R755" s="218"/>
      <c r="S755" s="218"/>
      <c r="T755" s="218"/>
      <c r="U755" s="218"/>
    </row>
    <row r="756">
      <c r="C756" s="12"/>
      <c r="D756" s="3"/>
      <c r="E756" s="112"/>
      <c r="F756" s="3"/>
      <c r="G756" s="13"/>
      <c r="H756" s="12"/>
      <c r="K756" s="12"/>
      <c r="M756" s="12"/>
      <c r="R756" s="218"/>
      <c r="S756" s="218"/>
      <c r="T756" s="218"/>
      <c r="U756" s="218"/>
    </row>
    <row r="757">
      <c r="C757" s="12"/>
      <c r="D757" s="3"/>
      <c r="E757" s="112"/>
      <c r="F757" s="3"/>
      <c r="G757" s="13"/>
      <c r="H757" s="12"/>
      <c r="K757" s="12"/>
      <c r="M757" s="12"/>
      <c r="R757" s="218"/>
      <c r="S757" s="218"/>
      <c r="T757" s="218"/>
      <c r="U757" s="218"/>
    </row>
    <row r="758">
      <c r="C758" s="12"/>
      <c r="D758" s="3"/>
      <c r="E758" s="112"/>
      <c r="F758" s="3"/>
      <c r="G758" s="13"/>
      <c r="H758" s="12"/>
      <c r="K758" s="12"/>
      <c r="M758" s="12"/>
      <c r="R758" s="218"/>
      <c r="S758" s="218"/>
      <c r="T758" s="218"/>
      <c r="U758" s="218"/>
    </row>
    <row r="759">
      <c r="C759" s="12"/>
      <c r="D759" s="3"/>
      <c r="E759" s="112"/>
      <c r="F759" s="3"/>
      <c r="G759" s="13"/>
      <c r="H759" s="12"/>
      <c r="K759" s="12"/>
      <c r="M759" s="12"/>
      <c r="R759" s="218"/>
      <c r="S759" s="218"/>
      <c r="T759" s="218"/>
      <c r="U759" s="218"/>
    </row>
    <row r="760">
      <c r="C760" s="12"/>
      <c r="D760" s="3"/>
      <c r="E760" s="112"/>
      <c r="F760" s="3"/>
      <c r="G760" s="13"/>
      <c r="H760" s="12"/>
      <c r="K760" s="12"/>
      <c r="M760" s="12"/>
      <c r="R760" s="218"/>
      <c r="S760" s="218"/>
      <c r="T760" s="218"/>
      <c r="U760" s="218"/>
    </row>
    <row r="761">
      <c r="C761" s="12"/>
      <c r="D761" s="3"/>
      <c r="E761" s="112"/>
      <c r="F761" s="3"/>
      <c r="G761" s="13"/>
      <c r="H761" s="12"/>
      <c r="K761" s="12"/>
      <c r="M761" s="12"/>
      <c r="R761" s="218"/>
      <c r="S761" s="218"/>
      <c r="T761" s="218"/>
      <c r="U761" s="218"/>
    </row>
    <row r="762">
      <c r="C762" s="12"/>
      <c r="D762" s="3"/>
      <c r="E762" s="112"/>
      <c r="F762" s="3"/>
      <c r="G762" s="13"/>
      <c r="H762" s="12"/>
      <c r="K762" s="12"/>
      <c r="M762" s="12"/>
      <c r="R762" s="218"/>
      <c r="S762" s="218"/>
      <c r="T762" s="218"/>
      <c r="U762" s="218"/>
    </row>
    <row r="763">
      <c r="C763" s="12"/>
      <c r="D763" s="3"/>
      <c r="E763" s="112"/>
      <c r="F763" s="3"/>
      <c r="G763" s="13"/>
      <c r="H763" s="12"/>
      <c r="K763" s="12"/>
      <c r="M763" s="12"/>
      <c r="R763" s="218"/>
      <c r="S763" s="218"/>
      <c r="T763" s="218"/>
      <c r="U763" s="218"/>
    </row>
    <row r="764">
      <c r="C764" s="12"/>
      <c r="D764" s="3"/>
      <c r="E764" s="112"/>
      <c r="F764" s="3"/>
      <c r="G764" s="13"/>
      <c r="H764" s="12"/>
      <c r="K764" s="12"/>
      <c r="M764" s="12"/>
      <c r="R764" s="218"/>
      <c r="S764" s="218"/>
      <c r="T764" s="218"/>
      <c r="U764" s="218"/>
    </row>
    <row r="765">
      <c r="C765" s="12"/>
      <c r="D765" s="3"/>
      <c r="E765" s="112"/>
      <c r="F765" s="3"/>
      <c r="G765" s="13"/>
      <c r="H765" s="12"/>
      <c r="K765" s="12"/>
      <c r="M765" s="12"/>
      <c r="R765" s="218"/>
      <c r="S765" s="218"/>
      <c r="T765" s="218"/>
      <c r="U765" s="218"/>
    </row>
    <row r="766">
      <c r="C766" s="12"/>
      <c r="D766" s="3"/>
      <c r="E766" s="112"/>
      <c r="F766" s="3"/>
      <c r="G766" s="13"/>
      <c r="H766" s="12"/>
      <c r="K766" s="12"/>
      <c r="M766" s="12"/>
      <c r="R766" s="218"/>
      <c r="S766" s="218"/>
      <c r="T766" s="218"/>
      <c r="U766" s="218"/>
    </row>
    <row r="767">
      <c r="C767" s="12"/>
      <c r="D767" s="3"/>
      <c r="E767" s="112"/>
      <c r="F767" s="3"/>
      <c r="G767" s="13"/>
      <c r="H767" s="12"/>
      <c r="K767" s="12"/>
      <c r="M767" s="12"/>
      <c r="R767" s="218"/>
      <c r="S767" s="218"/>
      <c r="T767" s="218"/>
      <c r="U767" s="218"/>
    </row>
    <row r="768">
      <c r="C768" s="12"/>
      <c r="D768" s="3"/>
      <c r="E768" s="112"/>
      <c r="F768" s="3"/>
      <c r="G768" s="13"/>
      <c r="H768" s="12"/>
      <c r="K768" s="12"/>
      <c r="M768" s="12"/>
      <c r="R768" s="218"/>
      <c r="S768" s="218"/>
      <c r="T768" s="218"/>
      <c r="U768" s="218"/>
    </row>
    <row r="769">
      <c r="C769" s="12"/>
      <c r="D769" s="3"/>
      <c r="E769" s="112"/>
      <c r="F769" s="3"/>
      <c r="G769" s="13"/>
      <c r="H769" s="12"/>
      <c r="K769" s="12"/>
      <c r="M769" s="12"/>
      <c r="R769" s="218"/>
      <c r="S769" s="218"/>
      <c r="T769" s="218"/>
      <c r="U769" s="218"/>
    </row>
    <row r="770">
      <c r="C770" s="12"/>
      <c r="D770" s="3"/>
      <c r="E770" s="112"/>
      <c r="F770" s="3"/>
      <c r="G770" s="13"/>
      <c r="H770" s="12"/>
      <c r="K770" s="12"/>
      <c r="M770" s="12"/>
      <c r="R770" s="218"/>
      <c r="S770" s="218"/>
      <c r="T770" s="218"/>
      <c r="U770" s="218"/>
    </row>
    <row r="771">
      <c r="C771" s="12"/>
      <c r="D771" s="3"/>
      <c r="E771" s="112"/>
      <c r="F771" s="3"/>
      <c r="G771" s="13"/>
      <c r="H771" s="12"/>
      <c r="K771" s="12"/>
      <c r="M771" s="12"/>
      <c r="R771" s="218"/>
      <c r="S771" s="218"/>
      <c r="T771" s="218"/>
      <c r="U771" s="218"/>
    </row>
    <row r="772">
      <c r="C772" s="12"/>
      <c r="D772" s="3"/>
      <c r="E772" s="112"/>
      <c r="F772" s="3"/>
      <c r="G772" s="13"/>
      <c r="H772" s="12"/>
      <c r="K772" s="12"/>
      <c r="M772" s="12"/>
      <c r="R772" s="218"/>
      <c r="S772" s="218"/>
      <c r="T772" s="218"/>
      <c r="U772" s="218"/>
    </row>
    <row r="773">
      <c r="C773" s="12"/>
      <c r="D773" s="3"/>
      <c r="E773" s="112"/>
      <c r="F773" s="3"/>
      <c r="G773" s="13"/>
      <c r="H773" s="12"/>
      <c r="K773" s="12"/>
      <c r="M773" s="12"/>
      <c r="R773" s="218"/>
      <c r="S773" s="218"/>
      <c r="T773" s="218"/>
      <c r="U773" s="218"/>
    </row>
    <row r="774">
      <c r="C774" s="12"/>
      <c r="D774" s="3"/>
      <c r="E774" s="112"/>
      <c r="F774" s="3"/>
      <c r="G774" s="13"/>
      <c r="H774" s="12"/>
      <c r="K774" s="12"/>
      <c r="M774" s="12"/>
      <c r="R774" s="218"/>
      <c r="S774" s="218"/>
      <c r="T774" s="218"/>
      <c r="U774" s="218"/>
    </row>
    <row r="775">
      <c r="C775" s="12"/>
      <c r="D775" s="3"/>
      <c r="E775" s="112"/>
      <c r="F775" s="3"/>
      <c r="G775" s="13"/>
      <c r="H775" s="12"/>
      <c r="K775" s="12"/>
      <c r="M775" s="12"/>
      <c r="R775" s="218"/>
      <c r="S775" s="218"/>
      <c r="T775" s="218"/>
      <c r="U775" s="218"/>
    </row>
    <row r="776">
      <c r="C776" s="12"/>
      <c r="D776" s="3"/>
      <c r="E776" s="112"/>
      <c r="F776" s="3"/>
      <c r="G776" s="13"/>
      <c r="H776" s="12"/>
      <c r="K776" s="12"/>
      <c r="M776" s="12"/>
      <c r="R776" s="218"/>
      <c r="S776" s="218"/>
      <c r="T776" s="218"/>
      <c r="U776" s="218"/>
    </row>
    <row r="777">
      <c r="C777" s="12"/>
      <c r="D777" s="3"/>
      <c r="E777" s="112"/>
      <c r="F777" s="3"/>
      <c r="G777" s="13"/>
      <c r="H777" s="12"/>
      <c r="K777" s="12"/>
      <c r="M777" s="12"/>
      <c r="R777" s="218"/>
      <c r="S777" s="218"/>
      <c r="T777" s="218"/>
      <c r="U777" s="218"/>
    </row>
    <row r="778">
      <c r="C778" s="12"/>
      <c r="D778" s="3"/>
      <c r="E778" s="112"/>
      <c r="F778" s="3"/>
      <c r="G778" s="13"/>
      <c r="H778" s="12"/>
      <c r="K778" s="12"/>
      <c r="M778" s="12"/>
      <c r="R778" s="218"/>
      <c r="S778" s="218"/>
      <c r="T778" s="218"/>
      <c r="U778" s="218"/>
    </row>
    <row r="779">
      <c r="C779" s="12"/>
      <c r="D779" s="3"/>
      <c r="E779" s="112"/>
      <c r="F779" s="3"/>
      <c r="G779" s="13"/>
      <c r="H779" s="12"/>
      <c r="K779" s="12"/>
      <c r="M779" s="12"/>
      <c r="R779" s="218"/>
      <c r="S779" s="218"/>
      <c r="T779" s="218"/>
      <c r="U779" s="218"/>
    </row>
    <row r="780">
      <c r="C780" s="12"/>
      <c r="D780" s="3"/>
      <c r="E780" s="112"/>
      <c r="F780" s="3"/>
      <c r="G780" s="13"/>
      <c r="H780" s="12"/>
      <c r="K780" s="12"/>
      <c r="M780" s="12"/>
      <c r="R780" s="218"/>
      <c r="S780" s="218"/>
      <c r="T780" s="218"/>
      <c r="U780" s="218"/>
    </row>
    <row r="781">
      <c r="C781" s="12"/>
      <c r="D781" s="3"/>
      <c r="E781" s="112"/>
      <c r="F781" s="3"/>
      <c r="G781" s="13"/>
      <c r="H781" s="12"/>
      <c r="K781" s="12"/>
      <c r="M781" s="12"/>
      <c r="R781" s="218"/>
      <c r="S781" s="218"/>
      <c r="T781" s="218"/>
      <c r="U781" s="218"/>
    </row>
    <row r="782">
      <c r="C782" s="12"/>
      <c r="D782" s="3"/>
      <c r="E782" s="112"/>
      <c r="F782" s="3"/>
      <c r="G782" s="13"/>
      <c r="H782" s="12"/>
      <c r="K782" s="12"/>
      <c r="M782" s="12"/>
      <c r="R782" s="218"/>
      <c r="S782" s="218"/>
      <c r="T782" s="218"/>
      <c r="U782" s="218"/>
    </row>
    <row r="783">
      <c r="C783" s="12"/>
      <c r="D783" s="3"/>
      <c r="E783" s="112"/>
      <c r="F783" s="3"/>
      <c r="G783" s="13"/>
      <c r="H783" s="12"/>
      <c r="K783" s="12"/>
      <c r="M783" s="12"/>
      <c r="R783" s="218"/>
      <c r="S783" s="218"/>
      <c r="T783" s="218"/>
      <c r="U783" s="218"/>
    </row>
    <row r="784">
      <c r="C784" s="12"/>
      <c r="D784" s="3"/>
      <c r="E784" s="112"/>
      <c r="F784" s="3"/>
      <c r="G784" s="13"/>
      <c r="H784" s="12"/>
      <c r="K784" s="12"/>
      <c r="M784" s="12"/>
      <c r="R784" s="218"/>
      <c r="S784" s="218"/>
      <c r="T784" s="218"/>
      <c r="U784" s="218"/>
    </row>
    <row r="785">
      <c r="C785" s="12"/>
      <c r="D785" s="3"/>
      <c r="E785" s="112"/>
      <c r="F785" s="3"/>
      <c r="G785" s="13"/>
      <c r="H785" s="12"/>
      <c r="K785" s="12"/>
      <c r="M785" s="12"/>
      <c r="R785" s="218"/>
      <c r="S785" s="218"/>
      <c r="T785" s="218"/>
      <c r="U785" s="218"/>
    </row>
    <row r="786">
      <c r="C786" s="12"/>
      <c r="D786" s="3"/>
      <c r="E786" s="112"/>
      <c r="F786" s="3"/>
      <c r="G786" s="13"/>
      <c r="H786" s="12"/>
      <c r="K786" s="12"/>
      <c r="M786" s="12"/>
      <c r="R786" s="218"/>
      <c r="S786" s="218"/>
      <c r="T786" s="218"/>
      <c r="U786" s="218"/>
    </row>
    <row r="787">
      <c r="C787" s="12"/>
      <c r="D787" s="3"/>
      <c r="E787" s="112"/>
      <c r="F787" s="3"/>
      <c r="G787" s="13"/>
      <c r="H787" s="12"/>
      <c r="K787" s="12"/>
      <c r="M787" s="12"/>
      <c r="R787" s="218"/>
      <c r="S787" s="218"/>
      <c r="T787" s="218"/>
      <c r="U787" s="218"/>
    </row>
    <row r="788">
      <c r="C788" s="12"/>
      <c r="D788" s="3"/>
      <c r="E788" s="112"/>
      <c r="F788" s="3"/>
      <c r="G788" s="13"/>
      <c r="H788" s="12"/>
      <c r="K788" s="12"/>
      <c r="M788" s="12"/>
      <c r="R788" s="218"/>
      <c r="S788" s="218"/>
      <c r="T788" s="218"/>
      <c r="U788" s="218"/>
    </row>
    <row r="789">
      <c r="C789" s="12"/>
      <c r="D789" s="3"/>
      <c r="E789" s="112"/>
      <c r="F789" s="3"/>
      <c r="G789" s="13"/>
      <c r="H789" s="12"/>
      <c r="K789" s="12"/>
      <c r="M789" s="12"/>
      <c r="R789" s="218"/>
      <c r="S789" s="218"/>
      <c r="T789" s="218"/>
      <c r="U789" s="218"/>
    </row>
    <row r="790">
      <c r="C790" s="12"/>
      <c r="D790" s="3"/>
      <c r="E790" s="112"/>
      <c r="F790" s="3"/>
      <c r="G790" s="13"/>
      <c r="H790" s="12"/>
      <c r="K790" s="12"/>
      <c r="M790" s="12"/>
      <c r="R790" s="218"/>
      <c r="S790" s="218"/>
      <c r="T790" s="218"/>
      <c r="U790" s="218"/>
    </row>
    <row r="791">
      <c r="C791" s="12"/>
      <c r="D791" s="3"/>
      <c r="E791" s="112"/>
      <c r="F791" s="3"/>
      <c r="G791" s="13"/>
      <c r="H791" s="12"/>
      <c r="K791" s="12"/>
      <c r="M791" s="12"/>
      <c r="R791" s="218"/>
      <c r="S791" s="218"/>
      <c r="T791" s="218"/>
      <c r="U791" s="218"/>
    </row>
    <row r="792">
      <c r="C792" s="12"/>
      <c r="D792" s="3"/>
      <c r="E792" s="112"/>
      <c r="F792" s="3"/>
      <c r="G792" s="13"/>
      <c r="H792" s="12"/>
      <c r="K792" s="12"/>
      <c r="M792" s="12"/>
      <c r="R792" s="218"/>
      <c r="S792" s="218"/>
      <c r="T792" s="218"/>
      <c r="U792" s="218"/>
    </row>
    <row r="793">
      <c r="C793" s="12"/>
      <c r="D793" s="3"/>
      <c r="E793" s="112"/>
      <c r="F793" s="3"/>
      <c r="G793" s="13"/>
      <c r="H793" s="12"/>
      <c r="K793" s="12"/>
      <c r="M793" s="12"/>
      <c r="R793" s="218"/>
      <c r="S793" s="218"/>
      <c r="T793" s="218"/>
      <c r="U793" s="218"/>
    </row>
    <row r="794">
      <c r="C794" s="12"/>
      <c r="D794" s="3"/>
      <c r="E794" s="112"/>
      <c r="F794" s="3"/>
      <c r="G794" s="13"/>
      <c r="H794" s="12"/>
      <c r="K794" s="12"/>
      <c r="M794" s="12"/>
      <c r="R794" s="218"/>
      <c r="S794" s="218"/>
      <c r="T794" s="218"/>
      <c r="U794" s="218"/>
    </row>
    <row r="795">
      <c r="C795" s="12"/>
      <c r="D795" s="3"/>
      <c r="E795" s="112"/>
      <c r="F795" s="3"/>
      <c r="G795" s="13"/>
      <c r="H795" s="12"/>
      <c r="K795" s="12"/>
      <c r="M795" s="12"/>
      <c r="R795" s="218"/>
      <c r="S795" s="218"/>
      <c r="T795" s="218"/>
      <c r="U795" s="218"/>
    </row>
    <row r="796">
      <c r="C796" s="12"/>
      <c r="D796" s="3"/>
      <c r="E796" s="112"/>
      <c r="F796" s="3"/>
      <c r="G796" s="13"/>
      <c r="H796" s="12"/>
      <c r="K796" s="12"/>
      <c r="M796" s="12"/>
      <c r="R796" s="218"/>
      <c r="S796" s="218"/>
      <c r="T796" s="218"/>
      <c r="U796" s="218"/>
    </row>
    <row r="797">
      <c r="C797" s="12"/>
      <c r="D797" s="3"/>
      <c r="E797" s="112"/>
      <c r="F797" s="3"/>
      <c r="G797" s="13"/>
      <c r="H797" s="12"/>
      <c r="K797" s="12"/>
      <c r="M797" s="12"/>
      <c r="R797" s="218"/>
      <c r="S797" s="218"/>
      <c r="T797" s="218"/>
      <c r="U797" s="218"/>
    </row>
    <row r="798">
      <c r="C798" s="12"/>
      <c r="D798" s="3"/>
      <c r="E798" s="112"/>
      <c r="F798" s="3"/>
      <c r="G798" s="13"/>
      <c r="H798" s="12"/>
      <c r="K798" s="12"/>
      <c r="M798" s="12"/>
      <c r="R798" s="218"/>
      <c r="S798" s="218"/>
      <c r="T798" s="218"/>
      <c r="U798" s="218"/>
    </row>
    <row r="799">
      <c r="C799" s="12"/>
      <c r="D799" s="3"/>
      <c r="E799" s="112"/>
      <c r="F799" s="3"/>
      <c r="G799" s="13"/>
      <c r="H799" s="12"/>
      <c r="K799" s="12"/>
      <c r="M799" s="12"/>
      <c r="R799" s="218"/>
      <c r="S799" s="218"/>
      <c r="T799" s="218"/>
      <c r="U799" s="218"/>
    </row>
    <row r="800">
      <c r="C800" s="12"/>
      <c r="D800" s="3"/>
      <c r="E800" s="112"/>
      <c r="F800" s="3"/>
      <c r="G800" s="13"/>
      <c r="H800" s="12"/>
      <c r="K800" s="12"/>
      <c r="M800" s="12"/>
      <c r="R800" s="218"/>
      <c r="S800" s="218"/>
      <c r="T800" s="218"/>
      <c r="U800" s="218"/>
    </row>
    <row r="801">
      <c r="C801" s="12"/>
      <c r="D801" s="3"/>
      <c r="E801" s="112"/>
      <c r="F801" s="3"/>
      <c r="G801" s="13"/>
      <c r="H801" s="12"/>
      <c r="K801" s="12"/>
      <c r="M801" s="12"/>
      <c r="R801" s="218"/>
      <c r="S801" s="218"/>
      <c r="T801" s="218"/>
      <c r="U801" s="218"/>
    </row>
    <row r="802">
      <c r="C802" s="12"/>
      <c r="D802" s="3"/>
      <c r="E802" s="112"/>
      <c r="F802" s="3"/>
      <c r="G802" s="13"/>
      <c r="H802" s="12"/>
      <c r="K802" s="12"/>
      <c r="M802" s="12"/>
      <c r="R802" s="218"/>
      <c r="S802" s="218"/>
      <c r="T802" s="218"/>
      <c r="U802" s="218"/>
    </row>
    <row r="803">
      <c r="C803" s="12"/>
      <c r="D803" s="3"/>
      <c r="E803" s="112"/>
      <c r="F803" s="3"/>
      <c r="G803" s="13"/>
      <c r="H803" s="12"/>
      <c r="K803" s="12"/>
      <c r="M803" s="12"/>
      <c r="R803" s="218"/>
      <c r="S803" s="218"/>
      <c r="T803" s="218"/>
      <c r="U803" s="218"/>
    </row>
    <row r="804">
      <c r="C804" s="12"/>
      <c r="D804" s="3"/>
      <c r="E804" s="112"/>
      <c r="F804" s="3"/>
      <c r="G804" s="13"/>
      <c r="H804" s="12"/>
      <c r="K804" s="12"/>
      <c r="M804" s="12"/>
      <c r="R804" s="218"/>
      <c r="S804" s="218"/>
      <c r="T804" s="218"/>
      <c r="U804" s="218"/>
    </row>
    <row r="805">
      <c r="C805" s="12"/>
      <c r="D805" s="3"/>
      <c r="E805" s="112"/>
      <c r="F805" s="3"/>
      <c r="G805" s="13"/>
      <c r="H805" s="12"/>
      <c r="K805" s="12"/>
      <c r="M805" s="12"/>
      <c r="R805" s="218"/>
      <c r="S805" s="218"/>
      <c r="T805" s="218"/>
      <c r="U805" s="218"/>
    </row>
    <row r="806">
      <c r="C806" s="12"/>
      <c r="D806" s="3"/>
      <c r="E806" s="112"/>
      <c r="F806" s="3"/>
      <c r="G806" s="13"/>
      <c r="H806" s="12"/>
      <c r="K806" s="12"/>
      <c r="M806" s="12"/>
      <c r="R806" s="218"/>
      <c r="S806" s="218"/>
      <c r="T806" s="218"/>
      <c r="U806" s="218"/>
    </row>
    <row r="807">
      <c r="C807" s="12"/>
      <c r="D807" s="3"/>
      <c r="E807" s="112"/>
      <c r="F807" s="3"/>
      <c r="G807" s="13"/>
      <c r="H807" s="12"/>
      <c r="K807" s="12"/>
      <c r="M807" s="12"/>
      <c r="R807" s="218"/>
      <c r="S807" s="218"/>
      <c r="T807" s="218"/>
      <c r="U807" s="218"/>
    </row>
    <row r="808">
      <c r="C808" s="12"/>
      <c r="D808" s="3"/>
      <c r="E808" s="112"/>
      <c r="F808" s="3"/>
      <c r="G808" s="13"/>
      <c r="H808" s="12"/>
      <c r="K808" s="12"/>
      <c r="M808" s="12"/>
      <c r="R808" s="218"/>
      <c r="S808" s="218"/>
      <c r="T808" s="218"/>
      <c r="U808" s="218"/>
    </row>
    <row r="809">
      <c r="C809" s="12"/>
      <c r="D809" s="3"/>
      <c r="E809" s="112"/>
      <c r="F809" s="3"/>
      <c r="G809" s="13"/>
      <c r="H809" s="12"/>
      <c r="K809" s="12"/>
      <c r="M809" s="12"/>
      <c r="R809" s="218"/>
      <c r="S809" s="218"/>
      <c r="T809" s="218"/>
      <c r="U809" s="218"/>
    </row>
    <row r="810">
      <c r="C810" s="12"/>
      <c r="D810" s="3"/>
      <c r="E810" s="112"/>
      <c r="F810" s="3"/>
      <c r="G810" s="13"/>
      <c r="H810" s="12"/>
      <c r="K810" s="12"/>
      <c r="M810" s="12"/>
      <c r="R810" s="218"/>
      <c r="S810" s="218"/>
      <c r="T810" s="218"/>
      <c r="U810" s="218"/>
    </row>
    <row r="811">
      <c r="C811" s="12"/>
      <c r="D811" s="3"/>
      <c r="E811" s="112"/>
      <c r="F811" s="3"/>
      <c r="G811" s="13"/>
      <c r="H811" s="12"/>
      <c r="K811" s="12"/>
      <c r="M811" s="12"/>
      <c r="R811" s="218"/>
      <c r="S811" s="218"/>
      <c r="T811" s="218"/>
      <c r="U811" s="218"/>
    </row>
    <row r="812">
      <c r="C812" s="12"/>
      <c r="D812" s="3"/>
      <c r="E812" s="112"/>
      <c r="F812" s="3"/>
      <c r="G812" s="13"/>
      <c r="H812" s="12"/>
      <c r="K812" s="12"/>
      <c r="M812" s="12"/>
      <c r="R812" s="218"/>
      <c r="S812" s="218"/>
      <c r="T812" s="218"/>
      <c r="U812" s="218"/>
    </row>
    <row r="813">
      <c r="C813" s="12"/>
      <c r="D813" s="3"/>
      <c r="E813" s="112"/>
      <c r="F813" s="3"/>
      <c r="G813" s="13"/>
      <c r="H813" s="12"/>
      <c r="K813" s="12"/>
      <c r="M813" s="12"/>
      <c r="R813" s="218"/>
      <c r="S813" s="218"/>
      <c r="T813" s="218"/>
      <c r="U813" s="218"/>
    </row>
    <row r="814">
      <c r="C814" s="12"/>
      <c r="D814" s="3"/>
      <c r="E814" s="112"/>
      <c r="F814" s="3"/>
      <c r="G814" s="13"/>
      <c r="H814" s="12"/>
      <c r="K814" s="12"/>
      <c r="M814" s="12"/>
      <c r="R814" s="218"/>
      <c r="S814" s="218"/>
      <c r="T814" s="218"/>
      <c r="U814" s="218"/>
    </row>
    <row r="815">
      <c r="C815" s="12"/>
      <c r="D815" s="3"/>
      <c r="E815" s="112"/>
      <c r="F815" s="3"/>
      <c r="G815" s="13"/>
      <c r="H815" s="12"/>
      <c r="K815" s="12"/>
      <c r="M815" s="12"/>
      <c r="R815" s="218"/>
      <c r="S815" s="218"/>
      <c r="T815" s="218"/>
      <c r="U815" s="218"/>
    </row>
    <row r="816">
      <c r="C816" s="12"/>
      <c r="D816" s="3"/>
      <c r="E816" s="112"/>
      <c r="F816" s="3"/>
      <c r="G816" s="13"/>
      <c r="H816" s="12"/>
      <c r="K816" s="12"/>
      <c r="M816" s="12"/>
      <c r="R816" s="218"/>
      <c r="S816" s="218"/>
      <c r="T816" s="218"/>
      <c r="U816" s="218"/>
    </row>
    <row r="817">
      <c r="C817" s="12"/>
      <c r="D817" s="3"/>
      <c r="E817" s="112"/>
      <c r="F817" s="3"/>
      <c r="G817" s="13"/>
      <c r="H817" s="12"/>
      <c r="K817" s="12"/>
      <c r="M817" s="12"/>
      <c r="R817" s="218"/>
      <c r="S817" s="218"/>
      <c r="T817" s="218"/>
      <c r="U817" s="218"/>
    </row>
    <row r="818">
      <c r="C818" s="12"/>
      <c r="D818" s="3"/>
      <c r="E818" s="112"/>
      <c r="F818" s="3"/>
      <c r="G818" s="13"/>
      <c r="H818" s="12"/>
      <c r="K818" s="12"/>
      <c r="M818" s="12"/>
      <c r="R818" s="218"/>
      <c r="S818" s="218"/>
      <c r="T818" s="218"/>
      <c r="U818" s="218"/>
    </row>
    <row r="819">
      <c r="C819" s="12"/>
      <c r="D819" s="3"/>
      <c r="E819" s="112"/>
      <c r="F819" s="3"/>
      <c r="G819" s="13"/>
      <c r="H819" s="12"/>
      <c r="K819" s="12"/>
      <c r="M819" s="12"/>
      <c r="R819" s="218"/>
      <c r="S819" s="218"/>
      <c r="T819" s="218"/>
      <c r="U819" s="218"/>
    </row>
    <row r="820">
      <c r="C820" s="12"/>
      <c r="D820" s="3"/>
      <c r="E820" s="112"/>
      <c r="F820" s="3"/>
      <c r="G820" s="13"/>
      <c r="H820" s="12"/>
      <c r="K820" s="12"/>
      <c r="M820" s="12"/>
      <c r="R820" s="218"/>
      <c r="S820" s="218"/>
      <c r="T820" s="218"/>
      <c r="U820" s="218"/>
    </row>
    <row r="821">
      <c r="C821" s="12"/>
      <c r="D821" s="3"/>
      <c r="E821" s="112"/>
      <c r="F821" s="3"/>
      <c r="G821" s="13"/>
      <c r="H821" s="12"/>
      <c r="K821" s="12"/>
      <c r="M821" s="12"/>
      <c r="R821" s="218"/>
      <c r="S821" s="218"/>
      <c r="T821" s="218"/>
      <c r="U821" s="218"/>
    </row>
    <row r="822">
      <c r="C822" s="12"/>
      <c r="D822" s="3"/>
      <c r="E822" s="112"/>
      <c r="F822" s="3"/>
      <c r="G822" s="13"/>
      <c r="H822" s="12"/>
      <c r="K822" s="12"/>
      <c r="M822" s="12"/>
      <c r="R822" s="218"/>
      <c r="S822" s="218"/>
      <c r="T822" s="218"/>
      <c r="U822" s="218"/>
    </row>
    <row r="823">
      <c r="C823" s="12"/>
      <c r="D823" s="3"/>
      <c r="E823" s="112"/>
      <c r="F823" s="3"/>
      <c r="G823" s="13"/>
      <c r="H823" s="12"/>
      <c r="K823" s="12"/>
      <c r="M823" s="12"/>
      <c r="R823" s="218"/>
      <c r="S823" s="218"/>
      <c r="T823" s="218"/>
      <c r="U823" s="218"/>
    </row>
    <row r="824">
      <c r="C824" s="12"/>
      <c r="D824" s="3"/>
      <c r="E824" s="112"/>
      <c r="F824" s="3"/>
      <c r="G824" s="13"/>
      <c r="H824" s="12"/>
      <c r="K824" s="12"/>
      <c r="M824" s="12"/>
      <c r="R824" s="218"/>
      <c r="S824" s="218"/>
      <c r="T824" s="218"/>
      <c r="U824" s="218"/>
    </row>
    <row r="825">
      <c r="C825" s="12"/>
      <c r="D825" s="3"/>
      <c r="E825" s="112"/>
      <c r="F825" s="3"/>
      <c r="G825" s="13"/>
      <c r="H825" s="12"/>
      <c r="K825" s="12"/>
      <c r="M825" s="12"/>
      <c r="R825" s="218"/>
      <c r="S825" s="218"/>
      <c r="T825" s="218"/>
      <c r="U825" s="218"/>
    </row>
    <row r="826">
      <c r="C826" s="12"/>
      <c r="D826" s="3"/>
      <c r="E826" s="112"/>
      <c r="F826" s="3"/>
      <c r="G826" s="13"/>
      <c r="H826" s="12"/>
      <c r="K826" s="12"/>
      <c r="M826" s="12"/>
      <c r="R826" s="218"/>
      <c r="S826" s="218"/>
      <c r="T826" s="218"/>
      <c r="U826" s="218"/>
    </row>
    <row r="827">
      <c r="C827" s="12"/>
      <c r="D827" s="3"/>
      <c r="E827" s="112"/>
      <c r="F827" s="3"/>
      <c r="G827" s="13"/>
      <c r="H827" s="12"/>
      <c r="K827" s="12"/>
      <c r="M827" s="12"/>
      <c r="R827" s="218"/>
      <c r="S827" s="218"/>
      <c r="T827" s="218"/>
      <c r="U827" s="218"/>
    </row>
    <row r="828">
      <c r="C828" s="12"/>
      <c r="D828" s="3"/>
      <c r="E828" s="112"/>
      <c r="F828" s="3"/>
      <c r="G828" s="13"/>
      <c r="H828" s="12"/>
      <c r="K828" s="12"/>
      <c r="M828" s="12"/>
      <c r="R828" s="218"/>
      <c r="S828" s="218"/>
      <c r="T828" s="218"/>
      <c r="U828" s="218"/>
    </row>
    <row r="829">
      <c r="C829" s="12"/>
      <c r="D829" s="3"/>
      <c r="E829" s="112"/>
      <c r="F829" s="3"/>
      <c r="G829" s="13"/>
      <c r="H829" s="12"/>
      <c r="K829" s="12"/>
      <c r="M829" s="12"/>
      <c r="R829" s="218"/>
      <c r="S829" s="218"/>
      <c r="T829" s="218"/>
      <c r="U829" s="218"/>
    </row>
    <row r="830">
      <c r="C830" s="12"/>
      <c r="D830" s="3"/>
      <c r="E830" s="112"/>
      <c r="F830" s="3"/>
      <c r="G830" s="13"/>
      <c r="H830" s="12"/>
      <c r="K830" s="12"/>
      <c r="M830" s="12"/>
      <c r="R830" s="218"/>
      <c r="S830" s="218"/>
      <c r="T830" s="218"/>
      <c r="U830" s="218"/>
    </row>
    <row r="831">
      <c r="C831" s="12"/>
      <c r="D831" s="3"/>
      <c r="E831" s="112"/>
      <c r="F831" s="3"/>
      <c r="G831" s="13"/>
      <c r="H831" s="12"/>
      <c r="K831" s="12"/>
      <c r="M831" s="12"/>
      <c r="R831" s="218"/>
      <c r="S831" s="218"/>
      <c r="T831" s="218"/>
      <c r="U831" s="218"/>
    </row>
    <row r="832">
      <c r="C832" s="12"/>
      <c r="D832" s="3"/>
      <c r="E832" s="112"/>
      <c r="F832" s="3"/>
      <c r="G832" s="13"/>
      <c r="H832" s="12"/>
      <c r="K832" s="12"/>
      <c r="M832" s="12"/>
      <c r="R832" s="218"/>
      <c r="S832" s="218"/>
      <c r="T832" s="218"/>
      <c r="U832" s="218"/>
    </row>
    <row r="833">
      <c r="C833" s="12"/>
      <c r="D833" s="3"/>
      <c r="E833" s="112"/>
      <c r="F833" s="3"/>
      <c r="G833" s="13"/>
      <c r="H833" s="12"/>
      <c r="K833" s="12"/>
      <c r="M833" s="12"/>
      <c r="R833" s="218"/>
      <c r="S833" s="218"/>
      <c r="T833" s="218"/>
      <c r="U833" s="218"/>
    </row>
    <row r="834">
      <c r="C834" s="12"/>
      <c r="D834" s="3"/>
      <c r="E834" s="112"/>
      <c r="F834" s="3"/>
      <c r="G834" s="13"/>
      <c r="H834" s="12"/>
      <c r="K834" s="12"/>
      <c r="M834" s="12"/>
      <c r="R834" s="218"/>
      <c r="S834" s="218"/>
      <c r="T834" s="218"/>
      <c r="U834" s="218"/>
    </row>
    <row r="835">
      <c r="C835" s="12"/>
      <c r="D835" s="3"/>
      <c r="E835" s="112"/>
      <c r="F835" s="3"/>
      <c r="G835" s="13"/>
      <c r="H835" s="12"/>
      <c r="K835" s="12"/>
      <c r="M835" s="12"/>
      <c r="R835" s="218"/>
      <c r="S835" s="218"/>
      <c r="T835" s="218"/>
      <c r="U835" s="218"/>
    </row>
    <row r="836">
      <c r="C836" s="12"/>
      <c r="D836" s="3"/>
      <c r="E836" s="112"/>
      <c r="F836" s="3"/>
      <c r="G836" s="13"/>
      <c r="H836" s="12"/>
      <c r="K836" s="12"/>
      <c r="M836" s="12"/>
      <c r="R836" s="218"/>
      <c r="S836" s="218"/>
      <c r="T836" s="218"/>
      <c r="U836" s="218"/>
    </row>
    <row r="837">
      <c r="C837" s="12"/>
      <c r="D837" s="3"/>
      <c r="E837" s="112"/>
      <c r="F837" s="3"/>
      <c r="G837" s="13"/>
      <c r="H837" s="12"/>
      <c r="K837" s="12"/>
      <c r="M837" s="12"/>
      <c r="R837" s="218"/>
      <c r="S837" s="218"/>
      <c r="T837" s="218"/>
      <c r="U837" s="218"/>
    </row>
    <row r="838">
      <c r="C838" s="12"/>
      <c r="D838" s="3"/>
      <c r="E838" s="112"/>
      <c r="F838" s="3"/>
      <c r="G838" s="13"/>
      <c r="H838" s="12"/>
      <c r="K838" s="12"/>
      <c r="M838" s="12"/>
      <c r="R838" s="218"/>
      <c r="S838" s="218"/>
      <c r="T838" s="218"/>
      <c r="U838" s="218"/>
    </row>
    <row r="839">
      <c r="C839" s="12"/>
      <c r="D839" s="3"/>
      <c r="E839" s="112"/>
      <c r="F839" s="3"/>
      <c r="G839" s="13"/>
      <c r="H839" s="12"/>
      <c r="K839" s="12"/>
      <c r="M839" s="12"/>
      <c r="R839" s="218"/>
      <c r="S839" s="218"/>
      <c r="T839" s="218"/>
      <c r="U839" s="218"/>
    </row>
    <row r="840">
      <c r="C840" s="12"/>
      <c r="D840" s="3"/>
      <c r="E840" s="112"/>
      <c r="F840" s="3"/>
      <c r="G840" s="13"/>
      <c r="H840" s="12"/>
      <c r="K840" s="12"/>
      <c r="M840" s="12"/>
      <c r="R840" s="218"/>
      <c r="S840" s="218"/>
      <c r="T840" s="218"/>
      <c r="U840" s="218"/>
    </row>
    <row r="841">
      <c r="C841" s="12"/>
      <c r="D841" s="3"/>
      <c r="E841" s="112"/>
      <c r="F841" s="3"/>
      <c r="G841" s="13"/>
      <c r="H841" s="12"/>
      <c r="K841" s="12"/>
      <c r="M841" s="12"/>
      <c r="R841" s="218"/>
      <c r="S841" s="218"/>
      <c r="T841" s="218"/>
      <c r="U841" s="218"/>
    </row>
    <row r="842">
      <c r="C842" s="12"/>
      <c r="D842" s="3"/>
      <c r="E842" s="112"/>
      <c r="F842" s="3"/>
      <c r="G842" s="13"/>
      <c r="H842" s="12"/>
      <c r="K842" s="12"/>
      <c r="M842" s="12"/>
      <c r="R842" s="218"/>
      <c r="S842" s="218"/>
      <c r="T842" s="218"/>
      <c r="U842" s="218"/>
    </row>
    <row r="843">
      <c r="C843" s="12"/>
      <c r="D843" s="3"/>
      <c r="E843" s="112"/>
      <c r="F843" s="3"/>
      <c r="G843" s="13"/>
      <c r="H843" s="12"/>
      <c r="K843" s="12"/>
      <c r="M843" s="12"/>
      <c r="R843" s="218"/>
      <c r="S843" s="218"/>
      <c r="T843" s="218"/>
      <c r="U843" s="218"/>
    </row>
    <row r="844">
      <c r="C844" s="12"/>
      <c r="D844" s="3"/>
      <c r="E844" s="112"/>
      <c r="F844" s="3"/>
      <c r="G844" s="13"/>
      <c r="H844" s="12"/>
      <c r="K844" s="12"/>
      <c r="M844" s="12"/>
      <c r="R844" s="218"/>
      <c r="S844" s="218"/>
      <c r="T844" s="218"/>
      <c r="U844" s="218"/>
    </row>
    <row r="845">
      <c r="C845" s="12"/>
      <c r="D845" s="3"/>
      <c r="E845" s="112"/>
      <c r="F845" s="3"/>
      <c r="G845" s="13"/>
      <c r="H845" s="12"/>
      <c r="K845" s="12"/>
      <c r="M845" s="12"/>
      <c r="R845" s="218"/>
      <c r="S845" s="218"/>
      <c r="T845" s="218"/>
      <c r="U845" s="218"/>
    </row>
    <row r="846">
      <c r="C846" s="12"/>
      <c r="D846" s="3"/>
      <c r="E846" s="112"/>
      <c r="F846" s="3"/>
      <c r="G846" s="13"/>
      <c r="H846" s="12"/>
      <c r="K846" s="12"/>
      <c r="M846" s="12"/>
      <c r="R846" s="218"/>
      <c r="S846" s="218"/>
      <c r="T846" s="218"/>
      <c r="U846" s="218"/>
    </row>
    <row r="847">
      <c r="C847" s="12"/>
      <c r="D847" s="3"/>
      <c r="E847" s="112"/>
      <c r="F847" s="3"/>
      <c r="G847" s="13"/>
      <c r="H847" s="12"/>
      <c r="K847" s="12"/>
      <c r="M847" s="12"/>
      <c r="R847" s="218"/>
      <c r="S847" s="218"/>
      <c r="T847" s="218"/>
      <c r="U847" s="218"/>
    </row>
    <row r="848">
      <c r="C848" s="12"/>
      <c r="D848" s="3"/>
      <c r="E848" s="112"/>
      <c r="F848" s="3"/>
      <c r="G848" s="13"/>
      <c r="H848" s="12"/>
      <c r="K848" s="12"/>
      <c r="M848" s="12"/>
      <c r="R848" s="218"/>
      <c r="S848" s="218"/>
      <c r="T848" s="218"/>
      <c r="U848" s="218"/>
    </row>
    <row r="849">
      <c r="C849" s="12"/>
      <c r="D849" s="3"/>
      <c r="E849" s="112"/>
      <c r="F849" s="3"/>
      <c r="G849" s="13"/>
      <c r="H849" s="12"/>
      <c r="K849" s="12"/>
      <c r="M849" s="12"/>
      <c r="R849" s="218"/>
      <c r="S849" s="218"/>
      <c r="T849" s="218"/>
      <c r="U849" s="218"/>
    </row>
    <row r="850">
      <c r="C850" s="12"/>
      <c r="D850" s="3"/>
      <c r="E850" s="112"/>
      <c r="F850" s="3"/>
      <c r="G850" s="13"/>
      <c r="H850" s="12"/>
      <c r="K850" s="12"/>
      <c r="M850" s="12"/>
      <c r="R850" s="218"/>
      <c r="S850" s="218"/>
      <c r="T850" s="218"/>
      <c r="U850" s="218"/>
    </row>
    <row r="851">
      <c r="C851" s="12"/>
      <c r="D851" s="3"/>
      <c r="E851" s="112"/>
      <c r="F851" s="3"/>
      <c r="G851" s="13"/>
      <c r="H851" s="12"/>
      <c r="K851" s="12"/>
      <c r="M851" s="12"/>
      <c r="R851" s="218"/>
      <c r="S851" s="218"/>
      <c r="T851" s="218"/>
      <c r="U851" s="218"/>
    </row>
    <row r="852">
      <c r="C852" s="12"/>
      <c r="D852" s="3"/>
      <c r="E852" s="112"/>
      <c r="F852" s="3"/>
      <c r="G852" s="13"/>
      <c r="H852" s="12"/>
      <c r="K852" s="12"/>
      <c r="M852" s="12"/>
      <c r="R852" s="218"/>
      <c r="S852" s="218"/>
      <c r="T852" s="218"/>
      <c r="U852" s="218"/>
    </row>
    <row r="853">
      <c r="C853" s="12"/>
      <c r="D853" s="3"/>
      <c r="E853" s="112"/>
      <c r="F853" s="3"/>
      <c r="G853" s="13"/>
      <c r="H853" s="12"/>
      <c r="K853" s="12"/>
      <c r="M853" s="12"/>
      <c r="R853" s="218"/>
      <c r="S853" s="218"/>
      <c r="T853" s="218"/>
      <c r="U853" s="218"/>
    </row>
    <row r="854">
      <c r="C854" s="12"/>
      <c r="D854" s="3"/>
      <c r="E854" s="112"/>
      <c r="F854" s="3"/>
      <c r="G854" s="13"/>
      <c r="H854" s="12"/>
      <c r="K854" s="12"/>
      <c r="M854" s="12"/>
      <c r="R854" s="218"/>
      <c r="S854" s="218"/>
      <c r="T854" s="218"/>
      <c r="U854" s="218"/>
    </row>
    <row r="855">
      <c r="C855" s="12"/>
      <c r="D855" s="3"/>
      <c r="E855" s="112"/>
      <c r="F855" s="3"/>
      <c r="G855" s="13"/>
      <c r="H855" s="12"/>
      <c r="K855" s="12"/>
      <c r="M855" s="12"/>
      <c r="R855" s="218"/>
      <c r="S855" s="218"/>
      <c r="T855" s="218"/>
      <c r="U855" s="218"/>
    </row>
    <row r="856">
      <c r="C856" s="12"/>
      <c r="D856" s="3"/>
      <c r="E856" s="112"/>
      <c r="F856" s="3"/>
      <c r="G856" s="13"/>
      <c r="H856" s="12"/>
      <c r="K856" s="12"/>
      <c r="M856" s="12"/>
      <c r="R856" s="218"/>
      <c r="S856" s="218"/>
      <c r="T856" s="218"/>
      <c r="U856" s="218"/>
    </row>
    <row r="857">
      <c r="C857" s="12"/>
      <c r="D857" s="3"/>
      <c r="E857" s="112"/>
      <c r="F857" s="3"/>
      <c r="G857" s="13"/>
      <c r="H857" s="12"/>
      <c r="K857" s="12"/>
      <c r="M857" s="12"/>
      <c r="R857" s="218"/>
      <c r="S857" s="218"/>
      <c r="T857" s="218"/>
      <c r="U857" s="218"/>
    </row>
    <row r="858">
      <c r="C858" s="12"/>
      <c r="D858" s="3"/>
      <c r="E858" s="112"/>
      <c r="F858" s="3"/>
      <c r="G858" s="13"/>
      <c r="H858" s="12"/>
      <c r="K858" s="12"/>
      <c r="M858" s="12"/>
      <c r="R858" s="218"/>
      <c r="S858" s="218"/>
      <c r="T858" s="218"/>
      <c r="U858" s="218"/>
    </row>
    <row r="859">
      <c r="C859" s="12"/>
      <c r="D859" s="3"/>
      <c r="E859" s="112"/>
      <c r="F859" s="3"/>
      <c r="G859" s="13"/>
      <c r="H859" s="12"/>
      <c r="K859" s="12"/>
      <c r="M859" s="12"/>
      <c r="R859" s="218"/>
      <c r="S859" s="218"/>
      <c r="T859" s="218"/>
      <c r="U859" s="218"/>
    </row>
    <row r="860">
      <c r="C860" s="12"/>
      <c r="D860" s="3"/>
      <c r="E860" s="112"/>
      <c r="F860" s="3"/>
      <c r="G860" s="13"/>
      <c r="H860" s="12"/>
      <c r="K860" s="12"/>
      <c r="M860" s="12"/>
      <c r="R860" s="218"/>
      <c r="S860" s="218"/>
      <c r="T860" s="218"/>
      <c r="U860" s="218"/>
    </row>
    <row r="861">
      <c r="C861" s="12"/>
      <c r="D861" s="3"/>
      <c r="E861" s="112"/>
      <c r="F861" s="3"/>
      <c r="G861" s="13"/>
      <c r="H861" s="12"/>
      <c r="K861" s="12"/>
      <c r="M861" s="12"/>
      <c r="R861" s="218"/>
      <c r="S861" s="218"/>
      <c r="T861" s="218"/>
      <c r="U861" s="218"/>
    </row>
    <row r="862">
      <c r="C862" s="12"/>
      <c r="D862" s="3"/>
      <c r="E862" s="112"/>
      <c r="F862" s="3"/>
      <c r="G862" s="13"/>
      <c r="H862" s="12"/>
      <c r="K862" s="12"/>
      <c r="M862" s="12"/>
      <c r="R862" s="218"/>
      <c r="S862" s="218"/>
      <c r="T862" s="218"/>
      <c r="U862" s="218"/>
    </row>
    <row r="863">
      <c r="C863" s="12"/>
      <c r="D863" s="3"/>
      <c r="E863" s="112"/>
      <c r="F863" s="3"/>
      <c r="G863" s="13"/>
      <c r="H863" s="12"/>
      <c r="K863" s="12"/>
      <c r="M863" s="12"/>
      <c r="R863" s="218"/>
      <c r="S863" s="218"/>
      <c r="T863" s="218"/>
      <c r="U863" s="218"/>
    </row>
    <row r="864">
      <c r="C864" s="12"/>
      <c r="D864" s="3"/>
      <c r="E864" s="112"/>
      <c r="F864" s="3"/>
      <c r="G864" s="13"/>
      <c r="H864" s="12"/>
      <c r="K864" s="12"/>
      <c r="M864" s="12"/>
      <c r="R864" s="218"/>
      <c r="S864" s="218"/>
      <c r="T864" s="218"/>
      <c r="U864" s="218"/>
    </row>
    <row r="865">
      <c r="C865" s="12"/>
      <c r="D865" s="3"/>
      <c r="E865" s="112"/>
      <c r="F865" s="3"/>
      <c r="G865" s="13"/>
      <c r="H865" s="12"/>
      <c r="K865" s="12"/>
      <c r="M865" s="12"/>
      <c r="R865" s="218"/>
      <c r="S865" s="218"/>
      <c r="T865" s="218"/>
      <c r="U865" s="218"/>
    </row>
    <row r="866">
      <c r="C866" s="12"/>
      <c r="D866" s="3"/>
      <c r="E866" s="112"/>
      <c r="F866" s="3"/>
      <c r="G866" s="13"/>
      <c r="H866" s="12"/>
      <c r="K866" s="12"/>
      <c r="M866" s="12"/>
      <c r="R866" s="218"/>
      <c r="S866" s="218"/>
      <c r="T866" s="218"/>
      <c r="U866" s="218"/>
    </row>
    <row r="867">
      <c r="C867" s="12"/>
      <c r="D867" s="3"/>
      <c r="E867" s="112"/>
      <c r="F867" s="3"/>
      <c r="G867" s="13"/>
      <c r="H867" s="12"/>
      <c r="K867" s="12"/>
      <c r="M867" s="12"/>
      <c r="R867" s="218"/>
      <c r="S867" s="218"/>
      <c r="T867" s="218"/>
      <c r="U867" s="218"/>
    </row>
    <row r="868">
      <c r="C868" s="12"/>
      <c r="D868" s="3"/>
      <c r="E868" s="112"/>
      <c r="F868" s="3"/>
      <c r="G868" s="13"/>
      <c r="H868" s="12"/>
      <c r="K868" s="12"/>
      <c r="M868" s="12"/>
      <c r="R868" s="218"/>
      <c r="S868" s="218"/>
      <c r="T868" s="218"/>
      <c r="U868" s="218"/>
    </row>
    <row r="869">
      <c r="C869" s="12"/>
      <c r="D869" s="3"/>
      <c r="E869" s="112"/>
      <c r="F869" s="3"/>
      <c r="G869" s="13"/>
      <c r="H869" s="12"/>
      <c r="K869" s="12"/>
      <c r="M869" s="12"/>
      <c r="R869" s="218"/>
      <c r="S869" s="218"/>
      <c r="T869" s="218"/>
      <c r="U869" s="218"/>
    </row>
    <row r="870">
      <c r="C870" s="12"/>
      <c r="D870" s="3"/>
      <c r="E870" s="112"/>
      <c r="F870" s="3"/>
      <c r="G870" s="13"/>
      <c r="H870" s="12"/>
      <c r="K870" s="12"/>
      <c r="M870" s="12"/>
      <c r="R870" s="218"/>
      <c r="S870" s="218"/>
      <c r="T870" s="218"/>
      <c r="U870" s="218"/>
    </row>
    <row r="871">
      <c r="C871" s="12"/>
      <c r="D871" s="3"/>
      <c r="E871" s="112"/>
      <c r="F871" s="3"/>
      <c r="G871" s="13"/>
      <c r="H871" s="12"/>
      <c r="K871" s="12"/>
      <c r="M871" s="12"/>
      <c r="R871" s="218"/>
      <c r="S871" s="218"/>
      <c r="T871" s="218"/>
      <c r="U871" s="218"/>
    </row>
    <row r="872">
      <c r="C872" s="12"/>
      <c r="D872" s="3"/>
      <c r="E872" s="112"/>
      <c r="F872" s="3"/>
      <c r="G872" s="13"/>
      <c r="H872" s="12"/>
      <c r="K872" s="12"/>
      <c r="M872" s="12"/>
      <c r="R872" s="218"/>
      <c r="S872" s="218"/>
      <c r="T872" s="218"/>
      <c r="U872" s="218"/>
    </row>
    <row r="873">
      <c r="C873" s="12"/>
      <c r="D873" s="3"/>
      <c r="E873" s="112"/>
      <c r="F873" s="3"/>
      <c r="G873" s="13"/>
      <c r="H873" s="12"/>
      <c r="K873" s="12"/>
      <c r="M873" s="12"/>
      <c r="R873" s="218"/>
      <c r="S873" s="218"/>
      <c r="T873" s="218"/>
      <c r="U873" s="218"/>
    </row>
    <row r="874">
      <c r="C874" s="12"/>
      <c r="D874" s="3"/>
      <c r="E874" s="112"/>
      <c r="F874" s="3"/>
      <c r="G874" s="13"/>
      <c r="H874" s="12"/>
      <c r="K874" s="12"/>
      <c r="M874" s="12"/>
      <c r="R874" s="218"/>
      <c r="S874" s="218"/>
      <c r="T874" s="218"/>
      <c r="U874" s="218"/>
    </row>
    <row r="875">
      <c r="C875" s="12"/>
      <c r="D875" s="3"/>
      <c r="E875" s="112"/>
      <c r="F875" s="3"/>
      <c r="G875" s="13"/>
      <c r="H875" s="12"/>
      <c r="K875" s="12"/>
      <c r="M875" s="12"/>
      <c r="R875" s="218"/>
      <c r="S875" s="218"/>
      <c r="T875" s="218"/>
      <c r="U875" s="218"/>
    </row>
    <row r="876">
      <c r="C876" s="12"/>
      <c r="D876" s="3"/>
      <c r="E876" s="112"/>
      <c r="F876" s="3"/>
      <c r="G876" s="13"/>
      <c r="H876" s="12"/>
      <c r="K876" s="12"/>
      <c r="M876" s="12"/>
      <c r="R876" s="218"/>
      <c r="S876" s="218"/>
      <c r="T876" s="218"/>
      <c r="U876" s="218"/>
    </row>
    <row r="877">
      <c r="C877" s="12"/>
      <c r="D877" s="3"/>
      <c r="E877" s="112"/>
      <c r="F877" s="3"/>
      <c r="G877" s="13"/>
      <c r="H877" s="12"/>
      <c r="K877" s="12"/>
      <c r="M877" s="12"/>
      <c r="R877" s="218"/>
      <c r="S877" s="218"/>
      <c r="T877" s="218"/>
      <c r="U877" s="218"/>
    </row>
    <row r="878">
      <c r="C878" s="12"/>
      <c r="D878" s="3"/>
      <c r="E878" s="112"/>
      <c r="F878" s="3"/>
      <c r="G878" s="13"/>
      <c r="H878" s="12"/>
      <c r="K878" s="12"/>
      <c r="M878" s="12"/>
      <c r="R878" s="218"/>
      <c r="S878" s="218"/>
      <c r="T878" s="218"/>
      <c r="U878" s="218"/>
    </row>
    <row r="879">
      <c r="C879" s="12"/>
      <c r="D879" s="3"/>
      <c r="E879" s="112"/>
      <c r="F879" s="3"/>
      <c r="G879" s="13"/>
      <c r="H879" s="12"/>
      <c r="K879" s="12"/>
      <c r="M879" s="12"/>
      <c r="R879" s="218"/>
      <c r="S879" s="218"/>
      <c r="T879" s="218"/>
      <c r="U879" s="218"/>
    </row>
    <row r="880">
      <c r="C880" s="12"/>
      <c r="D880" s="3"/>
      <c r="E880" s="112"/>
      <c r="F880" s="3"/>
      <c r="G880" s="13"/>
      <c r="H880" s="12"/>
      <c r="K880" s="12"/>
      <c r="M880" s="12"/>
      <c r="R880" s="218"/>
      <c r="S880" s="218"/>
      <c r="T880" s="218"/>
      <c r="U880" s="218"/>
    </row>
    <row r="881">
      <c r="C881" s="12"/>
      <c r="D881" s="3"/>
      <c r="E881" s="112"/>
      <c r="F881" s="3"/>
      <c r="G881" s="13"/>
      <c r="H881" s="12"/>
      <c r="K881" s="12"/>
      <c r="M881" s="12"/>
      <c r="R881" s="218"/>
      <c r="S881" s="218"/>
      <c r="T881" s="218"/>
      <c r="U881" s="218"/>
    </row>
    <row r="882">
      <c r="C882" s="12"/>
      <c r="D882" s="3"/>
      <c r="E882" s="112"/>
      <c r="F882" s="3"/>
      <c r="G882" s="13"/>
      <c r="H882" s="12"/>
      <c r="K882" s="12"/>
      <c r="M882" s="12"/>
      <c r="R882" s="218"/>
      <c r="S882" s="218"/>
      <c r="T882" s="218"/>
      <c r="U882" s="218"/>
    </row>
    <row r="883">
      <c r="C883" s="12"/>
      <c r="D883" s="3"/>
      <c r="E883" s="112"/>
      <c r="F883" s="3"/>
      <c r="G883" s="13"/>
      <c r="H883" s="12"/>
      <c r="K883" s="12"/>
      <c r="M883" s="12"/>
      <c r="R883" s="218"/>
      <c r="S883" s="218"/>
      <c r="T883" s="218"/>
      <c r="U883" s="218"/>
    </row>
    <row r="884">
      <c r="C884" s="12"/>
      <c r="D884" s="3"/>
      <c r="E884" s="112"/>
      <c r="F884" s="3"/>
      <c r="G884" s="13"/>
      <c r="H884" s="12"/>
      <c r="K884" s="12"/>
      <c r="M884" s="12"/>
      <c r="R884" s="218"/>
      <c r="S884" s="218"/>
      <c r="T884" s="218"/>
      <c r="U884" s="218"/>
    </row>
    <row r="885">
      <c r="C885" s="12"/>
      <c r="D885" s="3"/>
      <c r="E885" s="112"/>
      <c r="F885" s="3"/>
      <c r="G885" s="13"/>
      <c r="H885" s="12"/>
      <c r="K885" s="12"/>
      <c r="M885" s="12"/>
      <c r="R885" s="218"/>
      <c r="S885" s="218"/>
      <c r="T885" s="218"/>
      <c r="U885" s="218"/>
    </row>
    <row r="886">
      <c r="C886" s="12"/>
      <c r="D886" s="3"/>
      <c r="E886" s="112"/>
      <c r="F886" s="3"/>
      <c r="G886" s="13"/>
      <c r="H886" s="12"/>
      <c r="K886" s="12"/>
      <c r="M886" s="12"/>
      <c r="R886" s="218"/>
      <c r="S886" s="218"/>
      <c r="T886" s="218"/>
      <c r="U886" s="218"/>
    </row>
    <row r="887">
      <c r="C887" s="12"/>
      <c r="D887" s="3"/>
      <c r="E887" s="112"/>
      <c r="F887" s="3"/>
      <c r="G887" s="13"/>
      <c r="H887" s="12"/>
      <c r="K887" s="12"/>
      <c r="M887" s="12"/>
      <c r="R887" s="218"/>
      <c r="S887" s="218"/>
      <c r="T887" s="218"/>
      <c r="U887" s="218"/>
    </row>
    <row r="888">
      <c r="C888" s="12"/>
      <c r="D888" s="3"/>
      <c r="E888" s="112"/>
      <c r="F888" s="3"/>
      <c r="G888" s="13"/>
      <c r="H888" s="12"/>
      <c r="K888" s="12"/>
      <c r="M888" s="12"/>
      <c r="R888" s="218"/>
      <c r="S888" s="218"/>
      <c r="T888" s="218"/>
      <c r="U888" s="218"/>
    </row>
    <row r="889">
      <c r="C889" s="12"/>
      <c r="D889" s="3"/>
      <c r="E889" s="112"/>
      <c r="F889" s="3"/>
      <c r="G889" s="13"/>
      <c r="H889" s="12"/>
      <c r="K889" s="12"/>
      <c r="M889" s="12"/>
      <c r="R889" s="218"/>
      <c r="S889" s="218"/>
      <c r="T889" s="218"/>
      <c r="U889" s="218"/>
    </row>
    <row r="890">
      <c r="C890" s="12"/>
      <c r="D890" s="3"/>
      <c r="E890" s="112"/>
      <c r="F890" s="3"/>
      <c r="G890" s="13"/>
      <c r="H890" s="12"/>
      <c r="K890" s="12"/>
      <c r="M890" s="12"/>
      <c r="R890" s="218"/>
      <c r="S890" s="218"/>
      <c r="T890" s="218"/>
      <c r="U890" s="218"/>
    </row>
    <row r="891">
      <c r="C891" s="12"/>
      <c r="D891" s="3"/>
      <c r="E891" s="112"/>
      <c r="F891" s="3"/>
      <c r="G891" s="13"/>
      <c r="H891" s="12"/>
      <c r="K891" s="12"/>
      <c r="M891" s="12"/>
      <c r="R891" s="218"/>
      <c r="S891" s="218"/>
      <c r="T891" s="218"/>
      <c r="U891" s="218"/>
    </row>
    <row r="892">
      <c r="C892" s="12"/>
      <c r="D892" s="3"/>
      <c r="E892" s="112"/>
      <c r="F892" s="3"/>
      <c r="G892" s="13"/>
      <c r="H892" s="12"/>
      <c r="K892" s="12"/>
      <c r="M892" s="12"/>
      <c r="R892" s="218"/>
      <c r="S892" s="218"/>
      <c r="T892" s="218"/>
      <c r="U892" s="218"/>
    </row>
    <row r="893">
      <c r="C893" s="12"/>
      <c r="D893" s="3"/>
      <c r="E893" s="112"/>
      <c r="F893" s="3"/>
      <c r="G893" s="13"/>
      <c r="H893" s="12"/>
      <c r="K893" s="12"/>
      <c r="M893" s="12"/>
      <c r="R893" s="218"/>
      <c r="S893" s="218"/>
      <c r="T893" s="218"/>
      <c r="U893" s="218"/>
    </row>
    <row r="894">
      <c r="C894" s="12"/>
      <c r="D894" s="3"/>
      <c r="E894" s="112"/>
      <c r="F894" s="3"/>
      <c r="G894" s="13"/>
      <c r="H894" s="12"/>
      <c r="K894" s="12"/>
      <c r="M894" s="12"/>
      <c r="R894" s="218"/>
      <c r="S894" s="218"/>
      <c r="T894" s="218"/>
      <c r="U894" s="218"/>
    </row>
    <row r="895">
      <c r="C895" s="12"/>
      <c r="D895" s="3"/>
      <c r="E895" s="112"/>
      <c r="F895" s="3"/>
      <c r="G895" s="13"/>
      <c r="H895" s="12"/>
      <c r="K895" s="12"/>
      <c r="M895" s="12"/>
      <c r="R895" s="218"/>
      <c r="S895" s="218"/>
      <c r="T895" s="218"/>
      <c r="U895" s="218"/>
    </row>
    <row r="896">
      <c r="C896" s="12"/>
      <c r="D896" s="3"/>
      <c r="E896" s="112"/>
      <c r="F896" s="3"/>
      <c r="G896" s="13"/>
      <c r="H896" s="12"/>
      <c r="K896" s="12"/>
      <c r="M896" s="12"/>
      <c r="R896" s="218"/>
      <c r="S896" s="218"/>
      <c r="T896" s="218"/>
      <c r="U896" s="218"/>
    </row>
    <row r="897">
      <c r="C897" s="12"/>
      <c r="D897" s="3"/>
      <c r="E897" s="112"/>
      <c r="F897" s="3"/>
      <c r="G897" s="13"/>
      <c r="H897" s="12"/>
      <c r="K897" s="12"/>
      <c r="M897" s="12"/>
      <c r="R897" s="218"/>
      <c r="S897" s="218"/>
      <c r="T897" s="218"/>
      <c r="U897" s="218"/>
    </row>
    <row r="898">
      <c r="C898" s="12"/>
      <c r="D898" s="3"/>
      <c r="E898" s="112"/>
      <c r="F898" s="3"/>
      <c r="G898" s="13"/>
      <c r="H898" s="12"/>
      <c r="K898" s="12"/>
      <c r="M898" s="12"/>
      <c r="R898" s="218"/>
      <c r="S898" s="218"/>
      <c r="T898" s="218"/>
      <c r="U898" s="218"/>
    </row>
    <row r="899">
      <c r="C899" s="12"/>
      <c r="D899" s="3"/>
      <c r="E899" s="112"/>
      <c r="F899" s="3"/>
      <c r="G899" s="13"/>
      <c r="H899" s="12"/>
      <c r="K899" s="12"/>
      <c r="M899" s="12"/>
      <c r="R899" s="218"/>
      <c r="S899" s="218"/>
      <c r="T899" s="218"/>
      <c r="U899" s="218"/>
    </row>
    <row r="900">
      <c r="C900" s="12"/>
      <c r="D900" s="3"/>
      <c r="E900" s="112"/>
      <c r="F900" s="3"/>
      <c r="G900" s="13"/>
      <c r="H900" s="12"/>
      <c r="K900" s="12"/>
      <c r="M900" s="12"/>
      <c r="R900" s="218"/>
      <c r="S900" s="218"/>
      <c r="T900" s="218"/>
      <c r="U900" s="218"/>
    </row>
    <row r="901">
      <c r="C901" s="12"/>
      <c r="D901" s="3"/>
      <c r="E901" s="112"/>
      <c r="F901" s="3"/>
      <c r="G901" s="13"/>
      <c r="H901" s="12"/>
      <c r="K901" s="12"/>
      <c r="M901" s="12"/>
      <c r="R901" s="218"/>
      <c r="S901" s="218"/>
      <c r="T901" s="218"/>
      <c r="U901" s="218"/>
    </row>
    <row r="902">
      <c r="C902" s="12"/>
      <c r="D902" s="3"/>
      <c r="E902" s="112"/>
      <c r="F902" s="3"/>
      <c r="G902" s="13"/>
      <c r="H902" s="12"/>
      <c r="K902" s="12"/>
      <c r="M902" s="12"/>
      <c r="R902" s="218"/>
      <c r="S902" s="218"/>
      <c r="T902" s="218"/>
      <c r="U902" s="218"/>
    </row>
    <row r="903">
      <c r="C903" s="12"/>
      <c r="D903" s="3"/>
      <c r="E903" s="112"/>
      <c r="F903" s="3"/>
      <c r="G903" s="13"/>
      <c r="H903" s="12"/>
      <c r="K903" s="12"/>
      <c r="M903" s="12"/>
      <c r="R903" s="218"/>
      <c r="S903" s="218"/>
      <c r="T903" s="218"/>
      <c r="U903" s="218"/>
    </row>
    <row r="904">
      <c r="C904" s="12"/>
      <c r="D904" s="3"/>
      <c r="E904" s="112"/>
      <c r="F904" s="3"/>
      <c r="G904" s="13"/>
      <c r="H904" s="12"/>
      <c r="K904" s="12"/>
      <c r="M904" s="12"/>
      <c r="R904" s="218"/>
      <c r="S904" s="218"/>
      <c r="T904" s="218"/>
      <c r="U904" s="218"/>
    </row>
    <row r="905">
      <c r="C905" s="12"/>
      <c r="D905" s="3"/>
      <c r="E905" s="112"/>
      <c r="F905" s="3"/>
      <c r="G905" s="13"/>
      <c r="H905" s="12"/>
      <c r="K905" s="12"/>
      <c r="M905" s="12"/>
      <c r="R905" s="218"/>
      <c r="S905" s="218"/>
      <c r="T905" s="218"/>
      <c r="U905" s="218"/>
    </row>
    <row r="906">
      <c r="C906" s="12"/>
      <c r="D906" s="3"/>
      <c r="E906" s="112"/>
      <c r="F906" s="3"/>
      <c r="G906" s="13"/>
      <c r="H906" s="12"/>
      <c r="K906" s="12"/>
      <c r="M906" s="12"/>
      <c r="R906" s="218"/>
      <c r="S906" s="218"/>
      <c r="T906" s="218"/>
      <c r="U906" s="218"/>
    </row>
    <row r="907">
      <c r="C907" s="12"/>
      <c r="D907" s="3"/>
      <c r="E907" s="112"/>
      <c r="F907" s="3"/>
      <c r="G907" s="13"/>
      <c r="H907" s="12"/>
      <c r="K907" s="12"/>
      <c r="M907" s="12"/>
      <c r="R907" s="218"/>
      <c r="S907" s="218"/>
      <c r="T907" s="218"/>
      <c r="U907" s="218"/>
    </row>
    <row r="908">
      <c r="C908" s="12"/>
      <c r="D908" s="3"/>
      <c r="E908" s="112"/>
      <c r="F908" s="3"/>
      <c r="G908" s="13"/>
      <c r="H908" s="12"/>
      <c r="K908" s="12"/>
      <c r="M908" s="12"/>
      <c r="R908" s="218"/>
      <c r="S908" s="218"/>
      <c r="T908" s="218"/>
      <c r="U908" s="218"/>
    </row>
    <row r="909">
      <c r="C909" s="12"/>
      <c r="D909" s="3"/>
      <c r="E909" s="112"/>
      <c r="F909" s="3"/>
      <c r="G909" s="13"/>
      <c r="H909" s="12"/>
      <c r="K909" s="12"/>
      <c r="M909" s="12"/>
      <c r="R909" s="218"/>
      <c r="S909" s="218"/>
      <c r="T909" s="218"/>
      <c r="U909" s="218"/>
    </row>
    <row r="910">
      <c r="C910" s="12"/>
      <c r="D910" s="3"/>
      <c r="E910" s="112"/>
      <c r="F910" s="3"/>
      <c r="G910" s="13"/>
      <c r="H910" s="12"/>
      <c r="K910" s="12"/>
      <c r="M910" s="12"/>
      <c r="R910" s="218"/>
      <c r="S910" s="218"/>
      <c r="T910" s="218"/>
      <c r="U910" s="218"/>
    </row>
    <row r="911">
      <c r="C911" s="12"/>
      <c r="D911" s="3"/>
      <c r="E911" s="112"/>
      <c r="F911" s="3"/>
      <c r="G911" s="13"/>
      <c r="H911" s="12"/>
      <c r="K911" s="12"/>
      <c r="M911" s="12"/>
      <c r="R911" s="218"/>
      <c r="S911" s="218"/>
      <c r="T911" s="218"/>
      <c r="U911" s="218"/>
    </row>
    <row r="912">
      <c r="C912" s="12"/>
      <c r="D912" s="3"/>
      <c r="E912" s="112"/>
      <c r="F912" s="3"/>
      <c r="G912" s="13"/>
      <c r="H912" s="12"/>
      <c r="K912" s="12"/>
      <c r="M912" s="12"/>
      <c r="R912" s="218"/>
      <c r="S912" s="218"/>
      <c r="T912" s="218"/>
      <c r="U912" s="218"/>
    </row>
    <row r="913">
      <c r="C913" s="12"/>
      <c r="D913" s="3"/>
      <c r="E913" s="112"/>
      <c r="F913" s="3"/>
      <c r="G913" s="13"/>
      <c r="H913" s="12"/>
      <c r="K913" s="12"/>
      <c r="M913" s="12"/>
      <c r="R913" s="218"/>
      <c r="S913" s="218"/>
      <c r="T913" s="218"/>
      <c r="U913" s="218"/>
    </row>
    <row r="914">
      <c r="C914" s="12"/>
      <c r="D914" s="3"/>
      <c r="E914" s="112"/>
      <c r="F914" s="3"/>
      <c r="G914" s="13"/>
      <c r="H914" s="12"/>
      <c r="K914" s="12"/>
      <c r="M914" s="12"/>
      <c r="R914" s="218"/>
      <c r="S914" s="218"/>
      <c r="T914" s="218"/>
      <c r="U914" s="218"/>
    </row>
    <row r="915">
      <c r="C915" s="12"/>
      <c r="D915" s="3"/>
      <c r="E915" s="112"/>
      <c r="F915" s="3"/>
      <c r="G915" s="13"/>
      <c r="H915" s="12"/>
      <c r="K915" s="12"/>
      <c r="M915" s="12"/>
      <c r="R915" s="218"/>
      <c r="S915" s="218"/>
      <c r="T915" s="218"/>
      <c r="U915" s="218"/>
    </row>
    <row r="916">
      <c r="C916" s="12"/>
      <c r="D916" s="3"/>
      <c r="E916" s="112"/>
      <c r="F916" s="3"/>
      <c r="G916" s="13"/>
      <c r="H916" s="12"/>
      <c r="K916" s="12"/>
      <c r="M916" s="12"/>
      <c r="R916" s="218"/>
      <c r="S916" s="218"/>
      <c r="T916" s="218"/>
      <c r="U916" s="218"/>
    </row>
    <row r="917">
      <c r="C917" s="12"/>
      <c r="D917" s="3"/>
      <c r="E917" s="112"/>
      <c r="F917" s="3"/>
      <c r="G917" s="13"/>
      <c r="H917" s="12"/>
      <c r="K917" s="12"/>
      <c r="M917" s="12"/>
      <c r="R917" s="218"/>
      <c r="S917" s="218"/>
      <c r="T917" s="218"/>
      <c r="U917" s="218"/>
    </row>
    <row r="918">
      <c r="C918" s="12"/>
      <c r="D918" s="3"/>
      <c r="E918" s="112"/>
      <c r="F918" s="3"/>
      <c r="G918" s="13"/>
      <c r="H918" s="12"/>
      <c r="K918" s="12"/>
      <c r="M918" s="12"/>
      <c r="R918" s="218"/>
      <c r="S918" s="218"/>
      <c r="T918" s="218"/>
      <c r="U918" s="218"/>
    </row>
    <row r="919">
      <c r="C919" s="12"/>
      <c r="D919" s="3"/>
      <c r="E919" s="112"/>
      <c r="F919" s="3"/>
      <c r="G919" s="13"/>
      <c r="H919" s="12"/>
      <c r="K919" s="12"/>
      <c r="M919" s="12"/>
      <c r="R919" s="218"/>
      <c r="S919" s="218"/>
      <c r="T919" s="218"/>
      <c r="U919" s="218"/>
    </row>
    <row r="920">
      <c r="C920" s="12"/>
      <c r="D920" s="3"/>
      <c r="E920" s="112"/>
      <c r="F920" s="3"/>
      <c r="G920" s="13"/>
      <c r="H920" s="12"/>
      <c r="K920" s="12"/>
      <c r="M920" s="12"/>
      <c r="R920" s="218"/>
      <c r="S920" s="218"/>
      <c r="T920" s="218"/>
      <c r="U920" s="218"/>
    </row>
    <row r="921">
      <c r="C921" s="12"/>
      <c r="D921" s="3"/>
      <c r="E921" s="112"/>
      <c r="F921" s="3"/>
      <c r="G921" s="13"/>
      <c r="H921" s="12"/>
      <c r="K921" s="12"/>
      <c r="M921" s="12"/>
      <c r="R921" s="218"/>
      <c r="S921" s="218"/>
      <c r="T921" s="218"/>
      <c r="U921" s="218"/>
    </row>
    <row r="922">
      <c r="C922" s="12"/>
      <c r="D922" s="3"/>
      <c r="E922" s="112"/>
      <c r="F922" s="3"/>
      <c r="G922" s="13"/>
      <c r="H922" s="12"/>
      <c r="K922" s="12"/>
      <c r="M922" s="12"/>
      <c r="R922" s="218"/>
      <c r="S922" s="218"/>
      <c r="T922" s="218"/>
      <c r="U922" s="218"/>
    </row>
    <row r="923">
      <c r="C923" s="12"/>
      <c r="D923" s="3"/>
      <c r="E923" s="112"/>
      <c r="F923" s="3"/>
      <c r="G923" s="13"/>
      <c r="H923" s="12"/>
      <c r="K923" s="12"/>
      <c r="M923" s="12"/>
      <c r="R923" s="218"/>
      <c r="S923" s="218"/>
      <c r="T923" s="218"/>
      <c r="U923" s="218"/>
    </row>
    <row r="924">
      <c r="C924" s="12"/>
      <c r="D924" s="3"/>
      <c r="E924" s="112"/>
      <c r="F924" s="3"/>
      <c r="G924" s="13"/>
      <c r="H924" s="12"/>
      <c r="K924" s="12"/>
      <c r="M924" s="12"/>
      <c r="R924" s="218"/>
      <c r="S924" s="218"/>
      <c r="T924" s="218"/>
      <c r="U924" s="218"/>
    </row>
    <row r="925">
      <c r="C925" s="12"/>
      <c r="D925" s="3"/>
      <c r="E925" s="112"/>
      <c r="F925" s="3"/>
      <c r="G925" s="13"/>
      <c r="H925" s="12"/>
      <c r="K925" s="12"/>
      <c r="M925" s="12"/>
      <c r="R925" s="218"/>
      <c r="S925" s="218"/>
      <c r="T925" s="218"/>
      <c r="U925" s="218"/>
    </row>
    <row r="926">
      <c r="C926" s="12"/>
      <c r="D926" s="3"/>
      <c r="E926" s="112"/>
      <c r="F926" s="3"/>
      <c r="G926" s="13"/>
      <c r="H926" s="12"/>
      <c r="K926" s="12"/>
      <c r="M926" s="12"/>
      <c r="R926" s="218"/>
      <c r="S926" s="218"/>
      <c r="T926" s="218"/>
      <c r="U926" s="218"/>
    </row>
    <row r="927">
      <c r="C927" s="12"/>
      <c r="D927" s="3"/>
      <c r="E927" s="112"/>
      <c r="F927" s="3"/>
      <c r="G927" s="13"/>
      <c r="H927" s="12"/>
      <c r="K927" s="12"/>
      <c r="M927" s="12"/>
      <c r="R927" s="218"/>
      <c r="S927" s="218"/>
      <c r="T927" s="218"/>
      <c r="U927" s="218"/>
    </row>
    <row r="928">
      <c r="C928" s="12"/>
      <c r="D928" s="3"/>
      <c r="E928" s="112"/>
      <c r="F928" s="3"/>
      <c r="G928" s="13"/>
      <c r="H928" s="12"/>
      <c r="K928" s="12"/>
      <c r="M928" s="12"/>
      <c r="R928" s="218"/>
      <c r="S928" s="218"/>
      <c r="T928" s="218"/>
      <c r="U928" s="218"/>
    </row>
    <row r="929">
      <c r="C929" s="12"/>
      <c r="D929" s="3"/>
      <c r="E929" s="112"/>
      <c r="F929" s="3"/>
      <c r="G929" s="13"/>
      <c r="H929" s="12"/>
      <c r="K929" s="12"/>
      <c r="M929" s="12"/>
      <c r="R929" s="218"/>
      <c r="S929" s="218"/>
      <c r="T929" s="218"/>
      <c r="U929" s="218"/>
    </row>
    <row r="930">
      <c r="C930" s="12"/>
      <c r="D930" s="3"/>
      <c r="E930" s="112"/>
      <c r="F930" s="3"/>
      <c r="G930" s="13"/>
      <c r="H930" s="12"/>
      <c r="K930" s="12"/>
      <c r="M930" s="12"/>
      <c r="R930" s="218"/>
      <c r="S930" s="218"/>
      <c r="T930" s="218"/>
      <c r="U930" s="218"/>
    </row>
    <row r="931">
      <c r="C931" s="12"/>
      <c r="D931" s="3"/>
      <c r="E931" s="112"/>
      <c r="F931" s="3"/>
      <c r="G931" s="13"/>
      <c r="H931" s="12"/>
      <c r="K931" s="12"/>
      <c r="M931" s="12"/>
      <c r="R931" s="218"/>
      <c r="S931" s="218"/>
      <c r="T931" s="218"/>
      <c r="U931" s="218"/>
    </row>
    <row r="932">
      <c r="C932" s="12"/>
      <c r="D932" s="3"/>
      <c r="E932" s="112"/>
      <c r="F932" s="3"/>
      <c r="G932" s="13"/>
      <c r="H932" s="12"/>
      <c r="K932" s="12"/>
      <c r="M932" s="12"/>
      <c r="R932" s="218"/>
      <c r="S932" s="218"/>
      <c r="T932" s="218"/>
      <c r="U932" s="218"/>
    </row>
    <row r="933">
      <c r="C933" s="12"/>
      <c r="D933" s="3"/>
      <c r="E933" s="112"/>
      <c r="F933" s="3"/>
      <c r="G933" s="13"/>
      <c r="H933" s="12"/>
      <c r="K933" s="12"/>
      <c r="M933" s="12"/>
      <c r="R933" s="218"/>
      <c r="S933" s="218"/>
      <c r="T933" s="218"/>
      <c r="U933" s="218"/>
    </row>
    <row r="934">
      <c r="C934" s="12"/>
      <c r="D934" s="3"/>
      <c r="E934" s="112"/>
      <c r="F934" s="3"/>
      <c r="G934" s="13"/>
      <c r="H934" s="12"/>
      <c r="K934" s="12"/>
      <c r="M934" s="12"/>
      <c r="R934" s="218"/>
      <c r="S934" s="218"/>
      <c r="T934" s="218"/>
      <c r="U934" s="218"/>
    </row>
    <row r="935">
      <c r="C935" s="12"/>
      <c r="D935" s="3"/>
      <c r="E935" s="112"/>
      <c r="F935" s="3"/>
      <c r="G935" s="13"/>
      <c r="H935" s="12"/>
      <c r="K935" s="12"/>
      <c r="M935" s="12"/>
      <c r="R935" s="218"/>
      <c r="S935" s="218"/>
      <c r="T935" s="218"/>
      <c r="U935" s="218"/>
    </row>
    <row r="936">
      <c r="C936" s="12"/>
      <c r="D936" s="3"/>
      <c r="E936" s="112"/>
      <c r="F936" s="3"/>
      <c r="G936" s="13"/>
      <c r="H936" s="12"/>
      <c r="K936" s="12"/>
      <c r="M936" s="12"/>
      <c r="R936" s="218"/>
      <c r="S936" s="218"/>
      <c r="T936" s="218"/>
      <c r="U936" s="218"/>
    </row>
    <row r="937">
      <c r="C937" s="12"/>
      <c r="D937" s="3"/>
      <c r="E937" s="112"/>
      <c r="F937" s="3"/>
      <c r="G937" s="13"/>
      <c r="H937" s="12"/>
      <c r="K937" s="12"/>
      <c r="M937" s="12"/>
      <c r="R937" s="218"/>
      <c r="S937" s="218"/>
      <c r="T937" s="218"/>
      <c r="U937" s="218"/>
    </row>
    <row r="938">
      <c r="C938" s="12"/>
      <c r="D938" s="3"/>
      <c r="E938" s="112"/>
      <c r="F938" s="3"/>
      <c r="G938" s="13"/>
      <c r="H938" s="12"/>
      <c r="K938" s="12"/>
      <c r="M938" s="12"/>
      <c r="R938" s="218"/>
      <c r="S938" s="218"/>
      <c r="T938" s="218"/>
      <c r="U938" s="218"/>
    </row>
    <row r="939">
      <c r="C939" s="12"/>
      <c r="D939" s="3"/>
      <c r="E939" s="112"/>
      <c r="F939" s="3"/>
      <c r="G939" s="13"/>
      <c r="H939" s="12"/>
      <c r="K939" s="12"/>
      <c r="M939" s="12"/>
      <c r="R939" s="218"/>
      <c r="S939" s="218"/>
      <c r="T939" s="218"/>
      <c r="U939" s="218"/>
    </row>
    <row r="940">
      <c r="C940" s="12"/>
      <c r="D940" s="3"/>
      <c r="E940" s="112"/>
      <c r="F940" s="3"/>
      <c r="G940" s="13"/>
      <c r="H940" s="12"/>
      <c r="K940" s="12"/>
      <c r="M940" s="12"/>
      <c r="R940" s="218"/>
      <c r="S940" s="218"/>
      <c r="T940" s="218"/>
      <c r="U940" s="218"/>
    </row>
    <row r="941">
      <c r="C941" s="12"/>
      <c r="D941" s="3"/>
      <c r="E941" s="112"/>
      <c r="F941" s="3"/>
      <c r="G941" s="13"/>
      <c r="H941" s="12"/>
      <c r="K941" s="12"/>
      <c r="M941" s="12"/>
      <c r="R941" s="218"/>
      <c r="S941" s="218"/>
      <c r="T941" s="218"/>
      <c r="U941" s="218"/>
    </row>
    <row r="942">
      <c r="C942" s="12"/>
      <c r="D942" s="3"/>
      <c r="E942" s="112"/>
      <c r="F942" s="3"/>
      <c r="G942" s="13"/>
      <c r="H942" s="12"/>
      <c r="K942" s="12"/>
      <c r="M942" s="12"/>
      <c r="R942" s="218"/>
      <c r="S942" s="218"/>
      <c r="T942" s="218"/>
      <c r="U942" s="218"/>
    </row>
    <row r="943">
      <c r="C943" s="12"/>
      <c r="D943" s="3"/>
      <c r="E943" s="112"/>
      <c r="F943" s="3"/>
      <c r="G943" s="13"/>
      <c r="H943" s="12"/>
      <c r="K943" s="12"/>
      <c r="M943" s="12"/>
      <c r="R943" s="218"/>
      <c r="S943" s="218"/>
      <c r="T943" s="218"/>
      <c r="U943" s="218"/>
    </row>
    <row r="944">
      <c r="C944" s="12"/>
      <c r="D944" s="3"/>
      <c r="E944" s="112"/>
      <c r="F944" s="3"/>
      <c r="G944" s="13"/>
      <c r="H944" s="12"/>
      <c r="K944" s="12"/>
      <c r="M944" s="12"/>
      <c r="R944" s="218"/>
      <c r="S944" s="218"/>
      <c r="T944" s="218"/>
      <c r="U944" s="218"/>
    </row>
    <row r="945">
      <c r="C945" s="12"/>
      <c r="D945" s="3"/>
      <c r="E945" s="112"/>
      <c r="F945" s="3"/>
      <c r="G945" s="13"/>
      <c r="H945" s="12"/>
      <c r="K945" s="12"/>
      <c r="M945" s="12"/>
      <c r="R945" s="218"/>
      <c r="S945" s="218"/>
      <c r="T945" s="218"/>
      <c r="U945" s="218"/>
    </row>
    <row r="946">
      <c r="C946" s="12"/>
      <c r="D946" s="3"/>
      <c r="E946" s="112"/>
      <c r="F946" s="3"/>
      <c r="G946" s="13"/>
      <c r="H946" s="12"/>
      <c r="K946" s="12"/>
      <c r="M946" s="12"/>
      <c r="R946" s="218"/>
      <c r="S946" s="218"/>
      <c r="T946" s="218"/>
      <c r="U946" s="218"/>
    </row>
    <row r="947">
      <c r="C947" s="12"/>
      <c r="D947" s="3"/>
      <c r="E947" s="112"/>
      <c r="F947" s="3"/>
      <c r="G947" s="13"/>
      <c r="H947" s="12"/>
      <c r="K947" s="12"/>
      <c r="M947" s="12"/>
      <c r="R947" s="218"/>
      <c r="S947" s="218"/>
      <c r="T947" s="218"/>
      <c r="U947" s="218"/>
    </row>
    <row r="948">
      <c r="C948" s="12"/>
      <c r="D948" s="3"/>
      <c r="E948" s="112"/>
      <c r="F948" s="3"/>
      <c r="G948" s="13"/>
      <c r="H948" s="12"/>
      <c r="K948" s="12"/>
      <c r="M948" s="12"/>
      <c r="R948" s="218"/>
      <c r="S948" s="218"/>
      <c r="T948" s="218"/>
      <c r="U948" s="218"/>
    </row>
    <row r="949">
      <c r="C949" s="12"/>
      <c r="D949" s="3"/>
      <c r="E949" s="112"/>
      <c r="F949" s="3"/>
      <c r="G949" s="13"/>
      <c r="H949" s="12"/>
      <c r="K949" s="12"/>
      <c r="M949" s="12"/>
      <c r="R949" s="218"/>
      <c r="S949" s="218"/>
      <c r="T949" s="218"/>
      <c r="U949" s="218"/>
    </row>
    <row r="950">
      <c r="C950" s="12"/>
      <c r="D950" s="3"/>
      <c r="E950" s="112"/>
      <c r="F950" s="3"/>
      <c r="G950" s="13"/>
      <c r="H950" s="12"/>
      <c r="K950" s="12"/>
      <c r="M950" s="12"/>
      <c r="R950" s="218"/>
      <c r="S950" s="218"/>
      <c r="T950" s="218"/>
      <c r="U950" s="218"/>
    </row>
    <row r="951">
      <c r="C951" s="12"/>
      <c r="D951" s="3"/>
      <c r="E951" s="112"/>
      <c r="F951" s="3"/>
      <c r="G951" s="13"/>
      <c r="H951" s="12"/>
      <c r="K951" s="12"/>
      <c r="M951" s="12"/>
      <c r="R951" s="218"/>
      <c r="S951" s="218"/>
      <c r="T951" s="218"/>
      <c r="U951" s="218"/>
    </row>
    <row r="952">
      <c r="C952" s="12"/>
      <c r="D952" s="3"/>
      <c r="E952" s="112"/>
      <c r="F952" s="3"/>
      <c r="G952" s="13"/>
      <c r="H952" s="12"/>
      <c r="K952" s="12"/>
      <c r="M952" s="12"/>
      <c r="R952" s="218"/>
      <c r="S952" s="218"/>
      <c r="T952" s="218"/>
      <c r="U952" s="218"/>
    </row>
    <row r="953">
      <c r="C953" s="12"/>
      <c r="D953" s="3"/>
      <c r="E953" s="112"/>
      <c r="F953" s="3"/>
      <c r="G953" s="13"/>
      <c r="H953" s="12"/>
      <c r="K953" s="12"/>
      <c r="M953" s="12"/>
      <c r="R953" s="218"/>
      <c r="S953" s="218"/>
      <c r="T953" s="218"/>
      <c r="U953" s="218"/>
    </row>
    <row r="954">
      <c r="C954" s="12"/>
      <c r="D954" s="3"/>
      <c r="E954" s="112"/>
      <c r="F954" s="3"/>
      <c r="G954" s="13"/>
      <c r="H954" s="12"/>
      <c r="K954" s="12"/>
      <c r="M954" s="12"/>
      <c r="R954" s="218"/>
      <c r="S954" s="218"/>
      <c r="T954" s="218"/>
      <c r="U954" s="218"/>
    </row>
    <row r="955">
      <c r="C955" s="12"/>
      <c r="D955" s="3"/>
      <c r="E955" s="112"/>
      <c r="F955" s="3"/>
      <c r="G955" s="13"/>
      <c r="H955" s="12"/>
      <c r="K955" s="12"/>
      <c r="M955" s="12"/>
      <c r="R955" s="218"/>
      <c r="S955" s="218"/>
      <c r="T955" s="218"/>
      <c r="U955" s="218"/>
    </row>
    <row r="956">
      <c r="C956" s="12"/>
      <c r="D956" s="3"/>
      <c r="E956" s="112"/>
      <c r="F956" s="3"/>
      <c r="G956" s="13"/>
      <c r="H956" s="12"/>
      <c r="K956" s="12"/>
      <c r="M956" s="12"/>
      <c r="R956" s="218"/>
      <c r="S956" s="218"/>
      <c r="T956" s="218"/>
      <c r="U956" s="218"/>
    </row>
    <row r="957">
      <c r="C957" s="12"/>
      <c r="D957" s="3"/>
      <c r="E957" s="112"/>
      <c r="F957" s="3"/>
      <c r="G957" s="13"/>
      <c r="H957" s="12"/>
      <c r="K957" s="12"/>
      <c r="M957" s="12"/>
      <c r="R957" s="218"/>
      <c r="S957" s="218"/>
      <c r="T957" s="218"/>
      <c r="U957" s="218"/>
    </row>
    <row r="958">
      <c r="C958" s="12"/>
      <c r="D958" s="3"/>
      <c r="E958" s="112"/>
      <c r="F958" s="3"/>
      <c r="G958" s="13"/>
      <c r="H958" s="12"/>
      <c r="K958" s="12"/>
      <c r="M958" s="12"/>
      <c r="R958" s="218"/>
      <c r="S958" s="218"/>
      <c r="T958" s="218"/>
      <c r="U958" s="218"/>
    </row>
    <row r="959">
      <c r="C959" s="12"/>
      <c r="D959" s="3"/>
      <c r="E959" s="112"/>
      <c r="F959" s="3"/>
      <c r="G959" s="13"/>
      <c r="H959" s="12"/>
      <c r="K959" s="12"/>
      <c r="M959" s="12"/>
      <c r="R959" s="218"/>
      <c r="S959" s="218"/>
      <c r="T959" s="218"/>
      <c r="U959" s="218"/>
    </row>
    <row r="960">
      <c r="C960" s="12"/>
      <c r="D960" s="3"/>
      <c r="E960" s="112"/>
      <c r="F960" s="3"/>
      <c r="G960" s="13"/>
      <c r="H960" s="12"/>
      <c r="K960" s="12"/>
      <c r="M960" s="12"/>
      <c r="R960" s="218"/>
      <c r="S960" s="218"/>
      <c r="T960" s="218"/>
      <c r="U960" s="218"/>
    </row>
    <row r="961">
      <c r="C961" s="12"/>
      <c r="D961" s="3"/>
      <c r="E961" s="112"/>
      <c r="F961" s="3"/>
      <c r="G961" s="13"/>
      <c r="H961" s="12"/>
      <c r="K961" s="12"/>
      <c r="M961" s="12"/>
      <c r="R961" s="218"/>
      <c r="S961" s="218"/>
      <c r="T961" s="218"/>
      <c r="U961" s="218"/>
    </row>
    <row r="962">
      <c r="C962" s="12"/>
      <c r="D962" s="3"/>
      <c r="E962" s="112"/>
      <c r="F962" s="3"/>
      <c r="G962" s="13"/>
      <c r="H962" s="12"/>
      <c r="K962" s="12"/>
      <c r="M962" s="12"/>
      <c r="R962" s="218"/>
      <c r="S962" s="218"/>
      <c r="T962" s="218"/>
      <c r="U962" s="218"/>
    </row>
    <row r="963">
      <c r="C963" s="12"/>
      <c r="D963" s="3"/>
      <c r="E963" s="112"/>
      <c r="F963" s="3"/>
      <c r="G963" s="13"/>
      <c r="H963" s="12"/>
      <c r="K963" s="12"/>
      <c r="M963" s="12"/>
      <c r="R963" s="218"/>
      <c r="S963" s="218"/>
      <c r="T963" s="218"/>
      <c r="U963" s="218"/>
    </row>
    <row r="964">
      <c r="C964" s="12"/>
      <c r="D964" s="3"/>
      <c r="E964" s="112"/>
      <c r="F964" s="3"/>
      <c r="G964" s="13"/>
      <c r="H964" s="12"/>
      <c r="K964" s="12"/>
      <c r="M964" s="12"/>
      <c r="R964" s="218"/>
      <c r="S964" s="218"/>
      <c r="T964" s="218"/>
      <c r="U964" s="218"/>
    </row>
    <row r="965">
      <c r="C965" s="12"/>
      <c r="D965" s="3"/>
      <c r="E965" s="112"/>
      <c r="F965" s="3"/>
      <c r="G965" s="13"/>
      <c r="H965" s="12"/>
      <c r="K965" s="12"/>
      <c r="M965" s="12"/>
      <c r="R965" s="218"/>
      <c r="S965" s="218"/>
      <c r="T965" s="218"/>
      <c r="U965" s="218"/>
    </row>
    <row r="966">
      <c r="C966" s="12"/>
      <c r="D966" s="3"/>
      <c r="E966" s="112"/>
      <c r="F966" s="3"/>
      <c r="G966" s="13"/>
      <c r="H966" s="12"/>
      <c r="K966" s="12"/>
      <c r="M966" s="12"/>
      <c r="R966" s="218"/>
      <c r="S966" s="218"/>
      <c r="T966" s="218"/>
      <c r="U966" s="218"/>
    </row>
    <row r="967">
      <c r="C967" s="12"/>
      <c r="D967" s="3"/>
      <c r="E967" s="112"/>
      <c r="F967" s="3"/>
      <c r="G967" s="13"/>
      <c r="H967" s="12"/>
      <c r="K967" s="12"/>
      <c r="M967" s="12"/>
      <c r="R967" s="218"/>
      <c r="S967" s="218"/>
      <c r="T967" s="218"/>
      <c r="U967" s="218"/>
    </row>
    <row r="968">
      <c r="C968" s="12"/>
      <c r="D968" s="3"/>
      <c r="E968" s="112"/>
      <c r="F968" s="3"/>
      <c r="G968" s="13"/>
      <c r="H968" s="12"/>
      <c r="K968" s="12"/>
      <c r="M968" s="12"/>
      <c r="R968" s="218"/>
      <c r="S968" s="218"/>
      <c r="T968" s="218"/>
      <c r="U968" s="218"/>
    </row>
    <row r="969">
      <c r="C969" s="12"/>
      <c r="D969" s="3"/>
      <c r="E969" s="112"/>
      <c r="F969" s="3"/>
      <c r="G969" s="13"/>
      <c r="H969" s="12"/>
      <c r="K969" s="12"/>
      <c r="M969" s="12"/>
      <c r="R969" s="218"/>
      <c r="S969" s="218"/>
      <c r="T969" s="218"/>
      <c r="U969" s="218"/>
    </row>
    <row r="970">
      <c r="C970" s="12"/>
      <c r="D970" s="3"/>
      <c r="E970" s="112"/>
      <c r="F970" s="3"/>
      <c r="G970" s="13"/>
      <c r="H970" s="12"/>
      <c r="K970" s="12"/>
      <c r="M970" s="12"/>
      <c r="R970" s="218"/>
      <c r="S970" s="218"/>
      <c r="T970" s="218"/>
      <c r="U970" s="218"/>
    </row>
    <row r="971">
      <c r="C971" s="12"/>
      <c r="D971" s="3"/>
      <c r="E971" s="112"/>
      <c r="F971" s="3"/>
      <c r="G971" s="13"/>
      <c r="H971" s="12"/>
      <c r="K971" s="12"/>
      <c r="M971" s="12"/>
      <c r="R971" s="218"/>
      <c r="S971" s="218"/>
      <c r="T971" s="218"/>
      <c r="U971" s="218"/>
    </row>
    <row r="972">
      <c r="C972" s="12"/>
      <c r="D972" s="3"/>
      <c r="E972" s="112"/>
      <c r="F972" s="3"/>
      <c r="G972" s="13"/>
      <c r="H972" s="12"/>
      <c r="K972" s="12"/>
      <c r="M972" s="12"/>
      <c r="R972" s="218"/>
      <c r="S972" s="218"/>
      <c r="T972" s="218"/>
      <c r="U972" s="218"/>
    </row>
    <row r="973">
      <c r="C973" s="12"/>
      <c r="D973" s="3"/>
      <c r="E973" s="112"/>
      <c r="F973" s="3"/>
      <c r="G973" s="13"/>
      <c r="H973" s="12"/>
      <c r="K973" s="12"/>
      <c r="M973" s="12"/>
      <c r="R973" s="218"/>
      <c r="S973" s="218"/>
      <c r="T973" s="218"/>
      <c r="U973" s="218"/>
    </row>
    <row r="974">
      <c r="C974" s="12"/>
      <c r="D974" s="3"/>
      <c r="E974" s="112"/>
      <c r="F974" s="3"/>
      <c r="G974" s="13"/>
      <c r="H974" s="12"/>
      <c r="K974" s="12"/>
      <c r="M974" s="12"/>
      <c r="R974" s="218"/>
      <c r="S974" s="218"/>
      <c r="T974" s="218"/>
      <c r="U974" s="218"/>
    </row>
    <row r="975">
      <c r="C975" s="12"/>
      <c r="D975" s="3"/>
      <c r="E975" s="112"/>
      <c r="F975" s="3"/>
      <c r="G975" s="13"/>
      <c r="H975" s="12"/>
      <c r="K975" s="12"/>
      <c r="M975" s="12"/>
      <c r="R975" s="218"/>
      <c r="S975" s="218"/>
      <c r="T975" s="218"/>
      <c r="U975" s="218"/>
    </row>
    <row r="976">
      <c r="C976" s="12"/>
      <c r="D976" s="3"/>
      <c r="E976" s="112"/>
      <c r="F976" s="3"/>
      <c r="G976" s="13"/>
      <c r="H976" s="12"/>
      <c r="K976" s="12"/>
      <c r="M976" s="12"/>
      <c r="R976" s="218"/>
      <c r="S976" s="218"/>
      <c r="T976" s="218"/>
      <c r="U976" s="218"/>
    </row>
    <row r="977">
      <c r="C977" s="12"/>
      <c r="D977" s="3"/>
      <c r="E977" s="112"/>
      <c r="F977" s="3"/>
      <c r="G977" s="13"/>
      <c r="H977" s="12"/>
      <c r="K977" s="12"/>
      <c r="M977" s="12"/>
      <c r="R977" s="218"/>
      <c r="S977" s="218"/>
      <c r="T977" s="218"/>
      <c r="U977" s="218"/>
    </row>
    <row r="978">
      <c r="C978" s="12"/>
      <c r="D978" s="3"/>
      <c r="E978" s="112"/>
      <c r="F978" s="3"/>
      <c r="G978" s="13"/>
      <c r="H978" s="12"/>
      <c r="K978" s="12"/>
      <c r="M978" s="12"/>
      <c r="R978" s="218"/>
      <c r="S978" s="218"/>
      <c r="T978" s="218"/>
      <c r="U978" s="218"/>
    </row>
    <row r="979">
      <c r="C979" s="12"/>
      <c r="D979" s="3"/>
      <c r="E979" s="112"/>
      <c r="F979" s="3"/>
      <c r="G979" s="13"/>
      <c r="H979" s="12"/>
      <c r="K979" s="12"/>
      <c r="M979" s="12"/>
      <c r="R979" s="218"/>
      <c r="S979" s="218"/>
      <c r="T979" s="218"/>
      <c r="U979" s="218"/>
    </row>
    <row r="980">
      <c r="C980" s="12"/>
      <c r="D980" s="3"/>
      <c r="E980" s="112"/>
      <c r="F980" s="3"/>
      <c r="G980" s="13"/>
      <c r="H980" s="12"/>
      <c r="K980" s="12"/>
      <c r="M980" s="12"/>
      <c r="R980" s="218"/>
      <c r="S980" s="218"/>
      <c r="T980" s="218"/>
      <c r="U980" s="218"/>
    </row>
    <row r="981">
      <c r="C981" s="12"/>
      <c r="D981" s="3"/>
      <c r="E981" s="112"/>
      <c r="F981" s="3"/>
      <c r="G981" s="13"/>
      <c r="H981" s="12"/>
      <c r="K981" s="12"/>
      <c r="M981" s="12"/>
      <c r="R981" s="218"/>
      <c r="S981" s="218"/>
      <c r="T981" s="218"/>
      <c r="U981" s="218"/>
    </row>
    <row r="982">
      <c r="C982" s="12"/>
      <c r="D982" s="3"/>
      <c r="E982" s="112"/>
      <c r="F982" s="3"/>
      <c r="G982" s="13"/>
      <c r="H982" s="12"/>
      <c r="K982" s="12"/>
      <c r="M982" s="12"/>
      <c r="R982" s="218"/>
      <c r="S982" s="218"/>
      <c r="T982" s="218"/>
      <c r="U982" s="218"/>
    </row>
    <row r="983">
      <c r="C983" s="12"/>
      <c r="D983" s="3"/>
      <c r="E983" s="112"/>
      <c r="F983" s="3"/>
      <c r="G983" s="13"/>
      <c r="H983" s="12"/>
      <c r="K983" s="12"/>
      <c r="M983" s="12"/>
      <c r="R983" s="218"/>
      <c r="S983" s="218"/>
      <c r="T983" s="218"/>
      <c r="U983" s="218"/>
    </row>
    <row r="984">
      <c r="C984" s="12"/>
      <c r="D984" s="3"/>
      <c r="E984" s="112"/>
      <c r="F984" s="3"/>
      <c r="G984" s="13"/>
      <c r="H984" s="12"/>
      <c r="K984" s="12"/>
      <c r="M984" s="12"/>
      <c r="R984" s="218"/>
      <c r="S984" s="218"/>
      <c r="T984" s="218"/>
      <c r="U984" s="218"/>
    </row>
    <row r="985">
      <c r="C985" s="12"/>
      <c r="D985" s="3"/>
      <c r="E985" s="112"/>
      <c r="F985" s="3"/>
      <c r="G985" s="13"/>
      <c r="H985" s="12"/>
      <c r="K985" s="12"/>
      <c r="M985" s="12"/>
      <c r="R985" s="218"/>
      <c r="S985" s="218"/>
      <c r="T985" s="218"/>
      <c r="U985" s="218"/>
    </row>
    <row r="986">
      <c r="C986" s="12"/>
      <c r="D986" s="3"/>
      <c r="E986" s="112"/>
      <c r="F986" s="3"/>
      <c r="G986" s="13"/>
      <c r="H986" s="12"/>
      <c r="K986" s="12"/>
      <c r="M986" s="12"/>
      <c r="R986" s="218"/>
      <c r="S986" s="218"/>
      <c r="T986" s="218"/>
      <c r="U986" s="218"/>
    </row>
    <row r="987">
      <c r="C987" s="12"/>
      <c r="D987" s="3"/>
      <c r="E987" s="112"/>
      <c r="F987" s="3"/>
      <c r="G987" s="13"/>
      <c r="H987" s="12"/>
      <c r="K987" s="12"/>
      <c r="M987" s="12"/>
      <c r="R987" s="218"/>
      <c r="S987" s="218"/>
      <c r="T987" s="218"/>
      <c r="U987" s="218"/>
    </row>
    <row r="988">
      <c r="C988" s="12"/>
      <c r="D988" s="3"/>
      <c r="E988" s="112"/>
      <c r="F988" s="3"/>
      <c r="G988" s="13"/>
      <c r="H988" s="12"/>
      <c r="K988" s="12"/>
      <c r="M988" s="12"/>
      <c r="R988" s="218"/>
      <c r="S988" s="218"/>
      <c r="T988" s="218"/>
      <c r="U988" s="218"/>
    </row>
    <row r="989">
      <c r="C989" s="12"/>
      <c r="D989" s="3"/>
      <c r="E989" s="112"/>
      <c r="F989" s="3"/>
      <c r="G989" s="13"/>
      <c r="H989" s="12"/>
      <c r="K989" s="12"/>
      <c r="M989" s="12"/>
      <c r="R989" s="218"/>
      <c r="S989" s="218"/>
      <c r="T989" s="218"/>
      <c r="U989" s="218"/>
    </row>
    <row r="990">
      <c r="C990" s="12"/>
      <c r="D990" s="3"/>
      <c r="E990" s="112"/>
      <c r="F990" s="3"/>
      <c r="G990" s="13"/>
      <c r="H990" s="12"/>
      <c r="K990" s="12"/>
      <c r="M990" s="12"/>
      <c r="R990" s="218"/>
      <c r="S990" s="218"/>
      <c r="T990" s="218"/>
      <c r="U990" s="218"/>
    </row>
    <row r="991">
      <c r="C991" s="12"/>
      <c r="D991" s="3"/>
      <c r="E991" s="112"/>
      <c r="F991" s="3"/>
      <c r="G991" s="13"/>
      <c r="H991" s="12"/>
      <c r="K991" s="12"/>
      <c r="M991" s="12"/>
      <c r="R991" s="218"/>
      <c r="S991" s="218"/>
      <c r="T991" s="218"/>
      <c r="U991" s="218"/>
    </row>
    <row r="992">
      <c r="C992" s="12"/>
      <c r="D992" s="3"/>
      <c r="E992" s="112"/>
      <c r="F992" s="3"/>
      <c r="G992" s="13"/>
      <c r="H992" s="12"/>
      <c r="K992" s="12"/>
      <c r="M992" s="12"/>
      <c r="R992" s="218"/>
      <c r="S992" s="218"/>
      <c r="T992" s="218"/>
      <c r="U992" s="218"/>
    </row>
    <row r="993">
      <c r="C993" s="12"/>
      <c r="D993" s="3"/>
      <c r="E993" s="112"/>
      <c r="F993" s="3"/>
      <c r="G993" s="13"/>
      <c r="H993" s="12"/>
      <c r="K993" s="12"/>
      <c r="M993" s="12"/>
      <c r="R993" s="218"/>
      <c r="S993" s="218"/>
      <c r="T993" s="218"/>
      <c r="U993" s="218"/>
    </row>
    <row r="994">
      <c r="C994" s="12"/>
      <c r="D994" s="3"/>
      <c r="E994" s="112"/>
      <c r="F994" s="3"/>
      <c r="G994" s="13"/>
      <c r="H994" s="12"/>
      <c r="K994" s="12"/>
      <c r="M994" s="12"/>
      <c r="R994" s="218"/>
      <c r="S994" s="218"/>
      <c r="T994" s="218"/>
      <c r="U994" s="218"/>
    </row>
    <row r="995">
      <c r="C995" s="12"/>
      <c r="D995" s="3"/>
      <c r="E995" s="112"/>
      <c r="F995" s="3"/>
      <c r="G995" s="13"/>
      <c r="H995" s="12"/>
      <c r="K995" s="12"/>
      <c r="M995" s="12"/>
      <c r="R995" s="218"/>
      <c r="S995" s="218"/>
      <c r="T995" s="218"/>
      <c r="U995" s="218"/>
    </row>
    <row r="996">
      <c r="C996" s="12"/>
      <c r="D996" s="3"/>
      <c r="E996" s="112"/>
      <c r="F996" s="3"/>
      <c r="G996" s="13"/>
      <c r="H996" s="12"/>
      <c r="K996" s="12"/>
      <c r="M996" s="12"/>
      <c r="R996" s="218"/>
      <c r="S996" s="218"/>
      <c r="T996" s="218"/>
      <c r="U996" s="218"/>
    </row>
    <row r="997">
      <c r="C997" s="12"/>
      <c r="D997" s="3"/>
      <c r="E997" s="112"/>
      <c r="F997" s="3"/>
      <c r="G997" s="13"/>
      <c r="H997" s="12"/>
      <c r="K997" s="12"/>
      <c r="M997" s="12"/>
      <c r="R997" s="218"/>
      <c r="S997" s="218"/>
      <c r="T997" s="218"/>
      <c r="U997" s="218"/>
    </row>
    <row r="998">
      <c r="C998" s="12"/>
      <c r="D998" s="3"/>
      <c r="E998" s="112"/>
      <c r="F998" s="3"/>
      <c r="G998" s="13"/>
      <c r="H998" s="12"/>
      <c r="K998" s="12"/>
      <c r="M998" s="12"/>
      <c r="R998" s="218"/>
      <c r="S998" s="218"/>
      <c r="T998" s="218"/>
      <c r="U998" s="218"/>
    </row>
    <row r="999">
      <c r="C999" s="12"/>
      <c r="D999" s="3"/>
      <c r="E999" s="112"/>
      <c r="F999" s="3"/>
      <c r="G999" s="13"/>
      <c r="H999" s="12"/>
      <c r="K999" s="12"/>
      <c r="M999" s="12"/>
      <c r="R999" s="218"/>
      <c r="S999" s="218"/>
      <c r="T999" s="218"/>
      <c r="U999" s="218"/>
    </row>
    <row r="1000">
      <c r="C1000" s="12"/>
      <c r="D1000" s="3"/>
      <c r="E1000" s="112"/>
      <c r="F1000" s="3"/>
      <c r="G1000" s="13"/>
      <c r="H1000" s="12"/>
      <c r="K1000" s="12"/>
      <c r="M1000" s="12"/>
      <c r="R1000" s="218"/>
      <c r="S1000" s="218"/>
      <c r="T1000" s="218"/>
      <c r="U1000" s="218"/>
    </row>
    <row r="1001">
      <c r="C1001" s="12"/>
      <c r="D1001" s="3"/>
      <c r="E1001" s="112"/>
      <c r="F1001" s="3"/>
      <c r="G1001" s="13"/>
      <c r="H1001" s="12"/>
      <c r="K1001" s="12"/>
      <c r="M1001" s="12"/>
      <c r="R1001" s="218"/>
      <c r="S1001" s="218"/>
      <c r="T1001" s="218"/>
      <c r="U1001" s="218"/>
    </row>
    <row r="1002">
      <c r="C1002" s="12"/>
      <c r="D1002" s="3"/>
      <c r="E1002" s="112"/>
      <c r="F1002" s="3"/>
      <c r="G1002" s="13"/>
      <c r="H1002" s="12"/>
      <c r="K1002" s="12"/>
      <c r="M1002" s="12"/>
      <c r="R1002" s="218"/>
      <c r="S1002" s="218"/>
      <c r="T1002" s="218"/>
      <c r="U1002" s="218"/>
    </row>
    <row r="1003">
      <c r="C1003" s="12"/>
      <c r="D1003" s="3"/>
      <c r="E1003" s="112"/>
      <c r="F1003" s="3"/>
      <c r="G1003" s="13"/>
      <c r="H1003" s="12"/>
      <c r="K1003" s="12"/>
      <c r="M1003" s="12"/>
      <c r="R1003" s="218"/>
      <c r="S1003" s="218"/>
      <c r="T1003" s="218"/>
      <c r="U1003" s="218"/>
    </row>
    <row r="1004">
      <c r="C1004" s="12"/>
      <c r="D1004" s="3"/>
      <c r="E1004" s="112"/>
      <c r="F1004" s="3"/>
      <c r="G1004" s="13"/>
      <c r="H1004" s="12"/>
      <c r="K1004" s="12"/>
      <c r="M1004" s="12"/>
      <c r="R1004" s="218"/>
      <c r="S1004" s="218"/>
      <c r="T1004" s="218"/>
      <c r="U1004" s="218"/>
    </row>
    <row r="1005">
      <c r="C1005" s="12"/>
      <c r="D1005" s="3"/>
      <c r="E1005" s="112"/>
      <c r="F1005" s="3"/>
      <c r="G1005" s="13"/>
      <c r="H1005" s="12"/>
      <c r="K1005" s="12"/>
      <c r="M1005" s="12"/>
      <c r="R1005" s="218"/>
      <c r="S1005" s="218"/>
      <c r="T1005" s="218"/>
      <c r="U1005" s="218"/>
    </row>
    <row r="1006">
      <c r="C1006" s="12"/>
      <c r="D1006" s="3"/>
      <c r="E1006" s="112"/>
      <c r="F1006" s="3"/>
      <c r="G1006" s="13"/>
      <c r="H1006" s="12"/>
      <c r="K1006" s="12"/>
      <c r="M1006" s="12"/>
      <c r="R1006" s="218"/>
      <c r="S1006" s="218"/>
      <c r="T1006" s="218"/>
      <c r="U1006" s="218"/>
    </row>
    <row r="1007">
      <c r="C1007" s="12"/>
      <c r="D1007" s="3"/>
      <c r="E1007" s="112"/>
      <c r="F1007" s="3"/>
      <c r="G1007" s="13"/>
      <c r="H1007" s="12"/>
      <c r="K1007" s="12"/>
      <c r="M1007" s="12"/>
      <c r="R1007" s="218"/>
      <c r="S1007" s="218"/>
      <c r="T1007" s="218"/>
      <c r="U1007" s="218"/>
    </row>
    <row r="1008">
      <c r="C1008" s="12"/>
      <c r="D1008" s="3"/>
      <c r="E1008" s="112"/>
      <c r="F1008" s="3"/>
      <c r="G1008" s="13"/>
      <c r="H1008" s="12"/>
      <c r="K1008" s="12"/>
      <c r="M1008" s="12"/>
      <c r="R1008" s="218"/>
      <c r="S1008" s="218"/>
      <c r="T1008" s="218"/>
      <c r="U1008" s="218"/>
    </row>
    <row r="1009">
      <c r="C1009" s="12"/>
      <c r="D1009" s="3"/>
      <c r="E1009" s="112"/>
      <c r="F1009" s="3"/>
      <c r="G1009" s="13"/>
      <c r="H1009" s="12"/>
      <c r="K1009" s="12"/>
      <c r="M1009" s="12"/>
      <c r="R1009" s="218"/>
      <c r="S1009" s="218"/>
      <c r="T1009" s="218"/>
      <c r="U1009" s="218"/>
    </row>
    <row r="1010">
      <c r="C1010" s="12"/>
      <c r="D1010" s="3"/>
      <c r="E1010" s="112"/>
      <c r="F1010" s="3"/>
      <c r="G1010" s="13"/>
      <c r="H1010" s="12"/>
      <c r="K1010" s="12"/>
      <c r="M1010" s="12"/>
      <c r="R1010" s="218"/>
      <c r="S1010" s="218"/>
      <c r="T1010" s="218"/>
      <c r="U1010" s="218"/>
    </row>
    <row r="1011">
      <c r="C1011" s="12"/>
      <c r="D1011" s="3"/>
      <c r="E1011" s="112"/>
      <c r="F1011" s="3"/>
      <c r="G1011" s="13"/>
      <c r="H1011" s="12"/>
      <c r="K1011" s="12"/>
      <c r="M1011" s="12"/>
      <c r="R1011" s="218"/>
      <c r="S1011" s="218"/>
      <c r="T1011" s="218"/>
      <c r="U1011" s="218"/>
    </row>
    <row r="1012">
      <c r="C1012" s="12"/>
      <c r="D1012" s="3"/>
      <c r="E1012" s="112"/>
      <c r="F1012" s="3"/>
      <c r="G1012" s="13"/>
      <c r="H1012" s="12"/>
      <c r="K1012" s="12"/>
      <c r="M1012" s="12"/>
      <c r="R1012" s="218"/>
      <c r="S1012" s="218"/>
      <c r="T1012" s="218"/>
      <c r="U1012" s="218"/>
    </row>
    <row r="1013">
      <c r="C1013" s="12"/>
      <c r="D1013" s="3"/>
      <c r="E1013" s="112"/>
      <c r="F1013" s="3"/>
      <c r="G1013" s="13"/>
      <c r="H1013" s="12"/>
      <c r="K1013" s="12"/>
      <c r="M1013" s="12"/>
      <c r="R1013" s="218"/>
      <c r="S1013" s="218"/>
      <c r="T1013" s="218"/>
      <c r="U1013" s="218"/>
    </row>
  </sheetData>
  <mergeCells count="26">
    <mergeCell ref="E3:H4"/>
    <mergeCell ref="E5:H5"/>
    <mergeCell ref="E6:H7"/>
    <mergeCell ref="E8:H8"/>
    <mergeCell ref="E9:H10"/>
    <mergeCell ref="A5:B6"/>
    <mergeCell ref="A7:B8"/>
    <mergeCell ref="A9:B10"/>
    <mergeCell ref="A11:B12"/>
    <mergeCell ref="A1:C1"/>
    <mergeCell ref="E1:H1"/>
    <mergeCell ref="J1:M1"/>
    <mergeCell ref="A2:B2"/>
    <mergeCell ref="E2:H2"/>
    <mergeCell ref="A3:B4"/>
    <mergeCell ref="J6:M6"/>
    <mergeCell ref="J7:K8"/>
    <mergeCell ref="J10:K11"/>
    <mergeCell ref="J2:M2"/>
    <mergeCell ref="J3:K3"/>
    <mergeCell ref="L3:M3"/>
    <mergeCell ref="J4:K5"/>
    <mergeCell ref="L4:M5"/>
    <mergeCell ref="L7:M8"/>
    <mergeCell ref="J9:M9"/>
    <mergeCell ref="L10:M11"/>
  </mergeCells>
  <dataValidations>
    <dataValidation type="list" allowBlank="1" showErrorMessage="1" sqref="I17:I149">
      <formula1>"Sampai,Sudah Proses Pengiriman,Kendala [FU!],Done Req Sample"</formula1>
    </dataValidation>
    <dataValidation type="list" allowBlank="1" showErrorMessage="1" sqref="A17:A149">
      <formula1>"MEGA,MACRO,MICRO,NANO"</formula1>
    </dataValidation>
    <dataValidation type="list" allowBlank="1" showErrorMessage="1" sqref="H17:H149">
      <formula1>"OMG OH MY GLOW UV Barrier Sunscreen SPF 50 PA++++ 60 ml,[BELI BANYAK, LEBIH MURAH!] OMG Oh My Glow Bright Tone Up UV Barrier Sunscreen SPF 50 PA++ 25 ml,NEW! OMG Acne &amp; Oil Control UV Barrier Sunscreen SPF50 PA++++ ,Brightening &amp; Soothing Toner"</formula1>
    </dataValidation>
    <dataValidation type="list" allowBlank="1" showErrorMessage="1" sqref="J17:J149 L17:L149 N17:N149 P17:P149">
      <formula1>" Concept 1,Concept 2,Concept 3,Concept 4"</formula1>
    </dataValidation>
  </dataValidations>
  <hyperlinks>
    <hyperlink r:id="rId4" ref="C17"/>
    <hyperlink r:id="rId5" ref="K17"/>
    <hyperlink r:id="rId6" ref="M17"/>
    <hyperlink r:id="rId7" ref="O17"/>
    <hyperlink r:id="rId8" ref="Q17"/>
    <hyperlink r:id="rId9" ref="C18"/>
    <hyperlink r:id="rId10" ref="K18"/>
    <hyperlink r:id="rId11" ref="C19"/>
    <hyperlink r:id="rId12" ref="K19"/>
    <hyperlink r:id="rId13" ref="M19"/>
    <hyperlink r:id="rId14" ref="O19"/>
    <hyperlink r:id="rId15" ref="Q19"/>
    <hyperlink r:id="rId16" ref="C20"/>
    <hyperlink r:id="rId17" ref="K20"/>
    <hyperlink r:id="rId18" ref="M20"/>
    <hyperlink r:id="rId19" ref="O20"/>
    <hyperlink r:id="rId20" ref="Q20"/>
    <hyperlink r:id="rId21" ref="C21"/>
    <hyperlink r:id="rId22" ref="K21"/>
    <hyperlink r:id="rId23" ref="C22"/>
    <hyperlink r:id="rId24" ref="K22"/>
    <hyperlink r:id="rId25" ref="C23"/>
    <hyperlink r:id="rId26" ref="K23"/>
    <hyperlink r:id="rId27" ref="C24"/>
    <hyperlink r:id="rId28" ref="K24"/>
    <hyperlink r:id="rId29" ref="C25"/>
    <hyperlink r:id="rId30" ref="K25"/>
    <hyperlink r:id="rId31" ref="M25"/>
    <hyperlink r:id="rId32" ref="O25"/>
    <hyperlink r:id="rId33" ref="Q25"/>
    <hyperlink r:id="rId34" ref="C26"/>
    <hyperlink r:id="rId35" ref="C27"/>
    <hyperlink r:id="rId36" ref="K27"/>
    <hyperlink r:id="rId37" ref="M27"/>
    <hyperlink r:id="rId38" ref="C28"/>
    <hyperlink r:id="rId39" ref="K28"/>
    <hyperlink r:id="rId40" ref="M28"/>
    <hyperlink r:id="rId41" ref="O28"/>
    <hyperlink r:id="rId42" ref="C29"/>
    <hyperlink r:id="rId43" ref="K29"/>
    <hyperlink r:id="rId44" ref="M29"/>
    <hyperlink r:id="rId45" ref="C30"/>
    <hyperlink r:id="rId46" ref="K30"/>
    <hyperlink r:id="rId47" ref="C31"/>
    <hyperlink r:id="rId48" ref="K31"/>
    <hyperlink r:id="rId49" ref="M31"/>
    <hyperlink r:id="rId50" ref="O31"/>
    <hyperlink r:id="rId51" ref="C32"/>
    <hyperlink r:id="rId52" ref="K32"/>
    <hyperlink r:id="rId53" ref="C33"/>
    <hyperlink r:id="rId54" ref="K33"/>
    <hyperlink r:id="rId55" ref="M33"/>
    <hyperlink r:id="rId56" ref="C34"/>
    <hyperlink r:id="rId57" ref="K34"/>
    <hyperlink r:id="rId58" ref="C35"/>
    <hyperlink r:id="rId59" ref="K35"/>
    <hyperlink r:id="rId60" ref="M35"/>
    <hyperlink r:id="rId61" ref="C36"/>
    <hyperlink r:id="rId62" ref="K36"/>
    <hyperlink r:id="rId63" ref="M36"/>
    <hyperlink r:id="rId64" ref="C37"/>
    <hyperlink r:id="rId65" ref="K37"/>
    <hyperlink r:id="rId66" ref="M37"/>
    <hyperlink r:id="rId67" ref="O37"/>
    <hyperlink r:id="rId68" ref="Q37"/>
    <hyperlink r:id="rId69" ref="C38"/>
    <hyperlink r:id="rId70" ref="K38"/>
    <hyperlink r:id="rId71" ref="M38"/>
    <hyperlink r:id="rId72" ref="O38"/>
    <hyperlink r:id="rId73" ref="C39"/>
    <hyperlink r:id="rId74" ref="K39"/>
    <hyperlink r:id="rId75" ref="C40"/>
    <hyperlink r:id="rId76" ref="K40"/>
    <hyperlink r:id="rId77" ref="M40"/>
    <hyperlink r:id="rId78" ref="C41"/>
    <hyperlink r:id="rId79" ref="K41"/>
    <hyperlink r:id="rId80" ref="B42"/>
    <hyperlink r:id="rId81" ref="C42"/>
    <hyperlink r:id="rId82" ref="K42"/>
    <hyperlink r:id="rId83" ref="M42"/>
    <hyperlink r:id="rId84" ref="O42"/>
    <hyperlink r:id="rId85" ref="C43"/>
    <hyperlink r:id="rId86" ref="K43"/>
    <hyperlink r:id="rId87" ref="M43"/>
    <hyperlink r:id="rId88" ref="O43"/>
    <hyperlink r:id="rId89" ref="B44"/>
    <hyperlink r:id="rId90" ref="C44"/>
    <hyperlink r:id="rId91" ref="K44"/>
    <hyperlink r:id="rId92" ref="M44"/>
    <hyperlink r:id="rId93" ref="O44"/>
    <hyperlink r:id="rId94" ref="Q44"/>
    <hyperlink r:id="rId95" ref="C45"/>
    <hyperlink r:id="rId96" ref="K45"/>
    <hyperlink r:id="rId97" ref="M45"/>
    <hyperlink r:id="rId98" ref="O45"/>
    <hyperlink r:id="rId99" ref="Q45"/>
    <hyperlink r:id="rId100" ref="C46"/>
    <hyperlink r:id="rId101" ref="K46"/>
    <hyperlink r:id="rId102" ref="M46"/>
    <hyperlink r:id="rId103" ref="O46"/>
    <hyperlink r:id="rId104" ref="Q46"/>
    <hyperlink r:id="rId105" ref="C47"/>
    <hyperlink r:id="rId106" ref="K47"/>
    <hyperlink r:id="rId107" ref="C48"/>
    <hyperlink r:id="rId108" ref="K48"/>
    <hyperlink r:id="rId109" ref="M48"/>
    <hyperlink r:id="rId110" ref="O48"/>
    <hyperlink r:id="rId111" ref="Q48"/>
    <hyperlink r:id="rId112" ref="C49"/>
    <hyperlink r:id="rId113" ref="K49"/>
    <hyperlink r:id="rId114" ref="C50"/>
    <hyperlink r:id="rId115" ref="K50"/>
    <hyperlink r:id="rId116" ref="M50"/>
    <hyperlink r:id="rId117" ref="C51"/>
    <hyperlink r:id="rId118" ref="K51"/>
    <hyperlink r:id="rId119" ref="M51"/>
    <hyperlink r:id="rId120" ref="O51"/>
    <hyperlink r:id="rId121" ref="C52"/>
    <hyperlink r:id="rId122" ref="K52"/>
    <hyperlink r:id="rId123" ref="M52"/>
    <hyperlink r:id="rId124" ref="C53"/>
    <hyperlink r:id="rId125" ref="K53"/>
    <hyperlink r:id="rId126" ref="C54"/>
    <hyperlink r:id="rId127" ref="K54"/>
    <hyperlink r:id="rId128" ref="M54"/>
    <hyperlink r:id="rId129" ref="C55"/>
    <hyperlink r:id="rId130" ref="K55"/>
    <hyperlink r:id="rId131" ref="M55"/>
    <hyperlink r:id="rId132" ref="O55"/>
    <hyperlink r:id="rId133" ref="C56"/>
    <hyperlink r:id="rId134" ref="K56"/>
    <hyperlink r:id="rId135" ref="C57"/>
    <hyperlink r:id="rId136" ref="K57"/>
    <hyperlink r:id="rId137" ref="M57"/>
    <hyperlink r:id="rId138" ref="C58"/>
    <hyperlink r:id="rId139" ref="K58"/>
    <hyperlink r:id="rId140" ref="M58"/>
    <hyperlink r:id="rId141" ref="O58"/>
    <hyperlink r:id="rId142" ref="Q58"/>
    <hyperlink r:id="rId143" ref="C59"/>
    <hyperlink r:id="rId144" ref="K59"/>
    <hyperlink r:id="rId145" ref="M59"/>
    <hyperlink r:id="rId146" ref="O59"/>
    <hyperlink r:id="rId147" ref="Q59"/>
    <hyperlink r:id="rId148" ref="C60"/>
    <hyperlink r:id="rId149" ref="K60"/>
    <hyperlink r:id="rId150" ref="M60"/>
    <hyperlink r:id="rId151" ref="C61"/>
    <hyperlink r:id="rId152" ref="K61"/>
    <hyperlink r:id="rId153" ref="C62"/>
    <hyperlink r:id="rId154" ref="K62"/>
    <hyperlink r:id="rId155" ref="M62"/>
    <hyperlink r:id="rId156" ref="C63"/>
    <hyperlink r:id="rId157" ref="K63"/>
    <hyperlink r:id="rId158" ref="M63"/>
    <hyperlink r:id="rId159" ref="C64"/>
    <hyperlink r:id="rId160" ref="K64"/>
    <hyperlink r:id="rId161" ref="C65"/>
    <hyperlink r:id="rId162" ref="K65"/>
    <hyperlink r:id="rId163" ref="C66"/>
    <hyperlink r:id="rId164" ref="C67"/>
    <hyperlink r:id="rId165" ref="K67"/>
    <hyperlink r:id="rId166" ref="M67"/>
    <hyperlink r:id="rId167" ref="C68"/>
    <hyperlink r:id="rId168" ref="K68"/>
    <hyperlink r:id="rId169" ref="C69"/>
    <hyperlink r:id="rId170" ref="K69"/>
    <hyperlink r:id="rId171" ref="M69"/>
    <hyperlink r:id="rId172" ref="C70"/>
    <hyperlink r:id="rId173" ref="K70"/>
    <hyperlink r:id="rId174" ref="M70"/>
    <hyperlink r:id="rId175" ref="O70"/>
    <hyperlink r:id="rId176" ref="C71"/>
    <hyperlink r:id="rId177" ref="K71"/>
    <hyperlink r:id="rId178" ref="B72"/>
    <hyperlink r:id="rId179" ref="C72"/>
    <hyperlink r:id="rId180" ref="K72"/>
    <hyperlink r:id="rId181" ref="C73"/>
    <hyperlink r:id="rId182" ref="K73"/>
    <hyperlink r:id="rId183" ref="C74"/>
    <hyperlink r:id="rId184" ref="K74"/>
    <hyperlink r:id="rId185" ref="C75"/>
    <hyperlink r:id="rId186" ref="K75"/>
    <hyperlink r:id="rId187" ref="C76"/>
    <hyperlink r:id="rId188" ref="K76"/>
    <hyperlink r:id="rId189" ref="M76"/>
    <hyperlink r:id="rId190" ref="C77"/>
    <hyperlink r:id="rId191" ref="C78"/>
    <hyperlink r:id="rId192" ref="C79"/>
    <hyperlink r:id="rId193" ref="C80"/>
    <hyperlink r:id="rId194" ref="C81"/>
    <hyperlink r:id="rId195" ref="K81"/>
    <hyperlink r:id="rId196" ref="C82"/>
    <hyperlink r:id="rId197" ref="K82"/>
    <hyperlink r:id="rId198" ref="M82"/>
    <hyperlink r:id="rId199" ref="C83"/>
    <hyperlink r:id="rId200" ref="K83"/>
    <hyperlink r:id="rId201" ref="M83"/>
    <hyperlink r:id="rId202" ref="O83"/>
    <hyperlink r:id="rId203" ref="C84"/>
    <hyperlink r:id="rId204" ref="K84"/>
    <hyperlink r:id="rId205" ref="M84"/>
    <hyperlink r:id="rId206" ref="C85"/>
    <hyperlink r:id="rId207" ref="C86"/>
    <hyperlink r:id="rId208" ref="K86"/>
    <hyperlink r:id="rId209" ref="C87"/>
    <hyperlink r:id="rId210" ref="K87"/>
    <hyperlink r:id="rId211" ref="C88"/>
    <hyperlink r:id="rId212" ref="K88"/>
    <hyperlink r:id="rId213" ref="M88"/>
    <hyperlink r:id="rId214" ref="O88"/>
    <hyperlink r:id="rId215" ref="C89"/>
    <hyperlink r:id="rId216" ref="K89"/>
    <hyperlink r:id="rId217" ref="M89"/>
    <hyperlink r:id="rId218" ref="O89"/>
    <hyperlink r:id="rId219" ref="Q89"/>
    <hyperlink r:id="rId220" ref="C90"/>
    <hyperlink r:id="rId221" ref="K90"/>
    <hyperlink r:id="rId222" ref="M90"/>
    <hyperlink r:id="rId223" ref="O90"/>
    <hyperlink r:id="rId224" ref="C91"/>
    <hyperlink r:id="rId225" ref="K91"/>
    <hyperlink r:id="rId226" ref="M91"/>
    <hyperlink r:id="rId227" ref="O91"/>
    <hyperlink r:id="rId228" ref="Q91"/>
    <hyperlink r:id="rId229" ref="C92"/>
    <hyperlink r:id="rId230" ref="K92"/>
    <hyperlink r:id="rId231" ref="C93"/>
    <hyperlink r:id="rId232" ref="K93"/>
    <hyperlink r:id="rId233" ref="M93"/>
    <hyperlink r:id="rId234" ref="O93"/>
    <hyperlink r:id="rId235" ref="C94"/>
    <hyperlink r:id="rId236" ref="C95"/>
    <hyperlink r:id="rId237" ref="K95"/>
    <hyperlink r:id="rId238" ref="M95"/>
    <hyperlink r:id="rId239" ref="C96"/>
    <hyperlink r:id="rId240" ref="K96"/>
    <hyperlink r:id="rId241" ref="C97"/>
    <hyperlink r:id="rId242" ref="C98"/>
    <hyperlink r:id="rId243" ref="C99"/>
    <hyperlink r:id="rId244" ref="C100"/>
    <hyperlink r:id="rId245" ref="K100"/>
    <hyperlink r:id="rId246" ref="M100"/>
    <hyperlink r:id="rId247" ref="O100"/>
    <hyperlink r:id="rId248" ref="C101"/>
    <hyperlink r:id="rId249" ref="K101"/>
    <hyperlink r:id="rId250" ref="M101"/>
    <hyperlink r:id="rId251" ref="C102"/>
    <hyperlink r:id="rId252" ref="K102"/>
    <hyperlink r:id="rId253" ref="M102"/>
    <hyperlink r:id="rId254" ref="O102"/>
    <hyperlink r:id="rId255" ref="Q102"/>
    <hyperlink r:id="rId256" ref="C103"/>
    <hyperlink r:id="rId257" ref="K103"/>
    <hyperlink r:id="rId258" ref="C104"/>
    <hyperlink r:id="rId259" ref="K104"/>
    <hyperlink r:id="rId260" ref="C105"/>
    <hyperlink r:id="rId261" ref="K105"/>
    <hyperlink r:id="rId262" ref="C106"/>
    <hyperlink r:id="rId263" ref="K106"/>
    <hyperlink r:id="rId264" ref="M106"/>
    <hyperlink r:id="rId265" ref="O106"/>
    <hyperlink r:id="rId266" ref="Q106"/>
    <hyperlink r:id="rId267" ref="C107"/>
    <hyperlink r:id="rId268" ref="K107"/>
    <hyperlink r:id="rId269" ref="M107"/>
    <hyperlink r:id="rId270" ref="O107"/>
    <hyperlink r:id="rId271" ref="Q107"/>
    <hyperlink r:id="rId272" ref="C108"/>
    <hyperlink r:id="rId273" ref="K108"/>
    <hyperlink r:id="rId274" ref="M108"/>
    <hyperlink r:id="rId275" ref="C109"/>
    <hyperlink r:id="rId276" ref="C110"/>
    <hyperlink r:id="rId277" ref="C111"/>
    <hyperlink r:id="rId278" ref="K111"/>
    <hyperlink r:id="rId279" ref="C112"/>
    <hyperlink r:id="rId280" ref="K112"/>
    <hyperlink r:id="rId281" ref="M112"/>
    <hyperlink r:id="rId282" ref="O112"/>
    <hyperlink r:id="rId283" ref="C113"/>
    <hyperlink r:id="rId284" ref="C114"/>
    <hyperlink r:id="rId285" ref="C115"/>
    <hyperlink r:id="rId286" ref="K115"/>
    <hyperlink r:id="rId287" ref="C116"/>
    <hyperlink r:id="rId288" ref="C117"/>
    <hyperlink r:id="rId289" ref="K117"/>
    <hyperlink r:id="rId290" ref="C118"/>
    <hyperlink r:id="rId291" ref="K118"/>
    <hyperlink r:id="rId292" ref="M118"/>
    <hyperlink r:id="rId293" ref="O118"/>
    <hyperlink r:id="rId294" ref="Q118"/>
    <hyperlink r:id="rId295" ref="C119"/>
    <hyperlink r:id="rId296" ref="K119"/>
    <hyperlink r:id="rId297" ref="M119"/>
    <hyperlink r:id="rId298" ref="O119"/>
    <hyperlink r:id="rId299" ref="Q119"/>
    <hyperlink r:id="rId300" ref="C120"/>
    <hyperlink r:id="rId301" ref="K120"/>
    <hyperlink r:id="rId302" ref="M120"/>
    <hyperlink r:id="rId303" ref="B121"/>
    <hyperlink r:id="rId304" ref="C121"/>
    <hyperlink r:id="rId305" ref="K121"/>
    <hyperlink r:id="rId306" ref="M121"/>
    <hyperlink r:id="rId307" ref="O121"/>
    <hyperlink r:id="rId308" ref="Q121"/>
    <hyperlink r:id="rId309" ref="C122"/>
    <hyperlink r:id="rId310" ref="K122"/>
    <hyperlink r:id="rId311" ref="O122"/>
    <hyperlink r:id="rId312" ref="Q122"/>
    <hyperlink r:id="rId313" ref="C123"/>
    <hyperlink r:id="rId314" ref="K123"/>
    <hyperlink r:id="rId315" ref="M123"/>
    <hyperlink r:id="rId316" ref="C124"/>
    <hyperlink r:id="rId317" ref="C125"/>
    <hyperlink r:id="rId318" ref="C126"/>
    <hyperlink r:id="rId319" ref="K126"/>
    <hyperlink r:id="rId320" ref="M126"/>
    <hyperlink r:id="rId321" ref="C127"/>
    <hyperlink r:id="rId322" ref="K127"/>
    <hyperlink r:id="rId323" ref="M127"/>
    <hyperlink r:id="rId324" ref="O127"/>
    <hyperlink r:id="rId325" ref="Q127"/>
    <hyperlink r:id="rId326" ref="C128"/>
    <hyperlink r:id="rId327" ref="C129"/>
    <hyperlink r:id="rId328" ref="K129"/>
    <hyperlink r:id="rId329" ref="C130"/>
    <hyperlink r:id="rId330" ref="C131"/>
    <hyperlink r:id="rId331" ref="K131"/>
    <hyperlink r:id="rId332" ref="M131"/>
    <hyperlink r:id="rId333" ref="O131"/>
    <hyperlink r:id="rId334" ref="C132"/>
    <hyperlink r:id="rId335" ref="C133"/>
    <hyperlink r:id="rId336" ref="C134"/>
    <hyperlink r:id="rId337" ref="C135"/>
    <hyperlink r:id="rId338" ref="C136"/>
    <hyperlink r:id="rId339" ref="K136"/>
    <hyperlink r:id="rId340" ref="M136"/>
    <hyperlink r:id="rId341" ref="O136"/>
    <hyperlink r:id="rId342" ref="Q136"/>
    <hyperlink r:id="rId343" ref="C137"/>
    <hyperlink r:id="rId344" ref="K137"/>
    <hyperlink r:id="rId345" ref="M137"/>
    <hyperlink r:id="rId346" ref="C138"/>
    <hyperlink r:id="rId347" ref="C139"/>
    <hyperlink r:id="rId348" ref="K139"/>
    <hyperlink r:id="rId349" ref="M139"/>
    <hyperlink r:id="rId350" ref="O139"/>
    <hyperlink r:id="rId351" ref="C140"/>
    <hyperlink r:id="rId352" ref="K140"/>
    <hyperlink r:id="rId353" ref="M140"/>
    <hyperlink r:id="rId354" ref="C141"/>
    <hyperlink r:id="rId355" ref="C142"/>
    <hyperlink r:id="rId356" ref="C143"/>
    <hyperlink r:id="rId357" ref="C144"/>
    <hyperlink r:id="rId358" ref="C145"/>
    <hyperlink r:id="rId359" ref="C146"/>
    <hyperlink r:id="rId360" ref="C147"/>
  </hyperlinks>
  <drawing r:id="rId361"/>
  <legacyDrawing r:id="rId362"/>
  <tableParts count="3">
    <tablePart r:id="rId366"/>
    <tablePart r:id="rId367"/>
    <tablePart r:id="rId36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27.0"/>
    <col customWidth="1" min="7" max="7" width="12.63"/>
  </cols>
  <sheetData>
    <row r="1">
      <c r="A1" s="213" t="s">
        <v>455</v>
      </c>
      <c r="B1" s="214"/>
      <c r="C1" s="214"/>
      <c r="D1" s="337"/>
      <c r="E1" s="213" t="s">
        <v>328</v>
      </c>
      <c r="F1" s="214"/>
      <c r="G1" s="216"/>
      <c r="I1" s="217" t="s">
        <v>456</v>
      </c>
      <c r="J1" s="214"/>
      <c r="K1" s="214"/>
      <c r="L1" s="216"/>
    </row>
    <row r="2">
      <c r="A2" s="219" t="s">
        <v>457</v>
      </c>
      <c r="B2" s="220"/>
      <c r="C2" s="338" t="s">
        <v>455</v>
      </c>
      <c r="D2" s="215"/>
      <c r="E2" s="221" t="s">
        <v>327</v>
      </c>
      <c r="F2" s="214"/>
      <c r="G2" s="216"/>
      <c r="I2" s="222" t="s">
        <v>458</v>
      </c>
      <c r="J2" s="214"/>
      <c r="K2" s="214"/>
      <c r="L2" s="216"/>
    </row>
    <row r="3">
      <c r="A3" s="223">
        <v>1.0</v>
      </c>
      <c r="B3" s="224"/>
      <c r="C3" s="339">
        <v>1.0</v>
      </c>
      <c r="D3" s="215"/>
      <c r="E3" s="226">
        <f>Maindata!I6</f>
        <v>750000000</v>
      </c>
      <c r="F3" s="227"/>
      <c r="G3" s="228"/>
      <c r="I3" s="229" t="s">
        <v>459</v>
      </c>
      <c r="J3" s="216"/>
      <c r="K3" s="230" t="s">
        <v>460</v>
      </c>
      <c r="L3" s="216"/>
    </row>
    <row r="4">
      <c r="A4" s="231"/>
      <c r="B4" s="220"/>
      <c r="C4" s="339">
        <v>2.0</v>
      </c>
      <c r="D4" s="215"/>
      <c r="E4" s="232"/>
      <c r="F4" s="233"/>
      <c r="G4" s="234"/>
      <c r="I4" s="235">
        <f>IFERROR(__xludf.DUMMYFUNCTION("IMPORTRANGE(""https://docs.google.com/spreadsheets/d/1XGHyffJQ7KjI292zt5QVK_1XTfEMh_HDpl_2BHAzd4c/edit?gid=1335890585#gid=1335890585"",""Salsa Cosmetics!H17"")"),1.5E7)</f>
        <v>15000000</v>
      </c>
      <c r="J4" s="228"/>
      <c r="K4" s="235">
        <f>IFERROR(__xludf.DUMMYFUNCTION("IMPORTRANGE(""https://docs.google.com/spreadsheets/d/1XGHyffJQ7KjI292zt5QVK_1XTfEMh_HDpl_2BHAzd4c/edit?gid=1335890585#gid=1335890585"",""SALSA COSMETICS!H22"")        "),3.5E7)</f>
        <v>35000000</v>
      </c>
      <c r="L4" s="228"/>
    </row>
    <row r="5">
      <c r="A5" s="236">
        <v>2.0</v>
      </c>
      <c r="B5" s="224"/>
      <c r="C5" s="339">
        <v>1.0</v>
      </c>
      <c r="D5" s="215"/>
      <c r="E5" s="237" t="s">
        <v>461</v>
      </c>
      <c r="F5" s="214"/>
      <c r="G5" s="216"/>
      <c r="I5" s="232"/>
      <c r="J5" s="234"/>
      <c r="K5" s="232"/>
      <c r="L5" s="234"/>
    </row>
    <row r="6">
      <c r="A6" s="231"/>
      <c r="B6" s="220"/>
      <c r="C6" s="339">
        <v>2.0</v>
      </c>
      <c r="D6" s="215"/>
      <c r="E6" s="226">
        <f>Maindata!J6</f>
        <v>234339337</v>
      </c>
      <c r="F6" s="227"/>
      <c r="G6" s="228"/>
      <c r="I6" s="238" t="s">
        <v>462</v>
      </c>
      <c r="J6" s="214"/>
      <c r="K6" s="214"/>
      <c r="L6" s="216"/>
    </row>
    <row r="7">
      <c r="A7" s="236">
        <v>3.0</v>
      </c>
      <c r="B7" s="224"/>
      <c r="C7" s="339">
        <v>1.0</v>
      </c>
      <c r="D7" s="215"/>
      <c r="E7" s="232"/>
      <c r="F7" s="233"/>
      <c r="G7" s="234"/>
      <c r="I7" s="235">
        <f>IFERROR(__xludf.DUMMYFUNCTION("IMPORTRANGE(""https://docs.google.com/spreadsheets/d/1XGHyffJQ7KjI292zt5QVK_1XTfEMh_HDpl_2BHAzd4c/edit?gid=1335890585#gid=1335890585"",""SALSA COSMETICS!H2"")        "),4792000.0)</f>
        <v>4792000</v>
      </c>
      <c r="J7" s="228"/>
      <c r="K7" s="340">
        <f>IFERROR(__xludf.DUMMYFUNCTION("IMPORTRANGE(""https://docs.google.com/spreadsheets/d/1XGHyffJQ7KjI292zt5QVK_1XTfEMh_HDpl_2BHAzd4c/edit?gid=1335890585#gid=1335890585"",""SALSA COSMETICS!K4"")                "),1.5E7)</f>
        <v>15000000</v>
      </c>
      <c r="L7" s="228"/>
    </row>
    <row r="8">
      <c r="A8" s="231"/>
      <c r="B8" s="220"/>
      <c r="C8" s="339">
        <v>2.0</v>
      </c>
      <c r="D8" s="215"/>
      <c r="E8" s="239" t="s">
        <v>329</v>
      </c>
      <c r="F8" s="214"/>
      <c r="G8" s="216"/>
      <c r="I8" s="232"/>
      <c r="J8" s="234"/>
      <c r="K8" s="232"/>
      <c r="L8" s="234"/>
    </row>
    <row r="9">
      <c r="A9" s="236">
        <v>4.0</v>
      </c>
      <c r="B9" s="224"/>
      <c r="C9" s="339">
        <v>1.0</v>
      </c>
      <c r="D9" s="215"/>
      <c r="E9" s="240">
        <f>E6/E3</f>
        <v>0.3124524493</v>
      </c>
      <c r="F9" s="227"/>
      <c r="G9" s="228"/>
      <c r="I9" s="241" t="s">
        <v>463</v>
      </c>
      <c r="J9" s="214"/>
      <c r="K9" s="214"/>
      <c r="L9" s="216"/>
    </row>
    <row r="10">
      <c r="A10" s="231"/>
      <c r="B10" s="220"/>
      <c r="C10" s="339">
        <v>2.0</v>
      </c>
      <c r="D10" s="215"/>
      <c r="E10" s="232"/>
      <c r="F10" s="233"/>
      <c r="G10" s="234"/>
      <c r="I10" s="235">
        <f>I4-I7</f>
        <v>10208000</v>
      </c>
      <c r="J10" s="228"/>
      <c r="K10" s="226">
        <f>K4-K7</f>
        <v>20000000</v>
      </c>
      <c r="L10" s="228"/>
    </row>
    <row r="11">
      <c r="A11" s="236">
        <v>5.0</v>
      </c>
      <c r="B11" s="224"/>
      <c r="C11" s="339">
        <v>1.0</v>
      </c>
      <c r="D11" s="215"/>
      <c r="E11" s="215"/>
      <c r="I11" s="232"/>
      <c r="J11" s="234"/>
      <c r="K11" s="232"/>
      <c r="L11" s="234"/>
    </row>
    <row r="12">
      <c r="A12" s="231"/>
      <c r="B12" s="220"/>
      <c r="C12" s="339">
        <v>2.0</v>
      </c>
      <c r="D12" s="215"/>
      <c r="E12" s="215"/>
      <c r="J12" s="215"/>
      <c r="K12" s="215"/>
      <c r="L12" s="215"/>
      <c r="M12" s="243"/>
      <c r="N12" s="243"/>
      <c r="O12" s="243"/>
      <c r="P12" s="243"/>
      <c r="Q12" s="48"/>
      <c r="R12" s="48"/>
      <c r="S12" s="48"/>
      <c r="T12" s="48"/>
      <c r="U12" s="48"/>
      <c r="V12" s="48"/>
      <c r="W12" s="48"/>
    </row>
    <row r="13">
      <c r="A13" s="245"/>
      <c r="B13" s="245"/>
      <c r="C13" s="12"/>
      <c r="K13" s="243"/>
      <c r="L13" s="243"/>
      <c r="M13" s="243"/>
      <c r="N13" s="243"/>
      <c r="O13" s="243"/>
      <c r="P13" s="243"/>
      <c r="Q13" s="48"/>
      <c r="R13" s="48"/>
      <c r="S13" s="48"/>
      <c r="T13" s="48"/>
      <c r="U13" s="48"/>
      <c r="V13" s="48"/>
      <c r="W13" s="48"/>
    </row>
    <row r="14">
      <c r="A14" s="341"/>
      <c r="B14" s="341"/>
      <c r="C14" s="342"/>
      <c r="D14" s="341"/>
      <c r="E14" s="341"/>
      <c r="F14" s="341"/>
      <c r="G14" s="341"/>
      <c r="H14" s="341"/>
      <c r="I14" s="341"/>
      <c r="J14" s="341"/>
      <c r="K14" s="341"/>
      <c r="L14" s="341"/>
      <c r="M14" s="341"/>
      <c r="N14" s="341"/>
      <c r="O14" s="341"/>
      <c r="P14" s="341"/>
      <c r="Q14" s="341"/>
      <c r="R14" s="341"/>
      <c r="S14" s="341"/>
      <c r="T14" s="343" t="s">
        <v>464</v>
      </c>
      <c r="U14" s="344"/>
      <c r="V14" s="343" t="s">
        <v>465</v>
      </c>
      <c r="W14" s="344"/>
    </row>
    <row r="15">
      <c r="A15" s="345" t="s">
        <v>466</v>
      </c>
      <c r="B15" s="250" t="s">
        <v>467</v>
      </c>
      <c r="C15" s="346" t="s">
        <v>468</v>
      </c>
      <c r="D15" s="347" t="s">
        <v>469</v>
      </c>
      <c r="E15" s="348" t="s">
        <v>470</v>
      </c>
      <c r="F15" s="346" t="s">
        <v>471</v>
      </c>
      <c r="G15" s="349" t="s">
        <v>484</v>
      </c>
      <c r="H15" s="350" t="s">
        <v>457</v>
      </c>
      <c r="I15" s="351" t="s">
        <v>472</v>
      </c>
      <c r="J15" s="352" t="s">
        <v>455</v>
      </c>
      <c r="K15" s="352" t="s">
        <v>473</v>
      </c>
      <c r="L15" s="352" t="s">
        <v>455</v>
      </c>
      <c r="M15" s="346" t="s">
        <v>474</v>
      </c>
      <c r="N15" s="352" t="s">
        <v>455</v>
      </c>
      <c r="O15" s="352" t="s">
        <v>475</v>
      </c>
      <c r="P15" s="352" t="s">
        <v>455</v>
      </c>
      <c r="Q15" s="346" t="s">
        <v>476</v>
      </c>
      <c r="R15" s="349" t="s">
        <v>485</v>
      </c>
      <c r="S15" s="349" t="s">
        <v>486</v>
      </c>
      <c r="T15" s="353" t="s">
        <v>427</v>
      </c>
      <c r="U15" s="353" t="s">
        <v>477</v>
      </c>
      <c r="V15" s="353" t="s">
        <v>427</v>
      </c>
      <c r="W15" s="353" t="s">
        <v>477</v>
      </c>
    </row>
    <row r="16">
      <c r="A16" s="354" t="str">
        <f>IFERROR(__xludf.DUMMYFUNCTION("QUERY(IMPORTRANGE(""https://docs.google.com/spreadsheets/d/10wdjc5GKQIqHka9D7QGq1b4WkRuVqG0ylA8lw57ns-I/edit?usp=sharing"", ""SALSA COSME!A3:AD""), ""SELECT Col1, Col2, Col3, Col4, Col5, Col6, Col10, Col11, Col16, Col17, Col18, Col19, Col20, Col21, Col22,"&amp;" Col23, Col24, Col25, Col26, Col27, Col28, Col29, Col30 WHERE Col12 = 'Approved'"")"),"NANO")</f>
        <v>NANO</v>
      </c>
      <c r="B16" s="23" t="str">
        <f>IFERROR(__xludf.DUMMYFUNCTION("""COMPUTED_VALUE"""),"Racunversiaku")</f>
        <v>Racunversiaku</v>
      </c>
      <c r="C16" s="281" t="str">
        <f>IFERROR(__xludf.DUMMYFUNCTION("""COMPUTED_VALUE"""),"https://www.tiktok.com/@Racunversiaku")</f>
        <v>https://www.tiktok.com/@Racunversiaku</v>
      </c>
      <c r="D16" s="25">
        <f>IFERROR(__xludf.DUMMYFUNCTION("""COMPUTED_VALUE"""),8.1225533448E10)</f>
        <v>81225533448</v>
      </c>
      <c r="E16" s="269">
        <f>IFERROR(__xludf.DUMMYFUNCTION("""COMPUTED_VALUE"""),0.0)</f>
        <v>0</v>
      </c>
      <c r="F16" s="25">
        <f>IFERROR(__xludf.DUMMYFUNCTION("""COMPUTED_VALUE"""),2.0)</f>
        <v>2</v>
      </c>
      <c r="G16" s="17" t="str">
        <f>IFERROR(__xludf.DUMMYFUNCTION("""COMPUTED_VALUE"""),"50.93jt")</f>
        <v>50.93jt</v>
      </c>
      <c r="H16" s="355" t="str">
        <f>IFERROR(__xludf.DUMMYFUNCTION("""COMPUTED_VALUE"""),"Hair Serum")</f>
        <v>Hair Serum</v>
      </c>
      <c r="I16" s="356" t="str">
        <f>IFERROR(__xludf.DUMMYFUNCTION("""COMPUTED_VALUE"""),"Sampai")</f>
        <v>Sampai</v>
      </c>
      <c r="J16" s="357"/>
      <c r="K16" s="280" t="str">
        <f>IFERROR(__xludf.DUMMYFUNCTION("""COMPUTED_VALUE"""),"https://vt.tiktok.com/ZSay2VXc9/")</f>
        <v>https://vt.tiktok.com/ZSay2VXc9/</v>
      </c>
      <c r="L16" s="357"/>
      <c r="M16" s="80" t="str">
        <f>IFERROR(__xludf.DUMMYFUNCTION("""COMPUTED_VALUE"""),"https://vt.tiktok.com/ZSay2XH6R/")</f>
        <v>https://vt.tiktok.com/ZSay2XH6R/</v>
      </c>
      <c r="N16" s="357"/>
      <c r="O16" s="17"/>
      <c r="P16" s="357"/>
      <c r="Q16" s="17"/>
      <c r="R16" s="77"/>
      <c r="S16" s="77"/>
      <c r="T16" s="77">
        <f>IFERROR(__xludf.DUMMYFUNCTION("""COMPUTED_VALUE"""),0.0)</f>
        <v>0</v>
      </c>
      <c r="U16" s="77">
        <f>IFERROR(__xludf.DUMMYFUNCTION("""COMPUTED_VALUE"""),0.0)</f>
        <v>0</v>
      </c>
      <c r="V16" s="77">
        <f>IFERROR(__xludf.DUMMYFUNCTION("""COMPUTED_VALUE"""),0.0)</f>
        <v>0</v>
      </c>
      <c r="W16" s="77">
        <f>IFERROR(__xludf.DUMMYFUNCTION("""COMPUTED_VALUE"""),0.0)</f>
        <v>0</v>
      </c>
    </row>
    <row r="17">
      <c r="A17" s="354" t="str">
        <f>IFERROR(__xludf.DUMMYFUNCTION("""COMPUTED_VALUE"""),"NANO")</f>
        <v>NANO</v>
      </c>
      <c r="B17" s="23" t="str">
        <f>IFERROR(__xludf.DUMMYFUNCTION("""COMPUTED_VALUE"""),"sinanr18")</f>
        <v>sinanr18</v>
      </c>
      <c r="C17" s="281" t="str">
        <f>IFERROR(__xludf.DUMMYFUNCTION("""COMPUTED_VALUE"""),"https://www.tiktok.com/@sinanr18")</f>
        <v>https://www.tiktok.com/@sinanr18</v>
      </c>
      <c r="D17" s="25">
        <f>IFERROR(__xludf.DUMMYFUNCTION("""COMPUTED_VALUE"""),8.9670305045E10)</f>
        <v>89670305045</v>
      </c>
      <c r="E17" s="269">
        <f>IFERROR(__xludf.DUMMYFUNCTION("""COMPUTED_VALUE"""),0.0)</f>
        <v>0</v>
      </c>
      <c r="F17" s="25">
        <f>IFERROR(__xludf.DUMMYFUNCTION("""COMPUTED_VALUE"""),4.0)</f>
        <v>4</v>
      </c>
      <c r="G17" s="17" t="str">
        <f>IFERROR(__xludf.DUMMYFUNCTION("""COMPUTED_VALUE"""),"1.37jt")</f>
        <v>1.37jt</v>
      </c>
      <c r="H17" s="355" t="str">
        <f>IFERROR(__xludf.DUMMYFUNCTION("""COMPUTED_VALUE"""),"""Paket Skincare 2 (Fw low ph, acne spot, dan instaglow cream)""")</f>
        <v>"Paket Skincare 2 (Fw low ph, acne spot, dan instaglow cream)"</v>
      </c>
      <c r="I17" s="356" t="str">
        <f>IFERROR(__xludf.DUMMYFUNCTION("""COMPUTED_VALUE"""),"Sampai")</f>
        <v>Sampai</v>
      </c>
      <c r="J17" s="357"/>
      <c r="K17" s="280" t="str">
        <f>IFERROR(__xludf.DUMMYFUNCTION("""COMPUTED_VALUE"""),"https://vt.tiktok.com/ZSa6Had98/")</f>
        <v>https://vt.tiktok.com/ZSa6Had98/</v>
      </c>
      <c r="L17" s="357"/>
      <c r="M17" s="280" t="str">
        <f>IFERROR(__xludf.DUMMYFUNCTION("""COMPUTED_VALUE"""),"https://vt.tiktok.com/ZSa6HCtv8/")</f>
        <v>https://vt.tiktok.com/ZSa6HCtv8/</v>
      </c>
      <c r="N17" s="357"/>
      <c r="O17" s="280" t="str">
        <f>IFERROR(__xludf.DUMMYFUNCTION("""COMPUTED_VALUE"""),"https://vt.tiktok.com/ZSa6H4NKP/")</f>
        <v>https://vt.tiktok.com/ZSa6H4NKP/</v>
      </c>
      <c r="P17" s="357"/>
      <c r="Q17" s="279" t="str">
        <f>IFERROR(__xludf.DUMMYFUNCTION("""COMPUTED_VALUE"""),"https://vt.tiktok.com/ZSmwW9s9s/")</f>
        <v>https://vt.tiktok.com/ZSmwW9s9s/</v>
      </c>
      <c r="R17" s="358" t="str">
        <f>IFERROR(__xludf.DUMMYFUNCTION("""COMPUTED_VALUE"""),"https://vt.tiktok.com/ZSmwWfrwe/")</f>
        <v>https://vt.tiktok.com/ZSmwWfrwe/</v>
      </c>
      <c r="S17" s="358" t="str">
        <f>IFERROR(__xludf.DUMMYFUNCTION("""COMPUTED_VALUE"""),"https://vt.tiktok.com/ZSmwWxCXa/")</f>
        <v>https://vt.tiktok.com/ZSmwWxCXa/</v>
      </c>
      <c r="T17" s="77">
        <f>IFERROR(__xludf.DUMMYFUNCTION("""COMPUTED_VALUE"""),0.0)</f>
        <v>0</v>
      </c>
      <c r="U17" s="77">
        <f>IFERROR(__xludf.DUMMYFUNCTION("""COMPUTED_VALUE"""),0.0)</f>
        <v>0</v>
      </c>
      <c r="V17" s="77">
        <f>IFERROR(__xludf.DUMMYFUNCTION("""COMPUTED_VALUE"""),1.38262056E7)</f>
        <v>13826205.6</v>
      </c>
      <c r="W17" s="77">
        <f>IFERROR(__xludf.DUMMYFUNCTION("""COMPUTED_VALUE"""),0.0)</f>
        <v>0</v>
      </c>
    </row>
    <row r="18">
      <c r="A18" s="255" t="str">
        <f>IFERROR(__xludf.DUMMYFUNCTION("""COMPUTED_VALUE"""),"NANO")</f>
        <v>NANO</v>
      </c>
      <c r="B18" s="23" t="str">
        <f>IFERROR(__xludf.DUMMYFUNCTION("""COMPUTED_VALUE"""),"shinndiii_")</f>
        <v>shinndiii_</v>
      </c>
      <c r="C18" s="281" t="str">
        <f>IFERROR(__xludf.DUMMYFUNCTION("""COMPUTED_VALUE"""),"https://www.tiktok.com/@shinndiii_")</f>
        <v>https://www.tiktok.com/@shinndiii_</v>
      </c>
      <c r="D18" s="25">
        <f>IFERROR(__xludf.DUMMYFUNCTION("""COMPUTED_VALUE"""),8.59109601398E11)</f>
        <v>859109601398</v>
      </c>
      <c r="E18" s="269">
        <f>IFERROR(__xludf.DUMMYFUNCTION("""COMPUTED_VALUE"""),0.0)</f>
        <v>0</v>
      </c>
      <c r="F18" s="25">
        <f>IFERROR(__xludf.DUMMYFUNCTION("""COMPUTED_VALUE"""),2.0)</f>
        <v>2</v>
      </c>
      <c r="G18" s="17"/>
      <c r="H18" s="355" t="str">
        <f>IFERROR(__xludf.DUMMYFUNCTION("""COMPUTED_VALUE"""),"""Paket skincare 3 (Fw brightening, toneup, instaglow cream)""")</f>
        <v>"Paket skincare 3 (Fw brightening, toneup, instaglow cream)"</v>
      </c>
      <c r="I18" s="356" t="str">
        <f>IFERROR(__xludf.DUMMYFUNCTION("""COMPUTED_VALUE"""),"Sampai")</f>
        <v>Sampai</v>
      </c>
      <c r="J18" s="357"/>
      <c r="K18" s="279" t="str">
        <f>IFERROR(__xludf.DUMMYFUNCTION("""COMPUTED_VALUE"""),"https://vt.tiktok.com/ZSHsDfJwN/")</f>
        <v>https://vt.tiktok.com/ZSHsDfJwN/</v>
      </c>
      <c r="L18" s="357"/>
      <c r="M18" s="17"/>
      <c r="N18" s="357"/>
      <c r="O18" s="17"/>
      <c r="P18" s="357"/>
      <c r="Q18" s="17"/>
      <c r="R18" s="77"/>
      <c r="S18" s="77"/>
      <c r="T18" s="77">
        <f>IFERROR(__xludf.DUMMYFUNCTION("""COMPUTED_VALUE"""),0.0)</f>
        <v>0</v>
      </c>
      <c r="U18" s="77">
        <f>IFERROR(__xludf.DUMMYFUNCTION("""COMPUTED_VALUE"""),0.0)</f>
        <v>0</v>
      </c>
      <c r="V18" s="77">
        <f>IFERROR(__xludf.DUMMYFUNCTION("""COMPUTED_VALUE"""),0.0)</f>
        <v>0</v>
      </c>
      <c r="W18" s="77">
        <f>IFERROR(__xludf.DUMMYFUNCTION("""COMPUTED_VALUE"""),0.0)</f>
        <v>0</v>
      </c>
    </row>
    <row r="19">
      <c r="A19" s="255" t="str">
        <f>IFERROR(__xludf.DUMMYFUNCTION("""COMPUTED_VALUE"""),"MACRO")</f>
        <v>MACRO</v>
      </c>
      <c r="B19" s="359" t="str">
        <f>IFERROR(__xludf.DUMMYFUNCTION("""COMPUTED_VALUE"""),"putri.antris")</f>
        <v>putri.antris</v>
      </c>
      <c r="C19" s="281" t="str">
        <f>IFERROR(__xludf.DUMMYFUNCTION("""COMPUTED_VALUE"""),"https://www.tiktok.com/@putri.antris")</f>
        <v>https://www.tiktok.com/@putri.antris</v>
      </c>
      <c r="D19" s="25">
        <f>IFERROR(__xludf.DUMMYFUNCTION("""COMPUTED_VALUE"""),8.978216006E9)</f>
        <v>8978216006</v>
      </c>
      <c r="E19" s="269">
        <f>IFERROR(__xludf.DUMMYFUNCTION("""COMPUTED_VALUE"""),0.0)</f>
        <v>0</v>
      </c>
      <c r="F19" s="25">
        <f>IFERROR(__xludf.DUMMYFUNCTION("""COMPUTED_VALUE"""),2.0)</f>
        <v>2</v>
      </c>
      <c r="G19" s="17" t="str">
        <f>IFERROR(__xludf.DUMMYFUNCTION("""COMPUTED_VALUE"""),"162jt")</f>
        <v>162jt</v>
      </c>
      <c r="H19" s="355" t="str">
        <f>IFERROR(__xludf.DUMMYFUNCTION("""COMPUTED_VALUE"""),"Hair Serum")</f>
        <v>Hair Serum</v>
      </c>
      <c r="I19" s="356" t="str">
        <f>IFERROR(__xludf.DUMMYFUNCTION("""COMPUTED_VALUE"""),"Sampai")</f>
        <v>Sampai</v>
      </c>
      <c r="J19" s="357"/>
      <c r="K19" s="280" t="str">
        <f>IFERROR(__xludf.DUMMYFUNCTION("""COMPUTED_VALUE"""),"https://vt.tiktok.com/ZSaaQg2Sc/")</f>
        <v>https://vt.tiktok.com/ZSaaQg2Sc/</v>
      </c>
      <c r="L19" s="357"/>
      <c r="M19" s="279" t="str">
        <f>IFERROR(__xludf.DUMMYFUNCTION("""COMPUTED_VALUE"""),"https://vt.tiktok.com/ZSucuNVts/ ")</f>
        <v>https://vt.tiktok.com/ZSucuNVts/ </v>
      </c>
      <c r="N19" s="357"/>
      <c r="O19" s="279" t="str">
        <f>IFERROR(__xludf.DUMMYFUNCTION("""COMPUTED_VALUE"""),"https://vt.tiktok.com/ZSucuYBHF/ ")</f>
        <v>https://vt.tiktok.com/ZSucuYBHF/ </v>
      </c>
      <c r="P19" s="357"/>
      <c r="Q19" s="17"/>
      <c r="R19" s="77"/>
      <c r="S19" s="77"/>
      <c r="T19" s="77">
        <f>IFERROR(__xludf.DUMMYFUNCTION("""COMPUTED_VALUE"""),52500.0)</f>
        <v>52500</v>
      </c>
      <c r="U19" s="77">
        <f>IFERROR(__xludf.DUMMYFUNCTION("""COMPUTED_VALUE"""),0.0)</f>
        <v>0</v>
      </c>
      <c r="V19" s="77">
        <f>IFERROR(__xludf.DUMMYFUNCTION("""COMPUTED_VALUE"""),2.120001304E7)</f>
        <v>21200013.04</v>
      </c>
      <c r="W19" s="77">
        <f>IFERROR(__xludf.DUMMYFUNCTION("""COMPUTED_VALUE"""),0.0)</f>
        <v>0</v>
      </c>
    </row>
    <row r="20">
      <c r="A20" s="255" t="str">
        <f>IFERROR(__xludf.DUMMYFUNCTION("""COMPUTED_VALUE"""),"MICRO")</f>
        <v>MICRO</v>
      </c>
      <c r="B20" s="23" t="str">
        <f>IFERROR(__xludf.DUMMYFUNCTION("""COMPUTED_VALUE"""),"thnlykai")</f>
        <v>thnlykai</v>
      </c>
      <c r="C20" s="281" t="str">
        <f>IFERROR(__xludf.DUMMYFUNCTION("""COMPUTED_VALUE"""),"https://www.tiktok.com/@thnlykai")</f>
        <v>https://www.tiktok.com/@thnlykai</v>
      </c>
      <c r="D20" s="25">
        <f>IFERROR(__xludf.DUMMYFUNCTION("""COMPUTED_VALUE"""),8.98613759E9)</f>
        <v>8986137590</v>
      </c>
      <c r="E20" s="258">
        <f>IFERROR(__xludf.DUMMYFUNCTION("""COMPUTED_VALUE"""),150000.0)</f>
        <v>150000</v>
      </c>
      <c r="F20" s="25">
        <f>IFERROR(__xludf.DUMMYFUNCTION("""COMPUTED_VALUE"""),2.0)</f>
        <v>2</v>
      </c>
      <c r="G20" s="17" t="str">
        <f>IFERROR(__xludf.DUMMYFUNCTION("""COMPUTED_VALUE"""),"552jt")</f>
        <v>552jt</v>
      </c>
      <c r="H20" s="355" t="str">
        <f>IFERROR(__xludf.DUMMYFUNCTION("""COMPUTED_VALUE"""),"Hair Serum")</f>
        <v>Hair Serum</v>
      </c>
      <c r="I20" s="356" t="str">
        <f>IFERROR(__xludf.DUMMYFUNCTION("""COMPUTED_VALUE"""),"Sampai")</f>
        <v>Sampai</v>
      </c>
      <c r="J20" s="357"/>
      <c r="K20" s="279" t="str">
        <f>IFERROR(__xludf.DUMMYFUNCTION("""COMPUTED_VALUE"""),"https://vt.tiktok.com/ZSaGUMaNp/")</f>
        <v>https://vt.tiktok.com/ZSaGUMaNp/</v>
      </c>
      <c r="L20" s="357"/>
      <c r="M20" s="279" t="str">
        <f>IFERROR(__xludf.DUMMYFUNCTION("""COMPUTED_VALUE"""),"https://vt.tiktok.com/ZSuyYUnNJ/")</f>
        <v>https://vt.tiktok.com/ZSuyYUnNJ/</v>
      </c>
      <c r="N20" s="357"/>
      <c r="O20" s="17"/>
      <c r="P20" s="357"/>
      <c r="Q20" s="17"/>
      <c r="R20" s="77"/>
      <c r="S20" s="77"/>
      <c r="T20" s="77">
        <f>IFERROR(__xludf.DUMMYFUNCTION("""COMPUTED_VALUE"""),88049.0)</f>
        <v>88049</v>
      </c>
      <c r="U20" s="77">
        <f>IFERROR(__xludf.DUMMYFUNCTION("""COMPUTED_VALUE"""),0.0)</f>
        <v>0</v>
      </c>
      <c r="V20" s="77">
        <f>IFERROR(__xludf.DUMMYFUNCTION("""COMPUTED_VALUE"""),1.371609584E7)</f>
        <v>13716095.84</v>
      </c>
      <c r="W20" s="77">
        <f>IFERROR(__xludf.DUMMYFUNCTION("""COMPUTED_VALUE"""),0.0)</f>
        <v>0</v>
      </c>
    </row>
    <row r="21">
      <c r="A21" s="255" t="str">
        <f>IFERROR(__xludf.DUMMYFUNCTION("""COMPUTED_VALUE"""),"NANO")</f>
        <v>NANO</v>
      </c>
      <c r="B21" s="23" t="str">
        <f>IFERROR(__xludf.DUMMYFUNCTION("""COMPUTED_VALUE"""),"beranteminjerawat")</f>
        <v>beranteminjerawat</v>
      </c>
      <c r="C21" s="281" t="str">
        <f>IFERROR(__xludf.DUMMYFUNCTION("""COMPUTED_VALUE"""),"https://www.tiktok.com/@beranteminjerawat")</f>
        <v>https://www.tiktok.com/@beranteminjerawat</v>
      </c>
      <c r="D21" s="25">
        <f>IFERROR(__xludf.DUMMYFUNCTION("""COMPUTED_VALUE"""),8.2285558227E10)</f>
        <v>82285558227</v>
      </c>
      <c r="E21" s="269">
        <f>IFERROR(__xludf.DUMMYFUNCTION("""COMPUTED_VALUE"""),0.0)</f>
        <v>0</v>
      </c>
      <c r="F21" s="25">
        <f>IFERROR(__xludf.DUMMYFUNCTION("""COMPUTED_VALUE"""),1.0)</f>
        <v>1</v>
      </c>
      <c r="G21" s="17" t="str">
        <f>IFERROR(__xludf.DUMMYFUNCTION("""COMPUTED_VALUE"""),"4,94jt")</f>
        <v>4,94jt</v>
      </c>
      <c r="H21" s="355" t="str">
        <f>IFERROR(__xludf.DUMMYFUNCTION("""COMPUTED_VALUE"""),"""Paket Skincare 2 (Fw low ph, acne spot, dan instaglow cream)""")</f>
        <v>"Paket Skincare 2 (Fw low ph, acne spot, dan instaglow cream)"</v>
      </c>
      <c r="I21" s="356" t="str">
        <f>IFERROR(__xludf.DUMMYFUNCTION("""COMPUTED_VALUE"""),"Sampai")</f>
        <v>Sampai</v>
      </c>
      <c r="J21" s="357"/>
      <c r="K21" s="279" t="str">
        <f>IFERROR(__xludf.DUMMYFUNCTION("""COMPUTED_VALUE"""),"https://vt.tiktok.com/ZSu6hnusf/")</f>
        <v>https://vt.tiktok.com/ZSu6hnusf/</v>
      </c>
      <c r="L21" s="357"/>
      <c r="M21" s="17" t="str">
        <f>IFERROR(__xludf.DUMMYFUNCTION("""COMPUTED_VALUE"""),"Per tgl 11 sudah fu janji draft minggu depan")</f>
        <v>Per tgl 11 sudah fu janji draft minggu depan</v>
      </c>
      <c r="N21" s="357"/>
      <c r="O21" s="17"/>
      <c r="P21" s="357"/>
      <c r="Q21" s="17"/>
      <c r="R21" s="77"/>
      <c r="S21" s="77"/>
      <c r="T21" s="77">
        <f>IFERROR(__xludf.DUMMYFUNCTION("""COMPUTED_VALUE"""),27865.0)</f>
        <v>27865</v>
      </c>
      <c r="U21" s="77">
        <f>IFERROR(__xludf.DUMMYFUNCTION("""COMPUTED_VALUE"""),0.0)</f>
        <v>0</v>
      </c>
      <c r="V21" s="77">
        <f>IFERROR(__xludf.DUMMYFUNCTION("""COMPUTED_VALUE"""),0.0)</f>
        <v>0</v>
      </c>
      <c r="W21" s="77">
        <f>IFERROR(__xludf.DUMMYFUNCTION("""COMPUTED_VALUE"""),0.0)</f>
        <v>0</v>
      </c>
    </row>
    <row r="22">
      <c r="A22" s="255" t="str">
        <f>IFERROR(__xludf.DUMMYFUNCTION("""COMPUTED_VALUE"""),"MICRO")</f>
        <v>MICRO</v>
      </c>
      <c r="B22" s="360" t="str">
        <f>IFERROR(__xludf.DUMMYFUNCTION("""COMPUTED_VALUE"""),"ferenaceta")</f>
        <v>ferenaceta</v>
      </c>
      <c r="C22" s="281" t="str">
        <f>IFERROR(__xludf.DUMMYFUNCTION("""COMPUTED_VALUE"""),"https://www.tiktok.com/@ferenaceta")</f>
        <v>https://www.tiktok.com/@ferenaceta</v>
      </c>
      <c r="D22" s="25">
        <f>IFERROR(__xludf.DUMMYFUNCTION("""COMPUTED_VALUE"""),8.95705700911E11)</f>
        <v>895705700911</v>
      </c>
      <c r="E22" s="269">
        <f>IFERROR(__xludf.DUMMYFUNCTION("""COMPUTED_VALUE"""),150000.0)</f>
        <v>150000</v>
      </c>
      <c r="F22" s="25">
        <f>IFERROR(__xludf.DUMMYFUNCTION("""COMPUTED_VALUE"""),2.0)</f>
        <v>2</v>
      </c>
      <c r="G22" s="17" t="str">
        <f>IFERROR(__xludf.DUMMYFUNCTION("""COMPUTED_VALUE"""),"3,93jt")</f>
        <v>3,93jt</v>
      </c>
      <c r="H22" s="355" t="str">
        <f>IFERROR(__xludf.DUMMYFUNCTION("""COMPUTED_VALUE"""),"""Paket Skincare 1 (Toneup, Instaglow Cream, dan Essence""")</f>
        <v>"Paket Skincare 1 (Toneup, Instaglow Cream, dan Essence"</v>
      </c>
      <c r="I22" s="356" t="str">
        <f>IFERROR(__xludf.DUMMYFUNCTION("""COMPUTED_VALUE"""),"Sampai")</f>
        <v>Sampai</v>
      </c>
      <c r="J22" s="357"/>
      <c r="K22" s="279" t="str">
        <f>IFERROR(__xludf.DUMMYFUNCTION("""COMPUTED_VALUE"""),"https://vt.tiktok.com/ZSuMvVmqR/")</f>
        <v>https://vt.tiktok.com/ZSuMvVmqR/</v>
      </c>
      <c r="L22" s="357"/>
      <c r="M22" s="279" t="str">
        <f>IFERROR(__xludf.DUMMYFUNCTION("""COMPUTED_VALUE"""),"https://vt.tiktok.com/ZSuHu4uE9/")</f>
        <v>https://vt.tiktok.com/ZSuHu4uE9/</v>
      </c>
      <c r="N22" s="357"/>
      <c r="O22" s="17"/>
      <c r="P22" s="357"/>
      <c r="Q22" s="17"/>
      <c r="R22" s="77"/>
      <c r="S22" s="77"/>
      <c r="T22" s="77">
        <f>IFERROR(__xludf.DUMMYFUNCTION("""COMPUTED_VALUE"""),0.0)</f>
        <v>0</v>
      </c>
      <c r="U22" s="77">
        <f>IFERROR(__xludf.DUMMYFUNCTION("""COMPUTED_VALUE"""),0.0)</f>
        <v>0</v>
      </c>
      <c r="V22" s="77">
        <f>IFERROR(__xludf.DUMMYFUNCTION("""COMPUTED_VALUE"""),5.48547572E7)</f>
        <v>54854757.2</v>
      </c>
      <c r="W22" s="77">
        <f>IFERROR(__xludf.DUMMYFUNCTION("""COMPUTED_VALUE"""),0.0)</f>
        <v>0</v>
      </c>
    </row>
    <row r="23">
      <c r="A23" s="255" t="str">
        <f>IFERROR(__xludf.DUMMYFUNCTION("""COMPUTED_VALUE"""),"NANO")</f>
        <v>NANO</v>
      </c>
      <c r="B23" s="23" t="str">
        <f>IFERROR(__xludf.DUMMYFUNCTION("""COMPUTED_VALUE"""),"queenhannisss")</f>
        <v>queenhannisss</v>
      </c>
      <c r="C23" s="281" t="str">
        <f>IFERROR(__xludf.DUMMYFUNCTION("""COMPUTED_VALUE"""),"https://www.tiktok.com/@queenhannisss")</f>
        <v>https://www.tiktok.com/@queenhannisss</v>
      </c>
      <c r="D23" s="25">
        <f>IFERROR(__xludf.DUMMYFUNCTION("""COMPUTED_VALUE"""),8.126685182E9)</f>
        <v>8126685182</v>
      </c>
      <c r="E23" s="269">
        <f>IFERROR(__xludf.DUMMYFUNCTION("""COMPUTED_VALUE"""),0.0)</f>
        <v>0</v>
      </c>
      <c r="F23" s="25">
        <f>IFERROR(__xludf.DUMMYFUNCTION("""COMPUTED_VALUE"""),2.0)</f>
        <v>2</v>
      </c>
      <c r="G23" s="17" t="str">
        <f>IFERROR(__xludf.DUMMYFUNCTION("""COMPUTED_VALUE"""),"29,80jt")</f>
        <v>29,80jt</v>
      </c>
      <c r="H23" s="355" t="str">
        <f>IFERROR(__xludf.DUMMYFUNCTION("""COMPUTED_VALUE"""),"Hair Serum")</f>
        <v>Hair Serum</v>
      </c>
      <c r="I23" s="356" t="str">
        <f>IFERROR(__xludf.DUMMYFUNCTION("""COMPUTED_VALUE"""),"Sampai")</f>
        <v>Sampai</v>
      </c>
      <c r="J23" s="357"/>
      <c r="K23" s="279" t="str">
        <f>IFERROR(__xludf.DUMMYFUNCTION("""COMPUTED_VALUE"""),"https://vt.tiktok.com/ZSmwGAdLo/")</f>
        <v>https://vt.tiktok.com/ZSmwGAdLo/</v>
      </c>
      <c r="L23" s="357"/>
      <c r="M23" s="279" t="str">
        <f>IFERROR(__xludf.DUMMYFUNCTION("""COMPUTED_VALUE"""),"https://vt.tiktok.com/ZSujcFyBt/")</f>
        <v>https://vt.tiktok.com/ZSujcFyBt/</v>
      </c>
      <c r="N23" s="357"/>
      <c r="O23" s="17"/>
      <c r="P23" s="357"/>
      <c r="Q23" s="17"/>
      <c r="R23" s="77"/>
      <c r="S23" s="77"/>
      <c r="T23" s="77">
        <f>IFERROR(__xludf.DUMMYFUNCTION("""COMPUTED_VALUE"""),0.0)</f>
        <v>0</v>
      </c>
      <c r="U23" s="77">
        <f>IFERROR(__xludf.DUMMYFUNCTION("""COMPUTED_VALUE"""),0.0)</f>
        <v>0</v>
      </c>
      <c r="V23" s="77">
        <f>IFERROR(__xludf.DUMMYFUNCTION("""COMPUTED_VALUE"""),0.0)</f>
        <v>0</v>
      </c>
      <c r="W23" s="77">
        <f>IFERROR(__xludf.DUMMYFUNCTION("""COMPUTED_VALUE"""),0.0)</f>
        <v>0</v>
      </c>
    </row>
    <row r="24">
      <c r="A24" s="255" t="str">
        <f>IFERROR(__xludf.DUMMYFUNCTION("""COMPUTED_VALUE"""),"NANO")</f>
        <v>NANO</v>
      </c>
      <c r="B24" s="23" t="str">
        <f>IFERROR(__xludf.DUMMYFUNCTION("""COMPUTED_VALUE"""),"dreamm.png")</f>
        <v>dreamm.png</v>
      </c>
      <c r="C24" s="281" t="str">
        <f>IFERROR(__xludf.DUMMYFUNCTION("""COMPUTED_VALUE"""),"https://www.tiktok.com/@dreamm.png")</f>
        <v>https://www.tiktok.com/@dreamm.png</v>
      </c>
      <c r="D24" s="25"/>
      <c r="E24" s="269">
        <f>IFERROR(__xludf.DUMMYFUNCTION("""COMPUTED_VALUE"""),0.0)</f>
        <v>0</v>
      </c>
      <c r="F24" s="25">
        <f>IFERROR(__xludf.DUMMYFUNCTION("""COMPUTED_VALUE"""),1.0)</f>
        <v>1</v>
      </c>
      <c r="G24" s="17" t="str">
        <f>IFERROR(__xludf.DUMMYFUNCTION("""COMPUTED_VALUE"""),"41,13jt")</f>
        <v>41,13jt</v>
      </c>
      <c r="H24" s="355"/>
      <c r="I24" s="356" t="str">
        <f>IFERROR(__xludf.DUMMYFUNCTION("""COMPUTED_VALUE"""),"Sampai")</f>
        <v>Sampai</v>
      </c>
      <c r="J24" s="357"/>
      <c r="K24" s="279" t="str">
        <f>IFERROR(__xludf.DUMMYFUNCTION("""COMPUTED_VALUE"""),"https://www.tiktok.com/@dreamm.png/video/7617696048705834248?_r=1&amp;_t=ZS-94j8Oa92BOC")</f>
        <v>https://www.tiktok.com/@dreamm.png/video/7617696048705834248?_r=1&amp;_t=ZS-94j8Oa92BOC</v>
      </c>
      <c r="L24" s="357"/>
      <c r="M24" s="17"/>
      <c r="N24" s="357"/>
      <c r="O24" s="17"/>
      <c r="P24" s="357"/>
      <c r="Q24" s="17"/>
      <c r="R24" s="77"/>
      <c r="S24" s="77"/>
      <c r="T24" s="77">
        <f>IFERROR(__xludf.DUMMYFUNCTION("""COMPUTED_VALUE"""),0.0)</f>
        <v>0</v>
      </c>
      <c r="U24" s="77">
        <f>IFERROR(__xludf.DUMMYFUNCTION("""COMPUTED_VALUE"""),0.0)</f>
        <v>0</v>
      </c>
      <c r="V24" s="77">
        <f>IFERROR(__xludf.DUMMYFUNCTION("""COMPUTED_VALUE"""),0.0)</f>
        <v>0</v>
      </c>
      <c r="W24" s="77">
        <f>IFERROR(__xludf.DUMMYFUNCTION("""COMPUTED_VALUE"""),0.0)</f>
        <v>0</v>
      </c>
    </row>
    <row r="25">
      <c r="A25" s="255" t="str">
        <f>IFERROR(__xludf.DUMMYFUNCTION("""COMPUTED_VALUE"""),"MICRO")</f>
        <v>MICRO</v>
      </c>
      <c r="B25" s="359" t="str">
        <f>IFERROR(__xludf.DUMMYFUNCTION("""COMPUTED_VALUE"""),"dinif.sa")</f>
        <v>dinif.sa</v>
      </c>
      <c r="C25" s="281" t="str">
        <f>IFERROR(__xludf.DUMMYFUNCTION("""COMPUTED_VALUE"""),"https://www.tiktok.com/@dinif.sa")</f>
        <v>https://www.tiktok.com/@dinif.sa</v>
      </c>
      <c r="D25" s="25">
        <f>IFERROR(__xludf.DUMMYFUNCTION("""COMPUTED_VALUE"""),8.5212884452E10)</f>
        <v>85212884452</v>
      </c>
      <c r="E25" s="258">
        <f>IFERROR(__xludf.DUMMYFUNCTION("""COMPUTED_VALUE"""),0.0)</f>
        <v>0</v>
      </c>
      <c r="F25" s="25">
        <f>IFERROR(__xludf.DUMMYFUNCTION("""COMPUTED_VALUE"""),3.0)</f>
        <v>3</v>
      </c>
      <c r="G25" s="17" t="str">
        <f>IFERROR(__xludf.DUMMYFUNCTION("""COMPUTED_VALUE"""),"99,55jt")</f>
        <v>99,55jt</v>
      </c>
      <c r="H25" s="355" t="str">
        <f>IFERROR(__xludf.DUMMYFUNCTION("""COMPUTED_VALUE"""),"Body Bleach")</f>
        <v>Body Bleach</v>
      </c>
      <c r="I25" s="356" t="str">
        <f>IFERROR(__xludf.DUMMYFUNCTION("""COMPUTED_VALUE"""),"Sampai")</f>
        <v>Sampai</v>
      </c>
      <c r="J25" s="357"/>
      <c r="K25" s="279" t="str">
        <f>IFERROR(__xludf.DUMMYFUNCTION("""COMPUTED_VALUE"""),"https://www.tiktok.com/@dinif.sa/video/7616568549540187413?_r=1&amp;_t=ZS-94e0Dg3BkhQ")</f>
        <v>https://www.tiktok.com/@dinif.sa/video/7616568549540187413?_r=1&amp;_t=ZS-94e0Dg3BkhQ</v>
      </c>
      <c r="L25" s="357"/>
      <c r="M25" s="279" t="str">
        <f>IFERROR(__xludf.DUMMYFUNCTION("""COMPUTED_VALUE"""),"https://vt.tiktok.com/ZSxhpYEAY/")</f>
        <v>https://vt.tiktok.com/ZSxhpYEAY/</v>
      </c>
      <c r="N25" s="357"/>
      <c r="O25" s="279" t="str">
        <f>IFERROR(__xludf.DUMMYFUNCTION("""COMPUTED_VALUE"""),"https://vt.tiktok.com/ZSxhpDtwU/")</f>
        <v>https://vt.tiktok.com/ZSxhpDtwU/</v>
      </c>
      <c r="P25" s="357"/>
      <c r="Q25" s="17"/>
      <c r="R25" s="77"/>
      <c r="S25" s="77"/>
      <c r="T25" s="77">
        <f>IFERROR(__xludf.DUMMYFUNCTION("""COMPUTED_VALUE"""),0.0)</f>
        <v>0</v>
      </c>
      <c r="U25" s="77">
        <f>IFERROR(__xludf.DUMMYFUNCTION("""COMPUTED_VALUE"""),0.0)</f>
        <v>0</v>
      </c>
      <c r="V25" s="77">
        <f>IFERROR(__xludf.DUMMYFUNCTION("""COMPUTED_VALUE"""),0.0)</f>
        <v>0</v>
      </c>
      <c r="W25" s="77">
        <f>IFERROR(__xludf.DUMMYFUNCTION("""COMPUTED_VALUE"""),0.0)</f>
        <v>0</v>
      </c>
    </row>
    <row r="26">
      <c r="A26" s="255" t="str">
        <f>IFERROR(__xludf.DUMMYFUNCTION("""COMPUTED_VALUE"""),"MICRO")</f>
        <v>MICRO</v>
      </c>
      <c r="B26" s="361" t="str">
        <f>IFERROR(__xludf.DUMMYFUNCTION("""COMPUTED_VALUE"""),"ifanasyiffa")</f>
        <v>ifanasyiffa</v>
      </c>
      <c r="C26" s="281" t="str">
        <f>IFERROR(__xludf.DUMMYFUNCTION("""COMPUTED_VALUE"""),"https://www.tiktok.com/@ifanasyiffa")</f>
        <v>https://www.tiktok.com/@ifanasyiffa</v>
      </c>
      <c r="D26" s="25">
        <f>IFERROR(__xludf.DUMMYFUNCTION("""COMPUTED_VALUE"""),8.3155871008E10)</f>
        <v>83155871008</v>
      </c>
      <c r="E26" s="269">
        <f>IFERROR(__xludf.DUMMYFUNCTION("""COMPUTED_VALUE"""),0.0)</f>
        <v>0</v>
      </c>
      <c r="F26" s="25">
        <f>IFERROR(__xludf.DUMMYFUNCTION("""COMPUTED_VALUE"""),2.0)</f>
        <v>2</v>
      </c>
      <c r="G26" s="17" t="str">
        <f>IFERROR(__xludf.DUMMYFUNCTION("""COMPUTED_VALUE"""),"3,21jt")</f>
        <v>3,21jt</v>
      </c>
      <c r="H26" s="355" t="str">
        <f>IFERROR(__xludf.DUMMYFUNCTION("""COMPUTED_VALUE"""),"""Paket skincare 3 (Fw brightening, toneup, instaglow cream)""")</f>
        <v>"Paket skincare 3 (Fw brightening, toneup, instaglow cream)"</v>
      </c>
      <c r="I26" s="356" t="str">
        <f>IFERROR(__xludf.DUMMYFUNCTION("""COMPUTED_VALUE"""),"Sampai")</f>
        <v>Sampai</v>
      </c>
      <c r="J26" s="357"/>
      <c r="K26" s="279" t="str">
        <f>IFERROR(__xludf.DUMMYFUNCTION("""COMPUTED_VALUE"""),"https://vt.tiktok.com/ZSHAKBvCs/")</f>
        <v>https://vt.tiktok.com/ZSHAKBvCs/</v>
      </c>
      <c r="L26" s="357"/>
      <c r="M26" s="279" t="str">
        <f>IFERROR(__xludf.DUMMYFUNCTION("""COMPUTED_VALUE"""),"https://vt.tiktok.com/ZS9RTehqk/ ")</f>
        <v>https://vt.tiktok.com/ZS9RTehqk/ </v>
      </c>
      <c r="N26" s="357"/>
      <c r="O26" s="17"/>
      <c r="P26" s="357"/>
      <c r="Q26" s="17"/>
      <c r="R26" s="77"/>
      <c r="S26" s="77"/>
      <c r="T26" s="77">
        <f>IFERROR(__xludf.DUMMYFUNCTION("""COMPUTED_VALUE"""),0.0)</f>
        <v>0</v>
      </c>
      <c r="U26" s="77">
        <f>IFERROR(__xludf.DUMMYFUNCTION("""COMPUTED_VALUE"""),0.0)</f>
        <v>0</v>
      </c>
      <c r="V26" s="77">
        <f>IFERROR(__xludf.DUMMYFUNCTION("""COMPUTED_VALUE"""),0.0)</f>
        <v>0</v>
      </c>
      <c r="W26" s="77">
        <f>IFERROR(__xludf.DUMMYFUNCTION("""COMPUTED_VALUE"""),0.0)</f>
        <v>0</v>
      </c>
    </row>
    <row r="27">
      <c r="A27" s="255" t="str">
        <f>IFERROR(__xludf.DUMMYFUNCTION("""COMPUTED_VALUE"""),"NANO")</f>
        <v>NANO</v>
      </c>
      <c r="B27" s="23" t="str">
        <f>IFERROR(__xludf.DUMMYFUNCTION("""COMPUTED_VALUE"""),"arnillawati")</f>
        <v>arnillawati</v>
      </c>
      <c r="C27" s="281" t="str">
        <f>IFERROR(__xludf.DUMMYFUNCTION("""COMPUTED_VALUE"""),"https://www.tiktok.com/@arnillawati")</f>
        <v>https://www.tiktok.com/@arnillawati</v>
      </c>
      <c r="D27" s="25">
        <f>IFERROR(__xludf.DUMMYFUNCTION("""COMPUTED_VALUE"""),8.2188059466E10)</f>
        <v>82188059466</v>
      </c>
      <c r="E27" s="269">
        <f>IFERROR(__xludf.DUMMYFUNCTION("""COMPUTED_VALUE"""),0.0)</f>
        <v>0</v>
      </c>
      <c r="F27" s="25">
        <f>IFERROR(__xludf.DUMMYFUNCTION("""COMPUTED_VALUE"""),2.0)</f>
        <v>2</v>
      </c>
      <c r="G27" s="17" t="str">
        <f>IFERROR(__xludf.DUMMYFUNCTION("""COMPUTED_VALUE"""),"11,24jt")</f>
        <v>11,24jt</v>
      </c>
      <c r="H27" s="355" t="str">
        <f>IFERROR(__xludf.DUMMYFUNCTION("""COMPUTED_VALUE"""),"Body Bleach")</f>
        <v>Body Bleach</v>
      </c>
      <c r="I27" s="356" t="str">
        <f>IFERROR(__xludf.DUMMYFUNCTION("""COMPUTED_VALUE"""),"Sampai")</f>
        <v>Sampai</v>
      </c>
      <c r="J27" s="357"/>
      <c r="K27" s="279" t="str">
        <f>IFERROR(__xludf.DUMMYFUNCTION("""COMPUTED_VALUE"""),"https://vt.tiktok.com/ZSH4mq8sj/ ")</f>
        <v>https://vt.tiktok.com/ZSH4mq8sj/ </v>
      </c>
      <c r="L27" s="357"/>
      <c r="M27" s="279" t="str">
        <f>IFERROR(__xludf.DUMMYFUNCTION("""COMPUTED_VALUE"""),"https://vt.tiktok.com/ZS9F73RxK/ ")</f>
        <v>https://vt.tiktok.com/ZS9F73RxK/ </v>
      </c>
      <c r="N27" s="357"/>
      <c r="O27" s="17"/>
      <c r="P27" s="357"/>
      <c r="Q27" s="17"/>
      <c r="R27" s="77"/>
      <c r="S27" s="77"/>
      <c r="T27" s="77">
        <f>IFERROR(__xludf.DUMMYFUNCTION("""COMPUTED_VALUE"""),0.0)</f>
        <v>0</v>
      </c>
      <c r="U27" s="77">
        <f>IFERROR(__xludf.DUMMYFUNCTION("""COMPUTED_VALUE"""),0.0)</f>
        <v>0</v>
      </c>
      <c r="V27" s="77">
        <f>IFERROR(__xludf.DUMMYFUNCTION("""COMPUTED_VALUE"""),0.0)</f>
        <v>0</v>
      </c>
      <c r="W27" s="77">
        <f>IFERROR(__xludf.DUMMYFUNCTION("""COMPUTED_VALUE"""),0.0)</f>
        <v>0</v>
      </c>
    </row>
    <row r="28">
      <c r="A28" s="255" t="str">
        <f>IFERROR(__xludf.DUMMYFUNCTION("""COMPUTED_VALUE"""),"NANO")</f>
        <v>NANO</v>
      </c>
      <c r="B28" s="360" t="str">
        <f>IFERROR(__xludf.DUMMYFUNCTION("""COMPUTED_VALUE"""),"sunny.beaute")</f>
        <v>sunny.beaute</v>
      </c>
      <c r="C28" s="281" t="str">
        <f>IFERROR(__xludf.DUMMYFUNCTION("""COMPUTED_VALUE"""),"https://www.tiktok.com/@sunny.beaute")</f>
        <v>https://www.tiktok.com/@sunny.beaute</v>
      </c>
      <c r="D28" s="25">
        <f>IFERROR(__xludf.DUMMYFUNCTION("""COMPUTED_VALUE"""),8.1359683514E10)</f>
        <v>81359683514</v>
      </c>
      <c r="E28" s="269">
        <f>IFERROR(__xludf.DUMMYFUNCTION("""COMPUTED_VALUE"""),0.0)</f>
        <v>0</v>
      </c>
      <c r="F28" s="25">
        <f>IFERROR(__xludf.DUMMYFUNCTION("""COMPUTED_VALUE"""),2.0)</f>
        <v>2</v>
      </c>
      <c r="G28" s="17" t="str">
        <f>IFERROR(__xludf.DUMMYFUNCTION("""COMPUTED_VALUE"""),"2,5jt")</f>
        <v>2,5jt</v>
      </c>
      <c r="H28" s="355" t="str">
        <f>IFERROR(__xludf.DUMMYFUNCTION("""COMPUTED_VALUE"""),"""Paket Skincare 1 (Toneup, Instaglow Cream, dan Essence""")</f>
        <v>"Paket Skincare 1 (Toneup, Instaglow Cream, dan Essence"</v>
      </c>
      <c r="I28" s="356" t="str">
        <f>IFERROR(__xludf.DUMMYFUNCTION("""COMPUTED_VALUE"""),"Sampai")</f>
        <v>Sampai</v>
      </c>
      <c r="J28" s="357"/>
      <c r="K28" s="279" t="str">
        <f>IFERROR(__xludf.DUMMYFUNCTION("""COMPUTED_VALUE"""),"https://vt.tiktok.com/ZSuHNNKB5/")</f>
        <v>https://vt.tiktok.com/ZSuHNNKB5/</v>
      </c>
      <c r="L28" s="357"/>
      <c r="M28" s="279" t="str">
        <f>IFERROR(__xludf.DUMMYFUNCTION("""COMPUTED_VALUE"""),"https://www.tiktok.com/@sunny.beaute/video/7623303020633246983?_r=1&amp;_t=ZS-958oShpsnwN")</f>
        <v>https://www.tiktok.com/@sunny.beaute/video/7623303020633246983?_r=1&amp;_t=ZS-958oShpsnwN</v>
      </c>
      <c r="N28" s="357"/>
      <c r="O28" s="17"/>
      <c r="P28" s="357"/>
      <c r="Q28" s="17"/>
      <c r="R28" s="77"/>
      <c r="S28" s="77"/>
      <c r="T28" s="77">
        <f>IFERROR(__xludf.DUMMYFUNCTION("""COMPUTED_VALUE"""),0.0)</f>
        <v>0</v>
      </c>
      <c r="U28" s="77">
        <f>IFERROR(__xludf.DUMMYFUNCTION("""COMPUTED_VALUE"""),0.0)</f>
        <v>0</v>
      </c>
      <c r="V28" s="77">
        <f>IFERROR(__xludf.DUMMYFUNCTION("""COMPUTED_VALUE"""),0.0)</f>
        <v>0</v>
      </c>
      <c r="W28" s="77">
        <f>IFERROR(__xludf.DUMMYFUNCTION("""COMPUTED_VALUE"""),0.0)</f>
        <v>0</v>
      </c>
    </row>
    <row r="29">
      <c r="A29" s="255" t="str">
        <f>IFERROR(__xludf.DUMMYFUNCTION("""COMPUTED_VALUE"""),"MICRO")</f>
        <v>MICRO</v>
      </c>
      <c r="B29" s="23" t="str">
        <f>IFERROR(__xludf.DUMMYFUNCTION("""COMPUTED_VALUE"""),"nris9")</f>
        <v>nris9</v>
      </c>
      <c r="C29" s="281" t="str">
        <f>IFERROR(__xludf.DUMMYFUNCTION("""COMPUTED_VALUE"""),"https://www.tiktok.com/@nris9")</f>
        <v>https://www.tiktok.com/@nris9</v>
      </c>
      <c r="D29" s="25">
        <f>IFERROR(__xludf.DUMMYFUNCTION("""COMPUTED_VALUE"""),8.7721316159E10)</f>
        <v>87721316159</v>
      </c>
      <c r="E29" s="269">
        <f>IFERROR(__xludf.DUMMYFUNCTION("""COMPUTED_VALUE"""),150000.0)</f>
        <v>150000</v>
      </c>
      <c r="F29" s="25">
        <f>IFERROR(__xludf.DUMMYFUNCTION("""COMPUTED_VALUE"""),1.0)</f>
        <v>1</v>
      </c>
      <c r="G29" s="17" t="str">
        <f>IFERROR(__xludf.DUMMYFUNCTION("""COMPUTED_VALUE"""),"122,10jt")</f>
        <v>122,10jt</v>
      </c>
      <c r="H29" s="355" t="str">
        <f>IFERROR(__xludf.DUMMYFUNCTION("""COMPUTED_VALUE"""),"""Paket Skincare 1 (Toneup, Instaglow Cream, dan Essence""")</f>
        <v>"Paket Skincare 1 (Toneup, Instaglow Cream, dan Essence"</v>
      </c>
      <c r="I29" s="356" t="str">
        <f>IFERROR(__xludf.DUMMYFUNCTION("""COMPUTED_VALUE"""),"Sampai")</f>
        <v>Sampai</v>
      </c>
      <c r="J29" s="357"/>
      <c r="K29" s="279" t="str">
        <f>IFERROR(__xludf.DUMMYFUNCTION("""COMPUTED_VALUE"""),"https://www.tiktok.com/@nris9/video/7613330311622987029?_r=1&amp;_t=ZS-94PFRhrRf8a")</f>
        <v>https://www.tiktok.com/@nris9/video/7613330311622987029?_r=1&amp;_t=ZS-94PFRhrRf8a</v>
      </c>
      <c r="L29" s="357"/>
      <c r="M29" s="17"/>
      <c r="N29" s="357"/>
      <c r="O29" s="17"/>
      <c r="P29" s="357"/>
      <c r="Q29" s="17"/>
      <c r="R29" s="77"/>
      <c r="S29" s="77"/>
      <c r="T29" s="77">
        <f>IFERROR(__xludf.DUMMYFUNCTION("""COMPUTED_VALUE"""),0.0)</f>
        <v>0</v>
      </c>
      <c r="U29" s="77">
        <f>IFERROR(__xludf.DUMMYFUNCTION("""COMPUTED_VALUE"""),0.0)</f>
        <v>0</v>
      </c>
      <c r="V29" s="77">
        <f>IFERROR(__xludf.DUMMYFUNCTION("""COMPUTED_VALUE"""),1.557394472E7)</f>
        <v>15573944.72</v>
      </c>
      <c r="W29" s="77">
        <f>IFERROR(__xludf.DUMMYFUNCTION("""COMPUTED_VALUE"""),0.0)</f>
        <v>0</v>
      </c>
    </row>
    <row r="30">
      <c r="A30" s="255" t="str">
        <f>IFERROR(__xludf.DUMMYFUNCTION("""COMPUTED_VALUE"""),"MICRO")</f>
        <v>MICRO</v>
      </c>
      <c r="B30" s="23" t="str">
        <f>IFERROR(__xludf.DUMMYFUNCTION("""COMPUTED_VALUE"""),"they.callmelst")</f>
        <v>they.callmelst</v>
      </c>
      <c r="C30" s="281" t="str">
        <f>IFERROR(__xludf.DUMMYFUNCTION("""COMPUTED_VALUE"""),"https://www.tiktok.com/@they.callmelst")</f>
        <v>https://www.tiktok.com/@they.callmelst</v>
      </c>
      <c r="D30" s="270">
        <f>IFERROR(__xludf.DUMMYFUNCTION("""COMPUTED_VALUE"""),8.9604299344E10)</f>
        <v>89604299344</v>
      </c>
      <c r="E30" s="362">
        <f>IFERROR(__xludf.DUMMYFUNCTION("""COMPUTED_VALUE"""),0.0)</f>
        <v>0</v>
      </c>
      <c r="F30" s="270">
        <f>IFERROR(__xludf.DUMMYFUNCTION("""COMPUTED_VALUE"""),4.0)</f>
        <v>4</v>
      </c>
      <c r="G30" s="17" t="str">
        <f>IFERROR(__xludf.DUMMYFUNCTION("""COMPUTED_VALUE"""),"10,85jt")</f>
        <v>10,85jt</v>
      </c>
      <c r="H30" s="355" t="str">
        <f>IFERROR(__xludf.DUMMYFUNCTION("""COMPUTED_VALUE"""),"""Paket skincare 3 (Fw brightening, toneup, instaglow cream)""")</f>
        <v>"Paket skincare 3 (Fw brightening, toneup, instaglow cream)"</v>
      </c>
      <c r="I30" s="356" t="str">
        <f>IFERROR(__xludf.DUMMYFUNCTION("""COMPUTED_VALUE"""),"Sampai")</f>
        <v>Sampai</v>
      </c>
      <c r="J30" s="357"/>
      <c r="K30" s="279" t="str">
        <f>IFERROR(__xludf.DUMMYFUNCTION("""COMPUTED_VALUE"""),"https://vt.tiktok.com/ZSuNH61gj/")</f>
        <v>https://vt.tiktok.com/ZSuNH61gj/</v>
      </c>
      <c r="L30" s="357"/>
      <c r="M30" s="279" t="str">
        <f>IFERROR(__xludf.DUMMYFUNCTION("""COMPUTED_VALUE"""),"https://vt.tiktok.com/ZSuNHYvUt/")</f>
        <v>https://vt.tiktok.com/ZSuNHYvUt/</v>
      </c>
      <c r="N30" s="357"/>
      <c r="O30" s="279" t="str">
        <f>IFERROR(__xludf.DUMMYFUNCTION("""COMPUTED_VALUE"""),"https://vt.tiktok.com/ZSuNuwTDS/")</f>
        <v>https://vt.tiktok.com/ZSuNuwTDS/</v>
      </c>
      <c r="P30" s="357"/>
      <c r="Q30" s="279" t="str">
        <f>IFERROR(__xludf.DUMMYFUNCTION("""COMPUTED_VALUE"""),"https://vt.tiktok.com/ZSuNuKaMN/")</f>
        <v>https://vt.tiktok.com/ZSuNuKaMN/</v>
      </c>
      <c r="R30" s="358" t="str">
        <f>IFERROR(__xludf.DUMMYFUNCTION("""COMPUTED_VALUE"""),"https://vt.tiktok.com/ZSuNuEYBH/")</f>
        <v>https://vt.tiktok.com/ZSuNuEYBH/</v>
      </c>
      <c r="S30" s="358" t="str">
        <f>IFERROR(__xludf.DUMMYFUNCTION("""COMPUTED_VALUE"""),"https://vt.tiktok.com/ZSuNHFBbu/")</f>
        <v>https://vt.tiktok.com/ZSuNHFBbu/</v>
      </c>
      <c r="T30" s="77">
        <f>IFERROR(__xludf.DUMMYFUNCTION("""COMPUTED_VALUE"""),0.0)</f>
        <v>0</v>
      </c>
      <c r="U30" s="77">
        <f>IFERROR(__xludf.DUMMYFUNCTION("""COMPUTED_VALUE"""),0.0)</f>
        <v>0</v>
      </c>
      <c r="V30" s="77">
        <f>IFERROR(__xludf.DUMMYFUNCTION("""COMPUTED_VALUE"""),0.0)</f>
        <v>0</v>
      </c>
      <c r="W30" s="77">
        <f>IFERROR(__xludf.DUMMYFUNCTION("""COMPUTED_VALUE"""),0.0)</f>
        <v>0</v>
      </c>
    </row>
    <row r="31">
      <c r="A31" s="255" t="str">
        <f>IFERROR(__xludf.DUMMYFUNCTION("""COMPUTED_VALUE"""),"NANO")</f>
        <v>NANO</v>
      </c>
      <c r="B31" s="23" t="str">
        <f>IFERROR(__xludf.DUMMYFUNCTION("""COMPUTED_VALUE"""),"d.lestarinp")</f>
        <v>d.lestarinp</v>
      </c>
      <c r="C31" s="281" t="str">
        <f>IFERROR(__xludf.DUMMYFUNCTION("""COMPUTED_VALUE"""),"https://www.tiktok.com/@d.lestarinp")</f>
        <v>https://www.tiktok.com/@d.lestarinp</v>
      </c>
      <c r="D31" s="270">
        <f>IFERROR(__xludf.DUMMYFUNCTION("""COMPUTED_VALUE"""),8.572312996E10)</f>
        <v>85723129960</v>
      </c>
      <c r="E31" s="362">
        <f>IFERROR(__xludf.DUMMYFUNCTION("""COMPUTED_VALUE"""),0.0)</f>
        <v>0</v>
      </c>
      <c r="F31" s="270">
        <f>IFERROR(__xludf.DUMMYFUNCTION("""COMPUTED_VALUE"""),2.0)</f>
        <v>2</v>
      </c>
      <c r="G31" s="17" t="str">
        <f>IFERROR(__xludf.DUMMYFUNCTION("""COMPUTED_VALUE"""),"525k")</f>
        <v>525k</v>
      </c>
      <c r="H31" s="355" t="str">
        <f>IFERROR(__xludf.DUMMYFUNCTION("""COMPUTED_VALUE"""),"Body Bleach")</f>
        <v>Body Bleach</v>
      </c>
      <c r="I31" s="356" t="str">
        <f>IFERROR(__xludf.DUMMYFUNCTION("""COMPUTED_VALUE"""),"Sampai")</f>
        <v>Sampai</v>
      </c>
      <c r="J31" s="357"/>
      <c r="K31" s="279" t="str">
        <f>IFERROR(__xludf.DUMMYFUNCTION("""COMPUTED_VALUE"""),"https://www.tiktok.com/@d.lestarinp/video/7613332103144459528?_r=1&amp;_t=ZS-94P8svtVWqY")</f>
        <v>https://www.tiktok.com/@d.lestarinp/video/7613332103144459528?_r=1&amp;_t=ZS-94P8svtVWqY</v>
      </c>
      <c r="L31" s="357"/>
      <c r="M31" s="279" t="str">
        <f>IFERROR(__xludf.DUMMYFUNCTION("""COMPUTED_VALUE"""),"https://www.tiktok.com/@d.lestarinp/video/7616670520162929928?_r=1&amp;_t=ZS-94jP32uUNLG")</f>
        <v>https://www.tiktok.com/@d.lestarinp/video/7616670520162929928?_r=1&amp;_t=ZS-94jP32uUNLG</v>
      </c>
      <c r="N31" s="357"/>
      <c r="O31" s="17"/>
      <c r="P31" s="357"/>
      <c r="Q31" s="17"/>
      <c r="R31" s="77"/>
      <c r="S31" s="77"/>
      <c r="T31" s="77">
        <f>IFERROR(__xludf.DUMMYFUNCTION("""COMPUTED_VALUE"""),0.0)</f>
        <v>0</v>
      </c>
      <c r="U31" s="77">
        <f>IFERROR(__xludf.DUMMYFUNCTION("""COMPUTED_VALUE"""),0.0)</f>
        <v>0</v>
      </c>
      <c r="V31" s="77">
        <f>IFERROR(__xludf.DUMMYFUNCTION("""COMPUTED_VALUE"""),1.003468072E7)</f>
        <v>10034680.72</v>
      </c>
      <c r="W31" s="77">
        <f>IFERROR(__xludf.DUMMYFUNCTION("""COMPUTED_VALUE"""),0.0)</f>
        <v>0</v>
      </c>
    </row>
    <row r="32">
      <c r="A32" s="255" t="str">
        <f>IFERROR(__xludf.DUMMYFUNCTION("""COMPUTED_VALUE"""),"NANO")</f>
        <v>NANO</v>
      </c>
      <c r="B32" s="23" t="str">
        <f>IFERROR(__xludf.DUMMYFUNCTION("""COMPUTED_VALUE"""),"yourbesties77")</f>
        <v>yourbesties77</v>
      </c>
      <c r="C32" s="281" t="str">
        <f>IFERROR(__xludf.DUMMYFUNCTION("""COMPUTED_VALUE"""),"https://www.tiktok.com/@yourbesties77")</f>
        <v>https://www.tiktok.com/@yourbesties77</v>
      </c>
      <c r="D32" s="270">
        <f>IFERROR(__xludf.DUMMYFUNCTION("""COMPUTED_VALUE"""),8.5156020353E10)</f>
        <v>85156020353</v>
      </c>
      <c r="E32" s="362">
        <f>IFERROR(__xludf.DUMMYFUNCTION("""COMPUTED_VALUE"""),0.0)</f>
        <v>0</v>
      </c>
      <c r="F32" s="270">
        <f>IFERROR(__xludf.DUMMYFUNCTION("""COMPUTED_VALUE"""),2.0)</f>
        <v>2</v>
      </c>
      <c r="G32" s="17" t="str">
        <f>IFERROR(__xludf.DUMMYFUNCTION("""COMPUTED_VALUE"""),"509k")</f>
        <v>509k</v>
      </c>
      <c r="H32" s="355" t="str">
        <f>IFERROR(__xludf.DUMMYFUNCTION("""COMPUTED_VALUE"""),"""Paket skincare 3 (Fw brightening, toneup, instaglow cream)""")</f>
        <v>"Paket skincare 3 (Fw brightening, toneup, instaglow cream)"</v>
      </c>
      <c r="I32" s="356" t="str">
        <f>IFERROR(__xludf.DUMMYFUNCTION("""COMPUTED_VALUE"""),"Sampai")</f>
        <v>Sampai</v>
      </c>
      <c r="J32" s="357"/>
      <c r="K32" s="279" t="str">
        <f>IFERROR(__xludf.DUMMYFUNCTION("""COMPUTED_VALUE"""),"https://www.tiktok.com/@yourbesties77/video/7611104014616349959?_r=1&amp;_t=ZS-94GpLloGxdg")</f>
        <v>https://www.tiktok.com/@yourbesties77/video/7611104014616349959?_r=1&amp;_t=ZS-94GpLloGxdg</v>
      </c>
      <c r="L32" s="357"/>
      <c r="M32" s="279" t="str">
        <f>IFERROR(__xludf.DUMMYFUNCTION("""COMPUTED_VALUE"""),"https://www.tiktok.com/@yourbesties77/video/7611148703276993799?_r=1&amp;_t=ZS-94GpRTfnCPi")</f>
        <v>https://www.tiktok.com/@yourbesties77/video/7611148703276993799?_r=1&amp;_t=ZS-94GpRTfnCPi</v>
      </c>
      <c r="N32" s="357"/>
      <c r="O32" s="17"/>
      <c r="P32" s="357"/>
      <c r="Q32" s="17"/>
      <c r="R32" s="77"/>
      <c r="S32" s="77"/>
      <c r="T32" s="77">
        <f>IFERROR(__xludf.DUMMYFUNCTION("""COMPUTED_VALUE"""),0.0)</f>
        <v>0</v>
      </c>
      <c r="U32" s="77">
        <f>IFERROR(__xludf.DUMMYFUNCTION("""COMPUTED_VALUE"""),0.0)</f>
        <v>0</v>
      </c>
      <c r="V32" s="77">
        <f>IFERROR(__xludf.DUMMYFUNCTION("""COMPUTED_VALUE"""),0.0)</f>
        <v>0</v>
      </c>
      <c r="W32" s="77">
        <f>IFERROR(__xludf.DUMMYFUNCTION("""COMPUTED_VALUE"""),0.0)</f>
        <v>0</v>
      </c>
    </row>
    <row r="33">
      <c r="A33" s="255" t="str">
        <f>IFERROR(__xludf.DUMMYFUNCTION("""COMPUTED_VALUE"""),"MICRO")</f>
        <v>MICRO</v>
      </c>
      <c r="B33" s="23" t="str">
        <f>IFERROR(__xludf.DUMMYFUNCTION("""COMPUTED_VALUE"""),"itscendi")</f>
        <v>itscendi</v>
      </c>
      <c r="C33" s="281" t="str">
        <f>IFERROR(__xludf.DUMMYFUNCTION("""COMPUTED_VALUE"""),"https://www.tiktok.com/@itscendi")</f>
        <v>https://www.tiktok.com/@itscendi</v>
      </c>
      <c r="D33" s="270">
        <f>IFERROR(__xludf.DUMMYFUNCTION("""COMPUTED_VALUE"""),8.7746514165E10)</f>
        <v>87746514165</v>
      </c>
      <c r="E33" s="362">
        <f>IFERROR(__xludf.DUMMYFUNCTION("""COMPUTED_VALUE"""),150000.0)</f>
        <v>150000</v>
      </c>
      <c r="F33" s="270">
        <f>IFERROR(__xludf.DUMMYFUNCTION("""COMPUTED_VALUE"""),1.0)</f>
        <v>1</v>
      </c>
      <c r="G33" s="17" t="str">
        <f>IFERROR(__xludf.DUMMYFUNCTION("""COMPUTED_VALUE"""),"119,11jt")</f>
        <v>119,11jt</v>
      </c>
      <c r="H33" s="355" t="str">
        <f>IFERROR(__xludf.DUMMYFUNCTION("""COMPUTED_VALUE"""),"Body Bleach")</f>
        <v>Body Bleach</v>
      </c>
      <c r="I33" s="356" t="str">
        <f>IFERROR(__xludf.DUMMYFUNCTION("""COMPUTED_VALUE"""),"Sampai")</f>
        <v>Sampai</v>
      </c>
      <c r="J33" s="357"/>
      <c r="K33" s="279" t="str">
        <f>IFERROR(__xludf.DUMMYFUNCTION("""COMPUTED_VALUE"""),"https://vt.tiktok.com/ZSHgTG8BJ/ ")</f>
        <v>https://vt.tiktok.com/ZSHgTG8BJ/ </v>
      </c>
      <c r="L33" s="357"/>
      <c r="M33" s="17"/>
      <c r="N33" s="357"/>
      <c r="O33" s="17"/>
      <c r="P33" s="357"/>
      <c r="Q33" s="17"/>
      <c r="R33" s="77"/>
      <c r="S33" s="77"/>
      <c r="T33" s="77">
        <f>IFERROR(__xludf.DUMMYFUNCTION("""COMPUTED_VALUE"""),45706.0)</f>
        <v>45706</v>
      </c>
      <c r="U33" s="77">
        <f>IFERROR(__xludf.DUMMYFUNCTION("""COMPUTED_VALUE"""),0.0)</f>
        <v>0</v>
      </c>
      <c r="V33" s="77">
        <f>IFERROR(__xludf.DUMMYFUNCTION("""COMPUTED_VALUE"""),0.0)</f>
        <v>0</v>
      </c>
      <c r="W33" s="77">
        <f>IFERROR(__xludf.DUMMYFUNCTION("""COMPUTED_VALUE"""),0.0)</f>
        <v>0</v>
      </c>
    </row>
    <row r="34">
      <c r="A34" s="255" t="str">
        <f>IFERROR(__xludf.DUMMYFUNCTION("""COMPUTED_VALUE"""),"MICRO")</f>
        <v>MICRO</v>
      </c>
      <c r="B34" s="23" t="str">
        <f>IFERROR(__xludf.DUMMYFUNCTION("""COMPUTED_VALUE"""),"umashanum")</f>
        <v>umashanum</v>
      </c>
      <c r="C34" s="281" t="str">
        <f>IFERROR(__xludf.DUMMYFUNCTION("""COMPUTED_VALUE"""),"https://www.tiktok.com/@umashanum")</f>
        <v>https://www.tiktok.com/@umashanum</v>
      </c>
      <c r="D34" s="270">
        <f>IFERROR(__xludf.DUMMYFUNCTION("""COMPUTED_VALUE"""),8.5815301817E10)</f>
        <v>85815301817</v>
      </c>
      <c r="E34" s="362">
        <f>IFERROR(__xludf.DUMMYFUNCTION("""COMPUTED_VALUE"""),100000.0)</f>
        <v>100000</v>
      </c>
      <c r="F34" s="270">
        <f>IFERROR(__xludf.DUMMYFUNCTION("""COMPUTED_VALUE"""),2.0)</f>
        <v>2</v>
      </c>
      <c r="G34" s="17" t="str">
        <f>IFERROR(__xludf.DUMMYFUNCTION("""COMPUTED_VALUE"""),"3,66jt")</f>
        <v>3,66jt</v>
      </c>
      <c r="H34" s="355" t="str">
        <f>IFERROR(__xludf.DUMMYFUNCTION("""COMPUTED_VALUE"""),"Body Bleach")</f>
        <v>Body Bleach</v>
      </c>
      <c r="I34" s="356" t="str">
        <f>IFERROR(__xludf.DUMMYFUNCTION("""COMPUTED_VALUE"""),"Sampai")</f>
        <v>Sampai</v>
      </c>
      <c r="J34" s="357"/>
      <c r="K34" s="279" t="str">
        <f>IFERROR(__xludf.DUMMYFUNCTION("""COMPUTED_VALUE"""),"https://www.tiktok.com/@umashanum/video/7616791007102979346?_r=1&amp;_t=ZS-94folYwbE3N")</f>
        <v>https://www.tiktok.com/@umashanum/video/7616791007102979346?_r=1&amp;_t=ZS-94folYwbE3N</v>
      </c>
      <c r="L34" s="357"/>
      <c r="M34" s="279" t="str">
        <f>IFERROR(__xludf.DUMMYFUNCTION("""COMPUTED_VALUE"""),"https://www.tiktok.com/@umashanum/video/7616972921671552263?_r=1&amp;_t=ZS-94fopbLe933")</f>
        <v>https://www.tiktok.com/@umashanum/video/7616972921671552263?_r=1&amp;_t=ZS-94fopbLe933</v>
      </c>
      <c r="N34" s="357"/>
      <c r="O34" s="17"/>
      <c r="P34" s="357"/>
      <c r="Q34" s="17"/>
      <c r="R34" s="77"/>
      <c r="S34" s="77"/>
      <c r="T34" s="77">
        <f>IFERROR(__xludf.DUMMYFUNCTION("""COMPUTED_VALUE"""),0.0)</f>
        <v>0</v>
      </c>
      <c r="U34" s="77">
        <f>IFERROR(__xludf.DUMMYFUNCTION("""COMPUTED_VALUE"""),0.0)</f>
        <v>0</v>
      </c>
      <c r="V34" s="77">
        <f>IFERROR(__xludf.DUMMYFUNCTION("""COMPUTED_VALUE"""),0.0)</f>
        <v>0</v>
      </c>
      <c r="W34" s="77">
        <f>IFERROR(__xludf.DUMMYFUNCTION("""COMPUTED_VALUE"""),0.0)</f>
        <v>0</v>
      </c>
    </row>
    <row r="35">
      <c r="A35" s="255" t="str">
        <f>IFERROR(__xludf.DUMMYFUNCTION("""COMPUTED_VALUE"""),"MICRO")</f>
        <v>MICRO</v>
      </c>
      <c r="B35" s="23" t="str">
        <f>IFERROR(__xludf.DUMMYFUNCTION("""COMPUTED_VALUE"""),"gadisaries97")</f>
        <v>gadisaries97</v>
      </c>
      <c r="C35" s="281" t="str">
        <f>IFERROR(__xludf.DUMMYFUNCTION("""COMPUTED_VALUE"""),"https://www.tiktok.com/@gadisaries97")</f>
        <v>https://www.tiktok.com/@gadisaries97</v>
      </c>
      <c r="D35" s="270">
        <f>IFERROR(__xludf.DUMMYFUNCTION("""COMPUTED_VALUE"""),8.3148641923E10)</f>
        <v>83148641923</v>
      </c>
      <c r="E35" s="362">
        <f>IFERROR(__xludf.DUMMYFUNCTION("""COMPUTED_VALUE"""),200000.0)</f>
        <v>200000</v>
      </c>
      <c r="F35" s="270">
        <f>IFERROR(__xludf.DUMMYFUNCTION("""COMPUTED_VALUE"""),1.0)</f>
        <v>1</v>
      </c>
      <c r="G35" s="17" t="str">
        <f>IFERROR(__xludf.DUMMYFUNCTION("""COMPUTED_VALUE"""),"35.20jt")</f>
        <v>35.20jt</v>
      </c>
      <c r="H35" s="355"/>
      <c r="I35" s="356" t="str">
        <f>IFERROR(__xludf.DUMMYFUNCTION("""COMPUTED_VALUE"""),"Sampai")</f>
        <v>Sampai</v>
      </c>
      <c r="J35" s="357"/>
      <c r="K35" s="279" t="str">
        <f>IFERROR(__xludf.DUMMYFUNCTION("""COMPUTED_VALUE"""),"https://www.tiktok.com/@gadisaries97/video/7616564896960007445?_r=1&amp;_t=ZS-94eJswIH0FR")</f>
        <v>https://www.tiktok.com/@gadisaries97/video/7616564896960007445?_r=1&amp;_t=ZS-94eJswIH0FR</v>
      </c>
      <c r="L35" s="357"/>
      <c r="M35" s="17"/>
      <c r="N35" s="357"/>
      <c r="O35" s="17"/>
      <c r="P35" s="357"/>
      <c r="Q35" s="17"/>
      <c r="R35" s="77"/>
      <c r="S35" s="77"/>
      <c r="T35" s="77">
        <f>IFERROR(__xludf.DUMMYFUNCTION("""COMPUTED_VALUE"""),21375.0)</f>
        <v>21375</v>
      </c>
      <c r="U35" s="77">
        <f>IFERROR(__xludf.DUMMYFUNCTION("""COMPUTED_VALUE"""),0.0)</f>
        <v>0</v>
      </c>
      <c r="V35" s="77">
        <f>IFERROR(__xludf.DUMMYFUNCTION("""COMPUTED_VALUE"""),0.0)</f>
        <v>0</v>
      </c>
      <c r="W35" s="77">
        <f>IFERROR(__xludf.DUMMYFUNCTION("""COMPUTED_VALUE"""),0.0)</f>
        <v>0</v>
      </c>
    </row>
    <row r="36">
      <c r="A36" s="255" t="str">
        <f>IFERROR(__xludf.DUMMYFUNCTION("""COMPUTED_VALUE"""),"NANO")</f>
        <v>NANO</v>
      </c>
      <c r="B36" s="23" t="str">
        <f>IFERROR(__xludf.DUMMYFUNCTION("""COMPUTED_VALUE"""),"sforsheilaww")</f>
        <v>sforsheilaww</v>
      </c>
      <c r="C36" s="281" t="str">
        <f>IFERROR(__xludf.DUMMYFUNCTION("""COMPUTED_VALUE"""),"https://www.tiktok.com/@sforsheilaww")</f>
        <v>https://www.tiktok.com/@sforsheilaww</v>
      </c>
      <c r="D36" s="270">
        <f>IFERROR(__xludf.DUMMYFUNCTION("""COMPUTED_VALUE"""),8.3138956424E10)</f>
        <v>83138956424</v>
      </c>
      <c r="E36" s="362">
        <f>IFERROR(__xludf.DUMMYFUNCTION("""COMPUTED_VALUE"""),0.0)</f>
        <v>0</v>
      </c>
      <c r="F36" s="270">
        <f>IFERROR(__xludf.DUMMYFUNCTION("""COMPUTED_VALUE"""),2.0)</f>
        <v>2</v>
      </c>
      <c r="G36" s="17" t="str">
        <f>IFERROR(__xludf.DUMMYFUNCTION("""COMPUTED_VALUE"""),"29,39jt")</f>
        <v>29,39jt</v>
      </c>
      <c r="H36" s="355" t="str">
        <f>IFERROR(__xludf.DUMMYFUNCTION("""COMPUTED_VALUE"""),"Body Bleach")</f>
        <v>Body Bleach</v>
      </c>
      <c r="I36" s="356" t="str">
        <f>IFERROR(__xludf.DUMMYFUNCTION("""COMPUTED_VALUE"""),"Sampai")</f>
        <v>Sampai</v>
      </c>
      <c r="J36" s="357"/>
      <c r="K36" s="279" t="str">
        <f>IFERROR(__xludf.DUMMYFUNCTION("""COMPUTED_VALUE"""),"https://www.tiktok.com/@sforsheilaww/video/7626228227198946581?_r=1&amp;_t=ZS-95MDEOBXkZx")</f>
        <v>https://www.tiktok.com/@sforsheilaww/video/7626228227198946581?_r=1&amp;_t=ZS-95MDEOBXkZx</v>
      </c>
      <c r="L36" s="357"/>
      <c r="M36" s="279" t="str">
        <f>IFERROR(__xludf.DUMMYFUNCTION("""COMPUTED_VALUE"""),"https://vt.tiktok.com/ZS94rDEkm/")</f>
        <v>https://vt.tiktok.com/ZS94rDEkm/</v>
      </c>
      <c r="N36" s="357"/>
      <c r="O36" s="17"/>
      <c r="P36" s="357"/>
      <c r="Q36" s="17"/>
      <c r="R36" s="77"/>
      <c r="S36" s="77"/>
      <c r="T36" s="77">
        <f>IFERROR(__xludf.DUMMYFUNCTION("""COMPUTED_VALUE"""),0.0)</f>
        <v>0</v>
      </c>
      <c r="U36" s="77">
        <f>IFERROR(__xludf.DUMMYFUNCTION("""COMPUTED_VALUE"""),0.0)</f>
        <v>0</v>
      </c>
      <c r="V36" s="77">
        <f>IFERROR(__xludf.DUMMYFUNCTION("""COMPUTED_VALUE"""),0.0)</f>
        <v>0</v>
      </c>
      <c r="W36" s="77">
        <f>IFERROR(__xludf.DUMMYFUNCTION("""COMPUTED_VALUE"""),0.0)</f>
        <v>0</v>
      </c>
    </row>
    <row r="37">
      <c r="A37" s="255" t="str">
        <f>IFERROR(__xludf.DUMMYFUNCTION("""COMPUTED_VALUE"""),"NANO")</f>
        <v>NANO</v>
      </c>
      <c r="B37" s="23" t="str">
        <f>IFERROR(__xludf.DUMMYFUNCTION("""COMPUTED_VALUE"""),"xyblabla2")</f>
        <v>xyblabla2</v>
      </c>
      <c r="C37" s="281" t="str">
        <f>IFERROR(__xludf.DUMMYFUNCTION("""COMPUTED_VALUE"""),"https://www.tiktok.com/@xyblabla2")</f>
        <v>https://www.tiktok.com/@xyblabla2</v>
      </c>
      <c r="D37" s="270">
        <f>IFERROR(__xludf.DUMMYFUNCTION("""COMPUTED_VALUE"""),8.2123879357E10)</f>
        <v>82123879357</v>
      </c>
      <c r="E37" s="362">
        <f>IFERROR(__xludf.DUMMYFUNCTION("""COMPUTED_VALUE"""),0.0)</f>
        <v>0</v>
      </c>
      <c r="F37" s="270">
        <f>IFERROR(__xludf.DUMMYFUNCTION("""COMPUTED_VALUE"""),2.0)</f>
        <v>2</v>
      </c>
      <c r="G37" s="17" t="str">
        <f>IFERROR(__xludf.DUMMYFUNCTION("""COMPUTED_VALUE"""),"Rp5,7JT")</f>
        <v>Rp5,7JT</v>
      </c>
      <c r="H37" s="355" t="str">
        <f>IFERROR(__xludf.DUMMYFUNCTION("""COMPUTED_VALUE"""),"Body Bleach")</f>
        <v>Body Bleach</v>
      </c>
      <c r="I37" s="356" t="str">
        <f>IFERROR(__xludf.DUMMYFUNCTION("""COMPUTED_VALUE"""),"Sampai")</f>
        <v>Sampai</v>
      </c>
      <c r="J37" s="357"/>
      <c r="K37" s="279" t="str">
        <f>IFERROR(__xludf.DUMMYFUNCTION("""COMPUTED_VALUE"""),"https://www.tiktok.com/@xyblabla2/video/7612452440276864276?_r=1&amp;_t=ZS-94NyQAZFcpg")</f>
        <v>https://www.tiktok.com/@xyblabla2/video/7612452440276864276?_r=1&amp;_t=ZS-94NyQAZFcpg</v>
      </c>
      <c r="L37" s="357"/>
      <c r="M37" s="279" t="str">
        <f>IFERROR(__xludf.DUMMYFUNCTION("""COMPUTED_VALUE"""),"https://www.tiktok.com/@xyblabla2/video/7613004755987729684?_r=1&amp;_t=ZS-94NyRuGv18e")</f>
        <v>https://www.tiktok.com/@xyblabla2/video/7613004755987729684?_r=1&amp;_t=ZS-94NyRuGv18e</v>
      </c>
      <c r="N37" s="357"/>
      <c r="O37" s="17"/>
      <c r="P37" s="357"/>
      <c r="Q37" s="17"/>
      <c r="R37" s="77"/>
      <c r="S37" s="77"/>
      <c r="T37" s="77">
        <f>IFERROR(__xludf.DUMMYFUNCTION("""COMPUTED_VALUE"""),0.0)</f>
        <v>0</v>
      </c>
      <c r="U37" s="77">
        <f>IFERROR(__xludf.DUMMYFUNCTION("""COMPUTED_VALUE"""),0.0)</f>
        <v>0</v>
      </c>
      <c r="V37" s="77">
        <f>IFERROR(__xludf.DUMMYFUNCTION("""COMPUTED_VALUE"""),2.231563432E7)</f>
        <v>22315634.32</v>
      </c>
      <c r="W37" s="77">
        <f>IFERROR(__xludf.DUMMYFUNCTION("""COMPUTED_VALUE"""),0.0)</f>
        <v>0</v>
      </c>
    </row>
    <row r="38">
      <c r="A38" s="255" t="str">
        <f>IFERROR(__xludf.DUMMYFUNCTION("""COMPUTED_VALUE"""),"NANO")</f>
        <v>NANO</v>
      </c>
      <c r="B38" s="23" t="str">
        <f>IFERROR(__xludf.DUMMYFUNCTION("""COMPUTED_VALUE"""),"itsyeeelllaaa")</f>
        <v>itsyeeelllaaa</v>
      </c>
      <c r="C38" s="281" t="str">
        <f>IFERROR(__xludf.DUMMYFUNCTION("""COMPUTED_VALUE"""),"https://www.tiktok.com/@itsyeeelllaaa")</f>
        <v>https://www.tiktok.com/@itsyeeelllaaa</v>
      </c>
      <c r="D38" s="270">
        <f>IFERROR(__xludf.DUMMYFUNCTION("""COMPUTED_VALUE"""),8.5764211754E10)</f>
        <v>85764211754</v>
      </c>
      <c r="E38" s="362">
        <f>IFERROR(__xludf.DUMMYFUNCTION("""COMPUTED_VALUE"""),0.0)</f>
        <v>0</v>
      </c>
      <c r="F38" s="270">
        <f>IFERROR(__xludf.DUMMYFUNCTION("""COMPUTED_VALUE"""),2.0)</f>
        <v>2</v>
      </c>
      <c r="G38" s="17" t="str">
        <f>IFERROR(__xludf.DUMMYFUNCTION("""COMPUTED_VALUE"""),"1jt")</f>
        <v>1jt</v>
      </c>
      <c r="H38" s="355" t="str">
        <f>IFERROR(__xludf.DUMMYFUNCTION("""COMPUTED_VALUE"""),"""Paket Skincare 1 (Toneup, Instaglow Cream, dan Essence""")</f>
        <v>"Paket Skincare 1 (Toneup, Instaglow Cream, dan Essence"</v>
      </c>
      <c r="I38" s="356" t="str">
        <f>IFERROR(__xludf.DUMMYFUNCTION("""COMPUTED_VALUE"""),"Sampai")</f>
        <v>Sampai</v>
      </c>
      <c r="J38" s="357"/>
      <c r="K38" s="279" t="str">
        <f>IFERROR(__xludf.DUMMYFUNCTION("""COMPUTED_VALUE"""),"https://www.tiktok.com/@itsyeeelllaaa/video/7612621544136707348?_r=1&amp;_t=ZS-94Qh5z1Thw1")</f>
        <v>https://www.tiktok.com/@itsyeeelllaaa/video/7612621544136707348?_r=1&amp;_t=ZS-94Qh5z1Thw1</v>
      </c>
      <c r="L38" s="357"/>
      <c r="M38" s="279" t="str">
        <f>IFERROR(__xludf.DUMMYFUNCTION("""COMPUTED_VALUE"""),"https://www.tiktok.com/@itsyeeelllaaa/video/7615535985983524116?_r=1&amp;_t=ZS-94ZLse9KmxM")</f>
        <v>https://www.tiktok.com/@itsyeeelllaaa/video/7615535985983524116?_r=1&amp;_t=ZS-94ZLse9KmxM</v>
      </c>
      <c r="N38" s="357"/>
      <c r="O38" s="279" t="str">
        <f>IFERROR(__xludf.DUMMYFUNCTION("""COMPUTED_VALUE"""),"https://www.tiktok.com/@itsyeeelllaaa/video/7615561496126295317?_r=1&amp;_t=ZS-94ZLtD3jhWz")</f>
        <v>https://www.tiktok.com/@itsyeeelllaaa/video/7615561496126295317?_r=1&amp;_t=ZS-94ZLtD3jhWz</v>
      </c>
      <c r="P38" s="357"/>
      <c r="Q38" s="17"/>
      <c r="R38" s="77"/>
      <c r="S38" s="77"/>
      <c r="T38" s="77">
        <f>IFERROR(__xludf.DUMMYFUNCTION("""COMPUTED_VALUE"""),0.0)</f>
        <v>0</v>
      </c>
      <c r="U38" s="77">
        <f>IFERROR(__xludf.DUMMYFUNCTION("""COMPUTED_VALUE"""),0.0)</f>
        <v>0</v>
      </c>
      <c r="V38" s="77">
        <f>IFERROR(__xludf.DUMMYFUNCTION("""COMPUTED_VALUE"""),0.0)</f>
        <v>0</v>
      </c>
      <c r="W38" s="77">
        <f>IFERROR(__xludf.DUMMYFUNCTION("""COMPUTED_VALUE"""),0.0)</f>
        <v>0</v>
      </c>
    </row>
    <row r="39">
      <c r="A39" s="255" t="str">
        <f>IFERROR(__xludf.DUMMYFUNCTION("""COMPUTED_VALUE"""),"NANO")</f>
        <v>NANO</v>
      </c>
      <c r="B39" s="23" t="str">
        <f>IFERROR(__xludf.DUMMYFUNCTION("""COMPUTED_VALUE"""),"naadeblue ")</f>
        <v>naadeblue </v>
      </c>
      <c r="C39" s="281" t="str">
        <f>IFERROR(__xludf.DUMMYFUNCTION("""COMPUTED_VALUE"""),"https://www.tiktok.com/@naadeblue ")</f>
        <v>https://www.tiktok.com/@naadeblue </v>
      </c>
      <c r="D39" s="270">
        <f>IFERROR(__xludf.DUMMYFUNCTION("""COMPUTED_VALUE"""),8.5747947988E10)</f>
        <v>85747947988</v>
      </c>
      <c r="E39" s="362">
        <f>IFERROR(__xludf.DUMMYFUNCTION("""COMPUTED_VALUE"""),0.0)</f>
        <v>0</v>
      </c>
      <c r="F39" s="270">
        <f>IFERROR(__xludf.DUMMYFUNCTION("""COMPUTED_VALUE"""),2.0)</f>
        <v>2</v>
      </c>
      <c r="G39" s="17" t="str">
        <f>IFERROR(__xludf.DUMMYFUNCTION("""COMPUTED_VALUE"""),"800k")</f>
        <v>800k</v>
      </c>
      <c r="H39" s="355" t="str">
        <f>IFERROR(__xludf.DUMMYFUNCTION("""COMPUTED_VALUE"""),"""Paket Skincare 1 (Toneup, Instaglow Cream, dan Essence""")</f>
        <v>"Paket Skincare 1 (Toneup, Instaglow Cream, dan Essence"</v>
      </c>
      <c r="I39" s="356" t="str">
        <f>IFERROR(__xludf.DUMMYFUNCTION("""COMPUTED_VALUE"""),"Sampai")</f>
        <v>Sampai</v>
      </c>
      <c r="J39" s="357"/>
      <c r="K39" s="279" t="str">
        <f>IFERROR(__xludf.DUMMYFUNCTION("""COMPUTED_VALUE"""),"https://www.tiktok.com/@naadeblue/video/7602281199331233044?_r=1&amp;_t=ZS-94GeBJXEdxl")</f>
        <v>https://www.tiktok.com/@naadeblue/video/7602281199331233044?_r=1&amp;_t=ZS-94GeBJXEdxl</v>
      </c>
      <c r="L39" s="357"/>
      <c r="M39" s="279" t="str">
        <f>IFERROR(__xludf.DUMMYFUNCTION("""COMPUTED_VALUE"""),"https://www.tiktok.com/@naadeblue/video/7604729511191563541?_r=1&amp;_t=ZS-94GeDpnwg5N")</f>
        <v>https://www.tiktok.com/@naadeblue/video/7604729511191563541?_r=1&amp;_t=ZS-94GeDpnwg5N</v>
      </c>
      <c r="N39" s="357"/>
      <c r="O39" s="17"/>
      <c r="P39" s="357"/>
      <c r="Q39" s="17"/>
      <c r="R39" s="77"/>
      <c r="S39" s="77"/>
      <c r="T39" s="77">
        <f>IFERROR(__xludf.DUMMYFUNCTION("""COMPUTED_VALUE"""),0.0)</f>
        <v>0</v>
      </c>
      <c r="U39" s="77">
        <f>IFERROR(__xludf.DUMMYFUNCTION("""COMPUTED_VALUE"""),0.0)</f>
        <v>0</v>
      </c>
      <c r="V39" s="77">
        <f>IFERROR(__xludf.DUMMYFUNCTION("""COMPUTED_VALUE"""),1.71995836E7)</f>
        <v>17199583.6</v>
      </c>
      <c r="W39" s="77">
        <f>IFERROR(__xludf.DUMMYFUNCTION("""COMPUTED_VALUE"""),0.0)</f>
        <v>0</v>
      </c>
    </row>
    <row r="40">
      <c r="A40" s="255" t="str">
        <f>IFERROR(__xludf.DUMMYFUNCTION("""COMPUTED_VALUE"""),"MICRO")</f>
        <v>MICRO</v>
      </c>
      <c r="B40" s="23" t="str">
        <f>IFERROR(__xludf.DUMMYFUNCTION("""COMPUTED_VALUE"""),"amdwt_")</f>
        <v>amdwt_</v>
      </c>
      <c r="C40" s="281" t="str">
        <f>IFERROR(__xludf.DUMMYFUNCTION("""COMPUTED_VALUE"""),"https://www.tiktok.com/@amdwt_")</f>
        <v>https://www.tiktok.com/@amdwt_</v>
      </c>
      <c r="D40" s="270">
        <f>IFERROR(__xludf.DUMMYFUNCTION("""COMPUTED_VALUE"""),8.970126119E9)</f>
        <v>8970126119</v>
      </c>
      <c r="E40" s="362">
        <f>IFERROR(__xludf.DUMMYFUNCTION("""COMPUTED_VALUE"""),0.0)</f>
        <v>0</v>
      </c>
      <c r="F40" s="270">
        <f>IFERROR(__xludf.DUMMYFUNCTION("""COMPUTED_VALUE"""),2.0)</f>
        <v>2</v>
      </c>
      <c r="G40" s="17" t="str">
        <f>IFERROR(__xludf.DUMMYFUNCTION("""COMPUTED_VALUE"""),"196jt")</f>
        <v>196jt</v>
      </c>
      <c r="H40" s="355" t="str">
        <f>IFERROR(__xludf.DUMMYFUNCTION("""COMPUTED_VALUE"""),"Body Bleach")</f>
        <v>Body Bleach</v>
      </c>
      <c r="I40" s="356" t="str">
        <f>IFERROR(__xludf.DUMMYFUNCTION("""COMPUTED_VALUE"""),"Sampai")</f>
        <v>Sampai</v>
      </c>
      <c r="J40" s="357"/>
      <c r="K40" s="279" t="str">
        <f>IFERROR(__xludf.DUMMYFUNCTION("""COMPUTED_VALUE"""),"https://vt.tiktok.com/ZSu4rkohR/")</f>
        <v>https://vt.tiktok.com/ZSu4rkohR/</v>
      </c>
      <c r="L40" s="357"/>
      <c r="M40" s="279" t="str">
        <f>IFERROR(__xludf.DUMMYFUNCTION("""COMPUTED_VALUE"""),"https://vt.tiktok.com/ZSu4rkK5K/")</f>
        <v>https://vt.tiktok.com/ZSu4rkK5K/</v>
      </c>
      <c r="N40" s="357"/>
      <c r="O40" s="279" t="str">
        <f>IFERROR(__xludf.DUMMYFUNCTION("""COMPUTED_VALUE"""),"https://vt.tiktok.com/ZSu4r5P8M/")</f>
        <v>https://vt.tiktok.com/ZSu4r5P8M/</v>
      </c>
      <c r="P40" s="357"/>
      <c r="Q40" s="279" t="str">
        <f>IFERROR(__xludf.DUMMYFUNCTION("""COMPUTED_VALUE"""),"https://vt.tiktok.com/ZSu4rP517/")</f>
        <v>https://vt.tiktok.com/ZSu4rP517/</v>
      </c>
      <c r="R40" s="77"/>
      <c r="S40" s="77"/>
      <c r="T40" s="77"/>
      <c r="U40" s="77"/>
      <c r="V40" s="77"/>
      <c r="W40" s="77"/>
    </row>
    <row r="41">
      <c r="A41" s="255" t="str">
        <f>IFERROR(__xludf.DUMMYFUNCTION("""COMPUTED_VALUE"""),"NANO")</f>
        <v>NANO</v>
      </c>
      <c r="B41" s="23" t="str">
        <f>IFERROR(__xludf.DUMMYFUNCTION("""COMPUTED_VALUE"""),"nurridn___")</f>
        <v>nurridn___</v>
      </c>
      <c r="C41" s="281" t="str">
        <f>IFERROR(__xludf.DUMMYFUNCTION("""COMPUTED_VALUE"""),"https://www.tiktok.com/@nurridn___")</f>
        <v>https://www.tiktok.com/@nurridn___</v>
      </c>
      <c r="D41" s="270">
        <f>IFERROR(__xludf.DUMMYFUNCTION("""COMPUTED_VALUE"""),8.8971786784E10)</f>
        <v>88971786784</v>
      </c>
      <c r="E41" s="362">
        <f>IFERROR(__xludf.DUMMYFUNCTION("""COMPUTED_VALUE"""),0.0)</f>
        <v>0</v>
      </c>
      <c r="F41" s="270">
        <f>IFERROR(__xludf.DUMMYFUNCTION("""COMPUTED_VALUE"""),1.0)</f>
        <v>1</v>
      </c>
      <c r="G41" s="17" t="str">
        <f>IFERROR(__xludf.DUMMYFUNCTION("""COMPUTED_VALUE"""),"981k")</f>
        <v>981k</v>
      </c>
      <c r="H41" s="355" t="str">
        <f>IFERROR(__xludf.DUMMYFUNCTION("""COMPUTED_VALUE"""),"Body Bleach")</f>
        <v>Body Bleach</v>
      </c>
      <c r="I41" s="356" t="str">
        <f>IFERROR(__xludf.DUMMYFUNCTION("""COMPUTED_VALUE"""),"Sampai")</f>
        <v>Sampai</v>
      </c>
      <c r="J41" s="357"/>
      <c r="K41" s="279" t="str">
        <f>IFERROR(__xludf.DUMMYFUNCTION("""COMPUTED_VALUE"""),"https://www.tiktok.com/@nurridn___/video/7611073358695812372?_r=1&amp;_t=ZS-94EnUzefcG4")</f>
        <v>https://www.tiktok.com/@nurridn___/video/7611073358695812372?_r=1&amp;_t=ZS-94EnUzefcG4</v>
      </c>
      <c r="L41" s="357"/>
      <c r="M41" s="17"/>
      <c r="N41" s="357"/>
      <c r="O41" s="17"/>
      <c r="P41" s="357"/>
      <c r="Q41" s="17"/>
      <c r="R41" s="77"/>
      <c r="S41" s="77"/>
      <c r="T41" s="77">
        <f>IFERROR(__xludf.DUMMYFUNCTION("""COMPUTED_VALUE"""),0.0)</f>
        <v>0</v>
      </c>
      <c r="U41" s="77">
        <f>IFERROR(__xludf.DUMMYFUNCTION("""COMPUTED_VALUE"""),0.0)</f>
        <v>0</v>
      </c>
      <c r="V41" s="77">
        <f>IFERROR(__xludf.DUMMYFUNCTION("""COMPUTED_VALUE"""),0.0)</f>
        <v>0</v>
      </c>
      <c r="W41" s="77">
        <f>IFERROR(__xludf.DUMMYFUNCTION("""COMPUTED_VALUE"""),0.0)</f>
        <v>0</v>
      </c>
    </row>
    <row r="42">
      <c r="A42" s="255" t="str">
        <f>IFERROR(__xludf.DUMMYFUNCTION("""COMPUTED_VALUE"""),"NANO")</f>
        <v>NANO</v>
      </c>
      <c r="B42" s="23" t="str">
        <f>IFERROR(__xludf.DUMMYFUNCTION("""COMPUTED_VALUE"""),"rfitriaaanii")</f>
        <v>rfitriaaanii</v>
      </c>
      <c r="C42" s="281" t="str">
        <f>IFERROR(__xludf.DUMMYFUNCTION("""COMPUTED_VALUE"""),"https://www.tiktok.com/@rfitriaaanii")</f>
        <v>https://www.tiktok.com/@rfitriaaanii</v>
      </c>
      <c r="D42" s="270">
        <f>IFERROR(__xludf.DUMMYFUNCTION("""COMPUTED_VALUE"""),8.9671481723E10)</f>
        <v>89671481723</v>
      </c>
      <c r="E42" s="362">
        <f>IFERROR(__xludf.DUMMYFUNCTION("""COMPUTED_VALUE"""),0.0)</f>
        <v>0</v>
      </c>
      <c r="F42" s="270">
        <f>IFERROR(__xludf.DUMMYFUNCTION("""COMPUTED_VALUE"""),2.0)</f>
        <v>2</v>
      </c>
      <c r="G42" s="17" t="str">
        <f>IFERROR(__xludf.DUMMYFUNCTION("""COMPUTED_VALUE"""),"2.33jt")</f>
        <v>2.33jt</v>
      </c>
      <c r="H42" s="355" t="str">
        <f>IFERROR(__xludf.DUMMYFUNCTION("""COMPUTED_VALUE"""),"""Paket skincare 3 (Fw brightening, toneup, instaglow cream)""")</f>
        <v>"Paket skincare 3 (Fw brightening, toneup, instaglow cream)"</v>
      </c>
      <c r="I42" s="356" t="str">
        <f>IFERROR(__xludf.DUMMYFUNCTION("""COMPUTED_VALUE"""),"Sampai")</f>
        <v>Sampai</v>
      </c>
      <c r="J42" s="357"/>
      <c r="K42" s="279" t="str">
        <f>IFERROR(__xludf.DUMMYFUNCTION("""COMPUTED_VALUE"""),"https://vt.tiktok.com/ZSmosx59K/")</f>
        <v>https://vt.tiktok.com/ZSmosx59K/</v>
      </c>
      <c r="L42" s="357"/>
      <c r="M42" s="279" t="str">
        <f>IFERROR(__xludf.DUMMYFUNCTION("""COMPUTED_VALUE"""),"https://vt.tiktok.com/ZSukVqAUH/")</f>
        <v>https://vt.tiktok.com/ZSukVqAUH/</v>
      </c>
      <c r="N42" s="357"/>
      <c r="O42" s="17"/>
      <c r="P42" s="357"/>
      <c r="Q42" s="17"/>
      <c r="R42" s="77"/>
      <c r="S42" s="77"/>
      <c r="T42" s="77">
        <f>IFERROR(__xludf.DUMMYFUNCTION("""COMPUTED_VALUE"""),0.0)</f>
        <v>0</v>
      </c>
      <c r="U42" s="77">
        <f>IFERROR(__xludf.DUMMYFUNCTION("""COMPUTED_VALUE"""),0.0)</f>
        <v>0</v>
      </c>
      <c r="V42" s="77">
        <f>IFERROR(__xludf.DUMMYFUNCTION("""COMPUTED_VALUE"""),2.023131736E7)</f>
        <v>20231317.36</v>
      </c>
      <c r="W42" s="77">
        <f>IFERROR(__xludf.DUMMYFUNCTION("""COMPUTED_VALUE"""),0.0)</f>
        <v>0</v>
      </c>
    </row>
    <row r="43">
      <c r="A43" s="255" t="str">
        <f>IFERROR(__xludf.DUMMYFUNCTION("""COMPUTED_VALUE"""),"NANO")</f>
        <v>NANO</v>
      </c>
      <c r="B43" s="23" t="str">
        <f>IFERROR(__xludf.DUMMYFUNCTION("""COMPUTED_VALUE"""),"ismifadhilah29")</f>
        <v>ismifadhilah29</v>
      </c>
      <c r="C43" s="281" t="str">
        <f>IFERROR(__xludf.DUMMYFUNCTION("""COMPUTED_VALUE"""),"https://www.tiktok.com/@ismifadhilah29")</f>
        <v>https://www.tiktok.com/@ismifadhilah29</v>
      </c>
      <c r="D43" s="270">
        <f>IFERROR(__xludf.DUMMYFUNCTION("""COMPUTED_VALUE"""),8.5124617903E10)</f>
        <v>85124617903</v>
      </c>
      <c r="E43" s="362">
        <f>IFERROR(__xludf.DUMMYFUNCTION("""COMPUTED_VALUE"""),0.0)</f>
        <v>0</v>
      </c>
      <c r="F43" s="270">
        <f>IFERROR(__xludf.DUMMYFUNCTION("""COMPUTED_VALUE"""),2.0)</f>
        <v>2</v>
      </c>
      <c r="G43" s="17" t="str">
        <f>IFERROR(__xludf.DUMMYFUNCTION("""COMPUTED_VALUE"""),"1,11jt")</f>
        <v>1,11jt</v>
      </c>
      <c r="H43" s="355" t="str">
        <f>IFERROR(__xludf.DUMMYFUNCTION("""COMPUTED_VALUE"""),"Body Bleach")</f>
        <v>Body Bleach</v>
      </c>
      <c r="I43" s="356" t="str">
        <f>IFERROR(__xludf.DUMMYFUNCTION("""COMPUTED_VALUE"""),"Sampai")</f>
        <v>Sampai</v>
      </c>
      <c r="J43" s="357"/>
      <c r="K43" s="279" t="str">
        <f>IFERROR(__xludf.DUMMYFUNCTION("""COMPUTED_VALUE"""),"https://www.tiktok.com/@ismifadhilah29/video/7616635810086915349?_r=1&amp;_t=ZS-94eI5yGoVIA")</f>
        <v>https://www.tiktok.com/@ismifadhilah29/video/7616635810086915349?_r=1&amp;_t=ZS-94eI5yGoVIA</v>
      </c>
      <c r="L43" s="357"/>
      <c r="M43" s="279" t="str">
        <f>IFERROR(__xludf.DUMMYFUNCTION("""COMPUTED_VALUE"""),"https://www.tiktok.com/@ismifadhilah29/video/7623743321889901845?_r=1&amp;_t=ZS-95ApY5ydrQD")</f>
        <v>https://www.tiktok.com/@ismifadhilah29/video/7623743321889901845?_r=1&amp;_t=ZS-95ApY5ydrQD</v>
      </c>
      <c r="N43" s="357"/>
      <c r="O43" s="17"/>
      <c r="P43" s="357"/>
      <c r="Q43" s="17"/>
      <c r="R43" s="77"/>
      <c r="S43" s="77"/>
      <c r="T43" s="77">
        <f>IFERROR(__xludf.DUMMYFUNCTION("""COMPUTED_VALUE"""),0.0)</f>
        <v>0</v>
      </c>
      <c r="U43" s="77">
        <f>IFERROR(__xludf.DUMMYFUNCTION("""COMPUTED_VALUE"""),0.0)</f>
        <v>0</v>
      </c>
      <c r="V43" s="77">
        <f>IFERROR(__xludf.DUMMYFUNCTION("""COMPUTED_VALUE"""),0.0)</f>
        <v>0</v>
      </c>
      <c r="W43" s="77">
        <f>IFERROR(__xludf.DUMMYFUNCTION("""COMPUTED_VALUE"""),0.0)</f>
        <v>0</v>
      </c>
    </row>
    <row r="44">
      <c r="A44" s="255" t="str">
        <f>IFERROR(__xludf.DUMMYFUNCTION("""COMPUTED_VALUE"""),"NANO")</f>
        <v>NANO</v>
      </c>
      <c r="B44" s="23" t="str">
        <f>IFERROR(__xludf.DUMMYFUNCTION("""COMPUTED_VALUE"""),"tentangapiy")</f>
        <v>tentangapiy</v>
      </c>
      <c r="C44" s="281" t="str">
        <f>IFERROR(__xludf.DUMMYFUNCTION("""COMPUTED_VALUE"""),"https://www.tiktok.com/@tentangapiy")</f>
        <v>https://www.tiktok.com/@tentangapiy</v>
      </c>
      <c r="D44" s="270">
        <f>IFERROR(__xludf.DUMMYFUNCTION("""COMPUTED_VALUE"""),8.9517941472E10)</f>
        <v>89517941472</v>
      </c>
      <c r="E44" s="362">
        <f>IFERROR(__xludf.DUMMYFUNCTION("""COMPUTED_VALUE"""),0.0)</f>
        <v>0</v>
      </c>
      <c r="F44" s="270">
        <f>IFERROR(__xludf.DUMMYFUNCTION("""COMPUTED_VALUE"""),2.0)</f>
        <v>2</v>
      </c>
      <c r="G44" s="17" t="str">
        <f>IFERROR(__xludf.DUMMYFUNCTION("""COMPUTED_VALUE"""),"1jt")</f>
        <v>1jt</v>
      </c>
      <c r="H44" s="355" t="str">
        <f>IFERROR(__xludf.DUMMYFUNCTION("""COMPUTED_VALUE"""),"Body Bleach")</f>
        <v>Body Bleach</v>
      </c>
      <c r="I44" s="356" t="str">
        <f>IFERROR(__xludf.DUMMYFUNCTION("""COMPUTED_VALUE"""),"Sampai")</f>
        <v>Sampai</v>
      </c>
      <c r="J44" s="357"/>
      <c r="K44" s="279" t="str">
        <f>IFERROR(__xludf.DUMMYFUNCTION("""COMPUTED_VALUE"""),"https://www.tiktok.com/@tentangapiy/video/7622599138923924744?_r=1&amp;_t=ZS-956zgIr0JNP")</f>
        <v>https://www.tiktok.com/@tentangapiy/video/7622599138923924744?_r=1&amp;_t=ZS-956zgIr0JNP</v>
      </c>
      <c r="L44" s="357"/>
      <c r="M44" s="279" t="str">
        <f>IFERROR(__xludf.DUMMYFUNCTION("""COMPUTED_VALUE"""),"https://www.tiktok.com/@tentangapiy/video/7622744228048735496?_r=1&amp;_t=ZS-956zjtMq09v")</f>
        <v>https://www.tiktok.com/@tentangapiy/video/7622744228048735496?_r=1&amp;_t=ZS-956zjtMq09v</v>
      </c>
      <c r="N44" s="357"/>
      <c r="O44" s="17"/>
      <c r="P44" s="357"/>
      <c r="Q44" s="17"/>
      <c r="R44" s="63"/>
      <c r="S44" s="63"/>
      <c r="T44" s="63">
        <f>IFERROR(__xludf.DUMMYFUNCTION("""COMPUTED_VALUE"""),0.0)</f>
        <v>0</v>
      </c>
      <c r="U44" s="63">
        <f>IFERROR(__xludf.DUMMYFUNCTION("""COMPUTED_VALUE"""),0.0)</f>
        <v>0</v>
      </c>
      <c r="V44" s="63">
        <f>IFERROR(__xludf.DUMMYFUNCTION("""COMPUTED_VALUE"""),0.0)</f>
        <v>0</v>
      </c>
      <c r="W44" s="63">
        <f>IFERROR(__xludf.DUMMYFUNCTION("""COMPUTED_VALUE"""),0.0)</f>
        <v>0</v>
      </c>
    </row>
    <row r="45">
      <c r="A45" s="255" t="str">
        <f>IFERROR(__xludf.DUMMYFUNCTION("""COMPUTED_VALUE"""),"NANO")</f>
        <v>NANO</v>
      </c>
      <c r="B45" s="23" t="str">
        <f>IFERROR(__xludf.DUMMYFUNCTION("""COMPUTED_VALUE"""),"tamiputriars")</f>
        <v>tamiputriars</v>
      </c>
      <c r="C45" s="281" t="str">
        <f>IFERROR(__xludf.DUMMYFUNCTION("""COMPUTED_VALUE"""),"https://www.tiktok.com/@tamiputriars")</f>
        <v>https://www.tiktok.com/@tamiputriars</v>
      </c>
      <c r="D45" s="270">
        <f>IFERROR(__xludf.DUMMYFUNCTION("""COMPUTED_VALUE"""),8.5882148134E10)</f>
        <v>85882148134</v>
      </c>
      <c r="E45" s="362">
        <f>IFERROR(__xludf.DUMMYFUNCTION("""COMPUTED_VALUE"""),0.0)</f>
        <v>0</v>
      </c>
      <c r="F45" s="270">
        <f>IFERROR(__xludf.DUMMYFUNCTION("""COMPUTED_VALUE"""),4.0)</f>
        <v>4</v>
      </c>
      <c r="G45" s="363" t="str">
        <f>IFERROR(__xludf.DUMMYFUNCTION("""COMPUTED_VALUE"""),"900k")</f>
        <v>900k</v>
      </c>
      <c r="H45" s="355" t="str">
        <f>IFERROR(__xludf.DUMMYFUNCTION("""COMPUTED_VALUE"""),"""Paket skincare 3 (Fw brightening, toneup, instaglow cream)""")</f>
        <v>"Paket skincare 3 (Fw brightening, toneup, instaglow cream)"</v>
      </c>
      <c r="I45" s="356" t="str">
        <f>IFERROR(__xludf.DUMMYFUNCTION("""COMPUTED_VALUE"""),"Sampai")</f>
        <v>Sampai</v>
      </c>
      <c r="J45" s="357"/>
      <c r="K45" s="279" t="str">
        <f>IFERROR(__xludf.DUMMYFUNCTION("""COMPUTED_VALUE"""),"https://www.tiktok.com/@tamiputriars/video/7617750921312881927?_r=1&amp;_t=ZS-9579uGwjlq6")</f>
        <v>https://www.tiktok.com/@tamiputriars/video/7617750921312881927?_r=1&amp;_t=ZS-9579uGwjlq6</v>
      </c>
      <c r="L45" s="357"/>
      <c r="M45" s="279" t="str">
        <f>IFERROR(__xludf.DUMMYFUNCTION("""COMPUTED_VALUE"""),"https://www.tiktok.com/@tamiputriars/video/7618093094486969618?_r=1&amp;_t=ZS-9579zn9Iv2I")</f>
        <v>https://www.tiktok.com/@tamiputriars/video/7618093094486969618?_r=1&amp;_t=ZS-9579zn9Iv2I</v>
      </c>
      <c r="N45" s="357"/>
      <c r="O45" s="279" t="str">
        <f>IFERROR(__xludf.DUMMYFUNCTION("""COMPUTED_VALUE"""),"https://www.tiktok.com/@tamiputriars/video/7622169444797795602?_r=1&amp;_t=ZS-957A6yNNQOY")</f>
        <v>https://www.tiktok.com/@tamiputriars/video/7622169444797795602?_r=1&amp;_t=ZS-957A6yNNQOY</v>
      </c>
      <c r="P45" s="357"/>
      <c r="Q45" s="17"/>
      <c r="R45" s="63"/>
      <c r="S45" s="63"/>
      <c r="T45" s="63">
        <f>IFERROR(__xludf.DUMMYFUNCTION("""COMPUTED_VALUE"""),0.0)</f>
        <v>0</v>
      </c>
      <c r="U45" s="63">
        <f>IFERROR(__xludf.DUMMYFUNCTION("""COMPUTED_VALUE"""),0.0)</f>
        <v>0</v>
      </c>
      <c r="V45" s="63">
        <f>IFERROR(__xludf.DUMMYFUNCTION("""COMPUTED_VALUE"""),0.0)</f>
        <v>0</v>
      </c>
      <c r="W45" s="63">
        <f>IFERROR(__xludf.DUMMYFUNCTION("""COMPUTED_VALUE"""),0.0)</f>
        <v>0</v>
      </c>
    </row>
    <row r="46">
      <c r="A46" s="255" t="str">
        <f>IFERROR(__xludf.DUMMYFUNCTION("""COMPUTED_VALUE"""),"NANO")</f>
        <v>NANO</v>
      </c>
      <c r="B46" s="257" t="str">
        <f>IFERROR(__xludf.DUMMYFUNCTION("""COMPUTED_VALUE"""),"arfatus.sh")</f>
        <v>arfatus.sh</v>
      </c>
      <c r="C46" s="281" t="str">
        <f>IFERROR(__xludf.DUMMYFUNCTION("""COMPUTED_VALUE"""),"https://www.tiktok.com/@arfatus.sh")</f>
        <v>https://www.tiktok.com/@arfatus.sh</v>
      </c>
      <c r="D46" s="270">
        <f>IFERROR(__xludf.DUMMYFUNCTION("""COMPUTED_VALUE"""),8.1271828887E10)</f>
        <v>81271828887</v>
      </c>
      <c r="E46" s="362">
        <f>IFERROR(__xludf.DUMMYFUNCTION("""COMPUTED_VALUE"""),0.0)</f>
        <v>0</v>
      </c>
      <c r="F46" s="270">
        <f>IFERROR(__xludf.DUMMYFUNCTION("""COMPUTED_VALUE"""),1.0)</f>
        <v>1</v>
      </c>
      <c r="G46" s="17" t="str">
        <f>IFERROR(__xludf.DUMMYFUNCTION("""COMPUTED_VALUE"""),"545k")</f>
        <v>545k</v>
      </c>
      <c r="H46" s="355" t="str">
        <f>IFERROR(__xludf.DUMMYFUNCTION("""COMPUTED_VALUE"""),"Body Bleach")</f>
        <v>Body Bleach</v>
      </c>
      <c r="I46" s="356" t="str">
        <f>IFERROR(__xludf.DUMMYFUNCTION("""COMPUTED_VALUE"""),"Sampai")</f>
        <v>Sampai</v>
      </c>
      <c r="J46" s="357"/>
      <c r="K46" s="279" t="str">
        <f>IFERROR(__xludf.DUMMYFUNCTION("""COMPUTED_VALUE"""),"https://vt.tiktok.com/ZSHLJadwp/")</f>
        <v>https://vt.tiktok.com/ZSHLJadwp/</v>
      </c>
      <c r="L46" s="357"/>
      <c r="M46" s="17"/>
      <c r="N46" s="357"/>
      <c r="O46" s="17"/>
      <c r="P46" s="357"/>
      <c r="Q46" s="17"/>
      <c r="R46" s="63"/>
      <c r="S46" s="63"/>
      <c r="T46" s="63">
        <f>IFERROR(__xludf.DUMMYFUNCTION("""COMPUTED_VALUE"""),0.0)</f>
        <v>0</v>
      </c>
      <c r="U46" s="63">
        <f>IFERROR(__xludf.DUMMYFUNCTION("""COMPUTED_VALUE"""),0.0)</f>
        <v>0</v>
      </c>
      <c r="V46" s="63">
        <f>IFERROR(__xludf.DUMMYFUNCTION("""COMPUTED_VALUE"""),0.0)</f>
        <v>0</v>
      </c>
      <c r="W46" s="63">
        <f>IFERROR(__xludf.DUMMYFUNCTION("""COMPUTED_VALUE"""),0.0)</f>
        <v>0</v>
      </c>
    </row>
    <row r="47">
      <c r="A47" s="255" t="str">
        <f>IFERROR(__xludf.DUMMYFUNCTION("""COMPUTED_VALUE"""),"NANO")</f>
        <v>NANO</v>
      </c>
      <c r="B47" s="23" t="str">
        <f>IFERROR(__xludf.DUMMYFUNCTION("""COMPUTED_VALUE"""),"_ikaawdwnty")</f>
        <v>_ikaawdwnty</v>
      </c>
      <c r="C47" s="281" t="str">
        <f>IFERROR(__xludf.DUMMYFUNCTION("""COMPUTED_VALUE"""),"https://www.tiktok.com/@_ikaawdwnty")</f>
        <v>https://www.tiktok.com/@_ikaawdwnty</v>
      </c>
      <c r="D47" s="270">
        <f>IFERROR(__xludf.DUMMYFUNCTION("""COMPUTED_VALUE"""),8.5727795289E10)</f>
        <v>85727795289</v>
      </c>
      <c r="E47" s="362">
        <f>IFERROR(__xludf.DUMMYFUNCTION("""COMPUTED_VALUE"""),0.0)</f>
        <v>0</v>
      </c>
      <c r="F47" s="270">
        <f>IFERROR(__xludf.DUMMYFUNCTION("""COMPUTED_VALUE"""),2.0)</f>
        <v>2</v>
      </c>
      <c r="G47" s="17" t="str">
        <f>IFERROR(__xludf.DUMMYFUNCTION("""COMPUTED_VALUE"""),"4,46jt")</f>
        <v>4,46jt</v>
      </c>
      <c r="H47" s="355" t="str">
        <f>IFERROR(__xludf.DUMMYFUNCTION("""COMPUTED_VALUE"""),"Body Bleach")</f>
        <v>Body Bleach</v>
      </c>
      <c r="I47" s="356" t="str">
        <f>IFERROR(__xludf.DUMMYFUNCTION("""COMPUTED_VALUE"""),"Sampai")</f>
        <v>Sampai</v>
      </c>
      <c r="J47" s="357"/>
      <c r="K47" s="279" t="str">
        <f>IFERROR(__xludf.DUMMYFUNCTION("""COMPUTED_VALUE"""),"https://vt.tiktok.com/ZSuHjvH9N/")</f>
        <v>https://vt.tiktok.com/ZSuHjvH9N/</v>
      </c>
      <c r="L47" s="357"/>
      <c r="M47" s="279" t="str">
        <f>IFERROR(__xludf.DUMMYFUNCTION("""COMPUTED_VALUE"""),"https://vt.tiktok.com/ZSH2pDKVP/")</f>
        <v>https://vt.tiktok.com/ZSH2pDKVP/</v>
      </c>
      <c r="N47" s="357"/>
      <c r="O47" s="17"/>
      <c r="P47" s="357"/>
      <c r="Q47" s="17"/>
      <c r="R47" s="63"/>
      <c r="S47" s="63"/>
      <c r="T47" s="63">
        <f>IFERROR(__xludf.DUMMYFUNCTION("""COMPUTED_VALUE"""),0.0)</f>
        <v>0</v>
      </c>
      <c r="U47" s="63">
        <f>IFERROR(__xludf.DUMMYFUNCTION("""COMPUTED_VALUE"""),0.0)</f>
        <v>0</v>
      </c>
      <c r="V47" s="63">
        <f>IFERROR(__xludf.DUMMYFUNCTION("""COMPUTED_VALUE"""),0.0)</f>
        <v>0</v>
      </c>
      <c r="W47" s="63">
        <f>IFERROR(__xludf.DUMMYFUNCTION("""COMPUTED_VALUE"""),0.0)</f>
        <v>0</v>
      </c>
    </row>
    <row r="48">
      <c r="A48" s="255" t="str">
        <f>IFERROR(__xludf.DUMMYFUNCTION("""COMPUTED_VALUE"""),"NANO")</f>
        <v>NANO</v>
      </c>
      <c r="B48" s="23" t="str">
        <f>IFERROR(__xludf.DUMMYFUNCTION("""COMPUTED_VALUE"""),"hi_jaenaa")</f>
        <v>hi_jaenaa</v>
      </c>
      <c r="C48" s="281" t="str">
        <f>IFERROR(__xludf.DUMMYFUNCTION("""COMPUTED_VALUE"""),"https://www.tiktok.com/@hi_jaenaa")</f>
        <v>https://www.tiktok.com/@hi_jaenaa</v>
      </c>
      <c r="D48" s="270">
        <f>IFERROR(__xludf.DUMMYFUNCTION("""COMPUTED_VALUE"""),8.82006643919E11)</f>
        <v>882006643919</v>
      </c>
      <c r="E48" s="362">
        <f>IFERROR(__xludf.DUMMYFUNCTION("""COMPUTED_VALUE"""),0.0)</f>
        <v>0</v>
      </c>
      <c r="F48" s="270">
        <f>IFERROR(__xludf.DUMMYFUNCTION("""COMPUTED_VALUE"""),3.0)</f>
        <v>3</v>
      </c>
      <c r="G48" s="17" t="str">
        <f>IFERROR(__xludf.DUMMYFUNCTION("""COMPUTED_VALUE"""),"1jt")</f>
        <v>1jt</v>
      </c>
      <c r="H48" s="355" t="str">
        <f>IFERROR(__xludf.DUMMYFUNCTION("""COMPUTED_VALUE"""),"""Paket Skincare 2 (Fw low ph, acne spot, dan instaglow cream)""")</f>
        <v>"Paket Skincare 2 (Fw low ph, acne spot, dan instaglow cream)"</v>
      </c>
      <c r="I48" s="356" t="str">
        <f>IFERROR(__xludf.DUMMYFUNCTION("""COMPUTED_VALUE"""),"Sampai")</f>
        <v>Sampai</v>
      </c>
      <c r="J48" s="357"/>
      <c r="K48" s="279" t="str">
        <f>IFERROR(__xludf.DUMMYFUNCTION("""COMPUTED_VALUE"""),"https://www.tiktok.com/@hi_jaenaa/video/7621566677863435538?_r=1&amp;_t=ZS-956oYT9ZsKA")</f>
        <v>https://www.tiktok.com/@hi_jaenaa/video/7621566677863435538?_r=1&amp;_t=ZS-956oYT9ZsKA</v>
      </c>
      <c r="L48" s="357"/>
      <c r="M48" s="279" t="str">
        <f>IFERROR(__xludf.DUMMYFUNCTION("""COMPUTED_VALUE"""),"https://vt.tiktok.com/ZSHHPhfKv/")</f>
        <v>https://vt.tiktok.com/ZSHHPhfKv/</v>
      </c>
      <c r="N48" s="357"/>
      <c r="O48" s="279" t="str">
        <f>IFERROR(__xludf.DUMMYFUNCTION("""COMPUTED_VALUE"""),"https://vt.tiktok.com/ZS9YCkFpQ/")</f>
        <v>https://vt.tiktok.com/ZS9YCkFpQ/</v>
      </c>
      <c r="P48" s="357"/>
      <c r="Q48" s="17"/>
      <c r="R48" s="63"/>
      <c r="S48" s="63"/>
      <c r="T48" s="63">
        <f>IFERROR(__xludf.DUMMYFUNCTION("""COMPUTED_VALUE"""),91210.0)</f>
        <v>91210</v>
      </c>
      <c r="U48" s="63">
        <f>IFERROR(__xludf.DUMMYFUNCTION("""COMPUTED_VALUE"""),0.0)</f>
        <v>0</v>
      </c>
      <c r="V48" s="63">
        <f>IFERROR(__xludf.DUMMYFUNCTION("""COMPUTED_VALUE"""),0.0)</f>
        <v>0</v>
      </c>
      <c r="W48" s="63">
        <f>IFERROR(__xludf.DUMMYFUNCTION("""COMPUTED_VALUE"""),0.0)</f>
        <v>0</v>
      </c>
    </row>
    <row r="49">
      <c r="A49" s="255" t="str">
        <f>IFERROR(__xludf.DUMMYFUNCTION("""COMPUTED_VALUE"""),"MICRO")</f>
        <v>MICRO</v>
      </c>
      <c r="B49" s="23" t="str">
        <f>IFERROR(__xludf.DUMMYFUNCTION("""COMPUTED_VALUE"""),"focusonmeehh")</f>
        <v>focusonmeehh</v>
      </c>
      <c r="C49" s="281" t="str">
        <f>IFERROR(__xludf.DUMMYFUNCTION("""COMPUTED_VALUE"""),"https://www.tiktok.com/@focusonmeehh")</f>
        <v>https://www.tiktok.com/@focusonmeehh</v>
      </c>
      <c r="D49" s="270">
        <f>IFERROR(__xludf.DUMMYFUNCTION("""COMPUTED_VALUE"""),8.1278546432E10)</f>
        <v>81278546432</v>
      </c>
      <c r="E49" s="362">
        <f>IFERROR(__xludf.DUMMYFUNCTION("""COMPUTED_VALUE"""),0.0)</f>
        <v>0</v>
      </c>
      <c r="F49" s="270">
        <f>IFERROR(__xludf.DUMMYFUNCTION("""COMPUTED_VALUE"""),1.0)</f>
        <v>1</v>
      </c>
      <c r="G49" s="17" t="str">
        <f>IFERROR(__xludf.DUMMYFUNCTION("""COMPUTED_VALUE"""),"9jt")</f>
        <v>9jt</v>
      </c>
      <c r="H49" s="355" t="str">
        <f>IFERROR(__xludf.DUMMYFUNCTION("""COMPUTED_VALUE"""),"Body Bleach")</f>
        <v>Body Bleach</v>
      </c>
      <c r="I49" s="356" t="str">
        <f>IFERROR(__xludf.DUMMYFUNCTION("""COMPUTED_VALUE"""),"Sampai")</f>
        <v>Sampai</v>
      </c>
      <c r="J49" s="357"/>
      <c r="K49" s="279" t="str">
        <f>IFERROR(__xludf.DUMMYFUNCTION("""COMPUTED_VALUE"""),"https://www.tiktok.com/@focusonmeehh/video/7617112417423609108?_r=1&amp;_t=ZS-94gSO5TX8ia")</f>
        <v>https://www.tiktok.com/@focusonmeehh/video/7617112417423609108?_r=1&amp;_t=ZS-94gSO5TX8ia</v>
      </c>
      <c r="L49" s="357"/>
      <c r="M49" s="17"/>
      <c r="N49" s="357"/>
      <c r="O49" s="17"/>
      <c r="P49" s="357"/>
      <c r="Q49" s="17"/>
      <c r="R49" s="63"/>
      <c r="S49" s="63"/>
      <c r="T49" s="63">
        <f>IFERROR(__xludf.DUMMYFUNCTION("""COMPUTED_VALUE"""),0.0)</f>
        <v>0</v>
      </c>
      <c r="U49" s="63">
        <f>IFERROR(__xludf.DUMMYFUNCTION("""COMPUTED_VALUE"""),0.0)</f>
        <v>0</v>
      </c>
      <c r="V49" s="63">
        <f>IFERROR(__xludf.DUMMYFUNCTION("""COMPUTED_VALUE"""),0.0)</f>
        <v>0</v>
      </c>
      <c r="W49" s="63">
        <f>IFERROR(__xludf.DUMMYFUNCTION("""COMPUTED_VALUE"""),0.0)</f>
        <v>0</v>
      </c>
    </row>
    <row r="50">
      <c r="A50" s="255" t="str">
        <f>IFERROR(__xludf.DUMMYFUNCTION("""COMPUTED_VALUE"""),"MICRO")</f>
        <v>MICRO</v>
      </c>
      <c r="B50" s="23" t="str">
        <f>IFERROR(__xludf.DUMMYFUNCTION("""COMPUTED_VALUE"""),"thya_pookie")</f>
        <v>thya_pookie</v>
      </c>
      <c r="C50" s="281" t="str">
        <f>IFERROR(__xludf.DUMMYFUNCTION("""COMPUTED_VALUE"""),"https://www.tiktok.com/@thya_pookie")</f>
        <v>https://www.tiktok.com/@thya_pookie</v>
      </c>
      <c r="D50" s="270">
        <f>IFERROR(__xludf.DUMMYFUNCTION("""COMPUTED_VALUE"""),8.5842486796E10)</f>
        <v>85842486796</v>
      </c>
      <c r="E50" s="362">
        <f>IFERROR(__xludf.DUMMYFUNCTION("""COMPUTED_VALUE"""),150000.0)</f>
        <v>150000</v>
      </c>
      <c r="F50" s="270">
        <f>IFERROR(__xludf.DUMMYFUNCTION("""COMPUTED_VALUE"""),1.0)</f>
        <v>1</v>
      </c>
      <c r="G50" s="17" t="str">
        <f>IFERROR(__xludf.DUMMYFUNCTION("""COMPUTED_VALUE"""),"8jt")</f>
        <v>8jt</v>
      </c>
      <c r="H50" s="355" t="str">
        <f>IFERROR(__xludf.DUMMYFUNCTION("""COMPUTED_VALUE"""),"Body Bleach")</f>
        <v>Body Bleach</v>
      </c>
      <c r="I50" s="356" t="str">
        <f>IFERROR(__xludf.DUMMYFUNCTION("""COMPUTED_VALUE"""),"Sampai")</f>
        <v>Sampai</v>
      </c>
      <c r="J50" s="357"/>
      <c r="K50" s="279" t="str">
        <f>IFERROR(__xludf.DUMMYFUNCTION("""COMPUTED_VALUE"""),"https://www.tiktok.com/@thya_pookie/video/7615597757436398868?_r=1&amp;_t=ZS-94ZWEKeGSdk")</f>
        <v>https://www.tiktok.com/@thya_pookie/video/7615597757436398868?_r=1&amp;_t=ZS-94ZWEKeGSdk</v>
      </c>
      <c r="L50" s="357"/>
      <c r="M50" s="17"/>
      <c r="N50" s="357"/>
      <c r="O50" s="17"/>
      <c r="P50" s="357"/>
      <c r="Q50" s="17"/>
      <c r="R50" s="63"/>
      <c r="S50" s="63"/>
      <c r="T50" s="63">
        <f>IFERROR(__xludf.DUMMYFUNCTION("""COMPUTED_VALUE"""),24800.0)</f>
        <v>24800</v>
      </c>
      <c r="U50" s="63">
        <f>IFERROR(__xludf.DUMMYFUNCTION("""COMPUTED_VALUE"""),0.0)</f>
        <v>0</v>
      </c>
      <c r="V50" s="63">
        <f>IFERROR(__xludf.DUMMYFUNCTION("""COMPUTED_VALUE"""),1.971623336E7)</f>
        <v>19716233.36</v>
      </c>
      <c r="W50" s="63">
        <f>IFERROR(__xludf.DUMMYFUNCTION("""COMPUTED_VALUE"""),0.0)</f>
        <v>0</v>
      </c>
    </row>
    <row r="51">
      <c r="A51" s="255" t="str">
        <f>IFERROR(__xludf.DUMMYFUNCTION("""COMPUTED_VALUE"""),"MICRO")</f>
        <v>MICRO</v>
      </c>
      <c r="B51" s="23" t="str">
        <f>IFERROR(__xludf.DUMMYFUNCTION("""COMPUTED_VALUE"""),"lilis_sfr")</f>
        <v>lilis_sfr</v>
      </c>
      <c r="C51" s="281" t="str">
        <f>IFERROR(__xludf.DUMMYFUNCTION("""COMPUTED_VALUE"""),"https://www.tiktok.com/@lilis_sfr")</f>
        <v>https://www.tiktok.com/@lilis_sfr</v>
      </c>
      <c r="D51" s="270">
        <f>IFERROR(__xludf.DUMMYFUNCTION("""COMPUTED_VALUE"""),8.81653364E9)</f>
        <v>8816533640</v>
      </c>
      <c r="E51" s="362">
        <f>IFERROR(__xludf.DUMMYFUNCTION("""COMPUTED_VALUE"""),0.0)</f>
        <v>0</v>
      </c>
      <c r="F51" s="270">
        <f>IFERROR(__xludf.DUMMYFUNCTION("""COMPUTED_VALUE"""),2.0)</f>
        <v>2</v>
      </c>
      <c r="G51" s="17" t="str">
        <f>IFERROR(__xludf.DUMMYFUNCTION("""COMPUTED_VALUE"""),"7,66jt")</f>
        <v>7,66jt</v>
      </c>
      <c r="H51" s="355" t="str">
        <f>IFERROR(__xludf.DUMMYFUNCTION("""COMPUTED_VALUE"""),"Body Bleach")</f>
        <v>Body Bleach</v>
      </c>
      <c r="I51" s="356" t="str">
        <f>IFERROR(__xludf.DUMMYFUNCTION("""COMPUTED_VALUE"""),"Sampai")</f>
        <v>Sampai</v>
      </c>
      <c r="J51" s="357"/>
      <c r="K51" s="279" t="str">
        <f>IFERROR(__xludf.DUMMYFUNCTION("""COMPUTED_VALUE"""),"https://www.tiktok.com/@lilis_sfr/video/7616641601992969492?_r=1&amp;_t=ZS-94eIhkBBBdU")</f>
        <v>https://www.tiktok.com/@lilis_sfr/video/7616641601992969492?_r=1&amp;_t=ZS-94eIhkBBBdU</v>
      </c>
      <c r="L51" s="357"/>
      <c r="M51" s="279" t="str">
        <f>IFERROR(__xludf.DUMMYFUNCTION("""COMPUTED_VALUE"""),"https://vt.tiktok.com/ZSHbmuV5R/")</f>
        <v>https://vt.tiktok.com/ZSHbmuV5R/</v>
      </c>
      <c r="N51" s="357"/>
      <c r="O51" s="17"/>
      <c r="P51" s="357"/>
      <c r="Q51" s="17"/>
      <c r="R51" s="63"/>
      <c r="S51" s="63"/>
      <c r="T51" s="63">
        <f>IFERROR(__xludf.DUMMYFUNCTION("""COMPUTED_VALUE"""),0.0)</f>
        <v>0</v>
      </c>
      <c r="U51" s="63">
        <f>IFERROR(__xludf.DUMMYFUNCTION("""COMPUTED_VALUE"""),0.0)</f>
        <v>0</v>
      </c>
      <c r="V51" s="63">
        <f>IFERROR(__xludf.DUMMYFUNCTION("""COMPUTED_VALUE"""),0.0)</f>
        <v>0</v>
      </c>
      <c r="W51" s="63">
        <f>IFERROR(__xludf.DUMMYFUNCTION("""COMPUTED_VALUE"""),0.0)</f>
        <v>0</v>
      </c>
    </row>
    <row r="52">
      <c r="A52" s="255" t="str">
        <f>IFERROR(__xludf.DUMMYFUNCTION("""COMPUTED_VALUE"""),"MICRO")</f>
        <v>MICRO</v>
      </c>
      <c r="B52" s="23" t="str">
        <f>IFERROR(__xludf.DUMMYFUNCTION("""COMPUTED_VALUE"""),"angelmatondang14")</f>
        <v>angelmatondang14</v>
      </c>
      <c r="C52" s="281" t="str">
        <f>IFERROR(__xludf.DUMMYFUNCTION("""COMPUTED_VALUE"""),"https://www.tiktok.com/@angelmatondang14")</f>
        <v>https://www.tiktok.com/@angelmatondang14</v>
      </c>
      <c r="D52" s="270">
        <f>IFERROR(__xludf.DUMMYFUNCTION("""COMPUTED_VALUE"""),8.77510358E10)</f>
        <v>87751035800</v>
      </c>
      <c r="E52" s="362">
        <f>IFERROR(__xludf.DUMMYFUNCTION("""COMPUTED_VALUE"""),0.0)</f>
        <v>0</v>
      </c>
      <c r="F52" s="270">
        <f>IFERROR(__xludf.DUMMYFUNCTION("""COMPUTED_VALUE"""),2.0)</f>
        <v>2</v>
      </c>
      <c r="G52" s="17" t="str">
        <f>IFERROR(__xludf.DUMMYFUNCTION("""COMPUTED_VALUE"""),"12,78jt")</f>
        <v>12,78jt</v>
      </c>
      <c r="H52" s="355" t="str">
        <f>IFERROR(__xludf.DUMMYFUNCTION("""COMPUTED_VALUE"""),"Body Bleach")</f>
        <v>Body Bleach</v>
      </c>
      <c r="I52" s="356" t="str">
        <f>IFERROR(__xludf.DUMMYFUNCTION("""COMPUTED_VALUE"""),"Sampai")</f>
        <v>Sampai</v>
      </c>
      <c r="J52" s="357"/>
      <c r="K52" s="279" t="str">
        <f>IFERROR(__xludf.DUMMYFUNCTION("""COMPUTED_VALUE"""),"https://vt.tiktok.com/ZS9NPA8er/")</f>
        <v>https://vt.tiktok.com/ZS9NPA8er/</v>
      </c>
      <c r="L52" s="357"/>
      <c r="M52" s="279" t="str">
        <f>IFERROR(__xludf.DUMMYFUNCTION("""COMPUTED_VALUE"""),"https://vt.tiktok.com/ZS9CCpyTL/")</f>
        <v>https://vt.tiktok.com/ZS9CCpyTL/</v>
      </c>
      <c r="N52" s="357"/>
      <c r="O52" s="17"/>
      <c r="P52" s="357"/>
      <c r="Q52" s="17"/>
      <c r="R52" s="63"/>
      <c r="S52" s="63"/>
      <c r="T52" s="63">
        <f>IFERROR(__xludf.DUMMYFUNCTION("""COMPUTED_VALUE"""),0.0)</f>
        <v>0</v>
      </c>
      <c r="U52" s="63">
        <f>IFERROR(__xludf.DUMMYFUNCTION("""COMPUTED_VALUE"""),0.0)</f>
        <v>0</v>
      </c>
      <c r="V52" s="63">
        <f>IFERROR(__xludf.DUMMYFUNCTION("""COMPUTED_VALUE"""),0.0)</f>
        <v>0</v>
      </c>
      <c r="W52" s="63">
        <f>IFERROR(__xludf.DUMMYFUNCTION("""COMPUTED_VALUE"""),0.0)</f>
        <v>0</v>
      </c>
    </row>
    <row r="53">
      <c r="A53" s="255" t="str">
        <f>IFERROR(__xludf.DUMMYFUNCTION("""COMPUTED_VALUE"""),"NANO")</f>
        <v>NANO</v>
      </c>
      <c r="B53" s="23" t="str">
        <f>IFERROR(__xludf.DUMMYFUNCTION("""COMPUTED_VALUE"""),"aisahtrii_")</f>
        <v>aisahtrii_</v>
      </c>
      <c r="C53" s="281" t="str">
        <f>IFERROR(__xludf.DUMMYFUNCTION("""COMPUTED_VALUE"""),"https://www.tiktok.com/@aisahtrii_")</f>
        <v>https://www.tiktok.com/@aisahtrii_</v>
      </c>
      <c r="D53" s="270">
        <f>IFERROR(__xludf.DUMMYFUNCTION("""COMPUTED_VALUE"""),8.5800143499E10)</f>
        <v>85800143499</v>
      </c>
      <c r="E53" s="362">
        <f>IFERROR(__xludf.DUMMYFUNCTION("""COMPUTED_VALUE"""),0.0)</f>
        <v>0</v>
      </c>
      <c r="F53" s="270">
        <f>IFERROR(__xludf.DUMMYFUNCTION("""COMPUTED_VALUE"""),2.0)</f>
        <v>2</v>
      </c>
      <c r="G53" s="17" t="str">
        <f>IFERROR(__xludf.DUMMYFUNCTION("""COMPUTED_VALUE"""),"Rp36,1JT")</f>
        <v>Rp36,1JT</v>
      </c>
      <c r="H53" s="355" t="str">
        <f>IFERROR(__xludf.DUMMYFUNCTION("""COMPUTED_VALUE"""),"Body Bleach")</f>
        <v>Body Bleach</v>
      </c>
      <c r="I53" s="356" t="str">
        <f>IFERROR(__xludf.DUMMYFUNCTION("""COMPUTED_VALUE"""),"Sampai")</f>
        <v>Sampai</v>
      </c>
      <c r="J53" s="357"/>
      <c r="K53" s="279" t="str">
        <f>IFERROR(__xludf.DUMMYFUNCTION("""COMPUTED_VALUE"""),"https://www.tiktok.com/@aisahtrii_/video/7615930925662194964?_r=1&amp;_t=ZS-94b3nkOFk5R")</f>
        <v>https://www.tiktok.com/@aisahtrii_/video/7615930925662194964?_r=1&amp;_t=ZS-94b3nkOFk5R</v>
      </c>
      <c r="L53" s="357"/>
      <c r="M53" s="279" t="str">
        <f>IFERROR(__xludf.DUMMYFUNCTION("""COMPUTED_VALUE"""),"https://www.tiktok.com/@aisahtrii_/video/7616645903633386772?_r=1&amp;_t=ZS-94eKaUe0ae1")</f>
        <v>https://www.tiktok.com/@aisahtrii_/video/7616645903633386772?_r=1&amp;_t=ZS-94eKaUe0ae1</v>
      </c>
      <c r="N53" s="357"/>
      <c r="O53" s="17"/>
      <c r="P53" s="357"/>
      <c r="Q53" s="17"/>
      <c r="R53" s="63"/>
      <c r="S53" s="63"/>
      <c r="T53" s="63">
        <f>IFERROR(__xludf.DUMMYFUNCTION("""COMPUTED_VALUE"""),0.0)</f>
        <v>0</v>
      </c>
      <c r="U53" s="63">
        <f>IFERROR(__xludf.DUMMYFUNCTION("""COMPUTED_VALUE"""),0.0)</f>
        <v>0</v>
      </c>
      <c r="V53" s="63">
        <f>IFERROR(__xludf.DUMMYFUNCTION("""COMPUTED_VALUE"""),0.0)</f>
        <v>0</v>
      </c>
      <c r="W53" s="63">
        <f>IFERROR(__xludf.DUMMYFUNCTION("""COMPUTED_VALUE"""),0.0)</f>
        <v>0</v>
      </c>
    </row>
    <row r="54">
      <c r="A54" s="255" t="str">
        <f>IFERROR(__xludf.DUMMYFUNCTION("""COMPUTED_VALUE"""),"NANO")</f>
        <v>NANO</v>
      </c>
      <c r="B54" s="23" t="str">
        <f>IFERROR(__xludf.DUMMYFUNCTION("""COMPUTED_VALUE"""),"sye.stuff")</f>
        <v>sye.stuff</v>
      </c>
      <c r="C54" s="281" t="str">
        <f>IFERROR(__xludf.DUMMYFUNCTION("""COMPUTED_VALUE"""),"https://www.tiktok.com/@sye.stuff")</f>
        <v>https://www.tiktok.com/@sye.stuff</v>
      </c>
      <c r="D54" s="270">
        <f>IFERROR(__xludf.DUMMYFUNCTION("""COMPUTED_VALUE"""),8.5727185659E10)</f>
        <v>85727185659</v>
      </c>
      <c r="E54" s="362">
        <f>IFERROR(__xludf.DUMMYFUNCTION("""COMPUTED_VALUE"""),0.0)</f>
        <v>0</v>
      </c>
      <c r="F54" s="270">
        <f>IFERROR(__xludf.DUMMYFUNCTION("""COMPUTED_VALUE"""),2.0)</f>
        <v>2</v>
      </c>
      <c r="G54" s="17" t="str">
        <f>IFERROR(__xludf.DUMMYFUNCTION("""COMPUTED_VALUE"""),"Rp23,1JT")</f>
        <v>Rp23,1JT</v>
      </c>
      <c r="H54" s="355" t="str">
        <f>IFERROR(__xludf.DUMMYFUNCTION("""COMPUTED_VALUE"""),"Body Bleach")</f>
        <v>Body Bleach</v>
      </c>
      <c r="I54" s="356" t="str">
        <f>IFERROR(__xludf.DUMMYFUNCTION("""COMPUTED_VALUE"""),"Sampai")</f>
        <v>Sampai</v>
      </c>
      <c r="J54" s="357"/>
      <c r="K54" s="279" t="str">
        <f>IFERROR(__xludf.DUMMYFUNCTION("""COMPUTED_VALUE"""),"https://www.tiktok.com/@sye.stuff/video/7616234790441733393?_r=1&amp;_t=ZS-94ccY6AjgIL")</f>
        <v>https://www.tiktok.com/@sye.stuff/video/7616234790441733393?_r=1&amp;_t=ZS-94ccY6AjgIL</v>
      </c>
      <c r="L54" s="357"/>
      <c r="M54" s="279" t="str">
        <f>IFERROR(__xludf.DUMMYFUNCTION("""COMPUTED_VALUE"""),"https://www.tiktok.com/@sye.stuff/video/7617891530186968336?_r=1&amp;_t=ZS-94lBOM1T04n")</f>
        <v>https://www.tiktok.com/@sye.stuff/video/7617891530186968336?_r=1&amp;_t=ZS-94lBOM1T04n</v>
      </c>
      <c r="N54" s="357"/>
      <c r="O54" s="17"/>
      <c r="P54" s="357"/>
      <c r="Q54" s="17"/>
      <c r="R54" s="34"/>
      <c r="S54" s="34"/>
      <c r="T54" s="364">
        <f>IFERROR(__xludf.DUMMYFUNCTION("""COMPUTED_VALUE"""),172846.0)</f>
        <v>172846</v>
      </c>
      <c r="U54" s="364">
        <f>IFERROR(__xludf.DUMMYFUNCTION("""COMPUTED_VALUE"""),0.0)</f>
        <v>0</v>
      </c>
      <c r="V54" s="364">
        <f>IFERROR(__xludf.DUMMYFUNCTION("""COMPUTED_VALUE"""),1.635450808E7)</f>
        <v>16354508.08</v>
      </c>
      <c r="W54" s="364">
        <f>IFERROR(__xludf.DUMMYFUNCTION("""COMPUTED_VALUE"""),0.0)</f>
        <v>0</v>
      </c>
    </row>
    <row r="55">
      <c r="A55" s="255" t="str">
        <f>IFERROR(__xludf.DUMMYFUNCTION("""COMPUTED_VALUE"""),"MICRO")</f>
        <v>MICRO</v>
      </c>
      <c r="B55" s="23" t="str">
        <f>IFERROR(__xludf.DUMMYFUNCTION("""COMPUTED_VALUE"""),"naomiifarsya")</f>
        <v>naomiifarsya</v>
      </c>
      <c r="C55" s="281" t="str">
        <f>IFERROR(__xludf.DUMMYFUNCTION("""COMPUTED_VALUE"""),"https://www.tiktok.com/@naomiifarsya")</f>
        <v>https://www.tiktok.com/@naomiifarsya</v>
      </c>
      <c r="D55" s="270">
        <f>IFERROR(__xludf.DUMMYFUNCTION("""COMPUTED_VALUE"""),8.95351795802E11)</f>
        <v>895351795802</v>
      </c>
      <c r="E55" s="362">
        <f>IFERROR(__xludf.DUMMYFUNCTION("""COMPUTED_VALUE"""),0.0)</f>
        <v>0</v>
      </c>
      <c r="F55" s="270">
        <f>IFERROR(__xludf.DUMMYFUNCTION("""COMPUTED_VALUE"""),3.0)</f>
        <v>3</v>
      </c>
      <c r="G55" s="17" t="str">
        <f>IFERROR(__xludf.DUMMYFUNCTION("""COMPUTED_VALUE"""),"Rp362,5JT")</f>
        <v>Rp362,5JT</v>
      </c>
      <c r="H55" s="355" t="str">
        <f>IFERROR(__xludf.DUMMYFUNCTION("""COMPUTED_VALUE"""),"Hair Serum")</f>
        <v>Hair Serum</v>
      </c>
      <c r="I55" s="356" t="str">
        <f>IFERROR(__xludf.DUMMYFUNCTION("""COMPUTED_VALUE"""),"Sampai")</f>
        <v>Sampai</v>
      </c>
      <c r="J55" s="357"/>
      <c r="K55" s="279" t="str">
        <f>IFERROR(__xludf.DUMMYFUNCTION("""COMPUTED_VALUE"""),"https://www.tiktok.com/@naomiifarsya/video/7634851793377217810")</f>
        <v>https://www.tiktok.com/@naomiifarsya/video/7634851793377217810</v>
      </c>
      <c r="L55" s="357"/>
      <c r="M55" s="279" t="str">
        <f>IFERROR(__xludf.DUMMYFUNCTION("""COMPUTED_VALUE"""),"https://vt.tiktok.com/ZS9U1fc2L//")</f>
        <v>https://vt.tiktok.com/ZS9U1fc2L//</v>
      </c>
      <c r="N55" s="357"/>
      <c r="O55" s="279" t="str">
        <f>IFERROR(__xludf.DUMMYFUNCTION("""COMPUTED_VALUE"""),"https://vt.tiktok.com/ZSxrJckC2/")</f>
        <v>https://vt.tiktok.com/ZSxrJckC2/</v>
      </c>
      <c r="P55" s="357"/>
      <c r="Q55" s="17"/>
      <c r="R55" s="34"/>
      <c r="S55" s="34"/>
      <c r="T55" s="364">
        <f>IFERROR(__xludf.DUMMYFUNCTION("""COMPUTED_VALUE"""),0.0)</f>
        <v>0</v>
      </c>
      <c r="U55" s="364">
        <f>IFERROR(__xludf.DUMMYFUNCTION("""COMPUTED_VALUE"""),0.0)</f>
        <v>0</v>
      </c>
      <c r="V55" s="364">
        <f>IFERROR(__xludf.DUMMYFUNCTION("""COMPUTED_VALUE"""),0.0)</f>
        <v>0</v>
      </c>
      <c r="W55" s="364">
        <f>IFERROR(__xludf.DUMMYFUNCTION("""COMPUTED_VALUE"""),0.0)</f>
        <v>0</v>
      </c>
    </row>
    <row r="56">
      <c r="A56" s="255" t="str">
        <f>IFERROR(__xludf.DUMMYFUNCTION("""COMPUTED_VALUE"""),"MICRO")</f>
        <v>MICRO</v>
      </c>
      <c r="B56" s="23" t="str">
        <f>IFERROR(__xludf.DUMMYFUNCTION("""COMPUTED_VALUE"""),"si.tiiiii")</f>
        <v>si.tiiiii</v>
      </c>
      <c r="C56" s="281" t="str">
        <f>IFERROR(__xludf.DUMMYFUNCTION("""COMPUTED_VALUE"""),"https://www.tiktok.com/@si.tiiiii")</f>
        <v>https://www.tiktok.com/@si.tiiiii</v>
      </c>
      <c r="D56" s="270">
        <f>IFERROR(__xludf.DUMMYFUNCTION("""COMPUTED_VALUE"""),8.5931204631E10)</f>
        <v>85931204631</v>
      </c>
      <c r="E56" s="362">
        <f>IFERROR(__xludf.DUMMYFUNCTION("""COMPUTED_VALUE"""),0.0)</f>
        <v>0</v>
      </c>
      <c r="F56" s="270">
        <f>IFERROR(__xludf.DUMMYFUNCTION("""COMPUTED_VALUE"""),2.0)</f>
        <v>2</v>
      </c>
      <c r="G56" s="17" t="str">
        <f>IFERROR(__xludf.DUMMYFUNCTION("""COMPUTED_VALUE"""),"2.19m")</f>
        <v>2.19m</v>
      </c>
      <c r="H56" s="355"/>
      <c r="I56" s="356"/>
      <c r="J56" s="357"/>
      <c r="K56" s="17"/>
      <c r="L56" s="357"/>
      <c r="M56" s="17"/>
      <c r="N56" s="357"/>
      <c r="O56" s="17"/>
      <c r="P56" s="357"/>
      <c r="Q56" s="17"/>
      <c r="R56" s="17"/>
      <c r="S56" s="17"/>
      <c r="T56" s="365">
        <f>IFERROR(__xludf.DUMMYFUNCTION("""COMPUTED_VALUE"""),0.0)</f>
        <v>0</v>
      </c>
      <c r="U56" s="365">
        <f>IFERROR(__xludf.DUMMYFUNCTION("""COMPUTED_VALUE"""),0.0)</f>
        <v>0</v>
      </c>
      <c r="V56" s="365">
        <f>IFERROR(__xludf.DUMMYFUNCTION("""COMPUTED_VALUE"""),0.0)</f>
        <v>0</v>
      </c>
      <c r="W56" s="365">
        <f>IFERROR(__xludf.DUMMYFUNCTION("""COMPUTED_VALUE"""),0.0)</f>
        <v>0</v>
      </c>
    </row>
    <row r="57">
      <c r="A57" s="255" t="str">
        <f>IFERROR(__xludf.DUMMYFUNCTION("""COMPUTED_VALUE"""),"MICRO")</f>
        <v>MICRO</v>
      </c>
      <c r="B57" s="23" t="str">
        <f>IFERROR(__xludf.DUMMYFUNCTION("""COMPUTED_VALUE"""),"moodtiaraaaaa")</f>
        <v>moodtiaraaaaa</v>
      </c>
      <c r="C57" s="281" t="str">
        <f>IFERROR(__xludf.DUMMYFUNCTION("""COMPUTED_VALUE"""),"https://www.tiktok.com/@moodtiaraaaaa")</f>
        <v>https://www.tiktok.com/@moodtiaraaaaa</v>
      </c>
      <c r="D57" s="270">
        <f>IFERROR(__xludf.DUMMYFUNCTION("""COMPUTED_VALUE"""),8.1210255102E10)</f>
        <v>81210255102</v>
      </c>
      <c r="E57" s="362">
        <f>IFERROR(__xludf.DUMMYFUNCTION("""COMPUTED_VALUE"""),350000.0)</f>
        <v>350000</v>
      </c>
      <c r="F57" s="270">
        <f>IFERROR(__xludf.DUMMYFUNCTION("""COMPUTED_VALUE"""),1.0)</f>
        <v>1</v>
      </c>
      <c r="G57" s="17" t="str">
        <f>IFERROR(__xludf.DUMMYFUNCTION("""COMPUTED_VALUE"""),"87.88JT")</f>
        <v>87.88JT</v>
      </c>
      <c r="H57" s="355" t="str">
        <f>IFERROR(__xludf.DUMMYFUNCTION("""COMPUTED_VALUE"""),"Hair Serum")</f>
        <v>Hair Serum</v>
      </c>
      <c r="I57" s="356" t="str">
        <f>IFERROR(__xludf.DUMMYFUNCTION("""COMPUTED_VALUE"""),"Sampai")</f>
        <v>Sampai</v>
      </c>
      <c r="J57" s="357" t="str">
        <f>IFERROR(__xludf.DUMMYFUNCTION("""COMPUTED_VALUE"""),"Concept 2")</f>
        <v>Concept 2</v>
      </c>
      <c r="K57" s="279" t="str">
        <f>IFERROR(__xludf.DUMMYFUNCTION("""COMPUTED_VALUE"""),"https://www.tiktok.com/@moodtiaraaaaa/video/7623784347404913928?_r=1&amp;_t=ZS-95B13SsA6D6")</f>
        <v>https://www.tiktok.com/@moodtiaraaaaa/video/7623784347404913928?_r=1&amp;_t=ZS-95B13SsA6D6</v>
      </c>
      <c r="L57" s="357"/>
      <c r="M57" s="17"/>
      <c r="N57" s="357"/>
      <c r="O57" s="17"/>
      <c r="P57" s="357"/>
      <c r="Q57" s="17"/>
      <c r="R57" s="17"/>
      <c r="S57" s="17"/>
      <c r="T57" s="365">
        <f>IFERROR(__xludf.DUMMYFUNCTION("""COMPUTED_VALUE"""),0.0)</f>
        <v>0</v>
      </c>
      <c r="U57" s="365">
        <f>IFERROR(__xludf.DUMMYFUNCTION("""COMPUTED_VALUE"""),0.0)</f>
        <v>0</v>
      </c>
      <c r="V57" s="365">
        <f>IFERROR(__xludf.DUMMYFUNCTION("""COMPUTED_VALUE"""),0.0)</f>
        <v>0</v>
      </c>
      <c r="W57" s="365">
        <f>IFERROR(__xludf.DUMMYFUNCTION("""COMPUTED_VALUE"""),0.0)</f>
        <v>0</v>
      </c>
    </row>
    <row r="58">
      <c r="A58" s="255" t="str">
        <f>IFERROR(__xludf.DUMMYFUNCTION("""COMPUTED_VALUE"""),"NANO")</f>
        <v>NANO</v>
      </c>
      <c r="B58" s="23" t="str">
        <f>IFERROR(__xludf.DUMMYFUNCTION("""COMPUTED_VALUE"""),"mrsrepiew")</f>
        <v>mrsrepiew</v>
      </c>
      <c r="C58" s="281" t="str">
        <f>IFERROR(__xludf.DUMMYFUNCTION("""COMPUTED_VALUE"""),"https://www.tiktok.com/@mrsrepiew")</f>
        <v>https://www.tiktok.com/@mrsrepiew</v>
      </c>
      <c r="D58" s="270">
        <f>IFERROR(__xludf.DUMMYFUNCTION("""COMPUTED_VALUE"""),8.5336219873E10)</f>
        <v>85336219873</v>
      </c>
      <c r="E58" s="362">
        <f>IFERROR(__xludf.DUMMYFUNCTION("""COMPUTED_VALUE"""),225000.0)</f>
        <v>225000</v>
      </c>
      <c r="F58" s="270">
        <f>IFERROR(__xludf.DUMMYFUNCTION("""COMPUTED_VALUE"""),2.0)</f>
        <v>2</v>
      </c>
      <c r="G58" s="17" t="str">
        <f>IFERROR(__xludf.DUMMYFUNCTION("""COMPUTED_VALUE"""),"39,72jt")</f>
        <v>39,72jt</v>
      </c>
      <c r="H58" s="355" t="str">
        <f>IFERROR(__xludf.DUMMYFUNCTION("""COMPUTED_VALUE"""),"""Paket skincare 3 (Fw brightening, toneup, instaglow cream)""")</f>
        <v>"Paket skincare 3 (Fw brightening, toneup, instaglow cream)"</v>
      </c>
      <c r="I58" s="356" t="str">
        <f>IFERROR(__xludf.DUMMYFUNCTION("""COMPUTED_VALUE"""),"Sampai")</f>
        <v>Sampai</v>
      </c>
      <c r="J58" s="357"/>
      <c r="K58" s="17"/>
      <c r="L58" s="357"/>
      <c r="M58" s="17"/>
      <c r="N58" s="357"/>
      <c r="O58" s="17"/>
      <c r="P58" s="357"/>
      <c r="Q58" s="17"/>
      <c r="R58" s="17"/>
      <c r="S58" s="17"/>
      <c r="T58" s="365">
        <f>IFERROR(__xludf.DUMMYFUNCTION("""COMPUTED_VALUE"""),0.0)</f>
        <v>0</v>
      </c>
      <c r="U58" s="365">
        <f>IFERROR(__xludf.DUMMYFUNCTION("""COMPUTED_VALUE"""),0.0)</f>
        <v>0</v>
      </c>
      <c r="V58" s="365">
        <f>IFERROR(__xludf.DUMMYFUNCTION("""COMPUTED_VALUE"""),0.0)</f>
        <v>0</v>
      </c>
      <c r="W58" s="365">
        <f>IFERROR(__xludf.DUMMYFUNCTION("""COMPUTED_VALUE"""),0.0)</f>
        <v>0</v>
      </c>
    </row>
    <row r="59">
      <c r="A59" s="255" t="str">
        <f>IFERROR(__xludf.DUMMYFUNCTION("""COMPUTED_VALUE"""),"NANO")</f>
        <v>NANO</v>
      </c>
      <c r="B59" s="23" t="str">
        <f>IFERROR(__xludf.DUMMYFUNCTION("""COMPUTED_VALUE"""),"queenrfl")</f>
        <v>queenrfl</v>
      </c>
      <c r="C59" s="281" t="str">
        <f>IFERROR(__xludf.DUMMYFUNCTION("""COMPUTED_VALUE"""),"https://www.tiktok.com/@queenrfl")</f>
        <v>https://www.tiktok.com/@queenrfl</v>
      </c>
      <c r="D59" s="270">
        <f>IFERROR(__xludf.DUMMYFUNCTION("""COMPUTED_VALUE"""),8.1210008394E10)</f>
        <v>81210008394</v>
      </c>
      <c r="E59" s="362">
        <f>IFERROR(__xludf.DUMMYFUNCTION("""COMPUTED_VALUE"""),0.0)</f>
        <v>0</v>
      </c>
      <c r="F59" s="270">
        <f>IFERROR(__xludf.DUMMYFUNCTION("""COMPUTED_VALUE"""),2.0)</f>
        <v>2</v>
      </c>
      <c r="G59" s="17" t="str">
        <f>IFERROR(__xludf.DUMMYFUNCTION("""COMPUTED_VALUE"""),"7jt")</f>
        <v>7jt</v>
      </c>
      <c r="H59" s="355" t="str">
        <f>IFERROR(__xludf.DUMMYFUNCTION("""COMPUTED_VALUE"""),"Hair Serum")</f>
        <v>Hair Serum</v>
      </c>
      <c r="I59" s="356" t="str">
        <f>IFERROR(__xludf.DUMMYFUNCTION("""COMPUTED_VALUE"""),"Sampai")</f>
        <v>Sampai</v>
      </c>
      <c r="J59" s="357"/>
      <c r="K59" s="279" t="str">
        <f>IFERROR(__xludf.DUMMYFUNCTION("""COMPUTED_VALUE"""),"https://www.tiktok.com/@queenrfl/video/7626249938506108178?_r=1&amp;_t=ZS-95MJ3vBQ3bJ")</f>
        <v>https://www.tiktok.com/@queenrfl/video/7626249938506108178?_r=1&amp;_t=ZS-95MJ3vBQ3bJ</v>
      </c>
      <c r="L59" s="357"/>
      <c r="M59" s="279" t="str">
        <f>IFERROR(__xludf.DUMMYFUNCTION("""COMPUTED_VALUE"""),"https://vt.tiktok.com/ZSHtoATcd/")</f>
        <v>https://vt.tiktok.com/ZSHtoATcd/</v>
      </c>
      <c r="N59" s="357"/>
      <c r="O59" s="17"/>
      <c r="P59" s="357"/>
      <c r="Q59" s="17"/>
      <c r="R59" s="17"/>
      <c r="S59" s="17"/>
      <c r="T59" s="365">
        <f>IFERROR(__xludf.DUMMYFUNCTION("""COMPUTED_VALUE"""),0.0)</f>
        <v>0</v>
      </c>
      <c r="U59" s="365">
        <f>IFERROR(__xludf.DUMMYFUNCTION("""COMPUTED_VALUE"""),0.0)</f>
        <v>0</v>
      </c>
      <c r="V59" s="365">
        <f>IFERROR(__xludf.DUMMYFUNCTION("""COMPUTED_VALUE"""),0.0)</f>
        <v>0</v>
      </c>
      <c r="W59" s="365">
        <f>IFERROR(__xludf.DUMMYFUNCTION("""COMPUTED_VALUE"""),0.0)</f>
        <v>0</v>
      </c>
    </row>
    <row r="60">
      <c r="A60" s="255" t="str">
        <f>IFERROR(__xludf.DUMMYFUNCTION("""COMPUTED_VALUE"""),"NANO")</f>
        <v>NANO</v>
      </c>
      <c r="B60" s="23" t="str">
        <f>IFERROR(__xludf.DUMMYFUNCTION("""COMPUTED_VALUE"""),"chaaaajalahyah")</f>
        <v>chaaaajalahyah</v>
      </c>
      <c r="C60" s="281" t="str">
        <f>IFERROR(__xludf.DUMMYFUNCTION("""COMPUTED_VALUE"""),"https://www.tiktok.com/@chaaaajalahyah")</f>
        <v>https://www.tiktok.com/@chaaaajalahyah</v>
      </c>
      <c r="D60" s="270">
        <f>IFERROR(__xludf.DUMMYFUNCTION("""COMPUTED_VALUE"""),8.573258986E10)</f>
        <v>85732589860</v>
      </c>
      <c r="E60" s="362">
        <f>IFERROR(__xludf.DUMMYFUNCTION("""COMPUTED_VALUE"""),0.0)</f>
        <v>0</v>
      </c>
      <c r="F60" s="270">
        <f>IFERROR(__xludf.DUMMYFUNCTION("""COMPUTED_VALUE"""),1.0)</f>
        <v>1</v>
      </c>
      <c r="G60" s="17" t="str">
        <f>IFERROR(__xludf.DUMMYFUNCTION("""COMPUTED_VALUE"""),"146jt")</f>
        <v>146jt</v>
      </c>
      <c r="H60" s="355" t="str">
        <f>IFERROR(__xludf.DUMMYFUNCTION("""COMPUTED_VALUE"""),"Body Bleach")</f>
        <v>Body Bleach</v>
      </c>
      <c r="I60" s="356" t="str">
        <f>IFERROR(__xludf.DUMMYFUNCTION("""COMPUTED_VALUE"""),"Sampai")</f>
        <v>Sampai</v>
      </c>
      <c r="J60" s="357"/>
      <c r="K60" s="279" t="str">
        <f>IFERROR(__xludf.DUMMYFUNCTION("""COMPUTED_VALUE"""),"https://www.tiktok.com/@chaaaajalahyah/video/7626710484493864213?_r=1&amp;u_code=dj2k0jidgm4gi4&amp;region=ID&amp;mid=7623328329927510800&amp;preview_pb=0&amp;sharer_language=id&amp;_d=f0ijka1d33egf4&amp;share_item_id=7626710484493864213&amp;source=h5_t&amp;timestamp=1775735741&amp;item_author_"&amp;"type=1&amp;utm_source=copy&amp;tt_from=copy&amp;enable_checksum=1&amp;utm_medium=ios&amp;share_link_id=1A9F6E43-CDDC-4CB5-BA8D-4FE8D917F3C7&amp;user_id=6971586270351803394&amp;sec_user_id=MS4wLjABAAAAnyNB-gwMTbRX9xqUVt7-gil3WK3FT-3AdHuX9WSXfu4Qx7z5q1oURsP91eqhOHrn&amp;social_share_type="&amp;"0&amp;ug_btm=b8727,b2878&amp;utm_campaign=client_share&amp;link_reflow_popup_iteration_sharer=%7B%22dynamic_cover%22:1,%22profile_clickable%22:1,%22follow_to_play_duration%22:-1,%22click_empty_to_play%22:1%7D&amp;share_app_id=1180")</f>
        <v>https://www.tiktok.com/@chaaaajalahyah/video/7626710484493864213?_r=1&amp;u_code=dj2k0jidgm4gi4&amp;region=ID&amp;mid=7623328329927510800&amp;preview_pb=0&amp;sharer_language=id&amp;_d=f0ijka1d33egf4&amp;share_item_id=7626710484493864213&amp;source=h5_t&amp;timestamp=1775735741&amp;item_author_type=1&amp;utm_source=copy&amp;tt_from=copy&amp;enable_checksum=1&amp;utm_medium=ios&amp;share_link_id=1A9F6E43-CDDC-4CB5-BA8D-4FE8D917F3C7&amp;user_id=6971586270351803394&amp;sec_user_id=MS4wLjABAAAAnyNB-gwMTbRX9xqUVt7-gil3WK3FT-3AdHuX9WSXfu4Qx7z5q1oURsP91eqhOHrn&amp;social_share_type=0&amp;ug_btm=b8727,b2878&amp;utm_campaign=client_share&amp;link_reflow_popup_iteration_sharer=%7B%22dynamic_cover%22:1,%22profile_clickable%22:1,%22follow_to_play_duration%22:-1,%22click_empty_to_play%22:1%7D&amp;share_app_id=1180</v>
      </c>
      <c r="L60" s="357"/>
      <c r="M60" s="17"/>
      <c r="N60" s="357"/>
      <c r="O60" s="17"/>
      <c r="P60" s="357"/>
      <c r="Q60" s="17"/>
      <c r="R60" s="17"/>
      <c r="S60" s="17"/>
      <c r="T60" s="365">
        <f>IFERROR(__xludf.DUMMYFUNCTION("""COMPUTED_VALUE"""),0.0)</f>
        <v>0</v>
      </c>
      <c r="U60" s="365">
        <f>IFERROR(__xludf.DUMMYFUNCTION("""COMPUTED_VALUE"""),0.0)</f>
        <v>0</v>
      </c>
      <c r="V60" s="365">
        <f>IFERROR(__xludf.DUMMYFUNCTION("""COMPUTED_VALUE"""),0.0)</f>
        <v>0</v>
      </c>
      <c r="W60" s="365">
        <f>IFERROR(__xludf.DUMMYFUNCTION("""COMPUTED_VALUE"""),0.0)</f>
        <v>0</v>
      </c>
    </row>
    <row r="61">
      <c r="A61" s="255" t="str">
        <f>IFERROR(__xludf.DUMMYFUNCTION("""COMPUTED_VALUE"""),"NANO")</f>
        <v>NANO</v>
      </c>
      <c r="B61" s="23" t="str">
        <f>IFERROR(__xludf.DUMMYFUNCTION("""COMPUTED_VALUE"""),"a.etikk")</f>
        <v>a.etikk</v>
      </c>
      <c r="C61" s="281" t="str">
        <f>IFERROR(__xludf.DUMMYFUNCTION("""COMPUTED_VALUE"""),"https://www.tiktok.com/@a.etikk")</f>
        <v>https://www.tiktok.com/@a.etikk</v>
      </c>
      <c r="D61" s="270">
        <f>IFERROR(__xludf.DUMMYFUNCTION("""COMPUTED_VALUE"""),8.2191873737E10)</f>
        <v>82191873737</v>
      </c>
      <c r="E61" s="362">
        <f>IFERROR(__xludf.DUMMYFUNCTION("""COMPUTED_VALUE"""),0.0)</f>
        <v>0</v>
      </c>
      <c r="F61" s="270">
        <f>IFERROR(__xludf.DUMMYFUNCTION("""COMPUTED_VALUE"""),2.0)</f>
        <v>2</v>
      </c>
      <c r="G61" s="17" t="str">
        <f>IFERROR(__xludf.DUMMYFUNCTION("""COMPUTED_VALUE"""),"53,8jt")</f>
        <v>53,8jt</v>
      </c>
      <c r="H61" s="355" t="str">
        <f>IFERROR(__xludf.DUMMYFUNCTION("""COMPUTED_VALUE"""),"Body Bleach")</f>
        <v>Body Bleach</v>
      </c>
      <c r="I61" s="356" t="str">
        <f>IFERROR(__xludf.DUMMYFUNCTION("""COMPUTED_VALUE"""),"Sampai")</f>
        <v>Sampai</v>
      </c>
      <c r="J61" s="357"/>
      <c r="K61" s="279" t="str">
        <f>IFERROR(__xludf.DUMMYFUNCTION("""COMPUTED_VALUE"""),"https://www.tiktok.com/@a.etikk/video/7623788505499700501?_r=1&amp;_t=ZS-95Bfih3RPwj")</f>
        <v>https://www.tiktok.com/@a.etikk/video/7623788505499700501?_r=1&amp;_t=ZS-95Bfih3RPwj</v>
      </c>
      <c r="L61" s="357"/>
      <c r="M61" s="279" t="str">
        <f>IFERROR(__xludf.DUMMYFUNCTION("""COMPUTED_VALUE"""),"https://vt.tiktok.com/ZSHpCehVP/")</f>
        <v>https://vt.tiktok.com/ZSHpCehVP/</v>
      </c>
      <c r="N61" s="357"/>
      <c r="O61" s="17"/>
      <c r="P61" s="357"/>
      <c r="Q61" s="17"/>
      <c r="R61" s="17"/>
      <c r="S61" s="17"/>
      <c r="T61" s="365">
        <f>IFERROR(__xludf.DUMMYFUNCTION("""COMPUTED_VALUE"""),0.0)</f>
        <v>0</v>
      </c>
      <c r="U61" s="365">
        <f>IFERROR(__xludf.DUMMYFUNCTION("""COMPUTED_VALUE"""),0.0)</f>
        <v>0</v>
      </c>
      <c r="V61" s="365">
        <f>IFERROR(__xludf.DUMMYFUNCTION("""COMPUTED_VALUE"""),0.0)</f>
        <v>0</v>
      </c>
      <c r="W61" s="365">
        <f>IFERROR(__xludf.DUMMYFUNCTION("""COMPUTED_VALUE"""),0.0)</f>
        <v>0</v>
      </c>
    </row>
    <row r="62">
      <c r="A62" s="255" t="str">
        <f>IFERROR(__xludf.DUMMYFUNCTION("""COMPUTED_VALUE"""),"NANO")</f>
        <v>NANO</v>
      </c>
      <c r="B62" s="23" t="str">
        <f>IFERROR(__xludf.DUMMYFUNCTION("""COMPUTED_VALUE"""),"taritaauliaa")</f>
        <v>taritaauliaa</v>
      </c>
      <c r="C62" s="281" t="str">
        <f>IFERROR(__xludf.DUMMYFUNCTION("""COMPUTED_VALUE"""),"https://www.tiktok.com/@taritaauliaa")</f>
        <v>https://www.tiktok.com/@taritaauliaa</v>
      </c>
      <c r="D62" s="270">
        <f>IFERROR(__xludf.DUMMYFUNCTION("""COMPUTED_VALUE"""),8.523564055E10)</f>
        <v>85235640550</v>
      </c>
      <c r="E62" s="362">
        <f>IFERROR(__xludf.DUMMYFUNCTION("""COMPUTED_VALUE"""),0.0)</f>
        <v>0</v>
      </c>
      <c r="F62" s="270">
        <f>IFERROR(__xludf.DUMMYFUNCTION("""COMPUTED_VALUE"""),2.0)</f>
        <v>2</v>
      </c>
      <c r="G62" s="17" t="str">
        <f>IFERROR(__xludf.DUMMYFUNCTION("""COMPUTED_VALUE"""),"160,9jt")</f>
        <v>160,9jt</v>
      </c>
      <c r="H62" s="355" t="str">
        <f>IFERROR(__xludf.DUMMYFUNCTION("""COMPUTED_VALUE"""),"Body Bleach")</f>
        <v>Body Bleach</v>
      </c>
      <c r="I62" s="356" t="str">
        <f>IFERROR(__xludf.DUMMYFUNCTION("""COMPUTED_VALUE"""),"Kendala [FU!]")</f>
        <v>Kendala [FU!]</v>
      </c>
      <c r="J62" s="357"/>
      <c r="K62" s="17"/>
      <c r="L62" s="357"/>
      <c r="M62" s="17"/>
      <c r="N62" s="357"/>
      <c r="O62" s="17"/>
      <c r="P62" s="357"/>
      <c r="Q62" s="17"/>
      <c r="R62" s="17"/>
      <c r="S62" s="17"/>
      <c r="T62" s="365">
        <f>IFERROR(__xludf.DUMMYFUNCTION("""COMPUTED_VALUE"""),0.0)</f>
        <v>0</v>
      </c>
      <c r="U62" s="365">
        <f>IFERROR(__xludf.DUMMYFUNCTION("""COMPUTED_VALUE"""),0.0)</f>
        <v>0</v>
      </c>
      <c r="V62" s="365">
        <f>IFERROR(__xludf.DUMMYFUNCTION("""COMPUTED_VALUE"""),0.0)</f>
        <v>0</v>
      </c>
      <c r="W62" s="365">
        <f>IFERROR(__xludf.DUMMYFUNCTION("""COMPUTED_VALUE"""),0.0)</f>
        <v>0</v>
      </c>
    </row>
    <row r="63">
      <c r="A63" s="255" t="str">
        <f>IFERROR(__xludf.DUMMYFUNCTION("""COMPUTED_VALUE"""),"NANO")</f>
        <v>NANO</v>
      </c>
      <c r="B63" s="23" t="str">
        <f>IFERROR(__xludf.DUMMYFUNCTION("""COMPUTED_VALUE"""),"elsachawul_")</f>
        <v>elsachawul_</v>
      </c>
      <c r="C63" s="281" t="str">
        <f>IFERROR(__xludf.DUMMYFUNCTION("""COMPUTED_VALUE"""),"https://www.tiktok.com/@elsachawul_")</f>
        <v>https://www.tiktok.com/@elsachawul_</v>
      </c>
      <c r="D63" s="270">
        <f>IFERROR(__xludf.DUMMYFUNCTION("""COMPUTED_VALUE"""),8.95328487696E11)</f>
        <v>895328487696</v>
      </c>
      <c r="E63" s="362">
        <f>IFERROR(__xludf.DUMMYFUNCTION("""COMPUTED_VALUE"""),0.0)</f>
        <v>0</v>
      </c>
      <c r="F63" s="270">
        <f>IFERROR(__xludf.DUMMYFUNCTION("""COMPUTED_VALUE"""),3.0)</f>
        <v>3</v>
      </c>
      <c r="G63" s="17" t="str">
        <f>IFERROR(__xludf.DUMMYFUNCTION("""COMPUTED_VALUE"""),"311,82 jt")</f>
        <v>311,82 jt</v>
      </c>
      <c r="H63" s="355" t="str">
        <f>IFERROR(__xludf.DUMMYFUNCTION("""COMPUTED_VALUE"""),"""Paket skincare 3 (Fw brightening, toneup, instaglow cream)""")</f>
        <v>"Paket skincare 3 (Fw brightening, toneup, instaglow cream)"</v>
      </c>
      <c r="I63" s="356" t="str">
        <f>IFERROR(__xludf.DUMMYFUNCTION("""COMPUTED_VALUE"""),"Sampai")</f>
        <v>Sampai</v>
      </c>
      <c r="J63" s="357"/>
      <c r="K63" s="279" t="str">
        <f>IFERROR(__xludf.DUMMYFUNCTION("""COMPUTED_VALUE"""),"https://www.tiktok.com/@elsachawul_/video/7625624202745220370?_r=1&amp;_t=ZS-95Ksc1CE4cK")</f>
        <v>https://www.tiktok.com/@elsachawul_/video/7625624202745220370?_r=1&amp;_t=ZS-95Ksc1CE4cK</v>
      </c>
      <c r="L63" s="357"/>
      <c r="M63" s="279" t="str">
        <f>IFERROR(__xludf.DUMMYFUNCTION("""COMPUTED_VALUE"""),"https://vt.tiktok.com/ZSHHmct4j/")</f>
        <v>https://vt.tiktok.com/ZSHHmct4j/</v>
      </c>
      <c r="N63" s="357"/>
      <c r="O63" s="279" t="str">
        <f>IFERROR(__xludf.DUMMYFUNCTION("""COMPUTED_VALUE"""),"https://vt.tiktok.com/ZSHpeUQ8j/")</f>
        <v>https://vt.tiktok.com/ZSHpeUQ8j/</v>
      </c>
      <c r="P63" s="357"/>
      <c r="Q63" s="17"/>
      <c r="R63" s="17"/>
      <c r="S63" s="17"/>
      <c r="T63" s="365">
        <f>IFERROR(__xludf.DUMMYFUNCTION("""COMPUTED_VALUE"""),0.0)</f>
        <v>0</v>
      </c>
      <c r="U63" s="365">
        <f>IFERROR(__xludf.DUMMYFUNCTION("""COMPUTED_VALUE"""),0.0)</f>
        <v>0</v>
      </c>
      <c r="V63" s="365">
        <f>IFERROR(__xludf.DUMMYFUNCTION("""COMPUTED_VALUE"""),0.0)</f>
        <v>0</v>
      </c>
      <c r="W63" s="365">
        <f>IFERROR(__xludf.DUMMYFUNCTION("""COMPUTED_VALUE"""),0.0)</f>
        <v>0</v>
      </c>
    </row>
    <row r="64">
      <c r="A64" s="255" t="str">
        <f>IFERROR(__xludf.DUMMYFUNCTION("""COMPUTED_VALUE"""),"NANO")</f>
        <v>NANO</v>
      </c>
      <c r="B64" s="23" t="str">
        <f>IFERROR(__xludf.DUMMYFUNCTION("""COMPUTED_VALUE"""),"naniinan09")</f>
        <v>naniinan09</v>
      </c>
      <c r="C64" s="281" t="str">
        <f>IFERROR(__xludf.DUMMYFUNCTION("""COMPUTED_VALUE"""),"https://www.tiktok.com/@naniinan09")</f>
        <v>https://www.tiktok.com/@naniinan09</v>
      </c>
      <c r="D64" s="270"/>
      <c r="E64" s="362">
        <f>IFERROR(__xludf.DUMMYFUNCTION("""COMPUTED_VALUE"""),0.0)</f>
        <v>0</v>
      </c>
      <c r="F64" s="270">
        <f>IFERROR(__xludf.DUMMYFUNCTION("""COMPUTED_VALUE"""),2.0)</f>
        <v>2</v>
      </c>
      <c r="G64" s="17" t="str">
        <f>IFERROR(__xludf.DUMMYFUNCTION("""COMPUTED_VALUE"""),"121,01jt")</f>
        <v>121,01jt</v>
      </c>
      <c r="H64" s="355" t="str">
        <f>IFERROR(__xludf.DUMMYFUNCTION("""COMPUTED_VALUE"""),"""Paket Skincare 1 (Toneup, Instaglow Cream, dan Essence""")</f>
        <v>"Paket Skincare 1 (Toneup, Instaglow Cream, dan Essence"</v>
      </c>
      <c r="I64" s="356" t="str">
        <f>IFERROR(__xludf.DUMMYFUNCTION("""COMPUTED_VALUE"""),"Sampai")</f>
        <v>Sampai</v>
      </c>
      <c r="J64" s="357"/>
      <c r="K64" s="279" t="str">
        <f>IFERROR(__xludf.DUMMYFUNCTION("""COMPUTED_VALUE"""),"https://www.tiktok.com/@naniinan09/video/7623604969677131029?is_from_webapp=1&amp;sender_device=pc")</f>
        <v>https://www.tiktok.com/@naniinan09/video/7623604969677131029?is_from_webapp=1&amp;sender_device=pc</v>
      </c>
      <c r="L64" s="357"/>
      <c r="M64" s="279" t="str">
        <f>IFERROR(__xludf.DUMMYFUNCTION("""COMPUTED_VALUE"""),"https://vt.tiktok.com/ZSHhkbHGt/")</f>
        <v>https://vt.tiktok.com/ZSHhkbHGt/</v>
      </c>
      <c r="N64" s="357"/>
      <c r="O64" s="279" t="str">
        <f>IFERROR(__xludf.DUMMYFUNCTION("""COMPUTED_VALUE"""),"https://vt.tiktok.com/ZSHhk7uF5/")</f>
        <v>https://vt.tiktok.com/ZSHhk7uF5/</v>
      </c>
      <c r="P64" s="357"/>
      <c r="Q64" s="17"/>
      <c r="R64" s="17"/>
      <c r="S64" s="17"/>
      <c r="T64" s="365">
        <f>IFERROR(__xludf.DUMMYFUNCTION("""COMPUTED_VALUE"""),0.0)</f>
        <v>0</v>
      </c>
      <c r="U64" s="365">
        <f>IFERROR(__xludf.DUMMYFUNCTION("""COMPUTED_VALUE"""),0.0)</f>
        <v>0</v>
      </c>
      <c r="V64" s="365">
        <f>IFERROR(__xludf.DUMMYFUNCTION("""COMPUTED_VALUE"""),0.0)</f>
        <v>0</v>
      </c>
      <c r="W64" s="365">
        <f>IFERROR(__xludf.DUMMYFUNCTION("""COMPUTED_VALUE"""),0.0)</f>
        <v>0</v>
      </c>
    </row>
    <row r="65">
      <c r="A65" s="255" t="str">
        <f>IFERROR(__xludf.DUMMYFUNCTION("""COMPUTED_VALUE"""),"NANO")</f>
        <v>NANO</v>
      </c>
      <c r="B65" s="23" t="str">
        <f>IFERROR(__xludf.DUMMYFUNCTION("""COMPUTED_VALUE"""),"mamak_kao")</f>
        <v>mamak_kao</v>
      </c>
      <c r="C65" s="281" t="str">
        <f>IFERROR(__xludf.DUMMYFUNCTION("""COMPUTED_VALUE"""),"https://www.tiktok.com/@mamak_kao")</f>
        <v>https://www.tiktok.com/@mamak_kao</v>
      </c>
      <c r="D65" s="270"/>
      <c r="E65" s="362">
        <f>IFERROR(__xludf.DUMMYFUNCTION("""COMPUTED_VALUE"""),0.0)</f>
        <v>0</v>
      </c>
      <c r="F65" s="270">
        <f>IFERROR(__xludf.DUMMYFUNCTION("""COMPUTED_VALUE"""),2.0)</f>
        <v>2</v>
      </c>
      <c r="G65" s="17" t="str">
        <f>IFERROR(__xludf.DUMMYFUNCTION("""COMPUTED_VALUE"""),"86,13jt")</f>
        <v>86,13jt</v>
      </c>
      <c r="H65" s="355" t="str">
        <f>IFERROR(__xludf.DUMMYFUNCTION("""COMPUTED_VALUE"""),"Body Bleach")</f>
        <v>Body Bleach</v>
      </c>
      <c r="I65" s="356" t="str">
        <f>IFERROR(__xludf.DUMMYFUNCTION("""COMPUTED_VALUE"""),"Sampai")</f>
        <v>Sampai</v>
      </c>
      <c r="J65" s="357"/>
      <c r="K65" s="279" t="str">
        <f>IFERROR(__xludf.DUMMYFUNCTION("""COMPUTED_VALUE"""),"https://www.tiktok.com/@mamak_kao/video/7621116886519958805?is_from_webapp=1&amp;sender_device=pc")</f>
        <v>https://www.tiktok.com/@mamak_kao/video/7621116886519958805?is_from_webapp=1&amp;sender_device=pc</v>
      </c>
      <c r="L65" s="357"/>
      <c r="M65" s="279" t="str">
        <f>IFERROR(__xludf.DUMMYFUNCTION("""COMPUTED_VALUE"""),"https://www.tiktok.com/@mamak_kao/video/7621117083304086804?is_from_webapp=1&amp;sender_device=pc")</f>
        <v>https://www.tiktok.com/@mamak_kao/video/7621117083304086804?is_from_webapp=1&amp;sender_device=pc</v>
      </c>
      <c r="N65" s="357"/>
      <c r="O65" s="17"/>
      <c r="P65" s="357"/>
      <c r="Q65" s="17"/>
      <c r="R65" s="17"/>
      <c r="S65" s="17"/>
      <c r="T65" s="365">
        <f>IFERROR(__xludf.DUMMYFUNCTION("""COMPUTED_VALUE"""),0.0)</f>
        <v>0</v>
      </c>
      <c r="U65" s="365">
        <f>IFERROR(__xludf.DUMMYFUNCTION("""COMPUTED_VALUE"""),0.0)</f>
        <v>0</v>
      </c>
      <c r="V65" s="365">
        <f>IFERROR(__xludf.DUMMYFUNCTION("""COMPUTED_VALUE"""),0.0)</f>
        <v>0</v>
      </c>
      <c r="W65" s="365">
        <f>IFERROR(__xludf.DUMMYFUNCTION("""COMPUTED_VALUE"""),0.0)</f>
        <v>0</v>
      </c>
    </row>
    <row r="66">
      <c r="A66" s="255" t="str">
        <f>IFERROR(__xludf.DUMMYFUNCTION("""COMPUTED_VALUE"""),"NANO")</f>
        <v>NANO</v>
      </c>
      <c r="B66" s="23" t="str">
        <f>IFERROR(__xludf.DUMMYFUNCTION("""COMPUTED_VALUE"""),"armiheppii ")</f>
        <v>armiheppii </v>
      </c>
      <c r="C66" s="281" t="str">
        <f>IFERROR(__xludf.DUMMYFUNCTION("""COMPUTED_VALUE"""),"https://www.tiktok.com/@armiheppii ")</f>
        <v>https://www.tiktok.com/@armiheppii </v>
      </c>
      <c r="D66" s="270"/>
      <c r="E66" s="362">
        <f>IFERROR(__xludf.DUMMYFUNCTION("""COMPUTED_VALUE"""),0.0)</f>
        <v>0</v>
      </c>
      <c r="F66" s="270">
        <f>IFERROR(__xludf.DUMMYFUNCTION("""COMPUTED_VALUE"""),2.0)</f>
        <v>2</v>
      </c>
      <c r="G66" s="17" t="str">
        <f>IFERROR(__xludf.DUMMYFUNCTION("""COMPUTED_VALUE"""),"5,89jt")</f>
        <v>5,89jt</v>
      </c>
      <c r="H66" s="355" t="str">
        <f>IFERROR(__xludf.DUMMYFUNCTION("""COMPUTED_VALUE"""),"Body Bleach")</f>
        <v>Body Bleach</v>
      </c>
      <c r="I66" s="356" t="str">
        <f>IFERROR(__xludf.DUMMYFUNCTION("""COMPUTED_VALUE"""),"Sampai")</f>
        <v>Sampai</v>
      </c>
      <c r="J66" s="357"/>
      <c r="K66" s="279" t="str">
        <f>IFERROR(__xludf.DUMMYFUNCTION("""COMPUTED_VALUE"""),"https://vt.tiktok.com/ZS9KBfVSL/ ")</f>
        <v>https://vt.tiktok.com/ZS9KBfVSL/ </v>
      </c>
      <c r="L66" s="357"/>
      <c r="M66" s="17"/>
      <c r="N66" s="357"/>
      <c r="O66" s="17"/>
      <c r="P66" s="357"/>
      <c r="Q66" s="17"/>
      <c r="R66" s="17"/>
      <c r="S66" s="17"/>
      <c r="T66" s="365">
        <f>IFERROR(__xludf.DUMMYFUNCTION("""COMPUTED_VALUE"""),0.0)</f>
        <v>0</v>
      </c>
      <c r="U66" s="365">
        <f>IFERROR(__xludf.DUMMYFUNCTION("""COMPUTED_VALUE"""),0.0)</f>
        <v>0</v>
      </c>
      <c r="V66" s="365">
        <f>IFERROR(__xludf.DUMMYFUNCTION("""COMPUTED_VALUE"""),0.0)</f>
        <v>0</v>
      </c>
      <c r="W66" s="365">
        <f>IFERROR(__xludf.DUMMYFUNCTION("""COMPUTED_VALUE"""),0.0)</f>
        <v>0</v>
      </c>
    </row>
    <row r="67">
      <c r="A67" s="255" t="str">
        <f>IFERROR(__xludf.DUMMYFUNCTION("""COMPUTED_VALUE"""),"NANO")</f>
        <v>NANO</v>
      </c>
      <c r="B67" s="23" t="str">
        <f>IFERROR(__xludf.DUMMYFUNCTION("""COMPUTED_VALUE"""),"kak.uung")</f>
        <v>kak.uung</v>
      </c>
      <c r="C67" s="281" t="str">
        <f>IFERROR(__xludf.DUMMYFUNCTION("""COMPUTED_VALUE"""),"https://www.tiktok.com/@kak.uung")</f>
        <v>https://www.tiktok.com/@kak.uung</v>
      </c>
      <c r="D67" s="270"/>
      <c r="E67" s="362">
        <f>IFERROR(__xludf.DUMMYFUNCTION("""COMPUTED_VALUE"""),0.0)</f>
        <v>0</v>
      </c>
      <c r="F67" s="270">
        <f>IFERROR(__xludf.DUMMYFUNCTION("""COMPUTED_VALUE"""),2.0)</f>
        <v>2</v>
      </c>
      <c r="G67" s="17" t="str">
        <f>IFERROR(__xludf.DUMMYFUNCTION("""COMPUTED_VALUE"""),"12,64jt")</f>
        <v>12,64jt</v>
      </c>
      <c r="H67" s="355" t="str">
        <f>IFERROR(__xludf.DUMMYFUNCTION("""COMPUTED_VALUE"""),"""Paket Skincare 1 (Toneup, Instaglow Cream, dan Essence""")</f>
        <v>"Paket Skincare 1 (Toneup, Instaglow Cream, dan Essence"</v>
      </c>
      <c r="I67" s="356" t="str">
        <f>IFERROR(__xludf.DUMMYFUNCTION("""COMPUTED_VALUE"""),"Sampai")</f>
        <v>Sampai</v>
      </c>
      <c r="J67" s="357"/>
      <c r="K67" s="279" t="str">
        <f>IFERROR(__xludf.DUMMYFUNCTION("""COMPUTED_VALUE"""),"https://www.tiktok.com/@kak.uung/video/7625233676346969365?is_from_webapp=1&amp;sender_device=pc")</f>
        <v>https://www.tiktok.com/@kak.uung/video/7625233676346969365?is_from_webapp=1&amp;sender_device=pc</v>
      </c>
      <c r="L67" s="357"/>
      <c r="M67" s="279" t="str">
        <f>IFERROR(__xludf.DUMMYFUNCTION("""COMPUTED_VALUE"""),"https://www.tiktok.com/@kak.uung/video/7629920681274133780?is_from_webapp=1&amp;sender_device=pc")</f>
        <v>https://www.tiktok.com/@kak.uung/video/7629920681274133780?is_from_webapp=1&amp;sender_device=pc</v>
      </c>
      <c r="N67" s="357"/>
      <c r="O67" s="17"/>
      <c r="P67" s="357"/>
      <c r="Q67" s="17"/>
      <c r="R67" s="17"/>
      <c r="S67" s="17"/>
      <c r="T67" s="365">
        <f>IFERROR(__xludf.DUMMYFUNCTION("""COMPUTED_VALUE"""),21024.0)</f>
        <v>21024</v>
      </c>
      <c r="U67" s="365">
        <f>IFERROR(__xludf.DUMMYFUNCTION("""COMPUTED_VALUE"""),0.0)</f>
        <v>0</v>
      </c>
      <c r="V67" s="365">
        <f>IFERROR(__xludf.DUMMYFUNCTION("""COMPUTED_VALUE"""),0.0)</f>
        <v>0</v>
      </c>
      <c r="W67" s="365">
        <f>IFERROR(__xludf.DUMMYFUNCTION("""COMPUTED_VALUE"""),0.0)</f>
        <v>0</v>
      </c>
    </row>
    <row r="68">
      <c r="A68" s="255" t="str">
        <f>IFERROR(__xludf.DUMMYFUNCTION("""COMPUTED_VALUE"""),"NANO")</f>
        <v>NANO</v>
      </c>
      <c r="B68" s="23" t="str">
        <f>IFERROR(__xludf.DUMMYFUNCTION("""COMPUTED_VALUE"""),"nirzabalqis_")</f>
        <v>nirzabalqis_</v>
      </c>
      <c r="C68" s="281" t="str">
        <f>IFERROR(__xludf.DUMMYFUNCTION("""COMPUTED_VALUE"""),"https://www.tiktok.com/@nirzabalqis_")</f>
        <v>https://www.tiktok.com/@nirzabalqis_</v>
      </c>
      <c r="D68" s="270"/>
      <c r="E68" s="362">
        <f>IFERROR(__xludf.DUMMYFUNCTION("""COMPUTED_VALUE"""),0.0)</f>
        <v>0</v>
      </c>
      <c r="F68" s="270">
        <f>IFERROR(__xludf.DUMMYFUNCTION("""COMPUTED_VALUE"""),2.0)</f>
        <v>2</v>
      </c>
      <c r="G68" s="17" t="str">
        <f>IFERROR(__xludf.DUMMYFUNCTION("""COMPUTED_VALUE"""),"8,26jt")</f>
        <v>8,26jt</v>
      </c>
      <c r="H68" s="355" t="str">
        <f>IFERROR(__xludf.DUMMYFUNCTION("""COMPUTED_VALUE"""),"""Paket Skincare 2 (Fw low ph, acne spot, dan instaglow cream)""")</f>
        <v>"Paket Skincare 2 (Fw low ph, acne spot, dan instaglow cream)"</v>
      </c>
      <c r="I68" s="356" t="str">
        <f>IFERROR(__xludf.DUMMYFUNCTION("""COMPUTED_VALUE"""),"Sampai")</f>
        <v>Sampai</v>
      </c>
      <c r="J68" s="357"/>
      <c r="K68" s="279" t="str">
        <f>IFERROR(__xludf.DUMMYFUNCTION("""COMPUTED_VALUE"""),"https://www.tiktok.com/@nirzabalqis_/video/7622911247884930322?is_from_webapp=1&amp;sender_device=pc")</f>
        <v>https://www.tiktok.com/@nirzabalqis_/video/7622911247884930322?is_from_webapp=1&amp;sender_device=pc</v>
      </c>
      <c r="L68" s="357"/>
      <c r="M68" s="279" t="str">
        <f>IFERROR(__xludf.DUMMYFUNCTION("""COMPUTED_VALUE"""),"https://www.tiktok.com/@nirzabalqis_/video/7623760103916850440?is_from_webapp=1&amp;sender_device=pc")</f>
        <v>https://www.tiktok.com/@nirzabalqis_/video/7623760103916850440?is_from_webapp=1&amp;sender_device=pc</v>
      </c>
      <c r="N68" s="357"/>
      <c r="O68" s="279" t="str">
        <f>IFERROR(__xludf.DUMMYFUNCTION("""COMPUTED_VALUE"""),"https://www.tiktok.com/@nirzabalqis_/video/7626369586333486343?is_from_webapp=1&amp;sender_device=pc")</f>
        <v>https://www.tiktok.com/@nirzabalqis_/video/7626369586333486343?is_from_webapp=1&amp;sender_device=pc</v>
      </c>
      <c r="P68" s="357"/>
      <c r="Q68" s="17"/>
      <c r="R68" s="17"/>
      <c r="S68" s="17"/>
      <c r="T68" s="365">
        <f>IFERROR(__xludf.DUMMYFUNCTION("""COMPUTED_VALUE"""),0.0)</f>
        <v>0</v>
      </c>
      <c r="U68" s="365">
        <f>IFERROR(__xludf.DUMMYFUNCTION("""COMPUTED_VALUE"""),0.0)</f>
        <v>0</v>
      </c>
      <c r="V68" s="365">
        <f>IFERROR(__xludf.DUMMYFUNCTION("""COMPUTED_VALUE"""),0.0)</f>
        <v>0</v>
      </c>
      <c r="W68" s="365">
        <f>IFERROR(__xludf.DUMMYFUNCTION("""COMPUTED_VALUE"""),0.0)</f>
        <v>0</v>
      </c>
    </row>
    <row r="69">
      <c r="A69" s="255" t="str">
        <f>IFERROR(__xludf.DUMMYFUNCTION("""COMPUTED_VALUE"""),"NANO")</f>
        <v>NANO</v>
      </c>
      <c r="B69" s="23" t="str">
        <f>IFERROR(__xludf.DUMMYFUNCTION("""COMPUTED_VALUE"""),"Nvstore8")</f>
        <v>Nvstore8</v>
      </c>
      <c r="C69" s="281" t="str">
        <f>IFERROR(__xludf.DUMMYFUNCTION("""COMPUTED_VALUE"""),"https://www.tiktok.com/@Nvstore8")</f>
        <v>https://www.tiktok.com/@Nvstore8</v>
      </c>
      <c r="D69" s="270"/>
      <c r="E69" s="362">
        <f>IFERROR(__xludf.DUMMYFUNCTION("""COMPUTED_VALUE"""),0.0)</f>
        <v>0</v>
      </c>
      <c r="F69" s="270">
        <f>IFERROR(__xludf.DUMMYFUNCTION("""COMPUTED_VALUE"""),2.0)</f>
        <v>2</v>
      </c>
      <c r="G69" s="17" t="str">
        <f>IFERROR(__xludf.DUMMYFUNCTION("""COMPUTED_VALUE"""),"67,53jt")</f>
        <v>67,53jt</v>
      </c>
      <c r="H69" s="355" t="str">
        <f>IFERROR(__xludf.DUMMYFUNCTION("""COMPUTED_VALUE"""),"Body Bleach")</f>
        <v>Body Bleach</v>
      </c>
      <c r="I69" s="356" t="str">
        <f>IFERROR(__xludf.DUMMYFUNCTION("""COMPUTED_VALUE"""),"Sampai")</f>
        <v>Sampai</v>
      </c>
      <c r="J69" s="357"/>
      <c r="K69" s="279" t="str">
        <f>IFERROR(__xludf.DUMMYFUNCTION("""COMPUTED_VALUE"""),"https://www.tiktok.com/@nvstore8/video/7623663945940733204?is_from_webapp=1&amp;sender_device=pc")</f>
        <v>https://www.tiktok.com/@nvstore8/video/7623663945940733204?is_from_webapp=1&amp;sender_device=pc</v>
      </c>
      <c r="L69" s="357"/>
      <c r="M69" s="279" t="str">
        <f>IFERROR(__xludf.DUMMYFUNCTION("""COMPUTED_VALUE"""),"https://www.tiktok.com/@nvstore8/video/7625179343169260820?is_from_webapp=1&amp;sender_device=pc")</f>
        <v>https://www.tiktok.com/@nvstore8/video/7625179343169260820?is_from_webapp=1&amp;sender_device=pc</v>
      </c>
      <c r="N69" s="357"/>
      <c r="O69" s="17"/>
      <c r="P69" s="357"/>
      <c r="Q69" s="17"/>
      <c r="R69" s="17"/>
      <c r="S69" s="17"/>
      <c r="T69" s="365">
        <f>IFERROR(__xludf.DUMMYFUNCTION("""COMPUTED_VALUE"""),24800.0)</f>
        <v>24800</v>
      </c>
      <c r="U69" s="365">
        <f>IFERROR(__xludf.DUMMYFUNCTION("""COMPUTED_VALUE"""),0.0)</f>
        <v>0</v>
      </c>
      <c r="V69" s="365">
        <f>IFERROR(__xludf.DUMMYFUNCTION("""COMPUTED_VALUE"""),0.0)</f>
        <v>0</v>
      </c>
      <c r="W69" s="365">
        <f>IFERROR(__xludf.DUMMYFUNCTION("""COMPUTED_VALUE"""),0.0)</f>
        <v>0</v>
      </c>
    </row>
    <row r="70">
      <c r="A70" s="255" t="str">
        <f>IFERROR(__xludf.DUMMYFUNCTION("""COMPUTED_VALUE"""),"MICRO")</f>
        <v>MICRO</v>
      </c>
      <c r="B70" s="23" t="str">
        <f>IFERROR(__xludf.DUMMYFUNCTION("""COMPUTED_VALUE"""),"storyandine")</f>
        <v>storyandine</v>
      </c>
      <c r="C70" s="281" t="str">
        <f>IFERROR(__xludf.DUMMYFUNCTION("""COMPUTED_VALUE"""),"https://www.tiktok.com/@storyandine")</f>
        <v>https://www.tiktok.com/@storyandine</v>
      </c>
      <c r="D70" s="270"/>
      <c r="E70" s="362">
        <f>IFERROR(__xludf.DUMMYFUNCTION("""COMPUTED_VALUE"""),0.0)</f>
        <v>0</v>
      </c>
      <c r="F70" s="270">
        <f>IFERROR(__xludf.DUMMYFUNCTION("""COMPUTED_VALUE"""),2.0)</f>
        <v>2</v>
      </c>
      <c r="G70" s="17" t="str">
        <f>IFERROR(__xludf.DUMMYFUNCTION("""COMPUTED_VALUE"""),"130.04JT")</f>
        <v>130.04JT</v>
      </c>
      <c r="H70" s="355" t="str">
        <f>IFERROR(__xludf.DUMMYFUNCTION("""COMPUTED_VALUE"""),"Body Bleach")</f>
        <v>Body Bleach</v>
      </c>
      <c r="I70" s="356" t="str">
        <f>IFERROR(__xludf.DUMMYFUNCTION("""COMPUTED_VALUE"""),"Sudah Proses Pengiriman")</f>
        <v>Sudah Proses Pengiriman</v>
      </c>
      <c r="J70" s="357"/>
      <c r="K70" s="279" t="str">
        <f>IFERROR(__xludf.DUMMYFUNCTION("""COMPUTED_VALUE"""),"https://vt.tiktok.com/ZSHWAsPH1/")</f>
        <v>https://vt.tiktok.com/ZSHWAsPH1/</v>
      </c>
      <c r="L70" s="357"/>
      <c r="M70" s="279" t="str">
        <f>IFERROR(__xludf.DUMMYFUNCTION("""COMPUTED_VALUE"""),"https://vt.tiktok.com/ZS9JG73uR/")</f>
        <v>https://vt.tiktok.com/ZS9JG73uR/</v>
      </c>
      <c r="N70" s="357"/>
      <c r="O70" s="17"/>
      <c r="P70" s="357"/>
      <c r="Q70" s="17"/>
      <c r="R70" s="17"/>
      <c r="S70" s="17"/>
      <c r="T70" s="365">
        <f>IFERROR(__xludf.DUMMYFUNCTION("""COMPUTED_VALUE"""),0.0)</f>
        <v>0</v>
      </c>
      <c r="U70" s="365">
        <f>IFERROR(__xludf.DUMMYFUNCTION("""COMPUTED_VALUE"""),0.0)</f>
        <v>0</v>
      </c>
      <c r="V70" s="365">
        <f>IFERROR(__xludf.DUMMYFUNCTION("""COMPUTED_VALUE"""),0.0)</f>
        <v>0</v>
      </c>
      <c r="W70" s="365">
        <f>IFERROR(__xludf.DUMMYFUNCTION("""COMPUTED_VALUE"""),0.0)</f>
        <v>0</v>
      </c>
    </row>
    <row r="71">
      <c r="A71" s="255" t="str">
        <f>IFERROR(__xludf.DUMMYFUNCTION("""COMPUTED_VALUE"""),"MACRO")</f>
        <v>MACRO</v>
      </c>
      <c r="B71" s="23" t="str">
        <f>IFERROR(__xludf.DUMMYFUNCTION("""COMPUTED_VALUE"""),"Anitanursyifa ")</f>
        <v>Anitanursyifa </v>
      </c>
      <c r="C71" s="281" t="str">
        <f>IFERROR(__xludf.DUMMYFUNCTION("""COMPUTED_VALUE"""),"https://www.tiktok.com/@Anitanursyifa ")</f>
        <v>https://www.tiktok.com/@Anitanursyifa </v>
      </c>
      <c r="D71" s="270"/>
      <c r="E71" s="362">
        <f>IFERROR(__xludf.DUMMYFUNCTION("""COMPUTED_VALUE"""),0.0)</f>
        <v>0</v>
      </c>
      <c r="F71" s="270">
        <f>IFERROR(__xludf.DUMMYFUNCTION("""COMPUTED_VALUE"""),2.0)</f>
        <v>2</v>
      </c>
      <c r="G71" s="17" t="str">
        <f>IFERROR(__xludf.DUMMYFUNCTION("""COMPUTED_VALUE"""),"51K")</f>
        <v>51K</v>
      </c>
      <c r="H71" s="355" t="str">
        <f>IFERROR(__xludf.DUMMYFUNCTION("""COMPUTED_VALUE"""),"Body Bleach, Hair Serum")</f>
        <v>Body Bleach, Hair Serum</v>
      </c>
      <c r="I71" s="356" t="str">
        <f>IFERROR(__xludf.DUMMYFUNCTION("""COMPUTED_VALUE"""),"Sampai")</f>
        <v>Sampai</v>
      </c>
      <c r="J71" s="357"/>
      <c r="K71" s="279" t="str">
        <f>IFERROR(__xludf.DUMMYFUNCTION("""COMPUTED_VALUE"""),"https://vt.tiktok.com/ZSHVLtL1F/")</f>
        <v>https://vt.tiktok.com/ZSHVLtL1F/</v>
      </c>
      <c r="L71" s="357"/>
      <c r="M71" s="279" t="str">
        <f>IFERROR(__xludf.DUMMYFUNCTION("""COMPUTED_VALUE"""),"https://vt.tiktok.com/ZSHVLnb9A/")</f>
        <v>https://vt.tiktok.com/ZSHVLnb9A/</v>
      </c>
      <c r="N71" s="357"/>
      <c r="O71" s="17"/>
      <c r="P71" s="357"/>
      <c r="Q71" s="17"/>
      <c r="R71" s="17"/>
      <c r="S71" s="17"/>
      <c r="T71" s="365">
        <f>IFERROR(__xludf.DUMMYFUNCTION("""COMPUTED_VALUE"""),0.0)</f>
        <v>0</v>
      </c>
      <c r="U71" s="365">
        <f>IFERROR(__xludf.DUMMYFUNCTION("""COMPUTED_VALUE"""),0.0)</f>
        <v>0</v>
      </c>
      <c r="V71" s="365">
        <f>IFERROR(__xludf.DUMMYFUNCTION("""COMPUTED_VALUE"""),0.0)</f>
        <v>0</v>
      </c>
      <c r="W71" s="365">
        <f>IFERROR(__xludf.DUMMYFUNCTION("""COMPUTED_VALUE"""),0.0)</f>
        <v>0</v>
      </c>
    </row>
    <row r="72">
      <c r="A72" s="255" t="str">
        <f>IFERROR(__xludf.DUMMYFUNCTION("""COMPUTED_VALUE"""),"NANO")</f>
        <v>NANO</v>
      </c>
      <c r="B72" s="23" t="str">
        <f>IFERROR(__xludf.DUMMYFUNCTION("""COMPUTED_VALUE"""),"mell.nt")</f>
        <v>mell.nt</v>
      </c>
      <c r="C72" s="281" t="str">
        <f>IFERROR(__xludf.DUMMYFUNCTION("""COMPUTED_VALUE"""),"https://www.tiktok.com/@mell.nt")</f>
        <v>https://www.tiktok.com/@mell.nt</v>
      </c>
      <c r="D72" s="270"/>
      <c r="E72" s="362">
        <f>IFERROR(__xludf.DUMMYFUNCTION("""COMPUTED_VALUE"""),0.0)</f>
        <v>0</v>
      </c>
      <c r="F72" s="270">
        <f>IFERROR(__xludf.DUMMYFUNCTION("""COMPUTED_VALUE"""),2.0)</f>
        <v>2</v>
      </c>
      <c r="G72" s="17" t="str">
        <f>IFERROR(__xludf.DUMMYFUNCTION("""COMPUTED_VALUE"""),"49jt")</f>
        <v>49jt</v>
      </c>
      <c r="H72" s="355" t="str">
        <f>IFERROR(__xludf.DUMMYFUNCTION("""COMPUTED_VALUE"""),"Body Bleach")</f>
        <v>Body Bleach</v>
      </c>
      <c r="I72" s="356" t="str">
        <f>IFERROR(__xludf.DUMMYFUNCTION("""COMPUTED_VALUE"""),"Sudah Proses Pengiriman")</f>
        <v>Sudah Proses Pengiriman</v>
      </c>
      <c r="J72" s="357"/>
      <c r="K72" s="279" t="str">
        <f>IFERROR(__xludf.DUMMYFUNCTION("""COMPUTED_VALUE"""),"https://vt.tiktok.com/ZSHb964G7/")</f>
        <v>https://vt.tiktok.com/ZSHb964G7/</v>
      </c>
      <c r="L72" s="357"/>
      <c r="M72" s="279" t="str">
        <f>IFERROR(__xludf.DUMMYFUNCTION("""COMPUTED_VALUE"""),"https://vt.tiktok.com/ZS91kGJAc/")</f>
        <v>https://vt.tiktok.com/ZS91kGJAc/</v>
      </c>
      <c r="N72" s="357"/>
      <c r="O72" s="17"/>
      <c r="P72" s="357"/>
      <c r="Q72" s="17"/>
      <c r="R72" s="17"/>
      <c r="S72" s="17"/>
      <c r="T72" s="365">
        <f>IFERROR(__xludf.DUMMYFUNCTION("""COMPUTED_VALUE"""),0.0)</f>
        <v>0</v>
      </c>
      <c r="U72" s="365">
        <f>IFERROR(__xludf.DUMMYFUNCTION("""COMPUTED_VALUE"""),0.0)</f>
        <v>0</v>
      </c>
      <c r="V72" s="365">
        <f>IFERROR(__xludf.DUMMYFUNCTION("""COMPUTED_VALUE"""),0.0)</f>
        <v>0</v>
      </c>
      <c r="W72" s="365">
        <f>IFERROR(__xludf.DUMMYFUNCTION("""COMPUTED_VALUE"""),0.0)</f>
        <v>0</v>
      </c>
    </row>
    <row r="73">
      <c r="A73" s="255" t="str">
        <f>IFERROR(__xludf.DUMMYFUNCTION("""COMPUTED_VALUE"""),"NANO")</f>
        <v>NANO</v>
      </c>
      <c r="B73" s="23" t="str">
        <f>IFERROR(__xludf.DUMMYFUNCTION("""COMPUTED_VALUE"""),"naylaazhrni")</f>
        <v>naylaazhrni</v>
      </c>
      <c r="C73" s="281" t="str">
        <f>IFERROR(__xludf.DUMMYFUNCTION("""COMPUTED_VALUE"""),"https://www.tiktok.com/@naylaazhrni")</f>
        <v>https://www.tiktok.com/@naylaazhrni</v>
      </c>
      <c r="D73" s="270"/>
      <c r="E73" s="362">
        <f>IFERROR(__xludf.DUMMYFUNCTION("""COMPUTED_VALUE"""),0.0)</f>
        <v>0</v>
      </c>
      <c r="F73" s="270">
        <f>IFERROR(__xludf.DUMMYFUNCTION("""COMPUTED_VALUE"""),2.0)</f>
        <v>2</v>
      </c>
      <c r="G73" s="17" t="str">
        <f>IFERROR(__xludf.DUMMYFUNCTION("""COMPUTED_VALUE"""),"13,5jt")</f>
        <v>13,5jt</v>
      </c>
      <c r="H73" s="355" t="str">
        <f>IFERROR(__xludf.DUMMYFUNCTION("""COMPUTED_VALUE"""),"Body Bleach")</f>
        <v>Body Bleach</v>
      </c>
      <c r="I73" s="356" t="str">
        <f>IFERROR(__xludf.DUMMYFUNCTION("""COMPUTED_VALUE"""),"Sampai")</f>
        <v>Sampai</v>
      </c>
      <c r="J73" s="357"/>
      <c r="K73" s="279" t="str">
        <f>IFERROR(__xludf.DUMMYFUNCTION("""COMPUTED_VALUE"""),"https://vt.tiktok.com/ZSHByaM7s/")</f>
        <v>https://vt.tiktok.com/ZSHByaM7s/</v>
      </c>
      <c r="L73" s="357"/>
      <c r="M73" s="279" t="str">
        <f>IFERROR(__xludf.DUMMYFUNCTION("""COMPUTED_VALUE"""),"https://vt.tiktok.com/ZSHboHUtU/")</f>
        <v>https://vt.tiktok.com/ZSHboHUtU/</v>
      </c>
      <c r="N73" s="357"/>
      <c r="O73" s="17"/>
      <c r="P73" s="357"/>
      <c r="Q73" s="17"/>
      <c r="R73" s="17"/>
      <c r="S73" s="17"/>
      <c r="T73" s="365">
        <f>IFERROR(__xludf.DUMMYFUNCTION("""COMPUTED_VALUE"""),0.0)</f>
        <v>0</v>
      </c>
      <c r="U73" s="365">
        <f>IFERROR(__xludf.DUMMYFUNCTION("""COMPUTED_VALUE"""),0.0)</f>
        <v>0</v>
      </c>
      <c r="V73" s="365">
        <f>IFERROR(__xludf.DUMMYFUNCTION("""COMPUTED_VALUE"""),0.0)</f>
        <v>0</v>
      </c>
      <c r="W73" s="365">
        <f>IFERROR(__xludf.DUMMYFUNCTION("""COMPUTED_VALUE"""),0.0)</f>
        <v>0</v>
      </c>
    </row>
    <row r="74">
      <c r="A74" s="255" t="str">
        <f>IFERROR(__xludf.DUMMYFUNCTION("""COMPUTED_VALUE"""),"NANO")</f>
        <v>NANO</v>
      </c>
      <c r="B74" s="23" t="str">
        <f>IFERROR(__xludf.DUMMYFUNCTION("""COMPUTED_VALUE"""),"cipawwanisa")</f>
        <v>cipawwanisa</v>
      </c>
      <c r="C74" s="281" t="str">
        <f>IFERROR(__xludf.DUMMYFUNCTION("""COMPUTED_VALUE"""),"https://www.tiktok.com/@cipawwanisa")</f>
        <v>https://www.tiktok.com/@cipawwanisa</v>
      </c>
      <c r="D74" s="270"/>
      <c r="E74" s="362">
        <f>IFERROR(__xludf.DUMMYFUNCTION("""COMPUTED_VALUE"""),0.0)</f>
        <v>0</v>
      </c>
      <c r="F74" s="270">
        <f>IFERROR(__xludf.DUMMYFUNCTION("""COMPUTED_VALUE"""),2.0)</f>
        <v>2</v>
      </c>
      <c r="G74" s="17" t="str">
        <f>IFERROR(__xludf.DUMMYFUNCTION("""COMPUTED_VALUE"""),"96,1jt")</f>
        <v>96,1jt</v>
      </c>
      <c r="H74" s="355" t="str">
        <f>IFERROR(__xludf.DUMMYFUNCTION("""COMPUTED_VALUE"""),"Body Bleach")</f>
        <v>Body Bleach</v>
      </c>
      <c r="I74" s="356" t="str">
        <f>IFERROR(__xludf.DUMMYFUNCTION("""COMPUTED_VALUE"""),"Sampai")</f>
        <v>Sampai</v>
      </c>
      <c r="J74" s="357"/>
      <c r="K74" s="279" t="str">
        <f>IFERROR(__xludf.DUMMYFUNCTION("""COMPUTED_VALUE"""),"https://vt.tiktok.com/ZSHbfmDet/")</f>
        <v>https://vt.tiktok.com/ZSHbfmDet/</v>
      </c>
      <c r="L74" s="357"/>
      <c r="M74" s="279" t="str">
        <f>IFERROR(__xludf.DUMMYFUNCTION("""COMPUTED_VALUE"""),"https://vt.tiktok.com/ZSHnE1WNX/")</f>
        <v>https://vt.tiktok.com/ZSHnE1WNX/</v>
      </c>
      <c r="N74" s="357"/>
      <c r="O74" s="17"/>
      <c r="P74" s="357"/>
      <c r="Q74" s="17"/>
      <c r="R74" s="17"/>
      <c r="S74" s="17"/>
      <c r="T74" s="365">
        <f>IFERROR(__xludf.DUMMYFUNCTION("""COMPUTED_VALUE"""),0.0)</f>
        <v>0</v>
      </c>
      <c r="U74" s="365">
        <f>IFERROR(__xludf.DUMMYFUNCTION("""COMPUTED_VALUE"""),0.0)</f>
        <v>0</v>
      </c>
      <c r="V74" s="365">
        <f>IFERROR(__xludf.DUMMYFUNCTION("""COMPUTED_VALUE"""),0.0)</f>
        <v>0</v>
      </c>
      <c r="W74" s="365">
        <f>IFERROR(__xludf.DUMMYFUNCTION("""COMPUTED_VALUE"""),0.0)</f>
        <v>0</v>
      </c>
    </row>
    <row r="75">
      <c r="A75" s="255" t="str">
        <f>IFERROR(__xludf.DUMMYFUNCTION("""COMPUTED_VALUE"""),"NANO")</f>
        <v>NANO</v>
      </c>
      <c r="B75" s="23" t="str">
        <f>IFERROR(__xludf.DUMMYFUNCTION("""COMPUTED_VALUE"""),"Prettygirls.www")</f>
        <v>Prettygirls.www</v>
      </c>
      <c r="C75" s="281" t="str">
        <f>IFERROR(__xludf.DUMMYFUNCTION("""COMPUTED_VALUE"""),"https://www.tiktok.com/@Prettygirls.www")</f>
        <v>https://www.tiktok.com/@Prettygirls.www</v>
      </c>
      <c r="D75" s="270">
        <f>IFERROR(__xludf.DUMMYFUNCTION("""COMPUTED_VALUE"""),8.1936933668E10)</f>
        <v>81936933668</v>
      </c>
      <c r="E75" s="362">
        <f>IFERROR(__xludf.DUMMYFUNCTION("""COMPUTED_VALUE"""),0.0)</f>
        <v>0</v>
      </c>
      <c r="F75" s="270">
        <f>IFERROR(__xludf.DUMMYFUNCTION("""COMPUTED_VALUE"""),3.0)</f>
        <v>3</v>
      </c>
      <c r="G75" s="17" t="str">
        <f>IFERROR(__xludf.DUMMYFUNCTION("""COMPUTED_VALUE"""),"Rp101,7JT")</f>
        <v>Rp101,7JT</v>
      </c>
      <c r="H75" s="355" t="str">
        <f>IFERROR(__xludf.DUMMYFUNCTION("""COMPUTED_VALUE"""),"Body Bleach")</f>
        <v>Body Bleach</v>
      </c>
      <c r="I75" s="356" t="str">
        <f>IFERROR(__xludf.DUMMYFUNCTION("""COMPUTED_VALUE"""),"Sampai")</f>
        <v>Sampai</v>
      </c>
      <c r="J75" s="357"/>
      <c r="K75" s="279" t="str">
        <f>IFERROR(__xludf.DUMMYFUNCTION("""COMPUTED_VALUE"""),"https://vt.tiktok.com/ZSHHa3PJx/")</f>
        <v>https://vt.tiktok.com/ZSHHa3PJx/</v>
      </c>
      <c r="L75" s="357"/>
      <c r="M75" s="279" t="str">
        <f>IFERROR(__xludf.DUMMYFUNCTION("""COMPUTED_VALUE"""),"https://vt.tiktok.com/ZSHtLge3A/")</f>
        <v>https://vt.tiktok.com/ZSHtLge3A/</v>
      </c>
      <c r="N75" s="357"/>
      <c r="O75" s="17"/>
      <c r="P75" s="357"/>
      <c r="Q75" s="17"/>
      <c r="R75" s="17"/>
      <c r="S75" s="17"/>
      <c r="T75" s="365">
        <f>IFERROR(__xludf.DUMMYFUNCTION("""COMPUTED_VALUE"""),49600.0)</f>
        <v>49600</v>
      </c>
      <c r="U75" s="365">
        <f>IFERROR(__xludf.DUMMYFUNCTION("""COMPUTED_VALUE"""),0.0)</f>
        <v>0</v>
      </c>
      <c r="V75" s="365">
        <f>IFERROR(__xludf.DUMMYFUNCTION("""COMPUTED_VALUE"""),0.0)</f>
        <v>0</v>
      </c>
      <c r="W75" s="365">
        <f>IFERROR(__xludf.DUMMYFUNCTION("""COMPUTED_VALUE"""),0.0)</f>
        <v>0</v>
      </c>
    </row>
    <row r="76">
      <c r="A76" s="255" t="str">
        <f>IFERROR(__xludf.DUMMYFUNCTION("""COMPUTED_VALUE"""),"MICRO")</f>
        <v>MICRO</v>
      </c>
      <c r="B76" s="23" t="str">
        <f>IFERROR(__xludf.DUMMYFUNCTION("""COMPUTED_VALUE"""),"nandajeliss")</f>
        <v>nandajeliss</v>
      </c>
      <c r="C76" s="281" t="str">
        <f>IFERROR(__xludf.DUMMYFUNCTION("""COMPUTED_VALUE"""),"https://www.tiktok.com/@nandajeliss")</f>
        <v>https://www.tiktok.com/@nandajeliss</v>
      </c>
      <c r="D76" s="270"/>
      <c r="E76" s="362">
        <f>IFERROR(__xludf.DUMMYFUNCTION("""COMPUTED_VALUE"""),0.0)</f>
        <v>0</v>
      </c>
      <c r="F76" s="270">
        <f>IFERROR(__xludf.DUMMYFUNCTION("""COMPUTED_VALUE"""),2.0)</f>
        <v>2</v>
      </c>
      <c r="G76" s="17" t="str">
        <f>IFERROR(__xludf.DUMMYFUNCTION("""COMPUTED_VALUE"""),"Rp9,3JT")</f>
        <v>Rp9,3JT</v>
      </c>
      <c r="H76" s="355" t="str">
        <f>IFERROR(__xludf.DUMMYFUNCTION("""COMPUTED_VALUE"""),"Body Bleach")</f>
        <v>Body Bleach</v>
      </c>
      <c r="I76" s="356" t="str">
        <f>IFERROR(__xludf.DUMMYFUNCTION("""COMPUTED_VALUE"""),"Sampai")</f>
        <v>Sampai</v>
      </c>
      <c r="J76" s="357"/>
      <c r="K76" s="279" t="str">
        <f>IFERROR(__xludf.DUMMYFUNCTION("""COMPUTED_VALUE"""),"https://www.tiktok.com/@nandajeliss/video/7625254207347608850?_r=1&amp;_t=ZS-95KuxZVWlrl")</f>
        <v>https://www.tiktok.com/@nandajeliss/video/7625254207347608850?_r=1&amp;_t=ZS-95KuxZVWlrl</v>
      </c>
      <c r="L76" s="357"/>
      <c r="M76" s="279" t="str">
        <f>IFERROR(__xludf.DUMMYFUNCTION("""COMPUTED_VALUE"""),"https://vt.tiktok.com/ZSHxjGWDp/")</f>
        <v>https://vt.tiktok.com/ZSHxjGWDp/</v>
      </c>
      <c r="N76" s="357"/>
      <c r="O76" s="17"/>
      <c r="P76" s="357"/>
      <c r="Q76" s="17"/>
      <c r="R76" s="17"/>
      <c r="S76" s="17"/>
      <c r="T76" s="365">
        <f>IFERROR(__xludf.DUMMYFUNCTION("""COMPUTED_VALUE"""),0.0)</f>
        <v>0</v>
      </c>
      <c r="U76" s="365">
        <f>IFERROR(__xludf.DUMMYFUNCTION("""COMPUTED_VALUE"""),0.0)</f>
        <v>0</v>
      </c>
      <c r="V76" s="365">
        <f>IFERROR(__xludf.DUMMYFUNCTION("""COMPUTED_VALUE"""),0.0)</f>
        <v>0</v>
      </c>
      <c r="W76" s="365">
        <f>IFERROR(__xludf.DUMMYFUNCTION("""COMPUTED_VALUE"""),0.0)</f>
        <v>0</v>
      </c>
    </row>
    <row r="77">
      <c r="A77" s="255" t="str">
        <f>IFERROR(__xludf.DUMMYFUNCTION("""COMPUTED_VALUE"""),"MICRO")</f>
        <v>MICRO</v>
      </c>
      <c r="B77" s="23" t="str">
        <f>IFERROR(__xludf.DUMMYFUNCTION("""COMPUTED_VALUE"""),"kaaaaast")</f>
        <v>kaaaaast</v>
      </c>
      <c r="C77" s="281" t="str">
        <f>IFERROR(__xludf.DUMMYFUNCTION("""COMPUTED_VALUE"""),"https://www.tiktok.com/@kaaaaast")</f>
        <v>https://www.tiktok.com/@kaaaaast</v>
      </c>
      <c r="D77" s="270">
        <f>IFERROR(__xludf.DUMMYFUNCTION("""COMPUTED_VALUE"""),8.2243166916E10)</f>
        <v>82243166916</v>
      </c>
      <c r="E77" s="362">
        <f>IFERROR(__xludf.DUMMYFUNCTION("""COMPUTED_VALUE"""),0.0)</f>
        <v>0</v>
      </c>
      <c r="F77" s="270">
        <f>IFERROR(__xludf.DUMMYFUNCTION("""COMPUTED_VALUE"""),2.0)</f>
        <v>2</v>
      </c>
      <c r="G77" s="17" t="str">
        <f>IFERROR(__xludf.DUMMYFUNCTION("""COMPUTED_VALUE"""),"Rp6,9JT")</f>
        <v>Rp6,9JT</v>
      </c>
      <c r="H77" s="355" t="str">
        <f>IFERROR(__xludf.DUMMYFUNCTION("""COMPUTED_VALUE"""),"Body Bleach")</f>
        <v>Body Bleach</v>
      </c>
      <c r="I77" s="356" t="str">
        <f>IFERROR(__xludf.DUMMYFUNCTION("""COMPUTED_VALUE"""),"Sampai")</f>
        <v>Sampai</v>
      </c>
      <c r="J77" s="357"/>
      <c r="K77" s="279" t="str">
        <f>IFERROR(__xludf.DUMMYFUNCTION("""COMPUTED_VALUE"""),"https://vt.tiktok.com/ZSHPtnTD8/")</f>
        <v>https://vt.tiktok.com/ZSHPtnTD8/</v>
      </c>
      <c r="L77" s="357"/>
      <c r="M77" s="279" t="str">
        <f>IFERROR(__xludf.DUMMYFUNCTION("""COMPUTED_VALUE"""),"https://vt.tiktok.com/ZSHbV7uVK/")</f>
        <v>https://vt.tiktok.com/ZSHbV7uVK/</v>
      </c>
      <c r="N77" s="357"/>
      <c r="O77" s="17"/>
      <c r="P77" s="357"/>
      <c r="Q77" s="17"/>
      <c r="R77" s="17"/>
      <c r="S77" s="17"/>
      <c r="T77" s="365">
        <f>IFERROR(__xludf.DUMMYFUNCTION("""COMPUTED_VALUE"""),0.0)</f>
        <v>0</v>
      </c>
      <c r="U77" s="365">
        <f>IFERROR(__xludf.DUMMYFUNCTION("""COMPUTED_VALUE"""),0.0)</f>
        <v>0</v>
      </c>
      <c r="V77" s="365">
        <f>IFERROR(__xludf.DUMMYFUNCTION("""COMPUTED_VALUE"""),0.0)</f>
        <v>0</v>
      </c>
      <c r="W77" s="365">
        <f>IFERROR(__xludf.DUMMYFUNCTION("""COMPUTED_VALUE"""),0.0)</f>
        <v>0</v>
      </c>
    </row>
    <row r="78">
      <c r="A78" s="255" t="str">
        <f>IFERROR(__xludf.DUMMYFUNCTION("""COMPUTED_VALUE"""),"NANO")</f>
        <v>NANO</v>
      </c>
      <c r="B78" s="23" t="str">
        <f>IFERROR(__xludf.DUMMYFUNCTION("""COMPUTED_VALUE"""),"nelaa574")</f>
        <v>nelaa574</v>
      </c>
      <c r="C78" s="281" t="str">
        <f>IFERROR(__xludf.DUMMYFUNCTION("""COMPUTED_VALUE"""),"https://www.tiktok.com/@nelaa574")</f>
        <v>https://www.tiktok.com/@nelaa574</v>
      </c>
      <c r="D78" s="270">
        <f>IFERROR(__xludf.DUMMYFUNCTION("""COMPUTED_VALUE"""),8.8238551501E10)</f>
        <v>88238551501</v>
      </c>
      <c r="E78" s="362">
        <f>IFERROR(__xludf.DUMMYFUNCTION("""COMPUTED_VALUE"""),0.0)</f>
        <v>0</v>
      </c>
      <c r="F78" s="270">
        <f>IFERROR(__xludf.DUMMYFUNCTION("""COMPUTED_VALUE"""),3.0)</f>
        <v>3</v>
      </c>
      <c r="G78" s="17" t="str">
        <f>IFERROR(__xludf.DUMMYFUNCTION("""COMPUTED_VALUE"""),"Rp8,3JT")</f>
        <v>Rp8,3JT</v>
      </c>
      <c r="H78" s="355" t="str">
        <f>IFERROR(__xludf.DUMMYFUNCTION("""COMPUTED_VALUE"""),"Body Bleach")</f>
        <v>Body Bleach</v>
      </c>
      <c r="I78" s="356" t="str">
        <f>IFERROR(__xludf.DUMMYFUNCTION("""COMPUTED_VALUE"""),"Sampai")</f>
        <v>Sampai</v>
      </c>
      <c r="J78" s="357"/>
      <c r="K78" s="279" t="str">
        <f>IFERROR(__xludf.DUMMYFUNCTION("""COMPUTED_VALUE"""),"https://www.tiktok.com/@nelaa574/video/7624137737846738197?_r=1&amp;_t=ZS-95Kw25V2PGC")</f>
        <v>https://www.tiktok.com/@nelaa574/video/7624137737846738197?_r=1&amp;_t=ZS-95Kw25V2PGC</v>
      </c>
      <c r="L78" s="357"/>
      <c r="M78" s="279" t="str">
        <f>IFERROR(__xludf.DUMMYFUNCTION("""COMPUTED_VALUE"""),"https://vt.tiktok.com/ZSHCkUYLS/")</f>
        <v>https://vt.tiktok.com/ZSHCkUYLS/</v>
      </c>
      <c r="N78" s="357"/>
      <c r="O78" s="17"/>
      <c r="P78" s="357"/>
      <c r="Q78" s="17"/>
      <c r="R78" s="17"/>
      <c r="S78" s="17"/>
      <c r="T78" s="365">
        <f>IFERROR(__xludf.DUMMYFUNCTION("""COMPUTED_VALUE"""),0.0)</f>
        <v>0</v>
      </c>
      <c r="U78" s="365">
        <f>IFERROR(__xludf.DUMMYFUNCTION("""COMPUTED_VALUE"""),0.0)</f>
        <v>0</v>
      </c>
      <c r="V78" s="365">
        <f>IFERROR(__xludf.DUMMYFUNCTION("""COMPUTED_VALUE"""),0.0)</f>
        <v>0</v>
      </c>
      <c r="W78" s="365">
        <f>IFERROR(__xludf.DUMMYFUNCTION("""COMPUTED_VALUE"""),0.0)</f>
        <v>0</v>
      </c>
    </row>
    <row r="79">
      <c r="A79" s="255" t="str">
        <f>IFERROR(__xludf.DUMMYFUNCTION("""COMPUTED_VALUE"""),"NANO")</f>
        <v>NANO</v>
      </c>
      <c r="B79" s="23" t="str">
        <f>IFERROR(__xludf.DUMMYFUNCTION("""COMPUTED_VALUE"""),"diindiinaa")</f>
        <v>diindiinaa</v>
      </c>
      <c r="C79" s="281" t="str">
        <f>IFERROR(__xludf.DUMMYFUNCTION("""COMPUTED_VALUE"""),"https://www.tiktok.com/@diindiinaa")</f>
        <v>https://www.tiktok.com/@diindiinaa</v>
      </c>
      <c r="D79" s="270">
        <f>IFERROR(__xludf.DUMMYFUNCTION("""COMPUTED_VALUE"""),8.1331949877E10)</f>
        <v>81331949877</v>
      </c>
      <c r="E79" s="362">
        <f>IFERROR(__xludf.DUMMYFUNCTION("""COMPUTED_VALUE"""),0.0)</f>
        <v>0</v>
      </c>
      <c r="F79" s="270">
        <f>IFERROR(__xludf.DUMMYFUNCTION("""COMPUTED_VALUE"""),1.0)</f>
        <v>1</v>
      </c>
      <c r="G79" s="17" t="str">
        <f>IFERROR(__xludf.DUMMYFUNCTION("""COMPUTED_VALUE"""),"Rp8,5JT")</f>
        <v>Rp8,5JT</v>
      </c>
      <c r="H79" s="355" t="str">
        <f>IFERROR(__xludf.DUMMYFUNCTION("""COMPUTED_VALUE"""),"Body Bleach")</f>
        <v>Body Bleach</v>
      </c>
      <c r="I79" s="356" t="str">
        <f>IFERROR(__xludf.DUMMYFUNCTION("""COMPUTED_VALUE"""),"Sampai")</f>
        <v>Sampai</v>
      </c>
      <c r="J79" s="357"/>
      <c r="K79" s="279" t="str">
        <f>IFERROR(__xludf.DUMMYFUNCTION("""COMPUTED_VALUE"""),"https://vt.tiktok.com/ZSHHTfJrH/")</f>
        <v>https://vt.tiktok.com/ZSHHTfJrH/</v>
      </c>
      <c r="L79" s="357"/>
      <c r="M79" s="17"/>
      <c r="N79" s="357"/>
      <c r="O79" s="17"/>
      <c r="P79" s="357"/>
      <c r="Q79" s="17"/>
      <c r="R79" s="17"/>
      <c r="S79" s="17"/>
      <c r="T79" s="365">
        <f>IFERROR(__xludf.DUMMYFUNCTION("""COMPUTED_VALUE"""),0.0)</f>
        <v>0</v>
      </c>
      <c r="U79" s="365">
        <f>IFERROR(__xludf.DUMMYFUNCTION("""COMPUTED_VALUE"""),0.0)</f>
        <v>0</v>
      </c>
      <c r="V79" s="365">
        <f>IFERROR(__xludf.DUMMYFUNCTION("""COMPUTED_VALUE"""),0.0)</f>
        <v>0</v>
      </c>
      <c r="W79" s="365">
        <f>IFERROR(__xludf.DUMMYFUNCTION("""COMPUTED_VALUE"""),0.0)</f>
        <v>0</v>
      </c>
    </row>
    <row r="80">
      <c r="A80" s="255" t="str">
        <f>IFERROR(__xludf.DUMMYFUNCTION("""COMPUTED_VALUE"""),"NANO")</f>
        <v>NANO</v>
      </c>
      <c r="B80" s="23" t="str">
        <f>IFERROR(__xludf.DUMMYFUNCTION("""COMPUTED_VALUE"""),"Mariaalalamakeup")</f>
        <v>Mariaalalamakeup</v>
      </c>
      <c r="C80" s="281" t="str">
        <f>IFERROR(__xludf.DUMMYFUNCTION("""COMPUTED_VALUE"""),"https://www.tiktok.com/@Mariaalalamakeup")</f>
        <v>https://www.tiktok.com/@Mariaalalamakeup</v>
      </c>
      <c r="D80" s="270">
        <f>IFERROR(__xludf.DUMMYFUNCTION("""COMPUTED_VALUE"""),8.7881762383E10)</f>
        <v>87881762383</v>
      </c>
      <c r="E80" s="362">
        <f>IFERROR(__xludf.DUMMYFUNCTION("""COMPUTED_VALUE"""),0.0)</f>
        <v>0</v>
      </c>
      <c r="F80" s="270">
        <f>IFERROR(__xludf.DUMMYFUNCTION("""COMPUTED_VALUE"""),2.0)</f>
        <v>2</v>
      </c>
      <c r="G80" s="17" t="str">
        <f>IFERROR(__xludf.DUMMYFUNCTION("""COMPUTED_VALUE"""),"Rp39,3JT")</f>
        <v>Rp39,3JT</v>
      </c>
      <c r="H80" s="355" t="str">
        <f>IFERROR(__xludf.DUMMYFUNCTION("""COMPUTED_VALUE"""),"Body Bleach")</f>
        <v>Body Bleach</v>
      </c>
      <c r="I80" s="356" t="str">
        <f>IFERROR(__xludf.DUMMYFUNCTION("""COMPUTED_VALUE"""),"Sampai")</f>
        <v>Sampai</v>
      </c>
      <c r="J80" s="357"/>
      <c r="K80" s="279" t="str">
        <f>IFERROR(__xludf.DUMMYFUNCTION("""COMPUTED_VALUE"""),"https://vt.tiktok.com/ZSHpCu1co/")</f>
        <v>https://vt.tiktok.com/ZSHpCu1co/</v>
      </c>
      <c r="L80" s="357"/>
      <c r="M80" s="279" t="str">
        <f>IFERROR(__xludf.DUMMYFUNCTION("""COMPUTED_VALUE"""),"https://vt.tiktok.com/ZSHE35cHx/")</f>
        <v>https://vt.tiktok.com/ZSHE35cHx/</v>
      </c>
      <c r="N80" s="357"/>
      <c r="O80" s="17"/>
      <c r="P80" s="357"/>
      <c r="Q80" s="17"/>
      <c r="R80" s="17"/>
      <c r="S80" s="17"/>
      <c r="T80" s="365">
        <f>IFERROR(__xludf.DUMMYFUNCTION("""COMPUTED_VALUE"""),0.0)</f>
        <v>0</v>
      </c>
      <c r="U80" s="365">
        <f>IFERROR(__xludf.DUMMYFUNCTION("""COMPUTED_VALUE"""),0.0)</f>
        <v>0</v>
      </c>
      <c r="V80" s="365">
        <f>IFERROR(__xludf.DUMMYFUNCTION("""COMPUTED_VALUE"""),0.0)</f>
        <v>0</v>
      </c>
      <c r="W80" s="365">
        <f>IFERROR(__xludf.DUMMYFUNCTION("""COMPUTED_VALUE"""),0.0)</f>
        <v>0</v>
      </c>
    </row>
    <row r="81">
      <c r="A81" s="255" t="str">
        <f>IFERROR(__xludf.DUMMYFUNCTION("""COMPUTED_VALUE"""),"NANO")</f>
        <v>NANO</v>
      </c>
      <c r="B81" s="23" t="str">
        <f>IFERROR(__xludf.DUMMYFUNCTION("""COMPUTED_VALUE"""),"azurayumna.s")</f>
        <v>azurayumna.s</v>
      </c>
      <c r="C81" s="281" t="str">
        <f>IFERROR(__xludf.DUMMYFUNCTION("""COMPUTED_VALUE"""),"https://www.tiktok.com/@azurayumna.s")</f>
        <v>https://www.tiktok.com/@azurayumna.s</v>
      </c>
      <c r="D81" s="270">
        <f>IFERROR(__xludf.DUMMYFUNCTION("""COMPUTED_VALUE"""),8.95330773055E11)</f>
        <v>895330773055</v>
      </c>
      <c r="E81" s="362">
        <f>IFERROR(__xludf.DUMMYFUNCTION("""COMPUTED_VALUE"""),0.0)</f>
        <v>0</v>
      </c>
      <c r="F81" s="270">
        <f>IFERROR(__xludf.DUMMYFUNCTION("""COMPUTED_VALUE"""),4.0)</f>
        <v>4</v>
      </c>
      <c r="G81" s="17" t="str">
        <f>IFERROR(__xludf.DUMMYFUNCTION("""COMPUTED_VALUE"""),"Rp9,5JT")</f>
        <v>Rp9,5JT</v>
      </c>
      <c r="H81" s="355" t="str">
        <f>IFERROR(__xludf.DUMMYFUNCTION("""COMPUTED_VALUE"""),"Body Bleach")</f>
        <v>Body Bleach</v>
      </c>
      <c r="I81" s="356" t="str">
        <f>IFERROR(__xludf.DUMMYFUNCTION("""COMPUTED_VALUE"""),"Sampai")</f>
        <v>Sampai</v>
      </c>
      <c r="J81" s="357"/>
      <c r="K81" s="279" t="str">
        <f>IFERROR(__xludf.DUMMYFUNCTION("""COMPUTED_VALUE"""),"https://vt.tiktok.com/ZSHpkvvRA/")</f>
        <v>https://vt.tiktok.com/ZSHpkvvRA/</v>
      </c>
      <c r="L81" s="357"/>
      <c r="M81" s="279" t="str">
        <f>IFERROR(__xludf.DUMMYFUNCTION("""COMPUTED_VALUE"""),"https://vt.tiktok.com/ZSHpkvYNK/")</f>
        <v>https://vt.tiktok.com/ZSHpkvYNK/</v>
      </c>
      <c r="N81" s="357"/>
      <c r="O81" s="279" t="str">
        <f>IFERROR(__xludf.DUMMYFUNCTION("""COMPUTED_VALUE"""),"https://vt.tiktok.com/ZSHpB1wc5/")</f>
        <v>https://vt.tiktok.com/ZSHpB1wc5/</v>
      </c>
      <c r="P81" s="357"/>
      <c r="Q81" s="17"/>
      <c r="R81" s="17"/>
      <c r="S81" s="17"/>
      <c r="T81" s="365">
        <f>IFERROR(__xludf.DUMMYFUNCTION("""COMPUTED_VALUE"""),0.0)</f>
        <v>0</v>
      </c>
      <c r="U81" s="365">
        <f>IFERROR(__xludf.DUMMYFUNCTION("""COMPUTED_VALUE"""),0.0)</f>
        <v>0</v>
      </c>
      <c r="V81" s="365">
        <f>IFERROR(__xludf.DUMMYFUNCTION("""COMPUTED_VALUE"""),0.0)</f>
        <v>0</v>
      </c>
      <c r="W81" s="365">
        <f>IFERROR(__xludf.DUMMYFUNCTION("""COMPUTED_VALUE"""),0.0)</f>
        <v>0</v>
      </c>
    </row>
    <row r="82">
      <c r="A82" s="255" t="str">
        <f>IFERROR(__xludf.DUMMYFUNCTION("""COMPUTED_VALUE"""),"NANO")</f>
        <v>NANO</v>
      </c>
      <c r="B82" s="23" t="str">
        <f>IFERROR(__xludf.DUMMYFUNCTION("""COMPUTED_VALUE"""),"Byliyah")</f>
        <v>Byliyah</v>
      </c>
      <c r="C82" s="281" t="str">
        <f>IFERROR(__xludf.DUMMYFUNCTION("""COMPUTED_VALUE"""),"https://www.tiktok.com/@Byliyah")</f>
        <v>https://www.tiktok.com/@Byliyah</v>
      </c>
      <c r="D82" s="270">
        <f>IFERROR(__xludf.DUMMYFUNCTION("""COMPUTED_VALUE"""),8.5748261974E10)</f>
        <v>85748261974</v>
      </c>
      <c r="E82" s="362">
        <f>IFERROR(__xludf.DUMMYFUNCTION("""COMPUTED_VALUE"""),0.0)</f>
        <v>0</v>
      </c>
      <c r="F82" s="270">
        <f>IFERROR(__xludf.DUMMYFUNCTION("""COMPUTED_VALUE"""),2.0)</f>
        <v>2</v>
      </c>
      <c r="G82" s="17" t="str">
        <f>IFERROR(__xludf.DUMMYFUNCTION("""COMPUTED_VALUE"""),"Rp34,7JT")</f>
        <v>Rp34,7JT</v>
      </c>
      <c r="H82" s="355" t="str">
        <f>IFERROR(__xludf.DUMMYFUNCTION("""COMPUTED_VALUE"""),"Body Bleach")</f>
        <v>Body Bleach</v>
      </c>
      <c r="I82" s="356" t="str">
        <f>IFERROR(__xludf.DUMMYFUNCTION("""COMPUTED_VALUE"""),"Sampai")</f>
        <v>Sampai</v>
      </c>
      <c r="J82" s="357"/>
      <c r="K82" s="279" t="str">
        <f>IFERROR(__xludf.DUMMYFUNCTION("""COMPUTED_VALUE"""),"https://www.tiktok.com/@byliyah/video/7623602252757994770?_r=1&amp;_t=ZS-95B27p4ncYS")</f>
        <v>https://www.tiktok.com/@byliyah/video/7623602252757994770?_r=1&amp;_t=ZS-95B27p4ncYS</v>
      </c>
      <c r="L82" s="357"/>
      <c r="M82" s="279" t="str">
        <f>IFERROR(__xludf.DUMMYFUNCTION("""COMPUTED_VALUE"""),"https://www.tiktok.com/@byliyah/video/7624071779463482632?_r=1&amp;_t=ZS-95GkEXMMy8O")</f>
        <v>https://www.tiktok.com/@byliyah/video/7624071779463482632?_r=1&amp;_t=ZS-95GkEXMMy8O</v>
      </c>
      <c r="N82" s="357"/>
      <c r="O82" s="279" t="str">
        <f>IFERROR(__xludf.DUMMYFUNCTION("""COMPUTED_VALUE"""),"https://www.tiktok.com/@byliyah/video/7624769265408675090?_r=1&amp;_t=ZS-95GkI5IMdbb")</f>
        <v>https://www.tiktok.com/@byliyah/video/7624769265408675090?_r=1&amp;_t=ZS-95GkI5IMdbb</v>
      </c>
      <c r="P82" s="357"/>
      <c r="Q82" s="17"/>
      <c r="R82" s="17"/>
      <c r="S82" s="17"/>
      <c r="T82" s="365">
        <f>IFERROR(__xludf.DUMMYFUNCTION("""COMPUTED_VALUE"""),0.0)</f>
        <v>0</v>
      </c>
      <c r="U82" s="365">
        <f>IFERROR(__xludf.DUMMYFUNCTION("""COMPUTED_VALUE"""),0.0)</f>
        <v>0</v>
      </c>
      <c r="V82" s="365">
        <f>IFERROR(__xludf.DUMMYFUNCTION("""COMPUTED_VALUE"""),0.0)</f>
        <v>0</v>
      </c>
      <c r="W82" s="365">
        <f>IFERROR(__xludf.DUMMYFUNCTION("""COMPUTED_VALUE"""),0.0)</f>
        <v>0</v>
      </c>
    </row>
    <row r="83">
      <c r="A83" s="255" t="str">
        <f>IFERROR(__xludf.DUMMYFUNCTION("""COMPUTED_VALUE"""),"NANO")</f>
        <v>NANO</v>
      </c>
      <c r="B83" s="23" t="str">
        <f>IFERROR(__xludf.DUMMYFUNCTION("""COMPUTED_VALUE"""),"shiintamiiftaa")</f>
        <v>shiintamiiftaa</v>
      </c>
      <c r="C83" s="281" t="str">
        <f>IFERROR(__xludf.DUMMYFUNCTION("""COMPUTED_VALUE"""),"https://www.tiktok.com/@shiintamiiftaa")</f>
        <v>https://www.tiktok.com/@shiintamiiftaa</v>
      </c>
      <c r="D83" s="270">
        <f>IFERROR(__xludf.DUMMYFUNCTION("""COMPUTED_VALUE"""),8.5895411677E10)</f>
        <v>85895411677</v>
      </c>
      <c r="E83" s="362">
        <f>IFERROR(__xludf.DUMMYFUNCTION("""COMPUTED_VALUE"""),0.0)</f>
        <v>0</v>
      </c>
      <c r="F83" s="270">
        <f>IFERROR(__xludf.DUMMYFUNCTION("""COMPUTED_VALUE"""),2.0)</f>
        <v>2</v>
      </c>
      <c r="G83" s="17" t="str">
        <f>IFERROR(__xludf.DUMMYFUNCTION("""COMPUTED_VALUE"""),"Rp33,7JT")</f>
        <v>Rp33,7JT</v>
      </c>
      <c r="H83" s="355" t="str">
        <f>IFERROR(__xludf.DUMMYFUNCTION("""COMPUTED_VALUE"""),"Body Bleach")</f>
        <v>Body Bleach</v>
      </c>
      <c r="I83" s="356" t="str">
        <f>IFERROR(__xludf.DUMMYFUNCTION("""COMPUTED_VALUE"""),"Sampai")</f>
        <v>Sampai</v>
      </c>
      <c r="J83" s="357"/>
      <c r="K83" s="279" t="str">
        <f>IFERROR(__xludf.DUMMYFUNCTION("""COMPUTED_VALUE"""),"https://www.tiktok.com/@shiintamiiftaa/video/7624776789503511816?_r=1&amp;_t=ZS-95KwYFrWHBq")</f>
        <v>https://www.tiktok.com/@shiintamiiftaa/video/7624776789503511816?_r=1&amp;_t=ZS-95KwYFrWHBq</v>
      </c>
      <c r="L83" s="357"/>
      <c r="M83" s="279" t="str">
        <f>IFERROR(__xludf.DUMMYFUNCTION("""COMPUTED_VALUE"""),"https://vt.tiktok.com/ZSHxRRTMv/")</f>
        <v>https://vt.tiktok.com/ZSHxRRTMv/</v>
      </c>
      <c r="N83" s="357"/>
      <c r="O83" s="17"/>
      <c r="P83" s="357"/>
      <c r="Q83" s="17"/>
      <c r="R83" s="17"/>
      <c r="S83" s="17"/>
      <c r="T83" s="365">
        <f>IFERROR(__xludf.DUMMYFUNCTION("""COMPUTED_VALUE"""),0.0)</f>
        <v>0</v>
      </c>
      <c r="U83" s="365">
        <f>IFERROR(__xludf.DUMMYFUNCTION("""COMPUTED_VALUE"""),0.0)</f>
        <v>0</v>
      </c>
      <c r="V83" s="365">
        <f>IFERROR(__xludf.DUMMYFUNCTION("""COMPUTED_VALUE"""),0.0)</f>
        <v>0</v>
      </c>
      <c r="W83" s="365">
        <f>IFERROR(__xludf.DUMMYFUNCTION("""COMPUTED_VALUE"""),0.0)</f>
        <v>0</v>
      </c>
    </row>
    <row r="84">
      <c r="A84" s="255" t="str">
        <f>IFERROR(__xludf.DUMMYFUNCTION("""COMPUTED_VALUE"""),"NANO")</f>
        <v>NANO</v>
      </c>
      <c r="B84" s="23" t="str">
        <f>IFERROR(__xludf.DUMMYFUNCTION("""COMPUTED_VALUE"""),"pipittindah_")</f>
        <v>pipittindah_</v>
      </c>
      <c r="C84" s="281" t="str">
        <f>IFERROR(__xludf.DUMMYFUNCTION("""COMPUTED_VALUE"""),"https://www.tiktok.com/@pipittindah_")</f>
        <v>https://www.tiktok.com/@pipittindah_</v>
      </c>
      <c r="D84" s="270">
        <f>IFERROR(__xludf.DUMMYFUNCTION("""COMPUTED_VALUE"""),8.585255342E10)</f>
        <v>85852553420</v>
      </c>
      <c r="E84" s="362">
        <f>IFERROR(__xludf.DUMMYFUNCTION("""COMPUTED_VALUE"""),0.0)</f>
        <v>0</v>
      </c>
      <c r="F84" s="270">
        <f>IFERROR(__xludf.DUMMYFUNCTION("""COMPUTED_VALUE"""),1.0)</f>
        <v>1</v>
      </c>
      <c r="G84" s="17" t="str">
        <f>IFERROR(__xludf.DUMMYFUNCTION("""COMPUTED_VALUE"""),"Rp314,3JT")</f>
        <v>Rp314,3JT</v>
      </c>
      <c r="H84" s="355" t="str">
        <f>IFERROR(__xludf.DUMMYFUNCTION("""COMPUTED_VALUE"""),"Body Bleach")</f>
        <v>Body Bleach</v>
      </c>
      <c r="I84" s="356" t="str">
        <f>IFERROR(__xludf.DUMMYFUNCTION("""COMPUTED_VALUE"""),"Sampai")</f>
        <v>Sampai</v>
      </c>
      <c r="J84" s="357" t="str">
        <f>IFERROR(__xludf.DUMMYFUNCTION("""COMPUTED_VALUE""")," Concept 1")</f>
        <v> Concept 1</v>
      </c>
      <c r="K84" s="279" t="str">
        <f>IFERROR(__xludf.DUMMYFUNCTION("""COMPUTED_VALUE"""),"https://www.tiktok.com/@pipittindah_/video/7623993927804144914?_r=1&amp;_t=ZS-95DjiIVAjEF")</f>
        <v>https://www.tiktok.com/@pipittindah_/video/7623993927804144914?_r=1&amp;_t=ZS-95DjiIVAjEF</v>
      </c>
      <c r="L84" s="357"/>
      <c r="M84" s="17"/>
      <c r="N84" s="357"/>
      <c r="O84" s="17"/>
      <c r="P84" s="357"/>
      <c r="Q84" s="17"/>
      <c r="R84" s="17"/>
      <c r="S84" s="17"/>
      <c r="T84" s="365">
        <f>IFERROR(__xludf.DUMMYFUNCTION("""COMPUTED_VALUE"""),0.0)</f>
        <v>0</v>
      </c>
      <c r="U84" s="365">
        <f>IFERROR(__xludf.DUMMYFUNCTION("""COMPUTED_VALUE"""),0.0)</f>
        <v>0</v>
      </c>
      <c r="V84" s="365">
        <f>IFERROR(__xludf.DUMMYFUNCTION("""COMPUTED_VALUE"""),0.0)</f>
        <v>0</v>
      </c>
      <c r="W84" s="365">
        <f>IFERROR(__xludf.DUMMYFUNCTION("""COMPUTED_VALUE"""),0.0)</f>
        <v>0</v>
      </c>
    </row>
    <row r="85">
      <c r="A85" s="255" t="str">
        <f>IFERROR(__xludf.DUMMYFUNCTION("""COMPUTED_VALUE"""),"NANO")</f>
        <v>NANO</v>
      </c>
      <c r="B85" s="23" t="str">
        <f>IFERROR(__xludf.DUMMYFUNCTION("""COMPUTED_VALUE"""),"kakaklin_")</f>
        <v>kakaklin_</v>
      </c>
      <c r="C85" s="281" t="str">
        <f>IFERROR(__xludf.DUMMYFUNCTION("""COMPUTED_VALUE"""),"https://www.tiktok.com/@kakaklin_")</f>
        <v>https://www.tiktok.com/@kakaklin_</v>
      </c>
      <c r="D85" s="270">
        <f>IFERROR(__xludf.DUMMYFUNCTION("""COMPUTED_VALUE"""),8.2112568747E10)</f>
        <v>82112568747</v>
      </c>
      <c r="E85" s="362">
        <f>IFERROR(__xludf.DUMMYFUNCTION("""COMPUTED_VALUE"""),0.0)</f>
        <v>0</v>
      </c>
      <c r="F85" s="270">
        <f>IFERROR(__xludf.DUMMYFUNCTION("""COMPUTED_VALUE"""),2.0)</f>
        <v>2</v>
      </c>
      <c r="G85" s="17" t="str">
        <f>IFERROR(__xludf.DUMMYFUNCTION("""COMPUTED_VALUE"""),"Rp137,8JT")</f>
        <v>Rp137,8JT</v>
      </c>
      <c r="H85" s="355" t="str">
        <f>IFERROR(__xludf.DUMMYFUNCTION("""COMPUTED_VALUE"""),"Body Bleach")</f>
        <v>Body Bleach</v>
      </c>
      <c r="I85" s="356" t="str">
        <f>IFERROR(__xludf.DUMMYFUNCTION("""COMPUTED_VALUE"""),"Sampai")</f>
        <v>Sampai</v>
      </c>
      <c r="J85" s="357"/>
      <c r="K85" s="279" t="str">
        <f>IFERROR(__xludf.DUMMYFUNCTION("""COMPUTED_VALUE"""),"https://vt.tiktok.com/ZSHt6Jxsk/")</f>
        <v>https://vt.tiktok.com/ZSHt6Jxsk/</v>
      </c>
      <c r="L85" s="357"/>
      <c r="M85" s="279" t="str">
        <f>IFERROR(__xludf.DUMMYFUNCTION("""COMPUTED_VALUE"""),"https://vt.tiktok.com/ZSHtj3AY3/")</f>
        <v>https://vt.tiktok.com/ZSHtj3AY3/</v>
      </c>
      <c r="N85" s="357"/>
      <c r="O85" s="17"/>
      <c r="P85" s="357"/>
      <c r="Q85" s="17"/>
      <c r="R85" s="17"/>
      <c r="S85" s="17"/>
      <c r="T85" s="365">
        <f>IFERROR(__xludf.DUMMYFUNCTION("""COMPUTED_VALUE"""),0.0)</f>
        <v>0</v>
      </c>
      <c r="U85" s="365">
        <f>IFERROR(__xludf.DUMMYFUNCTION("""COMPUTED_VALUE"""),0.0)</f>
        <v>0</v>
      </c>
      <c r="V85" s="365">
        <f>IFERROR(__xludf.DUMMYFUNCTION("""COMPUTED_VALUE"""),0.0)</f>
        <v>0</v>
      </c>
      <c r="W85" s="365">
        <f>IFERROR(__xludf.DUMMYFUNCTION("""COMPUTED_VALUE"""),0.0)</f>
        <v>0</v>
      </c>
    </row>
    <row r="86">
      <c r="A86" s="255" t="str">
        <f>IFERROR(__xludf.DUMMYFUNCTION("""COMPUTED_VALUE"""),"NANO")</f>
        <v>NANO</v>
      </c>
      <c r="B86" s="23" t="str">
        <f>IFERROR(__xludf.DUMMYFUNCTION("""COMPUTED_VALUE"""),"beningtyasw")</f>
        <v>beningtyasw</v>
      </c>
      <c r="C86" s="281" t="str">
        <f>IFERROR(__xludf.DUMMYFUNCTION("""COMPUTED_VALUE"""),"https://www.tiktok.com/@beningtyasw")</f>
        <v>https://www.tiktok.com/@beningtyasw</v>
      </c>
      <c r="D86" s="270">
        <f>IFERROR(__xludf.DUMMYFUNCTION("""COMPUTED_VALUE"""),8.5338144627E10)</f>
        <v>85338144627</v>
      </c>
      <c r="E86" s="362">
        <f>IFERROR(__xludf.DUMMYFUNCTION("""COMPUTED_VALUE"""),0.0)</f>
        <v>0</v>
      </c>
      <c r="F86" s="270">
        <f>IFERROR(__xludf.DUMMYFUNCTION("""COMPUTED_VALUE"""),2.0)</f>
        <v>2</v>
      </c>
      <c r="G86" s="17" t="str">
        <f>IFERROR(__xludf.DUMMYFUNCTION("""COMPUTED_VALUE"""),"Rp1JT+")</f>
        <v>Rp1JT+</v>
      </c>
      <c r="H86" s="355" t="str">
        <f>IFERROR(__xludf.DUMMYFUNCTION("""COMPUTED_VALUE"""),"Body Bleach")</f>
        <v>Body Bleach</v>
      </c>
      <c r="I86" s="356" t="str">
        <f>IFERROR(__xludf.DUMMYFUNCTION("""COMPUTED_VALUE"""),"Sampai")</f>
        <v>Sampai</v>
      </c>
      <c r="J86" s="357"/>
      <c r="K86" s="279" t="str">
        <f>IFERROR(__xludf.DUMMYFUNCTION("""COMPUTED_VALUE"""),"https://vt.tiktok.com/ZSHbv7uxW/")</f>
        <v>https://vt.tiktok.com/ZSHbv7uxW/</v>
      </c>
      <c r="L86" s="357"/>
      <c r="M86" s="279" t="str">
        <f>IFERROR(__xludf.DUMMYFUNCTION("""COMPUTED_VALUE"""),"https://vt.tiktok.com/ZSHvVBV3D/")</f>
        <v>https://vt.tiktok.com/ZSHvVBV3D/</v>
      </c>
      <c r="N86" s="357"/>
      <c r="O86" s="17"/>
      <c r="P86" s="357"/>
      <c r="Q86" s="17"/>
      <c r="R86" s="17"/>
      <c r="S86" s="17"/>
      <c r="T86" s="365">
        <f>IFERROR(__xludf.DUMMYFUNCTION("""COMPUTED_VALUE"""),0.0)</f>
        <v>0</v>
      </c>
      <c r="U86" s="365">
        <f>IFERROR(__xludf.DUMMYFUNCTION("""COMPUTED_VALUE"""),0.0)</f>
        <v>0</v>
      </c>
      <c r="V86" s="365">
        <f>IFERROR(__xludf.DUMMYFUNCTION("""COMPUTED_VALUE"""),0.0)</f>
        <v>0</v>
      </c>
      <c r="W86" s="365">
        <f>IFERROR(__xludf.DUMMYFUNCTION("""COMPUTED_VALUE"""),0.0)</f>
        <v>0</v>
      </c>
    </row>
    <row r="87">
      <c r="A87" s="255" t="str">
        <f>IFERROR(__xludf.DUMMYFUNCTION("""COMPUTED_VALUE"""),"NANO")</f>
        <v>NANO</v>
      </c>
      <c r="B87" s="23" t="str">
        <f>IFERROR(__xludf.DUMMYFUNCTION("""COMPUTED_VALUE"""),"fhateeem")</f>
        <v>fhateeem</v>
      </c>
      <c r="C87" s="281" t="str">
        <f>IFERROR(__xludf.DUMMYFUNCTION("""COMPUTED_VALUE"""),"https://www.tiktok.com/@fhateeem")</f>
        <v>https://www.tiktok.com/@fhateeem</v>
      </c>
      <c r="D87" s="270">
        <f>IFERROR(__xludf.DUMMYFUNCTION("""COMPUTED_VALUE"""),8.7741755537E10)</f>
        <v>87741755537</v>
      </c>
      <c r="E87" s="362">
        <f>IFERROR(__xludf.DUMMYFUNCTION("""COMPUTED_VALUE"""),0.0)</f>
        <v>0</v>
      </c>
      <c r="F87" s="270">
        <f>IFERROR(__xludf.DUMMYFUNCTION("""COMPUTED_VALUE"""),2.0)</f>
        <v>2</v>
      </c>
      <c r="G87" s="17" t="str">
        <f>IFERROR(__xludf.DUMMYFUNCTION("""COMPUTED_VALUE"""),"Rp1JT+")</f>
        <v>Rp1JT+</v>
      </c>
      <c r="H87" s="355" t="str">
        <f>IFERROR(__xludf.DUMMYFUNCTION("""COMPUTED_VALUE"""),"Body Bleach")</f>
        <v>Body Bleach</v>
      </c>
      <c r="I87" s="356" t="str">
        <f>IFERROR(__xludf.DUMMYFUNCTION("""COMPUTED_VALUE"""),"Sampai")</f>
        <v>Sampai</v>
      </c>
      <c r="J87" s="357"/>
      <c r="K87" s="279" t="str">
        <f>IFERROR(__xludf.DUMMYFUNCTION("""COMPUTED_VALUE"""),"https://www.tiktok.com/@fhateeem/video/7624530054428495111?_r=1&amp;_t=ZS-95Ktm5wfNUy")</f>
        <v>https://www.tiktok.com/@fhateeem/video/7624530054428495111?_r=1&amp;_t=ZS-95Ktm5wfNUy</v>
      </c>
      <c r="L87" s="357"/>
      <c r="M87" s="279" t="str">
        <f>IFERROR(__xludf.DUMMYFUNCTION("""COMPUTED_VALUE"""),"https://www.tiktok.com/@fhateeem/video/7629627389068561671")</f>
        <v>https://www.tiktok.com/@fhateeem/video/7629627389068561671</v>
      </c>
      <c r="N87" s="357"/>
      <c r="O87" s="17"/>
      <c r="P87" s="357"/>
      <c r="Q87" s="17"/>
      <c r="R87" s="17"/>
      <c r="S87" s="17"/>
      <c r="T87" s="365">
        <f>IFERROR(__xludf.DUMMYFUNCTION("""COMPUTED_VALUE"""),0.0)</f>
        <v>0</v>
      </c>
      <c r="U87" s="365">
        <f>IFERROR(__xludf.DUMMYFUNCTION("""COMPUTED_VALUE"""),0.0)</f>
        <v>0</v>
      </c>
      <c r="V87" s="365">
        <f>IFERROR(__xludf.DUMMYFUNCTION("""COMPUTED_VALUE"""),0.0)</f>
        <v>0</v>
      </c>
      <c r="W87" s="365">
        <f>IFERROR(__xludf.DUMMYFUNCTION("""COMPUTED_VALUE"""),0.0)</f>
        <v>0</v>
      </c>
    </row>
    <row r="88">
      <c r="A88" s="255" t="str">
        <f>IFERROR(__xludf.DUMMYFUNCTION("""COMPUTED_VALUE"""),"MICRO")</f>
        <v>MICRO</v>
      </c>
      <c r="B88" s="23" t="str">
        <f>IFERROR(__xludf.DUMMYFUNCTION("""COMPUTED_VALUE"""),"sabinaaccura")</f>
        <v>sabinaaccura</v>
      </c>
      <c r="C88" s="281" t="str">
        <f>IFERROR(__xludf.DUMMYFUNCTION("""COMPUTED_VALUE"""),"https://www.tiktok.com/@sabinaaccura")</f>
        <v>https://www.tiktok.com/@sabinaaccura</v>
      </c>
      <c r="D88" s="270"/>
      <c r="E88" s="362">
        <f>IFERROR(__xludf.DUMMYFUNCTION("""COMPUTED_VALUE"""),350000.0)</f>
        <v>350000</v>
      </c>
      <c r="F88" s="270">
        <f>IFERROR(__xludf.DUMMYFUNCTION("""COMPUTED_VALUE"""),1.0)</f>
        <v>1</v>
      </c>
      <c r="G88" s="17" t="str">
        <f>IFERROR(__xludf.DUMMYFUNCTION("""COMPUTED_VALUE"""),"Rp1JT+")</f>
        <v>Rp1JT+</v>
      </c>
      <c r="H88" s="355" t="str">
        <f>IFERROR(__xludf.DUMMYFUNCTION("""COMPUTED_VALUE"""),"Body Bleach")</f>
        <v>Body Bleach</v>
      </c>
      <c r="I88" s="356" t="str">
        <f>IFERROR(__xludf.DUMMYFUNCTION("""COMPUTED_VALUE"""),"Sampai")</f>
        <v>Sampai</v>
      </c>
      <c r="J88" s="357" t="str">
        <f>IFERROR(__xludf.DUMMYFUNCTION("""COMPUTED_VALUE""")," Concept 1")</f>
        <v> Concept 1</v>
      </c>
      <c r="K88" s="279" t="str">
        <f>IFERROR(__xludf.DUMMYFUNCTION("""COMPUTED_VALUE"""),"https://vt.tiktok.com/ZSHjtTPJJ/")</f>
        <v>https://vt.tiktok.com/ZSHjtTPJJ/</v>
      </c>
      <c r="L88" s="357"/>
      <c r="M88" s="17"/>
      <c r="N88" s="357"/>
      <c r="O88" s="17"/>
      <c r="P88" s="357"/>
      <c r="Q88" s="17"/>
      <c r="R88" s="17"/>
      <c r="S88" s="17"/>
      <c r="T88" s="365">
        <f>IFERROR(__xludf.DUMMYFUNCTION("""COMPUTED_VALUE"""),99142.0)</f>
        <v>99142</v>
      </c>
      <c r="U88" s="365">
        <f>IFERROR(__xludf.DUMMYFUNCTION("""COMPUTED_VALUE"""),0.0)</f>
        <v>0</v>
      </c>
      <c r="V88" s="365">
        <f>IFERROR(__xludf.DUMMYFUNCTION("""COMPUTED_VALUE"""),0.0)</f>
        <v>0</v>
      </c>
      <c r="W88" s="365">
        <f>IFERROR(__xludf.DUMMYFUNCTION("""COMPUTED_VALUE"""),0.0)</f>
        <v>0</v>
      </c>
    </row>
    <row r="89">
      <c r="A89" s="255" t="str">
        <f>IFERROR(__xludf.DUMMYFUNCTION("""COMPUTED_VALUE"""),"MACRO")</f>
        <v>MACRO</v>
      </c>
      <c r="B89" s="23" t="str">
        <f>IFERROR(__xludf.DUMMYFUNCTION("""COMPUTED_VALUE"""),"inidinddaaa")</f>
        <v>inidinddaaa</v>
      </c>
      <c r="C89" s="281" t="str">
        <f>IFERROR(__xludf.DUMMYFUNCTION("""COMPUTED_VALUE"""),"https://www.tiktok.com/@inidinddaaa")</f>
        <v>https://www.tiktok.com/@inidinddaaa</v>
      </c>
      <c r="D89" s="270">
        <f>IFERROR(__xludf.DUMMYFUNCTION("""COMPUTED_VALUE"""),8.5956445623E10)</f>
        <v>85956445623</v>
      </c>
      <c r="E89" s="362">
        <f>IFERROR(__xludf.DUMMYFUNCTION("""COMPUTED_VALUE"""),350000.0)</f>
        <v>350000</v>
      </c>
      <c r="F89" s="270">
        <f>IFERROR(__xludf.DUMMYFUNCTION("""COMPUTED_VALUE"""),1.0)</f>
        <v>1</v>
      </c>
      <c r="G89" s="17" t="str">
        <f>IFERROR(__xludf.DUMMYFUNCTION("""COMPUTED_VALUE"""),"593jt")</f>
        <v>593jt</v>
      </c>
      <c r="H89" s="355" t="str">
        <f>IFERROR(__xludf.DUMMYFUNCTION("""COMPUTED_VALUE"""),"Body Bleach")</f>
        <v>Body Bleach</v>
      </c>
      <c r="I89" s="356" t="str">
        <f>IFERROR(__xludf.DUMMYFUNCTION("""COMPUTED_VALUE"""),"Sampai")</f>
        <v>Sampai</v>
      </c>
      <c r="J89" s="357"/>
      <c r="K89" s="279" t="str">
        <f>IFERROR(__xludf.DUMMYFUNCTION("""COMPUTED_VALUE"""),"https://vt.tiktok.com/ZSxkWLxCL/")</f>
        <v>https://vt.tiktok.com/ZSxkWLxCL/</v>
      </c>
      <c r="L89" s="357"/>
      <c r="M89" s="17"/>
      <c r="N89" s="357"/>
      <c r="O89" s="17"/>
      <c r="P89" s="357"/>
      <c r="Q89" s="17"/>
      <c r="R89" s="17"/>
      <c r="S89" s="17"/>
      <c r="T89" s="365">
        <f>IFERROR(__xludf.DUMMYFUNCTION("""COMPUTED_VALUE"""),0.0)</f>
        <v>0</v>
      </c>
      <c r="U89" s="365">
        <f>IFERROR(__xludf.DUMMYFUNCTION("""COMPUTED_VALUE"""),0.0)</f>
        <v>0</v>
      </c>
      <c r="V89" s="365">
        <f>IFERROR(__xludf.DUMMYFUNCTION("""COMPUTED_VALUE"""),0.0)</f>
        <v>0</v>
      </c>
      <c r="W89" s="365">
        <f>IFERROR(__xludf.DUMMYFUNCTION("""COMPUTED_VALUE"""),0.0)</f>
        <v>0</v>
      </c>
    </row>
    <row r="90">
      <c r="A90" s="255" t="str">
        <f>IFERROR(__xludf.DUMMYFUNCTION("""COMPUTED_VALUE"""),"NANO")</f>
        <v>NANO</v>
      </c>
      <c r="B90" s="23" t="str">
        <f>IFERROR(__xludf.DUMMYFUNCTION("""COMPUTED_VALUE"""),"Swtty___")</f>
        <v>Swtty___</v>
      </c>
      <c r="C90" s="281" t="str">
        <f>IFERROR(__xludf.DUMMYFUNCTION("""COMPUTED_VALUE"""),"https://www.tiktok.com/@Swtty___")</f>
        <v>https://www.tiktok.com/@Swtty___</v>
      </c>
      <c r="D90" s="270">
        <f>IFERROR(__xludf.DUMMYFUNCTION("""COMPUTED_VALUE"""),8.2362053114E10)</f>
        <v>82362053114</v>
      </c>
      <c r="E90" s="362">
        <f>IFERROR(__xludf.DUMMYFUNCTION("""COMPUTED_VALUE"""),0.0)</f>
        <v>0</v>
      </c>
      <c r="F90" s="270">
        <f>IFERROR(__xludf.DUMMYFUNCTION("""COMPUTED_VALUE"""),3.0)</f>
        <v>3</v>
      </c>
      <c r="G90" s="17" t="str">
        <f>IFERROR(__xludf.DUMMYFUNCTION("""COMPUTED_VALUE"""),"24,2JT")</f>
        <v>24,2JT</v>
      </c>
      <c r="H90" s="355" t="str">
        <f>IFERROR(__xludf.DUMMYFUNCTION("""COMPUTED_VALUE"""),"Body Bleach, ""Paket skincare 3 (Fw brightening, toneup, instaglow cream)""")</f>
        <v>Body Bleach, "Paket skincare 3 (Fw brightening, toneup, instaglow cream)"</v>
      </c>
      <c r="I90" s="356" t="str">
        <f>IFERROR(__xludf.DUMMYFUNCTION("""COMPUTED_VALUE"""),"Sampai")</f>
        <v>Sampai</v>
      </c>
      <c r="J90" s="357"/>
      <c r="K90" s="279" t="str">
        <f>IFERROR(__xludf.DUMMYFUNCTION("""COMPUTED_VALUE"""),"https://vt.tiktok.com/ZS9eJAuf5/")</f>
        <v>https://vt.tiktok.com/ZS9eJAuf5/</v>
      </c>
      <c r="L90" s="357"/>
      <c r="M90" s="279" t="str">
        <f>IFERROR(__xludf.DUMMYFUNCTION("""COMPUTED_VALUE"""),"https://vt.tiktok.com/ZS9Bw45Jq/")</f>
        <v>https://vt.tiktok.com/ZS9Bw45Jq/</v>
      </c>
      <c r="N90" s="357"/>
      <c r="O90" s="279" t="str">
        <f>IFERROR(__xludf.DUMMYFUNCTION("""COMPUTED_VALUE"""),"https://vt.tiktok.com/ZS9D5r2Uw/")</f>
        <v>https://vt.tiktok.com/ZS9D5r2Uw/</v>
      </c>
      <c r="P90" s="357"/>
      <c r="Q90" s="17"/>
      <c r="R90" s="17"/>
      <c r="S90" s="17"/>
      <c r="T90" s="365">
        <f>IFERROR(__xludf.DUMMYFUNCTION("""COMPUTED_VALUE"""),0.0)</f>
        <v>0</v>
      </c>
      <c r="U90" s="365">
        <f>IFERROR(__xludf.DUMMYFUNCTION("""COMPUTED_VALUE"""),0.0)</f>
        <v>0</v>
      </c>
      <c r="V90" s="365">
        <f>IFERROR(__xludf.DUMMYFUNCTION("""COMPUTED_VALUE"""),0.0)</f>
        <v>0</v>
      </c>
      <c r="W90" s="365">
        <f>IFERROR(__xludf.DUMMYFUNCTION("""COMPUTED_VALUE"""),0.0)</f>
        <v>0</v>
      </c>
    </row>
    <row r="91">
      <c r="A91" s="255" t="str">
        <f>IFERROR(__xludf.DUMMYFUNCTION("""COMPUTED_VALUE"""),"MICRO")</f>
        <v>MICRO</v>
      </c>
      <c r="B91" s="23" t="str">
        <f>IFERROR(__xludf.DUMMYFUNCTION("""COMPUTED_VALUE"""),"fitrianahisnainy")</f>
        <v>fitrianahisnainy</v>
      </c>
      <c r="C91" s="281" t="str">
        <f>IFERROR(__xludf.DUMMYFUNCTION("""COMPUTED_VALUE"""),"https://www.tiktok.com/@fitrianahisnainy")</f>
        <v>https://www.tiktok.com/@fitrianahisnainy</v>
      </c>
      <c r="D91" s="270">
        <f>IFERROR(__xludf.DUMMYFUNCTION("""COMPUTED_VALUE"""),8.5210191147E10)</f>
        <v>85210191147</v>
      </c>
      <c r="E91" s="362">
        <f>IFERROR(__xludf.DUMMYFUNCTION("""COMPUTED_VALUE"""),150000.0)</f>
        <v>150000</v>
      </c>
      <c r="F91" s="270">
        <f>IFERROR(__xludf.DUMMYFUNCTION("""COMPUTED_VALUE"""),2.0)</f>
        <v>2</v>
      </c>
      <c r="G91" s="17" t="str">
        <f>IFERROR(__xludf.DUMMYFUNCTION("""COMPUTED_VALUE"""),"143,48jt")</f>
        <v>143,48jt</v>
      </c>
      <c r="H91" s="355" t="str">
        <f>IFERROR(__xludf.DUMMYFUNCTION("""COMPUTED_VALUE"""),"Body Bleach")</f>
        <v>Body Bleach</v>
      </c>
      <c r="I91" s="356" t="str">
        <f>IFERROR(__xludf.DUMMYFUNCTION("""COMPUTED_VALUE"""),"Sampai")</f>
        <v>Sampai</v>
      </c>
      <c r="J91" s="357"/>
      <c r="K91" s="279" t="str">
        <f>IFERROR(__xludf.DUMMYFUNCTION("""COMPUTED_VALUE"""),"https://vt.tiktok.com/ZSHHWMQb2/")</f>
        <v>https://vt.tiktok.com/ZSHHWMQb2/</v>
      </c>
      <c r="L91" s="357"/>
      <c r="M91" s="17"/>
      <c r="N91" s="357"/>
      <c r="O91" s="17"/>
      <c r="P91" s="357"/>
      <c r="Q91" s="17"/>
      <c r="R91" s="17"/>
      <c r="S91" s="17"/>
      <c r="T91" s="365">
        <f>IFERROR(__xludf.DUMMYFUNCTION("""COMPUTED_VALUE"""),0.0)</f>
        <v>0</v>
      </c>
      <c r="U91" s="365">
        <f>IFERROR(__xludf.DUMMYFUNCTION("""COMPUTED_VALUE"""),0.0)</f>
        <v>0</v>
      </c>
      <c r="V91" s="365">
        <f>IFERROR(__xludf.DUMMYFUNCTION("""COMPUTED_VALUE"""),0.0)</f>
        <v>0</v>
      </c>
      <c r="W91" s="365">
        <f>IFERROR(__xludf.DUMMYFUNCTION("""COMPUTED_VALUE"""),0.0)</f>
        <v>0</v>
      </c>
    </row>
    <row r="92">
      <c r="A92" s="255" t="str">
        <f>IFERROR(__xludf.DUMMYFUNCTION("""COMPUTED_VALUE"""),"MICRO")</f>
        <v>MICRO</v>
      </c>
      <c r="B92" s="23" t="str">
        <f>IFERROR(__xludf.DUMMYFUNCTION("""COMPUTED_VALUE"""),"by.titaaa")</f>
        <v>by.titaaa</v>
      </c>
      <c r="C92" s="281" t="str">
        <f>IFERROR(__xludf.DUMMYFUNCTION("""COMPUTED_VALUE"""),"https://www.tiktok.com/@by.titaaa")</f>
        <v>https://www.tiktok.com/@by.titaaa</v>
      </c>
      <c r="D92" s="270">
        <f>IFERROR(__xludf.DUMMYFUNCTION("""COMPUTED_VALUE"""),8.8805292736E10)</f>
        <v>88805292736</v>
      </c>
      <c r="E92" s="362">
        <f>IFERROR(__xludf.DUMMYFUNCTION("""COMPUTED_VALUE"""),0.0)</f>
        <v>0</v>
      </c>
      <c r="F92" s="270">
        <f>IFERROR(__xludf.DUMMYFUNCTION("""COMPUTED_VALUE"""),3.0)</f>
        <v>3</v>
      </c>
      <c r="G92" s="17" t="str">
        <f>IFERROR(__xludf.DUMMYFUNCTION("""COMPUTED_VALUE"""),"5,31jt")</f>
        <v>5,31jt</v>
      </c>
      <c r="H92" s="355" t="str">
        <f>IFERROR(__xludf.DUMMYFUNCTION("""COMPUTED_VALUE"""),"Body Bleach")</f>
        <v>Body Bleach</v>
      </c>
      <c r="I92" s="356" t="str">
        <f>IFERROR(__xludf.DUMMYFUNCTION("""COMPUTED_VALUE"""),"Sampai")</f>
        <v>Sampai</v>
      </c>
      <c r="J92" s="357"/>
      <c r="K92" s="279" t="str">
        <f>IFERROR(__xludf.DUMMYFUNCTION("""COMPUTED_VALUE"""),"https://vt.tiktok.com/ZS91h6nrH/")</f>
        <v>https://vt.tiktok.com/ZS91h6nrH/</v>
      </c>
      <c r="L92" s="357"/>
      <c r="M92" s="279" t="str">
        <f>IFERROR(__xludf.DUMMYFUNCTION("""COMPUTED_VALUE"""),"https://vt.tiktok.com/ZS9foLX5L/")</f>
        <v>https://vt.tiktok.com/ZS9foLX5L/</v>
      </c>
      <c r="N92" s="357"/>
      <c r="O92" s="279" t="str">
        <f>IFERROR(__xludf.DUMMYFUNCTION("""COMPUTED_VALUE"""),"https://vt.tiktok.com/ZS9foU7NS/")</f>
        <v>https://vt.tiktok.com/ZS9foU7NS/</v>
      </c>
      <c r="P92" s="357"/>
      <c r="Q92" s="17"/>
      <c r="R92" s="17"/>
      <c r="S92" s="17"/>
      <c r="T92" s="365">
        <f>IFERROR(__xludf.DUMMYFUNCTION("""COMPUTED_VALUE"""),0.0)</f>
        <v>0</v>
      </c>
      <c r="U92" s="365">
        <f>IFERROR(__xludf.DUMMYFUNCTION("""COMPUTED_VALUE"""),0.0)</f>
        <v>0</v>
      </c>
      <c r="V92" s="365">
        <f>IFERROR(__xludf.DUMMYFUNCTION("""COMPUTED_VALUE"""),0.0)</f>
        <v>0</v>
      </c>
      <c r="W92" s="365">
        <f>IFERROR(__xludf.DUMMYFUNCTION("""COMPUTED_VALUE"""),0.0)</f>
        <v>0</v>
      </c>
    </row>
    <row r="93">
      <c r="A93" s="255" t="str">
        <f>IFERROR(__xludf.DUMMYFUNCTION("""COMPUTED_VALUE"""),"NANO")</f>
        <v>NANO</v>
      </c>
      <c r="B93" s="23" t="str">
        <f>IFERROR(__xludf.DUMMYFUNCTION("""COMPUTED_VALUE"""),"hayndep")</f>
        <v>hayndep</v>
      </c>
      <c r="C93" s="281" t="str">
        <f>IFERROR(__xludf.DUMMYFUNCTION("""COMPUTED_VALUE"""),"https://www.tiktok.com/@hayndep")</f>
        <v>https://www.tiktok.com/@hayndep</v>
      </c>
      <c r="D93" s="270">
        <f>IFERROR(__xludf.DUMMYFUNCTION("""COMPUTED_VALUE"""),8.1281702413E10)</f>
        <v>81281702413</v>
      </c>
      <c r="E93" s="362">
        <f>IFERROR(__xludf.DUMMYFUNCTION("""COMPUTED_VALUE"""),100000.0)</f>
        <v>100000</v>
      </c>
      <c r="F93" s="270">
        <f>IFERROR(__xludf.DUMMYFUNCTION("""COMPUTED_VALUE"""),1.0)</f>
        <v>1</v>
      </c>
      <c r="G93" s="17" t="str">
        <f>IFERROR(__xludf.DUMMYFUNCTION("""COMPUTED_VALUE"""),"5,5jt")</f>
        <v>5,5jt</v>
      </c>
      <c r="H93" s="17" t="str">
        <f>IFERROR(__xludf.DUMMYFUNCTION("""COMPUTED_VALUE"""),"Body Bleach")</f>
        <v>Body Bleach</v>
      </c>
      <c r="I93" s="356" t="str">
        <f>IFERROR(__xludf.DUMMYFUNCTION("""COMPUTED_VALUE"""),"Sampai")</f>
        <v>Sampai</v>
      </c>
      <c r="J93" s="357"/>
      <c r="K93" s="279" t="str">
        <f>IFERROR(__xludf.DUMMYFUNCTION("""COMPUTED_VALUE"""),"https://vt.tiktok.com/ZSHcdJK11/")</f>
        <v>https://vt.tiktok.com/ZSHcdJK11/</v>
      </c>
      <c r="L93" s="357"/>
      <c r="M93" s="17"/>
      <c r="N93" s="357"/>
      <c r="O93" s="17"/>
      <c r="P93" s="357"/>
      <c r="Q93" s="17"/>
      <c r="R93" s="17"/>
      <c r="S93" s="17"/>
      <c r="T93" s="365">
        <f>IFERROR(__xludf.DUMMYFUNCTION("""COMPUTED_VALUE"""),0.0)</f>
        <v>0</v>
      </c>
      <c r="U93" s="365">
        <f>IFERROR(__xludf.DUMMYFUNCTION("""COMPUTED_VALUE"""),0.0)</f>
        <v>0</v>
      </c>
      <c r="V93" s="365">
        <f>IFERROR(__xludf.DUMMYFUNCTION("""COMPUTED_VALUE"""),0.0)</f>
        <v>0</v>
      </c>
      <c r="W93" s="365">
        <f>IFERROR(__xludf.DUMMYFUNCTION("""COMPUTED_VALUE"""),0.0)</f>
        <v>0</v>
      </c>
    </row>
    <row r="94">
      <c r="A94" s="255" t="str">
        <f>IFERROR(__xludf.DUMMYFUNCTION("""COMPUTED_VALUE"""),"MACRO")</f>
        <v>MACRO</v>
      </c>
      <c r="B94" s="23" t="str">
        <f>IFERROR(__xludf.DUMMYFUNCTION("""COMPUTED_VALUE"""),"intnwulnn_")</f>
        <v>intnwulnn_</v>
      </c>
      <c r="C94" s="281" t="str">
        <f>IFERROR(__xludf.DUMMYFUNCTION("""COMPUTED_VALUE"""),"https://www.tiktok.com/@intnwulnn_")</f>
        <v>https://www.tiktok.com/@intnwulnn_</v>
      </c>
      <c r="D94" s="270">
        <f>IFERROR(__xludf.DUMMYFUNCTION("""COMPUTED_VALUE"""),8.992559368E9)</f>
        <v>8992559368</v>
      </c>
      <c r="E94" s="362">
        <f>IFERROR(__xludf.DUMMYFUNCTION("""COMPUTED_VALUE"""),350000.0)</f>
        <v>350000</v>
      </c>
      <c r="F94" s="270">
        <f>IFERROR(__xludf.DUMMYFUNCTION("""COMPUTED_VALUE"""),1.0)</f>
        <v>1</v>
      </c>
      <c r="G94" s="17" t="str">
        <f>IFERROR(__xludf.DUMMYFUNCTION("""COMPUTED_VALUE"""),"17jt")</f>
        <v>17jt</v>
      </c>
      <c r="H94" s="17" t="str">
        <f>IFERROR(__xludf.DUMMYFUNCTION("""COMPUTED_VALUE"""),"Body Bleach")</f>
        <v>Body Bleach</v>
      </c>
      <c r="I94" s="356" t="str">
        <f>IFERROR(__xludf.DUMMYFUNCTION("""COMPUTED_VALUE"""),"Sampai")</f>
        <v>Sampai</v>
      </c>
      <c r="J94" s="357"/>
      <c r="K94" s="279" t="str">
        <f>IFERROR(__xludf.DUMMYFUNCTION("""COMPUTED_VALUE"""),"https://vt.tiktok.com/ZS9UwT1WB/")</f>
        <v>https://vt.tiktok.com/ZS9UwT1WB/</v>
      </c>
      <c r="L94" s="357"/>
      <c r="M94" s="17"/>
      <c r="N94" s="357"/>
      <c r="O94" s="17"/>
      <c r="P94" s="357"/>
      <c r="Q94" s="17"/>
      <c r="R94" s="17"/>
      <c r="S94" s="17"/>
      <c r="T94" s="365">
        <f>IFERROR(__xludf.DUMMYFUNCTION("""COMPUTED_VALUE"""),0.0)</f>
        <v>0</v>
      </c>
      <c r="U94" s="365">
        <f>IFERROR(__xludf.DUMMYFUNCTION("""COMPUTED_VALUE"""),0.0)</f>
        <v>0</v>
      </c>
      <c r="V94" s="365">
        <f>IFERROR(__xludf.DUMMYFUNCTION("""COMPUTED_VALUE"""),0.0)</f>
        <v>0</v>
      </c>
      <c r="W94" s="365">
        <f>IFERROR(__xludf.DUMMYFUNCTION("""COMPUTED_VALUE"""),0.0)</f>
        <v>0</v>
      </c>
    </row>
    <row r="95">
      <c r="A95" s="255" t="str">
        <f>IFERROR(__xludf.DUMMYFUNCTION("""COMPUTED_VALUE"""),"MICRO")</f>
        <v>MICRO</v>
      </c>
      <c r="B95" s="23" t="str">
        <f>IFERROR(__xludf.DUMMYFUNCTION("""COMPUTED_VALUE"""),"ekbardiary")</f>
        <v>ekbardiary</v>
      </c>
      <c r="C95" s="281" t="str">
        <f>IFERROR(__xludf.DUMMYFUNCTION("""COMPUTED_VALUE"""),"https://www.tiktok.com/@ekbardiary")</f>
        <v>https://www.tiktok.com/@ekbardiary</v>
      </c>
      <c r="D95" s="270">
        <f>IFERROR(__xludf.DUMMYFUNCTION("""COMPUTED_VALUE"""),8.2118716575E10)</f>
        <v>82118716575</v>
      </c>
      <c r="E95" s="362">
        <f>IFERROR(__xludf.DUMMYFUNCTION("""COMPUTED_VALUE"""),400000.0)</f>
        <v>400000</v>
      </c>
      <c r="F95" s="270">
        <f>IFERROR(__xludf.DUMMYFUNCTION("""COMPUTED_VALUE"""),1.0)</f>
        <v>1</v>
      </c>
      <c r="G95" s="17" t="str">
        <f>IFERROR(__xludf.DUMMYFUNCTION("""COMPUTED_VALUE"""),"1JT+")</f>
        <v>1JT+</v>
      </c>
      <c r="H95" s="17" t="str">
        <f>IFERROR(__xludf.DUMMYFUNCTION("""COMPUTED_VALUE"""),"Body Bleach")</f>
        <v>Body Bleach</v>
      </c>
      <c r="I95" s="356" t="str">
        <f>IFERROR(__xludf.DUMMYFUNCTION("""COMPUTED_VALUE"""),"Sampai")</f>
        <v>Sampai</v>
      </c>
      <c r="J95" s="357"/>
      <c r="K95" s="279" t="str">
        <f>IFERROR(__xludf.DUMMYFUNCTION("""COMPUTED_VALUE"""),"https://vt.tiktok.com/ZSHtJnq4g/")</f>
        <v>https://vt.tiktok.com/ZSHtJnq4g/</v>
      </c>
      <c r="L95" s="357"/>
      <c r="M95" s="17"/>
      <c r="N95" s="357"/>
      <c r="O95" s="17"/>
      <c r="P95" s="357"/>
      <c r="Q95" s="17"/>
      <c r="R95" s="17"/>
      <c r="S95" s="17"/>
      <c r="T95" s="365">
        <f>IFERROR(__xludf.DUMMYFUNCTION("""COMPUTED_VALUE"""),171258.0)</f>
        <v>171258</v>
      </c>
      <c r="U95" s="365">
        <f>IFERROR(__xludf.DUMMYFUNCTION("""COMPUTED_VALUE"""),0.0)</f>
        <v>0</v>
      </c>
      <c r="V95" s="365">
        <f>IFERROR(__xludf.DUMMYFUNCTION("""COMPUTED_VALUE"""),0.0)</f>
        <v>0</v>
      </c>
      <c r="W95" s="365">
        <f>IFERROR(__xludf.DUMMYFUNCTION("""COMPUTED_VALUE"""),0.0)</f>
        <v>0</v>
      </c>
    </row>
    <row r="96">
      <c r="A96" s="255" t="str">
        <f>IFERROR(__xludf.DUMMYFUNCTION("""COMPUTED_VALUE"""),"NANO")</f>
        <v>NANO</v>
      </c>
      <c r="B96" s="23" t="str">
        <f>IFERROR(__xludf.DUMMYFUNCTION("""COMPUTED_VALUE"""),"marizarizka_")</f>
        <v>marizarizka_</v>
      </c>
      <c r="C96" s="281" t="str">
        <f>IFERROR(__xludf.DUMMYFUNCTION("""COMPUTED_VALUE"""),"https://www.tiktok.com/@marizarizka_")</f>
        <v>https://www.tiktok.com/@marizarizka_</v>
      </c>
      <c r="D96" s="270">
        <f>IFERROR(__xludf.DUMMYFUNCTION("""COMPUTED_VALUE"""),8.7769115748E10)</f>
        <v>87769115748</v>
      </c>
      <c r="E96" s="362">
        <f>IFERROR(__xludf.DUMMYFUNCTION("""COMPUTED_VALUE"""),0.0)</f>
        <v>0</v>
      </c>
      <c r="F96" s="270">
        <f>IFERROR(__xludf.DUMMYFUNCTION("""COMPUTED_VALUE"""),2.0)</f>
        <v>2</v>
      </c>
      <c r="G96" s="17" t="str">
        <f>IFERROR(__xludf.DUMMYFUNCTION("""COMPUTED_VALUE"""),"43jt")</f>
        <v>43jt</v>
      </c>
      <c r="H96" s="17" t="str">
        <f>IFERROR(__xludf.DUMMYFUNCTION("""COMPUTED_VALUE"""),"paket sedekah glowing 3pcs (Fw brightening, toneup ""day cream"", instaglow cream ""night cream"")")</f>
        <v>paket sedekah glowing 3pcs (Fw brightening, toneup "day cream", instaglow cream "night cream")</v>
      </c>
      <c r="I96" s="356" t="str">
        <f>IFERROR(__xludf.DUMMYFUNCTION("""COMPUTED_VALUE"""),"Sampai")</f>
        <v>Sampai</v>
      </c>
      <c r="J96" s="357"/>
      <c r="K96" s="279" t="str">
        <f>IFERROR(__xludf.DUMMYFUNCTION("""COMPUTED_VALUE"""),"https://vt.tiktok.com/ZS9KHLR7j/")</f>
        <v>https://vt.tiktok.com/ZS9KHLR7j/</v>
      </c>
      <c r="L96" s="357"/>
      <c r="M96" s="17"/>
      <c r="N96" s="357"/>
      <c r="O96" s="17"/>
      <c r="P96" s="357"/>
      <c r="Q96" s="17"/>
      <c r="R96" s="17"/>
      <c r="S96" s="17"/>
      <c r="T96" s="365">
        <f>IFERROR(__xludf.DUMMYFUNCTION("""COMPUTED_VALUE"""),0.0)</f>
        <v>0</v>
      </c>
      <c r="U96" s="365">
        <f>IFERROR(__xludf.DUMMYFUNCTION("""COMPUTED_VALUE"""),0.0)</f>
        <v>0</v>
      </c>
      <c r="V96" s="365">
        <f>IFERROR(__xludf.DUMMYFUNCTION("""COMPUTED_VALUE"""),0.0)</f>
        <v>0</v>
      </c>
      <c r="W96" s="365">
        <f>IFERROR(__xludf.DUMMYFUNCTION("""COMPUTED_VALUE"""),0.0)</f>
        <v>0</v>
      </c>
    </row>
    <row r="97">
      <c r="A97" s="255" t="str">
        <f>IFERROR(__xludf.DUMMYFUNCTION("""COMPUTED_VALUE"""),"NANO")</f>
        <v>NANO</v>
      </c>
      <c r="B97" s="23" t="str">
        <f>IFERROR(__xludf.DUMMYFUNCTION("""COMPUTED_VALUE"""),"audiatunnuzul.11")</f>
        <v>audiatunnuzul.11</v>
      </c>
      <c r="C97" s="281" t="str">
        <f>IFERROR(__xludf.DUMMYFUNCTION("""COMPUTED_VALUE"""),"https://www.tiktok.com/@audiatunnuzul.11")</f>
        <v>https://www.tiktok.com/@audiatunnuzul.11</v>
      </c>
      <c r="D97" s="270"/>
      <c r="E97" s="362">
        <f>IFERROR(__xludf.DUMMYFUNCTION("""COMPUTED_VALUE"""),0.0)</f>
        <v>0</v>
      </c>
      <c r="F97" s="270">
        <f>IFERROR(__xludf.DUMMYFUNCTION("""COMPUTED_VALUE"""),2.0)</f>
        <v>2</v>
      </c>
      <c r="G97" s="17" t="str">
        <f>IFERROR(__xludf.DUMMYFUNCTION("""COMPUTED_VALUE"""),"542,7K")</f>
        <v>542,7K</v>
      </c>
      <c r="H97" s="17"/>
      <c r="I97" s="356"/>
      <c r="J97" s="357"/>
      <c r="K97" s="17"/>
      <c r="L97" s="357"/>
      <c r="M97" s="17"/>
      <c r="N97" s="357"/>
      <c r="O97" s="17"/>
      <c r="P97" s="357"/>
      <c r="Q97" s="17"/>
      <c r="R97" s="17"/>
      <c r="S97" s="17"/>
      <c r="T97" s="365">
        <f>IFERROR(__xludf.DUMMYFUNCTION("""COMPUTED_VALUE"""),0.0)</f>
        <v>0</v>
      </c>
      <c r="U97" s="365">
        <f>IFERROR(__xludf.DUMMYFUNCTION("""COMPUTED_VALUE"""),0.0)</f>
        <v>0</v>
      </c>
      <c r="V97" s="365">
        <f>IFERROR(__xludf.DUMMYFUNCTION("""COMPUTED_VALUE"""),0.0)</f>
        <v>0</v>
      </c>
      <c r="W97" s="365">
        <f>IFERROR(__xludf.DUMMYFUNCTION("""COMPUTED_VALUE"""),0.0)</f>
        <v>0</v>
      </c>
    </row>
    <row r="98">
      <c r="A98" s="255" t="str">
        <f>IFERROR(__xludf.DUMMYFUNCTION("""COMPUTED_VALUE"""),"MICRO")</f>
        <v>MICRO</v>
      </c>
      <c r="B98" s="23" t="str">
        <f>IFERROR(__xludf.DUMMYFUNCTION("""COMPUTED_VALUE"""),"tesazakia")</f>
        <v>tesazakia</v>
      </c>
      <c r="C98" s="281" t="str">
        <f>IFERROR(__xludf.DUMMYFUNCTION("""COMPUTED_VALUE"""),"https://www.tiktok.com/@tesazakia?lang=en")</f>
        <v>https://www.tiktok.com/@tesazakia?lang=en</v>
      </c>
      <c r="D98" s="270">
        <f>IFERROR(__xludf.DUMMYFUNCTION("""COMPUTED_VALUE"""),8.523051969E10)</f>
        <v>85230519690</v>
      </c>
      <c r="E98" s="362">
        <f>IFERROR(__xludf.DUMMYFUNCTION("""COMPUTED_VALUE"""),200000.0)</f>
        <v>200000</v>
      </c>
      <c r="F98" s="270">
        <f>IFERROR(__xludf.DUMMYFUNCTION("""COMPUTED_VALUE"""),1.0)</f>
        <v>1</v>
      </c>
      <c r="G98" s="17" t="str">
        <f>IFERROR(__xludf.DUMMYFUNCTION("""COMPUTED_VALUE"""),"2,9JT")</f>
        <v>2,9JT</v>
      </c>
      <c r="H98" s="17" t="str">
        <f>IFERROR(__xludf.DUMMYFUNCTION("""COMPUTED_VALUE"""),"paket sedekah glowing 3pcs (Fw brightening, toneup ""day cream"", instaglow cream ""night cream"")")</f>
        <v>paket sedekah glowing 3pcs (Fw brightening, toneup "day cream", instaglow cream "night cream")</v>
      </c>
      <c r="I98" s="356" t="str">
        <f>IFERROR(__xludf.DUMMYFUNCTION("""COMPUTED_VALUE"""),"Sampai")</f>
        <v>Sampai</v>
      </c>
      <c r="J98" s="357"/>
      <c r="K98" s="279" t="str">
        <f>IFERROR(__xludf.DUMMYFUNCTION("""COMPUTED_VALUE"""),"https://vt.tiktok.com/ZSHoFT2m2/")</f>
        <v>https://vt.tiktok.com/ZSHoFT2m2/</v>
      </c>
      <c r="L98" s="357"/>
      <c r="M98" s="17"/>
      <c r="N98" s="357"/>
      <c r="O98" s="17"/>
      <c r="P98" s="357"/>
      <c r="Q98" s="17"/>
      <c r="R98" s="17"/>
      <c r="S98" s="17"/>
      <c r="T98" s="365">
        <f>IFERROR(__xludf.DUMMYFUNCTION("""COMPUTED_VALUE"""),0.0)</f>
        <v>0</v>
      </c>
      <c r="U98" s="365">
        <f>IFERROR(__xludf.DUMMYFUNCTION("""COMPUTED_VALUE"""),0.0)</f>
        <v>0</v>
      </c>
      <c r="V98" s="365">
        <f>IFERROR(__xludf.DUMMYFUNCTION("""COMPUTED_VALUE"""),0.0)</f>
        <v>0</v>
      </c>
      <c r="W98" s="365">
        <f>IFERROR(__xludf.DUMMYFUNCTION("""COMPUTED_VALUE"""),0.0)</f>
        <v>0</v>
      </c>
    </row>
    <row r="99">
      <c r="A99" s="255" t="str">
        <f>IFERROR(__xludf.DUMMYFUNCTION("""COMPUTED_VALUE"""),"NANO")</f>
        <v>NANO</v>
      </c>
      <c r="B99" s="23" t="str">
        <f>IFERROR(__xludf.DUMMYFUNCTION("""COMPUTED_VALUE"""),"unboxingtime___")</f>
        <v>unboxingtime___</v>
      </c>
      <c r="C99" s="281" t="str">
        <f>IFERROR(__xludf.DUMMYFUNCTION("""COMPUTED_VALUE"""),"https://www.tiktok.com/@unboxingtime___")</f>
        <v>https://www.tiktok.com/@unboxingtime___</v>
      </c>
      <c r="D99" s="270">
        <f>IFERROR(__xludf.DUMMYFUNCTION("""COMPUTED_VALUE"""),8.1220335521E10)</f>
        <v>81220335521</v>
      </c>
      <c r="E99" s="362">
        <f>IFERROR(__xludf.DUMMYFUNCTION("""COMPUTED_VALUE"""),0.0)</f>
        <v>0</v>
      </c>
      <c r="F99" s="270">
        <f>IFERROR(__xludf.DUMMYFUNCTION("""COMPUTED_VALUE"""),3.0)</f>
        <v>3</v>
      </c>
      <c r="G99" s="17" t="str">
        <f>IFERROR(__xludf.DUMMYFUNCTION("""COMPUTED_VALUE"""),"276,1JT")</f>
        <v>276,1JT</v>
      </c>
      <c r="H99" s="17" t="str">
        <f>IFERROR(__xludf.DUMMYFUNCTION("""COMPUTED_VALUE"""),"paket sedekah bebas jerawat 3pcs (Fw low ph, acne spot, dan instaglow cream)")</f>
        <v>paket sedekah bebas jerawat 3pcs (Fw low ph, acne spot, dan instaglow cream)</v>
      </c>
      <c r="I99" s="356" t="str">
        <f>IFERROR(__xludf.DUMMYFUNCTION("""COMPUTED_VALUE"""),"Sampai")</f>
        <v>Sampai</v>
      </c>
      <c r="J99" s="357"/>
      <c r="K99" s="17"/>
      <c r="L99" s="357"/>
      <c r="M99" s="17"/>
      <c r="N99" s="357"/>
      <c r="O99" s="17"/>
      <c r="P99" s="357"/>
      <c r="Q99" s="17"/>
      <c r="R99" s="17"/>
      <c r="S99" s="17"/>
      <c r="T99" s="365">
        <f>IFERROR(__xludf.DUMMYFUNCTION("""COMPUTED_VALUE"""),0.0)</f>
        <v>0</v>
      </c>
      <c r="U99" s="365">
        <f>IFERROR(__xludf.DUMMYFUNCTION("""COMPUTED_VALUE"""),0.0)</f>
        <v>0</v>
      </c>
      <c r="V99" s="365">
        <f>IFERROR(__xludf.DUMMYFUNCTION("""COMPUTED_VALUE"""),0.0)</f>
        <v>0</v>
      </c>
      <c r="W99" s="365">
        <f>IFERROR(__xludf.DUMMYFUNCTION("""COMPUTED_VALUE"""),0.0)</f>
        <v>0</v>
      </c>
    </row>
    <row r="100">
      <c r="A100" s="255" t="str">
        <f>IFERROR(__xludf.DUMMYFUNCTION("""COMPUTED_VALUE"""),"NANO")</f>
        <v>NANO</v>
      </c>
      <c r="B100" s="23" t="str">
        <f>IFERROR(__xludf.DUMMYFUNCTION("""COMPUTED_VALUE"""),"aradumpie.__")</f>
        <v>aradumpie.__</v>
      </c>
      <c r="C100" s="281" t="str">
        <f>IFERROR(__xludf.DUMMYFUNCTION("""COMPUTED_VALUE"""),"https://www.tiktok.com/@aradumpie.__")</f>
        <v>https://www.tiktok.com/@aradumpie.__</v>
      </c>
      <c r="D100" s="270">
        <f>IFERROR(__xludf.DUMMYFUNCTION("""COMPUTED_VALUE"""),8.9634663225E10)</f>
        <v>89634663225</v>
      </c>
      <c r="E100" s="362">
        <f>IFERROR(__xludf.DUMMYFUNCTION("""COMPUTED_VALUE"""),0.0)</f>
        <v>0</v>
      </c>
      <c r="F100" s="270">
        <f>IFERROR(__xludf.DUMMYFUNCTION("""COMPUTED_VALUE"""),2.0)</f>
        <v>2</v>
      </c>
      <c r="G100" s="17" t="str">
        <f>IFERROR(__xludf.DUMMYFUNCTION("""COMPUTED_VALUE"""),"29,5JT")</f>
        <v>29,5JT</v>
      </c>
      <c r="H100" s="17" t="str">
        <f>IFERROR(__xludf.DUMMYFUNCTION("""COMPUTED_VALUE"""),"Hair Serum")</f>
        <v>Hair Serum</v>
      </c>
      <c r="I100" s="356" t="str">
        <f>IFERROR(__xludf.DUMMYFUNCTION("""COMPUTED_VALUE"""),"Sampai")</f>
        <v>Sampai</v>
      </c>
      <c r="J100" s="357"/>
      <c r="K100" s="279" t="str">
        <f>IFERROR(__xludf.DUMMYFUNCTION("""COMPUTED_VALUE"""),"https://vt.tiktok.com/ZSxjkSBVS/")</f>
        <v>https://vt.tiktok.com/ZSxjkSBVS/</v>
      </c>
      <c r="L100" s="357"/>
      <c r="M100" s="279" t="str">
        <f>IFERROR(__xludf.DUMMYFUNCTION("""COMPUTED_VALUE"""),"https://vt.tiktok.com/ZSxM9NmDr/")</f>
        <v>https://vt.tiktok.com/ZSxM9NmDr/</v>
      </c>
      <c r="N100" s="357"/>
      <c r="O100" s="17"/>
      <c r="P100" s="357"/>
      <c r="Q100" s="17"/>
      <c r="R100" s="17"/>
      <c r="S100" s="17"/>
      <c r="T100" s="365">
        <f>IFERROR(__xludf.DUMMYFUNCTION("""COMPUTED_VALUE"""),0.0)</f>
        <v>0</v>
      </c>
      <c r="U100" s="365">
        <f>IFERROR(__xludf.DUMMYFUNCTION("""COMPUTED_VALUE"""),0.0)</f>
        <v>0</v>
      </c>
      <c r="V100" s="365">
        <f>IFERROR(__xludf.DUMMYFUNCTION("""COMPUTED_VALUE"""),0.0)</f>
        <v>0</v>
      </c>
      <c r="W100" s="365">
        <f>IFERROR(__xludf.DUMMYFUNCTION("""COMPUTED_VALUE"""),0.0)</f>
        <v>0</v>
      </c>
    </row>
    <row r="101">
      <c r="A101" s="255" t="str">
        <f>IFERROR(__xludf.DUMMYFUNCTION("""COMPUTED_VALUE"""),"MICRO")</f>
        <v>MICRO</v>
      </c>
      <c r="B101" s="23" t="str">
        <f>IFERROR(__xludf.DUMMYFUNCTION("""COMPUTED_VALUE"""),"titiaja12")</f>
        <v>titiaja12</v>
      </c>
      <c r="C101" s="281" t="str">
        <f>IFERROR(__xludf.DUMMYFUNCTION("""COMPUTED_VALUE"""),"https://www.tiktok.com/@titiaja12")</f>
        <v>https://www.tiktok.com/@titiaja12</v>
      </c>
      <c r="D101" s="270"/>
      <c r="E101" s="362">
        <f>IFERROR(__xludf.DUMMYFUNCTION("""COMPUTED_VALUE"""),0.0)</f>
        <v>0</v>
      </c>
      <c r="F101" s="270">
        <f>IFERROR(__xludf.DUMMYFUNCTION("""COMPUTED_VALUE"""),1.0)</f>
        <v>1</v>
      </c>
      <c r="G101" s="17" t="str">
        <f>IFERROR(__xludf.DUMMYFUNCTION("""COMPUTED_VALUE"""),"1JT+")</f>
        <v>1JT+</v>
      </c>
      <c r="H101" s="17" t="str">
        <f>IFERROR(__xludf.DUMMYFUNCTION("""COMPUTED_VALUE"""),"paket sedekah glowing 3pcs (Fw brightening, toneup ""day cream"", instaglow cream ""night cream"")")</f>
        <v>paket sedekah glowing 3pcs (Fw brightening, toneup "day cream", instaglow cream "night cream")</v>
      </c>
      <c r="I101" s="356" t="str">
        <f>IFERROR(__xludf.DUMMYFUNCTION("""COMPUTED_VALUE"""),"Sampai")</f>
        <v>Sampai</v>
      </c>
      <c r="J101" s="357"/>
      <c r="K101" s="279" t="str">
        <f>IFERROR(__xludf.DUMMYFUNCTION("""COMPUTED_VALUE"""),"https://vt.tiktok.com/ZS9d3tjfp/")</f>
        <v>https://vt.tiktok.com/ZS9d3tjfp/</v>
      </c>
      <c r="L101" s="357"/>
      <c r="M101" s="279" t="str">
        <f>IFERROR(__xludf.DUMMYFUNCTION("""COMPUTED_VALUE"""),"https://vt.tiktok.com/ZS9QL1bCc/")</f>
        <v>https://vt.tiktok.com/ZS9QL1bCc/</v>
      </c>
      <c r="N101" s="357"/>
      <c r="O101" s="279" t="str">
        <f>IFERROR(__xludf.DUMMYFUNCTION("""COMPUTED_VALUE"""),"https://vt.tiktok.com/ZSxD2378G/")</f>
        <v>https://vt.tiktok.com/ZSxD2378G/</v>
      </c>
      <c r="P101" s="357"/>
      <c r="Q101" s="17"/>
      <c r="R101" s="17"/>
      <c r="S101" s="17"/>
      <c r="T101" s="365">
        <f>IFERROR(__xludf.DUMMYFUNCTION("""COMPUTED_VALUE"""),0.0)</f>
        <v>0</v>
      </c>
      <c r="U101" s="365">
        <f>IFERROR(__xludf.DUMMYFUNCTION("""COMPUTED_VALUE"""),0.0)</f>
        <v>0</v>
      </c>
      <c r="V101" s="365">
        <f>IFERROR(__xludf.DUMMYFUNCTION("""COMPUTED_VALUE"""),0.0)</f>
        <v>0</v>
      </c>
      <c r="W101" s="365">
        <f>IFERROR(__xludf.DUMMYFUNCTION("""COMPUTED_VALUE"""),0.0)</f>
        <v>0</v>
      </c>
    </row>
    <row r="102">
      <c r="A102" s="255" t="str">
        <f>IFERROR(__xludf.DUMMYFUNCTION("""COMPUTED_VALUE"""),"NANO")</f>
        <v>NANO</v>
      </c>
      <c r="B102" s="23" t="str">
        <f>IFERROR(__xludf.DUMMYFUNCTION("""COMPUTED_VALUE"""),"febrianggunn ")</f>
        <v>febrianggunn </v>
      </c>
      <c r="C102" s="281" t="str">
        <f>IFERROR(__xludf.DUMMYFUNCTION("""COMPUTED_VALUE"""),"https://www.tiktok.com/@febrianggunn ")</f>
        <v>https://www.tiktok.com/@febrianggunn </v>
      </c>
      <c r="D102" s="270">
        <f>IFERROR(__xludf.DUMMYFUNCTION("""COMPUTED_VALUE"""),8.2282397046E10)</f>
        <v>82282397046</v>
      </c>
      <c r="E102" s="362">
        <f>IFERROR(__xludf.DUMMYFUNCTION("""COMPUTED_VALUE"""),0.0)</f>
        <v>0</v>
      </c>
      <c r="F102" s="270">
        <f>IFERROR(__xludf.DUMMYFUNCTION("""COMPUTED_VALUE"""),1.0)</f>
        <v>1</v>
      </c>
      <c r="G102" s="17" t="str">
        <f>IFERROR(__xludf.DUMMYFUNCTION("""COMPUTED_VALUE"""),"Rp4,3JT")</f>
        <v>Rp4,3JT</v>
      </c>
      <c r="H102" s="17" t="str">
        <f>IFERROR(__xludf.DUMMYFUNCTION("""COMPUTED_VALUE"""),"paket sedekah glowing 3pcs (Fw brightening, toneup ""day cream"", instaglow cream ""night cream"")")</f>
        <v>paket sedekah glowing 3pcs (Fw brightening, toneup "day cream", instaglow cream "night cream")</v>
      </c>
      <c r="I102" s="356" t="str">
        <f>IFERROR(__xludf.DUMMYFUNCTION("""COMPUTED_VALUE"""),"Sampai")</f>
        <v>Sampai</v>
      </c>
      <c r="J102" s="357"/>
      <c r="K102" s="279" t="str">
        <f>IFERROR(__xludf.DUMMYFUNCTION("""COMPUTED_VALUE"""),"https://vt.tiktok.com/ZSHEoTNMG/")</f>
        <v>https://vt.tiktok.com/ZSHEoTNMG/</v>
      </c>
      <c r="L102" s="357"/>
      <c r="M102" s="279" t="str">
        <f>IFERROR(__xludf.DUMMYFUNCTION("""COMPUTED_VALUE"""),"https://vt.tiktok.com/ZSHo1NHsR/")</f>
        <v>https://vt.tiktok.com/ZSHo1NHsR/</v>
      </c>
      <c r="N102" s="357"/>
      <c r="O102" s="279" t="str">
        <f>IFERROR(__xludf.DUMMYFUNCTION("""COMPUTED_VALUE"""),"https://vt.tiktok.com/ZSHo1LVAT/")</f>
        <v>https://vt.tiktok.com/ZSHo1LVAT/</v>
      </c>
      <c r="P102" s="357"/>
      <c r="Q102" s="17"/>
      <c r="R102" s="17"/>
      <c r="S102" s="17"/>
      <c r="T102" s="365"/>
      <c r="U102" s="365"/>
      <c r="V102" s="365"/>
      <c r="W102" s="365"/>
    </row>
    <row r="103">
      <c r="A103" s="255" t="str">
        <f>IFERROR(__xludf.DUMMYFUNCTION("""COMPUTED_VALUE"""),"NANO")</f>
        <v>NANO</v>
      </c>
      <c r="B103" s="23" t="str">
        <f>IFERROR(__xludf.DUMMYFUNCTION("""COMPUTED_VALUE"""),"ifha_raisya")</f>
        <v>ifha_raisya</v>
      </c>
      <c r="C103" s="281" t="str">
        <f>IFERROR(__xludf.DUMMYFUNCTION("""COMPUTED_VALUE"""),"https://www.tiktok.com/@ifha_raisya")</f>
        <v>https://www.tiktok.com/@ifha_raisya</v>
      </c>
      <c r="D103" s="270">
        <f>IFERROR(__xludf.DUMMYFUNCTION("""COMPUTED_VALUE"""),8.2271053842E10)</f>
        <v>82271053842</v>
      </c>
      <c r="E103" s="362">
        <f>IFERROR(__xludf.DUMMYFUNCTION("""COMPUTED_VALUE"""),0.0)</f>
        <v>0</v>
      </c>
      <c r="F103" s="270">
        <f>IFERROR(__xludf.DUMMYFUNCTION("""COMPUTED_VALUE"""),2.0)</f>
        <v>2</v>
      </c>
      <c r="G103" s="17" t="str">
        <f>IFERROR(__xludf.DUMMYFUNCTION("""COMPUTED_VALUE"""),"Rp25,7JT")</f>
        <v>Rp25,7JT</v>
      </c>
      <c r="H103" s="17" t="str">
        <f>IFERROR(__xludf.DUMMYFUNCTION("""COMPUTED_VALUE"""),"paket sedekah glowing 3pcs (Fw brightening, toneup ""day cream"", instaglow cream ""night cream"")")</f>
        <v>paket sedekah glowing 3pcs (Fw brightening, toneup "day cream", instaglow cream "night cream")</v>
      </c>
      <c r="I103" s="356" t="str">
        <f>IFERROR(__xludf.DUMMYFUNCTION("""COMPUTED_VALUE"""),"Sampai")</f>
        <v>Sampai</v>
      </c>
      <c r="J103" s="357"/>
      <c r="K103" s="279" t="str">
        <f>IFERROR(__xludf.DUMMYFUNCTION("""COMPUTED_VALUE"""),"https://vt.tiktok.com/ZS9DTWWf4/")</f>
        <v>https://vt.tiktok.com/ZS9DTWWf4/</v>
      </c>
      <c r="L103" s="357"/>
      <c r="M103" s="17"/>
      <c r="N103" s="357"/>
      <c r="O103" s="17"/>
      <c r="P103" s="357"/>
      <c r="Q103" s="17"/>
      <c r="R103" s="17"/>
      <c r="S103" s="17"/>
      <c r="T103" s="365"/>
      <c r="U103" s="365"/>
      <c r="V103" s="365"/>
      <c r="W103" s="365"/>
    </row>
    <row r="104">
      <c r="A104" s="255" t="str">
        <f>IFERROR(__xludf.DUMMYFUNCTION("""COMPUTED_VALUE"""),"NANO")</f>
        <v>NANO</v>
      </c>
      <c r="B104" s="23" t="str">
        <f>IFERROR(__xludf.DUMMYFUNCTION("""COMPUTED_VALUE"""),"panggilhanny")</f>
        <v>panggilhanny</v>
      </c>
      <c r="C104" s="281" t="str">
        <f>IFERROR(__xludf.DUMMYFUNCTION("""COMPUTED_VALUE"""),"https://www.tiktok.com/@panggilhanny")</f>
        <v>https://www.tiktok.com/@panggilhanny</v>
      </c>
      <c r="D104" s="270">
        <f>IFERROR(__xludf.DUMMYFUNCTION("""COMPUTED_VALUE"""),8.2123400994E10)</f>
        <v>82123400994</v>
      </c>
      <c r="E104" s="362">
        <f>IFERROR(__xludf.DUMMYFUNCTION("""COMPUTED_VALUE"""),0.0)</f>
        <v>0</v>
      </c>
      <c r="F104" s="270">
        <f>IFERROR(__xludf.DUMMYFUNCTION("""COMPUTED_VALUE"""),2.0)</f>
        <v>2</v>
      </c>
      <c r="G104" s="17" t="str">
        <f>IFERROR(__xludf.DUMMYFUNCTION("""COMPUTED_VALUE"""),"Rp39,7JT")</f>
        <v>Rp39,7JT</v>
      </c>
      <c r="H104" s="17" t="str">
        <f>IFERROR(__xludf.DUMMYFUNCTION("""COMPUTED_VALUE"""),"paket sedekah glowing 3pcs (Fw brightening, toneup ""day cream"", instaglow cream ""night cream"")")</f>
        <v>paket sedekah glowing 3pcs (Fw brightening, toneup "day cream", instaglow cream "night cream")</v>
      </c>
      <c r="I104" s="356" t="str">
        <f>IFERROR(__xludf.DUMMYFUNCTION("""COMPUTED_VALUE"""),"Sampai")</f>
        <v>Sampai</v>
      </c>
      <c r="J104" s="357"/>
      <c r="K104" s="279" t="str">
        <f>IFERROR(__xludf.DUMMYFUNCTION("""COMPUTED_VALUE"""),"https://vt.tiktok.com/ZSxEqjUtV/")</f>
        <v>https://vt.tiktok.com/ZSxEqjUtV/</v>
      </c>
      <c r="L104" s="357"/>
      <c r="M104" s="17"/>
      <c r="N104" s="357"/>
      <c r="O104" s="17"/>
      <c r="P104" s="357"/>
      <c r="Q104" s="17"/>
      <c r="R104" s="17"/>
      <c r="S104" s="17"/>
      <c r="T104" s="365"/>
      <c r="U104" s="365"/>
      <c r="V104" s="365"/>
      <c r="W104" s="365"/>
    </row>
    <row r="105">
      <c r="A105" s="255" t="str">
        <f>IFERROR(__xludf.DUMMYFUNCTION("""COMPUTED_VALUE"""),"MICRO")</f>
        <v>MICRO</v>
      </c>
      <c r="B105" s="23" t="str">
        <f>IFERROR(__xludf.DUMMYFUNCTION("""COMPUTED_VALUE"""),"arinvias")</f>
        <v>arinvias</v>
      </c>
      <c r="C105" s="281" t="str">
        <f>IFERROR(__xludf.DUMMYFUNCTION("""COMPUTED_VALUE"""),"https://www.tiktok.com/@arinvias")</f>
        <v>https://www.tiktok.com/@arinvias</v>
      </c>
      <c r="D105" s="270">
        <f>IFERROR(__xludf.DUMMYFUNCTION("""COMPUTED_VALUE"""),8.5201325209E10)</f>
        <v>85201325209</v>
      </c>
      <c r="E105" s="362">
        <f>IFERROR(__xludf.DUMMYFUNCTION("""COMPUTED_VALUE"""),0.0)</f>
        <v>0</v>
      </c>
      <c r="F105" s="270"/>
      <c r="G105" s="17" t="str">
        <f>IFERROR(__xludf.DUMMYFUNCTION("""COMPUTED_VALUE"""),"Rp500,4JT")</f>
        <v>Rp500,4JT</v>
      </c>
      <c r="H105" s="17" t="str">
        <f>IFERROR(__xludf.DUMMYFUNCTION("""COMPUTED_VALUE"""),"paket pemula glowing &amp; cerah 4pcs(facial wash bright, instaglow cream, ss gel, instaglow toneup cream)")</f>
        <v>paket pemula glowing &amp; cerah 4pcs(facial wash bright, instaglow cream, ss gel, instaglow toneup cream)</v>
      </c>
      <c r="I105" s="356" t="str">
        <f>IFERROR(__xludf.DUMMYFUNCTION("""COMPUTED_VALUE"""),"Sampai")</f>
        <v>Sampai</v>
      </c>
      <c r="J105" s="357"/>
      <c r="K105" s="279" t="str">
        <f>IFERROR(__xludf.DUMMYFUNCTION("""COMPUTED_VALUE"""),"https://vt.tiktok.com/ZSxMcGUJ5/")</f>
        <v>https://vt.tiktok.com/ZSxMcGUJ5/</v>
      </c>
      <c r="L105" s="357"/>
      <c r="M105" s="279" t="str">
        <f>IFERROR(__xludf.DUMMYFUNCTION("""COMPUTED_VALUE"""),"https://vt.tiktok.com/ZSQJnQcNu/")</f>
        <v>https://vt.tiktok.com/ZSQJnQcNu/</v>
      </c>
      <c r="N105" s="357"/>
      <c r="O105" s="17"/>
      <c r="P105" s="357"/>
      <c r="Q105" s="17"/>
      <c r="R105" s="17"/>
      <c r="S105" s="17"/>
      <c r="T105" s="365"/>
      <c r="U105" s="365"/>
      <c r="V105" s="365"/>
      <c r="W105" s="365"/>
    </row>
    <row r="106">
      <c r="A106" s="255" t="str">
        <f>IFERROR(__xludf.DUMMYFUNCTION("""COMPUTED_VALUE"""),"NANO")</f>
        <v>NANO</v>
      </c>
      <c r="B106" s="23" t="str">
        <f>IFERROR(__xludf.DUMMYFUNCTION("""COMPUTED_VALUE"""),"anotherbinaa_")</f>
        <v>anotherbinaa_</v>
      </c>
      <c r="C106" s="281" t="str">
        <f>IFERROR(__xludf.DUMMYFUNCTION("""COMPUTED_VALUE"""),"https://www.tiktok.com/@anotherbinaa_")</f>
        <v>https://www.tiktok.com/@anotherbinaa_</v>
      </c>
      <c r="D106" s="270">
        <f>IFERROR(__xludf.DUMMYFUNCTION("""COMPUTED_VALUE"""),8.3811857504E10)</f>
        <v>83811857504</v>
      </c>
      <c r="E106" s="362">
        <f>IFERROR(__xludf.DUMMYFUNCTION("""COMPUTED_VALUE"""),0.0)</f>
        <v>0</v>
      </c>
      <c r="F106" s="270">
        <f>IFERROR(__xludf.DUMMYFUNCTION("""COMPUTED_VALUE"""),2.0)</f>
        <v>2</v>
      </c>
      <c r="G106" s="17" t="str">
        <f>IFERROR(__xludf.DUMMYFUNCTION("""COMPUTED_VALUE"""),"Rp56,6JT")</f>
        <v>Rp56,6JT</v>
      </c>
      <c r="H106" s="17" t="str">
        <f>IFERROR(__xludf.DUMMYFUNCTION("""COMPUTED_VALUE"""),"paket sedekah glowing 3pcs (Fw brightening, toneup ""day cream"", instaglow cream ""night cream"")")</f>
        <v>paket sedekah glowing 3pcs (Fw brightening, toneup "day cream", instaglow cream "night cream")</v>
      </c>
      <c r="I106" s="356" t="str">
        <f>IFERROR(__xludf.DUMMYFUNCTION("""COMPUTED_VALUE"""),"Sampai")</f>
        <v>Sampai</v>
      </c>
      <c r="J106" s="357"/>
      <c r="K106" s="279" t="str">
        <f>IFERROR(__xludf.DUMMYFUNCTION("""COMPUTED_VALUE"""),"https://vt.tiktok.com/ZSHWmugKU/")</f>
        <v>https://vt.tiktok.com/ZSHWmugKU/</v>
      </c>
      <c r="L106" s="357"/>
      <c r="M106" s="279" t="str">
        <f>IFERROR(__xludf.DUMMYFUNCTION("""COMPUTED_VALUE"""),"https://vt.tiktok.com/ZS9R2VtgE/")</f>
        <v>https://vt.tiktok.com/ZS9R2VtgE/</v>
      </c>
      <c r="N106" s="357"/>
      <c r="O106" s="17"/>
      <c r="P106" s="357"/>
      <c r="Q106" s="17"/>
      <c r="R106" s="17"/>
      <c r="S106" s="17"/>
      <c r="T106" s="365"/>
      <c r="U106" s="365"/>
      <c r="V106" s="365"/>
      <c r="W106" s="365"/>
    </row>
    <row r="107">
      <c r="A107" s="255" t="str">
        <f>IFERROR(__xludf.DUMMYFUNCTION("""COMPUTED_VALUE"""),"NANO")</f>
        <v>NANO</v>
      </c>
      <c r="B107" s="23" t="str">
        <f>IFERROR(__xludf.DUMMYFUNCTION("""COMPUTED_VALUE"""),"thespillroom_")</f>
        <v>thespillroom_</v>
      </c>
      <c r="C107" s="281" t="str">
        <f>IFERROR(__xludf.DUMMYFUNCTION("""COMPUTED_VALUE"""),"https://www.tiktok.com/@thespillroom_")</f>
        <v>https://www.tiktok.com/@thespillroom_</v>
      </c>
      <c r="D107" s="270">
        <f>IFERROR(__xludf.DUMMYFUNCTION("""COMPUTED_VALUE"""),8.1381709398E10)</f>
        <v>81381709398</v>
      </c>
      <c r="E107" s="362">
        <f>IFERROR(__xludf.DUMMYFUNCTION("""COMPUTED_VALUE"""),0.0)</f>
        <v>0</v>
      </c>
      <c r="F107" s="270">
        <f>IFERROR(__xludf.DUMMYFUNCTION("""COMPUTED_VALUE"""),2.0)</f>
        <v>2</v>
      </c>
      <c r="G107" s="17" t="str">
        <f>IFERROR(__xludf.DUMMYFUNCTION("""COMPUTED_VALUE"""),"Rp773,1JT")</f>
        <v>Rp773,1JT</v>
      </c>
      <c r="H107" s="17" t="str">
        <f>IFERROR(__xludf.DUMMYFUNCTION("""COMPUTED_VALUE"""),"paket pemula glowing &amp; cerah 4pcs(facial wash bright, instaglow cream, ss gel, instaglow toneup cream)")</f>
        <v>paket pemula glowing &amp; cerah 4pcs(facial wash bright, instaglow cream, ss gel, instaglow toneup cream)</v>
      </c>
      <c r="I107" s="356" t="str">
        <f>IFERROR(__xludf.DUMMYFUNCTION("""COMPUTED_VALUE"""),"Sampai")</f>
        <v>Sampai</v>
      </c>
      <c r="J107" s="357"/>
      <c r="K107" s="279" t="str">
        <f>IFERROR(__xludf.DUMMYFUNCTION("""COMPUTED_VALUE"""),"https://vt.tiktok.com/ZSxbmSeoH/")</f>
        <v>https://vt.tiktok.com/ZSxbmSeoH/</v>
      </c>
      <c r="L107" s="357"/>
      <c r="M107" s="17"/>
      <c r="N107" s="357"/>
      <c r="O107" s="17"/>
      <c r="P107" s="357"/>
      <c r="Q107" s="17"/>
      <c r="R107" s="17"/>
      <c r="S107" s="17"/>
      <c r="T107" s="365"/>
      <c r="U107" s="365"/>
      <c r="V107" s="365"/>
      <c r="W107" s="365"/>
    </row>
    <row r="108">
      <c r="A108" s="255" t="str">
        <f>IFERROR(__xludf.DUMMYFUNCTION("""COMPUTED_VALUE"""),"NANO")</f>
        <v>NANO</v>
      </c>
      <c r="B108" s="23" t="str">
        <f>IFERROR(__xludf.DUMMYFUNCTION("""COMPUTED_VALUE"""),"tiktokshopp017")</f>
        <v>tiktokshopp017</v>
      </c>
      <c r="C108" s="281" t="str">
        <f>IFERROR(__xludf.DUMMYFUNCTION("""COMPUTED_VALUE"""),"https://www.tiktok.com/@tiktokshopp017")</f>
        <v>https://www.tiktok.com/@tiktokshopp017</v>
      </c>
      <c r="D108" s="270">
        <f>IFERROR(__xludf.DUMMYFUNCTION("""COMPUTED_VALUE"""),8.818239249E9)</f>
        <v>8818239249</v>
      </c>
      <c r="E108" s="362">
        <f>IFERROR(__xludf.DUMMYFUNCTION("""COMPUTED_VALUE"""),0.0)</f>
        <v>0</v>
      </c>
      <c r="F108" s="270">
        <f>IFERROR(__xludf.DUMMYFUNCTION("""COMPUTED_VALUE"""),4.0)</f>
        <v>4</v>
      </c>
      <c r="G108" s="17" t="str">
        <f>IFERROR(__xludf.DUMMYFUNCTION("""COMPUTED_VALUE"""),"Rp18,9JT")</f>
        <v>Rp18,9JT</v>
      </c>
      <c r="H108" s="17" t="str">
        <f>IFERROR(__xludf.DUMMYFUNCTION("""COMPUTED_VALUE"""),"paket sedekah glowing 3pcs (Fw brightening, toneup ""day cream"", instaglow cream ""night cream"")")</f>
        <v>paket sedekah glowing 3pcs (Fw brightening, toneup "day cream", instaglow cream "night cream")</v>
      </c>
      <c r="I108" s="356" t="str">
        <f>IFERROR(__xludf.DUMMYFUNCTION("""COMPUTED_VALUE"""),"Sampai")</f>
        <v>Sampai</v>
      </c>
      <c r="J108" s="357"/>
      <c r="K108" s="279" t="str">
        <f>IFERROR(__xludf.DUMMYFUNCTION("""COMPUTED_VALUE"""),"https://vt.tiktok.com/ZS9FrYTAr/")</f>
        <v>https://vt.tiktok.com/ZS9FrYTAr/</v>
      </c>
      <c r="L108" s="357"/>
      <c r="M108" s="279" t="str">
        <f>IFERROR(__xludf.DUMMYFUNCTION("""COMPUTED_VALUE"""),"https://vt.tiktok.com/ZS9ySLNRa/")</f>
        <v>https://vt.tiktok.com/ZS9ySLNRa/</v>
      </c>
      <c r="N108" s="357"/>
      <c r="O108" s="279" t="str">
        <f>IFERROR(__xludf.DUMMYFUNCTION("""COMPUTED_VALUE"""),"https://vt.tiktok.com/ZSx18TA7A/")</f>
        <v>https://vt.tiktok.com/ZSx18TA7A/</v>
      </c>
      <c r="P108" s="357"/>
      <c r="Q108" s="279" t="str">
        <f>IFERROR(__xludf.DUMMYFUNCTION("""COMPUTED_VALUE"""),"https://vt.tiktok.com/ZSx18VCPW/")</f>
        <v>https://vt.tiktok.com/ZSx18VCPW/</v>
      </c>
      <c r="R108" s="17"/>
      <c r="S108" s="17"/>
      <c r="T108" s="365"/>
      <c r="U108" s="365"/>
      <c r="V108" s="365"/>
      <c r="W108" s="365"/>
    </row>
    <row r="109">
      <c r="A109" s="255" t="str">
        <f>IFERROR(__xludf.DUMMYFUNCTION("""COMPUTED_VALUE"""),"NANO")</f>
        <v>NANO</v>
      </c>
      <c r="B109" s="23" t="str">
        <f>IFERROR(__xludf.DUMMYFUNCTION("""COMPUTED_VALUE"""),"nnfshah")</f>
        <v>nnfshah</v>
      </c>
      <c r="C109" s="281" t="str">
        <f>IFERROR(__xludf.DUMMYFUNCTION("""COMPUTED_VALUE"""),"https://www.tiktok.com/@nnfshah")</f>
        <v>https://www.tiktok.com/@nnfshah</v>
      </c>
      <c r="D109" s="270">
        <f>IFERROR(__xludf.DUMMYFUNCTION("""COMPUTED_VALUE"""),8.571873984E10)</f>
        <v>85718739840</v>
      </c>
      <c r="E109" s="362">
        <f>IFERROR(__xludf.DUMMYFUNCTION("""COMPUTED_VALUE"""),0.0)</f>
        <v>0</v>
      </c>
      <c r="F109" s="270">
        <f>IFERROR(__xludf.DUMMYFUNCTION("""COMPUTED_VALUE"""),2.0)</f>
        <v>2</v>
      </c>
      <c r="G109" s="17" t="str">
        <f>IFERROR(__xludf.DUMMYFUNCTION("""COMPUTED_VALUE"""),"Rp441,3RB")</f>
        <v>Rp441,3RB</v>
      </c>
      <c r="H109" s="17" t="str">
        <f>IFERROR(__xludf.DUMMYFUNCTION("""COMPUTED_VALUE"""),"paket sedekah bebas jerawat 3pcs (Fw low ph, acne spot, dan instaglow cream)")</f>
        <v>paket sedekah bebas jerawat 3pcs (Fw low ph, acne spot, dan instaglow cream)</v>
      </c>
      <c r="I109" s="356" t="str">
        <f>IFERROR(__xludf.DUMMYFUNCTION("""COMPUTED_VALUE"""),"Sampai")</f>
        <v>Sampai</v>
      </c>
      <c r="J109" s="357"/>
      <c r="K109" s="279" t="str">
        <f>IFERROR(__xludf.DUMMYFUNCTION("""COMPUTED_VALUE"""),"https://vt.tiktok.com/ZSHcuSBrF/")</f>
        <v>https://vt.tiktok.com/ZSHcuSBrF/</v>
      </c>
      <c r="L109" s="357"/>
      <c r="M109" s="279" t="str">
        <f>IFERROR(__xludf.DUMMYFUNCTION("""COMPUTED_VALUE"""),"https://vt.tiktok.com/ZS9SscpQU/")</f>
        <v>https://vt.tiktok.com/ZS9SscpQU/</v>
      </c>
      <c r="N109" s="357"/>
      <c r="O109" s="17"/>
      <c r="P109" s="357"/>
      <c r="Q109" s="17"/>
      <c r="R109" s="17"/>
      <c r="S109" s="17"/>
      <c r="T109" s="365"/>
      <c r="U109" s="365"/>
      <c r="V109" s="365"/>
      <c r="W109" s="365"/>
    </row>
    <row r="110">
      <c r="A110" s="255" t="str">
        <f>IFERROR(__xludf.DUMMYFUNCTION("""COMPUTED_VALUE"""),"MICRO")</f>
        <v>MICRO</v>
      </c>
      <c r="B110" s="23" t="str">
        <f>IFERROR(__xludf.DUMMYFUNCTION("""COMPUTED_VALUE"""),"muhannah.fitria")</f>
        <v>muhannah.fitria</v>
      </c>
      <c r="C110" s="281" t="str">
        <f>IFERROR(__xludf.DUMMYFUNCTION("""COMPUTED_VALUE"""),"https://www.tiktok.com/@muhannah.fitria")</f>
        <v>https://www.tiktok.com/@muhannah.fitria</v>
      </c>
      <c r="D110" s="270">
        <f>IFERROR(__xludf.DUMMYFUNCTION("""COMPUTED_VALUE"""),8.5815210795E10)</f>
        <v>85815210795</v>
      </c>
      <c r="E110" s="362">
        <f>IFERROR(__xludf.DUMMYFUNCTION("""COMPUTED_VALUE"""),200000.0)</f>
        <v>200000</v>
      </c>
      <c r="F110" s="270">
        <f>IFERROR(__xludf.DUMMYFUNCTION("""COMPUTED_VALUE"""),1.0)</f>
        <v>1</v>
      </c>
      <c r="G110" s="17" t="str">
        <f>IFERROR(__xludf.DUMMYFUNCTION("""COMPUTED_VALUE"""),"Rp106,4JT")</f>
        <v>Rp106,4JT</v>
      </c>
      <c r="H110" s="17" t="str">
        <f>IFERROR(__xludf.DUMMYFUNCTION("""COMPUTED_VALUE"""),"paket sedekah glowing 3pcs (Fw brightening, toneup ""day cream"", instaglow cream ""night cream"")")</f>
        <v>paket sedekah glowing 3pcs (Fw brightening, toneup "day cream", instaglow cream "night cream")</v>
      </c>
      <c r="I110" s="356" t="str">
        <f>IFERROR(__xludf.DUMMYFUNCTION("""COMPUTED_VALUE"""),"Sampai")</f>
        <v>Sampai</v>
      </c>
      <c r="J110" s="357"/>
      <c r="K110" s="279" t="str">
        <f>IFERROR(__xludf.DUMMYFUNCTION("""COMPUTED_VALUE"""),"https://vt.tiktok.com/ZSH37eKLv/")</f>
        <v>https://vt.tiktok.com/ZSH37eKLv/</v>
      </c>
      <c r="L110" s="357"/>
      <c r="M110" s="17"/>
      <c r="N110" s="357"/>
      <c r="O110" s="17"/>
      <c r="P110" s="357"/>
      <c r="Q110" s="17"/>
      <c r="R110" s="17"/>
      <c r="S110" s="17"/>
      <c r="T110" s="365"/>
      <c r="U110" s="365"/>
      <c r="V110" s="365"/>
      <c r="W110" s="365"/>
    </row>
    <row r="111">
      <c r="A111" s="255" t="str">
        <f>IFERROR(__xludf.DUMMYFUNCTION("""COMPUTED_VALUE"""),"MICRO")</f>
        <v>MICRO</v>
      </c>
      <c r="B111" s="23" t="str">
        <f>IFERROR(__xludf.DUMMYFUNCTION("""COMPUTED_VALUE"""),"gabolegalakya")</f>
        <v>gabolegalakya</v>
      </c>
      <c r="C111" s="281" t="str">
        <f>IFERROR(__xludf.DUMMYFUNCTION("""COMPUTED_VALUE"""),"https://www.tiktok.com/@gabolegalakya")</f>
        <v>https://www.tiktok.com/@gabolegalakya</v>
      </c>
      <c r="D111" s="270">
        <f>IFERROR(__xludf.DUMMYFUNCTION("""COMPUTED_VALUE"""),8.1375495494E10)</f>
        <v>81375495494</v>
      </c>
      <c r="E111" s="362">
        <f>IFERROR(__xludf.DUMMYFUNCTION("""COMPUTED_VALUE"""),50000.0)</f>
        <v>50000</v>
      </c>
      <c r="F111" s="270">
        <f>IFERROR(__xludf.DUMMYFUNCTION("""COMPUTED_VALUE"""),1.0)</f>
        <v>1</v>
      </c>
      <c r="G111" s="17" t="str">
        <f>IFERROR(__xludf.DUMMYFUNCTION("""COMPUTED_VALUE"""),"Rp1JT+")</f>
        <v>Rp1JT+</v>
      </c>
      <c r="H111" s="17" t="str">
        <f>IFERROR(__xludf.DUMMYFUNCTION("""COMPUTED_VALUE"""),"paket sedekah glowing 3pcs (Fw brightening, toneup ""day cream"", instaglow cream ""night cream"")")</f>
        <v>paket sedekah glowing 3pcs (Fw brightening, toneup "day cream", instaglow cream "night cream")</v>
      </c>
      <c r="I111" s="356" t="str">
        <f>IFERROR(__xludf.DUMMYFUNCTION("""COMPUTED_VALUE"""),"Sampai")</f>
        <v>Sampai</v>
      </c>
      <c r="J111" s="357"/>
      <c r="K111" s="279" t="str">
        <f>IFERROR(__xludf.DUMMYFUNCTION("""COMPUTED_VALUE"""),"https://vt.tiktok.com/ZS9jPqyw9/")</f>
        <v>https://vt.tiktok.com/ZS9jPqyw9/</v>
      </c>
      <c r="L111" s="357"/>
      <c r="M111" s="17"/>
      <c r="N111" s="357"/>
      <c r="O111" s="17"/>
      <c r="P111" s="357"/>
      <c r="Q111" s="17"/>
      <c r="R111" s="17"/>
      <c r="S111" s="17"/>
      <c r="T111" s="365"/>
      <c r="U111" s="365"/>
      <c r="V111" s="365"/>
      <c r="W111" s="365"/>
    </row>
    <row r="112">
      <c r="A112" s="255" t="str">
        <f>IFERROR(__xludf.DUMMYFUNCTION("""COMPUTED_VALUE"""),"NANO")</f>
        <v>NANO</v>
      </c>
      <c r="B112" s="23" t="str">
        <f>IFERROR(__xludf.DUMMYFUNCTION("""COMPUTED_VALUE"""),"rsmaw31")</f>
        <v>rsmaw31</v>
      </c>
      <c r="C112" s="281" t="str">
        <f>IFERROR(__xludf.DUMMYFUNCTION("""COMPUTED_VALUE"""),"https://www.tiktok.com/@rsmaw31")</f>
        <v>https://www.tiktok.com/@rsmaw31</v>
      </c>
      <c r="D112" s="270">
        <f>IFERROR(__xludf.DUMMYFUNCTION("""COMPUTED_VALUE"""),8.817879025E9)</f>
        <v>8817879025</v>
      </c>
      <c r="E112" s="362">
        <f>IFERROR(__xludf.DUMMYFUNCTION("""COMPUTED_VALUE"""),0.0)</f>
        <v>0</v>
      </c>
      <c r="F112" s="270">
        <f>IFERROR(__xludf.DUMMYFUNCTION("""COMPUTED_VALUE"""),3.0)</f>
        <v>3</v>
      </c>
      <c r="G112" s="17" t="str">
        <f>IFERROR(__xludf.DUMMYFUNCTION("""COMPUTED_VALUE"""),"13,9jt")</f>
        <v>13,9jt</v>
      </c>
      <c r="H112" s="17" t="str">
        <f>IFERROR(__xludf.DUMMYFUNCTION("""COMPUTED_VALUE"""),"paket sedekah glowing 3pcs (Fw brightening, toneup ""day cream"", instaglow cream ""night cream"")")</f>
        <v>paket sedekah glowing 3pcs (Fw brightening, toneup "day cream", instaglow cream "night cream")</v>
      </c>
      <c r="I112" s="356" t="str">
        <f>IFERROR(__xludf.DUMMYFUNCTION("""COMPUTED_VALUE"""),"Sampai")</f>
        <v>Sampai</v>
      </c>
      <c r="J112" s="357"/>
      <c r="K112" s="279" t="str">
        <f>IFERROR(__xludf.DUMMYFUNCTION("""COMPUTED_VALUE"""),"https://vt.tiktok.com/ZS9fkJE3y/")</f>
        <v>https://vt.tiktok.com/ZS9fkJE3y/</v>
      </c>
      <c r="L112" s="357"/>
      <c r="M112" s="279" t="str">
        <f>IFERROR(__xludf.DUMMYFUNCTION("""COMPUTED_VALUE"""),"https://vt.tiktok.com/ZS94d7NC9/")</f>
        <v>https://vt.tiktok.com/ZS94d7NC9/</v>
      </c>
      <c r="N112" s="357"/>
      <c r="O112" s="279" t="str">
        <f>IFERROR(__xludf.DUMMYFUNCTION("""COMPUTED_VALUE"""),"https://vt.tiktok.com/ZS94d7NC9/")</f>
        <v>https://vt.tiktok.com/ZS94d7NC9/</v>
      </c>
      <c r="P112" s="357"/>
      <c r="Q112" s="17"/>
      <c r="R112" s="17"/>
      <c r="S112" s="17"/>
      <c r="T112" s="365">
        <f>IFERROR(__xludf.DUMMYFUNCTION("""COMPUTED_VALUE"""),0.0)</f>
        <v>0</v>
      </c>
      <c r="U112" s="365">
        <f>IFERROR(__xludf.DUMMYFUNCTION("""COMPUTED_VALUE"""),0.0)</f>
        <v>0</v>
      </c>
      <c r="V112" s="365">
        <f>IFERROR(__xludf.DUMMYFUNCTION("""COMPUTED_VALUE"""),0.0)</f>
        <v>0</v>
      </c>
      <c r="W112" s="365">
        <f>IFERROR(__xludf.DUMMYFUNCTION("""COMPUTED_VALUE"""),0.0)</f>
        <v>0</v>
      </c>
    </row>
    <row r="113">
      <c r="A113" s="255" t="str">
        <f>IFERROR(__xludf.DUMMYFUNCTION("""COMPUTED_VALUE"""),"NANO")</f>
        <v>NANO</v>
      </c>
      <c r="B113" s="23" t="str">
        <f>IFERROR(__xludf.DUMMYFUNCTION("""COMPUTED_VALUE"""),"niarahmania25")</f>
        <v>niarahmania25</v>
      </c>
      <c r="C113" s="281" t="str">
        <f>IFERROR(__xludf.DUMMYFUNCTION("""COMPUTED_VALUE"""),"https://www.tiktok.com/@niarahmania25")</f>
        <v>https://www.tiktok.com/@niarahmania25</v>
      </c>
      <c r="D113" s="270">
        <f>IFERROR(__xludf.DUMMYFUNCTION("""COMPUTED_VALUE"""),8.9650601335E10)</f>
        <v>89650601335</v>
      </c>
      <c r="E113" s="362">
        <f>IFERROR(__xludf.DUMMYFUNCTION("""COMPUTED_VALUE"""),0.0)</f>
        <v>0</v>
      </c>
      <c r="F113" s="270">
        <f>IFERROR(__xludf.DUMMYFUNCTION("""COMPUTED_VALUE"""),2.0)</f>
        <v>2</v>
      </c>
      <c r="G113" s="17" t="str">
        <f>IFERROR(__xludf.DUMMYFUNCTION("""COMPUTED_VALUE"""),"9,4jr")</f>
        <v>9,4jr</v>
      </c>
      <c r="H113" s="17" t="str">
        <f>IFERROR(__xludf.DUMMYFUNCTION("""COMPUTED_VALUE"""),"paket sedekah glowing 3pcs (Fw brightening, toneup ""day cream"", instaglow cream ""night cream"")")</f>
        <v>paket sedekah glowing 3pcs (Fw brightening, toneup "day cream", instaglow cream "night cream")</v>
      </c>
      <c r="I113" s="356" t="str">
        <f>IFERROR(__xludf.DUMMYFUNCTION("""COMPUTED_VALUE"""),"Sampai")</f>
        <v>Sampai</v>
      </c>
      <c r="J113" s="357"/>
      <c r="K113" s="279" t="str">
        <f>IFERROR(__xludf.DUMMYFUNCTION("""COMPUTED_VALUE"""),"https://vt.tiktok.com/ZS9usaNNA/")</f>
        <v>https://vt.tiktok.com/ZS9usaNNA/</v>
      </c>
      <c r="L113" s="357"/>
      <c r="M113" s="279" t="str">
        <f>IFERROR(__xludf.DUMMYFUNCTION("""COMPUTED_VALUE"""),"https://vt.tiktok.com/ZSxJwLVkx/")</f>
        <v>https://vt.tiktok.com/ZSxJwLVkx/</v>
      </c>
      <c r="N113" s="357"/>
      <c r="O113" s="17"/>
      <c r="P113" s="357"/>
      <c r="Q113" s="17"/>
      <c r="R113" s="17"/>
      <c r="S113" s="17"/>
      <c r="T113" s="365">
        <f>IFERROR(__xludf.DUMMYFUNCTION("""COMPUTED_VALUE"""),0.0)</f>
        <v>0</v>
      </c>
      <c r="U113" s="365">
        <f>IFERROR(__xludf.DUMMYFUNCTION("""COMPUTED_VALUE"""),0.0)</f>
        <v>0</v>
      </c>
      <c r="V113" s="365">
        <f>IFERROR(__xludf.DUMMYFUNCTION("""COMPUTED_VALUE"""),0.0)</f>
        <v>0</v>
      </c>
      <c r="W113" s="365">
        <f>IFERROR(__xludf.DUMMYFUNCTION("""COMPUTED_VALUE"""),0.0)</f>
        <v>0</v>
      </c>
    </row>
    <row r="114">
      <c r="A114" s="255" t="str">
        <f>IFERROR(__xludf.DUMMYFUNCTION("""COMPUTED_VALUE"""),"NANO")</f>
        <v>NANO</v>
      </c>
      <c r="B114" s="23" t="str">
        <f>IFERROR(__xludf.DUMMYFUNCTION("""COMPUTED_VALUE"""),"zrshafaaaa ")</f>
        <v>zrshafaaaa </v>
      </c>
      <c r="C114" s="281" t="str">
        <f>IFERROR(__xludf.DUMMYFUNCTION("""COMPUTED_VALUE"""),"https://www.tiktok.com/@zrshafaaaa ")</f>
        <v>https://www.tiktok.com/@zrshafaaaa </v>
      </c>
      <c r="D114" s="270">
        <f>IFERROR(__xludf.DUMMYFUNCTION("""COMPUTED_VALUE"""),8.513359946E10)</f>
        <v>85133599460</v>
      </c>
      <c r="E114" s="362">
        <f>IFERROR(__xludf.DUMMYFUNCTION("""COMPUTED_VALUE"""),0.0)</f>
        <v>0</v>
      </c>
      <c r="F114" s="270">
        <f>IFERROR(__xludf.DUMMYFUNCTION("""COMPUTED_VALUE"""),2.0)</f>
        <v>2</v>
      </c>
      <c r="G114" s="17" t="str">
        <f>IFERROR(__xludf.DUMMYFUNCTION("""COMPUTED_VALUE"""),"3,5jt")</f>
        <v>3,5jt</v>
      </c>
      <c r="H114" s="17" t="str">
        <f>IFERROR(__xludf.DUMMYFUNCTION("""COMPUTED_VALUE"""),"paket sedekah glowing 3pcs (Fw brightening, toneup ""day cream"", instaglow cream ""night cream"")")</f>
        <v>paket sedekah glowing 3pcs (Fw brightening, toneup "day cream", instaglow cream "night cream")</v>
      </c>
      <c r="I114" s="356" t="str">
        <f>IFERROR(__xludf.DUMMYFUNCTION("""COMPUTED_VALUE"""),"Sampai")</f>
        <v>Sampai</v>
      </c>
      <c r="J114" s="357"/>
      <c r="K114" s="279" t="str">
        <f>IFERROR(__xludf.DUMMYFUNCTION("""COMPUTED_VALUE"""),"https://vt.tiktok.com/ZS9pQDVyX/ ")</f>
        <v>https://vt.tiktok.com/ZS9pQDVyX/ </v>
      </c>
      <c r="L114" s="357"/>
      <c r="M114" s="279" t="str">
        <f>IFERROR(__xludf.DUMMYFUNCTION("""COMPUTED_VALUE"""),"https://vt.tiktok.com/ZSxrMu5FT/ ")</f>
        <v>https://vt.tiktok.com/ZSxrMu5FT/ </v>
      </c>
      <c r="N114" s="357"/>
      <c r="O114" s="17"/>
      <c r="P114" s="357"/>
      <c r="Q114" s="17"/>
      <c r="R114" s="17"/>
      <c r="S114" s="17"/>
      <c r="T114" s="365">
        <f>IFERROR(__xludf.DUMMYFUNCTION("""COMPUTED_VALUE"""),0.0)</f>
        <v>0</v>
      </c>
      <c r="U114" s="365">
        <f>IFERROR(__xludf.DUMMYFUNCTION("""COMPUTED_VALUE"""),0.0)</f>
        <v>0</v>
      </c>
      <c r="V114" s="365">
        <f>IFERROR(__xludf.DUMMYFUNCTION("""COMPUTED_VALUE"""),0.0)</f>
        <v>0</v>
      </c>
      <c r="W114" s="365">
        <f>IFERROR(__xludf.DUMMYFUNCTION("""COMPUTED_VALUE"""),0.0)</f>
        <v>0</v>
      </c>
    </row>
    <row r="115">
      <c r="A115" s="255" t="str">
        <f>IFERROR(__xludf.DUMMYFUNCTION("""COMPUTED_VALUE"""),"NANO")</f>
        <v>NANO</v>
      </c>
      <c r="B115" s="23" t="str">
        <f>IFERROR(__xludf.DUMMYFUNCTION("""COMPUTED_VALUE"""),"hanasofianaa")</f>
        <v>hanasofianaa</v>
      </c>
      <c r="C115" s="281" t="str">
        <f>IFERROR(__xludf.DUMMYFUNCTION("""COMPUTED_VALUE"""),"https://www.tiktok.com/@hanasofianaa")</f>
        <v>https://www.tiktok.com/@hanasofianaa</v>
      </c>
      <c r="D115" s="270">
        <f>IFERROR(__xludf.DUMMYFUNCTION("""COMPUTED_VALUE"""),8.5711725311E10)</f>
        <v>85711725311</v>
      </c>
      <c r="E115" s="362">
        <f>IFERROR(__xludf.DUMMYFUNCTION("""COMPUTED_VALUE"""),0.0)</f>
        <v>0</v>
      </c>
      <c r="F115" s="270">
        <f>IFERROR(__xludf.DUMMYFUNCTION("""COMPUTED_VALUE"""),2.0)</f>
        <v>2</v>
      </c>
      <c r="G115" s="17" t="str">
        <f>IFERROR(__xludf.DUMMYFUNCTION("""COMPUTED_VALUE"""),"1JT+")</f>
        <v>1JT+</v>
      </c>
      <c r="H115" s="17" t="str">
        <f>IFERROR(__xludf.DUMMYFUNCTION("""COMPUTED_VALUE"""),"paket sedekah bebas jerawat 3pcs (Fw low ph, acne spot, dan instaglow cream)")</f>
        <v>paket sedekah bebas jerawat 3pcs (Fw low ph, acne spot, dan instaglow cream)</v>
      </c>
      <c r="I115" s="356" t="str">
        <f>IFERROR(__xludf.DUMMYFUNCTION("""COMPUTED_VALUE"""),"Sampai")</f>
        <v>Sampai</v>
      </c>
      <c r="J115" s="357"/>
      <c r="K115" s="279" t="str">
        <f>IFERROR(__xludf.DUMMYFUNCTION("""COMPUTED_VALUE"""),"https://vt.tiktok.com/ZS94DPmfA/ ")</f>
        <v>https://vt.tiktok.com/ZS94DPmfA/ </v>
      </c>
      <c r="L115" s="357"/>
      <c r="M115" s="279" t="str">
        <f>IFERROR(__xludf.DUMMYFUNCTION("""COMPUTED_VALUE"""),"https://vt.tiktok.com/ZS94HKwg7/ ")</f>
        <v>https://vt.tiktok.com/ZS94HKwg7/ </v>
      </c>
      <c r="N115" s="357"/>
      <c r="O115" s="17"/>
      <c r="P115" s="357"/>
      <c r="Q115" s="17"/>
      <c r="R115" s="17"/>
      <c r="S115" s="17"/>
      <c r="T115" s="365">
        <f>IFERROR(__xludf.DUMMYFUNCTION("""COMPUTED_VALUE"""),0.0)</f>
        <v>0</v>
      </c>
      <c r="U115" s="365">
        <f>IFERROR(__xludf.DUMMYFUNCTION("""COMPUTED_VALUE"""),0.0)</f>
        <v>0</v>
      </c>
      <c r="V115" s="365">
        <f>IFERROR(__xludf.DUMMYFUNCTION("""COMPUTED_VALUE"""),0.0)</f>
        <v>0</v>
      </c>
      <c r="W115" s="365">
        <f>IFERROR(__xludf.DUMMYFUNCTION("""COMPUTED_VALUE"""),0.0)</f>
        <v>0</v>
      </c>
    </row>
    <row r="116">
      <c r="A116" s="255" t="str">
        <f>IFERROR(__xludf.DUMMYFUNCTION("""COMPUTED_VALUE"""),"NANO")</f>
        <v>NANO</v>
      </c>
      <c r="B116" s="23" t="str">
        <f>IFERROR(__xludf.DUMMYFUNCTION("""COMPUTED_VALUE"""),"Mbakadeklaris17")</f>
        <v>Mbakadeklaris17</v>
      </c>
      <c r="C116" s="281" t="str">
        <f>IFERROR(__xludf.DUMMYFUNCTION("""COMPUTED_VALUE"""),"https://www.tiktok.com/@Mbakadeklaris17")</f>
        <v>https://www.tiktok.com/@Mbakadeklaris17</v>
      </c>
      <c r="D116" s="270"/>
      <c r="E116" s="362">
        <f>IFERROR(__xludf.DUMMYFUNCTION("""COMPUTED_VALUE"""),0.0)</f>
        <v>0</v>
      </c>
      <c r="F116" s="270">
        <f>IFERROR(__xludf.DUMMYFUNCTION("""COMPUTED_VALUE"""),3.0)</f>
        <v>3</v>
      </c>
      <c r="G116" s="17" t="str">
        <f>IFERROR(__xludf.DUMMYFUNCTION("""COMPUTED_VALUE"""),"48,1JT")</f>
        <v>48,1JT</v>
      </c>
      <c r="H116" s="17" t="str">
        <f>IFERROR(__xludf.DUMMYFUNCTION("""COMPUTED_VALUE"""),"paket sedekah glowing 3pcs (Fw brightening, toneup ""day cream"", instaglow cream ""night cream"")")</f>
        <v>paket sedekah glowing 3pcs (Fw brightening, toneup "day cream", instaglow cream "night cream")</v>
      </c>
      <c r="I116" s="356" t="str">
        <f>IFERROR(__xludf.DUMMYFUNCTION("""COMPUTED_VALUE"""),"Sampai")</f>
        <v>Sampai</v>
      </c>
      <c r="J116" s="357"/>
      <c r="K116" s="279" t="str">
        <f>IFERROR(__xludf.DUMMYFUNCTION("""COMPUTED_VALUE"""),"https://vt.tiktok.com/ZSxqFMt7V/")</f>
        <v>https://vt.tiktok.com/ZSxqFMt7V/</v>
      </c>
      <c r="L116" s="357"/>
      <c r="M116" s="279" t="str">
        <f>IFERROR(__xludf.DUMMYFUNCTION("""COMPUTED_VALUE"""),"https://vt.tiktok.com/ZSxTqNwBr/")</f>
        <v>https://vt.tiktok.com/ZSxTqNwBr/</v>
      </c>
      <c r="N116" s="357"/>
      <c r="O116" s="17"/>
      <c r="P116" s="357"/>
      <c r="Q116" s="17"/>
      <c r="R116" s="17"/>
      <c r="S116" s="17"/>
      <c r="T116" s="365"/>
      <c r="U116" s="365"/>
      <c r="V116" s="365"/>
      <c r="W116" s="365"/>
    </row>
    <row r="117">
      <c r="A117" s="255" t="str">
        <f>IFERROR(__xludf.DUMMYFUNCTION("""COMPUTED_VALUE"""),"NANO")</f>
        <v>NANO</v>
      </c>
      <c r="B117" s="23" t="str">
        <f>IFERROR(__xludf.DUMMYFUNCTION("""COMPUTED_VALUE"""),"qrtlaenii_")</f>
        <v>qrtlaenii_</v>
      </c>
      <c r="C117" s="281" t="str">
        <f>IFERROR(__xludf.DUMMYFUNCTION("""COMPUTED_VALUE"""),"https://www.tiktok.com/@qrtlaenii_")</f>
        <v>https://www.tiktok.com/@qrtlaenii_</v>
      </c>
      <c r="D117" s="270"/>
      <c r="E117" s="362">
        <f>IFERROR(__xludf.DUMMYFUNCTION("""COMPUTED_VALUE"""),0.0)</f>
        <v>0</v>
      </c>
      <c r="F117" s="270">
        <f>IFERROR(__xludf.DUMMYFUNCTION("""COMPUTED_VALUE"""),5.0)</f>
        <v>5</v>
      </c>
      <c r="G117" s="17" t="str">
        <f>IFERROR(__xludf.DUMMYFUNCTION("""COMPUTED_VALUE"""),"1JT+")</f>
        <v>1JT+</v>
      </c>
      <c r="H117" s="17" t="str">
        <f>IFERROR(__xludf.DUMMYFUNCTION("""COMPUTED_VALUE"""),"paket komplit glowing &amp; cerah 5pcs (facial wash bright, instaglow cream, essence serum, ss gel, instaglow tonup cream)")</f>
        <v>paket komplit glowing &amp; cerah 5pcs (facial wash bright, instaglow cream, essence serum, ss gel, instaglow tonup cream)</v>
      </c>
      <c r="I117" s="356" t="str">
        <f>IFERROR(__xludf.DUMMYFUNCTION("""COMPUTED_VALUE"""),"Sampai")</f>
        <v>Sampai</v>
      </c>
      <c r="J117" s="357"/>
      <c r="K117" s="279" t="str">
        <f>IFERROR(__xludf.DUMMYFUNCTION("""COMPUTED_VALUE"""),"https://vt.tiktok.com/ZS9XGK2MW/")</f>
        <v>https://vt.tiktok.com/ZS9XGK2MW/</v>
      </c>
      <c r="L117" s="357"/>
      <c r="M117" s="279" t="str">
        <f>IFERROR(__xludf.DUMMYFUNCTION("""COMPUTED_VALUE"""),"https://vt.tiktok.com/ZS9sKWfbj/")</f>
        <v>https://vt.tiktok.com/ZS9sKWfbj/</v>
      </c>
      <c r="N117" s="357"/>
      <c r="O117" s="279" t="str">
        <f>IFERROR(__xludf.DUMMYFUNCTION("""COMPUTED_VALUE"""),"https://vt.tiktok.com/ZSxRLvLdu/")</f>
        <v>https://vt.tiktok.com/ZSxRLvLdu/</v>
      </c>
      <c r="P117" s="357"/>
      <c r="Q117" s="279" t="str">
        <f>IFERROR(__xludf.DUMMYFUNCTION("""COMPUTED_VALUE"""),"https://vt.tiktok.com/ZSxr2b7Da/")</f>
        <v>https://vt.tiktok.com/ZSxr2b7Da/</v>
      </c>
      <c r="R117" s="279" t="str">
        <f>IFERROR(__xludf.DUMMYFUNCTION("""COMPUTED_VALUE"""),"https://vt.tiktok.com/ZSxDU8VH8/")</f>
        <v>https://vt.tiktok.com/ZSxDU8VH8/</v>
      </c>
      <c r="S117" s="17"/>
      <c r="T117" s="365"/>
      <c r="U117" s="365"/>
      <c r="V117" s="365"/>
      <c r="W117" s="365"/>
    </row>
    <row r="118">
      <c r="A118" s="255" t="str">
        <f>IFERROR(__xludf.DUMMYFUNCTION("""COMPUTED_VALUE"""),"MICRO")</f>
        <v>MICRO</v>
      </c>
      <c r="B118" s="23" t="str">
        <f>IFERROR(__xludf.DUMMYFUNCTION("""COMPUTED_VALUE"""),"vika_deanda")</f>
        <v>vika_deanda</v>
      </c>
      <c r="C118" s="281" t="str">
        <f>IFERROR(__xludf.DUMMYFUNCTION("""COMPUTED_VALUE"""),"https://www.tiktok.com/@vika_deanda")</f>
        <v>https://www.tiktok.com/@vika_deanda</v>
      </c>
      <c r="D118" s="270">
        <f>IFERROR(__xludf.DUMMYFUNCTION("""COMPUTED_VALUE"""),8.582979312E10)</f>
        <v>85829793120</v>
      </c>
      <c r="E118" s="362">
        <f>IFERROR(__xludf.DUMMYFUNCTION("""COMPUTED_VALUE"""),0.0)</f>
        <v>0</v>
      </c>
      <c r="F118" s="270">
        <f>IFERROR(__xludf.DUMMYFUNCTION("""COMPUTED_VALUE"""),2.0)</f>
        <v>2</v>
      </c>
      <c r="G118" s="17" t="str">
        <f>IFERROR(__xludf.DUMMYFUNCTION("""COMPUTED_VALUE"""),"Rp1JT+")</f>
        <v>Rp1JT+</v>
      </c>
      <c r="H118" s="17" t="str">
        <f>IFERROR(__xludf.DUMMYFUNCTION("""COMPUTED_VALUE"""),"paket sedekah glowing 3pcs (Fw brightening, toneup ""day cream"", instaglow cream ""night cream"")")</f>
        <v>paket sedekah glowing 3pcs (Fw brightening, toneup "day cream", instaglow cream "night cream")</v>
      </c>
      <c r="I118" s="356" t="str">
        <f>IFERROR(__xludf.DUMMYFUNCTION("""COMPUTED_VALUE"""),"Sampai")</f>
        <v>Sampai</v>
      </c>
      <c r="J118" s="357"/>
      <c r="K118" s="279" t="str">
        <f>IFERROR(__xludf.DUMMYFUNCTION("""COMPUTED_VALUE"""),"https://vt.tiktok.com/ZS9DwVwPQ/")</f>
        <v>https://vt.tiktok.com/ZS9DwVwPQ/</v>
      </c>
      <c r="L118" s="357"/>
      <c r="M118" s="279" t="str">
        <f>IFERROR(__xludf.DUMMYFUNCTION("""COMPUTED_VALUE"""),"https://vt.tiktok.com/ZS9DwVwPQ/")</f>
        <v>https://vt.tiktok.com/ZS9DwVwPQ/</v>
      </c>
      <c r="N118" s="357"/>
      <c r="O118" s="279" t="str">
        <f>IFERROR(__xludf.DUMMYFUNCTION("""COMPUTED_VALUE"""),"https://vt.tiktok.com/ZSxAY2ejT/")</f>
        <v>https://vt.tiktok.com/ZSxAY2ejT/</v>
      </c>
      <c r="P118" s="357"/>
      <c r="Q118" s="17"/>
      <c r="R118" s="17"/>
      <c r="S118" s="17"/>
      <c r="T118" s="365">
        <f>IFERROR(__xludf.DUMMYFUNCTION("""COMPUTED_VALUE"""),0.0)</f>
        <v>0</v>
      </c>
      <c r="U118" s="365">
        <f>IFERROR(__xludf.DUMMYFUNCTION("""COMPUTED_VALUE"""),0.0)</f>
        <v>0</v>
      </c>
      <c r="V118" s="365">
        <f>IFERROR(__xludf.DUMMYFUNCTION("""COMPUTED_VALUE"""),0.0)</f>
        <v>0</v>
      </c>
      <c r="W118" s="365">
        <f>IFERROR(__xludf.DUMMYFUNCTION("""COMPUTED_VALUE"""),0.0)</f>
        <v>0</v>
      </c>
    </row>
    <row r="119">
      <c r="A119" s="255" t="str">
        <f>IFERROR(__xludf.DUMMYFUNCTION("""COMPUTED_VALUE"""),"NANO")</f>
        <v>NANO</v>
      </c>
      <c r="B119" s="23" t="str">
        <f>IFERROR(__xludf.DUMMYFUNCTION("""COMPUTED_VALUE"""),"4beey")</f>
        <v>4beey</v>
      </c>
      <c r="C119" s="281" t="str">
        <f>IFERROR(__xludf.DUMMYFUNCTION("""COMPUTED_VALUE"""),"https://www.tiktok.com/@4beey")</f>
        <v>https://www.tiktok.com/@4beey</v>
      </c>
      <c r="D119" s="270"/>
      <c r="E119" s="362">
        <f>IFERROR(__xludf.DUMMYFUNCTION("""COMPUTED_VALUE"""),0.0)</f>
        <v>0</v>
      </c>
      <c r="F119" s="270">
        <f>IFERROR(__xludf.DUMMYFUNCTION("""COMPUTED_VALUE"""),1.0)</f>
        <v>1</v>
      </c>
      <c r="G119" s="17" t="str">
        <f>IFERROR(__xludf.DUMMYFUNCTION("""COMPUTED_VALUE"""),"20,1JT")</f>
        <v>20,1JT</v>
      </c>
      <c r="H119" s="17" t="str">
        <f>IFERROR(__xludf.DUMMYFUNCTION("""COMPUTED_VALUE"""),"Body Bleach")</f>
        <v>Body Bleach</v>
      </c>
      <c r="I119" s="356" t="str">
        <f>IFERROR(__xludf.DUMMYFUNCTION("""COMPUTED_VALUE"""),"Sampai")</f>
        <v>Sampai</v>
      </c>
      <c r="J119" s="357"/>
      <c r="K119" s="279" t="str">
        <f>IFERROR(__xludf.DUMMYFUNCTION("""COMPUTED_VALUE"""),"https://vt.tiktok.com/ZS9U8UTYQ/")</f>
        <v>https://vt.tiktok.com/ZS9U8UTYQ/</v>
      </c>
      <c r="L119" s="357"/>
      <c r="M119" s="279" t="str">
        <f>IFERROR(__xludf.DUMMYFUNCTION("""COMPUTED_VALUE"""),"https://vt.tiktok.com/ZS9EgDFyo/")</f>
        <v>https://vt.tiktok.com/ZS9EgDFyo/</v>
      </c>
      <c r="N119" s="357"/>
      <c r="O119" s="17"/>
      <c r="P119" s="357"/>
      <c r="Q119" s="17"/>
      <c r="R119" s="17"/>
      <c r="S119" s="17"/>
      <c r="T119" s="365"/>
      <c r="U119" s="365"/>
      <c r="V119" s="365"/>
      <c r="W119" s="365"/>
    </row>
    <row r="120">
      <c r="A120" s="255" t="str">
        <f>IFERROR(__xludf.DUMMYFUNCTION("""COMPUTED_VALUE"""),"NANO")</f>
        <v>NANO</v>
      </c>
      <c r="B120" s="23" t="str">
        <f>IFERROR(__xludf.DUMMYFUNCTION("""COMPUTED_VALUE"""),"dsmanlase")</f>
        <v>dsmanlase</v>
      </c>
      <c r="C120" s="281" t="str">
        <f>IFERROR(__xludf.DUMMYFUNCTION("""COMPUTED_VALUE"""),"https://www.tiktok.com/@dsmanlase")</f>
        <v>https://www.tiktok.com/@dsmanlase</v>
      </c>
      <c r="D120" s="270">
        <f>IFERROR(__xludf.DUMMYFUNCTION("""COMPUTED_VALUE"""),8.2173014788E10)</f>
        <v>82173014788</v>
      </c>
      <c r="E120" s="362">
        <f>IFERROR(__xludf.DUMMYFUNCTION("""COMPUTED_VALUE"""),0.0)</f>
        <v>0</v>
      </c>
      <c r="F120" s="270">
        <f>IFERROR(__xludf.DUMMYFUNCTION("""COMPUTED_VALUE"""),1.0)</f>
        <v>1</v>
      </c>
      <c r="G120" s="17" t="str">
        <f>IFERROR(__xludf.DUMMYFUNCTION("""COMPUTED_VALUE"""),"1JT+")</f>
        <v>1JT+</v>
      </c>
      <c r="H120" s="17" t="str">
        <f>IFERROR(__xludf.DUMMYFUNCTION("""COMPUTED_VALUE"""),"Hair Serum")</f>
        <v>Hair Serum</v>
      </c>
      <c r="I120" s="356" t="str">
        <f>IFERROR(__xludf.DUMMYFUNCTION("""COMPUTED_VALUE"""),"Sampai")</f>
        <v>Sampai</v>
      </c>
      <c r="J120" s="357"/>
      <c r="K120" s="279" t="str">
        <f>IFERROR(__xludf.DUMMYFUNCTION("""COMPUTED_VALUE"""),"https://vt.tiktok.com/ZS9HtjDDD/")</f>
        <v>https://vt.tiktok.com/ZS9HtjDDD/</v>
      </c>
      <c r="L120" s="357"/>
      <c r="M120" s="17"/>
      <c r="N120" s="357"/>
      <c r="O120" s="17"/>
      <c r="P120" s="357"/>
      <c r="Q120" s="17"/>
      <c r="R120" s="17"/>
      <c r="S120" s="17"/>
      <c r="T120" s="365">
        <f>IFERROR(__xludf.DUMMYFUNCTION("""COMPUTED_VALUE"""),0.0)</f>
        <v>0</v>
      </c>
      <c r="U120" s="365">
        <f>IFERROR(__xludf.DUMMYFUNCTION("""COMPUTED_VALUE"""),0.0)</f>
        <v>0</v>
      </c>
      <c r="V120" s="365">
        <f>IFERROR(__xludf.DUMMYFUNCTION("""COMPUTED_VALUE"""),0.0)</f>
        <v>0</v>
      </c>
      <c r="W120" s="365">
        <f>IFERROR(__xludf.DUMMYFUNCTION("""COMPUTED_VALUE"""),0.0)</f>
        <v>0</v>
      </c>
    </row>
    <row r="121">
      <c r="A121" s="255" t="str">
        <f>IFERROR(__xludf.DUMMYFUNCTION("""COMPUTED_VALUE"""),"NANO")</f>
        <v>NANO</v>
      </c>
      <c r="B121" s="23" t="str">
        <f>IFERROR(__xludf.DUMMYFUNCTION("""COMPUTED_VALUE"""),"farasdanii")</f>
        <v>farasdanii</v>
      </c>
      <c r="C121" s="281" t="str">
        <f>IFERROR(__xludf.DUMMYFUNCTION("""COMPUTED_VALUE"""),"https://www.tiktok.com/@farasdanii")</f>
        <v>https://www.tiktok.com/@farasdanii</v>
      </c>
      <c r="D121" s="270"/>
      <c r="E121" s="362">
        <f>IFERROR(__xludf.DUMMYFUNCTION("""COMPUTED_VALUE"""),0.0)</f>
        <v>0</v>
      </c>
      <c r="F121" s="270">
        <f>IFERROR(__xludf.DUMMYFUNCTION("""COMPUTED_VALUE"""),2.0)</f>
        <v>2</v>
      </c>
      <c r="G121" s="17" t="str">
        <f>IFERROR(__xludf.DUMMYFUNCTION("""COMPUTED_VALUE"""),"1JT+")</f>
        <v>1JT+</v>
      </c>
      <c r="H121" s="17" t="str">
        <f>IFERROR(__xludf.DUMMYFUNCTION("""COMPUTED_VALUE"""),"Body Bleach")</f>
        <v>Body Bleach</v>
      </c>
      <c r="I121" s="356" t="str">
        <f>IFERROR(__xludf.DUMMYFUNCTION("""COMPUTED_VALUE"""),"Sampai")</f>
        <v>Sampai</v>
      </c>
      <c r="J121" s="357"/>
      <c r="K121" s="279" t="str">
        <f>IFERROR(__xludf.DUMMYFUNCTION("""COMPUTED_VALUE"""),"https://vt.tiktok.com/ZS9KaW7gS/ ")</f>
        <v>https://vt.tiktok.com/ZS9KaW7gS/ </v>
      </c>
      <c r="L121" s="357"/>
      <c r="M121" s="279" t="str">
        <f>IFERROR(__xludf.DUMMYFUNCTION("""COMPUTED_VALUE"""),"https://vt.tiktok.com/ZS9oMsVeS/")</f>
        <v>https://vt.tiktok.com/ZS9oMsVeS/</v>
      </c>
      <c r="N121" s="357"/>
      <c r="O121" s="17"/>
      <c r="P121" s="357"/>
      <c r="Q121" s="17"/>
      <c r="R121" s="17"/>
      <c r="S121" s="17"/>
      <c r="T121" s="365">
        <f>IFERROR(__xludf.DUMMYFUNCTION("""COMPUTED_VALUE"""),0.0)</f>
        <v>0</v>
      </c>
      <c r="U121" s="365">
        <f>IFERROR(__xludf.DUMMYFUNCTION("""COMPUTED_VALUE"""),0.0)</f>
        <v>0</v>
      </c>
      <c r="V121" s="365">
        <f>IFERROR(__xludf.DUMMYFUNCTION("""COMPUTED_VALUE"""),0.0)</f>
        <v>0</v>
      </c>
      <c r="W121" s="365">
        <f>IFERROR(__xludf.DUMMYFUNCTION("""COMPUTED_VALUE"""),0.0)</f>
        <v>0</v>
      </c>
    </row>
    <row r="122">
      <c r="A122" s="255" t="str">
        <f>IFERROR(__xludf.DUMMYFUNCTION("""COMPUTED_VALUE"""),"NANO")</f>
        <v>NANO</v>
      </c>
      <c r="B122" s="23" t="str">
        <f>IFERROR(__xludf.DUMMYFUNCTION("""COMPUTED_VALUE"""),"panggilajadodo")</f>
        <v>panggilajadodo</v>
      </c>
      <c r="C122" s="281" t="str">
        <f>IFERROR(__xludf.DUMMYFUNCTION("""COMPUTED_VALUE"""),"https://www.tiktok.com/@panggilajadodo")</f>
        <v>https://www.tiktok.com/@panggilajadodo</v>
      </c>
      <c r="D122" s="270">
        <f>IFERROR(__xludf.DUMMYFUNCTION("""COMPUTED_VALUE"""),8.2329416761E10)</f>
        <v>82329416761</v>
      </c>
      <c r="E122" s="362">
        <f>IFERROR(__xludf.DUMMYFUNCTION("""COMPUTED_VALUE"""),0.0)</f>
        <v>0</v>
      </c>
      <c r="F122" s="270">
        <f>IFERROR(__xludf.DUMMYFUNCTION("""COMPUTED_VALUE"""),2.0)</f>
        <v>2</v>
      </c>
      <c r="G122" s="17" t="str">
        <f>IFERROR(__xludf.DUMMYFUNCTION("""COMPUTED_VALUE"""),"67,2JT+")</f>
        <v>67,2JT+</v>
      </c>
      <c r="H122" s="17" t="str">
        <f>IFERROR(__xludf.DUMMYFUNCTION("""COMPUTED_VALUE"""),"Body Bleach")</f>
        <v>Body Bleach</v>
      </c>
      <c r="I122" s="356" t="str">
        <f>IFERROR(__xludf.DUMMYFUNCTION("""COMPUTED_VALUE"""),"Sampai")</f>
        <v>Sampai</v>
      </c>
      <c r="J122" s="357"/>
      <c r="K122" s="279" t="str">
        <f>IFERROR(__xludf.DUMMYFUNCTION("""COMPUTED_VALUE"""),"https://vt.tiktok.com/ZS9oUwXaE/")</f>
        <v>https://vt.tiktok.com/ZS9oUwXaE/</v>
      </c>
      <c r="L122" s="357"/>
      <c r="M122" s="279" t="str">
        <f>IFERROR(__xludf.DUMMYFUNCTION("""COMPUTED_VALUE"""),"https://vt.tiktok.com/ZS9oye7Tp/")</f>
        <v>https://vt.tiktok.com/ZS9oye7Tp/</v>
      </c>
      <c r="N122" s="357"/>
      <c r="O122" s="17"/>
      <c r="P122" s="357"/>
      <c r="Q122" s="17"/>
      <c r="R122" s="17"/>
      <c r="S122" s="17"/>
      <c r="T122" s="365">
        <f>IFERROR(__xludf.DUMMYFUNCTION("""COMPUTED_VALUE"""),0.0)</f>
        <v>0</v>
      </c>
      <c r="U122" s="365">
        <f>IFERROR(__xludf.DUMMYFUNCTION("""COMPUTED_VALUE"""),0.0)</f>
        <v>0</v>
      </c>
      <c r="V122" s="365">
        <f>IFERROR(__xludf.DUMMYFUNCTION("""COMPUTED_VALUE"""),0.0)</f>
        <v>0</v>
      </c>
      <c r="W122" s="365">
        <f>IFERROR(__xludf.DUMMYFUNCTION("""COMPUTED_VALUE"""),0.0)</f>
        <v>0</v>
      </c>
    </row>
    <row r="123">
      <c r="A123" s="255" t="str">
        <f>IFERROR(__xludf.DUMMYFUNCTION("""COMPUTED_VALUE"""),"MICRO")</f>
        <v>MICRO</v>
      </c>
      <c r="B123" s="23" t="str">
        <f>IFERROR(__xludf.DUMMYFUNCTION("""COMPUTED_VALUE"""),"rafael_dionisius")</f>
        <v>rafael_dionisius</v>
      </c>
      <c r="C123" s="281" t="str">
        <f>IFERROR(__xludf.DUMMYFUNCTION("""COMPUTED_VALUE"""),"https://www.tiktok.com/@rafael_dionisius")</f>
        <v>https://www.tiktok.com/@rafael_dionisius</v>
      </c>
      <c r="D123" s="270">
        <f>IFERROR(__xludf.DUMMYFUNCTION("""COMPUTED_VALUE"""),8.7855503717E10)</f>
        <v>87855503717</v>
      </c>
      <c r="E123" s="362">
        <f>IFERROR(__xludf.DUMMYFUNCTION("""COMPUTED_VALUE"""),0.0)</f>
        <v>0</v>
      </c>
      <c r="F123" s="270">
        <f>IFERROR(__xludf.DUMMYFUNCTION("""COMPUTED_VALUE"""),1.0)</f>
        <v>1</v>
      </c>
      <c r="G123" s="17" t="str">
        <f>IFERROR(__xludf.DUMMYFUNCTION("""COMPUTED_VALUE"""),"1JT+")</f>
        <v>1JT+</v>
      </c>
      <c r="H123" s="17" t="str">
        <f>IFERROR(__xludf.DUMMYFUNCTION("""COMPUTED_VALUE"""),"Body Bleach")</f>
        <v>Body Bleach</v>
      </c>
      <c r="I123" s="356" t="str">
        <f>IFERROR(__xludf.DUMMYFUNCTION("""COMPUTED_VALUE"""),"Sampai")</f>
        <v>Sampai</v>
      </c>
      <c r="J123" s="357"/>
      <c r="K123" s="17"/>
      <c r="L123" s="357"/>
      <c r="M123" s="17"/>
      <c r="N123" s="357"/>
      <c r="O123" s="17"/>
      <c r="P123" s="357"/>
      <c r="Q123" s="17"/>
      <c r="R123" s="17"/>
      <c r="S123" s="17"/>
      <c r="T123" s="365">
        <f>IFERROR(__xludf.DUMMYFUNCTION("""COMPUTED_VALUE"""),0.0)</f>
        <v>0</v>
      </c>
      <c r="U123" s="365">
        <f>IFERROR(__xludf.DUMMYFUNCTION("""COMPUTED_VALUE"""),0.0)</f>
        <v>0</v>
      </c>
      <c r="V123" s="365">
        <f>IFERROR(__xludf.DUMMYFUNCTION("""COMPUTED_VALUE"""),0.0)</f>
        <v>0</v>
      </c>
      <c r="W123" s="365">
        <f>IFERROR(__xludf.DUMMYFUNCTION("""COMPUTED_VALUE"""),0.0)</f>
        <v>0</v>
      </c>
    </row>
    <row r="124">
      <c r="A124" s="255" t="str">
        <f>IFERROR(__xludf.DUMMYFUNCTION("""COMPUTED_VALUE"""),"MICRO")</f>
        <v>MICRO</v>
      </c>
      <c r="B124" s="23" t="str">
        <f>IFERROR(__xludf.DUMMYFUNCTION("""COMPUTED_VALUE"""),"shand_id")</f>
        <v>shand_id</v>
      </c>
      <c r="C124" s="281" t="str">
        <f>IFERROR(__xludf.DUMMYFUNCTION("""COMPUTED_VALUE"""),"https://www.tiktok.com/@shand_id")</f>
        <v>https://www.tiktok.com/@shand_id</v>
      </c>
      <c r="D124" s="270">
        <f>IFERROR(__xludf.DUMMYFUNCTION("""COMPUTED_VALUE"""),8.1234052105E10)</f>
        <v>81234052105</v>
      </c>
      <c r="E124" s="362">
        <f>IFERROR(__xludf.DUMMYFUNCTION("""COMPUTED_VALUE"""),0.0)</f>
        <v>0</v>
      </c>
      <c r="F124" s="270">
        <f>IFERROR(__xludf.DUMMYFUNCTION("""COMPUTED_VALUE"""),3.0)</f>
        <v>3</v>
      </c>
      <c r="G124" s="17" t="str">
        <f>IFERROR(__xludf.DUMMYFUNCTION("""COMPUTED_VALUE"""),"982,3jt")</f>
        <v>982,3jt</v>
      </c>
      <c r="H124" s="17" t="str">
        <f>IFERROR(__xludf.DUMMYFUNCTION("""COMPUTED_VALUE"""),"paket sedekah glowing 3pcs (Fw brightening, toneup ""day cream"", instaglow cream ""night cream"")")</f>
        <v>paket sedekah glowing 3pcs (Fw brightening, toneup "day cream", instaglow cream "night cream")</v>
      </c>
      <c r="I124" s="356" t="str">
        <f>IFERROR(__xludf.DUMMYFUNCTION("""COMPUTED_VALUE"""),"Sampai")</f>
        <v>Sampai</v>
      </c>
      <c r="J124" s="357"/>
      <c r="K124" s="279" t="str">
        <f>IFERROR(__xludf.DUMMYFUNCTION("""COMPUTED_VALUE"""),"https://vt.tiktok.com/ZSxphe9Rp/")</f>
        <v>https://vt.tiktok.com/ZSxphe9Rp/</v>
      </c>
      <c r="L124" s="357"/>
      <c r="M124" s="279" t="str">
        <f>IFERROR(__xludf.DUMMYFUNCTION("""COMPUTED_VALUE"""),"https://vt.tiktok.com/ZSxprvDLW/")</f>
        <v>https://vt.tiktok.com/ZSxprvDLW/</v>
      </c>
      <c r="N124" s="357"/>
      <c r="O124" s="17"/>
      <c r="P124" s="357"/>
      <c r="Q124" s="17"/>
      <c r="R124" s="17"/>
      <c r="S124" s="17"/>
      <c r="T124" s="365">
        <f>IFERROR(__xludf.DUMMYFUNCTION("""COMPUTED_VALUE"""),0.0)</f>
        <v>0</v>
      </c>
      <c r="U124" s="365">
        <f>IFERROR(__xludf.DUMMYFUNCTION("""COMPUTED_VALUE"""),0.0)</f>
        <v>0</v>
      </c>
      <c r="V124" s="365">
        <f>IFERROR(__xludf.DUMMYFUNCTION("""COMPUTED_VALUE"""),0.0)</f>
        <v>0</v>
      </c>
      <c r="W124" s="365">
        <f>IFERROR(__xludf.DUMMYFUNCTION("""COMPUTED_VALUE"""),0.0)</f>
        <v>0</v>
      </c>
    </row>
    <row r="125">
      <c r="A125" s="255" t="str">
        <f>IFERROR(__xludf.DUMMYFUNCTION("""COMPUTED_VALUE"""),"MICRO")</f>
        <v>MICRO</v>
      </c>
      <c r="B125" s="23" t="str">
        <f>IFERROR(__xludf.DUMMYFUNCTION("""COMPUTED_VALUE"""),"afrillamuthiia")</f>
        <v>afrillamuthiia</v>
      </c>
      <c r="C125" s="281" t="str">
        <f>IFERROR(__xludf.DUMMYFUNCTION("""COMPUTED_VALUE"""),"https://www.tiktok.com/@afrillamuthiia")</f>
        <v>https://www.tiktok.com/@afrillamuthiia</v>
      </c>
      <c r="D125" s="270">
        <f>IFERROR(__xludf.DUMMYFUNCTION("""COMPUTED_VALUE"""),8.5156027718E10)</f>
        <v>85156027718</v>
      </c>
      <c r="E125" s="362">
        <f>IFERROR(__xludf.DUMMYFUNCTION("""COMPUTED_VALUE"""),167000.0)</f>
        <v>167000</v>
      </c>
      <c r="F125" s="270">
        <f>IFERROR(__xludf.DUMMYFUNCTION("""COMPUTED_VALUE"""),1.0)</f>
        <v>1</v>
      </c>
      <c r="G125" s="17" t="str">
        <f>IFERROR(__xludf.DUMMYFUNCTION("""COMPUTED_VALUE"""),"1JT+")</f>
        <v>1JT+</v>
      </c>
      <c r="H125" s="17"/>
      <c r="I125" s="356" t="str">
        <f>IFERROR(__xludf.DUMMYFUNCTION("""COMPUTED_VALUE"""),"Sampai")</f>
        <v>Sampai</v>
      </c>
      <c r="J125" s="357"/>
      <c r="K125" s="279" t="str">
        <f>IFERROR(__xludf.DUMMYFUNCTION("""COMPUTED_VALUE"""),"https://vt.tiktok.com/ZSxMJVVTH/")</f>
        <v>https://vt.tiktok.com/ZSxMJVVTH/</v>
      </c>
      <c r="L125" s="357"/>
      <c r="M125" s="17"/>
      <c r="N125" s="357"/>
      <c r="O125" s="17"/>
      <c r="P125" s="357"/>
      <c r="Q125" s="17"/>
      <c r="R125" s="17"/>
      <c r="S125" s="17"/>
      <c r="T125" s="365">
        <f>IFERROR(__xludf.DUMMYFUNCTION("""COMPUTED_VALUE"""),0.0)</f>
        <v>0</v>
      </c>
      <c r="U125" s="365">
        <f>IFERROR(__xludf.DUMMYFUNCTION("""COMPUTED_VALUE"""),0.0)</f>
        <v>0</v>
      </c>
      <c r="V125" s="365">
        <f>IFERROR(__xludf.DUMMYFUNCTION("""COMPUTED_VALUE"""),0.0)</f>
        <v>0</v>
      </c>
      <c r="W125" s="365">
        <f>IFERROR(__xludf.DUMMYFUNCTION("""COMPUTED_VALUE"""),0.0)</f>
        <v>0</v>
      </c>
    </row>
    <row r="126">
      <c r="A126" s="255" t="str">
        <f>IFERROR(__xludf.DUMMYFUNCTION("""COMPUTED_VALUE"""),"NANO")</f>
        <v>NANO</v>
      </c>
      <c r="B126" s="23" t="str">
        <f>IFERROR(__xludf.DUMMYFUNCTION("""COMPUTED_VALUE"""),"sherilsftr")</f>
        <v>sherilsftr</v>
      </c>
      <c r="C126" s="281" t="str">
        <f>IFERROR(__xludf.DUMMYFUNCTION("""COMPUTED_VALUE"""),"https://www.tiktok.com/@sherilsftr")</f>
        <v>https://www.tiktok.com/@sherilsftr</v>
      </c>
      <c r="D126" s="270">
        <f>IFERROR(__xludf.DUMMYFUNCTION("""COMPUTED_VALUE"""),8.1324098871E10)</f>
        <v>81324098871</v>
      </c>
      <c r="E126" s="362">
        <f>IFERROR(__xludf.DUMMYFUNCTION("""COMPUTED_VALUE"""),0.0)</f>
        <v>0</v>
      </c>
      <c r="F126" s="270">
        <f>IFERROR(__xludf.DUMMYFUNCTION("""COMPUTED_VALUE"""),2.0)</f>
        <v>2</v>
      </c>
      <c r="G126" s="17" t="str">
        <f>IFERROR(__xludf.DUMMYFUNCTION("""COMPUTED_VALUE"""),"1JT+")</f>
        <v>1JT+</v>
      </c>
      <c r="H126" s="17" t="str">
        <f>IFERROR(__xludf.DUMMYFUNCTION("""COMPUTED_VALUE"""),"paket sedekah glowing 3pcs (Fw brightening, toneup ""day cream"", instaglow cream ""night cream"")")</f>
        <v>paket sedekah glowing 3pcs (Fw brightening, toneup "day cream", instaglow cream "night cream")</v>
      </c>
      <c r="I126" s="356" t="str">
        <f>IFERROR(__xludf.DUMMYFUNCTION("""COMPUTED_VALUE"""),"Sampai")</f>
        <v>Sampai</v>
      </c>
      <c r="J126" s="357"/>
      <c r="K126" s="279" t="str">
        <f>IFERROR(__xludf.DUMMYFUNCTION("""COMPUTED_VALUE"""),"https://vt.tiktok.com/ZS9oGAjpP/")</f>
        <v>https://vt.tiktok.com/ZS9oGAjpP/</v>
      </c>
      <c r="L126" s="357"/>
      <c r="M126" s="279" t="str">
        <f>IFERROR(__xludf.DUMMYFUNCTION("""COMPUTED_VALUE"""),"https://vt.tiktok.com/ZSxQyC8Yj/")</f>
        <v>https://vt.tiktok.com/ZSxQyC8Yj/</v>
      </c>
      <c r="N126" s="357"/>
      <c r="O126" s="17" t="str">
        <f>IFERROR(__xludf.DUMMYFUNCTION("""COMPUTED_VALUE"""),"tgl 29 jam 19")</f>
        <v>tgl 29 jam 19</v>
      </c>
      <c r="P126" s="357"/>
      <c r="Q126" s="17"/>
      <c r="R126" s="17"/>
      <c r="S126" s="17"/>
      <c r="T126" s="365">
        <f>IFERROR(__xludf.DUMMYFUNCTION("""COMPUTED_VALUE"""),0.0)</f>
        <v>0</v>
      </c>
      <c r="U126" s="365">
        <f>IFERROR(__xludf.DUMMYFUNCTION("""COMPUTED_VALUE"""),0.0)</f>
        <v>0</v>
      </c>
      <c r="V126" s="365">
        <f>IFERROR(__xludf.DUMMYFUNCTION("""COMPUTED_VALUE"""),0.0)</f>
        <v>0</v>
      </c>
      <c r="W126" s="365">
        <f>IFERROR(__xludf.DUMMYFUNCTION("""COMPUTED_VALUE"""),0.0)</f>
        <v>0</v>
      </c>
    </row>
    <row r="127">
      <c r="A127" s="255" t="str">
        <f>IFERROR(__xludf.DUMMYFUNCTION("""COMPUTED_VALUE"""),"NANO")</f>
        <v>NANO</v>
      </c>
      <c r="B127" s="23" t="str">
        <f>IFERROR(__xludf.DUMMYFUNCTION("""COMPUTED_VALUE"""),"rahayuuuu_2")</f>
        <v>rahayuuuu_2</v>
      </c>
      <c r="C127" s="281" t="str">
        <f>IFERROR(__xludf.DUMMYFUNCTION("""COMPUTED_VALUE"""),"https://www.tiktok.com/@rahayuuuu_2")</f>
        <v>https://www.tiktok.com/@rahayuuuu_2</v>
      </c>
      <c r="D127" s="270"/>
      <c r="E127" s="362">
        <f>IFERROR(__xludf.DUMMYFUNCTION("""COMPUTED_VALUE"""),0.0)</f>
        <v>0</v>
      </c>
      <c r="F127" s="270">
        <f>IFERROR(__xludf.DUMMYFUNCTION("""COMPUTED_VALUE"""),2.0)</f>
        <v>2</v>
      </c>
      <c r="G127" s="17" t="str">
        <f>IFERROR(__xludf.DUMMYFUNCTION("""COMPUTED_VALUE"""),"1JT+")</f>
        <v>1JT+</v>
      </c>
      <c r="H127" s="17"/>
      <c r="I127" s="356"/>
      <c r="J127" s="357"/>
      <c r="K127" s="17" t="str">
        <f>IFERROR(__xludf.DUMMYFUNCTION("""COMPUTED_VALUE"""),"akun kena pl")</f>
        <v>akun kena pl</v>
      </c>
      <c r="L127" s="357"/>
      <c r="M127" s="17"/>
      <c r="N127" s="357"/>
      <c r="O127" s="17"/>
      <c r="P127" s="357"/>
      <c r="Q127" s="17"/>
      <c r="R127" s="17"/>
      <c r="S127" s="17"/>
      <c r="T127" s="365">
        <f>IFERROR(__xludf.DUMMYFUNCTION("""COMPUTED_VALUE"""),0.0)</f>
        <v>0</v>
      </c>
      <c r="U127" s="365">
        <f>IFERROR(__xludf.DUMMYFUNCTION("""COMPUTED_VALUE"""),0.0)</f>
        <v>0</v>
      </c>
      <c r="V127" s="365">
        <f>IFERROR(__xludf.DUMMYFUNCTION("""COMPUTED_VALUE"""),0.0)</f>
        <v>0</v>
      </c>
      <c r="W127" s="365">
        <f>IFERROR(__xludf.DUMMYFUNCTION("""COMPUTED_VALUE"""),0.0)</f>
        <v>0</v>
      </c>
    </row>
    <row r="128">
      <c r="A128" s="255" t="str">
        <f>IFERROR(__xludf.DUMMYFUNCTION("""COMPUTED_VALUE"""),"NANO")</f>
        <v>NANO</v>
      </c>
      <c r="B128" s="23" t="str">
        <f>IFERROR(__xludf.DUMMYFUNCTION("""COMPUTED_VALUE"""),"azizahrisqi")</f>
        <v>azizahrisqi</v>
      </c>
      <c r="C128" s="281" t="str">
        <f>IFERROR(__xludf.DUMMYFUNCTION("""COMPUTED_VALUE"""),"https://www.tiktok.com/@azizahrisqi")</f>
        <v>https://www.tiktok.com/@azizahrisqi</v>
      </c>
      <c r="D128" s="270"/>
      <c r="E128" s="362">
        <f>IFERROR(__xludf.DUMMYFUNCTION("""COMPUTED_VALUE"""),0.0)</f>
        <v>0</v>
      </c>
      <c r="F128" s="270">
        <f>IFERROR(__xludf.DUMMYFUNCTION("""COMPUTED_VALUE"""),3.0)</f>
        <v>3</v>
      </c>
      <c r="G128" s="17" t="str">
        <f>IFERROR(__xludf.DUMMYFUNCTION("""COMPUTED_VALUE"""),"298JT")</f>
        <v>298JT</v>
      </c>
      <c r="H128" s="17" t="str">
        <f>IFERROR(__xludf.DUMMYFUNCTION("""COMPUTED_VALUE"""),"paket sedekah glowing 3pcs (Fw brightening, toneup ""day cream"", instaglow cream ""night cream"")")</f>
        <v>paket sedekah glowing 3pcs (Fw brightening, toneup "day cream", instaglow cream "night cream")</v>
      </c>
      <c r="I128" s="356" t="str">
        <f>IFERROR(__xludf.DUMMYFUNCTION("""COMPUTED_VALUE"""),"Sampai")</f>
        <v>Sampai</v>
      </c>
      <c r="J128" s="357"/>
      <c r="K128" s="279" t="str">
        <f>IFERROR(__xludf.DUMMYFUNCTION("""COMPUTED_VALUE"""),"https://vt.tiktok.com/ZSxre6PKw/")</f>
        <v>https://vt.tiktok.com/ZSxre6PKw/</v>
      </c>
      <c r="L128" s="357"/>
      <c r="M128" s="17" t="str">
        <f>IFERROR(__xludf.DUMMYFUNCTION("""COMPUTED_VALUE"""),"⁠https://vt.tiktok.com/ZSxre2Bum/")</f>
        <v>⁠https://vt.tiktok.com/ZSxre2Bum/</v>
      </c>
      <c r="N128" s="357"/>
      <c r="O128" s="17" t="str">
        <f>IFERROR(__xludf.DUMMYFUNCTION("""COMPUTED_VALUE"""),"⁠https://vt.tiktok.com/ZSxre1VQe/")</f>
        <v>⁠https://vt.tiktok.com/ZSxre1VQe/</v>
      </c>
      <c r="P128" s="357"/>
      <c r="Q128" s="17"/>
      <c r="R128" s="17"/>
      <c r="S128" s="17"/>
      <c r="T128" s="365">
        <f>IFERROR(__xludf.DUMMYFUNCTION("""COMPUTED_VALUE"""),0.0)</f>
        <v>0</v>
      </c>
      <c r="U128" s="365">
        <f>IFERROR(__xludf.DUMMYFUNCTION("""COMPUTED_VALUE"""),0.0)</f>
        <v>0</v>
      </c>
      <c r="V128" s="365">
        <f>IFERROR(__xludf.DUMMYFUNCTION("""COMPUTED_VALUE"""),0.0)</f>
        <v>0</v>
      </c>
      <c r="W128" s="365">
        <f>IFERROR(__xludf.DUMMYFUNCTION("""COMPUTED_VALUE"""),0.0)</f>
        <v>0</v>
      </c>
    </row>
    <row r="129">
      <c r="A129" s="255" t="str">
        <f>IFERROR(__xludf.DUMMYFUNCTION("""COMPUTED_VALUE"""),"NANO")</f>
        <v>NANO</v>
      </c>
      <c r="B129" s="23" t="str">
        <f>IFERROR(__xludf.DUMMYFUNCTION("""COMPUTED_VALUE"""),"bygurlsspill")</f>
        <v>bygurlsspill</v>
      </c>
      <c r="C129" s="281" t="str">
        <f>IFERROR(__xludf.DUMMYFUNCTION("""COMPUTED_VALUE"""),"https://www.tiktok.com/@bygurlsspill")</f>
        <v>https://www.tiktok.com/@bygurlsspill</v>
      </c>
      <c r="D129" s="270"/>
      <c r="E129" s="362">
        <f>IFERROR(__xludf.DUMMYFUNCTION("""COMPUTED_VALUE"""),0.0)</f>
        <v>0</v>
      </c>
      <c r="F129" s="270">
        <f>IFERROR(__xludf.DUMMYFUNCTION("""COMPUTED_VALUE"""),6.0)</f>
        <v>6</v>
      </c>
      <c r="G129" s="17" t="str">
        <f>IFERROR(__xludf.DUMMYFUNCTION("""COMPUTED_VALUE"""),"1JT+")</f>
        <v>1JT+</v>
      </c>
      <c r="H129" s="17" t="str">
        <f>IFERROR(__xludf.DUMMYFUNCTION("""COMPUTED_VALUE"""),"paket sedekah bebas jerawat 3pcs (Fw low ph, acne spot, dan instaglow cream)")</f>
        <v>paket sedekah bebas jerawat 3pcs (Fw low ph, acne spot, dan instaglow cream)</v>
      </c>
      <c r="I129" s="356" t="str">
        <f>IFERROR(__xludf.DUMMYFUNCTION("""COMPUTED_VALUE"""),"Sampai")</f>
        <v>Sampai</v>
      </c>
      <c r="J129" s="357"/>
      <c r="K129" s="17"/>
      <c r="L129" s="357"/>
      <c r="M129" s="17"/>
      <c r="N129" s="357"/>
      <c r="O129" s="17"/>
      <c r="P129" s="357"/>
      <c r="Q129" s="17"/>
      <c r="R129" s="17"/>
      <c r="S129" s="17"/>
      <c r="T129" s="365">
        <f>IFERROR(__xludf.DUMMYFUNCTION("""COMPUTED_VALUE"""),0.0)</f>
        <v>0</v>
      </c>
      <c r="U129" s="365">
        <f>IFERROR(__xludf.DUMMYFUNCTION("""COMPUTED_VALUE"""),0.0)</f>
        <v>0</v>
      </c>
      <c r="V129" s="365">
        <f>IFERROR(__xludf.DUMMYFUNCTION("""COMPUTED_VALUE"""),0.0)</f>
        <v>0</v>
      </c>
      <c r="W129" s="365">
        <f>IFERROR(__xludf.DUMMYFUNCTION("""COMPUTED_VALUE"""),0.0)</f>
        <v>0</v>
      </c>
    </row>
    <row r="130">
      <c r="A130" s="255" t="str">
        <f>IFERROR(__xludf.DUMMYFUNCTION("""COMPUTED_VALUE"""),"NANO")</f>
        <v>NANO</v>
      </c>
      <c r="B130" s="257" t="str">
        <f>IFERROR(__xludf.DUMMYFUNCTION("""COMPUTED_VALUE"""),"ameccaa.id")</f>
        <v>ameccaa.id</v>
      </c>
      <c r="C130" s="281" t="str">
        <f>IFERROR(__xludf.DUMMYFUNCTION("""COMPUTED_VALUE"""),"https://www.tiktok.com/@ameccaa.id")</f>
        <v>https://www.tiktok.com/@ameccaa.id</v>
      </c>
      <c r="D130" s="270"/>
      <c r="E130" s="362">
        <f>IFERROR(__xludf.DUMMYFUNCTION("""COMPUTED_VALUE"""),0.0)</f>
        <v>0</v>
      </c>
      <c r="F130" s="270">
        <f>IFERROR(__xludf.DUMMYFUNCTION("""COMPUTED_VALUE"""),2.0)</f>
        <v>2</v>
      </c>
      <c r="G130" s="17" t="str">
        <f>IFERROR(__xludf.DUMMYFUNCTION("""COMPUTED_VALUE"""),"284jt")</f>
        <v>284jt</v>
      </c>
      <c r="H130" s="17" t="str">
        <f>IFERROR(__xludf.DUMMYFUNCTION("""COMPUTED_VALUE"""),"Body Bleach")</f>
        <v>Body Bleach</v>
      </c>
      <c r="I130" s="356" t="str">
        <f>IFERROR(__xludf.DUMMYFUNCTION("""COMPUTED_VALUE"""),"Sampai")</f>
        <v>Sampai</v>
      </c>
      <c r="J130" s="357"/>
      <c r="K130" s="279" t="str">
        <f>IFERROR(__xludf.DUMMYFUNCTION("""COMPUTED_VALUE"""),"https://vt.tiktok.com/ZSQ1KhpPT/")</f>
        <v>https://vt.tiktok.com/ZSQ1KhpPT/</v>
      </c>
      <c r="L130" s="357"/>
      <c r="M130" s="279" t="str">
        <f>IFERROR(__xludf.DUMMYFUNCTION("""COMPUTED_VALUE"""),"https://vt.tiktok.com/ZSQ1KCs84/")</f>
        <v>https://vt.tiktok.com/ZSQ1KCs84/</v>
      </c>
      <c r="N130" s="357"/>
      <c r="O130" s="17"/>
      <c r="P130" s="357"/>
      <c r="Q130" s="17"/>
      <c r="R130" s="17"/>
      <c r="S130" s="17"/>
      <c r="T130" s="365">
        <f>IFERROR(__xludf.DUMMYFUNCTION("""COMPUTED_VALUE"""),24056.0)</f>
        <v>24056</v>
      </c>
      <c r="U130" s="365">
        <f>IFERROR(__xludf.DUMMYFUNCTION("""COMPUTED_VALUE"""),0.0)</f>
        <v>0</v>
      </c>
      <c r="V130" s="365">
        <f>IFERROR(__xludf.DUMMYFUNCTION("""COMPUTED_VALUE"""),0.0)</f>
        <v>0</v>
      </c>
      <c r="W130" s="365">
        <f>IFERROR(__xludf.DUMMYFUNCTION("""COMPUTED_VALUE"""),0.0)</f>
        <v>0</v>
      </c>
    </row>
    <row r="131">
      <c r="A131" s="255" t="str">
        <f>IFERROR(__xludf.DUMMYFUNCTION("""COMPUTED_VALUE"""),"NANO")</f>
        <v>NANO</v>
      </c>
      <c r="B131" s="23" t="str">
        <f>IFERROR(__xludf.DUMMYFUNCTION("""COMPUTED_VALUE"""),"ariantiw_")</f>
        <v>ariantiw_</v>
      </c>
      <c r="C131" s="281" t="str">
        <f>IFERROR(__xludf.DUMMYFUNCTION("""COMPUTED_VALUE"""),"https://www.tiktok.com/@ariantiw_")</f>
        <v>https://www.tiktok.com/@ariantiw_</v>
      </c>
      <c r="D131" s="270">
        <f>IFERROR(__xludf.DUMMYFUNCTION("""COMPUTED_VALUE"""),8.9695237529E10)</f>
        <v>89695237529</v>
      </c>
      <c r="E131" s="362">
        <f>IFERROR(__xludf.DUMMYFUNCTION("""COMPUTED_VALUE"""),0.0)</f>
        <v>0</v>
      </c>
      <c r="F131" s="270">
        <f>IFERROR(__xludf.DUMMYFUNCTION("""COMPUTED_VALUE"""),6.0)</f>
        <v>6</v>
      </c>
      <c r="G131" s="17" t="str">
        <f>IFERROR(__xludf.DUMMYFUNCTION("""COMPUTED_VALUE"""),"65,6jt")</f>
        <v>65,6jt</v>
      </c>
      <c r="H131" s="17" t="str">
        <f>IFERROR(__xludf.DUMMYFUNCTION("""COMPUTED_VALUE"""),"paket sedekah glowing 3pcs (Fw brightening, toneup ""day cream"", instaglow cream ""night cream"")")</f>
        <v>paket sedekah glowing 3pcs (Fw brightening, toneup "day cream", instaglow cream "night cream")</v>
      </c>
      <c r="I131" s="356" t="str">
        <f>IFERROR(__xludf.DUMMYFUNCTION("""COMPUTED_VALUE"""),"Sampai")</f>
        <v>Sampai</v>
      </c>
      <c r="J131" s="357"/>
      <c r="K131" s="17"/>
      <c r="L131" s="357"/>
      <c r="M131" s="17"/>
      <c r="N131" s="357"/>
      <c r="O131" s="17"/>
      <c r="P131" s="357"/>
      <c r="Q131" s="17"/>
      <c r="R131" s="17"/>
      <c r="S131" s="17"/>
      <c r="T131" s="365">
        <f>IFERROR(__xludf.DUMMYFUNCTION("""COMPUTED_VALUE"""),0.0)</f>
        <v>0</v>
      </c>
      <c r="U131" s="365">
        <f>IFERROR(__xludf.DUMMYFUNCTION("""COMPUTED_VALUE"""),0.0)</f>
        <v>0</v>
      </c>
      <c r="V131" s="365">
        <f>IFERROR(__xludf.DUMMYFUNCTION("""COMPUTED_VALUE"""),0.0)</f>
        <v>0</v>
      </c>
      <c r="W131" s="365">
        <f>IFERROR(__xludf.DUMMYFUNCTION("""COMPUTED_VALUE"""),0.0)</f>
        <v>0</v>
      </c>
    </row>
    <row r="132">
      <c r="A132" s="255" t="str">
        <f>IFERROR(__xludf.DUMMYFUNCTION("""COMPUTED_VALUE"""),"MICRO")</f>
        <v>MICRO</v>
      </c>
      <c r="B132" s="23" t="str">
        <f>IFERROR(__xludf.DUMMYFUNCTION("""COMPUTED_VALUE"""),"ndaahq")</f>
        <v>ndaahq</v>
      </c>
      <c r="C132" s="281" t="str">
        <f>IFERROR(__xludf.DUMMYFUNCTION("""COMPUTED_VALUE"""),"https://www.tiktok.com/@ndaahq")</f>
        <v>https://www.tiktok.com/@ndaahq</v>
      </c>
      <c r="D132" s="270"/>
      <c r="E132" s="362">
        <f>IFERROR(__xludf.DUMMYFUNCTION("""COMPUTED_VALUE"""),250000.0)</f>
        <v>250000</v>
      </c>
      <c r="F132" s="270">
        <f>IFERROR(__xludf.DUMMYFUNCTION("""COMPUTED_VALUE"""),1.0)</f>
        <v>1</v>
      </c>
      <c r="G132" s="17" t="str">
        <f>IFERROR(__xludf.DUMMYFUNCTION("""COMPUTED_VALUE"""),"1jt+")</f>
        <v>1jt+</v>
      </c>
      <c r="H132" s="17"/>
      <c r="I132" s="356" t="str">
        <f>IFERROR(__xludf.DUMMYFUNCTION("""COMPUTED_VALUE"""),"Sampai")</f>
        <v>Sampai</v>
      </c>
      <c r="J132" s="357"/>
      <c r="K132" s="279" t="str">
        <f>IFERROR(__xludf.DUMMYFUNCTION("""COMPUTED_VALUE"""),"https://vt.tiktok.com/ZSxGcahCa/")</f>
        <v>https://vt.tiktok.com/ZSxGcahCa/</v>
      </c>
      <c r="L132" s="357"/>
      <c r="M132" s="17"/>
      <c r="N132" s="357"/>
      <c r="O132" s="17"/>
      <c r="P132" s="357"/>
      <c r="Q132" s="17"/>
      <c r="R132" s="17"/>
      <c r="S132" s="17"/>
      <c r="T132" s="365">
        <f>IFERROR(__xludf.DUMMYFUNCTION("""COMPUTED_VALUE"""),0.0)</f>
        <v>0</v>
      </c>
      <c r="U132" s="365">
        <f>IFERROR(__xludf.DUMMYFUNCTION("""COMPUTED_VALUE"""),0.0)</f>
        <v>0</v>
      </c>
      <c r="V132" s="365">
        <f>IFERROR(__xludf.DUMMYFUNCTION("""COMPUTED_VALUE"""),0.0)</f>
        <v>0</v>
      </c>
      <c r="W132" s="365">
        <f>IFERROR(__xludf.DUMMYFUNCTION("""COMPUTED_VALUE"""),0.0)</f>
        <v>0</v>
      </c>
    </row>
    <row r="133">
      <c r="A133" s="255" t="str">
        <f>IFERROR(__xludf.DUMMYFUNCTION("""COMPUTED_VALUE"""),"NANO")</f>
        <v>NANO</v>
      </c>
      <c r="B133" s="23" t="str">
        <f>IFERROR(__xludf.DUMMYFUNCTION("""COMPUTED_VALUE"""),"shopingiin")</f>
        <v>shopingiin</v>
      </c>
      <c r="C133" s="281" t="str">
        <f>IFERROR(__xludf.DUMMYFUNCTION("""COMPUTED_VALUE"""),"https://www.tiktok.com/@shopingiin")</f>
        <v>https://www.tiktok.com/@shopingiin</v>
      </c>
      <c r="D133" s="270">
        <f>IFERROR(__xludf.DUMMYFUNCTION("""COMPUTED_VALUE"""),8.3170621626E10)</f>
        <v>83170621626</v>
      </c>
      <c r="E133" s="362">
        <f>IFERROR(__xludf.DUMMYFUNCTION("""COMPUTED_VALUE"""),0.0)</f>
        <v>0</v>
      </c>
      <c r="F133" s="270">
        <f>IFERROR(__xludf.DUMMYFUNCTION("""COMPUTED_VALUE"""),1.0)</f>
        <v>1</v>
      </c>
      <c r="G133" s="17" t="str">
        <f>IFERROR(__xludf.DUMMYFUNCTION("""COMPUTED_VALUE"""),"415.7jt")</f>
        <v>415.7jt</v>
      </c>
      <c r="H133" s="17" t="str">
        <f>IFERROR(__xludf.DUMMYFUNCTION("""COMPUTED_VALUE"""),"Body Bleach")</f>
        <v>Body Bleach</v>
      </c>
      <c r="I133" s="356" t="str">
        <f>IFERROR(__xludf.DUMMYFUNCTION("""COMPUTED_VALUE"""),"Sampai")</f>
        <v>Sampai</v>
      </c>
      <c r="J133" s="357"/>
      <c r="K133" s="17"/>
      <c r="L133" s="357"/>
      <c r="M133" s="17"/>
      <c r="N133" s="357"/>
      <c r="O133" s="17"/>
      <c r="P133" s="357"/>
      <c r="Q133" s="17"/>
      <c r="R133" s="17"/>
      <c r="S133" s="17"/>
      <c r="T133" s="365">
        <f>IFERROR(__xludf.DUMMYFUNCTION("""COMPUTED_VALUE"""),0.0)</f>
        <v>0</v>
      </c>
      <c r="U133" s="365">
        <f>IFERROR(__xludf.DUMMYFUNCTION("""COMPUTED_VALUE"""),0.0)</f>
        <v>0</v>
      </c>
      <c r="V133" s="365">
        <f>IFERROR(__xludf.DUMMYFUNCTION("""COMPUTED_VALUE"""),0.0)</f>
        <v>0</v>
      </c>
      <c r="W133" s="365">
        <f>IFERROR(__xludf.DUMMYFUNCTION("""COMPUTED_VALUE"""),0.0)</f>
        <v>0</v>
      </c>
    </row>
    <row r="134">
      <c r="A134" s="255" t="str">
        <f>IFERROR(__xludf.DUMMYFUNCTION("""COMPUTED_VALUE"""),"NANO")</f>
        <v>NANO</v>
      </c>
      <c r="B134" s="23" t="str">
        <f>IFERROR(__xludf.DUMMYFUNCTION("""COMPUTED_VALUE"""),"m00diegurlz")</f>
        <v>m00diegurlz</v>
      </c>
      <c r="C134" s="281" t="str">
        <f>IFERROR(__xludf.DUMMYFUNCTION("""COMPUTED_VALUE"""),"https://www.tiktok.com/@m00diegurlz")</f>
        <v>https://www.tiktok.com/@m00diegurlz</v>
      </c>
      <c r="D134" s="270">
        <f>IFERROR(__xludf.DUMMYFUNCTION("""COMPUTED_VALUE"""),8.9560068706E11)</f>
        <v>895600687060</v>
      </c>
      <c r="E134" s="362">
        <f>IFERROR(__xludf.DUMMYFUNCTION("""COMPUTED_VALUE"""),0.0)</f>
        <v>0</v>
      </c>
      <c r="F134" s="270">
        <f>IFERROR(__xludf.DUMMYFUNCTION("""COMPUTED_VALUE"""),2.0)</f>
        <v>2</v>
      </c>
      <c r="G134" s="17" t="str">
        <f>IFERROR(__xludf.DUMMYFUNCTION("""COMPUTED_VALUE"""),"18.8jt")</f>
        <v>18.8jt</v>
      </c>
      <c r="H134" s="17" t="str">
        <f>IFERROR(__xludf.DUMMYFUNCTION("""COMPUTED_VALUE"""),"paket sedekah glowing 3pcs (Fw brightening, toneup ""day cream"", instaglow cream ""night cream"")")</f>
        <v>paket sedekah glowing 3pcs (Fw brightening, toneup "day cream", instaglow cream "night cream")</v>
      </c>
      <c r="I134" s="356" t="str">
        <f>IFERROR(__xludf.DUMMYFUNCTION("""COMPUTED_VALUE"""),"Sampai")</f>
        <v>Sampai</v>
      </c>
      <c r="J134" s="357"/>
      <c r="K134" s="17" t="str">
        <f>IFERROR(__xludf.DUMMYFUNCTION("""COMPUTED_VALUE"""),"sakit")</f>
        <v>sakit</v>
      </c>
      <c r="L134" s="357"/>
      <c r="M134" s="17"/>
      <c r="N134" s="357"/>
      <c r="O134" s="17"/>
      <c r="P134" s="357"/>
      <c r="Q134" s="17"/>
      <c r="R134" s="17"/>
      <c r="S134" s="17"/>
      <c r="T134" s="365">
        <f>IFERROR(__xludf.DUMMYFUNCTION("""COMPUTED_VALUE"""),0.0)</f>
        <v>0</v>
      </c>
      <c r="U134" s="365">
        <f>IFERROR(__xludf.DUMMYFUNCTION("""COMPUTED_VALUE"""),0.0)</f>
        <v>0</v>
      </c>
      <c r="V134" s="365">
        <f>IFERROR(__xludf.DUMMYFUNCTION("""COMPUTED_VALUE"""),0.0)</f>
        <v>0</v>
      </c>
      <c r="W134" s="365">
        <f>IFERROR(__xludf.DUMMYFUNCTION("""COMPUTED_VALUE"""),0.0)</f>
        <v>0</v>
      </c>
    </row>
    <row r="135">
      <c r="A135" s="255" t="str">
        <f>IFERROR(__xludf.DUMMYFUNCTION("""COMPUTED_VALUE"""),"MICRO")</f>
        <v>MICRO</v>
      </c>
      <c r="B135" s="23" t="str">
        <f>IFERROR(__xludf.DUMMYFUNCTION("""COMPUTED_VALUE"""),"nanadd0.7")</f>
        <v>nanadd0.7</v>
      </c>
      <c r="C135" s="281" t="str">
        <f>IFERROR(__xludf.DUMMYFUNCTION("""COMPUTED_VALUE"""),"https://www.tiktok.com/@nanadd0.7")</f>
        <v>https://www.tiktok.com/@nanadd0.7</v>
      </c>
      <c r="D135" s="270">
        <f>IFERROR(__xludf.DUMMYFUNCTION("""COMPUTED_VALUE"""),8.317583747E10)</f>
        <v>83175837470</v>
      </c>
      <c r="E135" s="362">
        <f>IFERROR(__xludf.DUMMYFUNCTION("""COMPUTED_VALUE"""),0.0)</f>
        <v>0</v>
      </c>
      <c r="F135" s="270">
        <f>IFERROR(__xludf.DUMMYFUNCTION("""COMPUTED_VALUE"""),2.0)</f>
        <v>2</v>
      </c>
      <c r="G135" s="17" t="str">
        <f>IFERROR(__xludf.DUMMYFUNCTION("""COMPUTED_VALUE"""),"1jt+")</f>
        <v>1jt+</v>
      </c>
      <c r="H135" s="17" t="str">
        <f>IFERROR(__xludf.DUMMYFUNCTION("""COMPUTED_VALUE"""),"paket sedekah glowing 3pcs (Fw brightening, toneup ""day cream"", instaglow cream ""night cream"")")</f>
        <v>paket sedekah glowing 3pcs (Fw brightening, toneup "day cream", instaglow cream "night cream")</v>
      </c>
      <c r="I135" s="356" t="str">
        <f>IFERROR(__xludf.DUMMYFUNCTION("""COMPUTED_VALUE"""),"Sampai")</f>
        <v>Sampai</v>
      </c>
      <c r="J135" s="357"/>
      <c r="K135" s="17"/>
      <c r="L135" s="357"/>
      <c r="M135" s="17"/>
      <c r="N135" s="357"/>
      <c r="O135" s="17"/>
      <c r="P135" s="357"/>
      <c r="Q135" s="17"/>
      <c r="R135" s="17"/>
      <c r="S135" s="17"/>
      <c r="T135" s="365">
        <f>IFERROR(__xludf.DUMMYFUNCTION("""COMPUTED_VALUE"""),0.0)</f>
        <v>0</v>
      </c>
      <c r="U135" s="365">
        <f>IFERROR(__xludf.DUMMYFUNCTION("""COMPUTED_VALUE"""),0.0)</f>
        <v>0</v>
      </c>
      <c r="V135" s="365">
        <f>IFERROR(__xludf.DUMMYFUNCTION("""COMPUTED_VALUE"""),0.0)</f>
        <v>0</v>
      </c>
      <c r="W135" s="365">
        <f>IFERROR(__xludf.DUMMYFUNCTION("""COMPUTED_VALUE"""),0.0)</f>
        <v>0</v>
      </c>
    </row>
    <row r="136">
      <c r="A136" s="255" t="str">
        <f>IFERROR(__xludf.DUMMYFUNCTION("""COMPUTED_VALUE"""),"NANO")</f>
        <v>NANO</v>
      </c>
      <c r="B136" s="23" t="str">
        <f>IFERROR(__xludf.DUMMYFUNCTION("""COMPUTED_VALUE"""),"indysabillah")</f>
        <v>indysabillah</v>
      </c>
      <c r="C136" s="281" t="str">
        <f>IFERROR(__xludf.DUMMYFUNCTION("""COMPUTED_VALUE"""),"https://www.tiktok.com/@indysabillah")</f>
        <v>https://www.tiktok.com/@indysabillah</v>
      </c>
      <c r="D136" s="270">
        <f>IFERROR(__xludf.DUMMYFUNCTION("""COMPUTED_VALUE"""),8.1242092003E10)</f>
        <v>81242092003</v>
      </c>
      <c r="E136" s="362">
        <f>IFERROR(__xludf.DUMMYFUNCTION("""COMPUTED_VALUE"""),0.0)</f>
        <v>0</v>
      </c>
      <c r="F136" s="270">
        <f>IFERROR(__xludf.DUMMYFUNCTION("""COMPUTED_VALUE"""),2.0)</f>
        <v>2</v>
      </c>
      <c r="G136" s="17" t="str">
        <f>IFERROR(__xludf.DUMMYFUNCTION("""COMPUTED_VALUE"""),"1jt+")</f>
        <v>1jt+</v>
      </c>
      <c r="H136" s="17" t="str">
        <f>IFERROR(__xludf.DUMMYFUNCTION("""COMPUTED_VALUE"""),"paket sedekah glowing 3pcs (Fw brightening, toneup ""day cream"", instaglow cream ""night cream"")")</f>
        <v>paket sedekah glowing 3pcs (Fw brightening, toneup "day cream", instaglow cream "night cream")</v>
      </c>
      <c r="I136" s="356" t="str">
        <f>IFERROR(__xludf.DUMMYFUNCTION("""COMPUTED_VALUE"""),"Done Req Sample")</f>
        <v>Done Req Sample</v>
      </c>
      <c r="J136" s="357"/>
      <c r="K136" s="17"/>
      <c r="L136" s="357"/>
      <c r="M136" s="17"/>
      <c r="N136" s="357"/>
      <c r="O136" s="17"/>
      <c r="P136" s="357"/>
      <c r="Q136" s="17"/>
      <c r="R136" s="17"/>
      <c r="S136" s="17"/>
      <c r="T136" s="365">
        <f>IFERROR(__xludf.DUMMYFUNCTION("""COMPUTED_VALUE"""),0.0)</f>
        <v>0</v>
      </c>
      <c r="U136" s="365">
        <f>IFERROR(__xludf.DUMMYFUNCTION("""COMPUTED_VALUE"""),0.0)</f>
        <v>0</v>
      </c>
      <c r="V136" s="365">
        <f>IFERROR(__xludf.DUMMYFUNCTION("""COMPUTED_VALUE"""),0.0)</f>
        <v>0</v>
      </c>
      <c r="W136" s="365">
        <f>IFERROR(__xludf.DUMMYFUNCTION("""COMPUTED_VALUE"""),0.0)</f>
        <v>0</v>
      </c>
    </row>
    <row r="137">
      <c r="A137" s="255" t="str">
        <f>IFERROR(__xludf.DUMMYFUNCTION("""COMPUTED_VALUE"""),"MICRO")</f>
        <v>MICRO</v>
      </c>
      <c r="B137" s="23" t="str">
        <f>IFERROR(__xludf.DUMMYFUNCTION("""COMPUTED_VALUE"""),"lilieesel      ")</f>
        <v>lilieesel      </v>
      </c>
      <c r="C137" s="281" t="str">
        <f>IFERROR(__xludf.DUMMYFUNCTION("""COMPUTED_VALUE"""),"https://www.tiktok.com/@lilieesel      ")</f>
        <v>https://www.tiktok.com/@lilieesel      </v>
      </c>
      <c r="D137" s="270">
        <f>IFERROR(__xludf.DUMMYFUNCTION("""COMPUTED_VALUE"""),8.1256534919E10)</f>
        <v>81256534919</v>
      </c>
      <c r="E137" s="362">
        <f>IFERROR(__xludf.DUMMYFUNCTION("""COMPUTED_VALUE"""),300000.0)</f>
        <v>300000</v>
      </c>
      <c r="F137" s="270">
        <f>IFERROR(__xludf.DUMMYFUNCTION("""COMPUTED_VALUE"""),2.0)</f>
        <v>2</v>
      </c>
      <c r="G137" s="17" t="str">
        <f>IFERROR(__xludf.DUMMYFUNCTION("""COMPUTED_VALUE"""),"1jt+")</f>
        <v>1jt+</v>
      </c>
      <c r="H137" s="17" t="str">
        <f>IFERROR(__xludf.DUMMYFUNCTION("""COMPUTED_VALUE"""),"Body Bleach")</f>
        <v>Body Bleach</v>
      </c>
      <c r="I137" s="356" t="str">
        <f>IFERROR(__xludf.DUMMYFUNCTION("""COMPUTED_VALUE"""),"Sampai")</f>
        <v>Sampai</v>
      </c>
      <c r="J137" s="357"/>
      <c r="K137" s="17" t="str">
        <f>IFERROR(__xludf.DUMMYFUNCTION("""COMPUTED_VALUE"""),"draft")</f>
        <v>draft</v>
      </c>
      <c r="L137" s="357"/>
      <c r="M137" s="17"/>
      <c r="N137" s="357"/>
      <c r="O137" s="17"/>
      <c r="P137" s="357"/>
      <c r="Q137" s="17"/>
      <c r="R137" s="17"/>
      <c r="S137" s="17"/>
      <c r="T137" s="365">
        <f>IFERROR(__xludf.DUMMYFUNCTION("""COMPUTED_VALUE"""),0.0)</f>
        <v>0</v>
      </c>
      <c r="U137" s="365">
        <f>IFERROR(__xludf.DUMMYFUNCTION("""COMPUTED_VALUE"""),0.0)</f>
        <v>0</v>
      </c>
      <c r="V137" s="365">
        <f>IFERROR(__xludf.DUMMYFUNCTION("""COMPUTED_VALUE"""),0.0)</f>
        <v>0</v>
      </c>
      <c r="W137" s="365">
        <f>IFERROR(__xludf.DUMMYFUNCTION("""COMPUTED_VALUE"""),0.0)</f>
        <v>0</v>
      </c>
    </row>
    <row r="138">
      <c r="A138" s="255" t="str">
        <f>IFERROR(__xludf.DUMMYFUNCTION("""COMPUTED_VALUE"""),"MICRO")</f>
        <v>MICRO</v>
      </c>
      <c r="B138" s="23" t="str">
        <f>IFERROR(__xludf.DUMMYFUNCTION("""COMPUTED_VALUE"""),"skindairybyrere")</f>
        <v>skindairybyrere</v>
      </c>
      <c r="C138" s="281" t="str">
        <f>IFERROR(__xludf.DUMMYFUNCTION("""COMPUTED_VALUE"""),"https://www.tiktok.com/@skindairybyrere")</f>
        <v>https://www.tiktok.com/@skindairybyrere</v>
      </c>
      <c r="D138" s="270">
        <f>IFERROR(__xludf.DUMMYFUNCTION("""COMPUTED_VALUE"""),8.1262195686E10)</f>
        <v>81262195686</v>
      </c>
      <c r="E138" s="362">
        <f>IFERROR(__xludf.DUMMYFUNCTION("""COMPUTED_VALUE"""),200000.0)</f>
        <v>200000</v>
      </c>
      <c r="F138" s="270">
        <f>IFERROR(__xludf.DUMMYFUNCTION("""COMPUTED_VALUE"""),1.0)</f>
        <v>1</v>
      </c>
      <c r="G138" s="17" t="str">
        <f>IFERROR(__xludf.DUMMYFUNCTION("""COMPUTED_VALUE"""),"89,43JT")</f>
        <v>89,43JT</v>
      </c>
      <c r="H138" s="17" t="str">
        <f>IFERROR(__xludf.DUMMYFUNCTION("""COMPUTED_VALUE"""),"Body Bleach")</f>
        <v>Body Bleach</v>
      </c>
      <c r="I138" s="356" t="str">
        <f>IFERROR(__xludf.DUMMYFUNCTION("""COMPUTED_VALUE"""),"Sampai")</f>
        <v>Sampai</v>
      </c>
      <c r="J138" s="357"/>
      <c r="K138" s="17"/>
      <c r="L138" s="357"/>
      <c r="M138" s="17"/>
      <c r="N138" s="357"/>
      <c r="O138" s="17"/>
      <c r="P138" s="357"/>
      <c r="Q138" s="17"/>
      <c r="R138" s="17"/>
      <c r="S138" s="17"/>
      <c r="T138" s="365">
        <f>IFERROR(__xludf.DUMMYFUNCTION("""COMPUTED_VALUE"""),0.0)</f>
        <v>0</v>
      </c>
      <c r="U138" s="365">
        <f>IFERROR(__xludf.DUMMYFUNCTION("""COMPUTED_VALUE"""),0.0)</f>
        <v>0</v>
      </c>
      <c r="V138" s="365">
        <f>IFERROR(__xludf.DUMMYFUNCTION("""COMPUTED_VALUE"""),0.0)</f>
        <v>0</v>
      </c>
      <c r="W138" s="365">
        <f>IFERROR(__xludf.DUMMYFUNCTION("""COMPUTED_VALUE"""),0.0)</f>
        <v>0</v>
      </c>
    </row>
    <row r="139">
      <c r="A139" s="255" t="str">
        <f>IFERROR(__xludf.DUMMYFUNCTION("""COMPUTED_VALUE"""),"MICRO")</f>
        <v>MICRO</v>
      </c>
      <c r="B139" s="23" t="str">
        <f>IFERROR(__xludf.DUMMYFUNCTION("""COMPUTED_VALUE"""),"hnrusdiana")</f>
        <v>hnrusdiana</v>
      </c>
      <c r="C139" s="281" t="str">
        <f>IFERROR(__xludf.DUMMYFUNCTION("""COMPUTED_VALUE"""),"https://www.tiktok.com/@hnrusdiana")</f>
        <v>https://www.tiktok.com/@hnrusdiana</v>
      </c>
      <c r="D139" s="270">
        <f>IFERROR(__xludf.DUMMYFUNCTION("""COMPUTED_VALUE"""),8.1385019039E10)</f>
        <v>81385019039</v>
      </c>
      <c r="E139" s="362">
        <f>IFERROR(__xludf.DUMMYFUNCTION("""COMPUTED_VALUE"""),100000.0)</f>
        <v>100000</v>
      </c>
      <c r="F139" s="270">
        <f>IFERROR(__xludf.DUMMYFUNCTION("""COMPUTED_VALUE"""),1.0)</f>
        <v>1</v>
      </c>
      <c r="G139" s="17" t="str">
        <f>IFERROR(__xludf.DUMMYFUNCTION("""COMPUTED_VALUE"""),"25,4jt")</f>
        <v>25,4jt</v>
      </c>
      <c r="H139" s="17" t="str">
        <f>IFERROR(__xludf.DUMMYFUNCTION("""COMPUTED_VALUE"""),"Body Bleach")</f>
        <v>Body Bleach</v>
      </c>
      <c r="I139" s="356" t="str">
        <f>IFERROR(__xludf.DUMMYFUNCTION("""COMPUTED_VALUE"""),"Sampai")</f>
        <v>Sampai</v>
      </c>
      <c r="J139" s="357"/>
      <c r="K139" s="279" t="str">
        <f>IFERROR(__xludf.DUMMYFUNCTION("""COMPUTED_VALUE"""),"https://vt.tiktok.com/ZSxTkg5PL/")</f>
        <v>https://vt.tiktok.com/ZSxTkg5PL/</v>
      </c>
      <c r="L139" s="357"/>
      <c r="M139" s="17"/>
      <c r="N139" s="357"/>
      <c r="O139" s="17"/>
      <c r="P139" s="357"/>
      <c r="Q139" s="17"/>
      <c r="R139" s="17"/>
      <c r="S139" s="17"/>
      <c r="T139" s="365">
        <f>IFERROR(__xludf.DUMMYFUNCTION("""COMPUTED_VALUE"""),0.0)</f>
        <v>0</v>
      </c>
      <c r="U139" s="365">
        <f>IFERROR(__xludf.DUMMYFUNCTION("""COMPUTED_VALUE"""),0.0)</f>
        <v>0</v>
      </c>
      <c r="V139" s="365">
        <f>IFERROR(__xludf.DUMMYFUNCTION("""COMPUTED_VALUE"""),0.0)</f>
        <v>0</v>
      </c>
      <c r="W139" s="365">
        <f>IFERROR(__xludf.DUMMYFUNCTION("""COMPUTED_VALUE"""),0.0)</f>
        <v>0</v>
      </c>
    </row>
    <row r="140">
      <c r="A140" s="255" t="str">
        <f>IFERROR(__xludf.DUMMYFUNCTION("""COMPUTED_VALUE"""),"NANO")</f>
        <v>NANO</v>
      </c>
      <c r="B140" s="23" t="str">
        <f>IFERROR(__xludf.DUMMYFUNCTION("""COMPUTED_VALUE"""),"auroraanzh")</f>
        <v>auroraanzh</v>
      </c>
      <c r="C140" s="281" t="str">
        <f>IFERROR(__xludf.DUMMYFUNCTION("""COMPUTED_VALUE"""),"https://www.tiktok.com/@auroraanzh")</f>
        <v>https://www.tiktok.com/@auroraanzh</v>
      </c>
      <c r="D140" s="270">
        <f>IFERROR(__xludf.DUMMYFUNCTION("""COMPUTED_VALUE"""),8.9535852963E11)</f>
        <v>895358529630</v>
      </c>
      <c r="E140" s="362">
        <f>IFERROR(__xludf.DUMMYFUNCTION("""COMPUTED_VALUE"""),0.0)</f>
        <v>0</v>
      </c>
      <c r="F140" s="270"/>
      <c r="G140" s="17" t="str">
        <f>IFERROR(__xludf.DUMMYFUNCTION("""COMPUTED_VALUE"""),"10jt")</f>
        <v>10jt</v>
      </c>
      <c r="H140" s="17" t="str">
        <f>IFERROR(__xludf.DUMMYFUNCTION("""COMPUTED_VALUE"""),"Body Bleach")</f>
        <v>Body Bleach</v>
      </c>
      <c r="I140" s="356" t="str">
        <f>IFERROR(__xludf.DUMMYFUNCTION("""COMPUTED_VALUE"""),"Done Req Sample")</f>
        <v>Done Req Sample</v>
      </c>
      <c r="J140" s="357"/>
      <c r="K140" s="17"/>
      <c r="L140" s="357"/>
      <c r="M140" s="17"/>
      <c r="N140" s="357"/>
      <c r="O140" s="17"/>
      <c r="P140" s="357"/>
      <c r="Q140" s="17"/>
      <c r="R140" s="17"/>
      <c r="S140" s="17"/>
      <c r="T140" s="365">
        <f>IFERROR(__xludf.DUMMYFUNCTION("""COMPUTED_VALUE"""),0.0)</f>
        <v>0</v>
      </c>
      <c r="U140" s="365">
        <f>IFERROR(__xludf.DUMMYFUNCTION("""COMPUTED_VALUE"""),0.0)</f>
        <v>0</v>
      </c>
      <c r="V140" s="365">
        <f>IFERROR(__xludf.DUMMYFUNCTION("""COMPUTED_VALUE"""),0.0)</f>
        <v>0</v>
      </c>
      <c r="W140" s="365">
        <f>IFERROR(__xludf.DUMMYFUNCTION("""COMPUTED_VALUE"""),0.0)</f>
        <v>0</v>
      </c>
    </row>
    <row r="141">
      <c r="A141" s="255" t="str">
        <f>IFERROR(__xludf.DUMMYFUNCTION("""COMPUTED_VALUE"""),"MICRO")</f>
        <v>MICRO</v>
      </c>
      <c r="B141" s="23" t="str">
        <f>IFERROR(__xludf.DUMMYFUNCTION("""COMPUTED_VALUE"""),"puspitajasmine26")</f>
        <v>puspitajasmine26</v>
      </c>
      <c r="C141" s="281" t="str">
        <f>IFERROR(__xludf.DUMMYFUNCTION("""COMPUTED_VALUE"""),"https://www.tiktok.com/@puspitajasmine26")</f>
        <v>https://www.tiktok.com/@puspitajasmine26</v>
      </c>
      <c r="D141" s="270">
        <f>IFERROR(__xludf.DUMMYFUNCTION("""COMPUTED_VALUE"""),8.782568825E10)</f>
        <v>87825688250</v>
      </c>
      <c r="E141" s="362">
        <f>IFERROR(__xludf.DUMMYFUNCTION("""COMPUTED_VALUE"""),0.0)</f>
        <v>0</v>
      </c>
      <c r="F141" s="270">
        <f>IFERROR(__xludf.DUMMYFUNCTION("""COMPUTED_VALUE"""),3.0)</f>
        <v>3</v>
      </c>
      <c r="G141" s="17" t="str">
        <f>IFERROR(__xludf.DUMMYFUNCTION("""COMPUTED_VALUE"""),"1jt+")</f>
        <v>1jt+</v>
      </c>
      <c r="H141" s="17" t="str">
        <f>IFERROR(__xludf.DUMMYFUNCTION("""COMPUTED_VALUE"""),"paket sedekah glowing 3pcs (Fw brightening, toneup ""day cream"", instaglow cream ""night cream"")")</f>
        <v>paket sedekah glowing 3pcs (Fw brightening, toneup "day cream", instaglow cream "night cream")</v>
      </c>
      <c r="I141" s="356" t="str">
        <f>IFERROR(__xludf.DUMMYFUNCTION("""COMPUTED_VALUE"""),"Done Req Sample")</f>
        <v>Done Req Sample</v>
      </c>
      <c r="J141" s="357"/>
      <c r="K141" s="17"/>
      <c r="L141" s="357"/>
      <c r="M141" s="17"/>
      <c r="N141" s="357"/>
      <c r="O141" s="17"/>
      <c r="P141" s="357"/>
      <c r="Q141" s="17"/>
      <c r="R141" s="17"/>
      <c r="S141" s="17"/>
      <c r="T141" s="365"/>
      <c r="U141" s="365"/>
      <c r="V141" s="365"/>
      <c r="W141" s="365"/>
    </row>
    <row r="142">
      <c r="A142" s="255" t="str">
        <f>IFERROR(__xludf.DUMMYFUNCTION("""COMPUTED_VALUE"""),"MICRO")</f>
        <v>MICRO</v>
      </c>
      <c r="B142" s="23" t="str">
        <f>IFERROR(__xludf.DUMMYFUNCTION("""COMPUTED_VALUE"""),"yanti_nainggolan")</f>
        <v>yanti_nainggolan</v>
      </c>
      <c r="C142" s="281" t="str">
        <f>IFERROR(__xludf.DUMMYFUNCTION("""COMPUTED_VALUE"""),"https://www.tiktok.com/@yanti_nainggolan")</f>
        <v>https://www.tiktok.com/@yanti_nainggolan</v>
      </c>
      <c r="D142" s="270">
        <f>IFERROR(__xludf.DUMMYFUNCTION("""COMPUTED_VALUE"""),8.217057017E10)</f>
        <v>82170570170</v>
      </c>
      <c r="E142" s="362">
        <f>IFERROR(__xludf.DUMMYFUNCTION("""COMPUTED_VALUE"""),0.0)</f>
        <v>0</v>
      </c>
      <c r="F142" s="270">
        <f>IFERROR(__xludf.DUMMYFUNCTION("""COMPUTED_VALUE"""),3.0)</f>
        <v>3</v>
      </c>
      <c r="G142" s="17"/>
      <c r="H142" s="17" t="str">
        <f>IFERROR(__xludf.DUMMYFUNCTION("""COMPUTED_VALUE"""),"paket sedekah glowing 3pcs (Fw brightening, toneup ""day cream"", instaglow cream ""night cream"")")</f>
        <v>paket sedekah glowing 3pcs (Fw brightening, toneup "day cream", instaglow cream "night cream")</v>
      </c>
      <c r="I142" s="356" t="str">
        <f>IFERROR(__xludf.DUMMYFUNCTION("""COMPUTED_VALUE"""),"Done Req Sample")</f>
        <v>Done Req Sample</v>
      </c>
      <c r="J142" s="357"/>
      <c r="K142" s="17"/>
      <c r="L142" s="357"/>
      <c r="M142" s="17"/>
      <c r="N142" s="357"/>
      <c r="O142" s="17"/>
      <c r="P142" s="357"/>
      <c r="Q142" s="17"/>
      <c r="R142" s="17"/>
      <c r="S142" s="17"/>
      <c r="T142" s="365">
        <f>IFERROR(__xludf.DUMMYFUNCTION("""COMPUTED_VALUE"""),0.0)</f>
        <v>0</v>
      </c>
      <c r="U142" s="365">
        <f>IFERROR(__xludf.DUMMYFUNCTION("""COMPUTED_VALUE"""),0.0)</f>
        <v>0</v>
      </c>
      <c r="V142" s="365">
        <f>IFERROR(__xludf.DUMMYFUNCTION("""COMPUTED_VALUE"""),0.0)</f>
        <v>0</v>
      </c>
      <c r="W142" s="365">
        <f>IFERROR(__xludf.DUMMYFUNCTION("""COMPUTED_VALUE"""),0.0)</f>
        <v>0</v>
      </c>
    </row>
    <row r="143">
      <c r="A143" s="255"/>
      <c r="B143" s="23"/>
      <c r="C143" s="268"/>
      <c r="D143" s="270"/>
      <c r="E143" s="362"/>
      <c r="F143" s="270"/>
      <c r="G143" s="17"/>
      <c r="H143" s="17"/>
      <c r="I143" s="356"/>
      <c r="J143" s="357"/>
      <c r="K143" s="17"/>
      <c r="L143" s="357"/>
      <c r="M143" s="17"/>
      <c r="N143" s="357"/>
      <c r="O143" s="17"/>
      <c r="P143" s="357"/>
      <c r="Q143" s="17"/>
      <c r="R143" s="17"/>
      <c r="S143" s="17"/>
      <c r="T143" s="17"/>
      <c r="U143" s="17"/>
      <c r="V143" s="17"/>
      <c r="W143" s="17"/>
    </row>
    <row r="144">
      <c r="A144" s="255"/>
      <c r="B144" s="23"/>
      <c r="C144" s="268"/>
      <c r="D144" s="270"/>
      <c r="E144" s="362"/>
      <c r="F144" s="270"/>
      <c r="G144" s="17"/>
      <c r="H144" s="17"/>
      <c r="I144" s="356"/>
      <c r="J144" s="357"/>
      <c r="K144" s="17"/>
      <c r="L144" s="357"/>
      <c r="M144" s="17"/>
      <c r="N144" s="357"/>
      <c r="O144" s="17"/>
      <c r="P144" s="357"/>
      <c r="Q144" s="17"/>
      <c r="R144" s="17"/>
      <c r="S144" s="17"/>
      <c r="T144" s="17"/>
      <c r="U144" s="17"/>
      <c r="V144" s="17"/>
      <c r="W144" s="17"/>
    </row>
    <row r="145">
      <c r="A145" s="255"/>
      <c r="B145" s="23"/>
      <c r="C145" s="268"/>
      <c r="D145" s="270"/>
      <c r="E145" s="362"/>
      <c r="F145" s="270"/>
      <c r="G145" s="17"/>
      <c r="H145" s="17"/>
      <c r="I145" s="356"/>
      <c r="J145" s="357"/>
      <c r="K145" s="17"/>
      <c r="L145" s="357"/>
      <c r="M145" s="17"/>
      <c r="N145" s="357"/>
      <c r="O145" s="17"/>
      <c r="P145" s="357"/>
      <c r="Q145" s="17"/>
      <c r="R145" s="17"/>
      <c r="S145" s="17"/>
      <c r="T145" s="17"/>
      <c r="U145" s="17"/>
      <c r="V145" s="17"/>
      <c r="W145" s="17"/>
    </row>
    <row r="146">
      <c r="A146" s="255"/>
      <c r="B146" s="23"/>
      <c r="C146" s="268"/>
      <c r="D146" s="270"/>
      <c r="E146" s="362"/>
      <c r="F146" s="270"/>
      <c r="G146" s="17"/>
      <c r="H146" s="17"/>
      <c r="I146" s="356"/>
      <c r="J146" s="357"/>
      <c r="K146" s="17"/>
      <c r="L146" s="357"/>
      <c r="M146" s="17"/>
      <c r="N146" s="357"/>
      <c r="O146" s="17"/>
      <c r="P146" s="357"/>
      <c r="Q146" s="17"/>
      <c r="R146" s="17"/>
      <c r="S146" s="17"/>
      <c r="T146" s="17"/>
      <c r="U146" s="17"/>
      <c r="V146" s="17"/>
      <c r="W146" s="17"/>
    </row>
    <row r="147">
      <c r="A147" s="255"/>
      <c r="B147" s="23"/>
      <c r="C147" s="268"/>
      <c r="D147" s="270"/>
      <c r="E147" s="362"/>
      <c r="F147" s="270"/>
      <c r="G147" s="17"/>
      <c r="H147" s="17"/>
      <c r="I147" s="356"/>
      <c r="J147" s="357"/>
      <c r="K147" s="17"/>
      <c r="L147" s="357"/>
      <c r="M147" s="17"/>
      <c r="N147" s="357"/>
      <c r="O147" s="17"/>
      <c r="P147" s="357"/>
      <c r="Q147" s="17"/>
      <c r="R147" s="17"/>
      <c r="S147" s="17"/>
      <c r="T147" s="17"/>
      <c r="U147" s="17"/>
      <c r="V147" s="17"/>
      <c r="W147" s="17"/>
    </row>
    <row r="148">
      <c r="A148" s="255"/>
      <c r="B148" s="23"/>
      <c r="C148" s="268"/>
      <c r="D148" s="270"/>
      <c r="E148" s="362"/>
      <c r="F148" s="270"/>
      <c r="G148" s="17"/>
      <c r="H148" s="17"/>
      <c r="I148" s="356"/>
      <c r="J148" s="357"/>
      <c r="K148" s="17"/>
      <c r="L148" s="357"/>
      <c r="M148" s="17"/>
      <c r="N148" s="357"/>
      <c r="O148" s="17"/>
      <c r="P148" s="357"/>
      <c r="Q148" s="17"/>
      <c r="R148" s="17"/>
      <c r="S148" s="17"/>
      <c r="T148" s="17"/>
      <c r="U148" s="17"/>
      <c r="V148" s="17"/>
      <c r="W148" s="17"/>
    </row>
    <row r="149">
      <c r="A149" s="255"/>
      <c r="B149" s="23"/>
      <c r="C149" s="268"/>
      <c r="D149" s="270"/>
      <c r="E149" s="362"/>
      <c r="F149" s="270"/>
      <c r="G149" s="17"/>
      <c r="H149" s="17"/>
      <c r="I149" s="356"/>
      <c r="J149" s="357"/>
      <c r="K149" s="17"/>
      <c r="L149" s="357"/>
      <c r="M149" s="17"/>
      <c r="N149" s="357"/>
      <c r="O149" s="17"/>
      <c r="P149" s="357"/>
      <c r="Q149" s="17"/>
      <c r="R149" s="17"/>
      <c r="S149" s="17"/>
      <c r="T149" s="17"/>
      <c r="U149" s="17"/>
      <c r="V149" s="17"/>
      <c r="W149" s="17"/>
    </row>
    <row r="150">
      <c r="A150" s="255"/>
      <c r="B150" s="23"/>
      <c r="C150" s="268"/>
      <c r="D150" s="270"/>
      <c r="E150" s="362"/>
      <c r="F150" s="270"/>
      <c r="G150" s="17"/>
      <c r="H150" s="17"/>
      <c r="I150" s="356"/>
      <c r="J150" s="357"/>
      <c r="K150" s="17"/>
      <c r="L150" s="357"/>
      <c r="M150" s="17"/>
      <c r="N150" s="357"/>
      <c r="O150" s="17"/>
      <c r="P150" s="357"/>
      <c r="Q150" s="17"/>
      <c r="R150" s="17"/>
      <c r="S150" s="17"/>
      <c r="T150" s="17"/>
      <c r="U150" s="17"/>
      <c r="V150" s="17"/>
      <c r="W150" s="17"/>
    </row>
    <row r="151">
      <c r="A151" s="255"/>
      <c r="B151" s="23"/>
      <c r="C151" s="268"/>
      <c r="D151" s="270"/>
      <c r="E151" s="362"/>
      <c r="F151" s="270"/>
      <c r="G151" s="17"/>
      <c r="H151" s="17"/>
      <c r="I151" s="356"/>
      <c r="J151" s="357"/>
      <c r="K151" s="17"/>
      <c r="L151" s="357"/>
      <c r="M151" s="17"/>
      <c r="N151" s="357"/>
      <c r="O151" s="17"/>
      <c r="P151" s="357"/>
      <c r="Q151" s="17"/>
      <c r="R151" s="17"/>
      <c r="S151" s="17"/>
      <c r="T151" s="17"/>
      <c r="U151" s="17"/>
      <c r="V151" s="17"/>
      <c r="W151" s="17"/>
    </row>
    <row r="152">
      <c r="A152" s="255"/>
      <c r="B152" s="23"/>
      <c r="C152" s="268"/>
      <c r="D152" s="270"/>
      <c r="E152" s="362"/>
      <c r="F152" s="270"/>
      <c r="G152" s="17"/>
      <c r="H152" s="17"/>
      <c r="I152" s="356"/>
      <c r="J152" s="357"/>
      <c r="K152" s="17"/>
      <c r="L152" s="357"/>
      <c r="M152" s="17"/>
      <c r="N152" s="357"/>
      <c r="O152" s="17"/>
      <c r="P152" s="357"/>
      <c r="Q152" s="17"/>
      <c r="R152" s="17"/>
      <c r="S152" s="17"/>
      <c r="T152" s="17"/>
      <c r="U152" s="17"/>
      <c r="V152" s="17"/>
      <c r="W152" s="17"/>
    </row>
    <row r="153">
      <c r="A153" s="255"/>
      <c r="B153" s="23"/>
      <c r="C153" s="268"/>
      <c r="D153" s="270"/>
      <c r="E153" s="362"/>
      <c r="F153" s="270"/>
      <c r="G153" s="17"/>
      <c r="H153" s="17"/>
      <c r="I153" s="356"/>
      <c r="J153" s="357"/>
      <c r="K153" s="17"/>
      <c r="L153" s="357"/>
      <c r="M153" s="17"/>
      <c r="N153" s="357"/>
      <c r="O153" s="17"/>
      <c r="P153" s="357"/>
      <c r="Q153" s="17"/>
      <c r="R153" s="17"/>
      <c r="S153" s="17"/>
      <c r="T153" s="17"/>
      <c r="U153" s="17"/>
      <c r="V153" s="17"/>
      <c r="W153" s="17"/>
    </row>
    <row r="154">
      <c r="A154" s="255"/>
      <c r="B154" s="23"/>
      <c r="C154" s="268"/>
      <c r="D154" s="270"/>
      <c r="E154" s="362"/>
      <c r="F154" s="270"/>
      <c r="G154" s="17"/>
      <c r="H154" s="17"/>
      <c r="I154" s="356"/>
      <c r="J154" s="357"/>
      <c r="K154" s="17"/>
      <c r="L154" s="357"/>
      <c r="M154" s="17"/>
      <c r="N154" s="357"/>
      <c r="O154" s="17"/>
      <c r="P154" s="357"/>
      <c r="Q154" s="17"/>
      <c r="R154" s="17"/>
      <c r="S154" s="17"/>
      <c r="T154" s="17"/>
      <c r="U154" s="17"/>
      <c r="V154" s="17"/>
      <c r="W154" s="17"/>
    </row>
    <row r="155">
      <c r="A155" s="255"/>
      <c r="B155" s="23"/>
      <c r="C155" s="268"/>
      <c r="D155" s="270"/>
      <c r="E155" s="362"/>
      <c r="F155" s="270"/>
      <c r="G155" s="17"/>
      <c r="H155" s="17"/>
      <c r="I155" s="356"/>
      <c r="J155" s="357"/>
      <c r="K155" s="17"/>
      <c r="L155" s="357"/>
      <c r="M155" s="17"/>
      <c r="N155" s="357"/>
      <c r="O155" s="17"/>
      <c r="P155" s="357"/>
      <c r="Q155" s="17"/>
      <c r="R155" s="17"/>
      <c r="S155" s="17"/>
      <c r="T155" s="17"/>
      <c r="U155" s="17"/>
      <c r="V155" s="17"/>
      <c r="W155" s="17"/>
    </row>
    <row r="156">
      <c r="A156" s="255"/>
      <c r="B156" s="23"/>
      <c r="C156" s="268"/>
      <c r="D156" s="270"/>
      <c r="E156" s="362"/>
      <c r="F156" s="270"/>
      <c r="G156" s="17"/>
      <c r="H156" s="17"/>
      <c r="I156" s="356"/>
      <c r="J156" s="357"/>
      <c r="K156" s="17"/>
      <c r="L156" s="357"/>
      <c r="M156" s="17"/>
      <c r="N156" s="357"/>
      <c r="O156" s="17"/>
      <c r="P156" s="357"/>
      <c r="Q156" s="17"/>
      <c r="R156" s="17"/>
      <c r="S156" s="17"/>
      <c r="T156" s="17"/>
      <c r="U156" s="17"/>
      <c r="V156" s="17"/>
      <c r="W156" s="17"/>
    </row>
    <row r="157">
      <c r="A157" s="255"/>
      <c r="B157" s="23"/>
      <c r="C157" s="268"/>
      <c r="D157" s="270"/>
      <c r="E157" s="362"/>
      <c r="F157" s="270"/>
      <c r="G157" s="17"/>
      <c r="H157" s="17"/>
      <c r="I157" s="356"/>
      <c r="J157" s="357"/>
      <c r="K157" s="17"/>
      <c r="L157" s="357"/>
      <c r="M157" s="17"/>
      <c r="N157" s="357"/>
      <c r="O157" s="17"/>
      <c r="P157" s="357"/>
      <c r="Q157" s="17"/>
      <c r="R157" s="17"/>
      <c r="S157" s="17"/>
      <c r="T157" s="17"/>
      <c r="U157" s="17"/>
      <c r="V157" s="17"/>
      <c r="W157" s="17"/>
    </row>
    <row r="158">
      <c r="A158" s="255"/>
      <c r="B158" s="23"/>
      <c r="C158" s="268"/>
      <c r="D158" s="270"/>
      <c r="E158" s="362"/>
      <c r="F158" s="270"/>
      <c r="G158" s="17"/>
      <c r="H158" s="17"/>
      <c r="I158" s="356"/>
      <c r="J158" s="357"/>
      <c r="K158" s="17"/>
      <c r="L158" s="357"/>
      <c r="M158" s="17"/>
      <c r="N158" s="357"/>
      <c r="O158" s="17"/>
      <c r="P158" s="357"/>
      <c r="Q158" s="17"/>
      <c r="R158" s="17"/>
      <c r="S158" s="17"/>
      <c r="T158" s="17"/>
      <c r="U158" s="17"/>
      <c r="V158" s="17"/>
      <c r="W158" s="17"/>
    </row>
    <row r="159">
      <c r="A159" s="255"/>
      <c r="B159" s="23"/>
      <c r="C159" s="268"/>
      <c r="D159" s="270"/>
      <c r="E159" s="362"/>
      <c r="F159" s="270"/>
      <c r="G159" s="17"/>
      <c r="H159" s="17"/>
      <c r="I159" s="356"/>
      <c r="J159" s="357"/>
      <c r="K159" s="17"/>
      <c r="L159" s="357"/>
      <c r="M159" s="17"/>
      <c r="N159" s="357"/>
      <c r="O159" s="17"/>
      <c r="P159" s="357"/>
      <c r="Q159" s="17"/>
      <c r="R159" s="17"/>
      <c r="S159" s="17"/>
      <c r="T159" s="17"/>
      <c r="U159" s="17"/>
      <c r="V159" s="17"/>
      <c r="W159" s="17"/>
    </row>
    <row r="160">
      <c r="A160" s="255"/>
      <c r="B160" s="23"/>
      <c r="C160" s="268"/>
      <c r="D160" s="270"/>
      <c r="E160" s="362"/>
      <c r="F160" s="270"/>
      <c r="G160" s="17"/>
      <c r="H160" s="17"/>
      <c r="I160" s="356"/>
      <c r="J160" s="357"/>
      <c r="K160" s="17"/>
      <c r="L160" s="357"/>
      <c r="M160" s="17"/>
      <c r="N160" s="357"/>
      <c r="O160" s="17"/>
      <c r="P160" s="357"/>
      <c r="Q160" s="17"/>
      <c r="R160" s="17"/>
      <c r="S160" s="17"/>
      <c r="T160" s="17"/>
      <c r="U160" s="17"/>
      <c r="V160" s="17"/>
      <c r="W160" s="17"/>
    </row>
    <row r="161">
      <c r="A161" s="255"/>
      <c r="B161" s="23"/>
      <c r="C161" s="268"/>
      <c r="D161" s="270"/>
      <c r="E161" s="362"/>
      <c r="F161" s="270"/>
      <c r="G161" s="17"/>
      <c r="H161" s="17"/>
      <c r="I161" s="356"/>
      <c r="J161" s="357"/>
      <c r="K161" s="17"/>
      <c r="L161" s="357"/>
      <c r="M161" s="17"/>
      <c r="N161" s="357"/>
      <c r="O161" s="17"/>
      <c r="P161" s="357"/>
      <c r="Q161" s="17"/>
      <c r="R161" s="17"/>
      <c r="S161" s="17"/>
      <c r="T161" s="17"/>
      <c r="U161" s="17"/>
      <c r="V161" s="17"/>
      <c r="W161" s="17"/>
    </row>
    <row r="162">
      <c r="A162" s="255"/>
      <c r="B162" s="23"/>
      <c r="C162" s="268"/>
      <c r="D162" s="270"/>
      <c r="E162" s="362"/>
      <c r="F162" s="270"/>
      <c r="G162" s="17"/>
      <c r="H162" s="17"/>
      <c r="I162" s="356"/>
      <c r="J162" s="357"/>
      <c r="K162" s="17"/>
      <c r="L162" s="357"/>
      <c r="M162" s="17"/>
      <c r="N162" s="357"/>
      <c r="O162" s="17"/>
      <c r="P162" s="357"/>
      <c r="Q162" s="17"/>
      <c r="R162" s="17"/>
      <c r="S162" s="17"/>
      <c r="T162" s="17"/>
      <c r="U162" s="17"/>
      <c r="V162" s="17"/>
      <c r="W162" s="17"/>
    </row>
    <row r="163">
      <c r="A163" s="255"/>
      <c r="B163" s="23"/>
      <c r="C163" s="268"/>
      <c r="D163" s="270"/>
      <c r="E163" s="362"/>
      <c r="F163" s="270"/>
      <c r="G163" s="17"/>
      <c r="H163" s="17"/>
      <c r="I163" s="356"/>
      <c r="J163" s="357"/>
      <c r="K163" s="17"/>
      <c r="L163" s="357"/>
      <c r="M163" s="17"/>
      <c r="N163" s="357"/>
      <c r="O163" s="17"/>
      <c r="P163" s="357"/>
      <c r="Q163" s="17"/>
      <c r="R163" s="17"/>
      <c r="S163" s="17"/>
      <c r="T163" s="17"/>
      <c r="U163" s="17"/>
      <c r="V163" s="17"/>
      <c r="W163" s="17"/>
    </row>
    <row r="164">
      <c r="A164" s="255"/>
      <c r="B164" s="23"/>
      <c r="C164" s="268"/>
      <c r="D164" s="270"/>
      <c r="E164" s="362"/>
      <c r="F164" s="270"/>
      <c r="G164" s="17"/>
      <c r="H164" s="17"/>
      <c r="I164" s="356"/>
      <c r="J164" s="357"/>
      <c r="K164" s="17"/>
      <c r="L164" s="357"/>
      <c r="M164" s="17"/>
      <c r="N164" s="357"/>
      <c r="O164" s="17"/>
      <c r="P164" s="357"/>
      <c r="Q164" s="17"/>
      <c r="R164" s="17"/>
      <c r="S164" s="17"/>
      <c r="T164" s="17"/>
      <c r="U164" s="17"/>
      <c r="V164" s="17"/>
      <c r="W164" s="17"/>
    </row>
    <row r="165">
      <c r="A165" s="255"/>
      <c r="B165" s="23"/>
      <c r="C165" s="268"/>
      <c r="D165" s="270"/>
      <c r="E165" s="362"/>
      <c r="F165" s="270"/>
      <c r="G165" s="17"/>
      <c r="H165" s="17"/>
      <c r="I165" s="356"/>
      <c r="J165" s="357"/>
      <c r="K165" s="17"/>
      <c r="L165" s="357"/>
      <c r="M165" s="17"/>
      <c r="N165" s="357"/>
      <c r="O165" s="17"/>
      <c r="P165" s="357"/>
      <c r="Q165" s="17"/>
      <c r="R165" s="17"/>
      <c r="S165" s="17"/>
      <c r="T165" s="17"/>
      <c r="U165" s="17"/>
      <c r="V165" s="17"/>
      <c r="W165" s="17"/>
    </row>
    <row r="166">
      <c r="C166" s="12"/>
      <c r="D166" s="3"/>
      <c r="E166" s="366"/>
      <c r="F166" s="3"/>
    </row>
    <row r="167">
      <c r="C167" s="12"/>
      <c r="D167" s="3"/>
      <c r="E167" s="366"/>
      <c r="F167" s="3"/>
    </row>
    <row r="168">
      <c r="C168" s="12"/>
      <c r="D168" s="3"/>
      <c r="E168" s="366"/>
      <c r="F168" s="3"/>
    </row>
    <row r="169">
      <c r="C169" s="12"/>
      <c r="D169" s="3"/>
      <c r="E169" s="366"/>
      <c r="F169" s="3"/>
    </row>
    <row r="170">
      <c r="C170" s="12"/>
      <c r="D170" s="3"/>
      <c r="E170" s="366"/>
      <c r="F170" s="3"/>
    </row>
    <row r="171">
      <c r="C171" s="12"/>
      <c r="D171" s="3"/>
      <c r="E171" s="366"/>
      <c r="F171" s="3"/>
    </row>
    <row r="172">
      <c r="C172" s="12"/>
      <c r="D172" s="3"/>
      <c r="E172" s="366"/>
      <c r="F172" s="3"/>
    </row>
    <row r="173">
      <c r="C173" s="12"/>
      <c r="D173" s="3"/>
      <c r="E173" s="366"/>
      <c r="F173" s="3"/>
    </row>
    <row r="174">
      <c r="C174" s="12"/>
      <c r="D174" s="3"/>
      <c r="E174" s="366"/>
      <c r="F174" s="3"/>
    </row>
    <row r="175">
      <c r="C175" s="12"/>
      <c r="D175" s="3"/>
      <c r="E175" s="366"/>
      <c r="F175" s="3"/>
    </row>
    <row r="176">
      <c r="C176" s="12"/>
      <c r="D176" s="3"/>
      <c r="E176" s="366"/>
      <c r="F176" s="3"/>
    </row>
    <row r="177">
      <c r="C177" s="12"/>
      <c r="D177" s="3"/>
      <c r="E177" s="366"/>
      <c r="F177" s="3"/>
    </row>
    <row r="178">
      <c r="C178" s="12"/>
      <c r="D178" s="3"/>
      <c r="E178" s="366"/>
      <c r="F178" s="3"/>
    </row>
    <row r="179">
      <c r="C179" s="12"/>
      <c r="D179" s="3"/>
      <c r="E179" s="366"/>
      <c r="F179" s="3"/>
    </row>
    <row r="180">
      <c r="C180" s="12"/>
      <c r="D180" s="3"/>
      <c r="E180" s="366"/>
      <c r="F180" s="3"/>
    </row>
    <row r="181">
      <c r="C181" s="12"/>
      <c r="D181" s="3"/>
      <c r="E181" s="366"/>
      <c r="F181" s="3"/>
    </row>
    <row r="182">
      <c r="C182" s="12"/>
      <c r="D182" s="3"/>
      <c r="E182" s="366"/>
      <c r="F182" s="3"/>
    </row>
    <row r="183">
      <c r="C183" s="12"/>
      <c r="D183" s="3"/>
      <c r="E183" s="366"/>
      <c r="F183" s="3"/>
    </row>
    <row r="184">
      <c r="C184" s="12"/>
      <c r="D184" s="3"/>
      <c r="E184" s="366"/>
      <c r="F184" s="3"/>
    </row>
    <row r="185">
      <c r="C185" s="12"/>
      <c r="D185" s="3"/>
      <c r="E185" s="366"/>
      <c r="F185" s="3"/>
    </row>
    <row r="186">
      <c r="C186" s="12"/>
      <c r="D186" s="3"/>
      <c r="E186" s="366"/>
      <c r="F186" s="3"/>
    </row>
    <row r="187">
      <c r="C187" s="12"/>
      <c r="D187" s="3"/>
      <c r="E187" s="366"/>
      <c r="F187" s="3"/>
    </row>
    <row r="188">
      <c r="C188" s="12"/>
      <c r="D188" s="3"/>
      <c r="E188" s="366"/>
      <c r="F188" s="3"/>
    </row>
    <row r="189">
      <c r="C189" s="12"/>
      <c r="D189" s="3"/>
      <c r="E189" s="366"/>
      <c r="F189" s="3"/>
    </row>
    <row r="190">
      <c r="C190" s="12"/>
      <c r="D190" s="3"/>
      <c r="E190" s="366"/>
      <c r="F190" s="3"/>
    </row>
    <row r="191">
      <c r="C191" s="12"/>
      <c r="D191" s="3"/>
      <c r="E191" s="366"/>
      <c r="F191" s="3"/>
    </row>
    <row r="192">
      <c r="C192" s="12"/>
      <c r="D192" s="3"/>
      <c r="E192" s="366"/>
      <c r="F192" s="3"/>
    </row>
    <row r="193">
      <c r="C193" s="12"/>
      <c r="D193" s="3"/>
      <c r="E193" s="366"/>
      <c r="F193" s="3"/>
    </row>
    <row r="194">
      <c r="C194" s="12"/>
      <c r="D194" s="3"/>
      <c r="E194" s="366"/>
      <c r="F194" s="3"/>
    </row>
    <row r="195">
      <c r="C195" s="12"/>
      <c r="D195" s="3"/>
      <c r="E195" s="366"/>
      <c r="F195" s="3"/>
    </row>
    <row r="196">
      <c r="C196" s="12"/>
      <c r="D196" s="3"/>
      <c r="E196" s="366"/>
      <c r="F196" s="3"/>
    </row>
    <row r="197">
      <c r="C197" s="12"/>
      <c r="D197" s="3"/>
      <c r="E197" s="366"/>
      <c r="F197" s="3"/>
    </row>
    <row r="198">
      <c r="C198" s="12"/>
      <c r="D198" s="3"/>
      <c r="E198" s="366"/>
      <c r="F198" s="3"/>
    </row>
    <row r="199">
      <c r="C199" s="12"/>
      <c r="D199" s="3"/>
      <c r="E199" s="366"/>
      <c r="F199" s="3"/>
    </row>
    <row r="200">
      <c r="C200" s="12"/>
      <c r="D200" s="3"/>
      <c r="E200" s="366"/>
      <c r="F200" s="3"/>
    </row>
    <row r="201">
      <c r="C201" s="12"/>
      <c r="D201" s="3"/>
      <c r="E201" s="366"/>
      <c r="F201" s="3"/>
    </row>
    <row r="202">
      <c r="C202" s="12"/>
      <c r="D202" s="3"/>
      <c r="E202" s="366"/>
      <c r="F202" s="3"/>
    </row>
    <row r="203">
      <c r="C203" s="12"/>
      <c r="D203" s="3"/>
      <c r="E203" s="366"/>
      <c r="F203" s="3"/>
    </row>
    <row r="204">
      <c r="C204" s="12"/>
      <c r="D204" s="3"/>
      <c r="E204" s="366"/>
      <c r="F204" s="3"/>
    </row>
    <row r="205">
      <c r="C205" s="12"/>
      <c r="D205" s="3"/>
      <c r="E205" s="366"/>
      <c r="F205" s="3"/>
    </row>
    <row r="206">
      <c r="C206" s="12"/>
      <c r="D206" s="3"/>
      <c r="E206" s="366"/>
      <c r="F206" s="3"/>
    </row>
    <row r="207">
      <c r="C207" s="12"/>
      <c r="D207" s="3"/>
      <c r="E207" s="366"/>
      <c r="F207" s="3"/>
    </row>
    <row r="208">
      <c r="C208" s="12"/>
      <c r="D208" s="3"/>
      <c r="E208" s="366"/>
      <c r="F208" s="3"/>
    </row>
    <row r="209">
      <c r="C209" s="12"/>
      <c r="D209" s="3"/>
      <c r="E209" s="366"/>
      <c r="F209" s="3"/>
    </row>
    <row r="210">
      <c r="C210" s="12"/>
      <c r="D210" s="3"/>
      <c r="E210" s="366"/>
      <c r="F210" s="3"/>
    </row>
    <row r="211">
      <c r="C211" s="12"/>
      <c r="D211" s="3"/>
      <c r="E211" s="366"/>
      <c r="F211" s="3"/>
    </row>
    <row r="212">
      <c r="C212" s="12"/>
      <c r="D212" s="3"/>
      <c r="E212" s="366"/>
      <c r="F212" s="3"/>
    </row>
    <row r="213">
      <c r="C213" s="12"/>
      <c r="D213" s="3"/>
      <c r="E213" s="366"/>
      <c r="F213" s="3"/>
    </row>
    <row r="214">
      <c r="C214" s="12"/>
      <c r="D214" s="3"/>
      <c r="E214" s="366"/>
      <c r="F214" s="3"/>
    </row>
    <row r="215">
      <c r="C215" s="12"/>
      <c r="D215" s="3"/>
      <c r="E215" s="366"/>
      <c r="F215" s="3"/>
    </row>
    <row r="216">
      <c r="C216" s="12"/>
      <c r="D216" s="3"/>
      <c r="E216" s="366"/>
      <c r="F216" s="3"/>
    </row>
    <row r="217">
      <c r="C217" s="12"/>
      <c r="D217" s="3"/>
      <c r="E217" s="366"/>
      <c r="F217" s="3"/>
    </row>
    <row r="218">
      <c r="C218" s="12"/>
      <c r="D218" s="3"/>
      <c r="E218" s="366"/>
      <c r="F218" s="3"/>
    </row>
    <row r="219">
      <c r="C219" s="12"/>
      <c r="D219" s="3"/>
      <c r="E219" s="366"/>
      <c r="F219" s="3"/>
    </row>
    <row r="220">
      <c r="C220" s="12"/>
      <c r="D220" s="3"/>
      <c r="E220" s="366"/>
      <c r="F220" s="3"/>
    </row>
    <row r="221">
      <c r="C221" s="12"/>
      <c r="D221" s="3"/>
      <c r="E221" s="366"/>
      <c r="F221" s="3"/>
    </row>
    <row r="222">
      <c r="C222" s="12"/>
      <c r="D222" s="3"/>
      <c r="E222" s="366"/>
      <c r="F222" s="3"/>
    </row>
    <row r="223">
      <c r="C223" s="12"/>
      <c r="D223" s="3"/>
      <c r="E223" s="366"/>
      <c r="F223" s="3"/>
    </row>
    <row r="224">
      <c r="C224" s="12"/>
      <c r="D224" s="3"/>
      <c r="E224" s="366"/>
      <c r="F224" s="3"/>
    </row>
    <row r="225">
      <c r="C225" s="12"/>
      <c r="D225" s="3"/>
      <c r="E225" s="366"/>
      <c r="F225" s="3"/>
    </row>
    <row r="226">
      <c r="C226" s="12"/>
      <c r="D226" s="3"/>
      <c r="E226" s="366"/>
      <c r="F226" s="3"/>
    </row>
    <row r="227">
      <c r="C227" s="12"/>
      <c r="D227" s="3"/>
      <c r="E227" s="366"/>
      <c r="F227" s="3"/>
    </row>
    <row r="228">
      <c r="C228" s="12"/>
      <c r="D228" s="3"/>
      <c r="E228" s="366"/>
      <c r="F228" s="3"/>
    </row>
    <row r="229">
      <c r="C229" s="12"/>
      <c r="D229" s="3"/>
      <c r="E229" s="366"/>
      <c r="F229" s="3"/>
    </row>
    <row r="230">
      <c r="C230" s="12"/>
      <c r="D230" s="3"/>
      <c r="E230" s="366"/>
      <c r="F230" s="3"/>
    </row>
    <row r="231">
      <c r="C231" s="12"/>
      <c r="D231" s="3"/>
      <c r="E231" s="366"/>
      <c r="F231" s="3"/>
    </row>
    <row r="232">
      <c r="C232" s="12"/>
      <c r="D232" s="3"/>
      <c r="E232" s="366"/>
      <c r="F232" s="3"/>
    </row>
    <row r="233">
      <c r="C233" s="12"/>
      <c r="D233" s="3"/>
      <c r="E233" s="366"/>
      <c r="F233" s="3"/>
    </row>
    <row r="234">
      <c r="C234" s="12"/>
      <c r="D234" s="3"/>
      <c r="E234" s="366"/>
      <c r="F234" s="3"/>
    </row>
    <row r="235">
      <c r="C235" s="12"/>
      <c r="D235" s="3"/>
      <c r="E235" s="366"/>
      <c r="F235" s="3"/>
    </row>
    <row r="236">
      <c r="C236" s="12"/>
      <c r="D236" s="3"/>
      <c r="E236" s="366"/>
      <c r="F236" s="3"/>
    </row>
    <row r="237">
      <c r="C237" s="12"/>
      <c r="D237" s="3"/>
      <c r="E237" s="366"/>
      <c r="F237" s="3"/>
    </row>
    <row r="238">
      <c r="C238" s="12"/>
      <c r="D238" s="3"/>
      <c r="E238" s="366"/>
      <c r="F238" s="3"/>
    </row>
    <row r="239">
      <c r="C239" s="12"/>
      <c r="D239" s="3"/>
      <c r="E239" s="366"/>
      <c r="F239" s="3"/>
    </row>
    <row r="240">
      <c r="C240" s="12"/>
      <c r="D240" s="3"/>
      <c r="E240" s="366"/>
      <c r="F240" s="3"/>
    </row>
    <row r="241">
      <c r="C241" s="12"/>
      <c r="D241" s="3"/>
      <c r="E241" s="366"/>
      <c r="F241" s="3"/>
    </row>
    <row r="242">
      <c r="C242" s="12"/>
      <c r="D242" s="3"/>
      <c r="E242" s="366"/>
      <c r="F242" s="3"/>
    </row>
    <row r="243">
      <c r="C243" s="12"/>
      <c r="D243" s="3"/>
      <c r="E243" s="366"/>
      <c r="F243" s="3"/>
    </row>
    <row r="244">
      <c r="C244" s="12"/>
      <c r="D244" s="3"/>
      <c r="E244" s="366"/>
      <c r="F244" s="3"/>
    </row>
    <row r="245">
      <c r="C245" s="12"/>
      <c r="D245" s="3"/>
      <c r="E245" s="366"/>
      <c r="F245" s="3"/>
    </row>
    <row r="246">
      <c r="C246" s="12"/>
      <c r="D246" s="3"/>
      <c r="E246" s="366"/>
      <c r="F246" s="3"/>
    </row>
    <row r="247">
      <c r="C247" s="12"/>
      <c r="D247" s="3"/>
      <c r="E247" s="366"/>
      <c r="F247" s="3"/>
    </row>
    <row r="248">
      <c r="C248" s="12"/>
      <c r="D248" s="3"/>
      <c r="E248" s="366"/>
      <c r="F248" s="3"/>
    </row>
    <row r="249">
      <c r="C249" s="12"/>
      <c r="D249" s="3"/>
      <c r="E249" s="366"/>
      <c r="F249" s="3"/>
    </row>
    <row r="250">
      <c r="C250" s="12"/>
      <c r="D250" s="3"/>
      <c r="E250" s="366"/>
      <c r="F250" s="3"/>
    </row>
    <row r="251">
      <c r="C251" s="12"/>
      <c r="D251" s="3"/>
      <c r="E251" s="366"/>
      <c r="F251" s="3"/>
    </row>
    <row r="252">
      <c r="C252" s="12"/>
      <c r="D252" s="3"/>
      <c r="E252" s="366"/>
      <c r="F252" s="3"/>
    </row>
    <row r="253">
      <c r="C253" s="12"/>
      <c r="D253" s="3"/>
      <c r="E253" s="366"/>
      <c r="F253" s="3"/>
    </row>
    <row r="254">
      <c r="C254" s="12"/>
      <c r="D254" s="3"/>
      <c r="E254" s="366"/>
      <c r="F254" s="3"/>
    </row>
    <row r="255">
      <c r="C255" s="12"/>
      <c r="D255" s="3"/>
      <c r="E255" s="366"/>
      <c r="F255" s="3"/>
    </row>
    <row r="256">
      <c r="C256" s="12"/>
      <c r="D256" s="3"/>
      <c r="E256" s="366"/>
      <c r="F256" s="3"/>
    </row>
    <row r="257">
      <c r="C257" s="12"/>
      <c r="D257" s="3"/>
      <c r="E257" s="366"/>
      <c r="F257" s="3"/>
    </row>
    <row r="258">
      <c r="C258" s="12"/>
      <c r="D258" s="3"/>
      <c r="E258" s="366"/>
      <c r="F258" s="3"/>
    </row>
    <row r="259">
      <c r="C259" s="12"/>
      <c r="D259" s="3"/>
      <c r="E259" s="366"/>
      <c r="F259" s="3"/>
    </row>
    <row r="260">
      <c r="C260" s="12"/>
      <c r="D260" s="3"/>
      <c r="E260" s="366"/>
      <c r="F260" s="3"/>
    </row>
    <row r="261">
      <c r="C261" s="12"/>
      <c r="D261" s="3"/>
      <c r="E261" s="366"/>
      <c r="F261" s="3"/>
    </row>
    <row r="262">
      <c r="C262" s="12"/>
      <c r="D262" s="3"/>
      <c r="E262" s="366"/>
      <c r="F262" s="3"/>
    </row>
    <row r="263">
      <c r="C263" s="12"/>
      <c r="D263" s="3"/>
      <c r="E263" s="366"/>
      <c r="F263" s="3"/>
    </row>
    <row r="264">
      <c r="C264" s="12"/>
      <c r="D264" s="3"/>
      <c r="E264" s="366"/>
      <c r="F264" s="3"/>
    </row>
    <row r="265">
      <c r="C265" s="12"/>
      <c r="D265" s="3"/>
      <c r="E265" s="366"/>
      <c r="F265" s="3"/>
    </row>
    <row r="266">
      <c r="C266" s="12"/>
      <c r="D266" s="3"/>
      <c r="E266" s="366"/>
      <c r="F266" s="3"/>
    </row>
    <row r="267">
      <c r="C267" s="12"/>
      <c r="D267" s="3"/>
      <c r="E267" s="366"/>
      <c r="F267" s="3"/>
    </row>
    <row r="268">
      <c r="C268" s="12"/>
      <c r="D268" s="3"/>
      <c r="E268" s="366"/>
      <c r="F268" s="3"/>
    </row>
    <row r="269">
      <c r="C269" s="12"/>
      <c r="D269" s="3"/>
      <c r="E269" s="366"/>
      <c r="F269" s="3"/>
    </row>
    <row r="270">
      <c r="C270" s="12"/>
      <c r="D270" s="3"/>
      <c r="E270" s="366"/>
      <c r="F270" s="3"/>
    </row>
    <row r="271">
      <c r="C271" s="12"/>
      <c r="D271" s="3"/>
      <c r="E271" s="366"/>
      <c r="F271" s="3"/>
    </row>
    <row r="272">
      <c r="C272" s="12"/>
      <c r="D272" s="3"/>
      <c r="E272" s="366"/>
      <c r="F272" s="3"/>
    </row>
    <row r="273">
      <c r="C273" s="12"/>
      <c r="D273" s="3"/>
      <c r="E273" s="366"/>
      <c r="F273" s="3"/>
    </row>
    <row r="274">
      <c r="C274" s="12"/>
      <c r="D274" s="3"/>
      <c r="E274" s="366"/>
      <c r="F274" s="3"/>
    </row>
    <row r="275">
      <c r="C275" s="12"/>
      <c r="D275" s="3"/>
      <c r="E275" s="366"/>
      <c r="F275" s="3"/>
    </row>
    <row r="276">
      <c r="C276" s="12"/>
      <c r="D276" s="3"/>
      <c r="E276" s="366"/>
      <c r="F276" s="3"/>
    </row>
    <row r="277">
      <c r="C277" s="12"/>
      <c r="D277" s="3"/>
      <c r="E277" s="366"/>
      <c r="F277" s="3"/>
    </row>
    <row r="278">
      <c r="C278" s="12"/>
      <c r="D278" s="3"/>
      <c r="E278" s="366"/>
      <c r="F278" s="3"/>
    </row>
    <row r="279">
      <c r="C279" s="12"/>
      <c r="D279" s="3"/>
      <c r="E279" s="366"/>
      <c r="F279" s="3"/>
    </row>
    <row r="280">
      <c r="C280" s="12"/>
      <c r="D280" s="3"/>
      <c r="E280" s="366"/>
      <c r="F280" s="3"/>
    </row>
    <row r="281">
      <c r="C281" s="12"/>
      <c r="D281" s="3"/>
      <c r="E281" s="366"/>
      <c r="F281" s="3"/>
    </row>
    <row r="282">
      <c r="C282" s="12"/>
      <c r="D282" s="3"/>
      <c r="E282" s="366"/>
      <c r="F282" s="3"/>
    </row>
    <row r="283">
      <c r="C283" s="12"/>
      <c r="D283" s="3"/>
      <c r="E283" s="366"/>
      <c r="F283" s="3"/>
    </row>
    <row r="284">
      <c r="C284" s="12"/>
      <c r="D284" s="3"/>
      <c r="E284" s="366"/>
      <c r="F284" s="3"/>
    </row>
    <row r="285">
      <c r="C285" s="12"/>
      <c r="D285" s="3"/>
      <c r="E285" s="366"/>
      <c r="F285" s="3"/>
    </row>
    <row r="286">
      <c r="C286" s="12"/>
      <c r="D286" s="3"/>
      <c r="E286" s="366"/>
      <c r="F286" s="3"/>
    </row>
    <row r="287">
      <c r="C287" s="12"/>
      <c r="D287" s="3"/>
      <c r="E287" s="366"/>
      <c r="F287" s="3"/>
    </row>
    <row r="288">
      <c r="C288" s="12"/>
      <c r="D288" s="3"/>
      <c r="E288" s="366"/>
      <c r="F288" s="3"/>
    </row>
    <row r="289">
      <c r="C289" s="12"/>
      <c r="D289" s="3"/>
      <c r="E289" s="366"/>
      <c r="F289" s="3"/>
    </row>
    <row r="290">
      <c r="C290" s="12"/>
      <c r="D290" s="3"/>
      <c r="E290" s="366"/>
      <c r="F290" s="3"/>
    </row>
    <row r="291">
      <c r="C291" s="12"/>
      <c r="D291" s="3"/>
      <c r="E291" s="366"/>
      <c r="F291" s="3"/>
    </row>
    <row r="292">
      <c r="C292" s="12"/>
      <c r="D292" s="3"/>
      <c r="E292" s="366"/>
      <c r="F292" s="3"/>
    </row>
    <row r="293">
      <c r="C293" s="12"/>
      <c r="D293" s="3"/>
      <c r="E293" s="366"/>
      <c r="F293" s="3"/>
    </row>
    <row r="294">
      <c r="C294" s="12"/>
      <c r="D294" s="3"/>
      <c r="E294" s="366"/>
      <c r="F294" s="3"/>
    </row>
    <row r="295">
      <c r="C295" s="12"/>
      <c r="D295" s="3"/>
      <c r="E295" s="366"/>
      <c r="F295" s="3"/>
    </row>
    <row r="296">
      <c r="C296" s="12"/>
      <c r="D296" s="3"/>
      <c r="E296" s="366"/>
      <c r="F296" s="3"/>
    </row>
    <row r="297">
      <c r="C297" s="12"/>
      <c r="D297" s="3"/>
      <c r="E297" s="366"/>
      <c r="F297" s="3"/>
    </row>
    <row r="298">
      <c r="C298" s="12"/>
      <c r="D298" s="3"/>
      <c r="E298" s="366"/>
      <c r="F298" s="3"/>
    </row>
    <row r="299">
      <c r="C299" s="12"/>
      <c r="D299" s="3"/>
      <c r="E299" s="366"/>
      <c r="F299" s="3"/>
    </row>
    <row r="300">
      <c r="C300" s="12"/>
      <c r="D300" s="3"/>
      <c r="E300" s="366"/>
      <c r="F300" s="3"/>
    </row>
    <row r="301">
      <c r="C301" s="12"/>
      <c r="D301" s="3"/>
      <c r="E301" s="366"/>
      <c r="F301" s="3"/>
    </row>
    <row r="302">
      <c r="C302" s="12"/>
      <c r="D302" s="3"/>
      <c r="E302" s="366"/>
      <c r="F302" s="3"/>
    </row>
    <row r="303">
      <c r="C303" s="12"/>
      <c r="D303" s="3"/>
      <c r="E303" s="366"/>
      <c r="F303" s="3"/>
    </row>
    <row r="304">
      <c r="C304" s="12"/>
      <c r="D304" s="3"/>
      <c r="E304" s="366"/>
      <c r="F304" s="3"/>
    </row>
    <row r="305">
      <c r="C305" s="12"/>
      <c r="D305" s="3"/>
      <c r="E305" s="366"/>
      <c r="F305" s="3"/>
    </row>
    <row r="306">
      <c r="C306" s="12"/>
      <c r="D306" s="3"/>
      <c r="E306" s="366"/>
      <c r="F306" s="3"/>
    </row>
    <row r="307">
      <c r="C307" s="12"/>
      <c r="D307" s="3"/>
      <c r="E307" s="366"/>
      <c r="F307" s="3"/>
    </row>
    <row r="308">
      <c r="C308" s="12"/>
      <c r="D308" s="3"/>
      <c r="E308" s="366"/>
      <c r="F308" s="3"/>
    </row>
    <row r="309">
      <c r="C309" s="12"/>
      <c r="D309" s="3"/>
      <c r="E309" s="366"/>
      <c r="F309" s="3"/>
    </row>
    <row r="310">
      <c r="C310" s="12"/>
      <c r="D310" s="3"/>
      <c r="E310" s="366"/>
      <c r="F310" s="3"/>
    </row>
    <row r="311">
      <c r="C311" s="12"/>
      <c r="D311" s="3"/>
      <c r="E311" s="366"/>
      <c r="F311" s="3"/>
    </row>
    <row r="312">
      <c r="C312" s="12"/>
      <c r="D312" s="3"/>
      <c r="E312" s="366"/>
      <c r="F312" s="3"/>
    </row>
    <row r="313">
      <c r="C313" s="12"/>
      <c r="D313" s="3"/>
      <c r="E313" s="366"/>
      <c r="F313" s="3"/>
    </row>
    <row r="314">
      <c r="C314" s="12"/>
      <c r="D314" s="3"/>
      <c r="E314" s="366"/>
      <c r="F314" s="3"/>
    </row>
    <row r="315">
      <c r="C315" s="12"/>
      <c r="D315" s="3"/>
      <c r="E315" s="366"/>
      <c r="F315" s="3"/>
    </row>
    <row r="316">
      <c r="C316" s="12"/>
      <c r="D316" s="3"/>
      <c r="E316" s="366"/>
      <c r="F316" s="3"/>
    </row>
    <row r="317">
      <c r="C317" s="12"/>
      <c r="D317" s="3"/>
      <c r="E317" s="366"/>
      <c r="F317" s="3"/>
    </row>
    <row r="318">
      <c r="C318" s="12"/>
      <c r="D318" s="3"/>
      <c r="E318" s="366"/>
      <c r="F318" s="3"/>
    </row>
    <row r="319">
      <c r="C319" s="12"/>
      <c r="D319" s="3"/>
      <c r="E319" s="366"/>
      <c r="F319" s="3"/>
    </row>
    <row r="320">
      <c r="C320" s="12"/>
      <c r="D320" s="3"/>
      <c r="E320" s="366"/>
      <c r="F320" s="3"/>
    </row>
    <row r="321">
      <c r="C321" s="12"/>
      <c r="D321" s="3"/>
      <c r="E321" s="366"/>
      <c r="F321" s="3"/>
    </row>
    <row r="322">
      <c r="C322" s="12"/>
      <c r="D322" s="3"/>
      <c r="E322" s="366"/>
      <c r="F322" s="3"/>
    </row>
    <row r="323">
      <c r="C323" s="12"/>
      <c r="D323" s="3"/>
      <c r="E323" s="366"/>
      <c r="F323" s="3"/>
    </row>
    <row r="324">
      <c r="C324" s="12"/>
      <c r="D324" s="3"/>
      <c r="E324" s="366"/>
      <c r="F324" s="3"/>
    </row>
    <row r="325">
      <c r="C325" s="12"/>
      <c r="D325" s="3"/>
      <c r="E325" s="366"/>
      <c r="F325" s="3"/>
    </row>
    <row r="326">
      <c r="C326" s="12"/>
      <c r="D326" s="3"/>
      <c r="E326" s="366"/>
      <c r="F326" s="3"/>
    </row>
    <row r="327">
      <c r="C327" s="12"/>
      <c r="D327" s="3"/>
      <c r="E327" s="366"/>
      <c r="F327" s="3"/>
    </row>
    <row r="328">
      <c r="C328" s="12"/>
      <c r="D328" s="3"/>
      <c r="E328" s="366"/>
      <c r="F328" s="3"/>
    </row>
    <row r="329">
      <c r="C329" s="12"/>
      <c r="D329" s="3"/>
      <c r="E329" s="366"/>
      <c r="F329" s="3"/>
    </row>
    <row r="330">
      <c r="C330" s="12"/>
      <c r="D330" s="3"/>
      <c r="E330" s="366"/>
      <c r="F330" s="3"/>
    </row>
    <row r="331">
      <c r="C331" s="12"/>
      <c r="D331" s="3"/>
      <c r="E331" s="366"/>
      <c r="F331" s="3"/>
    </row>
    <row r="332">
      <c r="C332" s="12"/>
      <c r="D332" s="3"/>
      <c r="E332" s="366"/>
      <c r="F332" s="3"/>
    </row>
    <row r="333">
      <c r="C333" s="12"/>
      <c r="D333" s="3"/>
      <c r="E333" s="366"/>
      <c r="F333" s="3"/>
    </row>
    <row r="334">
      <c r="C334" s="12"/>
      <c r="D334" s="3"/>
      <c r="E334" s="366"/>
      <c r="F334" s="3"/>
    </row>
    <row r="335">
      <c r="C335" s="12"/>
      <c r="D335" s="3"/>
      <c r="E335" s="366"/>
      <c r="F335" s="3"/>
    </row>
    <row r="336">
      <c r="C336" s="12"/>
      <c r="D336" s="3"/>
      <c r="E336" s="366"/>
      <c r="F336" s="3"/>
    </row>
    <row r="337">
      <c r="C337" s="12"/>
      <c r="D337" s="3"/>
      <c r="E337" s="366"/>
      <c r="F337" s="3"/>
    </row>
    <row r="338">
      <c r="C338" s="12"/>
      <c r="D338" s="3"/>
      <c r="E338" s="366"/>
      <c r="F338" s="3"/>
    </row>
    <row r="339">
      <c r="C339" s="12"/>
      <c r="D339" s="3"/>
      <c r="E339" s="366"/>
      <c r="F339" s="3"/>
    </row>
    <row r="340">
      <c r="C340" s="12"/>
      <c r="D340" s="3"/>
      <c r="E340" s="366"/>
      <c r="F340" s="3"/>
    </row>
    <row r="341">
      <c r="C341" s="12"/>
      <c r="D341" s="3"/>
      <c r="E341" s="366"/>
      <c r="F341" s="3"/>
    </row>
    <row r="342">
      <c r="C342" s="12"/>
      <c r="D342" s="3"/>
      <c r="E342" s="366"/>
      <c r="F342" s="3"/>
    </row>
    <row r="343">
      <c r="C343" s="12"/>
      <c r="D343" s="3"/>
      <c r="E343" s="366"/>
      <c r="F343" s="3"/>
    </row>
    <row r="344">
      <c r="C344" s="12"/>
      <c r="D344" s="3"/>
      <c r="E344" s="366"/>
      <c r="F344" s="3"/>
    </row>
    <row r="345">
      <c r="C345" s="12"/>
      <c r="D345" s="3"/>
      <c r="E345" s="366"/>
      <c r="F345" s="3"/>
    </row>
    <row r="346">
      <c r="C346" s="12"/>
      <c r="D346" s="3"/>
      <c r="E346" s="366"/>
      <c r="F346" s="3"/>
    </row>
    <row r="347">
      <c r="C347" s="12"/>
      <c r="D347" s="3"/>
      <c r="E347" s="366"/>
      <c r="F347" s="3"/>
    </row>
    <row r="348">
      <c r="C348" s="12"/>
      <c r="D348" s="3"/>
      <c r="E348" s="366"/>
      <c r="F348" s="3"/>
    </row>
    <row r="349">
      <c r="C349" s="12"/>
      <c r="D349" s="3"/>
      <c r="E349" s="366"/>
      <c r="F349" s="3"/>
    </row>
    <row r="350">
      <c r="C350" s="12"/>
      <c r="D350" s="3"/>
      <c r="E350" s="366"/>
      <c r="F350" s="3"/>
    </row>
    <row r="351">
      <c r="C351" s="12"/>
      <c r="D351" s="3"/>
      <c r="E351" s="366"/>
      <c r="F351" s="3"/>
    </row>
    <row r="352">
      <c r="C352" s="12"/>
      <c r="D352" s="3"/>
      <c r="E352" s="366"/>
      <c r="F352" s="3"/>
    </row>
    <row r="353">
      <c r="C353" s="12"/>
      <c r="D353" s="3"/>
      <c r="E353" s="366"/>
      <c r="F353" s="3"/>
    </row>
    <row r="354">
      <c r="C354" s="12"/>
      <c r="D354" s="3"/>
      <c r="E354" s="366"/>
      <c r="F354" s="3"/>
    </row>
    <row r="355">
      <c r="C355" s="12"/>
      <c r="D355" s="3"/>
      <c r="E355" s="366"/>
      <c r="F355" s="3"/>
    </row>
    <row r="356">
      <c r="C356" s="12"/>
      <c r="D356" s="3"/>
      <c r="E356" s="366"/>
      <c r="F356" s="3"/>
    </row>
    <row r="357">
      <c r="C357" s="12"/>
      <c r="D357" s="3"/>
      <c r="E357" s="366"/>
      <c r="F357" s="3"/>
    </row>
    <row r="358">
      <c r="C358" s="12"/>
      <c r="D358" s="3"/>
      <c r="E358" s="366"/>
      <c r="F358" s="3"/>
    </row>
    <row r="359">
      <c r="C359" s="12"/>
      <c r="D359" s="3"/>
      <c r="E359" s="366"/>
      <c r="F359" s="3"/>
    </row>
    <row r="360">
      <c r="C360" s="12"/>
      <c r="D360" s="3"/>
      <c r="E360" s="366"/>
      <c r="F360" s="3"/>
    </row>
    <row r="361">
      <c r="C361" s="12"/>
      <c r="D361" s="3"/>
      <c r="E361" s="366"/>
      <c r="F361" s="3"/>
    </row>
    <row r="362">
      <c r="C362" s="12"/>
      <c r="D362" s="3"/>
      <c r="E362" s="366"/>
      <c r="F362" s="3"/>
    </row>
    <row r="363">
      <c r="C363" s="12"/>
      <c r="D363" s="3"/>
      <c r="E363" s="366"/>
      <c r="F363" s="3"/>
    </row>
    <row r="364">
      <c r="C364" s="12"/>
      <c r="D364" s="3"/>
      <c r="E364" s="366"/>
      <c r="F364" s="3"/>
    </row>
    <row r="365">
      <c r="C365" s="12"/>
      <c r="D365" s="3"/>
      <c r="E365" s="366"/>
      <c r="F365" s="3"/>
    </row>
    <row r="366">
      <c r="C366" s="12"/>
      <c r="D366" s="3"/>
      <c r="E366" s="366"/>
      <c r="F366" s="3"/>
    </row>
    <row r="367">
      <c r="C367" s="12"/>
      <c r="D367" s="3"/>
      <c r="E367" s="366"/>
      <c r="F367" s="3"/>
    </row>
    <row r="368">
      <c r="C368" s="12"/>
      <c r="D368" s="3"/>
      <c r="E368" s="366"/>
      <c r="F368" s="3"/>
    </row>
    <row r="369">
      <c r="C369" s="12"/>
      <c r="D369" s="3"/>
      <c r="E369" s="366"/>
      <c r="F369" s="3"/>
    </row>
    <row r="370">
      <c r="C370" s="12"/>
      <c r="D370" s="3"/>
      <c r="E370" s="366"/>
      <c r="F370" s="3"/>
    </row>
    <row r="371">
      <c r="C371" s="12"/>
      <c r="D371" s="3"/>
      <c r="E371" s="366"/>
      <c r="F371" s="3"/>
    </row>
    <row r="372">
      <c r="C372" s="12"/>
      <c r="D372" s="3"/>
      <c r="E372" s="366"/>
      <c r="F372" s="3"/>
    </row>
    <row r="373">
      <c r="C373" s="12"/>
      <c r="D373" s="3"/>
      <c r="E373" s="366"/>
      <c r="F373" s="3"/>
    </row>
    <row r="374">
      <c r="C374" s="12"/>
      <c r="D374" s="3"/>
      <c r="E374" s="366"/>
      <c r="F374" s="3"/>
    </row>
    <row r="375">
      <c r="C375" s="12"/>
      <c r="D375" s="3"/>
      <c r="E375" s="366"/>
      <c r="F375" s="3"/>
    </row>
    <row r="376">
      <c r="C376" s="12"/>
      <c r="D376" s="3"/>
      <c r="E376" s="366"/>
      <c r="F376" s="3"/>
    </row>
    <row r="377">
      <c r="C377" s="12"/>
      <c r="D377" s="3"/>
      <c r="E377" s="366"/>
      <c r="F377" s="3"/>
    </row>
    <row r="378">
      <c r="C378" s="12"/>
      <c r="D378" s="3"/>
      <c r="E378" s="366"/>
      <c r="F378" s="3"/>
    </row>
    <row r="379">
      <c r="C379" s="12"/>
      <c r="D379" s="3"/>
      <c r="E379" s="366"/>
      <c r="F379" s="3"/>
    </row>
    <row r="380">
      <c r="C380" s="12"/>
      <c r="D380" s="3"/>
      <c r="E380" s="366"/>
      <c r="F380" s="3"/>
    </row>
    <row r="381">
      <c r="C381" s="12"/>
      <c r="D381" s="3"/>
      <c r="E381" s="366"/>
      <c r="F381" s="3"/>
    </row>
    <row r="382">
      <c r="C382" s="12"/>
      <c r="D382" s="3"/>
      <c r="E382" s="366"/>
      <c r="F382" s="3"/>
    </row>
    <row r="383">
      <c r="C383" s="12"/>
      <c r="D383" s="3"/>
      <c r="E383" s="366"/>
      <c r="F383" s="3"/>
    </row>
    <row r="384">
      <c r="C384" s="12"/>
      <c r="D384" s="3"/>
      <c r="E384" s="366"/>
      <c r="F384" s="3"/>
    </row>
    <row r="385">
      <c r="C385" s="12"/>
      <c r="D385" s="3"/>
      <c r="E385" s="366"/>
      <c r="F385" s="3"/>
    </row>
    <row r="386">
      <c r="C386" s="12"/>
      <c r="D386" s="3"/>
      <c r="E386" s="366"/>
      <c r="F386" s="3"/>
    </row>
    <row r="387">
      <c r="C387" s="12"/>
      <c r="D387" s="3"/>
      <c r="E387" s="366"/>
      <c r="F387" s="3"/>
    </row>
    <row r="388">
      <c r="C388" s="12"/>
      <c r="D388" s="3"/>
      <c r="E388" s="366"/>
      <c r="F388" s="3"/>
    </row>
    <row r="389">
      <c r="C389" s="12"/>
      <c r="D389" s="3"/>
      <c r="E389" s="366"/>
      <c r="F389" s="3"/>
    </row>
    <row r="390">
      <c r="C390" s="12"/>
      <c r="D390" s="3"/>
      <c r="E390" s="366"/>
      <c r="F390" s="3"/>
    </row>
    <row r="391">
      <c r="C391" s="12"/>
      <c r="D391" s="3"/>
      <c r="E391" s="366"/>
      <c r="F391" s="3"/>
    </row>
    <row r="392">
      <c r="C392" s="12"/>
      <c r="D392" s="3"/>
      <c r="E392" s="366"/>
      <c r="F392" s="3"/>
    </row>
    <row r="393">
      <c r="C393" s="12"/>
      <c r="D393" s="3"/>
      <c r="E393" s="366"/>
      <c r="F393" s="3"/>
    </row>
    <row r="394">
      <c r="C394" s="12"/>
      <c r="D394" s="3"/>
      <c r="E394" s="366"/>
      <c r="F394" s="3"/>
    </row>
    <row r="395">
      <c r="C395" s="12"/>
      <c r="D395" s="3"/>
      <c r="E395" s="366"/>
      <c r="F395" s="3"/>
    </row>
    <row r="396">
      <c r="C396" s="12"/>
      <c r="D396" s="3"/>
      <c r="E396" s="366"/>
      <c r="F396" s="3"/>
    </row>
    <row r="397">
      <c r="C397" s="12"/>
      <c r="D397" s="3"/>
      <c r="E397" s="366"/>
      <c r="F397" s="3"/>
    </row>
    <row r="398">
      <c r="C398" s="12"/>
      <c r="D398" s="3"/>
      <c r="E398" s="366"/>
      <c r="F398" s="3"/>
    </row>
    <row r="399">
      <c r="C399" s="12"/>
      <c r="D399" s="3"/>
      <c r="E399" s="366"/>
      <c r="F399" s="3"/>
    </row>
    <row r="400">
      <c r="C400" s="12"/>
      <c r="D400" s="3"/>
      <c r="E400" s="366"/>
      <c r="F400" s="3"/>
    </row>
    <row r="401">
      <c r="C401" s="12"/>
      <c r="D401" s="3"/>
      <c r="E401" s="366"/>
      <c r="F401" s="3"/>
    </row>
    <row r="402">
      <c r="C402" s="12"/>
      <c r="D402" s="3"/>
      <c r="E402" s="366"/>
      <c r="F402" s="3"/>
    </row>
    <row r="403">
      <c r="C403" s="12"/>
      <c r="D403" s="3"/>
      <c r="E403" s="366"/>
      <c r="F403" s="3"/>
    </row>
    <row r="404">
      <c r="C404" s="12"/>
      <c r="D404" s="3"/>
      <c r="E404" s="366"/>
      <c r="F404" s="3"/>
    </row>
    <row r="405">
      <c r="C405" s="12"/>
      <c r="D405" s="3"/>
      <c r="E405" s="366"/>
      <c r="F405" s="3"/>
    </row>
    <row r="406">
      <c r="C406" s="12"/>
      <c r="D406" s="3"/>
      <c r="E406" s="366"/>
      <c r="F406" s="3"/>
    </row>
    <row r="407">
      <c r="C407" s="12"/>
      <c r="D407" s="3"/>
      <c r="E407" s="366"/>
      <c r="F407" s="3"/>
    </row>
    <row r="408">
      <c r="C408" s="12"/>
      <c r="D408" s="3"/>
      <c r="E408" s="366"/>
      <c r="F408" s="3"/>
    </row>
    <row r="409">
      <c r="C409" s="12"/>
      <c r="D409" s="3"/>
      <c r="E409" s="366"/>
      <c r="F409" s="3"/>
    </row>
    <row r="410">
      <c r="C410" s="12"/>
      <c r="D410" s="3"/>
      <c r="E410" s="366"/>
      <c r="F410" s="3"/>
    </row>
    <row r="411">
      <c r="C411" s="12"/>
      <c r="D411" s="3"/>
      <c r="E411" s="366"/>
      <c r="F411" s="3"/>
    </row>
    <row r="412">
      <c r="C412" s="12"/>
      <c r="D412" s="3"/>
      <c r="E412" s="366"/>
      <c r="F412" s="3"/>
    </row>
    <row r="413">
      <c r="C413" s="12"/>
      <c r="D413" s="3"/>
      <c r="E413" s="366"/>
      <c r="F413" s="3"/>
    </row>
    <row r="414">
      <c r="C414" s="12"/>
      <c r="D414" s="3"/>
      <c r="E414" s="366"/>
      <c r="F414" s="3"/>
    </row>
    <row r="415">
      <c r="C415" s="12"/>
      <c r="D415" s="3"/>
      <c r="E415" s="366"/>
      <c r="F415" s="3"/>
    </row>
    <row r="416">
      <c r="C416" s="12"/>
      <c r="D416" s="3"/>
      <c r="E416" s="366"/>
      <c r="F416" s="3"/>
    </row>
    <row r="417">
      <c r="C417" s="12"/>
      <c r="D417" s="3"/>
      <c r="E417" s="366"/>
      <c r="F417" s="3"/>
    </row>
    <row r="418">
      <c r="C418" s="12"/>
      <c r="D418" s="3"/>
      <c r="E418" s="366"/>
      <c r="F418" s="3"/>
    </row>
    <row r="419">
      <c r="C419" s="12"/>
      <c r="D419" s="3"/>
      <c r="E419" s="366"/>
      <c r="F419" s="3"/>
    </row>
    <row r="420">
      <c r="C420" s="12"/>
      <c r="D420" s="3"/>
      <c r="E420" s="366"/>
      <c r="F420" s="3"/>
    </row>
    <row r="421">
      <c r="C421" s="12"/>
      <c r="D421" s="3"/>
      <c r="E421" s="366"/>
      <c r="F421" s="3"/>
    </row>
    <row r="422">
      <c r="C422" s="12"/>
      <c r="D422" s="3"/>
      <c r="E422" s="366"/>
      <c r="F422" s="3"/>
    </row>
    <row r="423">
      <c r="C423" s="12"/>
      <c r="D423" s="3"/>
      <c r="E423" s="366"/>
      <c r="F423" s="3"/>
    </row>
    <row r="424">
      <c r="C424" s="12"/>
      <c r="D424" s="3"/>
      <c r="E424" s="366"/>
      <c r="F424" s="3"/>
    </row>
    <row r="425">
      <c r="C425" s="12"/>
      <c r="D425" s="3"/>
      <c r="E425" s="366"/>
      <c r="F425" s="3"/>
    </row>
    <row r="426">
      <c r="C426" s="12"/>
      <c r="D426" s="3"/>
      <c r="E426" s="366"/>
      <c r="F426" s="3"/>
    </row>
    <row r="427">
      <c r="C427" s="12"/>
      <c r="D427" s="3"/>
      <c r="E427" s="366"/>
      <c r="F427" s="3"/>
    </row>
    <row r="428">
      <c r="C428" s="12"/>
      <c r="D428" s="3"/>
      <c r="E428" s="366"/>
      <c r="F428" s="3"/>
    </row>
    <row r="429">
      <c r="C429" s="12"/>
      <c r="D429" s="3"/>
      <c r="E429" s="366"/>
      <c r="F429" s="3"/>
    </row>
    <row r="430">
      <c r="C430" s="12"/>
      <c r="D430" s="3"/>
      <c r="E430" s="366"/>
      <c r="F430" s="3"/>
    </row>
    <row r="431">
      <c r="C431" s="12"/>
      <c r="D431" s="3"/>
      <c r="E431" s="366"/>
      <c r="F431" s="3"/>
    </row>
    <row r="432">
      <c r="C432" s="12"/>
      <c r="D432" s="3"/>
      <c r="E432" s="366"/>
      <c r="F432" s="3"/>
    </row>
    <row r="433">
      <c r="C433" s="12"/>
      <c r="D433" s="3"/>
      <c r="E433" s="366"/>
      <c r="F433" s="3"/>
    </row>
    <row r="434">
      <c r="C434" s="12"/>
      <c r="D434" s="3"/>
      <c r="E434" s="366"/>
      <c r="F434" s="3"/>
    </row>
    <row r="435">
      <c r="C435" s="12"/>
      <c r="D435" s="3"/>
      <c r="E435" s="366"/>
      <c r="F435" s="3"/>
    </row>
    <row r="436">
      <c r="C436" s="12"/>
      <c r="D436" s="3"/>
      <c r="E436" s="366"/>
      <c r="F436" s="3"/>
    </row>
    <row r="437">
      <c r="C437" s="12"/>
      <c r="D437" s="3"/>
      <c r="E437" s="366"/>
      <c r="F437" s="3"/>
    </row>
    <row r="438">
      <c r="C438" s="12"/>
      <c r="D438" s="3"/>
      <c r="E438" s="366"/>
      <c r="F438" s="3"/>
    </row>
    <row r="439">
      <c r="C439" s="12"/>
      <c r="D439" s="3"/>
      <c r="E439" s="366"/>
      <c r="F439" s="3"/>
    </row>
    <row r="440">
      <c r="C440" s="12"/>
      <c r="D440" s="3"/>
      <c r="E440" s="366"/>
      <c r="F440" s="3"/>
    </row>
    <row r="441">
      <c r="C441" s="12"/>
      <c r="D441" s="3"/>
      <c r="E441" s="366"/>
      <c r="F441" s="3"/>
    </row>
    <row r="442">
      <c r="C442" s="12"/>
      <c r="D442" s="3"/>
      <c r="E442" s="366"/>
      <c r="F442" s="3"/>
    </row>
    <row r="443">
      <c r="C443" s="12"/>
      <c r="D443" s="3"/>
      <c r="E443" s="366"/>
      <c r="F443" s="3"/>
    </row>
    <row r="444">
      <c r="C444" s="12"/>
      <c r="D444" s="3"/>
      <c r="E444" s="366"/>
      <c r="F444" s="3"/>
    </row>
    <row r="445">
      <c r="C445" s="12"/>
      <c r="D445" s="3"/>
      <c r="E445" s="366"/>
      <c r="F445" s="3"/>
    </row>
    <row r="446">
      <c r="C446" s="12"/>
      <c r="D446" s="3"/>
      <c r="E446" s="366"/>
      <c r="F446" s="3"/>
    </row>
    <row r="447">
      <c r="C447" s="12"/>
      <c r="D447" s="3"/>
      <c r="E447" s="366"/>
      <c r="F447" s="3"/>
    </row>
    <row r="448">
      <c r="C448" s="12"/>
      <c r="D448" s="3"/>
      <c r="E448" s="366"/>
      <c r="F448" s="3"/>
    </row>
    <row r="449">
      <c r="C449" s="12"/>
      <c r="D449" s="3"/>
      <c r="E449" s="366"/>
      <c r="F449" s="3"/>
    </row>
    <row r="450">
      <c r="C450" s="12"/>
      <c r="D450" s="3"/>
      <c r="E450" s="366"/>
      <c r="F450" s="3"/>
    </row>
    <row r="451">
      <c r="C451" s="12"/>
      <c r="D451" s="3"/>
      <c r="E451" s="366"/>
      <c r="F451" s="3"/>
    </row>
    <row r="452">
      <c r="C452" s="12"/>
      <c r="D452" s="3"/>
      <c r="E452" s="366"/>
      <c r="F452" s="3"/>
    </row>
    <row r="453">
      <c r="C453" s="12"/>
      <c r="D453" s="3"/>
      <c r="E453" s="366"/>
      <c r="F453" s="3"/>
    </row>
    <row r="454">
      <c r="C454" s="12"/>
      <c r="D454" s="3"/>
      <c r="E454" s="366"/>
      <c r="F454" s="3"/>
    </row>
    <row r="455">
      <c r="C455" s="12"/>
      <c r="D455" s="3"/>
      <c r="E455" s="366"/>
      <c r="F455" s="3"/>
    </row>
    <row r="456">
      <c r="C456" s="12"/>
      <c r="D456" s="3"/>
      <c r="E456" s="366"/>
      <c r="F456" s="3"/>
    </row>
    <row r="457">
      <c r="C457" s="12"/>
      <c r="D457" s="3"/>
      <c r="E457" s="366"/>
      <c r="F457" s="3"/>
    </row>
    <row r="458">
      <c r="C458" s="12"/>
      <c r="D458" s="3"/>
      <c r="E458" s="366"/>
      <c r="F458" s="3"/>
    </row>
    <row r="459">
      <c r="C459" s="12"/>
      <c r="D459" s="3"/>
      <c r="E459" s="366"/>
      <c r="F459" s="3"/>
    </row>
    <row r="460">
      <c r="C460" s="12"/>
      <c r="D460" s="3"/>
      <c r="E460" s="366"/>
      <c r="F460" s="3"/>
    </row>
    <row r="461">
      <c r="C461" s="12"/>
      <c r="D461" s="3"/>
      <c r="E461" s="366"/>
      <c r="F461" s="3"/>
    </row>
    <row r="462">
      <c r="C462" s="12"/>
      <c r="D462" s="3"/>
      <c r="E462" s="366"/>
      <c r="F462" s="3"/>
    </row>
    <row r="463">
      <c r="C463" s="12"/>
      <c r="D463" s="3"/>
      <c r="E463" s="366"/>
      <c r="F463" s="3"/>
    </row>
    <row r="464">
      <c r="C464" s="12"/>
      <c r="D464" s="3"/>
      <c r="E464" s="366"/>
      <c r="F464" s="3"/>
    </row>
    <row r="465">
      <c r="C465" s="12"/>
      <c r="D465" s="3"/>
      <c r="E465" s="366"/>
      <c r="F465" s="3"/>
    </row>
    <row r="466">
      <c r="C466" s="12"/>
      <c r="D466" s="3"/>
      <c r="E466" s="366"/>
      <c r="F466" s="3"/>
    </row>
    <row r="467">
      <c r="C467" s="12"/>
      <c r="D467" s="3"/>
      <c r="E467" s="366"/>
      <c r="F467" s="3"/>
    </row>
    <row r="468">
      <c r="C468" s="12"/>
      <c r="D468" s="3"/>
      <c r="E468" s="366"/>
      <c r="F468" s="3"/>
    </row>
    <row r="469">
      <c r="C469" s="12"/>
      <c r="D469" s="3"/>
      <c r="E469" s="366"/>
      <c r="F469" s="3"/>
    </row>
    <row r="470">
      <c r="C470" s="12"/>
      <c r="D470" s="3"/>
      <c r="E470" s="366"/>
      <c r="F470" s="3"/>
    </row>
    <row r="471">
      <c r="C471" s="12"/>
      <c r="D471" s="3"/>
      <c r="E471" s="366"/>
      <c r="F471" s="3"/>
    </row>
    <row r="472">
      <c r="C472" s="12"/>
      <c r="D472" s="3"/>
      <c r="E472" s="366"/>
      <c r="F472" s="3"/>
    </row>
    <row r="473">
      <c r="C473" s="12"/>
      <c r="D473" s="3"/>
      <c r="E473" s="366"/>
      <c r="F473" s="3"/>
    </row>
    <row r="474">
      <c r="C474" s="12"/>
      <c r="D474" s="3"/>
      <c r="E474" s="366"/>
      <c r="F474" s="3"/>
    </row>
    <row r="475">
      <c r="C475" s="12"/>
      <c r="D475" s="3"/>
      <c r="E475" s="366"/>
      <c r="F475" s="3"/>
    </row>
    <row r="476">
      <c r="C476" s="12"/>
      <c r="D476" s="3"/>
      <c r="E476" s="366"/>
      <c r="F476" s="3"/>
    </row>
    <row r="477">
      <c r="C477" s="12"/>
      <c r="D477" s="3"/>
      <c r="E477" s="366"/>
      <c r="F477" s="3"/>
    </row>
    <row r="478">
      <c r="C478" s="12"/>
      <c r="D478" s="3"/>
      <c r="E478" s="366"/>
      <c r="F478" s="3"/>
    </row>
    <row r="479">
      <c r="C479" s="12"/>
      <c r="D479" s="3"/>
      <c r="E479" s="366"/>
      <c r="F479" s="3"/>
    </row>
    <row r="480">
      <c r="C480" s="12"/>
      <c r="D480" s="3"/>
      <c r="E480" s="366"/>
      <c r="F480" s="3"/>
    </row>
    <row r="481">
      <c r="C481" s="12"/>
      <c r="D481" s="3"/>
      <c r="E481" s="366"/>
      <c r="F481" s="3"/>
    </row>
    <row r="482">
      <c r="C482" s="12"/>
      <c r="D482" s="3"/>
      <c r="E482" s="366"/>
      <c r="F482" s="3"/>
    </row>
    <row r="483">
      <c r="C483" s="12"/>
      <c r="D483" s="3"/>
      <c r="E483" s="366"/>
      <c r="F483" s="3"/>
    </row>
    <row r="484">
      <c r="C484" s="12"/>
      <c r="D484" s="3"/>
      <c r="E484" s="366"/>
      <c r="F484" s="3"/>
    </row>
    <row r="485">
      <c r="C485" s="12"/>
      <c r="D485" s="3"/>
      <c r="E485" s="366"/>
      <c r="F485" s="3"/>
    </row>
    <row r="486">
      <c r="C486" s="12"/>
      <c r="D486" s="3"/>
      <c r="E486" s="366"/>
      <c r="F486" s="3"/>
    </row>
    <row r="487">
      <c r="C487" s="12"/>
      <c r="D487" s="3"/>
      <c r="E487" s="366"/>
      <c r="F487" s="3"/>
    </row>
    <row r="488">
      <c r="C488" s="12"/>
      <c r="D488" s="3"/>
      <c r="E488" s="366"/>
      <c r="F488" s="3"/>
    </row>
    <row r="489">
      <c r="C489" s="12"/>
      <c r="D489" s="3"/>
      <c r="E489" s="366"/>
      <c r="F489" s="3"/>
    </row>
    <row r="490">
      <c r="C490" s="12"/>
      <c r="D490" s="3"/>
      <c r="E490" s="366"/>
      <c r="F490" s="3"/>
    </row>
    <row r="491">
      <c r="C491" s="12"/>
      <c r="D491" s="3"/>
      <c r="E491" s="366"/>
      <c r="F491" s="3"/>
    </row>
    <row r="492">
      <c r="C492" s="12"/>
      <c r="D492" s="3"/>
      <c r="E492" s="366"/>
      <c r="F492" s="3"/>
    </row>
    <row r="493">
      <c r="C493" s="12"/>
      <c r="D493" s="3"/>
      <c r="E493" s="366"/>
      <c r="F493" s="3"/>
    </row>
    <row r="494">
      <c r="C494" s="12"/>
      <c r="D494" s="3"/>
      <c r="E494" s="366"/>
      <c r="F494" s="3"/>
    </row>
    <row r="495">
      <c r="C495" s="12"/>
      <c r="D495" s="3"/>
      <c r="E495" s="366"/>
      <c r="F495" s="3"/>
    </row>
    <row r="496">
      <c r="C496" s="12"/>
      <c r="D496" s="3"/>
      <c r="E496" s="366"/>
      <c r="F496" s="3"/>
    </row>
    <row r="497">
      <c r="C497" s="12"/>
      <c r="D497" s="3"/>
      <c r="E497" s="366"/>
      <c r="F497" s="3"/>
    </row>
    <row r="498">
      <c r="C498" s="12"/>
      <c r="D498" s="3"/>
      <c r="E498" s="366"/>
      <c r="F498" s="3"/>
    </row>
    <row r="499">
      <c r="C499" s="12"/>
      <c r="D499" s="3"/>
      <c r="E499" s="366"/>
      <c r="F499" s="3"/>
    </row>
    <row r="500">
      <c r="C500" s="12"/>
      <c r="D500" s="3"/>
      <c r="E500" s="366"/>
      <c r="F500" s="3"/>
    </row>
    <row r="501">
      <c r="C501" s="12"/>
      <c r="D501" s="3"/>
      <c r="E501" s="366"/>
      <c r="F501" s="3"/>
    </row>
    <row r="502">
      <c r="C502" s="12"/>
      <c r="D502" s="3"/>
      <c r="E502" s="366"/>
      <c r="F502" s="3"/>
    </row>
    <row r="503">
      <c r="C503" s="12"/>
      <c r="D503" s="3"/>
      <c r="E503" s="366"/>
      <c r="F503" s="3"/>
    </row>
    <row r="504">
      <c r="C504" s="12"/>
      <c r="D504" s="3"/>
      <c r="E504" s="366"/>
      <c r="F504" s="3"/>
    </row>
    <row r="505">
      <c r="C505" s="12"/>
      <c r="D505" s="3"/>
      <c r="E505" s="366"/>
      <c r="F505" s="3"/>
    </row>
    <row r="506">
      <c r="C506" s="12"/>
      <c r="D506" s="3"/>
      <c r="E506" s="366"/>
      <c r="F506" s="3"/>
    </row>
    <row r="507">
      <c r="C507" s="12"/>
      <c r="D507" s="3"/>
      <c r="E507" s="366"/>
      <c r="F507" s="3"/>
    </row>
    <row r="508">
      <c r="C508" s="12"/>
      <c r="D508" s="3"/>
      <c r="E508" s="366"/>
      <c r="F508" s="3"/>
    </row>
    <row r="509">
      <c r="C509" s="12"/>
      <c r="D509" s="3"/>
      <c r="E509" s="366"/>
      <c r="F509" s="3"/>
    </row>
    <row r="510">
      <c r="C510" s="12"/>
      <c r="D510" s="3"/>
      <c r="E510" s="366"/>
      <c r="F510" s="3"/>
    </row>
    <row r="511">
      <c r="C511" s="12"/>
      <c r="D511" s="3"/>
      <c r="E511" s="366"/>
      <c r="F511" s="3"/>
    </row>
    <row r="512">
      <c r="C512" s="12"/>
      <c r="D512" s="3"/>
      <c r="E512" s="366"/>
      <c r="F512" s="3"/>
    </row>
    <row r="513">
      <c r="C513" s="12"/>
      <c r="D513" s="3"/>
      <c r="E513" s="366"/>
      <c r="F513" s="3"/>
    </row>
    <row r="514">
      <c r="C514" s="12"/>
      <c r="D514" s="3"/>
      <c r="E514" s="366"/>
      <c r="F514" s="3"/>
    </row>
    <row r="515">
      <c r="C515" s="12"/>
      <c r="D515" s="3"/>
      <c r="E515" s="366"/>
      <c r="F515" s="3"/>
    </row>
    <row r="516">
      <c r="C516" s="12"/>
      <c r="D516" s="3"/>
      <c r="E516" s="366"/>
      <c r="F516" s="3"/>
    </row>
    <row r="517">
      <c r="C517" s="12"/>
      <c r="D517" s="3"/>
      <c r="E517" s="366"/>
      <c r="F517" s="3"/>
    </row>
    <row r="518">
      <c r="C518" s="12"/>
      <c r="D518" s="3"/>
      <c r="E518" s="366"/>
      <c r="F518" s="3"/>
    </row>
    <row r="519">
      <c r="C519" s="12"/>
      <c r="D519" s="3"/>
      <c r="E519" s="366"/>
      <c r="F519" s="3"/>
    </row>
    <row r="520">
      <c r="C520" s="12"/>
      <c r="D520" s="3"/>
      <c r="E520" s="366"/>
      <c r="F520" s="3"/>
    </row>
    <row r="521">
      <c r="C521" s="12"/>
      <c r="D521" s="3"/>
      <c r="E521" s="366"/>
      <c r="F521" s="3"/>
    </row>
    <row r="522">
      <c r="C522" s="12"/>
      <c r="D522" s="3"/>
      <c r="E522" s="366"/>
      <c r="F522" s="3"/>
    </row>
    <row r="523">
      <c r="C523" s="12"/>
      <c r="D523" s="3"/>
      <c r="E523" s="366"/>
      <c r="F523" s="3"/>
    </row>
    <row r="524">
      <c r="C524" s="12"/>
      <c r="D524" s="3"/>
      <c r="E524" s="366"/>
      <c r="F524" s="3"/>
    </row>
    <row r="525">
      <c r="C525" s="12"/>
      <c r="D525" s="3"/>
      <c r="E525" s="366"/>
      <c r="F525" s="3"/>
    </row>
    <row r="526">
      <c r="C526" s="12"/>
      <c r="D526" s="3"/>
      <c r="E526" s="366"/>
      <c r="F526" s="3"/>
    </row>
    <row r="527">
      <c r="C527" s="12"/>
      <c r="D527" s="3"/>
      <c r="E527" s="366"/>
      <c r="F527" s="3"/>
    </row>
    <row r="528">
      <c r="C528" s="12"/>
      <c r="D528" s="3"/>
      <c r="E528" s="366"/>
      <c r="F528" s="3"/>
    </row>
    <row r="529">
      <c r="C529" s="12"/>
      <c r="D529" s="3"/>
      <c r="E529" s="366"/>
      <c r="F529" s="3"/>
    </row>
    <row r="530">
      <c r="C530" s="12"/>
      <c r="D530" s="3"/>
      <c r="E530" s="366"/>
      <c r="F530" s="3"/>
    </row>
    <row r="531">
      <c r="C531" s="12"/>
      <c r="D531" s="3"/>
      <c r="E531" s="366"/>
      <c r="F531" s="3"/>
    </row>
    <row r="532">
      <c r="C532" s="12"/>
      <c r="D532" s="3"/>
      <c r="E532" s="366"/>
      <c r="F532" s="3"/>
    </row>
    <row r="533">
      <c r="C533" s="12"/>
      <c r="D533" s="3"/>
      <c r="E533" s="366"/>
      <c r="F533" s="3"/>
    </row>
    <row r="534">
      <c r="C534" s="12"/>
      <c r="D534" s="3"/>
      <c r="E534" s="366"/>
      <c r="F534" s="3"/>
    </row>
    <row r="535">
      <c r="C535" s="12"/>
      <c r="D535" s="3"/>
      <c r="E535" s="366"/>
      <c r="F535" s="3"/>
    </row>
    <row r="536">
      <c r="C536" s="12"/>
      <c r="D536" s="3"/>
      <c r="E536" s="366"/>
      <c r="F536" s="3"/>
    </row>
    <row r="537">
      <c r="C537" s="12"/>
      <c r="D537" s="3"/>
      <c r="E537" s="366"/>
      <c r="F537" s="3"/>
    </row>
    <row r="538">
      <c r="C538" s="12"/>
      <c r="D538" s="3"/>
      <c r="E538" s="366"/>
      <c r="F538" s="3"/>
    </row>
    <row r="539">
      <c r="C539" s="12"/>
      <c r="D539" s="3"/>
      <c r="E539" s="366"/>
      <c r="F539" s="3"/>
    </row>
    <row r="540">
      <c r="C540" s="12"/>
      <c r="D540" s="3"/>
      <c r="E540" s="366"/>
      <c r="F540" s="3"/>
    </row>
    <row r="541">
      <c r="C541" s="12"/>
      <c r="D541" s="3"/>
      <c r="E541" s="366"/>
      <c r="F541" s="3"/>
    </row>
    <row r="542">
      <c r="C542" s="12"/>
      <c r="D542" s="3"/>
      <c r="E542" s="366"/>
      <c r="F542" s="3"/>
    </row>
    <row r="543">
      <c r="C543" s="12"/>
      <c r="D543" s="3"/>
      <c r="E543" s="366"/>
      <c r="F543" s="3"/>
    </row>
    <row r="544">
      <c r="C544" s="12"/>
      <c r="D544" s="3"/>
      <c r="E544" s="366"/>
      <c r="F544" s="3"/>
    </row>
    <row r="545">
      <c r="C545" s="12"/>
      <c r="D545" s="3"/>
      <c r="E545" s="366"/>
      <c r="F545" s="3"/>
    </row>
    <row r="546">
      <c r="C546" s="12"/>
      <c r="D546" s="3"/>
      <c r="E546" s="366"/>
      <c r="F546" s="3"/>
    </row>
    <row r="547">
      <c r="C547" s="12"/>
      <c r="D547" s="3"/>
      <c r="E547" s="366"/>
      <c r="F547" s="3"/>
    </row>
    <row r="548">
      <c r="C548" s="12"/>
      <c r="D548" s="3"/>
      <c r="E548" s="366"/>
      <c r="F548" s="3"/>
    </row>
    <row r="549">
      <c r="C549" s="12"/>
      <c r="D549" s="3"/>
      <c r="E549" s="366"/>
      <c r="F549" s="3"/>
    </row>
    <row r="550">
      <c r="C550" s="12"/>
      <c r="D550" s="3"/>
      <c r="E550" s="366"/>
      <c r="F550" s="3"/>
    </row>
    <row r="551">
      <c r="C551" s="12"/>
      <c r="D551" s="3"/>
      <c r="E551" s="366"/>
      <c r="F551" s="3"/>
    </row>
    <row r="552">
      <c r="C552" s="12"/>
      <c r="D552" s="3"/>
      <c r="E552" s="366"/>
      <c r="F552" s="3"/>
    </row>
    <row r="553">
      <c r="C553" s="12"/>
      <c r="D553" s="3"/>
      <c r="E553" s="366"/>
      <c r="F553" s="3"/>
    </row>
    <row r="554">
      <c r="C554" s="12"/>
      <c r="D554" s="3"/>
      <c r="E554" s="366"/>
      <c r="F554" s="3"/>
    </row>
    <row r="555">
      <c r="C555" s="12"/>
      <c r="D555" s="3"/>
      <c r="E555" s="366"/>
      <c r="F555" s="3"/>
    </row>
    <row r="556">
      <c r="C556" s="12"/>
      <c r="D556" s="3"/>
      <c r="E556" s="366"/>
      <c r="F556" s="3"/>
    </row>
    <row r="557">
      <c r="C557" s="12"/>
      <c r="D557" s="3"/>
      <c r="E557" s="366"/>
      <c r="F557" s="3"/>
    </row>
    <row r="558">
      <c r="C558" s="12"/>
      <c r="D558" s="3"/>
      <c r="E558" s="366"/>
      <c r="F558" s="3"/>
    </row>
    <row r="559">
      <c r="C559" s="12"/>
      <c r="D559" s="3"/>
      <c r="E559" s="366"/>
      <c r="F559" s="3"/>
    </row>
    <row r="560">
      <c r="C560" s="12"/>
      <c r="D560" s="3"/>
      <c r="E560" s="366"/>
      <c r="F560" s="3"/>
    </row>
    <row r="561">
      <c r="C561" s="12"/>
      <c r="D561" s="3"/>
      <c r="E561" s="366"/>
      <c r="F561" s="3"/>
    </row>
    <row r="562">
      <c r="C562" s="12"/>
      <c r="D562" s="3"/>
      <c r="E562" s="366"/>
      <c r="F562" s="3"/>
    </row>
    <row r="563">
      <c r="C563" s="12"/>
      <c r="D563" s="3"/>
      <c r="E563" s="366"/>
      <c r="F563" s="3"/>
    </row>
    <row r="564">
      <c r="C564" s="12"/>
      <c r="D564" s="3"/>
      <c r="E564" s="366"/>
      <c r="F564" s="3"/>
    </row>
    <row r="565">
      <c r="C565" s="12"/>
      <c r="D565" s="3"/>
      <c r="E565" s="366"/>
      <c r="F565" s="3"/>
    </row>
    <row r="566">
      <c r="C566" s="12"/>
      <c r="D566" s="3"/>
      <c r="E566" s="366"/>
      <c r="F566" s="3"/>
    </row>
    <row r="567">
      <c r="C567" s="12"/>
      <c r="D567" s="3"/>
      <c r="E567" s="366"/>
      <c r="F567" s="3"/>
    </row>
    <row r="568">
      <c r="C568" s="12"/>
      <c r="D568" s="3"/>
      <c r="E568" s="366"/>
      <c r="F568" s="3"/>
    </row>
    <row r="569">
      <c r="C569" s="12"/>
      <c r="D569" s="3"/>
      <c r="E569" s="366"/>
      <c r="F569" s="3"/>
    </row>
    <row r="570">
      <c r="C570" s="12"/>
      <c r="D570" s="3"/>
      <c r="E570" s="366"/>
      <c r="F570" s="3"/>
    </row>
    <row r="571">
      <c r="C571" s="12"/>
      <c r="D571" s="3"/>
      <c r="E571" s="366"/>
      <c r="F571" s="3"/>
    </row>
    <row r="572">
      <c r="C572" s="12"/>
      <c r="D572" s="3"/>
      <c r="E572" s="366"/>
      <c r="F572" s="3"/>
    </row>
    <row r="573">
      <c r="C573" s="12"/>
      <c r="D573" s="3"/>
      <c r="E573" s="366"/>
      <c r="F573" s="3"/>
    </row>
    <row r="574">
      <c r="C574" s="12"/>
      <c r="D574" s="3"/>
      <c r="E574" s="366"/>
      <c r="F574" s="3"/>
    </row>
    <row r="575">
      <c r="C575" s="12"/>
      <c r="D575" s="3"/>
      <c r="E575" s="366"/>
      <c r="F575" s="3"/>
    </row>
    <row r="576">
      <c r="C576" s="12"/>
      <c r="D576" s="3"/>
      <c r="E576" s="366"/>
      <c r="F576" s="3"/>
    </row>
    <row r="577">
      <c r="C577" s="12"/>
      <c r="D577" s="3"/>
      <c r="E577" s="366"/>
      <c r="F577" s="3"/>
    </row>
    <row r="578">
      <c r="C578" s="12"/>
      <c r="D578" s="3"/>
      <c r="E578" s="366"/>
      <c r="F578" s="3"/>
    </row>
    <row r="579">
      <c r="C579" s="12"/>
      <c r="D579" s="3"/>
      <c r="E579" s="366"/>
      <c r="F579" s="3"/>
    </row>
    <row r="580">
      <c r="C580" s="12"/>
      <c r="D580" s="3"/>
      <c r="E580" s="366"/>
      <c r="F580" s="3"/>
    </row>
    <row r="581">
      <c r="C581" s="12"/>
      <c r="D581" s="3"/>
      <c r="E581" s="366"/>
      <c r="F581" s="3"/>
    </row>
    <row r="582">
      <c r="C582" s="12"/>
      <c r="D582" s="3"/>
      <c r="E582" s="366"/>
      <c r="F582" s="3"/>
    </row>
    <row r="583">
      <c r="C583" s="12"/>
      <c r="D583" s="3"/>
      <c r="E583" s="366"/>
      <c r="F583" s="3"/>
    </row>
    <row r="584">
      <c r="C584" s="12"/>
      <c r="D584" s="3"/>
      <c r="E584" s="366"/>
      <c r="F584" s="3"/>
    </row>
    <row r="585">
      <c r="C585" s="12"/>
      <c r="D585" s="3"/>
      <c r="E585" s="366"/>
      <c r="F585" s="3"/>
    </row>
    <row r="586">
      <c r="C586" s="12"/>
      <c r="D586" s="3"/>
      <c r="E586" s="366"/>
      <c r="F586" s="3"/>
    </row>
    <row r="587">
      <c r="C587" s="12"/>
      <c r="D587" s="3"/>
      <c r="E587" s="366"/>
      <c r="F587" s="3"/>
    </row>
    <row r="588">
      <c r="C588" s="12"/>
      <c r="D588" s="3"/>
      <c r="E588" s="366"/>
      <c r="F588" s="3"/>
    </row>
    <row r="589">
      <c r="C589" s="12"/>
      <c r="D589" s="3"/>
      <c r="E589" s="366"/>
      <c r="F589" s="3"/>
    </row>
    <row r="590">
      <c r="C590" s="12"/>
      <c r="D590" s="3"/>
      <c r="E590" s="366"/>
      <c r="F590" s="3"/>
    </row>
    <row r="591">
      <c r="C591" s="12"/>
      <c r="D591" s="3"/>
      <c r="E591" s="366"/>
      <c r="F591" s="3"/>
    </row>
    <row r="592">
      <c r="C592" s="12"/>
      <c r="D592" s="3"/>
      <c r="E592" s="366"/>
      <c r="F592" s="3"/>
    </row>
    <row r="593">
      <c r="C593" s="12"/>
      <c r="D593" s="3"/>
      <c r="E593" s="366"/>
      <c r="F593" s="3"/>
    </row>
    <row r="594">
      <c r="C594" s="12"/>
      <c r="D594" s="3"/>
      <c r="E594" s="366"/>
      <c r="F594" s="3"/>
    </row>
    <row r="595">
      <c r="C595" s="12"/>
      <c r="D595" s="3"/>
      <c r="E595" s="366"/>
      <c r="F595" s="3"/>
    </row>
    <row r="596">
      <c r="C596" s="12"/>
      <c r="D596" s="3"/>
      <c r="E596" s="366"/>
      <c r="F596" s="3"/>
    </row>
    <row r="597">
      <c r="C597" s="12"/>
      <c r="D597" s="3"/>
      <c r="E597" s="366"/>
      <c r="F597" s="3"/>
    </row>
    <row r="598">
      <c r="C598" s="12"/>
      <c r="D598" s="3"/>
      <c r="E598" s="366"/>
      <c r="F598" s="3"/>
    </row>
    <row r="599">
      <c r="C599" s="12"/>
      <c r="D599" s="3"/>
      <c r="E599" s="366"/>
      <c r="F599" s="3"/>
    </row>
    <row r="600">
      <c r="C600" s="12"/>
      <c r="D600" s="3"/>
      <c r="E600" s="366"/>
      <c r="F600" s="3"/>
    </row>
    <row r="601">
      <c r="C601" s="12"/>
      <c r="D601" s="3"/>
      <c r="E601" s="366"/>
      <c r="F601" s="3"/>
    </row>
    <row r="602">
      <c r="C602" s="12"/>
      <c r="D602" s="3"/>
      <c r="E602" s="366"/>
      <c r="F602" s="3"/>
    </row>
    <row r="603">
      <c r="C603" s="12"/>
      <c r="D603" s="3"/>
      <c r="E603" s="366"/>
      <c r="F603" s="3"/>
    </row>
    <row r="604">
      <c r="C604" s="12"/>
      <c r="D604" s="3"/>
      <c r="E604" s="366"/>
      <c r="F604" s="3"/>
    </row>
    <row r="605">
      <c r="C605" s="12"/>
      <c r="D605" s="3"/>
      <c r="E605" s="366"/>
      <c r="F605" s="3"/>
    </row>
    <row r="606">
      <c r="C606" s="12"/>
      <c r="D606" s="3"/>
      <c r="E606" s="366"/>
      <c r="F606" s="3"/>
    </row>
    <row r="607">
      <c r="C607" s="12"/>
      <c r="D607" s="3"/>
      <c r="E607" s="366"/>
      <c r="F607" s="3"/>
    </row>
    <row r="608">
      <c r="C608" s="12"/>
      <c r="D608" s="3"/>
      <c r="E608" s="366"/>
      <c r="F608" s="3"/>
    </row>
    <row r="609">
      <c r="C609" s="12"/>
      <c r="D609" s="3"/>
      <c r="E609" s="366"/>
      <c r="F609" s="3"/>
    </row>
    <row r="610">
      <c r="C610" s="12"/>
      <c r="D610" s="3"/>
      <c r="E610" s="366"/>
      <c r="F610" s="3"/>
    </row>
    <row r="611">
      <c r="C611" s="12"/>
      <c r="D611" s="3"/>
      <c r="E611" s="366"/>
      <c r="F611" s="3"/>
    </row>
    <row r="612">
      <c r="C612" s="12"/>
      <c r="D612" s="3"/>
      <c r="E612" s="366"/>
      <c r="F612" s="3"/>
    </row>
    <row r="613">
      <c r="C613" s="12"/>
      <c r="D613" s="3"/>
      <c r="E613" s="366"/>
      <c r="F613" s="3"/>
    </row>
    <row r="614">
      <c r="C614" s="12"/>
      <c r="D614" s="3"/>
      <c r="E614" s="366"/>
      <c r="F614" s="3"/>
    </row>
    <row r="615">
      <c r="C615" s="12"/>
      <c r="D615" s="3"/>
      <c r="E615" s="366"/>
      <c r="F615" s="3"/>
    </row>
    <row r="616">
      <c r="C616" s="12"/>
      <c r="D616" s="3"/>
      <c r="E616" s="366"/>
      <c r="F616" s="3"/>
    </row>
    <row r="617">
      <c r="C617" s="12"/>
      <c r="D617" s="3"/>
      <c r="E617" s="366"/>
      <c r="F617" s="3"/>
    </row>
    <row r="618">
      <c r="C618" s="12"/>
      <c r="D618" s="3"/>
      <c r="E618" s="366"/>
      <c r="F618" s="3"/>
    </row>
    <row r="619">
      <c r="C619" s="12"/>
      <c r="D619" s="3"/>
      <c r="E619" s="366"/>
      <c r="F619" s="3"/>
    </row>
    <row r="620">
      <c r="C620" s="12"/>
      <c r="D620" s="3"/>
      <c r="E620" s="366"/>
      <c r="F620" s="3"/>
    </row>
    <row r="621">
      <c r="C621" s="12"/>
      <c r="D621" s="3"/>
      <c r="E621" s="366"/>
      <c r="F621" s="3"/>
    </row>
    <row r="622">
      <c r="C622" s="12"/>
      <c r="D622" s="3"/>
      <c r="E622" s="366"/>
      <c r="F622" s="3"/>
    </row>
    <row r="623">
      <c r="C623" s="12"/>
      <c r="D623" s="3"/>
      <c r="E623" s="366"/>
      <c r="F623" s="3"/>
    </row>
    <row r="624">
      <c r="C624" s="12"/>
      <c r="D624" s="3"/>
      <c r="E624" s="366"/>
      <c r="F624" s="3"/>
    </row>
    <row r="625">
      <c r="C625" s="12"/>
      <c r="D625" s="3"/>
      <c r="E625" s="366"/>
      <c r="F625" s="3"/>
    </row>
    <row r="626">
      <c r="C626" s="12"/>
      <c r="D626" s="3"/>
      <c r="E626" s="366"/>
      <c r="F626" s="3"/>
    </row>
    <row r="627">
      <c r="C627" s="12"/>
      <c r="D627" s="3"/>
      <c r="E627" s="366"/>
      <c r="F627" s="3"/>
    </row>
    <row r="628">
      <c r="C628" s="12"/>
      <c r="D628" s="3"/>
      <c r="E628" s="366"/>
      <c r="F628" s="3"/>
    </row>
    <row r="629">
      <c r="C629" s="12"/>
      <c r="D629" s="3"/>
      <c r="E629" s="366"/>
      <c r="F629" s="3"/>
    </row>
    <row r="630">
      <c r="C630" s="12"/>
      <c r="D630" s="3"/>
      <c r="E630" s="366"/>
      <c r="F630" s="3"/>
    </row>
    <row r="631">
      <c r="C631" s="12"/>
      <c r="D631" s="3"/>
      <c r="E631" s="366"/>
      <c r="F631" s="3"/>
    </row>
    <row r="632">
      <c r="C632" s="12"/>
      <c r="D632" s="3"/>
      <c r="E632" s="366"/>
      <c r="F632" s="3"/>
    </row>
    <row r="633">
      <c r="C633" s="12"/>
      <c r="D633" s="3"/>
      <c r="E633" s="366"/>
      <c r="F633" s="3"/>
    </row>
    <row r="634">
      <c r="C634" s="12"/>
      <c r="D634" s="3"/>
      <c r="E634" s="366"/>
      <c r="F634" s="3"/>
    </row>
    <row r="635">
      <c r="C635" s="12"/>
      <c r="D635" s="3"/>
      <c r="E635" s="366"/>
      <c r="F635" s="3"/>
    </row>
    <row r="636">
      <c r="C636" s="12"/>
      <c r="D636" s="3"/>
      <c r="E636" s="366"/>
      <c r="F636" s="3"/>
    </row>
    <row r="637">
      <c r="C637" s="12"/>
      <c r="D637" s="3"/>
      <c r="E637" s="366"/>
      <c r="F637" s="3"/>
    </row>
    <row r="638">
      <c r="C638" s="12"/>
      <c r="D638" s="3"/>
      <c r="E638" s="366"/>
      <c r="F638" s="3"/>
    </row>
    <row r="639">
      <c r="C639" s="12"/>
      <c r="D639" s="3"/>
      <c r="E639" s="366"/>
      <c r="F639" s="3"/>
    </row>
    <row r="640">
      <c r="C640" s="12"/>
      <c r="D640" s="3"/>
      <c r="E640" s="366"/>
      <c r="F640" s="3"/>
    </row>
    <row r="641">
      <c r="C641" s="12"/>
      <c r="D641" s="3"/>
      <c r="E641" s="366"/>
      <c r="F641" s="3"/>
    </row>
    <row r="642">
      <c r="C642" s="12"/>
      <c r="D642" s="3"/>
      <c r="E642" s="366"/>
      <c r="F642" s="3"/>
    </row>
    <row r="643">
      <c r="C643" s="12"/>
      <c r="D643" s="3"/>
      <c r="E643" s="366"/>
      <c r="F643" s="3"/>
    </row>
    <row r="644">
      <c r="C644" s="12"/>
      <c r="D644" s="3"/>
      <c r="E644" s="366"/>
      <c r="F644" s="3"/>
    </row>
    <row r="645">
      <c r="C645" s="12"/>
      <c r="D645" s="3"/>
      <c r="E645" s="366"/>
      <c r="F645" s="3"/>
    </row>
    <row r="646">
      <c r="C646" s="12"/>
      <c r="D646" s="3"/>
      <c r="E646" s="366"/>
      <c r="F646" s="3"/>
    </row>
    <row r="647">
      <c r="C647" s="12"/>
      <c r="D647" s="3"/>
      <c r="E647" s="366"/>
      <c r="F647" s="3"/>
    </row>
    <row r="648">
      <c r="C648" s="12"/>
      <c r="D648" s="3"/>
      <c r="E648" s="366"/>
      <c r="F648" s="3"/>
    </row>
    <row r="649">
      <c r="C649" s="12"/>
      <c r="D649" s="3"/>
      <c r="E649" s="366"/>
      <c r="F649" s="3"/>
    </row>
    <row r="650">
      <c r="C650" s="12"/>
      <c r="D650" s="3"/>
      <c r="E650" s="366"/>
      <c r="F650" s="3"/>
    </row>
    <row r="651">
      <c r="C651" s="12"/>
      <c r="D651" s="3"/>
      <c r="E651" s="366"/>
      <c r="F651" s="3"/>
    </row>
    <row r="652">
      <c r="C652" s="12"/>
      <c r="D652" s="3"/>
      <c r="E652" s="366"/>
      <c r="F652" s="3"/>
    </row>
    <row r="653">
      <c r="C653" s="12"/>
      <c r="D653" s="3"/>
      <c r="E653" s="366"/>
      <c r="F653" s="3"/>
    </row>
    <row r="654">
      <c r="C654" s="12"/>
      <c r="D654" s="3"/>
      <c r="E654" s="366"/>
      <c r="F654" s="3"/>
    </row>
    <row r="655">
      <c r="C655" s="12"/>
      <c r="D655" s="3"/>
      <c r="E655" s="366"/>
      <c r="F655" s="3"/>
    </row>
    <row r="656">
      <c r="C656" s="12"/>
      <c r="D656" s="3"/>
      <c r="E656" s="366"/>
      <c r="F656" s="3"/>
    </row>
    <row r="657">
      <c r="C657" s="12"/>
      <c r="D657" s="3"/>
      <c r="E657" s="366"/>
      <c r="F657" s="3"/>
    </row>
    <row r="658">
      <c r="C658" s="12"/>
      <c r="D658" s="3"/>
      <c r="E658" s="366"/>
      <c r="F658" s="3"/>
    </row>
    <row r="659">
      <c r="C659" s="12"/>
      <c r="D659" s="3"/>
      <c r="E659" s="366"/>
      <c r="F659" s="3"/>
    </row>
    <row r="660">
      <c r="C660" s="12"/>
      <c r="D660" s="3"/>
      <c r="E660" s="366"/>
      <c r="F660" s="3"/>
    </row>
    <row r="661">
      <c r="C661" s="12"/>
      <c r="D661" s="3"/>
      <c r="E661" s="366"/>
      <c r="F661" s="3"/>
    </row>
    <row r="662">
      <c r="C662" s="12"/>
      <c r="D662" s="3"/>
      <c r="E662" s="366"/>
      <c r="F662" s="3"/>
    </row>
    <row r="663">
      <c r="C663" s="12"/>
      <c r="D663" s="3"/>
      <c r="E663" s="366"/>
      <c r="F663" s="3"/>
    </row>
    <row r="664">
      <c r="C664" s="12"/>
      <c r="D664" s="3"/>
      <c r="E664" s="366"/>
      <c r="F664" s="3"/>
    </row>
    <row r="665">
      <c r="C665" s="12"/>
      <c r="D665" s="3"/>
      <c r="E665" s="366"/>
      <c r="F665" s="3"/>
    </row>
    <row r="666">
      <c r="C666" s="12"/>
      <c r="D666" s="3"/>
      <c r="E666" s="366"/>
      <c r="F666" s="3"/>
    </row>
    <row r="667">
      <c r="C667" s="12"/>
      <c r="D667" s="3"/>
      <c r="E667" s="366"/>
      <c r="F667" s="3"/>
    </row>
    <row r="668">
      <c r="C668" s="12"/>
      <c r="D668" s="3"/>
      <c r="E668" s="366"/>
      <c r="F668" s="3"/>
    </row>
    <row r="669">
      <c r="C669" s="12"/>
      <c r="D669" s="3"/>
      <c r="E669" s="366"/>
      <c r="F669" s="3"/>
    </row>
    <row r="670">
      <c r="C670" s="12"/>
      <c r="D670" s="3"/>
      <c r="E670" s="366"/>
      <c r="F670" s="3"/>
    </row>
    <row r="671">
      <c r="C671" s="12"/>
      <c r="D671" s="3"/>
      <c r="E671" s="366"/>
      <c r="F671" s="3"/>
    </row>
    <row r="672">
      <c r="C672" s="12"/>
      <c r="D672" s="3"/>
      <c r="E672" s="366"/>
      <c r="F672" s="3"/>
    </row>
    <row r="673">
      <c r="C673" s="12"/>
      <c r="D673" s="3"/>
      <c r="E673" s="366"/>
      <c r="F673" s="3"/>
    </row>
    <row r="674">
      <c r="C674" s="12"/>
      <c r="D674" s="3"/>
      <c r="E674" s="366"/>
      <c r="F674" s="3"/>
    </row>
    <row r="675">
      <c r="C675" s="12"/>
      <c r="D675" s="3"/>
      <c r="E675" s="366"/>
      <c r="F675" s="3"/>
    </row>
    <row r="676">
      <c r="C676" s="12"/>
      <c r="D676" s="3"/>
      <c r="E676" s="366"/>
      <c r="F676" s="3"/>
    </row>
    <row r="677">
      <c r="C677" s="12"/>
      <c r="D677" s="3"/>
      <c r="E677" s="366"/>
      <c r="F677" s="3"/>
    </row>
    <row r="678">
      <c r="C678" s="12"/>
      <c r="D678" s="3"/>
      <c r="E678" s="366"/>
      <c r="F678" s="3"/>
    </row>
    <row r="679">
      <c r="C679" s="12"/>
      <c r="D679" s="3"/>
      <c r="E679" s="366"/>
      <c r="F679" s="3"/>
    </row>
    <row r="680">
      <c r="C680" s="12"/>
      <c r="D680" s="3"/>
      <c r="E680" s="366"/>
      <c r="F680" s="3"/>
    </row>
    <row r="681">
      <c r="C681" s="12"/>
      <c r="D681" s="3"/>
      <c r="E681" s="366"/>
      <c r="F681" s="3"/>
    </row>
    <row r="682">
      <c r="C682" s="12"/>
      <c r="D682" s="3"/>
      <c r="E682" s="366"/>
      <c r="F682" s="3"/>
    </row>
    <row r="683">
      <c r="C683" s="12"/>
      <c r="D683" s="3"/>
      <c r="E683" s="366"/>
      <c r="F683" s="3"/>
    </row>
    <row r="684">
      <c r="C684" s="12"/>
      <c r="D684" s="3"/>
      <c r="E684" s="366"/>
      <c r="F684" s="3"/>
    </row>
    <row r="685">
      <c r="C685" s="12"/>
      <c r="D685" s="3"/>
      <c r="E685" s="366"/>
      <c r="F685" s="3"/>
    </row>
    <row r="686">
      <c r="C686" s="12"/>
      <c r="D686" s="3"/>
      <c r="E686" s="366"/>
      <c r="F686" s="3"/>
    </row>
    <row r="687">
      <c r="C687" s="12"/>
      <c r="D687" s="3"/>
      <c r="E687" s="366"/>
      <c r="F687" s="3"/>
    </row>
    <row r="688">
      <c r="C688" s="12"/>
      <c r="D688" s="3"/>
      <c r="E688" s="366"/>
      <c r="F688" s="3"/>
    </row>
    <row r="689">
      <c r="C689" s="12"/>
      <c r="D689" s="3"/>
      <c r="E689" s="366"/>
      <c r="F689" s="3"/>
    </row>
    <row r="690">
      <c r="C690" s="12"/>
      <c r="D690" s="3"/>
      <c r="E690" s="366"/>
      <c r="F690" s="3"/>
    </row>
    <row r="691">
      <c r="C691" s="12"/>
      <c r="D691" s="3"/>
      <c r="E691" s="366"/>
      <c r="F691" s="3"/>
    </row>
    <row r="692">
      <c r="C692" s="12"/>
      <c r="D692" s="3"/>
      <c r="E692" s="366"/>
      <c r="F692" s="3"/>
    </row>
    <row r="693">
      <c r="C693" s="12"/>
      <c r="D693" s="3"/>
      <c r="E693" s="366"/>
      <c r="F693" s="3"/>
    </row>
    <row r="694">
      <c r="C694" s="12"/>
      <c r="D694" s="3"/>
      <c r="E694" s="366"/>
      <c r="F694" s="3"/>
    </row>
    <row r="695">
      <c r="C695" s="12"/>
      <c r="D695" s="3"/>
      <c r="E695" s="366"/>
      <c r="F695" s="3"/>
    </row>
    <row r="696">
      <c r="C696" s="12"/>
      <c r="D696" s="3"/>
      <c r="E696" s="366"/>
      <c r="F696" s="3"/>
    </row>
    <row r="697">
      <c r="C697" s="12"/>
      <c r="D697" s="3"/>
      <c r="E697" s="366"/>
      <c r="F697" s="3"/>
    </row>
    <row r="698">
      <c r="C698" s="12"/>
      <c r="D698" s="3"/>
      <c r="E698" s="366"/>
      <c r="F698" s="3"/>
    </row>
    <row r="699">
      <c r="C699" s="12"/>
      <c r="D699" s="3"/>
      <c r="E699" s="366"/>
      <c r="F699" s="3"/>
    </row>
    <row r="700">
      <c r="C700" s="12"/>
      <c r="D700" s="3"/>
      <c r="E700" s="366"/>
      <c r="F700" s="3"/>
    </row>
    <row r="701">
      <c r="C701" s="12"/>
      <c r="D701" s="3"/>
      <c r="E701" s="366"/>
      <c r="F701" s="3"/>
    </row>
    <row r="702">
      <c r="C702" s="12"/>
      <c r="D702" s="3"/>
      <c r="E702" s="366"/>
      <c r="F702" s="3"/>
    </row>
    <row r="703">
      <c r="C703" s="12"/>
      <c r="D703" s="3"/>
      <c r="E703" s="366"/>
      <c r="F703" s="3"/>
    </row>
    <row r="704">
      <c r="C704" s="12"/>
      <c r="D704" s="3"/>
      <c r="E704" s="366"/>
      <c r="F704" s="3"/>
    </row>
    <row r="705">
      <c r="C705" s="12"/>
      <c r="D705" s="3"/>
      <c r="E705" s="366"/>
      <c r="F705" s="3"/>
    </row>
    <row r="706">
      <c r="C706" s="12"/>
      <c r="D706" s="3"/>
      <c r="E706" s="366"/>
      <c r="F706" s="3"/>
    </row>
    <row r="707">
      <c r="C707" s="12"/>
      <c r="D707" s="3"/>
      <c r="E707" s="366"/>
      <c r="F707" s="3"/>
    </row>
    <row r="708">
      <c r="C708" s="12"/>
      <c r="D708" s="3"/>
      <c r="E708" s="366"/>
      <c r="F708" s="3"/>
    </row>
    <row r="709">
      <c r="C709" s="12"/>
      <c r="D709" s="3"/>
      <c r="E709" s="366"/>
      <c r="F709" s="3"/>
    </row>
    <row r="710">
      <c r="C710" s="12"/>
      <c r="D710" s="3"/>
      <c r="E710" s="366"/>
      <c r="F710" s="3"/>
    </row>
    <row r="711">
      <c r="C711" s="12"/>
      <c r="D711" s="3"/>
      <c r="E711" s="366"/>
      <c r="F711" s="3"/>
    </row>
    <row r="712">
      <c r="C712" s="12"/>
      <c r="D712" s="3"/>
      <c r="E712" s="366"/>
      <c r="F712" s="3"/>
    </row>
    <row r="713">
      <c r="C713" s="12"/>
      <c r="D713" s="3"/>
      <c r="E713" s="366"/>
      <c r="F713" s="3"/>
    </row>
    <row r="714">
      <c r="C714" s="12"/>
      <c r="D714" s="3"/>
      <c r="E714" s="366"/>
      <c r="F714" s="3"/>
    </row>
    <row r="715">
      <c r="C715" s="12"/>
      <c r="D715" s="3"/>
      <c r="E715" s="366"/>
      <c r="F715" s="3"/>
    </row>
    <row r="716">
      <c r="C716" s="12"/>
      <c r="D716" s="3"/>
      <c r="E716" s="366"/>
      <c r="F716" s="3"/>
    </row>
    <row r="717">
      <c r="C717" s="12"/>
      <c r="D717" s="3"/>
      <c r="E717" s="366"/>
      <c r="F717" s="3"/>
    </row>
    <row r="718">
      <c r="C718" s="12"/>
      <c r="D718" s="3"/>
      <c r="E718" s="366"/>
      <c r="F718" s="3"/>
    </row>
    <row r="719">
      <c r="C719" s="12"/>
      <c r="D719" s="3"/>
      <c r="E719" s="366"/>
      <c r="F719" s="3"/>
    </row>
    <row r="720">
      <c r="C720" s="12"/>
      <c r="D720" s="3"/>
      <c r="E720" s="366"/>
      <c r="F720" s="3"/>
    </row>
    <row r="721">
      <c r="C721" s="12"/>
      <c r="D721" s="3"/>
      <c r="E721" s="366"/>
      <c r="F721" s="3"/>
    </row>
    <row r="722">
      <c r="C722" s="12"/>
      <c r="D722" s="3"/>
      <c r="E722" s="366"/>
      <c r="F722" s="3"/>
    </row>
    <row r="723">
      <c r="C723" s="12"/>
      <c r="D723" s="3"/>
      <c r="E723" s="366"/>
      <c r="F723" s="3"/>
    </row>
    <row r="724">
      <c r="C724" s="12"/>
      <c r="D724" s="3"/>
      <c r="E724" s="366"/>
      <c r="F724" s="3"/>
    </row>
    <row r="725">
      <c r="C725" s="12"/>
      <c r="D725" s="3"/>
      <c r="E725" s="366"/>
      <c r="F725" s="3"/>
    </row>
    <row r="726">
      <c r="C726" s="12"/>
      <c r="D726" s="3"/>
      <c r="E726" s="366"/>
      <c r="F726" s="3"/>
    </row>
    <row r="727">
      <c r="C727" s="12"/>
      <c r="D727" s="3"/>
      <c r="E727" s="366"/>
      <c r="F727" s="3"/>
    </row>
    <row r="728">
      <c r="C728" s="12"/>
      <c r="D728" s="3"/>
      <c r="E728" s="366"/>
      <c r="F728" s="3"/>
    </row>
    <row r="729">
      <c r="C729" s="12"/>
      <c r="D729" s="3"/>
      <c r="E729" s="366"/>
      <c r="F729" s="3"/>
    </row>
    <row r="730">
      <c r="C730" s="12"/>
      <c r="D730" s="3"/>
      <c r="E730" s="366"/>
      <c r="F730" s="3"/>
    </row>
    <row r="731">
      <c r="C731" s="12"/>
      <c r="D731" s="3"/>
      <c r="E731" s="366"/>
      <c r="F731" s="3"/>
    </row>
    <row r="732">
      <c r="C732" s="12"/>
      <c r="D732" s="3"/>
      <c r="E732" s="366"/>
      <c r="F732" s="3"/>
    </row>
    <row r="733">
      <c r="C733" s="12"/>
      <c r="D733" s="3"/>
      <c r="E733" s="366"/>
      <c r="F733" s="3"/>
    </row>
    <row r="734">
      <c r="C734" s="12"/>
      <c r="D734" s="3"/>
      <c r="E734" s="366"/>
      <c r="F734" s="3"/>
    </row>
    <row r="735">
      <c r="C735" s="12"/>
      <c r="D735" s="3"/>
      <c r="E735" s="366"/>
      <c r="F735" s="3"/>
    </row>
    <row r="736">
      <c r="C736" s="12"/>
      <c r="D736" s="3"/>
      <c r="E736" s="366"/>
      <c r="F736" s="3"/>
    </row>
    <row r="737">
      <c r="C737" s="12"/>
      <c r="D737" s="3"/>
      <c r="E737" s="366"/>
      <c r="F737" s="3"/>
    </row>
    <row r="738">
      <c r="C738" s="12"/>
      <c r="D738" s="3"/>
      <c r="E738" s="366"/>
      <c r="F738" s="3"/>
    </row>
    <row r="739">
      <c r="C739" s="12"/>
      <c r="D739" s="3"/>
      <c r="E739" s="366"/>
      <c r="F739" s="3"/>
    </row>
    <row r="740">
      <c r="C740" s="12"/>
      <c r="D740" s="3"/>
      <c r="E740" s="366"/>
      <c r="F740" s="3"/>
    </row>
    <row r="741">
      <c r="C741" s="12"/>
      <c r="D741" s="3"/>
      <c r="E741" s="366"/>
      <c r="F741" s="3"/>
    </row>
    <row r="742">
      <c r="C742" s="12"/>
      <c r="D742" s="3"/>
      <c r="E742" s="366"/>
      <c r="F742" s="3"/>
    </row>
    <row r="743">
      <c r="C743" s="12"/>
      <c r="D743" s="3"/>
      <c r="E743" s="366"/>
      <c r="F743" s="3"/>
    </row>
    <row r="744">
      <c r="C744" s="12"/>
      <c r="D744" s="3"/>
      <c r="E744" s="366"/>
      <c r="F744" s="3"/>
    </row>
    <row r="745">
      <c r="C745" s="12"/>
      <c r="D745" s="3"/>
      <c r="E745" s="366"/>
      <c r="F745" s="3"/>
    </row>
    <row r="746">
      <c r="C746" s="12"/>
      <c r="D746" s="3"/>
      <c r="E746" s="366"/>
      <c r="F746" s="3"/>
    </row>
    <row r="747">
      <c r="C747" s="12"/>
      <c r="D747" s="3"/>
      <c r="E747" s="366"/>
      <c r="F747" s="3"/>
    </row>
    <row r="748">
      <c r="C748" s="12"/>
      <c r="D748" s="3"/>
      <c r="E748" s="366"/>
      <c r="F748" s="3"/>
    </row>
    <row r="749">
      <c r="C749" s="12"/>
      <c r="D749" s="3"/>
      <c r="E749" s="366"/>
      <c r="F749" s="3"/>
    </row>
    <row r="750">
      <c r="C750" s="12"/>
      <c r="D750" s="3"/>
      <c r="E750" s="366"/>
      <c r="F750" s="3"/>
    </row>
    <row r="751">
      <c r="C751" s="12"/>
      <c r="D751" s="3"/>
      <c r="E751" s="366"/>
      <c r="F751" s="3"/>
    </row>
    <row r="752">
      <c r="C752" s="12"/>
      <c r="D752" s="3"/>
      <c r="E752" s="366"/>
      <c r="F752" s="3"/>
    </row>
    <row r="753">
      <c r="C753" s="12"/>
      <c r="D753" s="3"/>
      <c r="E753" s="366"/>
      <c r="F753" s="3"/>
    </row>
    <row r="754">
      <c r="C754" s="12"/>
      <c r="D754" s="3"/>
      <c r="E754" s="366"/>
      <c r="F754" s="3"/>
    </row>
    <row r="755">
      <c r="C755" s="12"/>
      <c r="D755" s="3"/>
      <c r="E755" s="366"/>
      <c r="F755" s="3"/>
    </row>
    <row r="756">
      <c r="C756" s="12"/>
      <c r="D756" s="3"/>
      <c r="E756" s="366"/>
      <c r="F756" s="3"/>
    </row>
    <row r="757">
      <c r="C757" s="12"/>
      <c r="D757" s="3"/>
      <c r="E757" s="366"/>
      <c r="F757" s="3"/>
    </row>
    <row r="758">
      <c r="C758" s="12"/>
      <c r="D758" s="3"/>
      <c r="E758" s="366"/>
      <c r="F758" s="3"/>
    </row>
    <row r="759">
      <c r="C759" s="12"/>
      <c r="D759" s="3"/>
      <c r="E759" s="366"/>
      <c r="F759" s="3"/>
    </row>
    <row r="760">
      <c r="C760" s="12"/>
      <c r="D760" s="3"/>
      <c r="E760" s="366"/>
      <c r="F760" s="3"/>
    </row>
    <row r="761">
      <c r="C761" s="12"/>
      <c r="D761" s="3"/>
      <c r="E761" s="366"/>
      <c r="F761" s="3"/>
    </row>
    <row r="762">
      <c r="C762" s="12"/>
      <c r="D762" s="3"/>
      <c r="E762" s="366"/>
      <c r="F762" s="3"/>
    </row>
    <row r="763">
      <c r="C763" s="12"/>
      <c r="D763" s="3"/>
      <c r="E763" s="366"/>
      <c r="F763" s="3"/>
    </row>
    <row r="764">
      <c r="C764" s="12"/>
      <c r="D764" s="3"/>
      <c r="E764" s="366"/>
      <c r="F764" s="3"/>
    </row>
    <row r="765">
      <c r="C765" s="12"/>
      <c r="D765" s="3"/>
      <c r="E765" s="366"/>
      <c r="F765" s="3"/>
    </row>
    <row r="766">
      <c r="C766" s="12"/>
      <c r="D766" s="3"/>
      <c r="E766" s="366"/>
      <c r="F766" s="3"/>
    </row>
    <row r="767">
      <c r="C767" s="12"/>
      <c r="D767" s="3"/>
      <c r="E767" s="366"/>
      <c r="F767" s="3"/>
    </row>
    <row r="768">
      <c r="C768" s="12"/>
      <c r="D768" s="3"/>
      <c r="E768" s="366"/>
      <c r="F768" s="3"/>
    </row>
    <row r="769">
      <c r="C769" s="12"/>
      <c r="D769" s="3"/>
      <c r="E769" s="366"/>
      <c r="F769" s="3"/>
    </row>
    <row r="770">
      <c r="C770" s="12"/>
      <c r="D770" s="3"/>
      <c r="E770" s="366"/>
      <c r="F770" s="3"/>
    </row>
    <row r="771">
      <c r="C771" s="12"/>
      <c r="D771" s="3"/>
      <c r="E771" s="366"/>
      <c r="F771" s="3"/>
    </row>
    <row r="772">
      <c r="C772" s="12"/>
      <c r="D772" s="3"/>
      <c r="E772" s="366"/>
      <c r="F772" s="3"/>
    </row>
    <row r="773">
      <c r="C773" s="12"/>
      <c r="D773" s="3"/>
      <c r="E773" s="366"/>
      <c r="F773" s="3"/>
    </row>
    <row r="774">
      <c r="C774" s="12"/>
      <c r="D774" s="3"/>
      <c r="E774" s="366"/>
      <c r="F774" s="3"/>
    </row>
    <row r="775">
      <c r="C775" s="12"/>
      <c r="D775" s="3"/>
      <c r="E775" s="366"/>
      <c r="F775" s="3"/>
    </row>
    <row r="776">
      <c r="C776" s="12"/>
      <c r="D776" s="3"/>
      <c r="E776" s="366"/>
      <c r="F776" s="3"/>
    </row>
    <row r="777">
      <c r="C777" s="12"/>
      <c r="D777" s="3"/>
      <c r="E777" s="366"/>
      <c r="F777" s="3"/>
    </row>
    <row r="778">
      <c r="C778" s="12"/>
      <c r="D778" s="3"/>
      <c r="E778" s="366"/>
      <c r="F778" s="3"/>
    </row>
    <row r="779">
      <c r="C779" s="12"/>
      <c r="D779" s="3"/>
      <c r="E779" s="366"/>
      <c r="F779" s="3"/>
    </row>
    <row r="780">
      <c r="C780" s="12"/>
      <c r="D780" s="3"/>
      <c r="E780" s="366"/>
      <c r="F780" s="3"/>
    </row>
    <row r="781">
      <c r="C781" s="12"/>
      <c r="D781" s="3"/>
      <c r="E781" s="366"/>
      <c r="F781" s="3"/>
    </row>
    <row r="782">
      <c r="C782" s="12"/>
      <c r="D782" s="3"/>
      <c r="E782" s="366"/>
      <c r="F782" s="3"/>
    </row>
    <row r="783">
      <c r="C783" s="12"/>
      <c r="D783" s="3"/>
      <c r="E783" s="366"/>
      <c r="F783" s="3"/>
    </row>
    <row r="784">
      <c r="C784" s="12"/>
      <c r="D784" s="3"/>
      <c r="E784" s="366"/>
      <c r="F784" s="3"/>
    </row>
    <row r="785">
      <c r="C785" s="12"/>
      <c r="D785" s="3"/>
      <c r="E785" s="366"/>
      <c r="F785" s="3"/>
    </row>
    <row r="786">
      <c r="C786" s="12"/>
      <c r="D786" s="3"/>
      <c r="E786" s="366"/>
      <c r="F786" s="3"/>
    </row>
    <row r="787">
      <c r="C787" s="12"/>
      <c r="D787" s="3"/>
      <c r="E787" s="366"/>
      <c r="F787" s="3"/>
    </row>
    <row r="788">
      <c r="C788" s="12"/>
      <c r="D788" s="3"/>
      <c r="E788" s="366"/>
      <c r="F788" s="3"/>
    </row>
    <row r="789">
      <c r="C789" s="12"/>
      <c r="D789" s="3"/>
      <c r="E789" s="366"/>
      <c r="F789" s="3"/>
    </row>
    <row r="790">
      <c r="C790" s="12"/>
      <c r="D790" s="3"/>
      <c r="E790" s="366"/>
      <c r="F790" s="3"/>
    </row>
    <row r="791">
      <c r="C791" s="12"/>
      <c r="D791" s="3"/>
      <c r="E791" s="366"/>
      <c r="F791" s="3"/>
    </row>
    <row r="792">
      <c r="C792" s="12"/>
      <c r="D792" s="3"/>
      <c r="E792" s="366"/>
      <c r="F792" s="3"/>
    </row>
    <row r="793">
      <c r="C793" s="12"/>
      <c r="D793" s="3"/>
      <c r="E793" s="366"/>
      <c r="F793" s="3"/>
    </row>
    <row r="794">
      <c r="C794" s="12"/>
      <c r="D794" s="3"/>
      <c r="E794" s="366"/>
      <c r="F794" s="3"/>
    </row>
    <row r="795">
      <c r="C795" s="12"/>
      <c r="D795" s="3"/>
      <c r="E795" s="366"/>
      <c r="F795" s="3"/>
    </row>
    <row r="796">
      <c r="C796" s="12"/>
      <c r="D796" s="3"/>
      <c r="E796" s="366"/>
      <c r="F796" s="3"/>
    </row>
    <row r="797">
      <c r="C797" s="12"/>
      <c r="D797" s="3"/>
      <c r="E797" s="366"/>
      <c r="F797" s="3"/>
    </row>
    <row r="798">
      <c r="C798" s="12"/>
      <c r="D798" s="3"/>
      <c r="E798" s="366"/>
      <c r="F798" s="3"/>
    </row>
    <row r="799">
      <c r="C799" s="12"/>
      <c r="D799" s="3"/>
      <c r="E799" s="366"/>
      <c r="F799" s="3"/>
    </row>
    <row r="800">
      <c r="C800" s="12"/>
      <c r="D800" s="3"/>
      <c r="E800" s="366"/>
      <c r="F800" s="3"/>
    </row>
    <row r="801">
      <c r="C801" s="12"/>
      <c r="D801" s="3"/>
      <c r="E801" s="366"/>
      <c r="F801" s="3"/>
    </row>
    <row r="802">
      <c r="C802" s="12"/>
      <c r="D802" s="3"/>
      <c r="E802" s="366"/>
      <c r="F802" s="3"/>
    </row>
    <row r="803">
      <c r="C803" s="12"/>
      <c r="D803" s="3"/>
      <c r="E803" s="366"/>
      <c r="F803" s="3"/>
    </row>
    <row r="804">
      <c r="C804" s="12"/>
      <c r="D804" s="3"/>
      <c r="E804" s="366"/>
      <c r="F804" s="3"/>
    </row>
    <row r="805">
      <c r="C805" s="12"/>
      <c r="D805" s="3"/>
      <c r="E805" s="366"/>
      <c r="F805" s="3"/>
    </row>
    <row r="806">
      <c r="C806" s="12"/>
      <c r="D806" s="3"/>
      <c r="E806" s="366"/>
      <c r="F806" s="3"/>
    </row>
    <row r="807">
      <c r="C807" s="12"/>
      <c r="D807" s="3"/>
      <c r="E807" s="366"/>
      <c r="F807" s="3"/>
    </row>
    <row r="808">
      <c r="C808" s="12"/>
      <c r="D808" s="3"/>
      <c r="E808" s="366"/>
      <c r="F808" s="3"/>
    </row>
    <row r="809">
      <c r="C809" s="12"/>
      <c r="D809" s="3"/>
      <c r="E809" s="366"/>
      <c r="F809" s="3"/>
    </row>
    <row r="810">
      <c r="C810" s="12"/>
      <c r="D810" s="3"/>
      <c r="E810" s="366"/>
      <c r="F810" s="3"/>
    </row>
    <row r="811">
      <c r="C811" s="12"/>
      <c r="D811" s="3"/>
      <c r="E811" s="366"/>
      <c r="F811" s="3"/>
    </row>
    <row r="812">
      <c r="C812" s="12"/>
      <c r="D812" s="3"/>
      <c r="E812" s="366"/>
      <c r="F812" s="3"/>
    </row>
    <row r="813">
      <c r="C813" s="12"/>
      <c r="D813" s="3"/>
      <c r="E813" s="366"/>
      <c r="F813" s="3"/>
    </row>
    <row r="814">
      <c r="C814" s="12"/>
      <c r="D814" s="3"/>
      <c r="E814" s="366"/>
      <c r="F814" s="3"/>
    </row>
    <row r="815">
      <c r="C815" s="12"/>
      <c r="D815" s="3"/>
      <c r="E815" s="366"/>
      <c r="F815" s="3"/>
    </row>
    <row r="816">
      <c r="C816" s="12"/>
      <c r="D816" s="3"/>
      <c r="E816" s="366"/>
      <c r="F816" s="3"/>
    </row>
    <row r="817">
      <c r="C817" s="12"/>
      <c r="D817" s="3"/>
      <c r="E817" s="366"/>
      <c r="F817" s="3"/>
    </row>
    <row r="818">
      <c r="C818" s="12"/>
      <c r="D818" s="3"/>
      <c r="E818" s="366"/>
      <c r="F818" s="3"/>
    </row>
    <row r="819">
      <c r="C819" s="12"/>
      <c r="D819" s="3"/>
      <c r="E819" s="366"/>
      <c r="F819" s="3"/>
    </row>
    <row r="820">
      <c r="C820" s="12"/>
      <c r="D820" s="3"/>
      <c r="E820" s="366"/>
      <c r="F820" s="3"/>
    </row>
    <row r="821">
      <c r="C821" s="12"/>
      <c r="D821" s="3"/>
      <c r="E821" s="366"/>
      <c r="F821" s="3"/>
    </row>
    <row r="822">
      <c r="C822" s="12"/>
      <c r="D822" s="3"/>
      <c r="E822" s="366"/>
      <c r="F822" s="3"/>
    </row>
    <row r="823">
      <c r="C823" s="12"/>
      <c r="D823" s="3"/>
      <c r="E823" s="366"/>
      <c r="F823" s="3"/>
    </row>
    <row r="824">
      <c r="C824" s="12"/>
      <c r="D824" s="3"/>
      <c r="E824" s="366"/>
      <c r="F824" s="3"/>
    </row>
    <row r="825">
      <c r="C825" s="12"/>
      <c r="D825" s="3"/>
      <c r="E825" s="366"/>
      <c r="F825" s="3"/>
    </row>
    <row r="826">
      <c r="C826" s="12"/>
      <c r="D826" s="3"/>
      <c r="E826" s="366"/>
      <c r="F826" s="3"/>
    </row>
    <row r="827">
      <c r="C827" s="12"/>
      <c r="D827" s="3"/>
      <c r="E827" s="366"/>
      <c r="F827" s="3"/>
    </row>
    <row r="828">
      <c r="C828" s="12"/>
      <c r="D828" s="3"/>
      <c r="E828" s="366"/>
      <c r="F828" s="3"/>
    </row>
    <row r="829">
      <c r="C829" s="12"/>
      <c r="D829" s="3"/>
      <c r="E829" s="366"/>
      <c r="F829" s="3"/>
    </row>
    <row r="830">
      <c r="C830" s="12"/>
      <c r="D830" s="3"/>
      <c r="E830" s="366"/>
      <c r="F830" s="3"/>
    </row>
    <row r="831">
      <c r="C831" s="12"/>
      <c r="D831" s="3"/>
      <c r="E831" s="366"/>
      <c r="F831" s="3"/>
    </row>
    <row r="832">
      <c r="C832" s="12"/>
      <c r="D832" s="3"/>
      <c r="E832" s="366"/>
      <c r="F832" s="3"/>
    </row>
    <row r="833">
      <c r="C833" s="12"/>
      <c r="D833" s="3"/>
      <c r="E833" s="366"/>
      <c r="F833" s="3"/>
    </row>
    <row r="834">
      <c r="C834" s="12"/>
      <c r="D834" s="3"/>
      <c r="E834" s="366"/>
      <c r="F834" s="3"/>
    </row>
    <row r="835">
      <c r="C835" s="12"/>
      <c r="D835" s="3"/>
      <c r="E835" s="366"/>
      <c r="F835" s="3"/>
    </row>
    <row r="836">
      <c r="C836" s="12"/>
      <c r="D836" s="3"/>
      <c r="E836" s="366"/>
      <c r="F836" s="3"/>
    </row>
    <row r="837">
      <c r="C837" s="12"/>
      <c r="D837" s="3"/>
      <c r="E837" s="366"/>
      <c r="F837" s="3"/>
    </row>
    <row r="838">
      <c r="C838" s="12"/>
      <c r="D838" s="3"/>
      <c r="E838" s="366"/>
      <c r="F838" s="3"/>
    </row>
    <row r="839">
      <c r="C839" s="12"/>
      <c r="D839" s="3"/>
      <c r="E839" s="366"/>
      <c r="F839" s="3"/>
    </row>
    <row r="840">
      <c r="C840" s="12"/>
      <c r="D840" s="3"/>
      <c r="E840" s="366"/>
      <c r="F840" s="3"/>
    </row>
    <row r="841">
      <c r="C841" s="12"/>
      <c r="D841" s="3"/>
      <c r="E841" s="366"/>
      <c r="F841" s="3"/>
    </row>
    <row r="842">
      <c r="C842" s="12"/>
      <c r="D842" s="3"/>
      <c r="E842" s="366"/>
      <c r="F842" s="3"/>
    </row>
    <row r="843">
      <c r="C843" s="12"/>
      <c r="D843" s="3"/>
      <c r="E843" s="366"/>
      <c r="F843" s="3"/>
    </row>
    <row r="844">
      <c r="C844" s="12"/>
      <c r="D844" s="3"/>
      <c r="E844" s="366"/>
      <c r="F844" s="3"/>
    </row>
    <row r="845">
      <c r="C845" s="12"/>
      <c r="D845" s="3"/>
      <c r="E845" s="366"/>
      <c r="F845" s="3"/>
    </row>
    <row r="846">
      <c r="C846" s="12"/>
      <c r="D846" s="3"/>
      <c r="E846" s="366"/>
      <c r="F846" s="3"/>
    </row>
    <row r="847">
      <c r="C847" s="12"/>
      <c r="D847" s="3"/>
      <c r="E847" s="366"/>
      <c r="F847" s="3"/>
    </row>
    <row r="848">
      <c r="C848" s="12"/>
      <c r="D848" s="3"/>
      <c r="E848" s="366"/>
      <c r="F848" s="3"/>
    </row>
    <row r="849">
      <c r="C849" s="12"/>
      <c r="D849" s="3"/>
      <c r="E849" s="366"/>
      <c r="F849" s="3"/>
    </row>
    <row r="850">
      <c r="C850" s="12"/>
      <c r="D850" s="3"/>
      <c r="E850" s="366"/>
      <c r="F850" s="3"/>
    </row>
    <row r="851">
      <c r="C851" s="12"/>
      <c r="D851" s="3"/>
      <c r="E851" s="366"/>
      <c r="F851" s="3"/>
    </row>
    <row r="852">
      <c r="C852" s="12"/>
      <c r="D852" s="3"/>
      <c r="E852" s="366"/>
      <c r="F852" s="3"/>
    </row>
    <row r="853">
      <c r="C853" s="12"/>
      <c r="D853" s="3"/>
      <c r="E853" s="366"/>
      <c r="F853" s="3"/>
    </row>
    <row r="854">
      <c r="C854" s="12"/>
      <c r="D854" s="3"/>
      <c r="E854" s="366"/>
      <c r="F854" s="3"/>
    </row>
    <row r="855">
      <c r="C855" s="12"/>
      <c r="D855" s="3"/>
      <c r="E855" s="366"/>
      <c r="F855" s="3"/>
    </row>
    <row r="856">
      <c r="C856" s="12"/>
      <c r="D856" s="3"/>
      <c r="E856" s="366"/>
      <c r="F856" s="3"/>
    </row>
    <row r="857">
      <c r="C857" s="12"/>
      <c r="D857" s="3"/>
      <c r="E857" s="366"/>
      <c r="F857" s="3"/>
    </row>
    <row r="858">
      <c r="C858" s="12"/>
      <c r="D858" s="3"/>
      <c r="E858" s="366"/>
      <c r="F858" s="3"/>
    </row>
    <row r="859">
      <c r="C859" s="12"/>
      <c r="D859" s="3"/>
      <c r="E859" s="366"/>
      <c r="F859" s="3"/>
    </row>
    <row r="860">
      <c r="C860" s="12"/>
      <c r="D860" s="3"/>
      <c r="E860" s="366"/>
      <c r="F860" s="3"/>
    </row>
    <row r="861">
      <c r="C861" s="12"/>
      <c r="D861" s="3"/>
      <c r="E861" s="366"/>
      <c r="F861" s="3"/>
    </row>
    <row r="862">
      <c r="C862" s="12"/>
      <c r="D862" s="3"/>
      <c r="E862" s="366"/>
      <c r="F862" s="3"/>
    </row>
    <row r="863">
      <c r="C863" s="12"/>
      <c r="D863" s="3"/>
      <c r="E863" s="366"/>
      <c r="F863" s="3"/>
    </row>
    <row r="864">
      <c r="C864" s="12"/>
      <c r="D864" s="3"/>
      <c r="E864" s="366"/>
      <c r="F864" s="3"/>
    </row>
    <row r="865">
      <c r="C865" s="12"/>
      <c r="D865" s="3"/>
      <c r="E865" s="366"/>
      <c r="F865" s="3"/>
    </row>
    <row r="866">
      <c r="C866" s="12"/>
      <c r="D866" s="3"/>
      <c r="E866" s="366"/>
      <c r="F866" s="3"/>
    </row>
    <row r="867">
      <c r="C867" s="12"/>
      <c r="D867" s="3"/>
      <c r="E867" s="366"/>
      <c r="F867" s="3"/>
    </row>
    <row r="868">
      <c r="C868" s="12"/>
      <c r="D868" s="3"/>
      <c r="E868" s="366"/>
      <c r="F868" s="3"/>
    </row>
    <row r="869">
      <c r="C869" s="12"/>
      <c r="D869" s="3"/>
      <c r="E869" s="366"/>
      <c r="F869" s="3"/>
    </row>
    <row r="870">
      <c r="C870" s="12"/>
      <c r="D870" s="3"/>
      <c r="E870" s="366"/>
      <c r="F870" s="3"/>
    </row>
    <row r="871">
      <c r="C871" s="12"/>
      <c r="D871" s="3"/>
      <c r="E871" s="366"/>
      <c r="F871" s="3"/>
    </row>
    <row r="872">
      <c r="C872" s="12"/>
      <c r="D872" s="3"/>
      <c r="E872" s="366"/>
      <c r="F872" s="3"/>
    </row>
    <row r="873">
      <c r="C873" s="12"/>
      <c r="D873" s="3"/>
      <c r="E873" s="366"/>
      <c r="F873" s="3"/>
    </row>
    <row r="874">
      <c r="C874" s="12"/>
      <c r="D874" s="3"/>
      <c r="E874" s="366"/>
      <c r="F874" s="3"/>
    </row>
    <row r="875">
      <c r="C875" s="12"/>
      <c r="D875" s="3"/>
      <c r="E875" s="366"/>
      <c r="F875" s="3"/>
    </row>
    <row r="876">
      <c r="C876" s="12"/>
      <c r="D876" s="3"/>
      <c r="E876" s="366"/>
      <c r="F876" s="3"/>
    </row>
    <row r="877">
      <c r="C877" s="12"/>
      <c r="D877" s="3"/>
      <c r="E877" s="366"/>
      <c r="F877" s="3"/>
    </row>
    <row r="878">
      <c r="C878" s="12"/>
      <c r="D878" s="3"/>
      <c r="E878" s="366"/>
      <c r="F878" s="3"/>
    </row>
    <row r="879">
      <c r="C879" s="12"/>
      <c r="D879" s="3"/>
      <c r="E879" s="366"/>
      <c r="F879" s="3"/>
    </row>
    <row r="880">
      <c r="C880" s="12"/>
      <c r="D880" s="3"/>
      <c r="E880" s="366"/>
      <c r="F880" s="3"/>
    </row>
    <row r="881">
      <c r="C881" s="12"/>
      <c r="D881" s="3"/>
      <c r="E881" s="366"/>
      <c r="F881" s="3"/>
    </row>
    <row r="882">
      <c r="C882" s="12"/>
      <c r="D882" s="3"/>
      <c r="E882" s="366"/>
      <c r="F882" s="3"/>
    </row>
    <row r="883">
      <c r="C883" s="12"/>
      <c r="D883" s="3"/>
      <c r="E883" s="366"/>
      <c r="F883" s="3"/>
    </row>
    <row r="884">
      <c r="C884" s="12"/>
      <c r="D884" s="3"/>
      <c r="E884" s="366"/>
      <c r="F884" s="3"/>
    </row>
    <row r="885">
      <c r="C885" s="12"/>
      <c r="D885" s="3"/>
      <c r="E885" s="366"/>
      <c r="F885" s="3"/>
    </row>
    <row r="886">
      <c r="C886" s="12"/>
      <c r="D886" s="3"/>
      <c r="E886" s="366"/>
      <c r="F886" s="3"/>
    </row>
    <row r="887">
      <c r="C887" s="12"/>
      <c r="D887" s="3"/>
      <c r="E887" s="366"/>
      <c r="F887" s="3"/>
    </row>
    <row r="888">
      <c r="C888" s="12"/>
      <c r="D888" s="3"/>
      <c r="E888" s="366"/>
      <c r="F888" s="3"/>
    </row>
    <row r="889">
      <c r="C889" s="12"/>
      <c r="D889" s="3"/>
      <c r="E889" s="366"/>
      <c r="F889" s="3"/>
    </row>
    <row r="890">
      <c r="C890" s="12"/>
      <c r="D890" s="3"/>
      <c r="E890" s="366"/>
      <c r="F890" s="3"/>
    </row>
    <row r="891">
      <c r="C891" s="12"/>
      <c r="D891" s="3"/>
      <c r="E891" s="366"/>
      <c r="F891" s="3"/>
    </row>
    <row r="892">
      <c r="C892" s="12"/>
      <c r="D892" s="3"/>
      <c r="E892" s="366"/>
      <c r="F892" s="3"/>
    </row>
    <row r="893">
      <c r="C893" s="12"/>
      <c r="D893" s="3"/>
      <c r="E893" s="366"/>
      <c r="F893" s="3"/>
    </row>
    <row r="894">
      <c r="C894" s="12"/>
      <c r="D894" s="3"/>
      <c r="E894" s="366"/>
      <c r="F894" s="3"/>
    </row>
    <row r="895">
      <c r="C895" s="12"/>
      <c r="D895" s="3"/>
      <c r="E895" s="366"/>
      <c r="F895" s="3"/>
    </row>
    <row r="896">
      <c r="C896" s="12"/>
      <c r="D896" s="3"/>
      <c r="E896" s="366"/>
      <c r="F896" s="3"/>
    </row>
    <row r="897">
      <c r="C897" s="12"/>
      <c r="D897" s="3"/>
      <c r="E897" s="366"/>
      <c r="F897" s="3"/>
    </row>
    <row r="898">
      <c r="C898" s="12"/>
      <c r="D898" s="3"/>
      <c r="E898" s="366"/>
      <c r="F898" s="3"/>
    </row>
    <row r="899">
      <c r="C899" s="12"/>
      <c r="D899" s="3"/>
      <c r="E899" s="366"/>
      <c r="F899" s="3"/>
    </row>
    <row r="900">
      <c r="C900" s="12"/>
      <c r="D900" s="3"/>
      <c r="E900" s="366"/>
      <c r="F900" s="3"/>
    </row>
    <row r="901">
      <c r="C901" s="12"/>
      <c r="D901" s="3"/>
      <c r="E901" s="366"/>
      <c r="F901" s="3"/>
    </row>
    <row r="902">
      <c r="C902" s="12"/>
      <c r="D902" s="3"/>
      <c r="E902" s="366"/>
      <c r="F902" s="3"/>
    </row>
    <row r="903">
      <c r="C903" s="12"/>
      <c r="D903" s="3"/>
      <c r="E903" s="366"/>
      <c r="F903" s="3"/>
    </row>
    <row r="904">
      <c r="C904" s="12"/>
      <c r="D904" s="3"/>
      <c r="E904" s="366"/>
      <c r="F904" s="3"/>
    </row>
    <row r="905">
      <c r="C905" s="12"/>
      <c r="D905" s="3"/>
      <c r="E905" s="366"/>
      <c r="F905" s="3"/>
    </row>
    <row r="906">
      <c r="C906" s="12"/>
      <c r="D906" s="3"/>
      <c r="E906" s="366"/>
      <c r="F906" s="3"/>
    </row>
    <row r="907">
      <c r="C907" s="12"/>
      <c r="D907" s="3"/>
      <c r="E907" s="366"/>
      <c r="F907" s="3"/>
    </row>
    <row r="908">
      <c r="C908" s="12"/>
      <c r="D908" s="3"/>
      <c r="E908" s="366"/>
      <c r="F908" s="3"/>
    </row>
    <row r="909">
      <c r="C909" s="12"/>
      <c r="D909" s="3"/>
      <c r="E909" s="366"/>
      <c r="F909" s="3"/>
    </row>
    <row r="910">
      <c r="C910" s="12"/>
      <c r="D910" s="3"/>
      <c r="E910" s="366"/>
      <c r="F910" s="3"/>
    </row>
    <row r="911">
      <c r="C911" s="12"/>
      <c r="D911" s="3"/>
      <c r="E911" s="366"/>
      <c r="F911" s="3"/>
    </row>
    <row r="912">
      <c r="C912" s="12"/>
      <c r="D912" s="3"/>
      <c r="E912" s="366"/>
      <c r="F912" s="3"/>
    </row>
    <row r="913">
      <c r="C913" s="12"/>
      <c r="D913" s="3"/>
      <c r="E913" s="366"/>
      <c r="F913" s="3"/>
    </row>
    <row r="914">
      <c r="C914" s="12"/>
      <c r="D914" s="3"/>
      <c r="E914" s="366"/>
      <c r="F914" s="3"/>
    </row>
    <row r="915">
      <c r="C915" s="12"/>
      <c r="D915" s="3"/>
      <c r="E915" s="366"/>
      <c r="F915" s="3"/>
    </row>
    <row r="916">
      <c r="C916" s="12"/>
      <c r="D916" s="3"/>
      <c r="E916" s="366"/>
      <c r="F916" s="3"/>
    </row>
    <row r="917">
      <c r="C917" s="12"/>
      <c r="D917" s="3"/>
      <c r="E917" s="366"/>
      <c r="F917" s="3"/>
    </row>
    <row r="918">
      <c r="C918" s="12"/>
      <c r="D918" s="3"/>
      <c r="E918" s="366"/>
      <c r="F918" s="3"/>
    </row>
    <row r="919">
      <c r="C919" s="12"/>
      <c r="D919" s="3"/>
      <c r="E919" s="366"/>
      <c r="F919" s="3"/>
    </row>
    <row r="920">
      <c r="C920" s="12"/>
      <c r="D920" s="3"/>
      <c r="E920" s="366"/>
      <c r="F920" s="3"/>
    </row>
    <row r="921">
      <c r="C921" s="12"/>
      <c r="D921" s="3"/>
      <c r="E921" s="366"/>
      <c r="F921" s="3"/>
    </row>
    <row r="922">
      <c r="C922" s="12"/>
      <c r="D922" s="3"/>
      <c r="E922" s="366"/>
      <c r="F922" s="3"/>
    </row>
    <row r="923">
      <c r="C923" s="12"/>
      <c r="D923" s="3"/>
      <c r="E923" s="366"/>
      <c r="F923" s="3"/>
    </row>
    <row r="924">
      <c r="C924" s="12"/>
      <c r="D924" s="3"/>
      <c r="E924" s="366"/>
      <c r="F924" s="3"/>
    </row>
    <row r="925">
      <c r="C925" s="12"/>
      <c r="D925" s="3"/>
      <c r="E925" s="366"/>
      <c r="F925" s="3"/>
    </row>
    <row r="926">
      <c r="C926" s="12"/>
      <c r="D926" s="3"/>
      <c r="E926" s="366"/>
      <c r="F926" s="3"/>
    </row>
    <row r="927">
      <c r="C927" s="12"/>
      <c r="D927" s="3"/>
      <c r="E927" s="366"/>
      <c r="F927" s="3"/>
    </row>
    <row r="928">
      <c r="C928" s="12"/>
      <c r="D928" s="3"/>
      <c r="E928" s="366"/>
      <c r="F928" s="3"/>
    </row>
    <row r="929">
      <c r="C929" s="12"/>
      <c r="D929" s="3"/>
      <c r="E929" s="366"/>
      <c r="F929" s="3"/>
    </row>
    <row r="930">
      <c r="C930" s="12"/>
      <c r="D930" s="3"/>
      <c r="E930" s="366"/>
      <c r="F930" s="3"/>
    </row>
    <row r="931">
      <c r="C931" s="12"/>
      <c r="D931" s="3"/>
      <c r="E931" s="366"/>
      <c r="F931" s="3"/>
    </row>
    <row r="932">
      <c r="C932" s="12"/>
      <c r="D932" s="3"/>
      <c r="E932" s="366"/>
      <c r="F932" s="3"/>
    </row>
    <row r="933">
      <c r="C933" s="12"/>
      <c r="D933" s="3"/>
      <c r="E933" s="366"/>
      <c r="F933" s="3"/>
    </row>
    <row r="934">
      <c r="C934" s="12"/>
      <c r="D934" s="3"/>
      <c r="E934" s="366"/>
      <c r="F934" s="3"/>
    </row>
    <row r="935">
      <c r="C935" s="12"/>
      <c r="D935" s="3"/>
      <c r="E935" s="366"/>
      <c r="F935" s="3"/>
    </row>
    <row r="936">
      <c r="C936" s="12"/>
      <c r="D936" s="3"/>
      <c r="E936" s="366"/>
      <c r="F936" s="3"/>
    </row>
    <row r="937">
      <c r="C937" s="12"/>
      <c r="D937" s="3"/>
      <c r="E937" s="366"/>
      <c r="F937" s="3"/>
    </row>
    <row r="938">
      <c r="C938" s="12"/>
      <c r="D938" s="3"/>
      <c r="E938" s="366"/>
      <c r="F938" s="3"/>
    </row>
    <row r="939">
      <c r="C939" s="12"/>
      <c r="D939" s="3"/>
      <c r="E939" s="366"/>
      <c r="F939" s="3"/>
    </row>
    <row r="940">
      <c r="C940" s="12"/>
      <c r="D940" s="3"/>
      <c r="E940" s="366"/>
      <c r="F940" s="3"/>
    </row>
    <row r="941">
      <c r="C941" s="12"/>
      <c r="D941" s="3"/>
      <c r="E941" s="366"/>
      <c r="F941" s="3"/>
    </row>
    <row r="942">
      <c r="C942" s="12"/>
      <c r="D942" s="3"/>
      <c r="E942" s="366"/>
      <c r="F942" s="3"/>
    </row>
    <row r="943">
      <c r="C943" s="12"/>
      <c r="D943" s="3"/>
      <c r="E943" s="366"/>
      <c r="F943" s="3"/>
    </row>
    <row r="944">
      <c r="C944" s="12"/>
      <c r="D944" s="3"/>
      <c r="E944" s="366"/>
      <c r="F944" s="3"/>
    </row>
    <row r="945">
      <c r="C945" s="12"/>
      <c r="D945" s="3"/>
      <c r="E945" s="366"/>
      <c r="F945" s="3"/>
    </row>
    <row r="946">
      <c r="C946" s="12"/>
      <c r="D946" s="3"/>
      <c r="E946" s="366"/>
      <c r="F946" s="3"/>
    </row>
    <row r="947">
      <c r="C947" s="12"/>
      <c r="D947" s="3"/>
      <c r="E947" s="366"/>
      <c r="F947" s="3"/>
    </row>
    <row r="948">
      <c r="C948" s="12"/>
      <c r="D948" s="3"/>
      <c r="E948" s="366"/>
      <c r="F948" s="3"/>
    </row>
    <row r="949">
      <c r="C949" s="12"/>
      <c r="D949" s="3"/>
      <c r="E949" s="366"/>
      <c r="F949" s="3"/>
    </row>
    <row r="950">
      <c r="C950" s="12"/>
      <c r="D950" s="3"/>
      <c r="E950" s="366"/>
      <c r="F950" s="3"/>
    </row>
    <row r="951">
      <c r="C951" s="12"/>
      <c r="D951" s="3"/>
      <c r="E951" s="366"/>
      <c r="F951" s="3"/>
    </row>
    <row r="952">
      <c r="C952" s="12"/>
      <c r="D952" s="3"/>
      <c r="E952" s="366"/>
      <c r="F952" s="3"/>
    </row>
    <row r="953">
      <c r="C953" s="12"/>
      <c r="D953" s="3"/>
      <c r="E953" s="366"/>
      <c r="F953" s="3"/>
    </row>
    <row r="954">
      <c r="C954" s="12"/>
      <c r="D954" s="3"/>
      <c r="E954" s="366"/>
      <c r="F954" s="3"/>
    </row>
    <row r="955">
      <c r="C955" s="12"/>
      <c r="D955" s="3"/>
      <c r="E955" s="366"/>
      <c r="F955" s="3"/>
    </row>
    <row r="956">
      <c r="C956" s="12"/>
      <c r="D956" s="3"/>
      <c r="E956" s="366"/>
      <c r="F956" s="3"/>
    </row>
    <row r="957">
      <c r="C957" s="12"/>
      <c r="D957" s="3"/>
      <c r="E957" s="366"/>
      <c r="F957" s="3"/>
    </row>
    <row r="958">
      <c r="C958" s="12"/>
      <c r="D958" s="3"/>
      <c r="E958" s="366"/>
      <c r="F958" s="3"/>
    </row>
    <row r="959">
      <c r="C959" s="12"/>
      <c r="D959" s="3"/>
      <c r="E959" s="366"/>
      <c r="F959" s="3"/>
    </row>
    <row r="960">
      <c r="C960" s="12"/>
      <c r="D960" s="3"/>
      <c r="E960" s="366"/>
      <c r="F960" s="3"/>
    </row>
    <row r="961">
      <c r="C961" s="12"/>
      <c r="D961" s="3"/>
      <c r="E961" s="366"/>
      <c r="F961" s="3"/>
    </row>
    <row r="962">
      <c r="C962" s="12"/>
      <c r="D962" s="3"/>
      <c r="E962" s="366"/>
      <c r="F962" s="3"/>
    </row>
    <row r="963">
      <c r="C963" s="12"/>
      <c r="D963" s="3"/>
      <c r="E963" s="366"/>
      <c r="F963" s="3"/>
    </row>
    <row r="964">
      <c r="C964" s="12"/>
      <c r="D964" s="3"/>
      <c r="E964" s="366"/>
      <c r="F964" s="3"/>
    </row>
    <row r="965">
      <c r="C965" s="12"/>
      <c r="D965" s="3"/>
      <c r="E965" s="366"/>
      <c r="F965" s="3"/>
    </row>
    <row r="966">
      <c r="C966" s="12"/>
      <c r="D966" s="3"/>
      <c r="E966" s="366"/>
      <c r="F966" s="3"/>
    </row>
    <row r="967">
      <c r="C967" s="12"/>
      <c r="D967" s="3"/>
      <c r="E967" s="366"/>
      <c r="F967" s="3"/>
    </row>
    <row r="968">
      <c r="C968" s="12"/>
      <c r="D968" s="3"/>
      <c r="E968" s="366"/>
      <c r="F968" s="3"/>
    </row>
    <row r="969">
      <c r="C969" s="12"/>
      <c r="D969" s="3"/>
      <c r="E969" s="366"/>
      <c r="F969" s="3"/>
    </row>
    <row r="970">
      <c r="C970" s="12"/>
      <c r="D970" s="3"/>
      <c r="E970" s="366"/>
      <c r="F970" s="3"/>
    </row>
    <row r="971">
      <c r="C971" s="12"/>
      <c r="D971" s="3"/>
      <c r="E971" s="366"/>
      <c r="F971" s="3"/>
    </row>
    <row r="972">
      <c r="C972" s="12"/>
      <c r="D972" s="3"/>
      <c r="E972" s="366"/>
      <c r="F972" s="3"/>
    </row>
    <row r="973">
      <c r="C973" s="12"/>
      <c r="D973" s="3"/>
      <c r="E973" s="366"/>
      <c r="F973" s="3"/>
    </row>
    <row r="974">
      <c r="C974" s="12"/>
      <c r="D974" s="3"/>
      <c r="E974" s="366"/>
      <c r="F974" s="3"/>
    </row>
    <row r="975">
      <c r="C975" s="12"/>
      <c r="D975" s="3"/>
      <c r="E975" s="366"/>
      <c r="F975" s="3"/>
    </row>
    <row r="976">
      <c r="C976" s="12"/>
      <c r="D976" s="3"/>
      <c r="E976" s="366"/>
      <c r="F976" s="3"/>
    </row>
    <row r="977">
      <c r="C977" s="12"/>
      <c r="D977" s="3"/>
      <c r="E977" s="366"/>
      <c r="F977" s="3"/>
    </row>
    <row r="978">
      <c r="C978" s="12"/>
      <c r="D978" s="3"/>
      <c r="E978" s="366"/>
      <c r="F978" s="3"/>
    </row>
    <row r="979">
      <c r="C979" s="12"/>
      <c r="D979" s="3"/>
      <c r="E979" s="366"/>
      <c r="F979" s="3"/>
    </row>
    <row r="980">
      <c r="C980" s="12"/>
      <c r="D980" s="3"/>
      <c r="E980" s="366"/>
      <c r="F980" s="3"/>
    </row>
    <row r="981">
      <c r="C981" s="12"/>
      <c r="D981" s="3"/>
      <c r="E981" s="366"/>
      <c r="F981" s="3"/>
    </row>
    <row r="982">
      <c r="C982" s="12"/>
      <c r="D982" s="3"/>
      <c r="E982" s="366"/>
      <c r="F982" s="3"/>
    </row>
    <row r="983">
      <c r="C983" s="12"/>
      <c r="D983" s="3"/>
      <c r="E983" s="366"/>
      <c r="F983" s="3"/>
    </row>
    <row r="984">
      <c r="C984" s="12"/>
      <c r="D984" s="3"/>
      <c r="E984" s="366"/>
      <c r="F984" s="3"/>
    </row>
    <row r="985">
      <c r="C985" s="12"/>
      <c r="D985" s="3"/>
      <c r="E985" s="366"/>
      <c r="F985" s="3"/>
    </row>
    <row r="986">
      <c r="C986" s="12"/>
      <c r="D986" s="3"/>
      <c r="E986" s="366"/>
      <c r="F986" s="3"/>
    </row>
    <row r="987">
      <c r="C987" s="12"/>
      <c r="D987" s="3"/>
      <c r="E987" s="366"/>
      <c r="F987" s="3"/>
    </row>
    <row r="988">
      <c r="C988" s="12"/>
      <c r="D988" s="3"/>
      <c r="E988" s="366"/>
      <c r="F988" s="3"/>
    </row>
    <row r="989">
      <c r="C989" s="12"/>
      <c r="D989" s="3"/>
      <c r="E989" s="366"/>
      <c r="F989" s="3"/>
    </row>
    <row r="990">
      <c r="C990" s="12"/>
      <c r="D990" s="3"/>
      <c r="E990" s="366"/>
      <c r="F990" s="3"/>
    </row>
    <row r="991">
      <c r="C991" s="12"/>
      <c r="D991" s="3"/>
      <c r="E991" s="366"/>
      <c r="F991" s="3"/>
    </row>
    <row r="992">
      <c r="C992" s="12"/>
      <c r="D992" s="3"/>
      <c r="E992" s="366"/>
      <c r="F992" s="3"/>
    </row>
    <row r="993">
      <c r="C993" s="12"/>
      <c r="D993" s="3"/>
      <c r="E993" s="366"/>
      <c r="F993" s="3"/>
    </row>
    <row r="994">
      <c r="C994" s="12"/>
      <c r="D994" s="3"/>
      <c r="E994" s="366"/>
      <c r="F994" s="3"/>
    </row>
    <row r="995">
      <c r="C995" s="12"/>
      <c r="D995" s="3"/>
      <c r="E995" s="366"/>
      <c r="F995" s="3"/>
    </row>
    <row r="996">
      <c r="C996" s="12"/>
      <c r="D996" s="3"/>
      <c r="E996" s="366"/>
      <c r="F996" s="3"/>
    </row>
    <row r="997">
      <c r="C997" s="12"/>
      <c r="D997" s="3"/>
      <c r="E997" s="366"/>
      <c r="F997" s="3"/>
    </row>
    <row r="998">
      <c r="C998" s="12"/>
      <c r="D998" s="3"/>
      <c r="E998" s="366"/>
      <c r="F998" s="3"/>
    </row>
    <row r="999">
      <c r="C999" s="12"/>
      <c r="D999" s="3"/>
      <c r="E999" s="366"/>
      <c r="F999" s="3"/>
    </row>
    <row r="1000">
      <c r="C1000" s="12"/>
      <c r="D1000" s="3"/>
      <c r="E1000" s="366"/>
      <c r="F1000" s="3"/>
    </row>
    <row r="1001">
      <c r="C1001" s="12"/>
      <c r="D1001" s="3"/>
      <c r="E1001" s="366"/>
      <c r="F1001" s="3"/>
    </row>
    <row r="1002">
      <c r="C1002" s="12"/>
      <c r="D1002" s="3"/>
      <c r="E1002" s="366"/>
      <c r="F1002" s="3"/>
    </row>
    <row r="1003">
      <c r="C1003" s="12"/>
      <c r="D1003" s="3"/>
      <c r="E1003" s="366"/>
      <c r="F1003" s="3"/>
    </row>
    <row r="1004">
      <c r="C1004" s="12"/>
      <c r="D1004" s="3"/>
      <c r="E1004" s="366"/>
      <c r="F1004" s="3"/>
    </row>
    <row r="1005">
      <c r="C1005" s="12"/>
      <c r="D1005" s="3"/>
      <c r="E1005" s="366"/>
      <c r="F1005" s="3"/>
    </row>
    <row r="1006">
      <c r="C1006" s="12"/>
      <c r="D1006" s="3"/>
      <c r="E1006" s="366"/>
      <c r="F1006" s="3"/>
    </row>
    <row r="1007">
      <c r="C1007" s="12"/>
      <c r="D1007" s="3"/>
      <c r="E1007" s="366"/>
      <c r="F1007" s="3"/>
    </row>
    <row r="1008">
      <c r="C1008" s="12"/>
      <c r="D1008" s="3"/>
      <c r="E1008" s="366"/>
      <c r="F1008" s="3"/>
    </row>
    <row r="1009">
      <c r="C1009" s="12"/>
      <c r="D1009" s="3"/>
      <c r="E1009" s="366"/>
      <c r="F1009" s="3"/>
    </row>
    <row r="1010">
      <c r="C1010" s="12"/>
      <c r="D1010" s="3"/>
      <c r="E1010" s="366"/>
      <c r="F1010" s="3"/>
    </row>
    <row r="1011">
      <c r="C1011" s="12"/>
      <c r="D1011" s="3"/>
      <c r="E1011" s="366"/>
      <c r="F1011" s="3"/>
    </row>
  </sheetData>
  <mergeCells count="26">
    <mergeCell ref="E3:G4"/>
    <mergeCell ref="E5:G5"/>
    <mergeCell ref="E6:G7"/>
    <mergeCell ref="E8:G8"/>
    <mergeCell ref="E9:G10"/>
    <mergeCell ref="A5:B6"/>
    <mergeCell ref="A7:B8"/>
    <mergeCell ref="A9:B10"/>
    <mergeCell ref="A11:B12"/>
    <mergeCell ref="A1:C1"/>
    <mergeCell ref="E1:G1"/>
    <mergeCell ref="I1:L1"/>
    <mergeCell ref="A2:B2"/>
    <mergeCell ref="E2:G2"/>
    <mergeCell ref="A3:B4"/>
    <mergeCell ref="I6:L6"/>
    <mergeCell ref="I7:J8"/>
    <mergeCell ref="I10:J11"/>
    <mergeCell ref="I2:L2"/>
    <mergeCell ref="I3:J3"/>
    <mergeCell ref="K3:L3"/>
    <mergeCell ref="I4:J5"/>
    <mergeCell ref="K4:L5"/>
    <mergeCell ref="K7:L8"/>
    <mergeCell ref="I9:L9"/>
    <mergeCell ref="K10:L11"/>
  </mergeCells>
  <dataValidations>
    <dataValidation type="list" allowBlank="1" showErrorMessage="1" sqref="H16:H92">
      <formula1>"Hair Serum,Body Bleach,Paket Skincare 1 (Toneup, Instaglow Cream, dan Essence,Paket Skincare 2 (Fw low ph, acne spot, dan instaglow cream),Paket skincare 3 (Fw brightening, toneup, instaglow cream)"</formula1>
    </dataValidation>
    <dataValidation type="list" allowBlank="1" showErrorMessage="1" sqref="I16:I165">
      <formula1>"Sampai,Sudah Proses Pengiriman,Kendala [FU!],Done Req Sample"</formula1>
    </dataValidation>
    <dataValidation type="list" allowBlank="1" showErrorMessage="1" sqref="A16:A165">
      <formula1>"MEGA,MACRO,MICRO,NANO"</formula1>
    </dataValidation>
    <dataValidation type="list" allowBlank="1" showErrorMessage="1" sqref="J16:J165 L16:L165 N16:N165 P16:P165">
      <formula1>" Concept 1,Concept 2,Concept 3,Concept 4"</formula1>
    </dataValidation>
  </dataValidations>
  <hyperlinks>
    <hyperlink r:id="rId4" ref="C16"/>
    <hyperlink r:id="rId5" ref="K16"/>
    <hyperlink r:id="rId6" ref="M16"/>
    <hyperlink r:id="rId7" ref="C17"/>
    <hyperlink r:id="rId8" ref="K17"/>
    <hyperlink r:id="rId9" ref="M17"/>
    <hyperlink r:id="rId10" ref="O17"/>
    <hyperlink r:id="rId11" ref="Q17"/>
    <hyperlink r:id="rId12" ref="R17"/>
    <hyperlink r:id="rId13" ref="S17"/>
    <hyperlink r:id="rId14" ref="C18"/>
    <hyperlink r:id="rId15" ref="K18"/>
    <hyperlink r:id="rId16" ref="C19"/>
    <hyperlink r:id="rId17" ref="K19"/>
    <hyperlink r:id="rId18" ref="M19"/>
    <hyperlink r:id="rId19" ref="O19"/>
    <hyperlink r:id="rId20" ref="C20"/>
    <hyperlink r:id="rId21" ref="K20"/>
    <hyperlink r:id="rId22" ref="M20"/>
    <hyperlink r:id="rId23" ref="C21"/>
    <hyperlink r:id="rId24" ref="K21"/>
    <hyperlink r:id="rId25" ref="C22"/>
    <hyperlink r:id="rId26" ref="K22"/>
    <hyperlink r:id="rId27" ref="M22"/>
    <hyperlink r:id="rId28" ref="C23"/>
    <hyperlink r:id="rId29" ref="K23"/>
    <hyperlink r:id="rId30" ref="M23"/>
    <hyperlink r:id="rId31" ref="C24"/>
    <hyperlink r:id="rId32" ref="K24"/>
    <hyperlink r:id="rId33" ref="B25"/>
    <hyperlink r:id="rId34" ref="C25"/>
    <hyperlink r:id="rId35" ref="K25"/>
    <hyperlink r:id="rId36" ref="M25"/>
    <hyperlink r:id="rId37" ref="O25"/>
    <hyperlink r:id="rId38" ref="C26"/>
    <hyperlink r:id="rId39" ref="K26"/>
    <hyperlink r:id="rId40" ref="M26"/>
    <hyperlink r:id="rId41" ref="C27"/>
    <hyperlink r:id="rId42" ref="K27"/>
    <hyperlink r:id="rId43" ref="M27"/>
    <hyperlink r:id="rId44" ref="C28"/>
    <hyperlink r:id="rId45" ref="K28"/>
    <hyperlink r:id="rId46" ref="M28"/>
    <hyperlink r:id="rId47" ref="C29"/>
    <hyperlink r:id="rId48" ref="K29"/>
    <hyperlink r:id="rId49" ref="C30"/>
    <hyperlink r:id="rId50" ref="K30"/>
    <hyperlink r:id="rId51" ref="M30"/>
    <hyperlink r:id="rId52" ref="O30"/>
    <hyperlink r:id="rId53" ref="Q30"/>
    <hyperlink r:id="rId54" ref="R30"/>
    <hyperlink r:id="rId55" ref="S30"/>
    <hyperlink r:id="rId56" ref="C31"/>
    <hyperlink r:id="rId57" ref="K31"/>
    <hyperlink r:id="rId58" ref="M31"/>
    <hyperlink r:id="rId59" ref="C32"/>
    <hyperlink r:id="rId60" ref="K32"/>
    <hyperlink r:id="rId61" ref="M32"/>
    <hyperlink r:id="rId62" ref="C33"/>
    <hyperlink r:id="rId63" ref="K33"/>
    <hyperlink r:id="rId64" ref="C34"/>
    <hyperlink r:id="rId65" ref="K34"/>
    <hyperlink r:id="rId66" ref="M34"/>
    <hyperlink r:id="rId67" ref="C35"/>
    <hyperlink r:id="rId68" ref="K35"/>
    <hyperlink r:id="rId69" ref="C36"/>
    <hyperlink r:id="rId70" ref="K36"/>
    <hyperlink r:id="rId71" ref="M36"/>
    <hyperlink r:id="rId72" ref="C37"/>
    <hyperlink r:id="rId73" ref="K37"/>
    <hyperlink r:id="rId74" ref="M37"/>
    <hyperlink r:id="rId75" ref="C38"/>
    <hyperlink r:id="rId76" ref="K38"/>
    <hyperlink r:id="rId77" ref="M38"/>
    <hyperlink r:id="rId78" ref="O38"/>
    <hyperlink r:id="rId79" ref="C39"/>
    <hyperlink r:id="rId80" ref="K39"/>
    <hyperlink r:id="rId81" ref="M39"/>
    <hyperlink r:id="rId82" ref="C40"/>
    <hyperlink r:id="rId83" ref="K40"/>
    <hyperlink r:id="rId84" ref="M40"/>
    <hyperlink r:id="rId85" ref="O40"/>
    <hyperlink r:id="rId86" ref="Q40"/>
    <hyperlink r:id="rId87" ref="C41"/>
    <hyperlink r:id="rId88" ref="K41"/>
    <hyperlink r:id="rId89" ref="C42"/>
    <hyperlink r:id="rId90" ref="K42"/>
    <hyperlink r:id="rId91" ref="M42"/>
    <hyperlink r:id="rId92" ref="C43"/>
    <hyperlink r:id="rId93" ref="K43"/>
    <hyperlink r:id="rId94" ref="M43"/>
    <hyperlink r:id="rId95" ref="C44"/>
    <hyperlink r:id="rId96" ref="K44"/>
    <hyperlink r:id="rId97" ref="M44"/>
    <hyperlink r:id="rId98" ref="C45"/>
    <hyperlink r:id="rId99" ref="K45"/>
    <hyperlink r:id="rId100" ref="M45"/>
    <hyperlink r:id="rId101" ref="O45"/>
    <hyperlink r:id="rId102" ref="B46"/>
    <hyperlink r:id="rId103" ref="C46"/>
    <hyperlink r:id="rId104" ref="K46"/>
    <hyperlink r:id="rId105" ref="C47"/>
    <hyperlink r:id="rId106" ref="K47"/>
    <hyperlink r:id="rId107" ref="M47"/>
    <hyperlink r:id="rId108" ref="C48"/>
    <hyperlink r:id="rId109" ref="K48"/>
    <hyperlink r:id="rId110" ref="M48"/>
    <hyperlink r:id="rId111" ref="O48"/>
    <hyperlink r:id="rId112" ref="C49"/>
    <hyperlink r:id="rId113" ref="K49"/>
    <hyperlink r:id="rId114" ref="C50"/>
    <hyperlink r:id="rId115" ref="K50"/>
    <hyperlink r:id="rId116" ref="C51"/>
    <hyperlink r:id="rId117" ref="K51"/>
    <hyperlink r:id="rId118" ref="M51"/>
    <hyperlink r:id="rId119" ref="C52"/>
    <hyperlink r:id="rId120" ref="K52"/>
    <hyperlink r:id="rId121" ref="M52"/>
    <hyperlink r:id="rId122" ref="C53"/>
    <hyperlink r:id="rId123" ref="K53"/>
    <hyperlink r:id="rId124" ref="M53"/>
    <hyperlink r:id="rId125" ref="C54"/>
    <hyperlink r:id="rId126" ref="K54"/>
    <hyperlink r:id="rId127" ref="M54"/>
    <hyperlink r:id="rId128" ref="C55"/>
    <hyperlink r:id="rId129" ref="K55"/>
    <hyperlink r:id="rId130" ref="M55"/>
    <hyperlink r:id="rId131" ref="O55"/>
    <hyperlink r:id="rId132" ref="C56"/>
    <hyperlink r:id="rId133" ref="C57"/>
    <hyperlink r:id="rId134" ref="K57"/>
    <hyperlink r:id="rId135" ref="C58"/>
    <hyperlink r:id="rId136" ref="C59"/>
    <hyperlink r:id="rId137" ref="K59"/>
    <hyperlink r:id="rId138" ref="M59"/>
    <hyperlink r:id="rId139" ref="C60"/>
    <hyperlink r:id="rId140" ref="K60"/>
    <hyperlink r:id="rId141" ref="C61"/>
    <hyperlink r:id="rId142" ref="K61"/>
    <hyperlink r:id="rId143" ref="M61"/>
    <hyperlink r:id="rId144" ref="C62"/>
    <hyperlink r:id="rId145" ref="C63"/>
    <hyperlink r:id="rId146" ref="K63"/>
    <hyperlink r:id="rId147" ref="M63"/>
    <hyperlink r:id="rId148" ref="O63"/>
    <hyperlink r:id="rId149" ref="C64"/>
    <hyperlink r:id="rId150" ref="K64"/>
    <hyperlink r:id="rId151" ref="M64"/>
    <hyperlink r:id="rId152" ref="O64"/>
    <hyperlink r:id="rId153" ref="C65"/>
    <hyperlink r:id="rId154" ref="K65"/>
    <hyperlink r:id="rId155" ref="M65"/>
    <hyperlink r:id="rId156" ref="C66"/>
    <hyperlink r:id="rId157" ref="K66"/>
    <hyperlink r:id="rId158" ref="C67"/>
    <hyperlink r:id="rId159" ref="K67"/>
    <hyperlink r:id="rId160" ref="M67"/>
    <hyperlink r:id="rId161" ref="C68"/>
    <hyperlink r:id="rId162" ref="K68"/>
    <hyperlink r:id="rId163" ref="M68"/>
    <hyperlink r:id="rId164" ref="O68"/>
    <hyperlink r:id="rId165" ref="C69"/>
    <hyperlink r:id="rId166" ref="K69"/>
    <hyperlink r:id="rId167" ref="M69"/>
    <hyperlink r:id="rId168" ref="C70"/>
    <hyperlink r:id="rId169" ref="K70"/>
    <hyperlink r:id="rId170" ref="M70"/>
    <hyperlink r:id="rId171" ref="C71"/>
    <hyperlink r:id="rId172" ref="K71"/>
    <hyperlink r:id="rId173" ref="M71"/>
    <hyperlink r:id="rId174" ref="C72"/>
    <hyperlink r:id="rId175" ref="K72"/>
    <hyperlink r:id="rId176" ref="M72"/>
    <hyperlink r:id="rId177" ref="C73"/>
    <hyperlink r:id="rId178" ref="K73"/>
    <hyperlink r:id="rId179" ref="M73"/>
    <hyperlink r:id="rId180" ref="C74"/>
    <hyperlink r:id="rId181" ref="K74"/>
    <hyperlink r:id="rId182" ref="M74"/>
    <hyperlink r:id="rId183" ref="C75"/>
    <hyperlink r:id="rId184" ref="K75"/>
    <hyperlink r:id="rId185" ref="M75"/>
    <hyperlink r:id="rId186" ref="C76"/>
    <hyperlink r:id="rId187" ref="K76"/>
    <hyperlink r:id="rId188" ref="M76"/>
    <hyperlink r:id="rId189" ref="C77"/>
    <hyperlink r:id="rId190" ref="K77"/>
    <hyperlink r:id="rId191" ref="M77"/>
    <hyperlink r:id="rId192" ref="C78"/>
    <hyperlink r:id="rId193" ref="K78"/>
    <hyperlink r:id="rId194" ref="M78"/>
    <hyperlink r:id="rId195" ref="C79"/>
    <hyperlink r:id="rId196" ref="K79"/>
    <hyperlink r:id="rId197" ref="C80"/>
    <hyperlink r:id="rId198" ref="K80"/>
    <hyperlink r:id="rId199" ref="M80"/>
    <hyperlink r:id="rId200" ref="C81"/>
    <hyperlink r:id="rId201" ref="K81"/>
    <hyperlink r:id="rId202" ref="M81"/>
    <hyperlink r:id="rId203" ref="O81"/>
    <hyperlink r:id="rId204" ref="C82"/>
    <hyperlink r:id="rId205" ref="K82"/>
    <hyperlink r:id="rId206" ref="M82"/>
    <hyperlink r:id="rId207" ref="O82"/>
    <hyperlink r:id="rId208" ref="C83"/>
    <hyperlink r:id="rId209" ref="K83"/>
    <hyperlink r:id="rId210" ref="M83"/>
    <hyperlink r:id="rId211" ref="C84"/>
    <hyperlink r:id="rId212" ref="K84"/>
    <hyperlink r:id="rId213" ref="C85"/>
    <hyperlink r:id="rId214" ref="K85"/>
    <hyperlink r:id="rId215" ref="M85"/>
    <hyperlink r:id="rId216" ref="C86"/>
    <hyperlink r:id="rId217" ref="K86"/>
    <hyperlink r:id="rId218" ref="M86"/>
    <hyperlink r:id="rId219" ref="C87"/>
    <hyperlink r:id="rId220" ref="K87"/>
    <hyperlink r:id="rId221" ref="M87"/>
    <hyperlink r:id="rId222" ref="C88"/>
    <hyperlink r:id="rId223" ref="K88"/>
    <hyperlink r:id="rId224" ref="C89"/>
    <hyperlink r:id="rId225" ref="K89"/>
    <hyperlink r:id="rId226" ref="C90"/>
    <hyperlink r:id="rId227" ref="K90"/>
    <hyperlink r:id="rId228" ref="M90"/>
    <hyperlink r:id="rId229" ref="O90"/>
    <hyperlink r:id="rId230" ref="C91"/>
    <hyperlink r:id="rId231" ref="K91"/>
    <hyperlink r:id="rId232" ref="C92"/>
    <hyperlink r:id="rId233" ref="K92"/>
    <hyperlink r:id="rId234" ref="M92"/>
    <hyperlink r:id="rId235" ref="O92"/>
    <hyperlink r:id="rId236" ref="C93"/>
    <hyperlink r:id="rId237" ref="K93"/>
    <hyperlink r:id="rId238" ref="C94"/>
    <hyperlink r:id="rId239" ref="K94"/>
    <hyperlink r:id="rId240" ref="C95"/>
    <hyperlink r:id="rId241" ref="K95"/>
    <hyperlink r:id="rId242" ref="C96"/>
    <hyperlink r:id="rId243" ref="K96"/>
    <hyperlink r:id="rId244" ref="C97"/>
    <hyperlink r:id="rId245" ref="C98"/>
    <hyperlink r:id="rId246" ref="K98"/>
    <hyperlink r:id="rId247" ref="C99"/>
    <hyperlink r:id="rId248" ref="C100"/>
    <hyperlink r:id="rId249" ref="K100"/>
    <hyperlink r:id="rId250" ref="M100"/>
    <hyperlink r:id="rId251" ref="C101"/>
    <hyperlink r:id="rId252" ref="K101"/>
    <hyperlink r:id="rId253" ref="M101"/>
    <hyperlink r:id="rId254" ref="O101"/>
    <hyperlink r:id="rId255" ref="C102"/>
    <hyperlink r:id="rId256" ref="K102"/>
    <hyperlink r:id="rId257" ref="M102"/>
    <hyperlink r:id="rId258" ref="O102"/>
    <hyperlink r:id="rId259" ref="C103"/>
    <hyperlink r:id="rId260" ref="K103"/>
    <hyperlink r:id="rId261" ref="C104"/>
    <hyperlink r:id="rId262" ref="K104"/>
    <hyperlink r:id="rId263" ref="C105"/>
    <hyperlink r:id="rId264" ref="K105"/>
    <hyperlink r:id="rId265" ref="M105"/>
    <hyperlink r:id="rId266" ref="C106"/>
    <hyperlink r:id="rId267" ref="K106"/>
    <hyperlink r:id="rId268" ref="M106"/>
    <hyperlink r:id="rId269" ref="C107"/>
    <hyperlink r:id="rId270" ref="K107"/>
    <hyperlink r:id="rId271" ref="C108"/>
    <hyperlink r:id="rId272" ref="K108"/>
    <hyperlink r:id="rId273" ref="M108"/>
    <hyperlink r:id="rId274" ref="O108"/>
    <hyperlink r:id="rId275" ref="Q108"/>
    <hyperlink r:id="rId276" ref="C109"/>
    <hyperlink r:id="rId277" ref="K109"/>
    <hyperlink r:id="rId278" ref="M109"/>
    <hyperlink r:id="rId279" ref="C110"/>
    <hyperlink r:id="rId280" ref="K110"/>
    <hyperlink r:id="rId281" ref="C111"/>
    <hyperlink r:id="rId282" ref="K111"/>
    <hyperlink r:id="rId283" ref="C112"/>
    <hyperlink r:id="rId284" ref="K112"/>
    <hyperlink r:id="rId285" ref="M112"/>
    <hyperlink r:id="rId286" ref="O112"/>
    <hyperlink r:id="rId287" ref="C113"/>
    <hyperlink r:id="rId288" ref="K113"/>
    <hyperlink r:id="rId289" ref="M113"/>
    <hyperlink r:id="rId290" ref="C114"/>
    <hyperlink r:id="rId291" ref="K114"/>
    <hyperlink r:id="rId292" ref="M114"/>
    <hyperlink r:id="rId293" ref="C115"/>
    <hyperlink r:id="rId294" ref="K115"/>
    <hyperlink r:id="rId295" ref="M115"/>
    <hyperlink r:id="rId296" ref="C116"/>
    <hyperlink r:id="rId297" ref="K116"/>
    <hyperlink r:id="rId298" ref="M116"/>
    <hyperlink r:id="rId299" ref="C117"/>
    <hyperlink r:id="rId300" ref="K117"/>
    <hyperlink r:id="rId301" ref="M117"/>
    <hyperlink r:id="rId302" ref="O117"/>
    <hyperlink r:id="rId303" ref="Q117"/>
    <hyperlink r:id="rId304" ref="R117"/>
    <hyperlink r:id="rId305" ref="C118"/>
    <hyperlink r:id="rId306" ref="K118"/>
    <hyperlink r:id="rId307" ref="M118"/>
    <hyperlink r:id="rId308" ref="O118"/>
    <hyperlink r:id="rId309" ref="C119"/>
    <hyperlink r:id="rId310" ref="K119"/>
    <hyperlink r:id="rId311" ref="M119"/>
    <hyperlink r:id="rId312" ref="C120"/>
    <hyperlink r:id="rId313" ref="K120"/>
    <hyperlink r:id="rId314" ref="C121"/>
    <hyperlink r:id="rId315" ref="K121"/>
    <hyperlink r:id="rId316" ref="M121"/>
    <hyperlink r:id="rId317" ref="C122"/>
    <hyperlink r:id="rId318" ref="K122"/>
    <hyperlink r:id="rId319" ref="M122"/>
    <hyperlink r:id="rId320" ref="C123"/>
    <hyperlink r:id="rId321" ref="C124"/>
    <hyperlink r:id="rId322" ref="K124"/>
    <hyperlink r:id="rId323" ref="M124"/>
    <hyperlink r:id="rId324" ref="C125"/>
    <hyperlink r:id="rId325" ref="K125"/>
    <hyperlink r:id="rId326" ref="C126"/>
    <hyperlink r:id="rId327" ref="K126"/>
    <hyperlink r:id="rId328" ref="M126"/>
    <hyperlink r:id="rId329" ref="C127"/>
    <hyperlink r:id="rId330" ref="C128"/>
    <hyperlink r:id="rId331" ref="K128"/>
    <hyperlink r:id="rId332" ref="C129"/>
    <hyperlink r:id="rId333" ref="B130"/>
    <hyperlink r:id="rId334" ref="C130"/>
    <hyperlink r:id="rId335" ref="K130"/>
    <hyperlink r:id="rId336" ref="M130"/>
    <hyperlink r:id="rId337" ref="C131"/>
    <hyperlink r:id="rId338" ref="C132"/>
    <hyperlink r:id="rId339" ref="K132"/>
    <hyperlink r:id="rId340" ref="C133"/>
    <hyperlink r:id="rId341" ref="C134"/>
    <hyperlink r:id="rId342" ref="C135"/>
    <hyperlink r:id="rId343" ref="C136"/>
    <hyperlink r:id="rId344" ref="C137"/>
    <hyperlink r:id="rId345" ref="C138"/>
    <hyperlink r:id="rId346" ref="C139"/>
    <hyperlink r:id="rId347" ref="K139"/>
    <hyperlink r:id="rId348" ref="C140"/>
    <hyperlink r:id="rId349" ref="C141"/>
    <hyperlink r:id="rId350" ref="C142"/>
  </hyperlinks>
  <drawing r:id="rId351"/>
  <legacyDrawing r:id="rId35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2" max="2" width="13.75"/>
    <col customWidth="1" min="3" max="3" width="22.38"/>
    <col customWidth="1" min="7" max="7" width="15.63"/>
  </cols>
  <sheetData>
    <row r="1">
      <c r="A1" s="213" t="s">
        <v>487</v>
      </c>
      <c r="B1" s="214"/>
      <c r="C1" s="214"/>
      <c r="D1" s="367"/>
      <c r="E1" s="213" t="s">
        <v>328</v>
      </c>
      <c r="F1" s="214"/>
      <c r="G1" s="216"/>
      <c r="I1" s="217" t="s">
        <v>456</v>
      </c>
      <c r="J1" s="214"/>
      <c r="K1" s="214"/>
      <c r="L1" s="216"/>
    </row>
    <row r="2">
      <c r="A2" s="219" t="s">
        <v>457</v>
      </c>
      <c r="B2" s="220"/>
      <c r="C2" s="219" t="s">
        <v>455</v>
      </c>
      <c r="D2" s="367"/>
      <c r="E2" s="221" t="s">
        <v>327</v>
      </c>
      <c r="F2" s="214"/>
      <c r="G2" s="216"/>
      <c r="I2" s="222" t="s">
        <v>458</v>
      </c>
      <c r="J2" s="214"/>
      <c r="K2" s="214"/>
      <c r="L2" s="216"/>
    </row>
    <row r="3">
      <c r="A3" s="223">
        <v>1.0</v>
      </c>
      <c r="B3" s="224"/>
      <c r="C3" s="225">
        <v>1.0</v>
      </c>
      <c r="D3" s="367"/>
      <c r="E3" s="299">
        <f>Maindata!I4</f>
        <v>2500000000</v>
      </c>
      <c r="F3" s="227"/>
      <c r="G3" s="228"/>
      <c r="I3" s="229" t="s">
        <v>459</v>
      </c>
      <c r="J3" s="216"/>
      <c r="K3" s="230" t="s">
        <v>460</v>
      </c>
      <c r="L3" s="216"/>
    </row>
    <row r="4">
      <c r="A4" s="231"/>
      <c r="B4" s="220"/>
      <c r="C4" s="225">
        <v>2.0</v>
      </c>
      <c r="D4" s="367"/>
      <c r="E4" s="232"/>
      <c r="F4" s="233"/>
      <c r="G4" s="234"/>
      <c r="I4" s="298">
        <f>IFERROR(__xludf.DUMMYFUNCTION("IMPORTRANGE(""https://docs.google.com/spreadsheets/d/1XGHyffJQ7KjI292zt5QVK_1XTfEMh_HDpl_2BHAzd4c/edit?gid=1335890585#gid=1335890585"",""OMG MAKEUP!H16"")        "),2.0E7)</f>
        <v>20000000</v>
      </c>
      <c r="J4" s="228"/>
      <c r="K4" s="298">
        <f>IFERROR(__xludf.DUMMYFUNCTION("IMPORTRANGE(""https://docs.google.com/spreadsheets/d/1XGHyffJQ7KjI292zt5QVK_1XTfEMh_HDpl_2BHAzd4c/edit?gid=1335890585#gid=1335890585"",""OMG MAKEUP!H21"")        "),6.0E7)</f>
        <v>60000000</v>
      </c>
      <c r="L4" s="228"/>
    </row>
    <row r="5">
      <c r="A5" s="236">
        <v>2.0</v>
      </c>
      <c r="B5" s="224"/>
      <c r="C5" s="225">
        <v>1.0</v>
      </c>
      <c r="D5" s="367"/>
      <c r="E5" s="329" t="s">
        <v>461</v>
      </c>
      <c r="F5" s="214"/>
      <c r="G5" s="216"/>
      <c r="I5" s="232"/>
      <c r="J5" s="234"/>
      <c r="K5" s="232"/>
      <c r="L5" s="234"/>
    </row>
    <row r="6">
      <c r="A6" s="231"/>
      <c r="B6" s="220"/>
      <c r="C6" s="225">
        <v>2.0</v>
      </c>
      <c r="D6" s="367"/>
      <c r="E6" s="299">
        <f>SUM(V17:W250)</f>
        <v>629959304.6</v>
      </c>
      <c r="F6" s="227"/>
      <c r="G6" s="228"/>
      <c r="I6" s="302" t="s">
        <v>462</v>
      </c>
      <c r="J6" s="214"/>
      <c r="K6" s="214"/>
      <c r="L6" s="216"/>
    </row>
    <row r="7">
      <c r="A7" s="236">
        <v>3.0</v>
      </c>
      <c r="B7" s="224"/>
      <c r="C7" s="225">
        <v>1.0</v>
      </c>
      <c r="D7" s="367"/>
      <c r="E7" s="232"/>
      <c r="F7" s="233"/>
      <c r="G7" s="234"/>
      <c r="I7" s="298">
        <f>IFERROR(__xludf.DUMMYFUNCTION("IMPORTRANGE(""https://docs.google.com/spreadsheets/d/1XGHyffJQ7KjI292zt5QVK_1XTfEMh_HDpl_2BHAzd4c/edit?gid=1335890585#gid=1335890585"",""OMG Makeup!H2"")        "),1.1425E7)</f>
        <v>11425000</v>
      </c>
      <c r="J7" s="228"/>
      <c r="K7" s="298">
        <f>IFERROR(__xludf.DUMMYFUNCTION("IMPORTRANGE(""https://docs.google.com/spreadsheets/d/1XGHyffJQ7KjI292zt5QVK_1XTfEMh_HDpl_2BHAzd4c/edit?gid=1335890585#gid=1335890585"",""OMG MAKEUP!K4"")        "),2.58E7)</f>
        <v>25800000</v>
      </c>
      <c r="L7" s="228"/>
    </row>
    <row r="8">
      <c r="A8" s="231"/>
      <c r="B8" s="220"/>
      <c r="C8" s="225">
        <v>2.0</v>
      </c>
      <c r="D8" s="367"/>
      <c r="E8" s="325" t="s">
        <v>329</v>
      </c>
      <c r="F8" s="214"/>
      <c r="G8" s="216"/>
      <c r="I8" s="232"/>
      <c r="J8" s="234"/>
      <c r="K8" s="232"/>
      <c r="L8" s="234"/>
    </row>
    <row r="9">
      <c r="A9" s="236">
        <v>4.0</v>
      </c>
      <c r="B9" s="224"/>
      <c r="C9" s="225">
        <v>1.0</v>
      </c>
      <c r="D9" s="367"/>
      <c r="E9" s="330">
        <f>E6/E3</f>
        <v>0.2519837218</v>
      </c>
      <c r="F9" s="227"/>
      <c r="G9" s="228"/>
      <c r="I9" s="292" t="s">
        <v>463</v>
      </c>
      <c r="J9" s="214"/>
      <c r="K9" s="214"/>
      <c r="L9" s="216"/>
    </row>
    <row r="10">
      <c r="A10" s="231"/>
      <c r="B10" s="220"/>
      <c r="C10" s="225">
        <v>2.0</v>
      </c>
      <c r="D10" s="367"/>
      <c r="E10" s="232"/>
      <c r="F10" s="233"/>
      <c r="G10" s="234"/>
      <c r="I10" s="298">
        <f>I4-I7</f>
        <v>8575000</v>
      </c>
      <c r="J10" s="228"/>
      <c r="K10" s="299">
        <f>K4-K7</f>
        <v>34200000</v>
      </c>
      <c r="L10" s="228"/>
    </row>
    <row r="11">
      <c r="A11" s="236">
        <v>5.0</v>
      </c>
      <c r="B11" s="224"/>
      <c r="C11" s="225">
        <v>1.0</v>
      </c>
      <c r="D11" s="367"/>
      <c r="E11" s="215"/>
      <c r="G11" s="3"/>
      <c r="I11" s="232"/>
      <c r="J11" s="234"/>
      <c r="K11" s="232"/>
      <c r="L11" s="234"/>
    </row>
    <row r="12">
      <c r="A12" s="231"/>
      <c r="B12" s="220"/>
      <c r="C12" s="225">
        <v>2.0</v>
      </c>
      <c r="D12" s="367"/>
      <c r="E12" s="215"/>
      <c r="G12" s="3"/>
      <c r="J12" s="215"/>
      <c r="K12" s="215"/>
      <c r="L12" s="215"/>
      <c r="M12" s="243"/>
      <c r="N12" s="243"/>
      <c r="O12" s="243"/>
      <c r="P12" s="243"/>
      <c r="Q12" s="48"/>
      <c r="R12" s="48"/>
      <c r="S12" s="48"/>
      <c r="T12" s="48"/>
      <c r="U12" s="48"/>
      <c r="V12" s="48"/>
      <c r="W12" s="48"/>
    </row>
    <row r="13">
      <c r="A13" s="215"/>
      <c r="B13" s="215"/>
      <c r="C13" s="215"/>
      <c r="D13" s="367"/>
      <c r="E13" s="215"/>
      <c r="G13" s="3"/>
      <c r="J13" s="215"/>
      <c r="K13" s="215"/>
      <c r="L13" s="215"/>
      <c r="M13" s="243"/>
      <c r="N13" s="243"/>
      <c r="O13" s="243"/>
      <c r="P13" s="243"/>
      <c r="Q13" s="48"/>
      <c r="R13" s="48"/>
      <c r="S13" s="48"/>
      <c r="T13" s="48"/>
      <c r="U13" s="48"/>
      <c r="V13" s="48"/>
      <c r="W13" s="48"/>
    </row>
    <row r="14">
      <c r="A14" s="245"/>
      <c r="B14" s="245"/>
      <c r="D14" s="368"/>
      <c r="G14" s="3"/>
      <c r="K14" s="243"/>
      <c r="L14" s="243"/>
      <c r="M14" s="243"/>
      <c r="N14" s="243"/>
      <c r="O14" s="243"/>
      <c r="P14" s="243"/>
      <c r="Q14" s="48"/>
      <c r="R14" s="48"/>
      <c r="S14" s="48"/>
      <c r="T14" s="48"/>
      <c r="U14" s="48"/>
      <c r="V14" s="48"/>
      <c r="W14" s="48"/>
    </row>
    <row r="15">
      <c r="A15" s="246"/>
      <c r="B15" s="246"/>
      <c r="C15" s="246"/>
      <c r="D15" s="369"/>
      <c r="E15" s="246"/>
      <c r="F15" s="246"/>
      <c r="G15" s="331"/>
      <c r="H15" s="246"/>
      <c r="I15" s="246"/>
      <c r="J15" s="246"/>
      <c r="K15" s="247"/>
      <c r="L15" s="246"/>
      <c r="M15" s="247"/>
      <c r="N15" s="246"/>
      <c r="O15" s="246"/>
      <c r="P15" s="246"/>
      <c r="Q15" s="246"/>
      <c r="R15" s="341"/>
      <c r="S15" s="370"/>
      <c r="T15" s="371" t="s">
        <v>464</v>
      </c>
      <c r="U15" s="114"/>
      <c r="V15" s="371" t="s">
        <v>465</v>
      </c>
      <c r="W15" s="114"/>
    </row>
    <row r="16">
      <c r="A16" s="250" t="s">
        <v>466</v>
      </c>
      <c r="B16" s="250" t="s">
        <v>467</v>
      </c>
      <c r="C16" s="251" t="s">
        <v>468</v>
      </c>
      <c r="D16" s="372" t="s">
        <v>469</v>
      </c>
      <c r="E16" s="253" t="s">
        <v>470</v>
      </c>
      <c r="F16" s="251" t="s">
        <v>471</v>
      </c>
      <c r="G16" s="332" t="s">
        <v>484</v>
      </c>
      <c r="H16" s="251" t="s">
        <v>457</v>
      </c>
      <c r="I16" s="254" t="s">
        <v>472</v>
      </c>
      <c r="J16" s="251" t="s">
        <v>455</v>
      </c>
      <c r="K16" s="251" t="s">
        <v>473</v>
      </c>
      <c r="L16" s="251" t="s">
        <v>455</v>
      </c>
      <c r="M16" s="251" t="s">
        <v>474</v>
      </c>
      <c r="N16" s="251" t="s">
        <v>455</v>
      </c>
      <c r="O16" s="251" t="s">
        <v>475</v>
      </c>
      <c r="P16" s="251" t="s">
        <v>455</v>
      </c>
      <c r="Q16" s="251" t="s">
        <v>476</v>
      </c>
      <c r="R16" s="332" t="s">
        <v>485</v>
      </c>
      <c r="S16" s="332" t="s">
        <v>486</v>
      </c>
      <c r="T16" s="248" t="s">
        <v>427</v>
      </c>
      <c r="U16" s="248" t="s">
        <v>477</v>
      </c>
      <c r="V16" s="248" t="s">
        <v>427</v>
      </c>
      <c r="W16" s="248" t="s">
        <v>477</v>
      </c>
    </row>
    <row r="17">
      <c r="A17" s="354" t="str">
        <f>IFERROR(__xludf.DUMMYFUNCTION("QUERY(IMPORTRANGE(""https://docs.google.com/spreadsheets/d/10wdjc5GKQIqHka9D7QGq1b4WkRuVqG0ylA8lw57ns-I/edit?usp=sharing"", ""OMG MAKEUP!A3:AD""), ""SELECT Col1, Col2, Col3, Col4, Col5, Col6, Col10, Col11, Col16, Col17, Col18, Col19, Col20, Col21, Col22, "&amp;"Col23, Col24, Col25, Col26, Col27, Col28, Col29 WHERE Col12 = 'Approved'"")"),"NANO")</f>
        <v>NANO</v>
      </c>
      <c r="B17" s="23" t="str">
        <f>IFERROR(__xludf.DUMMYFUNCTION("""COMPUTED_VALUE"""),"stuffbydiy")</f>
        <v>stuffbydiy</v>
      </c>
      <c r="C17" s="373" t="str">
        <f>IFERROR(__xludf.DUMMYFUNCTION("""COMPUTED_VALUE"""),"https://www.tiktok.com/@stuffbydiy")</f>
        <v>https://www.tiktok.com/@stuffbydiy</v>
      </c>
      <c r="D17" s="374">
        <f>IFERROR(__xludf.DUMMYFUNCTION("""COMPUTED_VALUE"""),8.2232764306E10)</f>
        <v>82232764306</v>
      </c>
      <c r="E17" s="258">
        <f>IFERROR(__xludf.DUMMYFUNCTION("""COMPUTED_VALUE"""),150000.0)</f>
        <v>150000</v>
      </c>
      <c r="F17" s="270">
        <f>IFERROR(__xludf.DUMMYFUNCTION("""COMPUTED_VALUE"""),1.0)</f>
        <v>1</v>
      </c>
      <c r="G17" s="34" t="str">
        <f>IFERROR(__xludf.DUMMYFUNCTION("""COMPUTED_VALUE"""),"204.48m")</f>
        <v>204.48m</v>
      </c>
      <c r="H17" s="375" t="str">
        <f>IFERROR(__xludf.DUMMYFUNCTION("""COMPUTED_VALUE"""),"Lip Vinyl")</f>
        <v>Lip Vinyl</v>
      </c>
      <c r="I17" s="260" t="str">
        <f>IFERROR(__xludf.DUMMYFUNCTION("""COMPUTED_VALUE"""),"Sampai")</f>
        <v>Sampai</v>
      </c>
      <c r="J17" s="357"/>
      <c r="K17" s="279" t="str">
        <f>IFERROR(__xludf.DUMMYFUNCTION("""COMPUTED_VALUE"""),"https://www.tiktok.com/@stuffbydiy/video/7603285519681768724?_r=1&amp;_t=ZS-93fk5x7pYmr")</f>
        <v>https://www.tiktok.com/@stuffbydiy/video/7603285519681768724?_r=1&amp;_t=ZS-93fk5x7pYmr</v>
      </c>
      <c r="L17" s="357"/>
      <c r="M17" s="17"/>
      <c r="N17" s="357"/>
      <c r="O17" s="17"/>
      <c r="P17" s="357"/>
      <c r="Q17" s="17"/>
      <c r="R17" s="17"/>
      <c r="S17" s="17"/>
      <c r="T17" s="365">
        <f>IFERROR(__xludf.DUMMYFUNCTION("""COMPUTED_VALUE"""),209498.0)</f>
        <v>209498</v>
      </c>
      <c r="U17" s="17"/>
      <c r="V17" s="77">
        <f>IFERROR(__xludf.DUMMYFUNCTION("""COMPUTED_VALUE"""),3.306653512E7)</f>
        <v>33066535.12</v>
      </c>
      <c r="W17" s="77"/>
    </row>
    <row r="18">
      <c r="A18" s="354" t="str">
        <f>IFERROR(__xludf.DUMMYFUNCTION("""COMPUTED_VALUE"""),"NANO")</f>
        <v>NANO</v>
      </c>
      <c r="B18" s="23" t="str">
        <f>IFERROR(__xludf.DUMMYFUNCTION("""COMPUTED_VALUE"""),"zepihyr")</f>
        <v>zepihyr</v>
      </c>
      <c r="C18" s="281" t="str">
        <f>IFERROR(__xludf.DUMMYFUNCTION("""COMPUTED_VALUE"""),"https://www.tiktok.com/@zepihyr")</f>
        <v>https://www.tiktok.com/@zepihyr</v>
      </c>
      <c r="D18" s="376">
        <f>IFERROR(__xludf.DUMMYFUNCTION("""COMPUTED_VALUE"""),8.9607738308E10)</f>
        <v>89607738308</v>
      </c>
      <c r="E18" s="258">
        <f>IFERROR(__xludf.DUMMYFUNCTION("""COMPUTED_VALUE"""),0.0)</f>
        <v>0</v>
      </c>
      <c r="F18" s="270">
        <f>IFERROR(__xludf.DUMMYFUNCTION("""COMPUTED_VALUE"""),1.0)</f>
        <v>1</v>
      </c>
      <c r="G18" s="34" t="str">
        <f>IFERROR(__xludf.DUMMYFUNCTION("""COMPUTED_VALUE"""),"1.85m")</f>
        <v>1.85m</v>
      </c>
      <c r="H18" s="375" t="str">
        <f>IFERROR(__xludf.DUMMYFUNCTION("""COMPUTED_VALUE"""),"Cushion")</f>
        <v>Cushion</v>
      </c>
      <c r="I18" s="260" t="str">
        <f>IFERROR(__xludf.DUMMYFUNCTION("""COMPUTED_VALUE"""),"Kendala [FU!]")</f>
        <v>Kendala [FU!]</v>
      </c>
      <c r="J18" s="357"/>
      <c r="K18" s="17"/>
      <c r="L18" s="357"/>
      <c r="M18" s="17"/>
      <c r="N18" s="357"/>
      <c r="O18" s="17"/>
      <c r="P18" s="357"/>
      <c r="Q18" s="17"/>
      <c r="R18" s="17"/>
      <c r="S18" s="17"/>
      <c r="T18" s="365"/>
      <c r="U18" s="17"/>
      <c r="V18" s="77"/>
      <c r="W18" s="77"/>
    </row>
    <row r="19">
      <c r="A19" s="255" t="str">
        <f>IFERROR(__xludf.DUMMYFUNCTION("""COMPUTED_VALUE"""),"NANO")</f>
        <v>NANO</v>
      </c>
      <c r="B19" s="23" t="str">
        <f>IFERROR(__xludf.DUMMYFUNCTION("""COMPUTED_VALUE"""),"Siska285")</f>
        <v>Siska285</v>
      </c>
      <c r="C19" s="281" t="str">
        <f>IFERROR(__xludf.DUMMYFUNCTION("""COMPUTED_VALUE"""),"https://www.tiktok.com/@Siska285")</f>
        <v>https://www.tiktok.com/@Siska285</v>
      </c>
      <c r="D19" s="376">
        <f>IFERROR(__xludf.DUMMYFUNCTION("""COMPUTED_VALUE"""),8.5798777778E10)</f>
        <v>85798777778</v>
      </c>
      <c r="E19" s="258">
        <f>IFERROR(__xludf.DUMMYFUNCTION("""COMPUTED_VALUE"""),0.0)</f>
        <v>0</v>
      </c>
      <c r="F19" s="270">
        <f>IFERROR(__xludf.DUMMYFUNCTION("""COMPUTED_VALUE"""),3.0)</f>
        <v>3</v>
      </c>
      <c r="G19" s="34"/>
      <c r="H19" s="375" t="str">
        <f>IFERROR(__xludf.DUMMYFUNCTION("""COMPUTED_VALUE"""),"Cushion")</f>
        <v>Cushion</v>
      </c>
      <c r="I19" s="260" t="str">
        <f>IFERROR(__xludf.DUMMYFUNCTION("""COMPUTED_VALUE"""),"Sampai")</f>
        <v>Sampai</v>
      </c>
      <c r="J19" s="357"/>
      <c r="K19" s="280" t="str">
        <f>IFERROR(__xludf.DUMMYFUNCTION("""COMPUTED_VALUE"""),"https://www.tiktok.com/@siska285/video/7598162268039220500?_r=1&amp;_t=ZS-93OAe9uRLDE")</f>
        <v>https://www.tiktok.com/@siska285/video/7598162268039220500?_r=1&amp;_t=ZS-93OAe9uRLDE</v>
      </c>
      <c r="L19" s="357"/>
      <c r="M19" s="280" t="str">
        <f>IFERROR(__xludf.DUMMYFUNCTION("""COMPUTED_VALUE"""),"https://www.tiktok.com/@siska285/video/7600735644683373844?_r=1&amp;_t=ZS-93TSReJm9AH")</f>
        <v>https://www.tiktok.com/@siska285/video/7600735644683373844?_r=1&amp;_t=ZS-93TSReJm9AH</v>
      </c>
      <c r="N19" s="357"/>
      <c r="O19" s="279" t="str">
        <f>IFERROR(__xludf.DUMMYFUNCTION("""COMPUTED_VALUE"""),"https://www.tiktok.com/@siska285/video/7602160800526077205?_r=1&amp;_t=ZS-93a3uCWl8t7")</f>
        <v>https://www.tiktok.com/@siska285/video/7602160800526077205?_r=1&amp;_t=ZS-93a3uCWl8t7</v>
      </c>
      <c r="P19" s="357"/>
      <c r="Q19" s="17"/>
      <c r="R19" s="17"/>
      <c r="S19" s="17"/>
      <c r="T19" s="365"/>
      <c r="U19" s="17"/>
      <c r="V19" s="77"/>
      <c r="W19" s="77"/>
    </row>
    <row r="20">
      <c r="A20" s="255" t="str">
        <f>IFERROR(__xludf.DUMMYFUNCTION("""COMPUTED_VALUE"""),"NANO")</f>
        <v>NANO</v>
      </c>
      <c r="B20" s="23" t="str">
        <f>IFERROR(__xludf.DUMMYFUNCTION("""COMPUTED_VALUE"""),"syaashi")</f>
        <v>syaashi</v>
      </c>
      <c r="C20" s="281" t="str">
        <f>IFERROR(__xludf.DUMMYFUNCTION("""COMPUTED_VALUE"""),"https://www.tiktok.com/@syaashi")</f>
        <v>https://www.tiktok.com/@syaashi</v>
      </c>
      <c r="D20" s="376">
        <f>IFERROR(__xludf.DUMMYFUNCTION("""COMPUTED_VALUE"""),8.1411123959E10)</f>
        <v>81411123959</v>
      </c>
      <c r="E20" s="258">
        <f>IFERROR(__xludf.DUMMYFUNCTION("""COMPUTED_VALUE"""),0.0)</f>
        <v>0</v>
      </c>
      <c r="F20" s="270">
        <f>IFERROR(__xludf.DUMMYFUNCTION("""COMPUTED_VALUE"""),3.0)</f>
        <v>3</v>
      </c>
      <c r="G20" s="34" t="str">
        <f>IFERROR(__xludf.DUMMYFUNCTION("""COMPUTED_VALUE"""),"31,53jt")</f>
        <v>31,53jt</v>
      </c>
      <c r="H20" s="375" t="str">
        <f>IFERROR(__xludf.DUMMYFUNCTION("""COMPUTED_VALUE"""),"Cushion")</f>
        <v>Cushion</v>
      </c>
      <c r="I20" s="260" t="str">
        <f>IFERROR(__xludf.DUMMYFUNCTION("""COMPUTED_VALUE"""),"Sampai")</f>
        <v>Sampai</v>
      </c>
      <c r="J20" s="357"/>
      <c r="K20" s="280" t="str">
        <f>IFERROR(__xludf.DUMMYFUNCTION("""COMPUTED_VALUE"""),"https://www.tiktok.com/@syaashi/video/7601853994239151378?_r=1&amp;_t=ZS-93Zho7Kb6FM")</f>
        <v>https://www.tiktok.com/@syaashi/video/7601853994239151378?_r=1&amp;_t=ZS-93Zho7Kb6FM</v>
      </c>
      <c r="L20" s="357"/>
      <c r="M20" s="377"/>
      <c r="N20" s="357"/>
      <c r="O20" s="267"/>
      <c r="P20" s="357"/>
      <c r="Q20" s="267"/>
      <c r="R20" s="267"/>
      <c r="S20" s="267"/>
      <c r="T20" s="378"/>
      <c r="U20" s="267"/>
      <c r="V20" s="77">
        <f>IFERROR(__xludf.DUMMYFUNCTION("""COMPUTED_VALUE"""),6.694048552E7)</f>
        <v>66940485.52</v>
      </c>
      <c r="W20" s="77"/>
    </row>
    <row r="21">
      <c r="A21" s="255" t="str">
        <f>IFERROR(__xludf.DUMMYFUNCTION("""COMPUTED_VALUE"""),"MICRO")</f>
        <v>MICRO</v>
      </c>
      <c r="B21" s="23" t="str">
        <f>IFERROR(__xludf.DUMMYFUNCTION("""COMPUTED_VALUE"""),"mia07024")</f>
        <v>mia07024</v>
      </c>
      <c r="C21" s="281" t="str">
        <f>IFERROR(__xludf.DUMMYFUNCTION("""COMPUTED_VALUE"""),"https://www.tiktok.com/@mia07024")</f>
        <v>https://www.tiktok.com/@mia07024</v>
      </c>
      <c r="D21" s="376">
        <f>IFERROR(__xludf.DUMMYFUNCTION("""COMPUTED_VALUE"""),8.975015E9)</f>
        <v>8975015000</v>
      </c>
      <c r="E21" s="258">
        <f>IFERROR(__xludf.DUMMYFUNCTION("""COMPUTED_VALUE"""),200000.0)</f>
        <v>200000</v>
      </c>
      <c r="F21" s="270">
        <f>IFERROR(__xludf.DUMMYFUNCTION("""COMPUTED_VALUE"""),1.0)</f>
        <v>1</v>
      </c>
      <c r="G21" s="34" t="str">
        <f>IFERROR(__xludf.DUMMYFUNCTION("""COMPUTED_VALUE"""),"190.38m")</f>
        <v>190.38m</v>
      </c>
      <c r="H21" s="375" t="str">
        <f>IFERROR(__xludf.DUMMYFUNCTION("""COMPUTED_VALUE"""),"Lip Vinyl")</f>
        <v>Lip Vinyl</v>
      </c>
      <c r="I21" s="260" t="str">
        <f>IFERROR(__xludf.DUMMYFUNCTION("""COMPUTED_VALUE"""),"Sampai")</f>
        <v>Sampai</v>
      </c>
      <c r="J21" s="357"/>
      <c r="K21" s="16" t="str">
        <f>IFERROR(__xludf.DUMMYFUNCTION("""COMPUTED_VALUE"""),"https://www.tiktok.com/@mia07024/video/7601317529809636626?_r=1&amp;_t=ZS-93ZYRYLSrsy")</f>
        <v>https://www.tiktok.com/@mia07024/video/7601317529809636626?_r=1&amp;_t=ZS-93ZYRYLSrsy</v>
      </c>
      <c r="L21" s="357"/>
      <c r="M21" s="17"/>
      <c r="N21" s="357"/>
      <c r="O21" s="17"/>
      <c r="P21" s="357"/>
      <c r="Q21" s="17"/>
      <c r="R21" s="17"/>
      <c r="S21" s="17"/>
      <c r="T21" s="365">
        <f>IFERROR(__xludf.DUMMYFUNCTION("""COMPUTED_VALUE"""),73150.0)</f>
        <v>73150</v>
      </c>
      <c r="U21" s="17"/>
      <c r="V21" s="77">
        <f>IFERROR(__xludf.DUMMYFUNCTION("""COMPUTED_VALUE"""),3.31427E7)</f>
        <v>33142700</v>
      </c>
      <c r="W21" s="77"/>
    </row>
    <row r="22">
      <c r="A22" s="255" t="str">
        <f>IFERROR(__xludf.DUMMYFUNCTION("""COMPUTED_VALUE"""),"NANO")</f>
        <v>NANO</v>
      </c>
      <c r="B22" s="23" t="str">
        <f>IFERROR(__xludf.DUMMYFUNCTION("""COMPUTED_VALUE"""),"urchocobite ")</f>
        <v>urchocobite </v>
      </c>
      <c r="C22" s="281" t="str">
        <f>IFERROR(__xludf.DUMMYFUNCTION("""COMPUTED_VALUE"""),"https://www.tiktok.com/@urchocobite ")</f>
        <v>https://www.tiktok.com/@urchocobite </v>
      </c>
      <c r="D22" s="376">
        <f>IFERROR(__xludf.DUMMYFUNCTION("""COMPUTED_VALUE"""),8.5691025371E10)</f>
        <v>85691025371</v>
      </c>
      <c r="E22" s="258">
        <f>IFERROR(__xludf.DUMMYFUNCTION("""COMPUTED_VALUE"""),0.0)</f>
        <v>0</v>
      </c>
      <c r="F22" s="270">
        <f>IFERROR(__xludf.DUMMYFUNCTION("""COMPUTED_VALUE"""),2.0)</f>
        <v>2</v>
      </c>
      <c r="G22" s="34" t="str">
        <f>IFERROR(__xludf.DUMMYFUNCTION("""COMPUTED_VALUE"""),"18.28m")</f>
        <v>18.28m</v>
      </c>
      <c r="H22" s="375" t="str">
        <f>IFERROR(__xludf.DUMMYFUNCTION("""COMPUTED_VALUE"""),"Cushion")</f>
        <v>Cushion</v>
      </c>
      <c r="I22" s="260" t="str">
        <f>IFERROR(__xludf.DUMMYFUNCTION("""COMPUTED_VALUE"""),"Sampai")</f>
        <v>Sampai</v>
      </c>
      <c r="J22" s="357"/>
      <c r="K22" s="280" t="str">
        <f>IFERROR(__xludf.DUMMYFUNCTION("""COMPUTED_VALUE"""),"https://www.tiktok.com/@urchocobite/video/7599583553365609736?_r=1&amp;_t=ZS-93OB5uNjeuQ")</f>
        <v>https://www.tiktok.com/@urchocobite/video/7599583553365609736?_r=1&amp;_t=ZS-93OB5uNjeuQ</v>
      </c>
      <c r="L22" s="357"/>
      <c r="M22" s="279" t="str">
        <f>IFERROR(__xludf.DUMMYFUNCTION("""COMPUTED_VALUE"""),"https://www.tiktok.com/@urchocobite/video/7601458314731343122?_r=1&amp;_t=ZS-93Wlj8Q92KG")</f>
        <v>https://www.tiktok.com/@urchocobite/video/7601458314731343122?_r=1&amp;_t=ZS-93Wlj8Q92KG</v>
      </c>
      <c r="N22" s="357"/>
      <c r="O22" s="17"/>
      <c r="P22" s="357"/>
      <c r="Q22" s="17"/>
      <c r="R22" s="17"/>
      <c r="S22" s="17"/>
      <c r="T22" s="365"/>
      <c r="U22" s="17"/>
      <c r="V22" s="77"/>
      <c r="W22" s="77"/>
    </row>
    <row r="23">
      <c r="A23" s="255" t="str">
        <f>IFERROR(__xludf.DUMMYFUNCTION("""COMPUTED_VALUE"""),"MICRO")</f>
        <v>MICRO</v>
      </c>
      <c r="B23" s="23" t="str">
        <f>IFERROR(__xludf.DUMMYFUNCTION("""COMPUTED_VALUE"""),"gadisaries97")</f>
        <v>gadisaries97</v>
      </c>
      <c r="C23" s="281" t="str">
        <f>IFERROR(__xludf.DUMMYFUNCTION("""COMPUTED_VALUE"""),"https://www.tiktok.com/@gadisaries97")</f>
        <v>https://www.tiktok.com/@gadisaries97</v>
      </c>
      <c r="D23" s="376">
        <f>IFERROR(__xludf.DUMMYFUNCTION("""COMPUTED_VALUE"""),8.3148641923E10)</f>
        <v>83148641923</v>
      </c>
      <c r="E23" s="258">
        <f>IFERROR(__xludf.DUMMYFUNCTION("""COMPUTED_VALUE"""),200000.0)</f>
        <v>200000</v>
      </c>
      <c r="F23" s="270">
        <f>IFERROR(__xludf.DUMMYFUNCTION("""COMPUTED_VALUE"""),1.0)</f>
        <v>1</v>
      </c>
      <c r="G23" s="34" t="str">
        <f>IFERROR(__xludf.DUMMYFUNCTION("""COMPUTED_VALUE"""),"21.19m")</f>
        <v>21.19m</v>
      </c>
      <c r="H23" s="375" t="str">
        <f>IFERROR(__xludf.DUMMYFUNCTION("""COMPUTED_VALUE"""),"Cushion")</f>
        <v>Cushion</v>
      </c>
      <c r="I23" s="260" t="str">
        <f>IFERROR(__xludf.DUMMYFUNCTION("""COMPUTED_VALUE"""),"Sampai")</f>
        <v>Sampai</v>
      </c>
      <c r="J23" s="357"/>
      <c r="K23" s="279" t="str">
        <f>IFERROR(__xludf.DUMMYFUNCTION("""COMPUTED_VALUE"""),"https://www.tiktok.com/@gadisaries97/video/7605523363620097301?_r=1&amp;_t=ZS-93rhOg0Tsaj")</f>
        <v>https://www.tiktok.com/@gadisaries97/video/7605523363620097301?_r=1&amp;_t=ZS-93rhOg0Tsaj</v>
      </c>
      <c r="L23" s="357"/>
      <c r="M23" s="17"/>
      <c r="N23" s="357"/>
      <c r="O23" s="17"/>
      <c r="P23" s="357"/>
      <c r="Q23" s="17"/>
      <c r="R23" s="17"/>
      <c r="S23" s="17"/>
      <c r="T23" s="365">
        <f>IFERROR(__xludf.DUMMYFUNCTION("""COMPUTED_VALUE"""),509983.0)</f>
        <v>509983</v>
      </c>
      <c r="U23" s="17"/>
      <c r="V23" s="77">
        <f>IFERROR(__xludf.DUMMYFUNCTION("""COMPUTED_VALUE"""),4.831943896E7)</f>
        <v>48319438.96</v>
      </c>
      <c r="W23" s="77"/>
    </row>
    <row r="24">
      <c r="A24" s="255" t="str">
        <f>IFERROR(__xludf.DUMMYFUNCTION("""COMPUTED_VALUE"""),"MICRO")</f>
        <v>MICRO</v>
      </c>
      <c r="B24" s="23" t="str">
        <f>IFERROR(__xludf.DUMMYFUNCTION("""COMPUTED_VALUE"""),"focusonmeehh")</f>
        <v>focusonmeehh</v>
      </c>
      <c r="C24" s="281" t="str">
        <f>IFERROR(__xludf.DUMMYFUNCTION("""COMPUTED_VALUE"""),"https://www.tiktok.com/@focusonmeehh")</f>
        <v>https://www.tiktok.com/@focusonmeehh</v>
      </c>
      <c r="D24" s="376">
        <f>IFERROR(__xludf.DUMMYFUNCTION("""COMPUTED_VALUE"""),8.1278546432E10)</f>
        <v>81278546432</v>
      </c>
      <c r="E24" s="258">
        <f>IFERROR(__xludf.DUMMYFUNCTION("""COMPUTED_VALUE"""),0.0)</f>
        <v>0</v>
      </c>
      <c r="F24" s="270">
        <f>IFERROR(__xludf.DUMMYFUNCTION("""COMPUTED_VALUE"""),1.0)</f>
        <v>1</v>
      </c>
      <c r="G24" s="34" t="str">
        <f>IFERROR(__xludf.DUMMYFUNCTION("""COMPUTED_VALUE"""),"6.68m")</f>
        <v>6.68m</v>
      </c>
      <c r="H24" s="375" t="str">
        <f>IFERROR(__xludf.DUMMYFUNCTION("""COMPUTED_VALUE"""),"Cushion")</f>
        <v>Cushion</v>
      </c>
      <c r="I24" s="260" t="str">
        <f>IFERROR(__xludf.DUMMYFUNCTION("""COMPUTED_VALUE"""),"Sampai")</f>
        <v>Sampai</v>
      </c>
      <c r="J24" s="357"/>
      <c r="K24" s="280" t="str">
        <f>IFERROR(__xludf.DUMMYFUNCTION("""COMPUTED_VALUE"""),"https://www.tiktok.com/@focusonmeehh/video/7599929286908218644?_r=1&amp;_t=ZS-93PlOHxjNw1")</f>
        <v>https://www.tiktok.com/@focusonmeehh/video/7599929286908218644?_r=1&amp;_t=ZS-93PlOHxjNw1</v>
      </c>
      <c r="L24" s="357"/>
      <c r="M24" s="17"/>
      <c r="N24" s="357"/>
      <c r="O24" s="17"/>
      <c r="P24" s="357"/>
      <c r="Q24" s="17"/>
      <c r="R24" s="17"/>
      <c r="S24" s="17"/>
      <c r="T24" s="365"/>
      <c r="U24" s="17"/>
      <c r="V24" s="77"/>
      <c r="W24" s="77"/>
    </row>
    <row r="25">
      <c r="A25" s="255" t="str">
        <f>IFERROR(__xludf.DUMMYFUNCTION("""COMPUTED_VALUE"""),"MICRO")</f>
        <v>MICRO</v>
      </c>
      <c r="B25" s="23" t="str">
        <f>IFERROR(__xludf.DUMMYFUNCTION("""COMPUTED_VALUE"""),"thya_pookie")</f>
        <v>thya_pookie</v>
      </c>
      <c r="C25" s="281" t="str">
        <f>IFERROR(__xludf.DUMMYFUNCTION("""COMPUTED_VALUE"""),"https://www.tiktok.com/@thya_pookie")</f>
        <v>https://www.tiktok.com/@thya_pookie</v>
      </c>
      <c r="D25" s="376">
        <f>IFERROR(__xludf.DUMMYFUNCTION("""COMPUTED_VALUE"""),8.5824486796E10)</f>
        <v>85824486796</v>
      </c>
      <c r="E25" s="258">
        <f>IFERROR(__xludf.DUMMYFUNCTION("""COMPUTED_VALUE"""),150000.0)</f>
        <v>150000</v>
      </c>
      <c r="F25" s="270">
        <f>IFERROR(__xludf.DUMMYFUNCTION("""COMPUTED_VALUE"""),1.0)</f>
        <v>1</v>
      </c>
      <c r="G25" s="34" t="str">
        <f>IFERROR(__xludf.DUMMYFUNCTION("""COMPUTED_VALUE"""),"15.57m")</f>
        <v>15.57m</v>
      </c>
      <c r="H25" s="375" t="str">
        <f>IFERROR(__xludf.DUMMYFUNCTION("""COMPUTED_VALUE"""),"Lip Vinyl")</f>
        <v>Lip Vinyl</v>
      </c>
      <c r="I25" s="260" t="str">
        <f>IFERROR(__xludf.DUMMYFUNCTION("""COMPUTED_VALUE"""),"Sampai")</f>
        <v>Sampai</v>
      </c>
      <c r="J25" s="357"/>
      <c r="K25" s="280" t="str">
        <f>IFERROR(__xludf.DUMMYFUNCTION("""COMPUTED_VALUE"""),"https://www.tiktok.com/@thya_pookie/video/7600015699817418005?_r=1&amp;_t=ZS-93QBfZQ1A3d")</f>
        <v>https://www.tiktok.com/@thya_pookie/video/7600015699817418005?_r=1&amp;_t=ZS-93QBfZQ1A3d</v>
      </c>
      <c r="L25" s="357"/>
      <c r="M25" s="17"/>
      <c r="N25" s="357"/>
      <c r="O25" s="17"/>
      <c r="P25" s="357"/>
      <c r="Q25" s="17"/>
      <c r="R25" s="17"/>
      <c r="S25" s="17"/>
      <c r="T25" s="365"/>
      <c r="U25" s="17"/>
      <c r="V25" s="77">
        <f>IFERROR(__xludf.DUMMYFUNCTION("""COMPUTED_VALUE"""),1920503.36)</f>
        <v>1920503.36</v>
      </c>
      <c r="W25" s="77"/>
    </row>
    <row r="26">
      <c r="A26" s="255" t="str">
        <f>IFERROR(__xludf.DUMMYFUNCTION("""COMPUTED_VALUE"""),"MACRO")</f>
        <v>MACRO</v>
      </c>
      <c r="B26" s="379" t="str">
        <f>IFERROR(__xludf.DUMMYFUNCTION("""COMPUTED_VALUE"""),"Putriliayanasari94")</f>
        <v>Putriliayanasari94</v>
      </c>
      <c r="C26" s="281" t="str">
        <f>IFERROR(__xludf.DUMMYFUNCTION("""COMPUTED_VALUE"""),"https://www.tiktok.com/@Putriliayanasari94")</f>
        <v>https://www.tiktok.com/@Putriliayanasari94</v>
      </c>
      <c r="D26" s="376">
        <f>IFERROR(__xludf.DUMMYFUNCTION("""COMPUTED_VALUE"""),8.561283708E9)</f>
        <v>8561283708</v>
      </c>
      <c r="E26" s="258">
        <f>IFERROR(__xludf.DUMMYFUNCTION("""COMPUTED_VALUE"""),0.0)</f>
        <v>0</v>
      </c>
      <c r="F26" s="270">
        <f>IFERROR(__xludf.DUMMYFUNCTION("""COMPUTED_VALUE"""),3.0)</f>
        <v>3</v>
      </c>
      <c r="G26" s="34"/>
      <c r="H26" s="375"/>
      <c r="I26" s="260" t="str">
        <f>IFERROR(__xludf.DUMMYFUNCTION("""COMPUTED_VALUE"""),"Sampai")</f>
        <v>Sampai</v>
      </c>
      <c r="J26" s="357"/>
      <c r="K26" s="279" t="str">
        <f>IFERROR(__xludf.DUMMYFUNCTION("""COMPUTED_VALUE"""),"https://www.tiktok.com/@putriliyanasari94/video/7611311736200744199?_r=1&amp;_t=ZS-94Gam9qojmT")</f>
        <v>https://www.tiktok.com/@putriliyanasari94/video/7611311736200744199?_r=1&amp;_t=ZS-94Gam9qojmT</v>
      </c>
      <c r="L26" s="357"/>
      <c r="M26" s="279" t="str">
        <f>IFERROR(__xludf.DUMMYFUNCTION("""COMPUTED_VALUE"""),"https://www.tiktok.com/@putriliyanasari94/video/7611311736200744199?_r=1&amp;_t=ZS-95KZ42R16GX")</f>
        <v>https://www.tiktok.com/@putriliyanasari94/video/7611311736200744199?_r=1&amp;_t=ZS-95KZ42R16GX</v>
      </c>
      <c r="N26" s="357"/>
      <c r="O26" s="279" t="str">
        <f>IFERROR(__xludf.DUMMYFUNCTION("""COMPUTED_VALUE"""),"https://www.tiktok.com/@putriliyanasari94/video/7625881901131205895?_r=1&amp;_t=ZS-95KcfXWkylE")</f>
        <v>https://www.tiktok.com/@putriliyanasari94/video/7625881901131205895?_r=1&amp;_t=ZS-95KcfXWkylE</v>
      </c>
      <c r="P26" s="357"/>
      <c r="Q26" s="262"/>
      <c r="R26" s="262"/>
      <c r="S26" s="262"/>
      <c r="T26" s="380"/>
      <c r="U26" s="262"/>
      <c r="V26" s="77"/>
      <c r="W26" s="77"/>
    </row>
    <row r="27">
      <c r="A27" s="255" t="str">
        <f>IFERROR(__xludf.DUMMYFUNCTION("""COMPUTED_VALUE"""),"NANO")</f>
        <v>NANO</v>
      </c>
      <c r="B27" s="23" t="str">
        <f>IFERROR(__xludf.DUMMYFUNCTION("""COMPUTED_VALUE"""),"sinanr18")</f>
        <v>sinanr18</v>
      </c>
      <c r="C27" s="281" t="str">
        <f>IFERROR(__xludf.DUMMYFUNCTION("""COMPUTED_VALUE"""),"https://www.tiktok.com/@sinanr18")</f>
        <v>https://www.tiktok.com/@sinanr18</v>
      </c>
      <c r="D27" s="381">
        <f>IFERROR(__xludf.DUMMYFUNCTION("""COMPUTED_VALUE"""),8.9670305045E10)</f>
        <v>89670305045</v>
      </c>
      <c r="E27" s="271">
        <f>IFERROR(__xludf.DUMMYFUNCTION("""COMPUTED_VALUE"""),0.0)</f>
        <v>0</v>
      </c>
      <c r="F27" s="270">
        <f>IFERROR(__xludf.DUMMYFUNCTION("""COMPUTED_VALUE"""),4.0)</f>
        <v>4</v>
      </c>
      <c r="G27" s="34" t="str">
        <f>IFERROR(__xludf.DUMMYFUNCTION("""COMPUTED_VALUE"""),"423.61k")</f>
        <v>423.61k</v>
      </c>
      <c r="H27" s="375" t="str">
        <f>IFERROR(__xludf.DUMMYFUNCTION("""COMPUTED_VALUE"""),"Cushion &amp; Lip Vinyl")</f>
        <v>Cushion &amp; Lip Vinyl</v>
      </c>
      <c r="I27" s="260" t="str">
        <f>IFERROR(__xludf.DUMMYFUNCTION("""COMPUTED_VALUE"""),"Sampai")</f>
        <v>Sampai</v>
      </c>
      <c r="J27" s="357"/>
      <c r="K27" s="280" t="str">
        <f>IFERROR(__xludf.DUMMYFUNCTION("""COMPUTED_VALUE"""),"https://vt.tiktok.com/ZSayjBKcK/")</f>
        <v>https://vt.tiktok.com/ZSayjBKcK/</v>
      </c>
      <c r="L27" s="357"/>
      <c r="M27" s="280" t="str">
        <f>IFERROR(__xludf.DUMMYFUNCTION("""COMPUTED_VALUE"""),"https://vt.tiktok.com/ZSaaUngnj/")</f>
        <v>https://vt.tiktok.com/ZSaaUngnj/</v>
      </c>
      <c r="N27" s="357"/>
      <c r="O27" s="80" t="str">
        <f>IFERROR(__xludf.DUMMYFUNCTION("""COMPUTED_VALUE"""),"https://vt.tiktok.com/ZSauqjsdR/")</f>
        <v>https://vt.tiktok.com/ZSauqjsdR/</v>
      </c>
      <c r="P27" s="357"/>
      <c r="Q27" s="278" t="str">
        <f>IFERROR(__xludf.DUMMYFUNCTION("""COMPUTED_VALUE"""),"https://www.tiktok.com/@sinanr18/video/7601287884821237012?_r=1&amp;_t=ZS-93WUPy0lQ1c")</f>
        <v>https://www.tiktok.com/@sinanr18/video/7601287884821237012?_r=1&amp;_t=ZS-93WUPy0lQ1c</v>
      </c>
      <c r="R27" s="262"/>
      <c r="S27" s="262"/>
      <c r="T27" s="380"/>
      <c r="U27" s="262"/>
      <c r="V27" s="77"/>
      <c r="W27" s="77"/>
    </row>
    <row r="28">
      <c r="A28" s="255" t="str">
        <f>IFERROR(__xludf.DUMMYFUNCTION("""COMPUTED_VALUE"""),"NANO")</f>
        <v>NANO</v>
      </c>
      <c r="B28" s="23" t="str">
        <f>IFERROR(__xludf.DUMMYFUNCTION("""COMPUTED_VALUE"""),"shinndiii_")</f>
        <v>shinndiii_</v>
      </c>
      <c r="C28" s="281" t="str">
        <f>IFERROR(__xludf.DUMMYFUNCTION("""COMPUTED_VALUE"""),"https://www.tiktok.com/@shinndiii_")</f>
        <v>https://www.tiktok.com/@shinndiii_</v>
      </c>
      <c r="D28" s="381">
        <f>IFERROR(__xludf.DUMMYFUNCTION("""COMPUTED_VALUE"""),8.59109601398E11)</f>
        <v>859109601398</v>
      </c>
      <c r="E28" s="271">
        <f>IFERROR(__xludf.DUMMYFUNCTION("""COMPUTED_VALUE"""),0.0)</f>
        <v>0</v>
      </c>
      <c r="F28" s="270">
        <f>IFERROR(__xludf.DUMMYFUNCTION("""COMPUTED_VALUE"""),4.0)</f>
        <v>4</v>
      </c>
      <c r="G28" s="34" t="str">
        <f>IFERROR(__xludf.DUMMYFUNCTION("""COMPUTED_VALUE"""),"120.12k")</f>
        <v>120.12k</v>
      </c>
      <c r="H28" s="375" t="str">
        <f>IFERROR(__xludf.DUMMYFUNCTION("""COMPUTED_VALUE"""),"TWC &amp; Lip Vinyl")</f>
        <v>TWC &amp; Lip Vinyl</v>
      </c>
      <c r="I28" s="260" t="str">
        <f>IFERROR(__xludf.DUMMYFUNCTION("""COMPUTED_VALUE"""),"Sampai")</f>
        <v>Sampai</v>
      </c>
      <c r="J28" s="357"/>
      <c r="K28" s="17" t="str">
        <f>IFERROR(__xludf.DUMMYFUNCTION("""COMPUTED_VALUE"""),"entahlah")</f>
        <v>entahlah</v>
      </c>
      <c r="L28" s="357"/>
      <c r="M28" s="17"/>
      <c r="N28" s="357"/>
      <c r="O28" s="17"/>
      <c r="P28" s="357"/>
      <c r="Q28" s="262"/>
      <c r="R28" s="262"/>
      <c r="S28" s="262"/>
      <c r="T28" s="380"/>
      <c r="U28" s="262"/>
      <c r="V28" s="77"/>
      <c r="W28" s="77"/>
    </row>
    <row r="29">
      <c r="A29" s="255" t="str">
        <f>IFERROR(__xludf.DUMMYFUNCTION("""COMPUTED_VALUE"""),"NANO")</f>
        <v>NANO</v>
      </c>
      <c r="B29" s="23" t="str">
        <f>IFERROR(__xludf.DUMMYFUNCTION("""COMPUTED_VALUE"""),"Racunversiaku")</f>
        <v>Racunversiaku</v>
      </c>
      <c r="C29" s="281" t="str">
        <f>IFERROR(__xludf.DUMMYFUNCTION("""COMPUTED_VALUE"""),"https://www.tiktok.com/@Racunversiaku")</f>
        <v>https://www.tiktok.com/@Racunversiaku</v>
      </c>
      <c r="D29" s="381">
        <f>IFERROR(__xludf.DUMMYFUNCTION("""COMPUTED_VALUE"""),8.1225533448E10)</f>
        <v>81225533448</v>
      </c>
      <c r="E29" s="271">
        <f>IFERROR(__xludf.DUMMYFUNCTION("""COMPUTED_VALUE"""),0.0)</f>
        <v>0</v>
      </c>
      <c r="F29" s="270">
        <f>IFERROR(__xludf.DUMMYFUNCTION("""COMPUTED_VALUE"""),4.0)</f>
        <v>4</v>
      </c>
      <c r="G29" s="34" t="str">
        <f>IFERROR(__xludf.DUMMYFUNCTION("""COMPUTED_VALUE"""),"50.93m")</f>
        <v>50.93m</v>
      </c>
      <c r="H29" s="375" t="str">
        <f>IFERROR(__xludf.DUMMYFUNCTION("""COMPUTED_VALUE"""),"Lip Cream, Lip Vinyl &amp; TWC")</f>
        <v>Lip Cream, Lip Vinyl &amp; TWC</v>
      </c>
      <c r="I29" s="260" t="str">
        <f>IFERROR(__xludf.DUMMYFUNCTION("""COMPUTED_VALUE"""),"Sampai")</f>
        <v>Sampai</v>
      </c>
      <c r="J29" s="357"/>
      <c r="K29" s="279" t="str">
        <f>IFERROR(__xludf.DUMMYFUNCTION("""COMPUTED_VALUE"""),"https://www.tiktok.com/@racunversiaku/video/7601178185862270215?_r=1&amp;_t=ZS-93Zwdp7jRcC")</f>
        <v>https://www.tiktok.com/@racunversiaku/video/7601178185862270215?_r=1&amp;_t=ZS-93Zwdp7jRcC</v>
      </c>
      <c r="L29" s="357"/>
      <c r="M29" s="279" t="str">
        <f>IFERROR(__xludf.DUMMYFUNCTION("""COMPUTED_VALUE"""),"https://www.tiktok.com/@racunversiaku/video/7601348450516503815?_r=1&amp;_t=ZS-93ZwdqsBS1U")</f>
        <v>https://www.tiktok.com/@racunversiaku/video/7601348450516503815?_r=1&amp;_t=ZS-93ZwdqsBS1U</v>
      </c>
      <c r="N29" s="357"/>
      <c r="O29" s="279" t="str">
        <f>IFERROR(__xludf.DUMMYFUNCTION("""COMPUTED_VALUE"""),"https://www.tiktok.com/@racunversiaku/video/7601115618015776007?_r=1&amp;_t=ZS-93Zwcchk7CH")</f>
        <v>https://www.tiktok.com/@racunversiaku/video/7601115618015776007?_r=1&amp;_t=ZS-93Zwcchk7CH</v>
      </c>
      <c r="P29" s="357"/>
      <c r="Q29" s="278" t="str">
        <f>IFERROR(__xludf.DUMMYFUNCTION("""COMPUTED_VALUE"""),"https://www.tiktok.com/@racunversiaku/video/7601392819109907719?_r=1&amp;_t=ZS-93Zwe6rwBwT")</f>
        <v>https://www.tiktok.com/@racunversiaku/video/7601392819109907719?_r=1&amp;_t=ZS-93Zwe6rwBwT</v>
      </c>
      <c r="R29" s="262"/>
      <c r="S29" s="262"/>
      <c r="T29" s="380"/>
      <c r="U29" s="262"/>
      <c r="V29" s="77"/>
      <c r="W29" s="77"/>
    </row>
    <row r="30">
      <c r="A30" s="255" t="str">
        <f>IFERROR(__xludf.DUMMYFUNCTION("""COMPUTED_VALUE"""),"MICRO")</f>
        <v>MICRO</v>
      </c>
      <c r="B30" s="23" t="str">
        <f>IFERROR(__xludf.DUMMYFUNCTION("""COMPUTED_VALUE"""),"Wulandarisabda ")</f>
        <v>Wulandarisabda </v>
      </c>
      <c r="C30" s="281" t="str">
        <f>IFERROR(__xludf.DUMMYFUNCTION("""COMPUTED_VALUE"""),"https://www.tiktok.com/@Wulandarisabda ")</f>
        <v>https://www.tiktok.com/@Wulandarisabda </v>
      </c>
      <c r="D30" s="381">
        <f>IFERROR(__xludf.DUMMYFUNCTION("""COMPUTED_VALUE"""),8.95339671777E11)</f>
        <v>895339671777</v>
      </c>
      <c r="E30" s="271">
        <f>IFERROR(__xludf.DUMMYFUNCTION("""COMPUTED_VALUE"""),0.0)</f>
        <v>0</v>
      </c>
      <c r="F30">
        <f>IFERROR(__xludf.DUMMYFUNCTION("""COMPUTED_VALUE"""),4.0)</f>
        <v>4</v>
      </c>
      <c r="G30" s="34" t="str">
        <f>IFERROR(__xludf.DUMMYFUNCTION("""COMPUTED_VALUE"""),"12.46m")</f>
        <v>12.46m</v>
      </c>
      <c r="H30" s="375" t="str">
        <f>IFERROR(__xludf.DUMMYFUNCTION("""COMPUTED_VALUE"""),"TWC")</f>
        <v>TWC</v>
      </c>
      <c r="I30" s="260" t="str">
        <f>IFERROR(__xludf.DUMMYFUNCTION("""COMPUTED_VALUE"""),"Sampai")</f>
        <v>Sampai</v>
      </c>
      <c r="J30" s="357"/>
      <c r="K30" s="17"/>
      <c r="L30" s="357"/>
      <c r="M30" s="17"/>
      <c r="N30" s="357"/>
      <c r="O30" s="17"/>
      <c r="P30" s="357"/>
      <c r="Q30" s="262"/>
      <c r="R30" s="262"/>
      <c r="S30" s="262"/>
      <c r="T30" s="380"/>
      <c r="U30" s="262"/>
      <c r="V30" s="77"/>
      <c r="W30" s="77"/>
    </row>
    <row r="31">
      <c r="A31" s="255" t="str">
        <f>IFERROR(__xludf.DUMMYFUNCTION("""COMPUTED_VALUE"""),"MICRO")</f>
        <v>MICRO</v>
      </c>
      <c r="B31" s="359" t="str">
        <f>IFERROR(__xludf.DUMMYFUNCTION("""COMPUTED_VALUE"""),"arfatus.sh")</f>
        <v>arfatus.sh</v>
      </c>
      <c r="C31" s="281" t="str">
        <f>IFERROR(__xludf.DUMMYFUNCTION("""COMPUTED_VALUE"""),"https://www.tiktok.com/@arfatus.sh")</f>
        <v>https://www.tiktok.com/@arfatus.sh</v>
      </c>
      <c r="D31" s="381">
        <f>IFERROR(__xludf.DUMMYFUNCTION("""COMPUTED_VALUE"""),8.1271828887E10)</f>
        <v>81271828887</v>
      </c>
      <c r="E31" s="271">
        <f>IFERROR(__xludf.DUMMYFUNCTION("""COMPUTED_VALUE"""),0.0)</f>
        <v>0</v>
      </c>
      <c r="F31" s="270">
        <f>IFERROR(__xludf.DUMMYFUNCTION("""COMPUTED_VALUE"""),1.0)</f>
        <v>1</v>
      </c>
      <c r="G31" s="34" t="str">
        <f>IFERROR(__xludf.DUMMYFUNCTION("""COMPUTED_VALUE"""),"444.70k")</f>
        <v>444.70k</v>
      </c>
      <c r="H31" s="375" t="str">
        <f>IFERROR(__xludf.DUMMYFUNCTION("""COMPUTED_VALUE"""),"Lip Vinyl")</f>
        <v>Lip Vinyl</v>
      </c>
      <c r="I31" s="260" t="str">
        <f>IFERROR(__xludf.DUMMYFUNCTION("""COMPUTED_VALUE"""),"Sampai")</f>
        <v>Sampai</v>
      </c>
      <c r="J31" s="357"/>
      <c r="K31" s="279" t="str">
        <f>IFERROR(__xludf.DUMMYFUNCTION("""COMPUTED_VALUE"""),"https://vt.tiktok.com/ZSmR8MPNn/")</f>
        <v>https://vt.tiktok.com/ZSmR8MPNn/</v>
      </c>
      <c r="L31" s="357"/>
      <c r="M31" s="17"/>
      <c r="N31" s="357"/>
      <c r="O31" s="17"/>
      <c r="P31" s="357"/>
      <c r="Q31" s="262"/>
      <c r="R31" s="262"/>
      <c r="S31" s="262"/>
      <c r="T31" s="380">
        <f>IFERROR(__xludf.DUMMYFUNCTION("""COMPUTED_VALUE"""),31121.0)</f>
        <v>31121</v>
      </c>
      <c r="U31" s="262"/>
      <c r="V31" s="77">
        <f>IFERROR(__xludf.DUMMYFUNCTION("""COMPUTED_VALUE"""),253239.84)</f>
        <v>253239.84</v>
      </c>
      <c r="W31" s="77"/>
    </row>
    <row r="32">
      <c r="A32" s="255" t="str">
        <f>IFERROR(__xludf.DUMMYFUNCTION("""COMPUTED_VALUE"""),"NANO")</f>
        <v>NANO</v>
      </c>
      <c r="B32" s="23" t="str">
        <f>IFERROR(__xludf.DUMMYFUNCTION("""COMPUTED_VALUE"""),"melisadyp")</f>
        <v>melisadyp</v>
      </c>
      <c r="C32" s="281" t="str">
        <f>IFERROR(__xludf.DUMMYFUNCTION("""COMPUTED_VALUE"""),"https://www.tiktok.com/@melisadyp")</f>
        <v>https://www.tiktok.com/@melisadyp</v>
      </c>
      <c r="D32" s="381">
        <f>IFERROR(__xludf.DUMMYFUNCTION("""COMPUTED_VALUE"""),8.5174215253E10)</f>
        <v>85174215253</v>
      </c>
      <c r="E32" s="271">
        <f>IFERROR(__xludf.DUMMYFUNCTION("""COMPUTED_VALUE"""),0.0)</f>
        <v>0</v>
      </c>
      <c r="F32" s="270">
        <f>IFERROR(__xludf.DUMMYFUNCTION("""COMPUTED_VALUE"""),2.0)</f>
        <v>2</v>
      </c>
      <c r="G32" s="34" t="str">
        <f>IFERROR(__xludf.DUMMYFUNCTION("""COMPUTED_VALUE"""),"1jt")</f>
        <v>1jt</v>
      </c>
      <c r="H32" s="375" t="str">
        <f>IFERROR(__xludf.DUMMYFUNCTION("""COMPUTED_VALUE"""),"Cushion &amp; Lip Vinyl")</f>
        <v>Cushion &amp; Lip Vinyl</v>
      </c>
      <c r="I32" s="260" t="str">
        <f>IFERROR(__xludf.DUMMYFUNCTION("""COMPUTED_VALUE"""),"Sampai")</f>
        <v>Sampai</v>
      </c>
      <c r="J32" s="357"/>
      <c r="K32" s="279" t="str">
        <f>IFERROR(__xludf.DUMMYFUNCTION("""COMPUTED_VALUE"""),"https://vt.tiktok.com/ZSH6gsaTk/")</f>
        <v>https://vt.tiktok.com/ZSH6gsaTk/</v>
      </c>
      <c r="L32" s="357"/>
      <c r="M32" s="279" t="str">
        <f>IFERROR(__xludf.DUMMYFUNCTION("""COMPUTED_VALUE"""),"https://www.tiktok.com/@melisadyp/video/7627274196539772177")</f>
        <v>https://www.tiktok.com/@melisadyp/video/7627274196539772177</v>
      </c>
      <c r="N32" s="357"/>
      <c r="O32" s="17"/>
      <c r="P32" s="357"/>
      <c r="Q32" s="262"/>
      <c r="R32" s="262"/>
      <c r="S32" s="262"/>
      <c r="T32" s="380">
        <f>IFERROR(__xludf.DUMMYFUNCTION("""COMPUTED_VALUE"""),121685.0)</f>
        <v>121685</v>
      </c>
      <c r="U32" s="262"/>
      <c r="V32" s="77"/>
      <c r="W32" s="77"/>
    </row>
    <row r="33">
      <c r="A33" s="255" t="str">
        <f>IFERROR(__xludf.DUMMYFUNCTION("""COMPUTED_VALUE"""),"NANO")</f>
        <v>NANO</v>
      </c>
      <c r="B33" s="23" t="str">
        <f>IFERROR(__xludf.DUMMYFUNCTION("""COMPUTED_VALUE"""),"aboutpipita")</f>
        <v>aboutpipita</v>
      </c>
      <c r="C33" s="281" t="str">
        <f>IFERROR(__xludf.DUMMYFUNCTION("""COMPUTED_VALUE"""),"https://www.tiktok.com/@aboutpipita")</f>
        <v>https://www.tiktok.com/@aboutpipita</v>
      </c>
      <c r="D33" s="381">
        <f>IFERROR(__xludf.DUMMYFUNCTION("""COMPUTED_VALUE"""),8.8245478772E10)</f>
        <v>88245478772</v>
      </c>
      <c r="E33" s="271">
        <f>IFERROR(__xludf.DUMMYFUNCTION("""COMPUTED_VALUE"""),0.0)</f>
        <v>0</v>
      </c>
      <c r="F33" s="270">
        <f>IFERROR(__xludf.DUMMYFUNCTION("""COMPUTED_VALUE"""),2.0)</f>
        <v>2</v>
      </c>
      <c r="G33" s="34" t="str">
        <f>IFERROR(__xludf.DUMMYFUNCTION("""COMPUTED_VALUE"""),"12.40m")</f>
        <v>12.40m</v>
      </c>
      <c r="H33" s="375" t="str">
        <f>IFERROR(__xludf.DUMMYFUNCTION("""COMPUTED_VALUE"""),"Cushion &amp; Lip Vinyl")</f>
        <v>Cushion &amp; Lip Vinyl</v>
      </c>
      <c r="I33" s="260" t="str">
        <f>IFERROR(__xludf.DUMMYFUNCTION("""COMPUTED_VALUE"""),"Sampai")</f>
        <v>Sampai</v>
      </c>
      <c r="J33" s="357"/>
      <c r="K33" s="80" t="str">
        <f>IFERROR(__xludf.DUMMYFUNCTION("""COMPUTED_VALUE"""),"https://vt.tiktok.com/ZSauFrsbQ/")</f>
        <v>https://vt.tiktok.com/ZSauFrsbQ/</v>
      </c>
      <c r="L33" s="357"/>
      <c r="M33" s="17" t="str">
        <f>IFERROR(__xludf.DUMMYFUNCTION("""COMPUTED_VALUE"""),"draft")</f>
        <v>draft</v>
      </c>
      <c r="N33" s="357"/>
      <c r="O33" s="17"/>
      <c r="P33" s="357"/>
      <c r="Q33" s="17"/>
      <c r="R33" s="17"/>
      <c r="S33" s="17"/>
      <c r="T33" s="365"/>
      <c r="U33" s="17"/>
      <c r="V33" s="77"/>
      <c r="W33" s="77"/>
    </row>
    <row r="34">
      <c r="A34" s="255" t="str">
        <f>IFERROR(__xludf.DUMMYFUNCTION("""COMPUTED_VALUE"""),"NANO")</f>
        <v>NANO</v>
      </c>
      <c r="B34" s="23" t="str">
        <f>IFERROR(__xludf.DUMMYFUNCTION("""COMPUTED_VALUE"""),"dvirh9")</f>
        <v>dvirh9</v>
      </c>
      <c r="C34" s="281" t="str">
        <f>IFERROR(__xludf.DUMMYFUNCTION("""COMPUTED_VALUE"""),"https://www.tiktok.com/@dvirh9")</f>
        <v>https://www.tiktok.com/@dvirh9</v>
      </c>
      <c r="D34" s="381">
        <f>IFERROR(__xludf.DUMMYFUNCTION("""COMPUTED_VALUE"""),8.7723109306E10)</f>
        <v>87723109306</v>
      </c>
      <c r="E34" s="271">
        <f>IFERROR(__xludf.DUMMYFUNCTION("""COMPUTED_VALUE"""),0.0)</f>
        <v>0</v>
      </c>
      <c r="F34" s="270">
        <f>IFERROR(__xludf.DUMMYFUNCTION("""COMPUTED_VALUE"""),3.0)</f>
        <v>3</v>
      </c>
      <c r="G34" s="34" t="str">
        <f>IFERROR(__xludf.DUMMYFUNCTION("""COMPUTED_VALUE"""),"26.79m")</f>
        <v>26.79m</v>
      </c>
      <c r="H34" s="375" t="str">
        <f>IFERROR(__xludf.DUMMYFUNCTION("""COMPUTED_VALUE"""),"Cushion")</f>
        <v>Cushion</v>
      </c>
      <c r="I34" s="260" t="str">
        <f>IFERROR(__xludf.DUMMYFUNCTION("""COMPUTED_VALUE"""),"Sampai")</f>
        <v>Sampai</v>
      </c>
      <c r="J34" s="357"/>
      <c r="K34" s="280" t="str">
        <f>IFERROR(__xludf.DUMMYFUNCTION("""COMPUTED_VALUE"""),"https://vt.tiktok.com/ZSaaYQACA/")</f>
        <v>https://vt.tiktok.com/ZSaaYQACA/</v>
      </c>
      <c r="L34" s="357"/>
      <c r="M34" s="279" t="str">
        <f>IFERROR(__xludf.DUMMYFUNCTION("""COMPUTED_VALUE"""),"https://vt.tiktok.com/ZSaXuGgeF/")</f>
        <v>https://vt.tiktok.com/ZSaXuGgeF/</v>
      </c>
      <c r="N34" s="357"/>
      <c r="O34" s="279" t="str">
        <f>IFERROR(__xludf.DUMMYFUNCTION("""COMPUTED_VALUE"""),"https://vt.tiktok.com/ZSmY8eHfa/")</f>
        <v>https://vt.tiktok.com/ZSmY8eHfa/</v>
      </c>
      <c r="P34" s="357"/>
      <c r="Q34" s="17"/>
      <c r="R34" s="17"/>
      <c r="S34" s="17"/>
      <c r="T34" s="365"/>
      <c r="U34" s="17"/>
      <c r="V34" s="77"/>
      <c r="W34" s="77"/>
    </row>
    <row r="35">
      <c r="A35" s="255" t="str">
        <f>IFERROR(__xludf.DUMMYFUNCTION("""COMPUTED_VALUE"""),"MICRO")</f>
        <v>MICRO</v>
      </c>
      <c r="B35" s="23" t="str">
        <f>IFERROR(__xludf.DUMMYFUNCTION("""COMPUTED_VALUE"""),"sillviaaagr")</f>
        <v>sillviaaagr</v>
      </c>
      <c r="C35" s="281" t="str">
        <f>IFERROR(__xludf.DUMMYFUNCTION("""COMPUTED_VALUE"""),"https://www.tiktok.com/@sillviaaagr")</f>
        <v>https://www.tiktok.com/@sillviaaagr</v>
      </c>
      <c r="D35" s="381">
        <f>IFERROR(__xludf.DUMMYFUNCTION("""COMPUTED_VALUE"""),8.7773913702E10)</f>
        <v>87773913702</v>
      </c>
      <c r="E35" s="271">
        <f>IFERROR(__xludf.DUMMYFUNCTION("""COMPUTED_VALUE"""),0.0)</f>
        <v>0</v>
      </c>
      <c r="F35" s="270">
        <f>IFERROR(__xludf.DUMMYFUNCTION("""COMPUTED_VALUE"""),2.0)</f>
        <v>2</v>
      </c>
      <c r="G35" s="34" t="str">
        <f>IFERROR(__xludf.DUMMYFUNCTION("""COMPUTED_VALUE"""),"163.03k")</f>
        <v>163.03k</v>
      </c>
      <c r="H35" s="375" t="str">
        <f>IFERROR(__xludf.DUMMYFUNCTION("""COMPUTED_VALUE"""),"Cushion")</f>
        <v>Cushion</v>
      </c>
      <c r="I35" s="260" t="str">
        <f>IFERROR(__xludf.DUMMYFUNCTION("""COMPUTED_VALUE"""),"Sampai")</f>
        <v>Sampai</v>
      </c>
      <c r="J35" s="357"/>
      <c r="K35" s="279" t="str">
        <f>IFERROR(__xludf.DUMMYFUNCTION("""COMPUTED_VALUE"""),"https://www.tiktok.com/@sillviaaagr/video/7600318882993196305?_r=1&amp;_t=ZS-93UftD2tk9Y")</f>
        <v>https://www.tiktok.com/@sillviaaagr/video/7600318882993196305?_r=1&amp;_t=ZS-93UftD2tk9Y</v>
      </c>
      <c r="L35" s="357"/>
      <c r="M35" s="279" t="str">
        <f>IFERROR(__xludf.DUMMYFUNCTION("""COMPUTED_VALUE"""),"https://vt.tiktok.com/ZSmJRRFxh/")</f>
        <v>https://vt.tiktok.com/ZSmJRRFxh/</v>
      </c>
      <c r="N35" s="357"/>
      <c r="O35" s="17"/>
      <c r="P35" s="357"/>
      <c r="Q35" s="17"/>
      <c r="R35" s="17"/>
      <c r="S35" s="17"/>
      <c r="T35" s="365"/>
      <c r="U35" s="17"/>
      <c r="V35" s="77">
        <f>IFERROR(__xludf.DUMMYFUNCTION("""COMPUTED_VALUE"""),1301389.28)</f>
        <v>1301389.28</v>
      </c>
      <c r="W35" s="77"/>
    </row>
    <row r="36">
      <c r="A36" s="255" t="str">
        <f>IFERROR(__xludf.DUMMYFUNCTION("""COMPUTED_VALUE"""),"NANO")</f>
        <v>NANO</v>
      </c>
      <c r="B36" s="23" t="str">
        <f>IFERROR(__xludf.DUMMYFUNCTION("""COMPUTED_VALUE"""),"rfitriaaanii")</f>
        <v>rfitriaaanii</v>
      </c>
      <c r="C36" s="281" t="str">
        <f>IFERROR(__xludf.DUMMYFUNCTION("""COMPUTED_VALUE"""),"https://www.tiktok.com/@rfitriaaanii")</f>
        <v>https://www.tiktok.com/@rfitriaaanii</v>
      </c>
      <c r="D36" s="381">
        <f>IFERROR(__xludf.DUMMYFUNCTION("""COMPUTED_VALUE"""),8.9671481723E10)</f>
        <v>89671481723</v>
      </c>
      <c r="E36" s="271">
        <f>IFERROR(__xludf.DUMMYFUNCTION("""COMPUTED_VALUE"""),0.0)</f>
        <v>0</v>
      </c>
      <c r="F36" s="270">
        <f>IFERROR(__xludf.DUMMYFUNCTION("""COMPUTED_VALUE"""),2.0)</f>
        <v>2</v>
      </c>
      <c r="G36" s="34" t="str">
        <f>IFERROR(__xludf.DUMMYFUNCTION("""COMPUTED_VALUE"""),"2.33m")</f>
        <v>2.33m</v>
      </c>
      <c r="H36" s="375" t="str">
        <f>IFERROR(__xludf.DUMMYFUNCTION("""COMPUTED_VALUE"""),"Cushion")</f>
        <v>Cushion</v>
      </c>
      <c r="I36" s="260" t="str">
        <f>IFERROR(__xludf.DUMMYFUNCTION("""COMPUTED_VALUE"""),"Sampai")</f>
        <v>Sampai</v>
      </c>
      <c r="J36" s="357"/>
      <c r="K36" s="279" t="str">
        <f>IFERROR(__xludf.DUMMYFUNCTION("""COMPUTED_VALUE"""),"https://vt.tiktok.com/ZSmosaq2j/")</f>
        <v>https://vt.tiktok.com/ZSmosaq2j/</v>
      </c>
      <c r="L36" s="357"/>
      <c r="M36" s="279" t="str">
        <f>IFERROR(__xludf.DUMMYFUNCTION("""COMPUTED_VALUE"""),"https://vt.tiktok.com/ZSmosDPff/")</f>
        <v>https://vt.tiktok.com/ZSmosDPff/</v>
      </c>
      <c r="N36" s="357"/>
      <c r="O36" s="17"/>
      <c r="P36" s="357"/>
      <c r="Q36" s="17"/>
      <c r="R36" s="17"/>
      <c r="S36" s="17"/>
      <c r="T36" s="365">
        <f>IFERROR(__xludf.DUMMYFUNCTION("""COMPUTED_VALUE"""),925908.0)</f>
        <v>925908</v>
      </c>
      <c r="U36" s="17"/>
      <c r="V36" s="77">
        <f>IFERROR(__xludf.DUMMYFUNCTION("""COMPUTED_VALUE"""),2.812240424E7)</f>
        <v>28122404.24</v>
      </c>
      <c r="W36" s="77"/>
    </row>
    <row r="37">
      <c r="A37" s="255" t="str">
        <f>IFERROR(__xludf.DUMMYFUNCTION("""COMPUTED_VALUE"""),"MICRO")</f>
        <v>MICRO</v>
      </c>
      <c r="B37" s="23" t="str">
        <f>IFERROR(__xludf.DUMMYFUNCTION("""COMPUTED_VALUE"""),"queenhannisss")</f>
        <v>queenhannisss</v>
      </c>
      <c r="C37" s="281" t="str">
        <f>IFERROR(__xludf.DUMMYFUNCTION("""COMPUTED_VALUE"""),"https://www.tiktok.com/@queenhannisss")</f>
        <v>https://www.tiktok.com/@queenhannisss</v>
      </c>
      <c r="D37" s="381">
        <f>IFERROR(__xludf.DUMMYFUNCTION("""COMPUTED_VALUE"""),8.126685182E9)</f>
        <v>8126685182</v>
      </c>
      <c r="E37" s="271">
        <f>IFERROR(__xludf.DUMMYFUNCTION("""COMPUTED_VALUE"""),0.0)</f>
        <v>0</v>
      </c>
      <c r="F37" s="270">
        <f>IFERROR(__xludf.DUMMYFUNCTION("""COMPUTED_VALUE"""),2.0)</f>
        <v>2</v>
      </c>
      <c r="G37" s="34" t="str">
        <f>IFERROR(__xludf.DUMMYFUNCTION("""COMPUTED_VALUE"""),"24jt")</f>
        <v>24jt</v>
      </c>
      <c r="H37" s="375" t="str">
        <f>IFERROR(__xludf.DUMMYFUNCTION("""COMPUTED_VALUE"""),"Lip Cream")</f>
        <v>Lip Cream</v>
      </c>
      <c r="I37" s="260" t="str">
        <f>IFERROR(__xludf.DUMMYFUNCTION("""COMPUTED_VALUE"""),"Sampai")</f>
        <v>Sampai</v>
      </c>
      <c r="J37" s="357"/>
      <c r="K37" s="279" t="str">
        <f>IFERROR(__xludf.DUMMYFUNCTION("""COMPUTED_VALUE"""),"https://vt.tiktok.com/ZSa3AgTBS/")</f>
        <v>https://vt.tiktok.com/ZSa3AgTBS/</v>
      </c>
      <c r="L37" s="357"/>
      <c r="M37" s="279" t="str">
        <f>IFERROR(__xludf.DUMMYFUNCTION("""COMPUTED_VALUE"""),"https://vt.tiktok.com/ZSmfQHdWr/")</f>
        <v>https://vt.tiktok.com/ZSmfQHdWr/</v>
      </c>
      <c r="N37" s="357"/>
      <c r="O37" s="17"/>
      <c r="P37" s="357"/>
      <c r="Q37" s="17"/>
      <c r="R37" s="17"/>
      <c r="S37" s="17"/>
      <c r="T37" s="365">
        <f>IFERROR(__xludf.DUMMYFUNCTION("""COMPUTED_VALUE"""),62406.0)</f>
        <v>62406</v>
      </c>
      <c r="U37" s="17"/>
      <c r="V37" s="77">
        <f>IFERROR(__xludf.DUMMYFUNCTION("""COMPUTED_VALUE"""),2888185.76)</f>
        <v>2888185.76</v>
      </c>
      <c r="W37" s="77"/>
    </row>
    <row r="38">
      <c r="A38" s="255" t="str">
        <f>IFERROR(__xludf.DUMMYFUNCTION("""COMPUTED_VALUE"""),"MICRO")</f>
        <v>MICRO</v>
      </c>
      <c r="B38" s="23" t="str">
        <f>IFERROR(__xludf.DUMMYFUNCTION("""COMPUTED_VALUE"""),"appuccii")</f>
        <v>appuccii</v>
      </c>
      <c r="C38" s="281" t="str">
        <f>IFERROR(__xludf.DUMMYFUNCTION("""COMPUTED_VALUE"""),"https://www.tiktok.com/@appuccii")</f>
        <v>https://www.tiktok.com/@appuccii</v>
      </c>
      <c r="D38" s="381">
        <f>IFERROR(__xludf.DUMMYFUNCTION("""COMPUTED_VALUE"""),8.8214794464E10)</f>
        <v>88214794464</v>
      </c>
      <c r="E38" s="271">
        <f>IFERROR(__xludf.DUMMYFUNCTION("""COMPUTED_VALUE"""),0.0)</f>
        <v>0</v>
      </c>
      <c r="F38" s="270">
        <f>IFERROR(__xludf.DUMMYFUNCTION("""COMPUTED_VALUE"""),2.0)</f>
        <v>2</v>
      </c>
      <c r="G38" s="34" t="str">
        <f>IFERROR(__xludf.DUMMYFUNCTION("""COMPUTED_VALUE"""),"159k")</f>
        <v>159k</v>
      </c>
      <c r="H38" s="375" t="str">
        <f>IFERROR(__xludf.DUMMYFUNCTION("""COMPUTED_VALUE"""),"TWC")</f>
        <v>TWC</v>
      </c>
      <c r="I38" s="260" t="str">
        <f>IFERROR(__xludf.DUMMYFUNCTION("""COMPUTED_VALUE"""),"Sampai")</f>
        <v>Sampai</v>
      </c>
      <c r="J38" s="357"/>
      <c r="K38" s="279" t="str">
        <f>IFERROR(__xludf.DUMMYFUNCTION("""COMPUTED_VALUE"""),"https://www.tiktok.com/@appuccii/video/7612582228878560519?_r=1&amp;_t=ZS-94Li4j2SrRM")</f>
        <v>https://www.tiktok.com/@appuccii/video/7612582228878560519?_r=1&amp;_t=ZS-94Li4j2SrRM</v>
      </c>
      <c r="L38" s="357"/>
      <c r="M38" s="279" t="str">
        <f>IFERROR(__xludf.DUMMYFUNCTION("""COMPUTED_VALUE"""),"https://www.tiktok.com/@appuccii/video/7613366144870780168?_r=1&amp;_t=ZS-94PIoR5aJxk")</f>
        <v>https://www.tiktok.com/@appuccii/video/7613366144870780168?_r=1&amp;_t=ZS-94PIoR5aJxk</v>
      </c>
      <c r="N38" s="357"/>
      <c r="O38" s="17"/>
      <c r="P38" s="357"/>
      <c r="Q38" s="17"/>
      <c r="R38" s="17"/>
      <c r="S38" s="17"/>
      <c r="T38" s="365"/>
      <c r="U38" s="17"/>
      <c r="V38" s="77">
        <f>IFERROR(__xludf.DUMMYFUNCTION("""COMPUTED_VALUE"""),2.05265196E7)</f>
        <v>20526519.6</v>
      </c>
      <c r="W38" s="77"/>
    </row>
    <row r="39">
      <c r="A39" s="255" t="str">
        <f>IFERROR(__xludf.DUMMYFUNCTION("""COMPUTED_VALUE"""),"NANO")</f>
        <v>NANO</v>
      </c>
      <c r="B39" s="23" t="str">
        <f>IFERROR(__xludf.DUMMYFUNCTION("""COMPUTED_VALUE"""),"iniziraajuga")</f>
        <v>iniziraajuga</v>
      </c>
      <c r="C39" s="281" t="str">
        <f>IFERROR(__xludf.DUMMYFUNCTION("""COMPUTED_VALUE"""),"https://www.tiktok.com/@iniziraajuga")</f>
        <v>https://www.tiktok.com/@iniziraajuga</v>
      </c>
      <c r="D39" s="381">
        <f>IFERROR(__xludf.DUMMYFUNCTION("""COMPUTED_VALUE"""),8.3197631206E10)</f>
        <v>83197631206</v>
      </c>
      <c r="E39" s="271">
        <f>IFERROR(__xludf.DUMMYFUNCTION("""COMPUTED_VALUE"""),0.0)</f>
        <v>0</v>
      </c>
      <c r="F39" s="270">
        <f>IFERROR(__xludf.DUMMYFUNCTION("""COMPUTED_VALUE"""),3.0)</f>
        <v>3</v>
      </c>
      <c r="G39" s="34" t="str">
        <f>IFERROR(__xludf.DUMMYFUNCTION("""COMPUTED_VALUE"""),"114,58jt")</f>
        <v>114,58jt</v>
      </c>
      <c r="H39" s="375" t="str">
        <f>IFERROR(__xludf.DUMMYFUNCTION("""COMPUTED_VALUE"""),"Lip Vinyl")</f>
        <v>Lip Vinyl</v>
      </c>
      <c r="I39" s="260" t="str">
        <f>IFERROR(__xludf.DUMMYFUNCTION("""COMPUTED_VALUE"""),"Sampai")</f>
        <v>Sampai</v>
      </c>
      <c r="J39" s="357"/>
      <c r="K39" s="279" t="str">
        <f>IFERROR(__xludf.DUMMYFUNCTION("""COMPUTED_VALUE"""),"https://www.tiktok.com/@iniziraajuga/video/7604660073192869141?_r=1&amp;_t=ZS-944KNJUy7u8")</f>
        <v>https://www.tiktok.com/@iniziraajuga/video/7604660073192869141?_r=1&amp;_t=ZS-944KNJUy7u8</v>
      </c>
      <c r="L39" s="357"/>
      <c r="M39" s="279" t="str">
        <f>IFERROR(__xludf.DUMMYFUNCTION("""COMPUTED_VALUE"""),"https://www.tiktok.com/@iniziraajuga/video/7605550254586432788?_r=1&amp;_t=ZS-944KOWD9hzQ")</f>
        <v>https://www.tiktok.com/@iniziraajuga/video/7605550254586432788?_r=1&amp;_t=ZS-944KOWD9hzQ</v>
      </c>
      <c r="N39" s="357"/>
      <c r="O39" s="279" t="str">
        <f>IFERROR(__xludf.DUMMYFUNCTION("""COMPUTED_VALUE"""),"https://www.tiktok.com/@iniziraajuga/video/7611117732851141909?_r=1&amp;_t=ZS-94GjLJ5OQNg")</f>
        <v>https://www.tiktok.com/@iniziraajuga/video/7611117732851141909?_r=1&amp;_t=ZS-94GjLJ5OQNg</v>
      </c>
      <c r="P39" s="357"/>
      <c r="Q39" s="262"/>
      <c r="R39" s="262"/>
      <c r="S39" s="262"/>
      <c r="T39" s="380">
        <f>IFERROR(__xludf.DUMMYFUNCTION("""COMPUTED_VALUE"""),640799.0)</f>
        <v>640799</v>
      </c>
      <c r="U39" s="262"/>
      <c r="V39" s="382">
        <f>IFERROR(__xludf.DUMMYFUNCTION("""COMPUTED_VALUE"""),4.48055528E7)</f>
        <v>44805552.8</v>
      </c>
      <c r="W39" s="382"/>
    </row>
    <row r="40">
      <c r="A40" s="255" t="str">
        <f>IFERROR(__xludf.DUMMYFUNCTION("""COMPUTED_VALUE"""),"MICRO")</f>
        <v>MICRO</v>
      </c>
      <c r="B40" s="23" t="str">
        <f>IFERROR(__xludf.DUMMYFUNCTION("""COMPUTED_VALUE"""),"ifanasyiffa")</f>
        <v>ifanasyiffa</v>
      </c>
      <c r="C40" s="281" t="str">
        <f>IFERROR(__xludf.DUMMYFUNCTION("""COMPUTED_VALUE"""),"https://www.tiktok.com/@ifanasyiffa")</f>
        <v>https://www.tiktok.com/@ifanasyiffa</v>
      </c>
      <c r="D40" s="381">
        <f>IFERROR(__xludf.DUMMYFUNCTION("""COMPUTED_VALUE"""),8.3155871008E10)</f>
        <v>83155871008</v>
      </c>
      <c r="E40" s="271">
        <f>IFERROR(__xludf.DUMMYFUNCTION("""COMPUTED_VALUE"""),0.0)</f>
        <v>0</v>
      </c>
      <c r="F40" s="270">
        <f>IFERROR(__xludf.DUMMYFUNCTION("""COMPUTED_VALUE"""),2.0)</f>
        <v>2</v>
      </c>
      <c r="G40" s="34" t="str">
        <f>IFERROR(__xludf.DUMMYFUNCTION("""COMPUTED_VALUE"""),"2,5jt")</f>
        <v>2,5jt</v>
      </c>
      <c r="H40" s="375" t="str">
        <f>IFERROR(__xludf.DUMMYFUNCTION("""COMPUTED_VALUE"""),"TWC")</f>
        <v>TWC</v>
      </c>
      <c r="I40" s="260" t="str">
        <f>IFERROR(__xludf.DUMMYFUNCTION("""COMPUTED_VALUE"""),"Sampai")</f>
        <v>Sampai</v>
      </c>
      <c r="J40" s="357"/>
      <c r="K40" s="279" t="str">
        <f>IFERROR(__xludf.DUMMYFUNCTION("""COMPUTED_VALUE"""),"https://vt.tiktok.com/ZSm2meoPs/")</f>
        <v>https://vt.tiktok.com/ZSm2meoPs/</v>
      </c>
      <c r="L40" s="357"/>
      <c r="M40" s="279" t="str">
        <f>IFERROR(__xludf.DUMMYFUNCTION("""COMPUTED_VALUE"""),"https://vt.tiktok.com/ZSmwsvuwb/")</f>
        <v>https://vt.tiktok.com/ZSmwsvuwb/</v>
      </c>
      <c r="N40" s="357"/>
      <c r="O40" s="17"/>
      <c r="P40" s="357"/>
      <c r="Q40" s="262"/>
      <c r="R40" s="262"/>
      <c r="S40" s="262"/>
      <c r="T40" s="380"/>
      <c r="U40" s="262"/>
      <c r="V40" s="382"/>
      <c r="W40" s="382"/>
    </row>
    <row r="41">
      <c r="A41" s="255" t="str">
        <f>IFERROR(__xludf.DUMMYFUNCTION("""COMPUTED_VALUE"""),"NANO")</f>
        <v>NANO</v>
      </c>
      <c r="B41" s="23" t="str">
        <f>IFERROR(__xludf.DUMMYFUNCTION("""COMPUTED_VALUE"""),"arnillawati")</f>
        <v>arnillawati</v>
      </c>
      <c r="C41" s="281" t="str">
        <f>IFERROR(__xludf.DUMMYFUNCTION("""COMPUTED_VALUE"""),"https://www.tiktok.com/@arnillawati")</f>
        <v>https://www.tiktok.com/@arnillawati</v>
      </c>
      <c r="D41" s="381">
        <f>IFERROR(__xludf.DUMMYFUNCTION("""COMPUTED_VALUE"""),8.2188059466E10)</f>
        <v>82188059466</v>
      </c>
      <c r="E41" s="271">
        <f>IFERROR(__xludf.DUMMYFUNCTION("""COMPUTED_VALUE"""),0.0)</f>
        <v>0</v>
      </c>
      <c r="F41" s="270">
        <f>IFERROR(__xludf.DUMMYFUNCTION("""COMPUTED_VALUE"""),2.0)</f>
        <v>2</v>
      </c>
      <c r="G41" s="34" t="str">
        <f>IFERROR(__xludf.DUMMYFUNCTION("""COMPUTED_VALUE"""),"11,52jt")</f>
        <v>11,52jt</v>
      </c>
      <c r="H41" s="375" t="str">
        <f>IFERROR(__xludf.DUMMYFUNCTION("""COMPUTED_VALUE"""),"Lip Vinyl")</f>
        <v>Lip Vinyl</v>
      </c>
      <c r="I41" s="260" t="str">
        <f>IFERROR(__xludf.DUMMYFUNCTION("""COMPUTED_VALUE"""),"Sampai")</f>
        <v>Sampai</v>
      </c>
      <c r="J41" s="357"/>
      <c r="K41" s="279" t="str">
        <f>IFERROR(__xludf.DUMMYFUNCTION("""COMPUTED_VALUE"""),"https://vt.tiktok.com/ZSm6nRXYY/")</f>
        <v>https://vt.tiktok.com/ZSm6nRXYY/</v>
      </c>
      <c r="L41" s="357"/>
      <c r="M41" s="279" t="str">
        <f>IFERROR(__xludf.DUMMYFUNCTION("""COMPUTED_VALUE"""),"https://vt.tiktok.com/ZSmvEUKmK/")</f>
        <v>https://vt.tiktok.com/ZSmvEUKmK/</v>
      </c>
      <c r="N41" s="357"/>
      <c r="O41" s="17"/>
      <c r="P41" s="357"/>
      <c r="Q41" s="262"/>
      <c r="R41" s="262"/>
      <c r="S41" s="262"/>
      <c r="T41" s="380"/>
      <c r="U41" s="262"/>
      <c r="V41" s="382"/>
      <c r="W41" s="382"/>
    </row>
    <row r="42">
      <c r="A42" s="255" t="str">
        <f>IFERROR(__xludf.DUMMYFUNCTION("""COMPUTED_VALUE"""),"NANO")</f>
        <v>NANO</v>
      </c>
      <c r="B42" s="23" t="str">
        <f>IFERROR(__xludf.DUMMYFUNCTION("""COMPUTED_VALUE"""),"sunny.beaute")</f>
        <v>sunny.beaute</v>
      </c>
      <c r="C42" s="281" t="str">
        <f>IFERROR(__xludf.DUMMYFUNCTION("""COMPUTED_VALUE"""),"https://www.tiktok.com/@sunny.beaute")</f>
        <v>https://www.tiktok.com/@sunny.beaute</v>
      </c>
      <c r="D42" s="381">
        <f>IFERROR(__xludf.DUMMYFUNCTION("""COMPUTED_VALUE"""),8.1359683514E10)</f>
        <v>81359683514</v>
      </c>
      <c r="E42" s="271">
        <f>IFERROR(__xludf.DUMMYFUNCTION("""COMPUTED_VALUE"""),0.0)</f>
        <v>0</v>
      </c>
      <c r="F42" s="270">
        <f>IFERROR(__xludf.DUMMYFUNCTION("""COMPUTED_VALUE"""),4.0)</f>
        <v>4</v>
      </c>
      <c r="G42" s="34" t="str">
        <f>IFERROR(__xludf.DUMMYFUNCTION("""COMPUTED_VALUE"""),"1.9jt")</f>
        <v>1.9jt</v>
      </c>
      <c r="H42" s="375" t="str">
        <f>IFERROR(__xludf.DUMMYFUNCTION("""COMPUTED_VALUE"""),"Cushion &amp; Lip Cream")</f>
        <v>Cushion &amp; Lip Cream</v>
      </c>
      <c r="I42" s="260" t="str">
        <f>IFERROR(__xludf.DUMMYFUNCTION("""COMPUTED_VALUE"""),"Sampai")</f>
        <v>Sampai</v>
      </c>
      <c r="J42" s="357"/>
      <c r="K42" s="279" t="str">
        <f>IFERROR(__xludf.DUMMYFUNCTION("""COMPUTED_VALUE"""),"https://vt.tiktok.com/ZSmBfpbEw/")</f>
        <v>https://vt.tiktok.com/ZSmBfpbEw/</v>
      </c>
      <c r="L42" s="357"/>
      <c r="M42" s="279" t="str">
        <f>IFERROR(__xludf.DUMMYFUNCTION("""COMPUTED_VALUE"""),"https://vt.tiktok.com/ZSuQ6HmQ5/")</f>
        <v>https://vt.tiktok.com/ZSuQ6HmQ5/</v>
      </c>
      <c r="N42" s="357"/>
      <c r="O42" s="17"/>
      <c r="P42" s="357"/>
      <c r="Q42" s="262"/>
      <c r="R42" s="262"/>
      <c r="S42" s="262"/>
      <c r="T42" s="380">
        <f>IFERROR(__xludf.DUMMYFUNCTION("""COMPUTED_VALUE"""),321054.0)</f>
        <v>321054</v>
      </c>
      <c r="U42" s="262"/>
      <c r="V42" s="382"/>
      <c r="W42" s="382"/>
    </row>
    <row r="43">
      <c r="A43" s="255" t="str">
        <f>IFERROR(__xludf.DUMMYFUNCTION("""COMPUTED_VALUE"""),"MACRO")</f>
        <v>MACRO</v>
      </c>
      <c r="B43" s="23" t="str">
        <f>IFERROR(__xludf.DUMMYFUNCTION("""COMPUTED_VALUE"""),"nurnnyas")</f>
        <v>nurnnyas</v>
      </c>
      <c r="C43" s="281" t="str">
        <f>IFERROR(__xludf.DUMMYFUNCTION("""COMPUTED_VALUE"""),"https://www.tiktok.com/@nurnnyas")</f>
        <v>https://www.tiktok.com/@nurnnyas</v>
      </c>
      <c r="D43" s="381">
        <f>IFERROR(__xludf.DUMMYFUNCTION("""COMPUTED_VALUE"""),8.1352754346E10)</f>
        <v>81352754346</v>
      </c>
      <c r="E43" s="271">
        <f>IFERROR(__xludf.DUMMYFUNCTION("""COMPUTED_VALUE"""),0.0)</f>
        <v>0</v>
      </c>
      <c r="F43" s="270">
        <f>IFERROR(__xludf.DUMMYFUNCTION("""COMPUTED_VALUE"""),3.0)</f>
        <v>3</v>
      </c>
      <c r="G43" s="34" t="str">
        <f>IFERROR(__xludf.DUMMYFUNCTION("""COMPUTED_VALUE"""),"79,28jt")</f>
        <v>79,28jt</v>
      </c>
      <c r="H43" s="375" t="str">
        <f>IFERROR(__xludf.DUMMYFUNCTION("""COMPUTED_VALUE"""),"Cushion")</f>
        <v>Cushion</v>
      </c>
      <c r="I43" s="260" t="str">
        <f>IFERROR(__xludf.DUMMYFUNCTION("""COMPUTED_VALUE"""),"Sampai")</f>
        <v>Sampai</v>
      </c>
      <c r="J43" s="357"/>
      <c r="K43" s="279" t="str">
        <f>IFERROR(__xludf.DUMMYFUNCTION("""COMPUTED_VALUE"""),"https://www.tiktok.com/@nurnnyas/video/7603028149043072276?_r=1&amp;_t=ZS-93dy5Bg7UDk")</f>
        <v>https://www.tiktok.com/@nurnnyas/video/7603028149043072276?_r=1&amp;_t=ZS-93dy5Bg7UDk</v>
      </c>
      <c r="L43" s="357"/>
      <c r="M43" s="279" t="str">
        <f>IFERROR(__xludf.DUMMYFUNCTION("""COMPUTED_VALUE"""),"https://www.tiktok.com/@nurnnyas/video/7605156295678758165?_r=1&amp;_t=ZS-93nm4kThxQb")</f>
        <v>https://www.tiktok.com/@nurnnyas/video/7605156295678758165?_r=1&amp;_t=ZS-93nm4kThxQb</v>
      </c>
      <c r="N43" s="357"/>
      <c r="O43" s="279" t="str">
        <f>IFERROR(__xludf.DUMMYFUNCTION("""COMPUTED_VALUE"""),"https://www.tiktok.com/@nurnnyas/video/7610393031270812948?_r=1&amp;_t=ZS-94CihvyDVhs")</f>
        <v>https://www.tiktok.com/@nurnnyas/video/7610393031270812948?_r=1&amp;_t=ZS-94CihvyDVhs</v>
      </c>
      <c r="P43" s="357"/>
      <c r="Q43" s="262"/>
      <c r="R43" s="262"/>
      <c r="S43" s="262"/>
      <c r="T43" s="380">
        <f>IFERROR(__xludf.DUMMYFUNCTION("""COMPUTED_VALUE"""),519580.0)</f>
        <v>519580</v>
      </c>
      <c r="U43" s="262"/>
      <c r="V43" s="383">
        <f>IFERROR(__xludf.DUMMYFUNCTION("""COMPUTED_VALUE"""),3.815235632E7)</f>
        <v>38152356.32</v>
      </c>
      <c r="W43" s="383"/>
    </row>
    <row r="44">
      <c r="A44" s="255" t="str">
        <f>IFERROR(__xludf.DUMMYFUNCTION("""COMPUTED_VALUE"""),"MICRO")</f>
        <v>MICRO</v>
      </c>
      <c r="B44" s="23" t="str">
        <f>IFERROR(__xludf.DUMMYFUNCTION("""COMPUTED_VALUE"""),"they.callmelst")</f>
        <v>they.callmelst</v>
      </c>
      <c r="C44" s="281" t="str">
        <f>IFERROR(__xludf.DUMMYFUNCTION("""COMPUTED_VALUE"""),"https://www.tiktok.com/@they.callmelst")</f>
        <v>https://www.tiktok.com/@they.callmelst</v>
      </c>
      <c r="D44" s="381">
        <f>IFERROR(__xludf.DUMMYFUNCTION("""COMPUTED_VALUE"""),8.9604299344E10)</f>
        <v>89604299344</v>
      </c>
      <c r="E44" s="271">
        <f>IFERROR(__xludf.DUMMYFUNCTION("""COMPUTED_VALUE"""),0.0)</f>
        <v>0</v>
      </c>
      <c r="F44" s="270">
        <f>IFERROR(__xludf.DUMMYFUNCTION("""COMPUTED_VALUE"""),4.0)</f>
        <v>4</v>
      </c>
      <c r="G44" s="34" t="str">
        <f>IFERROR(__xludf.DUMMYFUNCTION("""COMPUTED_VALUE"""),"11,95jt")</f>
        <v>11,95jt</v>
      </c>
      <c r="H44" s="375" t="str">
        <f>IFERROR(__xludf.DUMMYFUNCTION("""COMPUTED_VALUE"""),"Cushion &amp; Lip Vinyl")</f>
        <v>Cushion &amp; Lip Vinyl</v>
      </c>
      <c r="I44" s="260" t="str">
        <f>IFERROR(__xludf.DUMMYFUNCTION("""COMPUTED_VALUE"""),"Sampai")</f>
        <v>Sampai</v>
      </c>
      <c r="J44" s="357"/>
      <c r="K44" s="279" t="str">
        <f>IFERROR(__xludf.DUMMYFUNCTION("""COMPUTED_VALUE"""),"https://vt.tiktok.com/ZSmFXqfxP/")</f>
        <v>https://vt.tiktok.com/ZSmFXqfxP/</v>
      </c>
      <c r="L44" s="357"/>
      <c r="M44" s="279" t="str">
        <f>IFERROR(__xludf.DUMMYFUNCTION("""COMPUTED_VALUE"""),"https://vt.tiktok.com/ZSm6DKmCW/")</f>
        <v>https://vt.tiktok.com/ZSm6DKmCW/</v>
      </c>
      <c r="N44" s="357"/>
      <c r="O44" s="279" t="str">
        <f>IFERROR(__xludf.DUMMYFUNCTION("""COMPUTED_VALUE"""),"https://vt.tiktok.com/ZSm6DTYqp/")</f>
        <v>https://vt.tiktok.com/ZSm6DTYqp/</v>
      </c>
      <c r="P44" s="357"/>
      <c r="Q44" s="278" t="str">
        <f>IFERROR(__xludf.DUMMYFUNCTION("""COMPUTED_VALUE"""),"https://vt.tiktok.com/ZSm6P2mNf/")</f>
        <v>https://vt.tiktok.com/ZSm6P2mNf/</v>
      </c>
      <c r="R44" s="278" t="str">
        <f>IFERROR(__xludf.DUMMYFUNCTION("""COMPUTED_VALUE"""),"https://vt.tiktok.com/ZSm6PPQNn/")</f>
        <v>https://vt.tiktok.com/ZSm6PPQNn/</v>
      </c>
      <c r="S44" s="278" t="str">
        <f>IFERROR(__xludf.DUMMYFUNCTION("""COMPUTED_VALUE"""),"https://vt.tiktok.com/ZSm6PRUBd/")</f>
        <v>https://vt.tiktok.com/ZSm6PRUBd/</v>
      </c>
      <c r="T44" s="380">
        <f>IFERROR(__xludf.DUMMYFUNCTION("""COMPUTED_VALUE"""),158507.0)</f>
        <v>158507</v>
      </c>
      <c r="U44" s="262"/>
      <c r="V44" s="383"/>
      <c r="W44" s="383"/>
    </row>
    <row r="45">
      <c r="A45" s="255" t="str">
        <f>IFERROR(__xludf.DUMMYFUNCTION("""COMPUTED_VALUE"""),"MICRO")</f>
        <v>MICRO</v>
      </c>
      <c r="B45" s="23" t="str">
        <f>IFERROR(__xludf.DUMMYFUNCTION("""COMPUTED_VALUE"""),"nris9")</f>
        <v>nris9</v>
      </c>
      <c r="C45" s="281" t="str">
        <f>IFERROR(__xludf.DUMMYFUNCTION("""COMPUTED_VALUE"""),"https://www.tiktok.com/@nris9")</f>
        <v>https://www.tiktok.com/@nris9</v>
      </c>
      <c r="D45" s="381">
        <f>IFERROR(__xludf.DUMMYFUNCTION("""COMPUTED_VALUE"""),8.7721316159E10)</f>
        <v>87721316159</v>
      </c>
      <c r="E45" s="271">
        <f>IFERROR(__xludf.DUMMYFUNCTION("""COMPUTED_VALUE"""),150000.0)</f>
        <v>150000</v>
      </c>
      <c r="F45" s="270">
        <f>IFERROR(__xludf.DUMMYFUNCTION("""COMPUTED_VALUE"""),1.0)</f>
        <v>1</v>
      </c>
      <c r="G45" s="34" t="str">
        <f>IFERROR(__xludf.DUMMYFUNCTION("""COMPUTED_VALUE"""),"121,41jt\")</f>
        <v>121,41jt\</v>
      </c>
      <c r="H45" s="375" t="str">
        <f>IFERROR(__xludf.DUMMYFUNCTION("""COMPUTED_VALUE"""),"Lip Vinyl")</f>
        <v>Lip Vinyl</v>
      </c>
      <c r="I45" s="260" t="str">
        <f>IFERROR(__xludf.DUMMYFUNCTION("""COMPUTED_VALUE"""),"Sampai")</f>
        <v>Sampai</v>
      </c>
      <c r="J45" s="357"/>
      <c r="K45" s="279" t="str">
        <f>IFERROR(__xludf.DUMMYFUNCTION("""COMPUTED_VALUE"""),"https://www.tiktok.com/@nris9/video/7602572734345858324?_r=1&amp;_t=ZS-93idYfLDl21")</f>
        <v>https://www.tiktok.com/@nris9/video/7602572734345858324?_r=1&amp;_t=ZS-93idYfLDl21</v>
      </c>
      <c r="L45" s="357"/>
      <c r="M45" s="17"/>
      <c r="N45" s="357"/>
      <c r="O45" s="17"/>
      <c r="P45" s="357"/>
      <c r="Q45" s="262"/>
      <c r="R45" s="262"/>
      <c r="S45" s="262"/>
      <c r="T45" s="380"/>
      <c r="U45" s="262"/>
      <c r="V45" s="383">
        <f>IFERROR(__xludf.DUMMYFUNCTION("""COMPUTED_VALUE"""),3.77801448E7)</f>
        <v>37780144.8</v>
      </c>
      <c r="W45" s="383"/>
    </row>
    <row r="46">
      <c r="A46" s="255" t="str">
        <f>IFERROR(__xludf.DUMMYFUNCTION("""COMPUTED_VALUE"""),"NANO")</f>
        <v>NANO</v>
      </c>
      <c r="B46" s="23" t="str">
        <f>IFERROR(__xludf.DUMMYFUNCTION("""COMPUTED_VALUE"""),"beranteminjerawat")</f>
        <v>beranteminjerawat</v>
      </c>
      <c r="C46" s="281" t="str">
        <f>IFERROR(__xludf.DUMMYFUNCTION("""COMPUTED_VALUE"""),"https://www.tiktok.com/@beranteminjerawat")</f>
        <v>https://www.tiktok.com/@beranteminjerawat</v>
      </c>
      <c r="D46" s="381">
        <f>IFERROR(__xludf.DUMMYFUNCTION("""COMPUTED_VALUE"""),8.2285558227E10)</f>
        <v>82285558227</v>
      </c>
      <c r="E46" s="271">
        <f>IFERROR(__xludf.DUMMYFUNCTION("""COMPUTED_VALUE"""),0.0)</f>
        <v>0</v>
      </c>
      <c r="F46" s="270">
        <f>IFERROR(__xludf.DUMMYFUNCTION("""COMPUTED_VALUE"""),3.0)</f>
        <v>3</v>
      </c>
      <c r="G46" s="34" t="str">
        <f>IFERROR(__xludf.DUMMYFUNCTION("""COMPUTED_VALUE"""),"5,3jt")</f>
        <v>5,3jt</v>
      </c>
      <c r="H46" s="375" t="str">
        <f>IFERROR(__xludf.DUMMYFUNCTION("""COMPUTED_VALUE"""),"Lip Cream")</f>
        <v>Lip Cream</v>
      </c>
      <c r="I46" s="260" t="str">
        <f>IFERROR(__xludf.DUMMYFUNCTION("""COMPUTED_VALUE"""),"Sampai")</f>
        <v>Sampai</v>
      </c>
      <c r="J46" s="357"/>
      <c r="K46" s="279" t="str">
        <f>IFERROR(__xludf.DUMMYFUNCTION("""COMPUTED_VALUE"""),"https://vt.tiktok.com/ZSm6PgdBq/")</f>
        <v>https://vt.tiktok.com/ZSm6PgdBq/</v>
      </c>
      <c r="L46" s="357"/>
      <c r="M46" s="279" t="str">
        <f>IFERROR(__xludf.DUMMYFUNCTION("""COMPUTED_VALUE"""),"https://vt.tiktok.com/ZSmfShFYH/")</f>
        <v>https://vt.tiktok.com/ZSmfShFYH/</v>
      </c>
      <c r="N46" s="357"/>
      <c r="O46" s="279" t="str">
        <f>IFERROR(__xludf.DUMMYFUNCTION("""COMPUTED_VALUE"""),"https://vt.tiktok.com/ZSmvXEoyG/")</f>
        <v>https://vt.tiktok.com/ZSmvXEoyG/</v>
      </c>
      <c r="P46" s="357"/>
      <c r="Q46" s="262"/>
      <c r="R46" s="262"/>
      <c r="S46" s="262"/>
      <c r="T46" s="380"/>
      <c r="U46" s="262"/>
      <c r="V46" s="383"/>
      <c r="W46" s="383"/>
    </row>
    <row r="47">
      <c r="A47" s="255" t="str">
        <f>IFERROR(__xludf.DUMMYFUNCTION("""COMPUTED_VALUE"""),"NANO")</f>
        <v>NANO</v>
      </c>
      <c r="B47" s="23" t="str">
        <f>IFERROR(__xludf.DUMMYFUNCTION("""COMPUTED_VALUE"""),"racun.beauty12")</f>
        <v>racun.beauty12</v>
      </c>
      <c r="C47" s="281" t="str">
        <f>IFERROR(__xludf.DUMMYFUNCTION("""COMPUTED_VALUE"""),"https://www.tiktok.com/@racun.beauty12")</f>
        <v>https://www.tiktok.com/@racun.beauty12</v>
      </c>
      <c r="D47" s="381">
        <f>IFERROR(__xludf.DUMMYFUNCTION("""COMPUTED_VALUE"""),8.3131782845E10)</f>
        <v>83131782845</v>
      </c>
      <c r="E47" s="271">
        <f>IFERROR(__xludf.DUMMYFUNCTION("""COMPUTED_VALUE"""),0.0)</f>
        <v>0</v>
      </c>
      <c r="F47" s="270">
        <f>IFERROR(__xludf.DUMMYFUNCTION("""COMPUTED_VALUE"""),2.0)</f>
        <v>2</v>
      </c>
      <c r="G47" s="34" t="str">
        <f>IFERROR(__xludf.DUMMYFUNCTION("""COMPUTED_VALUE"""),"58,62jt")</f>
        <v>58,62jt</v>
      </c>
      <c r="H47" s="375" t="str">
        <f>IFERROR(__xludf.DUMMYFUNCTION("""COMPUTED_VALUE"""),"Cushion")</f>
        <v>Cushion</v>
      </c>
      <c r="I47" s="260" t="str">
        <f>IFERROR(__xludf.DUMMYFUNCTION("""COMPUTED_VALUE"""),"Sampai")</f>
        <v>Sampai</v>
      </c>
      <c r="J47" s="357"/>
      <c r="K47" s="279" t="str">
        <f>IFERROR(__xludf.DUMMYFUNCTION("""COMPUTED_VALUE"""),"https://www.tiktok.com/@racun.beauty12/video/7612160073288240402?_r=1&amp;_t=ZS-94LjyGC3EqQ")</f>
        <v>https://www.tiktok.com/@racun.beauty12/video/7612160073288240402?_r=1&amp;_t=ZS-94LjyGC3EqQ</v>
      </c>
      <c r="L47" s="357"/>
      <c r="M47" s="279" t="str">
        <f>IFERROR(__xludf.DUMMYFUNCTION("""COMPUTED_VALUE"""),"https://www.tiktok.com/@racun.beauty12/video/7612020334388186386?_r=1&amp;_t=ZS-94LjylxhoQ6")</f>
        <v>https://www.tiktok.com/@racun.beauty12/video/7612020334388186386?_r=1&amp;_t=ZS-94LjylxhoQ6</v>
      </c>
      <c r="N47" s="357"/>
      <c r="O47" s="17"/>
      <c r="P47" s="357"/>
      <c r="Q47" s="262"/>
      <c r="R47" s="262"/>
      <c r="S47" s="262"/>
      <c r="T47" s="380"/>
      <c r="U47" s="262"/>
      <c r="V47" s="383"/>
      <c r="W47" s="383"/>
    </row>
    <row r="48">
      <c r="A48" s="255" t="str">
        <f>IFERROR(__xludf.DUMMYFUNCTION("""COMPUTED_VALUE"""),"NANO")</f>
        <v>NANO</v>
      </c>
      <c r="B48" s="23" t="str">
        <f>IFERROR(__xludf.DUMMYFUNCTION("""COMPUTED_VALUE"""),"_ikaawdwnty")</f>
        <v>_ikaawdwnty</v>
      </c>
      <c r="C48" s="281" t="str">
        <f>IFERROR(__xludf.DUMMYFUNCTION("""COMPUTED_VALUE"""),"https://www.tiktok.com/@_ikaawdwnty")</f>
        <v>https://www.tiktok.com/@_ikaawdwnty</v>
      </c>
      <c r="D48" s="381">
        <f>IFERROR(__xludf.DUMMYFUNCTION("""COMPUTED_VALUE"""),8.5727795289E10)</f>
        <v>85727795289</v>
      </c>
      <c r="E48" s="271">
        <f>IFERROR(__xludf.DUMMYFUNCTION("""COMPUTED_VALUE"""),0.0)</f>
        <v>0</v>
      </c>
      <c r="F48" s="270">
        <f>IFERROR(__xludf.DUMMYFUNCTION("""COMPUTED_VALUE"""),2.0)</f>
        <v>2</v>
      </c>
      <c r="G48" s="34" t="str">
        <f>IFERROR(__xludf.DUMMYFUNCTION("""COMPUTED_VALUE"""),"2,46jt")</f>
        <v>2,46jt</v>
      </c>
      <c r="H48" s="375" t="str">
        <f>IFERROR(__xludf.DUMMYFUNCTION("""COMPUTED_VALUE"""),"Cushion")</f>
        <v>Cushion</v>
      </c>
      <c r="I48" s="260" t="str">
        <f>IFERROR(__xludf.DUMMYFUNCTION("""COMPUTED_VALUE"""),"Sampai")</f>
        <v>Sampai</v>
      </c>
      <c r="J48" s="357"/>
      <c r="K48" s="279" t="str">
        <f>IFERROR(__xludf.DUMMYFUNCTION("""COMPUTED_VALUE"""),"https://vt.tiktok.com/ZSmJXoVK2/")</f>
        <v>https://vt.tiktok.com/ZSmJXoVK2/</v>
      </c>
      <c r="L48" s="357"/>
      <c r="M48" s="279" t="str">
        <f>IFERROR(__xludf.DUMMYFUNCTION("""COMPUTED_VALUE"""),"https://www.tiktok.com/@_ikaawdwnty/video/7606952309838613778?_r=1&amp;_t=ZS-93vvJjaUexj")</f>
        <v>https://www.tiktok.com/@_ikaawdwnty/video/7606952309838613778?_r=1&amp;_t=ZS-93vvJjaUexj</v>
      </c>
      <c r="N48" s="357"/>
      <c r="O48" s="17"/>
      <c r="P48" s="357"/>
      <c r="Q48" s="262"/>
      <c r="R48" s="262"/>
      <c r="S48" s="262"/>
      <c r="T48" s="380"/>
      <c r="U48" s="262"/>
      <c r="V48" s="383"/>
      <c r="W48" s="383"/>
    </row>
    <row r="49">
      <c r="A49" s="255" t="str">
        <f>IFERROR(__xludf.DUMMYFUNCTION("""COMPUTED_VALUE"""),"NANO")</f>
        <v>NANO</v>
      </c>
      <c r="B49" s="23" t="str">
        <f>IFERROR(__xludf.DUMMYFUNCTION("""COMPUTED_VALUE"""),"m00diegurlz ")</f>
        <v>m00diegurlz </v>
      </c>
      <c r="C49" s="281" t="str">
        <f>IFERROR(__xludf.DUMMYFUNCTION("""COMPUTED_VALUE"""),"https://www.tiktok.com/@m00diegurlz ")</f>
        <v>https://www.tiktok.com/@m00diegurlz </v>
      </c>
      <c r="D49" s="381">
        <f>IFERROR(__xludf.DUMMYFUNCTION("""COMPUTED_VALUE"""),8.9560068706E11)</f>
        <v>895600687060</v>
      </c>
      <c r="E49" s="271">
        <f>IFERROR(__xludf.DUMMYFUNCTION("""COMPUTED_VALUE"""),0.0)</f>
        <v>0</v>
      </c>
      <c r="F49" s="270">
        <f>IFERROR(__xludf.DUMMYFUNCTION("""COMPUTED_VALUE"""),2.0)</f>
        <v>2</v>
      </c>
      <c r="G49" s="34" t="str">
        <f>IFERROR(__xludf.DUMMYFUNCTION("""COMPUTED_VALUE"""),"1,96jt")</f>
        <v>1,96jt</v>
      </c>
      <c r="H49" s="375" t="str">
        <f>IFERROR(__xludf.DUMMYFUNCTION("""COMPUTED_VALUE"""),"TWC")</f>
        <v>TWC</v>
      </c>
      <c r="I49" s="260" t="str">
        <f>IFERROR(__xludf.DUMMYFUNCTION("""COMPUTED_VALUE"""),"Sampai")</f>
        <v>Sampai</v>
      </c>
      <c r="J49" s="357"/>
      <c r="K49" s="279" t="str">
        <f>IFERROR(__xludf.DUMMYFUNCTION("""COMPUTED_VALUE"""),"https://www.tiktok.com/@m00diegurlz/video/7606222736595193108?_r=1&amp;_t=ZS-93y5aCsRGsq")</f>
        <v>https://www.tiktok.com/@m00diegurlz/video/7606222736595193108?_r=1&amp;_t=ZS-93y5aCsRGsq</v>
      </c>
      <c r="L49" s="357"/>
      <c r="M49" s="279" t="str">
        <f>IFERROR(__xludf.DUMMYFUNCTION("""COMPUTED_VALUE"""),"https://www.tiktok.com/@m00diegurlz/video/7611008187776371989?_r=1&amp;_t=ZS-94EqQUdDnIf")</f>
        <v>https://www.tiktok.com/@m00diegurlz/video/7611008187776371989?_r=1&amp;_t=ZS-94EqQUdDnIf</v>
      </c>
      <c r="N49" s="357"/>
      <c r="O49" s="17"/>
      <c r="P49" s="357"/>
      <c r="Q49" s="262"/>
      <c r="R49" s="262"/>
      <c r="S49" s="262"/>
      <c r="T49" s="380">
        <f>IFERROR(__xludf.DUMMYFUNCTION("""COMPUTED_VALUE"""),187835.0)</f>
        <v>187835</v>
      </c>
      <c r="U49" s="262"/>
      <c r="V49" s="383">
        <f>IFERROR(__xludf.DUMMYFUNCTION("""COMPUTED_VALUE"""),7.084836872E7)</f>
        <v>70848368.72</v>
      </c>
      <c r="W49" s="383"/>
    </row>
    <row r="50">
      <c r="A50" s="255" t="str">
        <f>IFERROR(__xludf.DUMMYFUNCTION("""COMPUTED_VALUE"""),"NANO")</f>
        <v>NANO</v>
      </c>
      <c r="B50" s="23" t="str">
        <f>IFERROR(__xludf.DUMMYFUNCTION("""COMPUTED_VALUE"""),"d.lestarinp")</f>
        <v>d.lestarinp</v>
      </c>
      <c r="C50" s="281" t="str">
        <f>IFERROR(__xludf.DUMMYFUNCTION("""COMPUTED_VALUE"""),"https://www.tiktok.com/@d.lestarinp")</f>
        <v>https://www.tiktok.com/@d.lestarinp</v>
      </c>
      <c r="D50" s="381">
        <f>IFERROR(__xludf.DUMMYFUNCTION("""COMPUTED_VALUE"""),8.572312996E10)</f>
        <v>85723129960</v>
      </c>
      <c r="E50" s="271">
        <f>IFERROR(__xludf.DUMMYFUNCTION("""COMPUTED_VALUE"""),0.0)</f>
        <v>0</v>
      </c>
      <c r="F50" s="270">
        <f>IFERROR(__xludf.DUMMYFUNCTION("""COMPUTED_VALUE"""),1.0)</f>
        <v>1</v>
      </c>
      <c r="G50" s="34" t="str">
        <f>IFERROR(__xludf.DUMMYFUNCTION("""COMPUTED_VALUE"""),"800k")</f>
        <v>800k</v>
      </c>
      <c r="H50" s="375" t="str">
        <f>IFERROR(__xludf.DUMMYFUNCTION("""COMPUTED_VALUE"""),"Lip Vinyl")</f>
        <v>Lip Vinyl</v>
      </c>
      <c r="I50" s="260" t="str">
        <f>IFERROR(__xludf.DUMMYFUNCTION("""COMPUTED_VALUE"""),"Sampai")</f>
        <v>Sampai</v>
      </c>
      <c r="J50" s="357"/>
      <c r="K50" s="279" t="str">
        <f>IFERROR(__xludf.DUMMYFUNCTION("""COMPUTED_VALUE"""),"https://www.tiktok.com/@d.lestarinp/video/7602959986666327314?_r=1&amp;_t=ZS-93f4RYNCKTi")</f>
        <v>https://www.tiktok.com/@d.lestarinp/video/7602959986666327314?_r=1&amp;_t=ZS-93f4RYNCKTi</v>
      </c>
      <c r="L50" s="357"/>
      <c r="M50" s="17"/>
      <c r="N50" s="357"/>
      <c r="O50" s="17"/>
      <c r="P50" s="357"/>
      <c r="Q50" s="262"/>
      <c r="R50" s="262"/>
      <c r="S50" s="262"/>
      <c r="T50" s="380"/>
      <c r="U50" s="262"/>
      <c r="V50" s="383">
        <f>IFERROR(__xludf.DUMMYFUNCTION("""COMPUTED_VALUE"""),3.385047608E7)</f>
        <v>33850476.08</v>
      </c>
      <c r="W50" s="383"/>
    </row>
    <row r="51">
      <c r="A51" s="255" t="str">
        <f>IFERROR(__xludf.DUMMYFUNCTION("""COMPUTED_VALUE"""),"NANO")</f>
        <v>NANO</v>
      </c>
      <c r="B51" s="23" t="str">
        <f>IFERROR(__xludf.DUMMYFUNCTION("""COMPUTED_VALUE"""),"yourbesties77")</f>
        <v>yourbesties77</v>
      </c>
      <c r="C51" s="281" t="str">
        <f>IFERROR(__xludf.DUMMYFUNCTION("""COMPUTED_VALUE"""),"https://www.tiktok.com/@yourbesties77")</f>
        <v>https://www.tiktok.com/@yourbesties77</v>
      </c>
      <c r="D51" s="381">
        <f>IFERROR(__xludf.DUMMYFUNCTION("""COMPUTED_VALUE"""),8.5156020353E10)</f>
        <v>85156020353</v>
      </c>
      <c r="E51" s="271">
        <f>IFERROR(__xludf.DUMMYFUNCTION("""COMPUTED_VALUE"""),0.0)</f>
        <v>0</v>
      </c>
      <c r="F51" s="270">
        <f>IFERROR(__xludf.DUMMYFUNCTION("""COMPUTED_VALUE"""),1.0)</f>
        <v>1</v>
      </c>
      <c r="G51" s="34" t="str">
        <f>IFERROR(__xludf.DUMMYFUNCTION("""COMPUTED_VALUE"""),"359k")</f>
        <v>359k</v>
      </c>
      <c r="H51" s="375" t="str">
        <f>IFERROR(__xludf.DUMMYFUNCTION("""COMPUTED_VALUE"""),"Lip Vinyl")</f>
        <v>Lip Vinyl</v>
      </c>
      <c r="I51" s="260" t="str">
        <f>IFERROR(__xludf.DUMMYFUNCTION("""COMPUTED_VALUE"""),"Sampai")</f>
        <v>Sampai</v>
      </c>
      <c r="J51" s="357"/>
      <c r="K51" s="279" t="str">
        <f>IFERROR(__xludf.DUMMYFUNCTION("""COMPUTED_VALUE"""),"https://www.tiktok.com/@yourbesties77/video/7603711243202858248?_r=1&amp;_t=ZS-93mGdmBa7df")</f>
        <v>https://www.tiktok.com/@yourbesties77/video/7603711243202858248?_r=1&amp;_t=ZS-93mGdmBa7df</v>
      </c>
      <c r="L51" s="357"/>
      <c r="M51" s="17"/>
      <c r="N51" s="357"/>
      <c r="O51" s="17"/>
      <c r="P51" s="357"/>
      <c r="Q51" s="262"/>
      <c r="R51" s="262"/>
      <c r="S51" s="262"/>
      <c r="T51" s="380"/>
      <c r="U51" s="262"/>
      <c r="V51" s="383"/>
      <c r="W51" s="383"/>
    </row>
    <row r="52">
      <c r="A52" s="255" t="str">
        <f>IFERROR(__xludf.DUMMYFUNCTION("""COMPUTED_VALUE"""),"MICRO")</f>
        <v>MICRO</v>
      </c>
      <c r="B52" s="23" t="str">
        <f>IFERROR(__xludf.DUMMYFUNCTION("""COMPUTED_VALUE"""),"itscendi")</f>
        <v>itscendi</v>
      </c>
      <c r="C52" s="281" t="str">
        <f>IFERROR(__xludf.DUMMYFUNCTION("""COMPUTED_VALUE"""),"https://www.tiktok.com/@itscendi")</f>
        <v>https://www.tiktok.com/@itscendi</v>
      </c>
      <c r="D52" s="381">
        <f>IFERROR(__xludf.DUMMYFUNCTION("""COMPUTED_VALUE"""),8.7746514165E10)</f>
        <v>87746514165</v>
      </c>
      <c r="E52" s="271">
        <f>IFERROR(__xludf.DUMMYFUNCTION("""COMPUTED_VALUE"""),150000.0)</f>
        <v>150000</v>
      </c>
      <c r="F52" s="270">
        <f>IFERROR(__xludf.DUMMYFUNCTION("""COMPUTED_VALUE"""),1.0)</f>
        <v>1</v>
      </c>
      <c r="G52" s="34" t="str">
        <f>IFERROR(__xludf.DUMMYFUNCTION("""COMPUTED_VALUE"""),"120k")</f>
        <v>120k</v>
      </c>
      <c r="H52" s="375" t="str">
        <f>IFERROR(__xludf.DUMMYFUNCTION("""COMPUTED_VALUE"""),"Cushion")</f>
        <v>Cushion</v>
      </c>
      <c r="I52" s="260" t="str">
        <f>IFERROR(__xludf.DUMMYFUNCTION("""COMPUTED_VALUE"""),"Sampai")</f>
        <v>Sampai</v>
      </c>
      <c r="J52" s="357"/>
      <c r="K52" s="279" t="str">
        <f>IFERROR(__xludf.DUMMYFUNCTION("""COMPUTED_VALUE"""),"https://vt.tiktok.com/ZSuJExAV2/")</f>
        <v>https://vt.tiktok.com/ZSuJExAV2/</v>
      </c>
      <c r="L52" s="357"/>
      <c r="M52" s="17"/>
      <c r="N52" s="357"/>
      <c r="O52" s="17"/>
      <c r="P52" s="357"/>
      <c r="Q52" s="262"/>
      <c r="R52" s="262"/>
      <c r="S52" s="262"/>
      <c r="T52" s="380"/>
      <c r="U52" s="262"/>
      <c r="V52" s="383">
        <f>IFERROR(__xludf.DUMMYFUNCTION("""COMPUTED_VALUE"""),2046487.84)</f>
        <v>2046487.84</v>
      </c>
      <c r="W52" s="383"/>
    </row>
    <row r="53">
      <c r="A53" s="255" t="str">
        <f>IFERROR(__xludf.DUMMYFUNCTION("""COMPUTED_VALUE"""),"MICRO")</f>
        <v>MICRO</v>
      </c>
      <c r="B53" s="23" t="str">
        <f>IFERROR(__xludf.DUMMYFUNCTION("""COMPUTED_VALUE"""),"umashanum")</f>
        <v>umashanum</v>
      </c>
      <c r="C53" s="281" t="str">
        <f>IFERROR(__xludf.DUMMYFUNCTION("""COMPUTED_VALUE"""),"https://www.tiktok.com/@umashanum")</f>
        <v>https://www.tiktok.com/@umashanum</v>
      </c>
      <c r="D53" s="381">
        <f>IFERROR(__xludf.DUMMYFUNCTION("""COMPUTED_VALUE"""),8.5815301817E10)</f>
        <v>85815301817</v>
      </c>
      <c r="E53" s="271">
        <f>IFERROR(__xludf.DUMMYFUNCTION("""COMPUTED_VALUE"""),200000.0)</f>
        <v>200000</v>
      </c>
      <c r="F53" s="270">
        <f>IFERROR(__xludf.DUMMYFUNCTION("""COMPUTED_VALUE"""),2.0)</f>
        <v>2</v>
      </c>
      <c r="G53" s="34" t="str">
        <f>IFERROR(__xludf.DUMMYFUNCTION("""COMPUTED_VALUE"""),"2,97jt")</f>
        <v>2,97jt</v>
      </c>
      <c r="H53" s="375" t="str">
        <f>IFERROR(__xludf.DUMMYFUNCTION("""COMPUTED_VALUE"""),"Cushion")</f>
        <v>Cushion</v>
      </c>
      <c r="I53" s="260" t="str">
        <f>IFERROR(__xludf.DUMMYFUNCTION("""COMPUTED_VALUE"""),"Sampai")</f>
        <v>Sampai</v>
      </c>
      <c r="J53" s="357"/>
      <c r="K53" s="279" t="str">
        <f>IFERROR(__xludf.DUMMYFUNCTION("""COMPUTED_VALUE"""),"https://vt.tiktok.com/ZSmgxctcn/")</f>
        <v>https://vt.tiktok.com/ZSmgxctcn/</v>
      </c>
      <c r="L53" s="357"/>
      <c r="M53" s="279" t="str">
        <f>IFERROR(__xludf.DUMMYFUNCTION("""COMPUTED_VALUE"""),"https://vt.tiktok.com/ZSueyFtjC/")</f>
        <v>https://vt.tiktok.com/ZSueyFtjC/</v>
      </c>
      <c r="N53" s="357"/>
      <c r="O53" s="17"/>
      <c r="P53" s="357"/>
      <c r="Q53" s="262"/>
      <c r="R53" s="262"/>
      <c r="S53" s="262"/>
      <c r="T53" s="380"/>
      <c r="U53" s="262"/>
      <c r="V53" s="383"/>
      <c r="W53" s="383"/>
    </row>
    <row r="54">
      <c r="A54" s="255" t="str">
        <f>IFERROR(__xludf.DUMMYFUNCTION("""COMPUTED_VALUE"""),"NANO")</f>
        <v>NANO</v>
      </c>
      <c r="B54" s="23" t="str">
        <f>IFERROR(__xludf.DUMMYFUNCTION("""COMPUTED_VALUE"""),"sforsheilaww")</f>
        <v>sforsheilaww</v>
      </c>
      <c r="C54" s="281" t="str">
        <f>IFERROR(__xludf.DUMMYFUNCTION("""COMPUTED_VALUE"""),"https://www.tiktok.com/@sforsheilaww")</f>
        <v>https://www.tiktok.com/@sforsheilaww</v>
      </c>
      <c r="D54" s="381">
        <f>IFERROR(__xludf.DUMMYFUNCTION("""COMPUTED_VALUE"""),8.3138956424E10)</f>
        <v>83138956424</v>
      </c>
      <c r="E54" s="271">
        <f>IFERROR(__xludf.DUMMYFUNCTION("""COMPUTED_VALUE"""),0.0)</f>
        <v>0</v>
      </c>
      <c r="F54" s="270">
        <f>IFERROR(__xludf.DUMMYFUNCTION("""COMPUTED_VALUE"""),2.0)</f>
        <v>2</v>
      </c>
      <c r="G54" s="34" t="str">
        <f>IFERROR(__xludf.DUMMYFUNCTION("""COMPUTED_VALUE"""),"26,73jt")</f>
        <v>26,73jt</v>
      </c>
      <c r="H54" s="375" t="str">
        <f>IFERROR(__xludf.DUMMYFUNCTION("""COMPUTED_VALUE"""),"Cushion &amp; Lip Vinyl")</f>
        <v>Cushion &amp; Lip Vinyl</v>
      </c>
      <c r="I54" s="260" t="str">
        <f>IFERROR(__xludf.DUMMYFUNCTION("""COMPUTED_VALUE"""),"Sampai")</f>
        <v>Sampai</v>
      </c>
      <c r="J54" s="357"/>
      <c r="K54" s="279" t="str">
        <f>IFERROR(__xludf.DUMMYFUNCTION("""COMPUTED_VALUE"""),"https://vt.tiktok.com/ZSaTeCuYc/")</f>
        <v>https://vt.tiktok.com/ZSaTeCuYc/</v>
      </c>
      <c r="L54" s="357"/>
      <c r="M54" s="279" t="str">
        <f>IFERROR(__xludf.DUMMYFUNCTION("""COMPUTED_VALUE"""),"https://vt.tiktok.com/ZSHPbmc1n/")</f>
        <v>https://vt.tiktok.com/ZSHPbmc1n/</v>
      </c>
      <c r="N54" s="357"/>
      <c r="O54" s="17"/>
      <c r="P54" s="357"/>
      <c r="Q54" s="262"/>
      <c r="R54" s="262"/>
      <c r="S54" s="262"/>
      <c r="T54" s="380"/>
      <c r="U54" s="262"/>
      <c r="V54" s="383"/>
      <c r="W54" s="383"/>
    </row>
    <row r="55">
      <c r="A55" s="255" t="str">
        <f>IFERROR(__xludf.DUMMYFUNCTION("""COMPUTED_VALUE"""),"NANO")</f>
        <v>NANO</v>
      </c>
      <c r="B55" s="23" t="str">
        <f>IFERROR(__xludf.DUMMYFUNCTION("""COMPUTED_VALUE"""),"itsyeeelllaaa")</f>
        <v>itsyeeelllaaa</v>
      </c>
      <c r="C55" s="281" t="str">
        <f>IFERROR(__xludf.DUMMYFUNCTION("""COMPUTED_VALUE"""),"https://www.tiktok.com/@itsyeeelllaaa")</f>
        <v>https://www.tiktok.com/@itsyeeelllaaa</v>
      </c>
      <c r="D55" s="381">
        <f>IFERROR(__xludf.DUMMYFUNCTION("""COMPUTED_VALUE"""),8.5764211754E10)</f>
        <v>85764211754</v>
      </c>
      <c r="E55" s="271">
        <f>IFERROR(__xludf.DUMMYFUNCTION("""COMPUTED_VALUE"""),0.0)</f>
        <v>0</v>
      </c>
      <c r="F55" s="270">
        <f>IFERROR(__xludf.DUMMYFUNCTION("""COMPUTED_VALUE"""),3.0)</f>
        <v>3</v>
      </c>
      <c r="G55" s="34" t="str">
        <f>IFERROR(__xludf.DUMMYFUNCTION("""COMPUTED_VALUE"""),"550k")</f>
        <v>550k</v>
      </c>
      <c r="H55" s="375" t="str">
        <f>IFERROR(__xludf.DUMMYFUNCTION("""COMPUTED_VALUE"""),"Cushion")</f>
        <v>Cushion</v>
      </c>
      <c r="I55" s="260" t="str">
        <f>IFERROR(__xludf.DUMMYFUNCTION("""COMPUTED_VALUE"""),"Sampai")</f>
        <v>Sampai</v>
      </c>
      <c r="J55" s="357"/>
      <c r="K55" s="279" t="str">
        <f>IFERROR(__xludf.DUMMYFUNCTION("""COMPUTED_VALUE"""),"https://www.tiktok.com/@itsyeeelllaaa/video/7603679942290722068?_r=1&amp;_t=ZS-93gvwQExdVg")</f>
        <v>https://www.tiktok.com/@itsyeeelllaaa/video/7603679942290722068?_r=1&amp;_t=ZS-93gvwQExdVg</v>
      </c>
      <c r="L55" s="357"/>
      <c r="M55" s="279" t="str">
        <f>IFERROR(__xludf.DUMMYFUNCTION("""COMPUTED_VALUE"""),"https://www.tiktok.com/@itsyeeelllaaa/video/7605929867003055380?_r=1&amp;_t=ZS-93rG2iCrQMz")</f>
        <v>https://www.tiktok.com/@itsyeeelllaaa/video/7605929867003055380?_r=1&amp;_t=ZS-93rG2iCrQMz</v>
      </c>
      <c r="N55" s="357"/>
      <c r="O55" s="279" t="str">
        <f>IFERROR(__xludf.DUMMYFUNCTION("""COMPUTED_VALUE"""),"https://www.tiktok.com/@itsyeeelllaaa/video/7607346878488923413?_r=1&amp;_t=ZS-941IV7g5WTZ")</f>
        <v>https://www.tiktok.com/@itsyeeelllaaa/video/7607346878488923413?_r=1&amp;_t=ZS-941IV7g5WTZ</v>
      </c>
      <c r="P55" s="357"/>
      <c r="Q55" s="262"/>
      <c r="R55" s="262"/>
      <c r="S55" s="262"/>
      <c r="T55" s="380"/>
      <c r="U55" s="262"/>
      <c r="V55" s="383"/>
      <c r="W55" s="383"/>
    </row>
    <row r="56">
      <c r="A56" s="255" t="str">
        <f>IFERROR(__xludf.DUMMYFUNCTION("""COMPUTED_VALUE"""),"NANO")</f>
        <v>NANO</v>
      </c>
      <c r="B56" s="23" t="str">
        <f>IFERROR(__xludf.DUMMYFUNCTION("""COMPUTED_VALUE"""),"naadeblue ")</f>
        <v>naadeblue </v>
      </c>
      <c r="C56" s="281" t="str">
        <f>IFERROR(__xludf.DUMMYFUNCTION("""COMPUTED_VALUE"""),"https://www.tiktok.com/@naadeblue ")</f>
        <v>https://www.tiktok.com/@naadeblue </v>
      </c>
      <c r="D56" s="381">
        <f>IFERROR(__xludf.DUMMYFUNCTION("""COMPUTED_VALUE"""),8.5747947988E10)</f>
        <v>85747947988</v>
      </c>
      <c r="E56" s="271">
        <f>IFERROR(__xludf.DUMMYFUNCTION("""COMPUTED_VALUE"""),0.0)</f>
        <v>0</v>
      </c>
      <c r="F56" s="270">
        <f>IFERROR(__xludf.DUMMYFUNCTION("""COMPUTED_VALUE"""),2.0)</f>
        <v>2</v>
      </c>
      <c r="G56" s="34" t="str">
        <f>IFERROR(__xludf.DUMMYFUNCTION("""COMPUTED_VALUE"""),"650k")</f>
        <v>650k</v>
      </c>
      <c r="H56" s="375" t="str">
        <f>IFERROR(__xludf.DUMMYFUNCTION("""COMPUTED_VALUE"""),"Cushion")</f>
        <v>Cushion</v>
      </c>
      <c r="I56" s="260" t="str">
        <f>IFERROR(__xludf.DUMMYFUNCTION("""COMPUTED_VALUE"""),"Sampai")</f>
        <v>Sampai</v>
      </c>
      <c r="J56" s="357"/>
      <c r="K56" s="279" t="str">
        <f>IFERROR(__xludf.DUMMYFUNCTION("""COMPUTED_VALUE"""),"https://www.tiktok.com/@naadeblue/video/7605135049398226196?_r=1&amp;_t=ZS-93nqrd37u3Y")</f>
        <v>https://www.tiktok.com/@naadeblue/video/7605135049398226196?_r=1&amp;_t=ZS-93nqrd37u3Y</v>
      </c>
      <c r="L56" s="357"/>
      <c r="M56" s="279" t="str">
        <f>IFERROR(__xludf.DUMMYFUNCTION("""COMPUTED_VALUE"""),"https://www.tiktok.com/@naadeblue/video/7605136181155712276?_r=1&amp;_t=ZS-93nqvqT7QxA")</f>
        <v>https://www.tiktok.com/@naadeblue/video/7605136181155712276?_r=1&amp;_t=ZS-93nqvqT7QxA</v>
      </c>
      <c r="N56" s="357"/>
      <c r="O56" s="17"/>
      <c r="P56" s="357"/>
      <c r="Q56" s="17"/>
      <c r="R56" s="17"/>
      <c r="S56" s="17"/>
      <c r="T56" s="365"/>
      <c r="U56" s="17"/>
      <c r="V56" s="63"/>
      <c r="W56" s="63"/>
    </row>
    <row r="57">
      <c r="A57" s="255" t="str">
        <f>IFERROR(__xludf.DUMMYFUNCTION("""COMPUTED_VALUE"""),"NANO")</f>
        <v>NANO</v>
      </c>
      <c r="B57" s="23" t="str">
        <f>IFERROR(__xludf.DUMMYFUNCTION("""COMPUTED_VALUE"""),"hi_jaenaa")</f>
        <v>hi_jaenaa</v>
      </c>
      <c r="C57" s="281" t="str">
        <f>IFERROR(__xludf.DUMMYFUNCTION("""COMPUTED_VALUE"""),"https://www.tiktok.com/@hi_jaenaa")</f>
        <v>https://www.tiktok.com/@hi_jaenaa</v>
      </c>
      <c r="D57" s="381">
        <f>IFERROR(__xludf.DUMMYFUNCTION("""COMPUTED_VALUE"""),8.82006643919E11)</f>
        <v>882006643919</v>
      </c>
      <c r="E57" s="271">
        <f>IFERROR(__xludf.DUMMYFUNCTION("""COMPUTED_VALUE"""),0.0)</f>
        <v>0</v>
      </c>
      <c r="F57" s="270">
        <f>IFERROR(__xludf.DUMMYFUNCTION("""COMPUTED_VALUE"""),3.0)</f>
        <v>3</v>
      </c>
      <c r="G57" s="34" t="str">
        <f>IFERROR(__xludf.DUMMYFUNCTION("""COMPUTED_VALUE"""),"1jt")</f>
        <v>1jt</v>
      </c>
      <c r="H57" s="375" t="str">
        <f>IFERROR(__xludf.DUMMYFUNCTION("""COMPUTED_VALUE"""),"Cushion")</f>
        <v>Cushion</v>
      </c>
      <c r="I57" s="260" t="str">
        <f>IFERROR(__xludf.DUMMYFUNCTION("""COMPUTED_VALUE"""),"Sampai")</f>
        <v>Sampai</v>
      </c>
      <c r="J57" s="357"/>
      <c r="K57" s="279" t="str">
        <f>IFERROR(__xludf.DUMMYFUNCTION("""COMPUTED_VALUE"""),"https://www.tiktok.com/@hi_jaenaa/video/7604807014505663752?_r=1&amp;_t=ZS-93mE00149vm")</f>
        <v>https://www.tiktok.com/@hi_jaenaa/video/7604807014505663752?_r=1&amp;_t=ZS-93mE00149vm</v>
      </c>
      <c r="L57" s="357"/>
      <c r="M57" s="279" t="str">
        <f>IFERROR(__xludf.DUMMYFUNCTION("""COMPUTED_VALUE"""),"https://www.tiktok.com/@hi_jaenaa/video/7607621535137795336?_r=1&amp;_t=ZS-93yzs0M7zrM")</f>
        <v>https://www.tiktok.com/@hi_jaenaa/video/7607621535137795336?_r=1&amp;_t=ZS-93yzs0M7zrM</v>
      </c>
      <c r="N57" s="357"/>
      <c r="O57" s="279" t="str">
        <f>IFERROR(__xludf.DUMMYFUNCTION("""COMPUTED_VALUE"""),"https://vt.tiktok.com/ZSm3fFE9M/")</f>
        <v>https://vt.tiktok.com/ZSm3fFE9M/</v>
      </c>
      <c r="P57" s="357"/>
      <c r="Q57" s="279" t="str">
        <f>IFERROR(__xludf.DUMMYFUNCTION("""COMPUTED_VALUE"""),"https://www.tiktok.com/@hi_jaenaa/video/7611173496164601095?_r=1&amp;_t=ZS-94SRnhVA2rf")</f>
        <v>https://www.tiktok.com/@hi_jaenaa/video/7611173496164601095?_r=1&amp;_t=ZS-94SRnhVA2rf</v>
      </c>
      <c r="R57" s="17"/>
      <c r="S57" s="17"/>
      <c r="T57" s="365">
        <f>IFERROR(__xludf.DUMMYFUNCTION("""COMPUTED_VALUE"""),36575.0)</f>
        <v>36575</v>
      </c>
      <c r="U57" s="17"/>
      <c r="V57" s="63">
        <f>IFERROR(__xludf.DUMMYFUNCTION("""COMPUTED_VALUE"""),6.936002928E7)</f>
        <v>69360029.28</v>
      </c>
      <c r="W57" s="63"/>
    </row>
    <row r="58">
      <c r="A58" s="255" t="str">
        <f>IFERROR(__xludf.DUMMYFUNCTION("""COMPUTED_VALUE"""),"MACRO")</f>
        <v>MACRO</v>
      </c>
      <c r="B58" s="23" t="str">
        <f>IFERROR(__xludf.DUMMYFUNCTION("""COMPUTED_VALUE"""),"putri.antris")</f>
        <v>putri.antris</v>
      </c>
      <c r="C58" s="281" t="str">
        <f>IFERROR(__xludf.DUMMYFUNCTION("""COMPUTED_VALUE"""),"https://www.tiktok.com/@putri.antris")</f>
        <v>https://www.tiktok.com/@putri.antris</v>
      </c>
      <c r="D58" s="381">
        <f>IFERROR(__xludf.DUMMYFUNCTION("""COMPUTED_VALUE"""),8.978216006E9)</f>
        <v>8978216006</v>
      </c>
      <c r="E58" s="271">
        <f>IFERROR(__xludf.DUMMYFUNCTION("""COMPUTED_VALUE"""),0.0)</f>
        <v>0</v>
      </c>
      <c r="F58" s="270">
        <f>IFERROR(__xludf.DUMMYFUNCTION("""COMPUTED_VALUE"""),3.0)</f>
        <v>3</v>
      </c>
      <c r="G58" s="34" t="str">
        <f>IFERROR(__xludf.DUMMYFUNCTION("""COMPUTED_VALUE"""),"162jt")</f>
        <v>162jt</v>
      </c>
      <c r="H58" s="375" t="str">
        <f>IFERROR(__xludf.DUMMYFUNCTION("""COMPUTED_VALUE"""),"Cushion &amp; Ombre Lips")</f>
        <v>Cushion &amp; Ombre Lips</v>
      </c>
      <c r="I58" s="260" t="str">
        <f>IFERROR(__xludf.DUMMYFUNCTION("""COMPUTED_VALUE"""),"Sampai")</f>
        <v>Sampai</v>
      </c>
      <c r="J58" s="357"/>
      <c r="K58" s="279" t="str">
        <f>IFERROR(__xludf.DUMMYFUNCTION("""COMPUTED_VALUE"""),"https://vt.tiktok.com/ZSmj2LDvE/")</f>
        <v>https://vt.tiktok.com/ZSmj2LDvE/</v>
      </c>
      <c r="L58" s="357"/>
      <c r="M58" s="279" t="str">
        <f>IFERROR(__xludf.DUMMYFUNCTION("""COMPUTED_VALUE"""),"https://vt.tiktok.com/ZSmGcaWtR/")</f>
        <v>https://vt.tiktok.com/ZSmGcaWtR/</v>
      </c>
      <c r="N58" s="357"/>
      <c r="O58" s="279" t="str">
        <f>IFERROR(__xludf.DUMMYFUNCTION("""COMPUTED_VALUE"""),"https://vt.tiktok.com/ZSmGc9hqp/")</f>
        <v>https://vt.tiktok.com/ZSmGc9hqp/</v>
      </c>
      <c r="P58" s="357"/>
      <c r="Q58" s="17"/>
      <c r="R58" s="17"/>
      <c r="S58" s="17"/>
      <c r="T58" s="365"/>
      <c r="U58" s="17"/>
      <c r="V58" s="63">
        <f>IFERROR(__xludf.DUMMYFUNCTION("""COMPUTED_VALUE"""),1052797.92)</f>
        <v>1052797.92</v>
      </c>
      <c r="W58" s="63"/>
    </row>
    <row r="59">
      <c r="A59" s="255" t="str">
        <f>IFERROR(__xludf.DUMMYFUNCTION("""COMPUTED_VALUE"""),"NANO")</f>
        <v>NANO</v>
      </c>
      <c r="B59" s="23" t="str">
        <f>IFERROR(__xludf.DUMMYFUNCTION("""COMPUTED_VALUE"""),"melani.makeup17")</f>
        <v>melani.makeup17</v>
      </c>
      <c r="C59" s="281" t="str">
        <f>IFERROR(__xludf.DUMMYFUNCTION("""COMPUTED_VALUE"""),"https://www.tiktok.com/@melani.makeup17")</f>
        <v>https://www.tiktok.com/@melani.makeup17</v>
      </c>
      <c r="D59" s="381">
        <f>IFERROR(__xludf.DUMMYFUNCTION("""COMPUTED_VALUE"""),8.5728913779E10)</f>
        <v>85728913779</v>
      </c>
      <c r="E59" s="271">
        <f>IFERROR(__xludf.DUMMYFUNCTION("""COMPUTED_VALUE"""),0.0)</f>
        <v>0</v>
      </c>
      <c r="F59" s="270">
        <f>IFERROR(__xludf.DUMMYFUNCTION("""COMPUTED_VALUE"""),3.0)</f>
        <v>3</v>
      </c>
      <c r="G59" s="34" t="str">
        <f>IFERROR(__xludf.DUMMYFUNCTION("""COMPUTED_VALUE"""),"37jt")</f>
        <v>37jt</v>
      </c>
      <c r="H59" s="375" t="str">
        <f>IFERROR(__xludf.DUMMYFUNCTION("""COMPUTED_VALUE"""),"Lip Vinyl")</f>
        <v>Lip Vinyl</v>
      </c>
      <c r="I59" s="260" t="str">
        <f>IFERROR(__xludf.DUMMYFUNCTION("""COMPUTED_VALUE"""),"Sampai")</f>
        <v>Sampai</v>
      </c>
      <c r="J59" s="357"/>
      <c r="K59" s="279" t="str">
        <f>IFERROR(__xludf.DUMMYFUNCTION("""COMPUTED_VALUE"""),"https://www.tiktok.com/@melani.makeup17/video/7605040268630363412?_r=1&amp;_t=ZS-93nAFiixpXU")</f>
        <v>https://www.tiktok.com/@melani.makeup17/video/7605040268630363412?_r=1&amp;_t=ZS-93nAFiixpXU</v>
      </c>
      <c r="L59" s="357"/>
      <c r="M59" s="279" t="str">
        <f>IFERROR(__xludf.DUMMYFUNCTION("""COMPUTED_VALUE"""),"https://www.tiktok.com/@melani.makeup17/video/7605150280086310165?_r=1&amp;_t=ZS-93nfYJBpmAT")</f>
        <v>https://www.tiktok.com/@melani.makeup17/video/7605150280086310165?_r=1&amp;_t=ZS-93nfYJBpmAT</v>
      </c>
      <c r="N59" s="357"/>
      <c r="O59" s="279" t="str">
        <f>IFERROR(__xludf.DUMMYFUNCTION("""COMPUTED_VALUE"""),"https://www.tiktok.com/@melani.makeup17/video/7605462411272834325?_r=1&amp;_t=ZS-93p6zH0rJQ0")</f>
        <v>https://www.tiktok.com/@melani.makeup17/video/7605462411272834325?_r=1&amp;_t=ZS-93p6zH0rJQ0</v>
      </c>
      <c r="P59" s="357"/>
      <c r="Q59" s="17"/>
      <c r="R59" s="17"/>
      <c r="S59" s="17"/>
      <c r="T59" s="365">
        <f>IFERROR(__xludf.DUMMYFUNCTION("""COMPUTED_VALUE"""),74884.0)</f>
        <v>74884</v>
      </c>
      <c r="U59" s="17"/>
      <c r="V59" s="63"/>
      <c r="W59" s="63"/>
    </row>
    <row r="60">
      <c r="A60" s="255" t="str">
        <f>IFERROR(__xludf.DUMMYFUNCTION("""COMPUTED_VALUE"""),"NANO")</f>
        <v>NANO</v>
      </c>
      <c r="B60" s="23" t="str">
        <f>IFERROR(__xludf.DUMMYFUNCTION("""COMPUTED_VALUE"""),"armiheppii")</f>
        <v>armiheppii</v>
      </c>
      <c r="C60" s="281" t="str">
        <f>IFERROR(__xludf.DUMMYFUNCTION("""COMPUTED_VALUE"""),"https://www.tiktok.com/@armiheppii")</f>
        <v>https://www.tiktok.com/@armiheppii</v>
      </c>
      <c r="D60" s="381">
        <f>IFERROR(__xludf.DUMMYFUNCTION("""COMPUTED_VALUE"""),8.5643823022E10)</f>
        <v>85643823022</v>
      </c>
      <c r="E60" s="271">
        <f>IFERROR(__xludf.DUMMYFUNCTION("""COMPUTED_VALUE"""),0.0)</f>
        <v>0</v>
      </c>
      <c r="F60" s="270">
        <f>IFERROR(__xludf.DUMMYFUNCTION("""COMPUTED_VALUE"""),2.0)</f>
        <v>2</v>
      </c>
      <c r="G60" s="34" t="str">
        <f>IFERROR(__xludf.DUMMYFUNCTION("""COMPUTED_VALUE"""),"5,8jt")</f>
        <v>5,8jt</v>
      </c>
      <c r="H60" s="375" t="str">
        <f>IFERROR(__xludf.DUMMYFUNCTION("""COMPUTED_VALUE"""),"Cushion")</f>
        <v>Cushion</v>
      </c>
      <c r="I60" s="260" t="str">
        <f>IFERROR(__xludf.DUMMYFUNCTION("""COMPUTED_VALUE"""),"Sampai")</f>
        <v>Sampai</v>
      </c>
      <c r="J60" s="357"/>
      <c r="K60" s="279" t="str">
        <f>IFERROR(__xludf.DUMMYFUNCTION("""COMPUTED_VALUE"""),"https://www.tiktok.com/@armiheppii/video/7610771809377586453?_r=1&amp;_t=ZS-94DyBNWEQTt")</f>
        <v>https://www.tiktok.com/@armiheppii/video/7610771809377586453?_r=1&amp;_t=ZS-94DyBNWEQTt</v>
      </c>
      <c r="L60" s="357"/>
      <c r="M60" s="279" t="str">
        <f>IFERROR(__xludf.DUMMYFUNCTION("""COMPUTED_VALUE"""),"https://www.tiktok.com/@armiheppii/video/7613460473115102484?_r=1&amp;_t=ZS-94PtvLeCwez")</f>
        <v>https://www.tiktok.com/@armiheppii/video/7613460473115102484?_r=1&amp;_t=ZS-94PtvLeCwez</v>
      </c>
      <c r="N60" s="357"/>
      <c r="O60" s="17"/>
      <c r="P60" s="357"/>
      <c r="Q60" s="17"/>
      <c r="R60" s="17"/>
      <c r="S60" s="17"/>
      <c r="T60" s="365"/>
      <c r="U60" s="17"/>
      <c r="V60" s="63"/>
      <c r="W60" s="63"/>
    </row>
    <row r="61">
      <c r="A61" s="255" t="str">
        <f>IFERROR(__xludf.DUMMYFUNCTION("""COMPUTED_VALUE"""),"MACRO")</f>
        <v>MACRO</v>
      </c>
      <c r="B61" s="23" t="str">
        <f>IFERROR(__xludf.DUMMYFUNCTION("""COMPUTED_VALUE"""),"anindalsp_")</f>
        <v>anindalsp_</v>
      </c>
      <c r="C61" s="281" t="str">
        <f>IFERROR(__xludf.DUMMYFUNCTION("""COMPUTED_VALUE"""),"https://www.tiktok.com/@anindalsp_")</f>
        <v>https://www.tiktok.com/@anindalsp_</v>
      </c>
      <c r="D61" s="381">
        <f>IFERROR(__xludf.DUMMYFUNCTION("""COMPUTED_VALUE"""),8.9538481303E11)</f>
        <v>895384813030</v>
      </c>
      <c r="E61" s="271">
        <f>IFERROR(__xludf.DUMMYFUNCTION("""COMPUTED_VALUE"""),200000.0)</f>
        <v>200000</v>
      </c>
      <c r="F61" s="270">
        <f>IFERROR(__xludf.DUMMYFUNCTION("""COMPUTED_VALUE"""),1.0)</f>
        <v>1</v>
      </c>
      <c r="G61" s="34" t="str">
        <f>IFERROR(__xludf.DUMMYFUNCTION("""COMPUTED_VALUE"""),"128jt")</f>
        <v>128jt</v>
      </c>
      <c r="H61" s="375" t="str">
        <f>IFERROR(__xludf.DUMMYFUNCTION("""COMPUTED_VALUE"""),"Cushion")</f>
        <v>Cushion</v>
      </c>
      <c r="I61" s="260" t="str">
        <f>IFERROR(__xludf.DUMMYFUNCTION("""COMPUTED_VALUE"""),"Sampai")</f>
        <v>Sampai</v>
      </c>
      <c r="J61" s="357"/>
      <c r="K61" s="279" t="str">
        <f>IFERROR(__xludf.DUMMYFUNCTION("""COMPUTED_VALUE"""),"https://www.tiktok.com/@anindalsp_/video/7625910995352915207?_r=1&amp;_t=ZS-95KlGcWvZdH")</f>
        <v>https://www.tiktok.com/@anindalsp_/video/7625910995352915207?_r=1&amp;_t=ZS-95KlGcWvZdH</v>
      </c>
      <c r="L61" s="357"/>
      <c r="M61" s="17"/>
      <c r="N61" s="357"/>
      <c r="O61" s="17"/>
      <c r="P61" s="357"/>
      <c r="Q61" s="17"/>
      <c r="R61" s="17"/>
      <c r="S61" s="17"/>
      <c r="T61" s="365">
        <f>IFERROR(__xludf.DUMMYFUNCTION("""COMPUTED_VALUE"""),65450.0)</f>
        <v>65450</v>
      </c>
      <c r="U61" s="17"/>
      <c r="V61" s="63"/>
      <c r="W61" s="63"/>
    </row>
    <row r="62">
      <c r="A62" s="255" t="str">
        <f>IFERROR(__xludf.DUMMYFUNCTION("""COMPUTED_VALUE"""),"NANO")</f>
        <v>NANO</v>
      </c>
      <c r="B62" s="23" t="str">
        <f>IFERROR(__xludf.DUMMYFUNCTION("""COMPUTED_VALUE"""),"bdhabits")</f>
        <v>bdhabits</v>
      </c>
      <c r="C62" s="281" t="str">
        <f>IFERROR(__xludf.DUMMYFUNCTION("""COMPUTED_VALUE"""),"https://www.tiktok.com/@bdhabits")</f>
        <v>https://www.tiktok.com/@bdhabits</v>
      </c>
      <c r="D62" s="381">
        <f>IFERROR(__xludf.DUMMYFUNCTION("""COMPUTED_VALUE"""),8.2126683143E10)</f>
        <v>82126683143</v>
      </c>
      <c r="E62" s="271">
        <f>IFERROR(__xludf.DUMMYFUNCTION("""COMPUTED_VALUE"""),0.0)</f>
        <v>0</v>
      </c>
      <c r="F62" s="270">
        <f>IFERROR(__xludf.DUMMYFUNCTION("""COMPUTED_VALUE"""),1.0)</f>
        <v>1</v>
      </c>
      <c r="G62" s="34" t="str">
        <f>IFERROR(__xludf.DUMMYFUNCTION("""COMPUTED_VALUE"""),"180k")</f>
        <v>180k</v>
      </c>
      <c r="H62" s="375" t="str">
        <f>IFERROR(__xludf.DUMMYFUNCTION("""COMPUTED_VALUE"""),"Cushion")</f>
        <v>Cushion</v>
      </c>
      <c r="I62" s="260" t="str">
        <f>IFERROR(__xludf.DUMMYFUNCTION("""COMPUTED_VALUE"""),"Sampai")</f>
        <v>Sampai</v>
      </c>
      <c r="J62" s="357"/>
      <c r="K62" s="279" t="str">
        <f>IFERROR(__xludf.DUMMYFUNCTION("""COMPUTED_VALUE"""),"https://www.tiktok.com/@bdhabits/video/7605925858150518037?_r=1&amp;_t=ZS-93rDtBpehEr")</f>
        <v>https://www.tiktok.com/@bdhabits/video/7605925858150518037?_r=1&amp;_t=ZS-93rDtBpehEr</v>
      </c>
      <c r="L62" s="357"/>
      <c r="M62" s="17"/>
      <c r="N62" s="357"/>
      <c r="O62" s="17"/>
      <c r="P62" s="357"/>
      <c r="Q62" s="17"/>
      <c r="R62" s="17"/>
      <c r="S62" s="17"/>
      <c r="T62" s="365"/>
      <c r="U62" s="17"/>
      <c r="V62" s="63"/>
      <c r="W62" s="63"/>
    </row>
    <row r="63">
      <c r="A63" s="255" t="str">
        <f>IFERROR(__xludf.DUMMYFUNCTION("""COMPUTED_VALUE"""),"NANO")</f>
        <v>NANO</v>
      </c>
      <c r="B63" s="23" t="str">
        <f>IFERROR(__xludf.DUMMYFUNCTION("""COMPUTED_VALUE"""),"tentangapiy")</f>
        <v>tentangapiy</v>
      </c>
      <c r="C63" s="281" t="str">
        <f>IFERROR(__xludf.DUMMYFUNCTION("""COMPUTED_VALUE"""),"https://www.tiktok.com/@tentangapiy")</f>
        <v>https://www.tiktok.com/@tentangapiy</v>
      </c>
      <c r="D63" s="381">
        <f>IFERROR(__xludf.DUMMYFUNCTION("""COMPUTED_VALUE"""),8.9517941472E10)</f>
        <v>89517941472</v>
      </c>
      <c r="E63" s="271">
        <f>IFERROR(__xludf.DUMMYFUNCTION("""COMPUTED_VALUE"""),0.0)</f>
        <v>0</v>
      </c>
      <c r="F63" s="270">
        <f>IFERROR(__xludf.DUMMYFUNCTION("""COMPUTED_VALUE"""),3.0)</f>
        <v>3</v>
      </c>
      <c r="G63" s="34" t="str">
        <f>IFERROR(__xludf.DUMMYFUNCTION("""COMPUTED_VALUE"""),"1jt")</f>
        <v>1jt</v>
      </c>
      <c r="H63" s="375" t="str">
        <f>IFERROR(__xludf.DUMMYFUNCTION("""COMPUTED_VALUE"""),"Cushion")</f>
        <v>Cushion</v>
      </c>
      <c r="I63" s="260" t="str">
        <f>IFERROR(__xludf.DUMMYFUNCTION("""COMPUTED_VALUE"""),"Sampai")</f>
        <v>Sampai</v>
      </c>
      <c r="J63" s="357"/>
      <c r="K63" s="279" t="str">
        <f>IFERROR(__xludf.DUMMYFUNCTION("""COMPUTED_VALUE"""),"https://www.tiktok.com/@tentangapiy/video/7605260135929351442?_r=1&amp;_t=ZS-93oCODukeb1")</f>
        <v>https://www.tiktok.com/@tentangapiy/video/7605260135929351442?_r=1&amp;_t=ZS-93oCODukeb1</v>
      </c>
      <c r="L63" s="357"/>
      <c r="M63" s="279" t="str">
        <f>IFERROR(__xludf.DUMMYFUNCTION("""COMPUTED_VALUE"""),"https://www.tiktok.com/@tentangapiy/video/7605918410693692680?_r=1&amp;_t=ZS-93rBgLNAfWk")</f>
        <v>https://www.tiktok.com/@tentangapiy/video/7605918410693692680?_r=1&amp;_t=ZS-93rBgLNAfWk</v>
      </c>
      <c r="N63" s="357"/>
      <c r="O63" s="279" t="str">
        <f>IFERROR(__xludf.DUMMYFUNCTION("""COMPUTED_VALUE"""),"https://www.tiktok.com/@tentangapiy/video/7606332327643401480?_r=1&amp;_t=ZS-93t5XrlJJU0")</f>
        <v>https://www.tiktok.com/@tentangapiy/video/7606332327643401480?_r=1&amp;_t=ZS-93t5XrlJJU0</v>
      </c>
      <c r="P63" s="357"/>
      <c r="Q63" s="17"/>
      <c r="R63" s="17"/>
      <c r="S63" s="17"/>
      <c r="T63" s="365"/>
      <c r="U63" s="17"/>
      <c r="V63" s="63"/>
      <c r="W63" s="63"/>
    </row>
    <row r="64">
      <c r="A64" s="255" t="str">
        <f>IFERROR(__xludf.DUMMYFUNCTION("""COMPUTED_VALUE"""),"NANO")</f>
        <v>NANO</v>
      </c>
      <c r="B64" s="23" t="str">
        <f>IFERROR(__xludf.DUMMYFUNCTION("""COMPUTED_VALUE"""),"justnedder")</f>
        <v>justnedder</v>
      </c>
      <c r="C64" s="281" t="str">
        <f>IFERROR(__xludf.DUMMYFUNCTION("""COMPUTED_VALUE"""),"https://www.tiktok.com/@justnedder")</f>
        <v>https://www.tiktok.com/@justnedder</v>
      </c>
      <c r="D64" s="381">
        <f>IFERROR(__xludf.DUMMYFUNCTION("""COMPUTED_VALUE"""),8.2363336649E10)</f>
        <v>82363336649</v>
      </c>
      <c r="E64" s="271">
        <f>IFERROR(__xludf.DUMMYFUNCTION("""COMPUTED_VALUE"""),0.0)</f>
        <v>0</v>
      </c>
      <c r="F64" s="270">
        <f>IFERROR(__xludf.DUMMYFUNCTION("""COMPUTED_VALUE"""),2.0)</f>
        <v>2</v>
      </c>
      <c r="G64" s="34" t="str">
        <f>IFERROR(__xludf.DUMMYFUNCTION("""COMPUTED_VALUE"""),"1JT+")</f>
        <v>1JT+</v>
      </c>
      <c r="H64" s="375" t="str">
        <f>IFERROR(__xludf.DUMMYFUNCTION("""COMPUTED_VALUE"""),"Cushion &amp; Lip Vinyl")</f>
        <v>Cushion &amp; Lip Vinyl</v>
      </c>
      <c r="I64" s="260" t="str">
        <f>IFERROR(__xludf.DUMMYFUNCTION("""COMPUTED_VALUE"""),"Sampai")</f>
        <v>Sampai</v>
      </c>
      <c r="J64" s="357"/>
      <c r="K64" s="279" t="str">
        <f>IFERROR(__xludf.DUMMYFUNCTION("""COMPUTED_VALUE"""),"https://vt.tiktok.com/ZSurvBkKe/")</f>
        <v>https://vt.tiktok.com/ZSurvBkKe/</v>
      </c>
      <c r="L64" s="357"/>
      <c r="M64" s="279" t="str">
        <f>IFERROR(__xludf.DUMMYFUNCTION("""COMPUTED_VALUE"""),"https://vt.tiktok.com/ZSuEfbfRQ/")</f>
        <v>https://vt.tiktok.com/ZSuEfbfRQ/</v>
      </c>
      <c r="N64" s="357"/>
      <c r="O64" s="279" t="str">
        <f>IFERROR(__xludf.DUMMYFUNCTION("""COMPUTED_VALUE"""),"https://vt.tiktok.com/ZSHWhVKac/")</f>
        <v>https://vt.tiktok.com/ZSHWhVKac/</v>
      </c>
      <c r="P64" s="357"/>
      <c r="Q64" s="17"/>
      <c r="R64" s="17"/>
      <c r="S64" s="17"/>
      <c r="T64" s="365">
        <f>IFERROR(__xludf.DUMMYFUNCTION("""COMPUTED_VALUE"""),35383.0)</f>
        <v>35383</v>
      </c>
      <c r="U64" s="17"/>
      <c r="V64" s="63"/>
      <c r="W64" s="63"/>
    </row>
    <row r="65">
      <c r="A65" s="255" t="str">
        <f>IFERROR(__xludf.DUMMYFUNCTION("""COMPUTED_VALUE"""),"MICRO")</f>
        <v>MICRO</v>
      </c>
      <c r="B65" s="23" t="str">
        <f>IFERROR(__xludf.DUMMYFUNCTION("""COMPUTED_VALUE"""),"apriliakartiningsih")</f>
        <v>apriliakartiningsih</v>
      </c>
      <c r="C65" s="281" t="str">
        <f>IFERROR(__xludf.DUMMYFUNCTION("""COMPUTED_VALUE"""),"https://www.tiktok.com/@apriliakartiningsih")</f>
        <v>https://www.tiktok.com/@apriliakartiningsih</v>
      </c>
      <c r="D65" s="381">
        <f>IFERROR(__xludf.DUMMYFUNCTION("""COMPUTED_VALUE"""),8.9651779766E10)</f>
        <v>89651779766</v>
      </c>
      <c r="E65" s="271">
        <f>IFERROR(__xludf.DUMMYFUNCTION("""COMPUTED_VALUE"""),0.0)</f>
        <v>0</v>
      </c>
      <c r="F65" s="270">
        <f>IFERROR(__xludf.DUMMYFUNCTION("""COMPUTED_VALUE"""),4.0)</f>
        <v>4</v>
      </c>
      <c r="G65" s="34" t="str">
        <f>IFERROR(__xludf.DUMMYFUNCTION("""COMPUTED_VALUE"""),"26.41m")</f>
        <v>26.41m</v>
      </c>
      <c r="H65" s="375" t="str">
        <f>IFERROR(__xludf.DUMMYFUNCTION("""COMPUTED_VALUE"""),"Lip Vinyl")</f>
        <v>Lip Vinyl</v>
      </c>
      <c r="I65" s="260" t="str">
        <f>IFERROR(__xludf.DUMMYFUNCTION("""COMPUTED_VALUE"""),"Sampai")</f>
        <v>Sampai</v>
      </c>
      <c r="J65" s="357"/>
      <c r="K65" s="279" t="str">
        <f>IFERROR(__xludf.DUMMYFUNCTION("""COMPUTED_VALUE"""),"https://vt.tiktok.com/ZSmUUvvGN/")</f>
        <v>https://vt.tiktok.com/ZSmUUvvGN/</v>
      </c>
      <c r="L65" s="357"/>
      <c r="M65" s="279" t="str">
        <f>IFERROR(__xludf.DUMMYFUNCTION("""COMPUTED_VALUE"""),"https://vt.tiktok.com/ZSmps9XN4/")</f>
        <v>https://vt.tiktok.com/ZSmps9XN4/</v>
      </c>
      <c r="N65" s="357"/>
      <c r="O65" s="279" t="str">
        <f>IFERROR(__xludf.DUMMYFUNCTION("""COMPUTED_VALUE"""),"https://vt.tiktok.com/ZSHMVfetn/")</f>
        <v>https://vt.tiktok.com/ZSHMVfetn/</v>
      </c>
      <c r="P65" s="357"/>
      <c r="Q65" s="279" t="str">
        <f>IFERROR(__xludf.DUMMYFUNCTION("""COMPUTED_VALUE"""),"https://vt.tiktok.com/ZSHAkAVYQ/")</f>
        <v>https://vt.tiktok.com/ZSHAkAVYQ/</v>
      </c>
      <c r="R65" s="17"/>
      <c r="S65" s="17"/>
      <c r="T65" s="365"/>
      <c r="U65" s="17"/>
      <c r="V65" s="63"/>
      <c r="W65" s="63"/>
    </row>
    <row r="66">
      <c r="A66" s="255" t="str">
        <f>IFERROR(__xludf.DUMMYFUNCTION("""COMPUTED_VALUE"""),"NANO")</f>
        <v>NANO</v>
      </c>
      <c r="B66" s="23" t="str">
        <f>IFERROR(__xludf.DUMMYFUNCTION("""COMPUTED_VALUE"""),"tamiputriars")</f>
        <v>tamiputriars</v>
      </c>
      <c r="C66" s="281" t="str">
        <f>IFERROR(__xludf.DUMMYFUNCTION("""COMPUTED_VALUE"""),"https://www.tiktok.com/@tamiputriars")</f>
        <v>https://www.tiktok.com/@tamiputriars</v>
      </c>
      <c r="D66" s="381">
        <f>IFERROR(__xludf.DUMMYFUNCTION("""COMPUTED_VALUE"""),8.5882148134E10)</f>
        <v>85882148134</v>
      </c>
      <c r="E66" s="271">
        <f>IFERROR(__xludf.DUMMYFUNCTION("""COMPUTED_VALUE"""),0.0)</f>
        <v>0</v>
      </c>
      <c r="F66" s="270">
        <f>IFERROR(__xludf.DUMMYFUNCTION("""COMPUTED_VALUE"""),4.0)</f>
        <v>4</v>
      </c>
      <c r="G66" s="34" t="str">
        <f>IFERROR(__xludf.DUMMYFUNCTION("""COMPUTED_VALUE"""),"900k")</f>
        <v>900k</v>
      </c>
      <c r="H66" s="375" t="str">
        <f>IFERROR(__xludf.DUMMYFUNCTION("""COMPUTED_VALUE"""),"Lip Vinyl")</f>
        <v>Lip Vinyl</v>
      </c>
      <c r="I66" s="260" t="str">
        <f>IFERROR(__xludf.DUMMYFUNCTION("""COMPUTED_VALUE"""),"Sampai")</f>
        <v>Sampai</v>
      </c>
      <c r="J66" s="357"/>
      <c r="K66" s="279" t="str">
        <f>IFERROR(__xludf.DUMMYFUNCTION("""COMPUTED_VALUE"""),"https://www.tiktok.com/@tamiputriars/video/7611856343238053128?_r=1&amp;_t=ZS-94IaKTOJtix")</f>
        <v>https://www.tiktok.com/@tamiputriars/video/7611856343238053128?_r=1&amp;_t=ZS-94IaKTOJtix</v>
      </c>
      <c r="L66" s="357"/>
      <c r="M66" s="279" t="str">
        <f>IFERROR(__xludf.DUMMYFUNCTION("""COMPUTED_VALUE"""),"https://www.tiktok.com/@tamiputriars/video/7612983405755632903?_r=1&amp;_t=ZS-94OF1Yt3zTs")</f>
        <v>https://www.tiktok.com/@tamiputriars/video/7612983405755632903?_r=1&amp;_t=ZS-94OF1Yt3zTs</v>
      </c>
      <c r="N66" s="357"/>
      <c r="O66" s="279" t="str">
        <f>IFERROR(__xludf.DUMMYFUNCTION("""COMPUTED_VALUE"""),"https://www.tiktok.com/@tamiputriars/video/7615159576425434376?_r=1&amp;_t=ZS-94XavoUzbAG")</f>
        <v>https://www.tiktok.com/@tamiputriars/video/7615159576425434376?_r=1&amp;_t=ZS-94XavoUzbAG</v>
      </c>
      <c r="P66" s="357"/>
      <c r="Q66" s="17"/>
      <c r="R66" s="17"/>
      <c r="S66" s="17"/>
      <c r="T66" s="365"/>
      <c r="U66" s="17"/>
      <c r="V66" s="63"/>
      <c r="W66" s="63"/>
    </row>
    <row r="67">
      <c r="A67" s="255" t="str">
        <f>IFERROR(__xludf.DUMMYFUNCTION("""COMPUTED_VALUE"""),"NANO")</f>
        <v>NANO</v>
      </c>
      <c r="B67" s="23" t="str">
        <f>IFERROR(__xludf.DUMMYFUNCTION("""COMPUTED_VALUE"""),"ismifadhilah29")</f>
        <v>ismifadhilah29</v>
      </c>
      <c r="C67" s="281" t="str">
        <f>IFERROR(__xludf.DUMMYFUNCTION("""COMPUTED_VALUE"""),"https://www.tiktok.com/@ismifadhilah29")</f>
        <v>https://www.tiktok.com/@ismifadhilah29</v>
      </c>
      <c r="D67" s="381">
        <f>IFERROR(__xludf.DUMMYFUNCTION("""COMPUTED_VALUE"""),8.5124617903E10)</f>
        <v>85124617903</v>
      </c>
      <c r="E67" s="271">
        <f>IFERROR(__xludf.DUMMYFUNCTION("""COMPUTED_VALUE"""),0.0)</f>
        <v>0</v>
      </c>
      <c r="F67" s="270">
        <f>IFERROR(__xludf.DUMMYFUNCTION("""COMPUTED_VALUE"""),2.0)</f>
        <v>2</v>
      </c>
      <c r="G67" s="34" t="str">
        <f>IFERROR(__xludf.DUMMYFUNCTION("""COMPUTED_VALUE"""),"900k")</f>
        <v>900k</v>
      </c>
      <c r="H67" s="375" t="str">
        <f>IFERROR(__xludf.DUMMYFUNCTION("""COMPUTED_VALUE"""),"Cushion")</f>
        <v>Cushion</v>
      </c>
      <c r="I67" s="260" t="str">
        <f>IFERROR(__xludf.DUMMYFUNCTION("""COMPUTED_VALUE"""),"Sampai")</f>
        <v>Sampai</v>
      </c>
      <c r="J67" s="357"/>
      <c r="K67" s="279" t="str">
        <f>IFERROR(__xludf.DUMMYFUNCTION("""COMPUTED_VALUE"""),"https://www.tiktok.com/@ismifadhilah29/video/7605861290233335060?_r=1&amp;_t=ZS-93r4yaZJZI8")</f>
        <v>https://www.tiktok.com/@ismifadhilah29/video/7605861290233335060?_r=1&amp;_t=ZS-93r4yaZJZI8</v>
      </c>
      <c r="L67" s="357"/>
      <c r="M67" s="279" t="str">
        <f>IFERROR(__xludf.DUMMYFUNCTION("""COMPUTED_VALUE"""),"https://www.tiktok.com/@ismifadhilah29/video/7606682164301679892?_r=1&amp;_t=ZS-93uxnE71zNQ")</f>
        <v>https://www.tiktok.com/@ismifadhilah29/video/7606682164301679892?_r=1&amp;_t=ZS-93uxnE71zNQ</v>
      </c>
      <c r="N67" s="357"/>
      <c r="O67" s="17"/>
      <c r="P67" s="357"/>
      <c r="Q67" s="17"/>
      <c r="R67" s="17"/>
      <c r="S67" s="17"/>
      <c r="T67" s="365"/>
      <c r="U67" s="17"/>
      <c r="V67" s="63"/>
      <c r="W67" s="63"/>
    </row>
    <row r="68">
      <c r="A68" s="255" t="str">
        <f>IFERROR(__xludf.DUMMYFUNCTION("""COMPUTED_VALUE"""),"NANO")</f>
        <v>NANO</v>
      </c>
      <c r="B68" s="23" t="str">
        <f>IFERROR(__xludf.DUMMYFUNCTION("""COMPUTED_VALUE"""),"nurridn___")</f>
        <v>nurridn___</v>
      </c>
      <c r="C68" s="281" t="str">
        <f>IFERROR(__xludf.DUMMYFUNCTION("""COMPUTED_VALUE"""),"https://www.tiktok.com/@nurridn___")</f>
        <v>https://www.tiktok.com/@nurridn___</v>
      </c>
      <c r="D68" s="381">
        <f>IFERROR(__xludf.DUMMYFUNCTION("""COMPUTED_VALUE"""),8.8971786784E10)</f>
        <v>88971786784</v>
      </c>
      <c r="E68" s="271">
        <f>IFERROR(__xludf.DUMMYFUNCTION("""COMPUTED_VALUE"""),0.0)</f>
        <v>0</v>
      </c>
      <c r="F68" s="270">
        <f>IFERROR(__xludf.DUMMYFUNCTION("""COMPUTED_VALUE"""),1.0)</f>
        <v>1</v>
      </c>
      <c r="G68" s="34" t="str">
        <f>IFERROR(__xludf.DUMMYFUNCTION("""COMPUTED_VALUE"""),"1jt")</f>
        <v>1jt</v>
      </c>
      <c r="H68" s="375"/>
      <c r="I68" s="260" t="str">
        <f>IFERROR(__xludf.DUMMYFUNCTION("""COMPUTED_VALUE"""),"Sampai")</f>
        <v>Sampai</v>
      </c>
      <c r="J68" s="357"/>
      <c r="K68" s="279" t="str">
        <f>IFERROR(__xludf.DUMMYFUNCTION("""COMPUTED_VALUE"""),"https://www.tiktok.com/@nurridn___/video/7608458264942021908?_r=1&amp;_t=ZS-9446XOGu6pU")</f>
        <v>https://www.tiktok.com/@nurridn___/video/7608458264942021908?_r=1&amp;_t=ZS-9446XOGu6pU</v>
      </c>
      <c r="L68" s="357"/>
      <c r="M68" s="17"/>
      <c r="N68" s="357"/>
      <c r="O68" s="17"/>
      <c r="P68" s="357"/>
      <c r="Q68" s="17"/>
      <c r="R68" s="17"/>
      <c r="S68" s="17"/>
      <c r="T68" s="365"/>
      <c r="U68" s="17"/>
      <c r="V68" s="63"/>
      <c r="W68" s="63"/>
    </row>
    <row r="69">
      <c r="A69" s="255" t="str">
        <f>IFERROR(__xludf.DUMMYFUNCTION("""COMPUTED_VALUE"""),"NANO")</f>
        <v>NANO</v>
      </c>
      <c r="B69" s="23" t="str">
        <f>IFERROR(__xludf.DUMMYFUNCTION("""COMPUTED_VALUE"""),"septiaammelia ")</f>
        <v>septiaammelia </v>
      </c>
      <c r="C69" s="281" t="str">
        <f>IFERROR(__xludf.DUMMYFUNCTION("""COMPUTED_VALUE"""),"https://www.tiktok.com/@septiaammelia ")</f>
        <v>https://www.tiktok.com/@septiaammelia </v>
      </c>
      <c r="D69" s="381">
        <f>IFERROR(__xludf.DUMMYFUNCTION("""COMPUTED_VALUE"""),8.9659691898E10)</f>
        <v>89659691898</v>
      </c>
      <c r="E69" s="271">
        <f>IFERROR(__xludf.DUMMYFUNCTION("""COMPUTED_VALUE"""),0.0)</f>
        <v>0</v>
      </c>
      <c r="F69" s="270">
        <f>IFERROR(__xludf.DUMMYFUNCTION("""COMPUTED_VALUE"""),2.0)</f>
        <v>2</v>
      </c>
      <c r="G69" s="34" t="str">
        <f>IFERROR(__xludf.DUMMYFUNCTION("""COMPUTED_VALUE"""),"1jt")</f>
        <v>1jt</v>
      </c>
      <c r="H69" s="375"/>
      <c r="I69" s="260" t="str">
        <f>IFERROR(__xludf.DUMMYFUNCTION("""COMPUTED_VALUE"""),"Sampai")</f>
        <v>Sampai</v>
      </c>
      <c r="J69" s="357"/>
      <c r="K69" s="279" t="str">
        <f>IFERROR(__xludf.DUMMYFUNCTION("""COMPUTED_VALUE"""),"https://www.tiktok.com/@septiaammelia/video/7608823265636650258?_r=1&amp;_t=ZS-944Vy3BkJQQ")</f>
        <v>https://www.tiktok.com/@septiaammelia/video/7608823265636650258?_r=1&amp;_t=ZS-944Vy3BkJQQ</v>
      </c>
      <c r="L69" s="357"/>
      <c r="M69" s="279" t="str">
        <f>IFERROR(__xludf.DUMMYFUNCTION("""COMPUTED_VALUE"""),"https://www.tiktok.com/@septiaammelia/video/7610759252424117512?_r=1&amp;_t=ZS-94ElQG3Mhei")</f>
        <v>https://www.tiktok.com/@septiaammelia/video/7610759252424117512?_r=1&amp;_t=ZS-94ElQG3Mhei</v>
      </c>
      <c r="N69" s="357"/>
      <c r="O69" s="17"/>
      <c r="P69" s="357"/>
      <c r="Q69" s="17"/>
      <c r="R69" s="17"/>
      <c r="S69" s="17"/>
      <c r="T69" s="365"/>
      <c r="U69" s="17"/>
      <c r="V69" s="63"/>
      <c r="W69" s="63"/>
    </row>
    <row r="70">
      <c r="A70" s="255" t="str">
        <f>IFERROR(__xludf.DUMMYFUNCTION("""COMPUTED_VALUE"""),"NANO")</f>
        <v>NANO</v>
      </c>
      <c r="B70" s="23" t="str">
        <f>IFERROR(__xludf.DUMMYFUNCTION("""COMPUTED_VALUE"""),"xyblabla2")</f>
        <v>xyblabla2</v>
      </c>
      <c r="C70" s="281" t="str">
        <f>IFERROR(__xludf.DUMMYFUNCTION("""COMPUTED_VALUE"""),"https://www.tiktok.com/@xyblabla2")</f>
        <v>https://www.tiktok.com/@xyblabla2</v>
      </c>
      <c r="D70" s="381">
        <f>IFERROR(__xludf.DUMMYFUNCTION("""COMPUTED_VALUE"""),8.2123879357E10)</f>
        <v>82123879357</v>
      </c>
      <c r="E70" s="271">
        <f>IFERROR(__xludf.DUMMYFUNCTION("""COMPUTED_VALUE"""),0.0)</f>
        <v>0</v>
      </c>
      <c r="F70" s="270">
        <f>IFERROR(__xludf.DUMMYFUNCTION("""COMPUTED_VALUE"""),2.0)</f>
        <v>2</v>
      </c>
      <c r="G70" s="34" t="str">
        <f>IFERROR(__xludf.DUMMYFUNCTION("""COMPUTED_VALUE"""),"1,32jt")</f>
        <v>1,32jt</v>
      </c>
      <c r="H70" s="375"/>
      <c r="I70" s="260" t="str">
        <f>IFERROR(__xludf.DUMMYFUNCTION("""COMPUTED_VALUE"""),"Sampai")</f>
        <v>Sampai</v>
      </c>
      <c r="J70" s="357"/>
      <c r="K70" s="279" t="str">
        <f>IFERROR(__xludf.DUMMYFUNCTION("""COMPUTED_VALUE"""),"https://www.tiktok.com/@xyblabla2/video/7610364903488081172?_r=1&amp;_t=ZS-94BYgOBlK8S")</f>
        <v>https://www.tiktok.com/@xyblabla2/video/7610364903488081172?_r=1&amp;_t=ZS-94BYgOBlK8S</v>
      </c>
      <c r="L70" s="357"/>
      <c r="M70" s="279" t="str">
        <f>IFERROR(__xludf.DUMMYFUNCTION("""COMPUTED_VALUE"""),"https://www.tiktok.com/@xyblabla2/video/7611487559314590996?_r=1&amp;_t=ZS-94GiNJonMmb")</f>
        <v>https://www.tiktok.com/@xyblabla2/video/7611487559314590996?_r=1&amp;_t=ZS-94GiNJonMmb</v>
      </c>
      <c r="N70" s="357"/>
      <c r="O70" s="17" t="str">
        <f>IFERROR(__xludf.DUMMYFUNCTION("""COMPUTED_VALUE"""),"draft")</f>
        <v>draft</v>
      </c>
      <c r="P70" s="357"/>
      <c r="Q70" s="17"/>
      <c r="R70" s="17"/>
      <c r="S70" s="17"/>
      <c r="T70" s="365">
        <f>IFERROR(__xludf.DUMMYFUNCTION("""COMPUTED_VALUE"""),34380.0)</f>
        <v>34380</v>
      </c>
      <c r="U70" s="17"/>
      <c r="V70" s="63"/>
      <c r="W70" s="63"/>
    </row>
    <row r="71">
      <c r="A71" s="255" t="str">
        <f>IFERROR(__xludf.DUMMYFUNCTION("""COMPUTED_VALUE"""),"MICRO")</f>
        <v>MICRO</v>
      </c>
      <c r="B71" s="23" t="str">
        <f>IFERROR(__xludf.DUMMYFUNCTION("""COMPUTED_VALUE"""),"amdwt_")</f>
        <v>amdwt_</v>
      </c>
      <c r="C71" s="281" t="str">
        <f>IFERROR(__xludf.DUMMYFUNCTION("""COMPUTED_VALUE"""),"https://www.tiktok.com/@amdwt_")</f>
        <v>https://www.tiktok.com/@amdwt_</v>
      </c>
      <c r="D71" s="381">
        <f>IFERROR(__xludf.DUMMYFUNCTION("""COMPUTED_VALUE"""),8.970126119E9)</f>
        <v>8970126119</v>
      </c>
      <c r="E71" s="271">
        <f>IFERROR(__xludf.DUMMYFUNCTION("""COMPUTED_VALUE"""),0.0)</f>
        <v>0</v>
      </c>
      <c r="F71" s="270">
        <f>IFERROR(__xludf.DUMMYFUNCTION("""COMPUTED_VALUE"""),2.0)</f>
        <v>2</v>
      </c>
      <c r="G71" s="34" t="str">
        <f>IFERROR(__xludf.DUMMYFUNCTION("""COMPUTED_VALUE"""),"196jt")</f>
        <v>196jt</v>
      </c>
      <c r="H71" s="375"/>
      <c r="I71" s="260" t="str">
        <f>IFERROR(__xludf.DUMMYFUNCTION("""COMPUTED_VALUE"""),"Sampai")</f>
        <v>Sampai</v>
      </c>
      <c r="J71" s="357"/>
      <c r="K71" s="279" t="str">
        <f>IFERROR(__xludf.DUMMYFUNCTION("""COMPUTED_VALUE"""),"https://www.tiktok.com/@amdwt_/video/7611953025602571536?_r=1&amp;_t=ZS-94JlN5NyccL")</f>
        <v>https://www.tiktok.com/@amdwt_/video/7611953025602571536?_r=1&amp;_t=ZS-94JlN5NyccL</v>
      </c>
      <c r="L71" s="357"/>
      <c r="M71" s="279" t="str">
        <f>IFERROR(__xludf.DUMMYFUNCTION("""COMPUTED_VALUE"""),"https://www.tiktok.com/@amdwt_/video/7611950304954797329?_r=1&amp;_t=ZS-94JlNxdeQRE")</f>
        <v>https://www.tiktok.com/@amdwt_/video/7611950304954797329?_r=1&amp;_t=ZS-94JlNxdeQRE</v>
      </c>
      <c r="N71" s="357"/>
      <c r="O71" s="279" t="str">
        <f>IFERROR(__xludf.DUMMYFUNCTION("""COMPUTED_VALUE"""),"https://www.tiktok.com/@amdwt_/video/7612028221613296913?_r=1&amp;_t=ZS-94JlPRao7eq")</f>
        <v>https://www.tiktok.com/@amdwt_/video/7612028221613296913?_r=1&amp;_t=ZS-94JlPRao7eq</v>
      </c>
      <c r="P71" s="357"/>
      <c r="Q71" s="279" t="str">
        <f>IFERROR(__xludf.DUMMYFUNCTION("""COMPUTED_VALUE"""),"https://www.tiktok.com/@amdwt_/video/7611812847487667472?_r=1&amp;_t=ZS-94JlPRaooHQ")</f>
        <v>https://www.tiktok.com/@amdwt_/video/7611812847487667472?_r=1&amp;_t=ZS-94JlPRaooHQ</v>
      </c>
      <c r="R71" s="279" t="str">
        <f>IFERROR(__xludf.DUMMYFUNCTION("""COMPUTED_VALUE"""),"https://www.tiktok.com/@amdwt_/video/7611810561604586769?_r=1&amp;_t=ZS-94JlQ16NwAr")</f>
        <v>https://www.tiktok.com/@amdwt_/video/7611810561604586769?_r=1&amp;_t=ZS-94JlQ16NwAr</v>
      </c>
      <c r="S71" s="279" t="str">
        <f>IFERROR(__xludf.DUMMYFUNCTION("""COMPUTED_VALUE"""),"https://www.tiktok.com/@amdwt_/video/7611809390189956368?_r=1&amp;_t=ZS-94JlNxzoeLh")</f>
        <v>https://www.tiktok.com/@amdwt_/video/7611809390189956368?_r=1&amp;_t=ZS-94JlNxzoeLh</v>
      </c>
      <c r="T71" s="365">
        <f>IFERROR(__xludf.DUMMYFUNCTION("""COMPUTED_VALUE"""),197132.0)</f>
        <v>197132</v>
      </c>
      <c r="U71" s="17"/>
      <c r="V71" s="63"/>
      <c r="W71" s="63"/>
    </row>
    <row r="72">
      <c r="A72" s="255" t="str">
        <f>IFERROR(__xludf.DUMMYFUNCTION("""COMPUTED_VALUE"""),"NANO")</f>
        <v>NANO</v>
      </c>
      <c r="B72" s="23" t="str">
        <f>IFERROR(__xludf.DUMMYFUNCTION("""COMPUTED_VALUE"""),"naylaazhrni")</f>
        <v>naylaazhrni</v>
      </c>
      <c r="C72" s="281" t="str">
        <f>IFERROR(__xludf.DUMMYFUNCTION("""COMPUTED_VALUE"""),"https://www.tiktok.com/@naylaazhrni")</f>
        <v>https://www.tiktok.com/@naylaazhrni</v>
      </c>
      <c r="D72" s="381">
        <f>IFERROR(__xludf.DUMMYFUNCTION("""COMPUTED_VALUE"""),8.5770474008E10)</f>
        <v>85770474008</v>
      </c>
      <c r="E72" s="271">
        <f>IFERROR(__xludf.DUMMYFUNCTION("""COMPUTED_VALUE"""),0.0)</f>
        <v>0</v>
      </c>
      <c r="F72" s="270">
        <f>IFERROR(__xludf.DUMMYFUNCTION("""COMPUTED_VALUE"""),2.0)</f>
        <v>2</v>
      </c>
      <c r="G72" s="34" t="str">
        <f>IFERROR(__xludf.DUMMYFUNCTION("""COMPUTED_VALUE"""),"25,2jt")</f>
        <v>25,2jt</v>
      </c>
      <c r="H72" s="375"/>
      <c r="I72" s="260" t="str">
        <f>IFERROR(__xludf.DUMMYFUNCTION("""COMPUTED_VALUE"""),"Sampai")</f>
        <v>Sampai</v>
      </c>
      <c r="J72" s="357"/>
      <c r="K72" s="279" t="str">
        <f>IFERROR(__xludf.DUMMYFUNCTION("""COMPUTED_VALUE"""),"https://www.tiktok.com/@neirdgurrlll/video/7609468413014019348?_r=1&amp;_t=ZS-947kZl0tfgS")</f>
        <v>https://www.tiktok.com/@neirdgurrlll/video/7609468413014019348?_r=1&amp;_t=ZS-947kZl0tfgS</v>
      </c>
      <c r="L72" s="357"/>
      <c r="M72" s="279" t="str">
        <f>IFERROR(__xludf.DUMMYFUNCTION("""COMPUTED_VALUE"""),"https://www.tiktok.com/@naylaazhrni/video/7611521266125671701?_r=1&amp;_t=ZS-94HTxbNz3WS")</f>
        <v>https://www.tiktok.com/@naylaazhrni/video/7611521266125671701?_r=1&amp;_t=ZS-94HTxbNz3WS</v>
      </c>
      <c r="N72" s="357"/>
      <c r="O72" s="17"/>
      <c r="P72" s="357"/>
      <c r="Q72" s="17"/>
      <c r="R72" s="17"/>
      <c r="S72" s="17"/>
      <c r="T72" s="365"/>
      <c r="U72" s="17"/>
      <c r="V72" s="63"/>
      <c r="W72" s="63"/>
    </row>
    <row r="73">
      <c r="A73" s="255" t="str">
        <f>IFERROR(__xludf.DUMMYFUNCTION("""COMPUTED_VALUE"""),"NANO")</f>
        <v>NANO</v>
      </c>
      <c r="B73" s="23" t="str">
        <f>IFERROR(__xludf.DUMMYFUNCTION("""COMPUTED_VALUE"""),"neirdgurrlll")</f>
        <v>neirdgurrlll</v>
      </c>
      <c r="C73" s="281" t="str">
        <f>IFERROR(__xludf.DUMMYFUNCTION("""COMPUTED_VALUE"""),"https://www.tiktok.com/@neirdgurrlll")</f>
        <v>https://www.tiktok.com/@neirdgurrlll</v>
      </c>
      <c r="D73" s="381">
        <f>IFERROR(__xludf.DUMMYFUNCTION("""COMPUTED_VALUE"""),8.562228071E9)</f>
        <v>8562228071</v>
      </c>
      <c r="E73" s="271">
        <f>IFERROR(__xludf.DUMMYFUNCTION("""COMPUTED_VALUE"""),0.0)</f>
        <v>0</v>
      </c>
      <c r="F73" s="270">
        <f>IFERROR(__xludf.DUMMYFUNCTION("""COMPUTED_VALUE"""),1.0)</f>
        <v>1</v>
      </c>
      <c r="G73" s="34" t="str">
        <f>IFERROR(__xludf.DUMMYFUNCTION("""COMPUTED_VALUE"""),"1jt")</f>
        <v>1jt</v>
      </c>
      <c r="H73" s="375"/>
      <c r="I73" s="260" t="str">
        <f>IFERROR(__xludf.DUMMYFUNCTION("""COMPUTED_VALUE"""),"Sampai")</f>
        <v>Sampai</v>
      </c>
      <c r="J73" s="357"/>
      <c r="K73" s="279" t="str">
        <f>IFERROR(__xludf.DUMMYFUNCTION("""COMPUTED_VALUE"""),"https://www.tiktok.com/@neirdgurrlll/video/7609468413014019348?_r=1&amp;_t=ZS-947kZl0tfgS")</f>
        <v>https://www.tiktok.com/@neirdgurrlll/video/7609468413014019348?_r=1&amp;_t=ZS-947kZl0tfgS</v>
      </c>
      <c r="L73" s="357"/>
      <c r="M73" s="17"/>
      <c r="N73" s="357"/>
      <c r="O73" s="17"/>
      <c r="P73" s="357"/>
      <c r="Q73" s="17"/>
      <c r="R73" s="17"/>
      <c r="S73" s="17"/>
      <c r="T73" s="365"/>
      <c r="U73" s="17"/>
      <c r="V73" s="63"/>
      <c r="W73" s="63"/>
    </row>
    <row r="74">
      <c r="A74" s="255" t="str">
        <f>IFERROR(__xludf.DUMMYFUNCTION("""COMPUTED_VALUE"""),"NANO")</f>
        <v>NANO</v>
      </c>
      <c r="B74" s="23" t="str">
        <f>IFERROR(__xludf.DUMMYFUNCTION("""COMPUTED_VALUE"""),"sanclavvd")</f>
        <v>sanclavvd</v>
      </c>
      <c r="C74" s="281" t="str">
        <f>IFERROR(__xludf.DUMMYFUNCTION("""COMPUTED_VALUE"""),"https://www.tiktok.com/@sanclavvd")</f>
        <v>https://www.tiktok.com/@sanclavvd</v>
      </c>
      <c r="D74" s="381">
        <f>IFERROR(__xludf.DUMMYFUNCTION("""COMPUTED_VALUE"""),8.1218069729E10)</f>
        <v>81218069729</v>
      </c>
      <c r="E74" s="271">
        <f>IFERROR(__xludf.DUMMYFUNCTION("""COMPUTED_VALUE"""),0.0)</f>
        <v>0</v>
      </c>
      <c r="F74" s="270">
        <f>IFERROR(__xludf.DUMMYFUNCTION("""COMPUTED_VALUE"""),2.0)</f>
        <v>2</v>
      </c>
      <c r="G74" s="34" t="str">
        <f>IFERROR(__xludf.DUMMYFUNCTION("""COMPUTED_VALUE"""),"399k")</f>
        <v>399k</v>
      </c>
      <c r="H74" s="375"/>
      <c r="I74" s="260" t="str">
        <f>IFERROR(__xludf.DUMMYFUNCTION("""COMPUTED_VALUE"""),"Sampai")</f>
        <v>Sampai</v>
      </c>
      <c r="J74" s="357"/>
      <c r="K74" s="279" t="str">
        <f>IFERROR(__xludf.DUMMYFUNCTION("""COMPUTED_VALUE"""),"https://www.tiktok.com/@sanclavvd/video/7606261124832464146?_r=1&amp;_t=ZS-93xyfW0PYP4")</f>
        <v>https://www.tiktok.com/@sanclavvd/video/7606261124832464146?_r=1&amp;_t=ZS-93xyfW0PYP4</v>
      </c>
      <c r="L74" s="357"/>
      <c r="M74" s="279" t="str">
        <f>IFERROR(__xludf.DUMMYFUNCTION("""COMPUTED_VALUE"""),"https://www.tiktok.com/@sanclavvd/video/7607407111206735122?_r=1&amp;_t=ZS-93zZR5WWs2J")</f>
        <v>https://www.tiktok.com/@sanclavvd/video/7607407111206735122?_r=1&amp;_t=ZS-93zZR5WWs2J</v>
      </c>
      <c r="N74" s="357"/>
      <c r="O74" s="17"/>
      <c r="P74" s="357"/>
      <c r="Q74" s="17"/>
      <c r="R74" s="17"/>
      <c r="S74" s="17"/>
      <c r="T74" s="365"/>
      <c r="U74" s="17"/>
      <c r="V74" s="63"/>
      <c r="W74" s="63"/>
    </row>
    <row r="75">
      <c r="A75" s="255" t="str">
        <f>IFERROR(__xludf.DUMMYFUNCTION("""COMPUTED_VALUE"""),"NANO")</f>
        <v>NANO</v>
      </c>
      <c r="B75" s="23" t="str">
        <f>IFERROR(__xludf.DUMMYFUNCTION("""COMPUTED_VALUE"""),"ssndeti")</f>
        <v>ssndeti</v>
      </c>
      <c r="C75" s="281" t="str">
        <f>IFERROR(__xludf.DUMMYFUNCTION("""COMPUTED_VALUE"""),"https://www.tiktok.com/@ssndeti")</f>
        <v>https://www.tiktok.com/@ssndeti</v>
      </c>
      <c r="D75" s="381">
        <f>IFERROR(__xludf.DUMMYFUNCTION("""COMPUTED_VALUE"""),8.5890742278E10)</f>
        <v>85890742278</v>
      </c>
      <c r="E75" s="271">
        <f>IFERROR(__xludf.DUMMYFUNCTION("""COMPUTED_VALUE"""),0.0)</f>
        <v>0</v>
      </c>
      <c r="F75" s="270">
        <f>IFERROR(__xludf.DUMMYFUNCTION("""COMPUTED_VALUE"""),2.0)</f>
        <v>2</v>
      </c>
      <c r="G75" s="34" t="str">
        <f>IFERROR(__xludf.DUMMYFUNCTION("""COMPUTED_VALUE"""),"1jt")</f>
        <v>1jt</v>
      </c>
      <c r="H75" s="375" t="str">
        <f>IFERROR(__xludf.DUMMYFUNCTION("""COMPUTED_VALUE"""),"Cushion &amp; TWC")</f>
        <v>Cushion &amp; TWC</v>
      </c>
      <c r="I75" s="260" t="str">
        <f>IFERROR(__xludf.DUMMYFUNCTION("""COMPUTED_VALUE"""),"Sampai")</f>
        <v>Sampai</v>
      </c>
      <c r="J75" s="357"/>
      <c r="K75" s="74" t="str">
        <f>IFERROR(__xludf.DUMMYFUNCTION("""COMPUTED_VALUE"""),"https://vt.tiktok.com/ZSHm2vBTw/ ")</f>
        <v>https://vt.tiktok.com/ZSHm2vBTw/ </v>
      </c>
      <c r="L75" s="357"/>
      <c r="M75" s="279" t="str">
        <f>IFERROR(__xludf.DUMMYFUNCTION("""COMPUTED_VALUE"""),"https://vt.tiktok.com/ZSHoqyaE2/ ")</f>
        <v>https://vt.tiktok.com/ZSHoqyaE2/ </v>
      </c>
      <c r="N75" s="357"/>
      <c r="O75" s="17"/>
      <c r="P75" s="357"/>
      <c r="Q75" s="17"/>
      <c r="R75" s="17"/>
      <c r="S75" s="17"/>
      <c r="T75" s="365"/>
      <c r="U75" s="17"/>
      <c r="V75" s="63"/>
      <c r="W75" s="63"/>
    </row>
    <row r="76">
      <c r="A76" s="255" t="str">
        <f>IFERROR(__xludf.DUMMYFUNCTION("""COMPUTED_VALUE"""),"NANO")</f>
        <v>NANO</v>
      </c>
      <c r="B76" s="23" t="str">
        <f>IFERROR(__xludf.DUMMYFUNCTION("""COMPUTED_VALUE"""),"dinifu1")</f>
        <v>dinifu1</v>
      </c>
      <c r="C76" s="281" t="str">
        <f>IFERROR(__xludf.DUMMYFUNCTION("""COMPUTED_VALUE"""),"https://www.tiktok.com/@dinifu1")</f>
        <v>https://www.tiktok.com/@dinifu1</v>
      </c>
      <c r="D76" s="381">
        <f>IFERROR(__xludf.DUMMYFUNCTION("""COMPUTED_VALUE"""),8.1312275695E10)</f>
        <v>81312275695</v>
      </c>
      <c r="E76" s="271">
        <f>IFERROR(__xludf.DUMMYFUNCTION("""COMPUTED_VALUE"""),0.0)</f>
        <v>0</v>
      </c>
      <c r="F76" s="270">
        <f>IFERROR(__xludf.DUMMYFUNCTION("""COMPUTED_VALUE"""),2.0)</f>
        <v>2</v>
      </c>
      <c r="G76" s="34" t="str">
        <f>IFERROR(__xludf.DUMMYFUNCTION("""COMPUTED_VALUE"""),"Rp121,9JT")</f>
        <v>Rp121,9JT</v>
      </c>
      <c r="H76" s="375" t="str">
        <f>IFERROR(__xludf.DUMMYFUNCTION("""COMPUTED_VALUE"""),"Lip Vinyl")</f>
        <v>Lip Vinyl</v>
      </c>
      <c r="I76" s="260" t="str">
        <f>IFERROR(__xludf.DUMMYFUNCTION("""COMPUTED_VALUE"""),"Sampai")</f>
        <v>Sampai</v>
      </c>
      <c r="J76" s="357"/>
      <c r="K76" s="279" t="str">
        <f>IFERROR(__xludf.DUMMYFUNCTION("""COMPUTED_VALUE"""),"https://vt.tiktok.com/ZSm91D1S6/")</f>
        <v>https://vt.tiktok.com/ZSm91D1S6/</v>
      </c>
      <c r="L76" s="357"/>
      <c r="M76" s="279" t="str">
        <f>IFERROR(__xludf.DUMMYFUNCTION("""COMPUTED_VALUE"""),"https://vt.tiktok.com/ZS94kXW2p/ ")</f>
        <v>https://vt.tiktok.com/ZS94kXW2p/ </v>
      </c>
      <c r="N76" s="357"/>
      <c r="O76" s="17"/>
      <c r="P76" s="357"/>
      <c r="Q76" s="17"/>
      <c r="R76" s="17"/>
      <c r="S76" s="17"/>
      <c r="T76" s="365"/>
      <c r="U76" s="17"/>
      <c r="V76" s="63"/>
      <c r="W76" s="63"/>
    </row>
    <row r="77">
      <c r="A77" s="255" t="str">
        <f>IFERROR(__xludf.DUMMYFUNCTION("""COMPUTED_VALUE"""),"NANO")</f>
        <v>NANO</v>
      </c>
      <c r="B77" s="23" t="str">
        <f>IFERROR(__xludf.DUMMYFUNCTION("""COMPUTED_VALUE"""),"zrshafaaaa ")</f>
        <v>zrshafaaaa </v>
      </c>
      <c r="C77" s="281" t="str">
        <f>IFERROR(__xludf.DUMMYFUNCTION("""COMPUTED_VALUE"""),"https://www.tiktok.com/@zrshafaaaa ")</f>
        <v>https://www.tiktok.com/@zrshafaaaa </v>
      </c>
      <c r="D77" s="381">
        <f>IFERROR(__xludf.DUMMYFUNCTION("""COMPUTED_VALUE"""),8.513359946E10)</f>
        <v>85133599460</v>
      </c>
      <c r="E77" s="271">
        <f>IFERROR(__xludf.DUMMYFUNCTION("""COMPUTED_VALUE"""),0.0)</f>
        <v>0</v>
      </c>
      <c r="F77" s="270">
        <f>IFERROR(__xludf.DUMMYFUNCTION("""COMPUTED_VALUE"""),2.0)</f>
        <v>2</v>
      </c>
      <c r="G77" s="34" t="str">
        <f>IFERROR(__xludf.DUMMYFUNCTION("""COMPUTED_VALUE"""),"Rp1,2JT")</f>
        <v>Rp1,2JT</v>
      </c>
      <c r="H77" s="375" t="str">
        <f>IFERROR(__xludf.DUMMYFUNCTION("""COMPUTED_VALUE"""),"Cushion &amp; Lip Vinyl")</f>
        <v>Cushion &amp; Lip Vinyl</v>
      </c>
      <c r="I77" s="260" t="str">
        <f>IFERROR(__xludf.DUMMYFUNCTION("""COMPUTED_VALUE"""),"Sampai")</f>
        <v>Sampai</v>
      </c>
      <c r="J77" s="357"/>
      <c r="K77" s="279" t="str">
        <f>IFERROR(__xludf.DUMMYFUNCTION("""COMPUTED_VALUE"""),"https://vt.tiktok.com/ZSmf71HNr/")</f>
        <v>https://vt.tiktok.com/ZSmf71HNr/</v>
      </c>
      <c r="L77" s="357"/>
      <c r="M77" s="279" t="str">
        <f>IFERROR(__xludf.DUMMYFUNCTION("""COMPUTED_VALUE"""),"https://vt.tiktok.com/ZSmf7BgAL/")</f>
        <v>https://vt.tiktok.com/ZSmf7BgAL/</v>
      </c>
      <c r="N77" s="357"/>
      <c r="O77" s="17"/>
      <c r="P77" s="357"/>
      <c r="Q77" s="17"/>
      <c r="R77" s="17"/>
      <c r="S77" s="17"/>
      <c r="T77" s="365">
        <f>IFERROR(__xludf.DUMMYFUNCTION("""COMPUTED_VALUE"""),36190.0)</f>
        <v>36190</v>
      </c>
      <c r="U77" s="17"/>
      <c r="V77" s="63"/>
      <c r="W77" s="63"/>
    </row>
    <row r="78">
      <c r="A78" s="255" t="str">
        <f>IFERROR(__xludf.DUMMYFUNCTION("""COMPUTED_VALUE"""),"NANO")</f>
        <v>NANO</v>
      </c>
      <c r="B78" s="23" t="str">
        <f>IFERROR(__xludf.DUMMYFUNCTION("""COMPUTED_VALUE"""),"jenymarc.makeup")</f>
        <v>jenymarc.makeup</v>
      </c>
      <c r="C78" s="281" t="str">
        <f>IFERROR(__xludf.DUMMYFUNCTION("""COMPUTED_VALUE"""),"https://www.tiktok.com/@jenymarc.makeup")</f>
        <v>https://www.tiktok.com/@jenymarc.makeup</v>
      </c>
      <c r="D78" s="381">
        <f>IFERROR(__xludf.DUMMYFUNCTION("""COMPUTED_VALUE"""),8.1325700266E10)</f>
        <v>81325700266</v>
      </c>
      <c r="E78" s="271">
        <f>IFERROR(__xludf.DUMMYFUNCTION("""COMPUTED_VALUE"""),0.0)</f>
        <v>0</v>
      </c>
      <c r="F78" s="270">
        <f>IFERROR(__xludf.DUMMYFUNCTION("""COMPUTED_VALUE"""),1.0)</f>
        <v>1</v>
      </c>
      <c r="G78" s="34" t="str">
        <f>IFERROR(__xludf.DUMMYFUNCTION("""COMPUTED_VALUE"""),"57,6JT")</f>
        <v>57,6JT</v>
      </c>
      <c r="H78" s="375" t="str">
        <f>IFERROR(__xludf.DUMMYFUNCTION("""COMPUTED_VALUE"""),"TWC")</f>
        <v>TWC</v>
      </c>
      <c r="I78" s="260" t="str">
        <f>IFERROR(__xludf.DUMMYFUNCTION("""COMPUTED_VALUE"""),"Sampai")</f>
        <v>Sampai</v>
      </c>
      <c r="J78" s="357"/>
      <c r="K78" s="279" t="str">
        <f>IFERROR(__xludf.DUMMYFUNCTION("""COMPUTED_VALUE"""),"https://vt.tiktok.com/ZSuhdQeSe/")</f>
        <v>https://vt.tiktok.com/ZSuhdQeSe/</v>
      </c>
      <c r="L78" s="357"/>
      <c r="M78" s="17"/>
      <c r="N78" s="357"/>
      <c r="O78" s="17"/>
      <c r="P78" s="357"/>
      <c r="Q78" s="17"/>
      <c r="R78" s="17"/>
      <c r="S78" s="17"/>
      <c r="T78" s="365"/>
      <c r="U78" s="17"/>
      <c r="V78" s="63"/>
      <c r="W78" s="63"/>
    </row>
    <row r="79">
      <c r="A79" s="255" t="str">
        <f>IFERROR(__xludf.DUMMYFUNCTION("""COMPUTED_VALUE"""),"MICRO")</f>
        <v>MICRO</v>
      </c>
      <c r="B79" s="23" t="str">
        <f>IFERROR(__xludf.DUMMYFUNCTION("""COMPUTED_VALUE"""),"marifatul_mahmudah3")</f>
        <v>marifatul_mahmudah3</v>
      </c>
      <c r="C79" s="281" t="str">
        <f>IFERROR(__xludf.DUMMYFUNCTION("""COMPUTED_VALUE"""),"https://www.tiktok.com/@marifatul_mahmudah3")</f>
        <v>https://www.tiktok.com/@marifatul_mahmudah3</v>
      </c>
      <c r="D79" s="381">
        <f>IFERROR(__xludf.DUMMYFUNCTION("""COMPUTED_VALUE"""),8.8225096947E10)</f>
        <v>88225096947</v>
      </c>
      <c r="E79" s="271">
        <f>IFERROR(__xludf.DUMMYFUNCTION("""COMPUTED_VALUE"""),0.0)</f>
        <v>0</v>
      </c>
      <c r="F79" s="270">
        <f>IFERROR(__xludf.DUMMYFUNCTION("""COMPUTED_VALUE"""),2.0)</f>
        <v>2</v>
      </c>
      <c r="G79" s="34" t="str">
        <f>IFERROR(__xludf.DUMMYFUNCTION("""COMPUTED_VALUE"""),"923.55k")</f>
        <v>923.55k</v>
      </c>
      <c r="H79" s="375" t="str">
        <f>IFERROR(__xludf.DUMMYFUNCTION("""COMPUTED_VALUE"""),"Cushion")</f>
        <v>Cushion</v>
      </c>
      <c r="I79" s="260" t="str">
        <f>IFERROR(__xludf.DUMMYFUNCTION("""COMPUTED_VALUE"""),"Sampai")</f>
        <v>Sampai</v>
      </c>
      <c r="J79" s="357"/>
      <c r="K79" s="279" t="str">
        <f>IFERROR(__xludf.DUMMYFUNCTION("""COMPUTED_VALUE"""),"https://vt.tiktok.com/ZSmKDtppK/")</f>
        <v>https://vt.tiktok.com/ZSmKDtppK/</v>
      </c>
      <c r="L79" s="357"/>
      <c r="M79" s="279" t="str">
        <f>IFERROR(__xludf.DUMMYFUNCTION("""COMPUTED_VALUE"""),"https://vt.tiktok.com/ZSmKDT56c/")</f>
        <v>https://vt.tiktok.com/ZSmKDT56c/</v>
      </c>
      <c r="N79" s="357"/>
      <c r="O79" s="279" t="str">
        <f>IFERROR(__xludf.DUMMYFUNCTION("""COMPUTED_VALUE"""),"https://vt.tiktok.com/ZSmKD9L8v/")</f>
        <v>https://vt.tiktok.com/ZSmKD9L8v/</v>
      </c>
      <c r="P79" s="357"/>
      <c r="Q79" s="279" t="str">
        <f>IFERROR(__xludf.DUMMYFUNCTION("""COMPUTED_VALUE"""),"https://vt.tiktok.com/ZSuBk1Mfb/")</f>
        <v>https://vt.tiktok.com/ZSuBk1Mfb/</v>
      </c>
      <c r="R79" s="17"/>
      <c r="S79" s="17"/>
      <c r="T79" s="365">
        <f>IFERROR(__xludf.DUMMYFUNCTION("""COMPUTED_VALUE"""),88412.0)</f>
        <v>88412</v>
      </c>
      <c r="U79" s="17"/>
      <c r="V79" s="63"/>
      <c r="W79" s="63"/>
    </row>
    <row r="80">
      <c r="A80" s="255" t="str">
        <f>IFERROR(__xludf.DUMMYFUNCTION("""COMPUTED_VALUE"""),"NANO")</f>
        <v>NANO</v>
      </c>
      <c r="B80" s="23" t="str">
        <f>IFERROR(__xludf.DUMMYFUNCTION("""COMPUTED_VALUE"""),"nuraeniaripin")</f>
        <v>nuraeniaripin</v>
      </c>
      <c r="C80" s="281" t="str">
        <f>IFERROR(__xludf.DUMMYFUNCTION("""COMPUTED_VALUE"""),"https://www.tiktok.com/@nuraeniaripin")</f>
        <v>https://www.tiktok.com/@nuraeniaripin</v>
      </c>
      <c r="D80" s="381">
        <f>IFERROR(__xludf.DUMMYFUNCTION("""COMPUTED_VALUE"""),8.5724130585E10)</f>
        <v>85724130585</v>
      </c>
      <c r="E80" s="271">
        <f>IFERROR(__xludf.DUMMYFUNCTION("""COMPUTED_VALUE"""),0.0)</f>
        <v>0</v>
      </c>
      <c r="F80" s="270">
        <f>IFERROR(__xludf.DUMMYFUNCTION("""COMPUTED_VALUE"""),2.0)</f>
        <v>2</v>
      </c>
      <c r="G80" s="34" t="str">
        <f>IFERROR(__xludf.DUMMYFUNCTION("""COMPUTED_VALUE"""),"Rp6,2JT")</f>
        <v>Rp6,2JT</v>
      </c>
      <c r="H80" s="375"/>
      <c r="I80" s="260" t="str">
        <f>IFERROR(__xludf.DUMMYFUNCTION("""COMPUTED_VALUE"""),"Sampai")</f>
        <v>Sampai</v>
      </c>
      <c r="J80" s="357"/>
      <c r="K80" s="279" t="str">
        <f>IFERROR(__xludf.DUMMYFUNCTION("""COMPUTED_VALUE"""),"https://vt.tiktok.com/ZSm6bUfaa/")</f>
        <v>https://vt.tiktok.com/ZSm6bUfaa/</v>
      </c>
      <c r="L80" s="357"/>
      <c r="M80" s="279" t="str">
        <f>IFERROR(__xludf.DUMMYFUNCTION("""COMPUTED_VALUE"""),"https://vt.tiktok.com/ZSmhujnVX/")</f>
        <v>https://vt.tiktok.com/ZSmhujnVX/</v>
      </c>
      <c r="N80" s="357"/>
      <c r="O80" s="17"/>
      <c r="P80" s="357"/>
      <c r="Q80" s="17"/>
      <c r="R80" s="17"/>
      <c r="S80" s="17"/>
      <c r="T80" s="365"/>
      <c r="U80" s="17"/>
      <c r="V80" s="384"/>
      <c r="W80" s="17"/>
    </row>
    <row r="81">
      <c r="A81" s="255" t="str">
        <f>IFERROR(__xludf.DUMMYFUNCTION("""COMPUTED_VALUE"""),"MICRO")</f>
        <v>MICRO</v>
      </c>
      <c r="B81" s="23" t="str">
        <f>IFERROR(__xludf.DUMMYFUNCTION("""COMPUTED_VALUE"""),"anifanadifa")</f>
        <v>anifanadifa</v>
      </c>
      <c r="C81" s="281" t="str">
        <f>IFERROR(__xludf.DUMMYFUNCTION("""COMPUTED_VALUE"""),"https://www.tiktok.com/@anifanadifa")</f>
        <v>https://www.tiktok.com/@anifanadifa</v>
      </c>
      <c r="D81" s="381">
        <f>IFERROR(__xludf.DUMMYFUNCTION("""COMPUTED_VALUE"""),8.5794910521E10)</f>
        <v>85794910521</v>
      </c>
      <c r="E81" s="271">
        <f>IFERROR(__xludf.DUMMYFUNCTION("""COMPUTED_VALUE"""),0.0)</f>
        <v>0</v>
      </c>
      <c r="F81" s="270">
        <f>IFERROR(__xludf.DUMMYFUNCTION("""COMPUTED_VALUE"""),2.0)</f>
        <v>2</v>
      </c>
      <c r="G81" s="34" t="str">
        <f>IFERROR(__xludf.DUMMYFUNCTION("""COMPUTED_VALUE"""),"28.81m")</f>
        <v>28.81m</v>
      </c>
      <c r="H81" s="375" t="str">
        <f>IFERROR(__xludf.DUMMYFUNCTION("""COMPUTED_VALUE"""),"Lip Cream")</f>
        <v>Lip Cream</v>
      </c>
      <c r="I81" s="260" t="str">
        <f>IFERROR(__xludf.DUMMYFUNCTION("""COMPUTED_VALUE"""),"Sampai")</f>
        <v>Sampai</v>
      </c>
      <c r="J81" s="357"/>
      <c r="K81" s="279" t="str">
        <f>IFERROR(__xludf.DUMMYFUNCTION("""COMPUTED_VALUE"""),"https://vt.tiktok.com/ZSmUPM9dU/")</f>
        <v>https://vt.tiktok.com/ZSmUPM9dU/</v>
      </c>
      <c r="L81" s="357"/>
      <c r="M81" s="279" t="str">
        <f>IFERROR(__xludf.DUMMYFUNCTION("""COMPUTED_VALUE"""),"https://vt.tiktok.com/ZSmKjCwBm/")</f>
        <v>https://vt.tiktok.com/ZSmKjCwBm/</v>
      </c>
      <c r="N81" s="357"/>
      <c r="O81" s="17"/>
      <c r="P81" s="357"/>
      <c r="Q81" s="17"/>
      <c r="R81" s="17"/>
      <c r="S81" s="17"/>
      <c r="T81" s="365"/>
      <c r="U81" s="17"/>
      <c r="V81" s="384"/>
      <c r="W81" s="17"/>
    </row>
    <row r="82">
      <c r="A82" s="255" t="str">
        <f>IFERROR(__xludf.DUMMYFUNCTION("""COMPUTED_VALUE"""),"MICRO")</f>
        <v>MICRO</v>
      </c>
      <c r="B82" s="23" t="str">
        <f>IFERROR(__xludf.DUMMYFUNCTION("""COMPUTED_VALUE"""),"amalnfr")</f>
        <v>amalnfr</v>
      </c>
      <c r="C82" s="281" t="str">
        <f>IFERROR(__xludf.DUMMYFUNCTION("""COMPUTED_VALUE"""),"https://www.tiktok.com/@amalnfr")</f>
        <v>https://www.tiktok.com/@amalnfr</v>
      </c>
      <c r="D82" s="381">
        <f>IFERROR(__xludf.DUMMYFUNCTION("""COMPUTED_VALUE"""),8.123734971E10)</f>
        <v>81237349710</v>
      </c>
      <c r="E82" s="271">
        <f>IFERROR(__xludf.DUMMYFUNCTION("""COMPUTED_VALUE"""),0.0)</f>
        <v>0</v>
      </c>
      <c r="F82" s="270">
        <f>IFERROR(__xludf.DUMMYFUNCTION("""COMPUTED_VALUE"""),2.0)</f>
        <v>2</v>
      </c>
      <c r="G82" s="34" t="str">
        <f>IFERROR(__xludf.DUMMYFUNCTION("""COMPUTED_VALUE"""),"31,6JT")</f>
        <v>31,6JT</v>
      </c>
      <c r="H82" s="375" t="str">
        <f>IFERROR(__xludf.DUMMYFUNCTION("""COMPUTED_VALUE"""),"Lip Vinyl")</f>
        <v>Lip Vinyl</v>
      </c>
      <c r="I82" s="260" t="str">
        <f>IFERROR(__xludf.DUMMYFUNCTION("""COMPUTED_VALUE"""),"Sampai")</f>
        <v>Sampai</v>
      </c>
      <c r="J82" s="357"/>
      <c r="K82" s="279" t="str">
        <f>IFERROR(__xludf.DUMMYFUNCTION("""COMPUTED_VALUE"""),"https://vt.tiktok.com/ZSuBaFxdH/")</f>
        <v>https://vt.tiktok.com/ZSuBaFxdH/</v>
      </c>
      <c r="L82" s="357"/>
      <c r="M82" s="279" t="str">
        <f>IFERROR(__xludf.DUMMYFUNCTION("""COMPUTED_VALUE"""),"https://vt.tiktok.com/ZSuESfkDW/")</f>
        <v>https://vt.tiktok.com/ZSuESfkDW/</v>
      </c>
      <c r="N82" s="357"/>
      <c r="O82" s="17"/>
      <c r="P82" s="357"/>
      <c r="Q82" s="17"/>
      <c r="R82" s="17"/>
      <c r="S82" s="17"/>
      <c r="T82" s="365">
        <f>IFERROR(__xludf.DUMMYFUNCTION("""COMPUTED_VALUE"""),536851.0)</f>
        <v>536851</v>
      </c>
      <c r="U82" s="17"/>
      <c r="V82" s="384"/>
      <c r="W82" s="17"/>
    </row>
    <row r="83">
      <c r="A83" s="255" t="str">
        <f>IFERROR(__xludf.DUMMYFUNCTION("""COMPUTED_VALUE"""),"MICRO")</f>
        <v>MICRO</v>
      </c>
      <c r="B83" s="23" t="str">
        <f>IFERROR(__xludf.DUMMYFUNCTION("""COMPUTED_VALUE"""),"itsmeevaniii")</f>
        <v>itsmeevaniii</v>
      </c>
      <c r="C83" s="281" t="str">
        <f>IFERROR(__xludf.DUMMYFUNCTION("""COMPUTED_VALUE"""),"https://www.tiktok.com/@itsmeevaniii")</f>
        <v>https://www.tiktok.com/@itsmeevaniii</v>
      </c>
      <c r="D83" s="381">
        <f>IFERROR(__xludf.DUMMYFUNCTION("""COMPUTED_VALUE"""),8.5283494606E10)</f>
        <v>85283494606</v>
      </c>
      <c r="E83" s="271">
        <f>IFERROR(__xludf.DUMMYFUNCTION("""COMPUTED_VALUE"""),400000.0)</f>
        <v>400000</v>
      </c>
      <c r="F83" s="270">
        <f>IFERROR(__xludf.DUMMYFUNCTION("""COMPUTED_VALUE"""),2.0)</f>
        <v>2</v>
      </c>
      <c r="G83" s="34" t="str">
        <f>IFERROR(__xludf.DUMMYFUNCTION("""COMPUTED_VALUE"""),"74.43m")</f>
        <v>74.43m</v>
      </c>
      <c r="H83" s="375" t="str">
        <f>IFERROR(__xludf.DUMMYFUNCTION("""COMPUTED_VALUE"""),"Cushion")</f>
        <v>Cushion</v>
      </c>
      <c r="I83" s="260" t="str">
        <f>IFERROR(__xludf.DUMMYFUNCTION("""COMPUTED_VALUE"""),"Sampai")</f>
        <v>Sampai</v>
      </c>
      <c r="J83" s="357"/>
      <c r="K83" s="279" t="str">
        <f>IFERROR(__xludf.DUMMYFUNCTION("""COMPUTED_VALUE"""),"https://vt.tiktok.com/ZSmTNjxfW/")</f>
        <v>https://vt.tiktok.com/ZSmTNjxfW/</v>
      </c>
      <c r="L83" s="357"/>
      <c r="M83" s="279" t="str">
        <f>IFERROR(__xludf.DUMMYFUNCTION("""COMPUTED_VALUE"""),"https://vt.tiktok.com/ZSHMqo68s/ ")</f>
        <v>https://vt.tiktok.com/ZSHMqo68s/ </v>
      </c>
      <c r="N83" s="357"/>
      <c r="O83" s="17"/>
      <c r="P83" s="357"/>
      <c r="Q83" s="17"/>
      <c r="R83" s="17"/>
      <c r="S83" s="17"/>
      <c r="T83" s="365">
        <f>IFERROR(__xludf.DUMMYFUNCTION("""COMPUTED_VALUE"""),1608380.0)</f>
        <v>1608380</v>
      </c>
      <c r="U83" s="17"/>
      <c r="V83" s="384">
        <f>IFERROR(__xludf.DUMMYFUNCTION("""COMPUTED_VALUE"""),2.253129408E7)</f>
        <v>22531294.08</v>
      </c>
      <c r="W83" s="17"/>
    </row>
    <row r="84">
      <c r="A84" s="255" t="str">
        <f>IFERROR(__xludf.DUMMYFUNCTION("""COMPUTED_VALUE"""),"NANO")</f>
        <v>NANO</v>
      </c>
      <c r="B84" s="23" t="str">
        <f>IFERROR(__xludf.DUMMYFUNCTION("""COMPUTED_VALUE"""),"mardi_yanti")</f>
        <v>mardi_yanti</v>
      </c>
      <c r="C84" s="281" t="str">
        <f>IFERROR(__xludf.DUMMYFUNCTION("""COMPUTED_VALUE"""),"https://www.tiktok.com/@mardi_yanti")</f>
        <v>https://www.tiktok.com/@mardi_yanti</v>
      </c>
      <c r="D84" s="381">
        <f>IFERROR(__xludf.DUMMYFUNCTION("""COMPUTED_VALUE"""),8.1375892721E10)</f>
        <v>81375892721</v>
      </c>
      <c r="E84" s="271">
        <f>IFERROR(__xludf.DUMMYFUNCTION("""COMPUTED_VALUE"""),0.0)</f>
        <v>0</v>
      </c>
      <c r="F84" s="270">
        <f>IFERROR(__xludf.DUMMYFUNCTION("""COMPUTED_VALUE"""),2.0)</f>
        <v>2</v>
      </c>
      <c r="G84" s="34" t="str">
        <f>IFERROR(__xludf.DUMMYFUNCTION("""COMPUTED_VALUE"""),"16,64jt")</f>
        <v>16,64jt</v>
      </c>
      <c r="H84" s="375" t="str">
        <f>IFERROR(__xludf.DUMMYFUNCTION("""COMPUTED_VALUE"""),"Cushion &amp; Lip Vinyl")</f>
        <v>Cushion &amp; Lip Vinyl</v>
      </c>
      <c r="I84" s="260" t="str">
        <f>IFERROR(__xludf.DUMMYFUNCTION("""COMPUTED_VALUE"""),"Sampai")</f>
        <v>Sampai</v>
      </c>
      <c r="J84" s="357"/>
      <c r="K84" s="279" t="str">
        <f>IFERROR(__xludf.DUMMYFUNCTION("""COMPUTED_VALUE"""),"https://vt.tiktok.com/ZSHpBwgfw/ ")</f>
        <v>https://vt.tiktok.com/ZSHpBwgfw/ </v>
      </c>
      <c r="L84" s="357"/>
      <c r="M84" s="279" t="str">
        <f>IFERROR(__xludf.DUMMYFUNCTION("""COMPUTED_VALUE"""),"https://vt.tiktok.com/ZS9DTHQoT/")</f>
        <v>https://vt.tiktok.com/ZS9DTHQoT/</v>
      </c>
      <c r="N84" s="357"/>
      <c r="O84" s="17"/>
      <c r="P84" s="357"/>
      <c r="Q84" s="17"/>
      <c r="R84" s="17"/>
      <c r="S84" s="17"/>
      <c r="T84" s="365">
        <f>IFERROR(__xludf.DUMMYFUNCTION("""COMPUTED_VALUE"""),90915.0)</f>
        <v>90915</v>
      </c>
      <c r="U84" s="17"/>
      <c r="V84" s="384"/>
      <c r="W84" s="17"/>
    </row>
    <row r="85">
      <c r="A85" s="255" t="str">
        <f>IFERROR(__xludf.DUMMYFUNCTION("""COMPUTED_VALUE"""),"NANO")</f>
        <v>NANO</v>
      </c>
      <c r="B85" s="23" t="str">
        <f>IFERROR(__xludf.DUMMYFUNCTION("""COMPUTED_VALUE"""),"afi2828")</f>
        <v>afi2828</v>
      </c>
      <c r="C85" s="281" t="str">
        <f>IFERROR(__xludf.DUMMYFUNCTION("""COMPUTED_VALUE"""),"https://www.tiktok.com/@afi2828")</f>
        <v>https://www.tiktok.com/@afi2828</v>
      </c>
      <c r="D85" s="381">
        <f>IFERROR(__xludf.DUMMYFUNCTION("""COMPUTED_VALUE"""),8.1295426451E10)</f>
        <v>81295426451</v>
      </c>
      <c r="E85" s="271">
        <f>IFERROR(__xludf.DUMMYFUNCTION("""COMPUTED_VALUE"""),0.0)</f>
        <v>0</v>
      </c>
      <c r="F85" s="270">
        <f>IFERROR(__xludf.DUMMYFUNCTION("""COMPUTED_VALUE"""),2.0)</f>
        <v>2</v>
      </c>
      <c r="G85" s="34" t="str">
        <f>IFERROR(__xludf.DUMMYFUNCTION("""COMPUTED_VALUE"""),"490,12k")</f>
        <v>490,12k</v>
      </c>
      <c r="H85" s="375" t="str">
        <f>IFERROR(__xludf.DUMMYFUNCTION("""COMPUTED_VALUE"""),"TWC")</f>
        <v>TWC</v>
      </c>
      <c r="I85" s="260" t="str">
        <f>IFERROR(__xludf.DUMMYFUNCTION("""COMPUTED_VALUE"""),"Sampai")</f>
        <v>Sampai</v>
      </c>
      <c r="J85" s="357"/>
      <c r="K85" s="279" t="str">
        <f>IFERROR(__xludf.DUMMYFUNCTION("""COMPUTED_VALUE"""),"https://vt.tiktok.com/ZSm4rfh6d/")</f>
        <v>https://vt.tiktok.com/ZSm4rfh6d/</v>
      </c>
      <c r="L85" s="357"/>
      <c r="M85" s="279" t="str">
        <f>IFERROR(__xludf.DUMMYFUNCTION("""COMPUTED_VALUE"""),"https://vt.tiktok.com/ZSud2mHau/")</f>
        <v>https://vt.tiktok.com/ZSud2mHau/</v>
      </c>
      <c r="N85" s="357"/>
      <c r="O85" s="17"/>
      <c r="P85" s="357"/>
      <c r="Q85" s="17"/>
      <c r="R85" s="17"/>
      <c r="S85" s="17"/>
      <c r="T85" s="365"/>
      <c r="U85" s="17"/>
      <c r="V85" s="384">
        <f>IFERROR(__xludf.DUMMYFUNCTION("""COMPUTED_VALUE"""),2602440.8)</f>
        <v>2602440.8</v>
      </c>
      <c r="W85" s="17"/>
    </row>
    <row r="86">
      <c r="A86" s="255" t="str">
        <f>IFERROR(__xludf.DUMMYFUNCTION("""COMPUTED_VALUE"""),"NANO")</f>
        <v>NANO</v>
      </c>
      <c r="B86" s="23" t="str">
        <f>IFERROR(__xludf.DUMMYFUNCTION("""COMPUTED_VALUE"""),"st_zahara99")</f>
        <v>st_zahara99</v>
      </c>
      <c r="C86" s="281" t="str">
        <f>IFERROR(__xludf.DUMMYFUNCTION("""COMPUTED_VALUE"""),"https://www.tiktok.com/@st_zahara99")</f>
        <v>https://www.tiktok.com/@st_zahara99</v>
      </c>
      <c r="D86" s="381">
        <f>IFERROR(__xludf.DUMMYFUNCTION("""COMPUTED_VALUE"""),8.227379022E10)</f>
        <v>82273790220</v>
      </c>
      <c r="E86" s="271">
        <f>IFERROR(__xludf.DUMMYFUNCTION("""COMPUTED_VALUE"""),0.0)</f>
        <v>0</v>
      </c>
      <c r="F86" s="270">
        <f>IFERROR(__xludf.DUMMYFUNCTION("""COMPUTED_VALUE"""),2.0)</f>
        <v>2</v>
      </c>
      <c r="G86" s="34" t="str">
        <f>IFERROR(__xludf.DUMMYFUNCTION("""COMPUTED_VALUE"""),"44,84jt")</f>
        <v>44,84jt</v>
      </c>
      <c r="H86" s="375"/>
      <c r="I86" s="260" t="str">
        <f>IFERROR(__xludf.DUMMYFUNCTION("""COMPUTED_VALUE"""),"Sampai")</f>
        <v>Sampai</v>
      </c>
      <c r="J86" s="357"/>
      <c r="K86" s="279" t="str">
        <f>IFERROR(__xludf.DUMMYFUNCTION("""COMPUTED_VALUE"""),"https://www.tiktok.com/@st_zahara99/video/7612713776810396949?_r=1&amp;_t=ZS-94RRA9zrzGv")</f>
        <v>https://www.tiktok.com/@st_zahara99/video/7612713776810396949?_r=1&amp;_t=ZS-94RRA9zrzGv</v>
      </c>
      <c r="L86" s="357"/>
      <c r="M86" s="279" t="str">
        <f>IFERROR(__xludf.DUMMYFUNCTION("""COMPUTED_VALUE"""),"https://www.tiktok.com/@st_zahara99/video/7612722888818380052?_r=1&amp;_t=ZS-94RRAuDw4fM")</f>
        <v>https://www.tiktok.com/@st_zahara99/video/7612722888818380052?_r=1&amp;_t=ZS-94RRAuDw4fM</v>
      </c>
      <c r="N86" s="357"/>
      <c r="O86" s="17"/>
      <c r="P86" s="357"/>
      <c r="Q86" s="17"/>
      <c r="R86" s="17"/>
      <c r="S86" s="17"/>
      <c r="T86" s="365"/>
      <c r="U86" s="17"/>
      <c r="V86" s="384"/>
      <c r="W86" s="17"/>
    </row>
    <row r="87">
      <c r="A87" s="255" t="str">
        <f>IFERROR(__xludf.DUMMYFUNCTION("""COMPUTED_VALUE"""),"NANO")</f>
        <v>NANO</v>
      </c>
      <c r="B87" s="23" t="str">
        <f>IFERROR(__xludf.DUMMYFUNCTION("""COMPUTED_VALUE"""),"Nunuhiidd95")</f>
        <v>Nunuhiidd95</v>
      </c>
      <c r="C87" s="281" t="str">
        <f>IFERROR(__xludf.DUMMYFUNCTION("""COMPUTED_VALUE"""),"https://www.tiktok.com/@Nunuhiidd95")</f>
        <v>https://www.tiktok.com/@Nunuhiidd95</v>
      </c>
      <c r="D87" s="381">
        <f>IFERROR(__xludf.DUMMYFUNCTION("""COMPUTED_VALUE"""),8.2293854806E10)</f>
        <v>82293854806</v>
      </c>
      <c r="E87" s="271">
        <f>IFERROR(__xludf.DUMMYFUNCTION("""COMPUTED_VALUE"""),0.0)</f>
        <v>0</v>
      </c>
      <c r="F87" s="270">
        <f>IFERROR(__xludf.DUMMYFUNCTION("""COMPUTED_VALUE"""),2.0)</f>
        <v>2</v>
      </c>
      <c r="G87" s="34" t="str">
        <f>IFERROR(__xludf.DUMMYFUNCTION("""COMPUTED_VALUE"""),"500,98k")</f>
        <v>500,98k</v>
      </c>
      <c r="H87" s="375"/>
      <c r="I87" s="260" t="str">
        <f>IFERROR(__xludf.DUMMYFUNCTION("""COMPUTED_VALUE"""),"Sampai")</f>
        <v>Sampai</v>
      </c>
      <c r="J87" s="357"/>
      <c r="K87" s="279" t="str">
        <f>IFERROR(__xludf.DUMMYFUNCTION("""COMPUTED_VALUE"""),"https://www.tiktok.com/@nunuhiidd95/video/7617102430781689096?_r=1&amp;u_code=de1245kfej94al&amp;region=ID&amp;mid=7572197239009118984&amp;preview_pb=0&amp;sharer_language=id&amp;_d=ej1di3lme6ad54&amp;ec_shared_reflux_dynamic_params=%7B%22placeholder_material_id%22:%2276171024307816"&amp;"89096%22,%22placeholder_origin_cover%22:%22https%253A%252F%252Fp16-common-sign.tiktokcdn.com%252Ftos-alisg-p-0037%252Foc5DI9B7IEBoWtEBWYpE1DlBtIsfc3UfgAIFGR~tplv-tiktokx-origin.jpeg%253Fdr%253D14572%2526refresh_token%253Dc5f492ac%2526x-expires%253D1807077"&amp;"600%2526x-signature%253D4nke0FyUsmA1rYNeSqpkTQGvLF8%25253D%2526t%253D4d5b0474%2526ps%253D13740610%2526shp%253Dd05b14bd%2526shcp%253D34ff8df6%2526idc%253Dmy%2526s%253DPUBLISH%22,%22placeholder_product_id%22:%221732063036417148307%22,%22placeholder_video_id"&amp;"%22")</f>
        <v>https://www.tiktok.com/@nunuhiidd95/video/7617102430781689096?_r=1&amp;u_code=de1245kfej94al&amp;region=ID&amp;mid=7572197239009118984&amp;preview_pb=0&amp;sharer_language=id&amp;_d=ej1di3lme6ad54&amp;ec_shared_reflux_dynamic_params=%7B%22placeholder_material_id%22:%227617102430781689096%22,%22placeholder_origin_cover%22:%22https%253A%252F%252Fp16-common-sign.tiktokcdn.com%252Ftos-alisg-p-0037%252Foc5DI9B7IEBoWtEBWYpE1DlBtIsfc3UfgAIFGR~tplv-tiktokx-origin.jpeg%253Fdr%253D14572%2526refresh_token%253Dc5f492ac%2526x-expires%253D1807077600%2526x-signature%253D4nke0FyUsmA1rYNeSqpkTQGvLF8%25253D%2526t%253D4d5b0474%2526ps%253D13740610%2526shp%253Dd05b14bd%2526shcp%253D34ff8df6%2526idc%253Dmy%2526s%253DPUBLISH%22,%22placeholder_product_id%22:%221732063036417148307%22,%22placeholder_video_id%22</v>
      </c>
      <c r="L87" s="357"/>
      <c r="M87" s="279" t="str">
        <f>IFERROR(__xludf.DUMMYFUNCTION("""COMPUTED_VALUE"""),"https://vt.tiktok.com/ZSxpRa2xd/")</f>
        <v>https://vt.tiktok.com/ZSxpRa2xd/</v>
      </c>
      <c r="N87" s="357"/>
      <c r="O87" s="17"/>
      <c r="P87" s="357"/>
      <c r="Q87" s="17"/>
      <c r="R87" s="17"/>
      <c r="S87" s="17"/>
      <c r="T87" s="365"/>
      <c r="U87" s="17"/>
      <c r="V87" s="384"/>
      <c r="W87" s="17"/>
    </row>
    <row r="88">
      <c r="A88" s="255" t="str">
        <f>IFERROR(__xludf.DUMMYFUNCTION("""COMPUTED_VALUE"""),"NANO")</f>
        <v>NANO</v>
      </c>
      <c r="B88" s="23" t="str">
        <f>IFERROR(__xludf.DUMMYFUNCTION("""COMPUTED_VALUE"""),"andinee__")</f>
        <v>andinee__</v>
      </c>
      <c r="C88" s="281" t="str">
        <f>IFERROR(__xludf.DUMMYFUNCTION("""COMPUTED_VALUE"""),"https://www.tiktok.com/@andinee__")</f>
        <v>https://www.tiktok.com/@andinee__</v>
      </c>
      <c r="D88" s="381">
        <f>IFERROR(__xludf.DUMMYFUNCTION("""COMPUTED_VALUE"""),8.7719140967E10)</f>
        <v>87719140967</v>
      </c>
      <c r="E88" s="271">
        <f>IFERROR(__xludf.DUMMYFUNCTION("""COMPUTED_VALUE"""),0.0)</f>
        <v>0</v>
      </c>
      <c r="F88" s="270">
        <f>IFERROR(__xludf.DUMMYFUNCTION("""COMPUTED_VALUE"""),3.0)</f>
        <v>3</v>
      </c>
      <c r="G88" s="34" t="str">
        <f>IFERROR(__xludf.DUMMYFUNCTION("""COMPUTED_VALUE"""),"1jt")</f>
        <v>1jt</v>
      </c>
      <c r="H88" s="375"/>
      <c r="I88" s="260" t="str">
        <f>IFERROR(__xludf.DUMMYFUNCTION("""COMPUTED_VALUE"""),"Sampai")</f>
        <v>Sampai</v>
      </c>
      <c r="J88" s="357"/>
      <c r="K88" s="279" t="str">
        <f>IFERROR(__xludf.DUMMYFUNCTION("""COMPUTED_VALUE"""),"https://www.tiktok.com/@andinee__/video/7616997900350164245?_r=1&amp;_t=ZS-94fxh43Q0az")</f>
        <v>https://www.tiktok.com/@andinee__/video/7616997900350164245?_r=1&amp;_t=ZS-94fxh43Q0az</v>
      </c>
      <c r="L88" s="357"/>
      <c r="M88" s="279" t="str">
        <f>IFERROR(__xludf.DUMMYFUNCTION("""COMPUTED_VALUE"""),"https://vt.tiktok.com/ZS9X3pkfN/")</f>
        <v>https://vt.tiktok.com/ZS9X3pkfN/</v>
      </c>
      <c r="N88" s="357"/>
      <c r="O88" s="17"/>
      <c r="P88" s="357"/>
      <c r="Q88" s="17"/>
      <c r="R88" s="17"/>
      <c r="S88" s="17"/>
      <c r="T88" s="365">
        <f>IFERROR(__xludf.DUMMYFUNCTION("""COMPUTED_VALUE"""),189054.0)</f>
        <v>189054</v>
      </c>
      <c r="U88" s="17"/>
      <c r="V88" s="384"/>
      <c r="W88" s="17"/>
    </row>
    <row r="89">
      <c r="A89" s="255" t="str">
        <f>IFERROR(__xludf.DUMMYFUNCTION("""COMPUTED_VALUE"""),"NANO")</f>
        <v>NANO</v>
      </c>
      <c r="B89" s="23" t="str">
        <f>IFERROR(__xludf.DUMMYFUNCTION("""COMPUTED_VALUE"""),"xkaalina")</f>
        <v>xkaalina</v>
      </c>
      <c r="C89" s="281" t="str">
        <f>IFERROR(__xludf.DUMMYFUNCTION("""COMPUTED_VALUE"""),"https://www.tiktok.com/@xkaalina")</f>
        <v>https://www.tiktok.com/@xkaalina</v>
      </c>
      <c r="D89" s="381">
        <f>IFERROR(__xludf.DUMMYFUNCTION("""COMPUTED_VALUE"""),8.5157138855E10)</f>
        <v>85157138855</v>
      </c>
      <c r="E89" s="271">
        <f>IFERROR(__xludf.DUMMYFUNCTION("""COMPUTED_VALUE"""),0.0)</f>
        <v>0</v>
      </c>
      <c r="F89" s="270">
        <f>IFERROR(__xludf.DUMMYFUNCTION("""COMPUTED_VALUE"""),3.0)</f>
        <v>3</v>
      </c>
      <c r="G89" s="34" t="str">
        <f>IFERROR(__xludf.DUMMYFUNCTION("""COMPUTED_VALUE"""),"9,02jt")</f>
        <v>9,02jt</v>
      </c>
      <c r="H89" s="375"/>
      <c r="I89" s="260" t="str">
        <f>IFERROR(__xludf.DUMMYFUNCTION("""COMPUTED_VALUE"""),"Sampai")</f>
        <v>Sampai</v>
      </c>
      <c r="J89" s="357"/>
      <c r="K89" s="279" t="str">
        <f>IFERROR(__xludf.DUMMYFUNCTION("""COMPUTED_VALUE"""),"https://www.tiktok.com/@xkaalina/video/7615434225621159188?_r=1&amp;_t=ZS-94ZW5O0K2cq")</f>
        <v>https://www.tiktok.com/@xkaalina/video/7615434225621159188?_r=1&amp;_t=ZS-94ZW5O0K2cq</v>
      </c>
      <c r="L89" s="357"/>
      <c r="M89" s="279" t="str">
        <f>IFERROR(__xludf.DUMMYFUNCTION("""COMPUTED_VALUE"""),"https://www.tiktok.com/@xkaalina/video/7614324141860195605?_r=1&amp;_t=ZS-94ZW84Bdl5N")</f>
        <v>https://www.tiktok.com/@xkaalina/video/7614324141860195605?_r=1&amp;_t=ZS-94ZW84Bdl5N</v>
      </c>
      <c r="N89" s="357"/>
      <c r="O89" s="279" t="str">
        <f>IFERROR(__xludf.DUMMYFUNCTION("""COMPUTED_VALUE"""),"https://www.tiktok.com/@xkaalina/video/7614125073246883092?_r=1&amp;_t=ZS-94ZWDRJ3Ma8")</f>
        <v>https://www.tiktok.com/@xkaalina/video/7614125073246883092?_r=1&amp;_t=ZS-94ZWDRJ3Ma8</v>
      </c>
      <c r="P89" s="357"/>
      <c r="Q89" s="17"/>
      <c r="R89" s="17"/>
      <c r="S89" s="17"/>
      <c r="T89" s="365">
        <f>IFERROR(__xludf.DUMMYFUNCTION("""COMPUTED_VALUE"""),630822.0)</f>
        <v>630822</v>
      </c>
      <c r="U89" s="17"/>
      <c r="V89" s="384">
        <f>IFERROR(__xludf.DUMMYFUNCTION("""COMPUTED_VALUE"""),1.658705584E7)</f>
        <v>16587055.84</v>
      </c>
      <c r="W89" s="17"/>
    </row>
    <row r="90">
      <c r="A90" s="255" t="str">
        <f>IFERROR(__xludf.DUMMYFUNCTION("""COMPUTED_VALUE"""),"NANO")</f>
        <v>NANO</v>
      </c>
      <c r="B90" s="23" t="str">
        <f>IFERROR(__xludf.DUMMYFUNCTION("""COMPUTED_VALUE"""),"sis.915")</f>
        <v>sis.915</v>
      </c>
      <c r="C90" s="281" t="str">
        <f>IFERROR(__xludf.DUMMYFUNCTION("""COMPUTED_VALUE"""),"https://www.tiktok.com/@sis.915")</f>
        <v>https://www.tiktok.com/@sis.915</v>
      </c>
      <c r="D90" s="381">
        <f>IFERROR(__xludf.DUMMYFUNCTION("""COMPUTED_VALUE"""),8.5656151053E10)</f>
        <v>85656151053</v>
      </c>
      <c r="E90" s="271">
        <f>IFERROR(__xludf.DUMMYFUNCTION("""COMPUTED_VALUE"""),0.0)</f>
        <v>0</v>
      </c>
      <c r="F90" s="270">
        <f>IFERROR(__xludf.DUMMYFUNCTION("""COMPUTED_VALUE"""),2.0)</f>
        <v>2</v>
      </c>
      <c r="G90" s="34" t="str">
        <f>IFERROR(__xludf.DUMMYFUNCTION("""COMPUTED_VALUE"""),"23,39jt")</f>
        <v>23,39jt</v>
      </c>
      <c r="H90" s="375" t="str">
        <f>IFERROR(__xludf.DUMMYFUNCTION("""COMPUTED_VALUE"""),"TWC")</f>
        <v>TWC</v>
      </c>
      <c r="I90" s="260" t="str">
        <f>IFERROR(__xludf.DUMMYFUNCTION("""COMPUTED_VALUE"""),"Sampai")</f>
        <v>Sampai</v>
      </c>
      <c r="J90" s="357"/>
      <c r="K90" s="279" t="str">
        <f>IFERROR(__xludf.DUMMYFUNCTION("""COMPUTED_VALUE"""),"https://vt.tiktok.com/ZSurPKEGj/")</f>
        <v>https://vt.tiktok.com/ZSurPKEGj/</v>
      </c>
      <c r="L90" s="357"/>
      <c r="M90" s="279" t="str">
        <f>IFERROR(__xludf.DUMMYFUNCTION("""COMPUTED_VALUE"""),"https://vt.tiktok.com/ZSu9E2La1/")</f>
        <v>https://vt.tiktok.com/ZSu9E2La1/</v>
      </c>
      <c r="N90" s="357"/>
      <c r="O90" s="17"/>
      <c r="P90" s="357"/>
      <c r="Q90" s="17"/>
      <c r="R90" s="17"/>
      <c r="S90" s="17"/>
      <c r="T90" s="365"/>
      <c r="U90" s="17"/>
      <c r="V90" s="384"/>
      <c r="W90" s="17"/>
    </row>
    <row r="91">
      <c r="A91" s="255" t="str">
        <f>IFERROR(__xludf.DUMMYFUNCTION("""COMPUTED_VALUE"""),"MICRO")</f>
        <v>MICRO</v>
      </c>
      <c r="B91" s="23" t="str">
        <f>IFERROR(__xludf.DUMMYFUNCTION("""COMPUTED_VALUE"""),"fitrianahisnainy")</f>
        <v>fitrianahisnainy</v>
      </c>
      <c r="C91" s="281" t="str">
        <f>IFERROR(__xludf.DUMMYFUNCTION("""COMPUTED_VALUE"""),"https://www.tiktok.com/@fitrianahisnainy")</f>
        <v>https://www.tiktok.com/@fitrianahisnainy</v>
      </c>
      <c r="D91" s="381">
        <f>IFERROR(__xludf.DUMMYFUNCTION("""COMPUTED_VALUE"""),8.5210191147E10)</f>
        <v>85210191147</v>
      </c>
      <c r="E91" s="271">
        <f>IFERROR(__xludf.DUMMYFUNCTION("""COMPUTED_VALUE"""),150000.0)</f>
        <v>150000</v>
      </c>
      <c r="F91" s="270">
        <f>IFERROR(__xludf.DUMMYFUNCTION("""COMPUTED_VALUE"""),1.0)</f>
        <v>1</v>
      </c>
      <c r="G91" s="34" t="str">
        <f>IFERROR(__xludf.DUMMYFUNCTION("""COMPUTED_VALUE"""),"143,48jt")</f>
        <v>143,48jt</v>
      </c>
      <c r="H91" s="375"/>
      <c r="I91" s="260" t="str">
        <f>IFERROR(__xludf.DUMMYFUNCTION("""COMPUTED_VALUE"""),"Sampai")</f>
        <v>Sampai</v>
      </c>
      <c r="J91" s="357"/>
      <c r="K91" s="279" t="str">
        <f>IFERROR(__xludf.DUMMYFUNCTION("""COMPUTED_VALUE"""),"https://www.tiktok.com/@fitrianahisnainy/video/7616369965498780949?_r=1&amp;_t=ZS-94d3fPQ30ar")</f>
        <v>https://www.tiktok.com/@fitrianahisnainy/video/7616369965498780949?_r=1&amp;_t=ZS-94d3fPQ30ar</v>
      </c>
      <c r="L91" s="357"/>
      <c r="M91" s="17"/>
      <c r="N91" s="357"/>
      <c r="O91" s="17"/>
      <c r="P91" s="357"/>
      <c r="Q91" s="17"/>
      <c r="R91" s="17"/>
      <c r="S91" s="17"/>
      <c r="T91" s="365"/>
      <c r="U91" s="17"/>
      <c r="V91" s="384"/>
      <c r="W91" s="17"/>
    </row>
    <row r="92">
      <c r="A92" s="255" t="str">
        <f>IFERROR(__xludf.DUMMYFUNCTION("""COMPUTED_VALUE"""),"MICRO")</f>
        <v>MICRO</v>
      </c>
      <c r="B92" s="23" t="str">
        <f>IFERROR(__xludf.DUMMYFUNCTION("""COMPUTED_VALUE"""),"upaahsn")</f>
        <v>upaahsn</v>
      </c>
      <c r="C92" s="281" t="str">
        <f>IFERROR(__xludf.DUMMYFUNCTION("""COMPUTED_VALUE"""),"https://www.tiktok.com/@upaahsn")</f>
        <v>https://www.tiktok.com/@upaahsn</v>
      </c>
      <c r="D92" s="381">
        <f>IFERROR(__xludf.DUMMYFUNCTION("""COMPUTED_VALUE"""),8.2279790694E10)</f>
        <v>82279790694</v>
      </c>
      <c r="E92" s="271">
        <f>IFERROR(__xludf.DUMMYFUNCTION("""COMPUTED_VALUE"""),0.0)</f>
        <v>0</v>
      </c>
      <c r="F92" s="270">
        <f>IFERROR(__xludf.DUMMYFUNCTION("""COMPUTED_VALUE"""),2.0)</f>
        <v>2</v>
      </c>
      <c r="G92" s="34" t="str">
        <f>IFERROR(__xludf.DUMMYFUNCTION("""COMPUTED_VALUE"""),"1jt")</f>
        <v>1jt</v>
      </c>
      <c r="H92" s="375" t="str">
        <f>IFERROR(__xludf.DUMMYFUNCTION("""COMPUTED_VALUE"""),"TWC &amp; Lip Vinyl")</f>
        <v>TWC &amp; Lip Vinyl</v>
      </c>
      <c r="I92" s="260" t="str">
        <f>IFERROR(__xludf.DUMMYFUNCTION("""COMPUTED_VALUE"""),"Sampai")</f>
        <v>Sampai</v>
      </c>
      <c r="J92" s="357"/>
      <c r="K92" s="279" t="str">
        <f>IFERROR(__xludf.DUMMYFUNCTION("""COMPUTED_VALUE"""),"https://vt.tiktok.com/ZSHrtexeY/ ")</f>
        <v>https://vt.tiktok.com/ZSHrtexeY/ </v>
      </c>
      <c r="L92" s="357"/>
      <c r="M92" s="279" t="str">
        <f>IFERROR(__xludf.DUMMYFUNCTION("""COMPUTED_VALUE"""),"https://vt.tiktok.com/ZSHpogMPq/ ")</f>
        <v>https://vt.tiktok.com/ZSHpogMPq/ </v>
      </c>
      <c r="N92" s="357"/>
      <c r="O92" s="17"/>
      <c r="P92" s="357"/>
      <c r="Q92" s="17"/>
      <c r="R92" s="17"/>
      <c r="S92" s="17"/>
      <c r="T92" s="365">
        <f>IFERROR(__xludf.DUMMYFUNCTION("""COMPUTED_VALUE"""),27388.0)</f>
        <v>27388</v>
      </c>
      <c r="U92" s="17"/>
      <c r="V92" s="384"/>
      <c r="W92" s="17"/>
    </row>
    <row r="93">
      <c r="A93" s="255" t="str">
        <f>IFERROR(__xludf.DUMMYFUNCTION("""COMPUTED_VALUE"""),"NANO")</f>
        <v>NANO</v>
      </c>
      <c r="B93" s="23" t="str">
        <f>IFERROR(__xludf.DUMMYFUNCTION("""COMPUTED_VALUE"""),"mrsrepiew")</f>
        <v>mrsrepiew</v>
      </c>
      <c r="C93" s="281" t="str">
        <f>IFERROR(__xludf.DUMMYFUNCTION("""COMPUTED_VALUE"""),"https://www.tiktok.com/@mrsrepiew")</f>
        <v>https://www.tiktok.com/@mrsrepiew</v>
      </c>
      <c r="D93" s="381">
        <f>IFERROR(__xludf.DUMMYFUNCTION("""COMPUTED_VALUE"""),8.5336219873E10)</f>
        <v>85336219873</v>
      </c>
      <c r="E93" s="271">
        <f>IFERROR(__xludf.DUMMYFUNCTION("""COMPUTED_VALUE"""),250000.0)</f>
        <v>250000</v>
      </c>
      <c r="F93" s="270">
        <f>IFERROR(__xludf.DUMMYFUNCTION("""COMPUTED_VALUE"""),2.0)</f>
        <v>2</v>
      </c>
      <c r="G93" s="34" t="str">
        <f>IFERROR(__xludf.DUMMYFUNCTION("""COMPUTED_VALUE"""),"39,72jt")</f>
        <v>39,72jt</v>
      </c>
      <c r="H93" s="375" t="str">
        <f>IFERROR(__xludf.DUMMYFUNCTION("""COMPUTED_VALUE"""),"Cushion")</f>
        <v>Cushion</v>
      </c>
      <c r="I93" s="260" t="str">
        <f>IFERROR(__xludf.DUMMYFUNCTION("""COMPUTED_VALUE"""),"Sampai")</f>
        <v>Sampai</v>
      </c>
      <c r="J93" s="357"/>
      <c r="K93" s="279" t="str">
        <f>IFERROR(__xludf.DUMMYFUNCTION("""COMPUTED_VALUE"""),"https://vt.tiktok.com/ZSuQyLfSK/")</f>
        <v>https://vt.tiktok.com/ZSuQyLfSK/</v>
      </c>
      <c r="L93" s="357"/>
      <c r="M93" s="17"/>
      <c r="N93" s="357"/>
      <c r="O93" s="17"/>
      <c r="P93" s="357"/>
      <c r="Q93" s="17"/>
      <c r="R93" s="17"/>
      <c r="S93" s="17"/>
      <c r="T93" s="365"/>
      <c r="U93" s="17"/>
      <c r="V93" s="384"/>
      <c r="W93" s="17"/>
    </row>
    <row r="94">
      <c r="A94" s="255" t="str">
        <f>IFERROR(__xludf.DUMMYFUNCTION("""COMPUTED_VALUE"""),"MICRO")</f>
        <v>MICRO</v>
      </c>
      <c r="B94" s="23" t="str">
        <f>IFERROR(__xludf.DUMMYFUNCTION("""COMPUTED_VALUE"""),"liayulianti1278")</f>
        <v>liayulianti1278</v>
      </c>
      <c r="C94" s="281" t="str">
        <f>IFERROR(__xludf.DUMMYFUNCTION("""COMPUTED_VALUE"""),"https://www.tiktok.com/@liayulianti1278")</f>
        <v>https://www.tiktok.com/@liayulianti1278</v>
      </c>
      <c r="D94" s="381">
        <f>IFERROR(__xludf.DUMMYFUNCTION("""COMPUTED_VALUE"""),8.1220183515E10)</f>
        <v>81220183515</v>
      </c>
      <c r="E94" s="271">
        <f>IFERROR(__xludf.DUMMYFUNCTION("""COMPUTED_VALUE"""),0.0)</f>
        <v>0</v>
      </c>
      <c r="F94" s="270">
        <f>IFERROR(__xludf.DUMMYFUNCTION("""COMPUTED_VALUE"""),3.0)</f>
        <v>3</v>
      </c>
      <c r="G94" s="34" t="str">
        <f>IFERROR(__xludf.DUMMYFUNCTION("""COMPUTED_VALUE"""),"20,10jt")</f>
        <v>20,10jt</v>
      </c>
      <c r="H94" s="375" t="str">
        <f>IFERROR(__xludf.DUMMYFUNCTION("""COMPUTED_VALUE"""),"Cushion &amp; TWC")</f>
        <v>Cushion &amp; TWC</v>
      </c>
      <c r="I94" s="260" t="str">
        <f>IFERROR(__xludf.DUMMYFUNCTION("""COMPUTED_VALUE"""),"Sampai")</f>
        <v>Sampai</v>
      </c>
      <c r="J94" s="357"/>
      <c r="K94" s="279" t="str">
        <f>IFERROR(__xludf.DUMMYFUNCTION("""COMPUTED_VALUE"""),"https://vt.tiktok.com/ZSuj5cmXq/")</f>
        <v>https://vt.tiktok.com/ZSuj5cmXq/</v>
      </c>
      <c r="L94" s="357"/>
      <c r="M94" s="279" t="str">
        <f>IFERROR(__xludf.DUMMYFUNCTION("""COMPUTED_VALUE"""),"https://vt.tiktok.com/ZSuj5Kfa3/")</f>
        <v>https://vt.tiktok.com/ZSuj5Kfa3/</v>
      </c>
      <c r="N94" s="357"/>
      <c r="O94" s="17"/>
      <c r="P94" s="357"/>
      <c r="Q94" s="17"/>
      <c r="R94" s="17"/>
      <c r="S94" s="17"/>
      <c r="T94" s="365">
        <f>IFERROR(__xludf.DUMMYFUNCTION("""COMPUTED_VALUE"""),30070.0)</f>
        <v>30070</v>
      </c>
      <c r="U94" s="17"/>
      <c r="V94" s="384">
        <f>IFERROR(__xludf.DUMMYFUNCTION("""COMPUTED_VALUE"""),2415152.88)</f>
        <v>2415152.88</v>
      </c>
      <c r="W94" s="17"/>
    </row>
    <row r="95">
      <c r="A95" s="255" t="str">
        <f>IFERROR(__xludf.DUMMYFUNCTION("""COMPUTED_VALUE"""),"NANO")</f>
        <v>NANO</v>
      </c>
      <c r="B95" s="23" t="str">
        <f>IFERROR(__xludf.DUMMYFUNCTION("""COMPUTED_VALUE"""),"randomtrn")</f>
        <v>randomtrn</v>
      </c>
      <c r="C95" s="281" t="str">
        <f>IFERROR(__xludf.DUMMYFUNCTION("""COMPUTED_VALUE"""),"https://www.tiktok.com/@randomtrn")</f>
        <v>https://www.tiktok.com/@randomtrn</v>
      </c>
      <c r="D95" s="381">
        <f>IFERROR(__xludf.DUMMYFUNCTION("""COMPUTED_VALUE"""),8.572229105E10)</f>
        <v>85722291050</v>
      </c>
      <c r="E95" s="271">
        <f>IFERROR(__xludf.DUMMYFUNCTION("""COMPUTED_VALUE"""),0.0)</f>
        <v>0</v>
      </c>
      <c r="F95" s="270">
        <f>IFERROR(__xludf.DUMMYFUNCTION("""COMPUTED_VALUE"""),2.0)</f>
        <v>2</v>
      </c>
      <c r="G95" s="34" t="str">
        <f>IFERROR(__xludf.DUMMYFUNCTION("""COMPUTED_VALUE"""),"9.28jt")</f>
        <v>9.28jt</v>
      </c>
      <c r="H95" s="375"/>
      <c r="I95" s="260" t="str">
        <f>IFERROR(__xludf.DUMMYFUNCTION("""COMPUTED_VALUE"""),"Sampai")</f>
        <v>Sampai</v>
      </c>
      <c r="J95" s="357"/>
      <c r="K95" s="279" t="str">
        <f>IFERROR(__xludf.DUMMYFUNCTION("""COMPUTED_VALUE"""),"https://www.tiktok.com/@randomtrn/video/7609234715895270676?_r=1&amp;_t=ZS-94BFCzQnSdw")</f>
        <v>https://www.tiktok.com/@randomtrn/video/7609234715895270676?_r=1&amp;_t=ZS-94BFCzQnSdw</v>
      </c>
      <c r="L95" s="357"/>
      <c r="M95" s="279" t="str">
        <f>IFERROR(__xludf.DUMMYFUNCTION("""COMPUTED_VALUE"""),"https://www.tiktok.com/@randomtrn/video/7610042684878769428?_r=1&amp;_t=ZS-94BFG98eF53")</f>
        <v>https://www.tiktok.com/@randomtrn/video/7610042684878769428?_r=1&amp;_t=ZS-94BFG98eF53</v>
      </c>
      <c r="N95" s="357"/>
      <c r="O95" s="17"/>
      <c r="P95" s="357"/>
      <c r="Q95" s="17"/>
      <c r="R95" s="17"/>
      <c r="S95" s="17"/>
      <c r="T95" s="365"/>
      <c r="U95" s="17"/>
      <c r="V95" s="384"/>
      <c r="W95" s="17"/>
    </row>
    <row r="96">
      <c r="A96" s="255" t="str">
        <f>IFERROR(__xludf.DUMMYFUNCTION("""COMPUTED_VALUE"""),"NANO")</f>
        <v>NANO</v>
      </c>
      <c r="B96" s="23" t="str">
        <f>IFERROR(__xludf.DUMMYFUNCTION("""COMPUTED_VALUE"""),"by.titaaa")</f>
        <v>by.titaaa</v>
      </c>
      <c r="C96" s="281" t="str">
        <f>IFERROR(__xludf.DUMMYFUNCTION("""COMPUTED_VALUE"""),"https://www.tiktok.com/@by.titaaa")</f>
        <v>https://www.tiktok.com/@by.titaaa</v>
      </c>
      <c r="D96" s="381">
        <f>IFERROR(__xludf.DUMMYFUNCTION("""COMPUTED_VALUE"""),8.8805292736E10)</f>
        <v>88805292736</v>
      </c>
      <c r="E96" s="271">
        <f>IFERROR(__xludf.DUMMYFUNCTION("""COMPUTED_VALUE"""),0.0)</f>
        <v>0</v>
      </c>
      <c r="F96" s="270">
        <f>IFERROR(__xludf.DUMMYFUNCTION("""COMPUTED_VALUE"""),3.0)</f>
        <v>3</v>
      </c>
      <c r="G96" s="34" t="str">
        <f>IFERROR(__xludf.DUMMYFUNCTION("""COMPUTED_VALUE"""),"5,31jt")</f>
        <v>5,31jt</v>
      </c>
      <c r="H96" s="375"/>
      <c r="I96" s="260" t="str">
        <f>IFERROR(__xludf.DUMMYFUNCTION("""COMPUTED_VALUE"""),"Sampai")</f>
        <v>Sampai</v>
      </c>
      <c r="J96" s="357"/>
      <c r="K96" s="279" t="str">
        <f>IFERROR(__xludf.DUMMYFUNCTION("""COMPUTED_VALUE"""),"https://www.tiktok.com/@by.titaaa/video/7610309538431929607?_r=1&amp;_t=ZS-94GjOECtkV6")</f>
        <v>https://www.tiktok.com/@by.titaaa/video/7610309538431929607?_r=1&amp;_t=ZS-94GjOECtkV6</v>
      </c>
      <c r="L96" s="357"/>
      <c r="M96" s="279" t="str">
        <f>IFERROR(__xludf.DUMMYFUNCTION("""COMPUTED_VALUE"""),"https://www.tiktok.com/@by.titaaa/video/7610465735927696648?_r=1&amp;_t=ZS-94GjQ0B1hBA")</f>
        <v>https://www.tiktok.com/@by.titaaa/video/7610465735927696648?_r=1&amp;_t=ZS-94GjQ0B1hBA</v>
      </c>
      <c r="N96" s="357"/>
      <c r="O96" s="279" t="str">
        <f>IFERROR(__xludf.DUMMYFUNCTION("""COMPUTED_VALUE"""),"https://www.tiktok.com/@by.titaaa/video/7611792286451600658?_r=1&amp;_t=ZS-94ahriEmrAd")</f>
        <v>https://www.tiktok.com/@by.titaaa/video/7611792286451600658?_r=1&amp;_t=ZS-94ahriEmrAd</v>
      </c>
      <c r="P96" s="357"/>
      <c r="Q96" s="17"/>
      <c r="R96" s="17"/>
      <c r="S96" s="17"/>
      <c r="T96" s="365">
        <f>IFERROR(__xludf.DUMMYFUNCTION("""COMPUTED_VALUE"""),36575.0)</f>
        <v>36575</v>
      </c>
      <c r="U96" s="17"/>
      <c r="V96" s="384"/>
      <c r="W96" s="17"/>
    </row>
    <row r="97">
      <c r="A97" s="255" t="str">
        <f>IFERROR(__xludf.DUMMYFUNCTION("""COMPUTED_VALUE"""),"MICRO")</f>
        <v>MICRO</v>
      </c>
      <c r="B97" s="23" t="str">
        <f>IFERROR(__xludf.DUMMYFUNCTION("""COMPUTED_VALUE"""),"angelmatondang14")</f>
        <v>angelmatondang14</v>
      </c>
      <c r="C97" s="281" t="str">
        <f>IFERROR(__xludf.DUMMYFUNCTION("""COMPUTED_VALUE"""),"https://www.tiktok.com/@angelmatondang14")</f>
        <v>https://www.tiktok.com/@angelmatondang14</v>
      </c>
      <c r="D97" s="381">
        <f>IFERROR(__xludf.DUMMYFUNCTION("""COMPUTED_VALUE"""),8.77510358E10)</f>
        <v>87751035800</v>
      </c>
      <c r="E97" s="271">
        <f>IFERROR(__xludf.DUMMYFUNCTION("""COMPUTED_VALUE"""),0.0)</f>
        <v>0</v>
      </c>
      <c r="F97" s="270">
        <f>IFERROR(__xludf.DUMMYFUNCTION("""COMPUTED_VALUE"""),2.0)</f>
        <v>2</v>
      </c>
      <c r="G97" s="34" t="str">
        <f>IFERROR(__xludf.DUMMYFUNCTION("""COMPUTED_VALUE"""),"12,78jt")</f>
        <v>12,78jt</v>
      </c>
      <c r="H97" s="375" t="str">
        <f>IFERROR(__xludf.DUMMYFUNCTION("""COMPUTED_VALUE"""),"Cushion &amp; Lip Cream")</f>
        <v>Cushion &amp; Lip Cream</v>
      </c>
      <c r="I97" s="260" t="str">
        <f>IFERROR(__xludf.DUMMYFUNCTION("""COMPUTED_VALUE"""),"Sampai")</f>
        <v>Sampai</v>
      </c>
      <c r="J97" s="357"/>
      <c r="K97" s="279" t="str">
        <f>IFERROR(__xludf.DUMMYFUNCTION("""COMPUTED_VALUE"""),"https://vt.tiktok.com/ZSukV8bDh/")</f>
        <v>https://vt.tiktok.com/ZSukV8bDh/</v>
      </c>
      <c r="L97" s="357"/>
      <c r="M97" s="279" t="str">
        <f>IFERROR(__xludf.DUMMYFUNCTION("""COMPUTED_VALUE"""),"https://vt.tiktok.com/ZSuH37sTJ/")</f>
        <v>https://vt.tiktok.com/ZSuH37sTJ/</v>
      </c>
      <c r="N97" s="357"/>
      <c r="O97" s="17"/>
      <c r="P97" s="357"/>
      <c r="Q97" s="17"/>
      <c r="R97" s="17"/>
      <c r="S97" s="17"/>
      <c r="T97" s="365"/>
      <c r="U97" s="17"/>
      <c r="V97" s="384"/>
      <c r="W97" s="17"/>
    </row>
    <row r="98">
      <c r="A98" s="255" t="str">
        <f>IFERROR(__xludf.DUMMYFUNCTION("""COMPUTED_VALUE"""),"NANO")</f>
        <v>NANO</v>
      </c>
      <c r="B98" s="23" t="str">
        <f>IFERROR(__xludf.DUMMYFUNCTION("""COMPUTED_VALUE"""),"wafimsyarfh_")</f>
        <v>wafimsyarfh_</v>
      </c>
      <c r="C98" s="281" t="str">
        <f>IFERROR(__xludf.DUMMYFUNCTION("""COMPUTED_VALUE"""),"https://www.tiktok.com/@wafimsyarfh_")</f>
        <v>https://www.tiktok.com/@wafimsyarfh_</v>
      </c>
      <c r="D98" s="381">
        <f>IFERROR(__xludf.DUMMYFUNCTION("""COMPUTED_VALUE"""),8.8218094348E10)</f>
        <v>88218094348</v>
      </c>
      <c r="E98" s="271">
        <f>IFERROR(__xludf.DUMMYFUNCTION("""COMPUTED_VALUE"""),0.0)</f>
        <v>0</v>
      </c>
      <c r="F98" s="270">
        <f>IFERROR(__xludf.DUMMYFUNCTION("""COMPUTED_VALUE"""),2.0)</f>
        <v>2</v>
      </c>
      <c r="G98" s="34" t="str">
        <f>IFERROR(__xludf.DUMMYFUNCTION("""COMPUTED_VALUE"""),"Rp30,6JT")</f>
        <v>Rp30,6JT</v>
      </c>
      <c r="H98" s="375"/>
      <c r="I98" s="260" t="str">
        <f>IFERROR(__xludf.DUMMYFUNCTION("""COMPUTED_VALUE"""),"Kendala [FU!]")</f>
        <v>Kendala [FU!]</v>
      </c>
      <c r="J98" s="357"/>
      <c r="K98" s="17"/>
      <c r="L98" s="357"/>
      <c r="M98" s="17"/>
      <c r="N98" s="357"/>
      <c r="O98" s="17"/>
      <c r="P98" s="357"/>
      <c r="Q98" s="17"/>
      <c r="R98" s="17"/>
      <c r="S98" s="17"/>
      <c r="T98" s="365"/>
      <c r="U98" s="17"/>
      <c r="V98" s="384"/>
      <c r="W98" s="17"/>
    </row>
    <row r="99">
      <c r="A99" s="255" t="str">
        <f>IFERROR(__xludf.DUMMYFUNCTION("""COMPUTED_VALUE"""),"NANO")</f>
        <v>NANO</v>
      </c>
      <c r="B99" s="23" t="str">
        <f>IFERROR(__xludf.DUMMYFUNCTION("""COMPUTED_VALUE"""),"pinkiesgurl")</f>
        <v>pinkiesgurl</v>
      </c>
      <c r="C99" s="281" t="str">
        <f>IFERROR(__xludf.DUMMYFUNCTION("""COMPUTED_VALUE"""),"https://www.tiktok.com/@pinkiesgurl")</f>
        <v>https://www.tiktok.com/@pinkiesgurl</v>
      </c>
      <c r="D99" s="381"/>
      <c r="E99" s="271">
        <f>IFERROR(__xludf.DUMMYFUNCTION("""COMPUTED_VALUE"""),0.0)</f>
        <v>0</v>
      </c>
      <c r="F99" s="270">
        <f>IFERROR(__xludf.DUMMYFUNCTION("""COMPUTED_VALUE"""),3.0)</f>
        <v>3</v>
      </c>
      <c r="G99" s="34" t="str">
        <f>IFERROR(__xludf.DUMMYFUNCTION("""COMPUTED_VALUE"""),"Rp140,3rb")</f>
        <v>Rp140,3rb</v>
      </c>
      <c r="H99" s="375" t="str">
        <f>IFERROR(__xludf.DUMMYFUNCTION("""COMPUTED_VALUE"""),"Cushion")</f>
        <v>Cushion</v>
      </c>
      <c r="I99" s="260" t="str">
        <f>IFERROR(__xludf.DUMMYFUNCTION("""COMPUTED_VALUE"""),"Sampai")</f>
        <v>Sampai</v>
      </c>
      <c r="J99" s="357"/>
      <c r="K99" s="279" t="str">
        <f>IFERROR(__xludf.DUMMYFUNCTION("""COMPUTED_VALUE"""),"https://vt.tiktok.com/ZSuyGYAfq/")</f>
        <v>https://vt.tiktok.com/ZSuyGYAfq/</v>
      </c>
      <c r="L99" s="357"/>
      <c r="M99" s="279" t="str">
        <f>IFERROR(__xludf.DUMMYFUNCTION("""COMPUTED_VALUE"""),"https://vt.tiktok.com/ZSuExw17j/ ")</f>
        <v>https://vt.tiktok.com/ZSuExw17j/ </v>
      </c>
      <c r="N99" s="357"/>
      <c r="O99" s="17"/>
      <c r="P99" s="357"/>
      <c r="Q99" s="17"/>
      <c r="R99" s="17"/>
      <c r="S99" s="17"/>
      <c r="T99" s="365"/>
      <c r="U99" s="17"/>
      <c r="V99" s="384"/>
      <c r="W99" s="17"/>
    </row>
    <row r="100">
      <c r="A100" s="255" t="str">
        <f>IFERROR(__xludf.DUMMYFUNCTION("""COMPUTED_VALUE"""),"NANO")</f>
        <v>NANO</v>
      </c>
      <c r="B100" s="23" t="str">
        <f>IFERROR(__xludf.DUMMYFUNCTION("""COMPUTED_VALUE"""),"Mbakadeklaris17")</f>
        <v>Mbakadeklaris17</v>
      </c>
      <c r="C100" s="281" t="str">
        <f>IFERROR(__xludf.DUMMYFUNCTION("""COMPUTED_VALUE"""),"https://www.tiktok.com/@Mbakadeklaris17")</f>
        <v>https://www.tiktok.com/@Mbakadeklaris17</v>
      </c>
      <c r="D100" s="381">
        <f>IFERROR(__xludf.DUMMYFUNCTION("""COMPUTED_VALUE"""),8.1219774777E10)</f>
        <v>81219774777</v>
      </c>
      <c r="E100" s="271">
        <f>IFERROR(__xludf.DUMMYFUNCTION("""COMPUTED_VALUE"""),0.0)</f>
        <v>0</v>
      </c>
      <c r="F100" s="270">
        <f>IFERROR(__xludf.DUMMYFUNCTION("""COMPUTED_VALUE"""),2.0)</f>
        <v>2</v>
      </c>
      <c r="G100" s="34" t="str">
        <f>IFERROR(__xludf.DUMMYFUNCTION("""COMPUTED_VALUE"""),"17.93jt")</f>
        <v>17.93jt</v>
      </c>
      <c r="H100" s="375"/>
      <c r="I100" s="260" t="str">
        <f>IFERROR(__xludf.DUMMYFUNCTION("""COMPUTED_VALUE"""),"Sampai")</f>
        <v>Sampai</v>
      </c>
      <c r="J100" s="357"/>
      <c r="K100" s="279" t="str">
        <f>IFERROR(__xludf.DUMMYFUNCTION("""COMPUTED_VALUE"""),"https://www.tiktok.com/@mbakadeklaris17/video/7625907502034685204?_r=1&amp;_t=ZS-95KjtSsksVB")</f>
        <v>https://www.tiktok.com/@mbakadeklaris17/video/7625907502034685204?_r=1&amp;_t=ZS-95KjtSsksVB</v>
      </c>
      <c r="L100" s="357"/>
      <c r="M100" s="279" t="str">
        <f>IFERROR(__xludf.DUMMYFUNCTION("""COMPUTED_VALUE"""),"https://vt.tiktok.com/ZSHW8N4bL/")</f>
        <v>https://vt.tiktok.com/ZSHW8N4bL/</v>
      </c>
      <c r="N100" s="357"/>
      <c r="O100" s="17"/>
      <c r="P100" s="357"/>
      <c r="Q100" s="17"/>
      <c r="R100" s="17"/>
      <c r="S100" s="17"/>
      <c r="T100" s="365">
        <f>IFERROR(__xludf.DUMMYFUNCTION("""COMPUTED_VALUE"""),66025.0)</f>
        <v>66025</v>
      </c>
      <c r="U100" s="17"/>
      <c r="V100" s="384"/>
      <c r="W100" s="17"/>
    </row>
    <row r="101">
      <c r="A101" s="255" t="str">
        <f>IFERROR(__xludf.DUMMYFUNCTION("""COMPUTED_VALUE"""),"NANO")</f>
        <v>NANO</v>
      </c>
      <c r="B101" s="23" t="str">
        <f>IFERROR(__xludf.DUMMYFUNCTION("""COMPUTED_VALUE"""),"rahasiacantique")</f>
        <v>rahasiacantique</v>
      </c>
      <c r="C101" s="281" t="str">
        <f>IFERROR(__xludf.DUMMYFUNCTION("""COMPUTED_VALUE"""),"https://www.tiktok.com/@rahasiacantique")</f>
        <v>https://www.tiktok.com/@rahasiacantique</v>
      </c>
      <c r="D101" s="381">
        <f>IFERROR(__xludf.DUMMYFUNCTION("""COMPUTED_VALUE"""),8.9509196581E10)</f>
        <v>89509196581</v>
      </c>
      <c r="E101" s="271">
        <f>IFERROR(__xludf.DUMMYFUNCTION("""COMPUTED_VALUE"""),0.0)</f>
        <v>0</v>
      </c>
      <c r="F101" s="270">
        <f>IFERROR(__xludf.DUMMYFUNCTION("""COMPUTED_VALUE"""),3.0)</f>
        <v>3</v>
      </c>
      <c r="G101" s="34" t="str">
        <f>IFERROR(__xludf.DUMMYFUNCTION("""COMPUTED_VALUE"""),"98,63jt")</f>
        <v>98,63jt</v>
      </c>
      <c r="H101" s="375"/>
      <c r="I101" s="260" t="str">
        <f>IFERROR(__xludf.DUMMYFUNCTION("""COMPUTED_VALUE"""),"Sampai")</f>
        <v>Sampai</v>
      </c>
      <c r="J101" s="357"/>
      <c r="K101" s="279" t="str">
        <f>IFERROR(__xludf.DUMMYFUNCTION("""COMPUTED_VALUE"""),"https://www.tiktok.com/@rahasiacantique/video/7615882048321916180?_r=1&amp;_t=ZS-95Kj3VXy3Qj")</f>
        <v>https://www.tiktok.com/@rahasiacantique/video/7615882048321916180?_r=1&amp;_t=ZS-95Kj3VXy3Qj</v>
      </c>
      <c r="L101" s="357"/>
      <c r="M101" s="279" t="str">
        <f>IFERROR(__xludf.DUMMYFUNCTION("""COMPUTED_VALUE"""),"https://vt.tiktok.com/ZS9RnPHVS/")</f>
        <v>https://vt.tiktok.com/ZS9RnPHVS/</v>
      </c>
      <c r="N101" s="357"/>
      <c r="O101" s="279" t="str">
        <f>IFERROR(__xludf.DUMMYFUNCTION("""COMPUTED_VALUE"""),"https://vt.tiktok.com/ZS9WttavR/")</f>
        <v>https://vt.tiktok.com/ZS9WttavR/</v>
      </c>
      <c r="P101" s="357"/>
      <c r="Q101" s="17"/>
      <c r="R101" s="17"/>
      <c r="S101" s="17"/>
      <c r="T101" s="365"/>
      <c r="U101" s="17"/>
      <c r="V101" s="384"/>
      <c r="W101" s="17"/>
    </row>
    <row r="102">
      <c r="A102" s="255" t="str">
        <f>IFERROR(__xludf.DUMMYFUNCTION("""COMPUTED_VALUE"""),"NANO")</f>
        <v>NANO</v>
      </c>
      <c r="B102" s="23" t="str">
        <f>IFERROR(__xludf.DUMMYFUNCTION("""COMPUTED_VALUE"""),"dratcyunnn")</f>
        <v>dratcyunnn</v>
      </c>
      <c r="C102" s="281" t="str">
        <f>IFERROR(__xludf.DUMMYFUNCTION("""COMPUTED_VALUE"""),"https://www.tiktok.com/@dratcyunnn")</f>
        <v>https://www.tiktok.com/@dratcyunnn</v>
      </c>
      <c r="D102" s="381">
        <f>IFERROR(__xludf.DUMMYFUNCTION("""COMPUTED_VALUE"""),8.7885579108E10)</f>
        <v>87885579108</v>
      </c>
      <c r="E102" s="271">
        <f>IFERROR(__xludf.DUMMYFUNCTION("""COMPUTED_VALUE"""),100000.0)</f>
        <v>100000</v>
      </c>
      <c r="F102" s="270">
        <f>IFERROR(__xludf.DUMMYFUNCTION("""COMPUTED_VALUE"""),1.0)</f>
        <v>1</v>
      </c>
      <c r="G102" s="34" t="str">
        <f>IFERROR(__xludf.DUMMYFUNCTION("""COMPUTED_VALUE"""),"17,28jt")</f>
        <v>17,28jt</v>
      </c>
      <c r="H102" s="375"/>
      <c r="I102" s="260" t="str">
        <f>IFERROR(__xludf.DUMMYFUNCTION("""COMPUTED_VALUE"""),"Sampai")</f>
        <v>Sampai</v>
      </c>
      <c r="J102" s="357"/>
      <c r="K102" s="279" t="str">
        <f>IFERROR(__xludf.DUMMYFUNCTION("""COMPUTED_VALUE"""),"https://vt.tiktok.com/ZSHgrsoSU/")</f>
        <v>https://vt.tiktok.com/ZSHgrsoSU/</v>
      </c>
      <c r="L102" s="357"/>
      <c r="M102" s="17"/>
      <c r="N102" s="357"/>
      <c r="O102" s="17"/>
      <c r="P102" s="357"/>
      <c r="Q102" s="17"/>
      <c r="R102" s="17"/>
      <c r="S102" s="17"/>
      <c r="T102" s="365">
        <f>IFERROR(__xludf.DUMMYFUNCTION("""COMPUTED_VALUE"""),153450.0)</f>
        <v>153450</v>
      </c>
      <c r="U102" s="17"/>
      <c r="V102" s="384"/>
      <c r="W102" s="17"/>
    </row>
    <row r="103">
      <c r="A103" s="255" t="str">
        <f>IFERROR(__xludf.DUMMYFUNCTION("""COMPUTED_VALUE"""),"MICRO")</f>
        <v>MICRO</v>
      </c>
      <c r="B103" s="23" t="str">
        <f>IFERROR(__xludf.DUMMYFUNCTION("""COMPUTED_VALUE"""),"araanrml")</f>
        <v>araanrml</v>
      </c>
      <c r="C103" s="281" t="str">
        <f>IFERROR(__xludf.DUMMYFUNCTION("""COMPUTED_VALUE"""),"https://www.tiktok.com/@araanrml")</f>
        <v>https://www.tiktok.com/@araanrml</v>
      </c>
      <c r="D103" s="381">
        <f>IFERROR(__xludf.DUMMYFUNCTION("""COMPUTED_VALUE"""),8.1224839996E10)</f>
        <v>81224839996</v>
      </c>
      <c r="E103" s="271">
        <f>IFERROR(__xludf.DUMMYFUNCTION("""COMPUTED_VALUE"""),100000.0)</f>
        <v>100000</v>
      </c>
      <c r="F103" s="270">
        <f>IFERROR(__xludf.DUMMYFUNCTION("""COMPUTED_VALUE"""),1.0)</f>
        <v>1</v>
      </c>
      <c r="G103" s="34" t="str">
        <f>IFERROR(__xludf.DUMMYFUNCTION("""COMPUTED_VALUE"""),"4,64jt")</f>
        <v>4,64jt</v>
      </c>
      <c r="H103" s="375"/>
      <c r="I103" s="260" t="str">
        <f>IFERROR(__xludf.DUMMYFUNCTION("""COMPUTED_VALUE"""),"Sampai")</f>
        <v>Sampai</v>
      </c>
      <c r="J103" s="357"/>
      <c r="K103" s="279" t="str">
        <f>IFERROR(__xludf.DUMMYFUNCTION("""COMPUTED_VALUE"""),"https://www.tiktok.com/@araanrml/video/7611486949991386386?_r=1&amp;_t=ZS-94GhJ5qFIDn")</f>
        <v>https://www.tiktok.com/@araanrml/video/7611486949991386386?_r=1&amp;_t=ZS-94GhJ5qFIDn</v>
      </c>
      <c r="L103" s="357"/>
      <c r="M103" s="17"/>
      <c r="N103" s="357"/>
      <c r="O103" s="17"/>
      <c r="P103" s="357"/>
      <c r="Q103" s="17"/>
      <c r="R103" s="17"/>
      <c r="S103" s="17"/>
      <c r="T103" s="365"/>
      <c r="U103" s="17"/>
      <c r="V103" s="384"/>
      <c r="W103" s="17"/>
    </row>
    <row r="104">
      <c r="A104" s="255" t="str">
        <f>IFERROR(__xludf.DUMMYFUNCTION("""COMPUTED_VALUE"""),"MICRO")</f>
        <v>MICRO</v>
      </c>
      <c r="B104" s="23" t="str">
        <f>IFERROR(__xludf.DUMMYFUNCTION("""COMPUTED_VALUE"""),"cutarsyilla")</f>
        <v>cutarsyilla</v>
      </c>
      <c r="C104" s="281" t="str">
        <f>IFERROR(__xludf.DUMMYFUNCTION("""COMPUTED_VALUE"""),"https://www.tiktok.com/@cutarsyilla")</f>
        <v>https://www.tiktok.com/@cutarsyilla</v>
      </c>
      <c r="D104" s="381">
        <f>IFERROR(__xludf.DUMMYFUNCTION("""COMPUTED_VALUE"""),8.5212563365E10)</f>
        <v>85212563365</v>
      </c>
      <c r="E104" s="271">
        <f>IFERROR(__xludf.DUMMYFUNCTION("""COMPUTED_VALUE"""),0.0)</f>
        <v>0</v>
      </c>
      <c r="F104" s="270">
        <f>IFERROR(__xludf.DUMMYFUNCTION("""COMPUTED_VALUE"""),1.0)</f>
        <v>1</v>
      </c>
      <c r="G104" s="34" t="str">
        <f>IFERROR(__xludf.DUMMYFUNCTION("""COMPUTED_VALUE"""),"68,30jt")</f>
        <v>68,30jt</v>
      </c>
      <c r="H104" s="375"/>
      <c r="I104" s="260" t="str">
        <f>IFERROR(__xludf.DUMMYFUNCTION("""COMPUTED_VALUE"""),"Sampai")</f>
        <v>Sampai</v>
      </c>
      <c r="J104" s="357"/>
      <c r="K104" s="279" t="str">
        <f>IFERROR(__xludf.DUMMYFUNCTION("""COMPUTED_VALUE"""),"https://www.tiktok.com/@cutarsyilla/video/7613009196614716693?_r=1&amp;_t=ZS-94Q2OqoG837")</f>
        <v>https://www.tiktok.com/@cutarsyilla/video/7613009196614716693?_r=1&amp;_t=ZS-94Q2OqoG837</v>
      </c>
      <c r="L104" s="357"/>
      <c r="M104" s="17"/>
      <c r="N104" s="357"/>
      <c r="O104" s="17"/>
      <c r="P104" s="357"/>
      <c r="Q104" s="17"/>
      <c r="R104" s="17"/>
      <c r="S104" s="17"/>
      <c r="T104" s="365"/>
      <c r="U104" s="17"/>
      <c r="V104" s="384"/>
      <c r="W104" s="17"/>
    </row>
    <row r="105">
      <c r="A105" s="255" t="str">
        <f>IFERROR(__xludf.DUMMYFUNCTION("""COMPUTED_VALUE"""),"NANO")</f>
        <v>NANO</v>
      </c>
      <c r="B105" s="23" t="str">
        <f>IFERROR(__xludf.DUMMYFUNCTION("""COMPUTED_VALUE"""),"stmuliani18")</f>
        <v>stmuliani18</v>
      </c>
      <c r="C105" s="281" t="str">
        <f>IFERROR(__xludf.DUMMYFUNCTION("""COMPUTED_VALUE"""),"https://www.tiktok.com/@stmuliani18")</f>
        <v>https://www.tiktok.com/@stmuliani18</v>
      </c>
      <c r="D105" s="381">
        <f>IFERROR(__xludf.DUMMYFUNCTION("""COMPUTED_VALUE"""),8.5923158881E10)</f>
        <v>85923158881</v>
      </c>
      <c r="E105" s="271">
        <f>IFERROR(__xludf.DUMMYFUNCTION("""COMPUTED_VALUE"""),0.0)</f>
        <v>0</v>
      </c>
      <c r="F105" s="270">
        <f>IFERROR(__xludf.DUMMYFUNCTION("""COMPUTED_VALUE"""),1.0)</f>
        <v>1</v>
      </c>
      <c r="G105" s="34" t="str">
        <f>IFERROR(__xludf.DUMMYFUNCTION("""COMPUTED_VALUE"""),"1,59jt")</f>
        <v>1,59jt</v>
      </c>
      <c r="H105" s="375"/>
      <c r="I105" s="260" t="str">
        <f>IFERROR(__xludf.DUMMYFUNCTION("""COMPUTED_VALUE"""),"Sampai")</f>
        <v>Sampai</v>
      </c>
      <c r="J105" s="357"/>
      <c r="K105" s="279" t="str">
        <f>IFERROR(__xludf.DUMMYFUNCTION("""COMPUTED_VALUE"""),"https://www.tiktok.com/@stmuliani18/video/7615985693264940308?_r=1&amp;_t=ZS-94bKETOKf2r")</f>
        <v>https://www.tiktok.com/@stmuliani18/video/7615985693264940308?_r=1&amp;_t=ZS-94bKETOKf2r</v>
      </c>
      <c r="L105" s="357"/>
      <c r="M105" s="17"/>
      <c r="N105" s="357"/>
      <c r="O105" s="17"/>
      <c r="P105" s="357"/>
      <c r="Q105" s="17"/>
      <c r="R105" s="17"/>
      <c r="S105" s="17"/>
      <c r="T105" s="365"/>
      <c r="U105" s="17"/>
      <c r="V105" s="384"/>
      <c r="W105" s="17"/>
    </row>
    <row r="106">
      <c r="A106" s="255" t="str">
        <f>IFERROR(__xludf.DUMMYFUNCTION("""COMPUTED_VALUE"""),"NANO")</f>
        <v>NANO</v>
      </c>
      <c r="B106" s="23" t="str">
        <f>IFERROR(__xludf.DUMMYFUNCTION("""COMPUTED_VALUE"""),"ridathoughts")</f>
        <v>ridathoughts</v>
      </c>
      <c r="C106" s="281" t="str">
        <f>IFERROR(__xludf.DUMMYFUNCTION("""COMPUTED_VALUE"""),"https://www.tiktok.com/@ridathoughts")</f>
        <v>https://www.tiktok.com/@ridathoughts</v>
      </c>
      <c r="D106" s="381">
        <f>IFERROR(__xludf.DUMMYFUNCTION("""COMPUTED_VALUE"""),8.5162823115E10)</f>
        <v>85162823115</v>
      </c>
      <c r="E106" s="271">
        <f>IFERROR(__xludf.DUMMYFUNCTION("""COMPUTED_VALUE"""),0.0)</f>
        <v>0</v>
      </c>
      <c r="F106" s="270">
        <f>IFERROR(__xludf.DUMMYFUNCTION("""COMPUTED_VALUE"""),1.0)</f>
        <v>1</v>
      </c>
      <c r="G106" s="34" t="str">
        <f>IFERROR(__xludf.DUMMYFUNCTION("""COMPUTED_VALUE"""),"4.11jt")</f>
        <v>4.11jt</v>
      </c>
      <c r="H106" s="375" t="str">
        <f>IFERROR(__xludf.DUMMYFUNCTION("""COMPUTED_VALUE"""),"Cushion &amp; Lip Cream")</f>
        <v>Cushion &amp; Lip Cream</v>
      </c>
      <c r="I106" s="260" t="str">
        <f>IFERROR(__xludf.DUMMYFUNCTION("""COMPUTED_VALUE"""),"Sampai")</f>
        <v>Sampai</v>
      </c>
      <c r="J106" s="357" t="str">
        <f>IFERROR(__xludf.DUMMYFUNCTION("""COMPUTED_VALUE""")," Concept 1")</f>
        <v> Concept 1</v>
      </c>
      <c r="K106" s="279" t="str">
        <f>IFERROR(__xludf.DUMMYFUNCTION("""COMPUTED_VALUE"""),"https://vt.tiktok.com/ZSmCFbe1H/")</f>
        <v>https://vt.tiktok.com/ZSmCFbe1H/</v>
      </c>
      <c r="L106" s="357"/>
      <c r="M106" s="17"/>
      <c r="N106" s="357"/>
      <c r="O106" s="17"/>
      <c r="P106" s="357"/>
      <c r="Q106" s="17"/>
      <c r="R106" s="17"/>
      <c r="S106" s="17"/>
      <c r="T106" s="365"/>
      <c r="U106" s="17"/>
      <c r="V106" s="384"/>
      <c r="W106" s="17"/>
    </row>
    <row r="107">
      <c r="A107" s="255" t="str">
        <f>IFERROR(__xludf.DUMMYFUNCTION("""COMPUTED_VALUE"""),"MICRO")</f>
        <v>MICRO</v>
      </c>
      <c r="B107" s="23" t="str">
        <f>IFERROR(__xludf.DUMMYFUNCTION("""COMPUTED_VALUE"""),"anasthetixs")</f>
        <v>anasthetixs</v>
      </c>
      <c r="C107" s="281" t="str">
        <f>IFERROR(__xludf.DUMMYFUNCTION("""COMPUTED_VALUE"""),"https://www.tiktok.com/@anasthetixs")</f>
        <v>https://www.tiktok.com/@anasthetixs</v>
      </c>
      <c r="D107" s="381">
        <f>IFERROR(__xludf.DUMMYFUNCTION("""COMPUTED_VALUE"""),8.136157581E10)</f>
        <v>81361575810</v>
      </c>
      <c r="E107" s="271">
        <f>IFERROR(__xludf.DUMMYFUNCTION("""COMPUTED_VALUE"""),0.0)</f>
        <v>0</v>
      </c>
      <c r="F107" s="270">
        <f>IFERROR(__xludf.DUMMYFUNCTION("""COMPUTED_VALUE"""),2.0)</f>
        <v>2</v>
      </c>
      <c r="G107" s="34" t="str">
        <f>IFERROR(__xludf.DUMMYFUNCTION("""COMPUTED_VALUE"""),"8jt")</f>
        <v>8jt</v>
      </c>
      <c r="H107" s="375" t="str">
        <f>IFERROR(__xludf.DUMMYFUNCTION("""COMPUTED_VALUE"""),"Cushion")</f>
        <v>Cushion</v>
      </c>
      <c r="I107" s="260" t="str">
        <f>IFERROR(__xludf.DUMMYFUNCTION("""COMPUTED_VALUE"""),"Sampai")</f>
        <v>Sampai</v>
      </c>
      <c r="J107" s="357"/>
      <c r="K107" s="279" t="str">
        <f>IFERROR(__xludf.DUMMYFUNCTION("""COMPUTED_VALUE"""),"https://vt.tiktok.com/ZS9qpfQL3/")</f>
        <v>https://vt.tiktok.com/ZS9qpfQL3/</v>
      </c>
      <c r="L107" s="357"/>
      <c r="M107" s="279" t="str">
        <f>IFERROR(__xludf.DUMMYFUNCTION("""COMPUTED_VALUE"""),"https://vt.tiktok.com/ZS9WeUSmA/")</f>
        <v>https://vt.tiktok.com/ZS9WeUSmA/</v>
      </c>
      <c r="N107" s="357"/>
      <c r="O107" s="17"/>
      <c r="P107" s="357"/>
      <c r="Q107" s="17"/>
      <c r="R107" s="17"/>
      <c r="S107" s="17"/>
      <c r="T107" s="365"/>
      <c r="U107" s="17"/>
      <c r="V107" s="384"/>
      <c r="W107" s="17"/>
    </row>
    <row r="108">
      <c r="A108" s="255" t="str">
        <f>IFERROR(__xludf.DUMMYFUNCTION("""COMPUTED_VALUE"""),"MICRO")</f>
        <v>MICRO</v>
      </c>
      <c r="B108" s="23" t="str">
        <f>IFERROR(__xludf.DUMMYFUNCTION("""COMPUTED_VALUE"""),"thnlykai")</f>
        <v>thnlykai</v>
      </c>
      <c r="C108" s="281" t="str">
        <f>IFERROR(__xludf.DUMMYFUNCTION("""COMPUTED_VALUE"""),"https://www.tiktok.com/@thnlykai")</f>
        <v>https://www.tiktok.com/@thnlykai</v>
      </c>
      <c r="D108" s="381">
        <f>IFERROR(__xludf.DUMMYFUNCTION("""COMPUTED_VALUE"""),8.98613759E9)</f>
        <v>8986137590</v>
      </c>
      <c r="E108" s="271">
        <f>IFERROR(__xludf.DUMMYFUNCTION("""COMPUTED_VALUE"""),150000.0)</f>
        <v>150000</v>
      </c>
      <c r="F108" s="23">
        <f>IFERROR(__xludf.DUMMYFUNCTION("""COMPUTED_VALUE"""),2.0)</f>
        <v>2</v>
      </c>
      <c r="G108" s="34"/>
      <c r="H108" s="375" t="str">
        <f>IFERROR(__xludf.DUMMYFUNCTION("""COMPUTED_VALUE"""),"Cushion")</f>
        <v>Cushion</v>
      </c>
      <c r="I108" s="260" t="str">
        <f>IFERROR(__xludf.DUMMYFUNCTION("""COMPUTED_VALUE"""),"Sampai")</f>
        <v>Sampai</v>
      </c>
      <c r="J108" s="357"/>
      <c r="K108" s="279" t="str">
        <f>IFERROR(__xludf.DUMMYFUNCTION("""COMPUTED_VALUE"""),"https://vt.tiktok.com/ZS9qTo81u/")</f>
        <v>https://vt.tiktok.com/ZS9qTo81u/</v>
      </c>
      <c r="L108" s="357"/>
      <c r="M108" s="279" t="str">
        <f>IFERROR(__xludf.DUMMYFUNCTION("""COMPUTED_VALUE"""),"https://vt.tiktok.com/ZSxjANwMC/")</f>
        <v>https://vt.tiktok.com/ZSxjANwMC/</v>
      </c>
      <c r="N108" s="357"/>
      <c r="O108" s="17"/>
      <c r="P108" s="357"/>
      <c r="Q108" s="17"/>
      <c r="R108" s="17"/>
      <c r="S108" s="17"/>
      <c r="T108" s="365"/>
      <c r="U108" s="17"/>
      <c r="V108" s="384"/>
      <c r="W108" s="17"/>
    </row>
    <row r="109">
      <c r="A109" s="255" t="str">
        <f>IFERROR(__xludf.DUMMYFUNCTION("""COMPUTED_VALUE"""),"MACRO")</f>
        <v>MACRO</v>
      </c>
      <c r="B109" s="23" t="str">
        <f>IFERROR(__xludf.DUMMYFUNCTION("""COMPUTED_VALUE"""),"bbydreamer93")</f>
        <v>bbydreamer93</v>
      </c>
      <c r="C109" s="281" t="str">
        <f>IFERROR(__xludf.DUMMYFUNCTION("""COMPUTED_VALUE"""),"https://www.tiktok.com/@bbydreamer93")</f>
        <v>https://www.tiktok.com/@bbydreamer93</v>
      </c>
      <c r="D109" s="381">
        <f>IFERROR(__xludf.DUMMYFUNCTION("""COMPUTED_VALUE"""),8.2129140535E10)</f>
        <v>82129140535</v>
      </c>
      <c r="E109" s="271">
        <f>IFERROR(__xludf.DUMMYFUNCTION("""COMPUTED_VALUE"""),150000.0)</f>
        <v>150000</v>
      </c>
      <c r="F109" s="23">
        <f>IFERROR(__xludf.DUMMYFUNCTION("""COMPUTED_VALUE"""),1.0)</f>
        <v>1</v>
      </c>
      <c r="G109" s="34" t="str">
        <f>IFERROR(__xludf.DUMMYFUNCTION("""COMPUTED_VALUE"""),"107.22jt")</f>
        <v>107.22jt</v>
      </c>
      <c r="H109" s="375"/>
      <c r="I109" s="260" t="str">
        <f>IFERROR(__xludf.DUMMYFUNCTION("""COMPUTED_VALUE"""),"Sampai")</f>
        <v>Sampai</v>
      </c>
      <c r="J109" s="357"/>
      <c r="K109" s="279" t="str">
        <f>IFERROR(__xludf.DUMMYFUNCTION("""COMPUTED_VALUE"""),"https://www.tiktok.com/@bbydreamer93/video/7613006997411155220?_r=1&amp;_t=ZS-94Nem6inDQS")</f>
        <v>https://www.tiktok.com/@bbydreamer93/video/7613006997411155220?_r=1&amp;_t=ZS-94Nem6inDQS</v>
      </c>
      <c r="L109" s="357"/>
      <c r="M109" s="17"/>
      <c r="N109" s="357"/>
      <c r="O109" s="17"/>
      <c r="P109" s="357"/>
      <c r="Q109" s="17"/>
      <c r="R109" s="17"/>
      <c r="S109" s="17"/>
      <c r="T109" s="365">
        <f>IFERROR(__xludf.DUMMYFUNCTION("""COMPUTED_VALUE"""),416254.0)</f>
        <v>416254</v>
      </c>
      <c r="U109" s="17"/>
      <c r="V109" s="384"/>
      <c r="W109" s="17"/>
    </row>
    <row r="110">
      <c r="A110" s="255" t="str">
        <f>IFERROR(__xludf.DUMMYFUNCTION("""COMPUTED_VALUE"""),"NANO")</f>
        <v>NANO</v>
      </c>
      <c r="B110" s="23" t="str">
        <f>IFERROR(__xludf.DUMMYFUNCTION("""COMPUTED_VALUE"""),"oshiomoshi")</f>
        <v>oshiomoshi</v>
      </c>
      <c r="C110" s="281" t="str">
        <f>IFERROR(__xludf.DUMMYFUNCTION("""COMPUTED_VALUE"""),"https://www.tiktok.com/@oshiomoshi")</f>
        <v>https://www.tiktok.com/@oshiomoshi</v>
      </c>
      <c r="D110" s="381">
        <f>IFERROR(__xludf.DUMMYFUNCTION("""COMPUTED_VALUE"""),8.1411123959E10)</f>
        <v>81411123959</v>
      </c>
      <c r="E110" s="271">
        <f>IFERROR(__xludf.DUMMYFUNCTION("""COMPUTED_VALUE"""),0.0)</f>
        <v>0</v>
      </c>
      <c r="F110" s="23">
        <f>IFERROR(__xludf.DUMMYFUNCTION("""COMPUTED_VALUE"""),3.0)</f>
        <v>3</v>
      </c>
      <c r="G110" s="34"/>
      <c r="H110" s="375" t="str">
        <f>IFERROR(__xludf.DUMMYFUNCTION("""COMPUTED_VALUE"""),"Cushion &amp; Lip Vinyl")</f>
        <v>Cushion &amp; Lip Vinyl</v>
      </c>
      <c r="I110" s="260" t="str">
        <f>IFERROR(__xludf.DUMMYFUNCTION("""COMPUTED_VALUE"""),"Sampai")</f>
        <v>Sampai</v>
      </c>
      <c r="J110" s="357"/>
      <c r="K110" s="279" t="str">
        <f>IFERROR(__xludf.DUMMYFUNCTION("""COMPUTED_VALUE"""),"https://www.tiktok.com/@oshiomoshi/video/7585424682162162951?_r=1&amp;_t=ZS-93OAarJuTNoc")</f>
        <v>https://www.tiktok.com/@oshiomoshi/video/7585424682162162951?_r=1&amp;_t=ZS-93OAarJuTNoc</v>
      </c>
      <c r="L110" s="357"/>
      <c r="M110" s="279" t="str">
        <f>IFERROR(__xludf.DUMMYFUNCTION("""COMPUTED_VALUE"""),"https://vt.tiktok.com/ZSaPjE1GW/")</f>
        <v>https://vt.tiktok.com/ZSaPjE1GW/</v>
      </c>
      <c r="N110" s="357"/>
      <c r="O110" s="279" t="str">
        <f>IFERROR(__xludf.DUMMYFUNCTION("""COMPUTED_VALUE"""),"https://vt.tiktok.com/ZSaPjnKon/ ")</f>
        <v>https://vt.tiktok.com/ZSaPjnKon/ </v>
      </c>
      <c r="P110" s="357"/>
      <c r="Q110" s="279" t="str">
        <f>IFERROR(__xludf.DUMMYFUNCTION("""COMPUTED_VALUE"""),"https://vt.tiktok.com/ZSaPjutrC/")</f>
        <v>https://vt.tiktok.com/ZSaPjutrC/</v>
      </c>
      <c r="R110" s="17"/>
      <c r="S110" s="17"/>
      <c r="T110" s="365"/>
      <c r="U110" s="17"/>
      <c r="V110" s="384"/>
      <c r="W110" s="17"/>
    </row>
    <row r="111">
      <c r="A111" s="255" t="str">
        <f>IFERROR(__xludf.DUMMYFUNCTION("""COMPUTED_VALUE"""),"NANO")</f>
        <v>NANO</v>
      </c>
      <c r="B111" s="23" t="str">
        <f>IFERROR(__xludf.DUMMYFUNCTION("""COMPUTED_VALUE"""),"vivikimss")</f>
        <v>vivikimss</v>
      </c>
      <c r="C111" s="281" t="str">
        <f>IFERROR(__xludf.DUMMYFUNCTION("""COMPUTED_VALUE"""),"https://www.tiktok.com/@vivikimss")</f>
        <v>https://www.tiktok.com/@vivikimss</v>
      </c>
      <c r="D111" s="381">
        <f>IFERROR(__xludf.DUMMYFUNCTION("""COMPUTED_VALUE"""),8.2241420854E10)</f>
        <v>82241420854</v>
      </c>
      <c r="E111" s="271">
        <f>IFERROR(__xludf.DUMMYFUNCTION("""COMPUTED_VALUE"""),0.0)</f>
        <v>0</v>
      </c>
      <c r="F111" s="23">
        <f>IFERROR(__xludf.DUMMYFUNCTION("""COMPUTED_VALUE"""),2.0)</f>
        <v>2</v>
      </c>
      <c r="G111" s="34" t="str">
        <f>IFERROR(__xludf.DUMMYFUNCTION("""COMPUTED_VALUE"""),"13,48jt")</f>
        <v>13,48jt</v>
      </c>
      <c r="H111" s="375" t="str">
        <f>IFERROR(__xludf.DUMMYFUNCTION("""COMPUTED_VALUE"""),"Lip Vinyl &amp; Lip Cream")</f>
        <v>Lip Vinyl &amp; Lip Cream</v>
      </c>
      <c r="I111" s="260" t="str">
        <f>IFERROR(__xludf.DUMMYFUNCTION("""COMPUTED_VALUE"""),"Sampai")</f>
        <v>Sampai</v>
      </c>
      <c r="J111" s="357"/>
      <c r="K111" s="279" t="str">
        <f>IFERROR(__xludf.DUMMYFUNCTION("""COMPUTED_VALUE"""),"https://vt.tiktok.com/ZS98NxYDU/ ")</f>
        <v>https://vt.tiktok.com/ZS98NxYDU/ </v>
      </c>
      <c r="L111" s="357"/>
      <c r="M111" s="279" t="str">
        <f>IFERROR(__xludf.DUMMYFUNCTION("""COMPUTED_VALUE"""),"https://vt.tiktok.com/ZS9KFVgM2/ ")</f>
        <v>https://vt.tiktok.com/ZS9KFVgM2/ </v>
      </c>
      <c r="N111" s="357"/>
      <c r="O111" s="17"/>
      <c r="P111" s="357"/>
      <c r="Q111" s="17"/>
      <c r="R111" s="17"/>
      <c r="S111" s="17"/>
      <c r="T111" s="365"/>
      <c r="U111" s="17"/>
      <c r="V111" s="384"/>
      <c r="W111" s="17"/>
    </row>
    <row r="112">
      <c r="A112" s="255" t="str">
        <f>IFERROR(__xludf.DUMMYFUNCTION("""COMPUTED_VALUE"""),"NANO")</f>
        <v>NANO</v>
      </c>
      <c r="B112" s="23" t="str">
        <f>IFERROR(__xludf.DUMMYFUNCTION("""COMPUTED_VALUE"""),"woomentum")</f>
        <v>woomentum</v>
      </c>
      <c r="C112" s="281" t="str">
        <f>IFERROR(__xludf.DUMMYFUNCTION("""COMPUTED_VALUE"""),"https://www.tiktok.com/@woomentum")</f>
        <v>https://www.tiktok.com/@woomentum</v>
      </c>
      <c r="D112" s="381">
        <f>IFERROR(__xludf.DUMMYFUNCTION("""COMPUTED_VALUE"""),8.5974753647E10)</f>
        <v>85974753647</v>
      </c>
      <c r="E112" s="271">
        <f>IFERROR(__xludf.DUMMYFUNCTION("""COMPUTED_VALUE"""),0.0)</f>
        <v>0</v>
      </c>
      <c r="F112" s="23">
        <f>IFERROR(__xludf.DUMMYFUNCTION("""COMPUTED_VALUE"""),1.0)</f>
        <v>1</v>
      </c>
      <c r="G112" s="34"/>
      <c r="H112" s="375"/>
      <c r="I112" s="260" t="str">
        <f>IFERROR(__xludf.DUMMYFUNCTION("""COMPUTED_VALUE"""),"Sampai")</f>
        <v>Sampai</v>
      </c>
      <c r="J112" s="357"/>
      <c r="K112" s="279" t="str">
        <f>IFERROR(__xludf.DUMMYFUNCTION("""COMPUTED_VALUE"""),"https://www.tiktok.com/@woomentum/video/7626382740501318932?_r=1&amp;_t=ZS-95Mv2lbaKIO")</f>
        <v>https://www.tiktok.com/@woomentum/video/7626382740501318932?_r=1&amp;_t=ZS-95Mv2lbaKIO</v>
      </c>
      <c r="L112" s="357"/>
      <c r="M112" s="17"/>
      <c r="N112" s="357"/>
      <c r="O112" s="17"/>
      <c r="P112" s="357"/>
      <c r="Q112" s="17"/>
      <c r="R112" s="17"/>
      <c r="S112" s="17"/>
      <c r="T112" s="365"/>
      <c r="U112" s="17"/>
      <c r="V112" s="384"/>
      <c r="W112" s="17"/>
    </row>
    <row r="113">
      <c r="A113" s="255" t="str">
        <f>IFERROR(__xludf.DUMMYFUNCTION("""COMPUTED_VALUE"""),"NANO")</f>
        <v>NANO</v>
      </c>
      <c r="B113" s="23" t="str">
        <f>IFERROR(__xludf.DUMMYFUNCTION("""COMPUTED_VALUE"""),"Okiethamrin98")</f>
        <v>Okiethamrin98</v>
      </c>
      <c r="C113" s="281" t="str">
        <f>IFERROR(__xludf.DUMMYFUNCTION("""COMPUTED_VALUE"""),"https://www.tiktok.com/@Okiethamrin98")</f>
        <v>https://www.tiktok.com/@Okiethamrin98</v>
      </c>
      <c r="D113" s="381">
        <f>IFERROR(__xludf.DUMMYFUNCTION("""COMPUTED_VALUE"""),8.2269652915E10)</f>
        <v>82269652915</v>
      </c>
      <c r="E113" s="271">
        <f>IFERROR(__xludf.DUMMYFUNCTION("""COMPUTED_VALUE"""),0.0)</f>
        <v>0</v>
      </c>
      <c r="F113" s="23">
        <f>IFERROR(__xludf.DUMMYFUNCTION("""COMPUTED_VALUE"""),3.0)</f>
        <v>3</v>
      </c>
      <c r="G113" s="34" t="str">
        <f>IFERROR(__xludf.DUMMYFUNCTION("""COMPUTED_VALUE"""),"28,5jt")</f>
        <v>28,5jt</v>
      </c>
      <c r="H113" s="375"/>
      <c r="I113" s="260" t="str">
        <f>IFERROR(__xludf.DUMMYFUNCTION("""COMPUTED_VALUE"""),"Sampai")</f>
        <v>Sampai</v>
      </c>
      <c r="J113" s="357"/>
      <c r="K113" s="279" t="str">
        <f>IFERROR(__xludf.DUMMYFUNCTION("""COMPUTED_VALUE"""),"https://www.tiktok.com/@okiethamrin98/video/7616233656893345044?_r=1&amp;_t=ZS-95KkpMIzqGj")</f>
        <v>https://www.tiktok.com/@okiethamrin98/video/7616233656893345044?_r=1&amp;_t=ZS-95KkpMIzqGj</v>
      </c>
      <c r="L113" s="357"/>
      <c r="M113" s="279" t="str">
        <f>IFERROR(__xludf.DUMMYFUNCTION("""COMPUTED_VALUE"""),"https://vt.tiktok.com/ZSxM3fvCe/")</f>
        <v>https://vt.tiktok.com/ZSxM3fvCe/</v>
      </c>
      <c r="N113" s="357"/>
      <c r="O113" s="279" t="str">
        <f>IFERROR(__xludf.DUMMYFUNCTION("""COMPUTED_VALUE"""),"https://vt.tiktok.com/ZSx5PrEj3/")</f>
        <v>https://vt.tiktok.com/ZSx5PrEj3/</v>
      </c>
      <c r="P113" s="357"/>
      <c r="Q113" s="17"/>
      <c r="R113" s="17"/>
      <c r="S113" s="17"/>
      <c r="T113" s="365"/>
      <c r="U113" s="17"/>
      <c r="V113" s="384"/>
      <c r="W113" s="17"/>
    </row>
    <row r="114">
      <c r="A114" s="255" t="str">
        <f>IFERROR(__xludf.DUMMYFUNCTION("""COMPUTED_VALUE"""),"MICRO")</f>
        <v>MICRO</v>
      </c>
      <c r="B114" s="23" t="str">
        <f>IFERROR(__xludf.DUMMYFUNCTION("""COMPUTED_VALUE"""),"dwitriyant")</f>
        <v>dwitriyant</v>
      </c>
      <c r="C114" s="281" t="str">
        <f>IFERROR(__xludf.DUMMYFUNCTION("""COMPUTED_VALUE"""),"https://www.tiktok.com/@dwitriyant")</f>
        <v>https://www.tiktok.com/@dwitriyant</v>
      </c>
      <c r="D114" s="381">
        <f>IFERROR(__xludf.DUMMYFUNCTION("""COMPUTED_VALUE"""),8.5784142744E10)</f>
        <v>85784142744</v>
      </c>
      <c r="E114" s="271">
        <f>IFERROR(__xludf.DUMMYFUNCTION("""COMPUTED_VALUE"""),0.0)</f>
        <v>0</v>
      </c>
      <c r="F114" s="23">
        <f>IFERROR(__xludf.DUMMYFUNCTION("""COMPUTED_VALUE"""),3.0)</f>
        <v>3</v>
      </c>
      <c r="G114" s="34" t="str">
        <f>IFERROR(__xludf.DUMMYFUNCTION("""COMPUTED_VALUE"""),"418jt")</f>
        <v>418jt</v>
      </c>
      <c r="H114" s="375"/>
      <c r="I114" s="260" t="str">
        <f>IFERROR(__xludf.DUMMYFUNCTION("""COMPUTED_VALUE"""),"Kendala [FU!]")</f>
        <v>Kendala [FU!]</v>
      </c>
      <c r="J114" s="357"/>
      <c r="K114" s="17"/>
      <c r="L114" s="357"/>
      <c r="M114" s="17"/>
      <c r="N114" s="357"/>
      <c r="O114" s="17"/>
      <c r="P114" s="357"/>
      <c r="Q114" s="17"/>
      <c r="R114" s="17"/>
      <c r="S114" s="17"/>
      <c r="T114" s="365"/>
      <c r="U114" s="17"/>
      <c r="V114" s="384"/>
      <c r="W114" s="17"/>
    </row>
    <row r="115">
      <c r="A115" s="255" t="str">
        <f>IFERROR(__xludf.DUMMYFUNCTION("""COMPUTED_VALUE"""),"MICRO")</f>
        <v>MICRO</v>
      </c>
      <c r="B115" s="23" t="str">
        <f>IFERROR(__xludf.DUMMYFUNCTION("""COMPUTED_VALUE"""),"ncaaaaaaa24_")</f>
        <v>ncaaaaaaa24_</v>
      </c>
      <c r="C115" s="281" t="str">
        <f>IFERROR(__xludf.DUMMYFUNCTION("""COMPUTED_VALUE"""),"https://www.tiktok.com/@ncaaaaaaa24_")</f>
        <v>https://www.tiktok.com/@ncaaaaaaa24_</v>
      </c>
      <c r="D115" s="381">
        <f>IFERROR(__xludf.DUMMYFUNCTION("""COMPUTED_VALUE"""),8.5194260559E10)</f>
        <v>85194260559</v>
      </c>
      <c r="E115" s="271">
        <f>IFERROR(__xludf.DUMMYFUNCTION("""COMPUTED_VALUE"""),400000.0)</f>
        <v>400000</v>
      </c>
      <c r="F115" s="23">
        <f>IFERROR(__xludf.DUMMYFUNCTION("""COMPUTED_VALUE"""),1.0)</f>
        <v>1</v>
      </c>
      <c r="G115" s="34" t="str">
        <f>IFERROR(__xludf.DUMMYFUNCTION("""COMPUTED_VALUE"""),"396,7jt")</f>
        <v>396,7jt</v>
      </c>
      <c r="H115" s="375"/>
      <c r="I115" s="260" t="str">
        <f>IFERROR(__xludf.DUMMYFUNCTION("""COMPUTED_VALUE"""),"Sampai")</f>
        <v>Sampai</v>
      </c>
      <c r="J115" s="357"/>
      <c r="K115" s="279" t="str">
        <f>IFERROR(__xludf.DUMMYFUNCTION("""COMPUTED_VALUE"""),"https://vt.tiktok.com/ZSHpcrDxA/")</f>
        <v>https://vt.tiktok.com/ZSHpcrDxA/</v>
      </c>
      <c r="L115" s="357"/>
      <c r="M115" s="17"/>
      <c r="N115" s="357"/>
      <c r="O115" s="17"/>
      <c r="P115" s="357"/>
      <c r="Q115" s="17"/>
      <c r="R115" s="17"/>
      <c r="S115" s="17"/>
      <c r="T115" s="365">
        <f>IFERROR(__xludf.DUMMYFUNCTION("""COMPUTED_VALUE"""),414677.0)</f>
        <v>414677</v>
      </c>
      <c r="U115" s="17"/>
      <c r="V115" s="384"/>
      <c r="W115" s="17"/>
    </row>
    <row r="116">
      <c r="A116" s="255" t="str">
        <f>IFERROR(__xludf.DUMMYFUNCTION("""COMPUTED_VALUE"""),"NANO")</f>
        <v>NANO</v>
      </c>
      <c r="B116" s="23" t="str">
        <f>IFERROR(__xludf.DUMMYFUNCTION("""COMPUTED_VALUE"""),"mamanyabashir")</f>
        <v>mamanyabashir</v>
      </c>
      <c r="C116" s="281" t="str">
        <f>IFERROR(__xludf.DUMMYFUNCTION("""COMPUTED_VALUE"""),"https://www.tiktok.com/@mamanyabashir")</f>
        <v>https://www.tiktok.com/@mamanyabashir</v>
      </c>
      <c r="D116" s="381">
        <f>IFERROR(__xludf.DUMMYFUNCTION("""COMPUTED_VALUE"""),8.1339326171E10)</f>
        <v>81339326171</v>
      </c>
      <c r="E116" s="271">
        <f>IFERROR(__xludf.DUMMYFUNCTION("""COMPUTED_VALUE"""),0.0)</f>
        <v>0</v>
      </c>
      <c r="F116" s="23">
        <f>IFERROR(__xludf.DUMMYFUNCTION("""COMPUTED_VALUE"""),3.0)</f>
        <v>3</v>
      </c>
      <c r="G116" s="34" t="str">
        <f>IFERROR(__xludf.DUMMYFUNCTION("""COMPUTED_VALUE"""),"Rp14JT")</f>
        <v>Rp14JT</v>
      </c>
      <c r="H116" s="375"/>
      <c r="I116" s="260" t="str">
        <f>IFERROR(__xludf.DUMMYFUNCTION("""COMPUTED_VALUE"""),"Sampai")</f>
        <v>Sampai</v>
      </c>
      <c r="J116" s="357"/>
      <c r="K116" s="279" t="str">
        <f>IFERROR(__xludf.DUMMYFUNCTION("""COMPUTED_VALUE"""),"https://vt.tiktok.com/ZSHH6kPwT/")</f>
        <v>https://vt.tiktok.com/ZSHH6kPwT/</v>
      </c>
      <c r="L116" s="357"/>
      <c r="M116" s="279" t="str">
        <f>IFERROR(__xludf.DUMMYFUNCTION("""COMPUTED_VALUE"""),"https://vt.tiktok.com/ZSHH6rRm1/")</f>
        <v>https://vt.tiktok.com/ZSHH6rRm1/</v>
      </c>
      <c r="N116" s="357"/>
      <c r="O116" s="279" t="str">
        <f>IFERROR(__xludf.DUMMYFUNCTION("""COMPUTED_VALUE"""),"https://vt.tiktok.com/ZSHH6fJrg/")</f>
        <v>https://vt.tiktok.com/ZSHH6fJrg/</v>
      </c>
      <c r="P116" s="357"/>
      <c r="Q116" s="279" t="str">
        <f>IFERROR(__xludf.DUMMYFUNCTION("""COMPUTED_VALUE"""),"https://vt.tiktok.com/ZSHpptAVc/")</f>
        <v>https://vt.tiktok.com/ZSHpptAVc/</v>
      </c>
      <c r="R116" s="17"/>
      <c r="S116" s="17"/>
      <c r="T116" s="365">
        <f>IFERROR(__xludf.DUMMYFUNCTION("""COMPUTED_VALUE"""),59740.0)</f>
        <v>59740</v>
      </c>
      <c r="U116" s="17"/>
      <c r="V116" s="384"/>
      <c r="W116" s="17"/>
    </row>
    <row r="117">
      <c r="A117" s="255" t="str">
        <f>IFERROR(__xludf.DUMMYFUNCTION("""COMPUTED_VALUE"""),"NANO")</f>
        <v>NANO</v>
      </c>
      <c r="B117" s="23" t="str">
        <f>IFERROR(__xludf.DUMMYFUNCTION("""COMPUTED_VALUE"""),"ka.nisha")</f>
        <v>ka.nisha</v>
      </c>
      <c r="C117" s="281" t="str">
        <f>IFERROR(__xludf.DUMMYFUNCTION("""COMPUTED_VALUE"""),"https://www.tiktok.com/@ka.nisha")</f>
        <v>https://www.tiktok.com/@ka.nisha</v>
      </c>
      <c r="D117" s="381">
        <f>IFERROR(__xludf.DUMMYFUNCTION("""COMPUTED_VALUE"""),8.1339326171E10)</f>
        <v>81339326171</v>
      </c>
      <c r="E117" s="271">
        <f>IFERROR(__xludf.DUMMYFUNCTION("""COMPUTED_VALUE"""),0.0)</f>
        <v>0</v>
      </c>
      <c r="F117" s="23"/>
      <c r="G117" s="34"/>
      <c r="H117" s="375"/>
      <c r="I117" s="260"/>
      <c r="J117" s="357"/>
      <c r="K117" s="279" t="str">
        <f>IFERROR(__xludf.DUMMYFUNCTION("""COMPUTED_VALUE"""),"https://www.tiktok.com/@ka.nisha/video/7618057180784200961?_r=1&amp;_t=ZS-91MJsUHKhNa")</f>
        <v>https://www.tiktok.com/@ka.nisha/video/7618057180784200961?_r=1&amp;_t=ZS-91MJsUHKhNa</v>
      </c>
      <c r="L117" s="357"/>
      <c r="M117" s="279" t="str">
        <f>IFERROR(__xludf.DUMMYFUNCTION("""COMPUTED_VALUE"""),"https://www.tiktok.com/@ka.nisha/video/7619905720301014273?_r=1&amp;_t=ZS-91MJsUHKhNa")</f>
        <v>https://www.tiktok.com/@ka.nisha/video/7619905720301014273?_r=1&amp;_t=ZS-91MJsUHKhNa</v>
      </c>
      <c r="N117" s="357"/>
      <c r="O117" s="279" t="str">
        <f>IFERROR(__xludf.DUMMYFUNCTION("""COMPUTED_VALUE"""),"https://www.tiktok.com/@ka.nisha/video/7620260981788118289?_r=1&amp;_t=ZS-91MJsUHKhNa")</f>
        <v>https://www.tiktok.com/@ka.nisha/video/7620260981788118289?_r=1&amp;_t=ZS-91MJsUHKhNa</v>
      </c>
      <c r="P117" s="357"/>
      <c r="Q117" s="17"/>
      <c r="R117" s="17"/>
      <c r="S117" s="17"/>
      <c r="T117" s="365"/>
      <c r="U117" s="17"/>
      <c r="V117" s="384"/>
      <c r="W117" s="17"/>
    </row>
    <row r="118">
      <c r="A118" s="255" t="str">
        <f>IFERROR(__xludf.DUMMYFUNCTION("""COMPUTED_VALUE"""),"NANO")</f>
        <v>NANO</v>
      </c>
      <c r="B118" s="23" t="str">
        <f>IFERROR(__xludf.DUMMYFUNCTION("""COMPUTED_VALUE"""),"sye.stuff")</f>
        <v>sye.stuff</v>
      </c>
      <c r="C118" s="281" t="str">
        <f>IFERROR(__xludf.DUMMYFUNCTION("""COMPUTED_VALUE"""),"https://www.tiktok.com/@sye.stuff")</f>
        <v>https://www.tiktok.com/@sye.stuff</v>
      </c>
      <c r="D118" s="381">
        <f>IFERROR(__xludf.DUMMYFUNCTION("""COMPUTED_VALUE"""),8.5727185659E10)</f>
        <v>85727185659</v>
      </c>
      <c r="E118" s="271">
        <f>IFERROR(__xludf.DUMMYFUNCTION("""COMPUTED_VALUE"""),0.0)</f>
        <v>0</v>
      </c>
      <c r="F118" s="23">
        <f>IFERROR(__xludf.DUMMYFUNCTION("""COMPUTED_VALUE"""),2.0)</f>
        <v>2</v>
      </c>
      <c r="G118" s="34" t="str">
        <f>IFERROR(__xludf.DUMMYFUNCTION("""COMPUTED_VALUE"""),"Rp23,1JT")</f>
        <v>Rp23,1JT</v>
      </c>
      <c r="H118" s="375"/>
      <c r="I118" s="260" t="str">
        <f>IFERROR(__xludf.DUMMYFUNCTION("""COMPUTED_VALUE"""),"Sampai")</f>
        <v>Sampai</v>
      </c>
      <c r="J118" s="357"/>
      <c r="K118" s="279" t="str">
        <f>IFERROR(__xludf.DUMMYFUNCTION("""COMPUTED_VALUE"""),"https://www.tiktok.com/@sye.stuff/video/7618596325403168016?_r=1&amp;_t=ZS-952aDszbDJR")</f>
        <v>https://www.tiktok.com/@sye.stuff/video/7618596325403168016?_r=1&amp;_t=ZS-952aDszbDJR</v>
      </c>
      <c r="L118" s="357"/>
      <c r="M118" s="279" t="str">
        <f>IFERROR(__xludf.DUMMYFUNCTION("""COMPUTED_VALUE"""),"https://www.tiktok.com/@sye.stuff/video/7623420841530772753?_r=1&amp;_t=ZS-95MHt6AwzBY")</f>
        <v>https://www.tiktok.com/@sye.stuff/video/7623420841530772753?_r=1&amp;_t=ZS-95MHt6AwzBY</v>
      </c>
      <c r="N118" s="357"/>
      <c r="O118" s="17"/>
      <c r="P118" s="357"/>
      <c r="Q118" s="17"/>
      <c r="R118" s="17"/>
      <c r="S118" s="17"/>
      <c r="T118" s="365">
        <f>IFERROR(__xludf.DUMMYFUNCTION("""COMPUTED_VALUE"""),357470.0)</f>
        <v>357470</v>
      </c>
      <c r="U118" s="17"/>
      <c r="V118" s="384"/>
      <c r="W118" s="17"/>
    </row>
    <row r="119">
      <c r="A119" s="255" t="str">
        <f>IFERROR(__xludf.DUMMYFUNCTION("""COMPUTED_VALUE"""),"NANO")</f>
        <v>NANO</v>
      </c>
      <c r="B119" s="23" t="str">
        <f>IFERROR(__xludf.DUMMYFUNCTION("""COMPUTED_VALUE"""),"aisahtrii_")</f>
        <v>aisahtrii_</v>
      </c>
      <c r="C119" s="281" t="str">
        <f>IFERROR(__xludf.DUMMYFUNCTION("""COMPUTED_VALUE"""),"https://www.tiktok.com/@aisahtrii_")</f>
        <v>https://www.tiktok.com/@aisahtrii_</v>
      </c>
      <c r="D119" s="381">
        <f>IFERROR(__xludf.DUMMYFUNCTION("""COMPUTED_VALUE"""),8.5800143499E10)</f>
        <v>85800143499</v>
      </c>
      <c r="E119" s="271">
        <f>IFERROR(__xludf.DUMMYFUNCTION("""COMPUTED_VALUE"""),0.0)</f>
        <v>0</v>
      </c>
      <c r="F119" s="23">
        <f>IFERROR(__xludf.DUMMYFUNCTION("""COMPUTED_VALUE"""),2.0)</f>
        <v>2</v>
      </c>
      <c r="G119" s="34" t="str">
        <f>IFERROR(__xludf.DUMMYFUNCTION("""COMPUTED_VALUE"""),"Rp36,1JT")</f>
        <v>Rp36,1JT</v>
      </c>
      <c r="H119" s="375"/>
      <c r="I119" s="260" t="str">
        <f>IFERROR(__xludf.DUMMYFUNCTION("""COMPUTED_VALUE"""),"Sampai")</f>
        <v>Sampai</v>
      </c>
      <c r="J119" s="357"/>
      <c r="K119" s="279" t="str">
        <f>IFERROR(__xludf.DUMMYFUNCTION("""COMPUTED_VALUE"""),"https://www.tiktok.com/@aisahtrii_/video/7625997795039677716?_r=1&amp;_t=ZS-95L9xFSBmd7")</f>
        <v>https://www.tiktok.com/@aisahtrii_/video/7625997795039677716?_r=1&amp;_t=ZS-95L9xFSBmd7</v>
      </c>
      <c r="L119" s="357"/>
      <c r="M119" s="279" t="str">
        <f>IFERROR(__xludf.DUMMYFUNCTION("""COMPUTED_VALUE"""),"https://vt.tiktok.com/ZSHshw587/")</f>
        <v>https://vt.tiktok.com/ZSHshw587/</v>
      </c>
      <c r="N119" s="357"/>
      <c r="O119" s="17"/>
      <c r="P119" s="357"/>
      <c r="Q119" s="17"/>
      <c r="R119" s="17"/>
      <c r="S119" s="17"/>
      <c r="T119" s="365">
        <f>IFERROR(__xludf.DUMMYFUNCTION("""COMPUTED_VALUE"""),670875.0)</f>
        <v>670875</v>
      </c>
      <c r="U119" s="17"/>
      <c r="V119" s="384"/>
      <c r="W119" s="17"/>
    </row>
    <row r="120">
      <c r="A120" s="255" t="str">
        <f>IFERROR(__xludf.DUMMYFUNCTION("""COMPUTED_VALUE"""),"NANO")</f>
        <v>NANO</v>
      </c>
      <c r="B120" s="23" t="str">
        <f>IFERROR(__xludf.DUMMYFUNCTION("""COMPUTED_VALUE"""),"nirzabalqis_")</f>
        <v>nirzabalqis_</v>
      </c>
      <c r="C120" s="281" t="str">
        <f>IFERROR(__xludf.DUMMYFUNCTION("""COMPUTED_VALUE"""),"https://www.tiktok.com/@nirzabalqis_")</f>
        <v>https://www.tiktok.com/@nirzabalqis_</v>
      </c>
      <c r="D120" s="381">
        <f>IFERROR(__xludf.DUMMYFUNCTION("""COMPUTED_VALUE"""),8.5852281512E10)</f>
        <v>85852281512</v>
      </c>
      <c r="E120" s="271">
        <f>IFERROR(__xludf.DUMMYFUNCTION("""COMPUTED_VALUE"""),0.0)</f>
        <v>0</v>
      </c>
      <c r="F120" s="23">
        <f>IFERROR(__xludf.DUMMYFUNCTION("""COMPUTED_VALUE"""),2.0)</f>
        <v>2</v>
      </c>
      <c r="G120" s="34" t="str">
        <f>IFERROR(__xludf.DUMMYFUNCTION("""COMPUTED_VALUE"""),"Rp9,4JT")</f>
        <v>Rp9,4JT</v>
      </c>
      <c r="H120" s="375"/>
      <c r="I120" s="260" t="str">
        <f>IFERROR(__xludf.DUMMYFUNCTION("""COMPUTED_VALUE"""),"Sampai")</f>
        <v>Sampai</v>
      </c>
      <c r="J120" s="357"/>
      <c r="K120" s="279" t="str">
        <f>IFERROR(__xludf.DUMMYFUNCTION("""COMPUTED_VALUE"""),"https://www.tiktok.com/@nirzabalqis_/video/7622485270922808594?_r=1&amp;_t=ZS-95Ddfu8vmzM")</f>
        <v>https://www.tiktok.com/@nirzabalqis_/video/7622485270922808594?_r=1&amp;_t=ZS-95Ddfu8vmzM</v>
      </c>
      <c r="L120" s="357"/>
      <c r="M120" s="279" t="str">
        <f>IFERROR(__xludf.DUMMYFUNCTION("""COMPUTED_VALUE"""),"https://www.tiktok.com/@nirzabalqis_/video/7624356849910910216?_r=1&amp;_t=ZS-95DdhThYMUu")</f>
        <v>https://www.tiktok.com/@nirzabalqis_/video/7624356849910910216?_r=1&amp;_t=ZS-95DdhThYMUu</v>
      </c>
      <c r="N120" s="357"/>
      <c r="O120" s="17"/>
      <c r="P120" s="357"/>
      <c r="Q120" s="17"/>
      <c r="R120" s="17"/>
      <c r="S120" s="17"/>
      <c r="T120" s="365"/>
      <c r="U120" s="17"/>
      <c r="V120" s="384"/>
      <c r="W120" s="17"/>
    </row>
    <row r="121">
      <c r="A121" s="255" t="str">
        <f>IFERROR(__xludf.DUMMYFUNCTION("""COMPUTED_VALUE"""),"MICRO")</f>
        <v>MICRO</v>
      </c>
      <c r="B121" s="23" t="str">
        <f>IFERROR(__xludf.DUMMYFUNCTION("""COMPUTED_VALUE"""),"moodtiaraaaaa")</f>
        <v>moodtiaraaaaa</v>
      </c>
      <c r="C121" s="281" t="str">
        <f>IFERROR(__xludf.DUMMYFUNCTION("""COMPUTED_VALUE"""),"https://www.tiktok.com/@moodtiaraaaaa")</f>
        <v>https://www.tiktok.com/@moodtiaraaaaa</v>
      </c>
      <c r="D121" s="381">
        <f>IFERROR(__xludf.DUMMYFUNCTION("""COMPUTED_VALUE"""),8.1210255102E10)</f>
        <v>81210255102</v>
      </c>
      <c r="E121" s="271">
        <f>IFERROR(__xludf.DUMMYFUNCTION("""COMPUTED_VALUE"""),350000.0)</f>
        <v>350000</v>
      </c>
      <c r="F121" s="23">
        <f>IFERROR(__xludf.DUMMYFUNCTION("""COMPUTED_VALUE"""),1.0)</f>
        <v>1</v>
      </c>
      <c r="G121" s="34" t="str">
        <f>IFERROR(__xludf.DUMMYFUNCTION("""COMPUTED_VALUE"""),"87.88JT")</f>
        <v>87.88JT</v>
      </c>
      <c r="H121" s="375"/>
      <c r="I121" s="260" t="str">
        <f>IFERROR(__xludf.DUMMYFUNCTION("""COMPUTED_VALUE"""),"Sampai")</f>
        <v>Sampai</v>
      </c>
      <c r="J121" s="357"/>
      <c r="K121" s="279" t="str">
        <f>IFERROR(__xludf.DUMMYFUNCTION("""COMPUTED_VALUE"""),"https://www.tiktok.com/@moodtiaraaaaa/video/7626054968813948168?_r=1&amp;_t=ZS-95LUKZIanVi")</f>
        <v>https://www.tiktok.com/@moodtiaraaaaa/video/7626054968813948168?_r=1&amp;_t=ZS-95LUKZIanVi</v>
      </c>
      <c r="L121" s="357"/>
      <c r="M121" s="17"/>
      <c r="N121" s="357"/>
      <c r="O121" s="17"/>
      <c r="P121" s="357"/>
      <c r="Q121" s="17"/>
      <c r="R121" s="17"/>
      <c r="S121" s="17"/>
      <c r="T121" s="365"/>
      <c r="U121" s="17"/>
      <c r="V121" s="384"/>
      <c r="W121" s="17"/>
    </row>
    <row r="122">
      <c r="A122" s="255" t="str">
        <f>IFERROR(__xludf.DUMMYFUNCTION("""COMPUTED_VALUE"""),"MICRO")</f>
        <v>MICRO</v>
      </c>
      <c r="B122" s="23" t="str">
        <f>IFERROR(__xludf.DUMMYFUNCTION("""COMPUTED_VALUE"""),"chaaaajalahyah")</f>
        <v>chaaaajalahyah</v>
      </c>
      <c r="C122" s="281" t="str">
        <f>IFERROR(__xludf.DUMMYFUNCTION("""COMPUTED_VALUE"""),"https://www.tiktok.com/@chaaaajalahyah")</f>
        <v>https://www.tiktok.com/@chaaaajalahyah</v>
      </c>
      <c r="D122" s="381">
        <f>IFERROR(__xludf.DUMMYFUNCTION("""COMPUTED_VALUE"""),8.573258986E10)</f>
        <v>85732589860</v>
      </c>
      <c r="E122" s="271">
        <f>IFERROR(__xludf.DUMMYFUNCTION("""COMPUTED_VALUE"""),0.0)</f>
        <v>0</v>
      </c>
      <c r="F122" s="23">
        <f>IFERROR(__xludf.DUMMYFUNCTION("""COMPUTED_VALUE"""),1.0)</f>
        <v>1</v>
      </c>
      <c r="G122" s="34" t="str">
        <f>IFERROR(__xludf.DUMMYFUNCTION("""COMPUTED_VALUE"""),"146,7jt")</f>
        <v>146,7jt</v>
      </c>
      <c r="H122" s="375"/>
      <c r="I122" s="260" t="str">
        <f>IFERROR(__xludf.DUMMYFUNCTION("""COMPUTED_VALUE"""),"Sampai")</f>
        <v>Sampai</v>
      </c>
      <c r="J122" s="357"/>
      <c r="K122" s="279" t="str">
        <f>IFERROR(__xludf.DUMMYFUNCTION("""COMPUTED_VALUE"""),"https://vt.tiktok.com/ZS9ARULdT/")</f>
        <v>https://vt.tiktok.com/ZS9ARULdT/</v>
      </c>
      <c r="L122" s="357"/>
      <c r="M122" s="17"/>
      <c r="N122" s="357"/>
      <c r="O122" s="17"/>
      <c r="P122" s="357"/>
      <c r="Q122" s="17"/>
      <c r="R122" s="17"/>
      <c r="S122" s="17"/>
      <c r="T122" s="365"/>
      <c r="U122" s="17"/>
      <c r="V122" s="384"/>
      <c r="W122" s="17"/>
    </row>
    <row r="123">
      <c r="A123" s="255" t="str">
        <f>IFERROR(__xludf.DUMMYFUNCTION("""COMPUTED_VALUE"""),"MICRO")</f>
        <v>MICRO</v>
      </c>
      <c r="B123" s="23" t="str">
        <f>IFERROR(__xludf.DUMMYFUNCTION("""COMPUTED_VALUE"""),"shinta.deput")</f>
        <v>shinta.deput</v>
      </c>
      <c r="C123" s="281" t="str">
        <f>IFERROR(__xludf.DUMMYFUNCTION("""COMPUTED_VALUE"""),"https://www.tiktok.com/@shinta.deput")</f>
        <v>https://www.tiktok.com/@shinta.deput</v>
      </c>
      <c r="D123" s="381">
        <f>IFERROR(__xludf.DUMMYFUNCTION("""COMPUTED_VALUE"""),8.5740007341E10)</f>
        <v>85740007341</v>
      </c>
      <c r="E123" s="271">
        <f>IFERROR(__xludf.DUMMYFUNCTION("""COMPUTED_VALUE"""),0.0)</f>
        <v>0</v>
      </c>
      <c r="F123" s="23">
        <f>IFERROR(__xludf.DUMMYFUNCTION("""COMPUTED_VALUE"""),2.0)</f>
        <v>2</v>
      </c>
      <c r="G123" s="34" t="str">
        <f>IFERROR(__xludf.DUMMYFUNCTION("""COMPUTED_VALUE"""),"33.29K")</f>
        <v>33.29K</v>
      </c>
      <c r="H123" s="375" t="str">
        <f>IFERROR(__xludf.DUMMYFUNCTION("""COMPUTED_VALUE"""),"Cushion")</f>
        <v>Cushion</v>
      </c>
      <c r="I123" s="260" t="str">
        <f>IFERROR(__xludf.DUMMYFUNCTION("""COMPUTED_VALUE"""),"Sampai")</f>
        <v>Sampai</v>
      </c>
      <c r="J123" s="357"/>
      <c r="K123" s="279" t="str">
        <f>IFERROR(__xludf.DUMMYFUNCTION("""COMPUTED_VALUE"""),"https://vt.tiktok.com/ZSHCUUoKn/")</f>
        <v>https://vt.tiktok.com/ZSHCUUoKn/</v>
      </c>
      <c r="L123" s="357"/>
      <c r="M123" s="279" t="str">
        <f>IFERROR(__xludf.DUMMYFUNCTION("""COMPUTED_VALUE"""),"https://vt.tiktok.com/ZS9XTav53/ ")</f>
        <v>https://vt.tiktok.com/ZS9XTav53/ </v>
      </c>
      <c r="N123" s="357"/>
      <c r="O123" s="17"/>
      <c r="P123" s="357"/>
      <c r="Q123" s="17"/>
      <c r="R123" s="17"/>
      <c r="S123" s="17" t="str">
        <f>IFERROR(__xludf.DUMMYFUNCTION("""COMPUTED_VALUE"""),".")</f>
        <v>.</v>
      </c>
      <c r="T123" s="365">
        <f>IFERROR(__xludf.DUMMYFUNCTION("""COMPUTED_VALUE"""),58797.0)</f>
        <v>58797</v>
      </c>
      <c r="U123" s="17"/>
      <c r="V123" s="384"/>
      <c r="W123" s="17"/>
    </row>
    <row r="124">
      <c r="A124" s="255" t="str">
        <f>IFERROR(__xludf.DUMMYFUNCTION("""COMPUTED_VALUE"""),"MICRO")</f>
        <v>MICRO</v>
      </c>
      <c r="B124" s="23" t="str">
        <f>IFERROR(__xludf.DUMMYFUNCTION("""COMPUTED_VALUE"""),"nandajeliss")</f>
        <v>nandajeliss</v>
      </c>
      <c r="C124" s="281" t="str">
        <f>IFERROR(__xludf.DUMMYFUNCTION("""COMPUTED_VALUE"""),"https://www.tiktok.com/@nandajeliss")</f>
        <v>https://www.tiktok.com/@nandajeliss</v>
      </c>
      <c r="D124" s="381">
        <f>IFERROR(__xludf.DUMMYFUNCTION("""COMPUTED_VALUE"""),8.1575544282E10)</f>
        <v>81575544282</v>
      </c>
      <c r="E124" s="271">
        <f>IFERROR(__xludf.DUMMYFUNCTION("""COMPUTED_VALUE"""),0.0)</f>
        <v>0</v>
      </c>
      <c r="F124" s="23">
        <f>IFERROR(__xludf.DUMMYFUNCTION("""COMPUTED_VALUE"""),2.0)</f>
        <v>2</v>
      </c>
      <c r="G124" s="34" t="str">
        <f>IFERROR(__xludf.DUMMYFUNCTION("""COMPUTED_VALUE"""),"18.35JT")</f>
        <v>18.35JT</v>
      </c>
      <c r="H124" s="375" t="str">
        <f>IFERROR(__xludf.DUMMYFUNCTION("""COMPUTED_VALUE"""),"Cushion &amp; Lip Cream")</f>
        <v>Cushion &amp; Lip Cream</v>
      </c>
      <c r="I124" s="260" t="str">
        <f>IFERROR(__xludf.DUMMYFUNCTION("""COMPUTED_VALUE"""),"Sampai")</f>
        <v>Sampai</v>
      </c>
      <c r="J124" s="357"/>
      <c r="K124" s="279" t="str">
        <f>IFERROR(__xludf.DUMMYFUNCTION("""COMPUTED_VALUE"""),"https://vt.tiktok.com/ZSHfxk58u/")</f>
        <v>https://vt.tiktok.com/ZSHfxk58u/</v>
      </c>
      <c r="L124" s="357"/>
      <c r="M124" s="279" t="str">
        <f>IFERROR(__xludf.DUMMYFUNCTION("""COMPUTED_VALUE"""),"https://vt.tiktok.com/ZSHxjBnR4/ ")</f>
        <v>https://vt.tiktok.com/ZSHxjBnR4/ </v>
      </c>
      <c r="N124" s="357"/>
      <c r="O124" s="279" t="str">
        <f>IFERROR(__xludf.DUMMYFUNCTION("""COMPUTED_VALUE"""),"https://vt.tiktok.com/ZS9Rgf9bW/ ")</f>
        <v>https://vt.tiktok.com/ZS9Rgf9bW/ </v>
      </c>
      <c r="P124" s="357"/>
      <c r="Q124" s="279" t="str">
        <f>IFERROR(__xludf.DUMMYFUNCTION("""COMPUTED_VALUE"""),"https://vt.tiktok.com/ZS9Rgu49U/")</f>
        <v>https://vt.tiktok.com/ZS9Rgu49U/</v>
      </c>
      <c r="R124" s="17"/>
      <c r="S124" s="17"/>
      <c r="T124" s="365">
        <f>IFERROR(__xludf.DUMMYFUNCTION("""COMPUTED_VALUE"""),25613.0)</f>
        <v>25613</v>
      </c>
      <c r="U124" s="17"/>
      <c r="V124" s="384"/>
      <c r="W124" s="17"/>
    </row>
    <row r="125">
      <c r="A125" s="255" t="str">
        <f>IFERROR(__xludf.DUMMYFUNCTION("""COMPUTED_VALUE"""),"NANO")</f>
        <v>NANO</v>
      </c>
      <c r="B125" s="23" t="str">
        <f>IFERROR(__xludf.DUMMYFUNCTION("""COMPUTED_VALUE"""),"mtmnhhsn")</f>
        <v>mtmnhhsn</v>
      </c>
      <c r="C125" s="281" t="str">
        <f>IFERROR(__xludf.DUMMYFUNCTION("""COMPUTED_VALUE"""),"https://www.tiktok.com/@mtmnhhsn")</f>
        <v>https://www.tiktok.com/@mtmnhhsn</v>
      </c>
      <c r="D125" s="381"/>
      <c r="E125" s="271">
        <f>IFERROR(__xludf.DUMMYFUNCTION("""COMPUTED_VALUE"""),0.0)</f>
        <v>0</v>
      </c>
      <c r="F125" s="23">
        <f>IFERROR(__xludf.DUMMYFUNCTION("""COMPUTED_VALUE"""),1.0)</f>
        <v>1</v>
      </c>
      <c r="G125" s="34" t="str">
        <f>IFERROR(__xludf.DUMMYFUNCTION("""COMPUTED_VALUE"""),"6,5jt")</f>
        <v>6,5jt</v>
      </c>
      <c r="H125" s="375" t="str">
        <f>IFERROR(__xludf.DUMMYFUNCTION("""COMPUTED_VALUE"""),"Cushion")</f>
        <v>Cushion</v>
      </c>
      <c r="I125" s="260" t="str">
        <f>IFERROR(__xludf.DUMMYFUNCTION("""COMPUTED_VALUE"""),"Sampai")</f>
        <v>Sampai</v>
      </c>
      <c r="J125" s="357"/>
      <c r="K125" s="279" t="str">
        <f>IFERROR(__xludf.DUMMYFUNCTION("""COMPUTED_VALUE"""),"https://vt.tiktok.com/ZSHASrKgm/")</f>
        <v>https://vt.tiktok.com/ZSHASrKgm/</v>
      </c>
      <c r="L125" s="357"/>
      <c r="M125" s="17"/>
      <c r="N125" s="357"/>
      <c r="O125" s="17"/>
      <c r="P125" s="357"/>
      <c r="Q125" s="17"/>
      <c r="R125" s="17"/>
      <c r="S125" s="17"/>
      <c r="T125" s="365"/>
      <c r="U125" s="17"/>
      <c r="V125" s="384"/>
      <c r="W125" s="17"/>
    </row>
    <row r="126">
      <c r="A126" s="255" t="str">
        <f>IFERROR(__xludf.DUMMYFUNCTION("""COMPUTED_VALUE"""),"MACRO")</f>
        <v>MACRO</v>
      </c>
      <c r="B126" s="23" t="str">
        <f>IFERROR(__xludf.DUMMYFUNCTION("""COMPUTED_VALUE"""),"tika_dewi027")</f>
        <v>tika_dewi027</v>
      </c>
      <c r="C126" s="281" t="str">
        <f>IFERROR(__xludf.DUMMYFUNCTION("""COMPUTED_VALUE"""),"https://www.tiktok.com/@tika_dewi027")</f>
        <v>https://www.tiktok.com/@tika_dewi027</v>
      </c>
      <c r="D126" s="381">
        <f>IFERROR(__xludf.DUMMYFUNCTION("""COMPUTED_VALUE"""),8.3875767267E10)</f>
        <v>83875767267</v>
      </c>
      <c r="E126" s="271">
        <f>IFERROR(__xludf.DUMMYFUNCTION("""COMPUTED_VALUE"""),150000.0)</f>
        <v>150000</v>
      </c>
      <c r="F126" s="23">
        <f>IFERROR(__xludf.DUMMYFUNCTION("""COMPUTED_VALUE"""),1.0)</f>
        <v>1</v>
      </c>
      <c r="G126" s="34" t="str">
        <f>IFERROR(__xludf.DUMMYFUNCTION("""COMPUTED_VALUE"""),"1JT+")</f>
        <v>1JT+</v>
      </c>
      <c r="H126" s="375"/>
      <c r="I126" s="260" t="str">
        <f>IFERROR(__xludf.DUMMYFUNCTION("""COMPUTED_VALUE"""),"Sampai")</f>
        <v>Sampai</v>
      </c>
      <c r="J126" s="357"/>
      <c r="K126" s="279" t="str">
        <f>IFERROR(__xludf.DUMMYFUNCTION("""COMPUTED_VALUE"""),"https://vt.tiktok.com/ZS92No3c1/")</f>
        <v>https://vt.tiktok.com/ZS92No3c1/</v>
      </c>
      <c r="L126" s="357"/>
      <c r="M126" s="17"/>
      <c r="N126" s="357"/>
      <c r="O126" s="17"/>
      <c r="P126" s="357"/>
      <c r="Q126" s="17"/>
      <c r="R126" s="17"/>
      <c r="S126" s="17"/>
      <c r="T126" s="365"/>
      <c r="U126" s="17"/>
      <c r="V126" s="384"/>
      <c r="W126" s="17"/>
    </row>
    <row r="127">
      <c r="A127" s="255" t="str">
        <f>IFERROR(__xludf.DUMMYFUNCTION("""COMPUTED_VALUE"""),"MICRO")</f>
        <v>MICRO</v>
      </c>
      <c r="B127" s="23" t="str">
        <f>IFERROR(__xludf.DUMMYFUNCTION("""COMPUTED_VALUE"""),"ekbardiary")</f>
        <v>ekbardiary</v>
      </c>
      <c r="C127" s="281" t="str">
        <f>IFERROR(__xludf.DUMMYFUNCTION("""COMPUTED_VALUE"""),"https://www.tiktok.com/@ekbardiary")</f>
        <v>https://www.tiktok.com/@ekbardiary</v>
      </c>
      <c r="D127" s="381"/>
      <c r="E127" s="271">
        <f>IFERROR(__xludf.DUMMYFUNCTION("""COMPUTED_VALUE"""),300000.0)</f>
        <v>300000</v>
      </c>
      <c r="F127" s="23">
        <f>IFERROR(__xludf.DUMMYFUNCTION("""COMPUTED_VALUE"""),1.0)</f>
        <v>1</v>
      </c>
      <c r="G127" s="34" t="str">
        <f>IFERROR(__xludf.DUMMYFUNCTION("""COMPUTED_VALUE"""),"Rp1JT+")</f>
        <v>Rp1JT+</v>
      </c>
      <c r="H127" s="375" t="str">
        <f>IFERROR(__xludf.DUMMYFUNCTION("""COMPUTED_VALUE"""),"Lip Cream")</f>
        <v>Lip Cream</v>
      </c>
      <c r="I127" s="260" t="str">
        <f>IFERROR(__xludf.DUMMYFUNCTION("""COMPUTED_VALUE"""),"Sampai")</f>
        <v>Sampai</v>
      </c>
      <c r="J127" s="357"/>
      <c r="K127" s="279" t="str">
        <f>IFERROR(__xludf.DUMMYFUNCTION("""COMPUTED_VALUE"""),"https://vt.tiktok.com/ZS9R2sYL1/")</f>
        <v>https://vt.tiktok.com/ZS9R2sYL1/</v>
      </c>
      <c r="L127" s="357"/>
      <c r="M127" s="17"/>
      <c r="N127" s="357"/>
      <c r="O127" s="17"/>
      <c r="P127" s="357"/>
      <c r="Q127" s="17"/>
      <c r="R127" s="17"/>
      <c r="S127" s="17"/>
      <c r="T127" s="365">
        <f>IFERROR(__xludf.DUMMYFUNCTION("""COMPUTED_VALUE"""),326314.0)</f>
        <v>326314</v>
      </c>
      <c r="U127" s="17"/>
      <c r="V127" s="384"/>
      <c r="W127" s="17"/>
    </row>
    <row r="128">
      <c r="A128" s="255" t="str">
        <f>IFERROR(__xludf.DUMMYFUNCTION("""COMPUTED_VALUE"""),"NANO")</f>
        <v>NANO</v>
      </c>
      <c r="B128" s="23" t="str">
        <f>IFERROR(__xludf.DUMMYFUNCTION("""COMPUTED_VALUE"""),"nddrs")</f>
        <v>nddrs</v>
      </c>
      <c r="C128" s="281" t="str">
        <f>IFERROR(__xludf.DUMMYFUNCTION("""COMPUTED_VALUE"""),"https://www.tiktok.com/@nddrs")</f>
        <v>https://www.tiktok.com/@nddrs</v>
      </c>
      <c r="D128" s="381">
        <f>IFERROR(__xludf.DUMMYFUNCTION("""COMPUTED_VALUE"""),8.7778482205E10)</f>
        <v>87778482205</v>
      </c>
      <c r="E128" s="271">
        <f>IFERROR(__xludf.DUMMYFUNCTION("""COMPUTED_VALUE"""),0.0)</f>
        <v>0</v>
      </c>
      <c r="F128" s="23">
        <f>IFERROR(__xludf.DUMMYFUNCTION("""COMPUTED_VALUE"""),1.0)</f>
        <v>1</v>
      </c>
      <c r="G128" s="34" t="str">
        <f>IFERROR(__xludf.DUMMYFUNCTION("""COMPUTED_VALUE"""),"Rp1JT+")</f>
        <v>Rp1JT+</v>
      </c>
      <c r="H128" s="375"/>
      <c r="I128" s="260"/>
      <c r="J128" s="357"/>
      <c r="K128" s="17"/>
      <c r="L128" s="357"/>
      <c r="M128" s="17"/>
      <c r="N128" s="357"/>
      <c r="O128" s="17"/>
      <c r="P128" s="357"/>
      <c r="Q128" s="17"/>
      <c r="R128" s="17"/>
      <c r="S128" s="17"/>
      <c r="T128" s="365"/>
      <c r="U128" s="17"/>
      <c r="V128" s="384"/>
      <c r="W128" s="17"/>
    </row>
    <row r="129">
      <c r="A129" s="255" t="str">
        <f>IFERROR(__xludf.DUMMYFUNCTION("""COMPUTED_VALUE"""),"NANO")</f>
        <v>NANO</v>
      </c>
      <c r="B129" s="23" t="str">
        <f>IFERROR(__xludf.DUMMYFUNCTION("""COMPUTED_VALUE"""),"unboxingtime___")</f>
        <v>unboxingtime___</v>
      </c>
      <c r="C129" s="281" t="str">
        <f>IFERROR(__xludf.DUMMYFUNCTION("""COMPUTED_VALUE"""),"https://www.tiktok.com/@unboxingtime___")</f>
        <v>https://www.tiktok.com/@unboxingtime___</v>
      </c>
      <c r="D129" s="381">
        <f>IFERROR(__xludf.DUMMYFUNCTION("""COMPUTED_VALUE"""),8.1220335521E10)</f>
        <v>81220335521</v>
      </c>
      <c r="E129" s="271">
        <f>IFERROR(__xludf.DUMMYFUNCTION("""COMPUTED_VALUE"""),0.0)</f>
        <v>0</v>
      </c>
      <c r="F129" s="23">
        <f>IFERROR(__xludf.DUMMYFUNCTION("""COMPUTED_VALUE"""),2.0)</f>
        <v>2</v>
      </c>
      <c r="G129" s="34" t="str">
        <f>IFERROR(__xludf.DUMMYFUNCTION("""COMPUTED_VALUE"""),"284JT")</f>
        <v>284JT</v>
      </c>
      <c r="H129" s="375"/>
      <c r="I129" s="260" t="str">
        <f>IFERROR(__xludf.DUMMYFUNCTION("""COMPUTED_VALUE"""),"Sampai")</f>
        <v>Sampai</v>
      </c>
      <c r="J129" s="357"/>
      <c r="K129" s="279" t="str">
        <f>IFERROR(__xludf.DUMMYFUNCTION("""COMPUTED_VALUE"""),"https://vt.tiktok.com/ZS94AYbv1/")</f>
        <v>https://vt.tiktok.com/ZS94AYbv1/</v>
      </c>
      <c r="L129" s="357"/>
      <c r="M129" s="279" t="str">
        <f>IFERROR(__xludf.DUMMYFUNCTION("""COMPUTED_VALUE"""),"https://vt.tiktok.com/ZS9pMkPQY/")</f>
        <v>https://vt.tiktok.com/ZS9pMkPQY/</v>
      </c>
      <c r="N129" s="357"/>
      <c r="O129" s="17"/>
      <c r="P129" s="357"/>
      <c r="Q129" s="17"/>
      <c r="R129" s="17"/>
      <c r="S129" s="17"/>
      <c r="T129" s="365">
        <f>IFERROR(__xludf.DUMMYFUNCTION("""COMPUTED_VALUE"""),55496.0)</f>
        <v>55496</v>
      </c>
      <c r="U129" s="17"/>
      <c r="V129" s="384"/>
      <c r="W129" s="17"/>
    </row>
    <row r="130">
      <c r="A130" s="255" t="str">
        <f>IFERROR(__xludf.DUMMYFUNCTION("""COMPUTED_VALUE"""),"MICRO")</f>
        <v>MICRO</v>
      </c>
      <c r="B130" s="257" t="str">
        <f>IFERROR(__xludf.DUMMYFUNCTION("""COMPUTED_VALUE"""),"klambi.jo")</f>
        <v>klambi.jo</v>
      </c>
      <c r="C130" s="281" t="str">
        <f>IFERROR(__xludf.DUMMYFUNCTION("""COMPUTED_VALUE"""),"https://www.tiktok.com/@klambi.jo")</f>
        <v>https://www.tiktok.com/@klambi.jo</v>
      </c>
      <c r="D130" s="381">
        <f>IFERROR(__xludf.DUMMYFUNCTION("""COMPUTED_VALUE"""),8.9699696313E10)</f>
        <v>89699696313</v>
      </c>
      <c r="E130" s="271">
        <f>IFERROR(__xludf.DUMMYFUNCTION("""COMPUTED_VALUE"""),0.0)</f>
        <v>0</v>
      </c>
      <c r="F130" s="23">
        <f>IFERROR(__xludf.DUMMYFUNCTION("""COMPUTED_VALUE"""),2.0)</f>
        <v>2</v>
      </c>
      <c r="G130" s="34" t="str">
        <f>IFERROR(__xludf.DUMMYFUNCTION("""COMPUTED_VALUE"""),"91JT")</f>
        <v>91JT</v>
      </c>
      <c r="H130" s="375"/>
      <c r="I130" s="260" t="str">
        <f>IFERROR(__xludf.DUMMYFUNCTION("""COMPUTED_VALUE"""),"Sampai")</f>
        <v>Sampai</v>
      </c>
      <c r="J130" s="357"/>
      <c r="K130" s="279" t="str">
        <f>IFERROR(__xludf.DUMMYFUNCTION("""COMPUTED_VALUE"""),"https://vt.tiktok.com/ZSHWG3KXG/")</f>
        <v>https://vt.tiktok.com/ZSHWG3KXG/</v>
      </c>
      <c r="L130" s="357"/>
      <c r="M130" s="279" t="str">
        <f>IFERROR(__xludf.DUMMYFUNCTION("""COMPUTED_VALUE"""),"https://www.tiktok.com/@klambi.jo/video/7629603930024021268?_r=1&amp;u_code=dbe2kdg7k5f797&amp;region=&amp;mid=7629603973444029202&amp;preview_pb=0&amp;sharer_language=&amp;_d=0&amp;ec_shared_reflux_dynamic_params=%7B%22placeholder_material_id%22%3A%227629603930024021268%22%2C%22pla"&amp;"ceholder_origin_cover%22%3A%22https%253A%252F%252Fp16-sign-sg.tiktokcdn.com%252Ftos-alisg-p-0037%252Fow03IhFCABiTOwjQmzJAfiG7YAuvhIkYIO88jB~tplv-tiktokx-origin.jpeg%253Fdr%253D14572%2526refresh_token%253D7629b1ad%2526x-expires%253D1809763200%2526x-signatu"&amp;"re%253DvnF2vULxqrVKxhjZ7eIwrxp8lRw%25253D%2526t%253D4d5b0474%2526ps%253D13740610%2526shp%253Dd05b14bd%2526shcp%253D34ff8df6%2526idc%253Dmy%2526s%253DTIKTOK_AFFILIATE_VIRAL_VIDEO%22%2C%22placeholder_product_id%22%3A%221730259561940878739%22%2C%22placeholde"&amp;"r_video_id%22%3A%227629603930024021268%22%7D&amp;ec_shared_reflux_scene=shop_tab_feed&amp;share_item_id=7629603930024021268&amp;source=h5_t")</f>
        <v>https://www.tiktok.com/@klambi.jo/video/7629603930024021268?_r=1&amp;u_code=dbe2kdg7k5f797&amp;region=&amp;mid=7629603973444029202&amp;preview_pb=0&amp;sharer_language=&amp;_d=0&amp;ec_shared_reflux_dynamic_params=%7B%22placeholder_material_id%22%3A%227629603930024021268%22%2C%22placeholder_origin_cover%22%3A%22https%253A%252F%252Fp16-sign-sg.tiktokcdn.com%252Ftos-alisg-p-0037%252Fow03IhFCABiTOwjQmzJAfiG7YAuvhIkYIO88jB~tplv-tiktokx-origin.jpeg%253Fdr%253D14572%2526refresh_token%253D7629b1ad%2526x-expires%253D1809763200%2526x-signature%253DvnF2vULxqrVKxhjZ7eIwrxp8lRw%25253D%2526t%253D4d5b0474%2526ps%253D13740610%2526shp%253Dd05b14bd%2526shcp%253D34ff8df6%2526idc%253Dmy%2526s%253DTIKTOK_AFFILIATE_VIRAL_VIDEO%22%2C%22placeholder_product_id%22%3A%221730259561940878739%22%2C%22placeholder_video_id%22%3A%227629603930024021268%22%7D&amp;ec_shared_reflux_scene=shop_tab_feed&amp;share_item_id=7629603930024021268&amp;source=h5_t</v>
      </c>
      <c r="N130" s="357"/>
      <c r="O130" s="17"/>
      <c r="P130" s="357"/>
      <c r="Q130" s="17"/>
      <c r="R130" s="17"/>
      <c r="S130" s="17"/>
      <c r="T130" s="365"/>
      <c r="U130" s="17"/>
      <c r="V130" s="384"/>
      <c r="W130" s="17"/>
    </row>
    <row r="131">
      <c r="A131" s="255" t="str">
        <f>IFERROR(__xludf.DUMMYFUNCTION("""COMPUTED_VALUE"""),"NANO")</f>
        <v>NANO</v>
      </c>
      <c r="B131" s="23" t="str">
        <f>IFERROR(__xludf.DUMMYFUNCTION("""COMPUTED_VALUE"""),"ceisyaandr")</f>
        <v>ceisyaandr</v>
      </c>
      <c r="C131" s="281" t="str">
        <f>IFERROR(__xludf.DUMMYFUNCTION("""COMPUTED_VALUE"""),"https://www.tiktok.com/@ceisyaandr")</f>
        <v>https://www.tiktok.com/@ceisyaandr</v>
      </c>
      <c r="D131" s="381">
        <f>IFERROR(__xludf.DUMMYFUNCTION("""COMPUTED_VALUE"""),8.986957804E9)</f>
        <v>8986957804</v>
      </c>
      <c r="E131" s="271">
        <f>IFERROR(__xludf.DUMMYFUNCTION("""COMPUTED_VALUE"""),0.0)</f>
        <v>0</v>
      </c>
      <c r="F131" s="23">
        <f>IFERROR(__xludf.DUMMYFUNCTION("""COMPUTED_VALUE"""),2.0)</f>
        <v>2</v>
      </c>
      <c r="G131" s="34" t="str">
        <f>IFERROR(__xludf.DUMMYFUNCTION("""COMPUTED_VALUE"""),"14,7JT")</f>
        <v>14,7JT</v>
      </c>
      <c r="H131" s="375"/>
      <c r="I131" s="260" t="str">
        <f>IFERROR(__xludf.DUMMYFUNCTION("""COMPUTED_VALUE"""),"Sampai")</f>
        <v>Sampai</v>
      </c>
      <c r="J131" s="357"/>
      <c r="K131" s="279" t="str">
        <f>IFERROR(__xludf.DUMMYFUNCTION("""COMPUTED_VALUE"""),"https://vt.tiktok.com/ZS9UJx4Pf/")</f>
        <v>https://vt.tiktok.com/ZS9UJx4Pf/</v>
      </c>
      <c r="L131" s="357"/>
      <c r="M131" s="279" t="str">
        <f>IFERROR(__xludf.DUMMYFUNCTION("""COMPUTED_VALUE"""),"https://vt.tiktok.com/ZS94VAAvb/")</f>
        <v>https://vt.tiktok.com/ZS94VAAvb/</v>
      </c>
      <c r="N131" s="357"/>
      <c r="O131" s="17"/>
      <c r="P131" s="357"/>
      <c r="Q131" s="17"/>
      <c r="R131" s="17"/>
      <c r="S131" s="17"/>
      <c r="T131" s="365"/>
      <c r="U131" s="17"/>
      <c r="V131" s="384"/>
      <c r="W131" s="17"/>
    </row>
    <row r="132">
      <c r="A132" s="255" t="str">
        <f>IFERROR(__xludf.DUMMYFUNCTION("""COMPUTED_VALUE"""),"NANO")</f>
        <v>NANO</v>
      </c>
      <c r="B132" s="23" t="str">
        <f>IFERROR(__xludf.DUMMYFUNCTION("""COMPUTED_VALUE"""),"shavirapuspitacitra")</f>
        <v>shavirapuspitacitra</v>
      </c>
      <c r="C132" s="281" t="str">
        <f>IFERROR(__xludf.DUMMYFUNCTION("""COMPUTED_VALUE"""),"https://www.tiktok.com/@shavirapuspitacitra")</f>
        <v>https://www.tiktok.com/@shavirapuspitacitra</v>
      </c>
      <c r="D132" s="381">
        <f>IFERROR(__xludf.DUMMYFUNCTION("""COMPUTED_VALUE"""),8.7768647289E10)</f>
        <v>87768647289</v>
      </c>
      <c r="E132" s="271">
        <f>IFERROR(__xludf.DUMMYFUNCTION("""COMPUTED_VALUE"""),250000.0)</f>
        <v>250000</v>
      </c>
      <c r="F132" s="23">
        <f>IFERROR(__xludf.DUMMYFUNCTION("""COMPUTED_VALUE"""),1.0)</f>
        <v>1</v>
      </c>
      <c r="G132" s="34" t="str">
        <f>IFERROR(__xludf.DUMMYFUNCTION("""COMPUTED_VALUE"""),"1JT+")</f>
        <v>1JT+</v>
      </c>
      <c r="H132" s="375"/>
      <c r="I132" s="260" t="str">
        <f>IFERROR(__xludf.DUMMYFUNCTION("""COMPUTED_VALUE"""),"Sampai")</f>
        <v>Sampai</v>
      </c>
      <c r="J132" s="357"/>
      <c r="K132" s="279" t="str">
        <f>IFERROR(__xludf.DUMMYFUNCTION("""COMPUTED_VALUE"""),"https://vt.tiktok.com/ZS9HUfQkf/")</f>
        <v>https://vt.tiktok.com/ZS9HUfQkf/</v>
      </c>
      <c r="L132" s="357"/>
      <c r="M132" s="17"/>
      <c r="N132" s="357"/>
      <c r="O132" s="17"/>
      <c r="P132" s="357"/>
      <c r="Q132" s="17"/>
      <c r="R132" s="17"/>
      <c r="S132" s="17"/>
      <c r="T132" s="365"/>
      <c r="U132" s="17"/>
      <c r="V132" s="384"/>
      <c r="W132" s="17"/>
    </row>
    <row r="133">
      <c r="A133" s="255" t="str">
        <f>IFERROR(__xludf.DUMMYFUNCTION("""COMPUTED_VALUE"""),"MACRO")</f>
        <v>MACRO</v>
      </c>
      <c r="B133" s="23" t="str">
        <f>IFERROR(__xludf.DUMMYFUNCTION("""COMPUTED_VALUE"""),"hananugroho_")</f>
        <v>hananugroho_</v>
      </c>
      <c r="C133" s="281" t="str">
        <f>IFERROR(__xludf.DUMMYFUNCTION("""COMPUTED_VALUE"""),"https://www.tiktok.com/@hananugroho_")</f>
        <v>https://www.tiktok.com/@hananugroho_</v>
      </c>
      <c r="D133" s="381">
        <f>IFERROR(__xludf.DUMMYFUNCTION("""COMPUTED_VALUE"""),8.8228101285E10)</f>
        <v>88228101285</v>
      </c>
      <c r="E133" s="271">
        <f>IFERROR(__xludf.DUMMYFUNCTION("""COMPUTED_VALUE"""),500000.0)</f>
        <v>500000</v>
      </c>
      <c r="F133" s="23">
        <f>IFERROR(__xludf.DUMMYFUNCTION("""COMPUTED_VALUE"""),1.0)</f>
        <v>1</v>
      </c>
      <c r="G133" s="34" t="str">
        <f>IFERROR(__xludf.DUMMYFUNCTION("""COMPUTED_VALUE"""),"290JT")</f>
        <v>290JT</v>
      </c>
      <c r="H133" s="375" t="str">
        <f>IFERROR(__xludf.DUMMYFUNCTION("""COMPUTED_VALUE"""),"Cushion")</f>
        <v>Cushion</v>
      </c>
      <c r="I133" s="260" t="str">
        <f>IFERROR(__xludf.DUMMYFUNCTION("""COMPUTED_VALUE"""),"Sampai")</f>
        <v>Sampai</v>
      </c>
      <c r="J133" s="357"/>
      <c r="K133" s="279" t="str">
        <f>IFERROR(__xludf.DUMMYFUNCTION("""COMPUTED_VALUE"""),"https://vt.tiktok.com/ZS9b8PtCH/")</f>
        <v>https://vt.tiktok.com/ZS9b8PtCH/</v>
      </c>
      <c r="L133" s="357"/>
      <c r="M133" s="17"/>
      <c r="N133" s="357"/>
      <c r="O133" s="17"/>
      <c r="P133" s="357"/>
      <c r="Q133" s="17"/>
      <c r="R133" s="17"/>
      <c r="S133" s="17"/>
      <c r="T133" s="365">
        <f>IFERROR(__xludf.DUMMYFUNCTION("""COMPUTED_VALUE"""),196619.0)</f>
        <v>196619</v>
      </c>
      <c r="U133" s="17"/>
      <c r="V133" s="384"/>
      <c r="W133" s="17"/>
    </row>
    <row r="134">
      <c r="A134" s="255" t="str">
        <f>IFERROR(__xludf.DUMMYFUNCTION("""COMPUTED_VALUE"""),"NANO")</f>
        <v>NANO</v>
      </c>
      <c r="B134" s="23" t="str">
        <f>IFERROR(__xludf.DUMMYFUNCTION("""COMPUTED_VALUE"""),"syahvitridewi")</f>
        <v>syahvitridewi</v>
      </c>
      <c r="C134" s="281" t="str">
        <f>IFERROR(__xludf.DUMMYFUNCTION("""COMPUTED_VALUE"""),"https://www.tiktok.com/@syahvitridewi")</f>
        <v>https://www.tiktok.com/@syahvitridewi</v>
      </c>
      <c r="D134" s="381">
        <f>IFERROR(__xludf.DUMMYFUNCTION("""COMPUTED_VALUE"""),8.5732336052E10)</f>
        <v>85732336052</v>
      </c>
      <c r="E134" s="271">
        <f>IFERROR(__xludf.DUMMYFUNCTION("""COMPUTED_VALUE"""),150000.0)</f>
        <v>150000</v>
      </c>
      <c r="F134" s="23">
        <f>IFERROR(__xludf.DUMMYFUNCTION("""COMPUTED_VALUE"""),1.0)</f>
        <v>1</v>
      </c>
      <c r="G134" s="34" t="str">
        <f>IFERROR(__xludf.DUMMYFUNCTION("""COMPUTED_VALUE"""),"100JT")</f>
        <v>100JT</v>
      </c>
      <c r="H134" s="375"/>
      <c r="I134" s="260" t="str">
        <f>IFERROR(__xludf.DUMMYFUNCTION("""COMPUTED_VALUE"""),"Sampai")</f>
        <v>Sampai</v>
      </c>
      <c r="J134" s="357"/>
      <c r="K134" s="279" t="str">
        <f>IFERROR(__xludf.DUMMYFUNCTION("""COMPUTED_VALUE"""),"https://vt.tiktok.com/ZS9U2QJaj/")</f>
        <v>https://vt.tiktok.com/ZS9U2QJaj/</v>
      </c>
      <c r="L134" s="357"/>
      <c r="M134" s="17"/>
      <c r="N134" s="357"/>
      <c r="O134" s="17"/>
      <c r="P134" s="357"/>
      <c r="Q134" s="17"/>
      <c r="R134" s="17"/>
      <c r="S134" s="17"/>
      <c r="T134" s="365"/>
      <c r="U134" s="17"/>
      <c r="V134" s="384"/>
      <c r="W134" s="17"/>
    </row>
    <row r="135">
      <c r="A135" s="255" t="str">
        <f>IFERROR(__xludf.DUMMYFUNCTION("""COMPUTED_VALUE"""),"NANO")</f>
        <v>NANO</v>
      </c>
      <c r="B135" s="23" t="str">
        <f>IFERROR(__xludf.DUMMYFUNCTION("""COMPUTED_VALUE"""),"liansseptiana")</f>
        <v>liansseptiana</v>
      </c>
      <c r="C135" s="281" t="str">
        <f>IFERROR(__xludf.DUMMYFUNCTION("""COMPUTED_VALUE"""),"https://www.tiktok.com/@liansseptiana")</f>
        <v>https://www.tiktok.com/@liansseptiana</v>
      </c>
      <c r="D135" s="381">
        <f>IFERROR(__xludf.DUMMYFUNCTION("""COMPUTED_VALUE"""),8.5776666279E10)</f>
        <v>85776666279</v>
      </c>
      <c r="E135" s="271">
        <f>IFERROR(__xludf.DUMMYFUNCTION("""COMPUTED_VALUE"""),0.0)</f>
        <v>0</v>
      </c>
      <c r="F135" s="23">
        <f>IFERROR(__xludf.DUMMYFUNCTION("""COMPUTED_VALUE"""),1.0)</f>
        <v>1</v>
      </c>
      <c r="G135" s="34" t="str">
        <f>IFERROR(__xludf.DUMMYFUNCTION("""COMPUTED_VALUE"""),"63JT")</f>
        <v>63JT</v>
      </c>
      <c r="H135" s="375"/>
      <c r="I135" s="260" t="str">
        <f>IFERROR(__xludf.DUMMYFUNCTION("""COMPUTED_VALUE"""),"Sampai")</f>
        <v>Sampai</v>
      </c>
      <c r="J135" s="357"/>
      <c r="K135" s="279" t="str">
        <f>IFERROR(__xludf.DUMMYFUNCTION("""COMPUTED_VALUE"""),"https://vt.tiktok.com/ZS98DTGJQ/")</f>
        <v>https://vt.tiktok.com/ZS98DTGJQ/</v>
      </c>
      <c r="L135" s="357"/>
      <c r="M135" s="17"/>
      <c r="N135" s="357"/>
      <c r="O135" s="17"/>
      <c r="P135" s="357"/>
      <c r="Q135" s="17"/>
      <c r="R135" s="17"/>
      <c r="S135" s="17"/>
      <c r="T135" s="365"/>
      <c r="U135" s="17"/>
      <c r="V135" s="384"/>
      <c r="W135" s="17"/>
    </row>
    <row r="136">
      <c r="A136" s="255" t="str">
        <f>IFERROR(__xludf.DUMMYFUNCTION("""COMPUTED_VALUE"""),"NANO")</f>
        <v>NANO</v>
      </c>
      <c r="B136" s="23" t="str">
        <f>IFERROR(__xludf.DUMMYFUNCTION("""COMPUTED_VALUE"""),"marizarizka_")</f>
        <v>marizarizka_</v>
      </c>
      <c r="C136" s="281" t="str">
        <f>IFERROR(__xludf.DUMMYFUNCTION("""COMPUTED_VALUE"""),"https://www.tiktok.com/@marizarizka_")</f>
        <v>https://www.tiktok.com/@marizarizka_</v>
      </c>
      <c r="D136" s="381">
        <f>IFERROR(__xludf.DUMMYFUNCTION("""COMPUTED_VALUE"""),8.7769115748E10)</f>
        <v>87769115748</v>
      </c>
      <c r="E136" s="271">
        <f>IFERROR(__xludf.DUMMYFUNCTION("""COMPUTED_VALUE"""),0.0)</f>
        <v>0</v>
      </c>
      <c r="F136" s="23">
        <f>IFERROR(__xludf.DUMMYFUNCTION("""COMPUTED_VALUE"""),2.0)</f>
        <v>2</v>
      </c>
      <c r="G136" s="34" t="str">
        <f>IFERROR(__xludf.DUMMYFUNCTION("""COMPUTED_VALUE"""),"1JT+")</f>
        <v>1JT+</v>
      </c>
      <c r="H136" s="375" t="str">
        <f>IFERROR(__xludf.DUMMYFUNCTION("""COMPUTED_VALUE"""),"Cushion")</f>
        <v>Cushion</v>
      </c>
      <c r="I136" s="260" t="str">
        <f>IFERROR(__xludf.DUMMYFUNCTION("""COMPUTED_VALUE"""),"Sampai")</f>
        <v>Sampai</v>
      </c>
      <c r="J136" s="357"/>
      <c r="K136" s="279" t="str">
        <f>IFERROR(__xludf.DUMMYFUNCTION("""COMPUTED_VALUE"""),"https://vt.tiktok.com/ZS9UAsSGp/")</f>
        <v>https://vt.tiktok.com/ZS9UAsSGp/</v>
      </c>
      <c r="L136" s="357"/>
      <c r="M136" s="17"/>
      <c r="N136" s="357"/>
      <c r="O136" s="17"/>
      <c r="P136" s="357"/>
      <c r="Q136" s="17"/>
      <c r="R136" s="17"/>
      <c r="S136" s="17"/>
      <c r="T136" s="365">
        <f>IFERROR(__xludf.DUMMYFUNCTION("""COMPUTED_VALUE"""),125448.0)</f>
        <v>125448</v>
      </c>
      <c r="U136" s="17"/>
      <c r="V136" s="384"/>
      <c r="W136" s="17"/>
    </row>
    <row r="137">
      <c r="A137" s="255" t="str">
        <f>IFERROR(__xludf.DUMMYFUNCTION("""COMPUTED_VALUE"""),"NANO")</f>
        <v>NANO</v>
      </c>
      <c r="B137" s="23" t="str">
        <f>IFERROR(__xludf.DUMMYFUNCTION("""COMPUTED_VALUE"""),"nnfshah")</f>
        <v>nnfshah</v>
      </c>
      <c r="C137" s="281" t="str">
        <f>IFERROR(__xludf.DUMMYFUNCTION("""COMPUTED_VALUE"""),"https://www.tiktok.com/@nnfshah")</f>
        <v>https://www.tiktok.com/@nnfshah</v>
      </c>
      <c r="D137" s="381">
        <f>IFERROR(__xludf.DUMMYFUNCTION("""COMPUTED_VALUE"""),8.571873984E10)</f>
        <v>85718739840</v>
      </c>
      <c r="E137" s="271">
        <f>IFERROR(__xludf.DUMMYFUNCTION("""COMPUTED_VALUE"""),0.0)</f>
        <v>0</v>
      </c>
      <c r="F137" s="23">
        <f>IFERROR(__xludf.DUMMYFUNCTION("""COMPUTED_VALUE"""),2.0)</f>
        <v>2</v>
      </c>
      <c r="G137" s="34" t="str">
        <f>IFERROR(__xludf.DUMMYFUNCTION("""COMPUTED_VALUE"""),"1JT+")</f>
        <v>1JT+</v>
      </c>
      <c r="H137" s="375" t="str">
        <f>IFERROR(__xludf.DUMMYFUNCTION("""COMPUTED_VALUE"""),"Cushion &amp; TWC")</f>
        <v>Cushion &amp; TWC</v>
      </c>
      <c r="I137" s="260" t="str">
        <f>IFERROR(__xludf.DUMMYFUNCTION("""COMPUTED_VALUE"""),"Sampai")</f>
        <v>Sampai</v>
      </c>
      <c r="J137" s="357"/>
      <c r="K137" s="279" t="str">
        <f>IFERROR(__xludf.DUMMYFUNCTION("""COMPUTED_VALUE"""),"https://vt.tiktok.com/ZS9SscpQU/")</f>
        <v>https://vt.tiktok.com/ZS9SscpQU/</v>
      </c>
      <c r="L137" s="357"/>
      <c r="M137" s="279" t="str">
        <f>IFERROR(__xludf.DUMMYFUNCTION("""COMPUTED_VALUE"""),"https://vt.tiktok.com/ZSx8YbyC9/")</f>
        <v>https://vt.tiktok.com/ZSx8YbyC9/</v>
      </c>
      <c r="N137" s="357"/>
      <c r="O137" s="17"/>
      <c r="P137" s="357"/>
      <c r="Q137" s="17"/>
      <c r="R137" s="17"/>
      <c r="S137" s="17"/>
      <c r="T137" s="365">
        <f>IFERROR(__xludf.DUMMYFUNCTION("""COMPUTED_VALUE"""),74825.0)</f>
        <v>74825</v>
      </c>
      <c r="U137" s="17"/>
      <c r="V137" s="384"/>
      <c r="W137" s="17"/>
    </row>
    <row r="138">
      <c r="A138" s="255" t="str">
        <f>IFERROR(__xludf.DUMMYFUNCTION("""COMPUTED_VALUE"""),"MICRO")</f>
        <v>MICRO</v>
      </c>
      <c r="B138" s="23" t="str">
        <f>IFERROR(__xludf.DUMMYFUNCTION("""COMPUTED_VALUE"""),"naylanayla_yh1")</f>
        <v>naylanayla_yh1</v>
      </c>
      <c r="C138" s="281" t="str">
        <f>IFERROR(__xludf.DUMMYFUNCTION("""COMPUTED_VALUE"""),"https://www.tiktok.com/@naylanayla_yh1")</f>
        <v>https://www.tiktok.com/@naylanayla_yh1</v>
      </c>
      <c r="D138" s="381">
        <f>IFERROR(__xludf.DUMMYFUNCTION("""COMPUTED_VALUE"""),8.385711493E10)</f>
        <v>83857114930</v>
      </c>
      <c r="E138" s="271">
        <f>IFERROR(__xludf.DUMMYFUNCTION("""COMPUTED_VALUE"""),0.0)</f>
        <v>0</v>
      </c>
      <c r="F138" s="23">
        <f>IFERROR(__xludf.DUMMYFUNCTION("""COMPUTED_VALUE"""),2.0)</f>
        <v>2</v>
      </c>
      <c r="G138" s="34" t="str">
        <f>IFERROR(__xludf.DUMMYFUNCTION("""COMPUTED_VALUE"""),"519,1JT")</f>
        <v>519,1JT</v>
      </c>
      <c r="H138" s="375" t="str">
        <f>IFERROR(__xludf.DUMMYFUNCTION("""COMPUTED_VALUE"""),"Cushion")</f>
        <v>Cushion</v>
      </c>
      <c r="I138" s="260" t="str">
        <f>IFERROR(__xludf.DUMMYFUNCTION("""COMPUTED_VALUE"""),"Sampai")</f>
        <v>Sampai</v>
      </c>
      <c r="J138" s="357"/>
      <c r="K138" s="279" t="str">
        <f>IFERROR(__xludf.DUMMYFUNCTION("""COMPUTED_VALUE"""),"https://vt.tiktok.com/ZS9U1svLH/")</f>
        <v>https://vt.tiktok.com/ZS9U1svLH/</v>
      </c>
      <c r="L138" s="357"/>
      <c r="M138" s="279" t="str">
        <f>IFERROR(__xludf.DUMMYFUNCTION("""COMPUTED_VALUE"""),"https://vt.tiktok.com/ZS9Wf1vqx/")</f>
        <v>https://vt.tiktok.com/ZS9Wf1vqx/</v>
      </c>
      <c r="N138" s="357"/>
      <c r="O138" s="17"/>
      <c r="P138" s="357"/>
      <c r="Q138" s="17"/>
      <c r="R138" s="17"/>
      <c r="S138" s="17"/>
      <c r="T138" s="365">
        <f>IFERROR(__xludf.DUMMYFUNCTION("""COMPUTED_VALUE"""),129971.0)</f>
        <v>129971</v>
      </c>
      <c r="U138" s="17"/>
      <c r="V138" s="384"/>
      <c r="W138" s="17"/>
    </row>
    <row r="139">
      <c r="A139" s="255" t="str">
        <f>IFERROR(__xludf.DUMMYFUNCTION("""COMPUTED_VALUE"""),"NANO")</f>
        <v>NANO</v>
      </c>
      <c r="B139" s="23" t="str">
        <f>IFERROR(__xludf.DUMMYFUNCTION("""COMPUTED_VALUE"""),"hellomayaa_")</f>
        <v>hellomayaa_</v>
      </c>
      <c r="C139" s="281" t="str">
        <f>IFERROR(__xludf.DUMMYFUNCTION("""COMPUTED_VALUE"""),"https://www.tiktok.com/@hellomayaa_")</f>
        <v>https://www.tiktok.com/@hellomayaa_</v>
      </c>
      <c r="D139" s="381">
        <f>IFERROR(__xludf.DUMMYFUNCTION("""COMPUTED_VALUE"""),8.9529709013E10)</f>
        <v>89529709013</v>
      </c>
      <c r="E139" s="271">
        <f>IFERROR(__xludf.DUMMYFUNCTION("""COMPUTED_VALUE"""),0.0)</f>
        <v>0</v>
      </c>
      <c r="F139" s="23">
        <f>IFERROR(__xludf.DUMMYFUNCTION("""COMPUTED_VALUE"""),1.0)</f>
        <v>1</v>
      </c>
      <c r="G139" s="34" t="str">
        <f>IFERROR(__xludf.DUMMYFUNCTION("""COMPUTED_VALUE"""),"Rp16,1JT")</f>
        <v>Rp16,1JT</v>
      </c>
      <c r="H139" s="375" t="str">
        <f>IFERROR(__xludf.DUMMYFUNCTION("""COMPUTED_VALUE"""),"Lip Vinyl")</f>
        <v>Lip Vinyl</v>
      </c>
      <c r="I139" s="260" t="str">
        <f>IFERROR(__xludf.DUMMYFUNCTION("""COMPUTED_VALUE"""),"Sampai")</f>
        <v>Sampai</v>
      </c>
      <c r="J139" s="357"/>
      <c r="K139" s="279" t="str">
        <f>IFERROR(__xludf.DUMMYFUNCTION("""COMPUTED_VALUE"""),"https://vt.tiktok.com/ZSxagDxdH/")</f>
        <v>https://vt.tiktok.com/ZSxagDxdH/</v>
      </c>
      <c r="L139" s="357"/>
      <c r="M139" s="17"/>
      <c r="N139" s="357"/>
      <c r="O139" s="17"/>
      <c r="P139" s="357"/>
      <c r="Q139" s="17"/>
      <c r="R139" s="17"/>
      <c r="S139" s="17"/>
      <c r="T139" s="365"/>
      <c r="U139" s="17"/>
      <c r="V139" s="384"/>
      <c r="W139" s="17"/>
    </row>
    <row r="140">
      <c r="A140" s="255" t="str">
        <f>IFERROR(__xludf.DUMMYFUNCTION("""COMPUTED_VALUE"""),"MICRO")</f>
        <v>MICRO</v>
      </c>
      <c r="B140" s="23" t="str">
        <f>IFERROR(__xludf.DUMMYFUNCTION("""COMPUTED_VALUE"""),"wulanpdla3")</f>
        <v>wulanpdla3</v>
      </c>
      <c r="C140" s="281" t="str">
        <f>IFERROR(__xludf.DUMMYFUNCTION("""COMPUTED_VALUE"""),"https://www.tiktok.com/@wulanpdla3")</f>
        <v>https://www.tiktok.com/@wulanpdla3</v>
      </c>
      <c r="D140" s="381">
        <f>IFERROR(__xludf.DUMMYFUNCTION("""COMPUTED_VALUE"""),8.139121707E10)</f>
        <v>81391217070</v>
      </c>
      <c r="E140" s="271">
        <f>IFERROR(__xludf.DUMMYFUNCTION("""COMPUTED_VALUE"""),0.0)</f>
        <v>0</v>
      </c>
      <c r="F140" s="23">
        <f>IFERROR(__xludf.DUMMYFUNCTION("""COMPUTED_VALUE"""),4.0)</f>
        <v>4</v>
      </c>
      <c r="G140" s="34" t="str">
        <f>IFERROR(__xludf.DUMMYFUNCTION("""COMPUTED_VALUE"""),"40.25JT")</f>
        <v>40.25JT</v>
      </c>
      <c r="H140" s="375"/>
      <c r="I140" s="260"/>
      <c r="J140" s="357"/>
      <c r="K140" s="17"/>
      <c r="L140" s="357"/>
      <c r="M140" s="17"/>
      <c r="N140" s="357"/>
      <c r="O140" s="17"/>
      <c r="P140" s="357"/>
      <c r="Q140" s="17"/>
      <c r="R140" s="17"/>
      <c r="S140" s="17"/>
      <c r="T140" s="365"/>
      <c r="U140" s="17"/>
      <c r="V140" s="384"/>
      <c r="W140" s="17"/>
    </row>
    <row r="141">
      <c r="A141" s="255" t="str">
        <f>IFERROR(__xludf.DUMMYFUNCTION("""COMPUTED_VALUE"""),"MICRO")</f>
        <v>MICRO</v>
      </c>
      <c r="B141" s="23" t="str">
        <f>IFERROR(__xludf.DUMMYFUNCTION("""COMPUTED_VALUE"""),"sabinaaccura")</f>
        <v>sabinaaccura</v>
      </c>
      <c r="C141" s="281" t="str">
        <f>IFERROR(__xludf.DUMMYFUNCTION("""COMPUTED_VALUE"""),"https://www.tiktok.com/@sabinaaccura")</f>
        <v>https://www.tiktok.com/@sabinaaccura</v>
      </c>
      <c r="D141" s="381"/>
      <c r="E141" s="271">
        <f>IFERROR(__xludf.DUMMYFUNCTION("""COMPUTED_VALUE"""),250000.0)</f>
        <v>250000</v>
      </c>
      <c r="F141" s="23">
        <f>IFERROR(__xludf.DUMMYFUNCTION("""COMPUTED_VALUE"""),1.0)</f>
        <v>1</v>
      </c>
      <c r="G141" s="34" t="str">
        <f>IFERROR(__xludf.DUMMYFUNCTION("""COMPUTED_VALUE"""),"20JT")</f>
        <v>20JT</v>
      </c>
      <c r="H141" s="375" t="str">
        <f>IFERROR(__xludf.DUMMYFUNCTION("""COMPUTED_VALUE"""),"Cushion")</f>
        <v>Cushion</v>
      </c>
      <c r="I141" s="260" t="str">
        <f>IFERROR(__xludf.DUMMYFUNCTION("""COMPUTED_VALUE"""),"Sampai")</f>
        <v>Sampai</v>
      </c>
      <c r="J141" s="357"/>
      <c r="K141" s="279" t="str">
        <f>IFERROR(__xludf.DUMMYFUNCTION("""COMPUTED_VALUE"""),"https://vt.tiktok.com/ZS9DTrY8A/")</f>
        <v>https://vt.tiktok.com/ZS9DTrY8A/</v>
      </c>
      <c r="L141" s="357"/>
      <c r="M141" s="17"/>
      <c r="N141" s="357"/>
      <c r="O141" s="17"/>
      <c r="P141" s="357"/>
      <c r="Q141" s="17"/>
      <c r="R141" s="17"/>
      <c r="S141" s="17"/>
      <c r="T141" s="365"/>
      <c r="U141" s="17"/>
      <c r="V141" s="384"/>
      <c r="W141" s="17"/>
    </row>
    <row r="142">
      <c r="A142" s="255" t="str">
        <f>IFERROR(__xludf.DUMMYFUNCTION("""COMPUTED_VALUE"""),"MICRO")</f>
        <v>MICRO</v>
      </c>
      <c r="B142" s="23" t="str">
        <f>IFERROR(__xludf.DUMMYFUNCTION("""COMPUTED_VALUE"""),"lilyisnotflowerrr")</f>
        <v>lilyisnotflowerrr</v>
      </c>
      <c r="C142" s="281" t="str">
        <f>IFERROR(__xludf.DUMMYFUNCTION("""COMPUTED_VALUE"""),"https://www.tiktok.com/@lilyisnotflowerrr")</f>
        <v>https://www.tiktok.com/@lilyisnotflowerrr</v>
      </c>
      <c r="D142" s="381">
        <f>IFERROR(__xludf.DUMMYFUNCTION("""COMPUTED_VALUE"""),8.1222236202E10)</f>
        <v>81222236202</v>
      </c>
      <c r="E142" s="271">
        <f>IFERROR(__xludf.DUMMYFUNCTION("""COMPUTED_VALUE"""),600000.0)</f>
        <v>600000</v>
      </c>
      <c r="F142" s="23">
        <f>IFERROR(__xludf.DUMMYFUNCTION("""COMPUTED_VALUE"""),1.0)</f>
        <v>1</v>
      </c>
      <c r="G142" s="34" t="str">
        <f>IFERROR(__xludf.DUMMYFUNCTION("""COMPUTED_VALUE"""),"1.1M")</f>
        <v>1.1M</v>
      </c>
      <c r="H142" s="375" t="str">
        <f>IFERROR(__xludf.DUMMYFUNCTION("""COMPUTED_VALUE"""),"Cushion")</f>
        <v>Cushion</v>
      </c>
      <c r="I142" s="260" t="str">
        <f>IFERROR(__xludf.DUMMYFUNCTION("""COMPUTED_VALUE"""),"Sampai")</f>
        <v>Sampai</v>
      </c>
      <c r="J142" s="357"/>
      <c r="K142" s="279" t="str">
        <f>IFERROR(__xludf.DUMMYFUNCTION("""COMPUTED_VALUE"""),"https://vt.tiktok.com/ZS9GwP91f/")</f>
        <v>https://vt.tiktok.com/ZS9GwP91f/</v>
      </c>
      <c r="L142" s="357"/>
      <c r="M142" s="17"/>
      <c r="N142" s="357"/>
      <c r="O142" s="17"/>
      <c r="P142" s="357"/>
      <c r="Q142" s="17"/>
      <c r="R142" s="17"/>
      <c r="S142" s="17"/>
      <c r="T142" s="365">
        <f>IFERROR(__xludf.DUMMYFUNCTION("""COMPUTED_VALUE"""),199988.0)</f>
        <v>199988</v>
      </c>
      <c r="U142" s="17"/>
      <c r="V142" s="384"/>
      <c r="W142" s="17"/>
    </row>
    <row r="143">
      <c r="A143" s="255" t="str">
        <f>IFERROR(__xludf.DUMMYFUNCTION("""COMPUTED_VALUE"""),"NANO")</f>
        <v>NANO</v>
      </c>
      <c r="B143" s="23" t="str">
        <f>IFERROR(__xludf.DUMMYFUNCTION("""COMPUTED_VALUE"""),"si.imel")</f>
        <v>si.imel</v>
      </c>
      <c r="C143" s="281" t="str">
        <f>IFERROR(__xludf.DUMMYFUNCTION("""COMPUTED_VALUE"""),"https://www.tiktok.com/@si.imel")</f>
        <v>https://www.tiktok.com/@si.imel</v>
      </c>
      <c r="D143" s="381">
        <f>IFERROR(__xludf.DUMMYFUNCTION("""COMPUTED_VALUE"""),8.991853251E9)</f>
        <v>8991853251</v>
      </c>
      <c r="E143" s="271">
        <f>IFERROR(__xludf.DUMMYFUNCTION("""COMPUTED_VALUE"""),250000.0)</f>
        <v>250000</v>
      </c>
      <c r="F143" s="23">
        <f>IFERROR(__xludf.DUMMYFUNCTION("""COMPUTED_VALUE"""),1.0)</f>
        <v>1</v>
      </c>
      <c r="G143" s="34" t="str">
        <f>IFERROR(__xludf.DUMMYFUNCTION("""COMPUTED_VALUE"""),"74,9jt")</f>
        <v>74,9jt</v>
      </c>
      <c r="H143" s="375" t="str">
        <f>IFERROR(__xludf.DUMMYFUNCTION("""COMPUTED_VALUE"""),"Cushion")</f>
        <v>Cushion</v>
      </c>
      <c r="I143" s="260" t="str">
        <f>IFERROR(__xludf.DUMMYFUNCTION("""COMPUTED_VALUE"""),"Sampai")</f>
        <v>Sampai</v>
      </c>
      <c r="J143" s="357"/>
      <c r="K143" s="279" t="str">
        <f>IFERROR(__xludf.DUMMYFUNCTION("""COMPUTED_VALUE"""),"https://vt.tiktok.com/ZS9fscvWt/")</f>
        <v>https://vt.tiktok.com/ZS9fscvWt/</v>
      </c>
      <c r="L143" s="357"/>
      <c r="M143" s="17"/>
      <c r="N143" s="357"/>
      <c r="O143" s="17"/>
      <c r="P143" s="357"/>
      <c r="Q143" s="17"/>
      <c r="R143" s="17"/>
      <c r="S143" s="17"/>
      <c r="T143" s="365">
        <f>IFERROR(__xludf.DUMMYFUNCTION("""COMPUTED_VALUE"""),37414.0)</f>
        <v>37414</v>
      </c>
      <c r="U143" s="17"/>
      <c r="V143" s="384"/>
      <c r="W143" s="17"/>
    </row>
    <row r="144">
      <c r="A144" s="255" t="str">
        <f>IFERROR(__xludf.DUMMYFUNCTION("""COMPUTED_VALUE"""),"MICRO")</f>
        <v>MICRO</v>
      </c>
      <c r="B144" s="23" t="str">
        <f>IFERROR(__xludf.DUMMYFUNCTION("""COMPUTED_VALUE"""),"tthnenden685")</f>
        <v>tthnenden685</v>
      </c>
      <c r="C144" s="281" t="str">
        <f>IFERROR(__xludf.DUMMYFUNCTION("""COMPUTED_VALUE"""),"https://www.tiktok.com/@tthnenden685")</f>
        <v>https://www.tiktok.com/@tthnenden685</v>
      </c>
      <c r="D144" s="381">
        <f>IFERROR(__xludf.DUMMYFUNCTION("""COMPUTED_VALUE"""),8.5797856525E10)</f>
        <v>85797856525</v>
      </c>
      <c r="E144" s="271">
        <f>IFERROR(__xludf.DUMMYFUNCTION("""COMPUTED_VALUE"""),0.0)</f>
        <v>0</v>
      </c>
      <c r="F144" s="23">
        <f>IFERROR(__xludf.DUMMYFUNCTION("""COMPUTED_VALUE"""),5.0)</f>
        <v>5</v>
      </c>
      <c r="G144" s="34" t="str">
        <f>IFERROR(__xludf.DUMMYFUNCTION("""COMPUTED_VALUE"""),"22,2JT")</f>
        <v>22,2JT</v>
      </c>
      <c r="H144" s="375" t="str">
        <f>IFERROR(__xludf.DUMMYFUNCTION("""COMPUTED_VALUE"""),"Cushion")</f>
        <v>Cushion</v>
      </c>
      <c r="I144" s="260" t="str">
        <f>IFERROR(__xludf.DUMMYFUNCTION("""COMPUTED_VALUE"""),"Sampai")</f>
        <v>Sampai</v>
      </c>
      <c r="J144" s="357"/>
      <c r="K144" s="279" t="str">
        <f>IFERROR(__xludf.DUMMYFUNCTION("""COMPUTED_VALUE"""),"https://vt.tiktok.com/ZS9f8S5Cj/")</f>
        <v>https://vt.tiktok.com/ZS9f8S5Cj/</v>
      </c>
      <c r="L144" s="357"/>
      <c r="M144" s="279" t="str">
        <f>IFERROR(__xludf.DUMMYFUNCTION("""COMPUTED_VALUE"""),"https://vt.tiktok.com/ZSxxa5CYu/")</f>
        <v>https://vt.tiktok.com/ZSxxa5CYu/</v>
      </c>
      <c r="N144" s="357"/>
      <c r="O144" s="279" t="str">
        <f>IFERROR(__xludf.DUMMYFUNCTION("""COMPUTED_VALUE"""),"https://vt.tiktok.com/ZSxxaVALK//")</f>
        <v>https://vt.tiktok.com/ZSxxaVALK//</v>
      </c>
      <c r="P144" s="357"/>
      <c r="Q144" s="17"/>
      <c r="R144" s="17"/>
      <c r="S144" s="17"/>
      <c r="T144" s="365">
        <f>IFERROR(__xludf.DUMMYFUNCTION("""COMPUTED_VALUE"""),59423.0)</f>
        <v>59423</v>
      </c>
      <c r="U144" s="17"/>
      <c r="V144" s="384"/>
      <c r="W144" s="17"/>
    </row>
    <row r="145">
      <c r="A145" s="255" t="str">
        <f>IFERROR(__xludf.DUMMYFUNCTION("""COMPUTED_VALUE"""),"MICRO")</f>
        <v>MICRO</v>
      </c>
      <c r="B145" s="23" t="str">
        <f>IFERROR(__xludf.DUMMYFUNCTION("""COMPUTED_VALUE"""),"depeyyyy")</f>
        <v>depeyyyy</v>
      </c>
      <c r="C145" s="281" t="str">
        <f>IFERROR(__xludf.DUMMYFUNCTION("""COMPUTED_VALUE"""),"https://www.tiktok.com/@depeyyyy")</f>
        <v>https://www.tiktok.com/@depeyyyy</v>
      </c>
      <c r="D145" s="381">
        <f>IFERROR(__xludf.DUMMYFUNCTION("""COMPUTED_VALUE"""),8.7743092409E10)</f>
        <v>87743092409</v>
      </c>
      <c r="E145" s="271">
        <f>IFERROR(__xludf.DUMMYFUNCTION("""COMPUTED_VALUE"""),700000.0)</f>
        <v>700000</v>
      </c>
      <c r="F145" s="23">
        <f>IFERROR(__xludf.DUMMYFUNCTION("""COMPUTED_VALUE"""),1.0)</f>
        <v>1</v>
      </c>
      <c r="G145" s="34" t="str">
        <f>IFERROR(__xludf.DUMMYFUNCTION("""COMPUTED_VALUE"""),"392,9JT")</f>
        <v>392,9JT</v>
      </c>
      <c r="H145" s="375" t="str">
        <f>IFERROR(__xludf.DUMMYFUNCTION("""COMPUTED_VALUE"""),"Cushion")</f>
        <v>Cushion</v>
      </c>
      <c r="I145" s="260" t="str">
        <f>IFERROR(__xludf.DUMMYFUNCTION("""COMPUTED_VALUE"""),"Sampai")</f>
        <v>Sampai</v>
      </c>
      <c r="J145" s="357"/>
      <c r="K145" s="279" t="str">
        <f>IFERROR(__xludf.DUMMYFUNCTION("""COMPUTED_VALUE"""),"https://vt.tiktok.com/ZSxUQq8p9/")</f>
        <v>https://vt.tiktok.com/ZSxUQq8p9/</v>
      </c>
      <c r="L145" s="357"/>
      <c r="M145" s="17"/>
      <c r="N145" s="357"/>
      <c r="O145" s="17"/>
      <c r="P145" s="357"/>
      <c r="Q145" s="17"/>
      <c r="R145" s="17"/>
      <c r="S145" s="17"/>
      <c r="T145" s="365">
        <f>IFERROR(__xludf.DUMMYFUNCTION("""COMPUTED_VALUE"""),96720.0)</f>
        <v>96720</v>
      </c>
      <c r="U145" s="17"/>
      <c r="V145" s="384"/>
      <c r="W145" s="17"/>
    </row>
    <row r="146">
      <c r="A146" s="255" t="str">
        <f>IFERROR(__xludf.DUMMYFUNCTION("""COMPUTED_VALUE"""),"MICRO")</f>
        <v>MICRO</v>
      </c>
      <c r="B146" s="23" t="str">
        <f>IFERROR(__xludf.DUMMYFUNCTION("""COMPUTED_VALUE"""),"dindaaprd_")</f>
        <v>dindaaprd_</v>
      </c>
      <c r="C146" s="281" t="str">
        <f>IFERROR(__xludf.DUMMYFUNCTION("""COMPUTED_VALUE"""),"https://www.tiktok.com/@dindaaprd_")</f>
        <v>https://www.tiktok.com/@dindaaprd_</v>
      </c>
      <c r="D146" s="381">
        <f>IFERROR(__xludf.DUMMYFUNCTION("""COMPUTED_VALUE"""),8.5171082421E10)</f>
        <v>85171082421</v>
      </c>
      <c r="E146" s="271">
        <f>IFERROR(__xludf.DUMMYFUNCTION("""COMPUTED_VALUE"""),400000.0)</f>
        <v>400000</v>
      </c>
      <c r="F146" s="23">
        <f>IFERROR(__xludf.DUMMYFUNCTION("""COMPUTED_VALUE"""),1.0)</f>
        <v>1</v>
      </c>
      <c r="G146" s="34" t="str">
        <f>IFERROR(__xludf.DUMMYFUNCTION("""COMPUTED_VALUE"""),"225,7JT")</f>
        <v>225,7JT</v>
      </c>
      <c r="H146" s="375" t="str">
        <f>IFERROR(__xludf.DUMMYFUNCTION("""COMPUTED_VALUE"""),"Cushion")</f>
        <v>Cushion</v>
      </c>
      <c r="I146" s="260" t="str">
        <f>IFERROR(__xludf.DUMMYFUNCTION("""COMPUTED_VALUE"""),"Sampai")</f>
        <v>Sampai</v>
      </c>
      <c r="J146" s="357"/>
      <c r="K146" s="279" t="str">
        <f>IFERROR(__xludf.DUMMYFUNCTION("""COMPUTED_VALUE"""),"https://vt.tiktok.com/ZS9Gh82dB/")</f>
        <v>https://vt.tiktok.com/ZS9Gh82dB/</v>
      </c>
      <c r="L146" s="357"/>
      <c r="M146" s="17"/>
      <c r="N146" s="357"/>
      <c r="O146" s="17"/>
      <c r="P146" s="357"/>
      <c r="Q146" s="17"/>
      <c r="R146" s="17"/>
      <c r="S146" s="17"/>
      <c r="T146" s="365"/>
      <c r="U146" s="17"/>
      <c r="V146" s="384"/>
      <c r="W146" s="17"/>
    </row>
    <row r="147">
      <c r="A147" s="255" t="str">
        <f>IFERROR(__xludf.DUMMYFUNCTION("""COMPUTED_VALUE"""),"MICRO")</f>
        <v>MICRO</v>
      </c>
      <c r="B147" s="385" t="str">
        <f>IFERROR(__xludf.DUMMYFUNCTION("""COMPUTED_VALUE"""),"choconad22")</f>
        <v>choconad22</v>
      </c>
      <c r="C147" s="281" t="str">
        <f>IFERROR(__xludf.DUMMYFUNCTION("""COMPUTED_VALUE"""),"https://www.tiktok.com/@choconad22")</f>
        <v>https://www.tiktok.com/@choconad22</v>
      </c>
      <c r="D147" s="381">
        <f>IFERROR(__xludf.DUMMYFUNCTION("""COMPUTED_VALUE"""),8.7744669141E10)</f>
        <v>87744669141</v>
      </c>
      <c r="E147" s="271">
        <f>IFERROR(__xludf.DUMMYFUNCTION("""COMPUTED_VALUE"""),1000000.0)</f>
        <v>1000000</v>
      </c>
      <c r="F147" s="23">
        <f>IFERROR(__xludf.DUMMYFUNCTION("""COMPUTED_VALUE"""),1.0)</f>
        <v>1</v>
      </c>
      <c r="G147" s="34" t="str">
        <f>IFERROR(__xludf.DUMMYFUNCTION("""COMPUTED_VALUE"""),"175,9jt")</f>
        <v>175,9jt</v>
      </c>
      <c r="H147" s="375" t="str">
        <f>IFERROR(__xludf.DUMMYFUNCTION("""COMPUTED_VALUE"""),"Lip Vinyl")</f>
        <v>Lip Vinyl</v>
      </c>
      <c r="I147" s="260" t="str">
        <f>IFERROR(__xludf.DUMMYFUNCTION("""COMPUTED_VALUE"""),"Sampai")</f>
        <v>Sampai</v>
      </c>
      <c r="J147" s="357"/>
      <c r="K147" s="279" t="str">
        <f>IFERROR(__xludf.DUMMYFUNCTION("""COMPUTED_VALUE"""),"https://vt.tiktok.com/ZS95s8ofr/")</f>
        <v>https://vt.tiktok.com/ZS95s8ofr/</v>
      </c>
      <c r="L147" s="357"/>
      <c r="M147" s="17"/>
      <c r="N147" s="357"/>
      <c r="O147" s="17"/>
      <c r="P147" s="357"/>
      <c r="Q147" s="17"/>
      <c r="R147" s="17"/>
      <c r="S147" s="17"/>
      <c r="T147" s="365">
        <f>IFERROR(__xludf.DUMMYFUNCTION("""COMPUTED_VALUE"""),2.9206505E7)</f>
        <v>29206505</v>
      </c>
      <c r="U147" s="17"/>
      <c r="V147" s="384"/>
      <c r="W147" s="17"/>
    </row>
    <row r="148">
      <c r="A148" s="255" t="str">
        <f>IFERROR(__xludf.DUMMYFUNCTION("""COMPUTED_VALUE"""),"NANO")</f>
        <v>NANO</v>
      </c>
      <c r="B148" s="386" t="str">
        <f>IFERROR(__xludf.DUMMYFUNCTION("""COMPUTED_VALUE"""),"Sifaaa.97")</f>
        <v>Sifaaa.97</v>
      </c>
      <c r="C148" s="281" t="str">
        <f>IFERROR(__xludf.DUMMYFUNCTION("""COMPUTED_VALUE"""),"https://www.tiktok.com/@Sifaaa.97")</f>
        <v>https://www.tiktok.com/@Sifaaa.97</v>
      </c>
      <c r="D148" s="381">
        <f>IFERROR(__xludf.DUMMYFUNCTION("""COMPUTED_VALUE"""),8.588248021E10)</f>
        <v>85882480210</v>
      </c>
      <c r="E148" s="271">
        <f>IFERROR(__xludf.DUMMYFUNCTION("""COMPUTED_VALUE"""),0.0)</f>
        <v>0</v>
      </c>
      <c r="F148" s="23"/>
      <c r="G148" s="34" t="str">
        <f>IFERROR(__xludf.DUMMYFUNCTION("""COMPUTED_VALUE"""),"2JT")</f>
        <v>2JT</v>
      </c>
      <c r="H148" s="375" t="str">
        <f>IFERROR(__xludf.DUMMYFUNCTION("""COMPUTED_VALUE"""),"Cushion")</f>
        <v>Cushion</v>
      </c>
      <c r="I148" s="260" t="str">
        <f>IFERROR(__xludf.DUMMYFUNCTION("""COMPUTED_VALUE"""),"Sampai")</f>
        <v>Sampai</v>
      </c>
      <c r="J148" s="357"/>
      <c r="K148" s="279" t="str">
        <f>IFERROR(__xludf.DUMMYFUNCTION("""COMPUTED_VALUE"""),"https://vt.tiktok.com/ZS94fkmFd/")</f>
        <v>https://vt.tiktok.com/ZS94fkmFd/</v>
      </c>
      <c r="L148" s="357"/>
      <c r="M148" s="17"/>
      <c r="N148" s="357"/>
      <c r="O148" s="17"/>
      <c r="P148" s="357"/>
      <c r="Q148" s="17"/>
      <c r="R148" s="17"/>
      <c r="S148" s="17"/>
      <c r="T148" s="365"/>
      <c r="U148" s="17"/>
      <c r="V148" s="384"/>
      <c r="W148" s="17"/>
    </row>
    <row r="149">
      <c r="A149" s="255" t="str">
        <f>IFERROR(__xludf.DUMMYFUNCTION("""COMPUTED_VALUE"""),"NANO")</f>
        <v>NANO</v>
      </c>
      <c r="B149" s="387" t="str">
        <f>IFERROR(__xludf.DUMMYFUNCTION("""COMPUTED_VALUE"""),"iyainimutiii")</f>
        <v>iyainimutiii</v>
      </c>
      <c r="C149" s="281" t="str">
        <f>IFERROR(__xludf.DUMMYFUNCTION("""COMPUTED_VALUE"""),"https://www.tiktok.com/@iyainimutiii")</f>
        <v>https://www.tiktok.com/@iyainimutiii</v>
      </c>
      <c r="D149" s="381"/>
      <c r="E149" s="271">
        <f>IFERROR(__xludf.DUMMYFUNCTION("""COMPUTED_VALUE"""),0.0)</f>
        <v>0</v>
      </c>
      <c r="F149" s="23">
        <f>IFERROR(__xludf.DUMMYFUNCTION("""COMPUTED_VALUE"""),3.0)</f>
        <v>3</v>
      </c>
      <c r="G149" s="34" t="str">
        <f>IFERROR(__xludf.DUMMYFUNCTION("""COMPUTED_VALUE"""),"1JT+")</f>
        <v>1JT+</v>
      </c>
      <c r="H149" s="375" t="str">
        <f>IFERROR(__xludf.DUMMYFUNCTION("""COMPUTED_VALUE"""),"Cushion")</f>
        <v>Cushion</v>
      </c>
      <c r="I149" s="260" t="str">
        <f>IFERROR(__xludf.DUMMYFUNCTION("""COMPUTED_VALUE"""),"Sampai")</f>
        <v>Sampai</v>
      </c>
      <c r="J149" s="357"/>
      <c r="K149" s="279" t="str">
        <f>IFERROR(__xludf.DUMMYFUNCTION("""COMPUTED_VALUE"""),"https://vt.tiktok.com/ZS9G78VRk/")</f>
        <v>https://vt.tiktok.com/ZS9G78VRk/</v>
      </c>
      <c r="L149" s="357"/>
      <c r="M149" s="279" t="str">
        <f>IFERROR(__xludf.DUMMYFUNCTION("""COMPUTED_VALUE"""),"https://vt.tiktok.com/ZSxMwBkLp/")</f>
        <v>https://vt.tiktok.com/ZSxMwBkLp/</v>
      </c>
      <c r="N149" s="357"/>
      <c r="O149" s="279" t="str">
        <f>IFERROR(__xludf.DUMMYFUNCTION("""COMPUTED_VALUE"""),"https://vt.tiktok.com/ZSxMwk5ry/")</f>
        <v>https://vt.tiktok.com/ZSxMwk5ry/</v>
      </c>
      <c r="P149" s="357"/>
      <c r="Q149" s="17"/>
      <c r="R149" s="17"/>
      <c r="S149" s="17"/>
      <c r="T149" s="365"/>
      <c r="U149" s="17"/>
      <c r="V149" s="384"/>
      <c r="W149" s="17"/>
    </row>
    <row r="150">
      <c r="A150" s="255" t="str">
        <f>IFERROR(__xludf.DUMMYFUNCTION("""COMPUTED_VALUE"""),"MICRO")</f>
        <v>MICRO</v>
      </c>
      <c r="B150" s="387" t="str">
        <f>IFERROR(__xludf.DUMMYFUNCTION("""COMPUTED_VALUE"""),"shand_id")</f>
        <v>shand_id</v>
      </c>
      <c r="C150" s="281" t="str">
        <f>IFERROR(__xludf.DUMMYFUNCTION("""COMPUTED_VALUE"""),"https://www.tiktok.com/@shand_id")</f>
        <v>https://www.tiktok.com/@shand_id</v>
      </c>
      <c r="D150" s="381">
        <f>IFERROR(__xludf.DUMMYFUNCTION("""COMPUTED_VALUE"""),8.1234052105E10)</f>
        <v>81234052105</v>
      </c>
      <c r="E150" s="271">
        <f>IFERROR(__xludf.DUMMYFUNCTION("""COMPUTED_VALUE"""),0.0)</f>
        <v>0</v>
      </c>
      <c r="F150" s="23">
        <f>IFERROR(__xludf.DUMMYFUNCTION("""COMPUTED_VALUE"""),2.0)</f>
        <v>2</v>
      </c>
      <c r="G150" s="34" t="str">
        <f>IFERROR(__xludf.DUMMYFUNCTION("""COMPUTED_VALUE"""),"930,1jt")</f>
        <v>930,1jt</v>
      </c>
      <c r="H150" s="375" t="str">
        <f>IFERROR(__xludf.DUMMYFUNCTION("""COMPUTED_VALUE"""),"Cushion")</f>
        <v>Cushion</v>
      </c>
      <c r="I150" s="260" t="str">
        <f>IFERROR(__xludf.DUMMYFUNCTION("""COMPUTED_VALUE"""),"Sampai")</f>
        <v>Sampai</v>
      </c>
      <c r="J150" s="357"/>
      <c r="K150" s="279" t="str">
        <f>IFERROR(__xludf.DUMMYFUNCTION("""COMPUTED_VALUE"""),"https://vt.tiktok.com/ZS9pykNBJ/")</f>
        <v>https://vt.tiktok.com/ZS9pykNBJ/</v>
      </c>
      <c r="L150" s="357"/>
      <c r="M150" s="279" t="str">
        <f>IFERROR(__xludf.DUMMYFUNCTION("""COMPUTED_VALUE"""),"https://vt.tiktok.com/ZS9pykACs/")</f>
        <v>https://vt.tiktok.com/ZS9pykACs/</v>
      </c>
      <c r="N150" s="357"/>
      <c r="O150" s="17"/>
      <c r="P150" s="357"/>
      <c r="Q150" s="17"/>
      <c r="R150" s="17"/>
      <c r="S150" s="17"/>
      <c r="T150" s="365">
        <f>IFERROR(__xludf.DUMMYFUNCTION("""COMPUTED_VALUE"""),26125.0)</f>
        <v>26125</v>
      </c>
      <c r="U150" s="17"/>
      <c r="V150" s="384"/>
      <c r="W150" s="17"/>
    </row>
    <row r="151">
      <c r="A151" s="255" t="str">
        <f>IFERROR(__xludf.DUMMYFUNCTION("""COMPUTED_VALUE"""),"NANO")</f>
        <v>NANO</v>
      </c>
      <c r="B151" s="387" t="str">
        <f>IFERROR(__xludf.DUMMYFUNCTION("""COMPUTED_VALUE"""),"egaarmwt")</f>
        <v>egaarmwt</v>
      </c>
      <c r="C151" s="281" t="str">
        <f>IFERROR(__xludf.DUMMYFUNCTION("""COMPUTED_VALUE"""),"https://www.tiktok.com/@egaarmwt")</f>
        <v>https://www.tiktok.com/@egaarmwt</v>
      </c>
      <c r="D151" s="381">
        <f>IFERROR(__xludf.DUMMYFUNCTION("""COMPUTED_VALUE"""),8.5172222346E10)</f>
        <v>85172222346</v>
      </c>
      <c r="E151" s="271">
        <f>IFERROR(__xludf.DUMMYFUNCTION("""COMPUTED_VALUE"""),300000.0)</f>
        <v>300000</v>
      </c>
      <c r="F151" s="23">
        <f>IFERROR(__xludf.DUMMYFUNCTION("""COMPUTED_VALUE"""),2.0)</f>
        <v>2</v>
      </c>
      <c r="G151" s="34" t="str">
        <f>IFERROR(__xludf.DUMMYFUNCTION("""COMPUTED_VALUE"""),"38,2jt")</f>
        <v>38,2jt</v>
      </c>
      <c r="H151" s="375" t="str">
        <f>IFERROR(__xludf.DUMMYFUNCTION("""COMPUTED_VALUE"""),"Cushion &amp; Lip Vinyl")</f>
        <v>Cushion &amp; Lip Vinyl</v>
      </c>
      <c r="I151" s="260" t="str">
        <f>IFERROR(__xludf.DUMMYFUNCTION("""COMPUTED_VALUE"""),"Sampai")</f>
        <v>Sampai</v>
      </c>
      <c r="J151" s="357"/>
      <c r="K151" s="279" t="str">
        <f>IFERROR(__xludf.DUMMYFUNCTION("""COMPUTED_VALUE"""),"https://vt.tiktok.com/ZS9LaLpPg/")</f>
        <v>https://vt.tiktok.com/ZS9LaLpPg/</v>
      </c>
      <c r="L151" s="357"/>
      <c r="M151" s="279" t="str">
        <f>IFERROR(__xludf.DUMMYFUNCTION("""COMPUTED_VALUE"""),"https://vt.tiktok.com/ZS9X7qEP3/c")</f>
        <v>https://vt.tiktok.com/ZS9X7qEP3/c</v>
      </c>
      <c r="N151" s="357"/>
      <c r="O151" s="279" t="str">
        <f>IFERROR(__xludf.DUMMYFUNCTION("""COMPUTED_VALUE"""),"https://vt.tiktok.com/ZS9qq9Ckw/")</f>
        <v>https://vt.tiktok.com/ZS9qq9Ckw/</v>
      </c>
      <c r="P151" s="357"/>
      <c r="Q151" s="17"/>
      <c r="R151" s="17"/>
      <c r="S151" s="17"/>
      <c r="T151" s="365">
        <f>IFERROR(__xludf.DUMMYFUNCTION("""COMPUTED_VALUE"""),110933.0)</f>
        <v>110933</v>
      </c>
      <c r="U151" s="17"/>
      <c r="V151" s="384">
        <f>IFERROR(__xludf.DUMMYFUNCTION("""COMPUTED_VALUE"""),5.144574552E7)</f>
        <v>51445745.52</v>
      </c>
      <c r="W151" s="17"/>
    </row>
    <row r="152">
      <c r="A152" s="255" t="str">
        <f>IFERROR(__xludf.DUMMYFUNCTION("""COMPUTED_VALUE"""),"NANO")</f>
        <v>NANO</v>
      </c>
      <c r="B152" s="386" t="str">
        <f>IFERROR(__xludf.DUMMYFUNCTION("""COMPUTED_VALUE"""),"raudhatussyifaaa")</f>
        <v>raudhatussyifaaa</v>
      </c>
      <c r="C152" s="281" t="str">
        <f>IFERROR(__xludf.DUMMYFUNCTION("""COMPUTED_VALUE"""),"https://www.tiktok.com/@raudhatussyifaaa")</f>
        <v>https://www.tiktok.com/@raudhatussyifaaa</v>
      </c>
      <c r="D152" s="381">
        <f>IFERROR(__xludf.DUMMYFUNCTION("""COMPUTED_VALUE"""),8.175455453E9)</f>
        <v>8175455453</v>
      </c>
      <c r="E152" s="271">
        <f>IFERROR(__xludf.DUMMYFUNCTION("""COMPUTED_VALUE"""),0.0)</f>
        <v>0</v>
      </c>
      <c r="F152" s="23">
        <f>IFERROR(__xludf.DUMMYFUNCTION("""COMPUTED_VALUE"""),2.0)</f>
        <v>2</v>
      </c>
      <c r="G152" s="34"/>
      <c r="H152" s="375" t="str">
        <f>IFERROR(__xludf.DUMMYFUNCTION("""COMPUTED_VALUE"""),"Lip Vinyl")</f>
        <v>Lip Vinyl</v>
      </c>
      <c r="I152" s="260" t="str">
        <f>IFERROR(__xludf.DUMMYFUNCTION("""COMPUTED_VALUE"""),"Sampai")</f>
        <v>Sampai</v>
      </c>
      <c r="J152" s="357"/>
      <c r="K152" s="279" t="str">
        <f>IFERROR(__xludf.DUMMYFUNCTION("""COMPUTED_VALUE"""),"https://vt.tiktok.com/ZSxMwAnfm/")</f>
        <v>https://vt.tiktok.com/ZSxMwAnfm/</v>
      </c>
      <c r="L152" s="357"/>
      <c r="M152" s="279" t="str">
        <f>IFERROR(__xludf.DUMMYFUNCTION("""COMPUTED_VALUE"""),"https://vt.tiktok.com/ZSxyCTPW3/")</f>
        <v>https://vt.tiktok.com/ZSxyCTPW3/</v>
      </c>
      <c r="N152" s="357"/>
      <c r="O152" s="17"/>
      <c r="P152" s="357"/>
      <c r="Q152" s="17"/>
      <c r="R152" s="17"/>
      <c r="S152" s="17"/>
      <c r="T152" s="365">
        <f>IFERROR(__xludf.DUMMYFUNCTION("""COMPUTED_VALUE"""),73966.0)</f>
        <v>73966</v>
      </c>
      <c r="U152" s="17"/>
      <c r="V152" s="384"/>
      <c r="W152" s="17"/>
    </row>
    <row r="153">
      <c r="A153" s="255" t="str">
        <f>IFERROR(__xludf.DUMMYFUNCTION("""COMPUTED_VALUE"""),"NANO")</f>
        <v>NANO</v>
      </c>
      <c r="B153" s="261" t="str">
        <f>IFERROR(__xludf.DUMMYFUNCTION("""COMPUTED_VALUE"""),"sherilsftr")</f>
        <v>sherilsftr</v>
      </c>
      <c r="C153" s="281" t="str">
        <f>IFERROR(__xludf.DUMMYFUNCTION("""COMPUTED_VALUE"""),"https://www.tiktok.com/@sherilsftr")</f>
        <v>https://www.tiktok.com/@sherilsftr</v>
      </c>
      <c r="D153" s="381">
        <f>IFERROR(__xludf.DUMMYFUNCTION("""COMPUTED_VALUE"""),8.1324098871E10)</f>
        <v>81324098871</v>
      </c>
      <c r="E153" s="271">
        <f>IFERROR(__xludf.DUMMYFUNCTION("""COMPUTED_VALUE"""),0.0)</f>
        <v>0</v>
      </c>
      <c r="F153" s="23">
        <f>IFERROR(__xludf.DUMMYFUNCTION("""COMPUTED_VALUE"""),2.0)</f>
        <v>2</v>
      </c>
      <c r="G153" s="34" t="str">
        <f>IFERROR(__xludf.DUMMYFUNCTION("""COMPUTED_VALUE"""),"1JT+")</f>
        <v>1JT+</v>
      </c>
      <c r="H153" s="375"/>
      <c r="I153" s="260" t="str">
        <f>IFERROR(__xludf.DUMMYFUNCTION("""COMPUTED_VALUE"""),"Sampai")</f>
        <v>Sampai</v>
      </c>
      <c r="J153" s="357"/>
      <c r="K153" s="279" t="str">
        <f>IFERROR(__xludf.DUMMYFUNCTION("""COMPUTED_VALUE"""),"https://vt.tiktok.com/ZSxHB6nex/")</f>
        <v>https://vt.tiktok.com/ZSxHB6nex/</v>
      </c>
      <c r="L153" s="357"/>
      <c r="M153" s="279" t="str">
        <f>IFERROR(__xludf.DUMMYFUNCTION("""COMPUTED_VALUE"""),"https://vt.tiktok.com/ZSxTNswP3/")</f>
        <v>https://vt.tiktok.com/ZSxTNswP3/</v>
      </c>
      <c r="N153" s="357"/>
      <c r="O153" s="17"/>
      <c r="P153" s="357"/>
      <c r="Q153" s="17"/>
      <c r="R153" s="17"/>
      <c r="S153" s="17"/>
      <c r="T153" s="365"/>
      <c r="U153" s="17"/>
      <c r="V153" s="384"/>
      <c r="W153" s="17"/>
    </row>
    <row r="154">
      <c r="A154" s="255" t="str">
        <f>IFERROR(__xludf.DUMMYFUNCTION("""COMPUTED_VALUE"""),"MICRO")</f>
        <v>MICRO</v>
      </c>
      <c r="B154" s="261" t="str">
        <f>IFERROR(__xludf.DUMMYFUNCTION("""COMPUTED_VALUE"""),"vansswan")</f>
        <v>vansswan</v>
      </c>
      <c r="C154" s="281" t="str">
        <f>IFERROR(__xludf.DUMMYFUNCTION("""COMPUTED_VALUE"""),"https://www.tiktok.com/@vansswan")</f>
        <v>https://www.tiktok.com/@vansswan</v>
      </c>
      <c r="D154" s="381">
        <f>IFERROR(__xludf.DUMMYFUNCTION("""COMPUTED_VALUE"""),8.7891113534E10)</f>
        <v>87891113534</v>
      </c>
      <c r="E154" s="271">
        <f>IFERROR(__xludf.DUMMYFUNCTION("""COMPUTED_VALUE"""),0.0)</f>
        <v>0</v>
      </c>
      <c r="F154" s="23">
        <f>IFERROR(__xludf.DUMMYFUNCTION("""COMPUTED_VALUE"""),2.0)</f>
        <v>2</v>
      </c>
      <c r="G154" s="34" t="str">
        <f>IFERROR(__xludf.DUMMYFUNCTION("""COMPUTED_VALUE"""),"1JT+")</f>
        <v>1JT+</v>
      </c>
      <c r="H154" s="375" t="str">
        <f>IFERROR(__xludf.DUMMYFUNCTION("""COMPUTED_VALUE"""),"Cushion")</f>
        <v>Cushion</v>
      </c>
      <c r="I154" s="260" t="str">
        <f>IFERROR(__xludf.DUMMYFUNCTION("""COMPUTED_VALUE"""),"Sampai")</f>
        <v>Sampai</v>
      </c>
      <c r="J154" s="357"/>
      <c r="K154" s="279" t="str">
        <f>IFERROR(__xludf.DUMMYFUNCTION("""COMPUTED_VALUE"""),"https://vt.tiktok.com/ZSxrkQTM1/")</f>
        <v>https://vt.tiktok.com/ZSxrkQTM1/</v>
      </c>
      <c r="L154" s="357"/>
      <c r="M154" s="279" t="str">
        <f>IFERROR(__xludf.DUMMYFUNCTION("""COMPUTED_VALUE"""),"https://vt.tiktok.com/ZSxrkKAVU/")</f>
        <v>https://vt.tiktok.com/ZSxrkKAVU/</v>
      </c>
      <c r="N154" s="357"/>
      <c r="O154" s="17"/>
      <c r="P154" s="357"/>
      <c r="Q154" s="17"/>
      <c r="R154" s="17"/>
      <c r="S154" s="17"/>
      <c r="T154" s="365"/>
      <c r="U154" s="17"/>
      <c r="V154" s="384"/>
      <c r="W154" s="17"/>
    </row>
    <row r="155">
      <c r="A155" s="255" t="str">
        <f>IFERROR(__xludf.DUMMYFUNCTION("""COMPUTED_VALUE"""),"MICRO")</f>
        <v>MICRO</v>
      </c>
      <c r="B155" s="261" t="str">
        <f>IFERROR(__xludf.DUMMYFUNCTION("""COMPUTED_VALUE"""),"zihanokta")</f>
        <v>zihanokta</v>
      </c>
      <c r="C155" s="281" t="str">
        <f>IFERROR(__xludf.DUMMYFUNCTION("""COMPUTED_VALUE"""),"https://www.tiktok.com/@zihanokta")</f>
        <v>https://www.tiktok.com/@zihanokta</v>
      </c>
      <c r="D155" s="381">
        <f>IFERROR(__xludf.DUMMYFUNCTION("""COMPUTED_VALUE"""),8.5720022443E10)</f>
        <v>85720022443</v>
      </c>
      <c r="E155" s="271">
        <f>IFERROR(__xludf.DUMMYFUNCTION("""COMPUTED_VALUE"""),700000.0)</f>
        <v>700000</v>
      </c>
      <c r="F155" s="23">
        <f>IFERROR(__xludf.DUMMYFUNCTION("""COMPUTED_VALUE"""),1.0)</f>
        <v>1</v>
      </c>
      <c r="G155" s="34" t="str">
        <f>IFERROR(__xludf.DUMMYFUNCTION("""COMPUTED_VALUE"""),"102jt")</f>
        <v>102jt</v>
      </c>
      <c r="H155" s="375" t="str">
        <f>IFERROR(__xludf.DUMMYFUNCTION("""COMPUTED_VALUE"""),"Lip Vinyl")</f>
        <v>Lip Vinyl</v>
      </c>
      <c r="I155" s="260" t="str">
        <f>IFERROR(__xludf.DUMMYFUNCTION("""COMPUTED_VALUE"""),"Sampai")</f>
        <v>Sampai</v>
      </c>
      <c r="J155" s="357"/>
      <c r="K155" s="279" t="str">
        <f>IFERROR(__xludf.DUMMYFUNCTION("""COMPUTED_VALUE"""),"https://vt.tiktok.com/ZSxQoSwA9/")</f>
        <v>https://vt.tiktok.com/ZSxQoSwA9/</v>
      </c>
      <c r="L155" s="357"/>
      <c r="M155" s="17"/>
      <c r="N155" s="357"/>
      <c r="O155" s="17"/>
      <c r="P155" s="357"/>
      <c r="Q155" s="17"/>
      <c r="R155" s="17"/>
      <c r="S155" s="17"/>
      <c r="T155" s="365"/>
      <c r="U155" s="17"/>
      <c r="V155" s="384"/>
      <c r="W155" s="17"/>
    </row>
    <row r="156">
      <c r="A156" s="255" t="str">
        <f>IFERROR(__xludf.DUMMYFUNCTION("""COMPUTED_VALUE"""),"NANO")</f>
        <v>NANO</v>
      </c>
      <c r="B156" s="23" t="str">
        <f>IFERROR(__xludf.DUMMYFUNCTION("""COMPUTED_VALUE"""),"deni_febrianti2")</f>
        <v>deni_febrianti2</v>
      </c>
      <c r="C156" s="281" t="str">
        <f>IFERROR(__xludf.DUMMYFUNCTION("""COMPUTED_VALUE"""),"https://www.tiktok.com/@deni_febrianti2")</f>
        <v>https://www.tiktok.com/@deni_febrianti2</v>
      </c>
      <c r="D156" s="381">
        <f>IFERROR(__xludf.DUMMYFUNCTION("""COMPUTED_VALUE"""),8.579226915E10)</f>
        <v>85792269150</v>
      </c>
      <c r="E156" s="271">
        <f>IFERROR(__xludf.DUMMYFUNCTION("""COMPUTED_VALUE"""),175000.0)</f>
        <v>175000</v>
      </c>
      <c r="F156" s="23">
        <f>IFERROR(__xludf.DUMMYFUNCTION("""COMPUTED_VALUE"""),1.0)</f>
        <v>1</v>
      </c>
      <c r="G156" s="34" t="str">
        <f>IFERROR(__xludf.DUMMYFUNCTION("""COMPUTED_VALUE"""),"242jt")</f>
        <v>242jt</v>
      </c>
      <c r="H156" s="375" t="str">
        <f>IFERROR(__xludf.DUMMYFUNCTION("""COMPUTED_VALUE"""),"Lip Vinyl")</f>
        <v>Lip Vinyl</v>
      </c>
      <c r="I156" s="260" t="str">
        <f>IFERROR(__xludf.DUMMYFUNCTION("""COMPUTED_VALUE"""),"Sampai")</f>
        <v>Sampai</v>
      </c>
      <c r="J156" s="357"/>
      <c r="K156" s="17" t="str">
        <f>IFERROR(__xludf.DUMMYFUNCTION("""COMPUTED_VALUE"""),"sakit")</f>
        <v>sakit</v>
      </c>
      <c r="L156" s="357"/>
      <c r="M156" s="17"/>
      <c r="N156" s="357"/>
      <c r="O156" s="17"/>
      <c r="P156" s="357"/>
      <c r="Q156" s="17"/>
      <c r="R156" s="17"/>
      <c r="S156" s="17"/>
      <c r="T156" s="365"/>
      <c r="U156" s="17"/>
      <c r="V156" s="384"/>
      <c r="W156" s="17"/>
    </row>
    <row r="157">
      <c r="A157" s="255" t="str">
        <f>IFERROR(__xludf.DUMMYFUNCTION("""COMPUTED_VALUE"""),"MICRO")</f>
        <v>MICRO</v>
      </c>
      <c r="B157" s="23" t="str">
        <f>IFERROR(__xludf.DUMMYFUNCTION("""COMPUTED_VALUE"""),"nanadd0.7")</f>
        <v>nanadd0.7</v>
      </c>
      <c r="C157" s="281" t="str">
        <f>IFERROR(__xludf.DUMMYFUNCTION("""COMPUTED_VALUE"""),"https://www.tiktok.com/@nanadd0.7")</f>
        <v>https://www.tiktok.com/@nanadd0.7</v>
      </c>
      <c r="D157" s="381">
        <f>IFERROR(__xludf.DUMMYFUNCTION("""COMPUTED_VALUE"""),8.317583747E10)</f>
        <v>83175837470</v>
      </c>
      <c r="E157" s="271">
        <f>IFERROR(__xludf.DUMMYFUNCTION("""COMPUTED_VALUE"""),0.0)</f>
        <v>0</v>
      </c>
      <c r="F157" s="23">
        <f>IFERROR(__xludf.DUMMYFUNCTION("""COMPUTED_VALUE"""),2.0)</f>
        <v>2</v>
      </c>
      <c r="G157" s="34" t="str">
        <f>IFERROR(__xludf.DUMMYFUNCTION("""COMPUTED_VALUE"""),"1jt+")</f>
        <v>1jt+</v>
      </c>
      <c r="H157" s="375" t="str">
        <f>IFERROR(__xludf.DUMMYFUNCTION("""COMPUTED_VALUE"""),"Lip Vinyl")</f>
        <v>Lip Vinyl</v>
      </c>
      <c r="I157" s="260" t="str">
        <f>IFERROR(__xludf.DUMMYFUNCTION("""COMPUTED_VALUE"""),"Sampai")</f>
        <v>Sampai</v>
      </c>
      <c r="J157" s="357"/>
      <c r="K157" s="279" t="str">
        <f>IFERROR(__xludf.DUMMYFUNCTION("""COMPUTED_VALUE"""),"https://vt.tiktok.com/ZSxE4yUP3/")</f>
        <v>https://vt.tiktok.com/ZSxE4yUP3/</v>
      </c>
      <c r="L157" s="357"/>
      <c r="M157" s="279" t="str">
        <f>IFERROR(__xludf.DUMMYFUNCTION("""COMPUTED_VALUE"""),"https://vt.tiktok.com/ZSxE4N57e/")</f>
        <v>https://vt.tiktok.com/ZSxE4N57e/</v>
      </c>
      <c r="N157" s="357"/>
      <c r="O157" s="279" t="str">
        <f>IFERROR(__xludf.DUMMYFUNCTION("""COMPUTED_VALUE"""),"https://vt.tiktok.com/ZSxE4NEFV/")</f>
        <v>https://vt.tiktok.com/ZSxE4NEFV/</v>
      </c>
      <c r="P157" s="357"/>
      <c r="Q157" s="279" t="str">
        <f>IFERROR(__xludf.DUMMYFUNCTION("""COMPUTED_VALUE"""),"https://vt.tiktok.com/ZSxE4fsJ3/")</f>
        <v>https://vt.tiktok.com/ZSxE4fsJ3/</v>
      </c>
      <c r="R157" s="279" t="str">
        <f>IFERROR(__xludf.DUMMYFUNCTION("""COMPUTED_VALUE"""),"https://vt.tiktok.com/ZSxE4Ncj6/")</f>
        <v>https://vt.tiktok.com/ZSxE4Ncj6/</v>
      </c>
      <c r="S157" s="279" t="str">
        <f>IFERROR(__xludf.DUMMYFUNCTION("""COMPUTED_VALUE"""),"https://vt.tiktok.com/ZSxE4peYX/")</f>
        <v>https://vt.tiktok.com/ZSxE4peYX/</v>
      </c>
      <c r="T157" s="365"/>
      <c r="U157" s="17"/>
      <c r="V157" s="384"/>
      <c r="W157" s="17"/>
    </row>
    <row r="158">
      <c r="A158" s="255" t="str">
        <f>IFERROR(__xludf.DUMMYFUNCTION("""COMPUTED_VALUE"""),"NANO")</f>
        <v>NANO</v>
      </c>
      <c r="B158" s="23" t="str">
        <f>IFERROR(__xludf.DUMMYFUNCTION("""COMPUTED_VALUE"""),"azizahrisqi")</f>
        <v>azizahrisqi</v>
      </c>
      <c r="C158" s="281" t="str">
        <f>IFERROR(__xludf.DUMMYFUNCTION("""COMPUTED_VALUE"""),"https://www.tiktok.com/@azizahrisqi")</f>
        <v>https://www.tiktok.com/@azizahrisqi</v>
      </c>
      <c r="D158" s="381"/>
      <c r="E158" s="271">
        <f>IFERROR(__xludf.DUMMYFUNCTION("""COMPUTED_VALUE"""),0.0)</f>
        <v>0</v>
      </c>
      <c r="F158" s="23">
        <f>IFERROR(__xludf.DUMMYFUNCTION("""COMPUTED_VALUE"""),3.0)</f>
        <v>3</v>
      </c>
      <c r="G158" s="34" t="str">
        <f>IFERROR(__xludf.DUMMYFUNCTION("""COMPUTED_VALUE"""),"298JT")</f>
        <v>298JT</v>
      </c>
      <c r="H158" s="375" t="str">
        <f>IFERROR(__xludf.DUMMYFUNCTION("""COMPUTED_VALUE"""),"Lip Vinyl")</f>
        <v>Lip Vinyl</v>
      </c>
      <c r="I158" s="260" t="str">
        <f>IFERROR(__xludf.DUMMYFUNCTION("""COMPUTED_VALUE"""),"Sampai")</f>
        <v>Sampai</v>
      </c>
      <c r="J158" s="357"/>
      <c r="K158" s="17"/>
      <c r="L158" s="357"/>
      <c r="M158" s="17"/>
      <c r="N158" s="357"/>
      <c r="O158" s="17"/>
      <c r="P158" s="357"/>
      <c r="Q158" s="17"/>
      <c r="R158" s="17"/>
      <c r="S158" s="17"/>
      <c r="T158" s="365"/>
      <c r="U158" s="17"/>
      <c r="V158" s="384"/>
      <c r="W158" s="17"/>
    </row>
    <row r="159">
      <c r="A159" s="255" t="str">
        <f>IFERROR(__xludf.DUMMYFUNCTION("""COMPUTED_VALUE"""),"MICRO")</f>
        <v>MICRO</v>
      </c>
      <c r="B159" s="23" t="str">
        <f>IFERROR(__xludf.DUMMYFUNCTION("""COMPUTED_VALUE"""),"hasyaas__")</f>
        <v>hasyaas__</v>
      </c>
      <c r="C159" s="281" t="str">
        <f>IFERROR(__xludf.DUMMYFUNCTION("""COMPUTED_VALUE"""),"https://www.tiktok.com/@hasyaas__")</f>
        <v>https://www.tiktok.com/@hasyaas__</v>
      </c>
      <c r="D159" s="381">
        <f>IFERROR(__xludf.DUMMYFUNCTION("""COMPUTED_VALUE"""),8.8801874573E10)</f>
        <v>88801874573</v>
      </c>
      <c r="E159" s="271">
        <f>IFERROR(__xludf.DUMMYFUNCTION("""COMPUTED_VALUE"""),550000.0)</f>
        <v>550000</v>
      </c>
      <c r="F159" s="23">
        <f>IFERROR(__xludf.DUMMYFUNCTION("""COMPUTED_VALUE"""),1.0)</f>
        <v>1</v>
      </c>
      <c r="G159" s="34" t="str">
        <f>IFERROR(__xludf.DUMMYFUNCTION("""COMPUTED_VALUE"""),"1jt+")</f>
        <v>1jt+</v>
      </c>
      <c r="H159" s="375" t="str">
        <f>IFERROR(__xludf.DUMMYFUNCTION("""COMPUTED_VALUE"""),"Lip Vinyl")</f>
        <v>Lip Vinyl</v>
      </c>
      <c r="I159" s="260" t="str">
        <f>IFERROR(__xludf.DUMMYFUNCTION("""COMPUTED_VALUE"""),"Kendala [FU!]")</f>
        <v>Kendala [FU!]</v>
      </c>
      <c r="J159" s="357"/>
      <c r="K159" s="17"/>
      <c r="L159" s="357"/>
      <c r="M159" s="17"/>
      <c r="N159" s="357"/>
      <c r="O159" s="17"/>
      <c r="P159" s="357"/>
      <c r="Q159" s="17"/>
      <c r="R159" s="17"/>
      <c r="S159" s="17"/>
      <c r="T159" s="365"/>
      <c r="U159" s="17"/>
      <c r="V159" s="384"/>
      <c r="W159" s="17"/>
    </row>
    <row r="160">
      <c r="A160" s="255" t="str">
        <f>IFERROR(__xludf.DUMMYFUNCTION("""COMPUTED_VALUE"""),"MICRO")</f>
        <v>MICRO</v>
      </c>
      <c r="B160" s="23" t="str">
        <f>IFERROR(__xludf.DUMMYFUNCTION("""COMPUTED_VALUE"""),"puspitajasmine26")</f>
        <v>puspitajasmine26</v>
      </c>
      <c r="C160" s="281" t="str">
        <f>IFERROR(__xludf.DUMMYFUNCTION("""COMPUTED_VALUE"""),"https://www.tiktok.com/@puspitajasmine26")</f>
        <v>https://www.tiktok.com/@puspitajasmine26</v>
      </c>
      <c r="D160" s="381">
        <f>IFERROR(__xludf.DUMMYFUNCTION("""COMPUTED_VALUE"""),8.782568825E10)</f>
        <v>87825688250</v>
      </c>
      <c r="E160" s="271">
        <f>IFERROR(__xludf.DUMMYFUNCTION("""COMPUTED_VALUE"""),0.0)</f>
        <v>0</v>
      </c>
      <c r="F160" s="23">
        <f>IFERROR(__xludf.DUMMYFUNCTION("""COMPUTED_VALUE"""),3.0)</f>
        <v>3</v>
      </c>
      <c r="G160" s="34" t="str">
        <f>IFERROR(__xludf.DUMMYFUNCTION("""COMPUTED_VALUE"""),"1jt+")</f>
        <v>1jt+</v>
      </c>
      <c r="H160" s="375" t="str">
        <f>IFERROR(__xludf.DUMMYFUNCTION("""COMPUTED_VALUE"""),"Lip Vinyl")</f>
        <v>Lip Vinyl</v>
      </c>
      <c r="I160" s="260" t="str">
        <f>IFERROR(__xludf.DUMMYFUNCTION("""COMPUTED_VALUE"""),"Sampai")</f>
        <v>Sampai</v>
      </c>
      <c r="J160" s="357"/>
      <c r="K160" s="17"/>
      <c r="L160" s="357"/>
      <c r="M160" s="17"/>
      <c r="N160" s="357"/>
      <c r="O160" s="17"/>
      <c r="P160" s="357"/>
      <c r="Q160" s="17"/>
      <c r="R160" s="17"/>
      <c r="S160" s="17"/>
      <c r="T160" s="365"/>
      <c r="U160" s="17"/>
      <c r="V160" s="384"/>
      <c r="W160" s="17"/>
    </row>
    <row r="161">
      <c r="A161" s="255" t="str">
        <f>IFERROR(__xludf.DUMMYFUNCTION("""COMPUTED_VALUE"""),"NANO")</f>
        <v>NANO</v>
      </c>
      <c r="B161" s="23" t="str">
        <f>IFERROR(__xludf.DUMMYFUNCTION("""COMPUTED_VALUE"""),"floraluxe.lmj")</f>
        <v>floraluxe.lmj</v>
      </c>
      <c r="C161" s="281" t="str">
        <f>IFERROR(__xludf.DUMMYFUNCTION("""COMPUTED_VALUE"""),"https://www.tiktok.com/@floraluxe.lmj")</f>
        <v>https://www.tiktok.com/@floraluxe.lmj</v>
      </c>
      <c r="D161" s="381">
        <f>IFERROR(__xludf.DUMMYFUNCTION("""COMPUTED_VALUE"""),8.3140274488E10)</f>
        <v>83140274488</v>
      </c>
      <c r="E161" s="271">
        <f>IFERROR(__xludf.DUMMYFUNCTION("""COMPUTED_VALUE"""),0.0)</f>
        <v>0</v>
      </c>
      <c r="F161" s="23">
        <f>IFERROR(__xludf.DUMMYFUNCTION("""COMPUTED_VALUE"""),2.0)</f>
        <v>2</v>
      </c>
      <c r="G161" s="34" t="str">
        <f>IFERROR(__xludf.DUMMYFUNCTION("""COMPUTED_VALUE"""),"46jt")</f>
        <v>46jt</v>
      </c>
      <c r="H161" s="375" t="str">
        <f>IFERROR(__xludf.DUMMYFUNCTION("""COMPUTED_VALUE"""),"Lip Vinyl")</f>
        <v>Lip Vinyl</v>
      </c>
      <c r="I161" s="260" t="str">
        <f>IFERROR(__xludf.DUMMYFUNCTION("""COMPUTED_VALUE"""),"Sampai")</f>
        <v>Sampai</v>
      </c>
      <c r="J161" s="357"/>
      <c r="K161" s="17"/>
      <c r="L161" s="357"/>
      <c r="M161" s="17"/>
      <c r="N161" s="357"/>
      <c r="O161" s="17"/>
      <c r="P161" s="357"/>
      <c r="Q161" s="17"/>
      <c r="R161" s="17"/>
      <c r="S161" s="17"/>
      <c r="T161" s="365"/>
      <c r="U161" s="17"/>
      <c r="V161" s="384"/>
      <c r="W161" s="17"/>
    </row>
    <row r="162">
      <c r="A162" s="255" t="str">
        <f>IFERROR(__xludf.DUMMYFUNCTION("""COMPUTED_VALUE"""),"NANO")</f>
        <v>NANO</v>
      </c>
      <c r="B162" s="23" t="str">
        <f>IFERROR(__xludf.DUMMYFUNCTION("""COMPUTED_VALUE"""),"auroraanzh")</f>
        <v>auroraanzh</v>
      </c>
      <c r="C162" s="281" t="str">
        <f>IFERROR(__xludf.DUMMYFUNCTION("""COMPUTED_VALUE"""),"https://www.tiktok.com/@auroraanzh")</f>
        <v>https://www.tiktok.com/@auroraanzh</v>
      </c>
      <c r="D162" s="381">
        <f>IFERROR(__xludf.DUMMYFUNCTION("""COMPUTED_VALUE"""),8.9535852963E11)</f>
        <v>895358529630</v>
      </c>
      <c r="E162" s="271">
        <f>IFERROR(__xludf.DUMMYFUNCTION("""COMPUTED_VALUE"""),0.0)</f>
        <v>0</v>
      </c>
      <c r="F162" s="23"/>
      <c r="G162" s="34" t="str">
        <f>IFERROR(__xludf.DUMMYFUNCTION("""COMPUTED_VALUE"""),"10,3jt")</f>
        <v>10,3jt</v>
      </c>
      <c r="H162" s="375" t="str">
        <f>IFERROR(__xludf.DUMMYFUNCTION("""COMPUTED_VALUE"""),"Lip Vinyl")</f>
        <v>Lip Vinyl</v>
      </c>
      <c r="I162" s="260" t="str">
        <f>IFERROR(__xludf.DUMMYFUNCTION("""COMPUTED_VALUE"""),"Sampai")</f>
        <v>Sampai</v>
      </c>
      <c r="J162" s="357"/>
      <c r="K162" s="17"/>
      <c r="L162" s="357"/>
      <c r="M162" s="17"/>
      <c r="N162" s="357"/>
      <c r="O162" s="17"/>
      <c r="P162" s="357"/>
      <c r="Q162" s="17"/>
      <c r="R162" s="17"/>
      <c r="S162" s="17"/>
      <c r="T162" s="365"/>
      <c r="U162" s="17"/>
      <c r="V162" s="384"/>
      <c r="W162" s="17"/>
    </row>
    <row r="163">
      <c r="A163" s="255" t="str">
        <f>IFERROR(__xludf.DUMMYFUNCTION("""COMPUTED_VALUE"""),"MICRO")</f>
        <v>MICRO</v>
      </c>
      <c r="B163" s="23" t="str">
        <f>IFERROR(__xludf.DUMMYFUNCTION("""COMPUTED_VALUE"""),"tokomama08_")</f>
        <v>tokomama08_</v>
      </c>
      <c r="C163" s="281" t="str">
        <f>IFERROR(__xludf.DUMMYFUNCTION("""COMPUTED_VALUE"""),"https://www.tiktok.com/@tokomama08_")</f>
        <v>https://www.tiktok.com/@tokomama08_</v>
      </c>
      <c r="D163" s="381">
        <f>IFERROR(__xludf.DUMMYFUNCTION("""COMPUTED_VALUE"""),8.5881332507E10)</f>
        <v>85881332507</v>
      </c>
      <c r="E163" s="271">
        <f>IFERROR(__xludf.DUMMYFUNCTION("""COMPUTED_VALUE"""),0.0)</f>
        <v>0</v>
      </c>
      <c r="F163" s="23"/>
      <c r="G163" s="34" t="str">
        <f>IFERROR(__xludf.DUMMYFUNCTION("""COMPUTED_VALUE"""),"411,2jt")</f>
        <v>411,2jt</v>
      </c>
      <c r="H163" s="375" t="str">
        <f>IFERROR(__xludf.DUMMYFUNCTION("""COMPUTED_VALUE"""),"Lip Vinyl")</f>
        <v>Lip Vinyl</v>
      </c>
      <c r="I163" s="260" t="str">
        <f>IFERROR(__xludf.DUMMYFUNCTION("""COMPUTED_VALUE"""),"Kendala [FU!]")</f>
        <v>Kendala [FU!]</v>
      </c>
      <c r="J163" s="357"/>
      <c r="K163" s="17"/>
      <c r="L163" s="357"/>
      <c r="M163" s="17"/>
      <c r="N163" s="357"/>
      <c r="O163" s="17"/>
      <c r="P163" s="357"/>
      <c r="Q163" s="17"/>
      <c r="R163" s="17"/>
      <c r="S163" s="17"/>
      <c r="T163" s="365"/>
      <c r="U163" s="17"/>
      <c r="V163" s="384"/>
      <c r="W163" s="17"/>
    </row>
    <row r="164">
      <c r="A164" s="255" t="str">
        <f>IFERROR(__xludf.DUMMYFUNCTION("""COMPUTED_VALUE"""),"MICRO")</f>
        <v>MICRO</v>
      </c>
      <c r="B164" s="23" t="str">
        <f>IFERROR(__xludf.DUMMYFUNCTION("""COMPUTED_VALUE"""),"yullyan_yl")</f>
        <v>yullyan_yl</v>
      </c>
      <c r="C164" s="281" t="str">
        <f>IFERROR(__xludf.DUMMYFUNCTION("""COMPUTED_VALUE"""),"https://www.tiktok.com/@yullyan_yl")</f>
        <v>https://www.tiktok.com/@yullyan_yl</v>
      </c>
      <c r="D164" s="381">
        <f>IFERROR(__xludf.DUMMYFUNCTION("""COMPUTED_VALUE"""),8.1239988401E10)</f>
        <v>81239988401</v>
      </c>
      <c r="E164" s="271">
        <f>IFERROR(__xludf.DUMMYFUNCTION("""COMPUTED_VALUE"""),0.0)</f>
        <v>0</v>
      </c>
      <c r="F164" s="23">
        <f>IFERROR(__xludf.DUMMYFUNCTION("""COMPUTED_VALUE"""),3.0)</f>
        <v>3</v>
      </c>
      <c r="G164" s="34" t="str">
        <f>IFERROR(__xludf.DUMMYFUNCTION("""COMPUTED_VALUE"""),"61,4jt")</f>
        <v>61,4jt</v>
      </c>
      <c r="H164" s="375" t="str">
        <f>IFERROR(__xludf.DUMMYFUNCTION("""COMPUTED_VALUE"""),"Lip Vinyl")</f>
        <v>Lip Vinyl</v>
      </c>
      <c r="I164" s="260"/>
      <c r="J164" s="357"/>
      <c r="K164" s="17"/>
      <c r="L164" s="357"/>
      <c r="M164" s="17"/>
      <c r="N164" s="357"/>
      <c r="O164" s="17"/>
      <c r="P164" s="357"/>
      <c r="Q164" s="17"/>
      <c r="R164" s="17"/>
      <c r="S164" s="17"/>
      <c r="T164" s="365"/>
      <c r="U164" s="17"/>
      <c r="V164" s="384"/>
      <c r="W164" s="17"/>
    </row>
    <row r="165">
      <c r="A165" s="255" t="str">
        <f>IFERROR(__xludf.DUMMYFUNCTION("""COMPUTED_VALUE"""),"MICRO")</f>
        <v>MICRO</v>
      </c>
      <c r="B165" s="23" t="str">
        <f>IFERROR(__xludf.DUMMYFUNCTION("""COMPUTED_VALUE"""),"tiarasalsabella23")</f>
        <v>tiarasalsabella23</v>
      </c>
      <c r="C165" s="281" t="str">
        <f>IFERROR(__xludf.DUMMYFUNCTION("""COMPUTED_VALUE"""),"https://www.tiktok.com/@tiarasalsabella23")</f>
        <v>https://www.tiktok.com/@tiarasalsabella23</v>
      </c>
      <c r="D165" s="381">
        <f>IFERROR(__xludf.DUMMYFUNCTION("""COMPUTED_VALUE"""),8.1295549421E10)</f>
        <v>81295549421</v>
      </c>
      <c r="E165" s="271">
        <f>IFERROR(__xludf.DUMMYFUNCTION("""COMPUTED_VALUE"""),0.0)</f>
        <v>0</v>
      </c>
      <c r="F165" s="23">
        <f>IFERROR(__xludf.DUMMYFUNCTION("""COMPUTED_VALUE"""),3.0)</f>
        <v>3</v>
      </c>
      <c r="G165" s="34" t="str">
        <f>IFERROR(__xludf.DUMMYFUNCTION("""COMPUTED_VALUE"""),"300jt")</f>
        <v>300jt</v>
      </c>
      <c r="H165" s="375" t="str">
        <f>IFERROR(__xludf.DUMMYFUNCTION("""COMPUTED_VALUE"""),"Cushion")</f>
        <v>Cushion</v>
      </c>
      <c r="I165" s="260" t="str">
        <f>IFERROR(__xludf.DUMMYFUNCTION("""COMPUTED_VALUE"""),"Sampai")</f>
        <v>Sampai</v>
      </c>
      <c r="J165" s="357"/>
      <c r="K165" s="17"/>
      <c r="L165" s="357"/>
      <c r="M165" s="17"/>
      <c r="N165" s="357"/>
      <c r="O165" s="17"/>
      <c r="P165" s="357"/>
      <c r="Q165" s="17"/>
      <c r="R165" s="17"/>
      <c r="S165" s="17"/>
      <c r="T165" s="365"/>
      <c r="U165" s="17"/>
      <c r="V165" s="384"/>
      <c r="W165" s="17"/>
    </row>
    <row r="166">
      <c r="A166" s="255" t="str">
        <f>IFERROR(__xludf.DUMMYFUNCTION("""COMPUTED_VALUE"""),"MICRO")</f>
        <v>MICRO</v>
      </c>
      <c r="B166" s="23" t="str">
        <f>IFERROR(__xludf.DUMMYFUNCTION("""COMPUTED_VALUE"""),"kikiromli89")</f>
        <v>kikiromli89</v>
      </c>
      <c r="C166" s="281" t="str">
        <f>IFERROR(__xludf.DUMMYFUNCTION("""COMPUTED_VALUE"""),"https://www.tiktok.com/@kikiromli89")</f>
        <v>https://www.tiktok.com/@kikiromli89</v>
      </c>
      <c r="D166" s="381">
        <f>IFERROR(__xludf.DUMMYFUNCTION("""COMPUTED_VALUE"""),8.2269863399E10)</f>
        <v>82269863399</v>
      </c>
      <c r="E166" s="271">
        <f>IFERROR(__xludf.DUMMYFUNCTION("""COMPUTED_VALUE"""),0.0)</f>
        <v>0</v>
      </c>
      <c r="F166" s="23"/>
      <c r="G166" s="34" t="str">
        <f>IFERROR(__xludf.DUMMYFUNCTION("""COMPUTED_VALUE"""),"423jt")</f>
        <v>423jt</v>
      </c>
      <c r="H166" s="375" t="str">
        <f>IFERROR(__xludf.DUMMYFUNCTION("""COMPUTED_VALUE"""),"Lip Vinyl")</f>
        <v>Lip Vinyl</v>
      </c>
      <c r="I166" s="260" t="str">
        <f>IFERROR(__xludf.DUMMYFUNCTION("""COMPUTED_VALUE"""),"Sampai")</f>
        <v>Sampai</v>
      </c>
      <c r="J166" s="357"/>
      <c r="K166" s="17"/>
      <c r="L166" s="357"/>
      <c r="M166" s="17"/>
      <c r="N166" s="357"/>
      <c r="O166" s="17"/>
      <c r="P166" s="357"/>
      <c r="Q166" s="17"/>
      <c r="R166" s="17"/>
      <c r="S166" s="17"/>
      <c r="T166" s="365"/>
      <c r="U166" s="17"/>
      <c r="V166" s="384"/>
      <c r="W166" s="17"/>
    </row>
    <row r="167">
      <c r="A167" s="255" t="str">
        <f>IFERROR(__xludf.DUMMYFUNCTION("""COMPUTED_VALUE"""),"NANO")</f>
        <v>NANO</v>
      </c>
      <c r="B167" s="23" t="str">
        <f>IFERROR(__xludf.DUMMYFUNCTION("""COMPUTED_VALUE"""),"jeonjungkey ")</f>
        <v>jeonjungkey </v>
      </c>
      <c r="C167" s="281" t="str">
        <f>IFERROR(__xludf.DUMMYFUNCTION("""COMPUTED_VALUE"""),"https://www.tiktok.com/@jeonjungkey ")</f>
        <v>https://www.tiktok.com/@jeonjungkey </v>
      </c>
      <c r="D167" s="381">
        <f>IFERROR(__xludf.DUMMYFUNCTION("""COMPUTED_VALUE"""),8.2277797809E10)</f>
        <v>82277797809</v>
      </c>
      <c r="E167" s="271">
        <f>IFERROR(__xludf.DUMMYFUNCTION("""COMPUTED_VALUE"""),0.0)</f>
        <v>0</v>
      </c>
      <c r="F167" s="23">
        <f>IFERROR(__xludf.DUMMYFUNCTION("""COMPUTED_VALUE"""),1.0)</f>
        <v>1</v>
      </c>
      <c r="G167" s="34" t="str">
        <f>IFERROR(__xludf.DUMMYFUNCTION("""COMPUTED_VALUE"""),"75jt")</f>
        <v>75jt</v>
      </c>
      <c r="H167" s="375" t="str">
        <f>IFERROR(__xludf.DUMMYFUNCTION("""COMPUTED_VALUE"""),"Lip Vinyl")</f>
        <v>Lip Vinyl</v>
      </c>
      <c r="I167" s="260" t="str">
        <f>IFERROR(__xludf.DUMMYFUNCTION("""COMPUTED_VALUE"""),"Done Req Sample")</f>
        <v>Done Req Sample</v>
      </c>
      <c r="J167" s="357"/>
      <c r="K167" s="17"/>
      <c r="L167" s="357"/>
      <c r="M167" s="17"/>
      <c r="N167" s="357"/>
      <c r="O167" s="17"/>
      <c r="P167" s="357"/>
      <c r="Q167" s="17"/>
      <c r="R167" s="17"/>
      <c r="S167" s="17"/>
      <c r="T167" s="365"/>
      <c r="U167" s="17"/>
      <c r="V167" s="384"/>
      <c r="W167" s="17"/>
    </row>
    <row r="168">
      <c r="A168" s="255" t="str">
        <f>IFERROR(__xludf.DUMMYFUNCTION("""COMPUTED_VALUE"""),"NANO")</f>
        <v>NANO</v>
      </c>
      <c r="B168" s="23" t="str">
        <f>IFERROR(__xludf.DUMMYFUNCTION("""COMPUTED_VALUE"""),"meamore42")</f>
        <v>meamore42</v>
      </c>
      <c r="C168" s="281" t="str">
        <f>IFERROR(__xludf.DUMMYFUNCTION("""COMPUTED_VALUE"""),"https://www.tiktok.com/@meamore42")</f>
        <v>https://www.tiktok.com/@meamore42</v>
      </c>
      <c r="D168" s="381">
        <f>IFERROR(__xludf.DUMMYFUNCTION("""COMPUTED_VALUE"""),8.5727007908E10)</f>
        <v>85727007908</v>
      </c>
      <c r="E168" s="271">
        <f>IFERROR(__xludf.DUMMYFUNCTION("""COMPUTED_VALUE"""),0.0)</f>
        <v>0</v>
      </c>
      <c r="F168" s="23">
        <f>IFERROR(__xludf.DUMMYFUNCTION("""COMPUTED_VALUE"""),4.0)</f>
        <v>4</v>
      </c>
      <c r="G168" s="34" t="str">
        <f>IFERROR(__xludf.DUMMYFUNCTION("""COMPUTED_VALUE"""),"Rp57,9JT")</f>
        <v>Rp57,9JT</v>
      </c>
      <c r="H168" s="375" t="str">
        <f>IFERROR(__xludf.DUMMYFUNCTION("""COMPUTED_VALUE"""),"Lip Vinyl")</f>
        <v>Lip Vinyl</v>
      </c>
      <c r="I168" s="260" t="str">
        <f>IFERROR(__xludf.DUMMYFUNCTION("""COMPUTED_VALUE"""),"Done Req Sample")</f>
        <v>Done Req Sample</v>
      </c>
      <c r="J168" s="357"/>
      <c r="K168" s="17"/>
      <c r="L168" s="357"/>
      <c r="M168" s="17"/>
      <c r="N168" s="357"/>
      <c r="O168" s="17"/>
      <c r="P168" s="357"/>
      <c r="Q168" s="17"/>
      <c r="R168" s="17"/>
      <c r="S168" s="17"/>
      <c r="T168" s="365"/>
      <c r="U168" s="17"/>
      <c r="V168" s="384"/>
      <c r="W168" s="17"/>
    </row>
    <row r="169">
      <c r="A169" s="255" t="str">
        <f>IFERROR(__xludf.DUMMYFUNCTION("""COMPUTED_VALUE"""),"NANO")</f>
        <v>NANO</v>
      </c>
      <c r="B169" s="23" t="str">
        <f>IFERROR(__xludf.DUMMYFUNCTION("""COMPUTED_VALUE"""),"taalestarii1")</f>
        <v>taalestarii1</v>
      </c>
      <c r="C169" s="281" t="str">
        <f>IFERROR(__xludf.DUMMYFUNCTION("""COMPUTED_VALUE"""),"https://www.tiktok.com/@taalestarii1")</f>
        <v>https://www.tiktok.com/@taalestarii1</v>
      </c>
      <c r="D169" s="381">
        <f>IFERROR(__xludf.DUMMYFUNCTION("""COMPUTED_VALUE"""),8.9535741071E11)</f>
        <v>895357410710</v>
      </c>
      <c r="E169" s="271">
        <f>IFERROR(__xludf.DUMMYFUNCTION("""COMPUTED_VALUE"""),0.0)</f>
        <v>0</v>
      </c>
      <c r="F169" s="23">
        <f>IFERROR(__xludf.DUMMYFUNCTION("""COMPUTED_VALUE"""),3.0)</f>
        <v>3</v>
      </c>
      <c r="G169" s="34" t="str">
        <f>IFERROR(__xludf.DUMMYFUNCTION("""COMPUTED_VALUE"""),"Rp25,4JT")</f>
        <v>Rp25,4JT</v>
      </c>
      <c r="H169" s="375" t="str">
        <f>IFERROR(__xludf.DUMMYFUNCTION("""COMPUTED_VALUE"""),"Lip Vinyl")</f>
        <v>Lip Vinyl</v>
      </c>
      <c r="I169" s="260" t="str">
        <f>IFERROR(__xludf.DUMMYFUNCTION("""COMPUTED_VALUE"""),"Sampai")</f>
        <v>Sampai</v>
      </c>
      <c r="J169" s="357"/>
      <c r="K169" s="17"/>
      <c r="L169" s="357"/>
      <c r="M169" s="17"/>
      <c r="N169" s="357"/>
      <c r="O169" s="17"/>
      <c r="P169" s="357"/>
      <c r="Q169" s="17"/>
      <c r="R169" s="17"/>
      <c r="S169" s="17"/>
      <c r="T169" s="365"/>
      <c r="U169" s="17"/>
      <c r="V169" s="384"/>
      <c r="W169" s="17"/>
    </row>
    <row r="170">
      <c r="A170" s="255" t="str">
        <f>IFERROR(__xludf.DUMMYFUNCTION("""COMPUTED_VALUE"""),"MICRO")</f>
        <v>MICRO</v>
      </c>
      <c r="B170" s="23" t="str">
        <f>IFERROR(__xludf.DUMMYFUNCTION("""COMPUTED_VALUE"""),"racunskincarefiqi")</f>
        <v>racunskincarefiqi</v>
      </c>
      <c r="C170" s="281" t="str">
        <f>IFERROR(__xludf.DUMMYFUNCTION("""COMPUTED_VALUE"""),"https://www.tiktok.com/@racunskincarefiqi")</f>
        <v>https://www.tiktok.com/@racunskincarefiqi</v>
      </c>
      <c r="D170" s="381">
        <f>IFERROR(__xludf.DUMMYFUNCTION("""COMPUTED_VALUE"""),8.2372289362E10)</f>
        <v>82372289362</v>
      </c>
      <c r="E170" s="271">
        <f>IFERROR(__xludf.DUMMYFUNCTION("""COMPUTED_VALUE"""),0.0)</f>
        <v>0</v>
      </c>
      <c r="F170" s="23">
        <f>IFERROR(__xludf.DUMMYFUNCTION("""COMPUTED_VALUE"""),2.0)</f>
        <v>2</v>
      </c>
      <c r="G170" s="34" t="str">
        <f>IFERROR(__xludf.DUMMYFUNCTION("""COMPUTED_VALUE"""),"Rp176,4JT")</f>
        <v>Rp176,4JT</v>
      </c>
      <c r="H170" s="375"/>
      <c r="I170" s="260"/>
      <c r="J170" s="357"/>
      <c r="K170" s="17"/>
      <c r="L170" s="357"/>
      <c r="M170" s="17"/>
      <c r="N170" s="357"/>
      <c r="O170" s="17"/>
      <c r="P170" s="357"/>
      <c r="Q170" s="17"/>
      <c r="R170" s="17"/>
      <c r="S170" s="17"/>
      <c r="T170" s="365"/>
      <c r="U170" s="17"/>
      <c r="V170" s="384"/>
      <c r="W170" s="17"/>
    </row>
    <row r="171">
      <c r="A171" s="255" t="str">
        <f>IFERROR(__xludf.DUMMYFUNCTION("""COMPUTED_VALUE"""),"MICRO")</f>
        <v>MICRO</v>
      </c>
      <c r="B171" s="23" t="str">
        <f>IFERROR(__xludf.DUMMYFUNCTION("""COMPUTED_VALUE"""),"slvistory")</f>
        <v>slvistory</v>
      </c>
      <c r="C171" s="281" t="str">
        <f>IFERROR(__xludf.DUMMYFUNCTION("""COMPUTED_VALUE"""),"https://www.tiktok.com/@slvistory")</f>
        <v>https://www.tiktok.com/@slvistory</v>
      </c>
      <c r="D171" s="381">
        <f>IFERROR(__xludf.DUMMYFUNCTION("""COMPUTED_VALUE"""),8.5882608699E10)</f>
        <v>85882608699</v>
      </c>
      <c r="E171" s="271">
        <f>IFERROR(__xludf.DUMMYFUNCTION("""COMPUTED_VALUE"""),0.0)</f>
        <v>0</v>
      </c>
      <c r="F171" s="23">
        <f>IFERROR(__xludf.DUMMYFUNCTION("""COMPUTED_VALUE"""),2.0)</f>
        <v>2</v>
      </c>
      <c r="G171" s="34" t="str">
        <f>IFERROR(__xludf.DUMMYFUNCTION("""COMPUTED_VALUE"""),"Rp1JT+")</f>
        <v>Rp1JT+</v>
      </c>
      <c r="H171" s="375" t="str">
        <f>IFERROR(__xludf.DUMMYFUNCTION("""COMPUTED_VALUE"""),"Lip Vinyl")</f>
        <v>Lip Vinyl</v>
      </c>
      <c r="I171" s="260" t="str">
        <f>IFERROR(__xludf.DUMMYFUNCTION("""COMPUTED_VALUE"""),"Done Req Sample")</f>
        <v>Done Req Sample</v>
      </c>
      <c r="J171" s="357"/>
      <c r="K171" s="17"/>
      <c r="L171" s="357"/>
      <c r="M171" s="17"/>
      <c r="N171" s="357"/>
      <c r="O171" s="17"/>
      <c r="P171" s="357"/>
      <c r="Q171" s="17"/>
      <c r="R171" s="17"/>
      <c r="S171" s="17"/>
      <c r="T171" s="365"/>
      <c r="U171" s="17"/>
      <c r="V171" s="384"/>
      <c r="W171" s="17"/>
    </row>
    <row r="172">
      <c r="A172" s="255" t="str">
        <f>IFERROR(__xludf.DUMMYFUNCTION("""COMPUTED_VALUE"""),"NANO")</f>
        <v>NANO</v>
      </c>
      <c r="B172" s="23" t="str">
        <f>IFERROR(__xludf.DUMMYFUNCTION("""COMPUTED_VALUE"""),"bulllll1220")</f>
        <v>bulllll1220</v>
      </c>
      <c r="C172" s="281" t="str">
        <f>IFERROR(__xludf.DUMMYFUNCTION("""COMPUTED_VALUE"""),"https://www.tiktok.com/@bulllll1220")</f>
        <v>https://www.tiktok.com/@bulllll1220</v>
      </c>
      <c r="D172" s="381">
        <f>IFERROR(__xludf.DUMMYFUNCTION("""COMPUTED_VALUE"""),8.5710505344E10)</f>
        <v>85710505344</v>
      </c>
      <c r="E172" s="271">
        <f>IFERROR(__xludf.DUMMYFUNCTION("""COMPUTED_VALUE"""),0.0)</f>
        <v>0</v>
      </c>
      <c r="F172" s="23">
        <f>IFERROR(__xludf.DUMMYFUNCTION("""COMPUTED_VALUE"""),3.0)</f>
        <v>3</v>
      </c>
      <c r="G172" s="34" t="str">
        <f>IFERROR(__xludf.DUMMYFUNCTION("""COMPUTED_VALUE"""),"Rp31,6JT")</f>
        <v>Rp31,6JT</v>
      </c>
      <c r="H172" s="375" t="str">
        <f>IFERROR(__xludf.DUMMYFUNCTION("""COMPUTED_VALUE"""),"Lip Vinyl")</f>
        <v>Lip Vinyl</v>
      </c>
      <c r="I172" s="260" t="str">
        <f>IFERROR(__xludf.DUMMYFUNCTION("""COMPUTED_VALUE"""),"Sampai")</f>
        <v>Sampai</v>
      </c>
      <c r="J172" s="357"/>
      <c r="K172" s="17"/>
      <c r="L172" s="357"/>
      <c r="M172" s="17"/>
      <c r="N172" s="357"/>
      <c r="O172" s="17"/>
      <c r="P172" s="357"/>
      <c r="Q172" s="17"/>
      <c r="R172" s="17"/>
      <c r="S172" s="17"/>
      <c r="T172" s="365"/>
      <c r="U172" s="17"/>
      <c r="V172" s="384"/>
      <c r="W172" s="17"/>
    </row>
    <row r="173">
      <c r="A173" s="255" t="str">
        <f>IFERROR(__xludf.DUMMYFUNCTION("""COMPUTED_VALUE"""),"MACRO")</f>
        <v>MACRO</v>
      </c>
      <c r="B173" s="23" t="str">
        <f>IFERROR(__xludf.DUMMYFUNCTION("""COMPUTED_VALUE"""),"bilqiesky")</f>
        <v>bilqiesky</v>
      </c>
      <c r="C173" s="281" t="str">
        <f>IFERROR(__xludf.DUMMYFUNCTION("""COMPUTED_VALUE"""),"https://www.tiktok.com/@bilqiesky")</f>
        <v>https://www.tiktok.com/@bilqiesky</v>
      </c>
      <c r="D173" s="381">
        <f>IFERROR(__xludf.DUMMYFUNCTION("""COMPUTED_VALUE"""),8.7797559661E10)</f>
        <v>87797559661</v>
      </c>
      <c r="E173" s="271">
        <f>IFERROR(__xludf.DUMMYFUNCTION("""COMPUTED_VALUE"""),850000.0)</f>
        <v>850000</v>
      </c>
      <c r="F173" s="23">
        <f>IFERROR(__xludf.DUMMYFUNCTION("""COMPUTED_VALUE"""),1.0)</f>
        <v>1</v>
      </c>
      <c r="G173" s="34" t="str">
        <f>IFERROR(__xludf.DUMMYFUNCTION("""COMPUTED_VALUE"""),"390jt")</f>
        <v>390jt</v>
      </c>
      <c r="H173" s="375"/>
      <c r="I173" s="260"/>
      <c r="J173" s="357"/>
      <c r="K173" s="17"/>
      <c r="L173" s="357"/>
      <c r="M173" s="17"/>
      <c r="N173" s="357"/>
      <c r="O173" s="17"/>
      <c r="P173" s="357"/>
      <c r="Q173" s="17"/>
      <c r="R173" s="17"/>
      <c r="S173" s="17"/>
      <c r="T173" s="365"/>
      <c r="U173" s="17"/>
      <c r="V173" s="384"/>
      <c r="W173" s="17"/>
    </row>
    <row r="174">
      <c r="A174" s="255" t="str">
        <f>IFERROR(__xludf.DUMMYFUNCTION("""COMPUTED_VALUE"""),"MICRO")</f>
        <v>MICRO</v>
      </c>
      <c r="B174" s="23" t="str">
        <f>IFERROR(__xludf.DUMMYFUNCTION("""COMPUTED_VALUE"""),"kaaaaast")</f>
        <v>kaaaaast</v>
      </c>
      <c r="C174" s="281" t="str">
        <f>IFERROR(__xludf.DUMMYFUNCTION("""COMPUTED_VALUE"""),"https://www.tiktok.com/@kaaaaast")</f>
        <v>https://www.tiktok.com/@kaaaaast</v>
      </c>
      <c r="D174" s="381">
        <f>IFERROR(__xludf.DUMMYFUNCTION("""COMPUTED_VALUE"""),8.2243166916E10)</f>
        <v>82243166916</v>
      </c>
      <c r="E174" s="271">
        <f>IFERROR(__xludf.DUMMYFUNCTION("""COMPUTED_VALUE"""),0.0)</f>
        <v>0</v>
      </c>
      <c r="F174" s="23">
        <f>IFERROR(__xludf.DUMMYFUNCTION("""COMPUTED_VALUE"""),3.0)</f>
        <v>3</v>
      </c>
      <c r="G174" s="34" t="str">
        <f>IFERROR(__xludf.DUMMYFUNCTION("""COMPUTED_VALUE"""),"Rp6,9JT")</f>
        <v>Rp6,9JT</v>
      </c>
      <c r="H174" s="375" t="str">
        <f>IFERROR(__xludf.DUMMYFUNCTION("""COMPUTED_VALUE"""),"Lip Vinyl")</f>
        <v>Lip Vinyl</v>
      </c>
      <c r="I174" s="260" t="str">
        <f>IFERROR(__xludf.DUMMYFUNCTION("""COMPUTED_VALUE"""),"Done Req Sample")</f>
        <v>Done Req Sample</v>
      </c>
      <c r="J174" s="357"/>
      <c r="K174" s="17"/>
      <c r="L174" s="357"/>
      <c r="M174" s="17"/>
      <c r="N174" s="357"/>
      <c r="O174" s="17"/>
      <c r="P174" s="357"/>
      <c r="Q174" s="17"/>
      <c r="R174" s="17"/>
      <c r="S174" s="17"/>
      <c r="T174" s="365"/>
      <c r="U174" s="17"/>
      <c r="V174" s="384"/>
      <c r="W174" s="17"/>
    </row>
    <row r="175">
      <c r="A175" s="255" t="str">
        <f>IFERROR(__xludf.DUMMYFUNCTION("""COMPUTED_VALUE"""),"NANO")</f>
        <v>NANO</v>
      </c>
      <c r="B175" s="23" t="str">
        <f>IFERROR(__xludf.DUMMYFUNCTION("""COMPUTED_VALUE"""),"ayulestarii1777")</f>
        <v>ayulestarii1777</v>
      </c>
      <c r="C175" s="281" t="str">
        <f>IFERROR(__xludf.DUMMYFUNCTION("""COMPUTED_VALUE"""),"https://www.tiktok.com/@ayulestarii1777")</f>
        <v>https://www.tiktok.com/@ayulestarii1777</v>
      </c>
      <c r="D175" s="381">
        <f>IFERROR(__xludf.DUMMYFUNCTION("""COMPUTED_VALUE"""),8.5823844153E10)</f>
        <v>85823844153</v>
      </c>
      <c r="E175" s="271">
        <f>IFERROR(__xludf.DUMMYFUNCTION("""COMPUTED_VALUE"""),0.0)</f>
        <v>0</v>
      </c>
      <c r="F175" s="23">
        <f>IFERROR(__xludf.DUMMYFUNCTION("""COMPUTED_VALUE"""),3.0)</f>
        <v>3</v>
      </c>
      <c r="G175" s="34" t="str">
        <f>IFERROR(__xludf.DUMMYFUNCTION("""COMPUTED_VALUE"""),"59jt")</f>
        <v>59jt</v>
      </c>
      <c r="H175" s="375" t="str">
        <f>IFERROR(__xludf.DUMMYFUNCTION("""COMPUTED_VALUE"""),"Lip Vinyl")</f>
        <v>Lip Vinyl</v>
      </c>
      <c r="I175" s="260" t="str">
        <f>IFERROR(__xludf.DUMMYFUNCTION("""COMPUTED_VALUE"""),"Sampai")</f>
        <v>Sampai</v>
      </c>
      <c r="J175" s="357"/>
      <c r="K175" s="17"/>
      <c r="L175" s="357"/>
      <c r="M175" s="17"/>
      <c r="N175" s="357"/>
      <c r="O175" s="17"/>
      <c r="P175" s="357"/>
      <c r="Q175" s="17"/>
      <c r="R175" s="17"/>
      <c r="S175" s="17"/>
      <c r="T175" s="365"/>
      <c r="U175" s="17"/>
      <c r="V175" s="384"/>
      <c r="W175" s="17"/>
    </row>
    <row r="176">
      <c r="A176" s="255" t="str">
        <f>IFERROR(__xludf.DUMMYFUNCTION("""COMPUTED_VALUE"""),"MICRO")</f>
        <v>MICRO</v>
      </c>
      <c r="B176" s="23" t="str">
        <f>IFERROR(__xludf.DUMMYFUNCTION("""COMPUTED_VALUE"""),"jiararaa")</f>
        <v>jiararaa</v>
      </c>
      <c r="C176" s="281" t="str">
        <f>IFERROR(__xludf.DUMMYFUNCTION("""COMPUTED_VALUE"""),"https://www.tiktok.com/@jiararaa")</f>
        <v>https://www.tiktok.com/@jiararaa</v>
      </c>
      <c r="D176" s="381">
        <f>IFERROR(__xludf.DUMMYFUNCTION("""COMPUTED_VALUE"""),8.212141871E10)</f>
        <v>82121418710</v>
      </c>
      <c r="E176" s="271">
        <f>IFERROR(__xludf.DUMMYFUNCTION("""COMPUTED_VALUE"""),700000.0)</f>
        <v>700000</v>
      </c>
      <c r="F176" s="23">
        <f>IFERROR(__xludf.DUMMYFUNCTION("""COMPUTED_VALUE"""),1.0)</f>
        <v>1</v>
      </c>
      <c r="G176" s="34" t="str">
        <f>IFERROR(__xludf.DUMMYFUNCTION("""COMPUTED_VALUE"""),"120jt")</f>
        <v>120jt</v>
      </c>
      <c r="H176" s="375"/>
      <c r="I176" s="260" t="str">
        <f>IFERROR(__xludf.DUMMYFUNCTION("""COMPUTED_VALUE"""),"Done Req Sample")</f>
        <v>Done Req Sample</v>
      </c>
      <c r="J176" s="357"/>
      <c r="K176" s="17"/>
      <c r="L176" s="357"/>
      <c r="M176" s="17"/>
      <c r="N176" s="357"/>
      <c r="O176" s="17"/>
      <c r="P176" s="357"/>
      <c r="Q176" s="17"/>
      <c r="R176" s="17"/>
      <c r="S176" s="17"/>
      <c r="T176" s="365"/>
      <c r="U176" s="17"/>
      <c r="V176" s="384"/>
      <c r="W176" s="17"/>
    </row>
    <row r="177">
      <c r="A177" s="255" t="str">
        <f>IFERROR(__xludf.DUMMYFUNCTION("""COMPUTED_VALUE"""),"NANO")</f>
        <v>NANO</v>
      </c>
      <c r="B177" s="23" t="str">
        <f>IFERROR(__xludf.DUMMYFUNCTION("""COMPUTED_VALUE"""),"ayunurmalani")</f>
        <v>ayunurmalani</v>
      </c>
      <c r="C177" s="281" t="str">
        <f>IFERROR(__xludf.DUMMYFUNCTION("""COMPUTED_VALUE"""),"https://www.tiktok.com/@ayunurmalani")</f>
        <v>https://www.tiktok.com/@ayunurmalani</v>
      </c>
      <c r="D177" s="381">
        <f>IFERROR(__xludf.DUMMYFUNCTION("""COMPUTED_VALUE"""),8.95375539199E11)</f>
        <v>895375539199</v>
      </c>
      <c r="E177" s="271">
        <f>IFERROR(__xludf.DUMMYFUNCTION("""COMPUTED_VALUE"""),150000.0)</f>
        <v>150000</v>
      </c>
      <c r="F177" s="23">
        <f>IFERROR(__xludf.DUMMYFUNCTION("""COMPUTED_VALUE"""),1.0)</f>
        <v>1</v>
      </c>
      <c r="G177" s="34" t="str">
        <f>IFERROR(__xludf.DUMMYFUNCTION("""COMPUTED_VALUE"""),"118jt")</f>
        <v>118jt</v>
      </c>
      <c r="H177" s="375" t="str">
        <f>IFERROR(__xludf.DUMMYFUNCTION("""COMPUTED_VALUE"""),"Lip Vinyl")</f>
        <v>Lip Vinyl</v>
      </c>
      <c r="I177" s="260" t="str">
        <f>IFERROR(__xludf.DUMMYFUNCTION("""COMPUTED_VALUE"""),"Done Req Sample")</f>
        <v>Done Req Sample</v>
      </c>
      <c r="J177" s="357"/>
      <c r="K177" s="17"/>
      <c r="L177" s="357"/>
      <c r="M177" s="17"/>
      <c r="N177" s="357"/>
      <c r="O177" s="17"/>
      <c r="P177" s="357"/>
      <c r="Q177" s="17"/>
      <c r="R177" s="17"/>
      <c r="S177" s="17"/>
      <c r="T177" s="365"/>
      <c r="U177" s="17"/>
      <c r="V177" s="384"/>
      <c r="W177" s="17"/>
    </row>
    <row r="178">
      <c r="A178" s="255"/>
      <c r="B178" s="23"/>
      <c r="C178" s="268"/>
      <c r="D178" s="381"/>
      <c r="E178" s="271"/>
      <c r="F178" s="23"/>
      <c r="G178" s="34"/>
      <c r="H178" s="375"/>
      <c r="I178" s="260"/>
      <c r="J178" s="357"/>
      <c r="K178" s="17"/>
      <c r="L178" s="357"/>
      <c r="M178" s="17"/>
      <c r="N178" s="357"/>
      <c r="O178" s="17"/>
      <c r="P178" s="357"/>
      <c r="Q178" s="17"/>
      <c r="R178" s="17"/>
      <c r="S178" s="17"/>
      <c r="T178" s="17"/>
      <c r="U178" s="17"/>
      <c r="V178" s="17"/>
      <c r="W178" s="17"/>
    </row>
    <row r="179">
      <c r="A179" s="255"/>
      <c r="B179" s="23"/>
      <c r="C179" s="268"/>
      <c r="D179" s="381"/>
      <c r="E179" s="271"/>
      <c r="F179" s="23"/>
      <c r="G179" s="34"/>
      <c r="H179" s="375"/>
      <c r="I179" s="260"/>
      <c r="J179" s="357"/>
      <c r="K179" s="17"/>
      <c r="L179" s="357"/>
      <c r="M179" s="17"/>
      <c r="N179" s="357"/>
      <c r="O179" s="17"/>
      <c r="P179" s="357"/>
      <c r="Q179" s="17"/>
      <c r="R179" s="17"/>
      <c r="S179" s="17"/>
      <c r="T179" s="17"/>
      <c r="U179" s="17"/>
      <c r="V179" s="17"/>
      <c r="W179" s="17"/>
    </row>
    <row r="180">
      <c r="A180" s="255"/>
      <c r="B180" s="23"/>
      <c r="C180" s="268"/>
      <c r="D180" s="381"/>
      <c r="E180" s="271"/>
      <c r="F180" s="23"/>
      <c r="G180" s="34"/>
      <c r="H180" s="375"/>
      <c r="I180" s="260"/>
      <c r="J180" s="357"/>
      <c r="K180" s="17"/>
      <c r="L180" s="357"/>
      <c r="M180" s="17"/>
      <c r="N180" s="357"/>
      <c r="O180" s="17"/>
      <c r="P180" s="357"/>
      <c r="Q180" s="17"/>
      <c r="R180" s="17"/>
      <c r="S180" s="17"/>
      <c r="T180" s="17"/>
      <c r="U180" s="17"/>
      <c r="V180" s="17"/>
      <c r="W180" s="17"/>
    </row>
    <row r="181">
      <c r="A181" s="255"/>
      <c r="B181" s="23"/>
      <c r="C181" s="268"/>
      <c r="D181" s="381"/>
      <c r="E181" s="271"/>
      <c r="F181" s="23"/>
      <c r="G181" s="34"/>
      <c r="H181" s="375"/>
      <c r="I181" s="260"/>
      <c r="J181" s="357"/>
      <c r="K181" s="17"/>
      <c r="L181" s="357"/>
      <c r="M181" s="17"/>
      <c r="N181" s="357"/>
      <c r="O181" s="17"/>
      <c r="P181" s="357"/>
      <c r="Q181" s="17"/>
      <c r="R181" s="17"/>
      <c r="S181" s="17"/>
      <c r="T181" s="17"/>
      <c r="U181" s="17"/>
      <c r="V181" s="17"/>
      <c r="W181" s="17"/>
    </row>
    <row r="182">
      <c r="A182" s="255"/>
      <c r="B182" s="23"/>
      <c r="C182" s="268"/>
      <c r="D182" s="381"/>
      <c r="E182" s="271"/>
      <c r="F182" s="23"/>
      <c r="G182" s="34"/>
      <c r="H182" s="375"/>
      <c r="I182" s="260"/>
      <c r="J182" s="357"/>
      <c r="K182" s="17"/>
      <c r="L182" s="357"/>
      <c r="M182" s="17"/>
      <c r="N182" s="357"/>
      <c r="O182" s="17"/>
      <c r="P182" s="357"/>
      <c r="Q182" s="17"/>
      <c r="R182" s="17"/>
      <c r="S182" s="17"/>
      <c r="T182" s="17"/>
      <c r="U182" s="17"/>
      <c r="V182" s="17"/>
      <c r="W182" s="17"/>
    </row>
    <row r="183">
      <c r="A183" s="255"/>
      <c r="B183" s="23"/>
      <c r="C183" s="268"/>
      <c r="D183" s="381"/>
      <c r="E183" s="271"/>
      <c r="F183" s="23"/>
      <c r="G183" s="34"/>
      <c r="H183" s="375"/>
      <c r="I183" s="260"/>
      <c r="J183" s="357"/>
      <c r="K183" s="17"/>
      <c r="L183" s="357"/>
      <c r="M183" s="17"/>
      <c r="N183" s="357"/>
      <c r="O183" s="17"/>
      <c r="P183" s="357"/>
      <c r="Q183" s="17"/>
      <c r="R183" s="17"/>
      <c r="S183" s="17"/>
      <c r="T183" s="17"/>
      <c r="U183" s="17"/>
      <c r="V183" s="17"/>
      <c r="W183" s="17"/>
    </row>
    <row r="184">
      <c r="A184" s="255"/>
      <c r="B184" s="23"/>
      <c r="C184" s="268"/>
      <c r="D184" s="381"/>
      <c r="E184" s="271"/>
      <c r="F184" s="23"/>
      <c r="G184" s="34"/>
      <c r="H184" s="375"/>
      <c r="I184" s="260"/>
      <c r="J184" s="357"/>
      <c r="K184" s="17"/>
      <c r="L184" s="357"/>
      <c r="M184" s="17"/>
      <c r="N184" s="357"/>
      <c r="O184" s="17"/>
      <c r="P184" s="357"/>
      <c r="Q184" s="17"/>
      <c r="R184" s="17"/>
      <c r="S184" s="17"/>
      <c r="T184" s="17"/>
      <c r="U184" s="17"/>
      <c r="V184" s="17"/>
      <c r="W184" s="17"/>
    </row>
    <row r="185">
      <c r="A185" s="255"/>
      <c r="B185" s="23"/>
      <c r="C185" s="268"/>
      <c r="D185" s="381"/>
      <c r="E185" s="271"/>
      <c r="F185" s="23"/>
      <c r="G185" s="34"/>
      <c r="H185" s="375"/>
      <c r="I185" s="260"/>
      <c r="J185" s="357"/>
      <c r="K185" s="17"/>
      <c r="L185" s="357"/>
      <c r="M185" s="17"/>
      <c r="N185" s="357"/>
      <c r="O185" s="17"/>
      <c r="P185" s="357"/>
      <c r="Q185" s="17"/>
      <c r="R185" s="17"/>
      <c r="S185" s="17"/>
      <c r="T185" s="17"/>
      <c r="U185" s="17"/>
      <c r="V185" s="17"/>
      <c r="W185" s="17"/>
    </row>
    <row r="186">
      <c r="A186" s="255"/>
      <c r="B186" s="23"/>
      <c r="C186" s="268"/>
      <c r="D186" s="381"/>
      <c r="E186" s="271"/>
      <c r="F186" s="23"/>
      <c r="G186" s="34"/>
      <c r="H186" s="375"/>
      <c r="I186" s="260"/>
      <c r="J186" s="357"/>
      <c r="K186" s="17"/>
      <c r="L186" s="357"/>
      <c r="M186" s="17"/>
      <c r="N186" s="357"/>
      <c r="O186" s="17"/>
      <c r="P186" s="357"/>
      <c r="Q186" s="17"/>
      <c r="R186" s="17"/>
      <c r="S186" s="17"/>
      <c r="T186" s="17"/>
      <c r="U186" s="17"/>
      <c r="V186" s="17"/>
      <c r="W186" s="17"/>
    </row>
    <row r="187">
      <c r="A187" s="255"/>
      <c r="B187" s="23"/>
      <c r="C187" s="268"/>
      <c r="D187" s="381"/>
      <c r="E187" s="271"/>
      <c r="F187" s="23"/>
      <c r="G187" s="34"/>
      <c r="H187" s="375"/>
      <c r="I187" s="260"/>
      <c r="J187" s="357"/>
      <c r="K187" s="17"/>
      <c r="L187" s="357"/>
      <c r="M187" s="17"/>
      <c r="N187" s="357"/>
      <c r="O187" s="17"/>
      <c r="P187" s="357"/>
      <c r="Q187" s="17"/>
      <c r="R187" s="17"/>
      <c r="S187" s="17"/>
      <c r="T187" s="17"/>
      <c r="U187" s="17"/>
      <c r="V187" s="17"/>
      <c r="W187" s="17"/>
    </row>
    <row r="188">
      <c r="A188" s="255"/>
      <c r="B188" s="23"/>
      <c r="C188" s="268"/>
      <c r="D188" s="381"/>
      <c r="E188" s="271"/>
      <c r="F188" s="23"/>
      <c r="G188" s="34"/>
      <c r="H188" s="375"/>
      <c r="I188" s="260"/>
      <c r="J188" s="357"/>
      <c r="K188" s="17"/>
      <c r="L188" s="357"/>
      <c r="M188" s="17"/>
      <c r="N188" s="357"/>
      <c r="O188" s="17"/>
      <c r="P188" s="357"/>
      <c r="Q188" s="17"/>
      <c r="R188" s="17"/>
      <c r="S188" s="17"/>
      <c r="T188" s="17"/>
      <c r="U188" s="17"/>
      <c r="V188" s="17"/>
      <c r="W188" s="17"/>
    </row>
    <row r="189">
      <c r="A189" s="255"/>
      <c r="B189" s="23"/>
      <c r="C189" s="268"/>
      <c r="D189" s="381"/>
      <c r="E189" s="271"/>
      <c r="F189" s="23"/>
      <c r="G189" s="34"/>
      <c r="H189" s="375"/>
      <c r="I189" s="260"/>
      <c r="J189" s="357"/>
      <c r="K189" s="17"/>
      <c r="L189" s="357"/>
      <c r="M189" s="17"/>
      <c r="N189" s="357"/>
      <c r="O189" s="17"/>
      <c r="P189" s="357"/>
      <c r="Q189" s="17"/>
      <c r="R189" s="17"/>
      <c r="S189" s="17"/>
      <c r="T189" s="17"/>
      <c r="U189" s="17"/>
      <c r="V189" s="17"/>
      <c r="W189" s="17"/>
    </row>
    <row r="190">
      <c r="A190" s="255"/>
      <c r="B190" s="23"/>
      <c r="C190" s="268"/>
      <c r="D190" s="381"/>
      <c r="E190" s="271"/>
      <c r="F190" s="23"/>
      <c r="G190" s="34"/>
      <c r="H190" s="375"/>
      <c r="I190" s="260"/>
      <c r="J190" s="357"/>
      <c r="K190" s="17"/>
      <c r="L190" s="357"/>
      <c r="M190" s="17"/>
      <c r="N190" s="357"/>
      <c r="O190" s="17"/>
      <c r="P190" s="357"/>
      <c r="Q190" s="17"/>
      <c r="R190" s="17"/>
      <c r="S190" s="17"/>
      <c r="T190" s="17"/>
      <c r="U190" s="17"/>
      <c r="V190" s="17"/>
      <c r="W190" s="17"/>
    </row>
    <row r="191">
      <c r="A191" s="255"/>
      <c r="B191" s="23"/>
      <c r="C191" s="268"/>
      <c r="D191" s="381"/>
      <c r="E191" s="271"/>
      <c r="F191" s="23"/>
      <c r="G191" s="34"/>
      <c r="H191" s="375"/>
      <c r="I191" s="260"/>
      <c r="J191" s="357"/>
      <c r="K191" s="17"/>
      <c r="L191" s="357"/>
      <c r="M191" s="17"/>
      <c r="N191" s="357"/>
      <c r="O191" s="17"/>
      <c r="P191" s="357"/>
      <c r="Q191" s="17"/>
      <c r="R191" s="17"/>
      <c r="S191" s="17"/>
      <c r="T191" s="17"/>
      <c r="U191" s="17"/>
      <c r="V191" s="17"/>
      <c r="W191" s="17"/>
    </row>
    <row r="192">
      <c r="A192" s="255"/>
      <c r="B192" s="23"/>
      <c r="C192" s="268"/>
      <c r="D192" s="381"/>
      <c r="E192" s="271"/>
      <c r="F192" s="23"/>
      <c r="G192" s="34"/>
      <c r="H192" s="375"/>
      <c r="I192" s="260"/>
      <c r="J192" s="357"/>
      <c r="K192" s="17"/>
      <c r="L192" s="357"/>
      <c r="M192" s="17"/>
      <c r="N192" s="357"/>
      <c r="O192" s="17"/>
      <c r="P192" s="357"/>
      <c r="Q192" s="17"/>
      <c r="R192" s="17"/>
      <c r="S192" s="17"/>
      <c r="T192" s="17"/>
      <c r="U192" s="17"/>
      <c r="V192" s="17"/>
      <c r="W192" s="17"/>
    </row>
    <row r="193">
      <c r="A193" s="255"/>
      <c r="B193" s="23"/>
      <c r="C193" s="268"/>
      <c r="D193" s="381"/>
      <c r="E193" s="271"/>
      <c r="F193" s="23"/>
      <c r="G193" s="34"/>
      <c r="H193" s="375"/>
      <c r="I193" s="260"/>
      <c r="J193" s="357"/>
      <c r="K193" s="17"/>
      <c r="L193" s="357"/>
      <c r="M193" s="17"/>
      <c r="N193" s="357"/>
      <c r="O193" s="17"/>
      <c r="P193" s="357"/>
      <c r="Q193" s="17"/>
      <c r="R193" s="17"/>
      <c r="S193" s="17"/>
      <c r="T193" s="17"/>
      <c r="U193" s="17"/>
      <c r="V193" s="17"/>
      <c r="W193" s="17"/>
    </row>
    <row r="194">
      <c r="A194" s="255"/>
      <c r="B194" s="23"/>
      <c r="C194" s="268"/>
      <c r="D194" s="381"/>
      <c r="E194" s="271"/>
      <c r="F194" s="23"/>
      <c r="G194" s="34"/>
      <c r="H194" s="375"/>
      <c r="I194" s="260"/>
      <c r="J194" s="357"/>
      <c r="K194" s="17"/>
      <c r="L194" s="357"/>
      <c r="M194" s="17"/>
      <c r="N194" s="357"/>
      <c r="O194" s="17"/>
      <c r="P194" s="357"/>
      <c r="Q194" s="17"/>
      <c r="R194" s="17"/>
      <c r="S194" s="17"/>
      <c r="T194" s="17"/>
      <c r="U194" s="17"/>
      <c r="V194" s="17"/>
      <c r="W194" s="17"/>
    </row>
    <row r="195">
      <c r="A195" s="255"/>
      <c r="B195" s="23"/>
      <c r="C195" s="268"/>
      <c r="D195" s="381"/>
      <c r="E195" s="271"/>
      <c r="F195" s="23"/>
      <c r="G195" s="34"/>
      <c r="H195" s="375"/>
      <c r="I195" s="260"/>
      <c r="J195" s="357"/>
      <c r="K195" s="17"/>
      <c r="L195" s="357"/>
      <c r="M195" s="17"/>
      <c r="N195" s="357"/>
      <c r="O195" s="17"/>
      <c r="P195" s="357"/>
      <c r="Q195" s="17"/>
      <c r="R195" s="17"/>
      <c r="S195" s="17"/>
      <c r="T195" s="17"/>
      <c r="U195" s="17"/>
      <c r="V195" s="17"/>
      <c r="W195" s="17"/>
    </row>
    <row r="196">
      <c r="A196" s="255"/>
      <c r="B196" s="23"/>
      <c r="C196" s="268"/>
      <c r="D196" s="381"/>
      <c r="E196" s="271"/>
      <c r="F196" s="23"/>
      <c r="G196" s="34"/>
      <c r="H196" s="375"/>
      <c r="I196" s="260"/>
      <c r="J196" s="357"/>
      <c r="K196" s="17"/>
      <c r="L196" s="357"/>
      <c r="M196" s="17"/>
      <c r="N196" s="357"/>
      <c r="O196" s="17"/>
      <c r="P196" s="357"/>
      <c r="Q196" s="17"/>
      <c r="R196" s="17"/>
      <c r="S196" s="17"/>
      <c r="T196" s="17"/>
      <c r="U196" s="17"/>
      <c r="V196" s="17"/>
      <c r="W196" s="17"/>
    </row>
    <row r="197">
      <c r="A197" s="255"/>
      <c r="B197" s="23"/>
      <c r="C197" s="268"/>
      <c r="D197" s="381"/>
      <c r="E197" s="271"/>
      <c r="F197" s="23"/>
      <c r="G197" s="34"/>
      <c r="H197" s="375"/>
      <c r="I197" s="260"/>
      <c r="J197" s="357"/>
      <c r="K197" s="17"/>
      <c r="L197" s="357"/>
      <c r="M197" s="17"/>
      <c r="N197" s="357"/>
      <c r="O197" s="17"/>
      <c r="P197" s="357"/>
      <c r="Q197" s="17"/>
      <c r="R197" s="17"/>
      <c r="S197" s="17"/>
      <c r="T197" s="17"/>
      <c r="U197" s="17"/>
      <c r="V197" s="17"/>
      <c r="W197" s="17"/>
    </row>
    <row r="198">
      <c r="A198" s="255"/>
      <c r="B198" s="23"/>
      <c r="C198" s="268"/>
      <c r="D198" s="381"/>
      <c r="E198" s="271"/>
      <c r="F198" s="23"/>
      <c r="G198" s="34"/>
      <c r="H198" s="375"/>
      <c r="I198" s="260"/>
      <c r="J198" s="357"/>
      <c r="K198" s="17"/>
      <c r="L198" s="357"/>
      <c r="M198" s="17"/>
      <c r="N198" s="357"/>
      <c r="O198" s="17"/>
      <c r="P198" s="357"/>
      <c r="Q198" s="17"/>
      <c r="R198" s="17"/>
      <c r="S198" s="17"/>
      <c r="T198" s="17"/>
      <c r="U198" s="17"/>
      <c r="V198" s="17"/>
      <c r="W198" s="17"/>
    </row>
    <row r="199">
      <c r="A199" s="255"/>
      <c r="B199" s="23"/>
      <c r="C199" s="268"/>
      <c r="D199" s="381"/>
      <c r="E199" s="271"/>
      <c r="F199" s="23"/>
      <c r="G199" s="34"/>
      <c r="H199" s="375"/>
      <c r="I199" s="260"/>
      <c r="J199" s="357"/>
      <c r="K199" s="17"/>
      <c r="L199" s="357"/>
      <c r="M199" s="17"/>
      <c r="N199" s="357"/>
      <c r="O199" s="17"/>
      <c r="P199" s="357"/>
      <c r="Q199" s="17"/>
      <c r="R199" s="17"/>
      <c r="S199" s="17"/>
      <c r="T199" s="17"/>
      <c r="U199" s="17"/>
      <c r="V199" s="17"/>
      <c r="W199" s="17"/>
    </row>
    <row r="200">
      <c r="A200" s="255"/>
      <c r="B200" s="23"/>
      <c r="C200" s="268"/>
      <c r="D200" s="381"/>
      <c r="E200" s="271"/>
      <c r="F200" s="23"/>
      <c r="G200" s="34"/>
      <c r="H200" s="375"/>
      <c r="I200" s="260"/>
      <c r="J200" s="357"/>
      <c r="K200" s="17"/>
      <c r="L200" s="357"/>
      <c r="M200" s="17"/>
      <c r="N200" s="357"/>
      <c r="O200" s="17"/>
      <c r="P200" s="357"/>
      <c r="Q200" s="17"/>
      <c r="R200" s="17"/>
      <c r="S200" s="17"/>
      <c r="T200" s="17"/>
      <c r="U200" s="17"/>
      <c r="V200" s="17"/>
      <c r="W200" s="17"/>
    </row>
    <row r="201">
      <c r="A201" s="255"/>
      <c r="B201" s="23"/>
      <c r="C201" s="268"/>
      <c r="D201" s="381"/>
      <c r="E201" s="271"/>
      <c r="F201" s="23"/>
      <c r="G201" s="34"/>
      <c r="H201" s="375"/>
      <c r="I201" s="260"/>
      <c r="J201" s="357"/>
      <c r="K201" s="17"/>
      <c r="L201" s="357"/>
      <c r="M201" s="17"/>
      <c r="N201" s="357"/>
      <c r="O201" s="17"/>
      <c r="P201" s="357"/>
      <c r="Q201" s="17"/>
      <c r="R201" s="17"/>
      <c r="S201" s="17"/>
      <c r="T201" s="17"/>
      <c r="U201" s="17"/>
      <c r="V201" s="17"/>
      <c r="W201" s="17"/>
    </row>
    <row r="202">
      <c r="A202" s="272"/>
      <c r="B202" s="272"/>
      <c r="C202" s="336"/>
      <c r="D202" s="388"/>
      <c r="E202" s="274"/>
      <c r="F202" s="272"/>
      <c r="G202" s="3"/>
    </row>
    <row r="203">
      <c r="A203" s="272"/>
      <c r="B203" s="272"/>
      <c r="C203" s="336"/>
      <c r="D203" s="388"/>
      <c r="E203" s="274"/>
      <c r="F203" s="272"/>
      <c r="G203" s="3"/>
    </row>
    <row r="204">
      <c r="A204" s="272"/>
      <c r="B204" s="272"/>
      <c r="C204" s="336"/>
      <c r="D204" s="388"/>
      <c r="E204" s="274"/>
      <c r="F204" s="272"/>
      <c r="G204" s="3"/>
    </row>
    <row r="205">
      <c r="A205" s="272"/>
      <c r="B205" s="272"/>
      <c r="C205" s="336"/>
      <c r="D205" s="388"/>
      <c r="E205" s="274"/>
      <c r="F205" s="272"/>
      <c r="G205" s="3"/>
    </row>
    <row r="206">
      <c r="A206" s="272"/>
      <c r="B206" s="272"/>
      <c r="C206" s="336"/>
      <c r="D206" s="388"/>
      <c r="E206" s="274"/>
      <c r="F206" s="272"/>
      <c r="G206" s="3"/>
    </row>
    <row r="207">
      <c r="A207" s="272"/>
      <c r="B207" s="272"/>
      <c r="C207" s="336"/>
      <c r="D207" s="388"/>
      <c r="E207" s="274"/>
      <c r="F207" s="272"/>
      <c r="G207" s="3"/>
    </row>
    <row r="208">
      <c r="A208" s="272"/>
      <c r="B208" s="272"/>
      <c r="C208" s="336"/>
      <c r="D208" s="388"/>
      <c r="E208" s="274"/>
      <c r="F208" s="272"/>
      <c r="G208" s="3"/>
    </row>
    <row r="209">
      <c r="A209" s="272"/>
      <c r="B209" s="272"/>
      <c r="C209" s="336"/>
      <c r="D209" s="388"/>
      <c r="E209" s="274"/>
      <c r="F209" s="272"/>
      <c r="G209" s="3"/>
    </row>
    <row r="210">
      <c r="A210" s="272"/>
      <c r="B210" s="272"/>
      <c r="C210" s="336"/>
      <c r="D210" s="388"/>
      <c r="E210" s="274"/>
      <c r="F210" s="272"/>
      <c r="G210" s="3"/>
    </row>
    <row r="211">
      <c r="A211" s="272"/>
      <c r="B211" s="272"/>
      <c r="C211" s="336"/>
      <c r="D211" s="388"/>
      <c r="E211" s="274"/>
      <c r="F211" s="272"/>
      <c r="G211" s="3"/>
    </row>
    <row r="212">
      <c r="A212" s="272"/>
      <c r="B212" s="272"/>
      <c r="C212" s="336"/>
      <c r="D212" s="388"/>
      <c r="E212" s="274"/>
      <c r="F212" s="272"/>
      <c r="G212" s="3"/>
    </row>
    <row r="213">
      <c r="A213" s="272"/>
      <c r="B213" s="272"/>
      <c r="C213" s="336"/>
      <c r="D213" s="388"/>
      <c r="E213" s="274"/>
      <c r="F213" s="272"/>
      <c r="G213" s="3"/>
    </row>
    <row r="214">
      <c r="A214" s="272"/>
      <c r="B214" s="272"/>
      <c r="C214" s="336"/>
      <c r="D214" s="388"/>
      <c r="E214" s="274"/>
      <c r="F214" s="272"/>
      <c r="G214" s="3"/>
    </row>
    <row r="215">
      <c r="A215" s="272"/>
      <c r="B215" s="272"/>
      <c r="C215" s="336"/>
      <c r="D215" s="388"/>
      <c r="E215" s="274"/>
      <c r="F215" s="272"/>
      <c r="G215" s="3"/>
    </row>
    <row r="216">
      <c r="A216" s="272"/>
      <c r="B216" s="272"/>
      <c r="C216" s="336"/>
      <c r="D216" s="388"/>
      <c r="E216" s="274"/>
      <c r="F216" s="272"/>
      <c r="G216" s="3"/>
    </row>
    <row r="217">
      <c r="A217" s="272"/>
      <c r="B217" s="272"/>
      <c r="C217" s="336"/>
      <c r="D217" s="388"/>
      <c r="E217" s="274"/>
      <c r="F217" s="272"/>
      <c r="G217" s="3"/>
    </row>
    <row r="218">
      <c r="A218" s="272"/>
      <c r="B218" s="272"/>
      <c r="C218" s="336"/>
      <c r="D218" s="388"/>
      <c r="E218" s="274"/>
      <c r="F218" s="272"/>
      <c r="G218" s="3"/>
    </row>
    <row r="219">
      <c r="A219" s="272"/>
      <c r="B219" s="272"/>
      <c r="C219" s="336"/>
      <c r="D219" s="388"/>
      <c r="E219" s="274"/>
      <c r="F219" s="272"/>
      <c r="G219" s="3"/>
    </row>
    <row r="220">
      <c r="A220" s="272"/>
      <c r="B220" s="272"/>
      <c r="C220" s="336"/>
      <c r="D220" s="388"/>
      <c r="E220" s="274"/>
      <c r="F220" s="272"/>
      <c r="G220" s="3"/>
    </row>
    <row r="221">
      <c r="A221" s="272"/>
      <c r="B221" s="272"/>
      <c r="C221" s="336"/>
      <c r="D221" s="388"/>
      <c r="E221" s="274"/>
      <c r="F221" s="272"/>
      <c r="G221" s="3"/>
    </row>
    <row r="222">
      <c r="A222" s="272"/>
      <c r="B222" s="272"/>
      <c r="C222" s="336"/>
      <c r="D222" s="388"/>
      <c r="E222" s="274"/>
      <c r="F222" s="272"/>
      <c r="G222" s="3"/>
    </row>
    <row r="223">
      <c r="C223" s="12"/>
      <c r="D223" s="45"/>
      <c r="E223" s="112"/>
      <c r="G223" s="3"/>
    </row>
    <row r="224">
      <c r="C224" s="12"/>
      <c r="D224" s="45"/>
      <c r="E224" s="112"/>
      <c r="G224" s="3"/>
    </row>
    <row r="225">
      <c r="C225" s="12"/>
      <c r="D225" s="45"/>
      <c r="E225" s="112"/>
      <c r="G225" s="3"/>
    </row>
    <row r="226">
      <c r="C226" s="12"/>
      <c r="D226" s="45"/>
      <c r="E226" s="112"/>
      <c r="G226" s="3"/>
    </row>
    <row r="227">
      <c r="C227" s="12"/>
      <c r="D227" s="45"/>
      <c r="E227" s="112"/>
      <c r="G227" s="3"/>
    </row>
    <row r="228">
      <c r="C228" s="12"/>
      <c r="D228" s="45"/>
      <c r="E228" s="112"/>
      <c r="G228" s="3"/>
    </row>
    <row r="229">
      <c r="C229" s="12"/>
      <c r="D229" s="45"/>
      <c r="E229" s="112"/>
      <c r="G229" s="3"/>
    </row>
    <row r="230">
      <c r="C230" s="12"/>
      <c r="D230" s="45"/>
      <c r="E230" s="112"/>
      <c r="G230" s="3"/>
    </row>
    <row r="231">
      <c r="C231" s="12"/>
      <c r="D231" s="45"/>
      <c r="E231" s="112"/>
      <c r="G231" s="3"/>
    </row>
    <row r="232">
      <c r="C232" s="12"/>
      <c r="D232" s="45"/>
      <c r="E232" s="112"/>
      <c r="G232" s="3"/>
    </row>
    <row r="233">
      <c r="C233" s="12"/>
      <c r="D233" s="45"/>
      <c r="E233" s="112"/>
      <c r="G233" s="3"/>
    </row>
    <row r="234">
      <c r="C234" s="12"/>
      <c r="D234" s="45"/>
      <c r="E234" s="112"/>
      <c r="G234" s="3"/>
    </row>
    <row r="235">
      <c r="C235" s="12"/>
      <c r="D235" s="45"/>
      <c r="E235" s="112"/>
      <c r="G235" s="3"/>
    </row>
    <row r="236">
      <c r="C236" s="12"/>
      <c r="D236" s="45"/>
      <c r="E236" s="112"/>
      <c r="G236" s="3"/>
    </row>
    <row r="237">
      <c r="C237" s="12"/>
      <c r="D237" s="45"/>
      <c r="E237" s="112"/>
      <c r="G237" s="3"/>
    </row>
    <row r="238">
      <c r="C238" s="12"/>
      <c r="D238" s="45"/>
      <c r="E238" s="112"/>
      <c r="G238" s="3"/>
    </row>
    <row r="239">
      <c r="C239" s="12"/>
      <c r="D239" s="45"/>
      <c r="E239" s="112"/>
      <c r="G239" s="3"/>
    </row>
    <row r="240">
      <c r="C240" s="12"/>
      <c r="D240" s="45"/>
      <c r="E240" s="112"/>
      <c r="G240" s="3"/>
    </row>
    <row r="241">
      <c r="C241" s="12"/>
      <c r="D241" s="45"/>
      <c r="E241" s="112"/>
      <c r="G241" s="3"/>
    </row>
    <row r="242">
      <c r="C242" s="12"/>
      <c r="D242" s="45"/>
      <c r="E242" s="112"/>
      <c r="G242" s="3"/>
    </row>
    <row r="243">
      <c r="C243" s="12"/>
      <c r="D243" s="45"/>
      <c r="E243" s="112"/>
      <c r="G243" s="3"/>
    </row>
    <row r="244">
      <c r="C244" s="12"/>
      <c r="D244" s="45"/>
      <c r="E244" s="112"/>
      <c r="G244" s="3"/>
    </row>
    <row r="245">
      <c r="C245" s="12"/>
      <c r="D245" s="45"/>
      <c r="E245" s="112"/>
      <c r="G245" s="3"/>
    </row>
    <row r="246">
      <c r="C246" s="12"/>
      <c r="D246" s="45"/>
      <c r="E246" s="112"/>
      <c r="G246" s="3"/>
    </row>
    <row r="247">
      <c r="C247" s="12"/>
      <c r="D247" s="45"/>
      <c r="E247" s="112"/>
      <c r="G247" s="3"/>
    </row>
    <row r="248">
      <c r="C248" s="12"/>
      <c r="D248" s="45"/>
      <c r="E248" s="112"/>
      <c r="G248" s="3"/>
    </row>
    <row r="249">
      <c r="C249" s="12"/>
      <c r="D249" s="45"/>
      <c r="E249" s="112"/>
      <c r="G249" s="3"/>
    </row>
    <row r="250">
      <c r="C250" s="12"/>
      <c r="D250" s="45"/>
      <c r="E250" s="112"/>
      <c r="G250" s="3"/>
    </row>
    <row r="251">
      <c r="C251" s="12"/>
      <c r="D251" s="45"/>
      <c r="E251" s="112"/>
      <c r="G251" s="3"/>
    </row>
    <row r="252">
      <c r="C252" s="12"/>
      <c r="D252" s="45"/>
      <c r="E252" s="112"/>
      <c r="G252" s="3"/>
    </row>
    <row r="253">
      <c r="C253" s="12"/>
      <c r="D253" s="45"/>
      <c r="E253" s="112"/>
      <c r="G253" s="3"/>
    </row>
    <row r="254">
      <c r="C254" s="12"/>
      <c r="D254" s="45"/>
      <c r="E254" s="112"/>
      <c r="G254" s="3"/>
    </row>
    <row r="255">
      <c r="C255" s="12"/>
      <c r="D255" s="45"/>
      <c r="E255" s="112"/>
      <c r="G255" s="3"/>
    </row>
    <row r="256">
      <c r="C256" s="12"/>
      <c r="D256" s="45"/>
      <c r="E256" s="112"/>
      <c r="G256" s="3"/>
    </row>
    <row r="257">
      <c r="C257" s="12"/>
      <c r="D257" s="45"/>
      <c r="E257" s="112"/>
      <c r="G257" s="3"/>
    </row>
    <row r="258">
      <c r="C258" s="12"/>
      <c r="D258" s="45"/>
      <c r="E258" s="112"/>
      <c r="G258" s="3"/>
    </row>
    <row r="259">
      <c r="C259" s="12"/>
      <c r="D259" s="45"/>
      <c r="E259" s="112"/>
      <c r="G259" s="3"/>
    </row>
    <row r="260">
      <c r="C260" s="12"/>
      <c r="D260" s="45"/>
      <c r="E260" s="112"/>
      <c r="G260" s="3"/>
    </row>
    <row r="261">
      <c r="C261" s="12"/>
      <c r="D261" s="45"/>
      <c r="E261" s="112"/>
      <c r="G261" s="3"/>
    </row>
    <row r="262">
      <c r="C262" s="12"/>
      <c r="D262" s="45"/>
      <c r="E262" s="112"/>
      <c r="G262" s="3"/>
    </row>
    <row r="263">
      <c r="C263" s="12"/>
      <c r="D263" s="45"/>
      <c r="E263" s="112"/>
      <c r="G263" s="3"/>
    </row>
    <row r="264">
      <c r="C264" s="12"/>
      <c r="D264" s="45"/>
      <c r="E264" s="112"/>
      <c r="G264" s="3"/>
    </row>
    <row r="265">
      <c r="C265" s="12"/>
      <c r="D265" s="45"/>
      <c r="E265" s="112"/>
      <c r="G265" s="3"/>
    </row>
    <row r="266">
      <c r="C266" s="12"/>
      <c r="D266" s="45"/>
      <c r="E266" s="112"/>
      <c r="G266" s="3"/>
    </row>
    <row r="267">
      <c r="C267" s="12"/>
      <c r="D267" s="45"/>
      <c r="E267" s="112"/>
      <c r="G267" s="3"/>
    </row>
    <row r="268">
      <c r="C268" s="12"/>
      <c r="D268" s="45"/>
      <c r="E268" s="112"/>
      <c r="G268" s="3"/>
    </row>
    <row r="269">
      <c r="C269" s="12"/>
      <c r="D269" s="45"/>
      <c r="E269" s="112"/>
      <c r="G269" s="3"/>
    </row>
    <row r="270">
      <c r="C270" s="12"/>
      <c r="D270" s="45"/>
      <c r="E270" s="112"/>
      <c r="G270" s="3"/>
    </row>
    <row r="271">
      <c r="C271" s="12"/>
      <c r="D271" s="45"/>
      <c r="E271" s="112"/>
      <c r="G271" s="3"/>
    </row>
    <row r="272">
      <c r="C272" s="12"/>
      <c r="D272" s="45"/>
      <c r="E272" s="112"/>
      <c r="G272" s="3"/>
    </row>
    <row r="273">
      <c r="C273" s="12"/>
      <c r="D273" s="45"/>
      <c r="E273" s="112"/>
      <c r="G273" s="3"/>
    </row>
    <row r="274">
      <c r="C274" s="12"/>
      <c r="D274" s="45"/>
      <c r="E274" s="112"/>
      <c r="G274" s="3"/>
    </row>
    <row r="275">
      <c r="C275" s="12"/>
      <c r="D275" s="45"/>
      <c r="E275" s="112"/>
      <c r="G275" s="3"/>
    </row>
    <row r="276">
      <c r="C276" s="12"/>
      <c r="D276" s="45"/>
      <c r="E276" s="112"/>
      <c r="G276" s="3"/>
    </row>
    <row r="277">
      <c r="C277" s="12"/>
      <c r="D277" s="45"/>
      <c r="E277" s="112"/>
      <c r="G277" s="3"/>
    </row>
    <row r="278">
      <c r="C278" s="12"/>
      <c r="D278" s="45"/>
      <c r="E278" s="112"/>
      <c r="G278" s="3"/>
    </row>
    <row r="279">
      <c r="C279" s="12"/>
      <c r="D279" s="45"/>
      <c r="E279" s="112"/>
      <c r="G279" s="3"/>
    </row>
    <row r="280">
      <c r="C280" s="12"/>
      <c r="D280" s="45"/>
      <c r="E280" s="112"/>
      <c r="G280" s="3"/>
    </row>
    <row r="281">
      <c r="C281" s="12"/>
      <c r="D281" s="45"/>
      <c r="E281" s="112"/>
      <c r="G281" s="3"/>
    </row>
    <row r="282">
      <c r="C282" s="12"/>
      <c r="D282" s="45"/>
      <c r="E282" s="112"/>
      <c r="G282" s="3"/>
    </row>
    <row r="283">
      <c r="C283" s="12"/>
      <c r="D283" s="45"/>
      <c r="E283" s="112"/>
      <c r="G283" s="3"/>
    </row>
    <row r="284">
      <c r="C284" s="12"/>
      <c r="D284" s="45"/>
      <c r="E284" s="112"/>
      <c r="G284" s="3"/>
    </row>
    <row r="285">
      <c r="C285" s="12"/>
      <c r="D285" s="45"/>
      <c r="E285" s="112"/>
      <c r="G285" s="3"/>
    </row>
    <row r="286">
      <c r="C286" s="12"/>
      <c r="D286" s="45"/>
      <c r="E286" s="112"/>
      <c r="G286" s="3"/>
    </row>
    <row r="287">
      <c r="C287" s="12"/>
      <c r="D287" s="45"/>
      <c r="E287" s="112"/>
      <c r="G287" s="3"/>
    </row>
    <row r="288">
      <c r="C288" s="12"/>
      <c r="D288" s="45"/>
      <c r="E288" s="112"/>
      <c r="G288" s="3"/>
    </row>
    <row r="289">
      <c r="C289" s="12"/>
      <c r="D289" s="45"/>
      <c r="E289" s="112"/>
      <c r="G289" s="3"/>
    </row>
    <row r="290">
      <c r="C290" s="12"/>
      <c r="D290" s="45"/>
      <c r="E290" s="112"/>
      <c r="G290" s="3"/>
    </row>
    <row r="291">
      <c r="C291" s="12"/>
      <c r="D291" s="45"/>
      <c r="E291" s="112"/>
      <c r="G291" s="3"/>
    </row>
    <row r="292">
      <c r="C292" s="12"/>
      <c r="D292" s="45"/>
      <c r="E292" s="112"/>
      <c r="G292" s="3"/>
    </row>
    <row r="293">
      <c r="C293" s="12"/>
      <c r="D293" s="45"/>
      <c r="E293" s="112"/>
      <c r="G293" s="3"/>
    </row>
    <row r="294">
      <c r="C294" s="12"/>
      <c r="D294" s="45"/>
      <c r="E294" s="112"/>
      <c r="G294" s="3"/>
    </row>
    <row r="295">
      <c r="C295" s="12"/>
      <c r="D295" s="45"/>
      <c r="E295" s="112"/>
      <c r="G295" s="3"/>
    </row>
    <row r="296">
      <c r="C296" s="12"/>
      <c r="D296" s="45"/>
      <c r="E296" s="112"/>
      <c r="G296" s="3"/>
    </row>
    <row r="297">
      <c r="C297" s="12"/>
      <c r="D297" s="45"/>
      <c r="E297" s="112"/>
      <c r="G297" s="3"/>
    </row>
    <row r="298">
      <c r="C298" s="12"/>
      <c r="D298" s="45"/>
      <c r="E298" s="112"/>
      <c r="G298" s="3"/>
    </row>
    <row r="299">
      <c r="C299" s="12"/>
      <c r="D299" s="45"/>
      <c r="E299" s="112"/>
      <c r="G299" s="3"/>
    </row>
    <row r="300">
      <c r="C300" s="12"/>
      <c r="D300" s="45"/>
      <c r="E300" s="112"/>
      <c r="G300" s="3"/>
    </row>
    <row r="301">
      <c r="C301" s="12"/>
      <c r="D301" s="45"/>
      <c r="E301" s="112"/>
      <c r="G301" s="3"/>
    </row>
    <row r="302">
      <c r="C302" s="12"/>
      <c r="D302" s="45"/>
      <c r="E302" s="112"/>
      <c r="G302" s="3"/>
    </row>
    <row r="303">
      <c r="C303" s="12"/>
      <c r="D303" s="45"/>
      <c r="E303" s="112"/>
      <c r="G303" s="3"/>
    </row>
    <row r="304">
      <c r="C304" s="12"/>
      <c r="D304" s="45"/>
      <c r="E304" s="112"/>
      <c r="G304" s="3"/>
    </row>
    <row r="305">
      <c r="C305" s="12"/>
      <c r="D305" s="45"/>
      <c r="E305" s="112"/>
      <c r="G305" s="3"/>
    </row>
    <row r="306">
      <c r="C306" s="12"/>
      <c r="D306" s="45"/>
      <c r="E306" s="112"/>
      <c r="G306" s="3"/>
    </row>
    <row r="307">
      <c r="C307" s="12"/>
      <c r="D307" s="45"/>
      <c r="E307" s="112"/>
      <c r="G307" s="3"/>
    </row>
    <row r="308">
      <c r="C308" s="12"/>
      <c r="D308" s="45"/>
      <c r="E308" s="112"/>
      <c r="G308" s="3"/>
    </row>
    <row r="309">
      <c r="C309" s="12"/>
      <c r="D309" s="45"/>
      <c r="E309" s="112"/>
      <c r="G309" s="3"/>
    </row>
    <row r="310">
      <c r="C310" s="12"/>
      <c r="D310" s="45"/>
      <c r="E310" s="112"/>
      <c r="G310" s="3"/>
    </row>
    <row r="311">
      <c r="C311" s="12"/>
      <c r="D311" s="45"/>
      <c r="E311" s="112"/>
      <c r="G311" s="3"/>
    </row>
    <row r="312">
      <c r="C312" s="12"/>
      <c r="D312" s="45"/>
      <c r="E312" s="112"/>
      <c r="G312" s="3"/>
    </row>
    <row r="313">
      <c r="C313" s="12"/>
      <c r="D313" s="45"/>
      <c r="E313" s="112"/>
      <c r="G313" s="3"/>
    </row>
    <row r="314">
      <c r="C314" s="12"/>
      <c r="D314" s="45"/>
      <c r="E314" s="112"/>
      <c r="G314" s="3"/>
    </row>
    <row r="315">
      <c r="C315" s="12"/>
      <c r="D315" s="45"/>
      <c r="E315" s="112"/>
      <c r="G315" s="3"/>
    </row>
    <row r="316">
      <c r="C316" s="12"/>
      <c r="D316" s="45"/>
      <c r="E316" s="112"/>
      <c r="G316" s="3"/>
    </row>
    <row r="317">
      <c r="C317" s="12"/>
      <c r="D317" s="45"/>
      <c r="E317" s="112"/>
      <c r="G317" s="3"/>
    </row>
    <row r="318">
      <c r="C318" s="12"/>
      <c r="D318" s="45"/>
      <c r="E318" s="112"/>
      <c r="G318" s="3"/>
    </row>
    <row r="319">
      <c r="C319" s="12"/>
      <c r="D319" s="45"/>
      <c r="E319" s="112"/>
      <c r="G319" s="3"/>
    </row>
    <row r="320">
      <c r="C320" s="12"/>
      <c r="D320" s="45"/>
      <c r="E320" s="112"/>
      <c r="G320" s="3"/>
    </row>
    <row r="321">
      <c r="C321" s="12"/>
      <c r="D321" s="45"/>
      <c r="E321" s="112"/>
      <c r="G321" s="3"/>
    </row>
    <row r="322">
      <c r="C322" s="12"/>
      <c r="D322" s="45"/>
      <c r="E322" s="112"/>
      <c r="G322" s="3"/>
    </row>
    <row r="323">
      <c r="C323" s="12"/>
      <c r="D323" s="45"/>
      <c r="E323" s="112"/>
      <c r="G323" s="3"/>
    </row>
    <row r="324">
      <c r="C324" s="12"/>
      <c r="D324" s="45"/>
      <c r="E324" s="112"/>
      <c r="G324" s="3"/>
    </row>
    <row r="325">
      <c r="C325" s="12"/>
      <c r="D325" s="45"/>
      <c r="E325" s="112"/>
      <c r="G325" s="3"/>
    </row>
    <row r="326">
      <c r="C326" s="12"/>
      <c r="D326" s="45"/>
      <c r="E326" s="112"/>
      <c r="G326" s="3"/>
    </row>
    <row r="327">
      <c r="C327" s="12"/>
      <c r="D327" s="45"/>
      <c r="E327" s="112"/>
      <c r="G327" s="3"/>
    </row>
    <row r="328">
      <c r="C328" s="12"/>
      <c r="D328" s="45"/>
      <c r="E328" s="112"/>
      <c r="G328" s="3"/>
    </row>
    <row r="329">
      <c r="C329" s="12"/>
      <c r="D329" s="45"/>
      <c r="E329" s="112"/>
      <c r="G329" s="3"/>
    </row>
    <row r="330">
      <c r="C330" s="12"/>
      <c r="D330" s="45"/>
      <c r="E330" s="112"/>
      <c r="G330" s="3"/>
    </row>
    <row r="331">
      <c r="C331" s="12"/>
      <c r="D331" s="45"/>
      <c r="E331" s="112"/>
      <c r="G331" s="3"/>
    </row>
    <row r="332">
      <c r="C332" s="12"/>
      <c r="D332" s="45"/>
      <c r="E332" s="112"/>
      <c r="G332" s="3"/>
    </row>
    <row r="333">
      <c r="C333" s="12"/>
      <c r="D333" s="45"/>
      <c r="E333" s="112"/>
      <c r="G333" s="3"/>
    </row>
    <row r="334">
      <c r="C334" s="12"/>
      <c r="D334" s="45"/>
      <c r="E334" s="112"/>
      <c r="G334" s="3"/>
    </row>
    <row r="335">
      <c r="C335" s="12"/>
      <c r="D335" s="45"/>
      <c r="E335" s="112"/>
      <c r="G335" s="3"/>
    </row>
    <row r="336">
      <c r="C336" s="12"/>
      <c r="D336" s="45"/>
      <c r="E336" s="112"/>
      <c r="G336" s="3"/>
    </row>
    <row r="337">
      <c r="C337" s="12"/>
      <c r="D337" s="45"/>
      <c r="E337" s="112"/>
      <c r="G337" s="3"/>
    </row>
    <row r="338">
      <c r="C338" s="12"/>
      <c r="D338" s="45"/>
      <c r="E338" s="112"/>
      <c r="G338" s="3"/>
    </row>
    <row r="339">
      <c r="C339" s="12"/>
      <c r="D339" s="45"/>
      <c r="E339" s="112"/>
      <c r="G339" s="3"/>
    </row>
    <row r="340">
      <c r="C340" s="12"/>
      <c r="D340" s="45"/>
      <c r="E340" s="112"/>
      <c r="G340" s="3"/>
    </row>
    <row r="341">
      <c r="C341" s="12"/>
      <c r="D341" s="45"/>
      <c r="E341" s="112"/>
      <c r="G341" s="3"/>
    </row>
    <row r="342">
      <c r="C342" s="12"/>
      <c r="D342" s="45"/>
      <c r="E342" s="112"/>
      <c r="G342" s="3"/>
    </row>
    <row r="343">
      <c r="C343" s="12"/>
      <c r="D343" s="45"/>
      <c r="E343" s="112"/>
      <c r="G343" s="3"/>
    </row>
    <row r="344">
      <c r="C344" s="12"/>
      <c r="D344" s="45"/>
      <c r="E344" s="112"/>
      <c r="G344" s="3"/>
    </row>
    <row r="345">
      <c r="C345" s="12"/>
      <c r="D345" s="45"/>
      <c r="E345" s="112"/>
      <c r="G345" s="3"/>
    </row>
    <row r="346">
      <c r="C346" s="12"/>
      <c r="D346" s="45"/>
      <c r="E346" s="112"/>
      <c r="G346" s="3"/>
    </row>
    <row r="347">
      <c r="C347" s="12"/>
      <c r="D347" s="45"/>
      <c r="E347" s="112"/>
      <c r="G347" s="3"/>
    </row>
    <row r="348">
      <c r="C348" s="12"/>
      <c r="D348" s="45"/>
      <c r="E348" s="112"/>
      <c r="G348" s="3"/>
    </row>
    <row r="349">
      <c r="C349" s="12"/>
      <c r="D349" s="45"/>
      <c r="E349" s="112"/>
      <c r="G349" s="3"/>
    </row>
    <row r="350">
      <c r="C350" s="12"/>
      <c r="D350" s="45"/>
      <c r="E350" s="112"/>
      <c r="G350" s="3"/>
    </row>
    <row r="351">
      <c r="C351" s="12"/>
      <c r="D351" s="45"/>
      <c r="E351" s="112"/>
      <c r="G351" s="3"/>
    </row>
    <row r="352">
      <c r="C352" s="12"/>
      <c r="D352" s="45"/>
      <c r="E352" s="112"/>
      <c r="G352" s="3"/>
    </row>
    <row r="353">
      <c r="C353" s="12"/>
      <c r="D353" s="45"/>
      <c r="E353" s="112"/>
      <c r="G353" s="3"/>
    </row>
    <row r="354">
      <c r="C354" s="12"/>
      <c r="D354" s="45"/>
      <c r="E354" s="112"/>
      <c r="G354" s="3"/>
    </row>
    <row r="355">
      <c r="C355" s="12"/>
      <c r="D355" s="45"/>
      <c r="E355" s="112"/>
      <c r="G355" s="3"/>
    </row>
    <row r="356">
      <c r="C356" s="12"/>
      <c r="D356" s="45"/>
      <c r="E356" s="112"/>
      <c r="G356" s="3"/>
    </row>
    <row r="357">
      <c r="C357" s="12"/>
      <c r="D357" s="45"/>
      <c r="E357" s="112"/>
      <c r="G357" s="3"/>
    </row>
    <row r="358">
      <c r="C358" s="12"/>
      <c r="D358" s="45"/>
      <c r="E358" s="112"/>
      <c r="G358" s="3"/>
    </row>
    <row r="359">
      <c r="C359" s="12"/>
      <c r="D359" s="45"/>
      <c r="E359" s="112"/>
      <c r="G359" s="3"/>
    </row>
    <row r="360">
      <c r="C360" s="12"/>
      <c r="D360" s="45"/>
      <c r="E360" s="112"/>
      <c r="G360" s="3"/>
    </row>
    <row r="361">
      <c r="C361" s="12"/>
      <c r="D361" s="45"/>
      <c r="E361" s="112"/>
      <c r="G361" s="3"/>
    </row>
    <row r="362">
      <c r="C362" s="12"/>
      <c r="D362" s="45"/>
      <c r="E362" s="112"/>
      <c r="G362" s="3"/>
    </row>
    <row r="363">
      <c r="C363" s="12"/>
      <c r="D363" s="45"/>
      <c r="E363" s="112"/>
      <c r="G363" s="3"/>
    </row>
    <row r="364">
      <c r="C364" s="12"/>
      <c r="D364" s="45"/>
      <c r="E364" s="112"/>
      <c r="G364" s="3"/>
    </row>
    <row r="365">
      <c r="C365" s="12"/>
      <c r="D365" s="45"/>
      <c r="E365" s="112"/>
      <c r="G365" s="3"/>
    </row>
    <row r="366">
      <c r="C366" s="12"/>
      <c r="D366" s="45"/>
      <c r="E366" s="112"/>
      <c r="G366" s="3"/>
    </row>
    <row r="367">
      <c r="C367" s="12"/>
      <c r="D367" s="45"/>
      <c r="E367" s="112"/>
      <c r="G367" s="3"/>
    </row>
    <row r="368">
      <c r="C368" s="12"/>
      <c r="D368" s="45"/>
      <c r="E368" s="112"/>
      <c r="G368" s="3"/>
    </row>
    <row r="369">
      <c r="C369" s="12"/>
      <c r="D369" s="45"/>
      <c r="E369" s="112"/>
      <c r="G369" s="3"/>
    </row>
    <row r="370">
      <c r="C370" s="12"/>
      <c r="D370" s="45"/>
      <c r="E370" s="112"/>
      <c r="G370" s="3"/>
    </row>
    <row r="371">
      <c r="C371" s="12"/>
      <c r="D371" s="45"/>
      <c r="E371" s="112"/>
      <c r="G371" s="3"/>
    </row>
    <row r="372">
      <c r="C372" s="12"/>
      <c r="D372" s="45"/>
      <c r="E372" s="112"/>
      <c r="G372" s="3"/>
    </row>
    <row r="373">
      <c r="C373" s="12"/>
      <c r="D373" s="45"/>
      <c r="E373" s="112"/>
      <c r="G373" s="3"/>
    </row>
    <row r="374">
      <c r="C374" s="12"/>
      <c r="D374" s="45"/>
      <c r="E374" s="112"/>
      <c r="G374" s="3"/>
    </row>
    <row r="375">
      <c r="C375" s="12"/>
      <c r="D375" s="45"/>
      <c r="E375" s="112"/>
      <c r="G375" s="3"/>
    </row>
    <row r="376">
      <c r="C376" s="12"/>
      <c r="D376" s="45"/>
      <c r="E376" s="112"/>
      <c r="G376" s="3"/>
    </row>
    <row r="377">
      <c r="C377" s="12"/>
      <c r="D377" s="45"/>
      <c r="E377" s="112"/>
      <c r="G377" s="3"/>
    </row>
    <row r="378">
      <c r="C378" s="12"/>
      <c r="D378" s="45"/>
      <c r="E378" s="112"/>
      <c r="G378" s="3"/>
    </row>
    <row r="379">
      <c r="C379" s="12"/>
      <c r="D379" s="45"/>
      <c r="E379" s="112"/>
      <c r="G379" s="3"/>
    </row>
    <row r="380">
      <c r="C380" s="12"/>
      <c r="D380" s="45"/>
      <c r="E380" s="112"/>
      <c r="G380" s="3"/>
    </row>
    <row r="381">
      <c r="C381" s="12"/>
      <c r="D381" s="45"/>
      <c r="E381" s="112"/>
      <c r="G381" s="3"/>
    </row>
    <row r="382">
      <c r="C382" s="12"/>
      <c r="D382" s="45"/>
      <c r="E382" s="112"/>
      <c r="G382" s="3"/>
    </row>
    <row r="383">
      <c r="C383" s="12"/>
      <c r="D383" s="45"/>
      <c r="E383" s="112"/>
      <c r="G383" s="3"/>
    </row>
    <row r="384">
      <c r="C384" s="12"/>
      <c r="D384" s="45"/>
      <c r="E384" s="112"/>
      <c r="G384" s="3"/>
    </row>
    <row r="385">
      <c r="C385" s="12"/>
      <c r="D385" s="45"/>
      <c r="E385" s="112"/>
      <c r="G385" s="3"/>
    </row>
    <row r="386">
      <c r="C386" s="12"/>
      <c r="D386" s="45"/>
      <c r="E386" s="112"/>
      <c r="G386" s="3"/>
    </row>
    <row r="387">
      <c r="C387" s="12"/>
      <c r="D387" s="45"/>
      <c r="E387" s="112"/>
      <c r="G387" s="3"/>
    </row>
    <row r="388">
      <c r="C388" s="12"/>
      <c r="D388" s="45"/>
      <c r="E388" s="112"/>
      <c r="G388" s="3"/>
    </row>
    <row r="389">
      <c r="C389" s="12"/>
      <c r="D389" s="45"/>
      <c r="E389" s="112"/>
      <c r="G389" s="3"/>
    </row>
    <row r="390">
      <c r="C390" s="12"/>
      <c r="D390" s="45"/>
      <c r="E390" s="112"/>
      <c r="G390" s="3"/>
    </row>
    <row r="391">
      <c r="C391" s="12"/>
      <c r="D391" s="45"/>
      <c r="E391" s="112"/>
      <c r="G391" s="3"/>
    </row>
    <row r="392">
      <c r="C392" s="12"/>
      <c r="D392" s="45"/>
      <c r="E392" s="112"/>
      <c r="G392" s="3"/>
    </row>
    <row r="393">
      <c r="C393" s="12"/>
      <c r="D393" s="45"/>
      <c r="E393" s="112"/>
      <c r="G393" s="3"/>
    </row>
    <row r="394">
      <c r="C394" s="12"/>
      <c r="D394" s="45"/>
      <c r="E394" s="112"/>
      <c r="G394" s="3"/>
    </row>
    <row r="395">
      <c r="C395" s="12"/>
      <c r="D395" s="45"/>
      <c r="E395" s="112"/>
      <c r="G395" s="3"/>
    </row>
    <row r="396">
      <c r="C396" s="12"/>
      <c r="D396" s="45"/>
      <c r="E396" s="112"/>
      <c r="G396" s="3"/>
    </row>
    <row r="397">
      <c r="C397" s="12"/>
      <c r="D397" s="45"/>
      <c r="E397" s="112"/>
      <c r="G397" s="3"/>
    </row>
    <row r="398">
      <c r="C398" s="12"/>
      <c r="D398" s="45"/>
      <c r="E398" s="112"/>
      <c r="G398" s="3"/>
    </row>
    <row r="399">
      <c r="C399" s="12"/>
      <c r="D399" s="45"/>
      <c r="E399" s="112"/>
      <c r="G399" s="3"/>
    </row>
    <row r="400">
      <c r="C400" s="12"/>
      <c r="D400" s="45"/>
      <c r="E400" s="112"/>
      <c r="G400" s="3"/>
    </row>
    <row r="401">
      <c r="C401" s="12"/>
      <c r="D401" s="45"/>
      <c r="E401" s="112"/>
      <c r="G401" s="3"/>
    </row>
    <row r="402">
      <c r="C402" s="12"/>
      <c r="D402" s="45"/>
      <c r="E402" s="112"/>
      <c r="G402" s="3"/>
    </row>
    <row r="403">
      <c r="C403" s="12"/>
      <c r="D403" s="45"/>
      <c r="E403" s="112"/>
      <c r="G403" s="3"/>
    </row>
    <row r="404">
      <c r="C404" s="12"/>
      <c r="D404" s="45"/>
      <c r="E404" s="112"/>
      <c r="G404" s="3"/>
    </row>
    <row r="405">
      <c r="C405" s="12"/>
      <c r="D405" s="45"/>
      <c r="E405" s="112"/>
      <c r="G405" s="3"/>
    </row>
    <row r="406">
      <c r="C406" s="12"/>
      <c r="D406" s="45"/>
      <c r="E406" s="112"/>
      <c r="G406" s="3"/>
    </row>
    <row r="407">
      <c r="C407" s="12"/>
      <c r="D407" s="45"/>
      <c r="E407" s="112"/>
      <c r="G407" s="3"/>
    </row>
    <row r="408">
      <c r="C408" s="12"/>
      <c r="D408" s="45"/>
      <c r="E408" s="112"/>
      <c r="G408" s="3"/>
    </row>
    <row r="409">
      <c r="C409" s="12"/>
      <c r="D409" s="45"/>
      <c r="E409" s="112"/>
      <c r="G409" s="3"/>
    </row>
    <row r="410">
      <c r="C410" s="12"/>
      <c r="D410" s="45"/>
      <c r="E410" s="112"/>
      <c r="G410" s="3"/>
    </row>
    <row r="411">
      <c r="C411" s="12"/>
      <c r="D411" s="45"/>
      <c r="E411" s="112"/>
      <c r="G411" s="3"/>
    </row>
    <row r="412">
      <c r="C412" s="12"/>
      <c r="D412" s="45"/>
      <c r="E412" s="112"/>
      <c r="G412" s="3"/>
    </row>
    <row r="413">
      <c r="C413" s="12"/>
      <c r="D413" s="45"/>
      <c r="E413" s="112"/>
      <c r="G413" s="3"/>
    </row>
    <row r="414">
      <c r="C414" s="12"/>
      <c r="D414" s="45"/>
      <c r="E414" s="112"/>
      <c r="G414" s="3"/>
    </row>
    <row r="415">
      <c r="C415" s="12"/>
      <c r="D415" s="45"/>
      <c r="E415" s="112"/>
      <c r="G415" s="3"/>
    </row>
    <row r="416">
      <c r="C416" s="12"/>
      <c r="D416" s="45"/>
      <c r="E416" s="112"/>
      <c r="G416" s="3"/>
    </row>
    <row r="417">
      <c r="C417" s="12"/>
      <c r="D417" s="45"/>
      <c r="E417" s="112"/>
      <c r="G417" s="3"/>
    </row>
    <row r="418">
      <c r="C418" s="12"/>
      <c r="D418" s="45"/>
      <c r="E418" s="112"/>
      <c r="G418" s="3"/>
    </row>
    <row r="419">
      <c r="C419" s="12"/>
      <c r="D419" s="45"/>
      <c r="E419" s="112"/>
      <c r="G419" s="3"/>
    </row>
    <row r="420">
      <c r="C420" s="12"/>
      <c r="D420" s="45"/>
      <c r="E420" s="112"/>
      <c r="G420" s="3"/>
    </row>
    <row r="421">
      <c r="C421" s="12"/>
      <c r="D421" s="45"/>
      <c r="E421" s="112"/>
      <c r="G421" s="3"/>
    </row>
    <row r="422">
      <c r="C422" s="12"/>
      <c r="D422" s="45"/>
      <c r="E422" s="112"/>
      <c r="G422" s="3"/>
    </row>
    <row r="423">
      <c r="C423" s="12"/>
      <c r="D423" s="45"/>
      <c r="E423" s="112"/>
      <c r="G423" s="3"/>
    </row>
    <row r="424">
      <c r="C424" s="12"/>
      <c r="D424" s="45"/>
      <c r="E424" s="112"/>
      <c r="G424" s="3"/>
    </row>
    <row r="425">
      <c r="C425" s="12"/>
      <c r="D425" s="45"/>
      <c r="E425" s="112"/>
      <c r="G425" s="3"/>
    </row>
    <row r="426">
      <c r="C426" s="12"/>
      <c r="D426" s="45"/>
      <c r="E426" s="112"/>
      <c r="G426" s="3"/>
    </row>
    <row r="427">
      <c r="C427" s="12"/>
      <c r="D427" s="45"/>
      <c r="E427" s="112"/>
      <c r="G427" s="3"/>
    </row>
    <row r="428">
      <c r="C428" s="12"/>
      <c r="D428" s="45"/>
      <c r="E428" s="112"/>
      <c r="G428" s="3"/>
    </row>
    <row r="429">
      <c r="C429" s="12"/>
      <c r="D429" s="45"/>
      <c r="E429" s="112"/>
      <c r="G429" s="3"/>
    </row>
    <row r="430">
      <c r="C430" s="12"/>
      <c r="D430" s="45"/>
      <c r="E430" s="112"/>
      <c r="G430" s="3"/>
    </row>
    <row r="431">
      <c r="C431" s="12"/>
      <c r="D431" s="45"/>
      <c r="E431" s="112"/>
      <c r="G431" s="3"/>
    </row>
    <row r="432">
      <c r="C432" s="12"/>
      <c r="D432" s="45"/>
      <c r="E432" s="112"/>
      <c r="G432" s="3"/>
    </row>
    <row r="433">
      <c r="C433" s="12"/>
      <c r="D433" s="45"/>
      <c r="E433" s="112"/>
      <c r="G433" s="3"/>
    </row>
    <row r="434">
      <c r="C434" s="12"/>
      <c r="D434" s="45"/>
      <c r="E434" s="112"/>
      <c r="G434" s="3"/>
    </row>
    <row r="435">
      <c r="C435" s="12"/>
      <c r="D435" s="45"/>
      <c r="E435" s="112"/>
      <c r="G435" s="3"/>
    </row>
    <row r="436">
      <c r="C436" s="12"/>
      <c r="D436" s="45"/>
      <c r="E436" s="112"/>
      <c r="G436" s="3"/>
    </row>
    <row r="437">
      <c r="C437" s="12"/>
      <c r="D437" s="45"/>
      <c r="E437" s="112"/>
      <c r="G437" s="3"/>
    </row>
    <row r="438">
      <c r="C438" s="12"/>
      <c r="D438" s="45"/>
      <c r="E438" s="112"/>
      <c r="G438" s="3"/>
    </row>
    <row r="439">
      <c r="C439" s="12"/>
      <c r="D439" s="45"/>
      <c r="E439" s="112"/>
      <c r="G439" s="3"/>
    </row>
    <row r="440">
      <c r="C440" s="12"/>
      <c r="D440" s="45"/>
      <c r="E440" s="112"/>
      <c r="G440" s="3"/>
    </row>
    <row r="441">
      <c r="C441" s="12"/>
      <c r="D441" s="45"/>
      <c r="E441" s="112"/>
      <c r="G441" s="3"/>
    </row>
    <row r="442">
      <c r="C442" s="12"/>
      <c r="D442" s="45"/>
      <c r="E442" s="112"/>
      <c r="G442" s="3"/>
    </row>
    <row r="443">
      <c r="C443" s="12"/>
      <c r="D443" s="45"/>
      <c r="E443" s="112"/>
      <c r="G443" s="3"/>
    </row>
    <row r="444">
      <c r="C444" s="12"/>
      <c r="D444" s="45"/>
      <c r="E444" s="112"/>
      <c r="G444" s="3"/>
    </row>
    <row r="445">
      <c r="C445" s="12"/>
      <c r="D445" s="45"/>
      <c r="E445" s="112"/>
      <c r="G445" s="3"/>
    </row>
    <row r="446">
      <c r="C446" s="12"/>
      <c r="D446" s="45"/>
      <c r="E446" s="112"/>
      <c r="G446" s="3"/>
    </row>
    <row r="447">
      <c r="C447" s="12"/>
      <c r="D447" s="45"/>
      <c r="E447" s="112"/>
      <c r="G447" s="3"/>
    </row>
    <row r="448">
      <c r="C448" s="12"/>
      <c r="D448" s="45"/>
      <c r="E448" s="112"/>
      <c r="G448" s="3"/>
    </row>
    <row r="449">
      <c r="C449" s="12"/>
      <c r="D449" s="45"/>
      <c r="E449" s="112"/>
      <c r="G449" s="3"/>
    </row>
    <row r="450">
      <c r="C450" s="12"/>
      <c r="D450" s="45"/>
      <c r="E450" s="112"/>
      <c r="G450" s="3"/>
    </row>
    <row r="451">
      <c r="C451" s="12"/>
      <c r="D451" s="45"/>
      <c r="E451" s="112"/>
      <c r="G451" s="3"/>
    </row>
    <row r="452">
      <c r="C452" s="12"/>
      <c r="D452" s="45"/>
      <c r="E452" s="112"/>
      <c r="G452" s="3"/>
    </row>
    <row r="453">
      <c r="C453" s="12"/>
      <c r="D453" s="45"/>
      <c r="E453" s="112"/>
      <c r="G453" s="3"/>
    </row>
    <row r="454">
      <c r="C454" s="12"/>
      <c r="D454" s="45"/>
      <c r="E454" s="112"/>
      <c r="G454" s="3"/>
    </row>
    <row r="455">
      <c r="C455" s="12"/>
      <c r="D455" s="45"/>
      <c r="E455" s="112"/>
      <c r="G455" s="3"/>
    </row>
    <row r="456">
      <c r="C456" s="12"/>
      <c r="D456" s="45"/>
      <c r="E456" s="112"/>
      <c r="G456" s="3"/>
    </row>
    <row r="457">
      <c r="C457" s="12"/>
      <c r="D457" s="45"/>
      <c r="E457" s="112"/>
      <c r="G457" s="3"/>
    </row>
    <row r="458">
      <c r="C458" s="12"/>
      <c r="D458" s="45"/>
      <c r="E458" s="112"/>
      <c r="G458" s="3"/>
    </row>
    <row r="459">
      <c r="C459" s="12"/>
      <c r="D459" s="45"/>
      <c r="E459" s="112"/>
      <c r="G459" s="3"/>
    </row>
    <row r="460">
      <c r="C460" s="12"/>
      <c r="D460" s="45"/>
      <c r="E460" s="112"/>
      <c r="G460" s="3"/>
    </row>
    <row r="461">
      <c r="C461" s="12"/>
      <c r="D461" s="45"/>
      <c r="E461" s="112"/>
      <c r="G461" s="3"/>
    </row>
    <row r="462">
      <c r="C462" s="12"/>
      <c r="D462" s="45"/>
      <c r="E462" s="112"/>
      <c r="G462" s="3"/>
    </row>
    <row r="463">
      <c r="C463" s="12"/>
      <c r="D463" s="45"/>
      <c r="E463" s="112"/>
      <c r="G463" s="3"/>
    </row>
    <row r="464">
      <c r="C464" s="12"/>
      <c r="D464" s="45"/>
      <c r="E464" s="112"/>
      <c r="G464" s="3"/>
    </row>
    <row r="465">
      <c r="C465" s="12"/>
      <c r="D465" s="45"/>
      <c r="E465" s="112"/>
      <c r="G465" s="3"/>
    </row>
    <row r="466">
      <c r="C466" s="12"/>
      <c r="D466" s="45"/>
      <c r="E466" s="112"/>
      <c r="G466" s="3"/>
    </row>
    <row r="467">
      <c r="C467" s="12"/>
      <c r="D467" s="45"/>
      <c r="E467" s="112"/>
      <c r="G467" s="3"/>
    </row>
    <row r="468">
      <c r="C468" s="12"/>
      <c r="D468" s="45"/>
      <c r="E468" s="112"/>
      <c r="G468" s="3"/>
    </row>
    <row r="469">
      <c r="C469" s="12"/>
      <c r="D469" s="45"/>
      <c r="E469" s="112"/>
      <c r="G469" s="3"/>
    </row>
    <row r="470">
      <c r="C470" s="12"/>
      <c r="D470" s="45"/>
      <c r="E470" s="112"/>
      <c r="G470" s="3"/>
    </row>
    <row r="471">
      <c r="C471" s="12"/>
      <c r="D471" s="45"/>
      <c r="E471" s="112"/>
      <c r="G471" s="3"/>
    </row>
    <row r="472">
      <c r="C472" s="12"/>
      <c r="D472" s="45"/>
      <c r="E472" s="112"/>
      <c r="G472" s="3"/>
    </row>
    <row r="473">
      <c r="C473" s="12"/>
      <c r="D473" s="45"/>
      <c r="E473" s="112"/>
      <c r="G473" s="3"/>
    </row>
    <row r="474">
      <c r="C474" s="12"/>
      <c r="D474" s="45"/>
      <c r="E474" s="112"/>
      <c r="G474" s="3"/>
    </row>
    <row r="475">
      <c r="C475" s="12"/>
      <c r="D475" s="45"/>
      <c r="E475" s="112"/>
      <c r="G475" s="3"/>
    </row>
    <row r="476">
      <c r="C476" s="12"/>
      <c r="D476" s="45"/>
      <c r="E476" s="112"/>
      <c r="G476" s="3"/>
    </row>
    <row r="477">
      <c r="C477" s="12"/>
      <c r="D477" s="45"/>
      <c r="E477" s="112"/>
      <c r="G477" s="3"/>
    </row>
    <row r="478">
      <c r="C478" s="12"/>
      <c r="D478" s="45"/>
      <c r="E478" s="112"/>
      <c r="G478" s="3"/>
    </row>
    <row r="479">
      <c r="C479" s="12"/>
      <c r="D479" s="45"/>
      <c r="E479" s="112"/>
      <c r="G479" s="3"/>
    </row>
    <row r="480">
      <c r="C480" s="12"/>
      <c r="D480" s="45"/>
      <c r="E480" s="112"/>
      <c r="G480" s="3"/>
    </row>
    <row r="481">
      <c r="C481" s="12"/>
      <c r="D481" s="45"/>
      <c r="E481" s="112"/>
      <c r="G481" s="3"/>
    </row>
    <row r="482">
      <c r="C482" s="12"/>
      <c r="D482" s="45"/>
      <c r="E482" s="112"/>
      <c r="G482" s="3"/>
    </row>
    <row r="483">
      <c r="C483" s="12"/>
      <c r="D483" s="45"/>
      <c r="E483" s="112"/>
      <c r="G483" s="3"/>
    </row>
    <row r="484">
      <c r="C484" s="12"/>
      <c r="D484" s="45"/>
      <c r="E484" s="112"/>
      <c r="G484" s="3"/>
    </row>
    <row r="485">
      <c r="C485" s="12"/>
      <c r="D485" s="45"/>
      <c r="E485" s="112"/>
      <c r="G485" s="3"/>
    </row>
    <row r="486">
      <c r="C486" s="12"/>
      <c r="D486" s="45"/>
      <c r="E486" s="112"/>
      <c r="G486" s="3"/>
    </row>
    <row r="487">
      <c r="C487" s="12"/>
      <c r="D487" s="45"/>
      <c r="E487" s="112"/>
      <c r="G487" s="3"/>
    </row>
    <row r="488">
      <c r="C488" s="12"/>
      <c r="D488" s="45"/>
      <c r="E488" s="112"/>
      <c r="G488" s="3"/>
    </row>
    <row r="489">
      <c r="C489" s="12"/>
      <c r="D489" s="45"/>
      <c r="E489" s="112"/>
      <c r="G489" s="3"/>
    </row>
    <row r="490">
      <c r="C490" s="12"/>
      <c r="D490" s="45"/>
      <c r="E490" s="112"/>
      <c r="G490" s="3"/>
    </row>
    <row r="491">
      <c r="C491" s="12"/>
      <c r="D491" s="45"/>
      <c r="E491" s="112"/>
      <c r="G491" s="3"/>
    </row>
    <row r="492">
      <c r="C492" s="12"/>
      <c r="D492" s="45"/>
      <c r="E492" s="112"/>
      <c r="G492" s="3"/>
    </row>
    <row r="493">
      <c r="C493" s="12"/>
      <c r="D493" s="45"/>
      <c r="E493" s="112"/>
      <c r="G493" s="3"/>
    </row>
    <row r="494">
      <c r="C494" s="12"/>
      <c r="D494" s="45"/>
      <c r="E494" s="112"/>
      <c r="G494" s="3"/>
    </row>
    <row r="495">
      <c r="C495" s="12"/>
      <c r="D495" s="45"/>
      <c r="E495" s="112"/>
      <c r="G495" s="3"/>
    </row>
    <row r="496">
      <c r="C496" s="12"/>
      <c r="D496" s="45"/>
      <c r="E496" s="112"/>
      <c r="G496" s="3"/>
    </row>
    <row r="497">
      <c r="C497" s="12"/>
      <c r="D497" s="45"/>
      <c r="E497" s="112"/>
      <c r="G497" s="3"/>
    </row>
    <row r="498">
      <c r="C498" s="12"/>
      <c r="D498" s="45"/>
      <c r="E498" s="112"/>
      <c r="G498" s="3"/>
    </row>
    <row r="499">
      <c r="C499" s="12"/>
      <c r="D499" s="45"/>
      <c r="E499" s="112"/>
      <c r="G499" s="3"/>
    </row>
    <row r="500">
      <c r="C500" s="12"/>
      <c r="D500" s="45"/>
      <c r="E500" s="112"/>
      <c r="G500" s="3"/>
    </row>
    <row r="501">
      <c r="C501" s="12"/>
      <c r="D501" s="45"/>
      <c r="E501" s="112"/>
      <c r="G501" s="3"/>
    </row>
    <row r="502">
      <c r="C502" s="12"/>
      <c r="D502" s="45"/>
      <c r="E502" s="112"/>
      <c r="G502" s="3"/>
    </row>
    <row r="503">
      <c r="C503" s="12"/>
      <c r="D503" s="45"/>
      <c r="E503" s="112"/>
      <c r="G503" s="3"/>
    </row>
    <row r="504">
      <c r="C504" s="12"/>
      <c r="D504" s="45"/>
      <c r="E504" s="112"/>
      <c r="G504" s="3"/>
    </row>
    <row r="505">
      <c r="C505" s="12"/>
      <c r="D505" s="45"/>
      <c r="E505" s="112"/>
      <c r="G505" s="3"/>
    </row>
    <row r="506">
      <c r="C506" s="12"/>
      <c r="D506" s="45"/>
      <c r="E506" s="112"/>
      <c r="G506" s="3"/>
    </row>
    <row r="507">
      <c r="C507" s="12"/>
      <c r="D507" s="45"/>
      <c r="E507" s="112"/>
      <c r="G507" s="3"/>
    </row>
    <row r="508">
      <c r="C508" s="12"/>
      <c r="D508" s="45"/>
      <c r="E508" s="112"/>
      <c r="G508" s="3"/>
    </row>
    <row r="509">
      <c r="C509" s="12"/>
      <c r="D509" s="45"/>
      <c r="E509" s="112"/>
      <c r="G509" s="3"/>
    </row>
    <row r="510">
      <c r="C510" s="12"/>
      <c r="D510" s="45"/>
      <c r="E510" s="112"/>
      <c r="G510" s="3"/>
    </row>
    <row r="511">
      <c r="C511" s="12"/>
      <c r="D511" s="45"/>
      <c r="E511" s="112"/>
      <c r="G511" s="3"/>
    </row>
    <row r="512">
      <c r="C512" s="12"/>
      <c r="D512" s="45"/>
      <c r="E512" s="112"/>
      <c r="G512" s="3"/>
    </row>
    <row r="513">
      <c r="C513" s="12"/>
      <c r="D513" s="45"/>
      <c r="E513" s="112"/>
      <c r="G513" s="3"/>
    </row>
    <row r="514">
      <c r="C514" s="12"/>
      <c r="D514" s="45"/>
      <c r="E514" s="112"/>
      <c r="G514" s="3"/>
    </row>
    <row r="515">
      <c r="C515" s="12"/>
      <c r="D515" s="45"/>
      <c r="E515" s="112"/>
      <c r="G515" s="3"/>
    </row>
    <row r="516">
      <c r="C516" s="12"/>
      <c r="D516" s="45"/>
      <c r="E516" s="112"/>
      <c r="G516" s="3"/>
    </row>
    <row r="517">
      <c r="C517" s="12"/>
      <c r="D517" s="45"/>
      <c r="E517" s="112"/>
      <c r="G517" s="3"/>
    </row>
    <row r="518">
      <c r="C518" s="12"/>
      <c r="D518" s="45"/>
      <c r="E518" s="112"/>
      <c r="G518" s="3"/>
    </row>
    <row r="519">
      <c r="C519" s="12"/>
      <c r="D519" s="45"/>
      <c r="E519" s="112"/>
      <c r="G519" s="3"/>
    </row>
    <row r="520">
      <c r="C520" s="12"/>
      <c r="D520" s="45"/>
      <c r="E520" s="112"/>
      <c r="G520" s="3"/>
    </row>
    <row r="521">
      <c r="C521" s="12"/>
      <c r="D521" s="45"/>
      <c r="E521" s="112"/>
      <c r="G521" s="3"/>
    </row>
    <row r="522">
      <c r="C522" s="12"/>
      <c r="D522" s="45"/>
      <c r="E522" s="112"/>
      <c r="G522" s="3"/>
    </row>
    <row r="523">
      <c r="C523" s="12"/>
      <c r="D523" s="45"/>
      <c r="E523" s="112"/>
      <c r="G523" s="3"/>
    </row>
    <row r="524">
      <c r="C524" s="12"/>
      <c r="D524" s="45"/>
      <c r="E524" s="112"/>
      <c r="G524" s="3"/>
    </row>
    <row r="525">
      <c r="C525" s="12"/>
      <c r="D525" s="45"/>
      <c r="E525" s="112"/>
      <c r="G525" s="3"/>
    </row>
    <row r="526">
      <c r="C526" s="12"/>
      <c r="D526" s="45"/>
      <c r="E526" s="112"/>
      <c r="G526" s="3"/>
    </row>
    <row r="527">
      <c r="C527" s="12"/>
      <c r="D527" s="45"/>
      <c r="E527" s="112"/>
      <c r="G527" s="3"/>
    </row>
    <row r="528">
      <c r="C528" s="12"/>
      <c r="D528" s="45"/>
      <c r="E528" s="112"/>
      <c r="G528" s="3"/>
    </row>
    <row r="529">
      <c r="C529" s="12"/>
      <c r="D529" s="45"/>
      <c r="E529" s="112"/>
      <c r="G529" s="3"/>
    </row>
    <row r="530">
      <c r="C530" s="12"/>
      <c r="D530" s="45"/>
      <c r="E530" s="112"/>
      <c r="G530" s="3"/>
    </row>
    <row r="531">
      <c r="C531" s="12"/>
      <c r="D531" s="45"/>
      <c r="E531" s="112"/>
      <c r="G531" s="3"/>
    </row>
    <row r="532">
      <c r="C532" s="12"/>
      <c r="D532" s="45"/>
      <c r="E532" s="112"/>
      <c r="G532" s="3"/>
    </row>
    <row r="533">
      <c r="C533" s="12"/>
      <c r="D533" s="45"/>
      <c r="E533" s="112"/>
      <c r="G533" s="3"/>
    </row>
    <row r="534">
      <c r="C534" s="12"/>
      <c r="D534" s="45"/>
      <c r="E534" s="112"/>
      <c r="G534" s="3"/>
    </row>
    <row r="535">
      <c r="C535" s="12"/>
      <c r="D535" s="45"/>
      <c r="E535" s="112"/>
      <c r="G535" s="3"/>
    </row>
    <row r="536">
      <c r="C536" s="12"/>
      <c r="D536" s="45"/>
      <c r="E536" s="112"/>
      <c r="G536" s="3"/>
    </row>
    <row r="537">
      <c r="C537" s="12"/>
      <c r="D537" s="45"/>
      <c r="E537" s="112"/>
      <c r="G537" s="3"/>
    </row>
    <row r="538">
      <c r="C538" s="12"/>
      <c r="D538" s="45"/>
      <c r="E538" s="112"/>
      <c r="G538" s="3"/>
    </row>
    <row r="539">
      <c r="C539" s="12"/>
      <c r="D539" s="45"/>
      <c r="E539" s="112"/>
      <c r="G539" s="3"/>
    </row>
    <row r="540">
      <c r="C540" s="12"/>
      <c r="D540" s="45"/>
      <c r="E540" s="112"/>
      <c r="G540" s="3"/>
    </row>
    <row r="541">
      <c r="C541" s="12"/>
      <c r="D541" s="45"/>
      <c r="E541" s="112"/>
      <c r="G541" s="3"/>
    </row>
    <row r="542">
      <c r="C542" s="12"/>
      <c r="D542" s="45"/>
      <c r="E542" s="112"/>
      <c r="G542" s="3"/>
    </row>
    <row r="543">
      <c r="C543" s="12"/>
      <c r="D543" s="45"/>
      <c r="E543" s="112"/>
      <c r="G543" s="3"/>
    </row>
    <row r="544">
      <c r="C544" s="12"/>
      <c r="D544" s="45"/>
      <c r="E544" s="112"/>
      <c r="G544" s="3"/>
    </row>
    <row r="545">
      <c r="C545" s="12"/>
      <c r="D545" s="45"/>
      <c r="E545" s="112"/>
      <c r="G545" s="3"/>
    </row>
    <row r="546">
      <c r="C546" s="12"/>
      <c r="D546" s="45"/>
      <c r="E546" s="112"/>
      <c r="G546" s="3"/>
    </row>
    <row r="547">
      <c r="C547" s="12"/>
      <c r="D547" s="45"/>
      <c r="E547" s="112"/>
      <c r="G547" s="3"/>
    </row>
    <row r="548">
      <c r="C548" s="12"/>
      <c r="D548" s="45"/>
      <c r="E548" s="112"/>
      <c r="G548" s="3"/>
    </row>
    <row r="549">
      <c r="C549" s="12"/>
      <c r="D549" s="45"/>
      <c r="E549" s="112"/>
      <c r="G549" s="3"/>
    </row>
    <row r="550">
      <c r="C550" s="12"/>
      <c r="D550" s="45"/>
      <c r="E550" s="112"/>
      <c r="G550" s="3"/>
    </row>
    <row r="551">
      <c r="C551" s="12"/>
      <c r="D551" s="45"/>
      <c r="E551" s="112"/>
      <c r="G551" s="3"/>
    </row>
    <row r="552">
      <c r="C552" s="12"/>
      <c r="D552" s="45"/>
      <c r="E552" s="112"/>
      <c r="G552" s="3"/>
    </row>
    <row r="553">
      <c r="C553" s="12"/>
      <c r="D553" s="45"/>
      <c r="E553" s="112"/>
      <c r="G553" s="3"/>
    </row>
    <row r="554">
      <c r="C554" s="12"/>
      <c r="D554" s="45"/>
      <c r="E554" s="112"/>
      <c r="G554" s="3"/>
    </row>
    <row r="555">
      <c r="C555" s="12"/>
      <c r="D555" s="45"/>
      <c r="E555" s="112"/>
      <c r="G555" s="3"/>
    </row>
    <row r="556">
      <c r="C556" s="12"/>
      <c r="D556" s="45"/>
      <c r="E556" s="112"/>
      <c r="G556" s="3"/>
    </row>
    <row r="557">
      <c r="C557" s="12"/>
      <c r="D557" s="45"/>
      <c r="E557" s="112"/>
      <c r="G557" s="3"/>
    </row>
    <row r="558">
      <c r="C558" s="12"/>
      <c r="D558" s="45"/>
      <c r="E558" s="112"/>
      <c r="G558" s="3"/>
    </row>
    <row r="559">
      <c r="C559" s="12"/>
      <c r="D559" s="45"/>
      <c r="E559" s="112"/>
      <c r="G559" s="3"/>
    </row>
    <row r="560">
      <c r="C560" s="12"/>
      <c r="D560" s="45"/>
      <c r="E560" s="112"/>
      <c r="G560" s="3"/>
    </row>
    <row r="561">
      <c r="C561" s="12"/>
      <c r="D561" s="45"/>
      <c r="E561" s="112"/>
      <c r="G561" s="3"/>
    </row>
    <row r="562">
      <c r="C562" s="12"/>
      <c r="D562" s="45"/>
      <c r="E562" s="112"/>
      <c r="G562" s="3"/>
    </row>
    <row r="563">
      <c r="C563" s="12"/>
      <c r="D563" s="45"/>
      <c r="E563" s="112"/>
      <c r="G563" s="3"/>
    </row>
    <row r="564">
      <c r="C564" s="12"/>
      <c r="D564" s="45"/>
      <c r="E564" s="112"/>
      <c r="G564" s="3"/>
    </row>
    <row r="565">
      <c r="C565" s="12"/>
      <c r="D565" s="45"/>
      <c r="E565" s="112"/>
      <c r="G565" s="3"/>
    </row>
    <row r="566">
      <c r="C566" s="12"/>
      <c r="D566" s="45"/>
      <c r="E566" s="112"/>
      <c r="G566" s="3"/>
    </row>
    <row r="567">
      <c r="C567" s="12"/>
      <c r="D567" s="45"/>
      <c r="E567" s="112"/>
      <c r="G567" s="3"/>
    </row>
    <row r="568">
      <c r="C568" s="12"/>
      <c r="D568" s="45"/>
      <c r="E568" s="112"/>
      <c r="G568" s="3"/>
    </row>
    <row r="569">
      <c r="C569" s="12"/>
      <c r="D569" s="45"/>
      <c r="E569" s="112"/>
      <c r="G569" s="3"/>
    </row>
    <row r="570">
      <c r="C570" s="12"/>
      <c r="D570" s="45"/>
      <c r="E570" s="112"/>
      <c r="G570" s="3"/>
    </row>
    <row r="571">
      <c r="C571" s="12"/>
      <c r="D571" s="45"/>
      <c r="E571" s="112"/>
      <c r="G571" s="3"/>
    </row>
    <row r="572">
      <c r="C572" s="12"/>
      <c r="D572" s="45"/>
      <c r="E572" s="112"/>
      <c r="G572" s="3"/>
    </row>
    <row r="573">
      <c r="C573" s="12"/>
      <c r="D573" s="45"/>
      <c r="E573" s="112"/>
      <c r="G573" s="3"/>
    </row>
    <row r="574">
      <c r="C574" s="12"/>
      <c r="D574" s="45"/>
      <c r="E574" s="112"/>
      <c r="G574" s="3"/>
    </row>
    <row r="575">
      <c r="C575" s="12"/>
      <c r="D575" s="45"/>
      <c r="E575" s="112"/>
      <c r="G575" s="3"/>
    </row>
    <row r="576">
      <c r="C576" s="12"/>
      <c r="D576" s="45"/>
      <c r="E576" s="112"/>
      <c r="G576" s="3"/>
    </row>
    <row r="577">
      <c r="C577" s="12"/>
      <c r="D577" s="45"/>
      <c r="E577" s="112"/>
      <c r="G577" s="3"/>
    </row>
    <row r="578">
      <c r="C578" s="12"/>
      <c r="D578" s="45"/>
      <c r="E578" s="112"/>
      <c r="G578" s="3"/>
    </row>
    <row r="579">
      <c r="C579" s="12"/>
      <c r="D579" s="45"/>
      <c r="E579" s="112"/>
      <c r="G579" s="3"/>
    </row>
    <row r="580">
      <c r="C580" s="12"/>
      <c r="D580" s="45"/>
      <c r="E580" s="112"/>
      <c r="G580" s="3"/>
    </row>
    <row r="581">
      <c r="C581" s="12"/>
      <c r="D581" s="45"/>
      <c r="E581" s="112"/>
      <c r="G581" s="3"/>
    </row>
    <row r="582">
      <c r="C582" s="12"/>
      <c r="D582" s="45"/>
      <c r="E582" s="112"/>
      <c r="G582" s="3"/>
    </row>
    <row r="583">
      <c r="C583" s="12"/>
      <c r="D583" s="45"/>
      <c r="E583" s="112"/>
      <c r="G583" s="3"/>
    </row>
    <row r="584">
      <c r="C584" s="12"/>
      <c r="D584" s="45"/>
      <c r="E584" s="112"/>
      <c r="G584" s="3"/>
    </row>
    <row r="585">
      <c r="C585" s="12"/>
      <c r="D585" s="45"/>
      <c r="E585" s="112"/>
      <c r="G585" s="3"/>
    </row>
    <row r="586">
      <c r="C586" s="12"/>
      <c r="D586" s="45"/>
      <c r="E586" s="112"/>
      <c r="G586" s="3"/>
    </row>
    <row r="587">
      <c r="C587" s="12"/>
      <c r="D587" s="45"/>
      <c r="E587" s="112"/>
      <c r="G587" s="3"/>
    </row>
    <row r="588">
      <c r="C588" s="12"/>
      <c r="D588" s="45"/>
      <c r="E588" s="112"/>
      <c r="G588" s="3"/>
    </row>
    <row r="589">
      <c r="C589" s="12"/>
      <c r="D589" s="45"/>
      <c r="E589" s="112"/>
      <c r="G589" s="3"/>
    </row>
    <row r="590">
      <c r="C590" s="12"/>
      <c r="D590" s="45"/>
      <c r="E590" s="112"/>
      <c r="G590" s="3"/>
    </row>
    <row r="591">
      <c r="C591" s="12"/>
      <c r="D591" s="45"/>
      <c r="E591" s="112"/>
      <c r="G591" s="3"/>
    </row>
    <row r="592">
      <c r="C592" s="12"/>
      <c r="D592" s="45"/>
      <c r="E592" s="112"/>
      <c r="G592" s="3"/>
    </row>
    <row r="593">
      <c r="C593" s="12"/>
      <c r="D593" s="45"/>
      <c r="E593" s="112"/>
      <c r="G593" s="3"/>
    </row>
    <row r="594">
      <c r="C594" s="12"/>
      <c r="D594" s="45"/>
      <c r="E594" s="112"/>
      <c r="G594" s="3"/>
    </row>
    <row r="595">
      <c r="C595" s="12"/>
      <c r="D595" s="45"/>
      <c r="E595" s="112"/>
      <c r="G595" s="3"/>
    </row>
    <row r="596">
      <c r="C596" s="12"/>
      <c r="D596" s="45"/>
      <c r="E596" s="112"/>
      <c r="G596" s="3"/>
    </row>
    <row r="597">
      <c r="C597" s="12"/>
      <c r="D597" s="45"/>
      <c r="E597" s="112"/>
      <c r="G597" s="3"/>
    </row>
    <row r="598">
      <c r="C598" s="12"/>
      <c r="D598" s="45"/>
      <c r="E598" s="112"/>
      <c r="G598" s="3"/>
    </row>
    <row r="599">
      <c r="C599" s="12"/>
      <c r="D599" s="45"/>
      <c r="E599" s="112"/>
      <c r="G599" s="3"/>
    </row>
    <row r="600">
      <c r="C600" s="12"/>
      <c r="D600" s="45"/>
      <c r="E600" s="112"/>
      <c r="G600" s="3"/>
    </row>
    <row r="601">
      <c r="C601" s="12"/>
      <c r="D601" s="45"/>
      <c r="E601" s="112"/>
      <c r="G601" s="3"/>
    </row>
    <row r="602">
      <c r="C602" s="12"/>
      <c r="D602" s="45"/>
      <c r="E602" s="112"/>
      <c r="G602" s="3"/>
    </row>
    <row r="603">
      <c r="C603" s="12"/>
      <c r="D603" s="45"/>
      <c r="E603" s="112"/>
      <c r="G603" s="3"/>
    </row>
    <row r="604">
      <c r="C604" s="12"/>
      <c r="D604" s="45"/>
      <c r="E604" s="112"/>
      <c r="G604" s="3"/>
    </row>
    <row r="605">
      <c r="C605" s="12"/>
      <c r="D605" s="45"/>
      <c r="E605" s="112"/>
      <c r="G605" s="3"/>
    </row>
    <row r="606">
      <c r="C606" s="12"/>
      <c r="D606" s="45"/>
      <c r="E606" s="112"/>
      <c r="G606" s="3"/>
    </row>
    <row r="607">
      <c r="C607" s="12"/>
      <c r="D607" s="45"/>
      <c r="E607" s="112"/>
      <c r="G607" s="3"/>
    </row>
    <row r="608">
      <c r="C608" s="12"/>
      <c r="D608" s="45"/>
      <c r="E608" s="112"/>
      <c r="G608" s="3"/>
    </row>
    <row r="609">
      <c r="C609" s="12"/>
      <c r="D609" s="45"/>
      <c r="E609" s="112"/>
      <c r="G609" s="3"/>
    </row>
    <row r="610">
      <c r="C610" s="12"/>
      <c r="D610" s="45"/>
      <c r="E610" s="112"/>
      <c r="G610" s="3"/>
    </row>
    <row r="611">
      <c r="C611" s="12"/>
      <c r="D611" s="45"/>
      <c r="E611" s="112"/>
      <c r="G611" s="3"/>
    </row>
    <row r="612">
      <c r="C612" s="12"/>
      <c r="D612" s="45"/>
      <c r="E612" s="112"/>
      <c r="G612" s="3"/>
    </row>
    <row r="613">
      <c r="C613" s="12"/>
      <c r="D613" s="45"/>
      <c r="E613" s="112"/>
      <c r="G613" s="3"/>
    </row>
    <row r="614">
      <c r="C614" s="12"/>
      <c r="D614" s="45"/>
      <c r="E614" s="112"/>
      <c r="G614" s="3"/>
    </row>
    <row r="615">
      <c r="C615" s="12"/>
      <c r="D615" s="45"/>
      <c r="E615" s="112"/>
      <c r="G615" s="3"/>
    </row>
    <row r="616">
      <c r="C616" s="12"/>
      <c r="D616" s="45"/>
      <c r="E616" s="112"/>
      <c r="G616" s="3"/>
    </row>
    <row r="617">
      <c r="C617" s="12"/>
      <c r="D617" s="45"/>
      <c r="E617" s="112"/>
      <c r="G617" s="3"/>
    </row>
    <row r="618">
      <c r="C618" s="12"/>
      <c r="D618" s="45"/>
      <c r="E618" s="112"/>
      <c r="G618" s="3"/>
    </row>
    <row r="619">
      <c r="C619" s="12"/>
      <c r="D619" s="45"/>
      <c r="E619" s="112"/>
      <c r="G619" s="3"/>
    </row>
    <row r="620">
      <c r="C620" s="12"/>
      <c r="D620" s="45"/>
      <c r="E620" s="112"/>
      <c r="G620" s="3"/>
    </row>
    <row r="621">
      <c r="C621" s="12"/>
      <c r="D621" s="45"/>
      <c r="E621" s="112"/>
      <c r="G621" s="3"/>
    </row>
    <row r="622">
      <c r="C622" s="12"/>
      <c r="D622" s="45"/>
      <c r="E622" s="112"/>
      <c r="G622" s="3"/>
    </row>
    <row r="623">
      <c r="C623" s="12"/>
      <c r="D623" s="45"/>
      <c r="E623" s="112"/>
      <c r="G623" s="3"/>
    </row>
    <row r="624">
      <c r="C624" s="12"/>
      <c r="D624" s="45"/>
      <c r="E624" s="112"/>
      <c r="G624" s="3"/>
    </row>
    <row r="625">
      <c r="C625" s="12"/>
      <c r="D625" s="45"/>
      <c r="E625" s="112"/>
      <c r="G625" s="3"/>
    </row>
    <row r="626">
      <c r="C626" s="12"/>
      <c r="D626" s="45"/>
      <c r="E626" s="112"/>
      <c r="G626" s="3"/>
    </row>
    <row r="627">
      <c r="C627" s="12"/>
      <c r="D627" s="45"/>
      <c r="E627" s="112"/>
      <c r="G627" s="3"/>
    </row>
    <row r="628">
      <c r="C628" s="12"/>
      <c r="D628" s="45"/>
      <c r="E628" s="112"/>
      <c r="G628" s="3"/>
    </row>
    <row r="629">
      <c r="C629" s="12"/>
      <c r="D629" s="45"/>
      <c r="E629" s="112"/>
      <c r="G629" s="3"/>
    </row>
    <row r="630">
      <c r="C630" s="12"/>
      <c r="D630" s="45"/>
      <c r="E630" s="112"/>
      <c r="G630" s="3"/>
    </row>
    <row r="631">
      <c r="C631" s="12"/>
      <c r="D631" s="45"/>
      <c r="E631" s="112"/>
      <c r="G631" s="3"/>
    </row>
    <row r="632">
      <c r="C632" s="12"/>
      <c r="D632" s="45"/>
      <c r="E632" s="112"/>
      <c r="G632" s="3"/>
    </row>
    <row r="633">
      <c r="C633" s="12"/>
      <c r="D633" s="45"/>
      <c r="E633" s="112"/>
      <c r="G633" s="3"/>
    </row>
    <row r="634">
      <c r="C634" s="12"/>
      <c r="D634" s="45"/>
      <c r="E634" s="112"/>
      <c r="G634" s="3"/>
    </row>
    <row r="635">
      <c r="C635" s="12"/>
      <c r="D635" s="45"/>
      <c r="E635" s="112"/>
      <c r="G635" s="3"/>
    </row>
    <row r="636">
      <c r="C636" s="12"/>
      <c r="D636" s="45"/>
      <c r="E636" s="112"/>
      <c r="G636" s="3"/>
    </row>
    <row r="637">
      <c r="C637" s="12"/>
      <c r="D637" s="45"/>
      <c r="E637" s="112"/>
      <c r="G637" s="3"/>
    </row>
    <row r="638">
      <c r="C638" s="12"/>
      <c r="D638" s="45"/>
      <c r="E638" s="112"/>
      <c r="G638" s="3"/>
    </row>
    <row r="639">
      <c r="C639" s="12"/>
      <c r="D639" s="45"/>
      <c r="E639" s="112"/>
      <c r="G639" s="3"/>
    </row>
    <row r="640">
      <c r="C640" s="12"/>
      <c r="D640" s="45"/>
      <c r="E640" s="112"/>
      <c r="G640" s="3"/>
    </row>
    <row r="641">
      <c r="C641" s="12"/>
      <c r="D641" s="45"/>
      <c r="E641" s="112"/>
      <c r="G641" s="3"/>
    </row>
    <row r="642">
      <c r="C642" s="12"/>
      <c r="D642" s="45"/>
      <c r="E642" s="112"/>
      <c r="G642" s="3"/>
    </row>
    <row r="643">
      <c r="C643" s="12"/>
      <c r="D643" s="45"/>
      <c r="E643" s="112"/>
      <c r="G643" s="3"/>
    </row>
    <row r="644">
      <c r="C644" s="12"/>
      <c r="D644" s="45"/>
      <c r="E644" s="112"/>
      <c r="G644" s="3"/>
    </row>
    <row r="645">
      <c r="C645" s="12"/>
      <c r="D645" s="45"/>
      <c r="E645" s="112"/>
      <c r="G645" s="3"/>
    </row>
    <row r="646">
      <c r="C646" s="12"/>
      <c r="D646" s="45"/>
      <c r="E646" s="112"/>
      <c r="G646" s="3"/>
    </row>
    <row r="647">
      <c r="C647" s="12"/>
      <c r="D647" s="45"/>
      <c r="E647" s="112"/>
      <c r="G647" s="3"/>
    </row>
    <row r="648">
      <c r="C648" s="12"/>
      <c r="D648" s="45"/>
      <c r="E648" s="112"/>
      <c r="G648" s="3"/>
    </row>
    <row r="649">
      <c r="C649" s="12"/>
      <c r="D649" s="45"/>
      <c r="E649" s="112"/>
      <c r="G649" s="3"/>
    </row>
    <row r="650">
      <c r="C650" s="12"/>
      <c r="D650" s="45"/>
      <c r="E650" s="112"/>
      <c r="G650" s="3"/>
    </row>
    <row r="651">
      <c r="C651" s="12"/>
      <c r="D651" s="45"/>
      <c r="E651" s="112"/>
      <c r="G651" s="3"/>
    </row>
    <row r="652">
      <c r="C652" s="12"/>
      <c r="D652" s="45"/>
      <c r="E652" s="112"/>
      <c r="G652" s="3"/>
    </row>
    <row r="653">
      <c r="C653" s="12"/>
      <c r="D653" s="45"/>
      <c r="E653" s="112"/>
      <c r="G653" s="3"/>
    </row>
    <row r="654">
      <c r="C654" s="12"/>
      <c r="D654" s="45"/>
      <c r="E654" s="112"/>
      <c r="G654" s="3"/>
    </row>
    <row r="655">
      <c r="C655" s="12"/>
      <c r="D655" s="45"/>
      <c r="E655" s="112"/>
      <c r="G655" s="3"/>
    </row>
    <row r="656">
      <c r="C656" s="12"/>
      <c r="D656" s="45"/>
      <c r="E656" s="112"/>
      <c r="G656" s="3"/>
    </row>
    <row r="657">
      <c r="C657" s="12"/>
      <c r="D657" s="45"/>
      <c r="E657" s="112"/>
      <c r="G657" s="3"/>
    </row>
    <row r="658">
      <c r="C658" s="12"/>
      <c r="D658" s="45"/>
      <c r="E658" s="112"/>
      <c r="G658" s="3"/>
    </row>
    <row r="659">
      <c r="C659" s="12"/>
      <c r="D659" s="45"/>
      <c r="E659" s="112"/>
      <c r="G659" s="3"/>
    </row>
    <row r="660">
      <c r="C660" s="12"/>
      <c r="D660" s="45"/>
      <c r="E660" s="112"/>
      <c r="G660" s="3"/>
    </row>
    <row r="661">
      <c r="C661" s="12"/>
      <c r="D661" s="45"/>
      <c r="E661" s="112"/>
      <c r="G661" s="3"/>
    </row>
    <row r="662">
      <c r="C662" s="12"/>
      <c r="D662" s="45"/>
      <c r="E662" s="112"/>
      <c r="G662" s="3"/>
    </row>
    <row r="663">
      <c r="C663" s="12"/>
      <c r="D663" s="45"/>
      <c r="E663" s="112"/>
      <c r="G663" s="3"/>
    </row>
    <row r="664">
      <c r="C664" s="12"/>
      <c r="D664" s="45"/>
      <c r="E664" s="112"/>
      <c r="G664" s="3"/>
    </row>
    <row r="665">
      <c r="C665" s="12"/>
      <c r="D665" s="45"/>
      <c r="E665" s="112"/>
      <c r="G665" s="3"/>
    </row>
    <row r="666">
      <c r="C666" s="12"/>
      <c r="D666" s="45"/>
      <c r="E666" s="112"/>
      <c r="G666" s="3"/>
    </row>
    <row r="667">
      <c r="C667" s="12"/>
      <c r="D667" s="45"/>
      <c r="E667" s="112"/>
      <c r="G667" s="3"/>
    </row>
    <row r="668">
      <c r="C668" s="12"/>
      <c r="D668" s="45"/>
      <c r="E668" s="112"/>
      <c r="G668" s="3"/>
    </row>
    <row r="669">
      <c r="C669" s="12"/>
      <c r="D669" s="45"/>
      <c r="E669" s="112"/>
      <c r="G669" s="3"/>
    </row>
    <row r="670">
      <c r="C670" s="12"/>
      <c r="D670" s="45"/>
      <c r="E670" s="112"/>
      <c r="G670" s="3"/>
    </row>
    <row r="671">
      <c r="C671" s="12"/>
      <c r="D671" s="45"/>
      <c r="E671" s="112"/>
      <c r="G671" s="3"/>
    </row>
    <row r="672">
      <c r="C672" s="12"/>
      <c r="D672" s="45"/>
      <c r="E672" s="112"/>
      <c r="G672" s="3"/>
    </row>
    <row r="673">
      <c r="C673" s="12"/>
      <c r="D673" s="45"/>
      <c r="E673" s="112"/>
      <c r="G673" s="3"/>
    </row>
    <row r="674">
      <c r="C674" s="12"/>
      <c r="D674" s="45"/>
      <c r="E674" s="112"/>
      <c r="G674" s="3"/>
    </row>
    <row r="675">
      <c r="C675" s="12"/>
      <c r="D675" s="45"/>
      <c r="E675" s="112"/>
      <c r="G675" s="3"/>
    </row>
    <row r="676">
      <c r="C676" s="12"/>
      <c r="D676" s="45"/>
      <c r="E676" s="112"/>
      <c r="G676" s="3"/>
    </row>
    <row r="677">
      <c r="C677" s="12"/>
      <c r="D677" s="45"/>
      <c r="E677" s="112"/>
      <c r="G677" s="3"/>
    </row>
    <row r="678">
      <c r="C678" s="12"/>
      <c r="D678" s="45"/>
      <c r="E678" s="112"/>
      <c r="G678" s="3"/>
    </row>
    <row r="679">
      <c r="C679" s="12"/>
      <c r="D679" s="45"/>
      <c r="E679" s="112"/>
      <c r="G679" s="3"/>
    </row>
    <row r="680">
      <c r="C680" s="12"/>
      <c r="D680" s="45"/>
      <c r="E680" s="112"/>
      <c r="G680" s="3"/>
    </row>
    <row r="681">
      <c r="C681" s="12"/>
      <c r="D681" s="45"/>
      <c r="E681" s="112"/>
      <c r="G681" s="3"/>
    </row>
    <row r="682">
      <c r="C682" s="12"/>
      <c r="D682" s="45"/>
      <c r="E682" s="112"/>
      <c r="G682" s="3"/>
    </row>
    <row r="683">
      <c r="C683" s="12"/>
      <c r="D683" s="45"/>
      <c r="E683" s="112"/>
      <c r="G683" s="3"/>
    </row>
    <row r="684">
      <c r="C684" s="12"/>
      <c r="D684" s="45"/>
      <c r="E684" s="112"/>
      <c r="G684" s="3"/>
    </row>
    <row r="685">
      <c r="C685" s="12"/>
      <c r="D685" s="45"/>
      <c r="E685" s="112"/>
      <c r="G685" s="3"/>
    </row>
    <row r="686">
      <c r="C686" s="12"/>
      <c r="D686" s="45"/>
      <c r="E686" s="112"/>
      <c r="G686" s="3"/>
    </row>
    <row r="687">
      <c r="C687" s="12"/>
      <c r="D687" s="45"/>
      <c r="E687" s="112"/>
      <c r="G687" s="3"/>
    </row>
    <row r="688">
      <c r="C688" s="12"/>
      <c r="D688" s="45"/>
      <c r="E688" s="112"/>
      <c r="G688" s="3"/>
    </row>
    <row r="689">
      <c r="C689" s="12"/>
      <c r="D689" s="45"/>
      <c r="E689" s="112"/>
      <c r="G689" s="3"/>
    </row>
    <row r="690">
      <c r="C690" s="12"/>
      <c r="D690" s="45"/>
      <c r="E690" s="112"/>
      <c r="G690" s="3"/>
    </row>
    <row r="691">
      <c r="C691" s="12"/>
      <c r="D691" s="45"/>
      <c r="E691" s="112"/>
      <c r="G691" s="3"/>
    </row>
    <row r="692">
      <c r="C692" s="12"/>
      <c r="D692" s="45"/>
      <c r="E692" s="112"/>
      <c r="G692" s="3"/>
    </row>
    <row r="693">
      <c r="C693" s="12"/>
      <c r="D693" s="45"/>
      <c r="E693" s="112"/>
      <c r="G693" s="3"/>
    </row>
    <row r="694">
      <c r="C694" s="12"/>
      <c r="D694" s="45"/>
      <c r="E694" s="112"/>
      <c r="G694" s="3"/>
    </row>
    <row r="695">
      <c r="C695" s="12"/>
      <c r="D695" s="45"/>
      <c r="E695" s="112"/>
      <c r="G695" s="3"/>
    </row>
    <row r="696">
      <c r="C696" s="12"/>
      <c r="D696" s="45"/>
      <c r="E696" s="112"/>
      <c r="G696" s="3"/>
    </row>
    <row r="697">
      <c r="C697" s="12"/>
      <c r="D697" s="45"/>
      <c r="E697" s="112"/>
      <c r="G697" s="3"/>
    </row>
    <row r="698">
      <c r="C698" s="12"/>
      <c r="D698" s="45"/>
      <c r="E698" s="112"/>
      <c r="G698" s="3"/>
    </row>
    <row r="699">
      <c r="C699" s="12"/>
      <c r="D699" s="45"/>
      <c r="E699" s="112"/>
      <c r="G699" s="3"/>
    </row>
    <row r="700">
      <c r="C700" s="12"/>
      <c r="D700" s="45"/>
      <c r="E700" s="112"/>
      <c r="G700" s="3"/>
    </row>
    <row r="701">
      <c r="C701" s="12"/>
      <c r="D701" s="45"/>
      <c r="E701" s="112"/>
      <c r="G701" s="3"/>
    </row>
    <row r="702">
      <c r="C702" s="12"/>
      <c r="D702" s="45"/>
      <c r="E702" s="112"/>
      <c r="G702" s="3"/>
    </row>
    <row r="703">
      <c r="C703" s="12"/>
      <c r="D703" s="45"/>
      <c r="E703" s="112"/>
      <c r="G703" s="3"/>
    </row>
    <row r="704">
      <c r="C704" s="12"/>
      <c r="D704" s="45"/>
      <c r="E704" s="112"/>
      <c r="G704" s="3"/>
    </row>
    <row r="705">
      <c r="C705" s="12"/>
      <c r="D705" s="45"/>
      <c r="E705" s="112"/>
      <c r="G705" s="3"/>
    </row>
    <row r="706">
      <c r="C706" s="12"/>
      <c r="D706" s="45"/>
      <c r="E706" s="112"/>
      <c r="G706" s="3"/>
    </row>
    <row r="707">
      <c r="C707" s="12"/>
      <c r="D707" s="45"/>
      <c r="E707" s="112"/>
      <c r="G707" s="3"/>
    </row>
    <row r="708">
      <c r="C708" s="12"/>
      <c r="D708" s="45"/>
      <c r="E708" s="112"/>
      <c r="G708" s="3"/>
    </row>
    <row r="709">
      <c r="C709" s="12"/>
      <c r="D709" s="45"/>
      <c r="E709" s="112"/>
      <c r="G709" s="3"/>
    </row>
    <row r="710">
      <c r="C710" s="12"/>
      <c r="D710" s="45"/>
      <c r="E710" s="112"/>
      <c r="G710" s="3"/>
    </row>
    <row r="711">
      <c r="C711" s="12"/>
      <c r="D711" s="45"/>
      <c r="E711" s="112"/>
      <c r="G711" s="3"/>
    </row>
    <row r="712">
      <c r="C712" s="12"/>
      <c r="D712" s="45"/>
      <c r="E712" s="112"/>
      <c r="G712" s="3"/>
    </row>
    <row r="713">
      <c r="C713" s="12"/>
      <c r="D713" s="45"/>
      <c r="E713" s="112"/>
      <c r="G713" s="3"/>
    </row>
    <row r="714">
      <c r="C714" s="12"/>
      <c r="D714" s="45"/>
      <c r="E714" s="112"/>
      <c r="G714" s="3"/>
    </row>
    <row r="715">
      <c r="C715" s="12"/>
      <c r="D715" s="45"/>
      <c r="E715" s="112"/>
      <c r="G715" s="3"/>
    </row>
    <row r="716">
      <c r="C716" s="12"/>
      <c r="D716" s="45"/>
      <c r="E716" s="112"/>
      <c r="G716" s="3"/>
    </row>
    <row r="717">
      <c r="C717" s="12"/>
      <c r="D717" s="45"/>
      <c r="E717" s="112"/>
      <c r="G717" s="3"/>
    </row>
    <row r="718">
      <c r="C718" s="12"/>
      <c r="D718" s="45"/>
      <c r="E718" s="112"/>
      <c r="G718" s="3"/>
    </row>
    <row r="719">
      <c r="C719" s="12"/>
      <c r="D719" s="45"/>
      <c r="E719" s="112"/>
      <c r="G719" s="3"/>
    </row>
    <row r="720">
      <c r="C720" s="12"/>
      <c r="D720" s="45"/>
      <c r="E720" s="112"/>
      <c r="G720" s="3"/>
    </row>
    <row r="721">
      <c r="C721" s="12"/>
      <c r="D721" s="45"/>
      <c r="E721" s="112"/>
      <c r="G721" s="3"/>
    </row>
    <row r="722">
      <c r="C722" s="12"/>
      <c r="D722" s="45"/>
      <c r="E722" s="112"/>
      <c r="G722" s="3"/>
    </row>
    <row r="723">
      <c r="C723" s="12"/>
      <c r="D723" s="45"/>
      <c r="E723" s="112"/>
      <c r="G723" s="3"/>
    </row>
    <row r="724">
      <c r="C724" s="12"/>
      <c r="D724" s="45"/>
      <c r="E724" s="112"/>
      <c r="G724" s="3"/>
    </row>
    <row r="725">
      <c r="C725" s="12"/>
      <c r="D725" s="45"/>
      <c r="E725" s="112"/>
      <c r="G725" s="3"/>
    </row>
    <row r="726">
      <c r="C726" s="12"/>
      <c r="D726" s="45"/>
      <c r="E726" s="112"/>
      <c r="G726" s="3"/>
    </row>
    <row r="727">
      <c r="C727" s="12"/>
      <c r="D727" s="45"/>
      <c r="E727" s="112"/>
      <c r="G727" s="3"/>
    </row>
    <row r="728">
      <c r="C728" s="12"/>
      <c r="D728" s="45"/>
      <c r="E728" s="112"/>
      <c r="G728" s="3"/>
    </row>
    <row r="729">
      <c r="C729" s="12"/>
      <c r="D729" s="45"/>
      <c r="E729" s="112"/>
      <c r="G729" s="3"/>
    </row>
    <row r="730">
      <c r="C730" s="12"/>
      <c r="D730" s="45"/>
      <c r="E730" s="112"/>
      <c r="G730" s="3"/>
    </row>
    <row r="731">
      <c r="C731" s="12"/>
      <c r="D731" s="45"/>
      <c r="E731" s="112"/>
      <c r="G731" s="3"/>
    </row>
    <row r="732">
      <c r="C732" s="12"/>
      <c r="D732" s="45"/>
      <c r="E732" s="112"/>
      <c r="G732" s="3"/>
    </row>
    <row r="733">
      <c r="C733" s="12"/>
      <c r="D733" s="45"/>
      <c r="E733" s="112"/>
      <c r="G733" s="3"/>
    </row>
    <row r="734">
      <c r="C734" s="12"/>
      <c r="D734" s="45"/>
      <c r="E734" s="112"/>
      <c r="G734" s="3"/>
    </row>
    <row r="735">
      <c r="C735" s="12"/>
      <c r="D735" s="45"/>
      <c r="E735" s="112"/>
      <c r="G735" s="3"/>
    </row>
    <row r="736">
      <c r="C736" s="12"/>
      <c r="D736" s="45"/>
      <c r="E736" s="112"/>
      <c r="G736" s="3"/>
    </row>
    <row r="737">
      <c r="C737" s="12"/>
      <c r="D737" s="45"/>
      <c r="E737" s="112"/>
      <c r="G737" s="3"/>
    </row>
    <row r="738">
      <c r="C738" s="12"/>
      <c r="D738" s="45"/>
      <c r="E738" s="112"/>
      <c r="G738" s="3"/>
    </row>
    <row r="739">
      <c r="C739" s="12"/>
      <c r="D739" s="45"/>
      <c r="E739" s="112"/>
      <c r="G739" s="3"/>
    </row>
    <row r="740">
      <c r="C740" s="12"/>
      <c r="D740" s="45"/>
      <c r="E740" s="112"/>
      <c r="G740" s="3"/>
    </row>
    <row r="741">
      <c r="C741" s="12"/>
      <c r="D741" s="45"/>
      <c r="E741" s="112"/>
      <c r="G741" s="3"/>
    </row>
    <row r="742">
      <c r="C742" s="12"/>
      <c r="D742" s="45"/>
      <c r="E742" s="112"/>
      <c r="G742" s="3"/>
    </row>
    <row r="743">
      <c r="C743" s="12"/>
      <c r="D743" s="45"/>
      <c r="E743" s="112"/>
      <c r="G743" s="3"/>
    </row>
    <row r="744">
      <c r="C744" s="12"/>
      <c r="D744" s="45"/>
      <c r="E744" s="112"/>
      <c r="G744" s="3"/>
    </row>
    <row r="745">
      <c r="C745" s="12"/>
      <c r="D745" s="45"/>
      <c r="E745" s="112"/>
      <c r="G745" s="3"/>
    </row>
    <row r="746">
      <c r="C746" s="12"/>
      <c r="D746" s="45"/>
      <c r="E746" s="112"/>
      <c r="G746" s="3"/>
    </row>
    <row r="747">
      <c r="C747" s="12"/>
      <c r="D747" s="45"/>
      <c r="E747" s="112"/>
      <c r="G747" s="3"/>
    </row>
    <row r="748">
      <c r="C748" s="12"/>
      <c r="D748" s="45"/>
      <c r="E748" s="112"/>
      <c r="G748" s="3"/>
    </row>
    <row r="749">
      <c r="C749" s="12"/>
      <c r="D749" s="45"/>
      <c r="E749" s="112"/>
      <c r="G749" s="3"/>
    </row>
    <row r="750">
      <c r="C750" s="12"/>
      <c r="D750" s="45"/>
      <c r="E750" s="112"/>
      <c r="G750" s="3"/>
    </row>
    <row r="751">
      <c r="C751" s="12"/>
      <c r="D751" s="45"/>
      <c r="E751" s="112"/>
      <c r="G751" s="3"/>
    </row>
    <row r="752">
      <c r="C752" s="12"/>
      <c r="D752" s="45"/>
      <c r="E752" s="112"/>
      <c r="G752" s="3"/>
    </row>
    <row r="753">
      <c r="C753" s="12"/>
      <c r="D753" s="45"/>
      <c r="E753" s="112"/>
      <c r="G753" s="3"/>
    </row>
    <row r="754">
      <c r="C754" s="12"/>
      <c r="D754" s="45"/>
      <c r="E754" s="112"/>
      <c r="G754" s="3"/>
    </row>
    <row r="755">
      <c r="C755" s="12"/>
      <c r="D755" s="45"/>
      <c r="E755" s="112"/>
      <c r="G755" s="3"/>
    </row>
    <row r="756">
      <c r="C756" s="12"/>
      <c r="D756" s="45"/>
      <c r="E756" s="112"/>
      <c r="G756" s="3"/>
    </row>
    <row r="757">
      <c r="C757" s="12"/>
      <c r="D757" s="45"/>
      <c r="E757" s="112"/>
      <c r="G757" s="3"/>
    </row>
    <row r="758">
      <c r="C758" s="12"/>
      <c r="D758" s="45"/>
      <c r="E758" s="112"/>
      <c r="G758" s="3"/>
    </row>
    <row r="759">
      <c r="C759" s="12"/>
      <c r="D759" s="45"/>
      <c r="E759" s="112"/>
      <c r="G759" s="3"/>
    </row>
    <row r="760">
      <c r="C760" s="12"/>
      <c r="D760" s="45"/>
      <c r="E760" s="112"/>
      <c r="G760" s="3"/>
    </row>
    <row r="761">
      <c r="C761" s="12"/>
      <c r="D761" s="45"/>
      <c r="E761" s="112"/>
      <c r="G761" s="3"/>
    </row>
    <row r="762">
      <c r="C762" s="12"/>
      <c r="D762" s="45"/>
      <c r="E762" s="112"/>
      <c r="G762" s="3"/>
    </row>
    <row r="763">
      <c r="C763" s="12"/>
      <c r="D763" s="45"/>
      <c r="E763" s="112"/>
      <c r="G763" s="3"/>
    </row>
    <row r="764">
      <c r="C764" s="12"/>
      <c r="D764" s="45"/>
      <c r="E764" s="112"/>
      <c r="G764" s="3"/>
    </row>
    <row r="765">
      <c r="C765" s="12"/>
      <c r="D765" s="45"/>
      <c r="E765" s="112"/>
      <c r="G765" s="3"/>
    </row>
    <row r="766">
      <c r="C766" s="12"/>
      <c r="D766" s="45"/>
      <c r="E766" s="112"/>
      <c r="G766" s="3"/>
    </row>
    <row r="767">
      <c r="C767" s="12"/>
      <c r="D767" s="45"/>
      <c r="E767" s="112"/>
      <c r="G767" s="3"/>
    </row>
    <row r="768">
      <c r="C768" s="12"/>
      <c r="D768" s="45"/>
      <c r="E768" s="112"/>
      <c r="G768" s="3"/>
    </row>
    <row r="769">
      <c r="C769" s="12"/>
      <c r="D769" s="45"/>
      <c r="E769" s="112"/>
      <c r="G769" s="3"/>
    </row>
    <row r="770">
      <c r="C770" s="12"/>
      <c r="D770" s="45"/>
      <c r="E770" s="112"/>
      <c r="G770" s="3"/>
    </row>
    <row r="771">
      <c r="C771" s="12"/>
      <c r="D771" s="45"/>
      <c r="E771" s="112"/>
      <c r="G771" s="3"/>
    </row>
    <row r="772">
      <c r="C772" s="12"/>
      <c r="D772" s="45"/>
      <c r="E772" s="112"/>
      <c r="G772" s="3"/>
    </row>
    <row r="773">
      <c r="C773" s="12"/>
      <c r="D773" s="45"/>
      <c r="E773" s="112"/>
      <c r="G773" s="3"/>
    </row>
    <row r="774">
      <c r="C774" s="12"/>
      <c r="D774" s="45"/>
      <c r="E774" s="112"/>
      <c r="G774" s="3"/>
    </row>
    <row r="775">
      <c r="C775" s="12"/>
      <c r="D775" s="45"/>
      <c r="E775" s="112"/>
      <c r="G775" s="3"/>
    </row>
    <row r="776">
      <c r="C776" s="12"/>
      <c r="D776" s="45"/>
      <c r="E776" s="112"/>
      <c r="G776" s="3"/>
    </row>
    <row r="777">
      <c r="C777" s="12"/>
      <c r="D777" s="45"/>
      <c r="E777" s="112"/>
      <c r="G777" s="3"/>
    </row>
    <row r="778">
      <c r="C778" s="12"/>
      <c r="D778" s="45"/>
      <c r="E778" s="112"/>
      <c r="G778" s="3"/>
    </row>
    <row r="779">
      <c r="C779" s="12"/>
      <c r="D779" s="45"/>
      <c r="E779" s="112"/>
      <c r="G779" s="3"/>
    </row>
    <row r="780">
      <c r="C780" s="12"/>
      <c r="D780" s="45"/>
      <c r="E780" s="112"/>
      <c r="G780" s="3"/>
    </row>
    <row r="781">
      <c r="C781" s="12"/>
      <c r="D781" s="45"/>
      <c r="E781" s="112"/>
      <c r="G781" s="3"/>
    </row>
    <row r="782">
      <c r="C782" s="12"/>
      <c r="D782" s="45"/>
      <c r="E782" s="112"/>
      <c r="G782" s="3"/>
    </row>
    <row r="783">
      <c r="C783" s="12"/>
      <c r="D783" s="45"/>
      <c r="E783" s="112"/>
      <c r="G783" s="3"/>
    </row>
    <row r="784">
      <c r="C784" s="12"/>
      <c r="D784" s="45"/>
      <c r="E784" s="112"/>
      <c r="G784" s="3"/>
    </row>
    <row r="785">
      <c r="C785" s="12"/>
      <c r="D785" s="45"/>
      <c r="E785" s="112"/>
      <c r="G785" s="3"/>
    </row>
    <row r="786">
      <c r="C786" s="12"/>
      <c r="D786" s="45"/>
      <c r="E786" s="112"/>
      <c r="G786" s="3"/>
    </row>
    <row r="787">
      <c r="C787" s="12"/>
      <c r="D787" s="45"/>
      <c r="E787" s="112"/>
      <c r="G787" s="3"/>
    </row>
    <row r="788">
      <c r="C788" s="12"/>
      <c r="D788" s="45"/>
      <c r="E788" s="112"/>
      <c r="G788" s="3"/>
    </row>
    <row r="789">
      <c r="C789" s="12"/>
      <c r="D789" s="45"/>
      <c r="E789" s="112"/>
      <c r="G789" s="3"/>
    </row>
    <row r="790">
      <c r="C790" s="12"/>
      <c r="D790" s="45"/>
      <c r="E790" s="112"/>
      <c r="G790" s="3"/>
    </row>
    <row r="791">
      <c r="C791" s="12"/>
      <c r="D791" s="45"/>
      <c r="E791" s="112"/>
      <c r="G791" s="3"/>
    </row>
    <row r="792">
      <c r="C792" s="12"/>
      <c r="D792" s="45"/>
      <c r="E792" s="112"/>
      <c r="G792" s="3"/>
    </row>
    <row r="793">
      <c r="C793" s="12"/>
      <c r="D793" s="45"/>
      <c r="E793" s="112"/>
      <c r="G793" s="3"/>
    </row>
    <row r="794">
      <c r="C794" s="12"/>
      <c r="D794" s="45"/>
      <c r="E794" s="112"/>
      <c r="G794" s="3"/>
    </row>
    <row r="795">
      <c r="C795" s="12"/>
      <c r="D795" s="45"/>
      <c r="E795" s="112"/>
      <c r="G795" s="3"/>
    </row>
    <row r="796">
      <c r="C796" s="12"/>
      <c r="D796" s="45"/>
      <c r="E796" s="112"/>
      <c r="G796" s="3"/>
    </row>
    <row r="797">
      <c r="C797" s="12"/>
      <c r="D797" s="45"/>
      <c r="E797" s="112"/>
      <c r="G797" s="3"/>
    </row>
    <row r="798">
      <c r="C798" s="12"/>
      <c r="D798" s="45"/>
      <c r="E798" s="112"/>
      <c r="G798" s="3"/>
    </row>
    <row r="799">
      <c r="C799" s="12"/>
      <c r="D799" s="45"/>
      <c r="E799" s="112"/>
      <c r="G799" s="3"/>
    </row>
    <row r="800">
      <c r="C800" s="12"/>
      <c r="D800" s="45"/>
      <c r="E800" s="112"/>
      <c r="G800" s="3"/>
    </row>
    <row r="801">
      <c r="C801" s="12"/>
      <c r="D801" s="45"/>
      <c r="E801" s="112"/>
      <c r="G801" s="3"/>
    </row>
    <row r="802">
      <c r="C802" s="12"/>
      <c r="D802" s="45"/>
      <c r="E802" s="112"/>
      <c r="G802" s="3"/>
    </row>
    <row r="803">
      <c r="C803" s="12"/>
      <c r="D803" s="45"/>
      <c r="E803" s="112"/>
      <c r="G803" s="3"/>
    </row>
    <row r="804">
      <c r="C804" s="12"/>
      <c r="D804" s="45"/>
      <c r="E804" s="112"/>
      <c r="G804" s="3"/>
    </row>
    <row r="805">
      <c r="C805" s="12"/>
      <c r="D805" s="45"/>
      <c r="E805" s="112"/>
      <c r="G805" s="3"/>
    </row>
    <row r="806">
      <c r="C806" s="12"/>
      <c r="D806" s="45"/>
      <c r="E806" s="112"/>
      <c r="G806" s="3"/>
    </row>
    <row r="807">
      <c r="C807" s="12"/>
      <c r="D807" s="45"/>
      <c r="E807" s="112"/>
      <c r="G807" s="3"/>
    </row>
    <row r="808">
      <c r="C808" s="12"/>
      <c r="D808" s="45"/>
      <c r="E808" s="112"/>
      <c r="G808" s="3"/>
    </row>
    <row r="809">
      <c r="C809" s="12"/>
      <c r="D809" s="45"/>
      <c r="E809" s="112"/>
      <c r="G809" s="3"/>
    </row>
    <row r="810">
      <c r="C810" s="12"/>
      <c r="D810" s="45"/>
      <c r="E810" s="112"/>
      <c r="G810" s="3"/>
    </row>
    <row r="811">
      <c r="C811" s="12"/>
      <c r="D811" s="45"/>
      <c r="E811" s="112"/>
      <c r="G811" s="3"/>
    </row>
    <row r="812">
      <c r="C812" s="12"/>
      <c r="D812" s="45"/>
      <c r="E812" s="112"/>
      <c r="G812" s="3"/>
    </row>
    <row r="813">
      <c r="C813" s="12"/>
      <c r="D813" s="45"/>
      <c r="E813" s="112"/>
      <c r="G813" s="3"/>
    </row>
    <row r="814">
      <c r="C814" s="12"/>
      <c r="D814" s="45"/>
      <c r="E814" s="112"/>
      <c r="G814" s="3"/>
    </row>
    <row r="815">
      <c r="C815" s="12"/>
      <c r="D815" s="45"/>
      <c r="E815" s="112"/>
      <c r="G815" s="3"/>
    </row>
    <row r="816">
      <c r="C816" s="12"/>
      <c r="D816" s="45"/>
      <c r="E816" s="112"/>
      <c r="G816" s="3"/>
    </row>
    <row r="817">
      <c r="C817" s="12"/>
      <c r="D817" s="45"/>
      <c r="E817" s="112"/>
      <c r="G817" s="3"/>
    </row>
    <row r="818">
      <c r="C818" s="12"/>
      <c r="D818" s="45"/>
      <c r="E818" s="112"/>
      <c r="G818" s="3"/>
    </row>
    <row r="819">
      <c r="C819" s="12"/>
      <c r="D819" s="45"/>
      <c r="E819" s="112"/>
      <c r="G819" s="3"/>
    </row>
    <row r="820">
      <c r="C820" s="12"/>
      <c r="D820" s="45"/>
      <c r="E820" s="112"/>
      <c r="G820" s="3"/>
    </row>
    <row r="821">
      <c r="C821" s="12"/>
      <c r="D821" s="45"/>
      <c r="E821" s="112"/>
      <c r="G821" s="3"/>
    </row>
    <row r="822">
      <c r="C822" s="12"/>
      <c r="D822" s="45"/>
      <c r="E822" s="112"/>
      <c r="G822" s="3"/>
    </row>
    <row r="823">
      <c r="C823" s="12"/>
      <c r="D823" s="45"/>
      <c r="E823" s="112"/>
      <c r="G823" s="3"/>
    </row>
    <row r="824">
      <c r="C824" s="12"/>
      <c r="D824" s="45"/>
      <c r="E824" s="112"/>
      <c r="G824" s="3"/>
    </row>
    <row r="825">
      <c r="C825" s="12"/>
      <c r="D825" s="45"/>
      <c r="E825" s="112"/>
      <c r="G825" s="3"/>
    </row>
    <row r="826">
      <c r="C826" s="12"/>
      <c r="D826" s="45"/>
      <c r="E826" s="112"/>
      <c r="G826" s="3"/>
    </row>
    <row r="827">
      <c r="C827" s="12"/>
      <c r="D827" s="45"/>
      <c r="E827" s="112"/>
      <c r="G827" s="3"/>
    </row>
    <row r="828">
      <c r="C828" s="12"/>
      <c r="D828" s="45"/>
      <c r="E828" s="112"/>
      <c r="G828" s="3"/>
    </row>
    <row r="829">
      <c r="C829" s="12"/>
      <c r="D829" s="45"/>
      <c r="E829" s="112"/>
      <c r="G829" s="3"/>
    </row>
    <row r="830">
      <c r="C830" s="12"/>
      <c r="D830" s="45"/>
      <c r="E830" s="112"/>
      <c r="G830" s="3"/>
    </row>
    <row r="831">
      <c r="C831" s="12"/>
      <c r="D831" s="45"/>
      <c r="E831" s="112"/>
      <c r="G831" s="3"/>
    </row>
    <row r="832">
      <c r="C832" s="12"/>
      <c r="D832" s="45"/>
      <c r="E832" s="112"/>
      <c r="G832" s="3"/>
    </row>
    <row r="833">
      <c r="C833" s="12"/>
      <c r="D833" s="45"/>
      <c r="E833" s="112"/>
      <c r="G833" s="3"/>
    </row>
    <row r="834">
      <c r="C834" s="12"/>
      <c r="D834" s="45"/>
      <c r="E834" s="112"/>
      <c r="G834" s="3"/>
    </row>
    <row r="835">
      <c r="C835" s="12"/>
      <c r="D835" s="45"/>
      <c r="E835" s="112"/>
      <c r="G835" s="3"/>
    </row>
    <row r="836">
      <c r="C836" s="12"/>
      <c r="D836" s="45"/>
      <c r="E836" s="112"/>
      <c r="G836" s="3"/>
    </row>
    <row r="837">
      <c r="C837" s="12"/>
      <c r="D837" s="45"/>
      <c r="E837" s="112"/>
      <c r="G837" s="3"/>
    </row>
    <row r="838">
      <c r="C838" s="12"/>
      <c r="D838" s="45"/>
      <c r="E838" s="112"/>
      <c r="G838" s="3"/>
    </row>
    <row r="839">
      <c r="C839" s="12"/>
      <c r="D839" s="45"/>
      <c r="E839" s="112"/>
      <c r="G839" s="3"/>
    </row>
    <row r="840">
      <c r="C840" s="12"/>
      <c r="D840" s="45"/>
      <c r="E840" s="112"/>
      <c r="G840" s="3"/>
    </row>
    <row r="841">
      <c r="C841" s="12"/>
      <c r="D841" s="45"/>
      <c r="E841" s="112"/>
      <c r="G841" s="3"/>
    </row>
    <row r="842">
      <c r="C842" s="12"/>
      <c r="D842" s="45"/>
      <c r="E842" s="112"/>
      <c r="G842" s="3"/>
    </row>
    <row r="843">
      <c r="C843" s="12"/>
      <c r="D843" s="45"/>
      <c r="E843" s="112"/>
      <c r="G843" s="3"/>
    </row>
    <row r="844">
      <c r="C844" s="12"/>
      <c r="D844" s="45"/>
      <c r="E844" s="112"/>
      <c r="G844" s="3"/>
    </row>
    <row r="845">
      <c r="C845" s="12"/>
      <c r="D845" s="45"/>
      <c r="E845" s="112"/>
      <c r="G845" s="3"/>
    </row>
    <row r="846">
      <c r="C846" s="12"/>
      <c r="D846" s="45"/>
      <c r="E846" s="112"/>
      <c r="G846" s="3"/>
    </row>
    <row r="847">
      <c r="C847" s="12"/>
      <c r="D847" s="45"/>
      <c r="E847" s="112"/>
      <c r="G847" s="3"/>
    </row>
    <row r="848">
      <c r="C848" s="12"/>
      <c r="D848" s="45"/>
      <c r="E848" s="112"/>
      <c r="G848" s="3"/>
    </row>
    <row r="849">
      <c r="C849" s="12"/>
      <c r="D849" s="45"/>
      <c r="E849" s="112"/>
      <c r="G849" s="3"/>
    </row>
    <row r="850">
      <c r="C850" s="12"/>
      <c r="D850" s="45"/>
      <c r="E850" s="112"/>
      <c r="G850" s="3"/>
    </row>
    <row r="851">
      <c r="C851" s="12"/>
      <c r="D851" s="45"/>
      <c r="E851" s="112"/>
      <c r="G851" s="3"/>
    </row>
    <row r="852">
      <c r="C852" s="12"/>
      <c r="D852" s="45"/>
      <c r="E852" s="112"/>
      <c r="G852" s="3"/>
    </row>
    <row r="853">
      <c r="C853" s="12"/>
      <c r="D853" s="45"/>
      <c r="E853" s="112"/>
      <c r="G853" s="3"/>
    </row>
    <row r="854">
      <c r="C854" s="12"/>
      <c r="D854" s="45"/>
      <c r="E854" s="112"/>
      <c r="G854" s="3"/>
    </row>
    <row r="855">
      <c r="C855" s="12"/>
      <c r="D855" s="45"/>
      <c r="E855" s="112"/>
      <c r="G855" s="3"/>
    </row>
    <row r="856">
      <c r="C856" s="12"/>
      <c r="D856" s="45"/>
      <c r="E856" s="112"/>
      <c r="G856" s="3"/>
    </row>
    <row r="857">
      <c r="C857" s="12"/>
      <c r="D857" s="45"/>
      <c r="E857" s="112"/>
      <c r="G857" s="3"/>
    </row>
    <row r="858">
      <c r="C858" s="12"/>
      <c r="D858" s="45"/>
      <c r="E858" s="112"/>
      <c r="G858" s="3"/>
    </row>
    <row r="859">
      <c r="C859" s="12"/>
      <c r="D859" s="45"/>
      <c r="E859" s="112"/>
      <c r="G859" s="3"/>
    </row>
    <row r="860">
      <c r="C860" s="12"/>
      <c r="D860" s="45"/>
      <c r="E860" s="112"/>
      <c r="G860" s="3"/>
    </row>
    <row r="861">
      <c r="C861" s="12"/>
      <c r="D861" s="45"/>
      <c r="E861" s="112"/>
      <c r="G861" s="3"/>
    </row>
    <row r="862">
      <c r="C862" s="12"/>
      <c r="D862" s="45"/>
      <c r="E862" s="112"/>
      <c r="G862" s="3"/>
    </row>
    <row r="863">
      <c r="C863" s="12"/>
      <c r="D863" s="45"/>
      <c r="E863" s="112"/>
      <c r="G863" s="3"/>
    </row>
    <row r="864">
      <c r="C864" s="12"/>
      <c r="D864" s="45"/>
      <c r="E864" s="112"/>
      <c r="G864" s="3"/>
    </row>
    <row r="865">
      <c r="C865" s="12"/>
      <c r="D865" s="45"/>
      <c r="E865" s="112"/>
      <c r="G865" s="3"/>
    </row>
    <row r="866">
      <c r="C866" s="12"/>
      <c r="D866" s="45"/>
      <c r="E866" s="112"/>
      <c r="G866" s="3"/>
    </row>
    <row r="867">
      <c r="C867" s="12"/>
      <c r="D867" s="45"/>
      <c r="E867" s="112"/>
      <c r="G867" s="3"/>
    </row>
    <row r="868">
      <c r="C868" s="12"/>
      <c r="D868" s="45"/>
      <c r="E868" s="112"/>
      <c r="G868" s="3"/>
    </row>
    <row r="869">
      <c r="C869" s="12"/>
      <c r="D869" s="45"/>
      <c r="E869" s="112"/>
      <c r="G869" s="3"/>
    </row>
    <row r="870">
      <c r="C870" s="12"/>
      <c r="D870" s="45"/>
      <c r="E870" s="112"/>
      <c r="G870" s="3"/>
    </row>
    <row r="871">
      <c r="C871" s="12"/>
      <c r="D871" s="45"/>
      <c r="E871" s="112"/>
      <c r="G871" s="3"/>
    </row>
    <row r="872">
      <c r="C872" s="12"/>
      <c r="D872" s="45"/>
      <c r="E872" s="112"/>
      <c r="G872" s="3"/>
    </row>
    <row r="873">
      <c r="C873" s="12"/>
      <c r="D873" s="45"/>
      <c r="E873" s="112"/>
      <c r="G873" s="3"/>
    </row>
    <row r="874">
      <c r="C874" s="12"/>
      <c r="D874" s="45"/>
      <c r="E874" s="112"/>
      <c r="G874" s="3"/>
    </row>
    <row r="875">
      <c r="C875" s="12"/>
      <c r="D875" s="45"/>
      <c r="E875" s="112"/>
      <c r="G875" s="3"/>
    </row>
    <row r="876">
      <c r="C876" s="12"/>
      <c r="D876" s="45"/>
      <c r="E876" s="112"/>
      <c r="G876" s="3"/>
    </row>
    <row r="877">
      <c r="C877" s="12"/>
      <c r="D877" s="45"/>
      <c r="E877" s="112"/>
      <c r="G877" s="3"/>
    </row>
    <row r="878">
      <c r="C878" s="12"/>
      <c r="D878" s="45"/>
      <c r="E878" s="112"/>
      <c r="G878" s="3"/>
    </row>
    <row r="879">
      <c r="C879" s="12"/>
      <c r="D879" s="45"/>
      <c r="E879" s="112"/>
      <c r="G879" s="3"/>
    </row>
    <row r="880">
      <c r="C880" s="12"/>
      <c r="D880" s="45"/>
      <c r="E880" s="112"/>
      <c r="G880" s="3"/>
    </row>
    <row r="881">
      <c r="C881" s="12"/>
      <c r="D881" s="45"/>
      <c r="E881" s="112"/>
      <c r="G881" s="3"/>
    </row>
    <row r="882">
      <c r="C882" s="12"/>
      <c r="D882" s="45"/>
      <c r="E882" s="112"/>
      <c r="G882" s="3"/>
    </row>
    <row r="883">
      <c r="C883" s="12"/>
      <c r="D883" s="45"/>
      <c r="E883" s="112"/>
      <c r="G883" s="3"/>
    </row>
    <row r="884">
      <c r="C884" s="12"/>
      <c r="D884" s="45"/>
      <c r="E884" s="112"/>
      <c r="G884" s="3"/>
    </row>
    <row r="885">
      <c r="C885" s="12"/>
      <c r="D885" s="45"/>
      <c r="E885" s="112"/>
      <c r="G885" s="3"/>
    </row>
    <row r="886">
      <c r="C886" s="12"/>
      <c r="D886" s="45"/>
      <c r="E886" s="112"/>
      <c r="G886" s="3"/>
    </row>
    <row r="887">
      <c r="C887" s="12"/>
      <c r="D887" s="45"/>
      <c r="E887" s="112"/>
      <c r="G887" s="3"/>
    </row>
    <row r="888">
      <c r="C888" s="12"/>
      <c r="D888" s="45"/>
      <c r="E888" s="112"/>
      <c r="G888" s="3"/>
    </row>
    <row r="889">
      <c r="C889" s="12"/>
      <c r="D889" s="45"/>
      <c r="E889" s="112"/>
      <c r="G889" s="3"/>
    </row>
    <row r="890">
      <c r="C890" s="12"/>
      <c r="D890" s="45"/>
      <c r="E890" s="112"/>
      <c r="G890" s="3"/>
    </row>
    <row r="891">
      <c r="C891" s="12"/>
      <c r="D891" s="45"/>
      <c r="E891" s="112"/>
      <c r="G891" s="3"/>
    </row>
    <row r="892">
      <c r="C892" s="12"/>
      <c r="D892" s="45"/>
      <c r="E892" s="112"/>
      <c r="G892" s="3"/>
    </row>
    <row r="893">
      <c r="C893" s="12"/>
      <c r="D893" s="45"/>
      <c r="E893" s="112"/>
      <c r="G893" s="3"/>
    </row>
    <row r="894">
      <c r="C894" s="12"/>
      <c r="D894" s="45"/>
      <c r="E894" s="112"/>
      <c r="G894" s="3"/>
    </row>
    <row r="895">
      <c r="C895" s="12"/>
      <c r="D895" s="45"/>
      <c r="E895" s="112"/>
      <c r="G895" s="3"/>
    </row>
    <row r="896">
      <c r="C896" s="12"/>
      <c r="D896" s="45"/>
      <c r="E896" s="112"/>
      <c r="G896" s="3"/>
    </row>
    <row r="897">
      <c r="C897" s="12"/>
      <c r="D897" s="45"/>
      <c r="E897" s="112"/>
      <c r="G897" s="3"/>
    </row>
    <row r="898">
      <c r="C898" s="12"/>
      <c r="D898" s="45"/>
      <c r="E898" s="112"/>
      <c r="G898" s="3"/>
    </row>
    <row r="899">
      <c r="C899" s="12"/>
      <c r="D899" s="45"/>
      <c r="E899" s="112"/>
      <c r="G899" s="3"/>
    </row>
    <row r="900">
      <c r="C900" s="12"/>
      <c r="D900" s="45"/>
      <c r="E900" s="112"/>
      <c r="G900" s="3"/>
    </row>
    <row r="901">
      <c r="C901" s="12"/>
      <c r="D901" s="45"/>
      <c r="E901" s="112"/>
      <c r="G901" s="3"/>
    </row>
    <row r="902">
      <c r="C902" s="12"/>
      <c r="D902" s="45"/>
      <c r="E902" s="112"/>
      <c r="G902" s="3"/>
    </row>
    <row r="903">
      <c r="C903" s="12"/>
      <c r="D903" s="45"/>
      <c r="E903" s="112"/>
      <c r="G903" s="3"/>
    </row>
    <row r="904">
      <c r="C904" s="12"/>
      <c r="D904" s="45"/>
      <c r="E904" s="112"/>
      <c r="G904" s="3"/>
    </row>
    <row r="905">
      <c r="C905" s="12"/>
      <c r="D905" s="45"/>
      <c r="E905" s="112"/>
      <c r="G905" s="3"/>
    </row>
    <row r="906">
      <c r="C906" s="12"/>
      <c r="D906" s="45"/>
      <c r="E906" s="112"/>
      <c r="G906" s="3"/>
    </row>
    <row r="907">
      <c r="C907" s="12"/>
      <c r="D907" s="45"/>
      <c r="E907" s="112"/>
      <c r="G907" s="3"/>
    </row>
    <row r="908">
      <c r="C908" s="12"/>
      <c r="D908" s="45"/>
      <c r="E908" s="112"/>
      <c r="G908" s="3"/>
    </row>
    <row r="909">
      <c r="C909" s="12"/>
      <c r="D909" s="45"/>
      <c r="E909" s="112"/>
      <c r="G909" s="3"/>
    </row>
    <row r="910">
      <c r="C910" s="12"/>
      <c r="D910" s="45"/>
      <c r="E910" s="112"/>
      <c r="G910" s="3"/>
    </row>
    <row r="911">
      <c r="C911" s="12"/>
      <c r="D911" s="45"/>
      <c r="E911" s="112"/>
      <c r="G911" s="3"/>
    </row>
    <row r="912">
      <c r="C912" s="12"/>
      <c r="D912" s="45"/>
      <c r="E912" s="112"/>
      <c r="G912" s="3"/>
    </row>
    <row r="913">
      <c r="C913" s="12"/>
      <c r="D913" s="45"/>
      <c r="E913" s="112"/>
      <c r="G913" s="3"/>
    </row>
    <row r="914">
      <c r="C914" s="12"/>
      <c r="D914" s="45"/>
      <c r="E914" s="112"/>
      <c r="G914" s="3"/>
    </row>
    <row r="915">
      <c r="C915" s="12"/>
      <c r="D915" s="45"/>
      <c r="E915" s="112"/>
      <c r="G915" s="3"/>
    </row>
    <row r="916">
      <c r="C916" s="12"/>
      <c r="D916" s="45"/>
      <c r="E916" s="112"/>
      <c r="G916" s="3"/>
    </row>
    <row r="917">
      <c r="C917" s="12"/>
      <c r="D917" s="45"/>
      <c r="E917" s="112"/>
      <c r="G917" s="3"/>
    </row>
    <row r="918">
      <c r="C918" s="12"/>
      <c r="D918" s="45"/>
      <c r="E918" s="112"/>
      <c r="G918" s="3"/>
    </row>
    <row r="919">
      <c r="C919" s="12"/>
      <c r="D919" s="45"/>
      <c r="E919" s="112"/>
      <c r="G919" s="3"/>
    </row>
    <row r="920">
      <c r="C920" s="12"/>
      <c r="D920" s="45"/>
      <c r="E920" s="112"/>
      <c r="G920" s="3"/>
    </row>
    <row r="921">
      <c r="C921" s="12"/>
      <c r="D921" s="45"/>
      <c r="E921" s="112"/>
      <c r="G921" s="3"/>
    </row>
    <row r="922">
      <c r="C922" s="12"/>
      <c r="D922" s="45"/>
      <c r="E922" s="112"/>
      <c r="G922" s="3"/>
    </row>
    <row r="923">
      <c r="C923" s="12"/>
      <c r="D923" s="45"/>
      <c r="E923" s="112"/>
      <c r="G923" s="3"/>
    </row>
    <row r="924">
      <c r="C924" s="12"/>
      <c r="D924" s="45"/>
      <c r="E924" s="112"/>
      <c r="G924" s="3"/>
    </row>
    <row r="925">
      <c r="C925" s="12"/>
      <c r="D925" s="45"/>
      <c r="E925" s="112"/>
      <c r="G925" s="3"/>
    </row>
    <row r="926">
      <c r="C926" s="12"/>
      <c r="D926" s="45"/>
      <c r="E926" s="112"/>
      <c r="G926" s="3"/>
    </row>
    <row r="927">
      <c r="C927" s="12"/>
      <c r="D927" s="45"/>
      <c r="E927" s="112"/>
      <c r="G927" s="3"/>
    </row>
    <row r="928">
      <c r="C928" s="12"/>
      <c r="D928" s="45"/>
      <c r="E928" s="112"/>
      <c r="G928" s="3"/>
    </row>
    <row r="929">
      <c r="C929" s="12"/>
      <c r="D929" s="45"/>
      <c r="E929" s="112"/>
      <c r="G929" s="3"/>
    </row>
    <row r="930">
      <c r="C930" s="12"/>
      <c r="D930" s="45"/>
      <c r="E930" s="112"/>
      <c r="G930" s="3"/>
    </row>
    <row r="931">
      <c r="C931" s="12"/>
      <c r="D931" s="45"/>
      <c r="E931" s="112"/>
      <c r="G931" s="3"/>
    </row>
    <row r="932">
      <c r="C932" s="12"/>
      <c r="D932" s="45"/>
      <c r="E932" s="112"/>
      <c r="G932" s="3"/>
    </row>
    <row r="933">
      <c r="C933" s="12"/>
      <c r="D933" s="45"/>
      <c r="E933" s="112"/>
      <c r="G933" s="3"/>
    </row>
    <row r="934">
      <c r="C934" s="12"/>
      <c r="D934" s="45"/>
      <c r="E934" s="112"/>
      <c r="G934" s="3"/>
    </row>
    <row r="935">
      <c r="C935" s="12"/>
      <c r="D935" s="45"/>
      <c r="E935" s="112"/>
      <c r="G935" s="3"/>
    </row>
    <row r="936">
      <c r="C936" s="12"/>
      <c r="D936" s="45"/>
      <c r="E936" s="112"/>
      <c r="G936" s="3"/>
    </row>
    <row r="937">
      <c r="C937" s="12"/>
      <c r="D937" s="45"/>
      <c r="E937" s="112"/>
      <c r="G937" s="3"/>
    </row>
    <row r="938">
      <c r="C938" s="12"/>
      <c r="D938" s="45"/>
      <c r="E938" s="112"/>
      <c r="G938" s="3"/>
    </row>
    <row r="939">
      <c r="C939" s="12"/>
      <c r="D939" s="45"/>
      <c r="E939" s="112"/>
      <c r="G939" s="3"/>
    </row>
    <row r="940">
      <c r="C940" s="12"/>
      <c r="D940" s="45"/>
      <c r="E940" s="112"/>
      <c r="G940" s="3"/>
    </row>
    <row r="941">
      <c r="C941" s="12"/>
      <c r="D941" s="45"/>
      <c r="E941" s="112"/>
      <c r="G941" s="3"/>
    </row>
    <row r="942">
      <c r="C942" s="12"/>
      <c r="D942" s="45"/>
      <c r="E942" s="112"/>
      <c r="G942" s="3"/>
    </row>
    <row r="943">
      <c r="C943" s="12"/>
      <c r="D943" s="45"/>
      <c r="E943" s="112"/>
      <c r="G943" s="3"/>
    </row>
    <row r="944">
      <c r="C944" s="12"/>
      <c r="D944" s="45"/>
      <c r="E944" s="112"/>
      <c r="G944" s="3"/>
    </row>
    <row r="945">
      <c r="C945" s="12"/>
      <c r="D945" s="45"/>
      <c r="E945" s="112"/>
      <c r="G945" s="3"/>
    </row>
    <row r="946">
      <c r="C946" s="12"/>
      <c r="D946" s="45"/>
      <c r="E946" s="112"/>
      <c r="G946" s="3"/>
    </row>
    <row r="947">
      <c r="C947" s="12"/>
      <c r="D947" s="45"/>
      <c r="E947" s="112"/>
      <c r="G947" s="3"/>
    </row>
    <row r="948">
      <c r="C948" s="12"/>
      <c r="D948" s="45"/>
      <c r="E948" s="112"/>
      <c r="G948" s="3"/>
    </row>
    <row r="949">
      <c r="C949" s="12"/>
      <c r="D949" s="45"/>
      <c r="E949" s="112"/>
      <c r="G949" s="3"/>
    </row>
    <row r="950">
      <c r="C950" s="12"/>
      <c r="D950" s="45"/>
      <c r="E950" s="112"/>
      <c r="G950" s="3"/>
    </row>
    <row r="951">
      <c r="C951" s="12"/>
      <c r="D951" s="45"/>
      <c r="E951" s="112"/>
      <c r="G951" s="3"/>
    </row>
    <row r="952">
      <c r="C952" s="12"/>
      <c r="D952" s="45"/>
      <c r="E952" s="112"/>
      <c r="G952" s="3"/>
    </row>
    <row r="953">
      <c r="C953" s="12"/>
      <c r="D953" s="45"/>
      <c r="E953" s="112"/>
      <c r="G953" s="3"/>
    </row>
    <row r="954">
      <c r="C954" s="12"/>
      <c r="D954" s="45"/>
      <c r="E954" s="112"/>
      <c r="G954" s="3"/>
    </row>
    <row r="955">
      <c r="C955" s="12"/>
      <c r="D955" s="45"/>
      <c r="E955" s="112"/>
      <c r="G955" s="3"/>
    </row>
    <row r="956">
      <c r="C956" s="12"/>
      <c r="D956" s="45"/>
      <c r="E956" s="112"/>
      <c r="G956" s="3"/>
    </row>
    <row r="957">
      <c r="C957" s="12"/>
      <c r="D957" s="45"/>
      <c r="E957" s="112"/>
      <c r="G957" s="3"/>
    </row>
    <row r="958">
      <c r="C958" s="12"/>
      <c r="D958" s="45"/>
      <c r="E958" s="112"/>
      <c r="G958" s="3"/>
    </row>
    <row r="959">
      <c r="C959" s="12"/>
      <c r="D959" s="45"/>
      <c r="E959" s="112"/>
      <c r="G959" s="3"/>
    </row>
    <row r="960">
      <c r="C960" s="12"/>
      <c r="D960" s="45"/>
      <c r="E960" s="112"/>
      <c r="G960" s="3"/>
    </row>
    <row r="961">
      <c r="C961" s="12"/>
      <c r="D961" s="45"/>
      <c r="E961" s="112"/>
      <c r="G961" s="3"/>
    </row>
    <row r="962">
      <c r="C962" s="12"/>
      <c r="D962" s="45"/>
      <c r="E962" s="112"/>
      <c r="G962" s="3"/>
    </row>
    <row r="963">
      <c r="C963" s="12"/>
      <c r="D963" s="45"/>
      <c r="E963" s="112"/>
      <c r="G963" s="3"/>
    </row>
    <row r="964">
      <c r="C964" s="12"/>
      <c r="D964" s="45"/>
      <c r="E964" s="112"/>
      <c r="G964" s="3"/>
    </row>
    <row r="965">
      <c r="C965" s="12"/>
      <c r="D965" s="45"/>
      <c r="E965" s="112"/>
      <c r="G965" s="3"/>
    </row>
    <row r="966">
      <c r="C966" s="12"/>
      <c r="D966" s="45"/>
      <c r="E966" s="112"/>
      <c r="G966" s="3"/>
    </row>
    <row r="967">
      <c r="C967" s="12"/>
      <c r="D967" s="45"/>
      <c r="E967" s="112"/>
      <c r="G967" s="3"/>
    </row>
    <row r="968">
      <c r="C968" s="12"/>
      <c r="D968" s="45"/>
      <c r="E968" s="112"/>
      <c r="G968" s="3"/>
    </row>
    <row r="969">
      <c r="C969" s="12"/>
      <c r="D969" s="45"/>
      <c r="E969" s="112"/>
      <c r="G969" s="3"/>
    </row>
    <row r="970">
      <c r="C970" s="12"/>
      <c r="D970" s="45"/>
      <c r="E970" s="112"/>
      <c r="G970" s="3"/>
    </row>
    <row r="971">
      <c r="C971" s="12"/>
      <c r="D971" s="45"/>
      <c r="E971" s="112"/>
      <c r="G971" s="3"/>
    </row>
    <row r="972">
      <c r="C972" s="12"/>
      <c r="D972" s="45"/>
      <c r="E972" s="112"/>
      <c r="G972" s="3"/>
    </row>
    <row r="973">
      <c r="C973" s="12"/>
      <c r="D973" s="45"/>
      <c r="E973" s="112"/>
      <c r="G973" s="3"/>
    </row>
    <row r="974">
      <c r="C974" s="12"/>
      <c r="D974" s="45"/>
      <c r="E974" s="112"/>
      <c r="G974" s="3"/>
    </row>
    <row r="975">
      <c r="C975" s="12"/>
      <c r="D975" s="45"/>
      <c r="E975" s="112"/>
      <c r="G975" s="3"/>
    </row>
    <row r="976">
      <c r="C976" s="12"/>
      <c r="D976" s="45"/>
      <c r="E976" s="112"/>
      <c r="G976" s="3"/>
    </row>
    <row r="977">
      <c r="C977" s="12"/>
      <c r="D977" s="45"/>
      <c r="E977" s="112"/>
      <c r="G977" s="3"/>
    </row>
    <row r="978">
      <c r="C978" s="12"/>
      <c r="D978" s="45"/>
      <c r="E978" s="112"/>
      <c r="G978" s="3"/>
    </row>
    <row r="979">
      <c r="C979" s="12"/>
      <c r="D979" s="45"/>
      <c r="E979" s="112"/>
      <c r="G979" s="3"/>
    </row>
    <row r="980">
      <c r="C980" s="12"/>
      <c r="D980" s="45"/>
      <c r="E980" s="112"/>
      <c r="G980" s="3"/>
    </row>
    <row r="981">
      <c r="C981" s="12"/>
      <c r="D981" s="45"/>
      <c r="E981" s="112"/>
      <c r="G981" s="3"/>
    </row>
    <row r="982">
      <c r="C982" s="12"/>
      <c r="D982" s="45"/>
      <c r="E982" s="112"/>
      <c r="G982" s="3"/>
    </row>
    <row r="983">
      <c r="C983" s="12"/>
      <c r="D983" s="45"/>
      <c r="E983" s="112"/>
      <c r="G983" s="3"/>
    </row>
    <row r="984">
      <c r="C984" s="12"/>
      <c r="D984" s="45"/>
      <c r="E984" s="112"/>
      <c r="G984" s="3"/>
    </row>
    <row r="985">
      <c r="C985" s="12"/>
      <c r="D985" s="45"/>
      <c r="E985" s="112"/>
      <c r="G985" s="3"/>
    </row>
    <row r="986">
      <c r="C986" s="12"/>
      <c r="D986" s="45"/>
      <c r="E986" s="112"/>
      <c r="G986" s="3"/>
    </row>
    <row r="987">
      <c r="C987" s="12"/>
      <c r="D987" s="45"/>
      <c r="E987" s="112"/>
      <c r="G987" s="3"/>
    </row>
    <row r="988">
      <c r="C988" s="12"/>
      <c r="D988" s="45"/>
      <c r="E988" s="112"/>
      <c r="G988" s="3"/>
    </row>
    <row r="989">
      <c r="C989" s="12"/>
      <c r="D989" s="45"/>
      <c r="E989" s="112"/>
      <c r="G989" s="3"/>
    </row>
    <row r="990">
      <c r="C990" s="12"/>
      <c r="D990" s="45"/>
      <c r="E990" s="112"/>
      <c r="G990" s="3"/>
    </row>
    <row r="991">
      <c r="C991" s="12"/>
      <c r="D991" s="45"/>
      <c r="E991" s="112"/>
      <c r="G991" s="3"/>
    </row>
    <row r="992">
      <c r="C992" s="12"/>
      <c r="D992" s="45"/>
      <c r="E992" s="112"/>
      <c r="G992" s="3"/>
    </row>
    <row r="993">
      <c r="C993" s="12"/>
      <c r="D993" s="45"/>
      <c r="E993" s="112"/>
      <c r="G993" s="3"/>
    </row>
    <row r="994">
      <c r="C994" s="12"/>
      <c r="D994" s="45"/>
      <c r="E994" s="112"/>
      <c r="G994" s="3"/>
    </row>
    <row r="995">
      <c r="C995" s="12"/>
      <c r="D995" s="45"/>
      <c r="E995" s="112"/>
      <c r="G995" s="3"/>
    </row>
    <row r="996">
      <c r="C996" s="12"/>
      <c r="D996" s="45"/>
      <c r="E996" s="112"/>
      <c r="G996" s="3"/>
    </row>
    <row r="997">
      <c r="C997" s="12"/>
      <c r="D997" s="45"/>
      <c r="E997" s="112"/>
      <c r="G997" s="3"/>
    </row>
    <row r="998">
      <c r="C998" s="12"/>
      <c r="D998" s="45"/>
      <c r="E998" s="112"/>
      <c r="G998" s="3"/>
    </row>
    <row r="999">
      <c r="C999" s="12"/>
      <c r="D999" s="45"/>
      <c r="E999" s="112"/>
      <c r="G999" s="3"/>
    </row>
    <row r="1000">
      <c r="C1000" s="12"/>
      <c r="D1000" s="45"/>
      <c r="E1000" s="112"/>
      <c r="G1000" s="3"/>
    </row>
    <row r="1001">
      <c r="C1001" s="12"/>
      <c r="D1001" s="45"/>
      <c r="E1001" s="112"/>
      <c r="G1001" s="3"/>
    </row>
    <row r="1002">
      <c r="C1002" s="12"/>
      <c r="D1002" s="45"/>
      <c r="E1002" s="112"/>
      <c r="G1002" s="3"/>
    </row>
    <row r="1003">
      <c r="C1003" s="12"/>
      <c r="D1003" s="45"/>
      <c r="E1003" s="112"/>
      <c r="G1003" s="3"/>
    </row>
    <row r="1004">
      <c r="C1004" s="12"/>
      <c r="D1004" s="45"/>
      <c r="E1004" s="112"/>
      <c r="G1004" s="3"/>
    </row>
    <row r="1005">
      <c r="C1005" s="12"/>
      <c r="D1005" s="45"/>
      <c r="E1005" s="112"/>
      <c r="G1005" s="3"/>
    </row>
    <row r="1006">
      <c r="C1006" s="12"/>
      <c r="D1006" s="45"/>
      <c r="E1006" s="112"/>
      <c r="G1006" s="3"/>
    </row>
    <row r="1007">
      <c r="C1007" s="12"/>
      <c r="D1007" s="45"/>
      <c r="E1007" s="112"/>
      <c r="G1007" s="3"/>
    </row>
    <row r="1008">
      <c r="C1008" s="12"/>
      <c r="D1008" s="45"/>
      <c r="E1008" s="112"/>
      <c r="G1008" s="3"/>
    </row>
    <row r="1009">
      <c r="C1009" s="12"/>
      <c r="D1009" s="45"/>
      <c r="E1009" s="112"/>
      <c r="G1009" s="3"/>
    </row>
    <row r="1010">
      <c r="C1010" s="12"/>
      <c r="D1010" s="45"/>
      <c r="E1010" s="112"/>
      <c r="G1010" s="3"/>
    </row>
    <row r="1011">
      <c r="C1011" s="12"/>
      <c r="D1011" s="45"/>
      <c r="E1011" s="112"/>
      <c r="G1011" s="3"/>
    </row>
    <row r="1012">
      <c r="C1012" s="12"/>
      <c r="D1012" s="45"/>
      <c r="E1012" s="112"/>
      <c r="G1012" s="3"/>
    </row>
    <row r="1013">
      <c r="C1013" s="12"/>
      <c r="D1013" s="45"/>
      <c r="E1013" s="112"/>
      <c r="G1013" s="3"/>
    </row>
  </sheetData>
  <mergeCells count="28">
    <mergeCell ref="E3:G4"/>
    <mergeCell ref="E5:G5"/>
    <mergeCell ref="E6:G7"/>
    <mergeCell ref="E8:G8"/>
    <mergeCell ref="E9:G10"/>
    <mergeCell ref="A5:B6"/>
    <mergeCell ref="A7:B8"/>
    <mergeCell ref="A9:B10"/>
    <mergeCell ref="A11:B12"/>
    <mergeCell ref="A1:C1"/>
    <mergeCell ref="E1:G1"/>
    <mergeCell ref="I1:L1"/>
    <mergeCell ref="A2:B2"/>
    <mergeCell ref="E2:G2"/>
    <mergeCell ref="A3:B4"/>
    <mergeCell ref="I6:L6"/>
    <mergeCell ref="I7:J8"/>
    <mergeCell ref="I10:J11"/>
    <mergeCell ref="T15:U15"/>
    <mergeCell ref="V15:W15"/>
    <mergeCell ref="I2:L2"/>
    <mergeCell ref="I3:J3"/>
    <mergeCell ref="K3:L3"/>
    <mergeCell ref="I4:J5"/>
    <mergeCell ref="K4:L5"/>
    <mergeCell ref="K7:L8"/>
    <mergeCell ref="I9:L9"/>
    <mergeCell ref="K10:L11"/>
  </mergeCells>
  <dataValidations>
    <dataValidation type="list" allowBlank="1" showErrorMessage="1" sqref="I17:I201">
      <formula1>"Sampai,Sudah Proses Pengiriman,Kendala [FU!],Done Req Sample"</formula1>
    </dataValidation>
    <dataValidation type="list" allowBlank="1" showErrorMessage="1" sqref="H17:H201">
      <formula1>"Lip Vinyl,Cushion,TWC,Cushion &amp; Lip Vinyl,Lip Cream,TWC &amp; Lip Vinyl,Lip Cream, Lip Vinyl &amp; TWC,Cushion &amp; Lip Cream,Cushion &amp; Ombre Lips"</formula1>
    </dataValidation>
    <dataValidation type="list" allowBlank="1" showErrorMessage="1" sqref="A17:A201">
      <formula1>"MEGA,MACRO,MICRO,NANO"</formula1>
    </dataValidation>
    <dataValidation type="list" allowBlank="1" showErrorMessage="1" sqref="J17:J201 L17:L201 N17:N201 P17:P201">
      <formula1>" Concept 1,Concept 2,Concept 3,Concept 4"</formula1>
    </dataValidation>
  </dataValidations>
  <hyperlinks>
    <hyperlink r:id="rId4" ref="C17"/>
    <hyperlink r:id="rId5" ref="K17"/>
    <hyperlink r:id="rId6" ref="C18"/>
    <hyperlink r:id="rId7" ref="C19"/>
    <hyperlink r:id="rId8" ref="K19"/>
    <hyperlink r:id="rId9" ref="M19"/>
    <hyperlink r:id="rId10" ref="O19"/>
    <hyperlink r:id="rId11" ref="C20"/>
    <hyperlink r:id="rId12" ref="K20"/>
    <hyperlink r:id="rId13" ref="C21"/>
    <hyperlink r:id="rId14" ref="K21"/>
    <hyperlink r:id="rId15" ref="C22"/>
    <hyperlink r:id="rId16" ref="K22"/>
    <hyperlink r:id="rId17" ref="M22"/>
    <hyperlink r:id="rId18" ref="C23"/>
    <hyperlink r:id="rId19" ref="K23"/>
    <hyperlink r:id="rId20" ref="C24"/>
    <hyperlink r:id="rId21" ref="K24"/>
    <hyperlink r:id="rId22" ref="C25"/>
    <hyperlink r:id="rId23" ref="K25"/>
    <hyperlink r:id="rId24" ref="C26"/>
    <hyperlink r:id="rId25" ref="K26"/>
    <hyperlink r:id="rId26" ref="M26"/>
    <hyperlink r:id="rId27" ref="O26"/>
    <hyperlink r:id="rId28" ref="C27"/>
    <hyperlink r:id="rId29" ref="K27"/>
    <hyperlink r:id="rId30" ref="M27"/>
    <hyperlink r:id="rId31" ref="O27"/>
    <hyperlink r:id="rId32" ref="Q27"/>
    <hyperlink r:id="rId33" ref="C28"/>
    <hyperlink r:id="rId34" ref="C29"/>
    <hyperlink r:id="rId35" ref="K29"/>
    <hyperlink r:id="rId36" ref="M29"/>
    <hyperlink r:id="rId37" ref="O29"/>
    <hyperlink r:id="rId38" ref="Q29"/>
    <hyperlink r:id="rId39" ref="C30"/>
    <hyperlink r:id="rId40" ref="B31"/>
    <hyperlink r:id="rId41" ref="C31"/>
    <hyperlink r:id="rId42" ref="K31"/>
    <hyperlink r:id="rId43" ref="C32"/>
    <hyperlink r:id="rId44" ref="K32"/>
    <hyperlink r:id="rId45" ref="M32"/>
    <hyperlink r:id="rId46" ref="C33"/>
    <hyperlink r:id="rId47" ref="K33"/>
    <hyperlink r:id="rId48" ref="C34"/>
    <hyperlink r:id="rId49" ref="K34"/>
    <hyperlink r:id="rId50" ref="M34"/>
    <hyperlink r:id="rId51" ref="O34"/>
    <hyperlink r:id="rId52" ref="C35"/>
    <hyperlink r:id="rId53" ref="K35"/>
    <hyperlink r:id="rId54" ref="M35"/>
    <hyperlink r:id="rId55" ref="C36"/>
    <hyperlink r:id="rId56" ref="K36"/>
    <hyperlink r:id="rId57" ref="M36"/>
    <hyperlink r:id="rId58" ref="C37"/>
    <hyperlink r:id="rId59" ref="K37"/>
    <hyperlink r:id="rId60" ref="M37"/>
    <hyperlink r:id="rId61" ref="C38"/>
    <hyperlink r:id="rId62" ref="K38"/>
    <hyperlink r:id="rId63" ref="M38"/>
    <hyperlink r:id="rId64" ref="C39"/>
    <hyperlink r:id="rId65" ref="K39"/>
    <hyperlink r:id="rId66" ref="M39"/>
    <hyperlink r:id="rId67" ref="O39"/>
    <hyperlink r:id="rId68" ref="C40"/>
    <hyperlink r:id="rId69" ref="K40"/>
    <hyperlink r:id="rId70" ref="M40"/>
    <hyperlink r:id="rId71" ref="C41"/>
    <hyperlink r:id="rId72" ref="K41"/>
    <hyperlink r:id="rId73" ref="M41"/>
    <hyperlink r:id="rId74" ref="C42"/>
    <hyperlink r:id="rId75" ref="K42"/>
    <hyperlink r:id="rId76" ref="M42"/>
    <hyperlink r:id="rId77" ref="C43"/>
    <hyperlink r:id="rId78" ref="K43"/>
    <hyperlink r:id="rId79" ref="M43"/>
    <hyperlink r:id="rId80" ref="O43"/>
    <hyperlink r:id="rId81" ref="C44"/>
    <hyperlink r:id="rId82" ref="K44"/>
    <hyperlink r:id="rId83" ref="M44"/>
    <hyperlink r:id="rId84" ref="O44"/>
    <hyperlink r:id="rId85" ref="Q44"/>
    <hyperlink r:id="rId86" ref="R44"/>
    <hyperlink r:id="rId87" ref="S44"/>
    <hyperlink r:id="rId88" ref="C45"/>
    <hyperlink r:id="rId89" ref="K45"/>
    <hyperlink r:id="rId90" ref="C46"/>
    <hyperlink r:id="rId91" ref="K46"/>
    <hyperlink r:id="rId92" ref="M46"/>
    <hyperlink r:id="rId93" ref="O46"/>
    <hyperlink r:id="rId94" ref="C47"/>
    <hyperlink r:id="rId95" ref="K47"/>
    <hyperlink r:id="rId96" ref="M47"/>
    <hyperlink r:id="rId97" ref="C48"/>
    <hyperlink r:id="rId98" ref="K48"/>
    <hyperlink r:id="rId99" ref="M48"/>
    <hyperlink r:id="rId100" ref="C49"/>
    <hyperlink r:id="rId101" ref="K49"/>
    <hyperlink r:id="rId102" ref="M49"/>
    <hyperlink r:id="rId103" ref="C50"/>
    <hyperlink r:id="rId104" ref="K50"/>
    <hyperlink r:id="rId105" ref="C51"/>
    <hyperlink r:id="rId106" ref="K51"/>
    <hyperlink r:id="rId107" ref="C52"/>
    <hyperlink r:id="rId108" ref="K52"/>
    <hyperlink r:id="rId109" ref="C53"/>
    <hyperlink r:id="rId110" ref="K53"/>
    <hyperlink r:id="rId111" ref="M53"/>
    <hyperlink r:id="rId112" ref="C54"/>
    <hyperlink r:id="rId113" ref="K54"/>
    <hyperlink r:id="rId114" ref="M54"/>
    <hyperlink r:id="rId115" ref="C55"/>
    <hyperlink r:id="rId116" ref="K55"/>
    <hyperlink r:id="rId117" ref="M55"/>
    <hyperlink r:id="rId118" ref="O55"/>
    <hyperlink r:id="rId119" ref="C56"/>
    <hyperlink r:id="rId120" ref="K56"/>
    <hyperlink r:id="rId121" ref="M56"/>
    <hyperlink r:id="rId122" ref="C57"/>
    <hyperlink r:id="rId123" ref="K57"/>
    <hyperlink r:id="rId124" ref="M57"/>
    <hyperlink r:id="rId125" ref="O57"/>
    <hyperlink r:id="rId126" ref="Q57"/>
    <hyperlink r:id="rId127" ref="C58"/>
    <hyperlink r:id="rId128" ref="K58"/>
    <hyperlink r:id="rId129" ref="M58"/>
    <hyperlink r:id="rId130" ref="O58"/>
    <hyperlink r:id="rId131" ref="C59"/>
    <hyperlink r:id="rId132" ref="K59"/>
    <hyperlink r:id="rId133" ref="M59"/>
    <hyperlink r:id="rId134" ref="O59"/>
    <hyperlink r:id="rId135" ref="C60"/>
    <hyperlink r:id="rId136" ref="K60"/>
    <hyperlink r:id="rId137" ref="M60"/>
    <hyperlink r:id="rId138" ref="C61"/>
    <hyperlink r:id="rId139" ref="K61"/>
    <hyperlink r:id="rId140" ref="C62"/>
    <hyperlink r:id="rId141" ref="K62"/>
    <hyperlink r:id="rId142" ref="C63"/>
    <hyperlink r:id="rId143" ref="K63"/>
    <hyperlink r:id="rId144" ref="M63"/>
    <hyperlink r:id="rId145" ref="O63"/>
    <hyperlink r:id="rId146" ref="C64"/>
    <hyperlink r:id="rId147" ref="K64"/>
    <hyperlink r:id="rId148" ref="M64"/>
    <hyperlink r:id="rId149" ref="O64"/>
    <hyperlink r:id="rId150" ref="C65"/>
    <hyperlink r:id="rId151" ref="K65"/>
    <hyperlink r:id="rId152" ref="M65"/>
    <hyperlink r:id="rId153" ref="O65"/>
    <hyperlink r:id="rId154" ref="Q65"/>
    <hyperlink r:id="rId155" ref="C66"/>
    <hyperlink r:id="rId156" ref="K66"/>
    <hyperlink r:id="rId157" ref="M66"/>
    <hyperlink r:id="rId158" ref="O66"/>
    <hyperlink r:id="rId159" ref="C67"/>
    <hyperlink r:id="rId160" ref="K67"/>
    <hyperlink r:id="rId161" ref="M67"/>
    <hyperlink r:id="rId162" ref="C68"/>
    <hyperlink r:id="rId163" ref="K68"/>
    <hyperlink r:id="rId164" ref="C69"/>
    <hyperlink r:id="rId165" ref="K69"/>
    <hyperlink r:id="rId166" ref="M69"/>
    <hyperlink r:id="rId167" ref="C70"/>
    <hyperlink r:id="rId168" ref="K70"/>
    <hyperlink r:id="rId169" ref="M70"/>
    <hyperlink r:id="rId170" ref="C71"/>
    <hyperlink r:id="rId171" ref="K71"/>
    <hyperlink r:id="rId172" ref="M71"/>
    <hyperlink r:id="rId173" ref="O71"/>
    <hyperlink r:id="rId174" ref="Q71"/>
    <hyperlink r:id="rId175" ref="R71"/>
    <hyperlink r:id="rId176" ref="S71"/>
    <hyperlink r:id="rId177" ref="C72"/>
    <hyperlink r:id="rId178" ref="K72"/>
    <hyperlink r:id="rId179" ref="M72"/>
    <hyperlink r:id="rId180" ref="C73"/>
    <hyperlink r:id="rId181" ref="K73"/>
    <hyperlink r:id="rId182" ref="C74"/>
    <hyperlink r:id="rId183" ref="K74"/>
    <hyperlink r:id="rId184" ref="M74"/>
    <hyperlink r:id="rId185" ref="C75"/>
    <hyperlink r:id="rId186" ref="K75"/>
    <hyperlink r:id="rId187" ref="M75"/>
    <hyperlink r:id="rId188" ref="C76"/>
    <hyperlink r:id="rId189" ref="K76"/>
    <hyperlink r:id="rId190" ref="M76"/>
    <hyperlink r:id="rId191" ref="C77"/>
    <hyperlink r:id="rId192" ref="K77"/>
    <hyperlink r:id="rId193" ref="M77"/>
    <hyperlink r:id="rId194" ref="C78"/>
    <hyperlink r:id="rId195" ref="K78"/>
    <hyperlink r:id="rId196" ref="C79"/>
    <hyperlink r:id="rId197" ref="K79"/>
    <hyperlink r:id="rId198" ref="M79"/>
    <hyperlink r:id="rId199" ref="O79"/>
    <hyperlink r:id="rId200" ref="Q79"/>
    <hyperlink r:id="rId201" ref="C80"/>
    <hyperlink r:id="rId202" ref="K80"/>
    <hyperlink r:id="rId203" ref="M80"/>
    <hyperlink r:id="rId204" ref="C81"/>
    <hyperlink r:id="rId205" ref="K81"/>
    <hyperlink r:id="rId206" ref="M81"/>
    <hyperlink r:id="rId207" ref="C82"/>
    <hyperlink r:id="rId208" ref="K82"/>
    <hyperlink r:id="rId209" ref="M82"/>
    <hyperlink r:id="rId210" ref="C83"/>
    <hyperlink r:id="rId211" ref="K83"/>
    <hyperlink r:id="rId212" ref="M83"/>
    <hyperlink r:id="rId213" ref="C84"/>
    <hyperlink r:id="rId214" ref="K84"/>
    <hyperlink r:id="rId215" ref="M84"/>
    <hyperlink r:id="rId216" ref="C85"/>
    <hyperlink r:id="rId217" ref="K85"/>
    <hyperlink r:id="rId218" ref="M85"/>
    <hyperlink r:id="rId219" ref="C86"/>
    <hyperlink r:id="rId220" ref="K86"/>
    <hyperlink r:id="rId221" ref="M86"/>
    <hyperlink r:id="rId222" ref="C87"/>
    <hyperlink r:id="rId223" ref="K87"/>
    <hyperlink r:id="rId224" ref="M87"/>
    <hyperlink r:id="rId225" ref="C88"/>
    <hyperlink r:id="rId226" ref="K88"/>
    <hyperlink r:id="rId227" ref="M88"/>
    <hyperlink r:id="rId228" ref="C89"/>
    <hyperlink r:id="rId229" ref="K89"/>
    <hyperlink r:id="rId230" ref="M89"/>
    <hyperlink r:id="rId231" ref="O89"/>
    <hyperlink r:id="rId232" ref="C90"/>
    <hyperlink r:id="rId233" ref="K90"/>
    <hyperlink r:id="rId234" ref="M90"/>
    <hyperlink r:id="rId235" ref="C91"/>
    <hyperlink r:id="rId236" ref="K91"/>
    <hyperlink r:id="rId237" ref="C92"/>
    <hyperlink r:id="rId238" ref="K92"/>
    <hyperlink r:id="rId239" ref="M92"/>
    <hyperlink r:id="rId240" ref="C93"/>
    <hyperlink r:id="rId241" ref="K93"/>
    <hyperlink r:id="rId242" ref="C94"/>
    <hyperlink r:id="rId243" ref="K94"/>
    <hyperlink r:id="rId244" ref="M94"/>
    <hyperlink r:id="rId245" ref="C95"/>
    <hyperlink r:id="rId246" ref="K95"/>
    <hyperlink r:id="rId247" ref="M95"/>
    <hyperlink r:id="rId248" ref="C96"/>
    <hyperlink r:id="rId249" ref="K96"/>
    <hyperlink r:id="rId250" ref="M96"/>
    <hyperlink r:id="rId251" ref="O96"/>
    <hyperlink r:id="rId252" ref="C97"/>
    <hyperlink r:id="rId253" ref="K97"/>
    <hyperlink r:id="rId254" ref="M97"/>
    <hyperlink r:id="rId255" ref="C98"/>
    <hyperlink r:id="rId256" ref="C99"/>
    <hyperlink r:id="rId257" ref="K99"/>
    <hyperlink r:id="rId258" ref="M99"/>
    <hyperlink r:id="rId259" ref="C100"/>
    <hyperlink r:id="rId260" ref="K100"/>
    <hyperlink r:id="rId261" ref="M100"/>
    <hyperlink r:id="rId262" ref="C101"/>
    <hyperlink r:id="rId263" ref="K101"/>
    <hyperlink r:id="rId264" ref="M101"/>
    <hyperlink r:id="rId265" ref="O101"/>
    <hyperlink r:id="rId266" ref="C102"/>
    <hyperlink r:id="rId267" ref="K102"/>
    <hyperlink r:id="rId268" ref="C103"/>
    <hyperlink r:id="rId269" ref="K103"/>
    <hyperlink r:id="rId270" ref="C104"/>
    <hyperlink r:id="rId271" ref="K104"/>
    <hyperlink r:id="rId272" ref="C105"/>
    <hyperlink r:id="rId273" ref="K105"/>
    <hyperlink r:id="rId274" ref="C106"/>
    <hyperlink r:id="rId275" ref="K106"/>
    <hyperlink r:id="rId276" ref="C107"/>
    <hyperlink r:id="rId277" ref="K107"/>
    <hyperlink r:id="rId278" ref="M107"/>
    <hyperlink r:id="rId279" ref="C108"/>
    <hyperlink r:id="rId280" ref="K108"/>
    <hyperlink r:id="rId281" ref="M108"/>
    <hyperlink r:id="rId282" ref="C109"/>
    <hyperlink r:id="rId283" ref="K109"/>
    <hyperlink r:id="rId284" ref="C110"/>
    <hyperlink r:id="rId285" ref="K110"/>
    <hyperlink r:id="rId286" ref="M110"/>
    <hyperlink r:id="rId287" ref="O110"/>
    <hyperlink r:id="rId288" ref="Q110"/>
    <hyperlink r:id="rId289" ref="C111"/>
    <hyperlink r:id="rId290" ref="K111"/>
    <hyperlink r:id="rId291" ref="M111"/>
    <hyperlink r:id="rId292" ref="C112"/>
    <hyperlink r:id="rId293" ref="K112"/>
    <hyperlink r:id="rId294" ref="C113"/>
    <hyperlink r:id="rId295" ref="K113"/>
    <hyperlink r:id="rId296" ref="M113"/>
    <hyperlink r:id="rId297" ref="O113"/>
    <hyperlink r:id="rId298" ref="C114"/>
    <hyperlink r:id="rId299" ref="C115"/>
    <hyperlink r:id="rId300" ref="K115"/>
    <hyperlink r:id="rId301" ref="C116"/>
    <hyperlink r:id="rId302" ref="K116"/>
    <hyperlink r:id="rId303" ref="M116"/>
    <hyperlink r:id="rId304" ref="O116"/>
    <hyperlink r:id="rId305" ref="Q116"/>
    <hyperlink r:id="rId306" ref="C117"/>
    <hyperlink r:id="rId307" ref="K117"/>
    <hyperlink r:id="rId308" ref="M117"/>
    <hyperlink r:id="rId309" ref="O117"/>
    <hyperlink r:id="rId310" ref="C118"/>
    <hyperlink r:id="rId311" ref="K118"/>
    <hyperlink r:id="rId312" ref="M118"/>
    <hyperlink r:id="rId313" ref="C119"/>
    <hyperlink r:id="rId314" ref="K119"/>
    <hyperlink r:id="rId315" ref="M119"/>
    <hyperlink r:id="rId316" ref="C120"/>
    <hyperlink r:id="rId317" ref="K120"/>
    <hyperlink r:id="rId318" ref="M120"/>
    <hyperlink r:id="rId319" ref="C121"/>
    <hyperlink r:id="rId320" ref="K121"/>
    <hyperlink r:id="rId321" ref="C122"/>
    <hyperlink r:id="rId322" ref="K122"/>
    <hyperlink r:id="rId323" ref="C123"/>
    <hyperlink r:id="rId324" ref="K123"/>
    <hyperlink r:id="rId325" ref="M123"/>
    <hyperlink r:id="rId326" ref="C124"/>
    <hyperlink r:id="rId327" ref="K124"/>
    <hyperlink r:id="rId328" ref="M124"/>
    <hyperlink r:id="rId329" ref="O124"/>
    <hyperlink r:id="rId330" ref="Q124"/>
    <hyperlink r:id="rId331" ref="C125"/>
    <hyperlink r:id="rId332" ref="K125"/>
    <hyperlink r:id="rId333" ref="C126"/>
    <hyperlink r:id="rId334" ref="K126"/>
    <hyperlink r:id="rId335" ref="C127"/>
    <hyperlink r:id="rId336" ref="K127"/>
    <hyperlink r:id="rId337" ref="C128"/>
    <hyperlink r:id="rId338" ref="C129"/>
    <hyperlink r:id="rId339" ref="K129"/>
    <hyperlink r:id="rId340" ref="M129"/>
    <hyperlink r:id="rId341" ref="B130"/>
    <hyperlink r:id="rId342" ref="C130"/>
    <hyperlink r:id="rId343" ref="K130"/>
    <hyperlink r:id="rId344" ref="M130"/>
    <hyperlink r:id="rId345" ref="C131"/>
    <hyperlink r:id="rId346" ref="K131"/>
    <hyperlink r:id="rId347" ref="M131"/>
    <hyperlink r:id="rId348" ref="C132"/>
    <hyperlink r:id="rId349" ref="K132"/>
    <hyperlink r:id="rId350" ref="C133"/>
    <hyperlink r:id="rId351" ref="K133"/>
    <hyperlink r:id="rId352" ref="C134"/>
    <hyperlink r:id="rId353" ref="K134"/>
    <hyperlink r:id="rId354" ref="C135"/>
    <hyperlink r:id="rId355" ref="K135"/>
    <hyperlink r:id="rId356" ref="C136"/>
    <hyperlink r:id="rId357" ref="K136"/>
    <hyperlink r:id="rId358" ref="C137"/>
    <hyperlink r:id="rId359" ref="K137"/>
    <hyperlink r:id="rId360" ref="M137"/>
    <hyperlink r:id="rId361" ref="C138"/>
    <hyperlink r:id="rId362" ref="K138"/>
    <hyperlink r:id="rId363" ref="M138"/>
    <hyperlink r:id="rId364" ref="C139"/>
    <hyperlink r:id="rId365" ref="K139"/>
    <hyperlink r:id="rId366" ref="C140"/>
    <hyperlink r:id="rId367" ref="C141"/>
    <hyperlink r:id="rId368" ref="K141"/>
    <hyperlink r:id="rId369" ref="C142"/>
    <hyperlink r:id="rId370" ref="K142"/>
    <hyperlink r:id="rId371" ref="C143"/>
    <hyperlink r:id="rId372" ref="K143"/>
    <hyperlink r:id="rId373" ref="C144"/>
    <hyperlink r:id="rId374" ref="K144"/>
    <hyperlink r:id="rId375" ref="M144"/>
    <hyperlink r:id="rId376" ref="O144"/>
    <hyperlink r:id="rId377" ref="C145"/>
    <hyperlink r:id="rId378" ref="K145"/>
    <hyperlink r:id="rId379" ref="C146"/>
    <hyperlink r:id="rId380" ref="K146"/>
    <hyperlink r:id="rId381" ref="C147"/>
    <hyperlink r:id="rId382" ref="K147"/>
    <hyperlink r:id="rId383" ref="C148"/>
    <hyperlink r:id="rId384" ref="K148"/>
    <hyperlink r:id="rId385" ref="C149"/>
    <hyperlink r:id="rId386" ref="K149"/>
    <hyperlink r:id="rId387" ref="M149"/>
    <hyperlink r:id="rId388" ref="O149"/>
    <hyperlink r:id="rId389" ref="C150"/>
    <hyperlink r:id="rId390" ref="K150"/>
    <hyperlink r:id="rId391" ref="M150"/>
    <hyperlink r:id="rId392" ref="C151"/>
    <hyperlink r:id="rId393" ref="K151"/>
    <hyperlink r:id="rId394" ref="M151"/>
    <hyperlink r:id="rId395" ref="O151"/>
    <hyperlink r:id="rId396" ref="C152"/>
    <hyperlink r:id="rId397" ref="K152"/>
    <hyperlink r:id="rId398" ref="M152"/>
    <hyperlink r:id="rId399" ref="C153"/>
    <hyperlink r:id="rId400" ref="K153"/>
    <hyperlink r:id="rId401" ref="M153"/>
    <hyperlink r:id="rId402" ref="C154"/>
    <hyperlink r:id="rId403" ref="K154"/>
    <hyperlink r:id="rId404" ref="M154"/>
    <hyperlink r:id="rId405" ref="C155"/>
    <hyperlink r:id="rId406" ref="K155"/>
    <hyperlink r:id="rId407" ref="C156"/>
    <hyperlink r:id="rId408" ref="C157"/>
    <hyperlink r:id="rId409" ref="K157"/>
    <hyperlink r:id="rId410" ref="M157"/>
    <hyperlink r:id="rId411" ref="O157"/>
    <hyperlink r:id="rId412" ref="Q157"/>
    <hyperlink r:id="rId413" ref="R157"/>
    <hyperlink r:id="rId414" ref="S157"/>
    <hyperlink r:id="rId415" ref="C158"/>
    <hyperlink r:id="rId416" ref="C159"/>
    <hyperlink r:id="rId417" ref="C160"/>
    <hyperlink r:id="rId418" ref="C161"/>
    <hyperlink r:id="rId419" ref="C162"/>
    <hyperlink r:id="rId420" ref="C163"/>
    <hyperlink r:id="rId421" ref="C164"/>
    <hyperlink r:id="rId422" ref="C165"/>
    <hyperlink r:id="rId423" ref="C166"/>
    <hyperlink r:id="rId424" ref="C167"/>
    <hyperlink r:id="rId425" ref="C168"/>
    <hyperlink r:id="rId426" ref="C169"/>
    <hyperlink r:id="rId427" ref="C170"/>
    <hyperlink r:id="rId428" ref="C171"/>
    <hyperlink r:id="rId429" ref="C172"/>
    <hyperlink r:id="rId430" ref="C173"/>
    <hyperlink r:id="rId431" ref="C174"/>
    <hyperlink r:id="rId432" ref="C175"/>
    <hyperlink r:id="rId433" ref="C176"/>
    <hyperlink r:id="rId434" ref="C177"/>
  </hyperlinks>
  <drawing r:id="rId435"/>
  <legacyDrawing r:id="rId43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22.38"/>
    <col customWidth="1" min="7" max="7" width="15.25"/>
  </cols>
  <sheetData>
    <row r="1">
      <c r="A1" s="213" t="s">
        <v>455</v>
      </c>
      <c r="B1" s="214"/>
      <c r="C1" s="214"/>
      <c r="D1" s="215"/>
      <c r="E1" s="213" t="s">
        <v>328</v>
      </c>
      <c r="F1" s="214"/>
      <c r="G1" s="216"/>
      <c r="I1" s="217" t="s">
        <v>456</v>
      </c>
      <c r="J1" s="214"/>
      <c r="K1" s="214"/>
      <c r="L1" s="216"/>
    </row>
    <row r="2">
      <c r="A2" s="219" t="s">
        <v>457</v>
      </c>
      <c r="B2" s="220"/>
      <c r="C2" s="219" t="s">
        <v>455</v>
      </c>
      <c r="D2" s="215"/>
      <c r="E2" s="221" t="s">
        <v>327</v>
      </c>
      <c r="F2" s="214"/>
      <c r="G2" s="216"/>
      <c r="I2" s="222" t="s">
        <v>458</v>
      </c>
      <c r="J2" s="214"/>
      <c r="K2" s="214"/>
      <c r="L2" s="216"/>
    </row>
    <row r="3">
      <c r="A3" s="223">
        <v>1.0</v>
      </c>
      <c r="B3" s="224"/>
      <c r="C3" s="225">
        <v>1.0</v>
      </c>
      <c r="D3" s="215"/>
      <c r="E3" s="299">
        <f>Maindata!I7</f>
        <v>200000000</v>
      </c>
      <c r="F3" s="227"/>
      <c r="G3" s="228"/>
      <c r="H3" s="286"/>
      <c r="I3" s="295" t="s">
        <v>459</v>
      </c>
      <c r="J3" s="216"/>
      <c r="K3" s="296" t="s">
        <v>460</v>
      </c>
      <c r="L3" s="216"/>
    </row>
    <row r="4">
      <c r="A4" s="231"/>
      <c r="B4" s="220"/>
      <c r="C4" s="225">
        <v>2.0</v>
      </c>
      <c r="D4" s="215"/>
      <c r="E4" s="232"/>
      <c r="F4" s="233"/>
      <c r="G4" s="234"/>
      <c r="H4" s="286"/>
      <c r="I4" s="298">
        <f>IFERROR(__xludf.DUMMYFUNCTION("IMPORTRANGE(""https://docs.google.com/spreadsheets/d/1XGHyffJQ7KjI292zt5QVK_1XTfEMh_HDpl_2BHAzd4c/edit?gid=1335890585#gid=1335890585"",""SALSA M&amp;B!H16"")        "),1.0E7)</f>
        <v>10000000</v>
      </c>
      <c r="J4" s="228"/>
      <c r="K4" s="298">
        <f>IFERROR(__xludf.DUMMYFUNCTION("IMPORTRANGE(""https://docs.google.com/spreadsheets/d/1XGHyffJQ7KjI292zt5QVK_1XTfEMh_HDpl_2BHAzd4c/edit?gid=1335890585#gid=1335890585"",""SALSA M&amp;B!H21"")        "),1.5E7)</f>
        <v>15000000</v>
      </c>
      <c r="L4" s="228"/>
    </row>
    <row r="5">
      <c r="A5" s="236">
        <v>2.0</v>
      </c>
      <c r="B5" s="224"/>
      <c r="C5" s="225">
        <v>1.0</v>
      </c>
      <c r="D5" s="215"/>
      <c r="E5" s="329" t="s">
        <v>461</v>
      </c>
      <c r="F5" s="214"/>
      <c r="G5" s="216"/>
      <c r="H5" s="286"/>
      <c r="I5" s="232"/>
      <c r="J5" s="234"/>
      <c r="K5" s="232"/>
      <c r="L5" s="234"/>
    </row>
    <row r="6">
      <c r="A6" s="231"/>
      <c r="B6" s="220"/>
      <c r="C6" s="225">
        <v>2.0</v>
      </c>
      <c r="D6" s="215"/>
      <c r="E6" s="299">
        <f>Maindata!J7</f>
        <v>65050469</v>
      </c>
      <c r="F6" s="227"/>
      <c r="G6" s="228"/>
      <c r="H6" s="286"/>
      <c r="I6" s="302" t="s">
        <v>462</v>
      </c>
      <c r="J6" s="214"/>
      <c r="K6" s="214"/>
      <c r="L6" s="216"/>
    </row>
    <row r="7">
      <c r="A7" s="236">
        <v>3.0</v>
      </c>
      <c r="B7" s="224"/>
      <c r="C7" s="225">
        <v>1.0</v>
      </c>
      <c r="D7" s="215"/>
      <c r="E7" s="232"/>
      <c r="F7" s="233"/>
      <c r="G7" s="234"/>
      <c r="H7" s="286"/>
      <c r="I7" s="298">
        <f>IFERROR(__xludf.DUMMYFUNCTION("IMPORTRANGE(""https://docs.google.com/spreadsheets/d/1XGHyffJQ7KjI292zt5QVK_1XTfEMh_HDpl_2BHAzd4c/edit?gid=1335890585#gid=1335890585"",""SALSA M&amp;B!H2"")        "),0.0)</f>
        <v>0</v>
      </c>
      <c r="J7" s="228"/>
      <c r="K7" s="299">
        <f>IFERROR(__xludf.DUMMYFUNCTION("IMPORTRANGE(""https://docs.google.com/spreadsheets/d/1XGHyffJQ7KjI292zt5QVK_1XTfEMh_HDpl_2BHAzd4c/edit?gid=1335890585#gid=1335890585"",""SALSA M&amp;B!K4"")        "),1.3E7)</f>
        <v>13000000</v>
      </c>
      <c r="L7" s="228"/>
    </row>
    <row r="8">
      <c r="A8" s="231"/>
      <c r="B8" s="220"/>
      <c r="C8" s="225">
        <v>2.0</v>
      </c>
      <c r="D8" s="215"/>
      <c r="E8" s="325" t="s">
        <v>329</v>
      </c>
      <c r="F8" s="214"/>
      <c r="G8" s="216"/>
      <c r="H8" s="286"/>
      <c r="I8" s="232"/>
      <c r="J8" s="234"/>
      <c r="K8" s="232"/>
      <c r="L8" s="234"/>
    </row>
    <row r="9">
      <c r="A9" s="236">
        <v>4.0</v>
      </c>
      <c r="B9" s="224"/>
      <c r="C9" s="225">
        <v>1.0</v>
      </c>
      <c r="D9" s="215"/>
      <c r="E9" s="330">
        <f>E6/E3</f>
        <v>0.325252345</v>
      </c>
      <c r="F9" s="227"/>
      <c r="G9" s="228"/>
      <c r="H9" s="286"/>
      <c r="I9" s="292" t="s">
        <v>463</v>
      </c>
      <c r="J9" s="214"/>
      <c r="K9" s="214"/>
      <c r="L9" s="216"/>
    </row>
    <row r="10">
      <c r="A10" s="231"/>
      <c r="B10" s="220"/>
      <c r="C10" s="225">
        <v>2.0</v>
      </c>
      <c r="D10" s="215"/>
      <c r="E10" s="232"/>
      <c r="F10" s="233"/>
      <c r="G10" s="234"/>
      <c r="H10" s="286"/>
      <c r="I10" s="298">
        <f>I4-I7</f>
        <v>10000000</v>
      </c>
      <c r="J10" s="228"/>
      <c r="K10" s="299">
        <f>K4-K7</f>
        <v>2000000</v>
      </c>
      <c r="L10" s="228"/>
    </row>
    <row r="11">
      <c r="A11" s="236">
        <v>5.0</v>
      </c>
      <c r="B11" s="224"/>
      <c r="C11" s="225">
        <v>1.0</v>
      </c>
      <c r="D11" s="215"/>
      <c r="E11" s="285"/>
      <c r="F11" s="286"/>
      <c r="G11" s="286"/>
      <c r="H11" s="286"/>
      <c r="I11" s="232"/>
      <c r="J11" s="234"/>
      <c r="K11" s="232"/>
      <c r="L11" s="234"/>
    </row>
    <row r="12">
      <c r="A12" s="231"/>
      <c r="B12" s="220"/>
      <c r="C12" s="225">
        <v>2.0</v>
      </c>
      <c r="D12" s="215"/>
      <c r="E12" s="215"/>
      <c r="J12" s="215"/>
      <c r="K12" s="215"/>
      <c r="L12" s="215"/>
      <c r="M12" s="243"/>
      <c r="N12" s="243"/>
      <c r="O12" s="243"/>
      <c r="P12" s="243"/>
      <c r="Q12" s="48"/>
      <c r="R12" s="48"/>
      <c r="S12" s="48"/>
      <c r="T12" s="48"/>
      <c r="U12" s="48"/>
    </row>
    <row r="13">
      <c r="A13" s="245"/>
      <c r="B13" s="245"/>
      <c r="K13" s="243"/>
      <c r="L13" s="243"/>
      <c r="M13" s="243"/>
      <c r="N13" s="243"/>
      <c r="O13" s="243"/>
      <c r="P13" s="243"/>
      <c r="Q13" s="48"/>
      <c r="R13" s="48"/>
      <c r="S13" s="48"/>
      <c r="T13" s="48"/>
      <c r="U13" s="48"/>
    </row>
    <row r="14">
      <c r="A14" s="341"/>
      <c r="B14" s="341"/>
      <c r="C14" s="341"/>
      <c r="D14" s="341"/>
      <c r="E14" s="341"/>
      <c r="F14" s="341"/>
      <c r="G14" s="341"/>
      <c r="H14" s="341"/>
      <c r="I14" s="341"/>
      <c r="J14" s="341"/>
      <c r="K14" s="341"/>
      <c r="L14" s="341"/>
      <c r="M14" s="341"/>
      <c r="N14" s="341"/>
      <c r="O14" s="341"/>
      <c r="P14" s="341"/>
      <c r="Q14" s="341"/>
      <c r="R14" s="343" t="s">
        <v>464</v>
      </c>
      <c r="S14" s="224"/>
      <c r="T14" s="343" t="s">
        <v>465</v>
      </c>
      <c r="U14" s="224"/>
    </row>
    <row r="15">
      <c r="A15" s="345" t="s">
        <v>466</v>
      </c>
      <c r="B15" s="250" t="s">
        <v>467</v>
      </c>
      <c r="C15" s="346" t="s">
        <v>468</v>
      </c>
      <c r="D15" s="347" t="s">
        <v>469</v>
      </c>
      <c r="E15" s="348" t="s">
        <v>470</v>
      </c>
      <c r="F15" s="346" t="s">
        <v>471</v>
      </c>
      <c r="G15" s="349" t="s">
        <v>484</v>
      </c>
      <c r="H15" s="350" t="s">
        <v>457</v>
      </c>
      <c r="I15" s="351" t="s">
        <v>472</v>
      </c>
      <c r="J15" s="352" t="s">
        <v>455</v>
      </c>
      <c r="K15" s="352" t="s">
        <v>473</v>
      </c>
      <c r="L15" s="352" t="s">
        <v>455</v>
      </c>
      <c r="M15" s="346" t="s">
        <v>474</v>
      </c>
      <c r="N15" s="352" t="s">
        <v>455</v>
      </c>
      <c r="O15" s="352" t="s">
        <v>475</v>
      </c>
      <c r="P15" s="352" t="s">
        <v>455</v>
      </c>
      <c r="Q15" s="346" t="s">
        <v>476</v>
      </c>
      <c r="R15" s="353" t="s">
        <v>427</v>
      </c>
      <c r="S15" s="353" t="s">
        <v>477</v>
      </c>
      <c r="T15" s="353" t="s">
        <v>427</v>
      </c>
      <c r="U15" s="353" t="s">
        <v>477</v>
      </c>
    </row>
    <row r="16">
      <c r="A16" s="255" t="str">
        <f>IFERROR(__xludf.DUMMYFUNCTION("QUERY(IMPORTRANGE(""https://docs.google.com/spreadsheets/d/10wdjc5GKQIqHka9D7QGq1b4WkRuVqG0ylA8lw57ns-I/edit?usp=sharing"", ""SALSA BABY CARE!A3:AB""), ""SELECT Col1, Col2, Col3, Col4, Col5, Col6, Col10, Col11, Col16, Col17, Col18, Col19, Col20, Col21, Co"&amp;"l22, Col23, Col24, Col25, Col26, Col27, Col28 WHERE Col12 = 'Approved'"")"),"#REF!")</f>
        <v>#REF!</v>
      </c>
      <c r="B16" s="23"/>
      <c r="C16" s="23"/>
      <c r="D16" s="98"/>
      <c r="E16" s="258"/>
      <c r="F16" s="25"/>
      <c r="G16" s="34"/>
      <c r="H16" s="389"/>
      <c r="I16" s="356"/>
      <c r="J16" s="357"/>
      <c r="K16" s="390"/>
      <c r="L16" s="357"/>
      <c r="M16" s="262"/>
      <c r="N16" s="357"/>
      <c r="O16" s="262"/>
      <c r="P16" s="357"/>
      <c r="Q16" s="262"/>
      <c r="R16" s="264"/>
      <c r="S16" s="265"/>
      <c r="T16" s="17"/>
      <c r="U16" s="17"/>
    </row>
    <row r="17">
      <c r="A17" s="255"/>
      <c r="B17" s="23"/>
      <c r="C17" s="23"/>
      <c r="D17" s="98"/>
      <c r="E17" s="258"/>
      <c r="F17" s="25"/>
      <c r="G17" s="34"/>
      <c r="H17" s="389"/>
      <c r="I17" s="356"/>
      <c r="J17" s="357"/>
      <c r="K17" s="390"/>
      <c r="L17" s="357"/>
      <c r="M17" s="262"/>
      <c r="N17" s="357"/>
      <c r="O17" s="262"/>
      <c r="P17" s="357"/>
      <c r="Q17" s="262"/>
      <c r="R17" s="264"/>
      <c r="S17" s="265"/>
      <c r="T17" s="17"/>
      <c r="U17" s="17"/>
    </row>
    <row r="18">
      <c r="A18" s="255"/>
      <c r="B18" s="23"/>
      <c r="C18" s="23"/>
      <c r="D18" s="98"/>
      <c r="E18" s="258"/>
      <c r="F18" s="25"/>
      <c r="G18" s="391"/>
      <c r="H18" s="389"/>
      <c r="I18" s="356"/>
      <c r="J18" s="357"/>
      <c r="K18" s="262"/>
      <c r="L18" s="357"/>
      <c r="M18" s="262"/>
      <c r="N18" s="357"/>
      <c r="O18" s="262"/>
      <c r="P18" s="357"/>
      <c r="Q18" s="262"/>
      <c r="R18" s="264"/>
      <c r="S18" s="265"/>
      <c r="T18" s="17"/>
      <c r="U18" s="17"/>
    </row>
    <row r="19">
      <c r="A19" s="255"/>
      <c r="B19" s="23"/>
      <c r="C19" s="23"/>
      <c r="D19" s="98"/>
      <c r="E19" s="258"/>
      <c r="F19" s="25"/>
      <c r="G19" s="34"/>
      <c r="H19" s="389"/>
      <c r="I19" s="356"/>
      <c r="J19" s="357"/>
      <c r="K19" s="390"/>
      <c r="L19" s="357"/>
      <c r="M19" s="262"/>
      <c r="N19" s="357"/>
      <c r="O19" s="262"/>
      <c r="P19" s="357"/>
      <c r="Q19" s="262"/>
      <c r="R19" s="264"/>
      <c r="S19" s="265"/>
      <c r="T19" s="17"/>
      <c r="U19" s="17"/>
    </row>
    <row r="20">
      <c r="A20" s="255"/>
      <c r="B20" s="23"/>
      <c r="C20" s="23"/>
      <c r="D20" s="98"/>
      <c r="E20" s="258"/>
      <c r="F20" s="25"/>
      <c r="G20" s="391"/>
      <c r="H20" s="389"/>
      <c r="I20" s="356"/>
      <c r="J20" s="357"/>
      <c r="K20" s="262"/>
      <c r="L20" s="357"/>
      <c r="M20" s="262"/>
      <c r="N20" s="357"/>
      <c r="O20" s="262"/>
      <c r="P20" s="357"/>
      <c r="Q20" s="262"/>
      <c r="R20" s="264"/>
      <c r="S20" s="265"/>
      <c r="T20" s="17"/>
      <c r="U20" s="17"/>
    </row>
    <row r="21">
      <c r="A21" s="255"/>
      <c r="B21" s="23"/>
      <c r="C21" s="23"/>
      <c r="D21" s="98"/>
      <c r="E21" s="258"/>
      <c r="F21" s="25"/>
      <c r="G21" s="34"/>
      <c r="H21" s="389"/>
      <c r="I21" s="356"/>
      <c r="J21" s="357"/>
      <c r="K21" s="262"/>
      <c r="L21" s="357"/>
      <c r="M21" s="262"/>
      <c r="N21" s="357"/>
      <c r="O21" s="262"/>
      <c r="P21" s="357"/>
      <c r="Q21" s="262"/>
      <c r="R21" s="264"/>
      <c r="S21" s="265"/>
      <c r="T21" s="17"/>
      <c r="U21" s="17"/>
    </row>
    <row r="22">
      <c r="A22" s="255"/>
      <c r="B22" s="23"/>
      <c r="C22" s="23"/>
      <c r="D22" s="98"/>
      <c r="E22" s="258"/>
      <c r="F22" s="25"/>
      <c r="G22" s="34"/>
      <c r="H22" s="389"/>
      <c r="I22" s="356"/>
      <c r="J22" s="357"/>
      <c r="K22" s="262"/>
      <c r="L22" s="357"/>
      <c r="M22" s="262"/>
      <c r="N22" s="357"/>
      <c r="O22" s="262"/>
      <c r="P22" s="357"/>
      <c r="Q22" s="262"/>
      <c r="R22" s="264"/>
      <c r="S22" s="265"/>
      <c r="T22" s="17"/>
      <c r="U22" s="17"/>
    </row>
    <row r="23">
      <c r="A23" s="255"/>
      <c r="B23" s="23"/>
      <c r="C23" s="23"/>
      <c r="D23" s="98"/>
      <c r="E23" s="258"/>
      <c r="F23" s="25"/>
      <c r="G23" s="34"/>
      <c r="H23" s="389"/>
      <c r="I23" s="356"/>
      <c r="J23" s="357"/>
      <c r="K23" s="262"/>
      <c r="L23" s="357"/>
      <c r="M23" s="262"/>
      <c r="N23" s="357"/>
      <c r="O23" s="262"/>
      <c r="P23" s="357"/>
      <c r="Q23" s="262"/>
      <c r="R23" s="264"/>
      <c r="S23" s="265"/>
      <c r="T23" s="17"/>
      <c r="U23" s="17"/>
    </row>
    <row r="24">
      <c r="A24" s="255"/>
      <c r="B24" s="23"/>
      <c r="C24" s="23"/>
      <c r="D24" s="98"/>
      <c r="E24" s="258"/>
      <c r="F24" s="25"/>
      <c r="G24" s="34"/>
      <c r="H24" s="389"/>
      <c r="I24" s="356"/>
      <c r="J24" s="357"/>
      <c r="K24" s="262"/>
      <c r="L24" s="357"/>
      <c r="M24" s="262"/>
      <c r="N24" s="357"/>
      <c r="O24" s="262"/>
      <c r="P24" s="357"/>
      <c r="Q24" s="262"/>
      <c r="R24" s="264"/>
      <c r="S24" s="265"/>
      <c r="T24" s="17"/>
      <c r="U24" s="17"/>
    </row>
    <row r="25">
      <c r="A25" s="255"/>
      <c r="B25" s="23"/>
      <c r="C25" s="23"/>
      <c r="D25" s="98"/>
      <c r="E25" s="258"/>
      <c r="F25" s="25"/>
      <c r="G25" s="34"/>
      <c r="H25" s="389"/>
      <c r="I25" s="356"/>
      <c r="J25" s="357"/>
      <c r="K25" s="262"/>
      <c r="L25" s="357"/>
      <c r="M25" s="262"/>
      <c r="N25" s="357"/>
      <c r="O25" s="262"/>
      <c r="P25" s="357"/>
      <c r="Q25" s="262"/>
      <c r="R25" s="264"/>
      <c r="S25" s="265"/>
      <c r="T25" s="17"/>
      <c r="U25" s="17"/>
    </row>
    <row r="26">
      <c r="A26" s="255"/>
      <c r="B26" s="23"/>
      <c r="C26" s="23"/>
      <c r="D26" s="98"/>
      <c r="E26" s="258"/>
      <c r="F26" s="25"/>
      <c r="G26" s="34"/>
      <c r="H26" s="389"/>
      <c r="I26" s="356"/>
      <c r="J26" s="357"/>
      <c r="K26" s="262"/>
      <c r="L26" s="357"/>
      <c r="M26" s="262"/>
      <c r="N26" s="357"/>
      <c r="O26" s="262"/>
      <c r="P26" s="357"/>
      <c r="Q26" s="262"/>
      <c r="R26" s="264"/>
      <c r="S26" s="265"/>
      <c r="T26" s="17"/>
      <c r="U26" s="17"/>
    </row>
    <row r="27">
      <c r="A27" s="255"/>
      <c r="B27" s="23"/>
      <c r="C27" s="23"/>
      <c r="D27" s="98"/>
      <c r="E27" s="258"/>
      <c r="F27" s="25"/>
      <c r="G27" s="391"/>
      <c r="H27" s="389"/>
      <c r="I27" s="356"/>
      <c r="J27" s="357"/>
      <c r="K27" s="262"/>
      <c r="L27" s="357"/>
      <c r="M27" s="262"/>
      <c r="N27" s="357"/>
      <c r="O27" s="262"/>
      <c r="P27" s="357"/>
      <c r="Q27" s="262"/>
      <c r="R27" s="264"/>
      <c r="S27" s="265"/>
      <c r="T27" s="17"/>
      <c r="U27" s="17"/>
    </row>
    <row r="28">
      <c r="A28" s="255"/>
      <c r="B28" s="23"/>
      <c r="C28" s="23"/>
      <c r="D28" s="98"/>
      <c r="E28" s="258"/>
      <c r="F28" s="25"/>
      <c r="G28" s="34"/>
      <c r="H28" s="389"/>
      <c r="I28" s="356"/>
      <c r="J28" s="357"/>
      <c r="K28" s="390"/>
      <c r="L28" s="357"/>
      <c r="M28" s="262"/>
      <c r="N28" s="357"/>
      <c r="O28" s="262"/>
      <c r="P28" s="357"/>
      <c r="Q28" s="262"/>
      <c r="R28" s="264"/>
      <c r="S28" s="265"/>
      <c r="T28" s="17"/>
      <c r="U28" s="17"/>
    </row>
    <row r="29">
      <c r="A29" s="255"/>
      <c r="B29" s="23"/>
      <c r="C29" s="23"/>
      <c r="D29" s="98"/>
      <c r="E29" s="258"/>
      <c r="F29" s="25"/>
      <c r="G29" s="34"/>
      <c r="H29" s="389"/>
      <c r="I29" s="356"/>
      <c r="J29" s="357"/>
      <c r="K29" s="262"/>
      <c r="L29" s="357"/>
      <c r="M29" s="262"/>
      <c r="N29" s="357"/>
      <c r="O29" s="262"/>
      <c r="P29" s="357"/>
      <c r="Q29" s="262"/>
      <c r="R29" s="264"/>
      <c r="S29" s="265"/>
      <c r="T29" s="17"/>
      <c r="U29" s="17"/>
    </row>
    <row r="30">
      <c r="A30" s="255"/>
      <c r="B30" s="23"/>
      <c r="C30" s="23"/>
      <c r="D30" s="98"/>
      <c r="E30" s="258"/>
      <c r="F30" s="25"/>
      <c r="G30" s="34"/>
      <c r="H30" s="389"/>
      <c r="I30" s="356"/>
      <c r="J30" s="357"/>
      <c r="K30" s="262"/>
      <c r="L30" s="357"/>
      <c r="M30" s="262"/>
      <c r="N30" s="357"/>
      <c r="O30" s="262"/>
      <c r="P30" s="357"/>
      <c r="Q30" s="262"/>
      <c r="R30" s="264"/>
      <c r="S30" s="265"/>
      <c r="T30" s="17"/>
      <c r="U30" s="17"/>
    </row>
    <row r="31">
      <c r="A31" s="255"/>
      <c r="B31" s="23"/>
      <c r="C31" s="23"/>
      <c r="D31" s="98"/>
      <c r="E31" s="258"/>
      <c r="F31" s="25"/>
      <c r="G31" s="34"/>
      <c r="H31" s="389"/>
      <c r="I31" s="356"/>
      <c r="J31" s="357"/>
      <c r="K31" s="262"/>
      <c r="L31" s="357"/>
      <c r="M31" s="262"/>
      <c r="N31" s="357"/>
      <c r="O31" s="262"/>
      <c r="P31" s="357"/>
      <c r="Q31" s="262"/>
      <c r="R31" s="264"/>
      <c r="S31" s="265"/>
      <c r="T31" s="17"/>
      <c r="U31" s="17"/>
    </row>
    <row r="32">
      <c r="A32" s="255"/>
      <c r="B32" s="23"/>
      <c r="C32" s="23"/>
      <c r="D32" s="98"/>
      <c r="E32" s="258"/>
      <c r="F32" s="25"/>
      <c r="G32" s="34"/>
      <c r="H32" s="389"/>
      <c r="I32" s="356"/>
      <c r="J32" s="357"/>
      <c r="K32" s="262"/>
      <c r="L32" s="357"/>
      <c r="M32" s="390"/>
      <c r="N32" s="357"/>
      <c r="O32" s="262"/>
      <c r="P32" s="357"/>
      <c r="Q32" s="262"/>
      <c r="R32" s="264"/>
      <c r="S32" s="265"/>
      <c r="T32" s="17"/>
      <c r="U32" s="17"/>
    </row>
    <row r="33">
      <c r="A33" s="255"/>
      <c r="B33" s="23"/>
      <c r="C33" s="23"/>
      <c r="D33" s="98"/>
      <c r="E33" s="258"/>
      <c r="F33" s="25"/>
      <c r="G33" s="34"/>
      <c r="H33" s="389"/>
      <c r="I33" s="356"/>
      <c r="J33" s="357"/>
      <c r="K33" s="262"/>
      <c r="L33" s="357"/>
      <c r="M33" s="262"/>
      <c r="N33" s="357"/>
      <c r="O33" s="262"/>
      <c r="P33" s="357"/>
      <c r="Q33" s="262"/>
      <c r="R33" s="264"/>
      <c r="S33" s="265"/>
      <c r="T33" s="17"/>
      <c r="U33" s="17"/>
    </row>
    <row r="34">
      <c r="A34" s="255"/>
      <c r="B34" s="23"/>
      <c r="C34" s="23"/>
      <c r="D34" s="98"/>
      <c r="E34" s="258"/>
      <c r="F34" s="25"/>
      <c r="G34" s="34"/>
      <c r="H34" s="389"/>
      <c r="I34" s="356"/>
      <c r="J34" s="357"/>
      <c r="K34" s="262"/>
      <c r="L34" s="357"/>
      <c r="M34" s="262"/>
      <c r="N34" s="357"/>
      <c r="O34" s="262"/>
      <c r="P34" s="357"/>
      <c r="Q34" s="262"/>
      <c r="R34" s="264"/>
      <c r="S34" s="265"/>
      <c r="T34" s="17"/>
      <c r="U34" s="17"/>
    </row>
    <row r="35">
      <c r="A35" s="255"/>
      <c r="B35" s="23"/>
      <c r="C35" s="23"/>
      <c r="D35" s="98"/>
      <c r="E35" s="258"/>
      <c r="F35" s="25"/>
      <c r="G35" s="34"/>
      <c r="H35" s="389"/>
      <c r="I35" s="356"/>
      <c r="J35" s="357"/>
      <c r="K35" s="262"/>
      <c r="L35" s="357"/>
      <c r="M35" s="262"/>
      <c r="N35" s="357"/>
      <c r="O35" s="262"/>
      <c r="P35" s="357"/>
      <c r="Q35" s="262"/>
      <c r="R35" s="264"/>
      <c r="S35" s="265"/>
      <c r="T35" s="17"/>
      <c r="U35" s="17"/>
    </row>
    <row r="36">
      <c r="A36" s="255"/>
      <c r="B36" s="23"/>
      <c r="C36" s="23"/>
      <c r="D36" s="98"/>
      <c r="E36" s="258"/>
      <c r="F36" s="25"/>
      <c r="G36" s="34"/>
      <c r="H36" s="389"/>
      <c r="I36" s="356"/>
      <c r="J36" s="357"/>
      <c r="K36" s="262"/>
      <c r="L36" s="357"/>
      <c r="M36" s="262"/>
      <c r="N36" s="357"/>
      <c r="O36" s="262"/>
      <c r="P36" s="357"/>
      <c r="Q36" s="262"/>
      <c r="R36" s="264"/>
      <c r="S36" s="265"/>
      <c r="T36" s="17"/>
      <c r="U36" s="17"/>
    </row>
    <row r="37">
      <c r="A37" s="255"/>
      <c r="B37" s="23"/>
      <c r="C37" s="23"/>
      <c r="D37" s="98"/>
      <c r="E37" s="258"/>
      <c r="F37" s="25"/>
      <c r="G37" s="34"/>
      <c r="H37" s="389"/>
      <c r="I37" s="356"/>
      <c r="J37" s="357"/>
      <c r="K37" s="262"/>
      <c r="L37" s="357"/>
      <c r="M37" s="262"/>
      <c r="N37" s="357"/>
      <c r="O37" s="262"/>
      <c r="P37" s="357"/>
      <c r="Q37" s="262"/>
      <c r="R37" s="264"/>
      <c r="S37" s="265"/>
      <c r="T37" s="17"/>
      <c r="U37" s="17"/>
    </row>
    <row r="38">
      <c r="A38" s="255"/>
      <c r="B38" s="23"/>
      <c r="C38" s="23"/>
      <c r="D38" s="98"/>
      <c r="E38" s="258"/>
      <c r="F38" s="25"/>
      <c r="G38" s="34"/>
      <c r="H38" s="389"/>
      <c r="I38" s="356"/>
      <c r="J38" s="357"/>
      <c r="K38" s="262"/>
      <c r="L38" s="357"/>
      <c r="M38" s="262"/>
      <c r="N38" s="357"/>
      <c r="O38" s="262"/>
      <c r="P38" s="357"/>
      <c r="Q38" s="262"/>
      <c r="R38" s="264"/>
      <c r="S38" s="265"/>
      <c r="T38" s="17"/>
      <c r="U38" s="17"/>
    </row>
    <row r="39">
      <c r="A39" s="255"/>
      <c r="B39" s="23"/>
      <c r="C39" s="23"/>
      <c r="D39" s="98"/>
      <c r="E39" s="258"/>
      <c r="F39" s="25"/>
      <c r="G39" s="34"/>
      <c r="H39" s="389"/>
      <c r="I39" s="356"/>
      <c r="J39" s="357"/>
      <c r="K39" s="262"/>
      <c r="L39" s="357"/>
      <c r="M39" s="262"/>
      <c r="N39" s="357"/>
      <c r="O39" s="262"/>
      <c r="P39" s="357"/>
      <c r="Q39" s="262"/>
      <c r="R39" s="264"/>
      <c r="S39" s="265"/>
      <c r="T39" s="17"/>
      <c r="U39" s="17"/>
    </row>
    <row r="40">
      <c r="A40" s="255"/>
      <c r="B40" s="23"/>
      <c r="C40" s="23"/>
      <c r="D40" s="98"/>
      <c r="E40" s="258"/>
      <c r="F40" s="25"/>
      <c r="G40" s="34"/>
      <c r="H40" s="389"/>
      <c r="I40" s="356"/>
      <c r="J40" s="357"/>
      <c r="K40" s="262"/>
      <c r="L40" s="357"/>
      <c r="M40" s="262"/>
      <c r="N40" s="357"/>
      <c r="O40" s="262"/>
      <c r="P40" s="357"/>
      <c r="Q40" s="262"/>
      <c r="R40" s="264"/>
      <c r="S40" s="265"/>
      <c r="T40" s="17"/>
      <c r="U40" s="17"/>
    </row>
    <row r="41">
      <c r="A41" s="255"/>
      <c r="B41" s="23"/>
      <c r="C41" s="23"/>
      <c r="D41" s="98"/>
      <c r="E41" s="258"/>
      <c r="F41" s="25"/>
      <c r="G41" s="391"/>
      <c r="H41" s="389"/>
      <c r="I41" s="356"/>
      <c r="J41" s="357"/>
      <c r="K41" s="262"/>
      <c r="L41" s="357"/>
      <c r="M41" s="262"/>
      <c r="N41" s="357"/>
      <c r="O41" s="262"/>
      <c r="P41" s="357"/>
      <c r="Q41" s="262"/>
      <c r="R41" s="264"/>
      <c r="S41" s="265"/>
      <c r="T41" s="17"/>
      <c r="U41" s="17"/>
    </row>
    <row r="42">
      <c r="A42" s="255"/>
      <c r="B42" s="23"/>
      <c r="C42" s="23"/>
      <c r="D42" s="98"/>
      <c r="E42" s="258"/>
      <c r="F42" s="25"/>
      <c r="G42" s="34"/>
      <c r="H42" s="389"/>
      <c r="I42" s="356"/>
      <c r="J42" s="357"/>
      <c r="K42" s="262"/>
      <c r="L42" s="357"/>
      <c r="M42" s="262"/>
      <c r="N42" s="357"/>
      <c r="O42" s="262"/>
      <c r="P42" s="357"/>
      <c r="Q42" s="262"/>
      <c r="R42" s="264"/>
      <c r="S42" s="265"/>
      <c r="T42" s="17"/>
      <c r="U42" s="17"/>
    </row>
    <row r="43">
      <c r="A43" s="255"/>
      <c r="B43" s="23"/>
      <c r="C43" s="23"/>
      <c r="D43" s="98"/>
      <c r="E43" s="258"/>
      <c r="F43" s="25"/>
      <c r="G43" s="34"/>
      <c r="H43" s="389"/>
      <c r="I43" s="356"/>
      <c r="J43" s="357"/>
      <c r="K43" s="262"/>
      <c r="L43" s="357"/>
      <c r="M43" s="262"/>
      <c r="N43" s="357"/>
      <c r="O43" s="262"/>
      <c r="P43" s="357"/>
      <c r="Q43" s="262"/>
      <c r="R43" s="264"/>
      <c r="S43" s="265"/>
      <c r="T43" s="17"/>
      <c r="U43" s="17"/>
    </row>
    <row r="44">
      <c r="A44" s="255"/>
      <c r="B44" s="23"/>
      <c r="C44" s="23"/>
      <c r="D44" s="98"/>
      <c r="E44" s="258"/>
      <c r="F44" s="25"/>
      <c r="G44" s="391"/>
      <c r="H44" s="389"/>
      <c r="I44" s="356"/>
      <c r="J44" s="357"/>
      <c r="K44" s="262"/>
      <c r="L44" s="357"/>
      <c r="M44" s="262"/>
      <c r="N44" s="357"/>
      <c r="O44" s="262"/>
      <c r="P44" s="357"/>
      <c r="Q44" s="262"/>
      <c r="R44" s="264"/>
      <c r="S44" s="265"/>
      <c r="T44" s="17"/>
      <c r="U44" s="17"/>
    </row>
    <row r="45">
      <c r="A45" s="255"/>
      <c r="B45" s="23"/>
      <c r="C45" s="23"/>
      <c r="D45" s="98"/>
      <c r="E45" s="258"/>
      <c r="F45" s="25"/>
      <c r="G45" s="391"/>
      <c r="H45" s="389"/>
      <c r="I45" s="356"/>
      <c r="J45" s="357"/>
      <c r="K45" s="262"/>
      <c r="L45" s="357"/>
      <c r="M45" s="262"/>
      <c r="N45" s="357"/>
      <c r="O45" s="262"/>
      <c r="P45" s="357"/>
      <c r="Q45" s="262"/>
      <c r="R45" s="264"/>
      <c r="S45" s="265"/>
      <c r="T45" s="17"/>
      <c r="U45" s="17"/>
    </row>
    <row r="46">
      <c r="A46" s="255"/>
      <c r="B46" s="23"/>
      <c r="C46" s="23"/>
      <c r="D46" s="98"/>
      <c r="E46" s="258"/>
      <c r="F46" s="25"/>
      <c r="G46" s="391"/>
      <c r="H46" s="389"/>
      <c r="I46" s="356"/>
      <c r="J46" s="357"/>
      <c r="K46" s="262"/>
      <c r="L46" s="357"/>
      <c r="M46" s="262"/>
      <c r="N46" s="357"/>
      <c r="O46" s="262"/>
      <c r="P46" s="357"/>
      <c r="Q46" s="262"/>
      <c r="R46" s="264"/>
      <c r="S46" s="265"/>
      <c r="T46" s="17"/>
      <c r="U46" s="17"/>
    </row>
    <row r="47">
      <c r="A47" s="255"/>
      <c r="B47" s="23"/>
      <c r="C47" s="23"/>
      <c r="D47" s="98"/>
      <c r="E47" s="258"/>
      <c r="F47" s="25"/>
      <c r="G47" s="34"/>
      <c r="H47" s="389"/>
      <c r="I47" s="356"/>
      <c r="J47" s="357"/>
      <c r="K47" s="262"/>
      <c r="L47" s="357"/>
      <c r="M47" s="262"/>
      <c r="N47" s="357"/>
      <c r="O47" s="262"/>
      <c r="P47" s="357"/>
      <c r="Q47" s="262"/>
      <c r="R47" s="264"/>
      <c r="S47" s="265"/>
      <c r="T47" s="17"/>
      <c r="U47" s="17"/>
    </row>
    <row r="48">
      <c r="A48" s="255"/>
      <c r="B48" s="23"/>
      <c r="C48" s="23"/>
      <c r="D48" s="98"/>
      <c r="E48" s="258"/>
      <c r="F48" s="25"/>
      <c r="G48" s="391"/>
      <c r="H48" s="389"/>
      <c r="I48" s="356"/>
      <c r="J48" s="357"/>
      <c r="K48" s="262"/>
      <c r="L48" s="357"/>
      <c r="M48" s="262"/>
      <c r="N48" s="357"/>
      <c r="O48" s="262"/>
      <c r="P48" s="357"/>
      <c r="Q48" s="262"/>
      <c r="R48" s="264"/>
      <c r="S48" s="265"/>
      <c r="T48" s="17"/>
      <c r="U48" s="17"/>
    </row>
    <row r="49">
      <c r="A49" s="255"/>
      <c r="B49" s="23"/>
      <c r="C49" s="23"/>
      <c r="D49" s="98"/>
      <c r="E49" s="258"/>
      <c r="F49" s="25"/>
      <c r="G49" s="34"/>
      <c r="H49" s="389"/>
      <c r="I49" s="356"/>
      <c r="J49" s="357"/>
      <c r="K49" s="390"/>
      <c r="L49" s="357"/>
      <c r="M49" s="262"/>
      <c r="N49" s="357"/>
      <c r="O49" s="262"/>
      <c r="P49" s="357"/>
      <c r="Q49" s="262"/>
      <c r="R49" s="264"/>
      <c r="S49" s="265"/>
      <c r="T49" s="17"/>
      <c r="U49" s="17"/>
    </row>
    <row r="50">
      <c r="A50" s="255"/>
      <c r="B50" s="23"/>
      <c r="C50" s="23"/>
      <c r="D50" s="98"/>
      <c r="E50" s="258"/>
      <c r="F50" s="25"/>
      <c r="G50" s="34"/>
      <c r="H50" s="389"/>
      <c r="I50" s="356"/>
      <c r="J50" s="357"/>
      <c r="K50" s="390"/>
      <c r="L50" s="357"/>
      <c r="M50" s="262"/>
      <c r="N50" s="357"/>
      <c r="O50" s="262"/>
      <c r="P50" s="357"/>
      <c r="Q50" s="262"/>
      <c r="R50" s="264"/>
      <c r="S50" s="265"/>
      <c r="T50" s="17"/>
      <c r="U50" s="17"/>
    </row>
    <row r="51">
      <c r="A51" s="255"/>
      <c r="B51" s="23"/>
      <c r="C51" s="23"/>
      <c r="D51" s="98"/>
      <c r="E51" s="258"/>
      <c r="F51" s="25"/>
      <c r="G51" s="391"/>
      <c r="H51" s="389"/>
      <c r="I51" s="356"/>
      <c r="J51" s="357"/>
      <c r="K51" s="262"/>
      <c r="L51" s="357"/>
      <c r="M51" s="262"/>
      <c r="N51" s="357"/>
      <c r="O51" s="262"/>
      <c r="P51" s="357"/>
      <c r="Q51" s="262"/>
      <c r="R51" s="264"/>
      <c r="S51" s="265"/>
      <c r="T51" s="17"/>
      <c r="U51" s="17"/>
    </row>
    <row r="52">
      <c r="A52" s="255"/>
      <c r="B52" s="23"/>
      <c r="C52" s="23"/>
      <c r="D52" s="98"/>
      <c r="E52" s="258"/>
      <c r="F52" s="25"/>
      <c r="G52" s="391"/>
      <c r="H52" s="389"/>
      <c r="I52" s="356"/>
      <c r="J52" s="357"/>
      <c r="K52" s="262"/>
      <c r="L52" s="357"/>
      <c r="M52" s="262"/>
      <c r="N52" s="357"/>
      <c r="O52" s="262"/>
      <c r="P52" s="357"/>
      <c r="Q52" s="262"/>
      <c r="R52" s="264"/>
      <c r="S52" s="265"/>
      <c r="T52" s="17"/>
      <c r="U52" s="17"/>
    </row>
    <row r="53">
      <c r="A53" s="255"/>
      <c r="B53" s="23"/>
      <c r="C53" s="23"/>
      <c r="D53" s="98"/>
      <c r="E53" s="258"/>
      <c r="F53" s="25"/>
      <c r="G53" s="391"/>
      <c r="H53" s="389"/>
      <c r="I53" s="356"/>
      <c r="J53" s="357"/>
      <c r="K53" s="390"/>
      <c r="L53" s="357"/>
      <c r="M53" s="262"/>
      <c r="N53" s="357"/>
      <c r="O53" s="262"/>
      <c r="P53" s="357"/>
      <c r="Q53" s="262"/>
      <c r="R53" s="264"/>
      <c r="S53" s="265"/>
      <c r="T53" s="17"/>
      <c r="U53" s="17"/>
    </row>
    <row r="54">
      <c r="A54" s="255"/>
      <c r="B54" s="23"/>
      <c r="C54" s="23"/>
      <c r="D54" s="98"/>
      <c r="E54" s="258"/>
      <c r="F54" s="25"/>
      <c r="G54" s="34"/>
      <c r="H54" s="389"/>
      <c r="I54" s="356"/>
      <c r="J54" s="357"/>
      <c r="K54" s="262"/>
      <c r="L54" s="357"/>
      <c r="M54" s="262"/>
      <c r="N54" s="357"/>
      <c r="O54" s="262"/>
      <c r="P54" s="357"/>
      <c r="Q54" s="262"/>
      <c r="R54" s="392">
        <v>8939895.0</v>
      </c>
      <c r="S54" s="265"/>
      <c r="T54" s="17"/>
      <c r="U54" s="17"/>
    </row>
    <row r="55">
      <c r="A55" s="255"/>
      <c r="B55" s="23"/>
      <c r="C55" s="23"/>
      <c r="D55" s="98"/>
      <c r="E55" s="258"/>
      <c r="F55" s="25"/>
      <c r="G55" s="34"/>
      <c r="H55" s="389"/>
      <c r="I55" s="356"/>
      <c r="J55" s="357"/>
      <c r="K55" s="262"/>
      <c r="L55" s="357"/>
      <c r="M55" s="262"/>
      <c r="N55" s="357"/>
      <c r="O55" s="262"/>
      <c r="P55" s="357"/>
      <c r="Q55" s="262"/>
      <c r="R55" s="264"/>
      <c r="S55" s="265"/>
      <c r="T55" s="17"/>
      <c r="U55" s="17"/>
    </row>
    <row r="56">
      <c r="A56" s="255"/>
      <c r="B56" s="23"/>
      <c r="C56" s="23"/>
      <c r="D56" s="98"/>
      <c r="E56" s="258"/>
      <c r="F56" s="25"/>
      <c r="G56" s="391"/>
      <c r="H56" s="389"/>
      <c r="I56" s="356"/>
      <c r="J56" s="357"/>
      <c r="K56" s="262"/>
      <c r="L56" s="357"/>
      <c r="M56" s="262"/>
      <c r="N56" s="357"/>
      <c r="O56" s="262"/>
      <c r="P56" s="357"/>
      <c r="Q56" s="262"/>
      <c r="R56" s="264"/>
      <c r="S56" s="265"/>
      <c r="T56" s="17"/>
      <c r="U56" s="17"/>
    </row>
    <row r="57">
      <c r="A57" s="255"/>
      <c r="B57" s="23"/>
      <c r="C57" s="23"/>
      <c r="D57" s="98"/>
      <c r="E57" s="258"/>
      <c r="F57" s="25"/>
      <c r="G57" s="34"/>
      <c r="H57" s="389"/>
      <c r="I57" s="356"/>
      <c r="J57" s="357"/>
      <c r="K57" s="262"/>
      <c r="L57" s="357"/>
      <c r="M57" s="262"/>
      <c r="N57" s="357"/>
      <c r="O57" s="262"/>
      <c r="P57" s="357"/>
      <c r="Q57" s="262"/>
      <c r="R57" s="264"/>
      <c r="S57" s="265"/>
      <c r="T57" s="17"/>
      <c r="U57" s="17"/>
    </row>
    <row r="58">
      <c r="A58" s="255"/>
      <c r="B58" s="23"/>
      <c r="C58" s="23"/>
      <c r="D58" s="98"/>
      <c r="E58" s="258"/>
      <c r="F58" s="25"/>
      <c r="G58" s="34"/>
      <c r="H58" s="389"/>
      <c r="I58" s="356"/>
      <c r="J58" s="357"/>
      <c r="K58" s="390"/>
      <c r="L58" s="357"/>
      <c r="M58" s="262"/>
      <c r="N58" s="357"/>
      <c r="O58" s="262"/>
      <c r="P58" s="357"/>
      <c r="Q58" s="262"/>
      <c r="R58" s="264"/>
      <c r="S58" s="265"/>
      <c r="T58" s="17"/>
      <c r="U58" s="17"/>
    </row>
    <row r="59">
      <c r="A59" s="255"/>
      <c r="B59" s="23"/>
      <c r="C59" s="23"/>
      <c r="D59" s="98"/>
      <c r="E59" s="258"/>
      <c r="F59" s="25"/>
      <c r="G59" s="34"/>
      <c r="H59" s="389"/>
      <c r="I59" s="356"/>
      <c r="J59" s="357"/>
      <c r="K59" s="262"/>
      <c r="L59" s="357"/>
      <c r="M59" s="262"/>
      <c r="N59" s="357"/>
      <c r="O59" s="262"/>
      <c r="P59" s="357"/>
      <c r="Q59" s="262"/>
      <c r="R59" s="264"/>
      <c r="S59" s="265"/>
      <c r="T59" s="17"/>
      <c r="U59" s="17"/>
    </row>
    <row r="60">
      <c r="A60" s="255"/>
      <c r="B60" s="23"/>
      <c r="C60" s="23"/>
      <c r="D60" s="98"/>
      <c r="E60" s="258"/>
      <c r="F60" s="25"/>
      <c r="G60" s="34"/>
      <c r="H60" s="389"/>
      <c r="I60" s="356"/>
      <c r="J60" s="357"/>
      <c r="K60" s="262"/>
      <c r="L60" s="357"/>
      <c r="M60" s="262"/>
      <c r="N60" s="357"/>
      <c r="O60" s="262"/>
      <c r="P60" s="357"/>
      <c r="Q60" s="262"/>
      <c r="R60" s="264"/>
      <c r="S60" s="265"/>
      <c r="T60" s="17"/>
      <c r="U60" s="17"/>
    </row>
    <row r="61">
      <c r="A61" s="255"/>
      <c r="B61" s="23"/>
      <c r="C61" s="23"/>
      <c r="D61" s="98"/>
      <c r="E61" s="258"/>
      <c r="F61" s="25"/>
      <c r="G61" s="34"/>
      <c r="H61" s="389"/>
      <c r="I61" s="356"/>
      <c r="J61" s="357"/>
      <c r="K61" s="262"/>
      <c r="L61" s="357"/>
      <c r="M61" s="262"/>
      <c r="N61" s="357"/>
      <c r="O61" s="262"/>
      <c r="P61" s="357"/>
      <c r="Q61" s="262"/>
      <c r="R61" s="264"/>
      <c r="S61" s="265"/>
      <c r="T61" s="17"/>
      <c r="U61" s="17"/>
    </row>
    <row r="62">
      <c r="A62" s="255"/>
      <c r="B62" s="23"/>
      <c r="C62" s="23"/>
      <c r="D62" s="98"/>
      <c r="E62" s="258"/>
      <c r="F62" s="25"/>
      <c r="G62" s="34"/>
      <c r="H62" s="389"/>
      <c r="I62" s="356"/>
      <c r="J62" s="357"/>
      <c r="K62" s="262"/>
      <c r="L62" s="357"/>
      <c r="M62" s="262"/>
      <c r="N62" s="357"/>
      <c r="O62" s="262"/>
      <c r="P62" s="357"/>
      <c r="Q62" s="262"/>
      <c r="R62" s="264"/>
      <c r="S62" s="265"/>
      <c r="T62" s="17"/>
      <c r="U62" s="17"/>
    </row>
    <row r="63">
      <c r="A63" s="255"/>
      <c r="B63" s="23"/>
      <c r="C63" s="23"/>
      <c r="D63" s="98"/>
      <c r="E63" s="258"/>
      <c r="F63" s="25"/>
      <c r="G63" s="34"/>
      <c r="H63" s="389"/>
      <c r="I63" s="356"/>
      <c r="J63" s="357"/>
      <c r="K63" s="262"/>
      <c r="L63" s="357"/>
      <c r="M63" s="262"/>
      <c r="N63" s="357"/>
      <c r="O63" s="262"/>
      <c r="P63" s="357"/>
      <c r="Q63" s="262"/>
      <c r="R63" s="264"/>
      <c r="S63" s="265"/>
      <c r="T63" s="17"/>
      <c r="U63" s="17"/>
    </row>
    <row r="64">
      <c r="A64" s="255"/>
      <c r="B64" s="23"/>
      <c r="C64" s="23"/>
      <c r="D64" s="98"/>
      <c r="E64" s="258"/>
      <c r="F64" s="25"/>
      <c r="G64" s="17"/>
      <c r="H64" s="389"/>
      <c r="I64" s="356"/>
      <c r="J64" s="357"/>
      <c r="K64" s="262"/>
      <c r="L64" s="357"/>
      <c r="M64" s="262"/>
      <c r="N64" s="357"/>
      <c r="O64" s="262"/>
      <c r="P64" s="357"/>
      <c r="Q64" s="262"/>
      <c r="R64" s="264"/>
      <c r="S64" s="265"/>
      <c r="T64" s="17"/>
      <c r="U64" s="17"/>
    </row>
    <row r="65">
      <c r="A65" s="255"/>
      <c r="B65" s="23"/>
      <c r="C65" s="23"/>
      <c r="D65" s="98"/>
      <c r="E65" s="258"/>
      <c r="F65" s="25"/>
      <c r="G65" s="17"/>
      <c r="H65" s="389"/>
      <c r="I65" s="356"/>
      <c r="J65" s="357"/>
      <c r="K65" s="262"/>
      <c r="L65" s="357"/>
      <c r="M65" s="262"/>
      <c r="N65" s="357"/>
      <c r="O65" s="262"/>
      <c r="P65" s="357"/>
      <c r="Q65" s="262"/>
      <c r="R65" s="264"/>
      <c r="S65" s="265"/>
      <c r="T65" s="17"/>
      <c r="U65" s="17"/>
    </row>
    <row r="66">
      <c r="A66" s="255"/>
      <c r="B66" s="23"/>
      <c r="C66" s="23"/>
      <c r="D66" s="98"/>
      <c r="E66" s="258"/>
      <c r="F66" s="25"/>
      <c r="G66" s="17"/>
      <c r="H66" s="389"/>
      <c r="I66" s="356"/>
      <c r="J66" s="357"/>
      <c r="K66" s="262"/>
      <c r="L66" s="357"/>
      <c r="M66" s="262"/>
      <c r="N66" s="357"/>
      <c r="O66" s="262"/>
      <c r="P66" s="357"/>
      <c r="Q66" s="262"/>
      <c r="R66" s="264"/>
      <c r="S66" s="265"/>
      <c r="T66" s="17"/>
      <c r="U66" s="17"/>
    </row>
    <row r="67">
      <c r="A67" s="255"/>
      <c r="B67" s="23"/>
      <c r="C67" s="23"/>
      <c r="D67" s="98"/>
      <c r="E67" s="258"/>
      <c r="F67" s="25"/>
      <c r="G67" s="17"/>
      <c r="H67" s="389"/>
      <c r="I67" s="356"/>
      <c r="J67" s="357"/>
      <c r="K67" s="262"/>
      <c r="L67" s="357"/>
      <c r="M67" s="262"/>
      <c r="N67" s="357"/>
      <c r="O67" s="262"/>
      <c r="P67" s="357"/>
      <c r="Q67" s="262"/>
      <c r="R67" s="264"/>
      <c r="S67" s="265"/>
      <c r="T67" s="17"/>
      <c r="U67" s="17"/>
    </row>
    <row r="68">
      <c r="A68" s="255"/>
      <c r="B68" s="23"/>
      <c r="C68" s="23"/>
      <c r="D68" s="98"/>
      <c r="E68" s="258"/>
      <c r="F68" s="25"/>
      <c r="G68" s="17"/>
      <c r="H68" s="389"/>
      <c r="I68" s="356"/>
      <c r="J68" s="357"/>
      <c r="K68" s="262"/>
      <c r="L68" s="357"/>
      <c r="M68" s="262"/>
      <c r="N68" s="357"/>
      <c r="O68" s="262"/>
      <c r="P68" s="357"/>
      <c r="Q68" s="262"/>
      <c r="R68" s="264"/>
      <c r="S68" s="265"/>
      <c r="T68" s="17"/>
      <c r="U68" s="17"/>
    </row>
    <row r="69">
      <c r="A69" s="255"/>
      <c r="B69" s="23"/>
      <c r="C69" s="23"/>
      <c r="D69" s="98"/>
      <c r="E69" s="258"/>
      <c r="F69" s="25"/>
      <c r="G69" s="17"/>
      <c r="H69" s="389"/>
      <c r="I69" s="356"/>
      <c r="J69" s="357"/>
      <c r="K69" s="262"/>
      <c r="L69" s="357"/>
      <c r="M69" s="262"/>
      <c r="N69" s="357"/>
      <c r="O69" s="262"/>
      <c r="P69" s="357"/>
      <c r="Q69" s="262"/>
      <c r="R69" s="264"/>
      <c r="S69" s="265"/>
      <c r="T69" s="17"/>
      <c r="U69" s="17"/>
    </row>
    <row r="70">
      <c r="A70" s="255"/>
      <c r="B70" s="23"/>
      <c r="C70" s="23"/>
      <c r="D70" s="98"/>
      <c r="E70" s="258"/>
      <c r="F70" s="25"/>
      <c r="G70" s="17"/>
      <c r="H70" s="389"/>
      <c r="I70" s="356"/>
      <c r="J70" s="357"/>
      <c r="K70" s="262"/>
      <c r="L70" s="357"/>
      <c r="M70" s="262"/>
      <c r="N70" s="357"/>
      <c r="O70" s="262"/>
      <c r="P70" s="357"/>
      <c r="Q70" s="262"/>
      <c r="R70" s="264"/>
      <c r="S70" s="265"/>
      <c r="T70" s="17"/>
      <c r="U70" s="17"/>
    </row>
    <row r="71">
      <c r="A71" s="255"/>
      <c r="B71" s="23"/>
      <c r="C71" s="23"/>
      <c r="D71" s="98"/>
      <c r="E71" s="258"/>
      <c r="F71" s="25"/>
      <c r="G71" s="17"/>
      <c r="H71" s="389"/>
      <c r="I71" s="356"/>
      <c r="J71" s="357"/>
      <c r="K71" s="262"/>
      <c r="L71" s="357"/>
      <c r="M71" s="262"/>
      <c r="N71" s="357"/>
      <c r="O71" s="262"/>
      <c r="P71" s="357"/>
      <c r="Q71" s="262"/>
      <c r="R71" s="264"/>
      <c r="S71" s="265"/>
      <c r="T71" s="17"/>
      <c r="U71" s="17"/>
    </row>
    <row r="72">
      <c r="A72" s="255"/>
      <c r="B72" s="23"/>
      <c r="C72" s="23"/>
      <c r="D72" s="98"/>
      <c r="E72" s="258"/>
      <c r="F72" s="25"/>
      <c r="G72" s="17"/>
      <c r="H72" s="389"/>
      <c r="I72" s="356"/>
      <c r="J72" s="357"/>
      <c r="K72" s="262"/>
      <c r="L72" s="357"/>
      <c r="M72" s="262"/>
      <c r="N72" s="357"/>
      <c r="O72" s="262"/>
      <c r="P72" s="357"/>
      <c r="Q72" s="262"/>
      <c r="R72" s="264"/>
      <c r="S72" s="265"/>
      <c r="T72" s="17"/>
      <c r="U72" s="17"/>
    </row>
    <row r="73">
      <c r="A73" s="255"/>
      <c r="B73" s="23"/>
      <c r="C73" s="23"/>
      <c r="D73" s="98"/>
      <c r="E73" s="258"/>
      <c r="F73" s="25"/>
      <c r="G73" s="17"/>
      <c r="H73" s="389"/>
      <c r="I73" s="356"/>
      <c r="J73" s="357"/>
      <c r="K73" s="262"/>
      <c r="L73" s="357"/>
      <c r="M73" s="262"/>
      <c r="N73" s="357"/>
      <c r="O73" s="262"/>
      <c r="P73" s="357"/>
      <c r="Q73" s="262"/>
      <c r="R73" s="264"/>
      <c r="S73" s="265"/>
      <c r="T73" s="17"/>
      <c r="U73" s="17"/>
    </row>
    <row r="74">
      <c r="A74" s="255"/>
      <c r="B74" s="23"/>
      <c r="C74" s="23"/>
      <c r="D74" s="98"/>
      <c r="E74" s="258"/>
      <c r="F74" s="25"/>
      <c r="G74" s="17"/>
      <c r="H74" s="389"/>
      <c r="I74" s="356"/>
      <c r="J74" s="357"/>
      <c r="K74" s="262"/>
      <c r="L74" s="357"/>
      <c r="M74" s="262"/>
      <c r="N74" s="357"/>
      <c r="O74" s="262"/>
      <c r="P74" s="357"/>
      <c r="Q74" s="262"/>
      <c r="R74" s="264"/>
      <c r="S74" s="265"/>
      <c r="T74" s="17"/>
      <c r="U74" s="17"/>
    </row>
    <row r="75">
      <c r="A75" s="255"/>
      <c r="B75" s="23"/>
      <c r="C75" s="23"/>
      <c r="D75" s="98"/>
      <c r="E75" s="258"/>
      <c r="F75" s="25"/>
      <c r="G75" s="17"/>
      <c r="H75" s="389"/>
      <c r="I75" s="356"/>
      <c r="J75" s="357"/>
      <c r="K75" s="262"/>
      <c r="L75" s="357"/>
      <c r="M75" s="262"/>
      <c r="N75" s="357"/>
      <c r="O75" s="262"/>
      <c r="P75" s="357"/>
      <c r="Q75" s="262"/>
      <c r="R75" s="264"/>
      <c r="S75" s="265"/>
      <c r="T75" s="17"/>
      <c r="U75" s="17"/>
    </row>
    <row r="76">
      <c r="A76" s="255"/>
      <c r="B76" s="23"/>
      <c r="C76" s="23"/>
      <c r="D76" s="98"/>
      <c r="E76" s="258"/>
      <c r="F76" s="25"/>
      <c r="G76" s="17"/>
      <c r="H76" s="389"/>
      <c r="I76" s="356"/>
      <c r="J76" s="357"/>
      <c r="K76" s="262"/>
      <c r="L76" s="357"/>
      <c r="M76" s="262"/>
      <c r="N76" s="357"/>
      <c r="O76" s="262"/>
      <c r="P76" s="357"/>
      <c r="Q76" s="262"/>
      <c r="R76" s="264"/>
      <c r="S76" s="265"/>
      <c r="T76" s="17"/>
      <c r="U76" s="17"/>
    </row>
    <row r="77">
      <c r="A77" s="255"/>
      <c r="B77" s="23"/>
      <c r="C77" s="23"/>
      <c r="D77" s="98"/>
      <c r="E77" s="258"/>
      <c r="F77" s="25"/>
      <c r="G77" s="17"/>
      <c r="H77" s="389"/>
      <c r="I77" s="356"/>
      <c r="J77" s="357"/>
      <c r="K77" s="262"/>
      <c r="L77" s="357"/>
      <c r="M77" s="262"/>
      <c r="N77" s="357"/>
      <c r="O77" s="262"/>
      <c r="P77" s="357"/>
      <c r="Q77" s="262"/>
      <c r="R77" s="264"/>
      <c r="S77" s="265"/>
      <c r="T77" s="17"/>
      <c r="U77" s="17"/>
    </row>
    <row r="78">
      <c r="A78" s="255"/>
      <c r="B78" s="23"/>
      <c r="C78" s="23"/>
      <c r="D78" s="98"/>
      <c r="E78" s="258"/>
      <c r="F78" s="25"/>
      <c r="G78" s="17"/>
      <c r="H78" s="389"/>
      <c r="I78" s="356"/>
      <c r="J78" s="357"/>
      <c r="K78" s="262"/>
      <c r="L78" s="357"/>
      <c r="M78" s="262"/>
      <c r="N78" s="357"/>
      <c r="O78" s="262"/>
      <c r="P78" s="357"/>
      <c r="Q78" s="262"/>
      <c r="R78" s="264"/>
      <c r="S78" s="265"/>
      <c r="T78" s="17"/>
      <c r="U78" s="17"/>
    </row>
    <row r="79">
      <c r="A79" s="255"/>
      <c r="B79" s="23"/>
      <c r="C79" s="23"/>
      <c r="D79" s="98"/>
      <c r="E79" s="258"/>
      <c r="F79" s="25"/>
      <c r="G79" s="17"/>
      <c r="H79" s="389"/>
      <c r="I79" s="356"/>
      <c r="J79" s="357"/>
      <c r="K79" s="262"/>
      <c r="L79" s="357"/>
      <c r="M79" s="262"/>
      <c r="N79" s="357"/>
      <c r="O79" s="262"/>
      <c r="P79" s="357"/>
      <c r="Q79" s="262"/>
      <c r="R79" s="264"/>
      <c r="S79" s="265"/>
      <c r="T79" s="17"/>
      <c r="U79" s="17"/>
    </row>
    <row r="80">
      <c r="A80" s="255"/>
      <c r="B80" s="23"/>
      <c r="C80" s="23"/>
      <c r="D80" s="98"/>
      <c r="E80" s="258"/>
      <c r="F80" s="25"/>
      <c r="G80" s="17"/>
      <c r="H80" s="389"/>
      <c r="I80" s="356"/>
      <c r="J80" s="357"/>
      <c r="K80" s="262"/>
      <c r="L80" s="357"/>
      <c r="M80" s="262"/>
      <c r="N80" s="357"/>
      <c r="O80" s="262"/>
      <c r="P80" s="357"/>
      <c r="Q80" s="262"/>
      <c r="R80" s="264"/>
      <c r="S80" s="265"/>
      <c r="T80" s="17"/>
      <c r="U80" s="17"/>
    </row>
    <row r="81">
      <c r="A81" s="255"/>
      <c r="B81" s="23"/>
      <c r="C81" s="23"/>
      <c r="D81" s="98"/>
      <c r="E81" s="258"/>
      <c r="F81" s="25"/>
      <c r="G81" s="17"/>
      <c r="H81" s="389"/>
      <c r="I81" s="356"/>
      <c r="J81" s="357"/>
      <c r="K81" s="262"/>
      <c r="L81" s="357"/>
      <c r="M81" s="262"/>
      <c r="N81" s="357"/>
      <c r="O81" s="262"/>
      <c r="P81" s="357"/>
      <c r="Q81" s="262"/>
      <c r="R81" s="264"/>
      <c r="S81" s="265"/>
      <c r="T81" s="17"/>
      <c r="U81" s="17"/>
    </row>
    <row r="82">
      <c r="A82" s="255"/>
      <c r="B82" s="23"/>
      <c r="C82" s="23"/>
      <c r="D82" s="98"/>
      <c r="E82" s="258"/>
      <c r="F82" s="25"/>
      <c r="G82" s="17"/>
      <c r="H82" s="389"/>
      <c r="I82" s="356"/>
      <c r="J82" s="357"/>
      <c r="K82" s="262"/>
      <c r="L82" s="357"/>
      <c r="M82" s="262"/>
      <c r="N82" s="357"/>
      <c r="O82" s="262"/>
      <c r="P82" s="357"/>
      <c r="Q82" s="262"/>
      <c r="R82" s="264"/>
      <c r="S82" s="265"/>
      <c r="T82" s="17"/>
      <c r="U82" s="17"/>
    </row>
    <row r="83">
      <c r="A83" s="255"/>
      <c r="B83" s="23"/>
      <c r="C83" s="23"/>
      <c r="D83" s="98"/>
      <c r="E83" s="258"/>
      <c r="F83" s="25"/>
      <c r="G83" s="17"/>
      <c r="H83" s="389"/>
      <c r="I83" s="356"/>
      <c r="J83" s="357"/>
      <c r="K83" s="262"/>
      <c r="L83" s="357"/>
      <c r="M83" s="262"/>
      <c r="N83" s="357"/>
      <c r="O83" s="262"/>
      <c r="P83" s="357"/>
      <c r="Q83" s="262"/>
      <c r="R83" s="264"/>
      <c r="S83" s="265"/>
      <c r="T83" s="17"/>
      <c r="U83" s="17"/>
    </row>
    <row r="84">
      <c r="A84" s="255"/>
      <c r="B84" s="23"/>
      <c r="C84" s="23"/>
      <c r="D84" s="98"/>
      <c r="E84" s="258"/>
      <c r="F84" s="25"/>
      <c r="G84" s="17"/>
      <c r="H84" s="389"/>
      <c r="I84" s="356"/>
      <c r="J84" s="357"/>
      <c r="K84" s="262"/>
      <c r="L84" s="357"/>
      <c r="M84" s="262"/>
      <c r="N84" s="357"/>
      <c r="O84" s="262"/>
      <c r="P84" s="357"/>
      <c r="Q84" s="262"/>
      <c r="R84" s="264"/>
      <c r="S84" s="265"/>
      <c r="T84" s="17"/>
      <c r="U84" s="17"/>
    </row>
    <row r="85">
      <c r="A85" s="255"/>
      <c r="B85" s="23"/>
      <c r="C85" s="23"/>
      <c r="D85" s="98"/>
      <c r="E85" s="258"/>
      <c r="F85" s="25"/>
      <c r="G85" s="17"/>
      <c r="H85" s="389"/>
      <c r="I85" s="356"/>
      <c r="J85" s="357"/>
      <c r="K85" s="262"/>
      <c r="L85" s="357"/>
      <c r="M85" s="262"/>
      <c r="N85" s="357"/>
      <c r="O85" s="262"/>
      <c r="P85" s="357"/>
      <c r="Q85" s="262"/>
      <c r="R85" s="264"/>
      <c r="S85" s="265"/>
      <c r="T85" s="17"/>
      <c r="U85" s="17"/>
    </row>
    <row r="86">
      <c r="A86" s="255"/>
      <c r="B86" s="23"/>
      <c r="C86" s="23"/>
      <c r="D86" s="98"/>
      <c r="E86" s="258"/>
      <c r="F86" s="25"/>
      <c r="G86" s="17"/>
      <c r="H86" s="389"/>
      <c r="I86" s="356"/>
      <c r="J86" s="357"/>
      <c r="K86" s="262"/>
      <c r="L86" s="357"/>
      <c r="M86" s="262"/>
      <c r="N86" s="357"/>
      <c r="O86" s="262"/>
      <c r="P86" s="357"/>
      <c r="Q86" s="262"/>
      <c r="R86" s="264"/>
      <c r="S86" s="265"/>
      <c r="T86" s="17"/>
      <c r="U86" s="17"/>
    </row>
    <row r="87">
      <c r="A87" s="255"/>
      <c r="B87" s="23"/>
      <c r="C87" s="23"/>
      <c r="D87" s="98"/>
      <c r="E87" s="258"/>
      <c r="F87" s="25"/>
      <c r="G87" s="17"/>
      <c r="H87" s="389"/>
      <c r="I87" s="356"/>
      <c r="J87" s="357"/>
      <c r="K87" s="262"/>
      <c r="L87" s="357"/>
      <c r="M87" s="262"/>
      <c r="N87" s="357"/>
      <c r="O87" s="262"/>
      <c r="P87" s="357"/>
      <c r="Q87" s="262"/>
      <c r="R87" s="264"/>
      <c r="S87" s="265"/>
      <c r="T87" s="17"/>
      <c r="U87" s="17"/>
    </row>
    <row r="88">
      <c r="A88" s="255"/>
      <c r="B88" s="23"/>
      <c r="C88" s="23"/>
      <c r="D88" s="98"/>
      <c r="E88" s="258"/>
      <c r="F88" s="25"/>
      <c r="G88" s="17"/>
      <c r="H88" s="389"/>
      <c r="I88" s="356"/>
      <c r="J88" s="357"/>
      <c r="K88" s="262"/>
      <c r="L88" s="357"/>
      <c r="M88" s="262"/>
      <c r="N88" s="357"/>
      <c r="O88" s="262"/>
      <c r="P88" s="357"/>
      <c r="Q88" s="262"/>
      <c r="R88" s="264"/>
      <c r="S88" s="265"/>
      <c r="T88" s="17"/>
      <c r="U88" s="17"/>
    </row>
    <row r="89">
      <c r="A89" s="255"/>
      <c r="B89" s="23"/>
      <c r="C89" s="23"/>
      <c r="D89" s="98"/>
      <c r="E89" s="258"/>
      <c r="F89" s="25"/>
      <c r="G89" s="17"/>
      <c r="H89" s="389"/>
      <c r="I89" s="356"/>
      <c r="J89" s="357"/>
      <c r="K89" s="262"/>
      <c r="L89" s="357"/>
      <c r="M89" s="262"/>
      <c r="N89" s="357"/>
      <c r="O89" s="262"/>
      <c r="P89" s="357"/>
      <c r="Q89" s="262"/>
      <c r="R89" s="264"/>
      <c r="S89" s="265"/>
      <c r="T89" s="17"/>
      <c r="U89" s="17"/>
    </row>
    <row r="90">
      <c r="A90" s="255"/>
      <c r="B90" s="23"/>
      <c r="C90" s="23"/>
      <c r="D90" s="98"/>
      <c r="E90" s="258"/>
      <c r="F90" s="25"/>
      <c r="G90" s="17"/>
      <c r="H90" s="389"/>
      <c r="I90" s="356"/>
      <c r="J90" s="357"/>
      <c r="K90" s="262"/>
      <c r="L90" s="357"/>
      <c r="M90" s="262"/>
      <c r="N90" s="357"/>
      <c r="O90" s="262"/>
      <c r="P90" s="357"/>
      <c r="Q90" s="262"/>
      <c r="R90" s="264"/>
      <c r="S90" s="265"/>
      <c r="T90" s="17"/>
      <c r="U90" s="17"/>
    </row>
    <row r="91">
      <c r="A91" s="255"/>
      <c r="B91" s="23"/>
      <c r="C91" s="23"/>
      <c r="D91" s="98"/>
      <c r="E91" s="258"/>
      <c r="F91" s="25"/>
      <c r="G91" s="17"/>
      <c r="H91" s="389"/>
      <c r="I91" s="356"/>
      <c r="J91" s="357"/>
      <c r="K91" s="262"/>
      <c r="L91" s="357"/>
      <c r="M91" s="262"/>
      <c r="N91" s="357"/>
      <c r="O91" s="262"/>
      <c r="P91" s="357"/>
      <c r="Q91" s="262"/>
      <c r="R91" s="264"/>
      <c r="S91" s="265"/>
      <c r="T91" s="17"/>
      <c r="U91" s="17"/>
    </row>
    <row r="92">
      <c r="A92" s="255"/>
      <c r="B92" s="23"/>
      <c r="C92" s="23"/>
      <c r="D92" s="98"/>
      <c r="E92" s="258"/>
      <c r="F92" s="25"/>
      <c r="G92" s="17"/>
      <c r="H92" s="389"/>
      <c r="I92" s="356"/>
      <c r="J92" s="357"/>
      <c r="K92" s="262"/>
      <c r="L92" s="357"/>
      <c r="M92" s="262"/>
      <c r="N92" s="357"/>
      <c r="O92" s="262"/>
      <c r="P92" s="357"/>
      <c r="Q92" s="262"/>
      <c r="R92" s="264"/>
      <c r="S92" s="265"/>
      <c r="T92" s="17"/>
      <c r="U92" s="17"/>
    </row>
    <row r="93">
      <c r="A93" s="255"/>
      <c r="B93" s="23"/>
      <c r="C93" s="23"/>
      <c r="D93" s="98"/>
      <c r="E93" s="258"/>
      <c r="F93" s="25"/>
      <c r="G93" s="17"/>
      <c r="H93" s="389"/>
      <c r="I93" s="356"/>
      <c r="J93" s="357"/>
      <c r="K93" s="262"/>
      <c r="L93" s="357"/>
      <c r="M93" s="262"/>
      <c r="N93" s="357"/>
      <c r="O93" s="262"/>
      <c r="P93" s="357"/>
      <c r="Q93" s="262"/>
      <c r="R93" s="264"/>
      <c r="S93" s="265"/>
      <c r="T93" s="17"/>
      <c r="U93" s="17"/>
    </row>
    <row r="94">
      <c r="A94" s="255"/>
      <c r="B94" s="23"/>
      <c r="C94" s="23"/>
      <c r="D94" s="98"/>
      <c r="E94" s="258"/>
      <c r="F94" s="25"/>
      <c r="G94" s="17"/>
      <c r="H94" s="389"/>
      <c r="I94" s="356"/>
      <c r="J94" s="357"/>
      <c r="K94" s="262"/>
      <c r="L94" s="357"/>
      <c r="M94" s="262"/>
      <c r="N94" s="357"/>
      <c r="O94" s="262"/>
      <c r="P94" s="357"/>
      <c r="Q94" s="262"/>
      <c r="R94" s="264"/>
      <c r="S94" s="265"/>
      <c r="T94" s="17"/>
      <c r="U94" s="17"/>
    </row>
    <row r="95">
      <c r="A95" s="255"/>
      <c r="B95" s="23"/>
      <c r="C95" s="23"/>
      <c r="D95" s="98"/>
      <c r="E95" s="258"/>
      <c r="F95" s="25"/>
      <c r="G95" s="17"/>
      <c r="H95" s="389"/>
      <c r="I95" s="356"/>
      <c r="J95" s="357"/>
      <c r="K95" s="262"/>
      <c r="L95" s="357"/>
      <c r="M95" s="262"/>
      <c r="N95" s="357"/>
      <c r="O95" s="262"/>
      <c r="P95" s="357"/>
      <c r="Q95" s="262"/>
      <c r="R95" s="264"/>
      <c r="S95" s="265"/>
      <c r="T95" s="17"/>
      <c r="U95" s="17"/>
    </row>
    <row r="96">
      <c r="A96" s="255"/>
      <c r="B96" s="23"/>
      <c r="C96" s="23"/>
      <c r="D96" s="98"/>
      <c r="E96" s="258"/>
      <c r="F96" s="25"/>
      <c r="G96" s="17"/>
      <c r="H96" s="389"/>
      <c r="I96" s="356"/>
      <c r="J96" s="357"/>
      <c r="K96" s="262"/>
      <c r="L96" s="357"/>
      <c r="M96" s="262"/>
      <c r="N96" s="357"/>
      <c r="O96" s="262"/>
      <c r="P96" s="357"/>
      <c r="Q96" s="262"/>
      <c r="R96" s="264"/>
      <c r="S96" s="265"/>
      <c r="T96" s="17"/>
      <c r="U96" s="17"/>
    </row>
    <row r="97">
      <c r="A97" s="255"/>
      <c r="B97" s="23"/>
      <c r="C97" s="23"/>
      <c r="D97" s="98"/>
      <c r="E97" s="258"/>
      <c r="F97" s="25"/>
      <c r="G97" s="17"/>
      <c r="H97" s="389"/>
      <c r="I97" s="356"/>
      <c r="J97" s="357"/>
      <c r="K97" s="262"/>
      <c r="L97" s="357"/>
      <c r="M97" s="262"/>
      <c r="N97" s="357"/>
      <c r="O97" s="262"/>
      <c r="P97" s="357"/>
      <c r="Q97" s="262"/>
      <c r="R97" s="264"/>
      <c r="S97" s="265"/>
      <c r="T97" s="17"/>
      <c r="U97" s="17"/>
    </row>
    <row r="98">
      <c r="A98" s="255"/>
      <c r="B98" s="23"/>
      <c r="C98" s="23"/>
      <c r="D98" s="270"/>
      <c r="E98" s="270"/>
      <c r="F98" s="270"/>
      <c r="G98" s="17"/>
      <c r="H98" s="17"/>
      <c r="I98" s="17"/>
      <c r="J98" s="262"/>
      <c r="K98" s="262"/>
      <c r="L98" s="262"/>
      <c r="M98" s="262"/>
      <c r="N98" s="262"/>
      <c r="O98" s="262"/>
      <c r="P98" s="262"/>
      <c r="Q98" s="17"/>
      <c r="R98" s="17"/>
      <c r="S98" s="17"/>
      <c r="T98" s="17"/>
      <c r="U98" s="17"/>
    </row>
    <row r="99">
      <c r="A99" s="255"/>
      <c r="B99" s="23"/>
      <c r="C99" s="23"/>
      <c r="D99" s="270"/>
      <c r="E99" s="270"/>
      <c r="F99" s="270"/>
      <c r="G99" s="17"/>
      <c r="H99" s="17"/>
      <c r="I99" s="17"/>
      <c r="J99" s="262"/>
      <c r="K99" s="262"/>
      <c r="L99" s="262"/>
      <c r="M99" s="262"/>
      <c r="N99" s="262"/>
      <c r="O99" s="262"/>
      <c r="P99" s="262"/>
      <c r="Q99" s="17"/>
      <c r="R99" s="17"/>
      <c r="S99" s="17"/>
      <c r="T99" s="17"/>
      <c r="U99" s="17"/>
    </row>
    <row r="100">
      <c r="A100" s="255"/>
      <c r="B100" s="23"/>
      <c r="C100" s="23"/>
      <c r="D100" s="270"/>
      <c r="E100" s="270"/>
      <c r="F100" s="270"/>
      <c r="G100" s="17"/>
      <c r="H100" s="17"/>
      <c r="I100" s="17"/>
      <c r="J100" s="262"/>
      <c r="K100" s="262"/>
      <c r="L100" s="262"/>
      <c r="M100" s="262"/>
      <c r="N100" s="262"/>
      <c r="O100" s="262"/>
      <c r="P100" s="262"/>
      <c r="Q100" s="17"/>
      <c r="R100" s="17"/>
      <c r="S100" s="17"/>
      <c r="T100" s="17"/>
      <c r="U100" s="17"/>
    </row>
    <row r="101">
      <c r="A101" s="255"/>
      <c r="B101" s="23"/>
      <c r="C101" s="23"/>
      <c r="D101" s="270"/>
      <c r="E101" s="270"/>
      <c r="F101" s="270"/>
      <c r="G101" s="17"/>
      <c r="H101" s="17"/>
      <c r="I101" s="17"/>
      <c r="J101" s="262"/>
      <c r="K101" s="262"/>
      <c r="L101" s="262"/>
      <c r="M101" s="262"/>
      <c r="N101" s="262"/>
      <c r="O101" s="262"/>
      <c r="P101" s="262"/>
      <c r="Q101" s="17"/>
      <c r="R101" s="17"/>
      <c r="S101" s="17"/>
      <c r="T101" s="17"/>
      <c r="U101" s="17"/>
    </row>
    <row r="102">
      <c r="A102" s="255"/>
      <c r="B102" s="23"/>
      <c r="C102" s="23"/>
      <c r="D102" s="270"/>
      <c r="E102" s="270"/>
      <c r="F102" s="270"/>
      <c r="G102" s="17"/>
      <c r="H102" s="17"/>
      <c r="I102" s="17"/>
      <c r="J102" s="262"/>
      <c r="K102" s="262"/>
      <c r="L102" s="262"/>
      <c r="M102" s="262"/>
      <c r="N102" s="262"/>
      <c r="O102" s="262"/>
      <c r="P102" s="262"/>
      <c r="Q102" s="17"/>
      <c r="R102" s="17"/>
      <c r="S102" s="17"/>
      <c r="T102" s="17"/>
      <c r="U102" s="17"/>
    </row>
    <row r="103">
      <c r="A103" s="255"/>
      <c r="B103" s="23"/>
      <c r="C103" s="23"/>
      <c r="D103" s="270"/>
      <c r="E103" s="270"/>
      <c r="F103" s="270"/>
      <c r="G103" s="17"/>
      <c r="H103" s="17"/>
      <c r="I103" s="17"/>
      <c r="J103" s="262"/>
      <c r="K103" s="262"/>
      <c r="L103" s="262"/>
      <c r="M103" s="262"/>
      <c r="N103" s="262"/>
      <c r="O103" s="262"/>
      <c r="P103" s="262"/>
      <c r="Q103" s="17"/>
      <c r="R103" s="17"/>
      <c r="S103" s="17"/>
      <c r="T103" s="17"/>
      <c r="U103" s="17"/>
    </row>
    <row r="104">
      <c r="A104" s="255"/>
      <c r="B104" s="23"/>
      <c r="C104" s="23"/>
      <c r="D104" s="270"/>
      <c r="E104" s="270"/>
      <c r="F104" s="270"/>
      <c r="G104" s="17"/>
      <c r="H104" s="17"/>
      <c r="I104" s="17"/>
      <c r="J104" s="262"/>
      <c r="K104" s="262"/>
      <c r="L104" s="262"/>
      <c r="M104" s="262"/>
      <c r="N104" s="262"/>
      <c r="O104" s="262"/>
      <c r="P104" s="262"/>
      <c r="Q104" s="17"/>
      <c r="R104" s="17"/>
      <c r="S104" s="17"/>
      <c r="T104" s="17"/>
      <c r="U104" s="17"/>
    </row>
    <row r="105">
      <c r="A105" s="255"/>
      <c r="B105" s="23"/>
      <c r="C105" s="23"/>
      <c r="D105" s="270"/>
      <c r="E105" s="270"/>
      <c r="F105" s="270"/>
      <c r="G105" s="17"/>
      <c r="H105" s="17"/>
      <c r="I105" s="17"/>
      <c r="J105" s="262"/>
      <c r="K105" s="262"/>
      <c r="L105" s="262"/>
      <c r="M105" s="262"/>
      <c r="N105" s="262"/>
      <c r="O105" s="262"/>
      <c r="P105" s="262"/>
      <c r="Q105" s="17"/>
      <c r="R105" s="17"/>
      <c r="S105" s="17"/>
      <c r="T105" s="17"/>
      <c r="U105" s="17"/>
    </row>
    <row r="106">
      <c r="A106" s="255"/>
      <c r="B106" s="23"/>
      <c r="C106" s="23"/>
      <c r="D106" s="270"/>
      <c r="E106" s="270"/>
      <c r="F106" s="270"/>
      <c r="G106" s="17"/>
      <c r="H106" s="17"/>
      <c r="I106" s="17"/>
      <c r="J106" s="262"/>
      <c r="K106" s="262"/>
      <c r="L106" s="262"/>
      <c r="M106" s="262"/>
      <c r="N106" s="262"/>
      <c r="O106" s="262"/>
      <c r="P106" s="262"/>
      <c r="Q106" s="17"/>
      <c r="R106" s="17"/>
      <c r="S106" s="17"/>
      <c r="T106" s="17"/>
      <c r="U106" s="17"/>
    </row>
    <row r="107">
      <c r="A107" s="255"/>
      <c r="B107" s="23"/>
      <c r="C107" s="23"/>
      <c r="D107" s="270"/>
      <c r="E107" s="270"/>
      <c r="F107" s="270"/>
      <c r="G107" s="17"/>
      <c r="H107" s="17"/>
      <c r="I107" s="17"/>
      <c r="J107" s="262"/>
      <c r="K107" s="262"/>
      <c r="L107" s="262"/>
      <c r="M107" s="262"/>
      <c r="N107" s="262"/>
      <c r="O107" s="262"/>
      <c r="P107" s="262"/>
      <c r="Q107" s="17"/>
      <c r="R107" s="17"/>
      <c r="S107" s="17"/>
      <c r="T107" s="17"/>
      <c r="U107" s="17"/>
    </row>
    <row r="108">
      <c r="A108" s="255"/>
      <c r="B108" s="23"/>
      <c r="C108" s="23"/>
      <c r="D108" s="270"/>
      <c r="E108" s="270"/>
      <c r="F108" s="270"/>
      <c r="G108" s="17"/>
      <c r="H108" s="17"/>
      <c r="I108" s="17"/>
      <c r="J108" s="262"/>
      <c r="K108" s="262"/>
      <c r="L108" s="262"/>
      <c r="M108" s="262"/>
      <c r="N108" s="262"/>
      <c r="O108" s="262"/>
      <c r="P108" s="262"/>
      <c r="Q108" s="17"/>
      <c r="R108" s="17"/>
      <c r="S108" s="17"/>
      <c r="T108" s="17"/>
      <c r="U108" s="17"/>
    </row>
    <row r="109">
      <c r="A109" s="255"/>
      <c r="B109" s="23"/>
      <c r="C109" s="23"/>
      <c r="D109" s="270"/>
      <c r="E109" s="270"/>
      <c r="F109" s="270"/>
      <c r="G109" s="17"/>
      <c r="H109" s="17"/>
      <c r="I109" s="17"/>
      <c r="J109" s="262"/>
      <c r="K109" s="262"/>
      <c r="L109" s="262"/>
      <c r="M109" s="262"/>
      <c r="N109" s="262"/>
      <c r="O109" s="262"/>
      <c r="P109" s="262"/>
      <c r="Q109" s="17"/>
      <c r="R109" s="17"/>
      <c r="S109" s="17"/>
      <c r="T109" s="17"/>
      <c r="U109" s="17"/>
    </row>
    <row r="110">
      <c r="A110" s="255"/>
      <c r="B110" s="23"/>
      <c r="C110" s="23"/>
      <c r="D110" s="270"/>
      <c r="E110" s="270"/>
      <c r="F110" s="270"/>
      <c r="G110" s="17"/>
      <c r="H110" s="17"/>
      <c r="I110" s="17"/>
      <c r="J110" s="262"/>
      <c r="K110" s="262"/>
      <c r="L110" s="262"/>
      <c r="M110" s="262"/>
      <c r="N110" s="262"/>
      <c r="O110" s="262"/>
      <c r="P110" s="262"/>
      <c r="Q110" s="17"/>
      <c r="R110" s="17"/>
      <c r="S110" s="17"/>
      <c r="T110" s="17"/>
      <c r="U110" s="17"/>
    </row>
    <row r="111">
      <c r="A111" s="255"/>
      <c r="B111" s="23"/>
      <c r="C111" s="23"/>
      <c r="D111" s="23"/>
      <c r="E111" s="23"/>
      <c r="F111" s="23"/>
      <c r="G111" s="17"/>
      <c r="H111" s="17"/>
      <c r="I111" s="17"/>
      <c r="J111" s="262"/>
      <c r="K111" s="262"/>
      <c r="L111" s="262"/>
      <c r="M111" s="262"/>
      <c r="N111" s="262"/>
      <c r="O111" s="262"/>
      <c r="P111" s="262"/>
      <c r="Q111" s="17"/>
      <c r="R111" s="17"/>
      <c r="S111" s="17"/>
      <c r="T111" s="17"/>
      <c r="U111" s="17"/>
    </row>
    <row r="112">
      <c r="A112" s="255"/>
      <c r="B112" s="23"/>
      <c r="C112" s="23"/>
      <c r="D112" s="23"/>
      <c r="E112" s="23"/>
      <c r="F112" s="23"/>
      <c r="G112" s="17"/>
      <c r="H112" s="17"/>
      <c r="I112" s="17"/>
      <c r="J112" s="262"/>
      <c r="K112" s="262"/>
      <c r="L112" s="262"/>
      <c r="M112" s="262"/>
      <c r="N112" s="262"/>
      <c r="O112" s="262"/>
      <c r="P112" s="262"/>
      <c r="Q112" s="17"/>
      <c r="R112" s="17"/>
      <c r="S112" s="17"/>
      <c r="T112" s="17"/>
      <c r="U112" s="17"/>
    </row>
    <row r="113">
      <c r="A113" s="255"/>
      <c r="B113" s="23"/>
      <c r="C113" s="23"/>
      <c r="D113" s="23"/>
      <c r="E113" s="23"/>
      <c r="F113" s="23"/>
      <c r="G113" s="17"/>
      <c r="H113" s="17"/>
      <c r="I113" s="17"/>
      <c r="J113" s="262"/>
      <c r="K113" s="262"/>
      <c r="L113" s="262"/>
      <c r="M113" s="262"/>
      <c r="N113" s="262"/>
      <c r="O113" s="262"/>
      <c r="P113" s="262"/>
      <c r="Q113" s="17"/>
      <c r="R113" s="17"/>
      <c r="S113" s="17"/>
      <c r="T113" s="17"/>
      <c r="U113" s="17"/>
    </row>
    <row r="114">
      <c r="A114" s="255"/>
      <c r="B114" s="23"/>
      <c r="C114" s="23"/>
      <c r="D114" s="23"/>
      <c r="E114" s="23"/>
      <c r="F114" s="23"/>
      <c r="G114" s="17"/>
      <c r="H114" s="17"/>
      <c r="I114" s="17"/>
      <c r="J114" s="262"/>
      <c r="K114" s="262"/>
      <c r="L114" s="262"/>
      <c r="M114" s="262"/>
      <c r="N114" s="262"/>
      <c r="O114" s="262"/>
      <c r="P114" s="262"/>
      <c r="Q114" s="17"/>
      <c r="R114" s="17"/>
      <c r="S114" s="17"/>
      <c r="T114" s="17"/>
      <c r="U114" s="17"/>
    </row>
    <row r="115">
      <c r="A115" s="255"/>
      <c r="B115" s="23"/>
      <c r="C115" s="23"/>
      <c r="D115" s="23"/>
      <c r="E115" s="23"/>
      <c r="F115" s="23"/>
      <c r="G115" s="17"/>
      <c r="H115" s="17"/>
      <c r="I115" s="17"/>
      <c r="J115" s="262"/>
      <c r="K115" s="262"/>
      <c r="L115" s="262"/>
      <c r="M115" s="262"/>
      <c r="N115" s="262"/>
      <c r="O115" s="262"/>
      <c r="P115" s="262"/>
      <c r="Q115" s="17"/>
      <c r="R115" s="17"/>
      <c r="S115" s="17"/>
      <c r="T115" s="17"/>
      <c r="U115" s="17"/>
    </row>
    <row r="116">
      <c r="A116" s="255"/>
      <c r="B116" s="23"/>
      <c r="C116" s="23"/>
      <c r="D116" s="23"/>
      <c r="E116" s="23"/>
      <c r="F116" s="23"/>
      <c r="G116" s="17"/>
      <c r="H116" s="17"/>
      <c r="I116" s="17"/>
      <c r="J116" s="262"/>
      <c r="K116" s="262"/>
      <c r="L116" s="262"/>
      <c r="M116" s="262"/>
      <c r="N116" s="262"/>
      <c r="O116" s="262"/>
      <c r="P116" s="262"/>
      <c r="Q116" s="17"/>
      <c r="R116" s="17"/>
      <c r="S116" s="17"/>
      <c r="T116" s="17"/>
      <c r="U116" s="17"/>
    </row>
    <row r="117">
      <c r="A117" s="255"/>
      <c r="B117" s="23"/>
      <c r="C117" s="23"/>
      <c r="D117" s="23"/>
      <c r="E117" s="23"/>
      <c r="F117" s="23"/>
      <c r="G117" s="17"/>
      <c r="H117" s="17"/>
      <c r="I117" s="17"/>
      <c r="J117" s="262"/>
      <c r="K117" s="262"/>
      <c r="L117" s="262"/>
      <c r="M117" s="262"/>
      <c r="N117" s="262"/>
      <c r="O117" s="262"/>
      <c r="P117" s="262"/>
      <c r="Q117" s="17"/>
      <c r="R117" s="17"/>
      <c r="S117" s="17"/>
      <c r="T117" s="17"/>
      <c r="U117" s="17"/>
    </row>
    <row r="118">
      <c r="A118" s="255"/>
      <c r="B118" s="23"/>
      <c r="C118" s="23"/>
      <c r="D118" s="23"/>
      <c r="E118" s="23"/>
      <c r="F118" s="23"/>
      <c r="G118" s="17"/>
      <c r="H118" s="17"/>
      <c r="I118" s="17"/>
      <c r="J118" s="262"/>
      <c r="K118" s="262"/>
      <c r="L118" s="262"/>
      <c r="M118" s="262"/>
      <c r="N118" s="262"/>
      <c r="O118" s="262"/>
      <c r="P118" s="262"/>
      <c r="Q118" s="17"/>
      <c r="R118" s="17"/>
      <c r="S118" s="17"/>
      <c r="T118" s="17"/>
      <c r="U118" s="17"/>
    </row>
    <row r="119">
      <c r="A119" s="255"/>
      <c r="B119" s="23"/>
      <c r="C119" s="23"/>
      <c r="D119" s="23"/>
      <c r="E119" s="23"/>
      <c r="F119" s="23"/>
      <c r="G119" s="17"/>
      <c r="H119" s="17"/>
      <c r="I119" s="17"/>
      <c r="J119" s="262"/>
      <c r="K119" s="262"/>
      <c r="L119" s="262"/>
      <c r="M119" s="262"/>
      <c r="N119" s="262"/>
      <c r="O119" s="262"/>
      <c r="P119" s="262"/>
      <c r="Q119" s="17"/>
      <c r="R119" s="17"/>
      <c r="S119" s="17"/>
      <c r="T119" s="17"/>
      <c r="U119" s="17"/>
    </row>
    <row r="120">
      <c r="A120" s="255"/>
      <c r="B120" s="23"/>
      <c r="C120" s="23"/>
      <c r="D120" s="23"/>
      <c r="E120" s="23"/>
      <c r="F120" s="23"/>
      <c r="G120" s="17"/>
      <c r="H120" s="17"/>
      <c r="I120" s="17"/>
      <c r="J120" s="262"/>
      <c r="K120" s="262"/>
      <c r="L120" s="262"/>
      <c r="M120" s="262"/>
      <c r="N120" s="262"/>
      <c r="O120" s="262"/>
      <c r="P120" s="262"/>
      <c r="Q120" s="17"/>
      <c r="R120" s="17"/>
      <c r="S120" s="17"/>
      <c r="T120" s="17"/>
      <c r="U120" s="17"/>
    </row>
    <row r="121">
      <c r="A121" s="255"/>
      <c r="B121" s="23"/>
      <c r="C121" s="23"/>
      <c r="D121" s="23"/>
      <c r="E121" s="23"/>
      <c r="F121" s="23"/>
      <c r="G121" s="17"/>
      <c r="H121" s="17"/>
      <c r="I121" s="17"/>
      <c r="J121" s="262"/>
      <c r="K121" s="262"/>
      <c r="L121" s="262"/>
      <c r="M121" s="262"/>
      <c r="N121" s="262"/>
      <c r="O121" s="262"/>
      <c r="P121" s="262"/>
      <c r="Q121" s="17"/>
      <c r="R121" s="17"/>
      <c r="S121" s="17"/>
      <c r="T121" s="17"/>
      <c r="U121" s="17"/>
    </row>
    <row r="122">
      <c r="A122" s="255"/>
      <c r="B122" s="23"/>
      <c r="C122" s="23"/>
      <c r="D122" s="23"/>
      <c r="E122" s="23"/>
      <c r="F122" s="23"/>
      <c r="G122" s="17"/>
      <c r="H122" s="17"/>
      <c r="I122" s="17"/>
      <c r="J122" s="262"/>
      <c r="K122" s="262"/>
      <c r="L122" s="262"/>
      <c r="M122" s="262"/>
      <c r="N122" s="262"/>
      <c r="O122" s="262"/>
      <c r="P122" s="262"/>
      <c r="Q122" s="17"/>
      <c r="R122" s="17"/>
      <c r="S122" s="17"/>
      <c r="T122" s="17"/>
      <c r="U122" s="17"/>
    </row>
    <row r="123">
      <c r="A123" s="255"/>
      <c r="B123" s="23"/>
      <c r="C123" s="23"/>
      <c r="D123" s="23"/>
      <c r="E123" s="23"/>
      <c r="F123" s="23"/>
      <c r="G123" s="17"/>
      <c r="H123" s="17"/>
      <c r="I123" s="17"/>
      <c r="J123" s="262"/>
      <c r="K123" s="262"/>
      <c r="L123" s="262"/>
      <c r="M123" s="262"/>
      <c r="N123" s="262"/>
      <c r="O123" s="262"/>
      <c r="P123" s="262"/>
      <c r="Q123" s="17"/>
      <c r="R123" s="17"/>
      <c r="S123" s="17"/>
      <c r="T123" s="17"/>
      <c r="U123" s="17"/>
    </row>
    <row r="124">
      <c r="A124" s="255"/>
      <c r="B124" s="23"/>
      <c r="C124" s="23"/>
      <c r="D124" s="23"/>
      <c r="E124" s="23"/>
      <c r="F124" s="23"/>
      <c r="G124" s="17"/>
      <c r="H124" s="17"/>
      <c r="I124" s="17"/>
      <c r="J124" s="262"/>
      <c r="K124" s="262"/>
      <c r="L124" s="262"/>
      <c r="M124" s="262"/>
      <c r="N124" s="262"/>
      <c r="O124" s="262"/>
      <c r="P124" s="262"/>
      <c r="Q124" s="17"/>
      <c r="R124" s="17"/>
      <c r="S124" s="17"/>
      <c r="T124" s="17"/>
      <c r="U124" s="17"/>
    </row>
    <row r="125">
      <c r="A125" s="255"/>
      <c r="B125" s="23"/>
      <c r="C125" s="23"/>
      <c r="D125" s="23"/>
      <c r="E125" s="23"/>
      <c r="F125" s="23"/>
      <c r="G125" s="17"/>
      <c r="H125" s="17"/>
      <c r="I125" s="17"/>
      <c r="J125" s="262"/>
      <c r="K125" s="262"/>
      <c r="L125" s="262"/>
      <c r="M125" s="262"/>
      <c r="N125" s="262"/>
      <c r="O125" s="262"/>
      <c r="P125" s="262"/>
      <c r="Q125" s="17"/>
      <c r="R125" s="17"/>
      <c r="S125" s="17"/>
      <c r="T125" s="17"/>
      <c r="U125" s="17"/>
    </row>
    <row r="126">
      <c r="A126" s="255"/>
      <c r="B126" s="23"/>
      <c r="C126" s="23"/>
      <c r="D126" s="23"/>
      <c r="E126" s="23"/>
      <c r="F126" s="23"/>
      <c r="G126" s="17"/>
      <c r="H126" s="17"/>
      <c r="I126" s="17"/>
      <c r="J126" s="262"/>
      <c r="K126" s="262"/>
      <c r="L126" s="262"/>
      <c r="M126" s="262"/>
      <c r="N126" s="262"/>
      <c r="O126" s="262"/>
      <c r="P126" s="262"/>
      <c r="Q126" s="17"/>
      <c r="R126" s="17"/>
      <c r="S126" s="17"/>
      <c r="T126" s="17"/>
      <c r="U126" s="17"/>
    </row>
    <row r="127">
      <c r="A127" s="255"/>
      <c r="B127" s="23"/>
      <c r="C127" s="23"/>
      <c r="D127" s="23"/>
      <c r="E127" s="23"/>
      <c r="F127" s="23"/>
      <c r="G127" s="17"/>
      <c r="H127" s="17"/>
      <c r="I127" s="17"/>
      <c r="J127" s="262"/>
      <c r="K127" s="262"/>
      <c r="L127" s="262"/>
      <c r="M127" s="262"/>
      <c r="N127" s="262"/>
      <c r="O127" s="262"/>
      <c r="P127" s="262"/>
      <c r="Q127" s="17"/>
      <c r="R127" s="17"/>
      <c r="S127" s="17"/>
      <c r="T127" s="17"/>
      <c r="U127" s="17"/>
    </row>
    <row r="128">
      <c r="A128" s="255"/>
      <c r="B128" s="23"/>
      <c r="C128" s="23"/>
      <c r="D128" s="23"/>
      <c r="E128" s="23"/>
      <c r="F128" s="23"/>
      <c r="G128" s="17"/>
      <c r="H128" s="17"/>
      <c r="I128" s="17"/>
      <c r="J128" s="262"/>
      <c r="K128" s="262"/>
      <c r="L128" s="262"/>
      <c r="M128" s="262"/>
      <c r="N128" s="262"/>
      <c r="O128" s="262"/>
      <c r="P128" s="262"/>
      <c r="Q128" s="17"/>
      <c r="R128" s="17"/>
      <c r="S128" s="17"/>
      <c r="T128" s="17"/>
      <c r="U128" s="17"/>
    </row>
    <row r="129">
      <c r="A129" s="255"/>
      <c r="B129" s="17"/>
      <c r="C129" s="17"/>
      <c r="D129" s="17"/>
      <c r="E129" s="17"/>
      <c r="F129" s="17"/>
      <c r="G129" s="17"/>
      <c r="H129" s="17"/>
      <c r="I129" s="17"/>
      <c r="J129" s="262"/>
      <c r="K129" s="262"/>
      <c r="L129" s="262"/>
      <c r="M129" s="262"/>
      <c r="N129" s="262"/>
      <c r="O129" s="262"/>
      <c r="P129" s="262"/>
      <c r="Q129" s="17"/>
      <c r="R129" s="17"/>
      <c r="S129" s="17"/>
      <c r="T129" s="17"/>
      <c r="U129" s="17"/>
    </row>
    <row r="130">
      <c r="A130" s="255"/>
      <c r="B130" s="17"/>
      <c r="C130" s="17"/>
      <c r="D130" s="17"/>
      <c r="E130" s="17"/>
      <c r="F130" s="17"/>
      <c r="G130" s="17"/>
      <c r="H130" s="17"/>
      <c r="I130" s="17"/>
      <c r="J130" s="262"/>
      <c r="K130" s="262"/>
      <c r="L130" s="262"/>
      <c r="M130" s="262"/>
      <c r="N130" s="262"/>
      <c r="O130" s="262"/>
      <c r="P130" s="262"/>
      <c r="Q130" s="17"/>
      <c r="R130" s="17"/>
      <c r="S130" s="17"/>
      <c r="T130" s="17"/>
      <c r="U130" s="17"/>
    </row>
    <row r="131">
      <c r="A131" s="255"/>
      <c r="B131" s="17"/>
      <c r="C131" s="17"/>
      <c r="D131" s="17"/>
      <c r="E131" s="17"/>
      <c r="F131" s="17"/>
      <c r="G131" s="17"/>
      <c r="H131" s="17"/>
      <c r="I131" s="17"/>
      <c r="J131" s="262"/>
      <c r="K131" s="262"/>
      <c r="L131" s="262"/>
      <c r="M131" s="262"/>
      <c r="N131" s="262"/>
      <c r="O131" s="262"/>
      <c r="P131" s="262"/>
      <c r="Q131" s="17"/>
      <c r="R131" s="17"/>
      <c r="S131" s="17"/>
      <c r="T131" s="17"/>
      <c r="U131" s="17"/>
    </row>
    <row r="132">
      <c r="A132" s="255"/>
      <c r="B132" s="17"/>
      <c r="C132" s="17"/>
      <c r="D132" s="17"/>
      <c r="E132" s="17"/>
      <c r="F132" s="17"/>
      <c r="G132" s="17"/>
      <c r="H132" s="17"/>
      <c r="I132" s="17"/>
      <c r="J132" s="262"/>
      <c r="K132" s="262"/>
      <c r="L132" s="262"/>
      <c r="M132" s="262"/>
      <c r="N132" s="262"/>
      <c r="O132" s="262"/>
      <c r="P132" s="262"/>
      <c r="Q132" s="17"/>
      <c r="R132" s="17"/>
      <c r="S132" s="17"/>
      <c r="T132" s="17"/>
      <c r="U132" s="17"/>
    </row>
    <row r="133">
      <c r="A133" s="255"/>
      <c r="B133" s="17"/>
      <c r="C133" s="17"/>
      <c r="D133" s="17"/>
      <c r="E133" s="17"/>
      <c r="F133" s="17"/>
      <c r="G133" s="17"/>
      <c r="H133" s="17"/>
      <c r="I133" s="17"/>
      <c r="J133" s="262"/>
      <c r="K133" s="262"/>
      <c r="L133" s="262"/>
      <c r="M133" s="262"/>
      <c r="N133" s="262"/>
      <c r="O133" s="262"/>
      <c r="P133" s="262"/>
      <c r="Q133" s="17"/>
      <c r="R133" s="17"/>
      <c r="S133" s="17"/>
      <c r="T133" s="17"/>
      <c r="U133" s="17"/>
    </row>
    <row r="134">
      <c r="A134" s="255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</row>
    <row r="135">
      <c r="A135" s="255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</row>
    <row r="136">
      <c r="A136" s="255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</row>
    <row r="137">
      <c r="A137" s="255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</row>
    <row r="138">
      <c r="A138" s="255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</row>
    <row r="139">
      <c r="A139" s="255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</row>
    <row r="140">
      <c r="A140" s="255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</row>
    <row r="141">
      <c r="A141" s="255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</row>
    <row r="142">
      <c r="A142" s="255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</row>
    <row r="143">
      <c r="A143" s="255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</row>
    <row r="144">
      <c r="A144" s="255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</row>
    <row r="145">
      <c r="A145" s="255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</row>
    <row r="146">
      <c r="A146" s="255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</row>
    <row r="147">
      <c r="A147" s="255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</row>
    <row r="148">
      <c r="A148" s="255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</row>
    <row r="149">
      <c r="A149" s="255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</row>
    <row r="150">
      <c r="A150" s="255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</row>
    <row r="151">
      <c r="A151" s="255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</row>
    <row r="152">
      <c r="A152" s="255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</row>
    <row r="153">
      <c r="A153" s="255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</row>
    <row r="154">
      <c r="A154" s="255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</row>
    <row r="155">
      <c r="A155" s="255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</row>
    <row r="156">
      <c r="A156" s="255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</row>
    <row r="157">
      <c r="A157" s="255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</row>
    <row r="158">
      <c r="A158" s="255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</row>
    <row r="159">
      <c r="A159" s="25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</row>
  </sheetData>
  <mergeCells count="28">
    <mergeCell ref="E3:G4"/>
    <mergeCell ref="E5:G5"/>
    <mergeCell ref="E6:G7"/>
    <mergeCell ref="E8:G8"/>
    <mergeCell ref="E9:G10"/>
    <mergeCell ref="A5:B6"/>
    <mergeCell ref="A7:B8"/>
    <mergeCell ref="A9:B10"/>
    <mergeCell ref="A11:B12"/>
    <mergeCell ref="A1:C1"/>
    <mergeCell ref="E1:G1"/>
    <mergeCell ref="I1:L1"/>
    <mergeCell ref="A2:B2"/>
    <mergeCell ref="E2:G2"/>
    <mergeCell ref="A3:B4"/>
    <mergeCell ref="I6:L6"/>
    <mergeCell ref="I7:J8"/>
    <mergeCell ref="I10:J11"/>
    <mergeCell ref="R14:S14"/>
    <mergeCell ref="T14:U14"/>
    <mergeCell ref="I2:L2"/>
    <mergeCell ref="I3:J3"/>
    <mergeCell ref="K3:L3"/>
    <mergeCell ref="I4:J5"/>
    <mergeCell ref="K4:L5"/>
    <mergeCell ref="K7:L8"/>
    <mergeCell ref="I9:L9"/>
    <mergeCell ref="K10:L11"/>
  </mergeCells>
  <dataValidations>
    <dataValidation type="list" allowBlank="1" showErrorMessage="1" sqref="I16:I97">
      <formula1>"Sampai,Sudah Proses Pengiriman,Kendala [FU!],Done Req Sample"</formula1>
    </dataValidation>
    <dataValidation type="list" allowBlank="1" showErrorMessage="1" sqref="H16:H97">
      <formula1>"Sunscreen,Minyak telon,Rash Cream"</formula1>
    </dataValidation>
    <dataValidation type="list" allowBlank="1" showErrorMessage="1" sqref="A16:A159">
      <formula1>"MEGA,MACRO,MICRO,NANO"</formula1>
    </dataValidation>
    <dataValidation type="list" allowBlank="1" showErrorMessage="1" sqref="J16:J97 L16:L97 N16:N97 P16:P97">
      <formula1>" Concept 1,Concept 2,Concept 3,Concept 4"</formula1>
    </dataValidation>
  </dataValidation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22.38"/>
    <col customWidth="1" min="15" max="15" width="16.75"/>
  </cols>
  <sheetData>
    <row r="1" ht="30.75" customHeight="1">
      <c r="A1" s="393" t="s">
        <v>455</v>
      </c>
      <c r="B1" s="214"/>
      <c r="C1" s="214"/>
      <c r="D1" s="394"/>
      <c r="E1" s="393" t="s">
        <v>328</v>
      </c>
      <c r="F1" s="214"/>
      <c r="G1" s="216"/>
      <c r="H1" s="395"/>
      <c r="I1" s="396" t="s">
        <v>456</v>
      </c>
      <c r="J1" s="214"/>
      <c r="K1" s="214"/>
      <c r="L1" s="216"/>
      <c r="M1" s="395"/>
      <c r="N1" s="395"/>
      <c r="O1" s="395"/>
      <c r="P1" s="395"/>
      <c r="Q1" s="395"/>
      <c r="R1" s="395"/>
      <c r="S1" s="395"/>
      <c r="T1" s="395"/>
      <c r="U1" s="395"/>
    </row>
    <row r="2" ht="15.75" customHeight="1">
      <c r="A2" s="397" t="s">
        <v>457</v>
      </c>
      <c r="B2" s="220"/>
      <c r="C2" s="397" t="s">
        <v>455</v>
      </c>
      <c r="D2" s="394"/>
      <c r="E2" s="398" t="s">
        <v>327</v>
      </c>
      <c r="F2" s="214"/>
      <c r="G2" s="216"/>
      <c r="H2" s="395"/>
      <c r="I2" s="398" t="s">
        <v>458</v>
      </c>
      <c r="J2" s="214"/>
      <c r="K2" s="214"/>
      <c r="L2" s="216"/>
      <c r="M2" s="395"/>
      <c r="N2" s="395"/>
      <c r="O2" s="395"/>
      <c r="P2" s="395"/>
      <c r="Q2" s="395"/>
      <c r="R2" s="395"/>
      <c r="S2" s="395"/>
      <c r="T2" s="395"/>
      <c r="U2" s="395"/>
    </row>
    <row r="3" ht="15.75" customHeight="1">
      <c r="A3" s="326">
        <v>1.0</v>
      </c>
      <c r="B3" s="224"/>
      <c r="C3" s="399">
        <v>1.0</v>
      </c>
      <c r="D3" s="394"/>
      <c r="E3" s="400">
        <f>Maindata!I8</f>
        <v>150000000</v>
      </c>
      <c r="F3" s="227"/>
      <c r="G3" s="228"/>
      <c r="H3" s="395"/>
      <c r="I3" s="401" t="s">
        <v>459</v>
      </c>
      <c r="J3" s="216"/>
      <c r="K3" s="402" t="s">
        <v>460</v>
      </c>
      <c r="L3" s="216"/>
      <c r="M3" s="395"/>
      <c r="N3" s="395"/>
      <c r="O3" s="395"/>
      <c r="P3" s="395"/>
      <c r="Q3" s="395"/>
      <c r="R3" s="395"/>
      <c r="S3" s="395"/>
      <c r="T3" s="395"/>
      <c r="U3" s="395"/>
    </row>
    <row r="4" ht="15.75" customHeight="1">
      <c r="A4" s="231"/>
      <c r="B4" s="220"/>
      <c r="C4" s="399">
        <v>2.0</v>
      </c>
      <c r="D4" s="394"/>
      <c r="E4" s="232"/>
      <c r="F4" s="233"/>
      <c r="G4" s="234"/>
      <c r="H4" s="395"/>
      <c r="I4" s="400">
        <f>IFERROR(__xludf.DUMMYFUNCTION("IMPORTRANGE(""https://docs.google.com/spreadsheets/d/1XGHyffJQ7KjI292zt5QVK_1XTfEMh_HDpl_2BHAzd4c/edit?gid=1335890585#gid=1335890585"",""WARDAH!H16"")        "),7000000.0)</f>
        <v>7000000</v>
      </c>
      <c r="J4" s="228"/>
      <c r="K4" s="400">
        <f>IFERROR(__xludf.DUMMYFUNCTION("IMPORTRANGE(""https://docs.google.com/spreadsheets/d/1XGHyffJQ7KjI292zt5QVK_1XTfEMh_HDpl_2BHAzd4c/edit?gid=1335890585#gid=1335890585"",""WARDAH!H21"")        "),1.0E7)</f>
        <v>10000000</v>
      </c>
      <c r="L4" s="228"/>
      <c r="M4" s="395"/>
      <c r="N4" s="395"/>
      <c r="O4" s="395"/>
      <c r="P4" s="395"/>
      <c r="Q4" s="395"/>
      <c r="R4" s="395"/>
      <c r="S4" s="395"/>
      <c r="T4" s="395"/>
      <c r="U4" s="395"/>
    </row>
    <row r="5" ht="15.75" customHeight="1">
      <c r="A5" s="328">
        <v>2.0</v>
      </c>
      <c r="B5" s="224"/>
      <c r="C5" s="399">
        <v>1.0</v>
      </c>
      <c r="D5" s="394"/>
      <c r="E5" s="403" t="s">
        <v>461</v>
      </c>
      <c r="F5" s="214"/>
      <c r="G5" s="216"/>
      <c r="H5" s="395"/>
      <c r="I5" s="232"/>
      <c r="J5" s="234"/>
      <c r="K5" s="232"/>
      <c r="L5" s="234"/>
      <c r="M5" s="395"/>
      <c r="N5" s="395"/>
      <c r="O5" s="395"/>
      <c r="P5" s="395"/>
      <c r="Q5" s="395"/>
      <c r="R5" s="395"/>
      <c r="S5" s="395"/>
      <c r="T5" s="395"/>
      <c r="U5" s="395"/>
    </row>
    <row r="6" ht="15.75" customHeight="1">
      <c r="A6" s="231"/>
      <c r="B6" s="220"/>
      <c r="C6" s="399">
        <v>2.0</v>
      </c>
      <c r="D6" s="394"/>
      <c r="E6" s="400">
        <f>Maindata!J8</f>
        <v>13204326</v>
      </c>
      <c r="F6" s="227"/>
      <c r="G6" s="228"/>
      <c r="H6" s="395"/>
      <c r="I6" s="403" t="s">
        <v>462</v>
      </c>
      <c r="J6" s="214"/>
      <c r="K6" s="214"/>
      <c r="L6" s="216"/>
      <c r="M6" s="395"/>
      <c r="N6" s="395"/>
      <c r="O6" s="395"/>
      <c r="P6" s="395"/>
      <c r="Q6" s="395"/>
      <c r="R6" s="395"/>
      <c r="S6" s="395"/>
      <c r="T6" s="395"/>
      <c r="U6" s="395"/>
    </row>
    <row r="7" ht="15.75" customHeight="1">
      <c r="A7" s="328">
        <v>3.0</v>
      </c>
      <c r="B7" s="224"/>
      <c r="C7" s="399">
        <v>1.0</v>
      </c>
      <c r="D7" s="394"/>
      <c r="E7" s="232"/>
      <c r="F7" s="233"/>
      <c r="G7" s="234"/>
      <c r="H7" s="395"/>
      <c r="I7" s="400">
        <f>IFERROR(__xludf.DUMMYFUNCTION("IMPORTRANGE(""https://docs.google.com/spreadsheets/d/1XGHyffJQ7KjI292zt5QVK_1XTfEMh_HDpl_2BHAzd4c/edit?gid=1335890585#gid=1335890585"",""WARDAH!H2"")        "),1900000.0)</f>
        <v>1900000</v>
      </c>
      <c r="J7" s="228"/>
      <c r="K7" s="400">
        <f>IFERROR(__xludf.DUMMYFUNCTION("IMPORTRANGE(""https://docs.google.com/spreadsheets/d/1XGHyffJQ7KjI292zt5QVK_1XTfEMh_HDpl_2BHAzd4c/edit?gid=1335890585#gid=1335890585"",""WARDAH!K4"")        "),2000000.0)</f>
        <v>2000000</v>
      </c>
      <c r="L7" s="228"/>
      <c r="M7" s="395"/>
      <c r="N7" s="395"/>
      <c r="O7" s="395"/>
      <c r="P7" s="395"/>
      <c r="Q7" s="395"/>
      <c r="R7" s="395"/>
      <c r="S7" s="395"/>
      <c r="T7" s="395"/>
      <c r="U7" s="395"/>
    </row>
    <row r="8" ht="15.75" customHeight="1">
      <c r="A8" s="231"/>
      <c r="B8" s="220"/>
      <c r="C8" s="399">
        <v>2.0</v>
      </c>
      <c r="D8" s="394"/>
      <c r="E8" s="404" t="s">
        <v>329</v>
      </c>
      <c r="F8" s="214"/>
      <c r="G8" s="216"/>
      <c r="H8" s="395"/>
      <c r="I8" s="232"/>
      <c r="J8" s="234"/>
      <c r="K8" s="232"/>
      <c r="L8" s="234"/>
      <c r="M8" s="395"/>
      <c r="N8" s="395"/>
      <c r="O8" s="395"/>
      <c r="P8" s="395"/>
      <c r="Q8" s="395"/>
      <c r="R8" s="395"/>
      <c r="S8" s="395"/>
      <c r="T8" s="395"/>
      <c r="U8" s="395"/>
    </row>
    <row r="9" ht="15.75" customHeight="1">
      <c r="A9" s="328">
        <v>4.0</v>
      </c>
      <c r="B9" s="224"/>
      <c r="C9" s="399">
        <v>1.0</v>
      </c>
      <c r="D9" s="394"/>
      <c r="E9" s="405">
        <f>E6/E3</f>
        <v>0.08802884</v>
      </c>
      <c r="F9" s="227"/>
      <c r="G9" s="228"/>
      <c r="H9" s="395"/>
      <c r="I9" s="404" t="s">
        <v>463</v>
      </c>
      <c r="J9" s="214"/>
      <c r="K9" s="214"/>
      <c r="L9" s="216"/>
      <c r="M9" s="395"/>
      <c r="N9" s="395"/>
      <c r="O9" s="395"/>
      <c r="P9" s="395"/>
      <c r="Q9" s="395"/>
      <c r="R9" s="395"/>
      <c r="S9" s="395"/>
      <c r="T9" s="395"/>
      <c r="U9" s="395"/>
    </row>
    <row r="10" ht="15.75" customHeight="1">
      <c r="A10" s="231"/>
      <c r="B10" s="220"/>
      <c r="C10" s="399">
        <v>2.0</v>
      </c>
      <c r="D10" s="394"/>
      <c r="E10" s="232"/>
      <c r="F10" s="233"/>
      <c r="G10" s="234"/>
      <c r="H10" s="395"/>
      <c r="I10" s="400">
        <f>I4-I7</f>
        <v>5100000</v>
      </c>
      <c r="J10" s="228"/>
      <c r="K10" s="400">
        <f>K4-K7</f>
        <v>8000000</v>
      </c>
      <c r="L10" s="228"/>
      <c r="M10" s="395"/>
      <c r="N10" s="395"/>
      <c r="O10" s="395"/>
      <c r="P10" s="395"/>
      <c r="Q10" s="395"/>
      <c r="R10" s="395"/>
      <c r="S10" s="395"/>
      <c r="T10" s="395"/>
      <c r="U10" s="395"/>
    </row>
    <row r="11" ht="15.75" customHeight="1">
      <c r="A11" s="328">
        <v>5.0</v>
      </c>
      <c r="B11" s="224"/>
      <c r="C11" s="399">
        <v>1.0</v>
      </c>
      <c r="D11" s="394"/>
      <c r="E11" s="394"/>
      <c r="F11" s="395"/>
      <c r="G11" s="395"/>
      <c r="H11" s="395"/>
      <c r="I11" s="232"/>
      <c r="J11" s="234"/>
      <c r="K11" s="232"/>
      <c r="L11" s="234"/>
      <c r="M11" s="395"/>
      <c r="N11" s="395"/>
      <c r="O11" s="395"/>
      <c r="P11" s="395"/>
      <c r="Q11" s="395"/>
      <c r="R11" s="395"/>
      <c r="S11" s="395"/>
      <c r="T11" s="395"/>
      <c r="U11" s="395"/>
    </row>
    <row r="12" ht="15.75" customHeight="1">
      <c r="A12" s="231"/>
      <c r="B12" s="220"/>
      <c r="C12" s="399">
        <v>2.0</v>
      </c>
      <c r="D12" s="394"/>
      <c r="E12" s="394"/>
      <c r="F12" s="395"/>
      <c r="G12" s="395"/>
      <c r="H12" s="395"/>
      <c r="I12" s="395"/>
      <c r="J12" s="394"/>
      <c r="K12" s="394"/>
      <c r="L12" s="394"/>
      <c r="M12" s="245"/>
      <c r="N12" s="245"/>
      <c r="O12" s="245"/>
      <c r="P12" s="245"/>
      <c r="Q12" s="406"/>
      <c r="R12" s="406"/>
      <c r="S12" s="406"/>
      <c r="T12" s="406"/>
      <c r="U12" s="406"/>
    </row>
    <row r="13" ht="15.75" customHeight="1">
      <c r="A13" s="394"/>
      <c r="B13" s="394"/>
      <c r="C13" s="394"/>
      <c r="D13" s="394"/>
      <c r="E13" s="394"/>
      <c r="F13" s="395"/>
      <c r="G13" s="395"/>
      <c r="H13" s="395"/>
      <c r="I13" s="395"/>
      <c r="J13" s="394"/>
      <c r="K13" s="394"/>
      <c r="L13" s="394"/>
      <c r="M13" s="245"/>
      <c r="N13" s="245"/>
      <c r="O13" s="245"/>
      <c r="P13" s="245"/>
      <c r="Q13" s="406"/>
      <c r="R13" s="406"/>
      <c r="S13" s="406"/>
      <c r="T13" s="406"/>
      <c r="U13" s="406"/>
    </row>
    <row r="14" ht="15.75" customHeight="1">
      <c r="A14" s="245"/>
      <c r="B14" s="245"/>
      <c r="C14" s="395"/>
      <c r="D14" s="395"/>
      <c r="E14" s="395"/>
      <c r="F14" s="395"/>
      <c r="G14" s="395"/>
      <c r="H14" s="395"/>
      <c r="I14" s="395"/>
      <c r="J14" s="395"/>
      <c r="K14" s="245"/>
      <c r="L14" s="245"/>
      <c r="M14" s="245"/>
      <c r="N14" s="245"/>
      <c r="O14" s="245"/>
      <c r="P14" s="245"/>
      <c r="Q14" s="406"/>
      <c r="R14" s="406"/>
      <c r="S14" s="406"/>
      <c r="T14" s="406"/>
      <c r="U14" s="406"/>
    </row>
    <row r="15" ht="15.75" customHeight="1">
      <c r="A15" s="407"/>
      <c r="B15" s="407"/>
      <c r="C15" s="407"/>
      <c r="D15" s="407"/>
      <c r="E15" s="407"/>
      <c r="F15" s="407"/>
      <c r="G15" s="407"/>
      <c r="H15" s="407"/>
      <c r="I15" s="407"/>
      <c r="J15" s="407"/>
      <c r="K15" s="407"/>
      <c r="L15" s="407"/>
      <c r="M15" s="407"/>
      <c r="N15" s="407"/>
      <c r="O15" s="407"/>
      <c r="P15" s="407"/>
      <c r="Q15" s="407"/>
      <c r="R15" s="408" t="s">
        <v>464</v>
      </c>
      <c r="S15" s="224"/>
      <c r="T15" s="408" t="s">
        <v>465</v>
      </c>
      <c r="U15" s="224"/>
    </row>
    <row r="16" ht="15.75" customHeight="1">
      <c r="A16" s="345" t="s">
        <v>466</v>
      </c>
      <c r="B16" s="250" t="s">
        <v>467</v>
      </c>
      <c r="C16" s="345" t="s">
        <v>468</v>
      </c>
      <c r="D16" s="345" t="s">
        <v>469</v>
      </c>
      <c r="E16" s="348" t="s">
        <v>470</v>
      </c>
      <c r="F16" s="345" t="s">
        <v>471</v>
      </c>
      <c r="G16" s="351" t="s">
        <v>484</v>
      </c>
      <c r="H16" s="409" t="s">
        <v>457</v>
      </c>
      <c r="I16" s="351" t="s">
        <v>472</v>
      </c>
      <c r="J16" s="410" t="s">
        <v>455</v>
      </c>
      <c r="K16" s="410" t="s">
        <v>473</v>
      </c>
      <c r="L16" s="410" t="s">
        <v>455</v>
      </c>
      <c r="M16" s="345" t="s">
        <v>474</v>
      </c>
      <c r="N16" s="410" t="s">
        <v>455</v>
      </c>
      <c r="O16" s="410" t="s">
        <v>475</v>
      </c>
      <c r="P16" s="410" t="s">
        <v>455</v>
      </c>
      <c r="Q16" s="345" t="s">
        <v>476</v>
      </c>
      <c r="R16" s="411" t="s">
        <v>427</v>
      </c>
      <c r="S16" s="411" t="s">
        <v>477</v>
      </c>
      <c r="T16" s="411" t="s">
        <v>427</v>
      </c>
      <c r="U16" s="411" t="s">
        <v>477</v>
      </c>
    </row>
    <row r="17" ht="15.75" hidden="1" customHeight="1">
      <c r="A17" s="412" t="str">
        <f>IFERROR(__xludf.DUMMYFUNCTION("QUERY(IMPORTRANGE(""https://docs.google.com/spreadsheets/d/10wdjc5GKQIqHka9D7QGq1b4WkRuVqG0ylA8lw57ns-I/edit?usp=sharing"", ""WARDAH!A3:AB""), ""SELECT Col1, Col2, Col3, Col4, Col5, Col6, Col10, Col11, Col16, Col17, Col18, Col19, Col20, Col21, Col22, Col2"&amp;"3, Col24, Col25, Col26, Col27, Col28 WHERE Col12 = 'Approved'"")"),"MICRO")</f>
        <v>MICRO</v>
      </c>
      <c r="B17" s="413" t="str">
        <f>IFERROR(__xludf.DUMMYFUNCTION("""COMPUTED_VALUE"""),"arfatus.sh")</f>
        <v>arfatus.sh</v>
      </c>
      <c r="C17" s="414" t="str">
        <f>IFERROR(__xludf.DUMMYFUNCTION("""COMPUTED_VALUE"""),"https://www.tiktok.com/@arfatus.sh")</f>
        <v>https://www.tiktok.com/@arfatus.sh</v>
      </c>
      <c r="D17" s="415"/>
      <c r="E17" s="416">
        <f>IFERROR(__xludf.DUMMYFUNCTION("""COMPUTED_VALUE"""),0.0)</f>
        <v>0</v>
      </c>
      <c r="F17" s="417">
        <f>IFERROR(__xludf.DUMMYFUNCTION("""COMPUTED_VALUE"""),1.0)</f>
        <v>1</v>
      </c>
      <c r="G17" s="418" t="str">
        <f>IFERROR(__xludf.DUMMYFUNCTION("""COMPUTED_VALUE"""),"Rp820,9RB")</f>
        <v>Rp820,9RB</v>
      </c>
      <c r="H17" s="419"/>
      <c r="I17" s="420"/>
      <c r="J17" s="421"/>
      <c r="K17" s="422" t="str">
        <f>IFERROR(__xludf.DUMMYFUNCTION("""COMPUTED_VALUE"""),"https://vt.tiktok.com/ZSuwFCSUT/")</f>
        <v>https://vt.tiktok.com/ZSuwFCSUT/</v>
      </c>
      <c r="L17" s="419"/>
      <c r="M17" s="423"/>
      <c r="N17" s="419"/>
      <c r="O17" s="423"/>
      <c r="P17" s="419"/>
      <c r="Q17" s="423"/>
      <c r="R17" s="424">
        <f>IFERROR(__xludf.DUMMYFUNCTION("""COMPUTED_VALUE"""),0.0)</f>
        <v>0</v>
      </c>
      <c r="S17" s="424">
        <f>IFERROR(__xludf.DUMMYFUNCTION("""COMPUTED_VALUE"""),0.0)</f>
        <v>0</v>
      </c>
      <c r="T17" s="425">
        <f>IFERROR(__xludf.DUMMYFUNCTION("""COMPUTED_VALUE"""),0.0)</f>
        <v>0</v>
      </c>
      <c r="U17" s="425">
        <f>IFERROR(__xludf.DUMMYFUNCTION("""COMPUTED_VALUE"""),0.0)</f>
        <v>0</v>
      </c>
    </row>
    <row r="18" ht="15.75" customHeight="1">
      <c r="A18" s="412" t="str">
        <f>IFERROR(__xludf.DUMMYFUNCTION("""COMPUTED_VALUE"""),"NANO")</f>
        <v>NANO</v>
      </c>
      <c r="B18" s="415" t="str">
        <f>IFERROR(__xludf.DUMMYFUNCTION("""COMPUTED_VALUE"""),"nuraeniaripin")</f>
        <v>nuraeniaripin</v>
      </c>
      <c r="C18" s="414" t="str">
        <f>IFERROR(__xludf.DUMMYFUNCTION("""COMPUTED_VALUE"""),"https://www.tiktok.com/@nuraeniaripin")</f>
        <v>https://www.tiktok.com/@nuraeniaripin</v>
      </c>
      <c r="D18" s="415">
        <f>IFERROR(__xludf.DUMMYFUNCTION("""COMPUTED_VALUE"""),8.5724130585E10)</f>
        <v>85724130585</v>
      </c>
      <c r="E18" s="416">
        <f>IFERROR(__xludf.DUMMYFUNCTION("""COMPUTED_VALUE"""),0.0)</f>
        <v>0</v>
      </c>
      <c r="F18" s="417">
        <f>IFERROR(__xludf.DUMMYFUNCTION("""COMPUTED_VALUE"""),4.0)</f>
        <v>4</v>
      </c>
      <c r="G18" s="418" t="str">
        <f>IFERROR(__xludf.DUMMYFUNCTION("""COMPUTED_VALUE"""),"Rp6,2JT")</f>
        <v>Rp6,2JT</v>
      </c>
      <c r="H18" s="419"/>
      <c r="I18" s="420"/>
      <c r="J18" s="421"/>
      <c r="K18" s="422" t="str">
        <f>IFERROR(__xludf.DUMMYFUNCTION("""COMPUTED_VALUE"""),"https://vt.tiktok.com/ZSmKYAnag/")</f>
        <v>https://vt.tiktok.com/ZSmKYAnag/</v>
      </c>
      <c r="L18" s="419"/>
      <c r="M18" s="422" t="str">
        <f>IFERROR(__xludf.DUMMYFUNCTION("""COMPUTED_VALUE"""),"https://vt.tiktok.com/ZSmoqwvPN/")</f>
        <v>https://vt.tiktok.com/ZSmoqwvPN/</v>
      </c>
      <c r="N18" s="419"/>
      <c r="O18" s="422" t="str">
        <f>IFERROR(__xludf.DUMMYFUNCTION("""COMPUTED_VALUE"""),"https://vt.tiktok.com/ZSuejVQ2q/")</f>
        <v>https://vt.tiktok.com/ZSuejVQ2q/</v>
      </c>
      <c r="P18" s="419"/>
      <c r="Q18" s="422" t="str">
        <f>IFERROR(__xludf.DUMMYFUNCTION("""COMPUTED_VALUE"""),"https://vt.tiktok.com/ZSudBSmkY/")</f>
        <v>https://vt.tiktok.com/ZSudBSmkY/</v>
      </c>
      <c r="R18" s="424">
        <f>IFERROR(__xludf.DUMMYFUNCTION("""COMPUTED_VALUE"""),0.0)</f>
        <v>0</v>
      </c>
      <c r="S18" s="424">
        <f>IFERROR(__xludf.DUMMYFUNCTION("""COMPUTED_VALUE"""),0.0)</f>
        <v>0</v>
      </c>
      <c r="T18" s="425">
        <f>IFERROR(__xludf.DUMMYFUNCTION("""COMPUTED_VALUE"""),0.0)</f>
        <v>0</v>
      </c>
      <c r="U18" s="425">
        <f>IFERROR(__xludf.DUMMYFUNCTION("""COMPUTED_VALUE"""),0.0)</f>
        <v>0</v>
      </c>
    </row>
    <row r="19" ht="15.75" customHeight="1">
      <c r="A19" s="412" t="str">
        <f>IFERROR(__xludf.DUMMYFUNCTION("""COMPUTED_VALUE"""),"NANO")</f>
        <v>NANO</v>
      </c>
      <c r="B19" s="415" t="str">
        <f>IFERROR(__xludf.DUMMYFUNCTION("""COMPUTED_VALUE"""),"Nnaaanazz")</f>
        <v>Nnaaanazz</v>
      </c>
      <c r="C19" s="414" t="str">
        <f>IFERROR(__xludf.DUMMYFUNCTION("""COMPUTED_VALUE"""),"https://www.tiktok.com/@Nnaaanazz")</f>
        <v>https://www.tiktok.com/@Nnaaanazz</v>
      </c>
      <c r="D19" s="415">
        <f>IFERROR(__xludf.DUMMYFUNCTION("""COMPUTED_VALUE"""),8.967894361E10)</f>
        <v>89678943610</v>
      </c>
      <c r="E19" s="416">
        <f>IFERROR(__xludf.DUMMYFUNCTION("""COMPUTED_VALUE"""),0.0)</f>
        <v>0</v>
      </c>
      <c r="F19" s="417">
        <f>IFERROR(__xludf.DUMMYFUNCTION("""COMPUTED_VALUE"""),4.0)</f>
        <v>4</v>
      </c>
      <c r="G19" s="418" t="str">
        <f>IFERROR(__xludf.DUMMYFUNCTION("""COMPUTED_VALUE"""),"Rp359,7RB")</f>
        <v>Rp359,7RB</v>
      </c>
      <c r="H19" s="419"/>
      <c r="I19" s="420"/>
      <c r="J19" s="421"/>
      <c r="K19" s="422" t="str">
        <f>IFERROR(__xludf.DUMMYFUNCTION("""COMPUTED_VALUE"""),"https://vt.tiktok.com/ZSHyh8vNN/")</f>
        <v>https://vt.tiktok.com/ZSHyh8vNN/</v>
      </c>
      <c r="L19" s="419"/>
      <c r="M19" s="422" t="str">
        <f>IFERROR(__xludf.DUMMYFUNCTION("""COMPUTED_VALUE"""),"https://vt.tiktok.com/ZSHyrE1JU/")</f>
        <v>https://vt.tiktok.com/ZSHyrE1JU/</v>
      </c>
      <c r="N19" s="419"/>
      <c r="O19" s="422" t="str">
        <f>IFERROR(__xludf.DUMMYFUNCTION("""COMPUTED_VALUE"""),"https://vt.tiktok.com/ZSHyhdVRh/")</f>
        <v>https://vt.tiktok.com/ZSHyhdVRh/</v>
      </c>
      <c r="P19" s="419"/>
      <c r="Q19" s="422" t="str">
        <f>IFERROR(__xludf.DUMMYFUNCTION("""COMPUTED_VALUE"""),"https://vt.tiktok.com/ZSHXjkTrg/")</f>
        <v>https://vt.tiktok.com/ZSHXjkTrg/</v>
      </c>
      <c r="R19" s="424">
        <f>IFERROR(__xludf.DUMMYFUNCTION("""COMPUTED_VALUE"""),0.0)</f>
        <v>0</v>
      </c>
      <c r="S19" s="424">
        <f>IFERROR(__xludf.DUMMYFUNCTION("""COMPUTED_VALUE"""),0.0)</f>
        <v>0</v>
      </c>
      <c r="T19" s="425">
        <f>IFERROR(__xludf.DUMMYFUNCTION("""COMPUTED_VALUE"""),0.0)</f>
        <v>0</v>
      </c>
      <c r="U19" s="425">
        <f>IFERROR(__xludf.DUMMYFUNCTION("""COMPUTED_VALUE"""),0.0)</f>
        <v>0</v>
      </c>
    </row>
    <row r="20" ht="15.75" hidden="1" customHeight="1">
      <c r="A20" s="412" t="str">
        <f>IFERROR(__xludf.DUMMYFUNCTION("""COMPUTED_VALUE"""),"NANO")</f>
        <v>NANO</v>
      </c>
      <c r="B20" s="415" t="str">
        <f>IFERROR(__xludf.DUMMYFUNCTION("""COMPUTED_VALUE"""),"Floraluxe.lmj")</f>
        <v>Floraluxe.lmj</v>
      </c>
      <c r="C20" s="414" t="str">
        <f>IFERROR(__xludf.DUMMYFUNCTION("""COMPUTED_VALUE"""),"https://www.tiktok.com/@Floraluxe.lmj")</f>
        <v>https://www.tiktok.com/@Floraluxe.lmj</v>
      </c>
      <c r="D20" s="415">
        <f>IFERROR(__xludf.DUMMYFUNCTION("""COMPUTED_VALUE"""),8.3140274488E10)</f>
        <v>83140274488</v>
      </c>
      <c r="E20" s="416">
        <f>IFERROR(__xludf.DUMMYFUNCTION("""COMPUTED_VALUE"""),0.0)</f>
        <v>0</v>
      </c>
      <c r="F20" s="417">
        <f>IFERROR(__xludf.DUMMYFUNCTION("""COMPUTED_VALUE"""),2.0)</f>
        <v>2</v>
      </c>
      <c r="G20" s="418" t="str">
        <f>IFERROR(__xludf.DUMMYFUNCTION("""COMPUTED_VALUE"""),"RP15,3JT")</f>
        <v>RP15,3JT</v>
      </c>
      <c r="H20" s="419"/>
      <c r="I20" s="420"/>
      <c r="J20" s="421"/>
      <c r="K20" s="422" t="str">
        <f>IFERROR(__xludf.DUMMYFUNCTION("""COMPUTED_VALUE"""),"https://vt.tiktok.com/ZSuPdr4Kg/")</f>
        <v>https://vt.tiktok.com/ZSuPdr4Kg/</v>
      </c>
      <c r="L20" s="419"/>
      <c r="M20" s="422" t="str">
        <f>IFERROR(__xludf.DUMMYFUNCTION("""COMPUTED_VALUE"""),"https://vt.tiktok.com/ZSuP8YNR4/")</f>
        <v>https://vt.tiktok.com/ZSuP8YNR4/</v>
      </c>
      <c r="N20" s="419"/>
      <c r="O20" s="423"/>
      <c r="P20" s="419"/>
      <c r="Q20" s="423"/>
      <c r="R20" s="424">
        <f>IFERROR(__xludf.DUMMYFUNCTION("""COMPUTED_VALUE"""),0.0)</f>
        <v>0</v>
      </c>
      <c r="S20" s="424">
        <f>IFERROR(__xludf.DUMMYFUNCTION("""COMPUTED_VALUE"""),0.0)</f>
        <v>0</v>
      </c>
      <c r="T20" s="425">
        <f>IFERROR(__xludf.DUMMYFUNCTION("""COMPUTED_VALUE"""),0.0)</f>
        <v>0</v>
      </c>
      <c r="U20" s="425">
        <f>IFERROR(__xludf.DUMMYFUNCTION("""COMPUTED_VALUE"""),0.0)</f>
        <v>0</v>
      </c>
    </row>
    <row r="21" ht="15.75" hidden="1" customHeight="1">
      <c r="A21" s="412" t="str">
        <f>IFERROR(__xludf.DUMMYFUNCTION("""COMPUTED_VALUE"""),"NANO")</f>
        <v>NANO</v>
      </c>
      <c r="B21" s="415" t="str">
        <f>IFERROR(__xludf.DUMMYFUNCTION("""COMPUTED_VALUE"""),"zrshafaaaa ")</f>
        <v>zrshafaaaa </v>
      </c>
      <c r="C21" s="414" t="str">
        <f>IFERROR(__xludf.DUMMYFUNCTION("""COMPUTED_VALUE"""),"https://www.tiktok.com/@zrshafaaaa ")</f>
        <v>https://www.tiktok.com/@zrshafaaaa </v>
      </c>
      <c r="D21" s="415">
        <f>IFERROR(__xludf.DUMMYFUNCTION("""COMPUTED_VALUE"""),8.513359946E10)</f>
        <v>85133599460</v>
      </c>
      <c r="E21" s="416">
        <f>IFERROR(__xludf.DUMMYFUNCTION("""COMPUTED_VALUE"""),0.0)</f>
        <v>0</v>
      </c>
      <c r="F21" s="417">
        <f>IFERROR(__xludf.DUMMYFUNCTION("""COMPUTED_VALUE"""),3.0)</f>
        <v>3</v>
      </c>
      <c r="G21" s="418" t="str">
        <f>IFERROR(__xludf.DUMMYFUNCTION("""COMPUTED_VALUE"""),"Rp1,2JT")</f>
        <v>Rp1,2JT</v>
      </c>
      <c r="H21" s="419"/>
      <c r="I21" s="420"/>
      <c r="J21" s="421"/>
      <c r="K21" s="422" t="str">
        <f>IFERROR(__xludf.DUMMYFUNCTION("""COMPUTED_VALUE"""),"https://vt.tiktok.com/ZSH3LmAJn/")</f>
        <v>https://vt.tiktok.com/ZSH3LmAJn/</v>
      </c>
      <c r="L21" s="419"/>
      <c r="M21" s="422" t="str">
        <f>IFERROR(__xludf.DUMMYFUNCTION("""COMPUTED_VALUE"""),"https://vt.tiktok.com/ZS9fbg8Qc/")</f>
        <v>https://vt.tiktok.com/ZS9fbg8Qc/</v>
      </c>
      <c r="N21" s="419"/>
      <c r="O21" s="422" t="str">
        <f>IFERROR(__xludf.DUMMYFUNCTION("""COMPUTED_VALUE"""),"https://vt.tiktok.com/ZS99QnFf6/")</f>
        <v>https://vt.tiktok.com/ZS99QnFf6/</v>
      </c>
      <c r="P21" s="419"/>
      <c r="Q21" s="423"/>
      <c r="R21" s="424">
        <f>IFERROR(__xludf.DUMMYFUNCTION("""COMPUTED_VALUE"""),0.0)</f>
        <v>0</v>
      </c>
      <c r="S21" s="424">
        <f>IFERROR(__xludf.DUMMYFUNCTION("""COMPUTED_VALUE"""),0.0)</f>
        <v>0</v>
      </c>
      <c r="T21" s="425">
        <f>IFERROR(__xludf.DUMMYFUNCTION("""COMPUTED_VALUE"""),0.0)</f>
        <v>0</v>
      </c>
      <c r="U21" s="425">
        <f>IFERROR(__xludf.DUMMYFUNCTION("""COMPUTED_VALUE"""),0.0)</f>
        <v>0</v>
      </c>
    </row>
    <row r="22" ht="15.75" customHeight="1">
      <c r="A22" s="412" t="str">
        <f>IFERROR(__xludf.DUMMYFUNCTION("""COMPUTED_VALUE"""),"NANO")</f>
        <v>NANO</v>
      </c>
      <c r="B22" s="415" t="str">
        <f>IFERROR(__xludf.DUMMYFUNCTION("""COMPUTED_VALUE"""),"naadeblue ")</f>
        <v>naadeblue </v>
      </c>
      <c r="C22" s="414" t="str">
        <f>IFERROR(__xludf.DUMMYFUNCTION("""COMPUTED_VALUE"""),"https://www.tiktok.com/@naadeblue ")</f>
        <v>https://www.tiktok.com/@naadeblue </v>
      </c>
      <c r="D22" s="415">
        <f>IFERROR(__xludf.DUMMYFUNCTION("""COMPUTED_VALUE"""),8.5747947988E10)</f>
        <v>85747947988</v>
      </c>
      <c r="E22" s="416">
        <f>IFERROR(__xludf.DUMMYFUNCTION("""COMPUTED_VALUE"""),0.0)</f>
        <v>0</v>
      </c>
      <c r="F22" s="417">
        <f>IFERROR(__xludf.DUMMYFUNCTION("""COMPUTED_VALUE"""),4.0)</f>
        <v>4</v>
      </c>
      <c r="G22" s="418" t="str">
        <f>IFERROR(__xludf.DUMMYFUNCTION("""COMPUTED_VALUE"""),"Rp610RB")</f>
        <v>Rp610RB</v>
      </c>
      <c r="H22" s="419"/>
      <c r="I22" s="420"/>
      <c r="J22" s="421"/>
      <c r="K22" s="422" t="str">
        <f>IFERROR(__xludf.DUMMYFUNCTION("""COMPUTED_VALUE"""),"https://vt.tiktok.com/ZSHyAEgSm/")</f>
        <v>https://vt.tiktok.com/ZSHyAEgSm/</v>
      </c>
      <c r="L22" s="419"/>
      <c r="M22" s="422" t="str">
        <f>IFERROR(__xludf.DUMMYFUNCTION("""COMPUTED_VALUE"""),"https://vt.tiktok.com/ZSHyDLK3j/")</f>
        <v>https://vt.tiktok.com/ZSHyDLK3j/</v>
      </c>
      <c r="N22" s="419"/>
      <c r="O22" s="422" t="str">
        <f>IFERROR(__xludf.DUMMYFUNCTION("""COMPUTED_VALUE"""),"https://vt.tiktok.com/ZSHavMvLV/")</f>
        <v>https://vt.tiktok.com/ZSHavMvLV/</v>
      </c>
      <c r="P22" s="419"/>
      <c r="Q22" s="422" t="str">
        <f>IFERROR(__xludf.DUMMYFUNCTION("""COMPUTED_VALUE"""),"https://vt.tiktok.com/ZSHnCGa8X/")</f>
        <v>https://vt.tiktok.com/ZSHnCGa8X/</v>
      </c>
      <c r="R22" s="424">
        <f>IFERROR(__xludf.DUMMYFUNCTION("""COMPUTED_VALUE"""),0.0)</f>
        <v>0</v>
      </c>
      <c r="S22" s="424">
        <f>IFERROR(__xludf.DUMMYFUNCTION("""COMPUTED_VALUE"""),0.0)</f>
        <v>0</v>
      </c>
      <c r="T22" s="425">
        <f>IFERROR(__xludf.DUMMYFUNCTION("""COMPUTED_VALUE"""),0.0)</f>
        <v>0</v>
      </c>
      <c r="U22" s="425">
        <f>IFERROR(__xludf.DUMMYFUNCTION("""COMPUTED_VALUE"""),0.0)</f>
        <v>0</v>
      </c>
    </row>
    <row r="23" ht="15.75" customHeight="1">
      <c r="A23" s="412" t="str">
        <f>IFERROR(__xludf.DUMMYFUNCTION("""COMPUTED_VALUE"""),"NANO")</f>
        <v>NANO</v>
      </c>
      <c r="B23" s="415" t="str">
        <f>IFERROR(__xludf.DUMMYFUNCTION("""COMPUTED_VALUE"""),"itsyeeelllaaa")</f>
        <v>itsyeeelllaaa</v>
      </c>
      <c r="C23" s="414" t="str">
        <f>IFERROR(__xludf.DUMMYFUNCTION("""COMPUTED_VALUE"""),"https://www.tiktok.com/@itsyeeelllaaa")</f>
        <v>https://www.tiktok.com/@itsyeeelllaaa</v>
      </c>
      <c r="D23" s="415">
        <f>IFERROR(__xludf.DUMMYFUNCTION("""COMPUTED_VALUE"""),8.5764211754E10)</f>
        <v>85764211754</v>
      </c>
      <c r="E23" s="416">
        <f>IFERROR(__xludf.DUMMYFUNCTION("""COMPUTED_VALUE"""),0.0)</f>
        <v>0</v>
      </c>
      <c r="F23" s="417">
        <f>IFERROR(__xludf.DUMMYFUNCTION("""COMPUTED_VALUE"""),4.0)</f>
        <v>4</v>
      </c>
      <c r="G23" s="418" t="str">
        <f>IFERROR(__xludf.DUMMYFUNCTION("""COMPUTED_VALUE"""),"Rp500RB")</f>
        <v>Rp500RB</v>
      </c>
      <c r="H23" s="419"/>
      <c r="I23" s="420"/>
      <c r="J23" s="421"/>
      <c r="K23" s="422" t="str">
        <f>IFERROR(__xludf.DUMMYFUNCTION("""COMPUTED_VALUE"""),"https://vt.tiktok.com/ZSH8ucb41/")</f>
        <v>https://vt.tiktok.com/ZSH8ucb41/</v>
      </c>
      <c r="L23" s="419"/>
      <c r="M23" s="422" t="str">
        <f>IFERROR(__xludf.DUMMYFUNCTION("""COMPUTED_VALUE"""),"https://vt.tiktok.com/ZSH8C4U8T/")</f>
        <v>https://vt.tiktok.com/ZSH8C4U8T/</v>
      </c>
      <c r="N23" s="419"/>
      <c r="O23" s="422" t="str">
        <f>IFERROR(__xludf.DUMMYFUNCTION("""COMPUTED_VALUE"""),"https://vt.tiktok.com/ZSH8TcFD1/")</f>
        <v>https://vt.tiktok.com/ZSH8TcFD1/</v>
      </c>
      <c r="P23" s="419"/>
      <c r="Q23" s="422" t="str">
        <f>IFERROR(__xludf.DUMMYFUNCTION("""COMPUTED_VALUE"""),"https://vt.tiktok.com/ZSHnXUxh9/")</f>
        <v>https://vt.tiktok.com/ZSHnXUxh9/</v>
      </c>
      <c r="R23" s="424">
        <f>IFERROR(__xludf.DUMMYFUNCTION("""COMPUTED_VALUE"""),0.0)</f>
        <v>0</v>
      </c>
      <c r="S23" s="424">
        <f>IFERROR(__xludf.DUMMYFUNCTION("""COMPUTED_VALUE"""),0.0)</f>
        <v>0</v>
      </c>
      <c r="T23" s="425">
        <f>IFERROR(__xludf.DUMMYFUNCTION("""COMPUTED_VALUE"""),0.0)</f>
        <v>0</v>
      </c>
      <c r="U23" s="425">
        <f>IFERROR(__xludf.DUMMYFUNCTION("""COMPUTED_VALUE"""),0.0)</f>
        <v>0</v>
      </c>
    </row>
    <row r="24" ht="15.75" customHeight="1">
      <c r="A24" s="412" t="str">
        <f>IFERROR(__xludf.DUMMYFUNCTION("""COMPUTED_VALUE"""),"NANO")</f>
        <v>NANO</v>
      </c>
      <c r="B24" s="415" t="str">
        <f>IFERROR(__xludf.DUMMYFUNCTION("""COMPUTED_VALUE"""),"xyblabla2")</f>
        <v>xyblabla2</v>
      </c>
      <c r="C24" s="414" t="str">
        <f>IFERROR(__xludf.DUMMYFUNCTION("""COMPUTED_VALUE"""),"https://www.tiktok.com/@xyblabla2")</f>
        <v>https://www.tiktok.com/@xyblabla2</v>
      </c>
      <c r="D24" s="415">
        <f>IFERROR(__xludf.DUMMYFUNCTION("""COMPUTED_VALUE"""),8.2123879357E10)</f>
        <v>82123879357</v>
      </c>
      <c r="E24" s="416">
        <f>IFERROR(__xludf.DUMMYFUNCTION("""COMPUTED_VALUE"""),0.0)</f>
        <v>0</v>
      </c>
      <c r="F24" s="417">
        <f>IFERROR(__xludf.DUMMYFUNCTION("""COMPUTED_VALUE"""),4.0)</f>
        <v>4</v>
      </c>
      <c r="G24" s="418" t="str">
        <f>IFERROR(__xludf.DUMMYFUNCTION("""COMPUTED_VALUE"""),"Rp5,7JT")</f>
        <v>Rp5,7JT</v>
      </c>
      <c r="H24" s="419"/>
      <c r="I24" s="420"/>
      <c r="J24" s="421"/>
      <c r="K24" s="422" t="str">
        <f>IFERROR(__xludf.DUMMYFUNCTION("""COMPUTED_VALUE"""),"https://vt.tiktok.com/ZSu1hr9s2/")</f>
        <v>https://vt.tiktok.com/ZSu1hr9s2/</v>
      </c>
      <c r="L24" s="419"/>
      <c r="M24" s="422" t="str">
        <f>IFERROR(__xludf.DUMMYFUNCTION("""COMPUTED_VALUE"""),"https://www.tiktok.com/@xyblabla2/video/7613654922558557460?is_from_webapp=1&amp;sender_device=pc")</f>
        <v>https://www.tiktok.com/@xyblabla2/video/7613654922558557460?is_from_webapp=1&amp;sender_device=pc</v>
      </c>
      <c r="N24" s="419"/>
      <c r="O24" s="422" t="str">
        <f>IFERROR(__xludf.DUMMYFUNCTION("""COMPUTED_VALUE"""),"https://vt.tiktok.com/ZSu8HxvDQ/")</f>
        <v>https://vt.tiktok.com/ZSu8HxvDQ/</v>
      </c>
      <c r="P24" s="419"/>
      <c r="Q24" s="422" t="str">
        <f>IFERROR(__xludf.DUMMYFUNCTION("""COMPUTED_VALUE"""),"https://vt.tiktok.com/ZSuLqxCg5/")</f>
        <v>https://vt.tiktok.com/ZSuLqxCg5/</v>
      </c>
      <c r="R24" s="424">
        <f>IFERROR(__xludf.DUMMYFUNCTION("""COMPUTED_VALUE"""),0.0)</f>
        <v>0</v>
      </c>
      <c r="S24" s="424">
        <f>IFERROR(__xludf.DUMMYFUNCTION("""COMPUTED_VALUE"""),0.0)</f>
        <v>0</v>
      </c>
      <c r="T24" s="425">
        <f>IFERROR(__xludf.DUMMYFUNCTION("""COMPUTED_VALUE"""),0.0)</f>
        <v>0</v>
      </c>
      <c r="U24" s="425">
        <f>IFERROR(__xludf.DUMMYFUNCTION("""COMPUTED_VALUE"""),0.0)</f>
        <v>0</v>
      </c>
    </row>
    <row r="25" ht="15.75" customHeight="1">
      <c r="A25" s="412" t="str">
        <f>IFERROR(__xludf.DUMMYFUNCTION("""COMPUTED_VALUE"""),"NANO")</f>
        <v>NANO</v>
      </c>
      <c r="B25" s="415" t="str">
        <f>IFERROR(__xludf.DUMMYFUNCTION("""COMPUTED_VALUE"""),"tamiputriars")</f>
        <v>tamiputriars</v>
      </c>
      <c r="C25" s="414" t="str">
        <f>IFERROR(__xludf.DUMMYFUNCTION("""COMPUTED_VALUE"""),"https://www.tiktok.com/@tamiputriars")</f>
        <v>https://www.tiktok.com/@tamiputriars</v>
      </c>
      <c r="D25" s="415">
        <f>IFERROR(__xludf.DUMMYFUNCTION("""COMPUTED_VALUE"""),8.5882148134E10)</f>
        <v>85882148134</v>
      </c>
      <c r="E25" s="416">
        <f>IFERROR(__xludf.DUMMYFUNCTION("""COMPUTED_VALUE"""),0.0)</f>
        <v>0</v>
      </c>
      <c r="F25" s="417">
        <f>IFERROR(__xludf.DUMMYFUNCTION("""COMPUTED_VALUE"""),4.0)</f>
        <v>4</v>
      </c>
      <c r="G25" s="418" t="str">
        <f>IFERROR(__xludf.DUMMYFUNCTION("""COMPUTED_VALUE"""),"Rp170RB")</f>
        <v>Rp170RB</v>
      </c>
      <c r="H25" s="419"/>
      <c r="I25" s="420"/>
      <c r="J25" s="421"/>
      <c r="K25" s="422" t="str">
        <f>IFERROR(__xludf.DUMMYFUNCTION("""COMPUTED_VALUE"""),"https://vt.tiktok.com/ZSukMkwM9/")</f>
        <v>https://vt.tiktok.com/ZSukMkwM9/</v>
      </c>
      <c r="L25" s="419"/>
      <c r="M25" s="422" t="str">
        <f>IFERROR(__xludf.DUMMYFUNCTION("""COMPUTED_VALUE"""),"https://vt.tiktok.com/ZSuyV5k6M/")</f>
        <v>https://vt.tiktok.com/ZSuyV5k6M/</v>
      </c>
      <c r="N25" s="419"/>
      <c r="O25" s="422" t="str">
        <f>IFERROR(__xludf.DUMMYFUNCTION("""COMPUTED_VALUE"""),"https://vt.tiktok.com/ZSuPNGUty/")</f>
        <v>https://vt.tiktok.com/ZSuPNGUty/</v>
      </c>
      <c r="P25" s="419"/>
      <c r="Q25" s="422" t="str">
        <f>IFERROR(__xludf.DUMMYFUNCTION("""COMPUTED_VALUE"""),"https://vt.tiktok.com/ZSuPCVxrR/")</f>
        <v>https://vt.tiktok.com/ZSuPCVxrR/</v>
      </c>
      <c r="R25" s="424">
        <f>IFERROR(__xludf.DUMMYFUNCTION("""COMPUTED_VALUE"""),0.0)</f>
        <v>0</v>
      </c>
      <c r="S25" s="424">
        <f>IFERROR(__xludf.DUMMYFUNCTION("""COMPUTED_VALUE"""),0.0)</f>
        <v>0</v>
      </c>
      <c r="T25" s="425">
        <f>IFERROR(__xludf.DUMMYFUNCTION("""COMPUTED_VALUE"""),0.0)</f>
        <v>0</v>
      </c>
      <c r="U25" s="425">
        <f>IFERROR(__xludf.DUMMYFUNCTION("""COMPUTED_VALUE"""),0.0)</f>
        <v>0</v>
      </c>
    </row>
    <row r="26" ht="15.75" customHeight="1">
      <c r="A26" s="412" t="str">
        <f>IFERROR(__xludf.DUMMYFUNCTION("""COMPUTED_VALUE"""),"NANO")</f>
        <v>NANO</v>
      </c>
      <c r="B26" s="415" t="str">
        <f>IFERROR(__xludf.DUMMYFUNCTION("""COMPUTED_VALUE"""),"ismifadhilah29")</f>
        <v>ismifadhilah29</v>
      </c>
      <c r="C26" s="414" t="str">
        <f>IFERROR(__xludf.DUMMYFUNCTION("""COMPUTED_VALUE"""),"https://www.tiktok.com/@ismifadhilah29")</f>
        <v>https://www.tiktok.com/@ismifadhilah29</v>
      </c>
      <c r="D26" s="415">
        <f>IFERROR(__xludf.DUMMYFUNCTION("""COMPUTED_VALUE"""),8.5124617903E10)</f>
        <v>85124617903</v>
      </c>
      <c r="E26" s="416">
        <f>IFERROR(__xludf.DUMMYFUNCTION("""COMPUTED_VALUE"""),0.0)</f>
        <v>0</v>
      </c>
      <c r="F26" s="417">
        <f>IFERROR(__xludf.DUMMYFUNCTION("""COMPUTED_VALUE"""),4.0)</f>
        <v>4</v>
      </c>
      <c r="G26" s="418" t="str">
        <f>IFERROR(__xludf.DUMMYFUNCTION("""COMPUTED_VALUE"""),"Rp316RB")</f>
        <v>Rp316RB</v>
      </c>
      <c r="H26" s="419"/>
      <c r="I26" s="420"/>
      <c r="J26" s="421"/>
      <c r="K26" s="422" t="str">
        <f>IFERROR(__xludf.DUMMYFUNCTION("""COMPUTED_VALUE"""),"https://www.tiktok.com/@ismifadhilah29/video/7617036641953205525?is_from_webapp=1&amp;sender_device=pc")</f>
        <v>https://www.tiktok.com/@ismifadhilah29/video/7617036641953205525?is_from_webapp=1&amp;sender_device=pc</v>
      </c>
      <c r="L26" s="419"/>
      <c r="M26" s="422" t="str">
        <f>IFERROR(__xludf.DUMMYFUNCTION("""COMPUTED_VALUE"""),"https://www.tiktok.com/@ismifadhilah29/video/7617345636635233557?is_from_webapp=1&amp;sender_device=pc")</f>
        <v>https://www.tiktok.com/@ismifadhilah29/video/7617345636635233557?is_from_webapp=1&amp;sender_device=pc</v>
      </c>
      <c r="N26" s="419"/>
      <c r="O26" s="422" t="str">
        <f>IFERROR(__xludf.DUMMYFUNCTION("""COMPUTED_VALUE"""),"https://vt.tiktok.com/ZSuvt3kgc/")</f>
        <v>https://vt.tiktok.com/ZSuvt3kgc/</v>
      </c>
      <c r="P26" s="419"/>
      <c r="Q26" s="422" t="str">
        <f>IFERROR(__xludf.DUMMYFUNCTION("""COMPUTED_VALUE"""),"https://vt.tiktok.com/ZSHrb8SuN/")</f>
        <v>https://vt.tiktok.com/ZSHrb8SuN/</v>
      </c>
      <c r="R26" s="424">
        <f>IFERROR(__xludf.DUMMYFUNCTION("""COMPUTED_VALUE"""),0.0)</f>
        <v>0</v>
      </c>
      <c r="S26" s="424">
        <f>IFERROR(__xludf.DUMMYFUNCTION("""COMPUTED_VALUE"""),0.0)</f>
        <v>0</v>
      </c>
      <c r="T26" s="425">
        <f>IFERROR(__xludf.DUMMYFUNCTION("""COMPUTED_VALUE"""),0.0)</f>
        <v>0</v>
      </c>
      <c r="U26" s="425">
        <f>IFERROR(__xludf.DUMMYFUNCTION("""COMPUTED_VALUE"""),0.0)</f>
        <v>0</v>
      </c>
    </row>
    <row r="27" ht="15.75" customHeight="1">
      <c r="A27" s="412" t="str">
        <f>IFERROR(__xludf.DUMMYFUNCTION("""COMPUTED_VALUE"""),"NANO")</f>
        <v>NANO</v>
      </c>
      <c r="B27" s="415" t="str">
        <f>IFERROR(__xludf.DUMMYFUNCTION("""COMPUTED_VALUE"""),"Armiheppii ")</f>
        <v>Armiheppii </v>
      </c>
      <c r="C27" s="414" t="str">
        <f>IFERROR(__xludf.DUMMYFUNCTION("""COMPUTED_VALUE"""),"https://www.tiktok.com/@Armiheppii ")</f>
        <v>https://www.tiktok.com/@Armiheppii </v>
      </c>
      <c r="D27" s="415">
        <f>IFERROR(__xludf.DUMMYFUNCTION("""COMPUTED_VALUE"""),8.5643823022E10)</f>
        <v>85643823022</v>
      </c>
      <c r="E27" s="416">
        <f>IFERROR(__xludf.DUMMYFUNCTION("""COMPUTED_VALUE"""),0.0)</f>
        <v>0</v>
      </c>
      <c r="F27" s="417">
        <f>IFERROR(__xludf.DUMMYFUNCTION("""COMPUTED_VALUE"""),4.0)</f>
        <v>4</v>
      </c>
      <c r="G27" s="418" t="str">
        <f>IFERROR(__xludf.DUMMYFUNCTION("""COMPUTED_VALUE"""),"Rp14,8JT")</f>
        <v>Rp14,8JT</v>
      </c>
      <c r="H27" s="419"/>
      <c r="I27" s="420"/>
      <c r="J27" s="421"/>
      <c r="K27" s="422" t="str">
        <f>IFERROR(__xludf.DUMMYFUNCTION("""COMPUTED_VALUE"""),"https://vt.tiktok.com/ZSuJNCSUb/")</f>
        <v>https://vt.tiktok.com/ZSuJNCSUb/</v>
      </c>
      <c r="L27" s="419"/>
      <c r="M27" s="422" t="str">
        <f>IFERROR(__xludf.DUMMYFUNCTION("""COMPUTED_VALUE"""),"https://vt.tiktok.com/ZSuL7XKKT/")</f>
        <v>https://vt.tiktok.com/ZSuL7XKKT/</v>
      </c>
      <c r="N27" s="419"/>
      <c r="O27" s="422" t="str">
        <f>IFERROR(__xludf.DUMMYFUNCTION("""COMPUTED_VALUE"""),"https://vt.tiktok.com/ZSuM2DKQX/")</f>
        <v>https://vt.tiktok.com/ZSuM2DKQX/</v>
      </c>
      <c r="P27" s="419"/>
      <c r="Q27" s="422" t="str">
        <f>IFERROR(__xludf.DUMMYFUNCTION("""COMPUTED_VALUE"""),"https://vt.tiktok.com/ZSuMxggt5/")</f>
        <v>https://vt.tiktok.com/ZSuMxggt5/</v>
      </c>
      <c r="R27" s="424">
        <f>IFERROR(__xludf.DUMMYFUNCTION("""COMPUTED_VALUE"""),0.0)</f>
        <v>0</v>
      </c>
      <c r="S27" s="424">
        <f>IFERROR(__xludf.DUMMYFUNCTION("""COMPUTED_VALUE"""),0.0)</f>
        <v>0</v>
      </c>
      <c r="T27" s="425">
        <f>IFERROR(__xludf.DUMMYFUNCTION("""COMPUTED_VALUE"""),0.0)</f>
        <v>0</v>
      </c>
      <c r="U27" s="425">
        <f>IFERROR(__xludf.DUMMYFUNCTION("""COMPUTED_VALUE"""),0.0)</f>
        <v>0</v>
      </c>
    </row>
    <row r="28" ht="15.75" customHeight="1">
      <c r="A28" s="412" t="str">
        <f>IFERROR(__xludf.DUMMYFUNCTION("""COMPUTED_VALUE"""),"NANO")</f>
        <v>NANO</v>
      </c>
      <c r="B28" s="415" t="str">
        <f>IFERROR(__xludf.DUMMYFUNCTION("""COMPUTED_VALUE"""),"septiaammelia ")</f>
        <v>septiaammelia </v>
      </c>
      <c r="C28" s="414" t="str">
        <f>IFERROR(__xludf.DUMMYFUNCTION("""COMPUTED_VALUE"""),"https://www.tiktok.com/@septiaammelia ")</f>
        <v>https://www.tiktok.com/@septiaammelia </v>
      </c>
      <c r="D28" s="415">
        <f>IFERROR(__xludf.DUMMYFUNCTION("""COMPUTED_VALUE"""),8.9659691898E10)</f>
        <v>89659691898</v>
      </c>
      <c r="E28" s="416">
        <f>IFERROR(__xludf.DUMMYFUNCTION("""COMPUTED_VALUE"""),0.0)</f>
        <v>0</v>
      </c>
      <c r="F28" s="417">
        <f>IFERROR(__xludf.DUMMYFUNCTION("""COMPUTED_VALUE"""),4.0)</f>
        <v>4</v>
      </c>
      <c r="G28" s="418" t="str">
        <f>IFERROR(__xludf.DUMMYFUNCTION("""COMPUTED_VALUE"""),"Rp50RB")</f>
        <v>Rp50RB</v>
      </c>
      <c r="H28" s="419"/>
      <c r="I28" s="420"/>
      <c r="J28" s="421"/>
      <c r="K28" s="422" t="str">
        <f>IFERROR(__xludf.DUMMYFUNCTION("""COMPUTED_VALUE"""),"https://vt.tiktok.com/ZSuyQkhRe/")</f>
        <v>https://vt.tiktok.com/ZSuyQkhRe/</v>
      </c>
      <c r="L28" s="419"/>
      <c r="M28" s="422" t="str">
        <f>IFERROR(__xludf.DUMMYFUNCTION("""COMPUTED_VALUE"""),"https://vt.tiktok.com/ZSuaoQLj8/")</f>
        <v>https://vt.tiktok.com/ZSuaoQLj8/</v>
      </c>
      <c r="N28" s="419"/>
      <c r="O28" s="422" t="str">
        <f>IFERROR(__xludf.DUMMYFUNCTION("""COMPUTED_VALUE"""),"https://vt.tiktok.com/ZSubrwWT5/")</f>
        <v>https://vt.tiktok.com/ZSubrwWT5/</v>
      </c>
      <c r="P28" s="419"/>
      <c r="Q28" s="422" t="str">
        <f>IFERROR(__xludf.DUMMYFUNCTION("""COMPUTED_VALUE"""),"https://vt.tiktok.com/ZSHrHkU9R/")</f>
        <v>https://vt.tiktok.com/ZSHrHkU9R/</v>
      </c>
      <c r="R28" s="424">
        <f>IFERROR(__xludf.DUMMYFUNCTION("""COMPUTED_VALUE"""),0.0)</f>
        <v>0</v>
      </c>
      <c r="S28" s="424">
        <f>IFERROR(__xludf.DUMMYFUNCTION("""COMPUTED_VALUE"""),0.0)</f>
        <v>0</v>
      </c>
      <c r="T28" s="425">
        <f>IFERROR(__xludf.DUMMYFUNCTION("""COMPUTED_VALUE"""),0.0)</f>
        <v>0</v>
      </c>
      <c r="U28" s="425">
        <f>IFERROR(__xludf.DUMMYFUNCTION("""COMPUTED_VALUE"""),0.0)</f>
        <v>0</v>
      </c>
    </row>
    <row r="29" ht="15.75" customHeight="1">
      <c r="A29" s="412" t="str">
        <f>IFERROR(__xludf.DUMMYFUNCTION("""COMPUTED_VALUE"""),"NANO")</f>
        <v>NANO</v>
      </c>
      <c r="B29" s="415" t="str">
        <f>IFERROR(__xludf.DUMMYFUNCTION("""COMPUTED_VALUE"""),"nurridn___")</f>
        <v>nurridn___</v>
      </c>
      <c r="C29" s="414" t="str">
        <f>IFERROR(__xludf.DUMMYFUNCTION("""COMPUTED_VALUE"""),"https://www.tiktok.com/@nurridn___")</f>
        <v>https://www.tiktok.com/@nurridn___</v>
      </c>
      <c r="D29" s="415">
        <f>IFERROR(__xludf.DUMMYFUNCTION("""COMPUTED_VALUE"""),8.8971786784E10)</f>
        <v>88971786784</v>
      </c>
      <c r="E29" s="416">
        <f>IFERROR(__xludf.DUMMYFUNCTION("""COMPUTED_VALUE"""),0.0)</f>
        <v>0</v>
      </c>
      <c r="F29" s="417">
        <f>IFERROR(__xludf.DUMMYFUNCTION("""COMPUTED_VALUE"""),4.0)</f>
        <v>4</v>
      </c>
      <c r="G29" s="418" t="str">
        <f>IFERROR(__xludf.DUMMYFUNCTION("""COMPUTED_VALUE"""),"Rp8JT")</f>
        <v>Rp8JT</v>
      </c>
      <c r="H29" s="419"/>
      <c r="I29" s="420"/>
      <c r="J29" s="421"/>
      <c r="K29" s="422" t="str">
        <f>IFERROR(__xludf.DUMMYFUNCTION("""COMPUTED_VALUE"""),"https://vt.tiktok.com/ZSmEPo1JU/")</f>
        <v>https://vt.tiktok.com/ZSmEPo1JU/</v>
      </c>
      <c r="L29" s="419"/>
      <c r="M29" s="422" t="str">
        <f>IFERROR(__xludf.DUMMYFUNCTION("""COMPUTED_VALUE"""),"https://vt.tiktok.com/ZSmEPq3B8/")</f>
        <v>https://vt.tiktok.com/ZSmEPq3B8/</v>
      </c>
      <c r="N29" s="419"/>
      <c r="O29" s="422" t="str">
        <f>IFERROR(__xludf.DUMMYFUNCTION("""COMPUTED_VALUE"""),"https://vt.tiktok.com/ZSudHxb4y/")</f>
        <v>https://vt.tiktok.com/ZSudHxb4y/</v>
      </c>
      <c r="P29" s="419"/>
      <c r="Q29" s="422" t="str">
        <f>IFERROR(__xludf.DUMMYFUNCTION("""COMPUTED_VALUE"""),"https://vt.tiktok.com/ZSudHCTUF/")</f>
        <v>https://vt.tiktok.com/ZSudHCTUF/</v>
      </c>
      <c r="R29" s="424">
        <f>IFERROR(__xludf.DUMMYFUNCTION("""COMPUTED_VALUE"""),0.0)</f>
        <v>0</v>
      </c>
      <c r="S29" s="424">
        <f>IFERROR(__xludf.DUMMYFUNCTION("""COMPUTED_VALUE"""),0.0)</f>
        <v>0</v>
      </c>
      <c r="T29" s="425">
        <f>IFERROR(__xludf.DUMMYFUNCTION("""COMPUTED_VALUE"""),0.0)</f>
        <v>0</v>
      </c>
      <c r="U29" s="425">
        <f>IFERROR(__xludf.DUMMYFUNCTION("""COMPUTED_VALUE"""),0.0)</f>
        <v>0</v>
      </c>
    </row>
    <row r="30" ht="15.75" customHeight="1">
      <c r="A30" s="412" t="str">
        <f>IFERROR(__xludf.DUMMYFUNCTION("""COMPUTED_VALUE"""),"NANO")</f>
        <v>NANO</v>
      </c>
      <c r="B30" s="415" t="str">
        <f>IFERROR(__xludf.DUMMYFUNCTION("""COMPUTED_VALUE"""),"winaseptiani_24")</f>
        <v>winaseptiani_24</v>
      </c>
      <c r="C30" s="414" t="str">
        <f>IFERROR(__xludf.DUMMYFUNCTION("""COMPUTED_VALUE"""),"https://www.tiktok.com/@winaseptiani_24")</f>
        <v>https://www.tiktok.com/@winaseptiani_24</v>
      </c>
      <c r="D30" s="415">
        <f>IFERROR(__xludf.DUMMYFUNCTION("""COMPUTED_VALUE"""),8.5793577812E10)</f>
        <v>85793577812</v>
      </c>
      <c r="E30" s="416">
        <f>IFERROR(__xludf.DUMMYFUNCTION("""COMPUTED_VALUE"""),0.0)</f>
        <v>0</v>
      </c>
      <c r="F30" s="417">
        <f>IFERROR(__xludf.DUMMYFUNCTION("""COMPUTED_VALUE"""),4.0)</f>
        <v>4</v>
      </c>
      <c r="G30" s="418" t="str">
        <f>IFERROR(__xludf.DUMMYFUNCTION("""COMPUTED_VALUE"""),"Rp192RB")</f>
        <v>Rp192RB</v>
      </c>
      <c r="H30" s="419"/>
      <c r="I30" s="420"/>
      <c r="J30" s="421"/>
      <c r="K30" s="422" t="str">
        <f>IFERROR(__xludf.DUMMYFUNCTION("""COMPUTED_VALUE"""),"https://vt.tiktok.com/ZSukGHoLB/")</f>
        <v>https://vt.tiktok.com/ZSukGHoLB/</v>
      </c>
      <c r="L30" s="419"/>
      <c r="M30" s="422" t="str">
        <f>IFERROR(__xludf.DUMMYFUNCTION("""COMPUTED_VALUE"""),"https://vt.tiktok.com/ZSuAury6S/")</f>
        <v>https://vt.tiktok.com/ZSuAury6S/</v>
      </c>
      <c r="N30" s="419"/>
      <c r="O30" s="422" t="str">
        <f>IFERROR(__xludf.DUMMYFUNCTION("""COMPUTED_VALUE"""),"https://vt.tiktok.com/ZSufwQTDa/")</f>
        <v>https://vt.tiktok.com/ZSufwQTDa/</v>
      </c>
      <c r="P30" s="419"/>
      <c r="Q30" s="422" t="str">
        <f>IFERROR(__xludf.DUMMYFUNCTION("""COMPUTED_VALUE"""),"https://vt.tiktok.com/ZSumeMwUC/")</f>
        <v>https://vt.tiktok.com/ZSumeMwUC/</v>
      </c>
      <c r="R30" s="424">
        <f>IFERROR(__xludf.DUMMYFUNCTION("""COMPUTED_VALUE"""),0.0)</f>
        <v>0</v>
      </c>
      <c r="S30" s="424">
        <f>IFERROR(__xludf.DUMMYFUNCTION("""COMPUTED_VALUE"""),0.0)</f>
        <v>0</v>
      </c>
      <c r="T30" s="425">
        <f>IFERROR(__xludf.DUMMYFUNCTION("""COMPUTED_VALUE"""),0.0)</f>
        <v>0</v>
      </c>
      <c r="U30" s="425">
        <f>IFERROR(__xludf.DUMMYFUNCTION("""COMPUTED_VALUE"""),0.0)</f>
        <v>0</v>
      </c>
    </row>
    <row r="31" ht="15.75" hidden="1" customHeight="1">
      <c r="A31" s="412" t="str">
        <f>IFERROR(__xludf.DUMMYFUNCTION("""COMPUTED_VALUE"""),"NANO")</f>
        <v>NANO</v>
      </c>
      <c r="B31" s="415" t="str">
        <f>IFERROR(__xludf.DUMMYFUNCTION("""COMPUTED_VALUE"""),"tentangapiy")</f>
        <v>tentangapiy</v>
      </c>
      <c r="C31" s="414" t="str">
        <f>IFERROR(__xludf.DUMMYFUNCTION("""COMPUTED_VALUE"""),"https://www.tiktok.com/@tentangapiy")</f>
        <v>https://www.tiktok.com/@tentangapiy</v>
      </c>
      <c r="D31" s="415">
        <f>IFERROR(__xludf.DUMMYFUNCTION("""COMPUTED_VALUE"""),8.9517941472E10)</f>
        <v>89517941472</v>
      </c>
      <c r="E31" s="416">
        <f>IFERROR(__xludf.DUMMYFUNCTION("""COMPUTED_VALUE"""),0.0)</f>
        <v>0</v>
      </c>
      <c r="F31" s="417">
        <f>IFERROR(__xludf.DUMMYFUNCTION("""COMPUTED_VALUE"""),2.0)</f>
        <v>2</v>
      </c>
      <c r="G31" s="418" t="str">
        <f>IFERROR(__xludf.DUMMYFUNCTION("""COMPUTED_VALUE"""),"Rp858RB")</f>
        <v>Rp858RB</v>
      </c>
      <c r="H31" s="419"/>
      <c r="I31" s="420"/>
      <c r="J31" s="421"/>
      <c r="K31" s="423"/>
      <c r="L31" s="419"/>
      <c r="M31" s="423"/>
      <c r="N31" s="419"/>
      <c r="O31" s="423"/>
      <c r="P31" s="419"/>
      <c r="Q31" s="423"/>
      <c r="R31" s="424">
        <f>IFERROR(__xludf.DUMMYFUNCTION("""COMPUTED_VALUE"""),0.0)</f>
        <v>0</v>
      </c>
      <c r="S31" s="424">
        <f>IFERROR(__xludf.DUMMYFUNCTION("""COMPUTED_VALUE"""),0.0)</f>
        <v>0</v>
      </c>
      <c r="T31" s="425">
        <f>IFERROR(__xludf.DUMMYFUNCTION("""COMPUTED_VALUE"""),0.0)</f>
        <v>0</v>
      </c>
      <c r="U31" s="425">
        <f>IFERROR(__xludf.DUMMYFUNCTION("""COMPUTED_VALUE"""),0.0)</f>
        <v>0</v>
      </c>
    </row>
    <row r="32" ht="15.75" customHeight="1">
      <c r="A32" s="412" t="str">
        <f>IFERROR(__xludf.DUMMYFUNCTION("""COMPUTED_VALUE"""),"NANO")</f>
        <v>NANO</v>
      </c>
      <c r="B32" s="415" t="str">
        <f>IFERROR(__xludf.DUMMYFUNCTION("""COMPUTED_VALUE"""),"azurayumna.s")</f>
        <v>azurayumna.s</v>
      </c>
      <c r="C32" s="414" t="str">
        <f>IFERROR(__xludf.DUMMYFUNCTION("""COMPUTED_VALUE"""),"https://www.tiktok.com/@azurayumna.s")</f>
        <v>https://www.tiktok.com/@azurayumna.s</v>
      </c>
      <c r="D32" s="415">
        <f>IFERROR(__xludf.DUMMYFUNCTION("""COMPUTED_VALUE"""),8.95330773055E11)</f>
        <v>895330773055</v>
      </c>
      <c r="E32" s="416">
        <f>IFERROR(__xludf.DUMMYFUNCTION("""COMPUTED_VALUE"""),0.0)</f>
        <v>0</v>
      </c>
      <c r="F32" s="417">
        <f>IFERROR(__xludf.DUMMYFUNCTION("""COMPUTED_VALUE"""),4.0)</f>
        <v>4</v>
      </c>
      <c r="G32" s="418" t="str">
        <f>IFERROR(__xludf.DUMMYFUNCTION("""COMPUTED_VALUE"""),"Rp9,5JT")</f>
        <v>Rp9,5JT</v>
      </c>
      <c r="H32" s="419"/>
      <c r="I32" s="420"/>
      <c r="J32" s="421"/>
      <c r="K32" s="426" t="str">
        <f>IFERROR(__xludf.DUMMYFUNCTION("""COMPUTED_VALUE"""),"https://www.tiktok.com/@azurayumna.s/video/7609655237275684117?is_from_webapp=1&amp;sender_device=pc")</f>
        <v>https://www.tiktok.com/@azurayumna.s/video/7609655237275684117?is_from_webapp=1&amp;sender_device=pc</v>
      </c>
      <c r="L32" s="419"/>
      <c r="M32" s="422" t="str">
        <f>IFERROR(__xludf.DUMMYFUNCTION("""COMPUTED_VALUE"""),"https://www.tiktok.com/@azurayumna.s/video/7609673667160591637?is_from_webapp=1&amp;sender_device=pc")</f>
        <v>https://www.tiktok.com/@azurayumna.s/video/7609673667160591637?is_from_webapp=1&amp;sender_device=pc</v>
      </c>
      <c r="N32" s="419"/>
      <c r="O32" s="422" t="str">
        <f>IFERROR(__xludf.DUMMYFUNCTION("""COMPUTED_VALUE"""),"https://www.tiktok.com/@azurayumna.s/video/7609885912247356692?is_from_webapp=1&amp;sender_device=pc")</f>
        <v>https://www.tiktok.com/@azurayumna.s/video/7609885912247356692?is_from_webapp=1&amp;sender_device=pc</v>
      </c>
      <c r="P32" s="419"/>
      <c r="Q32" s="422" t="str">
        <f>IFERROR(__xludf.DUMMYFUNCTION("""COMPUTED_VALUE"""),"https://www.tiktok.com/@azurayumna.s/video/7622126204375665940?is_from_webapp=1&amp;sender_device=pc")</f>
        <v>https://www.tiktok.com/@azurayumna.s/video/7622126204375665940?is_from_webapp=1&amp;sender_device=pc</v>
      </c>
      <c r="R32" s="424">
        <f>IFERROR(__xludf.DUMMYFUNCTION("""COMPUTED_VALUE"""),0.0)</f>
        <v>0</v>
      </c>
      <c r="S32" s="424">
        <f>IFERROR(__xludf.DUMMYFUNCTION("""COMPUTED_VALUE"""),0.0)</f>
        <v>0</v>
      </c>
      <c r="T32" s="425">
        <f>IFERROR(__xludf.DUMMYFUNCTION("""COMPUTED_VALUE"""),0.0)</f>
        <v>0</v>
      </c>
      <c r="U32" s="425">
        <f>IFERROR(__xludf.DUMMYFUNCTION("""COMPUTED_VALUE"""),0.0)</f>
        <v>0</v>
      </c>
    </row>
    <row r="33" ht="15.75" hidden="1" customHeight="1">
      <c r="A33" s="412" t="str">
        <f>IFERROR(__xludf.DUMMYFUNCTION("""COMPUTED_VALUE"""),"NANO")</f>
        <v>NANO</v>
      </c>
      <c r="B33" s="415" t="str">
        <f>IFERROR(__xludf.DUMMYFUNCTION("""COMPUTED_VALUE"""),"Nunuhiidd95")</f>
        <v>Nunuhiidd95</v>
      </c>
      <c r="C33" s="414" t="str">
        <f>IFERROR(__xludf.DUMMYFUNCTION("""COMPUTED_VALUE"""),"https://www.tiktok.com/@Nunuhiidd95")</f>
        <v>https://www.tiktok.com/@Nunuhiidd95</v>
      </c>
      <c r="D33" s="415">
        <f>IFERROR(__xludf.DUMMYFUNCTION("""COMPUTED_VALUE"""),8.2293854806E10)</f>
        <v>82293854806</v>
      </c>
      <c r="E33" s="416">
        <f>IFERROR(__xludf.DUMMYFUNCTION("""COMPUTED_VALUE"""),0.0)</f>
        <v>0</v>
      </c>
      <c r="F33" s="417">
        <f>IFERROR(__xludf.DUMMYFUNCTION("""COMPUTED_VALUE"""),2.0)</f>
        <v>2</v>
      </c>
      <c r="G33" s="418" t="str">
        <f>IFERROR(__xludf.DUMMYFUNCTION("""COMPUTED_VALUE"""),"Rp725RB")</f>
        <v>Rp725RB</v>
      </c>
      <c r="H33" s="419"/>
      <c r="I33" s="420"/>
      <c r="J33" s="421"/>
      <c r="K33" s="422" t="str">
        <f>IFERROR(__xludf.DUMMYFUNCTION("""COMPUTED_VALUE"""),"https://vt.tiktok.com/ZSuUDrvXw/")</f>
        <v>https://vt.tiktok.com/ZSuUDrvXw/</v>
      </c>
      <c r="L33" s="419"/>
      <c r="M33" s="423"/>
      <c r="N33" s="419"/>
      <c r="O33" s="423"/>
      <c r="P33" s="419"/>
      <c r="Q33" s="423"/>
      <c r="R33" s="424">
        <f>IFERROR(__xludf.DUMMYFUNCTION("""COMPUTED_VALUE"""),0.0)</f>
        <v>0</v>
      </c>
      <c r="S33" s="424">
        <f>IFERROR(__xludf.DUMMYFUNCTION("""COMPUTED_VALUE"""),0.0)</f>
        <v>0</v>
      </c>
      <c r="T33" s="425">
        <f>IFERROR(__xludf.DUMMYFUNCTION("""COMPUTED_VALUE"""),0.0)</f>
        <v>0</v>
      </c>
      <c r="U33" s="425">
        <f>IFERROR(__xludf.DUMMYFUNCTION("""COMPUTED_VALUE"""),0.0)</f>
        <v>0</v>
      </c>
    </row>
    <row r="34" ht="15.75" hidden="1" customHeight="1">
      <c r="A34" s="412" t="str">
        <f>IFERROR(__xludf.DUMMYFUNCTION("""COMPUTED_VALUE"""),"NANO")</f>
        <v>NANO</v>
      </c>
      <c r="B34" s="415" t="str">
        <f>IFERROR(__xludf.DUMMYFUNCTION("""COMPUTED_VALUE"""),"by.titaaa")</f>
        <v>by.titaaa</v>
      </c>
      <c r="C34" s="414" t="str">
        <f>IFERROR(__xludf.DUMMYFUNCTION("""COMPUTED_VALUE"""),"https://www.tiktok.com/@by.titaaa")</f>
        <v>https://www.tiktok.com/@by.titaaa</v>
      </c>
      <c r="D34" s="415">
        <f>IFERROR(__xludf.DUMMYFUNCTION("""COMPUTED_VALUE"""),8.8805292736E10)</f>
        <v>88805292736</v>
      </c>
      <c r="E34" s="416">
        <f>IFERROR(__xludf.DUMMYFUNCTION("""COMPUTED_VALUE"""),0.0)</f>
        <v>0</v>
      </c>
      <c r="F34" s="417">
        <f>IFERROR(__xludf.DUMMYFUNCTION("""COMPUTED_VALUE"""),3.0)</f>
        <v>3</v>
      </c>
      <c r="G34" s="418" t="str">
        <f>IFERROR(__xludf.DUMMYFUNCTION("""COMPUTED_VALUE"""),"Rp30,1JT")</f>
        <v>Rp30,1JT</v>
      </c>
      <c r="H34" s="419"/>
      <c r="I34" s="420"/>
      <c r="J34" s="421"/>
      <c r="K34" s="422" t="str">
        <f>IFERROR(__xludf.DUMMYFUNCTION("""COMPUTED_VALUE"""),"https://vt.tiktok.com/ZSmEnFfdq/")</f>
        <v>https://vt.tiktok.com/ZSmEnFfdq/</v>
      </c>
      <c r="L34" s="419"/>
      <c r="M34" s="422" t="str">
        <f>IFERROR(__xludf.DUMMYFUNCTION("""COMPUTED_VALUE"""),"https://vt.tiktok.com/ZSuRmh6Cw/")</f>
        <v>https://vt.tiktok.com/ZSuRmh6Cw/</v>
      </c>
      <c r="N34" s="419"/>
      <c r="O34" s="422" t="str">
        <f>IFERROR(__xludf.DUMMYFUNCTION("""COMPUTED_VALUE"""),"https://vt.tiktok.com/ZSuRmyCwj/")</f>
        <v>https://vt.tiktok.com/ZSuRmyCwj/</v>
      </c>
      <c r="P34" s="419"/>
      <c r="Q34" s="423"/>
      <c r="R34" s="424">
        <f>IFERROR(__xludf.DUMMYFUNCTION("""COMPUTED_VALUE"""),0.0)</f>
        <v>0</v>
      </c>
      <c r="S34" s="424">
        <f>IFERROR(__xludf.DUMMYFUNCTION("""COMPUTED_VALUE"""),0.0)</f>
        <v>0</v>
      </c>
      <c r="T34" s="425">
        <f>IFERROR(__xludf.DUMMYFUNCTION("""COMPUTED_VALUE"""),0.0)</f>
        <v>0</v>
      </c>
      <c r="U34" s="425">
        <f>IFERROR(__xludf.DUMMYFUNCTION("""COMPUTED_VALUE"""),0.0)</f>
        <v>0</v>
      </c>
    </row>
    <row r="35" ht="15.75" hidden="1" customHeight="1">
      <c r="A35" s="412" t="str">
        <f>IFERROR(__xludf.DUMMYFUNCTION("""COMPUTED_VALUE"""),"MICRO")</f>
        <v>MICRO</v>
      </c>
      <c r="B35" s="415" t="str">
        <f>IFERROR(__xludf.DUMMYFUNCTION("""COMPUTED_VALUE"""),"xkaalina")</f>
        <v>xkaalina</v>
      </c>
      <c r="C35" s="414" t="str">
        <f>IFERROR(__xludf.DUMMYFUNCTION("""COMPUTED_VALUE"""),"https://www.tiktok.com/@xkaalina")</f>
        <v>https://www.tiktok.com/@xkaalina</v>
      </c>
      <c r="D35" s="415">
        <f>IFERROR(__xludf.DUMMYFUNCTION("""COMPUTED_VALUE"""),8.5157138855E10)</f>
        <v>85157138855</v>
      </c>
      <c r="E35" s="416">
        <f>IFERROR(__xludf.DUMMYFUNCTION("""COMPUTED_VALUE"""),0.0)</f>
        <v>0</v>
      </c>
      <c r="F35" s="417">
        <f>IFERROR(__xludf.DUMMYFUNCTION("""COMPUTED_VALUE"""),3.0)</f>
        <v>3</v>
      </c>
      <c r="G35" s="418" t="str">
        <f>IFERROR(__xludf.DUMMYFUNCTION("""COMPUTED_VALUE"""),"Rp13,7JT")</f>
        <v>Rp13,7JT</v>
      </c>
      <c r="H35" s="419"/>
      <c r="I35" s="420"/>
      <c r="J35" s="421"/>
      <c r="K35" s="422" t="str">
        <f>IFERROR(__xludf.DUMMYFUNCTION("""COMPUTED_VALUE"""),"https://vt.tiktok.com/ZSucdfswP/")</f>
        <v>https://vt.tiktok.com/ZSucdfswP/</v>
      </c>
      <c r="L35" s="419"/>
      <c r="M35" s="422" t="str">
        <f>IFERROR(__xludf.DUMMYFUNCTION("""COMPUTED_VALUE"""),"https://vt.tiktok.com/ZSucdvCRv/")</f>
        <v>https://vt.tiktok.com/ZSucdvCRv/</v>
      </c>
      <c r="N35" s="419"/>
      <c r="O35" s="422" t="str">
        <f>IFERROR(__xludf.DUMMYFUNCTION("""COMPUTED_VALUE"""),"https://vt.tiktok.com/ZSucdpbpw/")</f>
        <v>https://vt.tiktok.com/ZSucdpbpw/</v>
      </c>
      <c r="P35" s="419"/>
      <c r="Q35" s="423"/>
      <c r="R35" s="424">
        <f>IFERROR(__xludf.DUMMYFUNCTION("""COMPUTED_VALUE"""),0.0)</f>
        <v>0</v>
      </c>
      <c r="S35" s="424">
        <f>IFERROR(__xludf.DUMMYFUNCTION("""COMPUTED_VALUE"""),0.0)</f>
        <v>0</v>
      </c>
      <c r="T35" s="425">
        <f>IFERROR(__xludf.DUMMYFUNCTION("""COMPUTED_VALUE"""),0.0)</f>
        <v>0</v>
      </c>
      <c r="U35" s="425">
        <f>IFERROR(__xludf.DUMMYFUNCTION("""COMPUTED_VALUE"""),0.0)</f>
        <v>0</v>
      </c>
    </row>
    <row r="36" ht="15.75" hidden="1" customHeight="1">
      <c r="A36" s="412" t="str">
        <f>IFERROR(__xludf.DUMMYFUNCTION("""COMPUTED_VALUE"""),"NANO")</f>
        <v>NANO</v>
      </c>
      <c r="B36" s="415" t="str">
        <f>IFERROR(__xludf.DUMMYFUNCTION("""COMPUTED_VALUE"""),"beautysan_ ")</f>
        <v>beautysan_ </v>
      </c>
      <c r="C36" s="414" t="str">
        <f>IFERROR(__xludf.DUMMYFUNCTION("""COMPUTED_VALUE"""),"https://www.tiktok.com/@beautysan_ ")</f>
        <v>https://www.tiktok.com/@beautysan_ </v>
      </c>
      <c r="D36" s="415">
        <f>IFERROR(__xludf.DUMMYFUNCTION("""COMPUTED_VALUE"""),8.9542303633E11)</f>
        <v>895423036330</v>
      </c>
      <c r="E36" s="416">
        <f>IFERROR(__xludf.DUMMYFUNCTION("""COMPUTED_VALUE"""),0.0)</f>
        <v>0</v>
      </c>
      <c r="F36" s="417">
        <f>IFERROR(__xludf.DUMMYFUNCTION("""COMPUTED_VALUE"""),3.0)</f>
        <v>3</v>
      </c>
      <c r="G36" s="418" t="str">
        <f>IFERROR(__xludf.DUMMYFUNCTION("""COMPUTED_VALUE"""),"Rp180RB")</f>
        <v>Rp180RB</v>
      </c>
      <c r="H36" s="419"/>
      <c r="I36" s="420"/>
      <c r="J36" s="421"/>
      <c r="K36" s="422" t="str">
        <f>IFERROR(__xludf.DUMMYFUNCTION("""COMPUTED_VALUE"""),"https://vt.tiktok.com/ZSu617GD7/")</f>
        <v>https://vt.tiktok.com/ZSu617GD7/</v>
      </c>
      <c r="L36" s="419"/>
      <c r="M36" s="422" t="str">
        <f>IFERROR(__xludf.DUMMYFUNCTION("""COMPUTED_VALUE"""),"https://vt.tiktok.com/ZSuqguuFs/")</f>
        <v>https://vt.tiktok.com/ZSuqguuFs/</v>
      </c>
      <c r="N36" s="419"/>
      <c r="O36" s="422" t="str">
        <f>IFERROR(__xludf.DUMMYFUNCTION("""COMPUTED_VALUE"""),"https://vt.tiktok.com/ZSHAcW9PG/")</f>
        <v>https://vt.tiktok.com/ZSHAcW9PG/</v>
      </c>
      <c r="P36" s="419"/>
      <c r="Q36" s="423"/>
      <c r="R36" s="424">
        <f>IFERROR(__xludf.DUMMYFUNCTION("""COMPUTED_VALUE"""),0.0)</f>
        <v>0</v>
      </c>
      <c r="S36" s="424">
        <f>IFERROR(__xludf.DUMMYFUNCTION("""COMPUTED_VALUE"""),0.0)</f>
        <v>0</v>
      </c>
      <c r="T36" s="425">
        <f>IFERROR(__xludf.DUMMYFUNCTION("""COMPUTED_VALUE"""),0.0)</f>
        <v>0</v>
      </c>
      <c r="U36" s="425">
        <f>IFERROR(__xludf.DUMMYFUNCTION("""COMPUTED_VALUE"""),0.0)</f>
        <v>0</v>
      </c>
    </row>
    <row r="37" ht="15.75" hidden="1" customHeight="1">
      <c r="A37" s="412" t="str">
        <f>IFERROR(__xludf.DUMMYFUNCTION("""COMPUTED_VALUE"""),"NANO")</f>
        <v>NANO</v>
      </c>
      <c r="B37" s="415" t="str">
        <f>IFERROR(__xludf.DUMMYFUNCTION("""COMPUTED_VALUE"""),"sunny.beaute ")</f>
        <v>sunny.beaute </v>
      </c>
      <c r="C37" s="414" t="str">
        <f>IFERROR(__xludf.DUMMYFUNCTION("""COMPUTED_VALUE"""),"https://www.tiktok.com/@sunny.beaute ")</f>
        <v>https://www.tiktok.com/@sunny.beaute </v>
      </c>
      <c r="D37" s="415">
        <f>IFERROR(__xludf.DUMMYFUNCTION("""COMPUTED_VALUE"""),8.1359683514E10)</f>
        <v>81359683514</v>
      </c>
      <c r="E37" s="416">
        <f>IFERROR(__xludf.DUMMYFUNCTION("""COMPUTED_VALUE"""),0.0)</f>
        <v>0</v>
      </c>
      <c r="F37" s="417">
        <f>IFERROR(__xludf.DUMMYFUNCTION("""COMPUTED_VALUE"""),3.0)</f>
        <v>3</v>
      </c>
      <c r="G37" s="418" t="str">
        <f>IFERROR(__xludf.DUMMYFUNCTION("""COMPUTED_VALUE"""),"Rp3,5JT")</f>
        <v>Rp3,5JT</v>
      </c>
      <c r="H37" s="419"/>
      <c r="I37" s="420"/>
      <c r="J37" s="421"/>
      <c r="K37" s="422" t="str">
        <f>IFERROR(__xludf.DUMMYFUNCTION("""COMPUTED_VALUE"""),"https://vt.tiktok.com/ZSuJakUKL/")</f>
        <v>https://vt.tiktok.com/ZSuJakUKL/</v>
      </c>
      <c r="L37" s="419"/>
      <c r="M37" s="422" t="str">
        <f>IFERROR(__xludf.DUMMYFUNCTION("""COMPUTED_VALUE"""),"https://vt.tiktok.com/ZSuAC4CwU/")</f>
        <v>https://vt.tiktok.com/ZSuAC4CwU/</v>
      </c>
      <c r="N37" s="419"/>
      <c r="O37" s="422" t="str">
        <f>IFERROR(__xludf.DUMMYFUNCTION("""COMPUTED_VALUE"""),"https://vt.tiktok.com/ZSuK8ke68/")</f>
        <v>https://vt.tiktok.com/ZSuK8ke68/</v>
      </c>
      <c r="P37" s="419"/>
      <c r="Q37" s="423"/>
      <c r="R37" s="424">
        <f>IFERROR(__xludf.DUMMYFUNCTION("""COMPUTED_VALUE"""),0.0)</f>
        <v>0</v>
      </c>
      <c r="S37" s="424">
        <f>IFERROR(__xludf.DUMMYFUNCTION("""COMPUTED_VALUE"""),0.0)</f>
        <v>0</v>
      </c>
      <c r="T37" s="425">
        <f>IFERROR(__xludf.DUMMYFUNCTION("""COMPUTED_VALUE"""),0.0)</f>
        <v>0</v>
      </c>
      <c r="U37" s="425">
        <f>IFERROR(__xludf.DUMMYFUNCTION("""COMPUTED_VALUE"""),0.0)</f>
        <v>0</v>
      </c>
    </row>
    <row r="38" ht="15.75" hidden="1" customHeight="1">
      <c r="A38" s="412" t="str">
        <f>IFERROR(__xludf.DUMMYFUNCTION("""COMPUTED_VALUE"""),"NANO")</f>
        <v>NANO</v>
      </c>
      <c r="B38" s="415" t="str">
        <f>IFERROR(__xludf.DUMMYFUNCTION("""COMPUTED_VALUE"""),"randomtrn")</f>
        <v>randomtrn</v>
      </c>
      <c r="C38" s="414" t="str">
        <f>IFERROR(__xludf.DUMMYFUNCTION("""COMPUTED_VALUE"""),"https://www.tiktok.com/@randomtrn")</f>
        <v>https://www.tiktok.com/@randomtrn</v>
      </c>
      <c r="D38" s="415">
        <f>IFERROR(__xludf.DUMMYFUNCTION("""COMPUTED_VALUE"""),8.572229105E10)</f>
        <v>85722291050</v>
      </c>
      <c r="E38" s="416">
        <f>IFERROR(__xludf.DUMMYFUNCTION("""COMPUTED_VALUE"""),0.0)</f>
        <v>0</v>
      </c>
      <c r="F38" s="417">
        <f>IFERROR(__xludf.DUMMYFUNCTION("""COMPUTED_VALUE"""),2.0)</f>
        <v>2</v>
      </c>
      <c r="G38" s="418" t="str">
        <f>IFERROR(__xludf.DUMMYFUNCTION("""COMPUTED_VALUE"""),"Rp1JT+")</f>
        <v>Rp1JT+</v>
      </c>
      <c r="H38" s="419"/>
      <c r="I38" s="420"/>
      <c r="J38" s="421"/>
      <c r="K38" s="422" t="str">
        <f>IFERROR(__xludf.DUMMYFUNCTION("""COMPUTED_VALUE"""),"https://vt.tiktok.com/ZSuru3Bq6/")</f>
        <v>https://vt.tiktok.com/ZSuru3Bq6/</v>
      </c>
      <c r="L38" s="419"/>
      <c r="M38" s="422" t="str">
        <f>IFERROR(__xludf.DUMMYFUNCTION("""COMPUTED_VALUE"""),"https://vt.tiktok.com/ZSuH19RDH/")</f>
        <v>https://vt.tiktok.com/ZSuH19RDH/</v>
      </c>
      <c r="N38" s="419"/>
      <c r="O38" s="423"/>
      <c r="P38" s="419"/>
      <c r="Q38" s="423"/>
      <c r="R38" s="424">
        <f>IFERROR(__xludf.DUMMYFUNCTION("""COMPUTED_VALUE"""),0.0)</f>
        <v>0</v>
      </c>
      <c r="S38" s="424">
        <f>IFERROR(__xludf.DUMMYFUNCTION("""COMPUTED_VALUE"""),0.0)</f>
        <v>0</v>
      </c>
      <c r="T38" s="425">
        <f>IFERROR(__xludf.DUMMYFUNCTION("""COMPUTED_VALUE"""),0.0)</f>
        <v>0</v>
      </c>
      <c r="U38" s="425">
        <f>IFERROR(__xludf.DUMMYFUNCTION("""COMPUTED_VALUE"""),0.0)</f>
        <v>0</v>
      </c>
    </row>
    <row r="39" ht="15.75" hidden="1" customHeight="1">
      <c r="A39" s="412" t="str">
        <f>IFERROR(__xludf.DUMMYFUNCTION("""COMPUTED_VALUE"""),"MICRO")</f>
        <v>MICRO</v>
      </c>
      <c r="B39" s="415" t="str">
        <f>IFERROR(__xludf.DUMMYFUNCTION("""COMPUTED_VALUE"""),"mardi_yanti ")</f>
        <v>mardi_yanti </v>
      </c>
      <c r="C39" s="414" t="str">
        <f>IFERROR(__xludf.DUMMYFUNCTION("""COMPUTED_VALUE"""),"https://www.tiktok.com/@mardi_yanti ")</f>
        <v>https://www.tiktok.com/@mardi_yanti </v>
      </c>
      <c r="D39" s="415">
        <f>IFERROR(__xludf.DUMMYFUNCTION("""COMPUTED_VALUE"""),8.1375892721E10)</f>
        <v>81375892721</v>
      </c>
      <c r="E39" s="416">
        <f>IFERROR(__xludf.DUMMYFUNCTION("""COMPUTED_VALUE"""),0.0)</f>
        <v>0</v>
      </c>
      <c r="F39" s="417">
        <f>IFERROR(__xludf.DUMMYFUNCTION("""COMPUTED_VALUE"""),1.0)</f>
        <v>1</v>
      </c>
      <c r="G39" s="418" t="str">
        <f>IFERROR(__xludf.DUMMYFUNCTION("""COMPUTED_VALUE"""),"Rp14,7JT")</f>
        <v>Rp14,7JT</v>
      </c>
      <c r="H39" s="419"/>
      <c r="I39" s="420"/>
      <c r="J39" s="421"/>
      <c r="K39" s="422" t="str">
        <f>IFERROR(__xludf.DUMMYFUNCTION("""COMPUTED_VALUE"""),"https://vt.tiktok.com/ZSujPV9WN/")</f>
        <v>https://vt.tiktok.com/ZSujPV9WN/</v>
      </c>
      <c r="L39" s="419"/>
      <c r="M39" s="423"/>
      <c r="N39" s="419"/>
      <c r="O39" s="423"/>
      <c r="P39" s="419"/>
      <c r="Q39" s="423"/>
      <c r="R39" s="424">
        <f>IFERROR(__xludf.DUMMYFUNCTION("""COMPUTED_VALUE"""),0.0)</f>
        <v>0</v>
      </c>
      <c r="S39" s="424">
        <f>IFERROR(__xludf.DUMMYFUNCTION("""COMPUTED_VALUE"""),0.0)</f>
        <v>0</v>
      </c>
      <c r="T39" s="425">
        <f>IFERROR(__xludf.DUMMYFUNCTION("""COMPUTED_VALUE"""),0.0)</f>
        <v>0</v>
      </c>
      <c r="U39" s="425">
        <f>IFERROR(__xludf.DUMMYFUNCTION("""COMPUTED_VALUE"""),0.0)</f>
        <v>0</v>
      </c>
    </row>
    <row r="40" ht="15.75" customHeight="1">
      <c r="A40" s="412" t="str">
        <f>IFERROR(__xludf.DUMMYFUNCTION("""COMPUTED_VALUE"""),"MICRO")</f>
        <v>MICRO</v>
      </c>
      <c r="B40" s="415" t="str">
        <f>IFERROR(__xludf.DUMMYFUNCTION("""COMPUTED_VALUE"""),"liayulianti1278")</f>
        <v>liayulianti1278</v>
      </c>
      <c r="C40" s="414" t="str">
        <f>IFERROR(__xludf.DUMMYFUNCTION("""COMPUTED_VALUE"""),"https://www.tiktok.com/@liayulianti1278")</f>
        <v>https://www.tiktok.com/@liayulianti1278</v>
      </c>
      <c r="D40" s="415">
        <f>IFERROR(__xludf.DUMMYFUNCTION("""COMPUTED_VALUE"""),8.1220183515E10)</f>
        <v>81220183515</v>
      </c>
      <c r="E40" s="416">
        <f>IFERROR(__xludf.DUMMYFUNCTION("""COMPUTED_VALUE"""),0.0)</f>
        <v>0</v>
      </c>
      <c r="F40" s="417">
        <f>IFERROR(__xludf.DUMMYFUNCTION("""COMPUTED_VALUE"""),4.0)</f>
        <v>4</v>
      </c>
      <c r="G40" s="418" t="str">
        <f>IFERROR(__xludf.DUMMYFUNCTION("""COMPUTED_VALUE"""),"Rp64,1JT")</f>
        <v>Rp64,1JT</v>
      </c>
      <c r="H40" s="419"/>
      <c r="I40" s="420"/>
      <c r="J40" s="421"/>
      <c r="K40" s="422" t="str">
        <f>IFERROR(__xludf.DUMMYFUNCTION("""COMPUTED_VALUE"""),"https://vt.tiktok.com/ZSuJbfBHm/")</f>
        <v>https://vt.tiktok.com/ZSuJbfBHm/</v>
      </c>
      <c r="L40" s="419"/>
      <c r="M40" s="422" t="str">
        <f>IFERROR(__xludf.DUMMYFUNCTION("""COMPUTED_VALUE"""),"https://vt.tiktok.com/ZSujshw1p/")</f>
        <v>https://vt.tiktok.com/ZSujshw1p/</v>
      </c>
      <c r="N40" s="419"/>
      <c r="O40" s="422" t="str">
        <f>IFERROR(__xludf.DUMMYFUNCTION("""COMPUTED_VALUE"""),"https://vt.tiktok.com/ZSuHmGeFP/")</f>
        <v>https://vt.tiktok.com/ZSuHmGeFP/</v>
      </c>
      <c r="P40" s="419"/>
      <c r="Q40" s="422" t="str">
        <f>IFERROR(__xludf.DUMMYFUNCTION("""COMPUTED_VALUE"""),"https://vt.tiktok.com/ZSuHm969x/")</f>
        <v>https://vt.tiktok.com/ZSuHm969x/</v>
      </c>
      <c r="R40" s="424">
        <f>IFERROR(__xludf.DUMMYFUNCTION("""COMPUTED_VALUE"""),0.0)</f>
        <v>0</v>
      </c>
      <c r="S40" s="424">
        <f>IFERROR(__xludf.DUMMYFUNCTION("""COMPUTED_VALUE"""),0.0)</f>
        <v>0</v>
      </c>
      <c r="T40" s="425">
        <f>IFERROR(__xludf.DUMMYFUNCTION("""COMPUTED_VALUE"""),0.0)</f>
        <v>0</v>
      </c>
      <c r="U40" s="425">
        <f>IFERROR(__xludf.DUMMYFUNCTION("""COMPUTED_VALUE"""),0.0)</f>
        <v>0</v>
      </c>
    </row>
    <row r="41" ht="15.75" hidden="1" customHeight="1">
      <c r="A41" s="412" t="str">
        <f>IFERROR(__xludf.DUMMYFUNCTION("""COMPUTED_VALUE"""),"MACRO")</f>
        <v>MACRO</v>
      </c>
      <c r="B41" s="415" t="str">
        <f>IFERROR(__xludf.DUMMYFUNCTION("""COMPUTED_VALUE"""),"elsachawul_")</f>
        <v>elsachawul_</v>
      </c>
      <c r="C41" s="414" t="str">
        <f>IFERROR(__xludf.DUMMYFUNCTION("""COMPUTED_VALUE"""),"https://www.tiktok.com/@elsachawul_")</f>
        <v>https://www.tiktok.com/@elsachawul_</v>
      </c>
      <c r="D41" s="415">
        <f>IFERROR(__xludf.DUMMYFUNCTION("""COMPUTED_VALUE"""),8.95328487696E11)</f>
        <v>895328487696</v>
      </c>
      <c r="E41" s="416">
        <f>IFERROR(__xludf.DUMMYFUNCTION("""COMPUTED_VALUE"""),0.0)</f>
        <v>0</v>
      </c>
      <c r="F41" s="417">
        <f>IFERROR(__xludf.DUMMYFUNCTION("""COMPUTED_VALUE"""),2.0)</f>
        <v>2</v>
      </c>
      <c r="G41" s="418" t="str">
        <f>IFERROR(__xludf.DUMMYFUNCTION("""COMPUTED_VALUE"""),"Rp1JT+")</f>
        <v>Rp1JT+</v>
      </c>
      <c r="H41" s="419"/>
      <c r="I41" s="420"/>
      <c r="J41" s="421"/>
      <c r="K41" s="422" t="str">
        <f>IFERROR(__xludf.DUMMYFUNCTION("""COMPUTED_VALUE"""),"https://vt.tiktok.com/ZSmcqaf5P/")</f>
        <v>https://vt.tiktok.com/ZSmcqaf5P/</v>
      </c>
      <c r="L41" s="419"/>
      <c r="M41" s="422" t="str">
        <f>IFERROR(__xludf.DUMMYFUNCTION("""COMPUTED_VALUE"""),"https://vt.tiktok.com/ZSmEGHmwD/")</f>
        <v>https://vt.tiktok.com/ZSmEGHmwD/</v>
      </c>
      <c r="N41" s="419"/>
      <c r="O41" s="423"/>
      <c r="P41" s="419"/>
      <c r="Q41" s="423"/>
      <c r="R41" s="424">
        <f>IFERROR(__xludf.DUMMYFUNCTION("""COMPUTED_VALUE"""),0.0)</f>
        <v>0</v>
      </c>
      <c r="S41" s="424">
        <f>IFERROR(__xludf.DUMMYFUNCTION("""COMPUTED_VALUE"""),0.0)</f>
        <v>0</v>
      </c>
      <c r="T41" s="425">
        <f>IFERROR(__xludf.DUMMYFUNCTION("""COMPUTED_VALUE"""),0.0)</f>
        <v>0</v>
      </c>
      <c r="U41" s="425">
        <f>IFERROR(__xludf.DUMMYFUNCTION("""COMPUTED_VALUE"""),0.0)</f>
        <v>0</v>
      </c>
    </row>
    <row r="42" ht="15.75" hidden="1" customHeight="1">
      <c r="A42" s="412" t="str">
        <f>IFERROR(__xludf.DUMMYFUNCTION("""COMPUTED_VALUE"""),"MICRO")</f>
        <v>MICRO</v>
      </c>
      <c r="B42" s="415" t="str">
        <f>IFERROR(__xludf.DUMMYFUNCTION("""COMPUTED_VALUE"""),"oinlubis_")</f>
        <v>oinlubis_</v>
      </c>
      <c r="C42" s="414" t="str">
        <f>IFERROR(__xludf.DUMMYFUNCTION("""COMPUTED_VALUE"""),"https://www.tiktok.com/@oinlubis_")</f>
        <v>https://www.tiktok.com/@oinlubis_</v>
      </c>
      <c r="D42" s="415">
        <f>IFERROR(__xludf.DUMMYFUNCTION("""COMPUTED_VALUE"""),8.1270338721E10)</f>
        <v>81270338721</v>
      </c>
      <c r="E42" s="416">
        <f>IFERROR(__xludf.DUMMYFUNCTION("""COMPUTED_VALUE"""),100000.0)</f>
        <v>100000</v>
      </c>
      <c r="F42" s="417">
        <f>IFERROR(__xludf.DUMMYFUNCTION("""COMPUTED_VALUE"""),1.0)</f>
        <v>1</v>
      </c>
      <c r="G42" s="418" t="str">
        <f>IFERROR(__xludf.DUMMYFUNCTION("""COMPUTED_VALUE"""),"Rp1JT+")</f>
        <v>Rp1JT+</v>
      </c>
      <c r="H42" s="419"/>
      <c r="I42" s="420"/>
      <c r="J42" s="421"/>
      <c r="K42" s="422" t="str">
        <f>IFERROR(__xludf.DUMMYFUNCTION("""COMPUTED_VALUE"""),"https://vt.tiktok.com/ZSu91Hk99/")</f>
        <v>https://vt.tiktok.com/ZSu91Hk99/</v>
      </c>
      <c r="L42" s="419"/>
      <c r="M42" s="422" t="str">
        <f>IFERROR(__xludf.DUMMYFUNCTION("""COMPUTED_VALUE"""),"https://www.tiktok.com/@oinlubis_/video/7617805830951554324?_r=1&amp;u_code=d8g0ajjhb7g114&amp;region=&amp;mid=7617805865143683847&amp;preview_pb=0&amp;sharer_language=&amp;_d=0&amp;ec_shared_reflux_dynamic_params=%7B%22placeholder_material_id%22%3A%227617805830951554324%22%2C%22pla"&amp;"ceholder_origin_cover%22%3A%22https%253A%252F%252Fp16-common-sign.tiktokcdn.com%252Ftos-alisg-p-0037%252FoI8IYbAKeF0JAC4o4T7ejBA5LEI5fDjDI34hQu~tplv-tiktokx-origin.jpeg%253Fdr%253D14572%2526refresh_token%253D444d2d68%2526x-expires%253D1811574000%2526x-sig"&amp;"nature%253Dmn%25252BHwZbMjKvLHrpOlMG0bMWqE18%25253D%2526t%253D4d5b0474%2526ps%253D13740610%2526shp%253Dd05b14bd%2526shcp%253D34ff8df6%2526idc%253Dmy%2526s%253DTIKTOK_AFFILIATE_VIRAL_VIDEO%22%2C%22placeholder_product_id%22%3A%221729937223777225623%22%2C%22"&amp;"placeholder_video_id%22%3A%227617805830951554324%22%7D&amp;ec_shared_reflux_scene=shop_tab_feed&amp;share_item_id=7617805830951554324&amp;source=h5_t")</f>
        <v>https://www.tiktok.com/@oinlubis_/video/7617805830951554324?_r=1&amp;u_code=d8g0ajjhb7g114&amp;region=&amp;mid=7617805865143683847&amp;preview_pb=0&amp;sharer_language=&amp;_d=0&amp;ec_shared_reflux_dynamic_params=%7B%22placeholder_material_id%22%3A%227617805830951554324%22%2C%22placeholder_origin_cover%22%3A%22https%253A%252F%252Fp16-common-sign.tiktokcdn.com%252Ftos-alisg-p-0037%252FoI8IYbAKeF0JAC4o4T7ejBA5LEI5fDjDI34hQu~tplv-tiktokx-origin.jpeg%253Fdr%253D14572%2526refresh_token%253D444d2d68%2526x-expires%253D1811574000%2526x-signature%253Dmn%25252BHwZbMjKvLHrpOlMG0bMWqE18%25253D%2526t%253D4d5b0474%2526ps%253D13740610%2526shp%253Dd05b14bd%2526shcp%253D34ff8df6%2526idc%253Dmy%2526s%253DTIKTOK_AFFILIATE_VIRAL_VIDEO%22%2C%22placeholder_product_id%22%3A%221729937223777225623%22%2C%22placeholder_video_id%22%3A%227617805830951554324%22%7D&amp;ec_shared_reflux_scene=shop_tab_feed&amp;share_item_id=7617805830951554324&amp;source=h5_t</v>
      </c>
      <c r="N42" s="419"/>
      <c r="O42" s="423"/>
      <c r="P42" s="419"/>
      <c r="Q42" s="423"/>
      <c r="R42" s="424">
        <f>IFERROR(__xludf.DUMMYFUNCTION("""COMPUTED_VALUE"""),0.0)</f>
        <v>0</v>
      </c>
      <c r="S42" s="424">
        <f>IFERROR(__xludf.DUMMYFUNCTION("""COMPUTED_VALUE"""),0.0)</f>
        <v>0</v>
      </c>
      <c r="T42" s="425">
        <f>IFERROR(__xludf.DUMMYFUNCTION("""COMPUTED_VALUE"""),0.0)</f>
        <v>0</v>
      </c>
      <c r="U42" s="425">
        <f>IFERROR(__xludf.DUMMYFUNCTION("""COMPUTED_VALUE"""),0.0)</f>
        <v>0</v>
      </c>
    </row>
    <row r="43" ht="15.75" hidden="1" customHeight="1">
      <c r="A43" s="412" t="str">
        <f>IFERROR(__xludf.DUMMYFUNCTION("""COMPUTED_VALUE"""),"NANO")</f>
        <v>NANO</v>
      </c>
      <c r="B43" s="415" t="str">
        <f>IFERROR(__xludf.DUMMYFUNCTION("""COMPUTED_VALUE"""),"dinifu1")</f>
        <v>dinifu1</v>
      </c>
      <c r="C43" s="414" t="str">
        <f>IFERROR(__xludf.DUMMYFUNCTION("""COMPUTED_VALUE"""),"https://www.tiktok.com/@dinifu1")</f>
        <v>https://www.tiktok.com/@dinifu1</v>
      </c>
      <c r="D43" s="415">
        <f>IFERROR(__xludf.DUMMYFUNCTION("""COMPUTED_VALUE"""),8.1312275695E10)</f>
        <v>81312275695</v>
      </c>
      <c r="E43" s="416">
        <f>IFERROR(__xludf.DUMMYFUNCTION("""COMPUTED_VALUE"""),0.0)</f>
        <v>0</v>
      </c>
      <c r="F43" s="417">
        <f>IFERROR(__xludf.DUMMYFUNCTION("""COMPUTED_VALUE"""),3.0)</f>
        <v>3</v>
      </c>
      <c r="G43" s="418" t="str">
        <f>IFERROR(__xludf.DUMMYFUNCTION("""COMPUTED_VALUE"""),"Rp121,9JT")</f>
        <v>Rp121,9JT</v>
      </c>
      <c r="H43" s="419"/>
      <c r="I43" s="420"/>
      <c r="J43" s="421"/>
      <c r="K43" s="423"/>
      <c r="L43" s="419"/>
      <c r="M43" s="423"/>
      <c r="N43" s="419"/>
      <c r="O43" s="423"/>
      <c r="P43" s="419"/>
      <c r="Q43" s="423"/>
      <c r="R43" s="424">
        <f>IFERROR(__xludf.DUMMYFUNCTION("""COMPUTED_VALUE"""),0.0)</f>
        <v>0</v>
      </c>
      <c r="S43" s="424">
        <f>IFERROR(__xludf.DUMMYFUNCTION("""COMPUTED_VALUE"""),0.0)</f>
        <v>0</v>
      </c>
      <c r="T43" s="425">
        <f>IFERROR(__xludf.DUMMYFUNCTION("""COMPUTED_VALUE"""),0.0)</f>
        <v>0</v>
      </c>
      <c r="U43" s="425">
        <f>IFERROR(__xludf.DUMMYFUNCTION("""COMPUTED_VALUE"""),0.0)</f>
        <v>0</v>
      </c>
    </row>
    <row r="44" ht="15.75" hidden="1" customHeight="1">
      <c r="A44" s="412" t="str">
        <f>IFERROR(__xludf.DUMMYFUNCTION("""COMPUTED_VALUE"""),"MICRO")</f>
        <v>MICRO</v>
      </c>
      <c r="B44" s="415" t="str">
        <f>IFERROR(__xludf.DUMMYFUNCTION("""COMPUTED_VALUE"""),"nris9")</f>
        <v>nris9</v>
      </c>
      <c r="C44" s="414" t="str">
        <f>IFERROR(__xludf.DUMMYFUNCTION("""COMPUTED_VALUE"""),"https://www.tiktok.com/@nris9")</f>
        <v>https://www.tiktok.com/@nris9</v>
      </c>
      <c r="D44" s="415">
        <f>IFERROR(__xludf.DUMMYFUNCTION("""COMPUTED_VALUE"""),8.7721316159E10)</f>
        <v>87721316159</v>
      </c>
      <c r="E44" s="416">
        <f>IFERROR(__xludf.DUMMYFUNCTION("""COMPUTED_VALUE"""),0.0)</f>
        <v>0</v>
      </c>
      <c r="F44" s="417">
        <f>IFERROR(__xludf.DUMMYFUNCTION("""COMPUTED_VALUE"""),1.0)</f>
        <v>1</v>
      </c>
      <c r="G44" s="418" t="str">
        <f>IFERROR(__xludf.DUMMYFUNCTION("""COMPUTED_VALUE"""),"Rp387,6JT")</f>
        <v>Rp387,6JT</v>
      </c>
      <c r="H44" s="419"/>
      <c r="I44" s="420"/>
      <c r="J44" s="421"/>
      <c r="K44" s="422" t="str">
        <f>IFERROR(__xludf.DUMMYFUNCTION("""COMPUTED_VALUE"""),"https://vt.tiktok.com/ZSuw5xJfu/")</f>
        <v>https://vt.tiktok.com/ZSuw5xJfu/</v>
      </c>
      <c r="L44" s="419"/>
      <c r="M44" s="423"/>
      <c r="N44" s="419"/>
      <c r="O44" s="423"/>
      <c r="P44" s="419"/>
      <c r="Q44" s="423"/>
      <c r="R44" s="424">
        <f>IFERROR(__xludf.DUMMYFUNCTION("""COMPUTED_VALUE"""),0.0)</f>
        <v>0</v>
      </c>
      <c r="S44" s="424">
        <f>IFERROR(__xludf.DUMMYFUNCTION("""COMPUTED_VALUE"""),0.0)</f>
        <v>0</v>
      </c>
      <c r="T44" s="425">
        <f>IFERROR(__xludf.DUMMYFUNCTION("""COMPUTED_VALUE"""),0.0)</f>
        <v>0</v>
      </c>
      <c r="U44" s="425">
        <f>IFERROR(__xludf.DUMMYFUNCTION("""COMPUTED_VALUE"""),0.0)</f>
        <v>0</v>
      </c>
    </row>
    <row r="45" ht="15.75" hidden="1" customHeight="1">
      <c r="A45" s="412" t="str">
        <f>IFERROR(__xludf.DUMMYFUNCTION("""COMPUTED_VALUE"""),"NANO")</f>
        <v>NANO</v>
      </c>
      <c r="B45" s="415" t="str">
        <f>IFERROR(__xludf.DUMMYFUNCTION("""COMPUTED_VALUE"""),"taalestarii1")</f>
        <v>taalestarii1</v>
      </c>
      <c r="C45" s="414" t="str">
        <f>IFERROR(__xludf.DUMMYFUNCTION("""COMPUTED_VALUE"""),"https://www.tiktok.com/@taalestarii1")</f>
        <v>https://www.tiktok.com/@taalestarii1</v>
      </c>
      <c r="D45" s="415">
        <f>IFERROR(__xludf.DUMMYFUNCTION("""COMPUTED_VALUE"""),8.9535741071E11)</f>
        <v>895357410710</v>
      </c>
      <c r="E45" s="416">
        <f>IFERROR(__xludf.DUMMYFUNCTION("""COMPUTED_VALUE"""),0.0)</f>
        <v>0</v>
      </c>
      <c r="F45" s="417">
        <f>IFERROR(__xludf.DUMMYFUNCTION("""COMPUTED_VALUE"""),3.0)</f>
        <v>3</v>
      </c>
      <c r="G45" s="418" t="str">
        <f>IFERROR(__xludf.DUMMYFUNCTION("""COMPUTED_VALUE"""),"Rp25,4JT")</f>
        <v>Rp25,4JT</v>
      </c>
      <c r="H45" s="419"/>
      <c r="I45" s="420"/>
      <c r="J45" s="421"/>
      <c r="K45" s="422" t="str">
        <f>IFERROR(__xludf.DUMMYFUNCTION("""COMPUTED_VALUE"""),"https://vt.tiktok.com/ZSuw6HqHa/")</f>
        <v>https://vt.tiktok.com/ZSuw6HqHa/</v>
      </c>
      <c r="L45" s="419"/>
      <c r="M45" s="422" t="str">
        <f>IFERROR(__xludf.DUMMYFUNCTION("""COMPUTED_VALUE"""),"https://vt.tiktok.com/ZSHPTHLQP/")</f>
        <v>https://vt.tiktok.com/ZSHPTHLQP/</v>
      </c>
      <c r="N45" s="419"/>
      <c r="O45" s="422" t="str">
        <f>IFERROR(__xludf.DUMMYFUNCTION("""COMPUTED_VALUE"""),"https://vt.tiktok.com/ZSHHrPA5c/")</f>
        <v>https://vt.tiktok.com/ZSHHrPA5c/</v>
      </c>
      <c r="P45" s="419"/>
      <c r="Q45" s="423"/>
      <c r="R45" s="424">
        <f>IFERROR(__xludf.DUMMYFUNCTION("""COMPUTED_VALUE"""),139535.0)</f>
        <v>139535</v>
      </c>
      <c r="S45" s="424">
        <f>IFERROR(__xludf.DUMMYFUNCTION("""COMPUTED_VALUE"""),0.0)</f>
        <v>0</v>
      </c>
      <c r="T45" s="425">
        <f>IFERROR(__xludf.DUMMYFUNCTION("""COMPUTED_VALUE"""),0.0)</f>
        <v>0</v>
      </c>
      <c r="U45" s="425">
        <f>IFERROR(__xludf.DUMMYFUNCTION("""COMPUTED_VALUE"""),0.0)</f>
        <v>0</v>
      </c>
    </row>
    <row r="46" ht="15.75" hidden="1" customHeight="1">
      <c r="A46" s="412" t="str">
        <f>IFERROR(__xludf.DUMMYFUNCTION("""COMPUTED_VALUE"""),"NANO")</f>
        <v>NANO</v>
      </c>
      <c r="B46" s="415" t="str">
        <f>IFERROR(__xludf.DUMMYFUNCTION("""COMPUTED_VALUE"""),"queenhannisss")</f>
        <v>queenhannisss</v>
      </c>
      <c r="C46" s="414" t="str">
        <f>IFERROR(__xludf.DUMMYFUNCTION("""COMPUTED_VALUE"""),"https://www.tiktok.com/@queenhannisss")</f>
        <v>https://www.tiktok.com/@queenhannisss</v>
      </c>
      <c r="D46" s="415">
        <f>IFERROR(__xludf.DUMMYFUNCTION("""COMPUTED_VALUE"""),8.126685182E9)</f>
        <v>8126685182</v>
      </c>
      <c r="E46" s="416">
        <f>IFERROR(__xludf.DUMMYFUNCTION("""COMPUTED_VALUE"""),0.0)</f>
        <v>0</v>
      </c>
      <c r="F46" s="417">
        <f>IFERROR(__xludf.DUMMYFUNCTION("""COMPUTED_VALUE"""),3.0)</f>
        <v>3</v>
      </c>
      <c r="G46" s="418" t="str">
        <f>IFERROR(__xludf.DUMMYFUNCTION("""COMPUTED_VALUE"""),"Rp26,8JT")</f>
        <v>Rp26,8JT</v>
      </c>
      <c r="H46" s="419"/>
      <c r="I46" s="420"/>
      <c r="J46" s="421"/>
      <c r="K46" s="422" t="str">
        <f>IFERROR(__xludf.DUMMYFUNCTION("""COMPUTED_VALUE"""),"https://vt.tiktok.com/ZSuToAnvF/")</f>
        <v>https://vt.tiktok.com/ZSuToAnvF/</v>
      </c>
      <c r="L46" s="419"/>
      <c r="M46" s="422" t="str">
        <f>IFERROR(__xludf.DUMMYFUNCTION("""COMPUTED_VALUE"""),"https://vt.tiktok.com/ZSH2Vs1bq/")</f>
        <v>https://vt.tiktok.com/ZSH2Vs1bq/</v>
      </c>
      <c r="N46" s="419"/>
      <c r="O46" s="422" t="str">
        <f>IFERROR(__xludf.DUMMYFUNCTION("""COMPUTED_VALUE"""),"https://vt.tiktok.com/ZSHjYWXCt/")</f>
        <v>https://vt.tiktok.com/ZSHjYWXCt/</v>
      </c>
      <c r="P46" s="419"/>
      <c r="Q46" s="423"/>
      <c r="R46" s="424">
        <f>IFERROR(__xludf.DUMMYFUNCTION("""COMPUTED_VALUE"""),0.0)</f>
        <v>0</v>
      </c>
      <c r="S46" s="424">
        <f>IFERROR(__xludf.DUMMYFUNCTION("""COMPUTED_VALUE"""),0.0)</f>
        <v>0</v>
      </c>
      <c r="T46" s="425">
        <f>IFERROR(__xludf.DUMMYFUNCTION("""COMPUTED_VALUE"""),0.0)</f>
        <v>0</v>
      </c>
      <c r="U46" s="425">
        <f>IFERROR(__xludf.DUMMYFUNCTION("""COMPUTED_VALUE"""),0.0)</f>
        <v>0</v>
      </c>
    </row>
    <row r="47" ht="15.75" hidden="1" customHeight="1">
      <c r="A47" s="412" t="str">
        <f>IFERROR(__xludf.DUMMYFUNCTION("""COMPUTED_VALUE"""),"NANO")</f>
        <v>NANO</v>
      </c>
      <c r="B47" s="415" t="str">
        <f>IFERROR(__xludf.DUMMYFUNCTION("""COMPUTED_VALUE"""),"Prettygirls.www")</f>
        <v>Prettygirls.www</v>
      </c>
      <c r="C47" s="414" t="str">
        <f>IFERROR(__xludf.DUMMYFUNCTION("""COMPUTED_VALUE"""),"https://www.tiktok.com/@Prettygirls.www")</f>
        <v>https://www.tiktok.com/@Prettygirls.www</v>
      </c>
      <c r="D47" s="415">
        <f>IFERROR(__xludf.DUMMYFUNCTION("""COMPUTED_VALUE"""),8.1936933668E10)</f>
        <v>81936933668</v>
      </c>
      <c r="E47" s="416">
        <f>IFERROR(__xludf.DUMMYFUNCTION("""COMPUTED_VALUE"""),0.0)</f>
        <v>0</v>
      </c>
      <c r="F47" s="417">
        <f>IFERROR(__xludf.DUMMYFUNCTION("""COMPUTED_VALUE"""),3.0)</f>
        <v>3</v>
      </c>
      <c r="G47" s="418" t="str">
        <f>IFERROR(__xludf.DUMMYFUNCTION("""COMPUTED_VALUE"""),"Rp101,7JT")</f>
        <v>Rp101,7JT</v>
      </c>
      <c r="H47" s="419"/>
      <c r="I47" s="420"/>
      <c r="J47" s="421"/>
      <c r="K47" s="422" t="str">
        <f>IFERROR(__xludf.DUMMYFUNCTION("""COMPUTED_VALUE"""),"https://vt.tiktok.com/ZSu91TDUR/")</f>
        <v>https://vt.tiktok.com/ZSu91TDUR/</v>
      </c>
      <c r="L47" s="419"/>
      <c r="M47" s="422" t="str">
        <f>IFERROR(__xludf.DUMMYFUNCTION("""COMPUTED_VALUE"""),"https://vt.tiktok.com/ZSuoTGBpw/")</f>
        <v>https://vt.tiktok.com/ZSuoTGBpw/</v>
      </c>
      <c r="N47" s="419"/>
      <c r="O47" s="422" t="str">
        <f>IFERROR(__xludf.DUMMYFUNCTION("""COMPUTED_VALUE"""),"https://vt.tiktok.com/ZSuoT3j4h/")</f>
        <v>https://vt.tiktok.com/ZSuoT3j4h/</v>
      </c>
      <c r="P47" s="419"/>
      <c r="Q47" s="423"/>
      <c r="R47" s="424">
        <f>IFERROR(__xludf.DUMMYFUNCTION("""COMPUTED_VALUE"""),0.0)</f>
        <v>0</v>
      </c>
      <c r="S47" s="424">
        <f>IFERROR(__xludf.DUMMYFUNCTION("""COMPUTED_VALUE"""),0.0)</f>
        <v>0</v>
      </c>
      <c r="T47" s="425">
        <f>IFERROR(__xludf.DUMMYFUNCTION("""COMPUTED_VALUE"""),0.0)</f>
        <v>0</v>
      </c>
      <c r="U47" s="425">
        <f>IFERROR(__xludf.DUMMYFUNCTION("""COMPUTED_VALUE"""),0.0)</f>
        <v>0</v>
      </c>
    </row>
    <row r="48" ht="15.75" hidden="1" customHeight="1">
      <c r="A48" s="412" t="str">
        <f>IFERROR(__xludf.DUMMYFUNCTION("""COMPUTED_VALUE"""),"NANO")</f>
        <v>NANO</v>
      </c>
      <c r="B48" s="415" t="str">
        <f>IFERROR(__xludf.DUMMYFUNCTION("""COMPUTED_VALUE"""),"melani.makeup17")</f>
        <v>melani.makeup17</v>
      </c>
      <c r="C48" s="414" t="str">
        <f>IFERROR(__xludf.DUMMYFUNCTION("""COMPUTED_VALUE"""),"https://www.tiktok.com/@melani.makeup17")</f>
        <v>https://www.tiktok.com/@melani.makeup17</v>
      </c>
      <c r="D48" s="415">
        <f>IFERROR(__xludf.DUMMYFUNCTION("""COMPUTED_VALUE"""),8.5728913779E10)</f>
        <v>85728913779</v>
      </c>
      <c r="E48" s="416">
        <f>IFERROR(__xludf.DUMMYFUNCTION("""COMPUTED_VALUE"""),0.0)</f>
        <v>0</v>
      </c>
      <c r="F48" s="417">
        <f>IFERROR(__xludf.DUMMYFUNCTION("""COMPUTED_VALUE"""),2.0)</f>
        <v>2</v>
      </c>
      <c r="G48" s="418" t="str">
        <f>IFERROR(__xludf.DUMMYFUNCTION("""COMPUTED_VALUE"""),"Rp4,8JT")</f>
        <v>Rp4,8JT</v>
      </c>
      <c r="H48" s="419"/>
      <c r="I48" s="420"/>
      <c r="J48" s="421"/>
      <c r="K48" s="426" t="str">
        <f>IFERROR(__xludf.DUMMYFUNCTION("""COMPUTED_VALUE"""),"https://vt.tiktok.com/ZSudT3Y1D/")</f>
        <v>https://vt.tiktok.com/ZSudT3Y1D/</v>
      </c>
      <c r="L48" s="419"/>
      <c r="M48" s="422" t="str">
        <f>IFERROR(__xludf.DUMMYFUNCTION("""COMPUTED_VALUE"""),"https://vt.tiktok.com/ZSudwBPk3/")</f>
        <v>https://vt.tiktok.com/ZSudwBPk3/</v>
      </c>
      <c r="N48" s="419"/>
      <c r="O48" s="423"/>
      <c r="P48" s="419"/>
      <c r="Q48" s="423"/>
      <c r="R48" s="424">
        <f>IFERROR(__xludf.DUMMYFUNCTION("""COMPUTED_VALUE"""),151875.0)</f>
        <v>151875</v>
      </c>
      <c r="S48" s="424">
        <f>IFERROR(__xludf.DUMMYFUNCTION("""COMPUTED_VALUE"""),0.0)</f>
        <v>0</v>
      </c>
      <c r="T48" s="425">
        <f>IFERROR(__xludf.DUMMYFUNCTION("""COMPUTED_VALUE"""),0.0)</f>
        <v>0</v>
      </c>
      <c r="U48" s="425">
        <f>IFERROR(__xludf.DUMMYFUNCTION("""COMPUTED_VALUE"""),0.0)</f>
        <v>0</v>
      </c>
    </row>
    <row r="49" ht="15.75" hidden="1" customHeight="1">
      <c r="A49" s="412" t="str">
        <f>IFERROR(__xludf.DUMMYFUNCTION("""COMPUTED_VALUE"""),"NANO")</f>
        <v>NANO</v>
      </c>
      <c r="B49" s="415" t="str">
        <f>IFERROR(__xludf.DUMMYFUNCTION("""COMPUTED_VALUE"""),"Racunversiaku")</f>
        <v>Racunversiaku</v>
      </c>
      <c r="C49" s="414" t="str">
        <f>IFERROR(__xludf.DUMMYFUNCTION("""COMPUTED_VALUE"""),"https://www.tiktok.com/@Racunversiaku")</f>
        <v>https://www.tiktok.com/@Racunversiaku</v>
      </c>
      <c r="D49" s="415">
        <f>IFERROR(__xludf.DUMMYFUNCTION("""COMPUTED_VALUE"""),8.1225533448E10)</f>
        <v>81225533448</v>
      </c>
      <c r="E49" s="416">
        <f>IFERROR(__xludf.DUMMYFUNCTION("""COMPUTED_VALUE"""),0.0)</f>
        <v>0</v>
      </c>
      <c r="F49" s="417">
        <f>IFERROR(__xludf.DUMMYFUNCTION("""COMPUTED_VALUE"""),3.0)</f>
        <v>3</v>
      </c>
      <c r="G49" s="418" t="str">
        <f>IFERROR(__xludf.DUMMYFUNCTION("""COMPUTED_VALUE"""),"Rp1JT+")</f>
        <v>Rp1JT+</v>
      </c>
      <c r="H49" s="419"/>
      <c r="I49" s="420"/>
      <c r="J49" s="421"/>
      <c r="K49" s="422" t="str">
        <f>IFERROR(__xludf.DUMMYFUNCTION("""COMPUTED_VALUE"""),"https://vt.tiktok.com/ZSmwrYwM1/")</f>
        <v>https://vt.tiktok.com/ZSmwrYwM1/</v>
      </c>
      <c r="L49" s="419"/>
      <c r="M49" s="422" t="str">
        <f>IFERROR(__xludf.DUMMYFUNCTION("""COMPUTED_VALUE"""),"https://vt.tiktok.com/ZSmwrtd9p/")</f>
        <v>https://vt.tiktok.com/ZSmwrtd9p/</v>
      </c>
      <c r="N49" s="419"/>
      <c r="O49" s="422" t="str">
        <f>IFERROR(__xludf.DUMMYFUNCTION("""COMPUTED_VALUE"""),"https://vt.tiktok.com/ZSmwrbJEQ/")</f>
        <v>https://vt.tiktok.com/ZSmwrbJEQ/</v>
      </c>
      <c r="P49" s="419"/>
      <c r="Q49" s="423"/>
      <c r="R49" s="424">
        <f>IFERROR(__xludf.DUMMYFUNCTION("""COMPUTED_VALUE"""),0.0)</f>
        <v>0</v>
      </c>
      <c r="S49" s="424">
        <f>IFERROR(__xludf.DUMMYFUNCTION("""COMPUTED_VALUE"""),0.0)</f>
        <v>0</v>
      </c>
      <c r="T49" s="425">
        <f>IFERROR(__xludf.DUMMYFUNCTION("""COMPUTED_VALUE"""),0.0)</f>
        <v>0</v>
      </c>
      <c r="U49" s="425">
        <f>IFERROR(__xludf.DUMMYFUNCTION("""COMPUTED_VALUE"""),0.0)</f>
        <v>0</v>
      </c>
    </row>
    <row r="50" ht="15.75" hidden="1" customHeight="1">
      <c r="A50" s="412" t="str">
        <f>IFERROR(__xludf.DUMMYFUNCTION("""COMPUTED_VALUE"""),"NANO")</f>
        <v>NANO</v>
      </c>
      <c r="B50" s="415" t="str">
        <f>IFERROR(__xludf.DUMMYFUNCTION("""COMPUTED_VALUE"""),"iam._indah")</f>
        <v>iam._indah</v>
      </c>
      <c r="C50" s="414" t="str">
        <f>IFERROR(__xludf.DUMMYFUNCTION("""COMPUTED_VALUE"""),"https://www.tiktok.com/@iam._indah")</f>
        <v>https://www.tiktok.com/@iam._indah</v>
      </c>
      <c r="D50" s="415">
        <f>IFERROR(__xludf.DUMMYFUNCTION("""COMPUTED_VALUE"""),8.3123123143E10)</f>
        <v>83123123143</v>
      </c>
      <c r="E50" s="416">
        <f>IFERROR(__xludf.DUMMYFUNCTION("""COMPUTED_VALUE"""),0.0)</f>
        <v>0</v>
      </c>
      <c r="F50" s="417">
        <f>IFERROR(__xludf.DUMMYFUNCTION("""COMPUTED_VALUE"""),3.0)</f>
        <v>3</v>
      </c>
      <c r="G50" s="418" t="str">
        <f>IFERROR(__xludf.DUMMYFUNCTION("""COMPUTED_VALUE"""),"Rp100RB-Rp500RB")</f>
        <v>Rp100RB-Rp500RB</v>
      </c>
      <c r="H50" s="419"/>
      <c r="I50" s="420"/>
      <c r="J50" s="421"/>
      <c r="K50" s="422" t="str">
        <f>IFERROR(__xludf.DUMMYFUNCTION("""COMPUTED_VALUE"""),"https://vt.tiktok.com/ZSmc4NxmX/")</f>
        <v>https://vt.tiktok.com/ZSmc4NxmX/</v>
      </c>
      <c r="L50" s="419"/>
      <c r="M50" s="422" t="str">
        <f>IFERROR(__xludf.DUMMYFUNCTION("""COMPUTED_VALUE"""),"https://vt.tiktok.com/ZSujK6UHC/")</f>
        <v>https://vt.tiktok.com/ZSujK6UHC/</v>
      </c>
      <c r="N50" s="419"/>
      <c r="O50" s="422" t="str">
        <f>IFERROR(__xludf.DUMMYFUNCTION("""COMPUTED_VALUE"""),"https://vt.tiktok.com/ZSuASK6fC/")</f>
        <v>https://vt.tiktok.com/ZSuASK6fC/</v>
      </c>
      <c r="P50" s="419"/>
      <c r="Q50" s="423"/>
      <c r="R50" s="424">
        <f>IFERROR(__xludf.DUMMYFUNCTION("""COMPUTED_VALUE"""),0.0)</f>
        <v>0</v>
      </c>
      <c r="S50" s="424">
        <f>IFERROR(__xludf.DUMMYFUNCTION("""COMPUTED_VALUE"""),0.0)</f>
        <v>0</v>
      </c>
      <c r="T50" s="425">
        <f>IFERROR(__xludf.DUMMYFUNCTION("""COMPUTED_VALUE"""),0.0)</f>
        <v>0</v>
      </c>
      <c r="U50" s="425">
        <f>IFERROR(__xludf.DUMMYFUNCTION("""COMPUTED_VALUE"""),0.0)</f>
        <v>0</v>
      </c>
    </row>
    <row r="51" ht="15.75" hidden="1" customHeight="1">
      <c r="A51" s="412" t="str">
        <f>IFERROR(__xludf.DUMMYFUNCTION("""COMPUTED_VALUE"""),"NANO")</f>
        <v>NANO</v>
      </c>
      <c r="B51" s="415" t="str">
        <f>IFERROR(__xludf.DUMMYFUNCTION("""COMPUTED_VALUE"""),"sinanr18")</f>
        <v>sinanr18</v>
      </c>
      <c r="C51" s="414" t="str">
        <f>IFERROR(__xludf.DUMMYFUNCTION("""COMPUTED_VALUE"""),"https://www.tiktok.com/@sinanr18")</f>
        <v>https://www.tiktok.com/@sinanr18</v>
      </c>
      <c r="D51" s="415">
        <f>IFERROR(__xludf.DUMMYFUNCTION("""COMPUTED_VALUE"""),8.9670305045E10)</f>
        <v>89670305045</v>
      </c>
      <c r="E51" s="416">
        <f>IFERROR(__xludf.DUMMYFUNCTION("""COMPUTED_VALUE"""),0.0)</f>
        <v>0</v>
      </c>
      <c r="F51" s="417">
        <f>IFERROR(__xludf.DUMMYFUNCTION("""COMPUTED_VALUE"""),2.0)</f>
        <v>2</v>
      </c>
      <c r="G51" s="418" t="str">
        <f>IFERROR(__xludf.DUMMYFUNCTION("""COMPUTED_VALUE"""),"Rp1JT+")</f>
        <v>Rp1JT+</v>
      </c>
      <c r="H51" s="419"/>
      <c r="I51" s="420"/>
      <c r="J51" s="421"/>
      <c r="K51" s="422" t="str">
        <f>IFERROR(__xludf.DUMMYFUNCTION("""COMPUTED_VALUE"""),"https://vt.tiktok.com/ZSuL2Y9hq/")</f>
        <v>https://vt.tiktok.com/ZSuL2Y9hq/</v>
      </c>
      <c r="L51" s="419"/>
      <c r="M51" s="422" t="str">
        <f>IFERROR(__xludf.DUMMYFUNCTION("""COMPUTED_VALUE"""),"https://vt.tiktok.com/ZSu6T78xX/")</f>
        <v>https://vt.tiktok.com/ZSu6T78xX/</v>
      </c>
      <c r="N51" s="419"/>
      <c r="O51" s="423"/>
      <c r="P51" s="419"/>
      <c r="Q51" s="423"/>
      <c r="R51" s="424">
        <f>IFERROR(__xludf.DUMMYFUNCTION("""COMPUTED_VALUE"""),0.0)</f>
        <v>0</v>
      </c>
      <c r="S51" s="424">
        <f>IFERROR(__xludf.DUMMYFUNCTION("""COMPUTED_VALUE"""),0.0)</f>
        <v>0</v>
      </c>
      <c r="T51" s="425">
        <f>IFERROR(__xludf.DUMMYFUNCTION("""COMPUTED_VALUE"""),0.0)</f>
        <v>0</v>
      </c>
      <c r="U51" s="425">
        <f>IFERROR(__xludf.DUMMYFUNCTION("""COMPUTED_VALUE"""),0.0)</f>
        <v>0</v>
      </c>
    </row>
    <row r="52" ht="15.75" hidden="1" customHeight="1">
      <c r="A52" s="412" t="str">
        <f>IFERROR(__xludf.DUMMYFUNCTION("""COMPUTED_VALUE"""),"MACRO")</f>
        <v>MACRO</v>
      </c>
      <c r="B52" s="415" t="str">
        <f>IFERROR(__xludf.DUMMYFUNCTION("""COMPUTED_VALUE"""),"pumpkinscarf")</f>
        <v>pumpkinscarf</v>
      </c>
      <c r="C52" s="414" t="str">
        <f>IFERROR(__xludf.DUMMYFUNCTION("""COMPUTED_VALUE"""),"https://www.tiktok.com/@pumpkinscarf")</f>
        <v>https://www.tiktok.com/@pumpkinscarf</v>
      </c>
      <c r="D52" s="415">
        <f>IFERROR(__xludf.DUMMYFUNCTION("""COMPUTED_VALUE"""),8.5700060082E10)</f>
        <v>85700060082</v>
      </c>
      <c r="E52" s="416">
        <f>IFERROR(__xludf.DUMMYFUNCTION("""COMPUTED_VALUE"""),0.0)</f>
        <v>0</v>
      </c>
      <c r="F52" s="417">
        <f>IFERROR(__xludf.DUMMYFUNCTION("""COMPUTED_VALUE"""),3.0)</f>
        <v>3</v>
      </c>
      <c r="G52" s="418" t="str">
        <f>IFERROR(__xludf.DUMMYFUNCTION("""COMPUTED_VALUE"""),"Rp52RB")</f>
        <v>Rp52RB</v>
      </c>
      <c r="H52" s="419"/>
      <c r="I52" s="420"/>
      <c r="J52" s="421"/>
      <c r="K52" s="422" t="str">
        <f>IFERROR(__xludf.DUMMYFUNCTION("""COMPUTED_VALUE"""),"https://vt.tiktok.com/ZSu9BHMUe/")</f>
        <v>https://vt.tiktok.com/ZSu9BHMUe/</v>
      </c>
      <c r="L52" s="419"/>
      <c r="M52" s="422" t="str">
        <f>IFERROR(__xludf.DUMMYFUNCTION("""COMPUTED_VALUE"""),"https://vt.tiktok.com/ZSuQLrDnD/")</f>
        <v>https://vt.tiktok.com/ZSuQLrDnD/</v>
      </c>
      <c r="N52" s="419"/>
      <c r="O52" s="422" t="str">
        <f>IFERROR(__xludf.DUMMYFUNCTION("""COMPUTED_VALUE"""),"https://vt.tiktok.com/ZSHYtotjF/")</f>
        <v>https://vt.tiktok.com/ZSHYtotjF/</v>
      </c>
      <c r="P52" s="419"/>
      <c r="Q52" s="423"/>
      <c r="R52" s="424">
        <f>IFERROR(__xludf.DUMMYFUNCTION("""COMPUTED_VALUE"""),0.0)</f>
        <v>0</v>
      </c>
      <c r="S52" s="424">
        <f>IFERROR(__xludf.DUMMYFUNCTION("""COMPUTED_VALUE"""),0.0)</f>
        <v>0</v>
      </c>
      <c r="T52" s="425">
        <f>IFERROR(__xludf.DUMMYFUNCTION("""COMPUTED_VALUE"""),0.0)</f>
        <v>0</v>
      </c>
      <c r="U52" s="425">
        <f>IFERROR(__xludf.DUMMYFUNCTION("""COMPUTED_VALUE"""),0.0)</f>
        <v>0</v>
      </c>
    </row>
    <row r="53" ht="15.75" hidden="1" customHeight="1">
      <c r="A53" s="412" t="str">
        <f>IFERROR(__xludf.DUMMYFUNCTION("""COMPUTED_VALUE"""),"MICRO")</f>
        <v>MICRO</v>
      </c>
      <c r="B53" s="415" t="str">
        <f>IFERROR(__xludf.DUMMYFUNCTION("""COMPUTED_VALUE"""),"popynoviana_")</f>
        <v>popynoviana_</v>
      </c>
      <c r="C53" s="414" t="str">
        <f>IFERROR(__xludf.DUMMYFUNCTION("""COMPUTED_VALUE"""),"https://www.tiktok.com/@popynoviana_")</f>
        <v>https://www.tiktok.com/@popynoviana_</v>
      </c>
      <c r="D53" s="415">
        <f>IFERROR(__xludf.DUMMYFUNCTION("""COMPUTED_VALUE"""),8.2122355727E10)</f>
        <v>82122355727</v>
      </c>
      <c r="E53" s="416">
        <f>IFERROR(__xludf.DUMMYFUNCTION("""COMPUTED_VALUE"""),0.0)</f>
        <v>0</v>
      </c>
      <c r="F53" s="417">
        <f>IFERROR(__xludf.DUMMYFUNCTION("""COMPUTED_VALUE"""),3.0)</f>
        <v>3</v>
      </c>
      <c r="G53" s="418" t="str">
        <f>IFERROR(__xludf.DUMMYFUNCTION("""COMPUTED_VALUE"""),"Rp1JT+")</f>
        <v>Rp1JT+</v>
      </c>
      <c r="H53" s="419"/>
      <c r="I53" s="420"/>
      <c r="J53" s="421"/>
      <c r="K53" s="426" t="str">
        <f>IFERROR(__xludf.DUMMYFUNCTION("""COMPUTED_VALUE"""),"https://vt.tiktok.com/ZSuJPu1kD/")</f>
        <v>https://vt.tiktok.com/ZSuJPu1kD/</v>
      </c>
      <c r="L53" s="419"/>
      <c r="M53" s="422" t="str">
        <f>IFERROR(__xludf.DUMMYFUNCTION("""COMPUTED_VALUE"""),"https://vt.tiktok.com/ZSH84dFRN/")</f>
        <v>https://vt.tiktok.com/ZSH84dFRN/</v>
      </c>
      <c r="N53" s="419"/>
      <c r="O53" s="422" t="str">
        <f>IFERROR(__xludf.DUMMYFUNCTION("""COMPUTED_VALUE"""),"https://vt.tiktok.com/ZSxSQAXRR/")</f>
        <v>https://vt.tiktok.com/ZSxSQAXRR/</v>
      </c>
      <c r="P53" s="419"/>
      <c r="Q53" s="423"/>
      <c r="R53" s="424">
        <f>IFERROR(__xludf.DUMMYFUNCTION("""COMPUTED_VALUE"""),0.0)</f>
        <v>0</v>
      </c>
      <c r="S53" s="424">
        <f>IFERROR(__xludf.DUMMYFUNCTION("""COMPUTED_VALUE"""),0.0)</f>
        <v>0</v>
      </c>
      <c r="T53" s="425">
        <f>IFERROR(__xludf.DUMMYFUNCTION("""COMPUTED_VALUE"""),0.0)</f>
        <v>0</v>
      </c>
      <c r="U53" s="425">
        <f>IFERROR(__xludf.DUMMYFUNCTION("""COMPUTED_VALUE"""),0.0)</f>
        <v>0</v>
      </c>
    </row>
    <row r="54" ht="15.75" customHeight="1">
      <c r="A54" s="412" t="str">
        <f>IFERROR(__xludf.DUMMYFUNCTION("""COMPUTED_VALUE"""),"NANO")</f>
        <v>NANO</v>
      </c>
      <c r="B54" s="415" t="str">
        <f>IFERROR(__xludf.DUMMYFUNCTION("""COMPUTED_VALUE"""),"Justnedder")</f>
        <v>Justnedder</v>
      </c>
      <c r="C54" s="414" t="str">
        <f>IFERROR(__xludf.DUMMYFUNCTION("""COMPUTED_VALUE"""),"https://www.tiktok.com/@Justnedder")</f>
        <v>https://www.tiktok.com/@Justnedder</v>
      </c>
      <c r="D54" s="415">
        <f>IFERROR(__xludf.DUMMYFUNCTION("""COMPUTED_VALUE"""),8.2363336649E10)</f>
        <v>82363336649</v>
      </c>
      <c r="E54" s="416">
        <f>IFERROR(__xludf.DUMMYFUNCTION("""COMPUTED_VALUE"""),0.0)</f>
        <v>0</v>
      </c>
      <c r="F54" s="417">
        <f>IFERROR(__xludf.DUMMYFUNCTION("""COMPUTED_VALUE"""),3.0)</f>
        <v>3</v>
      </c>
      <c r="G54" s="418" t="str">
        <f>IFERROR(__xludf.DUMMYFUNCTION("""COMPUTED_VALUE"""),"Rp100RB-Rp500RB")</f>
        <v>Rp100RB-Rp500RB</v>
      </c>
      <c r="H54" s="419"/>
      <c r="I54" s="420"/>
      <c r="J54" s="421"/>
      <c r="K54" s="422" t="str">
        <f>IFERROR(__xludf.DUMMYFUNCTION("""COMPUTED_VALUE"""),"https://vt.tiktok.com/ZSuuojaFu/")</f>
        <v>https://vt.tiktok.com/ZSuuojaFu/</v>
      </c>
      <c r="L54" s="419"/>
      <c r="M54" s="422" t="str">
        <f>IFERROR(__xludf.DUMMYFUNCTION("""COMPUTED_VALUE"""),"https://vt.tiktok.com/ZSuTwJfxM/")</f>
        <v>https://vt.tiktok.com/ZSuTwJfxM/</v>
      </c>
      <c r="N54" s="419"/>
      <c r="O54" s="422" t="str">
        <f>IFERROR(__xludf.DUMMYFUNCTION("""COMPUTED_VALUE"""),"https://vt.tiktok.com/ZSHfor9a7/")</f>
        <v>https://vt.tiktok.com/ZSHfor9a7/</v>
      </c>
      <c r="P54" s="419"/>
      <c r="Q54" s="422" t="str">
        <f>IFERROR(__xludf.DUMMYFUNCTION("""COMPUTED_VALUE"""),"https://vt.tiktok.com/ZS9qQ2f8W/")</f>
        <v>https://vt.tiktok.com/ZS9qQ2f8W/</v>
      </c>
      <c r="R54" s="424">
        <f>IFERROR(__xludf.DUMMYFUNCTION("""COMPUTED_VALUE"""),0.0)</f>
        <v>0</v>
      </c>
      <c r="S54" s="424">
        <f>IFERROR(__xludf.DUMMYFUNCTION("""COMPUTED_VALUE"""),0.0)</f>
        <v>0</v>
      </c>
      <c r="T54" s="425">
        <f>IFERROR(__xludf.DUMMYFUNCTION("""COMPUTED_VALUE"""),0.0)</f>
        <v>0</v>
      </c>
      <c r="U54" s="425">
        <f>IFERROR(__xludf.DUMMYFUNCTION("""COMPUTED_VALUE"""),0.0)</f>
        <v>0</v>
      </c>
    </row>
    <row r="55" ht="15.75" hidden="1" customHeight="1">
      <c r="A55" s="412" t="str">
        <f>IFERROR(__xludf.DUMMYFUNCTION("""COMPUTED_VALUE"""),"NANO")</f>
        <v>NANO</v>
      </c>
      <c r="B55" s="415" t="str">
        <f>IFERROR(__xludf.DUMMYFUNCTION("""COMPUTED_VALUE"""),"sforsheilaww")</f>
        <v>sforsheilaww</v>
      </c>
      <c r="C55" s="414" t="str">
        <f>IFERROR(__xludf.DUMMYFUNCTION("""COMPUTED_VALUE"""),"https://www.tiktok.com/@sforsheilaww")</f>
        <v>https://www.tiktok.com/@sforsheilaww</v>
      </c>
      <c r="D55" s="415">
        <f>IFERROR(__xludf.DUMMYFUNCTION("""COMPUTED_VALUE"""),8.3138956424E10)</f>
        <v>83138956424</v>
      </c>
      <c r="E55" s="416">
        <f>IFERROR(__xludf.DUMMYFUNCTION("""COMPUTED_VALUE"""),0.0)</f>
        <v>0</v>
      </c>
      <c r="F55" s="417">
        <f>IFERROR(__xludf.DUMMYFUNCTION("""COMPUTED_VALUE"""),3.0)</f>
        <v>3</v>
      </c>
      <c r="G55" s="418" t="str">
        <f>IFERROR(__xludf.DUMMYFUNCTION("""COMPUTED_VALUE"""),"Rp16,1JT")</f>
        <v>Rp16,1JT</v>
      </c>
      <c r="H55" s="419"/>
      <c r="I55" s="420"/>
      <c r="J55" s="421"/>
      <c r="K55" s="422" t="str">
        <f>IFERROR(__xludf.DUMMYFUNCTION("""COMPUTED_VALUE"""),"https://vt.tiktok.com/ZSuB1e2jR/")</f>
        <v>https://vt.tiktok.com/ZSuB1e2jR/</v>
      </c>
      <c r="L55" s="419"/>
      <c r="M55" s="422" t="str">
        <f>IFERROR(__xludf.DUMMYFUNCTION("""COMPUTED_VALUE"""),"https://vt.tiktok.com/ZSHXdP8PT/")</f>
        <v>https://vt.tiktok.com/ZSHXdP8PT/</v>
      </c>
      <c r="N55" s="419"/>
      <c r="O55" s="423"/>
      <c r="P55" s="419"/>
      <c r="Q55" s="423"/>
      <c r="R55" s="424">
        <f>IFERROR(__xludf.DUMMYFUNCTION("""COMPUTED_VALUE"""),127268.0)</f>
        <v>127268</v>
      </c>
      <c r="S55" s="424">
        <f>IFERROR(__xludf.DUMMYFUNCTION("""COMPUTED_VALUE"""),0.0)</f>
        <v>0</v>
      </c>
      <c r="T55" s="425">
        <f>IFERROR(__xludf.DUMMYFUNCTION("""COMPUTED_VALUE"""),0.0)</f>
        <v>0</v>
      </c>
      <c r="U55" s="425">
        <f>IFERROR(__xludf.DUMMYFUNCTION("""COMPUTED_VALUE"""),0.0)</f>
        <v>0</v>
      </c>
    </row>
    <row r="56" ht="15.75" hidden="1" customHeight="1">
      <c r="A56" s="412" t="str">
        <f>IFERROR(__xludf.DUMMYFUNCTION("""COMPUTED_VALUE"""),"NANO")</f>
        <v>NANO</v>
      </c>
      <c r="B56" s="415" t="str">
        <f>IFERROR(__xludf.DUMMYFUNCTION("""COMPUTED_VALUE"""),"Aisyahshop14")</f>
        <v>Aisyahshop14</v>
      </c>
      <c r="C56" s="414" t="str">
        <f>IFERROR(__xludf.DUMMYFUNCTION("""COMPUTED_VALUE"""),"https://www.tiktok.com/@Aisyahshop14")</f>
        <v>https://www.tiktok.com/@Aisyahshop14</v>
      </c>
      <c r="D56" s="415">
        <f>IFERROR(__xludf.DUMMYFUNCTION("""COMPUTED_VALUE"""),8.95704445617E11)</f>
        <v>895704445617</v>
      </c>
      <c r="E56" s="416">
        <f>IFERROR(__xludf.DUMMYFUNCTION("""COMPUTED_VALUE"""),0.0)</f>
        <v>0</v>
      </c>
      <c r="F56" s="417">
        <f>IFERROR(__xludf.DUMMYFUNCTION("""COMPUTED_VALUE"""),3.0)</f>
        <v>3</v>
      </c>
      <c r="G56" s="418" t="str">
        <f>IFERROR(__xludf.DUMMYFUNCTION("""COMPUTED_VALUE"""),"Rp9,5JT")</f>
        <v>Rp9,5JT</v>
      </c>
      <c r="H56" s="419"/>
      <c r="I56" s="420"/>
      <c r="J56" s="421"/>
      <c r="K56" s="422" t="str">
        <f>IFERROR(__xludf.DUMMYFUNCTION("""COMPUTED_VALUE"""),"https://vt.tiktok.com/ZSmTYbHCa/")</f>
        <v>https://vt.tiktok.com/ZSmTYbHCa/</v>
      </c>
      <c r="L56" s="419"/>
      <c r="M56" s="422" t="str">
        <f>IFERROR(__xludf.DUMMYFUNCTION("""COMPUTED_VALUE"""),"https://vt.tiktok.com/ZSmKt7QfR/")</f>
        <v>https://vt.tiktok.com/ZSmKt7QfR/</v>
      </c>
      <c r="N56" s="419"/>
      <c r="O56" s="422" t="str">
        <f>IFERROR(__xludf.DUMMYFUNCTION("""COMPUTED_VALUE"""),"https://vt.tiktok.com/ZSuRqP86G/")</f>
        <v>https://vt.tiktok.com/ZSuRqP86G/</v>
      </c>
      <c r="P56" s="419"/>
      <c r="Q56" s="423"/>
      <c r="R56" s="424">
        <f>IFERROR(__xludf.DUMMYFUNCTION("""COMPUTED_VALUE"""),0.0)</f>
        <v>0</v>
      </c>
      <c r="S56" s="424">
        <f>IFERROR(__xludf.DUMMYFUNCTION("""COMPUTED_VALUE"""),0.0)</f>
        <v>0</v>
      </c>
      <c r="T56" s="425">
        <f>IFERROR(__xludf.DUMMYFUNCTION("""COMPUTED_VALUE"""),0.0)</f>
        <v>0</v>
      </c>
      <c r="U56" s="425">
        <f>IFERROR(__xludf.DUMMYFUNCTION("""COMPUTED_VALUE"""),0.0)</f>
        <v>0</v>
      </c>
    </row>
    <row r="57" ht="15.75" hidden="1" customHeight="1">
      <c r="A57" s="412" t="str">
        <f>IFERROR(__xludf.DUMMYFUNCTION("""COMPUTED_VALUE"""),"NANO")</f>
        <v>NANO</v>
      </c>
      <c r="B57" s="415" t="str">
        <f>IFERROR(__xludf.DUMMYFUNCTION("""COMPUTED_VALUE"""),"sanclavvd")</f>
        <v>sanclavvd</v>
      </c>
      <c r="C57" s="414" t="str">
        <f>IFERROR(__xludf.DUMMYFUNCTION("""COMPUTED_VALUE"""),"https://www.tiktok.com/@sanclavvd")</f>
        <v>https://www.tiktok.com/@sanclavvd</v>
      </c>
      <c r="D57" s="415">
        <f>IFERROR(__xludf.DUMMYFUNCTION("""COMPUTED_VALUE"""),8.1218069729E10)</f>
        <v>81218069729</v>
      </c>
      <c r="E57" s="416">
        <f>IFERROR(__xludf.DUMMYFUNCTION("""COMPUTED_VALUE"""),0.0)</f>
        <v>0</v>
      </c>
      <c r="F57" s="417">
        <f>IFERROR(__xludf.DUMMYFUNCTION("""COMPUTED_VALUE"""),3.0)</f>
        <v>3</v>
      </c>
      <c r="G57" s="418" t="str">
        <f>IFERROR(__xludf.DUMMYFUNCTION("""COMPUTED_VALUE"""),"Rp197,RB")</f>
        <v>Rp197,RB</v>
      </c>
      <c r="H57" s="419"/>
      <c r="I57" s="420"/>
      <c r="J57" s="421"/>
      <c r="K57" s="423"/>
      <c r="L57" s="419"/>
      <c r="M57" s="423"/>
      <c r="N57" s="419"/>
      <c r="O57" s="423"/>
      <c r="P57" s="419"/>
      <c r="Q57" s="423"/>
      <c r="R57" s="424">
        <f>IFERROR(__xludf.DUMMYFUNCTION("""COMPUTED_VALUE"""),0.0)</f>
        <v>0</v>
      </c>
      <c r="S57" s="424">
        <f>IFERROR(__xludf.DUMMYFUNCTION("""COMPUTED_VALUE"""),0.0)</f>
        <v>0</v>
      </c>
      <c r="T57" s="425">
        <f>IFERROR(__xludf.DUMMYFUNCTION("""COMPUTED_VALUE"""),0.0)</f>
        <v>0</v>
      </c>
      <c r="U57" s="425">
        <f>IFERROR(__xludf.DUMMYFUNCTION("""COMPUTED_VALUE"""),0.0)</f>
        <v>0</v>
      </c>
    </row>
    <row r="58" ht="15.75" hidden="1" customHeight="1">
      <c r="A58" s="412" t="str">
        <f>IFERROR(__xludf.DUMMYFUNCTION("""COMPUTED_VALUE"""),"NANO")</f>
        <v>NANO</v>
      </c>
      <c r="B58" s="415" t="str">
        <f>IFERROR(__xludf.DUMMYFUNCTION("""COMPUTED_VALUE"""),"yourbesties77")</f>
        <v>yourbesties77</v>
      </c>
      <c r="C58" s="414" t="str">
        <f>IFERROR(__xludf.DUMMYFUNCTION("""COMPUTED_VALUE"""),"https://www.tiktok.com/@yourbesties77")</f>
        <v>https://www.tiktok.com/@yourbesties77</v>
      </c>
      <c r="D58" s="415">
        <f>IFERROR(__xludf.DUMMYFUNCTION("""COMPUTED_VALUE"""),8.5156020353E10)</f>
        <v>85156020353</v>
      </c>
      <c r="E58" s="416">
        <f>IFERROR(__xludf.DUMMYFUNCTION("""COMPUTED_VALUE"""),150000.0)</f>
        <v>150000</v>
      </c>
      <c r="F58" s="417">
        <f>IFERROR(__xludf.DUMMYFUNCTION("""COMPUTED_VALUE"""),3.0)</f>
        <v>3</v>
      </c>
      <c r="G58" s="418" t="str">
        <f>IFERROR(__xludf.DUMMYFUNCTION("""COMPUTED_VALUE"""),"Rp500RB-1JT")</f>
        <v>Rp500RB-1JT</v>
      </c>
      <c r="H58" s="419"/>
      <c r="I58" s="420"/>
      <c r="J58" s="421"/>
      <c r="K58" s="422" t="str">
        <f>IFERROR(__xludf.DUMMYFUNCTION("""COMPUTED_VALUE"""),"https://vt.tiktok.com/ZSuRvveD8/")</f>
        <v>https://vt.tiktok.com/ZSuRvveD8/</v>
      </c>
      <c r="L58" s="419"/>
      <c r="M58" s="422" t="str">
        <f>IFERROR(__xludf.DUMMYFUNCTION("""COMPUTED_VALUE"""),"https://vt.tiktok.com/ZSuMEba8A/")</f>
        <v>https://vt.tiktok.com/ZSuMEba8A/</v>
      </c>
      <c r="N58" s="419"/>
      <c r="O58" s="422" t="str">
        <f>IFERROR(__xludf.DUMMYFUNCTION("""COMPUTED_VALUE"""),"https://vt.tiktok.com/ZSuBU1Uou/")</f>
        <v>https://vt.tiktok.com/ZSuBU1Uou/</v>
      </c>
      <c r="P58" s="419"/>
      <c r="Q58" s="423"/>
      <c r="R58" s="424">
        <f>IFERROR(__xludf.DUMMYFUNCTION("""COMPUTED_VALUE"""),0.0)</f>
        <v>0</v>
      </c>
      <c r="S58" s="424">
        <f>IFERROR(__xludf.DUMMYFUNCTION("""COMPUTED_VALUE"""),0.0)</f>
        <v>0</v>
      </c>
      <c r="T58" s="425">
        <f>IFERROR(__xludf.DUMMYFUNCTION("""COMPUTED_VALUE"""),0.0)</f>
        <v>0</v>
      </c>
      <c r="U58" s="425">
        <f>IFERROR(__xludf.DUMMYFUNCTION("""COMPUTED_VALUE"""),0.0)</f>
        <v>0</v>
      </c>
    </row>
    <row r="59" ht="15.75" hidden="1" customHeight="1">
      <c r="A59" s="412" t="str">
        <f>IFERROR(__xludf.DUMMYFUNCTION("""COMPUTED_VALUE"""),"MICRO")</f>
        <v>MICRO</v>
      </c>
      <c r="B59" s="415" t="str">
        <f>IFERROR(__xludf.DUMMYFUNCTION("""COMPUTED_VALUE"""),"anyagabrielles")</f>
        <v>anyagabrielles</v>
      </c>
      <c r="C59" s="414" t="str">
        <f>IFERROR(__xludf.DUMMYFUNCTION("""COMPUTED_VALUE"""),"https://www.tiktok.com/@anyagabrielles")</f>
        <v>https://www.tiktok.com/@anyagabrielles</v>
      </c>
      <c r="D59" s="415">
        <f>IFERROR(__xludf.DUMMYFUNCTION("""COMPUTED_VALUE"""),8.95803667121E11)</f>
        <v>895803667121</v>
      </c>
      <c r="E59" s="416">
        <f>IFERROR(__xludf.DUMMYFUNCTION("""COMPUTED_VALUE"""),0.0)</f>
        <v>0</v>
      </c>
      <c r="F59" s="417">
        <f>IFERROR(__xludf.DUMMYFUNCTION("""COMPUTED_VALUE"""),1.0)</f>
        <v>1</v>
      </c>
      <c r="G59" s="418" t="str">
        <f>IFERROR(__xludf.DUMMYFUNCTION("""COMPUTED_VALUE"""),"Rp39,8JT")</f>
        <v>Rp39,8JT</v>
      </c>
      <c r="H59" s="419"/>
      <c r="I59" s="420"/>
      <c r="J59" s="421"/>
      <c r="K59" s="422" t="str">
        <f>IFERROR(__xludf.DUMMYFUNCTION("""COMPUTED_VALUE"""),"https://www.tiktok.com/@anyagabrielles/video/7618404070159715605?is_from_webapp=1&amp;sender_device=pc")</f>
        <v>https://www.tiktok.com/@anyagabrielles/video/7618404070159715605?is_from_webapp=1&amp;sender_device=pc</v>
      </c>
      <c r="L59" s="419"/>
      <c r="M59" s="423"/>
      <c r="N59" s="419"/>
      <c r="O59" s="423"/>
      <c r="P59" s="419"/>
      <c r="Q59" s="423"/>
      <c r="R59" s="424">
        <f>IFERROR(__xludf.DUMMYFUNCTION("""COMPUTED_VALUE"""),0.0)</f>
        <v>0</v>
      </c>
      <c r="S59" s="424">
        <f>IFERROR(__xludf.DUMMYFUNCTION("""COMPUTED_VALUE"""),0.0)</f>
        <v>0</v>
      </c>
      <c r="T59" s="425">
        <f>IFERROR(__xludf.DUMMYFUNCTION("""COMPUTED_VALUE"""),0.0)</f>
        <v>0</v>
      </c>
      <c r="U59" s="425">
        <f>IFERROR(__xludf.DUMMYFUNCTION("""COMPUTED_VALUE"""),0.0)</f>
        <v>0</v>
      </c>
    </row>
    <row r="60" ht="15.75" hidden="1" customHeight="1">
      <c r="A60" s="412" t="str">
        <f>IFERROR(__xludf.DUMMYFUNCTION("""COMPUTED_VALUE"""),"NANO")</f>
        <v>NANO</v>
      </c>
      <c r="B60" s="415" t="str">
        <f>IFERROR(__xludf.DUMMYFUNCTION("""COMPUTED_VALUE"""),"ssndeti")</f>
        <v>ssndeti</v>
      </c>
      <c r="C60" s="414" t="str">
        <f>IFERROR(__xludf.DUMMYFUNCTION("""COMPUTED_VALUE"""),"https://www.tiktok.com/@ssndeti")</f>
        <v>https://www.tiktok.com/@ssndeti</v>
      </c>
      <c r="D60" s="415">
        <f>IFERROR(__xludf.DUMMYFUNCTION("""COMPUTED_VALUE"""),8.5890742278E10)</f>
        <v>85890742278</v>
      </c>
      <c r="E60" s="416">
        <f>IFERROR(__xludf.DUMMYFUNCTION("""COMPUTED_VALUE"""),0.0)</f>
        <v>0</v>
      </c>
      <c r="F60" s="417">
        <f>IFERROR(__xludf.DUMMYFUNCTION("""COMPUTED_VALUE"""),3.0)</f>
        <v>3</v>
      </c>
      <c r="G60" s="418" t="str">
        <f>IFERROR(__xludf.DUMMYFUNCTION("""COMPUTED_VALUE"""),"Rp340,5RB")</f>
        <v>Rp340,5RB</v>
      </c>
      <c r="H60" s="419"/>
      <c r="I60" s="420"/>
      <c r="J60" s="421"/>
      <c r="K60" s="422" t="str">
        <f>IFERROR(__xludf.DUMMYFUNCTION("""COMPUTED_VALUE"""),"https://vt.tiktok.com/ZSHQycamA/")</f>
        <v>https://vt.tiktok.com/ZSHQycamA/</v>
      </c>
      <c r="L60" s="419"/>
      <c r="M60" s="422" t="str">
        <f>IFERROR(__xludf.DUMMYFUNCTION("""COMPUTED_VALUE"""),"https://vt.tiktok.com/ZSHoqyaE2/")</f>
        <v>https://vt.tiktok.com/ZSHoqyaE2/</v>
      </c>
      <c r="N60" s="419"/>
      <c r="O60" s="422" t="str">
        <f>IFERROR(__xludf.DUMMYFUNCTION("""COMPUTED_VALUE"""),"https://vt.tiktok.com/ZS91oWmmX/")</f>
        <v>https://vt.tiktok.com/ZS91oWmmX/</v>
      </c>
      <c r="P60" s="419"/>
      <c r="Q60" s="423"/>
      <c r="R60" s="424">
        <f>IFERROR(__xludf.DUMMYFUNCTION("""COMPUTED_VALUE"""),0.0)</f>
        <v>0</v>
      </c>
      <c r="S60" s="424">
        <f>IFERROR(__xludf.DUMMYFUNCTION("""COMPUTED_VALUE"""),0.0)</f>
        <v>0</v>
      </c>
      <c r="T60" s="425">
        <f>IFERROR(__xludf.DUMMYFUNCTION("""COMPUTED_VALUE"""),0.0)</f>
        <v>0</v>
      </c>
      <c r="U60" s="425">
        <f>IFERROR(__xludf.DUMMYFUNCTION("""COMPUTED_VALUE"""),0.0)</f>
        <v>0</v>
      </c>
    </row>
    <row r="61" ht="15.75" hidden="1" customHeight="1">
      <c r="A61" s="412" t="str">
        <f>IFERROR(__xludf.DUMMYFUNCTION("""COMPUTED_VALUE"""),"NANO")</f>
        <v>NANO</v>
      </c>
      <c r="B61" s="415" t="str">
        <f>IFERROR(__xludf.DUMMYFUNCTION("""COMPUTED_VALUE"""),"dianaputri715")</f>
        <v>dianaputri715</v>
      </c>
      <c r="C61" s="414" t="str">
        <f>IFERROR(__xludf.DUMMYFUNCTION("""COMPUTED_VALUE"""),"https://www.tiktok.com/@dianaputri715")</f>
        <v>https://www.tiktok.com/@dianaputri715</v>
      </c>
      <c r="D61" s="415">
        <f>IFERROR(__xludf.DUMMYFUNCTION("""COMPUTED_VALUE"""),8.963025684E10)</f>
        <v>89630256840</v>
      </c>
      <c r="E61" s="416">
        <f>IFERROR(__xludf.DUMMYFUNCTION("""COMPUTED_VALUE"""),0.0)</f>
        <v>0</v>
      </c>
      <c r="F61" s="417">
        <f>IFERROR(__xludf.DUMMYFUNCTION("""COMPUTED_VALUE"""),3.0)</f>
        <v>3</v>
      </c>
      <c r="G61" s="418" t="str">
        <f>IFERROR(__xludf.DUMMYFUNCTION("""COMPUTED_VALUE"""),"Rp17,0JT")</f>
        <v>Rp17,0JT</v>
      </c>
      <c r="H61" s="419"/>
      <c r="I61" s="420"/>
      <c r="J61" s="421"/>
      <c r="K61" s="422" t="str">
        <f>IFERROR(__xludf.DUMMYFUNCTION("""COMPUTED_VALUE"""),"https://vt.tiktok.com/ZSukQRtQH/")</f>
        <v>https://vt.tiktok.com/ZSukQRtQH/</v>
      </c>
      <c r="L61" s="419"/>
      <c r="M61" s="422" t="str">
        <f>IFERROR(__xludf.DUMMYFUNCTION("""COMPUTED_VALUE"""),"https://www.tiktok.com/@dianaputri715/video/7628080076357225746?_r=1&amp;u_code=d701ei55cajal2&amp;region=&amp;mid=7572626763932764176&amp;preview_pb=0&amp;sharer_language=&amp;_d=0&amp;ec_shared_reflux_dynamic_params=%7B%22placeholder_material_id%22%3A%227628080076357225746%22%2C%2"&amp;"2placeholder_origin_cover%22%3A%22https%253A%252F%252Fp19-common-sign.tiktokcdn.com%252Ftos-alisg-p-0037%252FooDvxEiBIQY3NFRECUIffwzntxggBRg6cpQGAB~tplv-tiktokx-origin.jpeg%253Fdr%253D14572%2526refresh_token%253Dfb22aace%2526x-expires%253D1811570400%2526x"&amp;"-signature%253DncsV9jAI4dFkhrLI30B1vHNdGM8%25253D%2526t%253D4d5b0474%2526ps%253D13740610%2526shp%253Dd05b14bd%2526shcp%253D34ff8df6%2526idc%253Dmy%2526s%253DTIKTOK_AFFILIATE_VIRAL_VIDEO%22%2C%22placeholder_product_id%22%3A%221729921275998997399%22%2C%22pl"&amp;"aceholder_video_id%22%3A%227628080076357225746%22%7D&amp;ec_shared_reflux_scene=shop_tab_feed&amp;share_item_id=7628080076357225746&amp;source=h5_t")</f>
        <v>https://www.tiktok.com/@dianaputri715/video/7628080076357225746?_r=1&amp;u_code=d701ei55cajal2&amp;region=&amp;mid=7572626763932764176&amp;preview_pb=0&amp;sharer_language=&amp;_d=0&amp;ec_shared_reflux_dynamic_params=%7B%22placeholder_material_id%22%3A%227628080076357225746%22%2C%22placeholder_origin_cover%22%3A%22https%253A%252F%252Fp19-common-sign.tiktokcdn.com%252Ftos-alisg-p-0037%252FooDvxEiBIQY3NFRECUIffwzntxggBRg6cpQGAB~tplv-tiktokx-origin.jpeg%253Fdr%253D14572%2526refresh_token%253Dfb22aace%2526x-expires%253D1811570400%2526x-signature%253DncsV9jAI4dFkhrLI30B1vHNdGM8%25253D%2526t%253D4d5b0474%2526ps%253D13740610%2526shp%253Dd05b14bd%2526shcp%253D34ff8df6%2526idc%253Dmy%2526s%253DTIKTOK_AFFILIATE_VIRAL_VIDEO%22%2C%22placeholder_product_id%22%3A%221729921275998997399%22%2C%22placeholder_video_id%22%3A%227628080076357225746%22%7D&amp;ec_shared_reflux_scene=shop_tab_feed&amp;share_item_id=7628080076357225746&amp;source=h5_t</v>
      </c>
      <c r="N61" s="419"/>
      <c r="O61" s="423"/>
      <c r="P61" s="419"/>
      <c r="Q61" s="423"/>
      <c r="R61" s="424">
        <f>IFERROR(__xludf.DUMMYFUNCTION("""COMPUTED_VALUE"""),0.0)</f>
        <v>0</v>
      </c>
      <c r="S61" s="424">
        <f>IFERROR(__xludf.DUMMYFUNCTION("""COMPUTED_VALUE"""),0.0)</f>
        <v>0</v>
      </c>
      <c r="T61" s="425">
        <f>IFERROR(__xludf.DUMMYFUNCTION("""COMPUTED_VALUE"""),0.0)</f>
        <v>0</v>
      </c>
      <c r="U61" s="425">
        <f>IFERROR(__xludf.DUMMYFUNCTION("""COMPUTED_VALUE"""),0.0)</f>
        <v>0</v>
      </c>
    </row>
    <row r="62" ht="15.75" hidden="1" customHeight="1">
      <c r="A62" s="412" t="str">
        <f>IFERROR(__xludf.DUMMYFUNCTION("""COMPUTED_VALUE"""),"NANO")</f>
        <v>NANO</v>
      </c>
      <c r="B62" s="415" t="str">
        <f>IFERROR(__xludf.DUMMYFUNCTION("""COMPUTED_VALUE"""),"nelaa574")</f>
        <v>nelaa574</v>
      </c>
      <c r="C62" s="414" t="str">
        <f>IFERROR(__xludf.DUMMYFUNCTION("""COMPUTED_VALUE"""),"https://www.tiktok.com/@nelaa574")</f>
        <v>https://www.tiktok.com/@nelaa574</v>
      </c>
      <c r="D62" s="415">
        <f>IFERROR(__xludf.DUMMYFUNCTION("""COMPUTED_VALUE"""),8.8238551501E10)</f>
        <v>88238551501</v>
      </c>
      <c r="E62" s="416">
        <f>IFERROR(__xludf.DUMMYFUNCTION("""COMPUTED_VALUE"""),0.0)</f>
        <v>0</v>
      </c>
      <c r="F62" s="417">
        <f>IFERROR(__xludf.DUMMYFUNCTION("""COMPUTED_VALUE"""),3.0)</f>
        <v>3</v>
      </c>
      <c r="G62" s="418" t="str">
        <f>IFERROR(__xludf.DUMMYFUNCTION("""COMPUTED_VALUE"""),"Rp8,3JT")</f>
        <v>Rp8,3JT</v>
      </c>
      <c r="H62" s="419"/>
      <c r="I62" s="420"/>
      <c r="J62" s="421"/>
      <c r="K62" s="422" t="str">
        <f>IFERROR(__xludf.DUMMYFUNCTION("""COMPUTED_VALUE"""),"https://vt.tiktok.com/ZSmwHqjFU/")</f>
        <v>https://vt.tiktok.com/ZSmwHqjFU/</v>
      </c>
      <c r="L62" s="419"/>
      <c r="M62" s="422" t="str">
        <f>IFERROR(__xludf.DUMMYFUNCTION("""COMPUTED_VALUE"""),"https://vt.tiktok.com/ZSuk4HMrF/")</f>
        <v>https://vt.tiktok.com/ZSuk4HMrF/</v>
      </c>
      <c r="N62" s="419"/>
      <c r="O62" s="422" t="str">
        <f>IFERROR(__xludf.DUMMYFUNCTION("""COMPUTED_VALUE"""),"https://vt.tiktok.com/ZSuXfesJt/")</f>
        <v>https://vt.tiktok.com/ZSuXfesJt/</v>
      </c>
      <c r="P62" s="419"/>
      <c r="Q62" s="423"/>
      <c r="R62" s="424">
        <f>IFERROR(__xludf.DUMMYFUNCTION("""COMPUTED_VALUE"""),0.0)</f>
        <v>0</v>
      </c>
      <c r="S62" s="424">
        <f>IFERROR(__xludf.DUMMYFUNCTION("""COMPUTED_VALUE"""),0.0)</f>
        <v>0</v>
      </c>
      <c r="T62" s="425">
        <f>IFERROR(__xludf.DUMMYFUNCTION("""COMPUTED_VALUE"""),0.0)</f>
        <v>0</v>
      </c>
      <c r="U62" s="425">
        <f>IFERROR(__xludf.DUMMYFUNCTION("""COMPUTED_VALUE"""),0.0)</f>
        <v>0</v>
      </c>
    </row>
    <row r="63" ht="15.75" hidden="1" customHeight="1">
      <c r="A63" s="412" t="str">
        <f>IFERROR(__xludf.DUMMYFUNCTION("""COMPUTED_VALUE"""),"NANO")</f>
        <v>NANO</v>
      </c>
      <c r="B63" s="415" t="str">
        <f>IFERROR(__xludf.DUMMYFUNCTION("""COMPUTED_VALUE"""),"Mariaalalamakeup")</f>
        <v>Mariaalalamakeup</v>
      </c>
      <c r="C63" s="414" t="str">
        <f>IFERROR(__xludf.DUMMYFUNCTION("""COMPUTED_VALUE"""),"https://www.tiktok.com/@Mariaalalamakeup")</f>
        <v>https://www.tiktok.com/@Mariaalalamakeup</v>
      </c>
      <c r="D63" s="415">
        <f>IFERROR(__xludf.DUMMYFUNCTION("""COMPUTED_VALUE"""),8.7881762383E10)</f>
        <v>87881762383</v>
      </c>
      <c r="E63" s="416">
        <f>IFERROR(__xludf.DUMMYFUNCTION("""COMPUTED_VALUE"""),0.0)</f>
        <v>0</v>
      </c>
      <c r="F63" s="417">
        <f>IFERROR(__xludf.DUMMYFUNCTION("""COMPUTED_VALUE"""),3.0)</f>
        <v>3</v>
      </c>
      <c r="G63" s="418" t="str">
        <f>IFERROR(__xludf.DUMMYFUNCTION("""COMPUTED_VALUE"""),"Rp39,3JT")</f>
        <v>Rp39,3JT</v>
      </c>
      <c r="H63" s="419"/>
      <c r="I63" s="420"/>
      <c r="J63" s="421"/>
      <c r="K63" s="422" t="str">
        <f>IFERROR(__xludf.DUMMYFUNCTION("""COMPUTED_VALUE"""),"https://vt.tiktok.com/ZSHUGqkGe/")</f>
        <v>https://vt.tiktok.com/ZSHUGqkGe/</v>
      </c>
      <c r="L63" s="419"/>
      <c r="M63" s="422" t="str">
        <f>IFERROR(__xludf.DUMMYFUNCTION("""COMPUTED_VALUE"""),"https://vt.tiktok.com/ZSHqTXvf9/")</f>
        <v>https://vt.tiktok.com/ZSHqTXvf9/</v>
      </c>
      <c r="N63" s="419"/>
      <c r="O63" s="422" t="str">
        <f>IFERROR(__xludf.DUMMYFUNCTION("""COMPUTED_VALUE"""),"https://www.tiktok.com/@mariaalalamakeup/video/7615854462317513991?is_from_webapp=1&amp;sender_device=pc")</f>
        <v>https://www.tiktok.com/@mariaalalamakeup/video/7615854462317513991?is_from_webapp=1&amp;sender_device=pc</v>
      </c>
      <c r="P63" s="419"/>
      <c r="Q63" s="423"/>
      <c r="R63" s="424">
        <f>IFERROR(__xludf.DUMMYFUNCTION("""COMPUTED_VALUE"""),0.0)</f>
        <v>0</v>
      </c>
      <c r="S63" s="424">
        <f>IFERROR(__xludf.DUMMYFUNCTION("""COMPUTED_VALUE"""),0.0)</f>
        <v>0</v>
      </c>
      <c r="T63" s="425">
        <f>IFERROR(__xludf.DUMMYFUNCTION("""COMPUTED_VALUE"""),0.0)</f>
        <v>0</v>
      </c>
      <c r="U63" s="425">
        <f>IFERROR(__xludf.DUMMYFUNCTION("""COMPUTED_VALUE"""),0.0)</f>
        <v>0</v>
      </c>
    </row>
    <row r="64" ht="15.75" hidden="1" customHeight="1">
      <c r="A64" s="412" t="str">
        <f>IFERROR(__xludf.DUMMYFUNCTION("""COMPUTED_VALUE"""),"NANO")</f>
        <v>NANO</v>
      </c>
      <c r="B64" s="415" t="str">
        <f>IFERROR(__xludf.DUMMYFUNCTION("""COMPUTED_VALUE"""),"rkmyng")</f>
        <v>rkmyng</v>
      </c>
      <c r="C64" s="414" t="str">
        <f>IFERROR(__xludf.DUMMYFUNCTION("""COMPUTED_VALUE"""),"https://www.tiktok.com/@rkmyng")</f>
        <v>https://www.tiktok.com/@rkmyng</v>
      </c>
      <c r="D64" s="415">
        <f>IFERROR(__xludf.DUMMYFUNCTION("""COMPUTED_VALUE"""),8.3121817656E10)</f>
        <v>83121817656</v>
      </c>
      <c r="E64" s="416">
        <f>IFERROR(__xludf.DUMMYFUNCTION("""COMPUTED_VALUE"""),0.0)</f>
        <v>0</v>
      </c>
      <c r="F64" s="417">
        <f>IFERROR(__xludf.DUMMYFUNCTION("""COMPUTED_VALUE"""),3.0)</f>
        <v>3</v>
      </c>
      <c r="G64" s="418" t="str">
        <f>IFERROR(__xludf.DUMMYFUNCTION("""COMPUTED_VALUE"""),"Rp37,7JT")</f>
        <v>Rp37,7JT</v>
      </c>
      <c r="H64" s="419"/>
      <c r="I64" s="420"/>
      <c r="J64" s="421"/>
      <c r="K64" s="422" t="str">
        <f>IFERROR(__xludf.DUMMYFUNCTION("""COMPUTED_VALUE"""),"https://vt.tiktok.com/ZSmccQMyW/")</f>
        <v>https://vt.tiktok.com/ZSmccQMyW/</v>
      </c>
      <c r="L64" s="419"/>
      <c r="M64" s="422" t="str">
        <f>IFERROR(__xludf.DUMMYFUNCTION("""COMPUTED_VALUE"""),"https://vt.tiktok.com/ZSuQ63bHW/")</f>
        <v>https://vt.tiktok.com/ZSuQ63bHW/</v>
      </c>
      <c r="N64" s="419"/>
      <c r="O64" s="423"/>
      <c r="P64" s="419"/>
      <c r="Q64" s="423"/>
      <c r="R64" s="424">
        <f>IFERROR(__xludf.DUMMYFUNCTION("""COMPUTED_VALUE"""),0.0)</f>
        <v>0</v>
      </c>
      <c r="S64" s="424">
        <f>IFERROR(__xludf.DUMMYFUNCTION("""COMPUTED_VALUE"""),0.0)</f>
        <v>0</v>
      </c>
      <c r="T64" s="425">
        <f>IFERROR(__xludf.DUMMYFUNCTION("""COMPUTED_VALUE"""),0.0)</f>
        <v>0</v>
      </c>
      <c r="U64" s="425">
        <f>IFERROR(__xludf.DUMMYFUNCTION("""COMPUTED_VALUE"""),0.0)</f>
        <v>0</v>
      </c>
    </row>
    <row r="65" ht="15.75" hidden="1" customHeight="1">
      <c r="A65" s="412" t="str">
        <f>IFERROR(__xludf.DUMMYFUNCTION("""COMPUTED_VALUE"""),"MICRO")</f>
        <v>MICRO</v>
      </c>
      <c r="B65" s="415" t="str">
        <f>IFERROR(__xludf.DUMMYFUNCTION("""COMPUTED_VALUE"""),"underthesamemoonnn")</f>
        <v>underthesamemoonnn</v>
      </c>
      <c r="C65" s="414" t="str">
        <f>IFERROR(__xludf.DUMMYFUNCTION("""COMPUTED_VALUE"""),"https://www.tiktok.com/@underthesamemoonnn")</f>
        <v>https://www.tiktok.com/@underthesamemoonnn</v>
      </c>
      <c r="D65" s="415">
        <f>IFERROR(__xludf.DUMMYFUNCTION("""COMPUTED_VALUE"""),8.3128364378E10)</f>
        <v>83128364378</v>
      </c>
      <c r="E65" s="416">
        <f>IFERROR(__xludf.DUMMYFUNCTION("""COMPUTED_VALUE"""),0.0)</f>
        <v>0</v>
      </c>
      <c r="F65" s="417">
        <f>IFERROR(__xludf.DUMMYFUNCTION("""COMPUTED_VALUE"""),1.0)</f>
        <v>1</v>
      </c>
      <c r="G65" s="418" t="str">
        <f>IFERROR(__xludf.DUMMYFUNCTION("""COMPUTED_VALUE"""),"Rp1JT")</f>
        <v>Rp1JT</v>
      </c>
      <c r="H65" s="419"/>
      <c r="I65" s="420"/>
      <c r="J65" s="421"/>
      <c r="K65" s="422" t="str">
        <f>IFERROR(__xludf.DUMMYFUNCTION("""COMPUTED_VALUE"""),"https://vt.tiktok.com/ZSuBy8otV/")</f>
        <v>https://vt.tiktok.com/ZSuBy8otV/</v>
      </c>
      <c r="L65" s="419"/>
      <c r="M65" s="423"/>
      <c r="N65" s="419"/>
      <c r="O65" s="423"/>
      <c r="P65" s="419"/>
      <c r="Q65" s="423"/>
      <c r="R65" s="424">
        <f>IFERROR(__xludf.DUMMYFUNCTION("""COMPUTED_VALUE"""),0.0)</f>
        <v>0</v>
      </c>
      <c r="S65" s="424">
        <f>IFERROR(__xludf.DUMMYFUNCTION("""COMPUTED_VALUE"""),0.0)</f>
        <v>0</v>
      </c>
      <c r="T65" s="425">
        <f>IFERROR(__xludf.DUMMYFUNCTION("""COMPUTED_VALUE"""),0.0)</f>
        <v>0</v>
      </c>
      <c r="U65" s="425">
        <f>IFERROR(__xludf.DUMMYFUNCTION("""COMPUTED_VALUE"""),0.0)</f>
        <v>0</v>
      </c>
    </row>
    <row r="66" ht="15.75" hidden="1" customHeight="1">
      <c r="A66" s="412" t="str">
        <f>IFERROR(__xludf.DUMMYFUNCTION("""COMPUTED_VALUE"""),"MICRO")</f>
        <v>MICRO</v>
      </c>
      <c r="B66" s="415" t="str">
        <f>IFERROR(__xludf.DUMMYFUNCTION("""COMPUTED_VALUE"""),"epay.y_")</f>
        <v>epay.y_</v>
      </c>
      <c r="C66" s="414" t="str">
        <f>IFERROR(__xludf.DUMMYFUNCTION("""COMPUTED_VALUE"""),"https://www.tiktok.com/@epay.y_")</f>
        <v>https://www.tiktok.com/@epay.y_</v>
      </c>
      <c r="D66" s="415"/>
      <c r="E66" s="416">
        <f>IFERROR(__xludf.DUMMYFUNCTION("""COMPUTED_VALUE"""),0.0)</f>
        <v>0</v>
      </c>
      <c r="F66" s="417">
        <f>IFERROR(__xludf.DUMMYFUNCTION("""COMPUTED_VALUE"""),3.0)</f>
        <v>3</v>
      </c>
      <c r="G66" s="418" t="str">
        <f>IFERROR(__xludf.DUMMYFUNCTION("""COMPUTED_VALUE"""),"Rp386RB")</f>
        <v>Rp386RB</v>
      </c>
      <c r="H66" s="419"/>
      <c r="I66" s="420"/>
      <c r="J66" s="421"/>
      <c r="K66" s="422" t="str">
        <f>IFERROR(__xludf.DUMMYFUNCTION("""COMPUTED_VALUE"""),"https://vt.tiktok.com/ZSHjYBBdW/")</f>
        <v>https://vt.tiktok.com/ZSHjYBBdW/</v>
      </c>
      <c r="L66" s="419"/>
      <c r="M66" s="422" t="str">
        <f>IFERROR(__xludf.DUMMYFUNCTION("""COMPUTED_VALUE"""),"https://vt.tiktok.com/ZSHuVkF4d/")</f>
        <v>https://vt.tiktok.com/ZSHuVkF4d/</v>
      </c>
      <c r="N66" s="419"/>
      <c r="O66" s="422" t="str">
        <f>IFERROR(__xludf.DUMMYFUNCTION("""COMPUTED_VALUE"""),"https://vt.tiktok.com/ZS9ptjMUx/")</f>
        <v>https://vt.tiktok.com/ZS9ptjMUx/</v>
      </c>
      <c r="P66" s="419"/>
      <c r="Q66" s="423"/>
      <c r="R66" s="424">
        <f>IFERROR(__xludf.DUMMYFUNCTION("""COMPUTED_VALUE"""),0.0)</f>
        <v>0</v>
      </c>
      <c r="S66" s="424">
        <f>IFERROR(__xludf.DUMMYFUNCTION("""COMPUTED_VALUE"""),0.0)</f>
        <v>0</v>
      </c>
      <c r="T66" s="425">
        <f>IFERROR(__xludf.DUMMYFUNCTION("""COMPUTED_VALUE"""),0.0)</f>
        <v>0</v>
      </c>
      <c r="U66" s="425">
        <f>IFERROR(__xludf.DUMMYFUNCTION("""COMPUTED_VALUE"""),0.0)</f>
        <v>0</v>
      </c>
    </row>
    <row r="67" ht="15.75" hidden="1" customHeight="1">
      <c r="A67" s="412" t="str">
        <f>IFERROR(__xludf.DUMMYFUNCTION("""COMPUTED_VALUE"""),"MICRO")</f>
        <v>MICRO</v>
      </c>
      <c r="B67" s="415" t="str">
        <f>IFERROR(__xludf.DUMMYFUNCTION("""COMPUTED_VALUE"""),"cikakrnisa13")</f>
        <v>cikakrnisa13</v>
      </c>
      <c r="C67" s="414" t="str">
        <f>IFERROR(__xludf.DUMMYFUNCTION("""COMPUTED_VALUE"""),"https://www.tiktok.com/@cikakrnisa13")</f>
        <v>https://www.tiktok.com/@cikakrnisa13</v>
      </c>
      <c r="D67" s="415"/>
      <c r="E67" s="416">
        <f>IFERROR(__xludf.DUMMYFUNCTION("""COMPUTED_VALUE"""),0.0)</f>
        <v>0</v>
      </c>
      <c r="F67" s="417">
        <f>IFERROR(__xludf.DUMMYFUNCTION("""COMPUTED_VALUE"""),3.0)</f>
        <v>3</v>
      </c>
      <c r="G67" s="418" t="str">
        <f>IFERROR(__xludf.DUMMYFUNCTION("""COMPUTED_VALUE"""),"Rp1JT+")</f>
        <v>Rp1JT+</v>
      </c>
      <c r="H67" s="419"/>
      <c r="I67" s="420"/>
      <c r="J67" s="421"/>
      <c r="K67" s="423"/>
      <c r="L67" s="419"/>
      <c r="M67" s="423"/>
      <c r="N67" s="419"/>
      <c r="O67" s="423"/>
      <c r="P67" s="419"/>
      <c r="Q67" s="423"/>
      <c r="R67" s="424">
        <f>IFERROR(__xludf.DUMMYFUNCTION("""COMPUTED_VALUE"""),0.0)</f>
        <v>0</v>
      </c>
      <c r="S67" s="424">
        <f>IFERROR(__xludf.DUMMYFUNCTION("""COMPUTED_VALUE"""),0.0)</f>
        <v>0</v>
      </c>
      <c r="T67" s="425">
        <f>IFERROR(__xludf.DUMMYFUNCTION("""COMPUTED_VALUE"""),0.0)</f>
        <v>0</v>
      </c>
      <c r="U67" s="425">
        <f>IFERROR(__xludf.DUMMYFUNCTION("""COMPUTED_VALUE"""),0.0)</f>
        <v>0</v>
      </c>
    </row>
    <row r="68" ht="15.75" hidden="1" customHeight="1">
      <c r="A68" s="412" t="str">
        <f>IFERROR(__xludf.DUMMYFUNCTION("""COMPUTED_VALUE"""),"MICRO")</f>
        <v>MICRO</v>
      </c>
      <c r="B68" s="415" t="str">
        <f>IFERROR(__xludf.DUMMYFUNCTION("""COMPUTED_VALUE"""),"vivikimss")</f>
        <v>vivikimss</v>
      </c>
      <c r="C68" s="414" t="str">
        <f>IFERROR(__xludf.DUMMYFUNCTION("""COMPUTED_VALUE"""),"https://www.tiktok.com/@vivikimss")</f>
        <v>https://www.tiktok.com/@vivikimss</v>
      </c>
      <c r="D68" s="415"/>
      <c r="E68" s="416">
        <f>IFERROR(__xludf.DUMMYFUNCTION("""COMPUTED_VALUE"""),0.0)</f>
        <v>0</v>
      </c>
      <c r="F68" s="417">
        <f>IFERROR(__xludf.DUMMYFUNCTION("""COMPUTED_VALUE"""),3.0)</f>
        <v>3</v>
      </c>
      <c r="G68" s="418" t="str">
        <f>IFERROR(__xludf.DUMMYFUNCTION("""COMPUTED_VALUE"""),"Rp487,4RB")</f>
        <v>Rp487,4RB</v>
      </c>
      <c r="H68" s="419"/>
      <c r="I68" s="420"/>
      <c r="J68" s="421"/>
      <c r="K68" s="422" t="str">
        <f>IFERROR(__xludf.DUMMYFUNCTION("""COMPUTED_VALUE"""),"https://vt.tiktok.com/ZSuj9v7TD/")</f>
        <v>https://vt.tiktok.com/ZSuj9v7TD/</v>
      </c>
      <c r="L68" s="419"/>
      <c r="M68" s="422" t="str">
        <f>IFERROR(__xludf.DUMMYFUNCTION("""COMPUTED_VALUE"""),"https://vt.tiktok.com/ZSuSHXTfJ/")</f>
        <v>https://vt.tiktok.com/ZSuSHXTfJ/</v>
      </c>
      <c r="N68" s="419"/>
      <c r="O68" s="422" t="str">
        <f>IFERROR(__xludf.DUMMYFUNCTION("""COMPUTED_VALUE"""),"https://vt.tiktok.com/ZSuuoGgu7/")</f>
        <v>https://vt.tiktok.com/ZSuuoGgu7/</v>
      </c>
      <c r="P68" s="419"/>
      <c r="Q68" s="423"/>
      <c r="R68" s="424">
        <f>IFERROR(__xludf.DUMMYFUNCTION("""COMPUTED_VALUE"""),0.0)</f>
        <v>0</v>
      </c>
      <c r="S68" s="424">
        <f>IFERROR(__xludf.DUMMYFUNCTION("""COMPUTED_VALUE"""),0.0)</f>
        <v>0</v>
      </c>
      <c r="T68" s="425">
        <f>IFERROR(__xludf.DUMMYFUNCTION("""COMPUTED_VALUE"""),0.0)</f>
        <v>0</v>
      </c>
      <c r="U68" s="425">
        <f>IFERROR(__xludf.DUMMYFUNCTION("""COMPUTED_VALUE"""),0.0)</f>
        <v>0</v>
      </c>
    </row>
    <row r="69" ht="15.75" hidden="1" customHeight="1">
      <c r="A69" s="412" t="str">
        <f>IFERROR(__xludf.DUMMYFUNCTION("""COMPUTED_VALUE"""),"MICRO")</f>
        <v>MICRO</v>
      </c>
      <c r="B69" s="415" t="str">
        <f>IFERROR(__xludf.DUMMYFUNCTION("""COMPUTED_VALUE"""),"nandajeliss")</f>
        <v>nandajeliss</v>
      </c>
      <c r="C69" s="414" t="str">
        <f>IFERROR(__xludf.DUMMYFUNCTION("""COMPUTED_VALUE"""),"https://www.tiktok.com/@nandajeliss")</f>
        <v>https://www.tiktok.com/@nandajeliss</v>
      </c>
      <c r="D69" s="415"/>
      <c r="E69" s="416">
        <f>IFERROR(__xludf.DUMMYFUNCTION("""COMPUTED_VALUE"""),0.0)</f>
        <v>0</v>
      </c>
      <c r="F69" s="417">
        <f>IFERROR(__xludf.DUMMYFUNCTION("""COMPUTED_VALUE"""),2.0)</f>
        <v>2</v>
      </c>
      <c r="G69" s="418" t="str">
        <f>IFERROR(__xludf.DUMMYFUNCTION("""COMPUTED_VALUE"""),"Rp9,3JT")</f>
        <v>Rp9,3JT</v>
      </c>
      <c r="H69" s="419"/>
      <c r="I69" s="420"/>
      <c r="J69" s="421"/>
      <c r="K69" s="426" t="str">
        <f>IFERROR(__xludf.DUMMYFUNCTION("""COMPUTED_VALUE"""),"https://vt.tiktok.com/ZSuj9WeT7/")</f>
        <v>https://vt.tiktok.com/ZSuj9WeT7/</v>
      </c>
      <c r="L69" s="419"/>
      <c r="M69" s="422" t="str">
        <f>IFERROR(__xludf.DUMMYFUNCTION("""COMPUTED_VALUE"""),"https://vt.tiktok.com/ZSurhUSN5/")</f>
        <v>https://vt.tiktok.com/ZSurhUSN5/</v>
      </c>
      <c r="N69" s="419"/>
      <c r="O69" s="422" t="str">
        <f>IFERROR(__xludf.DUMMYFUNCTION("""COMPUTED_VALUE"""),"https://www.tiktok.com/@nandajeliss/video/7634119999656856850?_r=1&amp;u_code=e764lld7374f0j&amp;region=&amp;mid=7576314167990585361&amp;preview_pb=0&amp;sharer_language=&amp;_d=0&amp;ec_shared_reflux_dynamic_params=%7B%22placeholder_material_id%22%3A%227634119999656856850%22%2C%22p"&amp;"laceholder_origin_cover%22%3A%22https%253A%252F%252Fp16-common-sign.tiktokcdn.com%252Ftos-alisg-p-0037%252FokIRyeiTYu8R3xU7EVu31NgIBfARiBAxQBcpOI~tplv-tiktokx-origin.jpeg%253Fdr%253D14572%2526refresh_token%253D7d9445d3%2526x-expires%253D1811577600%2526x-s"&amp;"ignature%253D1k5nBgPcSAzA7bA2SIAArFrPmFY%25253D%2526t%253D4d5b0474%2526ps%253D13740610%2526shp%253Dd05b14bd%2526shcp%253D34ff8df6%2526idc%253Dmy%2526s%253DTIKTOK_AFFILIATE_VIRAL_VIDEO%22%2C%22placeholder_product_id%22%3A%221729921275998997399%22%2C%22plac"&amp;"eholder_video_id%22%3A%227634119999656856850%22%7D&amp;ec_shared_reflux_scene=shop_tab_feed&amp;share_item_id=7634119999656856850&amp;source=h5_t")</f>
        <v>https://www.tiktok.com/@nandajeliss/video/7634119999656856850?_r=1&amp;u_code=e764lld7374f0j&amp;region=&amp;mid=7576314167990585361&amp;preview_pb=0&amp;sharer_language=&amp;_d=0&amp;ec_shared_reflux_dynamic_params=%7B%22placeholder_material_id%22%3A%227634119999656856850%22%2C%22placeholder_origin_cover%22%3A%22https%253A%252F%252Fp16-common-sign.tiktokcdn.com%252Ftos-alisg-p-0037%252FokIRyeiTYu8R3xU7EVu31NgIBfARiBAxQBcpOI~tplv-tiktokx-origin.jpeg%253Fdr%253D14572%2526refresh_token%253D7d9445d3%2526x-expires%253D1811577600%2526x-signature%253D1k5nBgPcSAzA7bA2SIAArFrPmFY%25253D%2526t%253D4d5b0474%2526ps%253D13740610%2526shp%253Dd05b14bd%2526shcp%253D34ff8df6%2526idc%253Dmy%2526s%253DTIKTOK_AFFILIATE_VIRAL_VIDEO%22%2C%22placeholder_product_id%22%3A%221729921275998997399%22%2C%22placeholder_video_id%22%3A%227634119999656856850%22%7D&amp;ec_shared_reflux_scene=shop_tab_feed&amp;share_item_id=7634119999656856850&amp;source=h5_t</v>
      </c>
      <c r="P69" s="419"/>
      <c r="Q69" s="423"/>
      <c r="R69" s="424">
        <f>IFERROR(__xludf.DUMMYFUNCTION("""COMPUTED_VALUE"""),0.0)</f>
        <v>0</v>
      </c>
      <c r="S69" s="424">
        <f>IFERROR(__xludf.DUMMYFUNCTION("""COMPUTED_VALUE"""),0.0)</f>
        <v>0</v>
      </c>
      <c r="T69" s="425">
        <f>IFERROR(__xludf.DUMMYFUNCTION("""COMPUTED_VALUE"""),0.0)</f>
        <v>0</v>
      </c>
      <c r="U69" s="425">
        <f>IFERROR(__xludf.DUMMYFUNCTION("""COMPUTED_VALUE"""),0.0)</f>
        <v>0</v>
      </c>
    </row>
    <row r="70" ht="15.75" hidden="1" customHeight="1">
      <c r="A70" s="412" t="str">
        <f>IFERROR(__xludf.DUMMYFUNCTION("""COMPUTED_VALUE"""),"NANO")</f>
        <v>NANO</v>
      </c>
      <c r="B70" s="415" t="str">
        <f>IFERROR(__xludf.DUMMYFUNCTION("""COMPUTED_VALUE"""),"wafimsyarfh_")</f>
        <v>wafimsyarfh_</v>
      </c>
      <c r="C70" s="414" t="str">
        <f>IFERROR(__xludf.DUMMYFUNCTION("""COMPUTED_VALUE"""),"https://www.tiktok.com/@wafimsyarfh_")</f>
        <v>https://www.tiktok.com/@wafimsyarfh_</v>
      </c>
      <c r="D70" s="415">
        <f>IFERROR(__xludf.DUMMYFUNCTION("""COMPUTED_VALUE"""),8.8218094348E10)</f>
        <v>88218094348</v>
      </c>
      <c r="E70" s="416">
        <f>IFERROR(__xludf.DUMMYFUNCTION("""COMPUTED_VALUE"""),0.0)</f>
        <v>0</v>
      </c>
      <c r="F70" s="417">
        <f>IFERROR(__xludf.DUMMYFUNCTION("""COMPUTED_VALUE"""),1.0)</f>
        <v>1</v>
      </c>
      <c r="G70" s="418" t="str">
        <f>IFERROR(__xludf.DUMMYFUNCTION("""COMPUTED_VALUE"""),"Rp30,6JT")</f>
        <v>Rp30,6JT</v>
      </c>
      <c r="H70" s="419"/>
      <c r="I70" s="420"/>
      <c r="J70" s="421"/>
      <c r="K70" s="423"/>
      <c r="L70" s="419"/>
      <c r="M70" s="423"/>
      <c r="N70" s="419"/>
      <c r="O70" s="423"/>
      <c r="P70" s="419"/>
      <c r="Q70" s="423"/>
      <c r="R70" s="424">
        <f>IFERROR(__xludf.DUMMYFUNCTION("""COMPUTED_VALUE"""),0.0)</f>
        <v>0</v>
      </c>
      <c r="S70" s="424">
        <f>IFERROR(__xludf.DUMMYFUNCTION("""COMPUTED_VALUE"""),0.0)</f>
        <v>0</v>
      </c>
      <c r="T70" s="425">
        <f>IFERROR(__xludf.DUMMYFUNCTION("""COMPUTED_VALUE"""),0.0)</f>
        <v>0</v>
      </c>
      <c r="U70" s="425">
        <f>IFERROR(__xludf.DUMMYFUNCTION("""COMPUTED_VALUE"""),0.0)</f>
        <v>0</v>
      </c>
    </row>
    <row r="71" ht="15.75" hidden="1" customHeight="1">
      <c r="A71" s="412" t="str">
        <f>IFERROR(__xludf.DUMMYFUNCTION("""COMPUTED_VALUE"""),"MICRO")</f>
        <v>MICRO</v>
      </c>
      <c r="B71" s="415" t="str">
        <f>IFERROR(__xludf.DUMMYFUNCTION("""COMPUTED_VALUE"""),"seli.desi.liani")</f>
        <v>seli.desi.liani</v>
      </c>
      <c r="C71" s="414" t="str">
        <f>IFERROR(__xludf.DUMMYFUNCTION("""COMPUTED_VALUE"""),"https://www.tiktok.com/@seli.desi.liani")</f>
        <v>https://www.tiktok.com/@seli.desi.liani</v>
      </c>
      <c r="D71" s="415">
        <f>IFERROR(__xludf.DUMMYFUNCTION("""COMPUTED_VALUE"""),8.95361055479E11)</f>
        <v>895361055479</v>
      </c>
      <c r="E71" s="416">
        <f>IFERROR(__xludf.DUMMYFUNCTION("""COMPUTED_VALUE"""),0.0)</f>
        <v>0</v>
      </c>
      <c r="F71" s="417">
        <f>IFERROR(__xludf.DUMMYFUNCTION("""COMPUTED_VALUE"""),2.0)</f>
        <v>2</v>
      </c>
      <c r="G71" s="418" t="str">
        <f>IFERROR(__xludf.DUMMYFUNCTION("""COMPUTED_VALUE"""),"Rp50RB-Rp100RB")</f>
        <v>Rp50RB-Rp100RB</v>
      </c>
      <c r="H71" s="419"/>
      <c r="I71" s="420"/>
      <c r="J71" s="421"/>
      <c r="K71" s="426" t="str">
        <f>IFERROR(__xludf.DUMMYFUNCTION("""COMPUTED_VALUE"""),"https://vt.tiktok.com/ZSm3Lh1GT/")</f>
        <v>https://vt.tiktok.com/ZSm3Lh1GT/</v>
      </c>
      <c r="L71" s="419"/>
      <c r="M71" s="422" t="str">
        <f>IFERROR(__xludf.DUMMYFUNCTION("""COMPUTED_VALUE"""),"https://vt.tiktok.com/ZSuHRKe6S/")</f>
        <v>https://vt.tiktok.com/ZSuHRKe6S/</v>
      </c>
      <c r="N71" s="419"/>
      <c r="O71" s="423"/>
      <c r="P71" s="419"/>
      <c r="Q71" s="423"/>
      <c r="R71" s="424">
        <f>IFERROR(__xludf.DUMMYFUNCTION("""COMPUTED_VALUE"""),0.0)</f>
        <v>0</v>
      </c>
      <c r="S71" s="424">
        <f>IFERROR(__xludf.DUMMYFUNCTION("""COMPUTED_VALUE"""),0.0)</f>
        <v>0</v>
      </c>
      <c r="T71" s="425">
        <f>IFERROR(__xludf.DUMMYFUNCTION("""COMPUTED_VALUE"""),0.0)</f>
        <v>0</v>
      </c>
      <c r="U71" s="425">
        <f>IFERROR(__xludf.DUMMYFUNCTION("""COMPUTED_VALUE"""),0.0)</f>
        <v>0</v>
      </c>
    </row>
    <row r="72" ht="15.75" hidden="1" customHeight="1">
      <c r="A72" s="412" t="str">
        <f>IFERROR(__xludf.DUMMYFUNCTION("""COMPUTED_VALUE"""),"MACRO")</f>
        <v>MACRO</v>
      </c>
      <c r="B72" s="415" t="str">
        <f>IFERROR(__xludf.DUMMYFUNCTION("""COMPUTED_VALUE"""),"salmahsrii")</f>
        <v>salmahsrii</v>
      </c>
      <c r="C72" s="414" t="str">
        <f>IFERROR(__xludf.DUMMYFUNCTION("""COMPUTED_VALUE"""),"https://www.tiktok.com/@salmahsrii")</f>
        <v>https://www.tiktok.com/@salmahsrii</v>
      </c>
      <c r="D72" s="415">
        <f>IFERROR(__xludf.DUMMYFUNCTION("""COMPUTED_VALUE"""),8.5710697868E10)</f>
        <v>85710697868</v>
      </c>
      <c r="E72" s="416">
        <f>IFERROR(__xludf.DUMMYFUNCTION("""COMPUTED_VALUE"""),0.0)</f>
        <v>0</v>
      </c>
      <c r="F72" s="417">
        <f>IFERROR(__xludf.DUMMYFUNCTION("""COMPUTED_VALUE"""),2.0)</f>
        <v>2</v>
      </c>
      <c r="G72" s="418" t="str">
        <f>IFERROR(__xludf.DUMMYFUNCTION("""COMPUTED_VALUE"""),"Rp50RB-Rp100RB")</f>
        <v>Rp50RB-Rp100RB</v>
      </c>
      <c r="H72" s="419"/>
      <c r="I72" s="420"/>
      <c r="J72" s="421" t="str">
        <f>IFERROR(__xludf.DUMMYFUNCTION("""COMPUTED_VALUE""")," Concept 1")</f>
        <v> Concept 1</v>
      </c>
      <c r="K72" s="422" t="str">
        <f>IFERROR(__xludf.DUMMYFUNCTION("""COMPUTED_VALUE"""),"https://vt.tiktok.com/ZSuJXBxsF/")</f>
        <v>https://vt.tiktok.com/ZSuJXBxsF/</v>
      </c>
      <c r="L72" s="419"/>
      <c r="M72" s="422" t="str">
        <f>IFERROR(__xludf.DUMMYFUNCTION("""COMPUTED_VALUE"""),"https://vt.tiktok.com/ZSHj2Sxtx/")</f>
        <v>https://vt.tiktok.com/ZSHj2Sxtx/</v>
      </c>
      <c r="N72" s="419"/>
      <c r="O72" s="423"/>
      <c r="P72" s="419"/>
      <c r="Q72" s="423"/>
      <c r="R72" s="424">
        <f>IFERROR(__xludf.DUMMYFUNCTION("""COMPUTED_VALUE"""),0.0)</f>
        <v>0</v>
      </c>
      <c r="S72" s="424">
        <f>IFERROR(__xludf.DUMMYFUNCTION("""COMPUTED_VALUE"""),0.0)</f>
        <v>0</v>
      </c>
      <c r="T72" s="425">
        <f>IFERROR(__xludf.DUMMYFUNCTION("""COMPUTED_VALUE"""),0.0)</f>
        <v>0</v>
      </c>
      <c r="U72" s="425">
        <f>IFERROR(__xludf.DUMMYFUNCTION("""COMPUTED_VALUE"""),0.0)</f>
        <v>0</v>
      </c>
    </row>
    <row r="73" ht="15.75" hidden="1" customHeight="1">
      <c r="A73" s="412" t="str">
        <f>IFERROR(__xludf.DUMMYFUNCTION("""COMPUTED_VALUE"""),"MICRO")</f>
        <v>MICRO</v>
      </c>
      <c r="B73" s="415" t="str">
        <f>IFERROR(__xludf.DUMMYFUNCTION("""COMPUTED_VALUE"""),"harumpertiwi12")</f>
        <v>harumpertiwi12</v>
      </c>
      <c r="C73" s="414" t="str">
        <f>IFERROR(__xludf.DUMMYFUNCTION("""COMPUTED_VALUE"""),"https://www.tiktok.com/@harumpertiwi12")</f>
        <v>https://www.tiktok.com/@harumpertiwi12</v>
      </c>
      <c r="D73" s="415">
        <f>IFERROR(__xludf.DUMMYFUNCTION("""COMPUTED_VALUE"""),8.2221419929E10)</f>
        <v>82221419929</v>
      </c>
      <c r="E73" s="416">
        <f>IFERROR(__xludf.DUMMYFUNCTION("""COMPUTED_VALUE"""),0.0)</f>
        <v>0</v>
      </c>
      <c r="F73" s="417">
        <f>IFERROR(__xludf.DUMMYFUNCTION("""COMPUTED_VALUE"""),1.0)</f>
        <v>1</v>
      </c>
      <c r="G73" s="418" t="str">
        <f>IFERROR(__xludf.DUMMYFUNCTION("""COMPUTED_VALUE"""),"Rp795,5RB")</f>
        <v>Rp795,5RB</v>
      </c>
      <c r="H73" s="419"/>
      <c r="I73" s="420"/>
      <c r="J73" s="421"/>
      <c r="K73" s="422" t="str">
        <f>IFERROR(__xludf.DUMMYFUNCTION("""COMPUTED_VALUE"""),"https://vt.tiktok.com/ZSHnxUfg9/")</f>
        <v>https://vt.tiktok.com/ZSHnxUfg9/</v>
      </c>
      <c r="L73" s="419"/>
      <c r="M73" s="423"/>
      <c r="N73" s="419"/>
      <c r="O73" s="423"/>
      <c r="P73" s="419"/>
      <c r="Q73" s="423"/>
      <c r="R73" s="424">
        <f>IFERROR(__xludf.DUMMYFUNCTION("""COMPUTED_VALUE"""),0.0)</f>
        <v>0</v>
      </c>
      <c r="S73" s="424">
        <f>IFERROR(__xludf.DUMMYFUNCTION("""COMPUTED_VALUE"""),0.0)</f>
        <v>0</v>
      </c>
      <c r="T73" s="425">
        <f>IFERROR(__xludf.DUMMYFUNCTION("""COMPUTED_VALUE"""),0.0)</f>
        <v>0</v>
      </c>
      <c r="U73" s="425">
        <f>IFERROR(__xludf.DUMMYFUNCTION("""COMPUTED_VALUE"""),0.0)</f>
        <v>0</v>
      </c>
    </row>
    <row r="74" ht="15.75" hidden="1" customHeight="1">
      <c r="A74" s="412" t="str">
        <f>IFERROR(__xludf.DUMMYFUNCTION("""COMPUTED_VALUE"""),"NANO")</f>
        <v>NANO</v>
      </c>
      <c r="B74" s="415" t="str">
        <f>IFERROR(__xludf.DUMMYFUNCTION("""COMPUTED_VALUE"""),"chae.caaa")</f>
        <v>chae.caaa</v>
      </c>
      <c r="C74" s="414" t="str">
        <f>IFERROR(__xludf.DUMMYFUNCTION("""COMPUTED_VALUE"""),"https://www.tiktok.com/@chae.caaa")</f>
        <v>https://www.tiktok.com/@chae.caaa</v>
      </c>
      <c r="D74" s="415">
        <f>IFERROR(__xludf.DUMMYFUNCTION("""COMPUTED_VALUE"""),8.5727774662E10)</f>
        <v>85727774662</v>
      </c>
      <c r="E74" s="416">
        <f>IFERROR(__xludf.DUMMYFUNCTION("""COMPUTED_VALUE"""),0.0)</f>
        <v>0</v>
      </c>
      <c r="F74" s="417">
        <f>IFERROR(__xludf.DUMMYFUNCTION("""COMPUTED_VALUE"""),2.0)</f>
        <v>2</v>
      </c>
      <c r="G74" s="418" t="str">
        <f>IFERROR(__xludf.DUMMYFUNCTION("""COMPUTED_VALUE"""),"Rp556RB")</f>
        <v>Rp556RB</v>
      </c>
      <c r="H74" s="419"/>
      <c r="I74" s="420"/>
      <c r="J74" s="421"/>
      <c r="K74" s="422" t="str">
        <f>IFERROR(__xludf.DUMMYFUNCTION("""COMPUTED_VALUE"""),"https://vt.tiktok.com/ZSmKypNxQ/")</f>
        <v>https://vt.tiktok.com/ZSmKypNxQ/</v>
      </c>
      <c r="L74" s="419"/>
      <c r="M74" s="422" t="str">
        <f>IFERROR(__xludf.DUMMYFUNCTION("""COMPUTED_VALUE"""),"https://vt.tiktok.com/ZSuhdQjY2/")</f>
        <v>https://vt.tiktok.com/ZSuhdQjY2/</v>
      </c>
      <c r="N74" s="419"/>
      <c r="O74" s="423"/>
      <c r="P74" s="419"/>
      <c r="Q74" s="423"/>
      <c r="R74" s="424">
        <f>IFERROR(__xludf.DUMMYFUNCTION("""COMPUTED_VALUE"""),0.0)</f>
        <v>0</v>
      </c>
      <c r="S74" s="424">
        <f>IFERROR(__xludf.DUMMYFUNCTION("""COMPUTED_VALUE"""),0.0)</f>
        <v>0</v>
      </c>
      <c r="T74" s="425">
        <f>IFERROR(__xludf.DUMMYFUNCTION("""COMPUTED_VALUE"""),0.0)</f>
        <v>0</v>
      </c>
      <c r="U74" s="425">
        <f>IFERROR(__xludf.DUMMYFUNCTION("""COMPUTED_VALUE"""),0.0)</f>
        <v>0</v>
      </c>
    </row>
    <row r="75" ht="15.75" hidden="1" customHeight="1">
      <c r="A75" s="412" t="str">
        <f>IFERROR(__xludf.DUMMYFUNCTION("""COMPUTED_VALUE"""),"MICRO")</f>
        <v>MICRO</v>
      </c>
      <c r="B75" s="415" t="str">
        <f>IFERROR(__xludf.DUMMYFUNCTION("""COMPUTED_VALUE"""),"dewidewor_20")</f>
        <v>dewidewor_20</v>
      </c>
      <c r="C75" s="414" t="str">
        <f>IFERROR(__xludf.DUMMYFUNCTION("""COMPUTED_VALUE"""),"https://www.tiktok.com/@dewidewor_20")</f>
        <v>https://www.tiktok.com/@dewidewor_20</v>
      </c>
      <c r="D75" s="415">
        <f>IFERROR(__xludf.DUMMYFUNCTION("""COMPUTED_VALUE"""),8.9524374467E10)</f>
        <v>89524374467</v>
      </c>
      <c r="E75" s="416">
        <f>IFERROR(__xludf.DUMMYFUNCTION("""COMPUTED_VALUE"""),0.0)</f>
        <v>0</v>
      </c>
      <c r="F75" s="417">
        <f>IFERROR(__xludf.DUMMYFUNCTION("""COMPUTED_VALUE"""),2.0)</f>
        <v>2</v>
      </c>
      <c r="G75" s="418" t="str">
        <f>IFERROR(__xludf.DUMMYFUNCTION("""COMPUTED_VALUE"""),"Rp1JT+")</f>
        <v>Rp1JT+</v>
      </c>
      <c r="H75" s="419"/>
      <c r="I75" s="420"/>
      <c r="J75" s="421"/>
      <c r="K75" s="426" t="str">
        <f>IFERROR(__xludf.DUMMYFUNCTION("""COMPUTED_VALUE"""),"https://vt.tiktok.com/ZSmEo19rP/")</f>
        <v>https://vt.tiktok.com/ZSmEo19rP/</v>
      </c>
      <c r="L75" s="419"/>
      <c r="M75" s="422" t="str">
        <f>IFERROR(__xludf.DUMMYFUNCTION("""COMPUTED_VALUE"""),"https://vt.tiktok.com/ZS9J5SyQd/")</f>
        <v>https://vt.tiktok.com/ZS9J5SyQd/</v>
      </c>
      <c r="N75" s="419"/>
      <c r="O75" s="423"/>
      <c r="P75" s="419"/>
      <c r="Q75" s="423"/>
      <c r="R75" s="424">
        <f>IFERROR(__xludf.DUMMYFUNCTION("""COMPUTED_VALUE"""),0.0)</f>
        <v>0</v>
      </c>
      <c r="S75" s="424">
        <f>IFERROR(__xludf.DUMMYFUNCTION("""COMPUTED_VALUE"""),0.0)</f>
        <v>0</v>
      </c>
      <c r="T75" s="425">
        <f>IFERROR(__xludf.DUMMYFUNCTION("""COMPUTED_VALUE"""),0.0)</f>
        <v>0</v>
      </c>
      <c r="U75" s="425">
        <f>IFERROR(__xludf.DUMMYFUNCTION("""COMPUTED_VALUE"""),0.0)</f>
        <v>0</v>
      </c>
    </row>
    <row r="76" ht="15.75" hidden="1" customHeight="1">
      <c r="A76" s="412" t="str">
        <f>IFERROR(__xludf.DUMMYFUNCTION("""COMPUTED_VALUE"""),"NANO")</f>
        <v>NANO</v>
      </c>
      <c r="B76" s="415" t="str">
        <f>IFERROR(__xludf.DUMMYFUNCTION("""COMPUTED_VALUE"""),"daenapsyche")</f>
        <v>daenapsyche</v>
      </c>
      <c r="C76" s="414" t="str">
        <f>IFERROR(__xludf.DUMMYFUNCTION("""COMPUTED_VALUE"""),"https://www.tiktok.com/@daenapsyche")</f>
        <v>https://www.tiktok.com/@daenapsyche</v>
      </c>
      <c r="D76" s="415">
        <f>IFERROR(__xludf.DUMMYFUNCTION("""COMPUTED_VALUE"""),8.1388520255E10)</f>
        <v>81388520255</v>
      </c>
      <c r="E76" s="416">
        <f>IFERROR(__xludf.DUMMYFUNCTION("""COMPUTED_VALUE"""),0.0)</f>
        <v>0</v>
      </c>
      <c r="F76" s="417">
        <f>IFERROR(__xludf.DUMMYFUNCTION("""COMPUTED_VALUE"""),3.0)</f>
        <v>3</v>
      </c>
      <c r="G76" s="418" t="str">
        <f>IFERROR(__xludf.DUMMYFUNCTION("""COMPUTED_VALUE"""),"Rp1JT+")</f>
        <v>Rp1JT+</v>
      </c>
      <c r="H76" s="419"/>
      <c r="I76" s="420"/>
      <c r="J76" s="421"/>
      <c r="K76" s="422" t="str">
        <f>IFERROR(__xludf.DUMMYFUNCTION("""COMPUTED_VALUE"""),"https://vt.tiktok.com/ZSuWUkT7S/")</f>
        <v>https://vt.tiktok.com/ZSuWUkT7S/</v>
      </c>
      <c r="L76" s="419"/>
      <c r="M76" s="422" t="str">
        <f>IFERROR(__xludf.DUMMYFUNCTION("""COMPUTED_VALUE"""),"https://vt.tiktok.com/ZSHsyRQL3/")</f>
        <v>https://vt.tiktok.com/ZSHsyRQL3/</v>
      </c>
      <c r="N76" s="419"/>
      <c r="O76" s="422" t="str">
        <f>IFERROR(__xludf.DUMMYFUNCTION("""COMPUTED_VALUE"""),"https://vt.tiktok.com/ZS9eHpnQC/")</f>
        <v>https://vt.tiktok.com/ZS9eHpnQC/</v>
      </c>
      <c r="P76" s="419"/>
      <c r="Q76" s="423"/>
      <c r="R76" s="424">
        <f>IFERROR(__xludf.DUMMYFUNCTION("""COMPUTED_VALUE"""),0.0)</f>
        <v>0</v>
      </c>
      <c r="S76" s="424">
        <f>IFERROR(__xludf.DUMMYFUNCTION("""COMPUTED_VALUE"""),0.0)</f>
        <v>0</v>
      </c>
      <c r="T76" s="425">
        <f>IFERROR(__xludf.DUMMYFUNCTION("""COMPUTED_VALUE"""),0.0)</f>
        <v>0</v>
      </c>
      <c r="U76" s="425">
        <f>IFERROR(__xludf.DUMMYFUNCTION("""COMPUTED_VALUE"""),0.0)</f>
        <v>0</v>
      </c>
    </row>
    <row r="77" ht="15.75" hidden="1" customHeight="1">
      <c r="A77" s="412" t="str">
        <f>IFERROR(__xludf.DUMMYFUNCTION("""COMPUTED_VALUE"""),"NANO")</f>
        <v>NANO</v>
      </c>
      <c r="B77" s="415" t="str">
        <f>IFERROR(__xludf.DUMMYFUNCTION("""COMPUTED_VALUE"""),"hi_jaenaa")</f>
        <v>hi_jaenaa</v>
      </c>
      <c r="C77" s="414" t="str">
        <f>IFERROR(__xludf.DUMMYFUNCTION("""COMPUTED_VALUE"""),"https://www.tiktok.com/@hi_jaenaa")</f>
        <v>https://www.tiktok.com/@hi_jaenaa</v>
      </c>
      <c r="D77" s="415">
        <f>IFERROR(__xludf.DUMMYFUNCTION("""COMPUTED_VALUE"""),8.82006643919E11)</f>
        <v>882006643919</v>
      </c>
      <c r="E77" s="416">
        <f>IFERROR(__xludf.DUMMYFUNCTION("""COMPUTED_VALUE"""),0.0)</f>
        <v>0</v>
      </c>
      <c r="F77" s="417">
        <f>IFERROR(__xludf.DUMMYFUNCTION("""COMPUTED_VALUE"""),3.0)</f>
        <v>3</v>
      </c>
      <c r="G77" s="418" t="str">
        <f>IFERROR(__xludf.DUMMYFUNCTION("""COMPUTED_VALUE"""),"Rp1JT")</f>
        <v>Rp1JT</v>
      </c>
      <c r="H77" s="419"/>
      <c r="I77" s="420"/>
      <c r="J77" s="421"/>
      <c r="K77" s="423"/>
      <c r="L77" s="419"/>
      <c r="M77" s="423"/>
      <c r="N77" s="419"/>
      <c r="O77" s="423"/>
      <c r="P77" s="419"/>
      <c r="Q77" s="423"/>
      <c r="R77" s="424">
        <f>IFERROR(__xludf.DUMMYFUNCTION("""COMPUTED_VALUE"""),0.0)</f>
        <v>0</v>
      </c>
      <c r="S77" s="424">
        <f>IFERROR(__xludf.DUMMYFUNCTION("""COMPUTED_VALUE"""),0.0)</f>
        <v>0</v>
      </c>
      <c r="T77" s="425">
        <f>IFERROR(__xludf.DUMMYFUNCTION("""COMPUTED_VALUE"""),0.0)</f>
        <v>0</v>
      </c>
      <c r="U77" s="425">
        <f>IFERROR(__xludf.DUMMYFUNCTION("""COMPUTED_VALUE"""),0.0)</f>
        <v>0</v>
      </c>
    </row>
    <row r="78" ht="15.75" hidden="1" customHeight="1">
      <c r="A78" s="412" t="str">
        <f>IFERROR(__xludf.DUMMYFUNCTION("""COMPUTED_VALUE"""),"MICRO")</f>
        <v>MICRO</v>
      </c>
      <c r="B78" s="415" t="str">
        <f>IFERROR(__xludf.DUMMYFUNCTION("""COMPUTED_VALUE"""),"araanrml")</f>
        <v>araanrml</v>
      </c>
      <c r="C78" s="414" t="str">
        <f>IFERROR(__xludf.DUMMYFUNCTION("""COMPUTED_VALUE"""),"https://www.tiktok.com/@araanrml")</f>
        <v>https://www.tiktok.com/@araanrml</v>
      </c>
      <c r="D78" s="415">
        <f>IFERROR(__xludf.DUMMYFUNCTION("""COMPUTED_VALUE"""),8.1224839996E10)</f>
        <v>81224839996</v>
      </c>
      <c r="E78" s="416">
        <f>IFERROR(__xludf.DUMMYFUNCTION("""COMPUTED_VALUE"""),100000.0)</f>
        <v>100000</v>
      </c>
      <c r="F78" s="417">
        <f>IFERROR(__xludf.DUMMYFUNCTION("""COMPUTED_VALUE"""),1.0)</f>
        <v>1</v>
      </c>
      <c r="G78" s="418" t="str">
        <f>IFERROR(__xludf.DUMMYFUNCTION("""COMPUTED_VALUE"""),"Rp8,6JT")</f>
        <v>Rp8,6JT</v>
      </c>
      <c r="H78" s="419"/>
      <c r="I78" s="420"/>
      <c r="J78" s="421"/>
      <c r="K78" s="422" t="str">
        <f>IFERROR(__xludf.DUMMYFUNCTION("""COMPUTED_VALUE"""),"https://vt.tiktok.com/ZSHuphN7H/")</f>
        <v>https://vt.tiktok.com/ZSHuphN7H/</v>
      </c>
      <c r="L78" s="419"/>
      <c r="M78" s="423"/>
      <c r="N78" s="419"/>
      <c r="O78" s="423"/>
      <c r="P78" s="419"/>
      <c r="Q78" s="423"/>
      <c r="R78" s="424">
        <f>IFERROR(__xludf.DUMMYFUNCTION("""COMPUTED_VALUE"""),0.0)</f>
        <v>0</v>
      </c>
      <c r="S78" s="424">
        <f>IFERROR(__xludf.DUMMYFUNCTION("""COMPUTED_VALUE"""),0.0)</f>
        <v>0</v>
      </c>
      <c r="T78" s="425">
        <f>IFERROR(__xludf.DUMMYFUNCTION("""COMPUTED_VALUE"""),0.0)</f>
        <v>0</v>
      </c>
      <c r="U78" s="425">
        <f>IFERROR(__xludf.DUMMYFUNCTION("""COMPUTED_VALUE"""),0.0)</f>
        <v>0</v>
      </c>
    </row>
    <row r="79" ht="15.75" hidden="1" customHeight="1">
      <c r="A79" s="412" t="str">
        <f>IFERROR(__xludf.DUMMYFUNCTION("""COMPUTED_VALUE"""),"NANO")</f>
        <v>NANO</v>
      </c>
      <c r="B79" s="415" t="str">
        <f>IFERROR(__xludf.DUMMYFUNCTION("""COMPUTED_VALUE"""),"Jhstorage")</f>
        <v>Jhstorage</v>
      </c>
      <c r="C79" s="414" t="str">
        <f>IFERROR(__xludf.DUMMYFUNCTION("""COMPUTED_VALUE"""),"https://www.tiktok.com/@Jhstorage")</f>
        <v>https://www.tiktok.com/@Jhstorage</v>
      </c>
      <c r="D79" s="415">
        <f>IFERROR(__xludf.DUMMYFUNCTION("""COMPUTED_VALUE"""),8.5220516143E10)</f>
        <v>85220516143</v>
      </c>
      <c r="E79" s="416">
        <f>IFERROR(__xludf.DUMMYFUNCTION("""COMPUTED_VALUE"""),0.0)</f>
        <v>0</v>
      </c>
      <c r="F79" s="417">
        <f>IFERROR(__xludf.DUMMYFUNCTION("""COMPUTED_VALUE"""),3.0)</f>
        <v>3</v>
      </c>
      <c r="G79" s="418" t="str">
        <f>IFERROR(__xludf.DUMMYFUNCTION("""COMPUTED_VALUE"""),"Rp100RB-Rp500RB")</f>
        <v>Rp100RB-Rp500RB</v>
      </c>
      <c r="H79" s="419"/>
      <c r="I79" s="420"/>
      <c r="J79" s="421"/>
      <c r="K79" s="422" t="str">
        <f>IFERROR(__xludf.DUMMYFUNCTION("""COMPUTED_VALUE"""),"https://vt.tiktok.com/ZSHucjjHE/")</f>
        <v>https://vt.tiktok.com/ZSHucjjHE/</v>
      </c>
      <c r="L79" s="419"/>
      <c r="M79" s="422" t="str">
        <f>IFERROR(__xludf.DUMMYFUNCTION("""COMPUTED_VALUE"""),"https://vt.tiktok.com/ZSHucLmTA/")</f>
        <v>https://vt.tiktok.com/ZSHucLmTA/</v>
      </c>
      <c r="N79" s="419"/>
      <c r="O79" s="422" t="str">
        <f>IFERROR(__xludf.DUMMYFUNCTION("""COMPUTED_VALUE"""),"https://vt.tiktok.com/ZSHucHFrS/")</f>
        <v>https://vt.tiktok.com/ZSHucHFrS/</v>
      </c>
      <c r="P79" s="419"/>
      <c r="Q79" s="423"/>
      <c r="R79" s="424">
        <f>IFERROR(__xludf.DUMMYFUNCTION("""COMPUTED_VALUE"""),0.0)</f>
        <v>0</v>
      </c>
      <c r="S79" s="424">
        <f>IFERROR(__xludf.DUMMYFUNCTION("""COMPUTED_VALUE"""),0.0)</f>
        <v>0</v>
      </c>
      <c r="T79" s="425">
        <f>IFERROR(__xludf.DUMMYFUNCTION("""COMPUTED_VALUE"""),0.0)</f>
        <v>0</v>
      </c>
      <c r="U79" s="425">
        <f>IFERROR(__xludf.DUMMYFUNCTION("""COMPUTED_VALUE"""),0.0)</f>
        <v>0</v>
      </c>
    </row>
    <row r="80" ht="15.75" hidden="1" customHeight="1">
      <c r="A80" s="412" t="str">
        <f>IFERROR(__xludf.DUMMYFUNCTION("""COMPUTED_VALUE"""),"NANO")</f>
        <v>NANO</v>
      </c>
      <c r="B80" s="415" t="str">
        <f>IFERROR(__xludf.DUMMYFUNCTION("""COMPUTED_VALUE"""),"nbillahnc")</f>
        <v>nbillahnc</v>
      </c>
      <c r="C80" s="414" t="str">
        <f>IFERROR(__xludf.DUMMYFUNCTION("""COMPUTED_VALUE"""),"https://www.tiktok.com/@nbillahnc")</f>
        <v>https://www.tiktok.com/@nbillahnc</v>
      </c>
      <c r="D80" s="415">
        <f>IFERROR(__xludf.DUMMYFUNCTION("""COMPUTED_VALUE"""),8.5846120741E10)</f>
        <v>85846120741</v>
      </c>
      <c r="E80" s="416">
        <f>IFERROR(__xludf.DUMMYFUNCTION("""COMPUTED_VALUE"""),0.0)</f>
        <v>0</v>
      </c>
      <c r="F80" s="417">
        <f>IFERROR(__xludf.DUMMYFUNCTION("""COMPUTED_VALUE"""),2.0)</f>
        <v>2</v>
      </c>
      <c r="G80" s="418" t="str">
        <f>IFERROR(__xludf.DUMMYFUNCTION("""COMPUTED_VALUE"""),"Rp519RB")</f>
        <v>Rp519RB</v>
      </c>
      <c r="H80" s="419"/>
      <c r="I80" s="420"/>
      <c r="J80" s="421"/>
      <c r="K80" s="422" t="str">
        <f>IFERROR(__xludf.DUMMYFUNCTION("""COMPUTED_VALUE"""),"https://vt.tiktok.com/ZSmsfXTMv/")</f>
        <v>https://vt.tiktok.com/ZSmsfXTMv/</v>
      </c>
      <c r="L80" s="419"/>
      <c r="M80" s="422" t="str">
        <f>IFERROR(__xludf.DUMMYFUNCTION("""COMPUTED_VALUE"""),"https://vt.tiktok.com/ZSm76fRfK/")</f>
        <v>https://vt.tiktok.com/ZSm76fRfK/</v>
      </c>
      <c r="N80" s="419"/>
      <c r="O80" s="423"/>
      <c r="P80" s="419"/>
      <c r="Q80" s="423"/>
      <c r="R80" s="424">
        <f>IFERROR(__xludf.DUMMYFUNCTION("""COMPUTED_VALUE"""),0.0)</f>
        <v>0</v>
      </c>
      <c r="S80" s="424">
        <f>IFERROR(__xludf.DUMMYFUNCTION("""COMPUTED_VALUE"""),0.0)</f>
        <v>0</v>
      </c>
      <c r="T80" s="425">
        <f>IFERROR(__xludf.DUMMYFUNCTION("""COMPUTED_VALUE"""),0.0)</f>
        <v>0</v>
      </c>
      <c r="U80" s="425">
        <f>IFERROR(__xludf.DUMMYFUNCTION("""COMPUTED_VALUE"""),0.0)</f>
        <v>0</v>
      </c>
    </row>
    <row r="81" ht="15.75" customHeight="1">
      <c r="A81" s="412" t="str">
        <f>IFERROR(__xludf.DUMMYFUNCTION("""COMPUTED_VALUE"""),"NANO")</f>
        <v>NANO</v>
      </c>
      <c r="B81" s="415" t="str">
        <f>IFERROR(__xludf.DUMMYFUNCTION("""COMPUTED_VALUE"""),"letssgloow")</f>
        <v>letssgloow</v>
      </c>
      <c r="C81" s="414" t="str">
        <f>IFERROR(__xludf.DUMMYFUNCTION("""COMPUTED_VALUE"""),"https://www.tiktok.com/@letssgloow")</f>
        <v>https://www.tiktok.com/@letssgloow</v>
      </c>
      <c r="D81" s="415">
        <f>IFERROR(__xludf.DUMMYFUNCTION("""COMPUTED_VALUE"""),8.9673705858E10)</f>
        <v>89673705858</v>
      </c>
      <c r="E81" s="416">
        <f>IFERROR(__xludf.DUMMYFUNCTION("""COMPUTED_VALUE"""),0.0)</f>
        <v>0</v>
      </c>
      <c r="F81" s="417">
        <f>IFERROR(__xludf.DUMMYFUNCTION("""COMPUTED_VALUE"""),4.0)</f>
        <v>4</v>
      </c>
      <c r="G81" s="418" t="str">
        <f>IFERROR(__xludf.DUMMYFUNCTION("""COMPUTED_VALUE"""),"Rp1JT+")</f>
        <v>Rp1JT+</v>
      </c>
      <c r="H81" s="419"/>
      <c r="I81" s="420"/>
      <c r="J81" s="421"/>
      <c r="K81" s="422" t="str">
        <f>IFERROR(__xludf.DUMMYFUNCTION("""COMPUTED_VALUE"""),"https://vt.tiktok.com/ZSuuAJyLF/")</f>
        <v>https://vt.tiktok.com/ZSuuAJyLF/</v>
      </c>
      <c r="L81" s="419"/>
      <c r="M81" s="422" t="str">
        <f>IFERROR(__xludf.DUMMYFUNCTION("""COMPUTED_VALUE"""),"https://vt.tiktok.com/ZSuuSXQ7H/")</f>
        <v>https://vt.tiktok.com/ZSuuSXQ7H/</v>
      </c>
      <c r="N81" s="419"/>
      <c r="O81" s="422" t="str">
        <f>IFERROR(__xludf.DUMMYFUNCTION("""COMPUTED_VALUE"""),"https://vt.tiktok.com/ZSuuSv6ES/")</f>
        <v>https://vt.tiktok.com/ZSuuSv6ES/</v>
      </c>
      <c r="P81" s="419"/>
      <c r="Q81" s="422" t="str">
        <f>IFERROR(__xludf.DUMMYFUNCTION("""COMPUTED_VALUE"""),"https://vt.tiktok.com/ZSuuSoBwa/")</f>
        <v>https://vt.tiktok.com/ZSuuSoBwa/</v>
      </c>
      <c r="R81" s="424">
        <f>IFERROR(__xludf.DUMMYFUNCTION("""COMPUTED_VALUE"""),0.0)</f>
        <v>0</v>
      </c>
      <c r="S81" s="424">
        <f>IFERROR(__xludf.DUMMYFUNCTION("""COMPUTED_VALUE"""),0.0)</f>
        <v>0</v>
      </c>
      <c r="T81" s="425">
        <f>IFERROR(__xludf.DUMMYFUNCTION("""COMPUTED_VALUE"""),0.0)</f>
        <v>0</v>
      </c>
      <c r="U81" s="425">
        <f>IFERROR(__xludf.DUMMYFUNCTION("""COMPUTED_VALUE"""),0.0)</f>
        <v>0</v>
      </c>
    </row>
    <row r="82" ht="15.75" hidden="1" customHeight="1">
      <c r="A82" s="412" t="str">
        <f>IFERROR(__xludf.DUMMYFUNCTION("""COMPUTED_VALUE"""),"MICRO")</f>
        <v>MICRO</v>
      </c>
      <c r="B82" s="415" t="str">
        <f>IFERROR(__xludf.DUMMYFUNCTION("""COMPUTED_VALUE"""),"fitrianahisnainy")</f>
        <v>fitrianahisnainy</v>
      </c>
      <c r="C82" s="414" t="str">
        <f>IFERROR(__xludf.DUMMYFUNCTION("""COMPUTED_VALUE"""),"https://www.tiktok.com/@fitrianahisnainy")</f>
        <v>https://www.tiktok.com/@fitrianahisnainy</v>
      </c>
      <c r="D82" s="415">
        <f>IFERROR(__xludf.DUMMYFUNCTION("""COMPUTED_VALUE"""),8.5210191147E10)</f>
        <v>85210191147</v>
      </c>
      <c r="E82" s="416">
        <f>IFERROR(__xludf.DUMMYFUNCTION("""COMPUTED_VALUE"""),0.0)</f>
        <v>0</v>
      </c>
      <c r="F82" s="417">
        <f>IFERROR(__xludf.DUMMYFUNCTION("""COMPUTED_VALUE"""),2.0)</f>
        <v>2</v>
      </c>
      <c r="G82" s="418" t="str">
        <f>IFERROR(__xludf.DUMMYFUNCTION("""COMPUTED_VALUE"""),"Rp126,7JT")</f>
        <v>Rp126,7JT</v>
      </c>
      <c r="H82" s="419"/>
      <c r="I82" s="420"/>
      <c r="J82" s="421"/>
      <c r="K82" s="422" t="str">
        <f>IFERROR(__xludf.DUMMYFUNCTION("""COMPUTED_VALUE"""),"https://vt.tiktok.com/ZSue6W1N1/")</f>
        <v>https://vt.tiktok.com/ZSue6W1N1/</v>
      </c>
      <c r="L82" s="419"/>
      <c r="M82" s="422" t="str">
        <f>IFERROR(__xludf.DUMMYFUNCTION("""COMPUTED_VALUE"""),"https://vt.tiktok.com/ZSuB63gRG/")</f>
        <v>https://vt.tiktok.com/ZSuB63gRG/</v>
      </c>
      <c r="N82" s="419"/>
      <c r="O82" s="423"/>
      <c r="P82" s="419"/>
      <c r="Q82" s="423"/>
      <c r="R82" s="424">
        <f>IFERROR(__xludf.DUMMYFUNCTION("""COMPUTED_VALUE"""),0.0)</f>
        <v>0</v>
      </c>
      <c r="S82" s="424">
        <f>IFERROR(__xludf.DUMMYFUNCTION("""COMPUTED_VALUE"""),0.0)</f>
        <v>0</v>
      </c>
      <c r="T82" s="425">
        <f>IFERROR(__xludf.DUMMYFUNCTION("""COMPUTED_VALUE"""),0.0)</f>
        <v>0</v>
      </c>
      <c r="U82" s="425">
        <f>IFERROR(__xludf.DUMMYFUNCTION("""COMPUTED_VALUE"""),0.0)</f>
        <v>0</v>
      </c>
    </row>
    <row r="83" ht="15.75" hidden="1" customHeight="1">
      <c r="A83" s="412" t="str">
        <f>IFERROR(__xludf.DUMMYFUNCTION("""COMPUTED_VALUE"""),"MICRO")</f>
        <v>MICRO</v>
      </c>
      <c r="B83" s="415" t="str">
        <f>IFERROR(__xludf.DUMMYFUNCTION("""COMPUTED_VALUE"""),"bucinskincare_2")</f>
        <v>bucinskincare_2</v>
      </c>
      <c r="C83" s="414" t="str">
        <f>IFERROR(__xludf.DUMMYFUNCTION("""COMPUTED_VALUE"""),"https://www.tiktok.com/@bucinskincare_2")</f>
        <v>https://www.tiktok.com/@bucinskincare_2</v>
      </c>
      <c r="D83" s="415">
        <f>IFERROR(__xludf.DUMMYFUNCTION("""COMPUTED_VALUE"""),8.7888078631E10)</f>
        <v>87888078631</v>
      </c>
      <c r="E83" s="416">
        <f>IFERROR(__xludf.DUMMYFUNCTION("""COMPUTED_VALUE"""),0.0)</f>
        <v>0</v>
      </c>
      <c r="F83" s="417">
        <f>IFERROR(__xludf.DUMMYFUNCTION("""COMPUTED_VALUE"""),1.0)</f>
        <v>1</v>
      </c>
      <c r="G83" s="418" t="str">
        <f>IFERROR(__xludf.DUMMYFUNCTION("""COMPUTED_VALUE"""),"Rp699,1JT")</f>
        <v>Rp699,1JT</v>
      </c>
      <c r="H83" s="419"/>
      <c r="I83" s="420"/>
      <c r="J83" s="421"/>
      <c r="K83" s="423"/>
      <c r="L83" s="419"/>
      <c r="M83" s="423"/>
      <c r="N83" s="419"/>
      <c r="O83" s="423"/>
      <c r="P83" s="419"/>
      <c r="Q83" s="423"/>
      <c r="R83" s="424">
        <f>IFERROR(__xludf.DUMMYFUNCTION("""COMPUTED_VALUE"""),0.0)</f>
        <v>0</v>
      </c>
      <c r="S83" s="424">
        <f>IFERROR(__xludf.DUMMYFUNCTION("""COMPUTED_VALUE"""),0.0)</f>
        <v>0</v>
      </c>
      <c r="T83" s="425">
        <f>IFERROR(__xludf.DUMMYFUNCTION("""COMPUTED_VALUE"""),0.0)</f>
        <v>0</v>
      </c>
      <c r="U83" s="425">
        <f>IFERROR(__xludf.DUMMYFUNCTION("""COMPUTED_VALUE"""),0.0)</f>
        <v>0</v>
      </c>
    </row>
    <row r="84" ht="15.75" hidden="1" customHeight="1">
      <c r="A84" s="412" t="str">
        <f>IFERROR(__xludf.DUMMYFUNCTION("""COMPUTED_VALUE"""),"MICRO")</f>
        <v>MICRO</v>
      </c>
      <c r="B84" s="415" t="str">
        <f>IFERROR(__xludf.DUMMYFUNCTION("""COMPUTED_VALUE"""),"thnlykai")</f>
        <v>thnlykai</v>
      </c>
      <c r="C84" s="414" t="str">
        <f>IFERROR(__xludf.DUMMYFUNCTION("""COMPUTED_VALUE"""),"https://www.tiktok.com/@thnlykai")</f>
        <v>https://www.tiktok.com/@thnlykai</v>
      </c>
      <c r="D84" s="415">
        <f>IFERROR(__xludf.DUMMYFUNCTION("""COMPUTED_VALUE"""),8.98613759E9)</f>
        <v>8986137590</v>
      </c>
      <c r="E84" s="416">
        <f>IFERROR(__xludf.DUMMYFUNCTION("""COMPUTED_VALUE"""),150000.0)</f>
        <v>150000</v>
      </c>
      <c r="F84" s="417">
        <f>IFERROR(__xludf.DUMMYFUNCTION("""COMPUTED_VALUE"""),2.0)</f>
        <v>2</v>
      </c>
      <c r="G84" s="418" t="str">
        <f>IFERROR(__xludf.DUMMYFUNCTION("""COMPUTED_VALUE"""),"Rp1,6JT")</f>
        <v>Rp1,6JT</v>
      </c>
      <c r="H84" s="419"/>
      <c r="I84" s="420"/>
      <c r="J84" s="421"/>
      <c r="K84" s="422" t="str">
        <f>IFERROR(__xludf.DUMMYFUNCTION("""COMPUTED_VALUE"""),"https://vt.tiktok.com/ZSHXBRbCM/")</f>
        <v>https://vt.tiktok.com/ZSHXBRbCM/</v>
      </c>
      <c r="L84" s="419"/>
      <c r="M84" s="422" t="str">
        <f>IFERROR(__xludf.DUMMYFUNCTION("""COMPUTED_VALUE"""),"https://vt.tiktok.com/ZSHXksFgw/")</f>
        <v>https://vt.tiktok.com/ZSHXksFgw/</v>
      </c>
      <c r="N84" s="419"/>
      <c r="O84" s="423"/>
      <c r="P84" s="419"/>
      <c r="Q84" s="423"/>
      <c r="R84" s="424">
        <f>IFERROR(__xludf.DUMMYFUNCTION("""COMPUTED_VALUE"""),0.0)</f>
        <v>0</v>
      </c>
      <c r="S84" s="424">
        <f>IFERROR(__xludf.DUMMYFUNCTION("""COMPUTED_VALUE"""),0.0)</f>
        <v>0</v>
      </c>
      <c r="T84" s="425">
        <f>IFERROR(__xludf.DUMMYFUNCTION("""COMPUTED_VALUE"""),0.0)</f>
        <v>0</v>
      </c>
      <c r="U84" s="425">
        <f>IFERROR(__xludf.DUMMYFUNCTION("""COMPUTED_VALUE"""),0.0)</f>
        <v>0</v>
      </c>
    </row>
    <row r="85" ht="15.75" hidden="1" customHeight="1">
      <c r="A85" s="412" t="str">
        <f>IFERROR(__xludf.DUMMYFUNCTION("""COMPUTED_VALUE"""),"MICRO")</f>
        <v>MICRO</v>
      </c>
      <c r="B85" s="415" t="str">
        <f>IFERROR(__xludf.DUMMYFUNCTION("""COMPUTED_VALUE"""),"Friskafrl")</f>
        <v>Friskafrl</v>
      </c>
      <c r="C85" s="414" t="str">
        <f>IFERROR(__xludf.DUMMYFUNCTION("""COMPUTED_VALUE"""),"https://www.tiktok.com/@Friskafrl")</f>
        <v>https://www.tiktok.com/@Friskafrl</v>
      </c>
      <c r="D85" s="415">
        <f>IFERROR(__xludf.DUMMYFUNCTION("""COMPUTED_VALUE"""),8.3162081028E10)</f>
        <v>83162081028</v>
      </c>
      <c r="E85" s="416">
        <f>IFERROR(__xludf.DUMMYFUNCTION("""COMPUTED_VALUE"""),0.0)</f>
        <v>0</v>
      </c>
      <c r="F85" s="417">
        <f>IFERROR(__xludf.DUMMYFUNCTION("""COMPUTED_VALUE"""),3.0)</f>
        <v>3</v>
      </c>
      <c r="G85" s="418" t="str">
        <f>IFERROR(__xludf.DUMMYFUNCTION("""COMPUTED_VALUE"""),"Rp1,8JT")</f>
        <v>Rp1,8JT</v>
      </c>
      <c r="H85" s="419"/>
      <c r="I85" s="420"/>
      <c r="J85" s="421"/>
      <c r="K85" s="422" t="str">
        <f>IFERROR(__xludf.DUMMYFUNCTION("""COMPUTED_VALUE"""),"https://vt.tiktok.com/ZSHPABF1c/")</f>
        <v>https://vt.tiktok.com/ZSHPABF1c/</v>
      </c>
      <c r="L85" s="419"/>
      <c r="M85" s="422" t="str">
        <f>IFERROR(__xludf.DUMMYFUNCTION("""COMPUTED_VALUE"""),"https://www.tiktok.com/@friskafrl/video/7628437089280904468?is_from_webapp=1&amp;sender_device=pc")</f>
        <v>https://www.tiktok.com/@friskafrl/video/7628437089280904468?is_from_webapp=1&amp;sender_device=pc</v>
      </c>
      <c r="N85" s="419"/>
      <c r="O85" s="422" t="str">
        <f>IFERROR(__xludf.DUMMYFUNCTION("""COMPUTED_VALUE"""),"https://vt.tiktok.com/ZS9A9taNf/")</f>
        <v>https://vt.tiktok.com/ZS9A9taNf/</v>
      </c>
      <c r="P85" s="419"/>
      <c r="Q85" s="423"/>
      <c r="R85" s="424">
        <f>IFERROR(__xludf.DUMMYFUNCTION("""COMPUTED_VALUE"""),0.0)</f>
        <v>0</v>
      </c>
      <c r="S85" s="424">
        <f>IFERROR(__xludf.DUMMYFUNCTION("""COMPUTED_VALUE"""),0.0)</f>
        <v>0</v>
      </c>
      <c r="T85" s="425">
        <f>IFERROR(__xludf.DUMMYFUNCTION("""COMPUTED_VALUE"""),0.0)</f>
        <v>0</v>
      </c>
      <c r="U85" s="425">
        <f>IFERROR(__xludf.DUMMYFUNCTION("""COMPUTED_VALUE"""),0.0)</f>
        <v>0</v>
      </c>
    </row>
    <row r="86" ht="15.75" hidden="1" customHeight="1">
      <c r="A86" s="412" t="str">
        <f>IFERROR(__xludf.DUMMYFUNCTION("""COMPUTED_VALUE"""),"MICRO")</f>
        <v>MICRO</v>
      </c>
      <c r="B86" s="415" t="str">
        <f>IFERROR(__xludf.DUMMYFUNCTION("""COMPUTED_VALUE"""),"angelmatondang14")</f>
        <v>angelmatondang14</v>
      </c>
      <c r="C86" s="414" t="str">
        <f>IFERROR(__xludf.DUMMYFUNCTION("""COMPUTED_VALUE"""),"https://www.tiktok.com/@angelmatondang14")</f>
        <v>https://www.tiktok.com/@angelmatondang14</v>
      </c>
      <c r="D86" s="415">
        <f>IFERROR(__xludf.DUMMYFUNCTION("""COMPUTED_VALUE"""),8.77510358E10)</f>
        <v>87751035800</v>
      </c>
      <c r="E86" s="416">
        <f>IFERROR(__xludf.DUMMYFUNCTION("""COMPUTED_VALUE"""),0.0)</f>
        <v>0</v>
      </c>
      <c r="F86" s="417">
        <f>IFERROR(__xludf.DUMMYFUNCTION("""COMPUTED_VALUE"""),3.0)</f>
        <v>3</v>
      </c>
      <c r="G86" s="418" t="str">
        <f>IFERROR(__xludf.DUMMYFUNCTION("""COMPUTED_VALUE"""),"Rp37,9JT")</f>
        <v>Rp37,9JT</v>
      </c>
      <c r="H86" s="419"/>
      <c r="I86" s="420"/>
      <c r="J86" s="421"/>
      <c r="K86" s="422" t="str">
        <f>IFERROR(__xludf.DUMMYFUNCTION("""COMPUTED_VALUE"""),"https://vt.tiktok.com/ZSuPbofSS/")</f>
        <v>https://vt.tiktok.com/ZSuPbofSS/</v>
      </c>
      <c r="L86" s="419"/>
      <c r="M86" s="422" t="str">
        <f>IFERROR(__xludf.DUMMYFUNCTION("""COMPUTED_VALUE"""),"https://vt.tiktok.com/ZSuH3PXSU/")</f>
        <v>https://vt.tiktok.com/ZSuH3PXSU/</v>
      </c>
      <c r="N86" s="419"/>
      <c r="O86" s="422" t="str">
        <f>IFERROR(__xludf.DUMMYFUNCTION("""COMPUTED_VALUE"""),"https://vt.tiktok.com/ZSHya5UYm/")</f>
        <v>https://vt.tiktok.com/ZSHya5UYm/</v>
      </c>
      <c r="P86" s="419"/>
      <c r="Q86" s="423"/>
      <c r="R86" s="424">
        <f>IFERROR(__xludf.DUMMYFUNCTION("""COMPUTED_VALUE"""),0.0)</f>
        <v>0</v>
      </c>
      <c r="S86" s="424">
        <f>IFERROR(__xludf.DUMMYFUNCTION("""COMPUTED_VALUE"""),0.0)</f>
        <v>0</v>
      </c>
      <c r="T86" s="425">
        <f>IFERROR(__xludf.DUMMYFUNCTION("""COMPUTED_VALUE"""),0.0)</f>
        <v>0</v>
      </c>
      <c r="U86" s="425">
        <f>IFERROR(__xludf.DUMMYFUNCTION("""COMPUTED_VALUE"""),0.0)</f>
        <v>0</v>
      </c>
    </row>
    <row r="87" ht="15.75" hidden="1" customHeight="1">
      <c r="A87" s="412" t="str">
        <f>IFERROR(__xludf.DUMMYFUNCTION("""COMPUTED_VALUE"""),"NANO")</f>
        <v>NANO</v>
      </c>
      <c r="B87" s="415" t="str">
        <f>IFERROR(__xludf.DUMMYFUNCTION("""COMPUTED_VALUE"""),"marizarizka_")</f>
        <v>marizarizka_</v>
      </c>
      <c r="C87" s="414" t="str">
        <f>IFERROR(__xludf.DUMMYFUNCTION("""COMPUTED_VALUE"""),"https://www.tiktok.com/@marizarizka_")</f>
        <v>https://www.tiktok.com/@marizarizka_</v>
      </c>
      <c r="D87" s="415">
        <f>IFERROR(__xludf.DUMMYFUNCTION("""COMPUTED_VALUE"""),8.7769115748E10)</f>
        <v>87769115748</v>
      </c>
      <c r="E87" s="416">
        <f>IFERROR(__xludf.DUMMYFUNCTION("""COMPUTED_VALUE"""),0.0)</f>
        <v>0</v>
      </c>
      <c r="F87" s="417">
        <f>IFERROR(__xludf.DUMMYFUNCTION("""COMPUTED_VALUE"""),3.0)</f>
        <v>3</v>
      </c>
      <c r="G87" s="418" t="str">
        <f>IFERROR(__xludf.DUMMYFUNCTION("""COMPUTED_VALUE"""),"Rp1JT+")</f>
        <v>Rp1JT+</v>
      </c>
      <c r="H87" s="419"/>
      <c r="I87" s="420"/>
      <c r="J87" s="421"/>
      <c r="K87" s="422" t="str">
        <f>IFERROR(__xludf.DUMMYFUNCTION("""COMPUTED_VALUE"""),"https://vt.tiktok.com/ZSHjje1GM/")</f>
        <v>https://vt.tiktok.com/ZSHjje1GM/</v>
      </c>
      <c r="L87" s="419"/>
      <c r="M87" s="422" t="str">
        <f>IFERROR(__xludf.DUMMYFUNCTION("""COMPUTED_VALUE"""),"https://vt.tiktok.com/ZSHjj1ppC/")</f>
        <v>https://vt.tiktok.com/ZSHjj1ppC/</v>
      </c>
      <c r="N87" s="419"/>
      <c r="O87" s="422" t="str">
        <f>IFERROR(__xludf.DUMMYFUNCTION("""COMPUTED_VALUE"""),"https://vt.tiktok.com/ZSHjjLEVy/")</f>
        <v>https://vt.tiktok.com/ZSHjjLEVy/</v>
      </c>
      <c r="P87" s="419"/>
      <c r="Q87" s="423"/>
      <c r="R87" s="424">
        <f>IFERROR(__xludf.DUMMYFUNCTION("""COMPUTED_VALUE"""),0.0)</f>
        <v>0</v>
      </c>
      <c r="S87" s="424">
        <f>IFERROR(__xludf.DUMMYFUNCTION("""COMPUTED_VALUE"""),0.0)</f>
        <v>0</v>
      </c>
      <c r="T87" s="425">
        <f>IFERROR(__xludf.DUMMYFUNCTION("""COMPUTED_VALUE"""),0.0)</f>
        <v>0</v>
      </c>
      <c r="U87" s="425">
        <f>IFERROR(__xludf.DUMMYFUNCTION("""COMPUTED_VALUE"""),0.0)</f>
        <v>0</v>
      </c>
    </row>
    <row r="88" ht="15.75" hidden="1" customHeight="1">
      <c r="A88" s="412" t="str">
        <f>IFERROR(__xludf.DUMMYFUNCTION("""COMPUTED_VALUE"""),"MACRO")</f>
        <v>MACRO</v>
      </c>
      <c r="B88" s="415" t="str">
        <f>IFERROR(__xludf.DUMMYFUNCTION("""COMPUTED_VALUE"""),"nurnnyas")</f>
        <v>nurnnyas</v>
      </c>
      <c r="C88" s="414" t="str">
        <f>IFERROR(__xludf.DUMMYFUNCTION("""COMPUTED_VALUE"""),"https://www.tiktok.com/@nurnnyas")</f>
        <v>https://www.tiktok.com/@nurnnyas</v>
      </c>
      <c r="D88" s="415">
        <f>IFERROR(__xludf.DUMMYFUNCTION("""COMPUTED_VALUE"""),8.1352754346E10)</f>
        <v>81352754346</v>
      </c>
      <c r="E88" s="416">
        <f>IFERROR(__xludf.DUMMYFUNCTION("""COMPUTED_VALUE"""),0.0)</f>
        <v>0</v>
      </c>
      <c r="F88" s="417">
        <f>IFERROR(__xludf.DUMMYFUNCTION("""COMPUTED_VALUE"""),3.0)</f>
        <v>3</v>
      </c>
      <c r="G88" s="418" t="str">
        <f>IFERROR(__xludf.DUMMYFUNCTION("""COMPUTED_VALUE"""),"Rp4,2JT")</f>
        <v>Rp4,2JT</v>
      </c>
      <c r="H88" s="419"/>
      <c r="I88" s="420"/>
      <c r="J88" s="421"/>
      <c r="K88" s="422" t="str">
        <f>IFERROR(__xludf.DUMMYFUNCTION("""COMPUTED_VALUE"""),"https://vt.tiktok.com/ZSue185Tf/")</f>
        <v>https://vt.tiktok.com/ZSue185Tf/</v>
      </c>
      <c r="L88" s="419"/>
      <c r="M88" s="422" t="str">
        <f>IFERROR(__xludf.DUMMYFUNCTION("""COMPUTED_VALUE"""),"https://vt.tiktok.com/ZSuQMuuNu/")</f>
        <v>https://vt.tiktok.com/ZSuQMuuNu/</v>
      </c>
      <c r="N88" s="419"/>
      <c r="O88" s="422" t="str">
        <f>IFERROR(__xludf.DUMMYFUNCTION("""COMPUTED_VALUE"""),"https://vt.tiktok.com/ZSHj27Cup/")</f>
        <v>https://vt.tiktok.com/ZSHj27Cup/</v>
      </c>
      <c r="P88" s="419"/>
      <c r="Q88" s="423"/>
      <c r="R88" s="424">
        <f>IFERROR(__xludf.DUMMYFUNCTION("""COMPUTED_VALUE"""),0.0)</f>
        <v>0</v>
      </c>
      <c r="S88" s="424">
        <f>IFERROR(__xludf.DUMMYFUNCTION("""COMPUTED_VALUE"""),0.0)</f>
        <v>0</v>
      </c>
      <c r="T88" s="425">
        <f>IFERROR(__xludf.DUMMYFUNCTION("""COMPUTED_VALUE"""),0.0)</f>
        <v>0</v>
      </c>
      <c r="U88" s="425">
        <f>IFERROR(__xludf.DUMMYFUNCTION("""COMPUTED_VALUE"""),0.0)</f>
        <v>0</v>
      </c>
    </row>
    <row r="89" ht="15.75" hidden="1" customHeight="1">
      <c r="A89" s="412" t="str">
        <f>IFERROR(__xludf.DUMMYFUNCTION("""COMPUTED_VALUE"""),"MICRO")</f>
        <v>MICRO</v>
      </c>
      <c r="B89" s="415" t="str">
        <f>IFERROR(__xludf.DUMMYFUNCTION("""COMPUTED_VALUE"""),"naomiifarsya")</f>
        <v>naomiifarsya</v>
      </c>
      <c r="C89" s="414" t="str">
        <f>IFERROR(__xludf.DUMMYFUNCTION("""COMPUTED_VALUE"""),"https://www.tiktok.com/@naomiifarsya")</f>
        <v>https://www.tiktok.com/@naomiifarsya</v>
      </c>
      <c r="D89" s="415">
        <f>IFERROR(__xludf.DUMMYFUNCTION("""COMPUTED_VALUE"""),8.95351795802E11)</f>
        <v>895351795802</v>
      </c>
      <c r="E89" s="416">
        <f>IFERROR(__xludf.DUMMYFUNCTION("""COMPUTED_VALUE"""),0.0)</f>
        <v>0</v>
      </c>
      <c r="F89" s="417">
        <f>IFERROR(__xludf.DUMMYFUNCTION("""COMPUTED_VALUE"""),3.0)</f>
        <v>3</v>
      </c>
      <c r="G89" s="418" t="str">
        <f>IFERROR(__xludf.DUMMYFUNCTION("""COMPUTED_VALUE"""),"Rp362,5JT")</f>
        <v>Rp362,5JT</v>
      </c>
      <c r="H89" s="419"/>
      <c r="I89" s="420"/>
      <c r="J89" s="421"/>
      <c r="K89" s="423"/>
      <c r="L89" s="419"/>
      <c r="M89" s="423"/>
      <c r="N89" s="419"/>
      <c r="O89" s="423"/>
      <c r="P89" s="419"/>
      <c r="Q89" s="423"/>
      <c r="R89" s="424">
        <f>IFERROR(__xludf.DUMMYFUNCTION("""COMPUTED_VALUE"""),0.0)</f>
        <v>0</v>
      </c>
      <c r="S89" s="424">
        <f>IFERROR(__xludf.DUMMYFUNCTION("""COMPUTED_VALUE"""),0.0)</f>
        <v>0</v>
      </c>
      <c r="T89" s="425">
        <f>IFERROR(__xludf.DUMMYFUNCTION("""COMPUTED_VALUE"""),0.0)</f>
        <v>0</v>
      </c>
      <c r="U89" s="425">
        <f>IFERROR(__xludf.DUMMYFUNCTION("""COMPUTED_VALUE"""),0.0)</f>
        <v>0</v>
      </c>
    </row>
    <row r="90" ht="15.75" hidden="1" customHeight="1">
      <c r="A90" s="412" t="str">
        <f>IFERROR(__xludf.DUMMYFUNCTION("""COMPUTED_VALUE"""),"MICRO")</f>
        <v>MICRO</v>
      </c>
      <c r="B90" s="415" t="str">
        <f>IFERROR(__xludf.DUMMYFUNCTION("""COMPUTED_VALUE"""),"kaaaaast")</f>
        <v>kaaaaast</v>
      </c>
      <c r="C90" s="414" t="str">
        <f>IFERROR(__xludf.DUMMYFUNCTION("""COMPUTED_VALUE"""),"https://www.tiktok.com/@kaaaaast")</f>
        <v>https://www.tiktok.com/@kaaaaast</v>
      </c>
      <c r="D90" s="415">
        <f>IFERROR(__xludf.DUMMYFUNCTION("""COMPUTED_VALUE"""),8.2243166916E10)</f>
        <v>82243166916</v>
      </c>
      <c r="E90" s="416">
        <f>IFERROR(__xludf.DUMMYFUNCTION("""COMPUTED_VALUE"""),0.0)</f>
        <v>0</v>
      </c>
      <c r="F90" s="417">
        <f>IFERROR(__xludf.DUMMYFUNCTION("""COMPUTED_VALUE"""),3.0)</f>
        <v>3</v>
      </c>
      <c r="G90" s="418" t="str">
        <f>IFERROR(__xludf.DUMMYFUNCTION("""COMPUTED_VALUE"""),"Rp6,9JT")</f>
        <v>Rp6,9JT</v>
      </c>
      <c r="H90" s="419"/>
      <c r="I90" s="420"/>
      <c r="J90" s="421"/>
      <c r="K90" s="422" t="str">
        <f>IFERROR(__xludf.DUMMYFUNCTION("""COMPUTED_VALUE"""),"https://vt.tiktok.com/ZSuHGdB2s/")</f>
        <v>https://vt.tiktok.com/ZSuHGdB2s/</v>
      </c>
      <c r="L90" s="419"/>
      <c r="M90" s="422" t="str">
        <f>IFERROR(__xludf.DUMMYFUNCTION("""COMPUTED_VALUE"""),"https://vt.tiktok.com/ZSH27WGKM/")</f>
        <v>https://vt.tiktok.com/ZSH27WGKM/</v>
      </c>
      <c r="N90" s="419"/>
      <c r="O90" s="422" t="str">
        <f>IFERROR(__xludf.DUMMYFUNCTION("""COMPUTED_VALUE"""),"https://vt.tiktok.com/ZSH53g7rM/")</f>
        <v>https://vt.tiktok.com/ZSH53g7rM/</v>
      </c>
      <c r="P90" s="419"/>
      <c r="Q90" s="423"/>
      <c r="R90" s="424">
        <f>IFERROR(__xludf.DUMMYFUNCTION("""COMPUTED_VALUE"""),131868.0)</f>
        <v>131868</v>
      </c>
      <c r="S90" s="424">
        <f>IFERROR(__xludf.DUMMYFUNCTION("""COMPUTED_VALUE"""),0.0)</f>
        <v>0</v>
      </c>
      <c r="T90" s="425">
        <f>IFERROR(__xludf.DUMMYFUNCTION("""COMPUTED_VALUE"""),0.0)</f>
        <v>0</v>
      </c>
      <c r="U90" s="425">
        <f>IFERROR(__xludf.DUMMYFUNCTION("""COMPUTED_VALUE"""),0.0)</f>
        <v>0</v>
      </c>
    </row>
    <row r="91" ht="15.75" hidden="1" customHeight="1">
      <c r="A91" s="412" t="str">
        <f>IFERROR(__xludf.DUMMYFUNCTION("""COMPUTED_VALUE"""),"MICRO")</f>
        <v>MICRO</v>
      </c>
      <c r="B91" s="415" t="str">
        <f>IFERROR(__xludf.DUMMYFUNCTION("""COMPUTED_VALUE"""),"weni_ilham")</f>
        <v>weni_ilham</v>
      </c>
      <c r="C91" s="414" t="str">
        <f>IFERROR(__xludf.DUMMYFUNCTION("""COMPUTED_VALUE"""),"https://www.tiktok.com/@weni_ilham")</f>
        <v>https://www.tiktok.com/@weni_ilham</v>
      </c>
      <c r="D91" s="415">
        <f>IFERROR(__xludf.DUMMYFUNCTION("""COMPUTED_VALUE"""),8.822452132E10)</f>
        <v>88224521320</v>
      </c>
      <c r="E91" s="416">
        <f>IFERROR(__xludf.DUMMYFUNCTION("""COMPUTED_VALUE"""),0.0)</f>
        <v>0</v>
      </c>
      <c r="F91" s="417">
        <f>IFERROR(__xludf.DUMMYFUNCTION("""COMPUTED_VALUE"""),3.0)</f>
        <v>3</v>
      </c>
      <c r="G91" s="418" t="str">
        <f>IFERROR(__xludf.DUMMYFUNCTION("""COMPUTED_VALUE"""),"Rp691,2RB")</f>
        <v>Rp691,2RB</v>
      </c>
      <c r="H91" s="419"/>
      <c r="I91" s="420"/>
      <c r="J91" s="421"/>
      <c r="K91" s="422" t="str">
        <f>IFERROR(__xludf.DUMMYFUNCTION("""COMPUTED_VALUE"""),"https://vt.tiktok.com/ZSmETDuoL/")</f>
        <v>https://vt.tiktok.com/ZSmETDuoL/</v>
      </c>
      <c r="L91" s="419"/>
      <c r="M91" s="422" t="str">
        <f>IFERROR(__xludf.DUMMYFUNCTION("""COMPUTED_VALUE"""),"https://vt.tiktok.com/ZSuRH4CPK/")</f>
        <v>https://vt.tiktok.com/ZSuRH4CPK/</v>
      </c>
      <c r="N91" s="419"/>
      <c r="O91" s="422" t="str">
        <f>IFERROR(__xludf.DUMMYFUNCTION("""COMPUTED_VALUE"""),"https://vt.tiktok.com/ZSuR929Uk/")</f>
        <v>https://vt.tiktok.com/ZSuR929Uk/</v>
      </c>
      <c r="P91" s="419"/>
      <c r="Q91" s="423"/>
      <c r="R91" s="424">
        <f>IFERROR(__xludf.DUMMYFUNCTION("""COMPUTED_VALUE"""),0.0)</f>
        <v>0</v>
      </c>
      <c r="S91" s="424">
        <f>IFERROR(__xludf.DUMMYFUNCTION("""COMPUTED_VALUE"""),0.0)</f>
        <v>0</v>
      </c>
      <c r="T91" s="425">
        <f>IFERROR(__xludf.DUMMYFUNCTION("""COMPUTED_VALUE"""),0.0)</f>
        <v>0</v>
      </c>
      <c r="U91" s="425">
        <f>IFERROR(__xludf.DUMMYFUNCTION("""COMPUTED_VALUE"""),0.0)</f>
        <v>0</v>
      </c>
    </row>
    <row r="92" ht="15.75" hidden="1" customHeight="1">
      <c r="A92" s="412" t="str">
        <f>IFERROR(__xludf.DUMMYFUNCTION("""COMPUTED_VALUE"""),"MICRO")</f>
        <v>MICRO</v>
      </c>
      <c r="B92" s="415" t="str">
        <f>IFERROR(__xludf.DUMMYFUNCTION("""COMPUTED_VALUE"""),"upaahsn")</f>
        <v>upaahsn</v>
      </c>
      <c r="C92" s="414" t="str">
        <f>IFERROR(__xludf.DUMMYFUNCTION("""COMPUTED_VALUE"""),"https://www.tiktok.com/@upaahsn")</f>
        <v>https://www.tiktok.com/@upaahsn</v>
      </c>
      <c r="D92" s="415">
        <f>IFERROR(__xludf.DUMMYFUNCTION("""COMPUTED_VALUE"""),8.2279790694E10)</f>
        <v>82279790694</v>
      </c>
      <c r="E92" s="416">
        <f>IFERROR(__xludf.DUMMYFUNCTION("""COMPUTED_VALUE"""),0.0)</f>
        <v>0</v>
      </c>
      <c r="F92" s="417">
        <f>IFERROR(__xludf.DUMMYFUNCTION("""COMPUTED_VALUE"""),3.0)</f>
        <v>3</v>
      </c>
      <c r="G92" s="418" t="str">
        <f>IFERROR(__xludf.DUMMYFUNCTION("""COMPUTED_VALUE"""),"Rp100RB-Rp500RB")</f>
        <v>Rp100RB-Rp500RB</v>
      </c>
      <c r="H92" s="419"/>
      <c r="I92" s="420"/>
      <c r="J92" s="421"/>
      <c r="K92" s="422" t="str">
        <f>IFERROR(__xludf.DUMMYFUNCTION("""COMPUTED_VALUE"""),"https://vt.tiktok.com/ZSHFsu9tP/")</f>
        <v>https://vt.tiktok.com/ZSHFsu9tP/</v>
      </c>
      <c r="L92" s="419"/>
      <c r="M92" s="422" t="str">
        <f>IFERROR(__xludf.DUMMYFUNCTION("""COMPUTED_VALUE"""),"https://vt.tiktok.com/ZS93qWr1G/")</f>
        <v>https://vt.tiktok.com/ZS93qWr1G/</v>
      </c>
      <c r="N92" s="419"/>
      <c r="O92" s="423"/>
      <c r="P92" s="419"/>
      <c r="Q92" s="423"/>
      <c r="R92" s="424">
        <f>IFERROR(__xludf.DUMMYFUNCTION("""COMPUTED_VALUE"""),0.0)</f>
        <v>0</v>
      </c>
      <c r="S92" s="424">
        <f>IFERROR(__xludf.DUMMYFUNCTION("""COMPUTED_VALUE"""),0.0)</f>
        <v>0</v>
      </c>
      <c r="T92" s="425">
        <f>IFERROR(__xludf.DUMMYFUNCTION("""COMPUTED_VALUE"""),0.0)</f>
        <v>0</v>
      </c>
      <c r="U92" s="425">
        <f>IFERROR(__xludf.DUMMYFUNCTION("""COMPUTED_VALUE"""),0.0)</f>
        <v>0</v>
      </c>
    </row>
    <row r="93" ht="15.75" hidden="1" customHeight="1">
      <c r="A93" s="412" t="str">
        <f>IFERROR(__xludf.DUMMYFUNCTION("""COMPUTED_VALUE"""),"NANO")</f>
        <v>NANO</v>
      </c>
      <c r="B93" s="415" t="str">
        <f>IFERROR(__xludf.DUMMYFUNCTION("""COMPUTED_VALUE"""),"hanasofianaa")</f>
        <v>hanasofianaa</v>
      </c>
      <c r="C93" s="414" t="str">
        <f>IFERROR(__xludf.DUMMYFUNCTION("""COMPUTED_VALUE"""),"https://www.tiktok.com/@hanasofianaa")</f>
        <v>https://www.tiktok.com/@hanasofianaa</v>
      </c>
      <c r="D93" s="415">
        <f>IFERROR(__xludf.DUMMYFUNCTION("""COMPUTED_VALUE"""),8.5711725311E10)</f>
        <v>85711725311</v>
      </c>
      <c r="E93" s="416">
        <f>IFERROR(__xludf.DUMMYFUNCTION("""COMPUTED_VALUE"""),0.0)</f>
        <v>0</v>
      </c>
      <c r="F93" s="417">
        <f>IFERROR(__xludf.DUMMYFUNCTION("""COMPUTED_VALUE"""),3.0)</f>
        <v>3</v>
      </c>
      <c r="G93" s="418" t="str">
        <f>IFERROR(__xludf.DUMMYFUNCTION("""COMPUTED_VALUE"""),"Rp1JT+")</f>
        <v>Rp1JT+</v>
      </c>
      <c r="H93" s="419"/>
      <c r="I93" s="420"/>
      <c r="J93" s="421"/>
      <c r="K93" s="426" t="str">
        <f>IFERROR(__xludf.DUMMYFUNCTION("""COMPUTED_VALUE"""),"https://vt.tiktok.com/ZSue5fEw7/")</f>
        <v>https://vt.tiktok.com/ZSue5fEw7/</v>
      </c>
      <c r="L93" s="419"/>
      <c r="M93" s="422" t="str">
        <f>IFERROR(__xludf.DUMMYFUNCTION("""COMPUTED_VALUE"""),"https://vt.tiktok.com/ZSuHNkShR/")</f>
        <v>https://vt.tiktok.com/ZSuHNkShR/</v>
      </c>
      <c r="N93" s="419"/>
      <c r="O93" s="422" t="str">
        <f>IFERROR(__xludf.DUMMYFUNCTION("""COMPUTED_VALUE"""),"https://vt.tiktok.com/ZSH2WHBoG/")</f>
        <v>https://vt.tiktok.com/ZSH2WHBoG/</v>
      </c>
      <c r="P93" s="419"/>
      <c r="Q93" s="423"/>
      <c r="R93" s="424">
        <f>IFERROR(__xludf.DUMMYFUNCTION("""COMPUTED_VALUE"""),0.0)</f>
        <v>0</v>
      </c>
      <c r="S93" s="424">
        <f>IFERROR(__xludf.DUMMYFUNCTION("""COMPUTED_VALUE"""),0.0)</f>
        <v>0</v>
      </c>
      <c r="T93" s="425">
        <f>IFERROR(__xludf.DUMMYFUNCTION("""COMPUTED_VALUE"""),0.0)</f>
        <v>0</v>
      </c>
      <c r="U93" s="425">
        <f>IFERROR(__xludf.DUMMYFUNCTION("""COMPUTED_VALUE"""),0.0)</f>
        <v>0</v>
      </c>
    </row>
    <row r="94" ht="15.75" hidden="1" customHeight="1">
      <c r="A94" s="412" t="str">
        <f>IFERROR(__xludf.DUMMYFUNCTION("""COMPUTED_VALUE"""),"MICRO")</f>
        <v>MICRO</v>
      </c>
      <c r="B94" s="415" t="str">
        <f>IFERROR(__xludf.DUMMYFUNCTION("""COMPUTED_VALUE"""),"dwitriyant")</f>
        <v>dwitriyant</v>
      </c>
      <c r="C94" s="414" t="str">
        <f>IFERROR(__xludf.DUMMYFUNCTION("""COMPUTED_VALUE"""),"https://www.tiktok.com/@dwitriyant")</f>
        <v>https://www.tiktok.com/@dwitriyant</v>
      </c>
      <c r="D94" s="415">
        <f>IFERROR(__xludf.DUMMYFUNCTION("""COMPUTED_VALUE"""),8.5784142744E10)</f>
        <v>85784142744</v>
      </c>
      <c r="E94" s="416">
        <f>IFERROR(__xludf.DUMMYFUNCTION("""COMPUTED_VALUE"""),0.0)</f>
        <v>0</v>
      </c>
      <c r="F94" s="417">
        <f>IFERROR(__xludf.DUMMYFUNCTION("""COMPUTED_VALUE"""),3.0)</f>
        <v>3</v>
      </c>
      <c r="G94" s="418" t="str">
        <f>IFERROR(__xludf.DUMMYFUNCTION("""COMPUTED_VALUE"""),"Rp679,1JT")</f>
        <v>Rp679,1JT</v>
      </c>
      <c r="H94" s="419"/>
      <c r="I94" s="420"/>
      <c r="J94" s="421"/>
      <c r="K94" s="422" t="str">
        <f>IFERROR(__xludf.DUMMYFUNCTION("""COMPUTED_VALUE"""),"https://vt.tiktok.com/ZSHGnBpNS/")</f>
        <v>https://vt.tiktok.com/ZSHGnBpNS/</v>
      </c>
      <c r="L94" s="419"/>
      <c r="M94" s="423"/>
      <c r="N94" s="419"/>
      <c r="O94" s="423"/>
      <c r="P94" s="419"/>
      <c r="Q94" s="423"/>
      <c r="R94" s="424">
        <f>IFERROR(__xludf.DUMMYFUNCTION("""COMPUTED_VALUE"""),0.0)</f>
        <v>0</v>
      </c>
      <c r="S94" s="424">
        <f>IFERROR(__xludf.DUMMYFUNCTION("""COMPUTED_VALUE"""),0.0)</f>
        <v>0</v>
      </c>
      <c r="T94" s="425">
        <f>IFERROR(__xludf.DUMMYFUNCTION("""COMPUTED_VALUE"""),0.0)</f>
        <v>0</v>
      </c>
      <c r="U94" s="425">
        <f>IFERROR(__xludf.DUMMYFUNCTION("""COMPUTED_VALUE"""),0.0)</f>
        <v>0</v>
      </c>
    </row>
    <row r="95" ht="15.75" customHeight="1">
      <c r="A95" s="412" t="str">
        <f>IFERROR(__xludf.DUMMYFUNCTION("""COMPUTED_VALUE"""),"NANO")</f>
        <v>NANO</v>
      </c>
      <c r="B95" s="415" t="str">
        <f>IFERROR(__xludf.DUMMYFUNCTION("""COMPUTED_VALUE"""),"nomnom_0505")</f>
        <v>nomnom_0505</v>
      </c>
      <c r="C95" s="414" t="str">
        <f>IFERROR(__xludf.DUMMYFUNCTION("""COMPUTED_VALUE"""),"https://www.tiktok.com/@nomnom_0505")</f>
        <v>https://www.tiktok.com/@nomnom_0505</v>
      </c>
      <c r="D95" s="415">
        <f>IFERROR(__xludf.DUMMYFUNCTION("""COMPUTED_VALUE"""),8.1350842616E10)</f>
        <v>81350842616</v>
      </c>
      <c r="E95" s="416">
        <f>IFERROR(__xludf.DUMMYFUNCTION("""COMPUTED_VALUE"""),0.0)</f>
        <v>0</v>
      </c>
      <c r="F95" s="417">
        <f>IFERROR(__xludf.DUMMYFUNCTION("""COMPUTED_VALUE"""),4.0)</f>
        <v>4</v>
      </c>
      <c r="G95" s="418" t="str">
        <f>IFERROR(__xludf.DUMMYFUNCTION("""COMPUTED_VALUE"""),"Rp1,1JT")</f>
        <v>Rp1,1JT</v>
      </c>
      <c r="H95" s="419"/>
      <c r="I95" s="420"/>
      <c r="J95" s="421"/>
      <c r="K95" s="422" t="str">
        <f>IFERROR(__xludf.DUMMYFUNCTION("""COMPUTED_VALUE"""),"https://vt.tiktok.com/ZSufgYK7J/")</f>
        <v>https://vt.tiktok.com/ZSufgYK7J/</v>
      </c>
      <c r="L95" s="419"/>
      <c r="M95" s="422" t="str">
        <f>IFERROR(__xludf.DUMMYFUNCTION("""COMPUTED_VALUE"""),"https://vt.tiktok.com/ZSufgYK7J/")</f>
        <v>https://vt.tiktok.com/ZSufgYK7J/</v>
      </c>
      <c r="N95" s="419"/>
      <c r="O95" s="422" t="str">
        <f>IFERROR(__xludf.DUMMYFUNCTION("""COMPUTED_VALUE"""),"https://vt.tiktok.com/ZSuV7EGwP/")</f>
        <v>https://vt.tiktok.com/ZSuV7EGwP/</v>
      </c>
      <c r="P95" s="419"/>
      <c r="Q95" s="422" t="str">
        <f>IFERROR(__xludf.DUMMYFUNCTION("""COMPUTED_VALUE"""),"https://vt.tiktok.com/ZSuc3h1xG/")</f>
        <v>https://vt.tiktok.com/ZSuc3h1xG/</v>
      </c>
      <c r="R95" s="424">
        <f>IFERROR(__xludf.DUMMYFUNCTION("""COMPUTED_VALUE"""),0.0)</f>
        <v>0</v>
      </c>
      <c r="S95" s="424">
        <f>IFERROR(__xludf.DUMMYFUNCTION("""COMPUTED_VALUE"""),0.0)</f>
        <v>0</v>
      </c>
      <c r="T95" s="425">
        <f>IFERROR(__xludf.DUMMYFUNCTION("""COMPUTED_VALUE"""),0.0)</f>
        <v>0</v>
      </c>
      <c r="U95" s="425">
        <f>IFERROR(__xludf.DUMMYFUNCTION("""COMPUTED_VALUE"""),0.0)</f>
        <v>0</v>
      </c>
    </row>
    <row r="96" ht="15.75" customHeight="1">
      <c r="A96" s="412" t="str">
        <f>IFERROR(__xludf.DUMMYFUNCTION("""COMPUTED_VALUE"""),"NANO")</f>
        <v>NANO</v>
      </c>
      <c r="B96" s="415" t="str">
        <f>IFERROR(__xludf.DUMMYFUNCTION("""COMPUTED_VALUE"""),"bilaaabc_")</f>
        <v>bilaaabc_</v>
      </c>
      <c r="C96" s="414" t="str">
        <f>IFERROR(__xludf.DUMMYFUNCTION("""COMPUTED_VALUE"""),"https://www.tiktok.com/@bilaaabc_")</f>
        <v>https://www.tiktok.com/@bilaaabc_</v>
      </c>
      <c r="D96" s="415">
        <f>IFERROR(__xludf.DUMMYFUNCTION("""COMPUTED_VALUE"""),8.3128319753E10)</f>
        <v>83128319753</v>
      </c>
      <c r="E96" s="416">
        <f>IFERROR(__xludf.DUMMYFUNCTION("""COMPUTED_VALUE"""),0.0)</f>
        <v>0</v>
      </c>
      <c r="F96" s="417">
        <f>IFERROR(__xludf.DUMMYFUNCTION("""COMPUTED_VALUE"""),4.0)</f>
        <v>4</v>
      </c>
      <c r="G96" s="418" t="str">
        <f>IFERROR(__xludf.DUMMYFUNCTION("""COMPUTED_VALUE"""),"Rp50RB")</f>
        <v>Rp50RB</v>
      </c>
      <c r="H96" s="419"/>
      <c r="I96" s="420"/>
      <c r="J96" s="421"/>
      <c r="K96" s="422" t="str">
        <f>IFERROR(__xludf.DUMMYFUNCTION("""COMPUTED_VALUE"""),"https://vt.tiktok.com/ZSuvpo3TY/")</f>
        <v>https://vt.tiktok.com/ZSuvpo3TY/</v>
      </c>
      <c r="L96" s="419"/>
      <c r="M96" s="422" t="str">
        <f>IFERROR(__xludf.DUMMYFUNCTION("""COMPUTED_VALUE"""),"https://vt.tiktok.com/ZSuvsHM1T/")</f>
        <v>https://vt.tiktok.com/ZSuvsHM1T/</v>
      </c>
      <c r="N96" s="419"/>
      <c r="O96" s="422" t="str">
        <f>IFERROR(__xludf.DUMMYFUNCTION("""COMPUTED_VALUE"""),"https://vt.tiktok.com/ZSuXrb7De/")</f>
        <v>https://vt.tiktok.com/ZSuXrb7De/</v>
      </c>
      <c r="P96" s="419"/>
      <c r="Q96" s="422" t="str">
        <f>IFERROR(__xludf.DUMMYFUNCTION("""COMPUTED_VALUE"""),"https://vt.tiktok.com/ZSuqj3XcU/")</f>
        <v>https://vt.tiktok.com/ZSuqj3XcU/</v>
      </c>
      <c r="R96" s="424">
        <f>IFERROR(__xludf.DUMMYFUNCTION("""COMPUTED_VALUE"""),0.0)</f>
        <v>0</v>
      </c>
      <c r="S96" s="424">
        <f>IFERROR(__xludf.DUMMYFUNCTION("""COMPUTED_VALUE"""),0.0)</f>
        <v>0</v>
      </c>
      <c r="T96" s="425">
        <f>IFERROR(__xludf.DUMMYFUNCTION("""COMPUTED_VALUE"""),0.0)</f>
        <v>0</v>
      </c>
      <c r="U96" s="425">
        <f>IFERROR(__xludf.DUMMYFUNCTION("""COMPUTED_VALUE"""),0.0)</f>
        <v>0</v>
      </c>
    </row>
    <row r="97" ht="15.75" customHeight="1">
      <c r="A97" s="412" t="str">
        <f>IFERROR(__xludf.DUMMYFUNCTION("""COMPUTED_VALUE"""),"NANO")</f>
        <v>NANO</v>
      </c>
      <c r="B97" s="415" t="str">
        <f>IFERROR(__xludf.DUMMYFUNCTION("""COMPUTED_VALUE"""),"febrianggunn ")</f>
        <v>febrianggunn </v>
      </c>
      <c r="C97" s="414" t="str">
        <f>IFERROR(__xludf.DUMMYFUNCTION("""COMPUTED_VALUE"""),"https://www.tiktok.com/@febrianggunn ")</f>
        <v>https://www.tiktok.com/@febrianggunn </v>
      </c>
      <c r="D97" s="415">
        <f>IFERROR(__xludf.DUMMYFUNCTION("""COMPUTED_VALUE"""),8.2282397046E10)</f>
        <v>82282397046</v>
      </c>
      <c r="E97" s="416">
        <f>IFERROR(__xludf.DUMMYFUNCTION("""COMPUTED_VALUE"""),0.0)</f>
        <v>0</v>
      </c>
      <c r="F97" s="417">
        <f>IFERROR(__xludf.DUMMYFUNCTION("""COMPUTED_VALUE"""),4.0)</f>
        <v>4</v>
      </c>
      <c r="G97" s="418" t="str">
        <f>IFERROR(__xludf.DUMMYFUNCTION("""COMPUTED_VALUE"""),"Rp4,3JT")</f>
        <v>Rp4,3JT</v>
      </c>
      <c r="H97" s="419"/>
      <c r="I97" s="420"/>
      <c r="J97" s="421"/>
      <c r="K97" s="422" t="str">
        <f>IFERROR(__xludf.DUMMYFUNCTION("""COMPUTED_VALUE"""),"https://vt.tiktok.com/ZSuJs8tPp/")</f>
        <v>https://vt.tiktok.com/ZSuJs8tPp/</v>
      </c>
      <c r="L97" s="419"/>
      <c r="M97" s="422" t="str">
        <f>IFERROR(__xludf.DUMMYFUNCTION("""COMPUTED_VALUE"""),"https://vt.tiktok.com/ZSuJpg7vr/")</f>
        <v>https://vt.tiktok.com/ZSuJpg7vr/</v>
      </c>
      <c r="N97" s="419"/>
      <c r="O97" s="422" t="str">
        <f>IFERROR(__xludf.DUMMYFUNCTION("""COMPUTED_VALUE"""),"https://vt.tiktok.com/ZSuL4oBgq/")</f>
        <v>https://vt.tiktok.com/ZSuL4oBgq/</v>
      </c>
      <c r="P97" s="419"/>
      <c r="Q97" s="422" t="str">
        <f>IFERROR(__xludf.DUMMYFUNCTION("""COMPUTED_VALUE"""),"https://vt.tiktok.com/ZSuL4tvG4/")</f>
        <v>https://vt.tiktok.com/ZSuL4tvG4/</v>
      </c>
      <c r="R97" s="424">
        <f>IFERROR(__xludf.DUMMYFUNCTION("""COMPUTED_VALUE"""),0.0)</f>
        <v>0</v>
      </c>
      <c r="S97" s="424">
        <f>IFERROR(__xludf.DUMMYFUNCTION("""COMPUTED_VALUE"""),0.0)</f>
        <v>0</v>
      </c>
      <c r="T97" s="425">
        <f>IFERROR(__xludf.DUMMYFUNCTION("""COMPUTED_VALUE"""),0.0)</f>
        <v>0</v>
      </c>
      <c r="U97" s="425">
        <f>IFERROR(__xludf.DUMMYFUNCTION("""COMPUTED_VALUE"""),0.0)</f>
        <v>0</v>
      </c>
    </row>
    <row r="98" ht="15.75" customHeight="1">
      <c r="A98" s="412" t="str">
        <f>IFERROR(__xludf.DUMMYFUNCTION("""COMPUTED_VALUE"""),"NANO")</f>
        <v>NANO</v>
      </c>
      <c r="B98" s="415" t="str">
        <f>IFERROR(__xludf.DUMMYFUNCTION("""COMPUTED_VALUE"""),"destikadwip24 ")</f>
        <v>destikadwip24 </v>
      </c>
      <c r="C98" s="414" t="str">
        <f>IFERROR(__xludf.DUMMYFUNCTION("""COMPUTED_VALUE"""),"https://www.tiktok.com/@destikadwip24 ")</f>
        <v>https://www.tiktok.com/@destikadwip24 </v>
      </c>
      <c r="D98" s="415">
        <f>IFERROR(__xludf.DUMMYFUNCTION("""COMPUTED_VALUE"""),8.528167448E10)</f>
        <v>85281674480</v>
      </c>
      <c r="E98" s="416">
        <f>IFERROR(__xludf.DUMMYFUNCTION("""COMPUTED_VALUE"""),0.0)</f>
        <v>0</v>
      </c>
      <c r="F98" s="417">
        <f>IFERROR(__xludf.DUMMYFUNCTION("""COMPUTED_VALUE"""),4.0)</f>
        <v>4</v>
      </c>
      <c r="G98" s="418" t="str">
        <f>IFERROR(__xludf.DUMMYFUNCTION("""COMPUTED_VALUE"""),"Rp155,6RB")</f>
        <v>Rp155,6RB</v>
      </c>
      <c r="H98" s="419"/>
      <c r="I98" s="420"/>
      <c r="J98" s="421"/>
      <c r="K98" s="422" t="str">
        <f>IFERROR(__xludf.DUMMYFUNCTION("""COMPUTED_VALUE"""),"https://vt.tiktok.com/ZSuUWETMR/")</f>
        <v>https://vt.tiktok.com/ZSuUWETMR/</v>
      </c>
      <c r="L98" s="419"/>
      <c r="M98" s="422" t="str">
        <f>IFERROR(__xludf.DUMMYFUNCTION("""COMPUTED_VALUE"""),"https://vt.tiktok.com/ZSH72NS1f/")</f>
        <v>https://vt.tiktok.com/ZSH72NS1f/</v>
      </c>
      <c r="N98" s="419"/>
      <c r="O98" s="422" t="str">
        <f>IFERROR(__xludf.DUMMYFUNCTION("""COMPUTED_VALUE"""),"https://vt.tiktok.com/ZSuxvb42Y/")</f>
        <v>https://vt.tiktok.com/ZSuxvb42Y/</v>
      </c>
      <c r="P98" s="419"/>
      <c r="Q98" s="422" t="str">
        <f>IFERROR(__xludf.DUMMYFUNCTION("""COMPUTED_VALUE"""),"https://vt.tiktok.com/ZS9DmsVnW/")</f>
        <v>https://vt.tiktok.com/ZS9DmsVnW/</v>
      </c>
      <c r="R98" s="424">
        <f>IFERROR(__xludf.DUMMYFUNCTION("""COMPUTED_VALUE"""),0.0)</f>
        <v>0</v>
      </c>
      <c r="S98" s="427">
        <f>IFERROR(__xludf.DUMMYFUNCTION("""COMPUTED_VALUE"""),0.0)</f>
        <v>0</v>
      </c>
      <c r="T98" s="425">
        <f>IFERROR(__xludf.DUMMYFUNCTION("""COMPUTED_VALUE"""),0.0)</f>
        <v>0</v>
      </c>
      <c r="U98" s="425">
        <f>IFERROR(__xludf.DUMMYFUNCTION("""COMPUTED_VALUE"""),0.0)</f>
        <v>0</v>
      </c>
    </row>
    <row r="99" ht="15.75" hidden="1" customHeight="1">
      <c r="A99" s="412" t="str">
        <f>IFERROR(__xludf.DUMMYFUNCTION("""COMPUTED_VALUE"""),"MICRO")</f>
        <v>MICRO</v>
      </c>
      <c r="B99" s="415" t="str">
        <f>IFERROR(__xludf.DUMMYFUNCTION("""COMPUTED_VALUE"""),"sabinaaccura")</f>
        <v>sabinaaccura</v>
      </c>
      <c r="C99" s="414" t="str">
        <f>IFERROR(__xludf.DUMMYFUNCTION("""COMPUTED_VALUE"""),"https://www.tiktok.com/@sabinaaccura")</f>
        <v>https://www.tiktok.com/@sabinaaccura</v>
      </c>
      <c r="D99" s="415"/>
      <c r="E99" s="416">
        <f>IFERROR(__xludf.DUMMYFUNCTION("""COMPUTED_VALUE"""),0.0)</f>
        <v>0</v>
      </c>
      <c r="F99" s="417">
        <f>IFERROR(__xludf.DUMMYFUNCTION("""COMPUTED_VALUE"""),1.0)</f>
        <v>1</v>
      </c>
      <c r="G99" s="418" t="str">
        <f>IFERROR(__xludf.DUMMYFUNCTION("""COMPUTED_VALUE"""),"Rp1JT+")</f>
        <v>Rp1JT+</v>
      </c>
      <c r="H99" s="419"/>
      <c r="I99" s="420"/>
      <c r="J99" s="421"/>
      <c r="K99" s="422" t="str">
        <f>IFERROR(__xludf.DUMMYFUNCTION("""COMPUTED_VALUE"""),"https://vt.tiktok.com/ZSHB7Eaab/")</f>
        <v>https://vt.tiktok.com/ZSHB7Eaab/</v>
      </c>
      <c r="L99" s="419"/>
      <c r="M99" s="423"/>
      <c r="N99" s="419"/>
      <c r="O99" s="423"/>
      <c r="P99" s="419"/>
      <c r="Q99" s="423"/>
      <c r="R99" s="424">
        <f>IFERROR(__xludf.DUMMYFUNCTION("""COMPUTED_VALUE"""),0.0)</f>
        <v>0</v>
      </c>
      <c r="S99" s="427">
        <f>IFERROR(__xludf.DUMMYFUNCTION("""COMPUTED_VALUE"""),0.0)</f>
        <v>0</v>
      </c>
      <c r="T99" s="425">
        <f>IFERROR(__xludf.DUMMYFUNCTION("""COMPUTED_VALUE"""),0.0)</f>
        <v>0</v>
      </c>
      <c r="U99" s="425">
        <f>IFERROR(__xludf.DUMMYFUNCTION("""COMPUTED_VALUE"""),0.0)</f>
        <v>0</v>
      </c>
    </row>
    <row r="100" ht="15.75" customHeight="1">
      <c r="A100" s="412" t="str">
        <f>IFERROR(__xludf.DUMMYFUNCTION("""COMPUTED_VALUE"""),"MACRO")</f>
        <v>MACRO</v>
      </c>
      <c r="B100" s="415" t="str">
        <f>IFERROR(__xludf.DUMMYFUNCTION("""COMPUTED_VALUE"""),"bbydreamer93")</f>
        <v>bbydreamer93</v>
      </c>
      <c r="C100" s="414" t="str">
        <f>IFERROR(__xludf.DUMMYFUNCTION("""COMPUTED_VALUE"""),"https://www.tiktok.com/@bbydreamer93")</f>
        <v>https://www.tiktok.com/@bbydreamer93</v>
      </c>
      <c r="D100" s="415">
        <f>IFERROR(__xludf.DUMMYFUNCTION("""COMPUTED_VALUE"""),8.2129140535E10)</f>
        <v>82129140535</v>
      </c>
      <c r="E100" s="416">
        <f>IFERROR(__xludf.DUMMYFUNCTION("""COMPUTED_VALUE"""),0.0)</f>
        <v>0</v>
      </c>
      <c r="F100" s="417">
        <f>IFERROR(__xludf.DUMMYFUNCTION("""COMPUTED_VALUE"""),4.0)</f>
        <v>4</v>
      </c>
      <c r="G100" s="418" t="str">
        <f>IFERROR(__xludf.DUMMYFUNCTION("""COMPUTED_VALUE"""),"Rp138,5JT")</f>
        <v>Rp138,5JT</v>
      </c>
      <c r="H100" s="419"/>
      <c r="I100" s="420"/>
      <c r="J100" s="421"/>
      <c r="K100" s="422" t="str">
        <f>IFERROR(__xludf.DUMMYFUNCTION("""COMPUTED_VALUE"""),"https://vt.tiktok.com/ZSH8XSBLj/")</f>
        <v>https://vt.tiktok.com/ZSH8XSBLj/</v>
      </c>
      <c r="L100" s="419"/>
      <c r="M100" s="422" t="str">
        <f>IFERROR(__xludf.DUMMYFUNCTION("""COMPUTED_VALUE"""),"https://vt.tiktok.com/ZSH8XyNYD/")</f>
        <v>https://vt.tiktok.com/ZSH8XyNYD/</v>
      </c>
      <c r="N100" s="419"/>
      <c r="O100" s="422" t="str">
        <f>IFERROR(__xludf.DUMMYFUNCTION("""COMPUTED_VALUE"""),"https://vt.tiktok.com/ZS9DMqw4E/")</f>
        <v>https://vt.tiktok.com/ZS9DMqw4E/</v>
      </c>
      <c r="P100" s="419"/>
      <c r="Q100" s="422" t="str">
        <f>IFERROR(__xludf.DUMMYFUNCTION("""COMPUTED_VALUE"""),"https://vt.tiktok.com/ZS9p5TPFf/")</f>
        <v>https://vt.tiktok.com/ZS9p5TPFf/</v>
      </c>
      <c r="R100" s="424">
        <f>IFERROR(__xludf.DUMMYFUNCTION("""COMPUTED_VALUE"""),0.0)</f>
        <v>0</v>
      </c>
      <c r="S100" s="427">
        <f>IFERROR(__xludf.DUMMYFUNCTION("""COMPUTED_VALUE"""),0.0)</f>
        <v>0</v>
      </c>
      <c r="T100" s="425">
        <f>IFERROR(__xludf.DUMMYFUNCTION("""COMPUTED_VALUE"""),0.0)</f>
        <v>0</v>
      </c>
      <c r="U100" s="425">
        <f>IFERROR(__xludf.DUMMYFUNCTION("""COMPUTED_VALUE"""),0.0)</f>
        <v>0</v>
      </c>
    </row>
    <row r="101" ht="15.75" customHeight="1">
      <c r="A101" s="412" t="str">
        <f>IFERROR(__xludf.DUMMYFUNCTION("""COMPUTED_VALUE"""),"NANO")</f>
        <v>NANO</v>
      </c>
      <c r="B101" s="415" t="str">
        <f>IFERROR(__xludf.DUMMYFUNCTION("""COMPUTED_VALUE"""),"Sifaaa.97")</f>
        <v>Sifaaa.97</v>
      </c>
      <c r="C101" s="414" t="str">
        <f>IFERROR(__xludf.DUMMYFUNCTION("""COMPUTED_VALUE"""),"https://www.tiktok.com/@Sifaaa.97")</f>
        <v>https://www.tiktok.com/@Sifaaa.97</v>
      </c>
      <c r="D101" s="415">
        <f>IFERROR(__xludf.DUMMYFUNCTION("""COMPUTED_VALUE"""),8.588248021E10)</f>
        <v>85882480210</v>
      </c>
      <c r="E101" s="416">
        <f>IFERROR(__xludf.DUMMYFUNCTION("""COMPUTED_VALUE"""),0.0)</f>
        <v>0</v>
      </c>
      <c r="F101" s="417">
        <f>IFERROR(__xludf.DUMMYFUNCTION("""COMPUTED_VALUE"""),4.0)</f>
        <v>4</v>
      </c>
      <c r="G101" s="418" t="str">
        <f>IFERROR(__xludf.DUMMYFUNCTION("""COMPUTED_VALUE"""),"Rp2,2JT")</f>
        <v>Rp2,2JT</v>
      </c>
      <c r="H101" s="419"/>
      <c r="I101" s="420"/>
      <c r="J101" s="421"/>
      <c r="K101" s="422" t="str">
        <f>IFERROR(__xludf.DUMMYFUNCTION("""COMPUTED_VALUE"""),"https://www.tiktok.com/@sifaaa.97/video/7613341619403623700?is_from_webapp=1&amp;sender_device=pc")</f>
        <v>https://www.tiktok.com/@sifaaa.97/video/7613341619403623700?is_from_webapp=1&amp;sender_device=pc</v>
      </c>
      <c r="L101" s="419"/>
      <c r="M101" s="422" t="str">
        <f>IFERROR(__xludf.DUMMYFUNCTION("""COMPUTED_VALUE"""),"https://vt.tiktok.com/ZSuFecLxp/")</f>
        <v>https://vt.tiktok.com/ZSuFecLxp/</v>
      </c>
      <c r="N101" s="419"/>
      <c r="O101" s="422" t="str">
        <f>IFERROR(__xludf.DUMMYFUNCTION("""COMPUTED_VALUE"""),"https://vt.tiktok.com/ZSuheHHwL/")</f>
        <v>https://vt.tiktok.com/ZSuheHHwL/</v>
      </c>
      <c r="P101" s="419"/>
      <c r="Q101" s="422" t="str">
        <f>IFERROR(__xludf.DUMMYFUNCTION("""COMPUTED_VALUE"""),"https://vt.tiktok.com/ZSuyFt7qJ/")</f>
        <v>https://vt.tiktok.com/ZSuyFt7qJ/</v>
      </c>
      <c r="R101" s="424">
        <f>IFERROR(__xludf.DUMMYFUNCTION("""COMPUTED_VALUE"""),0.0)</f>
        <v>0</v>
      </c>
      <c r="S101" s="427">
        <f>IFERROR(__xludf.DUMMYFUNCTION("""COMPUTED_VALUE"""),0.0)</f>
        <v>0</v>
      </c>
      <c r="T101" s="425">
        <f>IFERROR(__xludf.DUMMYFUNCTION("""COMPUTED_VALUE"""),0.0)</f>
        <v>0</v>
      </c>
      <c r="U101" s="425">
        <f>IFERROR(__xludf.DUMMYFUNCTION("""COMPUTED_VALUE"""),0.0)</f>
        <v>0</v>
      </c>
    </row>
    <row r="102" ht="15.75" customHeight="1">
      <c r="A102" s="412" t="str">
        <f>IFERROR(__xludf.DUMMYFUNCTION("""COMPUTED_VALUE"""),"NANO")</f>
        <v>NANO</v>
      </c>
      <c r="B102" s="415" t="str">
        <f>IFERROR(__xludf.DUMMYFUNCTION("""COMPUTED_VALUE"""),"Okiethamrin98")</f>
        <v>Okiethamrin98</v>
      </c>
      <c r="C102" s="414" t="str">
        <f>IFERROR(__xludf.DUMMYFUNCTION("""COMPUTED_VALUE"""),"https://www.tiktok.com/@Okiethamrin98")</f>
        <v>https://www.tiktok.com/@Okiethamrin98</v>
      </c>
      <c r="D102" s="415">
        <f>IFERROR(__xludf.DUMMYFUNCTION("""COMPUTED_VALUE"""),8.2269652915E10)</f>
        <v>82269652915</v>
      </c>
      <c r="E102" s="416">
        <f>IFERROR(__xludf.DUMMYFUNCTION("""COMPUTED_VALUE"""),0.0)</f>
        <v>0</v>
      </c>
      <c r="F102" s="417">
        <f>IFERROR(__xludf.DUMMYFUNCTION("""COMPUTED_VALUE"""),4.0)</f>
        <v>4</v>
      </c>
      <c r="G102" s="418" t="str">
        <f>IFERROR(__xludf.DUMMYFUNCTION("""COMPUTED_VALUE"""),"Rp52JT")</f>
        <v>Rp52JT</v>
      </c>
      <c r="H102" s="419"/>
      <c r="I102" s="420"/>
      <c r="J102" s="421"/>
      <c r="K102" s="422" t="str">
        <f>IFERROR(__xludf.DUMMYFUNCTION("""COMPUTED_VALUE"""),"https://www.tiktok.com/@okiethamrin98/video/7614788525938035988?is_from_webapp=1&amp;sender_device=pc")</f>
        <v>https://www.tiktok.com/@okiethamrin98/video/7614788525938035988?is_from_webapp=1&amp;sender_device=pc</v>
      </c>
      <c r="L102" s="419"/>
      <c r="M102" s="422" t="str">
        <f>IFERROR(__xludf.DUMMYFUNCTION("""COMPUTED_VALUE"""),"https://vt.tiktok.com/ZSuysnKSe/")</f>
        <v>https://vt.tiktok.com/ZSuysnKSe/</v>
      </c>
      <c r="N102" s="419"/>
      <c r="O102" s="422" t="str">
        <f>IFERROR(__xludf.DUMMYFUNCTION("""COMPUTED_VALUE"""),"https://vt.tiktok.com/ZSuyGujnB/")</f>
        <v>https://vt.tiktok.com/ZSuyGujnB/</v>
      </c>
      <c r="P102" s="419"/>
      <c r="Q102" s="422" t="str">
        <f>IFERROR(__xludf.DUMMYFUNCTION("""COMPUTED_VALUE"""),"https://vt.tiktok.com/ZSH82XwWX/")</f>
        <v>https://vt.tiktok.com/ZSH82XwWX/</v>
      </c>
      <c r="R102" s="424">
        <f>IFERROR(__xludf.DUMMYFUNCTION("""COMPUTED_VALUE"""),127377.0)</f>
        <v>127377</v>
      </c>
      <c r="S102" s="427">
        <f>IFERROR(__xludf.DUMMYFUNCTION("""COMPUTED_VALUE"""),0.0)</f>
        <v>0</v>
      </c>
      <c r="T102" s="425">
        <f>IFERROR(__xludf.DUMMYFUNCTION("""COMPUTED_VALUE"""),0.0)</f>
        <v>0</v>
      </c>
      <c r="U102" s="425">
        <f>IFERROR(__xludf.DUMMYFUNCTION("""COMPUTED_VALUE"""),0.0)</f>
        <v>0</v>
      </c>
    </row>
    <row r="103" ht="15.75" customHeight="1">
      <c r="A103" s="412" t="str">
        <f>IFERROR(__xludf.DUMMYFUNCTION("""COMPUTED_VALUE"""),"NANO")</f>
        <v>NANO</v>
      </c>
      <c r="B103" s="415" t="str">
        <f>IFERROR(__xludf.DUMMYFUNCTION("""COMPUTED_VALUE"""),"woomentum")</f>
        <v>woomentum</v>
      </c>
      <c r="C103" s="414" t="str">
        <f>IFERROR(__xludf.DUMMYFUNCTION("""COMPUTED_VALUE"""),"https://www.tiktok.com/@woomentum")</f>
        <v>https://www.tiktok.com/@woomentum</v>
      </c>
      <c r="D103" s="415">
        <f>IFERROR(__xludf.DUMMYFUNCTION("""COMPUTED_VALUE"""),8.5974753647E10)</f>
        <v>85974753647</v>
      </c>
      <c r="E103" s="416">
        <f>IFERROR(__xludf.DUMMYFUNCTION("""COMPUTED_VALUE"""),0.0)</f>
        <v>0</v>
      </c>
      <c r="F103" s="417">
        <f>IFERROR(__xludf.DUMMYFUNCTION("""COMPUTED_VALUE"""),4.0)</f>
        <v>4</v>
      </c>
      <c r="G103" s="418" t="str">
        <f>IFERROR(__xludf.DUMMYFUNCTION("""COMPUTED_VALUE"""),"Rp461,5RB")</f>
        <v>Rp461,5RB</v>
      </c>
      <c r="H103" s="419"/>
      <c r="I103" s="420"/>
      <c r="J103" s="421"/>
      <c r="K103" s="422" t="str">
        <f>IFERROR(__xludf.DUMMYFUNCTION("""COMPUTED_VALUE"""),"https://vt.tiktok.com/ZSuAmwM7b/")</f>
        <v>https://vt.tiktok.com/ZSuAmwM7b/</v>
      </c>
      <c r="L103" s="419"/>
      <c r="M103" s="422" t="str">
        <f>IFERROR(__xludf.DUMMYFUNCTION("""COMPUTED_VALUE"""),"https://vt.tiktok.com/ZSuAuh8Wc/")</f>
        <v>https://vt.tiktok.com/ZSuAuh8Wc/</v>
      </c>
      <c r="N103" s="419"/>
      <c r="O103" s="422" t="str">
        <f>IFERROR(__xludf.DUMMYFUNCTION("""COMPUTED_VALUE"""),"https://vt.tiktok.com/ZSuAmo6X2/")</f>
        <v>https://vt.tiktok.com/ZSuAmo6X2/</v>
      </c>
      <c r="P103" s="419"/>
      <c r="Q103" s="422" t="str">
        <f>IFERROR(__xludf.DUMMYFUNCTION("""COMPUTED_VALUE"""),"https://vt.tiktok.com/ZSuAu6vwM/")</f>
        <v>https://vt.tiktok.com/ZSuAu6vwM/</v>
      </c>
      <c r="R103" s="424">
        <f>IFERROR(__xludf.DUMMYFUNCTION("""COMPUTED_VALUE"""),0.0)</f>
        <v>0</v>
      </c>
      <c r="S103" s="427">
        <f>IFERROR(__xludf.DUMMYFUNCTION("""COMPUTED_VALUE"""),0.0)</f>
        <v>0</v>
      </c>
      <c r="T103" s="425">
        <f>IFERROR(__xludf.DUMMYFUNCTION("""COMPUTED_VALUE"""),0.0)</f>
        <v>0</v>
      </c>
      <c r="U103" s="425">
        <f>IFERROR(__xludf.DUMMYFUNCTION("""COMPUTED_VALUE"""),0.0)</f>
        <v>0</v>
      </c>
    </row>
    <row r="104" ht="15.75" hidden="1" customHeight="1">
      <c r="A104" s="412" t="str">
        <f>IFERROR(__xludf.DUMMYFUNCTION("""COMPUTED_VALUE"""),"MICRO")</f>
        <v>MICRO</v>
      </c>
      <c r="B104" s="415" t="str">
        <f>IFERROR(__xludf.DUMMYFUNCTION("""COMPUTED_VALUE"""),"thya_pookie")</f>
        <v>thya_pookie</v>
      </c>
      <c r="C104" s="414" t="str">
        <f>IFERROR(__xludf.DUMMYFUNCTION("""COMPUTED_VALUE"""),"https://www.tiktok.com/@thya_pookie")</f>
        <v>https://www.tiktok.com/@thya_pookie</v>
      </c>
      <c r="D104" s="415">
        <f>IFERROR(__xludf.DUMMYFUNCTION("""COMPUTED_VALUE"""),8.5842486796E10)</f>
        <v>85842486796</v>
      </c>
      <c r="E104" s="416">
        <f>IFERROR(__xludf.DUMMYFUNCTION("""COMPUTED_VALUE"""),200000.0)</f>
        <v>200000</v>
      </c>
      <c r="F104" s="417">
        <f>IFERROR(__xludf.DUMMYFUNCTION("""COMPUTED_VALUE"""),2.0)</f>
        <v>2</v>
      </c>
      <c r="G104" s="418" t="str">
        <f>IFERROR(__xludf.DUMMYFUNCTION("""COMPUTED_VALUE"""),"Rp18,2JT")</f>
        <v>Rp18,2JT</v>
      </c>
      <c r="H104" s="419"/>
      <c r="I104" s="420"/>
      <c r="J104" s="421"/>
      <c r="K104" s="422" t="str">
        <f>IFERROR(__xludf.DUMMYFUNCTION("""COMPUTED_VALUE"""),"https://vt.tiktok.com/ZSur5gT9H/")</f>
        <v>https://vt.tiktok.com/ZSur5gT9H/</v>
      </c>
      <c r="L104" s="419"/>
      <c r="M104" s="422" t="str">
        <f>IFERROR(__xludf.DUMMYFUNCTION("""COMPUTED_VALUE"""),"https://vt.tiktok.com/ZSuUv7Eug/")</f>
        <v>https://vt.tiktok.com/ZSuUv7Eug/</v>
      </c>
      <c r="N104" s="419"/>
      <c r="O104" s="423"/>
      <c r="P104" s="419"/>
      <c r="Q104" s="423"/>
      <c r="R104" s="424">
        <f>IFERROR(__xludf.DUMMYFUNCTION("""COMPUTED_VALUE"""),0.0)</f>
        <v>0</v>
      </c>
      <c r="S104" s="427">
        <f>IFERROR(__xludf.DUMMYFUNCTION("""COMPUTED_VALUE"""),0.0)</f>
        <v>0</v>
      </c>
      <c r="T104" s="425">
        <f>IFERROR(__xludf.DUMMYFUNCTION("""COMPUTED_VALUE"""),0.0)</f>
        <v>0</v>
      </c>
      <c r="U104" s="425">
        <f>IFERROR(__xludf.DUMMYFUNCTION("""COMPUTED_VALUE"""),0.0)</f>
        <v>0</v>
      </c>
    </row>
    <row r="105" ht="15.75" hidden="1" customHeight="1">
      <c r="A105" s="412" t="str">
        <f>IFERROR(__xludf.DUMMYFUNCTION("""COMPUTED_VALUE"""),"NANO")</f>
        <v>NANO</v>
      </c>
      <c r="B105" s="415" t="str">
        <f>IFERROR(__xludf.DUMMYFUNCTION("""COMPUTED_VALUE"""),"hellomayaa_")</f>
        <v>hellomayaa_</v>
      </c>
      <c r="C105" s="414" t="str">
        <f>IFERROR(__xludf.DUMMYFUNCTION("""COMPUTED_VALUE"""),"https://www.tiktok.com/@hellomayaa_")</f>
        <v>https://www.tiktok.com/@hellomayaa_</v>
      </c>
      <c r="D105" s="415">
        <f>IFERROR(__xludf.DUMMYFUNCTION("""COMPUTED_VALUE"""),8.9529709013E10)</f>
        <v>89529709013</v>
      </c>
      <c r="E105" s="416">
        <f>IFERROR(__xludf.DUMMYFUNCTION("""COMPUTED_VALUE"""),0.0)</f>
        <v>0</v>
      </c>
      <c r="F105" s="417">
        <f>IFERROR(__xludf.DUMMYFUNCTION("""COMPUTED_VALUE"""),3.0)</f>
        <v>3</v>
      </c>
      <c r="G105" s="418" t="str">
        <f>IFERROR(__xludf.DUMMYFUNCTION("""COMPUTED_VALUE"""),"Rp16,1JT")</f>
        <v>Rp16,1JT</v>
      </c>
      <c r="H105" s="419"/>
      <c r="I105" s="420"/>
      <c r="J105" s="421"/>
      <c r="K105" s="423"/>
      <c r="L105" s="419"/>
      <c r="M105" s="423"/>
      <c r="N105" s="419"/>
      <c r="O105" s="423"/>
      <c r="P105" s="419"/>
      <c r="Q105" s="423"/>
      <c r="R105" s="425">
        <f>IFERROR(__xludf.DUMMYFUNCTION("""COMPUTED_VALUE"""),0.0)</f>
        <v>0</v>
      </c>
      <c r="S105" s="425">
        <f>IFERROR(__xludf.DUMMYFUNCTION("""COMPUTED_VALUE"""),0.0)</f>
        <v>0</v>
      </c>
      <c r="T105" s="425">
        <f>IFERROR(__xludf.DUMMYFUNCTION("""COMPUTED_VALUE"""),0.0)</f>
        <v>0</v>
      </c>
      <c r="U105" s="425">
        <f>IFERROR(__xludf.DUMMYFUNCTION("""COMPUTED_VALUE"""),0.0)</f>
        <v>0</v>
      </c>
    </row>
    <row r="106" ht="15.75" customHeight="1">
      <c r="A106" s="412" t="str">
        <f>IFERROR(__xludf.DUMMYFUNCTION("""COMPUTED_VALUE"""),"NANO")</f>
        <v>NANO</v>
      </c>
      <c r="B106" s="415" t="str">
        <f>IFERROR(__xludf.DUMMYFUNCTION("""COMPUTED_VALUE"""),"meloveminee ")</f>
        <v>meloveminee </v>
      </c>
      <c r="C106" s="414" t="str">
        <f>IFERROR(__xludf.DUMMYFUNCTION("""COMPUTED_VALUE"""),"https://www.tiktok.com/@meloveminee ")</f>
        <v>https://www.tiktok.com/@meloveminee </v>
      </c>
      <c r="D106" s="415">
        <f>IFERROR(__xludf.DUMMYFUNCTION("""COMPUTED_VALUE"""),8.5717797258E10)</f>
        <v>85717797258</v>
      </c>
      <c r="E106" s="416">
        <f>IFERROR(__xludf.DUMMYFUNCTION("""COMPUTED_VALUE"""),0.0)</f>
        <v>0</v>
      </c>
      <c r="F106" s="417">
        <f>IFERROR(__xludf.DUMMYFUNCTION("""COMPUTED_VALUE"""),4.0)</f>
        <v>4</v>
      </c>
      <c r="G106" s="418" t="str">
        <f>IFERROR(__xludf.DUMMYFUNCTION("""COMPUTED_VALUE"""),"Rp6,4JT")</f>
        <v>Rp6,4JT</v>
      </c>
      <c r="H106" s="419"/>
      <c r="I106" s="420"/>
      <c r="J106" s="421"/>
      <c r="K106" s="422" t="str">
        <f>IFERROR(__xludf.DUMMYFUNCTION("""COMPUTED_VALUE"""),"https://www.tiktok.com/@meloveminee/video/7613570054445124885?is_from_webapp=1&amp;sender_device=pc")</f>
        <v>https://www.tiktok.com/@meloveminee/video/7613570054445124885?is_from_webapp=1&amp;sender_device=pc</v>
      </c>
      <c r="L106" s="419"/>
      <c r="M106" s="422" t="str">
        <f>IFERROR(__xludf.DUMMYFUNCTION("""COMPUTED_VALUE"""),"https://www.tiktok.com/@meloveminee/video/7613607322086067476?is_from_webapp=1&amp;sender_device=pc")</f>
        <v>https://www.tiktok.com/@meloveminee/video/7613607322086067476?is_from_webapp=1&amp;sender_device=pc</v>
      </c>
      <c r="N106" s="419"/>
      <c r="O106" s="422" t="str">
        <f>IFERROR(__xludf.DUMMYFUNCTION("""COMPUTED_VALUE"""),"https://vt.tiktok.com/ZSujXKGsk/")</f>
        <v>https://vt.tiktok.com/ZSujXKGsk/</v>
      </c>
      <c r="P106" s="419"/>
      <c r="Q106" s="422" t="str">
        <f>IFERROR(__xludf.DUMMYFUNCTION("""COMPUTED_VALUE"""),"https://vt.tiktok.com/ZSuj48WJo/")</f>
        <v>https://vt.tiktok.com/ZSuj48WJo/</v>
      </c>
      <c r="R106" s="425">
        <f>IFERROR(__xludf.DUMMYFUNCTION("""COMPUTED_VALUE"""),0.0)</f>
        <v>0</v>
      </c>
      <c r="S106" s="425">
        <f>IFERROR(__xludf.DUMMYFUNCTION("""COMPUTED_VALUE"""),0.0)</f>
        <v>0</v>
      </c>
      <c r="T106" s="425">
        <f>IFERROR(__xludf.DUMMYFUNCTION("""COMPUTED_VALUE"""),0.0)</f>
        <v>0</v>
      </c>
      <c r="U106" s="425">
        <f>IFERROR(__xludf.DUMMYFUNCTION("""COMPUTED_VALUE"""),0.0)</f>
        <v>0</v>
      </c>
    </row>
    <row r="107" ht="15.75" hidden="1" customHeight="1">
      <c r="A107" s="412" t="str">
        <f>IFERROR(__xludf.DUMMYFUNCTION("""COMPUTED_VALUE"""),"NANO")</f>
        <v>NANO</v>
      </c>
      <c r="B107" s="415" t="str">
        <f>IFERROR(__xludf.DUMMYFUNCTION("""COMPUTED_VALUE"""),"Spallspill.sonia")</f>
        <v>Spallspill.sonia</v>
      </c>
      <c r="C107" s="414" t="str">
        <f>IFERROR(__xludf.DUMMYFUNCTION("""COMPUTED_VALUE"""),"https://www.tiktok.com/@Spallspill.sonia")</f>
        <v>https://www.tiktok.com/@Spallspill.sonia</v>
      </c>
      <c r="D107" s="415">
        <f>IFERROR(__xludf.DUMMYFUNCTION("""COMPUTED_VALUE"""),8.2229432909E10)</f>
        <v>82229432909</v>
      </c>
      <c r="E107" s="416">
        <f>IFERROR(__xludf.DUMMYFUNCTION("""COMPUTED_VALUE"""),0.0)</f>
        <v>0</v>
      </c>
      <c r="F107" s="417">
        <f>IFERROR(__xludf.DUMMYFUNCTION("""COMPUTED_VALUE"""),3.0)</f>
        <v>3</v>
      </c>
      <c r="G107" s="418" t="str">
        <f>IFERROR(__xludf.DUMMYFUNCTION("""COMPUTED_VALUE"""),"Rp62,5JT")</f>
        <v>Rp62,5JT</v>
      </c>
      <c r="H107" s="419"/>
      <c r="I107" s="420"/>
      <c r="J107" s="421"/>
      <c r="K107" s="422" t="str">
        <f>IFERROR(__xludf.DUMMYFUNCTION("""COMPUTED_VALUE"""),"https://vt.tiktok.com/ZSutN1c5c/")</f>
        <v>https://vt.tiktok.com/ZSutN1c5c/</v>
      </c>
      <c r="L107" s="419"/>
      <c r="M107" s="422" t="str">
        <f>IFERROR(__xludf.DUMMYFUNCTION("""COMPUTED_VALUE"""),"https://vt.tiktok.com/ZSutNXH3r/")</f>
        <v>https://vt.tiktok.com/ZSutNXH3r/</v>
      </c>
      <c r="N107" s="419"/>
      <c r="O107" s="422" t="str">
        <f>IFERROR(__xludf.DUMMYFUNCTION("""COMPUTED_VALUE"""),"https://vt.tiktok.com/ZSutNHgbP/")</f>
        <v>https://vt.tiktok.com/ZSutNHgbP/</v>
      </c>
      <c r="P107" s="419"/>
      <c r="Q107" s="423"/>
      <c r="R107" s="425">
        <f>IFERROR(__xludf.DUMMYFUNCTION("""COMPUTED_VALUE"""),0.0)</f>
        <v>0</v>
      </c>
      <c r="S107" s="425">
        <f>IFERROR(__xludf.DUMMYFUNCTION("""COMPUTED_VALUE"""),0.0)</f>
        <v>0</v>
      </c>
      <c r="T107" s="425">
        <f>IFERROR(__xludf.DUMMYFUNCTION("""COMPUTED_VALUE"""),0.0)</f>
        <v>0</v>
      </c>
      <c r="U107" s="425">
        <f>IFERROR(__xludf.DUMMYFUNCTION("""COMPUTED_VALUE"""),0.0)</f>
        <v>0</v>
      </c>
    </row>
    <row r="108" ht="15.75" hidden="1" customHeight="1">
      <c r="A108" s="412" t="str">
        <f>IFERROR(__xludf.DUMMYFUNCTION("""COMPUTED_VALUE"""),"NANO")</f>
        <v>NANO</v>
      </c>
      <c r="B108" s="415" t="str">
        <f>IFERROR(__xludf.DUMMYFUNCTION("""COMPUTED_VALUE"""),"kakaklin_")</f>
        <v>kakaklin_</v>
      </c>
      <c r="C108" s="414" t="str">
        <f>IFERROR(__xludf.DUMMYFUNCTION("""COMPUTED_VALUE"""),"https://www.tiktok.com/@kakaklin_")</f>
        <v>https://www.tiktok.com/@kakaklin_</v>
      </c>
      <c r="D108" s="415">
        <f>IFERROR(__xludf.DUMMYFUNCTION("""COMPUTED_VALUE"""),8.2112568747E10)</f>
        <v>82112568747</v>
      </c>
      <c r="E108" s="416">
        <f>IFERROR(__xludf.DUMMYFUNCTION("""COMPUTED_VALUE"""),0.0)</f>
        <v>0</v>
      </c>
      <c r="F108" s="417">
        <f>IFERROR(__xludf.DUMMYFUNCTION("""COMPUTED_VALUE"""),3.0)</f>
        <v>3</v>
      </c>
      <c r="G108" s="418" t="str">
        <f>IFERROR(__xludf.DUMMYFUNCTION("""COMPUTED_VALUE"""),"Rp137,8JT")</f>
        <v>Rp137,8JT</v>
      </c>
      <c r="H108" s="419"/>
      <c r="I108" s="420"/>
      <c r="J108" s="421"/>
      <c r="K108" s="422" t="str">
        <f>IFERROR(__xludf.DUMMYFUNCTION("""COMPUTED_VALUE"""),"https://www.tiktok.com/@kakaklin_/video/7626733123480358152?is_from_webapp=1&amp;sender_device=pc")</f>
        <v>https://www.tiktok.com/@kakaklin_/video/7626733123480358152?is_from_webapp=1&amp;sender_device=pc</v>
      </c>
      <c r="L108" s="419"/>
      <c r="M108" s="422" t="str">
        <f>IFERROR(__xludf.DUMMYFUNCTION("""COMPUTED_VALUE"""),"https://www.tiktok.com/@kakaklin_/video/7627014290872028424?is_from_webapp=1&amp;sender_device=pc")</f>
        <v>https://www.tiktok.com/@kakaklin_/video/7627014290872028424?is_from_webapp=1&amp;sender_device=pc</v>
      </c>
      <c r="N108" s="419"/>
      <c r="O108" s="422" t="str">
        <f>IFERROR(__xludf.DUMMYFUNCTION("""COMPUTED_VALUE"""),"https://www.tiktok.com/@kakaklin_/video/7627438886549064967?is_from_webapp=1&amp;sender_device=pc")</f>
        <v>https://www.tiktok.com/@kakaklin_/video/7627438886549064967?is_from_webapp=1&amp;sender_device=pc</v>
      </c>
      <c r="P108" s="419"/>
      <c r="Q108" s="423"/>
      <c r="R108" s="425">
        <f>IFERROR(__xludf.DUMMYFUNCTION("""COMPUTED_VALUE"""),0.0)</f>
        <v>0</v>
      </c>
      <c r="S108" s="425">
        <f>IFERROR(__xludf.DUMMYFUNCTION("""COMPUTED_VALUE"""),0.0)</f>
        <v>0</v>
      </c>
      <c r="T108" s="425">
        <f>IFERROR(__xludf.DUMMYFUNCTION("""COMPUTED_VALUE"""),0.0)</f>
        <v>0</v>
      </c>
      <c r="U108" s="425">
        <f>IFERROR(__xludf.DUMMYFUNCTION("""COMPUTED_VALUE"""),0.0)</f>
        <v>0</v>
      </c>
    </row>
    <row r="109" ht="15.75" hidden="1" customHeight="1">
      <c r="A109" s="412" t="str">
        <f>IFERROR(__xludf.DUMMYFUNCTION("""COMPUTED_VALUE"""),"MICRO")</f>
        <v>MICRO</v>
      </c>
      <c r="B109" s="415" t="str">
        <f>IFERROR(__xludf.DUMMYFUNCTION("""COMPUTED_VALUE"""),"racuntiktok426")</f>
        <v>racuntiktok426</v>
      </c>
      <c r="C109" s="414" t="str">
        <f>IFERROR(__xludf.DUMMYFUNCTION("""COMPUTED_VALUE"""),"https://www.tiktok.com/@racuntiktok426")</f>
        <v>https://www.tiktok.com/@racuntiktok426</v>
      </c>
      <c r="D109" s="415">
        <f>IFERROR(__xludf.DUMMYFUNCTION("""COMPUTED_VALUE"""),8.3873431131E10)</f>
        <v>83873431131</v>
      </c>
      <c r="E109" s="416">
        <f>IFERROR(__xludf.DUMMYFUNCTION("""COMPUTED_VALUE"""),0.0)</f>
        <v>0</v>
      </c>
      <c r="F109" s="417">
        <f>IFERROR(__xludf.DUMMYFUNCTION("""COMPUTED_VALUE"""),3.0)</f>
        <v>3</v>
      </c>
      <c r="G109" s="418" t="str">
        <f>IFERROR(__xludf.DUMMYFUNCTION("""COMPUTED_VALUE"""),"Rp56,7JT")</f>
        <v>Rp56,7JT</v>
      </c>
      <c r="H109" s="419"/>
      <c r="I109" s="420"/>
      <c r="J109" s="421"/>
      <c r="K109" s="422" t="str">
        <f>IFERROR(__xludf.DUMMYFUNCTION("""COMPUTED_VALUE"""),"https://vt.tiktok.com/ZS9se49H1/")</f>
        <v>https://vt.tiktok.com/ZS9se49H1/</v>
      </c>
      <c r="L109" s="419"/>
      <c r="M109" s="422" t="str">
        <f>IFERROR(__xludf.DUMMYFUNCTION("""COMPUTED_VALUE"""),"https://vt.tiktok.com/ZS9712cU6/")</f>
        <v>https://vt.tiktok.com/ZS9712cU6/</v>
      </c>
      <c r="N109" s="419"/>
      <c r="O109" s="422" t="str">
        <f>IFERROR(__xludf.DUMMYFUNCTION("""COMPUTED_VALUE"""),"https://vt.tiktok.com/ZSxr6vghj/")</f>
        <v>https://vt.tiktok.com/ZSxr6vghj/</v>
      </c>
      <c r="P109" s="419"/>
      <c r="Q109" s="423"/>
      <c r="R109" s="425">
        <f>IFERROR(__xludf.DUMMYFUNCTION("""COMPUTED_VALUE"""),0.0)</f>
        <v>0</v>
      </c>
      <c r="S109" s="425">
        <f>IFERROR(__xludf.DUMMYFUNCTION("""COMPUTED_VALUE"""),0.0)</f>
        <v>0</v>
      </c>
      <c r="T109" s="425">
        <f>IFERROR(__xludf.DUMMYFUNCTION("""COMPUTED_VALUE"""),0.0)</f>
        <v>0</v>
      </c>
      <c r="U109" s="425">
        <f>IFERROR(__xludf.DUMMYFUNCTION("""COMPUTED_VALUE"""),0.0)</f>
        <v>0</v>
      </c>
    </row>
    <row r="110" ht="15.75" hidden="1" customHeight="1">
      <c r="A110" s="412" t="str">
        <f>IFERROR(__xludf.DUMMYFUNCTION("""COMPUTED_VALUE"""),"MICRO")</f>
        <v>MICRO</v>
      </c>
      <c r="B110" s="415" t="str">
        <f>IFERROR(__xludf.DUMMYFUNCTION("""COMPUTED_VALUE"""),"moodtiaraaaaa")</f>
        <v>moodtiaraaaaa</v>
      </c>
      <c r="C110" s="414" t="str">
        <f>IFERROR(__xludf.DUMMYFUNCTION("""COMPUTED_VALUE"""),"https://www.tiktok.com/@moodtiaraaaaa")</f>
        <v>https://www.tiktok.com/@moodtiaraaaaa</v>
      </c>
      <c r="D110" s="415">
        <f>IFERROR(__xludf.DUMMYFUNCTION("""COMPUTED_VALUE"""),8.1210255102E10)</f>
        <v>81210255102</v>
      </c>
      <c r="E110" s="416">
        <f>IFERROR(__xludf.DUMMYFUNCTION("""COMPUTED_VALUE"""),700000.0)</f>
        <v>700000</v>
      </c>
      <c r="F110" s="417">
        <f>IFERROR(__xludf.DUMMYFUNCTION("""COMPUTED_VALUE"""),2.0)</f>
        <v>2</v>
      </c>
      <c r="G110" s="418" t="str">
        <f>IFERROR(__xludf.DUMMYFUNCTION("""COMPUTED_VALUE"""),"Rp45,3JT")</f>
        <v>Rp45,3JT</v>
      </c>
      <c r="H110" s="419"/>
      <c r="I110" s="420"/>
      <c r="J110" s="421" t="str">
        <f>IFERROR(__xludf.DUMMYFUNCTION("""COMPUTED_VALUE"""),"GMV MAX")</f>
        <v>GMV MAX</v>
      </c>
      <c r="K110" s="422" t="str">
        <f>IFERROR(__xludf.DUMMYFUNCTION("""COMPUTED_VALUE"""),"https://vt.tiktok.com/ZSH2gkYpw/")</f>
        <v>https://vt.tiktok.com/ZSH2gkYpw/</v>
      </c>
      <c r="L110" s="419"/>
      <c r="M110" s="422" t="str">
        <f>IFERROR(__xludf.DUMMYFUNCTION("""COMPUTED_VALUE"""),"https://vt.tiktok.com/ZSH67ajCN/")</f>
        <v>https://vt.tiktok.com/ZSH67ajCN/</v>
      </c>
      <c r="N110" s="419"/>
      <c r="O110" s="423"/>
      <c r="P110" s="419"/>
      <c r="Q110" s="423"/>
      <c r="R110" s="425">
        <f>IFERROR(__xludf.DUMMYFUNCTION("""COMPUTED_VALUE"""),120184.0)</f>
        <v>120184</v>
      </c>
      <c r="S110" s="425">
        <f>IFERROR(__xludf.DUMMYFUNCTION("""COMPUTED_VALUE"""),0.0)</f>
        <v>0</v>
      </c>
      <c r="T110" s="425">
        <f>IFERROR(__xludf.DUMMYFUNCTION("""COMPUTED_VALUE"""),0.0)</f>
        <v>0</v>
      </c>
      <c r="U110" s="425">
        <f>IFERROR(__xludf.DUMMYFUNCTION("""COMPUTED_VALUE"""),0.0)</f>
        <v>0</v>
      </c>
    </row>
    <row r="111" ht="15.75" customHeight="1">
      <c r="A111" s="412" t="str">
        <f>IFERROR(__xludf.DUMMYFUNCTION("""COMPUTED_VALUE"""),"NANO")</f>
        <v>NANO</v>
      </c>
      <c r="B111" s="415" t="str">
        <f>IFERROR(__xludf.DUMMYFUNCTION("""COMPUTED_VALUE"""),"Rodiahhinata")</f>
        <v>Rodiahhinata</v>
      </c>
      <c r="C111" s="414" t="str">
        <f>IFERROR(__xludf.DUMMYFUNCTION("""COMPUTED_VALUE"""),"https://www.tiktok.com/@Rodiahhinata")</f>
        <v>https://www.tiktok.com/@Rodiahhinata</v>
      </c>
      <c r="D111" s="415">
        <f>IFERROR(__xludf.DUMMYFUNCTION("""COMPUTED_VALUE"""),8.59109734903E11)</f>
        <v>859109734903</v>
      </c>
      <c r="E111" s="416">
        <f>IFERROR(__xludf.DUMMYFUNCTION("""COMPUTED_VALUE"""),0.0)</f>
        <v>0</v>
      </c>
      <c r="F111" s="417">
        <f>IFERROR(__xludf.DUMMYFUNCTION("""COMPUTED_VALUE"""),4.0)</f>
        <v>4</v>
      </c>
      <c r="G111" s="418" t="str">
        <f>IFERROR(__xludf.DUMMYFUNCTION("""COMPUTED_VALUE"""),"Rp15,1JT")</f>
        <v>Rp15,1JT</v>
      </c>
      <c r="H111" s="419"/>
      <c r="I111" s="420"/>
      <c r="J111" s="421"/>
      <c r="K111" s="422" t="str">
        <f>IFERROR(__xludf.DUMMYFUNCTION("""COMPUTED_VALUE"""),"https://vt.tiktok.com/ZSujRAey4/")</f>
        <v>https://vt.tiktok.com/ZSujRAey4/</v>
      </c>
      <c r="L111" s="419"/>
      <c r="M111" s="422" t="str">
        <f>IFERROR(__xludf.DUMMYFUNCTION("""COMPUTED_VALUE"""),"https://vt.tiktok.com/ZSu6RHPw1/")</f>
        <v>https://vt.tiktok.com/ZSu6RHPw1/</v>
      </c>
      <c r="N111" s="419"/>
      <c r="O111" s="422" t="str">
        <f>IFERROR(__xludf.DUMMYFUNCTION("""COMPUTED_VALUE"""),"https://vt.tiktok.com/ZSuhJnnC2/")</f>
        <v>https://vt.tiktok.com/ZSuhJnnC2/</v>
      </c>
      <c r="P111" s="419"/>
      <c r="Q111" s="422" t="str">
        <f>IFERROR(__xludf.DUMMYFUNCTION("""COMPUTED_VALUE"""),"https://vt.tiktok.com/ZSuheym4N/")</f>
        <v>https://vt.tiktok.com/ZSuheym4N/</v>
      </c>
      <c r="R111" s="425">
        <f>IFERROR(__xludf.DUMMYFUNCTION("""COMPUTED_VALUE"""),0.0)</f>
        <v>0</v>
      </c>
      <c r="S111" s="425">
        <f>IFERROR(__xludf.DUMMYFUNCTION("""COMPUTED_VALUE"""),0.0)</f>
        <v>0</v>
      </c>
      <c r="T111" s="425">
        <f>IFERROR(__xludf.DUMMYFUNCTION("""COMPUTED_VALUE"""),0.0)</f>
        <v>0</v>
      </c>
      <c r="U111" s="425">
        <f>IFERROR(__xludf.DUMMYFUNCTION("""COMPUTED_VALUE"""),0.0)</f>
        <v>0</v>
      </c>
    </row>
    <row r="112" ht="15.75" customHeight="1">
      <c r="A112" s="412" t="str">
        <f>IFERROR(__xludf.DUMMYFUNCTION("""COMPUTED_VALUE"""),"NANO")</f>
        <v>NANO</v>
      </c>
      <c r="B112" s="415" t="str">
        <f>IFERROR(__xludf.DUMMYFUNCTION("""COMPUTED_VALUE"""),"anotherbinaa_")</f>
        <v>anotherbinaa_</v>
      </c>
      <c r="C112" s="414" t="str">
        <f>IFERROR(__xludf.DUMMYFUNCTION("""COMPUTED_VALUE"""),"https://www.tiktok.com/@anotherbinaa_")</f>
        <v>https://www.tiktok.com/@anotherbinaa_</v>
      </c>
      <c r="D112" s="415">
        <f>IFERROR(__xludf.DUMMYFUNCTION("""COMPUTED_VALUE"""),8.3811857504E10)</f>
        <v>83811857504</v>
      </c>
      <c r="E112" s="416">
        <f>IFERROR(__xludf.DUMMYFUNCTION("""COMPUTED_VALUE"""),0.0)</f>
        <v>0</v>
      </c>
      <c r="F112" s="417">
        <f>IFERROR(__xludf.DUMMYFUNCTION("""COMPUTED_VALUE"""),4.0)</f>
        <v>4</v>
      </c>
      <c r="G112" s="418" t="str">
        <f>IFERROR(__xludf.DUMMYFUNCTION("""COMPUTED_VALUE"""),"Rp56,6JT")</f>
        <v>Rp56,6JT</v>
      </c>
      <c r="H112" s="419"/>
      <c r="I112" s="420"/>
      <c r="J112" s="421"/>
      <c r="K112" s="422" t="str">
        <f>IFERROR(__xludf.DUMMYFUNCTION("""COMPUTED_VALUE"""),"https://vt.tiktok.com/ZSuNdac97/")</f>
        <v>https://vt.tiktok.com/ZSuNdac97/</v>
      </c>
      <c r="L112" s="419"/>
      <c r="M112" s="422" t="str">
        <f>IFERROR(__xludf.DUMMYFUNCTION("""COMPUTED_VALUE"""),"https://vt.tiktok.com/ZSurhAbnK/")</f>
        <v>https://vt.tiktok.com/ZSurhAbnK/</v>
      </c>
      <c r="N112" s="419"/>
      <c r="O112" s="422" t="str">
        <f>IFERROR(__xludf.DUMMYFUNCTION("""COMPUTED_VALUE"""),"https://vt.tiktok.com/ZSHF42qYx/")</f>
        <v>https://vt.tiktok.com/ZSHF42qYx/</v>
      </c>
      <c r="P112" s="419"/>
      <c r="Q112" s="422" t="str">
        <f>IFERROR(__xludf.DUMMYFUNCTION("""COMPUTED_VALUE"""),"https://vt.tiktok.com/ZSH5Afubx/")</f>
        <v>https://vt.tiktok.com/ZSH5Afubx/</v>
      </c>
      <c r="R112" s="425">
        <f>IFERROR(__xludf.DUMMYFUNCTION("""COMPUTED_VALUE"""),188000.0)</f>
        <v>188000</v>
      </c>
      <c r="S112" s="425">
        <f>IFERROR(__xludf.DUMMYFUNCTION("""COMPUTED_VALUE"""),0.0)</f>
        <v>0</v>
      </c>
      <c r="T112" s="425">
        <f>IFERROR(__xludf.DUMMYFUNCTION("""COMPUTED_VALUE"""),0.0)</f>
        <v>0</v>
      </c>
      <c r="U112" s="425">
        <f>IFERROR(__xludf.DUMMYFUNCTION("""COMPUTED_VALUE"""),0.0)</f>
        <v>0</v>
      </c>
    </row>
    <row r="113" ht="15.75" customHeight="1">
      <c r="A113" s="412" t="str">
        <f>IFERROR(__xludf.DUMMYFUNCTION("""COMPUTED_VALUE"""),"NANO")</f>
        <v>NANO</v>
      </c>
      <c r="B113" s="415" t="str">
        <f>IFERROR(__xludf.DUMMYFUNCTION("""COMPUTED_VALUE"""),"aisahtrii_")</f>
        <v>aisahtrii_</v>
      </c>
      <c r="C113" s="414" t="str">
        <f>IFERROR(__xludf.DUMMYFUNCTION("""COMPUTED_VALUE"""),"https://www.tiktok.com/@aisahtrii_")</f>
        <v>https://www.tiktok.com/@aisahtrii_</v>
      </c>
      <c r="D113" s="415">
        <f>IFERROR(__xludf.DUMMYFUNCTION("""COMPUTED_VALUE"""),8.5800143499E10)</f>
        <v>85800143499</v>
      </c>
      <c r="E113" s="416">
        <f>IFERROR(__xludf.DUMMYFUNCTION("""COMPUTED_VALUE"""),0.0)</f>
        <v>0</v>
      </c>
      <c r="F113" s="417">
        <f>IFERROR(__xludf.DUMMYFUNCTION("""COMPUTED_VALUE"""),4.0)</f>
        <v>4</v>
      </c>
      <c r="G113" s="418" t="str">
        <f>IFERROR(__xludf.DUMMYFUNCTION("""COMPUTED_VALUE"""),"Rp36,1JT")</f>
        <v>Rp36,1JT</v>
      </c>
      <c r="H113" s="419"/>
      <c r="I113" s="420"/>
      <c r="J113" s="421"/>
      <c r="K113" s="422" t="str">
        <f>IFERROR(__xludf.DUMMYFUNCTION("""COMPUTED_VALUE"""),"https://vt.tiktok.com/ZSuYpsDL3/")</f>
        <v>https://vt.tiktok.com/ZSuYpsDL3/</v>
      </c>
      <c r="L113" s="419"/>
      <c r="M113" s="422" t="str">
        <f>IFERROR(__xludf.DUMMYFUNCTION("""COMPUTED_VALUE"""),"https://vt.tiktok.com/ZSuYtM4Gy/")</f>
        <v>https://vt.tiktok.com/ZSuYtM4Gy/</v>
      </c>
      <c r="N113" s="419"/>
      <c r="O113" s="422" t="str">
        <f>IFERROR(__xludf.DUMMYFUNCTION("""COMPUTED_VALUE"""),"https://www.tiktok.com/@aisahtrii_/video/7615430934837366036?is_from_webapp=1&amp;sender_device=pc")</f>
        <v>https://www.tiktok.com/@aisahtrii_/video/7615430934837366036?is_from_webapp=1&amp;sender_device=pc</v>
      </c>
      <c r="P113" s="419"/>
      <c r="Q113" s="422" t="str">
        <f>IFERROR(__xludf.DUMMYFUNCTION("""COMPUTED_VALUE"""),"https://vt.tiktok.com/ZSurXphQE/")</f>
        <v>https://vt.tiktok.com/ZSurXphQE/</v>
      </c>
      <c r="R113" s="425">
        <f>IFERROR(__xludf.DUMMYFUNCTION("""COMPUTED_VALUE"""),0.0)</f>
        <v>0</v>
      </c>
      <c r="S113" s="425">
        <f>IFERROR(__xludf.DUMMYFUNCTION("""COMPUTED_VALUE"""),0.0)</f>
        <v>0</v>
      </c>
      <c r="T113" s="425">
        <f>IFERROR(__xludf.DUMMYFUNCTION("""COMPUTED_VALUE"""),0.0)</f>
        <v>0</v>
      </c>
      <c r="U113" s="425">
        <f>IFERROR(__xludf.DUMMYFUNCTION("""COMPUTED_VALUE"""),0.0)</f>
        <v>0</v>
      </c>
    </row>
    <row r="114" ht="15.75" customHeight="1">
      <c r="A114" s="412" t="str">
        <f>IFERROR(__xludf.DUMMYFUNCTION("""COMPUTED_VALUE"""),"NANO")</f>
        <v>NANO</v>
      </c>
      <c r="B114" s="415" t="str">
        <f>IFERROR(__xludf.DUMMYFUNCTION("""COMPUTED_VALUE"""),"bywday")</f>
        <v>bywday</v>
      </c>
      <c r="C114" s="414" t="str">
        <f>IFERROR(__xludf.DUMMYFUNCTION("""COMPUTED_VALUE"""),"https://www.tiktok.com/@bywday")</f>
        <v>https://www.tiktok.com/@bywday</v>
      </c>
      <c r="D114" s="415">
        <f>IFERROR(__xludf.DUMMYFUNCTION("""COMPUTED_VALUE"""),8.579945566E10)</f>
        <v>85799455660</v>
      </c>
      <c r="E114" s="416">
        <f>IFERROR(__xludf.DUMMYFUNCTION("""COMPUTED_VALUE"""),0.0)</f>
        <v>0</v>
      </c>
      <c r="F114" s="417">
        <f>IFERROR(__xludf.DUMMYFUNCTION("""COMPUTED_VALUE"""),4.0)</f>
        <v>4</v>
      </c>
      <c r="G114" s="418" t="str">
        <f>IFERROR(__xludf.DUMMYFUNCTION("""COMPUTED_VALUE"""),"Rp2,3JT")</f>
        <v>Rp2,3JT</v>
      </c>
      <c r="H114" s="419"/>
      <c r="I114" s="420"/>
      <c r="J114" s="421"/>
      <c r="K114" s="426" t="str">
        <f>IFERROR(__xludf.DUMMYFUNCTION("""COMPUTED_VALUE"""),"https://www.tiktok.com/@bywday/video/7613606638896958738?is_from_webapp=1&amp;sender_device=pc")</f>
        <v>https://www.tiktok.com/@bywday/video/7613606638896958738?is_from_webapp=1&amp;sender_device=pc</v>
      </c>
      <c r="L114" s="419"/>
      <c r="M114" s="422" t="str">
        <f>IFERROR(__xludf.DUMMYFUNCTION("""COMPUTED_VALUE"""),"https://www.tiktok.com/@bywday/video/7613631011422817544?is_from_webapp=1&amp;sender_device=pc")</f>
        <v>https://www.tiktok.com/@bywday/video/7613631011422817544?is_from_webapp=1&amp;sender_device=pc</v>
      </c>
      <c r="N114" s="419"/>
      <c r="O114" s="422" t="str">
        <f>IFERROR(__xludf.DUMMYFUNCTION("""COMPUTED_VALUE"""),"https://vt.tiktok.com/ZSuRTq6kB/")</f>
        <v>https://vt.tiktok.com/ZSuRTq6kB/</v>
      </c>
      <c r="P114" s="419"/>
      <c r="Q114" s="422" t="str">
        <f>IFERROR(__xludf.DUMMYFUNCTION("""COMPUTED_VALUE"""),"https://www.tiktok.com/@bywday/video/7614009064942570760?is_from_webapp=1&amp;sender_device=pc")</f>
        <v>https://www.tiktok.com/@bywday/video/7614009064942570760?is_from_webapp=1&amp;sender_device=pc</v>
      </c>
      <c r="R114" s="425">
        <f>IFERROR(__xludf.DUMMYFUNCTION("""COMPUTED_VALUE"""),79942.0)</f>
        <v>79942</v>
      </c>
      <c r="S114" s="425">
        <f>IFERROR(__xludf.DUMMYFUNCTION("""COMPUTED_VALUE"""),0.0)</f>
        <v>0</v>
      </c>
      <c r="T114" s="425">
        <f>IFERROR(__xludf.DUMMYFUNCTION("""COMPUTED_VALUE"""),0.0)</f>
        <v>0</v>
      </c>
      <c r="U114" s="425">
        <f>IFERROR(__xludf.DUMMYFUNCTION("""COMPUTED_VALUE"""),0.0)</f>
        <v>0</v>
      </c>
    </row>
    <row r="115" ht="15.75" customHeight="1">
      <c r="A115" s="412" t="str">
        <f>IFERROR(__xludf.DUMMYFUNCTION("""COMPUTED_VALUE"""),"NANO")</f>
        <v>NANO</v>
      </c>
      <c r="B115" s="415" t="str">
        <f>IFERROR(__xludf.DUMMYFUNCTION("""COMPUTED_VALUE"""),"nirzabalqis_")</f>
        <v>nirzabalqis_</v>
      </c>
      <c r="C115" s="414" t="str">
        <f>IFERROR(__xludf.DUMMYFUNCTION("""COMPUTED_VALUE"""),"https://www.tiktok.com/@nirzabalqis_")</f>
        <v>https://www.tiktok.com/@nirzabalqis_</v>
      </c>
      <c r="D115" s="415">
        <f>IFERROR(__xludf.DUMMYFUNCTION("""COMPUTED_VALUE"""),8.5852281512E10)</f>
        <v>85852281512</v>
      </c>
      <c r="E115" s="416">
        <f>IFERROR(__xludf.DUMMYFUNCTION("""COMPUTED_VALUE"""),0.0)</f>
        <v>0</v>
      </c>
      <c r="F115" s="417">
        <f>IFERROR(__xludf.DUMMYFUNCTION("""COMPUTED_VALUE"""),4.0)</f>
        <v>4</v>
      </c>
      <c r="G115" s="418" t="str">
        <f>IFERROR(__xludf.DUMMYFUNCTION("""COMPUTED_VALUE"""),"Rp9,4JT")</f>
        <v>Rp9,4JT</v>
      </c>
      <c r="H115" s="419"/>
      <c r="I115" s="420"/>
      <c r="J115" s="421"/>
      <c r="K115" s="426" t="str">
        <f>IFERROR(__xludf.DUMMYFUNCTION("""COMPUTED_VALUE"""),"https://vt.tiktok.com/ZSuekr7nh/")</f>
        <v>https://vt.tiktok.com/ZSuekr7nh/</v>
      </c>
      <c r="L115" s="419"/>
      <c r="M115" s="422" t="str">
        <f>IFERROR(__xludf.DUMMYFUNCTION("""COMPUTED_VALUE"""),"https://vt.tiktok.com/ZSuh2EgKy/")</f>
        <v>https://vt.tiktok.com/ZSuh2EgKy/</v>
      </c>
      <c r="N115" s="419"/>
      <c r="O115" s="422" t="str">
        <f>IFERROR(__xludf.DUMMYFUNCTION("""COMPUTED_VALUE"""),"https://vt.tiktok.com/ZSumSk6GT/")</f>
        <v>https://vt.tiktok.com/ZSumSk6GT/</v>
      </c>
      <c r="P115" s="419"/>
      <c r="Q115" s="422" t="str">
        <f>IFERROR(__xludf.DUMMYFUNCTION("""COMPUTED_VALUE"""),"https://vt.tiktok.com/ZSuXkuk61/")</f>
        <v>https://vt.tiktok.com/ZSuXkuk61/</v>
      </c>
      <c r="R115" s="425">
        <f>IFERROR(__xludf.DUMMYFUNCTION("""COMPUTED_VALUE"""),0.0)</f>
        <v>0</v>
      </c>
      <c r="S115" s="425">
        <f>IFERROR(__xludf.DUMMYFUNCTION("""COMPUTED_VALUE"""),0.0)</f>
        <v>0</v>
      </c>
      <c r="T115" s="425">
        <f>IFERROR(__xludf.DUMMYFUNCTION("""COMPUTED_VALUE"""),0.0)</f>
        <v>0</v>
      </c>
      <c r="U115" s="425">
        <f>IFERROR(__xludf.DUMMYFUNCTION("""COMPUTED_VALUE"""),0.0)</f>
        <v>0</v>
      </c>
    </row>
    <row r="116" ht="15.75" customHeight="1">
      <c r="A116" s="412" t="str">
        <f>IFERROR(__xludf.DUMMYFUNCTION("""COMPUTED_VALUE"""),"NANO")</f>
        <v>NANO</v>
      </c>
      <c r="B116" s="415" t="str">
        <f>IFERROR(__xludf.DUMMYFUNCTION("""COMPUTED_VALUE"""),"_ciaashop")</f>
        <v>_ciaashop</v>
      </c>
      <c r="C116" s="414" t="str">
        <f>IFERROR(__xludf.DUMMYFUNCTION("""COMPUTED_VALUE"""),"https://www.tiktok.com/@_ciaashop")</f>
        <v>https://www.tiktok.com/@_ciaashop</v>
      </c>
      <c r="D116" s="415">
        <f>IFERROR(__xludf.DUMMYFUNCTION("""COMPUTED_VALUE"""),8.9528289608E10)</f>
        <v>89528289608</v>
      </c>
      <c r="E116" s="416">
        <f>IFERROR(__xludf.DUMMYFUNCTION("""COMPUTED_VALUE"""),0.0)</f>
        <v>0</v>
      </c>
      <c r="F116" s="417">
        <f>IFERROR(__xludf.DUMMYFUNCTION("""COMPUTED_VALUE"""),4.0)</f>
        <v>4</v>
      </c>
      <c r="G116" s="418" t="str">
        <f>IFERROR(__xludf.DUMMYFUNCTION("""COMPUTED_VALUE"""),"Rp2,4JT")</f>
        <v>Rp2,4JT</v>
      </c>
      <c r="H116" s="419"/>
      <c r="I116" s="420"/>
      <c r="J116" s="421"/>
      <c r="K116" s="422" t="str">
        <f>IFERROR(__xludf.DUMMYFUNCTION("""COMPUTED_VALUE"""),"https://www.tiktok.com/@_ciaashop/video/7626065402933546261?is_from_webapp=1&amp;sender_device=pc")</f>
        <v>https://www.tiktok.com/@_ciaashop/video/7626065402933546261?is_from_webapp=1&amp;sender_device=pc</v>
      </c>
      <c r="L116" s="419"/>
      <c r="M116" s="422" t="str">
        <f>IFERROR(__xludf.DUMMYFUNCTION("""COMPUTED_VALUE"""),"https://vt.tiktok.com/ZSHGXmwcA/")</f>
        <v>https://vt.tiktok.com/ZSHGXmwcA/</v>
      </c>
      <c r="N116" s="419"/>
      <c r="O116" s="422" t="str">
        <f>IFERROR(__xludf.DUMMYFUNCTION("""COMPUTED_VALUE"""),"https://vt.tiktok.com/ZSHcmJAsQ/")</f>
        <v>https://vt.tiktok.com/ZSHcmJAsQ/</v>
      </c>
      <c r="P116" s="419"/>
      <c r="Q116" s="422" t="str">
        <f>IFERROR(__xludf.DUMMYFUNCTION("""COMPUTED_VALUE"""),"https://vt.tiktok.com/ZSHcmNPnP/")</f>
        <v>https://vt.tiktok.com/ZSHcmNPnP/</v>
      </c>
      <c r="R116" s="425">
        <f>IFERROR(__xludf.DUMMYFUNCTION("""COMPUTED_VALUE"""),0.0)</f>
        <v>0</v>
      </c>
      <c r="S116" s="425">
        <f>IFERROR(__xludf.DUMMYFUNCTION("""COMPUTED_VALUE"""),0.0)</f>
        <v>0</v>
      </c>
      <c r="T116" s="425">
        <f>IFERROR(__xludf.DUMMYFUNCTION("""COMPUTED_VALUE"""),0.0)</f>
        <v>0</v>
      </c>
      <c r="U116" s="425">
        <f>IFERROR(__xludf.DUMMYFUNCTION("""COMPUTED_VALUE"""),0.0)</f>
        <v>0</v>
      </c>
    </row>
    <row r="117" ht="15.75" customHeight="1">
      <c r="A117" s="412" t="str">
        <f>IFERROR(__xludf.DUMMYFUNCTION("""COMPUTED_VALUE"""),"NANO")</f>
        <v>NANO</v>
      </c>
      <c r="B117" s="415" t="str">
        <f>IFERROR(__xludf.DUMMYFUNCTION("""COMPUTED_VALUE"""),"mamanyabashir")</f>
        <v>mamanyabashir</v>
      </c>
      <c r="C117" s="414" t="str">
        <f>IFERROR(__xludf.DUMMYFUNCTION("""COMPUTED_VALUE"""),"https://www.tiktok.com/@mamanyabashir")</f>
        <v>https://www.tiktok.com/@mamanyabashir</v>
      </c>
      <c r="D117" s="415">
        <f>IFERROR(__xludf.DUMMYFUNCTION("""COMPUTED_VALUE"""),8.1339326171E10)</f>
        <v>81339326171</v>
      </c>
      <c r="E117" s="416">
        <f>IFERROR(__xludf.DUMMYFUNCTION("""COMPUTED_VALUE"""),0.0)</f>
        <v>0</v>
      </c>
      <c r="F117" s="417">
        <f>IFERROR(__xludf.DUMMYFUNCTION("""COMPUTED_VALUE"""),4.0)</f>
        <v>4</v>
      </c>
      <c r="G117" s="418" t="str">
        <f>IFERROR(__xludf.DUMMYFUNCTION("""COMPUTED_VALUE"""),"Rp14JT")</f>
        <v>Rp14JT</v>
      </c>
      <c r="H117" s="419"/>
      <c r="I117" s="420"/>
      <c r="J117" s="421"/>
      <c r="K117" s="422" t="str">
        <f>IFERROR(__xludf.DUMMYFUNCTION("""COMPUTED_VALUE"""),"https://www.tiktok.com/@mamanyabashir/video/7621054959554972945?is_from_webapp=1&amp;sender_device=pc")</f>
        <v>https://www.tiktok.com/@mamanyabashir/video/7621054959554972945?is_from_webapp=1&amp;sender_device=pc</v>
      </c>
      <c r="L117" s="419"/>
      <c r="M117" s="422" t="str">
        <f>IFERROR(__xludf.DUMMYFUNCTION("""COMPUTED_VALUE"""),"https://www.tiktok.com/@mamanyabashir/video/7622115019253124353?is_from_webapp=1&amp;sender_device=pc")</f>
        <v>https://www.tiktok.com/@mamanyabashir/video/7622115019253124353?is_from_webapp=1&amp;sender_device=pc</v>
      </c>
      <c r="N117" s="419"/>
      <c r="O117" s="422" t="str">
        <f>IFERROR(__xludf.DUMMYFUNCTION("""COMPUTED_VALUE"""),"https://www.tiktok.com/@mamanyabashir/video/7623347694324452624?is_from_webapp=1&amp;sender_device=pc")</f>
        <v>https://www.tiktok.com/@mamanyabashir/video/7623347694324452624?is_from_webapp=1&amp;sender_device=pc</v>
      </c>
      <c r="P117" s="419"/>
      <c r="Q117" s="422" t="str">
        <f>IFERROR(__xludf.DUMMYFUNCTION("""COMPUTED_VALUE"""),"https://www.tiktok.com/@mamanyabashir/video/7625816229185424641?is_from_webapp=1&amp;sender_device=pc")</f>
        <v>https://www.tiktok.com/@mamanyabashir/video/7625816229185424641?is_from_webapp=1&amp;sender_device=pc</v>
      </c>
      <c r="R117" s="425">
        <f>IFERROR(__xludf.DUMMYFUNCTION("""COMPUTED_VALUE"""),0.0)</f>
        <v>0</v>
      </c>
      <c r="S117" s="425">
        <f>IFERROR(__xludf.DUMMYFUNCTION("""COMPUTED_VALUE"""),0.0)</f>
        <v>0</v>
      </c>
      <c r="T117" s="425">
        <f>IFERROR(__xludf.DUMMYFUNCTION("""COMPUTED_VALUE"""),0.0)</f>
        <v>0</v>
      </c>
      <c r="U117" s="425">
        <f>IFERROR(__xludf.DUMMYFUNCTION("""COMPUTED_VALUE"""),0.0)</f>
        <v>0</v>
      </c>
    </row>
    <row r="118" ht="15.75" customHeight="1">
      <c r="A118" s="412" t="str">
        <f>IFERROR(__xludf.DUMMYFUNCTION("""COMPUTED_VALUE"""),"NANO")</f>
        <v>NANO</v>
      </c>
      <c r="B118" s="415" t="str">
        <f>IFERROR(__xludf.DUMMYFUNCTION("""COMPUTED_VALUE"""),"araa1107")</f>
        <v>araa1107</v>
      </c>
      <c r="C118" s="414" t="str">
        <f>IFERROR(__xludf.DUMMYFUNCTION("""COMPUTED_VALUE"""),"https://www.tiktok.com/@araa1107")</f>
        <v>https://www.tiktok.com/@araa1107</v>
      </c>
      <c r="D118" s="415">
        <f>IFERROR(__xludf.DUMMYFUNCTION("""COMPUTED_VALUE"""),8.2110110411E10)</f>
        <v>82110110411</v>
      </c>
      <c r="E118" s="416">
        <f>IFERROR(__xludf.DUMMYFUNCTION("""COMPUTED_VALUE"""),0.0)</f>
        <v>0</v>
      </c>
      <c r="F118" s="417">
        <f>IFERROR(__xludf.DUMMYFUNCTION("""COMPUTED_VALUE"""),4.0)</f>
        <v>4</v>
      </c>
      <c r="G118" s="418"/>
      <c r="H118" s="419"/>
      <c r="I118" s="420"/>
      <c r="J118" s="421"/>
      <c r="K118" s="422" t="str">
        <f>IFERROR(__xludf.DUMMYFUNCTION("""COMPUTED_VALUE"""),"https://vt.tiktok.com/ZSujCPHGo/")</f>
        <v>https://vt.tiktok.com/ZSujCPHGo/</v>
      </c>
      <c r="L118" s="419"/>
      <c r="M118" s="422" t="str">
        <f>IFERROR(__xludf.DUMMYFUNCTION("""COMPUTED_VALUE"""),"https://vt.tiktok.com/ZSuMwrBSS/")</f>
        <v>https://vt.tiktok.com/ZSuMwrBSS/</v>
      </c>
      <c r="N118" s="419"/>
      <c r="O118" s="422" t="str">
        <f>IFERROR(__xludf.DUMMYFUNCTION("""COMPUTED_VALUE"""),"https://vt.tiktok.com/ZSuBUh5B6/")</f>
        <v>https://vt.tiktok.com/ZSuBUh5B6/</v>
      </c>
      <c r="P118" s="419"/>
      <c r="Q118" s="422" t="str">
        <f>IFERROR(__xludf.DUMMYFUNCTION("""COMPUTED_VALUE"""),"https://vt.tiktok.com/ZSuDsG7Xp/")</f>
        <v>https://vt.tiktok.com/ZSuDsG7Xp/</v>
      </c>
      <c r="R118" s="425">
        <f>IFERROR(__xludf.DUMMYFUNCTION("""COMPUTED_VALUE"""),0.0)</f>
        <v>0</v>
      </c>
      <c r="S118" s="425">
        <f>IFERROR(__xludf.DUMMYFUNCTION("""COMPUTED_VALUE"""),0.0)</f>
        <v>0</v>
      </c>
      <c r="T118" s="425">
        <f>IFERROR(__xludf.DUMMYFUNCTION("""COMPUTED_VALUE"""),0.0)</f>
        <v>0</v>
      </c>
      <c r="U118" s="425">
        <f>IFERROR(__xludf.DUMMYFUNCTION("""COMPUTED_VALUE"""),0.0)</f>
        <v>0</v>
      </c>
    </row>
    <row r="119" ht="15.75" customHeight="1">
      <c r="A119" s="412" t="str">
        <f>IFERROR(__xludf.DUMMYFUNCTION("""COMPUTED_VALUE"""),"NANO")</f>
        <v>NANO</v>
      </c>
      <c r="B119" s="415" t="str">
        <f>IFERROR(__xludf.DUMMYFUNCTION("""COMPUTED_VALUE"""),"Cameccaa21")</f>
        <v>Cameccaa21</v>
      </c>
      <c r="C119" s="414" t="str">
        <f>IFERROR(__xludf.DUMMYFUNCTION("""COMPUTED_VALUE"""),"https://www.tiktok.com/@Cameccaa21")</f>
        <v>https://www.tiktok.com/@Cameccaa21</v>
      </c>
      <c r="D119" s="415">
        <f>IFERROR(__xludf.DUMMYFUNCTION("""COMPUTED_VALUE"""),8.5601880116E10)</f>
        <v>85601880116</v>
      </c>
      <c r="E119" s="416">
        <f>IFERROR(__xludf.DUMMYFUNCTION("""COMPUTED_VALUE"""),0.0)</f>
        <v>0</v>
      </c>
      <c r="F119" s="417">
        <f>IFERROR(__xludf.DUMMYFUNCTION("""COMPUTED_VALUE"""),4.0)</f>
        <v>4</v>
      </c>
      <c r="G119" s="418" t="str">
        <f>IFERROR(__xludf.DUMMYFUNCTION("""COMPUTED_VALUE"""),"Rp4,2JT")</f>
        <v>Rp4,2JT</v>
      </c>
      <c r="H119" s="419"/>
      <c r="I119" s="420"/>
      <c r="J119" s="421"/>
      <c r="K119" s="422" t="str">
        <f>IFERROR(__xludf.DUMMYFUNCTION("""COMPUTED_VALUE"""),"https://vt.tiktok.com/ZSu31C2Xj/")</f>
        <v>https://vt.tiktok.com/ZSu31C2Xj/</v>
      </c>
      <c r="L119" s="419"/>
      <c r="M119" s="422" t="str">
        <f>IFERROR(__xludf.DUMMYFUNCTION("""COMPUTED_VALUE"""),"https://vt.tiktok.com/ZSu31T9vj/")</f>
        <v>https://vt.tiktok.com/ZSu31T9vj/</v>
      </c>
      <c r="N119" s="419"/>
      <c r="O119" s="422" t="str">
        <f>IFERROR(__xludf.DUMMYFUNCTION("""COMPUTED_VALUE"""),"https://vt.tiktok.com/ZSH9Kyp3C/")</f>
        <v>https://vt.tiktok.com/ZSH9Kyp3C/</v>
      </c>
      <c r="P119" s="419"/>
      <c r="Q119" s="422" t="str">
        <f>IFERROR(__xludf.DUMMYFUNCTION("""COMPUTED_VALUE"""),"https://vt.tiktok.com/ZSH9Keo6K/")</f>
        <v>https://vt.tiktok.com/ZSH9Keo6K/</v>
      </c>
      <c r="R119" s="425">
        <f>IFERROR(__xludf.DUMMYFUNCTION("""COMPUTED_VALUE"""),64000.0)</f>
        <v>64000</v>
      </c>
      <c r="S119" s="425">
        <f>IFERROR(__xludf.DUMMYFUNCTION("""COMPUTED_VALUE"""),0.0)</f>
        <v>0</v>
      </c>
      <c r="T119" s="425">
        <f>IFERROR(__xludf.DUMMYFUNCTION("""COMPUTED_VALUE"""),0.0)</f>
        <v>0</v>
      </c>
      <c r="U119" s="425">
        <f>IFERROR(__xludf.DUMMYFUNCTION("""COMPUTED_VALUE"""),0.0)</f>
        <v>0</v>
      </c>
    </row>
    <row r="120" ht="15.75" customHeight="1">
      <c r="A120" s="412" t="str">
        <f>IFERROR(__xludf.DUMMYFUNCTION("""COMPUTED_VALUE"""),"NANO")</f>
        <v>NANO</v>
      </c>
      <c r="B120" s="415" t="str">
        <f>IFERROR(__xludf.DUMMYFUNCTION("""COMPUTED_VALUE"""),"sye.stuff")</f>
        <v>sye.stuff</v>
      </c>
      <c r="C120" s="414" t="str">
        <f>IFERROR(__xludf.DUMMYFUNCTION("""COMPUTED_VALUE"""),"https://www.tiktok.com/@sye.stuff")</f>
        <v>https://www.tiktok.com/@sye.stuff</v>
      </c>
      <c r="D120" s="415">
        <f>IFERROR(__xludf.DUMMYFUNCTION("""COMPUTED_VALUE"""),8.5727185659E10)</f>
        <v>85727185659</v>
      </c>
      <c r="E120" s="416">
        <f>IFERROR(__xludf.DUMMYFUNCTION("""COMPUTED_VALUE"""),0.0)</f>
        <v>0</v>
      </c>
      <c r="F120" s="417">
        <f>IFERROR(__xludf.DUMMYFUNCTION("""COMPUTED_VALUE"""),4.0)</f>
        <v>4</v>
      </c>
      <c r="G120" s="418" t="str">
        <f>IFERROR(__xludf.DUMMYFUNCTION("""COMPUTED_VALUE"""),"Rp23,1JT")</f>
        <v>Rp23,1JT</v>
      </c>
      <c r="H120" s="419"/>
      <c r="I120" s="420"/>
      <c r="J120" s="421"/>
      <c r="K120" s="422" t="str">
        <f>IFERROR(__xludf.DUMMYFUNCTION("""COMPUTED_VALUE"""),"https://vt.tiktok.com/ZSucy5mxg/")</f>
        <v>https://vt.tiktok.com/ZSucy5mxg/</v>
      </c>
      <c r="L120" s="419"/>
      <c r="M120" s="422" t="str">
        <f>IFERROR(__xludf.DUMMYFUNCTION("""COMPUTED_VALUE"""),"https://vt.tiktok.com/ZSHY2sDW2/")</f>
        <v>https://vt.tiktok.com/ZSHY2sDW2/</v>
      </c>
      <c r="N120" s="419"/>
      <c r="O120" s="422" t="str">
        <f>IFERROR(__xludf.DUMMYFUNCTION("""COMPUTED_VALUE"""),"https://vt.tiktok.com/ZSHYjeKs3/")</f>
        <v>https://vt.tiktok.com/ZSHYjeKs3/</v>
      </c>
      <c r="P120" s="419"/>
      <c r="Q120" s="422" t="str">
        <f>IFERROR(__xludf.DUMMYFUNCTION("""COMPUTED_VALUE"""),"https://vt.tiktok.com/ZSHYjecG2/")</f>
        <v>https://vt.tiktok.com/ZSHYjecG2/</v>
      </c>
      <c r="R120" s="425">
        <f>IFERROR(__xludf.DUMMYFUNCTION("""COMPUTED_VALUE"""),0.0)</f>
        <v>0</v>
      </c>
      <c r="S120" s="425">
        <f>IFERROR(__xludf.DUMMYFUNCTION("""COMPUTED_VALUE"""),0.0)</f>
        <v>0</v>
      </c>
      <c r="T120" s="425">
        <f>IFERROR(__xludf.DUMMYFUNCTION("""COMPUTED_VALUE"""),0.0)</f>
        <v>0</v>
      </c>
      <c r="U120" s="425">
        <f>IFERROR(__xludf.DUMMYFUNCTION("""COMPUTED_VALUE"""),0.0)</f>
        <v>0</v>
      </c>
    </row>
    <row r="121" ht="15.75" customHeight="1">
      <c r="A121" s="412" t="str">
        <f>IFERROR(__xludf.DUMMYFUNCTION("""COMPUTED_VALUE"""),"NANO")</f>
        <v>NANO</v>
      </c>
      <c r="B121" s="415" t="str">
        <f>IFERROR(__xludf.DUMMYFUNCTION("""COMPUTED_VALUE"""),"Byliyah")</f>
        <v>Byliyah</v>
      </c>
      <c r="C121" s="414" t="str">
        <f>IFERROR(__xludf.DUMMYFUNCTION("""COMPUTED_VALUE"""),"https://www.tiktok.com/@Byliyah")</f>
        <v>https://www.tiktok.com/@Byliyah</v>
      </c>
      <c r="D121" s="415">
        <f>IFERROR(__xludf.DUMMYFUNCTION("""COMPUTED_VALUE"""),8.5748261974E10)</f>
        <v>85748261974</v>
      </c>
      <c r="E121" s="416">
        <f>IFERROR(__xludf.DUMMYFUNCTION("""COMPUTED_VALUE"""),0.0)</f>
        <v>0</v>
      </c>
      <c r="F121" s="417">
        <f>IFERROR(__xludf.DUMMYFUNCTION("""COMPUTED_VALUE"""),4.0)</f>
        <v>4</v>
      </c>
      <c r="G121" s="418" t="str">
        <f>IFERROR(__xludf.DUMMYFUNCTION("""COMPUTED_VALUE"""),"Rp34,7JT")</f>
        <v>Rp34,7JT</v>
      </c>
      <c r="H121" s="419"/>
      <c r="I121" s="420"/>
      <c r="J121" s="421"/>
      <c r="K121" s="422" t="str">
        <f>IFERROR(__xludf.DUMMYFUNCTION("""COMPUTED_VALUE"""),"https://vt.tiktok.com/ZSHBACBJn/")</f>
        <v>https://vt.tiktok.com/ZSHBACBJn/</v>
      </c>
      <c r="L121" s="419"/>
      <c r="M121" s="422" t="str">
        <f>IFERROR(__xludf.DUMMYFUNCTION("""COMPUTED_VALUE"""),"https://vt.tiktok.com/ZSHBA9Kre/")</f>
        <v>https://vt.tiktok.com/ZSHBA9Kre/</v>
      </c>
      <c r="N121" s="419"/>
      <c r="O121" s="422" t="str">
        <f>IFERROR(__xludf.DUMMYFUNCTION("""COMPUTED_VALUE"""),"https://vt.tiktok.com/ZSHBAq8vW/")</f>
        <v>https://vt.tiktok.com/ZSHBAq8vW/</v>
      </c>
      <c r="P121" s="419"/>
      <c r="Q121" s="422" t="str">
        <f>IFERROR(__xludf.DUMMYFUNCTION("""COMPUTED_VALUE"""),"https://vt.tiktok.com/ZSHBAyaYs/")</f>
        <v>https://vt.tiktok.com/ZSHBAyaYs/</v>
      </c>
      <c r="R121" s="425">
        <f>IFERROR(__xludf.DUMMYFUNCTION("""COMPUTED_VALUE"""),0.0)</f>
        <v>0</v>
      </c>
      <c r="S121" s="425">
        <f>IFERROR(__xludf.DUMMYFUNCTION("""COMPUTED_VALUE"""),0.0)</f>
        <v>0</v>
      </c>
      <c r="T121" s="425">
        <f>IFERROR(__xludf.DUMMYFUNCTION("""COMPUTED_VALUE"""),0.0)</f>
        <v>0</v>
      </c>
      <c r="U121" s="425">
        <f>IFERROR(__xludf.DUMMYFUNCTION("""COMPUTED_VALUE"""),0.0)</f>
        <v>0</v>
      </c>
    </row>
    <row r="122" ht="15.75" customHeight="1">
      <c r="A122" s="412" t="str">
        <f>IFERROR(__xludf.DUMMYFUNCTION("""COMPUTED_VALUE"""),"NANO")</f>
        <v>NANO</v>
      </c>
      <c r="B122" s="415" t="str">
        <f>IFERROR(__xludf.DUMMYFUNCTION("""COMPUTED_VALUE"""),"zillalfasih")</f>
        <v>zillalfasih</v>
      </c>
      <c r="C122" s="414" t="str">
        <f>IFERROR(__xludf.DUMMYFUNCTION("""COMPUTED_VALUE"""),"https://www.tiktok.com/@zillalfasih")</f>
        <v>https://www.tiktok.com/@zillalfasih</v>
      </c>
      <c r="D122" s="415">
        <f>IFERROR(__xludf.DUMMYFUNCTION("""COMPUTED_VALUE"""),8.9504593429E10)</f>
        <v>89504593429</v>
      </c>
      <c r="E122" s="416">
        <f>IFERROR(__xludf.DUMMYFUNCTION("""COMPUTED_VALUE"""),0.0)</f>
        <v>0</v>
      </c>
      <c r="F122" s="417">
        <f>IFERROR(__xludf.DUMMYFUNCTION("""COMPUTED_VALUE"""),4.0)</f>
        <v>4</v>
      </c>
      <c r="G122" s="418" t="str">
        <f>IFERROR(__xludf.DUMMYFUNCTION("""COMPUTED_VALUE"""),"Rp6,9JT")</f>
        <v>Rp6,9JT</v>
      </c>
      <c r="H122" s="419"/>
      <c r="I122" s="420"/>
      <c r="J122" s="421"/>
      <c r="K122" s="422" t="str">
        <f>IFERROR(__xludf.DUMMYFUNCTION("""COMPUTED_VALUE"""),"https://vt.tiktok.com/ZSuyhyL9J/")</f>
        <v>https://vt.tiktok.com/ZSuyhyL9J/</v>
      </c>
      <c r="L122" s="419"/>
      <c r="M122" s="422" t="str">
        <f>IFERROR(__xludf.DUMMYFUNCTION("""COMPUTED_VALUE"""),"https://vt.tiktok.com/ZSuyhD7By/")</f>
        <v>https://vt.tiktok.com/ZSuyhD7By/</v>
      </c>
      <c r="N122" s="419"/>
      <c r="O122" s="422" t="str">
        <f>IFERROR(__xludf.DUMMYFUNCTION("""COMPUTED_VALUE"""),"https://vt.tiktok.com/ZSuyha8Qa/")</f>
        <v>https://vt.tiktok.com/ZSuyha8Qa/</v>
      </c>
      <c r="P122" s="419"/>
      <c r="Q122" s="422" t="str">
        <f>IFERROR(__xludf.DUMMYFUNCTION("""COMPUTED_VALUE"""),"https://vt.tiktok.com/ZSuyhupqT/")</f>
        <v>https://vt.tiktok.com/ZSuyhupqT/</v>
      </c>
      <c r="R122" s="425">
        <f>IFERROR(__xludf.DUMMYFUNCTION("""COMPUTED_VALUE"""),0.0)</f>
        <v>0</v>
      </c>
      <c r="S122" s="425">
        <f>IFERROR(__xludf.DUMMYFUNCTION("""COMPUTED_VALUE"""),0.0)</f>
        <v>0</v>
      </c>
      <c r="T122" s="425">
        <f>IFERROR(__xludf.DUMMYFUNCTION("""COMPUTED_VALUE"""),0.0)</f>
        <v>0</v>
      </c>
      <c r="U122" s="425">
        <f>IFERROR(__xludf.DUMMYFUNCTION("""COMPUTED_VALUE"""),0.0)</f>
        <v>0</v>
      </c>
    </row>
    <row r="123" ht="15.75" customHeight="1">
      <c r="A123" s="412" t="str">
        <f>IFERROR(__xludf.DUMMYFUNCTION("""COMPUTED_VALUE"""),"NANO")</f>
        <v>NANO</v>
      </c>
      <c r="B123" s="415" t="str">
        <f>IFERROR(__xludf.DUMMYFUNCTION("""COMPUTED_VALUE"""),"meamore42")</f>
        <v>meamore42</v>
      </c>
      <c r="C123" s="414" t="str">
        <f>IFERROR(__xludf.DUMMYFUNCTION("""COMPUTED_VALUE"""),"https://www.tiktok.com/@meamore42")</f>
        <v>https://www.tiktok.com/@meamore42</v>
      </c>
      <c r="D123" s="415">
        <f>IFERROR(__xludf.DUMMYFUNCTION("""COMPUTED_VALUE"""),8.5727007908E10)</f>
        <v>85727007908</v>
      </c>
      <c r="E123" s="416">
        <f>IFERROR(__xludf.DUMMYFUNCTION("""COMPUTED_VALUE"""),0.0)</f>
        <v>0</v>
      </c>
      <c r="F123" s="417">
        <f>IFERROR(__xludf.DUMMYFUNCTION("""COMPUTED_VALUE"""),4.0)</f>
        <v>4</v>
      </c>
      <c r="G123" s="418" t="str">
        <f>IFERROR(__xludf.DUMMYFUNCTION("""COMPUTED_VALUE"""),"Rp57,9JT")</f>
        <v>Rp57,9JT</v>
      </c>
      <c r="H123" s="419"/>
      <c r="I123" s="420"/>
      <c r="J123" s="421"/>
      <c r="K123" s="422" t="str">
        <f>IFERROR(__xludf.DUMMYFUNCTION("""COMPUTED_VALUE"""),"https://www.tiktok.com/@meamore42/video/7624137391976107271?is_from_webapp=1&amp;sender_device=pc")</f>
        <v>https://www.tiktok.com/@meamore42/video/7624137391976107271?is_from_webapp=1&amp;sender_device=pc</v>
      </c>
      <c r="L123" s="419"/>
      <c r="M123" s="422" t="str">
        <f>IFERROR(__xludf.DUMMYFUNCTION("""COMPUTED_VALUE"""),"https://www.tiktok.com/@meamore42/video/7624877522949328136?is_from_webapp=1&amp;sender_device=pc")</f>
        <v>https://www.tiktok.com/@meamore42/video/7624877522949328136?is_from_webapp=1&amp;sender_device=pc</v>
      </c>
      <c r="N123" s="419"/>
      <c r="O123" s="422" t="str">
        <f>IFERROR(__xludf.DUMMYFUNCTION("""COMPUTED_VALUE"""),"https://vt.tiktok.com/ZSH9Kjj8q/")</f>
        <v>https://vt.tiktok.com/ZSH9Kjj8q/</v>
      </c>
      <c r="P123" s="419"/>
      <c r="Q123" s="422" t="str">
        <f>IFERROR(__xludf.DUMMYFUNCTION("""COMPUTED_VALUE"""),"https://vt.tiktok.com/ZSH9K2eYH/")</f>
        <v>https://vt.tiktok.com/ZSH9K2eYH/</v>
      </c>
      <c r="R123" s="425">
        <f>IFERROR(__xludf.DUMMYFUNCTION("""COMPUTED_VALUE"""),252270.0)</f>
        <v>252270</v>
      </c>
      <c r="S123" s="425">
        <f>IFERROR(__xludf.DUMMYFUNCTION("""COMPUTED_VALUE"""),0.0)</f>
        <v>0</v>
      </c>
      <c r="T123" s="425">
        <f>IFERROR(__xludf.DUMMYFUNCTION("""COMPUTED_VALUE"""),0.0)</f>
        <v>0</v>
      </c>
      <c r="U123" s="425">
        <f>IFERROR(__xludf.DUMMYFUNCTION("""COMPUTED_VALUE"""),0.0)</f>
        <v>0</v>
      </c>
    </row>
    <row r="124" ht="15.75" hidden="1" customHeight="1">
      <c r="A124" s="412" t="str">
        <f>IFERROR(__xludf.DUMMYFUNCTION("""COMPUTED_VALUE"""),"NANO")</f>
        <v>NANO</v>
      </c>
      <c r="B124" s="415" t="str">
        <f>IFERROR(__xludf.DUMMYFUNCTION("""COMPUTED_VALUE"""),"vinchamss")</f>
        <v>vinchamss</v>
      </c>
      <c r="C124" s="414" t="str">
        <f>IFERROR(__xludf.DUMMYFUNCTION("""COMPUTED_VALUE"""),"https://www.tiktok.com/@vinchamss")</f>
        <v>https://www.tiktok.com/@vinchamss</v>
      </c>
      <c r="D124" s="415">
        <f>IFERROR(__xludf.DUMMYFUNCTION("""COMPUTED_VALUE"""),8.5890350074E10)</f>
        <v>85890350074</v>
      </c>
      <c r="E124" s="416">
        <f>IFERROR(__xludf.DUMMYFUNCTION("""COMPUTED_VALUE"""),0.0)</f>
        <v>0</v>
      </c>
      <c r="F124" s="417">
        <f>IFERROR(__xludf.DUMMYFUNCTION("""COMPUTED_VALUE"""),2.0)</f>
        <v>2</v>
      </c>
      <c r="G124" s="418" t="str">
        <f>IFERROR(__xludf.DUMMYFUNCTION("""COMPUTED_VALUE"""),"Rp1JT+")</f>
        <v>Rp1JT+</v>
      </c>
      <c r="H124" s="419"/>
      <c r="I124" s="420"/>
      <c r="J124" s="421"/>
      <c r="K124" s="423"/>
      <c r="L124" s="419"/>
      <c r="M124" s="423"/>
      <c r="N124" s="419"/>
      <c r="O124" s="423"/>
      <c r="P124" s="419"/>
      <c r="Q124" s="423"/>
      <c r="R124" s="425">
        <f>IFERROR(__xludf.DUMMYFUNCTION("""COMPUTED_VALUE"""),0.0)</f>
        <v>0</v>
      </c>
      <c r="S124" s="425">
        <f>IFERROR(__xludf.DUMMYFUNCTION("""COMPUTED_VALUE"""),0.0)</f>
        <v>0</v>
      </c>
      <c r="T124" s="425">
        <f>IFERROR(__xludf.DUMMYFUNCTION("""COMPUTED_VALUE"""),0.0)</f>
        <v>0</v>
      </c>
      <c r="U124" s="425">
        <f>IFERROR(__xludf.DUMMYFUNCTION("""COMPUTED_VALUE"""),0.0)</f>
        <v>0</v>
      </c>
    </row>
    <row r="125" ht="15.75" customHeight="1">
      <c r="A125" s="412" t="str">
        <f>IFERROR(__xludf.DUMMYFUNCTION("""COMPUTED_VALUE"""),"NANO")</f>
        <v>NANO</v>
      </c>
      <c r="B125" s="415" t="str">
        <f>IFERROR(__xludf.DUMMYFUNCTION("""COMPUTED_VALUE"""),"beershinee_")</f>
        <v>beershinee_</v>
      </c>
      <c r="C125" s="414" t="str">
        <f>IFERROR(__xludf.DUMMYFUNCTION("""COMPUTED_VALUE"""),"https://www.tiktok.com/@beershinee_")</f>
        <v>https://www.tiktok.com/@beershinee_</v>
      </c>
      <c r="D125" s="415">
        <f>IFERROR(__xludf.DUMMYFUNCTION("""COMPUTED_VALUE"""),8.1910010665E10)</f>
        <v>81910010665</v>
      </c>
      <c r="E125" s="416">
        <f>IFERROR(__xludf.DUMMYFUNCTION("""COMPUTED_VALUE"""),0.0)</f>
        <v>0</v>
      </c>
      <c r="F125" s="417">
        <f>IFERROR(__xludf.DUMMYFUNCTION("""COMPUTED_VALUE"""),4.0)</f>
        <v>4</v>
      </c>
      <c r="G125" s="418" t="str">
        <f>IFERROR(__xludf.DUMMYFUNCTION("""COMPUTED_VALUE"""),"Rp7,6JT")</f>
        <v>Rp7,6JT</v>
      </c>
      <c r="H125" s="419"/>
      <c r="I125" s="420"/>
      <c r="J125" s="421"/>
      <c r="K125" s="422" t="str">
        <f>IFERROR(__xludf.DUMMYFUNCTION("""COMPUTED_VALUE"""),"https://www.tiktok.com/@beershinee_/video/7620996734918855943?is_from_webapp=1&amp;sender_device=pc")</f>
        <v>https://www.tiktok.com/@beershinee_/video/7620996734918855943?is_from_webapp=1&amp;sender_device=pc</v>
      </c>
      <c r="L125" s="419"/>
      <c r="M125" s="422" t="str">
        <f>IFERROR(__xludf.DUMMYFUNCTION("""COMPUTED_VALUE"""),"https://www.tiktok.com/@beershinee_/video/7622175530195963143?is_from_webapp=1&amp;sender_device=pc")</f>
        <v>https://www.tiktok.com/@beershinee_/video/7622175530195963143?is_from_webapp=1&amp;sender_device=pc</v>
      </c>
      <c r="N125" s="419"/>
      <c r="O125" s="422" t="str">
        <f>IFERROR(__xludf.DUMMYFUNCTION("""COMPUTED_VALUE"""),"https://vt.tiktok.com/ZSH9wpJxH/")</f>
        <v>https://vt.tiktok.com/ZSH9wpJxH/</v>
      </c>
      <c r="P125" s="419"/>
      <c r="Q125" s="422" t="str">
        <f>IFERROR(__xludf.DUMMYFUNCTION("""COMPUTED_VALUE"""),"https://vt.tiktok.com/ZSH9wsXQe/")</f>
        <v>https://vt.tiktok.com/ZSH9wsXQe/</v>
      </c>
      <c r="R125" s="425">
        <f>IFERROR(__xludf.DUMMYFUNCTION("""COMPUTED_VALUE"""),0.0)</f>
        <v>0</v>
      </c>
      <c r="S125" s="425">
        <f>IFERROR(__xludf.DUMMYFUNCTION("""COMPUTED_VALUE"""),0.0)</f>
        <v>0</v>
      </c>
      <c r="T125" s="425">
        <f>IFERROR(__xludf.DUMMYFUNCTION("""COMPUTED_VALUE"""),0.0)</f>
        <v>0</v>
      </c>
      <c r="U125" s="425">
        <f>IFERROR(__xludf.DUMMYFUNCTION("""COMPUTED_VALUE"""),0.0)</f>
        <v>0</v>
      </c>
    </row>
    <row r="126" ht="15.75" hidden="1" customHeight="1">
      <c r="A126" s="412" t="str">
        <f>IFERROR(__xludf.DUMMYFUNCTION("""COMPUTED_VALUE"""),"NANO")</f>
        <v>NANO</v>
      </c>
      <c r="B126" s="415" t="str">
        <f>IFERROR(__xludf.DUMMYFUNCTION("""COMPUTED_VALUE"""),"Ciky288")</f>
        <v>Ciky288</v>
      </c>
      <c r="C126" s="414" t="str">
        <f>IFERROR(__xludf.DUMMYFUNCTION("""COMPUTED_VALUE"""),"https://www.tiktok.com/@Ciky288")</f>
        <v>https://www.tiktok.com/@Ciky288</v>
      </c>
      <c r="D126" s="415">
        <f>IFERROR(__xludf.DUMMYFUNCTION("""COMPUTED_VALUE"""),8.1332066877E10)</f>
        <v>81332066877</v>
      </c>
      <c r="E126" s="416">
        <f>IFERROR(__xludf.DUMMYFUNCTION("""COMPUTED_VALUE"""),0.0)</f>
        <v>0</v>
      </c>
      <c r="F126" s="417">
        <f>IFERROR(__xludf.DUMMYFUNCTION("""COMPUTED_VALUE"""),2.0)</f>
        <v>2</v>
      </c>
      <c r="G126" s="418" t="str">
        <f>IFERROR(__xludf.DUMMYFUNCTION("""COMPUTED_VALUE"""),"Rp60,4JT")</f>
        <v>Rp60,4JT</v>
      </c>
      <c r="H126" s="419"/>
      <c r="I126" s="420"/>
      <c r="J126" s="421"/>
      <c r="K126" s="423"/>
      <c r="L126" s="419"/>
      <c r="M126" s="423"/>
      <c r="N126" s="419"/>
      <c r="O126" s="423"/>
      <c r="P126" s="419"/>
      <c r="Q126" s="423"/>
      <c r="R126" s="425">
        <f>IFERROR(__xludf.DUMMYFUNCTION("""COMPUTED_VALUE"""),0.0)</f>
        <v>0</v>
      </c>
      <c r="S126" s="425">
        <f>IFERROR(__xludf.DUMMYFUNCTION("""COMPUTED_VALUE"""),0.0)</f>
        <v>0</v>
      </c>
      <c r="T126" s="425">
        <f>IFERROR(__xludf.DUMMYFUNCTION("""COMPUTED_VALUE"""),0.0)</f>
        <v>0</v>
      </c>
      <c r="U126" s="425">
        <f>IFERROR(__xludf.DUMMYFUNCTION("""COMPUTED_VALUE"""),0.0)</f>
        <v>0</v>
      </c>
    </row>
    <row r="127" ht="15.75" hidden="1" customHeight="1">
      <c r="A127" s="412" t="str">
        <f>IFERROR(__xludf.DUMMYFUNCTION("""COMPUTED_VALUE"""),"NANO")</f>
        <v>NANO</v>
      </c>
      <c r="B127" s="415" t="str">
        <f>IFERROR(__xludf.DUMMYFUNCTION("""COMPUTED_VALUE"""),"fhateeem")</f>
        <v>fhateeem</v>
      </c>
      <c r="C127" s="414" t="str">
        <f>IFERROR(__xludf.DUMMYFUNCTION("""COMPUTED_VALUE"""),"https://www.tiktok.com/@fhateeem")</f>
        <v>https://www.tiktok.com/@fhateeem</v>
      </c>
      <c r="D127" s="417">
        <f>IFERROR(__xludf.DUMMYFUNCTION("""COMPUTED_VALUE"""),8.7741755537E10)</f>
        <v>87741755537</v>
      </c>
      <c r="E127" s="416">
        <f>IFERROR(__xludf.DUMMYFUNCTION("""COMPUTED_VALUE"""),0.0)</f>
        <v>0</v>
      </c>
      <c r="F127" s="417">
        <f>IFERROR(__xludf.DUMMYFUNCTION("""COMPUTED_VALUE"""),2.0)</f>
        <v>2</v>
      </c>
      <c r="G127" s="418" t="str">
        <f>IFERROR(__xludf.DUMMYFUNCTION("""COMPUTED_VALUE"""),"Rp1JT+")</f>
        <v>Rp1JT+</v>
      </c>
      <c r="H127" s="419"/>
      <c r="I127" s="420"/>
      <c r="J127" s="421"/>
      <c r="K127" s="422" t="str">
        <f>IFERROR(__xludf.DUMMYFUNCTION("""COMPUTED_VALUE"""),"https://vt.tiktok.com/ZSHHh8CjS/")</f>
        <v>https://vt.tiktok.com/ZSHHh8CjS/</v>
      </c>
      <c r="L127" s="419"/>
      <c r="M127" s="423"/>
      <c r="N127" s="419"/>
      <c r="O127" s="423"/>
      <c r="P127" s="419"/>
      <c r="Q127" s="423"/>
      <c r="R127" s="425">
        <f>IFERROR(__xludf.DUMMYFUNCTION("""COMPUTED_VALUE"""),0.0)</f>
        <v>0</v>
      </c>
      <c r="S127" s="425">
        <f>IFERROR(__xludf.DUMMYFUNCTION("""COMPUTED_VALUE"""),0.0)</f>
        <v>0</v>
      </c>
      <c r="T127" s="425">
        <f>IFERROR(__xludf.DUMMYFUNCTION("""COMPUTED_VALUE"""),0.0)</f>
        <v>0</v>
      </c>
      <c r="U127" s="425">
        <f>IFERROR(__xludf.DUMMYFUNCTION("""COMPUTED_VALUE"""),0.0)</f>
        <v>0</v>
      </c>
    </row>
    <row r="128" ht="15.75" customHeight="1">
      <c r="A128" s="412" t="str">
        <f>IFERROR(__xludf.DUMMYFUNCTION("""COMPUTED_VALUE"""),"NANO")</f>
        <v>NANO</v>
      </c>
      <c r="B128" s="415" t="str">
        <f>IFERROR(__xludf.DUMMYFUNCTION("""COMPUTED_VALUE"""),"shiintamiifta ")</f>
        <v>shiintamiifta </v>
      </c>
      <c r="C128" s="414" t="str">
        <f>IFERROR(__xludf.DUMMYFUNCTION("""COMPUTED_VALUE"""),"https://www.tiktok.com/@shiintamiifta ")</f>
        <v>https://www.tiktok.com/@shiintamiifta </v>
      </c>
      <c r="D128" s="417">
        <f>IFERROR(__xludf.DUMMYFUNCTION("""COMPUTED_VALUE"""),8.5895411677E10)</f>
        <v>85895411677</v>
      </c>
      <c r="E128" s="416">
        <f>IFERROR(__xludf.DUMMYFUNCTION("""COMPUTED_VALUE"""),0.0)</f>
        <v>0</v>
      </c>
      <c r="F128" s="417">
        <f>IFERROR(__xludf.DUMMYFUNCTION("""COMPUTED_VALUE"""),4.0)</f>
        <v>4</v>
      </c>
      <c r="G128" s="418" t="str">
        <f>IFERROR(__xludf.DUMMYFUNCTION("""COMPUTED_VALUE"""),"Rp33,7JT")</f>
        <v>Rp33,7JT</v>
      </c>
      <c r="H128" s="419"/>
      <c r="I128" s="420"/>
      <c r="J128" s="421"/>
      <c r="K128" s="422" t="str">
        <f>IFERROR(__xludf.DUMMYFUNCTION("""COMPUTED_VALUE"""),"https://vt.tiktok.com/ZSHB7mTpn/")</f>
        <v>https://vt.tiktok.com/ZSHB7mTpn/</v>
      </c>
      <c r="L128" s="419"/>
      <c r="M128" s="422" t="str">
        <f>IFERROR(__xludf.DUMMYFUNCTION("""COMPUTED_VALUE"""),"https://vt.tiktok.com/ZSHyd4Mt9/")</f>
        <v>https://vt.tiktok.com/ZSHyd4Mt9/</v>
      </c>
      <c r="N128" s="419"/>
      <c r="O128" s="422" t="str">
        <f>IFERROR(__xludf.DUMMYFUNCTION("""COMPUTED_VALUE"""),"https://vt.tiktok.com/ZSHuWoxSn/")</f>
        <v>https://vt.tiktok.com/ZSHuWoxSn/</v>
      </c>
      <c r="P128" s="419"/>
      <c r="Q128" s="422" t="str">
        <f>IFERROR(__xludf.DUMMYFUNCTION("""COMPUTED_VALUE"""),"https://vt.tiktok.com/ZSHXDL6kL/")</f>
        <v>https://vt.tiktok.com/ZSHXDL6kL/</v>
      </c>
      <c r="R128" s="425">
        <f>IFERROR(__xludf.DUMMYFUNCTION("""COMPUTED_VALUE"""),0.0)</f>
        <v>0</v>
      </c>
      <c r="S128" s="425">
        <f>IFERROR(__xludf.DUMMYFUNCTION("""COMPUTED_VALUE"""),0.0)</f>
        <v>0</v>
      </c>
      <c r="T128" s="425">
        <f>IFERROR(__xludf.DUMMYFUNCTION("""COMPUTED_VALUE"""),0.0)</f>
        <v>0</v>
      </c>
      <c r="U128" s="425">
        <f>IFERROR(__xludf.DUMMYFUNCTION("""COMPUTED_VALUE"""),0.0)</f>
        <v>0</v>
      </c>
    </row>
    <row r="129" ht="15.75" hidden="1" customHeight="1">
      <c r="A129" s="412" t="str">
        <f>IFERROR(__xludf.DUMMYFUNCTION("""COMPUTED_VALUE"""),"NANO")</f>
        <v>NANO</v>
      </c>
      <c r="B129" s="415" t="str">
        <f>IFERROR(__xludf.DUMMYFUNCTION("""COMPUTED_VALUE"""),"pipittindah_")</f>
        <v>pipittindah_</v>
      </c>
      <c r="C129" s="414" t="str">
        <f>IFERROR(__xludf.DUMMYFUNCTION("""COMPUTED_VALUE"""),"https://www.tiktok.com/@pipittindah_")</f>
        <v>https://www.tiktok.com/@pipittindah_</v>
      </c>
      <c r="D129" s="417">
        <f>IFERROR(__xludf.DUMMYFUNCTION("""COMPUTED_VALUE"""),8.585255342E10)</f>
        <v>85852553420</v>
      </c>
      <c r="E129" s="416">
        <f>IFERROR(__xludf.DUMMYFUNCTION("""COMPUTED_VALUE"""),0.0)</f>
        <v>0</v>
      </c>
      <c r="F129" s="417">
        <f>IFERROR(__xludf.DUMMYFUNCTION("""COMPUTED_VALUE"""),2.0)</f>
        <v>2</v>
      </c>
      <c r="G129" s="418" t="str">
        <f>IFERROR(__xludf.DUMMYFUNCTION("""COMPUTED_VALUE"""),"Rp314,3JT")</f>
        <v>Rp314,3JT</v>
      </c>
      <c r="H129" s="419"/>
      <c r="I129" s="420"/>
      <c r="J129" s="421"/>
      <c r="K129" s="422" t="str">
        <f>IFERROR(__xludf.DUMMYFUNCTION("""COMPUTED_VALUE"""),"https://vt.tiktok.com/ZSHqK2dKE/")</f>
        <v>https://vt.tiktok.com/ZSHqK2dKE/</v>
      </c>
      <c r="L129" s="419"/>
      <c r="M129" s="422" t="str">
        <f>IFERROR(__xludf.DUMMYFUNCTION("""COMPUTED_VALUE"""),"https://vt.tiktok.com/ZSHpCCCq5/")</f>
        <v>https://vt.tiktok.com/ZSHpCCCq5/</v>
      </c>
      <c r="N129" s="419"/>
      <c r="O129" s="423"/>
      <c r="P129" s="419"/>
      <c r="Q129" s="423"/>
      <c r="R129" s="425">
        <f>IFERROR(__xludf.DUMMYFUNCTION("""COMPUTED_VALUE"""),300630.0)</f>
        <v>300630</v>
      </c>
      <c r="S129" s="425">
        <f>IFERROR(__xludf.DUMMYFUNCTION("""COMPUTED_VALUE"""),0.0)</f>
        <v>0</v>
      </c>
      <c r="T129" s="425">
        <f>IFERROR(__xludf.DUMMYFUNCTION("""COMPUTED_VALUE"""),0.0)</f>
        <v>0</v>
      </c>
      <c r="U129" s="425">
        <f>IFERROR(__xludf.DUMMYFUNCTION("""COMPUTED_VALUE"""),0.0)</f>
        <v>0</v>
      </c>
    </row>
    <row r="130" ht="15.75" hidden="1" customHeight="1">
      <c r="A130" s="412" t="str">
        <f>IFERROR(__xludf.DUMMYFUNCTION("""COMPUTED_VALUE"""),"NANO")</f>
        <v>NANO</v>
      </c>
      <c r="B130" s="415" t="str">
        <f>IFERROR(__xludf.DUMMYFUNCTION("""COMPUTED_VALUE"""),"itsditul")</f>
        <v>itsditul</v>
      </c>
      <c r="C130" s="414" t="str">
        <f>IFERROR(__xludf.DUMMYFUNCTION("""COMPUTED_VALUE"""),"https://www.tiktok.com/@itsditul")</f>
        <v>https://www.tiktok.com/@itsditul</v>
      </c>
      <c r="D130" s="417">
        <f>IFERROR(__xludf.DUMMYFUNCTION("""COMPUTED_VALUE"""),8.3170874058E10)</f>
        <v>83170874058</v>
      </c>
      <c r="E130" s="416">
        <f>IFERROR(__xludf.DUMMYFUNCTION("""COMPUTED_VALUE"""),0.0)</f>
        <v>0</v>
      </c>
      <c r="F130" s="417">
        <f>IFERROR(__xludf.DUMMYFUNCTION("""COMPUTED_VALUE"""),2.0)</f>
        <v>2</v>
      </c>
      <c r="G130" s="418" t="str">
        <f>IFERROR(__xludf.DUMMYFUNCTION("""COMPUTED_VALUE"""),"Rp1M")</f>
        <v>Rp1M</v>
      </c>
      <c r="H130" s="419"/>
      <c r="I130" s="420"/>
      <c r="J130" s="421"/>
      <c r="K130" s="422" t="str">
        <f>IFERROR(__xludf.DUMMYFUNCTION("""COMPUTED_VALUE"""),"https://vt.tiktok.com/ZS9tb6mg1/")</f>
        <v>https://vt.tiktok.com/ZS9tb6mg1/</v>
      </c>
      <c r="L130" s="419"/>
      <c r="M130" s="422" t="str">
        <f>IFERROR(__xludf.DUMMYFUNCTION("""COMPUTED_VALUE"""),"https://vt.tiktok.com/ZS9tb5C8U/")</f>
        <v>https://vt.tiktok.com/ZS9tb5C8U/</v>
      </c>
      <c r="N130" s="419"/>
      <c r="O130" s="423"/>
      <c r="P130" s="419"/>
      <c r="Q130" s="423"/>
      <c r="R130" s="425">
        <f>IFERROR(__xludf.DUMMYFUNCTION("""COMPUTED_VALUE"""),138001.0)</f>
        <v>138001</v>
      </c>
      <c r="S130" s="425">
        <f>IFERROR(__xludf.DUMMYFUNCTION("""COMPUTED_VALUE"""),0.0)</f>
        <v>0</v>
      </c>
      <c r="T130" s="425">
        <f>IFERROR(__xludf.DUMMYFUNCTION("""COMPUTED_VALUE"""),0.0)</f>
        <v>0</v>
      </c>
      <c r="U130" s="425">
        <f>IFERROR(__xludf.DUMMYFUNCTION("""COMPUTED_VALUE"""),0.0)</f>
        <v>0</v>
      </c>
    </row>
    <row r="131" ht="15.75" hidden="1" customHeight="1">
      <c r="A131" s="412" t="str">
        <f>IFERROR(__xludf.DUMMYFUNCTION("""COMPUTED_VALUE"""),"NANO")</f>
        <v>NANO</v>
      </c>
      <c r="B131" s="415" t="str">
        <f>IFERROR(__xludf.DUMMYFUNCTION("""COMPUTED_VALUE"""),"lyaliiaaa")</f>
        <v>lyaliiaaa</v>
      </c>
      <c r="C131" s="414" t="str">
        <f>IFERROR(__xludf.DUMMYFUNCTION("""COMPUTED_VALUE"""),"https://www.tiktok.com/@lyaliiaaa")</f>
        <v>https://www.tiktok.com/@lyaliiaaa</v>
      </c>
      <c r="D131" s="417">
        <f>IFERROR(__xludf.DUMMYFUNCTION("""COMPUTED_VALUE"""),8.5215831122E10)</f>
        <v>85215831122</v>
      </c>
      <c r="E131" s="416">
        <f>IFERROR(__xludf.DUMMYFUNCTION("""COMPUTED_VALUE"""),0.0)</f>
        <v>0</v>
      </c>
      <c r="F131" s="417">
        <f>IFERROR(__xludf.DUMMYFUNCTION("""COMPUTED_VALUE"""),3.0)</f>
        <v>3</v>
      </c>
      <c r="G131" s="418" t="str">
        <f>IFERROR(__xludf.DUMMYFUNCTION("""COMPUTED_VALUE"""),"Rp196,7JT")</f>
        <v>Rp196,7JT</v>
      </c>
      <c r="H131" s="419"/>
      <c r="I131" s="420"/>
      <c r="J131" s="421"/>
      <c r="K131" s="422" t="str">
        <f>IFERROR(__xludf.DUMMYFUNCTION("""COMPUTED_VALUE"""),"https://vt.tiktok.com/ZSHcjayMG/")</f>
        <v>https://vt.tiktok.com/ZSHcjayMG/</v>
      </c>
      <c r="L131" s="419"/>
      <c r="M131" s="422" t="str">
        <f>IFERROR(__xludf.DUMMYFUNCTION("""COMPUTED_VALUE"""),"https://vt.tiktok.com/ZSHcjxnBv/")</f>
        <v>https://vt.tiktok.com/ZSHcjxnBv/</v>
      </c>
      <c r="N131" s="419"/>
      <c r="O131" s="422" t="str">
        <f>IFERROR(__xludf.DUMMYFUNCTION("""COMPUTED_VALUE"""),"https://vt.tiktok.com/ZSHcjBgRG/")</f>
        <v>https://vt.tiktok.com/ZSHcjBgRG/</v>
      </c>
      <c r="P131" s="419"/>
      <c r="Q131" s="423"/>
      <c r="R131" s="425">
        <f>IFERROR(__xludf.DUMMYFUNCTION("""COMPUTED_VALUE"""),264696.0)</f>
        <v>264696</v>
      </c>
      <c r="S131" s="425">
        <f>IFERROR(__xludf.DUMMYFUNCTION("""COMPUTED_VALUE"""),0.0)</f>
        <v>0</v>
      </c>
      <c r="T131" s="425">
        <f>IFERROR(__xludf.DUMMYFUNCTION("""COMPUTED_VALUE"""),0.0)</f>
        <v>0</v>
      </c>
      <c r="U131" s="425">
        <f>IFERROR(__xludf.DUMMYFUNCTION("""COMPUTED_VALUE"""),0.0)</f>
        <v>0</v>
      </c>
    </row>
    <row r="132" ht="15.75" hidden="1" customHeight="1">
      <c r="A132" s="412" t="str">
        <f>IFERROR(__xludf.DUMMYFUNCTION("""COMPUTED_VALUE"""),"NANO")</f>
        <v>NANO</v>
      </c>
      <c r="B132" s="415" t="str">
        <f>IFERROR(__xludf.DUMMYFUNCTION("""COMPUTED_VALUE"""),"beningtyasw")</f>
        <v>beningtyasw</v>
      </c>
      <c r="C132" s="414" t="str">
        <f>IFERROR(__xludf.DUMMYFUNCTION("""COMPUTED_VALUE"""),"https://www.tiktok.com/@beningtyasw")</f>
        <v>https://www.tiktok.com/@beningtyasw</v>
      </c>
      <c r="D132" s="417">
        <f>IFERROR(__xludf.DUMMYFUNCTION("""COMPUTED_VALUE"""),8.5338144627E10)</f>
        <v>85338144627</v>
      </c>
      <c r="E132" s="416">
        <f>IFERROR(__xludf.DUMMYFUNCTION("""COMPUTED_VALUE"""),0.0)</f>
        <v>0</v>
      </c>
      <c r="F132" s="417">
        <f>IFERROR(__xludf.DUMMYFUNCTION("""COMPUTED_VALUE"""),2.0)</f>
        <v>2</v>
      </c>
      <c r="G132" s="418" t="str">
        <f>IFERROR(__xludf.DUMMYFUNCTION("""COMPUTED_VALUE"""),"Rp1JT+")</f>
        <v>Rp1JT+</v>
      </c>
      <c r="H132" s="419"/>
      <c r="I132" s="420"/>
      <c r="J132" s="421"/>
      <c r="K132" s="422" t="str">
        <f>IFERROR(__xludf.DUMMYFUNCTION("""COMPUTED_VALUE"""),"https://vt.tiktok.com/ZSHbFJDE1/")</f>
        <v>https://vt.tiktok.com/ZSHbFJDE1/</v>
      </c>
      <c r="L132" s="419"/>
      <c r="M132" s="422" t="str">
        <f>IFERROR(__xludf.DUMMYFUNCTION("""COMPUTED_VALUE"""),"https://vt.tiktok.com/ZSHbF6hnW/")</f>
        <v>https://vt.tiktok.com/ZSHbF6hnW/</v>
      </c>
      <c r="N132" s="419"/>
      <c r="O132" s="423"/>
      <c r="P132" s="419"/>
      <c r="Q132" s="423"/>
      <c r="R132" s="425">
        <f>IFERROR(__xludf.DUMMYFUNCTION("""COMPUTED_VALUE"""),0.0)</f>
        <v>0</v>
      </c>
      <c r="S132" s="425">
        <f>IFERROR(__xludf.DUMMYFUNCTION("""COMPUTED_VALUE"""),0.0)</f>
        <v>0</v>
      </c>
      <c r="T132" s="425">
        <f>IFERROR(__xludf.DUMMYFUNCTION("""COMPUTED_VALUE"""),0.0)</f>
        <v>0</v>
      </c>
      <c r="U132" s="425">
        <f>IFERROR(__xludf.DUMMYFUNCTION("""COMPUTED_VALUE"""),0.0)</f>
        <v>0</v>
      </c>
    </row>
    <row r="133" ht="15.75" hidden="1" customHeight="1">
      <c r="A133" s="412" t="str">
        <f>IFERROR(__xludf.DUMMYFUNCTION("""COMPUTED_VALUE"""),"NANO")</f>
        <v>NANO</v>
      </c>
      <c r="B133" s="415" t="str">
        <f>IFERROR(__xludf.DUMMYFUNCTION("""COMPUTED_VALUE"""),"malanafisaa")</f>
        <v>malanafisaa</v>
      </c>
      <c r="C133" s="414" t="str">
        <f>IFERROR(__xludf.DUMMYFUNCTION("""COMPUTED_VALUE"""),"https://www.tiktok.com/@malanafisaa")</f>
        <v>https://www.tiktok.com/@malanafisaa</v>
      </c>
      <c r="D133" s="417">
        <f>IFERROR(__xludf.DUMMYFUNCTION("""COMPUTED_VALUE"""),8.2320948862E10)</f>
        <v>82320948862</v>
      </c>
      <c r="E133" s="416">
        <f>IFERROR(__xludf.DUMMYFUNCTION("""COMPUTED_VALUE"""),0.0)</f>
        <v>0</v>
      </c>
      <c r="F133" s="417">
        <f>IFERROR(__xludf.DUMMYFUNCTION("""COMPUTED_VALUE"""),2.0)</f>
        <v>2</v>
      </c>
      <c r="G133" s="418" t="str">
        <f>IFERROR(__xludf.DUMMYFUNCTION("""COMPUTED_VALUE"""),"Rp1JT+")</f>
        <v>Rp1JT+</v>
      </c>
      <c r="H133" s="419"/>
      <c r="I133" s="420"/>
      <c r="J133" s="421"/>
      <c r="K133" s="422" t="str">
        <f>IFERROR(__xludf.DUMMYFUNCTION("""COMPUTED_VALUE"""),"https://vt.tiktok.com/ZSH97Tbm5/")</f>
        <v>https://vt.tiktok.com/ZSH97Tbm5/</v>
      </c>
      <c r="L133" s="419"/>
      <c r="M133" s="422" t="str">
        <f>IFERROR(__xludf.DUMMYFUNCTION("""COMPUTED_VALUE"""),"https://vt.tiktok.com/ZSH9vMJb9/")</f>
        <v>https://vt.tiktok.com/ZSH9vMJb9/</v>
      </c>
      <c r="N133" s="419"/>
      <c r="O133" s="423"/>
      <c r="P133" s="419"/>
      <c r="Q133" s="423"/>
      <c r="R133" s="425">
        <f>IFERROR(__xludf.DUMMYFUNCTION("""COMPUTED_VALUE"""),81626.0)</f>
        <v>81626</v>
      </c>
      <c r="S133" s="425">
        <f>IFERROR(__xludf.DUMMYFUNCTION("""COMPUTED_VALUE"""),0.0)</f>
        <v>0</v>
      </c>
      <c r="T133" s="425">
        <f>IFERROR(__xludf.DUMMYFUNCTION("""COMPUTED_VALUE"""),0.0)</f>
        <v>0</v>
      </c>
      <c r="U133" s="425">
        <f>IFERROR(__xludf.DUMMYFUNCTION("""COMPUTED_VALUE"""),0.0)</f>
        <v>0</v>
      </c>
    </row>
    <row r="134" ht="15.75" hidden="1" customHeight="1">
      <c r="A134" s="412" t="str">
        <f>IFERROR(__xludf.DUMMYFUNCTION("""COMPUTED_VALUE"""),"NANO")</f>
        <v>NANO</v>
      </c>
      <c r="B134" s="415" t="str">
        <f>IFERROR(__xludf.DUMMYFUNCTION("""COMPUTED_VALUE"""),"niarahmania25")</f>
        <v>niarahmania25</v>
      </c>
      <c r="C134" s="414" t="str">
        <f>IFERROR(__xludf.DUMMYFUNCTION("""COMPUTED_VALUE"""),"https://www.tiktok.com/@niarahmania25")</f>
        <v>https://www.tiktok.com/@niarahmania25</v>
      </c>
      <c r="D134" s="417">
        <f>IFERROR(__xludf.DUMMYFUNCTION("""COMPUTED_VALUE"""),8.9650601335E10)</f>
        <v>89650601335</v>
      </c>
      <c r="E134" s="416">
        <f>IFERROR(__xludf.DUMMYFUNCTION("""COMPUTED_VALUE"""),0.0)</f>
        <v>0</v>
      </c>
      <c r="F134" s="417">
        <f>IFERROR(__xludf.DUMMYFUNCTION("""COMPUTED_VALUE"""),3.0)</f>
        <v>3</v>
      </c>
      <c r="G134" s="418" t="str">
        <f>IFERROR(__xludf.DUMMYFUNCTION("""COMPUTED_VALUE"""),"Rp7,1JT")</f>
        <v>Rp7,1JT</v>
      </c>
      <c r="H134" s="419"/>
      <c r="I134" s="420"/>
      <c r="J134" s="421"/>
      <c r="K134" s="422" t="str">
        <f>IFERROR(__xludf.DUMMYFUNCTION("""COMPUTED_VALUE"""),"https://vt.tiktok.com/ZSHhb198M/")</f>
        <v>https://vt.tiktok.com/ZSHhb198M/</v>
      </c>
      <c r="L134" s="419"/>
      <c r="M134" s="422" t="str">
        <f>IFERROR(__xludf.DUMMYFUNCTION("""COMPUTED_VALUE"""),"https://vt.tiktok.com/ZSHapSGPY/")</f>
        <v>https://vt.tiktok.com/ZSHapSGPY/</v>
      </c>
      <c r="N134" s="419"/>
      <c r="O134" s="422" t="str">
        <f>IFERROR(__xludf.DUMMYFUNCTION("""COMPUTED_VALUE"""),"https://www.tiktok.com/@niarahmania25/video/7624408263026625812?is_from_webapp=1&amp;sender_device=pc")</f>
        <v>https://www.tiktok.com/@niarahmania25/video/7624408263026625812?is_from_webapp=1&amp;sender_device=pc</v>
      </c>
      <c r="P134" s="419"/>
      <c r="Q134" s="423"/>
      <c r="R134" s="425">
        <f>IFERROR(__xludf.DUMMYFUNCTION("""COMPUTED_VALUE"""),0.0)</f>
        <v>0</v>
      </c>
      <c r="S134" s="425">
        <f>IFERROR(__xludf.DUMMYFUNCTION("""COMPUTED_VALUE"""),0.0)</f>
        <v>0</v>
      </c>
      <c r="T134" s="425">
        <f>IFERROR(__xludf.DUMMYFUNCTION("""COMPUTED_VALUE"""),0.0)</f>
        <v>0</v>
      </c>
      <c r="U134" s="425">
        <f>IFERROR(__xludf.DUMMYFUNCTION("""COMPUTED_VALUE"""),0.0)</f>
        <v>0</v>
      </c>
    </row>
    <row r="135" ht="15.75" hidden="1" customHeight="1">
      <c r="A135" s="412" t="str">
        <f>IFERROR(__xludf.DUMMYFUNCTION("""COMPUTED_VALUE"""),"NANO")</f>
        <v>NANO</v>
      </c>
      <c r="B135" s="415" t="str">
        <f>IFERROR(__xludf.DUMMYFUNCTION("""COMPUTED_VALUE"""),"bettertogoo")</f>
        <v>bettertogoo</v>
      </c>
      <c r="C135" s="414" t="str">
        <f>IFERROR(__xludf.DUMMYFUNCTION("""COMPUTED_VALUE"""),"https://www.tiktok.com/@bettertogoo")</f>
        <v>https://www.tiktok.com/@bettertogoo</v>
      </c>
      <c r="D135" s="417">
        <f>IFERROR(__xludf.DUMMYFUNCTION("""COMPUTED_VALUE"""),8.5888066648E10)</f>
        <v>85888066648</v>
      </c>
      <c r="E135" s="416">
        <f>IFERROR(__xludf.DUMMYFUNCTION("""COMPUTED_VALUE"""),0.0)</f>
        <v>0</v>
      </c>
      <c r="F135" s="417">
        <f>IFERROR(__xludf.DUMMYFUNCTION("""COMPUTED_VALUE"""),2.0)</f>
        <v>2</v>
      </c>
      <c r="G135" s="418" t="str">
        <f>IFERROR(__xludf.DUMMYFUNCTION("""COMPUTED_VALUE"""),"Rp1JT+")</f>
        <v>Rp1JT+</v>
      </c>
      <c r="H135" s="419"/>
      <c r="I135" s="420"/>
      <c r="J135" s="421"/>
      <c r="K135" s="423"/>
      <c r="L135" s="419"/>
      <c r="M135" s="423"/>
      <c r="N135" s="419"/>
      <c r="O135" s="423"/>
      <c r="P135" s="419"/>
      <c r="Q135" s="423"/>
      <c r="R135" s="425">
        <f>IFERROR(__xludf.DUMMYFUNCTION("""COMPUTED_VALUE"""),0.0)</f>
        <v>0</v>
      </c>
      <c r="S135" s="425">
        <f>IFERROR(__xludf.DUMMYFUNCTION("""COMPUTED_VALUE"""),0.0)</f>
        <v>0</v>
      </c>
      <c r="T135" s="425">
        <f>IFERROR(__xludf.DUMMYFUNCTION("""COMPUTED_VALUE"""),0.0)</f>
        <v>0</v>
      </c>
      <c r="U135" s="425">
        <f>IFERROR(__xludf.DUMMYFUNCTION("""COMPUTED_VALUE"""),0.0)</f>
        <v>0</v>
      </c>
    </row>
    <row r="136" ht="15.75" hidden="1" customHeight="1">
      <c r="A136" s="412" t="str">
        <f>IFERROR(__xludf.DUMMYFUNCTION("""COMPUTED_VALUE"""),"NANO")</f>
        <v>NANO</v>
      </c>
      <c r="B136" s="415" t="str">
        <f>IFERROR(__xludf.DUMMYFUNCTION("""COMPUTED_VALUE"""),"mell.nt")</f>
        <v>mell.nt</v>
      </c>
      <c r="C136" s="414" t="str">
        <f>IFERROR(__xludf.DUMMYFUNCTION("""COMPUTED_VALUE"""),"https://www.tiktok.com/@mell.nt")</f>
        <v>https://www.tiktok.com/@mell.nt</v>
      </c>
      <c r="D136" s="417"/>
      <c r="E136" s="416">
        <f>IFERROR(__xludf.DUMMYFUNCTION("""COMPUTED_VALUE"""),0.0)</f>
        <v>0</v>
      </c>
      <c r="F136" s="417">
        <f>IFERROR(__xludf.DUMMYFUNCTION("""COMPUTED_VALUE"""),2.0)</f>
        <v>2</v>
      </c>
      <c r="G136" s="418" t="str">
        <f>IFERROR(__xludf.DUMMYFUNCTION("""COMPUTED_VALUE"""),"Rp50,5JT")</f>
        <v>Rp50,5JT</v>
      </c>
      <c r="H136" s="419"/>
      <c r="I136" s="420"/>
      <c r="J136" s="421"/>
      <c r="K136" s="422" t="str">
        <f>IFERROR(__xludf.DUMMYFUNCTION("""COMPUTED_VALUE"""),"https://vt.tiktok.com/ZS9edWnHA/")</f>
        <v>https://vt.tiktok.com/ZS9edWnHA/</v>
      </c>
      <c r="L136" s="419"/>
      <c r="M136" s="423"/>
      <c r="N136" s="419"/>
      <c r="O136" s="423"/>
      <c r="P136" s="419"/>
      <c r="Q136" s="423"/>
      <c r="R136" s="425">
        <f>IFERROR(__xludf.DUMMYFUNCTION("""COMPUTED_VALUE"""),253419.0)</f>
        <v>253419</v>
      </c>
      <c r="S136" s="425">
        <f>IFERROR(__xludf.DUMMYFUNCTION("""COMPUTED_VALUE"""),0.0)</f>
        <v>0</v>
      </c>
      <c r="T136" s="425">
        <f>IFERROR(__xludf.DUMMYFUNCTION("""COMPUTED_VALUE"""),0.0)</f>
        <v>0</v>
      </c>
      <c r="U136" s="425">
        <f>IFERROR(__xludf.DUMMYFUNCTION("""COMPUTED_VALUE"""),0.0)</f>
        <v>0</v>
      </c>
    </row>
    <row r="137" ht="15.75" hidden="1" customHeight="1">
      <c r="A137" s="412" t="str">
        <f>IFERROR(__xludf.DUMMYFUNCTION("""COMPUTED_VALUE"""),"MICRO")</f>
        <v>MICRO</v>
      </c>
      <c r="B137" s="415" t="str">
        <f>IFERROR(__xludf.DUMMYFUNCTION("""COMPUTED_VALUE"""),"vika_deanda")</f>
        <v>vika_deanda</v>
      </c>
      <c r="C137" s="414" t="str">
        <f>IFERROR(__xludf.DUMMYFUNCTION("""COMPUTED_VALUE"""),"https://www.tiktok.com/@vika_deanda")</f>
        <v>https://www.tiktok.com/@vika_deanda</v>
      </c>
      <c r="D137" s="417">
        <f>IFERROR(__xludf.DUMMYFUNCTION("""COMPUTED_VALUE"""),8.582979312E10)</f>
        <v>85829793120</v>
      </c>
      <c r="E137" s="416">
        <f>IFERROR(__xludf.DUMMYFUNCTION("""COMPUTED_VALUE"""),0.0)</f>
        <v>0</v>
      </c>
      <c r="F137" s="417">
        <f>IFERROR(__xludf.DUMMYFUNCTION("""COMPUTED_VALUE"""),2.0)</f>
        <v>2</v>
      </c>
      <c r="G137" s="418" t="str">
        <f>IFERROR(__xludf.DUMMYFUNCTION("""COMPUTED_VALUE"""),"Rp1JT+")</f>
        <v>Rp1JT+</v>
      </c>
      <c r="H137" s="419"/>
      <c r="I137" s="420"/>
      <c r="J137" s="421"/>
      <c r="K137" s="422" t="str">
        <f>IFERROR(__xludf.DUMMYFUNCTION("""COMPUTED_VALUE"""),"https://vt.tiktok.com/ZSHqEknWG/")</f>
        <v>https://vt.tiktok.com/ZSHqEknWG/</v>
      </c>
      <c r="L137" s="419"/>
      <c r="M137" s="422" t="str">
        <f>IFERROR(__xludf.DUMMYFUNCTION("""COMPUTED_VALUE"""),"https://vt.tiktok.com/ZS9hgYAUC/")</f>
        <v>https://vt.tiktok.com/ZS9hgYAUC/</v>
      </c>
      <c r="N137" s="419"/>
      <c r="O137" s="423"/>
      <c r="P137" s="419"/>
      <c r="Q137" s="423"/>
      <c r="R137" s="425">
        <f>IFERROR(__xludf.DUMMYFUNCTION("""COMPUTED_VALUE"""),0.0)</f>
        <v>0</v>
      </c>
      <c r="S137" s="425">
        <f>IFERROR(__xludf.DUMMYFUNCTION("""COMPUTED_VALUE"""),0.0)</f>
        <v>0</v>
      </c>
      <c r="T137" s="425">
        <f>IFERROR(__xludf.DUMMYFUNCTION("""COMPUTED_VALUE"""),0.0)</f>
        <v>0</v>
      </c>
      <c r="U137" s="425">
        <f>IFERROR(__xludf.DUMMYFUNCTION("""COMPUTED_VALUE"""),0.0)</f>
        <v>0</v>
      </c>
    </row>
    <row r="138" ht="15.75" hidden="1" customHeight="1">
      <c r="A138" s="412" t="str">
        <f>IFERROR(__xludf.DUMMYFUNCTION("""COMPUTED_VALUE"""),"NANO")</f>
        <v>NANO</v>
      </c>
      <c r="B138" s="415" t="str">
        <f>IFERROR(__xludf.DUMMYFUNCTION("""COMPUTED_VALUE"""),"panggilhanny")</f>
        <v>panggilhanny</v>
      </c>
      <c r="C138" s="414" t="str">
        <f>IFERROR(__xludf.DUMMYFUNCTION("""COMPUTED_VALUE"""),"https://www.tiktok.com/@panggilhanny")</f>
        <v>https://www.tiktok.com/@panggilhanny</v>
      </c>
      <c r="D138" s="417">
        <f>IFERROR(__xludf.DUMMYFUNCTION("""COMPUTED_VALUE"""),8.2123400994E10)</f>
        <v>82123400994</v>
      </c>
      <c r="E138" s="416">
        <f>IFERROR(__xludf.DUMMYFUNCTION("""COMPUTED_VALUE"""),0.0)</f>
        <v>0</v>
      </c>
      <c r="F138" s="417">
        <f>IFERROR(__xludf.DUMMYFUNCTION("""COMPUTED_VALUE"""),3.0)</f>
        <v>3</v>
      </c>
      <c r="G138" s="418" t="str">
        <f>IFERROR(__xludf.DUMMYFUNCTION("""COMPUTED_VALUE"""),"Rp39,7JT")</f>
        <v>Rp39,7JT</v>
      </c>
      <c r="H138" s="419"/>
      <c r="I138" s="420"/>
      <c r="J138" s="421"/>
      <c r="K138" s="422" t="str">
        <f>IFERROR(__xludf.DUMMYFUNCTION("""COMPUTED_VALUE"""),"https://www.tiktok.com/@panggilhanny/video/7623715048334069010?is_from_webapp=1&amp;sender_device=pc")</f>
        <v>https://www.tiktok.com/@panggilhanny/video/7623715048334069010?is_from_webapp=1&amp;sender_device=pc</v>
      </c>
      <c r="L138" s="419"/>
      <c r="M138" s="422" t="str">
        <f>IFERROR(__xludf.DUMMYFUNCTION("""COMPUTED_VALUE"""),"https://www.tiktok.com/@panggilhanny/video/7624363744965020936?is_from_webapp=1&amp;sender_device=pc")</f>
        <v>https://www.tiktok.com/@panggilhanny/video/7624363744965020936?is_from_webapp=1&amp;sender_device=pc</v>
      </c>
      <c r="N138" s="419"/>
      <c r="O138" s="422" t="str">
        <f>IFERROR(__xludf.DUMMYFUNCTION("""COMPUTED_VALUE"""),"https://vt.tiktok.com/ZS9jjaJjC/")</f>
        <v>https://vt.tiktok.com/ZS9jjaJjC/</v>
      </c>
      <c r="P138" s="419"/>
      <c r="Q138" s="423"/>
      <c r="R138" s="425">
        <f>IFERROR(__xludf.DUMMYFUNCTION("""COMPUTED_VALUE"""),0.0)</f>
        <v>0</v>
      </c>
      <c r="S138" s="425">
        <f>IFERROR(__xludf.DUMMYFUNCTION("""COMPUTED_VALUE"""),0.0)</f>
        <v>0</v>
      </c>
      <c r="T138" s="425">
        <f>IFERROR(__xludf.DUMMYFUNCTION("""COMPUTED_VALUE"""),0.0)</f>
        <v>0</v>
      </c>
      <c r="U138" s="425">
        <f>IFERROR(__xludf.DUMMYFUNCTION("""COMPUTED_VALUE"""),0.0)</f>
        <v>0</v>
      </c>
    </row>
    <row r="139" ht="15.75" hidden="1" customHeight="1">
      <c r="A139" s="412" t="str">
        <f>IFERROR(__xludf.DUMMYFUNCTION("""COMPUTED_VALUE"""),"NANO")</f>
        <v>NANO</v>
      </c>
      <c r="B139" s="415" t="str">
        <f>IFERROR(__xludf.DUMMYFUNCTION("""COMPUTED_VALUE"""),"syahvitridewi")</f>
        <v>syahvitridewi</v>
      </c>
      <c r="C139" s="414" t="str">
        <f>IFERROR(__xludf.DUMMYFUNCTION("""COMPUTED_VALUE"""),"https://www.tiktok.com/@syahvitridewi")</f>
        <v>https://www.tiktok.com/@syahvitridewi</v>
      </c>
      <c r="D139" s="417">
        <f>IFERROR(__xludf.DUMMYFUNCTION("""COMPUTED_VALUE"""),8.5732336052E10)</f>
        <v>85732336052</v>
      </c>
      <c r="E139" s="416">
        <f>IFERROR(__xludf.DUMMYFUNCTION("""COMPUTED_VALUE"""),150000.0)</f>
        <v>150000</v>
      </c>
      <c r="F139" s="417">
        <f>IFERROR(__xludf.DUMMYFUNCTION("""COMPUTED_VALUE"""),1.0)</f>
        <v>1</v>
      </c>
      <c r="G139" s="418" t="str">
        <f>IFERROR(__xludf.DUMMYFUNCTION("""COMPUTED_VALUE"""),"Rp81,2JT")</f>
        <v>Rp81,2JT</v>
      </c>
      <c r="H139" s="419"/>
      <c r="I139" s="420"/>
      <c r="J139" s="421"/>
      <c r="K139" s="422" t="str">
        <f>IFERROR(__xludf.DUMMYFUNCTION("""COMPUTED_VALUE"""),"https://vt.tiktok.com/ZSHxRGYL4/")</f>
        <v>https://vt.tiktok.com/ZSHxRGYL4/</v>
      </c>
      <c r="L139" s="419"/>
      <c r="M139" s="423"/>
      <c r="N139" s="419"/>
      <c r="O139" s="423"/>
      <c r="P139" s="419"/>
      <c r="Q139" s="423"/>
      <c r="R139" s="425">
        <f>IFERROR(__xludf.DUMMYFUNCTION("""COMPUTED_VALUE"""),4702284.0)</f>
        <v>4702284</v>
      </c>
      <c r="S139" s="425">
        <f>IFERROR(__xludf.DUMMYFUNCTION("""COMPUTED_VALUE"""),0.0)</f>
        <v>0</v>
      </c>
      <c r="T139" s="425">
        <f>IFERROR(__xludf.DUMMYFUNCTION("""COMPUTED_VALUE"""),0.0)</f>
        <v>0</v>
      </c>
      <c r="U139" s="425">
        <f>IFERROR(__xludf.DUMMYFUNCTION("""COMPUTED_VALUE"""),0.0)</f>
        <v>0</v>
      </c>
    </row>
    <row r="140" ht="15.75" hidden="1" customHeight="1">
      <c r="A140" s="412" t="str">
        <f>IFERROR(__xludf.DUMMYFUNCTION("""COMPUTED_VALUE"""),"NANO")</f>
        <v>NANO</v>
      </c>
      <c r="B140" s="415" t="str">
        <f>IFERROR(__xludf.DUMMYFUNCTION("""COMPUTED_VALUE"""),"tiktokshopp017")</f>
        <v>tiktokshopp017</v>
      </c>
      <c r="C140" s="414" t="str">
        <f>IFERROR(__xludf.DUMMYFUNCTION("""COMPUTED_VALUE"""),"https://www.tiktok.com/@tiktokshopp017")</f>
        <v>https://www.tiktok.com/@tiktokshopp017</v>
      </c>
      <c r="D140" s="417">
        <f>IFERROR(__xludf.DUMMYFUNCTION("""COMPUTED_VALUE"""),8.818239249E9)</f>
        <v>8818239249</v>
      </c>
      <c r="E140" s="416">
        <f>IFERROR(__xludf.DUMMYFUNCTION("""COMPUTED_VALUE"""),0.0)</f>
        <v>0</v>
      </c>
      <c r="F140" s="417">
        <f>IFERROR(__xludf.DUMMYFUNCTION("""COMPUTED_VALUE"""),2.0)</f>
        <v>2</v>
      </c>
      <c r="G140" s="418" t="str">
        <f>IFERROR(__xludf.DUMMYFUNCTION("""COMPUTED_VALUE"""),"Rp18,9JT")</f>
        <v>Rp18,9JT</v>
      </c>
      <c r="H140" s="419"/>
      <c r="I140" s="420"/>
      <c r="J140" s="421"/>
      <c r="K140" s="422" t="str">
        <f>IFERROR(__xludf.DUMMYFUNCTION("""COMPUTED_VALUE"""),"https://vt.tiktok.com/ZSHyr3n56/")</f>
        <v>https://vt.tiktok.com/ZSHyr3n56/</v>
      </c>
      <c r="L140" s="419"/>
      <c r="M140" s="422" t="str">
        <f>IFERROR(__xludf.DUMMYFUNCTION("""COMPUTED_VALUE"""),"https://vt.tiktok.com/ZSHbsjhuL/")</f>
        <v>https://vt.tiktok.com/ZSHbsjhuL/</v>
      </c>
      <c r="N140" s="419"/>
      <c r="O140" s="423"/>
      <c r="P140" s="419"/>
      <c r="Q140" s="423"/>
      <c r="R140" s="425">
        <f>IFERROR(__xludf.DUMMYFUNCTION("""COMPUTED_VALUE"""),0.0)</f>
        <v>0</v>
      </c>
      <c r="S140" s="425">
        <f>IFERROR(__xludf.DUMMYFUNCTION("""COMPUTED_VALUE"""),0.0)</f>
        <v>0</v>
      </c>
      <c r="T140" s="425">
        <f>IFERROR(__xludf.DUMMYFUNCTION("""COMPUTED_VALUE"""),0.0)</f>
        <v>0</v>
      </c>
      <c r="U140" s="425">
        <f>IFERROR(__xludf.DUMMYFUNCTION("""COMPUTED_VALUE"""),0.0)</f>
        <v>0</v>
      </c>
    </row>
    <row r="141" ht="15.75" hidden="1" customHeight="1">
      <c r="A141" s="412" t="str">
        <f>IFERROR(__xludf.DUMMYFUNCTION("""COMPUTED_VALUE"""),"NANO")</f>
        <v>NANO</v>
      </c>
      <c r="B141" s="415" t="str">
        <f>IFERROR(__xludf.DUMMYFUNCTION("""COMPUTED_VALUE"""),"triastore27")</f>
        <v>triastore27</v>
      </c>
      <c r="C141" s="414" t="str">
        <f>IFERROR(__xludf.DUMMYFUNCTION("""COMPUTED_VALUE"""),"https://www.tiktok.com/@triastore27")</f>
        <v>https://www.tiktok.com/@triastore27</v>
      </c>
      <c r="D141" s="417">
        <f>IFERROR(__xludf.DUMMYFUNCTION("""COMPUTED_VALUE"""),8.1384710127E10)</f>
        <v>81384710127</v>
      </c>
      <c r="E141" s="416">
        <f>IFERROR(__xludf.DUMMYFUNCTION("""COMPUTED_VALUE"""),0.0)</f>
        <v>0</v>
      </c>
      <c r="F141" s="417">
        <f>IFERROR(__xludf.DUMMYFUNCTION("""COMPUTED_VALUE"""),2.0)</f>
        <v>2</v>
      </c>
      <c r="G141" s="418" t="str">
        <f>IFERROR(__xludf.DUMMYFUNCTION("""COMPUTED_VALUE"""),"Rp182,6JT")</f>
        <v>Rp182,6JT</v>
      </c>
      <c r="H141" s="419"/>
      <c r="I141" s="420"/>
      <c r="J141" s="421"/>
      <c r="K141" s="422" t="str">
        <f>IFERROR(__xludf.DUMMYFUNCTION("""COMPUTED_VALUE"""),"https://vt.tiktok.com/ZSHugKPKm/")</f>
        <v>https://vt.tiktok.com/ZSHugKPKm/</v>
      </c>
      <c r="L141" s="419"/>
      <c r="M141" s="422" t="str">
        <f>IFERROR(__xludf.DUMMYFUNCTION("""COMPUTED_VALUE"""),"https://vt.tiktok.com/ZSHugE8Dw/")</f>
        <v>https://vt.tiktok.com/ZSHugE8Dw/</v>
      </c>
      <c r="N141" s="419"/>
      <c r="O141" s="423"/>
      <c r="P141" s="419"/>
      <c r="Q141" s="423"/>
      <c r="R141" s="425">
        <f>IFERROR(__xludf.DUMMYFUNCTION("""COMPUTED_VALUE"""),0.0)</f>
        <v>0</v>
      </c>
      <c r="S141" s="425">
        <f>IFERROR(__xludf.DUMMYFUNCTION("""COMPUTED_VALUE"""),0.0)</f>
        <v>0</v>
      </c>
      <c r="T141" s="425">
        <f>IFERROR(__xludf.DUMMYFUNCTION("""COMPUTED_VALUE"""),0.0)</f>
        <v>0</v>
      </c>
      <c r="U141" s="425">
        <f>IFERROR(__xludf.DUMMYFUNCTION("""COMPUTED_VALUE"""),0.0)</f>
        <v>0</v>
      </c>
    </row>
    <row r="142" ht="15.75" hidden="1" customHeight="1">
      <c r="A142" s="412" t="str">
        <f>IFERROR(__xludf.DUMMYFUNCTION("""COMPUTED_VALUE"""),"NANO")</f>
        <v>NANO</v>
      </c>
      <c r="B142" s="415" t="str">
        <f>IFERROR(__xludf.DUMMYFUNCTION("""COMPUTED_VALUE"""),"liansseptiana")</f>
        <v>liansseptiana</v>
      </c>
      <c r="C142" s="414" t="str">
        <f>IFERROR(__xludf.DUMMYFUNCTION("""COMPUTED_VALUE"""),"https://www.tiktok.com/@liansseptiana")</f>
        <v>https://www.tiktok.com/@liansseptiana</v>
      </c>
      <c r="D142" s="417">
        <f>IFERROR(__xludf.DUMMYFUNCTION("""COMPUTED_VALUE"""),8.5776666279E10)</f>
        <v>85776666279</v>
      </c>
      <c r="E142" s="416">
        <f>IFERROR(__xludf.DUMMYFUNCTION("""COMPUTED_VALUE"""),0.0)</f>
        <v>0</v>
      </c>
      <c r="F142" s="417">
        <f>IFERROR(__xludf.DUMMYFUNCTION("""COMPUTED_VALUE"""),2.0)</f>
        <v>2</v>
      </c>
      <c r="G142" s="418" t="str">
        <f>IFERROR(__xludf.DUMMYFUNCTION("""COMPUTED_VALUE"""),"Rp129,9JT")</f>
        <v>Rp129,9JT</v>
      </c>
      <c r="H142" s="419"/>
      <c r="I142" s="420"/>
      <c r="J142" s="421"/>
      <c r="K142" s="422" t="str">
        <f>IFERROR(__xludf.DUMMYFUNCTION("""COMPUTED_VALUE"""),"https://vt.tiktok.com/ZSHGtwyqC/")</f>
        <v>https://vt.tiktok.com/ZSHGtwyqC/</v>
      </c>
      <c r="L142" s="419"/>
      <c r="M142" s="422" t="str">
        <f>IFERROR(__xludf.DUMMYFUNCTION("""COMPUTED_VALUE"""),"https://vt.tiktok.com/ZS9JHhS37/")</f>
        <v>https://vt.tiktok.com/ZS9JHhS37/</v>
      </c>
      <c r="N142" s="419"/>
      <c r="O142" s="423"/>
      <c r="P142" s="419"/>
      <c r="Q142" s="423"/>
      <c r="R142" s="425">
        <f>IFERROR(__xludf.DUMMYFUNCTION("""COMPUTED_VALUE"""),143702.0)</f>
        <v>143702</v>
      </c>
      <c r="S142" s="425">
        <f>IFERROR(__xludf.DUMMYFUNCTION("""COMPUTED_VALUE"""),0.0)</f>
        <v>0</v>
      </c>
      <c r="T142" s="425">
        <f>IFERROR(__xludf.DUMMYFUNCTION("""COMPUTED_VALUE"""),0.0)</f>
        <v>0</v>
      </c>
      <c r="U142" s="425">
        <f>IFERROR(__xludf.DUMMYFUNCTION("""COMPUTED_VALUE"""),0.0)</f>
        <v>0</v>
      </c>
    </row>
    <row r="143" ht="15.75" hidden="1" customHeight="1">
      <c r="A143" s="412" t="str">
        <f>IFERROR(__xludf.DUMMYFUNCTION("""COMPUTED_VALUE"""),"NANO")</f>
        <v>NANO</v>
      </c>
      <c r="B143" s="415" t="str">
        <f>IFERROR(__xludf.DUMMYFUNCTION("""COMPUTED_VALUE"""),"rzynaaa")</f>
        <v>rzynaaa</v>
      </c>
      <c r="C143" s="414" t="str">
        <f>IFERROR(__xludf.DUMMYFUNCTION("""COMPUTED_VALUE"""),"https://www.tiktok.com/@rzynaaa")</f>
        <v>https://www.tiktok.com/@rzynaaa</v>
      </c>
      <c r="D143" s="417">
        <f>IFERROR(__xludf.DUMMYFUNCTION("""COMPUTED_VALUE"""),8.127120626E10)</f>
        <v>81271206260</v>
      </c>
      <c r="E143" s="416">
        <f>IFERROR(__xludf.DUMMYFUNCTION("""COMPUTED_VALUE"""),0.0)</f>
        <v>0</v>
      </c>
      <c r="F143" s="417">
        <f>IFERROR(__xludf.DUMMYFUNCTION("""COMPUTED_VALUE"""),3.0)</f>
        <v>3</v>
      </c>
      <c r="G143" s="418" t="str">
        <f>IFERROR(__xludf.DUMMYFUNCTION("""COMPUTED_VALUE"""),"Rp104,2JT")</f>
        <v>Rp104,2JT</v>
      </c>
      <c r="H143" s="419"/>
      <c r="I143" s="420"/>
      <c r="J143" s="421"/>
      <c r="K143" s="422" t="str">
        <f>IFERROR(__xludf.DUMMYFUNCTION("""COMPUTED_VALUE"""),"https://vt.tiktok.com/ZSHp2Nsn7/")</f>
        <v>https://vt.tiktok.com/ZSHp2Nsn7/</v>
      </c>
      <c r="L143" s="419"/>
      <c r="M143" s="422" t="str">
        <f>IFERROR(__xludf.DUMMYFUNCTION("""COMPUTED_VALUE"""),"https://vt.tiktok.com/ZSHp2y81T/")</f>
        <v>https://vt.tiktok.com/ZSHp2y81T/</v>
      </c>
      <c r="N143" s="419"/>
      <c r="O143" s="422" t="str">
        <f>IFERROR(__xludf.DUMMYFUNCTION("""COMPUTED_VALUE"""),"https://vt.tiktok.com/ZSHppGYkK/")</f>
        <v>https://vt.tiktok.com/ZSHppGYkK/</v>
      </c>
      <c r="P143" s="419"/>
      <c r="Q143" s="423"/>
      <c r="R143" s="425">
        <f>IFERROR(__xludf.DUMMYFUNCTION("""COMPUTED_VALUE"""),117529.0)</f>
        <v>117529</v>
      </c>
      <c r="S143" s="425">
        <f>IFERROR(__xludf.DUMMYFUNCTION("""COMPUTED_VALUE"""),0.0)</f>
        <v>0</v>
      </c>
      <c r="T143" s="425">
        <f>IFERROR(__xludf.DUMMYFUNCTION("""COMPUTED_VALUE"""),0.0)</f>
        <v>0</v>
      </c>
      <c r="U143" s="425">
        <f>IFERROR(__xludf.DUMMYFUNCTION("""COMPUTED_VALUE"""),0.0)</f>
        <v>0</v>
      </c>
    </row>
    <row r="144" ht="15.75" customHeight="1">
      <c r="A144" s="412" t="str">
        <f>IFERROR(__xludf.DUMMYFUNCTION("""COMPUTED_VALUE"""),"NANO")</f>
        <v>NANO</v>
      </c>
      <c r="B144" s="415" t="str">
        <f>IFERROR(__xludf.DUMMYFUNCTION("""COMPUTED_VALUE"""),"abcdera_14")</f>
        <v>abcdera_14</v>
      </c>
      <c r="C144" s="414" t="str">
        <f>IFERROR(__xludf.DUMMYFUNCTION("""COMPUTED_VALUE"""),"https://www.tiktok.com/@abcdera_14")</f>
        <v>https://www.tiktok.com/@abcdera_14</v>
      </c>
      <c r="D144" s="417">
        <f>IFERROR(__xludf.DUMMYFUNCTION("""COMPUTED_VALUE"""),8.1395892186E10)</f>
        <v>81395892186</v>
      </c>
      <c r="E144" s="416">
        <f>IFERROR(__xludf.DUMMYFUNCTION("""COMPUTED_VALUE"""),0.0)</f>
        <v>0</v>
      </c>
      <c r="F144" s="417">
        <f>IFERROR(__xludf.DUMMYFUNCTION("""COMPUTED_VALUE"""),4.0)</f>
        <v>4</v>
      </c>
      <c r="G144" s="418" t="str">
        <f>IFERROR(__xludf.DUMMYFUNCTION("""COMPUTED_VALUE"""),"Rp1JT+")</f>
        <v>Rp1JT+</v>
      </c>
      <c r="H144" s="419"/>
      <c r="I144" s="420"/>
      <c r="J144" s="421"/>
      <c r="K144" s="422" t="str">
        <f>IFERROR(__xludf.DUMMYFUNCTION("""COMPUTED_VALUE"""),"https://vt.tiktok.com/ZSHCfjPgj/")</f>
        <v>https://vt.tiktok.com/ZSHCfjPgj/</v>
      </c>
      <c r="L144" s="419"/>
      <c r="M144" s="422" t="str">
        <f>IFERROR(__xludf.DUMMYFUNCTION("""COMPUTED_VALUE"""),"https://vt.tiktok.com/ZSHCf87hb/")</f>
        <v>https://vt.tiktok.com/ZSHCf87hb/</v>
      </c>
      <c r="N144" s="419"/>
      <c r="O144" s="422" t="str">
        <f>IFERROR(__xludf.DUMMYFUNCTION("""COMPUTED_VALUE"""),"https://vt.tiktok.com/ZSHCfD7Wp/")</f>
        <v>https://vt.tiktok.com/ZSHCfD7Wp/</v>
      </c>
      <c r="P144" s="419"/>
      <c r="Q144" s="422" t="str">
        <f>IFERROR(__xludf.DUMMYFUNCTION("""COMPUTED_VALUE"""),"https://vt.tiktok.com/ZSHCyW3Mb/")</f>
        <v>https://vt.tiktok.com/ZSHCyW3Mb/</v>
      </c>
      <c r="R144" s="425">
        <f>IFERROR(__xludf.DUMMYFUNCTION("""COMPUTED_VALUE"""),0.0)</f>
        <v>0</v>
      </c>
      <c r="S144" s="425">
        <f>IFERROR(__xludf.DUMMYFUNCTION("""COMPUTED_VALUE"""),0.0)</f>
        <v>0</v>
      </c>
      <c r="T144" s="425">
        <f>IFERROR(__xludf.DUMMYFUNCTION("""COMPUTED_VALUE"""),0.0)</f>
        <v>0</v>
      </c>
      <c r="U144" s="425">
        <f>IFERROR(__xludf.DUMMYFUNCTION("""COMPUTED_VALUE"""),0.0)</f>
        <v>0</v>
      </c>
    </row>
    <row r="145" ht="15.75" hidden="1" customHeight="1">
      <c r="A145" s="412" t="str">
        <f>IFERROR(__xludf.DUMMYFUNCTION("""COMPUTED_VALUE"""),"NANO")</f>
        <v>NANO</v>
      </c>
      <c r="B145" s="415" t="str">
        <f>IFERROR(__xludf.DUMMYFUNCTION("""COMPUTED_VALUE"""),"anggyrd27")</f>
        <v>anggyrd27</v>
      </c>
      <c r="C145" s="414" t="str">
        <f>IFERROR(__xludf.DUMMYFUNCTION("""COMPUTED_VALUE"""),"https://www.tiktok.com/@anggyrd27")</f>
        <v>https://www.tiktok.com/@anggyrd27</v>
      </c>
      <c r="D145" s="417">
        <f>IFERROR(__xludf.DUMMYFUNCTION("""COMPUTED_VALUE"""),8.5718075982E10)</f>
        <v>85718075982</v>
      </c>
      <c r="E145" s="416">
        <f>IFERROR(__xludf.DUMMYFUNCTION("""COMPUTED_VALUE"""),0.0)</f>
        <v>0</v>
      </c>
      <c r="F145" s="417">
        <f>IFERROR(__xludf.DUMMYFUNCTION("""COMPUTED_VALUE"""),2.0)</f>
        <v>2</v>
      </c>
      <c r="G145" s="418" t="str">
        <f>IFERROR(__xludf.DUMMYFUNCTION("""COMPUTED_VALUE"""),"Rp1JT+")</f>
        <v>Rp1JT+</v>
      </c>
      <c r="H145" s="419"/>
      <c r="I145" s="420"/>
      <c r="J145" s="421"/>
      <c r="K145" s="422" t="str">
        <f>IFERROR(__xludf.DUMMYFUNCTION("""COMPUTED_VALUE"""),"https://vt.tiktok.com/ZSHSacc8F/")</f>
        <v>https://vt.tiktok.com/ZSHSacc8F/</v>
      </c>
      <c r="L145" s="419"/>
      <c r="M145" s="422" t="str">
        <f>IFERROR(__xludf.DUMMYFUNCTION("""COMPUTED_VALUE"""),"https://vt.tiktok.com/ZS9k6eK8v/")</f>
        <v>https://vt.tiktok.com/ZS9k6eK8v/</v>
      </c>
      <c r="N145" s="419"/>
      <c r="O145" s="423"/>
      <c r="P145" s="419"/>
      <c r="Q145" s="423"/>
      <c r="R145" s="425">
        <f>IFERROR(__xludf.DUMMYFUNCTION("""COMPUTED_VALUE"""),0.0)</f>
        <v>0</v>
      </c>
      <c r="S145" s="425">
        <f>IFERROR(__xludf.DUMMYFUNCTION("""COMPUTED_VALUE"""),0.0)</f>
        <v>0</v>
      </c>
      <c r="T145" s="425">
        <f>IFERROR(__xludf.DUMMYFUNCTION("""COMPUTED_VALUE"""),0.0)</f>
        <v>0</v>
      </c>
      <c r="U145" s="425">
        <f>IFERROR(__xludf.DUMMYFUNCTION("""COMPUTED_VALUE"""),0.0)</f>
        <v>0</v>
      </c>
    </row>
    <row r="146" ht="15.75" hidden="1" customHeight="1">
      <c r="A146" s="412" t="str">
        <f>IFERROR(__xludf.DUMMYFUNCTION("""COMPUTED_VALUE"""),"MICRO")</f>
        <v>MICRO</v>
      </c>
      <c r="B146" s="415" t="str">
        <f>IFERROR(__xludf.DUMMYFUNCTION("""COMPUTED_VALUE"""),"3ka9907")</f>
        <v>3ka9907</v>
      </c>
      <c r="C146" s="414" t="str">
        <f>IFERROR(__xludf.DUMMYFUNCTION("""COMPUTED_VALUE"""),"https://www.tiktok.com/@3ka9907")</f>
        <v>https://www.tiktok.com/@3ka9907</v>
      </c>
      <c r="D146" s="417">
        <f>IFERROR(__xludf.DUMMYFUNCTION("""COMPUTED_VALUE"""),8.5213916226E10)</f>
        <v>85213916226</v>
      </c>
      <c r="E146" s="416">
        <f>IFERROR(__xludf.DUMMYFUNCTION("""COMPUTED_VALUE"""),0.0)</f>
        <v>0</v>
      </c>
      <c r="F146" s="417">
        <f>IFERROR(__xludf.DUMMYFUNCTION("""COMPUTED_VALUE"""),3.0)</f>
        <v>3</v>
      </c>
      <c r="G146" s="418" t="str">
        <f>IFERROR(__xludf.DUMMYFUNCTION("""COMPUTED_VALUE"""),"Rp71,4JT")</f>
        <v>Rp71,4JT</v>
      </c>
      <c r="H146" s="419"/>
      <c r="I146" s="420"/>
      <c r="J146" s="421"/>
      <c r="K146" s="422" t="str">
        <f>IFERROR(__xludf.DUMMYFUNCTION("""COMPUTED_VALUE"""),"https://vt.tiktok.com/ZS9hbNCty/")</f>
        <v>https://vt.tiktok.com/ZS9hbNCty/</v>
      </c>
      <c r="L146" s="419"/>
      <c r="M146" s="422" t="str">
        <f>IFERROR(__xludf.DUMMYFUNCTION("""COMPUTED_VALUE"""),"https://vt.tiktok.com/ZS9hqwqHF/")</f>
        <v>https://vt.tiktok.com/ZS9hqwqHF/</v>
      </c>
      <c r="N146" s="419"/>
      <c r="O146" s="422" t="str">
        <f>IFERROR(__xludf.DUMMYFUNCTION("""COMPUTED_VALUE"""),"https://vt.tiktok.com/ZS9Gc1F4m/")</f>
        <v>https://vt.tiktok.com/ZS9Gc1F4m/</v>
      </c>
      <c r="P146" s="419"/>
      <c r="Q146" s="423"/>
      <c r="R146" s="425">
        <f>IFERROR(__xludf.DUMMYFUNCTION("""COMPUTED_VALUE"""),0.0)</f>
        <v>0</v>
      </c>
      <c r="S146" s="425">
        <f>IFERROR(__xludf.DUMMYFUNCTION("""COMPUTED_VALUE"""),0.0)</f>
        <v>0</v>
      </c>
      <c r="T146" s="425">
        <f>IFERROR(__xludf.DUMMYFUNCTION("""COMPUTED_VALUE"""),0.0)</f>
        <v>0</v>
      </c>
      <c r="U146" s="425">
        <f>IFERROR(__xludf.DUMMYFUNCTION("""COMPUTED_VALUE"""),0.0)</f>
        <v>0</v>
      </c>
    </row>
    <row r="147" ht="15.75" hidden="1" customHeight="1">
      <c r="A147" s="412" t="str">
        <f>IFERROR(__xludf.DUMMYFUNCTION("""COMPUTED_VALUE"""),"MICRO")</f>
        <v>MICRO</v>
      </c>
      <c r="B147" s="415" t="str">
        <f>IFERROR(__xludf.DUMMYFUNCTION("""COMPUTED_VALUE"""),"reginamaliaa")</f>
        <v>reginamaliaa</v>
      </c>
      <c r="C147" s="414" t="str">
        <f>IFERROR(__xludf.DUMMYFUNCTION("""COMPUTED_VALUE"""),"https://www.tiktok.com/@reginamaliaa")</f>
        <v>https://www.tiktok.com/@reginamaliaa</v>
      </c>
      <c r="D147" s="417">
        <f>IFERROR(__xludf.DUMMYFUNCTION("""COMPUTED_VALUE"""),8.5936152879E10)</f>
        <v>85936152879</v>
      </c>
      <c r="E147" s="416">
        <f>IFERROR(__xludf.DUMMYFUNCTION("""COMPUTED_VALUE"""),0.0)</f>
        <v>0</v>
      </c>
      <c r="F147" s="417">
        <f>IFERROR(__xludf.DUMMYFUNCTION("""COMPUTED_VALUE"""),2.0)</f>
        <v>2</v>
      </c>
      <c r="G147" s="418" t="str">
        <f>IFERROR(__xludf.DUMMYFUNCTION("""COMPUTED_VALUE"""),"Rp1JT+")</f>
        <v>Rp1JT+</v>
      </c>
      <c r="H147" s="419"/>
      <c r="I147" s="420"/>
      <c r="J147" s="421"/>
      <c r="K147" s="422" t="str">
        <f>IFERROR(__xludf.DUMMYFUNCTION("""COMPUTED_VALUE"""),"https://vt.tiktok.com/ZSxU8HX5F/")</f>
        <v>https://vt.tiktok.com/ZSxU8HX5F/</v>
      </c>
      <c r="L147" s="419"/>
      <c r="M147" s="422" t="str">
        <f>IFERROR(__xludf.DUMMYFUNCTION("""COMPUTED_VALUE"""),"https://vt.tiktok.com/ZSxU8qaNt/")</f>
        <v>https://vt.tiktok.com/ZSxU8qaNt/</v>
      </c>
      <c r="N147" s="419"/>
      <c r="O147" s="423"/>
      <c r="P147" s="419"/>
      <c r="Q147" s="423"/>
      <c r="R147" s="425">
        <f>IFERROR(__xludf.DUMMYFUNCTION("""COMPUTED_VALUE"""),0.0)</f>
        <v>0</v>
      </c>
      <c r="S147" s="425">
        <f>IFERROR(__xludf.DUMMYFUNCTION("""COMPUTED_VALUE"""),0.0)</f>
        <v>0</v>
      </c>
      <c r="T147" s="425">
        <f>IFERROR(__xludf.DUMMYFUNCTION("""COMPUTED_VALUE"""),0.0)</f>
        <v>0</v>
      </c>
      <c r="U147" s="425">
        <f>IFERROR(__xludf.DUMMYFUNCTION("""COMPUTED_VALUE"""),0.0)</f>
        <v>0</v>
      </c>
    </row>
    <row r="148" ht="15.75" hidden="1" customHeight="1">
      <c r="A148" s="412" t="str">
        <f>IFERROR(__xludf.DUMMYFUNCTION("""COMPUTED_VALUE"""),"MICRO")</f>
        <v>MICRO</v>
      </c>
      <c r="B148" s="415" t="str">
        <f>IFERROR(__xludf.DUMMYFUNCTION("""COMPUTED_VALUE"""),"naylanayla_yh1")</f>
        <v>naylanayla_yh1</v>
      </c>
      <c r="C148" s="414" t="str">
        <f>IFERROR(__xludf.DUMMYFUNCTION("""COMPUTED_VALUE"""),"https://www.tiktok.com/@naylanayla_yh1")</f>
        <v>https://www.tiktok.com/@naylanayla_yh1</v>
      </c>
      <c r="D148" s="417">
        <f>IFERROR(__xludf.DUMMYFUNCTION("""COMPUTED_VALUE"""),8.385711493E10)</f>
        <v>83857114930</v>
      </c>
      <c r="E148" s="416">
        <f>IFERROR(__xludf.DUMMYFUNCTION("""COMPUTED_VALUE"""),0.0)</f>
        <v>0</v>
      </c>
      <c r="F148" s="417">
        <f>IFERROR(__xludf.DUMMYFUNCTION("""COMPUTED_VALUE"""),2.0)</f>
        <v>2</v>
      </c>
      <c r="G148" s="418" t="str">
        <f>IFERROR(__xludf.DUMMYFUNCTION("""COMPUTED_VALUE"""),"Rp502,3JT")</f>
        <v>Rp502,3JT</v>
      </c>
      <c r="H148" s="419"/>
      <c r="I148" s="420"/>
      <c r="J148" s="421"/>
      <c r="K148" s="422" t="str">
        <f>IFERROR(__xludf.DUMMYFUNCTION("""COMPUTED_VALUE"""),"https://vt.tiktok.com/ZS9JXegxt/")</f>
        <v>https://vt.tiktok.com/ZS9JXegxt/</v>
      </c>
      <c r="L148" s="419"/>
      <c r="M148" s="422" t="str">
        <f>IFERROR(__xludf.DUMMYFUNCTION("""COMPUTED_VALUE"""),"https://vt.tiktok.com/ZSxULrm8k/")</f>
        <v>https://vt.tiktok.com/ZSxULrm8k/</v>
      </c>
      <c r="N148" s="419"/>
      <c r="O148" s="423"/>
      <c r="P148" s="419"/>
      <c r="Q148" s="423"/>
      <c r="R148" s="425">
        <f>IFERROR(__xludf.DUMMYFUNCTION("""COMPUTED_VALUE"""),0.0)</f>
        <v>0</v>
      </c>
      <c r="S148" s="425">
        <f>IFERROR(__xludf.DUMMYFUNCTION("""COMPUTED_VALUE"""),0.0)</f>
        <v>0</v>
      </c>
      <c r="T148" s="425">
        <f>IFERROR(__xludf.DUMMYFUNCTION("""COMPUTED_VALUE"""),0.0)</f>
        <v>0</v>
      </c>
      <c r="U148" s="425">
        <f>IFERROR(__xludf.DUMMYFUNCTION("""COMPUTED_VALUE"""),0.0)</f>
        <v>0</v>
      </c>
    </row>
    <row r="149" ht="15.75" hidden="1" customHeight="1">
      <c r="A149" s="412" t="str">
        <f>IFERROR(__xludf.DUMMYFUNCTION("""COMPUTED_VALUE"""),"MICRO")</f>
        <v>MICRO</v>
      </c>
      <c r="B149" s="415" t="str">
        <f>IFERROR(__xludf.DUMMYFUNCTION("""COMPUTED_VALUE"""),"bycitraariella")</f>
        <v>bycitraariella</v>
      </c>
      <c r="C149" s="414" t="str">
        <f>IFERROR(__xludf.DUMMYFUNCTION("""COMPUTED_VALUE"""),"https://www.tiktok.com/@bycitraariella")</f>
        <v>https://www.tiktok.com/@bycitraariella</v>
      </c>
      <c r="D149" s="417">
        <f>IFERROR(__xludf.DUMMYFUNCTION("""COMPUTED_VALUE"""),8.5173386243E10)</f>
        <v>85173386243</v>
      </c>
      <c r="E149" s="416">
        <f>IFERROR(__xludf.DUMMYFUNCTION("""COMPUTED_VALUE"""),0.0)</f>
        <v>0</v>
      </c>
      <c r="F149" s="417">
        <f>IFERROR(__xludf.DUMMYFUNCTION("""COMPUTED_VALUE"""),2.0)</f>
        <v>2</v>
      </c>
      <c r="G149" s="418" t="str">
        <f>IFERROR(__xludf.DUMMYFUNCTION("""COMPUTED_VALUE"""),"Rp1JT+")</f>
        <v>Rp1JT+</v>
      </c>
      <c r="H149" s="419"/>
      <c r="I149" s="420"/>
      <c r="J149" s="421"/>
      <c r="K149" s="423"/>
      <c r="L149" s="419"/>
      <c r="M149" s="423"/>
      <c r="N149" s="419"/>
      <c r="O149" s="423"/>
      <c r="P149" s="419"/>
      <c r="Q149" s="423"/>
      <c r="R149" s="425">
        <f>IFERROR(__xludf.DUMMYFUNCTION("""COMPUTED_VALUE"""),0.0)</f>
        <v>0</v>
      </c>
      <c r="S149" s="425">
        <f>IFERROR(__xludf.DUMMYFUNCTION("""COMPUTED_VALUE"""),0.0)</f>
        <v>0</v>
      </c>
      <c r="T149" s="425">
        <f>IFERROR(__xludf.DUMMYFUNCTION("""COMPUTED_VALUE"""),0.0)</f>
        <v>0</v>
      </c>
      <c r="U149" s="425">
        <f>IFERROR(__xludf.DUMMYFUNCTION("""COMPUTED_VALUE"""),0.0)</f>
        <v>0</v>
      </c>
    </row>
    <row r="150" ht="15.75" hidden="1" customHeight="1">
      <c r="A150" s="412" t="str">
        <f>IFERROR(__xludf.DUMMYFUNCTION("""COMPUTED_VALUE"""),"NANO")</f>
        <v>NANO</v>
      </c>
      <c r="B150" s="415" t="str">
        <f>IFERROR(__xludf.DUMMYFUNCTION("""COMPUTED_VALUE"""),"akunkeduaema_")</f>
        <v>akunkeduaema_</v>
      </c>
      <c r="C150" s="414" t="str">
        <f>IFERROR(__xludf.DUMMYFUNCTION("""COMPUTED_VALUE"""),"https://www.tiktok.com/@akunkeduaema_")</f>
        <v>https://www.tiktok.com/@akunkeduaema_</v>
      </c>
      <c r="D150" s="417">
        <f>IFERROR(__xludf.DUMMYFUNCTION("""COMPUTED_VALUE"""),8.7897732204E10)</f>
        <v>87897732204</v>
      </c>
      <c r="E150" s="416">
        <f>IFERROR(__xludf.DUMMYFUNCTION("""COMPUTED_VALUE"""),0.0)</f>
        <v>0</v>
      </c>
      <c r="F150" s="417">
        <f>IFERROR(__xludf.DUMMYFUNCTION("""COMPUTED_VALUE"""),2.0)</f>
        <v>2</v>
      </c>
      <c r="G150" s="418" t="str">
        <f>IFERROR(__xludf.DUMMYFUNCTION("""COMPUTED_VALUE"""),"Rp274,6JT")</f>
        <v>Rp274,6JT</v>
      </c>
      <c r="H150" s="419"/>
      <c r="I150" s="428"/>
      <c r="J150" s="419"/>
      <c r="K150" s="423"/>
      <c r="L150" s="419"/>
      <c r="M150" s="423"/>
      <c r="N150" s="419"/>
      <c r="O150" s="423"/>
      <c r="P150" s="419"/>
      <c r="Q150" s="423"/>
      <c r="R150" s="425">
        <f>IFERROR(__xludf.DUMMYFUNCTION("""COMPUTED_VALUE"""),0.0)</f>
        <v>0</v>
      </c>
      <c r="S150" s="425">
        <f>IFERROR(__xludf.DUMMYFUNCTION("""COMPUTED_VALUE"""),0.0)</f>
        <v>0</v>
      </c>
      <c r="T150" s="425">
        <f>IFERROR(__xludf.DUMMYFUNCTION("""COMPUTED_VALUE"""),0.0)</f>
        <v>0</v>
      </c>
      <c r="U150" s="425">
        <f>IFERROR(__xludf.DUMMYFUNCTION("""COMPUTED_VALUE"""),0.0)</f>
        <v>0</v>
      </c>
    </row>
    <row r="151" ht="15.75" hidden="1" customHeight="1">
      <c r="A151" s="412" t="str">
        <f>IFERROR(__xludf.DUMMYFUNCTION("""COMPUTED_VALUE"""),"NANO")</f>
        <v>NANO</v>
      </c>
      <c r="B151" s="423" t="str">
        <f>IFERROR(__xludf.DUMMYFUNCTION("""COMPUTED_VALUE"""),"bellapurnama")</f>
        <v>bellapurnama</v>
      </c>
      <c r="C151" s="422" t="str">
        <f>IFERROR(__xludf.DUMMYFUNCTION("""COMPUTED_VALUE"""),"https://www.tiktok.com/@bellapurnama")</f>
        <v>https://www.tiktok.com/@bellapurnama</v>
      </c>
      <c r="D151" s="418">
        <f>IFERROR(__xludf.DUMMYFUNCTION("""COMPUTED_VALUE"""),8.7831227881E10)</f>
        <v>87831227881</v>
      </c>
      <c r="E151" s="429">
        <f>IFERROR(__xludf.DUMMYFUNCTION("""COMPUTED_VALUE"""),0.0)</f>
        <v>0</v>
      </c>
      <c r="F151" s="418">
        <f>IFERROR(__xludf.DUMMYFUNCTION("""COMPUTED_VALUE"""),2.0)</f>
        <v>2</v>
      </c>
      <c r="G151" s="418" t="str">
        <f>IFERROR(__xludf.DUMMYFUNCTION("""COMPUTED_VALUE"""),"Rp372,4JT")</f>
        <v>Rp372,4JT</v>
      </c>
      <c r="H151" s="419"/>
      <c r="I151" s="428"/>
      <c r="J151" s="419"/>
      <c r="K151" s="422" t="str">
        <f>IFERROR(__xludf.DUMMYFUNCTION("""COMPUTED_VALUE"""),"https://vt.tiktok.com/ZSHGQX6jk/")</f>
        <v>https://vt.tiktok.com/ZSHGQX6jk/</v>
      </c>
      <c r="L151" s="419"/>
      <c r="M151" s="422" t="str">
        <f>IFERROR(__xludf.DUMMYFUNCTION("""COMPUTED_VALUE"""),"https://vt.tiktok.com/ZS9bXw4yq/")</f>
        <v>https://vt.tiktok.com/ZS9bXw4yq/</v>
      </c>
      <c r="N151" s="419"/>
      <c r="O151" s="423"/>
      <c r="P151" s="419"/>
      <c r="Q151" s="423"/>
      <c r="R151" s="425">
        <f>IFERROR(__xludf.DUMMYFUNCTION("""COMPUTED_VALUE"""),1628022.0)</f>
        <v>1628022</v>
      </c>
      <c r="S151" s="425">
        <f>IFERROR(__xludf.DUMMYFUNCTION("""COMPUTED_VALUE"""),0.0)</f>
        <v>0</v>
      </c>
      <c r="T151" s="425">
        <f>IFERROR(__xludf.DUMMYFUNCTION("""COMPUTED_VALUE"""),0.0)</f>
        <v>0</v>
      </c>
      <c r="U151" s="425">
        <f>IFERROR(__xludf.DUMMYFUNCTION("""COMPUTED_VALUE"""),0.0)</f>
        <v>0</v>
      </c>
    </row>
    <row r="152" ht="15.75" customHeight="1">
      <c r="A152" s="412" t="str">
        <f>IFERROR(__xludf.DUMMYFUNCTION("""COMPUTED_VALUE"""),"NANO")</f>
        <v>NANO</v>
      </c>
      <c r="B152" s="423" t="str">
        <f>IFERROR(__xludf.DUMMYFUNCTION("""COMPUTED_VALUE"""),"milaaacahy14")</f>
        <v>milaaacahy14</v>
      </c>
      <c r="C152" s="422" t="str">
        <f>IFERROR(__xludf.DUMMYFUNCTION("""COMPUTED_VALUE"""),"https://www.tiktok.com/@milaaacahy14")</f>
        <v>https://www.tiktok.com/@milaaacahy14</v>
      </c>
      <c r="D152" s="418">
        <f>IFERROR(__xludf.DUMMYFUNCTION("""COMPUTED_VALUE"""),8.311055569E10)</f>
        <v>83110555690</v>
      </c>
      <c r="E152" s="429">
        <f>IFERROR(__xludf.DUMMYFUNCTION("""COMPUTED_VALUE"""),0.0)</f>
        <v>0</v>
      </c>
      <c r="F152" s="418"/>
      <c r="G152" s="418" t="str">
        <f>IFERROR(__xludf.DUMMYFUNCTION("""COMPUTED_VALUE"""),"Rp1JT+")</f>
        <v>Rp1JT+</v>
      </c>
      <c r="H152" s="419"/>
      <c r="I152" s="428"/>
      <c r="J152" s="419"/>
      <c r="K152" s="422" t="str">
        <f>IFERROR(__xludf.DUMMYFUNCTION("""COMPUTED_VALUE"""),"https://www.tiktok.com/@milaaacahy14/video/7637548648561265928?is_from_webapp=1&amp;sender_device=pc")</f>
        <v>https://www.tiktok.com/@milaaacahy14/video/7637548648561265928?is_from_webapp=1&amp;sender_device=pc</v>
      </c>
      <c r="L152" s="419"/>
      <c r="M152" s="422" t="str">
        <f>IFERROR(__xludf.DUMMYFUNCTION("""COMPUTED_VALUE"""),"https://www.tiktok.com/@milaaacahy14/video/7637711695170833682?is_from_webapp=1&amp;sender_device=pc")</f>
        <v>https://www.tiktok.com/@milaaacahy14/video/7637711695170833682?is_from_webapp=1&amp;sender_device=pc</v>
      </c>
      <c r="N152" s="419"/>
      <c r="O152" s="422" t="str">
        <f>IFERROR(__xludf.DUMMYFUNCTION("""COMPUTED_VALUE"""),"https://www.tiktok.com/@milaaacahy14/video/7639467692759518471?is_from_webapp=1&amp;sender_device=pc")</f>
        <v>https://www.tiktok.com/@milaaacahy14/video/7639467692759518471?is_from_webapp=1&amp;sender_device=pc</v>
      </c>
      <c r="P152" s="419"/>
      <c r="Q152" s="422" t="str">
        <f>IFERROR(__xludf.DUMMYFUNCTION("""COMPUTED_VALUE"""),"https://www.tiktok.com/@milaaacahy14/video/7640341744793570568?is_from_webapp=1&amp;sender_device=pc")</f>
        <v>https://www.tiktok.com/@milaaacahy14/video/7640341744793570568?is_from_webapp=1&amp;sender_device=pc</v>
      </c>
      <c r="R152" s="425"/>
      <c r="S152" s="425"/>
      <c r="T152" s="425"/>
      <c r="U152" s="425"/>
    </row>
    <row r="153" ht="15.75" hidden="1" customHeight="1">
      <c r="A153" s="412" t="str">
        <f>IFERROR(__xludf.DUMMYFUNCTION("""COMPUTED_VALUE"""),"NANO")</f>
        <v>NANO</v>
      </c>
      <c r="B153" s="423" t="str">
        <f>IFERROR(__xludf.DUMMYFUNCTION("""COMPUTED_VALUE"""),"racuntiktokarrahmi")</f>
        <v>racuntiktokarrahmi</v>
      </c>
      <c r="C153" s="422" t="str">
        <f>IFERROR(__xludf.DUMMYFUNCTION("""COMPUTED_VALUE"""),"https://www.tiktok.com/@racuntiktokarrahmi")</f>
        <v>https://www.tiktok.com/@racuntiktokarrahmi</v>
      </c>
      <c r="D153" s="418">
        <f>IFERROR(__xludf.DUMMYFUNCTION("""COMPUTED_VALUE"""),8.1400791267E10)</f>
        <v>81400791267</v>
      </c>
      <c r="E153" s="429">
        <f>IFERROR(__xludf.DUMMYFUNCTION("""COMPUTED_VALUE"""),0.0)</f>
        <v>0</v>
      </c>
      <c r="F153" s="418"/>
      <c r="G153" s="418" t="str">
        <f>IFERROR(__xludf.DUMMYFUNCTION("""COMPUTED_VALUE"""),"Rp51,6JT")</f>
        <v>Rp51,6JT</v>
      </c>
      <c r="H153" s="419"/>
      <c r="I153" s="428"/>
      <c r="J153" s="419"/>
      <c r="K153" s="423"/>
      <c r="L153" s="419"/>
      <c r="M153" s="423"/>
      <c r="N153" s="419"/>
      <c r="O153" s="423"/>
      <c r="P153" s="419"/>
      <c r="Q153" s="423"/>
      <c r="R153" s="425">
        <f>IFERROR(__xludf.DUMMYFUNCTION("""COMPUTED_VALUE"""),0.0)</f>
        <v>0</v>
      </c>
      <c r="S153" s="425">
        <f>IFERROR(__xludf.DUMMYFUNCTION("""COMPUTED_VALUE"""),0.0)</f>
        <v>0</v>
      </c>
      <c r="T153" s="425">
        <f>IFERROR(__xludf.DUMMYFUNCTION("""COMPUTED_VALUE"""),0.0)</f>
        <v>0</v>
      </c>
      <c r="U153" s="425">
        <f>IFERROR(__xludf.DUMMYFUNCTION("""COMPUTED_VALUE"""),0.0)</f>
        <v>0</v>
      </c>
    </row>
    <row r="154" ht="15.75" hidden="1" customHeight="1">
      <c r="A154" s="412" t="str">
        <f>IFERROR(__xludf.DUMMYFUNCTION("""COMPUTED_VALUE"""),"MICRO")</f>
        <v>MICRO</v>
      </c>
      <c r="B154" s="423" t="str">
        <f>IFERROR(__xludf.DUMMYFUNCTION("""COMPUTED_VALUE"""),"beautystore.officia")</f>
        <v>beautystore.officia</v>
      </c>
      <c r="C154" s="422" t="str">
        <f>IFERROR(__xludf.DUMMYFUNCTION("""COMPUTED_VALUE"""),"https://www.tiktok.com/@beautystore.officia")</f>
        <v>https://www.tiktok.com/@beautystore.officia</v>
      </c>
      <c r="D154" s="418">
        <f>IFERROR(__xludf.DUMMYFUNCTION("""COMPUTED_VALUE"""),8.5185774205E10)</f>
        <v>85185774205</v>
      </c>
      <c r="E154" s="429">
        <f>IFERROR(__xludf.DUMMYFUNCTION("""COMPUTED_VALUE"""),0.0)</f>
        <v>0</v>
      </c>
      <c r="F154" s="418"/>
      <c r="G154" s="418" t="str">
        <f>IFERROR(__xludf.DUMMYFUNCTION("""COMPUTED_VALUE"""),"Rp39,9JT")</f>
        <v>Rp39,9JT</v>
      </c>
      <c r="H154" s="419"/>
      <c r="I154" s="428"/>
      <c r="J154" s="419"/>
      <c r="K154" s="422" t="str">
        <f>IFERROR(__xludf.DUMMYFUNCTION("""COMPUTED_VALUE"""),"https://vt.tiktok.com/ZS9vpu7KQ/")</f>
        <v>https://vt.tiktok.com/ZS9vpu7KQ/</v>
      </c>
      <c r="L154" s="419"/>
      <c r="M154" s="423"/>
      <c r="N154" s="419"/>
      <c r="O154" s="423"/>
      <c r="P154" s="419"/>
      <c r="Q154" s="423"/>
      <c r="R154" s="425">
        <f>IFERROR(__xludf.DUMMYFUNCTION("""COMPUTED_VALUE"""),0.0)</f>
        <v>0</v>
      </c>
      <c r="S154" s="425">
        <f>IFERROR(__xludf.DUMMYFUNCTION("""COMPUTED_VALUE"""),0.0)</f>
        <v>0</v>
      </c>
      <c r="T154" s="425">
        <f>IFERROR(__xludf.DUMMYFUNCTION("""COMPUTED_VALUE"""),0.0)</f>
        <v>0</v>
      </c>
      <c r="U154" s="425">
        <f>IFERROR(__xludf.DUMMYFUNCTION("""COMPUTED_VALUE"""),0.0)</f>
        <v>0</v>
      </c>
    </row>
    <row r="155" ht="15.75" hidden="1" customHeight="1">
      <c r="A155" s="412" t="str">
        <f>IFERROR(__xludf.DUMMYFUNCTION("""COMPUTED_VALUE"""),"NANO")</f>
        <v>NANO</v>
      </c>
      <c r="B155" s="423" t="str">
        <f>IFERROR(__xludf.DUMMYFUNCTION("""COMPUTED_VALUE"""),"iirna710")</f>
        <v>iirna710</v>
      </c>
      <c r="C155" s="422" t="str">
        <f>IFERROR(__xludf.DUMMYFUNCTION("""COMPUTED_VALUE"""),"https://www.tiktok.com/@iirna710")</f>
        <v>https://www.tiktok.com/@iirna710</v>
      </c>
      <c r="D155" s="418">
        <f>IFERROR(__xludf.DUMMYFUNCTION("""COMPUTED_VALUE"""),8.2317496763E10)</f>
        <v>82317496763</v>
      </c>
      <c r="E155" s="429">
        <f>IFERROR(__xludf.DUMMYFUNCTION("""COMPUTED_VALUE"""),0.0)</f>
        <v>0</v>
      </c>
      <c r="F155" s="418">
        <f>IFERROR(__xludf.DUMMYFUNCTION("""COMPUTED_VALUE"""),3.0)</f>
        <v>3</v>
      </c>
      <c r="G155" s="418" t="str">
        <f>IFERROR(__xludf.DUMMYFUNCTION("""COMPUTED_VALUE"""),"Rp1,4JT")</f>
        <v>Rp1,4JT</v>
      </c>
      <c r="H155" s="419"/>
      <c r="I155" s="428"/>
      <c r="J155" s="419"/>
      <c r="K155" s="422" t="str">
        <f>IFERROR(__xludf.DUMMYFUNCTION("""COMPUTED_VALUE"""),"https://vt.tiktok.com/ZS9JxxXqB/")</f>
        <v>https://vt.tiktok.com/ZS9JxxXqB/</v>
      </c>
      <c r="L155" s="419"/>
      <c r="M155" s="422" t="str">
        <f>IFERROR(__xludf.DUMMYFUNCTION("""COMPUTED_VALUE"""),"https://vt.tiktok.com/ZS9JCGmS2/")</f>
        <v>https://vt.tiktok.com/ZS9JCGmS2/</v>
      </c>
      <c r="N155" s="419"/>
      <c r="O155" s="422" t="str">
        <f>IFERROR(__xludf.DUMMYFUNCTION("""COMPUTED_VALUE"""),"https://vt.tiktok.com/ZS9FMdtVf/")</f>
        <v>https://vt.tiktok.com/ZS9FMdtVf/</v>
      </c>
      <c r="P155" s="419"/>
      <c r="Q155" s="423"/>
      <c r="R155" s="425">
        <f>IFERROR(__xludf.DUMMYFUNCTION("""COMPUTED_VALUE"""),0.0)</f>
        <v>0</v>
      </c>
      <c r="S155" s="425">
        <f>IFERROR(__xludf.DUMMYFUNCTION("""COMPUTED_VALUE"""),0.0)</f>
        <v>0</v>
      </c>
      <c r="T155" s="425">
        <f>IFERROR(__xludf.DUMMYFUNCTION("""COMPUTED_VALUE"""),0.0)</f>
        <v>0</v>
      </c>
      <c r="U155" s="425">
        <f>IFERROR(__xludf.DUMMYFUNCTION("""COMPUTED_VALUE"""),0.0)</f>
        <v>0</v>
      </c>
    </row>
    <row r="156" ht="15.75" hidden="1" customHeight="1">
      <c r="A156" s="412" t="str">
        <f>IFERROR(__xludf.DUMMYFUNCTION("""COMPUTED_VALUE"""),"MICRO")</f>
        <v>MICRO</v>
      </c>
      <c r="B156" s="423" t="str">
        <f>IFERROR(__xludf.DUMMYFUNCTION("""COMPUTED_VALUE"""),"jinggaradiksaa")</f>
        <v>jinggaradiksaa</v>
      </c>
      <c r="C156" s="422" t="str">
        <f>IFERROR(__xludf.DUMMYFUNCTION("""COMPUTED_VALUE"""),"https://www.tiktok.com/@jinggaradiksaa")</f>
        <v>https://www.tiktok.com/@jinggaradiksaa</v>
      </c>
      <c r="D156" s="418">
        <f>IFERROR(__xludf.DUMMYFUNCTION("""COMPUTED_VALUE"""),8.1343503851E10)</f>
        <v>81343503851</v>
      </c>
      <c r="E156" s="429">
        <f>IFERROR(__xludf.DUMMYFUNCTION("""COMPUTED_VALUE"""),0.0)</f>
        <v>0</v>
      </c>
      <c r="F156" s="418"/>
      <c r="G156" s="418" t="str">
        <f>IFERROR(__xludf.DUMMYFUNCTION("""COMPUTED_VALUE"""),"Rp116,9JT")</f>
        <v>Rp116,9JT</v>
      </c>
      <c r="H156" s="419"/>
      <c r="I156" s="428"/>
      <c r="J156" s="419"/>
      <c r="K156" s="423"/>
      <c r="L156" s="419"/>
      <c r="M156" s="423"/>
      <c r="N156" s="419"/>
      <c r="O156" s="423"/>
      <c r="P156" s="419"/>
      <c r="Q156" s="423"/>
      <c r="R156" s="425">
        <f>IFERROR(__xludf.DUMMYFUNCTION("""COMPUTED_VALUE"""),0.0)</f>
        <v>0</v>
      </c>
      <c r="S156" s="425">
        <f>IFERROR(__xludf.DUMMYFUNCTION("""COMPUTED_VALUE"""),0.0)</f>
        <v>0</v>
      </c>
      <c r="T156" s="425">
        <f>IFERROR(__xludf.DUMMYFUNCTION("""COMPUTED_VALUE"""),0.0)</f>
        <v>0</v>
      </c>
      <c r="U156" s="425">
        <f>IFERROR(__xludf.DUMMYFUNCTION("""COMPUTED_VALUE"""),0.0)</f>
        <v>0</v>
      </c>
    </row>
    <row r="157" ht="15.75" hidden="1" customHeight="1">
      <c r="A157" s="412" t="str">
        <f>IFERROR(__xludf.DUMMYFUNCTION("""COMPUTED_VALUE"""),"MICRO")</f>
        <v>MICRO</v>
      </c>
      <c r="B157" s="423" t="str">
        <f>IFERROR(__xludf.DUMMYFUNCTION("""COMPUTED_VALUE"""),"kencanahati")</f>
        <v>kencanahati</v>
      </c>
      <c r="C157" s="422" t="str">
        <f>IFERROR(__xludf.DUMMYFUNCTION("""COMPUTED_VALUE"""),"https://www.tiktok.com/@kencanahati")</f>
        <v>https://www.tiktok.com/@kencanahati</v>
      </c>
      <c r="D157" s="418">
        <f>IFERROR(__xludf.DUMMYFUNCTION("""COMPUTED_VALUE"""),8.9668171316E10)</f>
        <v>89668171316</v>
      </c>
      <c r="E157" s="429"/>
      <c r="F157" s="418"/>
      <c r="G157" s="418" t="str">
        <f>IFERROR(__xludf.DUMMYFUNCTION("""COMPUTED_VALUE"""),"Rp296,4JT")</f>
        <v>Rp296,4JT</v>
      </c>
      <c r="H157" s="419"/>
      <c r="I157" s="428"/>
      <c r="J157" s="419"/>
      <c r="K157" s="423"/>
      <c r="L157" s="419"/>
      <c r="M157" s="423"/>
      <c r="N157" s="419"/>
      <c r="O157" s="423"/>
      <c r="P157" s="419"/>
      <c r="Q157" s="423"/>
      <c r="R157" s="425">
        <f>IFERROR(__xludf.DUMMYFUNCTION("""COMPUTED_VALUE"""),0.0)</f>
        <v>0</v>
      </c>
      <c r="S157" s="425">
        <f>IFERROR(__xludf.DUMMYFUNCTION("""COMPUTED_VALUE"""),0.0)</f>
        <v>0</v>
      </c>
      <c r="T157" s="425">
        <f>IFERROR(__xludf.DUMMYFUNCTION("""COMPUTED_VALUE"""),0.0)</f>
        <v>0</v>
      </c>
      <c r="U157" s="425">
        <f>IFERROR(__xludf.DUMMYFUNCTION("""COMPUTED_VALUE"""),0.0)</f>
        <v>0</v>
      </c>
    </row>
    <row r="158" ht="15.75" customHeight="1">
      <c r="A158" s="412" t="str">
        <f>IFERROR(__xludf.DUMMYFUNCTION("""COMPUTED_VALUE"""),"NANO")</f>
        <v>NANO</v>
      </c>
      <c r="B158" s="423" t="str">
        <f>IFERROR(__xludf.DUMMYFUNCTION("""COMPUTED_VALUE"""),"lala41376")</f>
        <v>lala41376</v>
      </c>
      <c r="C158" s="422" t="str">
        <f>IFERROR(__xludf.DUMMYFUNCTION("""COMPUTED_VALUE"""),"https://www.tiktok.com/@lala41376")</f>
        <v>https://www.tiktok.com/@lala41376</v>
      </c>
      <c r="D158" s="418">
        <f>IFERROR(__xludf.DUMMYFUNCTION("""COMPUTED_VALUE"""),8.3869580691E10)</f>
        <v>83869580691</v>
      </c>
      <c r="E158" s="429">
        <f>IFERROR(__xludf.DUMMYFUNCTION("""COMPUTED_VALUE"""),0.0)</f>
        <v>0</v>
      </c>
      <c r="F158" s="418"/>
      <c r="G158" s="418" t="str">
        <f>IFERROR(__xludf.DUMMYFUNCTION("""COMPUTED_VALUE"""),"Rp34,7JT")</f>
        <v>Rp34,7JT</v>
      </c>
      <c r="H158" s="419"/>
      <c r="I158" s="428"/>
      <c r="J158" s="419"/>
      <c r="K158" s="422" t="str">
        <f>IFERROR(__xludf.DUMMYFUNCTION("""COMPUTED_VALUE"""),"https://vt.tiktok.com/ZS9WLwoCA/")</f>
        <v>https://vt.tiktok.com/ZS9WLwoCA/</v>
      </c>
      <c r="L158" s="419"/>
      <c r="M158" s="422" t="str">
        <f>IFERROR(__xludf.DUMMYFUNCTION("""COMPUTED_VALUE"""),"https://www.tiktok.com/@lala41376/video/7637299276053220629?is_from_webapp=1&amp;sender_device=pc")</f>
        <v>https://www.tiktok.com/@lala41376/video/7637299276053220629?is_from_webapp=1&amp;sender_device=pc</v>
      </c>
      <c r="N158" s="419"/>
      <c r="O158" s="422" t="str">
        <f>IFERROR(__xludf.DUMMYFUNCTION("""COMPUTED_VALUE"""),"https://www.tiktok.com/@lala41376/video/7637298866269785364?is_from_webapp=1&amp;sender_device=pc")</f>
        <v>https://www.tiktok.com/@lala41376/video/7637298866269785364?is_from_webapp=1&amp;sender_device=pc</v>
      </c>
      <c r="P158" s="419"/>
      <c r="Q158" s="422" t="str">
        <f>IFERROR(__xludf.DUMMYFUNCTION("""COMPUTED_VALUE"""),"https://www.tiktok.com/@lala41376/video/7637566873499995412?is_from_webapp=1&amp;sender_device=pc")</f>
        <v>https://www.tiktok.com/@lala41376/video/7637566873499995412?is_from_webapp=1&amp;sender_device=pc</v>
      </c>
      <c r="R158" s="425">
        <f>IFERROR(__xludf.DUMMYFUNCTION("""COMPUTED_VALUE"""),0.0)</f>
        <v>0</v>
      </c>
      <c r="S158" s="425">
        <f>IFERROR(__xludf.DUMMYFUNCTION("""COMPUTED_VALUE"""),0.0)</f>
        <v>0</v>
      </c>
      <c r="T158" s="425">
        <f>IFERROR(__xludf.DUMMYFUNCTION("""COMPUTED_VALUE"""),0.0)</f>
        <v>0</v>
      </c>
      <c r="U158" s="425">
        <f>IFERROR(__xludf.DUMMYFUNCTION("""COMPUTED_VALUE"""),0.0)</f>
        <v>0</v>
      </c>
    </row>
    <row r="159" ht="15.75" hidden="1" customHeight="1">
      <c r="A159" s="412" t="str">
        <f>IFERROR(__xludf.DUMMYFUNCTION("""COMPUTED_VALUE"""),"NANO")</f>
        <v>NANO</v>
      </c>
      <c r="B159" s="430" t="str">
        <f>IFERROR(__xludf.DUMMYFUNCTION("""COMPUTED_VALUE"""),"ariskanih")</f>
        <v>ariskanih</v>
      </c>
      <c r="C159" s="422" t="str">
        <f>IFERROR(__xludf.DUMMYFUNCTION("""COMPUTED_VALUE"""),"https://www.tiktok.com/@ariskanih")</f>
        <v>https://www.tiktok.com/@ariskanih</v>
      </c>
      <c r="D159" s="418">
        <f>IFERROR(__xludf.DUMMYFUNCTION("""COMPUTED_VALUE"""),8.5163103354E10)</f>
        <v>85163103354</v>
      </c>
      <c r="E159" s="429">
        <f>IFERROR(__xludf.DUMMYFUNCTION("""COMPUTED_VALUE"""),0.0)</f>
        <v>0</v>
      </c>
      <c r="F159" s="418">
        <f>IFERROR(__xludf.DUMMYFUNCTION("""COMPUTED_VALUE"""),2.0)</f>
        <v>2</v>
      </c>
      <c r="G159" s="418" t="str">
        <f>IFERROR(__xludf.DUMMYFUNCTION("""COMPUTED_VALUE"""),"Rp27,2JT")</f>
        <v>Rp27,2JT</v>
      </c>
      <c r="H159" s="419"/>
      <c r="I159" s="428"/>
      <c r="J159" s="419"/>
      <c r="K159" s="422" t="str">
        <f>IFERROR(__xludf.DUMMYFUNCTION("""COMPUTED_VALUE"""),"https://vt.tiktok.com/ZS9DKyJGm/")</f>
        <v>https://vt.tiktok.com/ZS9DKyJGm/</v>
      </c>
      <c r="L159" s="419"/>
      <c r="M159" s="422" t="str">
        <f>IFERROR(__xludf.DUMMYFUNCTION("""COMPUTED_VALUE"""),"https://vt.tiktok.com/ZS9DKhs3d/")</f>
        <v>https://vt.tiktok.com/ZS9DKhs3d/</v>
      </c>
      <c r="N159" s="419"/>
      <c r="O159" s="423"/>
      <c r="P159" s="419"/>
      <c r="Q159" s="423"/>
      <c r="R159" s="425">
        <f>IFERROR(__xludf.DUMMYFUNCTION("""COMPUTED_VALUE"""),0.0)</f>
        <v>0</v>
      </c>
      <c r="S159" s="425">
        <f>IFERROR(__xludf.DUMMYFUNCTION("""COMPUTED_VALUE"""),0.0)</f>
        <v>0</v>
      </c>
      <c r="T159" s="425">
        <f>IFERROR(__xludf.DUMMYFUNCTION("""COMPUTED_VALUE"""),0.0)</f>
        <v>0</v>
      </c>
      <c r="U159" s="425">
        <f>IFERROR(__xludf.DUMMYFUNCTION("""COMPUTED_VALUE"""),0.0)</f>
        <v>0</v>
      </c>
    </row>
    <row r="160" ht="15.75" hidden="1" customHeight="1">
      <c r="A160" s="412" t="str">
        <f>IFERROR(__xludf.DUMMYFUNCTION("""COMPUTED_VALUE"""),"MICRO")</f>
        <v>MICRO</v>
      </c>
      <c r="B160" s="430" t="str">
        <f>IFERROR(__xludf.DUMMYFUNCTION("""COMPUTED_VALUE"""),"jenahzhen")</f>
        <v>jenahzhen</v>
      </c>
      <c r="C160" s="422" t="str">
        <f>IFERROR(__xludf.DUMMYFUNCTION("""COMPUTED_VALUE"""),"https://www.tiktok.com/@jenahzhen")</f>
        <v>https://www.tiktok.com/@jenahzhen</v>
      </c>
      <c r="D160" s="418">
        <f>IFERROR(__xludf.DUMMYFUNCTION("""COMPUTED_VALUE"""),8.561472045E9)</f>
        <v>8561472045</v>
      </c>
      <c r="E160" s="429">
        <f>IFERROR(__xludf.DUMMYFUNCTION("""COMPUTED_VALUE"""),0.0)</f>
        <v>0</v>
      </c>
      <c r="F160" s="418">
        <f>IFERROR(__xludf.DUMMYFUNCTION("""COMPUTED_VALUE"""),1.0)</f>
        <v>1</v>
      </c>
      <c r="G160" s="418" t="str">
        <f>IFERROR(__xludf.DUMMYFUNCTION("""COMPUTED_VALUE"""),"Rp429,9JT")</f>
        <v>Rp429,9JT</v>
      </c>
      <c r="H160" s="419"/>
      <c r="I160" s="428"/>
      <c r="J160" s="419"/>
      <c r="K160" s="422" t="str">
        <f>IFERROR(__xludf.DUMMYFUNCTION("""COMPUTED_VALUE"""),"https://vt.tiktok.com/ZS9LEwVmH/")</f>
        <v>https://vt.tiktok.com/ZS9LEwVmH/</v>
      </c>
      <c r="L160" s="419"/>
      <c r="M160" s="423"/>
      <c r="N160" s="419"/>
      <c r="O160" s="423"/>
      <c r="P160" s="419"/>
      <c r="Q160" s="423"/>
      <c r="R160" s="425">
        <f>IFERROR(__xludf.DUMMYFUNCTION("""COMPUTED_VALUE"""),0.0)</f>
        <v>0</v>
      </c>
      <c r="S160" s="425">
        <f>IFERROR(__xludf.DUMMYFUNCTION("""COMPUTED_VALUE"""),0.0)</f>
        <v>0</v>
      </c>
      <c r="T160" s="425">
        <f>IFERROR(__xludf.DUMMYFUNCTION("""COMPUTED_VALUE"""),0.0)</f>
        <v>0</v>
      </c>
      <c r="U160" s="425">
        <f>IFERROR(__xludf.DUMMYFUNCTION("""COMPUTED_VALUE"""),0.0)</f>
        <v>0</v>
      </c>
    </row>
    <row r="161" ht="15.75" hidden="1" customHeight="1">
      <c r="A161" s="412" t="str">
        <f>IFERROR(__xludf.DUMMYFUNCTION("""COMPUTED_VALUE"""),"MACRO")</f>
        <v>MACRO</v>
      </c>
      <c r="B161" s="431" t="str">
        <f>IFERROR(__xludf.DUMMYFUNCTION("""COMPUTED_VALUE"""),"oohriska20")</f>
        <v>oohriska20</v>
      </c>
      <c r="C161" s="422" t="str">
        <f>IFERROR(__xludf.DUMMYFUNCTION("""COMPUTED_VALUE"""),"https://www.tiktok.com/@oohriska20")</f>
        <v>https://www.tiktok.com/@oohriska20</v>
      </c>
      <c r="D161" s="418">
        <f>IFERROR(__xludf.DUMMYFUNCTION("""COMPUTED_VALUE"""),8.9608723851E10)</f>
        <v>89608723851</v>
      </c>
      <c r="E161" s="429">
        <f>IFERROR(__xludf.DUMMYFUNCTION("""COMPUTED_VALUE"""),0.0)</f>
        <v>0</v>
      </c>
      <c r="F161" s="418"/>
      <c r="G161" s="418" t="str">
        <f>IFERROR(__xludf.DUMMYFUNCTION("""COMPUTED_VALUE"""),"Rp148,8JT")</f>
        <v>Rp148,8JT</v>
      </c>
      <c r="H161" s="419"/>
      <c r="I161" s="428"/>
      <c r="J161" s="419"/>
      <c r="K161" s="423"/>
      <c r="L161" s="419"/>
      <c r="M161" s="423"/>
      <c r="N161" s="419"/>
      <c r="O161" s="423"/>
      <c r="P161" s="419"/>
      <c r="Q161" s="423"/>
      <c r="R161" s="425">
        <f>IFERROR(__xludf.DUMMYFUNCTION("""COMPUTED_VALUE"""),99000.0)</f>
        <v>99000</v>
      </c>
      <c r="S161" s="425">
        <f>IFERROR(__xludf.DUMMYFUNCTION("""COMPUTED_VALUE"""),0.0)</f>
        <v>0</v>
      </c>
      <c r="T161" s="425">
        <f>IFERROR(__xludf.DUMMYFUNCTION("""COMPUTED_VALUE"""),0.0)</f>
        <v>0</v>
      </c>
      <c r="U161" s="425">
        <f>IFERROR(__xludf.DUMMYFUNCTION("""COMPUTED_VALUE"""),0.0)</f>
        <v>0</v>
      </c>
    </row>
    <row r="162" ht="15.75" hidden="1" customHeight="1">
      <c r="A162" s="412" t="str">
        <f>IFERROR(__xludf.DUMMYFUNCTION("""COMPUTED_VALUE"""),"NANO")</f>
        <v>NANO</v>
      </c>
      <c r="B162" s="431" t="str">
        <f>IFERROR(__xludf.DUMMYFUNCTION("""COMPUTED_VALUE"""),"nnfshah")</f>
        <v>nnfshah</v>
      </c>
      <c r="C162" s="422" t="str">
        <f>IFERROR(__xludf.DUMMYFUNCTION("""COMPUTED_VALUE"""),"https://www.tiktok.com/@nnfshah")</f>
        <v>https://www.tiktok.com/@nnfshah</v>
      </c>
      <c r="D162" s="418">
        <f>IFERROR(__xludf.DUMMYFUNCTION("""COMPUTED_VALUE"""),8.571873984E10)</f>
        <v>85718739840</v>
      </c>
      <c r="E162" s="429">
        <f>IFERROR(__xludf.DUMMYFUNCTION("""COMPUTED_VALUE"""),0.0)</f>
        <v>0</v>
      </c>
      <c r="F162" s="418">
        <f>IFERROR(__xludf.DUMMYFUNCTION("""COMPUTED_VALUE"""),1.0)</f>
        <v>1</v>
      </c>
      <c r="G162" s="418" t="str">
        <f>IFERROR(__xludf.DUMMYFUNCTION("""COMPUTED_VALUE"""),"Rp441,3RB")</f>
        <v>Rp441,3RB</v>
      </c>
      <c r="H162" s="419"/>
      <c r="I162" s="428"/>
      <c r="J162" s="419"/>
      <c r="K162" s="422" t="str">
        <f>IFERROR(__xludf.DUMMYFUNCTION("""COMPUTED_VALUE"""),"https://vt.tiktok.com/ZS9GGnyUa/")</f>
        <v>https://vt.tiktok.com/ZS9GGnyUa/</v>
      </c>
      <c r="L162" s="419"/>
      <c r="M162" s="423"/>
      <c r="N162" s="419"/>
      <c r="O162" s="423"/>
      <c r="P162" s="419"/>
      <c r="Q162" s="423"/>
      <c r="R162" s="425">
        <f>IFERROR(__xludf.DUMMYFUNCTION("""COMPUTED_VALUE"""),0.0)</f>
        <v>0</v>
      </c>
      <c r="S162" s="425">
        <f>IFERROR(__xludf.DUMMYFUNCTION("""COMPUTED_VALUE"""),0.0)</f>
        <v>0</v>
      </c>
      <c r="T162" s="425">
        <f>IFERROR(__xludf.DUMMYFUNCTION("""COMPUTED_VALUE"""),0.0)</f>
        <v>0</v>
      </c>
      <c r="U162" s="425">
        <f>IFERROR(__xludf.DUMMYFUNCTION("""COMPUTED_VALUE"""),0.0)</f>
        <v>0</v>
      </c>
    </row>
    <row r="163" ht="15.75" hidden="1" customHeight="1">
      <c r="A163" s="412" t="str">
        <f>IFERROR(__xludf.DUMMYFUNCTION("""COMPUTED_VALUE"""),"MICRO")</f>
        <v>MICRO</v>
      </c>
      <c r="B163" s="431" t="str">
        <f>IFERROR(__xludf.DUMMYFUNCTION("""COMPUTED_VALUE"""),"arinvias")</f>
        <v>arinvias</v>
      </c>
      <c r="C163" s="422" t="str">
        <f>IFERROR(__xludf.DUMMYFUNCTION("""COMPUTED_VALUE"""),"https://www.tiktok.com/@arinvias")</f>
        <v>https://www.tiktok.com/@arinvias</v>
      </c>
      <c r="D163" s="418">
        <f>IFERROR(__xludf.DUMMYFUNCTION("""COMPUTED_VALUE"""),8.5201325209E10)</f>
        <v>85201325209</v>
      </c>
      <c r="E163" s="429">
        <f>IFERROR(__xludf.DUMMYFUNCTION("""COMPUTED_VALUE"""),0.0)</f>
        <v>0</v>
      </c>
      <c r="F163" s="418">
        <f>IFERROR(__xludf.DUMMYFUNCTION("""COMPUTED_VALUE"""),3.0)</f>
        <v>3</v>
      </c>
      <c r="G163" s="418" t="str">
        <f>IFERROR(__xludf.DUMMYFUNCTION("""COMPUTED_VALUE"""),"Rp500,4JT")</f>
        <v>Rp500,4JT</v>
      </c>
      <c r="H163" s="419"/>
      <c r="I163" s="428"/>
      <c r="J163" s="419"/>
      <c r="K163" s="422" t="str">
        <f>IFERROR(__xludf.DUMMYFUNCTION("""COMPUTED_VALUE"""),"https://vt.tiktok.com/ZS9GLFEH9/")</f>
        <v>https://vt.tiktok.com/ZS9GLFEH9/</v>
      </c>
      <c r="L163" s="419"/>
      <c r="M163" s="422" t="str">
        <f>IFERROR(__xludf.DUMMYFUNCTION("""COMPUTED_VALUE"""),"https://www.tiktok.com/@arinvias/video/7644112009134460167?_d=0&amp;_r=1&amp;ec_shared_reflux_dynamic_params=%7B%22placeholder_material_id%22%3A%227644112009134460167%22%2C%22placeholder_origin_cover%22%3A%22https%253A%252F%252Fp16-common-sign.tiktokcdn.com%252Ft"&amp;"os-alisg-p-0037%252FowihdBEhYyA1XVAVBMVVIInGItPVSMi2hwBia~tplv-tiktokx-origin.jpeg%253Fdr%253D14572%2526refresh_token%253Dd132cc7d%2526x-expires%253D1811469600%2526x-signature%253DdAT1459lCjSCozgAixlkpNuDC1M%25253D%2526t%253D4d5b0474%2526ps%253D13740610%2"&amp;"526shp%253Dd05b14bd%2526shcp%253D34ff8df6%2526idc%253Dmy%2526s%253DTIKTOK_AFFILIATE_VIRAL_VIDEO%22%2C%22placeholder_product_id%22%3A%221729937223777225623%22%2C%22placeholder_video_id%22%3A%227644112009134460167%22%7D&amp;ec_shared_reflux_scene=shop_tab_feed&amp;"&amp;"mid=6925827158761801730&amp;preview_pb=0&amp;region=&amp;share_item_id=7644112009134460167&amp;sharer_language=&amp;source=h5_t&amp;u_code=cl9i41g794h548")</f>
        <v>https://www.tiktok.com/@arinvias/video/7644112009134460167?_d=0&amp;_r=1&amp;ec_shared_reflux_dynamic_params=%7B%22placeholder_material_id%22%3A%227644112009134460167%22%2C%22placeholder_origin_cover%22%3A%22https%253A%252F%252Fp16-common-sign.tiktokcdn.com%252Ftos-alisg-p-0037%252FowihdBEhYyA1XVAVBMVVIInGItPVSMi2hwBia~tplv-tiktokx-origin.jpeg%253Fdr%253D14572%2526refresh_token%253Dd132cc7d%2526x-expires%253D1811469600%2526x-signature%253DdAT1459lCjSCozgAixlkpNuDC1M%25253D%2526t%253D4d5b0474%2526ps%253D13740610%2526shp%253Dd05b14bd%2526shcp%253D34ff8df6%2526idc%253Dmy%2526s%253DTIKTOK_AFFILIATE_VIRAL_VIDEO%22%2C%22placeholder_product_id%22%3A%221729937223777225623%22%2C%22placeholder_video_id%22%3A%227644112009134460167%22%7D&amp;ec_shared_reflux_scene=shop_tab_feed&amp;mid=6925827158761801730&amp;preview_pb=0&amp;region=&amp;share_item_id=7644112009134460167&amp;sharer_language=&amp;source=h5_t&amp;u_code=cl9i41g794h548</v>
      </c>
      <c r="N163" s="419"/>
      <c r="O163" s="423"/>
      <c r="P163" s="419"/>
      <c r="Q163" s="423"/>
      <c r="R163" s="425">
        <f>IFERROR(__xludf.DUMMYFUNCTION("""COMPUTED_VALUE"""),0.0)</f>
        <v>0</v>
      </c>
      <c r="S163" s="425">
        <f>IFERROR(__xludf.DUMMYFUNCTION("""COMPUTED_VALUE"""),0.0)</f>
        <v>0</v>
      </c>
      <c r="T163" s="425">
        <f>IFERROR(__xludf.DUMMYFUNCTION("""COMPUTED_VALUE"""),0.0)</f>
        <v>0</v>
      </c>
      <c r="U163" s="425">
        <f>IFERROR(__xludf.DUMMYFUNCTION("""COMPUTED_VALUE"""),0.0)</f>
        <v>0</v>
      </c>
    </row>
    <row r="164" ht="15.75" hidden="1" customHeight="1">
      <c r="A164" s="412" t="str">
        <f>IFERROR(__xludf.DUMMYFUNCTION("""COMPUTED_VALUE"""),"MACRO")</f>
        <v>MACRO</v>
      </c>
      <c r="B164" s="430" t="str">
        <f>IFERROR(__xludf.DUMMYFUNCTION("""COMPUTED_VALUE"""),"intnwulnn_")</f>
        <v>intnwulnn_</v>
      </c>
      <c r="C164" s="422" t="str">
        <f>IFERROR(__xludf.DUMMYFUNCTION("""COMPUTED_VALUE"""),"https://www.tiktok.com/@intnwulnn_")</f>
        <v>https://www.tiktok.com/@intnwulnn_</v>
      </c>
      <c r="D164" s="418"/>
      <c r="E164" s="429">
        <f>IFERROR(__xludf.DUMMYFUNCTION("""COMPUTED_VALUE"""),350000.0)</f>
        <v>350000</v>
      </c>
      <c r="F164" s="418">
        <f>IFERROR(__xludf.DUMMYFUNCTION("""COMPUTED_VALUE"""),1.0)</f>
        <v>1</v>
      </c>
      <c r="G164" s="418" t="str">
        <f>IFERROR(__xludf.DUMMYFUNCTION("""COMPUTED_VALUE"""),"Rp17,1JT")</f>
        <v>Rp17,1JT</v>
      </c>
      <c r="H164" s="419"/>
      <c r="I164" s="428"/>
      <c r="J164" s="419"/>
      <c r="K164" s="422" t="str">
        <f>IFERROR(__xludf.DUMMYFUNCTION("""COMPUTED_VALUE"""),"https://www.tiktok.com/@intnwulnn_/video/7638602477893389576?is_from_webapp=1&amp;sender_device=pc")</f>
        <v>https://www.tiktok.com/@intnwulnn_/video/7638602477893389576?is_from_webapp=1&amp;sender_device=pc</v>
      </c>
      <c r="L164" s="419"/>
      <c r="M164" s="423"/>
      <c r="N164" s="419"/>
      <c r="O164" s="423"/>
      <c r="P164" s="419"/>
      <c r="Q164" s="423"/>
      <c r="R164" s="425">
        <f>IFERROR(__xludf.DUMMYFUNCTION("""COMPUTED_VALUE"""),0.0)</f>
        <v>0</v>
      </c>
      <c r="S164" s="425">
        <f>IFERROR(__xludf.DUMMYFUNCTION("""COMPUTED_VALUE"""),0.0)</f>
        <v>0</v>
      </c>
      <c r="T164" s="425">
        <f>IFERROR(__xludf.DUMMYFUNCTION("""COMPUTED_VALUE"""),0.0)</f>
        <v>0</v>
      </c>
      <c r="U164" s="425">
        <f>IFERROR(__xludf.DUMMYFUNCTION("""COMPUTED_VALUE"""),0.0)</f>
        <v>0</v>
      </c>
    </row>
    <row r="165" ht="15.75" hidden="1" customHeight="1">
      <c r="A165" s="412" t="str">
        <f>IFERROR(__xludf.DUMMYFUNCTION("""COMPUTED_VALUE"""),"MICRO")</f>
        <v>MICRO</v>
      </c>
      <c r="B165" s="430" t="str">
        <f>IFERROR(__xludf.DUMMYFUNCTION("""COMPUTED_VALUE"""),"gabolegalakya")</f>
        <v>gabolegalakya</v>
      </c>
      <c r="C165" s="422" t="str">
        <f>IFERROR(__xludf.DUMMYFUNCTION("""COMPUTED_VALUE"""),"https://www.tiktok.com/@gabolegalakya")</f>
        <v>https://www.tiktok.com/@gabolegalakya</v>
      </c>
      <c r="D165" s="418">
        <f>IFERROR(__xludf.DUMMYFUNCTION("""COMPUTED_VALUE"""),8.2362237487E10)</f>
        <v>82362237487</v>
      </c>
      <c r="E165" s="429">
        <f>IFERROR(__xludf.DUMMYFUNCTION("""COMPUTED_VALUE"""),0.0)</f>
        <v>0</v>
      </c>
      <c r="F165" s="418">
        <f>IFERROR(__xludf.DUMMYFUNCTION("""COMPUTED_VALUE"""),3.0)</f>
        <v>3</v>
      </c>
      <c r="G165" s="418" t="str">
        <f>IFERROR(__xludf.DUMMYFUNCTION("""COMPUTED_VALUE"""),"Rp1JT+")</f>
        <v>Rp1JT+</v>
      </c>
      <c r="H165" s="419"/>
      <c r="I165" s="428"/>
      <c r="J165" s="419"/>
      <c r="K165" s="422" t="str">
        <f>IFERROR(__xludf.DUMMYFUNCTION("""COMPUTED_VALUE"""),"https://vt.tiktok.com/ZS94Cm2dL/")</f>
        <v>https://vt.tiktok.com/ZS94Cm2dL/</v>
      </c>
      <c r="L165" s="419"/>
      <c r="M165" s="422" t="str">
        <f>IFERROR(__xludf.DUMMYFUNCTION("""COMPUTED_VALUE"""),"https://vt.tiktok.com/ZS94Cvvm8/")</f>
        <v>https://vt.tiktok.com/ZS94Cvvm8/</v>
      </c>
      <c r="N165" s="419"/>
      <c r="O165" s="422" t="str">
        <f>IFERROR(__xludf.DUMMYFUNCTION("""COMPUTED_VALUE"""),"https://vt.tiktok.com/ZS94Ctarn/")</f>
        <v>https://vt.tiktok.com/ZS94Ctarn/</v>
      </c>
      <c r="P165" s="419"/>
      <c r="Q165" s="423"/>
      <c r="R165" s="425">
        <f>IFERROR(__xludf.DUMMYFUNCTION("""COMPUTED_VALUE"""),0.0)</f>
        <v>0</v>
      </c>
      <c r="S165" s="425">
        <f>IFERROR(__xludf.DUMMYFUNCTION("""COMPUTED_VALUE"""),0.0)</f>
        <v>0</v>
      </c>
      <c r="T165" s="425">
        <f>IFERROR(__xludf.DUMMYFUNCTION("""COMPUTED_VALUE"""),0.0)</f>
        <v>0</v>
      </c>
      <c r="U165" s="425">
        <f>IFERROR(__xludf.DUMMYFUNCTION("""COMPUTED_VALUE"""),0.0)</f>
        <v>0</v>
      </c>
    </row>
    <row r="166" ht="15.75" hidden="1" customHeight="1">
      <c r="A166" s="412" t="str">
        <f>IFERROR(__xludf.DUMMYFUNCTION("""COMPUTED_VALUE"""),"MICRO")</f>
        <v>MICRO</v>
      </c>
      <c r="B166" s="430" t="str">
        <f>IFERROR(__xludf.DUMMYFUNCTION("""COMPUTED_VALUE"""),"storyandine")</f>
        <v>storyandine</v>
      </c>
      <c r="C166" s="422" t="str">
        <f>IFERROR(__xludf.DUMMYFUNCTION("""COMPUTED_VALUE"""),"https://www.tiktok.com/@storyandine")</f>
        <v>https://www.tiktok.com/@storyandine</v>
      </c>
      <c r="D166" s="418"/>
      <c r="E166" s="429">
        <f>IFERROR(__xludf.DUMMYFUNCTION("""COMPUTED_VALUE"""),0.0)</f>
        <v>0</v>
      </c>
      <c r="F166" s="418"/>
      <c r="G166" s="418" t="str">
        <f>IFERROR(__xludf.DUMMYFUNCTION("""COMPUTED_VALUE"""),"Rp1JT+")</f>
        <v>Rp1JT+</v>
      </c>
      <c r="H166" s="419"/>
      <c r="I166" s="428"/>
      <c r="J166" s="419"/>
      <c r="K166" s="422" t="str">
        <f>IFERROR(__xludf.DUMMYFUNCTION("""COMPUTED_VALUE"""),"https://www.tiktok.com/@storyandine/video/7637036855103425810?is_from_webapp=1&amp;sender_device=pc")</f>
        <v>https://www.tiktok.com/@storyandine/video/7637036855103425810?is_from_webapp=1&amp;sender_device=pc</v>
      </c>
      <c r="L166" s="419"/>
      <c r="M166" s="422" t="str">
        <f>IFERROR(__xludf.DUMMYFUNCTION("""COMPUTED_VALUE"""),"https://www.tiktok.com/@storyandine/video/7637788075938073874?is_from_webapp=1&amp;sender_device=pc")</f>
        <v>https://www.tiktok.com/@storyandine/video/7637788075938073874?is_from_webapp=1&amp;sender_device=pc</v>
      </c>
      <c r="N166" s="419"/>
      <c r="O166" s="423"/>
      <c r="P166" s="419"/>
      <c r="Q166" s="423"/>
      <c r="R166" s="425">
        <f>IFERROR(__xludf.DUMMYFUNCTION("""COMPUTED_VALUE"""),0.0)</f>
        <v>0</v>
      </c>
      <c r="S166" s="425">
        <f>IFERROR(__xludf.DUMMYFUNCTION("""COMPUTED_VALUE"""),0.0)</f>
        <v>0</v>
      </c>
      <c r="T166" s="425">
        <f>IFERROR(__xludf.DUMMYFUNCTION("""COMPUTED_VALUE"""),0.0)</f>
        <v>0</v>
      </c>
      <c r="U166" s="425">
        <f>IFERROR(__xludf.DUMMYFUNCTION("""COMPUTED_VALUE"""),0.0)</f>
        <v>0</v>
      </c>
    </row>
    <row r="167" ht="15.75" hidden="1" customHeight="1">
      <c r="A167" s="412" t="str">
        <f>IFERROR(__xludf.DUMMYFUNCTION("""COMPUTED_VALUE"""),"MACRO")</f>
        <v>MACRO</v>
      </c>
      <c r="B167" s="423" t="str">
        <f>IFERROR(__xludf.DUMMYFUNCTION("""COMPUTED_VALUE"""),"racunpikacu02")</f>
        <v>racunpikacu02</v>
      </c>
      <c r="C167" s="422" t="str">
        <f>IFERROR(__xludf.DUMMYFUNCTION("""COMPUTED_VALUE"""),"https://www.tiktok.com/@racunpikacu02")</f>
        <v>https://www.tiktok.com/@racunpikacu02</v>
      </c>
      <c r="D167" s="418">
        <f>IFERROR(__xludf.DUMMYFUNCTION("""COMPUTED_VALUE"""),8.1226788302E10)</f>
        <v>81226788302</v>
      </c>
      <c r="E167" s="429">
        <f>IFERROR(__xludf.DUMMYFUNCTION("""COMPUTED_VALUE"""),0.0)</f>
        <v>0</v>
      </c>
      <c r="F167" s="418">
        <f>IFERROR(__xludf.DUMMYFUNCTION("""COMPUTED_VALUE"""),2.0)</f>
        <v>2</v>
      </c>
      <c r="G167" s="418" t="str">
        <f>IFERROR(__xludf.DUMMYFUNCTION("""COMPUTED_VALUE"""),"Rp1JT+")</f>
        <v>Rp1JT+</v>
      </c>
      <c r="H167" s="419"/>
      <c r="I167" s="428"/>
      <c r="J167" s="419"/>
      <c r="K167" s="422" t="str">
        <f>IFERROR(__xludf.DUMMYFUNCTION("""COMPUTED_VALUE"""),"https://vt.tiktok.com/ZS9GvesEd/")</f>
        <v>https://vt.tiktok.com/ZS9GvesEd/</v>
      </c>
      <c r="L167" s="419"/>
      <c r="M167" s="422" t="str">
        <f>IFERROR(__xludf.DUMMYFUNCTION("""COMPUTED_VALUE"""),"https://www.tiktok.com/@racunpikacu02/video/7632184297960656146?is_from_webapp=1&amp;sender_device=pc")</f>
        <v>https://www.tiktok.com/@racunpikacu02/video/7632184297960656146?is_from_webapp=1&amp;sender_device=pc</v>
      </c>
      <c r="N167" s="419"/>
      <c r="O167" s="423"/>
      <c r="P167" s="419"/>
      <c r="Q167" s="423"/>
      <c r="R167" s="425">
        <f>IFERROR(__xludf.DUMMYFUNCTION("""COMPUTED_VALUE"""),0.0)</f>
        <v>0</v>
      </c>
      <c r="S167" s="425">
        <f>IFERROR(__xludf.DUMMYFUNCTION("""COMPUTED_VALUE"""),0.0)</f>
        <v>0</v>
      </c>
      <c r="T167" s="425">
        <f>IFERROR(__xludf.DUMMYFUNCTION("""COMPUTED_VALUE"""),0.0)</f>
        <v>0</v>
      </c>
      <c r="U167" s="425">
        <f>IFERROR(__xludf.DUMMYFUNCTION("""COMPUTED_VALUE"""),0.0)</f>
        <v>0</v>
      </c>
    </row>
    <row r="168" ht="15.75" hidden="1" customHeight="1">
      <c r="A168" s="412" t="str">
        <f>IFERROR(__xludf.DUMMYFUNCTION("""COMPUTED_VALUE"""),"MICRO")</f>
        <v>MICRO</v>
      </c>
      <c r="B168" s="423" t="str">
        <f>IFERROR(__xludf.DUMMYFUNCTION("""COMPUTED_VALUE"""),"dylanstore.01")</f>
        <v>dylanstore.01</v>
      </c>
      <c r="C168" s="422" t="str">
        <f>IFERROR(__xludf.DUMMYFUNCTION("""COMPUTED_VALUE"""),"https://www.tiktok.com/@dylanstore.01")</f>
        <v>https://www.tiktok.com/@dylanstore.01</v>
      </c>
      <c r="D168" s="423">
        <f>IFERROR(__xludf.DUMMYFUNCTION("""COMPUTED_VALUE"""),8.5756199891E10)</f>
        <v>85756199891</v>
      </c>
      <c r="E168" s="425">
        <f>IFERROR(__xludf.DUMMYFUNCTION("""COMPUTED_VALUE"""),0.0)</f>
        <v>0</v>
      </c>
      <c r="F168" s="423">
        <f>IFERROR(__xludf.DUMMYFUNCTION("""COMPUTED_VALUE"""),3.0)</f>
        <v>3</v>
      </c>
      <c r="G168" s="423" t="str">
        <f>IFERROR(__xludf.DUMMYFUNCTION("""COMPUTED_VALUE"""),"Rp1,4M")</f>
        <v>Rp1,4M</v>
      </c>
      <c r="H168" s="419"/>
      <c r="I168" s="428"/>
      <c r="J168" s="419"/>
      <c r="K168" s="423"/>
      <c r="L168" s="419"/>
      <c r="M168" s="423"/>
      <c r="N168" s="419"/>
      <c r="O168" s="423"/>
      <c r="P168" s="419"/>
      <c r="Q168" s="423"/>
      <c r="R168" s="425">
        <f>IFERROR(__xludf.DUMMYFUNCTION("""COMPUTED_VALUE"""),0.0)</f>
        <v>0</v>
      </c>
      <c r="S168" s="425">
        <f>IFERROR(__xludf.DUMMYFUNCTION("""COMPUTED_VALUE"""),0.0)</f>
        <v>0</v>
      </c>
      <c r="T168" s="425">
        <f>IFERROR(__xludf.DUMMYFUNCTION("""COMPUTED_VALUE"""),0.0)</f>
        <v>0</v>
      </c>
      <c r="U168" s="425">
        <f>IFERROR(__xludf.DUMMYFUNCTION("""COMPUTED_VALUE"""),0.0)</f>
        <v>0</v>
      </c>
    </row>
    <row r="169" ht="15.75" hidden="1" customHeight="1">
      <c r="A169" s="412" t="str">
        <f>IFERROR(__xludf.DUMMYFUNCTION("""COMPUTED_VALUE"""),"NANO")</f>
        <v>NANO</v>
      </c>
      <c r="B169" s="423" t="str">
        <f>IFERROR(__xludf.DUMMYFUNCTION("""COMPUTED_VALUE"""),"nurulakhmalia")</f>
        <v>nurulakhmalia</v>
      </c>
      <c r="C169" s="422" t="str">
        <f>IFERROR(__xludf.DUMMYFUNCTION("""COMPUTED_VALUE"""),"https://www.tiktok.com/@nurulakhmalia")</f>
        <v>https://www.tiktok.com/@nurulakhmalia</v>
      </c>
      <c r="D169" s="423">
        <f>IFERROR(__xludf.DUMMYFUNCTION("""COMPUTED_VALUE"""),8.227804133E10)</f>
        <v>82278041330</v>
      </c>
      <c r="E169" s="425">
        <f>IFERROR(__xludf.DUMMYFUNCTION("""COMPUTED_VALUE"""),0.0)</f>
        <v>0</v>
      </c>
      <c r="F169" s="423">
        <f>IFERROR(__xludf.DUMMYFUNCTION("""COMPUTED_VALUE"""),3.0)</f>
        <v>3</v>
      </c>
      <c r="G169" s="423" t="str">
        <f>IFERROR(__xludf.DUMMYFUNCTION("""COMPUTED_VALUE"""),"Rp1JT+")</f>
        <v>Rp1JT+</v>
      </c>
      <c r="H169" s="419"/>
      <c r="I169" s="428"/>
      <c r="J169" s="419"/>
      <c r="K169" s="422" t="str">
        <f>IFERROR(__xludf.DUMMYFUNCTION("""COMPUTED_VALUE"""),"https://vt.tiktok.com/ZS9qq2umP/")</f>
        <v>https://vt.tiktok.com/ZS9qq2umP/</v>
      </c>
      <c r="L169" s="419"/>
      <c r="M169" s="422" t="str">
        <f>IFERROR(__xludf.DUMMYFUNCTION("""COMPUTED_VALUE"""),"https://vt.tiktok.com/ZS9tAYYg6/")</f>
        <v>https://vt.tiktok.com/ZS9tAYYg6/</v>
      </c>
      <c r="N169" s="419"/>
      <c r="O169" s="422" t="str">
        <f>IFERROR(__xludf.DUMMYFUNCTION("""COMPUTED_VALUE"""),"https://www.tiktok.com/@nurulakhmalia/video/7641161995219193109?_r=1&amp;u_code=d6ffi7l94i021g&amp;region=&amp;mid=7381462145991346977&amp;preview_pb=0&amp;sharer_language=&amp;_d=0&amp;ec_shared_reflux_dynamic_params=%7B%22placeholder_material_id%22%3A%227641161995219193109%22%2C%2"&amp;"2placeholder_origin_cover%22%3A%22https%253A%252F%252Fp16-common-sign.tiktokcdn.com%252Ftos-alisg-p-0037%252Fos4GIyo9IAaCQMLAUqgAfube6hEjCzIFVQDfWN~tplv-tiktokx-origin.jpeg%253Fdr%253D14572%2526refresh_token%253D3b71e36b%2526x-expires%253D1811574000%2526x"&amp;"-signature%253D3gSxq4HUz42vqOcSpgZKAgIEM20%25253D%2526t%253D4d5b0474%2526ps%253D13740610%2526shp%253Dd05b14bd%2526shcp%253D34ff8df6%2526idc%253Dmy%2526s%253DTIKTOK_AFFILIATE_VIRAL_VIDEO%22%2C%22placeholder_product_id%22%3A%221729921275998997399%22%2C%22pl"&amp;"aceholder_video_id%22%3A%227641161995219193109%22%7D&amp;ec_shared_reflux_scene=shop_tab_feed&amp;share_item_id=7641161995219193109&amp;source=h5_t")</f>
        <v>https://www.tiktok.com/@nurulakhmalia/video/7641161995219193109?_r=1&amp;u_code=d6ffi7l94i021g&amp;region=&amp;mid=7381462145991346977&amp;preview_pb=0&amp;sharer_language=&amp;_d=0&amp;ec_shared_reflux_dynamic_params=%7B%22placeholder_material_id%22%3A%227641161995219193109%22%2C%22placeholder_origin_cover%22%3A%22https%253A%252F%252Fp16-common-sign.tiktokcdn.com%252Ftos-alisg-p-0037%252Fos4GIyo9IAaCQMLAUqgAfube6hEjCzIFVQDfWN~tplv-tiktokx-origin.jpeg%253Fdr%253D14572%2526refresh_token%253D3b71e36b%2526x-expires%253D1811574000%2526x-signature%253D3gSxq4HUz42vqOcSpgZKAgIEM20%25253D%2526t%253D4d5b0474%2526ps%253D13740610%2526shp%253Dd05b14bd%2526shcp%253D34ff8df6%2526idc%253Dmy%2526s%253DTIKTOK_AFFILIATE_VIRAL_VIDEO%22%2C%22placeholder_product_id%22%3A%221729921275998997399%22%2C%22placeholder_video_id%22%3A%227641161995219193109%22%7D&amp;ec_shared_reflux_scene=shop_tab_feed&amp;share_item_id=7641161995219193109&amp;source=h5_t</v>
      </c>
      <c r="P169" s="419"/>
      <c r="Q169" s="423"/>
      <c r="R169" s="425">
        <f>IFERROR(__xludf.DUMMYFUNCTION("""COMPUTED_VALUE"""),0.0)</f>
        <v>0</v>
      </c>
      <c r="S169" s="425">
        <f>IFERROR(__xludf.DUMMYFUNCTION("""COMPUTED_VALUE"""),0.0)</f>
        <v>0</v>
      </c>
      <c r="T169" s="425">
        <f>IFERROR(__xludf.DUMMYFUNCTION("""COMPUTED_VALUE"""),0.0)</f>
        <v>0</v>
      </c>
      <c r="U169" s="425">
        <f>IFERROR(__xludf.DUMMYFUNCTION("""COMPUTED_VALUE"""),0.0)</f>
        <v>0</v>
      </c>
    </row>
    <row r="170" ht="15.75" hidden="1" customHeight="1">
      <c r="A170" s="412" t="str">
        <f>IFERROR(__xludf.DUMMYFUNCTION("""COMPUTED_VALUE"""),"MICRO")</f>
        <v>MICRO</v>
      </c>
      <c r="B170" s="423" t="str">
        <f>IFERROR(__xludf.DUMMYFUNCTION("""COMPUTED_VALUE"""),"ayuni_can")</f>
        <v>ayuni_can</v>
      </c>
      <c r="C170" s="422" t="str">
        <f>IFERROR(__xludf.DUMMYFUNCTION("""COMPUTED_VALUE"""),"https://www.tiktok.com/@ayuni_can")</f>
        <v>https://www.tiktok.com/@ayuni_can</v>
      </c>
      <c r="D170" s="423">
        <f>IFERROR(__xludf.DUMMYFUNCTION("""COMPUTED_VALUE"""),8.2199835757E10)</f>
        <v>82199835757</v>
      </c>
      <c r="E170" s="425">
        <f>IFERROR(__xludf.DUMMYFUNCTION("""COMPUTED_VALUE"""),0.0)</f>
        <v>0</v>
      </c>
      <c r="F170" s="423">
        <f>IFERROR(__xludf.DUMMYFUNCTION("""COMPUTED_VALUE"""),3.0)</f>
        <v>3</v>
      </c>
      <c r="G170" s="423" t="str">
        <f>IFERROR(__xludf.DUMMYFUNCTION("""COMPUTED_VALUE"""),"Rp16,2JT")</f>
        <v>Rp16,2JT</v>
      </c>
      <c r="H170" s="419"/>
      <c r="I170" s="428"/>
      <c r="J170" s="419"/>
      <c r="K170" s="422" t="str">
        <f>IFERROR(__xludf.DUMMYFUNCTION("""COMPUTED_VALUE"""),"https://vt.tiktok.com/ZS9XWu9f7/")</f>
        <v>https://vt.tiktok.com/ZS9XWu9f7/</v>
      </c>
      <c r="L170" s="419"/>
      <c r="M170" s="422" t="str">
        <f>IFERROR(__xludf.DUMMYFUNCTION("""COMPUTED_VALUE"""),"https://vt.tiktok.com/ZS9XWCPqo/")</f>
        <v>https://vt.tiktok.com/ZS9XWCPqo/</v>
      </c>
      <c r="N170" s="419"/>
      <c r="O170" s="422" t="str">
        <f>IFERROR(__xludf.DUMMYFUNCTION("""COMPUTED_VALUE"""),"https://vt.tiktok.com/ZS9XWQ95N/")</f>
        <v>https://vt.tiktok.com/ZS9XWQ95N/</v>
      </c>
      <c r="P170" s="419"/>
      <c r="Q170" s="423"/>
      <c r="R170" s="425">
        <f>IFERROR(__xludf.DUMMYFUNCTION("""COMPUTED_VALUE"""),0.0)</f>
        <v>0</v>
      </c>
      <c r="S170" s="425">
        <f>IFERROR(__xludf.DUMMYFUNCTION("""COMPUTED_VALUE"""),0.0)</f>
        <v>0</v>
      </c>
      <c r="T170" s="425">
        <f>IFERROR(__xludf.DUMMYFUNCTION("""COMPUTED_VALUE"""),0.0)</f>
        <v>0</v>
      </c>
      <c r="U170" s="425">
        <f>IFERROR(__xludf.DUMMYFUNCTION("""COMPUTED_VALUE"""),0.0)</f>
        <v>0</v>
      </c>
    </row>
    <row r="171" ht="15.75" hidden="1" customHeight="1">
      <c r="A171" s="412" t="str">
        <f>IFERROR(__xludf.DUMMYFUNCTION("""COMPUTED_VALUE"""),"MICRO")</f>
        <v>MICRO</v>
      </c>
      <c r="B171" s="423" t="str">
        <f>IFERROR(__xludf.DUMMYFUNCTION("""COMPUTED_VALUE"""),"ferrennabila")</f>
        <v>ferrennabila</v>
      </c>
      <c r="C171" s="422" t="str">
        <f>IFERROR(__xludf.DUMMYFUNCTION("""COMPUTED_VALUE"""),"https://www.tiktok.com/@ferrennabila")</f>
        <v>https://www.tiktok.com/@ferrennabila</v>
      </c>
      <c r="D171" s="423">
        <f>IFERROR(__xludf.DUMMYFUNCTION("""COMPUTED_VALUE"""),8.2128821101E10)</f>
        <v>82128821101</v>
      </c>
      <c r="E171" s="425">
        <f>IFERROR(__xludf.DUMMYFUNCTION("""COMPUTED_VALUE"""),0.0)</f>
        <v>0</v>
      </c>
      <c r="F171" s="423">
        <f>IFERROR(__xludf.DUMMYFUNCTION("""COMPUTED_VALUE"""),1.0)</f>
        <v>1</v>
      </c>
      <c r="G171" s="423" t="str">
        <f>IFERROR(__xludf.DUMMYFUNCTION("""COMPUTED_VALUE"""),"Rp310RB")</f>
        <v>Rp310RB</v>
      </c>
      <c r="H171" s="419"/>
      <c r="I171" s="428"/>
      <c r="J171" s="419"/>
      <c r="K171" s="422" t="str">
        <f>IFERROR(__xludf.DUMMYFUNCTION("""COMPUTED_VALUE"""),"https://vt.tiktok.com/ZSxhK4Qth/")</f>
        <v>https://vt.tiktok.com/ZSxhK4Qth/</v>
      </c>
      <c r="L171" s="419"/>
      <c r="M171" s="423"/>
      <c r="N171" s="419"/>
      <c r="O171" s="423"/>
      <c r="P171" s="419"/>
      <c r="Q171" s="423"/>
      <c r="R171" s="425">
        <f>IFERROR(__xludf.DUMMYFUNCTION("""COMPUTED_VALUE"""),0.0)</f>
        <v>0</v>
      </c>
      <c r="S171" s="425">
        <f>IFERROR(__xludf.DUMMYFUNCTION("""COMPUTED_VALUE"""),0.0)</f>
        <v>0</v>
      </c>
      <c r="T171" s="425">
        <f>IFERROR(__xludf.DUMMYFUNCTION("""COMPUTED_VALUE"""),0.0)</f>
        <v>0</v>
      </c>
      <c r="U171" s="425">
        <f>IFERROR(__xludf.DUMMYFUNCTION("""COMPUTED_VALUE"""),0.0)</f>
        <v>0</v>
      </c>
    </row>
    <row r="172" ht="15.75" hidden="1" customHeight="1">
      <c r="A172" s="412" t="str">
        <f>IFERROR(__xludf.DUMMYFUNCTION("""COMPUTED_VALUE"""),"NANO")</f>
        <v>NANO</v>
      </c>
      <c r="B172" s="423" t="str">
        <f>IFERROR(__xludf.DUMMYFUNCTION("""COMPUTED_VALUE"""),"ifha_raisya")</f>
        <v>ifha_raisya</v>
      </c>
      <c r="C172" s="422" t="str">
        <f>IFERROR(__xludf.DUMMYFUNCTION("""COMPUTED_VALUE"""),"https://www.tiktok.com/@ifha_raisya")</f>
        <v>https://www.tiktok.com/@ifha_raisya</v>
      </c>
      <c r="D172" s="423">
        <f>IFERROR(__xludf.DUMMYFUNCTION("""COMPUTED_VALUE"""),8.2271053842E10)</f>
        <v>82271053842</v>
      </c>
      <c r="E172" s="425">
        <f>IFERROR(__xludf.DUMMYFUNCTION("""COMPUTED_VALUE"""),0.0)</f>
        <v>0</v>
      </c>
      <c r="F172" s="423">
        <f>IFERROR(__xludf.DUMMYFUNCTION("""COMPUTED_VALUE"""),2.0)</f>
        <v>2</v>
      </c>
      <c r="G172" s="423" t="str">
        <f>IFERROR(__xludf.DUMMYFUNCTION("""COMPUTED_VALUE"""),"Rp28,3JT")</f>
        <v>Rp28,3JT</v>
      </c>
      <c r="H172" s="419"/>
      <c r="I172" s="428"/>
      <c r="J172" s="419"/>
      <c r="K172" s="423"/>
      <c r="L172" s="419"/>
      <c r="M172" s="423"/>
      <c r="N172" s="419"/>
      <c r="O172" s="423"/>
      <c r="P172" s="419"/>
      <c r="Q172" s="423"/>
      <c r="R172" s="425">
        <f>IFERROR(__xludf.DUMMYFUNCTION("""COMPUTED_VALUE"""),0.0)</f>
        <v>0</v>
      </c>
      <c r="S172" s="425">
        <f>IFERROR(__xludf.DUMMYFUNCTION("""COMPUTED_VALUE"""),0.0)</f>
        <v>0</v>
      </c>
      <c r="T172" s="425">
        <f>IFERROR(__xludf.DUMMYFUNCTION("""COMPUTED_VALUE"""),0.0)</f>
        <v>0</v>
      </c>
      <c r="U172" s="425">
        <f>IFERROR(__xludf.DUMMYFUNCTION("""COMPUTED_VALUE"""),0.0)</f>
        <v>0</v>
      </c>
    </row>
    <row r="173" ht="15.75" hidden="1" customHeight="1">
      <c r="A173" s="412" t="str">
        <f>IFERROR(__xludf.DUMMYFUNCTION("""COMPUTED_VALUE"""),"NANO")</f>
        <v>NANO</v>
      </c>
      <c r="B173" s="423" t="str">
        <f>IFERROR(__xludf.DUMMYFUNCTION("""COMPUTED_VALUE"""),"urchocobite")</f>
        <v>urchocobite</v>
      </c>
      <c r="C173" s="422" t="str">
        <f>IFERROR(__xludf.DUMMYFUNCTION("""COMPUTED_VALUE"""),"https://www.tiktok.com/@urchocobite")</f>
        <v>https://www.tiktok.com/@urchocobite</v>
      </c>
      <c r="D173" s="423">
        <f>IFERROR(__xludf.DUMMYFUNCTION("""COMPUTED_VALUE"""),8.5691025371E10)</f>
        <v>85691025371</v>
      </c>
      <c r="E173" s="425">
        <f>IFERROR(__xludf.DUMMYFUNCTION("""COMPUTED_VALUE"""),0.0)</f>
        <v>0</v>
      </c>
      <c r="F173" s="423">
        <f>IFERROR(__xludf.DUMMYFUNCTION("""COMPUTED_VALUE"""),3.0)</f>
        <v>3</v>
      </c>
      <c r="G173" s="423" t="str">
        <f>IFERROR(__xludf.DUMMYFUNCTION("""COMPUTED_VALUE"""),"Rp1JT+")</f>
        <v>Rp1JT+</v>
      </c>
      <c r="H173" s="419"/>
      <c r="I173" s="428"/>
      <c r="J173" s="419"/>
      <c r="K173" s="422" t="str">
        <f>IFERROR(__xludf.DUMMYFUNCTION("""COMPUTED_VALUE"""),"https://vt.tiktok.com/ZS9qrVbEc/")</f>
        <v>https://vt.tiktok.com/ZS9qrVbEc/</v>
      </c>
      <c r="L173" s="419"/>
      <c r="M173" s="422" t="str">
        <f>IFERROR(__xludf.DUMMYFUNCTION("""COMPUTED_VALUE"""),"https://vt.tiktok.com/ZS9phdgSS/")</f>
        <v>https://vt.tiktok.com/ZS9phdgSS/</v>
      </c>
      <c r="N173" s="419"/>
      <c r="O173" s="422" t="str">
        <f>IFERROR(__xludf.DUMMYFUNCTION("""COMPUTED_VALUE"""),"https://vt.tiktok.com/ZS9T8vr12/")</f>
        <v>https://vt.tiktok.com/ZS9T8vr12/</v>
      </c>
      <c r="P173" s="419"/>
      <c r="Q173" s="423"/>
      <c r="R173" s="425">
        <f>IFERROR(__xludf.DUMMYFUNCTION("""COMPUTED_VALUE"""),0.0)</f>
        <v>0</v>
      </c>
      <c r="S173" s="425">
        <f>IFERROR(__xludf.DUMMYFUNCTION("""COMPUTED_VALUE"""),0.0)</f>
        <v>0</v>
      </c>
      <c r="T173" s="425">
        <f>IFERROR(__xludf.DUMMYFUNCTION("""COMPUTED_VALUE"""),0.0)</f>
        <v>0</v>
      </c>
      <c r="U173" s="425">
        <f>IFERROR(__xludf.DUMMYFUNCTION("""COMPUTED_VALUE"""),0.0)</f>
        <v>0</v>
      </c>
    </row>
    <row r="174" ht="15.75" hidden="1" customHeight="1">
      <c r="A174" s="412" t="str">
        <f>IFERROR(__xludf.DUMMYFUNCTION("""COMPUTED_VALUE"""),"MICRO")</f>
        <v>MICRO</v>
      </c>
      <c r="B174" s="423" t="str">
        <f>IFERROR(__xludf.DUMMYFUNCTION("""COMPUTED_VALUE"""),"apriliakartiningsih")</f>
        <v>apriliakartiningsih</v>
      </c>
      <c r="C174" s="422" t="str">
        <f>IFERROR(__xludf.DUMMYFUNCTION("""COMPUTED_VALUE"""),"https://www.tiktok.com/@apriliakartiningsih")</f>
        <v>https://www.tiktok.com/@apriliakartiningsih</v>
      </c>
      <c r="D174" s="423">
        <f>IFERROR(__xludf.DUMMYFUNCTION("""COMPUTED_VALUE"""),8.9651779766E10)</f>
        <v>89651779766</v>
      </c>
      <c r="E174" s="425">
        <f>IFERROR(__xludf.DUMMYFUNCTION("""COMPUTED_VALUE"""),0.0)</f>
        <v>0</v>
      </c>
      <c r="F174" s="423">
        <f>IFERROR(__xludf.DUMMYFUNCTION("""COMPUTED_VALUE"""),3.0)</f>
        <v>3</v>
      </c>
      <c r="G174" s="423" t="str">
        <f>IFERROR(__xludf.DUMMYFUNCTION("""COMPUTED_VALUE"""),"Rp38,7JT")</f>
        <v>Rp38,7JT</v>
      </c>
      <c r="H174" s="419"/>
      <c r="I174" s="428"/>
      <c r="J174" s="419"/>
      <c r="K174" s="422" t="str">
        <f>IFERROR(__xludf.DUMMYFUNCTION("""COMPUTED_VALUE"""),"https://vt.tiktok.com/ZS9maGdx6/")</f>
        <v>https://vt.tiktok.com/ZS9maGdx6/</v>
      </c>
      <c r="L174" s="419"/>
      <c r="M174" s="422" t="str">
        <f>IFERROR(__xludf.DUMMYFUNCTION("""COMPUTED_VALUE"""),"https://vt.tiktok.com/ZS9tQcuVY/")</f>
        <v>https://vt.tiktok.com/ZS9tQcuVY/</v>
      </c>
      <c r="N174" s="419"/>
      <c r="O174" s="422" t="str">
        <f>IFERROR(__xludf.DUMMYFUNCTION("""COMPUTED_VALUE"""),"https://www.tiktok.com/@apriliakartiningsih/video/7641915517455977749?_r=1&amp;u_code=dbj2mk1a1gf5gh&amp;region=&amp;mid=7629634610690886401&amp;preview_pb=0&amp;sharer_language=&amp;_d=0&amp;ec_shared_reflux_dynamic_params=%7B%22placeholder_material_id%22%3A%227641915517455977749%2"&amp;"2%2C%22placeholder_origin_cover%22%3A%22https%253A%252F%252Fp16-common-sign.tiktokcdn.com%252Ftos-alisg-p-0037%252FoY4CGOMAwxeGGnR1CLoj2veMIjDLbEIUAQSQof~tplv-tiktokx-origin.jpeg%253Fdr%253D14572%2526refresh_token%253D60fce7de%2526x-expires%253D1811574000"&amp;"%2526x-signature%253D8LDs3EglDXYPWpLlk%25252FSvDCB6By4%25253D%2526t%253D4d5b0474%2526ps%253D13740610%2526shp%253Dd05b14bd%2526shcp%253D34ff8df6%2526idc%253Dmy%2526s%253DTIKTOK_AFFILIATE_VIRAL_VIDEO%22%2C%22placeholder_product_id%22%3A%22172992127599899739"&amp;"9%22%2C%22placeholder_video_id%22%3A%227641915517455977749%22%7D&amp;ec_shared_reflux_scene=shop_tab_feed&amp;share_item_id=7641915517455977749&amp;source=h5_t")</f>
        <v>https://www.tiktok.com/@apriliakartiningsih/video/7641915517455977749?_r=1&amp;u_code=dbj2mk1a1gf5gh&amp;region=&amp;mid=7629634610690886401&amp;preview_pb=0&amp;sharer_language=&amp;_d=0&amp;ec_shared_reflux_dynamic_params=%7B%22placeholder_material_id%22%3A%227641915517455977749%22%2C%22placeholder_origin_cover%22%3A%22https%253A%252F%252Fp16-common-sign.tiktokcdn.com%252Ftos-alisg-p-0037%252FoY4CGOMAwxeGGnR1CLoj2veMIjDLbEIUAQSQof~tplv-tiktokx-origin.jpeg%253Fdr%253D14572%2526refresh_token%253D60fce7de%2526x-expires%253D1811574000%2526x-signature%253D8LDs3EglDXYPWpLlk%25252FSvDCB6By4%25253D%2526t%253D4d5b0474%2526ps%253D13740610%2526shp%253Dd05b14bd%2526shcp%253D34ff8df6%2526idc%253Dmy%2526s%253DTIKTOK_AFFILIATE_VIRAL_VIDEO%22%2C%22placeholder_product_id%22%3A%221729921275998997399%22%2C%22placeholder_video_id%22%3A%227641915517455977749%22%7D&amp;ec_shared_reflux_scene=shop_tab_feed&amp;share_item_id=7641915517455977749&amp;source=h5_t</v>
      </c>
      <c r="P174" s="419"/>
      <c r="Q174" s="423"/>
      <c r="R174" s="425">
        <f>IFERROR(__xludf.DUMMYFUNCTION("""COMPUTED_VALUE"""),0.0)</f>
        <v>0</v>
      </c>
      <c r="S174" s="425">
        <f>IFERROR(__xludf.DUMMYFUNCTION("""COMPUTED_VALUE"""),0.0)</f>
        <v>0</v>
      </c>
      <c r="T174" s="425">
        <f>IFERROR(__xludf.DUMMYFUNCTION("""COMPUTED_VALUE"""),0.0)</f>
        <v>0</v>
      </c>
      <c r="U174" s="425">
        <f>IFERROR(__xludf.DUMMYFUNCTION("""COMPUTED_VALUE"""),0.0)</f>
        <v>0</v>
      </c>
    </row>
    <row r="175" ht="15.75" hidden="1" customHeight="1">
      <c r="A175" s="412" t="str">
        <f>IFERROR(__xludf.DUMMYFUNCTION("""COMPUTED_VALUE"""),"NANO")</f>
        <v>NANO</v>
      </c>
      <c r="B175" s="423" t="str">
        <f>IFERROR(__xludf.DUMMYFUNCTION("""COMPUTED_VALUE"""),"rsmaw31")</f>
        <v>rsmaw31</v>
      </c>
      <c r="C175" s="422" t="str">
        <f>IFERROR(__xludf.DUMMYFUNCTION("""COMPUTED_VALUE"""),"https://www.tiktok.com/@rsmaw31")</f>
        <v>https://www.tiktok.com/@rsmaw31</v>
      </c>
      <c r="D175" s="423">
        <f>IFERROR(__xludf.DUMMYFUNCTION("""COMPUTED_VALUE"""),8.817879025E9)</f>
        <v>8817879025</v>
      </c>
      <c r="E175" s="425">
        <f>IFERROR(__xludf.DUMMYFUNCTION("""COMPUTED_VALUE"""),0.0)</f>
        <v>0</v>
      </c>
      <c r="F175" s="423">
        <f>IFERROR(__xludf.DUMMYFUNCTION("""COMPUTED_VALUE"""),3.0)</f>
        <v>3</v>
      </c>
      <c r="G175" s="423" t="str">
        <f>IFERROR(__xludf.DUMMYFUNCTION("""COMPUTED_VALUE"""),"Rp9,8JT")</f>
        <v>Rp9,8JT</v>
      </c>
      <c r="H175" s="419"/>
      <c r="I175" s="428"/>
      <c r="J175" s="419"/>
      <c r="K175" s="422" t="str">
        <f>IFERROR(__xludf.DUMMYFUNCTION("""COMPUTED_VALUE"""),"https://vt.tiktok.com/ZS9AhUc3e/")</f>
        <v>https://vt.tiktok.com/ZS9AhUc3e/</v>
      </c>
      <c r="L175" s="419"/>
      <c r="M175" s="422" t="str">
        <f>IFERROR(__xludf.DUMMYFUNCTION("""COMPUTED_VALUE"""),"https://vt.tiktok.com/ZS9CNe6PU/")</f>
        <v>https://vt.tiktok.com/ZS9CNe6PU/</v>
      </c>
      <c r="N175" s="419"/>
      <c r="O175" s="422" t="str">
        <f>IFERROR(__xludf.DUMMYFUNCTION("""COMPUTED_VALUE"""),"https://vt.tiktok.com/ZS9sdSQyY/")</f>
        <v>https://vt.tiktok.com/ZS9sdSQyY/</v>
      </c>
      <c r="P175" s="419"/>
      <c r="Q175" s="423"/>
      <c r="R175" s="425">
        <f>IFERROR(__xludf.DUMMYFUNCTION("""COMPUTED_VALUE"""),0.0)</f>
        <v>0</v>
      </c>
      <c r="S175" s="425">
        <f>IFERROR(__xludf.DUMMYFUNCTION("""COMPUTED_VALUE"""),0.0)</f>
        <v>0</v>
      </c>
      <c r="T175" s="425">
        <f>IFERROR(__xludf.DUMMYFUNCTION("""COMPUTED_VALUE"""),0.0)</f>
        <v>0</v>
      </c>
      <c r="U175" s="425">
        <f>IFERROR(__xludf.DUMMYFUNCTION("""COMPUTED_VALUE"""),0.0)</f>
        <v>0</v>
      </c>
    </row>
    <row r="176" ht="15.75" hidden="1" customHeight="1">
      <c r="A176" s="412" t="str">
        <f>IFERROR(__xludf.DUMMYFUNCTION("""COMPUTED_VALUE"""),"MACRO")</f>
        <v>MACRO</v>
      </c>
      <c r="B176" s="423" t="str">
        <f>IFERROR(__xludf.DUMMYFUNCTION("""COMPUTED_VALUE"""),"hanisasarah18")</f>
        <v>hanisasarah18</v>
      </c>
      <c r="C176" s="422" t="str">
        <f>IFERROR(__xludf.DUMMYFUNCTION("""COMPUTED_VALUE"""),"https://www.tiktok.com/@hanisasarah18")</f>
        <v>https://www.tiktok.com/@hanisasarah18</v>
      </c>
      <c r="D176" s="423">
        <f>IFERROR(__xludf.DUMMYFUNCTION("""COMPUTED_VALUE"""),8.5270146037E10)</f>
        <v>85270146037</v>
      </c>
      <c r="E176" s="425">
        <f>IFERROR(__xludf.DUMMYFUNCTION("""COMPUTED_VALUE"""),0.0)</f>
        <v>0</v>
      </c>
      <c r="F176" s="423">
        <f>IFERROR(__xludf.DUMMYFUNCTION("""COMPUTED_VALUE"""),2.0)</f>
        <v>2</v>
      </c>
      <c r="G176" s="423" t="str">
        <f>IFERROR(__xludf.DUMMYFUNCTION("""COMPUTED_VALUE"""),"Rp3,8JT")</f>
        <v>Rp3,8JT</v>
      </c>
      <c r="H176" s="419"/>
      <c r="I176" s="428"/>
      <c r="J176" s="419"/>
      <c r="K176" s="422" t="str">
        <f>IFERROR(__xludf.DUMMYFUNCTION("""COMPUTED_VALUE"""),"https://vt.tiktok.com/ZS9q6kKeg/")</f>
        <v>https://vt.tiktok.com/ZS9q6kKeg/</v>
      </c>
      <c r="L176" s="419"/>
      <c r="M176" s="422" t="str">
        <f>IFERROR(__xludf.DUMMYFUNCTION("""COMPUTED_VALUE"""),"https://vt.tiktok.com/ZS9nvwMJm")</f>
        <v>https://vt.tiktok.com/ZS9nvwMJm</v>
      </c>
      <c r="N176" s="419"/>
      <c r="O176" s="423"/>
      <c r="P176" s="419"/>
      <c r="Q176" s="423"/>
      <c r="R176" s="425">
        <f>IFERROR(__xludf.DUMMYFUNCTION("""COMPUTED_VALUE"""),0.0)</f>
        <v>0</v>
      </c>
      <c r="S176" s="425">
        <f>IFERROR(__xludf.DUMMYFUNCTION("""COMPUTED_VALUE"""),0.0)</f>
        <v>0</v>
      </c>
      <c r="T176" s="425">
        <f>IFERROR(__xludf.DUMMYFUNCTION("""COMPUTED_VALUE"""),0.0)</f>
        <v>0</v>
      </c>
      <c r="U176" s="425">
        <f>IFERROR(__xludf.DUMMYFUNCTION("""COMPUTED_VALUE"""),0.0)</f>
        <v>0</v>
      </c>
    </row>
    <row r="177" ht="15.75" hidden="1" customHeight="1">
      <c r="A177" s="412" t="str">
        <f>IFERROR(__xludf.DUMMYFUNCTION("""COMPUTED_VALUE"""),"NANO")</f>
        <v>NANO</v>
      </c>
      <c r="B177" s="423" t="str">
        <f>IFERROR(__xludf.DUMMYFUNCTION("""COMPUTED_VALUE"""),"raudhatussyifaaa")</f>
        <v>raudhatussyifaaa</v>
      </c>
      <c r="C177" s="422" t="str">
        <f>IFERROR(__xludf.DUMMYFUNCTION("""COMPUTED_VALUE"""),"https://www.tiktok.com/@raudhatussyifaaa")</f>
        <v>https://www.tiktok.com/@raudhatussyifaaa</v>
      </c>
      <c r="D177" s="423">
        <f>IFERROR(__xludf.DUMMYFUNCTION("""COMPUTED_VALUE"""),8.175455453E9)</f>
        <v>8175455453</v>
      </c>
      <c r="E177" s="425">
        <f>IFERROR(__xludf.DUMMYFUNCTION("""COMPUTED_VALUE"""),0.0)</f>
        <v>0</v>
      </c>
      <c r="F177" s="423">
        <f>IFERROR(__xludf.DUMMYFUNCTION("""COMPUTED_VALUE"""),2.0)</f>
        <v>2</v>
      </c>
      <c r="G177" s="423" t="str">
        <f>IFERROR(__xludf.DUMMYFUNCTION("""COMPUTED_VALUE"""),"Rp2,6JT")</f>
        <v>Rp2,6JT</v>
      </c>
      <c r="H177" s="419"/>
      <c r="I177" s="428"/>
      <c r="J177" s="419"/>
      <c r="K177" s="422" t="str">
        <f>IFERROR(__xludf.DUMMYFUNCTION("""COMPUTED_VALUE"""),"https://vt.tiktok.com/ZS9CCHQBu/")</f>
        <v>https://vt.tiktok.com/ZS9CCHQBu/</v>
      </c>
      <c r="L177" s="419"/>
      <c r="M177" s="422" t="str">
        <f>IFERROR(__xludf.DUMMYFUNCTION("""COMPUTED_VALUE"""),"https://vt.tiktok.com/ZSxNqmboc/")</f>
        <v>https://vt.tiktok.com/ZSxNqmboc/</v>
      </c>
      <c r="N177" s="419"/>
      <c r="O177" s="423"/>
      <c r="P177" s="419"/>
      <c r="Q177" s="423"/>
      <c r="R177" s="425">
        <f>IFERROR(__xludf.DUMMYFUNCTION("""COMPUTED_VALUE"""),78663.0)</f>
        <v>78663</v>
      </c>
      <c r="S177" s="425">
        <f>IFERROR(__xludf.DUMMYFUNCTION("""COMPUTED_VALUE"""),0.0)</f>
        <v>0</v>
      </c>
      <c r="T177" s="425">
        <f>IFERROR(__xludf.DUMMYFUNCTION("""COMPUTED_VALUE"""),0.0)</f>
        <v>0</v>
      </c>
      <c r="U177" s="425">
        <f>IFERROR(__xludf.DUMMYFUNCTION("""COMPUTED_VALUE"""),0.0)</f>
        <v>0</v>
      </c>
    </row>
    <row r="178" ht="15.75" hidden="1" customHeight="1">
      <c r="A178" s="412" t="str">
        <f>IFERROR(__xludf.DUMMYFUNCTION("""COMPUTED_VALUE"""),"MICRO")</f>
        <v>MICRO</v>
      </c>
      <c r="B178" s="423" t="str">
        <f>IFERROR(__xludf.DUMMYFUNCTION("""COMPUTED_VALUE"""),"vaniaahmad101")</f>
        <v>vaniaahmad101</v>
      </c>
      <c r="C178" s="422" t="str">
        <f>IFERROR(__xludf.DUMMYFUNCTION("""COMPUTED_VALUE"""),"https://www.tiktok.com/@vaniaahmad101")</f>
        <v>https://www.tiktok.com/@vaniaahmad101</v>
      </c>
      <c r="D178" s="423">
        <f>IFERROR(__xludf.DUMMYFUNCTION("""COMPUTED_VALUE"""),8.191259106E10)</f>
        <v>81912591060</v>
      </c>
      <c r="E178" s="425">
        <f>IFERROR(__xludf.DUMMYFUNCTION("""COMPUTED_VALUE"""),0.0)</f>
        <v>0</v>
      </c>
      <c r="F178" s="423">
        <f>IFERROR(__xludf.DUMMYFUNCTION("""COMPUTED_VALUE"""),3.0)</f>
        <v>3</v>
      </c>
      <c r="G178" s="423" t="str">
        <f>IFERROR(__xludf.DUMMYFUNCTION("""COMPUTED_VALUE"""),"Rp1JT+")</f>
        <v>Rp1JT+</v>
      </c>
      <c r="H178" s="419"/>
      <c r="I178" s="428"/>
      <c r="J178" s="419"/>
      <c r="K178" s="422" t="str">
        <f>IFERROR(__xludf.DUMMYFUNCTION("""COMPUTED_VALUE"""),"https://vt.tiktok.com/ZSxMFC28n/")</f>
        <v>https://vt.tiktok.com/ZSxMFC28n/</v>
      </c>
      <c r="L178" s="419"/>
      <c r="M178" s="422" t="str">
        <f>IFERROR(__xludf.DUMMYFUNCTION("""COMPUTED_VALUE"""),"https://vt.tiktok.com/ZSxMFg7Rs/")</f>
        <v>https://vt.tiktok.com/ZSxMFg7Rs/</v>
      </c>
      <c r="N178" s="419"/>
      <c r="O178" s="422" t="str">
        <f>IFERROR(__xludf.DUMMYFUNCTION("""COMPUTED_VALUE"""),"https://vt.tiktok.com/ZSxMFBbrW/")</f>
        <v>https://vt.tiktok.com/ZSxMFBbrW/</v>
      </c>
      <c r="P178" s="419"/>
      <c r="Q178" s="423"/>
      <c r="R178" s="425">
        <f>IFERROR(__xludf.DUMMYFUNCTION("""COMPUTED_VALUE"""),0.0)</f>
        <v>0</v>
      </c>
      <c r="S178" s="425">
        <f>IFERROR(__xludf.DUMMYFUNCTION("""COMPUTED_VALUE"""),0.0)</f>
        <v>0</v>
      </c>
      <c r="T178" s="425">
        <f>IFERROR(__xludf.DUMMYFUNCTION("""COMPUTED_VALUE"""),0.0)</f>
        <v>0</v>
      </c>
      <c r="U178" s="425">
        <f>IFERROR(__xludf.DUMMYFUNCTION("""COMPUTED_VALUE"""),0.0)</f>
        <v>0</v>
      </c>
    </row>
    <row r="179" ht="15.75" hidden="1" customHeight="1">
      <c r="A179" s="412" t="str">
        <f>IFERROR(__xludf.DUMMYFUNCTION("""COMPUTED_VALUE"""),"MICRO")</f>
        <v>MICRO</v>
      </c>
      <c r="B179" s="423" t="str">
        <f>IFERROR(__xludf.DUMMYFUNCTION("""COMPUTED_VALUE"""),"cahayakoleksi27")</f>
        <v>cahayakoleksi27</v>
      </c>
      <c r="C179" s="422" t="str">
        <f>IFERROR(__xludf.DUMMYFUNCTION("""COMPUTED_VALUE"""),"https://www.tiktok.com/@cahayakoleksi27")</f>
        <v>https://www.tiktok.com/@cahayakoleksi27</v>
      </c>
      <c r="D179" s="423">
        <f>IFERROR(__xludf.DUMMYFUNCTION("""COMPUTED_VALUE"""),8.2317043008E10)</f>
        <v>82317043008</v>
      </c>
      <c r="E179" s="425">
        <f>IFERROR(__xludf.DUMMYFUNCTION("""COMPUTED_VALUE"""),0.0)</f>
        <v>0</v>
      </c>
      <c r="F179" s="423">
        <f>IFERROR(__xludf.DUMMYFUNCTION("""COMPUTED_VALUE"""),3.0)</f>
        <v>3</v>
      </c>
      <c r="G179" s="423" t="str">
        <f>IFERROR(__xludf.DUMMYFUNCTION("""COMPUTED_VALUE"""),"Rp63,6JT")</f>
        <v>Rp63,6JT</v>
      </c>
      <c r="H179" s="419"/>
      <c r="I179" s="428"/>
      <c r="J179" s="419"/>
      <c r="K179" s="422" t="str">
        <f>IFERROR(__xludf.DUMMYFUNCTION("""COMPUTED_VALUE"""),"https://vt.tiktok.com/ZS9GSHmGb/")</f>
        <v>https://vt.tiktok.com/ZS9GSHmGb/</v>
      </c>
      <c r="L179" s="419"/>
      <c r="M179" s="422" t="str">
        <f>IFERROR(__xludf.DUMMYFUNCTION("""COMPUTED_VALUE"""),"https://vt.tiktok.com/ZS9nUaBHD/")</f>
        <v>https://vt.tiktok.com/ZS9nUaBHD/</v>
      </c>
      <c r="N179" s="419"/>
      <c r="O179" s="422" t="str">
        <f>IFERROR(__xludf.DUMMYFUNCTION("""COMPUTED_VALUE"""),"https://vt.tiktok.com/ZS9v2o195/")</f>
        <v>https://vt.tiktok.com/ZS9v2o195/</v>
      </c>
      <c r="P179" s="419"/>
      <c r="Q179" s="423"/>
      <c r="R179" s="425">
        <f>IFERROR(__xludf.DUMMYFUNCTION("""COMPUTED_VALUE"""),0.0)</f>
        <v>0</v>
      </c>
      <c r="S179" s="425">
        <f>IFERROR(__xludf.DUMMYFUNCTION("""COMPUTED_VALUE"""),0.0)</f>
        <v>0</v>
      </c>
      <c r="T179" s="425">
        <f>IFERROR(__xludf.DUMMYFUNCTION("""COMPUTED_VALUE"""),0.0)</f>
        <v>0</v>
      </c>
      <c r="U179" s="425">
        <f>IFERROR(__xludf.DUMMYFUNCTION("""COMPUTED_VALUE"""),0.0)</f>
        <v>0</v>
      </c>
    </row>
    <row r="180" ht="15.75" hidden="1" customHeight="1">
      <c r="A180" s="412" t="str">
        <f>IFERROR(__xludf.DUMMYFUNCTION("""COMPUTED_VALUE"""),"NANO")</f>
        <v>NANO</v>
      </c>
      <c r="B180" s="423" t="str">
        <f>IFERROR(__xludf.DUMMYFUNCTION("""COMPUTED_VALUE"""),"alviradevikaa")</f>
        <v>alviradevikaa</v>
      </c>
      <c r="C180" s="422" t="str">
        <f>IFERROR(__xludf.DUMMYFUNCTION("""COMPUTED_VALUE"""),"https://www.tiktok.com/@alviradevikaa")</f>
        <v>https://www.tiktok.com/@alviradevikaa</v>
      </c>
      <c r="D180" s="423">
        <f>IFERROR(__xludf.DUMMYFUNCTION("""COMPUTED_VALUE"""),8.1247059401E10)</f>
        <v>81247059401</v>
      </c>
      <c r="E180" s="425">
        <f>IFERROR(__xludf.DUMMYFUNCTION("""COMPUTED_VALUE"""),0.0)</f>
        <v>0</v>
      </c>
      <c r="F180" s="423">
        <f>IFERROR(__xludf.DUMMYFUNCTION("""COMPUTED_VALUE"""),2.0)</f>
        <v>2</v>
      </c>
      <c r="G180" s="423" t="str">
        <f>IFERROR(__xludf.DUMMYFUNCTION("""COMPUTED_VALUE"""),"Rp620RB")</f>
        <v>Rp620RB</v>
      </c>
      <c r="H180" s="419"/>
      <c r="I180" s="428"/>
      <c r="J180" s="419"/>
      <c r="K180" s="422" t="str">
        <f>IFERROR(__xludf.DUMMYFUNCTION("""COMPUTED_VALUE"""),"https://vt.tiktok.com/ZS9WfyBj7/")</f>
        <v>https://vt.tiktok.com/ZS9WfyBj7/</v>
      </c>
      <c r="L180" s="419"/>
      <c r="M180" s="422" t="str">
        <f>IFERROR(__xludf.DUMMYFUNCTION("""COMPUTED_VALUE"""),"https://www.tiktok.com/@alviradevikaa/video/7638140824487808274?is_from_webapp=1&amp;sender_device=pc")</f>
        <v>https://www.tiktok.com/@alviradevikaa/video/7638140824487808274?is_from_webapp=1&amp;sender_device=pc</v>
      </c>
      <c r="N180" s="419"/>
      <c r="O180" s="423"/>
      <c r="P180" s="419"/>
      <c r="Q180" s="423"/>
      <c r="R180" s="425">
        <f>IFERROR(__xludf.DUMMYFUNCTION("""COMPUTED_VALUE"""),0.0)</f>
        <v>0</v>
      </c>
      <c r="S180" s="425">
        <f>IFERROR(__xludf.DUMMYFUNCTION("""COMPUTED_VALUE"""),0.0)</f>
        <v>0</v>
      </c>
      <c r="T180" s="425">
        <f>IFERROR(__xludf.DUMMYFUNCTION("""COMPUTED_VALUE"""),0.0)</f>
        <v>0</v>
      </c>
      <c r="U180" s="425">
        <f>IFERROR(__xludf.DUMMYFUNCTION("""COMPUTED_VALUE"""),0.0)</f>
        <v>0</v>
      </c>
    </row>
    <row r="181" ht="15.75" hidden="1" customHeight="1">
      <c r="A181" s="412" t="str">
        <f>IFERROR(__xludf.DUMMYFUNCTION("""COMPUTED_VALUE"""),"NANO")</f>
        <v>NANO</v>
      </c>
      <c r="B181" s="423" t="str">
        <f>IFERROR(__xludf.DUMMYFUNCTION("""COMPUTED_VALUE"""),"fentina5502")</f>
        <v>fentina5502</v>
      </c>
      <c r="C181" s="422" t="str">
        <f>IFERROR(__xludf.DUMMYFUNCTION("""COMPUTED_VALUE"""),"https://www.tiktok.com/@fentina5502")</f>
        <v>https://www.tiktok.com/@fentina5502</v>
      </c>
      <c r="D181" s="423">
        <f>IFERROR(__xludf.DUMMYFUNCTION("""COMPUTED_VALUE"""),8.8232342322E10)</f>
        <v>88232342322</v>
      </c>
      <c r="E181" s="425">
        <f>IFERROR(__xludf.DUMMYFUNCTION("""COMPUTED_VALUE"""),0.0)</f>
        <v>0</v>
      </c>
      <c r="F181" s="423">
        <f>IFERROR(__xludf.DUMMYFUNCTION("""COMPUTED_VALUE"""),3.0)</f>
        <v>3</v>
      </c>
      <c r="G181" s="423" t="str">
        <f>IFERROR(__xludf.DUMMYFUNCTION("""COMPUTED_VALUE"""),"Rp1JT+")</f>
        <v>Rp1JT+</v>
      </c>
      <c r="H181" s="419"/>
      <c r="I181" s="428"/>
      <c r="J181" s="419"/>
      <c r="K181" s="422" t="str">
        <f>IFERROR(__xludf.DUMMYFUNCTION("""COMPUTED_VALUE"""),"https://www.tiktok.com/@fentina5502/video/7639711100816166151?is_from_webapp=1&amp;sender_device=pc")</f>
        <v>https://www.tiktok.com/@fentina5502/video/7639711100816166151?is_from_webapp=1&amp;sender_device=pc</v>
      </c>
      <c r="L181" s="419"/>
      <c r="M181" s="422" t="str">
        <f>IFERROR(__xludf.DUMMYFUNCTION("""COMPUTED_VALUE"""),"https://www.tiktok.com/@fentina5502/video/7639710920234585362?is_from_webapp=1&amp;sender_device=pc")</f>
        <v>https://www.tiktok.com/@fentina5502/video/7639710920234585362?is_from_webapp=1&amp;sender_device=pc</v>
      </c>
      <c r="N181" s="419"/>
      <c r="O181" s="422" t="str">
        <f>IFERROR(__xludf.DUMMYFUNCTION("""COMPUTED_VALUE"""),"https://www.tiktok.com/@fentina5502/video/7639711021212519688?is_from_webapp=1&amp;sender_device=pc")</f>
        <v>https://www.tiktok.com/@fentina5502/video/7639711021212519688?is_from_webapp=1&amp;sender_device=pc</v>
      </c>
      <c r="P181" s="419"/>
      <c r="Q181" s="423"/>
      <c r="R181" s="425">
        <f>IFERROR(__xludf.DUMMYFUNCTION("""COMPUTED_VALUE"""),0.0)</f>
        <v>0</v>
      </c>
      <c r="S181" s="425">
        <f>IFERROR(__xludf.DUMMYFUNCTION("""COMPUTED_VALUE"""),0.0)</f>
        <v>0</v>
      </c>
      <c r="T181" s="425">
        <f>IFERROR(__xludf.DUMMYFUNCTION("""COMPUTED_VALUE"""),0.0)</f>
        <v>0</v>
      </c>
      <c r="U181" s="425">
        <f>IFERROR(__xludf.DUMMYFUNCTION("""COMPUTED_VALUE"""),0.0)</f>
        <v>0</v>
      </c>
    </row>
    <row r="182" ht="15.75" customHeight="1">
      <c r="A182" s="412" t="str">
        <f>IFERROR(__xludf.DUMMYFUNCTION("""COMPUTED_VALUE"""),"NANO")</f>
        <v>NANO</v>
      </c>
      <c r="B182" s="423" t="str">
        <f>IFERROR(__xludf.DUMMYFUNCTION("""COMPUTED_VALUE"""),"dewa_mua")</f>
        <v>dewa_mua</v>
      </c>
      <c r="C182" s="422" t="str">
        <f>IFERROR(__xludf.DUMMYFUNCTION("""COMPUTED_VALUE"""),"https://www.tiktok.com/@dewa_mua")</f>
        <v>https://www.tiktok.com/@dewa_mua</v>
      </c>
      <c r="D182" s="423">
        <f>IFERROR(__xludf.DUMMYFUNCTION("""COMPUTED_VALUE"""),8.1284663324E10)</f>
        <v>81284663324</v>
      </c>
      <c r="E182" s="425">
        <f>IFERROR(__xludf.DUMMYFUNCTION("""COMPUTED_VALUE"""),0.0)</f>
        <v>0</v>
      </c>
      <c r="F182" s="423">
        <f>IFERROR(__xludf.DUMMYFUNCTION("""COMPUTED_VALUE"""),3.0)</f>
        <v>3</v>
      </c>
      <c r="G182" s="423" t="str">
        <f>IFERROR(__xludf.DUMMYFUNCTION("""COMPUTED_VALUE"""),"Rp19,1JT")</f>
        <v>Rp19,1JT</v>
      </c>
      <c r="H182" s="419"/>
      <c r="I182" s="428"/>
      <c r="J182" s="419"/>
      <c r="K182" s="422" t="str">
        <f>IFERROR(__xludf.DUMMYFUNCTION("""COMPUTED_VALUE"""),"https://vt.tiktok.com/ZS9qSh7FR/")</f>
        <v>https://vt.tiktok.com/ZS9qSh7FR/</v>
      </c>
      <c r="L182" s="419"/>
      <c r="M182" s="422" t="str">
        <f>IFERROR(__xludf.DUMMYFUNCTION("""COMPUTED_VALUE"""),"https://vt.tiktok.com/ZS9G3HV21/")</f>
        <v>https://vt.tiktok.com/ZS9G3HV21/</v>
      </c>
      <c r="N182" s="419"/>
      <c r="O182" s="422" t="str">
        <f>IFERROR(__xludf.DUMMYFUNCTION("""COMPUTED_VALUE"""),"https://vt.tiktok.com/ZS9G3QmkL/")</f>
        <v>https://vt.tiktok.com/ZS9G3QmkL/</v>
      </c>
      <c r="P182" s="419"/>
      <c r="Q182" s="422" t="str">
        <f>IFERROR(__xludf.DUMMYFUNCTION("""COMPUTED_VALUE"""),"https://www.tiktok.com/@dewa_mua/video/7638450118013848853?is_from_webapp=1&amp;sender_device=pc")</f>
        <v>https://www.tiktok.com/@dewa_mua/video/7638450118013848853?is_from_webapp=1&amp;sender_device=pc</v>
      </c>
      <c r="R182" s="425">
        <f>IFERROR(__xludf.DUMMYFUNCTION("""COMPUTED_VALUE"""),0.0)</f>
        <v>0</v>
      </c>
      <c r="S182" s="425">
        <f>IFERROR(__xludf.DUMMYFUNCTION("""COMPUTED_VALUE"""),0.0)</f>
        <v>0</v>
      </c>
      <c r="T182" s="425">
        <f>IFERROR(__xludf.DUMMYFUNCTION("""COMPUTED_VALUE"""),0.0)</f>
        <v>0</v>
      </c>
      <c r="U182" s="425">
        <f>IFERROR(__xludf.DUMMYFUNCTION("""COMPUTED_VALUE"""),0.0)</f>
        <v>0</v>
      </c>
    </row>
    <row r="183" ht="15.75" hidden="1" customHeight="1">
      <c r="A183" s="412" t="str">
        <f>IFERROR(__xludf.DUMMYFUNCTION("""COMPUTED_VALUE"""),"MICRO")</f>
        <v>MICRO</v>
      </c>
      <c r="B183" s="423" t="str">
        <f>IFERROR(__xludf.DUMMYFUNCTION("""COMPUTED_VALUE"""),"vansswan")</f>
        <v>vansswan</v>
      </c>
      <c r="C183" s="422" t="str">
        <f>IFERROR(__xludf.DUMMYFUNCTION("""COMPUTED_VALUE"""),"https://www.tiktok.com/@vansswan")</f>
        <v>https://www.tiktok.com/@vansswan</v>
      </c>
      <c r="D183" s="423">
        <f>IFERROR(__xludf.DUMMYFUNCTION("""COMPUTED_VALUE"""),8.7891113534E10)</f>
        <v>87891113534</v>
      </c>
      <c r="E183" s="425">
        <f>IFERROR(__xludf.DUMMYFUNCTION("""COMPUTED_VALUE"""),0.0)</f>
        <v>0</v>
      </c>
      <c r="F183" s="423">
        <f>IFERROR(__xludf.DUMMYFUNCTION("""COMPUTED_VALUE"""),2.0)</f>
        <v>2</v>
      </c>
      <c r="G183" s="423" t="str">
        <f>IFERROR(__xludf.DUMMYFUNCTION("""COMPUTED_VALUE"""),"Rp1JT+")</f>
        <v>Rp1JT+</v>
      </c>
      <c r="H183" s="419"/>
      <c r="I183" s="428"/>
      <c r="J183" s="419"/>
      <c r="K183" s="422" t="str">
        <f>IFERROR(__xludf.DUMMYFUNCTION("""COMPUTED_VALUE"""),"https://vt.tiktok.com/ZSxepua1W/")</f>
        <v>https://vt.tiktok.com/ZSxepua1W/</v>
      </c>
      <c r="L183" s="419"/>
      <c r="M183" s="422" t="str">
        <f>IFERROR(__xludf.DUMMYFUNCTION("""COMPUTED_VALUE"""),"https://vt.tiktok.com/ZSxepGVuE/")</f>
        <v>https://vt.tiktok.com/ZSxepGVuE/</v>
      </c>
      <c r="N183" s="419"/>
      <c r="O183" s="423"/>
      <c r="P183" s="419"/>
      <c r="Q183" s="423"/>
      <c r="R183" s="425">
        <f>IFERROR(__xludf.DUMMYFUNCTION("""COMPUTED_VALUE"""),0.0)</f>
        <v>0</v>
      </c>
      <c r="S183" s="425">
        <f>IFERROR(__xludf.DUMMYFUNCTION("""COMPUTED_VALUE"""),0.0)</f>
        <v>0</v>
      </c>
      <c r="T183" s="425">
        <f>IFERROR(__xludf.DUMMYFUNCTION("""COMPUTED_VALUE"""),0.0)</f>
        <v>0</v>
      </c>
      <c r="U183" s="425">
        <f>IFERROR(__xludf.DUMMYFUNCTION("""COMPUTED_VALUE"""),0.0)</f>
        <v>0</v>
      </c>
    </row>
    <row r="184" ht="15.75" hidden="1" customHeight="1">
      <c r="A184" s="412" t="str">
        <f>IFERROR(__xludf.DUMMYFUNCTION("""COMPUTED_VALUE"""),"NANO")</f>
        <v>NANO</v>
      </c>
      <c r="B184" s="423" t="str">
        <f>IFERROR(__xludf.DUMMYFUNCTION("""COMPUTED_VALUE"""),"putciew")</f>
        <v>putciew</v>
      </c>
      <c r="C184" s="422" t="str">
        <f>IFERROR(__xludf.DUMMYFUNCTION("""COMPUTED_VALUE"""),"https://www.tiktok.com/@putciew")</f>
        <v>https://www.tiktok.com/@putciew</v>
      </c>
      <c r="D184" s="423">
        <f>IFERROR(__xludf.DUMMYFUNCTION("""COMPUTED_VALUE"""),8.5742000917E10)</f>
        <v>85742000917</v>
      </c>
      <c r="E184" s="425">
        <f>IFERROR(__xludf.DUMMYFUNCTION("""COMPUTED_VALUE"""),0.0)</f>
        <v>0</v>
      </c>
      <c r="F184" s="423">
        <f>IFERROR(__xludf.DUMMYFUNCTION("""COMPUTED_VALUE"""),2.0)</f>
        <v>2</v>
      </c>
      <c r="G184" s="423" t="str">
        <f>IFERROR(__xludf.DUMMYFUNCTION("""COMPUTED_VALUE"""),"Rp10JT")</f>
        <v>Rp10JT</v>
      </c>
      <c r="H184" s="419"/>
      <c r="I184" s="428"/>
      <c r="J184" s="419"/>
      <c r="K184" s="423"/>
      <c r="L184" s="419"/>
      <c r="M184" s="423"/>
      <c r="N184" s="419"/>
      <c r="O184" s="423"/>
      <c r="P184" s="419"/>
      <c r="Q184" s="423"/>
      <c r="R184" s="425">
        <f>IFERROR(__xludf.DUMMYFUNCTION("""COMPUTED_VALUE"""),0.0)</f>
        <v>0</v>
      </c>
      <c r="S184" s="425">
        <f>IFERROR(__xludf.DUMMYFUNCTION("""COMPUTED_VALUE"""),0.0)</f>
        <v>0</v>
      </c>
      <c r="T184" s="425">
        <f>IFERROR(__xludf.DUMMYFUNCTION("""COMPUTED_VALUE"""),0.0)</f>
        <v>0</v>
      </c>
      <c r="U184" s="425">
        <f>IFERROR(__xludf.DUMMYFUNCTION("""COMPUTED_VALUE"""),0.0)</f>
        <v>0</v>
      </c>
    </row>
    <row r="185" ht="15.75" hidden="1" customHeight="1">
      <c r="A185" s="412" t="str">
        <f>IFERROR(__xludf.DUMMYFUNCTION("""COMPUTED_VALUE"""),"MICRO")</f>
        <v>MICRO</v>
      </c>
      <c r="B185" s="423" t="str">
        <f>IFERROR(__xludf.DUMMYFUNCTION("""COMPUTED_VALUE"""),"eni.makeupgresik")</f>
        <v>eni.makeupgresik</v>
      </c>
      <c r="C185" s="422" t="str">
        <f>IFERROR(__xludf.DUMMYFUNCTION("""COMPUTED_VALUE"""),"https://www.tiktok.com/@eni.makeupgresik")</f>
        <v>https://www.tiktok.com/@eni.makeupgresik</v>
      </c>
      <c r="D185" s="423">
        <f>IFERROR(__xludf.DUMMYFUNCTION("""COMPUTED_VALUE"""),8.1317680812E10)</f>
        <v>81317680812</v>
      </c>
      <c r="E185" s="425"/>
      <c r="F185" s="423"/>
      <c r="G185" s="423" t="str">
        <f>IFERROR(__xludf.DUMMYFUNCTION("""COMPUTED_VALUE"""),"Rp1JT+")</f>
        <v>Rp1JT+</v>
      </c>
      <c r="H185" s="419"/>
      <c r="I185" s="428"/>
      <c r="J185" s="419"/>
      <c r="K185" s="423"/>
      <c r="L185" s="419"/>
      <c r="M185" s="423"/>
      <c r="N185" s="419"/>
      <c r="O185" s="423"/>
      <c r="P185" s="419"/>
      <c r="Q185" s="423"/>
      <c r="R185" s="425">
        <f>IFERROR(__xludf.DUMMYFUNCTION("""COMPUTED_VALUE"""),0.0)</f>
        <v>0</v>
      </c>
      <c r="S185" s="425">
        <f>IFERROR(__xludf.DUMMYFUNCTION("""COMPUTED_VALUE"""),0.0)</f>
        <v>0</v>
      </c>
      <c r="T185" s="425">
        <f>IFERROR(__xludf.DUMMYFUNCTION("""COMPUTED_VALUE"""),0.0)</f>
        <v>0</v>
      </c>
      <c r="U185" s="425">
        <f>IFERROR(__xludf.DUMMYFUNCTION("""COMPUTED_VALUE"""),0.0)</f>
        <v>0</v>
      </c>
    </row>
    <row r="186" ht="15.75" hidden="1" customHeight="1">
      <c r="A186" s="412" t="str">
        <f>IFERROR(__xludf.DUMMYFUNCTION("""COMPUTED_VALUE"""),"MICRO")</f>
        <v>MICRO</v>
      </c>
      <c r="B186" s="423" t="str">
        <f>IFERROR(__xludf.DUMMYFUNCTION("""COMPUTED_VALUE"""),"racunnya_riska")</f>
        <v>racunnya_riska</v>
      </c>
      <c r="C186" s="422" t="str">
        <f>IFERROR(__xludf.DUMMYFUNCTION("""COMPUTED_VALUE"""),"https://www.tiktok.com/@racunnya_riska")</f>
        <v>https://www.tiktok.com/@racunnya_riska</v>
      </c>
      <c r="D186" s="423">
        <f>IFERROR(__xludf.DUMMYFUNCTION("""COMPUTED_VALUE"""),8.5799853468E10)</f>
        <v>85799853468</v>
      </c>
      <c r="E186" s="425"/>
      <c r="F186" s="423"/>
      <c r="G186" s="423" t="str">
        <f>IFERROR(__xludf.DUMMYFUNCTION("""COMPUTED_VALUE"""),"Rp324,8JT")</f>
        <v>Rp324,8JT</v>
      </c>
      <c r="H186" s="419"/>
      <c r="I186" s="428"/>
      <c r="J186" s="419"/>
      <c r="K186" s="423"/>
      <c r="L186" s="419"/>
      <c r="M186" s="423"/>
      <c r="N186" s="419"/>
      <c r="O186" s="423"/>
      <c r="P186" s="419"/>
      <c r="Q186" s="423"/>
      <c r="R186" s="425">
        <f>IFERROR(__xludf.DUMMYFUNCTION("""COMPUTED_VALUE"""),0.0)</f>
        <v>0</v>
      </c>
      <c r="S186" s="425">
        <f>IFERROR(__xludf.DUMMYFUNCTION("""COMPUTED_VALUE"""),0.0)</f>
        <v>0</v>
      </c>
      <c r="T186" s="425">
        <f>IFERROR(__xludf.DUMMYFUNCTION("""COMPUTED_VALUE"""),0.0)</f>
        <v>0</v>
      </c>
      <c r="U186" s="425">
        <f>IFERROR(__xludf.DUMMYFUNCTION("""COMPUTED_VALUE"""),0.0)</f>
        <v>0</v>
      </c>
    </row>
    <row r="187" ht="15.75" customHeight="1">
      <c r="A187" s="412" t="str">
        <f>IFERROR(__xludf.DUMMYFUNCTION("""COMPUTED_VALUE"""),"NANO")</f>
        <v>NANO</v>
      </c>
      <c r="B187" s="423" t="str">
        <f>IFERROR(__xludf.DUMMYFUNCTION("""COMPUTED_VALUE"""),"bulllll1220")</f>
        <v>bulllll1220</v>
      </c>
      <c r="C187" s="422" t="str">
        <f>IFERROR(__xludf.DUMMYFUNCTION("""COMPUTED_VALUE"""),"https://www.tiktok.com/@bulllll1220")</f>
        <v>https://www.tiktok.com/@bulllll1220</v>
      </c>
      <c r="D187" s="423">
        <f>IFERROR(__xludf.DUMMYFUNCTION("""COMPUTED_VALUE"""),8.5710505344E10)</f>
        <v>85710505344</v>
      </c>
      <c r="E187" s="425">
        <f>IFERROR(__xludf.DUMMYFUNCTION("""COMPUTED_VALUE"""),0.0)</f>
        <v>0</v>
      </c>
      <c r="F187" s="423">
        <f>IFERROR(__xludf.DUMMYFUNCTION("""COMPUTED_VALUE"""),2.0)</f>
        <v>2</v>
      </c>
      <c r="G187" s="423" t="str">
        <f>IFERROR(__xludf.DUMMYFUNCTION("""COMPUTED_VALUE"""),"Rp31,6JT")</f>
        <v>Rp31,6JT</v>
      </c>
      <c r="H187" s="419"/>
      <c r="I187" s="428"/>
      <c r="J187" s="419"/>
      <c r="K187" s="422" t="str">
        <f>IFERROR(__xludf.DUMMYFUNCTION("""COMPUTED_VALUE"""),"https://vt.tiktok.com/ZS9GK9D4y/")</f>
        <v>https://vt.tiktok.com/ZS9GK9D4y/</v>
      </c>
      <c r="L187" s="419"/>
      <c r="M187" s="422" t="str">
        <f>IFERROR(__xludf.DUMMYFUNCTION("""COMPUTED_VALUE"""),"https://www.tiktok.com/@bulllll1220/video/7637835227359874325?is_from_webapp=1&amp;sender_device=pc")</f>
        <v>https://www.tiktok.com/@bulllll1220/video/7637835227359874325?is_from_webapp=1&amp;sender_device=pc</v>
      </c>
      <c r="N187" s="419"/>
      <c r="O187" s="422" t="str">
        <f>IFERROR(__xludf.DUMMYFUNCTION("""COMPUTED_VALUE"""),"https://www.tiktok.com/@bulllll1220/video/7638088838895684885?is_from_webapp=1&amp;sender_device=pc")</f>
        <v>https://www.tiktok.com/@bulllll1220/video/7638088838895684885?is_from_webapp=1&amp;sender_device=pc</v>
      </c>
      <c r="P187" s="419"/>
      <c r="Q187" s="422" t="str">
        <f>IFERROR(__xludf.DUMMYFUNCTION("""COMPUTED_VALUE"""),"https://www.tiktok.com/@bulllll1220/video/7639351425742540053?is_from_webapp=1&amp;sender_device=pc")</f>
        <v>https://www.tiktok.com/@bulllll1220/video/7639351425742540053?is_from_webapp=1&amp;sender_device=pc</v>
      </c>
      <c r="R187" s="425">
        <f>IFERROR(__xludf.DUMMYFUNCTION("""COMPUTED_VALUE"""),2691422.0)</f>
        <v>2691422</v>
      </c>
      <c r="S187" s="425"/>
      <c r="T187" s="425"/>
      <c r="U187" s="425"/>
    </row>
    <row r="188" ht="15.75" hidden="1" customHeight="1">
      <c r="A188" s="412" t="str">
        <f>IFERROR(__xludf.DUMMYFUNCTION("""COMPUTED_VALUE"""),"MICRO")</f>
        <v>MICRO</v>
      </c>
      <c r="B188" s="423" t="str">
        <f>IFERROR(__xludf.DUMMYFUNCTION("""COMPUTED_VALUE"""),"slvistory")</f>
        <v>slvistory</v>
      </c>
      <c r="C188" s="422" t="str">
        <f>IFERROR(__xludf.DUMMYFUNCTION("""COMPUTED_VALUE"""),"https://www.tiktok.com/@slvistory")</f>
        <v>https://www.tiktok.com/@slvistory</v>
      </c>
      <c r="D188" s="423">
        <f>IFERROR(__xludf.DUMMYFUNCTION("""COMPUTED_VALUE"""),8.5882608699E10)</f>
        <v>85882608699</v>
      </c>
      <c r="E188" s="425"/>
      <c r="F188" s="423"/>
      <c r="G188" s="423" t="str">
        <f>IFERROR(__xludf.DUMMYFUNCTION("""COMPUTED_VALUE"""),"Rp1JT+")</f>
        <v>Rp1JT+</v>
      </c>
      <c r="H188" s="419"/>
      <c r="I188" s="428"/>
      <c r="J188" s="419"/>
      <c r="K188" s="423"/>
      <c r="L188" s="419"/>
      <c r="M188" s="423"/>
      <c r="N188" s="419"/>
      <c r="O188" s="423"/>
      <c r="P188" s="419"/>
      <c r="Q188" s="423"/>
      <c r="R188" s="425">
        <f>IFERROR(__xludf.DUMMYFUNCTION("""COMPUTED_VALUE"""),93060.0)</f>
        <v>93060</v>
      </c>
      <c r="S188" s="425"/>
      <c r="T188" s="425"/>
      <c r="U188" s="425"/>
    </row>
    <row r="189" ht="15.75" hidden="1" customHeight="1">
      <c r="A189" s="412" t="str">
        <f>IFERROR(__xludf.DUMMYFUNCTION("""COMPUTED_VALUE"""),"MICRO")</f>
        <v>MICRO</v>
      </c>
      <c r="B189" s="423" t="str">
        <f>IFERROR(__xludf.DUMMYFUNCTION("""COMPUTED_VALUE"""),"innaahhiyan")</f>
        <v>innaahhiyan</v>
      </c>
      <c r="C189" s="422" t="str">
        <f>IFERROR(__xludf.DUMMYFUNCTION("""COMPUTED_VALUE"""),"https://www.tiktok.com/@innaahhiyan")</f>
        <v>https://www.tiktok.com/@innaahhiyan</v>
      </c>
      <c r="D189" s="423">
        <f>IFERROR(__xludf.DUMMYFUNCTION("""COMPUTED_VALUE"""),8.5226956975E10)</f>
        <v>85226956975</v>
      </c>
      <c r="E189" s="425">
        <f>IFERROR(__xludf.DUMMYFUNCTION("""COMPUTED_VALUE"""),0.0)</f>
        <v>0</v>
      </c>
      <c r="F189" s="423">
        <f>IFERROR(__xludf.DUMMYFUNCTION("""COMPUTED_VALUE"""),3.0)</f>
        <v>3</v>
      </c>
      <c r="G189" s="423" t="str">
        <f>IFERROR(__xludf.DUMMYFUNCTION("""COMPUTED_VALUE"""),"Rp1JT+")</f>
        <v>Rp1JT+</v>
      </c>
      <c r="H189" s="419"/>
      <c r="I189" s="428"/>
      <c r="J189" s="419"/>
      <c r="K189" s="423"/>
      <c r="L189" s="419"/>
      <c r="M189" s="423"/>
      <c r="N189" s="419"/>
      <c r="O189" s="423"/>
      <c r="P189" s="419"/>
      <c r="Q189" s="423"/>
      <c r="R189" s="425"/>
      <c r="S189" s="425"/>
      <c r="T189" s="425"/>
      <c r="U189" s="425"/>
    </row>
    <row r="190" ht="15.75" hidden="1" customHeight="1">
      <c r="A190" s="412" t="str">
        <f>IFERROR(__xludf.DUMMYFUNCTION("""COMPUTED_VALUE"""),"MICRO")</f>
        <v>MICRO</v>
      </c>
      <c r="B190" s="423" t="str">
        <f>IFERROR(__xludf.DUMMYFUNCTION("""COMPUTED_VALUE"""),"dian.wulan_sari")</f>
        <v>dian.wulan_sari</v>
      </c>
      <c r="C190" s="422" t="str">
        <f>IFERROR(__xludf.DUMMYFUNCTION("""COMPUTED_VALUE"""),"https://www.tiktok.com/@dian.wulan_sari")</f>
        <v>https://www.tiktok.com/@dian.wulan_sari</v>
      </c>
      <c r="D190" s="423">
        <f>IFERROR(__xludf.DUMMYFUNCTION("""COMPUTED_VALUE"""),8.5695691125E10)</f>
        <v>85695691125</v>
      </c>
      <c r="E190" s="425"/>
      <c r="F190" s="423"/>
      <c r="G190" s="423" t="str">
        <f>IFERROR(__xludf.DUMMYFUNCTION("""COMPUTED_VALUE"""),"Rp33,2JT")</f>
        <v>Rp33,2JT</v>
      </c>
      <c r="H190" s="419"/>
      <c r="I190" s="428"/>
      <c r="J190" s="419"/>
      <c r="K190" s="423"/>
      <c r="L190" s="419"/>
      <c r="M190" s="423"/>
      <c r="N190" s="419"/>
      <c r="O190" s="423"/>
      <c r="P190" s="419"/>
      <c r="Q190" s="423"/>
      <c r="R190" s="425"/>
      <c r="S190" s="425"/>
      <c r="T190" s="425"/>
      <c r="U190" s="425"/>
    </row>
    <row r="191" ht="15.75" hidden="1" customHeight="1">
      <c r="A191" s="412" t="str">
        <f>IFERROR(__xludf.DUMMYFUNCTION("""COMPUTED_VALUE"""),"MICRO")</f>
        <v>MICRO</v>
      </c>
      <c r="B191" s="423" t="str">
        <f>IFERROR(__xludf.DUMMYFUNCTION("""COMPUTED_VALUE"""),"wwzn13")</f>
        <v>wwzn13</v>
      </c>
      <c r="C191" s="422" t="str">
        <f>IFERROR(__xludf.DUMMYFUNCTION("""COMPUTED_VALUE"""),"https://www.tiktok.com/@wwzn13")</f>
        <v>https://www.tiktok.com/@wwzn13</v>
      </c>
      <c r="D191" s="423">
        <f>IFERROR(__xludf.DUMMYFUNCTION("""COMPUTED_VALUE"""),8.5213302833E10)</f>
        <v>85213302833</v>
      </c>
      <c r="E191" s="425">
        <f>IFERROR(__xludf.DUMMYFUNCTION("""COMPUTED_VALUE"""),0.0)</f>
        <v>0</v>
      </c>
      <c r="F191" s="423">
        <f>IFERROR(__xludf.DUMMYFUNCTION("""COMPUTED_VALUE"""),3.0)</f>
        <v>3</v>
      </c>
      <c r="G191" s="423" t="str">
        <f>IFERROR(__xludf.DUMMYFUNCTION("""COMPUTED_VALUE"""),"Rp162,8JT")</f>
        <v>Rp162,8JT</v>
      </c>
      <c r="H191" s="419"/>
      <c r="I191" s="428"/>
      <c r="J191" s="419"/>
      <c r="K191" s="423"/>
      <c r="L191" s="419"/>
      <c r="M191" s="423"/>
      <c r="N191" s="419"/>
      <c r="O191" s="423"/>
      <c r="P191" s="419"/>
      <c r="Q191" s="423"/>
      <c r="R191" s="425"/>
      <c r="S191" s="425"/>
      <c r="T191" s="425"/>
      <c r="U191" s="425"/>
    </row>
    <row r="192" ht="15.75" hidden="1" customHeight="1">
      <c r="A192" s="412" t="str">
        <f>IFERROR(__xludf.DUMMYFUNCTION("""COMPUTED_VALUE"""),"MICRO")</f>
        <v>MICRO</v>
      </c>
      <c r="B192" s="423" t="str">
        <f>IFERROR(__xludf.DUMMYFUNCTION("""COMPUTED_VALUE"""),"racunskincarefiqi")</f>
        <v>racunskincarefiqi</v>
      </c>
      <c r="C192" s="422" t="str">
        <f>IFERROR(__xludf.DUMMYFUNCTION("""COMPUTED_VALUE"""),"https://www.tiktok.com/@racunskincarefiqi")</f>
        <v>https://www.tiktok.com/@racunskincarefiqi</v>
      </c>
      <c r="D192" s="423">
        <f>IFERROR(__xludf.DUMMYFUNCTION("""COMPUTED_VALUE"""),8.2372289362E10)</f>
        <v>82372289362</v>
      </c>
      <c r="E192" s="425">
        <f>IFERROR(__xludf.DUMMYFUNCTION("""COMPUTED_VALUE"""),0.0)</f>
        <v>0</v>
      </c>
      <c r="F192" s="423">
        <f>IFERROR(__xludf.DUMMYFUNCTION("""COMPUTED_VALUE"""),2.0)</f>
        <v>2</v>
      </c>
      <c r="G192" s="423" t="str">
        <f>IFERROR(__xludf.DUMMYFUNCTION("""COMPUTED_VALUE"""),"Rp176,4JT")</f>
        <v>Rp176,4JT</v>
      </c>
      <c r="H192" s="419"/>
      <c r="I192" s="428"/>
      <c r="J192" s="419"/>
      <c r="K192" s="422" t="str">
        <f>IFERROR(__xludf.DUMMYFUNCTION("""COMPUTED_VALUE"""),"https://vt.tiktok.com/ZSxM7ae4R/")</f>
        <v>https://vt.tiktok.com/ZSxM7ae4R/</v>
      </c>
      <c r="L192" s="419"/>
      <c r="M192" s="422" t="str">
        <f>IFERROR(__xludf.DUMMYFUNCTION("""COMPUTED_VALUE"""),"https://vt.tiktok.com/ZSxU21ueb/")</f>
        <v>https://vt.tiktok.com/ZSxU21ueb/</v>
      </c>
      <c r="N192" s="419"/>
      <c r="O192" s="423"/>
      <c r="P192" s="419"/>
      <c r="Q192" s="423"/>
      <c r="R192" s="425"/>
      <c r="S192" s="425"/>
      <c r="T192" s="425"/>
      <c r="U192" s="425"/>
    </row>
    <row r="193" ht="15.75" hidden="1" customHeight="1">
      <c r="A193" s="412" t="str">
        <f>IFERROR(__xludf.DUMMYFUNCTION("""COMPUTED_VALUE"""),"MICRO")</f>
        <v>MICRO</v>
      </c>
      <c r="B193" s="423" t="str">
        <f>IFERROR(__xludf.DUMMYFUNCTION("""COMPUTED_VALUE"""),"rikayunitadamayanti ")</f>
        <v>rikayunitadamayanti </v>
      </c>
      <c r="C193" s="422" t="str">
        <f>IFERROR(__xludf.DUMMYFUNCTION("""COMPUTED_VALUE"""),"https://www.tiktok.com/@rikayunitadamayanti ")</f>
        <v>https://www.tiktok.com/@rikayunitadamayanti </v>
      </c>
      <c r="D193" s="423">
        <f>IFERROR(__xludf.DUMMYFUNCTION("""COMPUTED_VALUE"""),8.1256695487E10)</f>
        <v>81256695487</v>
      </c>
      <c r="E193" s="425">
        <f>IFERROR(__xludf.DUMMYFUNCTION("""COMPUTED_VALUE"""),0.0)</f>
        <v>0</v>
      </c>
      <c r="F193" s="423">
        <f>IFERROR(__xludf.DUMMYFUNCTION("""COMPUTED_VALUE"""),3.0)</f>
        <v>3</v>
      </c>
      <c r="G193" s="423" t="str">
        <f>IFERROR(__xludf.DUMMYFUNCTION("""COMPUTED_VALUE"""),"Rp25,2JT")</f>
        <v>Rp25,2JT</v>
      </c>
      <c r="H193" s="419"/>
      <c r="I193" s="428"/>
      <c r="J193" s="419"/>
      <c r="K193" s="423"/>
      <c r="L193" s="419"/>
      <c r="M193" s="423"/>
      <c r="N193" s="419"/>
      <c r="O193" s="423"/>
      <c r="P193" s="419"/>
      <c r="Q193" s="423"/>
      <c r="R193" s="425"/>
      <c r="S193" s="425"/>
      <c r="T193" s="425"/>
      <c r="U193" s="425"/>
    </row>
    <row r="194" ht="15.75" hidden="1" customHeight="1">
      <c r="A194" s="412" t="str">
        <f>IFERROR(__xludf.DUMMYFUNCTION("""COMPUTED_VALUE"""),"MICRO")</f>
        <v>MICRO</v>
      </c>
      <c r="B194" s="423" t="str">
        <f>IFERROR(__xludf.DUMMYFUNCTION("""COMPUTED_VALUE"""),"yuni_atus")</f>
        <v>yuni_atus</v>
      </c>
      <c r="C194" s="422" t="str">
        <f>IFERROR(__xludf.DUMMYFUNCTION("""COMPUTED_VALUE"""),"https://www.tiktok.com/@yuni_atus")</f>
        <v>https://www.tiktok.com/@yuni_atus</v>
      </c>
      <c r="D194" s="423">
        <f>IFERROR(__xludf.DUMMYFUNCTION("""COMPUTED_VALUE"""),8.2225434607E10)</f>
        <v>82225434607</v>
      </c>
      <c r="E194" s="425">
        <f>IFERROR(__xludf.DUMMYFUNCTION("""COMPUTED_VALUE"""),0.0)</f>
        <v>0</v>
      </c>
      <c r="F194" s="423">
        <f>IFERROR(__xludf.DUMMYFUNCTION("""COMPUTED_VALUE"""),2.0)</f>
        <v>2</v>
      </c>
      <c r="G194" s="423" t="str">
        <f>IFERROR(__xludf.DUMMYFUNCTION("""COMPUTED_VALUE"""),"Rp1JT+")</f>
        <v>Rp1JT+</v>
      </c>
      <c r="H194" s="419"/>
      <c r="I194" s="428"/>
      <c r="J194" s="419"/>
      <c r="K194" s="423"/>
      <c r="L194" s="419"/>
      <c r="M194" s="423"/>
      <c r="N194" s="419"/>
      <c r="O194" s="423"/>
      <c r="P194" s="419"/>
      <c r="Q194" s="423"/>
      <c r="R194" s="425"/>
      <c r="S194" s="425"/>
      <c r="T194" s="425"/>
      <c r="U194" s="425"/>
    </row>
    <row r="195" ht="15.75" hidden="1" customHeight="1">
      <c r="A195" s="412" t="str">
        <f>IFERROR(__xludf.DUMMYFUNCTION("""COMPUTED_VALUE"""),"MICRO")</f>
        <v>MICRO</v>
      </c>
      <c r="B195" s="423" t="str">
        <f>IFERROR(__xludf.DUMMYFUNCTION("""COMPUTED_VALUE"""),"yullyan_yl")</f>
        <v>yullyan_yl</v>
      </c>
      <c r="C195" s="422" t="str">
        <f>IFERROR(__xludf.DUMMYFUNCTION("""COMPUTED_VALUE"""),"https://www.tiktok.com/@yullyan_yl")</f>
        <v>https://www.tiktok.com/@yullyan_yl</v>
      </c>
      <c r="D195" s="423">
        <f>IFERROR(__xludf.DUMMYFUNCTION("""COMPUTED_VALUE"""),8.1239988401E10)</f>
        <v>81239988401</v>
      </c>
      <c r="E195" s="425">
        <f>IFERROR(__xludf.DUMMYFUNCTION("""COMPUTED_VALUE"""),0.0)</f>
        <v>0</v>
      </c>
      <c r="F195" s="423">
        <f>IFERROR(__xludf.DUMMYFUNCTION("""COMPUTED_VALUE"""),2.0)</f>
        <v>2</v>
      </c>
      <c r="G195" s="423" t="str">
        <f>IFERROR(__xludf.DUMMYFUNCTION("""COMPUTED_VALUE"""),"Rp56,6JT")</f>
        <v>Rp56,6JT</v>
      </c>
      <c r="H195" s="419"/>
      <c r="I195" s="428"/>
      <c r="J195" s="419"/>
      <c r="K195" s="423"/>
      <c r="L195" s="419"/>
      <c r="M195" s="423"/>
      <c r="N195" s="419"/>
      <c r="O195" s="423"/>
      <c r="P195" s="419"/>
      <c r="Q195" s="423"/>
      <c r="R195" s="425"/>
      <c r="S195" s="425"/>
      <c r="T195" s="425"/>
      <c r="U195" s="425"/>
    </row>
    <row r="196" ht="15.75" hidden="1" customHeight="1">
      <c r="A196" s="412" t="str">
        <f>IFERROR(__xludf.DUMMYFUNCTION("""COMPUTED_VALUE"""),"MICRO")</f>
        <v>MICRO</v>
      </c>
      <c r="B196" s="423" t="str">
        <f>IFERROR(__xludf.DUMMYFUNCTION("""COMPUTED_VALUE"""),"lagistasenja17")</f>
        <v>lagistasenja17</v>
      </c>
      <c r="C196" s="422" t="str">
        <f>IFERROR(__xludf.DUMMYFUNCTION("""COMPUTED_VALUE"""),"https://www.tiktok.com/@lagistasenja17")</f>
        <v>https://www.tiktok.com/@lagistasenja17</v>
      </c>
      <c r="D196" s="423">
        <f>IFERROR(__xludf.DUMMYFUNCTION("""COMPUTED_VALUE"""),8.570303607E10)</f>
        <v>85703036070</v>
      </c>
      <c r="E196" s="425">
        <f>IFERROR(__xludf.DUMMYFUNCTION("""COMPUTED_VALUE"""),0.0)</f>
        <v>0</v>
      </c>
      <c r="F196" s="423">
        <f>IFERROR(__xludf.DUMMYFUNCTION("""COMPUTED_VALUE"""),2.0)</f>
        <v>2</v>
      </c>
      <c r="G196" s="423" t="str">
        <f>IFERROR(__xludf.DUMMYFUNCTION("""COMPUTED_VALUE"""),"Rp35,2JT")</f>
        <v>Rp35,2JT</v>
      </c>
      <c r="H196" s="419"/>
      <c r="I196" s="428"/>
      <c r="J196" s="419"/>
      <c r="K196" s="423"/>
      <c r="L196" s="419"/>
      <c r="M196" s="423"/>
      <c r="N196" s="419"/>
      <c r="O196" s="423"/>
      <c r="P196" s="419"/>
      <c r="Q196" s="423"/>
      <c r="R196" s="425"/>
      <c r="S196" s="425"/>
      <c r="T196" s="425"/>
      <c r="U196" s="425"/>
    </row>
    <row r="197" ht="15.75" hidden="1" customHeight="1">
      <c r="A197" s="412" t="str">
        <f>IFERROR(__xludf.DUMMYFUNCTION("""COMPUTED_VALUE"""),"NANO")</f>
        <v>NANO</v>
      </c>
      <c r="B197" s="422" t="str">
        <f>IFERROR(__xludf.DUMMYFUNCTION("""COMPUTED_VALUE"""),"joys.co ")</f>
        <v>joys.co </v>
      </c>
      <c r="C197" s="422" t="str">
        <f>IFERROR(__xludf.DUMMYFUNCTION("""COMPUTED_VALUE"""),"https://www.tiktok.com/@joys.co ")</f>
        <v>https://www.tiktok.com/@joys.co </v>
      </c>
      <c r="D197" s="423">
        <f>IFERROR(__xludf.DUMMYFUNCTION("""COMPUTED_VALUE"""),8.5733785719E10)</f>
        <v>85733785719</v>
      </c>
      <c r="E197" s="425">
        <f>IFERROR(__xludf.DUMMYFUNCTION("""COMPUTED_VALUE"""),0.0)</f>
        <v>0</v>
      </c>
      <c r="F197" s="423">
        <f>IFERROR(__xludf.DUMMYFUNCTION("""COMPUTED_VALUE"""),3.0)</f>
        <v>3</v>
      </c>
      <c r="G197" s="423" t="str">
        <f>IFERROR(__xludf.DUMMYFUNCTION("""COMPUTED_VALUE"""),"Rp50RB")</f>
        <v>Rp50RB</v>
      </c>
      <c r="H197" s="419"/>
      <c r="I197" s="428"/>
      <c r="J197" s="419"/>
      <c r="K197" s="423"/>
      <c r="L197" s="419"/>
      <c r="M197" s="423"/>
      <c r="N197" s="419"/>
      <c r="O197" s="423"/>
      <c r="P197" s="419"/>
      <c r="Q197" s="423"/>
      <c r="R197" s="425"/>
      <c r="S197" s="425"/>
      <c r="T197" s="425"/>
      <c r="U197" s="425"/>
    </row>
    <row r="198" ht="15.75" hidden="1" customHeight="1">
      <c r="A198" s="412" t="str">
        <f>IFERROR(__xludf.DUMMYFUNCTION("""COMPUTED_VALUE"""),"MICRO")</f>
        <v>MICRO</v>
      </c>
      <c r="B198" s="423" t="str">
        <f>IFERROR(__xludf.DUMMYFUNCTION("""COMPUTED_VALUE"""),"rikhalaila")</f>
        <v>rikhalaila</v>
      </c>
      <c r="C198" s="422" t="str">
        <f>IFERROR(__xludf.DUMMYFUNCTION("""COMPUTED_VALUE"""),"https://www.tiktok.com/@rikhalaila")</f>
        <v>https://www.tiktok.com/@rikhalaila</v>
      </c>
      <c r="D198" s="423">
        <f>IFERROR(__xludf.DUMMYFUNCTION("""COMPUTED_VALUE"""),8.5233344741E10)</f>
        <v>85233344741</v>
      </c>
      <c r="E198" s="425">
        <f>IFERROR(__xludf.DUMMYFUNCTION("""COMPUTED_VALUE"""),0.0)</f>
        <v>0</v>
      </c>
      <c r="F198" s="423">
        <f>IFERROR(__xludf.DUMMYFUNCTION("""COMPUTED_VALUE"""),3.0)</f>
        <v>3</v>
      </c>
      <c r="G198" s="423" t="str">
        <f>IFERROR(__xludf.DUMMYFUNCTION("""COMPUTED_VALUE"""),"Rp100RB-Rp500RB")</f>
        <v>Rp100RB-Rp500RB</v>
      </c>
      <c r="H198" s="419"/>
      <c r="I198" s="428"/>
      <c r="J198" s="419"/>
      <c r="K198" s="423"/>
      <c r="L198" s="419"/>
      <c r="M198" s="423"/>
      <c r="N198" s="419"/>
      <c r="O198" s="423"/>
      <c r="P198" s="419"/>
      <c r="Q198" s="423"/>
      <c r="R198" s="425"/>
      <c r="S198" s="425"/>
      <c r="T198" s="425"/>
      <c r="U198" s="425"/>
    </row>
    <row r="199" ht="15.75" hidden="1" customHeight="1">
      <c r="A199" s="412" t="str">
        <f>IFERROR(__xludf.DUMMYFUNCTION("""COMPUTED_VALUE"""),"MICRO")</f>
        <v>MICRO</v>
      </c>
      <c r="B199" s="423" t="str">
        <f>IFERROR(__xludf.DUMMYFUNCTION("""COMPUTED_VALUE"""),"annawkwk")</f>
        <v>annawkwk</v>
      </c>
      <c r="C199" s="422" t="str">
        <f>IFERROR(__xludf.DUMMYFUNCTION("""COMPUTED_VALUE"""),"https://www.tiktok.com/@annawkwk")</f>
        <v>https://www.tiktok.com/@annawkwk</v>
      </c>
      <c r="D199" s="423">
        <f>IFERROR(__xludf.DUMMYFUNCTION("""COMPUTED_VALUE"""),8.7822342436E10)</f>
        <v>87822342436</v>
      </c>
      <c r="E199" s="425">
        <f>IFERROR(__xludf.DUMMYFUNCTION("""COMPUTED_VALUE"""),0.0)</f>
        <v>0</v>
      </c>
      <c r="F199" s="423">
        <f>IFERROR(__xludf.DUMMYFUNCTION("""COMPUTED_VALUE"""),3.0)</f>
        <v>3</v>
      </c>
      <c r="G199" s="423" t="str">
        <f>IFERROR(__xludf.DUMMYFUNCTION("""COMPUTED_VALUE"""),"Rp1JT")</f>
        <v>Rp1JT</v>
      </c>
      <c r="H199" s="419"/>
      <c r="I199" s="428"/>
      <c r="J199" s="419"/>
      <c r="K199" s="423"/>
      <c r="L199" s="419"/>
      <c r="M199" s="423"/>
      <c r="N199" s="419"/>
      <c r="O199" s="423"/>
      <c r="P199" s="419"/>
      <c r="Q199" s="423"/>
      <c r="R199" s="425"/>
      <c r="S199" s="425"/>
      <c r="T199" s="425"/>
      <c r="U199" s="425"/>
    </row>
    <row r="200" ht="15.75" hidden="1" customHeight="1">
      <c r="A200" s="412" t="str">
        <f>IFERROR(__xludf.DUMMYFUNCTION("""COMPUTED_VALUE"""),"NANO")</f>
        <v>NANO</v>
      </c>
      <c r="B200" s="423" t="str">
        <f>IFERROR(__xludf.DUMMYFUNCTION("""COMPUTED_VALUE"""),"sunny.beaute")</f>
        <v>sunny.beaute</v>
      </c>
      <c r="C200" s="422" t="str">
        <f>IFERROR(__xludf.DUMMYFUNCTION("""COMPUTED_VALUE"""),"https://www.tiktok.com/@sunny.beaute")</f>
        <v>https://www.tiktok.com/@sunny.beaute</v>
      </c>
      <c r="D200" s="423">
        <f>IFERROR(__xludf.DUMMYFUNCTION("""COMPUTED_VALUE"""),8.1359683514E10)</f>
        <v>81359683514</v>
      </c>
      <c r="E200" s="425">
        <f>IFERROR(__xludf.DUMMYFUNCTION("""COMPUTED_VALUE"""),0.0)</f>
        <v>0</v>
      </c>
      <c r="F200" s="423">
        <f>IFERROR(__xludf.DUMMYFUNCTION("""COMPUTED_VALUE"""),3.0)</f>
        <v>3</v>
      </c>
      <c r="G200" s="423" t="str">
        <f>IFERROR(__xludf.DUMMYFUNCTION("""COMPUTED_VALUE"""),"Rp2,6JT")</f>
        <v>Rp2,6JT</v>
      </c>
      <c r="H200" s="419"/>
      <c r="I200" s="428"/>
      <c r="J200" s="419"/>
      <c r="K200" s="423"/>
      <c r="L200" s="419"/>
      <c r="M200" s="423"/>
      <c r="N200" s="419"/>
      <c r="O200" s="423"/>
      <c r="P200" s="419"/>
      <c r="Q200" s="423"/>
      <c r="R200" s="425"/>
      <c r="S200" s="425"/>
      <c r="T200" s="425"/>
      <c r="U200" s="425"/>
    </row>
    <row r="201" ht="15.75" hidden="1" customHeight="1">
      <c r="A201" s="412"/>
      <c r="B201" s="423" t="str">
        <f>IFERROR(__xludf.DUMMYFUNCTION("""COMPUTED_VALUE"""),"naniinan09")</f>
        <v>naniinan09</v>
      </c>
      <c r="C201" s="422" t="str">
        <f>IFERROR(__xludf.DUMMYFUNCTION("""COMPUTED_VALUE"""),"https://www.tiktok.com/@naniinan09")</f>
        <v>https://www.tiktok.com/@naniinan09</v>
      </c>
      <c r="D201" s="423"/>
      <c r="E201" s="425"/>
      <c r="F201" s="423"/>
      <c r="G201" s="423"/>
      <c r="H201" s="419"/>
      <c r="I201" s="428"/>
      <c r="J201" s="419"/>
      <c r="K201" s="423"/>
      <c r="L201" s="419"/>
      <c r="M201" s="423"/>
      <c r="N201" s="419"/>
      <c r="O201" s="423"/>
      <c r="P201" s="419"/>
      <c r="Q201" s="423"/>
      <c r="R201" s="425">
        <f>IFERROR(__xludf.DUMMYFUNCTION("""COMPUTED_VALUE"""),392025.0)</f>
        <v>392025</v>
      </c>
      <c r="S201" s="425"/>
      <c r="T201" s="425"/>
      <c r="U201" s="425"/>
    </row>
    <row r="202" ht="15.75" hidden="1" customHeight="1">
      <c r="A202" s="412"/>
      <c r="B202" s="423" t="str">
        <f>IFERROR(__xludf.DUMMYFUNCTION("""COMPUTED_VALUE"""),"nirvanamutia")</f>
        <v>nirvanamutia</v>
      </c>
      <c r="C202" s="422" t="str">
        <f>IFERROR(__xludf.DUMMYFUNCTION("""COMPUTED_VALUE"""),"https://www.tiktok.com/@nirvanamutia")</f>
        <v>https://www.tiktok.com/@nirvanamutia</v>
      </c>
      <c r="D202" s="423"/>
      <c r="E202" s="425"/>
      <c r="F202" s="423"/>
      <c r="G202" s="423"/>
      <c r="H202" s="419"/>
      <c r="I202" s="428"/>
      <c r="J202" s="419"/>
      <c r="K202" s="422" t="str">
        <f>IFERROR(__xludf.DUMMYFUNCTION("""COMPUTED_VALUE"""),"https://www.tiktok.com/@nirvanamutia/video/7637244897233341717?_r=1&amp;u_code=cm102mlj93hg41&amp;region=&amp;mid=7614441852116290311&amp;preview_pb=0&amp;sharer_language=&amp;_d=0&amp;ec_shared_reflux_dynamic_params=%7B%22placeholder_material_id%22%3A%227637244897233341717%22%2C%22"&amp;"placeholder_origin_cover%22%3A%22https%253A%252F%252Fp16-common-sign.tiktokcdn.com%252Ftos-alisg-p-0037%252FoIYBqBfiQgfcpQRcRIBhRMAEUmI7iBEtB7jn88~tplv-tiktokx-origin.jpeg%253Fdr%253D14572%2526refresh_token%253D9fab79df%2526x-expires%253D1811574000%2526x-"&amp;"signature%253DWq7jnxrIwk2u%25252BioBh7rpzfLikU0%25253D%2526t%253D4d5b0474%2526ps%253D13740610%2526shp%253Dd05b14bd%2526shcp%253D34ff8df6%2526idc%253Dmy%2526s%253DTIKTOK_AFFILIATE_VIRAL_VIDEO%22%2C%22placeholder_product_id%22%3A%221729921275998997399%22%2C"&amp;"%22placeholder_video_id%22%3A%227637244897233341717%22%7D&amp;ec_shared_reflux_scene=shop_tab_feed&amp;share_item_id=7637244897233341717&amp;source=h5_t")</f>
        <v>https://www.tiktok.com/@nirvanamutia/video/7637244897233341717?_r=1&amp;u_code=cm102mlj93hg41&amp;region=&amp;mid=7614441852116290311&amp;preview_pb=0&amp;sharer_language=&amp;_d=0&amp;ec_shared_reflux_dynamic_params=%7B%22placeholder_material_id%22%3A%227637244897233341717%22%2C%22placeholder_origin_cover%22%3A%22https%253A%252F%252Fp16-common-sign.tiktokcdn.com%252Ftos-alisg-p-0037%252FoIYBqBfiQgfcpQRcRIBhRMAEUmI7iBEtB7jn88~tplv-tiktokx-origin.jpeg%253Fdr%253D14572%2526refresh_token%253D9fab79df%2526x-expires%253D1811574000%2526x-signature%253DWq7jnxrIwk2u%25252BioBh7rpzfLikU0%25253D%2526t%253D4d5b0474%2526ps%253D13740610%2526shp%253Dd05b14bd%2526shcp%253D34ff8df6%2526idc%253Dmy%2526s%253DTIKTOK_AFFILIATE_VIRAL_VIDEO%22%2C%22placeholder_product_id%22%3A%221729921275998997399%22%2C%22placeholder_video_id%22%3A%227637244897233341717%22%7D&amp;ec_shared_reflux_scene=shop_tab_feed&amp;share_item_id=7637244897233341717&amp;source=h5_t</v>
      </c>
      <c r="L202" s="432" t="str">
        <f>IFERROR(__xludf.DUMMYFUNCTION("""COMPUTED_VALUE"""),"https://www.tiktok.com/@nirvanamutia/video/7637226740498173204?_r=1&amp;u_code=cm102mlj93hg41&amp;region=&amp;mid=7227929680970926874&amp;preview_pb=0&amp;sharer_language=&amp;_d=0&amp;ec_shared_reflux_dynamic_params=%7B%22placeholder_material_id%22%3A%227637226740498173204%22%2C%22"&amp;"placeholder_origin_cover%22%3A%22https%253A%252F%252Fp16-common-sign.tiktokcdn.com%252Ftos-alisg-p-0037%252FoUigUPv0fAnJAj1Bi2OzXI4Aul8PIdybCBuwIB~tplv-tiktokx-origin.jpeg%253Fdr%253D14572%2526refresh_token%253D68f14582%2526x-expires%253D1811574000%2526x-"&amp;"signature%253DddakdIARLoP8%25252BQHDJh7DtSY7UbM%25253D%2526t%253D4d5b0474%2526ps%253D13740610%2526shp%253Dd05b14bd%2526shcp%253D34ff8df6%2526idc%253Dmy%2526s%253DTIKTOK_AFFILIATE_VIRAL_VIDEO%22%2C%22placeholder_product_id%22%3A%221729921275998997399%22%2C"&amp;"%22placeholder_video_id%22%3A%227637226740498173204%22%7D&amp;ec_shared_reflux_scene=shop_tab_feed&amp;share_item_id=7637226740498173204&amp;source=h5_t")</f>
        <v>https://www.tiktok.com/@nirvanamutia/video/7637226740498173204?_r=1&amp;u_code=cm102mlj93hg41&amp;region=&amp;mid=7227929680970926874&amp;preview_pb=0&amp;sharer_language=&amp;_d=0&amp;ec_shared_reflux_dynamic_params=%7B%22placeholder_material_id%22%3A%227637226740498173204%22%2C%22placeholder_origin_cover%22%3A%22https%253A%252F%252Fp16-common-sign.tiktokcdn.com%252Ftos-alisg-p-0037%252FoUigUPv0fAnJAj1Bi2OzXI4Aul8PIdybCBuwIB~tplv-tiktokx-origin.jpeg%253Fdr%253D14572%2526refresh_token%253D68f14582%2526x-expires%253D1811574000%2526x-signature%253DddakdIARLoP8%25252BQHDJh7DtSY7UbM%25253D%2526t%253D4d5b0474%2526ps%253D13740610%2526shp%253Dd05b14bd%2526shcp%253D34ff8df6%2526idc%253Dmy%2526s%253DTIKTOK_AFFILIATE_VIRAL_VIDEO%22%2C%22placeholder_product_id%22%3A%221729921275998997399%22%2C%22placeholder_video_id%22%3A%227637226740498173204%22%7D&amp;ec_shared_reflux_scene=shop_tab_feed&amp;share_item_id=7637226740498173204&amp;source=h5_t</v>
      </c>
      <c r="M202" s="422" t="str">
        <f>IFERROR(__xludf.DUMMYFUNCTION("""COMPUTED_VALUE"""),"https://www.tiktok.com/@nirvanamutia/video/7637370673286909205?_r=1&amp;u_code=cm102mlj93hg41&amp;region=&amp;mid=7632536758063909648&amp;preview_pb=0&amp;sharer_language=&amp;_d=0&amp;ec_shared_reflux_dynamic_params=%7B%22placeholder_material_id%22%3A%227637370673286909205%22%2C%22"&amp;"placeholder_origin_cover%22%3A%22https%253A%252F%252Fp16-common-sign.tiktokcdn.com%252Ftos-alisg-p-0037%252FogtAIk0I9cTBxAaZwJuD1PiHiCAIDBf1SqJENI~tplv-tiktokx-origin.jpeg%253Fdr%253D14572%2526refresh_token%253D6d566b2b%2526x-expires%253D1811574000%2526x-"&amp;"signature%253D6beu%25252B%25252BlkLiCed4XDAohLmJjiJn8%25253D%2526t%253D4d5b0474%2526ps%253D13740610%2526shp%253Dd05b14bd%2526shcp%253D34ff8df6%2526idc%253Dmy%2526s%253DTIKTOK_AFFILIATE_VIRAL_VIDEO%22%2C%22placeholder_product_id%22%3A%221729921275998997399"&amp;"%22%2C%22placeholder_video_id%22%3A%227637370673286909205%22%7D&amp;ec_shared_reflux_scene=shop_tab_feed&amp;share_item_id=7637370673286909205&amp;source=h5_t")</f>
        <v>https://www.tiktok.com/@nirvanamutia/video/7637370673286909205?_r=1&amp;u_code=cm102mlj93hg41&amp;region=&amp;mid=7632536758063909648&amp;preview_pb=0&amp;sharer_language=&amp;_d=0&amp;ec_shared_reflux_dynamic_params=%7B%22placeholder_material_id%22%3A%227637370673286909205%22%2C%22placeholder_origin_cover%22%3A%22https%253A%252F%252Fp16-common-sign.tiktokcdn.com%252Ftos-alisg-p-0037%252FogtAIk0I9cTBxAaZwJuD1PiHiCAIDBf1SqJENI~tplv-tiktokx-origin.jpeg%253Fdr%253D14572%2526refresh_token%253D6d566b2b%2526x-expires%253D1811574000%2526x-signature%253D6beu%25252B%25252BlkLiCed4XDAohLmJjiJn8%25253D%2526t%253D4d5b0474%2526ps%253D13740610%2526shp%253Dd05b14bd%2526shcp%253D34ff8df6%2526idc%253Dmy%2526s%253DTIKTOK_AFFILIATE_VIRAL_VIDEO%22%2C%22placeholder_product_id%22%3A%221729921275998997399%22%2C%22placeholder_video_id%22%3A%227637370673286909205%22%7D&amp;ec_shared_reflux_scene=shop_tab_feed&amp;share_item_id=7637370673286909205&amp;source=h5_t</v>
      </c>
      <c r="N202" s="432" t="str">
        <f>IFERROR(__xludf.DUMMYFUNCTION("""COMPUTED_VALUE"""),"https://www.tiktok.com/@nirvanamutia/video/7637378248766131476?_r=1&amp;u_code=cm102mlj93hg41&amp;region=&amp;mid=6965202790818171653&amp;preview_pb=0&amp;sharer_language=&amp;_d=0&amp;ec_shared_reflux_dynamic_params=%7B%22placeholder_material_id%22%3A%227637378248766131476%22%2C%22"&amp;"placeholder_origin_cover%22%3A%22https%253A%252F%252Fp16-common-sign.tiktokcdn.com%252Ftos-alisg-p-0037%252FoUIdgwhetirgWeRGV1enLDLTke8GM3AGAbWy6F~tplv-tiktokx-origin.jpeg%253Fdr%253D14572%2526refresh_token%253Da7f13725%2526x-expires%253D1811574000%2526x-"&amp;"signature%253DldGWgWBeD2BUHpOcZmFsfYT5%25252Bo8%25253D%2526t%253D4d5b0474%2526ps%253D13740610%2526shp%253Dd05b14bd%2526shcp%253D34ff8df6%2526idc%253Dmy%2526s%253DTIKTOK_AFFILIATE_VIRAL_VIDEO%22%2C%22placeholder_product_id%22%3A%221729921275998997399%22%2C"&amp;"%22placeholder_video_id%22%3A%227637378248766131476%22%7D&amp;ec_shared_reflux_scene=shop_tab_feed&amp;share_item_id=7637378248766131476&amp;source=h5_t")</f>
        <v>https://www.tiktok.com/@nirvanamutia/video/7637378248766131476?_r=1&amp;u_code=cm102mlj93hg41&amp;region=&amp;mid=6965202790818171653&amp;preview_pb=0&amp;sharer_language=&amp;_d=0&amp;ec_shared_reflux_dynamic_params=%7B%22placeholder_material_id%22%3A%227637378248766131476%22%2C%22placeholder_origin_cover%22%3A%22https%253A%252F%252Fp16-common-sign.tiktokcdn.com%252Ftos-alisg-p-0037%252FoUIdgwhetirgWeRGV1enLDLTke8GM3AGAbWy6F~tplv-tiktokx-origin.jpeg%253Fdr%253D14572%2526refresh_token%253Da7f13725%2526x-expires%253D1811574000%2526x-signature%253DldGWgWBeD2BUHpOcZmFsfYT5%25252Bo8%25253D%2526t%253D4d5b0474%2526ps%253D13740610%2526shp%253Dd05b14bd%2526shcp%253D34ff8df6%2526idc%253Dmy%2526s%253DTIKTOK_AFFILIATE_VIRAL_VIDEO%22%2C%22placeholder_product_id%22%3A%221729921275998997399%22%2C%22placeholder_video_id%22%3A%227637378248766131476%22%7D&amp;ec_shared_reflux_scene=shop_tab_feed&amp;share_item_id=7637378248766131476&amp;source=h5_t</v>
      </c>
      <c r="O202" s="422" t="str">
        <f>IFERROR(__xludf.DUMMYFUNCTION("""COMPUTED_VALUE"""),"https://www.tiktok.com/@nirvanamutia/video/7637384286496247060?_r=1&amp;u_code=cm102mlj93hg41&amp;region=&amp;mid=7477989018875677462&amp;preview_pb=0&amp;sharer_language=&amp;_d=0&amp;ec_shared_reflux_dynamic_params=%7B%22placeholder_material_id%22%3A%227637384286496247060%22%2C%22"&amp;"placeholder_origin_cover%22%3A%22https%253A%252F%252Fp16-common-sign.tiktokcdn.com%252Ftos-alisg-p-0037%252FokbfcIoIB5NarBcNgifKACA0tiHv1pBEV38RM9~tplv-tiktokx-origin.jpeg%253Fdr%253D14572%2526refresh_token%253Dc0b83205%2526x-expires%253D1811574000%2526x-"&amp;"signature%253DDj2yMg%25252BUcu1ztdexcMtNYAv0Rm0%25253D%2526t%253D4d5b0474%2526ps%253D13740610%2526shp%253Dd05b14bd%2526shcp%253D34ff8df6%2526idc%253Dmy%2526s%253DTIKTOK_AFFILIATE_VIRAL_VIDEO%22%2C%22placeholder_product_id%22%3A%221729921275998997399%22%2C"&amp;"%22placeholder_video_id%22%3A%227637384286496247060%22%7D&amp;ec_shared_reflux_scene=shop_tab_feed&amp;share_item_id=7637384286496247060&amp;source=h5_t")</f>
        <v>https://www.tiktok.com/@nirvanamutia/video/7637384286496247060?_r=1&amp;u_code=cm102mlj93hg41&amp;region=&amp;mid=7477989018875677462&amp;preview_pb=0&amp;sharer_language=&amp;_d=0&amp;ec_shared_reflux_dynamic_params=%7B%22placeholder_material_id%22%3A%227637384286496247060%22%2C%22placeholder_origin_cover%22%3A%22https%253A%252F%252Fp16-common-sign.tiktokcdn.com%252Ftos-alisg-p-0037%252FokbfcIoIB5NarBcNgifKACA0tiHv1pBEV38RM9~tplv-tiktokx-origin.jpeg%253Fdr%253D14572%2526refresh_token%253Dc0b83205%2526x-expires%253D1811574000%2526x-signature%253DDj2yMg%25252BUcu1ztdexcMtNYAv0Rm0%25253D%2526t%253D4d5b0474%2526ps%253D13740610%2526shp%253Dd05b14bd%2526shcp%253D34ff8df6%2526idc%253Dmy%2526s%253DTIKTOK_AFFILIATE_VIRAL_VIDEO%22%2C%22placeholder_product_id%22%3A%221729921275998997399%22%2C%22placeholder_video_id%22%3A%227637384286496247060%22%7D&amp;ec_shared_reflux_scene=shop_tab_feed&amp;share_item_id=7637384286496247060&amp;source=h5_t</v>
      </c>
      <c r="P202" s="432" t="str">
        <f>IFERROR(__xludf.DUMMYFUNCTION("""COMPUTED_VALUE"""),"https://www.tiktok.com/@nirvanamutia/video/7637330061179309333?_r=1&amp;u_code=cm102mlj93hg41&amp;region=&amp;mid=7624069700628695815&amp;preview_pb=0&amp;sharer_language=&amp;_d=0&amp;ec_shared_reflux_dynamic_params=%7B%22placeholder_material_id%22%3A%227637330061179309333%22%2C%22"&amp;"placeholder_origin_cover%22%3A%22https%253A%252F%252Fp16-common-sign.tiktokcdn.com%252Ftos-alisg-p-0037%252Fok09RpLGfj0iEPrOBAIDT29fQSdgViIBB5cBQp~tplv-tiktokx-origin.jpeg%253Fdr%253D14572%2526refresh_token%253Deb10ec11%2526x-expires%253D1811574000%2526x-"&amp;"signature%253DVREjZv%25252FvNDdJ7bY9pydgrqFTADg%25253D%2526t%253D4d5b0474%2526ps%253D13740610%2526shp%253Dd05b14bd%2526shcp%253D34ff8df6%2526idc%253Dmy%2526s%253DTIKTOK_AFFILIATE_VIRAL_VIDEO%22%2C%22placeholder_product_id%22%3A%221729921275998997399%22%2C"&amp;"%22placeholder_video_id%22%3A%227637330061179309333%22%7D&amp;ec_shared_reflux_scene=shop_tab_feed&amp;share_item_id=7637330061179309333&amp;source=h5_t")</f>
        <v>https://www.tiktok.com/@nirvanamutia/video/7637330061179309333?_r=1&amp;u_code=cm102mlj93hg41&amp;region=&amp;mid=7624069700628695815&amp;preview_pb=0&amp;sharer_language=&amp;_d=0&amp;ec_shared_reflux_dynamic_params=%7B%22placeholder_material_id%22%3A%227637330061179309333%22%2C%22placeholder_origin_cover%22%3A%22https%253A%252F%252Fp16-common-sign.tiktokcdn.com%252Ftos-alisg-p-0037%252Fok09RpLGfj0iEPrOBAIDT29fQSdgViIBB5cBQp~tplv-tiktokx-origin.jpeg%253Fdr%253D14572%2526refresh_token%253Deb10ec11%2526x-expires%253D1811574000%2526x-signature%253DVREjZv%25252FvNDdJ7bY9pydgrqFTADg%25253D%2526t%253D4d5b0474%2526ps%253D13740610%2526shp%253Dd05b14bd%2526shcp%253D34ff8df6%2526idc%253Dmy%2526s%253DTIKTOK_AFFILIATE_VIRAL_VIDEO%22%2C%22placeholder_product_id%22%3A%221729921275998997399%22%2C%22placeholder_video_id%22%3A%227637330061179309333%22%7D&amp;ec_shared_reflux_scene=shop_tab_feed&amp;share_item_id=7637330061179309333&amp;source=h5_t</v>
      </c>
      <c r="Q202" s="422" t="str">
        <f>IFERROR(__xludf.DUMMYFUNCTION("""COMPUTED_VALUE"""),"https://www.tiktok.com/@nirvanamutia/video/7637330061179309333?_r=1&amp;u_code=cm102mlj93hg41&amp;region=&amp;mid=7624069700628695815&amp;preview_pb=0&amp;sharer_language=&amp;_d=0&amp;ec_shared_reflux_dynamic_params=%7B%22placeholder_material_id%22%3A%227637330061179309333%22%2C%22"&amp;"placeholder_origin_cover%22%3A%22https%253A%252F%252Fp16-common-sign.tiktokcdn.com%252Ftos-alisg-p-0037%252Fok09RpLGfj0iEPrOBAIDT29fQSdgViIBB5cBQp~tplv-tiktokx-origin.jpeg%253Fdr%253D14572%2526refresh_token%253Deb10ec11%2526x-expires%253D1811574000%2526x-"&amp;"signature%253DVREjZv%25252FvNDdJ7bY9pydgrqFTADg%25253D%2526t%253D4d5b0474%2526ps%253D13740610%2526shp%253Dd05b14bd%2526shcp%253D34ff8df6%2526idc%253Dmy%2526s%253DTIKTOK_AFFILIATE_VIRAL_VIDEO%22%2C%22placeholder_product_id%22%3A%221729921275998997399%22%2C"&amp;"%22placeholder_video_id%22%3A%227637330061179309333%22%7D&amp;ec_shared_reflux_scene=shop_tab_feed&amp;share_item_id=7637330061179309333&amp;source=h5_t")</f>
        <v>https://www.tiktok.com/@nirvanamutia/video/7637330061179309333?_r=1&amp;u_code=cm102mlj93hg41&amp;region=&amp;mid=7624069700628695815&amp;preview_pb=0&amp;sharer_language=&amp;_d=0&amp;ec_shared_reflux_dynamic_params=%7B%22placeholder_material_id%22%3A%227637330061179309333%22%2C%22placeholder_origin_cover%22%3A%22https%253A%252F%252Fp16-common-sign.tiktokcdn.com%252Ftos-alisg-p-0037%252Fok09RpLGfj0iEPrOBAIDT29fQSdgViIBB5cBQp~tplv-tiktokx-origin.jpeg%253Fdr%253D14572%2526refresh_token%253Deb10ec11%2526x-expires%253D1811574000%2526x-signature%253DVREjZv%25252FvNDdJ7bY9pydgrqFTADg%25253D%2526t%253D4d5b0474%2526ps%253D13740610%2526shp%253Dd05b14bd%2526shcp%253D34ff8df6%2526idc%253Dmy%2526s%253DTIKTOK_AFFILIATE_VIRAL_VIDEO%22%2C%22placeholder_product_id%22%3A%221729921275998997399%22%2C%22placeholder_video_id%22%3A%227637330061179309333%22%7D&amp;ec_shared_reflux_scene=shop_tab_feed&amp;share_item_id=7637330061179309333&amp;source=h5_t</v>
      </c>
      <c r="R202" s="425">
        <f>IFERROR(__xludf.DUMMYFUNCTION("""COMPUTED_VALUE"""),90560.0)</f>
        <v>90560</v>
      </c>
      <c r="S202" s="425"/>
      <c r="T202" s="425"/>
      <c r="U202" s="425"/>
    </row>
    <row r="203" ht="15.75" customHeight="1">
      <c r="A203" s="433" t="str">
        <f>IFERROR(__xludf.DUMMYFUNCTION("""COMPUTED_VALUE"""),"MICRO")</f>
        <v>MICRO</v>
      </c>
      <c r="B203" s="434" t="str">
        <f>IFERROR(__xludf.DUMMYFUNCTION("""COMPUTED_VALUE"""),"tiarasalsabella23")</f>
        <v>tiarasalsabella23</v>
      </c>
      <c r="C203" s="435" t="str">
        <f>IFERROR(__xludf.DUMMYFUNCTION("""COMPUTED_VALUE"""),"https://www.tiktok.com/@tiarasalsabella23")</f>
        <v>https://www.tiktok.com/@tiarasalsabella23</v>
      </c>
      <c r="D203" s="434">
        <f>IFERROR(__xludf.DUMMYFUNCTION("""COMPUTED_VALUE"""),8.1295549421E10)</f>
        <v>81295549421</v>
      </c>
      <c r="E203" s="436">
        <f>IFERROR(__xludf.DUMMYFUNCTION("""COMPUTED_VALUE"""),0.0)</f>
        <v>0</v>
      </c>
      <c r="F203" s="434">
        <f>IFERROR(__xludf.DUMMYFUNCTION("""COMPUTED_VALUE"""),2.0)</f>
        <v>2</v>
      </c>
      <c r="G203" s="434"/>
      <c r="H203" s="437"/>
      <c r="I203" s="438"/>
      <c r="J203" s="437"/>
      <c r="K203" s="434"/>
      <c r="L203" s="437"/>
      <c r="M203" s="434"/>
      <c r="N203" s="437"/>
      <c r="O203" s="434"/>
      <c r="P203" s="437"/>
      <c r="Q203" s="434"/>
      <c r="R203" s="436"/>
      <c r="S203" s="436"/>
      <c r="T203" s="436"/>
      <c r="U203" s="436"/>
    </row>
    <row r="204" ht="15.75" customHeight="1">
      <c r="A204" s="433"/>
      <c r="B204" s="434"/>
      <c r="C204" s="434"/>
      <c r="D204" s="434"/>
      <c r="E204" s="434"/>
      <c r="F204" s="434"/>
      <c r="G204" s="434"/>
      <c r="H204" s="437"/>
      <c r="I204" s="438"/>
      <c r="J204" s="437"/>
      <c r="K204" s="434"/>
      <c r="L204" s="437"/>
      <c r="M204" s="434"/>
      <c r="N204" s="437"/>
      <c r="O204" s="434"/>
      <c r="P204" s="437"/>
      <c r="Q204" s="434"/>
      <c r="R204" s="434"/>
      <c r="S204" s="434"/>
      <c r="T204" s="434"/>
      <c r="U204" s="434"/>
    </row>
    <row r="205" ht="15.75" customHeight="1">
      <c r="A205" s="433"/>
      <c r="B205" s="434"/>
      <c r="C205" s="434"/>
      <c r="D205" s="434"/>
      <c r="E205" s="434"/>
      <c r="F205" s="434"/>
      <c r="G205" s="434"/>
      <c r="H205" s="437"/>
      <c r="I205" s="438"/>
      <c r="J205" s="437"/>
      <c r="K205" s="434"/>
      <c r="L205" s="437"/>
      <c r="M205" s="434"/>
      <c r="N205" s="437"/>
      <c r="O205" s="434"/>
      <c r="P205" s="437"/>
      <c r="Q205" s="434"/>
      <c r="R205" s="434"/>
      <c r="S205" s="434"/>
      <c r="T205" s="434"/>
      <c r="U205" s="434"/>
    </row>
    <row r="206" ht="15.75" customHeight="1">
      <c r="A206" s="433"/>
      <c r="B206" s="434"/>
      <c r="C206" s="434"/>
      <c r="D206" s="434"/>
      <c r="E206" s="434"/>
      <c r="F206" s="434"/>
      <c r="G206" s="434"/>
      <c r="H206" s="437"/>
      <c r="I206" s="438"/>
      <c r="J206" s="437"/>
      <c r="K206" s="434"/>
      <c r="L206" s="437"/>
      <c r="M206" s="434"/>
      <c r="N206" s="437"/>
      <c r="O206" s="434"/>
      <c r="P206" s="437"/>
      <c r="Q206" s="434"/>
      <c r="R206" s="434"/>
      <c r="S206" s="434"/>
      <c r="T206" s="434"/>
      <c r="U206" s="434"/>
    </row>
    <row r="207" ht="15.75" customHeight="1">
      <c r="A207" s="433"/>
      <c r="B207" s="434"/>
      <c r="C207" s="434"/>
      <c r="D207" s="434"/>
      <c r="E207" s="434"/>
      <c r="F207" s="434"/>
      <c r="G207" s="434"/>
      <c r="H207" s="437"/>
      <c r="I207" s="438"/>
      <c r="J207" s="437"/>
      <c r="K207" s="434"/>
      <c r="L207" s="437"/>
      <c r="M207" s="434"/>
      <c r="N207" s="437"/>
      <c r="O207" s="434"/>
      <c r="P207" s="437"/>
      <c r="Q207" s="434"/>
      <c r="R207" s="434"/>
      <c r="S207" s="434"/>
      <c r="T207" s="434"/>
      <c r="U207" s="434"/>
    </row>
    <row r="208" ht="15.75" customHeight="1">
      <c r="A208" s="433"/>
      <c r="B208" s="434"/>
      <c r="C208" s="434"/>
      <c r="D208" s="434"/>
      <c r="E208" s="434"/>
      <c r="F208" s="434"/>
      <c r="G208" s="434"/>
      <c r="H208" s="437"/>
      <c r="I208" s="438"/>
      <c r="J208" s="437"/>
      <c r="K208" s="434"/>
      <c r="L208" s="437"/>
      <c r="M208" s="434"/>
      <c r="N208" s="437"/>
      <c r="O208" s="434"/>
      <c r="P208" s="437"/>
      <c r="Q208" s="434"/>
      <c r="R208" s="434"/>
      <c r="S208" s="434"/>
      <c r="T208" s="434"/>
      <c r="U208" s="434"/>
    </row>
    <row r="209" ht="15.75" customHeight="1">
      <c r="A209" s="433"/>
      <c r="B209" s="434"/>
      <c r="C209" s="434"/>
      <c r="D209" s="434"/>
      <c r="E209" s="434"/>
      <c r="F209" s="434"/>
      <c r="G209" s="434"/>
      <c r="H209" s="437"/>
      <c r="I209" s="438"/>
      <c r="J209" s="437"/>
      <c r="K209" s="434"/>
      <c r="L209" s="437"/>
      <c r="M209" s="434"/>
      <c r="N209" s="437"/>
      <c r="O209" s="434"/>
      <c r="P209" s="437"/>
      <c r="Q209" s="434"/>
      <c r="R209" s="434"/>
      <c r="S209" s="434"/>
      <c r="T209" s="434"/>
      <c r="U209" s="434"/>
    </row>
    <row r="210" ht="15.75" customHeight="1">
      <c r="A210" s="434"/>
      <c r="B210" s="434"/>
      <c r="C210" s="434"/>
      <c r="D210" s="434"/>
      <c r="E210" s="434"/>
      <c r="F210" s="434"/>
      <c r="G210" s="434"/>
      <c r="H210" s="434"/>
      <c r="I210" s="434"/>
      <c r="J210" s="434"/>
      <c r="K210" s="434"/>
      <c r="L210" s="434"/>
      <c r="M210" s="434"/>
      <c r="N210" s="434"/>
      <c r="O210" s="434"/>
      <c r="P210" s="434"/>
      <c r="Q210" s="434"/>
      <c r="R210" s="434"/>
      <c r="S210" s="434"/>
      <c r="T210" s="434"/>
      <c r="U210" s="434"/>
    </row>
    <row r="211" ht="15.75" customHeight="1">
      <c r="A211" s="434"/>
      <c r="B211" s="434"/>
      <c r="C211" s="434"/>
      <c r="D211" s="434"/>
      <c r="E211" s="434"/>
      <c r="F211" s="434"/>
      <c r="G211" s="434"/>
      <c r="H211" s="434"/>
      <c r="I211" s="434"/>
      <c r="J211" s="434"/>
      <c r="K211" s="434"/>
      <c r="L211" s="434"/>
      <c r="M211" s="434"/>
      <c r="N211" s="434"/>
      <c r="O211" s="434"/>
      <c r="P211" s="434"/>
      <c r="Q211" s="434"/>
      <c r="R211" s="434"/>
      <c r="S211" s="434"/>
      <c r="T211" s="434"/>
      <c r="U211" s="434"/>
    </row>
    <row r="212" ht="15.75" customHeight="1">
      <c r="A212" s="434"/>
      <c r="B212" s="434"/>
      <c r="C212" s="434"/>
      <c r="D212" s="434"/>
      <c r="E212" s="434"/>
      <c r="F212" s="434"/>
      <c r="G212" s="434"/>
      <c r="H212" s="434"/>
      <c r="I212" s="434"/>
      <c r="J212" s="434"/>
      <c r="K212" s="434"/>
      <c r="L212" s="434"/>
      <c r="M212" s="434"/>
      <c r="N212" s="434"/>
      <c r="O212" s="434"/>
      <c r="P212" s="434"/>
      <c r="Q212" s="434"/>
      <c r="R212" s="434"/>
      <c r="S212" s="434"/>
      <c r="T212" s="434"/>
      <c r="U212" s="434"/>
    </row>
    <row r="213" ht="15.75" customHeight="1">
      <c r="A213" s="434"/>
      <c r="B213" s="434"/>
      <c r="C213" s="434"/>
      <c r="D213" s="434"/>
      <c r="E213" s="434"/>
      <c r="F213" s="434"/>
      <c r="G213" s="434"/>
      <c r="H213" s="434"/>
      <c r="I213" s="434"/>
      <c r="J213" s="434"/>
      <c r="K213" s="434"/>
      <c r="L213" s="434"/>
      <c r="M213" s="434"/>
      <c r="N213" s="434"/>
      <c r="O213" s="434"/>
      <c r="P213" s="434"/>
      <c r="Q213" s="434"/>
      <c r="R213" s="434"/>
      <c r="S213" s="434"/>
      <c r="T213" s="434"/>
      <c r="U213" s="434"/>
    </row>
    <row r="214" ht="15.75" customHeight="1">
      <c r="A214" s="434"/>
      <c r="B214" s="434"/>
      <c r="C214" s="434"/>
      <c r="D214" s="434"/>
      <c r="E214" s="434"/>
      <c r="F214" s="434"/>
      <c r="G214" s="434"/>
      <c r="H214" s="434"/>
      <c r="I214" s="434"/>
      <c r="J214" s="434"/>
      <c r="K214" s="434"/>
      <c r="L214" s="434"/>
      <c r="M214" s="434"/>
      <c r="N214" s="434"/>
      <c r="O214" s="434"/>
      <c r="P214" s="434"/>
      <c r="Q214" s="434"/>
      <c r="R214" s="434"/>
      <c r="S214" s="434"/>
      <c r="T214" s="434"/>
      <c r="U214" s="434"/>
    </row>
    <row r="215" ht="15.75" customHeight="1">
      <c r="A215" s="434"/>
      <c r="B215" s="434"/>
      <c r="C215" s="434"/>
      <c r="D215" s="434"/>
      <c r="E215" s="434"/>
      <c r="F215" s="434"/>
      <c r="G215" s="434"/>
      <c r="H215" s="434"/>
      <c r="I215" s="434"/>
      <c r="J215" s="434"/>
      <c r="K215" s="434"/>
      <c r="L215" s="434"/>
      <c r="M215" s="434"/>
      <c r="N215" s="434"/>
      <c r="O215" s="434"/>
      <c r="P215" s="434"/>
      <c r="Q215" s="434"/>
      <c r="R215" s="434"/>
      <c r="S215" s="434"/>
      <c r="T215" s="434"/>
      <c r="U215" s="434"/>
    </row>
    <row r="216" ht="15.75" customHeight="1">
      <c r="A216" s="434"/>
      <c r="B216" s="434"/>
      <c r="C216" s="434"/>
      <c r="D216" s="434"/>
      <c r="E216" s="434"/>
      <c r="F216" s="434"/>
      <c r="G216" s="434"/>
      <c r="H216" s="434"/>
      <c r="I216" s="434"/>
      <c r="J216" s="434"/>
      <c r="K216" s="434"/>
      <c r="L216" s="434"/>
      <c r="M216" s="434"/>
      <c r="N216" s="434"/>
      <c r="O216" s="434"/>
      <c r="P216" s="434"/>
      <c r="Q216" s="434"/>
      <c r="R216" s="434"/>
      <c r="S216" s="434"/>
      <c r="T216" s="434"/>
      <c r="U216" s="434"/>
    </row>
    <row r="217" ht="15.75" customHeight="1">
      <c r="A217" s="434"/>
      <c r="B217" s="434"/>
      <c r="C217" s="434"/>
      <c r="D217" s="434"/>
      <c r="E217" s="434"/>
      <c r="F217" s="434"/>
      <c r="G217" s="434"/>
      <c r="H217" s="434"/>
      <c r="I217" s="434"/>
      <c r="J217" s="434"/>
      <c r="K217" s="434"/>
      <c r="L217" s="434"/>
      <c r="M217" s="434"/>
      <c r="N217" s="434"/>
      <c r="O217" s="434"/>
      <c r="P217" s="434"/>
      <c r="Q217" s="434"/>
      <c r="R217" s="434"/>
      <c r="S217" s="434"/>
      <c r="T217" s="434"/>
      <c r="U217" s="434"/>
    </row>
    <row r="218" ht="15.75" customHeight="1">
      <c r="A218" s="434"/>
      <c r="B218" s="434"/>
      <c r="C218" s="434"/>
      <c r="D218" s="434"/>
      <c r="E218" s="434"/>
      <c r="F218" s="434"/>
      <c r="G218" s="434"/>
      <c r="H218" s="434"/>
      <c r="I218" s="434"/>
      <c r="J218" s="434"/>
      <c r="K218" s="434"/>
      <c r="L218" s="434"/>
      <c r="M218" s="434"/>
      <c r="N218" s="434"/>
      <c r="O218" s="434"/>
      <c r="P218" s="434"/>
      <c r="Q218" s="434"/>
      <c r="R218" s="434"/>
      <c r="S218" s="434"/>
      <c r="T218" s="434"/>
      <c r="U218" s="434"/>
    </row>
    <row r="219" ht="15.75" customHeight="1">
      <c r="A219" s="434"/>
      <c r="B219" s="434"/>
      <c r="C219" s="434"/>
      <c r="D219" s="434"/>
      <c r="E219" s="434"/>
      <c r="F219" s="434"/>
      <c r="G219" s="434"/>
      <c r="H219" s="434"/>
      <c r="I219" s="434"/>
      <c r="J219" s="434"/>
      <c r="K219" s="434"/>
      <c r="L219" s="434"/>
      <c r="M219" s="434"/>
      <c r="N219" s="434"/>
      <c r="O219" s="434"/>
      <c r="P219" s="434"/>
      <c r="Q219" s="434"/>
      <c r="R219" s="434"/>
      <c r="S219" s="434"/>
      <c r="T219" s="434"/>
      <c r="U219" s="434"/>
    </row>
    <row r="220" ht="15.75" customHeight="1">
      <c r="A220" s="434"/>
      <c r="B220" s="434"/>
      <c r="C220" s="434"/>
      <c r="D220" s="434"/>
      <c r="E220" s="434"/>
      <c r="F220" s="434"/>
      <c r="G220" s="434"/>
      <c r="H220" s="434"/>
      <c r="I220" s="434"/>
      <c r="J220" s="434"/>
      <c r="K220" s="434"/>
      <c r="L220" s="434"/>
      <c r="M220" s="434"/>
      <c r="N220" s="434"/>
      <c r="O220" s="434"/>
      <c r="P220" s="434"/>
      <c r="Q220" s="434"/>
      <c r="R220" s="434"/>
      <c r="S220" s="434"/>
      <c r="T220" s="434"/>
      <c r="U220" s="434"/>
    </row>
    <row r="221" ht="15.75" customHeight="1">
      <c r="A221" s="434"/>
      <c r="B221" s="434"/>
      <c r="C221" s="434"/>
      <c r="D221" s="434"/>
      <c r="E221" s="434"/>
      <c r="F221" s="434"/>
      <c r="G221" s="434"/>
      <c r="H221" s="434"/>
      <c r="I221" s="434"/>
      <c r="J221" s="434"/>
      <c r="K221" s="434"/>
      <c r="L221" s="434"/>
      <c r="M221" s="434"/>
      <c r="N221" s="434"/>
      <c r="O221" s="434"/>
      <c r="P221" s="434"/>
      <c r="Q221" s="434"/>
      <c r="R221" s="434"/>
      <c r="S221" s="434"/>
      <c r="T221" s="434"/>
      <c r="U221" s="434"/>
    </row>
    <row r="222" ht="15.75" customHeight="1">
      <c r="A222" s="434"/>
      <c r="B222" s="434"/>
      <c r="C222" s="434"/>
      <c r="D222" s="434"/>
      <c r="E222" s="434"/>
      <c r="F222" s="434"/>
      <c r="G222" s="434"/>
      <c r="H222" s="434"/>
      <c r="I222" s="434"/>
      <c r="J222" s="434"/>
      <c r="K222" s="434"/>
      <c r="L222" s="434"/>
      <c r="M222" s="434"/>
      <c r="N222" s="434"/>
      <c r="O222" s="434"/>
      <c r="P222" s="434"/>
      <c r="Q222" s="434"/>
      <c r="R222" s="434"/>
      <c r="S222" s="434"/>
      <c r="T222" s="434"/>
      <c r="U222" s="434"/>
    </row>
    <row r="223" ht="15.75" customHeight="1">
      <c r="A223" s="434"/>
      <c r="B223" s="434"/>
      <c r="C223" s="434"/>
      <c r="D223" s="434"/>
      <c r="E223" s="434"/>
      <c r="F223" s="434"/>
      <c r="G223" s="434"/>
      <c r="H223" s="434"/>
      <c r="I223" s="434"/>
      <c r="J223" s="434"/>
      <c r="K223" s="434"/>
      <c r="L223" s="434"/>
      <c r="M223" s="434"/>
      <c r="N223" s="434"/>
      <c r="O223" s="434"/>
      <c r="P223" s="434"/>
      <c r="Q223" s="434"/>
      <c r="R223" s="434"/>
      <c r="S223" s="434"/>
      <c r="T223" s="434"/>
      <c r="U223" s="434"/>
    </row>
    <row r="224" ht="15.75" customHeight="1">
      <c r="A224" s="434"/>
      <c r="B224" s="434"/>
      <c r="C224" s="434"/>
      <c r="D224" s="434"/>
      <c r="E224" s="434"/>
      <c r="F224" s="434"/>
      <c r="G224" s="434"/>
      <c r="H224" s="434"/>
      <c r="I224" s="434"/>
      <c r="J224" s="434"/>
      <c r="K224" s="434"/>
      <c r="L224" s="434"/>
      <c r="M224" s="434"/>
      <c r="N224" s="434"/>
      <c r="O224" s="434"/>
      <c r="P224" s="434"/>
      <c r="Q224" s="434"/>
      <c r="R224" s="434"/>
      <c r="S224" s="434"/>
      <c r="T224" s="434"/>
      <c r="U224" s="434"/>
    </row>
    <row r="225" ht="15.75" customHeight="1">
      <c r="A225" s="434"/>
      <c r="B225" s="434"/>
      <c r="C225" s="434"/>
      <c r="D225" s="434"/>
      <c r="E225" s="434"/>
      <c r="F225" s="434"/>
      <c r="G225" s="434"/>
      <c r="H225" s="434"/>
      <c r="I225" s="434"/>
      <c r="J225" s="434"/>
      <c r="K225" s="434"/>
      <c r="L225" s="434"/>
      <c r="M225" s="434"/>
      <c r="N225" s="434"/>
      <c r="O225" s="434"/>
      <c r="P225" s="434"/>
      <c r="Q225" s="434"/>
      <c r="R225" s="434"/>
      <c r="S225" s="434"/>
      <c r="T225" s="434"/>
      <c r="U225" s="434"/>
    </row>
    <row r="226" ht="15.75" customHeight="1">
      <c r="A226" s="434"/>
      <c r="B226" s="434"/>
      <c r="C226" s="434"/>
      <c r="D226" s="434"/>
      <c r="E226" s="434"/>
      <c r="F226" s="434"/>
      <c r="G226" s="434"/>
      <c r="H226" s="434"/>
      <c r="I226" s="434"/>
      <c r="J226" s="434"/>
      <c r="K226" s="434"/>
      <c r="L226" s="434"/>
      <c r="M226" s="434"/>
      <c r="N226" s="434"/>
      <c r="O226" s="434"/>
      <c r="P226" s="434"/>
      <c r="Q226" s="434"/>
      <c r="R226" s="434"/>
      <c r="S226" s="434"/>
      <c r="T226" s="434"/>
      <c r="U226" s="434"/>
    </row>
    <row r="227" ht="15.75" customHeight="1">
      <c r="A227" s="434"/>
      <c r="B227" s="434"/>
      <c r="C227" s="434"/>
      <c r="D227" s="434"/>
      <c r="E227" s="434"/>
      <c r="F227" s="434"/>
      <c r="G227" s="434"/>
      <c r="H227" s="434"/>
      <c r="I227" s="434"/>
      <c r="J227" s="434"/>
      <c r="K227" s="434"/>
      <c r="L227" s="434"/>
      <c r="M227" s="434"/>
      <c r="N227" s="434"/>
      <c r="O227" s="434"/>
      <c r="P227" s="434"/>
      <c r="Q227" s="434"/>
      <c r="R227" s="434"/>
      <c r="S227" s="434"/>
      <c r="T227" s="434"/>
      <c r="U227" s="434"/>
    </row>
    <row r="228" ht="15.75" customHeight="1">
      <c r="A228" s="434"/>
      <c r="B228" s="434"/>
      <c r="C228" s="434"/>
      <c r="D228" s="434"/>
      <c r="E228" s="434"/>
      <c r="F228" s="434"/>
      <c r="G228" s="434"/>
      <c r="H228" s="434"/>
      <c r="I228" s="434"/>
      <c r="J228" s="434"/>
      <c r="K228" s="434"/>
      <c r="L228" s="434"/>
      <c r="M228" s="434"/>
      <c r="N228" s="434"/>
      <c r="O228" s="434"/>
      <c r="P228" s="434"/>
      <c r="Q228" s="434"/>
      <c r="R228" s="434"/>
      <c r="S228" s="434"/>
      <c r="T228" s="434"/>
      <c r="U228" s="434"/>
    </row>
    <row r="229" ht="15.75" customHeight="1">
      <c r="A229" s="395"/>
      <c r="B229" s="395"/>
      <c r="C229" s="395"/>
      <c r="D229" s="395"/>
      <c r="E229" s="395"/>
      <c r="F229" s="395"/>
      <c r="G229" s="395"/>
      <c r="H229" s="395"/>
      <c r="I229" s="395"/>
      <c r="J229" s="395"/>
      <c r="K229" s="395"/>
      <c r="L229" s="395"/>
      <c r="M229" s="395"/>
      <c r="N229" s="395"/>
      <c r="O229" s="395"/>
      <c r="P229" s="395"/>
      <c r="Q229" s="395"/>
      <c r="R229" s="395"/>
      <c r="S229" s="395"/>
      <c r="T229" s="395"/>
      <c r="U229" s="395"/>
    </row>
    <row r="230" ht="15.75" customHeight="1">
      <c r="A230" s="395"/>
      <c r="B230" s="395"/>
      <c r="C230" s="395"/>
      <c r="D230" s="395"/>
      <c r="E230" s="395"/>
      <c r="F230" s="395"/>
      <c r="G230" s="395"/>
      <c r="H230" s="395"/>
      <c r="I230" s="395"/>
      <c r="J230" s="395"/>
      <c r="K230" s="395"/>
      <c r="L230" s="395"/>
      <c r="M230" s="395"/>
      <c r="N230" s="395"/>
      <c r="O230" s="395"/>
      <c r="P230" s="395"/>
      <c r="Q230" s="395"/>
      <c r="R230" s="395"/>
      <c r="S230" s="395"/>
      <c r="T230" s="395"/>
      <c r="U230" s="395"/>
    </row>
    <row r="231" ht="15.75" customHeight="1">
      <c r="A231" s="395"/>
      <c r="B231" s="395"/>
      <c r="C231" s="395"/>
      <c r="D231" s="395"/>
      <c r="E231" s="395"/>
      <c r="F231" s="395"/>
      <c r="G231" s="395"/>
      <c r="H231" s="395"/>
      <c r="I231" s="395"/>
      <c r="J231" s="395"/>
      <c r="K231" s="395"/>
      <c r="L231" s="395"/>
      <c r="M231" s="395"/>
      <c r="N231" s="395"/>
      <c r="O231" s="395"/>
      <c r="P231" s="395"/>
      <c r="Q231" s="395"/>
      <c r="R231" s="395"/>
      <c r="S231" s="395"/>
      <c r="T231" s="395"/>
      <c r="U231" s="395"/>
    </row>
    <row r="232" ht="15.75" customHeight="1">
      <c r="A232" s="395"/>
      <c r="B232" s="395"/>
      <c r="C232" s="395"/>
      <c r="D232" s="395"/>
      <c r="E232" s="395"/>
      <c r="F232" s="395"/>
      <c r="G232" s="395"/>
      <c r="H232" s="395"/>
      <c r="I232" s="395"/>
      <c r="J232" s="395"/>
      <c r="K232" s="395"/>
      <c r="L232" s="395"/>
      <c r="M232" s="395"/>
      <c r="N232" s="395"/>
      <c r="O232" s="395"/>
      <c r="P232" s="395"/>
      <c r="Q232" s="395"/>
      <c r="R232" s="395"/>
      <c r="S232" s="395"/>
      <c r="T232" s="395"/>
      <c r="U232" s="395"/>
    </row>
    <row r="233" ht="15.75" customHeight="1">
      <c r="A233" s="395"/>
      <c r="B233" s="395"/>
      <c r="C233" s="395"/>
      <c r="D233" s="395"/>
      <c r="E233" s="395"/>
      <c r="F233" s="395"/>
      <c r="G233" s="395"/>
      <c r="H233" s="395"/>
      <c r="I233" s="395"/>
      <c r="J233" s="395"/>
      <c r="K233" s="395"/>
      <c r="L233" s="395"/>
      <c r="M233" s="395"/>
      <c r="N233" s="395"/>
      <c r="O233" s="395"/>
      <c r="P233" s="395"/>
      <c r="Q233" s="395"/>
      <c r="R233" s="395"/>
      <c r="S233" s="395"/>
      <c r="T233" s="395"/>
      <c r="U233" s="395"/>
    </row>
    <row r="234" ht="15.75" customHeight="1">
      <c r="A234" s="395"/>
      <c r="B234" s="395"/>
      <c r="C234" s="395"/>
      <c r="D234" s="395"/>
      <c r="E234" s="395"/>
      <c r="F234" s="395"/>
      <c r="G234" s="395"/>
      <c r="H234" s="395"/>
      <c r="I234" s="395"/>
      <c r="J234" s="395"/>
      <c r="K234" s="395"/>
      <c r="L234" s="395"/>
      <c r="M234" s="395"/>
      <c r="N234" s="395"/>
      <c r="O234" s="395"/>
      <c r="P234" s="395"/>
      <c r="Q234" s="395"/>
      <c r="R234" s="395"/>
      <c r="S234" s="395"/>
      <c r="T234" s="395"/>
      <c r="U234" s="395"/>
    </row>
    <row r="235" ht="15.75" customHeight="1">
      <c r="A235" s="395"/>
      <c r="B235" s="395"/>
      <c r="C235" s="395"/>
      <c r="D235" s="395"/>
      <c r="E235" s="395"/>
      <c r="F235" s="395"/>
      <c r="G235" s="395"/>
      <c r="H235" s="395"/>
      <c r="I235" s="395"/>
      <c r="J235" s="395"/>
      <c r="K235" s="395"/>
      <c r="L235" s="395"/>
      <c r="M235" s="395"/>
      <c r="N235" s="395"/>
      <c r="O235" s="395"/>
      <c r="P235" s="395"/>
      <c r="Q235" s="395"/>
      <c r="R235" s="395"/>
      <c r="S235" s="395"/>
      <c r="T235" s="395"/>
      <c r="U235" s="395"/>
    </row>
    <row r="236" ht="15.75" customHeight="1">
      <c r="A236" s="395"/>
      <c r="B236" s="395"/>
      <c r="C236" s="395"/>
      <c r="D236" s="395"/>
      <c r="E236" s="395"/>
      <c r="F236" s="395"/>
      <c r="G236" s="395"/>
      <c r="H236" s="395"/>
      <c r="I236" s="395"/>
      <c r="J236" s="395"/>
      <c r="K236" s="395"/>
      <c r="L236" s="395"/>
      <c r="M236" s="395"/>
      <c r="N236" s="395"/>
      <c r="O236" s="395"/>
      <c r="P236" s="395"/>
      <c r="Q236" s="395"/>
      <c r="R236" s="395"/>
      <c r="S236" s="395"/>
      <c r="T236" s="395"/>
      <c r="U236" s="395"/>
    </row>
    <row r="237" ht="15.75" customHeight="1">
      <c r="A237" s="395"/>
      <c r="B237" s="395"/>
      <c r="C237" s="395"/>
      <c r="D237" s="395"/>
      <c r="E237" s="395"/>
      <c r="F237" s="395"/>
      <c r="G237" s="395"/>
      <c r="H237" s="395"/>
      <c r="I237" s="395"/>
      <c r="J237" s="395"/>
      <c r="K237" s="395"/>
      <c r="L237" s="395"/>
      <c r="M237" s="395"/>
      <c r="N237" s="395"/>
      <c r="O237" s="395"/>
      <c r="P237" s="395"/>
      <c r="Q237" s="395"/>
      <c r="R237" s="395"/>
      <c r="S237" s="395"/>
      <c r="T237" s="395"/>
      <c r="U237" s="395"/>
    </row>
    <row r="238" ht="15.75" customHeight="1">
      <c r="A238" s="395"/>
      <c r="B238" s="395"/>
      <c r="C238" s="395"/>
      <c r="D238" s="395"/>
      <c r="E238" s="395"/>
      <c r="F238" s="395"/>
      <c r="G238" s="395"/>
      <c r="H238" s="395"/>
      <c r="I238" s="395"/>
      <c r="J238" s="395"/>
      <c r="K238" s="395"/>
      <c r="L238" s="395"/>
      <c r="M238" s="395"/>
      <c r="N238" s="395"/>
      <c r="O238" s="395"/>
      <c r="P238" s="395"/>
      <c r="Q238" s="395"/>
      <c r="R238" s="395"/>
      <c r="S238" s="395"/>
      <c r="T238" s="395"/>
      <c r="U238" s="395"/>
    </row>
    <row r="239" ht="15.75" customHeight="1">
      <c r="A239" s="395"/>
      <c r="B239" s="395"/>
      <c r="C239" s="395"/>
      <c r="D239" s="395"/>
      <c r="E239" s="395"/>
      <c r="F239" s="395"/>
      <c r="G239" s="395"/>
      <c r="H239" s="395"/>
      <c r="I239" s="395"/>
      <c r="J239" s="395"/>
      <c r="K239" s="395"/>
      <c r="L239" s="395"/>
      <c r="M239" s="395"/>
      <c r="N239" s="395"/>
      <c r="O239" s="395"/>
      <c r="P239" s="395"/>
      <c r="Q239" s="395"/>
      <c r="R239" s="395"/>
      <c r="S239" s="395"/>
      <c r="T239" s="395"/>
      <c r="U239" s="395"/>
    </row>
    <row r="240" ht="15.75" customHeight="1">
      <c r="A240" s="395"/>
      <c r="B240" s="395"/>
      <c r="C240" s="395"/>
      <c r="D240" s="395"/>
      <c r="E240" s="395"/>
      <c r="F240" s="395"/>
      <c r="G240" s="395"/>
      <c r="H240" s="395"/>
      <c r="I240" s="395"/>
      <c r="J240" s="395"/>
      <c r="K240" s="395"/>
      <c r="L240" s="395"/>
      <c r="M240" s="395"/>
      <c r="N240" s="395"/>
      <c r="O240" s="395"/>
      <c r="P240" s="395"/>
      <c r="Q240" s="395"/>
      <c r="R240" s="395"/>
      <c r="S240" s="395"/>
      <c r="T240" s="395"/>
      <c r="U240" s="395"/>
    </row>
    <row r="241" ht="15.75" customHeight="1">
      <c r="A241" s="395"/>
      <c r="B241" s="395"/>
      <c r="C241" s="395"/>
      <c r="D241" s="395"/>
      <c r="E241" s="395"/>
      <c r="F241" s="395"/>
      <c r="G241" s="395"/>
      <c r="H241" s="395"/>
      <c r="I241" s="395"/>
      <c r="J241" s="395"/>
      <c r="K241" s="395"/>
      <c r="L241" s="395"/>
      <c r="M241" s="395"/>
      <c r="N241" s="395"/>
      <c r="O241" s="395"/>
      <c r="P241" s="395"/>
      <c r="Q241" s="395"/>
      <c r="R241" s="395"/>
      <c r="S241" s="395"/>
      <c r="T241" s="395"/>
      <c r="U241" s="395"/>
    </row>
    <row r="242" ht="15.75" customHeight="1">
      <c r="A242" s="395"/>
      <c r="B242" s="395"/>
      <c r="C242" s="395"/>
      <c r="D242" s="395"/>
      <c r="E242" s="395"/>
      <c r="F242" s="395"/>
      <c r="G242" s="395"/>
      <c r="H242" s="395"/>
      <c r="I242" s="395"/>
      <c r="J242" s="395"/>
      <c r="K242" s="395"/>
      <c r="L242" s="395"/>
      <c r="M242" s="395"/>
      <c r="N242" s="395"/>
      <c r="O242" s="395"/>
      <c r="P242" s="395"/>
      <c r="Q242" s="395"/>
      <c r="R242" s="395"/>
      <c r="S242" s="395"/>
      <c r="T242" s="395"/>
      <c r="U242" s="395"/>
    </row>
    <row r="243" ht="15.75" customHeight="1">
      <c r="A243" s="395"/>
      <c r="B243" s="395"/>
      <c r="C243" s="395"/>
      <c r="D243" s="395"/>
      <c r="E243" s="395"/>
      <c r="F243" s="395"/>
      <c r="G243" s="395"/>
      <c r="H243" s="395"/>
      <c r="I243" s="395"/>
      <c r="J243" s="395"/>
      <c r="K243" s="395"/>
      <c r="L243" s="395"/>
      <c r="M243" s="395"/>
      <c r="N243" s="395"/>
      <c r="O243" s="395"/>
      <c r="P243" s="395"/>
      <c r="Q243" s="395"/>
      <c r="R243" s="395"/>
      <c r="S243" s="395"/>
      <c r="T243" s="395"/>
      <c r="U243" s="395"/>
    </row>
    <row r="244" ht="15.75" customHeight="1">
      <c r="A244" s="395"/>
      <c r="B244" s="395"/>
      <c r="C244" s="395"/>
      <c r="D244" s="395"/>
      <c r="E244" s="395"/>
      <c r="F244" s="395"/>
      <c r="G244" s="395"/>
      <c r="H244" s="395"/>
      <c r="I244" s="395"/>
      <c r="J244" s="395"/>
      <c r="K244" s="395"/>
      <c r="L244" s="395"/>
      <c r="M244" s="395"/>
      <c r="N244" s="395"/>
      <c r="O244" s="395"/>
      <c r="P244" s="395"/>
      <c r="Q244" s="395"/>
      <c r="R244" s="395"/>
      <c r="S244" s="395"/>
      <c r="T244" s="395"/>
      <c r="U244" s="395"/>
    </row>
    <row r="245" ht="15.75" customHeight="1">
      <c r="A245" s="395"/>
      <c r="B245" s="395"/>
      <c r="C245" s="395"/>
      <c r="D245" s="395"/>
      <c r="E245" s="395"/>
      <c r="F245" s="395"/>
      <c r="G245" s="395"/>
      <c r="H245" s="395"/>
      <c r="I245" s="395"/>
      <c r="J245" s="395"/>
      <c r="K245" s="395"/>
      <c r="L245" s="395"/>
      <c r="M245" s="395"/>
      <c r="N245" s="395"/>
      <c r="O245" s="395"/>
      <c r="P245" s="395"/>
      <c r="Q245" s="395"/>
      <c r="R245" s="395"/>
      <c r="S245" s="395"/>
      <c r="T245" s="395"/>
      <c r="U245" s="395"/>
    </row>
    <row r="246" ht="15.75" customHeight="1">
      <c r="A246" s="395"/>
      <c r="B246" s="395"/>
      <c r="C246" s="395"/>
      <c r="D246" s="395"/>
      <c r="E246" s="395"/>
      <c r="F246" s="395"/>
      <c r="G246" s="395"/>
      <c r="H246" s="395"/>
      <c r="I246" s="395"/>
      <c r="J246" s="395"/>
      <c r="K246" s="395"/>
      <c r="L246" s="395"/>
      <c r="M246" s="395"/>
      <c r="N246" s="395"/>
      <c r="O246" s="395"/>
      <c r="P246" s="395"/>
      <c r="Q246" s="395"/>
      <c r="R246" s="395"/>
      <c r="S246" s="395"/>
      <c r="T246" s="395"/>
      <c r="U246" s="395"/>
    </row>
    <row r="247" ht="15.75" customHeight="1">
      <c r="A247" s="395"/>
      <c r="B247" s="395"/>
      <c r="C247" s="395"/>
      <c r="D247" s="395"/>
      <c r="E247" s="395"/>
      <c r="F247" s="395"/>
      <c r="G247" s="395"/>
      <c r="H247" s="395"/>
      <c r="I247" s="395"/>
      <c r="J247" s="395"/>
      <c r="K247" s="395"/>
      <c r="L247" s="395"/>
      <c r="M247" s="395"/>
      <c r="N247" s="395"/>
      <c r="O247" s="395"/>
      <c r="P247" s="395"/>
      <c r="Q247" s="395"/>
      <c r="R247" s="395"/>
      <c r="S247" s="395"/>
      <c r="T247" s="395"/>
      <c r="U247" s="395"/>
    </row>
    <row r="248" ht="15.75" customHeight="1">
      <c r="A248" s="395"/>
      <c r="B248" s="395"/>
      <c r="C248" s="395"/>
      <c r="D248" s="395"/>
      <c r="E248" s="395"/>
      <c r="F248" s="395"/>
      <c r="G248" s="395"/>
      <c r="H248" s="395"/>
      <c r="I248" s="395"/>
      <c r="J248" s="395"/>
      <c r="K248" s="395"/>
      <c r="L248" s="395"/>
      <c r="M248" s="395"/>
      <c r="N248" s="395"/>
      <c r="O248" s="395"/>
      <c r="P248" s="395"/>
      <c r="Q248" s="395"/>
      <c r="R248" s="395"/>
      <c r="S248" s="395"/>
      <c r="T248" s="395"/>
      <c r="U248" s="395"/>
    </row>
    <row r="249" ht="15.75" customHeight="1">
      <c r="A249" s="395"/>
      <c r="B249" s="395"/>
      <c r="C249" s="395"/>
      <c r="D249" s="395"/>
      <c r="E249" s="395"/>
      <c r="F249" s="395"/>
      <c r="G249" s="395"/>
      <c r="H249" s="395"/>
      <c r="I249" s="395"/>
      <c r="J249" s="395"/>
      <c r="K249" s="395"/>
      <c r="L249" s="395"/>
      <c r="M249" s="395"/>
      <c r="N249" s="395"/>
      <c r="O249" s="395"/>
      <c r="P249" s="395"/>
      <c r="Q249" s="395"/>
      <c r="R249" s="395"/>
      <c r="S249" s="395"/>
      <c r="T249" s="395"/>
      <c r="U249" s="395"/>
    </row>
    <row r="250" ht="15.75" customHeight="1">
      <c r="A250" s="395"/>
      <c r="B250" s="395"/>
      <c r="C250" s="395"/>
      <c r="D250" s="395"/>
      <c r="E250" s="395"/>
      <c r="F250" s="395"/>
      <c r="G250" s="395"/>
      <c r="H250" s="395"/>
      <c r="I250" s="395"/>
      <c r="J250" s="395"/>
      <c r="K250" s="395"/>
      <c r="L250" s="395"/>
      <c r="M250" s="395"/>
      <c r="N250" s="395"/>
      <c r="O250" s="395"/>
      <c r="P250" s="395"/>
      <c r="Q250" s="395"/>
      <c r="R250" s="395"/>
      <c r="S250" s="395"/>
      <c r="T250" s="395"/>
      <c r="U250" s="395"/>
    </row>
    <row r="251" ht="15.75" customHeight="1">
      <c r="A251" s="395"/>
      <c r="B251" s="395"/>
      <c r="C251" s="395"/>
      <c r="D251" s="395"/>
      <c r="E251" s="395"/>
      <c r="F251" s="395"/>
      <c r="G251" s="395"/>
      <c r="H251" s="395"/>
      <c r="I251" s="395"/>
      <c r="J251" s="395"/>
      <c r="K251" s="395"/>
      <c r="L251" s="395"/>
      <c r="M251" s="395"/>
      <c r="N251" s="395"/>
      <c r="O251" s="395"/>
      <c r="P251" s="395"/>
      <c r="Q251" s="395"/>
      <c r="R251" s="395"/>
      <c r="S251" s="395"/>
      <c r="T251" s="395"/>
      <c r="U251" s="395"/>
    </row>
    <row r="252" ht="15.75" customHeight="1">
      <c r="A252" s="395"/>
      <c r="B252" s="395"/>
      <c r="C252" s="395"/>
      <c r="D252" s="395"/>
      <c r="E252" s="395"/>
      <c r="F252" s="395"/>
      <c r="G252" s="395"/>
      <c r="H252" s="395"/>
      <c r="I252" s="395"/>
      <c r="J252" s="395"/>
      <c r="K252" s="395"/>
      <c r="L252" s="395"/>
      <c r="M252" s="395"/>
      <c r="N252" s="395"/>
      <c r="O252" s="395"/>
      <c r="P252" s="395"/>
      <c r="Q252" s="395"/>
      <c r="R252" s="395"/>
      <c r="S252" s="395"/>
      <c r="T252" s="395"/>
      <c r="U252" s="395"/>
    </row>
    <row r="253" ht="15.75" customHeight="1">
      <c r="A253" s="395"/>
      <c r="B253" s="395"/>
      <c r="C253" s="395"/>
      <c r="D253" s="395"/>
      <c r="E253" s="395"/>
      <c r="F253" s="395"/>
      <c r="G253" s="395"/>
      <c r="H253" s="395"/>
      <c r="I253" s="395"/>
      <c r="J253" s="395"/>
      <c r="K253" s="395"/>
      <c r="L253" s="395"/>
      <c r="M253" s="395"/>
      <c r="N253" s="395"/>
      <c r="O253" s="395"/>
      <c r="P253" s="395"/>
      <c r="Q253" s="395"/>
      <c r="R253" s="395"/>
      <c r="S253" s="395"/>
      <c r="T253" s="395"/>
      <c r="U253" s="395"/>
    </row>
    <row r="254" ht="15.75" customHeight="1">
      <c r="A254" s="395"/>
      <c r="B254" s="395"/>
      <c r="C254" s="395"/>
      <c r="D254" s="395"/>
      <c r="E254" s="395"/>
      <c r="F254" s="395"/>
      <c r="G254" s="395"/>
      <c r="H254" s="395"/>
      <c r="I254" s="395"/>
      <c r="J254" s="395"/>
      <c r="K254" s="395"/>
      <c r="L254" s="395"/>
      <c r="M254" s="395"/>
      <c r="N254" s="395"/>
      <c r="O254" s="395"/>
      <c r="P254" s="395"/>
      <c r="Q254" s="395"/>
      <c r="R254" s="395"/>
      <c r="S254" s="395"/>
      <c r="T254" s="395"/>
      <c r="U254" s="395"/>
    </row>
    <row r="255" ht="15.75" customHeight="1">
      <c r="A255" s="395"/>
      <c r="B255" s="395"/>
      <c r="C255" s="395"/>
      <c r="D255" s="395"/>
      <c r="E255" s="395"/>
      <c r="F255" s="395"/>
      <c r="G255" s="395"/>
      <c r="H255" s="395"/>
      <c r="I255" s="395"/>
      <c r="J255" s="395"/>
      <c r="K255" s="395"/>
      <c r="L255" s="395"/>
      <c r="M255" s="395"/>
      <c r="N255" s="395"/>
      <c r="O255" s="395"/>
      <c r="P255" s="395"/>
      <c r="Q255" s="395"/>
      <c r="R255" s="395"/>
      <c r="S255" s="395"/>
      <c r="T255" s="395"/>
      <c r="U255" s="395"/>
    </row>
    <row r="256" ht="15.75" customHeight="1">
      <c r="A256" s="395"/>
      <c r="B256" s="395"/>
      <c r="C256" s="395"/>
      <c r="D256" s="395"/>
      <c r="E256" s="395"/>
      <c r="F256" s="395"/>
      <c r="G256" s="395"/>
      <c r="H256" s="395"/>
      <c r="I256" s="395"/>
      <c r="J256" s="395"/>
      <c r="K256" s="395"/>
      <c r="L256" s="395"/>
      <c r="M256" s="395"/>
      <c r="N256" s="395"/>
      <c r="O256" s="395"/>
      <c r="P256" s="395"/>
      <c r="Q256" s="395"/>
      <c r="R256" s="395"/>
      <c r="S256" s="395"/>
      <c r="T256" s="395"/>
      <c r="U256" s="395"/>
    </row>
    <row r="257" ht="15.75" customHeight="1">
      <c r="A257" s="395"/>
      <c r="B257" s="395"/>
      <c r="C257" s="395"/>
      <c r="D257" s="395"/>
      <c r="E257" s="395"/>
      <c r="F257" s="395"/>
      <c r="G257" s="395"/>
      <c r="H257" s="395"/>
      <c r="I257" s="395"/>
      <c r="J257" s="395"/>
      <c r="K257" s="395"/>
      <c r="L257" s="395"/>
      <c r="M257" s="395"/>
      <c r="N257" s="395"/>
      <c r="O257" s="395"/>
      <c r="P257" s="395"/>
      <c r="Q257" s="395"/>
      <c r="R257" s="395"/>
      <c r="S257" s="395"/>
      <c r="T257" s="395"/>
      <c r="U257" s="395"/>
    </row>
    <row r="258" ht="15.75" customHeight="1">
      <c r="A258" s="395"/>
      <c r="B258" s="395"/>
      <c r="C258" s="395"/>
      <c r="D258" s="395"/>
      <c r="E258" s="395"/>
      <c r="F258" s="395"/>
      <c r="G258" s="395"/>
      <c r="H258" s="395"/>
      <c r="I258" s="395"/>
      <c r="J258" s="395"/>
      <c r="K258" s="395"/>
      <c r="L258" s="395"/>
      <c r="M258" s="395"/>
      <c r="N258" s="395"/>
      <c r="O258" s="395"/>
      <c r="P258" s="395"/>
      <c r="Q258" s="395"/>
      <c r="R258" s="395"/>
      <c r="S258" s="395"/>
      <c r="T258" s="395"/>
      <c r="U258" s="395"/>
    </row>
    <row r="259" ht="15.75" customHeight="1">
      <c r="A259" s="395"/>
      <c r="B259" s="395"/>
      <c r="C259" s="395"/>
      <c r="D259" s="395"/>
      <c r="E259" s="395"/>
      <c r="F259" s="395"/>
      <c r="G259" s="395"/>
      <c r="H259" s="395"/>
      <c r="I259" s="395"/>
      <c r="J259" s="395"/>
      <c r="K259" s="395"/>
      <c r="L259" s="395"/>
      <c r="M259" s="395"/>
      <c r="N259" s="395"/>
      <c r="O259" s="395"/>
      <c r="P259" s="395"/>
      <c r="Q259" s="395"/>
      <c r="R259" s="395"/>
      <c r="S259" s="395"/>
      <c r="T259" s="395"/>
      <c r="U259" s="395"/>
    </row>
    <row r="260" ht="15.75" customHeight="1">
      <c r="A260" s="395"/>
      <c r="B260" s="395"/>
      <c r="C260" s="395"/>
      <c r="D260" s="395"/>
      <c r="E260" s="395"/>
      <c r="F260" s="395"/>
      <c r="G260" s="395"/>
      <c r="H260" s="395"/>
      <c r="I260" s="395"/>
      <c r="J260" s="395"/>
      <c r="K260" s="395"/>
      <c r="L260" s="395"/>
      <c r="M260" s="395"/>
      <c r="N260" s="395"/>
      <c r="O260" s="395"/>
      <c r="P260" s="395"/>
      <c r="Q260" s="395"/>
      <c r="R260" s="395"/>
      <c r="S260" s="395"/>
      <c r="T260" s="395"/>
      <c r="U260" s="395"/>
    </row>
    <row r="261" ht="15.75" customHeight="1">
      <c r="A261" s="395"/>
      <c r="B261" s="395"/>
      <c r="C261" s="395"/>
      <c r="D261" s="395"/>
      <c r="E261" s="395"/>
      <c r="F261" s="395"/>
      <c r="G261" s="395"/>
      <c r="H261" s="395"/>
      <c r="I261" s="395"/>
      <c r="J261" s="395"/>
      <c r="K261" s="395"/>
      <c r="L261" s="395"/>
      <c r="M261" s="395"/>
      <c r="N261" s="395"/>
      <c r="O261" s="395"/>
      <c r="P261" s="395"/>
      <c r="Q261" s="395"/>
      <c r="R261" s="395"/>
      <c r="S261" s="395"/>
      <c r="T261" s="395"/>
      <c r="U261" s="395"/>
    </row>
    <row r="262" ht="15.75" customHeight="1">
      <c r="A262" s="395"/>
      <c r="B262" s="395"/>
      <c r="C262" s="395"/>
      <c r="D262" s="395"/>
      <c r="E262" s="395"/>
      <c r="F262" s="395"/>
      <c r="G262" s="395"/>
      <c r="H262" s="395"/>
      <c r="I262" s="395"/>
      <c r="J262" s="395"/>
      <c r="K262" s="395"/>
      <c r="L262" s="395"/>
      <c r="M262" s="395"/>
      <c r="N262" s="395"/>
      <c r="O262" s="395"/>
      <c r="P262" s="395"/>
      <c r="Q262" s="395"/>
      <c r="R262" s="395"/>
      <c r="S262" s="395"/>
      <c r="T262" s="395"/>
      <c r="U262" s="395"/>
    </row>
    <row r="263" ht="15.75" customHeight="1">
      <c r="A263" s="395"/>
      <c r="B263" s="395"/>
      <c r="C263" s="395"/>
      <c r="D263" s="395"/>
      <c r="E263" s="395"/>
      <c r="F263" s="395"/>
      <c r="G263" s="395"/>
      <c r="H263" s="395"/>
      <c r="I263" s="395"/>
      <c r="J263" s="395"/>
      <c r="K263" s="395"/>
      <c r="L263" s="395"/>
      <c r="M263" s="395"/>
      <c r="N263" s="395"/>
      <c r="O263" s="395"/>
      <c r="P263" s="395"/>
      <c r="Q263" s="395"/>
      <c r="R263" s="395"/>
      <c r="S263" s="395"/>
      <c r="T263" s="395"/>
      <c r="U263" s="395"/>
    </row>
    <row r="264" ht="15.75" customHeight="1">
      <c r="A264" s="395"/>
      <c r="B264" s="395"/>
      <c r="C264" s="395"/>
      <c r="D264" s="395"/>
      <c r="E264" s="395"/>
      <c r="F264" s="395"/>
      <c r="G264" s="395"/>
      <c r="H264" s="395"/>
      <c r="I264" s="395"/>
      <c r="J264" s="395"/>
      <c r="K264" s="395"/>
      <c r="L264" s="395"/>
      <c r="M264" s="395"/>
      <c r="N264" s="395"/>
      <c r="O264" s="395"/>
      <c r="P264" s="395"/>
      <c r="Q264" s="395"/>
      <c r="R264" s="395"/>
      <c r="S264" s="395"/>
      <c r="T264" s="395"/>
      <c r="U264" s="395"/>
    </row>
    <row r="265" ht="15.75" customHeight="1">
      <c r="A265" s="395"/>
      <c r="B265" s="395"/>
      <c r="C265" s="395"/>
      <c r="D265" s="395"/>
      <c r="E265" s="395"/>
      <c r="F265" s="395"/>
      <c r="G265" s="395"/>
      <c r="H265" s="395"/>
      <c r="I265" s="395"/>
      <c r="J265" s="395"/>
      <c r="K265" s="395"/>
      <c r="L265" s="395"/>
      <c r="M265" s="395"/>
      <c r="N265" s="395"/>
      <c r="O265" s="395"/>
      <c r="P265" s="395"/>
      <c r="Q265" s="395"/>
      <c r="R265" s="395"/>
      <c r="S265" s="395"/>
      <c r="T265" s="395"/>
      <c r="U265" s="395"/>
    </row>
    <row r="266" ht="15.75" customHeight="1">
      <c r="A266" s="395"/>
      <c r="B266" s="395"/>
      <c r="C266" s="395"/>
      <c r="D266" s="395"/>
      <c r="E266" s="395"/>
      <c r="F266" s="395"/>
      <c r="G266" s="395"/>
      <c r="H266" s="395"/>
      <c r="I266" s="395"/>
      <c r="J266" s="395"/>
      <c r="K266" s="395"/>
      <c r="L266" s="395"/>
      <c r="M266" s="395"/>
      <c r="N266" s="395"/>
      <c r="O266" s="395"/>
      <c r="P266" s="395"/>
      <c r="Q266" s="395"/>
      <c r="R266" s="395"/>
      <c r="S266" s="395"/>
      <c r="T266" s="395"/>
      <c r="U266" s="395"/>
    </row>
    <row r="267" ht="15.75" customHeight="1">
      <c r="A267" s="395"/>
      <c r="B267" s="395"/>
      <c r="C267" s="395"/>
      <c r="D267" s="395"/>
      <c r="E267" s="395"/>
      <c r="F267" s="395"/>
      <c r="G267" s="395"/>
      <c r="H267" s="395"/>
      <c r="I267" s="395"/>
      <c r="J267" s="395"/>
      <c r="K267" s="395"/>
      <c r="L267" s="395"/>
      <c r="M267" s="395"/>
      <c r="N267" s="395"/>
      <c r="O267" s="395"/>
      <c r="P267" s="395"/>
      <c r="Q267" s="395"/>
      <c r="R267" s="395"/>
      <c r="S267" s="395"/>
      <c r="T267" s="395"/>
      <c r="U267" s="395"/>
    </row>
    <row r="268" ht="15.75" customHeight="1">
      <c r="A268" s="395"/>
      <c r="B268" s="395"/>
      <c r="C268" s="395"/>
      <c r="D268" s="395"/>
      <c r="E268" s="395"/>
      <c r="F268" s="395"/>
      <c r="G268" s="395"/>
      <c r="H268" s="395"/>
      <c r="I268" s="395"/>
      <c r="J268" s="395"/>
      <c r="K268" s="395"/>
      <c r="L268" s="395"/>
      <c r="M268" s="395"/>
      <c r="N268" s="395"/>
      <c r="O268" s="395"/>
      <c r="P268" s="395"/>
      <c r="Q268" s="395"/>
      <c r="R268" s="395"/>
      <c r="S268" s="395"/>
      <c r="T268" s="395"/>
      <c r="U268" s="395"/>
    </row>
    <row r="269" ht="15.75" customHeight="1">
      <c r="A269" s="395"/>
      <c r="B269" s="395"/>
      <c r="C269" s="395"/>
      <c r="D269" s="395"/>
      <c r="E269" s="395"/>
      <c r="F269" s="395"/>
      <c r="G269" s="395"/>
      <c r="H269" s="395"/>
      <c r="I269" s="395"/>
      <c r="J269" s="395"/>
      <c r="K269" s="395"/>
      <c r="L269" s="395"/>
      <c r="M269" s="395"/>
      <c r="N269" s="395"/>
      <c r="O269" s="395"/>
      <c r="P269" s="395"/>
      <c r="Q269" s="395"/>
      <c r="R269" s="395"/>
      <c r="S269" s="395"/>
      <c r="T269" s="395"/>
      <c r="U269" s="395"/>
    </row>
    <row r="270" ht="15.75" customHeight="1">
      <c r="A270" s="395"/>
      <c r="B270" s="395"/>
      <c r="C270" s="395"/>
      <c r="D270" s="395"/>
      <c r="E270" s="395"/>
      <c r="F270" s="395"/>
      <c r="G270" s="395"/>
      <c r="H270" s="395"/>
      <c r="I270" s="395"/>
      <c r="J270" s="395"/>
      <c r="K270" s="395"/>
      <c r="L270" s="395"/>
      <c r="M270" s="395"/>
      <c r="N270" s="395"/>
      <c r="O270" s="395"/>
      <c r="P270" s="395"/>
      <c r="Q270" s="395"/>
      <c r="R270" s="395"/>
      <c r="S270" s="395"/>
      <c r="T270" s="395"/>
      <c r="U270" s="395"/>
    </row>
    <row r="271" ht="15.75" customHeight="1">
      <c r="A271" s="395"/>
      <c r="B271" s="395"/>
      <c r="C271" s="395"/>
      <c r="D271" s="395"/>
      <c r="E271" s="395"/>
      <c r="F271" s="395"/>
      <c r="G271" s="395"/>
      <c r="H271" s="395"/>
      <c r="I271" s="395"/>
      <c r="J271" s="395"/>
      <c r="K271" s="395"/>
      <c r="L271" s="395"/>
      <c r="M271" s="395"/>
      <c r="N271" s="395"/>
      <c r="O271" s="395"/>
      <c r="P271" s="395"/>
      <c r="Q271" s="395"/>
      <c r="R271" s="395"/>
      <c r="S271" s="395"/>
      <c r="T271" s="395"/>
      <c r="U271" s="395"/>
    </row>
    <row r="272" ht="15.75" customHeight="1">
      <c r="A272" s="395"/>
      <c r="B272" s="395"/>
      <c r="C272" s="395"/>
      <c r="D272" s="395"/>
      <c r="E272" s="395"/>
      <c r="F272" s="395"/>
      <c r="G272" s="395"/>
      <c r="H272" s="395"/>
      <c r="I272" s="395"/>
      <c r="J272" s="395"/>
      <c r="K272" s="395"/>
      <c r="L272" s="395"/>
      <c r="M272" s="395"/>
      <c r="N272" s="395"/>
      <c r="O272" s="395"/>
      <c r="P272" s="395"/>
      <c r="Q272" s="395"/>
      <c r="R272" s="395"/>
      <c r="S272" s="395"/>
      <c r="T272" s="395"/>
      <c r="U272" s="395"/>
    </row>
    <row r="273" ht="15.75" customHeight="1">
      <c r="A273" s="395"/>
      <c r="B273" s="395"/>
      <c r="C273" s="395"/>
      <c r="D273" s="395"/>
      <c r="E273" s="395"/>
      <c r="F273" s="395"/>
      <c r="G273" s="395"/>
      <c r="H273" s="395"/>
      <c r="I273" s="395"/>
      <c r="J273" s="395"/>
      <c r="K273" s="395"/>
      <c r="L273" s="395"/>
      <c r="M273" s="395"/>
      <c r="N273" s="395"/>
      <c r="O273" s="395"/>
      <c r="P273" s="395"/>
      <c r="Q273" s="395"/>
      <c r="R273" s="395"/>
      <c r="S273" s="395"/>
      <c r="T273" s="395"/>
      <c r="U273" s="395"/>
    </row>
    <row r="274" ht="15.75" customHeight="1">
      <c r="A274" s="395"/>
      <c r="B274" s="395"/>
      <c r="C274" s="395"/>
      <c r="D274" s="395"/>
      <c r="E274" s="395"/>
      <c r="F274" s="395"/>
      <c r="G274" s="395"/>
      <c r="H274" s="395"/>
      <c r="I274" s="395"/>
      <c r="J274" s="395"/>
      <c r="K274" s="395"/>
      <c r="L274" s="395"/>
      <c r="M274" s="395"/>
      <c r="N274" s="395"/>
      <c r="O274" s="395"/>
      <c r="P274" s="395"/>
      <c r="Q274" s="395"/>
      <c r="R274" s="395"/>
      <c r="S274" s="395"/>
      <c r="T274" s="395"/>
      <c r="U274" s="395"/>
    </row>
    <row r="275" ht="15.75" customHeight="1">
      <c r="A275" s="395"/>
      <c r="B275" s="395"/>
      <c r="C275" s="395"/>
      <c r="D275" s="395"/>
      <c r="E275" s="395"/>
      <c r="F275" s="395"/>
      <c r="G275" s="395"/>
      <c r="H275" s="395"/>
      <c r="I275" s="395"/>
      <c r="J275" s="395"/>
      <c r="K275" s="395"/>
      <c r="L275" s="395"/>
      <c r="M275" s="395"/>
      <c r="N275" s="395"/>
      <c r="O275" s="395"/>
      <c r="P275" s="395"/>
      <c r="Q275" s="395"/>
      <c r="R275" s="395"/>
      <c r="S275" s="395"/>
      <c r="T275" s="395"/>
      <c r="U275" s="395"/>
    </row>
    <row r="276" ht="15.75" customHeight="1">
      <c r="A276" s="395"/>
      <c r="B276" s="395"/>
      <c r="C276" s="395"/>
      <c r="D276" s="395"/>
      <c r="E276" s="395"/>
      <c r="F276" s="395"/>
      <c r="G276" s="395"/>
      <c r="H276" s="395"/>
      <c r="I276" s="395"/>
      <c r="J276" s="395"/>
      <c r="K276" s="395"/>
      <c r="L276" s="395"/>
      <c r="M276" s="395"/>
      <c r="N276" s="395"/>
      <c r="O276" s="395"/>
      <c r="P276" s="395"/>
      <c r="Q276" s="395"/>
      <c r="R276" s="395"/>
      <c r="S276" s="395"/>
      <c r="T276" s="395"/>
      <c r="U276" s="395"/>
    </row>
    <row r="277" ht="15.75" customHeight="1">
      <c r="A277" s="395"/>
      <c r="B277" s="395"/>
      <c r="C277" s="395"/>
      <c r="D277" s="395"/>
      <c r="E277" s="395"/>
      <c r="F277" s="395"/>
      <c r="G277" s="395"/>
      <c r="H277" s="395"/>
      <c r="I277" s="395"/>
      <c r="J277" s="395"/>
      <c r="K277" s="395"/>
      <c r="L277" s="395"/>
      <c r="M277" s="395"/>
      <c r="N277" s="395"/>
      <c r="O277" s="395"/>
      <c r="P277" s="395"/>
      <c r="Q277" s="395"/>
      <c r="R277" s="395"/>
      <c r="S277" s="395"/>
      <c r="T277" s="395"/>
      <c r="U277" s="395"/>
    </row>
    <row r="278" ht="15.75" customHeight="1">
      <c r="A278" s="395"/>
      <c r="B278" s="395"/>
      <c r="C278" s="395"/>
      <c r="D278" s="395"/>
      <c r="E278" s="395"/>
      <c r="F278" s="395"/>
      <c r="G278" s="395"/>
      <c r="H278" s="395"/>
      <c r="I278" s="395"/>
      <c r="J278" s="395"/>
      <c r="K278" s="395"/>
      <c r="L278" s="395"/>
      <c r="M278" s="395"/>
      <c r="N278" s="395"/>
      <c r="O278" s="395"/>
      <c r="P278" s="395"/>
      <c r="Q278" s="395"/>
      <c r="R278" s="395"/>
      <c r="S278" s="395"/>
      <c r="T278" s="395"/>
      <c r="U278" s="395"/>
    </row>
    <row r="279" ht="15.75" customHeight="1">
      <c r="A279" s="395"/>
      <c r="B279" s="395"/>
      <c r="C279" s="395"/>
      <c r="D279" s="395"/>
      <c r="E279" s="395"/>
      <c r="F279" s="395"/>
      <c r="G279" s="395"/>
      <c r="H279" s="395"/>
      <c r="I279" s="395"/>
      <c r="J279" s="395"/>
      <c r="K279" s="395"/>
      <c r="L279" s="395"/>
      <c r="M279" s="395"/>
      <c r="N279" s="395"/>
      <c r="O279" s="395"/>
      <c r="P279" s="395"/>
      <c r="Q279" s="395"/>
      <c r="R279" s="395"/>
      <c r="S279" s="395"/>
      <c r="T279" s="395"/>
      <c r="U279" s="395"/>
    </row>
    <row r="280" ht="15.75" customHeight="1">
      <c r="A280" s="395"/>
      <c r="B280" s="395"/>
      <c r="C280" s="395"/>
      <c r="D280" s="395"/>
      <c r="E280" s="395"/>
      <c r="F280" s="395"/>
      <c r="G280" s="395"/>
      <c r="H280" s="395"/>
      <c r="I280" s="395"/>
      <c r="J280" s="395"/>
      <c r="K280" s="395"/>
      <c r="L280" s="395"/>
      <c r="M280" s="395"/>
      <c r="N280" s="395"/>
      <c r="O280" s="395"/>
      <c r="P280" s="395"/>
      <c r="Q280" s="395"/>
      <c r="R280" s="395"/>
      <c r="S280" s="395"/>
      <c r="T280" s="395"/>
      <c r="U280" s="395"/>
    </row>
    <row r="281" ht="15.75" customHeight="1">
      <c r="A281" s="395"/>
      <c r="B281" s="395"/>
      <c r="C281" s="395"/>
      <c r="D281" s="395"/>
      <c r="E281" s="395"/>
      <c r="F281" s="395"/>
      <c r="G281" s="395"/>
      <c r="H281" s="395"/>
      <c r="I281" s="395"/>
      <c r="J281" s="395"/>
      <c r="K281" s="395"/>
      <c r="L281" s="395"/>
      <c r="M281" s="395"/>
      <c r="N281" s="395"/>
      <c r="O281" s="395"/>
      <c r="P281" s="395"/>
      <c r="Q281" s="395"/>
      <c r="R281" s="395"/>
      <c r="S281" s="395"/>
      <c r="T281" s="395"/>
      <c r="U281" s="395"/>
    </row>
    <row r="282" ht="15.75" customHeight="1">
      <c r="A282" s="395"/>
      <c r="B282" s="395"/>
      <c r="C282" s="395"/>
      <c r="D282" s="395"/>
      <c r="E282" s="395"/>
      <c r="F282" s="395"/>
      <c r="G282" s="395"/>
      <c r="H282" s="395"/>
      <c r="I282" s="395"/>
      <c r="J282" s="395"/>
      <c r="K282" s="395"/>
      <c r="L282" s="395"/>
      <c r="M282" s="395"/>
      <c r="N282" s="395"/>
      <c r="O282" s="395"/>
      <c r="P282" s="395"/>
      <c r="Q282" s="395"/>
      <c r="R282" s="395"/>
      <c r="S282" s="395"/>
      <c r="T282" s="395"/>
      <c r="U282" s="395"/>
    </row>
    <row r="283" ht="15.75" customHeight="1">
      <c r="A283" s="395"/>
      <c r="B283" s="395"/>
      <c r="C283" s="395"/>
      <c r="D283" s="395"/>
      <c r="E283" s="395"/>
      <c r="F283" s="395"/>
      <c r="G283" s="395"/>
      <c r="H283" s="395"/>
      <c r="I283" s="395"/>
      <c r="J283" s="395"/>
      <c r="K283" s="395"/>
      <c r="L283" s="395"/>
      <c r="M283" s="395"/>
      <c r="N283" s="395"/>
      <c r="O283" s="395"/>
      <c r="P283" s="395"/>
      <c r="Q283" s="395"/>
      <c r="R283" s="395"/>
      <c r="S283" s="395"/>
      <c r="T283" s="395"/>
      <c r="U283" s="395"/>
    </row>
    <row r="284" ht="15.75" customHeight="1">
      <c r="A284" s="395"/>
      <c r="B284" s="395"/>
      <c r="C284" s="395"/>
      <c r="D284" s="395"/>
      <c r="E284" s="395"/>
      <c r="F284" s="395"/>
      <c r="G284" s="395"/>
      <c r="H284" s="395"/>
      <c r="I284" s="395"/>
      <c r="J284" s="395"/>
      <c r="K284" s="395"/>
      <c r="L284" s="395"/>
      <c r="M284" s="395"/>
      <c r="N284" s="395"/>
      <c r="O284" s="395"/>
      <c r="P284" s="395"/>
      <c r="Q284" s="395"/>
      <c r="R284" s="395"/>
      <c r="S284" s="395"/>
      <c r="T284" s="395"/>
      <c r="U284" s="395"/>
    </row>
    <row r="285" ht="15.75" customHeight="1">
      <c r="A285" s="395"/>
      <c r="B285" s="395"/>
      <c r="C285" s="395"/>
      <c r="D285" s="395"/>
      <c r="E285" s="395"/>
      <c r="F285" s="395"/>
      <c r="G285" s="395"/>
      <c r="H285" s="395"/>
      <c r="I285" s="395"/>
      <c r="J285" s="395"/>
      <c r="K285" s="395"/>
      <c r="L285" s="395"/>
      <c r="M285" s="395"/>
      <c r="N285" s="395"/>
      <c r="O285" s="395"/>
      <c r="P285" s="395"/>
      <c r="Q285" s="395"/>
      <c r="R285" s="395"/>
      <c r="S285" s="395"/>
      <c r="T285" s="395"/>
      <c r="U285" s="395"/>
    </row>
    <row r="286" ht="15.75" customHeight="1">
      <c r="A286" s="395"/>
      <c r="B286" s="395"/>
      <c r="C286" s="395"/>
      <c r="D286" s="395"/>
      <c r="E286" s="395"/>
      <c r="F286" s="395"/>
      <c r="G286" s="395"/>
      <c r="H286" s="395"/>
      <c r="I286" s="395"/>
      <c r="J286" s="395"/>
      <c r="K286" s="395"/>
      <c r="L286" s="395"/>
      <c r="M286" s="395"/>
      <c r="N286" s="395"/>
      <c r="O286" s="395"/>
      <c r="P286" s="395"/>
      <c r="Q286" s="395"/>
      <c r="R286" s="395"/>
      <c r="S286" s="395"/>
      <c r="T286" s="395"/>
      <c r="U286" s="395"/>
    </row>
    <row r="287" ht="15.75" customHeight="1">
      <c r="A287" s="395"/>
      <c r="B287" s="395"/>
      <c r="C287" s="395"/>
      <c r="D287" s="395"/>
      <c r="E287" s="395"/>
      <c r="F287" s="395"/>
      <c r="G287" s="395"/>
      <c r="H287" s="395"/>
      <c r="I287" s="395"/>
      <c r="J287" s="395"/>
      <c r="K287" s="395"/>
      <c r="L287" s="395"/>
      <c r="M287" s="395"/>
      <c r="N287" s="395"/>
      <c r="O287" s="395"/>
      <c r="P287" s="395"/>
      <c r="Q287" s="395"/>
      <c r="R287" s="395"/>
      <c r="S287" s="395"/>
      <c r="T287" s="395"/>
      <c r="U287" s="395"/>
    </row>
    <row r="288" ht="15.75" customHeight="1">
      <c r="A288" s="395"/>
      <c r="B288" s="395"/>
      <c r="C288" s="395"/>
      <c r="D288" s="395"/>
      <c r="E288" s="395"/>
      <c r="F288" s="395"/>
      <c r="G288" s="395"/>
      <c r="H288" s="395"/>
      <c r="I288" s="395"/>
      <c r="J288" s="395"/>
      <c r="K288" s="395"/>
      <c r="L288" s="395"/>
      <c r="M288" s="395"/>
      <c r="N288" s="395"/>
      <c r="O288" s="395"/>
      <c r="P288" s="395"/>
      <c r="Q288" s="395"/>
      <c r="R288" s="395"/>
      <c r="S288" s="395"/>
      <c r="T288" s="395"/>
      <c r="U288" s="395"/>
    </row>
    <row r="289" ht="15.75" customHeight="1">
      <c r="A289" s="395"/>
      <c r="B289" s="395"/>
      <c r="C289" s="395"/>
      <c r="D289" s="395"/>
      <c r="E289" s="395"/>
      <c r="F289" s="395"/>
      <c r="G289" s="395"/>
      <c r="H289" s="395"/>
      <c r="I289" s="395"/>
      <c r="J289" s="395"/>
      <c r="K289" s="395"/>
      <c r="L289" s="395"/>
      <c r="M289" s="395"/>
      <c r="N289" s="395"/>
      <c r="O289" s="395"/>
      <c r="P289" s="395"/>
      <c r="Q289" s="395"/>
      <c r="R289" s="395"/>
      <c r="S289" s="395"/>
      <c r="T289" s="395"/>
      <c r="U289" s="395"/>
    </row>
    <row r="290" ht="15.75" customHeight="1">
      <c r="A290" s="395"/>
      <c r="B290" s="395"/>
      <c r="C290" s="395"/>
      <c r="D290" s="395"/>
      <c r="E290" s="395"/>
      <c r="F290" s="395"/>
      <c r="G290" s="395"/>
      <c r="H290" s="395"/>
      <c r="I290" s="395"/>
      <c r="J290" s="395"/>
      <c r="K290" s="395"/>
      <c r="L290" s="395"/>
      <c r="M290" s="395"/>
      <c r="N290" s="395"/>
      <c r="O290" s="395"/>
      <c r="P290" s="395"/>
      <c r="Q290" s="395"/>
      <c r="R290" s="395"/>
      <c r="S290" s="395"/>
      <c r="T290" s="395"/>
      <c r="U290" s="395"/>
    </row>
    <row r="291" ht="15.75" customHeight="1">
      <c r="A291" s="395"/>
      <c r="B291" s="395"/>
      <c r="C291" s="395"/>
      <c r="D291" s="395"/>
      <c r="E291" s="395"/>
      <c r="F291" s="395"/>
      <c r="G291" s="395"/>
      <c r="H291" s="395"/>
      <c r="I291" s="395"/>
      <c r="J291" s="395"/>
      <c r="K291" s="395"/>
      <c r="L291" s="395"/>
      <c r="M291" s="395"/>
      <c r="N291" s="395"/>
      <c r="O291" s="395"/>
      <c r="P291" s="395"/>
      <c r="Q291" s="395"/>
      <c r="R291" s="395"/>
      <c r="S291" s="395"/>
      <c r="T291" s="395"/>
      <c r="U291" s="395"/>
    </row>
    <row r="292" ht="15.75" customHeight="1">
      <c r="A292" s="395"/>
      <c r="B292" s="395"/>
      <c r="C292" s="395"/>
      <c r="D292" s="395"/>
      <c r="E292" s="395"/>
      <c r="F292" s="395"/>
      <c r="G292" s="395"/>
      <c r="H292" s="395"/>
      <c r="I292" s="395"/>
      <c r="J292" s="395"/>
      <c r="K292" s="395"/>
      <c r="L292" s="395"/>
      <c r="M292" s="395"/>
      <c r="N292" s="395"/>
      <c r="O292" s="395"/>
      <c r="P292" s="395"/>
      <c r="Q292" s="395"/>
      <c r="R292" s="395"/>
      <c r="S292" s="395"/>
      <c r="T292" s="395"/>
      <c r="U292" s="395"/>
    </row>
    <row r="293" ht="15.75" customHeight="1">
      <c r="A293" s="395"/>
      <c r="B293" s="395"/>
      <c r="C293" s="395"/>
      <c r="D293" s="395"/>
      <c r="E293" s="395"/>
      <c r="F293" s="395"/>
      <c r="G293" s="395"/>
      <c r="H293" s="395"/>
      <c r="I293" s="395"/>
      <c r="J293" s="395"/>
      <c r="K293" s="395"/>
      <c r="L293" s="395"/>
      <c r="M293" s="395"/>
      <c r="N293" s="395"/>
      <c r="O293" s="395"/>
      <c r="P293" s="395"/>
      <c r="Q293" s="395"/>
      <c r="R293" s="395"/>
      <c r="S293" s="395"/>
      <c r="T293" s="395"/>
      <c r="U293" s="395"/>
    </row>
    <row r="294" ht="15.75" customHeight="1">
      <c r="A294" s="395"/>
      <c r="B294" s="395"/>
      <c r="C294" s="395"/>
      <c r="D294" s="395"/>
      <c r="E294" s="395"/>
      <c r="F294" s="395"/>
      <c r="G294" s="395"/>
      <c r="H294" s="395"/>
      <c r="I294" s="395"/>
      <c r="J294" s="395"/>
      <c r="K294" s="395"/>
      <c r="L294" s="395"/>
      <c r="M294" s="395"/>
      <c r="N294" s="395"/>
      <c r="O294" s="395"/>
      <c r="P294" s="395"/>
      <c r="Q294" s="395"/>
      <c r="R294" s="395"/>
      <c r="S294" s="395"/>
      <c r="T294" s="395"/>
      <c r="U294" s="395"/>
    </row>
    <row r="295" ht="15.75" customHeight="1">
      <c r="A295" s="395"/>
      <c r="B295" s="395"/>
      <c r="C295" s="395"/>
      <c r="D295" s="395"/>
      <c r="E295" s="395"/>
      <c r="F295" s="395"/>
      <c r="G295" s="395"/>
      <c r="H295" s="395"/>
      <c r="I295" s="395"/>
      <c r="J295" s="395"/>
      <c r="K295" s="395"/>
      <c r="L295" s="395"/>
      <c r="M295" s="395"/>
      <c r="N295" s="395"/>
      <c r="O295" s="395"/>
      <c r="P295" s="395"/>
      <c r="Q295" s="395"/>
      <c r="R295" s="395"/>
      <c r="S295" s="395"/>
      <c r="T295" s="395"/>
      <c r="U295" s="395"/>
    </row>
    <row r="296" ht="15.75" customHeight="1">
      <c r="A296" s="395"/>
      <c r="B296" s="395"/>
      <c r="C296" s="395"/>
      <c r="D296" s="395"/>
      <c r="E296" s="395"/>
      <c r="F296" s="395"/>
      <c r="G296" s="395"/>
      <c r="H296" s="395"/>
      <c r="I296" s="395"/>
      <c r="J296" s="395"/>
      <c r="K296" s="395"/>
      <c r="L296" s="395"/>
      <c r="M296" s="395"/>
      <c r="N296" s="395"/>
      <c r="O296" s="395"/>
      <c r="P296" s="395"/>
      <c r="Q296" s="395"/>
      <c r="R296" s="395"/>
      <c r="S296" s="395"/>
      <c r="T296" s="395"/>
      <c r="U296" s="395"/>
    </row>
    <row r="297" ht="15.75" customHeight="1">
      <c r="A297" s="395"/>
      <c r="B297" s="395"/>
      <c r="C297" s="395"/>
      <c r="D297" s="395"/>
      <c r="E297" s="395"/>
      <c r="F297" s="395"/>
      <c r="G297" s="395"/>
      <c r="H297" s="395"/>
      <c r="I297" s="395"/>
      <c r="J297" s="395"/>
      <c r="K297" s="395"/>
      <c r="L297" s="395"/>
      <c r="M297" s="395"/>
      <c r="N297" s="395"/>
      <c r="O297" s="395"/>
      <c r="P297" s="395"/>
      <c r="Q297" s="395"/>
      <c r="R297" s="395"/>
      <c r="S297" s="395"/>
      <c r="T297" s="395"/>
      <c r="U297" s="395"/>
    </row>
    <row r="298" ht="15.75" customHeight="1">
      <c r="A298" s="395"/>
      <c r="B298" s="395"/>
      <c r="C298" s="395"/>
      <c r="D298" s="395"/>
      <c r="E298" s="395"/>
      <c r="F298" s="395"/>
      <c r="G298" s="395"/>
      <c r="H298" s="395"/>
      <c r="I298" s="395"/>
      <c r="J298" s="395"/>
      <c r="K298" s="395"/>
      <c r="L298" s="395"/>
      <c r="M298" s="395"/>
      <c r="N298" s="395"/>
      <c r="O298" s="395"/>
      <c r="P298" s="395"/>
      <c r="Q298" s="395"/>
      <c r="R298" s="395"/>
      <c r="S298" s="395"/>
      <c r="T298" s="395"/>
      <c r="U298" s="395"/>
    </row>
    <row r="299" ht="15.75" customHeight="1">
      <c r="A299" s="395"/>
      <c r="B299" s="395"/>
      <c r="C299" s="395"/>
      <c r="D299" s="395"/>
      <c r="E299" s="395"/>
      <c r="F299" s="395"/>
      <c r="G299" s="395"/>
      <c r="H299" s="395"/>
      <c r="I299" s="395"/>
      <c r="J299" s="395"/>
      <c r="K299" s="395"/>
      <c r="L299" s="395"/>
      <c r="M299" s="395"/>
      <c r="N299" s="395"/>
      <c r="O299" s="395"/>
      <c r="P299" s="395"/>
      <c r="Q299" s="395"/>
      <c r="R299" s="395"/>
      <c r="S299" s="395"/>
      <c r="T299" s="395"/>
      <c r="U299" s="395"/>
    </row>
    <row r="300" ht="15.75" customHeight="1">
      <c r="A300" s="395"/>
      <c r="B300" s="395"/>
      <c r="C300" s="395"/>
      <c r="D300" s="395"/>
      <c r="E300" s="395"/>
      <c r="F300" s="395"/>
      <c r="G300" s="395"/>
      <c r="H300" s="395"/>
      <c r="I300" s="395"/>
      <c r="J300" s="395"/>
      <c r="K300" s="395"/>
      <c r="L300" s="395"/>
      <c r="M300" s="395"/>
      <c r="N300" s="395"/>
      <c r="O300" s="395"/>
      <c r="P300" s="395"/>
      <c r="Q300" s="395"/>
      <c r="R300" s="395"/>
      <c r="S300" s="395"/>
      <c r="T300" s="395"/>
      <c r="U300" s="395"/>
    </row>
    <row r="301" ht="15.75" customHeight="1">
      <c r="A301" s="395"/>
      <c r="B301" s="395"/>
      <c r="C301" s="395"/>
      <c r="D301" s="395"/>
      <c r="E301" s="395"/>
      <c r="F301" s="395"/>
      <c r="G301" s="395"/>
      <c r="H301" s="395"/>
      <c r="I301" s="395"/>
      <c r="J301" s="395"/>
      <c r="K301" s="395"/>
      <c r="L301" s="395"/>
      <c r="M301" s="395"/>
      <c r="N301" s="395"/>
      <c r="O301" s="395"/>
      <c r="P301" s="395"/>
      <c r="Q301" s="395"/>
      <c r="R301" s="395"/>
      <c r="S301" s="395"/>
      <c r="T301" s="395"/>
      <c r="U301" s="395"/>
    </row>
    <row r="302" ht="15.75" customHeight="1">
      <c r="A302" s="395"/>
      <c r="B302" s="395"/>
      <c r="C302" s="395"/>
      <c r="D302" s="395"/>
      <c r="E302" s="395"/>
      <c r="F302" s="395"/>
      <c r="G302" s="395"/>
      <c r="H302" s="395"/>
      <c r="I302" s="395"/>
      <c r="J302" s="395"/>
      <c r="K302" s="395"/>
      <c r="L302" s="395"/>
      <c r="M302" s="395"/>
      <c r="N302" s="395"/>
      <c r="O302" s="395"/>
      <c r="P302" s="395"/>
      <c r="Q302" s="395"/>
      <c r="R302" s="395"/>
      <c r="S302" s="395"/>
      <c r="T302" s="395"/>
      <c r="U302" s="395"/>
    </row>
    <row r="303" ht="15.75" customHeight="1">
      <c r="A303" s="395"/>
      <c r="B303" s="395"/>
      <c r="C303" s="395"/>
      <c r="D303" s="395"/>
      <c r="E303" s="395"/>
      <c r="F303" s="395"/>
      <c r="G303" s="395"/>
      <c r="H303" s="395"/>
      <c r="I303" s="395"/>
      <c r="J303" s="395"/>
      <c r="K303" s="395"/>
      <c r="L303" s="395"/>
      <c r="M303" s="395"/>
      <c r="N303" s="395"/>
      <c r="O303" s="395"/>
      <c r="P303" s="395"/>
      <c r="Q303" s="395"/>
      <c r="R303" s="395"/>
      <c r="S303" s="395"/>
      <c r="T303" s="395"/>
      <c r="U303" s="395"/>
    </row>
    <row r="304" ht="15.75" customHeight="1">
      <c r="A304" s="395"/>
      <c r="B304" s="395"/>
      <c r="C304" s="395"/>
      <c r="D304" s="395"/>
      <c r="E304" s="395"/>
      <c r="F304" s="395"/>
      <c r="G304" s="395"/>
      <c r="H304" s="395"/>
      <c r="I304" s="395"/>
      <c r="J304" s="395"/>
      <c r="K304" s="395"/>
      <c r="L304" s="395"/>
      <c r="M304" s="395"/>
      <c r="N304" s="395"/>
      <c r="O304" s="395"/>
      <c r="P304" s="395"/>
      <c r="Q304" s="395"/>
      <c r="R304" s="395"/>
      <c r="S304" s="395"/>
      <c r="T304" s="395"/>
      <c r="U304" s="395"/>
    </row>
    <row r="305" ht="15.75" customHeight="1">
      <c r="A305" s="395"/>
      <c r="B305" s="395"/>
      <c r="C305" s="395"/>
      <c r="D305" s="395"/>
      <c r="E305" s="395"/>
      <c r="F305" s="395"/>
      <c r="G305" s="395"/>
      <c r="H305" s="395"/>
      <c r="I305" s="395"/>
      <c r="J305" s="395"/>
      <c r="K305" s="395"/>
      <c r="L305" s="395"/>
      <c r="M305" s="395"/>
      <c r="N305" s="395"/>
      <c r="O305" s="395"/>
      <c r="P305" s="395"/>
      <c r="Q305" s="395"/>
      <c r="R305" s="395"/>
      <c r="S305" s="395"/>
      <c r="T305" s="395"/>
      <c r="U305" s="395"/>
    </row>
    <row r="306" ht="15.75" customHeight="1">
      <c r="A306" s="395"/>
      <c r="B306" s="395"/>
      <c r="C306" s="395"/>
      <c r="D306" s="395"/>
      <c r="E306" s="395"/>
      <c r="F306" s="395"/>
      <c r="G306" s="395"/>
      <c r="H306" s="395"/>
      <c r="I306" s="395"/>
      <c r="J306" s="395"/>
      <c r="K306" s="395"/>
      <c r="L306" s="395"/>
      <c r="M306" s="395"/>
      <c r="N306" s="395"/>
      <c r="O306" s="395"/>
      <c r="P306" s="395"/>
      <c r="Q306" s="395"/>
      <c r="R306" s="395"/>
      <c r="S306" s="395"/>
      <c r="T306" s="395"/>
      <c r="U306" s="395"/>
    </row>
    <row r="307" ht="15.75" customHeight="1">
      <c r="A307" s="395"/>
      <c r="B307" s="395"/>
      <c r="C307" s="395"/>
      <c r="D307" s="395"/>
      <c r="E307" s="395"/>
      <c r="F307" s="395"/>
      <c r="G307" s="395"/>
      <c r="H307" s="395"/>
      <c r="I307" s="395"/>
      <c r="J307" s="395"/>
      <c r="K307" s="395"/>
      <c r="L307" s="395"/>
      <c r="M307" s="395"/>
      <c r="N307" s="395"/>
      <c r="O307" s="395"/>
      <c r="P307" s="395"/>
      <c r="Q307" s="395"/>
      <c r="R307" s="395"/>
      <c r="S307" s="395"/>
      <c r="T307" s="395"/>
      <c r="U307" s="395"/>
    </row>
    <row r="308" ht="15.75" customHeight="1">
      <c r="A308" s="395"/>
      <c r="B308" s="395"/>
      <c r="C308" s="395"/>
      <c r="D308" s="395"/>
      <c r="E308" s="395"/>
      <c r="F308" s="395"/>
      <c r="G308" s="395"/>
      <c r="H308" s="395"/>
      <c r="I308" s="395"/>
      <c r="J308" s="395"/>
      <c r="K308" s="395"/>
      <c r="L308" s="395"/>
      <c r="M308" s="395"/>
      <c r="N308" s="395"/>
      <c r="O308" s="395"/>
      <c r="P308" s="395"/>
      <c r="Q308" s="395"/>
      <c r="R308" s="395"/>
      <c r="S308" s="395"/>
      <c r="T308" s="395"/>
      <c r="U308" s="395"/>
    </row>
    <row r="309" ht="15.75" customHeight="1">
      <c r="A309" s="395"/>
      <c r="B309" s="395"/>
      <c r="C309" s="395"/>
      <c r="D309" s="395"/>
      <c r="E309" s="395"/>
      <c r="F309" s="395"/>
      <c r="G309" s="395"/>
      <c r="H309" s="395"/>
      <c r="I309" s="395"/>
      <c r="J309" s="395"/>
      <c r="K309" s="395"/>
      <c r="L309" s="395"/>
      <c r="M309" s="395"/>
      <c r="N309" s="395"/>
      <c r="O309" s="395"/>
      <c r="P309" s="395"/>
      <c r="Q309" s="395"/>
      <c r="R309" s="395"/>
      <c r="S309" s="395"/>
      <c r="T309" s="395"/>
      <c r="U309" s="395"/>
    </row>
    <row r="310" ht="15.75" customHeight="1">
      <c r="A310" s="395"/>
      <c r="B310" s="395"/>
      <c r="C310" s="395"/>
      <c r="D310" s="395"/>
      <c r="E310" s="395"/>
      <c r="F310" s="395"/>
      <c r="G310" s="395"/>
      <c r="H310" s="395"/>
      <c r="I310" s="395"/>
      <c r="J310" s="395"/>
      <c r="K310" s="395"/>
      <c r="L310" s="395"/>
      <c r="M310" s="395"/>
      <c r="N310" s="395"/>
      <c r="O310" s="395"/>
      <c r="P310" s="395"/>
      <c r="Q310" s="395"/>
      <c r="R310" s="395"/>
      <c r="S310" s="395"/>
      <c r="T310" s="395"/>
      <c r="U310" s="395"/>
    </row>
    <row r="311" ht="15.75" customHeight="1">
      <c r="A311" s="395"/>
      <c r="B311" s="395"/>
      <c r="C311" s="395"/>
      <c r="D311" s="395"/>
      <c r="E311" s="395"/>
      <c r="F311" s="395"/>
      <c r="G311" s="395"/>
      <c r="H311" s="395"/>
      <c r="I311" s="395"/>
      <c r="J311" s="395"/>
      <c r="K311" s="395"/>
      <c r="L311" s="395"/>
      <c r="M311" s="395"/>
      <c r="N311" s="395"/>
      <c r="O311" s="395"/>
      <c r="P311" s="395"/>
      <c r="Q311" s="395"/>
      <c r="R311" s="395"/>
      <c r="S311" s="395"/>
      <c r="T311" s="395"/>
      <c r="U311" s="395"/>
    </row>
    <row r="312" ht="15.75" customHeight="1">
      <c r="A312" s="395"/>
      <c r="B312" s="395"/>
      <c r="C312" s="395"/>
      <c r="D312" s="395"/>
      <c r="E312" s="395"/>
      <c r="F312" s="395"/>
      <c r="G312" s="395"/>
      <c r="H312" s="395"/>
      <c r="I312" s="395"/>
      <c r="J312" s="395"/>
      <c r="K312" s="395"/>
      <c r="L312" s="395"/>
      <c r="M312" s="395"/>
      <c r="N312" s="395"/>
      <c r="O312" s="395"/>
      <c r="P312" s="395"/>
      <c r="Q312" s="395"/>
      <c r="R312" s="395"/>
      <c r="S312" s="395"/>
      <c r="T312" s="395"/>
      <c r="U312" s="395"/>
    </row>
    <row r="313" ht="15.75" customHeight="1">
      <c r="A313" s="395"/>
      <c r="B313" s="395"/>
      <c r="C313" s="395"/>
      <c r="D313" s="395"/>
      <c r="E313" s="395"/>
      <c r="F313" s="395"/>
      <c r="G313" s="395"/>
      <c r="H313" s="395"/>
      <c r="I313" s="395"/>
      <c r="J313" s="395"/>
      <c r="K313" s="395"/>
      <c r="L313" s="395"/>
      <c r="M313" s="395"/>
      <c r="N313" s="395"/>
      <c r="O313" s="395"/>
      <c r="P313" s="395"/>
      <c r="Q313" s="395"/>
      <c r="R313" s="395"/>
      <c r="S313" s="395"/>
      <c r="T313" s="395"/>
      <c r="U313" s="395"/>
    </row>
    <row r="314" ht="15.75" customHeight="1">
      <c r="A314" s="395"/>
      <c r="B314" s="395"/>
      <c r="C314" s="395"/>
      <c r="D314" s="395"/>
      <c r="E314" s="395"/>
      <c r="F314" s="395"/>
      <c r="G314" s="395"/>
      <c r="H314" s="395"/>
      <c r="I314" s="395"/>
      <c r="J314" s="395"/>
      <c r="K314" s="395"/>
      <c r="L314" s="395"/>
      <c r="M314" s="395"/>
      <c r="N314" s="395"/>
      <c r="O314" s="395"/>
      <c r="P314" s="395"/>
      <c r="Q314" s="395"/>
      <c r="R314" s="395"/>
      <c r="S314" s="395"/>
      <c r="T314" s="395"/>
      <c r="U314" s="395"/>
    </row>
    <row r="315" ht="15.75" customHeight="1">
      <c r="A315" s="395"/>
      <c r="B315" s="395"/>
      <c r="C315" s="395"/>
      <c r="D315" s="395"/>
      <c r="E315" s="395"/>
      <c r="F315" s="395"/>
      <c r="G315" s="395"/>
      <c r="H315" s="395"/>
      <c r="I315" s="395"/>
      <c r="J315" s="395"/>
      <c r="K315" s="395"/>
      <c r="L315" s="395"/>
      <c r="M315" s="395"/>
      <c r="N315" s="395"/>
      <c r="O315" s="395"/>
      <c r="P315" s="395"/>
      <c r="Q315" s="395"/>
      <c r="R315" s="395"/>
      <c r="S315" s="395"/>
      <c r="T315" s="395"/>
      <c r="U315" s="395"/>
    </row>
    <row r="316" ht="15.75" customHeight="1">
      <c r="A316" s="395"/>
      <c r="B316" s="395"/>
      <c r="C316" s="395"/>
      <c r="D316" s="395"/>
      <c r="E316" s="395"/>
      <c r="F316" s="395"/>
      <c r="G316" s="395"/>
      <c r="H316" s="395"/>
      <c r="I316" s="395"/>
      <c r="J316" s="395"/>
      <c r="K316" s="395"/>
      <c r="L316" s="395"/>
      <c r="M316" s="395"/>
      <c r="N316" s="395"/>
      <c r="O316" s="395"/>
      <c r="P316" s="395"/>
      <c r="Q316" s="395"/>
      <c r="R316" s="395"/>
      <c r="S316" s="395"/>
      <c r="T316" s="395"/>
      <c r="U316" s="395"/>
    </row>
    <row r="317" ht="15.75" customHeight="1">
      <c r="A317" s="395"/>
      <c r="B317" s="395"/>
      <c r="C317" s="395"/>
      <c r="D317" s="395"/>
      <c r="E317" s="395"/>
      <c r="F317" s="395"/>
      <c r="G317" s="395"/>
      <c r="H317" s="395"/>
      <c r="I317" s="395"/>
      <c r="J317" s="395"/>
      <c r="K317" s="395"/>
      <c r="L317" s="395"/>
      <c r="M317" s="395"/>
      <c r="N317" s="395"/>
      <c r="O317" s="395"/>
      <c r="P317" s="395"/>
      <c r="Q317" s="395"/>
      <c r="R317" s="395"/>
      <c r="S317" s="395"/>
      <c r="T317" s="395"/>
      <c r="U317" s="395"/>
    </row>
    <row r="318" ht="15.75" customHeight="1">
      <c r="A318" s="395"/>
      <c r="B318" s="395"/>
      <c r="C318" s="395"/>
      <c r="D318" s="395"/>
      <c r="E318" s="395"/>
      <c r="F318" s="395"/>
      <c r="G318" s="395"/>
      <c r="H318" s="395"/>
      <c r="I318" s="395"/>
      <c r="J318" s="395"/>
      <c r="K318" s="395"/>
      <c r="L318" s="395"/>
      <c r="M318" s="395"/>
      <c r="N318" s="395"/>
      <c r="O318" s="395"/>
      <c r="P318" s="395"/>
      <c r="Q318" s="395"/>
      <c r="R318" s="395"/>
      <c r="S318" s="395"/>
      <c r="T318" s="395"/>
      <c r="U318" s="395"/>
    </row>
    <row r="319" ht="15.75" customHeight="1">
      <c r="A319" s="395"/>
      <c r="B319" s="395"/>
      <c r="C319" s="395"/>
      <c r="D319" s="395"/>
      <c r="E319" s="395"/>
      <c r="F319" s="395"/>
      <c r="G319" s="395"/>
      <c r="H319" s="395"/>
      <c r="I319" s="395"/>
      <c r="J319" s="395"/>
      <c r="K319" s="395"/>
      <c r="L319" s="395"/>
      <c r="M319" s="395"/>
      <c r="N319" s="395"/>
      <c r="O319" s="395"/>
      <c r="P319" s="395"/>
      <c r="Q319" s="395"/>
      <c r="R319" s="395"/>
      <c r="S319" s="395"/>
      <c r="T319" s="395"/>
      <c r="U319" s="395"/>
    </row>
    <row r="320" ht="15.75" customHeight="1">
      <c r="A320" s="395"/>
      <c r="B320" s="395"/>
      <c r="C320" s="395"/>
      <c r="D320" s="395"/>
      <c r="E320" s="395"/>
      <c r="F320" s="395"/>
      <c r="G320" s="395"/>
      <c r="H320" s="395"/>
      <c r="I320" s="395"/>
      <c r="J320" s="395"/>
      <c r="K320" s="395"/>
      <c r="L320" s="395"/>
      <c r="M320" s="395"/>
      <c r="N320" s="395"/>
      <c r="O320" s="395"/>
      <c r="P320" s="395"/>
      <c r="Q320" s="395"/>
      <c r="R320" s="395"/>
      <c r="S320" s="395"/>
      <c r="T320" s="395"/>
      <c r="U320" s="395"/>
    </row>
    <row r="321" ht="15.75" customHeight="1">
      <c r="A321" s="395"/>
      <c r="B321" s="395"/>
      <c r="C321" s="395"/>
      <c r="D321" s="395"/>
      <c r="E321" s="395"/>
      <c r="F321" s="395"/>
      <c r="G321" s="395"/>
      <c r="H321" s="395"/>
      <c r="I321" s="395"/>
      <c r="J321" s="395"/>
      <c r="K321" s="395"/>
      <c r="L321" s="395"/>
      <c r="M321" s="395"/>
      <c r="N321" s="395"/>
      <c r="O321" s="395"/>
      <c r="P321" s="395"/>
      <c r="Q321" s="395"/>
      <c r="R321" s="395"/>
      <c r="S321" s="395"/>
      <c r="T321" s="395"/>
      <c r="U321" s="395"/>
    </row>
    <row r="322" ht="15.75" customHeight="1">
      <c r="A322" s="395"/>
      <c r="B322" s="395"/>
      <c r="C322" s="395"/>
      <c r="D322" s="395"/>
      <c r="E322" s="395"/>
      <c r="F322" s="395"/>
      <c r="G322" s="395"/>
      <c r="H322" s="395"/>
      <c r="I322" s="395"/>
      <c r="J322" s="395"/>
      <c r="K322" s="395"/>
      <c r="L322" s="395"/>
      <c r="M322" s="395"/>
      <c r="N322" s="395"/>
      <c r="O322" s="395"/>
      <c r="P322" s="395"/>
      <c r="Q322" s="395"/>
      <c r="R322" s="395"/>
      <c r="S322" s="395"/>
      <c r="T322" s="395"/>
      <c r="U322" s="395"/>
    </row>
    <row r="323" ht="15.75" customHeight="1">
      <c r="A323" s="395"/>
      <c r="B323" s="395"/>
      <c r="C323" s="395"/>
      <c r="D323" s="395"/>
      <c r="E323" s="395"/>
      <c r="F323" s="395"/>
      <c r="G323" s="395"/>
      <c r="H323" s="395"/>
      <c r="I323" s="395"/>
      <c r="J323" s="395"/>
      <c r="K323" s="395"/>
      <c r="L323" s="395"/>
      <c r="M323" s="395"/>
      <c r="N323" s="395"/>
      <c r="O323" s="395"/>
      <c r="P323" s="395"/>
      <c r="Q323" s="395"/>
      <c r="R323" s="395"/>
      <c r="S323" s="395"/>
      <c r="T323" s="395"/>
      <c r="U323" s="395"/>
    </row>
    <row r="324" ht="15.75" customHeight="1">
      <c r="A324" s="395"/>
      <c r="B324" s="395"/>
      <c r="C324" s="395"/>
      <c r="D324" s="395"/>
      <c r="E324" s="395"/>
      <c r="F324" s="395"/>
      <c r="G324" s="395"/>
      <c r="H324" s="395"/>
      <c r="I324" s="395"/>
      <c r="J324" s="395"/>
      <c r="K324" s="395"/>
      <c r="L324" s="395"/>
      <c r="M324" s="395"/>
      <c r="N324" s="395"/>
      <c r="O324" s="395"/>
      <c r="P324" s="395"/>
      <c r="Q324" s="395"/>
      <c r="R324" s="395"/>
      <c r="S324" s="395"/>
      <c r="T324" s="395"/>
      <c r="U324" s="395"/>
    </row>
    <row r="325" ht="15.75" customHeight="1">
      <c r="A325" s="395"/>
      <c r="B325" s="395"/>
      <c r="C325" s="395"/>
      <c r="D325" s="395"/>
      <c r="E325" s="395"/>
      <c r="F325" s="395"/>
      <c r="G325" s="395"/>
      <c r="H325" s="395"/>
      <c r="I325" s="395"/>
      <c r="J325" s="395"/>
      <c r="K325" s="395"/>
      <c r="L325" s="395"/>
      <c r="M325" s="395"/>
      <c r="N325" s="395"/>
      <c r="O325" s="395"/>
      <c r="P325" s="395"/>
      <c r="Q325" s="395"/>
      <c r="R325" s="395"/>
      <c r="S325" s="395"/>
      <c r="T325" s="395"/>
      <c r="U325" s="395"/>
    </row>
    <row r="326" ht="15.75" customHeight="1">
      <c r="A326" s="395"/>
      <c r="B326" s="395"/>
      <c r="C326" s="395"/>
      <c r="D326" s="395"/>
      <c r="E326" s="395"/>
      <c r="F326" s="395"/>
      <c r="G326" s="395"/>
      <c r="H326" s="395"/>
      <c r="I326" s="395"/>
      <c r="J326" s="395"/>
      <c r="K326" s="395"/>
      <c r="L326" s="395"/>
      <c r="M326" s="395"/>
      <c r="N326" s="395"/>
      <c r="O326" s="395"/>
      <c r="P326" s="395"/>
      <c r="Q326" s="395"/>
      <c r="R326" s="395"/>
      <c r="S326" s="395"/>
      <c r="T326" s="395"/>
      <c r="U326" s="395"/>
    </row>
    <row r="327" ht="15.75" customHeight="1">
      <c r="A327" s="395"/>
      <c r="B327" s="395"/>
      <c r="C327" s="395"/>
      <c r="D327" s="395"/>
      <c r="E327" s="395"/>
      <c r="F327" s="395"/>
      <c r="G327" s="395"/>
      <c r="H327" s="395"/>
      <c r="I327" s="395"/>
      <c r="J327" s="395"/>
      <c r="K327" s="395"/>
      <c r="L327" s="395"/>
      <c r="M327" s="395"/>
      <c r="N327" s="395"/>
      <c r="O327" s="395"/>
      <c r="P327" s="395"/>
      <c r="Q327" s="395"/>
      <c r="R327" s="395"/>
      <c r="S327" s="395"/>
      <c r="T327" s="395"/>
      <c r="U327" s="395"/>
    </row>
    <row r="328" ht="15.75" customHeight="1">
      <c r="A328" s="395"/>
      <c r="B328" s="395"/>
      <c r="C328" s="395"/>
      <c r="D328" s="395"/>
      <c r="E328" s="395"/>
      <c r="F328" s="395"/>
      <c r="G328" s="395"/>
      <c r="H328" s="395"/>
      <c r="I328" s="395"/>
      <c r="J328" s="395"/>
      <c r="K328" s="395"/>
      <c r="L328" s="395"/>
      <c r="M328" s="395"/>
      <c r="N328" s="395"/>
      <c r="O328" s="395"/>
      <c r="P328" s="395"/>
      <c r="Q328" s="395"/>
      <c r="R328" s="395"/>
      <c r="S328" s="395"/>
      <c r="T328" s="395"/>
      <c r="U328" s="395"/>
    </row>
    <row r="329" ht="15.75" customHeight="1">
      <c r="A329" s="395"/>
      <c r="B329" s="395"/>
      <c r="C329" s="395"/>
      <c r="D329" s="395"/>
      <c r="E329" s="395"/>
      <c r="F329" s="395"/>
      <c r="G329" s="395"/>
      <c r="H329" s="395"/>
      <c r="I329" s="395"/>
      <c r="J329" s="395"/>
      <c r="K329" s="395"/>
      <c r="L329" s="395"/>
      <c r="M329" s="395"/>
      <c r="N329" s="395"/>
      <c r="O329" s="395"/>
      <c r="P329" s="395"/>
      <c r="Q329" s="395"/>
      <c r="R329" s="395"/>
      <c r="S329" s="395"/>
      <c r="T329" s="395"/>
      <c r="U329" s="395"/>
    </row>
    <row r="330" ht="15.75" customHeight="1">
      <c r="A330" s="395"/>
      <c r="B330" s="395"/>
      <c r="C330" s="395"/>
      <c r="D330" s="395"/>
      <c r="E330" s="395"/>
      <c r="F330" s="395"/>
      <c r="G330" s="395"/>
      <c r="H330" s="395"/>
      <c r="I330" s="395"/>
      <c r="J330" s="395"/>
      <c r="K330" s="395"/>
      <c r="L330" s="395"/>
      <c r="M330" s="395"/>
      <c r="N330" s="395"/>
      <c r="O330" s="395"/>
      <c r="P330" s="395"/>
      <c r="Q330" s="395"/>
      <c r="R330" s="395"/>
      <c r="S330" s="395"/>
      <c r="T330" s="395"/>
      <c r="U330" s="395"/>
    </row>
    <row r="331" ht="15.75" customHeight="1">
      <c r="A331" s="395"/>
      <c r="B331" s="395"/>
      <c r="C331" s="395"/>
      <c r="D331" s="395"/>
      <c r="E331" s="395"/>
      <c r="F331" s="395"/>
      <c r="G331" s="395"/>
      <c r="H331" s="395"/>
      <c r="I331" s="395"/>
      <c r="J331" s="395"/>
      <c r="K331" s="395"/>
      <c r="L331" s="395"/>
      <c r="M331" s="395"/>
      <c r="N331" s="395"/>
      <c r="O331" s="395"/>
      <c r="P331" s="395"/>
      <c r="Q331" s="395"/>
      <c r="R331" s="395"/>
      <c r="S331" s="395"/>
      <c r="T331" s="395"/>
      <c r="U331" s="395"/>
    </row>
    <row r="332" ht="15.75" customHeight="1">
      <c r="A332" s="395"/>
      <c r="B332" s="395"/>
      <c r="C332" s="395"/>
      <c r="D332" s="395"/>
      <c r="E332" s="395"/>
      <c r="F332" s="395"/>
      <c r="G332" s="395"/>
      <c r="H332" s="395"/>
      <c r="I332" s="395"/>
      <c r="J332" s="395"/>
      <c r="K332" s="395"/>
      <c r="L332" s="395"/>
      <c r="M332" s="395"/>
      <c r="N332" s="395"/>
      <c r="O332" s="395"/>
      <c r="P332" s="395"/>
      <c r="Q332" s="395"/>
      <c r="R332" s="395"/>
      <c r="S332" s="395"/>
      <c r="T332" s="395"/>
      <c r="U332" s="395"/>
    </row>
    <row r="333" ht="15.75" customHeight="1">
      <c r="A333" s="395"/>
      <c r="B333" s="395"/>
      <c r="C333" s="395"/>
      <c r="D333" s="395"/>
      <c r="E333" s="395"/>
      <c r="F333" s="395"/>
      <c r="G333" s="395"/>
      <c r="H333" s="395"/>
      <c r="I333" s="395"/>
      <c r="J333" s="395"/>
      <c r="K333" s="395"/>
      <c r="L333" s="395"/>
      <c r="M333" s="395"/>
      <c r="N333" s="395"/>
      <c r="O333" s="395"/>
      <c r="P333" s="395"/>
      <c r="Q333" s="395"/>
      <c r="R333" s="395"/>
      <c r="S333" s="395"/>
      <c r="T333" s="395"/>
      <c r="U333" s="395"/>
    </row>
    <row r="334" ht="15.75" customHeight="1">
      <c r="A334" s="395"/>
      <c r="B334" s="395"/>
      <c r="C334" s="395"/>
      <c r="D334" s="395"/>
      <c r="E334" s="395"/>
      <c r="F334" s="395"/>
      <c r="G334" s="395"/>
      <c r="H334" s="395"/>
      <c r="I334" s="395"/>
      <c r="J334" s="395"/>
      <c r="K334" s="395"/>
      <c r="L334" s="395"/>
      <c r="M334" s="395"/>
      <c r="N334" s="395"/>
      <c r="O334" s="395"/>
      <c r="P334" s="395"/>
      <c r="Q334" s="395"/>
      <c r="R334" s="395"/>
      <c r="S334" s="395"/>
      <c r="T334" s="395"/>
      <c r="U334" s="395"/>
    </row>
    <row r="335" ht="15.75" customHeight="1">
      <c r="A335" s="395"/>
      <c r="B335" s="395"/>
      <c r="C335" s="395"/>
      <c r="D335" s="395"/>
      <c r="E335" s="395"/>
      <c r="F335" s="395"/>
      <c r="G335" s="395"/>
      <c r="H335" s="395"/>
      <c r="I335" s="395"/>
      <c r="J335" s="395"/>
      <c r="K335" s="395"/>
      <c r="L335" s="395"/>
      <c r="M335" s="395"/>
      <c r="N335" s="395"/>
      <c r="O335" s="395"/>
      <c r="P335" s="395"/>
      <c r="Q335" s="395"/>
      <c r="R335" s="395"/>
      <c r="S335" s="395"/>
      <c r="T335" s="395"/>
      <c r="U335" s="395"/>
    </row>
    <row r="336" ht="15.75" customHeight="1">
      <c r="A336" s="395"/>
      <c r="B336" s="395"/>
      <c r="C336" s="395"/>
      <c r="D336" s="395"/>
      <c r="E336" s="395"/>
      <c r="F336" s="395"/>
      <c r="G336" s="395"/>
      <c r="H336" s="395"/>
      <c r="I336" s="395"/>
      <c r="J336" s="395"/>
      <c r="K336" s="395"/>
      <c r="L336" s="395"/>
      <c r="M336" s="395"/>
      <c r="N336" s="395"/>
      <c r="O336" s="395"/>
      <c r="P336" s="395"/>
      <c r="Q336" s="395"/>
      <c r="R336" s="395"/>
      <c r="S336" s="395"/>
      <c r="T336" s="395"/>
      <c r="U336" s="395"/>
    </row>
    <row r="337" ht="15.75" customHeight="1">
      <c r="A337" s="395"/>
      <c r="B337" s="395"/>
      <c r="C337" s="395"/>
      <c r="D337" s="395"/>
      <c r="E337" s="395"/>
      <c r="F337" s="395"/>
      <c r="G337" s="395"/>
      <c r="H337" s="395"/>
      <c r="I337" s="395"/>
      <c r="J337" s="395"/>
      <c r="K337" s="395"/>
      <c r="L337" s="395"/>
      <c r="M337" s="395"/>
      <c r="N337" s="395"/>
      <c r="O337" s="395"/>
      <c r="P337" s="395"/>
      <c r="Q337" s="395"/>
      <c r="R337" s="395"/>
      <c r="S337" s="395"/>
      <c r="T337" s="395"/>
      <c r="U337" s="395"/>
    </row>
    <row r="338" ht="15.75" customHeight="1">
      <c r="A338" s="395"/>
      <c r="B338" s="395"/>
      <c r="C338" s="395"/>
      <c r="D338" s="395"/>
      <c r="E338" s="395"/>
      <c r="F338" s="395"/>
      <c r="G338" s="395"/>
      <c r="H338" s="395"/>
      <c r="I338" s="395"/>
      <c r="J338" s="395"/>
      <c r="K338" s="395"/>
      <c r="L338" s="395"/>
      <c r="M338" s="395"/>
      <c r="N338" s="395"/>
      <c r="O338" s="395"/>
      <c r="P338" s="395"/>
      <c r="Q338" s="395"/>
      <c r="R338" s="395"/>
      <c r="S338" s="395"/>
      <c r="T338" s="395"/>
      <c r="U338" s="395"/>
    </row>
    <row r="339" ht="15.75" customHeight="1">
      <c r="A339" s="395"/>
      <c r="B339" s="395"/>
      <c r="C339" s="395"/>
      <c r="D339" s="395"/>
      <c r="E339" s="395"/>
      <c r="F339" s="395"/>
      <c r="G339" s="395"/>
      <c r="H339" s="395"/>
      <c r="I339" s="395"/>
      <c r="J339" s="395"/>
      <c r="K339" s="395"/>
      <c r="L339" s="395"/>
      <c r="M339" s="395"/>
      <c r="N339" s="395"/>
      <c r="O339" s="395"/>
      <c r="P339" s="395"/>
      <c r="Q339" s="395"/>
      <c r="R339" s="395"/>
      <c r="S339" s="395"/>
      <c r="T339" s="395"/>
      <c r="U339" s="395"/>
    </row>
    <row r="340" ht="15.75" customHeight="1">
      <c r="A340" s="395"/>
      <c r="B340" s="395"/>
      <c r="C340" s="395"/>
      <c r="D340" s="395"/>
      <c r="E340" s="395"/>
      <c r="F340" s="395"/>
      <c r="G340" s="395"/>
      <c r="H340" s="395"/>
      <c r="I340" s="395"/>
      <c r="J340" s="395"/>
      <c r="K340" s="395"/>
      <c r="L340" s="395"/>
      <c r="M340" s="395"/>
      <c r="N340" s="395"/>
      <c r="O340" s="395"/>
      <c r="P340" s="395"/>
      <c r="Q340" s="395"/>
      <c r="R340" s="395"/>
      <c r="S340" s="395"/>
      <c r="T340" s="395"/>
      <c r="U340" s="395"/>
    </row>
    <row r="341" ht="15.75" customHeight="1">
      <c r="A341" s="395"/>
      <c r="B341" s="395"/>
      <c r="C341" s="395"/>
      <c r="D341" s="395"/>
      <c r="E341" s="395"/>
      <c r="F341" s="395"/>
      <c r="G341" s="395"/>
      <c r="H341" s="395"/>
      <c r="I341" s="395"/>
      <c r="J341" s="395"/>
      <c r="K341" s="395"/>
      <c r="L341" s="395"/>
      <c r="M341" s="395"/>
      <c r="N341" s="395"/>
      <c r="O341" s="395"/>
      <c r="P341" s="395"/>
      <c r="Q341" s="395"/>
      <c r="R341" s="395"/>
      <c r="S341" s="395"/>
      <c r="T341" s="395"/>
      <c r="U341" s="395"/>
    </row>
    <row r="342" ht="15.75" customHeight="1">
      <c r="A342" s="395"/>
      <c r="B342" s="395"/>
      <c r="C342" s="395"/>
      <c r="D342" s="395"/>
      <c r="E342" s="395"/>
      <c r="F342" s="395"/>
      <c r="G342" s="395"/>
      <c r="H342" s="395"/>
      <c r="I342" s="395"/>
      <c r="J342" s="395"/>
      <c r="K342" s="395"/>
      <c r="L342" s="395"/>
      <c r="M342" s="395"/>
      <c r="N342" s="395"/>
      <c r="O342" s="395"/>
      <c r="P342" s="395"/>
      <c r="Q342" s="395"/>
      <c r="R342" s="395"/>
      <c r="S342" s="395"/>
      <c r="T342" s="395"/>
      <c r="U342" s="395"/>
    </row>
    <row r="343" ht="15.75" customHeight="1">
      <c r="A343" s="395"/>
      <c r="B343" s="395"/>
      <c r="C343" s="395"/>
      <c r="D343" s="395"/>
      <c r="E343" s="395"/>
      <c r="F343" s="395"/>
      <c r="G343" s="395"/>
      <c r="H343" s="395"/>
      <c r="I343" s="395"/>
      <c r="J343" s="395"/>
      <c r="K343" s="395"/>
      <c r="L343" s="395"/>
      <c r="M343" s="395"/>
      <c r="N343" s="395"/>
      <c r="O343" s="395"/>
      <c r="P343" s="395"/>
      <c r="Q343" s="395"/>
      <c r="R343" s="395"/>
      <c r="S343" s="395"/>
      <c r="T343" s="395"/>
      <c r="U343" s="395"/>
    </row>
    <row r="344" ht="15.75" customHeight="1">
      <c r="A344" s="395"/>
      <c r="B344" s="395"/>
      <c r="C344" s="395"/>
      <c r="D344" s="395"/>
      <c r="E344" s="395"/>
      <c r="F344" s="395"/>
      <c r="G344" s="395"/>
      <c r="H344" s="395"/>
      <c r="I344" s="395"/>
      <c r="J344" s="395"/>
      <c r="K344" s="395"/>
      <c r="L344" s="395"/>
      <c r="M344" s="395"/>
      <c r="N344" s="395"/>
      <c r="O344" s="395"/>
      <c r="P344" s="395"/>
      <c r="Q344" s="395"/>
      <c r="R344" s="395"/>
      <c r="S344" s="395"/>
      <c r="T344" s="395"/>
      <c r="U344" s="395"/>
    </row>
    <row r="345" ht="15.75" customHeight="1">
      <c r="A345" s="395"/>
      <c r="B345" s="395"/>
      <c r="C345" s="395"/>
      <c r="D345" s="395"/>
      <c r="E345" s="395"/>
      <c r="F345" s="395"/>
      <c r="G345" s="395"/>
      <c r="H345" s="395"/>
      <c r="I345" s="395"/>
      <c r="J345" s="395"/>
      <c r="K345" s="395"/>
      <c r="L345" s="395"/>
      <c r="M345" s="395"/>
      <c r="N345" s="395"/>
      <c r="O345" s="395"/>
      <c r="P345" s="395"/>
      <c r="Q345" s="395"/>
      <c r="R345" s="395"/>
      <c r="S345" s="395"/>
      <c r="T345" s="395"/>
      <c r="U345" s="395"/>
    </row>
    <row r="346" ht="15.75" customHeight="1">
      <c r="A346" s="395"/>
      <c r="B346" s="395"/>
      <c r="C346" s="395"/>
      <c r="D346" s="395"/>
      <c r="E346" s="395"/>
      <c r="F346" s="395"/>
      <c r="G346" s="395"/>
      <c r="H346" s="395"/>
      <c r="I346" s="395"/>
      <c r="J346" s="395"/>
      <c r="K346" s="395"/>
      <c r="L346" s="395"/>
      <c r="M346" s="395"/>
      <c r="N346" s="395"/>
      <c r="O346" s="395"/>
      <c r="P346" s="395"/>
      <c r="Q346" s="395"/>
      <c r="R346" s="395"/>
      <c r="S346" s="395"/>
      <c r="T346" s="395"/>
      <c r="U346" s="395"/>
    </row>
    <row r="347" ht="15.75" customHeight="1">
      <c r="A347" s="395"/>
      <c r="B347" s="395"/>
      <c r="C347" s="395"/>
      <c r="D347" s="395"/>
      <c r="E347" s="395"/>
      <c r="F347" s="395"/>
      <c r="G347" s="395"/>
      <c r="H347" s="395"/>
      <c r="I347" s="395"/>
      <c r="J347" s="395"/>
      <c r="K347" s="395"/>
      <c r="L347" s="395"/>
      <c r="M347" s="395"/>
      <c r="N347" s="395"/>
      <c r="O347" s="395"/>
      <c r="P347" s="395"/>
      <c r="Q347" s="395"/>
      <c r="R347" s="395"/>
      <c r="S347" s="395"/>
      <c r="T347" s="395"/>
      <c r="U347" s="395"/>
    </row>
    <row r="348" ht="15.75" customHeight="1">
      <c r="A348" s="395"/>
      <c r="B348" s="395"/>
      <c r="C348" s="395"/>
      <c r="D348" s="395"/>
      <c r="E348" s="395"/>
      <c r="F348" s="395"/>
      <c r="G348" s="395"/>
      <c r="H348" s="395"/>
      <c r="I348" s="395"/>
      <c r="J348" s="395"/>
      <c r="K348" s="395"/>
      <c r="L348" s="395"/>
      <c r="M348" s="395"/>
      <c r="N348" s="395"/>
      <c r="O348" s="395"/>
      <c r="P348" s="395"/>
      <c r="Q348" s="395"/>
      <c r="R348" s="395"/>
      <c r="S348" s="395"/>
      <c r="T348" s="395"/>
      <c r="U348" s="395"/>
    </row>
    <row r="349" ht="15.75" customHeight="1">
      <c r="A349" s="395"/>
      <c r="B349" s="395"/>
      <c r="C349" s="395"/>
      <c r="D349" s="395"/>
      <c r="E349" s="395"/>
      <c r="F349" s="395"/>
      <c r="G349" s="395"/>
      <c r="H349" s="395"/>
      <c r="I349" s="395"/>
      <c r="J349" s="395"/>
      <c r="K349" s="395"/>
      <c r="L349" s="395"/>
      <c r="M349" s="395"/>
      <c r="N349" s="395"/>
      <c r="O349" s="395"/>
      <c r="P349" s="395"/>
      <c r="Q349" s="395"/>
      <c r="R349" s="395"/>
      <c r="S349" s="395"/>
      <c r="T349" s="395"/>
      <c r="U349" s="395"/>
    </row>
    <row r="350" ht="15.75" customHeight="1">
      <c r="A350" s="395"/>
      <c r="B350" s="395"/>
      <c r="C350" s="395"/>
      <c r="D350" s="395"/>
      <c r="E350" s="395"/>
      <c r="F350" s="395"/>
      <c r="G350" s="395"/>
      <c r="H350" s="395"/>
      <c r="I350" s="395"/>
      <c r="J350" s="395"/>
      <c r="K350" s="395"/>
      <c r="L350" s="395"/>
      <c r="M350" s="395"/>
      <c r="N350" s="395"/>
      <c r="O350" s="395"/>
      <c r="P350" s="395"/>
      <c r="Q350" s="395"/>
      <c r="R350" s="395"/>
      <c r="S350" s="395"/>
      <c r="T350" s="395"/>
      <c r="U350" s="395"/>
    </row>
    <row r="351" ht="15.75" customHeight="1">
      <c r="A351" s="395"/>
      <c r="B351" s="395"/>
      <c r="C351" s="395"/>
      <c r="D351" s="395"/>
      <c r="E351" s="395"/>
      <c r="F351" s="395"/>
      <c r="G351" s="395"/>
      <c r="H351" s="395"/>
      <c r="I351" s="395"/>
      <c r="J351" s="395"/>
      <c r="K351" s="395"/>
      <c r="L351" s="395"/>
      <c r="M351" s="395"/>
      <c r="N351" s="395"/>
      <c r="O351" s="395"/>
      <c r="P351" s="395"/>
      <c r="Q351" s="395"/>
      <c r="R351" s="395"/>
      <c r="S351" s="395"/>
      <c r="T351" s="395"/>
      <c r="U351" s="395"/>
    </row>
    <row r="352" ht="15.75" customHeight="1">
      <c r="A352" s="395"/>
      <c r="B352" s="395"/>
      <c r="C352" s="395"/>
      <c r="D352" s="395"/>
      <c r="E352" s="395"/>
      <c r="F352" s="395"/>
      <c r="G352" s="395"/>
      <c r="H352" s="395"/>
      <c r="I352" s="395"/>
      <c r="J352" s="395"/>
      <c r="K352" s="395"/>
      <c r="L352" s="395"/>
      <c r="M352" s="395"/>
      <c r="N352" s="395"/>
      <c r="O352" s="395"/>
      <c r="P352" s="395"/>
      <c r="Q352" s="395"/>
      <c r="R352" s="395"/>
      <c r="S352" s="395"/>
      <c r="T352" s="395"/>
      <c r="U352" s="395"/>
    </row>
    <row r="353" ht="15.75" customHeight="1">
      <c r="A353" s="395"/>
      <c r="B353" s="395"/>
      <c r="C353" s="395"/>
      <c r="D353" s="395"/>
      <c r="E353" s="395"/>
      <c r="F353" s="395"/>
      <c r="G353" s="395"/>
      <c r="H353" s="395"/>
      <c r="I353" s="395"/>
      <c r="J353" s="395"/>
      <c r="K353" s="395"/>
      <c r="L353" s="395"/>
      <c r="M353" s="395"/>
      <c r="N353" s="395"/>
      <c r="O353" s="395"/>
      <c r="P353" s="395"/>
      <c r="Q353" s="395"/>
      <c r="R353" s="395"/>
      <c r="S353" s="395"/>
      <c r="T353" s="395"/>
      <c r="U353" s="395"/>
    </row>
    <row r="354" ht="15.75" customHeight="1">
      <c r="A354" s="395"/>
      <c r="B354" s="395"/>
      <c r="C354" s="395"/>
      <c r="D354" s="395"/>
      <c r="E354" s="395"/>
      <c r="F354" s="395"/>
      <c r="G354" s="395"/>
      <c r="H354" s="395"/>
      <c r="I354" s="395"/>
      <c r="J354" s="395"/>
      <c r="K354" s="395"/>
      <c r="L354" s="395"/>
      <c r="M354" s="395"/>
      <c r="N354" s="395"/>
      <c r="O354" s="395"/>
      <c r="P354" s="395"/>
      <c r="Q354" s="395"/>
      <c r="R354" s="395"/>
      <c r="S354" s="395"/>
      <c r="T354" s="395"/>
      <c r="U354" s="395"/>
    </row>
    <row r="355" ht="15.75" customHeight="1">
      <c r="A355" s="395"/>
      <c r="B355" s="395"/>
      <c r="C355" s="395"/>
      <c r="D355" s="395"/>
      <c r="E355" s="395"/>
      <c r="F355" s="395"/>
      <c r="G355" s="395"/>
      <c r="H355" s="395"/>
      <c r="I355" s="395"/>
      <c r="J355" s="395"/>
      <c r="K355" s="395"/>
      <c r="L355" s="395"/>
      <c r="M355" s="395"/>
      <c r="N355" s="395"/>
      <c r="O355" s="395"/>
      <c r="P355" s="395"/>
      <c r="Q355" s="395"/>
      <c r="R355" s="395"/>
      <c r="S355" s="395"/>
      <c r="T355" s="395"/>
      <c r="U355" s="395"/>
    </row>
    <row r="356" ht="15.75" customHeight="1">
      <c r="A356" s="395"/>
      <c r="B356" s="395"/>
      <c r="C356" s="395"/>
      <c r="D356" s="395"/>
      <c r="E356" s="395"/>
      <c r="F356" s="395"/>
      <c r="G356" s="395"/>
      <c r="H356" s="395"/>
      <c r="I356" s="395"/>
      <c r="J356" s="395"/>
      <c r="K356" s="395"/>
      <c r="L356" s="395"/>
      <c r="M356" s="395"/>
      <c r="N356" s="395"/>
      <c r="O356" s="395"/>
      <c r="P356" s="395"/>
      <c r="Q356" s="395"/>
      <c r="R356" s="395"/>
      <c r="S356" s="395"/>
      <c r="T356" s="395"/>
      <c r="U356" s="395"/>
    </row>
    <row r="357" ht="15.75" customHeight="1">
      <c r="A357" s="395"/>
      <c r="B357" s="395"/>
      <c r="C357" s="395"/>
      <c r="D357" s="395"/>
      <c r="E357" s="395"/>
      <c r="F357" s="395"/>
      <c r="G357" s="395"/>
      <c r="H357" s="395"/>
      <c r="I357" s="395"/>
      <c r="J357" s="395"/>
      <c r="K357" s="395"/>
      <c r="L357" s="395"/>
      <c r="M357" s="395"/>
      <c r="N357" s="395"/>
      <c r="O357" s="395"/>
      <c r="P357" s="395"/>
      <c r="Q357" s="395"/>
      <c r="R357" s="395"/>
      <c r="S357" s="395"/>
      <c r="T357" s="395"/>
      <c r="U357" s="395"/>
    </row>
    <row r="358" ht="15.75" customHeight="1">
      <c r="A358" s="395"/>
      <c r="B358" s="395"/>
      <c r="C358" s="395"/>
      <c r="D358" s="395"/>
      <c r="E358" s="395"/>
      <c r="F358" s="395"/>
      <c r="G358" s="395"/>
      <c r="H358" s="395"/>
      <c r="I358" s="395"/>
      <c r="J358" s="395"/>
      <c r="K358" s="395"/>
      <c r="L358" s="395"/>
      <c r="M358" s="395"/>
      <c r="N358" s="395"/>
      <c r="O358" s="395"/>
      <c r="P358" s="395"/>
      <c r="Q358" s="395"/>
      <c r="R358" s="395"/>
      <c r="S358" s="395"/>
      <c r="T358" s="395"/>
      <c r="U358" s="395"/>
    </row>
    <row r="359" ht="15.75" customHeight="1">
      <c r="A359" s="395"/>
      <c r="B359" s="395"/>
      <c r="C359" s="395"/>
      <c r="D359" s="395"/>
      <c r="E359" s="395"/>
      <c r="F359" s="395"/>
      <c r="G359" s="395"/>
      <c r="H359" s="395"/>
      <c r="I359" s="395"/>
      <c r="J359" s="395"/>
      <c r="K359" s="395"/>
      <c r="L359" s="395"/>
      <c r="M359" s="395"/>
      <c r="N359" s="395"/>
      <c r="O359" s="395"/>
      <c r="P359" s="395"/>
      <c r="Q359" s="395"/>
      <c r="R359" s="395"/>
      <c r="S359" s="395"/>
      <c r="T359" s="395"/>
      <c r="U359" s="395"/>
    </row>
    <row r="360" ht="15.75" customHeight="1">
      <c r="A360" s="395"/>
      <c r="B360" s="395"/>
      <c r="C360" s="395"/>
      <c r="D360" s="395"/>
      <c r="E360" s="395"/>
      <c r="F360" s="395"/>
      <c r="G360" s="395"/>
      <c r="H360" s="395"/>
      <c r="I360" s="395"/>
      <c r="J360" s="395"/>
      <c r="K360" s="395"/>
      <c r="L360" s="395"/>
      <c r="M360" s="395"/>
      <c r="N360" s="395"/>
      <c r="O360" s="395"/>
      <c r="P360" s="395"/>
      <c r="Q360" s="395"/>
      <c r="R360" s="395"/>
      <c r="S360" s="395"/>
      <c r="T360" s="395"/>
      <c r="U360" s="395"/>
    </row>
    <row r="361" ht="15.75" customHeight="1">
      <c r="A361" s="395"/>
      <c r="B361" s="395"/>
      <c r="C361" s="395"/>
      <c r="D361" s="395"/>
      <c r="E361" s="395"/>
      <c r="F361" s="395"/>
      <c r="G361" s="395"/>
      <c r="H361" s="395"/>
      <c r="I361" s="395"/>
      <c r="J361" s="395"/>
      <c r="K361" s="395"/>
      <c r="L361" s="395"/>
      <c r="M361" s="395"/>
      <c r="N361" s="395"/>
      <c r="O361" s="395"/>
      <c r="P361" s="395"/>
      <c r="Q361" s="395"/>
      <c r="R361" s="395"/>
      <c r="S361" s="395"/>
      <c r="T361" s="395"/>
      <c r="U361" s="395"/>
    </row>
    <row r="362" ht="15.75" customHeight="1">
      <c r="A362" s="395"/>
      <c r="B362" s="395"/>
      <c r="C362" s="395"/>
      <c r="D362" s="395"/>
      <c r="E362" s="395"/>
      <c r="F362" s="395"/>
      <c r="G362" s="395"/>
      <c r="H362" s="395"/>
      <c r="I362" s="395"/>
      <c r="J362" s="395"/>
      <c r="K362" s="395"/>
      <c r="L362" s="395"/>
      <c r="M362" s="395"/>
      <c r="N362" s="395"/>
      <c r="O362" s="395"/>
      <c r="P362" s="395"/>
      <c r="Q362" s="395"/>
      <c r="R362" s="395"/>
      <c r="S362" s="395"/>
      <c r="T362" s="395"/>
      <c r="U362" s="395"/>
    </row>
    <row r="363" ht="15.75" customHeight="1">
      <c r="A363" s="395"/>
      <c r="B363" s="395"/>
      <c r="C363" s="395"/>
      <c r="D363" s="395"/>
      <c r="E363" s="395"/>
      <c r="F363" s="395"/>
      <c r="G363" s="395"/>
      <c r="H363" s="395"/>
      <c r="I363" s="395"/>
      <c r="J363" s="395"/>
      <c r="K363" s="395"/>
      <c r="L363" s="395"/>
      <c r="M363" s="395"/>
      <c r="N363" s="395"/>
      <c r="O363" s="395"/>
      <c r="P363" s="395"/>
      <c r="Q363" s="395"/>
      <c r="R363" s="395"/>
      <c r="S363" s="395"/>
      <c r="T363" s="395"/>
      <c r="U363" s="395"/>
    </row>
    <row r="364" ht="15.75" customHeight="1">
      <c r="A364" s="395"/>
      <c r="B364" s="395"/>
      <c r="C364" s="395"/>
      <c r="D364" s="395"/>
      <c r="E364" s="395"/>
      <c r="F364" s="395"/>
      <c r="G364" s="395"/>
      <c r="H364" s="395"/>
      <c r="I364" s="395"/>
      <c r="J364" s="395"/>
      <c r="K364" s="395"/>
      <c r="L364" s="395"/>
      <c r="M364" s="395"/>
      <c r="N364" s="395"/>
      <c r="O364" s="395"/>
      <c r="P364" s="395"/>
      <c r="Q364" s="395"/>
      <c r="R364" s="395"/>
      <c r="S364" s="395"/>
      <c r="T364" s="395"/>
      <c r="U364" s="395"/>
    </row>
    <row r="365" ht="15.75" customHeight="1">
      <c r="A365" s="395"/>
      <c r="B365" s="395"/>
      <c r="C365" s="395"/>
      <c r="D365" s="395"/>
      <c r="E365" s="395"/>
      <c r="F365" s="395"/>
      <c r="G365" s="395"/>
      <c r="H365" s="395"/>
      <c r="I365" s="395"/>
      <c r="J365" s="395"/>
      <c r="K365" s="395"/>
      <c r="L365" s="395"/>
      <c r="M365" s="395"/>
      <c r="N365" s="395"/>
      <c r="O365" s="395"/>
      <c r="P365" s="395"/>
      <c r="Q365" s="395"/>
      <c r="R365" s="395"/>
      <c r="S365" s="395"/>
      <c r="T365" s="395"/>
      <c r="U365" s="395"/>
    </row>
    <row r="366" ht="15.75" customHeight="1">
      <c r="A366" s="395"/>
      <c r="B366" s="395"/>
      <c r="C366" s="395"/>
      <c r="D366" s="395"/>
      <c r="E366" s="395"/>
      <c r="F366" s="395"/>
      <c r="G366" s="395"/>
      <c r="H366" s="395"/>
      <c r="I366" s="395"/>
      <c r="J366" s="395"/>
      <c r="K366" s="395"/>
      <c r="L366" s="395"/>
      <c r="M366" s="395"/>
      <c r="N366" s="395"/>
      <c r="O366" s="395"/>
      <c r="P366" s="395"/>
      <c r="Q366" s="395"/>
      <c r="R366" s="395"/>
      <c r="S366" s="395"/>
      <c r="T366" s="395"/>
      <c r="U366" s="395"/>
    </row>
    <row r="367" ht="15.75" customHeight="1">
      <c r="A367" s="395"/>
      <c r="B367" s="395"/>
      <c r="C367" s="395"/>
      <c r="D367" s="395"/>
      <c r="E367" s="395"/>
      <c r="F367" s="395"/>
      <c r="G367" s="395"/>
      <c r="H367" s="395"/>
      <c r="I367" s="395"/>
      <c r="J367" s="395"/>
      <c r="K367" s="395"/>
      <c r="L367" s="395"/>
      <c r="M367" s="395"/>
      <c r="N367" s="395"/>
      <c r="O367" s="395"/>
      <c r="P367" s="395"/>
      <c r="Q367" s="395"/>
      <c r="R367" s="395"/>
      <c r="S367" s="395"/>
      <c r="T367" s="395"/>
      <c r="U367" s="395"/>
    </row>
    <row r="368" ht="15.75" customHeight="1">
      <c r="A368" s="395"/>
      <c r="B368" s="395"/>
      <c r="C368" s="395"/>
      <c r="D368" s="395"/>
      <c r="E368" s="395"/>
      <c r="F368" s="395"/>
      <c r="G368" s="395"/>
      <c r="H368" s="395"/>
      <c r="I368" s="395"/>
      <c r="J368" s="395"/>
      <c r="K368" s="395"/>
      <c r="L368" s="395"/>
      <c r="M368" s="395"/>
      <c r="N368" s="395"/>
      <c r="O368" s="395"/>
      <c r="P368" s="395"/>
      <c r="Q368" s="395"/>
      <c r="R368" s="395"/>
      <c r="S368" s="395"/>
      <c r="T368" s="395"/>
      <c r="U368" s="395"/>
    </row>
    <row r="369" ht="15.75" customHeight="1">
      <c r="A369" s="395"/>
      <c r="B369" s="395"/>
      <c r="C369" s="395"/>
      <c r="D369" s="395"/>
      <c r="E369" s="395"/>
      <c r="F369" s="395"/>
      <c r="G369" s="395"/>
      <c r="H369" s="395"/>
      <c r="I369" s="395"/>
      <c r="J369" s="395"/>
      <c r="K369" s="395"/>
      <c r="L369" s="395"/>
      <c r="M369" s="395"/>
      <c r="N369" s="395"/>
      <c r="O369" s="395"/>
      <c r="P369" s="395"/>
      <c r="Q369" s="395"/>
      <c r="R369" s="395"/>
      <c r="S369" s="395"/>
      <c r="T369" s="395"/>
      <c r="U369" s="395"/>
    </row>
    <row r="370" ht="15.75" customHeight="1">
      <c r="A370" s="395"/>
      <c r="B370" s="395"/>
      <c r="C370" s="395"/>
      <c r="D370" s="395"/>
      <c r="E370" s="395"/>
      <c r="F370" s="395"/>
      <c r="G370" s="395"/>
      <c r="H370" s="395"/>
      <c r="I370" s="395"/>
      <c r="J370" s="395"/>
      <c r="K370" s="395"/>
      <c r="L370" s="395"/>
      <c r="M370" s="395"/>
      <c r="N370" s="395"/>
      <c r="O370" s="395"/>
      <c r="P370" s="395"/>
      <c r="Q370" s="395"/>
      <c r="R370" s="395"/>
      <c r="S370" s="395"/>
      <c r="T370" s="395"/>
      <c r="U370" s="395"/>
    </row>
    <row r="371" ht="15.75" customHeight="1">
      <c r="A371" s="395"/>
      <c r="B371" s="395"/>
      <c r="C371" s="395"/>
      <c r="D371" s="395"/>
      <c r="E371" s="395"/>
      <c r="F371" s="395"/>
      <c r="G371" s="395"/>
      <c r="H371" s="395"/>
      <c r="I371" s="395"/>
      <c r="J371" s="395"/>
      <c r="K371" s="395"/>
      <c r="L371" s="395"/>
      <c r="M371" s="395"/>
      <c r="N371" s="395"/>
      <c r="O371" s="395"/>
      <c r="P371" s="395"/>
      <c r="Q371" s="395"/>
      <c r="R371" s="395"/>
      <c r="S371" s="395"/>
      <c r="T371" s="395"/>
      <c r="U371" s="395"/>
    </row>
    <row r="372" ht="15.75" customHeight="1">
      <c r="A372" s="395"/>
      <c r="B372" s="395"/>
      <c r="C372" s="395"/>
      <c r="D372" s="395"/>
      <c r="E372" s="395"/>
      <c r="F372" s="395"/>
      <c r="G372" s="395"/>
      <c r="H372" s="395"/>
      <c r="I372" s="395"/>
      <c r="J372" s="395"/>
      <c r="K372" s="395"/>
      <c r="L372" s="395"/>
      <c r="M372" s="395"/>
      <c r="N372" s="395"/>
      <c r="O372" s="395"/>
      <c r="P372" s="395"/>
      <c r="Q372" s="395"/>
      <c r="R372" s="395"/>
      <c r="S372" s="395"/>
      <c r="T372" s="395"/>
      <c r="U372" s="395"/>
    </row>
    <row r="373" ht="15.75" customHeight="1">
      <c r="A373" s="395"/>
      <c r="B373" s="395"/>
      <c r="C373" s="395"/>
      <c r="D373" s="395"/>
      <c r="E373" s="395"/>
      <c r="F373" s="395"/>
      <c r="G373" s="395"/>
      <c r="H373" s="395"/>
      <c r="I373" s="395"/>
      <c r="J373" s="395"/>
      <c r="K373" s="395"/>
      <c r="L373" s="395"/>
      <c r="M373" s="395"/>
      <c r="N373" s="395"/>
      <c r="O373" s="395"/>
      <c r="P373" s="395"/>
      <c r="Q373" s="395"/>
      <c r="R373" s="395"/>
      <c r="S373" s="395"/>
      <c r="T373" s="395"/>
      <c r="U373" s="395"/>
    </row>
    <row r="374" ht="15.75" customHeight="1">
      <c r="A374" s="395"/>
      <c r="B374" s="395"/>
      <c r="C374" s="395"/>
      <c r="D374" s="395"/>
      <c r="E374" s="395"/>
      <c r="F374" s="395"/>
      <c r="G374" s="395"/>
      <c r="H374" s="395"/>
      <c r="I374" s="395"/>
      <c r="J374" s="395"/>
      <c r="K374" s="395"/>
      <c r="L374" s="395"/>
      <c r="M374" s="395"/>
      <c r="N374" s="395"/>
      <c r="O374" s="395"/>
      <c r="P374" s="395"/>
      <c r="Q374" s="395"/>
      <c r="R374" s="395"/>
      <c r="S374" s="395"/>
      <c r="T374" s="395"/>
      <c r="U374" s="395"/>
    </row>
    <row r="375" ht="15.75" customHeight="1">
      <c r="A375" s="395"/>
      <c r="B375" s="395"/>
      <c r="C375" s="395"/>
      <c r="D375" s="395"/>
      <c r="E375" s="395"/>
      <c r="F375" s="395"/>
      <c r="G375" s="395"/>
      <c r="H375" s="395"/>
      <c r="I375" s="395"/>
      <c r="J375" s="395"/>
      <c r="K375" s="395"/>
      <c r="L375" s="395"/>
      <c r="M375" s="395"/>
      <c r="N375" s="395"/>
      <c r="O375" s="395"/>
      <c r="P375" s="395"/>
      <c r="Q375" s="395"/>
      <c r="R375" s="395"/>
      <c r="S375" s="395"/>
      <c r="T375" s="395"/>
      <c r="U375" s="395"/>
    </row>
    <row r="376" ht="15.75" customHeight="1">
      <c r="A376" s="395"/>
      <c r="B376" s="395"/>
      <c r="C376" s="395"/>
      <c r="D376" s="395"/>
      <c r="E376" s="395"/>
      <c r="F376" s="395"/>
      <c r="G376" s="395"/>
      <c r="H376" s="395"/>
      <c r="I376" s="395"/>
      <c r="J376" s="395"/>
      <c r="K376" s="395"/>
      <c r="L376" s="395"/>
      <c r="M376" s="395"/>
      <c r="N376" s="395"/>
      <c r="O376" s="395"/>
      <c r="P376" s="395"/>
      <c r="Q376" s="395"/>
      <c r="R376" s="395"/>
      <c r="S376" s="395"/>
      <c r="T376" s="395"/>
      <c r="U376" s="395"/>
    </row>
    <row r="377" ht="15.75" customHeight="1">
      <c r="A377" s="395"/>
      <c r="B377" s="395"/>
      <c r="C377" s="395"/>
      <c r="D377" s="395"/>
      <c r="E377" s="395"/>
      <c r="F377" s="395"/>
      <c r="G377" s="395"/>
      <c r="H377" s="395"/>
      <c r="I377" s="395"/>
      <c r="J377" s="395"/>
      <c r="K377" s="395"/>
      <c r="L377" s="395"/>
      <c r="M377" s="395"/>
      <c r="N377" s="395"/>
      <c r="O377" s="395"/>
      <c r="P377" s="395"/>
      <c r="Q377" s="395"/>
      <c r="R377" s="395"/>
      <c r="S377" s="395"/>
      <c r="T377" s="395"/>
      <c r="U377" s="395"/>
    </row>
    <row r="378" ht="15.75" customHeight="1">
      <c r="A378" s="395"/>
      <c r="B378" s="395"/>
      <c r="C378" s="395"/>
      <c r="D378" s="395"/>
      <c r="E378" s="395"/>
      <c r="F378" s="395"/>
      <c r="G378" s="395"/>
      <c r="H378" s="395"/>
      <c r="I378" s="395"/>
      <c r="J378" s="395"/>
      <c r="K378" s="395"/>
      <c r="L378" s="395"/>
      <c r="M378" s="395"/>
      <c r="N378" s="395"/>
      <c r="O378" s="395"/>
      <c r="P378" s="395"/>
      <c r="Q378" s="395"/>
      <c r="R378" s="395"/>
      <c r="S378" s="395"/>
      <c r="T378" s="395"/>
      <c r="U378" s="395"/>
    </row>
    <row r="379" ht="15.75" customHeight="1">
      <c r="A379" s="395"/>
      <c r="B379" s="395"/>
      <c r="C379" s="395"/>
      <c r="D379" s="395"/>
      <c r="E379" s="395"/>
      <c r="F379" s="395"/>
      <c r="G379" s="395"/>
      <c r="H379" s="395"/>
      <c r="I379" s="395"/>
      <c r="J379" s="395"/>
      <c r="K379" s="395"/>
      <c r="L379" s="395"/>
      <c r="M379" s="395"/>
      <c r="N379" s="395"/>
      <c r="O379" s="395"/>
      <c r="P379" s="395"/>
      <c r="Q379" s="395"/>
      <c r="R379" s="395"/>
      <c r="S379" s="395"/>
      <c r="T379" s="395"/>
      <c r="U379" s="395"/>
    </row>
    <row r="380" ht="15.75" customHeight="1">
      <c r="A380" s="395"/>
      <c r="B380" s="395"/>
      <c r="C380" s="395"/>
      <c r="D380" s="395"/>
      <c r="E380" s="395"/>
      <c r="F380" s="395"/>
      <c r="G380" s="395"/>
      <c r="H380" s="395"/>
      <c r="I380" s="395"/>
      <c r="J380" s="395"/>
      <c r="K380" s="395"/>
      <c r="L380" s="395"/>
      <c r="M380" s="395"/>
      <c r="N380" s="395"/>
      <c r="O380" s="395"/>
      <c r="P380" s="395"/>
      <c r="Q380" s="395"/>
      <c r="R380" s="395"/>
      <c r="S380" s="395"/>
      <c r="T380" s="395"/>
      <c r="U380" s="395"/>
    </row>
    <row r="381" ht="15.75" customHeight="1">
      <c r="A381" s="395"/>
      <c r="B381" s="395"/>
      <c r="C381" s="395"/>
      <c r="D381" s="395"/>
      <c r="E381" s="395"/>
      <c r="F381" s="395"/>
      <c r="G381" s="395"/>
      <c r="H381" s="395"/>
      <c r="I381" s="395"/>
      <c r="J381" s="395"/>
      <c r="K381" s="395"/>
      <c r="L381" s="395"/>
      <c r="M381" s="395"/>
      <c r="N381" s="395"/>
      <c r="O381" s="395"/>
      <c r="P381" s="395"/>
      <c r="Q381" s="395"/>
      <c r="R381" s="395"/>
      <c r="S381" s="395"/>
      <c r="T381" s="395"/>
      <c r="U381" s="395"/>
    </row>
    <row r="382" ht="15.75" customHeight="1">
      <c r="A382" s="395"/>
      <c r="B382" s="395"/>
      <c r="C382" s="395"/>
      <c r="D382" s="395"/>
      <c r="E382" s="395"/>
      <c r="F382" s="395"/>
      <c r="G382" s="395"/>
      <c r="H382" s="395"/>
      <c r="I382" s="395"/>
      <c r="J382" s="395"/>
      <c r="K382" s="395"/>
      <c r="L382" s="395"/>
      <c r="M382" s="395"/>
      <c r="N382" s="395"/>
      <c r="O382" s="395"/>
      <c r="P382" s="395"/>
      <c r="Q382" s="395"/>
      <c r="R382" s="395"/>
      <c r="S382" s="395"/>
      <c r="T382" s="395"/>
      <c r="U382" s="395"/>
    </row>
    <row r="383" ht="15.75" customHeight="1">
      <c r="A383" s="395"/>
      <c r="B383" s="395"/>
      <c r="C383" s="395"/>
      <c r="D383" s="395"/>
      <c r="E383" s="395"/>
      <c r="F383" s="395"/>
      <c r="G383" s="395"/>
      <c r="H383" s="395"/>
      <c r="I383" s="395"/>
      <c r="J383" s="395"/>
      <c r="K383" s="395"/>
      <c r="L383" s="395"/>
      <c r="M383" s="395"/>
      <c r="N383" s="395"/>
      <c r="O383" s="395"/>
      <c r="P383" s="395"/>
      <c r="Q383" s="395"/>
      <c r="R383" s="395"/>
      <c r="S383" s="395"/>
      <c r="T383" s="395"/>
      <c r="U383" s="395"/>
    </row>
    <row r="384" ht="15.75" customHeight="1">
      <c r="A384" s="395"/>
      <c r="B384" s="395"/>
      <c r="C384" s="395"/>
      <c r="D384" s="395"/>
      <c r="E384" s="395"/>
      <c r="F384" s="395"/>
      <c r="G384" s="395"/>
      <c r="H384" s="395"/>
      <c r="I384" s="395"/>
      <c r="J384" s="395"/>
      <c r="K384" s="395"/>
      <c r="L384" s="395"/>
      <c r="M384" s="395"/>
      <c r="N384" s="395"/>
      <c r="O384" s="395"/>
      <c r="P384" s="395"/>
      <c r="Q384" s="395"/>
      <c r="R384" s="395"/>
      <c r="S384" s="395"/>
      <c r="T384" s="395"/>
      <c r="U384" s="395"/>
    </row>
    <row r="385" ht="15.75" customHeight="1">
      <c r="A385" s="395"/>
      <c r="B385" s="395"/>
      <c r="C385" s="395"/>
      <c r="D385" s="395"/>
      <c r="E385" s="395"/>
      <c r="F385" s="395"/>
      <c r="G385" s="395"/>
      <c r="H385" s="395"/>
      <c r="I385" s="395"/>
      <c r="J385" s="395"/>
      <c r="K385" s="395"/>
      <c r="L385" s="395"/>
      <c r="M385" s="395"/>
      <c r="N385" s="395"/>
      <c r="O385" s="395"/>
      <c r="P385" s="395"/>
      <c r="Q385" s="395"/>
      <c r="R385" s="395"/>
      <c r="S385" s="395"/>
      <c r="T385" s="395"/>
      <c r="U385" s="395"/>
    </row>
    <row r="386" ht="15.75" customHeight="1">
      <c r="A386" s="395"/>
      <c r="B386" s="395"/>
      <c r="C386" s="395"/>
      <c r="D386" s="395"/>
      <c r="E386" s="395"/>
      <c r="F386" s="395"/>
      <c r="G386" s="395"/>
      <c r="H386" s="395"/>
      <c r="I386" s="395"/>
      <c r="J386" s="395"/>
      <c r="K386" s="395"/>
      <c r="L386" s="395"/>
      <c r="M386" s="395"/>
      <c r="N386" s="395"/>
      <c r="O386" s="395"/>
      <c r="P386" s="395"/>
      <c r="Q386" s="395"/>
      <c r="R386" s="395"/>
      <c r="S386" s="395"/>
      <c r="T386" s="395"/>
      <c r="U386" s="395"/>
    </row>
    <row r="387" ht="15.75" customHeight="1">
      <c r="A387" s="395"/>
      <c r="B387" s="395"/>
      <c r="C387" s="395"/>
      <c r="D387" s="395"/>
      <c r="E387" s="395"/>
      <c r="F387" s="395"/>
      <c r="G387" s="395"/>
      <c r="H387" s="395"/>
      <c r="I387" s="395"/>
      <c r="J387" s="395"/>
      <c r="K387" s="395"/>
      <c r="L387" s="395"/>
      <c r="M387" s="395"/>
      <c r="N387" s="395"/>
      <c r="O387" s="395"/>
      <c r="P387" s="395"/>
      <c r="Q387" s="395"/>
      <c r="R387" s="395"/>
      <c r="S387" s="395"/>
      <c r="T387" s="395"/>
      <c r="U387" s="395"/>
    </row>
    <row r="388" ht="15.75" customHeight="1">
      <c r="A388" s="395"/>
      <c r="B388" s="395"/>
      <c r="C388" s="395"/>
      <c r="D388" s="395"/>
      <c r="E388" s="395"/>
      <c r="F388" s="395"/>
      <c r="G388" s="395"/>
      <c r="H388" s="395"/>
      <c r="I388" s="395"/>
      <c r="J388" s="395"/>
      <c r="K388" s="395"/>
      <c r="L388" s="395"/>
      <c r="M388" s="395"/>
      <c r="N388" s="395"/>
      <c r="O388" s="395"/>
      <c r="P388" s="395"/>
      <c r="Q388" s="395"/>
      <c r="R388" s="395"/>
      <c r="S388" s="395"/>
      <c r="T388" s="395"/>
      <c r="U388" s="395"/>
    </row>
    <row r="389" ht="15.75" customHeight="1">
      <c r="A389" s="395"/>
      <c r="B389" s="395"/>
      <c r="C389" s="395"/>
      <c r="D389" s="395"/>
      <c r="E389" s="395"/>
      <c r="F389" s="395"/>
      <c r="G389" s="395"/>
      <c r="H389" s="395"/>
      <c r="I389" s="395"/>
      <c r="J389" s="395"/>
      <c r="K389" s="395"/>
      <c r="L389" s="395"/>
      <c r="M389" s="395"/>
      <c r="N389" s="395"/>
      <c r="O389" s="395"/>
      <c r="P389" s="395"/>
      <c r="Q389" s="395"/>
      <c r="R389" s="395"/>
      <c r="S389" s="395"/>
      <c r="T389" s="395"/>
      <c r="U389" s="395"/>
    </row>
    <row r="390" ht="15.75" customHeight="1">
      <c r="A390" s="395"/>
      <c r="B390" s="395"/>
      <c r="C390" s="395"/>
      <c r="D390" s="395"/>
      <c r="E390" s="395"/>
      <c r="F390" s="395"/>
      <c r="G390" s="395"/>
      <c r="H390" s="395"/>
      <c r="I390" s="395"/>
      <c r="J390" s="395"/>
      <c r="K390" s="395"/>
      <c r="L390" s="395"/>
      <c r="M390" s="395"/>
      <c r="N390" s="395"/>
      <c r="O390" s="395"/>
      <c r="P390" s="395"/>
      <c r="Q390" s="395"/>
      <c r="R390" s="395"/>
      <c r="S390" s="395"/>
      <c r="T390" s="395"/>
      <c r="U390" s="395"/>
    </row>
    <row r="391" ht="15.75" customHeight="1">
      <c r="A391" s="395"/>
      <c r="B391" s="395"/>
      <c r="C391" s="395"/>
      <c r="D391" s="395"/>
      <c r="E391" s="395"/>
      <c r="F391" s="395"/>
      <c r="G391" s="395"/>
      <c r="H391" s="395"/>
      <c r="I391" s="395"/>
      <c r="J391" s="395"/>
      <c r="K391" s="395"/>
      <c r="L391" s="395"/>
      <c r="M391" s="395"/>
      <c r="N391" s="395"/>
      <c r="O391" s="395"/>
      <c r="P391" s="395"/>
      <c r="Q391" s="395"/>
      <c r="R391" s="395"/>
      <c r="S391" s="395"/>
      <c r="T391" s="395"/>
      <c r="U391" s="395"/>
    </row>
    <row r="392" ht="15.75" customHeight="1">
      <c r="A392" s="395"/>
      <c r="B392" s="395"/>
      <c r="C392" s="395"/>
      <c r="D392" s="395"/>
      <c r="E392" s="395"/>
      <c r="F392" s="395"/>
      <c r="G392" s="395"/>
      <c r="H392" s="395"/>
      <c r="I392" s="395"/>
      <c r="J392" s="395"/>
      <c r="K392" s="395"/>
      <c r="L392" s="395"/>
      <c r="M392" s="395"/>
      <c r="N392" s="395"/>
      <c r="O392" s="395"/>
      <c r="P392" s="395"/>
      <c r="Q392" s="395"/>
      <c r="R392" s="395"/>
      <c r="S392" s="395"/>
      <c r="T392" s="395"/>
      <c r="U392" s="395"/>
    </row>
    <row r="393" ht="15.75" customHeight="1">
      <c r="A393" s="395"/>
      <c r="B393" s="395"/>
      <c r="C393" s="395"/>
      <c r="D393" s="395"/>
      <c r="E393" s="395"/>
      <c r="F393" s="395"/>
      <c r="G393" s="395"/>
      <c r="H393" s="395"/>
      <c r="I393" s="395"/>
      <c r="J393" s="395"/>
      <c r="K393" s="395"/>
      <c r="L393" s="395"/>
      <c r="M393" s="395"/>
      <c r="N393" s="395"/>
      <c r="O393" s="395"/>
      <c r="P393" s="395"/>
      <c r="Q393" s="395"/>
      <c r="R393" s="395"/>
      <c r="S393" s="395"/>
      <c r="T393" s="395"/>
      <c r="U393" s="395"/>
    </row>
    <row r="394" ht="15.75" customHeight="1">
      <c r="A394" s="395"/>
      <c r="B394" s="395"/>
      <c r="C394" s="395"/>
      <c r="D394" s="395"/>
      <c r="E394" s="395"/>
      <c r="F394" s="395"/>
      <c r="G394" s="395"/>
      <c r="H394" s="395"/>
      <c r="I394" s="395"/>
      <c r="J394" s="395"/>
      <c r="K394" s="395"/>
      <c r="L394" s="395"/>
      <c r="M394" s="395"/>
      <c r="N394" s="395"/>
      <c r="O394" s="395"/>
      <c r="P394" s="395"/>
      <c r="Q394" s="395"/>
      <c r="R394" s="395"/>
      <c r="S394" s="395"/>
      <c r="T394" s="395"/>
      <c r="U394" s="395"/>
    </row>
    <row r="395" ht="15.75" customHeight="1">
      <c r="A395" s="395"/>
      <c r="B395" s="395"/>
      <c r="C395" s="395"/>
      <c r="D395" s="395"/>
      <c r="E395" s="395"/>
      <c r="F395" s="395"/>
      <c r="G395" s="395"/>
      <c r="H395" s="395"/>
      <c r="I395" s="395"/>
      <c r="J395" s="395"/>
      <c r="K395" s="395"/>
      <c r="L395" s="395"/>
      <c r="M395" s="395"/>
      <c r="N395" s="395"/>
      <c r="O395" s="395"/>
      <c r="P395" s="395"/>
      <c r="Q395" s="395"/>
      <c r="R395" s="395"/>
      <c r="S395" s="395"/>
      <c r="T395" s="395"/>
      <c r="U395" s="395"/>
    </row>
    <row r="396" ht="15.75" customHeight="1">
      <c r="A396" s="395"/>
      <c r="B396" s="395"/>
      <c r="C396" s="395"/>
      <c r="D396" s="395"/>
      <c r="E396" s="395"/>
      <c r="F396" s="395"/>
      <c r="G396" s="395"/>
      <c r="H396" s="395"/>
      <c r="I396" s="395"/>
      <c r="J396" s="395"/>
      <c r="K396" s="395"/>
      <c r="L396" s="395"/>
      <c r="M396" s="395"/>
      <c r="N396" s="395"/>
      <c r="O396" s="395"/>
      <c r="P396" s="395"/>
      <c r="Q396" s="395"/>
      <c r="R396" s="395"/>
      <c r="S396" s="395"/>
      <c r="T396" s="395"/>
      <c r="U396" s="395"/>
    </row>
    <row r="397" ht="15.75" customHeight="1">
      <c r="A397" s="395"/>
      <c r="B397" s="395"/>
      <c r="C397" s="395"/>
      <c r="D397" s="395"/>
      <c r="E397" s="395"/>
      <c r="F397" s="395"/>
      <c r="G397" s="395"/>
      <c r="H397" s="395"/>
      <c r="I397" s="395"/>
      <c r="J397" s="395"/>
      <c r="K397" s="395"/>
      <c r="L397" s="395"/>
      <c r="M397" s="395"/>
      <c r="N397" s="395"/>
      <c r="O397" s="395"/>
      <c r="P397" s="395"/>
      <c r="Q397" s="395"/>
      <c r="R397" s="395"/>
      <c r="S397" s="395"/>
      <c r="T397" s="395"/>
      <c r="U397" s="395"/>
    </row>
    <row r="398" ht="15.75" customHeight="1">
      <c r="A398" s="395"/>
      <c r="B398" s="395"/>
      <c r="C398" s="395"/>
      <c r="D398" s="395"/>
      <c r="E398" s="395"/>
      <c r="F398" s="395"/>
      <c r="G398" s="395"/>
      <c r="H398" s="395"/>
      <c r="I398" s="395"/>
      <c r="J398" s="395"/>
      <c r="K398" s="395"/>
      <c r="L398" s="395"/>
      <c r="M398" s="395"/>
      <c r="N398" s="395"/>
      <c r="O398" s="395"/>
      <c r="P398" s="395"/>
      <c r="Q398" s="395"/>
      <c r="R398" s="395"/>
      <c r="S398" s="395"/>
      <c r="T398" s="395"/>
      <c r="U398" s="395"/>
    </row>
    <row r="399" ht="15.75" customHeight="1">
      <c r="A399" s="395"/>
      <c r="B399" s="395"/>
      <c r="C399" s="395"/>
      <c r="D399" s="395"/>
      <c r="E399" s="395"/>
      <c r="F399" s="395"/>
      <c r="G399" s="395"/>
      <c r="H399" s="395"/>
      <c r="I399" s="395"/>
      <c r="J399" s="395"/>
      <c r="K399" s="395"/>
      <c r="L399" s="395"/>
      <c r="M399" s="395"/>
      <c r="N399" s="395"/>
      <c r="O399" s="395"/>
      <c r="P399" s="395"/>
      <c r="Q399" s="395"/>
      <c r="R399" s="395"/>
      <c r="S399" s="395"/>
      <c r="T399" s="395"/>
      <c r="U399" s="395"/>
    </row>
    <row r="400" ht="15.75" customHeight="1">
      <c r="A400" s="395"/>
      <c r="B400" s="395"/>
      <c r="C400" s="395"/>
      <c r="D400" s="395"/>
      <c r="E400" s="395"/>
      <c r="F400" s="395"/>
      <c r="G400" s="395"/>
      <c r="H400" s="395"/>
      <c r="I400" s="395"/>
      <c r="J400" s="395"/>
      <c r="K400" s="395"/>
      <c r="L400" s="395"/>
      <c r="M400" s="395"/>
      <c r="N400" s="395"/>
      <c r="O400" s="395"/>
      <c r="P400" s="395"/>
      <c r="Q400" s="395"/>
      <c r="R400" s="395"/>
      <c r="S400" s="395"/>
      <c r="T400" s="395"/>
      <c r="U400" s="395"/>
    </row>
    <row r="401" ht="15.75" customHeight="1">
      <c r="A401" s="395"/>
      <c r="B401" s="395"/>
      <c r="C401" s="395"/>
      <c r="D401" s="395"/>
      <c r="E401" s="395"/>
      <c r="F401" s="395"/>
      <c r="G401" s="395"/>
      <c r="H401" s="395"/>
      <c r="I401" s="395"/>
      <c r="J401" s="395"/>
      <c r="K401" s="395"/>
      <c r="L401" s="395"/>
      <c r="M401" s="395"/>
      <c r="N401" s="395"/>
      <c r="O401" s="395"/>
      <c r="P401" s="395"/>
      <c r="Q401" s="395"/>
      <c r="R401" s="395"/>
      <c r="S401" s="395"/>
      <c r="T401" s="395"/>
      <c r="U401" s="395"/>
    </row>
    <row r="402" ht="15.75" customHeight="1">
      <c r="A402" s="395"/>
      <c r="B402" s="395"/>
      <c r="C402" s="395"/>
      <c r="D402" s="395"/>
      <c r="E402" s="395"/>
      <c r="F402" s="395"/>
      <c r="G402" s="395"/>
      <c r="H402" s="395"/>
      <c r="I402" s="395"/>
      <c r="J402" s="395"/>
      <c r="K402" s="395"/>
      <c r="L402" s="395"/>
      <c r="M402" s="395"/>
      <c r="N402" s="395"/>
      <c r="O402" s="395"/>
      <c r="P402" s="395"/>
      <c r="Q402" s="395"/>
      <c r="R402" s="395"/>
      <c r="S402" s="395"/>
      <c r="T402" s="395"/>
      <c r="U402" s="395"/>
    </row>
    <row r="403" ht="15.75" customHeight="1">
      <c r="A403" s="395"/>
      <c r="B403" s="395"/>
      <c r="C403" s="395"/>
      <c r="D403" s="395"/>
      <c r="E403" s="395"/>
      <c r="F403" s="395"/>
      <c r="G403" s="395"/>
      <c r="H403" s="395"/>
      <c r="I403" s="395"/>
      <c r="J403" s="395"/>
      <c r="K403" s="395"/>
      <c r="L403" s="395"/>
      <c r="M403" s="395"/>
      <c r="N403" s="395"/>
      <c r="O403" s="395"/>
      <c r="P403" s="395"/>
      <c r="Q403" s="395"/>
      <c r="R403" s="395"/>
      <c r="S403" s="395"/>
      <c r="T403" s="395"/>
      <c r="U403" s="395"/>
    </row>
    <row r="404" ht="15.75" customHeight="1">
      <c r="A404" s="395"/>
      <c r="B404" s="395"/>
      <c r="C404" s="395"/>
      <c r="D404" s="395"/>
      <c r="E404" s="395"/>
      <c r="F404" s="395"/>
      <c r="G404" s="395"/>
      <c r="H404" s="395"/>
      <c r="I404" s="395"/>
      <c r="J404" s="395"/>
      <c r="K404" s="395"/>
      <c r="L404" s="395"/>
      <c r="M404" s="395"/>
      <c r="N404" s="395"/>
      <c r="O404" s="395"/>
      <c r="P404" s="395"/>
      <c r="Q404" s="395"/>
      <c r="R404" s="395"/>
      <c r="S404" s="395"/>
      <c r="T404" s="395"/>
      <c r="U404" s="395"/>
    </row>
    <row r="405" ht="15.75" customHeight="1">
      <c r="A405" s="395"/>
      <c r="B405" s="395"/>
      <c r="C405" s="395"/>
      <c r="D405" s="395"/>
      <c r="E405" s="395"/>
      <c r="F405" s="395"/>
      <c r="G405" s="395"/>
      <c r="H405" s="395"/>
      <c r="I405" s="395"/>
      <c r="J405" s="395"/>
      <c r="K405" s="395"/>
      <c r="L405" s="395"/>
      <c r="M405" s="395"/>
      <c r="N405" s="395"/>
      <c r="O405" s="395"/>
      <c r="P405" s="395"/>
      <c r="Q405" s="395"/>
      <c r="R405" s="395"/>
      <c r="S405" s="395"/>
      <c r="T405" s="395"/>
      <c r="U405" s="395"/>
    </row>
    <row r="406" ht="15.75" customHeight="1">
      <c r="A406" s="395"/>
      <c r="B406" s="395"/>
      <c r="C406" s="395"/>
      <c r="D406" s="395"/>
      <c r="E406" s="395"/>
      <c r="F406" s="395"/>
      <c r="G406" s="395"/>
      <c r="H406" s="395"/>
      <c r="I406" s="395"/>
      <c r="J406" s="395"/>
      <c r="K406" s="395"/>
      <c r="L406" s="395"/>
      <c r="M406" s="395"/>
      <c r="N406" s="395"/>
      <c r="O406" s="395"/>
      <c r="P406" s="395"/>
      <c r="Q406" s="395"/>
      <c r="R406" s="395"/>
      <c r="S406" s="395"/>
      <c r="T406" s="395"/>
      <c r="U406" s="395"/>
    </row>
    <row r="407" ht="15.75" customHeight="1">
      <c r="A407" s="395"/>
      <c r="B407" s="395"/>
      <c r="C407" s="395"/>
      <c r="D407" s="395"/>
      <c r="E407" s="395"/>
      <c r="F407" s="395"/>
      <c r="G407" s="395"/>
      <c r="H407" s="395"/>
      <c r="I407" s="395"/>
      <c r="J407" s="395"/>
      <c r="K407" s="395"/>
      <c r="L407" s="395"/>
      <c r="M407" s="395"/>
      <c r="N407" s="395"/>
      <c r="O407" s="395"/>
      <c r="P407" s="395"/>
      <c r="Q407" s="395"/>
      <c r="R407" s="395"/>
      <c r="S407" s="395"/>
      <c r="T407" s="395"/>
      <c r="U407" s="395"/>
    </row>
    <row r="408" ht="15.75" customHeight="1">
      <c r="A408" s="395"/>
      <c r="B408" s="395"/>
      <c r="C408" s="395"/>
      <c r="D408" s="395"/>
      <c r="E408" s="395"/>
      <c r="F408" s="395"/>
      <c r="G408" s="395"/>
      <c r="H408" s="395"/>
      <c r="I408" s="395"/>
      <c r="J408" s="395"/>
      <c r="K408" s="395"/>
      <c r="L408" s="395"/>
      <c r="M408" s="395"/>
      <c r="N408" s="395"/>
      <c r="O408" s="395"/>
      <c r="P408" s="395"/>
      <c r="Q408" s="395"/>
      <c r="R408" s="395"/>
      <c r="S408" s="395"/>
      <c r="T408" s="395"/>
      <c r="U408" s="395"/>
    </row>
    <row r="409" ht="15.75" customHeight="1">
      <c r="A409" s="395"/>
      <c r="B409" s="395"/>
      <c r="C409" s="395"/>
      <c r="D409" s="395"/>
      <c r="E409" s="395"/>
      <c r="F409" s="395"/>
      <c r="G409" s="395"/>
      <c r="H409" s="395"/>
      <c r="I409" s="395"/>
      <c r="J409" s="395"/>
      <c r="K409" s="395"/>
      <c r="L409" s="395"/>
      <c r="M409" s="395"/>
      <c r="N409" s="395"/>
      <c r="O409" s="395"/>
      <c r="P409" s="395"/>
      <c r="Q409" s="395"/>
      <c r="R409" s="395"/>
      <c r="S409" s="395"/>
      <c r="T409" s="395"/>
      <c r="U409" s="395"/>
    </row>
    <row r="410" ht="15.75" customHeight="1">
      <c r="A410" s="395"/>
      <c r="B410" s="395"/>
      <c r="C410" s="395"/>
      <c r="D410" s="395"/>
      <c r="E410" s="395"/>
      <c r="F410" s="395"/>
      <c r="G410" s="395"/>
      <c r="H410" s="395"/>
      <c r="I410" s="395"/>
      <c r="J410" s="395"/>
      <c r="K410" s="395"/>
      <c r="L410" s="395"/>
      <c r="M410" s="395"/>
      <c r="N410" s="395"/>
      <c r="O410" s="395"/>
      <c r="P410" s="395"/>
      <c r="Q410" s="395"/>
      <c r="R410" s="395"/>
      <c r="S410" s="395"/>
      <c r="T410" s="395"/>
      <c r="U410" s="395"/>
    </row>
    <row r="411" ht="15.75" customHeight="1">
      <c r="A411" s="395"/>
      <c r="B411" s="395"/>
      <c r="C411" s="395"/>
      <c r="D411" s="395"/>
      <c r="E411" s="395"/>
      <c r="F411" s="395"/>
      <c r="G411" s="395"/>
      <c r="H411" s="395"/>
      <c r="I411" s="395"/>
      <c r="J411" s="395"/>
      <c r="K411" s="395"/>
      <c r="L411" s="395"/>
      <c r="M411" s="395"/>
      <c r="N411" s="395"/>
      <c r="O411" s="395"/>
      <c r="P411" s="395"/>
      <c r="Q411" s="395"/>
      <c r="R411" s="395"/>
      <c r="S411" s="395"/>
      <c r="T411" s="395"/>
      <c r="U411" s="395"/>
    </row>
    <row r="412" ht="15.75" customHeight="1">
      <c r="A412" s="395"/>
      <c r="B412" s="395"/>
      <c r="C412" s="395"/>
      <c r="D412" s="395"/>
      <c r="E412" s="395"/>
      <c r="F412" s="395"/>
      <c r="G412" s="395"/>
      <c r="H412" s="395"/>
      <c r="I412" s="395"/>
      <c r="J412" s="395"/>
      <c r="K412" s="395"/>
      <c r="L412" s="395"/>
      <c r="M412" s="395"/>
      <c r="N412" s="395"/>
      <c r="O412" s="395"/>
      <c r="P412" s="395"/>
      <c r="Q412" s="395"/>
      <c r="R412" s="395"/>
      <c r="S412" s="395"/>
      <c r="T412" s="395"/>
      <c r="U412" s="395"/>
    </row>
    <row r="413" ht="15.75" customHeight="1">
      <c r="A413" s="395"/>
      <c r="B413" s="395"/>
      <c r="C413" s="395"/>
      <c r="D413" s="395"/>
      <c r="E413" s="395"/>
      <c r="F413" s="395"/>
      <c r="G413" s="395"/>
      <c r="H413" s="395"/>
      <c r="I413" s="395"/>
      <c r="J413" s="395"/>
      <c r="K413" s="395"/>
      <c r="L413" s="395"/>
      <c r="M413" s="395"/>
      <c r="N413" s="395"/>
      <c r="O413" s="395"/>
      <c r="P413" s="395"/>
      <c r="Q413" s="395"/>
      <c r="R413" s="395"/>
      <c r="S413" s="395"/>
      <c r="T413" s="395"/>
      <c r="U413" s="395"/>
    </row>
    <row r="414" ht="15.75" customHeight="1">
      <c r="A414" s="395"/>
      <c r="B414" s="395"/>
      <c r="C414" s="395"/>
      <c r="D414" s="395"/>
      <c r="E414" s="395"/>
      <c r="F414" s="395"/>
      <c r="G414" s="395"/>
      <c r="H414" s="395"/>
      <c r="I414" s="395"/>
      <c r="J414" s="395"/>
      <c r="K414" s="395"/>
      <c r="L414" s="395"/>
      <c r="M414" s="395"/>
      <c r="N414" s="395"/>
      <c r="O414" s="395"/>
      <c r="P414" s="395"/>
      <c r="Q414" s="395"/>
      <c r="R414" s="395"/>
      <c r="S414" s="395"/>
      <c r="T414" s="395"/>
      <c r="U414" s="395"/>
    </row>
    <row r="415" ht="15.75" customHeight="1">
      <c r="A415" s="395"/>
      <c r="B415" s="395"/>
      <c r="C415" s="395"/>
      <c r="D415" s="395"/>
      <c r="E415" s="395"/>
      <c r="F415" s="395"/>
      <c r="G415" s="395"/>
      <c r="H415" s="395"/>
      <c r="I415" s="395"/>
      <c r="J415" s="395"/>
      <c r="K415" s="395"/>
      <c r="L415" s="395"/>
      <c r="M415" s="395"/>
      <c r="N415" s="395"/>
      <c r="O415" s="395"/>
      <c r="P415" s="395"/>
      <c r="Q415" s="395"/>
      <c r="R415" s="395"/>
      <c r="S415" s="395"/>
      <c r="T415" s="395"/>
      <c r="U415" s="395"/>
    </row>
    <row r="416" ht="15.75" customHeight="1">
      <c r="A416" s="395"/>
      <c r="B416" s="395"/>
      <c r="C416" s="395"/>
      <c r="D416" s="395"/>
      <c r="E416" s="395"/>
      <c r="F416" s="395"/>
      <c r="G416" s="395"/>
      <c r="H416" s="395"/>
      <c r="I416" s="395"/>
      <c r="J416" s="395"/>
      <c r="K416" s="395"/>
      <c r="L416" s="395"/>
      <c r="M416" s="395"/>
      <c r="N416" s="395"/>
      <c r="O416" s="395"/>
      <c r="P416" s="395"/>
      <c r="Q416" s="395"/>
      <c r="R416" s="395"/>
      <c r="S416" s="395"/>
      <c r="T416" s="395"/>
      <c r="U416" s="395"/>
    </row>
    <row r="417" ht="15.75" customHeight="1">
      <c r="A417" s="395"/>
      <c r="B417" s="395"/>
      <c r="C417" s="395"/>
      <c r="D417" s="395"/>
      <c r="E417" s="395"/>
      <c r="F417" s="395"/>
      <c r="G417" s="395"/>
      <c r="H417" s="395"/>
      <c r="I417" s="395"/>
      <c r="J417" s="395"/>
      <c r="K417" s="395"/>
      <c r="L417" s="395"/>
      <c r="M417" s="395"/>
      <c r="N417" s="395"/>
      <c r="O417" s="395"/>
      <c r="P417" s="395"/>
      <c r="Q417" s="395"/>
      <c r="R417" s="395"/>
      <c r="S417" s="395"/>
      <c r="T417" s="395"/>
      <c r="U417" s="395"/>
    </row>
    <row r="418" ht="15.75" customHeight="1">
      <c r="A418" s="395"/>
      <c r="B418" s="395"/>
      <c r="C418" s="395"/>
      <c r="D418" s="395"/>
      <c r="E418" s="395"/>
      <c r="F418" s="395"/>
      <c r="G418" s="395"/>
      <c r="H418" s="395"/>
      <c r="I418" s="395"/>
      <c r="J418" s="395"/>
      <c r="K418" s="395"/>
      <c r="L418" s="395"/>
      <c r="M418" s="395"/>
      <c r="N418" s="395"/>
      <c r="O418" s="395"/>
      <c r="P418" s="395"/>
      <c r="Q418" s="395"/>
      <c r="R418" s="395"/>
      <c r="S418" s="395"/>
      <c r="T418" s="395"/>
      <c r="U418" s="395"/>
    </row>
    <row r="419" ht="15.75" customHeight="1">
      <c r="A419" s="395"/>
      <c r="B419" s="395"/>
      <c r="C419" s="395"/>
      <c r="D419" s="395"/>
      <c r="E419" s="395"/>
      <c r="F419" s="395"/>
      <c r="G419" s="395"/>
      <c r="H419" s="395"/>
      <c r="I419" s="395"/>
      <c r="J419" s="395"/>
      <c r="K419" s="395"/>
      <c r="L419" s="395"/>
      <c r="M419" s="395"/>
      <c r="N419" s="395"/>
      <c r="O419" s="395"/>
      <c r="P419" s="395"/>
      <c r="Q419" s="395"/>
      <c r="R419" s="395"/>
      <c r="S419" s="395"/>
      <c r="T419" s="395"/>
      <c r="U419" s="395"/>
    </row>
    <row r="420" ht="15.75" customHeight="1">
      <c r="A420" s="395"/>
      <c r="B420" s="395"/>
      <c r="C420" s="395"/>
      <c r="D420" s="395"/>
      <c r="E420" s="395"/>
      <c r="F420" s="395"/>
      <c r="G420" s="395"/>
      <c r="H420" s="395"/>
      <c r="I420" s="395"/>
      <c r="J420" s="395"/>
      <c r="K420" s="395"/>
      <c r="L420" s="395"/>
      <c r="M420" s="395"/>
      <c r="N420" s="395"/>
      <c r="O420" s="395"/>
      <c r="P420" s="395"/>
      <c r="Q420" s="395"/>
      <c r="R420" s="395"/>
      <c r="S420" s="395"/>
      <c r="T420" s="395"/>
      <c r="U420" s="395"/>
    </row>
    <row r="421" ht="15.75" customHeight="1">
      <c r="A421" s="395"/>
      <c r="B421" s="395"/>
      <c r="C421" s="395"/>
      <c r="D421" s="395"/>
      <c r="E421" s="395"/>
      <c r="F421" s="395"/>
      <c r="G421" s="395"/>
      <c r="H421" s="395"/>
      <c r="I421" s="395"/>
      <c r="J421" s="395"/>
      <c r="K421" s="395"/>
      <c r="L421" s="395"/>
      <c r="M421" s="395"/>
      <c r="N421" s="395"/>
      <c r="O421" s="395"/>
      <c r="P421" s="395"/>
      <c r="Q421" s="395"/>
      <c r="R421" s="395"/>
      <c r="S421" s="395"/>
      <c r="T421" s="395"/>
      <c r="U421" s="395"/>
    </row>
    <row r="422" ht="15.75" customHeight="1">
      <c r="A422" s="395"/>
      <c r="B422" s="395"/>
      <c r="C422" s="395"/>
      <c r="D422" s="395"/>
      <c r="E422" s="395"/>
      <c r="F422" s="395"/>
      <c r="G422" s="395"/>
      <c r="H422" s="395"/>
      <c r="I422" s="395"/>
      <c r="J422" s="395"/>
      <c r="K422" s="395"/>
      <c r="L422" s="395"/>
      <c r="M422" s="395"/>
      <c r="N422" s="395"/>
      <c r="O422" s="395"/>
      <c r="P422" s="395"/>
      <c r="Q422" s="395"/>
      <c r="R422" s="395"/>
      <c r="S422" s="395"/>
      <c r="T422" s="395"/>
      <c r="U422" s="395"/>
    </row>
    <row r="423" ht="15.75" customHeight="1">
      <c r="A423" s="395"/>
      <c r="B423" s="395"/>
      <c r="C423" s="395"/>
      <c r="D423" s="395"/>
      <c r="E423" s="395"/>
      <c r="F423" s="395"/>
      <c r="G423" s="395"/>
      <c r="H423" s="395"/>
      <c r="I423" s="395"/>
      <c r="J423" s="395"/>
      <c r="K423" s="395"/>
      <c r="L423" s="395"/>
      <c r="M423" s="395"/>
      <c r="N423" s="395"/>
      <c r="O423" s="395"/>
      <c r="P423" s="395"/>
      <c r="Q423" s="395"/>
      <c r="R423" s="395"/>
      <c r="S423" s="395"/>
      <c r="T423" s="395"/>
      <c r="U423" s="395"/>
    </row>
    <row r="424" ht="15.75" customHeight="1">
      <c r="A424" s="395"/>
      <c r="B424" s="395"/>
      <c r="C424" s="395"/>
      <c r="D424" s="395"/>
      <c r="E424" s="395"/>
      <c r="F424" s="395"/>
      <c r="G424" s="395"/>
      <c r="H424" s="395"/>
      <c r="I424" s="395"/>
      <c r="J424" s="395"/>
      <c r="K424" s="395"/>
      <c r="L424" s="395"/>
      <c r="M424" s="395"/>
      <c r="N424" s="395"/>
      <c r="O424" s="395"/>
      <c r="P424" s="395"/>
      <c r="Q424" s="395"/>
      <c r="R424" s="395"/>
      <c r="S424" s="395"/>
      <c r="T424" s="395"/>
      <c r="U424" s="395"/>
    </row>
    <row r="425" ht="15.75" customHeight="1">
      <c r="A425" s="395"/>
      <c r="B425" s="395"/>
      <c r="C425" s="395"/>
      <c r="D425" s="395"/>
      <c r="E425" s="395"/>
      <c r="F425" s="395"/>
      <c r="G425" s="395"/>
      <c r="H425" s="395"/>
      <c r="I425" s="395"/>
      <c r="J425" s="395"/>
      <c r="K425" s="395"/>
      <c r="L425" s="395"/>
      <c r="M425" s="395"/>
      <c r="N425" s="395"/>
      <c r="O425" s="395"/>
      <c r="P425" s="395"/>
      <c r="Q425" s="395"/>
      <c r="R425" s="395"/>
      <c r="S425" s="395"/>
      <c r="T425" s="395"/>
      <c r="U425" s="395"/>
    </row>
    <row r="426" ht="15.75" customHeight="1">
      <c r="A426" s="395"/>
      <c r="B426" s="395"/>
      <c r="C426" s="395"/>
      <c r="D426" s="395"/>
      <c r="E426" s="395"/>
      <c r="F426" s="395"/>
      <c r="G426" s="395"/>
      <c r="H426" s="395"/>
      <c r="I426" s="395"/>
      <c r="J426" s="395"/>
      <c r="K426" s="395"/>
      <c r="L426" s="395"/>
      <c r="M426" s="395"/>
      <c r="N426" s="395"/>
      <c r="O426" s="395"/>
      <c r="P426" s="395"/>
      <c r="Q426" s="395"/>
      <c r="R426" s="395"/>
      <c r="S426" s="395"/>
      <c r="T426" s="395"/>
      <c r="U426" s="395"/>
    </row>
    <row r="427" ht="15.75" customHeight="1">
      <c r="A427" s="395"/>
      <c r="B427" s="395"/>
      <c r="C427" s="395"/>
      <c r="D427" s="395"/>
      <c r="E427" s="395"/>
      <c r="F427" s="395"/>
      <c r="G427" s="395"/>
      <c r="H427" s="395"/>
      <c r="I427" s="395"/>
      <c r="J427" s="395"/>
      <c r="K427" s="395"/>
      <c r="L427" s="395"/>
      <c r="M427" s="395"/>
      <c r="N427" s="395"/>
      <c r="O427" s="395"/>
      <c r="P427" s="395"/>
      <c r="Q427" s="395"/>
      <c r="R427" s="395"/>
      <c r="S427" s="395"/>
      <c r="T427" s="395"/>
      <c r="U427" s="395"/>
    </row>
    <row r="428" ht="15.75" customHeight="1">
      <c r="A428" s="395"/>
      <c r="B428" s="395"/>
      <c r="C428" s="395"/>
      <c r="D428" s="395"/>
      <c r="E428" s="395"/>
      <c r="F428" s="395"/>
      <c r="G428" s="395"/>
      <c r="H428" s="395"/>
      <c r="I428" s="395"/>
      <c r="J428" s="395"/>
      <c r="K428" s="395"/>
      <c r="L428" s="395"/>
      <c r="M428" s="395"/>
      <c r="N428" s="395"/>
      <c r="O428" s="395"/>
      <c r="P428" s="395"/>
      <c r="Q428" s="395"/>
      <c r="R428" s="395"/>
      <c r="S428" s="395"/>
      <c r="T428" s="395"/>
      <c r="U428" s="395"/>
    </row>
    <row r="429" ht="15.75" customHeight="1">
      <c r="A429" s="395"/>
      <c r="B429" s="395"/>
      <c r="C429" s="395"/>
      <c r="D429" s="395"/>
      <c r="E429" s="395"/>
      <c r="F429" s="395"/>
      <c r="G429" s="395"/>
      <c r="H429" s="395"/>
      <c r="I429" s="395"/>
      <c r="J429" s="395"/>
      <c r="K429" s="395"/>
      <c r="L429" s="395"/>
      <c r="M429" s="395"/>
      <c r="N429" s="395"/>
      <c r="O429" s="395"/>
      <c r="P429" s="395"/>
      <c r="Q429" s="395"/>
      <c r="R429" s="395"/>
      <c r="S429" s="395"/>
      <c r="T429" s="395"/>
      <c r="U429" s="395"/>
    </row>
    <row r="430" ht="15.75" customHeight="1">
      <c r="A430" s="395"/>
      <c r="B430" s="395"/>
      <c r="C430" s="395"/>
      <c r="D430" s="395"/>
      <c r="E430" s="395"/>
      <c r="F430" s="395"/>
      <c r="G430" s="395"/>
      <c r="H430" s="395"/>
      <c r="I430" s="395"/>
      <c r="J430" s="395"/>
      <c r="K430" s="395"/>
      <c r="L430" s="395"/>
      <c r="M430" s="395"/>
      <c r="N430" s="395"/>
      <c r="O430" s="395"/>
      <c r="P430" s="395"/>
      <c r="Q430" s="395"/>
      <c r="R430" s="395"/>
      <c r="S430" s="395"/>
      <c r="T430" s="395"/>
      <c r="U430" s="395"/>
    </row>
    <row r="431" ht="15.75" customHeight="1">
      <c r="A431" s="395"/>
      <c r="B431" s="395"/>
      <c r="C431" s="395"/>
      <c r="D431" s="395"/>
      <c r="E431" s="395"/>
      <c r="F431" s="395"/>
      <c r="G431" s="395"/>
      <c r="H431" s="395"/>
      <c r="I431" s="395"/>
      <c r="J431" s="395"/>
      <c r="K431" s="395"/>
      <c r="L431" s="395"/>
      <c r="M431" s="395"/>
      <c r="N431" s="395"/>
      <c r="O431" s="395"/>
      <c r="P431" s="395"/>
      <c r="Q431" s="395"/>
      <c r="R431" s="395"/>
      <c r="S431" s="395"/>
      <c r="T431" s="395"/>
      <c r="U431" s="395"/>
    </row>
    <row r="432" ht="15.75" customHeight="1">
      <c r="A432" s="395"/>
      <c r="B432" s="395"/>
      <c r="C432" s="395"/>
      <c r="D432" s="395"/>
      <c r="E432" s="395"/>
      <c r="F432" s="395"/>
      <c r="G432" s="395"/>
      <c r="H432" s="395"/>
      <c r="I432" s="395"/>
      <c r="J432" s="395"/>
      <c r="K432" s="395"/>
      <c r="L432" s="395"/>
      <c r="M432" s="395"/>
      <c r="N432" s="395"/>
      <c r="O432" s="395"/>
      <c r="P432" s="395"/>
      <c r="Q432" s="395"/>
      <c r="R432" s="395"/>
      <c r="S432" s="395"/>
      <c r="T432" s="395"/>
      <c r="U432" s="395"/>
    </row>
    <row r="433" ht="15.75" customHeight="1">
      <c r="A433" s="395"/>
      <c r="B433" s="395"/>
      <c r="C433" s="395"/>
      <c r="D433" s="395"/>
      <c r="E433" s="395"/>
      <c r="F433" s="395"/>
      <c r="G433" s="395"/>
      <c r="H433" s="395"/>
      <c r="I433" s="395"/>
      <c r="J433" s="395"/>
      <c r="K433" s="395"/>
      <c r="L433" s="395"/>
      <c r="M433" s="395"/>
      <c r="N433" s="395"/>
      <c r="O433" s="395"/>
      <c r="P433" s="395"/>
      <c r="Q433" s="395"/>
      <c r="R433" s="395"/>
      <c r="S433" s="395"/>
      <c r="T433" s="395"/>
      <c r="U433" s="395"/>
    </row>
    <row r="434" ht="15.75" customHeight="1">
      <c r="A434" s="395"/>
      <c r="B434" s="395"/>
      <c r="C434" s="395"/>
      <c r="D434" s="395"/>
      <c r="E434" s="395"/>
      <c r="F434" s="395"/>
      <c r="G434" s="395"/>
      <c r="H434" s="395"/>
      <c r="I434" s="395"/>
      <c r="J434" s="395"/>
      <c r="K434" s="395"/>
      <c r="L434" s="395"/>
      <c r="M434" s="395"/>
      <c r="N434" s="395"/>
      <c r="O434" s="395"/>
      <c r="P434" s="395"/>
      <c r="Q434" s="395"/>
      <c r="R434" s="395"/>
      <c r="S434" s="395"/>
      <c r="T434" s="395"/>
      <c r="U434" s="395"/>
    </row>
    <row r="435" ht="15.75" customHeight="1">
      <c r="A435" s="395"/>
      <c r="B435" s="395"/>
      <c r="C435" s="395"/>
      <c r="D435" s="395"/>
      <c r="E435" s="395"/>
      <c r="F435" s="395"/>
      <c r="G435" s="395"/>
      <c r="H435" s="395"/>
      <c r="I435" s="395"/>
      <c r="J435" s="395"/>
      <c r="K435" s="395"/>
      <c r="L435" s="395"/>
      <c r="M435" s="395"/>
      <c r="N435" s="395"/>
      <c r="O435" s="395"/>
      <c r="P435" s="395"/>
      <c r="Q435" s="395"/>
      <c r="R435" s="395"/>
      <c r="S435" s="395"/>
      <c r="T435" s="395"/>
      <c r="U435" s="395"/>
    </row>
    <row r="436" ht="15.75" customHeight="1">
      <c r="A436" s="395"/>
      <c r="B436" s="395"/>
      <c r="C436" s="395"/>
      <c r="D436" s="395"/>
      <c r="E436" s="395"/>
      <c r="F436" s="395"/>
      <c r="G436" s="395"/>
      <c r="H436" s="395"/>
      <c r="I436" s="395"/>
      <c r="J436" s="395"/>
      <c r="K436" s="395"/>
      <c r="L436" s="395"/>
      <c r="M436" s="395"/>
      <c r="N436" s="395"/>
      <c r="O436" s="395"/>
      <c r="P436" s="395"/>
      <c r="Q436" s="395"/>
      <c r="R436" s="395"/>
      <c r="S436" s="395"/>
      <c r="T436" s="395"/>
      <c r="U436" s="395"/>
    </row>
    <row r="437" ht="15.75" customHeight="1">
      <c r="A437" s="395"/>
      <c r="B437" s="395"/>
      <c r="C437" s="395"/>
      <c r="D437" s="395"/>
      <c r="E437" s="395"/>
      <c r="F437" s="395"/>
      <c r="G437" s="395"/>
      <c r="H437" s="395"/>
      <c r="I437" s="395"/>
      <c r="J437" s="395"/>
      <c r="K437" s="395"/>
      <c r="L437" s="395"/>
      <c r="M437" s="395"/>
      <c r="N437" s="395"/>
      <c r="O437" s="395"/>
      <c r="P437" s="395"/>
      <c r="Q437" s="395"/>
      <c r="R437" s="395"/>
      <c r="S437" s="395"/>
      <c r="T437" s="395"/>
      <c r="U437" s="395"/>
    </row>
    <row r="438" ht="15.75" customHeight="1">
      <c r="A438" s="395"/>
      <c r="B438" s="395"/>
      <c r="C438" s="395"/>
      <c r="D438" s="395"/>
      <c r="E438" s="395"/>
      <c r="F438" s="395"/>
      <c r="G438" s="395"/>
      <c r="H438" s="395"/>
      <c r="I438" s="395"/>
      <c r="J438" s="395"/>
      <c r="K438" s="395"/>
      <c r="L438" s="395"/>
      <c r="M438" s="395"/>
      <c r="N438" s="395"/>
      <c r="O438" s="395"/>
      <c r="P438" s="395"/>
      <c r="Q438" s="395"/>
      <c r="R438" s="395"/>
      <c r="S438" s="395"/>
      <c r="T438" s="395"/>
      <c r="U438" s="395"/>
    </row>
    <row r="439" ht="15.75" customHeight="1">
      <c r="A439" s="395"/>
      <c r="B439" s="395"/>
      <c r="C439" s="395"/>
      <c r="D439" s="395"/>
      <c r="E439" s="395"/>
      <c r="F439" s="395"/>
      <c r="G439" s="395"/>
      <c r="H439" s="395"/>
      <c r="I439" s="395"/>
      <c r="J439" s="395"/>
      <c r="K439" s="395"/>
      <c r="L439" s="395"/>
      <c r="M439" s="395"/>
      <c r="N439" s="395"/>
      <c r="O439" s="395"/>
      <c r="P439" s="395"/>
      <c r="Q439" s="395"/>
      <c r="R439" s="395"/>
      <c r="S439" s="395"/>
      <c r="T439" s="395"/>
      <c r="U439" s="395"/>
    </row>
    <row r="440" ht="15.75" customHeight="1">
      <c r="A440" s="395"/>
      <c r="B440" s="395"/>
      <c r="C440" s="395"/>
      <c r="D440" s="395"/>
      <c r="E440" s="395"/>
      <c r="F440" s="395"/>
      <c r="G440" s="395"/>
      <c r="H440" s="395"/>
      <c r="I440" s="395"/>
      <c r="J440" s="395"/>
      <c r="K440" s="395"/>
      <c r="L440" s="395"/>
      <c r="M440" s="395"/>
      <c r="N440" s="395"/>
      <c r="O440" s="395"/>
      <c r="P440" s="395"/>
      <c r="Q440" s="395"/>
      <c r="R440" s="395"/>
      <c r="S440" s="395"/>
      <c r="T440" s="395"/>
      <c r="U440" s="395"/>
    </row>
    <row r="441" ht="15.75" customHeight="1">
      <c r="A441" s="395"/>
      <c r="B441" s="395"/>
      <c r="C441" s="395"/>
      <c r="D441" s="395"/>
      <c r="E441" s="395"/>
      <c r="F441" s="395"/>
      <c r="G441" s="395"/>
      <c r="H441" s="395"/>
      <c r="I441" s="395"/>
      <c r="J441" s="395"/>
      <c r="K441" s="395"/>
      <c r="L441" s="395"/>
      <c r="M441" s="395"/>
      <c r="N441" s="395"/>
      <c r="O441" s="395"/>
      <c r="P441" s="395"/>
      <c r="Q441" s="395"/>
      <c r="R441" s="395"/>
      <c r="S441" s="395"/>
      <c r="T441" s="395"/>
      <c r="U441" s="395"/>
    </row>
    <row r="442" ht="15.75" customHeight="1">
      <c r="A442" s="395"/>
      <c r="B442" s="395"/>
      <c r="C442" s="395"/>
      <c r="D442" s="395"/>
      <c r="E442" s="395"/>
      <c r="F442" s="395"/>
      <c r="G442" s="395"/>
      <c r="H442" s="395"/>
      <c r="I442" s="395"/>
      <c r="J442" s="395"/>
      <c r="K442" s="395"/>
      <c r="L442" s="395"/>
      <c r="M442" s="395"/>
      <c r="N442" s="395"/>
      <c r="O442" s="395"/>
      <c r="P442" s="395"/>
      <c r="Q442" s="395"/>
      <c r="R442" s="395"/>
      <c r="S442" s="395"/>
      <c r="T442" s="395"/>
      <c r="U442" s="395"/>
    </row>
    <row r="443" ht="15.75" customHeight="1">
      <c r="A443" s="395"/>
      <c r="B443" s="395"/>
      <c r="C443" s="395"/>
      <c r="D443" s="395"/>
      <c r="E443" s="395"/>
      <c r="F443" s="395"/>
      <c r="G443" s="395"/>
      <c r="H443" s="395"/>
      <c r="I443" s="395"/>
      <c r="J443" s="395"/>
      <c r="K443" s="395"/>
      <c r="L443" s="395"/>
      <c r="M443" s="395"/>
      <c r="N443" s="395"/>
      <c r="O443" s="395"/>
      <c r="P443" s="395"/>
      <c r="Q443" s="395"/>
      <c r="R443" s="395"/>
      <c r="S443" s="395"/>
      <c r="T443" s="395"/>
      <c r="U443" s="395"/>
    </row>
    <row r="444" ht="15.75" customHeight="1">
      <c r="A444" s="395"/>
      <c r="B444" s="395"/>
      <c r="C444" s="395"/>
      <c r="D444" s="395"/>
      <c r="E444" s="395"/>
      <c r="F444" s="395"/>
      <c r="G444" s="395"/>
      <c r="H444" s="395"/>
      <c r="I444" s="395"/>
      <c r="J444" s="395"/>
      <c r="K444" s="395"/>
      <c r="L444" s="395"/>
      <c r="M444" s="395"/>
      <c r="N444" s="395"/>
      <c r="O444" s="395"/>
      <c r="P444" s="395"/>
      <c r="Q444" s="395"/>
      <c r="R444" s="395"/>
      <c r="S444" s="395"/>
      <c r="T444" s="395"/>
      <c r="U444" s="395"/>
    </row>
    <row r="445" ht="15.75" customHeight="1">
      <c r="A445" s="395"/>
      <c r="B445" s="395"/>
      <c r="C445" s="395"/>
      <c r="D445" s="395"/>
      <c r="E445" s="395"/>
      <c r="F445" s="395"/>
      <c r="G445" s="395"/>
      <c r="H445" s="395"/>
      <c r="I445" s="395"/>
      <c r="J445" s="395"/>
      <c r="K445" s="395"/>
      <c r="L445" s="395"/>
      <c r="M445" s="395"/>
      <c r="N445" s="395"/>
      <c r="O445" s="395"/>
      <c r="P445" s="395"/>
      <c r="Q445" s="395"/>
      <c r="R445" s="395"/>
      <c r="S445" s="395"/>
      <c r="T445" s="395"/>
      <c r="U445" s="395"/>
    </row>
    <row r="446" ht="15.75" customHeight="1">
      <c r="A446" s="395"/>
      <c r="B446" s="395"/>
      <c r="C446" s="395"/>
      <c r="D446" s="395"/>
      <c r="E446" s="395"/>
      <c r="F446" s="395"/>
      <c r="G446" s="395"/>
      <c r="H446" s="395"/>
      <c r="I446" s="395"/>
      <c r="J446" s="395"/>
      <c r="K446" s="395"/>
      <c r="L446" s="395"/>
      <c r="M446" s="395"/>
      <c r="N446" s="395"/>
      <c r="O446" s="395"/>
      <c r="P446" s="395"/>
      <c r="Q446" s="395"/>
      <c r="R446" s="395"/>
      <c r="S446" s="395"/>
      <c r="T446" s="395"/>
      <c r="U446" s="395"/>
    </row>
    <row r="447" ht="15.75" customHeight="1">
      <c r="A447" s="395"/>
      <c r="B447" s="395"/>
      <c r="C447" s="395"/>
      <c r="D447" s="395"/>
      <c r="E447" s="395"/>
      <c r="F447" s="395"/>
      <c r="G447" s="395"/>
      <c r="H447" s="395"/>
      <c r="I447" s="395"/>
      <c r="J447" s="395"/>
      <c r="K447" s="395"/>
      <c r="L447" s="395"/>
      <c r="M447" s="395"/>
      <c r="N447" s="395"/>
      <c r="O447" s="395"/>
      <c r="P447" s="395"/>
      <c r="Q447" s="395"/>
      <c r="R447" s="395"/>
      <c r="S447" s="395"/>
      <c r="T447" s="395"/>
      <c r="U447" s="395"/>
    </row>
    <row r="448" ht="15.75" customHeight="1">
      <c r="A448" s="395"/>
      <c r="B448" s="395"/>
      <c r="C448" s="395"/>
      <c r="D448" s="395"/>
      <c r="E448" s="395"/>
      <c r="F448" s="395"/>
      <c r="G448" s="395"/>
      <c r="H448" s="395"/>
      <c r="I448" s="395"/>
      <c r="J448" s="395"/>
      <c r="K448" s="395"/>
      <c r="L448" s="395"/>
      <c r="M448" s="395"/>
      <c r="N448" s="395"/>
      <c r="O448" s="395"/>
      <c r="P448" s="395"/>
      <c r="Q448" s="395"/>
      <c r="R448" s="395"/>
      <c r="S448" s="395"/>
      <c r="T448" s="395"/>
      <c r="U448" s="395"/>
    </row>
    <row r="449" ht="15.75" customHeight="1">
      <c r="A449" s="395"/>
      <c r="B449" s="395"/>
      <c r="C449" s="395"/>
      <c r="D449" s="395"/>
      <c r="E449" s="395"/>
      <c r="F449" s="395"/>
      <c r="G449" s="395"/>
      <c r="H449" s="395"/>
      <c r="I449" s="395"/>
      <c r="J449" s="395"/>
      <c r="K449" s="395"/>
      <c r="L449" s="395"/>
      <c r="M449" s="395"/>
      <c r="N449" s="395"/>
      <c r="O449" s="395"/>
      <c r="P449" s="395"/>
      <c r="Q449" s="395"/>
      <c r="R449" s="395"/>
      <c r="S449" s="395"/>
      <c r="T449" s="395"/>
      <c r="U449" s="395"/>
    </row>
    <row r="450" ht="15.75" customHeight="1">
      <c r="A450" s="395"/>
      <c r="B450" s="395"/>
      <c r="C450" s="395"/>
      <c r="D450" s="395"/>
      <c r="E450" s="395"/>
      <c r="F450" s="395"/>
      <c r="G450" s="395"/>
      <c r="H450" s="395"/>
      <c r="I450" s="395"/>
      <c r="J450" s="395"/>
      <c r="K450" s="395"/>
      <c r="L450" s="395"/>
      <c r="M450" s="395"/>
      <c r="N450" s="395"/>
      <c r="O450" s="395"/>
      <c r="P450" s="395"/>
      <c r="Q450" s="395"/>
      <c r="R450" s="395"/>
      <c r="S450" s="395"/>
      <c r="T450" s="395"/>
      <c r="U450" s="395"/>
    </row>
    <row r="451" ht="15.75" customHeight="1">
      <c r="A451" s="395"/>
      <c r="B451" s="395"/>
      <c r="C451" s="395"/>
      <c r="D451" s="395"/>
      <c r="E451" s="395"/>
      <c r="F451" s="395"/>
      <c r="G451" s="395"/>
      <c r="H451" s="395"/>
      <c r="I451" s="395"/>
      <c r="J451" s="395"/>
      <c r="K451" s="395"/>
      <c r="L451" s="395"/>
      <c r="M451" s="395"/>
      <c r="N451" s="395"/>
      <c r="O451" s="395"/>
      <c r="P451" s="395"/>
      <c r="Q451" s="395"/>
      <c r="R451" s="395"/>
      <c r="S451" s="395"/>
      <c r="T451" s="395"/>
      <c r="U451" s="395"/>
    </row>
    <row r="452" ht="15.75" customHeight="1">
      <c r="A452" s="395"/>
      <c r="B452" s="395"/>
      <c r="C452" s="395"/>
      <c r="D452" s="395"/>
      <c r="E452" s="395"/>
      <c r="F452" s="395"/>
      <c r="G452" s="395"/>
      <c r="H452" s="395"/>
      <c r="I452" s="395"/>
      <c r="J452" s="395"/>
      <c r="K452" s="395"/>
      <c r="L452" s="395"/>
      <c r="M452" s="395"/>
      <c r="N452" s="395"/>
      <c r="O452" s="395"/>
      <c r="P452" s="395"/>
      <c r="Q452" s="395"/>
      <c r="R452" s="395"/>
      <c r="S452" s="395"/>
      <c r="T452" s="395"/>
      <c r="U452" s="395"/>
    </row>
    <row r="453" ht="15.75" customHeight="1">
      <c r="A453" s="395"/>
      <c r="B453" s="395"/>
      <c r="C453" s="395"/>
      <c r="D453" s="395"/>
      <c r="E453" s="395"/>
      <c r="F453" s="395"/>
      <c r="G453" s="395"/>
      <c r="H453" s="395"/>
      <c r="I453" s="395"/>
      <c r="J453" s="395"/>
      <c r="K453" s="395"/>
      <c r="L453" s="395"/>
      <c r="M453" s="395"/>
      <c r="N453" s="395"/>
      <c r="O453" s="395"/>
      <c r="P453" s="395"/>
      <c r="Q453" s="395"/>
      <c r="R453" s="395"/>
      <c r="S453" s="395"/>
      <c r="T453" s="395"/>
      <c r="U453" s="395"/>
    </row>
    <row r="454" ht="15.75" customHeight="1">
      <c r="A454" s="395"/>
      <c r="B454" s="395"/>
      <c r="C454" s="395"/>
      <c r="D454" s="395"/>
      <c r="E454" s="395"/>
      <c r="F454" s="395"/>
      <c r="G454" s="395"/>
      <c r="H454" s="395"/>
      <c r="I454" s="395"/>
      <c r="J454" s="395"/>
      <c r="K454" s="395"/>
      <c r="L454" s="395"/>
      <c r="M454" s="395"/>
      <c r="N454" s="395"/>
      <c r="O454" s="395"/>
      <c r="P454" s="395"/>
      <c r="Q454" s="395"/>
      <c r="R454" s="395"/>
      <c r="S454" s="395"/>
      <c r="T454" s="395"/>
      <c r="U454" s="395"/>
    </row>
    <row r="455" ht="15.75" customHeight="1">
      <c r="A455" s="395"/>
      <c r="B455" s="395"/>
      <c r="C455" s="395"/>
      <c r="D455" s="395"/>
      <c r="E455" s="395"/>
      <c r="F455" s="395"/>
      <c r="G455" s="395"/>
      <c r="H455" s="395"/>
      <c r="I455" s="395"/>
      <c r="J455" s="395"/>
      <c r="K455" s="395"/>
      <c r="L455" s="395"/>
      <c r="M455" s="395"/>
      <c r="N455" s="395"/>
      <c r="O455" s="395"/>
      <c r="P455" s="395"/>
      <c r="Q455" s="395"/>
      <c r="R455" s="395"/>
      <c r="S455" s="395"/>
      <c r="T455" s="395"/>
      <c r="U455" s="395"/>
    </row>
    <row r="456" ht="15.75" customHeight="1">
      <c r="A456" s="395"/>
      <c r="B456" s="395"/>
      <c r="C456" s="395"/>
      <c r="D456" s="395"/>
      <c r="E456" s="395"/>
      <c r="F456" s="395"/>
      <c r="G456" s="395"/>
      <c r="H456" s="395"/>
      <c r="I456" s="395"/>
      <c r="J456" s="395"/>
      <c r="K456" s="395"/>
      <c r="L456" s="395"/>
      <c r="M456" s="395"/>
      <c r="N456" s="395"/>
      <c r="O456" s="395"/>
      <c r="P456" s="395"/>
      <c r="Q456" s="395"/>
      <c r="R456" s="395"/>
      <c r="S456" s="395"/>
      <c r="T456" s="395"/>
      <c r="U456" s="395"/>
    </row>
    <row r="457" ht="15.75" customHeight="1">
      <c r="A457" s="395"/>
      <c r="B457" s="395"/>
      <c r="C457" s="395"/>
      <c r="D457" s="395"/>
      <c r="E457" s="395"/>
      <c r="F457" s="395"/>
      <c r="G457" s="395"/>
      <c r="H457" s="395"/>
      <c r="I457" s="395"/>
      <c r="J457" s="395"/>
      <c r="K457" s="395"/>
      <c r="L457" s="395"/>
      <c r="M457" s="395"/>
      <c r="N457" s="395"/>
      <c r="O457" s="395"/>
      <c r="P457" s="395"/>
      <c r="Q457" s="395"/>
      <c r="R457" s="395"/>
      <c r="S457" s="395"/>
      <c r="T457" s="395"/>
      <c r="U457" s="395"/>
    </row>
    <row r="458" ht="15.75" customHeight="1">
      <c r="A458" s="395"/>
      <c r="B458" s="395"/>
      <c r="C458" s="395"/>
      <c r="D458" s="395"/>
      <c r="E458" s="395"/>
      <c r="F458" s="395"/>
      <c r="G458" s="395"/>
      <c r="H458" s="395"/>
      <c r="I458" s="395"/>
      <c r="J458" s="395"/>
      <c r="K458" s="395"/>
      <c r="L458" s="395"/>
      <c r="M458" s="395"/>
      <c r="N458" s="395"/>
      <c r="O458" s="395"/>
      <c r="P458" s="395"/>
      <c r="Q458" s="395"/>
      <c r="R458" s="395"/>
      <c r="S458" s="395"/>
      <c r="T458" s="395"/>
      <c r="U458" s="395"/>
    </row>
    <row r="459" ht="15.75" customHeight="1">
      <c r="A459" s="395"/>
      <c r="B459" s="395"/>
      <c r="C459" s="395"/>
      <c r="D459" s="395"/>
      <c r="E459" s="395"/>
      <c r="F459" s="395"/>
      <c r="G459" s="395"/>
      <c r="H459" s="395"/>
      <c r="I459" s="395"/>
      <c r="J459" s="395"/>
      <c r="K459" s="395"/>
      <c r="L459" s="395"/>
      <c r="M459" s="395"/>
      <c r="N459" s="395"/>
      <c r="O459" s="395"/>
      <c r="P459" s="395"/>
      <c r="Q459" s="395"/>
      <c r="R459" s="395"/>
      <c r="S459" s="395"/>
      <c r="T459" s="395"/>
      <c r="U459" s="395"/>
    </row>
    <row r="460" ht="15.75" customHeight="1">
      <c r="A460" s="395"/>
      <c r="B460" s="395"/>
      <c r="C460" s="395"/>
      <c r="D460" s="395"/>
      <c r="E460" s="395"/>
      <c r="F460" s="395"/>
      <c r="G460" s="395"/>
      <c r="H460" s="395"/>
      <c r="I460" s="395"/>
      <c r="J460" s="395"/>
      <c r="K460" s="395"/>
      <c r="L460" s="395"/>
      <c r="M460" s="395"/>
      <c r="N460" s="395"/>
      <c r="O460" s="395"/>
      <c r="P460" s="395"/>
      <c r="Q460" s="395"/>
      <c r="R460" s="395"/>
      <c r="S460" s="395"/>
      <c r="T460" s="395"/>
      <c r="U460" s="395"/>
    </row>
    <row r="461" ht="15.75" customHeight="1">
      <c r="A461" s="395"/>
      <c r="B461" s="395"/>
      <c r="C461" s="395"/>
      <c r="D461" s="395"/>
      <c r="E461" s="395"/>
      <c r="F461" s="395"/>
      <c r="G461" s="395"/>
      <c r="H461" s="395"/>
      <c r="I461" s="395"/>
      <c r="J461" s="395"/>
      <c r="K461" s="395"/>
      <c r="L461" s="395"/>
      <c r="M461" s="395"/>
      <c r="N461" s="395"/>
      <c r="O461" s="395"/>
      <c r="P461" s="395"/>
      <c r="Q461" s="395"/>
      <c r="R461" s="395"/>
      <c r="S461" s="395"/>
      <c r="T461" s="395"/>
      <c r="U461" s="395"/>
    </row>
    <row r="462" ht="15.75" customHeight="1">
      <c r="A462" s="395"/>
      <c r="B462" s="395"/>
      <c r="C462" s="395"/>
      <c r="D462" s="395"/>
      <c r="E462" s="395"/>
      <c r="F462" s="395"/>
      <c r="G462" s="395"/>
      <c r="H462" s="395"/>
      <c r="I462" s="395"/>
      <c r="J462" s="395"/>
      <c r="K462" s="395"/>
      <c r="L462" s="395"/>
      <c r="M462" s="395"/>
      <c r="N462" s="395"/>
      <c r="O462" s="395"/>
      <c r="P462" s="395"/>
      <c r="Q462" s="395"/>
      <c r="R462" s="395"/>
      <c r="S462" s="395"/>
      <c r="T462" s="395"/>
      <c r="U462" s="395"/>
    </row>
    <row r="463" ht="15.75" customHeight="1">
      <c r="A463" s="395"/>
      <c r="B463" s="395"/>
      <c r="C463" s="395"/>
      <c r="D463" s="395"/>
      <c r="E463" s="395"/>
      <c r="F463" s="395"/>
      <c r="G463" s="395"/>
      <c r="H463" s="395"/>
      <c r="I463" s="395"/>
      <c r="J463" s="395"/>
      <c r="K463" s="395"/>
      <c r="L463" s="395"/>
      <c r="M463" s="395"/>
      <c r="N463" s="395"/>
      <c r="O463" s="395"/>
      <c r="P463" s="395"/>
      <c r="Q463" s="395"/>
      <c r="R463" s="395"/>
      <c r="S463" s="395"/>
      <c r="T463" s="395"/>
      <c r="U463" s="395"/>
    </row>
    <row r="464" ht="15.75" customHeight="1">
      <c r="A464" s="395"/>
      <c r="B464" s="395"/>
      <c r="C464" s="395"/>
      <c r="D464" s="395"/>
      <c r="E464" s="395"/>
      <c r="F464" s="395"/>
      <c r="G464" s="395"/>
      <c r="H464" s="395"/>
      <c r="I464" s="395"/>
      <c r="J464" s="395"/>
      <c r="K464" s="395"/>
      <c r="L464" s="395"/>
      <c r="M464" s="395"/>
      <c r="N464" s="395"/>
      <c r="O464" s="395"/>
      <c r="P464" s="395"/>
      <c r="Q464" s="395"/>
      <c r="R464" s="395"/>
      <c r="S464" s="395"/>
      <c r="T464" s="395"/>
      <c r="U464" s="395"/>
    </row>
    <row r="465" ht="15.75" customHeight="1">
      <c r="A465" s="395"/>
      <c r="B465" s="395"/>
      <c r="C465" s="395"/>
      <c r="D465" s="395"/>
      <c r="E465" s="395"/>
      <c r="F465" s="395"/>
      <c r="G465" s="395"/>
      <c r="H465" s="395"/>
      <c r="I465" s="395"/>
      <c r="J465" s="395"/>
      <c r="K465" s="395"/>
      <c r="L465" s="395"/>
      <c r="M465" s="395"/>
      <c r="N465" s="395"/>
      <c r="O465" s="395"/>
      <c r="P465" s="395"/>
      <c r="Q465" s="395"/>
      <c r="R465" s="395"/>
      <c r="S465" s="395"/>
      <c r="T465" s="395"/>
      <c r="U465" s="395"/>
    </row>
    <row r="466" ht="15.75" customHeight="1">
      <c r="A466" s="395"/>
      <c r="B466" s="395"/>
      <c r="C466" s="395"/>
      <c r="D466" s="395"/>
      <c r="E466" s="395"/>
      <c r="F466" s="395"/>
      <c r="G466" s="395"/>
      <c r="H466" s="395"/>
      <c r="I466" s="395"/>
      <c r="J466" s="395"/>
      <c r="K466" s="395"/>
      <c r="L466" s="395"/>
      <c r="M466" s="395"/>
      <c r="N466" s="395"/>
      <c r="O466" s="395"/>
      <c r="P466" s="395"/>
      <c r="Q466" s="395"/>
      <c r="R466" s="395"/>
      <c r="S466" s="395"/>
      <c r="T466" s="395"/>
      <c r="U466" s="395"/>
    </row>
    <row r="467" ht="15.75" customHeight="1">
      <c r="A467" s="395"/>
      <c r="B467" s="395"/>
      <c r="C467" s="395"/>
      <c r="D467" s="395"/>
      <c r="E467" s="395"/>
      <c r="F467" s="395"/>
      <c r="G467" s="395"/>
      <c r="H467" s="395"/>
      <c r="I467" s="395"/>
      <c r="J467" s="395"/>
      <c r="K467" s="395"/>
      <c r="L467" s="395"/>
      <c r="M467" s="395"/>
      <c r="N467" s="395"/>
      <c r="O467" s="395"/>
      <c r="P467" s="395"/>
      <c r="Q467" s="395"/>
      <c r="R467" s="395"/>
      <c r="S467" s="395"/>
      <c r="T467" s="395"/>
      <c r="U467" s="395"/>
    </row>
    <row r="468" ht="15.75" customHeight="1">
      <c r="A468" s="395"/>
      <c r="B468" s="395"/>
      <c r="C468" s="395"/>
      <c r="D468" s="395"/>
      <c r="E468" s="395"/>
      <c r="F468" s="395"/>
      <c r="G468" s="395"/>
      <c r="H468" s="395"/>
      <c r="I468" s="395"/>
      <c r="J468" s="395"/>
      <c r="K468" s="395"/>
      <c r="L468" s="395"/>
      <c r="M468" s="395"/>
      <c r="N468" s="395"/>
      <c r="O468" s="395"/>
      <c r="P468" s="395"/>
      <c r="Q468" s="395"/>
      <c r="R468" s="395"/>
      <c r="S468" s="395"/>
      <c r="T468" s="395"/>
      <c r="U468" s="395"/>
    </row>
    <row r="469" ht="15.75" customHeight="1">
      <c r="A469" s="395"/>
      <c r="B469" s="395"/>
      <c r="C469" s="395"/>
      <c r="D469" s="395"/>
      <c r="E469" s="395"/>
      <c r="F469" s="395"/>
      <c r="G469" s="395"/>
      <c r="H469" s="395"/>
      <c r="I469" s="395"/>
      <c r="J469" s="395"/>
      <c r="K469" s="395"/>
      <c r="L469" s="395"/>
      <c r="M469" s="395"/>
      <c r="N469" s="395"/>
      <c r="O469" s="395"/>
      <c r="P469" s="395"/>
      <c r="Q469" s="395"/>
      <c r="R469" s="395"/>
      <c r="S469" s="395"/>
      <c r="T469" s="395"/>
      <c r="U469" s="395"/>
    </row>
    <row r="470" ht="15.75" customHeight="1">
      <c r="A470" s="395"/>
      <c r="B470" s="395"/>
      <c r="C470" s="395"/>
      <c r="D470" s="395"/>
      <c r="E470" s="395"/>
      <c r="F470" s="395"/>
      <c r="G470" s="395"/>
      <c r="H470" s="395"/>
      <c r="I470" s="395"/>
      <c r="J470" s="395"/>
      <c r="K470" s="395"/>
      <c r="L470" s="395"/>
      <c r="M470" s="395"/>
      <c r="N470" s="395"/>
      <c r="O470" s="395"/>
      <c r="P470" s="395"/>
      <c r="Q470" s="395"/>
      <c r="R470" s="395"/>
      <c r="S470" s="395"/>
      <c r="T470" s="395"/>
      <c r="U470" s="395"/>
    </row>
    <row r="471" ht="15.75" customHeight="1">
      <c r="A471" s="395"/>
      <c r="B471" s="395"/>
      <c r="C471" s="395"/>
      <c r="D471" s="395"/>
      <c r="E471" s="395"/>
      <c r="F471" s="395"/>
      <c r="G471" s="395"/>
      <c r="H471" s="395"/>
      <c r="I471" s="395"/>
      <c r="J471" s="395"/>
      <c r="K471" s="395"/>
      <c r="L471" s="395"/>
      <c r="M471" s="395"/>
      <c r="N471" s="395"/>
      <c r="O471" s="395"/>
      <c r="P471" s="395"/>
      <c r="Q471" s="395"/>
      <c r="R471" s="395"/>
      <c r="S471" s="395"/>
      <c r="T471" s="395"/>
      <c r="U471" s="395"/>
    </row>
    <row r="472" ht="15.75" customHeight="1">
      <c r="A472" s="395"/>
      <c r="B472" s="395"/>
      <c r="C472" s="395"/>
      <c r="D472" s="395"/>
      <c r="E472" s="395"/>
      <c r="F472" s="395"/>
      <c r="G472" s="395"/>
      <c r="H472" s="395"/>
      <c r="I472" s="395"/>
      <c r="J472" s="395"/>
      <c r="K472" s="395"/>
      <c r="L472" s="395"/>
      <c r="M472" s="395"/>
      <c r="N472" s="395"/>
      <c r="O472" s="395"/>
      <c r="P472" s="395"/>
      <c r="Q472" s="395"/>
      <c r="R472" s="395"/>
      <c r="S472" s="395"/>
      <c r="T472" s="395"/>
      <c r="U472" s="395"/>
    </row>
    <row r="473" ht="15.75" customHeight="1">
      <c r="A473" s="395"/>
      <c r="B473" s="395"/>
      <c r="C473" s="395"/>
      <c r="D473" s="395"/>
      <c r="E473" s="395"/>
      <c r="F473" s="395"/>
      <c r="G473" s="395"/>
      <c r="H473" s="395"/>
      <c r="I473" s="395"/>
      <c r="J473" s="395"/>
      <c r="K473" s="395"/>
      <c r="L473" s="395"/>
      <c r="M473" s="395"/>
      <c r="N473" s="395"/>
      <c r="O473" s="395"/>
      <c r="P473" s="395"/>
      <c r="Q473" s="395"/>
      <c r="R473" s="395"/>
      <c r="S473" s="395"/>
      <c r="T473" s="395"/>
      <c r="U473" s="395"/>
    </row>
    <row r="474" ht="15.75" customHeight="1">
      <c r="A474" s="395"/>
      <c r="B474" s="395"/>
      <c r="C474" s="395"/>
      <c r="D474" s="395"/>
      <c r="E474" s="395"/>
      <c r="F474" s="395"/>
      <c r="G474" s="395"/>
      <c r="H474" s="395"/>
      <c r="I474" s="395"/>
      <c r="J474" s="395"/>
      <c r="K474" s="395"/>
      <c r="L474" s="395"/>
      <c r="M474" s="395"/>
      <c r="N474" s="395"/>
      <c r="O474" s="395"/>
      <c r="P474" s="395"/>
      <c r="Q474" s="395"/>
      <c r="R474" s="395"/>
      <c r="S474" s="395"/>
      <c r="T474" s="395"/>
      <c r="U474" s="395"/>
    </row>
    <row r="475" ht="15.75" customHeight="1">
      <c r="A475" s="395"/>
      <c r="B475" s="395"/>
      <c r="C475" s="395"/>
      <c r="D475" s="395"/>
      <c r="E475" s="395"/>
      <c r="F475" s="395"/>
      <c r="G475" s="395"/>
      <c r="H475" s="395"/>
      <c r="I475" s="395"/>
      <c r="J475" s="395"/>
      <c r="K475" s="395"/>
      <c r="L475" s="395"/>
      <c r="M475" s="395"/>
      <c r="N475" s="395"/>
      <c r="O475" s="395"/>
      <c r="P475" s="395"/>
      <c r="Q475" s="395"/>
      <c r="R475" s="395"/>
      <c r="S475" s="395"/>
      <c r="T475" s="395"/>
      <c r="U475" s="395"/>
    </row>
    <row r="476" ht="15.75" customHeight="1">
      <c r="A476" s="395"/>
      <c r="B476" s="395"/>
      <c r="C476" s="395"/>
      <c r="D476" s="395"/>
      <c r="E476" s="395"/>
      <c r="F476" s="395"/>
      <c r="G476" s="395"/>
      <c r="H476" s="395"/>
      <c r="I476" s="395"/>
      <c r="J476" s="395"/>
      <c r="K476" s="395"/>
      <c r="L476" s="395"/>
      <c r="M476" s="395"/>
      <c r="N476" s="395"/>
      <c r="O476" s="395"/>
      <c r="P476" s="395"/>
      <c r="Q476" s="395"/>
      <c r="R476" s="395"/>
      <c r="S476" s="395"/>
      <c r="T476" s="395"/>
      <c r="U476" s="395"/>
    </row>
    <row r="477" ht="15.75" customHeight="1">
      <c r="A477" s="395"/>
      <c r="B477" s="395"/>
      <c r="C477" s="395"/>
      <c r="D477" s="395"/>
      <c r="E477" s="395"/>
      <c r="F477" s="395"/>
      <c r="G477" s="395"/>
      <c r="H477" s="395"/>
      <c r="I477" s="395"/>
      <c r="J477" s="395"/>
      <c r="K477" s="395"/>
      <c r="L477" s="395"/>
      <c r="M477" s="395"/>
      <c r="N477" s="395"/>
      <c r="O477" s="395"/>
      <c r="P477" s="395"/>
      <c r="Q477" s="395"/>
      <c r="R477" s="395"/>
      <c r="S477" s="395"/>
      <c r="T477" s="395"/>
      <c r="U477" s="395"/>
    </row>
    <row r="478" ht="15.75" customHeight="1">
      <c r="A478" s="395"/>
      <c r="B478" s="395"/>
      <c r="C478" s="395"/>
      <c r="D478" s="395"/>
      <c r="E478" s="395"/>
      <c r="F478" s="395"/>
      <c r="G478" s="395"/>
      <c r="H478" s="395"/>
      <c r="I478" s="395"/>
      <c r="J478" s="395"/>
      <c r="K478" s="395"/>
      <c r="L478" s="395"/>
      <c r="M478" s="395"/>
      <c r="N478" s="395"/>
      <c r="O478" s="395"/>
      <c r="P478" s="395"/>
      <c r="Q478" s="395"/>
      <c r="R478" s="395"/>
      <c r="S478" s="395"/>
      <c r="T478" s="395"/>
      <c r="U478" s="395"/>
    </row>
    <row r="479" ht="15.75" customHeight="1">
      <c r="A479" s="395"/>
      <c r="B479" s="395"/>
      <c r="C479" s="395"/>
      <c r="D479" s="395"/>
      <c r="E479" s="395"/>
      <c r="F479" s="395"/>
      <c r="G479" s="395"/>
      <c r="H479" s="395"/>
      <c r="I479" s="395"/>
      <c r="J479" s="395"/>
      <c r="K479" s="395"/>
      <c r="L479" s="395"/>
      <c r="M479" s="395"/>
      <c r="N479" s="395"/>
      <c r="O479" s="395"/>
      <c r="P479" s="395"/>
      <c r="Q479" s="395"/>
      <c r="R479" s="395"/>
      <c r="S479" s="395"/>
      <c r="T479" s="395"/>
      <c r="U479" s="395"/>
    </row>
    <row r="480" ht="15.75" customHeight="1">
      <c r="A480" s="395"/>
      <c r="B480" s="395"/>
      <c r="C480" s="395"/>
      <c r="D480" s="395"/>
      <c r="E480" s="395"/>
      <c r="F480" s="395"/>
      <c r="G480" s="395"/>
      <c r="H480" s="395"/>
      <c r="I480" s="395"/>
      <c r="J480" s="395"/>
      <c r="K480" s="395"/>
      <c r="L480" s="395"/>
      <c r="M480" s="395"/>
      <c r="N480" s="395"/>
      <c r="O480" s="395"/>
      <c r="P480" s="395"/>
      <c r="Q480" s="395"/>
      <c r="R480" s="395"/>
      <c r="S480" s="395"/>
      <c r="T480" s="395"/>
      <c r="U480" s="395"/>
    </row>
    <row r="481" ht="15.75" customHeight="1">
      <c r="A481" s="395"/>
      <c r="B481" s="395"/>
      <c r="C481" s="395"/>
      <c r="D481" s="395"/>
      <c r="E481" s="395"/>
      <c r="F481" s="395"/>
      <c r="G481" s="395"/>
      <c r="H481" s="395"/>
      <c r="I481" s="395"/>
      <c r="J481" s="395"/>
      <c r="K481" s="395"/>
      <c r="L481" s="395"/>
      <c r="M481" s="395"/>
      <c r="N481" s="395"/>
      <c r="O481" s="395"/>
      <c r="P481" s="395"/>
      <c r="Q481" s="395"/>
      <c r="R481" s="395"/>
      <c r="S481" s="395"/>
      <c r="T481" s="395"/>
      <c r="U481" s="395"/>
    </row>
    <row r="482" ht="15.75" customHeight="1">
      <c r="A482" s="395"/>
      <c r="B482" s="395"/>
      <c r="C482" s="395"/>
      <c r="D482" s="395"/>
      <c r="E482" s="395"/>
      <c r="F482" s="395"/>
      <c r="G482" s="395"/>
      <c r="H482" s="395"/>
      <c r="I482" s="395"/>
      <c r="J482" s="395"/>
      <c r="K482" s="395"/>
      <c r="L482" s="395"/>
      <c r="M482" s="395"/>
      <c r="N482" s="395"/>
      <c r="O482" s="395"/>
      <c r="P482" s="395"/>
      <c r="Q482" s="395"/>
      <c r="R482" s="395"/>
      <c r="S482" s="395"/>
      <c r="T482" s="395"/>
      <c r="U482" s="395"/>
    </row>
    <row r="483" ht="15.75" customHeight="1">
      <c r="A483" s="395"/>
      <c r="B483" s="395"/>
      <c r="C483" s="395"/>
      <c r="D483" s="395"/>
      <c r="E483" s="395"/>
      <c r="F483" s="395"/>
      <c r="G483" s="395"/>
      <c r="H483" s="395"/>
      <c r="I483" s="395"/>
      <c r="J483" s="395"/>
      <c r="K483" s="395"/>
      <c r="L483" s="395"/>
      <c r="M483" s="395"/>
      <c r="N483" s="395"/>
      <c r="O483" s="395"/>
      <c r="P483" s="395"/>
      <c r="Q483" s="395"/>
      <c r="R483" s="395"/>
      <c r="S483" s="395"/>
      <c r="T483" s="395"/>
      <c r="U483" s="395"/>
    </row>
    <row r="484" ht="15.75" customHeight="1">
      <c r="A484" s="395"/>
      <c r="B484" s="395"/>
      <c r="C484" s="395"/>
      <c r="D484" s="395"/>
      <c r="E484" s="395"/>
      <c r="F484" s="395"/>
      <c r="G484" s="395"/>
      <c r="H484" s="395"/>
      <c r="I484" s="395"/>
      <c r="J484" s="395"/>
      <c r="K484" s="395"/>
      <c r="L484" s="395"/>
      <c r="M484" s="395"/>
      <c r="N484" s="395"/>
      <c r="O484" s="395"/>
      <c r="P484" s="395"/>
      <c r="Q484" s="395"/>
      <c r="R484" s="395"/>
      <c r="S484" s="395"/>
      <c r="T484" s="395"/>
      <c r="U484" s="395"/>
    </row>
    <row r="485" ht="15.75" customHeight="1">
      <c r="A485" s="395"/>
      <c r="B485" s="395"/>
      <c r="C485" s="395"/>
      <c r="D485" s="395"/>
      <c r="E485" s="395"/>
      <c r="F485" s="395"/>
      <c r="G485" s="395"/>
      <c r="H485" s="395"/>
      <c r="I485" s="395"/>
      <c r="J485" s="395"/>
      <c r="K485" s="395"/>
      <c r="L485" s="395"/>
      <c r="M485" s="395"/>
      <c r="N485" s="395"/>
      <c r="O485" s="395"/>
      <c r="P485" s="395"/>
      <c r="Q485" s="395"/>
      <c r="R485" s="395"/>
      <c r="S485" s="395"/>
      <c r="T485" s="395"/>
      <c r="U485" s="395"/>
    </row>
    <row r="486" ht="15.75" customHeight="1">
      <c r="A486" s="395"/>
      <c r="B486" s="395"/>
      <c r="C486" s="395"/>
      <c r="D486" s="395"/>
      <c r="E486" s="395"/>
      <c r="F486" s="395"/>
      <c r="G486" s="395"/>
      <c r="H486" s="395"/>
      <c r="I486" s="395"/>
      <c r="J486" s="395"/>
      <c r="K486" s="395"/>
      <c r="L486" s="395"/>
      <c r="M486" s="395"/>
      <c r="N486" s="395"/>
      <c r="O486" s="395"/>
      <c r="P486" s="395"/>
      <c r="Q486" s="395"/>
      <c r="R486" s="395"/>
      <c r="S486" s="395"/>
      <c r="T486" s="395"/>
      <c r="U486" s="395"/>
    </row>
    <row r="487" ht="15.75" customHeight="1">
      <c r="A487" s="395"/>
      <c r="B487" s="395"/>
      <c r="C487" s="395"/>
      <c r="D487" s="395"/>
      <c r="E487" s="395"/>
      <c r="F487" s="395"/>
      <c r="G487" s="395"/>
      <c r="H487" s="395"/>
      <c r="I487" s="395"/>
      <c r="J487" s="395"/>
      <c r="K487" s="395"/>
      <c r="L487" s="395"/>
      <c r="M487" s="395"/>
      <c r="N487" s="395"/>
      <c r="O487" s="395"/>
      <c r="P487" s="395"/>
      <c r="Q487" s="395"/>
      <c r="R487" s="395"/>
      <c r="S487" s="395"/>
      <c r="T487" s="395"/>
      <c r="U487" s="395"/>
    </row>
    <row r="488" ht="15.75" customHeight="1">
      <c r="A488" s="395"/>
      <c r="B488" s="395"/>
      <c r="C488" s="395"/>
      <c r="D488" s="395"/>
      <c r="E488" s="395"/>
      <c r="F488" s="395"/>
      <c r="G488" s="395"/>
      <c r="H488" s="395"/>
      <c r="I488" s="395"/>
      <c r="J488" s="395"/>
      <c r="K488" s="395"/>
      <c r="L488" s="395"/>
      <c r="M488" s="395"/>
      <c r="N488" s="395"/>
      <c r="O488" s="395"/>
      <c r="P488" s="395"/>
      <c r="Q488" s="395"/>
      <c r="R488" s="395"/>
      <c r="S488" s="395"/>
      <c r="T488" s="395"/>
      <c r="U488" s="395"/>
    </row>
    <row r="489" ht="15.75" customHeight="1">
      <c r="A489" s="395"/>
      <c r="B489" s="395"/>
      <c r="C489" s="395"/>
      <c r="D489" s="395"/>
      <c r="E489" s="395"/>
      <c r="F489" s="395"/>
      <c r="G489" s="395"/>
      <c r="H489" s="395"/>
      <c r="I489" s="395"/>
      <c r="J489" s="395"/>
      <c r="K489" s="395"/>
      <c r="L489" s="395"/>
      <c r="M489" s="395"/>
      <c r="N489" s="395"/>
      <c r="O489" s="395"/>
      <c r="P489" s="395"/>
      <c r="Q489" s="395"/>
      <c r="R489" s="395"/>
      <c r="S489" s="395"/>
      <c r="T489" s="395"/>
      <c r="U489" s="395"/>
    </row>
    <row r="490" ht="15.75" customHeight="1">
      <c r="A490" s="395"/>
      <c r="B490" s="395"/>
      <c r="C490" s="395"/>
      <c r="D490" s="395"/>
      <c r="E490" s="395"/>
      <c r="F490" s="395"/>
      <c r="G490" s="395"/>
      <c r="H490" s="395"/>
      <c r="I490" s="395"/>
      <c r="J490" s="395"/>
      <c r="K490" s="395"/>
      <c r="L490" s="395"/>
      <c r="M490" s="395"/>
      <c r="N490" s="395"/>
      <c r="O490" s="395"/>
      <c r="P490" s="395"/>
      <c r="Q490" s="395"/>
      <c r="R490" s="395"/>
      <c r="S490" s="395"/>
      <c r="T490" s="395"/>
      <c r="U490" s="395"/>
    </row>
    <row r="491" ht="15.75" customHeight="1">
      <c r="A491" s="395"/>
      <c r="B491" s="395"/>
      <c r="C491" s="395"/>
      <c r="D491" s="395"/>
      <c r="E491" s="395"/>
      <c r="F491" s="395"/>
      <c r="G491" s="395"/>
      <c r="H491" s="395"/>
      <c r="I491" s="395"/>
      <c r="J491" s="395"/>
      <c r="K491" s="395"/>
      <c r="L491" s="395"/>
      <c r="M491" s="395"/>
      <c r="N491" s="395"/>
      <c r="O491" s="395"/>
      <c r="P491" s="395"/>
      <c r="Q491" s="395"/>
      <c r="R491" s="395"/>
      <c r="S491" s="395"/>
      <c r="T491" s="395"/>
      <c r="U491" s="395"/>
    </row>
    <row r="492" ht="15.75" customHeight="1">
      <c r="A492" s="395"/>
      <c r="B492" s="395"/>
      <c r="C492" s="395"/>
      <c r="D492" s="395"/>
      <c r="E492" s="395"/>
      <c r="F492" s="395"/>
      <c r="G492" s="395"/>
      <c r="H492" s="395"/>
      <c r="I492" s="395"/>
      <c r="J492" s="395"/>
      <c r="K492" s="395"/>
      <c r="L492" s="395"/>
      <c r="M492" s="395"/>
      <c r="N492" s="395"/>
      <c r="O492" s="395"/>
      <c r="P492" s="395"/>
      <c r="Q492" s="395"/>
      <c r="R492" s="395"/>
      <c r="S492" s="395"/>
      <c r="T492" s="395"/>
      <c r="U492" s="395"/>
    </row>
    <row r="493" ht="15.75" customHeight="1">
      <c r="A493" s="395"/>
      <c r="B493" s="395"/>
      <c r="C493" s="395"/>
      <c r="D493" s="395"/>
      <c r="E493" s="395"/>
      <c r="F493" s="395"/>
      <c r="G493" s="395"/>
      <c r="H493" s="395"/>
      <c r="I493" s="395"/>
      <c r="J493" s="395"/>
      <c r="K493" s="395"/>
      <c r="L493" s="395"/>
      <c r="M493" s="395"/>
      <c r="N493" s="395"/>
      <c r="O493" s="395"/>
      <c r="P493" s="395"/>
      <c r="Q493" s="395"/>
      <c r="R493" s="395"/>
      <c r="S493" s="395"/>
      <c r="T493" s="395"/>
      <c r="U493" s="395"/>
    </row>
    <row r="494" ht="15.75" customHeight="1">
      <c r="A494" s="395"/>
      <c r="B494" s="395"/>
      <c r="C494" s="395"/>
      <c r="D494" s="395"/>
      <c r="E494" s="395"/>
      <c r="F494" s="395"/>
      <c r="G494" s="395"/>
      <c r="H494" s="395"/>
      <c r="I494" s="395"/>
      <c r="J494" s="395"/>
      <c r="K494" s="395"/>
      <c r="L494" s="395"/>
      <c r="M494" s="395"/>
      <c r="N494" s="395"/>
      <c r="O494" s="395"/>
      <c r="P494" s="395"/>
      <c r="Q494" s="395"/>
      <c r="R494" s="395"/>
      <c r="S494" s="395"/>
      <c r="T494" s="395"/>
      <c r="U494" s="395"/>
    </row>
    <row r="495" ht="15.75" customHeight="1">
      <c r="A495" s="395"/>
      <c r="B495" s="395"/>
      <c r="C495" s="395"/>
      <c r="D495" s="395"/>
      <c r="E495" s="395"/>
      <c r="F495" s="395"/>
      <c r="G495" s="395"/>
      <c r="H495" s="395"/>
      <c r="I495" s="395"/>
      <c r="J495" s="395"/>
      <c r="K495" s="395"/>
      <c r="L495" s="395"/>
      <c r="M495" s="395"/>
      <c r="N495" s="395"/>
      <c r="O495" s="395"/>
      <c r="P495" s="395"/>
      <c r="Q495" s="395"/>
      <c r="R495" s="395"/>
      <c r="S495" s="395"/>
      <c r="T495" s="395"/>
      <c r="U495" s="395"/>
    </row>
    <row r="496" ht="15.75" customHeight="1">
      <c r="A496" s="395"/>
      <c r="B496" s="395"/>
      <c r="C496" s="395"/>
      <c r="D496" s="395"/>
      <c r="E496" s="395"/>
      <c r="F496" s="395"/>
      <c r="G496" s="395"/>
      <c r="H496" s="395"/>
      <c r="I496" s="395"/>
      <c r="J496" s="395"/>
      <c r="K496" s="395"/>
      <c r="L496" s="395"/>
      <c r="M496" s="395"/>
      <c r="N496" s="395"/>
      <c r="O496" s="395"/>
      <c r="P496" s="395"/>
      <c r="Q496" s="395"/>
      <c r="R496" s="395"/>
      <c r="S496" s="395"/>
      <c r="T496" s="395"/>
      <c r="U496" s="395"/>
    </row>
    <row r="497" ht="15.75" customHeight="1">
      <c r="A497" s="395"/>
      <c r="B497" s="395"/>
      <c r="C497" s="395"/>
      <c r="D497" s="395"/>
      <c r="E497" s="395"/>
      <c r="F497" s="395"/>
      <c r="G497" s="395"/>
      <c r="H497" s="395"/>
      <c r="I497" s="395"/>
      <c r="J497" s="395"/>
      <c r="K497" s="395"/>
      <c r="L497" s="395"/>
      <c r="M497" s="395"/>
      <c r="N497" s="395"/>
      <c r="O497" s="395"/>
      <c r="P497" s="395"/>
      <c r="Q497" s="395"/>
      <c r="R497" s="395"/>
      <c r="S497" s="395"/>
      <c r="T497" s="395"/>
      <c r="U497" s="395"/>
    </row>
    <row r="498" ht="15.75" customHeight="1">
      <c r="A498" s="395"/>
      <c r="B498" s="395"/>
      <c r="C498" s="395"/>
      <c r="D498" s="395"/>
      <c r="E498" s="395"/>
      <c r="F498" s="395"/>
      <c r="G498" s="395"/>
      <c r="H498" s="395"/>
      <c r="I498" s="395"/>
      <c r="J498" s="395"/>
      <c r="K498" s="395"/>
      <c r="L498" s="395"/>
      <c r="M498" s="395"/>
      <c r="N498" s="395"/>
      <c r="O498" s="395"/>
      <c r="P498" s="395"/>
      <c r="Q498" s="395"/>
      <c r="R498" s="395"/>
      <c r="S498" s="395"/>
      <c r="T498" s="395"/>
      <c r="U498" s="395"/>
    </row>
    <row r="499" ht="15.75" customHeight="1">
      <c r="A499" s="395"/>
      <c r="B499" s="395"/>
      <c r="C499" s="395"/>
      <c r="D499" s="395"/>
      <c r="E499" s="395"/>
      <c r="F499" s="395"/>
      <c r="G499" s="395"/>
      <c r="H499" s="395"/>
      <c r="I499" s="395"/>
      <c r="J499" s="395"/>
      <c r="K499" s="395"/>
      <c r="L499" s="395"/>
      <c r="M499" s="395"/>
      <c r="N499" s="395"/>
      <c r="O499" s="395"/>
      <c r="P499" s="395"/>
      <c r="Q499" s="395"/>
      <c r="R499" s="395"/>
      <c r="S499" s="395"/>
      <c r="T499" s="395"/>
      <c r="U499" s="395"/>
    </row>
    <row r="500" ht="15.75" customHeight="1">
      <c r="A500" s="395"/>
      <c r="B500" s="395"/>
      <c r="C500" s="395"/>
      <c r="D500" s="395"/>
      <c r="E500" s="395"/>
      <c r="F500" s="395"/>
      <c r="G500" s="395"/>
      <c r="H500" s="395"/>
      <c r="I500" s="395"/>
      <c r="J500" s="395"/>
      <c r="K500" s="395"/>
      <c r="L500" s="395"/>
      <c r="M500" s="395"/>
      <c r="N500" s="395"/>
      <c r="O500" s="395"/>
      <c r="P500" s="395"/>
      <c r="Q500" s="395"/>
      <c r="R500" s="395"/>
      <c r="S500" s="395"/>
      <c r="T500" s="395"/>
      <c r="U500" s="395"/>
    </row>
    <row r="501" ht="15.75" customHeight="1">
      <c r="A501" s="395"/>
      <c r="B501" s="395"/>
      <c r="C501" s="395"/>
      <c r="D501" s="395"/>
      <c r="E501" s="395"/>
      <c r="F501" s="395"/>
      <c r="G501" s="395"/>
      <c r="H501" s="395"/>
      <c r="I501" s="395"/>
      <c r="J501" s="395"/>
      <c r="K501" s="395"/>
      <c r="L501" s="395"/>
      <c r="M501" s="395"/>
      <c r="N501" s="395"/>
      <c r="O501" s="395"/>
      <c r="P501" s="395"/>
      <c r="Q501" s="395"/>
      <c r="R501" s="395"/>
      <c r="S501" s="395"/>
      <c r="T501" s="395"/>
      <c r="U501" s="395"/>
    </row>
    <row r="502" ht="15.75" customHeight="1">
      <c r="A502" s="395"/>
      <c r="B502" s="395"/>
      <c r="C502" s="395"/>
      <c r="D502" s="395"/>
      <c r="E502" s="395"/>
      <c r="F502" s="395"/>
      <c r="G502" s="395"/>
      <c r="H502" s="395"/>
      <c r="I502" s="395"/>
      <c r="J502" s="395"/>
      <c r="K502" s="395"/>
      <c r="L502" s="395"/>
      <c r="M502" s="395"/>
      <c r="N502" s="395"/>
      <c r="O502" s="395"/>
      <c r="P502" s="395"/>
      <c r="Q502" s="395"/>
      <c r="R502" s="395"/>
      <c r="S502" s="395"/>
      <c r="T502" s="395"/>
      <c r="U502" s="395"/>
    </row>
    <row r="503" ht="15.75" customHeight="1">
      <c r="A503" s="395"/>
      <c r="B503" s="395"/>
      <c r="C503" s="395"/>
      <c r="D503" s="395"/>
      <c r="E503" s="395"/>
      <c r="F503" s="395"/>
      <c r="G503" s="395"/>
      <c r="H503" s="395"/>
      <c r="I503" s="395"/>
      <c r="J503" s="395"/>
      <c r="K503" s="395"/>
      <c r="L503" s="395"/>
      <c r="M503" s="395"/>
      <c r="N503" s="395"/>
      <c r="O503" s="395"/>
      <c r="P503" s="395"/>
      <c r="Q503" s="395"/>
      <c r="R503" s="395"/>
      <c r="S503" s="395"/>
      <c r="T503" s="395"/>
      <c r="U503" s="395"/>
    </row>
    <row r="504" ht="15.75" customHeight="1">
      <c r="A504" s="395"/>
      <c r="B504" s="395"/>
      <c r="C504" s="395"/>
      <c r="D504" s="395"/>
      <c r="E504" s="395"/>
      <c r="F504" s="395"/>
      <c r="G504" s="395"/>
      <c r="H504" s="395"/>
      <c r="I504" s="395"/>
      <c r="J504" s="395"/>
      <c r="K504" s="395"/>
      <c r="L504" s="395"/>
      <c r="M504" s="395"/>
      <c r="N504" s="395"/>
      <c r="O504" s="395"/>
      <c r="P504" s="395"/>
      <c r="Q504" s="395"/>
      <c r="R504" s="395"/>
      <c r="S504" s="395"/>
      <c r="T504" s="395"/>
      <c r="U504" s="395"/>
    </row>
    <row r="505" ht="15.75" customHeight="1">
      <c r="A505" s="395"/>
      <c r="B505" s="395"/>
      <c r="C505" s="395"/>
      <c r="D505" s="395"/>
      <c r="E505" s="395"/>
      <c r="F505" s="395"/>
      <c r="G505" s="395"/>
      <c r="H505" s="395"/>
      <c r="I505" s="395"/>
      <c r="J505" s="395"/>
      <c r="K505" s="395"/>
      <c r="L505" s="395"/>
      <c r="M505" s="395"/>
      <c r="N505" s="395"/>
      <c r="O505" s="395"/>
      <c r="P505" s="395"/>
      <c r="Q505" s="395"/>
      <c r="R505" s="395"/>
      <c r="S505" s="395"/>
      <c r="T505" s="395"/>
      <c r="U505" s="395"/>
    </row>
    <row r="506" ht="15.75" customHeight="1">
      <c r="A506" s="395"/>
      <c r="B506" s="395"/>
      <c r="C506" s="395"/>
      <c r="D506" s="395"/>
      <c r="E506" s="395"/>
      <c r="F506" s="395"/>
      <c r="G506" s="395"/>
      <c r="H506" s="395"/>
      <c r="I506" s="395"/>
      <c r="J506" s="395"/>
      <c r="K506" s="395"/>
      <c r="L506" s="395"/>
      <c r="M506" s="395"/>
      <c r="N506" s="395"/>
      <c r="O506" s="395"/>
      <c r="P506" s="395"/>
      <c r="Q506" s="395"/>
      <c r="R506" s="395"/>
      <c r="S506" s="395"/>
      <c r="T506" s="395"/>
      <c r="U506" s="395"/>
    </row>
    <row r="507" ht="15.75" customHeight="1">
      <c r="A507" s="395"/>
      <c r="B507" s="395"/>
      <c r="C507" s="395"/>
      <c r="D507" s="395"/>
      <c r="E507" s="395"/>
      <c r="F507" s="395"/>
      <c r="G507" s="395"/>
      <c r="H507" s="395"/>
      <c r="I507" s="395"/>
      <c r="J507" s="395"/>
      <c r="K507" s="395"/>
      <c r="L507" s="395"/>
      <c r="M507" s="395"/>
      <c r="N507" s="395"/>
      <c r="O507" s="395"/>
      <c r="P507" s="395"/>
      <c r="Q507" s="395"/>
      <c r="R507" s="395"/>
      <c r="S507" s="395"/>
      <c r="T507" s="395"/>
      <c r="U507" s="395"/>
    </row>
    <row r="508" ht="15.75" customHeight="1">
      <c r="A508" s="395"/>
      <c r="B508" s="395"/>
      <c r="C508" s="395"/>
      <c r="D508" s="395"/>
      <c r="E508" s="395"/>
      <c r="F508" s="395"/>
      <c r="G508" s="395"/>
      <c r="H508" s="395"/>
      <c r="I508" s="395"/>
      <c r="J508" s="395"/>
      <c r="K508" s="395"/>
      <c r="L508" s="395"/>
      <c r="M508" s="395"/>
      <c r="N508" s="395"/>
      <c r="O508" s="395"/>
      <c r="P508" s="395"/>
      <c r="Q508" s="395"/>
      <c r="R508" s="395"/>
      <c r="S508" s="395"/>
      <c r="T508" s="395"/>
      <c r="U508" s="395"/>
    </row>
    <row r="509" ht="15.75" customHeight="1">
      <c r="A509" s="395"/>
      <c r="B509" s="395"/>
      <c r="C509" s="395"/>
      <c r="D509" s="395"/>
      <c r="E509" s="395"/>
      <c r="F509" s="395"/>
      <c r="G509" s="395"/>
      <c r="H509" s="395"/>
      <c r="I509" s="395"/>
      <c r="J509" s="395"/>
      <c r="K509" s="395"/>
      <c r="L509" s="395"/>
      <c r="M509" s="395"/>
      <c r="N509" s="395"/>
      <c r="O509" s="395"/>
      <c r="P509" s="395"/>
      <c r="Q509" s="395"/>
      <c r="R509" s="395"/>
      <c r="S509" s="395"/>
      <c r="T509" s="395"/>
      <c r="U509" s="395"/>
    </row>
    <row r="510" ht="15.75" customHeight="1">
      <c r="A510" s="395"/>
      <c r="B510" s="395"/>
      <c r="C510" s="395"/>
      <c r="D510" s="395"/>
      <c r="E510" s="395"/>
      <c r="F510" s="395"/>
      <c r="G510" s="395"/>
      <c r="H510" s="395"/>
      <c r="I510" s="395"/>
      <c r="J510" s="395"/>
      <c r="K510" s="395"/>
      <c r="L510" s="395"/>
      <c r="M510" s="395"/>
      <c r="N510" s="395"/>
      <c r="O510" s="395"/>
      <c r="P510" s="395"/>
      <c r="Q510" s="395"/>
      <c r="R510" s="395"/>
      <c r="S510" s="395"/>
      <c r="T510" s="395"/>
      <c r="U510" s="395"/>
    </row>
    <row r="511" ht="15.75" customHeight="1">
      <c r="A511" s="395"/>
      <c r="B511" s="395"/>
      <c r="C511" s="395"/>
      <c r="D511" s="395"/>
      <c r="E511" s="395"/>
      <c r="F511" s="395"/>
      <c r="G511" s="395"/>
      <c r="H511" s="395"/>
      <c r="I511" s="395"/>
      <c r="J511" s="395"/>
      <c r="K511" s="395"/>
      <c r="L511" s="395"/>
      <c r="M511" s="395"/>
      <c r="N511" s="395"/>
      <c r="O511" s="395"/>
      <c r="P511" s="395"/>
      <c r="Q511" s="395"/>
      <c r="R511" s="395"/>
      <c r="S511" s="395"/>
      <c r="T511" s="395"/>
      <c r="U511" s="395"/>
    </row>
    <row r="512" ht="15.75" customHeight="1">
      <c r="A512" s="395"/>
      <c r="B512" s="395"/>
      <c r="C512" s="395"/>
      <c r="D512" s="395"/>
      <c r="E512" s="395"/>
      <c r="F512" s="395"/>
      <c r="G512" s="395"/>
      <c r="H512" s="395"/>
      <c r="I512" s="395"/>
      <c r="J512" s="395"/>
      <c r="K512" s="395"/>
      <c r="L512" s="395"/>
      <c r="M512" s="395"/>
      <c r="N512" s="395"/>
      <c r="O512" s="395"/>
      <c r="P512" s="395"/>
      <c r="Q512" s="395"/>
      <c r="R512" s="395"/>
      <c r="S512" s="395"/>
      <c r="T512" s="395"/>
      <c r="U512" s="395"/>
    </row>
    <row r="513" ht="15.75" customHeight="1">
      <c r="A513" s="395"/>
      <c r="B513" s="395"/>
      <c r="C513" s="395"/>
      <c r="D513" s="395"/>
      <c r="E513" s="395"/>
      <c r="F513" s="395"/>
      <c r="G513" s="395"/>
      <c r="H513" s="395"/>
      <c r="I513" s="395"/>
      <c r="J513" s="395"/>
      <c r="K513" s="395"/>
      <c r="L513" s="395"/>
      <c r="M513" s="395"/>
      <c r="N513" s="395"/>
      <c r="O513" s="395"/>
      <c r="P513" s="395"/>
      <c r="Q513" s="395"/>
      <c r="R513" s="395"/>
      <c r="S513" s="395"/>
      <c r="T513" s="395"/>
      <c r="U513" s="395"/>
    </row>
    <row r="514" ht="15.75" customHeight="1">
      <c r="A514" s="395"/>
      <c r="B514" s="395"/>
      <c r="C514" s="395"/>
      <c r="D514" s="395"/>
      <c r="E514" s="395"/>
      <c r="F514" s="395"/>
      <c r="G514" s="395"/>
      <c r="H514" s="395"/>
      <c r="I514" s="395"/>
      <c r="J514" s="395"/>
      <c r="K514" s="395"/>
      <c r="L514" s="395"/>
      <c r="M514" s="395"/>
      <c r="N514" s="395"/>
      <c r="O514" s="395"/>
      <c r="P514" s="395"/>
      <c r="Q514" s="395"/>
      <c r="R514" s="395"/>
      <c r="S514" s="395"/>
      <c r="T514" s="395"/>
      <c r="U514" s="395"/>
    </row>
    <row r="515" ht="15.75" customHeight="1">
      <c r="A515" s="395"/>
      <c r="B515" s="395"/>
      <c r="C515" s="395"/>
      <c r="D515" s="395"/>
      <c r="E515" s="395"/>
      <c r="F515" s="395"/>
      <c r="G515" s="395"/>
      <c r="H515" s="395"/>
      <c r="I515" s="395"/>
      <c r="J515" s="395"/>
      <c r="K515" s="395"/>
      <c r="L515" s="395"/>
      <c r="M515" s="395"/>
      <c r="N515" s="395"/>
      <c r="O515" s="395"/>
      <c r="P515" s="395"/>
      <c r="Q515" s="395"/>
      <c r="R515" s="395"/>
      <c r="S515" s="395"/>
      <c r="T515" s="395"/>
      <c r="U515" s="395"/>
    </row>
    <row r="516" ht="15.75" customHeight="1">
      <c r="A516" s="395"/>
      <c r="B516" s="395"/>
      <c r="C516" s="395"/>
      <c r="D516" s="395"/>
      <c r="E516" s="395"/>
      <c r="F516" s="395"/>
      <c r="G516" s="395"/>
      <c r="H516" s="395"/>
      <c r="I516" s="395"/>
      <c r="J516" s="395"/>
      <c r="K516" s="395"/>
      <c r="L516" s="395"/>
      <c r="M516" s="395"/>
      <c r="N516" s="395"/>
      <c r="O516" s="395"/>
      <c r="P516" s="395"/>
      <c r="Q516" s="395"/>
      <c r="R516" s="395"/>
      <c r="S516" s="395"/>
      <c r="T516" s="395"/>
      <c r="U516" s="395"/>
    </row>
    <row r="517" ht="15.75" customHeight="1">
      <c r="A517" s="395"/>
      <c r="B517" s="395"/>
      <c r="C517" s="395"/>
      <c r="D517" s="395"/>
      <c r="E517" s="395"/>
      <c r="F517" s="395"/>
      <c r="G517" s="395"/>
      <c r="H517" s="395"/>
      <c r="I517" s="395"/>
      <c r="J517" s="395"/>
      <c r="K517" s="395"/>
      <c r="L517" s="395"/>
      <c r="M517" s="395"/>
      <c r="N517" s="395"/>
      <c r="O517" s="395"/>
      <c r="P517" s="395"/>
      <c r="Q517" s="395"/>
      <c r="R517" s="395"/>
      <c r="S517" s="395"/>
      <c r="T517" s="395"/>
      <c r="U517" s="395"/>
    </row>
    <row r="518" ht="15.75" customHeight="1">
      <c r="A518" s="395"/>
      <c r="B518" s="395"/>
      <c r="C518" s="395"/>
      <c r="D518" s="395"/>
      <c r="E518" s="395"/>
      <c r="F518" s="395"/>
      <c r="G518" s="395"/>
      <c r="H518" s="395"/>
      <c r="I518" s="395"/>
      <c r="J518" s="395"/>
      <c r="K518" s="395"/>
      <c r="L518" s="395"/>
      <c r="M518" s="395"/>
      <c r="N518" s="395"/>
      <c r="O518" s="395"/>
      <c r="P518" s="395"/>
      <c r="Q518" s="395"/>
      <c r="R518" s="395"/>
      <c r="S518" s="395"/>
      <c r="T518" s="395"/>
      <c r="U518" s="395"/>
    </row>
    <row r="519" ht="15.75" customHeight="1">
      <c r="A519" s="395"/>
      <c r="B519" s="395"/>
      <c r="C519" s="395"/>
      <c r="D519" s="395"/>
      <c r="E519" s="395"/>
      <c r="F519" s="395"/>
      <c r="G519" s="395"/>
      <c r="H519" s="395"/>
      <c r="I519" s="395"/>
      <c r="J519" s="395"/>
      <c r="K519" s="395"/>
      <c r="L519" s="395"/>
      <c r="M519" s="395"/>
      <c r="N519" s="395"/>
      <c r="O519" s="395"/>
      <c r="P519" s="395"/>
      <c r="Q519" s="395"/>
      <c r="R519" s="395"/>
      <c r="S519" s="395"/>
      <c r="T519" s="395"/>
      <c r="U519" s="395"/>
    </row>
    <row r="520" ht="15.75" customHeight="1">
      <c r="A520" s="395"/>
      <c r="B520" s="395"/>
      <c r="C520" s="395"/>
      <c r="D520" s="395"/>
      <c r="E520" s="395"/>
      <c r="F520" s="395"/>
      <c r="G520" s="395"/>
      <c r="H520" s="395"/>
      <c r="I520" s="395"/>
      <c r="J520" s="395"/>
      <c r="K520" s="395"/>
      <c r="L520" s="395"/>
      <c r="M520" s="395"/>
      <c r="N520" s="395"/>
      <c r="O520" s="395"/>
      <c r="P520" s="395"/>
      <c r="Q520" s="395"/>
      <c r="R520" s="395"/>
      <c r="S520" s="395"/>
      <c r="T520" s="395"/>
      <c r="U520" s="395"/>
    </row>
    <row r="521" ht="15.75" customHeight="1">
      <c r="A521" s="395"/>
      <c r="B521" s="395"/>
      <c r="C521" s="395"/>
      <c r="D521" s="395"/>
      <c r="E521" s="395"/>
      <c r="F521" s="395"/>
      <c r="G521" s="395"/>
      <c r="H521" s="395"/>
      <c r="I521" s="395"/>
      <c r="J521" s="395"/>
      <c r="K521" s="395"/>
      <c r="L521" s="395"/>
      <c r="M521" s="395"/>
      <c r="N521" s="395"/>
      <c r="O521" s="395"/>
      <c r="P521" s="395"/>
      <c r="Q521" s="395"/>
      <c r="R521" s="395"/>
      <c r="S521" s="395"/>
      <c r="T521" s="395"/>
      <c r="U521" s="395"/>
    </row>
    <row r="522" ht="15.75" customHeight="1">
      <c r="A522" s="395"/>
      <c r="B522" s="395"/>
      <c r="C522" s="395"/>
      <c r="D522" s="395"/>
      <c r="E522" s="395"/>
      <c r="F522" s="395"/>
      <c r="G522" s="395"/>
      <c r="H522" s="395"/>
      <c r="I522" s="395"/>
      <c r="J522" s="395"/>
      <c r="K522" s="395"/>
      <c r="L522" s="395"/>
      <c r="M522" s="395"/>
      <c r="N522" s="395"/>
      <c r="O522" s="395"/>
      <c r="P522" s="395"/>
      <c r="Q522" s="395"/>
      <c r="R522" s="395"/>
      <c r="S522" s="395"/>
      <c r="T522" s="395"/>
      <c r="U522" s="395"/>
    </row>
    <row r="523" ht="15.75" customHeight="1">
      <c r="A523" s="395"/>
      <c r="B523" s="395"/>
      <c r="C523" s="395"/>
      <c r="D523" s="395"/>
      <c r="E523" s="395"/>
      <c r="F523" s="395"/>
      <c r="G523" s="395"/>
      <c r="H523" s="395"/>
      <c r="I523" s="395"/>
      <c r="J523" s="395"/>
      <c r="K523" s="395"/>
      <c r="L523" s="395"/>
      <c r="M523" s="395"/>
      <c r="N523" s="395"/>
      <c r="O523" s="395"/>
      <c r="P523" s="395"/>
      <c r="Q523" s="395"/>
      <c r="R523" s="395"/>
      <c r="S523" s="395"/>
      <c r="T523" s="395"/>
      <c r="U523" s="395"/>
    </row>
    <row r="524" ht="15.75" customHeight="1">
      <c r="A524" s="395"/>
      <c r="B524" s="395"/>
      <c r="C524" s="395"/>
      <c r="D524" s="395"/>
      <c r="E524" s="395"/>
      <c r="F524" s="395"/>
      <c r="G524" s="395"/>
      <c r="H524" s="395"/>
      <c r="I524" s="395"/>
      <c r="J524" s="395"/>
      <c r="K524" s="395"/>
      <c r="L524" s="395"/>
      <c r="M524" s="395"/>
      <c r="N524" s="395"/>
      <c r="O524" s="395"/>
      <c r="P524" s="395"/>
      <c r="Q524" s="395"/>
      <c r="R524" s="395"/>
      <c r="S524" s="395"/>
      <c r="T524" s="395"/>
      <c r="U524" s="395"/>
    </row>
    <row r="525" ht="15.75" customHeight="1">
      <c r="A525" s="395"/>
      <c r="B525" s="395"/>
      <c r="C525" s="395"/>
      <c r="D525" s="395"/>
      <c r="E525" s="395"/>
      <c r="F525" s="395"/>
      <c r="G525" s="395"/>
      <c r="H525" s="395"/>
      <c r="I525" s="395"/>
      <c r="J525" s="395"/>
      <c r="K525" s="395"/>
      <c r="L525" s="395"/>
      <c r="M525" s="395"/>
      <c r="N525" s="395"/>
      <c r="O525" s="395"/>
      <c r="P525" s="395"/>
      <c r="Q525" s="395"/>
      <c r="R525" s="395"/>
      <c r="S525" s="395"/>
      <c r="T525" s="395"/>
      <c r="U525" s="395"/>
    </row>
    <row r="526" ht="15.75" customHeight="1">
      <c r="A526" s="395"/>
      <c r="B526" s="395"/>
      <c r="C526" s="395"/>
      <c r="D526" s="395"/>
      <c r="E526" s="395"/>
      <c r="F526" s="395"/>
      <c r="G526" s="395"/>
      <c r="H526" s="395"/>
      <c r="I526" s="395"/>
      <c r="J526" s="395"/>
      <c r="K526" s="395"/>
      <c r="L526" s="395"/>
      <c r="M526" s="395"/>
      <c r="N526" s="395"/>
      <c r="O526" s="395"/>
      <c r="P526" s="395"/>
      <c r="Q526" s="395"/>
      <c r="R526" s="395"/>
      <c r="S526" s="395"/>
      <c r="T526" s="395"/>
      <c r="U526" s="395"/>
    </row>
    <row r="527" ht="15.75" customHeight="1">
      <c r="A527" s="395"/>
      <c r="B527" s="395"/>
      <c r="C527" s="395"/>
      <c r="D527" s="395"/>
      <c r="E527" s="395"/>
      <c r="F527" s="395"/>
      <c r="G527" s="395"/>
      <c r="H527" s="395"/>
      <c r="I527" s="395"/>
      <c r="J527" s="395"/>
      <c r="K527" s="395"/>
      <c r="L527" s="395"/>
      <c r="M527" s="395"/>
      <c r="N527" s="395"/>
      <c r="O527" s="395"/>
      <c r="P527" s="395"/>
      <c r="Q527" s="395"/>
      <c r="R527" s="395"/>
      <c r="S527" s="395"/>
      <c r="T527" s="395"/>
      <c r="U527" s="395"/>
    </row>
    <row r="528" ht="15.75" customHeight="1">
      <c r="A528" s="395"/>
      <c r="B528" s="395"/>
      <c r="C528" s="395"/>
      <c r="D528" s="395"/>
      <c r="E528" s="395"/>
      <c r="F528" s="395"/>
      <c r="G528" s="395"/>
      <c r="H528" s="395"/>
      <c r="I528" s="395"/>
      <c r="J528" s="395"/>
      <c r="K528" s="395"/>
      <c r="L528" s="395"/>
      <c r="M528" s="395"/>
      <c r="N528" s="395"/>
      <c r="O528" s="395"/>
      <c r="P528" s="395"/>
      <c r="Q528" s="395"/>
      <c r="R528" s="395"/>
      <c r="S528" s="395"/>
      <c r="T528" s="395"/>
      <c r="U528" s="395"/>
    </row>
    <row r="529" ht="15.75" customHeight="1">
      <c r="A529" s="395"/>
      <c r="B529" s="395"/>
      <c r="C529" s="395"/>
      <c r="D529" s="395"/>
      <c r="E529" s="395"/>
      <c r="F529" s="395"/>
      <c r="G529" s="395"/>
      <c r="H529" s="395"/>
      <c r="I529" s="395"/>
      <c r="J529" s="395"/>
      <c r="K529" s="395"/>
      <c r="L529" s="395"/>
      <c r="M529" s="395"/>
      <c r="N529" s="395"/>
      <c r="O529" s="395"/>
      <c r="P529" s="395"/>
      <c r="Q529" s="395"/>
      <c r="R529" s="395"/>
      <c r="S529" s="395"/>
      <c r="T529" s="395"/>
      <c r="U529" s="395"/>
    </row>
    <row r="530" ht="15.75" customHeight="1">
      <c r="A530" s="395"/>
      <c r="B530" s="395"/>
      <c r="C530" s="395"/>
      <c r="D530" s="395"/>
      <c r="E530" s="395"/>
      <c r="F530" s="395"/>
      <c r="G530" s="395"/>
      <c r="H530" s="395"/>
      <c r="I530" s="395"/>
      <c r="J530" s="395"/>
      <c r="K530" s="395"/>
      <c r="L530" s="395"/>
      <c r="M530" s="395"/>
      <c r="N530" s="395"/>
      <c r="O530" s="395"/>
      <c r="P530" s="395"/>
      <c r="Q530" s="395"/>
      <c r="R530" s="395"/>
      <c r="S530" s="395"/>
      <c r="T530" s="395"/>
      <c r="U530" s="395"/>
    </row>
    <row r="531" ht="15.75" customHeight="1">
      <c r="A531" s="395"/>
      <c r="B531" s="395"/>
      <c r="C531" s="395"/>
      <c r="D531" s="395"/>
      <c r="E531" s="395"/>
      <c r="F531" s="395"/>
      <c r="G531" s="395"/>
      <c r="H531" s="395"/>
      <c r="I531" s="395"/>
      <c r="J531" s="395"/>
      <c r="K531" s="395"/>
      <c r="L531" s="395"/>
      <c r="M531" s="395"/>
      <c r="N531" s="395"/>
      <c r="O531" s="395"/>
      <c r="P531" s="395"/>
      <c r="Q531" s="395"/>
      <c r="R531" s="395"/>
      <c r="S531" s="395"/>
      <c r="T531" s="395"/>
      <c r="U531" s="395"/>
    </row>
    <row r="532" ht="15.75" customHeight="1">
      <c r="A532" s="395"/>
      <c r="B532" s="395"/>
      <c r="C532" s="395"/>
      <c r="D532" s="395"/>
      <c r="E532" s="395"/>
      <c r="F532" s="395"/>
      <c r="G532" s="395"/>
      <c r="H532" s="395"/>
      <c r="I532" s="395"/>
      <c r="J532" s="395"/>
      <c r="K532" s="395"/>
      <c r="L532" s="395"/>
      <c r="M532" s="395"/>
      <c r="N532" s="395"/>
      <c r="O532" s="395"/>
      <c r="P532" s="395"/>
      <c r="Q532" s="395"/>
      <c r="R532" s="395"/>
      <c r="S532" s="395"/>
      <c r="T532" s="395"/>
      <c r="U532" s="395"/>
    </row>
    <row r="533" ht="15.75" customHeight="1">
      <c r="A533" s="395"/>
      <c r="B533" s="395"/>
      <c r="C533" s="395"/>
      <c r="D533" s="395"/>
      <c r="E533" s="395"/>
      <c r="F533" s="395"/>
      <c r="G533" s="395"/>
      <c r="H533" s="395"/>
      <c r="I533" s="395"/>
      <c r="J533" s="395"/>
      <c r="K533" s="395"/>
      <c r="L533" s="395"/>
      <c r="M533" s="395"/>
      <c r="N533" s="395"/>
      <c r="O533" s="395"/>
      <c r="P533" s="395"/>
      <c r="Q533" s="395"/>
      <c r="R533" s="395"/>
      <c r="S533" s="395"/>
      <c r="T533" s="395"/>
      <c r="U533" s="395"/>
    </row>
    <row r="534" ht="15.75" customHeight="1">
      <c r="A534" s="395"/>
      <c r="B534" s="395"/>
      <c r="C534" s="395"/>
      <c r="D534" s="395"/>
      <c r="E534" s="395"/>
      <c r="F534" s="395"/>
      <c r="G534" s="395"/>
      <c r="H534" s="395"/>
      <c r="I534" s="395"/>
      <c r="J534" s="395"/>
      <c r="K534" s="395"/>
      <c r="L534" s="395"/>
      <c r="M534" s="395"/>
      <c r="N534" s="395"/>
      <c r="O534" s="395"/>
      <c r="P534" s="395"/>
      <c r="Q534" s="395"/>
      <c r="R534" s="395"/>
      <c r="S534" s="395"/>
      <c r="T534" s="395"/>
      <c r="U534" s="395"/>
    </row>
    <row r="535" ht="15.75" customHeight="1">
      <c r="A535" s="395"/>
      <c r="B535" s="395"/>
      <c r="C535" s="395"/>
      <c r="D535" s="395"/>
      <c r="E535" s="395"/>
      <c r="F535" s="395"/>
      <c r="G535" s="395"/>
      <c r="H535" s="395"/>
      <c r="I535" s="395"/>
      <c r="J535" s="395"/>
      <c r="K535" s="395"/>
      <c r="L535" s="395"/>
      <c r="M535" s="395"/>
      <c r="N535" s="395"/>
      <c r="O535" s="395"/>
      <c r="P535" s="395"/>
      <c r="Q535" s="395"/>
      <c r="R535" s="395"/>
      <c r="S535" s="395"/>
      <c r="T535" s="395"/>
      <c r="U535" s="395"/>
    </row>
    <row r="536" ht="15.75" customHeight="1">
      <c r="A536" s="395"/>
      <c r="B536" s="395"/>
      <c r="C536" s="395"/>
      <c r="D536" s="395"/>
      <c r="E536" s="395"/>
      <c r="F536" s="395"/>
      <c r="G536" s="395"/>
      <c r="H536" s="395"/>
      <c r="I536" s="395"/>
      <c r="J536" s="395"/>
      <c r="K536" s="395"/>
      <c r="L536" s="395"/>
      <c r="M536" s="395"/>
      <c r="N536" s="395"/>
      <c r="O536" s="395"/>
      <c r="P536" s="395"/>
      <c r="Q536" s="395"/>
      <c r="R536" s="395"/>
      <c r="S536" s="395"/>
      <c r="T536" s="395"/>
      <c r="U536" s="395"/>
    </row>
    <row r="537" ht="15.75" customHeight="1">
      <c r="A537" s="395"/>
      <c r="B537" s="395"/>
      <c r="C537" s="395"/>
      <c r="D537" s="395"/>
      <c r="E537" s="395"/>
      <c r="F537" s="395"/>
      <c r="G537" s="395"/>
      <c r="H537" s="395"/>
      <c r="I537" s="395"/>
      <c r="J537" s="395"/>
      <c r="K537" s="395"/>
      <c r="L537" s="395"/>
      <c r="M537" s="395"/>
      <c r="N537" s="395"/>
      <c r="O537" s="395"/>
      <c r="P537" s="395"/>
      <c r="Q537" s="395"/>
      <c r="R537" s="395"/>
      <c r="S537" s="395"/>
      <c r="T537" s="395"/>
      <c r="U537" s="395"/>
    </row>
    <row r="538" ht="15.75" customHeight="1">
      <c r="A538" s="395"/>
      <c r="B538" s="395"/>
      <c r="C538" s="395"/>
      <c r="D538" s="395"/>
      <c r="E538" s="395"/>
      <c r="F538" s="395"/>
      <c r="G538" s="395"/>
      <c r="H538" s="395"/>
      <c r="I538" s="395"/>
      <c r="J538" s="395"/>
      <c r="K538" s="395"/>
      <c r="L538" s="395"/>
      <c r="M538" s="395"/>
      <c r="N538" s="395"/>
      <c r="O538" s="395"/>
      <c r="P538" s="395"/>
      <c r="Q538" s="395"/>
      <c r="R538" s="395"/>
      <c r="S538" s="395"/>
      <c r="T538" s="395"/>
      <c r="U538" s="395"/>
    </row>
    <row r="539" ht="15.75" customHeight="1">
      <c r="A539" s="395"/>
      <c r="B539" s="395"/>
      <c r="C539" s="395"/>
      <c r="D539" s="395"/>
      <c r="E539" s="395"/>
      <c r="F539" s="395"/>
      <c r="G539" s="395"/>
      <c r="H539" s="395"/>
      <c r="I539" s="395"/>
      <c r="J539" s="395"/>
      <c r="K539" s="395"/>
      <c r="L539" s="395"/>
      <c r="M539" s="395"/>
      <c r="N539" s="395"/>
      <c r="O539" s="395"/>
      <c r="P539" s="395"/>
      <c r="Q539" s="395"/>
      <c r="R539" s="395"/>
      <c r="S539" s="395"/>
      <c r="T539" s="395"/>
      <c r="U539" s="395"/>
    </row>
    <row r="540" ht="15.75" customHeight="1">
      <c r="A540" s="395"/>
      <c r="B540" s="395"/>
      <c r="C540" s="395"/>
      <c r="D540" s="395"/>
      <c r="E540" s="395"/>
      <c r="F540" s="395"/>
      <c r="G540" s="395"/>
      <c r="H540" s="395"/>
      <c r="I540" s="395"/>
      <c r="J540" s="395"/>
      <c r="K540" s="395"/>
      <c r="L540" s="395"/>
      <c r="M540" s="395"/>
      <c r="N540" s="395"/>
      <c r="O540" s="395"/>
      <c r="P540" s="395"/>
      <c r="Q540" s="395"/>
      <c r="R540" s="395"/>
      <c r="S540" s="395"/>
      <c r="T540" s="395"/>
      <c r="U540" s="395"/>
    </row>
    <row r="541" ht="15.75" customHeight="1">
      <c r="A541" s="395"/>
      <c r="B541" s="395"/>
      <c r="C541" s="395"/>
      <c r="D541" s="395"/>
      <c r="E541" s="395"/>
      <c r="F541" s="395"/>
      <c r="G541" s="395"/>
      <c r="H541" s="395"/>
      <c r="I541" s="395"/>
      <c r="J541" s="395"/>
      <c r="K541" s="395"/>
      <c r="L541" s="395"/>
      <c r="M541" s="395"/>
      <c r="N541" s="395"/>
      <c r="O541" s="395"/>
      <c r="P541" s="395"/>
      <c r="Q541" s="395"/>
      <c r="R541" s="395"/>
      <c r="S541" s="395"/>
      <c r="T541" s="395"/>
      <c r="U541" s="395"/>
    </row>
    <row r="542" ht="15.75" customHeight="1">
      <c r="A542" s="395"/>
      <c r="B542" s="395"/>
      <c r="C542" s="395"/>
      <c r="D542" s="395"/>
      <c r="E542" s="395"/>
      <c r="F542" s="395"/>
      <c r="G542" s="395"/>
      <c r="H542" s="395"/>
      <c r="I542" s="395"/>
      <c r="J542" s="395"/>
      <c r="K542" s="395"/>
      <c r="L542" s="395"/>
      <c r="M542" s="395"/>
      <c r="N542" s="395"/>
      <c r="O542" s="395"/>
      <c r="P542" s="395"/>
      <c r="Q542" s="395"/>
      <c r="R542" s="395"/>
      <c r="S542" s="395"/>
      <c r="T542" s="395"/>
      <c r="U542" s="395"/>
    </row>
    <row r="543" ht="15.75" customHeight="1">
      <c r="A543" s="395"/>
      <c r="B543" s="395"/>
      <c r="C543" s="395"/>
      <c r="D543" s="395"/>
      <c r="E543" s="395"/>
      <c r="F543" s="395"/>
      <c r="G543" s="395"/>
      <c r="H543" s="395"/>
      <c r="I543" s="395"/>
      <c r="J543" s="395"/>
      <c r="K543" s="395"/>
      <c r="L543" s="395"/>
      <c r="M543" s="395"/>
      <c r="N543" s="395"/>
      <c r="O543" s="395"/>
      <c r="P543" s="395"/>
      <c r="Q543" s="395"/>
      <c r="R543" s="395"/>
      <c r="S543" s="395"/>
      <c r="T543" s="395"/>
      <c r="U543" s="395"/>
    </row>
    <row r="544" ht="15.75" customHeight="1">
      <c r="A544" s="395"/>
      <c r="B544" s="395"/>
      <c r="C544" s="395"/>
      <c r="D544" s="395"/>
      <c r="E544" s="395"/>
      <c r="F544" s="395"/>
      <c r="G544" s="395"/>
      <c r="H544" s="395"/>
      <c r="I544" s="395"/>
      <c r="J544" s="395"/>
      <c r="K544" s="395"/>
      <c r="L544" s="395"/>
      <c r="M544" s="395"/>
      <c r="N544" s="395"/>
      <c r="O544" s="395"/>
      <c r="P544" s="395"/>
      <c r="Q544" s="395"/>
      <c r="R544" s="395"/>
      <c r="S544" s="395"/>
      <c r="T544" s="395"/>
      <c r="U544" s="395"/>
    </row>
    <row r="545" ht="15.75" customHeight="1">
      <c r="A545" s="395"/>
      <c r="B545" s="395"/>
      <c r="C545" s="395"/>
      <c r="D545" s="395"/>
      <c r="E545" s="395"/>
      <c r="F545" s="395"/>
      <c r="G545" s="395"/>
      <c r="H545" s="395"/>
      <c r="I545" s="395"/>
      <c r="J545" s="395"/>
      <c r="K545" s="395"/>
      <c r="L545" s="395"/>
      <c r="M545" s="395"/>
      <c r="N545" s="395"/>
      <c r="O545" s="395"/>
      <c r="P545" s="395"/>
      <c r="Q545" s="395"/>
      <c r="R545" s="395"/>
      <c r="S545" s="395"/>
      <c r="T545" s="395"/>
      <c r="U545" s="395"/>
    </row>
    <row r="546" ht="15.75" customHeight="1">
      <c r="A546" s="395"/>
      <c r="B546" s="395"/>
      <c r="C546" s="395"/>
      <c r="D546" s="395"/>
      <c r="E546" s="395"/>
      <c r="F546" s="395"/>
      <c r="G546" s="395"/>
      <c r="H546" s="395"/>
      <c r="I546" s="395"/>
      <c r="J546" s="395"/>
      <c r="K546" s="395"/>
      <c r="L546" s="395"/>
      <c r="M546" s="395"/>
      <c r="N546" s="395"/>
      <c r="O546" s="395"/>
      <c r="P546" s="395"/>
      <c r="Q546" s="395"/>
      <c r="R546" s="395"/>
      <c r="S546" s="395"/>
      <c r="T546" s="395"/>
      <c r="U546" s="395"/>
    </row>
    <row r="547" ht="15.75" customHeight="1">
      <c r="A547" s="395"/>
      <c r="B547" s="395"/>
      <c r="C547" s="395"/>
      <c r="D547" s="395"/>
      <c r="E547" s="395"/>
      <c r="F547" s="395"/>
      <c r="G547" s="395"/>
      <c r="H547" s="395"/>
      <c r="I547" s="395"/>
      <c r="J547" s="395"/>
      <c r="K547" s="395"/>
      <c r="L547" s="395"/>
      <c r="M547" s="395"/>
      <c r="N547" s="395"/>
      <c r="O547" s="395"/>
      <c r="P547" s="395"/>
      <c r="Q547" s="395"/>
      <c r="R547" s="395"/>
      <c r="S547" s="395"/>
      <c r="T547" s="395"/>
      <c r="U547" s="395"/>
    </row>
    <row r="548" ht="15.75" customHeight="1">
      <c r="A548" s="395"/>
      <c r="B548" s="395"/>
      <c r="C548" s="395"/>
      <c r="D548" s="395"/>
      <c r="E548" s="395"/>
      <c r="F548" s="395"/>
      <c r="G548" s="395"/>
      <c r="H548" s="395"/>
      <c r="I548" s="395"/>
      <c r="J548" s="395"/>
      <c r="K548" s="395"/>
      <c r="L548" s="395"/>
      <c r="M548" s="395"/>
      <c r="N548" s="395"/>
      <c r="O548" s="395"/>
      <c r="P548" s="395"/>
      <c r="Q548" s="395"/>
      <c r="R548" s="395"/>
      <c r="S548" s="395"/>
      <c r="T548" s="395"/>
      <c r="U548" s="395"/>
    </row>
    <row r="549" ht="15.75" customHeight="1">
      <c r="A549" s="395"/>
      <c r="B549" s="395"/>
      <c r="C549" s="395"/>
      <c r="D549" s="395"/>
      <c r="E549" s="395"/>
      <c r="F549" s="395"/>
      <c r="G549" s="395"/>
      <c r="H549" s="395"/>
      <c r="I549" s="395"/>
      <c r="J549" s="395"/>
      <c r="K549" s="395"/>
      <c r="L549" s="395"/>
      <c r="M549" s="395"/>
      <c r="N549" s="395"/>
      <c r="O549" s="395"/>
      <c r="P549" s="395"/>
      <c r="Q549" s="395"/>
      <c r="R549" s="395"/>
      <c r="S549" s="395"/>
      <c r="T549" s="395"/>
      <c r="U549" s="395"/>
    </row>
    <row r="550" ht="15.75" customHeight="1">
      <c r="A550" s="395"/>
      <c r="B550" s="395"/>
      <c r="C550" s="395"/>
      <c r="D550" s="395"/>
      <c r="E550" s="395"/>
      <c r="F550" s="395"/>
      <c r="G550" s="395"/>
      <c r="H550" s="395"/>
      <c r="I550" s="395"/>
      <c r="J550" s="395"/>
      <c r="K550" s="395"/>
      <c r="L550" s="395"/>
      <c r="M550" s="395"/>
      <c r="N550" s="395"/>
      <c r="O550" s="395"/>
      <c r="P550" s="395"/>
      <c r="Q550" s="395"/>
      <c r="R550" s="395"/>
      <c r="S550" s="395"/>
      <c r="T550" s="395"/>
      <c r="U550" s="395"/>
    </row>
    <row r="551" ht="15.75" customHeight="1">
      <c r="A551" s="395"/>
      <c r="B551" s="395"/>
      <c r="C551" s="395"/>
      <c r="D551" s="395"/>
      <c r="E551" s="395"/>
      <c r="F551" s="395"/>
      <c r="G551" s="395"/>
      <c r="H551" s="395"/>
      <c r="I551" s="395"/>
      <c r="J551" s="395"/>
      <c r="K551" s="395"/>
      <c r="L551" s="395"/>
      <c r="M551" s="395"/>
      <c r="N551" s="395"/>
      <c r="O551" s="395"/>
      <c r="P551" s="395"/>
      <c r="Q551" s="395"/>
      <c r="R551" s="395"/>
      <c r="S551" s="395"/>
      <c r="T551" s="395"/>
      <c r="U551" s="395"/>
    </row>
    <row r="552" ht="15.75" customHeight="1">
      <c r="A552" s="395"/>
      <c r="B552" s="395"/>
      <c r="C552" s="395"/>
      <c r="D552" s="395"/>
      <c r="E552" s="395"/>
      <c r="F552" s="395"/>
      <c r="G552" s="395"/>
      <c r="H552" s="395"/>
      <c r="I552" s="395"/>
      <c r="J552" s="395"/>
      <c r="K552" s="395"/>
      <c r="L552" s="395"/>
      <c r="M552" s="395"/>
      <c r="N552" s="395"/>
      <c r="O552" s="395"/>
      <c r="P552" s="395"/>
      <c r="Q552" s="395"/>
      <c r="R552" s="395"/>
      <c r="S552" s="395"/>
      <c r="T552" s="395"/>
      <c r="U552" s="395"/>
    </row>
    <row r="553" ht="15.75" customHeight="1">
      <c r="A553" s="395"/>
      <c r="B553" s="395"/>
      <c r="C553" s="395"/>
      <c r="D553" s="395"/>
      <c r="E553" s="395"/>
      <c r="F553" s="395"/>
      <c r="G553" s="395"/>
      <c r="H553" s="395"/>
      <c r="I553" s="395"/>
      <c r="J553" s="395"/>
      <c r="K553" s="395"/>
      <c r="L553" s="395"/>
      <c r="M553" s="395"/>
      <c r="N553" s="395"/>
      <c r="O553" s="395"/>
      <c r="P553" s="395"/>
      <c r="Q553" s="395"/>
      <c r="R553" s="395"/>
      <c r="S553" s="395"/>
      <c r="T553" s="395"/>
      <c r="U553" s="395"/>
    </row>
    <row r="554" ht="15.75" customHeight="1">
      <c r="A554" s="395"/>
      <c r="B554" s="395"/>
      <c r="C554" s="395"/>
      <c r="D554" s="395"/>
      <c r="E554" s="395"/>
      <c r="F554" s="395"/>
      <c r="G554" s="395"/>
      <c r="H554" s="395"/>
      <c r="I554" s="395"/>
      <c r="J554" s="395"/>
      <c r="K554" s="395"/>
      <c r="L554" s="395"/>
      <c r="M554" s="395"/>
      <c r="N554" s="395"/>
      <c r="O554" s="395"/>
      <c r="P554" s="395"/>
      <c r="Q554" s="395"/>
      <c r="R554" s="395"/>
      <c r="S554" s="395"/>
      <c r="T554" s="395"/>
      <c r="U554" s="395"/>
    </row>
    <row r="555" ht="15.75" customHeight="1">
      <c r="A555" s="395"/>
      <c r="B555" s="395"/>
      <c r="C555" s="395"/>
      <c r="D555" s="395"/>
      <c r="E555" s="395"/>
      <c r="F555" s="395"/>
      <c r="G555" s="395"/>
      <c r="H555" s="395"/>
      <c r="I555" s="395"/>
      <c r="J555" s="395"/>
      <c r="K555" s="395"/>
      <c r="L555" s="395"/>
      <c r="M555" s="395"/>
      <c r="N555" s="395"/>
      <c r="O555" s="395"/>
      <c r="P555" s="395"/>
      <c r="Q555" s="395"/>
      <c r="R555" s="395"/>
      <c r="S555" s="395"/>
      <c r="T555" s="395"/>
      <c r="U555" s="395"/>
    </row>
    <row r="556" ht="15.75" customHeight="1">
      <c r="A556" s="395"/>
      <c r="B556" s="395"/>
      <c r="C556" s="395"/>
      <c r="D556" s="395"/>
      <c r="E556" s="395"/>
      <c r="F556" s="395"/>
      <c r="G556" s="395"/>
      <c r="H556" s="395"/>
      <c r="I556" s="395"/>
      <c r="J556" s="395"/>
      <c r="K556" s="395"/>
      <c r="L556" s="395"/>
      <c r="M556" s="395"/>
      <c r="N556" s="395"/>
      <c r="O556" s="395"/>
      <c r="P556" s="395"/>
      <c r="Q556" s="395"/>
      <c r="R556" s="395"/>
      <c r="S556" s="395"/>
      <c r="T556" s="395"/>
      <c r="U556" s="395"/>
    </row>
    <row r="557" ht="15.75" customHeight="1">
      <c r="A557" s="395"/>
      <c r="B557" s="395"/>
      <c r="C557" s="395"/>
      <c r="D557" s="395"/>
      <c r="E557" s="395"/>
      <c r="F557" s="395"/>
      <c r="G557" s="395"/>
      <c r="H557" s="395"/>
      <c r="I557" s="395"/>
      <c r="J557" s="395"/>
      <c r="K557" s="395"/>
      <c r="L557" s="395"/>
      <c r="M557" s="395"/>
      <c r="N557" s="395"/>
      <c r="O557" s="395"/>
      <c r="P557" s="395"/>
      <c r="Q557" s="395"/>
      <c r="R557" s="395"/>
      <c r="S557" s="395"/>
      <c r="T557" s="395"/>
      <c r="U557" s="395"/>
    </row>
    <row r="558" ht="15.75" customHeight="1">
      <c r="A558" s="395"/>
      <c r="B558" s="395"/>
      <c r="C558" s="395"/>
      <c r="D558" s="395"/>
      <c r="E558" s="395"/>
      <c r="F558" s="395"/>
      <c r="G558" s="395"/>
      <c r="H558" s="395"/>
      <c r="I558" s="395"/>
      <c r="J558" s="395"/>
      <c r="K558" s="395"/>
      <c r="L558" s="395"/>
      <c r="M558" s="395"/>
      <c r="N558" s="395"/>
      <c r="O558" s="395"/>
      <c r="P558" s="395"/>
      <c r="Q558" s="395"/>
      <c r="R558" s="395"/>
      <c r="S558" s="395"/>
      <c r="T558" s="395"/>
      <c r="U558" s="395"/>
    </row>
    <row r="559" ht="15.75" customHeight="1">
      <c r="A559" s="395"/>
      <c r="B559" s="395"/>
      <c r="C559" s="395"/>
      <c r="D559" s="395"/>
      <c r="E559" s="395"/>
      <c r="F559" s="395"/>
      <c r="G559" s="395"/>
      <c r="H559" s="395"/>
      <c r="I559" s="395"/>
      <c r="J559" s="395"/>
      <c r="K559" s="395"/>
      <c r="L559" s="395"/>
      <c r="M559" s="395"/>
      <c r="N559" s="395"/>
      <c r="O559" s="395"/>
      <c r="P559" s="395"/>
      <c r="Q559" s="395"/>
      <c r="R559" s="395"/>
      <c r="S559" s="395"/>
      <c r="T559" s="395"/>
      <c r="U559" s="395"/>
    </row>
    <row r="560" ht="15.75" customHeight="1">
      <c r="A560" s="395"/>
      <c r="B560" s="395"/>
      <c r="C560" s="395"/>
      <c r="D560" s="395"/>
      <c r="E560" s="395"/>
      <c r="F560" s="395"/>
      <c r="G560" s="395"/>
      <c r="H560" s="395"/>
      <c r="I560" s="395"/>
      <c r="J560" s="395"/>
      <c r="K560" s="395"/>
      <c r="L560" s="395"/>
      <c r="M560" s="395"/>
      <c r="N560" s="395"/>
      <c r="O560" s="395"/>
      <c r="P560" s="395"/>
      <c r="Q560" s="395"/>
      <c r="R560" s="395"/>
      <c r="S560" s="395"/>
      <c r="T560" s="395"/>
      <c r="U560" s="395"/>
    </row>
    <row r="561" ht="15.75" customHeight="1">
      <c r="A561" s="395"/>
      <c r="B561" s="395"/>
      <c r="C561" s="395"/>
      <c r="D561" s="395"/>
      <c r="E561" s="395"/>
      <c r="F561" s="395"/>
      <c r="G561" s="395"/>
      <c r="H561" s="395"/>
      <c r="I561" s="395"/>
      <c r="J561" s="395"/>
      <c r="K561" s="395"/>
      <c r="L561" s="395"/>
      <c r="M561" s="395"/>
      <c r="N561" s="395"/>
      <c r="O561" s="395"/>
      <c r="P561" s="395"/>
      <c r="Q561" s="395"/>
      <c r="R561" s="395"/>
      <c r="S561" s="395"/>
      <c r="T561" s="395"/>
      <c r="U561" s="395"/>
    </row>
    <row r="562" ht="15.75" customHeight="1">
      <c r="A562" s="395"/>
      <c r="B562" s="395"/>
      <c r="C562" s="395"/>
      <c r="D562" s="395"/>
      <c r="E562" s="395"/>
      <c r="F562" s="395"/>
      <c r="G562" s="395"/>
      <c r="H562" s="395"/>
      <c r="I562" s="395"/>
      <c r="J562" s="395"/>
      <c r="K562" s="395"/>
      <c r="L562" s="395"/>
      <c r="M562" s="395"/>
      <c r="N562" s="395"/>
      <c r="O562" s="395"/>
      <c r="P562" s="395"/>
      <c r="Q562" s="395"/>
      <c r="R562" s="395"/>
      <c r="S562" s="395"/>
      <c r="T562" s="395"/>
      <c r="U562" s="395"/>
    </row>
    <row r="563" ht="15.75" customHeight="1">
      <c r="A563" s="395"/>
      <c r="B563" s="395"/>
      <c r="C563" s="395"/>
      <c r="D563" s="395"/>
      <c r="E563" s="395"/>
      <c r="F563" s="395"/>
      <c r="G563" s="395"/>
      <c r="H563" s="395"/>
      <c r="I563" s="395"/>
      <c r="J563" s="395"/>
      <c r="K563" s="395"/>
      <c r="L563" s="395"/>
      <c r="M563" s="395"/>
      <c r="N563" s="395"/>
      <c r="O563" s="395"/>
      <c r="P563" s="395"/>
      <c r="Q563" s="395"/>
      <c r="R563" s="395"/>
      <c r="S563" s="395"/>
      <c r="T563" s="395"/>
      <c r="U563" s="395"/>
    </row>
    <row r="564" ht="15.75" customHeight="1">
      <c r="A564" s="395"/>
      <c r="B564" s="395"/>
      <c r="C564" s="395"/>
      <c r="D564" s="395"/>
      <c r="E564" s="395"/>
      <c r="F564" s="395"/>
      <c r="G564" s="395"/>
      <c r="H564" s="395"/>
      <c r="I564" s="395"/>
      <c r="J564" s="395"/>
      <c r="K564" s="395"/>
      <c r="L564" s="395"/>
      <c r="M564" s="395"/>
      <c r="N564" s="395"/>
      <c r="O564" s="395"/>
      <c r="P564" s="395"/>
      <c r="Q564" s="395"/>
      <c r="R564" s="395"/>
      <c r="S564" s="395"/>
      <c r="T564" s="395"/>
      <c r="U564" s="395"/>
    </row>
    <row r="565" ht="15.75" customHeight="1">
      <c r="A565" s="395"/>
      <c r="B565" s="395"/>
      <c r="C565" s="395"/>
      <c r="D565" s="395"/>
      <c r="E565" s="395"/>
      <c r="F565" s="395"/>
      <c r="G565" s="395"/>
      <c r="H565" s="395"/>
      <c r="I565" s="395"/>
      <c r="J565" s="395"/>
      <c r="K565" s="395"/>
      <c r="L565" s="395"/>
      <c r="M565" s="395"/>
      <c r="N565" s="395"/>
      <c r="O565" s="395"/>
      <c r="P565" s="395"/>
      <c r="Q565" s="395"/>
      <c r="R565" s="395"/>
      <c r="S565" s="395"/>
      <c r="T565" s="395"/>
      <c r="U565" s="395"/>
    </row>
    <row r="566" ht="15.75" customHeight="1">
      <c r="A566" s="395"/>
      <c r="B566" s="395"/>
      <c r="C566" s="395"/>
      <c r="D566" s="395"/>
      <c r="E566" s="395"/>
      <c r="F566" s="395"/>
      <c r="G566" s="395"/>
      <c r="H566" s="395"/>
      <c r="I566" s="395"/>
      <c r="J566" s="395"/>
      <c r="K566" s="395"/>
      <c r="L566" s="395"/>
      <c r="M566" s="395"/>
      <c r="N566" s="395"/>
      <c r="O566" s="395"/>
      <c r="P566" s="395"/>
      <c r="Q566" s="395"/>
      <c r="R566" s="395"/>
      <c r="S566" s="395"/>
      <c r="T566" s="395"/>
      <c r="U566" s="395"/>
    </row>
    <row r="567" ht="15.75" customHeight="1">
      <c r="A567" s="395"/>
      <c r="B567" s="395"/>
      <c r="C567" s="395"/>
      <c r="D567" s="395"/>
      <c r="E567" s="395"/>
      <c r="F567" s="395"/>
      <c r="G567" s="395"/>
      <c r="H567" s="395"/>
      <c r="I567" s="395"/>
      <c r="J567" s="395"/>
      <c r="K567" s="395"/>
      <c r="L567" s="395"/>
      <c r="M567" s="395"/>
      <c r="N567" s="395"/>
      <c r="O567" s="395"/>
      <c r="P567" s="395"/>
      <c r="Q567" s="395"/>
      <c r="R567" s="395"/>
      <c r="S567" s="395"/>
      <c r="T567" s="395"/>
      <c r="U567" s="395"/>
    </row>
    <row r="568" ht="15.75" customHeight="1">
      <c r="A568" s="395"/>
      <c r="B568" s="395"/>
      <c r="C568" s="395"/>
      <c r="D568" s="395"/>
      <c r="E568" s="395"/>
      <c r="F568" s="395"/>
      <c r="G568" s="395"/>
      <c r="H568" s="395"/>
      <c r="I568" s="395"/>
      <c r="J568" s="395"/>
      <c r="K568" s="395"/>
      <c r="L568" s="395"/>
      <c r="M568" s="395"/>
      <c r="N568" s="395"/>
      <c r="O568" s="395"/>
      <c r="P568" s="395"/>
      <c r="Q568" s="395"/>
      <c r="R568" s="395"/>
      <c r="S568" s="395"/>
      <c r="T568" s="395"/>
      <c r="U568" s="395"/>
    </row>
    <row r="569" ht="15.75" customHeight="1">
      <c r="A569" s="395"/>
      <c r="B569" s="395"/>
      <c r="C569" s="395"/>
      <c r="D569" s="395"/>
      <c r="E569" s="395"/>
      <c r="F569" s="395"/>
      <c r="G569" s="395"/>
      <c r="H569" s="395"/>
      <c r="I569" s="395"/>
      <c r="J569" s="395"/>
      <c r="K569" s="395"/>
      <c r="L569" s="395"/>
      <c r="M569" s="395"/>
      <c r="N569" s="395"/>
      <c r="O569" s="395"/>
      <c r="P569" s="395"/>
      <c r="Q569" s="395"/>
      <c r="R569" s="395"/>
      <c r="S569" s="395"/>
      <c r="T569" s="395"/>
      <c r="U569" s="395"/>
    </row>
    <row r="570" ht="15.75" customHeight="1">
      <c r="A570" s="395"/>
      <c r="B570" s="395"/>
      <c r="C570" s="395"/>
      <c r="D570" s="395"/>
      <c r="E570" s="395"/>
      <c r="F570" s="395"/>
      <c r="G570" s="395"/>
      <c r="H570" s="395"/>
      <c r="I570" s="395"/>
      <c r="J570" s="395"/>
      <c r="K570" s="395"/>
      <c r="L570" s="395"/>
      <c r="M570" s="395"/>
      <c r="N570" s="395"/>
      <c r="O570" s="395"/>
      <c r="P570" s="395"/>
      <c r="Q570" s="395"/>
      <c r="R570" s="395"/>
      <c r="S570" s="395"/>
      <c r="T570" s="395"/>
      <c r="U570" s="395"/>
    </row>
    <row r="571" ht="15.75" customHeight="1">
      <c r="A571" s="395"/>
      <c r="B571" s="395"/>
      <c r="C571" s="395"/>
      <c r="D571" s="395"/>
      <c r="E571" s="395"/>
      <c r="F571" s="395"/>
      <c r="G571" s="395"/>
      <c r="H571" s="395"/>
      <c r="I571" s="395"/>
      <c r="J571" s="395"/>
      <c r="K571" s="395"/>
      <c r="L571" s="395"/>
      <c r="M571" s="395"/>
      <c r="N571" s="395"/>
      <c r="O571" s="395"/>
      <c r="P571" s="395"/>
      <c r="Q571" s="395"/>
      <c r="R571" s="395"/>
      <c r="S571" s="395"/>
      <c r="T571" s="395"/>
      <c r="U571" s="395"/>
    </row>
    <row r="572" ht="15.75" customHeight="1">
      <c r="A572" s="395"/>
      <c r="B572" s="395"/>
      <c r="C572" s="395"/>
      <c r="D572" s="395"/>
      <c r="E572" s="395"/>
      <c r="F572" s="395"/>
      <c r="G572" s="395"/>
      <c r="H572" s="395"/>
      <c r="I572" s="395"/>
      <c r="J572" s="395"/>
      <c r="K572" s="395"/>
      <c r="L572" s="395"/>
      <c r="M572" s="395"/>
      <c r="N572" s="395"/>
      <c r="O572" s="395"/>
      <c r="P572" s="395"/>
      <c r="Q572" s="395"/>
      <c r="R572" s="395"/>
      <c r="S572" s="395"/>
      <c r="T572" s="395"/>
      <c r="U572" s="395"/>
    </row>
    <row r="573" ht="15.75" customHeight="1">
      <c r="A573" s="395"/>
      <c r="B573" s="395"/>
      <c r="C573" s="395"/>
      <c r="D573" s="395"/>
      <c r="E573" s="395"/>
      <c r="F573" s="395"/>
      <c r="G573" s="395"/>
      <c r="H573" s="395"/>
      <c r="I573" s="395"/>
      <c r="J573" s="395"/>
      <c r="K573" s="395"/>
      <c r="L573" s="395"/>
      <c r="M573" s="395"/>
      <c r="N573" s="395"/>
      <c r="O573" s="395"/>
      <c r="P573" s="395"/>
      <c r="Q573" s="395"/>
      <c r="R573" s="395"/>
      <c r="S573" s="395"/>
      <c r="T573" s="395"/>
      <c r="U573" s="395"/>
    </row>
    <row r="574" ht="15.75" customHeight="1">
      <c r="A574" s="395"/>
      <c r="B574" s="395"/>
      <c r="C574" s="395"/>
      <c r="D574" s="395"/>
      <c r="E574" s="395"/>
      <c r="F574" s="395"/>
      <c r="G574" s="395"/>
      <c r="H574" s="395"/>
      <c r="I574" s="395"/>
      <c r="J574" s="395"/>
      <c r="K574" s="395"/>
      <c r="L574" s="395"/>
      <c r="M574" s="395"/>
      <c r="N574" s="395"/>
      <c r="O574" s="395"/>
      <c r="P574" s="395"/>
      <c r="Q574" s="395"/>
      <c r="R574" s="395"/>
      <c r="S574" s="395"/>
      <c r="T574" s="395"/>
      <c r="U574" s="395"/>
    </row>
    <row r="575" ht="15.75" customHeight="1">
      <c r="A575" s="395"/>
      <c r="B575" s="395"/>
      <c r="C575" s="395"/>
      <c r="D575" s="395"/>
      <c r="E575" s="395"/>
      <c r="F575" s="395"/>
      <c r="G575" s="395"/>
      <c r="H575" s="395"/>
      <c r="I575" s="395"/>
      <c r="J575" s="395"/>
      <c r="K575" s="395"/>
      <c r="L575" s="395"/>
      <c r="M575" s="395"/>
      <c r="N575" s="395"/>
      <c r="O575" s="395"/>
      <c r="P575" s="395"/>
      <c r="Q575" s="395"/>
      <c r="R575" s="395"/>
      <c r="S575" s="395"/>
      <c r="T575" s="395"/>
      <c r="U575" s="395"/>
    </row>
    <row r="576" ht="15.75" customHeight="1">
      <c r="A576" s="395"/>
      <c r="B576" s="395"/>
      <c r="C576" s="395"/>
      <c r="D576" s="395"/>
      <c r="E576" s="395"/>
      <c r="F576" s="395"/>
      <c r="G576" s="395"/>
      <c r="H576" s="395"/>
      <c r="I576" s="395"/>
      <c r="J576" s="395"/>
      <c r="K576" s="395"/>
      <c r="L576" s="395"/>
      <c r="M576" s="395"/>
      <c r="N576" s="395"/>
      <c r="O576" s="395"/>
      <c r="P576" s="395"/>
      <c r="Q576" s="395"/>
      <c r="R576" s="395"/>
      <c r="S576" s="395"/>
      <c r="T576" s="395"/>
      <c r="U576" s="395"/>
    </row>
    <row r="577" ht="15.75" customHeight="1">
      <c r="A577" s="395"/>
      <c r="B577" s="395"/>
      <c r="C577" s="395"/>
      <c r="D577" s="395"/>
      <c r="E577" s="395"/>
      <c r="F577" s="395"/>
      <c r="G577" s="395"/>
      <c r="H577" s="395"/>
      <c r="I577" s="395"/>
      <c r="J577" s="395"/>
      <c r="K577" s="395"/>
      <c r="L577" s="395"/>
      <c r="M577" s="395"/>
      <c r="N577" s="395"/>
      <c r="O577" s="395"/>
      <c r="P577" s="395"/>
      <c r="Q577" s="395"/>
      <c r="R577" s="395"/>
      <c r="S577" s="395"/>
      <c r="T577" s="395"/>
      <c r="U577" s="395"/>
    </row>
    <row r="578" ht="15.75" customHeight="1">
      <c r="A578" s="395"/>
      <c r="B578" s="395"/>
      <c r="C578" s="395"/>
      <c r="D578" s="395"/>
      <c r="E578" s="395"/>
      <c r="F578" s="395"/>
      <c r="G578" s="395"/>
      <c r="H578" s="395"/>
      <c r="I578" s="395"/>
      <c r="J578" s="395"/>
      <c r="K578" s="395"/>
      <c r="L578" s="395"/>
      <c r="M578" s="395"/>
      <c r="N578" s="395"/>
      <c r="O578" s="395"/>
      <c r="P578" s="395"/>
      <c r="Q578" s="395"/>
      <c r="R578" s="395"/>
      <c r="S578" s="395"/>
      <c r="T578" s="395"/>
      <c r="U578" s="395"/>
    </row>
    <row r="579" ht="15.75" customHeight="1">
      <c r="A579" s="395"/>
      <c r="B579" s="395"/>
      <c r="C579" s="395"/>
      <c r="D579" s="395"/>
      <c r="E579" s="395"/>
      <c r="F579" s="395"/>
      <c r="G579" s="395"/>
      <c r="H579" s="395"/>
      <c r="I579" s="395"/>
      <c r="J579" s="395"/>
      <c r="K579" s="395"/>
      <c r="L579" s="395"/>
      <c r="M579" s="395"/>
      <c r="N579" s="395"/>
      <c r="O579" s="395"/>
      <c r="P579" s="395"/>
      <c r="Q579" s="395"/>
      <c r="R579" s="395"/>
      <c r="S579" s="395"/>
      <c r="T579" s="395"/>
      <c r="U579" s="395"/>
    </row>
    <row r="580" ht="15.75" customHeight="1">
      <c r="A580" s="395"/>
      <c r="B580" s="395"/>
      <c r="C580" s="395"/>
      <c r="D580" s="395"/>
      <c r="E580" s="395"/>
      <c r="F580" s="395"/>
      <c r="G580" s="395"/>
      <c r="H580" s="395"/>
      <c r="I580" s="395"/>
      <c r="J580" s="395"/>
      <c r="K580" s="395"/>
      <c r="L580" s="395"/>
      <c r="M580" s="395"/>
      <c r="N580" s="395"/>
      <c r="O580" s="395"/>
      <c r="P580" s="395"/>
      <c r="Q580" s="395"/>
      <c r="R580" s="395"/>
      <c r="S580" s="395"/>
      <c r="T580" s="395"/>
      <c r="U580" s="395"/>
    </row>
    <row r="581" ht="15.75" customHeight="1">
      <c r="A581" s="395"/>
      <c r="B581" s="395"/>
      <c r="C581" s="395"/>
      <c r="D581" s="395"/>
      <c r="E581" s="395"/>
      <c r="F581" s="395"/>
      <c r="G581" s="395"/>
      <c r="H581" s="395"/>
      <c r="I581" s="395"/>
      <c r="J581" s="395"/>
      <c r="K581" s="395"/>
      <c r="L581" s="395"/>
      <c r="M581" s="395"/>
      <c r="N581" s="395"/>
      <c r="O581" s="395"/>
      <c r="P581" s="395"/>
      <c r="Q581" s="395"/>
      <c r="R581" s="395"/>
      <c r="S581" s="395"/>
      <c r="T581" s="395"/>
      <c r="U581" s="395"/>
    </row>
    <row r="582" ht="15.75" customHeight="1">
      <c r="A582" s="395"/>
      <c r="B582" s="395"/>
      <c r="C582" s="395"/>
      <c r="D582" s="395"/>
      <c r="E582" s="395"/>
      <c r="F582" s="395"/>
      <c r="G582" s="395"/>
      <c r="H582" s="395"/>
      <c r="I582" s="395"/>
      <c r="J582" s="395"/>
      <c r="K582" s="395"/>
      <c r="L582" s="395"/>
      <c r="M582" s="395"/>
      <c r="N582" s="395"/>
      <c r="O582" s="395"/>
      <c r="P582" s="395"/>
      <c r="Q582" s="395"/>
      <c r="R582" s="395"/>
      <c r="S582" s="395"/>
      <c r="T582" s="395"/>
      <c r="U582" s="395"/>
    </row>
    <row r="583" ht="15.75" customHeight="1">
      <c r="A583" s="395"/>
      <c r="B583" s="395"/>
      <c r="C583" s="395"/>
      <c r="D583" s="395"/>
      <c r="E583" s="395"/>
      <c r="F583" s="395"/>
      <c r="G583" s="395"/>
      <c r="H583" s="395"/>
      <c r="I583" s="395"/>
      <c r="J583" s="395"/>
      <c r="K583" s="395"/>
      <c r="L583" s="395"/>
      <c r="M583" s="395"/>
      <c r="N583" s="395"/>
      <c r="O583" s="395"/>
      <c r="P583" s="395"/>
      <c r="Q583" s="395"/>
      <c r="R583" s="395"/>
      <c r="S583" s="395"/>
      <c r="T583" s="395"/>
      <c r="U583" s="395"/>
    </row>
    <row r="584" ht="15.75" customHeight="1">
      <c r="A584" s="395"/>
      <c r="B584" s="395"/>
      <c r="C584" s="395"/>
      <c r="D584" s="395"/>
      <c r="E584" s="395"/>
      <c r="F584" s="395"/>
      <c r="G584" s="395"/>
      <c r="H584" s="395"/>
      <c r="I584" s="395"/>
      <c r="J584" s="395"/>
      <c r="K584" s="395"/>
      <c r="L584" s="395"/>
      <c r="M584" s="395"/>
      <c r="N584" s="395"/>
      <c r="O584" s="395"/>
      <c r="P584" s="395"/>
      <c r="Q584" s="395"/>
      <c r="R584" s="395"/>
      <c r="S584" s="395"/>
      <c r="T584" s="395"/>
      <c r="U584" s="395"/>
    </row>
    <row r="585" ht="15.75" customHeight="1">
      <c r="A585" s="395"/>
      <c r="B585" s="395"/>
      <c r="C585" s="395"/>
      <c r="D585" s="395"/>
      <c r="E585" s="395"/>
      <c r="F585" s="395"/>
      <c r="G585" s="395"/>
      <c r="H585" s="395"/>
      <c r="I585" s="395"/>
      <c r="J585" s="395"/>
      <c r="K585" s="395"/>
      <c r="L585" s="395"/>
      <c r="M585" s="395"/>
      <c r="N585" s="395"/>
      <c r="O585" s="395"/>
      <c r="P585" s="395"/>
      <c r="Q585" s="395"/>
      <c r="R585" s="395"/>
      <c r="S585" s="395"/>
      <c r="T585" s="395"/>
      <c r="U585" s="395"/>
    </row>
    <row r="586" ht="15.75" customHeight="1">
      <c r="A586" s="395"/>
      <c r="B586" s="395"/>
      <c r="C586" s="395"/>
      <c r="D586" s="395"/>
      <c r="E586" s="395"/>
      <c r="F586" s="395"/>
      <c r="G586" s="395"/>
      <c r="H586" s="395"/>
      <c r="I586" s="395"/>
      <c r="J586" s="395"/>
      <c r="K586" s="395"/>
      <c r="L586" s="395"/>
      <c r="M586" s="395"/>
      <c r="N586" s="395"/>
      <c r="O586" s="395"/>
      <c r="P586" s="395"/>
      <c r="Q586" s="395"/>
      <c r="R586" s="395"/>
      <c r="S586" s="395"/>
      <c r="T586" s="395"/>
      <c r="U586" s="395"/>
    </row>
    <row r="587" ht="15.75" customHeight="1">
      <c r="A587" s="395"/>
      <c r="B587" s="395"/>
      <c r="C587" s="395"/>
      <c r="D587" s="395"/>
      <c r="E587" s="395"/>
      <c r="F587" s="395"/>
      <c r="G587" s="395"/>
      <c r="H587" s="395"/>
      <c r="I587" s="395"/>
      <c r="J587" s="395"/>
      <c r="K587" s="395"/>
      <c r="L587" s="395"/>
      <c r="M587" s="395"/>
      <c r="N587" s="395"/>
      <c r="O587" s="395"/>
      <c r="P587" s="395"/>
      <c r="Q587" s="395"/>
      <c r="R587" s="395"/>
      <c r="S587" s="395"/>
      <c r="T587" s="395"/>
      <c r="U587" s="395"/>
    </row>
    <row r="588" ht="15.75" customHeight="1">
      <c r="A588" s="395"/>
      <c r="B588" s="395"/>
      <c r="C588" s="395"/>
      <c r="D588" s="395"/>
      <c r="E588" s="395"/>
      <c r="F588" s="395"/>
      <c r="G588" s="395"/>
      <c r="H588" s="395"/>
      <c r="I588" s="395"/>
      <c r="J588" s="395"/>
      <c r="K588" s="395"/>
      <c r="L588" s="395"/>
      <c r="M588" s="395"/>
      <c r="N588" s="395"/>
      <c r="O588" s="395"/>
      <c r="P588" s="395"/>
      <c r="Q588" s="395"/>
      <c r="R588" s="395"/>
      <c r="S588" s="395"/>
      <c r="T588" s="395"/>
      <c r="U588" s="395"/>
    </row>
    <row r="589" ht="15.75" customHeight="1">
      <c r="A589" s="395"/>
      <c r="B589" s="395"/>
      <c r="C589" s="395"/>
      <c r="D589" s="395"/>
      <c r="E589" s="395"/>
      <c r="F589" s="395"/>
      <c r="G589" s="395"/>
      <c r="H589" s="395"/>
      <c r="I589" s="395"/>
      <c r="J589" s="395"/>
      <c r="K589" s="395"/>
      <c r="L589" s="395"/>
      <c r="M589" s="395"/>
      <c r="N589" s="395"/>
      <c r="O589" s="395"/>
      <c r="P589" s="395"/>
      <c r="Q589" s="395"/>
      <c r="R589" s="395"/>
      <c r="S589" s="395"/>
      <c r="T589" s="395"/>
      <c r="U589" s="395"/>
    </row>
    <row r="590" ht="15.75" customHeight="1">
      <c r="A590" s="395"/>
      <c r="B590" s="395"/>
      <c r="C590" s="395"/>
      <c r="D590" s="395"/>
      <c r="E590" s="395"/>
      <c r="F590" s="395"/>
      <c r="G590" s="395"/>
      <c r="H590" s="395"/>
      <c r="I590" s="395"/>
      <c r="J590" s="395"/>
      <c r="K590" s="395"/>
      <c r="L590" s="395"/>
      <c r="M590" s="395"/>
      <c r="N590" s="395"/>
      <c r="O590" s="395"/>
      <c r="P590" s="395"/>
      <c r="Q590" s="395"/>
      <c r="R590" s="395"/>
      <c r="S590" s="395"/>
      <c r="T590" s="395"/>
      <c r="U590" s="395"/>
    </row>
    <row r="591" ht="15.75" customHeight="1">
      <c r="A591" s="395"/>
      <c r="B591" s="395"/>
      <c r="C591" s="395"/>
      <c r="D591" s="395"/>
      <c r="E591" s="395"/>
      <c r="F591" s="395"/>
      <c r="G591" s="395"/>
      <c r="H591" s="395"/>
      <c r="I591" s="395"/>
      <c r="J591" s="395"/>
      <c r="K591" s="395"/>
      <c r="L591" s="395"/>
      <c r="M591" s="395"/>
      <c r="N591" s="395"/>
      <c r="O591" s="395"/>
      <c r="P591" s="395"/>
      <c r="Q591" s="395"/>
      <c r="R591" s="395"/>
      <c r="S591" s="395"/>
      <c r="T591" s="395"/>
      <c r="U591" s="395"/>
    </row>
    <row r="592" ht="15.75" customHeight="1">
      <c r="A592" s="395"/>
      <c r="B592" s="395"/>
      <c r="C592" s="395"/>
      <c r="D592" s="395"/>
      <c r="E592" s="395"/>
      <c r="F592" s="395"/>
      <c r="G592" s="395"/>
      <c r="H592" s="395"/>
      <c r="I592" s="395"/>
      <c r="J592" s="395"/>
      <c r="K592" s="395"/>
      <c r="L592" s="395"/>
      <c r="M592" s="395"/>
      <c r="N592" s="395"/>
      <c r="O592" s="395"/>
      <c r="P592" s="395"/>
      <c r="Q592" s="395"/>
      <c r="R592" s="395"/>
      <c r="S592" s="395"/>
      <c r="T592" s="395"/>
      <c r="U592" s="395"/>
    </row>
    <row r="593" ht="15.75" customHeight="1">
      <c r="A593" s="395"/>
      <c r="B593" s="395"/>
      <c r="C593" s="395"/>
      <c r="D593" s="395"/>
      <c r="E593" s="395"/>
      <c r="F593" s="395"/>
      <c r="G593" s="395"/>
      <c r="H593" s="395"/>
      <c r="I593" s="395"/>
      <c r="J593" s="395"/>
      <c r="K593" s="395"/>
      <c r="L593" s="395"/>
      <c r="M593" s="395"/>
      <c r="N593" s="395"/>
      <c r="O593" s="395"/>
      <c r="P593" s="395"/>
      <c r="Q593" s="395"/>
      <c r="R593" s="395"/>
      <c r="S593" s="395"/>
      <c r="T593" s="395"/>
      <c r="U593" s="395"/>
    </row>
    <row r="594" ht="15.75" customHeight="1">
      <c r="A594" s="395"/>
      <c r="B594" s="395"/>
      <c r="C594" s="395"/>
      <c r="D594" s="395"/>
      <c r="E594" s="395"/>
      <c r="F594" s="395"/>
      <c r="G594" s="395"/>
      <c r="H594" s="395"/>
      <c r="I594" s="395"/>
      <c r="J594" s="395"/>
      <c r="K594" s="395"/>
      <c r="L594" s="395"/>
      <c r="M594" s="395"/>
      <c r="N594" s="395"/>
      <c r="O594" s="395"/>
      <c r="P594" s="395"/>
      <c r="Q594" s="395"/>
      <c r="R594" s="395"/>
      <c r="S594" s="395"/>
      <c r="T594" s="395"/>
      <c r="U594" s="395"/>
    </row>
    <row r="595" ht="15.75" customHeight="1">
      <c r="A595" s="395"/>
      <c r="B595" s="395"/>
      <c r="C595" s="395"/>
      <c r="D595" s="395"/>
      <c r="E595" s="395"/>
      <c r="F595" s="395"/>
      <c r="G595" s="395"/>
      <c r="H595" s="395"/>
      <c r="I595" s="395"/>
      <c r="J595" s="395"/>
      <c r="K595" s="395"/>
      <c r="L595" s="395"/>
      <c r="M595" s="395"/>
      <c r="N595" s="395"/>
      <c r="O595" s="395"/>
      <c r="P595" s="395"/>
      <c r="Q595" s="395"/>
      <c r="R595" s="395"/>
      <c r="S595" s="395"/>
      <c r="T595" s="395"/>
      <c r="U595" s="395"/>
    </row>
    <row r="596" ht="15.75" customHeight="1">
      <c r="A596" s="395"/>
      <c r="B596" s="395"/>
      <c r="C596" s="395"/>
      <c r="D596" s="395"/>
      <c r="E596" s="395"/>
      <c r="F596" s="395"/>
      <c r="G596" s="395"/>
      <c r="H596" s="395"/>
      <c r="I596" s="395"/>
      <c r="J596" s="395"/>
      <c r="K596" s="395"/>
      <c r="L596" s="395"/>
      <c r="M596" s="395"/>
      <c r="N596" s="395"/>
      <c r="O596" s="395"/>
      <c r="P596" s="395"/>
      <c r="Q596" s="395"/>
      <c r="R596" s="395"/>
      <c r="S596" s="395"/>
      <c r="T596" s="395"/>
      <c r="U596" s="395"/>
    </row>
    <row r="597" ht="15.75" customHeight="1">
      <c r="A597" s="395"/>
      <c r="B597" s="395"/>
      <c r="C597" s="395"/>
      <c r="D597" s="395"/>
      <c r="E597" s="395"/>
      <c r="F597" s="395"/>
      <c r="G597" s="395"/>
      <c r="H597" s="395"/>
      <c r="I597" s="395"/>
      <c r="J597" s="395"/>
      <c r="K597" s="395"/>
      <c r="L597" s="395"/>
      <c r="M597" s="395"/>
      <c r="N597" s="395"/>
      <c r="O597" s="395"/>
      <c r="P597" s="395"/>
      <c r="Q597" s="395"/>
      <c r="R597" s="395"/>
      <c r="S597" s="395"/>
      <c r="T597" s="395"/>
      <c r="U597" s="395"/>
    </row>
    <row r="598" ht="15.75" customHeight="1">
      <c r="A598" s="395"/>
      <c r="B598" s="395"/>
      <c r="C598" s="395"/>
      <c r="D598" s="395"/>
      <c r="E598" s="395"/>
      <c r="F598" s="395"/>
      <c r="G598" s="395"/>
      <c r="H598" s="395"/>
      <c r="I598" s="395"/>
      <c r="J598" s="395"/>
      <c r="K598" s="395"/>
      <c r="L598" s="395"/>
      <c r="M598" s="395"/>
      <c r="N598" s="395"/>
      <c r="O598" s="395"/>
      <c r="P598" s="395"/>
      <c r="Q598" s="395"/>
      <c r="R598" s="395"/>
      <c r="S598" s="395"/>
      <c r="T598" s="395"/>
      <c r="U598" s="395"/>
    </row>
    <row r="599" ht="15.75" customHeight="1">
      <c r="A599" s="395"/>
      <c r="B599" s="395"/>
      <c r="C599" s="395"/>
      <c r="D599" s="395"/>
      <c r="E599" s="395"/>
      <c r="F599" s="395"/>
      <c r="G599" s="395"/>
      <c r="H599" s="395"/>
      <c r="I599" s="395"/>
      <c r="J599" s="395"/>
      <c r="K599" s="395"/>
      <c r="L599" s="395"/>
      <c r="M599" s="395"/>
      <c r="N599" s="395"/>
      <c r="O599" s="395"/>
      <c r="P599" s="395"/>
      <c r="Q599" s="395"/>
      <c r="R599" s="395"/>
      <c r="S599" s="395"/>
      <c r="T599" s="395"/>
      <c r="U599" s="395"/>
    </row>
    <row r="600" ht="15.75" customHeight="1">
      <c r="A600" s="395"/>
      <c r="B600" s="395"/>
      <c r="C600" s="395"/>
      <c r="D600" s="395"/>
      <c r="E600" s="395"/>
      <c r="F600" s="395"/>
      <c r="G600" s="395"/>
      <c r="H600" s="395"/>
      <c r="I600" s="395"/>
      <c r="J600" s="395"/>
      <c r="K600" s="395"/>
      <c r="L600" s="395"/>
      <c r="M600" s="395"/>
      <c r="N600" s="395"/>
      <c r="O600" s="395"/>
      <c r="P600" s="395"/>
      <c r="Q600" s="395"/>
      <c r="R600" s="395"/>
      <c r="S600" s="395"/>
      <c r="T600" s="395"/>
      <c r="U600" s="395"/>
    </row>
    <row r="601" ht="15.75" customHeight="1">
      <c r="A601" s="395"/>
      <c r="B601" s="395"/>
      <c r="C601" s="395"/>
      <c r="D601" s="395"/>
      <c r="E601" s="395"/>
      <c r="F601" s="395"/>
      <c r="G601" s="395"/>
      <c r="H601" s="395"/>
      <c r="I601" s="395"/>
      <c r="J601" s="395"/>
      <c r="K601" s="395"/>
      <c r="L601" s="395"/>
      <c r="M601" s="395"/>
      <c r="N601" s="395"/>
      <c r="O601" s="395"/>
      <c r="P601" s="395"/>
      <c r="Q601" s="395"/>
      <c r="R601" s="395"/>
      <c r="S601" s="395"/>
      <c r="T601" s="395"/>
      <c r="U601" s="395"/>
    </row>
    <row r="602" ht="15.75" customHeight="1">
      <c r="A602" s="395"/>
      <c r="B602" s="395"/>
      <c r="C602" s="395"/>
      <c r="D602" s="395"/>
      <c r="E602" s="395"/>
      <c r="F602" s="395"/>
      <c r="G602" s="395"/>
      <c r="H602" s="395"/>
      <c r="I602" s="395"/>
      <c r="J602" s="395"/>
      <c r="K602" s="395"/>
      <c r="L602" s="395"/>
      <c r="M602" s="395"/>
      <c r="N602" s="395"/>
      <c r="O602" s="395"/>
      <c r="P602" s="395"/>
      <c r="Q602" s="395"/>
      <c r="R602" s="395"/>
      <c r="S602" s="395"/>
      <c r="T602" s="395"/>
      <c r="U602" s="395"/>
    </row>
    <row r="603" ht="15.75" customHeight="1">
      <c r="A603" s="395"/>
      <c r="B603" s="395"/>
      <c r="C603" s="395"/>
      <c r="D603" s="395"/>
      <c r="E603" s="395"/>
      <c r="F603" s="395"/>
      <c r="G603" s="395"/>
      <c r="H603" s="395"/>
      <c r="I603" s="395"/>
      <c r="J603" s="395"/>
      <c r="K603" s="395"/>
      <c r="L603" s="395"/>
      <c r="M603" s="395"/>
      <c r="N603" s="395"/>
      <c r="O603" s="395"/>
      <c r="P603" s="395"/>
      <c r="Q603" s="395"/>
      <c r="R603" s="395"/>
      <c r="S603" s="395"/>
      <c r="T603" s="395"/>
      <c r="U603" s="395"/>
    </row>
    <row r="604" ht="15.75" customHeight="1">
      <c r="A604" s="395"/>
      <c r="B604" s="395"/>
      <c r="C604" s="395"/>
      <c r="D604" s="395"/>
      <c r="E604" s="395"/>
      <c r="F604" s="395"/>
      <c r="G604" s="395"/>
      <c r="H604" s="395"/>
      <c r="I604" s="395"/>
      <c r="J604" s="395"/>
      <c r="K604" s="395"/>
      <c r="L604" s="395"/>
      <c r="M604" s="395"/>
      <c r="N604" s="395"/>
      <c r="O604" s="395"/>
      <c r="P604" s="395"/>
      <c r="Q604" s="395"/>
      <c r="R604" s="395"/>
      <c r="S604" s="395"/>
      <c r="T604" s="395"/>
      <c r="U604" s="395"/>
    </row>
    <row r="605" ht="15.75" customHeight="1">
      <c r="A605" s="395"/>
      <c r="B605" s="395"/>
      <c r="C605" s="395"/>
      <c r="D605" s="395"/>
      <c r="E605" s="395"/>
      <c r="F605" s="395"/>
      <c r="G605" s="395"/>
      <c r="H605" s="395"/>
      <c r="I605" s="395"/>
      <c r="J605" s="395"/>
      <c r="K605" s="395"/>
      <c r="L605" s="395"/>
      <c r="M605" s="395"/>
      <c r="N605" s="395"/>
      <c r="O605" s="395"/>
      <c r="P605" s="395"/>
      <c r="Q605" s="395"/>
      <c r="R605" s="395"/>
      <c r="S605" s="395"/>
      <c r="T605" s="395"/>
      <c r="U605" s="395"/>
    </row>
    <row r="606" ht="15.75" customHeight="1">
      <c r="A606" s="395"/>
      <c r="B606" s="395"/>
      <c r="C606" s="395"/>
      <c r="D606" s="395"/>
      <c r="E606" s="395"/>
      <c r="F606" s="395"/>
      <c r="G606" s="395"/>
      <c r="H606" s="395"/>
      <c r="I606" s="395"/>
      <c r="J606" s="395"/>
      <c r="K606" s="395"/>
      <c r="L606" s="395"/>
      <c r="M606" s="395"/>
      <c r="N606" s="395"/>
      <c r="O606" s="395"/>
      <c r="P606" s="395"/>
      <c r="Q606" s="395"/>
      <c r="R606" s="395"/>
      <c r="S606" s="395"/>
      <c r="T606" s="395"/>
      <c r="U606" s="395"/>
    </row>
    <row r="607" ht="15.75" customHeight="1">
      <c r="A607" s="395"/>
      <c r="B607" s="395"/>
      <c r="C607" s="395"/>
      <c r="D607" s="395"/>
      <c r="E607" s="395"/>
      <c r="F607" s="395"/>
      <c r="G607" s="395"/>
      <c r="H607" s="395"/>
      <c r="I607" s="395"/>
      <c r="J607" s="395"/>
      <c r="K607" s="395"/>
      <c r="L607" s="395"/>
      <c r="M607" s="395"/>
      <c r="N607" s="395"/>
      <c r="O607" s="395"/>
      <c r="P607" s="395"/>
      <c r="Q607" s="395"/>
      <c r="R607" s="395"/>
      <c r="S607" s="395"/>
      <c r="T607" s="395"/>
      <c r="U607" s="395"/>
    </row>
    <row r="608" ht="15.75" customHeight="1">
      <c r="A608" s="395"/>
      <c r="B608" s="395"/>
      <c r="C608" s="395"/>
      <c r="D608" s="395"/>
      <c r="E608" s="395"/>
      <c r="F608" s="395"/>
      <c r="G608" s="395"/>
      <c r="H608" s="395"/>
      <c r="I608" s="395"/>
      <c r="J608" s="395"/>
      <c r="K608" s="395"/>
      <c r="L608" s="395"/>
      <c r="M608" s="395"/>
      <c r="N608" s="395"/>
      <c r="O608" s="395"/>
      <c r="P608" s="395"/>
      <c r="Q608" s="395"/>
      <c r="R608" s="395"/>
      <c r="S608" s="395"/>
      <c r="T608" s="395"/>
      <c r="U608" s="395"/>
    </row>
    <row r="609" ht="15.75" customHeight="1">
      <c r="A609" s="395"/>
      <c r="B609" s="395"/>
      <c r="C609" s="395"/>
      <c r="D609" s="395"/>
      <c r="E609" s="395"/>
      <c r="F609" s="395"/>
      <c r="G609" s="395"/>
      <c r="H609" s="395"/>
      <c r="I609" s="395"/>
      <c r="J609" s="395"/>
      <c r="K609" s="395"/>
      <c r="L609" s="395"/>
      <c r="M609" s="395"/>
      <c r="N609" s="395"/>
      <c r="O609" s="395"/>
      <c r="P609" s="395"/>
      <c r="Q609" s="395"/>
      <c r="R609" s="395"/>
      <c r="S609" s="395"/>
      <c r="T609" s="395"/>
      <c r="U609" s="395"/>
    </row>
    <row r="610" ht="15.75" customHeight="1">
      <c r="A610" s="395"/>
      <c r="B610" s="395"/>
      <c r="C610" s="395"/>
      <c r="D610" s="395"/>
      <c r="E610" s="395"/>
      <c r="F610" s="395"/>
      <c r="G610" s="395"/>
      <c r="H610" s="395"/>
      <c r="I610" s="395"/>
      <c r="J610" s="395"/>
      <c r="K610" s="395"/>
      <c r="L610" s="395"/>
      <c r="M610" s="395"/>
      <c r="N610" s="395"/>
      <c r="O610" s="395"/>
      <c r="P610" s="395"/>
      <c r="Q610" s="395"/>
      <c r="R610" s="395"/>
      <c r="S610" s="395"/>
      <c r="T610" s="395"/>
      <c r="U610" s="395"/>
    </row>
    <row r="611" ht="15.75" customHeight="1">
      <c r="A611" s="395"/>
      <c r="B611" s="395"/>
      <c r="C611" s="395"/>
      <c r="D611" s="395"/>
      <c r="E611" s="395"/>
      <c r="F611" s="395"/>
      <c r="G611" s="395"/>
      <c r="H611" s="395"/>
      <c r="I611" s="395"/>
      <c r="J611" s="395"/>
      <c r="K611" s="395"/>
      <c r="L611" s="395"/>
      <c r="M611" s="395"/>
      <c r="N611" s="395"/>
      <c r="O611" s="395"/>
      <c r="P611" s="395"/>
      <c r="Q611" s="395"/>
      <c r="R611" s="395"/>
      <c r="S611" s="395"/>
      <c r="T611" s="395"/>
      <c r="U611" s="395"/>
    </row>
    <row r="612" ht="15.75" customHeight="1">
      <c r="A612" s="395"/>
      <c r="B612" s="395"/>
      <c r="C612" s="395"/>
      <c r="D612" s="395"/>
      <c r="E612" s="395"/>
      <c r="F612" s="395"/>
      <c r="G612" s="395"/>
      <c r="H612" s="395"/>
      <c r="I612" s="395"/>
      <c r="J612" s="395"/>
      <c r="K612" s="395"/>
      <c r="L612" s="395"/>
      <c r="M612" s="395"/>
      <c r="N612" s="395"/>
      <c r="O612" s="395"/>
      <c r="P612" s="395"/>
      <c r="Q612" s="395"/>
      <c r="R612" s="395"/>
      <c r="S612" s="395"/>
      <c r="T612" s="395"/>
      <c r="U612" s="395"/>
    </row>
    <row r="613" ht="15.75" customHeight="1">
      <c r="A613" s="395"/>
      <c r="B613" s="395"/>
      <c r="C613" s="395"/>
      <c r="D613" s="395"/>
      <c r="E613" s="395"/>
      <c r="F613" s="395"/>
      <c r="G613" s="395"/>
      <c r="H613" s="395"/>
      <c r="I613" s="395"/>
      <c r="J613" s="395"/>
      <c r="K613" s="395"/>
      <c r="L613" s="395"/>
      <c r="M613" s="395"/>
      <c r="N613" s="395"/>
      <c r="O613" s="395"/>
      <c r="P613" s="395"/>
      <c r="Q613" s="395"/>
      <c r="R613" s="395"/>
      <c r="S613" s="395"/>
      <c r="T613" s="395"/>
      <c r="U613" s="395"/>
    </row>
    <row r="614" ht="15.75" customHeight="1">
      <c r="A614" s="395"/>
      <c r="B614" s="395"/>
      <c r="C614" s="395"/>
      <c r="D614" s="395"/>
      <c r="E614" s="395"/>
      <c r="F614" s="395"/>
      <c r="G614" s="395"/>
      <c r="H614" s="395"/>
      <c r="I614" s="395"/>
      <c r="J614" s="395"/>
      <c r="K614" s="395"/>
      <c r="L614" s="395"/>
      <c r="M614" s="395"/>
      <c r="N614" s="395"/>
      <c r="O614" s="395"/>
      <c r="P614" s="395"/>
      <c r="Q614" s="395"/>
      <c r="R614" s="395"/>
      <c r="S614" s="395"/>
      <c r="T614" s="395"/>
      <c r="U614" s="395"/>
    </row>
    <row r="615" ht="15.75" customHeight="1">
      <c r="A615" s="395"/>
      <c r="B615" s="395"/>
      <c r="C615" s="395"/>
      <c r="D615" s="395"/>
      <c r="E615" s="395"/>
      <c r="F615" s="395"/>
      <c r="G615" s="395"/>
      <c r="H615" s="395"/>
      <c r="I615" s="395"/>
      <c r="J615" s="395"/>
      <c r="K615" s="395"/>
      <c r="L615" s="395"/>
      <c r="M615" s="395"/>
      <c r="N615" s="395"/>
      <c r="O615" s="395"/>
      <c r="P615" s="395"/>
      <c r="Q615" s="395"/>
      <c r="R615" s="395"/>
      <c r="S615" s="395"/>
      <c r="T615" s="395"/>
      <c r="U615" s="395"/>
    </row>
    <row r="616" ht="15.75" customHeight="1">
      <c r="A616" s="395"/>
      <c r="B616" s="395"/>
      <c r="C616" s="395"/>
      <c r="D616" s="395"/>
      <c r="E616" s="395"/>
      <c r="F616" s="395"/>
      <c r="G616" s="395"/>
      <c r="H616" s="395"/>
      <c r="I616" s="395"/>
      <c r="J616" s="395"/>
      <c r="K616" s="395"/>
      <c r="L616" s="395"/>
      <c r="M616" s="395"/>
      <c r="N616" s="395"/>
      <c r="O616" s="395"/>
      <c r="P616" s="395"/>
      <c r="Q616" s="395"/>
      <c r="R616" s="395"/>
      <c r="S616" s="395"/>
      <c r="T616" s="395"/>
      <c r="U616" s="395"/>
    </row>
    <row r="617" ht="15.75" customHeight="1">
      <c r="A617" s="395"/>
      <c r="B617" s="395"/>
      <c r="C617" s="395"/>
      <c r="D617" s="395"/>
      <c r="E617" s="395"/>
      <c r="F617" s="395"/>
      <c r="G617" s="395"/>
      <c r="H617" s="395"/>
      <c r="I617" s="395"/>
      <c r="J617" s="395"/>
      <c r="K617" s="395"/>
      <c r="L617" s="395"/>
      <c r="M617" s="395"/>
      <c r="N617" s="395"/>
      <c r="O617" s="395"/>
      <c r="P617" s="395"/>
      <c r="Q617" s="395"/>
      <c r="R617" s="395"/>
      <c r="S617" s="395"/>
      <c r="T617" s="395"/>
      <c r="U617" s="395"/>
    </row>
    <row r="618" ht="15.75" customHeight="1">
      <c r="A618" s="395"/>
      <c r="B618" s="395"/>
      <c r="C618" s="395"/>
      <c r="D618" s="395"/>
      <c r="E618" s="395"/>
      <c r="F618" s="395"/>
      <c r="G618" s="395"/>
      <c r="H618" s="395"/>
      <c r="I618" s="395"/>
      <c r="J618" s="395"/>
      <c r="K618" s="395"/>
      <c r="L618" s="395"/>
      <c r="M618" s="395"/>
      <c r="N618" s="395"/>
      <c r="O618" s="395"/>
      <c r="P618" s="395"/>
      <c r="Q618" s="395"/>
      <c r="R618" s="395"/>
      <c r="S618" s="395"/>
      <c r="T618" s="395"/>
      <c r="U618" s="395"/>
    </row>
    <row r="619" ht="15.75" customHeight="1">
      <c r="A619" s="395"/>
      <c r="B619" s="395"/>
      <c r="C619" s="395"/>
      <c r="D619" s="395"/>
      <c r="E619" s="395"/>
      <c r="F619" s="395"/>
      <c r="G619" s="395"/>
      <c r="H619" s="395"/>
      <c r="I619" s="395"/>
      <c r="J619" s="395"/>
      <c r="K619" s="395"/>
      <c r="L619" s="395"/>
      <c r="M619" s="395"/>
      <c r="N619" s="395"/>
      <c r="O619" s="395"/>
      <c r="P619" s="395"/>
      <c r="Q619" s="395"/>
      <c r="R619" s="395"/>
      <c r="S619" s="395"/>
      <c r="T619" s="395"/>
      <c r="U619" s="395"/>
    </row>
    <row r="620" ht="15.75" customHeight="1">
      <c r="A620" s="395"/>
      <c r="B620" s="395"/>
      <c r="C620" s="395"/>
      <c r="D620" s="395"/>
      <c r="E620" s="395"/>
      <c r="F620" s="395"/>
      <c r="G620" s="395"/>
      <c r="H620" s="395"/>
      <c r="I620" s="395"/>
      <c r="J620" s="395"/>
      <c r="K620" s="395"/>
      <c r="L620" s="395"/>
      <c r="M620" s="395"/>
      <c r="N620" s="395"/>
      <c r="O620" s="395"/>
      <c r="P620" s="395"/>
      <c r="Q620" s="395"/>
      <c r="R620" s="395"/>
      <c r="S620" s="395"/>
      <c r="T620" s="395"/>
      <c r="U620" s="395"/>
    </row>
    <row r="621" ht="15.75" customHeight="1">
      <c r="A621" s="395"/>
      <c r="B621" s="395"/>
      <c r="C621" s="395"/>
      <c r="D621" s="395"/>
      <c r="E621" s="395"/>
      <c r="F621" s="395"/>
      <c r="G621" s="395"/>
      <c r="H621" s="395"/>
      <c r="I621" s="395"/>
      <c r="J621" s="395"/>
      <c r="K621" s="395"/>
      <c r="L621" s="395"/>
      <c r="M621" s="395"/>
      <c r="N621" s="395"/>
      <c r="O621" s="395"/>
      <c r="P621" s="395"/>
      <c r="Q621" s="395"/>
      <c r="R621" s="395"/>
      <c r="S621" s="395"/>
      <c r="T621" s="395"/>
      <c r="U621" s="395"/>
    </row>
    <row r="622" ht="15.75" customHeight="1">
      <c r="A622" s="395"/>
      <c r="B622" s="395"/>
      <c r="C622" s="395"/>
      <c r="D622" s="395"/>
      <c r="E622" s="395"/>
      <c r="F622" s="395"/>
      <c r="G622" s="395"/>
      <c r="H622" s="395"/>
      <c r="I622" s="395"/>
      <c r="J622" s="395"/>
      <c r="K622" s="395"/>
      <c r="L622" s="395"/>
      <c r="M622" s="395"/>
      <c r="N622" s="395"/>
      <c r="O622" s="395"/>
      <c r="P622" s="395"/>
      <c r="Q622" s="395"/>
      <c r="R622" s="395"/>
      <c r="S622" s="395"/>
      <c r="T622" s="395"/>
      <c r="U622" s="395"/>
    </row>
    <row r="623" ht="15.75" customHeight="1">
      <c r="A623" s="395"/>
      <c r="B623" s="395"/>
      <c r="C623" s="395"/>
      <c r="D623" s="395"/>
      <c r="E623" s="395"/>
      <c r="F623" s="395"/>
      <c r="G623" s="395"/>
      <c r="H623" s="395"/>
      <c r="I623" s="395"/>
      <c r="J623" s="395"/>
      <c r="K623" s="395"/>
      <c r="L623" s="395"/>
      <c r="M623" s="395"/>
      <c r="N623" s="395"/>
      <c r="O623" s="395"/>
      <c r="P623" s="395"/>
      <c r="Q623" s="395"/>
      <c r="R623" s="395"/>
      <c r="S623" s="395"/>
      <c r="T623" s="395"/>
      <c r="U623" s="395"/>
    </row>
    <row r="624" ht="15.75" customHeight="1">
      <c r="A624" s="395"/>
      <c r="B624" s="395"/>
      <c r="C624" s="395"/>
      <c r="D624" s="395"/>
      <c r="E624" s="395"/>
      <c r="F624" s="395"/>
      <c r="G624" s="395"/>
      <c r="H624" s="395"/>
      <c r="I624" s="395"/>
      <c r="J624" s="395"/>
      <c r="K624" s="395"/>
      <c r="L624" s="395"/>
      <c r="M624" s="395"/>
      <c r="N624" s="395"/>
      <c r="O624" s="395"/>
      <c r="P624" s="395"/>
      <c r="Q624" s="395"/>
      <c r="R624" s="395"/>
      <c r="S624" s="395"/>
      <c r="T624" s="395"/>
      <c r="U624" s="395"/>
    </row>
    <row r="625" ht="15.75" customHeight="1">
      <c r="A625" s="395"/>
      <c r="B625" s="395"/>
      <c r="C625" s="395"/>
      <c r="D625" s="395"/>
      <c r="E625" s="395"/>
      <c r="F625" s="395"/>
      <c r="G625" s="395"/>
      <c r="H625" s="395"/>
      <c r="I625" s="395"/>
      <c r="J625" s="395"/>
      <c r="K625" s="395"/>
      <c r="L625" s="395"/>
      <c r="M625" s="395"/>
      <c r="N625" s="395"/>
      <c r="O625" s="395"/>
      <c r="P625" s="395"/>
      <c r="Q625" s="395"/>
      <c r="R625" s="395"/>
      <c r="S625" s="395"/>
      <c r="T625" s="395"/>
      <c r="U625" s="395"/>
    </row>
    <row r="626" ht="15.75" customHeight="1">
      <c r="A626" s="395"/>
      <c r="B626" s="395"/>
      <c r="C626" s="395"/>
      <c r="D626" s="395"/>
      <c r="E626" s="395"/>
      <c r="F626" s="395"/>
      <c r="G626" s="395"/>
      <c r="H626" s="395"/>
      <c r="I626" s="395"/>
      <c r="J626" s="395"/>
      <c r="K626" s="395"/>
      <c r="L626" s="395"/>
      <c r="M626" s="395"/>
      <c r="N626" s="395"/>
      <c r="O626" s="395"/>
      <c r="P626" s="395"/>
      <c r="Q626" s="395"/>
      <c r="R626" s="395"/>
      <c r="S626" s="395"/>
      <c r="T626" s="395"/>
      <c r="U626" s="395"/>
    </row>
    <row r="627" ht="15.75" customHeight="1">
      <c r="A627" s="395"/>
      <c r="B627" s="395"/>
      <c r="C627" s="395"/>
      <c r="D627" s="395"/>
      <c r="E627" s="395"/>
      <c r="F627" s="395"/>
      <c r="G627" s="395"/>
      <c r="H627" s="395"/>
      <c r="I627" s="395"/>
      <c r="J627" s="395"/>
      <c r="K627" s="395"/>
      <c r="L627" s="395"/>
      <c r="M627" s="395"/>
      <c r="N627" s="395"/>
      <c r="O627" s="395"/>
      <c r="P627" s="395"/>
      <c r="Q627" s="395"/>
      <c r="R627" s="395"/>
      <c r="S627" s="395"/>
      <c r="T627" s="395"/>
      <c r="U627" s="395"/>
    </row>
    <row r="628" ht="15.75" customHeight="1">
      <c r="A628" s="395"/>
      <c r="B628" s="395"/>
      <c r="C628" s="395"/>
      <c r="D628" s="395"/>
      <c r="E628" s="395"/>
      <c r="F628" s="395"/>
      <c r="G628" s="395"/>
      <c r="H628" s="395"/>
      <c r="I628" s="395"/>
      <c r="J628" s="395"/>
      <c r="K628" s="395"/>
      <c r="L628" s="395"/>
      <c r="M628" s="395"/>
      <c r="N628" s="395"/>
      <c r="O628" s="395"/>
      <c r="P628" s="395"/>
      <c r="Q628" s="395"/>
      <c r="R628" s="395"/>
      <c r="S628" s="395"/>
      <c r="T628" s="395"/>
      <c r="U628" s="395"/>
    </row>
    <row r="629" ht="15.75" customHeight="1">
      <c r="A629" s="395"/>
      <c r="B629" s="395"/>
      <c r="C629" s="395"/>
      <c r="D629" s="395"/>
      <c r="E629" s="395"/>
      <c r="F629" s="395"/>
      <c r="G629" s="395"/>
      <c r="H629" s="395"/>
      <c r="I629" s="395"/>
      <c r="J629" s="395"/>
      <c r="K629" s="395"/>
      <c r="L629" s="395"/>
      <c r="M629" s="395"/>
      <c r="N629" s="395"/>
      <c r="O629" s="395"/>
      <c r="P629" s="395"/>
      <c r="Q629" s="395"/>
      <c r="R629" s="395"/>
      <c r="S629" s="395"/>
      <c r="T629" s="395"/>
      <c r="U629" s="395"/>
    </row>
    <row r="630" ht="15.75" customHeight="1">
      <c r="A630" s="395"/>
      <c r="B630" s="395"/>
      <c r="C630" s="395"/>
      <c r="D630" s="395"/>
      <c r="E630" s="395"/>
      <c r="F630" s="395"/>
      <c r="G630" s="395"/>
      <c r="H630" s="395"/>
      <c r="I630" s="395"/>
      <c r="J630" s="395"/>
      <c r="K630" s="395"/>
      <c r="L630" s="395"/>
      <c r="M630" s="395"/>
      <c r="N630" s="395"/>
      <c r="O630" s="395"/>
      <c r="P630" s="395"/>
      <c r="Q630" s="395"/>
      <c r="R630" s="395"/>
      <c r="S630" s="395"/>
      <c r="T630" s="395"/>
      <c r="U630" s="395"/>
    </row>
    <row r="631" ht="15.75" customHeight="1">
      <c r="A631" s="395"/>
      <c r="B631" s="395"/>
      <c r="C631" s="395"/>
      <c r="D631" s="395"/>
      <c r="E631" s="395"/>
      <c r="F631" s="395"/>
      <c r="G631" s="395"/>
      <c r="H631" s="395"/>
      <c r="I631" s="395"/>
      <c r="J631" s="395"/>
      <c r="K631" s="395"/>
      <c r="L631" s="395"/>
      <c r="M631" s="395"/>
      <c r="N631" s="395"/>
      <c r="O631" s="395"/>
      <c r="P631" s="395"/>
      <c r="Q631" s="395"/>
      <c r="R631" s="395"/>
      <c r="S631" s="395"/>
      <c r="T631" s="395"/>
      <c r="U631" s="395"/>
    </row>
    <row r="632" ht="15.75" customHeight="1">
      <c r="A632" s="395"/>
      <c r="B632" s="395"/>
      <c r="C632" s="395"/>
      <c r="D632" s="395"/>
      <c r="E632" s="395"/>
      <c r="F632" s="395"/>
      <c r="G632" s="395"/>
      <c r="H632" s="395"/>
      <c r="I632" s="395"/>
      <c r="J632" s="395"/>
      <c r="K632" s="395"/>
      <c r="L632" s="395"/>
      <c r="M632" s="395"/>
      <c r="N632" s="395"/>
      <c r="O632" s="395"/>
      <c r="P632" s="395"/>
      <c r="Q632" s="395"/>
      <c r="R632" s="395"/>
      <c r="S632" s="395"/>
      <c r="T632" s="395"/>
      <c r="U632" s="395"/>
    </row>
    <row r="633" ht="15.75" customHeight="1">
      <c r="A633" s="395"/>
      <c r="B633" s="395"/>
      <c r="C633" s="395"/>
      <c r="D633" s="395"/>
      <c r="E633" s="395"/>
      <c r="F633" s="395"/>
      <c r="G633" s="395"/>
      <c r="H633" s="395"/>
      <c r="I633" s="395"/>
      <c r="J633" s="395"/>
      <c r="K633" s="395"/>
      <c r="L633" s="395"/>
      <c r="M633" s="395"/>
      <c r="N633" s="395"/>
      <c r="O633" s="395"/>
      <c r="P633" s="395"/>
      <c r="Q633" s="395"/>
      <c r="R633" s="395"/>
      <c r="S633" s="395"/>
      <c r="T633" s="395"/>
      <c r="U633" s="395"/>
    </row>
    <row r="634" ht="15.75" customHeight="1">
      <c r="A634" s="395"/>
      <c r="B634" s="395"/>
      <c r="C634" s="395"/>
      <c r="D634" s="395"/>
      <c r="E634" s="395"/>
      <c r="F634" s="395"/>
      <c r="G634" s="395"/>
      <c r="H634" s="395"/>
      <c r="I634" s="395"/>
      <c r="J634" s="395"/>
      <c r="K634" s="395"/>
      <c r="L634" s="395"/>
      <c r="M634" s="395"/>
      <c r="N634" s="395"/>
      <c r="O634" s="395"/>
      <c r="P634" s="395"/>
      <c r="Q634" s="395"/>
      <c r="R634" s="395"/>
      <c r="S634" s="395"/>
      <c r="T634" s="395"/>
      <c r="U634" s="395"/>
    </row>
    <row r="635" ht="15.75" customHeight="1">
      <c r="A635" s="395"/>
      <c r="B635" s="395"/>
      <c r="C635" s="395"/>
      <c r="D635" s="395"/>
      <c r="E635" s="395"/>
      <c r="F635" s="395"/>
      <c r="G635" s="395"/>
      <c r="H635" s="395"/>
      <c r="I635" s="395"/>
      <c r="J635" s="395"/>
      <c r="K635" s="395"/>
      <c r="L635" s="395"/>
      <c r="M635" s="395"/>
      <c r="N635" s="395"/>
      <c r="O635" s="395"/>
      <c r="P635" s="395"/>
      <c r="Q635" s="395"/>
      <c r="R635" s="395"/>
      <c r="S635" s="395"/>
      <c r="T635" s="395"/>
      <c r="U635" s="395"/>
    </row>
    <row r="636" ht="15.75" customHeight="1">
      <c r="A636" s="395"/>
      <c r="B636" s="395"/>
      <c r="C636" s="395"/>
      <c r="D636" s="395"/>
      <c r="E636" s="395"/>
      <c r="F636" s="395"/>
      <c r="G636" s="395"/>
      <c r="H636" s="395"/>
      <c r="I636" s="395"/>
      <c r="J636" s="395"/>
      <c r="K636" s="395"/>
      <c r="L636" s="395"/>
      <c r="M636" s="395"/>
      <c r="N636" s="395"/>
      <c r="O636" s="395"/>
      <c r="P636" s="395"/>
      <c r="Q636" s="395"/>
      <c r="R636" s="395"/>
      <c r="S636" s="395"/>
      <c r="T636" s="395"/>
      <c r="U636" s="395"/>
    </row>
    <row r="637" ht="15.75" customHeight="1">
      <c r="A637" s="395"/>
      <c r="B637" s="395"/>
      <c r="C637" s="395"/>
      <c r="D637" s="395"/>
      <c r="E637" s="395"/>
      <c r="F637" s="395"/>
      <c r="G637" s="395"/>
      <c r="H637" s="395"/>
      <c r="I637" s="395"/>
      <c r="J637" s="395"/>
      <c r="K637" s="395"/>
      <c r="L637" s="395"/>
      <c r="M637" s="395"/>
      <c r="N637" s="395"/>
      <c r="O637" s="395"/>
      <c r="P637" s="395"/>
      <c r="Q637" s="395"/>
      <c r="R637" s="395"/>
      <c r="S637" s="395"/>
      <c r="T637" s="395"/>
      <c r="U637" s="395"/>
    </row>
    <row r="638" ht="15.75" customHeight="1">
      <c r="A638" s="395"/>
      <c r="B638" s="395"/>
      <c r="C638" s="395"/>
      <c r="D638" s="395"/>
      <c r="E638" s="395"/>
      <c r="F638" s="395"/>
      <c r="G638" s="395"/>
      <c r="H638" s="395"/>
      <c r="I638" s="395"/>
      <c r="J638" s="395"/>
      <c r="K638" s="395"/>
      <c r="L638" s="395"/>
      <c r="M638" s="395"/>
      <c r="N638" s="395"/>
      <c r="O638" s="395"/>
      <c r="P638" s="395"/>
      <c r="Q638" s="395"/>
      <c r="R638" s="395"/>
      <c r="S638" s="395"/>
      <c r="T638" s="395"/>
      <c r="U638" s="395"/>
    </row>
    <row r="639" ht="15.75" customHeight="1">
      <c r="A639" s="395"/>
      <c r="B639" s="395"/>
      <c r="C639" s="395"/>
      <c r="D639" s="395"/>
      <c r="E639" s="395"/>
      <c r="F639" s="395"/>
      <c r="G639" s="395"/>
      <c r="H639" s="395"/>
      <c r="I639" s="395"/>
      <c r="J639" s="395"/>
      <c r="K639" s="395"/>
      <c r="L639" s="395"/>
      <c r="M639" s="395"/>
      <c r="N639" s="395"/>
      <c r="O639" s="395"/>
      <c r="P639" s="395"/>
      <c r="Q639" s="395"/>
      <c r="R639" s="395"/>
      <c r="S639" s="395"/>
      <c r="T639" s="395"/>
      <c r="U639" s="395"/>
    </row>
    <row r="640" ht="15.75" customHeight="1">
      <c r="A640" s="395"/>
      <c r="B640" s="395"/>
      <c r="C640" s="395"/>
      <c r="D640" s="395"/>
      <c r="E640" s="395"/>
      <c r="F640" s="395"/>
      <c r="G640" s="395"/>
      <c r="H640" s="395"/>
      <c r="I640" s="395"/>
      <c r="J640" s="395"/>
      <c r="K640" s="395"/>
      <c r="L640" s="395"/>
      <c r="M640" s="395"/>
      <c r="N640" s="395"/>
      <c r="O640" s="395"/>
      <c r="P640" s="395"/>
      <c r="Q640" s="395"/>
      <c r="R640" s="395"/>
      <c r="S640" s="395"/>
      <c r="T640" s="395"/>
      <c r="U640" s="395"/>
    </row>
    <row r="641" ht="15.75" customHeight="1">
      <c r="A641" s="395"/>
      <c r="B641" s="395"/>
      <c r="C641" s="395"/>
      <c r="D641" s="395"/>
      <c r="E641" s="395"/>
      <c r="F641" s="395"/>
      <c r="G641" s="395"/>
      <c r="H641" s="395"/>
      <c r="I641" s="395"/>
      <c r="J641" s="395"/>
      <c r="K641" s="395"/>
      <c r="L641" s="395"/>
      <c r="M641" s="395"/>
      <c r="N641" s="395"/>
      <c r="O641" s="395"/>
      <c r="P641" s="395"/>
      <c r="Q641" s="395"/>
      <c r="R641" s="395"/>
      <c r="S641" s="395"/>
      <c r="T641" s="395"/>
      <c r="U641" s="395"/>
    </row>
    <row r="642" ht="15.75" customHeight="1">
      <c r="A642" s="395"/>
      <c r="B642" s="395"/>
      <c r="C642" s="395"/>
      <c r="D642" s="395"/>
      <c r="E642" s="395"/>
      <c r="F642" s="395"/>
      <c r="G642" s="395"/>
      <c r="H642" s="395"/>
      <c r="I642" s="395"/>
      <c r="J642" s="395"/>
      <c r="K642" s="395"/>
      <c r="L642" s="395"/>
      <c r="M642" s="395"/>
      <c r="N642" s="395"/>
      <c r="O642" s="395"/>
      <c r="P642" s="395"/>
      <c r="Q642" s="395"/>
      <c r="R642" s="395"/>
      <c r="S642" s="395"/>
      <c r="T642" s="395"/>
      <c r="U642" s="395"/>
    </row>
    <row r="643" ht="15.75" customHeight="1">
      <c r="A643" s="395"/>
      <c r="B643" s="395"/>
      <c r="C643" s="395"/>
      <c r="D643" s="395"/>
      <c r="E643" s="395"/>
      <c r="F643" s="395"/>
      <c r="G643" s="395"/>
      <c r="H643" s="395"/>
      <c r="I643" s="395"/>
      <c r="J643" s="395"/>
      <c r="K643" s="395"/>
      <c r="L643" s="395"/>
      <c r="M643" s="395"/>
      <c r="N643" s="395"/>
      <c r="O643" s="395"/>
      <c r="P643" s="395"/>
      <c r="Q643" s="395"/>
      <c r="R643" s="395"/>
      <c r="S643" s="395"/>
      <c r="T643" s="395"/>
      <c r="U643" s="395"/>
    </row>
    <row r="644" ht="15.75" customHeight="1">
      <c r="A644" s="395"/>
      <c r="B644" s="395"/>
      <c r="C644" s="395"/>
      <c r="D644" s="395"/>
      <c r="E644" s="395"/>
      <c r="F644" s="395"/>
      <c r="G644" s="395"/>
      <c r="H644" s="395"/>
      <c r="I644" s="395"/>
      <c r="J644" s="395"/>
      <c r="K644" s="395"/>
      <c r="L644" s="395"/>
      <c r="M644" s="395"/>
      <c r="N644" s="395"/>
      <c r="O644" s="395"/>
      <c r="P644" s="395"/>
      <c r="Q644" s="395"/>
      <c r="R644" s="395"/>
      <c r="S644" s="395"/>
      <c r="T644" s="395"/>
      <c r="U644" s="395"/>
    </row>
    <row r="645" ht="15.75" customHeight="1">
      <c r="A645" s="395"/>
      <c r="B645" s="395"/>
      <c r="C645" s="395"/>
      <c r="D645" s="395"/>
      <c r="E645" s="395"/>
      <c r="F645" s="395"/>
      <c r="G645" s="395"/>
      <c r="H645" s="395"/>
      <c r="I645" s="395"/>
      <c r="J645" s="395"/>
      <c r="K645" s="395"/>
      <c r="L645" s="395"/>
      <c r="M645" s="395"/>
      <c r="N645" s="395"/>
      <c r="O645" s="395"/>
      <c r="P645" s="395"/>
      <c r="Q645" s="395"/>
      <c r="R645" s="395"/>
      <c r="S645" s="395"/>
      <c r="T645" s="395"/>
      <c r="U645" s="395"/>
    </row>
    <row r="646" ht="15.75" customHeight="1">
      <c r="A646" s="395"/>
      <c r="B646" s="395"/>
      <c r="C646" s="395"/>
      <c r="D646" s="395"/>
      <c r="E646" s="395"/>
      <c r="F646" s="395"/>
      <c r="G646" s="395"/>
      <c r="H646" s="395"/>
      <c r="I646" s="395"/>
      <c r="J646" s="395"/>
      <c r="K646" s="395"/>
      <c r="L646" s="395"/>
      <c r="M646" s="395"/>
      <c r="N646" s="395"/>
      <c r="O646" s="395"/>
      <c r="P646" s="395"/>
      <c r="Q646" s="395"/>
      <c r="R646" s="395"/>
      <c r="S646" s="395"/>
      <c r="T646" s="395"/>
      <c r="U646" s="395"/>
    </row>
    <row r="647" ht="15.75" customHeight="1">
      <c r="A647" s="395"/>
      <c r="B647" s="395"/>
      <c r="C647" s="395"/>
      <c r="D647" s="395"/>
      <c r="E647" s="395"/>
      <c r="F647" s="395"/>
      <c r="G647" s="395"/>
      <c r="H647" s="395"/>
      <c r="I647" s="395"/>
      <c r="J647" s="395"/>
      <c r="K647" s="395"/>
      <c r="L647" s="395"/>
      <c r="M647" s="395"/>
      <c r="N647" s="395"/>
      <c r="O647" s="395"/>
      <c r="P647" s="395"/>
      <c r="Q647" s="395"/>
      <c r="R647" s="395"/>
      <c r="S647" s="395"/>
      <c r="T647" s="395"/>
      <c r="U647" s="395"/>
    </row>
    <row r="648" ht="15.75" customHeight="1">
      <c r="A648" s="395"/>
      <c r="B648" s="395"/>
      <c r="C648" s="395"/>
      <c r="D648" s="395"/>
      <c r="E648" s="395"/>
      <c r="F648" s="395"/>
      <c r="G648" s="395"/>
      <c r="H648" s="395"/>
      <c r="I648" s="395"/>
      <c r="J648" s="395"/>
      <c r="K648" s="395"/>
      <c r="L648" s="395"/>
      <c r="M648" s="395"/>
      <c r="N648" s="395"/>
      <c r="O648" s="395"/>
      <c r="P648" s="395"/>
      <c r="Q648" s="395"/>
      <c r="R648" s="395"/>
      <c r="S648" s="395"/>
      <c r="T648" s="395"/>
      <c r="U648" s="395"/>
    </row>
    <row r="649" ht="15.75" customHeight="1">
      <c r="A649" s="395"/>
      <c r="B649" s="395"/>
      <c r="C649" s="395"/>
      <c r="D649" s="395"/>
      <c r="E649" s="395"/>
      <c r="F649" s="395"/>
      <c r="G649" s="395"/>
      <c r="H649" s="395"/>
      <c r="I649" s="395"/>
      <c r="J649" s="395"/>
      <c r="K649" s="395"/>
      <c r="L649" s="395"/>
      <c r="M649" s="395"/>
      <c r="N649" s="395"/>
      <c r="O649" s="395"/>
      <c r="P649" s="395"/>
      <c r="Q649" s="395"/>
      <c r="R649" s="395"/>
      <c r="S649" s="395"/>
      <c r="T649" s="395"/>
      <c r="U649" s="395"/>
    </row>
    <row r="650" ht="15.75" customHeight="1">
      <c r="A650" s="395"/>
      <c r="B650" s="395"/>
      <c r="C650" s="395"/>
      <c r="D650" s="395"/>
      <c r="E650" s="395"/>
      <c r="F650" s="395"/>
      <c r="G650" s="395"/>
      <c r="H650" s="395"/>
      <c r="I650" s="395"/>
      <c r="J650" s="395"/>
      <c r="K650" s="395"/>
      <c r="L650" s="395"/>
      <c r="M650" s="395"/>
      <c r="N650" s="395"/>
      <c r="O650" s="395"/>
      <c r="P650" s="395"/>
      <c r="Q650" s="395"/>
      <c r="R650" s="395"/>
      <c r="S650" s="395"/>
      <c r="T650" s="395"/>
      <c r="U650" s="395"/>
    </row>
    <row r="651" ht="15.75" customHeight="1">
      <c r="A651" s="395"/>
      <c r="B651" s="395"/>
      <c r="C651" s="395"/>
      <c r="D651" s="395"/>
      <c r="E651" s="395"/>
      <c r="F651" s="395"/>
      <c r="G651" s="395"/>
      <c r="H651" s="395"/>
      <c r="I651" s="395"/>
      <c r="J651" s="395"/>
      <c r="K651" s="395"/>
      <c r="L651" s="395"/>
      <c r="M651" s="395"/>
      <c r="N651" s="395"/>
      <c r="O651" s="395"/>
      <c r="P651" s="395"/>
      <c r="Q651" s="395"/>
      <c r="R651" s="395"/>
      <c r="S651" s="395"/>
      <c r="T651" s="395"/>
      <c r="U651" s="395"/>
    </row>
    <row r="652" ht="15.75" customHeight="1">
      <c r="A652" s="395"/>
      <c r="B652" s="395"/>
      <c r="C652" s="395"/>
      <c r="D652" s="395"/>
      <c r="E652" s="395"/>
      <c r="F652" s="395"/>
      <c r="G652" s="395"/>
      <c r="H652" s="395"/>
      <c r="I652" s="395"/>
      <c r="J652" s="395"/>
      <c r="K652" s="395"/>
      <c r="L652" s="395"/>
      <c r="M652" s="395"/>
      <c r="N652" s="395"/>
      <c r="O652" s="395"/>
      <c r="P652" s="395"/>
      <c r="Q652" s="395"/>
      <c r="R652" s="395"/>
      <c r="S652" s="395"/>
      <c r="T652" s="395"/>
      <c r="U652" s="395"/>
    </row>
    <row r="653" ht="15.75" customHeight="1">
      <c r="A653" s="395"/>
      <c r="B653" s="395"/>
      <c r="C653" s="395"/>
      <c r="D653" s="395"/>
      <c r="E653" s="395"/>
      <c r="F653" s="395"/>
      <c r="G653" s="395"/>
      <c r="H653" s="395"/>
      <c r="I653" s="395"/>
      <c r="J653" s="395"/>
      <c r="K653" s="395"/>
      <c r="L653" s="395"/>
      <c r="M653" s="395"/>
      <c r="N653" s="395"/>
      <c r="O653" s="395"/>
      <c r="P653" s="395"/>
      <c r="Q653" s="395"/>
      <c r="R653" s="395"/>
      <c r="S653" s="395"/>
      <c r="T653" s="395"/>
      <c r="U653" s="395"/>
    </row>
    <row r="654" ht="15.75" customHeight="1">
      <c r="A654" s="395"/>
      <c r="B654" s="395"/>
      <c r="C654" s="395"/>
      <c r="D654" s="395"/>
      <c r="E654" s="395"/>
      <c r="F654" s="395"/>
      <c r="G654" s="395"/>
      <c r="H654" s="395"/>
      <c r="I654" s="395"/>
      <c r="J654" s="395"/>
      <c r="K654" s="395"/>
      <c r="L654" s="395"/>
      <c r="M654" s="395"/>
      <c r="N654" s="395"/>
      <c r="O654" s="395"/>
      <c r="P654" s="395"/>
      <c r="Q654" s="395"/>
      <c r="R654" s="395"/>
      <c r="S654" s="395"/>
      <c r="T654" s="395"/>
      <c r="U654" s="395"/>
    </row>
    <row r="655" ht="15.75" customHeight="1">
      <c r="A655" s="395"/>
      <c r="B655" s="395"/>
      <c r="C655" s="395"/>
      <c r="D655" s="395"/>
      <c r="E655" s="395"/>
      <c r="F655" s="395"/>
      <c r="G655" s="395"/>
      <c r="H655" s="395"/>
      <c r="I655" s="395"/>
      <c r="J655" s="395"/>
      <c r="K655" s="395"/>
      <c r="L655" s="395"/>
      <c r="M655" s="395"/>
      <c r="N655" s="395"/>
      <c r="O655" s="395"/>
      <c r="P655" s="395"/>
      <c r="Q655" s="395"/>
      <c r="R655" s="395"/>
      <c r="S655" s="395"/>
      <c r="T655" s="395"/>
      <c r="U655" s="395"/>
    </row>
    <row r="656" ht="15.75" customHeight="1">
      <c r="A656" s="395"/>
      <c r="B656" s="395"/>
      <c r="C656" s="395"/>
      <c r="D656" s="395"/>
      <c r="E656" s="395"/>
      <c r="F656" s="395"/>
      <c r="G656" s="395"/>
      <c r="H656" s="395"/>
      <c r="I656" s="395"/>
      <c r="J656" s="395"/>
      <c r="K656" s="395"/>
      <c r="L656" s="395"/>
      <c r="M656" s="395"/>
      <c r="N656" s="395"/>
      <c r="O656" s="395"/>
      <c r="P656" s="395"/>
      <c r="Q656" s="395"/>
      <c r="R656" s="395"/>
      <c r="S656" s="395"/>
      <c r="T656" s="395"/>
      <c r="U656" s="395"/>
    </row>
    <row r="657" ht="15.75" customHeight="1">
      <c r="A657" s="395"/>
      <c r="B657" s="395"/>
      <c r="C657" s="395"/>
      <c r="D657" s="395"/>
      <c r="E657" s="395"/>
      <c r="F657" s="395"/>
      <c r="G657" s="395"/>
      <c r="H657" s="395"/>
      <c r="I657" s="395"/>
      <c r="J657" s="395"/>
      <c r="K657" s="395"/>
      <c r="L657" s="395"/>
      <c r="M657" s="395"/>
      <c r="N657" s="395"/>
      <c r="O657" s="395"/>
      <c r="P657" s="395"/>
      <c r="Q657" s="395"/>
      <c r="R657" s="395"/>
      <c r="S657" s="395"/>
      <c r="T657" s="395"/>
      <c r="U657" s="395"/>
    </row>
    <row r="658" ht="15.75" customHeight="1">
      <c r="A658" s="395"/>
      <c r="B658" s="395"/>
      <c r="C658" s="395"/>
      <c r="D658" s="395"/>
      <c r="E658" s="395"/>
      <c r="F658" s="395"/>
      <c r="G658" s="395"/>
      <c r="H658" s="395"/>
      <c r="I658" s="395"/>
      <c r="J658" s="395"/>
      <c r="K658" s="395"/>
      <c r="L658" s="395"/>
      <c r="M658" s="395"/>
      <c r="N658" s="395"/>
      <c r="O658" s="395"/>
      <c r="P658" s="395"/>
      <c r="Q658" s="395"/>
      <c r="R658" s="395"/>
      <c r="S658" s="395"/>
      <c r="T658" s="395"/>
      <c r="U658" s="395"/>
    </row>
    <row r="659" ht="15.75" customHeight="1">
      <c r="A659" s="395"/>
      <c r="B659" s="395"/>
      <c r="C659" s="395"/>
      <c r="D659" s="395"/>
      <c r="E659" s="395"/>
      <c r="F659" s="395"/>
      <c r="G659" s="395"/>
      <c r="H659" s="395"/>
      <c r="I659" s="395"/>
      <c r="J659" s="395"/>
      <c r="K659" s="395"/>
      <c r="L659" s="395"/>
      <c r="M659" s="395"/>
      <c r="N659" s="395"/>
      <c r="O659" s="395"/>
      <c r="P659" s="395"/>
      <c r="Q659" s="395"/>
      <c r="R659" s="395"/>
      <c r="S659" s="395"/>
      <c r="T659" s="395"/>
      <c r="U659" s="395"/>
    </row>
    <row r="660" ht="15.75" customHeight="1">
      <c r="A660" s="395"/>
      <c r="B660" s="395"/>
      <c r="C660" s="395"/>
      <c r="D660" s="395"/>
      <c r="E660" s="395"/>
      <c r="F660" s="395"/>
      <c r="G660" s="395"/>
      <c r="H660" s="395"/>
      <c r="I660" s="395"/>
      <c r="J660" s="395"/>
      <c r="K660" s="395"/>
      <c r="L660" s="395"/>
      <c r="M660" s="395"/>
      <c r="N660" s="395"/>
      <c r="O660" s="395"/>
      <c r="P660" s="395"/>
      <c r="Q660" s="395"/>
      <c r="R660" s="395"/>
      <c r="S660" s="395"/>
      <c r="T660" s="395"/>
      <c r="U660" s="395"/>
    </row>
    <row r="661" ht="15.75" customHeight="1">
      <c r="A661" s="395"/>
      <c r="B661" s="395"/>
      <c r="C661" s="395"/>
      <c r="D661" s="395"/>
      <c r="E661" s="395"/>
      <c r="F661" s="395"/>
      <c r="G661" s="395"/>
      <c r="H661" s="395"/>
      <c r="I661" s="395"/>
      <c r="J661" s="395"/>
      <c r="K661" s="395"/>
      <c r="L661" s="395"/>
      <c r="M661" s="395"/>
      <c r="N661" s="395"/>
      <c r="O661" s="395"/>
      <c r="P661" s="395"/>
      <c r="Q661" s="395"/>
      <c r="R661" s="395"/>
      <c r="S661" s="395"/>
      <c r="T661" s="395"/>
      <c r="U661" s="395"/>
    </row>
    <row r="662" ht="15.75" customHeight="1">
      <c r="A662" s="395"/>
      <c r="B662" s="395"/>
      <c r="C662" s="395"/>
      <c r="D662" s="395"/>
      <c r="E662" s="395"/>
      <c r="F662" s="395"/>
      <c r="G662" s="395"/>
      <c r="H662" s="395"/>
      <c r="I662" s="395"/>
      <c r="J662" s="395"/>
      <c r="K662" s="395"/>
      <c r="L662" s="395"/>
      <c r="M662" s="395"/>
      <c r="N662" s="395"/>
      <c r="O662" s="395"/>
      <c r="P662" s="395"/>
      <c r="Q662" s="395"/>
      <c r="R662" s="395"/>
      <c r="S662" s="395"/>
      <c r="T662" s="395"/>
      <c r="U662" s="395"/>
    </row>
    <row r="663" ht="15.75" customHeight="1">
      <c r="A663" s="395"/>
      <c r="B663" s="395"/>
      <c r="C663" s="395"/>
      <c r="D663" s="395"/>
      <c r="E663" s="395"/>
      <c r="F663" s="395"/>
      <c r="G663" s="395"/>
      <c r="H663" s="395"/>
      <c r="I663" s="395"/>
      <c r="J663" s="395"/>
      <c r="K663" s="395"/>
      <c r="L663" s="395"/>
      <c r="M663" s="395"/>
      <c r="N663" s="395"/>
      <c r="O663" s="395"/>
      <c r="P663" s="395"/>
      <c r="Q663" s="395"/>
      <c r="R663" s="395"/>
      <c r="S663" s="395"/>
      <c r="T663" s="395"/>
      <c r="U663" s="395"/>
    </row>
    <row r="664" ht="15.75" customHeight="1">
      <c r="A664" s="395"/>
      <c r="B664" s="395"/>
      <c r="C664" s="395"/>
      <c r="D664" s="395"/>
      <c r="E664" s="395"/>
      <c r="F664" s="395"/>
      <c r="G664" s="395"/>
      <c r="H664" s="395"/>
      <c r="I664" s="395"/>
      <c r="J664" s="395"/>
      <c r="K664" s="395"/>
      <c r="L664" s="395"/>
      <c r="M664" s="395"/>
      <c r="N664" s="395"/>
      <c r="O664" s="395"/>
      <c r="P664" s="395"/>
      <c r="Q664" s="395"/>
      <c r="R664" s="395"/>
      <c r="S664" s="395"/>
      <c r="T664" s="395"/>
      <c r="U664" s="395"/>
    </row>
    <row r="665" ht="15.75" customHeight="1">
      <c r="A665" s="395"/>
      <c r="B665" s="395"/>
      <c r="C665" s="395"/>
      <c r="D665" s="395"/>
      <c r="E665" s="395"/>
      <c r="F665" s="395"/>
      <c r="G665" s="395"/>
      <c r="H665" s="395"/>
      <c r="I665" s="395"/>
      <c r="J665" s="395"/>
      <c r="K665" s="395"/>
      <c r="L665" s="395"/>
      <c r="M665" s="395"/>
      <c r="N665" s="395"/>
      <c r="O665" s="395"/>
      <c r="P665" s="395"/>
      <c r="Q665" s="395"/>
      <c r="R665" s="395"/>
      <c r="S665" s="395"/>
      <c r="T665" s="395"/>
      <c r="U665" s="395"/>
    </row>
    <row r="666" ht="15.75" customHeight="1">
      <c r="A666" s="395"/>
      <c r="B666" s="395"/>
      <c r="C666" s="395"/>
      <c r="D666" s="395"/>
      <c r="E666" s="395"/>
      <c r="F666" s="395"/>
      <c r="G666" s="395"/>
      <c r="H666" s="395"/>
      <c r="I666" s="395"/>
      <c r="J666" s="395"/>
      <c r="K666" s="395"/>
      <c r="L666" s="395"/>
      <c r="M666" s="395"/>
      <c r="N666" s="395"/>
      <c r="O666" s="395"/>
      <c r="P666" s="395"/>
      <c r="Q666" s="395"/>
      <c r="R666" s="395"/>
      <c r="S666" s="395"/>
      <c r="T666" s="395"/>
      <c r="U666" s="395"/>
    </row>
    <row r="667" ht="15.75" customHeight="1">
      <c r="A667" s="395"/>
      <c r="B667" s="395"/>
      <c r="C667" s="395"/>
      <c r="D667" s="395"/>
      <c r="E667" s="395"/>
      <c r="F667" s="395"/>
      <c r="G667" s="395"/>
      <c r="H667" s="395"/>
      <c r="I667" s="395"/>
      <c r="J667" s="395"/>
      <c r="K667" s="395"/>
      <c r="L667" s="395"/>
      <c r="M667" s="395"/>
      <c r="N667" s="395"/>
      <c r="O667" s="395"/>
      <c r="P667" s="395"/>
      <c r="Q667" s="395"/>
      <c r="R667" s="395"/>
      <c r="S667" s="395"/>
      <c r="T667" s="395"/>
      <c r="U667" s="395"/>
    </row>
    <row r="668" ht="15.75" customHeight="1">
      <c r="A668" s="395"/>
      <c r="B668" s="395"/>
      <c r="C668" s="395"/>
      <c r="D668" s="395"/>
      <c r="E668" s="395"/>
      <c r="F668" s="395"/>
      <c r="G668" s="395"/>
      <c r="H668" s="395"/>
      <c r="I668" s="395"/>
      <c r="J668" s="395"/>
      <c r="K668" s="395"/>
      <c r="L668" s="395"/>
      <c r="M668" s="395"/>
      <c r="N668" s="395"/>
      <c r="O668" s="395"/>
      <c r="P668" s="395"/>
      <c r="Q668" s="395"/>
      <c r="R668" s="395"/>
      <c r="S668" s="395"/>
      <c r="T668" s="395"/>
      <c r="U668" s="395"/>
    </row>
    <row r="669" ht="15.75" customHeight="1">
      <c r="A669" s="395"/>
      <c r="B669" s="395"/>
      <c r="C669" s="395"/>
      <c r="D669" s="395"/>
      <c r="E669" s="395"/>
      <c r="F669" s="395"/>
      <c r="G669" s="395"/>
      <c r="H669" s="395"/>
      <c r="I669" s="395"/>
      <c r="J669" s="395"/>
      <c r="K669" s="395"/>
      <c r="L669" s="395"/>
      <c r="M669" s="395"/>
      <c r="N669" s="395"/>
      <c r="O669" s="395"/>
      <c r="P669" s="395"/>
      <c r="Q669" s="395"/>
      <c r="R669" s="395"/>
      <c r="S669" s="395"/>
      <c r="T669" s="395"/>
      <c r="U669" s="395"/>
    </row>
    <row r="670" ht="15.75" customHeight="1">
      <c r="A670" s="395"/>
      <c r="B670" s="395"/>
      <c r="C670" s="395"/>
      <c r="D670" s="395"/>
      <c r="E670" s="395"/>
      <c r="F670" s="395"/>
      <c r="G670" s="395"/>
      <c r="H670" s="395"/>
      <c r="I670" s="395"/>
      <c r="J670" s="395"/>
      <c r="K670" s="395"/>
      <c r="L670" s="395"/>
      <c r="M670" s="395"/>
      <c r="N670" s="395"/>
      <c r="O670" s="395"/>
      <c r="P670" s="395"/>
      <c r="Q670" s="395"/>
      <c r="R670" s="395"/>
      <c r="S670" s="395"/>
      <c r="T670" s="395"/>
      <c r="U670" s="395"/>
    </row>
    <row r="671" ht="15.75" customHeight="1">
      <c r="A671" s="395"/>
      <c r="B671" s="395"/>
      <c r="C671" s="395"/>
      <c r="D671" s="395"/>
      <c r="E671" s="395"/>
      <c r="F671" s="395"/>
      <c r="G671" s="395"/>
      <c r="H671" s="395"/>
      <c r="I671" s="395"/>
      <c r="J671" s="395"/>
      <c r="K671" s="395"/>
      <c r="L671" s="395"/>
      <c r="M671" s="395"/>
      <c r="N671" s="395"/>
      <c r="O671" s="395"/>
      <c r="P671" s="395"/>
      <c r="Q671" s="395"/>
      <c r="R671" s="395"/>
      <c r="S671" s="395"/>
      <c r="T671" s="395"/>
      <c r="U671" s="395"/>
    </row>
    <row r="672" ht="15.75" customHeight="1">
      <c r="A672" s="395"/>
      <c r="B672" s="395"/>
      <c r="C672" s="395"/>
      <c r="D672" s="395"/>
      <c r="E672" s="395"/>
      <c r="F672" s="395"/>
      <c r="G672" s="395"/>
      <c r="H672" s="395"/>
      <c r="I672" s="395"/>
      <c r="J672" s="395"/>
      <c r="K672" s="395"/>
      <c r="L672" s="395"/>
      <c r="M672" s="395"/>
      <c r="N672" s="395"/>
      <c r="O672" s="395"/>
      <c r="P672" s="395"/>
      <c r="Q672" s="395"/>
      <c r="R672" s="395"/>
      <c r="S672" s="395"/>
      <c r="T672" s="395"/>
      <c r="U672" s="395"/>
    </row>
    <row r="673" ht="15.75" customHeight="1">
      <c r="A673" s="395"/>
      <c r="B673" s="395"/>
      <c r="C673" s="395"/>
      <c r="D673" s="395"/>
      <c r="E673" s="395"/>
      <c r="F673" s="395"/>
      <c r="G673" s="395"/>
      <c r="H673" s="395"/>
      <c r="I673" s="395"/>
      <c r="J673" s="395"/>
      <c r="K673" s="395"/>
      <c r="L673" s="395"/>
      <c r="M673" s="395"/>
      <c r="N673" s="395"/>
      <c r="O673" s="395"/>
      <c r="P673" s="395"/>
      <c r="Q673" s="395"/>
      <c r="R673" s="395"/>
      <c r="S673" s="395"/>
      <c r="T673" s="395"/>
      <c r="U673" s="395"/>
    </row>
    <row r="674" ht="15.75" customHeight="1">
      <c r="A674" s="395"/>
      <c r="B674" s="395"/>
      <c r="C674" s="395"/>
      <c r="D674" s="395"/>
      <c r="E674" s="395"/>
      <c r="F674" s="395"/>
      <c r="G674" s="395"/>
      <c r="H674" s="395"/>
      <c r="I674" s="395"/>
      <c r="J674" s="395"/>
      <c r="K674" s="395"/>
      <c r="L674" s="395"/>
      <c r="M674" s="395"/>
      <c r="N674" s="395"/>
      <c r="O674" s="395"/>
      <c r="P674" s="395"/>
      <c r="Q674" s="395"/>
      <c r="R674" s="395"/>
      <c r="S674" s="395"/>
      <c r="T674" s="395"/>
      <c r="U674" s="395"/>
    </row>
    <row r="675" ht="15.75" customHeight="1">
      <c r="A675" s="395"/>
      <c r="B675" s="395"/>
      <c r="C675" s="395"/>
      <c r="D675" s="395"/>
      <c r="E675" s="395"/>
      <c r="F675" s="395"/>
      <c r="G675" s="395"/>
      <c r="H675" s="395"/>
      <c r="I675" s="395"/>
      <c r="J675" s="395"/>
      <c r="K675" s="395"/>
      <c r="L675" s="395"/>
      <c r="M675" s="395"/>
      <c r="N675" s="395"/>
      <c r="O675" s="395"/>
      <c r="P675" s="395"/>
      <c r="Q675" s="395"/>
      <c r="R675" s="395"/>
      <c r="S675" s="395"/>
      <c r="T675" s="395"/>
      <c r="U675" s="395"/>
    </row>
    <row r="676" ht="15.75" customHeight="1">
      <c r="A676" s="395"/>
      <c r="B676" s="395"/>
      <c r="C676" s="395"/>
      <c r="D676" s="395"/>
      <c r="E676" s="395"/>
      <c r="F676" s="395"/>
      <c r="G676" s="395"/>
      <c r="H676" s="395"/>
      <c r="I676" s="395"/>
      <c r="J676" s="395"/>
      <c r="K676" s="395"/>
      <c r="L676" s="395"/>
      <c r="M676" s="395"/>
      <c r="N676" s="395"/>
      <c r="O676" s="395"/>
      <c r="P676" s="395"/>
      <c r="Q676" s="395"/>
      <c r="R676" s="395"/>
      <c r="S676" s="395"/>
      <c r="T676" s="395"/>
      <c r="U676" s="395"/>
    </row>
    <row r="677" ht="15.75" customHeight="1">
      <c r="A677" s="395"/>
      <c r="B677" s="395"/>
      <c r="C677" s="395"/>
      <c r="D677" s="395"/>
      <c r="E677" s="395"/>
      <c r="F677" s="395"/>
      <c r="G677" s="395"/>
      <c r="H677" s="395"/>
      <c r="I677" s="395"/>
      <c r="J677" s="395"/>
      <c r="K677" s="395"/>
      <c r="L677" s="395"/>
      <c r="M677" s="395"/>
      <c r="N677" s="395"/>
      <c r="O677" s="395"/>
      <c r="P677" s="395"/>
      <c r="Q677" s="395"/>
      <c r="R677" s="395"/>
      <c r="S677" s="395"/>
      <c r="T677" s="395"/>
      <c r="U677" s="395"/>
    </row>
    <row r="678" ht="15.75" customHeight="1">
      <c r="A678" s="395"/>
      <c r="B678" s="395"/>
      <c r="C678" s="395"/>
      <c r="D678" s="395"/>
      <c r="E678" s="395"/>
      <c r="F678" s="395"/>
      <c r="G678" s="395"/>
      <c r="H678" s="395"/>
      <c r="I678" s="395"/>
      <c r="J678" s="395"/>
      <c r="K678" s="395"/>
      <c r="L678" s="395"/>
      <c r="M678" s="395"/>
      <c r="N678" s="395"/>
      <c r="O678" s="395"/>
      <c r="P678" s="395"/>
      <c r="Q678" s="395"/>
      <c r="R678" s="395"/>
      <c r="S678" s="395"/>
      <c r="T678" s="395"/>
      <c r="U678" s="395"/>
    </row>
    <row r="679" ht="15.75" customHeight="1">
      <c r="A679" s="395"/>
      <c r="B679" s="395"/>
      <c r="C679" s="395"/>
      <c r="D679" s="395"/>
      <c r="E679" s="395"/>
      <c r="F679" s="395"/>
      <c r="G679" s="395"/>
      <c r="H679" s="395"/>
      <c r="I679" s="395"/>
      <c r="J679" s="395"/>
      <c r="K679" s="395"/>
      <c r="L679" s="395"/>
      <c r="M679" s="395"/>
      <c r="N679" s="395"/>
      <c r="O679" s="395"/>
      <c r="P679" s="395"/>
      <c r="Q679" s="395"/>
      <c r="R679" s="395"/>
      <c r="S679" s="395"/>
      <c r="T679" s="395"/>
      <c r="U679" s="395"/>
    </row>
    <row r="680" ht="15.75" customHeight="1">
      <c r="A680" s="395"/>
      <c r="B680" s="395"/>
      <c r="C680" s="395"/>
      <c r="D680" s="395"/>
      <c r="E680" s="395"/>
      <c r="F680" s="395"/>
      <c r="G680" s="395"/>
      <c r="H680" s="395"/>
      <c r="I680" s="395"/>
      <c r="J680" s="395"/>
      <c r="K680" s="395"/>
      <c r="L680" s="395"/>
      <c r="M680" s="395"/>
      <c r="N680" s="395"/>
      <c r="O680" s="395"/>
      <c r="P680" s="395"/>
      <c r="Q680" s="395"/>
      <c r="R680" s="395"/>
      <c r="S680" s="395"/>
      <c r="T680" s="395"/>
      <c r="U680" s="395"/>
    </row>
    <row r="681" ht="15.75" customHeight="1">
      <c r="A681" s="395"/>
      <c r="B681" s="395"/>
      <c r="C681" s="395"/>
      <c r="D681" s="395"/>
      <c r="E681" s="395"/>
      <c r="F681" s="395"/>
      <c r="G681" s="395"/>
      <c r="H681" s="395"/>
      <c r="I681" s="395"/>
      <c r="J681" s="395"/>
      <c r="K681" s="395"/>
      <c r="L681" s="395"/>
      <c r="M681" s="395"/>
      <c r="N681" s="395"/>
      <c r="O681" s="395"/>
      <c r="P681" s="395"/>
      <c r="Q681" s="395"/>
      <c r="R681" s="395"/>
      <c r="S681" s="395"/>
      <c r="T681" s="395"/>
      <c r="U681" s="395"/>
    </row>
    <row r="682" ht="15.75" customHeight="1">
      <c r="A682" s="395"/>
      <c r="B682" s="395"/>
      <c r="C682" s="395"/>
      <c r="D682" s="395"/>
      <c r="E682" s="395"/>
      <c r="F682" s="395"/>
      <c r="G682" s="395"/>
      <c r="H682" s="395"/>
      <c r="I682" s="395"/>
      <c r="J682" s="395"/>
      <c r="K682" s="395"/>
      <c r="L682" s="395"/>
      <c r="M682" s="395"/>
      <c r="N682" s="395"/>
      <c r="O682" s="395"/>
      <c r="P682" s="395"/>
      <c r="Q682" s="395"/>
      <c r="R682" s="395"/>
      <c r="S682" s="395"/>
      <c r="T682" s="395"/>
      <c r="U682" s="395"/>
    </row>
    <row r="683" ht="15.75" customHeight="1">
      <c r="A683" s="395"/>
      <c r="B683" s="395"/>
      <c r="C683" s="395"/>
      <c r="D683" s="395"/>
      <c r="E683" s="395"/>
      <c r="F683" s="395"/>
      <c r="G683" s="395"/>
      <c r="H683" s="395"/>
      <c r="I683" s="395"/>
      <c r="J683" s="395"/>
      <c r="K683" s="395"/>
      <c r="L683" s="395"/>
      <c r="M683" s="395"/>
      <c r="N683" s="395"/>
      <c r="O683" s="395"/>
      <c r="P683" s="395"/>
      <c r="Q683" s="395"/>
      <c r="R683" s="395"/>
      <c r="S683" s="395"/>
      <c r="T683" s="395"/>
      <c r="U683" s="395"/>
    </row>
    <row r="684" ht="15.75" customHeight="1">
      <c r="A684" s="395"/>
      <c r="B684" s="395"/>
      <c r="C684" s="395"/>
      <c r="D684" s="395"/>
      <c r="E684" s="395"/>
      <c r="F684" s="395"/>
      <c r="G684" s="395"/>
      <c r="H684" s="395"/>
      <c r="I684" s="395"/>
      <c r="J684" s="395"/>
      <c r="K684" s="395"/>
      <c r="L684" s="395"/>
      <c r="M684" s="395"/>
      <c r="N684" s="395"/>
      <c r="O684" s="395"/>
      <c r="P684" s="395"/>
      <c r="Q684" s="395"/>
      <c r="R684" s="395"/>
      <c r="S684" s="395"/>
      <c r="T684" s="395"/>
      <c r="U684" s="395"/>
    </row>
    <row r="685" ht="15.75" customHeight="1">
      <c r="A685" s="395"/>
      <c r="B685" s="395"/>
      <c r="C685" s="395"/>
      <c r="D685" s="395"/>
      <c r="E685" s="395"/>
      <c r="F685" s="395"/>
      <c r="G685" s="395"/>
      <c r="H685" s="395"/>
      <c r="I685" s="395"/>
      <c r="J685" s="395"/>
      <c r="K685" s="395"/>
      <c r="L685" s="395"/>
      <c r="M685" s="395"/>
      <c r="N685" s="395"/>
      <c r="O685" s="395"/>
      <c r="P685" s="395"/>
      <c r="Q685" s="395"/>
      <c r="R685" s="395"/>
      <c r="S685" s="395"/>
      <c r="T685" s="395"/>
      <c r="U685" s="395"/>
    </row>
    <row r="686" ht="15.75" customHeight="1">
      <c r="A686" s="395"/>
      <c r="B686" s="395"/>
      <c r="C686" s="395"/>
      <c r="D686" s="395"/>
      <c r="E686" s="395"/>
      <c r="F686" s="395"/>
      <c r="G686" s="395"/>
      <c r="H686" s="395"/>
      <c r="I686" s="395"/>
      <c r="J686" s="395"/>
      <c r="K686" s="395"/>
      <c r="L686" s="395"/>
      <c r="M686" s="395"/>
      <c r="N686" s="395"/>
      <c r="O686" s="395"/>
      <c r="P686" s="395"/>
      <c r="Q686" s="395"/>
      <c r="R686" s="395"/>
      <c r="S686" s="395"/>
      <c r="T686" s="395"/>
      <c r="U686" s="395"/>
    </row>
    <row r="687" ht="15.75" customHeight="1">
      <c r="A687" s="395"/>
      <c r="B687" s="395"/>
      <c r="C687" s="395"/>
      <c r="D687" s="395"/>
      <c r="E687" s="395"/>
      <c r="F687" s="395"/>
      <c r="G687" s="395"/>
      <c r="H687" s="395"/>
      <c r="I687" s="395"/>
      <c r="J687" s="395"/>
      <c r="K687" s="395"/>
      <c r="L687" s="395"/>
      <c r="M687" s="395"/>
      <c r="N687" s="395"/>
      <c r="O687" s="395"/>
      <c r="P687" s="395"/>
      <c r="Q687" s="395"/>
      <c r="R687" s="395"/>
      <c r="S687" s="395"/>
      <c r="T687" s="395"/>
      <c r="U687" s="395"/>
    </row>
    <row r="688" ht="15.75" customHeight="1">
      <c r="A688" s="395"/>
      <c r="B688" s="395"/>
      <c r="C688" s="395"/>
      <c r="D688" s="395"/>
      <c r="E688" s="395"/>
      <c r="F688" s="395"/>
      <c r="G688" s="395"/>
      <c r="H688" s="395"/>
      <c r="I688" s="395"/>
      <c r="J688" s="395"/>
      <c r="K688" s="395"/>
      <c r="L688" s="395"/>
      <c r="M688" s="395"/>
      <c r="N688" s="395"/>
      <c r="O688" s="395"/>
      <c r="P688" s="395"/>
      <c r="Q688" s="395"/>
      <c r="R688" s="395"/>
      <c r="S688" s="395"/>
      <c r="T688" s="395"/>
      <c r="U688" s="395"/>
    </row>
    <row r="689" ht="15.75" customHeight="1">
      <c r="A689" s="395"/>
      <c r="B689" s="395"/>
      <c r="C689" s="395"/>
      <c r="D689" s="395"/>
      <c r="E689" s="395"/>
      <c r="F689" s="395"/>
      <c r="G689" s="395"/>
      <c r="H689" s="395"/>
      <c r="I689" s="395"/>
      <c r="J689" s="395"/>
      <c r="K689" s="395"/>
      <c r="L689" s="395"/>
      <c r="M689" s="395"/>
      <c r="N689" s="395"/>
      <c r="O689" s="395"/>
      <c r="P689" s="395"/>
      <c r="Q689" s="395"/>
      <c r="R689" s="395"/>
      <c r="S689" s="395"/>
      <c r="T689" s="395"/>
      <c r="U689" s="395"/>
    </row>
    <row r="690" ht="15.75" customHeight="1">
      <c r="A690" s="395"/>
      <c r="B690" s="395"/>
      <c r="C690" s="395"/>
      <c r="D690" s="395"/>
      <c r="E690" s="395"/>
      <c r="F690" s="395"/>
      <c r="G690" s="395"/>
      <c r="H690" s="395"/>
      <c r="I690" s="395"/>
      <c r="J690" s="395"/>
      <c r="K690" s="395"/>
      <c r="L690" s="395"/>
      <c r="M690" s="395"/>
      <c r="N690" s="395"/>
      <c r="O690" s="395"/>
      <c r="P690" s="395"/>
      <c r="Q690" s="395"/>
      <c r="R690" s="395"/>
      <c r="S690" s="395"/>
      <c r="T690" s="395"/>
      <c r="U690" s="395"/>
    </row>
    <row r="691" ht="15.75" customHeight="1">
      <c r="A691" s="395"/>
      <c r="B691" s="395"/>
      <c r="C691" s="395"/>
      <c r="D691" s="395"/>
      <c r="E691" s="395"/>
      <c r="F691" s="395"/>
      <c r="G691" s="395"/>
      <c r="H691" s="395"/>
      <c r="I691" s="395"/>
      <c r="J691" s="395"/>
      <c r="K691" s="395"/>
      <c r="L691" s="395"/>
      <c r="M691" s="395"/>
      <c r="N691" s="395"/>
      <c r="O691" s="395"/>
      <c r="P691" s="395"/>
      <c r="Q691" s="395"/>
      <c r="R691" s="395"/>
      <c r="S691" s="395"/>
      <c r="T691" s="395"/>
      <c r="U691" s="395"/>
    </row>
    <row r="692" ht="15.75" customHeight="1">
      <c r="A692" s="395"/>
      <c r="B692" s="395"/>
      <c r="C692" s="395"/>
      <c r="D692" s="395"/>
      <c r="E692" s="395"/>
      <c r="F692" s="395"/>
      <c r="G692" s="395"/>
      <c r="H692" s="395"/>
      <c r="I692" s="395"/>
      <c r="J692" s="395"/>
      <c r="K692" s="395"/>
      <c r="L692" s="395"/>
      <c r="M692" s="395"/>
      <c r="N692" s="395"/>
      <c r="O692" s="395"/>
      <c r="P692" s="395"/>
      <c r="Q692" s="395"/>
      <c r="R692" s="395"/>
      <c r="S692" s="395"/>
      <c r="T692" s="395"/>
      <c r="U692" s="395"/>
    </row>
    <row r="693" ht="15.75" customHeight="1">
      <c r="A693" s="395"/>
      <c r="B693" s="395"/>
      <c r="C693" s="395"/>
      <c r="D693" s="395"/>
      <c r="E693" s="395"/>
      <c r="F693" s="395"/>
      <c r="G693" s="395"/>
      <c r="H693" s="395"/>
      <c r="I693" s="395"/>
      <c r="J693" s="395"/>
      <c r="K693" s="395"/>
      <c r="L693" s="395"/>
      <c r="M693" s="395"/>
      <c r="N693" s="395"/>
      <c r="O693" s="395"/>
      <c r="P693" s="395"/>
      <c r="Q693" s="395"/>
      <c r="R693" s="395"/>
      <c r="S693" s="395"/>
      <c r="T693" s="395"/>
      <c r="U693" s="395"/>
    </row>
    <row r="694" ht="15.75" customHeight="1">
      <c r="A694" s="395"/>
      <c r="B694" s="395"/>
      <c r="C694" s="395"/>
      <c r="D694" s="395"/>
      <c r="E694" s="395"/>
      <c r="F694" s="395"/>
      <c r="G694" s="395"/>
      <c r="H694" s="395"/>
      <c r="I694" s="395"/>
      <c r="J694" s="395"/>
      <c r="K694" s="395"/>
      <c r="L694" s="395"/>
      <c r="M694" s="395"/>
      <c r="N694" s="395"/>
      <c r="O694" s="395"/>
      <c r="P694" s="395"/>
      <c r="Q694" s="395"/>
      <c r="R694" s="395"/>
      <c r="S694" s="395"/>
      <c r="T694" s="395"/>
      <c r="U694" s="395"/>
    </row>
    <row r="695" ht="15.75" customHeight="1">
      <c r="A695" s="395"/>
      <c r="B695" s="395"/>
      <c r="C695" s="395"/>
      <c r="D695" s="395"/>
      <c r="E695" s="395"/>
      <c r="F695" s="395"/>
      <c r="G695" s="395"/>
      <c r="H695" s="395"/>
      <c r="I695" s="395"/>
      <c r="J695" s="395"/>
      <c r="K695" s="395"/>
      <c r="L695" s="395"/>
      <c r="M695" s="395"/>
      <c r="N695" s="395"/>
      <c r="O695" s="395"/>
      <c r="P695" s="395"/>
      <c r="Q695" s="395"/>
      <c r="R695" s="395"/>
      <c r="S695" s="395"/>
      <c r="T695" s="395"/>
      <c r="U695" s="395"/>
    </row>
    <row r="696" ht="15.75" customHeight="1">
      <c r="A696" s="395"/>
      <c r="B696" s="395"/>
      <c r="C696" s="395"/>
      <c r="D696" s="395"/>
      <c r="E696" s="395"/>
      <c r="F696" s="395"/>
      <c r="G696" s="395"/>
      <c r="H696" s="395"/>
      <c r="I696" s="395"/>
      <c r="J696" s="395"/>
      <c r="K696" s="395"/>
      <c r="L696" s="395"/>
      <c r="M696" s="395"/>
      <c r="N696" s="395"/>
      <c r="O696" s="395"/>
      <c r="P696" s="395"/>
      <c r="Q696" s="395"/>
      <c r="R696" s="395"/>
      <c r="S696" s="395"/>
      <c r="T696" s="395"/>
      <c r="U696" s="395"/>
    </row>
    <row r="697" ht="15.75" customHeight="1">
      <c r="A697" s="395"/>
      <c r="B697" s="395"/>
      <c r="C697" s="395"/>
      <c r="D697" s="395"/>
      <c r="E697" s="395"/>
      <c r="F697" s="395"/>
      <c r="G697" s="395"/>
      <c r="H697" s="395"/>
      <c r="I697" s="395"/>
      <c r="J697" s="395"/>
      <c r="K697" s="395"/>
      <c r="L697" s="395"/>
      <c r="M697" s="395"/>
      <c r="N697" s="395"/>
      <c r="O697" s="395"/>
      <c r="P697" s="395"/>
      <c r="Q697" s="395"/>
      <c r="R697" s="395"/>
      <c r="S697" s="395"/>
      <c r="T697" s="395"/>
      <c r="U697" s="395"/>
    </row>
    <row r="698" ht="15.75" customHeight="1">
      <c r="A698" s="395"/>
      <c r="B698" s="395"/>
      <c r="C698" s="395"/>
      <c r="D698" s="395"/>
      <c r="E698" s="395"/>
      <c r="F698" s="395"/>
      <c r="G698" s="395"/>
      <c r="H698" s="395"/>
      <c r="I698" s="395"/>
      <c r="J698" s="395"/>
      <c r="K698" s="395"/>
      <c r="L698" s="395"/>
      <c r="M698" s="395"/>
      <c r="N698" s="395"/>
      <c r="O698" s="395"/>
      <c r="P698" s="395"/>
      <c r="Q698" s="395"/>
      <c r="R698" s="395"/>
      <c r="S698" s="395"/>
      <c r="T698" s="395"/>
      <c r="U698" s="395"/>
    </row>
    <row r="699" ht="15.75" customHeight="1">
      <c r="A699" s="395"/>
      <c r="B699" s="395"/>
      <c r="C699" s="395"/>
      <c r="D699" s="395"/>
      <c r="E699" s="395"/>
      <c r="F699" s="395"/>
      <c r="G699" s="395"/>
      <c r="H699" s="395"/>
      <c r="I699" s="395"/>
      <c r="J699" s="395"/>
      <c r="K699" s="395"/>
      <c r="L699" s="395"/>
      <c r="M699" s="395"/>
      <c r="N699" s="395"/>
      <c r="O699" s="395"/>
      <c r="P699" s="395"/>
      <c r="Q699" s="395"/>
      <c r="R699" s="395"/>
      <c r="S699" s="395"/>
      <c r="T699" s="395"/>
      <c r="U699" s="395"/>
    </row>
    <row r="700" ht="15.75" customHeight="1">
      <c r="A700" s="395"/>
      <c r="B700" s="395"/>
      <c r="C700" s="395"/>
      <c r="D700" s="395"/>
      <c r="E700" s="395"/>
      <c r="F700" s="395"/>
      <c r="G700" s="395"/>
      <c r="H700" s="395"/>
      <c r="I700" s="395"/>
      <c r="J700" s="395"/>
      <c r="K700" s="395"/>
      <c r="L700" s="395"/>
      <c r="M700" s="395"/>
      <c r="N700" s="395"/>
      <c r="O700" s="395"/>
      <c r="P700" s="395"/>
      <c r="Q700" s="395"/>
      <c r="R700" s="395"/>
      <c r="S700" s="395"/>
      <c r="T700" s="395"/>
      <c r="U700" s="395"/>
    </row>
    <row r="701" ht="15.75" customHeight="1">
      <c r="A701" s="395"/>
      <c r="B701" s="395"/>
      <c r="C701" s="395"/>
      <c r="D701" s="395"/>
      <c r="E701" s="395"/>
      <c r="F701" s="395"/>
      <c r="G701" s="395"/>
      <c r="H701" s="395"/>
      <c r="I701" s="395"/>
      <c r="J701" s="395"/>
      <c r="K701" s="395"/>
      <c r="L701" s="395"/>
      <c r="M701" s="395"/>
      <c r="N701" s="395"/>
      <c r="O701" s="395"/>
      <c r="P701" s="395"/>
      <c r="Q701" s="395"/>
      <c r="R701" s="395"/>
      <c r="S701" s="395"/>
      <c r="T701" s="395"/>
      <c r="U701" s="395"/>
    </row>
    <row r="702" ht="15.75" customHeight="1">
      <c r="A702" s="395"/>
      <c r="B702" s="395"/>
      <c r="C702" s="395"/>
      <c r="D702" s="395"/>
      <c r="E702" s="395"/>
      <c r="F702" s="395"/>
      <c r="G702" s="395"/>
      <c r="H702" s="395"/>
      <c r="I702" s="395"/>
      <c r="J702" s="395"/>
      <c r="K702" s="395"/>
      <c r="L702" s="395"/>
      <c r="M702" s="395"/>
      <c r="N702" s="395"/>
      <c r="O702" s="395"/>
      <c r="P702" s="395"/>
      <c r="Q702" s="395"/>
      <c r="R702" s="395"/>
      <c r="S702" s="395"/>
      <c r="T702" s="395"/>
      <c r="U702" s="395"/>
    </row>
    <row r="703" ht="15.75" customHeight="1">
      <c r="A703" s="395"/>
      <c r="B703" s="395"/>
      <c r="C703" s="395"/>
      <c r="D703" s="395"/>
      <c r="E703" s="395"/>
      <c r="F703" s="395"/>
      <c r="G703" s="395"/>
      <c r="H703" s="395"/>
      <c r="I703" s="395"/>
      <c r="J703" s="395"/>
      <c r="K703" s="395"/>
      <c r="L703" s="395"/>
      <c r="M703" s="395"/>
      <c r="N703" s="395"/>
      <c r="O703" s="395"/>
      <c r="P703" s="395"/>
      <c r="Q703" s="395"/>
      <c r="R703" s="395"/>
      <c r="S703" s="395"/>
      <c r="T703" s="395"/>
      <c r="U703" s="395"/>
    </row>
    <row r="704" ht="15.75" customHeight="1">
      <c r="A704" s="395"/>
      <c r="B704" s="395"/>
      <c r="C704" s="395"/>
      <c r="D704" s="395"/>
      <c r="E704" s="395"/>
      <c r="F704" s="395"/>
      <c r="G704" s="395"/>
      <c r="H704" s="395"/>
      <c r="I704" s="395"/>
      <c r="J704" s="395"/>
      <c r="K704" s="395"/>
      <c r="L704" s="395"/>
      <c r="M704" s="395"/>
      <c r="N704" s="395"/>
      <c r="O704" s="395"/>
      <c r="P704" s="395"/>
      <c r="Q704" s="395"/>
      <c r="R704" s="395"/>
      <c r="S704" s="395"/>
      <c r="T704" s="395"/>
      <c r="U704" s="395"/>
    </row>
    <row r="705" ht="15.75" customHeight="1">
      <c r="A705" s="395"/>
      <c r="B705" s="395"/>
      <c r="C705" s="395"/>
      <c r="D705" s="395"/>
      <c r="E705" s="395"/>
      <c r="F705" s="395"/>
      <c r="G705" s="395"/>
      <c r="H705" s="395"/>
      <c r="I705" s="395"/>
      <c r="J705" s="395"/>
      <c r="K705" s="395"/>
      <c r="L705" s="395"/>
      <c r="M705" s="395"/>
      <c r="N705" s="395"/>
      <c r="O705" s="395"/>
      <c r="P705" s="395"/>
      <c r="Q705" s="395"/>
      <c r="R705" s="395"/>
      <c r="S705" s="395"/>
      <c r="T705" s="395"/>
      <c r="U705" s="395"/>
    </row>
    <row r="706" ht="15.75" customHeight="1">
      <c r="A706" s="395"/>
      <c r="B706" s="395"/>
      <c r="C706" s="395"/>
      <c r="D706" s="395"/>
      <c r="E706" s="395"/>
      <c r="F706" s="395"/>
      <c r="G706" s="395"/>
      <c r="H706" s="395"/>
      <c r="I706" s="395"/>
      <c r="J706" s="395"/>
      <c r="K706" s="395"/>
      <c r="L706" s="395"/>
      <c r="M706" s="395"/>
      <c r="N706" s="395"/>
      <c r="O706" s="395"/>
      <c r="P706" s="395"/>
      <c r="Q706" s="395"/>
      <c r="R706" s="395"/>
      <c r="S706" s="395"/>
      <c r="T706" s="395"/>
      <c r="U706" s="395"/>
    </row>
    <row r="707" ht="15.75" customHeight="1">
      <c r="A707" s="395"/>
      <c r="B707" s="395"/>
      <c r="C707" s="395"/>
      <c r="D707" s="395"/>
      <c r="E707" s="395"/>
      <c r="F707" s="395"/>
      <c r="G707" s="395"/>
      <c r="H707" s="395"/>
      <c r="I707" s="395"/>
      <c r="J707" s="395"/>
      <c r="K707" s="395"/>
      <c r="L707" s="395"/>
      <c r="M707" s="395"/>
      <c r="N707" s="395"/>
      <c r="O707" s="395"/>
      <c r="P707" s="395"/>
      <c r="Q707" s="395"/>
      <c r="R707" s="395"/>
      <c r="S707" s="395"/>
      <c r="T707" s="395"/>
      <c r="U707" s="395"/>
    </row>
    <row r="708" ht="15.75" customHeight="1">
      <c r="A708" s="395"/>
      <c r="B708" s="395"/>
      <c r="C708" s="395"/>
      <c r="D708" s="395"/>
      <c r="E708" s="395"/>
      <c r="F708" s="395"/>
      <c r="G708" s="395"/>
      <c r="H708" s="395"/>
      <c r="I708" s="395"/>
      <c r="J708" s="395"/>
      <c r="K708" s="395"/>
      <c r="L708" s="395"/>
      <c r="M708" s="395"/>
      <c r="N708" s="395"/>
      <c r="O708" s="395"/>
      <c r="P708" s="395"/>
      <c r="Q708" s="395"/>
      <c r="R708" s="395"/>
      <c r="S708" s="395"/>
      <c r="T708" s="395"/>
      <c r="U708" s="395"/>
    </row>
    <row r="709" ht="15.75" customHeight="1">
      <c r="A709" s="395"/>
      <c r="B709" s="395"/>
      <c r="C709" s="395"/>
      <c r="D709" s="395"/>
      <c r="E709" s="395"/>
      <c r="F709" s="395"/>
      <c r="G709" s="395"/>
      <c r="H709" s="395"/>
      <c r="I709" s="395"/>
      <c r="J709" s="395"/>
      <c r="K709" s="395"/>
      <c r="L709" s="395"/>
      <c r="M709" s="395"/>
      <c r="N709" s="395"/>
      <c r="O709" s="395"/>
      <c r="P709" s="395"/>
      <c r="Q709" s="395"/>
      <c r="R709" s="395"/>
      <c r="S709" s="395"/>
      <c r="T709" s="395"/>
      <c r="U709" s="395"/>
    </row>
    <row r="710" ht="15.75" customHeight="1">
      <c r="A710" s="395"/>
      <c r="B710" s="395"/>
      <c r="C710" s="395"/>
      <c r="D710" s="395"/>
      <c r="E710" s="395"/>
      <c r="F710" s="395"/>
      <c r="G710" s="395"/>
      <c r="H710" s="395"/>
      <c r="I710" s="395"/>
      <c r="J710" s="395"/>
      <c r="K710" s="395"/>
      <c r="L710" s="395"/>
      <c r="M710" s="395"/>
      <c r="N710" s="395"/>
      <c r="O710" s="395"/>
      <c r="P710" s="395"/>
      <c r="Q710" s="395"/>
      <c r="R710" s="395"/>
      <c r="S710" s="395"/>
      <c r="T710" s="395"/>
      <c r="U710" s="395"/>
    </row>
    <row r="711" ht="15.75" customHeight="1">
      <c r="A711" s="395"/>
      <c r="B711" s="395"/>
      <c r="C711" s="395"/>
      <c r="D711" s="395"/>
      <c r="E711" s="395"/>
      <c r="F711" s="395"/>
      <c r="G711" s="395"/>
      <c r="H711" s="395"/>
      <c r="I711" s="395"/>
      <c r="J711" s="395"/>
      <c r="K711" s="395"/>
      <c r="L711" s="395"/>
      <c r="M711" s="395"/>
      <c r="N711" s="395"/>
      <c r="O711" s="395"/>
      <c r="P711" s="395"/>
      <c r="Q711" s="395"/>
      <c r="R711" s="395"/>
      <c r="S711" s="395"/>
      <c r="T711" s="395"/>
      <c r="U711" s="395"/>
    </row>
    <row r="712" ht="15.75" customHeight="1">
      <c r="A712" s="395"/>
      <c r="B712" s="395"/>
      <c r="C712" s="395"/>
      <c r="D712" s="395"/>
      <c r="E712" s="395"/>
      <c r="F712" s="395"/>
      <c r="G712" s="395"/>
      <c r="H712" s="395"/>
      <c r="I712" s="395"/>
      <c r="J712" s="395"/>
      <c r="K712" s="395"/>
      <c r="L712" s="395"/>
      <c r="M712" s="395"/>
      <c r="N712" s="395"/>
      <c r="O712" s="395"/>
      <c r="P712" s="395"/>
      <c r="Q712" s="395"/>
      <c r="R712" s="395"/>
      <c r="S712" s="395"/>
      <c r="T712" s="395"/>
      <c r="U712" s="395"/>
    </row>
    <row r="713" ht="15.75" customHeight="1">
      <c r="A713" s="395"/>
      <c r="B713" s="395"/>
      <c r="C713" s="395"/>
      <c r="D713" s="395"/>
      <c r="E713" s="395"/>
      <c r="F713" s="395"/>
      <c r="G713" s="395"/>
      <c r="H713" s="395"/>
      <c r="I713" s="395"/>
      <c r="J713" s="395"/>
      <c r="K713" s="395"/>
      <c r="L713" s="395"/>
      <c r="M713" s="395"/>
      <c r="N713" s="395"/>
      <c r="O713" s="395"/>
      <c r="P713" s="395"/>
      <c r="Q713" s="395"/>
      <c r="R713" s="395"/>
      <c r="S713" s="395"/>
      <c r="T713" s="395"/>
      <c r="U713" s="395"/>
    </row>
    <row r="714" ht="15.75" customHeight="1">
      <c r="A714" s="395"/>
      <c r="B714" s="395"/>
      <c r="C714" s="395"/>
      <c r="D714" s="395"/>
      <c r="E714" s="395"/>
      <c r="F714" s="395"/>
      <c r="G714" s="395"/>
      <c r="H714" s="395"/>
      <c r="I714" s="395"/>
      <c r="J714" s="395"/>
      <c r="K714" s="395"/>
      <c r="L714" s="395"/>
      <c r="M714" s="395"/>
      <c r="N714" s="395"/>
      <c r="O714" s="395"/>
      <c r="P714" s="395"/>
      <c r="Q714" s="395"/>
      <c r="R714" s="395"/>
      <c r="S714" s="395"/>
      <c r="T714" s="395"/>
      <c r="U714" s="395"/>
    </row>
    <row r="715" ht="15.75" customHeight="1">
      <c r="A715" s="395"/>
      <c r="B715" s="395"/>
      <c r="C715" s="395"/>
      <c r="D715" s="395"/>
      <c r="E715" s="395"/>
      <c r="F715" s="395"/>
      <c r="G715" s="395"/>
      <c r="H715" s="395"/>
      <c r="I715" s="395"/>
      <c r="J715" s="395"/>
      <c r="K715" s="395"/>
      <c r="L715" s="395"/>
      <c r="M715" s="395"/>
      <c r="N715" s="395"/>
      <c r="O715" s="395"/>
      <c r="P715" s="395"/>
      <c r="Q715" s="395"/>
      <c r="R715" s="395"/>
      <c r="S715" s="395"/>
      <c r="T715" s="395"/>
      <c r="U715" s="395"/>
    </row>
    <row r="716" ht="15.75" customHeight="1">
      <c r="A716" s="395"/>
      <c r="B716" s="395"/>
      <c r="C716" s="395"/>
      <c r="D716" s="395"/>
      <c r="E716" s="395"/>
      <c r="F716" s="395"/>
      <c r="G716" s="395"/>
      <c r="H716" s="395"/>
      <c r="I716" s="395"/>
      <c r="J716" s="395"/>
      <c r="K716" s="395"/>
      <c r="L716" s="395"/>
      <c r="M716" s="395"/>
      <c r="N716" s="395"/>
      <c r="O716" s="395"/>
      <c r="P716" s="395"/>
      <c r="Q716" s="395"/>
      <c r="R716" s="395"/>
      <c r="S716" s="395"/>
      <c r="T716" s="395"/>
      <c r="U716" s="395"/>
    </row>
    <row r="717" ht="15.75" customHeight="1">
      <c r="A717" s="395"/>
      <c r="B717" s="395"/>
      <c r="C717" s="395"/>
      <c r="D717" s="395"/>
      <c r="E717" s="395"/>
      <c r="F717" s="395"/>
      <c r="G717" s="395"/>
      <c r="H717" s="395"/>
      <c r="I717" s="395"/>
      <c r="J717" s="395"/>
      <c r="K717" s="395"/>
      <c r="L717" s="395"/>
      <c r="M717" s="395"/>
      <c r="N717" s="395"/>
      <c r="O717" s="395"/>
      <c r="P717" s="395"/>
      <c r="Q717" s="395"/>
      <c r="R717" s="395"/>
      <c r="S717" s="395"/>
      <c r="T717" s="395"/>
      <c r="U717" s="395"/>
    </row>
    <row r="718" ht="15.75" customHeight="1">
      <c r="A718" s="395"/>
      <c r="B718" s="395"/>
      <c r="C718" s="395"/>
      <c r="D718" s="395"/>
      <c r="E718" s="395"/>
      <c r="F718" s="395"/>
      <c r="G718" s="395"/>
      <c r="H718" s="395"/>
      <c r="I718" s="395"/>
      <c r="J718" s="395"/>
      <c r="K718" s="395"/>
      <c r="L718" s="395"/>
      <c r="M718" s="395"/>
      <c r="N718" s="395"/>
      <c r="O718" s="395"/>
      <c r="P718" s="395"/>
      <c r="Q718" s="395"/>
      <c r="R718" s="395"/>
      <c r="S718" s="395"/>
      <c r="T718" s="395"/>
      <c r="U718" s="395"/>
    </row>
    <row r="719" ht="15.75" customHeight="1">
      <c r="A719" s="395"/>
      <c r="B719" s="395"/>
      <c r="C719" s="395"/>
      <c r="D719" s="395"/>
      <c r="E719" s="395"/>
      <c r="F719" s="395"/>
      <c r="G719" s="395"/>
      <c r="H719" s="395"/>
      <c r="I719" s="395"/>
      <c r="J719" s="395"/>
      <c r="K719" s="395"/>
      <c r="L719" s="395"/>
      <c r="M719" s="395"/>
      <c r="N719" s="395"/>
      <c r="O719" s="395"/>
      <c r="P719" s="395"/>
      <c r="Q719" s="395"/>
      <c r="R719" s="395"/>
      <c r="S719" s="395"/>
      <c r="T719" s="395"/>
      <c r="U719" s="395"/>
    </row>
    <row r="720" ht="15.75" customHeight="1">
      <c r="A720" s="395"/>
      <c r="B720" s="395"/>
      <c r="C720" s="395"/>
      <c r="D720" s="395"/>
      <c r="E720" s="395"/>
      <c r="F720" s="395"/>
      <c r="G720" s="395"/>
      <c r="H720" s="395"/>
      <c r="I720" s="395"/>
      <c r="J720" s="395"/>
      <c r="K720" s="395"/>
      <c r="L720" s="395"/>
      <c r="M720" s="395"/>
      <c r="N720" s="395"/>
      <c r="O720" s="395"/>
      <c r="P720" s="395"/>
      <c r="Q720" s="395"/>
      <c r="R720" s="395"/>
      <c r="S720" s="395"/>
      <c r="T720" s="395"/>
      <c r="U720" s="395"/>
    </row>
    <row r="721" ht="15.75" customHeight="1">
      <c r="A721" s="395"/>
      <c r="B721" s="395"/>
      <c r="C721" s="395"/>
      <c r="D721" s="395"/>
      <c r="E721" s="395"/>
      <c r="F721" s="395"/>
      <c r="G721" s="395"/>
      <c r="H721" s="395"/>
      <c r="I721" s="395"/>
      <c r="J721" s="395"/>
      <c r="K721" s="395"/>
      <c r="L721" s="395"/>
      <c r="M721" s="395"/>
      <c r="N721" s="395"/>
      <c r="O721" s="395"/>
      <c r="P721" s="395"/>
      <c r="Q721" s="395"/>
      <c r="R721" s="395"/>
      <c r="S721" s="395"/>
      <c r="T721" s="395"/>
      <c r="U721" s="395"/>
    </row>
    <row r="722" ht="15.75" customHeight="1">
      <c r="A722" s="395"/>
      <c r="B722" s="395"/>
      <c r="C722" s="395"/>
      <c r="D722" s="395"/>
      <c r="E722" s="395"/>
      <c r="F722" s="395"/>
      <c r="G722" s="395"/>
      <c r="H722" s="395"/>
      <c r="I722" s="395"/>
      <c r="J722" s="395"/>
      <c r="K722" s="395"/>
      <c r="L722" s="395"/>
      <c r="M722" s="395"/>
      <c r="N722" s="395"/>
      <c r="O722" s="395"/>
      <c r="P722" s="395"/>
      <c r="Q722" s="395"/>
      <c r="R722" s="395"/>
      <c r="S722" s="395"/>
      <c r="T722" s="395"/>
      <c r="U722" s="395"/>
    </row>
    <row r="723" ht="15.75" customHeight="1">
      <c r="A723" s="395"/>
      <c r="B723" s="395"/>
      <c r="C723" s="395"/>
      <c r="D723" s="395"/>
      <c r="E723" s="395"/>
      <c r="F723" s="395"/>
      <c r="G723" s="395"/>
      <c r="H723" s="395"/>
      <c r="I723" s="395"/>
      <c r="J723" s="395"/>
      <c r="K723" s="395"/>
      <c r="L723" s="395"/>
      <c r="M723" s="395"/>
      <c r="N723" s="395"/>
      <c r="O723" s="395"/>
      <c r="P723" s="395"/>
      <c r="Q723" s="395"/>
      <c r="R723" s="395"/>
      <c r="S723" s="395"/>
      <c r="T723" s="395"/>
      <c r="U723" s="395"/>
    </row>
    <row r="724" ht="15.75" customHeight="1">
      <c r="A724" s="395"/>
      <c r="B724" s="395"/>
      <c r="C724" s="395"/>
      <c r="D724" s="395"/>
      <c r="E724" s="395"/>
      <c r="F724" s="395"/>
      <c r="G724" s="395"/>
      <c r="H724" s="395"/>
      <c r="I724" s="395"/>
      <c r="J724" s="395"/>
      <c r="K724" s="395"/>
      <c r="L724" s="395"/>
      <c r="M724" s="395"/>
      <c r="N724" s="395"/>
      <c r="O724" s="395"/>
      <c r="P724" s="395"/>
      <c r="Q724" s="395"/>
      <c r="R724" s="395"/>
      <c r="S724" s="395"/>
      <c r="T724" s="395"/>
      <c r="U724" s="395"/>
    </row>
    <row r="725" ht="15.75" customHeight="1">
      <c r="A725" s="395"/>
      <c r="B725" s="395"/>
      <c r="C725" s="395"/>
      <c r="D725" s="395"/>
      <c r="E725" s="395"/>
      <c r="F725" s="395"/>
      <c r="G725" s="395"/>
      <c r="H725" s="395"/>
      <c r="I725" s="395"/>
      <c r="J725" s="395"/>
      <c r="K725" s="395"/>
      <c r="L725" s="395"/>
      <c r="M725" s="395"/>
      <c r="N725" s="395"/>
      <c r="O725" s="395"/>
      <c r="P725" s="395"/>
      <c r="Q725" s="395"/>
      <c r="R725" s="395"/>
      <c r="S725" s="395"/>
      <c r="T725" s="395"/>
      <c r="U725" s="395"/>
    </row>
    <row r="726" ht="15.75" customHeight="1">
      <c r="A726" s="395"/>
      <c r="B726" s="395"/>
      <c r="C726" s="395"/>
      <c r="D726" s="395"/>
      <c r="E726" s="395"/>
      <c r="F726" s="395"/>
      <c r="G726" s="395"/>
      <c r="H726" s="395"/>
      <c r="I726" s="395"/>
      <c r="J726" s="395"/>
      <c r="K726" s="395"/>
      <c r="L726" s="395"/>
      <c r="M726" s="395"/>
      <c r="N726" s="395"/>
      <c r="O726" s="395"/>
      <c r="P726" s="395"/>
      <c r="Q726" s="395"/>
      <c r="R726" s="395"/>
      <c r="S726" s="395"/>
      <c r="T726" s="395"/>
      <c r="U726" s="395"/>
    </row>
    <row r="727" ht="15.75" customHeight="1">
      <c r="A727" s="395"/>
      <c r="B727" s="395"/>
      <c r="C727" s="395"/>
      <c r="D727" s="395"/>
      <c r="E727" s="395"/>
      <c r="F727" s="395"/>
      <c r="G727" s="395"/>
      <c r="H727" s="395"/>
      <c r="I727" s="395"/>
      <c r="J727" s="395"/>
      <c r="K727" s="395"/>
      <c r="L727" s="395"/>
      <c r="M727" s="395"/>
      <c r="N727" s="395"/>
      <c r="O727" s="395"/>
      <c r="P727" s="395"/>
      <c r="Q727" s="395"/>
      <c r="R727" s="395"/>
      <c r="S727" s="395"/>
      <c r="T727" s="395"/>
      <c r="U727" s="395"/>
    </row>
    <row r="728" ht="15.75" customHeight="1">
      <c r="A728" s="395"/>
      <c r="B728" s="395"/>
      <c r="C728" s="395"/>
      <c r="D728" s="395"/>
      <c r="E728" s="395"/>
      <c r="F728" s="395"/>
      <c r="G728" s="395"/>
      <c r="H728" s="395"/>
      <c r="I728" s="395"/>
      <c r="J728" s="395"/>
      <c r="K728" s="395"/>
      <c r="L728" s="395"/>
      <c r="M728" s="395"/>
      <c r="N728" s="395"/>
      <c r="O728" s="395"/>
      <c r="P728" s="395"/>
      <c r="Q728" s="395"/>
      <c r="R728" s="395"/>
      <c r="S728" s="395"/>
      <c r="T728" s="395"/>
      <c r="U728" s="395"/>
    </row>
    <row r="729" ht="15.75" customHeight="1">
      <c r="A729" s="395"/>
      <c r="B729" s="395"/>
      <c r="C729" s="395"/>
      <c r="D729" s="395"/>
      <c r="E729" s="395"/>
      <c r="F729" s="395"/>
      <c r="G729" s="395"/>
      <c r="H729" s="395"/>
      <c r="I729" s="395"/>
      <c r="J729" s="395"/>
      <c r="K729" s="395"/>
      <c r="L729" s="395"/>
      <c r="M729" s="395"/>
      <c r="N729" s="395"/>
      <c r="O729" s="395"/>
      <c r="P729" s="395"/>
      <c r="Q729" s="395"/>
      <c r="R729" s="395"/>
      <c r="S729" s="395"/>
      <c r="T729" s="395"/>
      <c r="U729" s="395"/>
    </row>
    <row r="730" ht="15.75" customHeight="1">
      <c r="A730" s="395"/>
      <c r="B730" s="395"/>
      <c r="C730" s="395"/>
      <c r="D730" s="395"/>
      <c r="E730" s="395"/>
      <c r="F730" s="395"/>
      <c r="G730" s="395"/>
      <c r="H730" s="395"/>
      <c r="I730" s="395"/>
      <c r="J730" s="395"/>
      <c r="K730" s="395"/>
      <c r="L730" s="395"/>
      <c r="M730" s="395"/>
      <c r="N730" s="395"/>
      <c r="O730" s="395"/>
      <c r="P730" s="395"/>
      <c r="Q730" s="395"/>
      <c r="R730" s="395"/>
      <c r="S730" s="395"/>
      <c r="T730" s="395"/>
      <c r="U730" s="395"/>
    </row>
    <row r="731" ht="15.75" customHeight="1">
      <c r="A731" s="395"/>
      <c r="B731" s="395"/>
      <c r="C731" s="395"/>
      <c r="D731" s="395"/>
      <c r="E731" s="395"/>
      <c r="F731" s="395"/>
      <c r="G731" s="395"/>
      <c r="H731" s="395"/>
      <c r="I731" s="395"/>
      <c r="J731" s="395"/>
      <c r="K731" s="395"/>
      <c r="L731" s="395"/>
      <c r="M731" s="395"/>
      <c r="N731" s="395"/>
      <c r="O731" s="395"/>
      <c r="P731" s="395"/>
      <c r="Q731" s="395"/>
      <c r="R731" s="395"/>
      <c r="S731" s="395"/>
      <c r="T731" s="395"/>
      <c r="U731" s="395"/>
    </row>
    <row r="732" ht="15.75" customHeight="1">
      <c r="A732" s="395"/>
      <c r="B732" s="395"/>
      <c r="C732" s="395"/>
      <c r="D732" s="395"/>
      <c r="E732" s="395"/>
      <c r="F732" s="395"/>
      <c r="G732" s="395"/>
      <c r="H732" s="395"/>
      <c r="I732" s="395"/>
      <c r="J732" s="395"/>
      <c r="K732" s="395"/>
      <c r="L732" s="395"/>
      <c r="M732" s="395"/>
      <c r="N732" s="395"/>
      <c r="O732" s="395"/>
      <c r="P732" s="395"/>
      <c r="Q732" s="395"/>
      <c r="R732" s="395"/>
      <c r="S732" s="395"/>
      <c r="T732" s="395"/>
      <c r="U732" s="395"/>
    </row>
    <row r="733" ht="15.75" customHeight="1">
      <c r="A733" s="395"/>
      <c r="B733" s="395"/>
      <c r="C733" s="395"/>
      <c r="D733" s="395"/>
      <c r="E733" s="395"/>
      <c r="F733" s="395"/>
      <c r="G733" s="395"/>
      <c r="H733" s="395"/>
      <c r="I733" s="395"/>
      <c r="J733" s="395"/>
      <c r="K733" s="395"/>
      <c r="L733" s="395"/>
      <c r="M733" s="395"/>
      <c r="N733" s="395"/>
      <c r="O733" s="395"/>
      <c r="P733" s="395"/>
      <c r="Q733" s="395"/>
      <c r="R733" s="395"/>
      <c r="S733" s="395"/>
      <c r="T733" s="395"/>
      <c r="U733" s="395"/>
    </row>
    <row r="734" ht="15.75" customHeight="1">
      <c r="A734" s="395"/>
      <c r="B734" s="395"/>
      <c r="C734" s="395"/>
      <c r="D734" s="395"/>
      <c r="E734" s="395"/>
      <c r="F734" s="395"/>
      <c r="G734" s="395"/>
      <c r="H734" s="395"/>
      <c r="I734" s="395"/>
      <c r="J734" s="395"/>
      <c r="K734" s="395"/>
      <c r="L734" s="395"/>
      <c r="M734" s="395"/>
      <c r="N734" s="395"/>
      <c r="O734" s="395"/>
      <c r="P734" s="395"/>
      <c r="Q734" s="395"/>
      <c r="R734" s="395"/>
      <c r="S734" s="395"/>
      <c r="T734" s="395"/>
      <c r="U734" s="395"/>
    </row>
    <row r="735" ht="15.75" customHeight="1">
      <c r="A735" s="395"/>
      <c r="B735" s="395"/>
      <c r="C735" s="395"/>
      <c r="D735" s="395"/>
      <c r="E735" s="395"/>
      <c r="F735" s="395"/>
      <c r="G735" s="395"/>
      <c r="H735" s="395"/>
      <c r="I735" s="395"/>
      <c r="J735" s="395"/>
      <c r="K735" s="395"/>
      <c r="L735" s="395"/>
      <c r="M735" s="395"/>
      <c r="N735" s="395"/>
      <c r="O735" s="395"/>
      <c r="P735" s="395"/>
      <c r="Q735" s="395"/>
      <c r="R735" s="395"/>
      <c r="S735" s="395"/>
      <c r="T735" s="395"/>
      <c r="U735" s="395"/>
    </row>
    <row r="736" ht="15.75" customHeight="1">
      <c r="A736" s="395"/>
      <c r="B736" s="395"/>
      <c r="C736" s="395"/>
      <c r="D736" s="395"/>
      <c r="E736" s="395"/>
      <c r="F736" s="395"/>
      <c r="G736" s="395"/>
      <c r="H736" s="395"/>
      <c r="I736" s="395"/>
      <c r="J736" s="395"/>
      <c r="K736" s="395"/>
      <c r="L736" s="395"/>
      <c r="M736" s="395"/>
      <c r="N736" s="395"/>
      <c r="O736" s="395"/>
      <c r="P736" s="395"/>
      <c r="Q736" s="395"/>
      <c r="R736" s="395"/>
      <c r="S736" s="395"/>
      <c r="T736" s="395"/>
      <c r="U736" s="395"/>
    </row>
    <row r="737" ht="15.75" customHeight="1">
      <c r="A737" s="395"/>
      <c r="B737" s="395"/>
      <c r="C737" s="395"/>
      <c r="D737" s="395"/>
      <c r="E737" s="395"/>
      <c r="F737" s="395"/>
      <c r="G737" s="395"/>
      <c r="H737" s="395"/>
      <c r="I737" s="395"/>
      <c r="J737" s="395"/>
      <c r="K737" s="395"/>
      <c r="L737" s="395"/>
      <c r="M737" s="395"/>
      <c r="N737" s="395"/>
      <c r="O737" s="395"/>
      <c r="P737" s="395"/>
      <c r="Q737" s="395"/>
      <c r="R737" s="395"/>
      <c r="S737" s="395"/>
      <c r="T737" s="395"/>
      <c r="U737" s="395"/>
    </row>
    <row r="738" ht="15.75" customHeight="1">
      <c r="A738" s="395"/>
      <c r="B738" s="395"/>
      <c r="C738" s="395"/>
      <c r="D738" s="395"/>
      <c r="E738" s="395"/>
      <c r="F738" s="395"/>
      <c r="G738" s="395"/>
      <c r="H738" s="395"/>
      <c r="I738" s="395"/>
      <c r="J738" s="395"/>
      <c r="K738" s="395"/>
      <c r="L738" s="395"/>
      <c r="M738" s="395"/>
      <c r="N738" s="395"/>
      <c r="O738" s="395"/>
      <c r="P738" s="395"/>
      <c r="Q738" s="395"/>
      <c r="R738" s="395"/>
      <c r="S738" s="395"/>
      <c r="T738" s="395"/>
      <c r="U738" s="395"/>
    </row>
    <row r="739" ht="15.75" customHeight="1">
      <c r="A739" s="395"/>
      <c r="B739" s="395"/>
      <c r="C739" s="395"/>
      <c r="D739" s="395"/>
      <c r="E739" s="395"/>
      <c r="F739" s="395"/>
      <c r="G739" s="395"/>
      <c r="H739" s="395"/>
      <c r="I739" s="395"/>
      <c r="J739" s="395"/>
      <c r="K739" s="395"/>
      <c r="L739" s="395"/>
      <c r="M739" s="395"/>
      <c r="N739" s="395"/>
      <c r="O739" s="395"/>
      <c r="P739" s="395"/>
      <c r="Q739" s="395"/>
      <c r="R739" s="395"/>
      <c r="S739" s="395"/>
      <c r="T739" s="395"/>
      <c r="U739" s="395"/>
    </row>
    <row r="740" ht="15.75" customHeight="1">
      <c r="A740" s="395"/>
      <c r="B740" s="395"/>
      <c r="C740" s="395"/>
      <c r="D740" s="395"/>
      <c r="E740" s="395"/>
      <c r="F740" s="395"/>
      <c r="G740" s="395"/>
      <c r="H740" s="395"/>
      <c r="I740" s="395"/>
      <c r="J740" s="395"/>
      <c r="K740" s="395"/>
      <c r="L740" s="395"/>
      <c r="M740" s="395"/>
      <c r="N740" s="395"/>
      <c r="O740" s="395"/>
      <c r="P740" s="395"/>
      <c r="Q740" s="395"/>
      <c r="R740" s="395"/>
      <c r="S740" s="395"/>
      <c r="T740" s="395"/>
      <c r="U740" s="395"/>
    </row>
    <row r="741" ht="15.75" customHeight="1">
      <c r="A741" s="395"/>
      <c r="B741" s="395"/>
      <c r="C741" s="395"/>
      <c r="D741" s="395"/>
      <c r="E741" s="395"/>
      <c r="F741" s="395"/>
      <c r="G741" s="395"/>
      <c r="H741" s="395"/>
      <c r="I741" s="395"/>
      <c r="J741" s="395"/>
      <c r="K741" s="395"/>
      <c r="L741" s="395"/>
      <c r="M741" s="395"/>
      <c r="N741" s="395"/>
      <c r="O741" s="395"/>
      <c r="P741" s="395"/>
      <c r="Q741" s="395"/>
      <c r="R741" s="395"/>
      <c r="S741" s="395"/>
      <c r="T741" s="395"/>
      <c r="U741" s="395"/>
    </row>
    <row r="742" ht="15.75" customHeight="1">
      <c r="A742" s="395"/>
      <c r="B742" s="395"/>
      <c r="C742" s="395"/>
      <c r="D742" s="395"/>
      <c r="E742" s="395"/>
      <c r="F742" s="395"/>
      <c r="G742" s="395"/>
      <c r="H742" s="395"/>
      <c r="I742" s="395"/>
      <c r="J742" s="395"/>
      <c r="K742" s="395"/>
      <c r="L742" s="395"/>
      <c r="M742" s="395"/>
      <c r="N742" s="395"/>
      <c r="O742" s="395"/>
      <c r="P742" s="395"/>
      <c r="Q742" s="395"/>
      <c r="R742" s="395"/>
      <c r="S742" s="395"/>
      <c r="T742" s="395"/>
      <c r="U742" s="395"/>
    </row>
    <row r="743" ht="15.75" customHeight="1">
      <c r="A743" s="395"/>
      <c r="B743" s="395"/>
      <c r="C743" s="395"/>
      <c r="D743" s="395"/>
      <c r="E743" s="395"/>
      <c r="F743" s="395"/>
      <c r="G743" s="395"/>
      <c r="H743" s="395"/>
      <c r="I743" s="395"/>
      <c r="J743" s="395"/>
      <c r="K743" s="395"/>
      <c r="L743" s="395"/>
      <c r="M743" s="395"/>
      <c r="N743" s="395"/>
      <c r="O743" s="395"/>
      <c r="P743" s="395"/>
      <c r="Q743" s="395"/>
      <c r="R743" s="395"/>
      <c r="S743" s="395"/>
      <c r="T743" s="395"/>
      <c r="U743" s="395"/>
    </row>
    <row r="744" ht="15.75" customHeight="1">
      <c r="A744" s="395"/>
      <c r="B744" s="395"/>
      <c r="C744" s="395"/>
      <c r="D744" s="395"/>
      <c r="E744" s="395"/>
      <c r="F744" s="395"/>
      <c r="G744" s="395"/>
      <c r="H744" s="395"/>
      <c r="I744" s="395"/>
      <c r="J744" s="395"/>
      <c r="K744" s="395"/>
      <c r="L744" s="395"/>
      <c r="M744" s="395"/>
      <c r="N744" s="395"/>
      <c r="O744" s="395"/>
      <c r="P744" s="395"/>
      <c r="Q744" s="395"/>
      <c r="R744" s="395"/>
      <c r="S744" s="395"/>
      <c r="T744" s="395"/>
      <c r="U744" s="395"/>
    </row>
    <row r="745" ht="15.75" customHeight="1">
      <c r="A745" s="395"/>
      <c r="B745" s="395"/>
      <c r="C745" s="395"/>
      <c r="D745" s="395"/>
      <c r="E745" s="395"/>
      <c r="F745" s="395"/>
      <c r="G745" s="395"/>
      <c r="H745" s="395"/>
      <c r="I745" s="395"/>
      <c r="J745" s="395"/>
      <c r="K745" s="395"/>
      <c r="L745" s="395"/>
      <c r="M745" s="395"/>
      <c r="N745" s="395"/>
      <c r="O745" s="395"/>
      <c r="P745" s="395"/>
      <c r="Q745" s="395"/>
      <c r="R745" s="395"/>
      <c r="S745" s="395"/>
      <c r="T745" s="395"/>
      <c r="U745" s="395"/>
    </row>
    <row r="746" ht="15.75" customHeight="1">
      <c r="A746" s="395"/>
      <c r="B746" s="395"/>
      <c r="C746" s="395"/>
      <c r="D746" s="395"/>
      <c r="E746" s="395"/>
      <c r="F746" s="395"/>
      <c r="G746" s="395"/>
      <c r="H746" s="395"/>
      <c r="I746" s="395"/>
      <c r="J746" s="395"/>
      <c r="K746" s="395"/>
      <c r="L746" s="395"/>
      <c r="M746" s="395"/>
      <c r="N746" s="395"/>
      <c r="O746" s="395"/>
      <c r="P746" s="395"/>
      <c r="Q746" s="395"/>
      <c r="R746" s="395"/>
      <c r="S746" s="395"/>
      <c r="T746" s="395"/>
      <c r="U746" s="395"/>
    </row>
    <row r="747" ht="15.75" customHeight="1">
      <c r="A747" s="395"/>
      <c r="B747" s="395"/>
      <c r="C747" s="395"/>
      <c r="D747" s="395"/>
      <c r="E747" s="395"/>
      <c r="F747" s="395"/>
      <c r="G747" s="395"/>
      <c r="H747" s="395"/>
      <c r="I747" s="395"/>
      <c r="J747" s="395"/>
      <c r="K747" s="395"/>
      <c r="L747" s="395"/>
      <c r="M747" s="395"/>
      <c r="N747" s="395"/>
      <c r="O747" s="395"/>
      <c r="P747" s="395"/>
      <c r="Q747" s="395"/>
      <c r="R747" s="395"/>
      <c r="S747" s="395"/>
      <c r="T747" s="395"/>
      <c r="U747" s="395"/>
    </row>
    <row r="748" ht="15.75" customHeight="1">
      <c r="A748" s="395"/>
      <c r="B748" s="395"/>
      <c r="C748" s="395"/>
      <c r="D748" s="395"/>
      <c r="E748" s="395"/>
      <c r="F748" s="395"/>
      <c r="G748" s="395"/>
      <c r="H748" s="395"/>
      <c r="I748" s="395"/>
      <c r="J748" s="395"/>
      <c r="K748" s="395"/>
      <c r="L748" s="395"/>
      <c r="M748" s="395"/>
      <c r="N748" s="395"/>
      <c r="O748" s="395"/>
      <c r="P748" s="395"/>
      <c r="Q748" s="395"/>
      <c r="R748" s="395"/>
      <c r="S748" s="395"/>
      <c r="T748" s="395"/>
      <c r="U748" s="395"/>
    </row>
    <row r="749" ht="15.75" customHeight="1">
      <c r="A749" s="395"/>
      <c r="B749" s="395"/>
      <c r="C749" s="395"/>
      <c r="D749" s="395"/>
      <c r="E749" s="395"/>
      <c r="F749" s="395"/>
      <c r="G749" s="395"/>
      <c r="H749" s="395"/>
      <c r="I749" s="395"/>
      <c r="J749" s="395"/>
      <c r="K749" s="395"/>
      <c r="L749" s="395"/>
      <c r="M749" s="395"/>
      <c r="N749" s="395"/>
      <c r="O749" s="395"/>
      <c r="P749" s="395"/>
      <c r="Q749" s="395"/>
      <c r="R749" s="395"/>
      <c r="S749" s="395"/>
      <c r="T749" s="395"/>
      <c r="U749" s="395"/>
    </row>
    <row r="750" ht="15.75" customHeight="1">
      <c r="A750" s="395"/>
      <c r="B750" s="395"/>
      <c r="C750" s="395"/>
      <c r="D750" s="395"/>
      <c r="E750" s="395"/>
      <c r="F750" s="395"/>
      <c r="G750" s="395"/>
      <c r="H750" s="395"/>
      <c r="I750" s="395"/>
      <c r="J750" s="395"/>
      <c r="K750" s="395"/>
      <c r="L750" s="395"/>
      <c r="M750" s="395"/>
      <c r="N750" s="395"/>
      <c r="O750" s="395"/>
      <c r="P750" s="395"/>
      <c r="Q750" s="395"/>
      <c r="R750" s="395"/>
      <c r="S750" s="395"/>
      <c r="T750" s="395"/>
      <c r="U750" s="395"/>
    </row>
    <row r="751" ht="15.75" customHeight="1">
      <c r="A751" s="395"/>
      <c r="B751" s="395"/>
      <c r="C751" s="395"/>
      <c r="D751" s="395"/>
      <c r="E751" s="395"/>
      <c r="F751" s="395"/>
      <c r="G751" s="395"/>
      <c r="H751" s="395"/>
      <c r="I751" s="395"/>
      <c r="J751" s="395"/>
      <c r="K751" s="395"/>
      <c r="L751" s="395"/>
      <c r="M751" s="395"/>
      <c r="N751" s="395"/>
      <c r="O751" s="395"/>
      <c r="P751" s="395"/>
      <c r="Q751" s="395"/>
      <c r="R751" s="395"/>
      <c r="S751" s="395"/>
      <c r="T751" s="395"/>
      <c r="U751" s="395"/>
    </row>
    <row r="752" ht="15.75" customHeight="1">
      <c r="A752" s="395"/>
      <c r="B752" s="395"/>
      <c r="C752" s="395"/>
      <c r="D752" s="395"/>
      <c r="E752" s="395"/>
      <c r="F752" s="395"/>
      <c r="G752" s="395"/>
      <c r="H752" s="395"/>
      <c r="I752" s="395"/>
      <c r="J752" s="395"/>
      <c r="K752" s="395"/>
      <c r="L752" s="395"/>
      <c r="M752" s="395"/>
      <c r="N752" s="395"/>
      <c r="O752" s="395"/>
      <c r="P752" s="395"/>
      <c r="Q752" s="395"/>
      <c r="R752" s="395"/>
      <c r="S752" s="395"/>
      <c r="T752" s="395"/>
      <c r="U752" s="395"/>
    </row>
    <row r="753" ht="15.75" customHeight="1">
      <c r="A753" s="395"/>
      <c r="B753" s="395"/>
      <c r="C753" s="395"/>
      <c r="D753" s="395"/>
      <c r="E753" s="395"/>
      <c r="F753" s="395"/>
      <c r="G753" s="395"/>
      <c r="H753" s="395"/>
      <c r="I753" s="395"/>
      <c r="J753" s="395"/>
      <c r="K753" s="395"/>
      <c r="L753" s="395"/>
      <c r="M753" s="395"/>
      <c r="N753" s="395"/>
      <c r="O753" s="395"/>
      <c r="P753" s="395"/>
      <c r="Q753" s="395"/>
      <c r="R753" s="395"/>
      <c r="S753" s="395"/>
      <c r="T753" s="395"/>
      <c r="U753" s="395"/>
    </row>
    <row r="754" ht="15.75" customHeight="1">
      <c r="A754" s="395"/>
      <c r="B754" s="395"/>
      <c r="C754" s="395"/>
      <c r="D754" s="395"/>
      <c r="E754" s="395"/>
      <c r="F754" s="395"/>
      <c r="G754" s="395"/>
      <c r="H754" s="395"/>
      <c r="I754" s="395"/>
      <c r="J754" s="395"/>
      <c r="K754" s="395"/>
      <c r="L754" s="395"/>
      <c r="M754" s="395"/>
      <c r="N754" s="395"/>
      <c r="O754" s="395"/>
      <c r="P754" s="395"/>
      <c r="Q754" s="395"/>
      <c r="R754" s="395"/>
      <c r="S754" s="395"/>
      <c r="T754" s="395"/>
      <c r="U754" s="395"/>
    </row>
    <row r="755" ht="15.75" customHeight="1">
      <c r="A755" s="395"/>
      <c r="B755" s="395"/>
      <c r="C755" s="395"/>
      <c r="D755" s="395"/>
      <c r="E755" s="395"/>
      <c r="F755" s="395"/>
      <c r="G755" s="395"/>
      <c r="H755" s="395"/>
      <c r="I755" s="395"/>
      <c r="J755" s="395"/>
      <c r="K755" s="395"/>
      <c r="L755" s="395"/>
      <c r="M755" s="395"/>
      <c r="N755" s="395"/>
      <c r="O755" s="395"/>
      <c r="P755" s="395"/>
      <c r="Q755" s="395"/>
      <c r="R755" s="395"/>
      <c r="S755" s="395"/>
      <c r="T755" s="395"/>
      <c r="U755" s="395"/>
    </row>
    <row r="756" ht="15.75" customHeight="1">
      <c r="A756" s="395"/>
      <c r="B756" s="395"/>
      <c r="C756" s="395"/>
      <c r="D756" s="395"/>
      <c r="E756" s="395"/>
      <c r="F756" s="395"/>
      <c r="G756" s="395"/>
      <c r="H756" s="395"/>
      <c r="I756" s="395"/>
      <c r="J756" s="395"/>
      <c r="K756" s="395"/>
      <c r="L756" s="395"/>
      <c r="M756" s="395"/>
      <c r="N756" s="395"/>
      <c r="O756" s="395"/>
      <c r="P756" s="395"/>
      <c r="Q756" s="395"/>
      <c r="R756" s="395"/>
      <c r="S756" s="395"/>
      <c r="T756" s="395"/>
      <c r="U756" s="395"/>
    </row>
    <row r="757" ht="15.75" customHeight="1">
      <c r="A757" s="395"/>
      <c r="B757" s="395"/>
      <c r="C757" s="395"/>
      <c r="D757" s="395"/>
      <c r="E757" s="395"/>
      <c r="F757" s="395"/>
      <c r="G757" s="395"/>
      <c r="H757" s="395"/>
      <c r="I757" s="395"/>
      <c r="J757" s="395"/>
      <c r="K757" s="395"/>
      <c r="L757" s="395"/>
      <c r="M757" s="395"/>
      <c r="N757" s="395"/>
      <c r="O757" s="395"/>
      <c r="P757" s="395"/>
      <c r="Q757" s="395"/>
      <c r="R757" s="395"/>
      <c r="S757" s="395"/>
      <c r="T757" s="395"/>
      <c r="U757" s="395"/>
    </row>
    <row r="758" ht="15.75" customHeight="1">
      <c r="A758" s="395"/>
      <c r="B758" s="395"/>
      <c r="C758" s="395"/>
      <c r="D758" s="395"/>
      <c r="E758" s="395"/>
      <c r="F758" s="395"/>
      <c r="G758" s="395"/>
      <c r="H758" s="395"/>
      <c r="I758" s="395"/>
      <c r="J758" s="395"/>
      <c r="K758" s="395"/>
      <c r="L758" s="395"/>
      <c r="M758" s="395"/>
      <c r="N758" s="395"/>
      <c r="O758" s="395"/>
      <c r="P758" s="395"/>
      <c r="Q758" s="395"/>
      <c r="R758" s="395"/>
      <c r="S758" s="395"/>
      <c r="T758" s="395"/>
      <c r="U758" s="395"/>
    </row>
    <row r="759" ht="15.75" customHeight="1">
      <c r="A759" s="395"/>
      <c r="B759" s="395"/>
      <c r="C759" s="395"/>
      <c r="D759" s="395"/>
      <c r="E759" s="395"/>
      <c r="F759" s="395"/>
      <c r="G759" s="395"/>
      <c r="H759" s="395"/>
      <c r="I759" s="395"/>
      <c r="J759" s="395"/>
      <c r="K759" s="395"/>
      <c r="L759" s="395"/>
      <c r="M759" s="395"/>
      <c r="N759" s="395"/>
      <c r="O759" s="395"/>
      <c r="P759" s="395"/>
      <c r="Q759" s="395"/>
      <c r="R759" s="395"/>
      <c r="S759" s="395"/>
      <c r="T759" s="395"/>
      <c r="U759" s="395"/>
    </row>
    <row r="760" ht="15.75" customHeight="1">
      <c r="A760" s="395"/>
      <c r="B760" s="395"/>
      <c r="C760" s="395"/>
      <c r="D760" s="395"/>
      <c r="E760" s="395"/>
      <c r="F760" s="395"/>
      <c r="G760" s="395"/>
      <c r="H760" s="395"/>
      <c r="I760" s="395"/>
      <c r="J760" s="395"/>
      <c r="K760" s="395"/>
      <c r="L760" s="395"/>
      <c r="M760" s="395"/>
      <c r="N760" s="395"/>
      <c r="O760" s="395"/>
      <c r="P760" s="395"/>
      <c r="Q760" s="395"/>
      <c r="R760" s="395"/>
      <c r="S760" s="395"/>
      <c r="T760" s="395"/>
      <c r="U760" s="395"/>
    </row>
    <row r="761" ht="15.75" customHeight="1">
      <c r="A761" s="395"/>
      <c r="B761" s="395"/>
      <c r="C761" s="395"/>
      <c r="D761" s="395"/>
      <c r="E761" s="395"/>
      <c r="F761" s="395"/>
      <c r="G761" s="395"/>
      <c r="H761" s="395"/>
      <c r="I761" s="395"/>
      <c r="J761" s="395"/>
      <c r="K761" s="395"/>
      <c r="L761" s="395"/>
      <c r="M761" s="395"/>
      <c r="N761" s="395"/>
      <c r="O761" s="395"/>
      <c r="P761" s="395"/>
      <c r="Q761" s="395"/>
      <c r="R761" s="395"/>
      <c r="S761" s="395"/>
      <c r="T761" s="395"/>
      <c r="U761" s="395"/>
    </row>
    <row r="762" ht="15.75" customHeight="1">
      <c r="A762" s="395"/>
      <c r="B762" s="395"/>
      <c r="C762" s="395"/>
      <c r="D762" s="395"/>
      <c r="E762" s="395"/>
      <c r="F762" s="395"/>
      <c r="G762" s="395"/>
      <c r="H762" s="395"/>
      <c r="I762" s="395"/>
      <c r="J762" s="395"/>
      <c r="K762" s="395"/>
      <c r="L762" s="395"/>
      <c r="M762" s="395"/>
      <c r="N762" s="395"/>
      <c r="O762" s="395"/>
      <c r="P762" s="395"/>
      <c r="Q762" s="395"/>
      <c r="R762" s="395"/>
      <c r="S762" s="395"/>
      <c r="T762" s="395"/>
      <c r="U762" s="395"/>
    </row>
    <row r="763" ht="15.75" customHeight="1">
      <c r="A763" s="395"/>
      <c r="B763" s="395"/>
      <c r="C763" s="395"/>
      <c r="D763" s="395"/>
      <c r="E763" s="395"/>
      <c r="F763" s="395"/>
      <c r="G763" s="395"/>
      <c r="H763" s="395"/>
      <c r="I763" s="395"/>
      <c r="J763" s="395"/>
      <c r="K763" s="395"/>
      <c r="L763" s="395"/>
      <c r="M763" s="395"/>
      <c r="N763" s="395"/>
      <c r="O763" s="395"/>
      <c r="P763" s="395"/>
      <c r="Q763" s="395"/>
      <c r="R763" s="395"/>
      <c r="S763" s="395"/>
      <c r="T763" s="395"/>
      <c r="U763" s="395"/>
    </row>
    <row r="764" ht="15.75" customHeight="1">
      <c r="A764" s="395"/>
      <c r="B764" s="395"/>
      <c r="C764" s="395"/>
      <c r="D764" s="395"/>
      <c r="E764" s="395"/>
      <c r="F764" s="395"/>
      <c r="G764" s="395"/>
      <c r="H764" s="395"/>
      <c r="I764" s="395"/>
      <c r="J764" s="395"/>
      <c r="K764" s="395"/>
      <c r="L764" s="395"/>
      <c r="M764" s="395"/>
      <c r="N764" s="395"/>
      <c r="O764" s="395"/>
      <c r="P764" s="395"/>
      <c r="Q764" s="395"/>
      <c r="R764" s="395"/>
      <c r="S764" s="395"/>
      <c r="T764" s="395"/>
      <c r="U764" s="395"/>
    </row>
    <row r="765" ht="15.75" customHeight="1">
      <c r="A765" s="395"/>
      <c r="B765" s="395"/>
      <c r="C765" s="395"/>
      <c r="D765" s="395"/>
      <c r="E765" s="395"/>
      <c r="F765" s="395"/>
      <c r="G765" s="395"/>
      <c r="H765" s="395"/>
      <c r="I765" s="395"/>
      <c r="J765" s="395"/>
      <c r="K765" s="395"/>
      <c r="L765" s="395"/>
      <c r="M765" s="395"/>
      <c r="N765" s="395"/>
      <c r="O765" s="395"/>
      <c r="P765" s="395"/>
      <c r="Q765" s="395"/>
      <c r="R765" s="395"/>
      <c r="S765" s="395"/>
      <c r="T765" s="395"/>
      <c r="U765" s="395"/>
    </row>
    <row r="766" ht="15.75" customHeight="1">
      <c r="A766" s="395"/>
      <c r="B766" s="395"/>
      <c r="C766" s="395"/>
      <c r="D766" s="395"/>
      <c r="E766" s="395"/>
      <c r="F766" s="395"/>
      <c r="G766" s="395"/>
      <c r="H766" s="395"/>
      <c r="I766" s="395"/>
      <c r="J766" s="395"/>
      <c r="K766" s="395"/>
      <c r="L766" s="395"/>
      <c r="M766" s="395"/>
      <c r="N766" s="395"/>
      <c r="O766" s="395"/>
      <c r="P766" s="395"/>
      <c r="Q766" s="395"/>
      <c r="R766" s="395"/>
      <c r="S766" s="395"/>
      <c r="T766" s="395"/>
      <c r="U766" s="395"/>
    </row>
    <row r="767" ht="15.75" customHeight="1">
      <c r="A767" s="395"/>
      <c r="B767" s="395"/>
      <c r="C767" s="395"/>
      <c r="D767" s="395"/>
      <c r="E767" s="395"/>
      <c r="F767" s="395"/>
      <c r="G767" s="395"/>
      <c r="H767" s="395"/>
      <c r="I767" s="395"/>
      <c r="J767" s="395"/>
      <c r="K767" s="395"/>
      <c r="L767" s="395"/>
      <c r="M767" s="395"/>
      <c r="N767" s="395"/>
      <c r="O767" s="395"/>
      <c r="P767" s="395"/>
      <c r="Q767" s="395"/>
      <c r="R767" s="395"/>
      <c r="S767" s="395"/>
      <c r="T767" s="395"/>
      <c r="U767" s="395"/>
    </row>
    <row r="768" ht="15.75" customHeight="1">
      <c r="A768" s="395"/>
      <c r="B768" s="395"/>
      <c r="C768" s="395"/>
      <c r="D768" s="395"/>
      <c r="E768" s="395"/>
      <c r="F768" s="395"/>
      <c r="G768" s="395"/>
      <c r="H768" s="395"/>
      <c r="I768" s="395"/>
      <c r="J768" s="395"/>
      <c r="K768" s="395"/>
      <c r="L768" s="395"/>
      <c r="M768" s="395"/>
      <c r="N768" s="395"/>
      <c r="O768" s="395"/>
      <c r="P768" s="395"/>
      <c r="Q768" s="395"/>
      <c r="R768" s="395"/>
      <c r="S768" s="395"/>
      <c r="T768" s="395"/>
      <c r="U768" s="395"/>
    </row>
    <row r="769" ht="15.75" customHeight="1">
      <c r="A769" s="395"/>
      <c r="B769" s="395"/>
      <c r="C769" s="395"/>
      <c r="D769" s="395"/>
      <c r="E769" s="395"/>
      <c r="F769" s="395"/>
      <c r="G769" s="395"/>
      <c r="H769" s="395"/>
      <c r="I769" s="395"/>
      <c r="J769" s="395"/>
      <c r="K769" s="395"/>
      <c r="L769" s="395"/>
      <c r="M769" s="395"/>
      <c r="N769" s="395"/>
      <c r="O769" s="395"/>
      <c r="P769" s="395"/>
      <c r="Q769" s="395"/>
      <c r="R769" s="395"/>
      <c r="S769" s="395"/>
      <c r="T769" s="395"/>
      <c r="U769" s="395"/>
    </row>
    <row r="770" ht="15.75" customHeight="1">
      <c r="A770" s="395"/>
      <c r="B770" s="395"/>
      <c r="C770" s="395"/>
      <c r="D770" s="395"/>
      <c r="E770" s="395"/>
      <c r="F770" s="395"/>
      <c r="G770" s="395"/>
      <c r="H770" s="395"/>
      <c r="I770" s="395"/>
      <c r="J770" s="395"/>
      <c r="K770" s="395"/>
      <c r="L770" s="395"/>
      <c r="M770" s="395"/>
      <c r="N770" s="395"/>
      <c r="O770" s="395"/>
      <c r="P770" s="395"/>
      <c r="Q770" s="395"/>
      <c r="R770" s="395"/>
      <c r="S770" s="395"/>
      <c r="T770" s="395"/>
      <c r="U770" s="395"/>
    </row>
    <row r="771" ht="15.75" customHeight="1">
      <c r="A771" s="395"/>
      <c r="B771" s="395"/>
      <c r="C771" s="395"/>
      <c r="D771" s="395"/>
      <c r="E771" s="395"/>
      <c r="F771" s="395"/>
      <c r="G771" s="395"/>
      <c r="H771" s="395"/>
      <c r="I771" s="395"/>
      <c r="J771" s="395"/>
      <c r="K771" s="395"/>
      <c r="L771" s="395"/>
      <c r="M771" s="395"/>
      <c r="N771" s="395"/>
      <c r="O771" s="395"/>
      <c r="P771" s="395"/>
      <c r="Q771" s="395"/>
      <c r="R771" s="395"/>
      <c r="S771" s="395"/>
      <c r="T771" s="395"/>
      <c r="U771" s="395"/>
    </row>
    <row r="772" ht="15.75" customHeight="1">
      <c r="A772" s="395"/>
      <c r="B772" s="395"/>
      <c r="C772" s="395"/>
      <c r="D772" s="395"/>
      <c r="E772" s="395"/>
      <c r="F772" s="395"/>
      <c r="G772" s="395"/>
      <c r="H772" s="395"/>
      <c r="I772" s="395"/>
      <c r="J772" s="395"/>
      <c r="K772" s="395"/>
      <c r="L772" s="395"/>
      <c r="M772" s="395"/>
      <c r="N772" s="395"/>
      <c r="O772" s="395"/>
      <c r="P772" s="395"/>
      <c r="Q772" s="395"/>
      <c r="R772" s="395"/>
      <c r="S772" s="395"/>
      <c r="T772" s="395"/>
      <c r="U772" s="395"/>
    </row>
    <row r="773" ht="15.75" customHeight="1">
      <c r="A773" s="395"/>
      <c r="B773" s="395"/>
      <c r="C773" s="395"/>
      <c r="D773" s="395"/>
      <c r="E773" s="395"/>
      <c r="F773" s="395"/>
      <c r="G773" s="395"/>
      <c r="H773" s="395"/>
      <c r="I773" s="395"/>
      <c r="J773" s="395"/>
      <c r="K773" s="395"/>
      <c r="L773" s="395"/>
      <c r="M773" s="395"/>
      <c r="N773" s="395"/>
      <c r="O773" s="395"/>
      <c r="P773" s="395"/>
      <c r="Q773" s="395"/>
      <c r="R773" s="395"/>
      <c r="S773" s="395"/>
      <c r="T773" s="395"/>
      <c r="U773" s="395"/>
    </row>
    <row r="774" ht="15.75" customHeight="1">
      <c r="A774" s="395"/>
      <c r="B774" s="395"/>
      <c r="C774" s="395"/>
      <c r="D774" s="395"/>
      <c r="E774" s="395"/>
      <c r="F774" s="395"/>
      <c r="G774" s="395"/>
      <c r="H774" s="395"/>
      <c r="I774" s="395"/>
      <c r="J774" s="395"/>
      <c r="K774" s="395"/>
      <c r="L774" s="395"/>
      <c r="M774" s="395"/>
      <c r="N774" s="395"/>
      <c r="O774" s="395"/>
      <c r="P774" s="395"/>
      <c r="Q774" s="395"/>
      <c r="R774" s="395"/>
      <c r="S774" s="395"/>
      <c r="T774" s="395"/>
      <c r="U774" s="395"/>
    </row>
    <row r="775" ht="15.75" customHeight="1">
      <c r="A775" s="395"/>
      <c r="B775" s="395"/>
      <c r="C775" s="395"/>
      <c r="D775" s="395"/>
      <c r="E775" s="395"/>
      <c r="F775" s="395"/>
      <c r="G775" s="395"/>
      <c r="H775" s="395"/>
      <c r="I775" s="395"/>
      <c r="J775" s="395"/>
      <c r="K775" s="395"/>
      <c r="L775" s="395"/>
      <c r="M775" s="395"/>
      <c r="N775" s="395"/>
      <c r="O775" s="395"/>
      <c r="P775" s="395"/>
      <c r="Q775" s="395"/>
      <c r="R775" s="395"/>
      <c r="S775" s="395"/>
      <c r="T775" s="395"/>
      <c r="U775" s="395"/>
    </row>
    <row r="776" ht="15.75" customHeight="1">
      <c r="A776" s="395"/>
      <c r="B776" s="395"/>
      <c r="C776" s="395"/>
      <c r="D776" s="395"/>
      <c r="E776" s="395"/>
      <c r="F776" s="395"/>
      <c r="G776" s="395"/>
      <c r="H776" s="395"/>
      <c r="I776" s="395"/>
      <c r="J776" s="395"/>
      <c r="K776" s="395"/>
      <c r="L776" s="395"/>
      <c r="M776" s="395"/>
      <c r="N776" s="395"/>
      <c r="O776" s="395"/>
      <c r="P776" s="395"/>
      <c r="Q776" s="395"/>
      <c r="R776" s="395"/>
      <c r="S776" s="395"/>
      <c r="T776" s="395"/>
      <c r="U776" s="395"/>
    </row>
    <row r="777" ht="15.75" customHeight="1">
      <c r="A777" s="395"/>
      <c r="B777" s="395"/>
      <c r="C777" s="395"/>
      <c r="D777" s="395"/>
      <c r="E777" s="395"/>
      <c r="F777" s="395"/>
      <c r="G777" s="395"/>
      <c r="H777" s="395"/>
      <c r="I777" s="395"/>
      <c r="J777" s="395"/>
      <c r="K777" s="395"/>
      <c r="L777" s="395"/>
      <c r="M777" s="395"/>
      <c r="N777" s="395"/>
      <c r="O777" s="395"/>
      <c r="P777" s="395"/>
      <c r="Q777" s="395"/>
      <c r="R777" s="395"/>
      <c r="S777" s="395"/>
      <c r="T777" s="395"/>
      <c r="U777" s="395"/>
    </row>
    <row r="778" ht="15.75" customHeight="1">
      <c r="A778" s="395"/>
      <c r="B778" s="395"/>
      <c r="C778" s="395"/>
      <c r="D778" s="395"/>
      <c r="E778" s="395"/>
      <c r="F778" s="395"/>
      <c r="G778" s="395"/>
      <c r="H778" s="395"/>
      <c r="I778" s="395"/>
      <c r="J778" s="395"/>
      <c r="K778" s="395"/>
      <c r="L778" s="395"/>
      <c r="M778" s="395"/>
      <c r="N778" s="395"/>
      <c r="O778" s="395"/>
      <c r="P778" s="395"/>
      <c r="Q778" s="395"/>
      <c r="R778" s="395"/>
      <c r="S778" s="395"/>
      <c r="T778" s="395"/>
      <c r="U778" s="395"/>
    </row>
    <row r="779" ht="15.75" customHeight="1">
      <c r="A779" s="395"/>
      <c r="B779" s="395"/>
      <c r="C779" s="395"/>
      <c r="D779" s="395"/>
      <c r="E779" s="395"/>
      <c r="F779" s="395"/>
      <c r="G779" s="395"/>
      <c r="H779" s="395"/>
      <c r="I779" s="395"/>
      <c r="J779" s="395"/>
      <c r="K779" s="395"/>
      <c r="L779" s="395"/>
      <c r="M779" s="395"/>
      <c r="N779" s="395"/>
      <c r="O779" s="395"/>
      <c r="P779" s="395"/>
      <c r="Q779" s="395"/>
      <c r="R779" s="395"/>
      <c r="S779" s="395"/>
      <c r="T779" s="395"/>
      <c r="U779" s="395"/>
    </row>
    <row r="780" ht="15.75" customHeight="1">
      <c r="A780" s="395"/>
      <c r="B780" s="395"/>
      <c r="C780" s="395"/>
      <c r="D780" s="395"/>
      <c r="E780" s="395"/>
      <c r="F780" s="395"/>
      <c r="G780" s="395"/>
      <c r="H780" s="395"/>
      <c r="I780" s="395"/>
      <c r="J780" s="395"/>
      <c r="K780" s="395"/>
      <c r="L780" s="395"/>
      <c r="M780" s="395"/>
      <c r="N780" s="395"/>
      <c r="O780" s="395"/>
      <c r="P780" s="395"/>
      <c r="Q780" s="395"/>
      <c r="R780" s="395"/>
      <c r="S780" s="395"/>
      <c r="T780" s="395"/>
      <c r="U780" s="395"/>
    </row>
    <row r="781" ht="15.75" customHeight="1">
      <c r="A781" s="395"/>
      <c r="B781" s="395"/>
      <c r="C781" s="395"/>
      <c r="D781" s="395"/>
      <c r="E781" s="395"/>
      <c r="F781" s="395"/>
      <c r="G781" s="395"/>
      <c r="H781" s="395"/>
      <c r="I781" s="395"/>
      <c r="J781" s="395"/>
      <c r="K781" s="395"/>
      <c r="L781" s="395"/>
      <c r="M781" s="395"/>
      <c r="N781" s="395"/>
      <c r="O781" s="395"/>
      <c r="P781" s="395"/>
      <c r="Q781" s="395"/>
      <c r="R781" s="395"/>
      <c r="S781" s="395"/>
      <c r="T781" s="395"/>
      <c r="U781" s="395"/>
    </row>
    <row r="782" ht="15.75" customHeight="1">
      <c r="A782" s="395"/>
      <c r="B782" s="395"/>
      <c r="C782" s="395"/>
      <c r="D782" s="395"/>
      <c r="E782" s="395"/>
      <c r="F782" s="395"/>
      <c r="G782" s="395"/>
      <c r="H782" s="395"/>
      <c r="I782" s="395"/>
      <c r="J782" s="395"/>
      <c r="K782" s="395"/>
      <c r="L782" s="395"/>
      <c r="M782" s="395"/>
      <c r="N782" s="395"/>
      <c r="O782" s="395"/>
      <c r="P782" s="395"/>
      <c r="Q782" s="395"/>
      <c r="R782" s="395"/>
      <c r="S782" s="395"/>
      <c r="T782" s="395"/>
      <c r="U782" s="395"/>
    </row>
    <row r="783" ht="15.75" customHeight="1">
      <c r="A783" s="395"/>
      <c r="B783" s="395"/>
      <c r="C783" s="395"/>
      <c r="D783" s="395"/>
      <c r="E783" s="395"/>
      <c r="F783" s="395"/>
      <c r="G783" s="395"/>
      <c r="H783" s="395"/>
      <c r="I783" s="395"/>
      <c r="J783" s="395"/>
      <c r="K783" s="395"/>
      <c r="L783" s="395"/>
      <c r="M783" s="395"/>
      <c r="N783" s="395"/>
      <c r="O783" s="395"/>
      <c r="P783" s="395"/>
      <c r="Q783" s="395"/>
      <c r="R783" s="395"/>
      <c r="S783" s="395"/>
      <c r="T783" s="395"/>
      <c r="U783" s="395"/>
    </row>
    <row r="784" ht="15.75" customHeight="1">
      <c r="A784" s="395"/>
      <c r="B784" s="395"/>
      <c r="C784" s="395"/>
      <c r="D784" s="395"/>
      <c r="E784" s="395"/>
      <c r="F784" s="395"/>
      <c r="G784" s="395"/>
      <c r="H784" s="395"/>
      <c r="I784" s="395"/>
      <c r="J784" s="395"/>
      <c r="K784" s="395"/>
      <c r="L784" s="395"/>
      <c r="M784" s="395"/>
      <c r="N784" s="395"/>
      <c r="O784" s="395"/>
      <c r="P784" s="395"/>
      <c r="Q784" s="395"/>
      <c r="R784" s="395"/>
      <c r="S784" s="395"/>
      <c r="T784" s="395"/>
      <c r="U784" s="395"/>
    </row>
    <row r="785" ht="15.75" customHeight="1">
      <c r="A785" s="395"/>
      <c r="B785" s="395"/>
      <c r="C785" s="395"/>
      <c r="D785" s="395"/>
      <c r="E785" s="395"/>
      <c r="F785" s="395"/>
      <c r="G785" s="395"/>
      <c r="H785" s="395"/>
      <c r="I785" s="395"/>
      <c r="J785" s="395"/>
      <c r="K785" s="395"/>
      <c r="L785" s="395"/>
      <c r="M785" s="395"/>
      <c r="N785" s="395"/>
      <c r="O785" s="395"/>
      <c r="P785" s="395"/>
      <c r="Q785" s="395"/>
      <c r="R785" s="395"/>
      <c r="S785" s="395"/>
      <c r="T785" s="395"/>
      <c r="U785" s="395"/>
    </row>
    <row r="786" ht="15.75" customHeight="1">
      <c r="A786" s="395"/>
      <c r="B786" s="395"/>
      <c r="C786" s="395"/>
      <c r="D786" s="395"/>
      <c r="E786" s="395"/>
      <c r="F786" s="395"/>
      <c r="G786" s="395"/>
      <c r="H786" s="395"/>
      <c r="I786" s="395"/>
      <c r="J786" s="395"/>
      <c r="K786" s="395"/>
      <c r="L786" s="395"/>
      <c r="M786" s="395"/>
      <c r="N786" s="395"/>
      <c r="O786" s="395"/>
      <c r="P786" s="395"/>
      <c r="Q786" s="395"/>
      <c r="R786" s="395"/>
      <c r="S786" s="395"/>
      <c r="T786" s="395"/>
      <c r="U786" s="395"/>
    </row>
    <row r="787" ht="15.75" customHeight="1">
      <c r="A787" s="395"/>
      <c r="B787" s="395"/>
      <c r="C787" s="395"/>
      <c r="D787" s="395"/>
      <c r="E787" s="395"/>
      <c r="F787" s="395"/>
      <c r="G787" s="395"/>
      <c r="H787" s="395"/>
      <c r="I787" s="395"/>
      <c r="J787" s="395"/>
      <c r="K787" s="395"/>
      <c r="L787" s="395"/>
      <c r="M787" s="395"/>
      <c r="N787" s="395"/>
      <c r="O787" s="395"/>
      <c r="P787" s="395"/>
      <c r="Q787" s="395"/>
      <c r="R787" s="395"/>
      <c r="S787" s="395"/>
      <c r="T787" s="395"/>
      <c r="U787" s="395"/>
    </row>
    <row r="788" ht="15.75" customHeight="1">
      <c r="A788" s="395"/>
      <c r="B788" s="395"/>
      <c r="C788" s="395"/>
      <c r="D788" s="395"/>
      <c r="E788" s="395"/>
      <c r="F788" s="395"/>
      <c r="G788" s="395"/>
      <c r="H788" s="395"/>
      <c r="I788" s="395"/>
      <c r="J788" s="395"/>
      <c r="K788" s="395"/>
      <c r="L788" s="395"/>
      <c r="M788" s="395"/>
      <c r="N788" s="395"/>
      <c r="O788" s="395"/>
      <c r="P788" s="395"/>
      <c r="Q788" s="395"/>
      <c r="R788" s="395"/>
      <c r="S788" s="395"/>
      <c r="T788" s="395"/>
      <c r="U788" s="395"/>
    </row>
    <row r="789" ht="15.75" customHeight="1">
      <c r="A789" s="395"/>
      <c r="B789" s="395"/>
      <c r="C789" s="395"/>
      <c r="D789" s="395"/>
      <c r="E789" s="395"/>
      <c r="F789" s="395"/>
      <c r="G789" s="395"/>
      <c r="H789" s="395"/>
      <c r="I789" s="395"/>
      <c r="J789" s="395"/>
      <c r="K789" s="395"/>
      <c r="L789" s="395"/>
      <c r="M789" s="395"/>
      <c r="N789" s="395"/>
      <c r="O789" s="395"/>
      <c r="P789" s="395"/>
      <c r="Q789" s="395"/>
      <c r="R789" s="395"/>
      <c r="S789" s="395"/>
      <c r="T789" s="395"/>
      <c r="U789" s="395"/>
    </row>
    <row r="790" ht="15.75" customHeight="1">
      <c r="A790" s="395"/>
      <c r="B790" s="395"/>
      <c r="C790" s="395"/>
      <c r="D790" s="395"/>
      <c r="E790" s="395"/>
      <c r="F790" s="395"/>
      <c r="G790" s="395"/>
      <c r="H790" s="395"/>
      <c r="I790" s="395"/>
      <c r="J790" s="395"/>
      <c r="K790" s="395"/>
      <c r="L790" s="395"/>
      <c r="M790" s="395"/>
      <c r="N790" s="395"/>
      <c r="O790" s="395"/>
      <c r="P790" s="395"/>
      <c r="Q790" s="395"/>
      <c r="R790" s="395"/>
      <c r="S790" s="395"/>
      <c r="T790" s="395"/>
      <c r="U790" s="395"/>
    </row>
    <row r="791" ht="15.75" customHeight="1">
      <c r="A791" s="395"/>
      <c r="B791" s="395"/>
      <c r="C791" s="395"/>
      <c r="D791" s="395"/>
      <c r="E791" s="395"/>
      <c r="F791" s="395"/>
      <c r="G791" s="395"/>
      <c r="H791" s="395"/>
      <c r="I791" s="395"/>
      <c r="J791" s="395"/>
      <c r="K791" s="395"/>
      <c r="L791" s="395"/>
      <c r="M791" s="395"/>
      <c r="N791" s="395"/>
      <c r="O791" s="395"/>
      <c r="P791" s="395"/>
      <c r="Q791" s="395"/>
      <c r="R791" s="395"/>
      <c r="S791" s="395"/>
      <c r="T791" s="395"/>
      <c r="U791" s="395"/>
    </row>
    <row r="792" ht="15.75" customHeight="1">
      <c r="A792" s="395"/>
      <c r="B792" s="395"/>
      <c r="C792" s="395"/>
      <c r="D792" s="395"/>
      <c r="E792" s="395"/>
      <c r="F792" s="395"/>
      <c r="G792" s="395"/>
      <c r="H792" s="395"/>
      <c r="I792" s="395"/>
      <c r="J792" s="395"/>
      <c r="K792" s="395"/>
      <c r="L792" s="395"/>
      <c r="M792" s="395"/>
      <c r="N792" s="395"/>
      <c r="O792" s="395"/>
      <c r="P792" s="395"/>
      <c r="Q792" s="395"/>
      <c r="R792" s="395"/>
      <c r="S792" s="395"/>
      <c r="T792" s="395"/>
      <c r="U792" s="395"/>
    </row>
    <row r="793" ht="15.75" customHeight="1">
      <c r="A793" s="395"/>
      <c r="B793" s="395"/>
      <c r="C793" s="395"/>
      <c r="D793" s="395"/>
      <c r="E793" s="395"/>
      <c r="F793" s="395"/>
      <c r="G793" s="395"/>
      <c r="H793" s="395"/>
      <c r="I793" s="395"/>
      <c r="J793" s="395"/>
      <c r="K793" s="395"/>
      <c r="L793" s="395"/>
      <c r="M793" s="395"/>
      <c r="N793" s="395"/>
      <c r="O793" s="395"/>
      <c r="P793" s="395"/>
      <c r="Q793" s="395"/>
      <c r="R793" s="395"/>
      <c r="S793" s="395"/>
      <c r="T793" s="395"/>
      <c r="U793" s="395"/>
    </row>
    <row r="794" ht="15.75" customHeight="1">
      <c r="A794" s="395"/>
      <c r="B794" s="395"/>
      <c r="C794" s="395"/>
      <c r="D794" s="395"/>
      <c r="E794" s="395"/>
      <c r="F794" s="395"/>
      <c r="G794" s="395"/>
      <c r="H794" s="395"/>
      <c r="I794" s="395"/>
      <c r="J794" s="395"/>
      <c r="K794" s="395"/>
      <c r="L794" s="395"/>
      <c r="M794" s="395"/>
      <c r="N794" s="395"/>
      <c r="O794" s="395"/>
      <c r="P794" s="395"/>
      <c r="Q794" s="395"/>
      <c r="R794" s="395"/>
      <c r="S794" s="395"/>
      <c r="T794" s="395"/>
      <c r="U794" s="395"/>
    </row>
    <row r="795" ht="15.75" customHeight="1">
      <c r="A795" s="395"/>
      <c r="B795" s="395"/>
      <c r="C795" s="395"/>
      <c r="D795" s="395"/>
      <c r="E795" s="395"/>
      <c r="F795" s="395"/>
      <c r="G795" s="395"/>
      <c r="H795" s="395"/>
      <c r="I795" s="395"/>
      <c r="J795" s="395"/>
      <c r="K795" s="395"/>
      <c r="L795" s="395"/>
      <c r="M795" s="395"/>
      <c r="N795" s="395"/>
      <c r="O795" s="395"/>
      <c r="P795" s="395"/>
      <c r="Q795" s="395"/>
      <c r="R795" s="395"/>
      <c r="S795" s="395"/>
      <c r="T795" s="395"/>
      <c r="U795" s="395"/>
    </row>
    <row r="796" ht="15.75" customHeight="1">
      <c r="A796" s="395"/>
      <c r="B796" s="395"/>
      <c r="C796" s="395"/>
      <c r="D796" s="395"/>
      <c r="E796" s="395"/>
      <c r="F796" s="395"/>
      <c r="G796" s="395"/>
      <c r="H796" s="395"/>
      <c r="I796" s="395"/>
      <c r="J796" s="395"/>
      <c r="K796" s="395"/>
      <c r="L796" s="395"/>
      <c r="M796" s="395"/>
      <c r="N796" s="395"/>
      <c r="O796" s="395"/>
      <c r="P796" s="395"/>
      <c r="Q796" s="395"/>
      <c r="R796" s="395"/>
      <c r="S796" s="395"/>
      <c r="T796" s="395"/>
      <c r="U796" s="395"/>
    </row>
    <row r="797" ht="15.75" customHeight="1">
      <c r="A797" s="395"/>
      <c r="B797" s="395"/>
      <c r="C797" s="395"/>
      <c r="D797" s="395"/>
      <c r="E797" s="395"/>
      <c r="F797" s="395"/>
      <c r="G797" s="395"/>
      <c r="H797" s="395"/>
      <c r="I797" s="395"/>
      <c r="J797" s="395"/>
      <c r="K797" s="395"/>
      <c r="L797" s="395"/>
      <c r="M797" s="395"/>
      <c r="N797" s="395"/>
      <c r="O797" s="395"/>
      <c r="P797" s="395"/>
      <c r="Q797" s="395"/>
      <c r="R797" s="395"/>
      <c r="S797" s="395"/>
      <c r="T797" s="395"/>
      <c r="U797" s="395"/>
    </row>
    <row r="798" ht="15.75" customHeight="1">
      <c r="A798" s="395"/>
      <c r="B798" s="395"/>
      <c r="C798" s="395"/>
      <c r="D798" s="395"/>
      <c r="E798" s="395"/>
      <c r="F798" s="395"/>
      <c r="G798" s="395"/>
      <c r="H798" s="395"/>
      <c r="I798" s="395"/>
      <c r="J798" s="395"/>
      <c r="K798" s="395"/>
      <c r="L798" s="395"/>
      <c r="M798" s="395"/>
      <c r="N798" s="395"/>
      <c r="O798" s="395"/>
      <c r="P798" s="395"/>
      <c r="Q798" s="395"/>
      <c r="R798" s="395"/>
      <c r="S798" s="395"/>
      <c r="T798" s="395"/>
      <c r="U798" s="395"/>
    </row>
    <row r="799" ht="15.75" customHeight="1">
      <c r="A799" s="395"/>
      <c r="B799" s="395"/>
      <c r="C799" s="395"/>
      <c r="D799" s="395"/>
      <c r="E799" s="395"/>
      <c r="F799" s="395"/>
      <c r="G799" s="395"/>
      <c r="H799" s="395"/>
      <c r="I799" s="395"/>
      <c r="J799" s="395"/>
      <c r="K799" s="395"/>
      <c r="L799" s="395"/>
      <c r="M799" s="395"/>
      <c r="N799" s="395"/>
      <c r="O799" s="395"/>
      <c r="P799" s="395"/>
      <c r="Q799" s="395"/>
      <c r="R799" s="395"/>
      <c r="S799" s="395"/>
      <c r="T799" s="395"/>
      <c r="U799" s="395"/>
    </row>
    <row r="800" ht="15.75" customHeight="1">
      <c r="A800" s="395"/>
      <c r="B800" s="395"/>
      <c r="C800" s="395"/>
      <c r="D800" s="395"/>
      <c r="E800" s="395"/>
      <c r="F800" s="395"/>
      <c r="G800" s="395"/>
      <c r="H800" s="395"/>
      <c r="I800" s="395"/>
      <c r="J800" s="395"/>
      <c r="K800" s="395"/>
      <c r="L800" s="395"/>
      <c r="M800" s="395"/>
      <c r="N800" s="395"/>
      <c r="O800" s="395"/>
      <c r="P800" s="395"/>
      <c r="Q800" s="395"/>
      <c r="R800" s="395"/>
      <c r="S800" s="395"/>
      <c r="T800" s="395"/>
      <c r="U800" s="395"/>
    </row>
    <row r="801" ht="15.75" customHeight="1">
      <c r="A801" s="395"/>
      <c r="B801" s="395"/>
      <c r="C801" s="395"/>
      <c r="D801" s="395"/>
      <c r="E801" s="395"/>
      <c r="F801" s="395"/>
      <c r="G801" s="395"/>
      <c r="H801" s="395"/>
      <c r="I801" s="395"/>
      <c r="J801" s="395"/>
      <c r="K801" s="395"/>
      <c r="L801" s="395"/>
      <c r="M801" s="395"/>
      <c r="N801" s="395"/>
      <c r="O801" s="395"/>
      <c r="P801" s="395"/>
      <c r="Q801" s="395"/>
      <c r="R801" s="395"/>
      <c r="S801" s="395"/>
      <c r="T801" s="395"/>
      <c r="U801" s="395"/>
    </row>
    <row r="802" ht="15.75" customHeight="1">
      <c r="A802" s="395"/>
      <c r="B802" s="395"/>
      <c r="C802" s="395"/>
      <c r="D802" s="395"/>
      <c r="E802" s="395"/>
      <c r="F802" s="395"/>
      <c r="G802" s="395"/>
      <c r="H802" s="395"/>
      <c r="I802" s="395"/>
      <c r="J802" s="395"/>
      <c r="K802" s="395"/>
      <c r="L802" s="395"/>
      <c r="M802" s="395"/>
      <c r="N802" s="395"/>
      <c r="O802" s="395"/>
      <c r="P802" s="395"/>
      <c r="Q802" s="395"/>
      <c r="R802" s="395"/>
      <c r="S802" s="395"/>
      <c r="T802" s="395"/>
      <c r="U802" s="395"/>
    </row>
    <row r="803" ht="15.75" customHeight="1">
      <c r="A803" s="395"/>
      <c r="B803" s="395"/>
      <c r="C803" s="395"/>
      <c r="D803" s="395"/>
      <c r="E803" s="395"/>
      <c r="F803" s="395"/>
      <c r="G803" s="395"/>
      <c r="H803" s="395"/>
      <c r="I803" s="395"/>
      <c r="J803" s="395"/>
      <c r="K803" s="395"/>
      <c r="L803" s="395"/>
      <c r="M803" s="395"/>
      <c r="N803" s="395"/>
      <c r="O803" s="395"/>
      <c r="P803" s="395"/>
      <c r="Q803" s="395"/>
      <c r="R803" s="395"/>
      <c r="S803" s="395"/>
      <c r="T803" s="395"/>
      <c r="U803" s="395"/>
    </row>
    <row r="804" ht="15.75" customHeight="1">
      <c r="A804" s="395"/>
      <c r="B804" s="395"/>
      <c r="C804" s="395"/>
      <c r="D804" s="395"/>
      <c r="E804" s="395"/>
      <c r="F804" s="395"/>
      <c r="G804" s="395"/>
      <c r="H804" s="395"/>
      <c r="I804" s="395"/>
      <c r="J804" s="395"/>
      <c r="K804" s="395"/>
      <c r="L804" s="395"/>
      <c r="M804" s="395"/>
      <c r="N804" s="395"/>
      <c r="O804" s="395"/>
      <c r="P804" s="395"/>
      <c r="Q804" s="395"/>
      <c r="R804" s="395"/>
      <c r="S804" s="395"/>
      <c r="T804" s="395"/>
      <c r="U804" s="395"/>
    </row>
    <row r="805" ht="15.75" customHeight="1">
      <c r="A805" s="395"/>
      <c r="B805" s="395"/>
      <c r="C805" s="395"/>
      <c r="D805" s="395"/>
      <c r="E805" s="395"/>
      <c r="F805" s="395"/>
      <c r="G805" s="395"/>
      <c r="H805" s="395"/>
      <c r="I805" s="395"/>
      <c r="J805" s="395"/>
      <c r="K805" s="395"/>
      <c r="L805" s="395"/>
      <c r="M805" s="395"/>
      <c r="N805" s="395"/>
      <c r="O805" s="395"/>
      <c r="P805" s="395"/>
      <c r="Q805" s="395"/>
      <c r="R805" s="395"/>
      <c r="S805" s="395"/>
      <c r="T805" s="395"/>
      <c r="U805" s="395"/>
    </row>
    <row r="806" ht="15.75" customHeight="1">
      <c r="A806" s="395"/>
      <c r="B806" s="395"/>
      <c r="C806" s="395"/>
      <c r="D806" s="395"/>
      <c r="E806" s="395"/>
      <c r="F806" s="395"/>
      <c r="G806" s="395"/>
      <c r="H806" s="395"/>
      <c r="I806" s="395"/>
      <c r="J806" s="395"/>
      <c r="K806" s="395"/>
      <c r="L806" s="395"/>
      <c r="M806" s="395"/>
      <c r="N806" s="395"/>
      <c r="O806" s="395"/>
      <c r="P806" s="395"/>
      <c r="Q806" s="395"/>
      <c r="R806" s="395"/>
      <c r="S806" s="395"/>
      <c r="T806" s="395"/>
      <c r="U806" s="395"/>
    </row>
    <row r="807" ht="15.75" customHeight="1">
      <c r="A807" s="395"/>
      <c r="B807" s="395"/>
      <c r="C807" s="395"/>
      <c r="D807" s="395"/>
      <c r="E807" s="395"/>
      <c r="F807" s="395"/>
      <c r="G807" s="395"/>
      <c r="H807" s="395"/>
      <c r="I807" s="395"/>
      <c r="J807" s="395"/>
      <c r="K807" s="395"/>
      <c r="L807" s="395"/>
      <c r="M807" s="395"/>
      <c r="N807" s="395"/>
      <c r="O807" s="395"/>
      <c r="P807" s="395"/>
      <c r="Q807" s="395"/>
      <c r="R807" s="395"/>
      <c r="S807" s="395"/>
      <c r="T807" s="395"/>
      <c r="U807" s="395"/>
    </row>
    <row r="808" ht="15.75" customHeight="1">
      <c r="A808" s="395"/>
      <c r="B808" s="395"/>
      <c r="C808" s="395"/>
      <c r="D808" s="395"/>
      <c r="E808" s="395"/>
      <c r="F808" s="395"/>
      <c r="G808" s="395"/>
      <c r="H808" s="395"/>
      <c r="I808" s="395"/>
      <c r="J808" s="395"/>
      <c r="K808" s="395"/>
      <c r="L808" s="395"/>
      <c r="M808" s="395"/>
      <c r="N808" s="395"/>
      <c r="O808" s="395"/>
      <c r="P808" s="395"/>
      <c r="Q808" s="395"/>
      <c r="R808" s="395"/>
      <c r="S808" s="395"/>
      <c r="T808" s="395"/>
      <c r="U808" s="395"/>
    </row>
    <row r="809" ht="15.75" customHeight="1">
      <c r="A809" s="395"/>
      <c r="B809" s="395"/>
      <c r="C809" s="395"/>
      <c r="D809" s="395"/>
      <c r="E809" s="395"/>
      <c r="F809" s="395"/>
      <c r="G809" s="395"/>
      <c r="H809" s="395"/>
      <c r="I809" s="395"/>
      <c r="J809" s="395"/>
      <c r="K809" s="395"/>
      <c r="L809" s="395"/>
      <c r="M809" s="395"/>
      <c r="N809" s="395"/>
      <c r="O809" s="395"/>
      <c r="P809" s="395"/>
      <c r="Q809" s="395"/>
      <c r="R809" s="395"/>
      <c r="S809" s="395"/>
      <c r="T809" s="395"/>
      <c r="U809" s="395"/>
    </row>
    <row r="810" ht="15.75" customHeight="1">
      <c r="A810" s="395"/>
      <c r="B810" s="395"/>
      <c r="C810" s="395"/>
      <c r="D810" s="395"/>
      <c r="E810" s="395"/>
      <c r="F810" s="395"/>
      <c r="G810" s="395"/>
      <c r="H810" s="395"/>
      <c r="I810" s="395"/>
      <c r="J810" s="395"/>
      <c r="K810" s="395"/>
      <c r="L810" s="395"/>
      <c r="M810" s="395"/>
      <c r="N810" s="395"/>
      <c r="O810" s="395"/>
      <c r="P810" s="395"/>
      <c r="Q810" s="395"/>
      <c r="R810" s="395"/>
      <c r="S810" s="395"/>
      <c r="T810" s="395"/>
      <c r="U810" s="395"/>
    </row>
    <row r="811" ht="15.75" customHeight="1">
      <c r="A811" s="395"/>
      <c r="B811" s="395"/>
      <c r="C811" s="395"/>
      <c r="D811" s="395"/>
      <c r="E811" s="395"/>
      <c r="F811" s="395"/>
      <c r="G811" s="395"/>
      <c r="H811" s="395"/>
      <c r="I811" s="395"/>
      <c r="J811" s="395"/>
      <c r="K811" s="395"/>
      <c r="L811" s="395"/>
      <c r="M811" s="395"/>
      <c r="N811" s="395"/>
      <c r="O811" s="395"/>
      <c r="P811" s="395"/>
      <c r="Q811" s="395"/>
      <c r="R811" s="395"/>
      <c r="S811" s="395"/>
      <c r="T811" s="395"/>
      <c r="U811" s="395"/>
    </row>
    <row r="812" ht="15.75" customHeight="1">
      <c r="A812" s="395"/>
      <c r="B812" s="395"/>
      <c r="C812" s="395"/>
      <c r="D812" s="395"/>
      <c r="E812" s="395"/>
      <c r="F812" s="395"/>
      <c r="G812" s="395"/>
      <c r="H812" s="395"/>
      <c r="I812" s="395"/>
      <c r="J812" s="395"/>
      <c r="K812" s="395"/>
      <c r="L812" s="395"/>
      <c r="M812" s="395"/>
      <c r="N812" s="395"/>
      <c r="O812" s="395"/>
      <c r="P812" s="395"/>
      <c r="Q812" s="395"/>
      <c r="R812" s="395"/>
      <c r="S812" s="395"/>
      <c r="T812" s="395"/>
      <c r="U812" s="395"/>
    </row>
    <row r="813" ht="15.75" customHeight="1">
      <c r="A813" s="395"/>
      <c r="B813" s="395"/>
      <c r="C813" s="395"/>
      <c r="D813" s="395"/>
      <c r="E813" s="395"/>
      <c r="F813" s="395"/>
      <c r="G813" s="395"/>
      <c r="H813" s="395"/>
      <c r="I813" s="395"/>
      <c r="J813" s="395"/>
      <c r="K813" s="395"/>
      <c r="L813" s="395"/>
      <c r="M813" s="395"/>
      <c r="N813" s="395"/>
      <c r="O813" s="395"/>
      <c r="P813" s="395"/>
      <c r="Q813" s="395"/>
      <c r="R813" s="395"/>
      <c r="S813" s="395"/>
      <c r="T813" s="395"/>
      <c r="U813" s="395"/>
    </row>
    <row r="814" ht="15.75" customHeight="1">
      <c r="A814" s="395"/>
      <c r="B814" s="395"/>
      <c r="C814" s="395"/>
      <c r="D814" s="395"/>
      <c r="E814" s="395"/>
      <c r="F814" s="395"/>
      <c r="G814" s="395"/>
      <c r="H814" s="395"/>
      <c r="I814" s="395"/>
      <c r="J814" s="395"/>
      <c r="K814" s="395"/>
      <c r="L814" s="395"/>
      <c r="M814" s="395"/>
      <c r="N814" s="395"/>
      <c r="O814" s="395"/>
      <c r="P814" s="395"/>
      <c r="Q814" s="395"/>
      <c r="R814" s="395"/>
      <c r="S814" s="395"/>
      <c r="T814" s="395"/>
      <c r="U814" s="395"/>
    </row>
    <row r="815" ht="15.75" customHeight="1">
      <c r="A815" s="395"/>
      <c r="B815" s="395"/>
      <c r="C815" s="395"/>
      <c r="D815" s="395"/>
      <c r="E815" s="395"/>
      <c r="F815" s="395"/>
      <c r="G815" s="395"/>
      <c r="H815" s="395"/>
      <c r="I815" s="395"/>
      <c r="J815" s="395"/>
      <c r="K815" s="395"/>
      <c r="L815" s="395"/>
      <c r="M815" s="395"/>
      <c r="N815" s="395"/>
      <c r="O815" s="395"/>
      <c r="P815" s="395"/>
      <c r="Q815" s="395"/>
      <c r="R815" s="395"/>
      <c r="S815" s="395"/>
      <c r="T815" s="395"/>
      <c r="U815" s="395"/>
    </row>
    <row r="816" ht="15.75" customHeight="1">
      <c r="A816" s="395"/>
      <c r="B816" s="395"/>
      <c r="C816" s="395"/>
      <c r="D816" s="395"/>
      <c r="E816" s="395"/>
      <c r="F816" s="395"/>
      <c r="G816" s="395"/>
      <c r="H816" s="395"/>
      <c r="I816" s="395"/>
      <c r="J816" s="395"/>
      <c r="K816" s="395"/>
      <c r="L816" s="395"/>
      <c r="M816" s="395"/>
      <c r="N816" s="395"/>
      <c r="O816" s="395"/>
      <c r="P816" s="395"/>
      <c r="Q816" s="395"/>
      <c r="R816" s="395"/>
      <c r="S816" s="395"/>
      <c r="T816" s="395"/>
      <c r="U816" s="395"/>
    </row>
    <row r="817" ht="15.75" customHeight="1">
      <c r="A817" s="395"/>
      <c r="B817" s="395"/>
      <c r="C817" s="395"/>
      <c r="D817" s="395"/>
      <c r="E817" s="395"/>
      <c r="F817" s="395"/>
      <c r="G817" s="395"/>
      <c r="H817" s="395"/>
      <c r="I817" s="395"/>
      <c r="J817" s="395"/>
      <c r="K817" s="395"/>
      <c r="L817" s="395"/>
      <c r="M817" s="395"/>
      <c r="N817" s="395"/>
      <c r="O817" s="395"/>
      <c r="P817" s="395"/>
      <c r="Q817" s="395"/>
      <c r="R817" s="395"/>
      <c r="S817" s="395"/>
      <c r="T817" s="395"/>
      <c r="U817" s="395"/>
    </row>
    <row r="818" ht="15.75" customHeight="1">
      <c r="A818" s="395"/>
      <c r="B818" s="395"/>
      <c r="C818" s="395"/>
      <c r="D818" s="395"/>
      <c r="E818" s="395"/>
      <c r="F818" s="395"/>
      <c r="G818" s="395"/>
      <c r="H818" s="395"/>
      <c r="I818" s="395"/>
      <c r="J818" s="395"/>
      <c r="K818" s="395"/>
      <c r="L818" s="395"/>
      <c r="M818" s="395"/>
      <c r="N818" s="395"/>
      <c r="O818" s="395"/>
      <c r="P818" s="395"/>
      <c r="Q818" s="395"/>
      <c r="R818" s="395"/>
      <c r="S818" s="395"/>
      <c r="T818" s="395"/>
      <c r="U818" s="395"/>
    </row>
    <row r="819" ht="15.75" customHeight="1">
      <c r="A819" s="395"/>
      <c r="B819" s="395"/>
      <c r="C819" s="395"/>
      <c r="D819" s="395"/>
      <c r="E819" s="395"/>
      <c r="F819" s="395"/>
      <c r="G819" s="395"/>
      <c r="H819" s="395"/>
      <c r="I819" s="395"/>
      <c r="J819" s="395"/>
      <c r="K819" s="395"/>
      <c r="L819" s="395"/>
      <c r="M819" s="395"/>
      <c r="N819" s="395"/>
      <c r="O819" s="395"/>
      <c r="P819" s="395"/>
      <c r="Q819" s="395"/>
      <c r="R819" s="395"/>
      <c r="S819" s="395"/>
      <c r="T819" s="395"/>
      <c r="U819" s="395"/>
    </row>
    <row r="820" ht="15.75" customHeight="1">
      <c r="A820" s="395"/>
      <c r="B820" s="395"/>
      <c r="C820" s="395"/>
      <c r="D820" s="395"/>
      <c r="E820" s="395"/>
      <c r="F820" s="395"/>
      <c r="G820" s="395"/>
      <c r="H820" s="395"/>
      <c r="I820" s="395"/>
      <c r="J820" s="395"/>
      <c r="K820" s="395"/>
      <c r="L820" s="395"/>
      <c r="M820" s="395"/>
      <c r="N820" s="395"/>
      <c r="O820" s="395"/>
      <c r="P820" s="395"/>
      <c r="Q820" s="395"/>
      <c r="R820" s="395"/>
      <c r="S820" s="395"/>
      <c r="T820" s="395"/>
      <c r="U820" s="395"/>
    </row>
    <row r="821" ht="15.75" customHeight="1">
      <c r="A821" s="395"/>
      <c r="B821" s="395"/>
      <c r="C821" s="395"/>
      <c r="D821" s="395"/>
      <c r="E821" s="395"/>
      <c r="F821" s="395"/>
      <c r="G821" s="395"/>
      <c r="H821" s="395"/>
      <c r="I821" s="395"/>
      <c r="J821" s="395"/>
      <c r="K821" s="395"/>
      <c r="L821" s="395"/>
      <c r="M821" s="395"/>
      <c r="N821" s="395"/>
      <c r="O821" s="395"/>
      <c r="P821" s="395"/>
      <c r="Q821" s="395"/>
      <c r="R821" s="395"/>
      <c r="S821" s="395"/>
      <c r="T821" s="395"/>
      <c r="U821" s="395"/>
    </row>
    <row r="822" ht="15.75" customHeight="1">
      <c r="A822" s="395"/>
      <c r="B822" s="395"/>
      <c r="C822" s="395"/>
      <c r="D822" s="395"/>
      <c r="E822" s="395"/>
      <c r="F822" s="395"/>
      <c r="G822" s="395"/>
      <c r="H822" s="395"/>
      <c r="I822" s="395"/>
      <c r="J822" s="395"/>
      <c r="K822" s="395"/>
      <c r="L822" s="395"/>
      <c r="M822" s="395"/>
      <c r="N822" s="395"/>
      <c r="O822" s="395"/>
      <c r="P822" s="395"/>
      <c r="Q822" s="395"/>
      <c r="R822" s="395"/>
      <c r="S822" s="395"/>
      <c r="T822" s="395"/>
      <c r="U822" s="395"/>
    </row>
    <row r="823" ht="15.75" customHeight="1">
      <c r="A823" s="395"/>
      <c r="B823" s="395"/>
      <c r="C823" s="395"/>
      <c r="D823" s="395"/>
      <c r="E823" s="395"/>
      <c r="F823" s="395"/>
      <c r="G823" s="395"/>
      <c r="H823" s="395"/>
      <c r="I823" s="395"/>
      <c r="J823" s="395"/>
      <c r="K823" s="395"/>
      <c r="L823" s="395"/>
      <c r="M823" s="395"/>
      <c r="N823" s="395"/>
      <c r="O823" s="395"/>
      <c r="P823" s="395"/>
      <c r="Q823" s="395"/>
      <c r="R823" s="395"/>
      <c r="S823" s="395"/>
      <c r="T823" s="395"/>
      <c r="U823" s="395"/>
    </row>
    <row r="824" ht="15.75" customHeight="1">
      <c r="A824" s="395"/>
      <c r="B824" s="395"/>
      <c r="C824" s="395"/>
      <c r="D824" s="395"/>
      <c r="E824" s="395"/>
      <c r="F824" s="395"/>
      <c r="G824" s="395"/>
      <c r="H824" s="395"/>
      <c r="I824" s="395"/>
      <c r="J824" s="395"/>
      <c r="K824" s="395"/>
      <c r="L824" s="395"/>
      <c r="M824" s="395"/>
      <c r="N824" s="395"/>
      <c r="O824" s="395"/>
      <c r="P824" s="395"/>
      <c r="Q824" s="395"/>
      <c r="R824" s="395"/>
      <c r="S824" s="395"/>
      <c r="T824" s="395"/>
      <c r="U824" s="395"/>
    </row>
    <row r="825" ht="15.75" customHeight="1">
      <c r="A825" s="395"/>
      <c r="B825" s="395"/>
      <c r="C825" s="395"/>
      <c r="D825" s="395"/>
      <c r="E825" s="395"/>
      <c r="F825" s="395"/>
      <c r="G825" s="395"/>
      <c r="H825" s="395"/>
      <c r="I825" s="395"/>
      <c r="J825" s="395"/>
      <c r="K825" s="395"/>
      <c r="L825" s="395"/>
      <c r="M825" s="395"/>
      <c r="N825" s="395"/>
      <c r="O825" s="395"/>
      <c r="P825" s="395"/>
      <c r="Q825" s="395"/>
      <c r="R825" s="395"/>
      <c r="S825" s="395"/>
      <c r="T825" s="395"/>
      <c r="U825" s="395"/>
    </row>
    <row r="826" ht="15.75" customHeight="1">
      <c r="A826" s="395"/>
      <c r="B826" s="395"/>
      <c r="C826" s="395"/>
      <c r="D826" s="395"/>
      <c r="E826" s="395"/>
      <c r="F826" s="395"/>
      <c r="G826" s="395"/>
      <c r="H826" s="395"/>
      <c r="I826" s="395"/>
      <c r="J826" s="395"/>
      <c r="K826" s="395"/>
      <c r="L826" s="395"/>
      <c r="M826" s="395"/>
      <c r="N826" s="395"/>
      <c r="O826" s="395"/>
      <c r="P826" s="395"/>
      <c r="Q826" s="395"/>
      <c r="R826" s="395"/>
      <c r="S826" s="395"/>
      <c r="T826" s="395"/>
      <c r="U826" s="395"/>
    </row>
    <row r="827" ht="15.75" customHeight="1">
      <c r="A827" s="395"/>
      <c r="B827" s="395"/>
      <c r="C827" s="395"/>
      <c r="D827" s="395"/>
      <c r="E827" s="395"/>
      <c r="F827" s="395"/>
      <c r="G827" s="395"/>
      <c r="H827" s="395"/>
      <c r="I827" s="395"/>
      <c r="J827" s="395"/>
      <c r="K827" s="395"/>
      <c r="L827" s="395"/>
      <c r="M827" s="395"/>
      <c r="N827" s="395"/>
      <c r="O827" s="395"/>
      <c r="P827" s="395"/>
      <c r="Q827" s="395"/>
      <c r="R827" s="395"/>
      <c r="S827" s="395"/>
      <c r="T827" s="395"/>
      <c r="U827" s="395"/>
    </row>
    <row r="828" ht="15.75" customHeight="1">
      <c r="A828" s="395"/>
      <c r="B828" s="395"/>
      <c r="C828" s="395"/>
      <c r="D828" s="395"/>
      <c r="E828" s="395"/>
      <c r="F828" s="395"/>
      <c r="G828" s="395"/>
      <c r="H828" s="395"/>
      <c r="I828" s="395"/>
      <c r="J828" s="395"/>
      <c r="K828" s="395"/>
      <c r="L828" s="395"/>
      <c r="M828" s="395"/>
      <c r="N828" s="395"/>
      <c r="O828" s="395"/>
      <c r="P828" s="395"/>
      <c r="Q828" s="395"/>
      <c r="R828" s="395"/>
      <c r="S828" s="395"/>
      <c r="T828" s="395"/>
      <c r="U828" s="395"/>
    </row>
    <row r="829" ht="15.75" customHeight="1">
      <c r="A829" s="395"/>
      <c r="B829" s="395"/>
      <c r="C829" s="395"/>
      <c r="D829" s="395"/>
      <c r="E829" s="395"/>
      <c r="F829" s="395"/>
      <c r="G829" s="395"/>
      <c r="H829" s="395"/>
      <c r="I829" s="395"/>
      <c r="J829" s="395"/>
      <c r="K829" s="395"/>
      <c r="L829" s="395"/>
      <c r="M829" s="395"/>
      <c r="N829" s="395"/>
      <c r="O829" s="395"/>
      <c r="P829" s="395"/>
      <c r="Q829" s="395"/>
      <c r="R829" s="395"/>
      <c r="S829" s="395"/>
      <c r="T829" s="395"/>
      <c r="U829" s="395"/>
    </row>
    <row r="830" ht="15.75" customHeight="1">
      <c r="A830" s="395"/>
      <c r="B830" s="395"/>
      <c r="C830" s="395"/>
      <c r="D830" s="395"/>
      <c r="E830" s="395"/>
      <c r="F830" s="395"/>
      <c r="G830" s="395"/>
      <c r="H830" s="395"/>
      <c r="I830" s="395"/>
      <c r="J830" s="395"/>
      <c r="K830" s="395"/>
      <c r="L830" s="395"/>
      <c r="M830" s="395"/>
      <c r="N830" s="395"/>
      <c r="O830" s="395"/>
      <c r="P830" s="395"/>
      <c r="Q830" s="395"/>
      <c r="R830" s="395"/>
      <c r="S830" s="395"/>
      <c r="T830" s="395"/>
      <c r="U830" s="395"/>
    </row>
    <row r="831" ht="15.75" customHeight="1">
      <c r="A831" s="395"/>
      <c r="B831" s="395"/>
      <c r="C831" s="395"/>
      <c r="D831" s="395"/>
      <c r="E831" s="395"/>
      <c r="F831" s="395"/>
      <c r="G831" s="395"/>
      <c r="H831" s="395"/>
      <c r="I831" s="395"/>
      <c r="J831" s="395"/>
      <c r="K831" s="395"/>
      <c r="L831" s="395"/>
      <c r="M831" s="395"/>
      <c r="N831" s="395"/>
      <c r="O831" s="395"/>
      <c r="P831" s="395"/>
      <c r="Q831" s="395"/>
      <c r="R831" s="395"/>
      <c r="S831" s="395"/>
      <c r="T831" s="395"/>
      <c r="U831" s="395"/>
    </row>
    <row r="832" ht="15.75" customHeight="1">
      <c r="A832" s="395"/>
      <c r="B832" s="395"/>
      <c r="C832" s="395"/>
      <c r="D832" s="395"/>
      <c r="E832" s="395"/>
      <c r="F832" s="395"/>
      <c r="G832" s="395"/>
      <c r="H832" s="395"/>
      <c r="I832" s="395"/>
      <c r="J832" s="395"/>
      <c r="K832" s="395"/>
      <c r="L832" s="395"/>
      <c r="M832" s="395"/>
      <c r="N832" s="395"/>
      <c r="O832" s="395"/>
      <c r="P832" s="395"/>
      <c r="Q832" s="395"/>
      <c r="R832" s="395"/>
      <c r="S832" s="395"/>
      <c r="T832" s="395"/>
      <c r="U832" s="395"/>
    </row>
    <row r="833" ht="15.75" customHeight="1">
      <c r="A833" s="395"/>
      <c r="B833" s="395"/>
      <c r="C833" s="395"/>
      <c r="D833" s="395"/>
      <c r="E833" s="395"/>
      <c r="F833" s="395"/>
      <c r="G833" s="395"/>
      <c r="H833" s="395"/>
      <c r="I833" s="395"/>
      <c r="J833" s="395"/>
      <c r="K833" s="395"/>
      <c r="L833" s="395"/>
      <c r="M833" s="395"/>
      <c r="N833" s="395"/>
      <c r="O833" s="395"/>
      <c r="P833" s="395"/>
      <c r="Q833" s="395"/>
      <c r="R833" s="395"/>
      <c r="S833" s="395"/>
      <c r="T833" s="395"/>
      <c r="U833" s="395"/>
    </row>
    <row r="834" ht="15.75" customHeight="1">
      <c r="A834" s="395"/>
      <c r="B834" s="395"/>
      <c r="C834" s="395"/>
      <c r="D834" s="395"/>
      <c r="E834" s="395"/>
      <c r="F834" s="395"/>
      <c r="G834" s="395"/>
      <c r="H834" s="395"/>
      <c r="I834" s="395"/>
      <c r="J834" s="395"/>
      <c r="K834" s="395"/>
      <c r="L834" s="395"/>
      <c r="M834" s="395"/>
      <c r="N834" s="395"/>
      <c r="O834" s="395"/>
      <c r="P834" s="395"/>
      <c r="Q834" s="395"/>
      <c r="R834" s="395"/>
      <c r="S834" s="395"/>
      <c r="T834" s="395"/>
      <c r="U834" s="395"/>
    </row>
    <row r="835" ht="15.75" customHeight="1">
      <c r="A835" s="395"/>
      <c r="B835" s="395"/>
      <c r="C835" s="395"/>
      <c r="D835" s="395"/>
      <c r="E835" s="395"/>
      <c r="F835" s="395"/>
      <c r="G835" s="395"/>
      <c r="H835" s="395"/>
      <c r="I835" s="395"/>
      <c r="J835" s="395"/>
      <c r="K835" s="395"/>
      <c r="L835" s="395"/>
      <c r="M835" s="395"/>
      <c r="N835" s="395"/>
      <c r="O835" s="395"/>
      <c r="P835" s="395"/>
      <c r="Q835" s="395"/>
      <c r="R835" s="395"/>
      <c r="S835" s="395"/>
      <c r="T835" s="395"/>
      <c r="U835" s="395"/>
    </row>
    <row r="836" ht="15.75" customHeight="1">
      <c r="A836" s="395"/>
      <c r="B836" s="395"/>
      <c r="C836" s="395"/>
      <c r="D836" s="395"/>
      <c r="E836" s="395"/>
      <c r="F836" s="395"/>
      <c r="G836" s="395"/>
      <c r="H836" s="395"/>
      <c r="I836" s="395"/>
      <c r="J836" s="395"/>
      <c r="K836" s="395"/>
      <c r="L836" s="395"/>
      <c r="M836" s="395"/>
      <c r="N836" s="395"/>
      <c r="O836" s="395"/>
      <c r="P836" s="395"/>
      <c r="Q836" s="395"/>
      <c r="R836" s="395"/>
      <c r="S836" s="395"/>
      <c r="T836" s="395"/>
      <c r="U836" s="395"/>
    </row>
    <row r="837" ht="15.75" customHeight="1">
      <c r="A837" s="395"/>
      <c r="B837" s="395"/>
      <c r="C837" s="395"/>
      <c r="D837" s="395"/>
      <c r="E837" s="395"/>
      <c r="F837" s="395"/>
      <c r="G837" s="395"/>
      <c r="H837" s="395"/>
      <c r="I837" s="395"/>
      <c r="J837" s="395"/>
      <c r="K837" s="395"/>
      <c r="L837" s="395"/>
      <c r="M837" s="395"/>
      <c r="N837" s="395"/>
      <c r="O837" s="395"/>
      <c r="P837" s="395"/>
      <c r="Q837" s="395"/>
      <c r="R837" s="395"/>
      <c r="S837" s="395"/>
      <c r="T837" s="395"/>
      <c r="U837" s="395"/>
    </row>
    <row r="838" ht="15.75" customHeight="1">
      <c r="A838" s="395"/>
      <c r="B838" s="395"/>
      <c r="C838" s="395"/>
      <c r="D838" s="395"/>
      <c r="E838" s="395"/>
      <c r="F838" s="395"/>
      <c r="G838" s="395"/>
      <c r="H838" s="395"/>
      <c r="I838" s="395"/>
      <c r="J838" s="395"/>
      <c r="K838" s="395"/>
      <c r="L838" s="395"/>
      <c r="M838" s="395"/>
      <c r="N838" s="395"/>
      <c r="O838" s="395"/>
      <c r="P838" s="395"/>
      <c r="Q838" s="395"/>
      <c r="R838" s="395"/>
      <c r="S838" s="395"/>
      <c r="T838" s="395"/>
      <c r="U838" s="395"/>
    </row>
    <row r="839" ht="15.75" customHeight="1">
      <c r="A839" s="395"/>
      <c r="B839" s="395"/>
      <c r="C839" s="395"/>
      <c r="D839" s="395"/>
      <c r="E839" s="395"/>
      <c r="F839" s="395"/>
      <c r="G839" s="395"/>
      <c r="H839" s="395"/>
      <c r="I839" s="395"/>
      <c r="J839" s="395"/>
      <c r="K839" s="395"/>
      <c r="L839" s="395"/>
      <c r="M839" s="395"/>
      <c r="N839" s="395"/>
      <c r="O839" s="395"/>
      <c r="P839" s="395"/>
      <c r="Q839" s="395"/>
      <c r="R839" s="395"/>
      <c r="S839" s="395"/>
      <c r="T839" s="395"/>
      <c r="U839" s="395"/>
    </row>
    <row r="840" ht="15.75" customHeight="1">
      <c r="A840" s="395"/>
      <c r="B840" s="395"/>
      <c r="C840" s="395"/>
      <c r="D840" s="395"/>
      <c r="E840" s="395"/>
      <c r="F840" s="395"/>
      <c r="G840" s="395"/>
      <c r="H840" s="395"/>
      <c r="I840" s="395"/>
      <c r="J840" s="395"/>
      <c r="K840" s="395"/>
      <c r="L840" s="395"/>
      <c r="M840" s="395"/>
      <c r="N840" s="395"/>
      <c r="O840" s="395"/>
      <c r="P840" s="395"/>
      <c r="Q840" s="395"/>
      <c r="R840" s="395"/>
      <c r="S840" s="395"/>
      <c r="T840" s="395"/>
      <c r="U840" s="395"/>
    </row>
    <row r="841" ht="15.75" customHeight="1">
      <c r="A841" s="395"/>
      <c r="B841" s="395"/>
      <c r="C841" s="395"/>
      <c r="D841" s="395"/>
      <c r="E841" s="395"/>
      <c r="F841" s="395"/>
      <c r="G841" s="395"/>
      <c r="H841" s="395"/>
      <c r="I841" s="395"/>
      <c r="J841" s="395"/>
      <c r="K841" s="395"/>
      <c r="L841" s="395"/>
      <c r="M841" s="395"/>
      <c r="N841" s="395"/>
      <c r="O841" s="395"/>
      <c r="P841" s="395"/>
      <c r="Q841" s="395"/>
      <c r="R841" s="395"/>
      <c r="S841" s="395"/>
      <c r="T841" s="395"/>
      <c r="U841" s="395"/>
    </row>
    <row r="842" ht="15.75" customHeight="1">
      <c r="A842" s="395"/>
      <c r="B842" s="395"/>
      <c r="C842" s="395"/>
      <c r="D842" s="395"/>
      <c r="E842" s="395"/>
      <c r="F842" s="395"/>
      <c r="G842" s="395"/>
      <c r="H842" s="395"/>
      <c r="I842" s="395"/>
      <c r="J842" s="395"/>
      <c r="K842" s="395"/>
      <c r="L842" s="395"/>
      <c r="M842" s="395"/>
      <c r="N842" s="395"/>
      <c r="O842" s="395"/>
      <c r="P842" s="395"/>
      <c r="Q842" s="395"/>
      <c r="R842" s="395"/>
      <c r="S842" s="395"/>
      <c r="T842" s="395"/>
      <c r="U842" s="395"/>
    </row>
    <row r="843" ht="15.75" customHeight="1">
      <c r="A843" s="395"/>
      <c r="B843" s="395"/>
      <c r="C843" s="395"/>
      <c r="D843" s="395"/>
      <c r="E843" s="395"/>
      <c r="F843" s="395"/>
      <c r="G843" s="395"/>
      <c r="H843" s="395"/>
      <c r="I843" s="395"/>
      <c r="J843" s="395"/>
      <c r="K843" s="395"/>
      <c r="L843" s="395"/>
      <c r="M843" s="395"/>
      <c r="N843" s="395"/>
      <c r="O843" s="395"/>
      <c r="P843" s="395"/>
      <c r="Q843" s="395"/>
      <c r="R843" s="395"/>
      <c r="S843" s="395"/>
      <c r="T843" s="395"/>
      <c r="U843" s="395"/>
    </row>
    <row r="844" ht="15.75" customHeight="1">
      <c r="A844" s="395"/>
      <c r="B844" s="395"/>
      <c r="C844" s="395"/>
      <c r="D844" s="395"/>
      <c r="E844" s="395"/>
      <c r="F844" s="395"/>
      <c r="G844" s="395"/>
      <c r="H844" s="395"/>
      <c r="I844" s="395"/>
      <c r="J844" s="395"/>
      <c r="K844" s="395"/>
      <c r="L844" s="395"/>
      <c r="M844" s="395"/>
      <c r="N844" s="395"/>
      <c r="O844" s="395"/>
      <c r="P844" s="395"/>
      <c r="Q844" s="395"/>
      <c r="R844" s="395"/>
      <c r="S844" s="395"/>
      <c r="T844" s="395"/>
      <c r="U844" s="395"/>
    </row>
    <row r="845" ht="15.75" customHeight="1">
      <c r="A845" s="395"/>
      <c r="B845" s="395"/>
      <c r="C845" s="395"/>
      <c r="D845" s="395"/>
      <c r="E845" s="395"/>
      <c r="F845" s="395"/>
      <c r="G845" s="395"/>
      <c r="H845" s="395"/>
      <c r="I845" s="395"/>
      <c r="J845" s="395"/>
      <c r="K845" s="395"/>
      <c r="L845" s="395"/>
      <c r="M845" s="395"/>
      <c r="N845" s="395"/>
      <c r="O845" s="395"/>
      <c r="P845" s="395"/>
      <c r="Q845" s="395"/>
      <c r="R845" s="395"/>
      <c r="S845" s="395"/>
      <c r="T845" s="395"/>
      <c r="U845" s="395"/>
    </row>
    <row r="846" ht="15.75" customHeight="1">
      <c r="A846" s="395"/>
      <c r="B846" s="395"/>
      <c r="C846" s="395"/>
      <c r="D846" s="395"/>
      <c r="E846" s="395"/>
      <c r="F846" s="395"/>
      <c r="G846" s="395"/>
      <c r="H846" s="395"/>
      <c r="I846" s="395"/>
      <c r="J846" s="395"/>
      <c r="K846" s="395"/>
      <c r="L846" s="395"/>
      <c r="M846" s="395"/>
      <c r="N846" s="395"/>
      <c r="O846" s="395"/>
      <c r="P846" s="395"/>
      <c r="Q846" s="395"/>
      <c r="R846" s="395"/>
      <c r="S846" s="395"/>
      <c r="T846" s="395"/>
      <c r="U846" s="395"/>
    </row>
    <row r="847" ht="15.75" customHeight="1">
      <c r="A847" s="395"/>
      <c r="B847" s="395"/>
      <c r="C847" s="395"/>
      <c r="D847" s="395"/>
      <c r="E847" s="395"/>
      <c r="F847" s="395"/>
      <c r="G847" s="395"/>
      <c r="H847" s="395"/>
      <c r="I847" s="395"/>
      <c r="J847" s="395"/>
      <c r="K847" s="395"/>
      <c r="L847" s="395"/>
      <c r="M847" s="395"/>
      <c r="N847" s="395"/>
      <c r="O847" s="395"/>
      <c r="P847" s="395"/>
      <c r="Q847" s="395"/>
      <c r="R847" s="395"/>
      <c r="S847" s="395"/>
      <c r="T847" s="395"/>
      <c r="U847" s="395"/>
    </row>
    <row r="848" ht="15.75" customHeight="1">
      <c r="A848" s="395"/>
      <c r="B848" s="395"/>
      <c r="C848" s="395"/>
      <c r="D848" s="395"/>
      <c r="E848" s="395"/>
      <c r="F848" s="395"/>
      <c r="G848" s="395"/>
      <c r="H848" s="395"/>
      <c r="I848" s="395"/>
      <c r="J848" s="395"/>
      <c r="K848" s="395"/>
      <c r="L848" s="395"/>
      <c r="M848" s="395"/>
      <c r="N848" s="395"/>
      <c r="O848" s="395"/>
      <c r="P848" s="395"/>
      <c r="Q848" s="395"/>
      <c r="R848" s="395"/>
      <c r="S848" s="395"/>
      <c r="T848" s="395"/>
      <c r="U848" s="395"/>
    </row>
    <row r="849" ht="15.75" customHeight="1">
      <c r="A849" s="395"/>
      <c r="B849" s="395"/>
      <c r="C849" s="395"/>
      <c r="D849" s="395"/>
      <c r="E849" s="395"/>
      <c r="F849" s="395"/>
      <c r="G849" s="395"/>
      <c r="H849" s="395"/>
      <c r="I849" s="395"/>
      <c r="J849" s="395"/>
      <c r="K849" s="395"/>
      <c r="L849" s="395"/>
      <c r="M849" s="395"/>
      <c r="N849" s="395"/>
      <c r="O849" s="395"/>
      <c r="P849" s="395"/>
      <c r="Q849" s="395"/>
      <c r="R849" s="395"/>
      <c r="S849" s="395"/>
      <c r="T849" s="395"/>
      <c r="U849" s="395"/>
    </row>
    <row r="850" ht="15.75" customHeight="1">
      <c r="A850" s="395"/>
      <c r="B850" s="395"/>
      <c r="C850" s="395"/>
      <c r="D850" s="395"/>
      <c r="E850" s="395"/>
      <c r="F850" s="395"/>
      <c r="G850" s="395"/>
      <c r="H850" s="395"/>
      <c r="I850" s="395"/>
      <c r="J850" s="395"/>
      <c r="K850" s="395"/>
      <c r="L850" s="395"/>
      <c r="M850" s="395"/>
      <c r="N850" s="395"/>
      <c r="O850" s="395"/>
      <c r="P850" s="395"/>
      <c r="Q850" s="395"/>
      <c r="R850" s="395"/>
      <c r="S850" s="395"/>
      <c r="T850" s="395"/>
      <c r="U850" s="395"/>
    </row>
    <row r="851" ht="15.75" customHeight="1">
      <c r="A851" s="395"/>
      <c r="B851" s="395"/>
      <c r="C851" s="395"/>
      <c r="D851" s="395"/>
      <c r="E851" s="395"/>
      <c r="F851" s="395"/>
      <c r="G851" s="395"/>
      <c r="H851" s="395"/>
      <c r="I851" s="395"/>
      <c r="J851" s="395"/>
      <c r="K851" s="395"/>
      <c r="L851" s="395"/>
      <c r="M851" s="395"/>
      <c r="N851" s="395"/>
      <c r="O851" s="395"/>
      <c r="P851" s="395"/>
      <c r="Q851" s="395"/>
      <c r="R851" s="395"/>
      <c r="S851" s="395"/>
      <c r="T851" s="395"/>
      <c r="U851" s="395"/>
    </row>
    <row r="852" ht="15.75" customHeight="1">
      <c r="A852" s="395"/>
      <c r="B852" s="395"/>
      <c r="C852" s="395"/>
      <c r="D852" s="395"/>
      <c r="E852" s="395"/>
      <c r="F852" s="395"/>
      <c r="G852" s="395"/>
      <c r="H852" s="395"/>
      <c r="I852" s="395"/>
      <c r="J852" s="395"/>
      <c r="K852" s="395"/>
      <c r="L852" s="395"/>
      <c r="M852" s="395"/>
      <c r="N852" s="395"/>
      <c r="O852" s="395"/>
      <c r="P852" s="395"/>
      <c r="Q852" s="395"/>
      <c r="R852" s="395"/>
      <c r="S852" s="395"/>
      <c r="T852" s="395"/>
      <c r="U852" s="395"/>
    </row>
    <row r="853" ht="15.75" customHeight="1">
      <c r="A853" s="395"/>
      <c r="B853" s="395"/>
      <c r="C853" s="395"/>
      <c r="D853" s="395"/>
      <c r="E853" s="395"/>
      <c r="F853" s="395"/>
      <c r="G853" s="395"/>
      <c r="H853" s="395"/>
      <c r="I853" s="395"/>
      <c r="J853" s="395"/>
      <c r="K853" s="395"/>
      <c r="L853" s="395"/>
      <c r="M853" s="395"/>
      <c r="N853" s="395"/>
      <c r="O853" s="395"/>
      <c r="P853" s="395"/>
      <c r="Q853" s="395"/>
      <c r="R853" s="395"/>
      <c r="S853" s="395"/>
      <c r="T853" s="395"/>
      <c r="U853" s="395"/>
    </row>
    <row r="854" ht="15.75" customHeight="1">
      <c r="A854" s="395"/>
      <c r="B854" s="395"/>
      <c r="C854" s="395"/>
      <c r="D854" s="395"/>
      <c r="E854" s="395"/>
      <c r="F854" s="395"/>
      <c r="G854" s="395"/>
      <c r="H854" s="395"/>
      <c r="I854" s="395"/>
      <c r="J854" s="395"/>
      <c r="K854" s="395"/>
      <c r="L854" s="395"/>
      <c r="M854" s="395"/>
      <c r="N854" s="395"/>
      <c r="O854" s="395"/>
      <c r="P854" s="395"/>
      <c r="Q854" s="395"/>
      <c r="R854" s="395"/>
      <c r="S854" s="395"/>
      <c r="T854" s="395"/>
      <c r="U854" s="395"/>
    </row>
    <row r="855" ht="15.75" customHeight="1">
      <c r="A855" s="395"/>
      <c r="B855" s="395"/>
      <c r="C855" s="395"/>
      <c r="D855" s="395"/>
      <c r="E855" s="395"/>
      <c r="F855" s="395"/>
      <c r="G855" s="395"/>
      <c r="H855" s="395"/>
      <c r="I855" s="395"/>
      <c r="J855" s="395"/>
      <c r="K855" s="395"/>
      <c r="L855" s="395"/>
      <c r="M855" s="395"/>
      <c r="N855" s="395"/>
      <c r="O855" s="395"/>
      <c r="P855" s="395"/>
      <c r="Q855" s="395"/>
      <c r="R855" s="395"/>
      <c r="S855" s="395"/>
      <c r="T855" s="395"/>
      <c r="U855" s="395"/>
    </row>
    <row r="856" ht="15.75" customHeight="1">
      <c r="A856" s="395"/>
      <c r="B856" s="395"/>
      <c r="C856" s="395"/>
      <c r="D856" s="395"/>
      <c r="E856" s="395"/>
      <c r="F856" s="395"/>
      <c r="G856" s="395"/>
      <c r="H856" s="395"/>
      <c r="I856" s="395"/>
      <c r="J856" s="395"/>
      <c r="K856" s="395"/>
      <c r="L856" s="395"/>
      <c r="M856" s="395"/>
      <c r="N856" s="395"/>
      <c r="O856" s="395"/>
      <c r="P856" s="395"/>
      <c r="Q856" s="395"/>
      <c r="R856" s="395"/>
      <c r="S856" s="395"/>
      <c r="T856" s="395"/>
      <c r="U856" s="395"/>
    </row>
    <row r="857" ht="15.75" customHeight="1">
      <c r="A857" s="395"/>
      <c r="B857" s="395"/>
      <c r="C857" s="395"/>
      <c r="D857" s="395"/>
      <c r="E857" s="395"/>
      <c r="F857" s="395"/>
      <c r="G857" s="395"/>
      <c r="H857" s="395"/>
      <c r="I857" s="395"/>
      <c r="J857" s="395"/>
      <c r="K857" s="395"/>
      <c r="L857" s="395"/>
      <c r="M857" s="395"/>
      <c r="N857" s="395"/>
      <c r="O857" s="395"/>
      <c r="P857" s="395"/>
      <c r="Q857" s="395"/>
      <c r="R857" s="395"/>
      <c r="S857" s="395"/>
      <c r="T857" s="395"/>
      <c r="U857" s="395"/>
    </row>
    <row r="858" ht="15.75" customHeight="1">
      <c r="A858" s="395"/>
      <c r="B858" s="395"/>
      <c r="C858" s="395"/>
      <c r="D858" s="395"/>
      <c r="E858" s="395"/>
      <c r="F858" s="395"/>
      <c r="G858" s="395"/>
      <c r="H858" s="395"/>
      <c r="I858" s="395"/>
      <c r="J858" s="395"/>
      <c r="K858" s="395"/>
      <c r="L858" s="395"/>
      <c r="M858" s="395"/>
      <c r="N858" s="395"/>
      <c r="O858" s="395"/>
      <c r="P858" s="395"/>
      <c r="Q858" s="395"/>
      <c r="R858" s="395"/>
      <c r="S858" s="395"/>
      <c r="T858" s="395"/>
      <c r="U858" s="395"/>
    </row>
    <row r="859" ht="15.75" customHeight="1">
      <c r="A859" s="395"/>
      <c r="B859" s="395"/>
      <c r="C859" s="395"/>
      <c r="D859" s="395"/>
      <c r="E859" s="395"/>
      <c r="F859" s="395"/>
      <c r="G859" s="395"/>
      <c r="H859" s="395"/>
      <c r="I859" s="395"/>
      <c r="J859" s="395"/>
      <c r="K859" s="395"/>
      <c r="L859" s="395"/>
      <c r="M859" s="395"/>
      <c r="N859" s="395"/>
      <c r="O859" s="395"/>
      <c r="P859" s="395"/>
      <c r="Q859" s="395"/>
      <c r="R859" s="395"/>
      <c r="S859" s="395"/>
      <c r="T859" s="395"/>
      <c r="U859" s="395"/>
    </row>
    <row r="860" ht="15.75" customHeight="1">
      <c r="A860" s="395"/>
      <c r="B860" s="395"/>
      <c r="C860" s="395"/>
      <c r="D860" s="395"/>
      <c r="E860" s="395"/>
      <c r="F860" s="395"/>
      <c r="G860" s="395"/>
      <c r="H860" s="395"/>
      <c r="I860" s="395"/>
      <c r="J860" s="395"/>
      <c r="K860" s="395"/>
      <c r="L860" s="395"/>
      <c r="M860" s="395"/>
      <c r="N860" s="395"/>
      <c r="O860" s="395"/>
      <c r="P860" s="395"/>
      <c r="Q860" s="395"/>
      <c r="R860" s="395"/>
      <c r="S860" s="395"/>
      <c r="T860" s="395"/>
      <c r="U860" s="395"/>
    </row>
    <row r="861" ht="15.75" customHeight="1">
      <c r="A861" s="395"/>
      <c r="B861" s="395"/>
      <c r="C861" s="395"/>
      <c r="D861" s="395"/>
      <c r="E861" s="395"/>
      <c r="F861" s="395"/>
      <c r="G861" s="395"/>
      <c r="H861" s="395"/>
      <c r="I861" s="395"/>
      <c r="J861" s="395"/>
      <c r="K861" s="395"/>
      <c r="L861" s="395"/>
      <c r="M861" s="395"/>
      <c r="N861" s="395"/>
      <c r="O861" s="395"/>
      <c r="P861" s="395"/>
      <c r="Q861" s="395"/>
      <c r="R861" s="395"/>
      <c r="S861" s="395"/>
      <c r="T861" s="395"/>
      <c r="U861" s="395"/>
    </row>
    <row r="862" ht="15.75" customHeight="1">
      <c r="A862" s="395"/>
      <c r="B862" s="395"/>
      <c r="C862" s="395"/>
      <c r="D862" s="395"/>
      <c r="E862" s="395"/>
      <c r="F862" s="395"/>
      <c r="G862" s="395"/>
      <c r="H862" s="395"/>
      <c r="I862" s="395"/>
      <c r="J862" s="395"/>
      <c r="K862" s="395"/>
      <c r="L862" s="395"/>
      <c r="M862" s="395"/>
      <c r="N862" s="395"/>
      <c r="O862" s="395"/>
      <c r="P862" s="395"/>
      <c r="Q862" s="395"/>
      <c r="R862" s="395"/>
      <c r="S862" s="395"/>
      <c r="T862" s="395"/>
      <c r="U862" s="395"/>
    </row>
    <row r="863" ht="15.75" customHeight="1">
      <c r="A863" s="395"/>
      <c r="B863" s="395"/>
      <c r="C863" s="395"/>
      <c r="D863" s="395"/>
      <c r="E863" s="395"/>
      <c r="F863" s="395"/>
      <c r="G863" s="395"/>
      <c r="H863" s="395"/>
      <c r="I863" s="395"/>
      <c r="J863" s="395"/>
      <c r="K863" s="395"/>
      <c r="L863" s="395"/>
      <c r="M863" s="395"/>
      <c r="N863" s="395"/>
      <c r="O863" s="395"/>
      <c r="P863" s="395"/>
      <c r="Q863" s="395"/>
      <c r="R863" s="395"/>
      <c r="S863" s="395"/>
      <c r="T863" s="395"/>
      <c r="U863" s="395"/>
    </row>
    <row r="864" ht="15.75" customHeight="1">
      <c r="A864" s="395"/>
      <c r="B864" s="395"/>
      <c r="C864" s="395"/>
      <c r="D864" s="395"/>
      <c r="E864" s="395"/>
      <c r="F864" s="395"/>
      <c r="G864" s="395"/>
      <c r="H864" s="395"/>
      <c r="I864" s="395"/>
      <c r="J864" s="395"/>
      <c r="K864" s="395"/>
      <c r="L864" s="395"/>
      <c r="M864" s="395"/>
      <c r="N864" s="395"/>
      <c r="O864" s="395"/>
      <c r="P864" s="395"/>
      <c r="Q864" s="395"/>
      <c r="R864" s="395"/>
      <c r="S864" s="395"/>
      <c r="T864" s="395"/>
      <c r="U864" s="395"/>
    </row>
    <row r="865" ht="15.75" customHeight="1">
      <c r="A865" s="395"/>
      <c r="B865" s="395"/>
      <c r="C865" s="395"/>
      <c r="D865" s="395"/>
      <c r="E865" s="395"/>
      <c r="F865" s="395"/>
      <c r="G865" s="395"/>
      <c r="H865" s="395"/>
      <c r="I865" s="395"/>
      <c r="J865" s="395"/>
      <c r="K865" s="395"/>
      <c r="L865" s="395"/>
      <c r="M865" s="395"/>
      <c r="N865" s="395"/>
      <c r="O865" s="395"/>
      <c r="P865" s="395"/>
      <c r="Q865" s="395"/>
      <c r="R865" s="395"/>
      <c r="S865" s="395"/>
      <c r="T865" s="395"/>
      <c r="U865" s="395"/>
    </row>
    <row r="866" ht="15.75" customHeight="1">
      <c r="A866" s="395"/>
      <c r="B866" s="395"/>
      <c r="C866" s="395"/>
      <c r="D866" s="395"/>
      <c r="E866" s="395"/>
      <c r="F866" s="395"/>
      <c r="G866" s="395"/>
      <c r="H866" s="395"/>
      <c r="I866" s="395"/>
      <c r="J866" s="395"/>
      <c r="K866" s="395"/>
      <c r="L866" s="395"/>
      <c r="M866" s="395"/>
      <c r="N866" s="395"/>
      <c r="O866" s="395"/>
      <c r="P866" s="395"/>
      <c r="Q866" s="395"/>
      <c r="R866" s="395"/>
      <c r="S866" s="395"/>
      <c r="T866" s="395"/>
      <c r="U866" s="395"/>
    </row>
    <row r="867" ht="15.75" customHeight="1">
      <c r="A867" s="395"/>
      <c r="B867" s="395"/>
      <c r="C867" s="395"/>
      <c r="D867" s="395"/>
      <c r="E867" s="395"/>
      <c r="F867" s="395"/>
      <c r="G867" s="395"/>
      <c r="H867" s="395"/>
      <c r="I867" s="395"/>
      <c r="J867" s="395"/>
      <c r="K867" s="395"/>
      <c r="L867" s="395"/>
      <c r="M867" s="395"/>
      <c r="N867" s="395"/>
      <c r="O867" s="395"/>
      <c r="P867" s="395"/>
      <c r="Q867" s="395"/>
      <c r="R867" s="395"/>
      <c r="S867" s="395"/>
      <c r="T867" s="395"/>
      <c r="U867" s="395"/>
    </row>
    <row r="868" ht="15.75" customHeight="1">
      <c r="A868" s="395"/>
      <c r="B868" s="395"/>
      <c r="C868" s="395"/>
      <c r="D868" s="395"/>
      <c r="E868" s="395"/>
      <c r="F868" s="395"/>
      <c r="G868" s="395"/>
      <c r="H868" s="395"/>
      <c r="I868" s="395"/>
      <c r="J868" s="395"/>
      <c r="K868" s="395"/>
      <c r="L868" s="395"/>
      <c r="M868" s="395"/>
      <c r="N868" s="395"/>
      <c r="O868" s="395"/>
      <c r="P868" s="395"/>
      <c r="Q868" s="395"/>
      <c r="R868" s="395"/>
      <c r="S868" s="395"/>
      <c r="T868" s="395"/>
      <c r="U868" s="395"/>
    </row>
    <row r="869" ht="15.75" customHeight="1">
      <c r="A869" s="395"/>
      <c r="B869" s="395"/>
      <c r="C869" s="395"/>
      <c r="D869" s="395"/>
      <c r="E869" s="395"/>
      <c r="F869" s="395"/>
      <c r="G869" s="395"/>
      <c r="H869" s="395"/>
      <c r="I869" s="395"/>
      <c r="J869" s="395"/>
      <c r="K869" s="395"/>
      <c r="L869" s="395"/>
      <c r="M869" s="395"/>
      <c r="N869" s="395"/>
      <c r="O869" s="395"/>
      <c r="P869" s="395"/>
      <c r="Q869" s="395"/>
      <c r="R869" s="395"/>
      <c r="S869" s="395"/>
      <c r="T869" s="395"/>
      <c r="U869" s="395"/>
    </row>
    <row r="870" ht="15.75" customHeight="1">
      <c r="A870" s="395"/>
      <c r="B870" s="395"/>
      <c r="C870" s="395"/>
      <c r="D870" s="395"/>
      <c r="E870" s="395"/>
      <c r="F870" s="395"/>
      <c r="G870" s="395"/>
      <c r="H870" s="395"/>
      <c r="I870" s="395"/>
      <c r="J870" s="395"/>
      <c r="K870" s="395"/>
      <c r="L870" s="395"/>
      <c r="M870" s="395"/>
      <c r="N870" s="395"/>
      <c r="O870" s="395"/>
      <c r="P870" s="395"/>
      <c r="Q870" s="395"/>
      <c r="R870" s="395"/>
      <c r="S870" s="395"/>
      <c r="T870" s="395"/>
      <c r="U870" s="395"/>
    </row>
    <row r="871" ht="15.75" customHeight="1">
      <c r="A871" s="395"/>
      <c r="B871" s="395"/>
      <c r="C871" s="395"/>
      <c r="D871" s="395"/>
      <c r="E871" s="395"/>
      <c r="F871" s="395"/>
      <c r="G871" s="395"/>
      <c r="H871" s="395"/>
      <c r="I871" s="395"/>
      <c r="J871" s="395"/>
      <c r="K871" s="395"/>
      <c r="L871" s="395"/>
      <c r="M871" s="395"/>
      <c r="N871" s="395"/>
      <c r="O871" s="395"/>
      <c r="P871" s="395"/>
      <c r="Q871" s="395"/>
      <c r="R871" s="395"/>
      <c r="S871" s="395"/>
      <c r="T871" s="395"/>
      <c r="U871" s="395"/>
    </row>
    <row r="872" ht="15.75" customHeight="1">
      <c r="A872" s="395"/>
      <c r="B872" s="395"/>
      <c r="C872" s="395"/>
      <c r="D872" s="395"/>
      <c r="E872" s="395"/>
      <c r="F872" s="395"/>
      <c r="G872" s="395"/>
      <c r="H872" s="395"/>
      <c r="I872" s="395"/>
      <c r="J872" s="395"/>
      <c r="K872" s="395"/>
      <c r="L872" s="395"/>
      <c r="M872" s="395"/>
      <c r="N872" s="395"/>
      <c r="O872" s="395"/>
      <c r="P872" s="395"/>
      <c r="Q872" s="395"/>
      <c r="R872" s="395"/>
      <c r="S872" s="395"/>
      <c r="T872" s="395"/>
      <c r="U872" s="395"/>
    </row>
    <row r="873" ht="15.75" customHeight="1">
      <c r="A873" s="395"/>
      <c r="B873" s="395"/>
      <c r="C873" s="395"/>
      <c r="D873" s="395"/>
      <c r="E873" s="395"/>
      <c r="F873" s="395"/>
      <c r="G873" s="395"/>
      <c r="H873" s="395"/>
      <c r="I873" s="395"/>
      <c r="J873" s="395"/>
      <c r="K873" s="395"/>
      <c r="L873" s="395"/>
      <c r="M873" s="395"/>
      <c r="N873" s="395"/>
      <c r="O873" s="395"/>
      <c r="P873" s="395"/>
      <c r="Q873" s="395"/>
      <c r="R873" s="395"/>
      <c r="S873" s="395"/>
      <c r="T873" s="395"/>
      <c r="U873" s="395"/>
    </row>
    <row r="874" ht="15.75" customHeight="1">
      <c r="A874" s="395"/>
      <c r="B874" s="395"/>
      <c r="C874" s="395"/>
      <c r="D874" s="395"/>
      <c r="E874" s="395"/>
      <c r="F874" s="395"/>
      <c r="G874" s="395"/>
      <c r="H874" s="395"/>
      <c r="I874" s="395"/>
      <c r="J874" s="395"/>
      <c r="K874" s="395"/>
      <c r="L874" s="395"/>
      <c r="M874" s="395"/>
      <c r="N874" s="395"/>
      <c r="O874" s="395"/>
      <c r="P874" s="395"/>
      <c r="Q874" s="395"/>
      <c r="R874" s="395"/>
      <c r="S874" s="395"/>
      <c r="T874" s="395"/>
      <c r="U874" s="395"/>
    </row>
    <row r="875" ht="15.75" customHeight="1">
      <c r="A875" s="395"/>
      <c r="B875" s="395"/>
      <c r="C875" s="395"/>
      <c r="D875" s="395"/>
      <c r="E875" s="395"/>
      <c r="F875" s="395"/>
      <c r="G875" s="395"/>
      <c r="H875" s="395"/>
      <c r="I875" s="395"/>
      <c r="J875" s="395"/>
      <c r="K875" s="395"/>
      <c r="L875" s="395"/>
      <c r="M875" s="395"/>
      <c r="N875" s="395"/>
      <c r="O875" s="395"/>
      <c r="P875" s="395"/>
      <c r="Q875" s="395"/>
      <c r="R875" s="395"/>
      <c r="S875" s="395"/>
      <c r="T875" s="395"/>
      <c r="U875" s="395"/>
    </row>
    <row r="876" ht="15.75" customHeight="1">
      <c r="A876" s="395"/>
      <c r="B876" s="395"/>
      <c r="C876" s="395"/>
      <c r="D876" s="395"/>
      <c r="E876" s="395"/>
      <c r="F876" s="395"/>
      <c r="G876" s="395"/>
      <c r="H876" s="395"/>
      <c r="I876" s="395"/>
      <c r="J876" s="395"/>
      <c r="K876" s="395"/>
      <c r="L876" s="395"/>
      <c r="M876" s="395"/>
      <c r="N876" s="395"/>
      <c r="O876" s="395"/>
      <c r="P876" s="395"/>
      <c r="Q876" s="395"/>
      <c r="R876" s="395"/>
      <c r="S876" s="395"/>
      <c r="T876" s="395"/>
      <c r="U876" s="395"/>
    </row>
    <row r="877" ht="15.75" customHeight="1">
      <c r="A877" s="395"/>
      <c r="B877" s="395"/>
      <c r="C877" s="395"/>
      <c r="D877" s="395"/>
      <c r="E877" s="395"/>
      <c r="F877" s="395"/>
      <c r="G877" s="395"/>
      <c r="H877" s="395"/>
      <c r="I877" s="395"/>
      <c r="J877" s="395"/>
      <c r="K877" s="395"/>
      <c r="L877" s="395"/>
      <c r="M877" s="395"/>
      <c r="N877" s="395"/>
      <c r="O877" s="395"/>
      <c r="P877" s="395"/>
      <c r="Q877" s="395"/>
      <c r="R877" s="395"/>
      <c r="S877" s="395"/>
      <c r="T877" s="395"/>
      <c r="U877" s="395"/>
    </row>
    <row r="878" ht="15.75" customHeight="1">
      <c r="A878" s="395"/>
      <c r="B878" s="395"/>
      <c r="C878" s="395"/>
      <c r="D878" s="395"/>
      <c r="E878" s="395"/>
      <c r="F878" s="395"/>
      <c r="G878" s="395"/>
      <c r="H878" s="395"/>
      <c r="I878" s="395"/>
      <c r="J878" s="395"/>
      <c r="K878" s="395"/>
      <c r="L878" s="395"/>
      <c r="M878" s="395"/>
      <c r="N878" s="395"/>
      <c r="O878" s="395"/>
      <c r="P878" s="395"/>
      <c r="Q878" s="395"/>
      <c r="R878" s="395"/>
      <c r="S878" s="395"/>
      <c r="T878" s="395"/>
      <c r="U878" s="395"/>
    </row>
    <row r="879" ht="15.75" customHeight="1">
      <c r="A879" s="395"/>
      <c r="B879" s="395"/>
      <c r="C879" s="395"/>
      <c r="D879" s="395"/>
      <c r="E879" s="395"/>
      <c r="F879" s="395"/>
      <c r="G879" s="395"/>
      <c r="H879" s="395"/>
      <c r="I879" s="395"/>
      <c r="J879" s="395"/>
      <c r="K879" s="395"/>
      <c r="L879" s="395"/>
      <c r="M879" s="395"/>
      <c r="N879" s="395"/>
      <c r="O879" s="395"/>
      <c r="P879" s="395"/>
      <c r="Q879" s="395"/>
      <c r="R879" s="395"/>
      <c r="S879" s="395"/>
      <c r="T879" s="395"/>
      <c r="U879" s="395"/>
    </row>
    <row r="880" ht="15.75" customHeight="1">
      <c r="A880" s="395"/>
      <c r="B880" s="395"/>
      <c r="C880" s="395"/>
      <c r="D880" s="395"/>
      <c r="E880" s="395"/>
      <c r="F880" s="395"/>
      <c r="G880" s="395"/>
      <c r="H880" s="395"/>
      <c r="I880" s="395"/>
      <c r="J880" s="395"/>
      <c r="K880" s="395"/>
      <c r="L880" s="395"/>
      <c r="M880" s="395"/>
      <c r="N880" s="395"/>
      <c r="O880" s="395"/>
      <c r="P880" s="395"/>
      <c r="Q880" s="395"/>
      <c r="R880" s="395"/>
      <c r="S880" s="395"/>
      <c r="T880" s="395"/>
      <c r="U880" s="395"/>
    </row>
    <row r="881" ht="15.75" customHeight="1">
      <c r="A881" s="395"/>
      <c r="B881" s="395"/>
      <c r="C881" s="395"/>
      <c r="D881" s="395"/>
      <c r="E881" s="395"/>
      <c r="F881" s="395"/>
      <c r="G881" s="395"/>
      <c r="H881" s="395"/>
      <c r="I881" s="395"/>
      <c r="J881" s="395"/>
      <c r="K881" s="395"/>
      <c r="L881" s="395"/>
      <c r="M881" s="395"/>
      <c r="N881" s="395"/>
      <c r="O881" s="395"/>
      <c r="P881" s="395"/>
      <c r="Q881" s="395"/>
      <c r="R881" s="395"/>
      <c r="S881" s="395"/>
      <c r="T881" s="395"/>
      <c r="U881" s="395"/>
    </row>
    <row r="882" ht="15.75" customHeight="1">
      <c r="A882" s="395"/>
      <c r="B882" s="395"/>
      <c r="C882" s="395"/>
      <c r="D882" s="395"/>
      <c r="E882" s="395"/>
      <c r="F882" s="395"/>
      <c r="G882" s="395"/>
      <c r="H882" s="395"/>
      <c r="I882" s="395"/>
      <c r="J882" s="395"/>
      <c r="K882" s="395"/>
      <c r="L882" s="395"/>
      <c r="M882" s="395"/>
      <c r="N882" s="395"/>
      <c r="O882" s="395"/>
      <c r="P882" s="395"/>
      <c r="Q882" s="395"/>
      <c r="R882" s="395"/>
      <c r="S882" s="395"/>
      <c r="T882" s="395"/>
      <c r="U882" s="395"/>
    </row>
    <row r="883" ht="15.75" customHeight="1">
      <c r="A883" s="395"/>
      <c r="B883" s="395"/>
      <c r="C883" s="395"/>
      <c r="D883" s="395"/>
      <c r="E883" s="395"/>
      <c r="F883" s="395"/>
      <c r="G883" s="395"/>
      <c r="H883" s="395"/>
      <c r="I883" s="395"/>
      <c r="J883" s="395"/>
      <c r="K883" s="395"/>
      <c r="L883" s="395"/>
      <c r="M883" s="395"/>
      <c r="N883" s="395"/>
      <c r="O883" s="395"/>
      <c r="P883" s="395"/>
      <c r="Q883" s="395"/>
      <c r="R883" s="395"/>
      <c r="S883" s="395"/>
      <c r="T883" s="395"/>
      <c r="U883" s="395"/>
    </row>
    <row r="884" ht="15.75" customHeight="1">
      <c r="A884" s="395"/>
      <c r="B884" s="395"/>
      <c r="C884" s="395"/>
      <c r="D884" s="395"/>
      <c r="E884" s="395"/>
      <c r="F884" s="395"/>
      <c r="G884" s="395"/>
      <c r="H884" s="395"/>
      <c r="I884" s="395"/>
      <c r="J884" s="395"/>
      <c r="K884" s="395"/>
      <c r="L884" s="395"/>
      <c r="M884" s="395"/>
      <c r="N884" s="395"/>
      <c r="O884" s="395"/>
      <c r="P884" s="395"/>
      <c r="Q884" s="395"/>
      <c r="R884" s="395"/>
      <c r="S884" s="395"/>
      <c r="T884" s="395"/>
      <c r="U884" s="395"/>
    </row>
    <row r="885" ht="15.75" customHeight="1">
      <c r="A885" s="395"/>
      <c r="B885" s="395"/>
      <c r="C885" s="395"/>
      <c r="D885" s="395"/>
      <c r="E885" s="395"/>
      <c r="F885" s="395"/>
      <c r="G885" s="395"/>
      <c r="H885" s="395"/>
      <c r="I885" s="395"/>
      <c r="J885" s="395"/>
      <c r="K885" s="395"/>
      <c r="L885" s="395"/>
      <c r="M885" s="395"/>
      <c r="N885" s="395"/>
      <c r="O885" s="395"/>
      <c r="P885" s="395"/>
      <c r="Q885" s="395"/>
      <c r="R885" s="395"/>
      <c r="S885" s="395"/>
      <c r="T885" s="395"/>
      <c r="U885" s="395"/>
    </row>
    <row r="886" ht="15.75" customHeight="1">
      <c r="A886" s="395"/>
      <c r="B886" s="395"/>
      <c r="C886" s="395"/>
      <c r="D886" s="395"/>
      <c r="E886" s="395"/>
      <c r="F886" s="395"/>
      <c r="G886" s="395"/>
      <c r="H886" s="395"/>
      <c r="I886" s="395"/>
      <c r="J886" s="395"/>
      <c r="K886" s="395"/>
      <c r="L886" s="395"/>
      <c r="M886" s="395"/>
      <c r="N886" s="395"/>
      <c r="O886" s="395"/>
      <c r="P886" s="395"/>
      <c r="Q886" s="395"/>
      <c r="R886" s="395"/>
      <c r="S886" s="395"/>
      <c r="T886" s="395"/>
      <c r="U886" s="395"/>
    </row>
    <row r="887" ht="15.75" customHeight="1">
      <c r="A887" s="395"/>
      <c r="B887" s="395"/>
      <c r="C887" s="395"/>
      <c r="D887" s="395"/>
      <c r="E887" s="395"/>
      <c r="F887" s="395"/>
      <c r="G887" s="395"/>
      <c r="H887" s="395"/>
      <c r="I887" s="395"/>
      <c r="J887" s="395"/>
      <c r="K887" s="395"/>
      <c r="L887" s="395"/>
      <c r="M887" s="395"/>
      <c r="N887" s="395"/>
      <c r="O887" s="395"/>
      <c r="P887" s="395"/>
      <c r="Q887" s="395"/>
      <c r="R887" s="395"/>
      <c r="S887" s="395"/>
      <c r="T887" s="395"/>
      <c r="U887" s="395"/>
    </row>
    <row r="888" ht="15.75" customHeight="1">
      <c r="A888" s="395"/>
      <c r="B888" s="395"/>
      <c r="C888" s="395"/>
      <c r="D888" s="395"/>
      <c r="E888" s="395"/>
      <c r="F888" s="395"/>
      <c r="G888" s="395"/>
      <c r="H888" s="395"/>
      <c r="I888" s="395"/>
      <c r="J888" s="395"/>
      <c r="K888" s="395"/>
      <c r="L888" s="395"/>
      <c r="M888" s="395"/>
      <c r="N888" s="395"/>
      <c r="O888" s="395"/>
      <c r="P888" s="395"/>
      <c r="Q888" s="395"/>
      <c r="R888" s="395"/>
      <c r="S888" s="395"/>
      <c r="T888" s="395"/>
      <c r="U888" s="395"/>
    </row>
    <row r="889" ht="15.75" customHeight="1">
      <c r="A889" s="395"/>
      <c r="B889" s="395"/>
      <c r="C889" s="395"/>
      <c r="D889" s="395"/>
      <c r="E889" s="395"/>
      <c r="F889" s="395"/>
      <c r="G889" s="395"/>
      <c r="H889" s="395"/>
      <c r="I889" s="395"/>
      <c r="J889" s="395"/>
      <c r="K889" s="395"/>
      <c r="L889" s="395"/>
      <c r="M889" s="395"/>
      <c r="N889" s="395"/>
      <c r="O889" s="395"/>
      <c r="P889" s="395"/>
      <c r="Q889" s="395"/>
      <c r="R889" s="395"/>
      <c r="S889" s="395"/>
      <c r="T889" s="395"/>
      <c r="U889" s="395"/>
    </row>
    <row r="890" ht="15.75" customHeight="1">
      <c r="A890" s="395"/>
      <c r="B890" s="395"/>
      <c r="C890" s="395"/>
      <c r="D890" s="395"/>
      <c r="E890" s="395"/>
      <c r="F890" s="395"/>
      <c r="G890" s="395"/>
      <c r="H890" s="395"/>
      <c r="I890" s="395"/>
      <c r="J890" s="395"/>
      <c r="K890" s="395"/>
      <c r="L890" s="395"/>
      <c r="M890" s="395"/>
      <c r="N890" s="395"/>
      <c r="O890" s="395"/>
      <c r="P890" s="395"/>
      <c r="Q890" s="395"/>
      <c r="R890" s="395"/>
      <c r="S890" s="395"/>
      <c r="T890" s="395"/>
      <c r="U890" s="395"/>
    </row>
    <row r="891" ht="15.75" customHeight="1">
      <c r="A891" s="395"/>
      <c r="B891" s="395"/>
      <c r="C891" s="395"/>
      <c r="D891" s="395"/>
      <c r="E891" s="395"/>
      <c r="F891" s="395"/>
      <c r="G891" s="395"/>
      <c r="H891" s="395"/>
      <c r="I891" s="395"/>
      <c r="J891" s="395"/>
      <c r="K891" s="395"/>
      <c r="L891" s="395"/>
      <c r="M891" s="395"/>
      <c r="N891" s="395"/>
      <c r="O891" s="395"/>
      <c r="P891" s="395"/>
      <c r="Q891" s="395"/>
      <c r="R891" s="395"/>
      <c r="S891" s="395"/>
      <c r="T891" s="395"/>
      <c r="U891" s="395"/>
    </row>
    <row r="892" ht="15.75" customHeight="1">
      <c r="A892" s="395"/>
      <c r="B892" s="395"/>
      <c r="C892" s="395"/>
      <c r="D892" s="395"/>
      <c r="E892" s="395"/>
      <c r="F892" s="395"/>
      <c r="G892" s="395"/>
      <c r="H892" s="395"/>
      <c r="I892" s="395"/>
      <c r="J892" s="395"/>
      <c r="K892" s="395"/>
      <c r="L892" s="395"/>
      <c r="M892" s="395"/>
      <c r="N892" s="395"/>
      <c r="O892" s="395"/>
      <c r="P892" s="395"/>
      <c r="Q892" s="395"/>
      <c r="R892" s="395"/>
      <c r="S892" s="395"/>
      <c r="T892" s="395"/>
      <c r="U892" s="395"/>
    </row>
    <row r="893" ht="15.75" customHeight="1">
      <c r="A893" s="395"/>
      <c r="B893" s="395"/>
      <c r="C893" s="395"/>
      <c r="D893" s="395"/>
      <c r="E893" s="395"/>
      <c r="F893" s="395"/>
      <c r="G893" s="395"/>
      <c r="H893" s="395"/>
      <c r="I893" s="395"/>
      <c r="J893" s="395"/>
      <c r="K893" s="395"/>
      <c r="L893" s="395"/>
      <c r="M893" s="395"/>
      <c r="N893" s="395"/>
      <c r="O893" s="395"/>
      <c r="P893" s="395"/>
      <c r="Q893" s="395"/>
      <c r="R893" s="395"/>
      <c r="S893" s="395"/>
      <c r="T893" s="395"/>
      <c r="U893" s="395"/>
    </row>
    <row r="894" ht="15.75" customHeight="1">
      <c r="A894" s="395"/>
      <c r="B894" s="395"/>
      <c r="C894" s="395"/>
      <c r="D894" s="395"/>
      <c r="E894" s="395"/>
      <c r="F894" s="395"/>
      <c r="G894" s="395"/>
      <c r="H894" s="395"/>
      <c r="I894" s="395"/>
      <c r="J894" s="395"/>
      <c r="K894" s="395"/>
      <c r="L894" s="395"/>
      <c r="M894" s="395"/>
      <c r="N894" s="395"/>
      <c r="O894" s="395"/>
      <c r="P894" s="395"/>
      <c r="Q894" s="395"/>
      <c r="R894" s="395"/>
      <c r="S894" s="395"/>
      <c r="T894" s="395"/>
      <c r="U894" s="395"/>
    </row>
    <row r="895" ht="15.75" customHeight="1">
      <c r="A895" s="395"/>
      <c r="B895" s="395"/>
      <c r="C895" s="395"/>
      <c r="D895" s="395"/>
      <c r="E895" s="395"/>
      <c r="F895" s="395"/>
      <c r="G895" s="395"/>
      <c r="H895" s="395"/>
      <c r="I895" s="395"/>
      <c r="J895" s="395"/>
      <c r="K895" s="395"/>
      <c r="L895" s="395"/>
      <c r="M895" s="395"/>
      <c r="N895" s="395"/>
      <c r="O895" s="395"/>
      <c r="P895" s="395"/>
      <c r="Q895" s="395"/>
      <c r="R895" s="395"/>
      <c r="S895" s="395"/>
      <c r="T895" s="395"/>
      <c r="U895" s="395"/>
    </row>
    <row r="896" ht="15.75" customHeight="1">
      <c r="A896" s="395"/>
      <c r="B896" s="395"/>
      <c r="C896" s="395"/>
      <c r="D896" s="395"/>
      <c r="E896" s="395"/>
      <c r="F896" s="395"/>
      <c r="G896" s="395"/>
      <c r="H896" s="395"/>
      <c r="I896" s="395"/>
      <c r="J896" s="395"/>
      <c r="K896" s="395"/>
      <c r="L896" s="395"/>
      <c r="M896" s="395"/>
      <c r="N896" s="395"/>
      <c r="O896" s="395"/>
      <c r="P896" s="395"/>
      <c r="Q896" s="395"/>
      <c r="R896" s="395"/>
      <c r="S896" s="395"/>
      <c r="T896" s="395"/>
      <c r="U896" s="395"/>
    </row>
    <row r="897" ht="15.75" customHeight="1">
      <c r="A897" s="395"/>
      <c r="B897" s="395"/>
      <c r="C897" s="395"/>
      <c r="D897" s="395"/>
      <c r="E897" s="395"/>
      <c r="F897" s="395"/>
      <c r="G897" s="395"/>
      <c r="H897" s="395"/>
      <c r="I897" s="395"/>
      <c r="J897" s="395"/>
      <c r="K897" s="395"/>
      <c r="L897" s="395"/>
      <c r="M897" s="395"/>
      <c r="N897" s="395"/>
      <c r="O897" s="395"/>
      <c r="P897" s="395"/>
      <c r="Q897" s="395"/>
      <c r="R897" s="395"/>
      <c r="S897" s="395"/>
      <c r="T897" s="395"/>
      <c r="U897" s="395"/>
    </row>
    <row r="898" ht="15.75" customHeight="1">
      <c r="A898" s="395"/>
      <c r="B898" s="395"/>
      <c r="C898" s="395"/>
      <c r="D898" s="395"/>
      <c r="E898" s="395"/>
      <c r="F898" s="395"/>
      <c r="G898" s="395"/>
      <c r="H898" s="395"/>
      <c r="I898" s="395"/>
      <c r="J898" s="395"/>
      <c r="K898" s="395"/>
      <c r="L898" s="395"/>
      <c r="M898" s="395"/>
      <c r="N898" s="395"/>
      <c r="O898" s="395"/>
      <c r="P898" s="395"/>
      <c r="Q898" s="395"/>
      <c r="R898" s="395"/>
      <c r="S898" s="395"/>
      <c r="T898" s="395"/>
      <c r="U898" s="395"/>
    </row>
    <row r="899" ht="15.75" customHeight="1">
      <c r="A899" s="395"/>
      <c r="B899" s="395"/>
      <c r="C899" s="395"/>
      <c r="D899" s="395"/>
      <c r="E899" s="395"/>
      <c r="F899" s="395"/>
      <c r="G899" s="395"/>
      <c r="H899" s="395"/>
      <c r="I899" s="395"/>
      <c r="J899" s="395"/>
      <c r="K899" s="395"/>
      <c r="L899" s="395"/>
      <c r="M899" s="395"/>
      <c r="N899" s="395"/>
      <c r="O899" s="395"/>
      <c r="P899" s="395"/>
      <c r="Q899" s="395"/>
      <c r="R899" s="395"/>
      <c r="S899" s="395"/>
      <c r="T899" s="395"/>
      <c r="U899" s="395"/>
    </row>
    <row r="900" ht="15.75" customHeight="1">
      <c r="A900" s="395"/>
      <c r="B900" s="395"/>
      <c r="C900" s="395"/>
      <c r="D900" s="395"/>
      <c r="E900" s="395"/>
      <c r="F900" s="395"/>
      <c r="G900" s="395"/>
      <c r="H900" s="395"/>
      <c r="I900" s="395"/>
      <c r="J900" s="395"/>
      <c r="K900" s="395"/>
      <c r="L900" s="395"/>
      <c r="M900" s="395"/>
      <c r="N900" s="395"/>
      <c r="O900" s="395"/>
      <c r="P900" s="395"/>
      <c r="Q900" s="395"/>
      <c r="R900" s="395"/>
      <c r="S900" s="395"/>
      <c r="T900" s="395"/>
      <c r="U900" s="395"/>
    </row>
    <row r="901" ht="15.75" customHeight="1">
      <c r="A901" s="395"/>
      <c r="B901" s="395"/>
      <c r="C901" s="395"/>
      <c r="D901" s="395"/>
      <c r="E901" s="395"/>
      <c r="F901" s="395"/>
      <c r="G901" s="395"/>
      <c r="H901" s="395"/>
      <c r="I901" s="395"/>
      <c r="J901" s="395"/>
      <c r="K901" s="395"/>
      <c r="L901" s="395"/>
      <c r="M901" s="395"/>
      <c r="N901" s="395"/>
      <c r="O901" s="395"/>
      <c r="P901" s="395"/>
      <c r="Q901" s="395"/>
      <c r="R901" s="395"/>
      <c r="S901" s="395"/>
      <c r="T901" s="395"/>
      <c r="U901" s="395"/>
    </row>
    <row r="902" ht="15.75" customHeight="1">
      <c r="A902" s="395"/>
      <c r="B902" s="395"/>
      <c r="C902" s="395"/>
      <c r="D902" s="395"/>
      <c r="E902" s="395"/>
      <c r="F902" s="395"/>
      <c r="G902" s="395"/>
      <c r="H902" s="395"/>
      <c r="I902" s="395"/>
      <c r="J902" s="395"/>
      <c r="K902" s="395"/>
      <c r="L902" s="395"/>
      <c r="M902" s="395"/>
      <c r="N902" s="395"/>
      <c r="O902" s="395"/>
      <c r="P902" s="395"/>
      <c r="Q902" s="395"/>
      <c r="R902" s="395"/>
      <c r="S902" s="395"/>
      <c r="T902" s="395"/>
      <c r="U902" s="395"/>
    </row>
    <row r="903" ht="15.75" customHeight="1">
      <c r="A903" s="395"/>
      <c r="B903" s="395"/>
      <c r="C903" s="395"/>
      <c r="D903" s="395"/>
      <c r="E903" s="395"/>
      <c r="F903" s="395"/>
      <c r="G903" s="395"/>
      <c r="H903" s="395"/>
      <c r="I903" s="395"/>
      <c r="J903" s="395"/>
      <c r="K903" s="395"/>
      <c r="L903" s="395"/>
      <c r="M903" s="395"/>
      <c r="N903" s="395"/>
      <c r="O903" s="395"/>
      <c r="P903" s="395"/>
      <c r="Q903" s="395"/>
      <c r="R903" s="395"/>
      <c r="S903" s="395"/>
      <c r="T903" s="395"/>
      <c r="U903" s="395"/>
    </row>
    <row r="904" ht="15.75" customHeight="1">
      <c r="A904" s="395"/>
      <c r="B904" s="395"/>
      <c r="C904" s="395"/>
      <c r="D904" s="395"/>
      <c r="E904" s="395"/>
      <c r="F904" s="395"/>
      <c r="G904" s="395"/>
      <c r="H904" s="395"/>
      <c r="I904" s="395"/>
      <c r="J904" s="395"/>
      <c r="K904" s="395"/>
      <c r="L904" s="395"/>
      <c r="M904" s="395"/>
      <c r="N904" s="395"/>
      <c r="O904" s="395"/>
      <c r="P904" s="395"/>
      <c r="Q904" s="395"/>
      <c r="R904" s="395"/>
      <c r="S904" s="395"/>
      <c r="T904" s="395"/>
      <c r="U904" s="395"/>
    </row>
    <row r="905" ht="15.75" customHeight="1">
      <c r="A905" s="395"/>
      <c r="B905" s="395"/>
      <c r="C905" s="395"/>
      <c r="D905" s="395"/>
      <c r="E905" s="395"/>
      <c r="F905" s="395"/>
      <c r="G905" s="395"/>
      <c r="H905" s="395"/>
      <c r="I905" s="395"/>
      <c r="J905" s="395"/>
      <c r="K905" s="395"/>
      <c r="L905" s="395"/>
      <c r="M905" s="395"/>
      <c r="N905" s="395"/>
      <c r="O905" s="395"/>
      <c r="P905" s="395"/>
      <c r="Q905" s="395"/>
      <c r="R905" s="395"/>
      <c r="S905" s="395"/>
      <c r="T905" s="395"/>
      <c r="U905" s="395"/>
    </row>
    <row r="906" ht="15.75" customHeight="1">
      <c r="A906" s="395"/>
      <c r="B906" s="395"/>
      <c r="C906" s="395"/>
      <c r="D906" s="395"/>
      <c r="E906" s="395"/>
      <c r="F906" s="395"/>
      <c r="G906" s="395"/>
      <c r="H906" s="395"/>
      <c r="I906" s="395"/>
      <c r="J906" s="395"/>
      <c r="K906" s="395"/>
      <c r="L906" s="395"/>
      <c r="M906" s="395"/>
      <c r="N906" s="395"/>
      <c r="O906" s="395"/>
      <c r="P906" s="395"/>
      <c r="Q906" s="395"/>
      <c r="R906" s="395"/>
      <c r="S906" s="395"/>
      <c r="T906" s="395"/>
      <c r="U906" s="395"/>
    </row>
    <row r="907" ht="15.75" customHeight="1">
      <c r="A907" s="395"/>
      <c r="B907" s="395"/>
      <c r="C907" s="395"/>
      <c r="D907" s="395"/>
      <c r="E907" s="395"/>
      <c r="F907" s="395"/>
      <c r="G907" s="395"/>
      <c r="H907" s="395"/>
      <c r="I907" s="395"/>
      <c r="J907" s="395"/>
      <c r="K907" s="395"/>
      <c r="L907" s="395"/>
      <c r="M907" s="395"/>
      <c r="N907" s="395"/>
      <c r="O907" s="395"/>
      <c r="P907" s="395"/>
      <c r="Q907" s="395"/>
      <c r="R907" s="395"/>
      <c r="S907" s="395"/>
      <c r="T907" s="395"/>
      <c r="U907" s="395"/>
    </row>
    <row r="908" ht="15.75" customHeight="1">
      <c r="A908" s="395"/>
      <c r="B908" s="395"/>
      <c r="C908" s="395"/>
      <c r="D908" s="395"/>
      <c r="E908" s="395"/>
      <c r="F908" s="395"/>
      <c r="G908" s="395"/>
      <c r="H908" s="395"/>
      <c r="I908" s="395"/>
      <c r="J908" s="395"/>
      <c r="K908" s="395"/>
      <c r="L908" s="395"/>
      <c r="M908" s="395"/>
      <c r="N908" s="395"/>
      <c r="O908" s="395"/>
      <c r="P908" s="395"/>
      <c r="Q908" s="395"/>
      <c r="R908" s="395"/>
      <c r="S908" s="395"/>
      <c r="T908" s="395"/>
      <c r="U908" s="395"/>
    </row>
    <row r="909" ht="15.75" customHeight="1">
      <c r="A909" s="395"/>
      <c r="B909" s="395"/>
      <c r="C909" s="395"/>
      <c r="D909" s="395"/>
      <c r="E909" s="395"/>
      <c r="F909" s="395"/>
      <c r="G909" s="395"/>
      <c r="H909" s="395"/>
      <c r="I909" s="395"/>
      <c r="J909" s="395"/>
      <c r="K909" s="395"/>
      <c r="L909" s="395"/>
      <c r="M909" s="395"/>
      <c r="N909" s="395"/>
      <c r="O909" s="395"/>
      <c r="P909" s="395"/>
      <c r="Q909" s="395"/>
      <c r="R909" s="395"/>
      <c r="S909" s="395"/>
      <c r="T909" s="395"/>
      <c r="U909" s="395"/>
    </row>
    <row r="910" ht="15.75" customHeight="1">
      <c r="A910" s="395"/>
      <c r="B910" s="395"/>
      <c r="C910" s="395"/>
      <c r="D910" s="395"/>
      <c r="E910" s="395"/>
      <c r="F910" s="395"/>
      <c r="G910" s="395"/>
      <c r="H910" s="395"/>
      <c r="I910" s="395"/>
      <c r="J910" s="395"/>
      <c r="K910" s="395"/>
      <c r="L910" s="395"/>
      <c r="M910" s="395"/>
      <c r="N910" s="395"/>
      <c r="O910" s="395"/>
      <c r="P910" s="395"/>
      <c r="Q910" s="395"/>
      <c r="R910" s="395"/>
      <c r="S910" s="395"/>
      <c r="T910" s="395"/>
      <c r="U910" s="395"/>
    </row>
    <row r="911" ht="15.75" customHeight="1">
      <c r="A911" s="395"/>
      <c r="B911" s="395"/>
      <c r="C911" s="395"/>
      <c r="D911" s="395"/>
      <c r="E911" s="395"/>
      <c r="F911" s="395"/>
      <c r="G911" s="395"/>
      <c r="H911" s="395"/>
      <c r="I911" s="395"/>
      <c r="J911" s="395"/>
      <c r="K911" s="395"/>
      <c r="L911" s="395"/>
      <c r="M911" s="395"/>
      <c r="N911" s="395"/>
      <c r="O911" s="395"/>
      <c r="P911" s="395"/>
      <c r="Q911" s="395"/>
      <c r="R911" s="395"/>
      <c r="S911" s="395"/>
      <c r="T911" s="395"/>
      <c r="U911" s="395"/>
    </row>
    <row r="912" ht="15.75" customHeight="1">
      <c r="A912" s="395"/>
      <c r="B912" s="395"/>
      <c r="C912" s="395"/>
      <c r="D912" s="395"/>
      <c r="E912" s="395"/>
      <c r="F912" s="395"/>
      <c r="G912" s="395"/>
      <c r="H912" s="395"/>
      <c r="I912" s="395"/>
      <c r="J912" s="395"/>
      <c r="K912" s="395"/>
      <c r="L912" s="395"/>
      <c r="M912" s="395"/>
      <c r="N912" s="395"/>
      <c r="O912" s="395"/>
      <c r="P912" s="395"/>
      <c r="Q912" s="395"/>
      <c r="R912" s="395"/>
      <c r="S912" s="395"/>
      <c r="T912" s="395"/>
      <c r="U912" s="395"/>
    </row>
    <row r="913" ht="15.75" customHeight="1">
      <c r="A913" s="395"/>
      <c r="B913" s="395"/>
      <c r="C913" s="395"/>
      <c r="D913" s="395"/>
      <c r="E913" s="395"/>
      <c r="F913" s="395"/>
      <c r="G913" s="395"/>
      <c r="H913" s="395"/>
      <c r="I913" s="395"/>
      <c r="J913" s="395"/>
      <c r="K913" s="395"/>
      <c r="L913" s="395"/>
      <c r="M913" s="395"/>
      <c r="N913" s="395"/>
      <c r="O913" s="395"/>
      <c r="P913" s="395"/>
      <c r="Q913" s="395"/>
      <c r="R913" s="395"/>
      <c r="S913" s="395"/>
      <c r="T913" s="395"/>
      <c r="U913" s="395"/>
    </row>
    <row r="914" ht="15.75" customHeight="1">
      <c r="A914" s="395"/>
      <c r="B914" s="395"/>
      <c r="C914" s="395"/>
      <c r="D914" s="395"/>
      <c r="E914" s="395"/>
      <c r="F914" s="395"/>
      <c r="G914" s="395"/>
      <c r="H914" s="395"/>
      <c r="I914" s="395"/>
      <c r="J914" s="395"/>
      <c r="K914" s="395"/>
      <c r="L914" s="395"/>
      <c r="M914" s="395"/>
      <c r="N914" s="395"/>
      <c r="O914" s="395"/>
      <c r="P914" s="395"/>
      <c r="Q914" s="395"/>
      <c r="R914" s="395"/>
      <c r="S914" s="395"/>
      <c r="T914" s="395"/>
      <c r="U914" s="395"/>
    </row>
    <row r="915" ht="15.75" customHeight="1">
      <c r="A915" s="395"/>
      <c r="B915" s="395"/>
      <c r="C915" s="395"/>
      <c r="D915" s="395"/>
      <c r="E915" s="395"/>
      <c r="F915" s="395"/>
      <c r="G915" s="395"/>
      <c r="H915" s="395"/>
      <c r="I915" s="395"/>
      <c r="J915" s="395"/>
      <c r="K915" s="395"/>
      <c r="L915" s="395"/>
      <c r="M915" s="395"/>
      <c r="N915" s="395"/>
      <c r="O915" s="395"/>
      <c r="P915" s="395"/>
      <c r="Q915" s="395"/>
      <c r="R915" s="395"/>
      <c r="S915" s="395"/>
      <c r="T915" s="395"/>
      <c r="U915" s="395"/>
    </row>
    <row r="916" ht="15.75" customHeight="1">
      <c r="A916" s="395"/>
      <c r="B916" s="395"/>
      <c r="C916" s="395"/>
      <c r="D916" s="395"/>
      <c r="E916" s="395"/>
      <c r="F916" s="395"/>
      <c r="G916" s="395"/>
      <c r="H916" s="395"/>
      <c r="I916" s="395"/>
      <c r="J916" s="395"/>
      <c r="K916" s="395"/>
      <c r="L916" s="395"/>
      <c r="M916" s="395"/>
      <c r="N916" s="395"/>
      <c r="O916" s="395"/>
      <c r="P916" s="395"/>
      <c r="Q916" s="395"/>
      <c r="R916" s="395"/>
      <c r="S916" s="395"/>
      <c r="T916" s="395"/>
      <c r="U916" s="395"/>
    </row>
    <row r="917" ht="15.75" customHeight="1">
      <c r="A917" s="395"/>
      <c r="B917" s="395"/>
      <c r="C917" s="395"/>
      <c r="D917" s="395"/>
      <c r="E917" s="395"/>
      <c r="F917" s="395"/>
      <c r="G917" s="395"/>
      <c r="H917" s="395"/>
      <c r="I917" s="395"/>
      <c r="J917" s="395"/>
      <c r="K917" s="395"/>
      <c r="L917" s="395"/>
      <c r="M917" s="395"/>
      <c r="N917" s="395"/>
      <c r="O917" s="395"/>
      <c r="P917" s="395"/>
      <c r="Q917" s="395"/>
      <c r="R917" s="395"/>
      <c r="S917" s="395"/>
      <c r="T917" s="395"/>
      <c r="U917" s="395"/>
    </row>
    <row r="918" ht="15.75" customHeight="1">
      <c r="A918" s="395"/>
      <c r="B918" s="395"/>
      <c r="C918" s="395"/>
      <c r="D918" s="395"/>
      <c r="E918" s="395"/>
      <c r="F918" s="395"/>
      <c r="G918" s="395"/>
      <c r="H918" s="395"/>
      <c r="I918" s="395"/>
      <c r="J918" s="395"/>
      <c r="K918" s="395"/>
      <c r="L918" s="395"/>
      <c r="M918" s="395"/>
      <c r="N918" s="395"/>
      <c r="O918" s="395"/>
      <c r="P918" s="395"/>
      <c r="Q918" s="395"/>
      <c r="R918" s="395"/>
      <c r="S918" s="395"/>
      <c r="T918" s="395"/>
      <c r="U918" s="395"/>
    </row>
    <row r="919" ht="15.75" customHeight="1">
      <c r="A919" s="395"/>
      <c r="B919" s="395"/>
      <c r="C919" s="395"/>
      <c r="D919" s="395"/>
      <c r="E919" s="395"/>
      <c r="F919" s="395"/>
      <c r="G919" s="395"/>
      <c r="H919" s="395"/>
      <c r="I919" s="395"/>
      <c r="J919" s="395"/>
      <c r="K919" s="395"/>
      <c r="L919" s="395"/>
      <c r="M919" s="395"/>
      <c r="N919" s="395"/>
      <c r="O919" s="395"/>
      <c r="P919" s="395"/>
      <c r="Q919" s="395"/>
      <c r="R919" s="395"/>
      <c r="S919" s="395"/>
      <c r="T919" s="395"/>
      <c r="U919" s="395"/>
    </row>
    <row r="920" ht="15.75" customHeight="1">
      <c r="A920" s="395"/>
      <c r="B920" s="395"/>
      <c r="C920" s="395"/>
      <c r="D920" s="395"/>
      <c r="E920" s="395"/>
      <c r="F920" s="395"/>
      <c r="G920" s="395"/>
      <c r="H920" s="395"/>
      <c r="I920" s="395"/>
      <c r="J920" s="395"/>
      <c r="K920" s="395"/>
      <c r="L920" s="395"/>
      <c r="M920" s="395"/>
      <c r="N920" s="395"/>
      <c r="O920" s="395"/>
      <c r="P920" s="395"/>
      <c r="Q920" s="395"/>
      <c r="R920" s="395"/>
      <c r="S920" s="395"/>
      <c r="T920" s="395"/>
      <c r="U920" s="395"/>
    </row>
    <row r="921" ht="15.75" customHeight="1">
      <c r="A921" s="395"/>
      <c r="B921" s="395"/>
      <c r="C921" s="395"/>
      <c r="D921" s="395"/>
      <c r="E921" s="395"/>
      <c r="F921" s="395"/>
      <c r="G921" s="395"/>
      <c r="H921" s="395"/>
      <c r="I921" s="395"/>
      <c r="J921" s="395"/>
      <c r="K921" s="395"/>
      <c r="L921" s="395"/>
      <c r="M921" s="395"/>
      <c r="N921" s="395"/>
      <c r="O921" s="395"/>
      <c r="P921" s="395"/>
      <c r="Q921" s="395"/>
      <c r="R921" s="395"/>
      <c r="S921" s="395"/>
      <c r="T921" s="395"/>
      <c r="U921" s="395"/>
    </row>
    <row r="922" ht="15.75" customHeight="1">
      <c r="A922" s="395"/>
      <c r="B922" s="395"/>
      <c r="C922" s="395"/>
      <c r="D922" s="395"/>
      <c r="E922" s="395"/>
      <c r="F922" s="395"/>
      <c r="G922" s="395"/>
      <c r="H922" s="395"/>
      <c r="I922" s="395"/>
      <c r="J922" s="395"/>
      <c r="K922" s="395"/>
      <c r="L922" s="395"/>
      <c r="M922" s="395"/>
      <c r="N922" s="395"/>
      <c r="O922" s="395"/>
      <c r="P922" s="395"/>
      <c r="Q922" s="395"/>
      <c r="R922" s="395"/>
      <c r="S922" s="395"/>
      <c r="T922" s="395"/>
      <c r="U922" s="395"/>
    </row>
    <row r="923" ht="15.75" customHeight="1">
      <c r="A923" s="395"/>
      <c r="B923" s="395"/>
      <c r="C923" s="395"/>
      <c r="D923" s="395"/>
      <c r="E923" s="395"/>
      <c r="F923" s="395"/>
      <c r="G923" s="395"/>
      <c r="H923" s="395"/>
      <c r="I923" s="395"/>
      <c r="J923" s="395"/>
      <c r="K923" s="395"/>
      <c r="L923" s="395"/>
      <c r="M923" s="395"/>
      <c r="N923" s="395"/>
      <c r="O923" s="395"/>
      <c r="P923" s="395"/>
      <c r="Q923" s="395"/>
      <c r="R923" s="395"/>
      <c r="S923" s="395"/>
      <c r="T923" s="395"/>
      <c r="U923" s="395"/>
    </row>
    <row r="924" ht="15.75" customHeight="1">
      <c r="A924" s="395"/>
      <c r="B924" s="395"/>
      <c r="C924" s="395"/>
      <c r="D924" s="395"/>
      <c r="E924" s="395"/>
      <c r="F924" s="395"/>
      <c r="G924" s="395"/>
      <c r="H924" s="395"/>
      <c r="I924" s="395"/>
      <c r="J924" s="395"/>
      <c r="K924" s="395"/>
      <c r="L924" s="395"/>
      <c r="M924" s="395"/>
      <c r="N924" s="395"/>
      <c r="O924" s="395"/>
      <c r="P924" s="395"/>
      <c r="Q924" s="395"/>
      <c r="R924" s="395"/>
      <c r="S924" s="395"/>
      <c r="T924" s="395"/>
      <c r="U924" s="395"/>
    </row>
    <row r="925" ht="15.75" customHeight="1">
      <c r="A925" s="395"/>
      <c r="B925" s="395"/>
      <c r="C925" s="395"/>
      <c r="D925" s="395"/>
      <c r="E925" s="395"/>
      <c r="F925" s="395"/>
      <c r="G925" s="395"/>
      <c r="H925" s="395"/>
      <c r="I925" s="395"/>
      <c r="J925" s="395"/>
      <c r="K925" s="395"/>
      <c r="L925" s="395"/>
      <c r="M925" s="395"/>
      <c r="N925" s="395"/>
      <c r="O925" s="395"/>
      <c r="P925" s="395"/>
      <c r="Q925" s="395"/>
      <c r="R925" s="395"/>
      <c r="S925" s="395"/>
      <c r="T925" s="395"/>
      <c r="U925" s="395"/>
    </row>
    <row r="926" ht="15.75" customHeight="1">
      <c r="A926" s="395"/>
      <c r="B926" s="395"/>
      <c r="C926" s="395"/>
      <c r="D926" s="395"/>
      <c r="E926" s="395"/>
      <c r="F926" s="395"/>
      <c r="G926" s="395"/>
      <c r="H926" s="395"/>
      <c r="I926" s="395"/>
      <c r="J926" s="395"/>
      <c r="K926" s="395"/>
      <c r="L926" s="395"/>
      <c r="M926" s="395"/>
      <c r="N926" s="395"/>
      <c r="O926" s="395"/>
      <c r="P926" s="395"/>
      <c r="Q926" s="395"/>
      <c r="R926" s="395"/>
      <c r="S926" s="395"/>
      <c r="T926" s="395"/>
      <c r="U926" s="395"/>
    </row>
    <row r="927" ht="15.75" customHeight="1">
      <c r="A927" s="395"/>
      <c r="B927" s="395"/>
      <c r="C927" s="395"/>
      <c r="D927" s="395"/>
      <c r="E927" s="395"/>
      <c r="F927" s="395"/>
      <c r="G927" s="395"/>
      <c r="H927" s="395"/>
      <c r="I927" s="395"/>
      <c r="J927" s="395"/>
      <c r="K927" s="395"/>
      <c r="L927" s="395"/>
      <c r="M927" s="395"/>
      <c r="N927" s="395"/>
      <c r="O927" s="395"/>
      <c r="P927" s="395"/>
      <c r="Q927" s="395"/>
      <c r="R927" s="395"/>
      <c r="S927" s="395"/>
      <c r="T927" s="395"/>
      <c r="U927" s="395"/>
    </row>
    <row r="928" ht="15.75" customHeight="1">
      <c r="A928" s="395"/>
      <c r="B928" s="395"/>
      <c r="C928" s="395"/>
      <c r="D928" s="395"/>
      <c r="E928" s="395"/>
      <c r="F928" s="395"/>
      <c r="G928" s="395"/>
      <c r="H928" s="395"/>
      <c r="I928" s="395"/>
      <c r="J928" s="395"/>
      <c r="K928" s="395"/>
      <c r="L928" s="395"/>
      <c r="M928" s="395"/>
      <c r="N928" s="395"/>
      <c r="O928" s="395"/>
      <c r="P928" s="395"/>
      <c r="Q928" s="395"/>
      <c r="R928" s="395"/>
      <c r="S928" s="395"/>
      <c r="T928" s="395"/>
      <c r="U928" s="395"/>
    </row>
    <row r="929" ht="15.75" customHeight="1">
      <c r="A929" s="395"/>
      <c r="B929" s="395"/>
      <c r="C929" s="395"/>
      <c r="D929" s="395"/>
      <c r="E929" s="395"/>
      <c r="F929" s="395"/>
      <c r="G929" s="395"/>
      <c r="H929" s="395"/>
      <c r="I929" s="395"/>
      <c r="J929" s="395"/>
      <c r="K929" s="395"/>
      <c r="L929" s="395"/>
      <c r="M929" s="395"/>
      <c r="N929" s="395"/>
      <c r="O929" s="395"/>
      <c r="P929" s="395"/>
      <c r="Q929" s="395"/>
      <c r="R929" s="395"/>
      <c r="S929" s="395"/>
      <c r="T929" s="395"/>
      <c r="U929" s="395"/>
    </row>
    <row r="930" ht="15.75" customHeight="1">
      <c r="A930" s="395"/>
      <c r="B930" s="395"/>
      <c r="C930" s="395"/>
      <c r="D930" s="395"/>
      <c r="E930" s="395"/>
      <c r="F930" s="395"/>
      <c r="G930" s="395"/>
      <c r="H930" s="395"/>
      <c r="I930" s="395"/>
      <c r="J930" s="395"/>
      <c r="K930" s="395"/>
      <c r="L930" s="395"/>
      <c r="M930" s="395"/>
      <c r="N930" s="395"/>
      <c r="O930" s="395"/>
      <c r="P930" s="395"/>
      <c r="Q930" s="395"/>
      <c r="R930" s="395"/>
      <c r="S930" s="395"/>
      <c r="T930" s="395"/>
      <c r="U930" s="395"/>
    </row>
    <row r="931" ht="15.75" customHeight="1">
      <c r="A931" s="395"/>
      <c r="B931" s="395"/>
      <c r="C931" s="395"/>
      <c r="D931" s="395"/>
      <c r="E931" s="395"/>
      <c r="F931" s="395"/>
      <c r="G931" s="395"/>
      <c r="H931" s="395"/>
      <c r="I931" s="395"/>
      <c r="J931" s="395"/>
      <c r="K931" s="395"/>
      <c r="L931" s="395"/>
      <c r="M931" s="395"/>
      <c r="N931" s="395"/>
      <c r="O931" s="395"/>
      <c r="P931" s="395"/>
      <c r="Q931" s="395"/>
      <c r="R931" s="395"/>
      <c r="S931" s="395"/>
      <c r="T931" s="395"/>
      <c r="U931" s="395"/>
    </row>
    <row r="932" ht="15.75" customHeight="1">
      <c r="A932" s="395"/>
      <c r="B932" s="395"/>
      <c r="C932" s="395"/>
      <c r="D932" s="395"/>
      <c r="E932" s="395"/>
      <c r="F932" s="395"/>
      <c r="G932" s="395"/>
      <c r="H932" s="395"/>
      <c r="I932" s="395"/>
      <c r="J932" s="395"/>
      <c r="K932" s="395"/>
      <c r="L932" s="395"/>
      <c r="M932" s="395"/>
      <c r="N932" s="395"/>
      <c r="O932" s="395"/>
      <c r="P932" s="395"/>
      <c r="Q932" s="395"/>
      <c r="R932" s="395"/>
      <c r="S932" s="395"/>
      <c r="T932" s="395"/>
      <c r="U932" s="395"/>
    </row>
    <row r="933" ht="15.75" customHeight="1">
      <c r="A933" s="395"/>
      <c r="B933" s="395"/>
      <c r="C933" s="395"/>
      <c r="D933" s="395"/>
      <c r="E933" s="395"/>
      <c r="F933" s="395"/>
      <c r="G933" s="395"/>
      <c r="H933" s="395"/>
      <c r="I933" s="395"/>
      <c r="J933" s="395"/>
      <c r="K933" s="395"/>
      <c r="L933" s="395"/>
      <c r="M933" s="395"/>
      <c r="N933" s="395"/>
      <c r="O933" s="395"/>
      <c r="P933" s="395"/>
      <c r="Q933" s="395"/>
      <c r="R933" s="395"/>
      <c r="S933" s="395"/>
      <c r="T933" s="395"/>
      <c r="U933" s="395"/>
    </row>
    <row r="934" ht="15.75" customHeight="1">
      <c r="A934" s="395"/>
      <c r="B934" s="395"/>
      <c r="C934" s="395"/>
      <c r="D934" s="395"/>
      <c r="E934" s="395"/>
      <c r="F934" s="395"/>
      <c r="G934" s="395"/>
      <c r="H934" s="395"/>
      <c r="I934" s="395"/>
      <c r="J934" s="395"/>
      <c r="K934" s="395"/>
      <c r="L934" s="395"/>
      <c r="M934" s="395"/>
      <c r="N934" s="395"/>
      <c r="O934" s="395"/>
      <c r="P934" s="395"/>
      <c r="Q934" s="395"/>
      <c r="R934" s="395"/>
      <c r="S934" s="395"/>
      <c r="T934" s="395"/>
      <c r="U934" s="395"/>
    </row>
    <row r="935" ht="15.75" customHeight="1">
      <c r="A935" s="395"/>
      <c r="B935" s="395"/>
      <c r="C935" s="395"/>
      <c r="D935" s="395"/>
      <c r="E935" s="395"/>
      <c r="F935" s="395"/>
      <c r="G935" s="395"/>
      <c r="H935" s="395"/>
      <c r="I935" s="395"/>
      <c r="J935" s="395"/>
      <c r="K935" s="395"/>
      <c r="L935" s="395"/>
      <c r="M935" s="395"/>
      <c r="N935" s="395"/>
      <c r="O935" s="395"/>
      <c r="P935" s="395"/>
      <c r="Q935" s="395"/>
      <c r="R935" s="395"/>
      <c r="S935" s="395"/>
      <c r="T935" s="395"/>
      <c r="U935" s="395"/>
    </row>
    <row r="936" ht="15.75" customHeight="1">
      <c r="A936" s="395"/>
      <c r="B936" s="395"/>
      <c r="C936" s="395"/>
      <c r="D936" s="395"/>
      <c r="E936" s="395"/>
      <c r="F936" s="395"/>
      <c r="G936" s="395"/>
      <c r="H936" s="395"/>
      <c r="I936" s="395"/>
      <c r="J936" s="395"/>
      <c r="K936" s="395"/>
      <c r="L936" s="395"/>
      <c r="M936" s="395"/>
      <c r="N936" s="395"/>
      <c r="O936" s="395"/>
      <c r="P936" s="395"/>
      <c r="Q936" s="395"/>
      <c r="R936" s="395"/>
      <c r="S936" s="395"/>
      <c r="T936" s="395"/>
      <c r="U936" s="395"/>
    </row>
    <row r="937" ht="15.75" customHeight="1">
      <c r="A937" s="395"/>
      <c r="B937" s="395"/>
      <c r="C937" s="395"/>
      <c r="D937" s="395"/>
      <c r="E937" s="395"/>
      <c r="F937" s="395"/>
      <c r="G937" s="395"/>
      <c r="H937" s="395"/>
      <c r="I937" s="395"/>
      <c r="J937" s="395"/>
      <c r="K937" s="395"/>
      <c r="L937" s="395"/>
      <c r="M937" s="395"/>
      <c r="N937" s="395"/>
      <c r="O937" s="395"/>
      <c r="P937" s="395"/>
      <c r="Q937" s="395"/>
      <c r="R937" s="395"/>
      <c r="S937" s="395"/>
      <c r="T937" s="395"/>
      <c r="U937" s="395"/>
    </row>
    <row r="938" ht="15.75" customHeight="1">
      <c r="A938" s="395"/>
      <c r="B938" s="395"/>
      <c r="C938" s="395"/>
      <c r="D938" s="395"/>
      <c r="E938" s="395"/>
      <c r="F938" s="395"/>
      <c r="G938" s="395"/>
      <c r="H938" s="395"/>
      <c r="I938" s="395"/>
      <c r="J938" s="395"/>
      <c r="K938" s="395"/>
      <c r="L938" s="395"/>
      <c r="M938" s="395"/>
      <c r="N938" s="395"/>
      <c r="O938" s="395"/>
      <c r="P938" s="395"/>
      <c r="Q938" s="395"/>
      <c r="R938" s="395"/>
      <c r="S938" s="395"/>
      <c r="T938" s="395"/>
      <c r="U938" s="395"/>
    </row>
    <row r="939" ht="15.75" customHeight="1">
      <c r="A939" s="395"/>
      <c r="B939" s="395"/>
      <c r="C939" s="395"/>
      <c r="D939" s="395"/>
      <c r="E939" s="395"/>
      <c r="F939" s="395"/>
      <c r="G939" s="395"/>
      <c r="H939" s="395"/>
      <c r="I939" s="395"/>
      <c r="J939" s="395"/>
      <c r="K939" s="395"/>
      <c r="L939" s="395"/>
      <c r="M939" s="395"/>
      <c r="N939" s="395"/>
      <c r="O939" s="395"/>
      <c r="P939" s="395"/>
      <c r="Q939" s="395"/>
      <c r="R939" s="395"/>
      <c r="S939" s="395"/>
      <c r="T939" s="395"/>
      <c r="U939" s="395"/>
    </row>
    <row r="940" ht="15.75" customHeight="1">
      <c r="A940" s="395"/>
      <c r="B940" s="395"/>
      <c r="C940" s="395"/>
      <c r="D940" s="395"/>
      <c r="E940" s="395"/>
      <c r="F940" s="395"/>
      <c r="G940" s="395"/>
      <c r="H940" s="395"/>
      <c r="I940" s="395"/>
      <c r="J940" s="395"/>
      <c r="K940" s="395"/>
      <c r="L940" s="395"/>
      <c r="M940" s="395"/>
      <c r="N940" s="395"/>
      <c r="O940" s="395"/>
      <c r="P940" s="395"/>
      <c r="Q940" s="395"/>
      <c r="R940" s="395"/>
      <c r="S940" s="395"/>
      <c r="T940" s="395"/>
      <c r="U940" s="395"/>
    </row>
    <row r="941" ht="15.75" customHeight="1">
      <c r="A941" s="395"/>
      <c r="B941" s="395"/>
      <c r="C941" s="395"/>
      <c r="D941" s="395"/>
      <c r="E941" s="395"/>
      <c r="F941" s="395"/>
      <c r="G941" s="395"/>
      <c r="H941" s="395"/>
      <c r="I941" s="395"/>
      <c r="J941" s="395"/>
      <c r="K941" s="395"/>
      <c r="L941" s="395"/>
      <c r="M941" s="395"/>
      <c r="N941" s="395"/>
      <c r="O941" s="395"/>
      <c r="P941" s="395"/>
      <c r="Q941" s="395"/>
      <c r="R941" s="395"/>
      <c r="S941" s="395"/>
      <c r="T941" s="395"/>
      <c r="U941" s="395"/>
    </row>
    <row r="942" ht="15.75" customHeight="1">
      <c r="A942" s="395"/>
      <c r="B942" s="395"/>
      <c r="C942" s="395"/>
      <c r="D942" s="395"/>
      <c r="E942" s="395"/>
      <c r="F942" s="395"/>
      <c r="G942" s="395"/>
      <c r="H942" s="395"/>
      <c r="I942" s="395"/>
      <c r="J942" s="395"/>
      <c r="K942" s="395"/>
      <c r="L942" s="395"/>
      <c r="M942" s="395"/>
      <c r="N942" s="395"/>
      <c r="O942" s="395"/>
      <c r="P942" s="395"/>
      <c r="Q942" s="395"/>
      <c r="R942" s="395"/>
      <c r="S942" s="395"/>
      <c r="T942" s="395"/>
      <c r="U942" s="395"/>
    </row>
    <row r="943" ht="15.75" customHeight="1">
      <c r="A943" s="395"/>
      <c r="B943" s="395"/>
      <c r="C943" s="395"/>
      <c r="D943" s="395"/>
      <c r="E943" s="395"/>
      <c r="F943" s="395"/>
      <c r="G943" s="395"/>
      <c r="H943" s="395"/>
      <c r="I943" s="395"/>
      <c r="J943" s="395"/>
      <c r="K943" s="395"/>
      <c r="L943" s="395"/>
      <c r="M943" s="395"/>
      <c r="N943" s="395"/>
      <c r="O943" s="395"/>
      <c r="P943" s="395"/>
      <c r="Q943" s="395"/>
      <c r="R943" s="395"/>
      <c r="S943" s="395"/>
      <c r="T943" s="395"/>
      <c r="U943" s="395"/>
    </row>
    <row r="944" ht="15.75" customHeight="1">
      <c r="A944" s="395"/>
      <c r="B944" s="395"/>
      <c r="C944" s="395"/>
      <c r="D944" s="395"/>
      <c r="E944" s="395"/>
      <c r="F944" s="395"/>
      <c r="G944" s="395"/>
      <c r="H944" s="395"/>
      <c r="I944" s="395"/>
      <c r="J944" s="395"/>
      <c r="K944" s="395"/>
      <c r="L944" s="395"/>
      <c r="M944" s="395"/>
      <c r="N944" s="395"/>
      <c r="O944" s="395"/>
      <c r="P944" s="395"/>
      <c r="Q944" s="395"/>
      <c r="R944" s="395"/>
      <c r="S944" s="395"/>
      <c r="T944" s="395"/>
      <c r="U944" s="395"/>
    </row>
    <row r="945" ht="15.75" customHeight="1">
      <c r="A945" s="395"/>
      <c r="B945" s="395"/>
      <c r="C945" s="395"/>
      <c r="D945" s="395"/>
      <c r="E945" s="395"/>
      <c r="F945" s="395"/>
      <c r="G945" s="395"/>
      <c r="H945" s="395"/>
      <c r="I945" s="395"/>
      <c r="J945" s="395"/>
      <c r="K945" s="395"/>
      <c r="L945" s="395"/>
      <c r="M945" s="395"/>
      <c r="N945" s="395"/>
      <c r="O945" s="395"/>
      <c r="P945" s="395"/>
      <c r="Q945" s="395"/>
      <c r="R945" s="395"/>
      <c r="S945" s="395"/>
      <c r="T945" s="395"/>
      <c r="U945" s="395"/>
    </row>
    <row r="946" ht="15.75" customHeight="1">
      <c r="A946" s="395"/>
      <c r="B946" s="395"/>
      <c r="C946" s="395"/>
      <c r="D946" s="395"/>
      <c r="E946" s="395"/>
      <c r="F946" s="395"/>
      <c r="G946" s="395"/>
      <c r="H946" s="395"/>
      <c r="I946" s="395"/>
      <c r="J946" s="395"/>
      <c r="K946" s="395"/>
      <c r="L946" s="395"/>
      <c r="M946" s="395"/>
      <c r="N946" s="395"/>
      <c r="O946" s="395"/>
      <c r="P946" s="395"/>
      <c r="Q946" s="395"/>
      <c r="R946" s="395"/>
      <c r="S946" s="395"/>
      <c r="T946" s="395"/>
      <c r="U946" s="395"/>
    </row>
    <row r="947" ht="15.75" customHeight="1">
      <c r="A947" s="395"/>
      <c r="B947" s="395"/>
      <c r="C947" s="395"/>
      <c r="D947" s="395"/>
      <c r="E947" s="395"/>
      <c r="F947" s="395"/>
      <c r="G947" s="395"/>
      <c r="H947" s="395"/>
      <c r="I947" s="395"/>
      <c r="J947" s="395"/>
      <c r="K947" s="395"/>
      <c r="L947" s="395"/>
      <c r="M947" s="395"/>
      <c r="N947" s="395"/>
      <c r="O947" s="395"/>
      <c r="P947" s="395"/>
      <c r="Q947" s="395"/>
      <c r="R947" s="395"/>
      <c r="S947" s="395"/>
      <c r="T947" s="395"/>
      <c r="U947" s="395"/>
    </row>
    <row r="948" ht="15.75" customHeight="1">
      <c r="A948" s="395"/>
      <c r="B948" s="395"/>
      <c r="C948" s="395"/>
      <c r="D948" s="395"/>
      <c r="E948" s="395"/>
      <c r="F948" s="395"/>
      <c r="G948" s="395"/>
      <c r="H948" s="395"/>
      <c r="I948" s="395"/>
      <c r="J948" s="395"/>
      <c r="K948" s="395"/>
      <c r="L948" s="395"/>
      <c r="M948" s="395"/>
      <c r="N948" s="395"/>
      <c r="O948" s="395"/>
      <c r="P948" s="395"/>
      <c r="Q948" s="395"/>
      <c r="R948" s="395"/>
      <c r="S948" s="395"/>
      <c r="T948" s="395"/>
      <c r="U948" s="395"/>
    </row>
    <row r="949" ht="15.75" customHeight="1">
      <c r="A949" s="395"/>
      <c r="B949" s="395"/>
      <c r="C949" s="395"/>
      <c r="D949" s="395"/>
      <c r="E949" s="395"/>
      <c r="F949" s="395"/>
      <c r="G949" s="395"/>
      <c r="H949" s="395"/>
      <c r="I949" s="395"/>
      <c r="J949" s="395"/>
      <c r="K949" s="395"/>
      <c r="L949" s="395"/>
      <c r="M949" s="395"/>
      <c r="N949" s="395"/>
      <c r="O949" s="395"/>
      <c r="P949" s="395"/>
      <c r="Q949" s="395"/>
      <c r="R949" s="395"/>
      <c r="S949" s="395"/>
      <c r="T949" s="395"/>
      <c r="U949" s="395"/>
    </row>
    <row r="950" ht="15.75" customHeight="1">
      <c r="A950" s="395"/>
      <c r="B950" s="395"/>
      <c r="C950" s="395"/>
      <c r="D950" s="395"/>
      <c r="E950" s="395"/>
      <c r="F950" s="395"/>
      <c r="G950" s="395"/>
      <c r="H950" s="395"/>
      <c r="I950" s="395"/>
      <c r="J950" s="395"/>
      <c r="K950" s="395"/>
      <c r="L950" s="395"/>
      <c r="M950" s="395"/>
      <c r="N950" s="395"/>
      <c r="O950" s="395"/>
      <c r="P950" s="395"/>
      <c r="Q950" s="395"/>
      <c r="R950" s="395"/>
      <c r="S950" s="395"/>
      <c r="T950" s="395"/>
      <c r="U950" s="395"/>
    </row>
    <row r="951" ht="15.75" customHeight="1">
      <c r="A951" s="395"/>
      <c r="B951" s="395"/>
      <c r="C951" s="395"/>
      <c r="D951" s="395"/>
      <c r="E951" s="395"/>
      <c r="F951" s="395"/>
      <c r="G951" s="395"/>
      <c r="H951" s="395"/>
      <c r="I951" s="395"/>
      <c r="J951" s="395"/>
      <c r="K951" s="395"/>
      <c r="L951" s="395"/>
      <c r="M951" s="395"/>
      <c r="N951" s="395"/>
      <c r="O951" s="395"/>
      <c r="P951" s="395"/>
      <c r="Q951" s="395"/>
      <c r="R951" s="395"/>
      <c r="S951" s="395"/>
      <c r="T951" s="395"/>
      <c r="U951" s="395"/>
    </row>
    <row r="952" ht="15.75" customHeight="1">
      <c r="A952" s="395"/>
      <c r="B952" s="395"/>
      <c r="C952" s="395"/>
      <c r="D952" s="395"/>
      <c r="E952" s="395"/>
      <c r="F952" s="395"/>
      <c r="G952" s="395"/>
      <c r="H952" s="395"/>
      <c r="I952" s="395"/>
      <c r="J952" s="395"/>
      <c r="K952" s="395"/>
      <c r="L952" s="395"/>
      <c r="M952" s="395"/>
      <c r="N952" s="395"/>
      <c r="O952" s="395"/>
      <c r="P952" s="395"/>
      <c r="Q952" s="395"/>
      <c r="R952" s="395"/>
      <c r="S952" s="395"/>
      <c r="T952" s="395"/>
      <c r="U952" s="395"/>
    </row>
    <row r="953" ht="15.75" customHeight="1">
      <c r="A953" s="395"/>
      <c r="B953" s="395"/>
      <c r="C953" s="395"/>
      <c r="D953" s="395"/>
      <c r="E953" s="395"/>
      <c r="F953" s="395"/>
      <c r="G953" s="395"/>
      <c r="H953" s="395"/>
      <c r="I953" s="395"/>
      <c r="J953" s="395"/>
      <c r="K953" s="395"/>
      <c r="L953" s="395"/>
      <c r="M953" s="395"/>
      <c r="N953" s="395"/>
      <c r="O953" s="395"/>
      <c r="P953" s="395"/>
      <c r="Q953" s="395"/>
      <c r="R953" s="395"/>
      <c r="S953" s="395"/>
      <c r="T953" s="395"/>
      <c r="U953" s="395"/>
    </row>
    <row r="954" ht="15.75" customHeight="1">
      <c r="A954" s="395"/>
      <c r="B954" s="395"/>
      <c r="C954" s="395"/>
      <c r="D954" s="395"/>
      <c r="E954" s="395"/>
      <c r="F954" s="395"/>
      <c r="G954" s="395"/>
      <c r="H954" s="395"/>
      <c r="I954" s="395"/>
      <c r="J954" s="395"/>
      <c r="K954" s="395"/>
      <c r="L954" s="395"/>
      <c r="M954" s="395"/>
      <c r="N954" s="395"/>
      <c r="O954" s="395"/>
      <c r="P954" s="395"/>
      <c r="Q954" s="395"/>
      <c r="R954" s="395"/>
      <c r="S954" s="395"/>
      <c r="T954" s="395"/>
      <c r="U954" s="395"/>
    </row>
    <row r="955" ht="15.75" customHeight="1">
      <c r="A955" s="395"/>
      <c r="B955" s="395"/>
      <c r="C955" s="395"/>
      <c r="D955" s="395"/>
      <c r="E955" s="395"/>
      <c r="F955" s="395"/>
      <c r="G955" s="395"/>
      <c r="H955" s="395"/>
      <c r="I955" s="395"/>
      <c r="J955" s="395"/>
      <c r="K955" s="395"/>
      <c r="L955" s="395"/>
      <c r="M955" s="395"/>
      <c r="N955" s="395"/>
      <c r="O955" s="395"/>
      <c r="P955" s="395"/>
      <c r="Q955" s="395"/>
      <c r="R955" s="395"/>
      <c r="S955" s="395"/>
      <c r="T955" s="395"/>
      <c r="U955" s="395"/>
    </row>
    <row r="956" ht="15.75" customHeight="1">
      <c r="A956" s="395"/>
      <c r="B956" s="395"/>
      <c r="C956" s="395"/>
      <c r="D956" s="395"/>
      <c r="E956" s="395"/>
      <c r="F956" s="395"/>
      <c r="G956" s="395"/>
      <c r="H956" s="395"/>
      <c r="I956" s="395"/>
      <c r="J956" s="395"/>
      <c r="K956" s="395"/>
      <c r="L956" s="395"/>
      <c r="M956" s="395"/>
      <c r="N956" s="395"/>
      <c r="O956" s="395"/>
      <c r="P956" s="395"/>
      <c r="Q956" s="395"/>
      <c r="R956" s="395"/>
      <c r="S956" s="395"/>
      <c r="T956" s="395"/>
      <c r="U956" s="395"/>
    </row>
    <row r="957" ht="15.75" customHeight="1">
      <c r="A957" s="395"/>
      <c r="B957" s="395"/>
      <c r="C957" s="395"/>
      <c r="D957" s="395"/>
      <c r="E957" s="395"/>
      <c r="F957" s="395"/>
      <c r="G957" s="395"/>
      <c r="H957" s="395"/>
      <c r="I957" s="395"/>
      <c r="J957" s="395"/>
      <c r="K957" s="395"/>
      <c r="L957" s="395"/>
      <c r="M957" s="395"/>
      <c r="N957" s="395"/>
      <c r="O957" s="395"/>
      <c r="P957" s="395"/>
      <c r="Q957" s="395"/>
      <c r="R957" s="395"/>
      <c r="S957" s="395"/>
      <c r="T957" s="395"/>
      <c r="U957" s="395"/>
    </row>
    <row r="958" ht="15.75" customHeight="1">
      <c r="A958" s="395"/>
      <c r="B958" s="395"/>
      <c r="C958" s="395"/>
      <c r="D958" s="395"/>
      <c r="E958" s="395"/>
      <c r="F958" s="395"/>
      <c r="G958" s="395"/>
      <c r="H958" s="395"/>
      <c r="I958" s="395"/>
      <c r="J958" s="395"/>
      <c r="K958" s="395"/>
      <c r="L958" s="395"/>
      <c r="M958" s="395"/>
      <c r="N958" s="395"/>
      <c r="O958" s="395"/>
      <c r="P958" s="395"/>
      <c r="Q958" s="395"/>
      <c r="R958" s="395"/>
      <c r="S958" s="395"/>
      <c r="T958" s="395"/>
      <c r="U958" s="395"/>
    </row>
    <row r="959" ht="15.75" customHeight="1">
      <c r="A959" s="395"/>
      <c r="B959" s="395"/>
      <c r="C959" s="395"/>
      <c r="D959" s="395"/>
      <c r="E959" s="395"/>
      <c r="F959" s="395"/>
      <c r="G959" s="395"/>
      <c r="H959" s="395"/>
      <c r="I959" s="395"/>
      <c r="J959" s="395"/>
      <c r="K959" s="395"/>
      <c r="L959" s="395"/>
      <c r="M959" s="395"/>
      <c r="N959" s="395"/>
      <c r="O959" s="395"/>
      <c r="P959" s="395"/>
      <c r="Q959" s="395"/>
      <c r="R959" s="395"/>
      <c r="S959" s="395"/>
      <c r="T959" s="395"/>
      <c r="U959" s="395"/>
    </row>
    <row r="960" ht="15.75" customHeight="1">
      <c r="A960" s="395"/>
      <c r="B960" s="395"/>
      <c r="C960" s="395"/>
      <c r="D960" s="395"/>
      <c r="E960" s="395"/>
      <c r="F960" s="395"/>
      <c r="G960" s="395"/>
      <c r="H960" s="395"/>
      <c r="I960" s="395"/>
      <c r="J960" s="395"/>
      <c r="K960" s="395"/>
      <c r="L960" s="395"/>
      <c r="M960" s="395"/>
      <c r="N960" s="395"/>
      <c r="O960" s="395"/>
      <c r="P960" s="395"/>
      <c r="Q960" s="395"/>
      <c r="R960" s="395"/>
      <c r="S960" s="395"/>
      <c r="T960" s="395"/>
      <c r="U960" s="395"/>
    </row>
    <row r="961" ht="15.75" customHeight="1">
      <c r="A961" s="395"/>
      <c r="B961" s="395"/>
      <c r="C961" s="395"/>
      <c r="D961" s="395"/>
      <c r="E961" s="395"/>
      <c r="F961" s="395"/>
      <c r="G961" s="395"/>
      <c r="H961" s="395"/>
      <c r="I961" s="395"/>
      <c r="J961" s="395"/>
      <c r="K961" s="395"/>
      <c r="L961" s="395"/>
      <c r="M961" s="395"/>
      <c r="N961" s="395"/>
      <c r="O961" s="395"/>
      <c r="P961" s="395"/>
      <c r="Q961" s="395"/>
      <c r="R961" s="395"/>
      <c r="S961" s="395"/>
      <c r="T961" s="395"/>
      <c r="U961" s="395"/>
    </row>
    <row r="962" ht="15.75" customHeight="1">
      <c r="A962" s="395"/>
      <c r="B962" s="395"/>
      <c r="C962" s="395"/>
      <c r="D962" s="395"/>
      <c r="E962" s="395"/>
      <c r="F962" s="395"/>
      <c r="G962" s="395"/>
      <c r="H962" s="395"/>
      <c r="I962" s="395"/>
      <c r="J962" s="395"/>
      <c r="K962" s="395"/>
      <c r="L962" s="395"/>
      <c r="M962" s="395"/>
      <c r="N962" s="395"/>
      <c r="O962" s="395"/>
      <c r="P962" s="395"/>
      <c r="Q962" s="395"/>
      <c r="R962" s="395"/>
      <c r="S962" s="395"/>
      <c r="T962" s="395"/>
      <c r="U962" s="395"/>
    </row>
    <row r="963" ht="15.75" customHeight="1">
      <c r="A963" s="395"/>
      <c r="B963" s="395"/>
      <c r="C963" s="395"/>
      <c r="D963" s="395"/>
      <c r="E963" s="395"/>
      <c r="F963" s="395"/>
      <c r="G963" s="395"/>
      <c r="H963" s="395"/>
      <c r="I963" s="395"/>
      <c r="J963" s="395"/>
      <c r="K963" s="395"/>
      <c r="L963" s="395"/>
      <c r="M963" s="395"/>
      <c r="N963" s="395"/>
      <c r="O963" s="395"/>
      <c r="P963" s="395"/>
      <c r="Q963" s="395"/>
      <c r="R963" s="395"/>
      <c r="S963" s="395"/>
      <c r="T963" s="395"/>
      <c r="U963" s="395"/>
    </row>
    <row r="964" ht="15.75" customHeight="1">
      <c r="A964" s="395"/>
      <c r="B964" s="395"/>
      <c r="C964" s="395"/>
      <c r="D964" s="395"/>
      <c r="E964" s="395"/>
      <c r="F964" s="395"/>
      <c r="G964" s="395"/>
      <c r="H964" s="395"/>
      <c r="I964" s="395"/>
      <c r="J964" s="395"/>
      <c r="K964" s="395"/>
      <c r="L964" s="395"/>
      <c r="M964" s="395"/>
      <c r="N964" s="395"/>
      <c r="O964" s="395"/>
      <c r="P964" s="395"/>
      <c r="Q964" s="395"/>
      <c r="R964" s="395"/>
      <c r="S964" s="395"/>
      <c r="T964" s="395"/>
      <c r="U964" s="395"/>
    </row>
    <row r="965" ht="15.75" customHeight="1">
      <c r="A965" s="395"/>
      <c r="B965" s="395"/>
      <c r="C965" s="395"/>
      <c r="D965" s="395"/>
      <c r="E965" s="395"/>
      <c r="F965" s="395"/>
      <c r="G965" s="395"/>
      <c r="H965" s="395"/>
      <c r="I965" s="395"/>
      <c r="J965" s="395"/>
      <c r="K965" s="395"/>
      <c r="L965" s="395"/>
      <c r="M965" s="395"/>
      <c r="N965" s="395"/>
      <c r="O965" s="395"/>
      <c r="P965" s="395"/>
      <c r="Q965" s="395"/>
      <c r="R965" s="395"/>
      <c r="S965" s="395"/>
      <c r="T965" s="395"/>
      <c r="U965" s="395"/>
    </row>
    <row r="966" ht="15.75" customHeight="1">
      <c r="A966" s="395"/>
      <c r="B966" s="395"/>
      <c r="C966" s="395"/>
      <c r="D966" s="395"/>
      <c r="E966" s="395"/>
      <c r="F966" s="395"/>
      <c r="G966" s="395"/>
      <c r="H966" s="395"/>
      <c r="I966" s="395"/>
      <c r="J966" s="395"/>
      <c r="K966" s="395"/>
      <c r="L966" s="395"/>
      <c r="M966" s="395"/>
      <c r="N966" s="395"/>
      <c r="O966" s="395"/>
      <c r="P966" s="395"/>
      <c r="Q966" s="395"/>
      <c r="R966" s="395"/>
      <c r="S966" s="395"/>
      <c r="T966" s="395"/>
      <c r="U966" s="395"/>
    </row>
    <row r="967" ht="15.75" customHeight="1">
      <c r="A967" s="395"/>
      <c r="B967" s="395"/>
      <c r="C967" s="395"/>
      <c r="D967" s="395"/>
      <c r="E967" s="395"/>
      <c r="F967" s="395"/>
      <c r="G967" s="395"/>
      <c r="H967" s="395"/>
      <c r="I967" s="395"/>
      <c r="J967" s="395"/>
      <c r="K967" s="395"/>
      <c r="L967" s="395"/>
      <c r="M967" s="395"/>
      <c r="N967" s="395"/>
      <c r="O967" s="395"/>
      <c r="P967" s="395"/>
      <c r="Q967" s="395"/>
      <c r="R967" s="395"/>
      <c r="S967" s="395"/>
      <c r="T967" s="395"/>
      <c r="U967" s="395"/>
    </row>
    <row r="968" ht="15.75" customHeight="1">
      <c r="A968" s="395"/>
      <c r="B968" s="395"/>
      <c r="C968" s="395"/>
      <c r="D968" s="395"/>
      <c r="E968" s="395"/>
      <c r="F968" s="395"/>
      <c r="G968" s="395"/>
      <c r="H968" s="395"/>
      <c r="I968" s="395"/>
      <c r="J968" s="395"/>
      <c r="K968" s="395"/>
      <c r="L968" s="395"/>
      <c r="M968" s="395"/>
      <c r="N968" s="395"/>
      <c r="O968" s="395"/>
      <c r="P968" s="395"/>
      <c r="Q968" s="395"/>
      <c r="R968" s="395"/>
      <c r="S968" s="395"/>
      <c r="T968" s="395"/>
      <c r="U968" s="395"/>
    </row>
    <row r="969" ht="15.75" customHeight="1">
      <c r="A969" s="395"/>
      <c r="B969" s="395"/>
      <c r="C969" s="395"/>
      <c r="D969" s="395"/>
      <c r="E969" s="395"/>
      <c r="F969" s="395"/>
      <c r="G969" s="395"/>
      <c r="H969" s="395"/>
      <c r="I969" s="395"/>
      <c r="J969" s="395"/>
      <c r="K969" s="395"/>
      <c r="L969" s="395"/>
      <c r="M969" s="395"/>
      <c r="N969" s="395"/>
      <c r="O969" s="395"/>
      <c r="P969" s="395"/>
      <c r="Q969" s="395"/>
      <c r="R969" s="395"/>
      <c r="S969" s="395"/>
      <c r="T969" s="395"/>
      <c r="U969" s="395"/>
    </row>
    <row r="970" ht="15.75" customHeight="1">
      <c r="A970" s="395"/>
      <c r="B970" s="395"/>
      <c r="C970" s="395"/>
      <c r="D970" s="395"/>
      <c r="E970" s="395"/>
      <c r="F970" s="395"/>
      <c r="G970" s="395"/>
      <c r="H970" s="395"/>
      <c r="I970" s="395"/>
      <c r="J970" s="395"/>
      <c r="K970" s="395"/>
      <c r="L970" s="395"/>
      <c r="M970" s="395"/>
      <c r="N970" s="395"/>
      <c r="O970" s="395"/>
      <c r="P970" s="395"/>
      <c r="Q970" s="395"/>
      <c r="R970" s="395"/>
      <c r="S970" s="395"/>
      <c r="T970" s="395"/>
      <c r="U970" s="395"/>
    </row>
    <row r="971" ht="15.75" customHeight="1">
      <c r="A971" s="395"/>
      <c r="B971" s="395"/>
      <c r="C971" s="395"/>
      <c r="D971" s="395"/>
      <c r="E971" s="395"/>
      <c r="F971" s="395"/>
      <c r="G971" s="395"/>
      <c r="H971" s="395"/>
      <c r="I971" s="395"/>
      <c r="J971" s="395"/>
      <c r="K971" s="395"/>
      <c r="L971" s="395"/>
      <c r="M971" s="395"/>
      <c r="N971" s="395"/>
      <c r="O971" s="395"/>
      <c r="P971" s="395"/>
      <c r="Q971" s="395"/>
      <c r="R971" s="395"/>
      <c r="S971" s="395"/>
      <c r="T971" s="395"/>
      <c r="U971" s="395"/>
    </row>
    <row r="972" ht="15.75" customHeight="1">
      <c r="A972" s="395"/>
      <c r="B972" s="395"/>
      <c r="C972" s="395"/>
      <c r="D972" s="395"/>
      <c r="E972" s="395"/>
      <c r="F972" s="395"/>
      <c r="G972" s="395"/>
      <c r="H972" s="395"/>
      <c r="I972" s="395"/>
      <c r="J972" s="395"/>
      <c r="K972" s="395"/>
      <c r="L972" s="395"/>
      <c r="M972" s="395"/>
      <c r="N972" s="395"/>
      <c r="O972" s="395"/>
      <c r="P972" s="395"/>
      <c r="Q972" s="395"/>
      <c r="R972" s="395"/>
      <c r="S972" s="395"/>
      <c r="T972" s="395"/>
      <c r="U972" s="395"/>
    </row>
    <row r="973" ht="15.75" customHeight="1">
      <c r="A973" s="395"/>
      <c r="B973" s="395"/>
      <c r="C973" s="395"/>
      <c r="D973" s="395"/>
      <c r="E973" s="395"/>
      <c r="F973" s="395"/>
      <c r="G973" s="395"/>
      <c r="H973" s="395"/>
      <c r="I973" s="395"/>
      <c r="J973" s="395"/>
      <c r="K973" s="395"/>
      <c r="L973" s="395"/>
      <c r="M973" s="395"/>
      <c r="N973" s="395"/>
      <c r="O973" s="395"/>
      <c r="P973" s="395"/>
      <c r="Q973" s="395"/>
      <c r="R973" s="395"/>
      <c r="S973" s="395"/>
      <c r="T973" s="395"/>
      <c r="U973" s="395"/>
    </row>
    <row r="974" ht="15.75" customHeight="1">
      <c r="A974" s="395"/>
      <c r="B974" s="395"/>
      <c r="C974" s="395"/>
      <c r="D974" s="395"/>
      <c r="E974" s="395"/>
      <c r="F974" s="395"/>
      <c r="G974" s="395"/>
      <c r="H974" s="395"/>
      <c r="I974" s="395"/>
      <c r="J974" s="395"/>
      <c r="K974" s="395"/>
      <c r="L974" s="395"/>
      <c r="M974" s="395"/>
      <c r="N974" s="395"/>
      <c r="O974" s="395"/>
      <c r="P974" s="395"/>
      <c r="Q974" s="395"/>
      <c r="R974" s="395"/>
      <c r="S974" s="395"/>
      <c r="T974" s="395"/>
      <c r="U974" s="395"/>
    </row>
    <row r="975" ht="15.75" customHeight="1">
      <c r="A975" s="395"/>
      <c r="B975" s="395"/>
      <c r="C975" s="395"/>
      <c r="D975" s="395"/>
      <c r="E975" s="395"/>
      <c r="F975" s="395"/>
      <c r="G975" s="395"/>
      <c r="H975" s="395"/>
      <c r="I975" s="395"/>
      <c r="J975" s="395"/>
      <c r="K975" s="395"/>
      <c r="L975" s="395"/>
      <c r="M975" s="395"/>
      <c r="N975" s="395"/>
      <c r="O975" s="395"/>
      <c r="P975" s="395"/>
      <c r="Q975" s="395"/>
      <c r="R975" s="395"/>
      <c r="S975" s="395"/>
      <c r="T975" s="395"/>
      <c r="U975" s="395"/>
    </row>
    <row r="976" ht="15.75" customHeight="1">
      <c r="A976" s="395"/>
      <c r="B976" s="395"/>
      <c r="C976" s="395"/>
      <c r="D976" s="395"/>
      <c r="E976" s="395"/>
      <c r="F976" s="395"/>
      <c r="G976" s="395"/>
      <c r="H976" s="395"/>
      <c r="I976" s="395"/>
      <c r="J976" s="395"/>
      <c r="K976" s="395"/>
      <c r="L976" s="395"/>
      <c r="M976" s="395"/>
      <c r="N976" s="395"/>
      <c r="O976" s="395"/>
      <c r="P976" s="395"/>
      <c r="Q976" s="395"/>
      <c r="R976" s="395"/>
      <c r="S976" s="395"/>
      <c r="T976" s="395"/>
      <c r="U976" s="395"/>
    </row>
    <row r="977" ht="15.75" customHeight="1">
      <c r="A977" s="395"/>
      <c r="B977" s="395"/>
      <c r="C977" s="395"/>
      <c r="D977" s="395"/>
      <c r="E977" s="395"/>
      <c r="F977" s="395"/>
      <c r="G977" s="395"/>
      <c r="H977" s="395"/>
      <c r="I977" s="395"/>
      <c r="J977" s="395"/>
      <c r="K977" s="395"/>
      <c r="L977" s="395"/>
      <c r="M977" s="395"/>
      <c r="N977" s="395"/>
      <c r="O977" s="395"/>
      <c r="P977" s="395"/>
      <c r="Q977" s="395"/>
      <c r="R977" s="395"/>
      <c r="S977" s="395"/>
      <c r="T977" s="395"/>
      <c r="U977" s="395"/>
    </row>
    <row r="978" ht="15.75" customHeight="1">
      <c r="A978" s="395"/>
      <c r="B978" s="395"/>
      <c r="C978" s="395"/>
      <c r="D978" s="395"/>
      <c r="E978" s="395"/>
      <c r="F978" s="395"/>
      <c r="G978" s="395"/>
      <c r="H978" s="395"/>
      <c r="I978" s="395"/>
      <c r="J978" s="395"/>
      <c r="K978" s="395"/>
      <c r="L978" s="395"/>
      <c r="M978" s="395"/>
      <c r="N978" s="395"/>
      <c r="O978" s="395"/>
      <c r="P978" s="395"/>
      <c r="Q978" s="395"/>
      <c r="R978" s="395"/>
      <c r="S978" s="395"/>
      <c r="T978" s="395"/>
      <c r="U978" s="395"/>
    </row>
    <row r="979" ht="15.75" customHeight="1">
      <c r="A979" s="395"/>
      <c r="B979" s="395"/>
      <c r="C979" s="395"/>
      <c r="D979" s="395"/>
      <c r="E979" s="395"/>
      <c r="F979" s="395"/>
      <c r="G979" s="395"/>
      <c r="H979" s="395"/>
      <c r="I979" s="395"/>
      <c r="J979" s="395"/>
      <c r="K979" s="395"/>
      <c r="L979" s="395"/>
      <c r="M979" s="395"/>
      <c r="N979" s="395"/>
      <c r="O979" s="395"/>
      <c r="P979" s="395"/>
      <c r="Q979" s="395"/>
      <c r="R979" s="395"/>
      <c r="S979" s="395"/>
      <c r="T979" s="395"/>
      <c r="U979" s="395"/>
    </row>
    <row r="980" ht="15.75" customHeight="1">
      <c r="A980" s="395"/>
      <c r="B980" s="395"/>
      <c r="C980" s="395"/>
      <c r="D980" s="395"/>
      <c r="E980" s="395"/>
      <c r="F980" s="395"/>
      <c r="G980" s="395"/>
      <c r="H980" s="395"/>
      <c r="I980" s="395"/>
      <c r="J980" s="395"/>
      <c r="K980" s="395"/>
      <c r="L980" s="395"/>
      <c r="M980" s="395"/>
      <c r="N980" s="395"/>
      <c r="O980" s="395"/>
      <c r="P980" s="395"/>
      <c r="Q980" s="395"/>
      <c r="R980" s="395"/>
      <c r="S980" s="395"/>
      <c r="T980" s="395"/>
      <c r="U980" s="395"/>
    </row>
    <row r="981" ht="15.75" customHeight="1">
      <c r="A981" s="395"/>
      <c r="B981" s="395"/>
      <c r="C981" s="395"/>
      <c r="D981" s="395"/>
      <c r="E981" s="395"/>
      <c r="F981" s="395"/>
      <c r="G981" s="395"/>
      <c r="H981" s="395"/>
      <c r="I981" s="395"/>
      <c r="J981" s="395"/>
      <c r="K981" s="395"/>
      <c r="L981" s="395"/>
      <c r="M981" s="395"/>
      <c r="N981" s="395"/>
      <c r="O981" s="395"/>
      <c r="P981" s="395"/>
      <c r="Q981" s="395"/>
      <c r="R981" s="395"/>
      <c r="S981" s="395"/>
      <c r="T981" s="395"/>
      <c r="U981" s="395"/>
    </row>
    <row r="982" ht="15.75" customHeight="1">
      <c r="A982" s="395"/>
      <c r="B982" s="395"/>
      <c r="C982" s="395"/>
      <c r="D982" s="395"/>
      <c r="E982" s="395"/>
      <c r="F982" s="395"/>
      <c r="G982" s="395"/>
      <c r="H982" s="395"/>
      <c r="I982" s="395"/>
      <c r="J982" s="395"/>
      <c r="K982" s="395"/>
      <c r="L982" s="395"/>
      <c r="M982" s="395"/>
      <c r="N982" s="395"/>
      <c r="O982" s="395"/>
      <c r="P982" s="395"/>
      <c r="Q982" s="395"/>
      <c r="R982" s="395"/>
      <c r="S982" s="395"/>
      <c r="T982" s="395"/>
      <c r="U982" s="395"/>
    </row>
    <row r="983" ht="15.75" customHeight="1">
      <c r="A983" s="395"/>
      <c r="B983" s="395"/>
      <c r="C983" s="395"/>
      <c r="D983" s="395"/>
      <c r="E983" s="395"/>
      <c r="F983" s="395"/>
      <c r="G983" s="395"/>
      <c r="H983" s="395"/>
      <c r="I983" s="395"/>
      <c r="J983" s="395"/>
      <c r="K983" s="395"/>
      <c r="L983" s="395"/>
      <c r="M983" s="395"/>
      <c r="N983" s="395"/>
      <c r="O983" s="395"/>
      <c r="P983" s="395"/>
      <c r="Q983" s="395"/>
      <c r="R983" s="395"/>
      <c r="S983" s="395"/>
      <c r="T983" s="395"/>
      <c r="U983" s="395"/>
    </row>
    <row r="984" ht="15.75" customHeight="1">
      <c r="A984" s="395"/>
      <c r="B984" s="395"/>
      <c r="C984" s="395"/>
      <c r="D984" s="395"/>
      <c r="E984" s="395"/>
      <c r="F984" s="395"/>
      <c r="G984" s="395"/>
      <c r="H984" s="395"/>
      <c r="I984" s="395"/>
      <c r="J984" s="395"/>
      <c r="K984" s="395"/>
      <c r="L984" s="395"/>
      <c r="M984" s="395"/>
      <c r="N984" s="395"/>
      <c r="O984" s="395"/>
      <c r="P984" s="395"/>
      <c r="Q984" s="395"/>
      <c r="R984" s="395"/>
      <c r="S984" s="395"/>
      <c r="T984" s="395"/>
      <c r="U984" s="395"/>
    </row>
    <row r="985" ht="15.75" customHeight="1">
      <c r="A985" s="395"/>
      <c r="B985" s="395"/>
      <c r="C985" s="395"/>
      <c r="D985" s="395"/>
      <c r="E985" s="395"/>
      <c r="F985" s="395"/>
      <c r="G985" s="395"/>
      <c r="H985" s="395"/>
      <c r="I985" s="395"/>
      <c r="J985" s="395"/>
      <c r="K985" s="395"/>
      <c r="L985" s="395"/>
      <c r="M985" s="395"/>
      <c r="N985" s="395"/>
      <c r="O985" s="395"/>
      <c r="P985" s="395"/>
      <c r="Q985" s="395"/>
      <c r="R985" s="395"/>
      <c r="S985" s="395"/>
      <c r="T985" s="395"/>
      <c r="U985" s="395"/>
    </row>
    <row r="986" ht="15.75" customHeight="1">
      <c r="A986" s="395"/>
      <c r="B986" s="395"/>
      <c r="C986" s="395"/>
      <c r="D986" s="395"/>
      <c r="E986" s="395"/>
      <c r="F986" s="395"/>
      <c r="G986" s="395"/>
      <c r="H986" s="395"/>
      <c r="I986" s="395"/>
      <c r="J986" s="395"/>
      <c r="K986" s="395"/>
      <c r="L986" s="395"/>
      <c r="M986" s="395"/>
      <c r="N986" s="395"/>
      <c r="O986" s="395"/>
      <c r="P986" s="395"/>
      <c r="Q986" s="395"/>
      <c r="R986" s="395"/>
      <c r="S986" s="395"/>
      <c r="T986" s="395"/>
      <c r="U986" s="395"/>
    </row>
    <row r="987" ht="15.75" customHeight="1">
      <c r="A987" s="395"/>
      <c r="B987" s="395"/>
      <c r="C987" s="395"/>
      <c r="D987" s="395"/>
      <c r="E987" s="395"/>
      <c r="F987" s="395"/>
      <c r="G987" s="395"/>
      <c r="H987" s="395"/>
      <c r="I987" s="395"/>
      <c r="J987" s="395"/>
      <c r="K987" s="395"/>
      <c r="L987" s="395"/>
      <c r="M987" s="395"/>
      <c r="N987" s="395"/>
      <c r="O987" s="395"/>
      <c r="P987" s="395"/>
      <c r="Q987" s="395"/>
      <c r="R987" s="395"/>
      <c r="S987" s="395"/>
      <c r="T987" s="395"/>
      <c r="U987" s="395"/>
    </row>
    <row r="988" ht="15.75" customHeight="1">
      <c r="A988" s="395"/>
      <c r="B988" s="395"/>
      <c r="C988" s="395"/>
      <c r="D988" s="395"/>
      <c r="E988" s="395"/>
      <c r="F988" s="395"/>
      <c r="G988" s="395"/>
      <c r="H988" s="395"/>
      <c r="I988" s="395"/>
      <c r="J988" s="395"/>
      <c r="K988" s="395"/>
      <c r="L988" s="395"/>
      <c r="M988" s="395"/>
      <c r="N988" s="395"/>
      <c r="O988" s="395"/>
      <c r="P988" s="395"/>
      <c r="Q988" s="395"/>
      <c r="R988" s="395"/>
      <c r="S988" s="395"/>
      <c r="T988" s="395"/>
      <c r="U988" s="395"/>
    </row>
    <row r="989" ht="15.75" customHeight="1">
      <c r="A989" s="395"/>
      <c r="B989" s="395"/>
      <c r="C989" s="395"/>
      <c r="D989" s="395"/>
      <c r="E989" s="395"/>
      <c r="F989" s="395"/>
      <c r="G989" s="395"/>
      <c r="H989" s="395"/>
      <c r="I989" s="395"/>
      <c r="J989" s="395"/>
      <c r="K989" s="395"/>
      <c r="L989" s="395"/>
      <c r="M989" s="395"/>
      <c r="N989" s="395"/>
      <c r="O989" s="395"/>
      <c r="P989" s="395"/>
      <c r="Q989" s="395"/>
      <c r="R989" s="395"/>
      <c r="S989" s="395"/>
      <c r="T989" s="395"/>
      <c r="U989" s="395"/>
    </row>
    <row r="990" ht="15.75" customHeight="1">
      <c r="A990" s="395"/>
      <c r="B990" s="395"/>
      <c r="C990" s="395"/>
      <c r="D990" s="395"/>
      <c r="E990" s="395"/>
      <c r="F990" s="395"/>
      <c r="G990" s="395"/>
      <c r="H990" s="395"/>
      <c r="I990" s="395"/>
      <c r="J990" s="395"/>
      <c r="K990" s="395"/>
      <c r="L990" s="395"/>
      <c r="M990" s="395"/>
      <c r="N990" s="395"/>
      <c r="O990" s="395"/>
      <c r="P990" s="395"/>
      <c r="Q990" s="395"/>
      <c r="R990" s="395"/>
      <c r="S990" s="395"/>
      <c r="T990" s="395"/>
      <c r="U990" s="395"/>
    </row>
    <row r="991" ht="15.75" customHeight="1">
      <c r="A991" s="395"/>
      <c r="B991" s="395"/>
      <c r="C991" s="395"/>
      <c r="D991" s="395"/>
      <c r="E991" s="395"/>
      <c r="F991" s="395"/>
      <c r="G991" s="395"/>
      <c r="H991" s="395"/>
      <c r="I991" s="395"/>
      <c r="J991" s="395"/>
      <c r="K991" s="395"/>
      <c r="L991" s="395"/>
      <c r="M991" s="395"/>
      <c r="N991" s="395"/>
      <c r="O991" s="395"/>
      <c r="P991" s="395"/>
      <c r="Q991" s="395"/>
      <c r="R991" s="395"/>
      <c r="S991" s="395"/>
      <c r="T991" s="395"/>
      <c r="U991" s="395"/>
    </row>
    <row r="992" ht="15.75" customHeight="1">
      <c r="A992" s="395"/>
      <c r="B992" s="395"/>
      <c r="C992" s="395"/>
      <c r="D992" s="395"/>
      <c r="E992" s="395"/>
      <c r="F992" s="395"/>
      <c r="G992" s="395"/>
      <c r="H992" s="395"/>
      <c r="I992" s="395"/>
      <c r="J992" s="395"/>
      <c r="K992" s="395"/>
      <c r="L992" s="395"/>
      <c r="M992" s="395"/>
      <c r="N992" s="395"/>
      <c r="O992" s="395"/>
      <c r="P992" s="395"/>
      <c r="Q992" s="395"/>
      <c r="R992" s="395"/>
      <c r="S992" s="395"/>
      <c r="T992" s="395"/>
      <c r="U992" s="395"/>
    </row>
    <row r="993" ht="15.75" customHeight="1">
      <c r="A993" s="395"/>
      <c r="B993" s="395"/>
      <c r="C993" s="395"/>
      <c r="D993" s="395"/>
      <c r="E993" s="395"/>
      <c r="F993" s="395"/>
      <c r="G993" s="395"/>
      <c r="H993" s="395"/>
      <c r="I993" s="395"/>
      <c r="J993" s="395"/>
      <c r="K993" s="395"/>
      <c r="L993" s="395"/>
      <c r="M993" s="395"/>
      <c r="N993" s="395"/>
      <c r="O993" s="395"/>
      <c r="P993" s="395"/>
      <c r="Q993" s="395"/>
      <c r="R993" s="395"/>
      <c r="S993" s="395"/>
      <c r="T993" s="395"/>
      <c r="U993" s="395"/>
    </row>
    <row r="994" ht="15.75" customHeight="1">
      <c r="A994" s="395"/>
      <c r="B994" s="395"/>
      <c r="C994" s="395"/>
      <c r="D994" s="395"/>
      <c r="E994" s="395"/>
      <c r="F994" s="395"/>
      <c r="G994" s="395"/>
      <c r="H994" s="395"/>
      <c r="I994" s="395"/>
      <c r="J994" s="395"/>
      <c r="K994" s="395"/>
      <c r="L994" s="395"/>
      <c r="M994" s="395"/>
      <c r="N994" s="395"/>
      <c r="O994" s="395"/>
      <c r="P994" s="395"/>
      <c r="Q994" s="395"/>
      <c r="R994" s="395"/>
      <c r="S994" s="395"/>
      <c r="T994" s="395"/>
      <c r="U994" s="395"/>
    </row>
    <row r="995" ht="15.75" customHeight="1">
      <c r="A995" s="395"/>
      <c r="B995" s="395"/>
      <c r="C995" s="395"/>
      <c r="D995" s="395"/>
      <c r="E995" s="395"/>
      <c r="F995" s="395"/>
      <c r="G995" s="395"/>
      <c r="H995" s="395"/>
      <c r="I995" s="395"/>
      <c r="J995" s="395"/>
      <c r="K995" s="395"/>
      <c r="L995" s="395"/>
      <c r="M995" s="395"/>
      <c r="N995" s="395"/>
      <c r="O995" s="395"/>
      <c r="P995" s="395"/>
      <c r="Q995" s="395"/>
      <c r="R995" s="395"/>
      <c r="S995" s="395"/>
      <c r="T995" s="395"/>
      <c r="U995" s="395"/>
    </row>
    <row r="996" ht="15.75" customHeight="1">
      <c r="A996" s="395"/>
      <c r="B996" s="395"/>
      <c r="C996" s="395"/>
      <c r="D996" s="395"/>
      <c r="E996" s="395"/>
      <c r="F996" s="395"/>
      <c r="G996" s="395"/>
      <c r="H996" s="395"/>
      <c r="I996" s="395"/>
      <c r="J996" s="395"/>
      <c r="K996" s="395"/>
      <c r="L996" s="395"/>
      <c r="M996" s="395"/>
      <c r="N996" s="395"/>
      <c r="O996" s="395"/>
      <c r="P996" s="395"/>
      <c r="Q996" s="395"/>
      <c r="R996" s="395"/>
      <c r="S996" s="395"/>
      <c r="T996" s="395"/>
      <c r="U996" s="395"/>
    </row>
    <row r="997" ht="15.75" customHeight="1">
      <c r="A997" s="395"/>
      <c r="B997" s="395"/>
      <c r="C997" s="395"/>
      <c r="D997" s="395"/>
      <c r="E997" s="395"/>
      <c r="F997" s="395"/>
      <c r="G997" s="395"/>
      <c r="H997" s="395"/>
      <c r="I997" s="395"/>
      <c r="J997" s="395"/>
      <c r="K997" s="395"/>
      <c r="L997" s="395"/>
      <c r="M997" s="395"/>
      <c r="N997" s="395"/>
      <c r="O997" s="395"/>
      <c r="P997" s="395"/>
      <c r="Q997" s="395"/>
      <c r="R997" s="395"/>
      <c r="S997" s="395"/>
      <c r="T997" s="395"/>
      <c r="U997" s="395"/>
    </row>
    <row r="998" ht="15.75" customHeight="1">
      <c r="A998" s="395"/>
      <c r="B998" s="395"/>
      <c r="C998" s="395"/>
      <c r="D998" s="395"/>
      <c r="E998" s="395"/>
      <c r="F998" s="395"/>
      <c r="G998" s="395"/>
      <c r="H998" s="395"/>
      <c r="I998" s="395"/>
      <c r="J998" s="395"/>
      <c r="K998" s="395"/>
      <c r="L998" s="395"/>
      <c r="M998" s="395"/>
      <c r="N998" s="395"/>
      <c r="O998" s="395"/>
      <c r="P998" s="395"/>
      <c r="Q998" s="395"/>
      <c r="R998" s="395"/>
      <c r="S998" s="395"/>
      <c r="T998" s="395"/>
      <c r="U998" s="395"/>
    </row>
    <row r="999" ht="15.75" customHeight="1">
      <c r="A999" s="395"/>
      <c r="B999" s="395"/>
      <c r="C999" s="395"/>
      <c r="D999" s="395"/>
      <c r="E999" s="395"/>
      <c r="F999" s="395"/>
      <c r="G999" s="395"/>
      <c r="H999" s="395"/>
      <c r="I999" s="395"/>
      <c r="J999" s="395"/>
      <c r="K999" s="395"/>
      <c r="L999" s="395"/>
      <c r="M999" s="395"/>
      <c r="N999" s="395"/>
      <c r="O999" s="395"/>
      <c r="P999" s="395"/>
      <c r="Q999" s="395"/>
      <c r="R999" s="395"/>
      <c r="S999" s="395"/>
      <c r="T999" s="395"/>
      <c r="U999" s="395"/>
    </row>
    <row r="1000" ht="15.75" customHeight="1">
      <c r="A1000" s="395"/>
      <c r="B1000" s="395"/>
      <c r="C1000" s="395"/>
      <c r="D1000" s="395"/>
      <c r="E1000" s="395"/>
      <c r="F1000" s="395"/>
      <c r="G1000" s="395"/>
      <c r="H1000" s="395"/>
      <c r="I1000" s="395"/>
      <c r="J1000" s="395"/>
      <c r="K1000" s="395"/>
      <c r="L1000" s="395"/>
      <c r="M1000" s="395"/>
      <c r="N1000" s="395"/>
      <c r="O1000" s="395"/>
      <c r="P1000" s="395"/>
      <c r="Q1000" s="395"/>
      <c r="R1000" s="395"/>
      <c r="S1000" s="395"/>
      <c r="T1000" s="395"/>
      <c r="U1000" s="395"/>
    </row>
    <row r="1001" ht="15.75" customHeight="1">
      <c r="A1001" s="395"/>
      <c r="B1001" s="395"/>
      <c r="C1001" s="395"/>
      <c r="D1001" s="395"/>
      <c r="E1001" s="395"/>
      <c r="F1001" s="395"/>
      <c r="G1001" s="395"/>
      <c r="H1001" s="395"/>
      <c r="I1001" s="395"/>
      <c r="J1001" s="395"/>
      <c r="K1001" s="395"/>
      <c r="L1001" s="395"/>
      <c r="M1001" s="395"/>
      <c r="N1001" s="395"/>
      <c r="O1001" s="395"/>
      <c r="P1001" s="395"/>
      <c r="Q1001" s="395"/>
      <c r="R1001" s="395"/>
      <c r="S1001" s="395"/>
      <c r="T1001" s="395"/>
      <c r="U1001" s="395"/>
    </row>
    <row r="1002" ht="15.75" customHeight="1">
      <c r="A1002" s="395"/>
      <c r="B1002" s="395"/>
      <c r="C1002" s="395"/>
      <c r="D1002" s="395"/>
      <c r="E1002" s="395"/>
      <c r="F1002" s="395"/>
      <c r="G1002" s="395"/>
      <c r="H1002" s="395"/>
      <c r="I1002" s="395"/>
      <c r="J1002" s="395"/>
      <c r="K1002" s="395"/>
      <c r="L1002" s="395"/>
      <c r="M1002" s="395"/>
      <c r="N1002" s="395"/>
      <c r="O1002" s="395"/>
      <c r="P1002" s="395"/>
      <c r="Q1002" s="395"/>
      <c r="R1002" s="395"/>
      <c r="S1002" s="395"/>
      <c r="T1002" s="395"/>
      <c r="U1002" s="395"/>
    </row>
    <row r="1003" ht="15.75" customHeight="1">
      <c r="A1003" s="395"/>
      <c r="B1003" s="395"/>
      <c r="C1003" s="395"/>
      <c r="D1003" s="395"/>
      <c r="E1003" s="395"/>
      <c r="F1003" s="395"/>
      <c r="G1003" s="395"/>
      <c r="H1003" s="395"/>
      <c r="I1003" s="395"/>
      <c r="J1003" s="395"/>
      <c r="K1003" s="395"/>
      <c r="L1003" s="395"/>
      <c r="M1003" s="395"/>
      <c r="N1003" s="395"/>
      <c r="O1003" s="395"/>
      <c r="P1003" s="395"/>
      <c r="Q1003" s="395"/>
      <c r="R1003" s="395"/>
      <c r="S1003" s="395"/>
      <c r="T1003" s="395"/>
      <c r="U1003" s="395"/>
    </row>
    <row r="1004" ht="15.75" customHeight="1">
      <c r="A1004" s="395"/>
      <c r="B1004" s="395"/>
      <c r="C1004" s="395"/>
      <c r="D1004" s="395"/>
      <c r="E1004" s="395"/>
      <c r="F1004" s="395"/>
      <c r="G1004" s="395"/>
      <c r="H1004" s="395"/>
      <c r="I1004" s="395"/>
      <c r="J1004" s="395"/>
      <c r="K1004" s="395"/>
      <c r="L1004" s="395"/>
      <c r="M1004" s="395"/>
      <c r="N1004" s="395"/>
      <c r="O1004" s="395"/>
      <c r="P1004" s="395"/>
      <c r="Q1004" s="395"/>
      <c r="R1004" s="395"/>
      <c r="S1004" s="395"/>
      <c r="T1004" s="395"/>
      <c r="U1004" s="395"/>
    </row>
    <row r="1005" ht="15.75" customHeight="1">
      <c r="A1005" s="395"/>
      <c r="B1005" s="395"/>
      <c r="C1005" s="395"/>
      <c r="D1005" s="395"/>
      <c r="E1005" s="395"/>
      <c r="F1005" s="395"/>
      <c r="G1005" s="395"/>
      <c r="H1005" s="395"/>
      <c r="I1005" s="395"/>
      <c r="J1005" s="395"/>
      <c r="K1005" s="395"/>
      <c r="L1005" s="395"/>
      <c r="M1005" s="395"/>
      <c r="N1005" s="395"/>
      <c r="O1005" s="395"/>
      <c r="P1005" s="395"/>
      <c r="Q1005" s="395"/>
      <c r="R1005" s="395"/>
      <c r="S1005" s="395"/>
      <c r="T1005" s="395"/>
      <c r="U1005" s="395"/>
    </row>
    <row r="1006" ht="15.75" customHeight="1">
      <c r="A1006" s="395"/>
      <c r="B1006" s="395"/>
      <c r="C1006" s="395"/>
      <c r="D1006" s="395"/>
      <c r="E1006" s="395"/>
      <c r="F1006" s="395"/>
      <c r="G1006" s="395"/>
      <c r="H1006" s="395"/>
      <c r="I1006" s="395"/>
      <c r="J1006" s="395"/>
      <c r="K1006" s="395"/>
      <c r="L1006" s="395"/>
      <c r="M1006" s="395"/>
      <c r="N1006" s="395"/>
      <c r="O1006" s="395"/>
      <c r="P1006" s="395"/>
      <c r="Q1006" s="395"/>
      <c r="R1006" s="395"/>
      <c r="S1006" s="395"/>
      <c r="T1006" s="395"/>
      <c r="U1006" s="395"/>
    </row>
    <row r="1007" ht="15.75" customHeight="1">
      <c r="A1007" s="395"/>
      <c r="B1007" s="395"/>
      <c r="C1007" s="395"/>
      <c r="D1007" s="395"/>
      <c r="E1007" s="395"/>
      <c r="F1007" s="395"/>
      <c r="G1007" s="395"/>
      <c r="H1007" s="395"/>
      <c r="I1007" s="395"/>
      <c r="J1007" s="395"/>
      <c r="K1007" s="395"/>
      <c r="L1007" s="395"/>
      <c r="M1007" s="395"/>
      <c r="N1007" s="395"/>
      <c r="O1007" s="395"/>
      <c r="P1007" s="395"/>
      <c r="Q1007" s="395"/>
      <c r="R1007" s="395"/>
      <c r="S1007" s="395"/>
      <c r="T1007" s="395"/>
      <c r="U1007" s="395"/>
    </row>
    <row r="1008" ht="15.75" customHeight="1">
      <c r="A1008" s="395"/>
      <c r="B1008" s="395"/>
      <c r="C1008" s="395"/>
      <c r="D1008" s="395"/>
      <c r="E1008" s="395"/>
      <c r="F1008" s="395"/>
      <c r="G1008" s="395"/>
      <c r="H1008" s="395"/>
      <c r="I1008" s="395"/>
      <c r="J1008" s="395"/>
      <c r="K1008" s="395"/>
      <c r="L1008" s="395"/>
      <c r="M1008" s="395"/>
      <c r="N1008" s="395"/>
      <c r="O1008" s="395"/>
      <c r="P1008" s="395"/>
      <c r="Q1008" s="395"/>
      <c r="R1008" s="395"/>
      <c r="S1008" s="395"/>
      <c r="T1008" s="395"/>
      <c r="U1008" s="395"/>
    </row>
    <row r="1009" ht="15.75" customHeight="1">
      <c r="A1009" s="395"/>
      <c r="B1009" s="395"/>
      <c r="C1009" s="395"/>
      <c r="D1009" s="395"/>
      <c r="E1009" s="395"/>
      <c r="F1009" s="395"/>
      <c r="G1009" s="395"/>
      <c r="H1009" s="395"/>
      <c r="I1009" s="395"/>
      <c r="J1009" s="395"/>
      <c r="K1009" s="395"/>
      <c r="L1009" s="395"/>
      <c r="M1009" s="395"/>
      <c r="N1009" s="395"/>
      <c r="O1009" s="395"/>
      <c r="P1009" s="395"/>
      <c r="Q1009" s="395"/>
      <c r="R1009" s="395"/>
      <c r="S1009" s="395"/>
      <c r="T1009" s="395"/>
      <c r="U1009" s="395"/>
    </row>
    <row r="1010" ht="15.75" customHeight="1">
      <c r="A1010" s="395"/>
      <c r="B1010" s="395"/>
      <c r="C1010" s="395"/>
      <c r="D1010" s="395"/>
      <c r="E1010" s="395"/>
      <c r="F1010" s="395"/>
      <c r="G1010" s="395"/>
      <c r="H1010" s="395"/>
      <c r="I1010" s="395"/>
      <c r="J1010" s="395"/>
      <c r="K1010" s="395"/>
      <c r="L1010" s="395"/>
      <c r="M1010" s="395"/>
      <c r="N1010" s="395"/>
      <c r="O1010" s="395"/>
      <c r="P1010" s="395"/>
      <c r="Q1010" s="395"/>
      <c r="R1010" s="395"/>
      <c r="S1010" s="395"/>
      <c r="T1010" s="395"/>
      <c r="U1010" s="395"/>
    </row>
    <row r="1011" ht="15.75" customHeight="1">
      <c r="A1011" s="395"/>
      <c r="B1011" s="395"/>
      <c r="C1011" s="395"/>
      <c r="D1011" s="395"/>
      <c r="E1011" s="395"/>
      <c r="F1011" s="395"/>
      <c r="G1011" s="395"/>
      <c r="H1011" s="395"/>
      <c r="I1011" s="395"/>
      <c r="J1011" s="395"/>
      <c r="K1011" s="395"/>
      <c r="L1011" s="395"/>
      <c r="M1011" s="395"/>
      <c r="N1011" s="395"/>
      <c r="O1011" s="395"/>
      <c r="P1011" s="395"/>
      <c r="Q1011" s="395"/>
      <c r="R1011" s="395"/>
      <c r="S1011" s="395"/>
      <c r="T1011" s="395"/>
      <c r="U1011" s="395"/>
    </row>
    <row r="1012" ht="15.75" customHeight="1">
      <c r="A1012" s="395"/>
      <c r="B1012" s="395"/>
      <c r="C1012" s="395"/>
      <c r="D1012" s="395"/>
      <c r="E1012" s="395"/>
      <c r="F1012" s="395"/>
      <c r="G1012" s="395"/>
      <c r="H1012" s="395"/>
      <c r="I1012" s="395"/>
      <c r="J1012" s="395"/>
      <c r="K1012" s="395"/>
      <c r="L1012" s="395"/>
      <c r="M1012" s="395"/>
      <c r="N1012" s="395"/>
      <c r="O1012" s="395"/>
      <c r="P1012" s="395"/>
      <c r="Q1012" s="395"/>
      <c r="R1012" s="395"/>
      <c r="S1012" s="395"/>
      <c r="T1012" s="395"/>
      <c r="U1012" s="395"/>
    </row>
    <row r="1013" ht="15.75" customHeight="1">
      <c r="A1013" s="395"/>
      <c r="B1013" s="395"/>
      <c r="C1013" s="395"/>
      <c r="D1013" s="395"/>
      <c r="E1013" s="395"/>
      <c r="F1013" s="395"/>
      <c r="G1013" s="395"/>
      <c r="H1013" s="395"/>
      <c r="I1013" s="395"/>
      <c r="J1013" s="395"/>
      <c r="K1013" s="395"/>
      <c r="L1013" s="395"/>
      <c r="M1013" s="395"/>
      <c r="N1013" s="395"/>
      <c r="O1013" s="395"/>
      <c r="P1013" s="395"/>
      <c r="Q1013" s="395"/>
      <c r="R1013" s="395"/>
      <c r="S1013" s="395"/>
      <c r="T1013" s="395"/>
      <c r="U1013" s="395"/>
    </row>
  </sheetData>
  <autoFilter ref="$A$15:$U$202">
    <filterColumn colId="10">
      <filters>
        <filter val="https://vt.tiktok.com/ZSHGnBpNS/"/>
        <filter val="https://vt.tiktok.com/ZSmsfXTMv/"/>
        <filter val="https://www.tiktok.com/@azurayumna.s/video/7609655237275684117?is_from_webapp=1&amp;sender_device=pc"/>
        <filter val="https://vt.tiktok.com/ZSHugKPKm/"/>
        <filter val="https://vt.tiktok.com/ZSH8ucb41/"/>
        <filter val="https://vt.tiktok.com/ZSue185Tf/"/>
        <filter val="https://vt.tiktok.com/ZSuj9WeT7/"/>
        <filter val="https://vt.tiktok.com/ZS9vpu7KQ/"/>
        <filter val="https://vt.tiktok.com/ZS9JxxXqB/"/>
        <filter val="https://vt.tiktok.com/ZSHuphN7H/"/>
        <filter val="https://vt.tiktok.com/ZSuvpo3TY/"/>
        <filter val="https://vt.tiktok.com/ZSHCfjPgj/"/>
        <filter val="https://vt.tiktok.com/ZSuAmwM7b/"/>
        <filter val="https://vt.tiktok.com/ZSH3LmAJn/"/>
        <filter val="https://www.tiktok.com/@anyagabrielles/video/7618404070159715605?is_from_webapp=1&amp;sender_device=pc"/>
        <filter val="https://vt.tiktok.com/ZSH2gkYpw/"/>
        <filter val="https://vt.tiktok.com/ZSxepua1W/"/>
        <filter val="https://vt.tiktok.com/ZSue5fEw7/"/>
        <filter val="https://www.tiktok.com/@okiethamrin98/video/7614788525938035988?is_from_webapp=1&amp;sender_device=pc"/>
        <filter val="https://vt.tiktok.com/ZSmc4NxmX/"/>
        <filter val="https://vt.tiktok.com/ZSuJakUKL/"/>
        <filter val="https://vt.tiktok.com/ZSm3Lh1GT/"/>
        <filter val="https://vt.tiktok.com/ZSHFsu9tP/"/>
        <filter val="https://vt.tiktok.com/ZSur5gT9H/"/>
        <filter val="https://vt.tiktok.com/ZSuUDrvXw/"/>
        <filter val="https://vt.tiktok.com/ZSmTYbHCa/"/>
        <filter val="https://vt.tiktok.com/ZSuBy8otV/"/>
        <filter val="https://vt.tiktok.com/ZSuwFCSUT/"/>
        <filter val="https://vt.tiktok.com/ZSHQycamA/"/>
        <filter val="https://www.tiktok.com/@meloveminee/video/7613570054445124885?is_from_webapp=1&amp;sender_device=pc"/>
        <filter val="https://vt.tiktok.com/ZSue6W1N1/"/>
        <filter val="https://www.tiktok.com/@intnwulnn_/video/7638602477893389576?is_from_webapp=1&amp;sender_device=pc"/>
        <filter val="https://vt.tiktok.com/ZS9qSh7FR/"/>
        <filter val="https://vt.tiktok.com/ZSHB7mTpn/"/>
        <filter val="https://vt.tiktok.com/ZSuWUkT7S/"/>
        <filter val="https://vt.tiktok.com/ZSHGQX6jk/"/>
        <filter val="https://vt.tiktok.com/ZSuw5xJfu/"/>
        <filter val="https://vt.tiktok.com/ZSHp2Nsn7/"/>
        <filter val="https://vt.tiktok.com/ZSuJNCSUb/"/>
        <filter val="https://vt.tiktok.com/ZSucy5mxg/"/>
        <filter val="https://vt.tiktok.com/ZSHxRGYL4/"/>
        <filter val="https://vt.tiktok.com/ZSuL2Y9hq/"/>
        <filter val="https://vt.tiktok.com/ZSHucjjHE/"/>
        <filter val="https://vt.tiktok.com/ZSHjYBBdW/"/>
        <filter val="https://vt.tiktok.com/ZSuPdr4Kg/"/>
        <filter val="https://vt.tiktok.com/ZSHqK2dKE/"/>
        <filter val="https://vt.tiktok.com/ZSmEPo1JU/"/>
        <filter val="https://vt.tiktok.com/ZSuJXBxsF/"/>
        <filter val="https://vt.tiktok.com/ZSucdfswP/"/>
        <filter val="https://vt.tiktok.com/ZS9se49H1/"/>
        <filter val="https://vt.tiktok.com/ZSmEo19rP/"/>
        <filter val="https://vt.tiktok.com/ZSmcqaf5P/"/>
        <filter val="https://www.tiktok.com/@bywday/video/7613606638896958738?is_from_webapp=1&amp;sender_device=pc"/>
        <filter val="https://vt.tiktok.com/ZSH97Tbm5/"/>
        <filter val="https://vt.tiktok.com/ZSuB1e2jR/"/>
        <filter val="https://vt.tiktok.com/ZSuPbofSS/"/>
        <filter val="https://vt.tiktok.com/ZS9edWnHA/"/>
        <filter val="https://vt.tiktok.com/ZS9XWu9f7/"/>
        <filter val="https://vt.tiktok.com/ZSu31C2Xj/"/>
        <filter val="https://vt.tiktok.com/ZSHqEknWG/"/>
        <filter val="https://www.tiktok.com/@milaaacahy14/video/7637548648561265928?is_from_webapp=1&amp;sender_device=pc"/>
        <filter val="https://vt.tiktok.com/ZSHyr3n56/"/>
        <filter val="https://vt.tiktok.com/ZSHcjayMG/"/>
        <filter val="https://vt.tiktok.com/ZSHGtwyqC/"/>
        <filter val="https://vt.tiktok.com/ZSxU8HX5F/"/>
        <filter val="https://vt.tiktok.com/ZS94Cm2dL/"/>
        <filter val="https://vt.tiktok.com/ZSuJPu1kD/"/>
        <filter val="https://www.tiktok.com/@meamore42/video/7624137391976107271?is_from_webapp=1&amp;sender_device=pc"/>
        <filter val="https://vt.tiktok.com/ZSu91TDUR/"/>
        <filter val="https://vt.tiktok.com/ZSxM7ae4R/"/>
        <filter val="https://vt.tiktok.com/ZSxhK4Qth/"/>
        <filter val="https://vt.tiktok.com/ZSmKypNxQ/"/>
        <filter val="https://vt.tiktok.com/ZS9AhUc3e/"/>
        <filter val="https://vt.tiktok.com/ZSHB7Eaab/"/>
        <filter val="https://vt.tiktok.com/ZSuJbfBHm/"/>
        <filter val="https://vt.tiktok.com/ZS9GGnyUa/"/>
        <filter val="https://vt.tiktok.com/ZSHnxUfg9/"/>
        <filter val="https://vt.tiktok.com/ZSHyAEgSm/"/>
        <filter val="https://vt.tiktok.com/ZSH8XSBLj/"/>
        <filter val="https://vt.tiktok.com/ZSuToAnvF/"/>
        <filter val="https://vt.tiktok.com/ZS9qq2umP/"/>
        <filter val="https://vt.tiktok.com/ZSuj9v7TD/"/>
        <filter val="https://vt.tiktok.com/ZSufgYK7J/"/>
        <filter val="https://vt.tiktok.com/ZSuyQkhRe/"/>
        <filter val="https://vt.tiktok.com/ZSHPABF1c/"/>
        <filter val="https://vt.tiktok.com/ZSuuAJyLF/"/>
        <filter val="https://vt.tiktok.com/ZSHhb198M/"/>
        <filter val="https://vt.tiktok.com/ZS9GvesEd/"/>
        <filter val="https://vt.tiktok.com/ZSHyh8vNN/"/>
        <filter val="https://vt.tiktok.com/ZS9qrVbEc/"/>
        <filter val="https://www.tiktok.com/@mamanyabashir/video/7621054959554972945?is_from_webapp=1&amp;sender_device=pc"/>
        <filter val="Link Video 1"/>
        <filter val="https://vt.tiktok.com/ZSuHGdB2s/"/>
        <filter val="https://vt.tiktok.com/ZS9tb6mg1/"/>
        <filter val="https://www.tiktok.com/@panggilhanny/video/7623715048334069010?is_from_webapp=1&amp;sender_device=pc"/>
        <filter val="https://vt.tiktok.com/ZS9DKyJGm/"/>
        <filter val="https://vt.tiktok.com/ZSuekr7nh/"/>
        <filter val="https://vt.tiktok.com/ZSuUWETMR/"/>
        <filter val="https://www.tiktok.com/@ismifadhilah29/video/7617036641953205525?is_from_webapp=1&amp;sender_device=pc"/>
        <filter val="https://vt.tiktok.com/ZSujPV9WN/"/>
        <filter val="https://vt.tiktok.com/ZS9GSHmGb/"/>
        <filter val="https://vt.tiktok.com/ZSuRvveD8/"/>
        <filter val="https://vt.tiktok.com/ZSHUGqkGe/"/>
        <filter val="https://vt.tiktok.com/ZS9q6kKeg/"/>
        <filter val="https://www.tiktok.com/@fentina5502/video/7639711100816166151?is_from_webapp=1&amp;sender_device=pc"/>
        <filter val="https://vt.tiktok.com/ZSu1hr9s2/"/>
        <filter val="https://vt.tiktok.com/ZSukQRtQH/"/>
        <filter val="https://vt.tiktok.com/ZSuw6HqHa/"/>
        <filter val="https://vt.tiktok.com/ZSmccQMyW/"/>
        <filter val="https://vt.tiktok.com/ZSHbFJDE1/"/>
        <filter val="https://vt.tiktok.com/ZSmEnFfdq/"/>
        <filter val="https://www.tiktok.com/@sifaaa.97/video/7613341619403623700?is_from_webapp=1&amp;sender_device=pc"/>
        <filter val="https://vt.tiktok.com/ZSuJs8tPp/"/>
        <filter val="https://vt.tiktok.com/ZSu91Hk99/"/>
        <filter val="https://www.tiktok.com/@kakaklin_/video/7626733123480358152?is_from_webapp=1&amp;sender_device=pc"/>
        <filter val="https://vt.tiktok.com/ZSHBACBJn/"/>
        <filter val="https://vt.tiktok.com/ZSHSacc8F/"/>
        <filter val="https://vt.tiktok.com/ZSukMkwM9/"/>
        <filter val="https://www.tiktok.com/@storyandine/video/7637036855103425810?is_from_webapp=1&amp;sender_device=pc"/>
        <filter val="https://vt.tiktok.com/ZSHXBRbCM/"/>
        <filter val="https://vt.tiktok.com/ZS9GLFEH9/"/>
        <filter val="https://vt.tiktok.com/ZSHjje1GM/"/>
        <filter val="https://vt.tiktok.com/ZSujCPHGo/"/>
        <filter val="https://vt.tiktok.com/ZS9maGdx6/"/>
        <filter val="https://vt.tiktok.com/ZSuYpsDL3/"/>
        <filter val="https://vt.tiktok.com/ZSudT3Y1D/"/>
        <filter val="https://www.tiktok.com/@_ciaashop/video/7626065402933546261?is_from_webapp=1&amp;sender_device=pc"/>
        <filter val="https://vt.tiktok.com/ZS9WLwoCA/"/>
        <filter val="https://vt.tiktok.com/ZSuNdac97/"/>
        <filter val="https://vt.tiktok.com/ZS9GK9D4y/"/>
        <filter val="https://vt.tiktok.com/ZSu617GD7/"/>
        <filter val="https://vt.tiktok.com/ZSxMFC28n/"/>
        <filter val="https://vt.tiktok.com/ZS9hbNCty/"/>
        <filter val="https://vt.tiktok.com/ZS9LEwVmH/"/>
        <filter val="https://vt.tiktok.com/ZS9JXegxt/"/>
        <filter val="https://vt.tiktok.com/ZSHHh8CjS/"/>
        <filter val="https://vt.tiktok.com/ZSu9BHMUe/"/>
        <filter val="https://vt.tiktok.com/ZSmwrYwM1/"/>
        <filter val="https://vt.tiktok.com/ZSuru3Bq6/"/>
        <filter val="https://vt.tiktok.com/ZSuyhyL9J/"/>
        <filter val="https://vt.tiktok.com/ZSuuojaFu/"/>
        <filter val="https://vt.tiktok.com/ZS9WfyBj7/"/>
        <filter val="https://www.tiktok.com/@beershinee_/video/7620996734918855943?is_from_webapp=1&amp;sender_device=pc"/>
        <filter val="https://vt.tiktok.com/ZS9CCHQBu/"/>
        <filter val="https://vt.tiktok.com/ZSujRAey4/"/>
        <filter val="https://vt.tiktok.com/ZSutN1c5c/"/>
        <filter val="https://vt.tiktok.com/ZSukGHoLB/"/>
        <filter val="https://vt.tiktok.com/ZSmETDuoL/"/>
        <filter val="https://vt.tiktok.com/ZSmwHqjFU/"/>
        <filter val="https://vt.tiktok.com/ZSmKYAnag/"/>
      </filters>
    </filterColumn>
    <filterColumn colId="12">
      <filters>
        <filter val="https://vt.tiktok.com/ZSm76fRfK/"/>
        <filter val="https://vt.tiktok.com/ZSuQ63bHW/"/>
        <filter val="https://vt.tiktok.com/ZSuAuh8Wc/"/>
        <filter val="https://vt.tiktok.com/ZSuuSXQ7H/"/>
        <filter val="https://vt.tiktok.com/ZSmEGHmwD/"/>
        <filter val="https://vt.tiktok.com/ZSHsyRQL3/"/>
        <filter val="https://vt.tiktok.com/ZSuJpg7vr/"/>
        <filter val="https://vt.tiktok.com/ZSuaoQLj8/"/>
        <filter val="https://www.tiktok.com/@kakaklin_/video/7627014290872028424?is_from_webapp=1&amp;sender_device=pc"/>
        <filter val="https://vt.tiktok.com/ZSHcjxnBv/"/>
        <filter val="https://vt.tiktok.com/ZSHucLmTA/"/>
        <filter val="https://vt.tiktok.com/ZSHY2sDW2/"/>
        <filter val="https://vt.tiktok.com/ZSuhdQjY2/"/>
        <filter val="https://vt.tiktok.com/ZSmwrtd9p/"/>
        <filter val="https://www.tiktok.com/@bulllll1220/video/7637835227359874325?is_from_webapp=1&amp;sender_device=pc"/>
        <filter val="https://vt.tiktok.com/ZSH2Vs1bq/"/>
        <filter val="https://vt.tiktok.com/ZSxU21ueb/"/>
        <filter val="https://vt.tiktok.com/ZSurhAbnK/"/>
        <filter val="https://vt.tiktok.com/ZS9G3HV21/"/>
        <filter val="https://vt.tiktok.com/ZSHXksFgw/"/>
        <filter val="https://www.tiktok.com/@alviradevikaa/video/7638140824487808274?is_from_webapp=1&amp;sender_device=pc"/>
        <filter val="https://vt.tiktok.com/ZSuysnKSe/"/>
        <filter val="https://vt.tiktok.com/ZSuvsHM1T/"/>
        <filter val="https://vt.tiktok.com/ZSujshw1p/"/>
        <filter val="https://vt.tiktok.com/ZSHp2y81T/"/>
        <filter val="https://vt.tiktok.com/ZSuyV5k6M/"/>
        <filter val="https://vt.tiktok.com/ZSHjj1ppC/"/>
        <filter val="https://vt.tiktok.com/ZSHpCCCq5/"/>
        <filter val="https://vt.tiktok.com/ZSuUv7Eug/"/>
        <filter val="https://vt.tiktok.com/ZS9tQcuVY/"/>
        <filter val="https://vt.tiktok.com/ZSuHRKe6S/"/>
        <filter val="https://vt.tiktok.com/ZSHj2Sxtx/"/>
        <filter val="https://vt.tiktok.com/ZSHyrE1JU/"/>
        <filter val="https://vt.tiktok.com/ZSH9vMJb9/"/>
        <filter val="https://vt.tiktok.com/ZS9tb5C8U/"/>
        <filter val="https://vt.tiktok.com/ZSmKt7QfR/"/>
        <filter val="https://vt.tiktok.com/ZS9nUaBHD/"/>
        <filter val="https://www.tiktok.com/@meamore42/video/7624877522949328136?is_from_webapp=1&amp;sender_device=pc"/>
        <filter val="https://vt.tiktok.com/ZS9fbg8Qc/"/>
        <filter val="https://vt.tiktok.com/ZS9JCGmS2/"/>
        <filter val="https://vt.tiktok.com/ZS9k6eK8v/"/>
        <filter val="https://vt.tiktok.com/ZSuB63gRG/"/>
        <filter val="https://vt.tiktok.com/ZSucdvCRv/"/>
        <filter val="https://vt.tiktok.com/ZSHCf87hb/"/>
        <filter val="https://vt.tiktok.com/ZS9phdgSS/"/>
        <filter val="https://vt.tiktok.com/ZS9tAYYg6/"/>
        <filter val="https://vt.tiktok.com/ZSHqTXvf9/"/>
        <filter val="https://vt.tiktok.com/ZSHugE8Dw/"/>
        <filter val="https://vt.tiktok.com/ZSuH3PXSU/"/>
        <filter val="https://www.tiktok.com/@azurayumna.s/video/7609673667160591637?is_from_webapp=1&amp;sender_device=pc"/>
        <filter val="https://vt.tiktok.com/ZSuTwJfxM/"/>
        <filter val="https://vt.tiktok.com/ZSHoqyaE2/"/>
        <filter val="https://www.tiktok.com/@lala41376/video/7637299276053220629?is_from_webapp=1&amp;sender_device=pc"/>
        <filter val="https://www.tiktok.com/@racunpikacu02/video/7632184297960656146?is_from_webapp=1&amp;sender_device=pc"/>
        <filter val="https://www.tiktok.com/@friskafrl/video/7628437089280904468?is_from_webapp=1&amp;sender_device=pc"/>
        <filter val="https://vt.tiktok.com/ZS9JHhS37/"/>
        <filter val="https://vt.tiktok.com/ZS9nvwMJm"/>
        <filter val="https://vt.tiktok.com/ZSH84dFRN/"/>
        <filter val="https://vt.tiktok.com/ZSujK6UHC/"/>
        <filter val="https://www.tiktok.com/@mamanyabashir/video/7622115019253124353?is_from_webapp=1&amp;sender_device=pc"/>
        <filter val="https://vt.tiktok.com/ZSmoqwvPN/"/>
        <filter val="https://vt.tiktok.com/ZSu6T78xX/"/>
        <filter val="https://vt.tiktok.com/ZSurhUSN5/"/>
        <filter val="https://www.tiktok.com/@panggilhanny/video/7624363744965020936?is_from_webapp=1&amp;sender_device=pc"/>
        <filter val="https://vt.tiktok.com/ZSufgYK7J/"/>
        <filter val="https://vt.tiktok.com/ZSHGXmwcA/"/>
        <filter val="https://vt.tiktok.com/ZS9712cU6/"/>
        <filter val="https://vt.tiktok.com/ZSuAC4CwU/"/>
        <filter val="https://vt.tiktok.com/ZSxepGVuE/"/>
        <filter val="https://vt.tiktok.com/ZS9CNe6PU/"/>
        <filter val="https://www.tiktok.com/@storyandine/video/7637788075938073874?is_from_webapp=1&amp;sender_device=pc"/>
        <filter val="https://vt.tiktok.com/ZSH67ajCN/"/>
        <filter val="https://vt.tiktok.com/ZS9hqwqHF/"/>
        <filter val="https://vt.tiktok.com/ZSu6RHPw1/"/>
        <filter val="https://vt.tiktok.com/ZSuYtM4Gy/"/>
        <filter val="Link Video 2"/>
        <filter val="https://www.tiktok.com/@bywday/video/7613631011422817544?is_from_webapp=1&amp;sender_device=pc"/>
        <filter val="https://vt.tiktok.com/ZSHyDLK3j/"/>
        <filter val="https://vt.tiktok.com/ZSH8C4U8T/"/>
        <filter val="https://vt.tiktok.com/ZSu31T9vj/"/>
        <filter val="https://vt.tiktok.com/ZSuAury6S/"/>
        <filter val="https://vt.tiktok.com/ZSH27WGKM/"/>
        <filter val="https://vt.tiktok.com/ZSuk4HMrF/"/>
        <filter val="https://vt.tiktok.com/ZSudwBPk3/"/>
        <filter val="https://vt.tiktok.com/ZSxMFg7Rs/"/>
        <filter val="https://vt.tiktok.com/ZSH72NS1f/"/>
        <filter val="https://www.tiktok.com/@ismifadhilah29/video/7617345636635233557?is_from_webapp=1&amp;sender_device=pc"/>
        <filter val="https://vt.tiktok.com/ZS9XWCPqo/"/>
        <filter val="https://www.tiktok.com/@fentina5502/video/7639710920234585362?is_from_webapp=1&amp;sender_device=pc"/>
        <filter val="https://vt.tiktok.com/ZS9J5SyQd/"/>
        <filter val="https://vt.tiktok.com/ZSHbsjhuL/"/>
        <filter val="https://vt.tiktok.com/ZSHPTHLQP/"/>
        <filter val="https://vt.tiktok.com/ZSHbF6hnW/"/>
        <filter val="https://vt.tiktok.com/ZS9hgYAUC/"/>
        <filter val="https://vt.tiktok.com/ZSxNqmboc/"/>
        <filter val="https://vt.tiktok.com/ZSuoTGBpw/"/>
        <filter val="https://vt.tiktok.com/ZSxU8qaNt/"/>
        <filter val="https://vt.tiktok.com/ZS9bXw4yq/"/>
        <filter val="https://vt.tiktok.com/ZSHuVkF4d/"/>
        <filter val="https://www.tiktok.com/@beershinee_/video/7622175530195963143?is_from_webapp=1&amp;sender_device=pc"/>
        <filter val="https://vt.tiktok.com/ZS94Cvvm8/"/>
        <filter val="https://vt.tiktok.com/ZSuyhD7By/"/>
        <filter val="https://vt.tiktok.com/ZSuqguuFs/"/>
        <filter val="https://vt.tiktok.com/ZSuFecLxp/"/>
        <filter val="https://vt.tiktok.com/ZSuRmh6Cw/"/>
        <filter val="https://vt.tiktok.com/ZSuMEba8A/"/>
        <filter val="https://vt.tiktok.com/ZSuMwrBSS/"/>
        <filter val="https://vt.tiktok.com/ZSuH19RDH/"/>
        <filter val="https://vt.tiktok.com/ZSuh2EgKy/"/>
        <filter val="https://vt.tiktok.com/ZSmEPq3B8/"/>
        <filter val="https://vt.tiktok.com/ZSH8XyNYD/"/>
        <filter val="https://vt.tiktok.com/ZSxULrm8k/"/>
        <filter val="https://vt.tiktok.com/ZSHapSGPY/"/>
        <filter val="https://vt.tiktok.com/ZS93qWr1G/"/>
        <filter val="https://vt.tiktok.com/ZSHyd4Mt9/"/>
        <filter val="https://vt.tiktok.com/ZSHXdP8PT/"/>
        <filter val="https://vt.tiktok.com/ZSuHNkShR/"/>
        <filter val="https://vt.tiktok.com/ZSuL7XKKT/"/>
        <filter val="https://vt.tiktok.com/ZSuSHXTfJ/"/>
        <filter val="https://vt.tiktok.com/ZSuQMuuNu/"/>
        <filter val="https://vt.tiktok.com/ZS9DKhs3d/"/>
        <filter val="https://vt.tiktok.com/ZSHBA9Kre/"/>
        <filter val="https://www.tiktok.com/@milaaacahy14/video/7637711695170833682?is_from_webapp=1&amp;sender_device=pc"/>
        <filter val="https://vt.tiktok.com/ZSuQLrDnD/"/>
        <filter val="https://www.tiktok.com/@xyblabla2/video/7613654922558557460?is_from_webapp=1&amp;sender_device=pc"/>
        <filter val="https://vt.tiktok.com/ZSuP8YNR4/"/>
        <filter val="https://vt.tiktok.com/ZSutNXH3r/"/>
        <filter val="https://www.tiktok.com/@meloveminee/video/7613607322086067476?is_from_webapp=1&amp;sender_device=pc"/>
        <filter val="https://vt.tiktok.com/ZSuRH4CPK/"/>
      </filters>
    </filterColumn>
    <filterColumn colId="14">
      <filters>
        <filter val="https://vt.tiktok.com/ZSHjjLEVy/"/>
        <filter val="https://vt.tiktok.com/ZSHppGYkK/"/>
        <filter val="https://vt.tiktok.com/ZSuoT3j4h/"/>
        <filter val="https://vt.tiktok.com/ZSuvt3kgc/"/>
        <filter val="https://vt.tiktok.com/ZSHjYWXCt/"/>
        <filter val="https://vt.tiktok.com/ZSuM2DKQX/"/>
        <filter val="https://vt.tiktok.com/ZSuL4oBgq/"/>
        <filter val="https://vt.tiktok.com/ZS99QnFf6/"/>
        <filter val="https://vt.tiktok.com/ZS9Gc1F4m/"/>
        <filter val="https://vt.tiktok.com/ZSHAcW9PG/"/>
        <filter val="https://vt.tiktok.com/ZSHya5UYm/"/>
        <filter val="https://vt.tiktok.com/ZSxr6vghj/"/>
        <filter val="https://vt.tiktok.com/ZSuyha8Qa/"/>
        <filter val="https://vt.tiktok.com/ZS9jjaJjC/"/>
        <filter val="https://vt.tiktok.com/ZSHfor9a7/"/>
        <filter val="https://vt.tiktok.com/ZS9ptjMUx/"/>
        <filter val="https://vt.tiktok.com/ZSHF42qYx/"/>
        <filter val="https://www.tiktok.com/@mamanyabashir/video/7623347694324452624?is_from_webapp=1&amp;sender_device=pc"/>
        <filter val="https://vt.tiktok.com/ZSH9Kyp3C/"/>
        <filter val="https://vt.tiktok.com/ZSHavMvLV/"/>
        <filter val="https://vt.tiktok.com/ZSHucHFrS/"/>
        <filter val="https://vt.tiktok.com/ZS91oWmmX/"/>
        <filter val="https://vt.tiktok.com/ZSHHrPA5c/"/>
        <filter val="https://www.tiktok.com/@azurayumna.s/video/7609885912247356692?is_from_webapp=1&amp;sender_device=pc"/>
        <filter val="https://vt.tiktok.com/ZSHcmJAsQ/"/>
        <filter val="https://vt.tiktok.com/ZS9sdSQyY/"/>
        <filter val="https://vt.tiktok.com/ZSH8TcFD1/"/>
        <filter val="https://vt.tiktok.com/ZSufwQTDa/"/>
        <filter val="https://vt.tiktok.com/ZSuASK6fC/"/>
        <filter val="https://vt.tiktok.com/ZSHyhdVRh/"/>
        <filter val="https://vt.tiktok.com/ZSuBU1Uou/"/>
        <filter val="https://vt.tiktok.com/ZSH53g7rM/"/>
        <filter val="https://vt.tiktok.com/ZSucdpbpw/"/>
        <filter val="https://vt.tiktok.com/ZSuK8ke68/"/>
        <filter val="https://vt.tiktok.com/ZSuuSv6ES/"/>
        <filter val="https://vt.tiktok.com/ZSuRmyCwj/"/>
        <filter val="https://www.tiktok.com/@milaaacahy14/video/7639467692759518471?is_from_webapp=1&amp;sender_device=pc"/>
        <filter val="Link Video 3"/>
        <filter val="https://vt.tiktok.com/ZSuhJnnC2/"/>
        <filter val="https://www.tiktok.com/@lala41376/video/7637298866269785364?is_from_webapp=1&amp;sender_device=pc"/>
        <filter val="https://vt.tiktok.com/ZSuAmo6X2/"/>
        <filter val="https://vt.tiktok.com/ZSxSQAXRR/"/>
        <filter val="https://www.tiktok.com/@aisahtrii_/video/7615430934837366036?is_from_webapp=1&amp;sender_device=pc"/>
        <filter val="https://vt.tiktok.com/ZS9XWQ95N/"/>
        <filter val="https://vt.tiktok.com/ZSmwrbJEQ/"/>
        <filter val="https://vt.tiktok.com/ZSxMFBbrW/"/>
        <filter val="https://vt.tiktok.com/ZSuPNGUty/"/>
        <filter val="https://vt.tiktok.com/ZSu8HxvDQ/"/>
        <filter val="https://vt.tiktok.com/ZSHuWoxSn/"/>
        <filter val="https://vt.tiktok.com/ZSuejVQ2q/"/>
        <filter val="https://vt.tiktok.com/ZSH9wpJxH/"/>
        <filter val="https://vt.tiktok.com/ZSHj27Cup/"/>
        <filter val="https://vt.tiktok.com/ZSHcjBgRG/"/>
        <filter val="https://vt.tiktok.com/ZS9G3QmkL/"/>
        <filter val="https://vt.tiktok.com/ZS9eHpnQC/"/>
        <filter val="https://vt.tiktok.com/ZSuR929Uk/"/>
        <filter val="https://vt.tiktok.com/ZSuXrb7De/"/>
        <filter val="https://vt.tiktok.com/ZSuRTq6kB/"/>
        <filter val="https://vt.tiktok.com/ZSuuoGgu7/"/>
        <filter val="https://vt.tiktok.com/ZSumSk6GT/"/>
        <filter val="https://vt.tiktok.com/ZSHYjeKs3/"/>
        <filter val="https://vt.tiktok.com/ZSudHxb4y/"/>
        <filter val="https://vt.tiktok.com/ZS9A9taNf/"/>
        <filter val="https://vt.tiktok.com/ZSuBUh5B6/"/>
        <filter val="https://vt.tiktok.com/ZSH9Kjj8q/"/>
        <filter val="https://vt.tiktok.com/ZSuRqP86G/"/>
        <filter val="https://vt.tiktok.com/ZS9FMdtVf/"/>
        <filter val="https://vt.tiktok.com/ZS9DMqw4E/"/>
        <filter val="https://vt.tiktok.com/ZSHBAq8vW/"/>
        <filter val="https://vt.tiktok.com/ZS94Ctarn/"/>
        <filter val="https://www.tiktok.com/@bulllll1220/video/7638088838895684885?is_from_webapp=1&amp;sender_device=pc"/>
        <filter val="https://vt.tiktok.com/ZSuXfesJt/"/>
        <filter val="https://vt.tiktok.com/ZS9v2o195/"/>
        <filter val="https://vt.tiktok.com/ZSutNHgbP/"/>
        <filter val="https://vt.tiktok.com/ZSujXKGsk/"/>
        <filter val="https://vt.tiktok.com/ZSuxvb42Y/"/>
        <filter val="https://vt.tiktok.com/ZSuHmGeFP/"/>
        <filter val="https://www.tiktok.com/@kakaklin_/video/7627438886549064967?is_from_webapp=1&amp;sender_device=pc"/>
        <filter val="https://vt.tiktok.com/ZSH2WHBoG/"/>
        <filter val="https://vt.tiktok.com/ZSuV7EGwP/"/>
        <filter val="https://vt.tiktok.com/ZSuyGujnB/"/>
        <filter val="https://vt.tiktok.com/ZSuheHHwL/"/>
        <filter val="https://vt.tiktok.com/ZS9T8vr12/"/>
        <filter val="https://vt.tiktok.com/ZSubrwWT5/"/>
        <filter val="https://vt.tiktok.com/ZSHYtotjF/"/>
        <filter val="https://www.tiktok.com/@niarahmania25/video/7624408263026625812?is_from_webapp=1&amp;sender_device=pc"/>
        <filter val="https://www.tiktok.com/@fentina5502/video/7639711021212519688?is_from_webapp=1&amp;sender_device=pc"/>
        <filter val="https://vt.tiktok.com/ZSHCfD7Wp/"/>
        <filter val="https://www.tiktok.com/@mariaalalamakeup/video/7615854462317513991?is_from_webapp=1&amp;sender_device=pc"/>
      </filters>
    </filterColumn>
    <filterColumn colId="16">
      <filters>
        <filter val="https://vt.tiktok.com/ZSuHm969x/"/>
        <filter val="https://vt.tiktok.com/ZSuXkuk61/"/>
        <filter val="https://vt.tiktok.com/ZSH9K2eYH/"/>
        <filter val="https://vt.tiktok.com/ZSHXjkTrg/"/>
        <filter val="https://vt.tiktok.com/ZSurXphQE/"/>
        <filter val="https://vt.tiktok.com/ZSuyhupqT/"/>
        <filter val="https://vt.tiktok.com/ZSudBSmkY/"/>
        <filter val="https://vt.tiktok.com/ZSHrHkU9R/"/>
        <filter val="https://vt.tiktok.com/ZSHnCGa8X/"/>
        <filter val="https://vt.tiktok.com/ZS9qQ2f8W/"/>
        <filter val="https://vt.tiktok.com/ZSuLqxCg5/"/>
        <filter val="https://www.tiktok.com/@bulllll1220/video/7639351425742540053?is_from_webapp=1&amp;sender_device=pc"/>
        <filter val="https://vt.tiktok.com/ZSumeMwUC/"/>
        <filter val="https://www.tiktok.com/@dewa_mua/video/7638450118013848853?is_from_webapp=1&amp;sender_device=pc"/>
        <filter val="https://vt.tiktok.com/ZSH9Keo6K/"/>
        <filter val="https://vt.tiktok.com/ZSuyFt7qJ/"/>
        <filter val="https://vt.tiktok.com/ZSuuSoBwa/"/>
        <filter val="https://vt.tiktok.com/ZSudHCTUF/"/>
        <filter val="https://vt.tiktok.com/ZSH82XwWX/"/>
        <filter val="https://www.tiktok.com/@mamanyabashir/video/7625816229185424641?is_from_webapp=1&amp;sender_device=pc"/>
        <filter val="https://vt.tiktok.com/ZSH5Afubx/"/>
        <filter val="https://vt.tiktok.com/ZSuheym4N/"/>
        <filter val="https://vt.tiktok.com/ZSHnXUxh9/"/>
        <filter val="https://vt.tiktok.com/ZSHBAyaYs/"/>
        <filter val="https://vt.tiktok.com/ZSHXDL6kL/"/>
        <filter val="https://vt.tiktok.com/ZSuMxggt5/"/>
        <filter val="https://vt.tiktok.com/ZSuDsG7Xp/"/>
        <filter val="https://vt.tiktok.com/ZSHrb8SuN/"/>
        <filter val="https://vt.tiktok.com/ZSHCyW3Mb/"/>
        <filter val="https://vt.tiktok.com/ZSuj48WJo/"/>
        <filter val="Link Video 4"/>
        <filter val="https://vt.tiktok.com/ZSuAu6vwM/"/>
        <filter val="https://www.tiktok.com/@bywday/video/7614009064942570760?is_from_webapp=1&amp;sender_device=pc"/>
        <filter val="https://vt.tiktok.com/ZSHcmNPnP/"/>
        <filter val="https://vt.tiktok.com/ZSuqj3XcU/"/>
        <filter val="https://vt.tiktok.com/ZSHYjecG2/"/>
        <filter val="https://vt.tiktok.com/ZSuPCVxrR/"/>
        <filter val="https://vt.tiktok.com/ZS9DmsVnW/"/>
        <filter val="https://vt.tiktok.com/ZS9p5TPFf/"/>
        <filter val="https://vt.tiktok.com/ZSH9wsXQe/"/>
        <filter val="https://www.tiktok.com/@milaaacahy14/video/7640341744793570568?is_from_webapp=1&amp;sender_device=pc"/>
        <filter val="https://www.tiktok.com/@azurayumna.s/video/7622126204375665940?is_from_webapp=1&amp;sender_device=pc"/>
        <filter val="https://vt.tiktok.com/ZSuL4tvG4/"/>
        <filter val="https://vt.tiktok.com/ZSuc3h1xG/"/>
        <filter val="https://www.tiktok.com/@lala41376/video/7637566873499995412?is_from_webapp=1&amp;sender_device=pc"/>
      </filters>
    </filterColumn>
  </autoFilter>
  <mergeCells count="28">
    <mergeCell ref="E3:G4"/>
    <mergeCell ref="E5:G5"/>
    <mergeCell ref="E6:G7"/>
    <mergeCell ref="E8:G8"/>
    <mergeCell ref="E9:G10"/>
    <mergeCell ref="A5:B6"/>
    <mergeCell ref="A7:B8"/>
    <mergeCell ref="A9:B10"/>
    <mergeCell ref="A11:B12"/>
    <mergeCell ref="A1:C1"/>
    <mergeCell ref="E1:G1"/>
    <mergeCell ref="I1:L1"/>
    <mergeCell ref="A2:B2"/>
    <mergeCell ref="E2:G2"/>
    <mergeCell ref="A3:B4"/>
    <mergeCell ref="I6:L6"/>
    <mergeCell ref="I7:J8"/>
    <mergeCell ref="I10:J11"/>
    <mergeCell ref="R15:S15"/>
    <mergeCell ref="T15:U15"/>
    <mergeCell ref="I2:L2"/>
    <mergeCell ref="I3:J3"/>
    <mergeCell ref="K3:L3"/>
    <mergeCell ref="I4:J5"/>
    <mergeCell ref="K4:L5"/>
    <mergeCell ref="K7:L8"/>
    <mergeCell ref="I9:L9"/>
    <mergeCell ref="K10:L11"/>
  </mergeCells>
  <dataValidations>
    <dataValidation type="list" allowBlank="1" showErrorMessage="1" sqref="I17:I209">
      <formula1>"Sampai,Sudah Proses Pengiriman,Kendala [FU!],Done Req Sample"</formula1>
    </dataValidation>
    <dataValidation type="list" allowBlank="1" showErrorMessage="1" sqref="A17:A209">
      <formula1>"MEGA,MACRO,MICRO,NANO"</formula1>
    </dataValidation>
    <dataValidation type="list" allowBlank="1" showErrorMessage="1" sqref="H17:H209 J17:J209 L17:L209 N17:N209 P17:P209">
      <formula1>" Concept 1,Concept 2,Concept 3,Concept 4"</formula1>
    </dataValidation>
  </dataValidations>
  <hyperlinks>
    <hyperlink r:id="rId1" ref="B17"/>
    <hyperlink r:id="rId2" ref="C17"/>
    <hyperlink r:id="rId3" ref="K17"/>
    <hyperlink r:id="rId4" ref="C18"/>
    <hyperlink r:id="rId5" ref="K18"/>
    <hyperlink r:id="rId6" ref="M18"/>
    <hyperlink r:id="rId7" ref="O18"/>
    <hyperlink r:id="rId8" ref="Q18"/>
    <hyperlink r:id="rId9" ref="C19"/>
    <hyperlink r:id="rId10" ref="K19"/>
    <hyperlink r:id="rId11" ref="M19"/>
    <hyperlink r:id="rId12" ref="O19"/>
    <hyperlink r:id="rId13" ref="Q19"/>
    <hyperlink r:id="rId14" ref="C20"/>
    <hyperlink r:id="rId15" ref="K20"/>
    <hyperlink r:id="rId16" ref="M20"/>
    <hyperlink r:id="rId17" ref="C21"/>
    <hyperlink r:id="rId18" ref="K21"/>
    <hyperlink r:id="rId19" ref="M21"/>
    <hyperlink r:id="rId20" ref="O21"/>
    <hyperlink r:id="rId21" ref="C22"/>
    <hyperlink r:id="rId22" ref="K22"/>
    <hyperlink r:id="rId23" ref="M22"/>
    <hyperlink r:id="rId24" ref="O22"/>
    <hyperlink r:id="rId25" ref="Q22"/>
    <hyperlink r:id="rId26" ref="C23"/>
    <hyperlink r:id="rId27" ref="K23"/>
    <hyperlink r:id="rId28" ref="M23"/>
    <hyperlink r:id="rId29" ref="O23"/>
    <hyperlink r:id="rId30" ref="Q23"/>
    <hyperlink r:id="rId31" ref="C24"/>
    <hyperlink r:id="rId32" ref="K24"/>
    <hyperlink r:id="rId33" ref="M24"/>
    <hyperlink r:id="rId34" ref="O24"/>
    <hyperlink r:id="rId35" ref="Q24"/>
    <hyperlink r:id="rId36" ref="C25"/>
    <hyperlink r:id="rId37" ref="K25"/>
    <hyperlink r:id="rId38" ref="M25"/>
    <hyperlink r:id="rId39" ref="O25"/>
    <hyperlink r:id="rId40" ref="Q25"/>
    <hyperlink r:id="rId41" ref="C26"/>
    <hyperlink r:id="rId42" ref="K26"/>
    <hyperlink r:id="rId43" ref="M26"/>
    <hyperlink r:id="rId44" ref="O26"/>
    <hyperlink r:id="rId45" ref="Q26"/>
    <hyperlink r:id="rId46" ref="C27"/>
    <hyperlink r:id="rId47" ref="K27"/>
    <hyperlink r:id="rId48" ref="M27"/>
    <hyperlink r:id="rId49" ref="O27"/>
    <hyperlink r:id="rId50" ref="Q27"/>
    <hyperlink r:id="rId51" ref="C28"/>
    <hyperlink r:id="rId52" ref="K28"/>
    <hyperlink r:id="rId53" ref="M28"/>
    <hyperlink r:id="rId54" ref="O28"/>
    <hyperlink r:id="rId55" ref="Q28"/>
    <hyperlink r:id="rId56" ref="C29"/>
    <hyperlink r:id="rId57" ref="K29"/>
    <hyperlink r:id="rId58" ref="M29"/>
    <hyperlink r:id="rId59" ref="O29"/>
    <hyperlink r:id="rId60" ref="Q29"/>
    <hyperlink r:id="rId61" ref="C30"/>
    <hyperlink r:id="rId62" ref="K30"/>
    <hyperlink r:id="rId63" ref="M30"/>
    <hyperlink r:id="rId64" ref="O30"/>
    <hyperlink r:id="rId65" ref="Q30"/>
    <hyperlink r:id="rId66" ref="C31"/>
    <hyperlink r:id="rId67" ref="C32"/>
    <hyperlink r:id="rId68" ref="K32"/>
    <hyperlink r:id="rId69" ref="M32"/>
    <hyperlink r:id="rId70" ref="O32"/>
    <hyperlink r:id="rId71" ref="Q32"/>
    <hyperlink r:id="rId72" ref="C33"/>
    <hyperlink r:id="rId73" ref="K33"/>
    <hyperlink r:id="rId74" ref="C34"/>
    <hyperlink r:id="rId75" ref="K34"/>
    <hyperlink r:id="rId76" ref="M34"/>
    <hyperlink r:id="rId77" ref="O34"/>
    <hyperlink r:id="rId78" ref="C35"/>
    <hyperlink r:id="rId79" ref="K35"/>
    <hyperlink r:id="rId80" ref="M35"/>
    <hyperlink r:id="rId81" ref="O35"/>
    <hyperlink r:id="rId82" ref="C36"/>
    <hyperlink r:id="rId83" ref="K36"/>
    <hyperlink r:id="rId84" ref="M36"/>
    <hyperlink r:id="rId85" ref="O36"/>
    <hyperlink r:id="rId86" ref="C37"/>
    <hyperlink r:id="rId87" ref="K37"/>
    <hyperlink r:id="rId88" ref="M37"/>
    <hyperlink r:id="rId89" ref="O37"/>
    <hyperlink r:id="rId90" ref="C38"/>
    <hyperlink r:id="rId91" ref="K38"/>
    <hyperlink r:id="rId92" ref="M38"/>
    <hyperlink r:id="rId93" ref="C39"/>
    <hyperlink r:id="rId94" ref="K39"/>
    <hyperlink r:id="rId95" ref="C40"/>
    <hyperlink r:id="rId96" ref="K40"/>
    <hyperlink r:id="rId97" ref="M40"/>
    <hyperlink r:id="rId98" ref="O40"/>
    <hyperlink r:id="rId99" ref="Q40"/>
    <hyperlink r:id="rId100" ref="C41"/>
    <hyperlink r:id="rId101" ref="K41"/>
    <hyperlink r:id="rId102" ref="M41"/>
    <hyperlink r:id="rId103" ref="C42"/>
    <hyperlink r:id="rId104" ref="K42"/>
    <hyperlink r:id="rId105" ref="M42"/>
    <hyperlink r:id="rId106" ref="C43"/>
    <hyperlink r:id="rId107" ref="C44"/>
    <hyperlink r:id="rId108" ref="K44"/>
    <hyperlink r:id="rId109" ref="C45"/>
    <hyperlink r:id="rId110" ref="K45"/>
    <hyperlink r:id="rId111" ref="M45"/>
    <hyperlink r:id="rId112" ref="O45"/>
    <hyperlink r:id="rId113" ref="C46"/>
    <hyperlink r:id="rId114" ref="K46"/>
    <hyperlink r:id="rId115" ref="M46"/>
    <hyperlink r:id="rId116" ref="O46"/>
    <hyperlink r:id="rId117" ref="C47"/>
    <hyperlink r:id="rId118" ref="K47"/>
    <hyperlink r:id="rId119" ref="M47"/>
    <hyperlink r:id="rId120" ref="O47"/>
    <hyperlink r:id="rId121" ref="C48"/>
    <hyperlink r:id="rId122" ref="K48"/>
    <hyperlink r:id="rId123" ref="M48"/>
    <hyperlink r:id="rId124" ref="C49"/>
    <hyperlink r:id="rId125" ref="K49"/>
    <hyperlink r:id="rId126" ref="M49"/>
    <hyperlink r:id="rId127" ref="O49"/>
    <hyperlink r:id="rId128" ref="C50"/>
    <hyperlink r:id="rId129" ref="K50"/>
    <hyperlink r:id="rId130" ref="M50"/>
    <hyperlink r:id="rId131" ref="O50"/>
    <hyperlink r:id="rId132" ref="C51"/>
    <hyperlink r:id="rId133" ref="K51"/>
    <hyperlink r:id="rId134" ref="M51"/>
    <hyperlink r:id="rId135" ref="C52"/>
    <hyperlink r:id="rId136" ref="K52"/>
    <hyperlink r:id="rId137" ref="M52"/>
    <hyperlink r:id="rId138" ref="O52"/>
    <hyperlink r:id="rId139" ref="C53"/>
    <hyperlink r:id="rId140" ref="K53"/>
    <hyperlink r:id="rId141" ref="M53"/>
    <hyperlink r:id="rId142" ref="O53"/>
    <hyperlink r:id="rId143" ref="C54"/>
    <hyperlink r:id="rId144" ref="K54"/>
    <hyperlink r:id="rId145" ref="M54"/>
    <hyperlink r:id="rId146" ref="O54"/>
    <hyperlink r:id="rId147" ref="Q54"/>
    <hyperlink r:id="rId148" ref="C55"/>
    <hyperlink r:id="rId149" ref="K55"/>
    <hyperlink r:id="rId150" ref="M55"/>
    <hyperlink r:id="rId151" ref="C56"/>
    <hyperlink r:id="rId152" ref="K56"/>
    <hyperlink r:id="rId153" ref="M56"/>
    <hyperlink r:id="rId154" ref="O56"/>
    <hyperlink r:id="rId155" ref="C57"/>
    <hyperlink r:id="rId156" ref="C58"/>
    <hyperlink r:id="rId157" ref="K58"/>
    <hyperlink r:id="rId158" ref="M58"/>
    <hyperlink r:id="rId159" ref="O58"/>
    <hyperlink r:id="rId160" ref="C59"/>
    <hyperlink r:id="rId161" ref="K59"/>
    <hyperlink r:id="rId162" ref="C60"/>
    <hyperlink r:id="rId163" ref="K60"/>
    <hyperlink r:id="rId164" ref="M60"/>
    <hyperlink r:id="rId165" ref="O60"/>
    <hyperlink r:id="rId166" ref="C61"/>
    <hyperlink r:id="rId167" ref="K61"/>
    <hyperlink r:id="rId168" ref="M61"/>
    <hyperlink r:id="rId169" ref="C62"/>
    <hyperlink r:id="rId170" ref="K62"/>
    <hyperlink r:id="rId171" ref="M62"/>
    <hyperlink r:id="rId172" ref="O62"/>
    <hyperlink r:id="rId173" ref="C63"/>
    <hyperlink r:id="rId174" ref="K63"/>
    <hyperlink r:id="rId175" ref="M63"/>
    <hyperlink r:id="rId176" ref="O63"/>
    <hyperlink r:id="rId177" ref="C64"/>
    <hyperlink r:id="rId178" ref="K64"/>
    <hyperlink r:id="rId179" ref="M64"/>
    <hyperlink r:id="rId180" ref="C65"/>
    <hyperlink r:id="rId181" ref="K65"/>
    <hyperlink r:id="rId182" ref="C66"/>
    <hyperlink r:id="rId183" ref="K66"/>
    <hyperlink r:id="rId184" ref="M66"/>
    <hyperlink r:id="rId185" ref="O66"/>
    <hyperlink r:id="rId186" ref="C67"/>
    <hyperlink r:id="rId187" ref="C68"/>
    <hyperlink r:id="rId188" ref="K68"/>
    <hyperlink r:id="rId189" ref="M68"/>
    <hyperlink r:id="rId190" ref="O68"/>
    <hyperlink r:id="rId191" ref="C69"/>
    <hyperlink r:id="rId192" ref="K69"/>
    <hyperlink r:id="rId193" ref="M69"/>
    <hyperlink r:id="rId194" ref="O69"/>
    <hyperlink r:id="rId195" ref="C70"/>
    <hyperlink r:id="rId196" ref="C71"/>
    <hyperlink r:id="rId197" ref="K71"/>
    <hyperlink r:id="rId198" ref="M71"/>
    <hyperlink r:id="rId199" ref="C72"/>
    <hyperlink r:id="rId200" ref="K72"/>
    <hyperlink r:id="rId201" ref="M72"/>
    <hyperlink r:id="rId202" ref="C73"/>
    <hyperlink r:id="rId203" ref="K73"/>
    <hyperlink r:id="rId204" ref="C74"/>
    <hyperlink r:id="rId205" ref="K74"/>
    <hyperlink r:id="rId206" ref="M74"/>
    <hyperlink r:id="rId207" ref="C75"/>
    <hyperlink r:id="rId208" ref="K75"/>
    <hyperlink r:id="rId209" ref="M75"/>
    <hyperlink r:id="rId210" ref="C76"/>
    <hyperlink r:id="rId211" ref="K76"/>
    <hyperlink r:id="rId212" ref="M76"/>
    <hyperlink r:id="rId213" ref="O76"/>
    <hyperlink r:id="rId214" ref="C77"/>
    <hyperlink r:id="rId215" ref="C78"/>
    <hyperlink r:id="rId216" ref="K78"/>
    <hyperlink r:id="rId217" ref="C79"/>
    <hyperlink r:id="rId218" ref="K79"/>
    <hyperlink r:id="rId219" ref="M79"/>
    <hyperlink r:id="rId220" ref="O79"/>
    <hyperlink r:id="rId221" ref="C80"/>
    <hyperlink r:id="rId222" ref="K80"/>
    <hyperlink r:id="rId223" ref="M80"/>
    <hyperlink r:id="rId224" ref="C81"/>
    <hyperlink r:id="rId225" ref="K81"/>
    <hyperlink r:id="rId226" ref="M81"/>
    <hyperlink r:id="rId227" ref="O81"/>
    <hyperlink r:id="rId228" ref="Q81"/>
    <hyperlink r:id="rId229" ref="C82"/>
    <hyperlink r:id="rId230" ref="K82"/>
    <hyperlink r:id="rId231" ref="M82"/>
    <hyperlink r:id="rId232" ref="C83"/>
    <hyperlink r:id="rId233" ref="C84"/>
    <hyperlink r:id="rId234" ref="K84"/>
    <hyperlink r:id="rId235" ref="M84"/>
    <hyperlink r:id="rId236" ref="C85"/>
    <hyperlink r:id="rId237" ref="K85"/>
    <hyperlink r:id="rId238" ref="M85"/>
    <hyperlink r:id="rId239" ref="O85"/>
    <hyperlink r:id="rId240" ref="C86"/>
    <hyperlink r:id="rId241" ref="K86"/>
    <hyperlink r:id="rId242" ref="M86"/>
    <hyperlink r:id="rId243" ref="O86"/>
    <hyperlink r:id="rId244" ref="C87"/>
    <hyperlink r:id="rId245" ref="K87"/>
    <hyperlink r:id="rId246" ref="M87"/>
    <hyperlink r:id="rId247" ref="O87"/>
    <hyperlink r:id="rId248" ref="C88"/>
    <hyperlink r:id="rId249" ref="K88"/>
    <hyperlink r:id="rId250" ref="M88"/>
    <hyperlink r:id="rId251" ref="O88"/>
    <hyperlink r:id="rId252" ref="C89"/>
    <hyperlink r:id="rId253" ref="C90"/>
    <hyperlink r:id="rId254" ref="K90"/>
    <hyperlink r:id="rId255" ref="M90"/>
    <hyperlink r:id="rId256" ref="O90"/>
    <hyperlink r:id="rId257" ref="C91"/>
    <hyperlink r:id="rId258" ref="K91"/>
    <hyperlink r:id="rId259" ref="M91"/>
    <hyperlink r:id="rId260" ref="O91"/>
    <hyperlink r:id="rId261" ref="C92"/>
    <hyperlink r:id="rId262" ref="K92"/>
    <hyperlink r:id="rId263" ref="M92"/>
    <hyperlink r:id="rId264" ref="C93"/>
    <hyperlink r:id="rId265" ref="K93"/>
    <hyperlink r:id="rId266" ref="M93"/>
    <hyperlink r:id="rId267" ref="O93"/>
    <hyperlink r:id="rId268" ref="C94"/>
    <hyperlink r:id="rId269" ref="K94"/>
    <hyperlink r:id="rId270" ref="C95"/>
    <hyperlink r:id="rId271" ref="K95"/>
    <hyperlink r:id="rId272" ref="M95"/>
    <hyperlink r:id="rId273" ref="O95"/>
    <hyperlink r:id="rId274" ref="Q95"/>
    <hyperlink r:id="rId275" ref="C96"/>
    <hyperlink r:id="rId276" ref="K96"/>
    <hyperlink r:id="rId277" ref="M96"/>
    <hyperlink r:id="rId278" ref="O96"/>
    <hyperlink r:id="rId279" ref="Q96"/>
    <hyperlink r:id="rId280" ref="C97"/>
    <hyperlink r:id="rId281" ref="K97"/>
    <hyperlink r:id="rId282" ref="M97"/>
    <hyperlink r:id="rId283" ref="O97"/>
    <hyperlink r:id="rId284" ref="Q97"/>
    <hyperlink r:id="rId285" ref="C98"/>
    <hyperlink r:id="rId286" ref="K98"/>
    <hyperlink r:id="rId287" ref="M98"/>
    <hyperlink r:id="rId288" ref="O98"/>
    <hyperlink r:id="rId289" ref="Q98"/>
    <hyperlink r:id="rId290" ref="C99"/>
    <hyperlink r:id="rId291" ref="K99"/>
    <hyperlink r:id="rId292" ref="C100"/>
    <hyperlink r:id="rId293" ref="K100"/>
    <hyperlink r:id="rId294" ref="M100"/>
    <hyperlink r:id="rId295" ref="O100"/>
    <hyperlink r:id="rId296" ref="Q100"/>
    <hyperlink r:id="rId297" ref="C101"/>
    <hyperlink r:id="rId298" ref="K101"/>
    <hyperlink r:id="rId299" ref="M101"/>
    <hyperlink r:id="rId300" ref="O101"/>
    <hyperlink r:id="rId301" ref="Q101"/>
    <hyperlink r:id="rId302" ref="C102"/>
    <hyperlink r:id="rId303" ref="K102"/>
    <hyperlink r:id="rId304" ref="M102"/>
    <hyperlink r:id="rId305" ref="O102"/>
    <hyperlink r:id="rId306" ref="Q102"/>
    <hyperlink r:id="rId307" ref="C103"/>
    <hyperlink r:id="rId308" ref="K103"/>
    <hyperlink r:id="rId309" ref="M103"/>
    <hyperlink r:id="rId310" ref="O103"/>
    <hyperlink r:id="rId311" ref="Q103"/>
    <hyperlink r:id="rId312" ref="C104"/>
    <hyperlink r:id="rId313" ref="K104"/>
    <hyperlink r:id="rId314" ref="M104"/>
    <hyperlink r:id="rId315" ref="C105"/>
    <hyperlink r:id="rId316" ref="C106"/>
    <hyperlink r:id="rId317" ref="K106"/>
    <hyperlink r:id="rId318" ref="M106"/>
    <hyperlink r:id="rId319" ref="O106"/>
    <hyperlink r:id="rId320" ref="Q106"/>
    <hyperlink r:id="rId321" ref="C107"/>
    <hyperlink r:id="rId322" ref="K107"/>
    <hyperlink r:id="rId323" ref="M107"/>
    <hyperlink r:id="rId324" ref="O107"/>
    <hyperlink r:id="rId325" ref="C108"/>
    <hyperlink r:id="rId326" ref="K108"/>
    <hyperlink r:id="rId327" ref="M108"/>
    <hyperlink r:id="rId328" ref="O108"/>
    <hyperlink r:id="rId329" ref="C109"/>
    <hyperlink r:id="rId330" ref="K109"/>
    <hyperlink r:id="rId331" ref="M109"/>
    <hyperlink r:id="rId332" ref="O109"/>
    <hyperlink r:id="rId333" ref="C110"/>
    <hyperlink r:id="rId334" ref="K110"/>
    <hyperlink r:id="rId335" ref="M110"/>
    <hyperlink r:id="rId336" ref="C111"/>
    <hyperlink r:id="rId337" ref="K111"/>
    <hyperlink r:id="rId338" ref="M111"/>
    <hyperlink r:id="rId339" ref="O111"/>
    <hyperlink r:id="rId340" ref="Q111"/>
    <hyperlink r:id="rId341" ref="C112"/>
    <hyperlink r:id="rId342" ref="K112"/>
    <hyperlink r:id="rId343" ref="M112"/>
    <hyperlink r:id="rId344" ref="O112"/>
    <hyperlink r:id="rId345" ref="Q112"/>
    <hyperlink r:id="rId346" ref="C113"/>
    <hyperlink r:id="rId347" ref="K113"/>
    <hyperlink r:id="rId348" ref="M113"/>
    <hyperlink r:id="rId349" ref="O113"/>
    <hyperlink r:id="rId350" ref="Q113"/>
    <hyperlink r:id="rId351" ref="C114"/>
    <hyperlink r:id="rId352" ref="K114"/>
    <hyperlink r:id="rId353" ref="M114"/>
    <hyperlink r:id="rId354" ref="O114"/>
    <hyperlink r:id="rId355" ref="Q114"/>
    <hyperlink r:id="rId356" ref="C115"/>
    <hyperlink r:id="rId357" ref="K115"/>
    <hyperlink r:id="rId358" ref="M115"/>
    <hyperlink r:id="rId359" ref="O115"/>
    <hyperlink r:id="rId360" ref="Q115"/>
    <hyperlink r:id="rId361" ref="C116"/>
    <hyperlink r:id="rId362" ref="K116"/>
    <hyperlink r:id="rId363" ref="M116"/>
    <hyperlink r:id="rId364" ref="O116"/>
    <hyperlink r:id="rId365" ref="Q116"/>
    <hyperlink r:id="rId366" ref="C117"/>
    <hyperlink r:id="rId367" ref="K117"/>
    <hyperlink r:id="rId368" ref="M117"/>
    <hyperlink r:id="rId369" ref="O117"/>
    <hyperlink r:id="rId370" ref="Q117"/>
    <hyperlink r:id="rId371" ref="C118"/>
    <hyperlink r:id="rId372" ref="K118"/>
    <hyperlink r:id="rId373" ref="M118"/>
    <hyperlink r:id="rId374" ref="O118"/>
    <hyperlink r:id="rId375" ref="Q118"/>
    <hyperlink r:id="rId376" ref="C119"/>
    <hyperlink r:id="rId377" ref="K119"/>
    <hyperlink r:id="rId378" ref="M119"/>
    <hyperlink r:id="rId379" ref="O119"/>
    <hyperlink r:id="rId380" ref="Q119"/>
    <hyperlink r:id="rId381" ref="C120"/>
    <hyperlink r:id="rId382" ref="K120"/>
    <hyperlink r:id="rId383" ref="M120"/>
    <hyperlink r:id="rId384" ref="O120"/>
    <hyperlink r:id="rId385" ref="Q120"/>
    <hyperlink r:id="rId386" ref="C121"/>
    <hyperlink r:id="rId387" ref="K121"/>
    <hyperlink r:id="rId388" ref="M121"/>
    <hyperlink r:id="rId389" ref="O121"/>
    <hyperlink r:id="rId390" ref="Q121"/>
    <hyperlink r:id="rId391" ref="C122"/>
    <hyperlink r:id="rId392" ref="K122"/>
    <hyperlink r:id="rId393" ref="M122"/>
    <hyperlink r:id="rId394" ref="O122"/>
    <hyperlink r:id="rId395" ref="Q122"/>
    <hyperlink r:id="rId396" ref="C123"/>
    <hyperlink r:id="rId397" ref="K123"/>
    <hyperlink r:id="rId398" ref="M123"/>
    <hyperlink r:id="rId399" ref="O123"/>
    <hyperlink r:id="rId400" ref="Q123"/>
    <hyperlink r:id="rId401" ref="C124"/>
    <hyperlink r:id="rId402" ref="C125"/>
    <hyperlink r:id="rId403" ref="K125"/>
    <hyperlink r:id="rId404" ref="M125"/>
    <hyperlink r:id="rId405" ref="O125"/>
    <hyperlink r:id="rId406" ref="Q125"/>
    <hyperlink r:id="rId407" ref="C126"/>
    <hyperlink r:id="rId408" ref="C127"/>
    <hyperlink r:id="rId409" ref="K127"/>
    <hyperlink r:id="rId410" ref="C128"/>
    <hyperlink r:id="rId411" ref="K128"/>
    <hyperlink r:id="rId412" ref="M128"/>
    <hyperlink r:id="rId413" ref="O128"/>
    <hyperlink r:id="rId414" ref="Q128"/>
    <hyperlink r:id="rId415" ref="C129"/>
    <hyperlink r:id="rId416" ref="K129"/>
    <hyperlink r:id="rId417" ref="M129"/>
    <hyperlink r:id="rId418" ref="C130"/>
    <hyperlink r:id="rId419" ref="K130"/>
    <hyperlink r:id="rId420" ref="M130"/>
    <hyperlink r:id="rId421" ref="C131"/>
    <hyperlink r:id="rId422" ref="K131"/>
    <hyperlink r:id="rId423" ref="M131"/>
    <hyperlink r:id="rId424" ref="O131"/>
    <hyperlink r:id="rId425" ref="C132"/>
    <hyperlink r:id="rId426" ref="K132"/>
    <hyperlink r:id="rId427" ref="M132"/>
    <hyperlink r:id="rId428" ref="C133"/>
    <hyperlink r:id="rId429" ref="K133"/>
    <hyperlink r:id="rId430" ref="M133"/>
    <hyperlink r:id="rId431" ref="C134"/>
    <hyperlink r:id="rId432" ref="K134"/>
    <hyperlink r:id="rId433" ref="M134"/>
    <hyperlink r:id="rId434" ref="O134"/>
    <hyperlink r:id="rId435" ref="C135"/>
    <hyperlink r:id="rId436" ref="C136"/>
    <hyperlink r:id="rId437" ref="K136"/>
    <hyperlink r:id="rId438" ref="C137"/>
    <hyperlink r:id="rId439" ref="K137"/>
    <hyperlink r:id="rId440" ref="M137"/>
    <hyperlink r:id="rId441" ref="C138"/>
    <hyperlink r:id="rId442" ref="K138"/>
    <hyperlink r:id="rId443" ref="M138"/>
    <hyperlink r:id="rId444" ref="O138"/>
    <hyperlink r:id="rId445" ref="C139"/>
    <hyperlink r:id="rId446" ref="K139"/>
    <hyperlink r:id="rId447" ref="C140"/>
    <hyperlink r:id="rId448" ref="K140"/>
    <hyperlink r:id="rId449" ref="M140"/>
    <hyperlink r:id="rId450" ref="C141"/>
    <hyperlink r:id="rId451" ref="K141"/>
    <hyperlink r:id="rId452" ref="M141"/>
    <hyperlink r:id="rId453" ref="C142"/>
    <hyperlink r:id="rId454" ref="K142"/>
    <hyperlink r:id="rId455" ref="M142"/>
    <hyperlink r:id="rId456" ref="C143"/>
    <hyperlink r:id="rId457" ref="K143"/>
    <hyperlink r:id="rId458" ref="M143"/>
    <hyperlink r:id="rId459" ref="O143"/>
    <hyperlink r:id="rId460" ref="C144"/>
    <hyperlink r:id="rId461" ref="K144"/>
    <hyperlink r:id="rId462" ref="M144"/>
    <hyperlink r:id="rId463" ref="O144"/>
    <hyperlink r:id="rId464" ref="Q144"/>
    <hyperlink r:id="rId465" ref="C145"/>
    <hyperlink r:id="rId466" ref="K145"/>
    <hyperlink r:id="rId467" ref="M145"/>
    <hyperlink r:id="rId468" ref="C146"/>
    <hyperlink r:id="rId469" ref="K146"/>
    <hyperlink r:id="rId470" ref="M146"/>
    <hyperlink r:id="rId471" ref="O146"/>
    <hyperlink r:id="rId472" ref="C147"/>
    <hyperlink r:id="rId473" ref="K147"/>
    <hyperlink r:id="rId474" ref="M147"/>
    <hyperlink r:id="rId475" ref="C148"/>
    <hyperlink r:id="rId476" ref="K148"/>
    <hyperlink r:id="rId477" ref="M148"/>
    <hyperlink r:id="rId478" ref="C149"/>
    <hyperlink r:id="rId479" ref="C150"/>
    <hyperlink r:id="rId480" ref="C151"/>
    <hyperlink r:id="rId481" ref="K151"/>
    <hyperlink r:id="rId482" ref="M151"/>
    <hyperlink r:id="rId483" ref="C152"/>
    <hyperlink r:id="rId484" ref="K152"/>
    <hyperlink r:id="rId485" ref="M152"/>
    <hyperlink r:id="rId486" ref="O152"/>
    <hyperlink r:id="rId487" ref="Q152"/>
    <hyperlink r:id="rId488" ref="C153"/>
    <hyperlink r:id="rId489" ref="C154"/>
    <hyperlink r:id="rId490" ref="K154"/>
    <hyperlink r:id="rId491" ref="C155"/>
    <hyperlink r:id="rId492" ref="K155"/>
    <hyperlink r:id="rId493" ref="M155"/>
    <hyperlink r:id="rId494" ref="O155"/>
    <hyperlink r:id="rId495" ref="C156"/>
    <hyperlink r:id="rId496" ref="C157"/>
    <hyperlink r:id="rId497" ref="C158"/>
    <hyperlink r:id="rId498" ref="K158"/>
    <hyperlink r:id="rId499" ref="M158"/>
    <hyperlink r:id="rId500" ref="O158"/>
    <hyperlink r:id="rId501" ref="Q158"/>
    <hyperlink r:id="rId502" ref="C159"/>
    <hyperlink r:id="rId503" ref="K159"/>
    <hyperlink r:id="rId504" ref="M159"/>
    <hyperlink r:id="rId505" ref="C160"/>
    <hyperlink r:id="rId506" ref="K160"/>
    <hyperlink r:id="rId507" ref="C161"/>
    <hyperlink r:id="rId508" ref="C162"/>
    <hyperlink r:id="rId509" ref="K162"/>
    <hyperlink r:id="rId510" ref="C163"/>
    <hyperlink r:id="rId511" ref="K163"/>
    <hyperlink r:id="rId512" ref="M163"/>
    <hyperlink r:id="rId513" ref="C164"/>
    <hyperlink r:id="rId514" ref="K164"/>
    <hyperlink r:id="rId515" ref="C165"/>
    <hyperlink r:id="rId516" ref="K165"/>
    <hyperlink r:id="rId517" ref="M165"/>
    <hyperlink r:id="rId518" ref="O165"/>
    <hyperlink r:id="rId519" ref="C166"/>
    <hyperlink r:id="rId520" ref="K166"/>
    <hyperlink r:id="rId521" ref="M166"/>
    <hyperlink r:id="rId522" ref="C167"/>
    <hyperlink r:id="rId523" ref="K167"/>
    <hyperlink r:id="rId524" ref="M167"/>
    <hyperlink r:id="rId525" ref="C168"/>
    <hyperlink r:id="rId526" ref="C169"/>
    <hyperlink r:id="rId527" ref="K169"/>
    <hyperlink r:id="rId528" ref="M169"/>
    <hyperlink r:id="rId529" ref="O169"/>
    <hyperlink r:id="rId530" ref="C170"/>
    <hyperlink r:id="rId531" ref="K170"/>
    <hyperlink r:id="rId532" ref="M170"/>
    <hyperlink r:id="rId533" ref="O170"/>
    <hyperlink r:id="rId534" ref="C171"/>
    <hyperlink r:id="rId535" ref="K171"/>
    <hyperlink r:id="rId536" ref="C172"/>
    <hyperlink r:id="rId537" ref="C173"/>
    <hyperlink r:id="rId538" ref="K173"/>
    <hyperlink r:id="rId539" ref="M173"/>
    <hyperlink r:id="rId540" ref="O173"/>
    <hyperlink r:id="rId541" ref="C174"/>
    <hyperlink r:id="rId542" ref="K174"/>
    <hyperlink r:id="rId543" ref="M174"/>
    <hyperlink r:id="rId544" ref="O174"/>
    <hyperlink r:id="rId545" ref="C175"/>
    <hyperlink r:id="rId546" ref="K175"/>
    <hyperlink r:id="rId547" ref="M175"/>
    <hyperlink r:id="rId548" ref="O175"/>
    <hyperlink r:id="rId549" ref="C176"/>
    <hyperlink r:id="rId550" ref="K176"/>
    <hyperlink r:id="rId551" ref="M176"/>
    <hyperlink r:id="rId552" ref="C177"/>
    <hyperlink r:id="rId553" ref="K177"/>
    <hyperlink r:id="rId554" ref="M177"/>
    <hyperlink r:id="rId555" ref="C178"/>
    <hyperlink r:id="rId556" ref="K178"/>
    <hyperlink r:id="rId557" ref="M178"/>
    <hyperlink r:id="rId558" ref="O178"/>
    <hyperlink r:id="rId559" ref="C179"/>
    <hyperlink r:id="rId560" ref="K179"/>
    <hyperlink r:id="rId561" ref="M179"/>
    <hyperlink r:id="rId562" ref="O179"/>
    <hyperlink r:id="rId563" ref="C180"/>
    <hyperlink r:id="rId564" ref="K180"/>
    <hyperlink r:id="rId565" ref="M180"/>
    <hyperlink r:id="rId566" ref="C181"/>
    <hyperlink r:id="rId567" ref="K181"/>
    <hyperlink r:id="rId568" ref="M181"/>
    <hyperlink r:id="rId569" ref="O181"/>
    <hyperlink r:id="rId570" ref="C182"/>
    <hyperlink r:id="rId571" ref="K182"/>
    <hyperlink r:id="rId572" ref="M182"/>
    <hyperlink r:id="rId573" ref="O182"/>
    <hyperlink r:id="rId574" ref="Q182"/>
    <hyperlink r:id="rId575" ref="C183"/>
    <hyperlink r:id="rId576" ref="K183"/>
    <hyperlink r:id="rId577" ref="M183"/>
    <hyperlink r:id="rId578" ref="C184"/>
    <hyperlink r:id="rId579" ref="C185"/>
    <hyperlink r:id="rId580" ref="C186"/>
    <hyperlink r:id="rId581" ref="C187"/>
    <hyperlink r:id="rId582" ref="K187"/>
    <hyperlink r:id="rId583" ref="M187"/>
    <hyperlink r:id="rId584" ref="O187"/>
    <hyperlink r:id="rId585" ref="Q187"/>
    <hyperlink r:id="rId586" ref="C188"/>
    <hyperlink r:id="rId587" ref="C189"/>
    <hyperlink r:id="rId588" ref="C190"/>
    <hyperlink r:id="rId589" ref="C191"/>
    <hyperlink r:id="rId590" ref="C192"/>
    <hyperlink r:id="rId591" ref="K192"/>
    <hyperlink r:id="rId592" ref="M192"/>
    <hyperlink r:id="rId593" ref="C193"/>
    <hyperlink r:id="rId594" ref="C194"/>
    <hyperlink r:id="rId595" ref="C195"/>
    <hyperlink r:id="rId596" ref="C196"/>
    <hyperlink r:id="rId597" ref="B197"/>
    <hyperlink r:id="rId598" ref="C197"/>
    <hyperlink r:id="rId599" ref="C198"/>
    <hyperlink r:id="rId600" ref="C199"/>
    <hyperlink r:id="rId601" ref="C200"/>
    <hyperlink r:id="rId602" ref="C201"/>
    <hyperlink r:id="rId603" ref="C202"/>
    <hyperlink r:id="rId604" ref="K202"/>
    <hyperlink r:id="rId605" ref="L202"/>
    <hyperlink r:id="rId606" ref="M202"/>
    <hyperlink r:id="rId607" ref="N202"/>
    <hyperlink r:id="rId608" ref="O202"/>
    <hyperlink r:id="rId609" ref="P202"/>
    <hyperlink r:id="rId610" ref="Q202"/>
    <hyperlink r:id="rId611" ref="C203"/>
  </hyperlinks>
  <drawing r:id="rId61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22.38"/>
  </cols>
  <sheetData>
    <row r="1">
      <c r="A1" s="213" t="s">
        <v>455</v>
      </c>
      <c r="B1" s="214"/>
      <c r="C1" s="214"/>
      <c r="D1" s="215"/>
      <c r="E1" s="213" t="s">
        <v>328</v>
      </c>
      <c r="F1" s="214"/>
      <c r="G1" s="216"/>
      <c r="I1" s="217" t="s">
        <v>456</v>
      </c>
      <c r="J1" s="214"/>
      <c r="K1" s="214"/>
      <c r="L1" s="216"/>
    </row>
    <row r="2">
      <c r="A2" s="219" t="s">
        <v>457</v>
      </c>
      <c r="B2" s="220"/>
      <c r="C2" s="219" t="s">
        <v>455</v>
      </c>
      <c r="D2" s="215"/>
      <c r="E2" s="439" t="s">
        <v>374</v>
      </c>
      <c r="F2" s="440" t="s">
        <v>375</v>
      </c>
      <c r="G2" s="441" t="s">
        <v>479</v>
      </c>
      <c r="I2" s="222" t="s">
        <v>458</v>
      </c>
      <c r="J2" s="214"/>
      <c r="K2" s="214"/>
      <c r="L2" s="216"/>
    </row>
    <row r="3">
      <c r="A3" s="223">
        <v>1.0</v>
      </c>
      <c r="B3" s="224"/>
      <c r="C3" s="225">
        <v>1.0</v>
      </c>
      <c r="D3" s="215"/>
      <c r="E3" s="442" t="s">
        <v>480</v>
      </c>
      <c r="F3" s="442" t="s">
        <v>480</v>
      </c>
      <c r="G3" s="442" t="s">
        <v>480</v>
      </c>
      <c r="I3" s="229" t="s">
        <v>459</v>
      </c>
      <c r="J3" s="216"/>
      <c r="K3" s="230" t="s">
        <v>460</v>
      </c>
      <c r="L3" s="216"/>
    </row>
    <row r="4">
      <c r="A4" s="231"/>
      <c r="B4" s="220"/>
      <c r="C4" s="225">
        <v>2.0</v>
      </c>
      <c r="D4" s="215"/>
      <c r="E4" s="297"/>
      <c r="F4" s="297"/>
      <c r="G4" s="297"/>
      <c r="I4" s="443">
        <v>6.5E7</v>
      </c>
      <c r="J4" s="228"/>
      <c r="K4" s="226"/>
      <c r="L4" s="228"/>
    </row>
    <row r="5">
      <c r="A5" s="236">
        <v>2.0</v>
      </c>
      <c r="B5" s="224"/>
      <c r="C5" s="225">
        <v>1.0</v>
      </c>
      <c r="D5" s="215"/>
      <c r="E5" s="444" t="s">
        <v>481</v>
      </c>
      <c r="F5" s="444" t="s">
        <v>409</v>
      </c>
      <c r="G5" s="444" t="s">
        <v>482</v>
      </c>
      <c r="I5" s="232"/>
      <c r="J5" s="234"/>
      <c r="K5" s="232"/>
      <c r="L5" s="234"/>
    </row>
    <row r="6">
      <c r="A6" s="231"/>
      <c r="B6" s="220"/>
      <c r="C6" s="225">
        <v>2.0</v>
      </c>
      <c r="D6" s="215"/>
      <c r="E6" s="445"/>
      <c r="F6" s="445"/>
      <c r="G6" s="446"/>
      <c r="I6" s="238" t="s">
        <v>462</v>
      </c>
      <c r="J6" s="214"/>
      <c r="K6" s="214"/>
      <c r="L6" s="216"/>
    </row>
    <row r="7">
      <c r="A7" s="236">
        <v>3.0</v>
      </c>
      <c r="B7" s="224"/>
      <c r="C7" s="225">
        <v>1.0</v>
      </c>
      <c r="D7" s="215"/>
      <c r="E7" s="297"/>
      <c r="F7" s="297"/>
      <c r="G7" s="297"/>
      <c r="I7" s="235">
        <f>IFERROR(__xludf.DUMMYFUNCTION("IMPORTRANGE(""https://docs.google.com/spreadsheets/d/1XGHyffJQ7KjI292zt5QVK_1XTfEMh_HDpl_2BHAzd4c/edit?gid=1335890585#gid=1335890585"",""OMG Skincare!H4"")"),6690000.0)</f>
        <v>6690000</v>
      </c>
      <c r="J7" s="228"/>
      <c r="K7" s="226"/>
      <c r="L7" s="228"/>
    </row>
    <row r="8">
      <c r="A8" s="231"/>
      <c r="B8" s="220"/>
      <c r="C8" s="225">
        <v>2.0</v>
      </c>
      <c r="D8" s="215"/>
      <c r="E8" s="447" t="s">
        <v>329</v>
      </c>
      <c r="F8" s="233"/>
      <c r="G8" s="234"/>
      <c r="I8" s="232"/>
      <c r="J8" s="234"/>
      <c r="K8" s="232"/>
      <c r="L8" s="234"/>
    </row>
    <row r="9">
      <c r="A9" s="236">
        <v>4.0</v>
      </c>
      <c r="B9" s="224"/>
      <c r="C9" s="225">
        <v>1.0</v>
      </c>
      <c r="D9" s="215"/>
      <c r="E9" s="448"/>
      <c r="F9" s="448"/>
      <c r="G9" s="449"/>
      <c r="I9" s="241" t="s">
        <v>463</v>
      </c>
      <c r="J9" s="214"/>
      <c r="K9" s="214"/>
      <c r="L9" s="216"/>
    </row>
    <row r="10">
      <c r="A10" s="231"/>
      <c r="B10" s="220"/>
      <c r="C10" s="225">
        <v>2.0</v>
      </c>
      <c r="D10" s="215"/>
      <c r="E10" s="297"/>
      <c r="F10" s="297"/>
      <c r="G10" s="297"/>
      <c r="I10" s="235">
        <f>I4-I7</f>
        <v>58310000</v>
      </c>
      <c r="J10" s="228"/>
      <c r="K10" s="226">
        <f>K4-K7</f>
        <v>0</v>
      </c>
      <c r="L10" s="228"/>
    </row>
    <row r="11">
      <c r="A11" s="236">
        <v>5.0</v>
      </c>
      <c r="B11" s="224"/>
      <c r="C11" s="225">
        <v>1.0</v>
      </c>
      <c r="D11" s="215"/>
      <c r="E11" s="215"/>
      <c r="I11" s="232"/>
      <c r="J11" s="234"/>
      <c r="K11" s="232"/>
      <c r="L11" s="234"/>
    </row>
    <row r="12">
      <c r="A12" s="231"/>
      <c r="B12" s="220"/>
      <c r="C12" s="225">
        <v>2.0</v>
      </c>
      <c r="D12" s="215"/>
      <c r="E12" s="215"/>
      <c r="J12" s="242"/>
      <c r="K12" s="215"/>
      <c r="L12" s="242"/>
      <c r="M12" s="243"/>
      <c r="N12" s="243"/>
      <c r="O12" s="243"/>
      <c r="P12" s="243"/>
      <c r="Q12" s="243"/>
      <c r="R12" s="243"/>
      <c r="S12" s="243"/>
      <c r="T12" s="243"/>
      <c r="U12" s="243"/>
      <c r="V12" s="243"/>
      <c r="W12" s="243"/>
      <c r="X12" s="243"/>
      <c r="Y12" s="243"/>
      <c r="Z12" s="243"/>
      <c r="AA12" s="243"/>
    </row>
    <row r="13">
      <c r="A13" s="245"/>
      <c r="B13" s="245"/>
      <c r="E13" s="3"/>
      <c r="F13" s="3"/>
      <c r="K13" s="243"/>
      <c r="L13" s="243"/>
      <c r="M13" s="243"/>
      <c r="N13" s="243"/>
      <c r="O13" s="243"/>
      <c r="P13" s="243"/>
      <c r="Q13" s="243"/>
      <c r="R13" s="243"/>
      <c r="S13" s="243"/>
      <c r="T13" s="243"/>
      <c r="U13" s="243"/>
      <c r="V13" s="243"/>
      <c r="W13" s="243"/>
      <c r="X13" s="243"/>
      <c r="Y13" s="243"/>
      <c r="Z13" s="243"/>
      <c r="AA13" s="243"/>
    </row>
    <row r="14">
      <c r="A14" s="250" t="s">
        <v>466</v>
      </c>
      <c r="B14" s="250" t="s">
        <v>467</v>
      </c>
      <c r="C14" s="251" t="s">
        <v>468</v>
      </c>
      <c r="D14" s="252" t="s">
        <v>469</v>
      </c>
      <c r="E14" s="253" t="s">
        <v>470</v>
      </c>
      <c r="F14" s="251" t="s">
        <v>471</v>
      </c>
      <c r="G14" s="251" t="s">
        <v>457</v>
      </c>
      <c r="H14" s="254" t="s">
        <v>472</v>
      </c>
      <c r="I14" s="251" t="s">
        <v>473</v>
      </c>
      <c r="J14" s="251" t="s">
        <v>474</v>
      </c>
      <c r="K14" s="251" t="s">
        <v>475</v>
      </c>
      <c r="L14" s="251" t="s">
        <v>476</v>
      </c>
      <c r="M14" s="249" t="s">
        <v>483</v>
      </c>
    </row>
    <row r="15">
      <c r="A15" s="255" t="str">
        <f>IFERROR(__xludf.DUMMYFUNCTION("QUERY(IMPORTRANGE(""https://docs.google.com/spreadsheets/d/10wdjc5GKQIqHka9D7QGq1b4WkRuVqG0ylA8lw57ns-I/edit?usp=sharing"", ""PWS!A3:Y""), ""SELECT Col1, Col2, Col3, Col4, Col5, Col6, Col11, Col16, Col18, Col20, Col22, Col24 WHERE Col12 = 'Approved'"")"),"NANO")</f>
        <v>NANO</v>
      </c>
      <c r="B15" s="450" t="str">
        <f>IFERROR(__xludf.DUMMYFUNCTION("""COMPUTED_VALUE"""),"Cipawwanisa ")</f>
        <v>Cipawwanisa </v>
      </c>
      <c r="C15" s="451" t="str">
        <f>IFERROR(__xludf.DUMMYFUNCTION("""COMPUTED_VALUE"""),"https://www.tiktok.com/@Cipawwanisa ")</f>
        <v>https://www.tiktok.com/@Cipawwanisa </v>
      </c>
      <c r="D15" s="452">
        <f>IFERROR(__xludf.DUMMYFUNCTION("""COMPUTED_VALUE"""),8.1321547249E10)</f>
        <v>81321547249</v>
      </c>
      <c r="E15" s="453">
        <f>IFERROR(__xludf.DUMMYFUNCTION("""COMPUTED_VALUE"""),0.0)</f>
        <v>0</v>
      </c>
      <c r="F15" s="25">
        <f>IFERROR(__xludf.DUMMYFUNCTION("""COMPUTED_VALUE"""),4.0)</f>
        <v>4</v>
      </c>
      <c r="G15" s="17" t="str">
        <f>IFERROR(__xludf.DUMMYFUNCTION("""COMPUTED_VALUE"""),"Full Set")</f>
        <v>Full Set</v>
      </c>
      <c r="H15" s="260"/>
      <c r="I15" s="262"/>
      <c r="J15" s="262"/>
      <c r="K15" s="262"/>
      <c r="L15" s="262"/>
      <c r="M15" s="262"/>
    </row>
    <row r="16">
      <c r="A16" s="255" t="str">
        <f>IFERROR(__xludf.DUMMYFUNCTION("""COMPUTED_VALUE"""),"NANO")</f>
        <v>NANO</v>
      </c>
      <c r="B16" s="450" t="str">
        <f>IFERROR(__xludf.DUMMYFUNCTION("""COMPUTED_VALUE"""),"aulnih3")</f>
        <v>aulnih3</v>
      </c>
      <c r="C16" s="451" t="str">
        <f>IFERROR(__xludf.DUMMYFUNCTION("""COMPUTED_VALUE"""),"https://www.tiktok.com/@aulnih3")</f>
        <v>https://www.tiktok.com/@aulnih3</v>
      </c>
      <c r="D16" s="452">
        <f>IFERROR(__xludf.DUMMYFUNCTION("""COMPUTED_VALUE"""),8.175455453E9)</f>
        <v>8175455453</v>
      </c>
      <c r="E16" s="453">
        <f>IFERROR(__xludf.DUMMYFUNCTION("""COMPUTED_VALUE"""),0.0)</f>
        <v>0</v>
      </c>
      <c r="F16" s="25">
        <f>IFERROR(__xludf.DUMMYFUNCTION("""COMPUTED_VALUE"""),4.0)</f>
        <v>4</v>
      </c>
      <c r="G16" s="17" t="str">
        <f>IFERROR(__xludf.DUMMYFUNCTION("""COMPUTED_VALUE"""),"Full Set")</f>
        <v>Full Set</v>
      </c>
      <c r="H16" s="260"/>
      <c r="I16" s="278" t="str">
        <f>IFERROR(__xludf.DUMMYFUNCTION("""COMPUTED_VALUE"""),"https://www.tiktok.com/@aulnih3/video/7642553513125465365?is_from_webapp=1&amp;sender_device=pc")</f>
        <v>https://www.tiktok.com/@aulnih3/video/7642553513125465365?is_from_webapp=1&amp;sender_device=pc</v>
      </c>
      <c r="J16" s="262"/>
      <c r="K16" s="262"/>
      <c r="L16" s="262"/>
      <c r="M16" s="262"/>
    </row>
    <row r="17">
      <c r="A17" s="255" t="str">
        <f>IFERROR(__xludf.DUMMYFUNCTION("""COMPUTED_VALUE"""),"NANO")</f>
        <v>NANO</v>
      </c>
      <c r="B17" s="450" t="str">
        <f>IFERROR(__xludf.DUMMYFUNCTION("""COMPUTED_VALUE"""),"Memeyy2910_")</f>
        <v>Memeyy2910_</v>
      </c>
      <c r="C17" s="451" t="str">
        <f>IFERROR(__xludf.DUMMYFUNCTION("""COMPUTED_VALUE"""),"https://www.tiktok.com/@Memeyy2910_")</f>
        <v>https://www.tiktok.com/@Memeyy2910_</v>
      </c>
      <c r="D17" s="452">
        <f>IFERROR(__xludf.DUMMYFUNCTION("""COMPUTED_VALUE"""),8.231818287E10)</f>
        <v>82318182870</v>
      </c>
      <c r="E17" s="453">
        <f>IFERROR(__xludf.DUMMYFUNCTION("""COMPUTED_VALUE"""),0.0)</f>
        <v>0</v>
      </c>
      <c r="F17" s="25">
        <f>IFERROR(__xludf.DUMMYFUNCTION("""COMPUTED_VALUE"""),4.0)</f>
        <v>4</v>
      </c>
      <c r="G17" s="17" t="str">
        <f>IFERROR(__xludf.DUMMYFUNCTION("""COMPUTED_VALUE"""),"Full Set")</f>
        <v>Full Set</v>
      </c>
      <c r="H17" s="260"/>
      <c r="I17" s="262"/>
      <c r="J17" s="262"/>
      <c r="K17" s="262"/>
      <c r="L17" s="262"/>
      <c r="M17" s="262"/>
    </row>
    <row r="18">
      <c r="A18" s="255" t="str">
        <f>IFERROR(__xludf.DUMMYFUNCTION("""COMPUTED_VALUE"""),"MICRO")</f>
        <v>MICRO</v>
      </c>
      <c r="B18" s="450" t="str">
        <f>IFERROR(__xludf.DUMMYFUNCTION("""COMPUTED_VALUE"""),"devypuspitaaa_")</f>
        <v>devypuspitaaa_</v>
      </c>
      <c r="C18" s="451" t="str">
        <f>IFERROR(__xludf.DUMMYFUNCTION("""COMPUTED_VALUE"""),"https://www.tiktok.com/@devypuspitaaa_")</f>
        <v>https://www.tiktok.com/@devypuspitaaa_</v>
      </c>
      <c r="D18" s="313">
        <f>IFERROR(__xludf.DUMMYFUNCTION("""COMPUTED_VALUE"""),8.5798083756E10)</f>
        <v>85798083756</v>
      </c>
      <c r="E18" s="453">
        <f>IFERROR(__xludf.DUMMYFUNCTION("""COMPUTED_VALUE"""),0.0)</f>
        <v>0</v>
      </c>
      <c r="F18" s="25">
        <f>IFERROR(__xludf.DUMMYFUNCTION("""COMPUTED_VALUE"""),4.0)</f>
        <v>4</v>
      </c>
      <c r="G18" s="17" t="str">
        <f>IFERROR(__xludf.DUMMYFUNCTION("""COMPUTED_VALUE"""),"Full Set")</f>
        <v>Full Set</v>
      </c>
      <c r="H18" s="260"/>
      <c r="I18" s="262"/>
      <c r="J18" s="262"/>
      <c r="K18" s="262"/>
      <c r="L18" s="262"/>
      <c r="M18" s="262"/>
    </row>
    <row r="19">
      <c r="A19" s="255" t="str">
        <f>IFERROR(__xludf.DUMMYFUNCTION("""COMPUTED_VALUE"""),"MICRO")</f>
        <v>MICRO</v>
      </c>
      <c r="B19" s="454" t="str">
        <f>IFERROR(__xludf.DUMMYFUNCTION("""COMPUTED_VALUE"""),"Xyme.dytaa")</f>
        <v>Xyme.dytaa</v>
      </c>
      <c r="C19" s="451" t="str">
        <f>IFERROR(__xludf.DUMMYFUNCTION("""COMPUTED_VALUE"""),"https://www.tiktok.com/@Xyme.dytaa")</f>
        <v>https://www.tiktok.com/@Xyme.dytaa</v>
      </c>
      <c r="D19" s="455">
        <f>IFERROR(__xludf.DUMMYFUNCTION("""COMPUTED_VALUE"""),8.2114349392E10)</f>
        <v>82114349392</v>
      </c>
      <c r="E19" s="453">
        <f>IFERROR(__xludf.DUMMYFUNCTION("""COMPUTED_VALUE"""),0.0)</f>
        <v>0</v>
      </c>
      <c r="F19" s="25">
        <f>IFERROR(__xludf.DUMMYFUNCTION("""COMPUTED_VALUE"""),4.0)</f>
        <v>4</v>
      </c>
      <c r="G19" s="17" t="str">
        <f>IFERROR(__xludf.DUMMYFUNCTION("""COMPUTED_VALUE"""),"Full Set")</f>
        <v>Full Set</v>
      </c>
      <c r="H19" s="260"/>
      <c r="I19" s="262"/>
      <c r="J19" s="262"/>
      <c r="K19" s="262"/>
      <c r="L19" s="262"/>
      <c r="M19" s="262"/>
    </row>
    <row r="20">
      <c r="A20" s="255" t="str">
        <f>IFERROR(__xludf.DUMMYFUNCTION("""COMPUTED_VALUE"""),"NANO")</f>
        <v>NANO</v>
      </c>
      <c r="B20" s="450" t="str">
        <f>IFERROR(__xludf.DUMMYFUNCTION("""COMPUTED_VALUE"""),"Moms_masaru")</f>
        <v>Moms_masaru</v>
      </c>
      <c r="C20" s="451" t="str">
        <f>IFERROR(__xludf.DUMMYFUNCTION("""COMPUTED_VALUE"""),"https://www.tiktok.com/@Moms_masaru")</f>
        <v>https://www.tiktok.com/@Moms_masaru</v>
      </c>
      <c r="D20" s="450">
        <f>IFERROR(__xludf.DUMMYFUNCTION("""COMPUTED_VALUE"""),8.1369763577E10)</f>
        <v>81369763577</v>
      </c>
      <c r="E20" s="453">
        <f>IFERROR(__xludf.DUMMYFUNCTION("""COMPUTED_VALUE"""),0.0)</f>
        <v>0</v>
      </c>
      <c r="F20" s="270">
        <f>IFERROR(__xludf.DUMMYFUNCTION("""COMPUTED_VALUE"""),4.0)</f>
        <v>4</v>
      </c>
      <c r="G20" s="17" t="str">
        <f>IFERROR(__xludf.DUMMYFUNCTION("""COMPUTED_VALUE"""),"Full Set")</f>
        <v>Full Set</v>
      </c>
      <c r="H20" s="260"/>
      <c r="I20" s="278" t="str">
        <f>IFERROR(__xludf.DUMMYFUNCTION("""COMPUTED_VALUE"""),"https://www.tiktok.com/@moms_masaru/video/7636702352954690837?is_from_webapp=1&amp;sender_device=pc")</f>
        <v>https://www.tiktok.com/@moms_masaru/video/7636702352954690837?is_from_webapp=1&amp;sender_device=pc</v>
      </c>
      <c r="J20" s="278" t="str">
        <f>IFERROR(__xludf.DUMMYFUNCTION("""COMPUTED_VALUE"""),"https://www.tiktok.com/@moms_masaru/video/7636610941546777877?is_from_webapp=1&amp;sender_device=pc")</f>
        <v>https://www.tiktok.com/@moms_masaru/video/7636610941546777877?is_from_webapp=1&amp;sender_device=pc</v>
      </c>
      <c r="K20" s="278" t="str">
        <f>IFERROR(__xludf.DUMMYFUNCTION("""COMPUTED_VALUE"""),"https://www.tiktok.com/@moms_masaru/video/7637358531821243668?is_from_webapp=1&amp;sender_device=pc")</f>
        <v>https://www.tiktok.com/@moms_masaru/video/7637358531821243668?is_from_webapp=1&amp;sender_device=pc</v>
      </c>
      <c r="L20" s="278" t="str">
        <f>IFERROR(__xludf.DUMMYFUNCTION("""COMPUTED_VALUE"""),"https://www.tiktok.com/@moms_masaru/video/7637359012727786773?is_from_webapp=1&amp;sender_device=pc")</f>
        <v>https://www.tiktok.com/@moms_masaru/video/7637359012727786773?is_from_webapp=1&amp;sender_device=pc</v>
      </c>
      <c r="M20" s="262"/>
    </row>
    <row r="21">
      <c r="A21" s="255" t="str">
        <f>IFERROR(__xludf.DUMMYFUNCTION("""COMPUTED_VALUE"""),"NANO")</f>
        <v>NANO</v>
      </c>
      <c r="B21" s="450" t="str">
        <f>IFERROR(__xludf.DUMMYFUNCTION("""COMPUTED_VALUE"""),"naminajm")</f>
        <v>naminajm</v>
      </c>
      <c r="C21" s="451" t="str">
        <f>IFERROR(__xludf.DUMMYFUNCTION("""COMPUTED_VALUE"""),"https://www.tiktok.com/@naminajm")</f>
        <v>https://www.tiktok.com/@naminajm</v>
      </c>
      <c r="D21" s="450">
        <f>IFERROR(__xludf.DUMMYFUNCTION("""COMPUTED_VALUE"""),8.1223300048E10)</f>
        <v>81223300048</v>
      </c>
      <c r="E21" s="456">
        <f>IFERROR(__xludf.DUMMYFUNCTION("""COMPUTED_VALUE"""),0.0)</f>
        <v>0</v>
      </c>
      <c r="F21" s="270">
        <f>IFERROR(__xludf.DUMMYFUNCTION("""COMPUTED_VALUE"""),4.0)</f>
        <v>4</v>
      </c>
      <c r="G21" s="17" t="str">
        <f>IFERROR(__xludf.DUMMYFUNCTION("""COMPUTED_VALUE"""),"Full Set")</f>
        <v>Full Set</v>
      </c>
      <c r="H21" s="260"/>
      <c r="I21" s="262"/>
      <c r="J21" s="262"/>
      <c r="K21" s="262"/>
      <c r="L21" s="262"/>
      <c r="M21" s="262"/>
    </row>
    <row r="22">
      <c r="A22" s="255" t="str">
        <f>IFERROR(__xludf.DUMMYFUNCTION("""COMPUTED_VALUE"""),"NANO")</f>
        <v>NANO</v>
      </c>
      <c r="B22" s="450" t="str">
        <f>IFERROR(__xludf.DUMMYFUNCTION("""COMPUTED_VALUE"""),"yaninay28 ")</f>
        <v>yaninay28 </v>
      </c>
      <c r="C22" s="451" t="str">
        <f>IFERROR(__xludf.DUMMYFUNCTION("""COMPUTED_VALUE"""),"https://www.tiktok.com/@yaninay28 ")</f>
        <v>https://www.tiktok.com/@yaninay28 </v>
      </c>
      <c r="D22" s="450">
        <f>IFERROR(__xludf.DUMMYFUNCTION("""COMPUTED_VALUE"""),8.5934583118E10)</f>
        <v>85934583118</v>
      </c>
      <c r="E22" s="456">
        <f>IFERROR(__xludf.DUMMYFUNCTION("""COMPUTED_VALUE"""),0.0)</f>
        <v>0</v>
      </c>
      <c r="F22" s="270">
        <f>IFERROR(__xludf.DUMMYFUNCTION("""COMPUTED_VALUE"""),4.0)</f>
        <v>4</v>
      </c>
      <c r="G22" s="17" t="str">
        <f>IFERROR(__xludf.DUMMYFUNCTION("""COMPUTED_VALUE"""),"Full Set")</f>
        <v>Full Set</v>
      </c>
      <c r="H22" s="260"/>
      <c r="I22" s="278" t="str">
        <f>IFERROR(__xludf.DUMMYFUNCTION("""COMPUTED_VALUE"""),"https://www.tiktok.com/@yaninay28/video/7639596586791685394?is_from_webapp=1&amp;sender_device=pc")</f>
        <v>https://www.tiktok.com/@yaninay28/video/7639596586791685394?is_from_webapp=1&amp;sender_device=pc</v>
      </c>
      <c r="J22" s="278" t="str">
        <f>IFERROR(__xludf.DUMMYFUNCTION("""COMPUTED_VALUE"""),"https://www.tiktok.com/@yaninay28/video/7639946612093013255?is_from_webapp=1&amp;sender_device=pc")</f>
        <v>https://www.tiktok.com/@yaninay28/video/7639946612093013255?is_from_webapp=1&amp;sender_device=pc</v>
      </c>
      <c r="K22" s="278" t="str">
        <f>IFERROR(__xludf.DUMMYFUNCTION("""COMPUTED_VALUE"""),"https://www.tiktok.com/@yaninay28/video/7640300482627390728?is_from_webapp=1&amp;sender_device=pc")</f>
        <v>https://www.tiktok.com/@yaninay28/video/7640300482627390728?is_from_webapp=1&amp;sender_device=pc</v>
      </c>
      <c r="L22" s="278" t="str">
        <f>IFERROR(__xludf.DUMMYFUNCTION("""COMPUTED_VALUE"""),"https://vt.tiktok.com/ZSxMSuHmd/")</f>
        <v>https://vt.tiktok.com/ZSxMSuHmd/</v>
      </c>
      <c r="M22" s="262"/>
    </row>
    <row r="23">
      <c r="A23" s="255" t="str">
        <f>IFERROR(__xludf.DUMMYFUNCTION("""COMPUTED_VALUE"""),"NANO")</f>
        <v>NANO</v>
      </c>
      <c r="B23" s="450" t="str">
        <f>IFERROR(__xludf.DUMMYFUNCTION("""COMPUTED_VALUE"""),"cloudyexe_")</f>
        <v>cloudyexe_</v>
      </c>
      <c r="C23" s="451" t="str">
        <f>IFERROR(__xludf.DUMMYFUNCTION("""COMPUTED_VALUE"""),"https://www.tiktok.com/@cloudyexe_")</f>
        <v>https://www.tiktok.com/@cloudyexe_</v>
      </c>
      <c r="D23" s="450">
        <f>IFERROR(__xludf.DUMMYFUNCTION("""COMPUTED_VALUE"""),8.5336265601E10)</f>
        <v>85336265601</v>
      </c>
      <c r="E23" s="456">
        <f>IFERROR(__xludf.DUMMYFUNCTION("""COMPUTED_VALUE"""),0.0)</f>
        <v>0</v>
      </c>
      <c r="F23" s="270">
        <f>IFERROR(__xludf.DUMMYFUNCTION("""COMPUTED_VALUE"""),4.0)</f>
        <v>4</v>
      </c>
      <c r="G23" s="17" t="str">
        <f>IFERROR(__xludf.DUMMYFUNCTION("""COMPUTED_VALUE"""),"Full Set")</f>
        <v>Full Set</v>
      </c>
      <c r="H23" s="260"/>
      <c r="I23" s="278" t="str">
        <f>IFERROR(__xludf.DUMMYFUNCTION("""COMPUTED_VALUE"""),"https://www.tiktok.com/@cloudyexe_/video/7637742723121843477?is_from_webapp=1&amp;sender_device=pc")</f>
        <v>https://www.tiktok.com/@cloudyexe_/video/7637742723121843477?is_from_webapp=1&amp;sender_device=pc</v>
      </c>
      <c r="J23" s="262"/>
      <c r="K23" s="262"/>
      <c r="L23" s="262"/>
      <c r="M23" s="262"/>
    </row>
    <row r="24">
      <c r="A24" s="255" t="str">
        <f>IFERROR(__xludf.DUMMYFUNCTION("""COMPUTED_VALUE"""),"NANO")</f>
        <v>NANO</v>
      </c>
      <c r="B24" s="23" t="str">
        <f>IFERROR(__xludf.DUMMYFUNCTION("""COMPUTED_VALUE"""),"drcandraa")</f>
        <v>drcandraa</v>
      </c>
      <c r="C24" s="257" t="str">
        <f>IFERROR(__xludf.DUMMYFUNCTION("""COMPUTED_VALUE"""),"https://www.tiktok.com/@drcandraa")</f>
        <v>https://www.tiktok.com/@drcandraa</v>
      </c>
      <c r="D24" s="23">
        <f>IFERROR(__xludf.DUMMYFUNCTION("""COMPUTED_VALUE"""),8.3141672241E10)</f>
        <v>83141672241</v>
      </c>
      <c r="E24" s="271">
        <f>IFERROR(__xludf.DUMMYFUNCTION("""COMPUTED_VALUE"""),0.0)</f>
        <v>0</v>
      </c>
      <c r="F24" s="270">
        <f>IFERROR(__xludf.DUMMYFUNCTION("""COMPUTED_VALUE"""),4.0)</f>
        <v>4</v>
      </c>
      <c r="G24" s="17" t="str">
        <f>IFERROR(__xludf.DUMMYFUNCTION("""COMPUTED_VALUE"""),"Full Set")</f>
        <v>Full Set</v>
      </c>
      <c r="H24" s="260"/>
      <c r="I24" s="262"/>
      <c r="J24" s="262"/>
      <c r="K24" s="262"/>
      <c r="L24" s="262"/>
      <c r="M24" s="262"/>
    </row>
    <row r="25">
      <c r="A25" s="255" t="str">
        <f>IFERROR(__xludf.DUMMYFUNCTION("""COMPUTED_VALUE"""),"MICRO")</f>
        <v>MICRO</v>
      </c>
      <c r="B25" s="23" t="str">
        <f>IFERROR(__xludf.DUMMYFUNCTION("""COMPUTED_VALUE"""),"Ayunitanf")</f>
        <v>Ayunitanf</v>
      </c>
      <c r="C25" s="257" t="str">
        <f>IFERROR(__xludf.DUMMYFUNCTION("""COMPUTED_VALUE"""),"https://www.tiktok.com/@Ayunitanf")</f>
        <v>https://www.tiktok.com/@Ayunitanf</v>
      </c>
      <c r="D25" s="23">
        <f>IFERROR(__xludf.DUMMYFUNCTION("""COMPUTED_VALUE"""),8.772071112E10)</f>
        <v>87720711120</v>
      </c>
      <c r="E25" s="271">
        <f>IFERROR(__xludf.DUMMYFUNCTION("""COMPUTED_VALUE"""),0.0)</f>
        <v>0</v>
      </c>
      <c r="F25" s="270">
        <f>IFERROR(__xludf.DUMMYFUNCTION("""COMPUTED_VALUE"""),4.0)</f>
        <v>4</v>
      </c>
      <c r="G25" s="17" t="str">
        <f>IFERROR(__xludf.DUMMYFUNCTION("""COMPUTED_VALUE"""),"Full Set")</f>
        <v>Full Set</v>
      </c>
      <c r="H25" s="260"/>
      <c r="I25" s="262"/>
      <c r="J25" s="262"/>
      <c r="K25" s="262"/>
      <c r="L25" s="262"/>
      <c r="M25" s="262"/>
    </row>
    <row r="26">
      <c r="A26" s="255" t="str">
        <f>IFERROR(__xludf.DUMMYFUNCTION("""COMPUTED_VALUE"""),"NANO")</f>
        <v>NANO</v>
      </c>
      <c r="B26" s="23" t="str">
        <f>IFERROR(__xludf.DUMMYFUNCTION("""COMPUTED_VALUE"""),"rf .1924")</f>
        <v>rf .1924</v>
      </c>
      <c r="C26" s="23" t="str">
        <f>IFERROR(__xludf.DUMMYFUNCTION("""COMPUTED_VALUE"""),"https://www.tiktok.com/@rf .1924")</f>
        <v>https://www.tiktok.com/@rf .1924</v>
      </c>
      <c r="D26" s="23">
        <f>IFERROR(__xludf.DUMMYFUNCTION("""COMPUTED_VALUE"""),8.2322346779E10)</f>
        <v>82322346779</v>
      </c>
      <c r="E26" s="271">
        <f>IFERROR(__xludf.DUMMYFUNCTION("""COMPUTED_VALUE"""),0.0)</f>
        <v>0</v>
      </c>
      <c r="F26" s="270">
        <f>IFERROR(__xludf.DUMMYFUNCTION("""COMPUTED_VALUE"""),4.0)</f>
        <v>4</v>
      </c>
      <c r="G26" s="17" t="str">
        <f>IFERROR(__xludf.DUMMYFUNCTION("""COMPUTED_VALUE"""),"Full Set")</f>
        <v>Full Set</v>
      </c>
      <c r="H26" s="260"/>
      <c r="I26" s="278" t="str">
        <f>IFERROR(__xludf.DUMMYFUNCTION("""COMPUTED_VALUE"""),"https://www.tiktok.com/@rf.1924/video/7637406539195747604?is_from_webapp=1&amp;sender_device=pc")</f>
        <v>https://www.tiktok.com/@rf.1924/video/7637406539195747604?is_from_webapp=1&amp;sender_device=pc</v>
      </c>
      <c r="J26" s="278" t="str">
        <f>IFERROR(__xludf.DUMMYFUNCTION("""COMPUTED_VALUE"""),"https://www.tiktok.com/@rf.1924/video/7638629340946828564?is_from_webapp=1&amp;sender_device=pc")</f>
        <v>https://www.tiktok.com/@rf.1924/video/7638629340946828564?is_from_webapp=1&amp;sender_device=pc</v>
      </c>
      <c r="K26" s="278" t="str">
        <f>IFERROR(__xludf.DUMMYFUNCTION("""COMPUTED_VALUE"""),"https://www.tiktok.com/@rf.1924/video/7639723935977868565?is_from_webapp=1&amp;sender_device=pc")</f>
        <v>https://www.tiktok.com/@rf.1924/video/7639723935977868565?is_from_webapp=1&amp;sender_device=pc</v>
      </c>
      <c r="L26" s="278" t="str">
        <f>IFERROR(__xludf.DUMMYFUNCTION("""COMPUTED_VALUE"""),"https://vt.tiktok.com/ZSxWgNSAt/")</f>
        <v>https://vt.tiktok.com/ZSxWgNSAt/</v>
      </c>
      <c r="M26" s="262"/>
    </row>
    <row r="27">
      <c r="A27" s="255" t="str">
        <f>IFERROR(__xludf.DUMMYFUNCTION("""COMPUTED_VALUE"""),"NANO")</f>
        <v>NANO</v>
      </c>
      <c r="B27" s="23" t="str">
        <f>IFERROR(__xludf.DUMMYFUNCTION("""COMPUTED_VALUE"""),"peopleleskom ")</f>
        <v>peopleleskom </v>
      </c>
      <c r="C27" s="257" t="str">
        <f>IFERROR(__xludf.DUMMYFUNCTION("""COMPUTED_VALUE"""),"https://www.tiktok.com/@peopleleskom ")</f>
        <v>https://www.tiktok.com/@peopleleskom </v>
      </c>
      <c r="D27" s="23">
        <f>IFERROR(__xludf.DUMMYFUNCTION("""COMPUTED_VALUE"""),8.5122541964E10)</f>
        <v>85122541964</v>
      </c>
      <c r="E27" s="271">
        <f>IFERROR(__xludf.DUMMYFUNCTION("""COMPUTED_VALUE"""),0.0)</f>
        <v>0</v>
      </c>
      <c r="F27" s="270">
        <f>IFERROR(__xludf.DUMMYFUNCTION("""COMPUTED_VALUE"""),4.0)</f>
        <v>4</v>
      </c>
      <c r="G27" s="17" t="str">
        <f>IFERROR(__xludf.DUMMYFUNCTION("""COMPUTED_VALUE"""),"Full Set")</f>
        <v>Full Set</v>
      </c>
      <c r="H27" s="260"/>
      <c r="I27" s="278" t="str">
        <f>IFERROR(__xludf.DUMMYFUNCTION("""COMPUTED_VALUE"""),"https://vt.tiktok.com/ZS9T8kGvD/")</f>
        <v>https://vt.tiktok.com/ZS9T8kGvD/</v>
      </c>
      <c r="J27" s="262"/>
      <c r="K27" s="262"/>
      <c r="L27" s="262"/>
      <c r="M27" s="262"/>
    </row>
    <row r="28">
      <c r="A28" s="255" t="str">
        <f>IFERROR(__xludf.DUMMYFUNCTION("""COMPUTED_VALUE"""),"NANO")</f>
        <v>NANO</v>
      </c>
      <c r="B28" s="23" t="str">
        <f>IFERROR(__xludf.DUMMYFUNCTION("""COMPUTED_VALUE"""),"ainiharuka")</f>
        <v>ainiharuka</v>
      </c>
      <c r="C28" s="257" t="str">
        <f>IFERROR(__xludf.DUMMYFUNCTION("""COMPUTED_VALUE"""),"https://www.tiktok.com/@ainiharuka")</f>
        <v>https://www.tiktok.com/@ainiharuka</v>
      </c>
      <c r="D28" s="23">
        <f>IFERROR(__xludf.DUMMYFUNCTION("""COMPUTED_VALUE"""),8.5381118355E10)</f>
        <v>85381118355</v>
      </c>
      <c r="E28" s="271">
        <f>IFERROR(__xludf.DUMMYFUNCTION("""COMPUTED_VALUE"""),0.0)</f>
        <v>0</v>
      </c>
      <c r="F28" s="270">
        <f>IFERROR(__xludf.DUMMYFUNCTION("""COMPUTED_VALUE"""),4.0)</f>
        <v>4</v>
      </c>
      <c r="G28" s="17" t="str">
        <f>IFERROR(__xludf.DUMMYFUNCTION("""COMPUTED_VALUE"""),"Full Set")</f>
        <v>Full Set</v>
      </c>
      <c r="H28" s="260"/>
      <c r="I28" s="262"/>
      <c r="J28" s="262"/>
      <c r="K28" s="262"/>
      <c r="L28" s="262"/>
      <c r="M28" s="262"/>
    </row>
    <row r="29">
      <c r="A29" s="255" t="str">
        <f>IFERROR(__xludf.DUMMYFUNCTION("""COMPUTED_VALUE"""),"NANO")</f>
        <v>NANO</v>
      </c>
      <c r="B29" s="23" t="str">
        <f>IFERROR(__xludf.DUMMYFUNCTION("""COMPUTED_VALUE"""),"iraawt1_")</f>
        <v>iraawt1_</v>
      </c>
      <c r="C29" s="257" t="str">
        <f>IFERROR(__xludf.DUMMYFUNCTION("""COMPUTED_VALUE"""),"https://www.tiktok.com/@iraawt1_")</f>
        <v>https://www.tiktok.com/@iraawt1_</v>
      </c>
      <c r="D29" s="23">
        <f>IFERROR(__xludf.DUMMYFUNCTION("""COMPUTED_VALUE"""),8.5733715127E10)</f>
        <v>85733715127</v>
      </c>
      <c r="E29" s="271">
        <f>IFERROR(__xludf.DUMMYFUNCTION("""COMPUTED_VALUE"""),0.0)</f>
        <v>0</v>
      </c>
      <c r="F29" s="270">
        <f>IFERROR(__xludf.DUMMYFUNCTION("""COMPUTED_VALUE"""),4.0)</f>
        <v>4</v>
      </c>
      <c r="G29" s="17" t="str">
        <f>IFERROR(__xludf.DUMMYFUNCTION("""COMPUTED_VALUE"""),"Full Set")</f>
        <v>Full Set</v>
      </c>
      <c r="H29" s="260"/>
      <c r="I29" s="278" t="str">
        <f>IFERROR(__xludf.DUMMYFUNCTION("""COMPUTED_VALUE"""),"https://www.tiktok.com/@iraawt1_/video/7638597553306586389?is_from_webapp=1&amp;sender_device=pc")</f>
        <v>https://www.tiktok.com/@iraawt1_/video/7638597553306586389?is_from_webapp=1&amp;sender_device=pc</v>
      </c>
      <c r="J29" s="278" t="str">
        <f>IFERROR(__xludf.DUMMYFUNCTION("""COMPUTED_VALUE"""),"https://www.tiktok.com/@iraawt1_/video/7640356214366407957?is_from_webapp=1&amp;sender_device=pc")</f>
        <v>https://www.tiktok.com/@iraawt1_/video/7640356214366407957?is_from_webapp=1&amp;sender_device=pc</v>
      </c>
      <c r="K29" s="278" t="str">
        <f>IFERROR(__xludf.DUMMYFUNCTION("""COMPUTED_VALUE"""),"https://www.tiktok.com/@iraawt1_/video/7642706862411992340?is_from_webapp=1&amp;sender_device=pc")</f>
        <v>https://www.tiktok.com/@iraawt1_/video/7642706862411992340?is_from_webapp=1&amp;sender_device=pc</v>
      </c>
      <c r="L29" s="262"/>
      <c r="M29" s="262"/>
    </row>
    <row r="30">
      <c r="A30" s="255" t="str">
        <f>IFERROR(__xludf.DUMMYFUNCTION("""COMPUTED_VALUE"""),"MICRO")</f>
        <v>MICRO</v>
      </c>
      <c r="B30" s="23" t="str">
        <f>IFERROR(__xludf.DUMMYFUNCTION("""COMPUTED_VALUE"""),"roohaniaja")</f>
        <v>roohaniaja</v>
      </c>
      <c r="C30" s="257" t="str">
        <f>IFERROR(__xludf.DUMMYFUNCTION("""COMPUTED_VALUE"""),"https://www.tiktok.com/@roohaniaja")</f>
        <v>https://www.tiktok.com/@roohaniaja</v>
      </c>
      <c r="D30" s="23">
        <f>IFERROR(__xludf.DUMMYFUNCTION("""COMPUTED_VALUE"""),8.5960425445E10)</f>
        <v>85960425445</v>
      </c>
      <c r="E30" s="271">
        <f>IFERROR(__xludf.DUMMYFUNCTION("""COMPUTED_VALUE"""),0.0)</f>
        <v>0</v>
      </c>
      <c r="F30" s="270">
        <f>IFERROR(__xludf.DUMMYFUNCTION("""COMPUTED_VALUE"""),4.0)</f>
        <v>4</v>
      </c>
      <c r="G30" s="17" t="str">
        <f>IFERROR(__xludf.DUMMYFUNCTION("""COMPUTED_VALUE"""),"Full Set")</f>
        <v>Full Set</v>
      </c>
      <c r="H30" s="260"/>
      <c r="I30" s="262"/>
      <c r="J30" s="262"/>
      <c r="K30" s="262"/>
      <c r="L30" s="262"/>
      <c r="M30" s="262"/>
    </row>
    <row r="31">
      <c r="A31" s="255" t="str">
        <f>IFERROR(__xludf.DUMMYFUNCTION("""COMPUTED_VALUE"""),"NANO")</f>
        <v>NANO</v>
      </c>
      <c r="B31" s="23" t="str">
        <f>IFERROR(__xludf.DUMMYFUNCTION("""COMPUTED_VALUE"""),"Ila_zachra")</f>
        <v>Ila_zachra</v>
      </c>
      <c r="C31" s="257" t="str">
        <f>IFERROR(__xludf.DUMMYFUNCTION("""COMPUTED_VALUE"""),"https://www.tiktok.com/@Ila_zachra")</f>
        <v>https://www.tiktok.com/@Ila_zachra</v>
      </c>
      <c r="D31" s="23">
        <f>IFERROR(__xludf.DUMMYFUNCTION("""COMPUTED_VALUE"""),8.123644302E10)</f>
        <v>81236443020</v>
      </c>
      <c r="E31" s="271">
        <f>IFERROR(__xludf.DUMMYFUNCTION("""COMPUTED_VALUE"""),0.0)</f>
        <v>0</v>
      </c>
      <c r="F31" s="270">
        <f>IFERROR(__xludf.DUMMYFUNCTION("""COMPUTED_VALUE"""),4.0)</f>
        <v>4</v>
      </c>
      <c r="G31" s="17" t="str">
        <f>IFERROR(__xludf.DUMMYFUNCTION("""COMPUTED_VALUE"""),"Full Set")</f>
        <v>Full Set</v>
      </c>
      <c r="H31" s="260"/>
      <c r="I31" s="278" t="str">
        <f>IFERROR(__xludf.DUMMYFUNCTION("""COMPUTED_VALUE"""),"https://vt.tiktok.com/ZS9vrtQT1/")</f>
        <v>https://vt.tiktok.com/ZS9vrtQT1/</v>
      </c>
      <c r="J31" s="278" t="str">
        <f>IFERROR(__xludf.DUMMYFUNCTION("""COMPUTED_VALUE"""),"https://www.tiktok.com/@ila_zachra/video/7636645370281430279?is_from_webapp=1&amp;sender_device=pc")</f>
        <v>https://www.tiktok.com/@ila_zachra/video/7636645370281430279?is_from_webapp=1&amp;sender_device=pc</v>
      </c>
      <c r="K31" s="278" t="str">
        <f>IFERROR(__xludf.DUMMYFUNCTION("""COMPUTED_VALUE"""),"https://www.tiktok.com/@ila_zachra/video/7636927943452724488?is_from_webapp=1&amp;sender_device=pc")</f>
        <v>https://www.tiktok.com/@ila_zachra/video/7636927943452724488?is_from_webapp=1&amp;sender_device=pc</v>
      </c>
      <c r="L31" s="278" t="str">
        <f>IFERROR(__xludf.DUMMYFUNCTION("""COMPUTED_VALUE"""),"https://www.tiktok.com/@ila_zachra/video/7637664125920873746?is_from_webapp=1&amp;sender_device=pc")</f>
        <v>https://www.tiktok.com/@ila_zachra/video/7637664125920873746?is_from_webapp=1&amp;sender_device=pc</v>
      </c>
      <c r="M31" s="262"/>
    </row>
    <row r="32">
      <c r="A32" s="255" t="str">
        <f>IFERROR(__xludf.DUMMYFUNCTION("""COMPUTED_VALUE"""),"NANO")</f>
        <v>NANO</v>
      </c>
      <c r="B32" s="23" t="str">
        <f>IFERROR(__xludf.DUMMYFUNCTION("""COMPUTED_VALUE"""),"yenifaaaaa")</f>
        <v>yenifaaaaa</v>
      </c>
      <c r="C32" s="257" t="str">
        <f>IFERROR(__xludf.DUMMYFUNCTION("""COMPUTED_VALUE"""),"https://www.tiktok.com/@yenifaaaaa")</f>
        <v>https://www.tiktok.com/@yenifaaaaa</v>
      </c>
      <c r="D32" s="23">
        <f>IFERROR(__xludf.DUMMYFUNCTION("""COMPUTED_VALUE"""),8.972990889E9)</f>
        <v>8972990889</v>
      </c>
      <c r="E32" s="271">
        <f>IFERROR(__xludf.DUMMYFUNCTION("""COMPUTED_VALUE"""),0.0)</f>
        <v>0</v>
      </c>
      <c r="F32" s="270">
        <f>IFERROR(__xludf.DUMMYFUNCTION("""COMPUTED_VALUE"""),4.0)</f>
        <v>4</v>
      </c>
      <c r="G32" s="17" t="str">
        <f>IFERROR(__xludf.DUMMYFUNCTION("""COMPUTED_VALUE"""),"Full Set")</f>
        <v>Full Set</v>
      </c>
      <c r="H32" s="260"/>
      <c r="I32" s="278" t="str">
        <f>IFERROR(__xludf.DUMMYFUNCTION("""COMPUTED_VALUE"""),"https://www.tiktok.com/@yenifaaaaa/video/7639769336848190740?is_from_webapp=1&amp;sender_device=pc")</f>
        <v>https://www.tiktok.com/@yenifaaaaa/video/7639769336848190740?is_from_webapp=1&amp;sender_device=pc</v>
      </c>
      <c r="J32" s="278" t="str">
        <f>IFERROR(__xludf.DUMMYFUNCTION("""COMPUTED_VALUE"""),"https://www.tiktok.com/@yenifaaaaa/video/7643444695275736341?is_from_webapp=1&amp;sender_device=pc")</f>
        <v>https://www.tiktok.com/@yenifaaaaa/video/7643444695275736341?is_from_webapp=1&amp;sender_device=pc</v>
      </c>
      <c r="K32" s="262"/>
      <c r="L32" s="262"/>
      <c r="M32" s="262"/>
    </row>
    <row r="33">
      <c r="A33" s="255" t="str">
        <f>IFERROR(__xludf.DUMMYFUNCTION("""COMPUTED_VALUE"""),"NANO")</f>
        <v>NANO</v>
      </c>
      <c r="B33" s="23" t="str">
        <f>IFERROR(__xludf.DUMMYFUNCTION("""COMPUTED_VALUE"""),"mrs.sitinurlela")</f>
        <v>mrs.sitinurlela</v>
      </c>
      <c r="C33" s="257" t="str">
        <f>IFERROR(__xludf.DUMMYFUNCTION("""COMPUTED_VALUE"""),"https://www.tiktok.com/@mrs.sitinurlela")</f>
        <v>https://www.tiktok.com/@mrs.sitinurlela</v>
      </c>
      <c r="D33" s="23">
        <f>IFERROR(__xludf.DUMMYFUNCTION("""COMPUTED_VALUE"""),8.95403293485E11)</f>
        <v>895403293485</v>
      </c>
      <c r="E33" s="271">
        <f>IFERROR(__xludf.DUMMYFUNCTION("""COMPUTED_VALUE"""),0.0)</f>
        <v>0</v>
      </c>
      <c r="F33" s="270">
        <f>IFERROR(__xludf.DUMMYFUNCTION("""COMPUTED_VALUE"""),4.0)</f>
        <v>4</v>
      </c>
      <c r="G33" s="17" t="str">
        <f>IFERROR(__xludf.DUMMYFUNCTION("""COMPUTED_VALUE"""),"Full Set")</f>
        <v>Full Set</v>
      </c>
      <c r="H33" s="260"/>
      <c r="I33" s="278" t="str">
        <f>IFERROR(__xludf.DUMMYFUNCTION("""COMPUTED_VALUE"""),"https://vt.tiktok.com/ZS9pDSR1k/")</f>
        <v>https://vt.tiktok.com/ZS9pDSR1k/</v>
      </c>
      <c r="J33" s="278" t="str">
        <f>IFERROR(__xludf.DUMMYFUNCTION("""COMPUTED_VALUE"""),"https://www.tiktok.com/@mrs.sitinurlela/video/7638855699451088148?is_from_webapp=1&amp;sender_device=pc")</f>
        <v>https://www.tiktok.com/@mrs.sitinurlela/video/7638855699451088148?is_from_webapp=1&amp;sender_device=pc</v>
      </c>
      <c r="K33" s="262"/>
      <c r="L33" s="262"/>
      <c r="M33" s="262"/>
    </row>
    <row r="34">
      <c r="A34" s="255" t="str">
        <f>IFERROR(__xludf.DUMMYFUNCTION("""COMPUTED_VALUE"""),"NANO")</f>
        <v>NANO</v>
      </c>
      <c r="B34" s="23" t="str">
        <f>IFERROR(__xludf.DUMMYFUNCTION("""COMPUTED_VALUE"""),"megha.nrsptr_")</f>
        <v>megha.nrsptr_</v>
      </c>
      <c r="C34" s="257" t="str">
        <f>IFERROR(__xludf.DUMMYFUNCTION("""COMPUTED_VALUE"""),"https://www.tiktok.com/@megha.nrsptr_")</f>
        <v>https://www.tiktok.com/@megha.nrsptr_</v>
      </c>
      <c r="D34" s="23">
        <f>IFERROR(__xludf.DUMMYFUNCTION("""COMPUTED_VALUE"""),8.1553524368E10)</f>
        <v>81553524368</v>
      </c>
      <c r="E34" s="271">
        <f>IFERROR(__xludf.DUMMYFUNCTION("""COMPUTED_VALUE"""),0.0)</f>
        <v>0</v>
      </c>
      <c r="F34" s="270">
        <f>IFERROR(__xludf.DUMMYFUNCTION("""COMPUTED_VALUE"""),4.0)</f>
        <v>4</v>
      </c>
      <c r="G34" s="17" t="str">
        <f>IFERROR(__xludf.DUMMYFUNCTION("""COMPUTED_VALUE"""),"Full Set")</f>
        <v>Full Set</v>
      </c>
      <c r="H34" s="260"/>
      <c r="I34" s="278" t="str">
        <f>IFERROR(__xludf.DUMMYFUNCTION("""COMPUTED_VALUE"""),"https://www.tiktok.com/@megha.nrsptr_/video/7639653696682462484?is_from_webapp=1&amp;sender_device=pc")</f>
        <v>https://www.tiktok.com/@megha.nrsptr_/video/7639653696682462484?is_from_webapp=1&amp;sender_device=pc</v>
      </c>
      <c r="J34" s="278" t="str">
        <f>IFERROR(__xludf.DUMMYFUNCTION("""COMPUTED_VALUE"""),"https://www.tiktok.com/@megha.nrsptr_/video/7639727954968382740?is_from_webapp=1&amp;sender_device=pc")</f>
        <v>https://www.tiktok.com/@megha.nrsptr_/video/7639727954968382740?is_from_webapp=1&amp;sender_device=pc</v>
      </c>
      <c r="K34" s="278" t="str">
        <f>IFERROR(__xludf.DUMMYFUNCTION("""COMPUTED_VALUE"""),"https://www.tiktok.com/@megha.nrsptr_/video/7640123103732976916?is_from_webapp=1&amp;sender_device=pc")</f>
        <v>https://www.tiktok.com/@megha.nrsptr_/video/7640123103732976916?is_from_webapp=1&amp;sender_device=pc</v>
      </c>
      <c r="L34" s="262"/>
      <c r="M34" s="262"/>
    </row>
    <row r="35">
      <c r="A35" s="255" t="str">
        <f>IFERROR(__xludf.DUMMYFUNCTION("""COMPUTED_VALUE"""),"NANO")</f>
        <v>NANO</v>
      </c>
      <c r="B35" s="23" t="str">
        <f>IFERROR(__xludf.DUMMYFUNCTION("""COMPUTED_VALUE"""),"erlinvindiawati")</f>
        <v>erlinvindiawati</v>
      </c>
      <c r="C35" s="257" t="str">
        <f>IFERROR(__xludf.DUMMYFUNCTION("""COMPUTED_VALUE"""),"https://www.tiktok.com/@erlinvindiawati")</f>
        <v>https://www.tiktok.com/@erlinvindiawati</v>
      </c>
      <c r="D35" s="23">
        <f>IFERROR(__xludf.DUMMYFUNCTION("""COMPUTED_VALUE"""),8.1294233978E10)</f>
        <v>81294233978</v>
      </c>
      <c r="E35" s="271">
        <f>IFERROR(__xludf.DUMMYFUNCTION("""COMPUTED_VALUE"""),0.0)</f>
        <v>0</v>
      </c>
      <c r="F35" s="270">
        <f>IFERROR(__xludf.DUMMYFUNCTION("""COMPUTED_VALUE"""),4.0)</f>
        <v>4</v>
      </c>
      <c r="G35" s="17" t="str">
        <f>IFERROR(__xludf.DUMMYFUNCTION("""COMPUTED_VALUE"""),"Full Set")</f>
        <v>Full Set</v>
      </c>
      <c r="H35" s="260"/>
      <c r="I35" s="278" t="str">
        <f>IFERROR(__xludf.DUMMYFUNCTION("""COMPUTED_VALUE"""),"https://www.tiktok.com/@erlinvindiawati/video/7643452620547460372?is_from_webapp=1&amp;sender_device=pc")</f>
        <v>https://www.tiktok.com/@erlinvindiawati/video/7643452620547460372?is_from_webapp=1&amp;sender_device=pc</v>
      </c>
      <c r="J35" s="262"/>
      <c r="K35" s="262"/>
      <c r="L35" s="262"/>
      <c r="M35" s="262"/>
    </row>
    <row r="36">
      <c r="A36" s="255" t="str">
        <f>IFERROR(__xludf.DUMMYFUNCTION("""COMPUTED_VALUE"""),"NANO")</f>
        <v>NANO</v>
      </c>
      <c r="B36" s="23" t="str">
        <f>IFERROR(__xludf.DUMMYFUNCTION("""COMPUTED_VALUE"""),"ervnptri")</f>
        <v>ervnptri</v>
      </c>
      <c r="C36" s="257" t="str">
        <f>IFERROR(__xludf.DUMMYFUNCTION("""COMPUTED_VALUE"""),"https://www.tiktok.com/@ervnptri")</f>
        <v>https://www.tiktok.com/@ervnptri</v>
      </c>
      <c r="D36" s="23">
        <f>IFERROR(__xludf.DUMMYFUNCTION("""COMPUTED_VALUE"""),8.5735539086E10)</f>
        <v>85735539086</v>
      </c>
      <c r="E36" s="457">
        <f>IFERROR(__xludf.DUMMYFUNCTION("""COMPUTED_VALUE"""),0.0)</f>
        <v>0</v>
      </c>
      <c r="F36" s="270">
        <f>IFERROR(__xludf.DUMMYFUNCTION("""COMPUTED_VALUE"""),4.0)</f>
        <v>4</v>
      </c>
      <c r="G36" s="17" t="str">
        <f>IFERROR(__xludf.DUMMYFUNCTION("""COMPUTED_VALUE"""),"Full Set")</f>
        <v>Full Set</v>
      </c>
      <c r="H36" s="260"/>
      <c r="I36" s="262"/>
      <c r="J36" s="262"/>
      <c r="K36" s="262"/>
      <c r="L36" s="262"/>
      <c r="M36" s="262"/>
    </row>
    <row r="37">
      <c r="A37" s="255" t="str">
        <f>IFERROR(__xludf.DUMMYFUNCTION("""COMPUTED_VALUE"""),"NANO")</f>
        <v>NANO</v>
      </c>
      <c r="B37" s="23" t="str">
        <f>IFERROR(__xludf.DUMMYFUNCTION("""COMPUTED_VALUE"""),"4ilha14")</f>
        <v>4ilha14</v>
      </c>
      <c r="C37" s="257" t="str">
        <f>IFERROR(__xludf.DUMMYFUNCTION("""COMPUTED_VALUE"""),"https://www.tiktok.com/@4ilha14")</f>
        <v>https://www.tiktok.com/@4ilha14</v>
      </c>
      <c r="D37" s="23">
        <f>IFERROR(__xludf.DUMMYFUNCTION("""COMPUTED_VALUE"""),8.2349417464E10)</f>
        <v>82349417464</v>
      </c>
      <c r="E37" s="457">
        <f>IFERROR(__xludf.DUMMYFUNCTION("""COMPUTED_VALUE"""),0.0)</f>
        <v>0</v>
      </c>
      <c r="F37" s="270">
        <f>IFERROR(__xludf.DUMMYFUNCTION("""COMPUTED_VALUE"""),4.0)</f>
        <v>4</v>
      </c>
      <c r="G37" s="17" t="str">
        <f>IFERROR(__xludf.DUMMYFUNCTION("""COMPUTED_VALUE"""),"Full Set")</f>
        <v>Full Set</v>
      </c>
      <c r="H37" s="260"/>
      <c r="I37" s="262"/>
      <c r="J37" s="262"/>
      <c r="K37" s="262"/>
      <c r="L37" s="262"/>
      <c r="M37" s="262"/>
    </row>
    <row r="38">
      <c r="A38" s="255" t="str">
        <f>IFERROR(__xludf.DUMMYFUNCTION("""COMPUTED_VALUE"""),"NANO")</f>
        <v>NANO</v>
      </c>
      <c r="B38" s="23" t="str">
        <f>IFERROR(__xludf.DUMMYFUNCTION("""COMPUTED_VALUE"""),"aijooleea")</f>
        <v>aijooleea</v>
      </c>
      <c r="C38" s="257" t="str">
        <f>IFERROR(__xludf.DUMMYFUNCTION("""COMPUTED_VALUE"""),"https://www.tiktok.com/@aijooleea")</f>
        <v>https://www.tiktok.com/@aijooleea</v>
      </c>
      <c r="D38" s="23">
        <f>IFERROR(__xludf.DUMMYFUNCTION("""COMPUTED_VALUE"""),8.1268867269E10)</f>
        <v>81268867269</v>
      </c>
      <c r="E38" s="457">
        <f>IFERROR(__xludf.DUMMYFUNCTION("""COMPUTED_VALUE"""),0.0)</f>
        <v>0</v>
      </c>
      <c r="F38" s="270">
        <f>IFERROR(__xludf.DUMMYFUNCTION("""COMPUTED_VALUE"""),4.0)</f>
        <v>4</v>
      </c>
      <c r="G38" s="17" t="str">
        <f>IFERROR(__xludf.DUMMYFUNCTION("""COMPUTED_VALUE"""),"Full Set")</f>
        <v>Full Set</v>
      </c>
      <c r="H38" s="17"/>
      <c r="I38" s="278" t="str">
        <f>IFERROR(__xludf.DUMMYFUNCTION("""COMPUTED_VALUE"""),"https://vt.tiktok.com/ZS9V2W8hy/")</f>
        <v>https://vt.tiktok.com/ZS9V2W8hy/</v>
      </c>
      <c r="J38" s="278" t="str">
        <f>IFERROR(__xludf.DUMMYFUNCTION("""COMPUTED_VALUE"""),"https://vt.tiktok.com/ZS9gCNv3k/")</f>
        <v>https://vt.tiktok.com/ZS9gCNv3k/</v>
      </c>
      <c r="K38" s="278" t="str">
        <f>IFERROR(__xludf.DUMMYFUNCTION("""COMPUTED_VALUE"""),"https://www.tiktok.com/@aijooleea/video/7637434222117981460?is_from_webapp=1&amp;sender_device=pc")</f>
        <v>https://www.tiktok.com/@aijooleea/video/7637434222117981460?is_from_webapp=1&amp;sender_device=pc</v>
      </c>
      <c r="L38" s="278" t="str">
        <f>IFERROR(__xludf.DUMMYFUNCTION("""COMPUTED_VALUE"""),"https://www.tiktok.com/@aijooleea/video/7637801641609055508?is_from_webapp=1&amp;sender_device=pc")</f>
        <v>https://www.tiktok.com/@aijooleea/video/7637801641609055508?is_from_webapp=1&amp;sender_device=pc</v>
      </c>
      <c r="M38" s="262"/>
    </row>
    <row r="39">
      <c r="A39" s="255" t="str">
        <f>IFERROR(__xludf.DUMMYFUNCTION("""COMPUTED_VALUE"""),"NANO")</f>
        <v>NANO</v>
      </c>
      <c r="B39" s="23" t="str">
        <f>IFERROR(__xludf.DUMMYFUNCTION("""COMPUTED_VALUE"""),"rsm_amalia9")</f>
        <v>rsm_amalia9</v>
      </c>
      <c r="C39" s="257" t="str">
        <f>IFERROR(__xludf.DUMMYFUNCTION("""COMPUTED_VALUE"""),"https://www.tiktok.com/@rsm_amalia9")</f>
        <v>https://www.tiktok.com/@rsm_amalia9</v>
      </c>
      <c r="D39" s="23">
        <f>IFERROR(__xludf.DUMMYFUNCTION("""COMPUTED_VALUE"""),8.9507456156E10)</f>
        <v>89507456156</v>
      </c>
      <c r="E39" s="457">
        <f>IFERROR(__xludf.DUMMYFUNCTION("""COMPUTED_VALUE"""),0.0)</f>
        <v>0</v>
      </c>
      <c r="F39" s="270">
        <f>IFERROR(__xludf.DUMMYFUNCTION("""COMPUTED_VALUE"""),4.0)</f>
        <v>4</v>
      </c>
      <c r="G39" s="17" t="str">
        <f>IFERROR(__xludf.DUMMYFUNCTION("""COMPUTED_VALUE"""),"Full Set")</f>
        <v>Full Set</v>
      </c>
      <c r="H39" s="17"/>
      <c r="I39" s="278" t="str">
        <f>IFERROR(__xludf.DUMMYFUNCTION("""COMPUTED_VALUE"""),"https://www.tiktok.com/@rsm_amalia9/video/7639281734969806100?is_from_webapp=1&amp;sender_device=pc")</f>
        <v>https://www.tiktok.com/@rsm_amalia9/video/7639281734969806100?is_from_webapp=1&amp;sender_device=pc</v>
      </c>
      <c r="J39" s="262"/>
      <c r="K39" s="262"/>
      <c r="L39" s="262"/>
      <c r="M39" s="262"/>
    </row>
    <row r="40">
      <c r="A40" s="255" t="str">
        <f>IFERROR(__xludf.DUMMYFUNCTION("""COMPUTED_VALUE"""),"NANO")</f>
        <v>NANO</v>
      </c>
      <c r="B40" s="23" t="str">
        <f>IFERROR(__xludf.DUMMYFUNCTION("""COMPUTED_VALUE"""),"Egigitya")</f>
        <v>Egigitya</v>
      </c>
      <c r="C40" s="257" t="str">
        <f>IFERROR(__xludf.DUMMYFUNCTION("""COMPUTED_VALUE"""),"https://www.tiktok.com/@Egigitya")</f>
        <v>https://www.tiktok.com/@Egigitya</v>
      </c>
      <c r="D40" s="23">
        <f>IFERROR(__xludf.DUMMYFUNCTION("""COMPUTED_VALUE"""),8.5381598075E10)</f>
        <v>85381598075</v>
      </c>
      <c r="E40" s="457">
        <f>IFERROR(__xludf.DUMMYFUNCTION("""COMPUTED_VALUE"""),0.0)</f>
        <v>0</v>
      </c>
      <c r="F40" s="270">
        <f>IFERROR(__xludf.DUMMYFUNCTION("""COMPUTED_VALUE"""),4.0)</f>
        <v>4</v>
      </c>
      <c r="G40" s="17" t="str">
        <f>IFERROR(__xludf.DUMMYFUNCTION("""COMPUTED_VALUE"""),"Full Set")</f>
        <v>Full Set</v>
      </c>
      <c r="H40" s="17"/>
      <c r="I40" s="262"/>
      <c r="J40" s="262"/>
      <c r="K40" s="262"/>
      <c r="L40" s="262"/>
      <c r="M40" s="262"/>
    </row>
    <row r="41">
      <c r="A41" s="255" t="str">
        <f>IFERROR(__xludf.DUMMYFUNCTION("""COMPUTED_VALUE"""),"NANO")</f>
        <v>NANO</v>
      </c>
      <c r="B41" s="23" t="str">
        <f>IFERROR(__xludf.DUMMYFUNCTION("""COMPUTED_VALUE"""),"Meivizar")</f>
        <v>Meivizar</v>
      </c>
      <c r="C41" s="257" t="str">
        <f>IFERROR(__xludf.DUMMYFUNCTION("""COMPUTED_VALUE"""),"https://www.tiktok.com/@Meivizar")</f>
        <v>https://www.tiktok.com/@Meivizar</v>
      </c>
      <c r="D41" s="23">
        <f>IFERROR(__xludf.DUMMYFUNCTION("""COMPUTED_VALUE"""),8.9628993885E10)</f>
        <v>89628993885</v>
      </c>
      <c r="E41" s="457">
        <f>IFERROR(__xludf.DUMMYFUNCTION("""COMPUTED_VALUE"""),0.0)</f>
        <v>0</v>
      </c>
      <c r="F41" s="270">
        <f>IFERROR(__xludf.DUMMYFUNCTION("""COMPUTED_VALUE"""),4.0)</f>
        <v>4</v>
      </c>
      <c r="G41" s="17" t="str">
        <f>IFERROR(__xludf.DUMMYFUNCTION("""COMPUTED_VALUE"""),"Full Set")</f>
        <v>Full Set</v>
      </c>
      <c r="H41" s="17"/>
      <c r="I41" s="262"/>
      <c r="J41" s="262"/>
      <c r="K41" s="262"/>
      <c r="L41" s="262"/>
      <c r="M41" s="262"/>
    </row>
    <row r="42">
      <c r="A42" s="255" t="str">
        <f>IFERROR(__xludf.DUMMYFUNCTION("""COMPUTED_VALUE"""),"NANO")</f>
        <v>NANO</v>
      </c>
      <c r="B42" s="23" t="str">
        <f>IFERROR(__xludf.DUMMYFUNCTION("""COMPUTED_VALUE"""),"Aquagurls4")</f>
        <v>Aquagurls4</v>
      </c>
      <c r="C42" s="257" t="str">
        <f>IFERROR(__xludf.DUMMYFUNCTION("""COMPUTED_VALUE"""),"https://www.tiktok.com/@Aquagurls4")</f>
        <v>https://www.tiktok.com/@Aquagurls4</v>
      </c>
      <c r="D42" s="23">
        <f>IFERROR(__xludf.DUMMYFUNCTION("""COMPUTED_VALUE"""),8.5886861121E10)</f>
        <v>85886861121</v>
      </c>
      <c r="E42" s="457">
        <f>IFERROR(__xludf.DUMMYFUNCTION("""COMPUTED_VALUE"""),0.0)</f>
        <v>0</v>
      </c>
      <c r="F42" s="270">
        <f>IFERROR(__xludf.DUMMYFUNCTION("""COMPUTED_VALUE"""),4.0)</f>
        <v>4</v>
      </c>
      <c r="G42" s="17" t="str">
        <f>IFERROR(__xludf.DUMMYFUNCTION("""COMPUTED_VALUE"""),"Full Set")</f>
        <v>Full Set</v>
      </c>
      <c r="H42" s="17"/>
      <c r="I42" s="278" t="str">
        <f>IFERROR(__xludf.DUMMYFUNCTION("""COMPUTED_VALUE"""),"https://www.tiktok.com/@aquagurls4/video/7637010833813327125?is_from_webapp=1&amp;sender_device=pc")</f>
        <v>https://www.tiktok.com/@aquagurls4/video/7637010833813327125?is_from_webapp=1&amp;sender_device=pc</v>
      </c>
      <c r="J42" s="278" t="str">
        <f>IFERROR(__xludf.DUMMYFUNCTION("""COMPUTED_VALUE"""),"https://www.tiktok.com/@aquagurls4/video/7637791876011248916?is_from_webapp=1&amp;sender_device=pc")</f>
        <v>https://www.tiktok.com/@aquagurls4/video/7637791876011248916?is_from_webapp=1&amp;sender_device=pc</v>
      </c>
      <c r="K42" s="278" t="str">
        <f>IFERROR(__xludf.DUMMYFUNCTION("""COMPUTED_VALUE"""),"https://www.tiktok.com/@aquagurls4/video/7639431099755629844?is_from_webapp=1&amp;sender_device=pc")</f>
        <v>https://www.tiktok.com/@aquagurls4/video/7639431099755629844?is_from_webapp=1&amp;sender_device=pc</v>
      </c>
      <c r="L42" s="278" t="str">
        <f>IFERROR(__xludf.DUMMYFUNCTION("""COMPUTED_VALUE"""),"https://vt.tiktok.com/ZSxgF3QuF/")</f>
        <v>https://vt.tiktok.com/ZSxgF3QuF/</v>
      </c>
      <c r="M42" s="262"/>
    </row>
    <row r="43">
      <c r="A43" s="255" t="str">
        <f>IFERROR(__xludf.DUMMYFUNCTION("""COMPUTED_VALUE"""),"NANO")</f>
        <v>NANO</v>
      </c>
      <c r="B43" s="23" t="str">
        <f>IFERROR(__xludf.DUMMYFUNCTION("""COMPUTED_VALUE"""),"akuuyay")</f>
        <v>akuuyay</v>
      </c>
      <c r="C43" s="257" t="str">
        <f>IFERROR(__xludf.DUMMYFUNCTION("""COMPUTED_VALUE"""),"https://www.tiktok.com/@akuuyay")</f>
        <v>https://www.tiktok.com/@akuuyay</v>
      </c>
      <c r="D43" s="23">
        <f>IFERROR(__xludf.DUMMYFUNCTION("""COMPUTED_VALUE"""),8.3282043539E10)</f>
        <v>83282043539</v>
      </c>
      <c r="E43" s="457">
        <f>IFERROR(__xludf.DUMMYFUNCTION("""COMPUTED_VALUE"""),0.0)</f>
        <v>0</v>
      </c>
      <c r="F43" s="270">
        <f>IFERROR(__xludf.DUMMYFUNCTION("""COMPUTED_VALUE"""),4.0)</f>
        <v>4</v>
      </c>
      <c r="G43" s="17" t="str">
        <f>IFERROR(__xludf.DUMMYFUNCTION("""COMPUTED_VALUE"""),"Full Set")</f>
        <v>Full Set</v>
      </c>
      <c r="H43" s="17"/>
      <c r="I43" s="278" t="str">
        <f>IFERROR(__xludf.DUMMYFUNCTION("""COMPUTED_VALUE"""),"https://www.tiktok.com/@akuuyay/video/7637385117912009991?is_from_webapp=1&amp;sender_device=pc&amp;web_id=7529345225590146568")</f>
        <v>https://www.tiktok.com/@akuuyay/video/7637385117912009991?is_from_webapp=1&amp;sender_device=pc&amp;web_id=7529345225590146568</v>
      </c>
      <c r="J43" s="278" t="str">
        <f>IFERROR(__xludf.DUMMYFUNCTION("""COMPUTED_VALUE"""),"https://www.tiktok.com/@akuuyay/video/7640675285830225170?is_from_webapp=1&amp;sender_device=pc")</f>
        <v>https://www.tiktok.com/@akuuyay/video/7640675285830225170?is_from_webapp=1&amp;sender_device=pc</v>
      </c>
      <c r="K43" s="278" t="str">
        <f>IFERROR(__xludf.DUMMYFUNCTION("""COMPUTED_VALUE"""),"https://www.tiktok.com/@akuuyay/video/7641514122651192584?is_from_webapp=1&amp;sender_device=pc")</f>
        <v>https://www.tiktok.com/@akuuyay/video/7641514122651192584?is_from_webapp=1&amp;sender_device=pc</v>
      </c>
      <c r="L43" s="278" t="str">
        <f>IFERROR(__xludf.DUMMYFUNCTION("""COMPUTED_VALUE"""),"https://vt.tiktok.com/ZSxwFf7mk/")</f>
        <v>https://vt.tiktok.com/ZSxwFf7mk/</v>
      </c>
      <c r="M43" s="262"/>
    </row>
    <row r="44">
      <c r="A44" s="255" t="str">
        <f>IFERROR(__xludf.DUMMYFUNCTION("""COMPUTED_VALUE"""),"NANO")</f>
        <v>NANO</v>
      </c>
      <c r="B44" s="23" t="str">
        <f>IFERROR(__xludf.DUMMYFUNCTION("""COMPUTED_VALUE"""),"nurulaini280902")</f>
        <v>nurulaini280902</v>
      </c>
      <c r="C44" s="257" t="str">
        <f>IFERROR(__xludf.DUMMYFUNCTION("""COMPUTED_VALUE"""),"https://www.tiktok.com/@nurulaini280902")</f>
        <v>https://www.tiktok.com/@nurulaini280902</v>
      </c>
      <c r="D44" s="23">
        <f>IFERROR(__xludf.DUMMYFUNCTION("""COMPUTED_VALUE"""),8.2325887147E10)</f>
        <v>82325887147</v>
      </c>
      <c r="E44" s="457">
        <f>IFERROR(__xludf.DUMMYFUNCTION("""COMPUTED_VALUE"""),0.0)</f>
        <v>0</v>
      </c>
      <c r="F44" s="270">
        <f>IFERROR(__xludf.DUMMYFUNCTION("""COMPUTED_VALUE"""),4.0)</f>
        <v>4</v>
      </c>
      <c r="G44" s="17" t="str">
        <f>IFERROR(__xludf.DUMMYFUNCTION("""COMPUTED_VALUE"""),"Full Set")</f>
        <v>Full Set</v>
      </c>
      <c r="H44" s="17"/>
      <c r="I44" s="278" t="str">
        <f>IFERROR(__xludf.DUMMYFUNCTION("""COMPUTED_VALUE"""),"https://vt.tiktok.com/ZS9n57eT5/")</f>
        <v>https://vt.tiktok.com/ZS9n57eT5/</v>
      </c>
      <c r="J44" s="278" t="str">
        <f>IFERROR(__xludf.DUMMYFUNCTION("""COMPUTED_VALUE"""),"https://www.tiktok.com/@nurulaini280902/video/7638547039084662033?is_from_webapp=1&amp;sender_device=pc")</f>
        <v>https://www.tiktok.com/@nurulaini280902/video/7638547039084662033?is_from_webapp=1&amp;sender_device=pc</v>
      </c>
      <c r="K44" s="278" t="str">
        <f>IFERROR(__xludf.DUMMYFUNCTION("""COMPUTED_VALUE"""),"https://www.tiktok.com/@nurulaini280902/video/7639573132172381456?is_from_webapp=1&amp;sender_device=pc")</f>
        <v>https://www.tiktok.com/@nurulaini280902/video/7639573132172381456?is_from_webapp=1&amp;sender_device=pc</v>
      </c>
      <c r="L44" s="278" t="str">
        <f>IFERROR(__xludf.DUMMYFUNCTION("""COMPUTED_VALUE"""),"https://www.tiktok.com/@nurulaini280902/video/7641567650140687617?is_from_webapp=1&amp;sender_device=pc")</f>
        <v>https://www.tiktok.com/@nurulaini280902/video/7641567650140687617?is_from_webapp=1&amp;sender_device=pc</v>
      </c>
      <c r="M44" s="262"/>
    </row>
    <row r="45">
      <c r="A45" s="255" t="str">
        <f>IFERROR(__xludf.DUMMYFUNCTION("""COMPUTED_VALUE"""),"NANO")</f>
        <v>NANO</v>
      </c>
      <c r="B45" s="23" t="str">
        <f>IFERROR(__xludf.DUMMYFUNCTION("""COMPUTED_VALUE"""),"Mariyakahono")</f>
        <v>Mariyakahono</v>
      </c>
      <c r="C45" s="257" t="str">
        <f>IFERROR(__xludf.DUMMYFUNCTION("""COMPUTED_VALUE"""),"https://www.tiktok.com/@Mariyakahono")</f>
        <v>https://www.tiktok.com/@Mariyakahono</v>
      </c>
      <c r="D45" s="23">
        <f>IFERROR(__xludf.DUMMYFUNCTION("""COMPUTED_VALUE"""),8.976475273E9)</f>
        <v>8976475273</v>
      </c>
      <c r="E45" s="457">
        <f>IFERROR(__xludf.DUMMYFUNCTION("""COMPUTED_VALUE"""),0.0)</f>
        <v>0</v>
      </c>
      <c r="F45" s="270">
        <f>IFERROR(__xludf.DUMMYFUNCTION("""COMPUTED_VALUE"""),4.0)</f>
        <v>4</v>
      </c>
      <c r="G45" s="17" t="str">
        <f>IFERROR(__xludf.DUMMYFUNCTION("""COMPUTED_VALUE"""),"Full Set")</f>
        <v>Full Set</v>
      </c>
      <c r="H45" s="17"/>
      <c r="I45" s="278" t="str">
        <f>IFERROR(__xludf.DUMMYFUNCTION("""COMPUTED_VALUE"""),"https://www.tiktok.com/@mariyakahono/video/7638662147379039495?is_from_webapp=1&amp;sender_device=pc")</f>
        <v>https://www.tiktok.com/@mariyakahono/video/7638662147379039495?is_from_webapp=1&amp;sender_device=pc</v>
      </c>
      <c r="J45" s="278" t="str">
        <f>IFERROR(__xludf.DUMMYFUNCTION("""COMPUTED_VALUE"""),"https://www.tiktok.com/@mariyakahono/video/7639696511151901959?is_from_webapp=1&amp;sender_device=pc")</f>
        <v>https://www.tiktok.com/@mariyakahono/video/7639696511151901959?is_from_webapp=1&amp;sender_device=pc</v>
      </c>
      <c r="K45" s="278" t="str">
        <f>IFERROR(__xludf.DUMMYFUNCTION("""COMPUTED_VALUE"""),"https://www.tiktok.com/@mariyakahono/video/7640413865532214536?is_from_webapp=1&amp;sender_device=pc")</f>
        <v>https://www.tiktok.com/@mariyakahono/video/7640413865532214536?is_from_webapp=1&amp;sender_device=pc</v>
      </c>
      <c r="L45" s="278" t="str">
        <f>IFERROR(__xludf.DUMMYFUNCTION("""COMPUTED_VALUE"""),"https://www.tiktok.com/@mariyakahono/video/7642772610421427464?is_from_webapp=1&amp;sender_device=pc")</f>
        <v>https://www.tiktok.com/@mariyakahono/video/7642772610421427464?is_from_webapp=1&amp;sender_device=pc</v>
      </c>
      <c r="M45" s="262"/>
    </row>
    <row r="46">
      <c r="A46" s="255" t="str">
        <f>IFERROR(__xludf.DUMMYFUNCTION("""COMPUTED_VALUE"""),"NANO")</f>
        <v>NANO</v>
      </c>
      <c r="B46" s="23" t="str">
        <f>IFERROR(__xludf.DUMMYFUNCTION("""COMPUTED_VALUE"""),"hasanatul.amalia7")</f>
        <v>hasanatul.amalia7</v>
      </c>
      <c r="C46" s="257" t="str">
        <f>IFERROR(__xludf.DUMMYFUNCTION("""COMPUTED_VALUE"""),"https://www.tiktok.com/@hasanatul.amalia7")</f>
        <v>https://www.tiktok.com/@hasanatul.amalia7</v>
      </c>
      <c r="D46" s="23">
        <f>IFERROR(__xludf.DUMMYFUNCTION("""COMPUTED_VALUE"""),8.124640795E10)</f>
        <v>81246407950</v>
      </c>
      <c r="E46" s="457">
        <f>IFERROR(__xludf.DUMMYFUNCTION("""COMPUTED_VALUE"""),0.0)</f>
        <v>0</v>
      </c>
      <c r="F46" s="270">
        <f>IFERROR(__xludf.DUMMYFUNCTION("""COMPUTED_VALUE"""),4.0)</f>
        <v>4</v>
      </c>
      <c r="G46" s="17" t="str">
        <f>IFERROR(__xludf.DUMMYFUNCTION("""COMPUTED_VALUE"""),"Full Set")</f>
        <v>Full Set</v>
      </c>
      <c r="H46" s="17"/>
      <c r="I46" s="278" t="str">
        <f>IFERROR(__xludf.DUMMYFUNCTION("""COMPUTED_VALUE"""),"https://vt.tiktok.com/ZS9cgNTkv/")</f>
        <v>https://vt.tiktok.com/ZS9cgNTkv/</v>
      </c>
      <c r="J46" s="278" t="str">
        <f>IFERROR(__xludf.DUMMYFUNCTION("""COMPUTED_VALUE"""),"https://www.tiktok.com/@hasanatul.amalia7/video/7638365070476496135?is_from_webapp=1&amp;sender_device=pc")</f>
        <v>https://www.tiktok.com/@hasanatul.amalia7/video/7638365070476496135?is_from_webapp=1&amp;sender_device=pc</v>
      </c>
      <c r="K46" s="278" t="str">
        <f>IFERROR(__xludf.DUMMYFUNCTION("""COMPUTED_VALUE"""),"https://www.tiktok.com/@hasanatul.amalia7/video/7639034159490469138?is_from_webapp=1&amp;sender_device=pc")</f>
        <v>https://www.tiktok.com/@hasanatul.amalia7/video/7639034159490469138?is_from_webapp=1&amp;sender_device=pc</v>
      </c>
      <c r="L46" s="278" t="str">
        <f>IFERROR(__xludf.DUMMYFUNCTION("""COMPUTED_VALUE"""),"https://www.tiktok.com/@hasanatul.amalia7/video/7639389334386380040?is_from_webapp=1&amp;sender_device=pc")</f>
        <v>https://www.tiktok.com/@hasanatul.amalia7/video/7639389334386380040?is_from_webapp=1&amp;sender_device=pc</v>
      </c>
      <c r="M46" s="262"/>
    </row>
    <row r="47">
      <c r="A47" s="255" t="str">
        <f>IFERROR(__xludf.DUMMYFUNCTION("""COMPUTED_VALUE"""),"NANO")</f>
        <v>NANO</v>
      </c>
      <c r="B47" s="23" t="str">
        <f>IFERROR(__xludf.DUMMYFUNCTION("""COMPUTED_VALUE"""),"aquarius_mav.09")</f>
        <v>aquarius_mav.09</v>
      </c>
      <c r="C47" s="257" t="str">
        <f>IFERROR(__xludf.DUMMYFUNCTION("""COMPUTED_VALUE"""),"https://www.tiktok.com/@aquarius_mav.09")</f>
        <v>https://www.tiktok.com/@aquarius_mav.09</v>
      </c>
      <c r="D47" s="23">
        <f>IFERROR(__xludf.DUMMYFUNCTION("""COMPUTED_VALUE"""),8.129532932E10)</f>
        <v>81295329320</v>
      </c>
      <c r="E47" s="457">
        <f>IFERROR(__xludf.DUMMYFUNCTION("""COMPUTED_VALUE"""),0.0)</f>
        <v>0</v>
      </c>
      <c r="F47" s="270">
        <f>IFERROR(__xludf.DUMMYFUNCTION("""COMPUTED_VALUE"""),4.0)</f>
        <v>4</v>
      </c>
      <c r="G47" s="17" t="str">
        <f>IFERROR(__xludf.DUMMYFUNCTION("""COMPUTED_VALUE"""),"Full Set")</f>
        <v>Full Set</v>
      </c>
      <c r="H47" s="17"/>
      <c r="I47" s="278" t="str">
        <f>IFERROR(__xludf.DUMMYFUNCTION("""COMPUTED_VALUE"""),"https://vt.tiktok.com/ZS9pP74Hn/")</f>
        <v>https://vt.tiktok.com/ZS9pP74Hn/</v>
      </c>
      <c r="J47" s="278" t="str">
        <f>IFERROR(__xludf.DUMMYFUNCTION("""COMPUTED_VALUE"""),"https://vt.tiktok.com/ZS97jte3C/")</f>
        <v>https://vt.tiktok.com/ZS97jte3C/</v>
      </c>
      <c r="K47" s="278" t="str">
        <f>IFERROR(__xludf.DUMMYFUNCTION("""COMPUTED_VALUE"""),"https://vt.tiktok.com/ZSxrBKPh2/")</f>
        <v>https://vt.tiktok.com/ZSxrBKPh2/</v>
      </c>
      <c r="L47" s="262"/>
      <c r="M47" s="262"/>
    </row>
    <row r="48">
      <c r="A48" s="255" t="str">
        <f>IFERROR(__xludf.DUMMYFUNCTION("""COMPUTED_VALUE"""),"NANO")</f>
        <v>NANO</v>
      </c>
      <c r="B48" s="23" t="str">
        <f>IFERROR(__xludf.DUMMYFUNCTION("""COMPUTED_VALUE"""),"evaniesm")</f>
        <v>evaniesm</v>
      </c>
      <c r="C48" s="257" t="str">
        <f>IFERROR(__xludf.DUMMYFUNCTION("""COMPUTED_VALUE"""),"https://www.tiktok.com/@evaniesm")</f>
        <v>https://www.tiktok.com/@evaniesm</v>
      </c>
      <c r="D48" s="23">
        <f>IFERROR(__xludf.DUMMYFUNCTION("""COMPUTED_VALUE"""),8.5691292684E10)</f>
        <v>85691292684</v>
      </c>
      <c r="E48" s="457">
        <f>IFERROR(__xludf.DUMMYFUNCTION("""COMPUTED_VALUE"""),0.0)</f>
        <v>0</v>
      </c>
      <c r="F48" s="270">
        <f>IFERROR(__xludf.DUMMYFUNCTION("""COMPUTED_VALUE"""),4.0)</f>
        <v>4</v>
      </c>
      <c r="G48" s="17" t="str">
        <f>IFERROR(__xludf.DUMMYFUNCTION("""COMPUTED_VALUE"""),"Full Set")</f>
        <v>Full Set</v>
      </c>
      <c r="H48" s="17"/>
      <c r="I48" s="262"/>
      <c r="J48" s="262"/>
      <c r="K48" s="262"/>
      <c r="L48" s="262"/>
      <c r="M48" s="262"/>
    </row>
    <row r="49">
      <c r="A49" s="255" t="str">
        <f>IFERROR(__xludf.DUMMYFUNCTION("""COMPUTED_VALUE"""),"NANO")</f>
        <v>NANO</v>
      </c>
      <c r="B49" s="23" t="str">
        <f>IFERROR(__xludf.DUMMYFUNCTION("""COMPUTED_VALUE"""),"Piscesmarchlady")</f>
        <v>Piscesmarchlady</v>
      </c>
      <c r="C49" s="257" t="str">
        <f>IFERROR(__xludf.DUMMYFUNCTION("""COMPUTED_VALUE"""),"https://www.tiktok.com/@Piscesmarchlady")</f>
        <v>https://www.tiktok.com/@Piscesmarchlady</v>
      </c>
      <c r="D49" s="23">
        <f>IFERROR(__xludf.DUMMYFUNCTION("""COMPUTED_VALUE"""),8.970022298E9)</f>
        <v>8970022298</v>
      </c>
      <c r="E49" s="457">
        <f>IFERROR(__xludf.DUMMYFUNCTION("""COMPUTED_VALUE"""),0.0)</f>
        <v>0</v>
      </c>
      <c r="F49" s="270">
        <f>IFERROR(__xludf.DUMMYFUNCTION("""COMPUTED_VALUE"""),4.0)</f>
        <v>4</v>
      </c>
      <c r="G49" s="17" t="str">
        <f>IFERROR(__xludf.DUMMYFUNCTION("""COMPUTED_VALUE"""),"Full Set")</f>
        <v>Full Set</v>
      </c>
      <c r="H49" s="17"/>
      <c r="I49" s="278" t="str">
        <f>IFERROR(__xludf.DUMMYFUNCTION("""COMPUTED_VALUE"""),"https://vt.tiktok.com/ZS9gJSac1/")</f>
        <v>https://vt.tiktok.com/ZS9gJSac1/</v>
      </c>
      <c r="J49" s="278" t="str">
        <f>IFERROR(__xludf.DUMMYFUNCTION("""COMPUTED_VALUE"""),"https://www.tiktok.com/@piscesmarchlady/video/7636688057978080533?is_from_webapp=1&amp;sender_device=pc")</f>
        <v>https://www.tiktok.com/@piscesmarchlady/video/7636688057978080533?is_from_webapp=1&amp;sender_device=pc</v>
      </c>
      <c r="K49" s="278" t="str">
        <f>IFERROR(__xludf.DUMMYFUNCTION("""COMPUTED_VALUE"""),"https://www.tiktok.com/@piscesmarchlady/video/7636856034048462100?is_from_webapp=1&amp;sender_device=pc")</f>
        <v>https://www.tiktok.com/@piscesmarchlady/video/7636856034048462100?is_from_webapp=1&amp;sender_device=pc</v>
      </c>
      <c r="L49" s="278" t="str">
        <f>IFERROR(__xludf.DUMMYFUNCTION("""COMPUTED_VALUE"""),"https://www.tiktok.com/@piscesmarchlady/video/7638838673097723156?is_from_webapp=1&amp;sender_device=pc")</f>
        <v>https://www.tiktok.com/@piscesmarchlady/video/7638838673097723156?is_from_webapp=1&amp;sender_device=pc</v>
      </c>
      <c r="M49" s="262"/>
    </row>
    <row r="50">
      <c r="A50" s="255" t="str">
        <f>IFERROR(__xludf.DUMMYFUNCTION("""COMPUTED_VALUE"""),"NANO")</f>
        <v>NANO</v>
      </c>
      <c r="B50" s="23" t="str">
        <f>IFERROR(__xludf.DUMMYFUNCTION("""COMPUTED_VALUE"""),"siopettttt____")</f>
        <v>siopettttt____</v>
      </c>
      <c r="C50" s="257" t="str">
        <f>IFERROR(__xludf.DUMMYFUNCTION("""COMPUTED_VALUE"""),"https://www.tiktok.com/@siopettttt____")</f>
        <v>https://www.tiktok.com/@siopettttt____</v>
      </c>
      <c r="D50" s="23">
        <f>IFERROR(__xludf.DUMMYFUNCTION("""COMPUTED_VALUE"""),8.5780214219E10)</f>
        <v>85780214219</v>
      </c>
      <c r="E50" s="457">
        <f>IFERROR(__xludf.DUMMYFUNCTION("""COMPUTED_VALUE"""),0.0)</f>
        <v>0</v>
      </c>
      <c r="F50" s="270">
        <f>IFERROR(__xludf.DUMMYFUNCTION("""COMPUTED_VALUE"""),4.0)</f>
        <v>4</v>
      </c>
      <c r="G50" s="17" t="str">
        <f>IFERROR(__xludf.DUMMYFUNCTION("""COMPUTED_VALUE"""),"Full Set")</f>
        <v>Full Set</v>
      </c>
      <c r="H50" s="17"/>
      <c r="I50" s="278" t="str">
        <f>IFERROR(__xludf.DUMMYFUNCTION("""COMPUTED_VALUE"""),"https://vt.tiktok.com/ZS9bJLPsy/")</f>
        <v>https://vt.tiktok.com/ZS9bJLPsy/</v>
      </c>
      <c r="J50" s="278" t="str">
        <f>IFERROR(__xludf.DUMMYFUNCTION("""COMPUTED_VALUE"""),"https://www.tiktok.com/@siopettttt____/video/7638569819821935890?is_from_webapp=1&amp;sender_device=pc")</f>
        <v>https://www.tiktok.com/@siopettttt____/video/7638569819821935890?is_from_webapp=1&amp;sender_device=pc</v>
      </c>
      <c r="K50" s="278" t="str">
        <f>IFERROR(__xludf.DUMMYFUNCTION("""COMPUTED_VALUE"""),"https://www.tiktok.com/@siopettttt____/video/7642377184056823058?is_from_webapp=1&amp;sender_device=pc")</f>
        <v>https://www.tiktok.com/@siopettttt____/video/7642377184056823058?is_from_webapp=1&amp;sender_device=pc</v>
      </c>
      <c r="L50" s="278" t="str">
        <f>IFERROR(__xludf.DUMMYFUNCTION("""COMPUTED_VALUE"""),"https://vt.tiktok.com/ZSxc49VCr/")</f>
        <v>https://vt.tiktok.com/ZSxc49VCr/</v>
      </c>
      <c r="M50" s="262"/>
    </row>
    <row r="51">
      <c r="A51" s="255" t="str">
        <f>IFERROR(__xludf.DUMMYFUNCTION("""COMPUTED_VALUE"""),"NANO")</f>
        <v>NANO</v>
      </c>
      <c r="B51" s="23" t="str">
        <f>IFERROR(__xludf.DUMMYFUNCTION("""COMPUTED_VALUE"""),"Bemyung")</f>
        <v>Bemyung</v>
      </c>
      <c r="C51" s="257" t="str">
        <f>IFERROR(__xludf.DUMMYFUNCTION("""COMPUTED_VALUE"""),"https://www.tiktok.com/@Bemyung")</f>
        <v>https://www.tiktok.com/@Bemyung</v>
      </c>
      <c r="D51" s="23">
        <f>IFERROR(__xludf.DUMMYFUNCTION("""COMPUTED_VALUE"""),8.95326257145E11)</f>
        <v>895326257145</v>
      </c>
      <c r="E51" s="457">
        <f>IFERROR(__xludf.DUMMYFUNCTION("""COMPUTED_VALUE"""),0.0)</f>
        <v>0</v>
      </c>
      <c r="F51" s="270">
        <f>IFERROR(__xludf.DUMMYFUNCTION("""COMPUTED_VALUE"""),4.0)</f>
        <v>4</v>
      </c>
      <c r="G51" s="17" t="str">
        <f>IFERROR(__xludf.DUMMYFUNCTION("""COMPUTED_VALUE"""),"Full Set")</f>
        <v>Full Set</v>
      </c>
      <c r="H51" s="17"/>
      <c r="I51" s="262"/>
      <c r="J51" s="262"/>
      <c r="K51" s="262"/>
      <c r="L51" s="262"/>
      <c r="M51" s="262"/>
    </row>
    <row r="52">
      <c r="A52" s="255" t="str">
        <f>IFERROR(__xludf.DUMMYFUNCTION("""COMPUTED_VALUE"""),"NANO")</f>
        <v>NANO</v>
      </c>
      <c r="B52" s="23" t="str">
        <f>IFERROR(__xludf.DUMMYFUNCTION("""COMPUTED_VALUE"""),"kharinaya_putri25")</f>
        <v>kharinaya_putri25</v>
      </c>
      <c r="C52" s="257" t="str">
        <f>IFERROR(__xludf.DUMMYFUNCTION("""COMPUTED_VALUE"""),"https://www.tiktok.com/@kharinaya_putri25")</f>
        <v>https://www.tiktok.com/@kharinaya_putri25</v>
      </c>
      <c r="D52" s="23">
        <f>IFERROR(__xludf.DUMMYFUNCTION("""COMPUTED_VALUE"""),8.3873944621E10)</f>
        <v>83873944621</v>
      </c>
      <c r="E52" s="457">
        <f>IFERROR(__xludf.DUMMYFUNCTION("""COMPUTED_VALUE"""),0.0)</f>
        <v>0</v>
      </c>
      <c r="F52" s="270">
        <f>IFERROR(__xludf.DUMMYFUNCTION("""COMPUTED_VALUE"""),4.0)</f>
        <v>4</v>
      </c>
      <c r="G52" s="17" t="str">
        <f>IFERROR(__xludf.DUMMYFUNCTION("""COMPUTED_VALUE"""),"Full Set")</f>
        <v>Full Set</v>
      </c>
      <c r="H52" s="17"/>
      <c r="I52" s="278" t="str">
        <f>IFERROR(__xludf.DUMMYFUNCTION("""COMPUTED_VALUE"""),"https://vt.tiktok.com/ZS9pJb8yB/")</f>
        <v>https://vt.tiktok.com/ZS9pJb8yB/</v>
      </c>
      <c r="J52" s="278" t="str">
        <f>IFERROR(__xludf.DUMMYFUNCTION("""COMPUTED_VALUE"""),"https://www.tiktok.com/@kharinaya_putri25/video/7637014503317605653?is_from_webapp=1&amp;sender_device=pc")</f>
        <v>https://www.tiktok.com/@kharinaya_putri25/video/7637014503317605653?is_from_webapp=1&amp;sender_device=pc</v>
      </c>
      <c r="K52" s="278" t="str">
        <f>IFERROR(__xludf.DUMMYFUNCTION("""COMPUTED_VALUE"""),"https://www.tiktok.com/@kharinaya_putri25/video/7639913957733436692?is_from_webapp=1&amp;sender_device=pc")</f>
        <v>https://www.tiktok.com/@kharinaya_putri25/video/7639913957733436692?is_from_webapp=1&amp;sender_device=pc</v>
      </c>
      <c r="L52" s="278" t="str">
        <f>IFERROR(__xludf.DUMMYFUNCTION("""COMPUTED_VALUE"""),"https://www.tiktok.com/@kharinaya_putri25/video/7640326114111409428?is_from_webapp=1&amp;sender_device=pc")</f>
        <v>https://www.tiktok.com/@kharinaya_putri25/video/7640326114111409428?is_from_webapp=1&amp;sender_device=pc</v>
      </c>
      <c r="M52" s="262"/>
    </row>
    <row r="53">
      <c r="A53" s="255" t="str">
        <f>IFERROR(__xludf.DUMMYFUNCTION("""COMPUTED_VALUE"""),"NANO")</f>
        <v>NANO</v>
      </c>
      <c r="B53" s="23" t="str">
        <f>IFERROR(__xludf.DUMMYFUNCTION("""COMPUTED_VALUE"""),"urccharmmerr")</f>
        <v>urccharmmerr</v>
      </c>
      <c r="C53" s="257" t="str">
        <f>IFERROR(__xludf.DUMMYFUNCTION("""COMPUTED_VALUE"""),"https://www.tiktok.com/@urccharmmerr")</f>
        <v>https://www.tiktok.com/@urccharmmerr</v>
      </c>
      <c r="D53" s="23">
        <f>IFERROR(__xludf.DUMMYFUNCTION("""COMPUTED_VALUE"""),8.3121149677E10)</f>
        <v>83121149677</v>
      </c>
      <c r="E53" s="457">
        <f>IFERROR(__xludf.DUMMYFUNCTION("""COMPUTED_VALUE"""),0.0)</f>
        <v>0</v>
      </c>
      <c r="F53" s="270">
        <f>IFERROR(__xludf.DUMMYFUNCTION("""COMPUTED_VALUE"""),4.0)</f>
        <v>4</v>
      </c>
      <c r="G53" s="17" t="str">
        <f>IFERROR(__xludf.DUMMYFUNCTION("""COMPUTED_VALUE"""),"Full Set")</f>
        <v>Full Set</v>
      </c>
      <c r="H53" s="17"/>
      <c r="I53" s="278" t="str">
        <f>IFERROR(__xludf.DUMMYFUNCTION("""COMPUTED_VALUE"""),"https://www.tiktok.com/@urccharmmerr/video/7637137810260282644?is_from_webapp=1&amp;sender_device=pc")</f>
        <v>https://www.tiktok.com/@urccharmmerr/video/7637137810260282644?is_from_webapp=1&amp;sender_device=pc</v>
      </c>
      <c r="J53" s="278" t="str">
        <f>IFERROR(__xludf.DUMMYFUNCTION("""COMPUTED_VALUE"""),"https://www.tiktok.com/@urccharmmerr/video/7637500118513667349?is_from_webapp=1&amp;sender_device=pc")</f>
        <v>https://www.tiktok.com/@urccharmmerr/video/7637500118513667349?is_from_webapp=1&amp;sender_device=pc</v>
      </c>
      <c r="K53" s="278" t="str">
        <f>IFERROR(__xludf.DUMMYFUNCTION("""COMPUTED_VALUE"""),"https://www.tiktok.com/@urccharmmerr/video/7637850267202964757?is_from_webapp=1&amp;sender_device=pc")</f>
        <v>https://www.tiktok.com/@urccharmmerr/video/7637850267202964757?is_from_webapp=1&amp;sender_device=pc</v>
      </c>
      <c r="L53" s="278" t="str">
        <f>IFERROR(__xludf.DUMMYFUNCTION("""COMPUTED_VALUE"""),"https://www.tiktok.com/@urccharmmerr/video/7638236972217158932?is_from_webapp=1&amp;sender_device=pc")</f>
        <v>https://www.tiktok.com/@urccharmmerr/video/7638236972217158932?is_from_webapp=1&amp;sender_device=pc</v>
      </c>
      <c r="M53" s="262"/>
    </row>
    <row r="54">
      <c r="A54" s="255" t="str">
        <f>IFERROR(__xludf.DUMMYFUNCTION("""COMPUTED_VALUE"""),"NANO")</f>
        <v>NANO</v>
      </c>
      <c r="B54" s="23" t="str">
        <f>IFERROR(__xludf.DUMMYFUNCTION("""COMPUTED_VALUE"""),"mentikss_")</f>
        <v>mentikss_</v>
      </c>
      <c r="C54" s="257" t="str">
        <f>IFERROR(__xludf.DUMMYFUNCTION("""COMPUTED_VALUE"""),"https://www.tiktok.com/@mentikss_")</f>
        <v>https://www.tiktok.com/@mentikss_</v>
      </c>
      <c r="D54" s="23">
        <f>IFERROR(__xludf.DUMMYFUNCTION("""COMPUTED_VALUE"""),8.5748626541E10)</f>
        <v>85748626541</v>
      </c>
      <c r="E54" s="457">
        <f>IFERROR(__xludf.DUMMYFUNCTION("""COMPUTED_VALUE"""),0.0)</f>
        <v>0</v>
      </c>
      <c r="F54" s="270">
        <f>IFERROR(__xludf.DUMMYFUNCTION("""COMPUTED_VALUE"""),4.0)</f>
        <v>4</v>
      </c>
      <c r="G54" s="17" t="str">
        <f>IFERROR(__xludf.DUMMYFUNCTION("""COMPUTED_VALUE"""),"Full Set")</f>
        <v>Full Set</v>
      </c>
      <c r="H54" s="17"/>
      <c r="I54" s="262"/>
      <c r="J54" s="262"/>
      <c r="K54" s="262"/>
      <c r="L54" s="262"/>
      <c r="M54" s="262"/>
    </row>
    <row r="55">
      <c r="A55" s="255" t="str">
        <f>IFERROR(__xludf.DUMMYFUNCTION("""COMPUTED_VALUE"""),"NANO")</f>
        <v>NANO</v>
      </c>
      <c r="B55" s="23" t="str">
        <f>IFERROR(__xludf.DUMMYFUNCTION("""COMPUTED_VALUE"""),"mirin2202")</f>
        <v>mirin2202</v>
      </c>
      <c r="C55" s="257" t="str">
        <f>IFERROR(__xludf.DUMMYFUNCTION("""COMPUTED_VALUE"""),"https://www.tiktok.com/@mirin2202")</f>
        <v>https://www.tiktok.com/@mirin2202</v>
      </c>
      <c r="D55" s="23">
        <f>IFERROR(__xludf.DUMMYFUNCTION("""COMPUTED_VALUE"""),8.811238426E9)</f>
        <v>8811238426</v>
      </c>
      <c r="E55" s="457">
        <f>IFERROR(__xludf.DUMMYFUNCTION("""COMPUTED_VALUE"""),0.0)</f>
        <v>0</v>
      </c>
      <c r="F55" s="270">
        <f>IFERROR(__xludf.DUMMYFUNCTION("""COMPUTED_VALUE"""),4.0)</f>
        <v>4</v>
      </c>
      <c r="G55" s="17" t="str">
        <f>IFERROR(__xludf.DUMMYFUNCTION("""COMPUTED_VALUE"""),"Full Set")</f>
        <v>Full Set</v>
      </c>
      <c r="H55" s="17"/>
      <c r="I55" s="262"/>
      <c r="J55" s="262"/>
      <c r="K55" s="262"/>
      <c r="L55" s="262"/>
      <c r="M55" s="262"/>
    </row>
    <row r="56">
      <c r="A56" s="255" t="str">
        <f>IFERROR(__xludf.DUMMYFUNCTION("""COMPUTED_VALUE"""),"NANO")</f>
        <v>NANO</v>
      </c>
      <c r="B56" s="23" t="str">
        <f>IFERROR(__xludf.DUMMYFUNCTION("""COMPUTED_VALUE"""),"blvdbil4")</f>
        <v>blvdbil4</v>
      </c>
      <c r="C56" s="257" t="str">
        <f>IFERROR(__xludf.DUMMYFUNCTION("""COMPUTED_VALUE"""),"https://www.tiktok.com/@blvdbil4")</f>
        <v>https://www.tiktok.com/@blvdbil4</v>
      </c>
      <c r="D56" s="23">
        <f>IFERROR(__xludf.DUMMYFUNCTION("""COMPUTED_VALUE"""),8.819710681E9)</f>
        <v>8819710681</v>
      </c>
      <c r="E56" s="457">
        <f>IFERROR(__xludf.DUMMYFUNCTION("""COMPUTED_VALUE"""),0.0)</f>
        <v>0</v>
      </c>
      <c r="F56" s="270">
        <f>IFERROR(__xludf.DUMMYFUNCTION("""COMPUTED_VALUE"""),4.0)</f>
        <v>4</v>
      </c>
      <c r="G56" s="17" t="str">
        <f>IFERROR(__xludf.DUMMYFUNCTION("""COMPUTED_VALUE"""),"Full Set")</f>
        <v>Full Set</v>
      </c>
      <c r="H56" s="17"/>
      <c r="I56" s="278" t="str">
        <f>IFERROR(__xludf.DUMMYFUNCTION("""COMPUTED_VALUE"""),"https://vt.tiktok.com/ZS9xh5TGa/")</f>
        <v>https://vt.tiktok.com/ZS9xh5TGa/</v>
      </c>
      <c r="J56" s="278" t="str">
        <f>IFERROR(__xludf.DUMMYFUNCTION("""COMPUTED_VALUE"""),"https://vt.tiktok.com/ZS9gCjc3g/")</f>
        <v>https://vt.tiktok.com/ZS9gCjc3g/</v>
      </c>
      <c r="K56" s="278" t="str">
        <f>IFERROR(__xludf.DUMMYFUNCTION("""COMPUTED_VALUE"""),"https://www.tiktok.com/@blvdbil4/video/7636962368924290312?is_from_webapp=1&amp;sender_device=pc")</f>
        <v>https://www.tiktok.com/@blvdbil4/video/7636962368924290312?is_from_webapp=1&amp;sender_device=pc</v>
      </c>
      <c r="L56" s="278" t="str">
        <f>IFERROR(__xludf.DUMMYFUNCTION("""COMPUTED_VALUE"""),"https://www.tiktok.com/@blvdbil4/video/7638451613350350098?is_from_webapp=1&amp;sender_device=pc")</f>
        <v>https://www.tiktok.com/@blvdbil4/video/7638451613350350098?is_from_webapp=1&amp;sender_device=pc</v>
      </c>
      <c r="M56" s="262"/>
    </row>
    <row r="57">
      <c r="A57" s="255" t="str">
        <f>IFERROR(__xludf.DUMMYFUNCTION("""COMPUTED_VALUE"""),"NANO")</f>
        <v>NANO</v>
      </c>
      <c r="B57" s="23" t="str">
        <f>IFERROR(__xludf.DUMMYFUNCTION("""COMPUTED_VALUE"""),"reviewerbeauty ")</f>
        <v>reviewerbeauty </v>
      </c>
      <c r="C57" s="257" t="str">
        <f>IFERROR(__xludf.DUMMYFUNCTION("""COMPUTED_VALUE"""),"https://www.tiktok.com/@reviewerbeauty ")</f>
        <v>https://www.tiktok.com/@reviewerbeauty </v>
      </c>
      <c r="D57" s="23">
        <f>IFERROR(__xludf.DUMMYFUNCTION("""COMPUTED_VALUE"""),8.2165567785E10)</f>
        <v>82165567785</v>
      </c>
      <c r="E57" s="457">
        <f>IFERROR(__xludf.DUMMYFUNCTION("""COMPUTED_VALUE"""),0.0)</f>
        <v>0</v>
      </c>
      <c r="F57" s="270">
        <f>IFERROR(__xludf.DUMMYFUNCTION("""COMPUTED_VALUE"""),4.0)</f>
        <v>4</v>
      </c>
      <c r="G57" s="17" t="str">
        <f>IFERROR(__xludf.DUMMYFUNCTION("""COMPUTED_VALUE"""),"Full Set")</f>
        <v>Full Set</v>
      </c>
      <c r="H57" s="17"/>
      <c r="I57" s="262"/>
      <c r="J57" s="262"/>
      <c r="K57" s="262"/>
      <c r="L57" s="262"/>
      <c r="M57" s="262"/>
    </row>
    <row r="58">
      <c r="A58" s="255" t="str">
        <f>IFERROR(__xludf.DUMMYFUNCTION("""COMPUTED_VALUE"""),"MICRO")</f>
        <v>MICRO</v>
      </c>
      <c r="B58" s="23" t="str">
        <f>IFERROR(__xludf.DUMMYFUNCTION("""COMPUTED_VALUE"""),"0p44444")</f>
        <v>0p44444</v>
      </c>
      <c r="C58" s="257" t="str">
        <f>IFERROR(__xludf.DUMMYFUNCTION("""COMPUTED_VALUE"""),"https://www.tiktok.com/@0p44444")</f>
        <v>https://www.tiktok.com/@0p44444</v>
      </c>
      <c r="D58" s="23">
        <f>IFERROR(__xludf.DUMMYFUNCTION("""COMPUTED_VALUE"""),8.5793745716E10)</f>
        <v>85793745716</v>
      </c>
      <c r="E58" s="457">
        <f>IFERROR(__xludf.DUMMYFUNCTION("""COMPUTED_VALUE"""),0.0)</f>
        <v>0</v>
      </c>
      <c r="F58" s="270">
        <f>IFERROR(__xludf.DUMMYFUNCTION("""COMPUTED_VALUE"""),4.0)</f>
        <v>4</v>
      </c>
      <c r="G58" s="17" t="str">
        <f>IFERROR(__xludf.DUMMYFUNCTION("""COMPUTED_VALUE"""),"Full Set")</f>
        <v>Full Set</v>
      </c>
      <c r="H58" s="17"/>
      <c r="I58" s="278" t="str">
        <f>IFERROR(__xludf.DUMMYFUNCTION("""COMPUTED_VALUE"""),"https://www.tiktok.com/@0p44444/video/7642736656612707604?is_from_webapp=1&amp;sender_device=pc")</f>
        <v>https://www.tiktok.com/@0p44444/video/7642736656612707604?is_from_webapp=1&amp;sender_device=pc</v>
      </c>
      <c r="J58" s="262"/>
      <c r="K58" s="262"/>
      <c r="L58" s="262"/>
      <c r="M58" s="262"/>
    </row>
    <row r="59">
      <c r="A59" s="255" t="str">
        <f>IFERROR(__xludf.DUMMYFUNCTION("""COMPUTED_VALUE"""),"NANO")</f>
        <v>NANO</v>
      </c>
      <c r="B59" s="23" t="str">
        <f>IFERROR(__xludf.DUMMYFUNCTION("""COMPUTED_VALUE"""),"Feninrb")</f>
        <v>Feninrb</v>
      </c>
      <c r="C59" s="257" t="str">
        <f>IFERROR(__xludf.DUMMYFUNCTION("""COMPUTED_VALUE"""),"https://www.tiktok.com/@Feninrb")</f>
        <v>https://www.tiktok.com/@Feninrb</v>
      </c>
      <c r="D59" s="23">
        <f>IFERROR(__xludf.DUMMYFUNCTION("""COMPUTED_VALUE"""),8.7805788509E10)</f>
        <v>87805788509</v>
      </c>
      <c r="E59" s="457">
        <f>IFERROR(__xludf.DUMMYFUNCTION("""COMPUTED_VALUE"""),0.0)</f>
        <v>0</v>
      </c>
      <c r="F59" s="270">
        <f>IFERROR(__xludf.DUMMYFUNCTION("""COMPUTED_VALUE"""),4.0)</f>
        <v>4</v>
      </c>
      <c r="G59" s="17" t="str">
        <f>IFERROR(__xludf.DUMMYFUNCTION("""COMPUTED_VALUE"""),"Full Set")</f>
        <v>Full Set</v>
      </c>
      <c r="H59" s="17"/>
      <c r="I59" s="278" t="str">
        <f>IFERROR(__xludf.DUMMYFUNCTION("""COMPUTED_VALUE"""),"https://www.tiktok.com/@feninrb/video/7636417975997779221?is_from_webapp=1&amp;sender_device=pc")</f>
        <v>https://www.tiktok.com/@feninrb/video/7636417975997779221?is_from_webapp=1&amp;sender_device=pc</v>
      </c>
      <c r="J59" s="278" t="str">
        <f>IFERROR(__xludf.DUMMYFUNCTION("""COMPUTED_VALUE"""),"https://www.tiktok.com/@feninrb/video/7638255084765187349?is_from_webapp=1&amp;sender_device=pc")</f>
        <v>https://www.tiktok.com/@feninrb/video/7638255084765187349?is_from_webapp=1&amp;sender_device=pc</v>
      </c>
      <c r="K59" s="278" t="str">
        <f>IFERROR(__xludf.DUMMYFUNCTION("""COMPUTED_VALUE"""),"https://www.tiktok.com/@feninrb/video/7638639414125825300?is_from_webapp=1&amp;sender_device=pc")</f>
        <v>https://www.tiktok.com/@feninrb/video/7638639414125825300?is_from_webapp=1&amp;sender_device=pc</v>
      </c>
      <c r="L59" s="278" t="str">
        <f>IFERROR(__xludf.DUMMYFUNCTION("""COMPUTED_VALUE"""),"https://www.tiktok.com/@feninrb/video/7643507261834300693?is_from_webapp=1&amp;sender_device=pc")</f>
        <v>https://www.tiktok.com/@feninrb/video/7643507261834300693?is_from_webapp=1&amp;sender_device=pc</v>
      </c>
      <c r="M59" s="262"/>
    </row>
    <row r="60">
      <c r="A60" s="255" t="str">
        <f>IFERROR(__xludf.DUMMYFUNCTION("""COMPUTED_VALUE"""),"MICRO")</f>
        <v>MICRO</v>
      </c>
      <c r="B60" s="23" t="str">
        <f>IFERROR(__xludf.DUMMYFUNCTION("""COMPUTED_VALUE"""),"yosephine.ell")</f>
        <v>yosephine.ell</v>
      </c>
      <c r="C60" s="257" t="str">
        <f>IFERROR(__xludf.DUMMYFUNCTION("""COMPUTED_VALUE"""),"https://www.tiktok.com/@yosephine.ell")</f>
        <v>https://www.tiktok.com/@yosephine.ell</v>
      </c>
      <c r="D60" s="23">
        <f>IFERROR(__xludf.DUMMYFUNCTION("""COMPUTED_VALUE"""),8.772441721E10)</f>
        <v>87724417210</v>
      </c>
      <c r="E60" s="457">
        <f>IFERROR(__xludf.DUMMYFUNCTION("""COMPUTED_VALUE"""),0.0)</f>
        <v>0</v>
      </c>
      <c r="F60" s="270">
        <f>IFERROR(__xludf.DUMMYFUNCTION("""COMPUTED_VALUE"""),4.0)</f>
        <v>4</v>
      </c>
      <c r="G60" s="17" t="str">
        <f>IFERROR(__xludf.DUMMYFUNCTION("""COMPUTED_VALUE"""),"Full Set")</f>
        <v>Full Set</v>
      </c>
      <c r="H60" s="17"/>
      <c r="I60" s="262"/>
      <c r="J60" s="262"/>
      <c r="K60" s="262"/>
      <c r="L60" s="262"/>
      <c r="M60" s="262"/>
    </row>
    <row r="61">
      <c r="A61" s="255" t="str">
        <f>IFERROR(__xludf.DUMMYFUNCTION("""COMPUTED_VALUE"""),"NANO")</f>
        <v>NANO</v>
      </c>
      <c r="B61" s="23" t="str">
        <f>IFERROR(__xludf.DUMMYFUNCTION("""COMPUTED_VALUE"""),"Ririsdisini")</f>
        <v>Ririsdisini</v>
      </c>
      <c r="C61" s="257" t="str">
        <f>IFERROR(__xludf.DUMMYFUNCTION("""COMPUTED_VALUE"""),"https://www.tiktok.com/@Ririsdisini")</f>
        <v>https://www.tiktok.com/@Ririsdisini</v>
      </c>
      <c r="D61" s="23">
        <f>IFERROR(__xludf.DUMMYFUNCTION("""COMPUTED_VALUE"""),8.1265781291E10)</f>
        <v>81265781291</v>
      </c>
      <c r="E61" s="457">
        <f>IFERROR(__xludf.DUMMYFUNCTION("""COMPUTED_VALUE"""),0.0)</f>
        <v>0</v>
      </c>
      <c r="F61" s="270">
        <f>IFERROR(__xludf.DUMMYFUNCTION("""COMPUTED_VALUE"""),4.0)</f>
        <v>4</v>
      </c>
      <c r="G61" s="17" t="str">
        <f>IFERROR(__xludf.DUMMYFUNCTION("""COMPUTED_VALUE"""),"Full Set")</f>
        <v>Full Set</v>
      </c>
      <c r="H61" s="17"/>
      <c r="I61" s="262"/>
      <c r="J61" s="262"/>
      <c r="K61" s="262"/>
      <c r="L61" s="262"/>
      <c r="M61" s="262"/>
    </row>
    <row r="62">
      <c r="A62" s="255" t="str">
        <f>IFERROR(__xludf.DUMMYFUNCTION("""COMPUTED_VALUE"""),"NANO")</f>
        <v>NANO</v>
      </c>
      <c r="B62" s="23" t="str">
        <f>IFERROR(__xludf.DUMMYFUNCTION("""COMPUTED_VALUE"""),"Laaya21")</f>
        <v>Laaya21</v>
      </c>
      <c r="C62" s="257" t="str">
        <f>IFERROR(__xludf.DUMMYFUNCTION("""COMPUTED_VALUE"""),"https://www.tiktok.com/@Laaya21")</f>
        <v>https://www.tiktok.com/@Laaya21</v>
      </c>
      <c r="D62" s="23">
        <f>IFERROR(__xludf.DUMMYFUNCTION("""COMPUTED_VALUE"""),8.8271672137E10)</f>
        <v>88271672137</v>
      </c>
      <c r="E62" s="457">
        <f>IFERROR(__xludf.DUMMYFUNCTION("""COMPUTED_VALUE"""),0.0)</f>
        <v>0</v>
      </c>
      <c r="F62" s="270">
        <f>IFERROR(__xludf.DUMMYFUNCTION("""COMPUTED_VALUE"""),4.0)</f>
        <v>4</v>
      </c>
      <c r="G62" s="17" t="str">
        <f>IFERROR(__xludf.DUMMYFUNCTION("""COMPUTED_VALUE"""),"Full Set")</f>
        <v>Full Set</v>
      </c>
      <c r="H62" s="17"/>
      <c r="I62" s="262"/>
      <c r="J62" s="262"/>
      <c r="K62" s="262"/>
      <c r="L62" s="262"/>
      <c r="M62" s="262"/>
    </row>
    <row r="63">
      <c r="A63" s="255" t="str">
        <f>IFERROR(__xludf.DUMMYFUNCTION("""COMPUTED_VALUE"""),"NANO")</f>
        <v>NANO</v>
      </c>
      <c r="B63" s="23" t="str">
        <f>IFERROR(__xludf.DUMMYFUNCTION("""COMPUTED_VALUE"""),"aisyashh")</f>
        <v>aisyashh</v>
      </c>
      <c r="C63" s="257" t="str">
        <f>IFERROR(__xludf.DUMMYFUNCTION("""COMPUTED_VALUE"""),"https://www.tiktok.com/@aisyashh")</f>
        <v>https://www.tiktok.com/@aisyashh</v>
      </c>
      <c r="D63" s="23">
        <f>IFERROR(__xludf.DUMMYFUNCTION("""COMPUTED_VALUE"""),8.9696285997E10)</f>
        <v>89696285997</v>
      </c>
      <c r="E63" s="457">
        <f>IFERROR(__xludf.DUMMYFUNCTION("""COMPUTED_VALUE"""),0.0)</f>
        <v>0</v>
      </c>
      <c r="F63" s="270">
        <f>IFERROR(__xludf.DUMMYFUNCTION("""COMPUTED_VALUE"""),4.0)</f>
        <v>4</v>
      </c>
      <c r="G63" s="17" t="str">
        <f>IFERROR(__xludf.DUMMYFUNCTION("""COMPUTED_VALUE"""),"Full Set")</f>
        <v>Full Set</v>
      </c>
      <c r="H63" s="17"/>
      <c r="I63" s="262"/>
      <c r="J63" s="262"/>
      <c r="K63" s="262"/>
      <c r="L63" s="262"/>
      <c r="M63" s="262"/>
    </row>
    <row r="64">
      <c r="A64" s="255" t="str">
        <f>IFERROR(__xludf.DUMMYFUNCTION("""COMPUTED_VALUE"""),"MICRO")</f>
        <v>MICRO</v>
      </c>
      <c r="B64" s="23" t="str">
        <f>IFERROR(__xludf.DUMMYFUNCTION("""COMPUTED_VALUE"""),"luthfiiiii13 ")</f>
        <v>luthfiiiii13 </v>
      </c>
      <c r="C64" s="257" t="str">
        <f>IFERROR(__xludf.DUMMYFUNCTION("""COMPUTED_VALUE"""),"https://www.tiktok.com/@luthfiiiii13 ")</f>
        <v>https://www.tiktok.com/@luthfiiiii13 </v>
      </c>
      <c r="D64" s="23"/>
      <c r="E64" s="457">
        <f>IFERROR(__xludf.DUMMYFUNCTION("""COMPUTED_VALUE"""),100000.0)</f>
        <v>100000</v>
      </c>
      <c r="F64" s="270">
        <f>IFERROR(__xludf.DUMMYFUNCTION("""COMPUTED_VALUE"""),4.0)</f>
        <v>4</v>
      </c>
      <c r="G64" s="17" t="str">
        <f>IFERROR(__xludf.DUMMYFUNCTION("""COMPUTED_VALUE"""),"Full Set")</f>
        <v>Full Set</v>
      </c>
      <c r="H64" s="17"/>
      <c r="I64" s="262"/>
      <c r="J64" s="262"/>
      <c r="K64" s="262"/>
      <c r="L64" s="262"/>
      <c r="M64" s="262"/>
    </row>
    <row r="65">
      <c r="A65" s="255" t="str">
        <f>IFERROR(__xludf.DUMMYFUNCTION("""COMPUTED_VALUE"""),"MICRO")</f>
        <v>MICRO</v>
      </c>
      <c r="B65" s="23" t="str">
        <f>IFERROR(__xludf.DUMMYFUNCTION("""COMPUTED_VALUE"""),"review.erna27")</f>
        <v>review.erna27</v>
      </c>
      <c r="C65" s="257" t="str">
        <f>IFERROR(__xludf.DUMMYFUNCTION("""COMPUTED_VALUE"""),"https://www.tiktok.com/@review.erna27")</f>
        <v>https://www.tiktok.com/@review.erna27</v>
      </c>
      <c r="D65" s="23">
        <f>IFERROR(__xludf.DUMMYFUNCTION("""COMPUTED_VALUE"""),8.2310268988E10)</f>
        <v>82310268988</v>
      </c>
      <c r="E65" s="457">
        <f>IFERROR(__xludf.DUMMYFUNCTION("""COMPUTED_VALUE"""),100000.0)</f>
        <v>100000</v>
      </c>
      <c r="F65" s="270">
        <f>IFERROR(__xludf.DUMMYFUNCTION("""COMPUTED_VALUE"""),4.0)</f>
        <v>4</v>
      </c>
      <c r="G65" s="17" t="str">
        <f>IFERROR(__xludf.DUMMYFUNCTION("""COMPUTED_VALUE"""),"Full Set")</f>
        <v>Full Set</v>
      </c>
      <c r="H65" s="17"/>
      <c r="I65" s="278" t="str">
        <f>IFERROR(__xludf.DUMMYFUNCTION("""COMPUTED_VALUE"""),"https://www.tiktok.com/@review.erna27/video/7641456380972420360?is_from_webapp=1&amp;sender_device=pc")</f>
        <v>https://www.tiktok.com/@review.erna27/video/7641456380972420360?is_from_webapp=1&amp;sender_device=pc</v>
      </c>
      <c r="J65" s="278" t="str">
        <f>IFERROR(__xludf.DUMMYFUNCTION("""COMPUTED_VALUE"""),"https://www.tiktok.com/@review.erna27/video/7642970575677164808?is_from_webapp=1&amp;sender_device=pc")</f>
        <v>https://www.tiktok.com/@review.erna27/video/7642970575677164808?is_from_webapp=1&amp;sender_device=pc</v>
      </c>
      <c r="K65" s="262"/>
      <c r="L65" s="262"/>
      <c r="M65" s="262"/>
    </row>
    <row r="66">
      <c r="A66" s="255" t="str">
        <f>IFERROR(__xludf.DUMMYFUNCTION("""COMPUTED_VALUE"""),"MICRO")</f>
        <v>MICRO</v>
      </c>
      <c r="B66" s="23" t="str">
        <f>IFERROR(__xludf.DUMMYFUNCTION("""COMPUTED_VALUE"""),"elinyuli1")</f>
        <v>elinyuli1</v>
      </c>
      <c r="C66" s="257" t="str">
        <f>IFERROR(__xludf.DUMMYFUNCTION("""COMPUTED_VALUE"""),"https://www.tiktok.com/@elinyuli1")</f>
        <v>https://www.tiktok.com/@elinyuli1</v>
      </c>
      <c r="D66" s="23">
        <f>IFERROR(__xludf.DUMMYFUNCTION("""COMPUTED_VALUE"""),8.95620070876E11)</f>
        <v>895620070876</v>
      </c>
      <c r="E66" s="457">
        <f>IFERROR(__xludf.DUMMYFUNCTION("""COMPUTED_VALUE"""),100000.0)</f>
        <v>100000</v>
      </c>
      <c r="F66" s="270">
        <f>IFERROR(__xludf.DUMMYFUNCTION("""COMPUTED_VALUE"""),4.0)</f>
        <v>4</v>
      </c>
      <c r="G66" s="17" t="str">
        <f>IFERROR(__xludf.DUMMYFUNCTION("""COMPUTED_VALUE"""),"Full Set")</f>
        <v>Full Set</v>
      </c>
      <c r="H66" s="17"/>
      <c r="I66" s="262"/>
      <c r="J66" s="262"/>
      <c r="K66" s="262"/>
      <c r="L66" s="262"/>
      <c r="M66" s="262"/>
    </row>
    <row r="67">
      <c r="A67" s="255" t="str">
        <f>IFERROR(__xludf.DUMMYFUNCTION("""COMPUTED_VALUE"""),"MACRO")</f>
        <v>MACRO</v>
      </c>
      <c r="B67" s="23" t="str">
        <f>IFERROR(__xludf.DUMMYFUNCTION("""COMPUTED_VALUE"""),"ndiedie_01")</f>
        <v>ndiedie_01</v>
      </c>
      <c r="C67" s="257" t="str">
        <f>IFERROR(__xludf.DUMMYFUNCTION("""COMPUTED_VALUE"""),"https://www.tiktok.com/@ndiedie_01")</f>
        <v>https://www.tiktok.com/@ndiedie_01</v>
      </c>
      <c r="D67" s="23">
        <f>IFERROR(__xludf.DUMMYFUNCTION("""COMPUTED_VALUE"""),8.5311551388E10)</f>
        <v>85311551388</v>
      </c>
      <c r="E67" s="457">
        <f>IFERROR(__xludf.DUMMYFUNCTION("""COMPUTED_VALUE"""),100000.0)</f>
        <v>100000</v>
      </c>
      <c r="F67" s="270">
        <f>IFERROR(__xludf.DUMMYFUNCTION("""COMPUTED_VALUE"""),4.0)</f>
        <v>4</v>
      </c>
      <c r="G67" s="17" t="str">
        <f>IFERROR(__xludf.DUMMYFUNCTION("""COMPUTED_VALUE"""),"Full Set")</f>
        <v>Full Set</v>
      </c>
      <c r="H67" s="17"/>
      <c r="I67" s="262"/>
      <c r="J67" s="262"/>
      <c r="K67" s="262"/>
      <c r="L67" s="262"/>
      <c r="M67" s="262"/>
    </row>
    <row r="68">
      <c r="A68" s="255" t="str">
        <f>IFERROR(__xludf.DUMMYFUNCTION("""COMPUTED_VALUE"""),"MICRO")</f>
        <v>MICRO</v>
      </c>
      <c r="B68" s="23" t="str">
        <f>IFERROR(__xludf.DUMMYFUNCTION("""COMPUTED_VALUE"""),"inii.dyan")</f>
        <v>inii.dyan</v>
      </c>
      <c r="C68" s="257" t="str">
        <f>IFERROR(__xludf.DUMMYFUNCTION("""COMPUTED_VALUE"""),"https://www.tiktok.com/@inii.dyan")</f>
        <v>https://www.tiktok.com/@inii.dyan</v>
      </c>
      <c r="D68" s="23">
        <f>IFERROR(__xludf.DUMMYFUNCTION("""COMPUTED_VALUE"""),8.5641803383E10)</f>
        <v>85641803383</v>
      </c>
      <c r="E68" s="457">
        <f>IFERROR(__xludf.DUMMYFUNCTION("""COMPUTED_VALUE"""),100000.0)</f>
        <v>100000</v>
      </c>
      <c r="F68" s="270">
        <f>IFERROR(__xludf.DUMMYFUNCTION("""COMPUTED_VALUE"""),4.0)</f>
        <v>4</v>
      </c>
      <c r="G68" s="17" t="str">
        <f>IFERROR(__xludf.DUMMYFUNCTION("""COMPUTED_VALUE"""),"Full Set")</f>
        <v>Full Set</v>
      </c>
      <c r="H68" s="17"/>
      <c r="I68" s="278" t="str">
        <f>IFERROR(__xludf.DUMMYFUNCTION("""COMPUTED_VALUE"""),"https://www.tiktok.com/@inii.dyan/video/7637481127145524501?is_from_webapp=1&amp;sender_device=pc")</f>
        <v>https://www.tiktok.com/@inii.dyan/video/7637481127145524501?is_from_webapp=1&amp;sender_device=pc</v>
      </c>
      <c r="J68" s="278" t="str">
        <f>IFERROR(__xludf.DUMMYFUNCTION("""COMPUTED_VALUE"""),"https://www.tiktok.com/@inii.dyan/video/7639176593293839636?is_from_webapp=1&amp;sender_device=pc")</f>
        <v>https://www.tiktok.com/@inii.dyan/video/7639176593293839636?is_from_webapp=1&amp;sender_device=pc</v>
      </c>
      <c r="K68" s="278" t="str">
        <f>IFERROR(__xludf.DUMMYFUNCTION("""COMPUTED_VALUE"""),"https://www.tiktok.com/@inii.dyan/video/7640096537464425749?is_from_webapp=1&amp;sender_device=pc")</f>
        <v>https://www.tiktok.com/@inii.dyan/video/7640096537464425749?is_from_webapp=1&amp;sender_device=pc</v>
      </c>
      <c r="L68" s="262"/>
      <c r="M68" s="262"/>
    </row>
    <row r="69">
      <c r="A69" s="255" t="str">
        <f>IFERROR(__xludf.DUMMYFUNCTION("""COMPUTED_VALUE"""),"MICRO")</f>
        <v>MICRO</v>
      </c>
      <c r="B69" s="23" t="str">
        <f>IFERROR(__xludf.DUMMYFUNCTION("""COMPUTED_VALUE"""),"atsatsah ")</f>
        <v>atsatsah </v>
      </c>
      <c r="C69" s="257" t="str">
        <f>IFERROR(__xludf.DUMMYFUNCTION("""COMPUTED_VALUE"""),"https://www.tiktok.com/@atsatsah ")</f>
        <v>https://www.tiktok.com/@atsatsah </v>
      </c>
      <c r="D69" s="23">
        <f>IFERROR(__xludf.DUMMYFUNCTION("""COMPUTED_VALUE"""),8.1320534893E10)</f>
        <v>81320534893</v>
      </c>
      <c r="E69" s="457">
        <f>IFERROR(__xludf.DUMMYFUNCTION("""COMPUTED_VALUE"""),100000.0)</f>
        <v>100000</v>
      </c>
      <c r="F69" s="270">
        <f>IFERROR(__xludf.DUMMYFUNCTION("""COMPUTED_VALUE"""),4.0)</f>
        <v>4</v>
      </c>
      <c r="G69" s="17" t="str">
        <f>IFERROR(__xludf.DUMMYFUNCTION("""COMPUTED_VALUE"""),"Full Set")</f>
        <v>Full Set</v>
      </c>
      <c r="H69" s="17"/>
      <c r="I69" s="278" t="str">
        <f>IFERROR(__xludf.DUMMYFUNCTION("""COMPUTED_VALUE"""),"https://www.tiktok.com/@atsatsah/video/7637487619571453204?is_from_webapp=1&amp;sender_device=pc")</f>
        <v>https://www.tiktok.com/@atsatsah/video/7637487619571453204?is_from_webapp=1&amp;sender_device=pc</v>
      </c>
      <c r="J69" s="278" t="str">
        <f>IFERROR(__xludf.DUMMYFUNCTION("""COMPUTED_VALUE"""),"https://www.tiktok.com/@atsatsah/video/7642205040836381973?is_from_webapp=1&amp;sender_device=pc")</f>
        <v>https://www.tiktok.com/@atsatsah/video/7642205040836381973?is_from_webapp=1&amp;sender_device=pc</v>
      </c>
      <c r="K69" s="262"/>
      <c r="L69" s="262"/>
      <c r="M69" s="262"/>
    </row>
    <row r="70">
      <c r="A70" s="255" t="str">
        <f>IFERROR(__xludf.DUMMYFUNCTION("""COMPUTED_VALUE"""),"MICRO")</f>
        <v>MICRO</v>
      </c>
      <c r="B70" s="23" t="str">
        <f>IFERROR(__xludf.DUMMYFUNCTION("""COMPUTED_VALUE"""),"yanpuspita05 ")</f>
        <v>yanpuspita05 </v>
      </c>
      <c r="C70" s="257" t="str">
        <f>IFERROR(__xludf.DUMMYFUNCTION("""COMPUTED_VALUE"""),"https://www.tiktok.com/@yanpuspita05 ")</f>
        <v>https://www.tiktok.com/@yanpuspita05 </v>
      </c>
      <c r="D70" s="23">
        <f>IFERROR(__xludf.DUMMYFUNCTION("""COMPUTED_VALUE"""),8.9519814486E10)</f>
        <v>89519814486</v>
      </c>
      <c r="E70" s="457">
        <f>IFERROR(__xludf.DUMMYFUNCTION("""COMPUTED_VALUE"""),100000.0)</f>
        <v>100000</v>
      </c>
      <c r="F70" s="270">
        <f>IFERROR(__xludf.DUMMYFUNCTION("""COMPUTED_VALUE"""),4.0)</f>
        <v>4</v>
      </c>
      <c r="G70" s="17" t="str">
        <f>IFERROR(__xludf.DUMMYFUNCTION("""COMPUTED_VALUE"""),"Full Set")</f>
        <v>Full Set</v>
      </c>
      <c r="H70" s="17"/>
      <c r="I70" s="278" t="str">
        <f>IFERROR(__xludf.DUMMYFUNCTION("""COMPUTED_VALUE"""),"https://www.tiktok.com/@yanpuspita05/video/7641442982322883860?is_from_webapp=1&amp;sender_device=pc")</f>
        <v>https://www.tiktok.com/@yanpuspita05/video/7641442982322883860?is_from_webapp=1&amp;sender_device=pc</v>
      </c>
      <c r="J70" s="262"/>
      <c r="K70" s="262"/>
      <c r="L70" s="262"/>
      <c r="M70" s="262"/>
    </row>
    <row r="71">
      <c r="A71" s="255" t="str">
        <f>IFERROR(__xludf.DUMMYFUNCTION("""COMPUTED_VALUE"""),"MICRO")</f>
        <v>MICRO</v>
      </c>
      <c r="B71" s="23" t="str">
        <f>IFERROR(__xludf.DUMMYFUNCTION("""COMPUTED_VALUE"""),"reviewwilda ")</f>
        <v>reviewwilda </v>
      </c>
      <c r="C71" s="257" t="str">
        <f>IFERROR(__xludf.DUMMYFUNCTION("""COMPUTED_VALUE"""),"https://www.tiktok.com/@reviewwilda ")</f>
        <v>https://www.tiktok.com/@reviewwilda </v>
      </c>
      <c r="D71" s="23"/>
      <c r="E71" s="457">
        <f>IFERROR(__xludf.DUMMYFUNCTION("""COMPUTED_VALUE"""),100000.0)</f>
        <v>100000</v>
      </c>
      <c r="F71" s="270">
        <f>IFERROR(__xludf.DUMMYFUNCTION("""COMPUTED_VALUE"""),4.0)</f>
        <v>4</v>
      </c>
      <c r="G71" s="17" t="str">
        <f>IFERROR(__xludf.DUMMYFUNCTION("""COMPUTED_VALUE"""),"Full Set")</f>
        <v>Full Set</v>
      </c>
      <c r="H71" s="17"/>
      <c r="I71" s="278" t="str">
        <f>IFERROR(__xludf.DUMMYFUNCTION("""COMPUTED_VALUE"""),"https://vt.tiktok.com/ZS9GQ7YmM/")</f>
        <v>https://vt.tiktok.com/ZS9GQ7YmM/</v>
      </c>
      <c r="J71" s="262"/>
      <c r="K71" s="262"/>
      <c r="L71" s="262"/>
      <c r="M71" s="262"/>
    </row>
    <row r="72">
      <c r="A72" s="255" t="str">
        <f>IFERROR(__xludf.DUMMYFUNCTION("""COMPUTED_VALUE"""),"MICRO")</f>
        <v>MICRO</v>
      </c>
      <c r="B72" s="23" t="str">
        <f>IFERROR(__xludf.DUMMYFUNCTION("""COMPUTED_VALUE"""),"nadirasalma11")</f>
        <v>nadirasalma11</v>
      </c>
      <c r="C72" s="257" t="str">
        <f>IFERROR(__xludf.DUMMYFUNCTION("""COMPUTED_VALUE"""),"https://www.tiktok.com/@nadirasalma11")</f>
        <v>https://www.tiktok.com/@nadirasalma11</v>
      </c>
      <c r="D72" s="23">
        <f>IFERROR(__xludf.DUMMYFUNCTION("""COMPUTED_VALUE"""),8.2189332323E10)</f>
        <v>82189332323</v>
      </c>
      <c r="E72" s="457">
        <f>IFERROR(__xludf.DUMMYFUNCTION("""COMPUTED_VALUE"""),100000.0)</f>
        <v>100000</v>
      </c>
      <c r="F72" s="270">
        <f>IFERROR(__xludf.DUMMYFUNCTION("""COMPUTED_VALUE"""),4.0)</f>
        <v>4</v>
      </c>
      <c r="G72" s="17" t="str">
        <f>IFERROR(__xludf.DUMMYFUNCTION("""COMPUTED_VALUE"""),"Full Set")</f>
        <v>Full Set</v>
      </c>
      <c r="H72" s="17"/>
      <c r="I72" s="262"/>
      <c r="J72" s="262"/>
      <c r="K72" s="262"/>
      <c r="L72" s="262"/>
      <c r="M72" s="262"/>
    </row>
    <row r="73">
      <c r="A73" s="255" t="str">
        <f>IFERROR(__xludf.DUMMYFUNCTION("""COMPUTED_VALUE"""),"MICRO")</f>
        <v>MICRO</v>
      </c>
      <c r="B73" s="23" t="str">
        <f>IFERROR(__xludf.DUMMYFUNCTION("""COMPUTED_VALUE"""),"queena_03kl")</f>
        <v>queena_03kl</v>
      </c>
      <c r="C73" s="257" t="str">
        <f>IFERROR(__xludf.DUMMYFUNCTION("""COMPUTED_VALUE"""),"https://www.tiktok.com/@queena_03kl")</f>
        <v>https://www.tiktok.com/@queena_03kl</v>
      </c>
      <c r="D73" s="23">
        <f>IFERROR(__xludf.DUMMYFUNCTION("""COMPUTED_VALUE"""),8.59552513E10)</f>
        <v>85955251300</v>
      </c>
      <c r="E73" s="457">
        <f>IFERROR(__xludf.DUMMYFUNCTION("""COMPUTED_VALUE"""),100000.0)</f>
        <v>100000</v>
      </c>
      <c r="F73" s="270">
        <f>IFERROR(__xludf.DUMMYFUNCTION("""COMPUTED_VALUE"""),4.0)</f>
        <v>4</v>
      </c>
      <c r="G73" s="17" t="str">
        <f>IFERROR(__xludf.DUMMYFUNCTION("""COMPUTED_VALUE"""),"Full Set")</f>
        <v>Full Set</v>
      </c>
      <c r="H73" s="17"/>
      <c r="I73" s="262"/>
      <c r="J73" s="262"/>
      <c r="K73" s="262"/>
      <c r="L73" s="262"/>
      <c r="M73" s="262"/>
    </row>
    <row r="74">
      <c r="A74" s="255" t="str">
        <f>IFERROR(__xludf.DUMMYFUNCTION("""COMPUTED_VALUE"""),"MICRO")</f>
        <v>MICRO</v>
      </c>
      <c r="B74" s="23" t="str">
        <f>IFERROR(__xludf.DUMMYFUNCTION("""COMPUTED_VALUE"""),"chayna.4515")</f>
        <v>chayna.4515</v>
      </c>
      <c r="C74" s="257" t="str">
        <f>IFERROR(__xludf.DUMMYFUNCTION("""COMPUTED_VALUE"""),"https://www.tiktok.com/@chayna.4515")</f>
        <v>https://www.tiktok.com/@chayna.4515</v>
      </c>
      <c r="D74" s="23">
        <f>IFERROR(__xludf.DUMMYFUNCTION("""COMPUTED_VALUE"""),8.5326290196E10)</f>
        <v>85326290196</v>
      </c>
      <c r="E74" s="457">
        <f>IFERROR(__xludf.DUMMYFUNCTION("""COMPUTED_VALUE"""),100000.0)</f>
        <v>100000</v>
      </c>
      <c r="F74" s="270">
        <f>IFERROR(__xludf.DUMMYFUNCTION("""COMPUTED_VALUE"""),4.0)</f>
        <v>4</v>
      </c>
      <c r="G74" s="17" t="str">
        <f>IFERROR(__xludf.DUMMYFUNCTION("""COMPUTED_VALUE"""),"Full Set")</f>
        <v>Full Set</v>
      </c>
      <c r="H74" s="17"/>
      <c r="I74" s="278" t="str">
        <f>IFERROR(__xludf.DUMMYFUNCTION("""COMPUTED_VALUE"""),"https://vt.tiktok.com/ZS9GXuTPh/")</f>
        <v>https://vt.tiktok.com/ZS9GXuTPh/</v>
      </c>
      <c r="J74" s="278" t="str">
        <f>IFERROR(__xludf.DUMMYFUNCTION("""COMPUTED_VALUE"""),"https://www.tiktok.com/@chayna.4515/video/7639707604578585874?is_from_webapp=1&amp;sender_device=pc")</f>
        <v>https://www.tiktok.com/@chayna.4515/video/7639707604578585874?is_from_webapp=1&amp;sender_device=pc</v>
      </c>
      <c r="K74" s="278" t="str">
        <f>IFERROR(__xludf.DUMMYFUNCTION("""COMPUTED_VALUE"""),"https://www.tiktok.com/@chayna.4515/video/7641889262669073672?is_from_webapp=1&amp;sender_device=pc")</f>
        <v>https://www.tiktok.com/@chayna.4515/video/7641889262669073672?is_from_webapp=1&amp;sender_device=pc</v>
      </c>
      <c r="L74" s="262"/>
      <c r="M74" s="262"/>
    </row>
    <row r="75">
      <c r="A75" s="255" t="str">
        <f>IFERROR(__xludf.DUMMYFUNCTION("""COMPUTED_VALUE"""),"MICRO")</f>
        <v>MICRO</v>
      </c>
      <c r="B75" s="23" t="str">
        <f>IFERROR(__xludf.DUMMYFUNCTION("""COMPUTED_VALUE"""),"evi_vhie")</f>
        <v>evi_vhie</v>
      </c>
      <c r="C75" s="257" t="str">
        <f>IFERROR(__xludf.DUMMYFUNCTION("""COMPUTED_VALUE"""),"https://www.tiktok.com/@evi_vhie")</f>
        <v>https://www.tiktok.com/@evi_vhie</v>
      </c>
      <c r="D75" s="23">
        <f>IFERROR(__xludf.DUMMYFUNCTION("""COMPUTED_VALUE"""),8.9613000722E10)</f>
        <v>89613000722</v>
      </c>
      <c r="E75" s="457">
        <f>IFERROR(__xludf.DUMMYFUNCTION("""COMPUTED_VALUE"""),100000.0)</f>
        <v>100000</v>
      </c>
      <c r="F75" s="270">
        <f>IFERROR(__xludf.DUMMYFUNCTION("""COMPUTED_VALUE"""),4.0)</f>
        <v>4</v>
      </c>
      <c r="G75" s="17" t="str">
        <f>IFERROR(__xludf.DUMMYFUNCTION("""COMPUTED_VALUE"""),"Full Set")</f>
        <v>Full Set</v>
      </c>
      <c r="H75" s="17"/>
      <c r="I75" s="262"/>
      <c r="J75" s="262"/>
      <c r="K75" s="262"/>
      <c r="L75" s="262"/>
      <c r="M75" s="262"/>
    </row>
    <row r="76">
      <c r="A76" s="255" t="str">
        <f>IFERROR(__xludf.DUMMYFUNCTION("""COMPUTED_VALUE"""),"MICRO")</f>
        <v>MICRO</v>
      </c>
      <c r="B76" s="23" t="str">
        <f>IFERROR(__xludf.DUMMYFUNCTION("""COMPUTED_VALUE"""),"una.211")</f>
        <v>una.211</v>
      </c>
      <c r="C76" s="257" t="str">
        <f>IFERROR(__xludf.DUMMYFUNCTION("""COMPUTED_VALUE"""),"https://www.tiktok.com/@una.211")</f>
        <v>https://www.tiktok.com/@una.211</v>
      </c>
      <c r="D76" s="23">
        <f>IFERROR(__xludf.DUMMYFUNCTION("""COMPUTED_VALUE"""),8.9525853072E10)</f>
        <v>89525853072</v>
      </c>
      <c r="E76" s="457">
        <f>IFERROR(__xludf.DUMMYFUNCTION("""COMPUTED_VALUE"""),100000.0)</f>
        <v>100000</v>
      </c>
      <c r="F76" s="270">
        <f>IFERROR(__xludf.DUMMYFUNCTION("""COMPUTED_VALUE"""),4.0)</f>
        <v>4</v>
      </c>
      <c r="G76" s="17" t="str">
        <f>IFERROR(__xludf.DUMMYFUNCTION("""COMPUTED_VALUE"""),"Full Set")</f>
        <v>Full Set</v>
      </c>
      <c r="H76" s="17"/>
      <c r="I76" s="278" t="str">
        <f>IFERROR(__xludf.DUMMYFUNCTION("""COMPUTED_VALUE"""),"https://www.tiktok.com/@una.211/video/7641495300552543509?is_from_webapp=1&amp;sender_device=pc")</f>
        <v>https://www.tiktok.com/@una.211/video/7641495300552543509?is_from_webapp=1&amp;sender_device=pc</v>
      </c>
      <c r="J76" s="262"/>
      <c r="K76" s="262"/>
      <c r="L76" s="262"/>
      <c r="M76" s="262"/>
    </row>
    <row r="77">
      <c r="A77" s="255" t="str">
        <f>IFERROR(__xludf.DUMMYFUNCTION("""COMPUTED_VALUE"""),"MICRO")</f>
        <v>MICRO</v>
      </c>
      <c r="B77" s="23" t="str">
        <f>IFERROR(__xludf.DUMMYFUNCTION("""COMPUTED_VALUE"""),"aghania02")</f>
        <v>aghania02</v>
      </c>
      <c r="C77" s="257" t="str">
        <f>IFERROR(__xludf.DUMMYFUNCTION("""COMPUTED_VALUE"""),"https://www.tiktok.com/@aghania02")</f>
        <v>https://www.tiktok.com/@aghania02</v>
      </c>
      <c r="D77" s="23">
        <f>IFERROR(__xludf.DUMMYFUNCTION("""COMPUTED_VALUE"""),8.9659116628E10)</f>
        <v>89659116628</v>
      </c>
      <c r="E77" s="457">
        <f>IFERROR(__xludf.DUMMYFUNCTION("""COMPUTED_VALUE"""),100000.0)</f>
        <v>100000</v>
      </c>
      <c r="F77" s="270">
        <f>IFERROR(__xludf.DUMMYFUNCTION("""COMPUTED_VALUE"""),4.0)</f>
        <v>4</v>
      </c>
      <c r="G77" s="17" t="str">
        <f>IFERROR(__xludf.DUMMYFUNCTION("""COMPUTED_VALUE"""),"Full Set")</f>
        <v>Full Set</v>
      </c>
      <c r="H77" s="17"/>
      <c r="I77" s="262"/>
      <c r="J77" s="262"/>
      <c r="K77" s="262"/>
      <c r="L77" s="262"/>
      <c r="M77" s="262"/>
    </row>
    <row r="78">
      <c r="A78" s="255" t="str">
        <f>IFERROR(__xludf.DUMMYFUNCTION("""COMPUTED_VALUE"""),"MICRO")</f>
        <v>MICRO</v>
      </c>
      <c r="B78" s="23" t="str">
        <f>IFERROR(__xludf.DUMMYFUNCTION("""COMPUTED_VALUE"""),"diyo_herbal")</f>
        <v>diyo_herbal</v>
      </c>
      <c r="C78" s="257" t="str">
        <f>IFERROR(__xludf.DUMMYFUNCTION("""COMPUTED_VALUE"""),"https://www.tiktok.com/@diyo_herbal")</f>
        <v>https://www.tiktok.com/@diyo_herbal</v>
      </c>
      <c r="D78" s="23">
        <f>IFERROR(__xludf.DUMMYFUNCTION("""COMPUTED_VALUE"""),8.9526701121E10)</f>
        <v>89526701121</v>
      </c>
      <c r="E78" s="457">
        <f>IFERROR(__xludf.DUMMYFUNCTION("""COMPUTED_VALUE"""),100000.0)</f>
        <v>100000</v>
      </c>
      <c r="F78" s="270">
        <f>IFERROR(__xludf.DUMMYFUNCTION("""COMPUTED_VALUE"""),4.0)</f>
        <v>4</v>
      </c>
      <c r="G78" s="17" t="str">
        <f>IFERROR(__xludf.DUMMYFUNCTION("""COMPUTED_VALUE"""),"Full Set")</f>
        <v>Full Set</v>
      </c>
      <c r="H78" s="17"/>
      <c r="I78" s="262"/>
      <c r="J78" s="262"/>
      <c r="K78" s="262"/>
      <c r="L78" s="262"/>
      <c r="M78" s="262"/>
    </row>
    <row r="79">
      <c r="A79" s="255" t="str">
        <f>IFERROR(__xludf.DUMMYFUNCTION("""COMPUTED_VALUE"""),"MICRO")</f>
        <v>MICRO</v>
      </c>
      <c r="B79" s="23" t="str">
        <f>IFERROR(__xludf.DUMMYFUNCTION("""COMPUTED_VALUE"""),"Cherry_review21")</f>
        <v>Cherry_review21</v>
      </c>
      <c r="C79" s="257" t="str">
        <f>IFERROR(__xludf.DUMMYFUNCTION("""COMPUTED_VALUE"""),"https://www.tiktok.com/@Cherry_review21")</f>
        <v>https://www.tiktok.com/@Cherry_review21</v>
      </c>
      <c r="D79" s="23">
        <f>IFERROR(__xludf.DUMMYFUNCTION("""COMPUTED_VALUE"""),8.5714778994E10)</f>
        <v>85714778994</v>
      </c>
      <c r="E79" s="457">
        <f>IFERROR(__xludf.DUMMYFUNCTION("""COMPUTED_VALUE"""),100000.0)</f>
        <v>100000</v>
      </c>
      <c r="F79" s="270">
        <f>IFERROR(__xludf.DUMMYFUNCTION("""COMPUTED_VALUE"""),4.0)</f>
        <v>4</v>
      </c>
      <c r="G79" s="17" t="str">
        <f>IFERROR(__xludf.DUMMYFUNCTION("""COMPUTED_VALUE"""),"Full Set")</f>
        <v>Full Set</v>
      </c>
      <c r="H79" s="17"/>
      <c r="I79" s="278" t="str">
        <f>IFERROR(__xludf.DUMMYFUNCTION("""COMPUTED_VALUE"""),"https://www.tiktok.com/@cherry_review21/video/7643059824283995413?is_from_webapp=1&amp;sender_device=pc")</f>
        <v>https://www.tiktok.com/@cherry_review21/video/7643059824283995413?is_from_webapp=1&amp;sender_device=pc</v>
      </c>
      <c r="J79" s="278" t="str">
        <f>IFERROR(__xludf.DUMMYFUNCTION("""COMPUTED_VALUE"""),"https://www.tiktok.com/@cherry_review21/video/7643681389044436244?is_from_webapp=1&amp;sender_device=pc")</f>
        <v>https://www.tiktok.com/@cherry_review21/video/7643681389044436244?is_from_webapp=1&amp;sender_device=pc</v>
      </c>
      <c r="K79" s="262"/>
      <c r="L79" s="262"/>
      <c r="M79" s="262"/>
    </row>
    <row r="80">
      <c r="A80" s="255" t="str">
        <f>IFERROR(__xludf.DUMMYFUNCTION("""COMPUTED_VALUE"""),"MICRO")</f>
        <v>MICRO</v>
      </c>
      <c r="B80" s="23" t="str">
        <f>IFERROR(__xludf.DUMMYFUNCTION("""COMPUTED_VALUE"""),"ria.yeya")</f>
        <v>ria.yeya</v>
      </c>
      <c r="C80" s="257" t="str">
        <f>IFERROR(__xludf.DUMMYFUNCTION("""COMPUTED_VALUE"""),"https://www.tiktok.com/@ria.yeya")</f>
        <v>https://www.tiktok.com/@ria.yeya</v>
      </c>
      <c r="D80" s="23">
        <f>IFERROR(__xludf.DUMMYFUNCTION("""COMPUTED_VALUE"""),8.2136689045E10)</f>
        <v>82136689045</v>
      </c>
      <c r="E80" s="457">
        <f>IFERROR(__xludf.DUMMYFUNCTION("""COMPUTED_VALUE"""),100000.0)</f>
        <v>100000</v>
      </c>
      <c r="F80" s="270">
        <f>IFERROR(__xludf.DUMMYFUNCTION("""COMPUTED_VALUE"""),4.0)</f>
        <v>4</v>
      </c>
      <c r="G80" s="17" t="str">
        <f>IFERROR(__xludf.DUMMYFUNCTION("""COMPUTED_VALUE"""),"Full Set")</f>
        <v>Full Set</v>
      </c>
      <c r="H80" s="17"/>
      <c r="I80" s="262"/>
      <c r="J80" s="262"/>
      <c r="K80" s="262"/>
      <c r="L80" s="262"/>
      <c r="M80" s="262"/>
    </row>
    <row r="81">
      <c r="A81" s="255" t="str">
        <f>IFERROR(__xludf.DUMMYFUNCTION("""COMPUTED_VALUE"""),"MICRO")</f>
        <v>MICRO</v>
      </c>
      <c r="B81" s="23" t="str">
        <f>IFERROR(__xludf.DUMMYFUNCTION("""COMPUTED_VALUE"""),"ayla19553")</f>
        <v>ayla19553</v>
      </c>
      <c r="C81" s="257" t="str">
        <f>IFERROR(__xludf.DUMMYFUNCTION("""COMPUTED_VALUE"""),"https://www.tiktok.com/@ayla19553")</f>
        <v>https://www.tiktok.com/@ayla19553</v>
      </c>
      <c r="D81" s="23">
        <f>IFERROR(__xludf.DUMMYFUNCTION("""COMPUTED_VALUE"""),8.1332677895E10)</f>
        <v>81332677895</v>
      </c>
      <c r="E81" s="457">
        <f>IFERROR(__xludf.DUMMYFUNCTION("""COMPUTED_VALUE"""),100000.0)</f>
        <v>100000</v>
      </c>
      <c r="F81" s="270">
        <f>IFERROR(__xludf.DUMMYFUNCTION("""COMPUTED_VALUE"""),4.0)</f>
        <v>4</v>
      </c>
      <c r="G81" s="17" t="str">
        <f>IFERROR(__xludf.DUMMYFUNCTION("""COMPUTED_VALUE"""),"Full Set")</f>
        <v>Full Set</v>
      </c>
      <c r="H81" s="17"/>
      <c r="I81" s="262"/>
      <c r="J81" s="262"/>
      <c r="K81" s="262"/>
      <c r="L81" s="262"/>
      <c r="M81" s="262"/>
    </row>
    <row r="82">
      <c r="A82" s="255" t="str">
        <f>IFERROR(__xludf.DUMMYFUNCTION("""COMPUTED_VALUE"""),"MICRO")</f>
        <v>MICRO</v>
      </c>
      <c r="B82" s="23" t="str">
        <f>IFERROR(__xludf.DUMMYFUNCTION("""COMPUTED_VALUE"""),"sibar0324")</f>
        <v>sibar0324</v>
      </c>
      <c r="C82" s="257" t="str">
        <f>IFERROR(__xludf.DUMMYFUNCTION("""COMPUTED_VALUE"""),"https://www.tiktok.com/@sibar0324")</f>
        <v>https://www.tiktok.com/@sibar0324</v>
      </c>
      <c r="D82" s="23">
        <f>IFERROR(__xludf.DUMMYFUNCTION("""COMPUTED_VALUE"""),8.9646474955E10)</f>
        <v>89646474955</v>
      </c>
      <c r="E82" s="457">
        <f>IFERROR(__xludf.DUMMYFUNCTION("""COMPUTED_VALUE"""),100000.0)</f>
        <v>100000</v>
      </c>
      <c r="F82" s="270">
        <f>IFERROR(__xludf.DUMMYFUNCTION("""COMPUTED_VALUE"""),4.0)</f>
        <v>4</v>
      </c>
      <c r="G82" s="17" t="str">
        <f>IFERROR(__xludf.DUMMYFUNCTION("""COMPUTED_VALUE"""),"Full Set")</f>
        <v>Full Set</v>
      </c>
      <c r="H82" s="17"/>
      <c r="I82" s="262"/>
      <c r="J82" s="262"/>
      <c r="K82" s="262"/>
      <c r="L82" s="262"/>
      <c r="M82" s="262"/>
    </row>
    <row r="83">
      <c r="A83" s="255" t="str">
        <f>IFERROR(__xludf.DUMMYFUNCTION("""COMPUTED_VALUE"""),"MICRO")</f>
        <v>MICRO</v>
      </c>
      <c r="B83" s="23" t="str">
        <f>IFERROR(__xludf.DUMMYFUNCTION("""COMPUTED_VALUE"""),"enikuu")</f>
        <v>enikuu</v>
      </c>
      <c r="C83" s="257" t="str">
        <f>IFERROR(__xludf.DUMMYFUNCTION("""COMPUTED_VALUE"""),"https://www.tiktok.com/@enikuu")</f>
        <v>https://www.tiktok.com/@enikuu</v>
      </c>
      <c r="D83" s="23">
        <f>IFERROR(__xludf.DUMMYFUNCTION("""COMPUTED_VALUE"""),8.5759797832E10)</f>
        <v>85759797832</v>
      </c>
      <c r="E83" s="457">
        <f>IFERROR(__xludf.DUMMYFUNCTION("""COMPUTED_VALUE"""),100000.0)</f>
        <v>100000</v>
      </c>
      <c r="F83" s="270">
        <f>IFERROR(__xludf.DUMMYFUNCTION("""COMPUTED_VALUE"""),4.0)</f>
        <v>4</v>
      </c>
      <c r="G83" s="17" t="str">
        <f>IFERROR(__xludf.DUMMYFUNCTION("""COMPUTED_VALUE"""),"Full Set")</f>
        <v>Full Set</v>
      </c>
      <c r="H83" s="17"/>
      <c r="I83" s="262"/>
      <c r="J83" s="262"/>
      <c r="K83" s="262"/>
      <c r="L83" s="262"/>
      <c r="M83" s="262"/>
    </row>
    <row r="84">
      <c r="A84" s="255" t="str">
        <f>IFERROR(__xludf.DUMMYFUNCTION("""COMPUTED_VALUE"""),"MICRO")</f>
        <v>MICRO</v>
      </c>
      <c r="B84" s="23" t="str">
        <f>IFERROR(__xludf.DUMMYFUNCTION("""COMPUTED_VALUE"""),"lailinalhikmah")</f>
        <v>lailinalhikmah</v>
      </c>
      <c r="C84" s="257" t="str">
        <f>IFERROR(__xludf.DUMMYFUNCTION("""COMPUTED_VALUE"""),"https://www.tiktok.com/@lailinalhikmah")</f>
        <v>https://www.tiktok.com/@lailinalhikmah</v>
      </c>
      <c r="D84" s="23">
        <f>IFERROR(__xludf.DUMMYFUNCTION("""COMPUTED_VALUE"""),8.1393284895E10)</f>
        <v>81393284895</v>
      </c>
      <c r="E84" s="457">
        <f>IFERROR(__xludf.DUMMYFUNCTION("""COMPUTED_VALUE"""),100000.0)</f>
        <v>100000</v>
      </c>
      <c r="F84" s="270">
        <f>IFERROR(__xludf.DUMMYFUNCTION("""COMPUTED_VALUE"""),4.0)</f>
        <v>4</v>
      </c>
      <c r="G84" s="17" t="str">
        <f>IFERROR(__xludf.DUMMYFUNCTION("""COMPUTED_VALUE"""),"Full Set")</f>
        <v>Full Set</v>
      </c>
      <c r="H84" s="17"/>
      <c r="I84" s="262"/>
      <c r="J84" s="262"/>
      <c r="K84" s="262"/>
      <c r="L84" s="262"/>
      <c r="M84" s="262"/>
    </row>
    <row r="85">
      <c r="A85" s="255" t="str">
        <f>IFERROR(__xludf.DUMMYFUNCTION("""COMPUTED_VALUE"""),"MACRO")</f>
        <v>MACRO</v>
      </c>
      <c r="B85" s="23" t="str">
        <f>IFERROR(__xludf.DUMMYFUNCTION("""COMPUTED_VALUE"""),"ameliamoe24 ")</f>
        <v>ameliamoe24 </v>
      </c>
      <c r="C85" s="257" t="str">
        <f>IFERROR(__xludf.DUMMYFUNCTION("""COMPUTED_VALUE"""),"https://www.tiktok.com/@ameliamoe24 ")</f>
        <v>https://www.tiktok.com/@ameliamoe24 </v>
      </c>
      <c r="D85" s="23">
        <f>IFERROR(__xludf.DUMMYFUNCTION("""COMPUTED_VALUE"""),8.5813763011E10)</f>
        <v>85813763011</v>
      </c>
      <c r="E85" s="457">
        <f>IFERROR(__xludf.DUMMYFUNCTION("""COMPUTED_VALUE"""),100000.0)</f>
        <v>100000</v>
      </c>
      <c r="F85" s="270">
        <f>IFERROR(__xludf.DUMMYFUNCTION("""COMPUTED_VALUE"""),4.0)</f>
        <v>4</v>
      </c>
      <c r="G85" s="17" t="str">
        <f>IFERROR(__xludf.DUMMYFUNCTION("""COMPUTED_VALUE"""),"Full Set")</f>
        <v>Full Set</v>
      </c>
      <c r="H85" s="17"/>
      <c r="I85" s="262"/>
      <c r="J85" s="262"/>
      <c r="K85" s="262"/>
      <c r="L85" s="262"/>
      <c r="M85" s="262"/>
    </row>
    <row r="86">
      <c r="A86" s="255" t="str">
        <f>IFERROR(__xludf.DUMMYFUNCTION("""COMPUTED_VALUE"""),"MICRO")</f>
        <v>MICRO</v>
      </c>
      <c r="B86" s="23" t="str">
        <f>IFERROR(__xludf.DUMMYFUNCTION("""COMPUTED_VALUE"""),"reviewtetehvia")</f>
        <v>reviewtetehvia</v>
      </c>
      <c r="C86" s="257" t="str">
        <f>IFERROR(__xludf.DUMMYFUNCTION("""COMPUTED_VALUE"""),"https://www.tiktok.com/@reviewtetehvia")</f>
        <v>https://www.tiktok.com/@reviewtetehvia</v>
      </c>
      <c r="D86" s="23">
        <f>IFERROR(__xludf.DUMMYFUNCTION("""COMPUTED_VALUE"""),8.1224196039E10)</f>
        <v>81224196039</v>
      </c>
      <c r="E86" s="457">
        <f>IFERROR(__xludf.DUMMYFUNCTION("""COMPUTED_VALUE"""),100000.0)</f>
        <v>100000</v>
      </c>
      <c r="F86" s="270">
        <f>IFERROR(__xludf.DUMMYFUNCTION("""COMPUTED_VALUE"""),4.0)</f>
        <v>4</v>
      </c>
      <c r="G86" s="17" t="str">
        <f>IFERROR(__xludf.DUMMYFUNCTION("""COMPUTED_VALUE"""),"Full Set")</f>
        <v>Full Set</v>
      </c>
      <c r="H86" s="17"/>
      <c r="I86" s="278" t="str">
        <f>IFERROR(__xludf.DUMMYFUNCTION("""COMPUTED_VALUE"""),"https://www.tiktok.com/@reviewtetehvia/video/7637691188228934930?is_from_webapp=1&amp;sender_device=pc")</f>
        <v>https://www.tiktok.com/@reviewtetehvia/video/7637691188228934930?is_from_webapp=1&amp;sender_device=pc</v>
      </c>
      <c r="J86" s="262"/>
      <c r="K86" s="262"/>
      <c r="L86" s="262"/>
      <c r="M86" s="262"/>
    </row>
    <row r="87">
      <c r="A87" s="255" t="str">
        <f>IFERROR(__xludf.DUMMYFUNCTION("""COMPUTED_VALUE"""),"MICRO")</f>
        <v>MICRO</v>
      </c>
      <c r="B87" s="23" t="str">
        <f>IFERROR(__xludf.DUMMYFUNCTION("""COMPUTED_VALUE"""),"afraa_ngereview")</f>
        <v>afraa_ngereview</v>
      </c>
      <c r="C87" s="257" t="str">
        <f>IFERROR(__xludf.DUMMYFUNCTION("""COMPUTED_VALUE"""),"https://www.tiktok.com/@afraa_ngereview")</f>
        <v>https://www.tiktok.com/@afraa_ngereview</v>
      </c>
      <c r="D87" s="23">
        <f>IFERROR(__xludf.DUMMYFUNCTION("""COMPUTED_VALUE"""),8.95386952461E11)</f>
        <v>895386952461</v>
      </c>
      <c r="E87" s="457">
        <f>IFERROR(__xludf.DUMMYFUNCTION("""COMPUTED_VALUE"""),100000.0)</f>
        <v>100000</v>
      </c>
      <c r="F87" s="270">
        <f>IFERROR(__xludf.DUMMYFUNCTION("""COMPUTED_VALUE"""),4.0)</f>
        <v>4</v>
      </c>
      <c r="G87" s="17" t="str">
        <f>IFERROR(__xludf.DUMMYFUNCTION("""COMPUTED_VALUE"""),"Full Set")</f>
        <v>Full Set</v>
      </c>
      <c r="H87" s="17"/>
      <c r="I87" s="278" t="str">
        <f>IFERROR(__xludf.DUMMYFUNCTION("""COMPUTED_VALUE"""),"https://vt.tiktok.com/ZS9p4gp6T/")</f>
        <v>https://vt.tiktok.com/ZS9p4gp6T/</v>
      </c>
      <c r="J87" s="278" t="str">
        <f>IFERROR(__xludf.DUMMYFUNCTION("""COMPUTED_VALUE"""),"https://www.tiktok.com/@afraa_ngereview/video/7638938595864120584?is_from_webapp=1&amp;sender_device=pc")</f>
        <v>https://www.tiktok.com/@afraa_ngereview/video/7638938595864120584?is_from_webapp=1&amp;sender_device=pc</v>
      </c>
      <c r="K87" s="278" t="str">
        <f>IFERROR(__xludf.DUMMYFUNCTION("""COMPUTED_VALUE"""),"https://www.tiktok.com/@afraa_ngereview/video/7641453043405344007?is_from_webapp=1&amp;sender_device=pc")</f>
        <v>https://www.tiktok.com/@afraa_ngereview/video/7641453043405344007?is_from_webapp=1&amp;sender_device=pc</v>
      </c>
      <c r="L87" s="278" t="str">
        <f>IFERROR(__xludf.DUMMYFUNCTION("""COMPUTED_VALUE"""),"https://www.tiktok.com/@afraa_ngereview/video/7643318054385929479?is_from_webapp=1&amp;sender_device=pc")</f>
        <v>https://www.tiktok.com/@afraa_ngereview/video/7643318054385929479?is_from_webapp=1&amp;sender_device=pc</v>
      </c>
      <c r="M87" s="262"/>
    </row>
    <row r="88">
      <c r="A88" s="255" t="str">
        <f>IFERROR(__xludf.DUMMYFUNCTION("""COMPUTED_VALUE"""),"MICRO")</f>
        <v>MICRO</v>
      </c>
      <c r="B88" s="23" t="str">
        <f>IFERROR(__xludf.DUMMYFUNCTION("""COMPUTED_VALUE"""),"ibu_ninnda")</f>
        <v>ibu_ninnda</v>
      </c>
      <c r="C88" s="257" t="str">
        <f>IFERROR(__xludf.DUMMYFUNCTION("""COMPUTED_VALUE"""),"https://www.tiktok.com/@ibu_ninnda")</f>
        <v>https://www.tiktok.com/@ibu_ninnda</v>
      </c>
      <c r="D88" s="23">
        <f>IFERROR(__xludf.DUMMYFUNCTION("""COMPUTED_VALUE"""),8.139105391E10)</f>
        <v>81391053910</v>
      </c>
      <c r="E88" s="457">
        <f>IFERROR(__xludf.DUMMYFUNCTION("""COMPUTED_VALUE"""),100000.0)</f>
        <v>100000</v>
      </c>
      <c r="F88" s="270">
        <f>IFERROR(__xludf.DUMMYFUNCTION("""COMPUTED_VALUE"""),4.0)</f>
        <v>4</v>
      </c>
      <c r="G88" s="17" t="str">
        <f>IFERROR(__xludf.DUMMYFUNCTION("""COMPUTED_VALUE"""),"Full Set")</f>
        <v>Full Set</v>
      </c>
      <c r="H88" s="17"/>
      <c r="I88" s="278" t="str">
        <f>IFERROR(__xludf.DUMMYFUNCTION("""COMPUTED_VALUE"""),"https://www.tiktok.com/@ibu_ninnda/video/7642924640104418567?is_from_webapp=1&amp;sender_device=pc")</f>
        <v>https://www.tiktok.com/@ibu_ninnda/video/7642924640104418567?is_from_webapp=1&amp;sender_device=pc</v>
      </c>
      <c r="J88" s="262"/>
      <c r="K88" s="262"/>
      <c r="L88" s="262"/>
      <c r="M88" s="262"/>
    </row>
    <row r="89">
      <c r="A89" s="255" t="str">
        <f>IFERROR(__xludf.DUMMYFUNCTION("""COMPUTED_VALUE"""),"MICRO")</f>
        <v>MICRO</v>
      </c>
      <c r="B89" s="23" t="str">
        <f>IFERROR(__xludf.DUMMYFUNCTION("""COMPUTED_VALUE"""),"ditaarta_khan")</f>
        <v>ditaarta_khan</v>
      </c>
      <c r="C89" s="257" t="str">
        <f>IFERROR(__xludf.DUMMYFUNCTION("""COMPUTED_VALUE"""),"https://www.tiktok.com/@ditaarta_khan")</f>
        <v>https://www.tiktok.com/@ditaarta_khan</v>
      </c>
      <c r="D89" s="23">
        <f>IFERROR(__xludf.DUMMYFUNCTION("""COMPUTED_VALUE"""),8.8290195191E10)</f>
        <v>88290195191</v>
      </c>
      <c r="E89" s="457">
        <f>IFERROR(__xludf.DUMMYFUNCTION("""COMPUTED_VALUE"""),100000.0)</f>
        <v>100000</v>
      </c>
      <c r="F89" s="270">
        <f>IFERROR(__xludf.DUMMYFUNCTION("""COMPUTED_VALUE"""),4.0)</f>
        <v>4</v>
      </c>
      <c r="G89" s="17" t="str">
        <f>IFERROR(__xludf.DUMMYFUNCTION("""COMPUTED_VALUE"""),"Full Set")</f>
        <v>Full Set</v>
      </c>
      <c r="H89" s="17"/>
      <c r="I89" s="262"/>
      <c r="J89" s="262"/>
      <c r="K89" s="262"/>
      <c r="L89" s="262"/>
      <c r="M89" s="262"/>
    </row>
    <row r="90">
      <c r="A90" s="255" t="str">
        <f>IFERROR(__xludf.DUMMYFUNCTION("""COMPUTED_VALUE"""),"MICRO")</f>
        <v>MICRO</v>
      </c>
      <c r="B90" s="23" t="str">
        <f>IFERROR(__xludf.DUMMYFUNCTION("""COMPUTED_VALUE"""),"aty_1602")</f>
        <v>aty_1602</v>
      </c>
      <c r="C90" s="257" t="str">
        <f>IFERROR(__xludf.DUMMYFUNCTION("""COMPUTED_VALUE"""),"https://www.tiktok.com/@aty_1602")</f>
        <v>https://www.tiktok.com/@aty_1602</v>
      </c>
      <c r="D90" s="23">
        <f>IFERROR(__xludf.DUMMYFUNCTION("""COMPUTED_VALUE"""),8.95622104472E11)</f>
        <v>895622104472</v>
      </c>
      <c r="E90" s="457">
        <f>IFERROR(__xludf.DUMMYFUNCTION("""COMPUTED_VALUE"""),100000.0)</f>
        <v>100000</v>
      </c>
      <c r="F90" s="270">
        <f>IFERROR(__xludf.DUMMYFUNCTION("""COMPUTED_VALUE"""),4.0)</f>
        <v>4</v>
      </c>
      <c r="G90" s="17" t="str">
        <f>IFERROR(__xludf.DUMMYFUNCTION("""COMPUTED_VALUE"""),"Full Set")</f>
        <v>Full Set</v>
      </c>
      <c r="H90" s="17"/>
      <c r="I90" s="278" t="str">
        <f>IFERROR(__xludf.DUMMYFUNCTION("""COMPUTED_VALUE"""),"https://www.tiktok.com/@aty_1602/video/7637709197525781767?is_from_webapp=1&amp;sender_device=pc")</f>
        <v>https://www.tiktok.com/@aty_1602/video/7637709197525781767?is_from_webapp=1&amp;sender_device=pc</v>
      </c>
      <c r="J90" s="278" t="str">
        <f>IFERROR(__xludf.DUMMYFUNCTION("""COMPUTED_VALUE"""),"https://www.tiktok.com/@aty_1602/video/7638884758994341127?is_from_webapp=1&amp;sender_device=pc")</f>
        <v>https://www.tiktok.com/@aty_1602/video/7638884758994341127?is_from_webapp=1&amp;sender_device=pc</v>
      </c>
      <c r="K90" s="278" t="str">
        <f>IFERROR(__xludf.DUMMYFUNCTION("""COMPUTED_VALUE"""),"https://www.tiktok.com/@aty_1602/video/7640030382229851400?is_from_webapp=1&amp;sender_device=pc")</f>
        <v>https://www.tiktok.com/@aty_1602/video/7640030382229851400?is_from_webapp=1&amp;sender_device=pc</v>
      </c>
      <c r="L90" s="278" t="str">
        <f>IFERROR(__xludf.DUMMYFUNCTION("""COMPUTED_VALUE"""),"https://www.tiktok.com/@aty_1602/video/7641893694450224391")</f>
        <v>https://www.tiktok.com/@aty_1602/video/7641893694450224391</v>
      </c>
      <c r="M90" s="262"/>
    </row>
    <row r="91">
      <c r="A91" s="255" t="str">
        <f>IFERROR(__xludf.DUMMYFUNCTION("""COMPUTED_VALUE"""),"MICRO")</f>
        <v>MICRO</v>
      </c>
      <c r="B91" s="23" t="str">
        <f>IFERROR(__xludf.DUMMYFUNCTION("""COMPUTED_VALUE"""),"enjesoeyono")</f>
        <v>enjesoeyono</v>
      </c>
      <c r="C91" s="257" t="str">
        <f>IFERROR(__xludf.DUMMYFUNCTION("""COMPUTED_VALUE"""),"https://www.tiktok.com/@enjesoeyono")</f>
        <v>https://www.tiktok.com/@enjesoeyono</v>
      </c>
      <c r="D91" s="23">
        <f>IFERROR(__xludf.DUMMYFUNCTION("""COMPUTED_VALUE"""),8.2280809055E10)</f>
        <v>82280809055</v>
      </c>
      <c r="E91" s="457">
        <f>IFERROR(__xludf.DUMMYFUNCTION("""COMPUTED_VALUE"""),100000.0)</f>
        <v>100000</v>
      </c>
      <c r="F91" s="270">
        <f>IFERROR(__xludf.DUMMYFUNCTION("""COMPUTED_VALUE"""),4.0)</f>
        <v>4</v>
      </c>
      <c r="G91" s="17" t="str">
        <f>IFERROR(__xludf.DUMMYFUNCTION("""COMPUTED_VALUE"""),"Full Set")</f>
        <v>Full Set</v>
      </c>
      <c r="H91" s="17"/>
      <c r="I91" s="278" t="str">
        <f>IFERROR(__xludf.DUMMYFUNCTION("""COMPUTED_VALUE"""),"https://www.tiktok.com/@enjesoeyono/video/7639144769708657941?is_from_webapp=1&amp;sender_device=pc")</f>
        <v>https://www.tiktok.com/@enjesoeyono/video/7639144769708657941?is_from_webapp=1&amp;sender_device=pc</v>
      </c>
      <c r="J91" s="278" t="str">
        <f>IFERROR(__xludf.DUMMYFUNCTION("""COMPUTED_VALUE"""),"https://www.tiktok.com/@enjesoeyono/video/7640736381618244885?is_from_webapp=1&amp;sender_device=pc")</f>
        <v>https://www.tiktok.com/@enjesoeyono/video/7640736381618244885?is_from_webapp=1&amp;sender_device=pc</v>
      </c>
      <c r="K91" s="278" t="str">
        <f>IFERROR(__xludf.DUMMYFUNCTION("""COMPUTED_VALUE"""),"https://www.tiktok.com/@enjesoeyono/video/7641931305361345813?is_from_webapp=1&amp;sender_device=pc")</f>
        <v>https://www.tiktok.com/@enjesoeyono/video/7641931305361345813?is_from_webapp=1&amp;sender_device=pc</v>
      </c>
      <c r="L91" s="278" t="str">
        <f>IFERROR(__xludf.DUMMYFUNCTION("""COMPUTED_VALUE"""),"https://www.tiktok.com/@enjesoeyono/video/7642176953755110677?is_from_webapp=1&amp;sender_device=pc")</f>
        <v>https://www.tiktok.com/@enjesoeyono/video/7642176953755110677?is_from_webapp=1&amp;sender_device=pc</v>
      </c>
      <c r="M91" s="262"/>
    </row>
    <row r="92">
      <c r="A92" s="255" t="str">
        <f>IFERROR(__xludf.DUMMYFUNCTION("""COMPUTED_VALUE"""),"MICRO")</f>
        <v>MICRO</v>
      </c>
      <c r="B92" s="23" t="str">
        <f>IFERROR(__xludf.DUMMYFUNCTION("""COMPUTED_VALUE"""),"khoiraisyah2")</f>
        <v>khoiraisyah2</v>
      </c>
      <c r="C92" s="257" t="str">
        <f>IFERROR(__xludf.DUMMYFUNCTION("""COMPUTED_VALUE"""),"https://www.tiktok.com/@khoiraisyah2")</f>
        <v>https://www.tiktok.com/@khoiraisyah2</v>
      </c>
      <c r="D92" s="23">
        <f>IFERROR(__xludf.DUMMYFUNCTION("""COMPUTED_VALUE"""),8.5655714354E10)</f>
        <v>85655714354</v>
      </c>
      <c r="E92" s="457">
        <f>IFERROR(__xludf.DUMMYFUNCTION("""COMPUTED_VALUE"""),100000.0)</f>
        <v>100000</v>
      </c>
      <c r="F92" s="270">
        <f>IFERROR(__xludf.DUMMYFUNCTION("""COMPUTED_VALUE"""),4.0)</f>
        <v>4</v>
      </c>
      <c r="G92" s="17" t="str">
        <f>IFERROR(__xludf.DUMMYFUNCTION("""COMPUTED_VALUE"""),"Full Set")</f>
        <v>Full Set</v>
      </c>
      <c r="H92" s="17"/>
      <c r="I92" s="262"/>
      <c r="J92" s="262"/>
      <c r="K92" s="262"/>
      <c r="L92" s="262"/>
      <c r="M92" s="262"/>
    </row>
    <row r="93">
      <c r="A93" s="255" t="str">
        <f>IFERROR(__xludf.DUMMYFUNCTION("""COMPUTED_VALUE"""),"NANO")</f>
        <v>NANO</v>
      </c>
      <c r="B93" s="23" t="str">
        <f>IFERROR(__xludf.DUMMYFUNCTION("""COMPUTED_VALUE"""),"_yh00")</f>
        <v>_yh00</v>
      </c>
      <c r="C93" s="257" t="str">
        <f>IFERROR(__xludf.DUMMYFUNCTION("""COMPUTED_VALUE"""),"https://www.tiktok.com/@_yh00")</f>
        <v>https://www.tiktok.com/@_yh00</v>
      </c>
      <c r="D93" s="23">
        <f>IFERROR(__xludf.DUMMYFUNCTION("""COMPUTED_VALUE"""),8.156184145E9)</f>
        <v>8156184145</v>
      </c>
      <c r="E93" s="457">
        <f>IFERROR(__xludf.DUMMYFUNCTION("""COMPUTED_VALUE"""),0.0)</f>
        <v>0</v>
      </c>
      <c r="F93" s="270">
        <f>IFERROR(__xludf.DUMMYFUNCTION("""COMPUTED_VALUE"""),4.0)</f>
        <v>4</v>
      </c>
      <c r="G93" s="17" t="str">
        <f>IFERROR(__xludf.DUMMYFUNCTION("""COMPUTED_VALUE"""),"Full Set")</f>
        <v>Full Set</v>
      </c>
      <c r="H93" s="17"/>
      <c r="I93" s="262"/>
      <c r="J93" s="262"/>
      <c r="K93" s="262"/>
      <c r="L93" s="262"/>
      <c r="M93" s="262"/>
    </row>
    <row r="94">
      <c r="A94" s="255" t="str">
        <f>IFERROR(__xludf.DUMMYFUNCTION("""COMPUTED_VALUE"""),"NANO")</f>
        <v>NANO</v>
      </c>
      <c r="B94" s="23" t="str">
        <f>IFERROR(__xludf.DUMMYFUNCTION("""COMPUTED_VALUE"""),"hi_jaenaa")</f>
        <v>hi_jaenaa</v>
      </c>
      <c r="C94" s="257" t="str">
        <f>IFERROR(__xludf.DUMMYFUNCTION("""COMPUTED_VALUE"""),"https://www.tiktok.com/@hi_jaenaa")</f>
        <v>https://www.tiktok.com/@hi_jaenaa</v>
      </c>
      <c r="D94" s="23">
        <f>IFERROR(__xludf.DUMMYFUNCTION("""COMPUTED_VALUE"""),8.82006643919E11)</f>
        <v>882006643919</v>
      </c>
      <c r="E94" s="457">
        <f>IFERROR(__xludf.DUMMYFUNCTION("""COMPUTED_VALUE"""),0.0)</f>
        <v>0</v>
      </c>
      <c r="F94" s="270">
        <f>IFERROR(__xludf.DUMMYFUNCTION("""COMPUTED_VALUE"""),4.0)</f>
        <v>4</v>
      </c>
      <c r="G94" s="17" t="str">
        <f>IFERROR(__xludf.DUMMYFUNCTION("""COMPUTED_VALUE"""),"Full Set")</f>
        <v>Full Set</v>
      </c>
      <c r="H94" s="17"/>
      <c r="I94" s="262"/>
      <c r="J94" s="262"/>
      <c r="K94" s="262"/>
      <c r="L94" s="262"/>
      <c r="M94" s="262"/>
    </row>
    <row r="95">
      <c r="A95" s="255" t="str">
        <f>IFERROR(__xludf.DUMMYFUNCTION("""COMPUTED_VALUE"""),"MICRO")</f>
        <v>MICRO</v>
      </c>
      <c r="B95" s="23" t="str">
        <f>IFERROR(__xludf.DUMMYFUNCTION("""COMPUTED_VALUE"""),"Alyaditami")</f>
        <v>Alyaditami</v>
      </c>
      <c r="C95" s="257" t="str">
        <f>IFERROR(__xludf.DUMMYFUNCTION("""COMPUTED_VALUE"""),"https://www.tiktok.com/@Alyaditami")</f>
        <v>https://www.tiktok.com/@Alyaditami</v>
      </c>
      <c r="D95" s="23">
        <f>IFERROR(__xludf.DUMMYFUNCTION("""COMPUTED_VALUE"""),8.5729227221E10)</f>
        <v>85729227221</v>
      </c>
      <c r="E95" s="457">
        <f>IFERROR(__xludf.DUMMYFUNCTION("""COMPUTED_VALUE"""),0.0)</f>
        <v>0</v>
      </c>
      <c r="F95" s="270">
        <f>IFERROR(__xludf.DUMMYFUNCTION("""COMPUTED_VALUE"""),4.0)</f>
        <v>4</v>
      </c>
      <c r="G95" s="17" t="str">
        <f>IFERROR(__xludf.DUMMYFUNCTION("""COMPUTED_VALUE"""),"Full Set")</f>
        <v>Full Set</v>
      </c>
      <c r="H95" s="17"/>
      <c r="I95" s="262"/>
      <c r="J95" s="262"/>
      <c r="K95" s="262"/>
      <c r="L95" s="262"/>
      <c r="M95" s="262"/>
    </row>
    <row r="96">
      <c r="A96" s="255" t="str">
        <f>IFERROR(__xludf.DUMMYFUNCTION("""COMPUTED_VALUE"""),"MICRO")</f>
        <v>MICRO</v>
      </c>
      <c r="B96" s="23" t="str">
        <f>IFERROR(__xludf.DUMMYFUNCTION("""COMPUTED_VALUE"""),"verapurn")</f>
        <v>verapurn</v>
      </c>
      <c r="C96" s="257" t="str">
        <f>IFERROR(__xludf.DUMMYFUNCTION("""COMPUTED_VALUE"""),"https://www.tiktok.com/@verapurn")</f>
        <v>https://www.tiktok.com/@verapurn</v>
      </c>
      <c r="D96" s="23">
        <f>IFERROR(__xludf.DUMMYFUNCTION("""COMPUTED_VALUE"""),8.1292214475E10)</f>
        <v>81292214475</v>
      </c>
      <c r="E96" s="457">
        <f>IFERROR(__xludf.DUMMYFUNCTION("""COMPUTED_VALUE"""),0.0)</f>
        <v>0</v>
      </c>
      <c r="F96" s="270">
        <f>IFERROR(__xludf.DUMMYFUNCTION("""COMPUTED_VALUE"""),1.0)</f>
        <v>1</v>
      </c>
      <c r="G96" s="17" t="str">
        <f>IFERROR(__xludf.DUMMYFUNCTION("""COMPUTED_VALUE"""),"Full Set")</f>
        <v>Full Set</v>
      </c>
      <c r="H96" s="17"/>
      <c r="I96" s="262"/>
      <c r="J96" s="262"/>
      <c r="K96" s="262"/>
      <c r="L96" s="262"/>
      <c r="M96" s="262"/>
    </row>
    <row r="97">
      <c r="A97" s="255" t="str">
        <f>IFERROR(__xludf.DUMMYFUNCTION("""COMPUTED_VALUE"""),"NANO")</f>
        <v>NANO</v>
      </c>
      <c r="B97" s="23" t="str">
        <f>IFERROR(__xludf.DUMMYFUNCTION("""COMPUTED_VALUE"""),"novia_aida011")</f>
        <v>novia_aida011</v>
      </c>
      <c r="C97" s="257" t="str">
        <f>IFERROR(__xludf.DUMMYFUNCTION("""COMPUTED_VALUE"""),"https://www.tiktok.com/@novia_aida011")</f>
        <v>https://www.tiktok.com/@novia_aida011</v>
      </c>
      <c r="D97" s="23">
        <f>IFERROR(__xludf.DUMMYFUNCTION("""COMPUTED_VALUE"""),8.818570993E9)</f>
        <v>8818570993</v>
      </c>
      <c r="E97" s="457">
        <f>IFERROR(__xludf.DUMMYFUNCTION("""COMPUTED_VALUE"""),0.0)</f>
        <v>0</v>
      </c>
      <c r="F97" s="270">
        <f>IFERROR(__xludf.DUMMYFUNCTION("""COMPUTED_VALUE"""),4.0)</f>
        <v>4</v>
      </c>
      <c r="G97" s="17" t="str">
        <f>IFERROR(__xludf.DUMMYFUNCTION("""COMPUTED_VALUE"""),"Full Set")</f>
        <v>Full Set</v>
      </c>
      <c r="H97" s="17"/>
      <c r="I97" s="262"/>
      <c r="J97" s="262"/>
      <c r="K97" s="262"/>
      <c r="L97" s="262"/>
      <c r="M97" s="262"/>
    </row>
    <row r="98">
      <c r="A98" s="255" t="str">
        <f>IFERROR(__xludf.DUMMYFUNCTION("""COMPUTED_VALUE"""),"NANO")</f>
        <v>NANO</v>
      </c>
      <c r="B98" s="23" t="str">
        <f>IFERROR(__xludf.DUMMYFUNCTION("""COMPUTED_VALUE"""),"Beauty_Shop361")</f>
        <v>Beauty_Shop361</v>
      </c>
      <c r="C98" s="257" t="str">
        <f>IFERROR(__xludf.DUMMYFUNCTION("""COMPUTED_VALUE"""),"https://www.tiktok.com/@Beauty_Shop361")</f>
        <v>https://www.tiktok.com/@Beauty_Shop361</v>
      </c>
      <c r="D98" s="23">
        <f>IFERROR(__xludf.DUMMYFUNCTION("""COMPUTED_VALUE"""),8.1324816069E10)</f>
        <v>81324816069</v>
      </c>
      <c r="E98" s="457">
        <f>IFERROR(__xludf.DUMMYFUNCTION("""COMPUTED_VALUE"""),0.0)</f>
        <v>0</v>
      </c>
      <c r="F98" s="270">
        <f>IFERROR(__xludf.DUMMYFUNCTION("""COMPUTED_VALUE"""),4.0)</f>
        <v>4</v>
      </c>
      <c r="G98" s="17" t="str">
        <f>IFERROR(__xludf.DUMMYFUNCTION("""COMPUTED_VALUE"""),"Full Set")</f>
        <v>Full Set</v>
      </c>
      <c r="H98" s="17"/>
      <c r="I98" s="262"/>
      <c r="J98" s="262"/>
      <c r="K98" s="262"/>
      <c r="L98" s="262"/>
      <c r="M98" s="262"/>
    </row>
    <row r="99">
      <c r="A99" s="255" t="str">
        <f>IFERROR(__xludf.DUMMYFUNCTION("""COMPUTED_VALUE"""),"MICRO")</f>
        <v>MICRO</v>
      </c>
      <c r="B99" s="23" t="str">
        <f>IFERROR(__xludf.DUMMYFUNCTION("""COMPUTED_VALUE"""),"ayuni_can")</f>
        <v>ayuni_can</v>
      </c>
      <c r="C99" s="257" t="str">
        <f>IFERROR(__xludf.DUMMYFUNCTION("""COMPUTED_VALUE"""),"https://www.tiktok.com/@ayuni_can")</f>
        <v>https://www.tiktok.com/@ayuni_can</v>
      </c>
      <c r="D99" s="23">
        <f>IFERROR(__xludf.DUMMYFUNCTION("""COMPUTED_VALUE"""),8.2199835757E10)</f>
        <v>82199835757</v>
      </c>
      <c r="E99" s="457">
        <f>IFERROR(__xludf.DUMMYFUNCTION("""COMPUTED_VALUE"""),0.0)</f>
        <v>0</v>
      </c>
      <c r="F99" s="270">
        <f>IFERROR(__xludf.DUMMYFUNCTION("""COMPUTED_VALUE"""),4.0)</f>
        <v>4</v>
      </c>
      <c r="G99" s="17" t="str">
        <f>IFERROR(__xludf.DUMMYFUNCTION("""COMPUTED_VALUE"""),"Full Set")</f>
        <v>Full Set</v>
      </c>
      <c r="H99" s="17"/>
      <c r="I99" s="278" t="str">
        <f>IFERROR(__xludf.DUMMYFUNCTION("""COMPUTED_VALUE"""),"https://www.tiktok.com/@ayuni_can/video/7635823344176139540?is_from_webapp=1&amp;sender_device=pc")</f>
        <v>https://www.tiktok.com/@ayuni_can/video/7635823344176139540?is_from_webapp=1&amp;sender_device=pc</v>
      </c>
      <c r="J99" s="278" t="str">
        <f>IFERROR(__xludf.DUMMYFUNCTION("""COMPUTED_VALUE"""),"https://www.tiktok.com/@ayuni_can/video/7639598897060433172?is_from_webapp=1&amp;sender_device=pc")</f>
        <v>https://www.tiktok.com/@ayuni_can/video/7639598897060433172?is_from_webapp=1&amp;sender_device=pc</v>
      </c>
      <c r="K99" s="278" t="str">
        <f>IFERROR(__xludf.DUMMYFUNCTION("""COMPUTED_VALUE"""),"https://www.tiktok.com/@ayuni_can/video/7639622554742738197?is_from_webapp=1&amp;sender_device=pc")</f>
        <v>https://www.tiktok.com/@ayuni_can/video/7639622554742738197?is_from_webapp=1&amp;sender_device=pc</v>
      </c>
      <c r="L99" s="262"/>
      <c r="M99" s="262"/>
    </row>
    <row r="100">
      <c r="A100" s="255" t="str">
        <f>IFERROR(__xludf.DUMMYFUNCTION("""COMPUTED_VALUE"""),"MICRO")</f>
        <v>MICRO</v>
      </c>
      <c r="B100" s="23" t="str">
        <f>IFERROR(__xludf.DUMMYFUNCTION("""COMPUTED_VALUE"""),"Oksitosiiiiiin")</f>
        <v>Oksitosiiiiiin</v>
      </c>
      <c r="C100" s="257" t="str">
        <f>IFERROR(__xludf.DUMMYFUNCTION("""COMPUTED_VALUE"""),"https://www.tiktok.com/@Oksitosiiiiiin")</f>
        <v>https://www.tiktok.com/@Oksitosiiiiiin</v>
      </c>
      <c r="D100" s="23">
        <f>IFERROR(__xludf.DUMMYFUNCTION("""COMPUTED_VALUE"""),8.529460708E10)</f>
        <v>85294607080</v>
      </c>
      <c r="E100" s="457">
        <f>IFERROR(__xludf.DUMMYFUNCTION("""COMPUTED_VALUE"""),0.0)</f>
        <v>0</v>
      </c>
      <c r="F100" s="270">
        <f>IFERROR(__xludf.DUMMYFUNCTION("""COMPUTED_VALUE"""),4.0)</f>
        <v>4</v>
      </c>
      <c r="G100" s="17" t="str">
        <f>IFERROR(__xludf.DUMMYFUNCTION("""COMPUTED_VALUE"""),"Full Set")</f>
        <v>Full Set</v>
      </c>
      <c r="H100" s="17"/>
      <c r="I100" s="262"/>
      <c r="J100" s="262"/>
      <c r="K100" s="262"/>
      <c r="L100" s="262"/>
      <c r="M100" s="262"/>
    </row>
    <row r="101">
      <c r="A101" s="255" t="str">
        <f>IFERROR(__xludf.DUMMYFUNCTION("""COMPUTED_VALUE"""),"MICRO")</f>
        <v>MICRO</v>
      </c>
      <c r="B101" s="23" t="str">
        <f>IFERROR(__xludf.DUMMYFUNCTION("""COMPUTED_VALUE"""),"eriyunitaa ")</f>
        <v>eriyunitaa </v>
      </c>
      <c r="C101" s="257" t="str">
        <f>IFERROR(__xludf.DUMMYFUNCTION("""COMPUTED_VALUE"""),"https://www.tiktok.com/@eriyunitaa ")</f>
        <v>https://www.tiktok.com/@eriyunitaa </v>
      </c>
      <c r="D101" s="23">
        <f>IFERROR(__xludf.DUMMYFUNCTION("""COMPUTED_VALUE"""),8.121390285E10)</f>
        <v>81213902850</v>
      </c>
      <c r="E101" s="457">
        <f>IFERROR(__xludf.DUMMYFUNCTION("""COMPUTED_VALUE"""),0.0)</f>
        <v>0</v>
      </c>
      <c r="F101" s="270">
        <f>IFERROR(__xludf.DUMMYFUNCTION("""COMPUTED_VALUE"""),4.0)</f>
        <v>4</v>
      </c>
      <c r="G101" s="17" t="str">
        <f>IFERROR(__xludf.DUMMYFUNCTION("""COMPUTED_VALUE"""),"Full Set")</f>
        <v>Full Set</v>
      </c>
      <c r="H101" s="17"/>
      <c r="I101" s="278" t="str">
        <f>IFERROR(__xludf.DUMMYFUNCTION("""COMPUTED_VALUE"""),"https://www.tiktok.com/@eriyunitaa/video/7637729688378510613?is_from_webapp=1&amp;sender_device=pc")</f>
        <v>https://www.tiktok.com/@eriyunitaa/video/7637729688378510613?is_from_webapp=1&amp;sender_device=pc</v>
      </c>
      <c r="J101" s="278" t="str">
        <f>IFERROR(__xludf.DUMMYFUNCTION("""COMPUTED_VALUE"""),"https://www.tiktok.com/@eriyunitaa/video/7637732498788797717?is_from_webapp=1&amp;sender_device=pc")</f>
        <v>https://www.tiktok.com/@eriyunitaa/video/7637732498788797717?is_from_webapp=1&amp;sender_device=pc</v>
      </c>
      <c r="K101" s="278" t="str">
        <f>IFERROR(__xludf.DUMMYFUNCTION("""COMPUTED_VALUE"""),"https://www.tiktok.com/@eriyunitaa/video/7640307258831686933?is_from_webapp=1&amp;sender_device=pc")</f>
        <v>https://www.tiktok.com/@eriyunitaa/video/7640307258831686933?is_from_webapp=1&amp;sender_device=pc</v>
      </c>
      <c r="L101" s="278" t="str">
        <f>IFERROR(__xludf.DUMMYFUNCTION("""COMPUTED_VALUE"""),"https://www.tiktok.com/@eriyunitaa/video/7640311885585272085?is_from_webapp=1&amp;sender_device=pc")</f>
        <v>https://www.tiktok.com/@eriyunitaa/video/7640311885585272085?is_from_webapp=1&amp;sender_device=pc</v>
      </c>
      <c r="M101" s="262"/>
    </row>
    <row r="102">
      <c r="A102" s="255" t="str">
        <f>IFERROR(__xludf.DUMMYFUNCTION("""COMPUTED_VALUE"""),"MICRO")</f>
        <v>MICRO</v>
      </c>
      <c r="B102" s="23" t="str">
        <f>IFERROR(__xludf.DUMMYFUNCTION("""COMPUTED_VALUE"""),"zatheaolshop")</f>
        <v>zatheaolshop</v>
      </c>
      <c r="C102" s="257" t="str">
        <f>IFERROR(__xludf.DUMMYFUNCTION("""COMPUTED_VALUE"""),"https://www.tiktok.com/@zatheaolshop")</f>
        <v>https://www.tiktok.com/@zatheaolshop</v>
      </c>
      <c r="D102" s="23">
        <f>IFERROR(__xludf.DUMMYFUNCTION("""COMPUTED_VALUE"""),8.9687349877E10)</f>
        <v>89687349877</v>
      </c>
      <c r="E102" s="457">
        <f>IFERROR(__xludf.DUMMYFUNCTION("""COMPUTED_VALUE"""),0.0)</f>
        <v>0</v>
      </c>
      <c r="F102" s="270">
        <f>IFERROR(__xludf.DUMMYFUNCTION("""COMPUTED_VALUE"""),4.0)</f>
        <v>4</v>
      </c>
      <c r="G102" s="17" t="str">
        <f>IFERROR(__xludf.DUMMYFUNCTION("""COMPUTED_VALUE"""),"Full Set")</f>
        <v>Full Set</v>
      </c>
      <c r="H102" s="17"/>
      <c r="I102" s="262"/>
      <c r="J102" s="262"/>
      <c r="K102" s="262"/>
      <c r="L102" s="262"/>
      <c r="M102" s="262"/>
    </row>
    <row r="103">
      <c r="A103" s="255" t="str">
        <f>IFERROR(__xludf.DUMMYFUNCTION("""COMPUTED_VALUE"""),"MICRO")</f>
        <v>MICRO</v>
      </c>
      <c r="B103" s="23" t="str">
        <f>IFERROR(__xludf.DUMMYFUNCTION("""COMPUTED_VALUE"""),"Shinta.deput ")</f>
        <v>Shinta.deput </v>
      </c>
      <c r="C103" s="257" t="str">
        <f>IFERROR(__xludf.DUMMYFUNCTION("""COMPUTED_VALUE"""),"https://www.tiktok.com/@Shinta.deput ")</f>
        <v>https://www.tiktok.com/@Shinta.deput </v>
      </c>
      <c r="D103" s="23">
        <f>IFERROR(__xludf.DUMMYFUNCTION("""COMPUTED_VALUE"""),8.5740007341E10)</f>
        <v>85740007341</v>
      </c>
      <c r="E103" s="457">
        <f>IFERROR(__xludf.DUMMYFUNCTION("""COMPUTED_VALUE"""),100000.0)</f>
        <v>100000</v>
      </c>
      <c r="F103" s="270">
        <f>IFERROR(__xludf.DUMMYFUNCTION("""COMPUTED_VALUE"""),4.0)</f>
        <v>4</v>
      </c>
      <c r="G103" s="17" t="str">
        <f>IFERROR(__xludf.DUMMYFUNCTION("""COMPUTED_VALUE"""),"Full Set")</f>
        <v>Full Set</v>
      </c>
      <c r="H103" s="17"/>
      <c r="I103" s="262"/>
      <c r="J103" s="262"/>
      <c r="K103" s="262"/>
      <c r="L103" s="262"/>
      <c r="M103" s="262"/>
    </row>
    <row r="104">
      <c r="A104" s="255" t="str">
        <f>IFERROR(__xludf.DUMMYFUNCTION("""COMPUTED_VALUE"""),"MICRO")</f>
        <v>MICRO</v>
      </c>
      <c r="B104" s="23" t="str">
        <f>IFERROR(__xludf.DUMMYFUNCTION("""COMPUTED_VALUE"""),"ghandi_ghinda")</f>
        <v>ghandi_ghinda</v>
      </c>
      <c r="C104" s="257" t="str">
        <f>IFERROR(__xludf.DUMMYFUNCTION("""COMPUTED_VALUE"""),"https://www.tiktok.com/@ghandi_ghinda")</f>
        <v>https://www.tiktok.com/@ghandi_ghinda</v>
      </c>
      <c r="D104" s="23">
        <f>IFERROR(__xludf.DUMMYFUNCTION("""COMPUTED_VALUE"""),8.5655085584E10)</f>
        <v>85655085584</v>
      </c>
      <c r="E104" s="457">
        <f>IFERROR(__xludf.DUMMYFUNCTION("""COMPUTED_VALUE"""),100000.0)</f>
        <v>100000</v>
      </c>
      <c r="F104" s="270">
        <f>IFERROR(__xludf.DUMMYFUNCTION("""COMPUTED_VALUE"""),4.0)</f>
        <v>4</v>
      </c>
      <c r="G104" s="17" t="str">
        <f>IFERROR(__xludf.DUMMYFUNCTION("""COMPUTED_VALUE"""),"Full Set")</f>
        <v>Full Set</v>
      </c>
      <c r="H104" s="17"/>
      <c r="I104" s="278" t="str">
        <f>IFERROR(__xludf.DUMMYFUNCTION("""COMPUTED_VALUE"""),"https://www.tiktok.com/@ghandi_ghinda/video/7642677577865317652?is_from_webapp=1&amp;sender_device=pc")</f>
        <v>https://www.tiktok.com/@ghandi_ghinda/video/7642677577865317652?is_from_webapp=1&amp;sender_device=pc</v>
      </c>
      <c r="J104" s="278" t="str">
        <f>IFERROR(__xludf.DUMMYFUNCTION("""COMPUTED_VALUE"""),"https://www.tiktok.com/@ghandi_ghinda/video/7643308704741346581?is_from_webapp=1&amp;sender_device=pc")</f>
        <v>https://www.tiktok.com/@ghandi_ghinda/video/7643308704741346581?is_from_webapp=1&amp;sender_device=pc</v>
      </c>
      <c r="K104" s="262"/>
      <c r="L104" s="262"/>
      <c r="M104" s="262"/>
    </row>
    <row r="105">
      <c r="A105" s="255" t="str">
        <f>IFERROR(__xludf.DUMMYFUNCTION("""COMPUTED_VALUE"""),"MICRO")</f>
        <v>MICRO</v>
      </c>
      <c r="B105" s="23" t="str">
        <f>IFERROR(__xludf.DUMMYFUNCTION("""COMPUTED_VALUE"""),"maghfiratuww")</f>
        <v>maghfiratuww</v>
      </c>
      <c r="C105" s="257" t="str">
        <f>IFERROR(__xludf.DUMMYFUNCTION("""COMPUTED_VALUE"""),"https://www.tiktok.com/@maghfiratuww")</f>
        <v>https://www.tiktok.com/@maghfiratuww</v>
      </c>
      <c r="D105" s="23">
        <f>IFERROR(__xludf.DUMMYFUNCTION("""COMPUTED_VALUE"""),8.2301713618E10)</f>
        <v>82301713618</v>
      </c>
      <c r="E105" s="457">
        <f>IFERROR(__xludf.DUMMYFUNCTION("""COMPUTED_VALUE"""),100000.0)</f>
        <v>100000</v>
      </c>
      <c r="F105" s="270">
        <f>IFERROR(__xludf.DUMMYFUNCTION("""COMPUTED_VALUE"""),4.0)</f>
        <v>4</v>
      </c>
      <c r="G105" s="17" t="str">
        <f>IFERROR(__xludf.DUMMYFUNCTION("""COMPUTED_VALUE"""),"Full Set")</f>
        <v>Full Set</v>
      </c>
      <c r="H105" s="17"/>
      <c r="I105" s="262"/>
      <c r="J105" s="262"/>
      <c r="K105" s="262"/>
      <c r="L105" s="262"/>
      <c r="M105" s="262"/>
    </row>
    <row r="106">
      <c r="A106" s="255" t="str">
        <f>IFERROR(__xludf.DUMMYFUNCTION("""COMPUTED_VALUE"""),"MICRO")</f>
        <v>MICRO</v>
      </c>
      <c r="B106" s="23" t="str">
        <f>IFERROR(__xludf.DUMMYFUNCTION("""COMPUTED_VALUE"""),"galeriaha")</f>
        <v>galeriaha</v>
      </c>
      <c r="C106" s="257" t="str">
        <f>IFERROR(__xludf.DUMMYFUNCTION("""COMPUTED_VALUE"""),"https://www.tiktok.com/@galeriaha")</f>
        <v>https://www.tiktok.com/@galeriaha</v>
      </c>
      <c r="D106" s="23">
        <f>IFERROR(__xludf.DUMMYFUNCTION("""COMPUTED_VALUE"""),8.560926491E10)</f>
        <v>85609264910</v>
      </c>
      <c r="E106" s="457">
        <f>IFERROR(__xludf.DUMMYFUNCTION("""COMPUTED_VALUE"""),0.0)</f>
        <v>0</v>
      </c>
      <c r="F106" s="270">
        <f>IFERROR(__xludf.DUMMYFUNCTION("""COMPUTED_VALUE"""),4.0)</f>
        <v>4</v>
      </c>
      <c r="G106" s="17" t="str">
        <f>IFERROR(__xludf.DUMMYFUNCTION("""COMPUTED_VALUE"""),"Full Set")</f>
        <v>Full Set</v>
      </c>
      <c r="H106" s="17"/>
      <c r="I106" s="278" t="str">
        <f>IFERROR(__xludf.DUMMYFUNCTION("""COMPUTED_VALUE"""),"https://vt.tiktok.com/ZS93Vo6sX/")</f>
        <v>https://vt.tiktok.com/ZS93Vo6sX/</v>
      </c>
      <c r="J106" s="278" t="str">
        <f>IFERROR(__xludf.DUMMYFUNCTION("""COMPUTED_VALUE"""),"https://www.tiktok.com/@galeriaha/video/7638502922183003413?is_from_webapp=1&amp;sender_device=pc")</f>
        <v>https://www.tiktok.com/@galeriaha/video/7638502922183003413?is_from_webapp=1&amp;sender_device=pc</v>
      </c>
      <c r="K106" s="278" t="str">
        <f>IFERROR(__xludf.DUMMYFUNCTION("""COMPUTED_VALUE"""),"https://www.tiktok.com/@galeriaha/video/7636381929280982293?is_from_webapp=1&amp;sender_device=pc")</f>
        <v>https://www.tiktok.com/@galeriaha/video/7636381929280982293?is_from_webapp=1&amp;sender_device=pc</v>
      </c>
      <c r="L106" s="278" t="str">
        <f>IFERROR(__xludf.DUMMYFUNCTION("""COMPUTED_VALUE"""),"https://www.tiktok.com/@galeriaha/video/7636654783587224853?is_from_webapp=1&amp;sender_device=pc")</f>
        <v>https://www.tiktok.com/@galeriaha/video/7636654783587224853?is_from_webapp=1&amp;sender_device=pc</v>
      </c>
      <c r="M106" s="262"/>
    </row>
    <row r="107">
      <c r="A107" s="255" t="str">
        <f>IFERROR(__xludf.DUMMYFUNCTION("""COMPUTED_VALUE"""),"NANO")</f>
        <v>NANO</v>
      </c>
      <c r="B107" s="23" t="str">
        <f>IFERROR(__xludf.DUMMYFUNCTION("""COMPUTED_VALUE"""),"Onja.onya")</f>
        <v>Onja.onya</v>
      </c>
      <c r="C107" s="257" t="str">
        <f>IFERROR(__xludf.DUMMYFUNCTION("""COMPUTED_VALUE"""),"https://www.tiktok.com/@Onja.onya")</f>
        <v>https://www.tiktok.com/@Onja.onya</v>
      </c>
      <c r="D107" s="23">
        <f>IFERROR(__xludf.DUMMYFUNCTION("""COMPUTED_VALUE"""),8.3170469138E10)</f>
        <v>83170469138</v>
      </c>
      <c r="E107" s="457">
        <f>IFERROR(__xludf.DUMMYFUNCTION("""COMPUTED_VALUE"""),0.0)</f>
        <v>0</v>
      </c>
      <c r="F107" s="270">
        <f>IFERROR(__xludf.DUMMYFUNCTION("""COMPUTED_VALUE"""),4.0)</f>
        <v>4</v>
      </c>
      <c r="G107" s="17" t="str">
        <f>IFERROR(__xludf.DUMMYFUNCTION("""COMPUTED_VALUE"""),"Full Set")</f>
        <v>Full Set</v>
      </c>
      <c r="H107" s="17"/>
      <c r="I107" s="278" t="str">
        <f>IFERROR(__xludf.DUMMYFUNCTION("""COMPUTED_VALUE"""),"https://vt.tiktok.com/ZS97YwB5M/")</f>
        <v>https://vt.tiktok.com/ZS97YwB5M/</v>
      </c>
      <c r="J107" s="278" t="str">
        <f>IFERROR(__xludf.DUMMYFUNCTION("""COMPUTED_VALUE"""),"https://www.tiktok.com/@onja.onya/video/7639072557219777812?is_from_webapp=1&amp;sender_device=pc")</f>
        <v>https://www.tiktok.com/@onja.onya/video/7639072557219777812?is_from_webapp=1&amp;sender_device=pc</v>
      </c>
      <c r="K107" s="278" t="str">
        <f>IFERROR(__xludf.DUMMYFUNCTION("""COMPUTED_VALUE"""),"https://www.tiktok.com/@onja.onya/video/7639401853133868308?is_from_webapp=1&amp;sender_device=pc")</f>
        <v>https://www.tiktok.com/@onja.onya/video/7639401853133868308?is_from_webapp=1&amp;sender_device=pc</v>
      </c>
      <c r="L107" s="278" t="str">
        <f>IFERROR(__xludf.DUMMYFUNCTION("""COMPUTED_VALUE"""),"https://www.tiktok.com/@onja.onya/video/7640070677323599125?is_from_webapp=1&amp;sender_device=pc")</f>
        <v>https://www.tiktok.com/@onja.onya/video/7640070677323599125?is_from_webapp=1&amp;sender_device=pc</v>
      </c>
      <c r="M107" s="262"/>
    </row>
    <row r="108">
      <c r="A108" s="255" t="str">
        <f>IFERROR(__xludf.DUMMYFUNCTION("""COMPUTED_VALUE"""),"NANO")</f>
        <v>NANO</v>
      </c>
      <c r="B108" s="23" t="str">
        <f>IFERROR(__xludf.DUMMYFUNCTION("""COMPUTED_VALUE"""),"Lisnawaaa ")</f>
        <v>Lisnawaaa </v>
      </c>
      <c r="C108" s="257" t="str">
        <f>IFERROR(__xludf.DUMMYFUNCTION("""COMPUTED_VALUE"""),"https://www.tiktok.com/@Lisnawaaa ")</f>
        <v>https://www.tiktok.com/@Lisnawaaa </v>
      </c>
      <c r="D108" s="23">
        <f>IFERROR(__xludf.DUMMYFUNCTION("""COMPUTED_VALUE"""),8.5142951259E10)</f>
        <v>85142951259</v>
      </c>
      <c r="E108" s="457">
        <f>IFERROR(__xludf.DUMMYFUNCTION("""COMPUTED_VALUE"""),0.0)</f>
        <v>0</v>
      </c>
      <c r="F108" s="270">
        <f>IFERROR(__xludf.DUMMYFUNCTION("""COMPUTED_VALUE"""),4.0)</f>
        <v>4</v>
      </c>
      <c r="G108" s="17" t="str">
        <f>IFERROR(__xludf.DUMMYFUNCTION("""COMPUTED_VALUE"""),"Full Set")</f>
        <v>Full Set</v>
      </c>
      <c r="H108" s="17"/>
      <c r="I108" s="278" t="str">
        <f>IFERROR(__xludf.DUMMYFUNCTION("""COMPUTED_VALUE"""),"https://www.tiktok.com/@lisnawaaa/video/7639246243096464661?is_from_webapp=1&amp;sender_device=pc")</f>
        <v>https://www.tiktok.com/@lisnawaaa/video/7639246243096464661?is_from_webapp=1&amp;sender_device=pc</v>
      </c>
      <c r="J108" s="278" t="str">
        <f>IFERROR(__xludf.DUMMYFUNCTION("""COMPUTED_VALUE"""),"https://www.tiktok.com/@lisnawaaa/video/7638832295163563284?is_from_webapp=1&amp;sender_device=pc")</f>
        <v>https://www.tiktok.com/@lisnawaaa/video/7638832295163563284?is_from_webapp=1&amp;sender_device=pc</v>
      </c>
      <c r="K108" s="278" t="str">
        <f>IFERROR(__xludf.DUMMYFUNCTION("""COMPUTED_VALUE"""),"https://www.tiktok.com/@lisnawaaa/video/7643750589158984980?is_from_webapp=1&amp;sender_device=pc")</f>
        <v>https://www.tiktok.com/@lisnawaaa/video/7643750589158984980?is_from_webapp=1&amp;sender_device=pc</v>
      </c>
      <c r="L108" s="262"/>
      <c r="M108" s="262"/>
    </row>
    <row r="109">
      <c r="A109" s="255" t="str">
        <f>IFERROR(__xludf.DUMMYFUNCTION("""COMPUTED_VALUE"""),"NANO")</f>
        <v>NANO</v>
      </c>
      <c r="B109" s="23" t="str">
        <f>IFERROR(__xludf.DUMMYFUNCTION("""COMPUTED_VALUE"""),"Liynafu")</f>
        <v>Liynafu</v>
      </c>
      <c r="C109" s="257" t="str">
        <f>IFERROR(__xludf.DUMMYFUNCTION("""COMPUTED_VALUE"""),"https://www.tiktok.com/@Liynafu")</f>
        <v>https://www.tiktok.com/@Liynafu</v>
      </c>
      <c r="D109" s="23">
        <f>IFERROR(__xludf.DUMMYFUNCTION("""COMPUTED_VALUE"""),8.1559876736E10)</f>
        <v>81559876736</v>
      </c>
      <c r="E109" s="457">
        <f>IFERROR(__xludf.DUMMYFUNCTION("""COMPUTED_VALUE"""),0.0)</f>
        <v>0</v>
      </c>
      <c r="F109" s="270">
        <f>IFERROR(__xludf.DUMMYFUNCTION("""COMPUTED_VALUE"""),4.0)</f>
        <v>4</v>
      </c>
      <c r="G109" s="17" t="str">
        <f>IFERROR(__xludf.DUMMYFUNCTION("""COMPUTED_VALUE"""),"Full Set")</f>
        <v>Full Set</v>
      </c>
      <c r="H109" s="17"/>
      <c r="I109" s="262"/>
      <c r="J109" s="262"/>
      <c r="K109" s="262"/>
      <c r="L109" s="262"/>
      <c r="M109" s="262"/>
    </row>
    <row r="110">
      <c r="A110" s="255" t="str">
        <f>IFERROR(__xludf.DUMMYFUNCTION("""COMPUTED_VALUE"""),"NANO")</f>
        <v>NANO</v>
      </c>
      <c r="B110" s="23" t="str">
        <f>IFERROR(__xludf.DUMMYFUNCTION("""COMPUTED_VALUE"""),"delvygraceps")</f>
        <v>delvygraceps</v>
      </c>
      <c r="C110" s="257" t="str">
        <f>IFERROR(__xludf.DUMMYFUNCTION("""COMPUTED_VALUE"""),"https://www.tiktok.com/@delvygraceps")</f>
        <v>https://www.tiktok.com/@delvygraceps</v>
      </c>
      <c r="D110" s="23">
        <f>IFERROR(__xludf.DUMMYFUNCTION("""COMPUTED_VALUE"""),8.7840682556E10)</f>
        <v>87840682556</v>
      </c>
      <c r="E110" s="457">
        <f>IFERROR(__xludf.DUMMYFUNCTION("""COMPUTED_VALUE"""),0.0)</f>
        <v>0</v>
      </c>
      <c r="F110" s="270">
        <f>IFERROR(__xludf.DUMMYFUNCTION("""COMPUTED_VALUE"""),4.0)</f>
        <v>4</v>
      </c>
      <c r="G110" s="17" t="str">
        <f>IFERROR(__xludf.DUMMYFUNCTION("""COMPUTED_VALUE"""),"Full Set")</f>
        <v>Full Set</v>
      </c>
      <c r="H110" s="17"/>
      <c r="I110" s="262"/>
      <c r="J110" s="262"/>
      <c r="K110" s="262"/>
      <c r="L110" s="262"/>
      <c r="M110" s="262"/>
    </row>
    <row r="111">
      <c r="A111" s="255" t="str">
        <f>IFERROR(__xludf.DUMMYFUNCTION("""COMPUTED_VALUE"""),"MICRO")</f>
        <v>MICRO</v>
      </c>
      <c r="B111" s="23" t="str">
        <f>IFERROR(__xludf.DUMMYFUNCTION("""COMPUTED_VALUE"""),"kyaraamoera")</f>
        <v>kyaraamoera</v>
      </c>
      <c r="C111" s="257" t="str">
        <f>IFERROR(__xludf.DUMMYFUNCTION("""COMPUTED_VALUE"""),"https://www.tiktok.com/@kyaraamoera")</f>
        <v>https://www.tiktok.com/@kyaraamoera</v>
      </c>
      <c r="D111" s="23">
        <f>IFERROR(__xludf.DUMMYFUNCTION("""COMPUTED_VALUE"""),8.5212444724E10)</f>
        <v>85212444724</v>
      </c>
      <c r="E111" s="457">
        <f>IFERROR(__xludf.DUMMYFUNCTION("""COMPUTED_VALUE"""),0.0)</f>
        <v>0</v>
      </c>
      <c r="F111" s="270">
        <f>IFERROR(__xludf.DUMMYFUNCTION("""COMPUTED_VALUE"""),2.0)</f>
        <v>2</v>
      </c>
      <c r="G111" s="17" t="str">
        <f>IFERROR(__xludf.DUMMYFUNCTION("""COMPUTED_VALUE"""),"Full Set")</f>
        <v>Full Set</v>
      </c>
      <c r="H111" s="17"/>
      <c r="I111" s="262"/>
      <c r="J111" s="262"/>
      <c r="K111" s="262"/>
      <c r="L111" s="262"/>
      <c r="M111" s="262"/>
    </row>
    <row r="112">
      <c r="A112" s="255" t="str">
        <f>IFERROR(__xludf.DUMMYFUNCTION("""COMPUTED_VALUE"""),"NANO")</f>
        <v>NANO</v>
      </c>
      <c r="B112" s="23" t="str">
        <f>IFERROR(__xludf.DUMMYFUNCTION("""COMPUTED_VALUE"""),"Idaooooo0")</f>
        <v>Idaooooo0</v>
      </c>
      <c r="C112" s="257" t="str">
        <f>IFERROR(__xludf.DUMMYFUNCTION("""COMPUTED_VALUE"""),"https://www.tiktok.com/@Idaooooo0")</f>
        <v>https://www.tiktok.com/@Idaooooo0</v>
      </c>
      <c r="D112" s="23">
        <f>IFERROR(__xludf.DUMMYFUNCTION("""COMPUTED_VALUE"""),8.9620796342E10)</f>
        <v>89620796342</v>
      </c>
      <c r="E112" s="457">
        <f>IFERROR(__xludf.DUMMYFUNCTION("""COMPUTED_VALUE"""),0.0)</f>
        <v>0</v>
      </c>
      <c r="F112" s="270">
        <f>IFERROR(__xludf.DUMMYFUNCTION("""COMPUTED_VALUE"""),4.0)</f>
        <v>4</v>
      </c>
      <c r="G112" s="17" t="str">
        <f>IFERROR(__xludf.DUMMYFUNCTION("""COMPUTED_VALUE"""),"Full Set")</f>
        <v>Full Set</v>
      </c>
      <c r="H112" s="17"/>
      <c r="I112" s="278" t="str">
        <f>IFERROR(__xludf.DUMMYFUNCTION("""COMPUTED_VALUE"""),"https://vt.tiktok.com/ZS9Hjvuo5/")</f>
        <v>https://vt.tiktok.com/ZS9Hjvuo5/</v>
      </c>
      <c r="J112" s="278" t="str">
        <f>IFERROR(__xludf.DUMMYFUNCTION("""COMPUTED_VALUE"""),"https://vt.tiktok.com/ZS9H6bHne/")</f>
        <v>https://vt.tiktok.com/ZS9H6bHne/</v>
      </c>
      <c r="K112" s="278" t="str">
        <f>IFERROR(__xludf.DUMMYFUNCTION("""COMPUTED_VALUE"""),"https://www.tiktok.com/@idaooooo0/video/7638003665189539093?is_from_webapp=1&amp;sender_device=pc")</f>
        <v>https://www.tiktok.com/@idaooooo0/video/7638003665189539093?is_from_webapp=1&amp;sender_device=pc</v>
      </c>
      <c r="L112" s="262"/>
      <c r="M112" s="262"/>
    </row>
    <row r="113">
      <c r="A113" s="255" t="str">
        <f>IFERROR(__xludf.DUMMYFUNCTION("""COMPUTED_VALUE"""),"NANO")</f>
        <v>NANO</v>
      </c>
      <c r="B113" s="23" t="str">
        <f>IFERROR(__xludf.DUMMYFUNCTION("""COMPUTED_VALUE"""),"uusofficial0")</f>
        <v>uusofficial0</v>
      </c>
      <c r="C113" s="257" t="str">
        <f>IFERROR(__xludf.DUMMYFUNCTION("""COMPUTED_VALUE"""),"https://www.tiktok.com/@uusofficial0")</f>
        <v>https://www.tiktok.com/@uusofficial0</v>
      </c>
      <c r="D113" s="23">
        <f>IFERROR(__xludf.DUMMYFUNCTION("""COMPUTED_VALUE"""),8.1459126211E10)</f>
        <v>81459126211</v>
      </c>
      <c r="E113" s="457">
        <f>IFERROR(__xludf.DUMMYFUNCTION("""COMPUTED_VALUE"""),0.0)</f>
        <v>0</v>
      </c>
      <c r="F113" s="270">
        <f>IFERROR(__xludf.DUMMYFUNCTION("""COMPUTED_VALUE"""),4.0)</f>
        <v>4</v>
      </c>
      <c r="G113" s="17" t="str">
        <f>IFERROR(__xludf.DUMMYFUNCTION("""COMPUTED_VALUE"""),"Full Set")</f>
        <v>Full Set</v>
      </c>
      <c r="H113" s="17"/>
      <c r="I113" s="262"/>
      <c r="J113" s="262"/>
      <c r="K113" s="262"/>
      <c r="L113" s="262"/>
      <c r="M113" s="262"/>
    </row>
    <row r="114">
      <c r="A114" s="255" t="str">
        <f>IFERROR(__xludf.DUMMYFUNCTION("""COMPUTED_VALUE"""),"MICRO")</f>
        <v>MICRO</v>
      </c>
      <c r="B114" s="23" t="str">
        <f>IFERROR(__xludf.DUMMYFUNCTION("""COMPUTED_VALUE"""),"storyandine")</f>
        <v>storyandine</v>
      </c>
      <c r="C114" s="257" t="str">
        <f>IFERROR(__xludf.DUMMYFUNCTION("""COMPUTED_VALUE"""),"https://www.tiktok.com/@storyandine")</f>
        <v>https://www.tiktok.com/@storyandine</v>
      </c>
      <c r="D114" s="23">
        <f>IFERROR(__xludf.DUMMYFUNCTION("""COMPUTED_VALUE"""),8.2194949379E10)</f>
        <v>82194949379</v>
      </c>
      <c r="E114" s="457">
        <f>IFERROR(__xludf.DUMMYFUNCTION("""COMPUTED_VALUE"""),0.0)</f>
        <v>0</v>
      </c>
      <c r="F114" s="270">
        <f>IFERROR(__xludf.DUMMYFUNCTION("""COMPUTED_VALUE"""),4.0)</f>
        <v>4</v>
      </c>
      <c r="G114" s="17" t="str">
        <f>IFERROR(__xludf.DUMMYFUNCTION("""COMPUTED_VALUE"""),"Full Set")</f>
        <v>Full Set</v>
      </c>
      <c r="H114" s="17"/>
      <c r="I114" s="262"/>
      <c r="J114" s="262"/>
      <c r="K114" s="262"/>
      <c r="L114" s="262"/>
      <c r="M114" s="262"/>
    </row>
    <row r="115">
      <c r="A115" s="255" t="str">
        <f>IFERROR(__xludf.DUMMYFUNCTION("""COMPUTED_VALUE"""),"MICRO")</f>
        <v>MICRO</v>
      </c>
      <c r="B115" s="23" t="str">
        <f>IFERROR(__xludf.DUMMYFUNCTION("""COMPUTED_VALUE"""),"mamianaktiga00")</f>
        <v>mamianaktiga00</v>
      </c>
      <c r="C115" s="257" t="str">
        <f>IFERROR(__xludf.DUMMYFUNCTION("""COMPUTED_VALUE"""),"https://www.tiktok.com/@mamianaktiga00")</f>
        <v>https://www.tiktok.com/@mamianaktiga00</v>
      </c>
      <c r="D115" s="23">
        <f>IFERROR(__xludf.DUMMYFUNCTION("""COMPUTED_VALUE"""),8.2140971171E10)</f>
        <v>82140971171</v>
      </c>
      <c r="E115" s="457">
        <f>IFERROR(__xludf.DUMMYFUNCTION("""COMPUTED_VALUE"""),0.0)</f>
        <v>0</v>
      </c>
      <c r="F115" s="270">
        <f>IFERROR(__xludf.DUMMYFUNCTION("""COMPUTED_VALUE"""),1.0)</f>
        <v>1</v>
      </c>
      <c r="G115" s="17" t="str">
        <f>IFERROR(__xludf.DUMMYFUNCTION("""COMPUTED_VALUE"""),"Full Set")</f>
        <v>Full Set</v>
      </c>
      <c r="H115" s="17"/>
      <c r="I115" s="262"/>
      <c r="J115" s="262"/>
      <c r="K115" s="262"/>
      <c r="L115" s="262"/>
      <c r="M115" s="262"/>
    </row>
    <row r="116">
      <c r="A116" s="255" t="str">
        <f>IFERROR(__xludf.DUMMYFUNCTION("""COMPUTED_VALUE"""),"MICRO")</f>
        <v>MICRO</v>
      </c>
      <c r="B116" s="23" t="str">
        <f>IFERROR(__xludf.DUMMYFUNCTION("""COMPUTED_VALUE"""),"slvistory")</f>
        <v>slvistory</v>
      </c>
      <c r="C116" s="257" t="str">
        <f>IFERROR(__xludf.DUMMYFUNCTION("""COMPUTED_VALUE"""),"https://www.tiktok.com/@slvistory")</f>
        <v>https://www.tiktok.com/@slvistory</v>
      </c>
      <c r="D116" s="23">
        <f>IFERROR(__xludf.DUMMYFUNCTION("""COMPUTED_VALUE"""),8.5882608699E10)</f>
        <v>85882608699</v>
      </c>
      <c r="E116" s="457">
        <f>IFERROR(__xludf.DUMMYFUNCTION("""COMPUTED_VALUE"""),0.0)</f>
        <v>0</v>
      </c>
      <c r="F116" s="270">
        <f>IFERROR(__xludf.DUMMYFUNCTION("""COMPUTED_VALUE"""),1.0)</f>
        <v>1</v>
      </c>
      <c r="G116" s="17" t="str">
        <f>IFERROR(__xludf.DUMMYFUNCTION("""COMPUTED_VALUE"""),"Full Set")</f>
        <v>Full Set</v>
      </c>
      <c r="H116" s="17"/>
      <c r="I116" s="262"/>
      <c r="J116" s="262"/>
      <c r="K116" s="262"/>
      <c r="L116" s="262"/>
      <c r="M116" s="262"/>
    </row>
    <row r="117">
      <c r="A117" s="255" t="str">
        <f>IFERROR(__xludf.DUMMYFUNCTION("""COMPUTED_VALUE"""),"NANO")</f>
        <v>NANO</v>
      </c>
      <c r="B117" s="23" t="str">
        <f>IFERROR(__xludf.DUMMYFUNCTION("""COMPUTED_VALUE"""),"ammelshop94 ")</f>
        <v>ammelshop94 </v>
      </c>
      <c r="C117" s="257" t="str">
        <f>IFERROR(__xludf.DUMMYFUNCTION("""COMPUTED_VALUE"""),"https://www.tiktok.com/@ammelshop94 ")</f>
        <v>https://www.tiktok.com/@ammelshop94 </v>
      </c>
      <c r="D117" s="23">
        <f>IFERROR(__xludf.DUMMYFUNCTION("""COMPUTED_VALUE"""),8.566936706E10)</f>
        <v>85669367060</v>
      </c>
      <c r="E117" s="457">
        <f>IFERROR(__xludf.DUMMYFUNCTION("""COMPUTED_VALUE"""),0.0)</f>
        <v>0</v>
      </c>
      <c r="F117" s="270">
        <f>IFERROR(__xludf.DUMMYFUNCTION("""COMPUTED_VALUE"""),4.0)</f>
        <v>4</v>
      </c>
      <c r="G117" s="17" t="str">
        <f>IFERROR(__xludf.DUMMYFUNCTION("""COMPUTED_VALUE"""),"Full Set")</f>
        <v>Full Set</v>
      </c>
      <c r="H117" s="17"/>
      <c r="I117" s="278" t="str">
        <f>IFERROR(__xludf.DUMMYFUNCTION("""COMPUTED_VALUE"""),"https://www.tiktok.com/@ammelshop94/video/7638465555795545351?is_from_webapp=1&amp;sender_device=pc")</f>
        <v>https://www.tiktok.com/@ammelshop94/video/7638465555795545351?is_from_webapp=1&amp;sender_device=pc</v>
      </c>
      <c r="J117" s="278" t="str">
        <f>IFERROR(__xludf.DUMMYFUNCTION("""COMPUTED_VALUE"""),"https://www.tiktok.com/@ammelshop94/video/7638838470349245703?is_from_webapp=1&amp;sender_device=pc")</f>
        <v>https://www.tiktok.com/@ammelshop94/video/7638838470349245703?is_from_webapp=1&amp;sender_device=pc</v>
      </c>
      <c r="K117" s="278" t="str">
        <f>IFERROR(__xludf.DUMMYFUNCTION("""COMPUTED_VALUE"""),"https://www.tiktok.com/@ammelshop94/video/7638576257420037384?is_from_webapp=1&amp;sender_device=pc")</f>
        <v>https://www.tiktok.com/@ammelshop94/video/7638576257420037384?is_from_webapp=1&amp;sender_device=pc</v>
      </c>
      <c r="L117" s="278" t="str">
        <f>IFERROR(__xludf.DUMMYFUNCTION("""COMPUTED_VALUE"""),"https://www.tiktok.com/@ammelshop94/video/7639399535000718600?is_from_webapp=1&amp;sender_device=pc")</f>
        <v>https://www.tiktok.com/@ammelshop94/video/7639399535000718600?is_from_webapp=1&amp;sender_device=pc</v>
      </c>
      <c r="M117" s="262"/>
    </row>
    <row r="118">
      <c r="A118" s="255" t="str">
        <f>IFERROR(__xludf.DUMMYFUNCTION("""COMPUTED_VALUE"""),"NANO")</f>
        <v>NANO</v>
      </c>
      <c r="B118" s="23" t="str">
        <f>IFERROR(__xludf.DUMMYFUNCTION("""COMPUTED_VALUE"""),"livia_abas")</f>
        <v>livia_abas</v>
      </c>
      <c r="C118" s="257" t="str">
        <f>IFERROR(__xludf.DUMMYFUNCTION("""COMPUTED_VALUE"""),"https://www.tiktok.com/@livia_abas")</f>
        <v>https://www.tiktok.com/@livia_abas</v>
      </c>
      <c r="D118" s="23">
        <f>IFERROR(__xludf.DUMMYFUNCTION("""COMPUTED_VALUE"""),8.2232803278E10)</f>
        <v>82232803278</v>
      </c>
      <c r="E118" s="457">
        <f>IFERROR(__xludf.DUMMYFUNCTION("""COMPUTED_VALUE"""),0.0)</f>
        <v>0</v>
      </c>
      <c r="F118" s="270">
        <f>IFERROR(__xludf.DUMMYFUNCTION("""COMPUTED_VALUE"""),4.0)</f>
        <v>4</v>
      </c>
      <c r="G118" s="17" t="str">
        <f>IFERROR(__xludf.DUMMYFUNCTION("""COMPUTED_VALUE"""),"Full Set")</f>
        <v>Full Set</v>
      </c>
      <c r="H118" s="17"/>
      <c r="I118" s="278" t="str">
        <f>IFERROR(__xludf.DUMMYFUNCTION("""COMPUTED_VALUE"""),"https://www.tiktok.com/@livia_abas/video/7639747438277905682?is_from_webapp=1&amp;sender_device=pc")</f>
        <v>https://www.tiktok.com/@livia_abas/video/7639747438277905682?is_from_webapp=1&amp;sender_device=pc</v>
      </c>
      <c r="J118" s="278" t="str">
        <f>IFERROR(__xludf.DUMMYFUNCTION("""COMPUTED_VALUE"""),"https://www.tiktok.com/@livia_abas/video/7640125934082837768?is_from_webapp=1&amp;sender_device=pc")</f>
        <v>https://www.tiktok.com/@livia_abas/video/7640125934082837768?is_from_webapp=1&amp;sender_device=pc</v>
      </c>
      <c r="K118" s="278" t="str">
        <f>IFERROR(__xludf.DUMMYFUNCTION("""COMPUTED_VALUE"""),"https://www.tiktok.com/@livia_abas/video/7640429775382662418?is_from_webapp=1&amp;sender_device=pc")</f>
        <v>https://www.tiktok.com/@livia_abas/video/7640429775382662418?is_from_webapp=1&amp;sender_device=pc</v>
      </c>
      <c r="L118" s="262"/>
      <c r="M118" s="262"/>
    </row>
    <row r="119">
      <c r="A119" s="255" t="str">
        <f>IFERROR(__xludf.DUMMYFUNCTION("""COMPUTED_VALUE"""),"NANO")</f>
        <v>NANO</v>
      </c>
      <c r="B119" s="23" t="str">
        <f>IFERROR(__xludf.DUMMYFUNCTION("""COMPUTED_VALUE"""),"ov_ovii")</f>
        <v>ov_ovii</v>
      </c>
      <c r="C119" s="257" t="str">
        <f>IFERROR(__xludf.DUMMYFUNCTION("""COMPUTED_VALUE"""),"https://www.tiktok.com/@ov_ovii")</f>
        <v>https://www.tiktok.com/@ov_ovii</v>
      </c>
      <c r="D119" s="23">
        <f>IFERROR(__xludf.DUMMYFUNCTION("""COMPUTED_VALUE"""),8.5719707559E10)</f>
        <v>85719707559</v>
      </c>
      <c r="E119" s="457">
        <f>IFERROR(__xludf.DUMMYFUNCTION("""COMPUTED_VALUE"""),0.0)</f>
        <v>0</v>
      </c>
      <c r="F119" s="270">
        <f>IFERROR(__xludf.DUMMYFUNCTION("""COMPUTED_VALUE"""),4.0)</f>
        <v>4</v>
      </c>
      <c r="G119" s="17" t="str">
        <f>IFERROR(__xludf.DUMMYFUNCTION("""COMPUTED_VALUE"""),"Full Set")</f>
        <v>Full Set</v>
      </c>
      <c r="H119" s="17"/>
      <c r="I119" s="278" t="str">
        <f>IFERROR(__xludf.DUMMYFUNCTION("""COMPUTED_VALUE"""),"https://www.tiktok.com/@ov_ovii/video/7637710692342107399?is_from_webapp=1&amp;sender_device=pc")</f>
        <v>https://www.tiktok.com/@ov_ovii/video/7637710692342107399?is_from_webapp=1&amp;sender_device=pc</v>
      </c>
      <c r="J119" s="278" t="str">
        <f>IFERROR(__xludf.DUMMYFUNCTION("""COMPUTED_VALUE"""),"https://www.tiktok.com/@ov_ovii/video/7642691858186915079?is_from_webapp=1&amp;sender_device=pc")</f>
        <v>https://www.tiktok.com/@ov_ovii/video/7642691858186915079?is_from_webapp=1&amp;sender_device=pc</v>
      </c>
      <c r="K119" s="262"/>
      <c r="L119" s="262"/>
      <c r="M119" s="262"/>
    </row>
    <row r="120">
      <c r="A120" s="255" t="str">
        <f>IFERROR(__xludf.DUMMYFUNCTION("""COMPUTED_VALUE"""),"NANO")</f>
        <v>NANO</v>
      </c>
      <c r="B120" s="23" t="str">
        <f>IFERROR(__xludf.DUMMYFUNCTION("""COMPUTED_VALUE"""),"delarafratchy")</f>
        <v>delarafratchy</v>
      </c>
      <c r="C120" s="257" t="str">
        <f>IFERROR(__xludf.DUMMYFUNCTION("""COMPUTED_VALUE"""),"https://www.tiktok.com/@delarafratchy")</f>
        <v>https://www.tiktok.com/@delarafratchy</v>
      </c>
      <c r="D120" s="23">
        <f>IFERROR(__xludf.DUMMYFUNCTION("""COMPUTED_VALUE"""),8.3804747591E10)</f>
        <v>83804747591</v>
      </c>
      <c r="E120" s="457">
        <f>IFERROR(__xludf.DUMMYFUNCTION("""COMPUTED_VALUE"""),0.0)</f>
        <v>0</v>
      </c>
      <c r="F120" s="270">
        <f>IFERROR(__xludf.DUMMYFUNCTION("""COMPUTED_VALUE"""),4.0)</f>
        <v>4</v>
      </c>
      <c r="G120" s="17" t="str">
        <f>IFERROR(__xludf.DUMMYFUNCTION("""COMPUTED_VALUE"""),"Full Set")</f>
        <v>Full Set</v>
      </c>
      <c r="H120" s="17"/>
      <c r="I120" s="262"/>
      <c r="J120" s="262"/>
      <c r="K120" s="262"/>
      <c r="L120" s="262"/>
      <c r="M120" s="262"/>
    </row>
    <row r="121">
      <c r="A121" s="255" t="str">
        <f>IFERROR(__xludf.DUMMYFUNCTION("""COMPUTED_VALUE"""),"NANO")</f>
        <v>NANO</v>
      </c>
      <c r="B121" s="23" t="str">
        <f>IFERROR(__xludf.DUMMYFUNCTION("""COMPUTED_VALUE"""),"choberry14 ")</f>
        <v>choberry14 </v>
      </c>
      <c r="C121" s="257" t="str">
        <f>IFERROR(__xludf.DUMMYFUNCTION("""COMPUTED_VALUE"""),"https://www.tiktok.com/@choberry14 ")</f>
        <v>https://www.tiktok.com/@choberry14 </v>
      </c>
      <c r="D121" s="23">
        <f>IFERROR(__xludf.DUMMYFUNCTION("""COMPUTED_VALUE"""),8.3804747591E10)</f>
        <v>83804747591</v>
      </c>
      <c r="E121" s="457">
        <f>IFERROR(__xludf.DUMMYFUNCTION("""COMPUTED_VALUE"""),0.0)</f>
        <v>0</v>
      </c>
      <c r="F121" s="270">
        <f>IFERROR(__xludf.DUMMYFUNCTION("""COMPUTED_VALUE"""),4.0)</f>
        <v>4</v>
      </c>
      <c r="G121" s="17" t="str">
        <f>IFERROR(__xludf.DUMMYFUNCTION("""COMPUTED_VALUE"""),"Full Set")</f>
        <v>Full Set</v>
      </c>
      <c r="H121" s="17"/>
      <c r="I121" s="262"/>
      <c r="J121" s="262"/>
      <c r="K121" s="262"/>
      <c r="L121" s="262"/>
      <c r="M121" s="262"/>
    </row>
    <row r="122">
      <c r="A122" s="255" t="str">
        <f>IFERROR(__xludf.DUMMYFUNCTION("""COMPUTED_VALUE"""),"NANO")</f>
        <v>NANO</v>
      </c>
      <c r="B122" s="23" t="str">
        <f>IFERROR(__xludf.DUMMYFUNCTION("""COMPUTED_VALUE"""),"racun.byalf")</f>
        <v>racun.byalf</v>
      </c>
      <c r="C122" s="257" t="str">
        <f>IFERROR(__xludf.DUMMYFUNCTION("""COMPUTED_VALUE"""),"https://www.tiktok.com/@racun.byalf")</f>
        <v>https://www.tiktok.com/@racun.byalf</v>
      </c>
      <c r="D122" s="23">
        <f>IFERROR(__xludf.DUMMYFUNCTION("""COMPUTED_VALUE"""),8.5714307597E10)</f>
        <v>85714307597</v>
      </c>
      <c r="E122" s="457">
        <f>IFERROR(__xludf.DUMMYFUNCTION("""COMPUTED_VALUE"""),0.0)</f>
        <v>0</v>
      </c>
      <c r="F122" s="270">
        <f>IFERROR(__xludf.DUMMYFUNCTION("""COMPUTED_VALUE"""),4.0)</f>
        <v>4</v>
      </c>
      <c r="G122" s="17" t="str">
        <f>IFERROR(__xludf.DUMMYFUNCTION("""COMPUTED_VALUE"""),"Full Set")</f>
        <v>Full Set</v>
      </c>
      <c r="H122" s="17"/>
      <c r="I122" s="278" t="str">
        <f>IFERROR(__xludf.DUMMYFUNCTION("""COMPUTED_VALUE"""),"https://www.tiktok.com/@racun.byalf/video/7637328586151578900?is_from_webapp=1&amp;sender_device=pc")</f>
        <v>https://www.tiktok.com/@racun.byalf/video/7637328586151578900?is_from_webapp=1&amp;sender_device=pc</v>
      </c>
      <c r="J122" s="278" t="str">
        <f>IFERROR(__xludf.DUMMYFUNCTION("""COMPUTED_VALUE"""),"https://www.tiktok.com/@racun.byalf/video/7639155357083782420?is_from_webapp=1&amp;sender_device=pc")</f>
        <v>https://www.tiktok.com/@racun.byalf/video/7639155357083782420?is_from_webapp=1&amp;sender_device=pc</v>
      </c>
      <c r="K122" s="278" t="str">
        <f>IFERROR(__xludf.DUMMYFUNCTION("""COMPUTED_VALUE"""),"https://www.tiktok.com/@racun.byalf/video/7641783073218120981?is_from_webapp=1&amp;sender_device=pc")</f>
        <v>https://www.tiktok.com/@racun.byalf/video/7641783073218120981?is_from_webapp=1&amp;sender_device=pc</v>
      </c>
      <c r="L122" s="278" t="str">
        <f>IFERROR(__xludf.DUMMYFUNCTION("""COMPUTED_VALUE"""),"https://vt.tiktok.com/ZSxp4LL2F/")</f>
        <v>https://vt.tiktok.com/ZSxp4LL2F/</v>
      </c>
      <c r="M122" s="262"/>
    </row>
    <row r="123">
      <c r="A123" s="255" t="str">
        <f>IFERROR(__xludf.DUMMYFUNCTION("""COMPUTED_VALUE"""),"MICRO")</f>
        <v>MICRO</v>
      </c>
      <c r="B123" s="23" t="str">
        <f>IFERROR(__xludf.DUMMYFUNCTION("""COMPUTED_VALUE"""),"Mencuss10")</f>
        <v>Mencuss10</v>
      </c>
      <c r="C123" s="257" t="str">
        <f>IFERROR(__xludf.DUMMYFUNCTION("""COMPUTED_VALUE"""),"https://www.tiktok.com/@Mencuss10")</f>
        <v>https://www.tiktok.com/@Mencuss10</v>
      </c>
      <c r="D123" s="23">
        <f>IFERROR(__xludf.DUMMYFUNCTION("""COMPUTED_VALUE"""),8.3831222189E10)</f>
        <v>83831222189</v>
      </c>
      <c r="E123" s="457">
        <f>IFERROR(__xludf.DUMMYFUNCTION("""COMPUTED_VALUE"""),0.0)</f>
        <v>0</v>
      </c>
      <c r="F123" s="270">
        <f>IFERROR(__xludf.DUMMYFUNCTION("""COMPUTED_VALUE"""),4.0)</f>
        <v>4</v>
      </c>
      <c r="G123" s="17" t="str">
        <f>IFERROR(__xludf.DUMMYFUNCTION("""COMPUTED_VALUE"""),"Full Set")</f>
        <v>Full Set</v>
      </c>
      <c r="H123" s="17"/>
      <c r="I123" s="278" t="str">
        <f>IFERROR(__xludf.DUMMYFUNCTION("""COMPUTED_VALUE"""),"https://www.tiktok.com/@mencuss10/video/7638877739323346197?is_from_webapp=1&amp;sender_device=pc")</f>
        <v>https://www.tiktok.com/@mencuss10/video/7638877739323346197?is_from_webapp=1&amp;sender_device=pc</v>
      </c>
      <c r="J123" s="278" t="str">
        <f>IFERROR(__xludf.DUMMYFUNCTION("""COMPUTED_VALUE"""),"https://www.tiktok.com/@mencuss10/video/7639980330388114708?is_from_webapp=1&amp;sender_device=pc")</f>
        <v>https://www.tiktok.com/@mencuss10/video/7639980330388114708?is_from_webapp=1&amp;sender_device=pc</v>
      </c>
      <c r="K123" s="262"/>
      <c r="L123" s="262"/>
      <c r="M123" s="262"/>
    </row>
    <row r="124">
      <c r="A124" s="255" t="str">
        <f>IFERROR(__xludf.DUMMYFUNCTION("""COMPUTED_VALUE"""),"MICRO")</f>
        <v>MICRO</v>
      </c>
      <c r="B124" s="23" t="str">
        <f>IFERROR(__xludf.DUMMYFUNCTION("""COMPUTED_VALUE"""),"Zaaketiga")</f>
        <v>Zaaketiga</v>
      </c>
      <c r="C124" s="257" t="str">
        <f>IFERROR(__xludf.DUMMYFUNCTION("""COMPUTED_VALUE"""),"https://www.tiktok.com/@Zaaketiga")</f>
        <v>https://www.tiktok.com/@Zaaketiga</v>
      </c>
      <c r="D124" s="23">
        <f>IFERROR(__xludf.DUMMYFUNCTION("""COMPUTED_VALUE"""),8.580877086E10)</f>
        <v>85808770860</v>
      </c>
      <c r="E124" s="457">
        <f>IFERROR(__xludf.DUMMYFUNCTION("""COMPUTED_VALUE"""),0.0)</f>
        <v>0</v>
      </c>
      <c r="F124" s="270">
        <f>IFERROR(__xludf.DUMMYFUNCTION("""COMPUTED_VALUE"""),4.0)</f>
        <v>4</v>
      </c>
      <c r="G124" s="17" t="str">
        <f>IFERROR(__xludf.DUMMYFUNCTION("""COMPUTED_VALUE"""),"Full Set")</f>
        <v>Full Set</v>
      </c>
      <c r="H124" s="17"/>
      <c r="I124" s="278" t="str">
        <f>IFERROR(__xludf.DUMMYFUNCTION("""COMPUTED_VALUE"""),"https://www.tiktok.com/@zaaketiga/video/7642244776988839175?is_from_webapp=1&amp;sender_device=pc")</f>
        <v>https://www.tiktok.com/@zaaketiga/video/7642244776988839175?is_from_webapp=1&amp;sender_device=pc</v>
      </c>
      <c r="J124" s="278" t="str">
        <f>IFERROR(__xludf.DUMMYFUNCTION("""COMPUTED_VALUE"""),"https://www.tiktok.com/@zaaketiga/video/7642350247670205704?is_from_webapp=1&amp;sender_device=pc")</f>
        <v>https://www.tiktok.com/@zaaketiga/video/7642350247670205704?is_from_webapp=1&amp;sender_device=pc</v>
      </c>
      <c r="K124" s="262"/>
      <c r="L124" s="262"/>
      <c r="M124" s="262"/>
    </row>
    <row r="125">
      <c r="A125" s="255" t="str">
        <f>IFERROR(__xludf.DUMMYFUNCTION("""COMPUTED_VALUE"""),"NANO")</f>
        <v>NANO</v>
      </c>
      <c r="B125" s="23" t="str">
        <f>IFERROR(__xludf.DUMMYFUNCTION("""COMPUTED_VALUE"""),"arifa__nf")</f>
        <v>arifa__nf</v>
      </c>
      <c r="C125" s="257" t="str">
        <f>IFERROR(__xludf.DUMMYFUNCTION("""COMPUTED_VALUE"""),"https://www.tiktok.com/@arifa__nf")</f>
        <v>https://www.tiktok.com/@arifa__nf</v>
      </c>
      <c r="D125" s="23">
        <f>IFERROR(__xludf.DUMMYFUNCTION("""COMPUTED_VALUE"""),8.2245331101E10)</f>
        <v>82245331101</v>
      </c>
      <c r="E125" s="457">
        <f>IFERROR(__xludf.DUMMYFUNCTION("""COMPUTED_VALUE"""),0.0)</f>
        <v>0</v>
      </c>
      <c r="F125" s="270">
        <f>IFERROR(__xludf.DUMMYFUNCTION("""COMPUTED_VALUE"""),4.0)</f>
        <v>4</v>
      </c>
      <c r="G125" s="17" t="str">
        <f>IFERROR(__xludf.DUMMYFUNCTION("""COMPUTED_VALUE"""),"Full Set")</f>
        <v>Full Set</v>
      </c>
      <c r="H125" s="17"/>
      <c r="I125" s="278" t="str">
        <f>IFERROR(__xludf.DUMMYFUNCTION("""COMPUTED_VALUE"""),"https://www.tiktok.com/@arifa__nf/video/7638113332376997141?is_from_webapp=1&amp;sender_device=pc")</f>
        <v>https://www.tiktok.com/@arifa__nf/video/7638113332376997141?is_from_webapp=1&amp;sender_device=pc</v>
      </c>
      <c r="J125" s="278" t="str">
        <f>IFERROR(__xludf.DUMMYFUNCTION("""COMPUTED_VALUE"""),"https://www.tiktok.com/@arifa__nf/video/7638910383050247445?is_from_webapp=1&amp;sender_device=pc")</f>
        <v>https://www.tiktok.com/@arifa__nf/video/7638910383050247445?is_from_webapp=1&amp;sender_device=pc</v>
      </c>
      <c r="K125" s="278" t="str">
        <f>IFERROR(__xludf.DUMMYFUNCTION("""COMPUTED_VALUE"""),"https://www.tiktok.com/@arifa__nf/video/7642715698174725397?is_from_webapp=1&amp;sender_device=pc")</f>
        <v>https://www.tiktok.com/@arifa__nf/video/7642715698174725397?is_from_webapp=1&amp;sender_device=pc</v>
      </c>
      <c r="L125" s="278" t="str">
        <f>IFERROR(__xludf.DUMMYFUNCTION("""COMPUTED_VALUE"""),"https://vt.tiktok.com/ZSxWGwnNF/")</f>
        <v>https://vt.tiktok.com/ZSxWGwnNF/</v>
      </c>
      <c r="M125" s="262"/>
    </row>
    <row r="126">
      <c r="A126" s="255" t="str">
        <f>IFERROR(__xludf.DUMMYFUNCTION("""COMPUTED_VALUE"""),"MICRO")</f>
        <v>MICRO</v>
      </c>
      <c r="B126" s="23" t="str">
        <f>IFERROR(__xludf.DUMMYFUNCTION("""COMPUTED_VALUE"""),"ajenggabutterus1")</f>
        <v>ajenggabutterus1</v>
      </c>
      <c r="C126" s="257" t="str">
        <f>IFERROR(__xludf.DUMMYFUNCTION("""COMPUTED_VALUE"""),"https://www.tiktok.com/@ajenggabutterus1")</f>
        <v>https://www.tiktok.com/@ajenggabutterus1</v>
      </c>
      <c r="D126" s="23">
        <f>IFERROR(__xludf.DUMMYFUNCTION("""COMPUTED_VALUE"""),8.988407234E9)</f>
        <v>8988407234</v>
      </c>
      <c r="E126" s="457">
        <f>IFERROR(__xludf.DUMMYFUNCTION("""COMPUTED_VALUE"""),0.0)</f>
        <v>0</v>
      </c>
      <c r="F126" s="270">
        <f>IFERROR(__xludf.DUMMYFUNCTION("""COMPUTED_VALUE"""),4.0)</f>
        <v>4</v>
      </c>
      <c r="G126" s="17" t="str">
        <f>IFERROR(__xludf.DUMMYFUNCTION("""COMPUTED_VALUE"""),"Full Set")</f>
        <v>Full Set</v>
      </c>
      <c r="H126" s="17"/>
      <c r="I126" s="262"/>
      <c r="J126" s="262"/>
      <c r="K126" s="262"/>
      <c r="L126" s="262"/>
      <c r="M126" s="262"/>
    </row>
    <row r="127">
      <c r="A127" s="255" t="str">
        <f>IFERROR(__xludf.DUMMYFUNCTION("""COMPUTED_VALUE"""),"NANO")</f>
        <v>NANO</v>
      </c>
      <c r="B127" s="23" t="str">
        <f>IFERROR(__xludf.DUMMYFUNCTION("""COMPUTED_VALUE"""),"dnrbds_")</f>
        <v>dnrbds_</v>
      </c>
      <c r="C127" s="257" t="str">
        <f>IFERROR(__xludf.DUMMYFUNCTION("""COMPUTED_VALUE"""),"https://www.tiktok.com/@dnrbds_")</f>
        <v>https://www.tiktok.com/@dnrbds_</v>
      </c>
      <c r="D127" s="23">
        <f>IFERROR(__xludf.DUMMYFUNCTION("""COMPUTED_VALUE"""),8.3898471572E10)</f>
        <v>83898471572</v>
      </c>
      <c r="E127" s="457">
        <f>IFERROR(__xludf.DUMMYFUNCTION("""COMPUTED_VALUE"""),0.0)</f>
        <v>0</v>
      </c>
      <c r="F127" s="270">
        <f>IFERROR(__xludf.DUMMYFUNCTION("""COMPUTED_VALUE"""),4.0)</f>
        <v>4</v>
      </c>
      <c r="G127" s="17" t="str">
        <f>IFERROR(__xludf.DUMMYFUNCTION("""COMPUTED_VALUE"""),"Full Set")</f>
        <v>Full Set</v>
      </c>
      <c r="H127" s="17"/>
      <c r="I127" s="262"/>
      <c r="J127" s="262"/>
      <c r="K127" s="262"/>
      <c r="L127" s="262"/>
      <c r="M127" s="262"/>
    </row>
    <row r="128">
      <c r="A128" s="255" t="str">
        <f>IFERROR(__xludf.DUMMYFUNCTION("""COMPUTED_VALUE"""),"MICRO")</f>
        <v>MICRO</v>
      </c>
      <c r="B128" s="23" t="str">
        <f>IFERROR(__xludf.DUMMYFUNCTION("""COMPUTED_VALUE"""),"ade.imavid")</f>
        <v>ade.imavid</v>
      </c>
      <c r="C128" s="257" t="str">
        <f>IFERROR(__xludf.DUMMYFUNCTION("""COMPUTED_VALUE"""),"https://www.tiktok.com/@ade.imavid")</f>
        <v>https://www.tiktok.com/@ade.imavid</v>
      </c>
      <c r="D128" s="23">
        <f>IFERROR(__xludf.DUMMYFUNCTION("""COMPUTED_VALUE"""),8.5755184624E10)</f>
        <v>85755184624</v>
      </c>
      <c r="E128" s="457">
        <f>IFERROR(__xludf.DUMMYFUNCTION("""COMPUTED_VALUE"""),0.0)</f>
        <v>0</v>
      </c>
      <c r="F128" s="270">
        <f>IFERROR(__xludf.DUMMYFUNCTION("""COMPUTED_VALUE"""),4.0)</f>
        <v>4</v>
      </c>
      <c r="G128" s="17" t="str">
        <f>IFERROR(__xludf.DUMMYFUNCTION("""COMPUTED_VALUE"""),"Full Set")</f>
        <v>Full Set</v>
      </c>
      <c r="H128" s="17"/>
      <c r="I128" s="278" t="str">
        <f>IFERROR(__xludf.DUMMYFUNCTION("""COMPUTED_VALUE"""),"https://www.tiktok.com/@ade.imavid/video/7641209928174095636?is_from_webapp=1&amp;sender_device=pc")</f>
        <v>https://www.tiktok.com/@ade.imavid/video/7641209928174095636?is_from_webapp=1&amp;sender_device=pc</v>
      </c>
      <c r="J128" s="278" t="str">
        <f>IFERROR(__xludf.DUMMYFUNCTION("""COMPUTED_VALUE"""),"https://www.tiktok.com/@ade.imavid/video/7643308775339773205?is_from_webapp=1&amp;sender_device=pc")</f>
        <v>https://www.tiktok.com/@ade.imavid/video/7643308775339773205?is_from_webapp=1&amp;sender_device=pc</v>
      </c>
      <c r="K128" s="262"/>
      <c r="L128" s="262"/>
      <c r="M128" s="262"/>
    </row>
    <row r="129">
      <c r="A129" s="255" t="str">
        <f>IFERROR(__xludf.DUMMYFUNCTION("""COMPUTED_VALUE"""),"NANO")</f>
        <v>NANO</v>
      </c>
      <c r="B129" s="23" t="str">
        <f>IFERROR(__xludf.DUMMYFUNCTION("""COMPUTED_VALUE"""),"kakaesthy")</f>
        <v>kakaesthy</v>
      </c>
      <c r="C129" s="257" t="str">
        <f>IFERROR(__xludf.DUMMYFUNCTION("""COMPUTED_VALUE"""),"https://www.tiktok.com/@kakaesthy")</f>
        <v>https://www.tiktok.com/@kakaesthy</v>
      </c>
      <c r="D129" s="23">
        <f>IFERROR(__xludf.DUMMYFUNCTION("""COMPUTED_VALUE"""),8.7745435731E10)</f>
        <v>87745435731</v>
      </c>
      <c r="E129" s="457">
        <f>IFERROR(__xludf.DUMMYFUNCTION("""COMPUTED_VALUE"""),0.0)</f>
        <v>0</v>
      </c>
      <c r="F129" s="270">
        <f>IFERROR(__xludf.DUMMYFUNCTION("""COMPUTED_VALUE"""),4.0)</f>
        <v>4</v>
      </c>
      <c r="G129" s="17" t="str">
        <f>IFERROR(__xludf.DUMMYFUNCTION("""COMPUTED_VALUE"""),"Full Set")</f>
        <v>Full Set</v>
      </c>
      <c r="H129" s="17"/>
      <c r="I129" s="262"/>
      <c r="J129" s="262"/>
      <c r="K129" s="262"/>
      <c r="L129" s="262"/>
      <c r="M129" s="262"/>
    </row>
    <row r="130">
      <c r="A130" s="255" t="str">
        <f>IFERROR(__xludf.DUMMYFUNCTION("""COMPUTED_VALUE"""),"NANO")</f>
        <v>NANO</v>
      </c>
      <c r="B130" s="23" t="str">
        <f>IFERROR(__xludf.DUMMYFUNCTION("""COMPUTED_VALUE"""),"syakiraazizahnh1_")</f>
        <v>syakiraazizahnh1_</v>
      </c>
      <c r="C130" s="257" t="str">
        <f>IFERROR(__xludf.DUMMYFUNCTION("""COMPUTED_VALUE"""),"https://www.tiktok.com/@syakiraazizahnh1_")</f>
        <v>https://www.tiktok.com/@syakiraazizahnh1_</v>
      </c>
      <c r="D130" s="23">
        <f>IFERROR(__xludf.DUMMYFUNCTION("""COMPUTED_VALUE"""),8.128339171E10)</f>
        <v>81283391710</v>
      </c>
      <c r="E130" s="457">
        <f>IFERROR(__xludf.DUMMYFUNCTION("""COMPUTED_VALUE"""),0.0)</f>
        <v>0</v>
      </c>
      <c r="F130" s="270">
        <f>IFERROR(__xludf.DUMMYFUNCTION("""COMPUTED_VALUE"""),4.0)</f>
        <v>4</v>
      </c>
      <c r="G130" s="17" t="str">
        <f>IFERROR(__xludf.DUMMYFUNCTION("""COMPUTED_VALUE"""),"Full Set")</f>
        <v>Full Set</v>
      </c>
      <c r="H130" s="17"/>
      <c r="I130" s="262"/>
      <c r="J130" s="262"/>
      <c r="K130" s="262"/>
      <c r="L130" s="262"/>
      <c r="M130" s="262"/>
    </row>
    <row r="131">
      <c r="A131" s="255" t="str">
        <f>IFERROR(__xludf.DUMMYFUNCTION("""COMPUTED_VALUE"""),"NANO")</f>
        <v>NANO</v>
      </c>
      <c r="B131" s="23" t="str">
        <f>IFERROR(__xludf.DUMMYFUNCTION("""COMPUTED_VALUE"""),"Laila.nj1212")</f>
        <v>Laila.nj1212</v>
      </c>
      <c r="C131" s="257" t="str">
        <f>IFERROR(__xludf.DUMMYFUNCTION("""COMPUTED_VALUE"""),"https://www.tiktok.com/@Laila.nj1212")</f>
        <v>https://www.tiktok.com/@Laila.nj1212</v>
      </c>
      <c r="D131" s="23">
        <f>IFERROR(__xludf.DUMMYFUNCTION("""COMPUTED_VALUE"""),8.2289222727E10)</f>
        <v>82289222727</v>
      </c>
      <c r="E131" s="457">
        <f>IFERROR(__xludf.DUMMYFUNCTION("""COMPUTED_VALUE"""),0.0)</f>
        <v>0</v>
      </c>
      <c r="F131" s="270">
        <f>IFERROR(__xludf.DUMMYFUNCTION("""COMPUTED_VALUE"""),4.0)</f>
        <v>4</v>
      </c>
      <c r="G131" s="17" t="str">
        <f>IFERROR(__xludf.DUMMYFUNCTION("""COMPUTED_VALUE"""),"Full Set")</f>
        <v>Full Set</v>
      </c>
      <c r="H131" s="17"/>
      <c r="I131" s="278" t="str">
        <f>IFERROR(__xludf.DUMMYFUNCTION("""COMPUTED_VALUE"""),"https://vt.tiktok.com/ZS9Vbpsmy/")</f>
        <v>https://vt.tiktok.com/ZS9Vbpsmy/</v>
      </c>
      <c r="J131" s="278" t="str">
        <f>IFERROR(__xludf.DUMMYFUNCTION("""COMPUTED_VALUE"""),"https://vt.tiktok.com/ZS9bCoVg7/")</f>
        <v>https://vt.tiktok.com/ZS9bCoVg7/</v>
      </c>
      <c r="K131" s="278" t="str">
        <f>IFERROR(__xludf.DUMMYFUNCTION("""COMPUTED_VALUE"""),"https://www.tiktok.com/@laila.nj1212/video/7639163228345584903?is_from_webapp=1&amp;sender_device=pc")</f>
        <v>https://www.tiktok.com/@laila.nj1212/video/7639163228345584903?is_from_webapp=1&amp;sender_device=pc</v>
      </c>
      <c r="L131" s="278" t="str">
        <f>IFERROR(__xludf.DUMMYFUNCTION("""COMPUTED_VALUE"""),"https://www.tiktok.com/@laila.nj1212/video/7639967556899474695?is_from_webapp=1&amp;sender_device=pc")</f>
        <v>https://www.tiktok.com/@laila.nj1212/video/7639967556899474695?is_from_webapp=1&amp;sender_device=pc</v>
      </c>
      <c r="M131" s="262"/>
    </row>
    <row r="132">
      <c r="A132" s="255" t="str">
        <f>IFERROR(__xludf.DUMMYFUNCTION("""COMPUTED_VALUE"""),"NANO")</f>
        <v>NANO</v>
      </c>
      <c r="B132" s="23" t="str">
        <f>IFERROR(__xludf.DUMMYFUNCTION("""COMPUTED_VALUE"""),"chrnmccar")</f>
        <v>chrnmccar</v>
      </c>
      <c r="C132" s="257" t="str">
        <f>IFERROR(__xludf.DUMMYFUNCTION("""COMPUTED_VALUE"""),"https://www.tiktok.com/@chrnmccar")</f>
        <v>https://www.tiktok.com/@chrnmccar</v>
      </c>
      <c r="D132" s="23">
        <f>IFERROR(__xludf.DUMMYFUNCTION("""COMPUTED_VALUE"""),8.1249481994E10)</f>
        <v>81249481994</v>
      </c>
      <c r="E132" s="457">
        <f>IFERROR(__xludf.DUMMYFUNCTION("""COMPUTED_VALUE"""),0.0)</f>
        <v>0</v>
      </c>
      <c r="F132" s="270">
        <f>IFERROR(__xludf.DUMMYFUNCTION("""COMPUTED_VALUE"""),4.0)</f>
        <v>4</v>
      </c>
      <c r="G132" s="17" t="str">
        <f>IFERROR(__xludf.DUMMYFUNCTION("""COMPUTED_VALUE"""),"Full Set")</f>
        <v>Full Set</v>
      </c>
      <c r="H132" s="17"/>
      <c r="I132" s="262"/>
      <c r="J132" s="262"/>
      <c r="K132" s="262"/>
      <c r="L132" s="262"/>
      <c r="M132" s="262"/>
    </row>
    <row r="133">
      <c r="A133" s="255" t="str">
        <f>IFERROR(__xludf.DUMMYFUNCTION("""COMPUTED_VALUE"""),"MICRO")</f>
        <v>MICRO</v>
      </c>
      <c r="B133" s="23" t="str">
        <f>IFERROR(__xludf.DUMMYFUNCTION("""COMPUTED_VALUE"""),"yanti_nainggolan")</f>
        <v>yanti_nainggolan</v>
      </c>
      <c r="C133" s="257" t="str">
        <f>IFERROR(__xludf.DUMMYFUNCTION("""COMPUTED_VALUE"""),"https://www.tiktok.com/@yanti_nainggolan")</f>
        <v>https://www.tiktok.com/@yanti_nainggolan</v>
      </c>
      <c r="D133" s="23">
        <f>IFERROR(__xludf.DUMMYFUNCTION("""COMPUTED_VALUE"""),8.217057017E10)</f>
        <v>82170570170</v>
      </c>
      <c r="E133" s="457">
        <f>IFERROR(__xludf.DUMMYFUNCTION("""COMPUTED_VALUE"""),0.0)</f>
        <v>0</v>
      </c>
      <c r="F133" s="270">
        <f>IFERROR(__xludf.DUMMYFUNCTION("""COMPUTED_VALUE"""),4.0)</f>
        <v>4</v>
      </c>
      <c r="G133" s="17" t="str">
        <f>IFERROR(__xludf.DUMMYFUNCTION("""COMPUTED_VALUE"""),"Full Set")</f>
        <v>Full Set</v>
      </c>
      <c r="H133" s="17"/>
      <c r="I133" s="262"/>
      <c r="J133" s="262"/>
      <c r="K133" s="262"/>
      <c r="L133" s="262"/>
      <c r="M133" s="262"/>
    </row>
    <row r="134">
      <c r="A134" s="255" t="str">
        <f>IFERROR(__xludf.DUMMYFUNCTION("""COMPUTED_VALUE"""),"MICRO")</f>
        <v>MICRO</v>
      </c>
      <c r="B134" s="23" t="str">
        <f>IFERROR(__xludf.DUMMYFUNCTION("""COMPUTED_VALUE"""),"innaahhiyan")</f>
        <v>innaahhiyan</v>
      </c>
      <c r="C134" s="257" t="str">
        <f>IFERROR(__xludf.DUMMYFUNCTION("""COMPUTED_VALUE"""),"https://www.tiktok.com/@innaahhiyan")</f>
        <v>https://www.tiktok.com/@innaahhiyan</v>
      </c>
      <c r="D134" s="23">
        <f>IFERROR(__xludf.DUMMYFUNCTION("""COMPUTED_VALUE"""),8.5226956975E10)</f>
        <v>85226956975</v>
      </c>
      <c r="E134" s="457">
        <f>IFERROR(__xludf.DUMMYFUNCTION("""COMPUTED_VALUE"""),0.0)</f>
        <v>0</v>
      </c>
      <c r="F134" s="270">
        <f>IFERROR(__xludf.DUMMYFUNCTION("""COMPUTED_VALUE"""),4.0)</f>
        <v>4</v>
      </c>
      <c r="G134" s="17" t="str">
        <f>IFERROR(__xludf.DUMMYFUNCTION("""COMPUTED_VALUE"""),"Full Set")</f>
        <v>Full Set</v>
      </c>
      <c r="H134" s="17"/>
      <c r="I134" s="278" t="str">
        <f>IFERROR(__xludf.DUMMYFUNCTION("""COMPUTED_VALUE"""),"https://www.tiktok.com/@innaahhiyan/video/7637191873857211655?is_from_webapp=1&amp;sender_device=pc")</f>
        <v>https://www.tiktok.com/@innaahhiyan/video/7637191873857211655?is_from_webapp=1&amp;sender_device=pc</v>
      </c>
      <c r="J134" s="278" t="str">
        <f>IFERROR(__xludf.DUMMYFUNCTION("""COMPUTED_VALUE"""),"https://www.tiktok.com/@innaahhiyan/video/7637367243881385224?is_from_webapp=1&amp;sender_device=pc")</f>
        <v>https://www.tiktok.com/@innaahhiyan/video/7637367243881385224?is_from_webapp=1&amp;sender_device=pc</v>
      </c>
      <c r="K134" s="262"/>
      <c r="L134" s="262"/>
      <c r="M134" s="262"/>
    </row>
    <row r="135">
      <c r="A135" s="255" t="str">
        <f>IFERROR(__xludf.DUMMYFUNCTION("""COMPUTED_VALUE"""),"MICRO")</f>
        <v>MICRO</v>
      </c>
      <c r="B135" s="23" t="str">
        <f>IFERROR(__xludf.DUMMYFUNCTION("""COMPUTED_VALUE"""),"DesyMufti96")</f>
        <v>DesyMufti96</v>
      </c>
      <c r="C135" s="257" t="str">
        <f>IFERROR(__xludf.DUMMYFUNCTION("""COMPUTED_VALUE"""),"https://www.tiktok.com/@DesyMufti96")</f>
        <v>https://www.tiktok.com/@DesyMufti96</v>
      </c>
      <c r="D135" s="23">
        <f>IFERROR(__xludf.DUMMYFUNCTION("""COMPUTED_VALUE"""),8.1280440016E10)</f>
        <v>81280440016</v>
      </c>
      <c r="E135" s="457">
        <f>IFERROR(__xludf.DUMMYFUNCTION("""COMPUTED_VALUE"""),0.0)</f>
        <v>0</v>
      </c>
      <c r="F135" s="270">
        <f>IFERROR(__xludf.DUMMYFUNCTION("""COMPUTED_VALUE"""),4.0)</f>
        <v>4</v>
      </c>
      <c r="G135" s="17" t="str">
        <f>IFERROR(__xludf.DUMMYFUNCTION("""COMPUTED_VALUE"""),"Full Set")</f>
        <v>Full Set</v>
      </c>
      <c r="H135" s="17"/>
      <c r="I135" s="278" t="str">
        <f>IFERROR(__xludf.DUMMYFUNCTION("""COMPUTED_VALUE"""),"https://www.tiktok.com/@desymufti96/video/7640867344553757972?is_from_webapp=1&amp;sender_device=pc")</f>
        <v>https://www.tiktok.com/@desymufti96/video/7640867344553757972?is_from_webapp=1&amp;sender_device=pc</v>
      </c>
      <c r="J135" s="278" t="str">
        <f>IFERROR(__xludf.DUMMYFUNCTION("""COMPUTED_VALUE"""),"https://www.tiktok.com/@desymufti96/video/7641200707546123541?is_from_webapp=1&amp;sender_device=pc")</f>
        <v>https://www.tiktok.com/@desymufti96/video/7641200707546123541?is_from_webapp=1&amp;sender_device=pc</v>
      </c>
      <c r="K135" s="262"/>
      <c r="L135" s="262"/>
      <c r="M135" s="262"/>
    </row>
    <row r="136">
      <c r="A136" s="255" t="str">
        <f>IFERROR(__xludf.DUMMYFUNCTION("""COMPUTED_VALUE"""),"MICRO")</f>
        <v>MICRO</v>
      </c>
      <c r="B136" s="23" t="str">
        <f>IFERROR(__xludf.DUMMYFUNCTION("""COMPUTED_VALUE"""),"dewiisma_88")</f>
        <v>dewiisma_88</v>
      </c>
      <c r="C136" s="257" t="str">
        <f>IFERROR(__xludf.DUMMYFUNCTION("""COMPUTED_VALUE"""),"https://www.tiktok.com/@dewiisma_88")</f>
        <v>https://www.tiktok.com/@dewiisma_88</v>
      </c>
      <c r="D136" s="23">
        <f>IFERROR(__xludf.DUMMYFUNCTION("""COMPUTED_VALUE"""),8.5198062516E10)</f>
        <v>85198062516</v>
      </c>
      <c r="E136" s="457">
        <f>IFERROR(__xludf.DUMMYFUNCTION("""COMPUTED_VALUE"""),0.0)</f>
        <v>0</v>
      </c>
      <c r="F136" s="270">
        <f>IFERROR(__xludf.DUMMYFUNCTION("""COMPUTED_VALUE"""),4.0)</f>
        <v>4</v>
      </c>
      <c r="G136" s="17" t="str">
        <f>IFERROR(__xludf.DUMMYFUNCTION("""COMPUTED_VALUE"""),"Full Set")</f>
        <v>Full Set</v>
      </c>
      <c r="H136" s="17"/>
      <c r="I136" s="262"/>
      <c r="J136" s="262"/>
      <c r="K136" s="262"/>
      <c r="L136" s="262"/>
      <c r="M136" s="262"/>
    </row>
    <row r="137">
      <c r="A137" s="255" t="str">
        <f>IFERROR(__xludf.DUMMYFUNCTION("""COMPUTED_VALUE"""),"MICRO")</f>
        <v>MICRO</v>
      </c>
      <c r="B137" s="23" t="str">
        <f>IFERROR(__xludf.DUMMYFUNCTION("""COMPUTED_VALUE"""),"theycallmesheryl")</f>
        <v>theycallmesheryl</v>
      </c>
      <c r="C137" s="257" t="str">
        <f>IFERROR(__xludf.DUMMYFUNCTION("""COMPUTED_VALUE"""),"https://www.tiktok.com/@theycallmesheryl")</f>
        <v>https://www.tiktok.com/@theycallmesheryl</v>
      </c>
      <c r="D137" s="23">
        <f>IFERROR(__xludf.DUMMYFUNCTION("""COMPUTED_VALUE"""),8.1298519789E10)</f>
        <v>81298519789</v>
      </c>
      <c r="E137" s="457">
        <f>IFERROR(__xludf.DUMMYFUNCTION("""COMPUTED_VALUE"""),0.0)</f>
        <v>0</v>
      </c>
      <c r="F137" s="270">
        <f>IFERROR(__xludf.DUMMYFUNCTION("""COMPUTED_VALUE"""),4.0)</f>
        <v>4</v>
      </c>
      <c r="G137" s="17" t="str">
        <f>IFERROR(__xludf.DUMMYFUNCTION("""COMPUTED_VALUE"""),"Full Set")</f>
        <v>Full Set</v>
      </c>
      <c r="H137" s="17"/>
      <c r="I137" s="278" t="str">
        <f>IFERROR(__xludf.DUMMYFUNCTION("""COMPUTED_VALUE"""),"https://www.tiktok.com/@theycallmesheryl/video/7637139368129482002?is_from_webapp=1&amp;sender_device=pc")</f>
        <v>https://www.tiktok.com/@theycallmesheryl/video/7637139368129482002?is_from_webapp=1&amp;sender_device=pc</v>
      </c>
      <c r="J137" s="278" t="str">
        <f>IFERROR(__xludf.DUMMYFUNCTION("""COMPUTED_VALUE"""),"https://vt.tiktok.com/ZS9oafsyu/")</f>
        <v>https://vt.tiktok.com/ZS9oafsyu/</v>
      </c>
      <c r="K137" s="278" t="str">
        <f>IFERROR(__xludf.DUMMYFUNCTION("""COMPUTED_VALUE"""),"https://vt.tiktok.com/ZSxBxeaSy/")</f>
        <v>https://vt.tiktok.com/ZSxBxeaSy/</v>
      </c>
      <c r="L137" s="278" t="str">
        <f>IFERROR(__xludf.DUMMYFUNCTION("""COMPUTED_VALUE"""),"https://vt.tiktok.com/ZSxgSUQqu/")</f>
        <v>https://vt.tiktok.com/ZSxgSUQqu/</v>
      </c>
      <c r="M137" s="262"/>
    </row>
    <row r="138">
      <c r="A138" s="255" t="str">
        <f>IFERROR(__xludf.DUMMYFUNCTION("""COMPUTED_VALUE"""),"NANO")</f>
        <v>NANO</v>
      </c>
      <c r="B138" s="23" t="str">
        <f>IFERROR(__xludf.DUMMYFUNCTION("""COMPUTED_VALUE"""),"niimarl")</f>
        <v>niimarl</v>
      </c>
      <c r="C138" s="257" t="str">
        <f>IFERROR(__xludf.DUMMYFUNCTION("""COMPUTED_VALUE"""),"https://www.tiktok.com/@niimarl")</f>
        <v>https://www.tiktok.com/@niimarl</v>
      </c>
      <c r="D138" s="23">
        <f>IFERROR(__xludf.DUMMYFUNCTION("""COMPUTED_VALUE"""),8.5694657038E10)</f>
        <v>85694657038</v>
      </c>
      <c r="E138" s="457">
        <f>IFERROR(__xludf.DUMMYFUNCTION("""COMPUTED_VALUE"""),0.0)</f>
        <v>0</v>
      </c>
      <c r="F138" s="270">
        <f>IFERROR(__xludf.DUMMYFUNCTION("""COMPUTED_VALUE"""),4.0)</f>
        <v>4</v>
      </c>
      <c r="G138" s="17" t="str">
        <f>IFERROR(__xludf.DUMMYFUNCTION("""COMPUTED_VALUE"""),"Full Set")</f>
        <v>Full Set</v>
      </c>
      <c r="H138" s="17"/>
      <c r="I138" s="278" t="str">
        <f>IFERROR(__xludf.DUMMYFUNCTION("""COMPUTED_VALUE"""),"https://www.tiktok.com/@niimarl/video/7642649903675575559?is_from_webapp=1&amp;sender_device=pc")</f>
        <v>https://www.tiktok.com/@niimarl/video/7642649903675575559?is_from_webapp=1&amp;sender_device=pc</v>
      </c>
      <c r="J138" s="262"/>
      <c r="K138" s="262"/>
      <c r="L138" s="262"/>
      <c r="M138" s="262"/>
    </row>
    <row r="139">
      <c r="A139" s="255" t="str">
        <f>IFERROR(__xludf.DUMMYFUNCTION("""COMPUTED_VALUE"""),"NANO")</f>
        <v>NANO</v>
      </c>
      <c r="B139" s="23" t="str">
        <f>IFERROR(__xludf.DUMMYFUNCTION("""COMPUTED_VALUE"""),"Riskikiki001")</f>
        <v>Riskikiki001</v>
      </c>
      <c r="C139" s="257" t="str">
        <f>IFERROR(__xludf.DUMMYFUNCTION("""COMPUTED_VALUE"""),"https://www.tiktok.com/@Riskikiki001")</f>
        <v>https://www.tiktok.com/@Riskikiki001</v>
      </c>
      <c r="D139" s="23">
        <f>IFERROR(__xludf.DUMMYFUNCTION("""COMPUTED_VALUE"""),8.123758034E10)</f>
        <v>81237580340</v>
      </c>
      <c r="E139" s="457">
        <f>IFERROR(__xludf.DUMMYFUNCTION("""COMPUTED_VALUE"""),0.0)</f>
        <v>0</v>
      </c>
      <c r="F139" s="270">
        <f>IFERROR(__xludf.DUMMYFUNCTION("""COMPUTED_VALUE"""),4.0)</f>
        <v>4</v>
      </c>
      <c r="G139" s="17" t="str">
        <f>IFERROR(__xludf.DUMMYFUNCTION("""COMPUTED_VALUE"""),"Full Set")</f>
        <v>Full Set</v>
      </c>
      <c r="H139" s="17"/>
      <c r="I139" s="278" t="str">
        <f>IFERROR(__xludf.DUMMYFUNCTION("""COMPUTED_VALUE"""),"https://www.tiktok.com/@riskikiki001/video/7637044506507971847?is_from_webapp=1&amp;sender_device=pc")</f>
        <v>https://www.tiktok.com/@riskikiki001/video/7637044506507971847?is_from_webapp=1&amp;sender_device=pc</v>
      </c>
      <c r="J139" s="278" t="str">
        <f>IFERROR(__xludf.DUMMYFUNCTION("""COMPUTED_VALUE"""),"https://vt.tiktok.com/ZSxTh5PEx/")</f>
        <v>https://vt.tiktok.com/ZSxTh5PEx/</v>
      </c>
      <c r="K139" s="262"/>
      <c r="L139" s="262"/>
      <c r="M139" s="262"/>
    </row>
    <row r="140">
      <c r="A140" s="255" t="str">
        <f>IFERROR(__xludf.DUMMYFUNCTION("""COMPUTED_VALUE"""),"NANO")</f>
        <v>NANO</v>
      </c>
      <c r="B140" s="23" t="str">
        <f>IFERROR(__xludf.DUMMYFUNCTION("""COMPUTED_VALUE"""),"ulyaaayns")</f>
        <v>ulyaaayns</v>
      </c>
      <c r="C140" s="257" t="str">
        <f>IFERROR(__xludf.DUMMYFUNCTION("""COMPUTED_VALUE"""),"https://www.tiktok.com/@ulyaaayns")</f>
        <v>https://www.tiktok.com/@ulyaaayns</v>
      </c>
      <c r="D140" s="23">
        <f>IFERROR(__xludf.DUMMYFUNCTION("""COMPUTED_VALUE"""),8.7708334538E10)</f>
        <v>87708334538</v>
      </c>
      <c r="E140" s="457">
        <f>IFERROR(__xludf.DUMMYFUNCTION("""COMPUTED_VALUE"""),50000.0)</f>
        <v>50000</v>
      </c>
      <c r="F140" s="270">
        <f>IFERROR(__xludf.DUMMYFUNCTION("""COMPUTED_VALUE"""),4.0)</f>
        <v>4</v>
      </c>
      <c r="G140" s="17" t="str">
        <f>IFERROR(__xludf.DUMMYFUNCTION("""COMPUTED_VALUE"""),"Full Set")</f>
        <v>Full Set</v>
      </c>
      <c r="H140" s="17"/>
      <c r="I140" s="262"/>
      <c r="J140" s="262"/>
      <c r="K140" s="262"/>
      <c r="L140" s="262"/>
      <c r="M140" s="262"/>
    </row>
    <row r="141">
      <c r="A141" s="255" t="str">
        <f>IFERROR(__xludf.DUMMYFUNCTION("""COMPUTED_VALUE"""),"MICRO")</f>
        <v>MICRO</v>
      </c>
      <c r="B141" s="23" t="str">
        <f>IFERROR(__xludf.DUMMYFUNCTION("""COMPUTED_VALUE"""),"Fenifebriyanti02")</f>
        <v>Fenifebriyanti02</v>
      </c>
      <c r="C141" s="257" t="str">
        <f>IFERROR(__xludf.DUMMYFUNCTION("""COMPUTED_VALUE"""),"https://www.tiktok.com/@Fenifebriyanti02")</f>
        <v>https://www.tiktok.com/@Fenifebriyanti02</v>
      </c>
      <c r="D141" s="23">
        <f>IFERROR(__xludf.DUMMYFUNCTION("""COMPUTED_VALUE"""),8.5769725401E10)</f>
        <v>85769725401</v>
      </c>
      <c r="E141" s="457">
        <f>IFERROR(__xludf.DUMMYFUNCTION("""COMPUTED_VALUE"""),100000.0)</f>
        <v>100000</v>
      </c>
      <c r="F141" s="270">
        <f>IFERROR(__xludf.DUMMYFUNCTION("""COMPUTED_VALUE"""),4.0)</f>
        <v>4</v>
      </c>
      <c r="G141" s="17" t="str">
        <f>IFERROR(__xludf.DUMMYFUNCTION("""COMPUTED_VALUE"""),"Full Set")</f>
        <v>Full Set</v>
      </c>
      <c r="H141" s="17"/>
      <c r="I141" s="262"/>
      <c r="J141" s="262"/>
      <c r="K141" s="262"/>
      <c r="L141" s="262"/>
      <c r="M141" s="262"/>
    </row>
    <row r="142">
      <c r="A142" s="255" t="str">
        <f>IFERROR(__xludf.DUMMYFUNCTION("""COMPUTED_VALUE"""),"NANO")</f>
        <v>NANO</v>
      </c>
      <c r="B142" s="23" t="str">
        <f>IFERROR(__xludf.DUMMYFUNCTION("""COMPUTED_VALUE"""),"indahnnah")</f>
        <v>indahnnah</v>
      </c>
      <c r="C142" s="257" t="str">
        <f>IFERROR(__xludf.DUMMYFUNCTION("""COMPUTED_VALUE"""),"https://www.tiktok.com/@indahnnah")</f>
        <v>https://www.tiktok.com/@indahnnah</v>
      </c>
      <c r="D142" s="23">
        <f>IFERROR(__xludf.DUMMYFUNCTION("""COMPUTED_VALUE"""),8.9504584421E10)</f>
        <v>89504584421</v>
      </c>
      <c r="E142" s="457">
        <f>IFERROR(__xludf.DUMMYFUNCTION("""COMPUTED_VALUE"""),50000.0)</f>
        <v>50000</v>
      </c>
      <c r="F142" s="270">
        <f>IFERROR(__xludf.DUMMYFUNCTION("""COMPUTED_VALUE"""),4.0)</f>
        <v>4</v>
      </c>
      <c r="G142" s="17" t="str">
        <f>IFERROR(__xludf.DUMMYFUNCTION("""COMPUTED_VALUE"""),"Full Set")</f>
        <v>Full Set</v>
      </c>
      <c r="H142" s="17"/>
      <c r="I142" s="262"/>
      <c r="J142" s="262"/>
      <c r="K142" s="262"/>
      <c r="L142" s="262"/>
      <c r="M142" s="262"/>
    </row>
    <row r="143">
      <c r="A143" s="255" t="str">
        <f>IFERROR(__xludf.DUMMYFUNCTION("""COMPUTED_VALUE"""),"MICRO")</f>
        <v>MICRO</v>
      </c>
      <c r="B143" s="23" t="str">
        <f>IFERROR(__xludf.DUMMYFUNCTION("""COMPUTED_VALUE"""),"rohmasyafa17")</f>
        <v>rohmasyafa17</v>
      </c>
      <c r="C143" s="257" t="str">
        <f>IFERROR(__xludf.DUMMYFUNCTION("""COMPUTED_VALUE"""),"https://www.tiktok.com/@rohmasyafa17")</f>
        <v>https://www.tiktok.com/@rohmasyafa17</v>
      </c>
      <c r="D143" s="23">
        <f>IFERROR(__xludf.DUMMYFUNCTION("""COMPUTED_VALUE"""),8.953898472E11)</f>
        <v>895389847200</v>
      </c>
      <c r="E143" s="457">
        <f>IFERROR(__xludf.DUMMYFUNCTION("""COMPUTED_VALUE"""),100000.0)</f>
        <v>100000</v>
      </c>
      <c r="F143" s="270">
        <f>IFERROR(__xludf.DUMMYFUNCTION("""COMPUTED_VALUE"""),4.0)</f>
        <v>4</v>
      </c>
      <c r="G143" s="17" t="str">
        <f>IFERROR(__xludf.DUMMYFUNCTION("""COMPUTED_VALUE"""),"Full Set")</f>
        <v>Full Set</v>
      </c>
      <c r="H143" s="17"/>
      <c r="I143" s="262"/>
      <c r="J143" s="262"/>
      <c r="K143" s="262"/>
      <c r="L143" s="262"/>
      <c r="M143" s="262"/>
    </row>
    <row r="144">
      <c r="A144" s="255" t="str">
        <f>IFERROR(__xludf.DUMMYFUNCTION("""COMPUTED_VALUE"""),"NANO")</f>
        <v>NANO</v>
      </c>
      <c r="B144" s="23" t="str">
        <f>IFERROR(__xludf.DUMMYFUNCTION("""COMPUTED_VALUE"""),"novi_ananovy")</f>
        <v>novi_ananovy</v>
      </c>
      <c r="C144" s="257" t="str">
        <f>IFERROR(__xludf.DUMMYFUNCTION("""COMPUTED_VALUE"""),"https://www.tiktok.com/@novi_ananovy")</f>
        <v>https://www.tiktok.com/@novi_ananovy</v>
      </c>
      <c r="D144" s="23">
        <f>IFERROR(__xludf.DUMMYFUNCTION("""COMPUTED_VALUE"""),8.9620552246E10)</f>
        <v>89620552246</v>
      </c>
      <c r="E144" s="457">
        <f>IFERROR(__xludf.DUMMYFUNCTION("""COMPUTED_VALUE"""),50000.0)</f>
        <v>50000</v>
      </c>
      <c r="F144" s="270">
        <f>IFERROR(__xludf.DUMMYFUNCTION("""COMPUTED_VALUE"""),4.0)</f>
        <v>4</v>
      </c>
      <c r="G144" s="17" t="str">
        <f>IFERROR(__xludf.DUMMYFUNCTION("""COMPUTED_VALUE"""),"Full Set")</f>
        <v>Full Set</v>
      </c>
      <c r="H144" s="17"/>
      <c r="I144" s="262"/>
      <c r="J144" s="262"/>
      <c r="K144" s="262"/>
      <c r="L144" s="262"/>
      <c r="M144" s="262"/>
    </row>
    <row r="145">
      <c r="A145" s="255" t="str">
        <f>IFERROR(__xludf.DUMMYFUNCTION("""COMPUTED_VALUE"""),"MICRO")</f>
        <v>MICRO</v>
      </c>
      <c r="B145" s="23" t="str">
        <f>IFERROR(__xludf.DUMMYFUNCTION("""COMPUTED_VALUE"""),"Ike.m.ayu")</f>
        <v>Ike.m.ayu</v>
      </c>
      <c r="C145" s="257" t="str">
        <f>IFERROR(__xludf.DUMMYFUNCTION("""COMPUTED_VALUE"""),"https://www.tiktok.com/@Ike.m.ayu")</f>
        <v>https://www.tiktok.com/@Ike.m.ayu</v>
      </c>
      <c r="D145" s="23">
        <f>IFERROR(__xludf.DUMMYFUNCTION("""COMPUTED_VALUE"""),8.3896503369E10)</f>
        <v>83896503369</v>
      </c>
      <c r="E145" s="457">
        <f>IFERROR(__xludf.DUMMYFUNCTION("""COMPUTED_VALUE"""),100000.0)</f>
        <v>100000</v>
      </c>
      <c r="F145" s="270">
        <f>IFERROR(__xludf.DUMMYFUNCTION("""COMPUTED_VALUE"""),4.0)</f>
        <v>4</v>
      </c>
      <c r="G145" s="17" t="str">
        <f>IFERROR(__xludf.DUMMYFUNCTION("""COMPUTED_VALUE"""),"Full Set")</f>
        <v>Full Set</v>
      </c>
      <c r="H145" s="17"/>
      <c r="I145" s="262"/>
      <c r="J145" s="262"/>
      <c r="K145" s="262"/>
      <c r="L145" s="262"/>
      <c r="M145" s="262"/>
    </row>
    <row r="146">
      <c r="A146" s="255" t="str">
        <f>IFERROR(__xludf.DUMMYFUNCTION("""COMPUTED_VALUE"""),"MICRO")</f>
        <v>MICRO</v>
      </c>
      <c r="B146" s="23" t="str">
        <f>IFERROR(__xludf.DUMMYFUNCTION("""COMPUTED_VALUE"""),"veni.aje")</f>
        <v>veni.aje</v>
      </c>
      <c r="C146" s="257" t="str">
        <f>IFERROR(__xludf.DUMMYFUNCTION("""COMPUTED_VALUE"""),"https://www.tiktok.com/@veni.aje")</f>
        <v>https://www.tiktok.com/@veni.aje</v>
      </c>
      <c r="D146" s="23">
        <f>IFERROR(__xludf.DUMMYFUNCTION("""COMPUTED_VALUE"""),8.9653149028E10)</f>
        <v>89653149028</v>
      </c>
      <c r="E146" s="457">
        <f>IFERROR(__xludf.DUMMYFUNCTION("""COMPUTED_VALUE"""),0.0)</f>
        <v>0</v>
      </c>
      <c r="F146" s="270">
        <f>IFERROR(__xludf.DUMMYFUNCTION("""COMPUTED_VALUE"""),4.0)</f>
        <v>4</v>
      </c>
      <c r="G146" s="17" t="str">
        <f>IFERROR(__xludf.DUMMYFUNCTION("""COMPUTED_VALUE"""),"Full Set")</f>
        <v>Full Set</v>
      </c>
      <c r="H146" s="17"/>
      <c r="I146" s="262"/>
      <c r="J146" s="262"/>
      <c r="K146" s="262"/>
      <c r="L146" s="262"/>
      <c r="M146" s="262"/>
    </row>
    <row r="147">
      <c r="A147" s="255" t="str">
        <f>IFERROR(__xludf.DUMMYFUNCTION("""COMPUTED_VALUE"""),"MICRO")</f>
        <v>MICRO</v>
      </c>
      <c r="B147" s="23" t="str">
        <f>IFERROR(__xludf.DUMMYFUNCTION("""COMPUTED_VALUE"""),"de3cey18")</f>
        <v>de3cey18</v>
      </c>
      <c r="C147" s="257" t="str">
        <f>IFERROR(__xludf.DUMMYFUNCTION("""COMPUTED_VALUE"""),"https://www.tiktok.com/@de3cey18")</f>
        <v>https://www.tiktok.com/@de3cey18</v>
      </c>
      <c r="D147" s="23">
        <f>IFERROR(__xludf.DUMMYFUNCTION("""COMPUTED_VALUE"""),8.3120247066E10)</f>
        <v>83120247066</v>
      </c>
      <c r="E147" s="457">
        <f>IFERROR(__xludf.DUMMYFUNCTION("""COMPUTED_VALUE"""),100000.0)</f>
        <v>100000</v>
      </c>
      <c r="F147" s="270">
        <f>IFERROR(__xludf.DUMMYFUNCTION("""COMPUTED_VALUE"""),4.0)</f>
        <v>4</v>
      </c>
      <c r="G147" s="17" t="str">
        <f>IFERROR(__xludf.DUMMYFUNCTION("""COMPUTED_VALUE"""),"Full Set")</f>
        <v>Full Set</v>
      </c>
      <c r="H147" s="17"/>
      <c r="I147" s="262"/>
      <c r="J147" s="262"/>
      <c r="K147" s="262"/>
      <c r="L147" s="262"/>
      <c r="M147" s="262"/>
    </row>
    <row r="148">
      <c r="A148" s="255" t="str">
        <f>IFERROR(__xludf.DUMMYFUNCTION("""COMPUTED_VALUE"""),"NANO")</f>
        <v>NANO</v>
      </c>
      <c r="B148" s="23" t="str">
        <f>IFERROR(__xludf.DUMMYFUNCTION("""COMPUTED_VALUE"""),"sharing_bunda ")</f>
        <v>sharing_bunda </v>
      </c>
      <c r="C148" s="257" t="str">
        <f>IFERROR(__xludf.DUMMYFUNCTION("""COMPUTED_VALUE"""),"https://www.tiktok.com/@sharing_bunda ")</f>
        <v>https://www.tiktok.com/@sharing_bunda </v>
      </c>
      <c r="D148" s="23">
        <f>IFERROR(__xludf.DUMMYFUNCTION("""COMPUTED_VALUE"""),8.5607609059E10)</f>
        <v>85607609059</v>
      </c>
      <c r="E148" s="457">
        <f>IFERROR(__xludf.DUMMYFUNCTION("""COMPUTED_VALUE"""),0.0)</f>
        <v>0</v>
      </c>
      <c r="F148" s="270">
        <f>IFERROR(__xludf.DUMMYFUNCTION("""COMPUTED_VALUE"""),4.0)</f>
        <v>4</v>
      </c>
      <c r="G148" s="17" t="str">
        <f>IFERROR(__xludf.DUMMYFUNCTION("""COMPUTED_VALUE"""),"Full Set")</f>
        <v>Full Set</v>
      </c>
      <c r="H148" s="17"/>
      <c r="I148" s="262"/>
      <c r="J148" s="262"/>
      <c r="K148" s="262"/>
      <c r="L148" s="262"/>
      <c r="M148" s="262"/>
    </row>
    <row r="149">
      <c r="A149" s="255" t="str">
        <f>IFERROR(__xludf.DUMMYFUNCTION("""COMPUTED_VALUE"""),"NANO")</f>
        <v>NANO</v>
      </c>
      <c r="B149" s="23" t="str">
        <f>IFERROR(__xludf.DUMMYFUNCTION("""COMPUTED_VALUE"""),"norhayaani")</f>
        <v>norhayaani</v>
      </c>
      <c r="C149" s="257" t="str">
        <f>IFERROR(__xludf.DUMMYFUNCTION("""COMPUTED_VALUE"""),"https://www.tiktok.com/@norhayaani")</f>
        <v>https://www.tiktok.com/@norhayaani</v>
      </c>
      <c r="D149" s="23">
        <f>IFERROR(__xludf.DUMMYFUNCTION("""COMPUTED_VALUE"""),8.315062636E10)</f>
        <v>83150626360</v>
      </c>
      <c r="E149" s="457">
        <f>IFERROR(__xludf.DUMMYFUNCTION("""COMPUTED_VALUE"""),0.0)</f>
        <v>0</v>
      </c>
      <c r="F149" s="270">
        <f>IFERROR(__xludf.DUMMYFUNCTION("""COMPUTED_VALUE"""),4.0)</f>
        <v>4</v>
      </c>
      <c r="G149" s="17" t="str">
        <f>IFERROR(__xludf.DUMMYFUNCTION("""COMPUTED_VALUE"""),"Full Set")</f>
        <v>Full Set</v>
      </c>
      <c r="H149" s="17"/>
      <c r="I149" s="278" t="str">
        <f>IFERROR(__xludf.DUMMYFUNCTION("""COMPUTED_VALUE"""),"https://www.tiktok.com/@norhayaani/video/7635794078600318228?is_from_webapp=1&amp;sender_device=pc")</f>
        <v>https://www.tiktok.com/@norhayaani/video/7635794078600318228?is_from_webapp=1&amp;sender_device=pc</v>
      </c>
      <c r="J149" s="278" t="str">
        <f>IFERROR(__xludf.DUMMYFUNCTION("""COMPUTED_VALUE"""),"https://www.tiktok.com/@norhayaani/video/7636578947773369620?is_from_webapp=1&amp;sender_device=pc")</f>
        <v>https://www.tiktok.com/@norhayaani/video/7636578947773369620?is_from_webapp=1&amp;sender_device=pc</v>
      </c>
      <c r="K149" s="262"/>
      <c r="L149" s="262"/>
      <c r="M149" s="262"/>
    </row>
    <row r="150">
      <c r="A150" s="255" t="str">
        <f>IFERROR(__xludf.DUMMYFUNCTION("""COMPUTED_VALUE"""),"MICRO")</f>
        <v>MICRO</v>
      </c>
      <c r="B150" s="23" t="str">
        <f>IFERROR(__xludf.DUMMYFUNCTION("""COMPUTED_VALUE"""),"Yullia008")</f>
        <v>Yullia008</v>
      </c>
      <c r="C150" s="257" t="str">
        <f>IFERROR(__xludf.DUMMYFUNCTION("""COMPUTED_VALUE"""),"https://www.tiktok.com/@Yullia008")</f>
        <v>https://www.tiktok.com/@Yullia008</v>
      </c>
      <c r="D150" s="23">
        <f>IFERROR(__xludf.DUMMYFUNCTION("""COMPUTED_VALUE"""),8.132170393E9)</f>
        <v>8132170393</v>
      </c>
      <c r="E150" s="457">
        <f>IFERROR(__xludf.DUMMYFUNCTION("""COMPUTED_VALUE"""),0.0)</f>
        <v>0</v>
      </c>
      <c r="F150" s="270">
        <f>IFERROR(__xludf.DUMMYFUNCTION("""COMPUTED_VALUE"""),4.0)</f>
        <v>4</v>
      </c>
      <c r="G150" s="17" t="str">
        <f>IFERROR(__xludf.DUMMYFUNCTION("""COMPUTED_VALUE"""),"Full Set")</f>
        <v>Full Set</v>
      </c>
      <c r="H150" s="17"/>
      <c r="I150" s="262"/>
      <c r="J150" s="262"/>
      <c r="K150" s="262"/>
      <c r="L150" s="262"/>
      <c r="M150" s="262"/>
    </row>
    <row r="151">
      <c r="A151" s="255" t="str">
        <f>IFERROR(__xludf.DUMMYFUNCTION("""COMPUTED_VALUE"""),"NANO")</f>
        <v>NANO</v>
      </c>
      <c r="B151" s="23" t="str">
        <f>IFERROR(__xludf.DUMMYFUNCTION("""COMPUTED_VALUE"""),"bidan_akasi")</f>
        <v>bidan_akasi</v>
      </c>
      <c r="C151" s="257" t="str">
        <f>IFERROR(__xludf.DUMMYFUNCTION("""COMPUTED_VALUE"""),"https://www.tiktok.com/@bidan_akasi")</f>
        <v>https://www.tiktok.com/@bidan_akasi</v>
      </c>
      <c r="D151" s="23">
        <f>IFERROR(__xludf.DUMMYFUNCTION("""COMPUTED_VALUE"""),8.1541251191E10)</f>
        <v>81541251191</v>
      </c>
      <c r="E151" s="457">
        <f>IFERROR(__xludf.DUMMYFUNCTION("""COMPUTED_VALUE"""),50000.0)</f>
        <v>50000</v>
      </c>
      <c r="F151" s="270">
        <f>IFERROR(__xludf.DUMMYFUNCTION("""COMPUTED_VALUE"""),4.0)</f>
        <v>4</v>
      </c>
      <c r="G151" s="17" t="str">
        <f>IFERROR(__xludf.DUMMYFUNCTION("""COMPUTED_VALUE"""),"Full Set")</f>
        <v>Full Set</v>
      </c>
      <c r="H151" s="17"/>
      <c r="I151" s="262"/>
      <c r="J151" s="262"/>
      <c r="K151" s="262"/>
      <c r="L151" s="262"/>
      <c r="M151" s="262"/>
    </row>
    <row r="152">
      <c r="A152" s="255" t="str">
        <f>IFERROR(__xludf.DUMMYFUNCTION("""COMPUTED_VALUE"""),"NANO")</f>
        <v>NANO</v>
      </c>
      <c r="B152" s="23" t="str">
        <f>IFERROR(__xludf.DUMMYFUNCTION("""COMPUTED_VALUE"""),"widyafajar2")</f>
        <v>widyafajar2</v>
      </c>
      <c r="C152" s="257" t="str">
        <f>IFERROR(__xludf.DUMMYFUNCTION("""COMPUTED_VALUE"""),"https://www.tiktok.com/@widyafajar2")</f>
        <v>https://www.tiktok.com/@widyafajar2</v>
      </c>
      <c r="D152" s="23">
        <f>IFERROR(__xludf.DUMMYFUNCTION("""COMPUTED_VALUE"""),8.819126806E9)</f>
        <v>8819126806</v>
      </c>
      <c r="E152" s="457">
        <f>IFERROR(__xludf.DUMMYFUNCTION("""COMPUTED_VALUE"""),0.0)</f>
        <v>0</v>
      </c>
      <c r="F152" s="270">
        <f>IFERROR(__xludf.DUMMYFUNCTION("""COMPUTED_VALUE"""),4.0)</f>
        <v>4</v>
      </c>
      <c r="G152" s="17" t="str">
        <f>IFERROR(__xludf.DUMMYFUNCTION("""COMPUTED_VALUE"""),"Full Set")</f>
        <v>Full Set</v>
      </c>
      <c r="H152" s="17"/>
      <c r="I152" s="262"/>
      <c r="J152" s="262"/>
      <c r="K152" s="262"/>
      <c r="L152" s="262"/>
      <c r="M152" s="262"/>
    </row>
    <row r="153">
      <c r="A153" s="255" t="str">
        <f>IFERROR(__xludf.DUMMYFUNCTION("""COMPUTED_VALUE"""),"MICRO")</f>
        <v>MICRO</v>
      </c>
      <c r="B153" s="23" t="str">
        <f>IFERROR(__xludf.DUMMYFUNCTION("""COMPUTED_VALUE"""),"Rskinaputri")</f>
        <v>Rskinaputri</v>
      </c>
      <c r="C153" s="257" t="str">
        <f>IFERROR(__xludf.DUMMYFUNCTION("""COMPUTED_VALUE"""),"https://www.tiktok.com/@Rskinaputri")</f>
        <v>https://www.tiktok.com/@Rskinaputri</v>
      </c>
      <c r="D153" s="23">
        <f>IFERROR(__xludf.DUMMYFUNCTION("""COMPUTED_VALUE"""),8.2311536716E10)</f>
        <v>82311536716</v>
      </c>
      <c r="E153" s="457">
        <f>IFERROR(__xludf.DUMMYFUNCTION("""COMPUTED_VALUE"""),0.0)</f>
        <v>0</v>
      </c>
      <c r="F153" s="270">
        <f>IFERROR(__xludf.DUMMYFUNCTION("""COMPUTED_VALUE"""),4.0)</f>
        <v>4</v>
      </c>
      <c r="G153" s="17" t="str">
        <f>IFERROR(__xludf.DUMMYFUNCTION("""COMPUTED_VALUE"""),"Full Set")</f>
        <v>Full Set</v>
      </c>
      <c r="H153" s="17"/>
      <c r="I153" s="262"/>
      <c r="J153" s="262"/>
      <c r="K153" s="262"/>
      <c r="L153" s="262"/>
      <c r="M153" s="262"/>
    </row>
    <row r="154">
      <c r="A154" s="255" t="str">
        <f>IFERROR(__xludf.DUMMYFUNCTION("""COMPUTED_VALUE"""),"MICRO")</f>
        <v>MICRO</v>
      </c>
      <c r="B154" s="23" t="str">
        <f>IFERROR(__xludf.DUMMYFUNCTION("""COMPUTED_VALUE"""),"musniatiatika")</f>
        <v>musniatiatika</v>
      </c>
      <c r="C154" s="257" t="str">
        <f>IFERROR(__xludf.DUMMYFUNCTION("""COMPUTED_VALUE"""),"https://www.tiktok.com/@musniatiatika")</f>
        <v>https://www.tiktok.com/@musniatiatika</v>
      </c>
      <c r="D154" s="23">
        <f>IFERROR(__xludf.DUMMYFUNCTION("""COMPUTED_VALUE"""),8.1275008129E10)</f>
        <v>81275008129</v>
      </c>
      <c r="E154" s="457">
        <f>IFERROR(__xludf.DUMMYFUNCTION("""COMPUTED_VALUE"""),0.0)</f>
        <v>0</v>
      </c>
      <c r="F154" s="270">
        <f>IFERROR(__xludf.DUMMYFUNCTION("""COMPUTED_VALUE"""),4.0)</f>
        <v>4</v>
      </c>
      <c r="G154" s="17" t="str">
        <f>IFERROR(__xludf.DUMMYFUNCTION("""COMPUTED_VALUE"""),"Full Set")</f>
        <v>Full Set</v>
      </c>
      <c r="H154" s="17"/>
      <c r="I154" s="278" t="str">
        <f>IFERROR(__xludf.DUMMYFUNCTION("""COMPUTED_VALUE"""),"https://www.tiktok.com/@musniatiatika/video/7636577581105417493?is_from_webapp=1&amp;sender_device=pc")</f>
        <v>https://www.tiktok.com/@musniatiatika/video/7636577581105417493?is_from_webapp=1&amp;sender_device=pc</v>
      </c>
      <c r="J154" s="278" t="str">
        <f>IFERROR(__xludf.DUMMYFUNCTION("""COMPUTED_VALUE"""),"https://www.tiktok.com/@musniatiatika/video/7636932661629455637?is_from_webapp=1&amp;sender_device=pc")</f>
        <v>https://www.tiktok.com/@musniatiatika/video/7636932661629455637?is_from_webapp=1&amp;sender_device=pc</v>
      </c>
      <c r="K154" s="278" t="str">
        <f>IFERROR(__xludf.DUMMYFUNCTION("""COMPUTED_VALUE"""),"https://www.tiktok.com/@musniatiatika/video/7638489333929938196?is_from_webapp=1&amp;sender_device=pc")</f>
        <v>https://www.tiktok.com/@musniatiatika/video/7638489333929938196?is_from_webapp=1&amp;sender_device=pc</v>
      </c>
      <c r="L154" s="278" t="str">
        <f>IFERROR(__xludf.DUMMYFUNCTION("""COMPUTED_VALUE"""),"https://www.tiktok.com/@musniatiatika/video/7640105770297658645?is_from_webapp=1&amp;sender_device=pc")</f>
        <v>https://www.tiktok.com/@musniatiatika/video/7640105770297658645?is_from_webapp=1&amp;sender_device=pc</v>
      </c>
      <c r="M154" s="262"/>
    </row>
    <row r="155">
      <c r="A155" s="255" t="str">
        <f>IFERROR(__xludf.DUMMYFUNCTION("""COMPUTED_VALUE"""),"NANO")</f>
        <v>NANO</v>
      </c>
      <c r="B155" s="23" t="str">
        <f>IFERROR(__xludf.DUMMYFUNCTION("""COMPUTED_VALUE"""),"Idhaaathree.__")</f>
        <v>Idhaaathree.__</v>
      </c>
      <c r="C155" s="257" t="str">
        <f>IFERROR(__xludf.DUMMYFUNCTION("""COMPUTED_VALUE"""),"https://www.tiktok.com/@Idhaaathree.__")</f>
        <v>https://www.tiktok.com/@Idhaaathree.__</v>
      </c>
      <c r="D155" s="23">
        <f>IFERROR(__xludf.DUMMYFUNCTION("""COMPUTED_VALUE"""),8.1328686627E10)</f>
        <v>81328686627</v>
      </c>
      <c r="E155" s="457">
        <f>IFERROR(__xludf.DUMMYFUNCTION("""COMPUTED_VALUE"""),0.0)</f>
        <v>0</v>
      </c>
      <c r="F155" s="270">
        <f>IFERROR(__xludf.DUMMYFUNCTION("""COMPUTED_VALUE"""),4.0)</f>
        <v>4</v>
      </c>
      <c r="G155" s="17" t="str">
        <f>IFERROR(__xludf.DUMMYFUNCTION("""COMPUTED_VALUE"""),"Full Set")</f>
        <v>Full Set</v>
      </c>
      <c r="H155" s="17"/>
      <c r="I155" s="262"/>
      <c r="J155" s="262"/>
      <c r="K155" s="262"/>
      <c r="L155" s="262"/>
      <c r="M155" s="262"/>
    </row>
    <row r="156">
      <c r="A156" s="255" t="str">
        <f>IFERROR(__xludf.DUMMYFUNCTION("""COMPUTED_VALUE"""),"NANO")</f>
        <v>NANO</v>
      </c>
      <c r="B156" s="23" t="str">
        <f>IFERROR(__xludf.DUMMYFUNCTION("""COMPUTED_VALUE"""),"putridevv1")</f>
        <v>putridevv1</v>
      </c>
      <c r="C156" s="257" t="str">
        <f>IFERROR(__xludf.DUMMYFUNCTION("""COMPUTED_VALUE"""),"https://www.tiktok.com/@putridevv1")</f>
        <v>https://www.tiktok.com/@putridevv1</v>
      </c>
      <c r="D156" s="23">
        <f>IFERROR(__xludf.DUMMYFUNCTION("""COMPUTED_VALUE"""),8.7832517525E10)</f>
        <v>87832517525</v>
      </c>
      <c r="E156" s="457">
        <f>IFERROR(__xludf.DUMMYFUNCTION("""COMPUTED_VALUE"""),0.0)</f>
        <v>0</v>
      </c>
      <c r="F156" s="270">
        <f>IFERROR(__xludf.DUMMYFUNCTION("""COMPUTED_VALUE"""),4.0)</f>
        <v>4</v>
      </c>
      <c r="G156" s="17" t="str">
        <f>IFERROR(__xludf.DUMMYFUNCTION("""COMPUTED_VALUE"""),"Full Set")</f>
        <v>Full Set</v>
      </c>
      <c r="H156" s="17"/>
      <c r="I156" s="262"/>
      <c r="J156" s="262"/>
      <c r="K156" s="262"/>
      <c r="L156" s="262"/>
      <c r="M156" s="262"/>
    </row>
    <row r="157">
      <c r="A157" s="255" t="str">
        <f>IFERROR(__xludf.DUMMYFUNCTION("""COMPUTED_VALUE"""),"NANO")</f>
        <v>NANO</v>
      </c>
      <c r="B157" s="23" t="str">
        <f>IFERROR(__xludf.DUMMYFUNCTION("""COMPUTED_VALUE"""),"haloastrii")</f>
        <v>haloastrii</v>
      </c>
      <c r="C157" s="257" t="str">
        <f>IFERROR(__xludf.DUMMYFUNCTION("""COMPUTED_VALUE"""),"https://www.tiktok.com/@haloastrii")</f>
        <v>https://www.tiktok.com/@haloastrii</v>
      </c>
      <c r="D157" s="23">
        <f>IFERROR(__xludf.DUMMYFUNCTION("""COMPUTED_VALUE"""),8.1214368306E10)</f>
        <v>81214368306</v>
      </c>
      <c r="E157" s="457">
        <f>IFERROR(__xludf.DUMMYFUNCTION("""COMPUTED_VALUE"""),0.0)</f>
        <v>0</v>
      </c>
      <c r="F157" s="270">
        <f>IFERROR(__xludf.DUMMYFUNCTION("""COMPUTED_VALUE"""),4.0)</f>
        <v>4</v>
      </c>
      <c r="G157" s="17" t="str">
        <f>IFERROR(__xludf.DUMMYFUNCTION("""COMPUTED_VALUE"""),"Full Set")</f>
        <v>Full Set</v>
      </c>
      <c r="H157" s="17"/>
      <c r="I157" s="278" t="str">
        <f>IFERROR(__xludf.DUMMYFUNCTION("""COMPUTED_VALUE"""),"https://www.tiktok.com/@haloastrii/video/7637361815529229589?is_from_webapp=1&amp;sender_device=pc")</f>
        <v>https://www.tiktok.com/@haloastrii/video/7637361815529229589?is_from_webapp=1&amp;sender_device=pc</v>
      </c>
      <c r="J157" s="278" t="str">
        <f>IFERROR(__xludf.DUMMYFUNCTION("""COMPUTED_VALUE"""),"https://www.tiktok.com/@haloastrii/video/7641883131309591829?is_from_webapp=1&amp;sender_device=pc")</f>
        <v>https://www.tiktok.com/@haloastrii/video/7641883131309591829?is_from_webapp=1&amp;sender_device=pc</v>
      </c>
      <c r="K157" s="262"/>
      <c r="L157" s="262"/>
      <c r="M157" s="262"/>
    </row>
    <row r="158">
      <c r="A158" s="255" t="str">
        <f>IFERROR(__xludf.DUMMYFUNCTION("""COMPUTED_VALUE"""),"NANO")</f>
        <v>NANO</v>
      </c>
      <c r="B158" s="23" t="str">
        <f>IFERROR(__xludf.DUMMYFUNCTION("""COMPUTED_VALUE"""),"Dewiimma03")</f>
        <v>Dewiimma03</v>
      </c>
      <c r="C158" s="257" t="str">
        <f>IFERROR(__xludf.DUMMYFUNCTION("""COMPUTED_VALUE"""),"https://www.tiktok.com/@Dewiimma03")</f>
        <v>https://www.tiktok.com/@Dewiimma03</v>
      </c>
      <c r="D158" s="23">
        <f>IFERROR(__xludf.DUMMYFUNCTION("""COMPUTED_VALUE"""),8.2354109831E10)</f>
        <v>82354109831</v>
      </c>
      <c r="E158" s="457">
        <f>IFERROR(__xludf.DUMMYFUNCTION("""COMPUTED_VALUE"""),0.0)</f>
        <v>0</v>
      </c>
      <c r="F158" s="270">
        <f>IFERROR(__xludf.DUMMYFUNCTION("""COMPUTED_VALUE"""),4.0)</f>
        <v>4</v>
      </c>
      <c r="G158" s="17" t="str">
        <f>IFERROR(__xludf.DUMMYFUNCTION("""COMPUTED_VALUE"""),"Full Set")</f>
        <v>Full Set</v>
      </c>
      <c r="H158" s="17"/>
      <c r="I158" s="262"/>
      <c r="J158" s="262"/>
      <c r="K158" s="262"/>
      <c r="L158" s="262"/>
      <c r="M158" s="262"/>
    </row>
    <row r="159">
      <c r="A159" s="255" t="str">
        <f>IFERROR(__xludf.DUMMYFUNCTION("""COMPUTED_VALUE"""),"MICRO")</f>
        <v>MICRO</v>
      </c>
      <c r="B159" s="23" t="str">
        <f>IFERROR(__xludf.DUMMYFUNCTION("""COMPUTED_VALUE"""),"Rikhalaila")</f>
        <v>Rikhalaila</v>
      </c>
      <c r="C159" s="257" t="str">
        <f>IFERROR(__xludf.DUMMYFUNCTION("""COMPUTED_VALUE"""),"https://www.tiktok.com/@Rikhalaila")</f>
        <v>https://www.tiktok.com/@Rikhalaila</v>
      </c>
      <c r="D159" s="23">
        <f>IFERROR(__xludf.DUMMYFUNCTION("""COMPUTED_VALUE"""),8.5233344741E10)</f>
        <v>85233344741</v>
      </c>
      <c r="E159" s="457">
        <f>IFERROR(__xludf.DUMMYFUNCTION("""COMPUTED_VALUE"""),0.0)</f>
        <v>0</v>
      </c>
      <c r="F159" s="270">
        <f>IFERROR(__xludf.DUMMYFUNCTION("""COMPUTED_VALUE"""),4.0)</f>
        <v>4</v>
      </c>
      <c r="G159" s="17" t="str">
        <f>IFERROR(__xludf.DUMMYFUNCTION("""COMPUTED_VALUE"""),"Full Set")</f>
        <v>Full Set</v>
      </c>
      <c r="H159" s="17"/>
      <c r="I159" s="262"/>
      <c r="J159" s="262"/>
      <c r="K159" s="262"/>
      <c r="L159" s="262"/>
      <c r="M159" s="262"/>
    </row>
    <row r="160">
      <c r="A160" s="255" t="str">
        <f>IFERROR(__xludf.DUMMYFUNCTION("""COMPUTED_VALUE"""),"NANO")</f>
        <v>NANO</v>
      </c>
      <c r="B160" s="23" t="str">
        <f>IFERROR(__xludf.DUMMYFUNCTION("""COMPUTED_VALUE"""),"alviradevikaa")</f>
        <v>alviradevikaa</v>
      </c>
      <c r="C160" s="257" t="str">
        <f>IFERROR(__xludf.DUMMYFUNCTION("""COMPUTED_VALUE"""),"https://www.tiktok.com/@alviradevikaa")</f>
        <v>https://www.tiktok.com/@alviradevikaa</v>
      </c>
      <c r="D160" s="23">
        <f>IFERROR(__xludf.DUMMYFUNCTION("""COMPUTED_VALUE"""),8.1247059401E10)</f>
        <v>81247059401</v>
      </c>
      <c r="E160" s="457">
        <f>IFERROR(__xludf.DUMMYFUNCTION("""COMPUTED_VALUE"""),0.0)</f>
        <v>0</v>
      </c>
      <c r="F160" s="270">
        <f>IFERROR(__xludf.DUMMYFUNCTION("""COMPUTED_VALUE"""),1.0)</f>
        <v>1</v>
      </c>
      <c r="G160" s="17" t="str">
        <f>IFERROR(__xludf.DUMMYFUNCTION("""COMPUTED_VALUE"""),"Full Set")</f>
        <v>Full Set</v>
      </c>
      <c r="H160" s="17"/>
      <c r="I160" s="262"/>
      <c r="J160" s="262"/>
      <c r="K160" s="262"/>
      <c r="L160" s="262"/>
      <c r="M160" s="262"/>
    </row>
    <row r="161">
      <c r="A161" s="255" t="str">
        <f>IFERROR(__xludf.DUMMYFUNCTION("""COMPUTED_VALUE"""),"NANO")</f>
        <v>NANO</v>
      </c>
      <c r="B161" s="23" t="str">
        <f>IFERROR(__xludf.DUMMYFUNCTION("""COMPUTED_VALUE"""),"srihartinisr12 ")</f>
        <v>srihartinisr12 </v>
      </c>
      <c r="C161" s="257" t="str">
        <f>IFERROR(__xludf.DUMMYFUNCTION("""COMPUTED_VALUE"""),"https://www.tiktok.com/@srihartinisr12 ")</f>
        <v>https://www.tiktok.com/@srihartinisr12 </v>
      </c>
      <c r="D161" s="23">
        <f>IFERROR(__xludf.DUMMYFUNCTION("""COMPUTED_VALUE"""),8.996859692E9)</f>
        <v>8996859692</v>
      </c>
      <c r="E161" s="457">
        <f>IFERROR(__xludf.DUMMYFUNCTION("""COMPUTED_VALUE"""),0.0)</f>
        <v>0</v>
      </c>
      <c r="F161" s="270">
        <f>IFERROR(__xludf.DUMMYFUNCTION("""COMPUTED_VALUE"""),4.0)</f>
        <v>4</v>
      </c>
      <c r="G161" s="17" t="str">
        <f>IFERROR(__xludf.DUMMYFUNCTION("""COMPUTED_VALUE"""),"Full Set")</f>
        <v>Full Set</v>
      </c>
      <c r="H161" s="17"/>
      <c r="I161" s="278" t="str">
        <f>IFERROR(__xludf.DUMMYFUNCTION("""COMPUTED_VALUE"""),"https://vt.tiktok.com/ZS9gh1XUc/")</f>
        <v>https://vt.tiktok.com/ZS9gh1XUc/</v>
      </c>
      <c r="J161" s="278" t="str">
        <f>IFERROR(__xludf.DUMMYFUNCTION("""COMPUTED_VALUE"""),"https://www.tiktok.com/@srihartinisr12/video/7639620499173035284?is_from_webapp=1&amp;sender_device=pc")</f>
        <v>https://www.tiktok.com/@srihartinisr12/video/7639620499173035284?is_from_webapp=1&amp;sender_device=pc</v>
      </c>
      <c r="K161" s="278" t="str">
        <f>IFERROR(__xludf.DUMMYFUNCTION("""COMPUTED_VALUE"""),"https://www.tiktok.com/@srihartinisr12/video/7640735445919272212?is_from_webapp=1&amp;sender_device=pc")</f>
        <v>https://www.tiktok.com/@srihartinisr12/video/7640735445919272212?is_from_webapp=1&amp;sender_device=pc</v>
      </c>
      <c r="L161" s="278" t="str">
        <f>IFERROR(__xludf.DUMMYFUNCTION("""COMPUTED_VALUE"""),"https://vt.tiktok.com/ZSxYdjFLL/")</f>
        <v>https://vt.tiktok.com/ZSxYdjFLL/</v>
      </c>
      <c r="M161" s="262"/>
    </row>
    <row r="162">
      <c r="A162" s="255" t="str">
        <f>IFERROR(__xludf.DUMMYFUNCTION("""COMPUTED_VALUE"""),"NANO")</f>
        <v>NANO</v>
      </c>
      <c r="B162" s="23" t="str">
        <f>IFERROR(__xludf.DUMMYFUNCTION("""COMPUTED_VALUE"""),"oreohoheng02")</f>
        <v>oreohoheng02</v>
      </c>
      <c r="C162" s="257" t="str">
        <f>IFERROR(__xludf.DUMMYFUNCTION("""COMPUTED_VALUE"""),"https://www.tiktok.com/@oreohoheng02")</f>
        <v>https://www.tiktok.com/@oreohoheng02</v>
      </c>
      <c r="D162" s="23">
        <f>IFERROR(__xludf.DUMMYFUNCTION("""COMPUTED_VALUE"""),8.9683940505E10)</f>
        <v>89683940505</v>
      </c>
      <c r="E162" s="457">
        <f>IFERROR(__xludf.DUMMYFUNCTION("""COMPUTED_VALUE"""),0.0)</f>
        <v>0</v>
      </c>
      <c r="F162" s="270">
        <f>IFERROR(__xludf.DUMMYFUNCTION("""COMPUTED_VALUE"""),4.0)</f>
        <v>4</v>
      </c>
      <c r="G162" s="17" t="str">
        <f>IFERROR(__xludf.DUMMYFUNCTION("""COMPUTED_VALUE"""),"Full Set")</f>
        <v>Full Set</v>
      </c>
      <c r="H162" s="17"/>
      <c r="I162" s="262"/>
      <c r="J162" s="262"/>
      <c r="K162" s="262"/>
      <c r="L162" s="262"/>
      <c r="M162" s="262"/>
    </row>
    <row r="163">
      <c r="A163" s="255" t="str">
        <f>IFERROR(__xludf.DUMMYFUNCTION("""COMPUTED_VALUE"""),"NANO")</f>
        <v>NANO</v>
      </c>
      <c r="B163" s="23" t="str">
        <f>IFERROR(__xludf.DUMMYFUNCTION("""COMPUTED_VALUE"""),"cahayakoleksi27")</f>
        <v>cahayakoleksi27</v>
      </c>
      <c r="C163" s="257" t="str">
        <f>IFERROR(__xludf.DUMMYFUNCTION("""COMPUTED_VALUE"""),"https://www.tiktok.com/@cahayakoleksi27")</f>
        <v>https://www.tiktok.com/@cahayakoleksi27</v>
      </c>
      <c r="D163" s="23">
        <f>IFERROR(__xludf.DUMMYFUNCTION("""COMPUTED_VALUE"""),8.2317043008E10)</f>
        <v>82317043008</v>
      </c>
      <c r="E163" s="457">
        <f>IFERROR(__xludf.DUMMYFUNCTION("""COMPUTED_VALUE"""),0.0)</f>
        <v>0</v>
      </c>
      <c r="F163" s="270">
        <f>IFERROR(__xludf.DUMMYFUNCTION("""COMPUTED_VALUE"""),4.0)</f>
        <v>4</v>
      </c>
      <c r="G163" s="17" t="str">
        <f>IFERROR(__xludf.DUMMYFUNCTION("""COMPUTED_VALUE"""),"Full Set")</f>
        <v>Full Set</v>
      </c>
      <c r="H163" s="17"/>
      <c r="I163" s="278" t="str">
        <f>IFERROR(__xludf.DUMMYFUNCTION("""COMPUTED_VALUE""")," https://vt.tiktok.com/ZS9W7GQyC/")</f>
        <v> https://vt.tiktok.com/ZS9W7GQyC/</v>
      </c>
      <c r="J163" s="278" t="str">
        <f>IFERROR(__xludf.DUMMYFUNCTION("""COMPUTED_VALUE"""),"https://www.tiktok.com/@cahayakoleksi27/video/7642307631398292752?is_from_webapp=1&amp;sender_device=pc")</f>
        <v>https://www.tiktok.com/@cahayakoleksi27/video/7642307631398292752?is_from_webapp=1&amp;sender_device=pc</v>
      </c>
      <c r="K163" s="278" t="str">
        <f>IFERROR(__xludf.DUMMYFUNCTION("""COMPUTED_VALUE"""),"https://www.tiktok.com/@cahayakoleksi27/video/7643987882209791248?is_from_webapp=1&amp;sender_device=pc")</f>
        <v>https://www.tiktok.com/@cahayakoleksi27/video/7643987882209791248?is_from_webapp=1&amp;sender_device=pc</v>
      </c>
      <c r="L163" s="278" t="str">
        <f>IFERROR(__xludf.DUMMYFUNCTION("""COMPUTED_VALUE"""),"https://vt.tiktok.com/ZSxVENjcd/")</f>
        <v>https://vt.tiktok.com/ZSxVENjcd/</v>
      </c>
      <c r="M163" s="262"/>
    </row>
    <row r="164">
      <c r="A164" s="255" t="str">
        <f>IFERROR(__xludf.DUMMYFUNCTION("""COMPUTED_VALUE"""),"NANO")</f>
        <v>NANO</v>
      </c>
      <c r="B164" s="23" t="str">
        <f>IFERROR(__xludf.DUMMYFUNCTION("""COMPUTED_VALUE"""),"zeyhan95")</f>
        <v>zeyhan95</v>
      </c>
      <c r="C164" s="257" t="str">
        <f>IFERROR(__xludf.DUMMYFUNCTION("""COMPUTED_VALUE"""),"https://www.tiktok.com/@zeyhan95")</f>
        <v>https://www.tiktok.com/@zeyhan95</v>
      </c>
      <c r="D164" s="23">
        <f>IFERROR(__xludf.DUMMYFUNCTION("""COMPUTED_VALUE"""),8.3808593895E10)</f>
        <v>83808593895</v>
      </c>
      <c r="E164" s="457">
        <f>IFERROR(__xludf.DUMMYFUNCTION("""COMPUTED_VALUE"""),0.0)</f>
        <v>0</v>
      </c>
      <c r="F164" s="270">
        <f>IFERROR(__xludf.DUMMYFUNCTION("""COMPUTED_VALUE"""),4.0)</f>
        <v>4</v>
      </c>
      <c r="G164" s="17" t="str">
        <f>IFERROR(__xludf.DUMMYFUNCTION("""COMPUTED_VALUE"""),"Full Set")</f>
        <v>Full Set</v>
      </c>
      <c r="H164" s="17"/>
      <c r="I164" s="262"/>
      <c r="J164" s="262"/>
      <c r="K164" s="262"/>
      <c r="L164" s="262"/>
      <c r="M164" s="262"/>
    </row>
    <row r="165">
      <c r="A165" s="255" t="str">
        <f>IFERROR(__xludf.DUMMYFUNCTION("""COMPUTED_VALUE"""),"NANO")</f>
        <v>NANO</v>
      </c>
      <c r="B165" s="23" t="str">
        <f>IFERROR(__xludf.DUMMYFUNCTION("""COMPUTED_VALUE"""),"lestarie467")</f>
        <v>lestarie467</v>
      </c>
      <c r="C165" s="257" t="str">
        <f>IFERROR(__xludf.DUMMYFUNCTION("""COMPUTED_VALUE"""),"https://www.tiktok.com/@lestarie467")</f>
        <v>https://www.tiktok.com/@lestarie467</v>
      </c>
      <c r="D165" s="23">
        <f>IFERROR(__xludf.DUMMYFUNCTION("""COMPUTED_VALUE"""),8.129644932E10)</f>
        <v>81296449320</v>
      </c>
      <c r="E165" s="457">
        <f>IFERROR(__xludf.DUMMYFUNCTION("""COMPUTED_VALUE"""),0.0)</f>
        <v>0</v>
      </c>
      <c r="F165" s="270">
        <f>IFERROR(__xludf.DUMMYFUNCTION("""COMPUTED_VALUE"""),4.0)</f>
        <v>4</v>
      </c>
      <c r="G165" s="17" t="str">
        <f>IFERROR(__xludf.DUMMYFUNCTION("""COMPUTED_VALUE"""),"Full Set")</f>
        <v>Full Set</v>
      </c>
      <c r="H165" s="17"/>
      <c r="I165" s="278" t="str">
        <f>IFERROR(__xludf.DUMMYFUNCTION("""COMPUTED_VALUE"""),"https://www.tiktok.com/@lestarie467/video/7637131604011470087?is_from_webapp=1&amp;sender_device=pc")</f>
        <v>https://www.tiktok.com/@lestarie467/video/7637131604011470087?is_from_webapp=1&amp;sender_device=pc</v>
      </c>
      <c r="J165" s="278" t="str">
        <f>IFERROR(__xludf.DUMMYFUNCTION("""COMPUTED_VALUE"""),"https://www.tiktok.com/@lestarie467/video/7638491765841939720?is_from_webapp=1&amp;sender_device=pc")</f>
        <v>https://www.tiktok.com/@lestarie467/video/7638491765841939720?is_from_webapp=1&amp;sender_device=pc</v>
      </c>
      <c r="K165" s="278" t="str">
        <f>IFERROR(__xludf.DUMMYFUNCTION("""COMPUTED_VALUE"""),"https://www.tiktok.com/@lestarie467/video/7640728364990450962?is_from_webapp=1&amp;sender_device=pc")</f>
        <v>https://www.tiktok.com/@lestarie467/video/7640728364990450962?is_from_webapp=1&amp;sender_device=pc</v>
      </c>
      <c r="L165" s="278" t="str">
        <f>IFERROR(__xludf.DUMMYFUNCTION("""COMPUTED_VALUE"""),"https://www.tiktok.com/@lestarie467/video/7642666113897204999?is_from_webapp=1&amp;sender_device=pc")</f>
        <v>https://www.tiktok.com/@lestarie467/video/7642666113897204999?is_from_webapp=1&amp;sender_device=pc</v>
      </c>
      <c r="M165" s="262"/>
    </row>
    <row r="166">
      <c r="A166" s="255" t="str">
        <f>IFERROR(__xludf.DUMMYFUNCTION("""COMPUTED_VALUE"""),"MICRO")</f>
        <v>MICRO</v>
      </c>
      <c r="B166" s="23" t="str">
        <f>IFERROR(__xludf.DUMMYFUNCTION("""COMPUTED_VALUE"""),"rndystoree01")</f>
        <v>rndystoree01</v>
      </c>
      <c r="C166" s="257" t="str">
        <f>IFERROR(__xludf.DUMMYFUNCTION("""COMPUTED_VALUE"""),"https://www.tiktok.com/@rndystoree01")</f>
        <v>https://www.tiktok.com/@rndystoree01</v>
      </c>
      <c r="D166" s="23">
        <f>IFERROR(__xludf.DUMMYFUNCTION("""COMPUTED_VALUE"""),8.5776900638E10)</f>
        <v>85776900638</v>
      </c>
      <c r="E166" s="457">
        <f>IFERROR(__xludf.DUMMYFUNCTION("""COMPUTED_VALUE"""),0.0)</f>
        <v>0</v>
      </c>
      <c r="F166" s="270">
        <f>IFERROR(__xludf.DUMMYFUNCTION("""COMPUTED_VALUE"""),4.0)</f>
        <v>4</v>
      </c>
      <c r="G166" s="17" t="str">
        <f>IFERROR(__xludf.DUMMYFUNCTION("""COMPUTED_VALUE"""),"Full Set")</f>
        <v>Full Set</v>
      </c>
      <c r="H166" s="17"/>
      <c r="I166" s="278" t="str">
        <f>IFERROR(__xludf.DUMMYFUNCTION("""COMPUTED_VALUE"""),"https://vt.tiktok.com/ZS937rddW/")</f>
        <v>https://vt.tiktok.com/ZS937rddW/</v>
      </c>
      <c r="J166" s="262"/>
      <c r="K166" s="262"/>
      <c r="L166" s="262"/>
      <c r="M166" s="262"/>
    </row>
    <row r="167">
      <c r="A167" s="255" t="str">
        <f>IFERROR(__xludf.DUMMYFUNCTION("""COMPUTED_VALUE"""),"NANO")</f>
        <v>NANO</v>
      </c>
      <c r="B167" s="23" t="str">
        <f>IFERROR(__xludf.DUMMYFUNCTION("""COMPUTED_VALUE"""),"Tokokhaira13")</f>
        <v>Tokokhaira13</v>
      </c>
      <c r="C167" s="257" t="str">
        <f>IFERROR(__xludf.DUMMYFUNCTION("""COMPUTED_VALUE"""),"https://www.tiktok.com/@Tokokhaira13")</f>
        <v>https://www.tiktok.com/@Tokokhaira13</v>
      </c>
      <c r="D167" s="23">
        <f>IFERROR(__xludf.DUMMYFUNCTION("""COMPUTED_VALUE"""),8.5814828329E10)</f>
        <v>85814828329</v>
      </c>
      <c r="E167" s="457">
        <f>IFERROR(__xludf.DUMMYFUNCTION("""COMPUTED_VALUE"""),0.0)</f>
        <v>0</v>
      </c>
      <c r="F167" s="270">
        <f>IFERROR(__xludf.DUMMYFUNCTION("""COMPUTED_VALUE"""),4.0)</f>
        <v>4</v>
      </c>
      <c r="G167" s="17" t="str">
        <f>IFERROR(__xludf.DUMMYFUNCTION("""COMPUTED_VALUE"""),"Full Set")</f>
        <v>Full Set</v>
      </c>
      <c r="H167" s="17"/>
      <c r="I167" s="278" t="str">
        <f>IFERROR(__xludf.DUMMYFUNCTION("""COMPUTED_VALUE"""),"https://www.tiktok.com/@tokokhaira13/video/7638903462893292820?is_from_webapp=1&amp;sender_device=pc")</f>
        <v>https://www.tiktok.com/@tokokhaira13/video/7638903462893292820?is_from_webapp=1&amp;sender_device=pc</v>
      </c>
      <c r="J167" s="278" t="str">
        <f>IFERROR(__xludf.DUMMYFUNCTION("""COMPUTED_VALUE"""),"https://www.tiktok.com/@tokokhaira13/video/7639244003418033428?is_from_webapp=1&amp;sender_device=pc")</f>
        <v>https://www.tiktok.com/@tokokhaira13/video/7639244003418033428?is_from_webapp=1&amp;sender_device=pc</v>
      </c>
      <c r="K167" s="278" t="str">
        <f>IFERROR(__xludf.DUMMYFUNCTION("""COMPUTED_VALUE"""),"https://www.tiktok.com/@tokokhaira13/video/7639337150139567380?is_from_webapp=1&amp;sender_device=pc")</f>
        <v>https://www.tiktok.com/@tokokhaira13/video/7639337150139567380?is_from_webapp=1&amp;sender_device=pc</v>
      </c>
      <c r="L167" s="278" t="str">
        <f>IFERROR(__xludf.DUMMYFUNCTION("""COMPUTED_VALUE"""),"https://www.tiktok.com/@tokokhaira13/video/7641224828963327253?is_from_webapp=1&amp;sender_device=pc")</f>
        <v>https://www.tiktok.com/@tokokhaira13/video/7641224828963327253?is_from_webapp=1&amp;sender_device=pc</v>
      </c>
      <c r="M167" s="262"/>
    </row>
    <row r="168">
      <c r="A168" s="255" t="str">
        <f>IFERROR(__xludf.DUMMYFUNCTION("""COMPUTED_VALUE"""),"NANO")</f>
        <v>NANO</v>
      </c>
      <c r="B168" s="23" t="str">
        <f>IFERROR(__xludf.DUMMYFUNCTION("""COMPUTED_VALUE"""),"apriliana.ds")</f>
        <v>apriliana.ds</v>
      </c>
      <c r="C168" s="257" t="str">
        <f>IFERROR(__xludf.DUMMYFUNCTION("""COMPUTED_VALUE"""),"https://www.tiktok.com/@apriliana.ds")</f>
        <v>https://www.tiktok.com/@apriliana.ds</v>
      </c>
      <c r="D168" s="23">
        <f>IFERROR(__xludf.DUMMYFUNCTION("""COMPUTED_VALUE"""),8.1513682955E10)</f>
        <v>81513682955</v>
      </c>
      <c r="E168" s="457">
        <f>IFERROR(__xludf.DUMMYFUNCTION("""COMPUTED_VALUE"""),0.0)</f>
        <v>0</v>
      </c>
      <c r="F168" s="270">
        <f>IFERROR(__xludf.DUMMYFUNCTION("""COMPUTED_VALUE"""),4.0)</f>
        <v>4</v>
      </c>
      <c r="G168" s="17" t="str">
        <f>IFERROR(__xludf.DUMMYFUNCTION("""COMPUTED_VALUE"""),"Full Set")</f>
        <v>Full Set</v>
      </c>
      <c r="H168" s="17"/>
      <c r="I168" s="262"/>
      <c r="J168" s="262"/>
      <c r="K168" s="262"/>
      <c r="L168" s="262"/>
      <c r="M168" s="262"/>
    </row>
    <row r="169">
      <c r="A169" s="255" t="str">
        <f>IFERROR(__xludf.DUMMYFUNCTION("""COMPUTED_VALUE"""),"NANO")</f>
        <v>NANO</v>
      </c>
      <c r="B169" s="23" t="str">
        <f>IFERROR(__xludf.DUMMYFUNCTION("""COMPUTED_VALUE"""),"Sovashwa14 ")</f>
        <v>Sovashwa14 </v>
      </c>
      <c r="C169" s="257" t="str">
        <f>IFERROR(__xludf.DUMMYFUNCTION("""COMPUTED_VALUE"""),"https://www.tiktok.com/@Sovashwa14 ")</f>
        <v>https://www.tiktok.com/@Sovashwa14 </v>
      </c>
      <c r="D169" s="23">
        <f>IFERROR(__xludf.DUMMYFUNCTION("""COMPUTED_VALUE"""),8.5624206093E10)</f>
        <v>85624206093</v>
      </c>
      <c r="E169" s="457">
        <f>IFERROR(__xludf.DUMMYFUNCTION("""COMPUTED_VALUE"""),0.0)</f>
        <v>0</v>
      </c>
      <c r="F169" s="270">
        <f>IFERROR(__xludf.DUMMYFUNCTION("""COMPUTED_VALUE"""),4.0)</f>
        <v>4</v>
      </c>
      <c r="G169" s="17" t="str">
        <f>IFERROR(__xludf.DUMMYFUNCTION("""COMPUTED_VALUE"""),"Full Set")</f>
        <v>Full Set</v>
      </c>
      <c r="H169" s="17"/>
      <c r="I169" s="278" t="str">
        <f>IFERROR(__xludf.DUMMYFUNCTION("""COMPUTED_VALUE"""),"https://www.tiktok.com/@sovashwa14/video/7639186358958820616?is_from_webapp=1&amp;sender_device=pc")</f>
        <v>https://www.tiktok.com/@sovashwa14/video/7639186358958820616?is_from_webapp=1&amp;sender_device=pc</v>
      </c>
      <c r="J169" s="278" t="str">
        <f>IFERROR(__xludf.DUMMYFUNCTION("""COMPUTED_VALUE"""),"https://www.tiktok.com/@sovashwa14/video/7639566247801195794?is_from_webapp=1&amp;sender_device=pc")</f>
        <v>https://www.tiktok.com/@sovashwa14/video/7639566247801195794?is_from_webapp=1&amp;sender_device=pc</v>
      </c>
      <c r="K169" s="278" t="str">
        <f>IFERROR(__xludf.DUMMYFUNCTION("""COMPUTED_VALUE"""),"https://www.tiktok.com/@sovashwa14/video/7639566714396724498?is_from_webapp=1&amp;sender_device=pc")</f>
        <v>https://www.tiktok.com/@sovashwa14/video/7639566714396724498?is_from_webapp=1&amp;sender_device=pc</v>
      </c>
      <c r="L169" s="278" t="str">
        <f>IFERROR(__xludf.DUMMYFUNCTION("""COMPUTED_VALUE"""),"https://www.tiktok.com/@sovashwa14/video/7641046291568495879?is_from_webapp=1&amp;sender_device=pc")</f>
        <v>https://www.tiktok.com/@sovashwa14/video/7641046291568495879?is_from_webapp=1&amp;sender_device=pc</v>
      </c>
      <c r="M169" s="262"/>
    </row>
    <row r="170">
      <c r="A170" s="255" t="str">
        <f>IFERROR(__xludf.DUMMYFUNCTION("""COMPUTED_VALUE"""),"NANO")</f>
        <v>NANO</v>
      </c>
      <c r="B170" s="23" t="str">
        <f>IFERROR(__xludf.DUMMYFUNCTION("""COMPUTED_VALUE"""),"Lia.racuntiktok")</f>
        <v>Lia.racuntiktok</v>
      </c>
      <c r="C170" s="257" t="str">
        <f>IFERROR(__xludf.DUMMYFUNCTION("""COMPUTED_VALUE"""),"https://www.tiktok.com/@Lia.racuntiktok")</f>
        <v>https://www.tiktok.com/@Lia.racuntiktok</v>
      </c>
      <c r="D170" s="23">
        <f>IFERROR(__xludf.DUMMYFUNCTION("""COMPUTED_VALUE"""),8.3814142297E10)</f>
        <v>83814142297</v>
      </c>
      <c r="E170" s="457">
        <f>IFERROR(__xludf.DUMMYFUNCTION("""COMPUTED_VALUE"""),0.0)</f>
        <v>0</v>
      </c>
      <c r="F170" s="270">
        <f>IFERROR(__xludf.DUMMYFUNCTION("""COMPUTED_VALUE"""),4.0)</f>
        <v>4</v>
      </c>
      <c r="G170" s="17" t="str">
        <f>IFERROR(__xludf.DUMMYFUNCTION("""COMPUTED_VALUE"""),"Full Set")</f>
        <v>Full Set</v>
      </c>
      <c r="H170" s="17"/>
      <c r="I170" s="278" t="str">
        <f>IFERROR(__xludf.DUMMYFUNCTION("""COMPUTED_VALUE"""),"https://vt.tiktok.com/ZS9gWstws/")</f>
        <v>https://vt.tiktok.com/ZS9gWstws/</v>
      </c>
      <c r="J170" s="278" t="str">
        <f>IFERROR(__xludf.DUMMYFUNCTION("""COMPUTED_VALUE"""),"https://www.tiktok.com/@lia.racuntiktok/video/7640042295055633682?is_from_webapp=1&amp;sender_device=pc")</f>
        <v>https://www.tiktok.com/@lia.racuntiktok/video/7640042295055633682?is_from_webapp=1&amp;sender_device=pc</v>
      </c>
      <c r="K170" s="262"/>
      <c r="L170" s="262"/>
      <c r="M170" s="262"/>
    </row>
    <row r="171">
      <c r="A171" s="255" t="str">
        <f>IFERROR(__xludf.DUMMYFUNCTION("""COMPUTED_VALUE"""),"NANO")</f>
        <v>NANO</v>
      </c>
      <c r="B171" s="23" t="str">
        <f>IFERROR(__xludf.DUMMYFUNCTION("""COMPUTED_VALUE"""),"samanthadeliano2")</f>
        <v>samanthadeliano2</v>
      </c>
      <c r="C171" s="257" t="str">
        <f>IFERROR(__xludf.DUMMYFUNCTION("""COMPUTED_VALUE"""),"https://www.tiktok.com/@samanthadeliano2")</f>
        <v>https://www.tiktok.com/@samanthadeliano2</v>
      </c>
      <c r="D171" s="23">
        <f>IFERROR(__xludf.DUMMYFUNCTION("""COMPUTED_VALUE"""),8.8290545182E10)</f>
        <v>88290545182</v>
      </c>
      <c r="E171" s="457">
        <f>IFERROR(__xludf.DUMMYFUNCTION("""COMPUTED_VALUE"""),0.0)</f>
        <v>0</v>
      </c>
      <c r="F171" s="270">
        <f>IFERROR(__xludf.DUMMYFUNCTION("""COMPUTED_VALUE"""),4.0)</f>
        <v>4</v>
      </c>
      <c r="G171" s="17" t="str">
        <f>IFERROR(__xludf.DUMMYFUNCTION("""COMPUTED_VALUE"""),"Full Set")</f>
        <v>Full Set</v>
      </c>
      <c r="H171" s="17"/>
      <c r="I171" s="278" t="str">
        <f>IFERROR(__xludf.DUMMYFUNCTION("""COMPUTED_VALUE"""),"https://vt.tiktok.com/ZS9gP4mor/")</f>
        <v>https://vt.tiktok.com/ZS9gP4mor/</v>
      </c>
      <c r="J171" s="278" t="str">
        <f>IFERROR(__xludf.DUMMYFUNCTION("""COMPUTED_VALUE"""),"https://vt.tiktok.com/ZS9ngn58B/")</f>
        <v>https://vt.tiktok.com/ZS9ngn58B/</v>
      </c>
      <c r="K171" s="278" t="str">
        <f>IFERROR(__xludf.DUMMYFUNCTION("""COMPUTED_VALUE"""),"https://vt.tiktok.com/ZS93R8cAq/")</f>
        <v>https://vt.tiktok.com/ZS93R8cAq/</v>
      </c>
      <c r="L171" s="278" t="str">
        <f>IFERROR(__xludf.DUMMYFUNCTION("""COMPUTED_VALUE"""),"https://vt.tiktok.com/ZS9EcBdjX/")</f>
        <v>https://vt.tiktok.com/ZS9EcBdjX/</v>
      </c>
      <c r="M171" s="262"/>
    </row>
    <row r="172">
      <c r="A172" s="255" t="str">
        <f>IFERROR(__xludf.DUMMYFUNCTION("""COMPUTED_VALUE"""),"MICRO")</f>
        <v>MICRO</v>
      </c>
      <c r="B172" s="23" t="str">
        <f>IFERROR(__xludf.DUMMYFUNCTION("""COMPUTED_VALUE"""),"umiaisyahser1skincer")</f>
        <v>umiaisyahser1skincer</v>
      </c>
      <c r="C172" s="257" t="str">
        <f>IFERROR(__xludf.DUMMYFUNCTION("""COMPUTED_VALUE"""),"https://www.tiktok.com/@umiaisyahser1skincer")</f>
        <v>https://www.tiktok.com/@umiaisyahser1skincer</v>
      </c>
      <c r="D172" s="23">
        <f>IFERROR(__xludf.DUMMYFUNCTION("""COMPUTED_VALUE"""),8.5850163894E10)</f>
        <v>85850163894</v>
      </c>
      <c r="E172" s="457">
        <f>IFERROR(__xludf.DUMMYFUNCTION("""COMPUTED_VALUE"""),0.0)</f>
        <v>0</v>
      </c>
      <c r="F172" s="270">
        <f>IFERROR(__xludf.DUMMYFUNCTION("""COMPUTED_VALUE"""),4.0)</f>
        <v>4</v>
      </c>
      <c r="G172" s="17" t="str">
        <f>IFERROR(__xludf.DUMMYFUNCTION("""COMPUTED_VALUE"""),"Full Set")</f>
        <v>Full Set</v>
      </c>
      <c r="H172" s="17"/>
      <c r="I172" s="262"/>
      <c r="J172" s="262"/>
      <c r="K172" s="262"/>
      <c r="L172" s="262"/>
      <c r="M172" s="262"/>
    </row>
    <row r="173">
      <c r="A173" s="255" t="str">
        <f>IFERROR(__xludf.DUMMYFUNCTION("""COMPUTED_VALUE"""),"NANO")</f>
        <v>NANO</v>
      </c>
      <c r="B173" s="23" t="str">
        <f>IFERROR(__xludf.DUMMYFUNCTION("""COMPUTED_VALUE"""),"_orangbanten")</f>
        <v>_orangbanten</v>
      </c>
      <c r="C173" s="257" t="str">
        <f>IFERROR(__xludf.DUMMYFUNCTION("""COMPUTED_VALUE"""),"https://www.tiktok.com/@_orangbanten")</f>
        <v>https://www.tiktok.com/@_orangbanten</v>
      </c>
      <c r="D173" s="23">
        <f>IFERROR(__xludf.DUMMYFUNCTION("""COMPUTED_VALUE"""),8.3834195314E10)</f>
        <v>83834195314</v>
      </c>
      <c r="E173" s="457">
        <f>IFERROR(__xludf.DUMMYFUNCTION("""COMPUTED_VALUE"""),0.0)</f>
        <v>0</v>
      </c>
      <c r="F173" s="270">
        <f>IFERROR(__xludf.DUMMYFUNCTION("""COMPUTED_VALUE"""),4.0)</f>
        <v>4</v>
      </c>
      <c r="G173" s="17" t="str">
        <f>IFERROR(__xludf.DUMMYFUNCTION("""COMPUTED_VALUE"""),"Full Set")</f>
        <v>Full Set</v>
      </c>
      <c r="H173" s="17"/>
      <c r="I173" s="278" t="str">
        <f>IFERROR(__xludf.DUMMYFUNCTION("""COMPUTED_VALUE"""),"https://vt.tiktok.com/ZS9gtXSj1/")</f>
        <v>https://vt.tiktok.com/ZS9gtXSj1/</v>
      </c>
      <c r="J173" s="278" t="str">
        <f>IFERROR(__xludf.DUMMYFUNCTION("""COMPUTED_VALUE"""),"https://www.tiktok.com/@_orangbanten/video/7638853614093470997?is_from_webapp=1&amp;sender_device=pc")</f>
        <v>https://www.tiktok.com/@_orangbanten/video/7638853614093470997?is_from_webapp=1&amp;sender_device=pc</v>
      </c>
      <c r="K173" s="278" t="str">
        <f>IFERROR(__xludf.DUMMYFUNCTION("""COMPUTED_VALUE"""),"https://www.tiktok.com/@_orangbanten/video/7636642353628892436?is_from_webapp=1&amp;sender_device=pc")</f>
        <v>https://www.tiktok.com/@_orangbanten/video/7636642353628892436?is_from_webapp=1&amp;sender_device=pc</v>
      </c>
      <c r="L173" s="278" t="str">
        <f>IFERROR(__xludf.DUMMYFUNCTION("""COMPUTED_VALUE"""),"https://vt.tiktok.com/ZSxRrCNM2/")</f>
        <v>https://vt.tiktok.com/ZSxRrCNM2/</v>
      </c>
      <c r="M173" s="262"/>
    </row>
    <row r="174">
      <c r="A174" s="255" t="str">
        <f>IFERROR(__xludf.DUMMYFUNCTION("""COMPUTED_VALUE"""),"NANO")</f>
        <v>NANO</v>
      </c>
      <c r="B174" s="23" t="str">
        <f>IFERROR(__xludf.DUMMYFUNCTION("""COMPUTED_VALUE"""),"vialutvia_")</f>
        <v>vialutvia_</v>
      </c>
      <c r="C174" s="257" t="str">
        <f>IFERROR(__xludf.DUMMYFUNCTION("""COMPUTED_VALUE"""),"https://www.tiktok.com/@vialutvia_")</f>
        <v>https://www.tiktok.com/@vialutvia_</v>
      </c>
      <c r="D174" s="23">
        <f>IFERROR(__xludf.DUMMYFUNCTION("""COMPUTED_VALUE"""),8.5784271062E10)</f>
        <v>85784271062</v>
      </c>
      <c r="E174" s="457">
        <f>IFERROR(__xludf.DUMMYFUNCTION("""COMPUTED_VALUE"""),0.0)</f>
        <v>0</v>
      </c>
      <c r="F174" s="270">
        <f>IFERROR(__xludf.DUMMYFUNCTION("""COMPUTED_VALUE"""),4.0)</f>
        <v>4</v>
      </c>
      <c r="G174" s="17" t="str">
        <f>IFERROR(__xludf.DUMMYFUNCTION("""COMPUTED_VALUE"""),"Full Set")</f>
        <v>Full Set</v>
      </c>
      <c r="H174" s="17"/>
      <c r="I174" s="278" t="str">
        <f>IFERROR(__xludf.DUMMYFUNCTION("""COMPUTED_VALUE"""),"https://vt.tiktok.com/ZS9gGakJu/")</f>
        <v>https://vt.tiktok.com/ZS9gGakJu/</v>
      </c>
      <c r="J174" s="278" t="str">
        <f>IFERROR(__xludf.DUMMYFUNCTION("""COMPUTED_VALUE"""),"https://www.tiktok.com/@vialutvia_/video/7639290582308801813?is_from_webapp=1&amp;sender_device=pc")</f>
        <v>https://www.tiktok.com/@vialutvia_/video/7639290582308801813?is_from_webapp=1&amp;sender_device=pc</v>
      </c>
      <c r="K174" s="278" t="str">
        <f>IFERROR(__xludf.DUMMYFUNCTION("""COMPUTED_VALUE"""),"https://www.tiktok.com/@vialutvia_/video/7643239884211096852?is_from_webapp=1&amp;sender_device=pc")</f>
        <v>https://www.tiktok.com/@vialutvia_/video/7643239884211096852?is_from_webapp=1&amp;sender_device=pc</v>
      </c>
      <c r="L174" s="278" t="str">
        <f>IFERROR(__xludf.DUMMYFUNCTION("""COMPUTED_VALUE"""),"https://vt.tiktok.com/ZSxG3tjMj/")</f>
        <v>https://vt.tiktok.com/ZSxG3tjMj/</v>
      </c>
      <c r="M174" s="262"/>
    </row>
    <row r="175">
      <c r="A175" s="255" t="str">
        <f>IFERROR(__xludf.DUMMYFUNCTION("""COMPUTED_VALUE"""),"MICRO")</f>
        <v>MICRO</v>
      </c>
      <c r="B175" s="23" t="str">
        <f>IFERROR(__xludf.DUMMYFUNCTION("""COMPUTED_VALUE"""),"kirana.chandraluph")</f>
        <v>kirana.chandraluph</v>
      </c>
      <c r="C175" s="257" t="str">
        <f>IFERROR(__xludf.DUMMYFUNCTION("""COMPUTED_VALUE"""),"https://www.tiktok.com/@kirana.chandraluph")</f>
        <v>https://www.tiktok.com/@kirana.chandraluph</v>
      </c>
      <c r="D175" s="23">
        <f>IFERROR(__xludf.DUMMYFUNCTION("""COMPUTED_VALUE"""),8.1330011938E10)</f>
        <v>81330011938</v>
      </c>
      <c r="E175" s="457">
        <f>IFERROR(__xludf.DUMMYFUNCTION("""COMPUTED_VALUE"""),100000.0)</f>
        <v>100000</v>
      </c>
      <c r="F175" s="270">
        <f>IFERROR(__xludf.DUMMYFUNCTION("""COMPUTED_VALUE"""),4.0)</f>
        <v>4</v>
      </c>
      <c r="G175" s="17" t="str">
        <f>IFERROR(__xludf.DUMMYFUNCTION("""COMPUTED_VALUE"""),"Full Set")</f>
        <v>Full Set</v>
      </c>
      <c r="H175" s="17"/>
      <c r="I175" s="278" t="str">
        <f>IFERROR(__xludf.DUMMYFUNCTION("""COMPUTED_VALUE"""),"https://www.tiktok.com/@kirana.chandraluph/video/7637468825042062612?is_from_webapp=1&amp;sender_device=pc")</f>
        <v>https://www.tiktok.com/@kirana.chandraluph/video/7637468825042062612?is_from_webapp=1&amp;sender_device=pc</v>
      </c>
      <c r="J175" s="278" t="str">
        <f>IFERROR(__xludf.DUMMYFUNCTION("""COMPUTED_VALUE"""),"https://www.tiktok.com/@kirana.chandraluph/video/7641490248886799636?is_from_webapp=1&amp;sender_device=pc")</f>
        <v>https://www.tiktok.com/@kirana.chandraluph/video/7641490248886799636?is_from_webapp=1&amp;sender_device=pc</v>
      </c>
      <c r="K175" s="262"/>
      <c r="L175" s="262"/>
      <c r="M175" s="262"/>
    </row>
    <row r="176">
      <c r="A176" s="255" t="str">
        <f>IFERROR(__xludf.DUMMYFUNCTION("""COMPUTED_VALUE"""),"NANO")</f>
        <v>NANO</v>
      </c>
      <c r="B176" s="23" t="str">
        <f>IFERROR(__xludf.DUMMYFUNCTION("""COMPUTED_VALUE"""),"oomdhyan")</f>
        <v>oomdhyan</v>
      </c>
      <c r="C176" s="257" t="str">
        <f>IFERROR(__xludf.DUMMYFUNCTION("""COMPUTED_VALUE"""),"https://www.tiktok.com/@oomdhyan")</f>
        <v>https://www.tiktok.com/@oomdhyan</v>
      </c>
      <c r="D176" s="23">
        <f>IFERROR(__xludf.DUMMYFUNCTION("""COMPUTED_VALUE"""),8.5157033191E10)</f>
        <v>85157033191</v>
      </c>
      <c r="E176" s="457">
        <f>IFERROR(__xludf.DUMMYFUNCTION("""COMPUTED_VALUE"""),50000.0)</f>
        <v>50000</v>
      </c>
      <c r="F176" s="270">
        <f>IFERROR(__xludf.DUMMYFUNCTION("""COMPUTED_VALUE"""),4.0)</f>
        <v>4</v>
      </c>
      <c r="G176" s="17" t="str">
        <f>IFERROR(__xludf.DUMMYFUNCTION("""COMPUTED_VALUE"""),"Full Set")</f>
        <v>Full Set</v>
      </c>
      <c r="H176" s="17"/>
      <c r="I176" s="262"/>
      <c r="J176" s="262"/>
      <c r="K176" s="262"/>
      <c r="L176" s="262"/>
      <c r="M176" s="262"/>
    </row>
    <row r="177">
      <c r="A177" s="255" t="str">
        <f>IFERROR(__xludf.DUMMYFUNCTION("""COMPUTED_VALUE"""),"MACRO")</f>
        <v>MACRO</v>
      </c>
      <c r="B177" s="23" t="str">
        <f>IFERROR(__xludf.DUMMYFUNCTION("""COMPUTED_VALUE"""),"shofi_aliyatuningrum")</f>
        <v>shofi_aliyatuningrum</v>
      </c>
      <c r="C177" s="257" t="str">
        <f>IFERROR(__xludf.DUMMYFUNCTION("""COMPUTED_VALUE"""),"https://www.tiktok.com/@shofi_aliyatuningrum")</f>
        <v>https://www.tiktok.com/@shofi_aliyatuningrum</v>
      </c>
      <c r="D177" s="23">
        <f>IFERROR(__xludf.DUMMYFUNCTION("""COMPUTED_VALUE"""),8.5213690956E10)</f>
        <v>85213690956</v>
      </c>
      <c r="E177" s="457">
        <f>IFERROR(__xludf.DUMMYFUNCTION("""COMPUTED_VALUE"""),100000.0)</f>
        <v>100000</v>
      </c>
      <c r="F177" s="270">
        <f>IFERROR(__xludf.DUMMYFUNCTION("""COMPUTED_VALUE"""),4.0)</f>
        <v>4</v>
      </c>
      <c r="G177" s="17" t="str">
        <f>IFERROR(__xludf.DUMMYFUNCTION("""COMPUTED_VALUE"""),"Full Set")</f>
        <v>Full Set</v>
      </c>
      <c r="H177" s="17"/>
      <c r="I177" s="262"/>
      <c r="J177" s="262"/>
      <c r="K177" s="262"/>
      <c r="L177" s="262"/>
      <c r="M177" s="262"/>
    </row>
    <row r="178">
      <c r="A178" s="255" t="str">
        <f>IFERROR(__xludf.DUMMYFUNCTION("""COMPUTED_VALUE"""),"MICRO")</f>
        <v>MICRO</v>
      </c>
      <c r="B178" s="23" t="str">
        <f>IFERROR(__xludf.DUMMYFUNCTION("""COMPUTED_VALUE"""),"ini_uniii")</f>
        <v>ini_uniii</v>
      </c>
      <c r="C178" s="257" t="str">
        <f>IFERROR(__xludf.DUMMYFUNCTION("""COMPUTED_VALUE"""),"https://www.tiktok.com/@ini_uniii")</f>
        <v>https://www.tiktok.com/@ini_uniii</v>
      </c>
      <c r="D178" s="23">
        <f>IFERROR(__xludf.DUMMYFUNCTION("""COMPUTED_VALUE"""),8.9677135405E10)</f>
        <v>89677135405</v>
      </c>
      <c r="E178" s="457">
        <f>IFERROR(__xludf.DUMMYFUNCTION("""COMPUTED_VALUE"""),100000.0)</f>
        <v>100000</v>
      </c>
      <c r="F178" s="270">
        <f>IFERROR(__xludf.DUMMYFUNCTION("""COMPUTED_VALUE"""),4.0)</f>
        <v>4</v>
      </c>
      <c r="G178" s="17" t="str">
        <f>IFERROR(__xludf.DUMMYFUNCTION("""COMPUTED_VALUE"""),"Full Set")</f>
        <v>Full Set</v>
      </c>
      <c r="H178" s="17"/>
      <c r="I178" s="262"/>
      <c r="J178" s="262"/>
      <c r="K178" s="262"/>
      <c r="L178" s="262"/>
      <c r="M178" s="262"/>
    </row>
    <row r="179">
      <c r="A179" s="255" t="str">
        <f>IFERROR(__xludf.DUMMYFUNCTION("""COMPUTED_VALUE"""),"MICRO")</f>
        <v>MICRO</v>
      </c>
      <c r="B179" s="23" t="str">
        <f>IFERROR(__xludf.DUMMYFUNCTION("""COMPUTED_VALUE"""),"lina.cahyo95")</f>
        <v>lina.cahyo95</v>
      </c>
      <c r="C179" s="257" t="str">
        <f>IFERROR(__xludf.DUMMYFUNCTION("""COMPUTED_VALUE"""),"https://www.tiktok.com/@lina.cahyo95")</f>
        <v>https://www.tiktok.com/@lina.cahyo95</v>
      </c>
      <c r="D179" s="23">
        <f>IFERROR(__xludf.DUMMYFUNCTION("""COMPUTED_VALUE"""),8.5159076228E10)</f>
        <v>85159076228</v>
      </c>
      <c r="E179" s="457">
        <f>IFERROR(__xludf.DUMMYFUNCTION("""COMPUTED_VALUE"""),100000.0)</f>
        <v>100000</v>
      </c>
      <c r="F179" s="270">
        <f>IFERROR(__xludf.DUMMYFUNCTION("""COMPUTED_VALUE"""),4.0)</f>
        <v>4</v>
      </c>
      <c r="G179" s="17" t="str">
        <f>IFERROR(__xludf.DUMMYFUNCTION("""COMPUTED_VALUE"""),"Full Set")</f>
        <v>Full Set</v>
      </c>
      <c r="H179" s="17"/>
      <c r="I179" s="262"/>
      <c r="J179" s="262"/>
      <c r="K179" s="262"/>
      <c r="L179" s="262"/>
      <c r="M179" s="262"/>
    </row>
    <row r="180">
      <c r="A180" s="255" t="str">
        <f>IFERROR(__xludf.DUMMYFUNCTION("""COMPUTED_VALUE"""),"MICRO")</f>
        <v>MICRO</v>
      </c>
      <c r="B180" s="23" t="str">
        <f>IFERROR(__xludf.DUMMYFUNCTION("""COMPUTED_VALUE"""),"herbaristu")</f>
        <v>herbaristu</v>
      </c>
      <c r="C180" s="257" t="str">
        <f>IFERROR(__xludf.DUMMYFUNCTION("""COMPUTED_VALUE"""),"https://www.tiktok.com/@herbaristu")</f>
        <v>https://www.tiktok.com/@herbaristu</v>
      </c>
      <c r="D180" s="23">
        <f>IFERROR(__xludf.DUMMYFUNCTION("""COMPUTED_VALUE"""),8.5755255549E10)</f>
        <v>85755255549</v>
      </c>
      <c r="E180" s="457">
        <f>IFERROR(__xludf.DUMMYFUNCTION("""COMPUTED_VALUE"""),100000.0)</f>
        <v>100000</v>
      </c>
      <c r="F180" s="270">
        <f>IFERROR(__xludf.DUMMYFUNCTION("""COMPUTED_VALUE"""),4.0)</f>
        <v>4</v>
      </c>
      <c r="G180" s="17" t="str">
        <f>IFERROR(__xludf.DUMMYFUNCTION("""COMPUTED_VALUE"""),"Full Set")</f>
        <v>Full Set</v>
      </c>
      <c r="H180" s="17"/>
      <c r="I180" s="262"/>
      <c r="J180" s="262"/>
      <c r="K180" s="262"/>
      <c r="L180" s="262"/>
      <c r="M180" s="262"/>
    </row>
    <row r="181">
      <c r="A181" s="255" t="str">
        <f>IFERROR(__xludf.DUMMYFUNCTION("""COMPUTED_VALUE"""),"NANO")</f>
        <v>NANO</v>
      </c>
      <c r="B181" s="23" t="str">
        <f>IFERROR(__xludf.DUMMYFUNCTION("""COMPUTED_VALUE"""),"Panggilsajadewi24")</f>
        <v>Panggilsajadewi24</v>
      </c>
      <c r="C181" s="257" t="str">
        <f>IFERROR(__xludf.DUMMYFUNCTION("""COMPUTED_VALUE"""),"https://www.tiktok.com/@Panggilsajadewi24")</f>
        <v>https://www.tiktok.com/@Panggilsajadewi24</v>
      </c>
      <c r="D181" s="23">
        <f>IFERROR(__xludf.DUMMYFUNCTION("""COMPUTED_VALUE"""),8.5226178434E10)</f>
        <v>85226178434</v>
      </c>
      <c r="E181" s="457">
        <f>IFERROR(__xludf.DUMMYFUNCTION("""COMPUTED_VALUE"""),0.0)</f>
        <v>0</v>
      </c>
      <c r="F181" s="270">
        <f>IFERROR(__xludf.DUMMYFUNCTION("""COMPUTED_VALUE"""),4.0)</f>
        <v>4</v>
      </c>
      <c r="G181" s="17" t="str">
        <f>IFERROR(__xludf.DUMMYFUNCTION("""COMPUTED_VALUE"""),"Full Set")</f>
        <v>Full Set</v>
      </c>
      <c r="H181" s="17"/>
      <c r="I181" s="278" t="str">
        <f>IFERROR(__xludf.DUMMYFUNCTION("""COMPUTED_VALUE"""),"https://www.tiktok.com/@panggilsajadewi24/video/7642157598828973333?is_from_webapp=1&amp;sender_device=pc")</f>
        <v>https://www.tiktok.com/@panggilsajadewi24/video/7642157598828973333?is_from_webapp=1&amp;sender_device=pc</v>
      </c>
      <c r="J181" s="262"/>
      <c r="K181" s="262"/>
      <c r="L181" s="262"/>
      <c r="M181" s="262"/>
    </row>
    <row r="182">
      <c r="A182" s="255" t="str">
        <f>IFERROR(__xludf.DUMMYFUNCTION("""COMPUTED_VALUE"""),"NANO")</f>
        <v>NANO</v>
      </c>
      <c r="B182" s="23" t="str">
        <f>IFERROR(__xludf.DUMMYFUNCTION("""COMPUTED_VALUE"""),"Seftadwirantiii")</f>
        <v>Seftadwirantiii</v>
      </c>
      <c r="C182" s="257" t="str">
        <f>IFERROR(__xludf.DUMMYFUNCTION("""COMPUTED_VALUE"""),"https://www.tiktok.com/@Seftadwirantiii")</f>
        <v>https://www.tiktok.com/@Seftadwirantiii</v>
      </c>
      <c r="D182" s="23">
        <f>IFERROR(__xludf.DUMMYFUNCTION("""COMPUTED_VALUE"""),8.1381502481E10)</f>
        <v>81381502481</v>
      </c>
      <c r="E182" s="457">
        <f>IFERROR(__xludf.DUMMYFUNCTION("""COMPUTED_VALUE"""),0.0)</f>
        <v>0</v>
      </c>
      <c r="F182" s="270">
        <f>IFERROR(__xludf.DUMMYFUNCTION("""COMPUTED_VALUE"""),4.0)</f>
        <v>4</v>
      </c>
      <c r="G182" s="17" t="str">
        <f>IFERROR(__xludf.DUMMYFUNCTION("""COMPUTED_VALUE"""),"Full Set")</f>
        <v>Full Set</v>
      </c>
      <c r="H182" s="17"/>
      <c r="I182" s="278" t="str">
        <f>IFERROR(__xludf.DUMMYFUNCTION("""COMPUTED_VALUE"""),"https://www.tiktok.com/@seftadwirantiii/video/7638924988153679111?is_from_webapp=1&amp;sender_device=pc")</f>
        <v>https://www.tiktok.com/@seftadwirantiii/video/7638924988153679111?is_from_webapp=1&amp;sender_device=pc</v>
      </c>
      <c r="J182" s="278" t="str">
        <f>IFERROR(__xludf.DUMMYFUNCTION("""COMPUTED_VALUE"""),"https://www.tiktok.com/@seftadwirantiii/video/7643354544713305351?is_from_webapp=1&amp;sender_device=pc")</f>
        <v>https://www.tiktok.com/@seftadwirantiii/video/7643354544713305351?is_from_webapp=1&amp;sender_device=pc</v>
      </c>
      <c r="K182" s="262"/>
      <c r="L182" s="262"/>
      <c r="M182" s="262"/>
    </row>
    <row r="183">
      <c r="A183" s="255" t="str">
        <f>IFERROR(__xludf.DUMMYFUNCTION("""COMPUTED_VALUE"""),"MICRO")</f>
        <v>MICRO</v>
      </c>
      <c r="B183" s="23" t="str">
        <f>IFERROR(__xludf.DUMMYFUNCTION("""COMPUTED_VALUE"""),"Tyaa0508 ")</f>
        <v>Tyaa0508 </v>
      </c>
      <c r="C183" s="257" t="str">
        <f>IFERROR(__xludf.DUMMYFUNCTION("""COMPUTED_VALUE"""),"https://www.tiktok.com/@Tyaa0508 ")</f>
        <v>https://www.tiktok.com/@Tyaa0508 </v>
      </c>
      <c r="D183" s="23">
        <f>IFERROR(__xludf.DUMMYFUNCTION("""COMPUTED_VALUE"""),8.2370311113E10)</f>
        <v>82370311113</v>
      </c>
      <c r="E183" s="457">
        <f>IFERROR(__xludf.DUMMYFUNCTION("""COMPUTED_VALUE"""),0.0)</f>
        <v>0</v>
      </c>
      <c r="F183" s="270">
        <f>IFERROR(__xludf.DUMMYFUNCTION("""COMPUTED_VALUE"""),4.0)</f>
        <v>4</v>
      </c>
      <c r="G183" s="17" t="str">
        <f>IFERROR(__xludf.DUMMYFUNCTION("""COMPUTED_VALUE"""),"Full Set")</f>
        <v>Full Set</v>
      </c>
      <c r="H183" s="17"/>
      <c r="I183" s="278" t="str">
        <f>IFERROR(__xludf.DUMMYFUNCTION("""COMPUTED_VALUE"""),"https://www.tiktok.com/@tyaa0508/video/7640061360847555861?is_from_webapp=1&amp;sender_device=pc")</f>
        <v>https://www.tiktok.com/@tyaa0508/video/7640061360847555861?is_from_webapp=1&amp;sender_device=pc</v>
      </c>
      <c r="J183" s="278" t="str">
        <f>IFERROR(__xludf.DUMMYFUNCTION("""COMPUTED_VALUE"""),"https://www.tiktok.com/@tyaa0508/video/7643645049309252885?is_from_webapp=1&amp;sender_device=pc")</f>
        <v>https://www.tiktok.com/@tyaa0508/video/7643645049309252885?is_from_webapp=1&amp;sender_device=pc</v>
      </c>
      <c r="K183" s="278" t="str">
        <f>IFERROR(__xludf.DUMMYFUNCTION("""COMPUTED_VALUE"""),"https://www.tiktok.com/@tyaa0508/video/7643661423360429333?is_from_webapp=1&amp;sender_device=pc")</f>
        <v>https://www.tiktok.com/@tyaa0508/video/7643661423360429333?is_from_webapp=1&amp;sender_device=pc</v>
      </c>
      <c r="L183" s="278" t="str">
        <f>IFERROR(__xludf.DUMMYFUNCTION("""COMPUTED_VALUE"""),"https://www.tiktok.com/@tyaa0508/video/7643681467326909716?is_from_webapp=1&amp;sender_device=pc")</f>
        <v>https://www.tiktok.com/@tyaa0508/video/7643681467326909716?is_from_webapp=1&amp;sender_device=pc</v>
      </c>
      <c r="M183" s="262"/>
    </row>
    <row r="184">
      <c r="A184" s="255" t="str">
        <f>IFERROR(__xludf.DUMMYFUNCTION("""COMPUTED_VALUE"""),"NANO")</f>
        <v>NANO</v>
      </c>
      <c r="B184" s="23" t="str">
        <f>IFERROR(__xludf.DUMMYFUNCTION("""COMPUTED_VALUE"""),"true.skinstore")</f>
        <v>true.skinstore</v>
      </c>
      <c r="C184" s="257" t="str">
        <f>IFERROR(__xludf.DUMMYFUNCTION("""COMPUTED_VALUE"""),"https://www.tiktok.com/@true.skinstore")</f>
        <v>https://www.tiktok.com/@true.skinstore</v>
      </c>
      <c r="D184" s="23">
        <f>IFERROR(__xludf.DUMMYFUNCTION("""COMPUTED_VALUE"""),8.7887917471E10)</f>
        <v>87887917471</v>
      </c>
      <c r="E184" s="457">
        <f>IFERROR(__xludf.DUMMYFUNCTION("""COMPUTED_VALUE"""),0.0)</f>
        <v>0</v>
      </c>
      <c r="F184" s="270">
        <f>IFERROR(__xludf.DUMMYFUNCTION("""COMPUTED_VALUE"""),4.0)</f>
        <v>4</v>
      </c>
      <c r="G184" s="17" t="str">
        <f>IFERROR(__xludf.DUMMYFUNCTION("""COMPUTED_VALUE"""),"Full Set")</f>
        <v>Full Set</v>
      </c>
      <c r="H184" s="17"/>
      <c r="I184" s="262"/>
      <c r="J184" s="262"/>
      <c r="K184" s="262"/>
      <c r="L184" s="262"/>
      <c r="M184" s="262"/>
    </row>
    <row r="185">
      <c r="A185" s="255" t="str">
        <f>IFERROR(__xludf.DUMMYFUNCTION("""COMPUTED_VALUE"""),"NANO")</f>
        <v>NANO</v>
      </c>
      <c r="B185" s="23" t="str">
        <f>IFERROR(__xludf.DUMMYFUNCTION("""COMPUTED_VALUE"""),"Itsyournaa_a")</f>
        <v>Itsyournaa_a</v>
      </c>
      <c r="C185" s="257" t="str">
        <f>IFERROR(__xludf.DUMMYFUNCTION("""COMPUTED_VALUE"""),"https://www.tiktok.com/@Itsyournaa_a")</f>
        <v>https://www.tiktok.com/@Itsyournaa_a</v>
      </c>
      <c r="D185" s="23">
        <f>IFERROR(__xludf.DUMMYFUNCTION("""COMPUTED_VALUE"""),8.9507912153E10)</f>
        <v>89507912153</v>
      </c>
      <c r="E185" s="457">
        <f>IFERROR(__xludf.DUMMYFUNCTION("""COMPUTED_VALUE"""),0.0)</f>
        <v>0</v>
      </c>
      <c r="F185" s="270">
        <f>IFERROR(__xludf.DUMMYFUNCTION("""COMPUTED_VALUE"""),4.0)</f>
        <v>4</v>
      </c>
      <c r="G185" s="17" t="str">
        <f>IFERROR(__xludf.DUMMYFUNCTION("""COMPUTED_VALUE"""),"Full Set")</f>
        <v>Full Set</v>
      </c>
      <c r="H185" s="17"/>
      <c r="I185" s="278" t="str">
        <f>IFERROR(__xludf.DUMMYFUNCTION("""COMPUTED_VALUE"""),"https://vt.tiktok.com/ZS9nMCbPt/")</f>
        <v>https://vt.tiktok.com/ZS9nMCbPt/</v>
      </c>
      <c r="J185" s="278" t="str">
        <f>IFERROR(__xludf.DUMMYFUNCTION("""COMPUTED_VALUE"""),"https://vt.tiktok.com/ZSxQ7KCmq/")</f>
        <v>https://vt.tiktok.com/ZSxQ7KCmq/</v>
      </c>
      <c r="K185" s="278" t="str">
        <f>IFERROR(__xludf.DUMMYFUNCTION("""COMPUTED_VALUE"""),"https://vt.tiktok.com/ZSxGvwehk/")</f>
        <v>https://vt.tiktok.com/ZSxGvwehk/</v>
      </c>
      <c r="L185" s="278" t="str">
        <f>IFERROR(__xludf.DUMMYFUNCTION("""COMPUTED_VALUE"""),"https://vt.tiktok.com/ZSQeHDtU5/")</f>
        <v>https://vt.tiktok.com/ZSQeHDtU5/</v>
      </c>
      <c r="M185" s="262"/>
    </row>
    <row r="186">
      <c r="A186" s="255" t="str">
        <f>IFERROR(__xludf.DUMMYFUNCTION("""COMPUTED_VALUE"""),"NANO")</f>
        <v>NANO</v>
      </c>
      <c r="B186" s="23" t="str">
        <f>IFERROR(__xludf.DUMMYFUNCTION("""COMPUTED_VALUE"""),"Velipppp")</f>
        <v>Velipppp</v>
      </c>
      <c r="C186" s="257" t="str">
        <f>IFERROR(__xludf.DUMMYFUNCTION("""COMPUTED_VALUE"""),"https://www.tiktok.com/@Velipppp")</f>
        <v>https://www.tiktok.com/@Velipppp</v>
      </c>
      <c r="D186" s="23">
        <f>IFERROR(__xludf.DUMMYFUNCTION("""COMPUTED_VALUE"""),8.95619603552E11)</f>
        <v>895619603552</v>
      </c>
      <c r="E186" s="457">
        <f>IFERROR(__xludf.DUMMYFUNCTION("""COMPUTED_VALUE"""),0.0)</f>
        <v>0</v>
      </c>
      <c r="F186" s="270">
        <f>IFERROR(__xludf.DUMMYFUNCTION("""COMPUTED_VALUE"""),4.0)</f>
        <v>4</v>
      </c>
      <c r="G186" s="17" t="str">
        <f>IFERROR(__xludf.DUMMYFUNCTION("""COMPUTED_VALUE"""),"Full Set")</f>
        <v>Full Set</v>
      </c>
      <c r="H186" s="17"/>
      <c r="I186" s="262"/>
      <c r="J186" s="262"/>
      <c r="K186" s="262"/>
      <c r="L186" s="262"/>
      <c r="M186" s="262"/>
    </row>
    <row r="187">
      <c r="A187" s="255" t="str">
        <f>IFERROR(__xludf.DUMMYFUNCTION("""COMPUTED_VALUE"""),"NANO")</f>
        <v>NANO</v>
      </c>
      <c r="B187" s="23" t="str">
        <f>IFERROR(__xludf.DUMMYFUNCTION("""COMPUTED_VALUE"""),"lina.store.official_")</f>
        <v>lina.store.official_</v>
      </c>
      <c r="C187" s="257" t="str">
        <f>IFERROR(__xludf.DUMMYFUNCTION("""COMPUTED_VALUE"""),"https://www.tiktok.com/@lina.store.official_")</f>
        <v>https://www.tiktok.com/@lina.store.official_</v>
      </c>
      <c r="D187" s="23">
        <f>IFERROR(__xludf.DUMMYFUNCTION("""COMPUTED_VALUE"""),8.2357203508E10)</f>
        <v>82357203508</v>
      </c>
      <c r="E187" s="457">
        <f>IFERROR(__xludf.DUMMYFUNCTION("""COMPUTED_VALUE"""),0.0)</f>
        <v>0</v>
      </c>
      <c r="F187" s="270">
        <f>IFERROR(__xludf.DUMMYFUNCTION("""COMPUTED_VALUE"""),4.0)</f>
        <v>4</v>
      </c>
      <c r="G187" s="17" t="str">
        <f>IFERROR(__xludf.DUMMYFUNCTION("""COMPUTED_VALUE"""),"Full Set")</f>
        <v>Full Set</v>
      </c>
      <c r="H187" s="17"/>
      <c r="I187" s="262"/>
      <c r="J187" s="262"/>
      <c r="K187" s="262"/>
      <c r="L187" s="262"/>
      <c r="M187" s="262"/>
    </row>
    <row r="188">
      <c r="A188" s="255" t="str">
        <f>IFERROR(__xludf.DUMMYFUNCTION("""COMPUTED_VALUE"""),"NANO")</f>
        <v>NANO</v>
      </c>
      <c r="B188" s="23" t="str">
        <f>IFERROR(__xludf.DUMMYFUNCTION("""COMPUTED_VALUE"""),"itsdvyaa")</f>
        <v>itsdvyaa</v>
      </c>
      <c r="C188" s="257" t="str">
        <f>IFERROR(__xludf.DUMMYFUNCTION("""COMPUTED_VALUE"""),"https://www.tiktok.com/@itsdvyaa")</f>
        <v>https://www.tiktok.com/@itsdvyaa</v>
      </c>
      <c r="D188" s="23">
        <f>IFERROR(__xludf.DUMMYFUNCTION("""COMPUTED_VALUE"""),8.1802153082E10)</f>
        <v>81802153082</v>
      </c>
      <c r="E188" s="457">
        <f>IFERROR(__xludf.DUMMYFUNCTION("""COMPUTED_VALUE"""),0.0)</f>
        <v>0</v>
      </c>
      <c r="F188" s="270">
        <f>IFERROR(__xludf.DUMMYFUNCTION("""COMPUTED_VALUE"""),4.0)</f>
        <v>4</v>
      </c>
      <c r="G188" s="17" t="str">
        <f>IFERROR(__xludf.DUMMYFUNCTION("""COMPUTED_VALUE"""),"Full Set")</f>
        <v>Full Set</v>
      </c>
      <c r="H188" s="17"/>
      <c r="I188" s="278" t="str">
        <f>IFERROR(__xludf.DUMMYFUNCTION("""COMPUTED_VALUE"""),"https://www.tiktok.com/@itsdvyaa/video/7637398945857129749?is_from_webapp=1&amp;sender_device=pc")</f>
        <v>https://www.tiktok.com/@itsdvyaa/video/7637398945857129749?is_from_webapp=1&amp;sender_device=pc</v>
      </c>
      <c r="J188" s="278" t="str">
        <f>IFERROR(__xludf.DUMMYFUNCTION("""COMPUTED_VALUE"""),"https://www.tiktok.com/@itsdvyaa/video/7638043250913463573?is_from_webapp=1&amp;sender_device=pc")</f>
        <v>https://www.tiktok.com/@itsdvyaa/video/7638043250913463573?is_from_webapp=1&amp;sender_device=pc</v>
      </c>
      <c r="K188" s="278" t="str">
        <f>IFERROR(__xludf.DUMMYFUNCTION("""COMPUTED_VALUE"""),"https://www.tiktok.com/@itsdvyaa/video/7641056825361681685?is_from_webapp=1&amp;sender_device=pc")</f>
        <v>https://www.tiktok.com/@itsdvyaa/video/7641056825361681685?is_from_webapp=1&amp;sender_device=pc</v>
      </c>
      <c r="L188" s="278" t="str">
        <f>IFERROR(__xludf.DUMMYFUNCTION("""COMPUTED_VALUE"""),"https://www.tiktok.com/@itsdvyaa/video/7642583521768246548?is_from_webapp=1&amp;sender_device=pc")</f>
        <v>https://www.tiktok.com/@itsdvyaa/video/7642583521768246548?is_from_webapp=1&amp;sender_device=pc</v>
      </c>
      <c r="M188" s="262"/>
    </row>
    <row r="189">
      <c r="A189" s="255" t="str">
        <f>IFERROR(__xludf.DUMMYFUNCTION("""COMPUTED_VALUE"""),"MICRO")</f>
        <v>MICRO</v>
      </c>
      <c r="B189" s="23" t="str">
        <f>IFERROR(__xludf.DUMMYFUNCTION("""COMPUTED_VALUE"""),"hai_akumanik")</f>
        <v>hai_akumanik</v>
      </c>
      <c r="C189" s="257" t="str">
        <f>IFERROR(__xludf.DUMMYFUNCTION("""COMPUTED_VALUE"""),"https://www.tiktok.com/@hai_akumanik")</f>
        <v>https://www.tiktok.com/@hai_akumanik</v>
      </c>
      <c r="D189" s="23">
        <f>IFERROR(__xludf.DUMMYFUNCTION("""COMPUTED_VALUE"""),8.5704970148E10)</f>
        <v>85704970148</v>
      </c>
      <c r="E189" s="457">
        <f>IFERROR(__xludf.DUMMYFUNCTION("""COMPUTED_VALUE"""),100000.0)</f>
        <v>100000</v>
      </c>
      <c r="F189" s="270">
        <f>IFERROR(__xludf.DUMMYFUNCTION("""COMPUTED_VALUE"""),4.0)</f>
        <v>4</v>
      </c>
      <c r="G189" s="17" t="str">
        <f>IFERROR(__xludf.DUMMYFUNCTION("""COMPUTED_VALUE"""),"Full Set")</f>
        <v>Full Set</v>
      </c>
      <c r="H189" s="17"/>
      <c r="I189" s="278" t="str">
        <f>IFERROR(__xludf.DUMMYFUNCTION("""COMPUTED_VALUE"""),"https://www.tiktok.com/@hai_akumanik/video/7641456748863261972?is_from_webapp=1&amp;sender_device=pc")</f>
        <v>https://www.tiktok.com/@hai_akumanik/video/7641456748863261972?is_from_webapp=1&amp;sender_device=pc</v>
      </c>
      <c r="J189" s="262"/>
      <c r="K189" s="262"/>
      <c r="L189" s="262"/>
      <c r="M189" s="262"/>
    </row>
    <row r="190">
      <c r="A190" s="255" t="str">
        <f>IFERROR(__xludf.DUMMYFUNCTION("""COMPUTED_VALUE"""),"NANO")</f>
        <v>NANO</v>
      </c>
      <c r="B190" s="23" t="str">
        <f>IFERROR(__xludf.DUMMYFUNCTION("""COMPUTED_VALUE"""),"Siminiii_")</f>
        <v>Siminiii_</v>
      </c>
      <c r="C190" s="257" t="str">
        <f>IFERROR(__xludf.DUMMYFUNCTION("""COMPUTED_VALUE"""),"https://www.tiktok.com/@Siminiii_")</f>
        <v>https://www.tiktok.com/@Siminiii_</v>
      </c>
      <c r="D190" s="23">
        <f>IFERROR(__xludf.DUMMYFUNCTION("""COMPUTED_VALUE"""),8.5691114929E10)</f>
        <v>85691114929</v>
      </c>
      <c r="E190" s="457">
        <f>IFERROR(__xludf.DUMMYFUNCTION("""COMPUTED_VALUE"""),0.0)</f>
        <v>0</v>
      </c>
      <c r="F190" s="270">
        <f>IFERROR(__xludf.DUMMYFUNCTION("""COMPUTED_VALUE"""),4.0)</f>
        <v>4</v>
      </c>
      <c r="G190" s="17" t="str">
        <f>IFERROR(__xludf.DUMMYFUNCTION("""COMPUTED_VALUE"""),"Full Set")</f>
        <v>Full Set</v>
      </c>
      <c r="H190" s="17"/>
      <c r="I190" s="278" t="str">
        <f>IFERROR(__xludf.DUMMYFUNCTION("""COMPUTED_VALUE"""),"https://www.tiktok.com/@siminiii_/video/7637176715982228757?is_from_webapp=1&amp;sender_device=pc")</f>
        <v>https://www.tiktok.com/@siminiii_/video/7637176715982228757?is_from_webapp=1&amp;sender_device=pc</v>
      </c>
      <c r="J190" s="278" t="str">
        <f>IFERROR(__xludf.DUMMYFUNCTION("""COMPUTED_VALUE"""),"https://vt.tiktok.com/ZSxsJr8yk/")</f>
        <v>https://vt.tiktok.com/ZSxsJr8yk/</v>
      </c>
      <c r="K190" s="278" t="str">
        <f>IFERROR(__xludf.DUMMYFUNCTION("""COMPUTED_VALUE"""),"https://vt.tiktok.com/ZSxWec1Yc/")</f>
        <v>https://vt.tiktok.com/ZSxWec1Yc/</v>
      </c>
      <c r="L190" s="278" t="str">
        <f>IFERROR(__xludf.DUMMYFUNCTION("""COMPUTED_VALUE"""),"https://vt.tiktok.com/ZSx7JN8cS/")</f>
        <v>https://vt.tiktok.com/ZSx7JN8cS/</v>
      </c>
      <c r="M190" s="262"/>
    </row>
    <row r="191">
      <c r="A191" s="255" t="str">
        <f>IFERROR(__xludf.DUMMYFUNCTION("""COMPUTED_VALUE"""),"NANO")</f>
        <v>NANO</v>
      </c>
      <c r="B191" s="23" t="str">
        <f>IFERROR(__xludf.DUMMYFUNCTION("""COMPUTED_VALUE"""),"sepiiin.p")</f>
        <v>sepiiin.p</v>
      </c>
      <c r="C191" s="257" t="str">
        <f>IFERROR(__xludf.DUMMYFUNCTION("""COMPUTED_VALUE"""),"https://www.tiktok.com/@sepiiin.p")</f>
        <v>https://www.tiktok.com/@sepiiin.p</v>
      </c>
      <c r="D191" s="23">
        <f>IFERROR(__xludf.DUMMYFUNCTION("""COMPUTED_VALUE"""),8.227387777E10)</f>
        <v>82273877770</v>
      </c>
      <c r="E191" s="457">
        <f>IFERROR(__xludf.DUMMYFUNCTION("""COMPUTED_VALUE"""),0.0)</f>
        <v>0</v>
      </c>
      <c r="F191" s="270">
        <f>IFERROR(__xludf.DUMMYFUNCTION("""COMPUTED_VALUE"""),4.0)</f>
        <v>4</v>
      </c>
      <c r="G191" s="17" t="str">
        <f>IFERROR(__xludf.DUMMYFUNCTION("""COMPUTED_VALUE"""),"Full Set")</f>
        <v>Full Set</v>
      </c>
      <c r="H191" s="17"/>
      <c r="I191" s="262"/>
      <c r="J191" s="262"/>
      <c r="K191" s="262"/>
      <c r="L191" s="262"/>
      <c r="M191" s="262"/>
    </row>
    <row r="192">
      <c r="A192" s="255" t="str">
        <f>IFERROR(__xludf.DUMMYFUNCTION("""COMPUTED_VALUE"""),"MICRO")</f>
        <v>MICRO</v>
      </c>
      <c r="B192" s="23" t="str">
        <f>IFERROR(__xludf.DUMMYFUNCTION("""COMPUTED_VALUE"""),"Jusantimukaroma")</f>
        <v>Jusantimukaroma</v>
      </c>
      <c r="C192" s="257" t="str">
        <f>IFERROR(__xludf.DUMMYFUNCTION("""COMPUTED_VALUE"""),"https://www.tiktok.com/@Jusantimukaroma")</f>
        <v>https://www.tiktok.com/@Jusantimukaroma</v>
      </c>
      <c r="D192" s="23">
        <f>IFERROR(__xludf.DUMMYFUNCTION("""COMPUTED_VALUE"""),8.5609529824E10)</f>
        <v>85609529824</v>
      </c>
      <c r="E192" s="457">
        <f>IFERROR(__xludf.DUMMYFUNCTION("""COMPUTED_VALUE"""),0.0)</f>
        <v>0</v>
      </c>
      <c r="F192" s="270">
        <f>IFERROR(__xludf.DUMMYFUNCTION("""COMPUTED_VALUE"""),4.0)</f>
        <v>4</v>
      </c>
      <c r="G192" s="17" t="str">
        <f>IFERROR(__xludf.DUMMYFUNCTION("""COMPUTED_VALUE"""),"Full Set")</f>
        <v>Full Set</v>
      </c>
      <c r="H192" s="17"/>
      <c r="I192" s="262"/>
      <c r="J192" s="262"/>
      <c r="K192" s="262"/>
      <c r="L192" s="262"/>
      <c r="M192" s="262"/>
    </row>
    <row r="193">
      <c r="A193" s="255" t="str">
        <f>IFERROR(__xludf.DUMMYFUNCTION("""COMPUTED_VALUE"""),"NANO")</f>
        <v>NANO</v>
      </c>
      <c r="B193" s="23" t="str">
        <f>IFERROR(__xludf.DUMMYFUNCTION("""COMPUTED_VALUE"""),"jelinaww_")</f>
        <v>jelinaww_</v>
      </c>
      <c r="C193" s="257" t="str">
        <f>IFERROR(__xludf.DUMMYFUNCTION("""COMPUTED_VALUE"""),"https://www.tiktok.com/@jelinaww_")</f>
        <v>https://www.tiktok.com/@jelinaww_</v>
      </c>
      <c r="D193" s="23">
        <f>IFERROR(__xludf.DUMMYFUNCTION("""COMPUTED_VALUE"""),8.5370435037E10)</f>
        <v>85370435037</v>
      </c>
      <c r="E193" s="457">
        <f>IFERROR(__xludf.DUMMYFUNCTION("""COMPUTED_VALUE"""),0.0)</f>
        <v>0</v>
      </c>
      <c r="F193" s="270">
        <f>IFERROR(__xludf.DUMMYFUNCTION("""COMPUTED_VALUE"""),4.0)</f>
        <v>4</v>
      </c>
      <c r="G193" s="17" t="str">
        <f>IFERROR(__xludf.DUMMYFUNCTION("""COMPUTED_VALUE"""),"Full Set")</f>
        <v>Full Set</v>
      </c>
      <c r="H193" s="17"/>
      <c r="I193" s="262"/>
      <c r="J193" s="262"/>
      <c r="K193" s="262"/>
      <c r="L193" s="262"/>
      <c r="M193" s="262"/>
    </row>
    <row r="194">
      <c r="A194" s="255" t="str">
        <f>IFERROR(__xludf.DUMMYFUNCTION("""COMPUTED_VALUE"""),"NANO")</f>
        <v>NANO</v>
      </c>
      <c r="B194" s="23" t="str">
        <f>IFERROR(__xludf.DUMMYFUNCTION("""COMPUTED_VALUE"""),"anastasia_amelia")</f>
        <v>anastasia_amelia</v>
      </c>
      <c r="C194" s="257" t="str">
        <f>IFERROR(__xludf.DUMMYFUNCTION("""COMPUTED_VALUE"""),"https://www.tiktok.com/@anastasia_amelia")</f>
        <v>https://www.tiktok.com/@anastasia_amelia</v>
      </c>
      <c r="D194" s="23">
        <f>IFERROR(__xludf.DUMMYFUNCTION("""COMPUTED_VALUE"""),8.2333303005E10)</f>
        <v>82333303005</v>
      </c>
      <c r="E194" s="457">
        <f>IFERROR(__xludf.DUMMYFUNCTION("""COMPUTED_VALUE"""),0.0)</f>
        <v>0</v>
      </c>
      <c r="F194" s="270">
        <f>IFERROR(__xludf.DUMMYFUNCTION("""COMPUTED_VALUE"""),4.0)</f>
        <v>4</v>
      </c>
      <c r="G194" s="17" t="str">
        <f>IFERROR(__xludf.DUMMYFUNCTION("""COMPUTED_VALUE"""),"Full Set")</f>
        <v>Full Set</v>
      </c>
      <c r="H194" s="17"/>
      <c r="I194" s="278" t="str">
        <f>IFERROR(__xludf.DUMMYFUNCTION("""COMPUTED_VALUE"""),"https://www.tiktok.com/@anastasia_amelia/video/7639694056049757461?is_from_webapp=1&amp;sender_device=pc")</f>
        <v>https://www.tiktok.com/@anastasia_amelia/video/7639694056049757461?is_from_webapp=1&amp;sender_device=pc</v>
      </c>
      <c r="J194" s="278" t="str">
        <f>IFERROR(__xludf.DUMMYFUNCTION("""COMPUTED_VALUE"""),"https://www.tiktok.com/@anastasia_amelia/video/7641027291421707540?is_from_webapp=1&amp;sender_device=pc")</f>
        <v>https://www.tiktok.com/@anastasia_amelia/video/7641027291421707540?is_from_webapp=1&amp;sender_device=pc</v>
      </c>
      <c r="K194" s="262"/>
      <c r="L194" s="262"/>
      <c r="M194" s="262"/>
    </row>
    <row r="195">
      <c r="A195" s="255" t="str">
        <f>IFERROR(__xludf.DUMMYFUNCTION("""COMPUTED_VALUE"""),"NANO")</f>
        <v>NANO</v>
      </c>
      <c r="B195" s="23" t="str">
        <f>IFERROR(__xludf.DUMMYFUNCTION("""COMPUTED_VALUE"""),"_cshaani")</f>
        <v>_cshaani</v>
      </c>
      <c r="C195" s="257" t="str">
        <f>IFERROR(__xludf.DUMMYFUNCTION("""COMPUTED_VALUE"""),"https://www.tiktok.com/@_cshaani")</f>
        <v>https://www.tiktok.com/@_cshaani</v>
      </c>
      <c r="D195" s="23">
        <f>IFERROR(__xludf.DUMMYFUNCTION("""COMPUTED_VALUE"""),8.2295667488E10)</f>
        <v>82295667488</v>
      </c>
      <c r="E195" s="457">
        <f>IFERROR(__xludf.DUMMYFUNCTION("""COMPUTED_VALUE"""),0.0)</f>
        <v>0</v>
      </c>
      <c r="F195" s="270">
        <f>IFERROR(__xludf.DUMMYFUNCTION("""COMPUTED_VALUE"""),4.0)</f>
        <v>4</v>
      </c>
      <c r="G195" s="17" t="str">
        <f>IFERROR(__xludf.DUMMYFUNCTION("""COMPUTED_VALUE"""),"Full Set")</f>
        <v>Full Set</v>
      </c>
      <c r="H195" s="17"/>
      <c r="I195" s="278" t="str">
        <f>IFERROR(__xludf.DUMMYFUNCTION("""COMPUTED_VALUE"""),"https://www.tiktok.com/@_cshaani/video/7641252035878489364?is_from_webapp=1&amp;sender_device=pc")</f>
        <v>https://www.tiktok.com/@_cshaani/video/7641252035878489364?is_from_webapp=1&amp;sender_device=pc</v>
      </c>
      <c r="J195" s="278" t="str">
        <f>IFERROR(__xludf.DUMMYFUNCTION("""COMPUTED_VALUE"""),"https://www.tiktok.com/@_cshaani/video/7641622229653949717?is_from_webapp=1&amp;sender_device=pc")</f>
        <v>https://www.tiktok.com/@_cshaani/video/7641622229653949717?is_from_webapp=1&amp;sender_device=pc</v>
      </c>
      <c r="K195" s="262"/>
      <c r="L195" s="262"/>
      <c r="M195" s="262"/>
    </row>
    <row r="196">
      <c r="A196" s="255" t="str">
        <f>IFERROR(__xludf.DUMMYFUNCTION("""COMPUTED_VALUE"""),"NANO")</f>
        <v>NANO</v>
      </c>
      <c r="B196" s="23" t="str">
        <f>IFERROR(__xludf.DUMMYFUNCTION("""COMPUTED_VALUE"""),"paul09._")</f>
        <v>paul09._</v>
      </c>
      <c r="C196" s="257" t="str">
        <f>IFERROR(__xludf.DUMMYFUNCTION("""COMPUTED_VALUE"""),"https://www.tiktok.com/@paul09._")</f>
        <v>https://www.tiktok.com/@paul09._</v>
      </c>
      <c r="D196" s="23">
        <f>IFERROR(__xludf.DUMMYFUNCTION("""COMPUTED_VALUE"""),8.2358880355E10)</f>
        <v>82358880355</v>
      </c>
      <c r="E196" s="457">
        <f>IFERROR(__xludf.DUMMYFUNCTION("""COMPUTED_VALUE"""),0.0)</f>
        <v>0</v>
      </c>
      <c r="F196" s="270">
        <f>IFERROR(__xludf.DUMMYFUNCTION("""COMPUTED_VALUE"""),4.0)</f>
        <v>4</v>
      </c>
      <c r="G196" s="17" t="str">
        <f>IFERROR(__xludf.DUMMYFUNCTION("""COMPUTED_VALUE"""),"Full Set")</f>
        <v>Full Set</v>
      </c>
      <c r="H196" s="17"/>
      <c r="I196" s="278" t="str">
        <f>IFERROR(__xludf.DUMMYFUNCTION("""COMPUTED_VALUE"""),"https://vt.tiktok.com/ZS9qBHKfp/")</f>
        <v>https://vt.tiktok.com/ZS9qBHKfp/</v>
      </c>
      <c r="J196" s="278" t="str">
        <f>IFERROR(__xludf.DUMMYFUNCTION("""COMPUTED_VALUE"""),"https://vt.tiktok.com/ZS9qByXdo/")</f>
        <v>https://vt.tiktok.com/ZS9qByXdo/</v>
      </c>
      <c r="K196" s="278" t="str">
        <f>IFERROR(__xludf.DUMMYFUNCTION("""COMPUTED_VALUE"""),"https://vt.tiktok.com/ZS9qBGnmo/")</f>
        <v>https://vt.tiktok.com/ZS9qBGnmo/</v>
      </c>
      <c r="L196" s="278" t="str">
        <f>IFERROR(__xludf.DUMMYFUNCTION("""COMPUTED_VALUE"""),"https://vt.tiktok.com/ZS9qBGnmo/")</f>
        <v>https://vt.tiktok.com/ZS9qBGnmo/</v>
      </c>
      <c r="M196" s="262"/>
    </row>
    <row r="197">
      <c r="A197" s="255" t="str">
        <f>IFERROR(__xludf.DUMMYFUNCTION("""COMPUTED_VALUE"""),"NANO")</f>
        <v>NANO</v>
      </c>
      <c r="B197" s="23" t="str">
        <f>IFERROR(__xludf.DUMMYFUNCTION("""COMPUTED_VALUE"""),"Alayya_agp")</f>
        <v>Alayya_agp</v>
      </c>
      <c r="C197" s="257" t="str">
        <f>IFERROR(__xludf.DUMMYFUNCTION("""COMPUTED_VALUE"""),"https://www.tiktok.com/@Alayya_agp")</f>
        <v>https://www.tiktok.com/@Alayya_agp</v>
      </c>
      <c r="D197" s="23">
        <f>IFERROR(__xludf.DUMMYFUNCTION("""COMPUTED_VALUE"""),8.2315551228E10)</f>
        <v>82315551228</v>
      </c>
      <c r="E197" s="457">
        <f>IFERROR(__xludf.DUMMYFUNCTION("""COMPUTED_VALUE"""),0.0)</f>
        <v>0</v>
      </c>
      <c r="F197" s="270">
        <f>IFERROR(__xludf.DUMMYFUNCTION("""COMPUTED_VALUE"""),4.0)</f>
        <v>4</v>
      </c>
      <c r="G197" s="17" t="str">
        <f>IFERROR(__xludf.DUMMYFUNCTION("""COMPUTED_VALUE"""),"Full Set")</f>
        <v>Full Set</v>
      </c>
      <c r="H197" s="17"/>
      <c r="I197" s="278" t="str">
        <f>IFERROR(__xludf.DUMMYFUNCTION("""COMPUTED_VALUE"""),"https://www.tiktok.com/@alayya_agp/video/7637048916785007893?is_from_webapp=1&amp;sender_device=pc")</f>
        <v>https://www.tiktok.com/@alayya_agp/video/7637048916785007893?is_from_webapp=1&amp;sender_device=pc</v>
      </c>
      <c r="J197" s="278" t="str">
        <f>IFERROR(__xludf.DUMMYFUNCTION("""COMPUTED_VALUE"""),"https://www.tiktok.com/@alayya_agp/video/7639395283201297685?is_from_webapp=1&amp;sender_device=pc")</f>
        <v>https://www.tiktok.com/@alayya_agp/video/7639395283201297685?is_from_webapp=1&amp;sender_device=pc</v>
      </c>
      <c r="K197" s="262"/>
      <c r="L197" s="262"/>
      <c r="M197" s="262"/>
    </row>
    <row r="198">
      <c r="A198" s="255" t="str">
        <f>IFERROR(__xludf.DUMMYFUNCTION("""COMPUTED_VALUE"""),"NANO")</f>
        <v>NANO</v>
      </c>
      <c r="B198" s="23" t="str">
        <f>IFERROR(__xludf.DUMMYFUNCTION("""COMPUTED_VALUE"""),"hehdinda ")</f>
        <v>hehdinda </v>
      </c>
      <c r="C198" s="257" t="str">
        <f>IFERROR(__xludf.DUMMYFUNCTION("""COMPUTED_VALUE"""),"https://www.tiktok.com/@hehdinda ")</f>
        <v>https://www.tiktok.com/@hehdinda </v>
      </c>
      <c r="D198" s="23">
        <f>IFERROR(__xludf.DUMMYFUNCTION("""COMPUTED_VALUE"""),8.5179554151E10)</f>
        <v>85179554151</v>
      </c>
      <c r="E198" s="457">
        <f>IFERROR(__xludf.DUMMYFUNCTION("""COMPUTED_VALUE"""),0.0)</f>
        <v>0</v>
      </c>
      <c r="F198" s="270">
        <f>IFERROR(__xludf.DUMMYFUNCTION("""COMPUTED_VALUE"""),4.0)</f>
        <v>4</v>
      </c>
      <c r="G198" s="17" t="str">
        <f>IFERROR(__xludf.DUMMYFUNCTION("""COMPUTED_VALUE"""),"Full Set")</f>
        <v>Full Set</v>
      </c>
      <c r="H198" s="17"/>
      <c r="I198" s="278" t="str">
        <f>IFERROR(__xludf.DUMMYFUNCTION("""COMPUTED_VALUE"""),"https://www.tiktok.com/@hehdinda/video/7640990457266228501?is_from_webapp=1&amp;sender_device=pc")</f>
        <v>https://www.tiktok.com/@hehdinda/video/7640990457266228501?is_from_webapp=1&amp;sender_device=pc</v>
      </c>
      <c r="J198" s="262"/>
      <c r="K198" s="262"/>
      <c r="L198" s="262"/>
      <c r="M198" s="262"/>
    </row>
    <row r="199">
      <c r="A199" s="255" t="str">
        <f>IFERROR(__xludf.DUMMYFUNCTION("""COMPUTED_VALUE"""),"NANO")</f>
        <v>NANO</v>
      </c>
      <c r="B199" s="23" t="str">
        <f>IFERROR(__xludf.DUMMYFUNCTION("""COMPUTED_VALUE"""),"arashint ")</f>
        <v>arashint </v>
      </c>
      <c r="C199" s="257" t="str">
        <f>IFERROR(__xludf.DUMMYFUNCTION("""COMPUTED_VALUE"""),"https://www.tiktok.com/@arashint ")</f>
        <v>https://www.tiktok.com/@arashint </v>
      </c>
      <c r="D199" s="23">
        <f>IFERROR(__xludf.DUMMYFUNCTION("""COMPUTED_VALUE"""),8.2337300736E10)</f>
        <v>82337300736</v>
      </c>
      <c r="E199" s="457">
        <f>IFERROR(__xludf.DUMMYFUNCTION("""COMPUTED_VALUE"""),0.0)</f>
        <v>0</v>
      </c>
      <c r="F199" s="270">
        <f>IFERROR(__xludf.DUMMYFUNCTION("""COMPUTED_VALUE"""),4.0)</f>
        <v>4</v>
      </c>
      <c r="G199" s="17" t="str">
        <f>IFERROR(__xludf.DUMMYFUNCTION("""COMPUTED_VALUE"""),"Full Set")</f>
        <v>Full Set</v>
      </c>
      <c r="H199" s="17"/>
      <c r="I199" s="262"/>
      <c r="J199" s="262"/>
      <c r="K199" s="262"/>
      <c r="L199" s="262"/>
      <c r="M199" s="262"/>
    </row>
    <row r="200">
      <c r="A200" s="255" t="str">
        <f>IFERROR(__xludf.DUMMYFUNCTION("""COMPUTED_VALUE"""),"NANO")</f>
        <v>NANO</v>
      </c>
      <c r="B200" s="23" t="str">
        <f>IFERROR(__xludf.DUMMYFUNCTION("""COMPUTED_VALUE"""),"raaa.11225")</f>
        <v>raaa.11225</v>
      </c>
      <c r="C200" s="257" t="str">
        <f>IFERROR(__xludf.DUMMYFUNCTION("""COMPUTED_VALUE"""),"https://www.tiktok.com/@raaa.11225")</f>
        <v>https://www.tiktok.com/@raaa.11225</v>
      </c>
      <c r="D200" s="23">
        <f>IFERROR(__xludf.DUMMYFUNCTION("""COMPUTED_VALUE"""),8.5751758552E10)</f>
        <v>85751758552</v>
      </c>
      <c r="E200" s="457">
        <f>IFERROR(__xludf.DUMMYFUNCTION("""COMPUTED_VALUE"""),0.0)</f>
        <v>0</v>
      </c>
      <c r="F200" s="270">
        <f>IFERROR(__xludf.DUMMYFUNCTION("""COMPUTED_VALUE"""),4.0)</f>
        <v>4</v>
      </c>
      <c r="G200" s="17" t="str">
        <f>IFERROR(__xludf.DUMMYFUNCTION("""COMPUTED_VALUE"""),"Full Set")</f>
        <v>Full Set</v>
      </c>
      <c r="H200" s="17"/>
      <c r="I200" s="278" t="str">
        <f>IFERROR(__xludf.DUMMYFUNCTION("""COMPUTED_VALUE"""),"https://www.tiktok.com/@raaa.11225/video/7639559790670236949?is_from_webapp=1&amp;sender_device=pc")</f>
        <v>https://www.tiktok.com/@raaa.11225/video/7639559790670236949?is_from_webapp=1&amp;sender_device=pc</v>
      </c>
      <c r="J200" s="278" t="str">
        <f>IFERROR(__xludf.DUMMYFUNCTION("""COMPUTED_VALUE"""),"https://www.tiktok.com/@raaa.11225/video/7642150786138492180?is_from_webapp=1&amp;sender_device=pc")</f>
        <v>https://www.tiktok.com/@raaa.11225/video/7642150786138492180?is_from_webapp=1&amp;sender_device=pc</v>
      </c>
      <c r="K200" s="278" t="str">
        <f>IFERROR(__xludf.DUMMYFUNCTION("""COMPUTED_VALUE"""),"https://www.tiktok.com/@raaa.11225/video/7643641106684562708?is_from_webapp=1&amp;sender_device=pc")</f>
        <v>https://www.tiktok.com/@raaa.11225/video/7643641106684562708?is_from_webapp=1&amp;sender_device=pc</v>
      </c>
      <c r="L200" s="262"/>
      <c r="M200" s="262"/>
    </row>
    <row r="201">
      <c r="A201" s="255" t="str">
        <f>IFERROR(__xludf.DUMMYFUNCTION("""COMPUTED_VALUE"""),"NANO")</f>
        <v>NANO</v>
      </c>
      <c r="B201" s="23" t="str">
        <f>IFERROR(__xludf.DUMMYFUNCTION("""COMPUTED_VALUE"""),"hi__mels")</f>
        <v>hi__mels</v>
      </c>
      <c r="C201" s="257" t="str">
        <f>IFERROR(__xludf.DUMMYFUNCTION("""COMPUTED_VALUE"""),"https://www.tiktok.com/@hi__mels")</f>
        <v>https://www.tiktok.com/@hi__mels</v>
      </c>
      <c r="D201" s="23">
        <f>IFERROR(__xludf.DUMMYFUNCTION("""COMPUTED_VALUE"""),8.2139273464E10)</f>
        <v>82139273464</v>
      </c>
      <c r="E201" s="457">
        <f>IFERROR(__xludf.DUMMYFUNCTION("""COMPUTED_VALUE"""),0.0)</f>
        <v>0</v>
      </c>
      <c r="F201" s="270">
        <f>IFERROR(__xludf.DUMMYFUNCTION("""COMPUTED_VALUE"""),4.0)</f>
        <v>4</v>
      </c>
      <c r="G201" s="17" t="str">
        <f>IFERROR(__xludf.DUMMYFUNCTION("""COMPUTED_VALUE"""),"Full Set")</f>
        <v>Full Set</v>
      </c>
      <c r="H201" s="17"/>
      <c r="I201" s="278" t="str">
        <f>IFERROR(__xludf.DUMMYFUNCTION("""COMPUTED_VALUE"""),"https://www.tiktok.com/@hi__mels/video/7639414884043820308?is_from_webapp=1&amp;sender_device=pc")</f>
        <v>https://www.tiktok.com/@hi__mels/video/7639414884043820308?is_from_webapp=1&amp;sender_device=pc</v>
      </c>
      <c r="J201" s="262"/>
      <c r="K201" s="262"/>
      <c r="L201" s="262"/>
      <c r="M201" s="262"/>
    </row>
    <row r="202">
      <c r="A202" s="255" t="str">
        <f>IFERROR(__xludf.DUMMYFUNCTION("""COMPUTED_VALUE"""),"NANO")</f>
        <v>NANO</v>
      </c>
      <c r="B202" s="23" t="str">
        <f>IFERROR(__xludf.DUMMYFUNCTION("""COMPUTED_VALUE"""),"madam.frimey")</f>
        <v>madam.frimey</v>
      </c>
      <c r="C202" s="257" t="str">
        <f>IFERROR(__xludf.DUMMYFUNCTION("""COMPUTED_VALUE"""),"https://www.tiktok.com/@madam.frimey")</f>
        <v>https://www.tiktok.com/@madam.frimey</v>
      </c>
      <c r="D202" s="23">
        <f>IFERROR(__xludf.DUMMYFUNCTION("""COMPUTED_VALUE"""),8.1993581703E10)</f>
        <v>81993581703</v>
      </c>
      <c r="E202" s="457">
        <f>IFERROR(__xludf.DUMMYFUNCTION("""COMPUTED_VALUE"""),0.0)</f>
        <v>0</v>
      </c>
      <c r="F202" s="270">
        <f>IFERROR(__xludf.DUMMYFUNCTION("""COMPUTED_VALUE"""),4.0)</f>
        <v>4</v>
      </c>
      <c r="G202" s="17" t="str">
        <f>IFERROR(__xludf.DUMMYFUNCTION("""COMPUTED_VALUE"""),"Full Set")</f>
        <v>Full Set</v>
      </c>
      <c r="H202" s="17"/>
      <c r="I202" s="262"/>
      <c r="J202" s="262"/>
      <c r="K202" s="262"/>
      <c r="L202" s="262"/>
      <c r="M202" s="262"/>
    </row>
    <row r="203">
      <c r="A203" s="255" t="str">
        <f>IFERROR(__xludf.DUMMYFUNCTION("""COMPUTED_VALUE"""),"NANO")</f>
        <v>NANO</v>
      </c>
      <c r="B203" s="23" t="str">
        <f>IFERROR(__xludf.DUMMYFUNCTION("""COMPUTED_VALUE"""),"hokiterusmenerus")</f>
        <v>hokiterusmenerus</v>
      </c>
      <c r="C203" s="257" t="str">
        <f>IFERROR(__xludf.DUMMYFUNCTION("""COMPUTED_VALUE"""),"https://www.tiktok.com/@hokiterusmenerus")</f>
        <v>https://www.tiktok.com/@hokiterusmenerus</v>
      </c>
      <c r="D203" s="23">
        <f>IFERROR(__xludf.DUMMYFUNCTION("""COMPUTED_VALUE"""),8.1299394657E10)</f>
        <v>81299394657</v>
      </c>
      <c r="E203" s="457">
        <f>IFERROR(__xludf.DUMMYFUNCTION("""COMPUTED_VALUE"""),0.0)</f>
        <v>0</v>
      </c>
      <c r="F203" s="270">
        <f>IFERROR(__xludf.DUMMYFUNCTION("""COMPUTED_VALUE"""),4.0)</f>
        <v>4</v>
      </c>
      <c r="G203" s="17" t="str">
        <f>IFERROR(__xludf.DUMMYFUNCTION("""COMPUTED_VALUE"""),"Full Set")</f>
        <v>Full Set</v>
      </c>
      <c r="H203" s="17"/>
      <c r="I203" s="278" t="str">
        <f>IFERROR(__xludf.DUMMYFUNCTION("""COMPUTED_VALUE"""),"https://www.tiktok.com/@hokiterusmenerus/video/7642198589170568469?is_from_webapp=1&amp;sender_device=pc")</f>
        <v>https://www.tiktok.com/@hokiterusmenerus/video/7642198589170568469?is_from_webapp=1&amp;sender_device=pc</v>
      </c>
      <c r="J203" s="278" t="str">
        <f>IFERROR(__xludf.DUMMYFUNCTION("""COMPUTED_VALUE"""),"https://www.tiktok.com/@hokiterusmenerus/video/7642567028775095572?is_from_webapp=1&amp;sender_device=pc")</f>
        <v>https://www.tiktok.com/@hokiterusmenerus/video/7642567028775095572?is_from_webapp=1&amp;sender_device=pc</v>
      </c>
      <c r="K203" s="278" t="str">
        <f>IFERROR(__xludf.DUMMYFUNCTION("""COMPUTED_VALUE"""),"https://www.tiktok.com/@hokiterusmenerus/video/7642705923126889748?is_from_webapp=1&amp;sender_device=pc")</f>
        <v>https://www.tiktok.com/@hokiterusmenerus/video/7642705923126889748?is_from_webapp=1&amp;sender_device=pc</v>
      </c>
      <c r="L203" s="262"/>
      <c r="M203" s="262"/>
    </row>
    <row r="204">
      <c r="A204" s="255" t="str">
        <f>IFERROR(__xludf.DUMMYFUNCTION("""COMPUTED_VALUE"""),"NANO")</f>
        <v>NANO</v>
      </c>
      <c r="B204" s="23" t="str">
        <f>IFERROR(__xludf.DUMMYFUNCTION("""COMPUTED_VALUE"""),"sajidah.aulisa")</f>
        <v>sajidah.aulisa</v>
      </c>
      <c r="C204" s="257" t="str">
        <f>IFERROR(__xludf.DUMMYFUNCTION("""COMPUTED_VALUE"""),"https://www.tiktok.com/@sajidah.aulisa")</f>
        <v>https://www.tiktok.com/@sajidah.aulisa</v>
      </c>
      <c r="D204" s="23">
        <f>IFERROR(__xludf.DUMMYFUNCTION("""COMPUTED_VALUE"""),8.9610556959E10)</f>
        <v>89610556959</v>
      </c>
      <c r="E204" s="457">
        <f>IFERROR(__xludf.DUMMYFUNCTION("""COMPUTED_VALUE"""),0.0)</f>
        <v>0</v>
      </c>
      <c r="F204" s="270">
        <f>IFERROR(__xludf.DUMMYFUNCTION("""COMPUTED_VALUE"""),4.0)</f>
        <v>4</v>
      </c>
      <c r="G204" s="17" t="str">
        <f>IFERROR(__xludf.DUMMYFUNCTION("""COMPUTED_VALUE"""),"Full Set")</f>
        <v>Full Set</v>
      </c>
      <c r="H204" s="17"/>
      <c r="I204" s="262"/>
      <c r="J204" s="262"/>
      <c r="K204" s="262"/>
      <c r="L204" s="262"/>
      <c r="M204" s="262"/>
    </row>
    <row r="205">
      <c r="A205" s="255" t="str">
        <f>IFERROR(__xludf.DUMMYFUNCTION("""COMPUTED_VALUE"""),"NANO")</f>
        <v>NANO</v>
      </c>
      <c r="B205" s="23" t="str">
        <f>IFERROR(__xludf.DUMMYFUNCTION("""COMPUTED_VALUE"""),"markima_yuk")</f>
        <v>markima_yuk</v>
      </c>
      <c r="C205" s="257" t="str">
        <f>IFERROR(__xludf.DUMMYFUNCTION("""COMPUTED_VALUE"""),"https://www.tiktok.com/@markima_yuk")</f>
        <v>https://www.tiktok.com/@markima_yuk</v>
      </c>
      <c r="D205" s="23">
        <f>IFERROR(__xludf.DUMMYFUNCTION("""COMPUTED_VALUE"""),8.5807107182E10)</f>
        <v>85807107182</v>
      </c>
      <c r="E205" s="457">
        <f>IFERROR(__xludf.DUMMYFUNCTION("""COMPUTED_VALUE"""),0.0)</f>
        <v>0</v>
      </c>
      <c r="F205" s="270">
        <f>IFERROR(__xludf.DUMMYFUNCTION("""COMPUTED_VALUE"""),4.0)</f>
        <v>4</v>
      </c>
      <c r="G205" s="17" t="str">
        <f>IFERROR(__xludf.DUMMYFUNCTION("""COMPUTED_VALUE"""),"Full Set")</f>
        <v>Full Set</v>
      </c>
      <c r="H205" s="17"/>
      <c r="I205" s="278" t="str">
        <f>IFERROR(__xludf.DUMMYFUNCTION("""COMPUTED_VALUE"""),"https://vt.tiktok.com/ZS9wpQKaW/")</f>
        <v>https://vt.tiktok.com/ZS9wpQKaW/</v>
      </c>
      <c r="J205" s="278" t="str">
        <f>IFERROR(__xludf.DUMMYFUNCTION("""COMPUTED_VALUE"""),"https://vt.tiktok.com/ZSxjeSnLS/")</f>
        <v>https://vt.tiktok.com/ZSxjeSnLS/</v>
      </c>
      <c r="K205" s="262"/>
      <c r="L205" s="262"/>
      <c r="M205" s="262"/>
    </row>
    <row r="206">
      <c r="A206" s="255" t="str">
        <f>IFERROR(__xludf.DUMMYFUNCTION("""COMPUTED_VALUE"""),"NANO")</f>
        <v>NANO</v>
      </c>
      <c r="B206" s="23" t="str">
        <f>IFERROR(__xludf.DUMMYFUNCTION("""COMPUTED_VALUE"""),"asselicaa")</f>
        <v>asselicaa</v>
      </c>
      <c r="C206" s="257" t="str">
        <f>IFERROR(__xludf.DUMMYFUNCTION("""COMPUTED_VALUE"""),"https://www.tiktok.com/@asselicaa")</f>
        <v>https://www.tiktok.com/@asselicaa</v>
      </c>
      <c r="D206" s="23">
        <f>IFERROR(__xludf.DUMMYFUNCTION("""COMPUTED_VALUE"""),8.2262650889E10)</f>
        <v>82262650889</v>
      </c>
      <c r="E206" s="457">
        <f>IFERROR(__xludf.DUMMYFUNCTION("""COMPUTED_VALUE"""),0.0)</f>
        <v>0</v>
      </c>
      <c r="F206" s="270">
        <f>IFERROR(__xludf.DUMMYFUNCTION("""COMPUTED_VALUE"""),4.0)</f>
        <v>4</v>
      </c>
      <c r="G206" s="17" t="str">
        <f>IFERROR(__xludf.DUMMYFUNCTION("""COMPUTED_VALUE"""),"Full Set")</f>
        <v>Full Set</v>
      </c>
      <c r="H206" s="17"/>
      <c r="I206" s="262"/>
      <c r="J206" s="262"/>
      <c r="K206" s="262"/>
      <c r="L206" s="262"/>
      <c r="M206" s="262"/>
    </row>
    <row r="207">
      <c r="A207" s="255" t="str">
        <f>IFERROR(__xludf.DUMMYFUNCTION("""COMPUTED_VALUE"""),"NANO")</f>
        <v>NANO</v>
      </c>
      <c r="B207" s="23" t="str">
        <f>IFERROR(__xludf.DUMMYFUNCTION("""COMPUTED_VALUE"""),"gektu.tris")</f>
        <v>gektu.tris</v>
      </c>
      <c r="C207" s="257" t="str">
        <f>IFERROR(__xludf.DUMMYFUNCTION("""COMPUTED_VALUE"""),"https://www.tiktok.com/@gektu.tris")</f>
        <v>https://www.tiktok.com/@gektu.tris</v>
      </c>
      <c r="D207" s="23">
        <f>IFERROR(__xludf.DUMMYFUNCTION("""COMPUTED_VALUE"""),8.7856056995E10)</f>
        <v>87856056995</v>
      </c>
      <c r="E207" s="457">
        <f>IFERROR(__xludf.DUMMYFUNCTION("""COMPUTED_VALUE"""),0.0)</f>
        <v>0</v>
      </c>
      <c r="F207" s="270">
        <f>IFERROR(__xludf.DUMMYFUNCTION("""COMPUTED_VALUE"""),4.0)</f>
        <v>4</v>
      </c>
      <c r="G207" s="17" t="str">
        <f>IFERROR(__xludf.DUMMYFUNCTION("""COMPUTED_VALUE"""),"Full Set")</f>
        <v>Full Set</v>
      </c>
      <c r="H207" s="17"/>
      <c r="I207" s="278" t="str">
        <f>IFERROR(__xludf.DUMMYFUNCTION("""COMPUTED_VALUE"""),"https://www.tiktok.com/@gektu.tris/video/7638971203595652370?is_from_webapp=1&amp;sender_device=pc")</f>
        <v>https://www.tiktok.com/@gektu.tris/video/7638971203595652370?is_from_webapp=1&amp;sender_device=pc</v>
      </c>
      <c r="J207" s="278" t="str">
        <f>IFERROR(__xludf.DUMMYFUNCTION("""COMPUTED_VALUE"""),"https://www.tiktok.com/@gektu.tris/video/7639589453270355218?is_from_webapp=1&amp;sender_device=pc")</f>
        <v>https://www.tiktok.com/@gektu.tris/video/7639589453270355218?is_from_webapp=1&amp;sender_device=pc</v>
      </c>
      <c r="K207" s="278" t="str">
        <f>IFERROR(__xludf.DUMMYFUNCTION("""COMPUTED_VALUE"""),"https://www.tiktok.com/@gektu.tris/video/7640122739868699912?is_from_webapp=1&amp;sender_device=pc")</f>
        <v>https://www.tiktok.com/@gektu.tris/video/7640122739868699912?is_from_webapp=1&amp;sender_device=pc</v>
      </c>
      <c r="L207" s="278" t="str">
        <f>IFERROR(__xludf.DUMMYFUNCTION("""COMPUTED_VALUE"""),"https://vt.tiktok.com/ZSxqWP6H6/")</f>
        <v>https://vt.tiktok.com/ZSxqWP6H6/</v>
      </c>
      <c r="M207" s="262"/>
    </row>
    <row r="208">
      <c r="A208" s="255" t="str">
        <f>IFERROR(__xludf.DUMMYFUNCTION("""COMPUTED_VALUE"""),"NANO")</f>
        <v>NANO</v>
      </c>
      <c r="B208" s="23" t="str">
        <f>IFERROR(__xludf.DUMMYFUNCTION("""COMPUTED_VALUE"""),"ndcuuu")</f>
        <v>ndcuuu</v>
      </c>
      <c r="C208" s="257" t="str">
        <f>IFERROR(__xludf.DUMMYFUNCTION("""COMPUTED_VALUE"""),"https://www.tiktok.com/@ndcuuu")</f>
        <v>https://www.tiktok.com/@ndcuuu</v>
      </c>
      <c r="D208" s="23">
        <f>IFERROR(__xludf.DUMMYFUNCTION("""COMPUTED_VALUE"""),8.95610041243E11)</f>
        <v>895610041243</v>
      </c>
      <c r="E208" s="457">
        <f>IFERROR(__xludf.DUMMYFUNCTION("""COMPUTED_VALUE"""),0.0)</f>
        <v>0</v>
      </c>
      <c r="F208" s="270">
        <f>IFERROR(__xludf.DUMMYFUNCTION("""COMPUTED_VALUE"""),4.0)</f>
        <v>4</v>
      </c>
      <c r="G208" s="17" t="str">
        <f>IFERROR(__xludf.DUMMYFUNCTION("""COMPUTED_VALUE"""),"Full Set")</f>
        <v>Full Set</v>
      </c>
      <c r="H208" s="17"/>
      <c r="I208" s="278" t="str">
        <f>IFERROR(__xludf.DUMMYFUNCTION("""COMPUTED_VALUE"""),"https://www.tiktok.com/@ndcuuu/video/7635333279788322056?is_from_webapp=1&amp;sender_device=pc")</f>
        <v>https://www.tiktok.com/@ndcuuu/video/7635333279788322056?is_from_webapp=1&amp;sender_device=pc</v>
      </c>
      <c r="J208" s="262"/>
      <c r="K208" s="262"/>
      <c r="L208" s="262"/>
      <c r="M208" s="262"/>
    </row>
    <row r="209">
      <c r="A209" s="255" t="str">
        <f>IFERROR(__xludf.DUMMYFUNCTION("""COMPUTED_VALUE"""),"MICRO")</f>
        <v>MICRO</v>
      </c>
      <c r="B209" s="23" t="str">
        <f>IFERROR(__xludf.DUMMYFUNCTION("""COMPUTED_VALUE"""),"Secuil_sweetly")</f>
        <v>Secuil_sweetly</v>
      </c>
      <c r="C209" s="257" t="str">
        <f>IFERROR(__xludf.DUMMYFUNCTION("""COMPUTED_VALUE"""),"https://www.tiktok.com/@Secuil_sweetly")</f>
        <v>https://www.tiktok.com/@Secuil_sweetly</v>
      </c>
      <c r="D209" s="23">
        <f>IFERROR(__xludf.DUMMYFUNCTION("""COMPUTED_VALUE"""),8.1324106511E10)</f>
        <v>81324106511</v>
      </c>
      <c r="E209" s="457">
        <f>IFERROR(__xludf.DUMMYFUNCTION("""COMPUTED_VALUE"""),0.0)</f>
        <v>0</v>
      </c>
      <c r="F209" s="270">
        <f>IFERROR(__xludf.DUMMYFUNCTION("""COMPUTED_VALUE"""),4.0)</f>
        <v>4</v>
      </c>
      <c r="G209" s="17" t="str">
        <f>IFERROR(__xludf.DUMMYFUNCTION("""COMPUTED_VALUE"""),"Full Set")</f>
        <v>Full Set</v>
      </c>
      <c r="H209" s="17"/>
      <c r="I209" s="278" t="str">
        <f>IFERROR(__xludf.DUMMYFUNCTION("""COMPUTED_VALUE"""),"https://www.tiktok.com/@secuil_sweetly/video/7638845756614397204?is_from_webapp=1&amp;sender_device=pc")</f>
        <v>https://www.tiktok.com/@secuil_sweetly/video/7638845756614397204?is_from_webapp=1&amp;sender_device=pc</v>
      </c>
      <c r="J209" s="278" t="str">
        <f>IFERROR(__xludf.DUMMYFUNCTION("""COMPUTED_VALUE"""),"https://www.tiktok.com/@secuil_sweetly/video/7639231596867882260?is_from_webapp=1&amp;sender_device=pc")</f>
        <v>https://www.tiktok.com/@secuil_sweetly/video/7639231596867882260?is_from_webapp=1&amp;sender_device=pc</v>
      </c>
      <c r="K209" s="278" t="str">
        <f>IFERROR(__xludf.DUMMYFUNCTION("""COMPUTED_VALUE"""),"https://www.tiktok.com/@secuil_sweetly/video/7639993767067454740?is_from_webapp=1&amp;sender_device=pc")</f>
        <v>https://www.tiktok.com/@secuil_sweetly/video/7639993767067454740?is_from_webapp=1&amp;sender_device=pc</v>
      </c>
      <c r="L209" s="278" t="str">
        <f>IFERROR(__xludf.DUMMYFUNCTION("""COMPUTED_VALUE"""),"https://www.tiktok.com/@secuil_sweetly/video/7640687575547710741?is_from_webapp=1&amp;sender_device=pc")</f>
        <v>https://www.tiktok.com/@secuil_sweetly/video/7640687575547710741?is_from_webapp=1&amp;sender_device=pc</v>
      </c>
      <c r="M209" s="262"/>
    </row>
    <row r="210">
      <c r="A210" s="255" t="str">
        <f>IFERROR(__xludf.DUMMYFUNCTION("""COMPUTED_VALUE"""),"NANO")</f>
        <v>NANO</v>
      </c>
      <c r="B210" s="23" t="str">
        <f>IFERROR(__xludf.DUMMYFUNCTION("""COMPUTED_VALUE"""),"dailykurnia ")</f>
        <v>dailykurnia </v>
      </c>
      <c r="C210" s="257" t="str">
        <f>IFERROR(__xludf.DUMMYFUNCTION("""COMPUTED_VALUE"""),"https://www.tiktok.com/@dailykurnia ")</f>
        <v>https://www.tiktok.com/@dailykurnia </v>
      </c>
      <c r="D210" s="23">
        <f>IFERROR(__xludf.DUMMYFUNCTION("""COMPUTED_VALUE"""),8.1316791471E10)</f>
        <v>81316791471</v>
      </c>
      <c r="E210" s="457">
        <f>IFERROR(__xludf.DUMMYFUNCTION("""COMPUTED_VALUE"""),0.0)</f>
        <v>0</v>
      </c>
      <c r="F210" s="270">
        <f>IFERROR(__xludf.DUMMYFUNCTION("""COMPUTED_VALUE"""),4.0)</f>
        <v>4</v>
      </c>
      <c r="G210" s="17" t="str">
        <f>IFERROR(__xludf.DUMMYFUNCTION("""COMPUTED_VALUE"""),"Full Set")</f>
        <v>Full Set</v>
      </c>
      <c r="H210" s="17"/>
      <c r="I210" s="278" t="str">
        <f>IFERROR(__xludf.DUMMYFUNCTION("""COMPUTED_VALUE"""),"https://www.tiktok.com/@dailykurnia/video/7639352967157583122?is_from_webapp=1&amp;sender_device=pc")</f>
        <v>https://www.tiktok.com/@dailykurnia/video/7639352967157583122?is_from_webapp=1&amp;sender_device=pc</v>
      </c>
      <c r="J210" s="278" t="str">
        <f>IFERROR(__xludf.DUMMYFUNCTION("""COMPUTED_VALUE"""),"https://www.tiktok.com/@dailykurnia/video/7640078561059081479?is_from_webapp=1&amp;sender_device=pc")</f>
        <v>https://www.tiktok.com/@dailykurnia/video/7640078561059081479?is_from_webapp=1&amp;sender_device=pc</v>
      </c>
      <c r="K210" s="278" t="str">
        <f>IFERROR(__xludf.DUMMYFUNCTION("""COMPUTED_VALUE"""),"https://www.tiktok.com/@dailykurnia/video/7639626814092053778?is_from_webapp=1&amp;sender_device=pc")</f>
        <v>https://www.tiktok.com/@dailykurnia/video/7639626814092053778?is_from_webapp=1&amp;sender_device=pc</v>
      </c>
      <c r="L210" s="278" t="str">
        <f>IFERROR(__xludf.DUMMYFUNCTION("""COMPUTED_VALUE"""),"https://www.tiktok.com/@dailykurnia/video/7640649488192802066?is_from_webapp=1&amp;sender_device=pc")</f>
        <v>https://www.tiktok.com/@dailykurnia/video/7640649488192802066?is_from_webapp=1&amp;sender_device=pc</v>
      </c>
      <c r="M210" s="262"/>
    </row>
    <row r="211">
      <c r="A211" s="255" t="str">
        <f>IFERROR(__xludf.DUMMYFUNCTION("""COMPUTED_VALUE"""),"NANO")</f>
        <v>NANO</v>
      </c>
      <c r="B211" s="23" t="str">
        <f>IFERROR(__xludf.DUMMYFUNCTION("""COMPUTED_VALUE"""),"marsca_10")</f>
        <v>marsca_10</v>
      </c>
      <c r="C211" s="257" t="str">
        <f>IFERROR(__xludf.DUMMYFUNCTION("""COMPUTED_VALUE"""),"https://www.tiktok.com/@marsca_10")</f>
        <v>https://www.tiktok.com/@marsca_10</v>
      </c>
      <c r="D211" s="23">
        <f>IFERROR(__xludf.DUMMYFUNCTION("""COMPUTED_VALUE"""),8.2124131027E10)</f>
        <v>82124131027</v>
      </c>
      <c r="E211" s="457">
        <f>IFERROR(__xludf.DUMMYFUNCTION("""COMPUTED_VALUE"""),0.0)</f>
        <v>0</v>
      </c>
      <c r="F211" s="270">
        <f>IFERROR(__xludf.DUMMYFUNCTION("""COMPUTED_VALUE"""),4.0)</f>
        <v>4</v>
      </c>
      <c r="G211" s="17" t="str">
        <f>IFERROR(__xludf.DUMMYFUNCTION("""COMPUTED_VALUE"""),"Full Set")</f>
        <v>Full Set</v>
      </c>
      <c r="H211" s="17"/>
      <c r="I211" s="262"/>
      <c r="J211" s="262"/>
      <c r="K211" s="262"/>
      <c r="L211" s="262"/>
      <c r="M211" s="262"/>
    </row>
    <row r="212">
      <c r="A212" s="255" t="str">
        <f>IFERROR(__xludf.DUMMYFUNCTION("""COMPUTED_VALUE"""),"NANO")</f>
        <v>NANO</v>
      </c>
      <c r="B212" s="23" t="str">
        <f>IFERROR(__xludf.DUMMYFUNCTION("""COMPUTED_VALUE"""),"Falisha.chaca")</f>
        <v>Falisha.chaca</v>
      </c>
      <c r="C212" s="257" t="str">
        <f>IFERROR(__xludf.DUMMYFUNCTION("""COMPUTED_VALUE"""),"https://www.tiktok.com/@Falisha.chaca")</f>
        <v>https://www.tiktok.com/@Falisha.chaca</v>
      </c>
      <c r="D212" s="23">
        <f>IFERROR(__xludf.DUMMYFUNCTION("""COMPUTED_VALUE"""),8.9516150908E10)</f>
        <v>89516150908</v>
      </c>
      <c r="E212" s="457">
        <f>IFERROR(__xludf.DUMMYFUNCTION("""COMPUTED_VALUE"""),0.0)</f>
        <v>0</v>
      </c>
      <c r="F212" s="270">
        <f>IFERROR(__xludf.DUMMYFUNCTION("""COMPUTED_VALUE"""),4.0)</f>
        <v>4</v>
      </c>
      <c r="G212" s="17" t="str">
        <f>IFERROR(__xludf.DUMMYFUNCTION("""COMPUTED_VALUE"""),"Full Set")</f>
        <v>Full Set</v>
      </c>
      <c r="H212" s="17"/>
      <c r="I212" s="278" t="str">
        <f>IFERROR(__xludf.DUMMYFUNCTION("""COMPUTED_VALUE"""),"https://www.tiktok.com/@falisha.chaca/video/7641127658968927496?is_from_webapp=1&amp;sender_device=pc")</f>
        <v>https://www.tiktok.com/@falisha.chaca/video/7641127658968927496?is_from_webapp=1&amp;sender_device=pc</v>
      </c>
      <c r="J212" s="278" t="str">
        <f>IFERROR(__xludf.DUMMYFUNCTION("""COMPUTED_VALUE"""),"https://www.tiktok.com/@falisha.chaca/video/7642574607597260050?is_from_webapp=1&amp;sender_device=pc")</f>
        <v>https://www.tiktok.com/@falisha.chaca/video/7642574607597260050?is_from_webapp=1&amp;sender_device=pc</v>
      </c>
      <c r="K212" s="278" t="str">
        <f>IFERROR(__xludf.DUMMYFUNCTION("""COMPUTED_VALUE"""),"https://www.tiktok.com/@falisha.chaca/video/7642725751929720071?is_from_webapp=1&amp;sender_device=pc")</f>
        <v>https://www.tiktok.com/@falisha.chaca/video/7642725751929720071?is_from_webapp=1&amp;sender_device=pc</v>
      </c>
      <c r="L212" s="278" t="str">
        <f>IFERROR(__xludf.DUMMYFUNCTION("""COMPUTED_VALUE"""),"https://www.tiktok.com/@falisha.chaca/video/7642989702705974536?is_from_webapp=1&amp;sender_device=pc")</f>
        <v>https://www.tiktok.com/@falisha.chaca/video/7642989702705974536?is_from_webapp=1&amp;sender_device=pc</v>
      </c>
      <c r="M212" s="262"/>
    </row>
    <row r="213">
      <c r="A213" s="255" t="str">
        <f>IFERROR(__xludf.DUMMYFUNCTION("""COMPUTED_VALUE"""),"NANO")</f>
        <v>NANO</v>
      </c>
      <c r="B213" s="23" t="str">
        <f>IFERROR(__xludf.DUMMYFUNCTION("""COMPUTED_VALUE"""),"susanjuliana05")</f>
        <v>susanjuliana05</v>
      </c>
      <c r="C213" s="257" t="str">
        <f>IFERROR(__xludf.DUMMYFUNCTION("""COMPUTED_VALUE"""),"https://www.tiktok.com/@susanjuliana05")</f>
        <v>https://www.tiktok.com/@susanjuliana05</v>
      </c>
      <c r="D213" s="23">
        <f>IFERROR(__xludf.DUMMYFUNCTION("""COMPUTED_VALUE"""),8.5273343069E10)</f>
        <v>85273343069</v>
      </c>
      <c r="E213" s="457">
        <f>IFERROR(__xludf.DUMMYFUNCTION("""COMPUTED_VALUE"""),0.0)</f>
        <v>0</v>
      </c>
      <c r="F213" s="270">
        <f>IFERROR(__xludf.DUMMYFUNCTION("""COMPUTED_VALUE"""),4.0)</f>
        <v>4</v>
      </c>
      <c r="G213" s="17" t="str">
        <f>IFERROR(__xludf.DUMMYFUNCTION("""COMPUTED_VALUE"""),"Full Set")</f>
        <v>Full Set</v>
      </c>
      <c r="H213" s="17"/>
      <c r="I213" s="262"/>
      <c r="J213" s="262"/>
      <c r="K213" s="262"/>
      <c r="L213" s="262"/>
      <c r="M213" s="262"/>
    </row>
    <row r="214">
      <c r="A214" s="255" t="str">
        <f>IFERROR(__xludf.DUMMYFUNCTION("""COMPUTED_VALUE"""),"NANO")</f>
        <v>NANO</v>
      </c>
      <c r="B214" s="23" t="str">
        <f>IFERROR(__xludf.DUMMYFUNCTION("""COMPUTED_VALUE"""),"_nhacyaaya")</f>
        <v>_nhacyaaya</v>
      </c>
      <c r="C214" s="257" t="str">
        <f>IFERROR(__xludf.DUMMYFUNCTION("""COMPUTED_VALUE"""),"https://www.tiktok.com/@_nhacyaaya")</f>
        <v>https://www.tiktok.com/@_nhacyaaya</v>
      </c>
      <c r="D214" s="23">
        <f>IFERROR(__xludf.DUMMYFUNCTION("""COMPUTED_VALUE"""),8.5141363515E10)</f>
        <v>85141363515</v>
      </c>
      <c r="E214" s="457">
        <f>IFERROR(__xludf.DUMMYFUNCTION("""COMPUTED_VALUE"""),0.0)</f>
        <v>0</v>
      </c>
      <c r="F214" s="270">
        <f>IFERROR(__xludf.DUMMYFUNCTION("""COMPUTED_VALUE"""),4.0)</f>
        <v>4</v>
      </c>
      <c r="G214" s="17" t="str">
        <f>IFERROR(__xludf.DUMMYFUNCTION("""COMPUTED_VALUE"""),"Full Set")</f>
        <v>Full Set</v>
      </c>
      <c r="H214" s="17"/>
      <c r="I214" s="278" t="str">
        <f>IFERROR(__xludf.DUMMYFUNCTION("""COMPUTED_VALUE"""),"https://www.tiktok.com/@_nhacyaaya/video/7639613730174569748?is_from_webapp=1&amp;sender_device=pc")</f>
        <v>https://www.tiktok.com/@_nhacyaaya/video/7639613730174569748?is_from_webapp=1&amp;sender_device=pc</v>
      </c>
      <c r="J214" s="262"/>
      <c r="K214" s="262"/>
      <c r="L214" s="262"/>
      <c r="M214" s="262"/>
    </row>
    <row r="215">
      <c r="A215" s="255" t="str">
        <f>IFERROR(__xludf.DUMMYFUNCTION("""COMPUTED_VALUE"""),"NANO")</f>
        <v>NANO</v>
      </c>
      <c r="B215" s="23" t="str">
        <f>IFERROR(__xludf.DUMMYFUNCTION("""COMPUTED_VALUE"""),"Girlstuffs21")</f>
        <v>Girlstuffs21</v>
      </c>
      <c r="C215" s="257" t="str">
        <f>IFERROR(__xludf.DUMMYFUNCTION("""COMPUTED_VALUE"""),"https://www.tiktok.com/@Girlstuffs21")</f>
        <v>https://www.tiktok.com/@Girlstuffs21</v>
      </c>
      <c r="D215" s="23">
        <f>IFERROR(__xludf.DUMMYFUNCTION("""COMPUTED_VALUE"""),8.9686888094E10)</f>
        <v>89686888094</v>
      </c>
      <c r="E215" s="457">
        <f>IFERROR(__xludf.DUMMYFUNCTION("""COMPUTED_VALUE"""),0.0)</f>
        <v>0</v>
      </c>
      <c r="F215" s="270">
        <f>IFERROR(__xludf.DUMMYFUNCTION("""COMPUTED_VALUE"""),4.0)</f>
        <v>4</v>
      </c>
      <c r="G215" s="17" t="str">
        <f>IFERROR(__xludf.DUMMYFUNCTION("""COMPUTED_VALUE"""),"Full Set")</f>
        <v>Full Set</v>
      </c>
      <c r="H215" s="17"/>
      <c r="I215" s="278" t="str">
        <f>IFERROR(__xludf.DUMMYFUNCTION("""COMPUTED_VALUE"""),"https://www.tiktok.com/@girlstuffs21/video/7637955323923287316?is_from_webapp=1&amp;sender_device=pc")</f>
        <v>https://www.tiktok.com/@girlstuffs21/video/7637955323923287316?is_from_webapp=1&amp;sender_device=pc</v>
      </c>
      <c r="J215" s="278" t="str">
        <f>IFERROR(__xludf.DUMMYFUNCTION("""COMPUTED_VALUE"""),"https://www.tiktok.com/@girlstuffs21/video/7639165476676848917?is_from_webapp=1&amp;sender_device=pc")</f>
        <v>https://www.tiktok.com/@girlstuffs21/video/7639165476676848917?is_from_webapp=1&amp;sender_device=pc</v>
      </c>
      <c r="K215" s="278" t="str">
        <f>IFERROR(__xludf.DUMMYFUNCTION("""COMPUTED_VALUE"""),"https://www.tiktok.com/@girlstuffs21/video/7642097725042969876?is_from_webapp=1&amp;sender_device=pc")</f>
        <v>https://www.tiktok.com/@girlstuffs21/video/7642097725042969876?is_from_webapp=1&amp;sender_device=pc</v>
      </c>
      <c r="L215" s="278" t="str">
        <f>IFERROR(__xludf.DUMMYFUNCTION("""COMPUTED_VALUE"""),"https://www.tiktok.com/@girlstuffs21/video/7642442258008100116?is_from_webapp=1&amp;sender_device=pc")</f>
        <v>https://www.tiktok.com/@girlstuffs21/video/7642442258008100116?is_from_webapp=1&amp;sender_device=pc</v>
      </c>
      <c r="M215" s="262"/>
    </row>
    <row r="216">
      <c r="A216" s="255" t="str">
        <f>IFERROR(__xludf.DUMMYFUNCTION("""COMPUTED_VALUE"""),"MICRO")</f>
        <v>MICRO</v>
      </c>
      <c r="B216" s="23" t="str">
        <f>IFERROR(__xludf.DUMMYFUNCTION("""COMPUTED_VALUE"""),"nunnadesi97")</f>
        <v>nunnadesi97</v>
      </c>
      <c r="C216" s="257" t="str">
        <f>IFERROR(__xludf.DUMMYFUNCTION("""COMPUTED_VALUE"""),"https://www.tiktok.com/@nunnadesi97")</f>
        <v>https://www.tiktok.com/@nunnadesi97</v>
      </c>
      <c r="D216" s="23"/>
      <c r="E216" s="457">
        <f>IFERROR(__xludf.DUMMYFUNCTION("""COMPUTED_VALUE"""),100000.0)</f>
        <v>100000</v>
      </c>
      <c r="F216" s="270">
        <f>IFERROR(__xludf.DUMMYFUNCTION("""COMPUTED_VALUE"""),4.0)</f>
        <v>4</v>
      </c>
      <c r="G216" s="17" t="str">
        <f>IFERROR(__xludf.DUMMYFUNCTION("""COMPUTED_VALUE"""),"Full Set")</f>
        <v>Full Set</v>
      </c>
      <c r="H216" s="17"/>
      <c r="I216" s="262"/>
      <c r="J216" s="262"/>
      <c r="K216" s="262"/>
      <c r="L216" s="262"/>
      <c r="M216" s="262"/>
    </row>
    <row r="217">
      <c r="A217" s="255" t="str">
        <f>IFERROR(__xludf.DUMMYFUNCTION("""COMPUTED_VALUE"""),"MACRO")</f>
        <v>MACRO</v>
      </c>
      <c r="B217" s="23" t="str">
        <f>IFERROR(__xludf.DUMMYFUNCTION("""COMPUTED_VALUE"""),"review_unaa")</f>
        <v>review_unaa</v>
      </c>
      <c r="C217" s="257" t="str">
        <f>IFERROR(__xludf.DUMMYFUNCTION("""COMPUTED_VALUE"""),"https://www.tiktok.com/@review_unaa")</f>
        <v>https://www.tiktok.com/@review_unaa</v>
      </c>
      <c r="D217" s="23">
        <f>IFERROR(__xludf.DUMMYFUNCTION("""COMPUTED_VALUE"""),8.9608699601E10)</f>
        <v>89608699601</v>
      </c>
      <c r="E217" s="457">
        <f>IFERROR(__xludf.DUMMYFUNCTION("""COMPUTED_VALUE"""),100000.0)</f>
        <v>100000</v>
      </c>
      <c r="F217" s="270">
        <f>IFERROR(__xludf.DUMMYFUNCTION("""COMPUTED_VALUE"""),4.0)</f>
        <v>4</v>
      </c>
      <c r="G217" s="17" t="str">
        <f>IFERROR(__xludf.DUMMYFUNCTION("""COMPUTED_VALUE"""),"Full Set")</f>
        <v>Full Set</v>
      </c>
      <c r="H217" s="17"/>
      <c r="I217" s="262"/>
      <c r="J217" s="262"/>
      <c r="K217" s="262"/>
      <c r="L217" s="262"/>
      <c r="M217" s="262"/>
    </row>
    <row r="218">
      <c r="A218" s="255" t="str">
        <f>IFERROR(__xludf.DUMMYFUNCTION("""COMPUTED_VALUE"""),"NANO")</f>
        <v>NANO</v>
      </c>
      <c r="B218" s="23" t="str">
        <f>IFERROR(__xludf.DUMMYFUNCTION("""COMPUTED_VALUE"""),"putvireview")</f>
        <v>putvireview</v>
      </c>
      <c r="C218" s="257" t="str">
        <f>IFERROR(__xludf.DUMMYFUNCTION("""COMPUTED_VALUE"""),"https://www.tiktok.com/@putvireview")</f>
        <v>https://www.tiktok.com/@putvireview</v>
      </c>
      <c r="D218" s="23">
        <f>IFERROR(__xludf.DUMMYFUNCTION("""COMPUTED_VALUE"""),8.1360120255E10)</f>
        <v>81360120255</v>
      </c>
      <c r="E218" s="457">
        <f>IFERROR(__xludf.DUMMYFUNCTION("""COMPUTED_VALUE"""),50000.0)</f>
        <v>50000</v>
      </c>
      <c r="F218" s="270">
        <f>IFERROR(__xludf.DUMMYFUNCTION("""COMPUTED_VALUE"""),4.0)</f>
        <v>4</v>
      </c>
      <c r="G218" s="17" t="str">
        <f>IFERROR(__xludf.DUMMYFUNCTION("""COMPUTED_VALUE"""),"Full Set")</f>
        <v>Full Set</v>
      </c>
      <c r="H218" s="17"/>
      <c r="I218" s="262"/>
      <c r="J218" s="262"/>
      <c r="K218" s="262"/>
      <c r="L218" s="262"/>
      <c r="M218" s="262"/>
    </row>
    <row r="219">
      <c r="A219" s="255" t="str">
        <f>IFERROR(__xludf.DUMMYFUNCTION("""COMPUTED_VALUE"""),"MACRO")</f>
        <v>MACRO</v>
      </c>
      <c r="B219" s="23" t="str">
        <f>IFERROR(__xludf.DUMMYFUNCTION("""COMPUTED_VALUE"""),"raninuraeni143")</f>
        <v>raninuraeni143</v>
      </c>
      <c r="C219" s="257" t="str">
        <f>IFERROR(__xludf.DUMMYFUNCTION("""COMPUTED_VALUE"""),"https://www.tiktok.com/@raninuraeni143")</f>
        <v>https://www.tiktok.com/@raninuraeni143</v>
      </c>
      <c r="D219" s="23">
        <f>IFERROR(__xludf.DUMMYFUNCTION("""COMPUTED_VALUE"""),8.1460921508E10)</f>
        <v>81460921508</v>
      </c>
      <c r="E219" s="457">
        <f>IFERROR(__xludf.DUMMYFUNCTION("""COMPUTED_VALUE"""),100000.0)</f>
        <v>100000</v>
      </c>
      <c r="F219" s="270">
        <f>IFERROR(__xludf.DUMMYFUNCTION("""COMPUTED_VALUE"""),4.0)</f>
        <v>4</v>
      </c>
      <c r="G219" s="17" t="str">
        <f>IFERROR(__xludf.DUMMYFUNCTION("""COMPUTED_VALUE"""),"Full Set")</f>
        <v>Full Set</v>
      </c>
      <c r="H219" s="17"/>
      <c r="I219" s="262"/>
      <c r="J219" s="262"/>
      <c r="K219" s="262"/>
      <c r="L219" s="262"/>
      <c r="M219" s="262"/>
    </row>
    <row r="220">
      <c r="A220" s="255" t="str">
        <f>IFERROR(__xludf.DUMMYFUNCTION("""COMPUTED_VALUE"""),"NANO")</f>
        <v>NANO</v>
      </c>
      <c r="B220" s="23" t="str">
        <f>IFERROR(__xludf.DUMMYFUNCTION("""COMPUTED_VALUE"""),"palugada733")</f>
        <v>palugada733</v>
      </c>
      <c r="C220" s="257" t="str">
        <f>IFERROR(__xludf.DUMMYFUNCTION("""COMPUTED_VALUE"""),"https://www.tiktok.com/@palugada733")</f>
        <v>https://www.tiktok.com/@palugada733</v>
      </c>
      <c r="D220" s="23">
        <f>IFERROR(__xludf.DUMMYFUNCTION("""COMPUTED_VALUE"""),8.7871193019E10)</f>
        <v>87871193019</v>
      </c>
      <c r="E220" s="457">
        <f>IFERROR(__xludf.DUMMYFUNCTION("""COMPUTED_VALUE"""),50000.0)</f>
        <v>50000</v>
      </c>
      <c r="F220" s="270">
        <f>IFERROR(__xludf.DUMMYFUNCTION("""COMPUTED_VALUE"""),4.0)</f>
        <v>4</v>
      </c>
      <c r="G220" s="17" t="str">
        <f>IFERROR(__xludf.DUMMYFUNCTION("""COMPUTED_VALUE"""),"Full Set")</f>
        <v>Full Set</v>
      </c>
      <c r="H220" s="17"/>
      <c r="I220" s="278" t="str">
        <f>IFERROR(__xludf.DUMMYFUNCTION("""COMPUTED_VALUE"""),"https://www.tiktok.com/@palugada733/video/7643734880282578194?is_from_webapp=1&amp;sender_device=pc")</f>
        <v>https://www.tiktok.com/@palugada733/video/7643734880282578194?is_from_webapp=1&amp;sender_device=pc</v>
      </c>
      <c r="J220" s="262"/>
      <c r="K220" s="262"/>
      <c r="L220" s="262"/>
      <c r="M220" s="262"/>
    </row>
    <row r="221">
      <c r="A221" s="255" t="str">
        <f>IFERROR(__xludf.DUMMYFUNCTION("""COMPUTED_VALUE"""),"NANO")</f>
        <v>NANO</v>
      </c>
      <c r="B221" s="23" t="str">
        <f>IFERROR(__xludf.DUMMYFUNCTION("""COMPUTED_VALUE"""),"rahma_shaqile1")</f>
        <v>rahma_shaqile1</v>
      </c>
      <c r="C221" s="257" t="str">
        <f>IFERROR(__xludf.DUMMYFUNCTION("""COMPUTED_VALUE"""),"https://www.tiktok.com/@rahma_shaqile1")</f>
        <v>https://www.tiktok.com/@rahma_shaqile1</v>
      </c>
      <c r="D221" s="23">
        <f>IFERROR(__xludf.DUMMYFUNCTION("""COMPUTED_VALUE"""),8.5881922546E10)</f>
        <v>85881922546</v>
      </c>
      <c r="E221" s="457">
        <f>IFERROR(__xludf.DUMMYFUNCTION("""COMPUTED_VALUE"""),50000.0)</f>
        <v>50000</v>
      </c>
      <c r="F221" s="270">
        <f>IFERROR(__xludf.DUMMYFUNCTION("""COMPUTED_VALUE"""),4.0)</f>
        <v>4</v>
      </c>
      <c r="G221" s="17" t="str">
        <f>IFERROR(__xludf.DUMMYFUNCTION("""COMPUTED_VALUE"""),"Full Set")</f>
        <v>Full Set</v>
      </c>
      <c r="H221" s="17"/>
      <c r="I221" s="278" t="str">
        <f>IFERROR(__xludf.DUMMYFUNCTION("""COMPUTED_VALUE"""),"https://www.tiktok.com/@rahma_shaqile1/video/7643794371120286993?is_from_webapp=1&amp;sender_device=pc")</f>
        <v>https://www.tiktok.com/@rahma_shaqile1/video/7643794371120286993?is_from_webapp=1&amp;sender_device=pc</v>
      </c>
      <c r="J221" s="262"/>
      <c r="K221" s="262"/>
      <c r="L221" s="262"/>
      <c r="M221" s="262"/>
    </row>
    <row r="222">
      <c r="A222" s="255" t="str">
        <f>IFERROR(__xludf.DUMMYFUNCTION("""COMPUTED_VALUE"""),"MACRO")</f>
        <v>MACRO</v>
      </c>
      <c r="B222" s="23" t="str">
        <f>IFERROR(__xludf.DUMMYFUNCTION("""COMPUTED_VALUE"""),"pumpkinscarf")</f>
        <v>pumpkinscarf</v>
      </c>
      <c r="C222" s="257" t="str">
        <f>IFERROR(__xludf.DUMMYFUNCTION("""COMPUTED_VALUE"""),"https://www.tiktok.com/@pumpkinscarf")</f>
        <v>https://www.tiktok.com/@pumpkinscarf</v>
      </c>
      <c r="D222" s="23">
        <f>IFERROR(__xludf.DUMMYFUNCTION("""COMPUTED_VALUE"""),8.5700060082E10)</f>
        <v>85700060082</v>
      </c>
      <c r="E222" s="457">
        <f>IFERROR(__xludf.DUMMYFUNCTION("""COMPUTED_VALUE"""),100000.0)</f>
        <v>100000</v>
      </c>
      <c r="F222" s="270">
        <f>IFERROR(__xludf.DUMMYFUNCTION("""COMPUTED_VALUE"""),4.0)</f>
        <v>4</v>
      </c>
      <c r="G222" s="17" t="str">
        <f>IFERROR(__xludf.DUMMYFUNCTION("""COMPUTED_VALUE"""),"Full Set")</f>
        <v>Full Set</v>
      </c>
      <c r="H222" s="17"/>
      <c r="I222" s="262"/>
      <c r="J222" s="262"/>
      <c r="K222" s="262"/>
      <c r="L222" s="262"/>
      <c r="M222" s="262"/>
    </row>
    <row r="223">
      <c r="A223" s="255" t="str">
        <f>IFERROR(__xludf.DUMMYFUNCTION("""COMPUTED_VALUE"""),"NANO")</f>
        <v>NANO</v>
      </c>
      <c r="B223" s="23" t="str">
        <f>IFERROR(__xludf.DUMMYFUNCTION("""COMPUTED_VALUE"""),"alyaaaair")</f>
        <v>alyaaaair</v>
      </c>
      <c r="C223" s="257" t="str">
        <f>IFERROR(__xludf.DUMMYFUNCTION("""COMPUTED_VALUE"""),"https://www.tiktok.com/@alyaaaair")</f>
        <v>https://www.tiktok.com/@alyaaaair</v>
      </c>
      <c r="D223" s="23">
        <f>IFERROR(__xludf.DUMMYFUNCTION("""COMPUTED_VALUE"""),8.8215651668E10)</f>
        <v>88215651668</v>
      </c>
      <c r="E223" s="457">
        <f>IFERROR(__xludf.DUMMYFUNCTION("""COMPUTED_VALUE"""),50000.0)</f>
        <v>50000</v>
      </c>
      <c r="F223" s="270">
        <f>IFERROR(__xludf.DUMMYFUNCTION("""COMPUTED_VALUE"""),4.0)</f>
        <v>4</v>
      </c>
      <c r="G223" s="17" t="str">
        <f>IFERROR(__xludf.DUMMYFUNCTION("""COMPUTED_VALUE"""),"Full Set")</f>
        <v>Full Set</v>
      </c>
      <c r="H223" s="17"/>
      <c r="I223" s="278" t="str">
        <f>IFERROR(__xludf.DUMMYFUNCTION("""COMPUTED_VALUE"""),"https://www.tiktok.com/@alyaaaair/video/7642580570018516244?is_from_webapp=1&amp;sender_device=pc")</f>
        <v>https://www.tiktok.com/@alyaaaair/video/7642580570018516244?is_from_webapp=1&amp;sender_device=pc</v>
      </c>
      <c r="J223" s="278" t="str">
        <f>IFERROR(__xludf.DUMMYFUNCTION("""COMPUTED_VALUE"""),"https://www.tiktok.com/@alyaaaair/video/7643289296656403733?is_from_webapp=1&amp;sender_device=pc")</f>
        <v>https://www.tiktok.com/@alyaaaair/video/7643289296656403733?is_from_webapp=1&amp;sender_device=pc</v>
      </c>
      <c r="K223" s="278" t="str">
        <f>IFERROR(__xludf.DUMMYFUNCTION("""COMPUTED_VALUE"""),"https://www.tiktok.com/@alyaaaair/video/7644079891083824405?is_from_webapp=1&amp;sender_device=pc")</f>
        <v>https://www.tiktok.com/@alyaaaair/video/7644079891083824405?is_from_webapp=1&amp;sender_device=pc</v>
      </c>
      <c r="L223" s="262"/>
      <c r="M223" s="262"/>
    </row>
    <row r="224">
      <c r="A224" s="255" t="str">
        <f>IFERROR(__xludf.DUMMYFUNCTION("""COMPUTED_VALUE"""),"NANO")</f>
        <v>NANO</v>
      </c>
      <c r="B224" s="23" t="str">
        <f>IFERROR(__xludf.DUMMYFUNCTION("""COMPUTED_VALUE"""),"elynovitaaaa")</f>
        <v>elynovitaaaa</v>
      </c>
      <c r="C224" s="257" t="str">
        <f>IFERROR(__xludf.DUMMYFUNCTION("""COMPUTED_VALUE"""),"https://www.tiktok.com/@elynovitaaaa")</f>
        <v>https://www.tiktok.com/@elynovitaaaa</v>
      </c>
      <c r="D224" s="23">
        <f>IFERROR(__xludf.DUMMYFUNCTION("""COMPUTED_VALUE"""),8.95639006449E11)</f>
        <v>895639006449</v>
      </c>
      <c r="E224" s="457">
        <f>IFERROR(__xludf.DUMMYFUNCTION("""COMPUTED_VALUE"""),50000.0)</f>
        <v>50000</v>
      </c>
      <c r="F224" s="270">
        <f>IFERROR(__xludf.DUMMYFUNCTION("""COMPUTED_VALUE"""),4.0)</f>
        <v>4</v>
      </c>
      <c r="G224" s="17" t="str">
        <f>IFERROR(__xludf.DUMMYFUNCTION("""COMPUTED_VALUE"""),"Full Set")</f>
        <v>Full Set</v>
      </c>
      <c r="H224" s="17"/>
      <c r="I224" s="262"/>
      <c r="J224" s="262"/>
      <c r="K224" s="262"/>
      <c r="L224" s="262"/>
      <c r="M224" s="262"/>
    </row>
    <row r="225">
      <c r="A225" s="255" t="str">
        <f>IFERROR(__xludf.DUMMYFUNCTION("""COMPUTED_VALUE"""),"MICRO")</f>
        <v>MICRO</v>
      </c>
      <c r="B225" s="23" t="str">
        <f>IFERROR(__xludf.DUMMYFUNCTION("""COMPUTED_VALUE"""),"kamily_8512")</f>
        <v>kamily_8512</v>
      </c>
      <c r="C225" s="257" t="str">
        <f>IFERROR(__xludf.DUMMYFUNCTION("""COMPUTED_VALUE"""),"https://www.tiktok.com/@kamily_8512")</f>
        <v>https://www.tiktok.com/@kamily_8512</v>
      </c>
      <c r="D225" s="23">
        <f>IFERROR(__xludf.DUMMYFUNCTION("""COMPUTED_VALUE"""),8.5136812123E10)</f>
        <v>85136812123</v>
      </c>
      <c r="E225" s="457">
        <f>IFERROR(__xludf.DUMMYFUNCTION("""COMPUTED_VALUE"""),100000.0)</f>
        <v>100000</v>
      </c>
      <c r="F225" s="270">
        <f>IFERROR(__xludf.DUMMYFUNCTION("""COMPUTED_VALUE"""),4.0)</f>
        <v>4</v>
      </c>
      <c r="G225" s="17" t="str">
        <f>IFERROR(__xludf.DUMMYFUNCTION("""COMPUTED_VALUE"""),"Full Set")</f>
        <v>Full Set</v>
      </c>
      <c r="H225" s="17"/>
      <c r="I225" s="278" t="str">
        <f>IFERROR(__xludf.DUMMYFUNCTION("""COMPUTED_VALUE"""),"https://www.tiktok.com/@kamily_8512/video/7639687594845932807?is_from_webapp=1&amp;sender_device=pc")</f>
        <v>https://www.tiktok.com/@kamily_8512/video/7639687594845932807?is_from_webapp=1&amp;sender_device=pc</v>
      </c>
      <c r="J225" s="278" t="str">
        <f>IFERROR(__xludf.DUMMYFUNCTION("""COMPUTED_VALUE"""),"https://www.tiktok.com/@kamily_8512/video/7641595299537931527?is_from_webapp=1&amp;sender_device=pc")</f>
        <v>https://www.tiktok.com/@kamily_8512/video/7641595299537931527?is_from_webapp=1&amp;sender_device=pc</v>
      </c>
      <c r="K225" s="262"/>
      <c r="L225" s="262"/>
      <c r="M225" s="262"/>
    </row>
    <row r="226">
      <c r="A226" s="255" t="str">
        <f>IFERROR(__xludf.DUMMYFUNCTION("""COMPUTED_VALUE"""),"NANO")</f>
        <v>NANO</v>
      </c>
      <c r="B226" s="23" t="str">
        <f>IFERROR(__xludf.DUMMYFUNCTION("""COMPUTED_VALUE"""),"Dianace_")</f>
        <v>Dianace_</v>
      </c>
      <c r="C226" s="257" t="str">
        <f>IFERROR(__xludf.DUMMYFUNCTION("""COMPUTED_VALUE"""),"https://www.tiktok.com/@Dianace_")</f>
        <v>https://www.tiktok.com/@Dianace_</v>
      </c>
      <c r="D226" s="23">
        <f>IFERROR(__xludf.DUMMYFUNCTION("""COMPUTED_VALUE"""),8.788509655E10)</f>
        <v>87885096550</v>
      </c>
      <c r="E226" s="457">
        <f>IFERROR(__xludf.DUMMYFUNCTION("""COMPUTED_VALUE"""),0.0)</f>
        <v>0</v>
      </c>
      <c r="F226" s="270">
        <f>IFERROR(__xludf.DUMMYFUNCTION("""COMPUTED_VALUE"""),4.0)</f>
        <v>4</v>
      </c>
      <c r="G226" s="17" t="str">
        <f>IFERROR(__xludf.DUMMYFUNCTION("""COMPUTED_VALUE"""),"Full Set")</f>
        <v>Full Set</v>
      </c>
      <c r="H226" s="17"/>
      <c r="I226" s="278" t="str">
        <f>IFERROR(__xludf.DUMMYFUNCTION("""COMPUTED_VALUE"""),"https://www.tiktok.com/@dianace_/video/7639735787541581064?is_from_webapp=1&amp;sender_device=pc")</f>
        <v>https://www.tiktok.com/@dianace_/video/7639735787541581064?is_from_webapp=1&amp;sender_device=pc</v>
      </c>
      <c r="J226" s="278" t="str">
        <f>IFERROR(__xludf.DUMMYFUNCTION("""COMPUTED_VALUE"""),"https://www.tiktok.com/@dianace_/video/7640845083356433672?is_from_webapp=1&amp;sender_device=pc")</f>
        <v>https://www.tiktok.com/@dianace_/video/7640845083356433672?is_from_webapp=1&amp;sender_device=pc</v>
      </c>
      <c r="K226" s="278" t="str">
        <f>IFERROR(__xludf.DUMMYFUNCTION("""COMPUTED_VALUE"""),"https://www.tiktok.com/@dianace_/video/7642177833720188178?is_from_webapp=1&amp;sender_device=pc")</f>
        <v>https://www.tiktok.com/@dianace_/video/7642177833720188178?is_from_webapp=1&amp;sender_device=pc</v>
      </c>
      <c r="L226" s="262"/>
      <c r="M226" s="262"/>
    </row>
    <row r="227">
      <c r="A227" s="255" t="str">
        <f>IFERROR(__xludf.DUMMYFUNCTION("""COMPUTED_VALUE"""),"NANO")</f>
        <v>NANO</v>
      </c>
      <c r="B227" s="23" t="str">
        <f>IFERROR(__xludf.DUMMYFUNCTION("""COMPUTED_VALUE"""),"ptyxrz0")</f>
        <v>ptyxrz0</v>
      </c>
      <c r="C227" s="257" t="str">
        <f>IFERROR(__xludf.DUMMYFUNCTION("""COMPUTED_VALUE"""),"https://www.tiktok.com/@ptyxrz0")</f>
        <v>https://www.tiktok.com/@ptyxrz0</v>
      </c>
      <c r="D227" s="23">
        <f>IFERROR(__xludf.DUMMYFUNCTION("""COMPUTED_VALUE"""),8.1231804548E10)</f>
        <v>81231804548</v>
      </c>
      <c r="E227" s="457">
        <f>IFERROR(__xludf.DUMMYFUNCTION("""COMPUTED_VALUE"""),0.0)</f>
        <v>0</v>
      </c>
      <c r="F227" s="270">
        <f>IFERROR(__xludf.DUMMYFUNCTION("""COMPUTED_VALUE"""),4.0)</f>
        <v>4</v>
      </c>
      <c r="G227" s="17" t="str">
        <f>IFERROR(__xludf.DUMMYFUNCTION("""COMPUTED_VALUE"""),"Full Set")</f>
        <v>Full Set</v>
      </c>
      <c r="H227" s="17"/>
      <c r="I227" s="262"/>
      <c r="J227" s="262"/>
      <c r="K227" s="262"/>
      <c r="L227" s="262"/>
      <c r="M227" s="262"/>
    </row>
    <row r="228">
      <c r="A228" s="255" t="str">
        <f>IFERROR(__xludf.DUMMYFUNCTION("""COMPUTED_VALUE"""),"NANO")</f>
        <v>NANO</v>
      </c>
      <c r="B228" s="23" t="str">
        <f>IFERROR(__xludf.DUMMYFUNCTION("""COMPUTED_VALUE"""),"Spillby.luna")</f>
        <v>Spillby.luna</v>
      </c>
      <c r="C228" s="257" t="str">
        <f>IFERROR(__xludf.DUMMYFUNCTION("""COMPUTED_VALUE"""),"https://www.tiktok.com/@Spillby.luna")</f>
        <v>https://www.tiktok.com/@Spillby.luna</v>
      </c>
      <c r="D228" s="23">
        <f>IFERROR(__xludf.DUMMYFUNCTION("""COMPUTED_VALUE"""),8.7701682318E10)</f>
        <v>87701682318</v>
      </c>
      <c r="E228" s="457">
        <f>IFERROR(__xludf.DUMMYFUNCTION("""COMPUTED_VALUE"""),0.0)</f>
        <v>0</v>
      </c>
      <c r="F228" s="270">
        <f>IFERROR(__xludf.DUMMYFUNCTION("""COMPUTED_VALUE"""),4.0)</f>
        <v>4</v>
      </c>
      <c r="G228" s="17" t="str">
        <f>IFERROR(__xludf.DUMMYFUNCTION("""COMPUTED_VALUE"""),"Full Set")</f>
        <v>Full Set</v>
      </c>
      <c r="H228" s="17"/>
      <c r="I228" s="278" t="str">
        <f>IFERROR(__xludf.DUMMYFUNCTION("""COMPUTED_VALUE"""),"https://www.tiktok.com/@spillby.luna/video/7641160931489238289?is_from_webapp=1&amp;sender_device=pc")</f>
        <v>https://www.tiktok.com/@spillby.luna/video/7641160931489238289?is_from_webapp=1&amp;sender_device=pc</v>
      </c>
      <c r="J228" s="278" t="str">
        <f>IFERROR(__xludf.DUMMYFUNCTION("""COMPUTED_VALUE"""),"https://www.tiktok.com/@spillby.luna/video/7641843391688494352?is_from_webapp=1&amp;sender_device=pc")</f>
        <v>https://www.tiktok.com/@spillby.luna/video/7641843391688494352?is_from_webapp=1&amp;sender_device=pc</v>
      </c>
      <c r="K228" s="278" t="str">
        <f>IFERROR(__xludf.DUMMYFUNCTION("""COMPUTED_VALUE"""),"https://www.tiktok.com/@spillby.luna/video/7642347253805419792?is_from_webapp=1&amp;sender_device=pc")</f>
        <v>https://www.tiktok.com/@spillby.luna/video/7642347253805419792?is_from_webapp=1&amp;sender_device=pc</v>
      </c>
      <c r="L228" s="262"/>
      <c r="M228" s="262"/>
    </row>
    <row r="229">
      <c r="A229" s="255" t="str">
        <f>IFERROR(__xludf.DUMMYFUNCTION("""COMPUTED_VALUE"""),"NANO")</f>
        <v>NANO</v>
      </c>
      <c r="B229" s="23" t="str">
        <f>IFERROR(__xludf.DUMMYFUNCTION("""COMPUTED_VALUE"""),"chafastore_ ")</f>
        <v>chafastore_ </v>
      </c>
      <c r="C229" s="257" t="str">
        <f>IFERROR(__xludf.DUMMYFUNCTION("""COMPUTED_VALUE"""),"https://www.tiktok.com/@chafastore_ ")</f>
        <v>https://www.tiktok.com/@chafastore_ </v>
      </c>
      <c r="D229" s="23">
        <f>IFERROR(__xludf.DUMMYFUNCTION("""COMPUTED_VALUE"""),8.5169564234E10)</f>
        <v>85169564234</v>
      </c>
      <c r="E229" s="457">
        <f>IFERROR(__xludf.DUMMYFUNCTION("""COMPUTED_VALUE"""),0.0)</f>
        <v>0</v>
      </c>
      <c r="F229" s="270">
        <f>IFERROR(__xludf.DUMMYFUNCTION("""COMPUTED_VALUE"""),4.0)</f>
        <v>4</v>
      </c>
      <c r="G229" s="17" t="str">
        <f>IFERROR(__xludf.DUMMYFUNCTION("""COMPUTED_VALUE"""),"Full Set")</f>
        <v>Full Set</v>
      </c>
      <c r="H229" s="17"/>
      <c r="I229" s="278" t="str">
        <f>IFERROR(__xludf.DUMMYFUNCTION("""COMPUTED_VALUE"""),"https://www.tiktok.com/@chafastore_/video/7639734914161593607?is_from_webapp=1&amp;sender_device=pc")</f>
        <v>https://www.tiktok.com/@chafastore_/video/7639734914161593607?is_from_webapp=1&amp;sender_device=pc</v>
      </c>
      <c r="J229" s="262"/>
      <c r="K229" s="262"/>
      <c r="L229" s="262"/>
      <c r="M229" s="262"/>
    </row>
    <row r="230">
      <c r="A230" s="255" t="str">
        <f>IFERROR(__xludf.DUMMYFUNCTION("""COMPUTED_VALUE"""),"NANO")</f>
        <v>NANO</v>
      </c>
      <c r="B230" s="23" t="str">
        <f>IFERROR(__xludf.DUMMYFUNCTION("""COMPUTED_VALUE"""),"liviainhere")</f>
        <v>liviainhere</v>
      </c>
      <c r="C230" s="257" t="str">
        <f>IFERROR(__xludf.DUMMYFUNCTION("""COMPUTED_VALUE"""),"https://www.tiktok.com/@liviainhere")</f>
        <v>https://www.tiktok.com/@liviainhere</v>
      </c>
      <c r="D230" s="23">
        <f>IFERROR(__xludf.DUMMYFUNCTION("""COMPUTED_VALUE"""),8.9654378362E10)</f>
        <v>89654378362</v>
      </c>
      <c r="E230" s="457">
        <f>IFERROR(__xludf.DUMMYFUNCTION("""COMPUTED_VALUE"""),0.0)</f>
        <v>0</v>
      </c>
      <c r="F230" s="270">
        <f>IFERROR(__xludf.DUMMYFUNCTION("""COMPUTED_VALUE"""),4.0)</f>
        <v>4</v>
      </c>
      <c r="G230" s="17" t="str">
        <f>IFERROR(__xludf.DUMMYFUNCTION("""COMPUTED_VALUE"""),"Full Set")</f>
        <v>Full Set</v>
      </c>
      <c r="H230" s="17"/>
      <c r="I230" s="278" t="str">
        <f>IFERROR(__xludf.DUMMYFUNCTION("""COMPUTED_VALUE"""),"https://www.tiktok.com/@liviainhere/video/7643417005374115093?is_from_webapp=1&amp;sender_device=pc")</f>
        <v>https://www.tiktok.com/@liviainhere/video/7643417005374115093?is_from_webapp=1&amp;sender_device=pc</v>
      </c>
      <c r="J230" s="262"/>
      <c r="K230" s="262"/>
      <c r="L230" s="262"/>
      <c r="M230" s="262"/>
    </row>
    <row r="231">
      <c r="A231" s="255" t="str">
        <f>IFERROR(__xludf.DUMMYFUNCTION("""COMPUTED_VALUE"""),"NANO")</f>
        <v>NANO</v>
      </c>
      <c r="B231" s="23" t="str">
        <f>IFERROR(__xludf.DUMMYFUNCTION("""COMPUTED_VALUE"""),"zezeyaaaaa")</f>
        <v>zezeyaaaaa</v>
      </c>
      <c r="C231" s="257" t="str">
        <f>IFERROR(__xludf.DUMMYFUNCTION("""COMPUTED_VALUE"""),"https://www.tiktok.com/@zezeyaaaaa")</f>
        <v>https://www.tiktok.com/@zezeyaaaaa</v>
      </c>
      <c r="D231" s="23">
        <f>IFERROR(__xludf.DUMMYFUNCTION("""COMPUTED_VALUE"""),8.3176891884E10)</f>
        <v>83176891884</v>
      </c>
      <c r="E231" s="457">
        <f>IFERROR(__xludf.DUMMYFUNCTION("""COMPUTED_VALUE"""),0.0)</f>
        <v>0</v>
      </c>
      <c r="F231" s="270">
        <f>IFERROR(__xludf.DUMMYFUNCTION("""COMPUTED_VALUE"""),4.0)</f>
        <v>4</v>
      </c>
      <c r="G231" s="17" t="str">
        <f>IFERROR(__xludf.DUMMYFUNCTION("""COMPUTED_VALUE"""),"Full Set")</f>
        <v>Full Set</v>
      </c>
      <c r="H231" s="17"/>
      <c r="I231" s="262"/>
      <c r="J231" s="262"/>
      <c r="K231" s="262"/>
      <c r="L231" s="262"/>
      <c r="M231" s="262"/>
    </row>
    <row r="232">
      <c r="A232" s="255" t="str">
        <f>IFERROR(__xludf.DUMMYFUNCTION("""COMPUTED_VALUE"""),"NANO")</f>
        <v>NANO</v>
      </c>
      <c r="B232" s="23" t="str">
        <f>IFERROR(__xludf.DUMMYFUNCTION("""COMPUTED_VALUE"""),"tiaauciiyy ")</f>
        <v>tiaauciiyy </v>
      </c>
      <c r="C232" s="257" t="str">
        <f>IFERROR(__xludf.DUMMYFUNCTION("""COMPUTED_VALUE"""),"https://www.tiktok.com/@tiaauciiyy ")</f>
        <v>https://www.tiktok.com/@tiaauciiyy </v>
      </c>
      <c r="D232" s="23">
        <f>IFERROR(__xludf.DUMMYFUNCTION("""COMPUTED_VALUE"""),8.2288080148E10)</f>
        <v>82288080148</v>
      </c>
      <c r="E232" s="457">
        <f>IFERROR(__xludf.DUMMYFUNCTION("""COMPUTED_VALUE"""),0.0)</f>
        <v>0</v>
      </c>
      <c r="F232" s="270">
        <f>IFERROR(__xludf.DUMMYFUNCTION("""COMPUTED_VALUE"""),4.0)</f>
        <v>4</v>
      </c>
      <c r="G232" s="17" t="str">
        <f>IFERROR(__xludf.DUMMYFUNCTION("""COMPUTED_VALUE"""),"Full Set")</f>
        <v>Full Set</v>
      </c>
      <c r="H232" s="17"/>
      <c r="I232" s="262"/>
      <c r="J232" s="262"/>
      <c r="K232" s="262"/>
      <c r="L232" s="262"/>
      <c r="M232" s="262"/>
    </row>
    <row r="233">
      <c r="A233" s="255" t="str">
        <f>IFERROR(__xludf.DUMMYFUNCTION("""COMPUTED_VALUE"""),"NANO")</f>
        <v>NANO</v>
      </c>
      <c r="B233" s="23" t="str">
        <f>IFERROR(__xludf.DUMMYFUNCTION("""COMPUTED_VALUE"""),"nadhira.madhani")</f>
        <v>nadhira.madhani</v>
      </c>
      <c r="C233" s="257" t="str">
        <f>IFERROR(__xludf.DUMMYFUNCTION("""COMPUTED_VALUE"""),"https://www.tiktok.com/@nadhira.madhani")</f>
        <v>https://www.tiktok.com/@nadhira.madhani</v>
      </c>
      <c r="D233" s="23">
        <f>IFERROR(__xludf.DUMMYFUNCTION("""COMPUTED_VALUE"""),8.5864454726E10)</f>
        <v>85864454726</v>
      </c>
      <c r="E233" s="457">
        <f>IFERROR(__xludf.DUMMYFUNCTION("""COMPUTED_VALUE"""),0.0)</f>
        <v>0</v>
      </c>
      <c r="F233" s="270">
        <f>IFERROR(__xludf.DUMMYFUNCTION("""COMPUTED_VALUE"""),4.0)</f>
        <v>4</v>
      </c>
      <c r="G233" s="17" t="str">
        <f>IFERROR(__xludf.DUMMYFUNCTION("""COMPUTED_VALUE"""),"Full Set")</f>
        <v>Full Set</v>
      </c>
      <c r="H233" s="17"/>
      <c r="I233" s="278" t="str">
        <f>IFERROR(__xludf.DUMMYFUNCTION("""COMPUTED_VALUE"""),"https://www.tiktok.com/@nadhira.madhani/video/7640870551715597575?is_from_webapp=1&amp;sender_device=pc")</f>
        <v>https://www.tiktok.com/@nadhira.madhani/video/7640870551715597575?is_from_webapp=1&amp;sender_device=pc</v>
      </c>
      <c r="J233" s="278" t="str">
        <f>IFERROR(__xludf.DUMMYFUNCTION("""COMPUTED_VALUE"""),"https://www.tiktok.com/@nadhira.madhani/video/7641984151691775239?is_from_webapp=1&amp;sender_device=pc")</f>
        <v>https://www.tiktok.com/@nadhira.madhani/video/7641984151691775239?is_from_webapp=1&amp;sender_device=pc</v>
      </c>
      <c r="K233" s="278" t="str">
        <f>IFERROR(__xludf.DUMMYFUNCTION("""COMPUTED_VALUE"""),"https://www.tiktok.com/@nadhira.madhani/video/7639385434669190418?is_from_webapp=1&amp;sender_device=pc")</f>
        <v>https://www.tiktok.com/@nadhira.madhani/video/7639385434669190418?is_from_webapp=1&amp;sender_device=pc</v>
      </c>
      <c r="L233" s="278" t="str">
        <f>IFERROR(__xludf.DUMMYFUNCTION("""COMPUTED_VALUE"""),"https://www.tiktok.com/@nadhira.madhani/video/7640129562063490311?is_from_webapp=1&amp;sender_device=pc")</f>
        <v>https://www.tiktok.com/@nadhira.madhani/video/7640129562063490311?is_from_webapp=1&amp;sender_device=pc</v>
      </c>
      <c r="M233" s="262"/>
    </row>
    <row r="234">
      <c r="A234" s="255" t="str">
        <f>IFERROR(__xludf.DUMMYFUNCTION("""COMPUTED_VALUE"""),"NANO")</f>
        <v>NANO</v>
      </c>
      <c r="B234" s="23" t="str">
        <f>IFERROR(__xludf.DUMMYFUNCTION("""COMPUTED_VALUE"""),"worldofpuspa")</f>
        <v>worldofpuspa</v>
      </c>
      <c r="C234" s="257" t="str">
        <f>IFERROR(__xludf.DUMMYFUNCTION("""COMPUTED_VALUE"""),"https://www.tiktok.com/@worldofpuspa")</f>
        <v>https://www.tiktok.com/@worldofpuspa</v>
      </c>
      <c r="D234" s="23">
        <f>IFERROR(__xludf.DUMMYFUNCTION("""COMPUTED_VALUE"""),8.967665749E10)</f>
        <v>89676657490</v>
      </c>
      <c r="E234" s="457">
        <f>IFERROR(__xludf.DUMMYFUNCTION("""COMPUTED_VALUE"""),0.0)</f>
        <v>0</v>
      </c>
      <c r="F234" s="270">
        <f>IFERROR(__xludf.DUMMYFUNCTION("""COMPUTED_VALUE"""),4.0)</f>
        <v>4</v>
      </c>
      <c r="G234" s="17" t="str">
        <f>IFERROR(__xludf.DUMMYFUNCTION("""COMPUTED_VALUE"""),"Full Set")</f>
        <v>Full Set</v>
      </c>
      <c r="H234" s="17"/>
      <c r="I234" s="262"/>
      <c r="J234" s="262"/>
      <c r="K234" s="262"/>
      <c r="L234" s="262"/>
      <c r="M234" s="262"/>
    </row>
    <row r="235">
      <c r="A235" s="255" t="str">
        <f>IFERROR(__xludf.DUMMYFUNCTION("""COMPUTED_VALUE"""),"NANO")</f>
        <v>NANO</v>
      </c>
      <c r="B235" s="23" t="str">
        <f>IFERROR(__xludf.DUMMYFUNCTION("""COMPUTED_VALUE"""),"Una.arsyaa")</f>
        <v>Una.arsyaa</v>
      </c>
      <c r="C235" s="257" t="str">
        <f>IFERROR(__xludf.DUMMYFUNCTION("""COMPUTED_VALUE"""),"https://www.tiktok.com/@Una.arsyaa")</f>
        <v>https://www.tiktok.com/@Una.arsyaa</v>
      </c>
      <c r="D235" s="23">
        <f>IFERROR(__xludf.DUMMYFUNCTION("""COMPUTED_VALUE"""),8.5702749591E10)</f>
        <v>85702749591</v>
      </c>
      <c r="E235" s="457">
        <f>IFERROR(__xludf.DUMMYFUNCTION("""COMPUTED_VALUE"""),0.0)</f>
        <v>0</v>
      </c>
      <c r="F235" s="270">
        <f>IFERROR(__xludf.DUMMYFUNCTION("""COMPUTED_VALUE"""),4.0)</f>
        <v>4</v>
      </c>
      <c r="G235" s="17" t="str">
        <f>IFERROR(__xludf.DUMMYFUNCTION("""COMPUTED_VALUE"""),"Full Set")</f>
        <v>Full Set</v>
      </c>
      <c r="H235" s="17"/>
      <c r="I235" s="278" t="str">
        <f>IFERROR(__xludf.DUMMYFUNCTION("""COMPUTED_VALUE"""),"https://www.tiktok.com/@una.arsyaa/video/7639429685939637525?is_from_webapp=1&amp;sender_device=pc")</f>
        <v>https://www.tiktok.com/@una.arsyaa/video/7639429685939637525?is_from_webapp=1&amp;sender_device=pc</v>
      </c>
      <c r="J235" s="278" t="str">
        <f>IFERROR(__xludf.DUMMYFUNCTION("""COMPUTED_VALUE"""),"https://www.tiktok.com/@una.arsyaa/video/7643058083748400405?is_from_webapp=1&amp;sender_device=pc")</f>
        <v>https://www.tiktok.com/@una.arsyaa/video/7643058083748400405?is_from_webapp=1&amp;sender_device=pc</v>
      </c>
      <c r="K235" s="262"/>
      <c r="L235" s="262"/>
      <c r="M235" s="262"/>
    </row>
    <row r="236">
      <c r="A236" s="255" t="str">
        <f>IFERROR(__xludf.DUMMYFUNCTION("""COMPUTED_VALUE"""),"NANO")</f>
        <v>NANO</v>
      </c>
      <c r="B236" s="23" t="str">
        <f>IFERROR(__xludf.DUMMYFUNCTION("""COMPUTED_VALUE"""),"dialecxy")</f>
        <v>dialecxy</v>
      </c>
      <c r="C236" s="257" t="str">
        <f>IFERROR(__xludf.DUMMYFUNCTION("""COMPUTED_VALUE"""),"https://www.tiktok.com/@dialecxy")</f>
        <v>https://www.tiktok.com/@dialecxy</v>
      </c>
      <c r="D236" s="23">
        <f>IFERROR(__xludf.DUMMYFUNCTION("""COMPUTED_VALUE"""),8.1553427696E10)</f>
        <v>81553427696</v>
      </c>
      <c r="E236" s="457">
        <f>IFERROR(__xludf.DUMMYFUNCTION("""COMPUTED_VALUE"""),0.0)</f>
        <v>0</v>
      </c>
      <c r="F236" s="270">
        <f>IFERROR(__xludf.DUMMYFUNCTION("""COMPUTED_VALUE"""),4.0)</f>
        <v>4</v>
      </c>
      <c r="G236" s="17" t="str">
        <f>IFERROR(__xludf.DUMMYFUNCTION("""COMPUTED_VALUE"""),"Full Set")</f>
        <v>Full Set</v>
      </c>
      <c r="H236" s="17"/>
      <c r="I236" s="278" t="str">
        <f>IFERROR(__xludf.DUMMYFUNCTION("""COMPUTED_VALUE"""),"https://www.tiktok.com/@dialecxy/video/7637842501042179348?is_from_webapp=1&amp;sender_device=pc")</f>
        <v>https://www.tiktok.com/@dialecxy/video/7637842501042179348?is_from_webapp=1&amp;sender_device=pc</v>
      </c>
      <c r="J236" s="278" t="str">
        <f>IFERROR(__xludf.DUMMYFUNCTION("""COMPUTED_VALUE"""),"https://www.tiktok.com/@dialecxy/video/7639752314005327112?is_from_webapp=1&amp;sender_device=pc")</f>
        <v>https://www.tiktok.com/@dialecxy/video/7639752314005327112?is_from_webapp=1&amp;sender_device=pc</v>
      </c>
      <c r="K236" s="262"/>
      <c r="L236" s="262"/>
      <c r="M236" s="262"/>
    </row>
    <row r="237">
      <c r="A237" s="255" t="str">
        <f>IFERROR(__xludf.DUMMYFUNCTION("""COMPUTED_VALUE"""),"NANO")</f>
        <v>NANO</v>
      </c>
      <c r="B237" s="23" t="str">
        <f>IFERROR(__xludf.DUMMYFUNCTION("""COMPUTED_VALUE"""),"Antikatikak_ ")</f>
        <v>Antikatikak_ </v>
      </c>
      <c r="C237" s="257" t="str">
        <f>IFERROR(__xludf.DUMMYFUNCTION("""COMPUTED_VALUE"""),"https://www.tiktok.com/@Antikatikak_ ")</f>
        <v>https://www.tiktok.com/@Antikatikak_ </v>
      </c>
      <c r="D237" s="23">
        <f>IFERROR(__xludf.DUMMYFUNCTION("""COMPUTED_VALUE"""),8.5175207462E10)</f>
        <v>85175207462</v>
      </c>
      <c r="E237" s="457">
        <f>IFERROR(__xludf.DUMMYFUNCTION("""COMPUTED_VALUE"""),0.0)</f>
        <v>0</v>
      </c>
      <c r="F237" s="270">
        <f>IFERROR(__xludf.DUMMYFUNCTION("""COMPUTED_VALUE"""),4.0)</f>
        <v>4</v>
      </c>
      <c r="G237" s="17" t="str">
        <f>IFERROR(__xludf.DUMMYFUNCTION("""COMPUTED_VALUE"""),"Full Set")</f>
        <v>Full Set</v>
      </c>
      <c r="H237" s="17"/>
      <c r="I237" s="262"/>
      <c r="J237" s="262"/>
      <c r="K237" s="262"/>
      <c r="L237" s="262"/>
      <c r="M237" s="262"/>
    </row>
    <row r="238">
      <c r="A238" s="255" t="str">
        <f>IFERROR(__xludf.DUMMYFUNCTION("""COMPUTED_VALUE"""),"NANO")</f>
        <v>NANO</v>
      </c>
      <c r="B238" s="23" t="str">
        <f>IFERROR(__xludf.DUMMYFUNCTION("""COMPUTED_VALUE"""),"Sispipit")</f>
        <v>Sispipit</v>
      </c>
      <c r="C238" s="257" t="str">
        <f>IFERROR(__xludf.DUMMYFUNCTION("""COMPUTED_VALUE"""),"https://www.tiktok.com/@Sispipit")</f>
        <v>https://www.tiktok.com/@Sispipit</v>
      </c>
      <c r="D238" s="23">
        <f>IFERROR(__xludf.DUMMYFUNCTION("""COMPUTED_VALUE"""),8.1228825225E10)</f>
        <v>81228825225</v>
      </c>
      <c r="E238" s="457">
        <f>IFERROR(__xludf.DUMMYFUNCTION("""COMPUTED_VALUE"""),0.0)</f>
        <v>0</v>
      </c>
      <c r="F238" s="270">
        <f>IFERROR(__xludf.DUMMYFUNCTION("""COMPUTED_VALUE"""),4.0)</f>
        <v>4</v>
      </c>
      <c r="G238" s="17" t="str">
        <f>IFERROR(__xludf.DUMMYFUNCTION("""COMPUTED_VALUE"""),"Full Set")</f>
        <v>Full Set</v>
      </c>
      <c r="H238" s="17"/>
      <c r="I238" s="262"/>
      <c r="J238" s="262"/>
      <c r="K238" s="262"/>
      <c r="L238" s="262"/>
      <c r="M238" s="262"/>
    </row>
    <row r="239">
      <c r="A239" s="255" t="str">
        <f>IFERROR(__xludf.DUMMYFUNCTION("""COMPUTED_VALUE"""),"NANO")</f>
        <v>NANO</v>
      </c>
      <c r="B239" s="23" t="str">
        <f>IFERROR(__xludf.DUMMYFUNCTION("""COMPUTED_VALUE"""),"depiisrrr")</f>
        <v>depiisrrr</v>
      </c>
      <c r="C239" s="257" t="str">
        <f>IFERROR(__xludf.DUMMYFUNCTION("""COMPUTED_VALUE"""),"https://www.tiktok.com/@depiisrrr")</f>
        <v>https://www.tiktok.com/@depiisrrr</v>
      </c>
      <c r="D239" s="23">
        <f>IFERROR(__xludf.DUMMYFUNCTION("""COMPUTED_VALUE"""),8.5706305609E10)</f>
        <v>85706305609</v>
      </c>
      <c r="E239" s="457">
        <f>IFERROR(__xludf.DUMMYFUNCTION("""COMPUTED_VALUE"""),0.0)</f>
        <v>0</v>
      </c>
      <c r="F239" s="270">
        <f>IFERROR(__xludf.DUMMYFUNCTION("""COMPUTED_VALUE"""),4.0)</f>
        <v>4</v>
      </c>
      <c r="G239" s="17" t="str">
        <f>IFERROR(__xludf.DUMMYFUNCTION("""COMPUTED_VALUE"""),"Full Set")</f>
        <v>Full Set</v>
      </c>
      <c r="H239" s="17"/>
      <c r="I239" s="262"/>
      <c r="J239" s="262"/>
      <c r="K239" s="262"/>
      <c r="L239" s="262"/>
      <c r="M239" s="262"/>
    </row>
    <row r="240">
      <c r="A240" s="255" t="str">
        <f>IFERROR(__xludf.DUMMYFUNCTION("""COMPUTED_VALUE"""),"NANO")</f>
        <v>NANO</v>
      </c>
      <c r="B240" s="23" t="str">
        <f>IFERROR(__xludf.DUMMYFUNCTION("""COMPUTED_VALUE"""),"hallo_ingri")</f>
        <v>hallo_ingri</v>
      </c>
      <c r="C240" s="257" t="str">
        <f>IFERROR(__xludf.DUMMYFUNCTION("""COMPUTED_VALUE"""),"https://www.tiktok.com/@hallo_ingri")</f>
        <v>https://www.tiktok.com/@hallo_ingri</v>
      </c>
      <c r="D240" s="23">
        <f>IFERROR(__xludf.DUMMYFUNCTION("""COMPUTED_VALUE"""),8.229494566E10)</f>
        <v>82294945660</v>
      </c>
      <c r="E240" s="457">
        <f>IFERROR(__xludf.DUMMYFUNCTION("""COMPUTED_VALUE"""),0.0)</f>
        <v>0</v>
      </c>
      <c r="F240" s="270">
        <f>IFERROR(__xludf.DUMMYFUNCTION("""COMPUTED_VALUE"""),4.0)</f>
        <v>4</v>
      </c>
      <c r="G240" s="17" t="str">
        <f>IFERROR(__xludf.DUMMYFUNCTION("""COMPUTED_VALUE"""),"Full Set")</f>
        <v>Full Set</v>
      </c>
      <c r="H240" s="17"/>
      <c r="I240" s="278" t="str">
        <f>IFERROR(__xludf.DUMMYFUNCTION("""COMPUTED_VALUE"""),"https://www.tiktok.com/@hallo_ingri/video/7639307962946833684?is_from_webapp=1&amp;sender_device=pc")</f>
        <v>https://www.tiktok.com/@hallo_ingri/video/7639307962946833684?is_from_webapp=1&amp;sender_device=pc</v>
      </c>
      <c r="J240" s="278" t="str">
        <f>IFERROR(__xludf.DUMMYFUNCTION("""COMPUTED_VALUE"""),"https://www.tiktok.com/@hallo_ingri/video/7640304504247815444?is_from_webapp=1&amp;sender_device=pc")</f>
        <v>https://www.tiktok.com/@hallo_ingri/video/7640304504247815444?is_from_webapp=1&amp;sender_device=pc</v>
      </c>
      <c r="K240" s="278" t="str">
        <f>IFERROR(__xludf.DUMMYFUNCTION("""COMPUTED_VALUE"""),"https://www.tiktok.com/@hallo_ingri/video/7640664687562067221?is_from_webapp=1&amp;sender_device=pc")</f>
        <v>https://www.tiktok.com/@hallo_ingri/video/7640664687562067221?is_from_webapp=1&amp;sender_device=pc</v>
      </c>
      <c r="L240" s="278" t="str">
        <f>IFERROR(__xludf.DUMMYFUNCTION("""COMPUTED_VALUE"""),"https://www.tiktok.com/@hallo_ingri/video/7642639764125994260?is_from_webapp=1&amp;sender_device=pc")</f>
        <v>https://www.tiktok.com/@hallo_ingri/video/7642639764125994260?is_from_webapp=1&amp;sender_device=pc</v>
      </c>
      <c r="M240" s="262"/>
    </row>
    <row r="241">
      <c r="A241" s="255" t="str">
        <f>IFERROR(__xludf.DUMMYFUNCTION("""COMPUTED_VALUE"""),"NANO")</f>
        <v>NANO</v>
      </c>
      <c r="B241" s="23" t="str">
        <f>IFERROR(__xludf.DUMMYFUNCTION("""COMPUTED_VALUE"""),"Mima.zioo")</f>
        <v>Mima.zioo</v>
      </c>
      <c r="C241" s="257" t="str">
        <f>IFERROR(__xludf.DUMMYFUNCTION("""COMPUTED_VALUE"""),"https://www.tiktok.com/@Mima.zioo")</f>
        <v>https://www.tiktok.com/@Mima.zioo</v>
      </c>
      <c r="D241" s="23">
        <f>IFERROR(__xludf.DUMMYFUNCTION("""COMPUTED_VALUE"""),8.1228820221E10)</f>
        <v>81228820221</v>
      </c>
      <c r="E241" s="457">
        <f>IFERROR(__xludf.DUMMYFUNCTION("""COMPUTED_VALUE"""),0.0)</f>
        <v>0</v>
      </c>
      <c r="F241" s="270">
        <f>IFERROR(__xludf.DUMMYFUNCTION("""COMPUTED_VALUE"""),4.0)</f>
        <v>4</v>
      </c>
      <c r="G241" s="17" t="str">
        <f>IFERROR(__xludf.DUMMYFUNCTION("""COMPUTED_VALUE"""),"Full Set")</f>
        <v>Full Set</v>
      </c>
      <c r="H241" s="17"/>
      <c r="I241" s="262"/>
      <c r="J241" s="262"/>
      <c r="K241" s="262"/>
      <c r="L241" s="262"/>
      <c r="M241" s="262"/>
    </row>
    <row r="242">
      <c r="A242" s="255" t="str">
        <f>IFERROR(__xludf.DUMMYFUNCTION("""COMPUTED_VALUE"""),"NANO")</f>
        <v>NANO</v>
      </c>
      <c r="B242" s="257" t="str">
        <f>IFERROR(__xludf.DUMMYFUNCTION("""COMPUTED_VALUE"""),"singlecuan.id")</f>
        <v>singlecuan.id</v>
      </c>
      <c r="C242" s="257" t="str">
        <f>IFERROR(__xludf.DUMMYFUNCTION("""COMPUTED_VALUE"""),"https://www.tiktok.com/@singlecuan.id")</f>
        <v>https://www.tiktok.com/@singlecuan.id</v>
      </c>
      <c r="D242" s="23">
        <f>IFERROR(__xludf.DUMMYFUNCTION("""COMPUTED_VALUE"""),8.222655115E10)</f>
        <v>82226551150</v>
      </c>
      <c r="E242" s="457">
        <f>IFERROR(__xludf.DUMMYFUNCTION("""COMPUTED_VALUE"""),0.0)</f>
        <v>0</v>
      </c>
      <c r="F242" s="270">
        <f>IFERROR(__xludf.DUMMYFUNCTION("""COMPUTED_VALUE"""),4.0)</f>
        <v>4</v>
      </c>
      <c r="G242" s="17" t="str">
        <f>IFERROR(__xludf.DUMMYFUNCTION("""COMPUTED_VALUE"""),"Full Set")</f>
        <v>Full Set</v>
      </c>
      <c r="H242" s="17"/>
      <c r="I242" s="262"/>
      <c r="J242" s="262"/>
      <c r="K242" s="262"/>
      <c r="L242" s="262"/>
      <c r="M242" s="262"/>
    </row>
    <row r="243">
      <c r="A243" s="255" t="str">
        <f>IFERROR(__xludf.DUMMYFUNCTION("""COMPUTED_VALUE"""),"NANO")</f>
        <v>NANO</v>
      </c>
      <c r="B243" s="23" t="str">
        <f>IFERROR(__xludf.DUMMYFUNCTION("""COMPUTED_VALUE"""),"ul.aull")</f>
        <v>ul.aull</v>
      </c>
      <c r="C243" s="257" t="str">
        <f>IFERROR(__xludf.DUMMYFUNCTION("""COMPUTED_VALUE"""),"https://www.tiktok.com/@ul.aull")</f>
        <v>https://www.tiktok.com/@ul.aull</v>
      </c>
      <c r="D243" s="23">
        <f>IFERROR(__xludf.DUMMYFUNCTION("""COMPUTED_VALUE"""),8.3874238324E10)</f>
        <v>83874238324</v>
      </c>
      <c r="E243" s="457">
        <f>IFERROR(__xludf.DUMMYFUNCTION("""COMPUTED_VALUE"""),0.0)</f>
        <v>0</v>
      </c>
      <c r="F243" s="270">
        <f>IFERROR(__xludf.DUMMYFUNCTION("""COMPUTED_VALUE"""),4.0)</f>
        <v>4</v>
      </c>
      <c r="G243" s="17" t="str">
        <f>IFERROR(__xludf.DUMMYFUNCTION("""COMPUTED_VALUE"""),"Full Set")</f>
        <v>Full Set</v>
      </c>
      <c r="H243" s="17"/>
      <c r="I243" s="278" t="str">
        <f>IFERROR(__xludf.DUMMYFUNCTION("""COMPUTED_VALUE"""),"https://www.tiktok.com/@ul.aull/video/7639622260701089031?is_from_webapp=1&amp;sender_device=pc")</f>
        <v>https://www.tiktok.com/@ul.aull/video/7639622260701089031?is_from_webapp=1&amp;sender_device=pc</v>
      </c>
      <c r="J243" s="278" t="str">
        <f>IFERROR(__xludf.DUMMYFUNCTION("""COMPUTED_VALUE"""),"https://www.tiktok.com/@ul.aull/video/7640372116063325448?is_from_webapp=1&amp;sender_device=pc")</f>
        <v>https://www.tiktok.com/@ul.aull/video/7640372116063325448?is_from_webapp=1&amp;sender_device=pc</v>
      </c>
      <c r="K243" s="278" t="str">
        <f>IFERROR(__xludf.DUMMYFUNCTION("""COMPUTED_VALUE"""),"https://www.tiktok.com/@ul.aull/video/7642228370373135623?is_from_webapp=1&amp;sender_device=pc")</f>
        <v>https://www.tiktok.com/@ul.aull/video/7642228370373135623?is_from_webapp=1&amp;sender_device=pc</v>
      </c>
      <c r="L243" s="278" t="str">
        <f>IFERROR(__xludf.DUMMYFUNCTION("""COMPUTED_VALUE"""),"https://www.tiktok.com/@ul.aull/video/7642977389240192264?is_from_webapp=1&amp;sender_device=pc")</f>
        <v>https://www.tiktok.com/@ul.aull/video/7642977389240192264?is_from_webapp=1&amp;sender_device=pc</v>
      </c>
      <c r="M243" s="262"/>
    </row>
    <row r="244">
      <c r="A244" s="255" t="str">
        <f>IFERROR(__xludf.DUMMYFUNCTION("""COMPUTED_VALUE"""),"NANO")</f>
        <v>NANO</v>
      </c>
      <c r="B244" s="23" t="str">
        <f>IFERROR(__xludf.DUMMYFUNCTION("""COMPUTED_VALUE"""),"anaknyamamalidii")</f>
        <v>anaknyamamalidii</v>
      </c>
      <c r="C244" s="257" t="str">
        <f>IFERROR(__xludf.DUMMYFUNCTION("""COMPUTED_VALUE"""),"https://www.tiktok.com/@anaknyamamalidii")</f>
        <v>https://www.tiktok.com/@anaknyamamalidii</v>
      </c>
      <c r="D244" s="23">
        <f>IFERROR(__xludf.DUMMYFUNCTION("""COMPUTED_VALUE"""),8.3169825992E10)</f>
        <v>83169825992</v>
      </c>
      <c r="E244" s="457">
        <f>IFERROR(__xludf.DUMMYFUNCTION("""COMPUTED_VALUE"""),0.0)</f>
        <v>0</v>
      </c>
      <c r="F244" s="270">
        <f>IFERROR(__xludf.DUMMYFUNCTION("""COMPUTED_VALUE"""),4.0)</f>
        <v>4</v>
      </c>
      <c r="G244" s="17" t="str">
        <f>IFERROR(__xludf.DUMMYFUNCTION("""COMPUTED_VALUE"""),"Full Set")</f>
        <v>Full Set</v>
      </c>
      <c r="H244" s="17"/>
      <c r="I244" s="262"/>
      <c r="J244" s="262"/>
      <c r="K244" s="262"/>
      <c r="L244" s="262"/>
      <c r="M244" s="262"/>
    </row>
    <row r="245">
      <c r="A245" s="255" t="str">
        <f>IFERROR(__xludf.DUMMYFUNCTION("""COMPUTED_VALUE"""),"MICRO")</f>
        <v>MICRO</v>
      </c>
      <c r="B245" s="23" t="str">
        <f>IFERROR(__xludf.DUMMYFUNCTION("""COMPUTED_VALUE"""),"Aslerry ")</f>
        <v>Aslerry </v>
      </c>
      <c r="C245" s="257" t="str">
        <f>IFERROR(__xludf.DUMMYFUNCTION("""COMPUTED_VALUE"""),"https://www.tiktok.com/@Aslerry ")</f>
        <v>https://www.tiktok.com/@Aslerry </v>
      </c>
      <c r="D245" s="23">
        <f>IFERROR(__xludf.DUMMYFUNCTION("""COMPUTED_VALUE"""),8.1214399398E10)</f>
        <v>81214399398</v>
      </c>
      <c r="E245" s="457">
        <f>IFERROR(__xludf.DUMMYFUNCTION("""COMPUTED_VALUE"""),0.0)</f>
        <v>0</v>
      </c>
      <c r="F245" s="270">
        <f>IFERROR(__xludf.DUMMYFUNCTION("""COMPUTED_VALUE"""),4.0)</f>
        <v>4</v>
      </c>
      <c r="G245" s="17" t="str">
        <f>IFERROR(__xludf.DUMMYFUNCTION("""COMPUTED_VALUE"""),"Full Set")</f>
        <v>Full Set</v>
      </c>
      <c r="H245" s="17"/>
      <c r="I245" s="262"/>
      <c r="J245" s="262"/>
      <c r="K245" s="262"/>
      <c r="L245" s="262"/>
      <c r="M245" s="262"/>
    </row>
    <row r="246">
      <c r="A246" s="255" t="str">
        <f>IFERROR(__xludf.DUMMYFUNCTION("""COMPUTED_VALUE"""),"NANO")</f>
        <v>NANO</v>
      </c>
      <c r="B246" s="23" t="str">
        <f>IFERROR(__xludf.DUMMYFUNCTION("""COMPUTED_VALUE"""),"nisanurulhmdy ")</f>
        <v>nisanurulhmdy </v>
      </c>
      <c r="C246" s="257" t="str">
        <f>IFERROR(__xludf.DUMMYFUNCTION("""COMPUTED_VALUE"""),"https://www.tiktok.com/@nisanurulhmdy ")</f>
        <v>https://www.tiktok.com/@nisanurulhmdy </v>
      </c>
      <c r="D246" s="23">
        <f>IFERROR(__xludf.DUMMYFUNCTION("""COMPUTED_VALUE"""),8.9652198046E10)</f>
        <v>89652198046</v>
      </c>
      <c r="E246" s="457">
        <f>IFERROR(__xludf.DUMMYFUNCTION("""COMPUTED_VALUE"""),0.0)</f>
        <v>0</v>
      </c>
      <c r="F246" s="270">
        <f>IFERROR(__xludf.DUMMYFUNCTION("""COMPUTED_VALUE"""),4.0)</f>
        <v>4</v>
      </c>
      <c r="G246" s="17" t="str">
        <f>IFERROR(__xludf.DUMMYFUNCTION("""COMPUTED_VALUE"""),"Full Set")</f>
        <v>Full Set</v>
      </c>
      <c r="H246" s="17"/>
      <c r="I246" s="262"/>
      <c r="J246" s="262"/>
      <c r="K246" s="262"/>
      <c r="L246" s="262"/>
      <c r="M246" s="262"/>
    </row>
    <row r="247">
      <c r="A247" s="255" t="str">
        <f>IFERROR(__xludf.DUMMYFUNCTION("""COMPUTED_VALUE"""),"NANO")</f>
        <v>NANO</v>
      </c>
      <c r="B247" s="23" t="str">
        <f>IFERROR(__xludf.DUMMYFUNCTION("""COMPUTED_VALUE"""),"Varawinda")</f>
        <v>Varawinda</v>
      </c>
      <c r="C247" s="257" t="str">
        <f>IFERROR(__xludf.DUMMYFUNCTION("""COMPUTED_VALUE"""),"https://www.tiktok.com/@Varawinda")</f>
        <v>https://www.tiktok.com/@Varawinda</v>
      </c>
      <c r="D247" s="23">
        <f>IFERROR(__xludf.DUMMYFUNCTION("""COMPUTED_VALUE"""),8.5743233371E10)</f>
        <v>85743233371</v>
      </c>
      <c r="E247" s="457">
        <f>IFERROR(__xludf.DUMMYFUNCTION("""COMPUTED_VALUE"""),0.0)</f>
        <v>0</v>
      </c>
      <c r="F247" s="270">
        <f>IFERROR(__xludf.DUMMYFUNCTION("""COMPUTED_VALUE"""),4.0)</f>
        <v>4</v>
      </c>
      <c r="G247" s="17" t="str">
        <f>IFERROR(__xludf.DUMMYFUNCTION("""COMPUTED_VALUE"""),"Full Set")</f>
        <v>Full Set</v>
      </c>
      <c r="H247" s="17"/>
      <c r="I247" s="278" t="str">
        <f>IFERROR(__xludf.DUMMYFUNCTION("""COMPUTED_VALUE"""),"https://www.tiktok.com/@varawinda/video/7639273224957644053?is_from_webapp=1&amp;sender_device=pc")</f>
        <v>https://www.tiktok.com/@varawinda/video/7639273224957644053?is_from_webapp=1&amp;sender_device=pc</v>
      </c>
      <c r="J247" s="278" t="str">
        <f>IFERROR(__xludf.DUMMYFUNCTION("""COMPUTED_VALUE"""),"https://www.tiktok.com/@varawinda/video/7639356143810596116?is_from_webapp=1&amp;sender_device=pc")</f>
        <v>https://www.tiktok.com/@varawinda/video/7639356143810596116?is_from_webapp=1&amp;sender_device=pc</v>
      </c>
      <c r="K247" s="278" t="str">
        <f>IFERROR(__xludf.DUMMYFUNCTION("""COMPUTED_VALUE"""),"https://www.tiktok.com/@varawinda/video/7639358111286906132?is_from_webapp=1&amp;sender_device=pc")</f>
        <v>https://www.tiktok.com/@varawinda/video/7639358111286906132?is_from_webapp=1&amp;sender_device=pc</v>
      </c>
      <c r="L247" s="278" t="str">
        <f>IFERROR(__xludf.DUMMYFUNCTION("""COMPUTED_VALUE"""),"https://www.tiktok.com/@varawinda/video/7641468912005090581?is_from_webapp=1&amp;sender_device=pc")</f>
        <v>https://www.tiktok.com/@varawinda/video/7641468912005090581?is_from_webapp=1&amp;sender_device=pc</v>
      </c>
      <c r="M247" s="262"/>
    </row>
    <row r="248">
      <c r="A248" s="255" t="str">
        <f>IFERROR(__xludf.DUMMYFUNCTION("""COMPUTED_VALUE"""),"NANO")</f>
        <v>NANO</v>
      </c>
      <c r="B248" s="23" t="str">
        <f>IFERROR(__xludf.DUMMYFUNCTION("""COMPUTED_VALUE"""),"Maya_putrifadhillah")</f>
        <v>Maya_putrifadhillah</v>
      </c>
      <c r="C248" s="257" t="str">
        <f>IFERROR(__xludf.DUMMYFUNCTION("""COMPUTED_VALUE"""),"https://www.tiktok.com/@Maya_putrifadhillah")</f>
        <v>https://www.tiktok.com/@Maya_putrifadhillah</v>
      </c>
      <c r="D248" s="23">
        <f>IFERROR(__xludf.DUMMYFUNCTION("""COMPUTED_VALUE"""),8.9631927798E10)</f>
        <v>89631927798</v>
      </c>
      <c r="E248" s="457">
        <f>IFERROR(__xludf.DUMMYFUNCTION("""COMPUTED_VALUE"""),0.0)</f>
        <v>0</v>
      </c>
      <c r="F248" s="270">
        <f>IFERROR(__xludf.DUMMYFUNCTION("""COMPUTED_VALUE"""),4.0)</f>
        <v>4</v>
      </c>
      <c r="G248" s="17" t="str">
        <f>IFERROR(__xludf.DUMMYFUNCTION("""COMPUTED_VALUE"""),"Full Set")</f>
        <v>Full Set</v>
      </c>
      <c r="H248" s="17"/>
      <c r="I248" s="278" t="str">
        <f>IFERROR(__xludf.DUMMYFUNCTION("""COMPUTED_VALUE"""),"https://www.tiktok.com/@maya_putrifadhillah/video/7639199042773372167?is_from_webapp=1&amp;sender_device=pc")</f>
        <v>https://www.tiktok.com/@maya_putrifadhillah/video/7639199042773372167?is_from_webapp=1&amp;sender_device=pc</v>
      </c>
      <c r="J248" s="278" t="str">
        <f>IFERROR(__xludf.DUMMYFUNCTION("""COMPUTED_VALUE"""),"https://www.tiktok.com/@maya_putrifadhillah/video/7639614074199854344?is_from_webapp=1&amp;sender_device=pc")</f>
        <v>https://www.tiktok.com/@maya_putrifadhillah/video/7639614074199854344?is_from_webapp=1&amp;sender_device=pc</v>
      </c>
      <c r="K248" s="262"/>
      <c r="L248" s="262"/>
      <c r="M248" s="262"/>
    </row>
    <row r="249">
      <c r="A249" s="255" t="str">
        <f>IFERROR(__xludf.DUMMYFUNCTION("""COMPUTED_VALUE"""),"NANO")</f>
        <v>NANO</v>
      </c>
      <c r="B249" s="23" t="str">
        <f>IFERROR(__xludf.DUMMYFUNCTION("""COMPUTED_VALUE"""),"tatas_aja")</f>
        <v>tatas_aja</v>
      </c>
      <c r="C249" s="257" t="str">
        <f>IFERROR(__xludf.DUMMYFUNCTION("""COMPUTED_VALUE"""),"https://www.tiktok.com/@tatas_aja")</f>
        <v>https://www.tiktok.com/@tatas_aja</v>
      </c>
      <c r="D249" s="23">
        <f>IFERROR(__xludf.DUMMYFUNCTION("""COMPUTED_VALUE"""),8.2135904087E10)</f>
        <v>82135904087</v>
      </c>
      <c r="E249" s="457">
        <f>IFERROR(__xludf.DUMMYFUNCTION("""COMPUTED_VALUE"""),0.0)</f>
        <v>0</v>
      </c>
      <c r="F249" s="270">
        <f>IFERROR(__xludf.DUMMYFUNCTION("""COMPUTED_VALUE"""),4.0)</f>
        <v>4</v>
      </c>
      <c r="G249" s="17" t="str">
        <f>IFERROR(__xludf.DUMMYFUNCTION("""COMPUTED_VALUE"""),"Full Set")</f>
        <v>Full Set</v>
      </c>
      <c r="H249" s="17"/>
      <c r="I249" s="278" t="str">
        <f>IFERROR(__xludf.DUMMYFUNCTION("""COMPUTED_VALUE"""),"https://www.tiktok.com/@tatas_aja/video/7638667876819324167?is_from_webapp=1&amp;sender_device=pc")</f>
        <v>https://www.tiktok.com/@tatas_aja/video/7638667876819324167?is_from_webapp=1&amp;sender_device=pc</v>
      </c>
      <c r="J249" s="278" t="str">
        <f>IFERROR(__xludf.DUMMYFUNCTION("""COMPUTED_VALUE"""),"https://www.tiktok.com/@tatas_aja/video/7639313942774336775?is_from_webapp=1&amp;sender_device=pc")</f>
        <v>https://www.tiktok.com/@tatas_aja/video/7639313942774336775?is_from_webapp=1&amp;sender_device=pc</v>
      </c>
      <c r="K249" s="278" t="str">
        <f>IFERROR(__xludf.DUMMYFUNCTION("""COMPUTED_VALUE"""),"https://www.tiktok.com/@tatas_aja/video/7640099363121007880?is_from_webapp=1&amp;sender_device=pc")</f>
        <v>https://www.tiktok.com/@tatas_aja/video/7640099363121007880?is_from_webapp=1&amp;sender_device=pc</v>
      </c>
      <c r="L249" s="278" t="str">
        <f>IFERROR(__xludf.DUMMYFUNCTION("""COMPUTED_VALUE"""),"https://www.tiktok.com/@tatas_aja/video/7640822529547947282?is_from_webapp=1&amp;sender_device=pc")</f>
        <v>https://www.tiktok.com/@tatas_aja/video/7640822529547947282?is_from_webapp=1&amp;sender_device=pc</v>
      </c>
      <c r="M249" s="262"/>
    </row>
    <row r="250">
      <c r="A250" s="255" t="str">
        <f>IFERROR(__xludf.DUMMYFUNCTION("""COMPUTED_VALUE"""),"NANO")</f>
        <v>NANO</v>
      </c>
      <c r="B250" s="23" t="str">
        <f>IFERROR(__xludf.DUMMYFUNCTION("""COMPUTED_VALUE"""),"Biyyaaaa18")</f>
        <v>Biyyaaaa18</v>
      </c>
      <c r="C250" s="257" t="str">
        <f>IFERROR(__xludf.DUMMYFUNCTION("""COMPUTED_VALUE"""),"https://www.tiktok.com/@Biyyaaaa18")</f>
        <v>https://www.tiktok.com/@Biyyaaaa18</v>
      </c>
      <c r="D250" s="23">
        <f>IFERROR(__xludf.DUMMYFUNCTION("""COMPUTED_VALUE"""),8.1222481912E10)</f>
        <v>81222481912</v>
      </c>
      <c r="E250" s="457">
        <f>IFERROR(__xludf.DUMMYFUNCTION("""COMPUTED_VALUE"""),0.0)</f>
        <v>0</v>
      </c>
      <c r="F250" s="270">
        <f>IFERROR(__xludf.DUMMYFUNCTION("""COMPUTED_VALUE"""),4.0)</f>
        <v>4</v>
      </c>
      <c r="G250" s="17" t="str">
        <f>IFERROR(__xludf.DUMMYFUNCTION("""COMPUTED_VALUE"""),"Full Set")</f>
        <v>Full Set</v>
      </c>
      <c r="H250" s="17"/>
      <c r="I250" s="262"/>
      <c r="J250" s="262"/>
      <c r="K250" s="262"/>
      <c r="L250" s="262"/>
      <c r="M250" s="262"/>
    </row>
    <row r="251">
      <c r="A251" s="255" t="str">
        <f>IFERROR(__xludf.DUMMYFUNCTION("""COMPUTED_VALUE"""),"NANO")</f>
        <v>NANO</v>
      </c>
      <c r="B251" s="23" t="str">
        <f>IFERROR(__xludf.DUMMYFUNCTION("""COMPUTED_VALUE"""),"its.tasyaas")</f>
        <v>its.tasyaas</v>
      </c>
      <c r="C251" s="257" t="str">
        <f>IFERROR(__xludf.DUMMYFUNCTION("""COMPUTED_VALUE"""),"https://www.tiktok.com/@its.tasyaas")</f>
        <v>https://www.tiktok.com/@its.tasyaas</v>
      </c>
      <c r="D251" s="23">
        <f>IFERROR(__xludf.DUMMYFUNCTION("""COMPUTED_VALUE"""),8.9503606696E10)</f>
        <v>89503606696</v>
      </c>
      <c r="E251" s="457">
        <f>IFERROR(__xludf.DUMMYFUNCTION("""COMPUTED_VALUE"""),0.0)</f>
        <v>0</v>
      </c>
      <c r="F251" s="270">
        <f>IFERROR(__xludf.DUMMYFUNCTION("""COMPUTED_VALUE"""),4.0)</f>
        <v>4</v>
      </c>
      <c r="G251" s="17" t="str">
        <f>IFERROR(__xludf.DUMMYFUNCTION("""COMPUTED_VALUE"""),"Full Set")</f>
        <v>Full Set</v>
      </c>
      <c r="H251" s="17"/>
      <c r="I251" s="278" t="str">
        <f>IFERROR(__xludf.DUMMYFUNCTION("""COMPUTED_VALUE"""),"https://www.tiktok.com/@its.tasyaas/video/7638402930005003538?is_from_webapp=1&amp;sender_device=pc")</f>
        <v>https://www.tiktok.com/@its.tasyaas/video/7638402930005003538?is_from_webapp=1&amp;sender_device=pc</v>
      </c>
      <c r="J251" s="262"/>
      <c r="K251" s="262"/>
      <c r="L251" s="262"/>
      <c r="M251" s="262"/>
    </row>
    <row r="252">
      <c r="A252" s="255" t="str">
        <f>IFERROR(__xludf.DUMMYFUNCTION("""COMPUTED_VALUE"""),"NANO")</f>
        <v>NANO</v>
      </c>
      <c r="B252" s="23" t="str">
        <f>IFERROR(__xludf.DUMMYFUNCTION("""COMPUTED_VALUE"""),"rhismayanaa")</f>
        <v>rhismayanaa</v>
      </c>
      <c r="C252" s="257" t="str">
        <f>IFERROR(__xludf.DUMMYFUNCTION("""COMPUTED_VALUE"""),"https://www.tiktok.com/@rhismayanaa")</f>
        <v>https://www.tiktok.com/@rhismayanaa</v>
      </c>
      <c r="D252" s="23">
        <f>IFERROR(__xludf.DUMMYFUNCTION("""COMPUTED_VALUE"""),8.5730278934E10)</f>
        <v>85730278934</v>
      </c>
      <c r="E252" s="457">
        <f>IFERROR(__xludf.DUMMYFUNCTION("""COMPUTED_VALUE"""),0.0)</f>
        <v>0</v>
      </c>
      <c r="F252" s="270">
        <f>IFERROR(__xludf.DUMMYFUNCTION("""COMPUTED_VALUE"""),4.0)</f>
        <v>4</v>
      </c>
      <c r="G252" s="17" t="str">
        <f>IFERROR(__xludf.DUMMYFUNCTION("""COMPUTED_VALUE"""),"Full Set")</f>
        <v>Full Set</v>
      </c>
      <c r="H252" s="17"/>
      <c r="I252" s="262"/>
      <c r="J252" s="262"/>
      <c r="K252" s="262"/>
      <c r="L252" s="262"/>
      <c r="M252" s="262"/>
    </row>
    <row r="253">
      <c r="A253" s="255" t="str">
        <f>IFERROR(__xludf.DUMMYFUNCTION("""COMPUTED_VALUE"""),"NANO")</f>
        <v>NANO</v>
      </c>
      <c r="B253" s="23" t="str">
        <f>IFERROR(__xludf.DUMMYFUNCTION("""COMPUTED_VALUE"""),"Khumairah3284")</f>
        <v>Khumairah3284</v>
      </c>
      <c r="C253" s="257" t="str">
        <f>IFERROR(__xludf.DUMMYFUNCTION("""COMPUTED_VALUE"""),"https://www.tiktok.com/@Khumairah3284")</f>
        <v>https://www.tiktok.com/@Khumairah3284</v>
      </c>
      <c r="D253" s="23">
        <f>IFERROR(__xludf.DUMMYFUNCTION("""COMPUTED_VALUE"""),8.95334131328E11)</f>
        <v>895334131328</v>
      </c>
      <c r="E253" s="457">
        <f>IFERROR(__xludf.DUMMYFUNCTION("""COMPUTED_VALUE"""),0.0)</f>
        <v>0</v>
      </c>
      <c r="F253" s="270">
        <f>IFERROR(__xludf.DUMMYFUNCTION("""COMPUTED_VALUE"""),4.0)</f>
        <v>4</v>
      </c>
      <c r="G253" s="17" t="str">
        <f>IFERROR(__xludf.DUMMYFUNCTION("""COMPUTED_VALUE"""),"Full Set")</f>
        <v>Full Set</v>
      </c>
      <c r="H253" s="17"/>
      <c r="I253" s="262"/>
      <c r="J253" s="262"/>
      <c r="K253" s="262"/>
      <c r="L253" s="262"/>
      <c r="M253" s="262"/>
    </row>
    <row r="254">
      <c r="A254" s="255" t="str">
        <f>IFERROR(__xludf.DUMMYFUNCTION("""COMPUTED_VALUE"""),"NANO")</f>
        <v>NANO</v>
      </c>
      <c r="B254" s="23" t="str">
        <f>IFERROR(__xludf.DUMMYFUNCTION("""COMPUTED_VALUE"""),"user000032541")</f>
        <v>user000032541</v>
      </c>
      <c r="C254" s="257" t="str">
        <f>IFERROR(__xludf.DUMMYFUNCTION("""COMPUTED_VALUE"""),"https://www.tiktok.com/@user000032541")</f>
        <v>https://www.tiktok.com/@user000032541</v>
      </c>
      <c r="D254" s="23">
        <f>IFERROR(__xludf.DUMMYFUNCTION("""COMPUTED_VALUE"""),8.1295538513E10)</f>
        <v>81295538513</v>
      </c>
      <c r="E254" s="457">
        <f>IFERROR(__xludf.DUMMYFUNCTION("""COMPUTED_VALUE"""),0.0)</f>
        <v>0</v>
      </c>
      <c r="F254" s="270">
        <f>IFERROR(__xludf.DUMMYFUNCTION("""COMPUTED_VALUE"""),4.0)</f>
        <v>4</v>
      </c>
      <c r="G254" s="17" t="str">
        <f>IFERROR(__xludf.DUMMYFUNCTION("""COMPUTED_VALUE"""),"Full Set")</f>
        <v>Full Set</v>
      </c>
      <c r="H254" s="17"/>
      <c r="I254" s="278" t="str">
        <f>IFERROR(__xludf.DUMMYFUNCTION("""COMPUTED_VALUE"""),"https://www.tiktok.com/@user000032541/video/7637817204519554311?is_from_webapp=1&amp;sender_device=pc")</f>
        <v>https://www.tiktok.com/@user000032541/video/7637817204519554311?is_from_webapp=1&amp;sender_device=pc</v>
      </c>
      <c r="J254" s="278" t="str">
        <f>IFERROR(__xludf.DUMMYFUNCTION("""COMPUTED_VALUE"""),"https://www.tiktok.com/@user000032541/video/7638602436462087432?is_from_webapp=1&amp;sender_device=pc")</f>
        <v>https://www.tiktok.com/@user000032541/video/7638602436462087432?is_from_webapp=1&amp;sender_device=pc</v>
      </c>
      <c r="K254" s="278" t="str">
        <f>IFERROR(__xludf.DUMMYFUNCTION("""COMPUTED_VALUE"""),"https://www.tiktok.com/@user000032541/video/7639067443230543122?is_from_webapp=1&amp;sender_device=pc")</f>
        <v>https://www.tiktok.com/@user000032541/video/7639067443230543122?is_from_webapp=1&amp;sender_device=pc</v>
      </c>
      <c r="L254" s="278" t="str">
        <f>IFERROR(__xludf.DUMMYFUNCTION("""COMPUTED_VALUE"""),"https://www.tiktok.com/@user000032541/video/7639558407539789063?is_from_webapp=1&amp;sender_device=pc")</f>
        <v>https://www.tiktok.com/@user000032541/video/7639558407539789063?is_from_webapp=1&amp;sender_device=pc</v>
      </c>
      <c r="M254" s="262"/>
    </row>
    <row r="255">
      <c r="A255" s="255" t="str">
        <f>IFERROR(__xludf.DUMMYFUNCTION("""COMPUTED_VALUE"""),"NANO")</f>
        <v>NANO</v>
      </c>
      <c r="B255" s="23" t="str">
        <f>IFERROR(__xludf.DUMMYFUNCTION("""COMPUTED_VALUE"""),"mira_sa11")</f>
        <v>mira_sa11</v>
      </c>
      <c r="C255" s="257" t="str">
        <f>IFERROR(__xludf.DUMMYFUNCTION("""COMPUTED_VALUE"""),"https://www.tiktok.com/@mira_sa11")</f>
        <v>https://www.tiktok.com/@mira_sa11</v>
      </c>
      <c r="D255" s="23">
        <f>IFERROR(__xludf.DUMMYFUNCTION("""COMPUTED_VALUE"""),8.9526918805E10)</f>
        <v>89526918805</v>
      </c>
      <c r="E255" s="457">
        <f>IFERROR(__xludf.DUMMYFUNCTION("""COMPUTED_VALUE"""),0.0)</f>
        <v>0</v>
      </c>
      <c r="F255" s="270">
        <f>IFERROR(__xludf.DUMMYFUNCTION("""COMPUTED_VALUE"""),4.0)</f>
        <v>4</v>
      </c>
      <c r="G255" s="17" t="str">
        <f>IFERROR(__xludf.DUMMYFUNCTION("""COMPUTED_VALUE"""),"Full Set")</f>
        <v>Full Set</v>
      </c>
      <c r="H255" s="17"/>
      <c r="I255" s="278" t="str">
        <f>IFERROR(__xludf.DUMMYFUNCTION("""COMPUTED_VALUE"""),"https://www.tiktok.com/@mira_sa11/video/7642309396562840839?is_from_webapp=1&amp;sender_device=pc")</f>
        <v>https://www.tiktok.com/@mira_sa11/video/7642309396562840839?is_from_webapp=1&amp;sender_device=pc</v>
      </c>
      <c r="J255" s="278" t="str">
        <f>IFERROR(__xludf.DUMMYFUNCTION("""COMPUTED_VALUE"""),"https://www.tiktok.com/@mira_sa11/video/7642366020367158536?is_from_webapp=1&amp;sender_device=pc")</f>
        <v>https://www.tiktok.com/@mira_sa11/video/7642366020367158536?is_from_webapp=1&amp;sender_device=pc</v>
      </c>
      <c r="K255" s="278" t="str">
        <f>IFERROR(__xludf.DUMMYFUNCTION("""COMPUTED_VALUE"""),"https://www.tiktok.com/@mira_sa11/video/7642488903043255570?is_from_webapp=1&amp;sender_device=pc")</f>
        <v>https://www.tiktok.com/@mira_sa11/video/7642488903043255570?is_from_webapp=1&amp;sender_device=pc</v>
      </c>
      <c r="L255" s="262"/>
      <c r="M255" s="262"/>
    </row>
    <row r="256">
      <c r="A256" s="255" t="str">
        <f>IFERROR(__xludf.DUMMYFUNCTION("""COMPUTED_VALUE"""),"NANO")</f>
        <v>NANO</v>
      </c>
      <c r="B256" s="23" t="str">
        <f>IFERROR(__xludf.DUMMYFUNCTION("""COMPUTED_VALUE"""),"Rzkamalia07_")</f>
        <v>Rzkamalia07_</v>
      </c>
      <c r="C256" s="257" t="str">
        <f>IFERROR(__xludf.DUMMYFUNCTION("""COMPUTED_VALUE"""),"https://www.tiktok.com/@Rzkamalia07_")</f>
        <v>https://www.tiktok.com/@Rzkamalia07_</v>
      </c>
      <c r="D256" s="23">
        <f>IFERROR(__xludf.DUMMYFUNCTION("""COMPUTED_VALUE"""),8.5892669694E10)</f>
        <v>85892669694</v>
      </c>
      <c r="E256" s="457">
        <f>IFERROR(__xludf.DUMMYFUNCTION("""COMPUTED_VALUE"""),0.0)</f>
        <v>0</v>
      </c>
      <c r="F256" s="270">
        <f>IFERROR(__xludf.DUMMYFUNCTION("""COMPUTED_VALUE"""),4.0)</f>
        <v>4</v>
      </c>
      <c r="G256" s="17" t="str">
        <f>IFERROR(__xludf.DUMMYFUNCTION("""COMPUTED_VALUE"""),"Full Set")</f>
        <v>Full Set</v>
      </c>
      <c r="H256" s="17"/>
      <c r="I256" s="278" t="str">
        <f>IFERROR(__xludf.DUMMYFUNCTION("""COMPUTED_VALUE"""),"https://www.tiktok.com/@rzkamalia07_/video/7641633967808105748?is_from_webapp=1&amp;sender_device=pc")</f>
        <v>https://www.tiktok.com/@rzkamalia07_/video/7641633967808105748?is_from_webapp=1&amp;sender_device=pc</v>
      </c>
      <c r="J256" s="278" t="str">
        <f>IFERROR(__xludf.DUMMYFUNCTION("""COMPUTED_VALUE"""),"https://www.tiktok.com/@rzkamalia07_/video/7642222654467951892?is_from_webapp=1&amp;sender_device=pc")</f>
        <v>https://www.tiktok.com/@rzkamalia07_/video/7642222654467951892?is_from_webapp=1&amp;sender_device=pc</v>
      </c>
      <c r="K256" s="278" t="str">
        <f>IFERROR(__xludf.DUMMYFUNCTION("""COMPUTED_VALUE"""),"https://www.tiktok.com/@rzkamalia07_/video/7642429241556176149?is_from_webapp=1&amp;sender_device=pc")</f>
        <v>https://www.tiktok.com/@rzkamalia07_/video/7642429241556176149?is_from_webapp=1&amp;sender_device=pc</v>
      </c>
      <c r="L256" s="262"/>
      <c r="M256" s="262"/>
    </row>
    <row r="257">
      <c r="A257" s="255" t="str">
        <f>IFERROR(__xludf.DUMMYFUNCTION("""COMPUTED_VALUE"""),"MICRO")</f>
        <v>MICRO</v>
      </c>
      <c r="B257" s="23" t="str">
        <f>IFERROR(__xludf.DUMMYFUNCTION("""COMPUTED_VALUE"""),"ristarstya11")</f>
        <v>ristarstya11</v>
      </c>
      <c r="C257" s="257" t="str">
        <f>IFERROR(__xludf.DUMMYFUNCTION("""COMPUTED_VALUE"""),"https://www.tiktok.com/@ristarstya11")</f>
        <v>https://www.tiktok.com/@ristarstya11</v>
      </c>
      <c r="D257" s="23">
        <f>IFERROR(__xludf.DUMMYFUNCTION("""COMPUTED_VALUE"""),8.3856590732E10)</f>
        <v>83856590732</v>
      </c>
      <c r="E257" s="457">
        <f>IFERROR(__xludf.DUMMYFUNCTION("""COMPUTED_VALUE"""),0.0)</f>
        <v>0</v>
      </c>
      <c r="F257" s="270">
        <f>IFERROR(__xludf.DUMMYFUNCTION("""COMPUTED_VALUE"""),4.0)</f>
        <v>4</v>
      </c>
      <c r="G257" s="17" t="str">
        <f>IFERROR(__xludf.DUMMYFUNCTION("""COMPUTED_VALUE"""),"Full Set")</f>
        <v>Full Set</v>
      </c>
      <c r="H257" s="17"/>
      <c r="I257" s="262"/>
      <c r="J257" s="262"/>
      <c r="K257" s="262"/>
      <c r="L257" s="262"/>
      <c r="M257" s="262"/>
    </row>
    <row r="258">
      <c r="A258" s="255" t="str">
        <f>IFERROR(__xludf.DUMMYFUNCTION("""COMPUTED_VALUE"""),"MICRO")</f>
        <v>MICRO</v>
      </c>
      <c r="B258" s="23" t="str">
        <f>IFERROR(__xludf.DUMMYFUNCTION("""COMPUTED_VALUE"""),"cahyaa102")</f>
        <v>cahyaa102</v>
      </c>
      <c r="C258" s="257" t="str">
        <f>IFERROR(__xludf.DUMMYFUNCTION("""COMPUTED_VALUE"""),"https://www.tiktok.com/@cahyaa102")</f>
        <v>https://www.tiktok.com/@cahyaa102</v>
      </c>
      <c r="D258" s="23">
        <f>IFERROR(__xludf.DUMMYFUNCTION("""COMPUTED_VALUE"""),8.8806328326E10)</f>
        <v>88806328326</v>
      </c>
      <c r="E258" s="457">
        <f>IFERROR(__xludf.DUMMYFUNCTION("""COMPUTED_VALUE"""),0.0)</f>
        <v>0</v>
      </c>
      <c r="F258" s="270">
        <f>IFERROR(__xludf.DUMMYFUNCTION("""COMPUTED_VALUE"""),4.0)</f>
        <v>4</v>
      </c>
      <c r="G258" s="17" t="str">
        <f>IFERROR(__xludf.DUMMYFUNCTION("""COMPUTED_VALUE"""),"Full Set")</f>
        <v>Full Set</v>
      </c>
      <c r="H258" s="17"/>
      <c r="I258" s="278" t="str">
        <f>IFERROR(__xludf.DUMMYFUNCTION("""COMPUTED_VALUE"""),"https://www.tiktok.com/@cahyaa102/video/7638820925919513877?is_from_webapp=1&amp;sender_device=pc")</f>
        <v>https://www.tiktok.com/@cahyaa102/video/7638820925919513877?is_from_webapp=1&amp;sender_device=pc</v>
      </c>
      <c r="J258" s="278" t="str">
        <f>IFERROR(__xludf.DUMMYFUNCTION("""COMPUTED_VALUE"""),"https://www.tiktok.com/@cahyaa102/video/7639610577198812436?is_from_webapp=1&amp;sender_device=pc")</f>
        <v>https://www.tiktok.com/@cahyaa102/video/7639610577198812436?is_from_webapp=1&amp;sender_device=pc</v>
      </c>
      <c r="K258" s="278" t="str">
        <f>IFERROR(__xludf.DUMMYFUNCTION("""COMPUTED_VALUE"""),"https://www.tiktok.com/@cahyaa102/video/7640030480892513556?is_from_webapp=1&amp;sender_device=pc")</f>
        <v>https://www.tiktok.com/@cahyaa102/video/7640030480892513556?is_from_webapp=1&amp;sender_device=pc</v>
      </c>
      <c r="L258" s="278" t="str">
        <f>IFERROR(__xludf.DUMMYFUNCTION("""COMPUTED_VALUE"""),"https://www.tiktok.com/@cahyaa102/video/7641213158358617364?is_from_webapp=1&amp;sender_device=pc")</f>
        <v>https://www.tiktok.com/@cahyaa102/video/7641213158358617364?is_from_webapp=1&amp;sender_device=pc</v>
      </c>
      <c r="M258" s="262"/>
    </row>
    <row r="259">
      <c r="A259" s="255" t="str">
        <f>IFERROR(__xludf.DUMMYFUNCTION("""COMPUTED_VALUE"""),"MICRO")</f>
        <v>MICRO</v>
      </c>
      <c r="B259" s="23" t="str">
        <f>IFERROR(__xludf.DUMMYFUNCTION("""COMPUTED_VALUE"""),"berkah.glosir")</f>
        <v>berkah.glosir</v>
      </c>
      <c r="C259" s="257" t="str">
        <f>IFERROR(__xludf.DUMMYFUNCTION("""COMPUTED_VALUE"""),"https://www.tiktok.com/@berkah.glosir")</f>
        <v>https://www.tiktok.com/@berkah.glosir</v>
      </c>
      <c r="D259" s="23">
        <f>IFERROR(__xludf.DUMMYFUNCTION("""COMPUTED_VALUE"""),8.9646308571E10)</f>
        <v>89646308571</v>
      </c>
      <c r="E259" s="457">
        <f>IFERROR(__xludf.DUMMYFUNCTION("""COMPUTED_VALUE"""),0.0)</f>
        <v>0</v>
      </c>
      <c r="F259" s="270">
        <f>IFERROR(__xludf.DUMMYFUNCTION("""COMPUTED_VALUE"""),4.0)</f>
        <v>4</v>
      </c>
      <c r="G259" s="17" t="str">
        <f>IFERROR(__xludf.DUMMYFUNCTION("""COMPUTED_VALUE"""),"Full Set")</f>
        <v>Full Set</v>
      </c>
      <c r="H259" s="17"/>
      <c r="I259" s="278" t="str">
        <f>IFERROR(__xludf.DUMMYFUNCTION("""COMPUTED_VALUE"""),"https://www.tiktok.com/@berkah.glosir/video/7638543352438197525?is_from_webapp=1&amp;sender_device=pc")</f>
        <v>https://www.tiktok.com/@berkah.glosir/video/7638543352438197525?is_from_webapp=1&amp;sender_device=pc</v>
      </c>
      <c r="J259" s="278" t="str">
        <f>IFERROR(__xludf.DUMMYFUNCTION("""COMPUTED_VALUE"""),"https://www.tiktok.com/@berkah.glosir/video/7638547533651873044?is_from_webapp=1&amp;sender_device=pc")</f>
        <v>https://www.tiktok.com/@berkah.glosir/video/7638547533651873044?is_from_webapp=1&amp;sender_device=pc</v>
      </c>
      <c r="K259" s="278" t="str">
        <f>IFERROR(__xludf.DUMMYFUNCTION("""COMPUTED_VALUE"""),"https://www.tiktok.com/@berkah.glosir/video/7638548121579982101?is_from_webapp=1&amp;sender_device=pc")</f>
        <v>https://www.tiktok.com/@berkah.glosir/video/7638548121579982101?is_from_webapp=1&amp;sender_device=pc</v>
      </c>
      <c r="L259" s="278" t="str">
        <f>IFERROR(__xludf.DUMMYFUNCTION("""COMPUTED_VALUE"""),"https://www.tiktok.com/@berkah.glosir/video/7638549909825785108?is_from_webapp=1&amp;sender_device=pc")</f>
        <v>https://www.tiktok.com/@berkah.glosir/video/7638549909825785108?is_from_webapp=1&amp;sender_device=pc</v>
      </c>
      <c r="M259" s="262"/>
    </row>
    <row r="260">
      <c r="A260" s="255" t="str">
        <f>IFERROR(__xludf.DUMMYFUNCTION("""COMPUTED_VALUE"""),"MICRO")</f>
        <v>MICRO</v>
      </c>
      <c r="B260" s="23" t="str">
        <f>IFERROR(__xludf.DUMMYFUNCTION("""COMPUTED_VALUE"""),"santikartika95")</f>
        <v>santikartika95</v>
      </c>
      <c r="C260" s="257" t="str">
        <f>IFERROR(__xludf.DUMMYFUNCTION("""COMPUTED_VALUE"""),"https://www.tiktok.com/@santikartika95")</f>
        <v>https://www.tiktok.com/@santikartika95</v>
      </c>
      <c r="D260" s="23">
        <f>IFERROR(__xludf.DUMMYFUNCTION("""COMPUTED_VALUE"""),8.9646308571E10)</f>
        <v>89646308571</v>
      </c>
      <c r="E260" s="457">
        <f>IFERROR(__xludf.DUMMYFUNCTION("""COMPUTED_VALUE"""),0.0)</f>
        <v>0</v>
      </c>
      <c r="F260" s="270">
        <f>IFERROR(__xludf.DUMMYFUNCTION("""COMPUTED_VALUE"""),4.0)</f>
        <v>4</v>
      </c>
      <c r="G260" s="17" t="str">
        <f>IFERROR(__xludf.DUMMYFUNCTION("""COMPUTED_VALUE"""),"Full Set")</f>
        <v>Full Set</v>
      </c>
      <c r="H260" s="17"/>
      <c r="I260" s="262"/>
      <c r="J260" s="262"/>
      <c r="K260" s="262"/>
      <c r="L260" s="262"/>
      <c r="M260" s="262"/>
    </row>
    <row r="261">
      <c r="A261" s="255" t="str">
        <f>IFERROR(__xludf.DUMMYFUNCTION("""COMPUTED_VALUE"""),"MICRO")</f>
        <v>MICRO</v>
      </c>
      <c r="B261" s="23" t="str">
        <f>IFERROR(__xludf.DUMMYFUNCTION("""COMPUTED_VALUE"""),"ndiranavsyari")</f>
        <v>ndiranavsyari</v>
      </c>
      <c r="C261" s="257" t="str">
        <f>IFERROR(__xludf.DUMMYFUNCTION("""COMPUTED_VALUE"""),"https://www.tiktok.com/@ndiranavsyari")</f>
        <v>https://www.tiktok.com/@ndiranavsyari</v>
      </c>
      <c r="D261" s="23">
        <f>IFERROR(__xludf.DUMMYFUNCTION("""COMPUTED_VALUE"""),8.5751160469E10)</f>
        <v>85751160469</v>
      </c>
      <c r="E261" s="457">
        <f>IFERROR(__xludf.DUMMYFUNCTION("""COMPUTED_VALUE"""),0.0)</f>
        <v>0</v>
      </c>
      <c r="F261" s="270">
        <f>IFERROR(__xludf.DUMMYFUNCTION("""COMPUTED_VALUE"""),2.0)</f>
        <v>2</v>
      </c>
      <c r="G261" s="17" t="str">
        <f>IFERROR(__xludf.DUMMYFUNCTION("""COMPUTED_VALUE"""),"Full Set")</f>
        <v>Full Set</v>
      </c>
      <c r="H261" s="17"/>
      <c r="I261" s="262"/>
      <c r="J261" s="262"/>
      <c r="K261" s="262"/>
      <c r="L261" s="262"/>
      <c r="M261" s="262"/>
    </row>
    <row r="262">
      <c r="A262" s="255" t="str">
        <f>IFERROR(__xludf.DUMMYFUNCTION("""COMPUTED_VALUE"""),"MICRO")</f>
        <v>MICRO</v>
      </c>
      <c r="B262" s="23" t="str">
        <f>IFERROR(__xludf.DUMMYFUNCTION("""COMPUTED_VALUE"""),"kaaaaast")</f>
        <v>kaaaaast</v>
      </c>
      <c r="C262" s="257" t="str">
        <f>IFERROR(__xludf.DUMMYFUNCTION("""COMPUTED_VALUE"""),"https://www.tiktok.com/@kaaaaast")</f>
        <v>https://www.tiktok.com/@kaaaaast</v>
      </c>
      <c r="D262" s="23">
        <f>IFERROR(__xludf.DUMMYFUNCTION("""COMPUTED_VALUE"""),8.2243166916E10)</f>
        <v>82243166916</v>
      </c>
      <c r="E262" s="457">
        <f>IFERROR(__xludf.DUMMYFUNCTION("""COMPUTED_VALUE"""),0.0)</f>
        <v>0</v>
      </c>
      <c r="F262" s="270">
        <f>IFERROR(__xludf.DUMMYFUNCTION("""COMPUTED_VALUE"""),4.0)</f>
        <v>4</v>
      </c>
      <c r="G262" s="17" t="str">
        <f>IFERROR(__xludf.DUMMYFUNCTION("""COMPUTED_VALUE"""),"Full Set")</f>
        <v>Full Set</v>
      </c>
      <c r="H262" s="17"/>
      <c r="I262" s="278" t="str">
        <f>IFERROR(__xludf.DUMMYFUNCTION("""COMPUTED_VALUE"""),"https://www.tiktok.com/@kaaaaast/video/7639724836599762194?is_from_webapp=1&amp;sender_device=pc")</f>
        <v>https://www.tiktok.com/@kaaaaast/video/7639724836599762194?is_from_webapp=1&amp;sender_device=pc</v>
      </c>
      <c r="J262" s="278" t="str">
        <f>IFERROR(__xludf.DUMMYFUNCTION("""COMPUTED_VALUE"""),"https://www.tiktok.com/@kaaaaast/video/7642545378151238930?is_from_webapp=1&amp;sender_device=pc")</f>
        <v>https://www.tiktok.com/@kaaaaast/video/7642545378151238930?is_from_webapp=1&amp;sender_device=pc</v>
      </c>
      <c r="K262" s="278" t="str">
        <f>IFERROR(__xludf.DUMMYFUNCTION("""COMPUTED_VALUE"""),"https://www.tiktok.com/@kaaaaast/video/7642639932342766856?is_from_webapp=1&amp;sender_device=pc")</f>
        <v>https://www.tiktok.com/@kaaaaast/video/7642639932342766856?is_from_webapp=1&amp;sender_device=pc</v>
      </c>
      <c r="L262" s="262"/>
      <c r="M262" s="262"/>
    </row>
    <row r="263">
      <c r="A263" s="255" t="str">
        <f>IFERROR(__xludf.DUMMYFUNCTION("""COMPUTED_VALUE"""),"MICRO")</f>
        <v>MICRO</v>
      </c>
      <c r="B263" s="23" t="str">
        <f>IFERROR(__xludf.DUMMYFUNCTION("""COMPUTED_VALUE"""),"anitanursyifa")</f>
        <v>anitanursyifa</v>
      </c>
      <c r="C263" s="257" t="str">
        <f>IFERROR(__xludf.DUMMYFUNCTION("""COMPUTED_VALUE"""),"https://www.tiktok.com/@anitanursyifa")</f>
        <v>https://www.tiktok.com/@anitanursyifa</v>
      </c>
      <c r="D263" s="23">
        <f>IFERROR(__xludf.DUMMYFUNCTION("""COMPUTED_VALUE"""),8.1398972153E10)</f>
        <v>81398972153</v>
      </c>
      <c r="E263" s="457">
        <f>IFERROR(__xludf.DUMMYFUNCTION("""COMPUTED_VALUE"""),0.0)</f>
        <v>0</v>
      </c>
      <c r="F263" s="270">
        <f>IFERROR(__xludf.DUMMYFUNCTION("""COMPUTED_VALUE"""),4.0)</f>
        <v>4</v>
      </c>
      <c r="G263" s="17" t="str">
        <f>IFERROR(__xludf.DUMMYFUNCTION("""COMPUTED_VALUE"""),"Full Set")</f>
        <v>Full Set</v>
      </c>
      <c r="H263" s="17"/>
      <c r="I263" s="278" t="str">
        <f>IFERROR(__xludf.DUMMYFUNCTION("""COMPUTED_VALUE"""),"https://www.tiktok.com/@anitanursyifa/video/7638656902368414997?is_from_webapp=1&amp;sender_device=pc")</f>
        <v>https://www.tiktok.com/@anitanursyifa/video/7638656902368414997?is_from_webapp=1&amp;sender_device=pc</v>
      </c>
      <c r="J263" s="278" t="str">
        <f>IFERROR(__xludf.DUMMYFUNCTION("""COMPUTED_VALUE"""),"https://www.tiktok.com/@anitanursyifa/video/7641915552553880852?is_from_webapp=1&amp;sender_device=pc")</f>
        <v>https://www.tiktok.com/@anitanursyifa/video/7641915552553880852?is_from_webapp=1&amp;sender_device=pc</v>
      </c>
      <c r="K263" s="262"/>
      <c r="L263" s="262"/>
      <c r="M263" s="262"/>
    </row>
    <row r="264">
      <c r="A264" s="255" t="str">
        <f>IFERROR(__xludf.DUMMYFUNCTION("""COMPUTED_VALUE"""),"MICRO")</f>
        <v>MICRO</v>
      </c>
      <c r="B264" s="23" t="str">
        <f>IFERROR(__xludf.DUMMYFUNCTION("""COMPUTED_VALUE"""),"afni01235")</f>
        <v>afni01235</v>
      </c>
      <c r="C264" s="257" t="str">
        <f>IFERROR(__xludf.DUMMYFUNCTION("""COMPUTED_VALUE"""),"https://www.tiktok.com/@afni01235")</f>
        <v>https://www.tiktok.com/@afni01235</v>
      </c>
      <c r="D264" s="23">
        <f>IFERROR(__xludf.DUMMYFUNCTION("""COMPUTED_VALUE"""),8.1536284145E10)</f>
        <v>81536284145</v>
      </c>
      <c r="E264" s="457">
        <f>IFERROR(__xludf.DUMMYFUNCTION("""COMPUTED_VALUE"""),0.0)</f>
        <v>0</v>
      </c>
      <c r="F264" s="270">
        <f>IFERROR(__xludf.DUMMYFUNCTION("""COMPUTED_VALUE"""),4.0)</f>
        <v>4</v>
      </c>
      <c r="G264" s="17" t="str">
        <f>IFERROR(__xludf.DUMMYFUNCTION("""COMPUTED_VALUE"""),"Full Set")</f>
        <v>Full Set</v>
      </c>
      <c r="H264" s="17"/>
      <c r="I264" s="278" t="str">
        <f>IFERROR(__xludf.DUMMYFUNCTION("""COMPUTED_VALUE"""),"https://www.tiktok.com/@afni01235/video/7638926689510214920?is_from_webapp=1&amp;sender_device=pc")</f>
        <v>https://www.tiktok.com/@afni01235/video/7638926689510214920?is_from_webapp=1&amp;sender_device=pc</v>
      </c>
      <c r="J264" s="278" t="str">
        <f>IFERROR(__xludf.DUMMYFUNCTION("""COMPUTED_VALUE"""),"https://www.tiktok.com/@afni01235/video/7639294597889363207?is_from_webapp=1&amp;sender_device=pc")</f>
        <v>https://www.tiktok.com/@afni01235/video/7639294597889363207?is_from_webapp=1&amp;sender_device=pc</v>
      </c>
      <c r="K264" s="278" t="str">
        <f>IFERROR(__xludf.DUMMYFUNCTION("""COMPUTED_VALUE"""),"https://www.tiktok.com/@afni01235/video/7641469400326901000?is_from_webapp=1&amp;sender_device=pc")</f>
        <v>https://www.tiktok.com/@afni01235/video/7641469400326901000?is_from_webapp=1&amp;sender_device=pc</v>
      </c>
      <c r="L264" s="262"/>
      <c r="M264" s="262"/>
    </row>
    <row r="265">
      <c r="A265" s="255" t="str">
        <f>IFERROR(__xludf.DUMMYFUNCTION("""COMPUTED_VALUE"""),"MICRO")</f>
        <v>MICRO</v>
      </c>
      <c r="B265" s="23" t="str">
        <f>IFERROR(__xludf.DUMMYFUNCTION("""COMPUTED_VALUE"""),"maydarafsha")</f>
        <v>maydarafsha</v>
      </c>
      <c r="C265" s="257" t="str">
        <f>IFERROR(__xludf.DUMMYFUNCTION("""COMPUTED_VALUE"""),"https://www.tiktok.com/@maydarafsha")</f>
        <v>https://www.tiktok.com/@maydarafsha</v>
      </c>
      <c r="D265" s="23">
        <f>IFERROR(__xludf.DUMMYFUNCTION("""COMPUTED_VALUE"""),8.5850688023E10)</f>
        <v>85850688023</v>
      </c>
      <c r="E265" s="457">
        <f>IFERROR(__xludf.DUMMYFUNCTION("""COMPUTED_VALUE"""),0.0)</f>
        <v>0</v>
      </c>
      <c r="F265" s="270">
        <f>IFERROR(__xludf.DUMMYFUNCTION("""COMPUTED_VALUE"""),4.0)</f>
        <v>4</v>
      </c>
      <c r="G265" s="17" t="str">
        <f>IFERROR(__xludf.DUMMYFUNCTION("""COMPUTED_VALUE"""),"Full Set")</f>
        <v>Full Set</v>
      </c>
      <c r="H265" s="17"/>
      <c r="I265" s="262"/>
      <c r="J265" s="262"/>
      <c r="K265" s="262"/>
      <c r="L265" s="262"/>
      <c r="M265" s="262"/>
    </row>
    <row r="266">
      <c r="A266" s="255" t="str">
        <f>IFERROR(__xludf.DUMMYFUNCTION("""COMPUTED_VALUE"""),"MICRO")</f>
        <v>MICRO</v>
      </c>
      <c r="B266" s="23" t="str">
        <f>IFERROR(__xludf.DUMMYFUNCTION("""COMPUTED_VALUE"""),"hidayatibintizamzami")</f>
        <v>hidayatibintizamzami</v>
      </c>
      <c r="C266" s="257" t="str">
        <f>IFERROR(__xludf.DUMMYFUNCTION("""COMPUTED_VALUE"""),"https://www.tiktok.com/@hidayatibintizamzami")</f>
        <v>https://www.tiktok.com/@hidayatibintizamzami</v>
      </c>
      <c r="D266" s="23">
        <f>IFERROR(__xludf.DUMMYFUNCTION("""COMPUTED_VALUE"""),8.1232078367E10)</f>
        <v>81232078367</v>
      </c>
      <c r="E266" s="457">
        <f>IFERROR(__xludf.DUMMYFUNCTION("""COMPUTED_VALUE"""),0.0)</f>
        <v>0</v>
      </c>
      <c r="F266" s="270">
        <f>IFERROR(__xludf.DUMMYFUNCTION("""COMPUTED_VALUE"""),4.0)</f>
        <v>4</v>
      </c>
      <c r="G266" s="17" t="str">
        <f>IFERROR(__xludf.DUMMYFUNCTION("""COMPUTED_VALUE"""),"Full Set")</f>
        <v>Full Set</v>
      </c>
      <c r="H266" s="17"/>
      <c r="I266" s="262"/>
      <c r="J266" s="262"/>
      <c r="K266" s="262"/>
      <c r="L266" s="262"/>
      <c r="M266" s="262"/>
    </row>
    <row r="267">
      <c r="A267" s="255" t="str">
        <f>IFERROR(__xludf.DUMMYFUNCTION("""COMPUTED_VALUE"""),"MICRO")</f>
        <v>MICRO</v>
      </c>
      <c r="B267" s="23" t="str">
        <f>IFERROR(__xludf.DUMMYFUNCTION("""COMPUTED_VALUE"""),"tiaaajaaa93")</f>
        <v>tiaaajaaa93</v>
      </c>
      <c r="C267" s="257" t="str">
        <f>IFERROR(__xludf.DUMMYFUNCTION("""COMPUTED_VALUE"""),"https://www.tiktok.com/@tiaaajaaa93")</f>
        <v>https://www.tiktok.com/@tiaaajaaa93</v>
      </c>
      <c r="D267" s="23">
        <f>IFERROR(__xludf.DUMMYFUNCTION("""COMPUTED_VALUE"""),8.1358821107E10)</f>
        <v>81358821107</v>
      </c>
      <c r="E267" s="457">
        <f>IFERROR(__xludf.DUMMYFUNCTION("""COMPUTED_VALUE"""),0.0)</f>
        <v>0</v>
      </c>
      <c r="F267" s="270">
        <f>IFERROR(__xludf.DUMMYFUNCTION("""COMPUTED_VALUE"""),4.0)</f>
        <v>4</v>
      </c>
      <c r="G267" s="17" t="str">
        <f>IFERROR(__xludf.DUMMYFUNCTION("""COMPUTED_VALUE"""),"Full Set")</f>
        <v>Full Set</v>
      </c>
      <c r="H267" s="17"/>
      <c r="I267" s="278" t="str">
        <f>IFERROR(__xludf.DUMMYFUNCTION("""COMPUTED_VALUE"""),"https://www.tiktok.com/@tiaaajaaa93/video/7641117896474692885?is_from_webapp=1&amp;sender_device=pc")</f>
        <v>https://www.tiktok.com/@tiaaajaaa93/video/7641117896474692885?is_from_webapp=1&amp;sender_device=pc</v>
      </c>
      <c r="J267" s="262"/>
      <c r="K267" s="262"/>
      <c r="L267" s="262"/>
      <c r="M267" s="262"/>
    </row>
    <row r="268">
      <c r="A268" s="255" t="str">
        <f>IFERROR(__xludf.DUMMYFUNCTION("""COMPUTED_VALUE"""),"MACRO")</f>
        <v>MACRO</v>
      </c>
      <c r="B268" s="23" t="str">
        <f>IFERROR(__xludf.DUMMYFUNCTION("""COMPUTED_VALUE"""),"mutiarabintang.2")</f>
        <v>mutiarabintang.2</v>
      </c>
      <c r="C268" s="257" t="str">
        <f>IFERROR(__xludf.DUMMYFUNCTION("""COMPUTED_VALUE"""),"https://www.tiktok.com/@mutiarabintang.2")</f>
        <v>https://www.tiktok.com/@mutiarabintang.2</v>
      </c>
      <c r="D268" s="23">
        <f>IFERROR(__xludf.DUMMYFUNCTION("""COMPUTED_VALUE"""),8.5363217189E10)</f>
        <v>85363217189</v>
      </c>
      <c r="E268" s="457">
        <f>IFERROR(__xludf.DUMMYFUNCTION("""COMPUTED_VALUE"""),0.0)</f>
        <v>0</v>
      </c>
      <c r="F268" s="270">
        <f>IFERROR(__xludf.DUMMYFUNCTION("""COMPUTED_VALUE"""),4.0)</f>
        <v>4</v>
      </c>
      <c r="G268" s="17" t="str">
        <f>IFERROR(__xludf.DUMMYFUNCTION("""COMPUTED_VALUE"""),"Full Set")</f>
        <v>Full Set</v>
      </c>
      <c r="H268" s="17"/>
      <c r="I268" s="262"/>
      <c r="J268" s="262"/>
      <c r="K268" s="262"/>
      <c r="L268" s="262"/>
      <c r="M268" s="262"/>
    </row>
    <row r="269">
      <c r="A269" s="255" t="str">
        <f>IFERROR(__xludf.DUMMYFUNCTION("""COMPUTED_VALUE"""),"MICRO")</f>
        <v>MICRO</v>
      </c>
      <c r="B269" s="23" t="str">
        <f>IFERROR(__xludf.DUMMYFUNCTION("""COMPUTED_VALUE"""),"dncnadya")</f>
        <v>dncnadya</v>
      </c>
      <c r="C269" s="257" t="str">
        <f>IFERROR(__xludf.DUMMYFUNCTION("""COMPUTED_VALUE"""),"https://www.tiktok.com/@dncnadya")</f>
        <v>https://www.tiktok.com/@dncnadya</v>
      </c>
      <c r="D269" s="23">
        <f>IFERROR(__xludf.DUMMYFUNCTION("""COMPUTED_VALUE"""),8.1386556626E10)</f>
        <v>81386556626</v>
      </c>
      <c r="E269" s="457">
        <f>IFERROR(__xludf.DUMMYFUNCTION("""COMPUTED_VALUE"""),0.0)</f>
        <v>0</v>
      </c>
      <c r="F269" s="270">
        <f>IFERROR(__xludf.DUMMYFUNCTION("""COMPUTED_VALUE"""),4.0)</f>
        <v>4</v>
      </c>
      <c r="G269" s="17" t="str">
        <f>IFERROR(__xludf.DUMMYFUNCTION("""COMPUTED_VALUE"""),"Full Set")</f>
        <v>Full Set</v>
      </c>
      <c r="H269" s="17"/>
      <c r="I269" s="262"/>
      <c r="J269" s="262"/>
      <c r="K269" s="262"/>
      <c r="L269" s="262"/>
      <c r="M269" s="262"/>
    </row>
    <row r="270">
      <c r="A270" s="255" t="str">
        <f>IFERROR(__xludf.DUMMYFUNCTION("""COMPUTED_VALUE"""),"NANO")</f>
        <v>NANO</v>
      </c>
      <c r="B270" s="23" t="str">
        <f>IFERROR(__xludf.DUMMYFUNCTION("""COMPUTED_VALUE"""),"fashionkuuuu_")</f>
        <v>fashionkuuuu_</v>
      </c>
      <c r="C270" s="257" t="str">
        <f>IFERROR(__xludf.DUMMYFUNCTION("""COMPUTED_VALUE"""),"https://www.tiktok.com/@fashionkuuuu_")</f>
        <v>https://www.tiktok.com/@fashionkuuuu_</v>
      </c>
      <c r="D270" s="23">
        <f>IFERROR(__xludf.DUMMYFUNCTION("""COMPUTED_VALUE"""),8.9624837339E10)</f>
        <v>89624837339</v>
      </c>
      <c r="E270" s="457">
        <f>IFERROR(__xludf.DUMMYFUNCTION("""COMPUTED_VALUE"""),0.0)</f>
        <v>0</v>
      </c>
      <c r="F270" s="270">
        <f>IFERROR(__xludf.DUMMYFUNCTION("""COMPUTED_VALUE"""),4.0)</f>
        <v>4</v>
      </c>
      <c r="G270" s="17" t="str">
        <f>IFERROR(__xludf.DUMMYFUNCTION("""COMPUTED_VALUE"""),"Full Set")</f>
        <v>Full Set</v>
      </c>
      <c r="H270" s="17"/>
      <c r="I270" s="262"/>
      <c r="J270" s="262"/>
      <c r="K270" s="262"/>
      <c r="L270" s="262"/>
      <c r="M270" s="262"/>
    </row>
    <row r="271">
      <c r="A271" s="255" t="str">
        <f>IFERROR(__xludf.DUMMYFUNCTION("""COMPUTED_VALUE"""),"MICRO")</f>
        <v>MICRO</v>
      </c>
      <c r="B271" s="23" t="str">
        <f>IFERROR(__xludf.DUMMYFUNCTION("""COMPUTED_VALUE"""),".anismarsela14")</f>
        <v>.anismarsela14</v>
      </c>
      <c r="C271" s="257" t="str">
        <f>IFERROR(__xludf.DUMMYFUNCTION("""COMPUTED_VALUE"""),"https://www.tiktok.com/@.anismarsela14")</f>
        <v>https://www.tiktok.com/@.anismarsela14</v>
      </c>
      <c r="D271" s="23"/>
      <c r="E271" s="457">
        <f>IFERROR(__xludf.DUMMYFUNCTION("""COMPUTED_VALUE"""),0.0)</f>
        <v>0</v>
      </c>
      <c r="F271" s="270">
        <f>IFERROR(__xludf.DUMMYFUNCTION("""COMPUTED_VALUE"""),4.0)</f>
        <v>4</v>
      </c>
      <c r="G271" s="17" t="str">
        <f>IFERROR(__xludf.DUMMYFUNCTION("""COMPUTED_VALUE"""),"Full Set")</f>
        <v>Full Set</v>
      </c>
      <c r="H271" s="17"/>
      <c r="I271" s="262"/>
      <c r="J271" s="262"/>
      <c r="K271" s="262"/>
      <c r="L271" s="262"/>
      <c r="M271" s="262"/>
    </row>
    <row r="272">
      <c r="A272" s="255" t="str">
        <f>IFERROR(__xludf.DUMMYFUNCTION("""COMPUTED_VALUE"""),"NANO")</f>
        <v>NANO</v>
      </c>
      <c r="B272" s="23" t="str">
        <f>IFERROR(__xludf.DUMMYFUNCTION("""COMPUTED_VALUE"""),"elfss_i")</f>
        <v>elfss_i</v>
      </c>
      <c r="C272" s="257" t="str">
        <f>IFERROR(__xludf.DUMMYFUNCTION("""COMPUTED_VALUE"""),"https://www.tiktok.com/@elfss_i")</f>
        <v>https://www.tiktok.com/@elfss_i</v>
      </c>
      <c r="D272" s="23">
        <f>IFERROR(__xludf.DUMMYFUNCTION("""COMPUTED_VALUE"""),8.587062556E10)</f>
        <v>85870625560</v>
      </c>
      <c r="E272" s="457">
        <f>IFERROR(__xludf.DUMMYFUNCTION("""COMPUTED_VALUE"""),0.0)</f>
        <v>0</v>
      </c>
      <c r="F272" s="270">
        <f>IFERROR(__xludf.DUMMYFUNCTION("""COMPUTED_VALUE"""),4.0)</f>
        <v>4</v>
      </c>
      <c r="G272" s="17" t="str">
        <f>IFERROR(__xludf.DUMMYFUNCTION("""COMPUTED_VALUE"""),"Full Set")</f>
        <v>Full Set</v>
      </c>
      <c r="H272" s="17"/>
      <c r="I272" s="262"/>
      <c r="J272" s="262"/>
      <c r="K272" s="262"/>
      <c r="L272" s="262"/>
      <c r="M272" s="262"/>
    </row>
    <row r="273">
      <c r="A273" s="255" t="str">
        <f>IFERROR(__xludf.DUMMYFUNCTION("""COMPUTED_VALUE"""),"MICRO")</f>
        <v>MICRO</v>
      </c>
      <c r="B273" s="23" t="str">
        <f>IFERROR(__xludf.DUMMYFUNCTION("""COMPUTED_VALUE"""),"indahcavalera")</f>
        <v>indahcavalera</v>
      </c>
      <c r="C273" s="257" t="str">
        <f>IFERROR(__xludf.DUMMYFUNCTION("""COMPUTED_VALUE"""),"https://www.tiktok.com/@indahcavalera")</f>
        <v>https://www.tiktok.com/@indahcavalera</v>
      </c>
      <c r="D273" s="23">
        <f>IFERROR(__xludf.DUMMYFUNCTION("""COMPUTED_VALUE"""),8.2386780288E10)</f>
        <v>82386780288</v>
      </c>
      <c r="E273" s="457">
        <f>IFERROR(__xludf.DUMMYFUNCTION("""COMPUTED_VALUE"""),0.0)</f>
        <v>0</v>
      </c>
      <c r="F273" s="270">
        <f>IFERROR(__xludf.DUMMYFUNCTION("""COMPUTED_VALUE"""),4.0)</f>
        <v>4</v>
      </c>
      <c r="G273" s="17" t="str">
        <f>IFERROR(__xludf.DUMMYFUNCTION("""COMPUTED_VALUE"""),"Full Set")</f>
        <v>Full Set</v>
      </c>
      <c r="H273" s="17"/>
      <c r="I273" s="262"/>
      <c r="J273" s="262"/>
      <c r="K273" s="262"/>
      <c r="L273" s="262"/>
      <c r="M273" s="262"/>
    </row>
    <row r="274">
      <c r="A274" s="255" t="str">
        <f>IFERROR(__xludf.DUMMYFUNCTION("""COMPUTED_VALUE"""),"NANO")</f>
        <v>NANO</v>
      </c>
      <c r="B274" s="23" t="str">
        <f>IFERROR(__xludf.DUMMYFUNCTION("""COMPUTED_VALUE"""),"sevenaque_")</f>
        <v>sevenaque_</v>
      </c>
      <c r="C274" s="257" t="str">
        <f>IFERROR(__xludf.DUMMYFUNCTION("""COMPUTED_VALUE"""),"https://www.tiktok.com/@sevenaque_")</f>
        <v>https://www.tiktok.com/@sevenaque_</v>
      </c>
      <c r="D274" s="23">
        <f>IFERROR(__xludf.DUMMYFUNCTION("""COMPUTED_VALUE"""),8.5837846836E10)</f>
        <v>85837846836</v>
      </c>
      <c r="E274" s="457">
        <f>IFERROR(__xludf.DUMMYFUNCTION("""COMPUTED_VALUE"""),0.0)</f>
        <v>0</v>
      </c>
      <c r="F274" s="270">
        <f>IFERROR(__xludf.DUMMYFUNCTION("""COMPUTED_VALUE"""),4.0)</f>
        <v>4</v>
      </c>
      <c r="G274" s="17" t="str">
        <f>IFERROR(__xludf.DUMMYFUNCTION("""COMPUTED_VALUE"""),"Full Set")</f>
        <v>Full Set</v>
      </c>
      <c r="H274" s="17"/>
      <c r="I274" s="262"/>
      <c r="J274" s="262"/>
      <c r="K274" s="262"/>
      <c r="L274" s="262"/>
      <c r="M274" s="262"/>
    </row>
    <row r="275">
      <c r="A275" s="255" t="str">
        <f>IFERROR(__xludf.DUMMYFUNCTION("""COMPUTED_VALUE"""),"NANO")</f>
        <v>NANO</v>
      </c>
      <c r="B275" s="23" t="str">
        <f>IFERROR(__xludf.DUMMYFUNCTION("""COMPUTED_VALUE"""),"spillbylisaa")</f>
        <v>spillbylisaa</v>
      </c>
      <c r="C275" s="257" t="str">
        <f>IFERROR(__xludf.DUMMYFUNCTION("""COMPUTED_VALUE"""),"https://www.tiktok.com/@spillbylisaa")</f>
        <v>https://www.tiktok.com/@spillbylisaa</v>
      </c>
      <c r="D275" s="23">
        <f>IFERROR(__xludf.DUMMYFUNCTION("""COMPUTED_VALUE"""),8.2360946977E10)</f>
        <v>82360946977</v>
      </c>
      <c r="E275" s="457">
        <f>IFERROR(__xludf.DUMMYFUNCTION("""COMPUTED_VALUE"""),0.0)</f>
        <v>0</v>
      </c>
      <c r="F275" s="270">
        <f>IFERROR(__xludf.DUMMYFUNCTION("""COMPUTED_VALUE"""),4.0)</f>
        <v>4</v>
      </c>
      <c r="G275" s="17" t="str">
        <f>IFERROR(__xludf.DUMMYFUNCTION("""COMPUTED_VALUE"""),"Full Set")</f>
        <v>Full Set</v>
      </c>
      <c r="H275" s="17"/>
      <c r="I275" s="278" t="str">
        <f>IFERROR(__xludf.DUMMYFUNCTION("""COMPUTED_VALUE"""),"https://www.tiktok.com/@spillbylisaa/video/7642175778175601928?is_from_webapp=1&amp;sender_device=pc")</f>
        <v>https://www.tiktok.com/@spillbylisaa/video/7642175778175601928?is_from_webapp=1&amp;sender_device=pc</v>
      </c>
      <c r="J275" s="278" t="str">
        <f>IFERROR(__xludf.DUMMYFUNCTION("""COMPUTED_VALUE"""),"https://www.tiktok.com/@spillbylisaa/video/7644100418041122055?is_from_webapp=1&amp;sender_device=pc")</f>
        <v>https://www.tiktok.com/@spillbylisaa/video/7644100418041122055?is_from_webapp=1&amp;sender_device=pc</v>
      </c>
      <c r="K275" s="262"/>
      <c r="L275" s="262"/>
      <c r="M275" s="262"/>
    </row>
    <row r="276">
      <c r="A276" s="255" t="str">
        <f>IFERROR(__xludf.DUMMYFUNCTION("""COMPUTED_VALUE"""),"NANO")</f>
        <v>NANO</v>
      </c>
      <c r="B276" s="23" t="str">
        <f>IFERROR(__xludf.DUMMYFUNCTION("""COMPUTED_VALUE"""),"fashionbyvaraa")</f>
        <v>fashionbyvaraa</v>
      </c>
      <c r="C276" s="257" t="str">
        <f>IFERROR(__xludf.DUMMYFUNCTION("""COMPUTED_VALUE"""),"https://www.tiktok.com/@fashionbyvaraa")</f>
        <v>https://www.tiktok.com/@fashionbyvaraa</v>
      </c>
      <c r="D276" s="23">
        <f>IFERROR(__xludf.DUMMYFUNCTION("""COMPUTED_VALUE"""),8.5824973169E10)</f>
        <v>85824973169</v>
      </c>
      <c r="E276" s="457">
        <f>IFERROR(__xludf.DUMMYFUNCTION("""COMPUTED_VALUE"""),0.0)</f>
        <v>0</v>
      </c>
      <c r="F276" s="270">
        <f>IFERROR(__xludf.DUMMYFUNCTION("""COMPUTED_VALUE"""),4.0)</f>
        <v>4</v>
      </c>
      <c r="G276" s="17" t="str">
        <f>IFERROR(__xludf.DUMMYFUNCTION("""COMPUTED_VALUE"""),"Full Set")</f>
        <v>Full Set</v>
      </c>
      <c r="H276" s="17"/>
      <c r="I276" s="278" t="str">
        <f>IFERROR(__xludf.DUMMYFUNCTION("""COMPUTED_VALUE"""),"https://www.tiktok.com/@fashionbyvaraa/video/7640438109158526229?is_from_webapp=1&amp;sender_device=pc")</f>
        <v>https://www.tiktok.com/@fashionbyvaraa/video/7640438109158526229?is_from_webapp=1&amp;sender_device=pc</v>
      </c>
      <c r="J276" s="278" t="str">
        <f>IFERROR(__xludf.DUMMYFUNCTION("""COMPUTED_VALUE"""),"https://www.tiktok.com/@fashionbyvaraa/video/7640463639270509845?is_from_webapp=1&amp;sender_device=pc")</f>
        <v>https://www.tiktok.com/@fashionbyvaraa/video/7640463639270509845?is_from_webapp=1&amp;sender_device=pc</v>
      </c>
      <c r="K276" s="278" t="str">
        <f>IFERROR(__xludf.DUMMYFUNCTION("""COMPUTED_VALUE"""),"https://www.tiktok.com/@fashionbyvaraa/video/7643237088120294676?is_from_webapp=1&amp;sender_device=pc")</f>
        <v>https://www.tiktok.com/@fashionbyvaraa/video/7643237088120294676?is_from_webapp=1&amp;sender_device=pc</v>
      </c>
      <c r="L276" s="278" t="str">
        <f>IFERROR(__xludf.DUMMYFUNCTION("""COMPUTED_VALUE"""),"https://www.tiktok.com/@fashionbyvaraa/video/7643436095241194772?is_from_webapp=1&amp;sender_device=pc")</f>
        <v>https://www.tiktok.com/@fashionbyvaraa/video/7643436095241194772?is_from_webapp=1&amp;sender_device=pc</v>
      </c>
      <c r="M276" s="262"/>
    </row>
    <row r="277">
      <c r="A277" s="255" t="str">
        <f>IFERROR(__xludf.DUMMYFUNCTION("""COMPUTED_VALUE"""),"NANO")</f>
        <v>NANO</v>
      </c>
      <c r="B277" s="23" t="str">
        <f>IFERROR(__xludf.DUMMYFUNCTION("""COMPUTED_VALUE"""),"itsyourvinn_")</f>
        <v>itsyourvinn_</v>
      </c>
      <c r="C277" s="257" t="str">
        <f>IFERROR(__xludf.DUMMYFUNCTION("""COMPUTED_VALUE"""),"https://www.tiktok.com/@itsyourvinn_")</f>
        <v>https://www.tiktok.com/@itsyourvinn_</v>
      </c>
      <c r="D277" s="23">
        <f>IFERROR(__xludf.DUMMYFUNCTION("""COMPUTED_VALUE"""),8.5885985778E10)</f>
        <v>85885985778</v>
      </c>
      <c r="E277" s="457">
        <f>IFERROR(__xludf.DUMMYFUNCTION("""COMPUTED_VALUE"""),0.0)</f>
        <v>0</v>
      </c>
      <c r="F277" s="270">
        <f>IFERROR(__xludf.DUMMYFUNCTION("""COMPUTED_VALUE"""),4.0)</f>
        <v>4</v>
      </c>
      <c r="G277" s="17" t="str">
        <f>IFERROR(__xludf.DUMMYFUNCTION("""COMPUTED_VALUE"""),"Full Set")</f>
        <v>Full Set</v>
      </c>
      <c r="H277" s="17"/>
      <c r="I277" s="278" t="str">
        <f>IFERROR(__xludf.DUMMYFUNCTION("""COMPUTED_VALUE"""),"https://www.tiktok.com/@itsyourvinn_/video/7639214616991698197?is_from_webapp=1&amp;sender_device=pc")</f>
        <v>https://www.tiktok.com/@itsyourvinn_/video/7639214616991698197?is_from_webapp=1&amp;sender_device=pc</v>
      </c>
      <c r="J277" s="278" t="str">
        <f>IFERROR(__xludf.DUMMYFUNCTION("""COMPUTED_VALUE"""),"https://www.tiktok.com/@itsyourvinn_/video/7640270094253165845?is_from_webapp=1&amp;sender_device=pc")</f>
        <v>https://www.tiktok.com/@itsyourvinn_/video/7640270094253165845?is_from_webapp=1&amp;sender_device=pc</v>
      </c>
      <c r="K277" s="278" t="str">
        <f>IFERROR(__xludf.DUMMYFUNCTION("""COMPUTED_VALUE"""),"https://www.tiktok.com/@itsyourvinn_/video/7641383715309948181?is_from_webapp=1&amp;sender_device=pc")</f>
        <v>https://www.tiktok.com/@itsyourvinn_/video/7641383715309948181?is_from_webapp=1&amp;sender_device=pc</v>
      </c>
      <c r="L277" s="278" t="str">
        <f>IFERROR(__xludf.DUMMYFUNCTION("""COMPUTED_VALUE"""),"https://www.tiktok.com/@itsyourvinn_/video/7643259645259189525?is_from_webapp=1&amp;sender_device=pc")</f>
        <v>https://www.tiktok.com/@itsyourvinn_/video/7643259645259189525?is_from_webapp=1&amp;sender_device=pc</v>
      </c>
      <c r="M277" s="262"/>
    </row>
    <row r="278">
      <c r="A278" s="255" t="str">
        <f>IFERROR(__xludf.DUMMYFUNCTION("""COMPUTED_VALUE"""),"MICRO")</f>
        <v>MICRO</v>
      </c>
      <c r="B278" s="23" t="str">
        <f>IFERROR(__xludf.DUMMYFUNCTION("""COMPUTED_VALUE"""),"nhai1612")</f>
        <v>nhai1612</v>
      </c>
      <c r="C278" s="257" t="str">
        <f>IFERROR(__xludf.DUMMYFUNCTION("""COMPUTED_VALUE"""),"https://www.tiktok.com/@nhai1612")</f>
        <v>https://www.tiktok.com/@nhai1612</v>
      </c>
      <c r="D278" s="23">
        <f>IFERROR(__xludf.DUMMYFUNCTION("""COMPUTED_VALUE"""),8.1572879564E10)</f>
        <v>81572879564</v>
      </c>
      <c r="E278" s="457">
        <f>IFERROR(__xludf.DUMMYFUNCTION("""COMPUTED_VALUE"""),0.0)</f>
        <v>0</v>
      </c>
      <c r="F278" s="270">
        <f>IFERROR(__xludf.DUMMYFUNCTION("""COMPUTED_VALUE"""),3.0)</f>
        <v>3</v>
      </c>
      <c r="G278" s="17" t="str">
        <f>IFERROR(__xludf.DUMMYFUNCTION("""COMPUTED_VALUE"""),"Full Set")</f>
        <v>Full Set</v>
      </c>
      <c r="H278" s="17"/>
      <c r="I278" s="262"/>
      <c r="J278" s="262"/>
      <c r="K278" s="262"/>
      <c r="L278" s="262"/>
      <c r="M278" s="262"/>
    </row>
    <row r="279">
      <c r="A279" s="255" t="str">
        <f>IFERROR(__xludf.DUMMYFUNCTION("""COMPUTED_VALUE"""),"MICRO")</f>
        <v>MICRO</v>
      </c>
      <c r="B279" s="23" t="str">
        <f>IFERROR(__xludf.DUMMYFUNCTION("""COMPUTED_VALUE"""),"r.amalia_mel")</f>
        <v>r.amalia_mel</v>
      </c>
      <c r="C279" s="257" t="str">
        <f>IFERROR(__xludf.DUMMYFUNCTION("""COMPUTED_VALUE"""),"https://www.tiktok.com/@r.amalia_mel")</f>
        <v>https://www.tiktok.com/@r.amalia_mel</v>
      </c>
      <c r="D279" s="23">
        <f>IFERROR(__xludf.DUMMYFUNCTION("""COMPUTED_VALUE"""),8.5809890989E10)</f>
        <v>85809890989</v>
      </c>
      <c r="E279" s="457">
        <f>IFERROR(__xludf.DUMMYFUNCTION("""COMPUTED_VALUE"""),0.0)</f>
        <v>0</v>
      </c>
      <c r="F279" s="270">
        <f>IFERROR(__xludf.DUMMYFUNCTION("""COMPUTED_VALUE"""),1.0)</f>
        <v>1</v>
      </c>
      <c r="G279" s="17" t="str">
        <f>IFERROR(__xludf.DUMMYFUNCTION("""COMPUTED_VALUE"""),"Full Set")</f>
        <v>Full Set</v>
      </c>
      <c r="H279" s="17"/>
      <c r="I279" s="262"/>
      <c r="J279" s="262"/>
      <c r="K279" s="262"/>
      <c r="L279" s="262"/>
      <c r="M279" s="262"/>
    </row>
    <row r="280">
      <c r="A280" s="255" t="str">
        <f>IFERROR(__xludf.DUMMYFUNCTION("""COMPUTED_VALUE"""),"MICRO")</f>
        <v>MICRO</v>
      </c>
      <c r="B280" s="23" t="str">
        <f>IFERROR(__xludf.DUMMYFUNCTION("""COMPUTED_VALUE"""),"marifatul_mahmudah3")</f>
        <v>marifatul_mahmudah3</v>
      </c>
      <c r="C280" s="257" t="str">
        <f>IFERROR(__xludf.DUMMYFUNCTION("""COMPUTED_VALUE"""),"https://www.tiktok.com/@marifatul_mahmudah3")</f>
        <v>https://www.tiktok.com/@marifatul_mahmudah3</v>
      </c>
      <c r="D280" s="23">
        <f>IFERROR(__xludf.DUMMYFUNCTION("""COMPUTED_VALUE"""),8.8225096947E10)</f>
        <v>88225096947</v>
      </c>
      <c r="E280" s="457">
        <f>IFERROR(__xludf.DUMMYFUNCTION("""COMPUTED_VALUE"""),0.0)</f>
        <v>0</v>
      </c>
      <c r="F280" s="270">
        <f>IFERROR(__xludf.DUMMYFUNCTION("""COMPUTED_VALUE"""),4.0)</f>
        <v>4</v>
      </c>
      <c r="G280" s="17" t="str">
        <f>IFERROR(__xludf.DUMMYFUNCTION("""COMPUTED_VALUE"""),"Full Set")</f>
        <v>Full Set</v>
      </c>
      <c r="H280" s="17"/>
      <c r="I280" s="262"/>
      <c r="J280" s="262"/>
      <c r="K280" s="262"/>
      <c r="L280" s="262"/>
      <c r="M280" s="262"/>
    </row>
    <row r="281">
      <c r="A281" s="255" t="str">
        <f>IFERROR(__xludf.DUMMYFUNCTION("""COMPUTED_VALUE"""),"MICRO")</f>
        <v>MICRO</v>
      </c>
      <c r="B281" s="23" t="str">
        <f>IFERROR(__xludf.DUMMYFUNCTION("""COMPUTED_VALUE"""),"yeppiyippi")</f>
        <v>yeppiyippi</v>
      </c>
      <c r="C281" s="257" t="str">
        <f>IFERROR(__xludf.DUMMYFUNCTION("""COMPUTED_VALUE"""),"https://www.tiktok.com/@yeppiyippi")</f>
        <v>https://www.tiktok.com/@yeppiyippi</v>
      </c>
      <c r="D281" s="23">
        <f>IFERROR(__xludf.DUMMYFUNCTION("""COMPUTED_VALUE"""),8.1261527773E10)</f>
        <v>81261527773</v>
      </c>
      <c r="E281" s="457">
        <f>IFERROR(__xludf.DUMMYFUNCTION("""COMPUTED_VALUE"""),0.0)</f>
        <v>0</v>
      </c>
      <c r="F281" s="270">
        <f>IFERROR(__xludf.DUMMYFUNCTION("""COMPUTED_VALUE"""),1.0)</f>
        <v>1</v>
      </c>
      <c r="G281" s="17" t="str">
        <f>IFERROR(__xludf.DUMMYFUNCTION("""COMPUTED_VALUE"""),"Full Set")</f>
        <v>Full Set</v>
      </c>
      <c r="H281" s="17"/>
      <c r="I281" s="262"/>
      <c r="J281" s="262"/>
      <c r="K281" s="262"/>
      <c r="L281" s="262"/>
      <c r="M281" s="262"/>
    </row>
    <row r="282">
      <c r="A282" s="255" t="str">
        <f>IFERROR(__xludf.DUMMYFUNCTION("""COMPUTED_VALUE"""),"NANO")</f>
        <v>NANO</v>
      </c>
      <c r="B282" s="23" t="str">
        <f>IFERROR(__xludf.DUMMYFUNCTION("""COMPUTED_VALUE"""),"atiek_tikkk")</f>
        <v>atiek_tikkk</v>
      </c>
      <c r="C282" s="257" t="str">
        <f>IFERROR(__xludf.DUMMYFUNCTION("""COMPUTED_VALUE"""),"https://www.tiktok.com/@atiek_tikkk")</f>
        <v>https://www.tiktok.com/@atiek_tikkk</v>
      </c>
      <c r="D282" s="23">
        <f>IFERROR(__xludf.DUMMYFUNCTION("""COMPUTED_VALUE"""),8.3863593273E10)</f>
        <v>83863593273</v>
      </c>
      <c r="E282" s="457">
        <f>IFERROR(__xludf.DUMMYFUNCTION("""COMPUTED_VALUE"""),0.0)</f>
        <v>0</v>
      </c>
      <c r="F282" s="270">
        <f>IFERROR(__xludf.DUMMYFUNCTION("""COMPUTED_VALUE"""),4.0)</f>
        <v>4</v>
      </c>
      <c r="G282" s="17" t="str">
        <f>IFERROR(__xludf.DUMMYFUNCTION("""COMPUTED_VALUE"""),"Full Set")</f>
        <v>Full Set</v>
      </c>
      <c r="H282" s="17"/>
      <c r="I282" s="262"/>
      <c r="J282" s="262"/>
      <c r="K282" s="262"/>
      <c r="L282" s="262"/>
      <c r="M282" s="262"/>
    </row>
    <row r="283">
      <c r="A283" s="255" t="str">
        <f>IFERROR(__xludf.DUMMYFUNCTION("""COMPUTED_VALUE"""),"MICRO")</f>
        <v>MICRO</v>
      </c>
      <c r="B283" s="23" t="str">
        <f>IFERROR(__xludf.DUMMYFUNCTION("""COMPUTED_VALUE"""),"aeriiptri")</f>
        <v>aeriiptri</v>
      </c>
      <c r="C283" s="257" t="str">
        <f>IFERROR(__xludf.DUMMYFUNCTION("""COMPUTED_VALUE"""),"https://www.tiktok.com/@aeriiptri")</f>
        <v>https://www.tiktok.com/@aeriiptri</v>
      </c>
      <c r="D283" s="23">
        <f>IFERROR(__xludf.DUMMYFUNCTION("""COMPUTED_VALUE"""),8.7897770036E10)</f>
        <v>87897770036</v>
      </c>
      <c r="E283" s="457">
        <f>IFERROR(__xludf.DUMMYFUNCTION("""COMPUTED_VALUE"""),0.0)</f>
        <v>0</v>
      </c>
      <c r="F283" s="270">
        <f>IFERROR(__xludf.DUMMYFUNCTION("""COMPUTED_VALUE"""),4.0)</f>
        <v>4</v>
      </c>
      <c r="G283" s="17" t="str">
        <f>IFERROR(__xludf.DUMMYFUNCTION("""COMPUTED_VALUE"""),"Full Set")</f>
        <v>Full Set</v>
      </c>
      <c r="H283" s="17"/>
      <c r="I283" s="262"/>
      <c r="J283" s="262"/>
      <c r="K283" s="262"/>
      <c r="L283" s="262"/>
      <c r="M283" s="262"/>
    </row>
    <row r="284">
      <c r="A284" s="255" t="str">
        <f>IFERROR(__xludf.DUMMYFUNCTION("""COMPUTED_VALUE"""),"NANO")</f>
        <v>NANO</v>
      </c>
      <c r="B284" s="23" t="str">
        <f>IFERROR(__xludf.DUMMYFUNCTION("""COMPUTED_VALUE"""),"Dailyfenera")</f>
        <v>Dailyfenera</v>
      </c>
      <c r="C284" s="257" t="str">
        <f>IFERROR(__xludf.DUMMYFUNCTION("""COMPUTED_VALUE"""),"https://www.tiktok.com/@Dailyfenera")</f>
        <v>https://www.tiktok.com/@Dailyfenera</v>
      </c>
      <c r="D284" s="23">
        <f>IFERROR(__xludf.DUMMYFUNCTION("""COMPUTED_VALUE"""),8.5654448887E10)</f>
        <v>85654448887</v>
      </c>
      <c r="E284" s="457">
        <f>IFERROR(__xludf.DUMMYFUNCTION("""COMPUTED_VALUE"""),0.0)</f>
        <v>0</v>
      </c>
      <c r="F284" s="270">
        <f>IFERROR(__xludf.DUMMYFUNCTION("""COMPUTED_VALUE"""),4.0)</f>
        <v>4</v>
      </c>
      <c r="G284" s="17" t="str">
        <f>IFERROR(__xludf.DUMMYFUNCTION("""COMPUTED_VALUE"""),"Full Set")</f>
        <v>Full Set</v>
      </c>
      <c r="H284" s="17"/>
      <c r="I284" s="262"/>
      <c r="J284" s="262"/>
      <c r="K284" s="262"/>
      <c r="L284" s="262"/>
      <c r="M284" s="262"/>
    </row>
    <row r="285">
      <c r="A285" s="255" t="str">
        <f>IFERROR(__xludf.DUMMYFUNCTION("""COMPUTED_VALUE"""),"NANO")</f>
        <v>NANO</v>
      </c>
      <c r="B285" s="23" t="str">
        <f>IFERROR(__xludf.DUMMYFUNCTION("""COMPUTED_VALUE"""),"cutbulann")</f>
        <v>cutbulann</v>
      </c>
      <c r="C285" s="257" t="str">
        <f>IFERROR(__xludf.DUMMYFUNCTION("""COMPUTED_VALUE"""),"https://www.tiktok.com/@cutbulann")</f>
        <v>https://www.tiktok.com/@cutbulann</v>
      </c>
      <c r="D285" s="23">
        <f>IFERROR(__xludf.DUMMYFUNCTION("""COMPUTED_VALUE"""),8.3136593379E10)</f>
        <v>83136593379</v>
      </c>
      <c r="E285" s="457">
        <f>IFERROR(__xludf.DUMMYFUNCTION("""COMPUTED_VALUE"""),0.0)</f>
        <v>0</v>
      </c>
      <c r="F285" s="270">
        <f>IFERROR(__xludf.DUMMYFUNCTION("""COMPUTED_VALUE"""),4.0)</f>
        <v>4</v>
      </c>
      <c r="G285" s="17" t="str">
        <f>IFERROR(__xludf.DUMMYFUNCTION("""COMPUTED_VALUE"""),"Full Set")</f>
        <v>Full Set</v>
      </c>
      <c r="H285" s="17"/>
      <c r="I285" s="278" t="str">
        <f>IFERROR(__xludf.DUMMYFUNCTION("""COMPUTED_VALUE"""),"https://www.tiktok.com/@cutbulann/video/7642620314123275540?is_from_webapp=1&amp;sender_device=pc")</f>
        <v>https://www.tiktok.com/@cutbulann/video/7642620314123275540?is_from_webapp=1&amp;sender_device=pc</v>
      </c>
      <c r="J285" s="262"/>
      <c r="K285" s="262"/>
      <c r="L285" s="262"/>
      <c r="M285" s="262"/>
    </row>
    <row r="286">
      <c r="A286" s="255" t="str">
        <f>IFERROR(__xludf.DUMMYFUNCTION("""COMPUTED_VALUE"""),"NANO")</f>
        <v>NANO</v>
      </c>
      <c r="B286" s="23" t="str">
        <f>IFERROR(__xludf.DUMMYFUNCTION("""COMPUTED_VALUE"""),"officialakang_")</f>
        <v>officialakang_</v>
      </c>
      <c r="C286" s="257" t="str">
        <f>IFERROR(__xludf.DUMMYFUNCTION("""COMPUTED_VALUE"""),"https://www.tiktok.com/@officialakang_")</f>
        <v>https://www.tiktok.com/@officialakang_</v>
      </c>
      <c r="D286" s="23">
        <f>IFERROR(__xludf.DUMMYFUNCTION("""COMPUTED_VALUE"""),8.9526835823E10)</f>
        <v>89526835823</v>
      </c>
      <c r="E286" s="457">
        <f>IFERROR(__xludf.DUMMYFUNCTION("""COMPUTED_VALUE"""),0.0)</f>
        <v>0</v>
      </c>
      <c r="F286" s="270">
        <f>IFERROR(__xludf.DUMMYFUNCTION("""COMPUTED_VALUE"""),4.0)</f>
        <v>4</v>
      </c>
      <c r="G286" s="17" t="str">
        <f>IFERROR(__xludf.DUMMYFUNCTION("""COMPUTED_VALUE"""),"Full Set")</f>
        <v>Full Set</v>
      </c>
      <c r="H286" s="17"/>
      <c r="I286" s="262"/>
      <c r="J286" s="262"/>
      <c r="K286" s="262"/>
      <c r="L286" s="262"/>
      <c r="M286" s="262"/>
    </row>
    <row r="287">
      <c r="A287" s="255" t="str">
        <f>IFERROR(__xludf.DUMMYFUNCTION("""COMPUTED_VALUE"""),"NANO")</f>
        <v>NANO</v>
      </c>
      <c r="B287" s="23" t="str">
        <f>IFERROR(__xludf.DUMMYFUNCTION("""COMPUTED_VALUE"""),"lathifaaa__")</f>
        <v>lathifaaa__</v>
      </c>
      <c r="C287" s="257" t="str">
        <f>IFERROR(__xludf.DUMMYFUNCTION("""COMPUTED_VALUE"""),"https://www.tiktok.com/@lathifaaa__")</f>
        <v>https://www.tiktok.com/@lathifaaa__</v>
      </c>
      <c r="D287" s="23">
        <f>IFERROR(__xludf.DUMMYFUNCTION("""COMPUTED_VALUE"""),8.1554783809E10)</f>
        <v>81554783809</v>
      </c>
      <c r="E287" s="457">
        <f>IFERROR(__xludf.DUMMYFUNCTION("""COMPUTED_VALUE"""),0.0)</f>
        <v>0</v>
      </c>
      <c r="F287" s="270">
        <f>IFERROR(__xludf.DUMMYFUNCTION("""COMPUTED_VALUE"""),4.0)</f>
        <v>4</v>
      </c>
      <c r="G287" s="17" t="str">
        <f>IFERROR(__xludf.DUMMYFUNCTION("""COMPUTED_VALUE"""),"Full Set")</f>
        <v>Full Set</v>
      </c>
      <c r="H287" s="17"/>
      <c r="I287" s="262"/>
      <c r="J287" s="262"/>
      <c r="K287" s="262"/>
      <c r="L287" s="262"/>
      <c r="M287" s="262"/>
    </row>
    <row r="288">
      <c r="A288" s="255" t="str">
        <f>IFERROR(__xludf.DUMMYFUNCTION("""COMPUTED_VALUE"""),"MICRO")</f>
        <v>MICRO</v>
      </c>
      <c r="B288" s="23" t="str">
        <f>IFERROR(__xludf.DUMMYFUNCTION("""COMPUTED_VALUE"""),"hixybinn")</f>
        <v>hixybinn</v>
      </c>
      <c r="C288" s="257" t="str">
        <f>IFERROR(__xludf.DUMMYFUNCTION("""COMPUTED_VALUE"""),"https://www.tiktok.com/@hixybinn")</f>
        <v>https://www.tiktok.com/@hixybinn</v>
      </c>
      <c r="D288" s="23">
        <f>IFERROR(__xludf.DUMMYFUNCTION("""COMPUTED_VALUE"""),8.5894524079E10)</f>
        <v>85894524079</v>
      </c>
      <c r="E288" s="457">
        <f>IFERROR(__xludf.DUMMYFUNCTION("""COMPUTED_VALUE"""),0.0)</f>
        <v>0</v>
      </c>
      <c r="F288" s="270">
        <f>IFERROR(__xludf.DUMMYFUNCTION("""COMPUTED_VALUE"""),4.0)</f>
        <v>4</v>
      </c>
      <c r="G288" s="17" t="str">
        <f>IFERROR(__xludf.DUMMYFUNCTION("""COMPUTED_VALUE"""),"Full Set")</f>
        <v>Full Set</v>
      </c>
      <c r="H288" s="17"/>
      <c r="I288" s="278" t="str">
        <f>IFERROR(__xludf.DUMMYFUNCTION("""COMPUTED_VALUE"""),"https://www.tiktok.com/@hixybinn/video/7640777129868807444?is_from_webapp=1&amp;sender_device=pc")</f>
        <v>https://www.tiktok.com/@hixybinn/video/7640777129868807444?is_from_webapp=1&amp;sender_device=pc</v>
      </c>
      <c r="J288" s="262"/>
      <c r="K288" s="262"/>
      <c r="L288" s="262"/>
      <c r="M288" s="262"/>
    </row>
    <row r="289">
      <c r="A289" s="255" t="str">
        <f>IFERROR(__xludf.DUMMYFUNCTION("""COMPUTED_VALUE"""),"NANO")</f>
        <v>NANO</v>
      </c>
      <c r="B289" s="23" t="str">
        <f>IFERROR(__xludf.DUMMYFUNCTION("""COMPUTED_VALUE"""),"fashiontrenda")</f>
        <v>fashiontrenda</v>
      </c>
      <c r="C289" s="257" t="str">
        <f>IFERROR(__xludf.DUMMYFUNCTION("""COMPUTED_VALUE"""),"https://www.tiktok.com/@fashiontrenda")</f>
        <v>https://www.tiktok.com/@fashiontrenda</v>
      </c>
      <c r="D289" s="23">
        <f>IFERROR(__xludf.DUMMYFUNCTION("""COMPUTED_VALUE"""),8.8274312711E10)</f>
        <v>88274312711</v>
      </c>
      <c r="E289" s="457">
        <f>IFERROR(__xludf.DUMMYFUNCTION("""COMPUTED_VALUE"""),0.0)</f>
        <v>0</v>
      </c>
      <c r="F289" s="270">
        <f>IFERROR(__xludf.DUMMYFUNCTION("""COMPUTED_VALUE"""),4.0)</f>
        <v>4</v>
      </c>
      <c r="G289" s="17" t="str">
        <f>IFERROR(__xludf.DUMMYFUNCTION("""COMPUTED_VALUE"""),"Full Set")</f>
        <v>Full Set</v>
      </c>
      <c r="H289" s="17"/>
      <c r="I289" s="262"/>
      <c r="J289" s="262"/>
      <c r="K289" s="262"/>
      <c r="L289" s="262"/>
      <c r="M289" s="262"/>
    </row>
    <row r="290">
      <c r="A290" s="255" t="str">
        <f>IFERROR(__xludf.DUMMYFUNCTION("""COMPUTED_VALUE"""),"MICRO")</f>
        <v>MICRO</v>
      </c>
      <c r="B290" s="23" t="str">
        <f>IFERROR(__xludf.DUMMYFUNCTION("""COMPUTED_VALUE"""),"fitrifitt_")</f>
        <v>fitrifitt_</v>
      </c>
      <c r="C290" s="257" t="str">
        <f>IFERROR(__xludf.DUMMYFUNCTION("""COMPUTED_VALUE"""),"https://www.tiktok.com/@fitrifitt_")</f>
        <v>https://www.tiktok.com/@fitrifitt_</v>
      </c>
      <c r="D290" s="23">
        <f>IFERROR(__xludf.DUMMYFUNCTION("""COMPUTED_VALUE"""),8.3135723078E10)</f>
        <v>83135723078</v>
      </c>
      <c r="E290" s="457">
        <f>IFERROR(__xludf.DUMMYFUNCTION("""COMPUTED_VALUE"""),0.0)</f>
        <v>0</v>
      </c>
      <c r="F290" s="270">
        <f>IFERROR(__xludf.DUMMYFUNCTION("""COMPUTED_VALUE"""),4.0)</f>
        <v>4</v>
      </c>
      <c r="G290" s="17" t="str">
        <f>IFERROR(__xludf.DUMMYFUNCTION("""COMPUTED_VALUE"""),"Full Set")</f>
        <v>Full Set</v>
      </c>
      <c r="H290" s="17"/>
      <c r="I290" s="262"/>
      <c r="J290" s="262"/>
      <c r="K290" s="262"/>
      <c r="L290" s="262"/>
      <c r="M290" s="262"/>
    </row>
    <row r="291">
      <c r="A291" s="255" t="str">
        <f>IFERROR(__xludf.DUMMYFUNCTION("""COMPUTED_VALUE"""),"MICRO")</f>
        <v>MICRO</v>
      </c>
      <c r="B291" s="23" t="str">
        <f>IFERROR(__xludf.DUMMYFUNCTION("""COMPUTED_VALUE"""),"ifanasyiffa")</f>
        <v>ifanasyiffa</v>
      </c>
      <c r="C291" s="257" t="str">
        <f>IFERROR(__xludf.DUMMYFUNCTION("""COMPUTED_VALUE"""),"https://www.tiktok.com/@ifanasyiffa")</f>
        <v>https://www.tiktok.com/@ifanasyiffa</v>
      </c>
      <c r="D291" s="23">
        <f>IFERROR(__xludf.DUMMYFUNCTION("""COMPUTED_VALUE"""),8.3155871008E10)</f>
        <v>83155871008</v>
      </c>
      <c r="E291" s="457">
        <f>IFERROR(__xludf.DUMMYFUNCTION("""COMPUTED_VALUE"""),0.0)</f>
        <v>0</v>
      </c>
      <c r="F291" s="270">
        <f>IFERROR(__xludf.DUMMYFUNCTION("""COMPUTED_VALUE"""),4.0)</f>
        <v>4</v>
      </c>
      <c r="G291" s="17" t="str">
        <f>IFERROR(__xludf.DUMMYFUNCTION("""COMPUTED_VALUE"""),"Full Set")</f>
        <v>Full Set</v>
      </c>
      <c r="H291" s="17"/>
      <c r="I291" s="262"/>
      <c r="J291" s="262"/>
      <c r="K291" s="262"/>
      <c r="L291" s="262"/>
      <c r="M291" s="262"/>
    </row>
    <row r="292">
      <c r="A292" s="255" t="str">
        <f>IFERROR(__xludf.DUMMYFUNCTION("""COMPUTED_VALUE"""),"NANO")</f>
        <v>NANO</v>
      </c>
      <c r="B292" s="23" t="str">
        <f>IFERROR(__xludf.DUMMYFUNCTION("""COMPUTED_VALUE"""),"uniqueitem_")</f>
        <v>uniqueitem_</v>
      </c>
      <c r="C292" s="257" t="str">
        <f>IFERROR(__xludf.DUMMYFUNCTION("""COMPUTED_VALUE"""),"https://www.tiktok.com/@uniqueitem_")</f>
        <v>https://www.tiktok.com/@uniqueitem_</v>
      </c>
      <c r="D292" s="23">
        <f>IFERROR(__xludf.DUMMYFUNCTION("""COMPUTED_VALUE"""),8.9654561563E10)</f>
        <v>89654561563</v>
      </c>
      <c r="E292" s="457">
        <f>IFERROR(__xludf.DUMMYFUNCTION("""COMPUTED_VALUE"""),0.0)</f>
        <v>0</v>
      </c>
      <c r="F292" s="270">
        <f>IFERROR(__xludf.DUMMYFUNCTION("""COMPUTED_VALUE"""),4.0)</f>
        <v>4</v>
      </c>
      <c r="G292" s="17" t="str">
        <f>IFERROR(__xludf.DUMMYFUNCTION("""COMPUTED_VALUE"""),"Full Set")</f>
        <v>Full Set</v>
      </c>
      <c r="H292" s="17"/>
      <c r="I292" s="262"/>
      <c r="J292" s="262"/>
      <c r="K292" s="262"/>
      <c r="L292" s="262"/>
      <c r="M292" s="262"/>
    </row>
    <row r="293">
      <c r="A293" s="255" t="str">
        <f>IFERROR(__xludf.DUMMYFUNCTION("""COMPUTED_VALUE"""),"NANO")</f>
        <v>NANO</v>
      </c>
      <c r="B293" s="23" t="str">
        <f>IFERROR(__xludf.DUMMYFUNCTION("""COMPUTED_VALUE"""),"apaajauy26")</f>
        <v>apaajauy26</v>
      </c>
      <c r="C293" s="257" t="str">
        <f>IFERROR(__xludf.DUMMYFUNCTION("""COMPUTED_VALUE"""),"https://www.tiktok.com/@apaajauy26")</f>
        <v>https://www.tiktok.com/@apaajauy26</v>
      </c>
      <c r="D293" s="23">
        <f>IFERROR(__xludf.DUMMYFUNCTION("""COMPUTED_VALUE"""),8.1559646919E10)</f>
        <v>81559646919</v>
      </c>
      <c r="E293" s="457">
        <f>IFERROR(__xludf.DUMMYFUNCTION("""COMPUTED_VALUE"""),0.0)</f>
        <v>0</v>
      </c>
      <c r="F293" s="270">
        <f>IFERROR(__xludf.DUMMYFUNCTION("""COMPUTED_VALUE"""),4.0)</f>
        <v>4</v>
      </c>
      <c r="G293" s="17" t="str">
        <f>IFERROR(__xludf.DUMMYFUNCTION("""COMPUTED_VALUE"""),"Full Set")</f>
        <v>Full Set</v>
      </c>
      <c r="H293" s="17"/>
      <c r="I293" s="262"/>
      <c r="J293" s="262"/>
      <c r="K293" s="262"/>
      <c r="L293" s="262"/>
      <c r="M293" s="262"/>
    </row>
    <row r="294">
      <c r="A294" s="255" t="str">
        <f>IFERROR(__xludf.DUMMYFUNCTION("""COMPUTED_VALUE"""),"MICRO")</f>
        <v>MICRO</v>
      </c>
      <c r="B294" s="23" t="str">
        <f>IFERROR(__xludf.DUMMYFUNCTION("""COMPUTED_VALUE"""),"aystraaa_")</f>
        <v>aystraaa_</v>
      </c>
      <c r="C294" s="257" t="str">
        <f>IFERROR(__xludf.DUMMYFUNCTION("""COMPUTED_VALUE"""),"https://www.tiktok.com/@aystraaa_")</f>
        <v>https://www.tiktok.com/@aystraaa_</v>
      </c>
      <c r="D294" s="23">
        <f>IFERROR(__xludf.DUMMYFUNCTION("""COMPUTED_VALUE"""),8.8287106049E10)</f>
        <v>88287106049</v>
      </c>
      <c r="E294" s="457">
        <f>IFERROR(__xludf.DUMMYFUNCTION("""COMPUTED_VALUE"""),0.0)</f>
        <v>0</v>
      </c>
      <c r="F294" s="270">
        <f>IFERROR(__xludf.DUMMYFUNCTION("""COMPUTED_VALUE"""),1.0)</f>
        <v>1</v>
      </c>
      <c r="G294" s="17" t="str">
        <f>IFERROR(__xludf.DUMMYFUNCTION("""COMPUTED_VALUE"""),"Full Set")</f>
        <v>Full Set</v>
      </c>
      <c r="H294" s="17"/>
      <c r="I294" s="262"/>
      <c r="J294" s="262"/>
      <c r="K294" s="262"/>
      <c r="L294" s="262"/>
      <c r="M294" s="262"/>
    </row>
    <row r="295">
      <c r="A295" s="255" t="str">
        <f>IFERROR(__xludf.DUMMYFUNCTION("""COMPUTED_VALUE"""),"NANO")</f>
        <v>NANO</v>
      </c>
      <c r="B295" s="23" t="str">
        <f>IFERROR(__xludf.DUMMYFUNCTION("""COMPUTED_VALUE"""),"mozza_store30")</f>
        <v>mozza_store30</v>
      </c>
      <c r="C295" s="257" t="str">
        <f>IFERROR(__xludf.DUMMYFUNCTION("""COMPUTED_VALUE"""),"https://www.tiktok.com/@mozza_store30")</f>
        <v>https://www.tiktok.com/@mozza_store30</v>
      </c>
      <c r="D295" s="23">
        <f>IFERROR(__xludf.DUMMYFUNCTION("""COMPUTED_VALUE"""),8.7738561903E10)</f>
        <v>87738561903</v>
      </c>
      <c r="E295" s="457">
        <f>IFERROR(__xludf.DUMMYFUNCTION("""COMPUTED_VALUE"""),0.0)</f>
        <v>0</v>
      </c>
      <c r="F295" s="270">
        <f>IFERROR(__xludf.DUMMYFUNCTION("""COMPUTED_VALUE"""),4.0)</f>
        <v>4</v>
      </c>
      <c r="G295" s="17" t="str">
        <f>IFERROR(__xludf.DUMMYFUNCTION("""COMPUTED_VALUE"""),"Full Set")</f>
        <v>Full Set</v>
      </c>
      <c r="H295" s="17"/>
      <c r="I295" s="278" t="str">
        <f>IFERROR(__xludf.DUMMYFUNCTION("""COMPUTED_VALUE"""),"https://vt.tiktok.com/ZS9cjp6Uq/")</f>
        <v>https://vt.tiktok.com/ZS9cjp6Uq/</v>
      </c>
      <c r="J295" s="278" t="str">
        <f>IFERROR(__xludf.DUMMYFUNCTION("""COMPUTED_VALUE"""),"https://www.tiktok.com/@mozza_store30/video/7638250448201370900?is_from_webapp=1&amp;sender_device=pc")</f>
        <v>https://www.tiktok.com/@mozza_store30/video/7638250448201370900?is_from_webapp=1&amp;sender_device=pc</v>
      </c>
      <c r="K295" s="278" t="str">
        <f>IFERROR(__xludf.DUMMYFUNCTION("""COMPUTED_VALUE"""),"https://www.tiktok.com/@mozza_store30/video/7639237772301356308?is_from_webapp=1&amp;sender_device=pc")</f>
        <v>https://www.tiktok.com/@mozza_store30/video/7639237772301356308?is_from_webapp=1&amp;sender_device=pc</v>
      </c>
      <c r="L295" s="278" t="str">
        <f>IFERROR(__xludf.DUMMYFUNCTION("""COMPUTED_VALUE"""),"https://www.tiktok.com/@mozza_store30/video/7639895010540211476?is_from_webapp=1&amp;sender_device=pc")</f>
        <v>https://www.tiktok.com/@mozza_store30/video/7639895010540211476?is_from_webapp=1&amp;sender_device=pc</v>
      </c>
      <c r="M295" s="262"/>
    </row>
    <row r="296">
      <c r="A296" s="255" t="str">
        <f>IFERROR(__xludf.DUMMYFUNCTION("""COMPUTED_VALUE"""),"NANO")</f>
        <v>NANO</v>
      </c>
      <c r="B296" s="23" t="str">
        <f>IFERROR(__xludf.DUMMYFUNCTION("""COMPUTED_VALUE"""),"oktaviaaa11_")</f>
        <v>oktaviaaa11_</v>
      </c>
      <c r="C296" s="257" t="str">
        <f>IFERROR(__xludf.DUMMYFUNCTION("""COMPUTED_VALUE"""),"https://www.tiktok.com/@oktaviaaa11_")</f>
        <v>https://www.tiktok.com/@oktaviaaa11_</v>
      </c>
      <c r="D296" s="23">
        <f>IFERROR(__xludf.DUMMYFUNCTION("""COMPUTED_VALUE"""),8.5786359257E10)</f>
        <v>85786359257</v>
      </c>
      <c r="E296" s="457">
        <f>IFERROR(__xludf.DUMMYFUNCTION("""COMPUTED_VALUE"""),0.0)</f>
        <v>0</v>
      </c>
      <c r="F296" s="270">
        <f>IFERROR(__xludf.DUMMYFUNCTION("""COMPUTED_VALUE"""),4.0)</f>
        <v>4</v>
      </c>
      <c r="G296" s="17" t="str">
        <f>IFERROR(__xludf.DUMMYFUNCTION("""COMPUTED_VALUE"""),"Full Set")</f>
        <v>Full Set</v>
      </c>
      <c r="H296" s="17"/>
      <c r="I296" s="278" t="str">
        <f>IFERROR(__xludf.DUMMYFUNCTION("""COMPUTED_VALUE"""),"https://www.tiktok.com/@oktaviaaa11_/video/7640825803768466696?is_from_webapp=1&amp;sender_device=pc")</f>
        <v>https://www.tiktok.com/@oktaviaaa11_/video/7640825803768466696?is_from_webapp=1&amp;sender_device=pc</v>
      </c>
      <c r="J296" s="278" t="str">
        <f>IFERROR(__xludf.DUMMYFUNCTION("""COMPUTED_VALUE"""),"https://www.tiktok.com/@oktaviaaa11_/video/7642482117410147591?is_from_webapp=1&amp;sender_device=pc")</f>
        <v>https://www.tiktok.com/@oktaviaaa11_/video/7642482117410147591?is_from_webapp=1&amp;sender_device=pc</v>
      </c>
      <c r="K296" s="262"/>
      <c r="L296" s="262"/>
      <c r="M296" s="262"/>
    </row>
    <row r="297">
      <c r="A297" s="255" t="str">
        <f>IFERROR(__xludf.DUMMYFUNCTION("""COMPUTED_VALUE"""),"NANO")</f>
        <v>NANO</v>
      </c>
      <c r="B297" s="23" t="str">
        <f>IFERROR(__xludf.DUMMYFUNCTION("""COMPUTED_VALUE"""),"kueecoklat_")</f>
        <v>kueecoklat_</v>
      </c>
      <c r="C297" s="257" t="str">
        <f>IFERROR(__xludf.DUMMYFUNCTION("""COMPUTED_VALUE"""),"https://www.tiktok.com/@kueecoklat_")</f>
        <v>https://www.tiktok.com/@kueecoklat_</v>
      </c>
      <c r="D297" s="23">
        <f>IFERROR(__xludf.DUMMYFUNCTION("""COMPUTED_VALUE"""),8.8279296851E10)</f>
        <v>88279296851</v>
      </c>
      <c r="E297" s="457">
        <f>IFERROR(__xludf.DUMMYFUNCTION("""COMPUTED_VALUE"""),0.0)</f>
        <v>0</v>
      </c>
      <c r="F297" s="270">
        <f>IFERROR(__xludf.DUMMYFUNCTION("""COMPUTED_VALUE"""),4.0)</f>
        <v>4</v>
      </c>
      <c r="G297" s="17" t="str">
        <f>IFERROR(__xludf.DUMMYFUNCTION("""COMPUTED_VALUE"""),"Full Set")</f>
        <v>Full Set</v>
      </c>
      <c r="H297" s="17"/>
      <c r="I297" s="262"/>
      <c r="J297" s="262"/>
      <c r="K297" s="262"/>
      <c r="L297" s="262"/>
      <c r="M297" s="262"/>
    </row>
    <row r="298">
      <c r="A298" s="255" t="str">
        <f>IFERROR(__xludf.DUMMYFUNCTION("""COMPUTED_VALUE"""),"NANO")</f>
        <v>NANO</v>
      </c>
      <c r="B298" s="23" t="str">
        <f>IFERROR(__xludf.DUMMYFUNCTION("""COMPUTED_VALUE"""),"_ekapuspitaaaa")</f>
        <v>_ekapuspitaaaa</v>
      </c>
      <c r="C298" s="257" t="str">
        <f>IFERROR(__xludf.DUMMYFUNCTION("""COMPUTED_VALUE"""),"https://www.tiktok.com/@_ekapuspitaaaa")</f>
        <v>https://www.tiktok.com/@_ekapuspitaaaa</v>
      </c>
      <c r="D298" s="23">
        <f>IFERROR(__xludf.DUMMYFUNCTION("""COMPUTED_VALUE"""),8.2280699204E10)</f>
        <v>82280699204</v>
      </c>
      <c r="E298" s="457">
        <f>IFERROR(__xludf.DUMMYFUNCTION("""COMPUTED_VALUE"""),0.0)</f>
        <v>0</v>
      </c>
      <c r="F298" s="270">
        <f>IFERROR(__xludf.DUMMYFUNCTION("""COMPUTED_VALUE"""),3.0)</f>
        <v>3</v>
      </c>
      <c r="G298" s="17" t="str">
        <f>IFERROR(__xludf.DUMMYFUNCTION("""COMPUTED_VALUE"""),"Full Set")</f>
        <v>Full Set</v>
      </c>
      <c r="H298" s="17"/>
      <c r="I298" s="262"/>
      <c r="J298" s="262"/>
      <c r="K298" s="262"/>
      <c r="L298" s="262"/>
      <c r="M298" s="262"/>
    </row>
    <row r="299">
      <c r="A299" s="255" t="str">
        <f>IFERROR(__xludf.DUMMYFUNCTION("""COMPUTED_VALUE"""),"NANO")</f>
        <v>NANO</v>
      </c>
      <c r="B299" s="23" t="str">
        <f>IFERROR(__xludf.DUMMYFUNCTION("""COMPUTED_VALUE"""),"ansnrhf")</f>
        <v>ansnrhf</v>
      </c>
      <c r="C299" s="257" t="str">
        <f>IFERROR(__xludf.DUMMYFUNCTION("""COMPUTED_VALUE"""),"https://www.tiktok.com/@ansnrhf")</f>
        <v>https://www.tiktok.com/@ansnrhf</v>
      </c>
      <c r="D299" s="23">
        <f>IFERROR(__xludf.DUMMYFUNCTION("""COMPUTED_VALUE"""),8.2216171157E10)</f>
        <v>82216171157</v>
      </c>
      <c r="E299" s="457">
        <f>IFERROR(__xludf.DUMMYFUNCTION("""COMPUTED_VALUE"""),0.0)</f>
        <v>0</v>
      </c>
      <c r="F299" s="270">
        <f>IFERROR(__xludf.DUMMYFUNCTION("""COMPUTED_VALUE"""),3.0)</f>
        <v>3</v>
      </c>
      <c r="G299" s="17" t="str">
        <f>IFERROR(__xludf.DUMMYFUNCTION("""COMPUTED_VALUE"""),"Full Set")</f>
        <v>Full Set</v>
      </c>
      <c r="H299" s="17"/>
      <c r="I299" s="262"/>
      <c r="J299" s="262"/>
      <c r="K299" s="262"/>
      <c r="L299" s="262"/>
      <c r="M299" s="262"/>
    </row>
    <row r="300">
      <c r="A300" s="255" t="str">
        <f>IFERROR(__xludf.DUMMYFUNCTION("""COMPUTED_VALUE"""),"NANO")</f>
        <v>NANO</v>
      </c>
      <c r="B300" s="23" t="str">
        <f>IFERROR(__xludf.DUMMYFUNCTION("""COMPUTED_VALUE"""),"violinajasronadi18")</f>
        <v>violinajasronadi18</v>
      </c>
      <c r="C300" s="257" t="str">
        <f>IFERROR(__xludf.DUMMYFUNCTION("""COMPUTED_VALUE"""),"https://www.tiktok.com/@violinajasronadi18")</f>
        <v>https://www.tiktok.com/@violinajasronadi18</v>
      </c>
      <c r="D300" s="23">
        <f>IFERROR(__xludf.DUMMYFUNCTION("""COMPUTED_VALUE"""),8.3141836065E10)</f>
        <v>83141836065</v>
      </c>
      <c r="E300" s="457">
        <f>IFERROR(__xludf.DUMMYFUNCTION("""COMPUTED_VALUE"""),0.0)</f>
        <v>0</v>
      </c>
      <c r="F300" s="270">
        <f>IFERROR(__xludf.DUMMYFUNCTION("""COMPUTED_VALUE"""),3.0)</f>
        <v>3</v>
      </c>
      <c r="G300" s="17" t="str">
        <f>IFERROR(__xludf.DUMMYFUNCTION("""COMPUTED_VALUE"""),"Full Set")</f>
        <v>Full Set</v>
      </c>
      <c r="H300" s="17"/>
      <c r="I300" s="262"/>
      <c r="J300" s="262"/>
      <c r="K300" s="262"/>
      <c r="L300" s="262"/>
      <c r="M300" s="262"/>
    </row>
    <row r="301">
      <c r="A301" s="255" t="str">
        <f>IFERROR(__xludf.DUMMYFUNCTION("""COMPUTED_VALUE"""),"MICRO")</f>
        <v>MICRO</v>
      </c>
      <c r="B301" s="23" t="str">
        <f>IFERROR(__xludf.DUMMYFUNCTION("""COMPUTED_VALUE"""),"deksiti164")</f>
        <v>deksiti164</v>
      </c>
      <c r="C301" s="257" t="str">
        <f>IFERROR(__xludf.DUMMYFUNCTION("""COMPUTED_VALUE"""),"https://www.tiktok.com/@deksiti164")</f>
        <v>https://www.tiktok.com/@deksiti164</v>
      </c>
      <c r="D301" s="23">
        <f>IFERROR(__xludf.DUMMYFUNCTION("""COMPUTED_VALUE"""),8.2275634637E10)</f>
        <v>82275634637</v>
      </c>
      <c r="E301" s="457">
        <f>IFERROR(__xludf.DUMMYFUNCTION("""COMPUTED_VALUE"""),0.0)</f>
        <v>0</v>
      </c>
      <c r="F301" s="270">
        <f>IFERROR(__xludf.DUMMYFUNCTION("""COMPUTED_VALUE"""),3.0)</f>
        <v>3</v>
      </c>
      <c r="G301" s="17" t="str">
        <f>IFERROR(__xludf.DUMMYFUNCTION("""COMPUTED_VALUE"""),"Full Set")</f>
        <v>Full Set</v>
      </c>
      <c r="H301" s="17"/>
      <c r="I301" s="262"/>
      <c r="J301" s="262"/>
      <c r="K301" s="262"/>
      <c r="L301" s="262"/>
      <c r="M301" s="262"/>
    </row>
    <row r="302">
      <c r="A302" s="255" t="str">
        <f>IFERROR(__xludf.DUMMYFUNCTION("""COMPUTED_VALUE"""),"NANO")</f>
        <v>NANO</v>
      </c>
      <c r="B302" s="23" t="str">
        <f>IFERROR(__xludf.DUMMYFUNCTION("""COMPUTED_VALUE"""),"gendhis798")</f>
        <v>gendhis798</v>
      </c>
      <c r="C302" s="257" t="str">
        <f>IFERROR(__xludf.DUMMYFUNCTION("""COMPUTED_VALUE"""),"https://www.tiktok.com/@gendhis798")</f>
        <v>https://www.tiktok.com/@gendhis798</v>
      </c>
      <c r="D302" s="23">
        <f>IFERROR(__xludf.DUMMYFUNCTION("""COMPUTED_VALUE"""),8.969594418E10)</f>
        <v>89695944180</v>
      </c>
      <c r="E302" s="457">
        <f>IFERROR(__xludf.DUMMYFUNCTION("""COMPUTED_VALUE"""),0.0)</f>
        <v>0</v>
      </c>
      <c r="F302" s="270">
        <f>IFERROR(__xludf.DUMMYFUNCTION("""COMPUTED_VALUE"""),2.0)</f>
        <v>2</v>
      </c>
      <c r="G302" s="17" t="str">
        <f>IFERROR(__xludf.DUMMYFUNCTION("""COMPUTED_VALUE"""),"Full Set")</f>
        <v>Full Set</v>
      </c>
      <c r="H302" s="17"/>
      <c r="I302" s="262"/>
      <c r="J302" s="262"/>
      <c r="K302" s="262"/>
      <c r="L302" s="262"/>
      <c r="M302" s="262"/>
    </row>
    <row r="303">
      <c r="A303" s="255" t="str">
        <f>IFERROR(__xludf.DUMMYFUNCTION("""COMPUTED_VALUE"""),"NANO")</f>
        <v>NANO</v>
      </c>
      <c r="B303" s="23" t="str">
        <f>IFERROR(__xludf.DUMMYFUNCTION("""COMPUTED_VALUE"""),"mawarinddah")</f>
        <v>mawarinddah</v>
      </c>
      <c r="C303" s="257" t="str">
        <f>IFERROR(__xludf.DUMMYFUNCTION("""COMPUTED_VALUE"""),"https://www.tiktok.com/@mawarinddah")</f>
        <v>https://www.tiktok.com/@mawarinddah</v>
      </c>
      <c r="D303" s="23">
        <f>IFERROR(__xludf.DUMMYFUNCTION("""COMPUTED_VALUE"""),8.3853789141E10)</f>
        <v>83853789141</v>
      </c>
      <c r="E303" s="457">
        <f>IFERROR(__xludf.DUMMYFUNCTION("""COMPUTED_VALUE"""),0.0)</f>
        <v>0</v>
      </c>
      <c r="F303" s="270">
        <f>IFERROR(__xludf.DUMMYFUNCTION("""COMPUTED_VALUE"""),3.0)</f>
        <v>3</v>
      </c>
      <c r="G303" s="17" t="str">
        <f>IFERROR(__xludf.DUMMYFUNCTION("""COMPUTED_VALUE"""),"Full Set")</f>
        <v>Full Set</v>
      </c>
      <c r="H303" s="17"/>
      <c r="I303" s="262"/>
      <c r="J303" s="262"/>
      <c r="K303" s="262"/>
      <c r="L303" s="262"/>
      <c r="M303" s="262"/>
    </row>
    <row r="304">
      <c r="A304" s="255" t="str">
        <f>IFERROR(__xludf.DUMMYFUNCTION("""COMPUTED_VALUE"""),"NANO")</f>
        <v>NANO</v>
      </c>
      <c r="B304" s="23" t="str">
        <f>IFERROR(__xludf.DUMMYFUNCTION("""COMPUTED_VALUE"""),"linaanaps")</f>
        <v>linaanaps</v>
      </c>
      <c r="C304" s="257" t="str">
        <f>IFERROR(__xludf.DUMMYFUNCTION("""COMPUTED_VALUE"""),"https://www.tiktok.com/@linaanaps")</f>
        <v>https://www.tiktok.com/@linaanaps</v>
      </c>
      <c r="D304" s="23">
        <f>IFERROR(__xludf.DUMMYFUNCTION("""COMPUTED_VALUE"""),8.526449339E10)</f>
        <v>85264493390</v>
      </c>
      <c r="E304" s="457">
        <f>IFERROR(__xludf.DUMMYFUNCTION("""COMPUTED_VALUE"""),0.0)</f>
        <v>0</v>
      </c>
      <c r="F304" s="270">
        <f>IFERROR(__xludf.DUMMYFUNCTION("""COMPUTED_VALUE"""),4.0)</f>
        <v>4</v>
      </c>
      <c r="G304" s="17" t="str">
        <f>IFERROR(__xludf.DUMMYFUNCTION("""COMPUTED_VALUE"""),"Full Set")</f>
        <v>Full Set</v>
      </c>
      <c r="H304" s="17"/>
      <c r="I304" s="278" t="str">
        <f>IFERROR(__xludf.DUMMYFUNCTION("""COMPUTED_VALUE"""),"https://www.tiktok.com/@linaanaps/video/7638824071236537618?is_from_webapp=1&amp;sender_device=pc")</f>
        <v>https://www.tiktok.com/@linaanaps/video/7638824071236537618?is_from_webapp=1&amp;sender_device=pc</v>
      </c>
      <c r="J304" s="278" t="str">
        <f>IFERROR(__xludf.DUMMYFUNCTION("""COMPUTED_VALUE"""),"https://www.tiktok.com/@linaanaps/video/7639790449430891794?is_from_webapp=1&amp;sender_device=pc")</f>
        <v>https://www.tiktok.com/@linaanaps/video/7639790449430891794?is_from_webapp=1&amp;sender_device=pc</v>
      </c>
      <c r="K304" s="262"/>
      <c r="L304" s="262"/>
      <c r="M304" s="262"/>
    </row>
    <row r="305">
      <c r="A305" s="255" t="str">
        <f>IFERROR(__xludf.DUMMYFUNCTION("""COMPUTED_VALUE"""),"NANO")</f>
        <v>NANO</v>
      </c>
      <c r="B305" s="23" t="str">
        <f>IFERROR(__xludf.DUMMYFUNCTION("""COMPUTED_VALUE"""),"hilmaanrph")</f>
        <v>hilmaanrph</v>
      </c>
      <c r="C305" s="257" t="str">
        <f>IFERROR(__xludf.DUMMYFUNCTION("""COMPUTED_VALUE"""),"https://www.tiktok.com/@hilmaanrph")</f>
        <v>https://www.tiktok.com/@hilmaanrph</v>
      </c>
      <c r="D305" s="23">
        <f>IFERROR(__xludf.DUMMYFUNCTION("""COMPUTED_VALUE"""),8.1223341417E10)</f>
        <v>81223341417</v>
      </c>
      <c r="E305" s="457">
        <f>IFERROR(__xludf.DUMMYFUNCTION("""COMPUTED_VALUE"""),0.0)</f>
        <v>0</v>
      </c>
      <c r="F305" s="270">
        <f>IFERROR(__xludf.DUMMYFUNCTION("""COMPUTED_VALUE"""),4.0)</f>
        <v>4</v>
      </c>
      <c r="G305" s="17" t="str">
        <f>IFERROR(__xludf.DUMMYFUNCTION("""COMPUTED_VALUE"""),"Full Set")</f>
        <v>Full Set</v>
      </c>
      <c r="H305" s="17"/>
      <c r="I305" s="262"/>
      <c r="J305" s="262"/>
      <c r="K305" s="262"/>
      <c r="L305" s="262"/>
      <c r="M305" s="262"/>
    </row>
    <row r="306">
      <c r="A306" s="255" t="str">
        <f>IFERROR(__xludf.DUMMYFUNCTION("""COMPUTED_VALUE"""),"NANO")</f>
        <v>NANO</v>
      </c>
      <c r="B306" s="23" t="str">
        <f>IFERROR(__xludf.DUMMYFUNCTION("""COMPUTED_VALUE"""),"lusianaa87")</f>
        <v>lusianaa87</v>
      </c>
      <c r="C306" s="257" t="str">
        <f>IFERROR(__xludf.DUMMYFUNCTION("""COMPUTED_VALUE"""),"https://www.tiktok.com/@lusianaa87")</f>
        <v>https://www.tiktok.com/@lusianaa87</v>
      </c>
      <c r="D306" s="23">
        <f>IFERROR(__xludf.DUMMYFUNCTION("""COMPUTED_VALUE"""),8.3106420522E10)</f>
        <v>83106420522</v>
      </c>
      <c r="E306" s="457">
        <f>IFERROR(__xludf.DUMMYFUNCTION("""COMPUTED_VALUE"""),0.0)</f>
        <v>0</v>
      </c>
      <c r="F306" s="270">
        <f>IFERROR(__xludf.DUMMYFUNCTION("""COMPUTED_VALUE"""),4.0)</f>
        <v>4</v>
      </c>
      <c r="G306" s="17" t="str">
        <f>IFERROR(__xludf.DUMMYFUNCTION("""COMPUTED_VALUE"""),"Full Set")</f>
        <v>Full Set</v>
      </c>
      <c r="H306" s="17"/>
      <c r="I306" s="278" t="str">
        <f>IFERROR(__xludf.DUMMYFUNCTION("""COMPUTED_VALUE"""),"https://www.tiktok.com/@lusianaa87/video/7640330210130349320?is_from_webapp=1&amp;sender_device=pc")</f>
        <v>https://www.tiktok.com/@lusianaa87/video/7640330210130349320?is_from_webapp=1&amp;sender_device=pc</v>
      </c>
      <c r="J306" s="278" t="str">
        <f>IFERROR(__xludf.DUMMYFUNCTION("""COMPUTED_VALUE"""),"https://www.tiktok.com/@lusianaa87/video/7642201485568249096?is_from_webapp=1&amp;sender_device=pc")</f>
        <v>https://www.tiktok.com/@lusianaa87/video/7642201485568249096?is_from_webapp=1&amp;sender_device=pc</v>
      </c>
      <c r="K306" s="278" t="str">
        <f>IFERROR(__xludf.DUMMYFUNCTION("""COMPUTED_VALUE"""),"https://www.tiktok.com/@lusianaa87/video/7642967033293917448?is_from_webapp=1&amp;sender_device=pc")</f>
        <v>https://www.tiktok.com/@lusianaa87/video/7642967033293917448?is_from_webapp=1&amp;sender_device=pc</v>
      </c>
      <c r="L306" s="262"/>
      <c r="M306" s="262"/>
    </row>
    <row r="307">
      <c r="A307" s="255" t="str">
        <f>IFERROR(__xludf.DUMMYFUNCTION("""COMPUTED_VALUE"""),"NANO")</f>
        <v>NANO</v>
      </c>
      <c r="B307" s="23" t="str">
        <f>IFERROR(__xludf.DUMMYFUNCTION("""COMPUTED_VALUE"""),"dianasepti210")</f>
        <v>dianasepti210</v>
      </c>
      <c r="C307" s="257" t="str">
        <f>IFERROR(__xludf.DUMMYFUNCTION("""COMPUTED_VALUE"""),"https://www.tiktok.com/@dianasepti210")</f>
        <v>https://www.tiktok.com/@dianasepti210</v>
      </c>
      <c r="D307" s="23">
        <f>IFERROR(__xludf.DUMMYFUNCTION("""COMPUTED_VALUE"""),8.5781001141E10)</f>
        <v>85781001141</v>
      </c>
      <c r="E307" s="457">
        <f>IFERROR(__xludf.DUMMYFUNCTION("""COMPUTED_VALUE"""),0.0)</f>
        <v>0</v>
      </c>
      <c r="F307" s="270">
        <f>IFERROR(__xludf.DUMMYFUNCTION("""COMPUTED_VALUE"""),4.0)</f>
        <v>4</v>
      </c>
      <c r="G307" s="17" t="str">
        <f>IFERROR(__xludf.DUMMYFUNCTION("""COMPUTED_VALUE"""),"Full Set")</f>
        <v>Full Set</v>
      </c>
      <c r="H307" s="17"/>
      <c r="I307" s="278" t="str">
        <f>IFERROR(__xludf.DUMMYFUNCTION("""COMPUTED_VALUE"""),"https://www.tiktok.com/@dianasepti210/video/7638595940705766674?is_from_webapp=1&amp;sender_device=pc")</f>
        <v>https://www.tiktok.com/@dianasepti210/video/7638595940705766674?is_from_webapp=1&amp;sender_device=pc</v>
      </c>
      <c r="J307" s="278" t="str">
        <f>IFERROR(__xludf.DUMMYFUNCTION("""COMPUTED_VALUE"""),"https://www.tiktok.com/@dianasepti210/video/7639035305303084295?is_from_webapp=1&amp;sender_device=pc")</f>
        <v>https://www.tiktok.com/@dianasepti210/video/7639035305303084295?is_from_webapp=1&amp;sender_device=pc</v>
      </c>
      <c r="K307" s="278" t="str">
        <f>IFERROR(__xludf.DUMMYFUNCTION("""COMPUTED_VALUE"""),"https://www.tiktok.com/@dianasepti210/video/7639392091704954120?is_from_webapp=1&amp;sender_device=pc")</f>
        <v>https://www.tiktok.com/@dianasepti210/video/7639392091704954120?is_from_webapp=1&amp;sender_device=pc</v>
      </c>
      <c r="L307" s="278" t="str">
        <f>IFERROR(__xludf.DUMMYFUNCTION("""COMPUTED_VALUE"""),"https://www.tiktok.com/@dianasepti210/video/7639756841701969159?is_from_webapp=1&amp;sender_device=pc")</f>
        <v>https://www.tiktok.com/@dianasepti210/video/7639756841701969159?is_from_webapp=1&amp;sender_device=pc</v>
      </c>
      <c r="M307" s="262"/>
    </row>
    <row r="308">
      <c r="A308" s="255" t="str">
        <f>IFERROR(__xludf.DUMMYFUNCTION("""COMPUTED_VALUE"""),"NANO")</f>
        <v>NANO</v>
      </c>
      <c r="B308" s="23" t="str">
        <f>IFERROR(__xludf.DUMMYFUNCTION("""COMPUTED_VALUE"""),"noerhfizah")</f>
        <v>noerhfizah</v>
      </c>
      <c r="C308" s="257" t="str">
        <f>IFERROR(__xludf.DUMMYFUNCTION("""COMPUTED_VALUE"""),"https://www.tiktok.com/@noerhfizah")</f>
        <v>https://www.tiktok.com/@noerhfizah</v>
      </c>
      <c r="D308" s="23">
        <f>IFERROR(__xludf.DUMMYFUNCTION("""COMPUTED_VALUE"""),8.5764232913E10)</f>
        <v>85764232913</v>
      </c>
      <c r="E308" s="457">
        <f>IFERROR(__xludf.DUMMYFUNCTION("""COMPUTED_VALUE"""),0.0)</f>
        <v>0</v>
      </c>
      <c r="F308" s="270">
        <f>IFERROR(__xludf.DUMMYFUNCTION("""COMPUTED_VALUE"""),4.0)</f>
        <v>4</v>
      </c>
      <c r="G308" s="17" t="str">
        <f>IFERROR(__xludf.DUMMYFUNCTION("""COMPUTED_VALUE"""),"Full Set")</f>
        <v>Full Set</v>
      </c>
      <c r="H308" s="17"/>
      <c r="I308" s="278" t="str">
        <f>IFERROR(__xludf.DUMMYFUNCTION("""COMPUTED_VALUE"""),"https://vt.tiktok.com/ZS9nQ6fCe/")</f>
        <v>https://vt.tiktok.com/ZS9nQ6fCe/</v>
      </c>
      <c r="J308" s="278" t="str">
        <f>IFERROR(__xludf.DUMMYFUNCTION("""COMPUTED_VALUE"""),"https://www.tiktok.com/@noerhfizah/video/7640389444553559317?is_from_webapp=1&amp;sender_device=pc")</f>
        <v>https://www.tiktok.com/@noerhfizah/video/7640389444553559317?is_from_webapp=1&amp;sender_device=pc</v>
      </c>
      <c r="K308" s="278" t="str">
        <f>IFERROR(__xludf.DUMMYFUNCTION("""COMPUTED_VALUE"""),"https://www.tiktok.com/@noerhfizah/video/7640400390046944533?is_from_webapp=1&amp;sender_device=pc")</f>
        <v>https://www.tiktok.com/@noerhfizah/video/7640400390046944533?is_from_webapp=1&amp;sender_device=pc</v>
      </c>
      <c r="L308" s="278" t="str">
        <f>IFERROR(__xludf.DUMMYFUNCTION("""COMPUTED_VALUE"""),"https://www.tiktok.com/@noerhfizah/video/7640510373832985877?is_from_webapp=1&amp;sender_device=pc")</f>
        <v>https://www.tiktok.com/@noerhfizah/video/7640510373832985877?is_from_webapp=1&amp;sender_device=pc</v>
      </c>
      <c r="M308" s="262"/>
    </row>
    <row r="309">
      <c r="A309" s="255" t="str">
        <f>IFERROR(__xludf.DUMMYFUNCTION("""COMPUTED_VALUE"""),"MICRO")</f>
        <v>MICRO</v>
      </c>
      <c r="B309" s="23" t="str">
        <f>IFERROR(__xludf.DUMMYFUNCTION("""COMPUTED_VALUE"""),"delladewintaaa")</f>
        <v>delladewintaaa</v>
      </c>
      <c r="C309" s="257" t="str">
        <f>IFERROR(__xludf.DUMMYFUNCTION("""COMPUTED_VALUE"""),"https://www.tiktok.com/@delladewintaaa")</f>
        <v>https://www.tiktok.com/@delladewintaaa</v>
      </c>
      <c r="D309" s="23">
        <f>IFERROR(__xludf.DUMMYFUNCTION("""COMPUTED_VALUE"""),8.5793590723E10)</f>
        <v>85793590723</v>
      </c>
      <c r="E309" s="457">
        <f>IFERROR(__xludf.DUMMYFUNCTION("""COMPUTED_VALUE"""),0.0)</f>
        <v>0</v>
      </c>
      <c r="F309" s="270">
        <f>IFERROR(__xludf.DUMMYFUNCTION("""COMPUTED_VALUE"""),2.0)</f>
        <v>2</v>
      </c>
      <c r="G309" s="17" t="str">
        <f>IFERROR(__xludf.DUMMYFUNCTION("""COMPUTED_VALUE"""),"Full Set")</f>
        <v>Full Set</v>
      </c>
      <c r="H309" s="17"/>
      <c r="I309" s="262"/>
      <c r="J309" s="262"/>
      <c r="K309" s="262"/>
      <c r="L309" s="262"/>
      <c r="M309" s="262"/>
    </row>
    <row r="310">
      <c r="A310" s="255" t="str">
        <f>IFERROR(__xludf.DUMMYFUNCTION("""COMPUTED_VALUE"""),"NANO")</f>
        <v>NANO</v>
      </c>
      <c r="B310" s="23" t="str">
        <f>IFERROR(__xludf.DUMMYFUNCTION("""COMPUTED_VALUE"""),"teh_racyun_spill")</f>
        <v>teh_racyun_spill</v>
      </c>
      <c r="C310" s="257" t="str">
        <f>IFERROR(__xludf.DUMMYFUNCTION("""COMPUTED_VALUE"""),"https://www.tiktok.com/@teh_racyun_spill")</f>
        <v>https://www.tiktok.com/@teh_racyun_spill</v>
      </c>
      <c r="D310" s="23">
        <f>IFERROR(__xludf.DUMMYFUNCTION("""COMPUTED_VALUE"""),8.5158411516E10)</f>
        <v>85158411516</v>
      </c>
      <c r="E310" s="457">
        <f>IFERROR(__xludf.DUMMYFUNCTION("""COMPUTED_VALUE"""),0.0)</f>
        <v>0</v>
      </c>
      <c r="F310" s="270">
        <f>IFERROR(__xludf.DUMMYFUNCTION("""COMPUTED_VALUE"""),3.0)</f>
        <v>3</v>
      </c>
      <c r="G310" s="17" t="str">
        <f>IFERROR(__xludf.DUMMYFUNCTION("""COMPUTED_VALUE"""),"Full Set")</f>
        <v>Full Set</v>
      </c>
      <c r="H310" s="17"/>
      <c r="I310" s="278" t="str">
        <f>IFERROR(__xludf.DUMMYFUNCTION("""COMPUTED_VALUE"""),"https://www.tiktok.com/@teh_racyun_spill/video/7641233183761108244?is_from_webapp=1&amp;sender_device=pc")</f>
        <v>https://www.tiktok.com/@teh_racyun_spill/video/7641233183761108244?is_from_webapp=1&amp;sender_device=pc</v>
      </c>
      <c r="J310" s="278" t="str">
        <f>IFERROR(__xludf.DUMMYFUNCTION("""COMPUTED_VALUE"""),"https://www.tiktok.com/@teh_racyun_spill/video/7641953340527627541?is_from_webapp=1&amp;sender_device=pc")</f>
        <v>https://www.tiktok.com/@teh_racyun_spill/video/7641953340527627541?is_from_webapp=1&amp;sender_device=pc</v>
      </c>
      <c r="K310" s="278" t="str">
        <f>IFERROR(__xludf.DUMMYFUNCTION("""COMPUTED_VALUE"""),"https://www.tiktok.com/@teh_racyun_spill/video/7643471545548950805?is_from_webapp=1&amp;sender_device=pc")</f>
        <v>https://www.tiktok.com/@teh_racyun_spill/video/7643471545548950805?is_from_webapp=1&amp;sender_device=pc</v>
      </c>
      <c r="L310" s="262"/>
      <c r="M310" s="262"/>
    </row>
    <row r="311">
      <c r="A311" s="255" t="str">
        <f>IFERROR(__xludf.DUMMYFUNCTION("""COMPUTED_VALUE"""),"NANO")</f>
        <v>NANO</v>
      </c>
      <c r="B311" s="23" t="str">
        <f>IFERROR(__xludf.DUMMYFUNCTION("""COMPUTED_VALUE"""),"__vaaadwis")</f>
        <v>__vaaadwis</v>
      </c>
      <c r="C311" s="257" t="str">
        <f>IFERROR(__xludf.DUMMYFUNCTION("""COMPUTED_VALUE"""),"https://www.tiktok.com/@__vaaadwis")</f>
        <v>https://www.tiktok.com/@__vaaadwis</v>
      </c>
      <c r="D311" s="23">
        <f>IFERROR(__xludf.DUMMYFUNCTION("""COMPUTED_VALUE"""),8.5221104259E10)</f>
        <v>85221104259</v>
      </c>
      <c r="E311" s="457">
        <f>IFERROR(__xludf.DUMMYFUNCTION("""COMPUTED_VALUE"""),0.0)</f>
        <v>0</v>
      </c>
      <c r="F311" s="270">
        <f>IFERROR(__xludf.DUMMYFUNCTION("""COMPUTED_VALUE"""),3.0)</f>
        <v>3</v>
      </c>
      <c r="G311" s="17" t="str">
        <f>IFERROR(__xludf.DUMMYFUNCTION("""COMPUTED_VALUE"""),"Full Set")</f>
        <v>Full Set</v>
      </c>
      <c r="H311" s="17"/>
      <c r="I311" s="278" t="str">
        <f>IFERROR(__xludf.DUMMYFUNCTION("""COMPUTED_VALUE"""),"https://vt.tiktok.com/ZS93cxeoW/")</f>
        <v>https://vt.tiktok.com/ZS93cxeoW/</v>
      </c>
      <c r="J311" s="278" t="str">
        <f>IFERROR(__xludf.DUMMYFUNCTION("""COMPUTED_VALUE"""),"https://www.tiktok.com/@__vaaadwis/video/7638542645521878290?is_from_webapp=1&amp;sender_device=pc")</f>
        <v>https://www.tiktok.com/@__vaaadwis/video/7638542645521878290?is_from_webapp=1&amp;sender_device=pc</v>
      </c>
      <c r="K311" s="278" t="str">
        <f>IFERROR(__xludf.DUMMYFUNCTION("""COMPUTED_VALUE"""),"https://www.tiktok.com/@__vaaadwis/video/7638545575339674888?is_from_webapp=1&amp;sender_device=pc")</f>
        <v>https://www.tiktok.com/@__vaaadwis/video/7638545575339674888?is_from_webapp=1&amp;sender_device=pc</v>
      </c>
      <c r="L311" s="278" t="str">
        <f>IFERROR(__xludf.DUMMYFUNCTION("""COMPUTED_VALUE"""),"https://www.tiktok.com/@__vaaadwis/video/7642575172339289351?is_from_webapp=1&amp;sender_device=pc")</f>
        <v>https://www.tiktok.com/@__vaaadwis/video/7642575172339289351?is_from_webapp=1&amp;sender_device=pc</v>
      </c>
      <c r="M311" s="262"/>
    </row>
    <row r="312">
      <c r="A312" s="255" t="str">
        <f>IFERROR(__xludf.DUMMYFUNCTION("""COMPUTED_VALUE"""),"NANO")</f>
        <v>NANO</v>
      </c>
      <c r="B312" s="23" t="str">
        <f>IFERROR(__xludf.DUMMYFUNCTION("""COMPUTED_VALUE"""),"diahayunks")</f>
        <v>diahayunks</v>
      </c>
      <c r="C312" s="257" t="str">
        <f>IFERROR(__xludf.DUMMYFUNCTION("""COMPUTED_VALUE"""),"https://www.tiktok.com/@diahayunks")</f>
        <v>https://www.tiktok.com/@diahayunks</v>
      </c>
      <c r="D312" s="23">
        <f>IFERROR(__xludf.DUMMYFUNCTION("""COMPUTED_VALUE"""),8.5791770534E10)</f>
        <v>85791770534</v>
      </c>
      <c r="E312" s="457">
        <f>IFERROR(__xludf.DUMMYFUNCTION("""COMPUTED_VALUE"""),0.0)</f>
        <v>0</v>
      </c>
      <c r="F312" s="270">
        <f>IFERROR(__xludf.DUMMYFUNCTION("""COMPUTED_VALUE"""),4.0)</f>
        <v>4</v>
      </c>
      <c r="G312" s="17" t="str">
        <f>IFERROR(__xludf.DUMMYFUNCTION("""COMPUTED_VALUE"""),"Full Set")</f>
        <v>Full Set</v>
      </c>
      <c r="H312" s="17"/>
      <c r="I312" s="262"/>
      <c r="J312" s="262"/>
      <c r="K312" s="262"/>
      <c r="L312" s="262"/>
      <c r="M312" s="262"/>
    </row>
    <row r="313">
      <c r="A313" s="255" t="str">
        <f>IFERROR(__xludf.DUMMYFUNCTION("""COMPUTED_VALUE"""),"NANO")</f>
        <v>NANO</v>
      </c>
      <c r="B313" s="23" t="str">
        <f>IFERROR(__xludf.DUMMYFUNCTION("""COMPUTED_VALUE"""),"novitap11")</f>
        <v>novitap11</v>
      </c>
      <c r="C313" s="257" t="str">
        <f>IFERROR(__xludf.DUMMYFUNCTION("""COMPUTED_VALUE"""),"https://www.tiktok.com/@novitap11")</f>
        <v>https://www.tiktok.com/@novitap11</v>
      </c>
      <c r="D313" s="23">
        <f>IFERROR(__xludf.DUMMYFUNCTION("""COMPUTED_VALUE"""),8.13875441E10)</f>
        <v>81387544100</v>
      </c>
      <c r="E313" s="457">
        <f>IFERROR(__xludf.DUMMYFUNCTION("""COMPUTED_VALUE"""),0.0)</f>
        <v>0</v>
      </c>
      <c r="F313" s="270">
        <f>IFERROR(__xludf.DUMMYFUNCTION("""COMPUTED_VALUE"""),2.0)</f>
        <v>2</v>
      </c>
      <c r="G313" s="17" t="str">
        <f>IFERROR(__xludf.DUMMYFUNCTION("""COMPUTED_VALUE"""),"Full Set")</f>
        <v>Full Set</v>
      </c>
      <c r="H313" s="17"/>
      <c r="I313" s="278" t="str">
        <f>IFERROR(__xludf.DUMMYFUNCTION("""COMPUTED_VALUE"""),"https://www.tiktok.com/@novitap11/video/7640838550568635666?is_from_webapp=1&amp;sender_device=pc")</f>
        <v>https://www.tiktok.com/@novitap11/video/7640838550568635666?is_from_webapp=1&amp;sender_device=pc</v>
      </c>
      <c r="J313" s="278" t="str">
        <f>IFERROR(__xludf.DUMMYFUNCTION("""COMPUTED_VALUE"""),"https://www.tiktok.com/@novitap11/video/7643089290049768722?is_from_webapp=1&amp;sender_device=pc")</f>
        <v>https://www.tiktok.com/@novitap11/video/7643089290049768722?is_from_webapp=1&amp;sender_device=pc</v>
      </c>
      <c r="K313" s="262"/>
      <c r="L313" s="262"/>
      <c r="M313" s="262"/>
    </row>
    <row r="314">
      <c r="A314" s="255" t="str">
        <f>IFERROR(__xludf.DUMMYFUNCTION("""COMPUTED_VALUE"""),"NANO")</f>
        <v>NANO</v>
      </c>
      <c r="B314" s="23" t="str">
        <f>IFERROR(__xludf.DUMMYFUNCTION("""COMPUTED_VALUE"""),"Luphmatchaaa")</f>
        <v>Luphmatchaaa</v>
      </c>
      <c r="C314" s="257" t="str">
        <f>IFERROR(__xludf.DUMMYFUNCTION("""COMPUTED_VALUE"""),"https://www.tiktok.com/@Luphmatchaaa")</f>
        <v>https://www.tiktok.com/@Luphmatchaaa</v>
      </c>
      <c r="D314" s="23">
        <f>IFERROR(__xludf.DUMMYFUNCTION("""COMPUTED_VALUE"""),8.9526975891E10)</f>
        <v>89526975891</v>
      </c>
      <c r="E314" s="457">
        <f>IFERROR(__xludf.DUMMYFUNCTION("""COMPUTED_VALUE"""),0.0)</f>
        <v>0</v>
      </c>
      <c r="F314" s="270">
        <f>IFERROR(__xludf.DUMMYFUNCTION("""COMPUTED_VALUE"""),4.0)</f>
        <v>4</v>
      </c>
      <c r="G314" s="17" t="str">
        <f>IFERROR(__xludf.DUMMYFUNCTION("""COMPUTED_VALUE"""),"Full Set")</f>
        <v>Full Set</v>
      </c>
      <c r="H314" s="17"/>
      <c r="I314" s="262"/>
      <c r="J314" s="262"/>
      <c r="K314" s="262"/>
      <c r="L314" s="262"/>
      <c r="M314" s="262"/>
    </row>
    <row r="315">
      <c r="A315" s="255" t="str">
        <f>IFERROR(__xludf.DUMMYFUNCTION("""COMPUTED_VALUE"""),"NANO")</f>
        <v>NANO</v>
      </c>
      <c r="B315" s="23" t="str">
        <f>IFERROR(__xludf.DUMMYFUNCTION("""COMPUTED_VALUE"""),"Jhuvv_")</f>
        <v>Jhuvv_</v>
      </c>
      <c r="C315" s="257" t="str">
        <f>IFERROR(__xludf.DUMMYFUNCTION("""COMPUTED_VALUE"""),"https://www.tiktok.com/@Jhuvv_")</f>
        <v>https://www.tiktok.com/@Jhuvv_</v>
      </c>
      <c r="D315" s="23">
        <f>IFERROR(__xludf.DUMMYFUNCTION("""COMPUTED_VALUE"""),8.5258035432E10)</f>
        <v>85258035432</v>
      </c>
      <c r="E315" s="457">
        <f>IFERROR(__xludf.DUMMYFUNCTION("""COMPUTED_VALUE"""),0.0)</f>
        <v>0</v>
      </c>
      <c r="F315" s="270">
        <f>IFERROR(__xludf.DUMMYFUNCTION("""COMPUTED_VALUE"""),4.0)</f>
        <v>4</v>
      </c>
      <c r="G315" s="17" t="str">
        <f>IFERROR(__xludf.DUMMYFUNCTION("""COMPUTED_VALUE"""),"Full Set")</f>
        <v>Full Set</v>
      </c>
      <c r="H315" s="17"/>
      <c r="I315" s="278" t="str">
        <f>IFERROR(__xludf.DUMMYFUNCTION("""COMPUTED_VALUE"""),"https://www.tiktok.com/@jhuvv_/video/7641175265007226132?is_from_webapp=1&amp;sender_device=pc")</f>
        <v>https://www.tiktok.com/@jhuvv_/video/7641175265007226132?is_from_webapp=1&amp;sender_device=pc</v>
      </c>
      <c r="J315" s="262"/>
      <c r="K315" s="262"/>
      <c r="L315" s="262"/>
      <c r="M315" s="262"/>
    </row>
    <row r="316">
      <c r="A316" s="255" t="str">
        <f>IFERROR(__xludf.DUMMYFUNCTION("""COMPUTED_VALUE"""),"NANO")</f>
        <v>NANO</v>
      </c>
      <c r="B316" s="23" t="str">
        <f>IFERROR(__xludf.DUMMYFUNCTION("""COMPUTED_VALUE"""),"khaakeccik17")</f>
        <v>khaakeccik17</v>
      </c>
      <c r="C316" s="257" t="str">
        <f>IFERROR(__xludf.DUMMYFUNCTION("""COMPUTED_VALUE"""),"https://www.tiktok.com/@khaakeccik17")</f>
        <v>https://www.tiktok.com/@khaakeccik17</v>
      </c>
      <c r="D316" s="23">
        <f>IFERROR(__xludf.DUMMYFUNCTION("""COMPUTED_VALUE"""),8.5732837101E10)</f>
        <v>85732837101</v>
      </c>
      <c r="E316" s="457">
        <f>IFERROR(__xludf.DUMMYFUNCTION("""COMPUTED_VALUE"""),0.0)</f>
        <v>0</v>
      </c>
      <c r="F316" s="270">
        <f>IFERROR(__xludf.DUMMYFUNCTION("""COMPUTED_VALUE"""),4.0)</f>
        <v>4</v>
      </c>
      <c r="G316" s="17" t="str">
        <f>IFERROR(__xludf.DUMMYFUNCTION("""COMPUTED_VALUE"""),"Full Set")</f>
        <v>Full Set</v>
      </c>
      <c r="H316" s="17"/>
      <c r="I316" s="262"/>
      <c r="J316" s="262"/>
      <c r="K316" s="262"/>
      <c r="L316" s="262"/>
      <c r="M316" s="262"/>
    </row>
    <row r="317">
      <c r="A317" s="255" t="str">
        <f>IFERROR(__xludf.DUMMYFUNCTION("""COMPUTED_VALUE"""),"NANO")</f>
        <v>NANO</v>
      </c>
      <c r="B317" s="23" t="str">
        <f>IFERROR(__xludf.DUMMYFUNCTION("""COMPUTED_VALUE"""),"evyllynepattikawa")</f>
        <v>evyllynepattikawa</v>
      </c>
      <c r="C317" s="257" t="str">
        <f>IFERROR(__xludf.DUMMYFUNCTION("""COMPUTED_VALUE"""),"https://www.tiktok.com/@evyllynepattikawa")</f>
        <v>https://www.tiktok.com/@evyllynepattikawa</v>
      </c>
      <c r="D317" s="23">
        <f>IFERROR(__xludf.DUMMYFUNCTION("""COMPUTED_VALUE"""),8.5123341703E10)</f>
        <v>85123341703</v>
      </c>
      <c r="E317" s="457">
        <f>IFERROR(__xludf.DUMMYFUNCTION("""COMPUTED_VALUE"""),0.0)</f>
        <v>0</v>
      </c>
      <c r="F317" s="270">
        <f>IFERROR(__xludf.DUMMYFUNCTION("""COMPUTED_VALUE"""),4.0)</f>
        <v>4</v>
      </c>
      <c r="G317" s="17" t="str">
        <f>IFERROR(__xludf.DUMMYFUNCTION("""COMPUTED_VALUE"""),"Full Set")</f>
        <v>Full Set</v>
      </c>
      <c r="H317" s="17"/>
      <c r="I317" s="262"/>
      <c r="J317" s="262"/>
      <c r="K317" s="262"/>
      <c r="L317" s="262"/>
      <c r="M317" s="262"/>
    </row>
    <row r="318">
      <c r="A318" s="255" t="str">
        <f>IFERROR(__xludf.DUMMYFUNCTION("""COMPUTED_VALUE"""),"NANO")</f>
        <v>NANO</v>
      </c>
      <c r="B318" s="23" t="str">
        <f>IFERROR(__xludf.DUMMYFUNCTION("""COMPUTED_VALUE"""),"im_n4yyyy")</f>
        <v>im_n4yyyy</v>
      </c>
      <c r="C318" s="257" t="str">
        <f>IFERROR(__xludf.DUMMYFUNCTION("""COMPUTED_VALUE"""),"https://www.tiktok.com/@im_n4yyyy")</f>
        <v>https://www.tiktok.com/@im_n4yyyy</v>
      </c>
      <c r="D318" s="23">
        <f>IFERROR(__xludf.DUMMYFUNCTION("""COMPUTED_VALUE"""),8.3133071817E10)</f>
        <v>83133071817</v>
      </c>
      <c r="E318" s="457">
        <f>IFERROR(__xludf.DUMMYFUNCTION("""COMPUTED_VALUE"""),0.0)</f>
        <v>0</v>
      </c>
      <c r="F318" s="270">
        <f>IFERROR(__xludf.DUMMYFUNCTION("""COMPUTED_VALUE"""),4.0)</f>
        <v>4</v>
      </c>
      <c r="G318" s="17" t="str">
        <f>IFERROR(__xludf.DUMMYFUNCTION("""COMPUTED_VALUE"""),"Full Set")</f>
        <v>Full Set</v>
      </c>
      <c r="H318" s="17"/>
      <c r="I318" s="278" t="str">
        <f>IFERROR(__xludf.DUMMYFUNCTION("""COMPUTED_VALUE"""),"https://www.tiktok.com/@im_n4yyyy/video/7640393563309755656?is_from_webapp=1&amp;sender_device=pc")</f>
        <v>https://www.tiktok.com/@im_n4yyyy/video/7640393563309755656?is_from_webapp=1&amp;sender_device=pc</v>
      </c>
      <c r="J318" s="278" t="str">
        <f>IFERROR(__xludf.DUMMYFUNCTION("""COMPUTED_VALUE"""),"https://www.tiktok.com/@im_n4yyyy/video/7640385009886498066?is_from_webapp=1&amp;sender_device=pc")</f>
        <v>https://www.tiktok.com/@im_n4yyyy/video/7640385009886498066?is_from_webapp=1&amp;sender_device=pc</v>
      </c>
      <c r="K318" s="278" t="str">
        <f>IFERROR(__xludf.DUMMYFUNCTION("""COMPUTED_VALUE"""),"https://www.tiktok.com/@im_n4yyyy/video/7639984336330034450?is_from_webapp=1&amp;sender_device=pc")</f>
        <v>https://www.tiktok.com/@im_n4yyyy/video/7639984336330034450?is_from_webapp=1&amp;sender_device=pc</v>
      </c>
      <c r="L318" s="278" t="str">
        <f>IFERROR(__xludf.DUMMYFUNCTION("""COMPUTED_VALUE"""),"https://www.tiktok.com/@im_n4yyyy/video/7639970058998959378?is_from_webapp=1&amp;sender_device=pc")</f>
        <v>https://www.tiktok.com/@im_n4yyyy/video/7639970058998959378?is_from_webapp=1&amp;sender_device=pc</v>
      </c>
      <c r="M318" s="262"/>
    </row>
    <row r="319">
      <c r="A319" s="255" t="str">
        <f>IFERROR(__xludf.DUMMYFUNCTION("""COMPUTED_VALUE"""),"NANO")</f>
        <v>NANO</v>
      </c>
      <c r="B319" s="23" t="str">
        <f>IFERROR(__xludf.DUMMYFUNCTION("""COMPUTED_VALUE"""),"simanismungil")</f>
        <v>simanismungil</v>
      </c>
      <c r="C319" s="257" t="str">
        <f>IFERROR(__xludf.DUMMYFUNCTION("""COMPUTED_VALUE"""),"https://www.tiktok.com/@simanismungil")</f>
        <v>https://www.tiktok.com/@simanismungil</v>
      </c>
      <c r="D319" s="23">
        <f>IFERROR(__xludf.DUMMYFUNCTION("""COMPUTED_VALUE"""),8.2332594917E10)</f>
        <v>82332594917</v>
      </c>
      <c r="E319" s="457">
        <f>IFERROR(__xludf.DUMMYFUNCTION("""COMPUTED_VALUE"""),0.0)</f>
        <v>0</v>
      </c>
      <c r="F319" s="270">
        <f>IFERROR(__xludf.DUMMYFUNCTION("""COMPUTED_VALUE"""),4.0)</f>
        <v>4</v>
      </c>
      <c r="G319" s="17" t="str">
        <f>IFERROR(__xludf.DUMMYFUNCTION("""COMPUTED_VALUE"""),"Full Set")</f>
        <v>Full Set</v>
      </c>
      <c r="H319" s="17"/>
      <c r="I319" s="262"/>
      <c r="J319" s="262"/>
      <c r="K319" s="262"/>
      <c r="L319" s="262"/>
      <c r="M319" s="262"/>
    </row>
    <row r="320">
      <c r="A320" s="255" t="str">
        <f>IFERROR(__xludf.DUMMYFUNCTION("""COMPUTED_VALUE"""),"NANO")</f>
        <v>NANO</v>
      </c>
      <c r="B320" s="23" t="str">
        <f>IFERROR(__xludf.DUMMYFUNCTION("""COMPUTED_VALUE"""),"riskaikha1231")</f>
        <v>riskaikha1231</v>
      </c>
      <c r="C320" s="257" t="str">
        <f>IFERROR(__xludf.DUMMYFUNCTION("""COMPUTED_VALUE"""),"https://www.tiktok.com/@riskaikha1231")</f>
        <v>https://www.tiktok.com/@riskaikha1231</v>
      </c>
      <c r="D320" s="23">
        <f>IFERROR(__xludf.DUMMYFUNCTION("""COMPUTED_VALUE"""),8.1237907036E10)</f>
        <v>81237907036</v>
      </c>
      <c r="E320" s="457">
        <f>IFERROR(__xludf.DUMMYFUNCTION("""COMPUTED_VALUE"""),0.0)</f>
        <v>0</v>
      </c>
      <c r="F320" s="270">
        <f>IFERROR(__xludf.DUMMYFUNCTION("""COMPUTED_VALUE"""),4.0)</f>
        <v>4</v>
      </c>
      <c r="G320" s="17" t="str">
        <f>IFERROR(__xludf.DUMMYFUNCTION("""COMPUTED_VALUE"""),"Full Set")</f>
        <v>Full Set</v>
      </c>
      <c r="H320" s="17"/>
      <c r="I320" s="278" t="str">
        <f>IFERROR(__xludf.DUMMYFUNCTION("""COMPUTED_VALUE"""),"https://www.tiktok.com/@riskaikha1231/video/7639697307599932680?is_from_webapp=1&amp;sender_device=pc")</f>
        <v>https://www.tiktok.com/@riskaikha1231/video/7639697307599932680?is_from_webapp=1&amp;sender_device=pc</v>
      </c>
      <c r="J320" s="278" t="str">
        <f>IFERROR(__xludf.DUMMYFUNCTION("""COMPUTED_VALUE"""),"https://www.tiktok.com/@riskaikha1231/video/7639938574166576402?is_from_webapp=1&amp;sender_device=pc")</f>
        <v>https://www.tiktok.com/@riskaikha1231/video/7639938574166576402?is_from_webapp=1&amp;sender_device=pc</v>
      </c>
      <c r="K320" s="278" t="str">
        <f>IFERROR(__xludf.DUMMYFUNCTION("""COMPUTED_VALUE"""),"https://www.tiktok.com/@riskaikha1231/video/7640331339593436423?is_from_webapp=1&amp;sender_device=pc")</f>
        <v>https://www.tiktok.com/@riskaikha1231/video/7640331339593436423?is_from_webapp=1&amp;sender_device=pc</v>
      </c>
      <c r="L320" s="262"/>
      <c r="M320" s="262"/>
    </row>
    <row r="321">
      <c r="A321" s="255" t="str">
        <f>IFERROR(__xludf.DUMMYFUNCTION("""COMPUTED_VALUE"""),"NANO")</f>
        <v>NANO</v>
      </c>
      <c r="B321" s="23" t="str">
        <f>IFERROR(__xludf.DUMMYFUNCTION("""COMPUTED_VALUE"""),"berliannacahyaningrum")</f>
        <v>berliannacahyaningrum</v>
      </c>
      <c r="C321" s="257" t="str">
        <f>IFERROR(__xludf.DUMMYFUNCTION("""COMPUTED_VALUE"""),"https://www.tiktok.com/@berliannacahyaningrum")</f>
        <v>https://www.tiktok.com/@berliannacahyaningrum</v>
      </c>
      <c r="D321" s="23">
        <f>IFERROR(__xludf.DUMMYFUNCTION("""COMPUTED_VALUE"""),8.5600394923E10)</f>
        <v>85600394923</v>
      </c>
      <c r="E321" s="457">
        <f>IFERROR(__xludf.DUMMYFUNCTION("""COMPUTED_VALUE"""),0.0)</f>
        <v>0</v>
      </c>
      <c r="F321" s="270">
        <f>IFERROR(__xludf.DUMMYFUNCTION("""COMPUTED_VALUE"""),4.0)</f>
        <v>4</v>
      </c>
      <c r="G321" s="17" t="str">
        <f>IFERROR(__xludf.DUMMYFUNCTION("""COMPUTED_VALUE"""),"Full Set")</f>
        <v>Full Set</v>
      </c>
      <c r="H321" s="17"/>
      <c r="I321" s="262"/>
      <c r="J321" s="262"/>
      <c r="K321" s="262"/>
      <c r="L321" s="262"/>
      <c r="M321" s="262"/>
    </row>
    <row r="322">
      <c r="A322" s="255" t="str">
        <f>IFERROR(__xludf.DUMMYFUNCTION("""COMPUTED_VALUE"""),"NANO")</f>
        <v>NANO</v>
      </c>
      <c r="B322" s="23" t="str">
        <f>IFERROR(__xludf.DUMMYFUNCTION("""COMPUTED_VALUE"""),"byolin")</f>
        <v>byolin</v>
      </c>
      <c r="C322" s="257" t="str">
        <f>IFERROR(__xludf.DUMMYFUNCTION("""COMPUTED_VALUE"""),"https://www.tiktok.com/@byolin")</f>
        <v>https://www.tiktok.com/@byolin</v>
      </c>
      <c r="D322" s="23">
        <f>IFERROR(__xludf.DUMMYFUNCTION("""COMPUTED_VALUE"""),8.5600822601E10)</f>
        <v>85600822601</v>
      </c>
      <c r="E322" s="457">
        <f>IFERROR(__xludf.DUMMYFUNCTION("""COMPUTED_VALUE"""),0.0)</f>
        <v>0</v>
      </c>
      <c r="F322" s="270">
        <f>IFERROR(__xludf.DUMMYFUNCTION("""COMPUTED_VALUE"""),4.0)</f>
        <v>4</v>
      </c>
      <c r="G322" s="17" t="str">
        <f>IFERROR(__xludf.DUMMYFUNCTION("""COMPUTED_VALUE"""),"Full Set")</f>
        <v>Full Set</v>
      </c>
      <c r="H322" s="17"/>
      <c r="I322" s="262"/>
      <c r="J322" s="262"/>
      <c r="K322" s="262"/>
      <c r="L322" s="262"/>
      <c r="M322" s="262"/>
    </row>
    <row r="323">
      <c r="A323" s="255" t="str">
        <f>IFERROR(__xludf.DUMMYFUNCTION("""COMPUTED_VALUE"""),"NANO")</f>
        <v>NANO</v>
      </c>
      <c r="B323" s="23" t="str">
        <f>IFERROR(__xludf.DUMMYFUNCTION("""COMPUTED_VALUE"""),"qiqiske2")</f>
        <v>qiqiske2</v>
      </c>
      <c r="C323" s="257" t="str">
        <f>IFERROR(__xludf.DUMMYFUNCTION("""COMPUTED_VALUE"""),"https://www.tiktok.com/@qiqiske2")</f>
        <v>https://www.tiktok.com/@qiqiske2</v>
      </c>
      <c r="D323" s="23">
        <f>IFERROR(__xludf.DUMMYFUNCTION("""COMPUTED_VALUE"""),8.1386246293E10)</f>
        <v>81386246293</v>
      </c>
      <c r="E323" s="457">
        <f>IFERROR(__xludf.DUMMYFUNCTION("""COMPUTED_VALUE"""),0.0)</f>
        <v>0</v>
      </c>
      <c r="F323" s="270">
        <f>IFERROR(__xludf.DUMMYFUNCTION("""COMPUTED_VALUE"""),4.0)</f>
        <v>4</v>
      </c>
      <c r="G323" s="17" t="str">
        <f>IFERROR(__xludf.DUMMYFUNCTION("""COMPUTED_VALUE"""),"Full Set")</f>
        <v>Full Set</v>
      </c>
      <c r="H323" s="17"/>
      <c r="I323" s="278" t="str">
        <f>IFERROR(__xludf.DUMMYFUNCTION("""COMPUTED_VALUE"""),"https://www.tiktok.com/@qiqiske2/video/7642788474432556304?is_from_webapp=1&amp;sender_device=pc")</f>
        <v>https://www.tiktok.com/@qiqiske2/video/7642788474432556304?is_from_webapp=1&amp;sender_device=pc</v>
      </c>
      <c r="J323" s="262"/>
      <c r="K323" s="262"/>
      <c r="L323" s="262"/>
      <c r="M323" s="262"/>
    </row>
    <row r="324">
      <c r="A324" s="255" t="str">
        <f>IFERROR(__xludf.DUMMYFUNCTION("""COMPUTED_VALUE"""),"NANO")</f>
        <v>NANO</v>
      </c>
      <c r="B324" s="23" t="str">
        <f>IFERROR(__xludf.DUMMYFUNCTION("""COMPUTED_VALUE"""),"ammah.tes")</f>
        <v>ammah.tes</v>
      </c>
      <c r="C324" s="257" t="str">
        <f>IFERROR(__xludf.DUMMYFUNCTION("""COMPUTED_VALUE"""),"https://www.tiktok.com/@ammah.tes")</f>
        <v>https://www.tiktok.com/@ammah.tes</v>
      </c>
      <c r="D324" s="23">
        <f>IFERROR(__xludf.DUMMYFUNCTION("""COMPUTED_VALUE"""),8.7882312298E10)</f>
        <v>87882312298</v>
      </c>
      <c r="E324" s="457">
        <f>IFERROR(__xludf.DUMMYFUNCTION("""COMPUTED_VALUE"""),0.0)</f>
        <v>0</v>
      </c>
      <c r="F324" s="270">
        <f>IFERROR(__xludf.DUMMYFUNCTION("""COMPUTED_VALUE"""),4.0)</f>
        <v>4</v>
      </c>
      <c r="G324" s="17" t="str">
        <f>IFERROR(__xludf.DUMMYFUNCTION("""COMPUTED_VALUE"""),"Full Set")</f>
        <v>Full Set</v>
      </c>
      <c r="H324" s="17"/>
      <c r="I324" s="262"/>
      <c r="J324" s="262"/>
      <c r="K324" s="262"/>
      <c r="L324" s="262"/>
      <c r="M324" s="262"/>
    </row>
    <row r="325">
      <c r="A325" s="255" t="str">
        <f>IFERROR(__xludf.DUMMYFUNCTION("""COMPUTED_VALUE"""),"MICRO")</f>
        <v>MICRO</v>
      </c>
      <c r="B325" s="23" t="str">
        <f>IFERROR(__xludf.DUMMYFUNCTION("""COMPUTED_VALUE"""),"putrinidahilalafi")</f>
        <v>putrinidahilalafi</v>
      </c>
      <c r="C325" s="257" t="str">
        <f>IFERROR(__xludf.DUMMYFUNCTION("""COMPUTED_VALUE"""),"https://www.tiktok.com/@putrinidahilalafi")</f>
        <v>https://www.tiktok.com/@putrinidahilalafi</v>
      </c>
      <c r="D325" s="23">
        <f>IFERROR(__xludf.DUMMYFUNCTION("""COMPUTED_VALUE"""),8.5785741514E10)</f>
        <v>85785741514</v>
      </c>
      <c r="E325" s="457">
        <f>IFERROR(__xludf.DUMMYFUNCTION("""COMPUTED_VALUE"""),0.0)</f>
        <v>0</v>
      </c>
      <c r="F325" s="270">
        <f>IFERROR(__xludf.DUMMYFUNCTION("""COMPUTED_VALUE"""),4.0)</f>
        <v>4</v>
      </c>
      <c r="G325" s="17" t="str">
        <f>IFERROR(__xludf.DUMMYFUNCTION("""COMPUTED_VALUE"""),"Full Set")</f>
        <v>Full Set</v>
      </c>
      <c r="H325" s="17"/>
      <c r="I325" s="262"/>
      <c r="J325" s="262"/>
      <c r="K325" s="262"/>
      <c r="L325" s="262"/>
      <c r="M325" s="262"/>
    </row>
    <row r="326">
      <c r="A326" s="255" t="str">
        <f>IFERROR(__xludf.DUMMYFUNCTION("""COMPUTED_VALUE"""),"NANO")</f>
        <v>NANO</v>
      </c>
      <c r="B326" s="23" t="str">
        <f>IFERROR(__xludf.DUMMYFUNCTION("""COMPUTED_VALUE"""),"iniicaaaaa_19")</f>
        <v>iniicaaaaa_19</v>
      </c>
      <c r="C326" s="257" t="str">
        <f>IFERROR(__xludf.DUMMYFUNCTION("""COMPUTED_VALUE"""),"https://www.tiktok.com/@iniicaaaaa_19")</f>
        <v>https://www.tiktok.com/@iniicaaaaa_19</v>
      </c>
      <c r="D326" s="23">
        <f>IFERROR(__xludf.DUMMYFUNCTION("""COMPUTED_VALUE"""),8.7733517156E10)</f>
        <v>87733517156</v>
      </c>
      <c r="E326" s="457">
        <f>IFERROR(__xludf.DUMMYFUNCTION("""COMPUTED_VALUE"""),0.0)</f>
        <v>0</v>
      </c>
      <c r="F326" s="270">
        <f>IFERROR(__xludf.DUMMYFUNCTION("""COMPUTED_VALUE"""),4.0)</f>
        <v>4</v>
      </c>
      <c r="G326" s="17" t="str">
        <f>IFERROR(__xludf.DUMMYFUNCTION("""COMPUTED_VALUE"""),"Full Set")</f>
        <v>Full Set</v>
      </c>
      <c r="H326" s="17"/>
      <c r="I326" s="262"/>
      <c r="J326" s="262"/>
      <c r="K326" s="262"/>
      <c r="L326" s="262"/>
      <c r="M326" s="262"/>
    </row>
    <row r="327">
      <c r="A327" s="255" t="str">
        <f>IFERROR(__xludf.DUMMYFUNCTION("""COMPUTED_VALUE"""),"NANO")</f>
        <v>NANO</v>
      </c>
      <c r="B327" s="23" t="str">
        <f>IFERROR(__xludf.DUMMYFUNCTION("""COMPUTED_VALUE"""),"salsaamelll_")</f>
        <v>salsaamelll_</v>
      </c>
      <c r="C327" s="257" t="str">
        <f>IFERROR(__xludf.DUMMYFUNCTION("""COMPUTED_VALUE"""),"https://www.tiktok.com/@salsaamelll_")</f>
        <v>https://www.tiktok.com/@salsaamelll_</v>
      </c>
      <c r="D327" s="23">
        <f>IFERROR(__xludf.DUMMYFUNCTION("""COMPUTED_VALUE"""),8.5711854891E10)</f>
        <v>85711854891</v>
      </c>
      <c r="E327" s="457">
        <f>IFERROR(__xludf.DUMMYFUNCTION("""COMPUTED_VALUE"""),0.0)</f>
        <v>0</v>
      </c>
      <c r="F327" s="270">
        <f>IFERROR(__xludf.DUMMYFUNCTION("""COMPUTED_VALUE"""),4.0)</f>
        <v>4</v>
      </c>
      <c r="G327" s="17" t="str">
        <f>IFERROR(__xludf.DUMMYFUNCTION("""COMPUTED_VALUE"""),"Full Set")</f>
        <v>Full Set</v>
      </c>
      <c r="H327" s="17"/>
      <c r="I327" s="262"/>
      <c r="J327" s="262"/>
      <c r="K327" s="262"/>
      <c r="L327" s="262"/>
      <c r="M327" s="262"/>
    </row>
    <row r="328">
      <c r="A328" s="255" t="str">
        <f>IFERROR(__xludf.DUMMYFUNCTION("""COMPUTED_VALUE"""),"NANO")</f>
        <v>NANO</v>
      </c>
      <c r="B328" s="23" t="str">
        <f>IFERROR(__xludf.DUMMYFUNCTION("""COMPUTED_VALUE"""),"dewiana.beaufash")</f>
        <v>dewiana.beaufash</v>
      </c>
      <c r="C328" s="257" t="str">
        <f>IFERROR(__xludf.DUMMYFUNCTION("""COMPUTED_VALUE"""),"https://www.tiktok.com/@dewiana.beaufash")</f>
        <v>https://www.tiktok.com/@dewiana.beaufash</v>
      </c>
      <c r="D328" s="23">
        <f>IFERROR(__xludf.DUMMYFUNCTION("""COMPUTED_VALUE"""),8.1310439803E10)</f>
        <v>81310439803</v>
      </c>
      <c r="E328" s="457">
        <f>IFERROR(__xludf.DUMMYFUNCTION("""COMPUTED_VALUE"""),0.0)</f>
        <v>0</v>
      </c>
      <c r="F328" s="270">
        <f>IFERROR(__xludf.DUMMYFUNCTION("""COMPUTED_VALUE"""),4.0)</f>
        <v>4</v>
      </c>
      <c r="G328" s="17" t="str">
        <f>IFERROR(__xludf.DUMMYFUNCTION("""COMPUTED_VALUE"""),"Full Set")</f>
        <v>Full Set</v>
      </c>
      <c r="H328" s="17"/>
      <c r="I328" s="262"/>
      <c r="J328" s="262"/>
      <c r="K328" s="262"/>
      <c r="L328" s="262"/>
      <c r="M328" s="262"/>
    </row>
    <row r="329">
      <c r="A329" s="255" t="str">
        <f>IFERROR(__xludf.DUMMYFUNCTION("""COMPUTED_VALUE"""),"NANO")</f>
        <v>NANO</v>
      </c>
      <c r="B329" s="23" t="str">
        <f>IFERROR(__xludf.DUMMYFUNCTION("""COMPUTED_VALUE"""),"aloveme77")</f>
        <v>aloveme77</v>
      </c>
      <c r="C329" s="257" t="str">
        <f>IFERROR(__xludf.DUMMYFUNCTION("""COMPUTED_VALUE"""),"https://www.tiktok.com/@aloveme77")</f>
        <v>https://www.tiktok.com/@aloveme77</v>
      </c>
      <c r="D329" s="23">
        <f>IFERROR(__xludf.DUMMYFUNCTION("""COMPUTED_VALUE"""),8.5819886422E10)</f>
        <v>85819886422</v>
      </c>
      <c r="E329" s="457">
        <f>IFERROR(__xludf.DUMMYFUNCTION("""COMPUTED_VALUE"""),0.0)</f>
        <v>0</v>
      </c>
      <c r="F329" s="270">
        <f>IFERROR(__xludf.DUMMYFUNCTION("""COMPUTED_VALUE"""),4.0)</f>
        <v>4</v>
      </c>
      <c r="G329" s="17" t="str">
        <f>IFERROR(__xludf.DUMMYFUNCTION("""COMPUTED_VALUE"""),"Full Set")</f>
        <v>Full Set</v>
      </c>
      <c r="H329" s="17"/>
      <c r="I329" s="262"/>
      <c r="J329" s="262"/>
      <c r="K329" s="262"/>
      <c r="L329" s="262"/>
      <c r="M329" s="262"/>
    </row>
    <row r="330">
      <c r="A330" s="255" t="str">
        <f>IFERROR(__xludf.DUMMYFUNCTION("""COMPUTED_VALUE"""),"NANO")</f>
        <v>NANO</v>
      </c>
      <c r="B330" s="23" t="str">
        <f>IFERROR(__xludf.DUMMYFUNCTION("""COMPUTED_VALUE"""),"isviewulandaaaa")</f>
        <v>isviewulandaaaa</v>
      </c>
      <c r="C330" s="257" t="str">
        <f>IFERROR(__xludf.DUMMYFUNCTION("""COMPUTED_VALUE"""),"https://www.tiktok.com/@isviewulandaaaa")</f>
        <v>https://www.tiktok.com/@isviewulandaaaa</v>
      </c>
      <c r="D330" s="23">
        <f>IFERROR(__xludf.DUMMYFUNCTION("""COMPUTED_VALUE"""),8.5963157875E10)</f>
        <v>85963157875</v>
      </c>
      <c r="E330" s="457">
        <f>IFERROR(__xludf.DUMMYFUNCTION("""COMPUTED_VALUE"""),0.0)</f>
        <v>0</v>
      </c>
      <c r="F330" s="270">
        <f>IFERROR(__xludf.DUMMYFUNCTION("""COMPUTED_VALUE"""),4.0)</f>
        <v>4</v>
      </c>
      <c r="G330" s="17" t="str">
        <f>IFERROR(__xludf.DUMMYFUNCTION("""COMPUTED_VALUE"""),"Full Set")</f>
        <v>Full Set</v>
      </c>
      <c r="H330" s="17"/>
      <c r="I330" s="262"/>
      <c r="J330" s="262"/>
      <c r="K330" s="262"/>
      <c r="L330" s="262"/>
      <c r="M330" s="262"/>
    </row>
    <row r="331">
      <c r="A331" s="255" t="str">
        <f>IFERROR(__xludf.DUMMYFUNCTION("""COMPUTED_VALUE"""),"NANO")</f>
        <v>NANO</v>
      </c>
      <c r="B331" s="23" t="str">
        <f>IFERROR(__xludf.DUMMYFUNCTION("""COMPUTED_VALUE"""),"novi10668")</f>
        <v>novi10668</v>
      </c>
      <c r="C331" s="257" t="str">
        <f>IFERROR(__xludf.DUMMYFUNCTION("""COMPUTED_VALUE"""),"https://www.tiktok.com/@novi10668")</f>
        <v>https://www.tiktok.com/@novi10668</v>
      </c>
      <c r="D331" s="23">
        <f>IFERROR(__xludf.DUMMYFUNCTION("""COMPUTED_VALUE"""),8.95640740795E11)</f>
        <v>895640740795</v>
      </c>
      <c r="E331" s="457">
        <f>IFERROR(__xludf.DUMMYFUNCTION("""COMPUTED_VALUE"""),0.0)</f>
        <v>0</v>
      </c>
      <c r="F331" s="270">
        <f>IFERROR(__xludf.DUMMYFUNCTION("""COMPUTED_VALUE"""),4.0)</f>
        <v>4</v>
      </c>
      <c r="G331" s="17" t="str">
        <f>IFERROR(__xludf.DUMMYFUNCTION("""COMPUTED_VALUE"""),"Full Set")</f>
        <v>Full Set</v>
      </c>
      <c r="H331" s="17"/>
      <c r="I331" s="262"/>
      <c r="J331" s="262"/>
      <c r="K331" s="262"/>
      <c r="L331" s="262"/>
      <c r="M331" s="262"/>
    </row>
    <row r="332">
      <c r="A332" s="255" t="str">
        <f>IFERROR(__xludf.DUMMYFUNCTION("""COMPUTED_VALUE"""),"NANO")</f>
        <v>NANO</v>
      </c>
      <c r="B332" s="23" t="str">
        <f>IFERROR(__xludf.DUMMYFUNCTION("""COMPUTED_VALUE"""),"Itsdinihari")</f>
        <v>Itsdinihari</v>
      </c>
      <c r="C332" s="257" t="str">
        <f>IFERROR(__xludf.DUMMYFUNCTION("""COMPUTED_VALUE"""),"https://www.tiktok.com/@Itsdinihari")</f>
        <v>https://www.tiktok.com/@Itsdinihari</v>
      </c>
      <c r="D332" s="23">
        <f>IFERROR(__xludf.DUMMYFUNCTION("""COMPUTED_VALUE"""),8.1277523067E10)</f>
        <v>81277523067</v>
      </c>
      <c r="E332" s="457">
        <f>IFERROR(__xludf.DUMMYFUNCTION("""COMPUTED_VALUE"""),0.0)</f>
        <v>0</v>
      </c>
      <c r="F332" s="270">
        <f>IFERROR(__xludf.DUMMYFUNCTION("""COMPUTED_VALUE"""),3.0)</f>
        <v>3</v>
      </c>
      <c r="G332" s="17" t="str">
        <f>IFERROR(__xludf.DUMMYFUNCTION("""COMPUTED_VALUE"""),"Full Set")</f>
        <v>Full Set</v>
      </c>
      <c r="H332" s="17"/>
      <c r="I332" s="262"/>
      <c r="J332" s="262"/>
      <c r="K332" s="262"/>
      <c r="L332" s="262"/>
      <c r="M332" s="262"/>
    </row>
    <row r="333">
      <c r="A333" s="255" t="str">
        <f>IFERROR(__xludf.DUMMYFUNCTION("""COMPUTED_VALUE"""),"NANO")</f>
        <v>NANO</v>
      </c>
      <c r="B333" s="23" t="str">
        <f>IFERROR(__xludf.DUMMYFUNCTION("""COMPUTED_VALUE"""),"keyrena.yuki")</f>
        <v>keyrena.yuki</v>
      </c>
      <c r="C333" s="257" t="str">
        <f>IFERROR(__xludf.DUMMYFUNCTION("""COMPUTED_VALUE"""),"https://www.tiktok.com/@keyrena.yuki")</f>
        <v>https://www.tiktok.com/@keyrena.yuki</v>
      </c>
      <c r="D333" s="23">
        <f>IFERROR(__xludf.DUMMYFUNCTION("""COMPUTED_VALUE"""),8.2278450594E10)</f>
        <v>82278450594</v>
      </c>
      <c r="E333" s="457">
        <f>IFERROR(__xludf.DUMMYFUNCTION("""COMPUTED_VALUE"""),0.0)</f>
        <v>0</v>
      </c>
      <c r="F333" s="270">
        <f>IFERROR(__xludf.DUMMYFUNCTION("""COMPUTED_VALUE"""),4.0)</f>
        <v>4</v>
      </c>
      <c r="G333" s="17" t="str">
        <f>IFERROR(__xludf.DUMMYFUNCTION("""COMPUTED_VALUE"""),"Full Set")</f>
        <v>Full Set</v>
      </c>
      <c r="H333" s="17"/>
      <c r="I333" s="262"/>
      <c r="J333" s="262"/>
      <c r="K333" s="262"/>
      <c r="L333" s="262"/>
      <c r="M333" s="262"/>
    </row>
    <row r="334">
      <c r="A334" s="255" t="str">
        <f>IFERROR(__xludf.DUMMYFUNCTION("""COMPUTED_VALUE"""),"NANO")</f>
        <v>NANO</v>
      </c>
      <c r="B334" s="23" t="str">
        <f>IFERROR(__xludf.DUMMYFUNCTION("""COMPUTED_VALUE"""),"racun.forall")</f>
        <v>racun.forall</v>
      </c>
      <c r="C334" s="257" t="str">
        <f>IFERROR(__xludf.DUMMYFUNCTION("""COMPUTED_VALUE"""),"https://www.tiktok.com/@racun.forall")</f>
        <v>https://www.tiktok.com/@racun.forall</v>
      </c>
      <c r="D334" s="23">
        <f>IFERROR(__xludf.DUMMYFUNCTION("""COMPUTED_VALUE"""),8.989398913E9)</f>
        <v>8989398913</v>
      </c>
      <c r="E334" s="457">
        <f>IFERROR(__xludf.DUMMYFUNCTION("""COMPUTED_VALUE"""),0.0)</f>
        <v>0</v>
      </c>
      <c r="F334" s="270">
        <f>IFERROR(__xludf.DUMMYFUNCTION("""COMPUTED_VALUE"""),3.0)</f>
        <v>3</v>
      </c>
      <c r="G334" s="17" t="str">
        <f>IFERROR(__xludf.DUMMYFUNCTION("""COMPUTED_VALUE"""),"Full Set")</f>
        <v>Full Set</v>
      </c>
      <c r="H334" s="17"/>
      <c r="I334" s="262"/>
      <c r="J334" s="262"/>
      <c r="K334" s="262"/>
      <c r="L334" s="262"/>
      <c r="M334" s="262"/>
    </row>
    <row r="335">
      <c r="A335" s="255" t="str">
        <f>IFERROR(__xludf.DUMMYFUNCTION("""COMPUTED_VALUE"""),"NANO")</f>
        <v>NANO</v>
      </c>
      <c r="B335" s="23" t="str">
        <f>IFERROR(__xludf.DUMMYFUNCTION("""COMPUTED_VALUE"""),"astrlatte__")</f>
        <v>astrlatte__</v>
      </c>
      <c r="C335" s="257" t="str">
        <f>IFERROR(__xludf.DUMMYFUNCTION("""COMPUTED_VALUE"""),"https://www.tiktok.com/@astrlatte__")</f>
        <v>https://www.tiktok.com/@astrlatte__</v>
      </c>
      <c r="D335" s="23">
        <f>IFERROR(__xludf.DUMMYFUNCTION("""COMPUTED_VALUE"""),8.81027561615E11)</f>
        <v>881027561615</v>
      </c>
      <c r="E335" s="457">
        <f>IFERROR(__xludf.DUMMYFUNCTION("""COMPUTED_VALUE"""),0.0)</f>
        <v>0</v>
      </c>
      <c r="F335" s="270">
        <f>IFERROR(__xludf.DUMMYFUNCTION("""COMPUTED_VALUE"""),3.0)</f>
        <v>3</v>
      </c>
      <c r="G335" s="17" t="str">
        <f>IFERROR(__xludf.DUMMYFUNCTION("""COMPUTED_VALUE"""),"Full Set")</f>
        <v>Full Set</v>
      </c>
      <c r="H335" s="17"/>
      <c r="I335" s="262"/>
      <c r="J335" s="262"/>
      <c r="K335" s="262"/>
      <c r="L335" s="262"/>
      <c r="M335" s="262"/>
    </row>
    <row r="336">
      <c r="A336" s="255" t="str">
        <f>IFERROR(__xludf.DUMMYFUNCTION("""COMPUTED_VALUE"""),"NANO")</f>
        <v>NANO</v>
      </c>
      <c r="B336" s="23" t="str">
        <f>IFERROR(__xludf.DUMMYFUNCTION("""COMPUTED_VALUE"""),"fiaa_cancerr")</f>
        <v>fiaa_cancerr</v>
      </c>
      <c r="C336" s="257" t="str">
        <f>IFERROR(__xludf.DUMMYFUNCTION("""COMPUTED_VALUE"""),"https://www.tiktok.com/@fiaa_cancerr")</f>
        <v>https://www.tiktok.com/@fiaa_cancerr</v>
      </c>
      <c r="D336" s="23">
        <f>IFERROR(__xludf.DUMMYFUNCTION("""COMPUTED_VALUE"""),8.5793769314E10)</f>
        <v>85793769314</v>
      </c>
      <c r="E336" s="457">
        <f>IFERROR(__xludf.DUMMYFUNCTION("""COMPUTED_VALUE"""),0.0)</f>
        <v>0</v>
      </c>
      <c r="F336" s="270">
        <f>IFERROR(__xludf.DUMMYFUNCTION("""COMPUTED_VALUE"""),3.0)</f>
        <v>3</v>
      </c>
      <c r="G336" s="17" t="str">
        <f>IFERROR(__xludf.DUMMYFUNCTION("""COMPUTED_VALUE"""),"Full Set")</f>
        <v>Full Set</v>
      </c>
      <c r="H336" s="17"/>
      <c r="I336" s="262"/>
      <c r="J336" s="262"/>
      <c r="K336" s="262"/>
      <c r="L336" s="262"/>
      <c r="M336" s="262"/>
    </row>
    <row r="337">
      <c r="A337" s="255" t="str">
        <f>IFERROR(__xludf.DUMMYFUNCTION("""COMPUTED_VALUE"""),"NANO")</f>
        <v>NANO</v>
      </c>
      <c r="B337" s="23" t="str">
        <f>IFERROR(__xludf.DUMMYFUNCTION("""COMPUTED_VALUE"""),"devioktapiani17")</f>
        <v>devioktapiani17</v>
      </c>
      <c r="C337" s="257" t="str">
        <f>IFERROR(__xludf.DUMMYFUNCTION("""COMPUTED_VALUE"""),"https://www.tiktok.com/@devioktapiani17")</f>
        <v>https://www.tiktok.com/@devioktapiani17</v>
      </c>
      <c r="D337" s="23">
        <f>IFERROR(__xludf.DUMMYFUNCTION("""COMPUTED_VALUE"""),8.568747454E9)</f>
        <v>8568747454</v>
      </c>
      <c r="E337" s="457">
        <f>IFERROR(__xludf.DUMMYFUNCTION("""COMPUTED_VALUE"""),0.0)</f>
        <v>0</v>
      </c>
      <c r="F337" s="270">
        <f>IFERROR(__xludf.DUMMYFUNCTION("""COMPUTED_VALUE"""),3.0)</f>
        <v>3</v>
      </c>
      <c r="G337" s="17" t="str">
        <f>IFERROR(__xludf.DUMMYFUNCTION("""COMPUTED_VALUE"""),"Full Set")</f>
        <v>Full Set</v>
      </c>
      <c r="H337" s="17"/>
      <c r="I337" s="262"/>
      <c r="J337" s="262"/>
      <c r="K337" s="262"/>
      <c r="L337" s="262"/>
      <c r="M337" s="262"/>
    </row>
    <row r="338">
      <c r="A338" s="255" t="str">
        <f>IFERROR(__xludf.DUMMYFUNCTION("""COMPUTED_VALUE"""),"NANO")</f>
        <v>NANO</v>
      </c>
      <c r="B338" s="23" t="str">
        <f>IFERROR(__xludf.DUMMYFUNCTION("""COMPUTED_VALUE"""),"sohibhasanah_")</f>
        <v>sohibhasanah_</v>
      </c>
      <c r="C338" s="257" t="str">
        <f>IFERROR(__xludf.DUMMYFUNCTION("""COMPUTED_VALUE"""),"https://www.tiktok.com/@sohibhasanah_")</f>
        <v>https://www.tiktok.com/@sohibhasanah_</v>
      </c>
      <c r="D338" s="23">
        <f>IFERROR(__xludf.DUMMYFUNCTION("""COMPUTED_VALUE"""),8.3856549217E10)</f>
        <v>83856549217</v>
      </c>
      <c r="E338" s="457">
        <f>IFERROR(__xludf.DUMMYFUNCTION("""COMPUTED_VALUE"""),0.0)</f>
        <v>0</v>
      </c>
      <c r="F338" s="270">
        <f>IFERROR(__xludf.DUMMYFUNCTION("""COMPUTED_VALUE"""),3.0)</f>
        <v>3</v>
      </c>
      <c r="G338" s="17" t="str">
        <f>IFERROR(__xludf.DUMMYFUNCTION("""COMPUTED_VALUE"""),"Full Set")</f>
        <v>Full Set</v>
      </c>
      <c r="H338" s="17"/>
      <c r="I338" s="278" t="str">
        <f>IFERROR(__xludf.DUMMYFUNCTION("""COMPUTED_VALUE"""),"https://www.tiktok.com/@sohibhasanah_/video/7641890557991619847?is_from_webapp=1&amp;sender_device=pc")</f>
        <v>https://www.tiktok.com/@sohibhasanah_/video/7641890557991619847?is_from_webapp=1&amp;sender_device=pc</v>
      </c>
      <c r="J338" s="262"/>
      <c r="K338" s="262"/>
      <c r="L338" s="262"/>
      <c r="M338" s="262"/>
    </row>
    <row r="339">
      <c r="A339" s="255" t="str">
        <f>IFERROR(__xludf.DUMMYFUNCTION("""COMPUTED_VALUE"""),"NANO")</f>
        <v>NANO</v>
      </c>
      <c r="B339" s="23" t="str">
        <f>IFERROR(__xludf.DUMMYFUNCTION("""COMPUTED_VALUE"""),"_hallo.yis")</f>
        <v>_hallo.yis</v>
      </c>
      <c r="C339" s="257" t="str">
        <f>IFERROR(__xludf.DUMMYFUNCTION("""COMPUTED_VALUE"""),"https://www.tiktok.com/@_hallo.yis")</f>
        <v>https://www.tiktok.com/@_hallo.yis</v>
      </c>
      <c r="D339" s="23">
        <f>IFERROR(__xludf.DUMMYFUNCTION("""COMPUTED_VALUE"""),8.2136401998E10)</f>
        <v>82136401998</v>
      </c>
      <c r="E339" s="457">
        <f>IFERROR(__xludf.DUMMYFUNCTION("""COMPUTED_VALUE"""),0.0)</f>
        <v>0</v>
      </c>
      <c r="F339" s="270">
        <f>IFERROR(__xludf.DUMMYFUNCTION("""COMPUTED_VALUE"""),3.0)</f>
        <v>3</v>
      </c>
      <c r="G339" s="17" t="str">
        <f>IFERROR(__xludf.DUMMYFUNCTION("""COMPUTED_VALUE"""),"Full Set")</f>
        <v>Full Set</v>
      </c>
      <c r="H339" s="17"/>
      <c r="I339" s="262"/>
      <c r="J339" s="262"/>
      <c r="K339" s="262"/>
      <c r="L339" s="262"/>
      <c r="M339" s="262"/>
    </row>
    <row r="340">
      <c r="A340" s="255" t="str">
        <f>IFERROR(__xludf.DUMMYFUNCTION("""COMPUTED_VALUE"""),"MICRO")</f>
        <v>MICRO</v>
      </c>
      <c r="B340" s="23" t="str">
        <f>IFERROR(__xludf.DUMMYFUNCTION("""COMPUTED_VALUE"""),"yurialendaaa")</f>
        <v>yurialendaaa</v>
      </c>
      <c r="C340" s="257" t="str">
        <f>IFERROR(__xludf.DUMMYFUNCTION("""COMPUTED_VALUE"""),"https://www.tiktok.com/@yurialendaaa")</f>
        <v>https://www.tiktok.com/@yurialendaaa</v>
      </c>
      <c r="D340" s="23">
        <f>IFERROR(__xludf.DUMMYFUNCTION("""COMPUTED_VALUE"""),8.1394497878E10)</f>
        <v>81394497878</v>
      </c>
      <c r="E340" s="457">
        <f>IFERROR(__xludf.DUMMYFUNCTION("""COMPUTED_VALUE"""),0.0)</f>
        <v>0</v>
      </c>
      <c r="F340" s="270">
        <f>IFERROR(__xludf.DUMMYFUNCTION("""COMPUTED_VALUE"""),3.0)</f>
        <v>3</v>
      </c>
      <c r="G340" s="17" t="str">
        <f>IFERROR(__xludf.DUMMYFUNCTION("""COMPUTED_VALUE"""),"Full Set")</f>
        <v>Full Set</v>
      </c>
      <c r="H340" s="17"/>
      <c r="I340" s="262"/>
      <c r="J340" s="262"/>
      <c r="K340" s="262"/>
      <c r="L340" s="262"/>
      <c r="M340" s="262"/>
    </row>
    <row r="341">
      <c r="A341" s="255" t="str">
        <f>IFERROR(__xludf.DUMMYFUNCTION("""COMPUTED_VALUE"""),"NANO")</f>
        <v>NANO</v>
      </c>
      <c r="B341" s="23" t="str">
        <f>IFERROR(__xludf.DUMMYFUNCTION("""COMPUTED_VALUE"""),"indriminyo")</f>
        <v>indriminyo</v>
      </c>
      <c r="C341" s="257" t="str">
        <f>IFERROR(__xludf.DUMMYFUNCTION("""COMPUTED_VALUE"""),"https://www.tiktok.com/@indriminyo")</f>
        <v>https://www.tiktok.com/@indriminyo</v>
      </c>
      <c r="D341" s="23">
        <f>IFERROR(__xludf.DUMMYFUNCTION("""COMPUTED_VALUE"""),8.2211778525E10)</f>
        <v>82211778525</v>
      </c>
      <c r="E341" s="457">
        <f>IFERROR(__xludf.DUMMYFUNCTION("""COMPUTED_VALUE"""),0.0)</f>
        <v>0</v>
      </c>
      <c r="F341" s="270">
        <f>IFERROR(__xludf.DUMMYFUNCTION("""COMPUTED_VALUE"""),3.0)</f>
        <v>3</v>
      </c>
      <c r="G341" s="17" t="str">
        <f>IFERROR(__xludf.DUMMYFUNCTION("""COMPUTED_VALUE"""),"Full Set")</f>
        <v>Full Set</v>
      </c>
      <c r="H341" s="17"/>
      <c r="I341" s="262"/>
      <c r="J341" s="262"/>
      <c r="K341" s="262"/>
      <c r="L341" s="262"/>
      <c r="M341" s="262"/>
    </row>
    <row r="342">
      <c r="A342" s="255" t="str">
        <f>IFERROR(__xludf.DUMMYFUNCTION("""COMPUTED_VALUE"""),"NANO")</f>
        <v>NANO</v>
      </c>
      <c r="B342" s="23" t="str">
        <f>IFERROR(__xludf.DUMMYFUNCTION("""COMPUTED_VALUE"""),"meloveminee")</f>
        <v>meloveminee</v>
      </c>
      <c r="C342" s="257" t="str">
        <f>IFERROR(__xludf.DUMMYFUNCTION("""COMPUTED_VALUE"""),"https://www.tiktok.com/@meloveminee")</f>
        <v>https://www.tiktok.com/@meloveminee</v>
      </c>
      <c r="D342" s="23">
        <f>IFERROR(__xludf.DUMMYFUNCTION("""COMPUTED_VALUE"""),8.5717797258E10)</f>
        <v>85717797258</v>
      </c>
      <c r="E342" s="457">
        <f>IFERROR(__xludf.DUMMYFUNCTION("""COMPUTED_VALUE"""),0.0)</f>
        <v>0</v>
      </c>
      <c r="F342" s="270">
        <f>IFERROR(__xludf.DUMMYFUNCTION("""COMPUTED_VALUE"""),4.0)</f>
        <v>4</v>
      </c>
      <c r="G342" s="17" t="str">
        <f>IFERROR(__xludf.DUMMYFUNCTION("""COMPUTED_VALUE"""),"Full Set")</f>
        <v>Full Set</v>
      </c>
      <c r="H342" s="17"/>
      <c r="I342" s="262"/>
      <c r="J342" s="262"/>
      <c r="K342" s="262"/>
      <c r="L342" s="262"/>
      <c r="M342" s="262"/>
    </row>
    <row r="343">
      <c r="A343" s="255" t="str">
        <f>IFERROR(__xludf.DUMMYFUNCTION("""COMPUTED_VALUE"""),"NANO")</f>
        <v>NANO</v>
      </c>
      <c r="B343" s="23" t="str">
        <f>IFERROR(__xludf.DUMMYFUNCTION("""COMPUTED_VALUE"""),"Ceisyaandr")</f>
        <v>Ceisyaandr</v>
      </c>
      <c r="C343" s="257" t="str">
        <f>IFERROR(__xludf.DUMMYFUNCTION("""COMPUTED_VALUE"""),"https://www.tiktok.com/@Ceisyaandr")</f>
        <v>https://www.tiktok.com/@Ceisyaandr</v>
      </c>
      <c r="D343" s="23">
        <f>IFERROR(__xludf.DUMMYFUNCTION("""COMPUTED_VALUE"""),8.986957804E9)</f>
        <v>8986957804</v>
      </c>
      <c r="E343" s="457">
        <f>IFERROR(__xludf.DUMMYFUNCTION("""COMPUTED_VALUE"""),0.0)</f>
        <v>0</v>
      </c>
      <c r="F343" s="270">
        <f>IFERROR(__xludf.DUMMYFUNCTION("""COMPUTED_VALUE"""),4.0)</f>
        <v>4</v>
      </c>
      <c r="G343" s="17" t="str">
        <f>IFERROR(__xludf.DUMMYFUNCTION("""COMPUTED_VALUE"""),"Full Set")</f>
        <v>Full Set</v>
      </c>
      <c r="H343" s="17"/>
      <c r="I343" s="278" t="str">
        <f>IFERROR(__xludf.DUMMYFUNCTION("""COMPUTED_VALUE"""),"https://www.tiktok.com/@ceisyaandr/video/7640850315788717333?is_from_webapp=1&amp;sender_device=pc")</f>
        <v>https://www.tiktok.com/@ceisyaandr/video/7640850315788717333?is_from_webapp=1&amp;sender_device=pc</v>
      </c>
      <c r="J343" s="278" t="str">
        <f>IFERROR(__xludf.DUMMYFUNCTION("""COMPUTED_VALUE"""),"https://www.tiktok.com/@ceisyaandr/video/7641556621553847572?is_from_webapp=1&amp;sender_device=pc")</f>
        <v>https://www.tiktok.com/@ceisyaandr/video/7641556621553847572?is_from_webapp=1&amp;sender_device=pc</v>
      </c>
      <c r="K343" s="262"/>
      <c r="L343" s="262"/>
      <c r="M343" s="262"/>
    </row>
    <row r="344">
      <c r="A344" s="255" t="str">
        <f>IFERROR(__xludf.DUMMYFUNCTION("""COMPUTED_VALUE"""),"MICRO")</f>
        <v>MICRO</v>
      </c>
      <c r="B344" s="23" t="str">
        <f>IFERROR(__xludf.DUMMYFUNCTION("""COMPUTED_VALUE"""),"_puput815")</f>
        <v>_puput815</v>
      </c>
      <c r="C344" s="257" t="str">
        <f>IFERROR(__xludf.DUMMYFUNCTION("""COMPUTED_VALUE"""),"https://www.tiktok.com/@_puput815")</f>
        <v>https://www.tiktok.com/@_puput815</v>
      </c>
      <c r="D344" s="23">
        <f>IFERROR(__xludf.DUMMYFUNCTION("""COMPUTED_VALUE"""),8.5766307661E10)</f>
        <v>85766307661</v>
      </c>
      <c r="E344" s="457">
        <f>IFERROR(__xludf.DUMMYFUNCTION("""COMPUTED_VALUE"""),0.0)</f>
        <v>0</v>
      </c>
      <c r="F344" s="270">
        <f>IFERROR(__xludf.DUMMYFUNCTION("""COMPUTED_VALUE"""),4.0)</f>
        <v>4</v>
      </c>
      <c r="G344" s="17" t="str">
        <f>IFERROR(__xludf.DUMMYFUNCTION("""COMPUTED_VALUE"""),"Full Set")</f>
        <v>Full Set</v>
      </c>
      <c r="H344" s="17"/>
      <c r="I344" s="262"/>
      <c r="J344" s="262"/>
      <c r="K344" s="262"/>
      <c r="L344" s="262"/>
      <c r="M344" s="262"/>
    </row>
    <row r="345">
      <c r="A345" s="255" t="str">
        <f>IFERROR(__xludf.DUMMYFUNCTION("""COMPUTED_VALUE"""),"MICRO")</f>
        <v>MICRO</v>
      </c>
      <c r="B345" s="23" t="str">
        <f>IFERROR(__xludf.DUMMYFUNCTION("""COMPUTED_VALUE"""),"vanessa.inkspace")</f>
        <v>vanessa.inkspace</v>
      </c>
      <c r="C345" s="257" t="str">
        <f>IFERROR(__xludf.DUMMYFUNCTION("""COMPUTED_VALUE"""),"https://www.tiktok.com/@vanessa.inkspace")</f>
        <v>https://www.tiktok.com/@vanessa.inkspace</v>
      </c>
      <c r="D345" s="23">
        <f>IFERROR(__xludf.DUMMYFUNCTION("""COMPUTED_VALUE"""),8.1231793467E10)</f>
        <v>81231793467</v>
      </c>
      <c r="E345" s="457">
        <f>IFERROR(__xludf.DUMMYFUNCTION("""COMPUTED_VALUE"""),0.0)</f>
        <v>0</v>
      </c>
      <c r="F345" s="270">
        <f>IFERROR(__xludf.DUMMYFUNCTION("""COMPUTED_VALUE"""),4.0)</f>
        <v>4</v>
      </c>
      <c r="G345" s="17" t="str">
        <f>IFERROR(__xludf.DUMMYFUNCTION("""COMPUTED_VALUE"""),"Full Set")</f>
        <v>Full Set</v>
      </c>
      <c r="H345" s="17"/>
      <c r="I345" s="262"/>
      <c r="J345" s="262"/>
      <c r="K345" s="262"/>
      <c r="L345" s="262"/>
      <c r="M345" s="262"/>
    </row>
    <row r="346">
      <c r="A346" s="255" t="str">
        <f>IFERROR(__xludf.DUMMYFUNCTION("""COMPUTED_VALUE"""),"MICRO")</f>
        <v>MICRO</v>
      </c>
      <c r="B346" s="23" t="str">
        <f>IFERROR(__xludf.DUMMYFUNCTION("""COMPUTED_VALUE"""),"mindie230398")</f>
        <v>mindie230398</v>
      </c>
      <c r="C346" s="257" t="str">
        <f>IFERROR(__xludf.DUMMYFUNCTION("""COMPUTED_VALUE"""),"https://www.tiktok.com/@mindie230398")</f>
        <v>https://www.tiktok.com/@mindie230398</v>
      </c>
      <c r="D346" s="23">
        <f>IFERROR(__xludf.DUMMYFUNCTION("""COMPUTED_VALUE"""),8.1335658638E10)</f>
        <v>81335658638</v>
      </c>
      <c r="E346" s="457">
        <f>IFERROR(__xludf.DUMMYFUNCTION("""COMPUTED_VALUE"""),0.0)</f>
        <v>0</v>
      </c>
      <c r="F346" s="270">
        <f>IFERROR(__xludf.DUMMYFUNCTION("""COMPUTED_VALUE"""),4.0)</f>
        <v>4</v>
      </c>
      <c r="G346" s="17" t="str">
        <f>IFERROR(__xludf.DUMMYFUNCTION("""COMPUTED_VALUE"""),"Full Set")</f>
        <v>Full Set</v>
      </c>
      <c r="H346" s="17"/>
      <c r="I346" s="262"/>
      <c r="J346" s="262"/>
      <c r="K346" s="262"/>
      <c r="L346" s="262"/>
      <c r="M346" s="262"/>
    </row>
    <row r="347">
      <c r="A347" s="255" t="str">
        <f>IFERROR(__xludf.DUMMYFUNCTION("""COMPUTED_VALUE"""),"NANO")</f>
        <v>NANO</v>
      </c>
      <c r="B347" s="23" t="str">
        <f>IFERROR(__xludf.DUMMYFUNCTION("""COMPUTED_VALUE"""),"rkmyng")</f>
        <v>rkmyng</v>
      </c>
      <c r="C347" s="257" t="str">
        <f>IFERROR(__xludf.DUMMYFUNCTION("""COMPUTED_VALUE"""),"https://www.tiktok.com/@rkmyng")</f>
        <v>https://www.tiktok.com/@rkmyng</v>
      </c>
      <c r="D347" s="23">
        <f>IFERROR(__xludf.DUMMYFUNCTION("""COMPUTED_VALUE"""),8.3121817656E10)</f>
        <v>83121817656</v>
      </c>
      <c r="E347" s="457">
        <f>IFERROR(__xludf.DUMMYFUNCTION("""COMPUTED_VALUE"""),0.0)</f>
        <v>0</v>
      </c>
      <c r="F347" s="270">
        <f>IFERROR(__xludf.DUMMYFUNCTION("""COMPUTED_VALUE"""),4.0)</f>
        <v>4</v>
      </c>
      <c r="G347" s="17" t="str">
        <f>IFERROR(__xludf.DUMMYFUNCTION("""COMPUTED_VALUE"""),"Full Set")</f>
        <v>Full Set</v>
      </c>
      <c r="H347" s="17"/>
      <c r="I347" s="262"/>
      <c r="J347" s="262"/>
      <c r="K347" s="262"/>
      <c r="L347" s="262"/>
      <c r="M347" s="262"/>
    </row>
    <row r="348">
      <c r="A348" s="255" t="str">
        <f>IFERROR(__xludf.DUMMYFUNCTION("""COMPUTED_VALUE"""),"MICRO")</f>
        <v>MICRO</v>
      </c>
      <c r="B348" s="23" t="str">
        <f>IFERROR(__xludf.DUMMYFUNCTION("""COMPUTED_VALUE"""),"beautyfandaaa")</f>
        <v>beautyfandaaa</v>
      </c>
      <c r="C348" s="257" t="str">
        <f>IFERROR(__xludf.DUMMYFUNCTION("""COMPUTED_VALUE"""),"https://www.tiktok.com/@beautyfandaaa")</f>
        <v>https://www.tiktok.com/@beautyfandaaa</v>
      </c>
      <c r="D348" s="23">
        <f>IFERROR(__xludf.DUMMYFUNCTION("""COMPUTED_VALUE"""),8.3893302348E10)</f>
        <v>83893302348</v>
      </c>
      <c r="E348" s="457">
        <f>IFERROR(__xludf.DUMMYFUNCTION("""COMPUTED_VALUE"""),0.0)</f>
        <v>0</v>
      </c>
      <c r="F348" s="270">
        <f>IFERROR(__xludf.DUMMYFUNCTION("""COMPUTED_VALUE"""),3.0)</f>
        <v>3</v>
      </c>
      <c r="G348" s="17" t="str">
        <f>IFERROR(__xludf.DUMMYFUNCTION("""COMPUTED_VALUE"""),"Full Set")</f>
        <v>Full Set</v>
      </c>
      <c r="H348" s="17"/>
      <c r="I348" s="262"/>
      <c r="J348" s="262"/>
      <c r="K348" s="262"/>
      <c r="L348" s="262"/>
      <c r="M348" s="262"/>
    </row>
    <row r="349">
      <c r="A349" s="255" t="str">
        <f>IFERROR(__xludf.DUMMYFUNCTION("""COMPUTED_VALUE"""),"MICRO")</f>
        <v>MICRO</v>
      </c>
      <c r="B349" s="23" t="str">
        <f>IFERROR(__xludf.DUMMYFUNCTION("""COMPUTED_VALUE"""),"wattpadstoryy_3")</f>
        <v>wattpadstoryy_3</v>
      </c>
      <c r="C349" s="257" t="str">
        <f>IFERROR(__xludf.DUMMYFUNCTION("""COMPUTED_VALUE"""),"https://www.tiktok.com/@wattpadstoryy_3")</f>
        <v>https://www.tiktok.com/@wattpadstoryy_3</v>
      </c>
      <c r="D349" s="23">
        <f>IFERROR(__xludf.DUMMYFUNCTION("""COMPUTED_VALUE"""),8.3878307868E10)</f>
        <v>83878307868</v>
      </c>
      <c r="E349" s="457">
        <f>IFERROR(__xludf.DUMMYFUNCTION("""COMPUTED_VALUE"""),0.0)</f>
        <v>0</v>
      </c>
      <c r="F349" s="270">
        <f>IFERROR(__xludf.DUMMYFUNCTION("""COMPUTED_VALUE"""),4.0)</f>
        <v>4</v>
      </c>
      <c r="G349" s="17" t="str">
        <f>IFERROR(__xludf.DUMMYFUNCTION("""COMPUTED_VALUE"""),"Full Set")</f>
        <v>Full Set</v>
      </c>
      <c r="H349" s="17"/>
      <c r="I349" s="262"/>
      <c r="J349" s="262"/>
      <c r="K349" s="262"/>
      <c r="L349" s="262"/>
      <c r="M349" s="262"/>
    </row>
    <row r="350">
      <c r="A350" s="255" t="str">
        <f>IFERROR(__xludf.DUMMYFUNCTION("""COMPUTED_VALUE"""),"MICRO")</f>
        <v>MICRO</v>
      </c>
      <c r="B350" s="23" t="str">
        <f>IFERROR(__xludf.DUMMYFUNCTION("""COMPUTED_VALUE"""),"bingbang_salonpurwakarta")</f>
        <v>bingbang_salonpurwakarta</v>
      </c>
      <c r="C350" s="257" t="str">
        <f>IFERROR(__xludf.DUMMYFUNCTION("""COMPUTED_VALUE"""),"https://www.tiktok.com/@bingbang_salonpurwakarta")</f>
        <v>https://www.tiktok.com/@bingbang_salonpurwakarta</v>
      </c>
      <c r="D350" s="23">
        <f>IFERROR(__xludf.DUMMYFUNCTION("""COMPUTED_VALUE"""),8.3120971291E10)</f>
        <v>83120971291</v>
      </c>
      <c r="E350" s="457">
        <f>IFERROR(__xludf.DUMMYFUNCTION("""COMPUTED_VALUE"""),0.0)</f>
        <v>0</v>
      </c>
      <c r="F350" s="270">
        <f>IFERROR(__xludf.DUMMYFUNCTION("""COMPUTED_VALUE"""),3.0)</f>
        <v>3</v>
      </c>
      <c r="G350" s="17" t="str">
        <f>IFERROR(__xludf.DUMMYFUNCTION("""COMPUTED_VALUE"""),"Full Set")</f>
        <v>Full Set</v>
      </c>
      <c r="H350" s="17"/>
      <c r="I350" s="262"/>
      <c r="J350" s="262"/>
      <c r="K350" s="262"/>
      <c r="L350" s="262"/>
      <c r="M350" s="262"/>
    </row>
    <row r="351">
      <c r="A351" s="255" t="str">
        <f>IFERROR(__xludf.DUMMYFUNCTION("""COMPUTED_VALUE"""),"MICRO")</f>
        <v>MICRO</v>
      </c>
      <c r="B351" s="23" t="str">
        <f>IFERROR(__xludf.DUMMYFUNCTION("""COMPUTED_VALUE"""),"kutilang067")</f>
        <v>kutilang067</v>
      </c>
      <c r="C351" s="257" t="str">
        <f>IFERROR(__xludf.DUMMYFUNCTION("""COMPUTED_VALUE"""),"https://www.tiktok.com/@kutilang067")</f>
        <v>https://www.tiktok.com/@kutilang067</v>
      </c>
      <c r="D351" s="23">
        <f>IFERROR(__xludf.DUMMYFUNCTION("""COMPUTED_VALUE"""),8.5232659565E10)</f>
        <v>85232659565</v>
      </c>
      <c r="E351" s="457">
        <f>IFERROR(__xludf.DUMMYFUNCTION("""COMPUTED_VALUE"""),0.0)</f>
        <v>0</v>
      </c>
      <c r="F351" s="270">
        <f>IFERROR(__xludf.DUMMYFUNCTION("""COMPUTED_VALUE"""),4.0)</f>
        <v>4</v>
      </c>
      <c r="G351" s="17" t="str">
        <f>IFERROR(__xludf.DUMMYFUNCTION("""COMPUTED_VALUE"""),"Full Set")</f>
        <v>Full Set</v>
      </c>
      <c r="H351" s="17"/>
      <c r="I351" s="262"/>
      <c r="J351" s="262"/>
      <c r="K351" s="262"/>
      <c r="L351" s="262"/>
      <c r="M351" s="262"/>
    </row>
    <row r="352">
      <c r="A352" s="255" t="str">
        <f>IFERROR(__xludf.DUMMYFUNCTION("""COMPUTED_VALUE"""),"MACRO")</f>
        <v>MACRO</v>
      </c>
      <c r="B352" s="23" t="str">
        <f>IFERROR(__xludf.DUMMYFUNCTION("""COMPUTED_VALUE"""),"Tinatimoty3")</f>
        <v>Tinatimoty3</v>
      </c>
      <c r="C352" s="257" t="str">
        <f>IFERROR(__xludf.DUMMYFUNCTION("""COMPUTED_VALUE"""),"https://www.tiktok.com/@Tinatimoty3")</f>
        <v>https://www.tiktok.com/@Tinatimoty3</v>
      </c>
      <c r="D352" s="23">
        <f>IFERROR(__xludf.DUMMYFUNCTION("""COMPUTED_VALUE"""),8.953868221E11)</f>
        <v>895386822100</v>
      </c>
      <c r="E352" s="457">
        <f>IFERROR(__xludf.DUMMYFUNCTION("""COMPUTED_VALUE"""),0.0)</f>
        <v>0</v>
      </c>
      <c r="F352" s="270">
        <f>IFERROR(__xludf.DUMMYFUNCTION("""COMPUTED_VALUE"""),4.0)</f>
        <v>4</v>
      </c>
      <c r="G352" s="17" t="str">
        <f>IFERROR(__xludf.DUMMYFUNCTION("""COMPUTED_VALUE"""),"Full Set")</f>
        <v>Full Set</v>
      </c>
      <c r="H352" s="17"/>
      <c r="I352" s="262"/>
      <c r="J352" s="262"/>
      <c r="K352" s="262"/>
      <c r="L352" s="262"/>
      <c r="M352" s="262"/>
    </row>
    <row r="353">
      <c r="A353" s="255" t="str">
        <f>IFERROR(__xludf.DUMMYFUNCTION("""COMPUTED_VALUE"""),"NANO")</f>
        <v>NANO</v>
      </c>
      <c r="B353" s="23" t="str">
        <f>IFERROR(__xludf.DUMMYFUNCTION("""COMPUTED_VALUE"""),"mimihgemoy1")</f>
        <v>mimihgemoy1</v>
      </c>
      <c r="C353" s="257" t="str">
        <f>IFERROR(__xludf.DUMMYFUNCTION("""COMPUTED_VALUE"""),"https://www.tiktok.com/@mimihgemoy1")</f>
        <v>https://www.tiktok.com/@mimihgemoy1</v>
      </c>
      <c r="D353" s="23">
        <f>IFERROR(__xludf.DUMMYFUNCTION("""COMPUTED_VALUE"""),8.5171613501E10)</f>
        <v>85171613501</v>
      </c>
      <c r="E353" s="457">
        <f>IFERROR(__xludf.DUMMYFUNCTION("""COMPUTED_VALUE"""),0.0)</f>
        <v>0</v>
      </c>
      <c r="F353" s="270">
        <f>IFERROR(__xludf.DUMMYFUNCTION("""COMPUTED_VALUE"""),4.0)</f>
        <v>4</v>
      </c>
      <c r="G353" s="17" t="str">
        <f>IFERROR(__xludf.DUMMYFUNCTION("""COMPUTED_VALUE"""),"Full Set")</f>
        <v>Full Set</v>
      </c>
      <c r="H353" s="17"/>
      <c r="I353" s="262"/>
      <c r="J353" s="262"/>
      <c r="K353" s="262"/>
      <c r="L353" s="262"/>
      <c r="M353" s="262"/>
    </row>
    <row r="354">
      <c r="A354" s="255" t="str">
        <f>IFERROR(__xludf.DUMMYFUNCTION("""COMPUTED_VALUE"""),"MICRO")</f>
        <v>MICRO</v>
      </c>
      <c r="B354" s="23" t="str">
        <f>IFERROR(__xludf.DUMMYFUNCTION("""COMPUTED_VALUE"""),"itsdianity")</f>
        <v>itsdianity</v>
      </c>
      <c r="C354" s="257" t="str">
        <f>IFERROR(__xludf.DUMMYFUNCTION("""COMPUTED_VALUE"""),"https://www.tiktok.com/@itsdianity")</f>
        <v>https://www.tiktok.com/@itsdianity</v>
      </c>
      <c r="D354" s="23">
        <f>IFERROR(__xludf.DUMMYFUNCTION("""COMPUTED_VALUE"""),8.2385502712E10)</f>
        <v>82385502712</v>
      </c>
      <c r="E354" s="457">
        <f>IFERROR(__xludf.DUMMYFUNCTION("""COMPUTED_VALUE"""),0.0)</f>
        <v>0</v>
      </c>
      <c r="F354" s="270">
        <f>IFERROR(__xludf.DUMMYFUNCTION("""COMPUTED_VALUE"""),4.0)</f>
        <v>4</v>
      </c>
      <c r="G354" s="17" t="str">
        <f>IFERROR(__xludf.DUMMYFUNCTION("""COMPUTED_VALUE"""),"Full Set")</f>
        <v>Full Set</v>
      </c>
      <c r="H354" s="17"/>
      <c r="I354" s="262"/>
      <c r="J354" s="262"/>
      <c r="K354" s="262"/>
      <c r="L354" s="262"/>
      <c r="M354" s="262"/>
    </row>
    <row r="355">
      <c r="A355" s="255" t="str">
        <f>IFERROR(__xludf.DUMMYFUNCTION("""COMPUTED_VALUE"""),"NANO")</f>
        <v>NANO</v>
      </c>
      <c r="B355" s="23" t="str">
        <f>IFERROR(__xludf.DUMMYFUNCTION("""COMPUTED_VALUE"""),"shellasdiary")</f>
        <v>shellasdiary</v>
      </c>
      <c r="C355" s="257" t="str">
        <f>IFERROR(__xludf.DUMMYFUNCTION("""COMPUTED_VALUE"""),"https://www.tiktok.com/@shellasdiary")</f>
        <v>https://www.tiktok.com/@shellasdiary</v>
      </c>
      <c r="D355" s="23">
        <f>IFERROR(__xludf.DUMMYFUNCTION("""COMPUTED_VALUE"""),8.9517644415E10)</f>
        <v>89517644415</v>
      </c>
      <c r="E355" s="457">
        <f>IFERROR(__xludf.DUMMYFUNCTION("""COMPUTED_VALUE"""),0.0)</f>
        <v>0</v>
      </c>
      <c r="F355" s="270">
        <f>IFERROR(__xludf.DUMMYFUNCTION("""COMPUTED_VALUE"""),4.0)</f>
        <v>4</v>
      </c>
      <c r="G355" s="17" t="str">
        <f>IFERROR(__xludf.DUMMYFUNCTION("""COMPUTED_VALUE"""),"Full Set")</f>
        <v>Full Set</v>
      </c>
      <c r="H355" s="17"/>
      <c r="I355" s="262"/>
      <c r="J355" s="262"/>
      <c r="K355" s="262"/>
      <c r="L355" s="262"/>
      <c r="M355" s="262"/>
    </row>
    <row r="356">
      <c r="A356" s="255" t="str">
        <f>IFERROR(__xludf.DUMMYFUNCTION("""COMPUTED_VALUE"""),"MICRO")</f>
        <v>MICRO</v>
      </c>
      <c r="B356" s="23" t="str">
        <f>IFERROR(__xludf.DUMMYFUNCTION("""COMPUTED_VALUE"""),"sinabilla")</f>
        <v>sinabilla</v>
      </c>
      <c r="C356" s="257" t="str">
        <f>IFERROR(__xludf.DUMMYFUNCTION("""COMPUTED_VALUE"""),"https://www.tiktok.com/@sinabilla")</f>
        <v>https://www.tiktok.com/@sinabilla</v>
      </c>
      <c r="D356" s="23">
        <f>IFERROR(__xludf.DUMMYFUNCTION("""COMPUTED_VALUE"""),8.5706320004E10)</f>
        <v>85706320004</v>
      </c>
      <c r="E356" s="457">
        <f>IFERROR(__xludf.DUMMYFUNCTION("""COMPUTED_VALUE"""),0.0)</f>
        <v>0</v>
      </c>
      <c r="F356" s="270">
        <f>IFERROR(__xludf.DUMMYFUNCTION("""COMPUTED_VALUE"""),4.0)</f>
        <v>4</v>
      </c>
      <c r="G356" s="17" t="str">
        <f>IFERROR(__xludf.DUMMYFUNCTION("""COMPUTED_VALUE"""),"Full Set")</f>
        <v>Full Set</v>
      </c>
      <c r="H356" s="17"/>
      <c r="I356" s="262"/>
      <c r="J356" s="262"/>
      <c r="K356" s="262"/>
      <c r="L356" s="262"/>
      <c r="M356" s="262"/>
    </row>
    <row r="357">
      <c r="A357" s="255" t="str">
        <f>IFERROR(__xludf.DUMMYFUNCTION("""COMPUTED_VALUE"""),"MICRO")</f>
        <v>MICRO</v>
      </c>
      <c r="B357" s="23" t="str">
        <f>IFERROR(__xludf.DUMMYFUNCTION("""COMPUTED_VALUE"""),"sans.brey
")</f>
        <v>sans.brey
</v>
      </c>
      <c r="C357" s="257" t="str">
        <f>IFERROR(__xludf.DUMMYFUNCTION("""COMPUTED_VALUE"""),"https://www.tiktok.com/@sans.brey
")</f>
        <v>https://www.tiktok.com/@sans.brey
</v>
      </c>
      <c r="D357" s="23">
        <f>IFERROR(__xludf.DUMMYFUNCTION("""COMPUTED_VALUE"""),8.95329574361E11)</f>
        <v>895329574361</v>
      </c>
      <c r="E357" s="457">
        <f>IFERROR(__xludf.DUMMYFUNCTION("""COMPUTED_VALUE"""),0.0)</f>
        <v>0</v>
      </c>
      <c r="F357" s="270">
        <f>IFERROR(__xludf.DUMMYFUNCTION("""COMPUTED_VALUE"""),4.0)</f>
        <v>4</v>
      </c>
      <c r="G357" s="17" t="str">
        <f>IFERROR(__xludf.DUMMYFUNCTION("""COMPUTED_VALUE"""),"Full Set")</f>
        <v>Full Set</v>
      </c>
      <c r="H357" s="17"/>
      <c r="I357" s="262"/>
      <c r="J357" s="262"/>
      <c r="K357" s="262"/>
      <c r="L357" s="262"/>
      <c r="M357" s="262"/>
    </row>
    <row r="358">
      <c r="A358" s="255" t="str">
        <f>IFERROR(__xludf.DUMMYFUNCTION("""COMPUTED_VALUE"""),"MICRO")</f>
        <v>MICRO</v>
      </c>
      <c r="B358" s="23" t="str">
        <f>IFERROR(__xludf.DUMMYFUNCTION("""COMPUTED_VALUE"""),"zulfaqurin")</f>
        <v>zulfaqurin</v>
      </c>
      <c r="C358" s="257" t="str">
        <f>IFERROR(__xludf.DUMMYFUNCTION("""COMPUTED_VALUE"""),"https://www.tiktok.com/@zulfaqurin")</f>
        <v>https://www.tiktok.com/@zulfaqurin</v>
      </c>
      <c r="D358" s="23">
        <f>IFERROR(__xludf.DUMMYFUNCTION("""COMPUTED_VALUE"""),8.1252816709E10)</f>
        <v>81252816709</v>
      </c>
      <c r="E358" s="457">
        <f>IFERROR(__xludf.DUMMYFUNCTION("""COMPUTED_VALUE"""),0.0)</f>
        <v>0</v>
      </c>
      <c r="F358" s="270">
        <f>IFERROR(__xludf.DUMMYFUNCTION("""COMPUTED_VALUE"""),4.0)</f>
        <v>4</v>
      </c>
      <c r="G358" s="17" t="str">
        <f>IFERROR(__xludf.DUMMYFUNCTION("""COMPUTED_VALUE"""),"Full Set")</f>
        <v>Full Set</v>
      </c>
      <c r="H358" s="17"/>
      <c r="I358" s="262"/>
      <c r="J358" s="262"/>
      <c r="K358" s="262"/>
      <c r="L358" s="262"/>
      <c r="M358" s="262"/>
    </row>
    <row r="359">
      <c r="A359" s="255" t="str">
        <f>IFERROR(__xludf.DUMMYFUNCTION("""COMPUTED_VALUE"""),"MICRO")</f>
        <v>MICRO</v>
      </c>
      <c r="B359" s="23" t="str">
        <f>IFERROR(__xludf.DUMMYFUNCTION("""COMPUTED_VALUE"""),"elisacollectione")</f>
        <v>elisacollectione</v>
      </c>
      <c r="C359" s="257" t="str">
        <f>IFERROR(__xludf.DUMMYFUNCTION("""COMPUTED_VALUE"""),"https://www.tiktok.com/@elisacollectione")</f>
        <v>https://www.tiktok.com/@elisacollectione</v>
      </c>
      <c r="D359" s="23">
        <f>IFERROR(__xludf.DUMMYFUNCTION("""COMPUTED_VALUE"""),8.131800977E10)</f>
        <v>81318009770</v>
      </c>
      <c r="E359" s="457">
        <f>IFERROR(__xludf.DUMMYFUNCTION("""COMPUTED_VALUE"""),0.0)</f>
        <v>0</v>
      </c>
      <c r="F359" s="270">
        <f>IFERROR(__xludf.DUMMYFUNCTION("""COMPUTED_VALUE"""),4.0)</f>
        <v>4</v>
      </c>
      <c r="G359" s="17" t="str">
        <f>IFERROR(__xludf.DUMMYFUNCTION("""COMPUTED_VALUE"""),"Full Set")</f>
        <v>Full Set</v>
      </c>
      <c r="H359" s="17"/>
      <c r="I359" s="262"/>
      <c r="J359" s="262"/>
      <c r="K359" s="262"/>
      <c r="L359" s="262"/>
      <c r="M359" s="262"/>
    </row>
    <row r="360">
      <c r="A360" s="255" t="str">
        <f>IFERROR(__xludf.DUMMYFUNCTION("""COMPUTED_VALUE"""),"MICRO")</f>
        <v>MICRO</v>
      </c>
      <c r="B360" s="23" t="str">
        <f>IFERROR(__xludf.DUMMYFUNCTION("""COMPUTED_VALUE"""),"liasarasw")</f>
        <v>liasarasw</v>
      </c>
      <c r="C360" s="257" t="str">
        <f>IFERROR(__xludf.DUMMYFUNCTION("""COMPUTED_VALUE"""),"https://www.tiktok.com/@liasarasw")</f>
        <v>https://www.tiktok.com/@liasarasw</v>
      </c>
      <c r="D360" s="23">
        <f>IFERROR(__xludf.DUMMYFUNCTION("""COMPUTED_VALUE"""),8.1392441651E10)</f>
        <v>81392441651</v>
      </c>
      <c r="E360" s="457">
        <f>IFERROR(__xludf.DUMMYFUNCTION("""COMPUTED_VALUE"""),0.0)</f>
        <v>0</v>
      </c>
      <c r="F360" s="270">
        <f>IFERROR(__xludf.DUMMYFUNCTION("""COMPUTED_VALUE"""),4.0)</f>
        <v>4</v>
      </c>
      <c r="G360" s="17" t="str">
        <f>IFERROR(__xludf.DUMMYFUNCTION("""COMPUTED_VALUE"""),"Full Set")</f>
        <v>Full Set</v>
      </c>
      <c r="H360" s="17"/>
      <c r="I360" s="262"/>
      <c r="J360" s="262"/>
      <c r="K360" s="262"/>
      <c r="L360" s="262"/>
      <c r="M360" s="262"/>
    </row>
    <row r="361">
      <c r="A361" s="255" t="str">
        <f>IFERROR(__xludf.DUMMYFUNCTION("""COMPUTED_VALUE"""),"MICRO")</f>
        <v>MICRO</v>
      </c>
      <c r="B361" s="23" t="str">
        <f>IFERROR(__xludf.DUMMYFUNCTION("""COMPUTED_VALUE"""),"shakashop04")</f>
        <v>shakashop04</v>
      </c>
      <c r="C361" s="257" t="str">
        <f>IFERROR(__xludf.DUMMYFUNCTION("""COMPUTED_VALUE"""),"https://www.tiktok.com/@shakashop04")</f>
        <v>https://www.tiktok.com/@shakashop04</v>
      </c>
      <c r="D361" s="23">
        <f>IFERROR(__xludf.DUMMYFUNCTION("""COMPUTED_VALUE"""),8.2274052694E10)</f>
        <v>82274052694</v>
      </c>
      <c r="E361" s="457">
        <f>IFERROR(__xludf.DUMMYFUNCTION("""COMPUTED_VALUE"""),0.0)</f>
        <v>0</v>
      </c>
      <c r="F361" s="270">
        <f>IFERROR(__xludf.DUMMYFUNCTION("""COMPUTED_VALUE"""),4.0)</f>
        <v>4</v>
      </c>
      <c r="G361" s="17" t="str">
        <f>IFERROR(__xludf.DUMMYFUNCTION("""COMPUTED_VALUE"""),"Full Set")</f>
        <v>Full Set</v>
      </c>
      <c r="H361" s="17"/>
      <c r="I361" s="262"/>
      <c r="J361" s="262"/>
      <c r="K361" s="262"/>
      <c r="L361" s="262"/>
      <c r="M361" s="262"/>
    </row>
    <row r="362">
      <c r="A362" s="255" t="str">
        <f>IFERROR(__xludf.DUMMYFUNCTION("""COMPUTED_VALUE"""),"NANO")</f>
        <v>NANO</v>
      </c>
      <c r="B362" s="23" t="str">
        <f>IFERROR(__xludf.DUMMYFUNCTION("""COMPUTED_VALUE"""),"anasafitri232")</f>
        <v>anasafitri232</v>
      </c>
      <c r="C362" s="257" t="str">
        <f>IFERROR(__xludf.DUMMYFUNCTION("""COMPUTED_VALUE"""),"https://www.tiktok.com/@anasafitri232")</f>
        <v>https://www.tiktok.com/@anasafitri232</v>
      </c>
      <c r="D362" s="23">
        <f>IFERROR(__xludf.DUMMYFUNCTION("""COMPUTED_VALUE"""),8.966954232E10)</f>
        <v>89669542320</v>
      </c>
      <c r="E362" s="457">
        <f>IFERROR(__xludf.DUMMYFUNCTION("""COMPUTED_VALUE"""),0.0)</f>
        <v>0</v>
      </c>
      <c r="F362" s="270">
        <f>IFERROR(__xludf.DUMMYFUNCTION("""COMPUTED_VALUE"""),4.0)</f>
        <v>4</v>
      </c>
      <c r="G362" s="17" t="str">
        <f>IFERROR(__xludf.DUMMYFUNCTION("""COMPUTED_VALUE"""),"Full Set")</f>
        <v>Full Set</v>
      </c>
      <c r="H362" s="17"/>
      <c r="I362" s="262"/>
      <c r="J362" s="262"/>
      <c r="K362" s="262"/>
      <c r="L362" s="262"/>
      <c r="M362" s="262"/>
    </row>
    <row r="363">
      <c r="A363" s="255" t="str">
        <f>IFERROR(__xludf.DUMMYFUNCTION("""COMPUTED_VALUE"""),"MICRO")</f>
        <v>MICRO</v>
      </c>
      <c r="B363" s="23" t="str">
        <f>IFERROR(__xludf.DUMMYFUNCTION("""COMPUTED_VALUE"""),"ghea.beauty")</f>
        <v>ghea.beauty</v>
      </c>
      <c r="C363" s="257" t="str">
        <f>IFERROR(__xludf.DUMMYFUNCTION("""COMPUTED_VALUE"""),"https://www.tiktok.com/@ghea.beauty")</f>
        <v>https://www.tiktok.com/@ghea.beauty</v>
      </c>
      <c r="D363" s="23">
        <f>IFERROR(__xludf.DUMMYFUNCTION("""COMPUTED_VALUE"""),8.1545665592E10)</f>
        <v>81545665592</v>
      </c>
      <c r="E363" s="457">
        <f>IFERROR(__xludf.DUMMYFUNCTION("""COMPUTED_VALUE"""),0.0)</f>
        <v>0</v>
      </c>
      <c r="F363" s="270">
        <f>IFERROR(__xludf.DUMMYFUNCTION("""COMPUTED_VALUE"""),4.0)</f>
        <v>4</v>
      </c>
      <c r="G363" s="17" t="str">
        <f>IFERROR(__xludf.DUMMYFUNCTION("""COMPUTED_VALUE"""),"Full Set")</f>
        <v>Full Set</v>
      </c>
      <c r="H363" s="17"/>
      <c r="I363" s="262"/>
      <c r="J363" s="262"/>
      <c r="K363" s="262"/>
      <c r="L363" s="262"/>
      <c r="M363" s="262"/>
    </row>
    <row r="364">
      <c r="A364" s="255" t="str">
        <f>IFERROR(__xludf.DUMMYFUNCTION("""COMPUTED_VALUE"""),"MICRO")</f>
        <v>MICRO</v>
      </c>
      <c r="B364" s="23" t="str">
        <f>IFERROR(__xludf.DUMMYFUNCTION("""COMPUTED_VALUE"""),"dian_novitasari98")</f>
        <v>dian_novitasari98</v>
      </c>
      <c r="C364" s="257" t="str">
        <f>IFERROR(__xludf.DUMMYFUNCTION("""COMPUTED_VALUE"""),"https://www.tiktok.com/@dian_novitasari98")</f>
        <v>https://www.tiktok.com/@dian_novitasari98</v>
      </c>
      <c r="D364" s="23">
        <f>IFERROR(__xludf.DUMMYFUNCTION("""COMPUTED_VALUE"""),8.789524164E10)</f>
        <v>87895241640</v>
      </c>
      <c r="E364" s="457">
        <f>IFERROR(__xludf.DUMMYFUNCTION("""COMPUTED_VALUE"""),50000.0)</f>
        <v>50000</v>
      </c>
      <c r="F364" s="270">
        <f>IFERROR(__xludf.DUMMYFUNCTION("""COMPUTED_VALUE"""),3.0)</f>
        <v>3</v>
      </c>
      <c r="G364" s="17" t="str">
        <f>IFERROR(__xludf.DUMMYFUNCTION("""COMPUTED_VALUE"""),"Full Set")</f>
        <v>Full Set</v>
      </c>
      <c r="H364" s="17"/>
      <c r="I364" s="262"/>
      <c r="J364" s="262"/>
      <c r="K364" s="262"/>
      <c r="L364" s="262"/>
      <c r="M364" s="262"/>
    </row>
    <row r="365">
      <c r="A365" s="255" t="str">
        <f>IFERROR(__xludf.DUMMYFUNCTION("""COMPUTED_VALUE"""),"NANO")</f>
        <v>NANO</v>
      </c>
      <c r="B365" s="23" t="str">
        <f>IFERROR(__xludf.DUMMYFUNCTION("""COMPUTED_VALUE"""),"rizkaalvnnn ")</f>
        <v>rizkaalvnnn </v>
      </c>
      <c r="C365" s="257" t="str">
        <f>IFERROR(__xludf.DUMMYFUNCTION("""COMPUTED_VALUE"""),"https://www.tiktok.com/@rizkaalvnnn ")</f>
        <v>https://www.tiktok.com/@rizkaalvnnn </v>
      </c>
      <c r="D365" s="23">
        <f>IFERROR(__xludf.DUMMYFUNCTION("""COMPUTED_VALUE"""),8.1222431189E10)</f>
        <v>81222431189</v>
      </c>
      <c r="E365" s="457">
        <f>IFERROR(__xludf.DUMMYFUNCTION("""COMPUTED_VALUE"""),0.0)</f>
        <v>0</v>
      </c>
      <c r="F365" s="270">
        <f>IFERROR(__xludf.DUMMYFUNCTION("""COMPUTED_VALUE"""),4.0)</f>
        <v>4</v>
      </c>
      <c r="G365" s="17" t="str">
        <f>IFERROR(__xludf.DUMMYFUNCTION("""COMPUTED_VALUE"""),"Full Set")</f>
        <v>Full Set</v>
      </c>
      <c r="H365" s="17"/>
      <c r="I365" s="262"/>
      <c r="J365" s="262"/>
      <c r="K365" s="262"/>
      <c r="L365" s="262"/>
      <c r="M365" s="262"/>
    </row>
    <row r="366">
      <c r="A366" s="255" t="str">
        <f>IFERROR(__xludf.DUMMYFUNCTION("""COMPUTED_VALUE"""),"NANO")</f>
        <v>NANO</v>
      </c>
      <c r="B366" s="23" t="str">
        <f>IFERROR(__xludf.DUMMYFUNCTION("""COMPUTED_VALUE"""),"ilmaafghoniyah16")</f>
        <v>ilmaafghoniyah16</v>
      </c>
      <c r="C366" s="257" t="str">
        <f>IFERROR(__xludf.DUMMYFUNCTION("""COMPUTED_VALUE"""),"https://www.tiktok.com/@ilmaafghoniyah16")</f>
        <v>https://www.tiktok.com/@ilmaafghoniyah16</v>
      </c>
      <c r="D366" s="23">
        <f>IFERROR(__xludf.DUMMYFUNCTION("""COMPUTED_VALUE"""),8.2269093934E10)</f>
        <v>82269093934</v>
      </c>
      <c r="E366" s="457">
        <f>IFERROR(__xludf.DUMMYFUNCTION("""COMPUTED_VALUE"""),0.0)</f>
        <v>0</v>
      </c>
      <c r="F366" s="270">
        <f>IFERROR(__xludf.DUMMYFUNCTION("""COMPUTED_VALUE"""),3.0)</f>
        <v>3</v>
      </c>
      <c r="G366" s="17" t="str">
        <f>IFERROR(__xludf.DUMMYFUNCTION("""COMPUTED_VALUE"""),"Full Set")</f>
        <v>Full Set</v>
      </c>
      <c r="H366" s="17"/>
      <c r="I366" s="262"/>
      <c r="J366" s="262"/>
      <c r="K366" s="262"/>
      <c r="L366" s="262"/>
      <c r="M366" s="262"/>
    </row>
    <row r="367">
      <c r="A367" s="255" t="str">
        <f>IFERROR(__xludf.DUMMYFUNCTION("""COMPUTED_VALUE"""),"MICRO")</f>
        <v>MICRO</v>
      </c>
      <c r="B367" s="23" t="str">
        <f>IFERROR(__xludf.DUMMYFUNCTION("""COMPUTED_VALUE"""),"suksesshop7")</f>
        <v>suksesshop7</v>
      </c>
      <c r="C367" s="257" t="str">
        <f>IFERROR(__xludf.DUMMYFUNCTION("""COMPUTED_VALUE"""),"https://www.tiktok.com/@suksesshop7")</f>
        <v>https://www.tiktok.com/@suksesshop7</v>
      </c>
      <c r="D367" s="23">
        <f>IFERROR(__xludf.DUMMYFUNCTION("""COMPUTED_VALUE"""),8.9612359322E10)</f>
        <v>89612359322</v>
      </c>
      <c r="E367" s="457">
        <f>IFERROR(__xludf.DUMMYFUNCTION("""COMPUTED_VALUE"""),0.0)</f>
        <v>0</v>
      </c>
      <c r="F367" s="270">
        <f>IFERROR(__xludf.DUMMYFUNCTION("""COMPUTED_VALUE"""),4.0)</f>
        <v>4</v>
      </c>
      <c r="G367" s="17" t="str">
        <f>IFERROR(__xludf.DUMMYFUNCTION("""COMPUTED_VALUE"""),"Full Set")</f>
        <v>Full Set</v>
      </c>
      <c r="H367" s="17"/>
      <c r="I367" s="262"/>
      <c r="J367" s="262"/>
      <c r="K367" s="262"/>
      <c r="L367" s="262"/>
      <c r="M367" s="262"/>
    </row>
    <row r="368">
      <c r="A368" s="255" t="str">
        <f>IFERROR(__xludf.DUMMYFUNCTION("""COMPUTED_VALUE"""),"NANO")</f>
        <v>NANO</v>
      </c>
      <c r="B368" s="23" t="str">
        <f>IFERROR(__xludf.DUMMYFUNCTION("""COMPUTED_VALUE"""),"outfitce_")</f>
        <v>outfitce_</v>
      </c>
      <c r="C368" s="257" t="str">
        <f>IFERROR(__xludf.DUMMYFUNCTION("""COMPUTED_VALUE"""),"https://www.tiktok.com/@outfitce_")</f>
        <v>https://www.tiktok.com/@outfitce_</v>
      </c>
      <c r="D368" s="23">
        <f>IFERROR(__xludf.DUMMYFUNCTION("""COMPUTED_VALUE"""),8.5850394501E10)</f>
        <v>85850394501</v>
      </c>
      <c r="E368" s="457">
        <f>IFERROR(__xludf.DUMMYFUNCTION("""COMPUTED_VALUE"""),0.0)</f>
        <v>0</v>
      </c>
      <c r="F368" s="270">
        <f>IFERROR(__xludf.DUMMYFUNCTION("""COMPUTED_VALUE"""),4.0)</f>
        <v>4</v>
      </c>
      <c r="G368" s="17" t="str">
        <f>IFERROR(__xludf.DUMMYFUNCTION("""COMPUTED_VALUE"""),"Full Set")</f>
        <v>Full Set</v>
      </c>
      <c r="H368" s="17"/>
      <c r="I368" s="262"/>
      <c r="J368" s="262"/>
      <c r="K368" s="262"/>
      <c r="L368" s="262"/>
      <c r="M368" s="262"/>
    </row>
    <row r="369">
      <c r="A369" s="255" t="str">
        <f>IFERROR(__xludf.DUMMYFUNCTION("""COMPUTED_VALUE"""),"NANO")</f>
        <v>NANO</v>
      </c>
      <c r="B369" s="23" t="str">
        <f>IFERROR(__xludf.DUMMYFUNCTION("""COMPUTED_VALUE"""),"marselll1_")</f>
        <v>marselll1_</v>
      </c>
      <c r="C369" s="257" t="str">
        <f>IFERROR(__xludf.DUMMYFUNCTION("""COMPUTED_VALUE"""),"https://www.tiktok.com/@marselll1_")</f>
        <v>https://www.tiktok.com/@marselll1_</v>
      </c>
      <c r="D369" s="23">
        <f>IFERROR(__xludf.DUMMYFUNCTION("""COMPUTED_VALUE"""),8.5609196653E10)</f>
        <v>85609196653</v>
      </c>
      <c r="E369" s="457">
        <f>IFERROR(__xludf.DUMMYFUNCTION("""COMPUTED_VALUE"""),150000.0)</f>
        <v>150000</v>
      </c>
      <c r="F369" s="270">
        <f>IFERROR(__xludf.DUMMYFUNCTION("""COMPUTED_VALUE"""),4.0)</f>
        <v>4</v>
      </c>
      <c r="G369" s="17" t="str">
        <f>IFERROR(__xludf.DUMMYFUNCTION("""COMPUTED_VALUE"""),"Full Set")</f>
        <v>Full Set</v>
      </c>
      <c r="H369" s="17"/>
      <c r="I369" s="262"/>
      <c r="J369" s="262"/>
      <c r="K369" s="262"/>
      <c r="L369" s="262"/>
      <c r="M369" s="262"/>
    </row>
    <row r="370">
      <c r="A370" s="255" t="str">
        <f>IFERROR(__xludf.DUMMYFUNCTION("""COMPUTED_VALUE"""),"NANO")</f>
        <v>NANO</v>
      </c>
      <c r="B370" s="23" t="str">
        <f>IFERROR(__xludf.DUMMYFUNCTION("""COMPUTED_VALUE"""),"farizafgani")</f>
        <v>farizafgani</v>
      </c>
      <c r="C370" s="257" t="str">
        <f>IFERROR(__xludf.DUMMYFUNCTION("""COMPUTED_VALUE"""),"https://www.tiktok.com/@farizafgani")</f>
        <v>https://www.tiktok.com/@farizafgani</v>
      </c>
      <c r="D370" s="23">
        <f>IFERROR(__xludf.DUMMYFUNCTION("""COMPUTED_VALUE"""),8.1460900368E10)</f>
        <v>81460900368</v>
      </c>
      <c r="E370" s="457">
        <f>IFERROR(__xludf.DUMMYFUNCTION("""COMPUTED_VALUE"""),0.0)</f>
        <v>0</v>
      </c>
      <c r="F370" s="270">
        <f>IFERROR(__xludf.DUMMYFUNCTION("""COMPUTED_VALUE"""),4.0)</f>
        <v>4</v>
      </c>
      <c r="G370" s="17" t="str">
        <f>IFERROR(__xludf.DUMMYFUNCTION("""COMPUTED_VALUE"""),"Full Set")</f>
        <v>Full Set</v>
      </c>
      <c r="H370" s="17"/>
      <c r="I370" s="262"/>
      <c r="J370" s="262"/>
      <c r="K370" s="262"/>
      <c r="L370" s="262"/>
      <c r="M370" s="262"/>
    </row>
    <row r="371">
      <c r="A371" s="255" t="str">
        <f>IFERROR(__xludf.DUMMYFUNCTION("""COMPUTED_VALUE"""),"MICRO")</f>
        <v>MICRO</v>
      </c>
      <c r="B371" s="23" t="str">
        <f>IFERROR(__xludf.DUMMYFUNCTION("""COMPUTED_VALUE"""),"titiaja12")</f>
        <v>titiaja12</v>
      </c>
      <c r="C371" s="257" t="str">
        <f>IFERROR(__xludf.DUMMYFUNCTION("""COMPUTED_VALUE"""),"https://www.tiktok.com/@titiaja12")</f>
        <v>https://www.tiktok.com/@titiaja12</v>
      </c>
      <c r="D371" s="23">
        <f>IFERROR(__xludf.DUMMYFUNCTION("""COMPUTED_VALUE"""),8.2291404892E10)</f>
        <v>82291404892</v>
      </c>
      <c r="E371" s="457">
        <f>IFERROR(__xludf.DUMMYFUNCTION("""COMPUTED_VALUE"""),0.0)</f>
        <v>0</v>
      </c>
      <c r="F371" s="270">
        <f>IFERROR(__xludf.DUMMYFUNCTION("""COMPUTED_VALUE"""),1.0)</f>
        <v>1</v>
      </c>
      <c r="G371" s="17" t="str">
        <f>IFERROR(__xludf.DUMMYFUNCTION("""COMPUTED_VALUE"""),"Full Set")</f>
        <v>Full Set</v>
      </c>
      <c r="H371" s="17"/>
      <c r="I371" s="262"/>
      <c r="J371" s="262"/>
      <c r="K371" s="262"/>
      <c r="L371" s="262"/>
      <c r="M371" s="262"/>
    </row>
    <row r="372">
      <c r="A372" s="255" t="str">
        <f>IFERROR(__xludf.DUMMYFUNCTION("""COMPUTED_VALUE"""),"MICRO")</f>
        <v>MICRO</v>
      </c>
      <c r="B372" s="23" t="str">
        <f>IFERROR(__xludf.DUMMYFUNCTION("""COMPUTED_VALUE"""),"hikmahcamelia8")</f>
        <v>hikmahcamelia8</v>
      </c>
      <c r="C372" s="257" t="str">
        <f>IFERROR(__xludf.DUMMYFUNCTION("""COMPUTED_VALUE"""),"https://www.tiktok.com/@hikmahcamelia8")</f>
        <v>https://www.tiktok.com/@hikmahcamelia8</v>
      </c>
      <c r="D372" s="23">
        <f>IFERROR(__xludf.DUMMYFUNCTION("""COMPUTED_VALUE"""),8.1230414497E10)</f>
        <v>81230414497</v>
      </c>
      <c r="E372" s="457">
        <f>IFERROR(__xludf.DUMMYFUNCTION("""COMPUTED_VALUE"""),0.0)</f>
        <v>0</v>
      </c>
      <c r="F372" s="270">
        <f>IFERROR(__xludf.DUMMYFUNCTION("""COMPUTED_VALUE"""),4.0)</f>
        <v>4</v>
      </c>
      <c r="G372" s="17" t="str">
        <f>IFERROR(__xludf.DUMMYFUNCTION("""COMPUTED_VALUE"""),"Full Set")</f>
        <v>Full Set</v>
      </c>
      <c r="H372" s="17"/>
      <c r="I372" s="262"/>
      <c r="J372" s="262"/>
      <c r="K372" s="262"/>
      <c r="L372" s="262"/>
      <c r="M372" s="262"/>
    </row>
    <row r="373">
      <c r="A373" s="255" t="str">
        <f>IFERROR(__xludf.DUMMYFUNCTION("""COMPUTED_VALUE"""),"MICRO")</f>
        <v>MICRO</v>
      </c>
      <c r="B373" s="23" t="str">
        <f>IFERROR(__xludf.DUMMYFUNCTION("""COMPUTED_VALUE"""),"lilibeauty82")</f>
        <v>lilibeauty82</v>
      </c>
      <c r="C373" s="257" t="str">
        <f>IFERROR(__xludf.DUMMYFUNCTION("""COMPUTED_VALUE"""),"https://www.tiktok.com/@lilibeauty82")</f>
        <v>https://www.tiktok.com/@lilibeauty82</v>
      </c>
      <c r="D373" s="23">
        <f>IFERROR(__xludf.DUMMYFUNCTION("""COMPUTED_VALUE"""),8.9516325462E10)</f>
        <v>89516325462</v>
      </c>
      <c r="E373" s="457">
        <f>IFERROR(__xludf.DUMMYFUNCTION("""COMPUTED_VALUE"""),0.0)</f>
        <v>0</v>
      </c>
      <c r="F373" s="270">
        <f>IFERROR(__xludf.DUMMYFUNCTION("""COMPUTED_VALUE"""),4.0)</f>
        <v>4</v>
      </c>
      <c r="G373" s="17" t="str">
        <f>IFERROR(__xludf.DUMMYFUNCTION("""COMPUTED_VALUE"""),"Full Set")</f>
        <v>Full Set</v>
      </c>
      <c r="H373" s="17"/>
      <c r="I373" s="262"/>
      <c r="J373" s="262"/>
      <c r="K373" s="262"/>
      <c r="L373" s="262"/>
      <c r="M373" s="262"/>
    </row>
    <row r="374">
      <c r="A374" s="255" t="str">
        <f>IFERROR(__xludf.DUMMYFUNCTION("""COMPUTED_VALUE"""),"MICRO")</f>
        <v>MICRO</v>
      </c>
      <c r="B374" s="23" t="str">
        <f>IFERROR(__xludf.DUMMYFUNCTION("""COMPUTED_VALUE"""),"gallerymutie")</f>
        <v>gallerymutie</v>
      </c>
      <c r="C374" s="257" t="str">
        <f>IFERROR(__xludf.DUMMYFUNCTION("""COMPUTED_VALUE"""),"https://www.tiktok.com/@gallerymutie")</f>
        <v>https://www.tiktok.com/@gallerymutie</v>
      </c>
      <c r="D374" s="23">
        <f>IFERROR(__xludf.DUMMYFUNCTION("""COMPUTED_VALUE"""),8.780540226E10)</f>
        <v>87805402260</v>
      </c>
      <c r="E374" s="457">
        <f>IFERROR(__xludf.DUMMYFUNCTION("""COMPUTED_VALUE"""),0.0)</f>
        <v>0</v>
      </c>
      <c r="F374" s="270">
        <f>IFERROR(__xludf.DUMMYFUNCTION("""COMPUTED_VALUE"""),4.0)</f>
        <v>4</v>
      </c>
      <c r="G374" s="17" t="str">
        <f>IFERROR(__xludf.DUMMYFUNCTION("""COMPUTED_VALUE"""),"Full Set")</f>
        <v>Full Set</v>
      </c>
      <c r="H374" s="17"/>
      <c r="I374" s="262"/>
      <c r="J374" s="262"/>
      <c r="K374" s="262"/>
      <c r="L374" s="262"/>
      <c r="M374" s="262"/>
    </row>
    <row r="375">
      <c r="A375" s="255" t="str">
        <f>IFERROR(__xludf.DUMMYFUNCTION("""COMPUTED_VALUE"""),"NANO")</f>
        <v>NANO</v>
      </c>
      <c r="B375" s="23" t="str">
        <f>IFERROR(__xludf.DUMMYFUNCTION("""COMPUTED_VALUE"""),"wina.widiansyah")</f>
        <v>wina.widiansyah</v>
      </c>
      <c r="C375" s="257" t="str">
        <f>IFERROR(__xludf.DUMMYFUNCTION("""COMPUTED_VALUE"""),"https://www.tiktok.com/@wina.widiansyah")</f>
        <v>https://www.tiktok.com/@wina.widiansyah</v>
      </c>
      <c r="D375" s="23">
        <f>IFERROR(__xludf.DUMMYFUNCTION("""COMPUTED_VALUE"""),8.57712333E10)</f>
        <v>85771233300</v>
      </c>
      <c r="E375" s="457">
        <f>IFERROR(__xludf.DUMMYFUNCTION("""COMPUTED_VALUE"""),0.0)</f>
        <v>0</v>
      </c>
      <c r="F375" s="270">
        <f>IFERROR(__xludf.DUMMYFUNCTION("""COMPUTED_VALUE"""),4.0)</f>
        <v>4</v>
      </c>
      <c r="G375" s="17" t="str">
        <f>IFERROR(__xludf.DUMMYFUNCTION("""COMPUTED_VALUE"""),"Full Set")</f>
        <v>Full Set</v>
      </c>
      <c r="H375" s="17"/>
      <c r="I375" s="262"/>
      <c r="J375" s="262"/>
      <c r="K375" s="262"/>
      <c r="L375" s="262"/>
      <c r="M375" s="262"/>
    </row>
    <row r="376">
      <c r="A376" s="255" t="str">
        <f>IFERROR(__xludf.DUMMYFUNCTION("""COMPUTED_VALUE"""),"NANO")</f>
        <v>NANO</v>
      </c>
      <c r="B376" s="23" t="str">
        <f>IFERROR(__xludf.DUMMYFUNCTION("""COMPUTED_VALUE"""),"titink")</f>
        <v>titink</v>
      </c>
      <c r="C376" s="257" t="str">
        <f>IFERROR(__xludf.DUMMYFUNCTION("""COMPUTED_VALUE"""),"https://www.tiktok.com/@titink")</f>
        <v>https://www.tiktok.com/@titink</v>
      </c>
      <c r="D376" s="23">
        <f>IFERROR(__xludf.DUMMYFUNCTION("""COMPUTED_VALUE"""),8.9601483456E10)</f>
        <v>89601483456</v>
      </c>
      <c r="E376" s="457">
        <f>IFERROR(__xludf.DUMMYFUNCTION("""COMPUTED_VALUE"""),0.0)</f>
        <v>0</v>
      </c>
      <c r="F376" s="270">
        <f>IFERROR(__xludf.DUMMYFUNCTION("""COMPUTED_VALUE"""),4.0)</f>
        <v>4</v>
      </c>
      <c r="G376" s="17" t="str">
        <f>IFERROR(__xludf.DUMMYFUNCTION("""COMPUTED_VALUE"""),"Full Set")</f>
        <v>Full Set</v>
      </c>
      <c r="H376" s="17"/>
      <c r="I376" s="262"/>
      <c r="J376" s="262"/>
      <c r="K376" s="262"/>
      <c r="L376" s="262"/>
      <c r="M376" s="262"/>
    </row>
    <row r="377">
      <c r="A377" s="255" t="str">
        <f>IFERROR(__xludf.DUMMYFUNCTION("""COMPUTED_VALUE"""),"NANO")</f>
        <v>NANO</v>
      </c>
      <c r="B377" s="23" t="str">
        <f>IFERROR(__xludf.DUMMYFUNCTION("""COMPUTED_VALUE"""),"Mirabellacik")</f>
        <v>Mirabellacik</v>
      </c>
      <c r="C377" s="257" t="str">
        <f>IFERROR(__xludf.DUMMYFUNCTION("""COMPUTED_VALUE"""),"https://www.tiktok.com/@Mirabellacik")</f>
        <v>https://www.tiktok.com/@Mirabellacik</v>
      </c>
      <c r="D377" s="23">
        <f>IFERROR(__xludf.DUMMYFUNCTION("""COMPUTED_VALUE"""),8.95396622888E11)</f>
        <v>895396622888</v>
      </c>
      <c r="E377" s="457">
        <f>IFERROR(__xludf.DUMMYFUNCTION("""COMPUTED_VALUE"""),0.0)</f>
        <v>0</v>
      </c>
      <c r="F377" s="270">
        <f>IFERROR(__xludf.DUMMYFUNCTION("""COMPUTED_VALUE"""),4.0)</f>
        <v>4</v>
      </c>
      <c r="G377" s="17" t="str">
        <f>IFERROR(__xludf.DUMMYFUNCTION("""COMPUTED_VALUE"""),"Full Set")</f>
        <v>Full Set</v>
      </c>
      <c r="H377" s="17"/>
      <c r="I377" s="262"/>
      <c r="J377" s="262"/>
      <c r="K377" s="262"/>
      <c r="L377" s="262"/>
      <c r="M377" s="262"/>
    </row>
    <row r="378">
      <c r="A378" s="255" t="str">
        <f>IFERROR(__xludf.DUMMYFUNCTION("""COMPUTED_VALUE"""),"NANO")</f>
        <v>NANO</v>
      </c>
      <c r="B378" s="23" t="str">
        <f>IFERROR(__xludf.DUMMYFUNCTION("""COMPUTED_VALUE"""),"disut_")</f>
        <v>disut_</v>
      </c>
      <c r="C378" s="257" t="str">
        <f>IFERROR(__xludf.DUMMYFUNCTION("""COMPUTED_VALUE"""),"https://www.tiktok.com/@disut_")</f>
        <v>https://www.tiktok.com/@disut_</v>
      </c>
      <c r="D378" s="23">
        <f>IFERROR(__xludf.DUMMYFUNCTION("""COMPUTED_VALUE"""),8.3821650891E10)</f>
        <v>83821650891</v>
      </c>
      <c r="E378" s="457">
        <f>IFERROR(__xludf.DUMMYFUNCTION("""COMPUTED_VALUE"""),0.0)</f>
        <v>0</v>
      </c>
      <c r="F378" s="270">
        <f>IFERROR(__xludf.DUMMYFUNCTION("""COMPUTED_VALUE"""),4.0)</f>
        <v>4</v>
      </c>
      <c r="G378" s="17" t="str">
        <f>IFERROR(__xludf.DUMMYFUNCTION("""COMPUTED_VALUE"""),"Full Set")</f>
        <v>Full Set</v>
      </c>
      <c r="H378" s="17"/>
      <c r="I378" s="262"/>
      <c r="J378" s="262"/>
      <c r="K378" s="262"/>
      <c r="L378" s="262"/>
      <c r="M378" s="262"/>
    </row>
    <row r="379">
      <c r="A379" s="255" t="str">
        <f>IFERROR(__xludf.DUMMYFUNCTION("""COMPUTED_VALUE"""),"NANO")</f>
        <v>NANO</v>
      </c>
      <c r="B379" s="23" t="str">
        <f>IFERROR(__xludf.DUMMYFUNCTION("""COMPUTED_VALUE"""),"_kafida_")</f>
        <v>_kafida_</v>
      </c>
      <c r="C379" s="257" t="str">
        <f>IFERROR(__xludf.DUMMYFUNCTION("""COMPUTED_VALUE"""),"https://www.tiktok.com/@_kafida_")</f>
        <v>https://www.tiktok.com/@_kafida_</v>
      </c>
      <c r="D379" s="23">
        <f>IFERROR(__xludf.DUMMYFUNCTION("""COMPUTED_VALUE"""),8.829108606E10)</f>
        <v>88291086060</v>
      </c>
      <c r="E379" s="457">
        <f>IFERROR(__xludf.DUMMYFUNCTION("""COMPUTED_VALUE"""),0.0)</f>
        <v>0</v>
      </c>
      <c r="F379" s="270">
        <f>IFERROR(__xludf.DUMMYFUNCTION("""COMPUTED_VALUE"""),4.0)</f>
        <v>4</v>
      </c>
      <c r="G379" s="17" t="str">
        <f>IFERROR(__xludf.DUMMYFUNCTION("""COMPUTED_VALUE"""),"Full Set")</f>
        <v>Full Set</v>
      </c>
      <c r="H379" s="17"/>
      <c r="I379" s="262"/>
      <c r="J379" s="262"/>
      <c r="K379" s="262"/>
      <c r="L379" s="262"/>
      <c r="M379" s="262"/>
    </row>
    <row r="380">
      <c r="A380" s="255" t="str">
        <f>IFERROR(__xludf.DUMMYFUNCTION("""COMPUTED_VALUE"""),"NANO")</f>
        <v>NANO</v>
      </c>
      <c r="B380" s="23" t="str">
        <f>IFERROR(__xludf.DUMMYFUNCTION("""COMPUTED_VALUE"""),"jejejeruk_")</f>
        <v>jejejeruk_</v>
      </c>
      <c r="C380" s="257" t="str">
        <f>IFERROR(__xludf.DUMMYFUNCTION("""COMPUTED_VALUE"""),"https://www.tiktok.com/@jejejeruk_")</f>
        <v>https://www.tiktok.com/@jejejeruk_</v>
      </c>
      <c r="D380" s="23">
        <f>IFERROR(__xludf.DUMMYFUNCTION("""COMPUTED_VALUE"""),8.7846856712E10)</f>
        <v>87846856712</v>
      </c>
      <c r="E380" s="457">
        <f>IFERROR(__xludf.DUMMYFUNCTION("""COMPUTED_VALUE"""),0.0)</f>
        <v>0</v>
      </c>
      <c r="F380" s="270">
        <f>IFERROR(__xludf.DUMMYFUNCTION("""COMPUTED_VALUE"""),4.0)</f>
        <v>4</v>
      </c>
      <c r="G380" s="17" t="str">
        <f>IFERROR(__xludf.DUMMYFUNCTION("""COMPUTED_VALUE"""),"Full Set")</f>
        <v>Full Set</v>
      </c>
      <c r="H380" s="17"/>
      <c r="I380" s="262"/>
      <c r="J380" s="262"/>
      <c r="K380" s="262"/>
      <c r="L380" s="262"/>
      <c r="M380" s="262"/>
    </row>
    <row r="381">
      <c r="A381" s="255" t="str">
        <f>IFERROR(__xludf.DUMMYFUNCTION("""COMPUTED_VALUE"""),"MICRO")</f>
        <v>MICRO</v>
      </c>
      <c r="B381" s="23" t="str">
        <f>IFERROR(__xludf.DUMMYFUNCTION("""COMPUTED_VALUE"""),"vnaamel")</f>
        <v>vnaamel</v>
      </c>
      <c r="C381" s="257" t="str">
        <f>IFERROR(__xludf.DUMMYFUNCTION("""COMPUTED_VALUE"""),"https://www.tiktok.com/@vnaamel")</f>
        <v>https://www.tiktok.com/@vnaamel</v>
      </c>
      <c r="D381" s="23">
        <f>IFERROR(__xludf.DUMMYFUNCTION("""COMPUTED_VALUE"""),8.82000201753E11)</f>
        <v>882000201753</v>
      </c>
      <c r="E381" s="457">
        <f>IFERROR(__xludf.DUMMYFUNCTION("""COMPUTED_VALUE"""),0.0)</f>
        <v>0</v>
      </c>
      <c r="F381" s="270">
        <f>IFERROR(__xludf.DUMMYFUNCTION("""COMPUTED_VALUE"""),4.0)</f>
        <v>4</v>
      </c>
      <c r="G381" s="17" t="str">
        <f>IFERROR(__xludf.DUMMYFUNCTION("""COMPUTED_VALUE"""),"Full Set")</f>
        <v>Full Set</v>
      </c>
      <c r="H381" s="17"/>
      <c r="I381" s="262"/>
      <c r="J381" s="262"/>
      <c r="K381" s="262"/>
      <c r="L381" s="262"/>
      <c r="M381" s="262"/>
    </row>
    <row r="382">
      <c r="A382" s="255" t="str">
        <f>IFERROR(__xludf.DUMMYFUNCTION("""COMPUTED_VALUE"""),"NANO")</f>
        <v>NANO</v>
      </c>
      <c r="B382" s="23" t="str">
        <f>IFERROR(__xludf.DUMMYFUNCTION("""COMPUTED_VALUE"""),"Naandddda")</f>
        <v>Naandddda</v>
      </c>
      <c r="C382" s="257" t="str">
        <f>IFERROR(__xludf.DUMMYFUNCTION("""COMPUTED_VALUE"""),"https://www.tiktok.com/@Naandddda")</f>
        <v>https://www.tiktok.com/@Naandddda</v>
      </c>
      <c r="D382" s="23">
        <f>IFERROR(__xludf.DUMMYFUNCTION("""COMPUTED_VALUE"""),8.2148181172E10)</f>
        <v>82148181172</v>
      </c>
      <c r="E382" s="457">
        <f>IFERROR(__xludf.DUMMYFUNCTION("""COMPUTED_VALUE"""),0.0)</f>
        <v>0</v>
      </c>
      <c r="F382" s="270">
        <f>IFERROR(__xludf.DUMMYFUNCTION("""COMPUTED_VALUE"""),4.0)</f>
        <v>4</v>
      </c>
      <c r="G382" s="17" t="str">
        <f>IFERROR(__xludf.DUMMYFUNCTION("""COMPUTED_VALUE"""),"Full Set")</f>
        <v>Full Set</v>
      </c>
      <c r="H382" s="17"/>
      <c r="I382" s="262"/>
      <c r="J382" s="262"/>
      <c r="K382" s="262"/>
      <c r="L382" s="262"/>
      <c r="M382" s="262"/>
    </row>
    <row r="383">
      <c r="A383" s="255" t="str">
        <f>IFERROR(__xludf.DUMMYFUNCTION("""COMPUTED_VALUE"""),"NANO")</f>
        <v>NANO</v>
      </c>
      <c r="B383" s="23" t="str">
        <f>IFERROR(__xludf.DUMMYFUNCTION("""COMPUTED_VALUE"""),"nunataehyung93")</f>
        <v>nunataehyung93</v>
      </c>
      <c r="C383" s="257" t="str">
        <f>IFERROR(__xludf.DUMMYFUNCTION("""COMPUTED_VALUE"""),"https://www.tiktok.com/@nunataehyung93")</f>
        <v>https://www.tiktok.com/@nunataehyung93</v>
      </c>
      <c r="D383" s="23">
        <f>IFERROR(__xludf.DUMMYFUNCTION("""COMPUTED_VALUE"""),8.131943341E10)</f>
        <v>81319433410</v>
      </c>
      <c r="E383" s="457">
        <f>IFERROR(__xludf.DUMMYFUNCTION("""COMPUTED_VALUE"""),0.0)</f>
        <v>0</v>
      </c>
      <c r="F383" s="270">
        <f>IFERROR(__xludf.DUMMYFUNCTION("""COMPUTED_VALUE"""),4.0)</f>
        <v>4</v>
      </c>
      <c r="G383" s="17" t="str">
        <f>IFERROR(__xludf.DUMMYFUNCTION("""COMPUTED_VALUE"""),"Full Set")</f>
        <v>Full Set</v>
      </c>
      <c r="H383" s="17"/>
      <c r="I383" s="262"/>
      <c r="J383" s="262"/>
      <c r="K383" s="262"/>
      <c r="L383" s="262"/>
      <c r="M383" s="262"/>
    </row>
    <row r="384">
      <c r="A384" s="255" t="str">
        <f>IFERROR(__xludf.DUMMYFUNCTION("""COMPUTED_VALUE"""),"NANO")</f>
        <v>NANO</v>
      </c>
      <c r="B384" s="23" t="str">
        <f>IFERROR(__xludf.DUMMYFUNCTION("""COMPUTED_VALUE"""),"ccandypermen ")</f>
        <v>ccandypermen </v>
      </c>
      <c r="C384" s="257" t="str">
        <f>IFERROR(__xludf.DUMMYFUNCTION("""COMPUTED_VALUE"""),"https://www.tiktok.com/@ccandypermen ")</f>
        <v>https://www.tiktok.com/@ccandypermen </v>
      </c>
      <c r="D384" s="23">
        <f>IFERROR(__xludf.DUMMYFUNCTION("""COMPUTED_VALUE"""),8.9666810786E10)</f>
        <v>89666810786</v>
      </c>
      <c r="E384" s="457">
        <f>IFERROR(__xludf.DUMMYFUNCTION("""COMPUTED_VALUE"""),0.0)</f>
        <v>0</v>
      </c>
      <c r="F384" s="270">
        <f>IFERROR(__xludf.DUMMYFUNCTION("""COMPUTED_VALUE"""),4.0)</f>
        <v>4</v>
      </c>
      <c r="G384" s="17" t="str">
        <f>IFERROR(__xludf.DUMMYFUNCTION("""COMPUTED_VALUE"""),"Full Set")</f>
        <v>Full Set</v>
      </c>
      <c r="H384" s="17"/>
      <c r="I384" s="278" t="str">
        <f>IFERROR(__xludf.DUMMYFUNCTION("""COMPUTED_VALUE"""),"https://www.tiktok.com/@ccandypermen/video/7641428471662529812?is_from_webapp=1&amp;sender_device=pc")</f>
        <v>https://www.tiktok.com/@ccandypermen/video/7641428471662529812?is_from_webapp=1&amp;sender_device=pc</v>
      </c>
      <c r="J384" s="278" t="str">
        <f>IFERROR(__xludf.DUMMYFUNCTION("""COMPUTED_VALUE"""),"https://www.tiktok.com/@ccandypermen/video/7642265711183711509?is_from_webapp=1&amp;sender_device=pc")</f>
        <v>https://www.tiktok.com/@ccandypermen/video/7642265711183711509?is_from_webapp=1&amp;sender_device=pc</v>
      </c>
      <c r="K384" s="278" t="str">
        <f>IFERROR(__xludf.DUMMYFUNCTION("""COMPUTED_VALUE"""),"https://www.tiktok.com/@ccandypermen/video/7642903942036262164?is_from_webapp=1&amp;sender_device=pc")</f>
        <v>https://www.tiktok.com/@ccandypermen/video/7642903942036262164?is_from_webapp=1&amp;sender_device=pc</v>
      </c>
      <c r="L384" s="262"/>
      <c r="M384" s="262"/>
    </row>
    <row r="385">
      <c r="A385" s="255" t="str">
        <f>IFERROR(__xludf.DUMMYFUNCTION("""COMPUTED_VALUE"""),"NANO")</f>
        <v>NANO</v>
      </c>
      <c r="B385" s="23" t="str">
        <f>IFERROR(__xludf.DUMMYFUNCTION("""COMPUTED_VALUE"""),"hananalghonni1")</f>
        <v>hananalghonni1</v>
      </c>
      <c r="C385" s="257" t="str">
        <f>IFERROR(__xludf.DUMMYFUNCTION("""COMPUTED_VALUE"""),"https://www.tiktok.com/@hananalghonni1")</f>
        <v>https://www.tiktok.com/@hananalghonni1</v>
      </c>
      <c r="D385" s="23">
        <f>IFERROR(__xludf.DUMMYFUNCTION("""COMPUTED_VALUE"""),8.5724306697E10)</f>
        <v>85724306697</v>
      </c>
      <c r="E385" s="457">
        <f>IFERROR(__xludf.DUMMYFUNCTION("""COMPUTED_VALUE"""),0.0)</f>
        <v>0</v>
      </c>
      <c r="F385" s="270">
        <f>IFERROR(__xludf.DUMMYFUNCTION("""COMPUTED_VALUE"""),4.0)</f>
        <v>4</v>
      </c>
      <c r="G385" s="17" t="str">
        <f>IFERROR(__xludf.DUMMYFUNCTION("""COMPUTED_VALUE"""),"Full Set")</f>
        <v>Full Set</v>
      </c>
      <c r="H385" s="17"/>
      <c r="I385" s="278" t="str">
        <f>IFERROR(__xludf.DUMMYFUNCTION("""COMPUTED_VALUE"""),"https://www.tiktok.com/@hananalghonni1/video/7641738022882643221?is_from_webapp=1&amp;sender_device=pc")</f>
        <v>https://www.tiktok.com/@hananalghonni1/video/7641738022882643221?is_from_webapp=1&amp;sender_device=pc</v>
      </c>
      <c r="J385" s="278" t="str">
        <f>IFERROR(__xludf.DUMMYFUNCTION("""COMPUTED_VALUE"""),"https://www.tiktok.com/@hananalghonni1/video/7642295551521738005?is_from_webapp=1&amp;sender_device=pc")</f>
        <v>https://www.tiktok.com/@hananalghonni1/video/7642295551521738005?is_from_webapp=1&amp;sender_device=pc</v>
      </c>
      <c r="K385" s="278" t="str">
        <f>IFERROR(__xludf.DUMMYFUNCTION("""COMPUTED_VALUE"""),"https://www.tiktok.com/@hananalghonni1/video/7642993262315310357?is_from_webapp=1&amp;sender_device=pc")</f>
        <v>https://www.tiktok.com/@hananalghonni1/video/7642993262315310357?is_from_webapp=1&amp;sender_device=pc</v>
      </c>
      <c r="L385" s="262"/>
      <c r="M385" s="262"/>
    </row>
    <row r="386">
      <c r="A386" s="255" t="str">
        <f>IFERROR(__xludf.DUMMYFUNCTION("""COMPUTED_VALUE"""),"NANO")</f>
        <v>NANO</v>
      </c>
      <c r="B386" s="23" t="str">
        <f>IFERROR(__xludf.DUMMYFUNCTION("""COMPUTED_VALUE"""),"nniar____")</f>
        <v>nniar____</v>
      </c>
      <c r="C386" s="257" t="str">
        <f>IFERROR(__xludf.DUMMYFUNCTION("""COMPUTED_VALUE"""),"https://www.tiktok.com/@nniar____")</f>
        <v>https://www.tiktok.com/@nniar____</v>
      </c>
      <c r="D386" s="23">
        <f>IFERROR(__xludf.DUMMYFUNCTION("""COMPUTED_VALUE"""),8.7856270754E10)</f>
        <v>87856270754</v>
      </c>
      <c r="E386" s="457">
        <f>IFERROR(__xludf.DUMMYFUNCTION("""COMPUTED_VALUE"""),0.0)</f>
        <v>0</v>
      </c>
      <c r="F386" s="270">
        <f>IFERROR(__xludf.DUMMYFUNCTION("""COMPUTED_VALUE"""),4.0)</f>
        <v>4</v>
      </c>
      <c r="G386" s="17" t="str">
        <f>IFERROR(__xludf.DUMMYFUNCTION("""COMPUTED_VALUE"""),"Full Set")</f>
        <v>Full Set</v>
      </c>
      <c r="H386" s="17"/>
      <c r="I386" s="262"/>
      <c r="J386" s="262"/>
      <c r="K386" s="262"/>
      <c r="L386" s="262"/>
      <c r="M386" s="262"/>
    </row>
    <row r="387">
      <c r="A387" s="255" t="str">
        <f>IFERROR(__xludf.DUMMYFUNCTION("""COMPUTED_VALUE"""),"NANO")</f>
        <v>NANO</v>
      </c>
      <c r="B387" s="23" t="str">
        <f>IFERROR(__xludf.DUMMYFUNCTION("""COMPUTED_VALUE"""),".anaaaaa6")</f>
        <v>.anaaaaa6</v>
      </c>
      <c r="C387" s="257" t="str">
        <f>IFERROR(__xludf.DUMMYFUNCTION("""COMPUTED_VALUE"""),"https://www.tiktok.com/@.anaaaaa6")</f>
        <v>https://www.tiktok.com/@.anaaaaa6</v>
      </c>
      <c r="D387" s="23">
        <f>IFERROR(__xludf.DUMMYFUNCTION("""COMPUTED_VALUE"""),8.7878279532E10)</f>
        <v>87878279532</v>
      </c>
      <c r="E387" s="457">
        <f>IFERROR(__xludf.DUMMYFUNCTION("""COMPUTED_VALUE"""),0.0)</f>
        <v>0</v>
      </c>
      <c r="F387" s="270">
        <f>IFERROR(__xludf.DUMMYFUNCTION("""COMPUTED_VALUE"""),4.0)</f>
        <v>4</v>
      </c>
      <c r="G387" s="17" t="str">
        <f>IFERROR(__xludf.DUMMYFUNCTION("""COMPUTED_VALUE"""),"Full Set")</f>
        <v>Full Set</v>
      </c>
      <c r="H387" s="17"/>
      <c r="I387" s="278" t="str">
        <f>IFERROR(__xludf.DUMMYFUNCTION("""COMPUTED_VALUE"""),"https://www.tiktok.com/@.anaaaaa6/video/7641434930710383879?is_from_webapp=1&amp;sender_device=pc")</f>
        <v>https://www.tiktok.com/@.anaaaaa6/video/7641434930710383879?is_from_webapp=1&amp;sender_device=pc</v>
      </c>
      <c r="J387" s="278" t="str">
        <f>IFERROR(__xludf.DUMMYFUNCTION("""COMPUTED_VALUE"""),"https://www.tiktok.com/@.anaaaaa6/video/7641933756617592082?is_from_webapp=1&amp;sender_device=pc")</f>
        <v>https://www.tiktok.com/@.anaaaaa6/video/7641933756617592082?is_from_webapp=1&amp;sender_device=pc</v>
      </c>
      <c r="K387" s="262"/>
      <c r="L387" s="262"/>
      <c r="M387" s="262"/>
    </row>
    <row r="388">
      <c r="A388" s="255" t="str">
        <f>IFERROR(__xludf.DUMMYFUNCTION("""COMPUTED_VALUE"""),"NANO")</f>
        <v>NANO</v>
      </c>
      <c r="B388" s="257" t="str">
        <f>IFERROR(__xludf.DUMMYFUNCTION("""COMPUTED_VALUE"""),"imaaa.mr")</f>
        <v>imaaa.mr</v>
      </c>
      <c r="C388" s="257" t="str">
        <f>IFERROR(__xludf.DUMMYFUNCTION("""COMPUTED_VALUE"""),"https://www.tiktok.com/@imaaa.mr")</f>
        <v>https://www.tiktok.com/@imaaa.mr</v>
      </c>
      <c r="D388" s="23">
        <f>IFERROR(__xludf.DUMMYFUNCTION("""COMPUTED_VALUE"""),8.5939649198E10)</f>
        <v>85939649198</v>
      </c>
      <c r="E388" s="457">
        <f>IFERROR(__xludf.DUMMYFUNCTION("""COMPUTED_VALUE"""),0.0)</f>
        <v>0</v>
      </c>
      <c r="F388" s="270">
        <f>IFERROR(__xludf.DUMMYFUNCTION("""COMPUTED_VALUE"""),4.0)</f>
        <v>4</v>
      </c>
      <c r="G388" s="17" t="str">
        <f>IFERROR(__xludf.DUMMYFUNCTION("""COMPUTED_VALUE"""),"Full Set")</f>
        <v>Full Set</v>
      </c>
      <c r="H388" s="17"/>
      <c r="I388" s="278" t="str">
        <f>IFERROR(__xludf.DUMMYFUNCTION("""COMPUTED_VALUE"""),"https://www.tiktok.com/@imaaa.mr/video/7641849803910991112?is_from_webapp=1&amp;sender_device=pc")</f>
        <v>https://www.tiktok.com/@imaaa.mr/video/7641849803910991112?is_from_webapp=1&amp;sender_device=pc</v>
      </c>
      <c r="J388" s="278" t="str">
        <f>IFERROR(__xludf.DUMMYFUNCTION("""COMPUTED_VALUE"""),"https://www.tiktok.com/@imaaa.mr/video/7642220866469842194?is_from_webapp=1&amp;sender_device=pc")</f>
        <v>https://www.tiktok.com/@imaaa.mr/video/7642220866469842194?is_from_webapp=1&amp;sender_device=pc</v>
      </c>
      <c r="K388" s="278" t="str">
        <f>IFERROR(__xludf.DUMMYFUNCTION("""COMPUTED_VALUE"""),"https://www.tiktok.com/@imaaa.mr/video/7642591988138790162?is_from_webapp=1&amp;sender_device=pc")</f>
        <v>https://www.tiktok.com/@imaaa.mr/video/7642591988138790162?is_from_webapp=1&amp;sender_device=pc</v>
      </c>
      <c r="L388" s="262"/>
      <c r="M388" s="262"/>
    </row>
    <row r="389">
      <c r="A389" s="255" t="str">
        <f>IFERROR(__xludf.DUMMYFUNCTION("""COMPUTED_VALUE"""),"NANO")</f>
        <v>NANO</v>
      </c>
      <c r="B389" s="23" t="str">
        <f>IFERROR(__xludf.DUMMYFUNCTION("""COMPUTED_VALUE"""),"cappyysa")</f>
        <v>cappyysa</v>
      </c>
      <c r="C389" s="257" t="str">
        <f>IFERROR(__xludf.DUMMYFUNCTION("""COMPUTED_VALUE"""),"https://www.tiktok.com/@cappyysa")</f>
        <v>https://www.tiktok.com/@cappyysa</v>
      </c>
      <c r="D389" s="23">
        <f>IFERROR(__xludf.DUMMYFUNCTION("""COMPUTED_VALUE"""),8.3822532388E10)</f>
        <v>83822532388</v>
      </c>
      <c r="E389" s="457">
        <f>IFERROR(__xludf.DUMMYFUNCTION("""COMPUTED_VALUE"""),0.0)</f>
        <v>0</v>
      </c>
      <c r="F389" s="270">
        <f>IFERROR(__xludf.DUMMYFUNCTION("""COMPUTED_VALUE"""),4.0)</f>
        <v>4</v>
      </c>
      <c r="G389" s="17" t="str">
        <f>IFERROR(__xludf.DUMMYFUNCTION("""COMPUTED_VALUE"""),"Full Set")</f>
        <v>Full Set</v>
      </c>
      <c r="H389" s="17"/>
      <c r="I389" s="262"/>
      <c r="J389" s="262"/>
      <c r="K389" s="262"/>
      <c r="L389" s="262"/>
      <c r="M389" s="262"/>
    </row>
    <row r="390">
      <c r="A390" s="255" t="str">
        <f>IFERROR(__xludf.DUMMYFUNCTION("""COMPUTED_VALUE"""),"NANO")</f>
        <v>NANO</v>
      </c>
      <c r="B390" s="23" t="str">
        <f>IFERROR(__xludf.DUMMYFUNCTION("""COMPUTED_VALUE"""),"xx.lissvy")</f>
        <v>xx.lissvy</v>
      </c>
      <c r="C390" s="257" t="str">
        <f>IFERROR(__xludf.DUMMYFUNCTION("""COMPUTED_VALUE"""),"https://www.tiktok.com/@xx.lissvy")</f>
        <v>https://www.tiktok.com/@xx.lissvy</v>
      </c>
      <c r="D390" s="23">
        <f>IFERROR(__xludf.DUMMYFUNCTION("""COMPUTED_VALUE"""),8.1338854727E10)</f>
        <v>81338854727</v>
      </c>
      <c r="E390" s="457">
        <f>IFERROR(__xludf.DUMMYFUNCTION("""COMPUTED_VALUE"""),0.0)</f>
        <v>0</v>
      </c>
      <c r="F390" s="270">
        <f>IFERROR(__xludf.DUMMYFUNCTION("""COMPUTED_VALUE"""),4.0)</f>
        <v>4</v>
      </c>
      <c r="G390" s="17" t="str">
        <f>IFERROR(__xludf.DUMMYFUNCTION("""COMPUTED_VALUE"""),"Full Set")</f>
        <v>Full Set</v>
      </c>
      <c r="H390" s="17"/>
      <c r="I390" s="262"/>
      <c r="J390" s="262"/>
      <c r="K390" s="262"/>
      <c r="L390" s="262"/>
      <c r="M390" s="262"/>
    </row>
    <row r="391">
      <c r="A391" s="255" t="str">
        <f>IFERROR(__xludf.DUMMYFUNCTION("""COMPUTED_VALUE"""),"NANO")</f>
        <v>NANO</v>
      </c>
      <c r="B391" s="23" t="str">
        <f>IFERROR(__xludf.DUMMYFUNCTION("""COMPUTED_VALUE"""),"Dailyliyaa ")</f>
        <v>Dailyliyaa </v>
      </c>
      <c r="C391" s="257" t="str">
        <f>IFERROR(__xludf.DUMMYFUNCTION("""COMPUTED_VALUE"""),"https://www.tiktok.com/@Dailyliyaa ")</f>
        <v>https://www.tiktok.com/@Dailyliyaa </v>
      </c>
      <c r="D391" s="23">
        <f>IFERROR(__xludf.DUMMYFUNCTION("""COMPUTED_VALUE"""),8.8989500083E10)</f>
        <v>88989500083</v>
      </c>
      <c r="E391" s="457">
        <f>IFERROR(__xludf.DUMMYFUNCTION("""COMPUTED_VALUE"""),0.0)</f>
        <v>0</v>
      </c>
      <c r="F391" s="270">
        <f>IFERROR(__xludf.DUMMYFUNCTION("""COMPUTED_VALUE"""),4.0)</f>
        <v>4</v>
      </c>
      <c r="G391" s="17" t="str">
        <f>IFERROR(__xludf.DUMMYFUNCTION("""COMPUTED_VALUE"""),"Full Set")</f>
        <v>Full Set</v>
      </c>
      <c r="H391" s="17"/>
      <c r="I391" s="262"/>
      <c r="J391" s="262"/>
      <c r="K391" s="262"/>
      <c r="L391" s="262"/>
      <c r="M391" s="262"/>
    </row>
    <row r="392">
      <c r="A392" s="255" t="str">
        <f>IFERROR(__xludf.DUMMYFUNCTION("""COMPUTED_VALUE"""),"NANO")</f>
        <v>NANO</v>
      </c>
      <c r="B392" s="23" t="str">
        <f>IFERROR(__xludf.DUMMYFUNCTION("""COMPUTED_VALUE"""),"Beautyoftanti")</f>
        <v>Beautyoftanti</v>
      </c>
      <c r="C392" s="257" t="str">
        <f>IFERROR(__xludf.DUMMYFUNCTION("""COMPUTED_VALUE"""),"https://www.tiktok.com/@Beautyoftanti")</f>
        <v>https://www.tiktok.com/@Beautyoftanti</v>
      </c>
      <c r="D392" s="23">
        <f>IFERROR(__xludf.DUMMYFUNCTION("""COMPUTED_VALUE"""),8.5217700635E10)</f>
        <v>85217700635</v>
      </c>
      <c r="E392" s="457">
        <f>IFERROR(__xludf.DUMMYFUNCTION("""COMPUTED_VALUE"""),0.0)</f>
        <v>0</v>
      </c>
      <c r="F392" s="270">
        <f>IFERROR(__xludf.DUMMYFUNCTION("""COMPUTED_VALUE"""),4.0)</f>
        <v>4</v>
      </c>
      <c r="G392" s="17" t="str">
        <f>IFERROR(__xludf.DUMMYFUNCTION("""COMPUTED_VALUE"""),"Full Set")</f>
        <v>Full Set</v>
      </c>
      <c r="H392" s="17"/>
      <c r="I392" s="262"/>
      <c r="J392" s="262"/>
      <c r="K392" s="262"/>
      <c r="L392" s="262"/>
      <c r="M392" s="262"/>
    </row>
    <row r="393">
      <c r="A393" s="255" t="str">
        <f>IFERROR(__xludf.DUMMYFUNCTION("""COMPUTED_VALUE"""),"NANO")</f>
        <v>NANO</v>
      </c>
      <c r="B393" s="23" t="str">
        <f>IFERROR(__xludf.DUMMYFUNCTION("""COMPUTED_VALUE"""),"maumau_m3")</f>
        <v>maumau_m3</v>
      </c>
      <c r="C393" s="257" t="str">
        <f>IFERROR(__xludf.DUMMYFUNCTION("""COMPUTED_VALUE"""),"https://www.tiktok.com/@maumau_m3")</f>
        <v>https://www.tiktok.com/@maumau_m3</v>
      </c>
      <c r="D393" s="23">
        <f>IFERROR(__xludf.DUMMYFUNCTION("""COMPUTED_VALUE"""),8.5335174309E10)</f>
        <v>85335174309</v>
      </c>
      <c r="E393" s="457">
        <f>IFERROR(__xludf.DUMMYFUNCTION("""COMPUTED_VALUE"""),0.0)</f>
        <v>0</v>
      </c>
      <c r="F393" s="270">
        <f>IFERROR(__xludf.DUMMYFUNCTION("""COMPUTED_VALUE"""),4.0)</f>
        <v>4</v>
      </c>
      <c r="G393" s="17" t="str">
        <f>IFERROR(__xludf.DUMMYFUNCTION("""COMPUTED_VALUE"""),"Full Set")</f>
        <v>Full Set</v>
      </c>
      <c r="H393" s="17"/>
      <c r="I393" s="278" t="str">
        <f>IFERROR(__xludf.DUMMYFUNCTION("""COMPUTED_VALUE"""),"https://www.tiktok.com/@maumau_m3/video/7644058414770851080?is_from_webapp=1&amp;sender_device=pc")</f>
        <v>https://www.tiktok.com/@maumau_m3/video/7644058414770851080?is_from_webapp=1&amp;sender_device=pc</v>
      </c>
      <c r="J393" s="262"/>
      <c r="K393" s="262"/>
      <c r="L393" s="262"/>
      <c r="M393" s="262"/>
    </row>
    <row r="394">
      <c r="A394" s="255" t="str">
        <f>IFERROR(__xludf.DUMMYFUNCTION("""COMPUTED_VALUE"""),"NANO")</f>
        <v>NANO</v>
      </c>
      <c r="B394" s="23" t="str">
        <f>IFERROR(__xludf.DUMMYFUNCTION("""COMPUTED_VALUE"""),"trisaarani")</f>
        <v>trisaarani</v>
      </c>
      <c r="C394" s="257" t="str">
        <f>IFERROR(__xludf.DUMMYFUNCTION("""COMPUTED_VALUE"""),"https://www.tiktok.com/@trisaarani")</f>
        <v>https://www.tiktok.com/@trisaarani</v>
      </c>
      <c r="D394" s="23">
        <f>IFERROR(__xludf.DUMMYFUNCTION("""COMPUTED_VALUE"""),8.313017011E10)</f>
        <v>83130170110</v>
      </c>
      <c r="E394" s="457">
        <f>IFERROR(__xludf.DUMMYFUNCTION("""COMPUTED_VALUE"""),0.0)</f>
        <v>0</v>
      </c>
      <c r="F394" s="270">
        <f>IFERROR(__xludf.DUMMYFUNCTION("""COMPUTED_VALUE"""),4.0)</f>
        <v>4</v>
      </c>
      <c r="G394" s="17" t="str">
        <f>IFERROR(__xludf.DUMMYFUNCTION("""COMPUTED_VALUE"""),"Full Set")</f>
        <v>Full Set</v>
      </c>
      <c r="H394" s="17"/>
      <c r="I394" s="262"/>
      <c r="J394" s="262"/>
      <c r="K394" s="262"/>
      <c r="L394" s="262"/>
      <c r="M394" s="262"/>
    </row>
    <row r="395">
      <c r="A395" s="255" t="str">
        <f>IFERROR(__xludf.DUMMYFUNCTION("""COMPUTED_VALUE"""),"NANO")</f>
        <v>NANO</v>
      </c>
      <c r="B395" s="23" t="str">
        <f>IFERROR(__xludf.DUMMYFUNCTION("""COMPUTED_VALUE"""),"meyjayanti3 ")</f>
        <v>meyjayanti3 </v>
      </c>
      <c r="C395" s="257" t="str">
        <f>IFERROR(__xludf.DUMMYFUNCTION("""COMPUTED_VALUE"""),"https://www.tiktok.com/@meyjayanti3 ")</f>
        <v>https://www.tiktok.com/@meyjayanti3 </v>
      </c>
      <c r="D395" s="23">
        <f>IFERROR(__xludf.DUMMYFUNCTION("""COMPUTED_VALUE"""),8.1234629536E10)</f>
        <v>81234629536</v>
      </c>
      <c r="E395" s="457">
        <f>IFERROR(__xludf.DUMMYFUNCTION("""COMPUTED_VALUE"""),0.0)</f>
        <v>0</v>
      </c>
      <c r="F395" s="270">
        <f>IFERROR(__xludf.DUMMYFUNCTION("""COMPUTED_VALUE"""),4.0)</f>
        <v>4</v>
      </c>
      <c r="G395" s="17" t="str">
        <f>IFERROR(__xludf.DUMMYFUNCTION("""COMPUTED_VALUE"""),"Full Set")</f>
        <v>Full Set</v>
      </c>
      <c r="H395" s="17"/>
      <c r="I395" s="278" t="str">
        <f>IFERROR(__xludf.DUMMYFUNCTION("""COMPUTED_VALUE"""),"https://www.tiktok.com/@meyjayanti3/video/7641648858308644117?is_from_webapp=1&amp;sender_device=pc")</f>
        <v>https://www.tiktok.com/@meyjayanti3/video/7641648858308644117?is_from_webapp=1&amp;sender_device=pc</v>
      </c>
      <c r="J395" s="278" t="str">
        <f>IFERROR(__xludf.DUMMYFUNCTION("""COMPUTED_VALUE"""),"https://www.tiktok.com/@meyjayanti3/video/7643448901130898708?is_from_webapp=1&amp;sender_device=pc")</f>
        <v>https://www.tiktok.com/@meyjayanti3/video/7643448901130898708?is_from_webapp=1&amp;sender_device=pc</v>
      </c>
      <c r="K395" s="262"/>
      <c r="L395" s="262"/>
      <c r="M395" s="262"/>
    </row>
    <row r="396">
      <c r="A396" s="255" t="str">
        <f>IFERROR(__xludf.DUMMYFUNCTION("""COMPUTED_VALUE"""),"NANO")</f>
        <v>NANO</v>
      </c>
      <c r="B396" s="23" t="str">
        <f>IFERROR(__xludf.DUMMYFUNCTION("""COMPUTED_VALUE"""),"Dwk0612")</f>
        <v>Dwk0612</v>
      </c>
      <c r="C396" s="257" t="str">
        <f>IFERROR(__xludf.DUMMYFUNCTION("""COMPUTED_VALUE"""),"https://www.tiktok.com/@Dwk0612")</f>
        <v>https://www.tiktok.com/@Dwk0612</v>
      </c>
      <c r="D396" s="23">
        <f>IFERROR(__xludf.DUMMYFUNCTION("""COMPUTED_VALUE"""),8.789244642E10)</f>
        <v>87892446420</v>
      </c>
      <c r="E396" s="457">
        <f>IFERROR(__xludf.DUMMYFUNCTION("""COMPUTED_VALUE"""),0.0)</f>
        <v>0</v>
      </c>
      <c r="F396" s="270">
        <f>IFERROR(__xludf.DUMMYFUNCTION("""COMPUTED_VALUE"""),4.0)</f>
        <v>4</v>
      </c>
      <c r="G396" s="17" t="str">
        <f>IFERROR(__xludf.DUMMYFUNCTION("""COMPUTED_VALUE"""),"Full Set")</f>
        <v>Full Set</v>
      </c>
      <c r="H396" s="17"/>
      <c r="I396" s="262"/>
      <c r="J396" s="262"/>
      <c r="K396" s="262"/>
      <c r="L396" s="262"/>
      <c r="M396" s="262"/>
    </row>
    <row r="397">
      <c r="A397" s="255" t="str">
        <f>IFERROR(__xludf.DUMMYFUNCTION("""COMPUTED_VALUE"""),"NANO")</f>
        <v>NANO</v>
      </c>
      <c r="B397" s="23" t="str">
        <f>IFERROR(__xludf.DUMMYFUNCTION("""COMPUTED_VALUE"""),"ffia22")</f>
        <v>ffia22</v>
      </c>
      <c r="C397" s="257" t="str">
        <f>IFERROR(__xludf.DUMMYFUNCTION("""COMPUTED_VALUE"""),"https://www.tiktok.com/@ffia22")</f>
        <v>https://www.tiktok.com/@ffia22</v>
      </c>
      <c r="D397" s="23">
        <f>IFERROR(__xludf.DUMMYFUNCTION("""COMPUTED_VALUE"""),8.9542912984E11)</f>
        <v>895429129840</v>
      </c>
      <c r="E397" s="457">
        <f>IFERROR(__xludf.DUMMYFUNCTION("""COMPUTED_VALUE"""),0.0)</f>
        <v>0</v>
      </c>
      <c r="F397" s="270">
        <f>IFERROR(__xludf.DUMMYFUNCTION("""COMPUTED_VALUE"""),4.0)</f>
        <v>4</v>
      </c>
      <c r="G397" s="17" t="str">
        <f>IFERROR(__xludf.DUMMYFUNCTION("""COMPUTED_VALUE"""),"Full Set")</f>
        <v>Full Set</v>
      </c>
      <c r="H397" s="17"/>
      <c r="I397" s="278" t="str">
        <f>IFERROR(__xludf.DUMMYFUNCTION("""COMPUTED_VALUE"""),"https://www.tiktok.com/@ffia22/video/7643060417010420999?is_from_webapp=1&amp;sender_device=pc")</f>
        <v>https://www.tiktok.com/@ffia22/video/7643060417010420999?is_from_webapp=1&amp;sender_device=pc</v>
      </c>
      <c r="J397" s="262"/>
      <c r="K397" s="262"/>
      <c r="L397" s="262"/>
      <c r="M397" s="262"/>
    </row>
    <row r="398">
      <c r="A398" s="255" t="str">
        <f>IFERROR(__xludf.DUMMYFUNCTION("""COMPUTED_VALUE"""),"NANO")</f>
        <v>NANO</v>
      </c>
      <c r="B398" s="23" t="str">
        <f>IFERROR(__xludf.DUMMYFUNCTION("""COMPUTED_VALUE"""),"llffaaaa")</f>
        <v>llffaaaa</v>
      </c>
      <c r="C398" s="257" t="str">
        <f>IFERROR(__xludf.DUMMYFUNCTION("""COMPUTED_VALUE"""),"https://www.tiktok.com/@llffaaaa")</f>
        <v>https://www.tiktok.com/@llffaaaa</v>
      </c>
      <c r="D398" s="23">
        <f>IFERROR(__xludf.DUMMYFUNCTION("""COMPUTED_VALUE"""),8.5921359744E10)</f>
        <v>85921359744</v>
      </c>
      <c r="E398" s="457">
        <f>IFERROR(__xludf.DUMMYFUNCTION("""COMPUTED_VALUE"""),0.0)</f>
        <v>0</v>
      </c>
      <c r="F398" s="270">
        <f>IFERROR(__xludf.DUMMYFUNCTION("""COMPUTED_VALUE"""),4.0)</f>
        <v>4</v>
      </c>
      <c r="G398" s="17" t="str">
        <f>IFERROR(__xludf.DUMMYFUNCTION("""COMPUTED_VALUE"""),"Full Set")</f>
        <v>Full Set</v>
      </c>
      <c r="H398" s="17"/>
      <c r="I398" s="278" t="str">
        <f>IFERROR(__xludf.DUMMYFUNCTION("""COMPUTED_VALUE"""),"https://www.tiktok.com/@llffaaaa/video/7641864288566594836?is_from_webapp=1&amp;sender_device=pc")</f>
        <v>https://www.tiktok.com/@llffaaaa/video/7641864288566594836?is_from_webapp=1&amp;sender_device=pc</v>
      </c>
      <c r="J398" s="278" t="str">
        <f>IFERROR(__xludf.DUMMYFUNCTION("""COMPUTED_VALUE"""),"https://www.tiktok.com/@llffaaaa/video/7642623693348211989?is_from_webapp=1&amp;sender_device=pc")</f>
        <v>https://www.tiktok.com/@llffaaaa/video/7642623693348211989?is_from_webapp=1&amp;sender_device=pc</v>
      </c>
      <c r="K398" s="262"/>
      <c r="L398" s="262"/>
      <c r="M398" s="262"/>
    </row>
    <row r="399">
      <c r="A399" s="255" t="str">
        <f>IFERROR(__xludf.DUMMYFUNCTION("""COMPUTED_VALUE"""),"NANO")</f>
        <v>NANO</v>
      </c>
      <c r="B399" s="23" t="str">
        <f>IFERROR(__xludf.DUMMYFUNCTION("""COMPUTED_VALUE"""),"naaa_ina09")</f>
        <v>naaa_ina09</v>
      </c>
      <c r="C399" s="257" t="str">
        <f>IFERROR(__xludf.DUMMYFUNCTION("""COMPUTED_VALUE"""),"https://www.tiktok.com/@naaa_ina09")</f>
        <v>https://www.tiktok.com/@naaa_ina09</v>
      </c>
      <c r="D399" s="23">
        <f>IFERROR(__xludf.DUMMYFUNCTION("""COMPUTED_VALUE"""),8.5606387315E10)</f>
        <v>85606387315</v>
      </c>
      <c r="E399" s="457">
        <f>IFERROR(__xludf.DUMMYFUNCTION("""COMPUTED_VALUE"""),0.0)</f>
        <v>0</v>
      </c>
      <c r="F399" s="270">
        <f>IFERROR(__xludf.DUMMYFUNCTION("""COMPUTED_VALUE"""),4.0)</f>
        <v>4</v>
      </c>
      <c r="G399" s="17" t="str">
        <f>IFERROR(__xludf.DUMMYFUNCTION("""COMPUTED_VALUE"""),"Full Set")</f>
        <v>Full Set</v>
      </c>
      <c r="H399" s="17"/>
      <c r="I399" s="278" t="str">
        <f>IFERROR(__xludf.DUMMYFUNCTION("""COMPUTED_VALUE"""),"https://www.tiktok.com/@naaa_ina09/video/7641028418569506066?is_from_webapp=1&amp;sender_device=pc")</f>
        <v>https://www.tiktok.com/@naaa_ina09/video/7641028418569506066?is_from_webapp=1&amp;sender_device=pc</v>
      </c>
      <c r="J399" s="278" t="str">
        <f>IFERROR(__xludf.DUMMYFUNCTION("""COMPUTED_VALUE"""),"https://www.tiktok.com/@naaa_ina09/video/7641908161896549639?is_from_webapp=1&amp;sender_device=pc")</f>
        <v>https://www.tiktok.com/@naaa_ina09/video/7641908161896549639?is_from_webapp=1&amp;sender_device=pc</v>
      </c>
      <c r="K399" s="278" t="str">
        <f>IFERROR(__xludf.DUMMYFUNCTION("""COMPUTED_VALUE"""),"https://www.tiktok.com/@naaa_ina09/video/7642480586342354183?is_from_webapp=1&amp;sender_device=pc")</f>
        <v>https://www.tiktok.com/@naaa_ina09/video/7642480586342354183?is_from_webapp=1&amp;sender_device=pc</v>
      </c>
      <c r="L399" s="278" t="str">
        <f>IFERROR(__xludf.DUMMYFUNCTION("""COMPUTED_VALUE"""),"https://www.tiktok.com/@naaa_ina09/video/7642696557434785042?is_from_webapp=1&amp;sender_device=pc")</f>
        <v>https://www.tiktok.com/@naaa_ina09/video/7642696557434785042?is_from_webapp=1&amp;sender_device=pc</v>
      </c>
      <c r="M399" s="262"/>
    </row>
    <row r="400">
      <c r="A400" s="255" t="str">
        <f>IFERROR(__xludf.DUMMYFUNCTION("""COMPUTED_VALUE"""),"NANO")</f>
        <v>NANO</v>
      </c>
      <c r="B400" s="23" t="str">
        <f>IFERROR(__xludf.DUMMYFUNCTION("""COMPUTED_VALUE"""),"Myskincurity")</f>
        <v>Myskincurity</v>
      </c>
      <c r="C400" s="257" t="str">
        <f>IFERROR(__xludf.DUMMYFUNCTION("""COMPUTED_VALUE"""),"https://www.tiktok.com/@Myskincurity")</f>
        <v>https://www.tiktok.com/@Myskincurity</v>
      </c>
      <c r="D400" s="23">
        <f>IFERROR(__xludf.DUMMYFUNCTION("""COMPUTED_VALUE"""),8.5640730467E10)</f>
        <v>85640730467</v>
      </c>
      <c r="E400" s="457">
        <f>IFERROR(__xludf.DUMMYFUNCTION("""COMPUTED_VALUE"""),0.0)</f>
        <v>0</v>
      </c>
      <c r="F400" s="270">
        <f>IFERROR(__xludf.DUMMYFUNCTION("""COMPUTED_VALUE"""),4.0)</f>
        <v>4</v>
      </c>
      <c r="G400" s="17" t="str">
        <f>IFERROR(__xludf.DUMMYFUNCTION("""COMPUTED_VALUE"""),"Full Set")</f>
        <v>Full Set</v>
      </c>
      <c r="H400" s="17"/>
      <c r="I400" s="262"/>
      <c r="J400" s="262"/>
      <c r="K400" s="262"/>
      <c r="L400" s="262"/>
      <c r="M400" s="262"/>
    </row>
    <row r="401">
      <c r="A401" s="255" t="str">
        <f>IFERROR(__xludf.DUMMYFUNCTION("""COMPUTED_VALUE"""),"MICRO")</f>
        <v>MICRO</v>
      </c>
      <c r="B401" s="23" t="str">
        <f>IFERROR(__xludf.DUMMYFUNCTION("""COMPUTED_VALUE"""),"anitanovita2")</f>
        <v>anitanovita2</v>
      </c>
      <c r="C401" s="257" t="str">
        <f>IFERROR(__xludf.DUMMYFUNCTION("""COMPUTED_VALUE"""),"https://www.tiktok.com/@anitanovita2")</f>
        <v>https://www.tiktok.com/@anitanovita2</v>
      </c>
      <c r="D401" s="23">
        <f>IFERROR(__xludf.DUMMYFUNCTION("""COMPUTED_VALUE"""),8.1220349495E10)</f>
        <v>81220349495</v>
      </c>
      <c r="E401" s="457">
        <f>IFERROR(__xludf.DUMMYFUNCTION("""COMPUTED_VALUE"""),0.0)</f>
        <v>0</v>
      </c>
      <c r="F401" s="270">
        <f>IFERROR(__xludf.DUMMYFUNCTION("""COMPUTED_VALUE"""),4.0)</f>
        <v>4</v>
      </c>
      <c r="G401" s="17" t="str">
        <f>IFERROR(__xludf.DUMMYFUNCTION("""COMPUTED_VALUE"""),"Full Set")</f>
        <v>Full Set</v>
      </c>
      <c r="H401" s="17"/>
      <c r="I401" s="262"/>
      <c r="J401" s="262"/>
      <c r="K401" s="262"/>
      <c r="L401" s="262"/>
      <c r="M401" s="262"/>
    </row>
    <row r="402">
      <c r="A402" s="255" t="str">
        <f>IFERROR(__xludf.DUMMYFUNCTION("""COMPUTED_VALUE"""),"MICRO")</f>
        <v>MICRO</v>
      </c>
      <c r="B402" s="23" t="str">
        <f>IFERROR(__xludf.DUMMYFUNCTION("""COMPUTED_VALUE"""),"asti94_08")</f>
        <v>asti94_08</v>
      </c>
      <c r="C402" s="257" t="str">
        <f>IFERROR(__xludf.DUMMYFUNCTION("""COMPUTED_VALUE"""),"https://www.tiktok.com/@asti94_08")</f>
        <v>https://www.tiktok.com/@asti94_08</v>
      </c>
      <c r="D402" s="23">
        <f>IFERROR(__xludf.DUMMYFUNCTION("""COMPUTED_VALUE"""),8.3119883989E10)</f>
        <v>83119883989</v>
      </c>
      <c r="E402" s="457">
        <f>IFERROR(__xludf.DUMMYFUNCTION("""COMPUTED_VALUE"""),0.0)</f>
        <v>0</v>
      </c>
      <c r="F402" s="270">
        <f>IFERROR(__xludf.DUMMYFUNCTION("""COMPUTED_VALUE"""),4.0)</f>
        <v>4</v>
      </c>
      <c r="G402" s="17" t="str">
        <f>IFERROR(__xludf.DUMMYFUNCTION("""COMPUTED_VALUE"""),"Full Set")</f>
        <v>Full Set</v>
      </c>
      <c r="H402" s="17"/>
      <c r="I402" s="262"/>
      <c r="J402" s="262"/>
      <c r="K402" s="262"/>
      <c r="L402" s="262"/>
      <c r="M402" s="262"/>
    </row>
    <row r="403">
      <c r="A403" s="255" t="str">
        <f>IFERROR(__xludf.DUMMYFUNCTION("""COMPUTED_VALUE"""),"MICRO")</f>
        <v>MICRO</v>
      </c>
      <c r="B403" s="23" t="str">
        <f>IFERROR(__xludf.DUMMYFUNCTION("""COMPUTED_VALUE"""),"zelovelin")</f>
        <v>zelovelin</v>
      </c>
      <c r="C403" s="257" t="str">
        <f>IFERROR(__xludf.DUMMYFUNCTION("""COMPUTED_VALUE"""),"https://www.tiktok.com/@zelovelin")</f>
        <v>https://www.tiktok.com/@zelovelin</v>
      </c>
      <c r="D403" s="23">
        <f>IFERROR(__xludf.DUMMYFUNCTION("""COMPUTED_VALUE"""),8.1937122001E10)</f>
        <v>81937122001</v>
      </c>
      <c r="E403" s="457">
        <f>IFERROR(__xludf.DUMMYFUNCTION("""COMPUTED_VALUE"""),0.0)</f>
        <v>0</v>
      </c>
      <c r="F403" s="270">
        <f>IFERROR(__xludf.DUMMYFUNCTION("""COMPUTED_VALUE"""),4.0)</f>
        <v>4</v>
      </c>
      <c r="G403" s="17" t="str">
        <f>IFERROR(__xludf.DUMMYFUNCTION("""COMPUTED_VALUE"""),"Full Set")</f>
        <v>Full Set</v>
      </c>
      <c r="H403" s="17"/>
      <c r="I403" s="262"/>
      <c r="J403" s="262"/>
      <c r="K403" s="262"/>
      <c r="L403" s="262"/>
      <c r="M403" s="262"/>
    </row>
    <row r="404">
      <c r="A404" s="255" t="str">
        <f>IFERROR(__xludf.DUMMYFUNCTION("""COMPUTED_VALUE"""),"NANO")</f>
        <v>NANO</v>
      </c>
      <c r="B404" s="23" t="str">
        <f>IFERROR(__xludf.DUMMYFUNCTION("""COMPUTED_VALUE"""),"wulan_uwu")</f>
        <v>wulan_uwu</v>
      </c>
      <c r="C404" s="257" t="str">
        <f>IFERROR(__xludf.DUMMYFUNCTION("""COMPUTED_VALUE"""),"https://www.tiktok.com/@wulan_uwu")</f>
        <v>https://www.tiktok.com/@wulan_uwu</v>
      </c>
      <c r="D404" s="23">
        <f>IFERROR(__xludf.DUMMYFUNCTION("""COMPUTED_VALUE"""),8.82005258689E11)</f>
        <v>882005258689</v>
      </c>
      <c r="E404" s="457">
        <f>IFERROR(__xludf.DUMMYFUNCTION("""COMPUTED_VALUE"""),0.0)</f>
        <v>0</v>
      </c>
      <c r="F404" s="270">
        <f>IFERROR(__xludf.DUMMYFUNCTION("""COMPUTED_VALUE"""),3.0)</f>
        <v>3</v>
      </c>
      <c r="G404" s="17" t="str">
        <f>IFERROR(__xludf.DUMMYFUNCTION("""COMPUTED_VALUE"""),"Full Set")</f>
        <v>Full Set</v>
      </c>
      <c r="H404" s="17"/>
      <c r="I404" s="262"/>
      <c r="J404" s="262"/>
      <c r="K404" s="262"/>
      <c r="L404" s="262"/>
      <c r="M404" s="262"/>
    </row>
    <row r="405">
      <c r="A405" s="255" t="str">
        <f>IFERROR(__xludf.DUMMYFUNCTION("""COMPUTED_VALUE"""),"NANO")</f>
        <v>NANO</v>
      </c>
      <c r="B405" s="23" t="str">
        <f>IFERROR(__xludf.DUMMYFUNCTION("""COMPUTED_VALUE"""),"serbaserbishp")</f>
        <v>serbaserbishp</v>
      </c>
      <c r="C405" s="257" t="str">
        <f>IFERROR(__xludf.DUMMYFUNCTION("""COMPUTED_VALUE"""),"https://www.tiktok.com/@serbaserbishp")</f>
        <v>https://www.tiktok.com/@serbaserbishp</v>
      </c>
      <c r="D405" s="23">
        <f>IFERROR(__xludf.DUMMYFUNCTION("""COMPUTED_VALUE"""),8.1285447558E10)</f>
        <v>81285447558</v>
      </c>
      <c r="E405" s="457">
        <f>IFERROR(__xludf.DUMMYFUNCTION("""COMPUTED_VALUE"""),0.0)</f>
        <v>0</v>
      </c>
      <c r="F405" s="270">
        <f>IFERROR(__xludf.DUMMYFUNCTION("""COMPUTED_VALUE"""),4.0)</f>
        <v>4</v>
      </c>
      <c r="G405" s="17" t="str">
        <f>IFERROR(__xludf.DUMMYFUNCTION("""COMPUTED_VALUE"""),"Full Set")</f>
        <v>Full Set</v>
      </c>
      <c r="H405" s="17"/>
      <c r="I405" s="262"/>
      <c r="J405" s="262"/>
      <c r="K405" s="262"/>
      <c r="L405" s="262"/>
      <c r="M405" s="262"/>
    </row>
    <row r="406">
      <c r="A406" s="255" t="str">
        <f>IFERROR(__xludf.DUMMYFUNCTION("""COMPUTED_VALUE"""),"NANO")</f>
        <v>NANO</v>
      </c>
      <c r="B406" s="23" t="str">
        <f>IFERROR(__xludf.DUMMYFUNCTION("""COMPUTED_VALUE"""),"yourpinkys")</f>
        <v>yourpinkys</v>
      </c>
      <c r="C406" s="257" t="str">
        <f>IFERROR(__xludf.DUMMYFUNCTION("""COMPUTED_VALUE"""),"https://www.tiktok.com/@yourpinkys")</f>
        <v>https://www.tiktok.com/@yourpinkys</v>
      </c>
      <c r="D406" s="23">
        <f>IFERROR(__xludf.DUMMYFUNCTION("""COMPUTED_VALUE"""),8.5718885606E10)</f>
        <v>85718885606</v>
      </c>
      <c r="E406" s="457">
        <f>IFERROR(__xludf.DUMMYFUNCTION("""COMPUTED_VALUE"""),0.0)</f>
        <v>0</v>
      </c>
      <c r="F406" s="270">
        <f>IFERROR(__xludf.DUMMYFUNCTION("""COMPUTED_VALUE"""),3.0)</f>
        <v>3</v>
      </c>
      <c r="G406" s="17" t="str">
        <f>IFERROR(__xludf.DUMMYFUNCTION("""COMPUTED_VALUE"""),"Full Set")</f>
        <v>Full Set</v>
      </c>
      <c r="H406" s="17"/>
      <c r="I406" s="262"/>
      <c r="J406" s="262"/>
      <c r="K406" s="262"/>
      <c r="L406" s="262"/>
      <c r="M406" s="262"/>
    </row>
    <row r="407">
      <c r="A407" s="255" t="str">
        <f>IFERROR(__xludf.DUMMYFUNCTION("""COMPUTED_VALUE"""),"NANO")</f>
        <v>NANO</v>
      </c>
      <c r="B407" s="23" t="str">
        <f>IFERROR(__xludf.DUMMYFUNCTION("""COMPUTED_VALUE"""),"floraluxe.lmj")</f>
        <v>floraluxe.lmj</v>
      </c>
      <c r="C407" s="257" t="str">
        <f>IFERROR(__xludf.DUMMYFUNCTION("""COMPUTED_VALUE"""),"https://www.tiktok.com/@floraluxe.lmj")</f>
        <v>https://www.tiktok.com/@floraluxe.lmj</v>
      </c>
      <c r="D407" s="23">
        <f>IFERROR(__xludf.DUMMYFUNCTION("""COMPUTED_VALUE"""),8.3140274488E10)</f>
        <v>83140274488</v>
      </c>
      <c r="E407" s="457">
        <f>IFERROR(__xludf.DUMMYFUNCTION("""COMPUTED_VALUE"""),0.0)</f>
        <v>0</v>
      </c>
      <c r="F407" s="270">
        <f>IFERROR(__xludf.DUMMYFUNCTION("""COMPUTED_VALUE"""),3.0)</f>
        <v>3</v>
      </c>
      <c r="G407" s="17" t="str">
        <f>IFERROR(__xludf.DUMMYFUNCTION("""COMPUTED_VALUE"""),"Full Set")</f>
        <v>Full Set</v>
      </c>
      <c r="H407" s="17"/>
      <c r="I407" s="262"/>
      <c r="J407" s="262"/>
      <c r="K407" s="262"/>
      <c r="L407" s="262"/>
      <c r="M407" s="262"/>
    </row>
    <row r="408">
      <c r="A408" s="255" t="str">
        <f>IFERROR(__xludf.DUMMYFUNCTION("""COMPUTED_VALUE"""),"NANO")</f>
        <v>NANO</v>
      </c>
      <c r="B408" s="23" t="str">
        <f>IFERROR(__xludf.DUMMYFUNCTION("""COMPUTED_VALUE"""),"quenzzx")</f>
        <v>quenzzx</v>
      </c>
      <c r="C408" s="257" t="str">
        <f>IFERROR(__xludf.DUMMYFUNCTION("""COMPUTED_VALUE"""),"https://www.tiktok.com/@quenzzx")</f>
        <v>https://www.tiktok.com/@quenzzx</v>
      </c>
      <c r="D408" s="23">
        <f>IFERROR(__xludf.DUMMYFUNCTION("""COMPUTED_VALUE"""),8.3817088417E10)</f>
        <v>83817088417</v>
      </c>
      <c r="E408" s="457">
        <f>IFERROR(__xludf.DUMMYFUNCTION("""COMPUTED_VALUE"""),0.0)</f>
        <v>0</v>
      </c>
      <c r="F408" s="270">
        <f>IFERROR(__xludf.DUMMYFUNCTION("""COMPUTED_VALUE"""),3.0)</f>
        <v>3</v>
      </c>
      <c r="G408" s="17" t="str">
        <f>IFERROR(__xludf.DUMMYFUNCTION("""COMPUTED_VALUE"""),"Full Set")</f>
        <v>Full Set</v>
      </c>
      <c r="H408" s="17"/>
      <c r="I408" s="262"/>
      <c r="J408" s="262"/>
      <c r="K408" s="262"/>
      <c r="L408" s="262"/>
      <c r="M408" s="262"/>
    </row>
    <row r="409">
      <c r="A409" s="255" t="str">
        <f>IFERROR(__xludf.DUMMYFUNCTION("""COMPUTED_VALUE"""),"NANO")</f>
        <v>NANO</v>
      </c>
      <c r="B409" s="23" t="str">
        <f>IFERROR(__xludf.DUMMYFUNCTION("""COMPUTED_VALUE"""),"nurull.nuy")</f>
        <v>nurull.nuy</v>
      </c>
      <c r="C409" s="257" t="str">
        <f>IFERROR(__xludf.DUMMYFUNCTION("""COMPUTED_VALUE"""),"https://www.tiktok.com/@nurull.nuy")</f>
        <v>https://www.tiktok.com/@nurull.nuy</v>
      </c>
      <c r="D409" s="23">
        <f>IFERROR(__xludf.DUMMYFUNCTION("""COMPUTED_VALUE"""),8.2313823713E10)</f>
        <v>82313823713</v>
      </c>
      <c r="E409" s="457">
        <f>IFERROR(__xludf.DUMMYFUNCTION("""COMPUTED_VALUE"""),0.0)</f>
        <v>0</v>
      </c>
      <c r="F409" s="270">
        <f>IFERROR(__xludf.DUMMYFUNCTION("""COMPUTED_VALUE"""),3.0)</f>
        <v>3</v>
      </c>
      <c r="G409" s="17" t="str">
        <f>IFERROR(__xludf.DUMMYFUNCTION("""COMPUTED_VALUE"""),"Full Set")</f>
        <v>Full Set</v>
      </c>
      <c r="H409" s="17"/>
      <c r="I409" s="278" t="str">
        <f>IFERROR(__xludf.DUMMYFUNCTION("""COMPUTED_VALUE"""),"https://www.tiktok.com/@nurull.nuy/video/7642734149370924296?is_from_webapp=1&amp;sender_device=pc")</f>
        <v>https://www.tiktok.com/@nurull.nuy/video/7642734149370924296?is_from_webapp=1&amp;sender_device=pc</v>
      </c>
      <c r="J409" s="262"/>
      <c r="K409" s="262"/>
      <c r="L409" s="262"/>
      <c r="M409" s="262"/>
    </row>
    <row r="410">
      <c r="A410" s="255" t="str">
        <f>IFERROR(__xludf.DUMMYFUNCTION("""COMPUTED_VALUE"""),"NANO")</f>
        <v>NANO</v>
      </c>
      <c r="B410" s="23" t="str">
        <f>IFERROR(__xludf.DUMMYFUNCTION("""COMPUTED_VALUE"""),"mamidanshop")</f>
        <v>mamidanshop</v>
      </c>
      <c r="C410" s="257" t="str">
        <f>IFERROR(__xludf.DUMMYFUNCTION("""COMPUTED_VALUE"""),"https://www.tiktok.com/@mamidanshop")</f>
        <v>https://www.tiktok.com/@mamidanshop</v>
      </c>
      <c r="D410" s="23">
        <f>IFERROR(__xludf.DUMMYFUNCTION("""COMPUTED_VALUE"""),8.7754586061E10)</f>
        <v>87754586061</v>
      </c>
      <c r="E410" s="457">
        <f>IFERROR(__xludf.DUMMYFUNCTION("""COMPUTED_VALUE"""),0.0)</f>
        <v>0</v>
      </c>
      <c r="F410" s="270">
        <f>IFERROR(__xludf.DUMMYFUNCTION("""COMPUTED_VALUE"""),3.0)</f>
        <v>3</v>
      </c>
      <c r="G410" s="17" t="str">
        <f>IFERROR(__xludf.DUMMYFUNCTION("""COMPUTED_VALUE"""),"Full Set")</f>
        <v>Full Set</v>
      </c>
      <c r="H410" s="17"/>
      <c r="I410" s="262"/>
      <c r="J410" s="262"/>
      <c r="K410" s="262"/>
      <c r="L410" s="262"/>
      <c r="M410" s="262"/>
    </row>
    <row r="411">
      <c r="A411" s="255" t="str">
        <f>IFERROR(__xludf.DUMMYFUNCTION("""COMPUTED_VALUE"""),"MICRO")</f>
        <v>MICRO</v>
      </c>
      <c r="B411" s="23" t="str">
        <f>IFERROR(__xludf.DUMMYFUNCTION("""COMPUTED_VALUE"""),"ctnamiraa")</f>
        <v>ctnamiraa</v>
      </c>
      <c r="C411" s="257" t="str">
        <f>IFERROR(__xludf.DUMMYFUNCTION("""COMPUTED_VALUE"""),"https://www.tiktok.com/@ctnamiraa")</f>
        <v>https://www.tiktok.com/@ctnamiraa</v>
      </c>
      <c r="D411" s="23">
        <f>IFERROR(__xludf.DUMMYFUNCTION("""COMPUTED_VALUE"""),8.2361723739E10)</f>
        <v>82361723739</v>
      </c>
      <c r="E411" s="457">
        <f>IFERROR(__xludf.DUMMYFUNCTION("""COMPUTED_VALUE"""),0.0)</f>
        <v>0</v>
      </c>
      <c r="F411" s="270">
        <f>IFERROR(__xludf.DUMMYFUNCTION("""COMPUTED_VALUE"""),3.0)</f>
        <v>3</v>
      </c>
      <c r="G411" s="17" t="str">
        <f>IFERROR(__xludf.DUMMYFUNCTION("""COMPUTED_VALUE"""),"Full Set")</f>
        <v>Full Set</v>
      </c>
      <c r="H411" s="17"/>
      <c r="I411" s="262"/>
      <c r="J411" s="262"/>
      <c r="K411" s="262"/>
      <c r="L411" s="262"/>
      <c r="M411" s="262"/>
    </row>
    <row r="412">
      <c r="A412" s="255" t="str">
        <f>IFERROR(__xludf.DUMMYFUNCTION("""COMPUTED_VALUE"""),"MICRO")</f>
        <v>MICRO</v>
      </c>
      <c r="B412" s="23" t="str">
        <f>IFERROR(__xludf.DUMMYFUNCTION("""COMPUTED_VALUE"""),"nisaaahs_")</f>
        <v>nisaaahs_</v>
      </c>
      <c r="C412" s="257" t="str">
        <f>IFERROR(__xludf.DUMMYFUNCTION("""COMPUTED_VALUE"""),"https://www.tiktok.com/@nisaaahs_")</f>
        <v>https://www.tiktok.com/@nisaaahs_</v>
      </c>
      <c r="D412" s="23">
        <f>IFERROR(__xludf.DUMMYFUNCTION("""COMPUTED_VALUE"""),8.7885698556E10)</f>
        <v>87885698556</v>
      </c>
      <c r="E412" s="457">
        <f>IFERROR(__xludf.DUMMYFUNCTION("""COMPUTED_VALUE"""),0.0)</f>
        <v>0</v>
      </c>
      <c r="F412" s="270">
        <f>IFERROR(__xludf.DUMMYFUNCTION("""COMPUTED_VALUE"""),3.0)</f>
        <v>3</v>
      </c>
      <c r="G412" s="17" t="str">
        <f>IFERROR(__xludf.DUMMYFUNCTION("""COMPUTED_VALUE"""),"Full Set")</f>
        <v>Full Set</v>
      </c>
      <c r="H412" s="17"/>
      <c r="I412" s="262"/>
      <c r="J412" s="262"/>
      <c r="K412" s="262"/>
      <c r="L412" s="262"/>
      <c r="M412" s="262"/>
    </row>
    <row r="413">
      <c r="A413" s="255" t="str">
        <f>IFERROR(__xludf.DUMMYFUNCTION("""COMPUTED_VALUE"""),"NANO")</f>
        <v>NANO</v>
      </c>
      <c r="B413" s="23" t="str">
        <f>IFERROR(__xludf.DUMMYFUNCTION("""COMPUTED_VALUE"""),"nivynee ")</f>
        <v>nivynee </v>
      </c>
      <c r="C413" s="257" t="str">
        <f>IFERROR(__xludf.DUMMYFUNCTION("""COMPUTED_VALUE"""),"https://www.tiktok.com/@nivynee ")</f>
        <v>https://www.tiktok.com/@nivynee </v>
      </c>
      <c r="D413" s="23">
        <f>IFERROR(__xludf.DUMMYFUNCTION("""COMPUTED_VALUE"""),8.2292757049E10)</f>
        <v>82292757049</v>
      </c>
      <c r="E413" s="457">
        <f>IFERROR(__xludf.DUMMYFUNCTION("""COMPUTED_VALUE"""),0.0)</f>
        <v>0</v>
      </c>
      <c r="F413" s="270">
        <f>IFERROR(__xludf.DUMMYFUNCTION("""COMPUTED_VALUE"""),4.0)</f>
        <v>4</v>
      </c>
      <c r="G413" s="17" t="str">
        <f>IFERROR(__xludf.DUMMYFUNCTION("""COMPUTED_VALUE"""),"Full Set")</f>
        <v>Full Set</v>
      </c>
      <c r="H413" s="17"/>
      <c r="I413" s="278" t="str">
        <f>IFERROR(__xludf.DUMMYFUNCTION("""COMPUTED_VALUE"""),"https://www.tiktok.com/@nivynee/video/7643592865267879188?is_from_webapp=1&amp;sender_device=pc")</f>
        <v>https://www.tiktok.com/@nivynee/video/7643592865267879188?is_from_webapp=1&amp;sender_device=pc</v>
      </c>
      <c r="J413" s="262"/>
      <c r="K413" s="262"/>
      <c r="L413" s="262"/>
      <c r="M413" s="262"/>
    </row>
    <row r="414">
      <c r="A414" s="255" t="str">
        <f>IFERROR(__xludf.DUMMYFUNCTION("""COMPUTED_VALUE"""),"NANO")</f>
        <v>NANO</v>
      </c>
      <c r="B414" s="23" t="str">
        <f>IFERROR(__xludf.DUMMYFUNCTION("""COMPUTED_VALUE"""),"ekafebi43")</f>
        <v>ekafebi43</v>
      </c>
      <c r="C414" s="257" t="str">
        <f>IFERROR(__xludf.DUMMYFUNCTION("""COMPUTED_VALUE"""),"https://www.tiktok.com/@ekafebi43")</f>
        <v>https://www.tiktok.com/@ekafebi43</v>
      </c>
      <c r="D414" s="23">
        <f>IFERROR(__xludf.DUMMYFUNCTION("""COMPUTED_VALUE"""),8.95326135069E11)</f>
        <v>895326135069</v>
      </c>
      <c r="E414" s="457">
        <f>IFERROR(__xludf.DUMMYFUNCTION("""COMPUTED_VALUE"""),0.0)</f>
        <v>0</v>
      </c>
      <c r="F414" s="270">
        <f>IFERROR(__xludf.DUMMYFUNCTION("""COMPUTED_VALUE"""),4.0)</f>
        <v>4</v>
      </c>
      <c r="G414" s="17" t="str">
        <f>IFERROR(__xludf.DUMMYFUNCTION("""COMPUTED_VALUE"""),"Full Set")</f>
        <v>Full Set</v>
      </c>
      <c r="H414" s="17"/>
      <c r="I414" s="262"/>
      <c r="J414" s="262"/>
      <c r="K414" s="262"/>
      <c r="L414" s="262"/>
      <c r="M414" s="262"/>
    </row>
    <row r="415">
      <c r="A415" s="255" t="str">
        <f>IFERROR(__xludf.DUMMYFUNCTION("""COMPUTED_VALUE"""),"NANO")</f>
        <v>NANO</v>
      </c>
      <c r="B415" s="23" t="str">
        <f>IFERROR(__xludf.DUMMYFUNCTION("""COMPUTED_VALUE"""),"ceciliazebua")</f>
        <v>ceciliazebua</v>
      </c>
      <c r="C415" s="257" t="str">
        <f>IFERROR(__xludf.DUMMYFUNCTION("""COMPUTED_VALUE"""),"https://www.tiktok.com/@ceciliazebua")</f>
        <v>https://www.tiktok.com/@ceciliazebua</v>
      </c>
      <c r="D415" s="23">
        <f>IFERROR(__xludf.DUMMYFUNCTION("""COMPUTED_VALUE"""),8.2297279625E10)</f>
        <v>82297279625</v>
      </c>
      <c r="E415" s="457">
        <f>IFERROR(__xludf.DUMMYFUNCTION("""COMPUTED_VALUE"""),0.0)</f>
        <v>0</v>
      </c>
      <c r="F415" s="270">
        <f>IFERROR(__xludf.DUMMYFUNCTION("""COMPUTED_VALUE"""),4.0)</f>
        <v>4</v>
      </c>
      <c r="G415" s="17" t="str">
        <f>IFERROR(__xludf.DUMMYFUNCTION("""COMPUTED_VALUE"""),"Full Set")</f>
        <v>Full Set</v>
      </c>
      <c r="H415" s="17"/>
      <c r="I415" s="262"/>
      <c r="J415" s="262"/>
      <c r="K415" s="262"/>
      <c r="L415" s="262"/>
      <c r="M415" s="262"/>
    </row>
    <row r="416">
      <c r="A416" s="255" t="str">
        <f>IFERROR(__xludf.DUMMYFUNCTION("""COMPUTED_VALUE"""),"NANO")</f>
        <v>NANO</v>
      </c>
      <c r="B416" s="23" t="str">
        <f>IFERROR(__xludf.DUMMYFUNCTION("""COMPUTED_VALUE"""),"tongkatkayu_")</f>
        <v>tongkatkayu_</v>
      </c>
      <c r="C416" s="257" t="str">
        <f>IFERROR(__xludf.DUMMYFUNCTION("""COMPUTED_VALUE"""),"https://www.tiktok.com/@tongkatkayu_")</f>
        <v>https://www.tiktok.com/@tongkatkayu_</v>
      </c>
      <c r="D416" s="23">
        <f>IFERROR(__xludf.DUMMYFUNCTION("""COMPUTED_VALUE"""),8.5171736097E10)</f>
        <v>85171736097</v>
      </c>
      <c r="E416" s="457">
        <f>IFERROR(__xludf.DUMMYFUNCTION("""COMPUTED_VALUE"""),0.0)</f>
        <v>0</v>
      </c>
      <c r="F416" s="270">
        <f>IFERROR(__xludf.DUMMYFUNCTION("""COMPUTED_VALUE"""),4.0)</f>
        <v>4</v>
      </c>
      <c r="G416" s="17" t="str">
        <f>IFERROR(__xludf.DUMMYFUNCTION("""COMPUTED_VALUE"""),"Full Set")</f>
        <v>Full Set</v>
      </c>
      <c r="H416" s="17"/>
      <c r="I416" s="262"/>
      <c r="J416" s="262"/>
      <c r="K416" s="262"/>
      <c r="L416" s="262"/>
      <c r="M416" s="262"/>
    </row>
    <row r="417">
      <c r="A417" s="255" t="str">
        <f>IFERROR(__xludf.DUMMYFUNCTION("""COMPUTED_VALUE"""),"NANO")</f>
        <v>NANO</v>
      </c>
      <c r="B417" s="23" t="str">
        <f>IFERROR(__xludf.DUMMYFUNCTION("""COMPUTED_VALUE"""),"aisyahnurafe")</f>
        <v>aisyahnurafe</v>
      </c>
      <c r="C417" s="257" t="str">
        <f>IFERROR(__xludf.DUMMYFUNCTION("""COMPUTED_VALUE"""),"https://www.tiktok.com/@aisyahnurafe")</f>
        <v>https://www.tiktok.com/@aisyahnurafe</v>
      </c>
      <c r="D417" s="23">
        <f>IFERROR(__xludf.DUMMYFUNCTION("""COMPUTED_VALUE"""),8.8975422407E10)</f>
        <v>88975422407</v>
      </c>
      <c r="E417" s="457">
        <f>IFERROR(__xludf.DUMMYFUNCTION("""COMPUTED_VALUE"""),0.0)</f>
        <v>0</v>
      </c>
      <c r="F417" s="270">
        <f>IFERROR(__xludf.DUMMYFUNCTION("""COMPUTED_VALUE"""),4.0)</f>
        <v>4</v>
      </c>
      <c r="G417" s="17" t="str">
        <f>IFERROR(__xludf.DUMMYFUNCTION("""COMPUTED_VALUE"""),"Full Set")</f>
        <v>Full Set</v>
      </c>
      <c r="H417" s="17"/>
      <c r="I417" s="262"/>
      <c r="J417" s="262"/>
      <c r="K417" s="262"/>
      <c r="L417" s="262"/>
      <c r="M417" s="262"/>
    </row>
    <row r="418">
      <c r="A418" s="255" t="str">
        <f>IFERROR(__xludf.DUMMYFUNCTION("""COMPUTED_VALUE"""),"NANO")</f>
        <v>NANO</v>
      </c>
      <c r="B418" s="23" t="str">
        <f>IFERROR(__xludf.DUMMYFUNCTION("""COMPUTED_VALUE"""),"_a.prlyanii")</f>
        <v>_a.prlyanii</v>
      </c>
      <c r="C418" s="257" t="str">
        <f>IFERROR(__xludf.DUMMYFUNCTION("""COMPUTED_VALUE"""),"https://www.tiktok.com/@_a.prlyanii")</f>
        <v>https://www.tiktok.com/@_a.prlyanii</v>
      </c>
      <c r="D418" s="23">
        <f>IFERROR(__xludf.DUMMYFUNCTION("""COMPUTED_VALUE"""),8.5328919778E10)</f>
        <v>85328919778</v>
      </c>
      <c r="E418" s="457">
        <f>IFERROR(__xludf.DUMMYFUNCTION("""COMPUTED_VALUE"""),0.0)</f>
        <v>0</v>
      </c>
      <c r="F418" s="270">
        <f>IFERROR(__xludf.DUMMYFUNCTION("""COMPUTED_VALUE"""),4.0)</f>
        <v>4</v>
      </c>
      <c r="G418" s="17" t="str">
        <f>IFERROR(__xludf.DUMMYFUNCTION("""COMPUTED_VALUE"""),"Full Set")</f>
        <v>Full Set</v>
      </c>
      <c r="H418" s="17"/>
      <c r="I418" s="278" t="str">
        <f>IFERROR(__xludf.DUMMYFUNCTION("""COMPUTED_VALUE"""),"https://www.tiktok.com/@_a.prlyanii/video/7642251806394895623?is_from_webapp=1&amp;sender_device=pc")</f>
        <v>https://www.tiktok.com/@_a.prlyanii/video/7642251806394895623?is_from_webapp=1&amp;sender_device=pc</v>
      </c>
      <c r="J418" s="278" t="str">
        <f>IFERROR(__xludf.DUMMYFUNCTION("""COMPUTED_VALUE"""),"https://www.tiktok.com/@_a.prlyanii/video/7642622880588582162?is_from_webapp=1&amp;sender_device=pc")</f>
        <v>https://www.tiktok.com/@_a.prlyanii/video/7642622880588582162?is_from_webapp=1&amp;sender_device=pc</v>
      </c>
      <c r="K418" s="278" t="str">
        <f>IFERROR(__xludf.DUMMYFUNCTION("""COMPUTED_VALUE"""),"https://www.tiktok.com/@_a.prlyanii/video/7642994753163808007?is_from_webapp=1&amp;sender_device=pc")</f>
        <v>https://www.tiktok.com/@_a.prlyanii/video/7642994753163808007?is_from_webapp=1&amp;sender_device=pc</v>
      </c>
      <c r="L418" s="262"/>
      <c r="M418" s="262"/>
    </row>
    <row r="419">
      <c r="A419" s="255" t="str">
        <f>IFERROR(__xludf.DUMMYFUNCTION("""COMPUTED_VALUE"""),"NANO")</f>
        <v>NANO</v>
      </c>
      <c r="B419" s="23" t="str">
        <f>IFERROR(__xludf.DUMMYFUNCTION("""COMPUTED_VALUE"""),"Uty0_0")</f>
        <v>Uty0_0</v>
      </c>
      <c r="C419" s="257" t="str">
        <f>IFERROR(__xludf.DUMMYFUNCTION("""COMPUTED_VALUE"""),"https://www.tiktok.com/@Uty0_0")</f>
        <v>https://www.tiktok.com/@Uty0_0</v>
      </c>
      <c r="D419" s="23">
        <f>IFERROR(__xludf.DUMMYFUNCTION("""COMPUTED_VALUE"""),8.12168859E10)</f>
        <v>81216885900</v>
      </c>
      <c r="E419" s="457">
        <f>IFERROR(__xludf.DUMMYFUNCTION("""COMPUTED_VALUE"""),0.0)</f>
        <v>0</v>
      </c>
      <c r="F419" s="270">
        <f>IFERROR(__xludf.DUMMYFUNCTION("""COMPUTED_VALUE"""),4.0)</f>
        <v>4</v>
      </c>
      <c r="G419" s="17" t="str">
        <f>IFERROR(__xludf.DUMMYFUNCTION("""COMPUTED_VALUE"""),"Full Set")</f>
        <v>Full Set</v>
      </c>
      <c r="H419" s="17"/>
      <c r="I419" s="262"/>
      <c r="J419" s="262"/>
      <c r="K419" s="262"/>
      <c r="L419" s="262"/>
      <c r="M419" s="262"/>
    </row>
    <row r="420">
      <c r="A420" s="255" t="str">
        <f>IFERROR(__xludf.DUMMYFUNCTION("""COMPUTED_VALUE"""),"NANO")</f>
        <v>NANO</v>
      </c>
      <c r="B420" s="23" t="str">
        <f>IFERROR(__xludf.DUMMYFUNCTION("""COMPUTED_VALUE"""),"mayuth38")</f>
        <v>mayuth38</v>
      </c>
      <c r="C420" s="257" t="str">
        <f>IFERROR(__xludf.DUMMYFUNCTION("""COMPUTED_VALUE"""),"https://www.tiktok.com/@mayuth38")</f>
        <v>https://www.tiktok.com/@mayuth38</v>
      </c>
      <c r="D420" s="23">
        <f>IFERROR(__xludf.DUMMYFUNCTION("""COMPUTED_VALUE"""),8.1324426442E10)</f>
        <v>81324426442</v>
      </c>
      <c r="E420" s="457">
        <f>IFERROR(__xludf.DUMMYFUNCTION("""COMPUTED_VALUE"""),0.0)</f>
        <v>0</v>
      </c>
      <c r="F420" s="270">
        <f>IFERROR(__xludf.DUMMYFUNCTION("""COMPUTED_VALUE"""),4.0)</f>
        <v>4</v>
      </c>
      <c r="G420" s="17" t="str">
        <f>IFERROR(__xludf.DUMMYFUNCTION("""COMPUTED_VALUE"""),"Full Set")</f>
        <v>Full Set</v>
      </c>
      <c r="H420" s="17"/>
      <c r="I420" s="262"/>
      <c r="J420" s="262"/>
      <c r="K420" s="262"/>
      <c r="L420" s="262"/>
      <c r="M420" s="262"/>
    </row>
    <row r="421">
      <c r="A421" s="255" t="str">
        <f>IFERROR(__xludf.DUMMYFUNCTION("""COMPUTED_VALUE"""),"NANO")</f>
        <v>NANO</v>
      </c>
      <c r="B421" s="23" t="str">
        <f>IFERROR(__xludf.DUMMYFUNCTION("""COMPUTED_VALUE"""),"orzora_store3")</f>
        <v>orzora_store3</v>
      </c>
      <c r="C421" s="257" t="str">
        <f>IFERROR(__xludf.DUMMYFUNCTION("""COMPUTED_VALUE"""),"https://www.tiktok.com/@orzora_store3")</f>
        <v>https://www.tiktok.com/@orzora_store3</v>
      </c>
      <c r="D421" s="23">
        <f>IFERROR(__xludf.DUMMYFUNCTION("""COMPUTED_VALUE"""),8.2278952598E10)</f>
        <v>82278952598</v>
      </c>
      <c r="E421" s="457">
        <f>IFERROR(__xludf.DUMMYFUNCTION("""COMPUTED_VALUE"""),0.0)</f>
        <v>0</v>
      </c>
      <c r="F421" s="270">
        <f>IFERROR(__xludf.DUMMYFUNCTION("""COMPUTED_VALUE"""),4.0)</f>
        <v>4</v>
      </c>
      <c r="G421" s="17" t="str">
        <f>IFERROR(__xludf.DUMMYFUNCTION("""COMPUTED_VALUE"""),"Full Set")</f>
        <v>Full Set</v>
      </c>
      <c r="H421" s="17"/>
      <c r="I421" s="262"/>
      <c r="J421" s="262"/>
      <c r="K421" s="262"/>
      <c r="L421" s="262"/>
      <c r="M421" s="262"/>
    </row>
    <row r="422">
      <c r="A422" s="255" t="str">
        <f>IFERROR(__xludf.DUMMYFUNCTION("""COMPUTED_VALUE"""),"NANO")</f>
        <v>NANO</v>
      </c>
      <c r="B422" s="23" t="str">
        <f>IFERROR(__xludf.DUMMYFUNCTION("""COMPUTED_VALUE"""),"somethinlostt")</f>
        <v>somethinlostt</v>
      </c>
      <c r="C422" s="257" t="str">
        <f>IFERROR(__xludf.DUMMYFUNCTION("""COMPUTED_VALUE"""),"https://www.tiktok.com/@somethinlostt")</f>
        <v>https://www.tiktok.com/@somethinlostt</v>
      </c>
      <c r="D422" s="23">
        <f>IFERROR(__xludf.DUMMYFUNCTION("""COMPUTED_VALUE"""),8.3819481766E10)</f>
        <v>83819481766</v>
      </c>
      <c r="E422" s="457">
        <f>IFERROR(__xludf.DUMMYFUNCTION("""COMPUTED_VALUE"""),0.0)</f>
        <v>0</v>
      </c>
      <c r="F422" s="270">
        <f>IFERROR(__xludf.DUMMYFUNCTION("""COMPUTED_VALUE"""),4.0)</f>
        <v>4</v>
      </c>
      <c r="G422" s="17" t="str">
        <f>IFERROR(__xludf.DUMMYFUNCTION("""COMPUTED_VALUE"""),"Full Set")</f>
        <v>Full Set</v>
      </c>
      <c r="H422" s="17"/>
      <c r="I422" s="278" t="str">
        <f>IFERROR(__xludf.DUMMYFUNCTION("""COMPUTED_VALUE"""),"https://www.tiktok.com/@somethinlostt/video/7643311939728248085?is_from_webapp=1&amp;sender_device=pc")</f>
        <v>https://www.tiktok.com/@somethinlostt/video/7643311939728248085?is_from_webapp=1&amp;sender_device=pc</v>
      </c>
      <c r="J422" s="278" t="str">
        <f>IFERROR(__xludf.DUMMYFUNCTION("""COMPUTED_VALUE"""),"https://www.tiktok.com/@somethinlostt/video/7643807341309201685?is_from_webapp=1&amp;sender_device=pc")</f>
        <v>https://www.tiktok.com/@somethinlostt/video/7643807341309201685?is_from_webapp=1&amp;sender_device=pc</v>
      </c>
      <c r="K422" s="262"/>
      <c r="L422" s="262"/>
      <c r="M422" s="262"/>
    </row>
    <row r="423">
      <c r="A423" s="255" t="str">
        <f>IFERROR(__xludf.DUMMYFUNCTION("""COMPUTED_VALUE"""),"NANO")</f>
        <v>NANO</v>
      </c>
      <c r="B423" s="23" t="str">
        <f>IFERROR(__xludf.DUMMYFUNCTION("""COMPUTED_VALUE"""),"Rubybiie")</f>
        <v>Rubybiie</v>
      </c>
      <c r="C423" s="257" t="str">
        <f>IFERROR(__xludf.DUMMYFUNCTION("""COMPUTED_VALUE"""),"https://www.tiktok.com/@Rubybiie")</f>
        <v>https://www.tiktok.com/@Rubybiie</v>
      </c>
      <c r="D423" s="23">
        <f>IFERROR(__xludf.DUMMYFUNCTION("""COMPUTED_VALUE"""),8.95397324151E11)</f>
        <v>895397324151</v>
      </c>
      <c r="E423" s="457">
        <f>IFERROR(__xludf.DUMMYFUNCTION("""COMPUTED_VALUE"""),0.0)</f>
        <v>0</v>
      </c>
      <c r="F423" s="270">
        <f>IFERROR(__xludf.DUMMYFUNCTION("""COMPUTED_VALUE"""),4.0)</f>
        <v>4</v>
      </c>
      <c r="G423" s="17" t="str">
        <f>IFERROR(__xludf.DUMMYFUNCTION("""COMPUTED_VALUE"""),"Full Set")</f>
        <v>Full Set</v>
      </c>
      <c r="H423" s="17"/>
      <c r="I423" s="262"/>
      <c r="J423" s="262"/>
      <c r="K423" s="262"/>
      <c r="L423" s="262"/>
      <c r="M423" s="262"/>
    </row>
    <row r="424">
      <c r="A424" s="255" t="str">
        <f>IFERROR(__xludf.DUMMYFUNCTION("""COMPUTED_VALUE"""),"NANO")</f>
        <v>NANO</v>
      </c>
      <c r="B424" s="23" t="str">
        <f>IFERROR(__xludf.DUMMYFUNCTION("""COMPUTED_VALUE"""),"nadilasafff")</f>
        <v>nadilasafff</v>
      </c>
      <c r="C424" s="257" t="str">
        <f>IFERROR(__xludf.DUMMYFUNCTION("""COMPUTED_VALUE"""),"https://www.tiktok.com/@nadilasafff")</f>
        <v>https://www.tiktok.com/@nadilasafff</v>
      </c>
      <c r="D424" s="23">
        <f>IFERROR(__xludf.DUMMYFUNCTION("""COMPUTED_VALUE"""),8.8804100895E10)</f>
        <v>88804100895</v>
      </c>
      <c r="E424" s="457">
        <f>IFERROR(__xludf.DUMMYFUNCTION("""COMPUTED_VALUE"""),0.0)</f>
        <v>0</v>
      </c>
      <c r="F424" s="270">
        <f>IFERROR(__xludf.DUMMYFUNCTION("""COMPUTED_VALUE"""),4.0)</f>
        <v>4</v>
      </c>
      <c r="G424" s="17" t="str">
        <f>IFERROR(__xludf.DUMMYFUNCTION("""COMPUTED_VALUE"""),"Full Set")</f>
        <v>Full Set</v>
      </c>
      <c r="H424" s="17"/>
      <c r="I424" s="262"/>
      <c r="J424" s="262"/>
      <c r="K424" s="262"/>
      <c r="L424" s="262"/>
      <c r="M424" s="262"/>
    </row>
    <row r="425">
      <c r="A425" s="255" t="str">
        <f>IFERROR(__xludf.DUMMYFUNCTION("""COMPUTED_VALUE"""),"NANO")</f>
        <v>NANO</v>
      </c>
      <c r="B425" s="23" t="str">
        <f>IFERROR(__xludf.DUMMYFUNCTION("""COMPUTED_VALUE"""),"bubbiees__")</f>
        <v>bubbiees__</v>
      </c>
      <c r="C425" s="257" t="str">
        <f>IFERROR(__xludf.DUMMYFUNCTION("""COMPUTED_VALUE"""),"https://www.tiktok.com/@bubbiees__")</f>
        <v>https://www.tiktok.com/@bubbiees__</v>
      </c>
      <c r="D425" s="23">
        <f>IFERROR(__xludf.DUMMYFUNCTION("""COMPUTED_VALUE"""),8.9601483456E10)</f>
        <v>89601483456</v>
      </c>
      <c r="E425" s="457">
        <f>IFERROR(__xludf.DUMMYFUNCTION("""COMPUTED_VALUE"""),0.0)</f>
        <v>0</v>
      </c>
      <c r="F425" s="270">
        <f>IFERROR(__xludf.DUMMYFUNCTION("""COMPUTED_VALUE"""),4.0)</f>
        <v>4</v>
      </c>
      <c r="G425" s="17" t="str">
        <f>IFERROR(__xludf.DUMMYFUNCTION("""COMPUTED_VALUE"""),"Full Set")</f>
        <v>Full Set</v>
      </c>
      <c r="H425" s="17"/>
      <c r="I425" s="262"/>
      <c r="J425" s="262"/>
      <c r="K425" s="262"/>
      <c r="L425" s="262"/>
      <c r="M425" s="262"/>
    </row>
    <row r="426">
      <c r="A426" s="255" t="str">
        <f>IFERROR(__xludf.DUMMYFUNCTION("""COMPUTED_VALUE"""),"MICRO")</f>
        <v>MICRO</v>
      </c>
      <c r="B426" s="23" t="str">
        <f>IFERROR(__xludf.DUMMYFUNCTION("""COMPUTED_VALUE"""),"susylampung92")</f>
        <v>susylampung92</v>
      </c>
      <c r="C426" s="257" t="str">
        <f>IFERROR(__xludf.DUMMYFUNCTION("""COMPUTED_VALUE"""),"https://www.tiktok.com/@susylampung92")</f>
        <v>https://www.tiktok.com/@susylampung92</v>
      </c>
      <c r="D426" s="23">
        <f>IFERROR(__xludf.DUMMYFUNCTION("""COMPUTED_VALUE"""),8.7873817621E10)</f>
        <v>87873817621</v>
      </c>
      <c r="E426" s="457">
        <f>IFERROR(__xludf.DUMMYFUNCTION("""COMPUTED_VALUE"""),0.0)</f>
        <v>0</v>
      </c>
      <c r="F426" s="270">
        <f>IFERROR(__xludf.DUMMYFUNCTION("""COMPUTED_VALUE"""),4.0)</f>
        <v>4</v>
      </c>
      <c r="G426" s="17" t="str">
        <f>IFERROR(__xludf.DUMMYFUNCTION("""COMPUTED_VALUE"""),"Full Set")</f>
        <v>Full Set</v>
      </c>
      <c r="H426" s="17"/>
      <c r="I426" s="262"/>
      <c r="J426" s="262"/>
      <c r="K426" s="262"/>
      <c r="L426" s="262"/>
      <c r="M426" s="262"/>
    </row>
    <row r="427">
      <c r="A427" s="255" t="str">
        <f>IFERROR(__xludf.DUMMYFUNCTION("""COMPUTED_VALUE"""),"NANO")</f>
        <v>NANO</v>
      </c>
      <c r="B427" s="23" t="str">
        <f>IFERROR(__xludf.DUMMYFUNCTION("""COMPUTED_VALUE"""),"ini.fenia")</f>
        <v>ini.fenia</v>
      </c>
      <c r="C427" s="257" t="str">
        <f>IFERROR(__xludf.DUMMYFUNCTION("""COMPUTED_VALUE"""),"https://www.tiktok.com/@ini.fenia")</f>
        <v>https://www.tiktok.com/@ini.fenia</v>
      </c>
      <c r="D427" s="23">
        <f>IFERROR(__xludf.DUMMYFUNCTION("""COMPUTED_VALUE"""),8.7734782257E10)</f>
        <v>87734782257</v>
      </c>
      <c r="E427" s="457">
        <f>IFERROR(__xludf.DUMMYFUNCTION("""COMPUTED_VALUE"""),0.0)</f>
        <v>0</v>
      </c>
      <c r="F427" s="270">
        <f>IFERROR(__xludf.DUMMYFUNCTION("""COMPUTED_VALUE"""),4.0)</f>
        <v>4</v>
      </c>
      <c r="G427" s="17" t="str">
        <f>IFERROR(__xludf.DUMMYFUNCTION("""COMPUTED_VALUE"""),"Full Set")</f>
        <v>Full Set</v>
      </c>
      <c r="H427" s="17"/>
      <c r="I427" s="262"/>
      <c r="J427" s="262"/>
      <c r="K427" s="262"/>
      <c r="L427" s="262"/>
      <c r="M427" s="262"/>
    </row>
    <row r="428">
      <c r="A428" s="255" t="str">
        <f>IFERROR(__xludf.DUMMYFUNCTION("""COMPUTED_VALUE"""),"NANO")</f>
        <v>NANO</v>
      </c>
      <c r="B428" s="23" t="str">
        <f>IFERROR(__xludf.DUMMYFUNCTION("""COMPUTED_VALUE"""),"heinia_")</f>
        <v>heinia_</v>
      </c>
      <c r="C428" s="257" t="str">
        <f>IFERROR(__xludf.DUMMYFUNCTION("""COMPUTED_VALUE"""),"https://www.tiktok.com/@heinia_")</f>
        <v>https://www.tiktok.com/@heinia_</v>
      </c>
      <c r="D428" s="23">
        <f>IFERROR(__xludf.DUMMYFUNCTION("""COMPUTED_VALUE"""),8.1336535233E10)</f>
        <v>81336535233</v>
      </c>
      <c r="E428" s="457">
        <f>IFERROR(__xludf.DUMMYFUNCTION("""COMPUTED_VALUE"""),0.0)</f>
        <v>0</v>
      </c>
      <c r="F428" s="270">
        <f>IFERROR(__xludf.DUMMYFUNCTION("""COMPUTED_VALUE"""),4.0)</f>
        <v>4</v>
      </c>
      <c r="G428" s="17" t="str">
        <f>IFERROR(__xludf.DUMMYFUNCTION("""COMPUTED_VALUE"""),"Full Set")</f>
        <v>Full Set</v>
      </c>
      <c r="H428" s="17"/>
      <c r="I428" s="262"/>
      <c r="J428" s="262"/>
      <c r="K428" s="262"/>
      <c r="L428" s="262"/>
      <c r="M428" s="262"/>
    </row>
    <row r="429">
      <c r="A429" s="255" t="str">
        <f>IFERROR(__xludf.DUMMYFUNCTION("""COMPUTED_VALUE"""),"NANO")</f>
        <v>NANO</v>
      </c>
      <c r="B429" s="23" t="str">
        <f>IFERROR(__xludf.DUMMYFUNCTION("""COMPUTED_VALUE"""),"Makeupbysheeren")</f>
        <v>Makeupbysheeren</v>
      </c>
      <c r="C429" s="257" t="str">
        <f>IFERROR(__xludf.DUMMYFUNCTION("""COMPUTED_VALUE"""),"https://www.tiktok.com/@Makeupbysheeren")</f>
        <v>https://www.tiktok.com/@Makeupbysheeren</v>
      </c>
      <c r="D429" s="23">
        <f>IFERROR(__xludf.DUMMYFUNCTION("""COMPUTED_VALUE"""),8.1372556661E10)</f>
        <v>81372556661</v>
      </c>
      <c r="E429" s="457">
        <f>IFERROR(__xludf.DUMMYFUNCTION("""COMPUTED_VALUE"""),0.0)</f>
        <v>0</v>
      </c>
      <c r="F429" s="270">
        <f>IFERROR(__xludf.DUMMYFUNCTION("""COMPUTED_VALUE"""),4.0)</f>
        <v>4</v>
      </c>
      <c r="G429" s="17" t="str">
        <f>IFERROR(__xludf.DUMMYFUNCTION("""COMPUTED_VALUE"""),"Full Set")</f>
        <v>Full Set</v>
      </c>
      <c r="H429" s="17"/>
      <c r="I429" s="262"/>
      <c r="J429" s="262"/>
      <c r="K429" s="262"/>
      <c r="L429" s="262"/>
      <c r="M429" s="262"/>
    </row>
    <row r="430">
      <c r="A430" s="255" t="str">
        <f>IFERROR(__xludf.DUMMYFUNCTION("""COMPUTED_VALUE"""),"MICRO")</f>
        <v>MICRO</v>
      </c>
      <c r="B430" s="23" t="str">
        <f>IFERROR(__xludf.DUMMYFUNCTION("""COMPUTED_VALUE"""),"anitanovita2 ")</f>
        <v>anitanovita2 </v>
      </c>
      <c r="C430" s="257" t="str">
        <f>IFERROR(__xludf.DUMMYFUNCTION("""COMPUTED_VALUE"""),"https://www.tiktok.com/@anitanovita2 ")</f>
        <v>https://www.tiktok.com/@anitanovita2 </v>
      </c>
      <c r="D430" s="23">
        <f>IFERROR(__xludf.DUMMYFUNCTION("""COMPUTED_VALUE"""),8.1220349495E10)</f>
        <v>81220349495</v>
      </c>
      <c r="E430" s="457">
        <f>IFERROR(__xludf.DUMMYFUNCTION("""COMPUTED_VALUE"""),0.0)</f>
        <v>0</v>
      </c>
      <c r="F430" s="270">
        <f>IFERROR(__xludf.DUMMYFUNCTION("""COMPUTED_VALUE"""),4.0)</f>
        <v>4</v>
      </c>
      <c r="G430" s="17" t="str">
        <f>IFERROR(__xludf.DUMMYFUNCTION("""COMPUTED_VALUE"""),"Full Set")</f>
        <v>Full Set</v>
      </c>
      <c r="H430" s="17"/>
      <c r="I430" s="262"/>
      <c r="J430" s="262"/>
      <c r="K430" s="262"/>
      <c r="L430" s="262"/>
      <c r="M430" s="262"/>
    </row>
    <row r="431">
      <c r="A431" s="255" t="str">
        <f>IFERROR(__xludf.DUMMYFUNCTION("""COMPUTED_VALUE"""),"NANO")</f>
        <v>NANO</v>
      </c>
      <c r="B431" s="23" t="str">
        <f>IFERROR(__xludf.DUMMYFUNCTION("""COMPUTED_VALUE"""),"momrayyan27")</f>
        <v>momrayyan27</v>
      </c>
      <c r="C431" s="257" t="str">
        <f>IFERROR(__xludf.DUMMYFUNCTION("""COMPUTED_VALUE"""),"https://www.tiktok.com/@momrayyan27")</f>
        <v>https://www.tiktok.com/@momrayyan27</v>
      </c>
      <c r="D431" s="23">
        <f>IFERROR(__xludf.DUMMYFUNCTION("""COMPUTED_VALUE"""),8.1573392422E10)</f>
        <v>81573392422</v>
      </c>
      <c r="E431" s="457">
        <f>IFERROR(__xludf.DUMMYFUNCTION("""COMPUTED_VALUE"""),0.0)</f>
        <v>0</v>
      </c>
      <c r="F431" s="270">
        <f>IFERROR(__xludf.DUMMYFUNCTION("""COMPUTED_VALUE"""),4.0)</f>
        <v>4</v>
      </c>
      <c r="G431" s="17" t="str">
        <f>IFERROR(__xludf.DUMMYFUNCTION("""COMPUTED_VALUE"""),"Full Set")</f>
        <v>Full Set</v>
      </c>
      <c r="H431" s="17"/>
      <c r="I431" s="278" t="str">
        <f>IFERROR(__xludf.DUMMYFUNCTION("""COMPUTED_VALUE"""),"https://www.tiktok.com/@momrayyan27/video/7640710233752440082?is_from_webapp=1&amp;sender_device=pc")</f>
        <v>https://www.tiktok.com/@momrayyan27/video/7640710233752440082?is_from_webapp=1&amp;sender_device=pc</v>
      </c>
      <c r="J431" s="278" t="str">
        <f>IFERROR(__xludf.DUMMYFUNCTION("""COMPUTED_VALUE"""),"https://www.tiktok.com/@momrayyan27/video/7641148092493991175?is_from_webapp=1&amp;sender_device=pc")</f>
        <v>https://www.tiktok.com/@momrayyan27/video/7641148092493991175?is_from_webapp=1&amp;sender_device=pc</v>
      </c>
      <c r="K431" s="278" t="str">
        <f>IFERROR(__xludf.DUMMYFUNCTION("""COMPUTED_VALUE"""),"https://www.tiktok.com/@momrayyan27/video/7641194718855957767?is_from_webapp=1&amp;sender_device=pc")</f>
        <v>https://www.tiktok.com/@momrayyan27/video/7641194718855957767?is_from_webapp=1&amp;sender_device=pc</v>
      </c>
      <c r="L431" s="278" t="str">
        <f>IFERROR(__xludf.DUMMYFUNCTION("""COMPUTED_VALUE"""),"https://www.tiktok.com/@momrayyan27/video/7641558595288583432?is_from_webapp=1&amp;sender_device=pc")</f>
        <v>https://www.tiktok.com/@momrayyan27/video/7641558595288583432?is_from_webapp=1&amp;sender_device=pc</v>
      </c>
      <c r="M431" s="262"/>
    </row>
    <row r="432">
      <c r="A432" s="255" t="str">
        <f>IFERROR(__xludf.DUMMYFUNCTION("""COMPUTED_VALUE"""),"NANO")</f>
        <v>NANO</v>
      </c>
      <c r="B432" s="23" t="str">
        <f>IFERROR(__xludf.DUMMYFUNCTION("""COMPUTED_VALUE"""),"milaaacahy14")</f>
        <v>milaaacahy14</v>
      </c>
      <c r="C432" s="257" t="str">
        <f>IFERROR(__xludf.DUMMYFUNCTION("""COMPUTED_VALUE"""),"https://www.tiktok.com/@milaaacahy14")</f>
        <v>https://www.tiktok.com/@milaaacahy14</v>
      </c>
      <c r="D432" s="23">
        <f>IFERROR(__xludf.DUMMYFUNCTION("""COMPUTED_VALUE"""),8.311055569E10)</f>
        <v>83110555690</v>
      </c>
      <c r="E432" s="457">
        <f>IFERROR(__xludf.DUMMYFUNCTION("""COMPUTED_VALUE"""),0.0)</f>
        <v>0</v>
      </c>
      <c r="F432" s="270">
        <f>IFERROR(__xludf.DUMMYFUNCTION("""COMPUTED_VALUE"""),4.0)</f>
        <v>4</v>
      </c>
      <c r="G432" s="17" t="str">
        <f>IFERROR(__xludf.DUMMYFUNCTION("""COMPUTED_VALUE"""),"Full Set")</f>
        <v>Full Set</v>
      </c>
      <c r="H432" s="17"/>
      <c r="I432" s="262"/>
      <c r="J432" s="262"/>
      <c r="K432" s="262"/>
      <c r="L432" s="262"/>
      <c r="M432" s="262"/>
    </row>
    <row r="433">
      <c r="A433" s="255" t="str">
        <f>IFERROR(__xludf.DUMMYFUNCTION("""COMPUTED_VALUE"""),"NANO")</f>
        <v>NANO</v>
      </c>
      <c r="B433" s="23" t="str">
        <f>IFERROR(__xludf.DUMMYFUNCTION("""COMPUTED_VALUE"""),"hellogirl.y")</f>
        <v>hellogirl.y</v>
      </c>
      <c r="C433" s="257" t="str">
        <f>IFERROR(__xludf.DUMMYFUNCTION("""COMPUTED_VALUE"""),"https://www.tiktok.com/@hellogirl.y")</f>
        <v>https://www.tiktok.com/@hellogirl.y</v>
      </c>
      <c r="D433" s="23">
        <f>IFERROR(__xludf.DUMMYFUNCTION("""COMPUTED_VALUE"""),8.9659321773E10)</f>
        <v>89659321773</v>
      </c>
      <c r="E433" s="457">
        <f>IFERROR(__xludf.DUMMYFUNCTION("""COMPUTED_VALUE"""),0.0)</f>
        <v>0</v>
      </c>
      <c r="F433" s="270">
        <f>IFERROR(__xludf.DUMMYFUNCTION("""COMPUTED_VALUE"""),4.0)</f>
        <v>4</v>
      </c>
      <c r="G433" s="17" t="str">
        <f>IFERROR(__xludf.DUMMYFUNCTION("""COMPUTED_VALUE"""),"Full Set")</f>
        <v>Full Set</v>
      </c>
      <c r="H433" s="17"/>
      <c r="I433" s="262"/>
      <c r="J433" s="262"/>
      <c r="K433" s="262"/>
      <c r="L433" s="262"/>
      <c r="M433" s="262"/>
    </row>
    <row r="434">
      <c r="A434" s="255" t="str">
        <f>IFERROR(__xludf.DUMMYFUNCTION("""COMPUTED_VALUE"""),"MICRO")</f>
        <v>MICRO</v>
      </c>
      <c r="B434" s="23" t="str">
        <f>IFERROR(__xludf.DUMMYFUNCTION("""COMPUTED_VALUE"""),"zulfabeautycare_bwi")</f>
        <v>zulfabeautycare_bwi</v>
      </c>
      <c r="C434" s="257" t="str">
        <f>IFERROR(__xludf.DUMMYFUNCTION("""COMPUTED_VALUE"""),"https://www.tiktok.com/@zulfabeautycare_bwi")</f>
        <v>https://www.tiktok.com/@zulfabeautycare_bwi</v>
      </c>
      <c r="D434" s="23">
        <f>IFERROR(__xludf.DUMMYFUNCTION("""COMPUTED_VALUE"""),8.5608611692E10)</f>
        <v>85608611692</v>
      </c>
      <c r="E434" s="457">
        <f>IFERROR(__xludf.DUMMYFUNCTION("""COMPUTED_VALUE"""),0.0)</f>
        <v>0</v>
      </c>
      <c r="F434" s="270">
        <f>IFERROR(__xludf.DUMMYFUNCTION("""COMPUTED_VALUE"""),4.0)</f>
        <v>4</v>
      </c>
      <c r="G434" s="17" t="str">
        <f>IFERROR(__xludf.DUMMYFUNCTION("""COMPUTED_VALUE"""),"Full Set")</f>
        <v>Full Set</v>
      </c>
      <c r="H434" s="17"/>
      <c r="I434" s="278" t="str">
        <f>IFERROR(__xludf.DUMMYFUNCTION("""COMPUTED_VALUE"""),"https://www.tiktok.com/@zulfabeautycare_bwi/video/7643278162029284626?is_from_webapp=1&amp;sender_device=pc")</f>
        <v>https://www.tiktok.com/@zulfabeautycare_bwi/video/7643278162029284626?is_from_webapp=1&amp;sender_device=pc</v>
      </c>
      <c r="J434" s="262"/>
      <c r="K434" s="262"/>
      <c r="L434" s="262"/>
      <c r="M434" s="262"/>
    </row>
    <row r="435">
      <c r="A435" s="255" t="str">
        <f>IFERROR(__xludf.DUMMYFUNCTION("""COMPUTED_VALUE"""),"NANO")</f>
        <v>NANO</v>
      </c>
      <c r="B435" s="23" t="str">
        <f>IFERROR(__xludf.DUMMYFUNCTION("""COMPUTED_VALUE"""),"zuellaa_")</f>
        <v>zuellaa_</v>
      </c>
      <c r="C435" s="257" t="str">
        <f>IFERROR(__xludf.DUMMYFUNCTION("""COMPUTED_VALUE"""),"https://www.tiktok.com/@zuellaa_")</f>
        <v>https://www.tiktok.com/@zuellaa_</v>
      </c>
      <c r="D435" s="23">
        <f>IFERROR(__xludf.DUMMYFUNCTION("""COMPUTED_VALUE"""),8.9694094642E10)</f>
        <v>89694094642</v>
      </c>
      <c r="E435" s="457">
        <f>IFERROR(__xludf.DUMMYFUNCTION("""COMPUTED_VALUE"""),0.0)</f>
        <v>0</v>
      </c>
      <c r="F435" s="270">
        <f>IFERROR(__xludf.DUMMYFUNCTION("""COMPUTED_VALUE"""),4.0)</f>
        <v>4</v>
      </c>
      <c r="G435" s="17" t="str">
        <f>IFERROR(__xludf.DUMMYFUNCTION("""COMPUTED_VALUE"""),"Full Set")</f>
        <v>Full Set</v>
      </c>
      <c r="H435" s="17"/>
      <c r="I435" s="262"/>
      <c r="J435" s="262"/>
      <c r="K435" s="262"/>
      <c r="L435" s="262"/>
      <c r="M435" s="262"/>
    </row>
    <row r="436">
      <c r="A436" s="255" t="str">
        <f>IFERROR(__xludf.DUMMYFUNCTION("""COMPUTED_VALUE"""),"NANO")</f>
        <v>NANO</v>
      </c>
      <c r="B436" s="23" t="str">
        <f>IFERROR(__xludf.DUMMYFUNCTION("""COMPUTED_VALUE"""),"ujujuhanah12")</f>
        <v>ujujuhanah12</v>
      </c>
      <c r="C436" s="257" t="str">
        <f>IFERROR(__xludf.DUMMYFUNCTION("""COMPUTED_VALUE"""),"https://www.tiktok.com/@ujujuhanah12")</f>
        <v>https://www.tiktok.com/@ujujuhanah12</v>
      </c>
      <c r="D436" s="23">
        <f>IFERROR(__xludf.DUMMYFUNCTION("""COMPUTED_VALUE"""),8.983949029E9)</f>
        <v>8983949029</v>
      </c>
      <c r="E436" s="457">
        <f>IFERROR(__xludf.DUMMYFUNCTION("""COMPUTED_VALUE"""),0.0)</f>
        <v>0</v>
      </c>
      <c r="F436" s="270">
        <f>IFERROR(__xludf.DUMMYFUNCTION("""COMPUTED_VALUE"""),4.0)</f>
        <v>4</v>
      </c>
      <c r="G436" s="17" t="str">
        <f>IFERROR(__xludf.DUMMYFUNCTION("""COMPUTED_VALUE"""),"Full Set")</f>
        <v>Full Set</v>
      </c>
      <c r="H436" s="17"/>
      <c r="I436" s="262"/>
      <c r="J436" s="262"/>
      <c r="K436" s="262"/>
      <c r="L436" s="262"/>
      <c r="M436" s="262"/>
    </row>
    <row r="437">
      <c r="A437" s="255" t="str">
        <f>IFERROR(__xludf.DUMMYFUNCTION("""COMPUTED_VALUE"""),"MICRO")</f>
        <v>MICRO</v>
      </c>
      <c r="B437" s="23" t="str">
        <f>IFERROR(__xludf.DUMMYFUNCTION("""COMPUTED_VALUE"""),"beautywith_kadita")</f>
        <v>beautywith_kadita</v>
      </c>
      <c r="C437" s="257" t="str">
        <f>IFERROR(__xludf.DUMMYFUNCTION("""COMPUTED_VALUE"""),"https://www.tiktok.com/@beautywith_kadita")</f>
        <v>https://www.tiktok.com/@beautywith_kadita</v>
      </c>
      <c r="D437" s="23">
        <f>IFERROR(__xludf.DUMMYFUNCTION("""COMPUTED_VALUE"""),8.8290195191E10)</f>
        <v>88290195191</v>
      </c>
      <c r="E437" s="457">
        <f>IFERROR(__xludf.DUMMYFUNCTION("""COMPUTED_VALUE"""),0.0)</f>
        <v>0</v>
      </c>
      <c r="F437" s="270">
        <f>IFERROR(__xludf.DUMMYFUNCTION("""COMPUTED_VALUE"""),4.0)</f>
        <v>4</v>
      </c>
      <c r="G437" s="17" t="str">
        <f>IFERROR(__xludf.DUMMYFUNCTION("""COMPUTED_VALUE"""),"Full Set")</f>
        <v>Full Set</v>
      </c>
      <c r="H437" s="17"/>
      <c r="I437" s="262"/>
      <c r="J437" s="262"/>
      <c r="K437" s="262"/>
      <c r="L437" s="262"/>
      <c r="M437" s="262"/>
    </row>
    <row r="438">
      <c r="A438" s="255" t="str">
        <f>IFERROR(__xludf.DUMMYFUNCTION("""COMPUTED_VALUE"""),"NANO")</f>
        <v>NANO</v>
      </c>
      <c r="B438" s="23" t="str">
        <f>IFERROR(__xludf.DUMMYFUNCTION("""COMPUTED_VALUE"""),"bbstore25")</f>
        <v>bbstore25</v>
      </c>
      <c r="C438" s="257" t="str">
        <f>IFERROR(__xludf.DUMMYFUNCTION("""COMPUTED_VALUE"""),"https://www.tiktok.com/@bbstore25")</f>
        <v>https://www.tiktok.com/@bbstore25</v>
      </c>
      <c r="D438" s="23">
        <f>IFERROR(__xludf.DUMMYFUNCTION("""COMPUTED_VALUE"""),8.2372301911E10)</f>
        <v>82372301911</v>
      </c>
      <c r="E438" s="457">
        <f>IFERROR(__xludf.DUMMYFUNCTION("""COMPUTED_VALUE"""),0.0)</f>
        <v>0</v>
      </c>
      <c r="F438" s="270">
        <f>IFERROR(__xludf.DUMMYFUNCTION("""COMPUTED_VALUE"""),4.0)</f>
        <v>4</v>
      </c>
      <c r="G438" s="17" t="str">
        <f>IFERROR(__xludf.DUMMYFUNCTION("""COMPUTED_VALUE"""),"Full Set")</f>
        <v>Full Set</v>
      </c>
      <c r="H438" s="17"/>
      <c r="I438" s="262"/>
      <c r="J438" s="262"/>
      <c r="K438" s="262"/>
      <c r="L438" s="262"/>
      <c r="M438" s="262"/>
    </row>
    <row r="439">
      <c r="A439" s="255" t="str">
        <f>IFERROR(__xludf.DUMMYFUNCTION("""COMPUTED_VALUE"""),"NANO")</f>
        <v>NANO</v>
      </c>
      <c r="B439" s="23" t="str">
        <f>IFERROR(__xludf.DUMMYFUNCTION("""COMPUTED_VALUE"""),"lala41376")</f>
        <v>lala41376</v>
      </c>
      <c r="C439" s="257" t="str">
        <f>IFERROR(__xludf.DUMMYFUNCTION("""COMPUTED_VALUE"""),"https://www.tiktok.com/@lala41376")</f>
        <v>https://www.tiktok.com/@lala41376</v>
      </c>
      <c r="D439" s="23">
        <f>IFERROR(__xludf.DUMMYFUNCTION("""COMPUTED_VALUE"""),8.3869580691E10)</f>
        <v>83869580691</v>
      </c>
      <c r="E439" s="457">
        <f>IFERROR(__xludf.DUMMYFUNCTION("""COMPUTED_VALUE"""),0.0)</f>
        <v>0</v>
      </c>
      <c r="F439" s="270">
        <f>IFERROR(__xludf.DUMMYFUNCTION("""COMPUTED_VALUE"""),4.0)</f>
        <v>4</v>
      </c>
      <c r="G439" s="17" t="str">
        <f>IFERROR(__xludf.DUMMYFUNCTION("""COMPUTED_VALUE"""),"Full Set")</f>
        <v>Full Set</v>
      </c>
      <c r="H439" s="17"/>
      <c r="I439" s="262"/>
      <c r="J439" s="262"/>
      <c r="K439" s="262"/>
      <c r="L439" s="262"/>
      <c r="M439" s="262"/>
    </row>
    <row r="440">
      <c r="A440" s="255" t="str">
        <f>IFERROR(__xludf.DUMMYFUNCTION("""COMPUTED_VALUE"""),"NANO")</f>
        <v>NANO</v>
      </c>
      <c r="B440" s="23" t="str">
        <f>IFERROR(__xludf.DUMMYFUNCTION("""COMPUTED_VALUE"""),"ayuningwlnsr")</f>
        <v>ayuningwlnsr</v>
      </c>
      <c r="C440" s="257" t="str">
        <f>IFERROR(__xludf.DUMMYFUNCTION("""COMPUTED_VALUE"""),"https://www.tiktok.com/@ayuningwlnsr")</f>
        <v>https://www.tiktok.com/@ayuningwlnsr</v>
      </c>
      <c r="D440" s="23">
        <f>IFERROR(__xludf.DUMMYFUNCTION("""COMPUTED_VALUE"""),8.5891157946E10)</f>
        <v>85891157946</v>
      </c>
      <c r="E440" s="457">
        <f>IFERROR(__xludf.DUMMYFUNCTION("""COMPUTED_VALUE"""),0.0)</f>
        <v>0</v>
      </c>
      <c r="F440" s="270">
        <f>IFERROR(__xludf.DUMMYFUNCTION("""COMPUTED_VALUE"""),4.0)</f>
        <v>4</v>
      </c>
      <c r="G440" s="17" t="str">
        <f>IFERROR(__xludf.DUMMYFUNCTION("""COMPUTED_VALUE"""),"Full Set")</f>
        <v>Full Set</v>
      </c>
      <c r="H440" s="17"/>
      <c r="I440" s="262"/>
      <c r="J440" s="262"/>
      <c r="K440" s="262"/>
      <c r="L440" s="262"/>
      <c r="M440" s="262"/>
    </row>
    <row r="441">
      <c r="A441" s="255" t="str">
        <f>IFERROR(__xludf.DUMMYFUNCTION("""COMPUTED_VALUE"""),"NANO")</f>
        <v>NANO</v>
      </c>
      <c r="B441" s="23" t="str">
        <f>IFERROR(__xludf.DUMMYFUNCTION("""COMPUTED_VALUE"""),"dira.lea")</f>
        <v>dira.lea</v>
      </c>
      <c r="C441" s="257" t="str">
        <f>IFERROR(__xludf.DUMMYFUNCTION("""COMPUTED_VALUE"""),"https://www.tiktok.com/@dira.lea")</f>
        <v>https://www.tiktok.com/@dira.lea</v>
      </c>
      <c r="D441" s="23">
        <f>IFERROR(__xludf.DUMMYFUNCTION("""COMPUTED_VALUE"""),8.123009673E10)</f>
        <v>81230096730</v>
      </c>
      <c r="E441" s="457">
        <f>IFERROR(__xludf.DUMMYFUNCTION("""COMPUTED_VALUE"""),0.0)</f>
        <v>0</v>
      </c>
      <c r="F441" s="270">
        <f>IFERROR(__xludf.DUMMYFUNCTION("""COMPUTED_VALUE"""),4.0)</f>
        <v>4</v>
      </c>
      <c r="G441" s="17" t="str">
        <f>IFERROR(__xludf.DUMMYFUNCTION("""COMPUTED_VALUE"""),"Full Set")</f>
        <v>Full Set</v>
      </c>
      <c r="H441" s="17"/>
      <c r="I441" s="262"/>
      <c r="J441" s="262"/>
      <c r="K441" s="262"/>
      <c r="L441" s="262"/>
      <c r="M441" s="262"/>
    </row>
    <row r="442">
      <c r="A442" s="255" t="str">
        <f>IFERROR(__xludf.DUMMYFUNCTION("""COMPUTED_VALUE"""),"NANO")</f>
        <v>NANO</v>
      </c>
      <c r="B442" s="23" t="str">
        <f>IFERROR(__xludf.DUMMYFUNCTION("""COMPUTED_VALUE"""),"ariskanih")</f>
        <v>ariskanih</v>
      </c>
      <c r="C442" s="257" t="str">
        <f>IFERROR(__xludf.DUMMYFUNCTION("""COMPUTED_VALUE"""),"https://www.tiktok.com/@ariskanih")</f>
        <v>https://www.tiktok.com/@ariskanih</v>
      </c>
      <c r="D442" s="23">
        <f>IFERROR(__xludf.DUMMYFUNCTION("""COMPUTED_VALUE"""),8.5163103354E10)</f>
        <v>85163103354</v>
      </c>
      <c r="E442" s="457">
        <f>IFERROR(__xludf.DUMMYFUNCTION("""COMPUTED_VALUE"""),0.0)</f>
        <v>0</v>
      </c>
      <c r="F442" s="270">
        <f>IFERROR(__xludf.DUMMYFUNCTION("""COMPUTED_VALUE"""),4.0)</f>
        <v>4</v>
      </c>
      <c r="G442" s="17" t="str">
        <f>IFERROR(__xludf.DUMMYFUNCTION("""COMPUTED_VALUE"""),"Full Set")</f>
        <v>Full Set</v>
      </c>
      <c r="H442" s="17"/>
      <c r="I442" s="262"/>
      <c r="J442" s="262"/>
      <c r="K442" s="262"/>
      <c r="L442" s="262"/>
      <c r="M442" s="262"/>
    </row>
    <row r="443">
      <c r="A443" s="255" t="str">
        <f>IFERROR(__xludf.DUMMYFUNCTION("""COMPUTED_VALUE"""),"MICRO")</f>
        <v>MICRO</v>
      </c>
      <c r="B443" s="23" t="str">
        <f>IFERROR(__xludf.DUMMYFUNCTION("""COMPUTED_VALUE"""),"najwafitrii")</f>
        <v>najwafitrii</v>
      </c>
      <c r="C443" s="257" t="str">
        <f>IFERROR(__xludf.DUMMYFUNCTION("""COMPUTED_VALUE"""),"https://www.tiktok.com/@najwafitrii")</f>
        <v>https://www.tiktok.com/@najwafitrii</v>
      </c>
      <c r="D443" s="23">
        <f>IFERROR(__xludf.DUMMYFUNCTION("""COMPUTED_VALUE"""),8.5232822989E10)</f>
        <v>85232822989</v>
      </c>
      <c r="E443" s="457">
        <f>IFERROR(__xludf.DUMMYFUNCTION("""COMPUTED_VALUE"""),0.0)</f>
        <v>0</v>
      </c>
      <c r="F443" s="270">
        <f>IFERROR(__xludf.DUMMYFUNCTION("""COMPUTED_VALUE"""),4.0)</f>
        <v>4</v>
      </c>
      <c r="G443" s="17" t="str">
        <f>IFERROR(__xludf.DUMMYFUNCTION("""COMPUTED_VALUE"""),"Full Set")</f>
        <v>Full Set</v>
      </c>
      <c r="H443" s="17"/>
      <c r="I443" s="262"/>
      <c r="J443" s="262"/>
      <c r="K443" s="262"/>
      <c r="L443" s="262"/>
      <c r="M443" s="262"/>
    </row>
    <row r="444">
      <c r="A444" s="255" t="str">
        <f>IFERROR(__xludf.DUMMYFUNCTION("""COMPUTED_VALUE"""),"MICRO")</f>
        <v>MICRO</v>
      </c>
      <c r="B444" s="23" t="str">
        <f>IFERROR(__xludf.DUMMYFUNCTION("""COMPUTED_VALUE"""),"moez__2")</f>
        <v>moez__2</v>
      </c>
      <c r="C444" s="257" t="str">
        <f>IFERROR(__xludf.DUMMYFUNCTION("""COMPUTED_VALUE"""),"https://www.tiktok.com/@moez__2")</f>
        <v>https://www.tiktok.com/@moez__2</v>
      </c>
      <c r="D444" s="23">
        <f>IFERROR(__xludf.DUMMYFUNCTION("""COMPUTED_VALUE"""),8.953868221E11)</f>
        <v>895386822100</v>
      </c>
      <c r="E444" s="457">
        <f>IFERROR(__xludf.DUMMYFUNCTION("""COMPUTED_VALUE"""),0.0)</f>
        <v>0</v>
      </c>
      <c r="F444" s="270">
        <f>IFERROR(__xludf.DUMMYFUNCTION("""COMPUTED_VALUE"""),4.0)</f>
        <v>4</v>
      </c>
      <c r="G444" s="17" t="str">
        <f>IFERROR(__xludf.DUMMYFUNCTION("""COMPUTED_VALUE"""),"Full Set")</f>
        <v>Full Set</v>
      </c>
      <c r="H444" s="17"/>
      <c r="I444" s="278" t="str">
        <f>IFERROR(__xludf.DUMMYFUNCTION("""COMPUTED_VALUE"""),"https://www.tiktok.com/@moez__2/video/7643676824597318932?is_from_webapp=1&amp;sender_device=pc")</f>
        <v>https://www.tiktok.com/@moez__2/video/7643676824597318932?is_from_webapp=1&amp;sender_device=pc</v>
      </c>
      <c r="J444" s="262"/>
      <c r="K444" s="262"/>
      <c r="L444" s="262"/>
      <c r="M444" s="262"/>
    </row>
    <row r="445">
      <c r="A445" s="255" t="str">
        <f>IFERROR(__xludf.DUMMYFUNCTION("""COMPUTED_VALUE"""),"NANO")</f>
        <v>NANO</v>
      </c>
      <c r="B445" s="23" t="str">
        <f>IFERROR(__xludf.DUMMYFUNCTION("""COMPUTED_VALUE"""),"noncilla")</f>
        <v>noncilla</v>
      </c>
      <c r="C445" s="257" t="str">
        <f>IFERROR(__xludf.DUMMYFUNCTION("""COMPUTED_VALUE"""),"https://www.tiktok.com/@noncilla")</f>
        <v>https://www.tiktok.com/@noncilla</v>
      </c>
      <c r="D445" s="23">
        <f>IFERROR(__xludf.DUMMYFUNCTION("""COMPUTED_VALUE"""),8.9648957287E10)</f>
        <v>89648957287</v>
      </c>
      <c r="E445" s="457">
        <f>IFERROR(__xludf.DUMMYFUNCTION("""COMPUTED_VALUE"""),0.0)</f>
        <v>0</v>
      </c>
      <c r="F445" s="270">
        <f>IFERROR(__xludf.DUMMYFUNCTION("""COMPUTED_VALUE"""),4.0)</f>
        <v>4</v>
      </c>
      <c r="G445" s="17" t="str">
        <f>IFERROR(__xludf.DUMMYFUNCTION("""COMPUTED_VALUE"""),"Full Set")</f>
        <v>Full Set</v>
      </c>
      <c r="H445" s="17"/>
      <c r="I445" s="262"/>
      <c r="J445" s="262"/>
      <c r="K445" s="262"/>
      <c r="L445" s="262"/>
      <c r="M445" s="262"/>
    </row>
    <row r="446">
      <c r="A446" s="255" t="str">
        <f>IFERROR(__xludf.DUMMYFUNCTION("""COMPUTED_VALUE"""),"MICRO")</f>
        <v>MICRO</v>
      </c>
      <c r="B446" s="23" t="str">
        <f>IFERROR(__xludf.DUMMYFUNCTION("""COMPUTED_VALUE"""),"ana.trsyaa__")</f>
        <v>ana.trsyaa__</v>
      </c>
      <c r="C446" s="257" t="str">
        <f>IFERROR(__xludf.DUMMYFUNCTION("""COMPUTED_VALUE"""),"https://www.tiktok.com/@ana.trsyaa__")</f>
        <v>https://www.tiktok.com/@ana.trsyaa__</v>
      </c>
      <c r="D446" s="23">
        <f>IFERROR(__xludf.DUMMYFUNCTION("""COMPUTED_VALUE"""),8.5353133831E10)</f>
        <v>85353133831</v>
      </c>
      <c r="E446" s="457">
        <f>IFERROR(__xludf.DUMMYFUNCTION("""COMPUTED_VALUE"""),0.0)</f>
        <v>0</v>
      </c>
      <c r="F446" s="270">
        <f>IFERROR(__xludf.DUMMYFUNCTION("""COMPUTED_VALUE"""),4.0)</f>
        <v>4</v>
      </c>
      <c r="G446" s="17" t="str">
        <f>IFERROR(__xludf.DUMMYFUNCTION("""COMPUTED_VALUE"""),"Full Set")</f>
        <v>Full Set</v>
      </c>
      <c r="H446" s="17"/>
      <c r="I446" s="262"/>
      <c r="J446" s="262"/>
      <c r="K446" s="262"/>
      <c r="L446" s="262"/>
      <c r="M446" s="262"/>
    </row>
    <row r="447">
      <c r="A447" s="255" t="str">
        <f>IFERROR(__xludf.DUMMYFUNCTION("""COMPUTED_VALUE"""),"NANO")</f>
        <v>NANO</v>
      </c>
      <c r="B447" s="23" t="str">
        <f>IFERROR(__xludf.DUMMYFUNCTION("""COMPUTED_VALUE"""),"skincareadilah")</f>
        <v>skincareadilah</v>
      </c>
      <c r="C447" s="257" t="str">
        <f>IFERROR(__xludf.DUMMYFUNCTION("""COMPUTED_VALUE"""),"https://www.tiktok.com/@skincareadilah")</f>
        <v>https://www.tiktok.com/@skincareadilah</v>
      </c>
      <c r="D447" s="23">
        <f>IFERROR(__xludf.DUMMYFUNCTION("""COMPUTED_VALUE"""),8.2126599132E10)</f>
        <v>82126599132</v>
      </c>
      <c r="E447" s="457">
        <f>IFERROR(__xludf.DUMMYFUNCTION("""COMPUTED_VALUE"""),0.0)</f>
        <v>0</v>
      </c>
      <c r="F447" s="270">
        <f>IFERROR(__xludf.DUMMYFUNCTION("""COMPUTED_VALUE"""),4.0)</f>
        <v>4</v>
      </c>
      <c r="G447" s="17" t="str">
        <f>IFERROR(__xludf.DUMMYFUNCTION("""COMPUTED_VALUE"""),"Full Set")</f>
        <v>Full Set</v>
      </c>
      <c r="H447" s="17"/>
      <c r="I447" s="262"/>
      <c r="J447" s="262"/>
      <c r="K447" s="262"/>
      <c r="L447" s="262"/>
      <c r="M447" s="262"/>
    </row>
    <row r="448">
      <c r="A448" s="255" t="str">
        <f>IFERROR(__xludf.DUMMYFUNCTION("""COMPUTED_VALUE"""),"NANO")</f>
        <v>NANO</v>
      </c>
      <c r="B448" s="23" t="str">
        <f>IFERROR(__xludf.DUMMYFUNCTION("""COMPUTED_VALUE"""),"yuliaendita")</f>
        <v>yuliaendita</v>
      </c>
      <c r="C448" s="257" t="str">
        <f>IFERROR(__xludf.DUMMYFUNCTION("""COMPUTED_VALUE"""),"https://www.tiktok.com/@yuliaendita")</f>
        <v>https://www.tiktok.com/@yuliaendita</v>
      </c>
      <c r="D448" s="23">
        <f>IFERROR(__xludf.DUMMYFUNCTION("""COMPUTED_VALUE"""),8.5890481778E10)</f>
        <v>85890481778</v>
      </c>
      <c r="E448" s="457">
        <f>IFERROR(__xludf.DUMMYFUNCTION("""COMPUTED_VALUE"""),0.0)</f>
        <v>0</v>
      </c>
      <c r="F448" s="270">
        <f>IFERROR(__xludf.DUMMYFUNCTION("""COMPUTED_VALUE"""),4.0)</f>
        <v>4</v>
      </c>
      <c r="G448" s="17" t="str">
        <f>IFERROR(__xludf.DUMMYFUNCTION("""COMPUTED_VALUE"""),"Full Set")</f>
        <v>Full Set</v>
      </c>
      <c r="H448" s="17"/>
      <c r="I448" s="278" t="str">
        <f>IFERROR(__xludf.DUMMYFUNCTION("""COMPUTED_VALUE"""),"https://www.tiktok.com/@yuliaendita/video/7642994220525210888?is_from_webapp=1&amp;sender_device=pc")</f>
        <v>https://www.tiktok.com/@yuliaendita/video/7642994220525210888?is_from_webapp=1&amp;sender_device=pc</v>
      </c>
      <c r="J448" s="262"/>
      <c r="K448" s="262"/>
      <c r="L448" s="262"/>
      <c r="M448" s="262"/>
    </row>
    <row r="449">
      <c r="A449" s="255" t="str">
        <f>IFERROR(__xludf.DUMMYFUNCTION("""COMPUTED_VALUE"""),"NANO")</f>
        <v>NANO</v>
      </c>
      <c r="B449" s="23" t="str">
        <f>IFERROR(__xludf.DUMMYFUNCTION("""COMPUTED_VALUE"""),"fhateeem")</f>
        <v>fhateeem</v>
      </c>
      <c r="C449" s="257" t="str">
        <f>IFERROR(__xludf.DUMMYFUNCTION("""COMPUTED_VALUE"""),"https://www.tiktok.com/@fhateeem")</f>
        <v>https://www.tiktok.com/@fhateeem</v>
      </c>
      <c r="D449" s="23">
        <f>IFERROR(__xludf.DUMMYFUNCTION("""COMPUTED_VALUE"""),8.7741755537E10)</f>
        <v>87741755537</v>
      </c>
      <c r="E449" s="457">
        <f>IFERROR(__xludf.DUMMYFUNCTION("""COMPUTED_VALUE"""),0.0)</f>
        <v>0</v>
      </c>
      <c r="F449" s="270">
        <f>IFERROR(__xludf.DUMMYFUNCTION("""COMPUTED_VALUE"""),4.0)</f>
        <v>4</v>
      </c>
      <c r="G449" s="17" t="str">
        <f>IFERROR(__xludf.DUMMYFUNCTION("""COMPUTED_VALUE"""),"Full Set")</f>
        <v>Full Set</v>
      </c>
      <c r="H449" s="17"/>
      <c r="I449" s="262"/>
      <c r="J449" s="262"/>
      <c r="K449" s="262"/>
      <c r="L449" s="262"/>
      <c r="M449" s="262"/>
    </row>
    <row r="450">
      <c r="A450" s="255" t="str">
        <f>IFERROR(__xludf.DUMMYFUNCTION("""COMPUTED_VALUE"""),"NANO")</f>
        <v>NANO</v>
      </c>
      <c r="B450" s="23" t="str">
        <f>IFERROR(__xludf.DUMMYFUNCTION("""COMPUTED_VALUE"""),"iirna710")</f>
        <v>iirna710</v>
      </c>
      <c r="C450" s="257" t="str">
        <f>IFERROR(__xludf.DUMMYFUNCTION("""COMPUTED_VALUE"""),"https://www.tiktok.com/@iirna710")</f>
        <v>https://www.tiktok.com/@iirna710</v>
      </c>
      <c r="D450" s="23">
        <f>IFERROR(__xludf.DUMMYFUNCTION("""COMPUTED_VALUE"""),8.2317496763E10)</f>
        <v>82317496763</v>
      </c>
      <c r="E450" s="457">
        <f>IFERROR(__xludf.DUMMYFUNCTION("""COMPUTED_VALUE"""),0.0)</f>
        <v>0</v>
      </c>
      <c r="F450" s="270">
        <f>IFERROR(__xludf.DUMMYFUNCTION("""COMPUTED_VALUE"""),4.0)</f>
        <v>4</v>
      </c>
      <c r="G450" s="17" t="str">
        <f>IFERROR(__xludf.DUMMYFUNCTION("""COMPUTED_VALUE"""),"Full Set")</f>
        <v>Full Set</v>
      </c>
      <c r="H450" s="17"/>
      <c r="I450" s="262"/>
      <c r="J450" s="262"/>
      <c r="K450" s="262"/>
      <c r="L450" s="262"/>
      <c r="M450" s="262"/>
    </row>
    <row r="451">
      <c r="A451" s="255" t="str">
        <f>IFERROR(__xludf.DUMMYFUNCTION("""COMPUTED_VALUE"""),"NANO")</f>
        <v>NANO</v>
      </c>
      <c r="B451" s="23" t="str">
        <f>IFERROR(__xludf.DUMMYFUNCTION("""COMPUTED_VALUE"""),"chocoloverrr.__")</f>
        <v>chocoloverrr.__</v>
      </c>
      <c r="C451" s="257" t="str">
        <f>IFERROR(__xludf.DUMMYFUNCTION("""COMPUTED_VALUE"""),"https://www.tiktok.com/@chocoloverrr.__")</f>
        <v>https://www.tiktok.com/@chocoloverrr.__</v>
      </c>
      <c r="D451" s="23">
        <f>IFERROR(__xludf.DUMMYFUNCTION("""COMPUTED_VALUE"""),8.1937284623E10)</f>
        <v>81937284623</v>
      </c>
      <c r="E451" s="457">
        <f>IFERROR(__xludf.DUMMYFUNCTION("""COMPUTED_VALUE"""),0.0)</f>
        <v>0</v>
      </c>
      <c r="F451" s="270">
        <f>IFERROR(__xludf.DUMMYFUNCTION("""COMPUTED_VALUE"""),4.0)</f>
        <v>4</v>
      </c>
      <c r="G451" s="17" t="str">
        <f>IFERROR(__xludf.DUMMYFUNCTION("""COMPUTED_VALUE"""),"Full Set")</f>
        <v>Full Set</v>
      </c>
      <c r="H451" s="17"/>
      <c r="I451" s="262"/>
      <c r="J451" s="262"/>
      <c r="K451" s="262"/>
      <c r="L451" s="262"/>
      <c r="M451" s="262"/>
    </row>
    <row r="452">
      <c r="A452" s="255" t="str">
        <f>IFERROR(__xludf.DUMMYFUNCTION("""COMPUTED_VALUE"""),"NANO")</f>
        <v>NANO</v>
      </c>
      <c r="B452" s="23" t="str">
        <f>IFERROR(__xludf.DUMMYFUNCTION("""COMPUTED_VALUE"""),"hello.fira")</f>
        <v>hello.fira</v>
      </c>
      <c r="C452" s="257" t="str">
        <f>IFERROR(__xludf.DUMMYFUNCTION("""COMPUTED_VALUE"""),"https://www.tiktok.com/@hello.fira")</f>
        <v>https://www.tiktok.com/@hello.fira</v>
      </c>
      <c r="D452" s="23">
        <f>IFERROR(__xludf.DUMMYFUNCTION("""COMPUTED_VALUE"""),8.558042078E9)</f>
        <v>8558042078</v>
      </c>
      <c r="E452" s="457">
        <f>IFERROR(__xludf.DUMMYFUNCTION("""COMPUTED_VALUE"""),0.0)</f>
        <v>0</v>
      </c>
      <c r="F452" s="270">
        <f>IFERROR(__xludf.DUMMYFUNCTION("""COMPUTED_VALUE"""),4.0)</f>
        <v>4</v>
      </c>
      <c r="G452" s="17" t="str">
        <f>IFERROR(__xludf.DUMMYFUNCTION("""COMPUTED_VALUE"""),"Full Set")</f>
        <v>Full Set</v>
      </c>
      <c r="H452" s="17"/>
      <c r="I452" s="262"/>
      <c r="J452" s="262"/>
      <c r="K452" s="262"/>
      <c r="L452" s="262"/>
      <c r="M452" s="262"/>
    </row>
    <row r="453">
      <c r="A453" s="255" t="str">
        <f>IFERROR(__xludf.DUMMYFUNCTION("""COMPUTED_VALUE"""),"NANO")</f>
        <v>NANO</v>
      </c>
      <c r="B453" s="257" t="str">
        <f>IFERROR(__xludf.DUMMYFUNCTION("""COMPUTED_VALUE"""),"joys.co")</f>
        <v>joys.co</v>
      </c>
      <c r="C453" s="257" t="str">
        <f>IFERROR(__xludf.DUMMYFUNCTION("""COMPUTED_VALUE"""),"https://www.tiktok.com/@joys.co")</f>
        <v>https://www.tiktok.com/@joys.co</v>
      </c>
      <c r="D453" s="23">
        <f>IFERROR(__xludf.DUMMYFUNCTION("""COMPUTED_VALUE"""),8.5733785719E10)</f>
        <v>85733785719</v>
      </c>
      <c r="E453" s="457">
        <f>IFERROR(__xludf.DUMMYFUNCTION("""COMPUTED_VALUE"""),0.0)</f>
        <v>0</v>
      </c>
      <c r="F453" s="270">
        <f>IFERROR(__xludf.DUMMYFUNCTION("""COMPUTED_VALUE"""),4.0)</f>
        <v>4</v>
      </c>
      <c r="G453" s="17" t="str">
        <f>IFERROR(__xludf.DUMMYFUNCTION("""COMPUTED_VALUE"""),"Full Set")</f>
        <v>Full Set</v>
      </c>
      <c r="H453" s="17"/>
      <c r="I453" s="262"/>
      <c r="J453" s="262"/>
      <c r="K453" s="262"/>
      <c r="L453" s="262"/>
      <c r="M453" s="262"/>
    </row>
    <row r="454">
      <c r="A454" s="255" t="str">
        <f>IFERROR(__xludf.DUMMYFUNCTION("""COMPUTED_VALUE"""),"NANO")</f>
        <v>NANO</v>
      </c>
      <c r="B454" s="23" t="str">
        <f>IFERROR(__xludf.DUMMYFUNCTION("""COMPUTED_VALUE"""),"Ressaramdhan")</f>
        <v>Ressaramdhan</v>
      </c>
      <c r="C454" s="257" t="str">
        <f>IFERROR(__xludf.DUMMYFUNCTION("""COMPUTED_VALUE"""),"https://www.tiktok.com/@Ressaramdhan")</f>
        <v>https://www.tiktok.com/@Ressaramdhan</v>
      </c>
      <c r="D454" s="23"/>
      <c r="E454" s="457">
        <f>IFERROR(__xludf.DUMMYFUNCTION("""COMPUTED_VALUE"""),0.0)</f>
        <v>0</v>
      </c>
      <c r="F454" s="270">
        <f>IFERROR(__xludf.DUMMYFUNCTION("""COMPUTED_VALUE"""),4.0)</f>
        <v>4</v>
      </c>
      <c r="G454" s="17" t="str">
        <f>IFERROR(__xludf.DUMMYFUNCTION("""COMPUTED_VALUE"""),"Full Set")</f>
        <v>Full Set</v>
      </c>
      <c r="H454" s="17"/>
      <c r="I454" s="262"/>
      <c r="J454" s="262"/>
      <c r="K454" s="262"/>
      <c r="L454" s="262"/>
      <c r="M454" s="262"/>
    </row>
    <row r="455">
      <c r="A455" s="255" t="str">
        <f>IFERROR(__xludf.DUMMYFUNCTION("""COMPUTED_VALUE"""),"NANO")</f>
        <v>NANO</v>
      </c>
      <c r="B455" s="23" t="str">
        <f>IFERROR(__xludf.DUMMYFUNCTION("""COMPUTED_VALUE"""),"yhumigalsaa24")</f>
        <v>yhumigalsaa24</v>
      </c>
      <c r="C455" s="257" t="str">
        <f>IFERROR(__xludf.DUMMYFUNCTION("""COMPUTED_VALUE"""),"https://www.tiktok.com/@yhumigalsaa24")</f>
        <v>https://www.tiktok.com/@yhumigalsaa24</v>
      </c>
      <c r="D455" s="23"/>
      <c r="E455" s="457">
        <f>IFERROR(__xludf.DUMMYFUNCTION("""COMPUTED_VALUE"""),0.0)</f>
        <v>0</v>
      </c>
      <c r="F455" s="270">
        <f>IFERROR(__xludf.DUMMYFUNCTION("""COMPUTED_VALUE"""),4.0)</f>
        <v>4</v>
      </c>
      <c r="G455" s="17" t="str">
        <f>IFERROR(__xludf.DUMMYFUNCTION("""COMPUTED_VALUE"""),"Full Set")</f>
        <v>Full Set</v>
      </c>
      <c r="H455" s="17"/>
      <c r="I455" s="262"/>
      <c r="J455" s="262"/>
      <c r="K455" s="262"/>
      <c r="L455" s="262"/>
      <c r="M455" s="262"/>
    </row>
    <row r="456">
      <c r="A456" s="255" t="str">
        <f>IFERROR(__xludf.DUMMYFUNCTION("""COMPUTED_VALUE"""),"NANO")</f>
        <v>NANO</v>
      </c>
      <c r="B456" s="23" t="str">
        <f>IFERROR(__xludf.DUMMYFUNCTION("""COMPUTED_VALUE"""),"aunika.nika")</f>
        <v>aunika.nika</v>
      </c>
      <c r="C456" s="257" t="str">
        <f>IFERROR(__xludf.DUMMYFUNCTION("""COMPUTED_VALUE"""),"https://www.tiktok.com/@aunika.nika")</f>
        <v>https://www.tiktok.com/@aunika.nika</v>
      </c>
      <c r="D456" s="23"/>
      <c r="E456" s="457">
        <f>IFERROR(__xludf.DUMMYFUNCTION("""COMPUTED_VALUE"""),0.0)</f>
        <v>0</v>
      </c>
      <c r="F456" s="270">
        <f>IFERROR(__xludf.DUMMYFUNCTION("""COMPUTED_VALUE"""),4.0)</f>
        <v>4</v>
      </c>
      <c r="G456" s="17" t="str">
        <f>IFERROR(__xludf.DUMMYFUNCTION("""COMPUTED_VALUE"""),"Full Set")</f>
        <v>Full Set</v>
      </c>
      <c r="H456" s="17"/>
      <c r="I456" s="278" t="str">
        <f>IFERROR(__xludf.DUMMYFUNCTION("""COMPUTED_VALUE"""),"https://www.tiktok.com/@aunika.nika/video/7642625075610455303?is_from_webapp=1&amp;sender_device=pc")</f>
        <v>https://www.tiktok.com/@aunika.nika/video/7642625075610455303?is_from_webapp=1&amp;sender_device=pc</v>
      </c>
      <c r="J456" s="278" t="str">
        <f>IFERROR(__xludf.DUMMYFUNCTION("""COMPUTED_VALUE"""),"https://www.tiktok.com/@aunika.nika/video/7643721701070490887?is_from_webapp=1&amp;sender_device=pc")</f>
        <v>https://www.tiktok.com/@aunika.nika/video/7643721701070490887?is_from_webapp=1&amp;sender_device=pc</v>
      </c>
      <c r="K456" s="278" t="str">
        <f>IFERROR(__xludf.DUMMYFUNCTION("""COMPUTED_VALUE"""),"https://www.tiktok.com/@aunika.nika/video/7643732113962847496?is_from_webapp=1&amp;sender_device=pc")</f>
        <v>https://www.tiktok.com/@aunika.nika/video/7643732113962847496?is_from_webapp=1&amp;sender_device=pc</v>
      </c>
      <c r="L456" s="278" t="str">
        <f>IFERROR(__xludf.DUMMYFUNCTION("""COMPUTED_VALUE"""),"https://www.tiktok.com/@aunika.nika/video/7644035110777441554?is_from_webapp=1&amp;sender_device=pc")</f>
        <v>https://www.tiktok.com/@aunika.nika/video/7644035110777441554?is_from_webapp=1&amp;sender_device=pc</v>
      </c>
      <c r="M456" s="262"/>
    </row>
    <row r="457">
      <c r="A457" s="255" t="str">
        <f>IFERROR(__xludf.DUMMYFUNCTION("""COMPUTED_VALUE"""),"MICRO")</f>
        <v>MICRO</v>
      </c>
      <c r="B457" s="23" t="str">
        <f>IFERROR(__xludf.DUMMYFUNCTION("""COMPUTED_VALUE"""),"riska_officiall")</f>
        <v>riska_officiall</v>
      </c>
      <c r="C457" s="257" t="str">
        <f>IFERROR(__xludf.DUMMYFUNCTION("""COMPUTED_VALUE"""),"https://www.tiktok.com/@riska_officiall")</f>
        <v>https://www.tiktok.com/@riska_officiall</v>
      </c>
      <c r="D457" s="23">
        <f>IFERROR(__xludf.DUMMYFUNCTION("""COMPUTED_VALUE"""),8.5261666106E10)</f>
        <v>85261666106</v>
      </c>
      <c r="E457" s="457">
        <f>IFERROR(__xludf.DUMMYFUNCTION("""COMPUTED_VALUE"""),0.0)</f>
        <v>0</v>
      </c>
      <c r="F457" s="270">
        <f>IFERROR(__xludf.DUMMYFUNCTION("""COMPUTED_VALUE"""),4.0)</f>
        <v>4</v>
      </c>
      <c r="G457" s="17" t="str">
        <f>IFERROR(__xludf.DUMMYFUNCTION("""COMPUTED_VALUE"""),"Full Set")</f>
        <v>Full Set</v>
      </c>
      <c r="H457" s="17"/>
      <c r="I457" s="262"/>
      <c r="J457" s="262"/>
      <c r="K457" s="262"/>
      <c r="L457" s="262"/>
      <c r="M457" s="262"/>
    </row>
    <row r="458">
      <c r="A458" s="255" t="str">
        <f>IFERROR(__xludf.DUMMYFUNCTION("""COMPUTED_VALUE"""),"NANO")</f>
        <v>NANO</v>
      </c>
      <c r="B458" s="23" t="str">
        <f>IFERROR(__xludf.DUMMYFUNCTION("""COMPUTED_VALUE"""),"cookiesscream_anna")</f>
        <v>cookiesscream_anna</v>
      </c>
      <c r="C458" s="257" t="str">
        <f>IFERROR(__xludf.DUMMYFUNCTION("""COMPUTED_VALUE"""),"https://www.tiktok.com/@cookiesscream_anna")</f>
        <v>https://www.tiktok.com/@cookiesscream_anna</v>
      </c>
      <c r="D458" s="23">
        <f>IFERROR(__xludf.DUMMYFUNCTION("""COMPUTED_VALUE"""),8.5694176076E10)</f>
        <v>85694176076</v>
      </c>
      <c r="E458" s="457">
        <f>IFERROR(__xludf.DUMMYFUNCTION("""COMPUTED_VALUE"""),0.0)</f>
        <v>0</v>
      </c>
      <c r="F458" s="270">
        <f>IFERROR(__xludf.DUMMYFUNCTION("""COMPUTED_VALUE"""),4.0)</f>
        <v>4</v>
      </c>
      <c r="G458" s="17" t="str">
        <f>IFERROR(__xludf.DUMMYFUNCTION("""COMPUTED_VALUE"""),"Full Set")</f>
        <v>Full Set</v>
      </c>
      <c r="H458" s="17"/>
      <c r="I458" s="262"/>
      <c r="J458" s="262"/>
      <c r="K458" s="262"/>
      <c r="L458" s="262"/>
      <c r="M458" s="262"/>
    </row>
    <row r="459">
      <c r="A459" s="255" t="str">
        <f>IFERROR(__xludf.DUMMYFUNCTION("""COMPUTED_VALUE"""),"NANO")</f>
        <v>NANO</v>
      </c>
      <c r="B459" s="23" t="str">
        <f>IFERROR(__xludf.DUMMYFUNCTION("""COMPUTED_VALUE"""),"dwierlangga.sari205")</f>
        <v>dwierlangga.sari205</v>
      </c>
      <c r="C459" s="257" t="str">
        <f>IFERROR(__xludf.DUMMYFUNCTION("""COMPUTED_VALUE"""),"https://www.tiktok.com/@dwierlangga.sari205")</f>
        <v>https://www.tiktok.com/@dwierlangga.sari205</v>
      </c>
      <c r="D459" s="23">
        <f>IFERROR(__xludf.DUMMYFUNCTION("""COMPUTED_VALUE"""),8.1366186843E10)</f>
        <v>81366186843</v>
      </c>
      <c r="E459" s="457">
        <f>IFERROR(__xludf.DUMMYFUNCTION("""COMPUTED_VALUE"""),0.0)</f>
        <v>0</v>
      </c>
      <c r="F459" s="270">
        <f>IFERROR(__xludf.DUMMYFUNCTION("""COMPUTED_VALUE"""),4.0)</f>
        <v>4</v>
      </c>
      <c r="G459" s="17" t="str">
        <f>IFERROR(__xludf.DUMMYFUNCTION("""COMPUTED_VALUE"""),"Full Set")</f>
        <v>Full Set</v>
      </c>
      <c r="H459" s="17"/>
      <c r="I459" s="278" t="str">
        <f>IFERROR(__xludf.DUMMYFUNCTION("""COMPUTED_VALUE"""),"https://www.tiktok.com/@dwierlangga.sari205/video/7643289677859917077?is_from_webapp=1&amp;sender_device=pc")</f>
        <v>https://www.tiktok.com/@dwierlangga.sari205/video/7643289677859917077?is_from_webapp=1&amp;sender_device=pc</v>
      </c>
      <c r="J459" s="262"/>
      <c r="K459" s="262"/>
      <c r="L459" s="262"/>
      <c r="M459" s="262"/>
    </row>
    <row r="460">
      <c r="A460" s="255" t="str">
        <f>IFERROR(__xludf.DUMMYFUNCTION("""COMPUTED_VALUE"""),"NANO")</f>
        <v>NANO</v>
      </c>
      <c r="B460" s="23" t="str">
        <f>IFERROR(__xludf.DUMMYFUNCTION("""COMPUTED_VALUE"""),"yntsr12 ")</f>
        <v>yntsr12 </v>
      </c>
      <c r="C460" s="257" t="str">
        <f>IFERROR(__xludf.DUMMYFUNCTION("""COMPUTED_VALUE"""),"https://www.tiktok.com/@yntsr12 ")</f>
        <v>https://www.tiktok.com/@yntsr12 </v>
      </c>
      <c r="D460" s="23"/>
      <c r="E460" s="457">
        <f>IFERROR(__xludf.DUMMYFUNCTION("""COMPUTED_VALUE"""),0.0)</f>
        <v>0</v>
      </c>
      <c r="F460" s="270">
        <f>IFERROR(__xludf.DUMMYFUNCTION("""COMPUTED_VALUE"""),4.0)</f>
        <v>4</v>
      </c>
      <c r="G460" s="17" t="str">
        <f>IFERROR(__xludf.DUMMYFUNCTION("""COMPUTED_VALUE"""),"Full Set")</f>
        <v>Full Set</v>
      </c>
      <c r="H460" s="17"/>
      <c r="I460" s="262"/>
      <c r="J460" s="262"/>
      <c r="K460" s="262"/>
      <c r="L460" s="262"/>
      <c r="M460" s="262"/>
    </row>
    <row r="461">
      <c r="A461" s="255" t="str">
        <f>IFERROR(__xludf.DUMMYFUNCTION("""COMPUTED_VALUE"""),"NANO")</f>
        <v>NANO</v>
      </c>
      <c r="B461" s="23" t="str">
        <f>IFERROR(__xludf.DUMMYFUNCTION("""COMPUTED_VALUE"""),"sutanalif08")</f>
        <v>sutanalif08</v>
      </c>
      <c r="C461" s="257" t="str">
        <f>IFERROR(__xludf.DUMMYFUNCTION("""COMPUTED_VALUE"""),"https://www.tiktok.com/@sutanalif08")</f>
        <v>https://www.tiktok.com/@sutanalif08</v>
      </c>
      <c r="D461" s="23"/>
      <c r="E461" s="457">
        <f>IFERROR(__xludf.DUMMYFUNCTION("""COMPUTED_VALUE"""),0.0)</f>
        <v>0</v>
      </c>
      <c r="F461" s="270">
        <f>IFERROR(__xludf.DUMMYFUNCTION("""COMPUTED_VALUE"""),4.0)</f>
        <v>4</v>
      </c>
      <c r="G461" s="17" t="str">
        <f>IFERROR(__xludf.DUMMYFUNCTION("""COMPUTED_VALUE"""),"Full Set")</f>
        <v>Full Set</v>
      </c>
      <c r="H461" s="17"/>
      <c r="I461" s="278" t="str">
        <f>IFERROR(__xludf.DUMMYFUNCTION("""COMPUTED_VALUE"""),"https://www.tiktok.com/@sutanalif08/video/7644001415349751061?is_from_webapp=1&amp;sender_device=pc")</f>
        <v>https://www.tiktok.com/@sutanalif08/video/7644001415349751061?is_from_webapp=1&amp;sender_device=pc</v>
      </c>
      <c r="J461" s="262"/>
      <c r="K461" s="262"/>
      <c r="L461" s="262"/>
      <c r="M461" s="262"/>
    </row>
    <row r="462">
      <c r="A462" s="255" t="str">
        <f>IFERROR(__xludf.DUMMYFUNCTION("""COMPUTED_VALUE"""),"NANO")</f>
        <v>NANO</v>
      </c>
      <c r="B462" s="23" t="str">
        <f>IFERROR(__xludf.DUMMYFUNCTION("""COMPUTED_VALUE"""),"ebytrie02")</f>
        <v>ebytrie02</v>
      </c>
      <c r="C462" s="257" t="str">
        <f>IFERROR(__xludf.DUMMYFUNCTION("""COMPUTED_VALUE"""),"https://www.tiktok.com/@ebytrie02")</f>
        <v>https://www.tiktok.com/@ebytrie02</v>
      </c>
      <c r="D462" s="23"/>
      <c r="E462" s="457">
        <f>IFERROR(__xludf.DUMMYFUNCTION("""COMPUTED_VALUE"""),0.0)</f>
        <v>0</v>
      </c>
      <c r="F462" s="270">
        <f>IFERROR(__xludf.DUMMYFUNCTION("""COMPUTED_VALUE"""),4.0)</f>
        <v>4</v>
      </c>
      <c r="G462" s="17" t="str">
        <f>IFERROR(__xludf.DUMMYFUNCTION("""COMPUTED_VALUE"""),"Full Set")</f>
        <v>Full Set</v>
      </c>
      <c r="H462" s="17"/>
      <c r="I462" s="262"/>
      <c r="J462" s="262"/>
      <c r="K462" s="262"/>
      <c r="L462" s="262"/>
      <c r="M462" s="262"/>
    </row>
    <row r="463">
      <c r="A463" s="255" t="str">
        <f>IFERROR(__xludf.DUMMYFUNCTION("""COMPUTED_VALUE"""),"NANO")</f>
        <v>NANO</v>
      </c>
      <c r="B463" s="23" t="str">
        <f>IFERROR(__xludf.DUMMYFUNCTION("""COMPUTED_VALUE"""),"ms_9305")</f>
        <v>ms_9305</v>
      </c>
      <c r="C463" s="257" t="str">
        <f>IFERROR(__xludf.DUMMYFUNCTION("""COMPUTED_VALUE"""),"https://www.tiktok.com/@ms_9305")</f>
        <v>https://www.tiktok.com/@ms_9305</v>
      </c>
      <c r="D463" s="23"/>
      <c r="E463" s="457">
        <f>IFERROR(__xludf.DUMMYFUNCTION("""COMPUTED_VALUE"""),0.0)</f>
        <v>0</v>
      </c>
      <c r="F463" s="270">
        <f>IFERROR(__xludf.DUMMYFUNCTION("""COMPUTED_VALUE"""),4.0)</f>
        <v>4</v>
      </c>
      <c r="G463" s="17" t="str">
        <f>IFERROR(__xludf.DUMMYFUNCTION("""COMPUTED_VALUE"""),"Full Set")</f>
        <v>Full Set</v>
      </c>
      <c r="H463" s="17"/>
      <c r="I463" s="278" t="str">
        <f>IFERROR(__xludf.DUMMYFUNCTION("""COMPUTED_VALUE"""),"https://www.tiktok.com/@ms_9305/video/7642852332362861845?is_from_webapp=1&amp;sender_device=pc")</f>
        <v>https://www.tiktok.com/@ms_9305/video/7642852332362861845?is_from_webapp=1&amp;sender_device=pc</v>
      </c>
      <c r="J463" s="278" t="str">
        <f>IFERROR(__xludf.DUMMYFUNCTION("""COMPUTED_VALUE"""),"https://www.tiktok.com/@ms_9305/video/7643618293508590868?is_from_webapp=1&amp;sender_device=pc")</f>
        <v>https://www.tiktok.com/@ms_9305/video/7643618293508590868?is_from_webapp=1&amp;sender_device=pc</v>
      </c>
      <c r="K463" s="262"/>
      <c r="L463" s="262"/>
      <c r="M463" s="262"/>
    </row>
    <row r="464">
      <c r="A464" s="255" t="str">
        <f>IFERROR(__xludf.DUMMYFUNCTION("""COMPUTED_VALUE"""),"NANO")</f>
        <v>NANO</v>
      </c>
      <c r="B464" s="23" t="str">
        <f>IFERROR(__xludf.DUMMYFUNCTION("""COMPUTED_VALUE"""),"chaunel99")</f>
        <v>chaunel99</v>
      </c>
      <c r="C464" s="257" t="str">
        <f>IFERROR(__xludf.DUMMYFUNCTION("""COMPUTED_VALUE"""),"https://www.tiktok.com/@chaunel99")</f>
        <v>https://www.tiktok.com/@chaunel99</v>
      </c>
      <c r="D464" s="23"/>
      <c r="E464" s="457">
        <f>IFERROR(__xludf.DUMMYFUNCTION("""COMPUTED_VALUE"""),0.0)</f>
        <v>0</v>
      </c>
      <c r="F464" s="270">
        <f>IFERROR(__xludf.DUMMYFUNCTION("""COMPUTED_VALUE"""),4.0)</f>
        <v>4</v>
      </c>
      <c r="G464" s="17" t="str">
        <f>IFERROR(__xludf.DUMMYFUNCTION("""COMPUTED_VALUE"""),"Full Set")</f>
        <v>Full Set</v>
      </c>
      <c r="H464" s="17"/>
      <c r="I464" s="278" t="str">
        <f>IFERROR(__xludf.DUMMYFUNCTION("""COMPUTED_VALUE"""),"https://www.tiktok.com/@chaunel99/video/7642519823217347861?is_from_webapp=1&amp;sender_device=pc")</f>
        <v>https://www.tiktok.com/@chaunel99/video/7642519823217347861?is_from_webapp=1&amp;sender_device=pc</v>
      </c>
      <c r="J464" s="262"/>
      <c r="K464" s="262"/>
      <c r="L464" s="262"/>
      <c r="M464" s="262"/>
    </row>
    <row r="465">
      <c r="A465" s="255" t="str">
        <f>IFERROR(__xludf.DUMMYFUNCTION("""COMPUTED_VALUE"""),"NANO")</f>
        <v>NANO</v>
      </c>
      <c r="B465" s="23" t="str">
        <f>IFERROR(__xludf.DUMMYFUNCTION("""COMPUTED_VALUE"""),"Annisa Khumalawatul ")</f>
        <v>Annisa Khumalawatul </v>
      </c>
      <c r="C465" s="23" t="str">
        <f>IFERROR(__xludf.DUMMYFUNCTION("""COMPUTED_VALUE"""),"https://www.tiktok.com/@Annisa Khumalawatul ")</f>
        <v>https://www.tiktok.com/@Annisa Khumalawatul </v>
      </c>
      <c r="D465" s="23"/>
      <c r="E465" s="457">
        <f>IFERROR(__xludf.DUMMYFUNCTION("""COMPUTED_VALUE"""),0.0)</f>
        <v>0</v>
      </c>
      <c r="F465" s="270">
        <f>IFERROR(__xludf.DUMMYFUNCTION("""COMPUTED_VALUE"""),4.0)</f>
        <v>4</v>
      </c>
      <c r="G465" s="17" t="str">
        <f>IFERROR(__xludf.DUMMYFUNCTION("""COMPUTED_VALUE"""),"Full Set")</f>
        <v>Full Set</v>
      </c>
      <c r="H465" s="17"/>
      <c r="I465" s="262"/>
      <c r="J465" s="262"/>
      <c r="K465" s="262"/>
      <c r="L465" s="262"/>
      <c r="M465" s="262"/>
    </row>
    <row r="466">
      <c r="A466" s="255" t="str">
        <f>IFERROR(__xludf.DUMMYFUNCTION("""COMPUTED_VALUE"""),"NANO")</f>
        <v>NANO</v>
      </c>
      <c r="B466" s="23" t="str">
        <f>IFERROR(__xludf.DUMMYFUNCTION("""COMPUTED_VALUE"""),"ruhamaaa6 ")</f>
        <v>ruhamaaa6 </v>
      </c>
      <c r="C466" s="257" t="str">
        <f>IFERROR(__xludf.DUMMYFUNCTION("""COMPUTED_VALUE"""),"https://www.tiktok.com/@ruhamaaa6 ")</f>
        <v>https://www.tiktok.com/@ruhamaaa6 </v>
      </c>
      <c r="D466" s="23"/>
      <c r="E466" s="457">
        <f>IFERROR(__xludf.DUMMYFUNCTION("""COMPUTED_VALUE"""),0.0)</f>
        <v>0</v>
      </c>
      <c r="F466" s="270">
        <f>IFERROR(__xludf.DUMMYFUNCTION("""COMPUTED_VALUE"""),4.0)</f>
        <v>4</v>
      </c>
      <c r="G466" s="17" t="str">
        <f>IFERROR(__xludf.DUMMYFUNCTION("""COMPUTED_VALUE"""),"Full Set")</f>
        <v>Full Set</v>
      </c>
      <c r="H466" s="17"/>
      <c r="I466" s="278" t="str">
        <f>IFERROR(__xludf.DUMMYFUNCTION("""COMPUTED_VALUE"""),"https://www.tiktok.com/@ruhamaaa6/video/7643251005529820434?is_from_webapp=1&amp;sender_device=pc")</f>
        <v>https://www.tiktok.com/@ruhamaaa6/video/7643251005529820434?is_from_webapp=1&amp;sender_device=pc</v>
      </c>
      <c r="J466" s="278" t="str">
        <f>IFERROR(__xludf.DUMMYFUNCTION("""COMPUTED_VALUE"""),"https://www.tiktok.com/@ruhamaaa6/video/7643618705829547271?is_from_webapp=1&amp;sender_device=pc")</f>
        <v>https://www.tiktok.com/@ruhamaaa6/video/7643618705829547271?is_from_webapp=1&amp;sender_device=pc</v>
      </c>
      <c r="K466" s="262"/>
      <c r="L466" s="262"/>
      <c r="M466" s="262"/>
    </row>
    <row r="467">
      <c r="A467" s="255" t="str">
        <f>IFERROR(__xludf.DUMMYFUNCTION("""COMPUTED_VALUE"""),"NANO")</f>
        <v>NANO</v>
      </c>
      <c r="B467" s="23" t="str">
        <f>IFERROR(__xludf.DUMMYFUNCTION("""COMPUTED_VALUE"""),"santiismawati25 ")</f>
        <v>santiismawati25 </v>
      </c>
      <c r="C467" s="257" t="str">
        <f>IFERROR(__xludf.DUMMYFUNCTION("""COMPUTED_VALUE"""),"https://www.tiktok.com/@santiismawati25 ")</f>
        <v>https://www.tiktok.com/@santiismawati25 </v>
      </c>
      <c r="D467" s="23"/>
      <c r="E467" s="457">
        <f>IFERROR(__xludf.DUMMYFUNCTION("""COMPUTED_VALUE"""),0.0)</f>
        <v>0</v>
      </c>
      <c r="F467" s="270">
        <f>IFERROR(__xludf.DUMMYFUNCTION("""COMPUTED_VALUE"""),4.0)</f>
        <v>4</v>
      </c>
      <c r="G467" s="17" t="str">
        <f>IFERROR(__xludf.DUMMYFUNCTION("""COMPUTED_VALUE"""),"Full Set")</f>
        <v>Full Set</v>
      </c>
      <c r="H467" s="17"/>
      <c r="I467" s="278" t="str">
        <f>IFERROR(__xludf.DUMMYFUNCTION("""COMPUTED_VALUE"""),"https://www.tiktok.com/@santiismawati25/video/7642692838207016200?is_from_webapp=1&amp;sender_device=pc")</f>
        <v>https://www.tiktok.com/@santiismawati25/video/7642692838207016200?is_from_webapp=1&amp;sender_device=pc</v>
      </c>
      <c r="J467" s="278" t="str">
        <f>IFERROR(__xludf.DUMMYFUNCTION("""COMPUTED_VALUE"""),"https://www.tiktok.com/@santiismawati25/video/7643830798084328722?is_from_webapp=1&amp;sender_device=pc")</f>
        <v>https://www.tiktok.com/@santiismawati25/video/7643830798084328722?is_from_webapp=1&amp;sender_device=pc</v>
      </c>
      <c r="K467" s="262"/>
      <c r="L467" s="262"/>
      <c r="M467" s="262"/>
    </row>
    <row r="468">
      <c r="A468" s="255" t="str">
        <f>IFERROR(__xludf.DUMMYFUNCTION("""COMPUTED_VALUE"""),"NANO")</f>
        <v>NANO</v>
      </c>
      <c r="B468" s="23" t="str">
        <f>IFERROR(__xludf.DUMMYFUNCTION("""COMPUTED_VALUE"""),"_farida76")</f>
        <v>_farida76</v>
      </c>
      <c r="C468" s="257" t="str">
        <f>IFERROR(__xludf.DUMMYFUNCTION("""COMPUTED_VALUE"""),"https://www.tiktok.com/@_farida76")</f>
        <v>https://www.tiktok.com/@_farida76</v>
      </c>
      <c r="D468" s="23"/>
      <c r="E468" s="457">
        <f>IFERROR(__xludf.DUMMYFUNCTION("""COMPUTED_VALUE"""),0.0)</f>
        <v>0</v>
      </c>
      <c r="F468" s="270">
        <f>IFERROR(__xludf.DUMMYFUNCTION("""COMPUTED_VALUE"""),4.0)</f>
        <v>4</v>
      </c>
      <c r="G468" s="17" t="str">
        <f>IFERROR(__xludf.DUMMYFUNCTION("""COMPUTED_VALUE"""),"Full Set")</f>
        <v>Full Set</v>
      </c>
      <c r="H468" s="17"/>
      <c r="I468" s="262"/>
      <c r="J468" s="262"/>
      <c r="K468" s="262"/>
      <c r="L468" s="262"/>
      <c r="M468" s="262"/>
    </row>
    <row r="469">
      <c r="A469" s="255" t="str">
        <f>IFERROR(__xludf.DUMMYFUNCTION("""COMPUTED_VALUE"""),"NANO")</f>
        <v>NANO</v>
      </c>
      <c r="B469" s="23" t="str">
        <f>IFERROR(__xludf.DUMMYFUNCTION("""COMPUTED_VALUE"""),"maramara16_")</f>
        <v>maramara16_</v>
      </c>
      <c r="C469" s="257" t="str">
        <f>IFERROR(__xludf.DUMMYFUNCTION("""COMPUTED_VALUE"""),"https://www.tiktok.com/@maramara16_")</f>
        <v>https://www.tiktok.com/@maramara16_</v>
      </c>
      <c r="D469" s="23"/>
      <c r="E469" s="457">
        <f>IFERROR(__xludf.DUMMYFUNCTION("""COMPUTED_VALUE"""),0.0)</f>
        <v>0</v>
      </c>
      <c r="F469" s="270">
        <f>IFERROR(__xludf.DUMMYFUNCTION("""COMPUTED_VALUE"""),4.0)</f>
        <v>4</v>
      </c>
      <c r="G469" s="17" t="str">
        <f>IFERROR(__xludf.DUMMYFUNCTION("""COMPUTED_VALUE"""),"Full Set")</f>
        <v>Full Set</v>
      </c>
      <c r="H469" s="17"/>
      <c r="I469" s="262"/>
      <c r="J469" s="262"/>
      <c r="K469" s="262"/>
      <c r="L469" s="262"/>
      <c r="M469" s="262"/>
    </row>
    <row r="470">
      <c r="A470" s="255" t="str">
        <f>IFERROR(__xludf.DUMMYFUNCTION("""COMPUTED_VALUE"""),"NANO")</f>
        <v>NANO</v>
      </c>
      <c r="B470" s="23" t="str">
        <f>IFERROR(__xludf.DUMMYFUNCTION("""COMPUTED_VALUE"""),"dew_hy25")</f>
        <v>dew_hy25</v>
      </c>
      <c r="C470" s="257" t="str">
        <f>IFERROR(__xludf.DUMMYFUNCTION("""COMPUTED_VALUE"""),"https://www.tiktok.com/@dew_hy25")</f>
        <v>https://www.tiktok.com/@dew_hy25</v>
      </c>
      <c r="D470" s="23"/>
      <c r="E470" s="457">
        <f>IFERROR(__xludf.DUMMYFUNCTION("""COMPUTED_VALUE"""),0.0)</f>
        <v>0</v>
      </c>
      <c r="F470" s="270">
        <f>IFERROR(__xludf.DUMMYFUNCTION("""COMPUTED_VALUE"""),4.0)</f>
        <v>4</v>
      </c>
      <c r="G470" s="17" t="str">
        <f>IFERROR(__xludf.DUMMYFUNCTION("""COMPUTED_VALUE"""),"Full Set")</f>
        <v>Full Set</v>
      </c>
      <c r="H470" s="17"/>
      <c r="I470" s="262"/>
      <c r="J470" s="262"/>
      <c r="K470" s="262"/>
      <c r="L470" s="262"/>
      <c r="M470" s="262"/>
    </row>
    <row r="471">
      <c r="A471" s="255" t="str">
        <f>IFERROR(__xludf.DUMMYFUNCTION("""COMPUTED_VALUE"""),"NANO")</f>
        <v>NANO</v>
      </c>
      <c r="B471" s="23" t="str">
        <f>IFERROR(__xludf.DUMMYFUNCTION("""COMPUTED_VALUE"""),"maulidiah.diva")</f>
        <v>maulidiah.diva</v>
      </c>
      <c r="C471" s="257" t="str">
        <f>IFERROR(__xludf.DUMMYFUNCTION("""COMPUTED_VALUE"""),"https://www.tiktok.com/@maulidiah.diva")</f>
        <v>https://www.tiktok.com/@maulidiah.diva</v>
      </c>
      <c r="D471" s="23"/>
      <c r="E471" s="457">
        <f>IFERROR(__xludf.DUMMYFUNCTION("""COMPUTED_VALUE"""),0.0)</f>
        <v>0</v>
      </c>
      <c r="F471" s="270">
        <f>IFERROR(__xludf.DUMMYFUNCTION("""COMPUTED_VALUE"""),4.0)</f>
        <v>4</v>
      </c>
      <c r="G471" s="17" t="str">
        <f>IFERROR(__xludf.DUMMYFUNCTION("""COMPUTED_VALUE"""),"Full Set")</f>
        <v>Full Set</v>
      </c>
      <c r="H471" s="17"/>
      <c r="I471" s="278" t="str">
        <f>IFERROR(__xludf.DUMMYFUNCTION("""COMPUTED_VALUE"""),"https://www.tiktok.com/@maulidiah.diva/video/7643760954362072328?is_from_webapp=1&amp;sender_device=pc")</f>
        <v>https://www.tiktok.com/@maulidiah.diva/video/7643760954362072328?is_from_webapp=1&amp;sender_device=pc</v>
      </c>
      <c r="J471" s="262"/>
      <c r="K471" s="262"/>
      <c r="L471" s="262"/>
      <c r="M471" s="262"/>
    </row>
    <row r="472">
      <c r="A472" s="255" t="str">
        <f>IFERROR(__xludf.DUMMYFUNCTION("""COMPUTED_VALUE"""),"NANO")</f>
        <v>NANO</v>
      </c>
      <c r="B472" s="23" t="str">
        <f>IFERROR(__xludf.DUMMYFUNCTION("""COMPUTED_VALUE"""),"sukangeracunajasi_")</f>
        <v>sukangeracunajasi_</v>
      </c>
      <c r="C472" s="257" t="str">
        <f>IFERROR(__xludf.DUMMYFUNCTION("""COMPUTED_VALUE"""),"https://www.tiktok.com/@sukangeracunajasi_")</f>
        <v>https://www.tiktok.com/@sukangeracunajasi_</v>
      </c>
      <c r="D472" s="23"/>
      <c r="E472" s="457">
        <f>IFERROR(__xludf.DUMMYFUNCTION("""COMPUTED_VALUE"""),0.0)</f>
        <v>0</v>
      </c>
      <c r="F472" s="270">
        <f>IFERROR(__xludf.DUMMYFUNCTION("""COMPUTED_VALUE"""),4.0)</f>
        <v>4</v>
      </c>
      <c r="G472" s="17" t="str">
        <f>IFERROR(__xludf.DUMMYFUNCTION("""COMPUTED_VALUE"""),"Full Set")</f>
        <v>Full Set</v>
      </c>
      <c r="H472" s="17"/>
      <c r="I472" s="278" t="str">
        <f>IFERROR(__xludf.DUMMYFUNCTION("""COMPUTED_VALUE"""),"https://www.tiktok.com/@sukangeracunajasi_/video/7643054617705614600?is_from_webapp=1&amp;sender_device=pc")</f>
        <v>https://www.tiktok.com/@sukangeracunajasi_/video/7643054617705614600?is_from_webapp=1&amp;sender_device=pc</v>
      </c>
      <c r="J472" s="278" t="str">
        <f>IFERROR(__xludf.DUMMYFUNCTION("""COMPUTED_VALUE"""),"https://www.tiktok.com/@sukangeracunajasi_/video/7643056161847069959?is_from_webapp=1&amp;sender_device=pc")</f>
        <v>https://www.tiktok.com/@sukangeracunajasi_/video/7643056161847069959?is_from_webapp=1&amp;sender_device=pc</v>
      </c>
      <c r="K472" s="278" t="str">
        <f>IFERROR(__xludf.DUMMYFUNCTION("""COMPUTED_VALUE"""),"https://www.tiktok.com/@sukangeracunajasi_/video/7643281201641360658?is_from_webapp=1&amp;sender_device=pc")</f>
        <v>https://www.tiktok.com/@sukangeracunajasi_/video/7643281201641360658?is_from_webapp=1&amp;sender_device=pc</v>
      </c>
      <c r="L472" s="262"/>
      <c r="M472" s="262"/>
    </row>
    <row r="473">
      <c r="A473" s="255" t="str">
        <f>IFERROR(__xludf.DUMMYFUNCTION("""COMPUTED_VALUE"""),"NANO")</f>
        <v>NANO</v>
      </c>
      <c r="B473" s="23" t="str">
        <f>IFERROR(__xludf.DUMMYFUNCTION("""COMPUTED_VALUE"""),"yuayyyy06 ")</f>
        <v>yuayyyy06 </v>
      </c>
      <c r="C473" s="257" t="str">
        <f>IFERROR(__xludf.DUMMYFUNCTION("""COMPUTED_VALUE"""),"https://www.tiktok.com/@yuayyyy06 ")</f>
        <v>https://www.tiktok.com/@yuayyyy06 </v>
      </c>
      <c r="D473" s="23"/>
      <c r="E473" s="457">
        <f>IFERROR(__xludf.DUMMYFUNCTION("""COMPUTED_VALUE"""),0.0)</f>
        <v>0</v>
      </c>
      <c r="F473" s="270">
        <f>IFERROR(__xludf.DUMMYFUNCTION("""COMPUTED_VALUE"""),4.0)</f>
        <v>4</v>
      </c>
      <c r="G473" s="17" t="str">
        <f>IFERROR(__xludf.DUMMYFUNCTION("""COMPUTED_VALUE"""),"Full Set")</f>
        <v>Full Set</v>
      </c>
      <c r="H473" s="17"/>
      <c r="I473" s="262"/>
      <c r="J473" s="262"/>
      <c r="K473" s="262"/>
      <c r="L473" s="262"/>
      <c r="M473" s="262"/>
    </row>
    <row r="474">
      <c r="A474" s="255" t="str">
        <f>IFERROR(__xludf.DUMMYFUNCTION("""COMPUTED_VALUE"""),"NANO")</f>
        <v>NANO</v>
      </c>
      <c r="B474" s="23" t="str">
        <f>IFERROR(__xludf.DUMMYFUNCTION("""COMPUTED_VALUE"""),"patmaayaa")</f>
        <v>patmaayaa</v>
      </c>
      <c r="C474" s="257" t="str">
        <f>IFERROR(__xludf.DUMMYFUNCTION("""COMPUTED_VALUE"""),"https://www.tiktok.com/@patmaayaa")</f>
        <v>https://www.tiktok.com/@patmaayaa</v>
      </c>
      <c r="D474" s="23"/>
      <c r="E474" s="457">
        <f>IFERROR(__xludf.DUMMYFUNCTION("""COMPUTED_VALUE"""),0.0)</f>
        <v>0</v>
      </c>
      <c r="F474" s="270">
        <f>IFERROR(__xludf.DUMMYFUNCTION("""COMPUTED_VALUE"""),4.0)</f>
        <v>4</v>
      </c>
      <c r="G474" s="17" t="str">
        <f>IFERROR(__xludf.DUMMYFUNCTION("""COMPUTED_VALUE"""),"Full Set")</f>
        <v>Full Set</v>
      </c>
      <c r="H474" s="17"/>
      <c r="I474" s="278" t="str">
        <f>IFERROR(__xludf.DUMMYFUNCTION("""COMPUTED_VALUE"""),"https://www.tiktok.com/@patmaayaa/video/7642288641150110983?is_from_webapp=1&amp;sender_device=pc")</f>
        <v>https://www.tiktok.com/@patmaayaa/video/7642288641150110983?is_from_webapp=1&amp;sender_device=pc</v>
      </c>
      <c r="J474" s="278" t="str">
        <f>IFERROR(__xludf.DUMMYFUNCTION("""COMPUTED_VALUE"""),"https://www.tiktok.com/@patmaayaa/video/7643386947448212744?is_from_webapp=1&amp;sender_device=pc")</f>
        <v>https://www.tiktok.com/@patmaayaa/video/7643386947448212744?is_from_webapp=1&amp;sender_device=pc</v>
      </c>
      <c r="K474" s="262"/>
      <c r="L474" s="262"/>
      <c r="M474" s="262"/>
    </row>
    <row r="475">
      <c r="A475" s="255" t="str">
        <f>IFERROR(__xludf.DUMMYFUNCTION("""COMPUTED_VALUE"""),"NANO")</f>
        <v>NANO</v>
      </c>
      <c r="B475" s="23" t="str">
        <f>IFERROR(__xludf.DUMMYFUNCTION("""COMPUTED_VALUE"""),"lylysss6")</f>
        <v>lylysss6</v>
      </c>
      <c r="C475" s="257" t="str">
        <f>IFERROR(__xludf.DUMMYFUNCTION("""COMPUTED_VALUE"""),"https://www.tiktok.com/@lylysss6")</f>
        <v>https://www.tiktok.com/@lylysss6</v>
      </c>
      <c r="D475" s="23"/>
      <c r="E475" s="457">
        <f>IFERROR(__xludf.DUMMYFUNCTION("""COMPUTED_VALUE"""),0.0)</f>
        <v>0</v>
      </c>
      <c r="F475" s="270">
        <f>IFERROR(__xludf.DUMMYFUNCTION("""COMPUTED_VALUE"""),4.0)</f>
        <v>4</v>
      </c>
      <c r="G475" s="17" t="str">
        <f>IFERROR(__xludf.DUMMYFUNCTION("""COMPUTED_VALUE"""),"Full Set")</f>
        <v>Full Set</v>
      </c>
      <c r="H475" s="17"/>
      <c r="I475" s="278" t="str">
        <f>IFERROR(__xludf.DUMMYFUNCTION("""COMPUTED_VALUE"""),"https://www.tiktok.com/@lylysss6/video/7643767027189943570?is_from_webapp=1&amp;sender_device=pc")</f>
        <v>https://www.tiktok.com/@lylysss6/video/7643767027189943570?is_from_webapp=1&amp;sender_device=pc</v>
      </c>
      <c r="J475" s="278" t="str">
        <f>IFERROR(__xludf.DUMMYFUNCTION("""COMPUTED_VALUE"""),"https://www.tiktok.com/@lylysss6/video/7643970606722993415?is_from_webapp=1&amp;sender_device=pc")</f>
        <v>https://www.tiktok.com/@lylysss6/video/7643970606722993415?is_from_webapp=1&amp;sender_device=pc</v>
      </c>
      <c r="K475" s="262"/>
      <c r="L475" s="262"/>
      <c r="M475" s="262"/>
    </row>
    <row r="476">
      <c r="A476" s="255" t="str">
        <f>IFERROR(__xludf.DUMMYFUNCTION("""COMPUTED_VALUE"""),"NANO")</f>
        <v>NANO</v>
      </c>
      <c r="B476" s="23" t="str">
        <f>IFERROR(__xludf.DUMMYFUNCTION("""COMPUTED_VALUE"""),"wistiani2")</f>
        <v>wistiani2</v>
      </c>
      <c r="C476" s="257" t="str">
        <f>IFERROR(__xludf.DUMMYFUNCTION("""COMPUTED_VALUE"""),"https://www.tiktok.com/@wistiani2")</f>
        <v>https://www.tiktok.com/@wistiani2</v>
      </c>
      <c r="D476" s="23"/>
      <c r="E476" s="457">
        <f>IFERROR(__xludf.DUMMYFUNCTION("""COMPUTED_VALUE"""),0.0)</f>
        <v>0</v>
      </c>
      <c r="F476" s="270">
        <f>IFERROR(__xludf.DUMMYFUNCTION("""COMPUTED_VALUE"""),4.0)</f>
        <v>4</v>
      </c>
      <c r="G476" s="17" t="str">
        <f>IFERROR(__xludf.DUMMYFUNCTION("""COMPUTED_VALUE"""),"Full Set")</f>
        <v>Full Set</v>
      </c>
      <c r="H476" s="17"/>
      <c r="I476" s="262"/>
      <c r="J476" s="262"/>
      <c r="K476" s="262"/>
      <c r="L476" s="262"/>
      <c r="M476" s="262"/>
    </row>
    <row r="477">
      <c r="A477" s="255" t="str">
        <f>IFERROR(__xludf.DUMMYFUNCTION("""COMPUTED_VALUE"""),"MICRO")</f>
        <v>MICRO</v>
      </c>
      <c r="B477" s="23" t="str">
        <f>IFERROR(__xludf.DUMMYFUNCTION("""COMPUTED_VALUE"""),"lenirustiani.1")</f>
        <v>lenirustiani.1</v>
      </c>
      <c r="C477" s="257" t="str">
        <f>IFERROR(__xludf.DUMMYFUNCTION("""COMPUTED_VALUE"""),"https://www.tiktok.com/@lenirustiani.1")</f>
        <v>https://www.tiktok.com/@lenirustiani.1</v>
      </c>
      <c r="D477" s="23"/>
      <c r="E477" s="457">
        <f>IFERROR(__xludf.DUMMYFUNCTION("""COMPUTED_VALUE"""),0.0)</f>
        <v>0</v>
      </c>
      <c r="F477" s="270">
        <f>IFERROR(__xludf.DUMMYFUNCTION("""COMPUTED_VALUE"""),4.0)</f>
        <v>4</v>
      </c>
      <c r="G477" s="17" t="str">
        <f>IFERROR(__xludf.DUMMYFUNCTION("""COMPUTED_VALUE"""),"Full Set")</f>
        <v>Full Set</v>
      </c>
      <c r="H477" s="17"/>
      <c r="I477" s="278" t="str">
        <f>IFERROR(__xludf.DUMMYFUNCTION("""COMPUTED_VALUE"""),"https://www.tiktok.com/@lenirustiani.1/video/7643446993460792596?is_from_webapp=1&amp;sender_device=pc")</f>
        <v>https://www.tiktok.com/@lenirustiani.1/video/7643446993460792596?is_from_webapp=1&amp;sender_device=pc</v>
      </c>
      <c r="J477" s="262"/>
      <c r="K477" s="262"/>
      <c r="L477" s="262"/>
      <c r="M477" s="262"/>
    </row>
    <row r="478">
      <c r="A478" s="255" t="str">
        <f>IFERROR(__xludf.DUMMYFUNCTION("""COMPUTED_VALUE"""),"NANO")</f>
        <v>NANO</v>
      </c>
      <c r="B478" s="23" t="str">
        <f>IFERROR(__xludf.DUMMYFUNCTION("""COMPUTED_VALUE"""),"belluca.store")</f>
        <v>belluca.store</v>
      </c>
      <c r="C478" s="257" t="str">
        <f>IFERROR(__xludf.DUMMYFUNCTION("""COMPUTED_VALUE"""),"https://www.tiktok.com/@belluca.store")</f>
        <v>https://www.tiktok.com/@belluca.store</v>
      </c>
      <c r="D478" s="23"/>
      <c r="E478" s="457">
        <f>IFERROR(__xludf.DUMMYFUNCTION("""COMPUTED_VALUE"""),0.0)</f>
        <v>0</v>
      </c>
      <c r="F478" s="270">
        <f>IFERROR(__xludf.DUMMYFUNCTION("""COMPUTED_VALUE"""),4.0)</f>
        <v>4</v>
      </c>
      <c r="G478" s="17" t="str">
        <f>IFERROR(__xludf.DUMMYFUNCTION("""COMPUTED_VALUE"""),"Full Set")</f>
        <v>Full Set</v>
      </c>
      <c r="H478" s="17"/>
      <c r="I478" s="278" t="str">
        <f>IFERROR(__xludf.DUMMYFUNCTION("""COMPUTED_VALUE"""),"https://www.tiktok.com/@belluca.store/video/7642357581540773127?is_from_webapp=1&amp;sender_device=pc")</f>
        <v>https://www.tiktok.com/@belluca.store/video/7642357581540773127?is_from_webapp=1&amp;sender_device=pc</v>
      </c>
      <c r="J478" s="262"/>
      <c r="K478" s="262"/>
      <c r="L478" s="262"/>
      <c r="M478" s="262"/>
    </row>
    <row r="479">
      <c r="A479" s="255" t="str">
        <f>IFERROR(__xludf.DUMMYFUNCTION("""COMPUTED_VALUE"""),"NANO")</f>
        <v>NANO</v>
      </c>
      <c r="B479" s="23" t="str">
        <f>IFERROR(__xludf.DUMMYFUNCTION("""COMPUTED_VALUE"""),"Ralliine")</f>
        <v>Ralliine</v>
      </c>
      <c r="C479" s="257" t="str">
        <f>IFERROR(__xludf.DUMMYFUNCTION("""COMPUTED_VALUE"""),"https://www.tiktok.com/@Ralliine")</f>
        <v>https://www.tiktok.com/@Ralliine</v>
      </c>
      <c r="D479" s="23"/>
      <c r="E479" s="457">
        <f>IFERROR(__xludf.DUMMYFUNCTION("""COMPUTED_VALUE"""),0.0)</f>
        <v>0</v>
      </c>
      <c r="F479" s="270">
        <f>IFERROR(__xludf.DUMMYFUNCTION("""COMPUTED_VALUE"""),4.0)</f>
        <v>4</v>
      </c>
      <c r="G479" s="17" t="str">
        <f>IFERROR(__xludf.DUMMYFUNCTION("""COMPUTED_VALUE"""),"Full Set")</f>
        <v>Full Set</v>
      </c>
      <c r="H479" s="17"/>
      <c r="I479" s="278" t="str">
        <f>IFERROR(__xludf.DUMMYFUNCTION("""COMPUTED_VALUE"""),"https://www.tiktok.com/@ralliine/video/7642660454262787348?is_from_webapp=1&amp;sender_device=pc")</f>
        <v>https://www.tiktok.com/@ralliine/video/7642660454262787348?is_from_webapp=1&amp;sender_device=pc</v>
      </c>
      <c r="J479" s="278" t="str">
        <f>IFERROR(__xludf.DUMMYFUNCTION("""COMPUTED_VALUE"""),"https://www.tiktok.com/@ralliine/video/7642668385431506197?is_from_webapp=1&amp;sender_device=pc")</f>
        <v>https://www.tiktok.com/@ralliine/video/7642668385431506197?is_from_webapp=1&amp;sender_device=pc</v>
      </c>
      <c r="K479" s="278" t="str">
        <f>IFERROR(__xludf.DUMMYFUNCTION("""COMPUTED_VALUE"""),"https://www.tiktok.com/@ralliine/video/7642922436165635348?is_from_webapp=1&amp;sender_device=pc")</f>
        <v>https://www.tiktok.com/@ralliine/video/7642922436165635348?is_from_webapp=1&amp;sender_device=pc</v>
      </c>
      <c r="L479" s="278" t="str">
        <f>IFERROR(__xludf.DUMMYFUNCTION("""COMPUTED_VALUE"""),"https://www.tiktok.com/@ralliine/video/7643085969771744533?is_from_webapp=1&amp;sender_device=pc")</f>
        <v>https://www.tiktok.com/@ralliine/video/7643085969771744533?is_from_webapp=1&amp;sender_device=pc</v>
      </c>
      <c r="M479" s="262"/>
    </row>
    <row r="480">
      <c r="A480" s="255" t="str">
        <f>IFERROR(__xludf.DUMMYFUNCTION("""COMPUTED_VALUE"""),"NANO")</f>
        <v>NANO</v>
      </c>
      <c r="B480" s="23" t="str">
        <f>IFERROR(__xludf.DUMMYFUNCTION("""COMPUTED_VALUE"""),"Withfullbye ")</f>
        <v>Withfullbye </v>
      </c>
      <c r="C480" s="257" t="str">
        <f>IFERROR(__xludf.DUMMYFUNCTION("""COMPUTED_VALUE"""),"https://www.tiktok.com/@Withfullbye ")</f>
        <v>https://www.tiktok.com/@Withfullbye </v>
      </c>
      <c r="D480" s="23"/>
      <c r="E480" s="457">
        <f>IFERROR(__xludf.DUMMYFUNCTION("""COMPUTED_VALUE"""),0.0)</f>
        <v>0</v>
      </c>
      <c r="F480" s="270">
        <f>IFERROR(__xludf.DUMMYFUNCTION("""COMPUTED_VALUE"""),4.0)</f>
        <v>4</v>
      </c>
      <c r="G480" s="17" t="str">
        <f>IFERROR(__xludf.DUMMYFUNCTION("""COMPUTED_VALUE"""),"Full Set")</f>
        <v>Full Set</v>
      </c>
      <c r="H480" s="17"/>
      <c r="I480" s="278" t="str">
        <f>IFERROR(__xludf.DUMMYFUNCTION("""COMPUTED_VALUE"""),"https://www.tiktok.com/@withfullbye/video/7642967294775168277?is_from_webapp=1&amp;sender_device=pc")</f>
        <v>https://www.tiktok.com/@withfullbye/video/7642967294775168277?is_from_webapp=1&amp;sender_device=pc</v>
      </c>
      <c r="J480" s="278" t="str">
        <f>IFERROR(__xludf.DUMMYFUNCTION("""COMPUTED_VALUE"""),"https://www.tiktok.com/@withfullbye/video/7643074953021066516?is_from_webapp=1&amp;sender_device=pc")</f>
        <v>https://www.tiktok.com/@withfullbye/video/7643074953021066516?is_from_webapp=1&amp;sender_device=pc</v>
      </c>
      <c r="K480" s="278" t="str">
        <f>IFERROR(__xludf.DUMMYFUNCTION("""COMPUTED_VALUE"""),"https://www.tiktok.com/@withfullbye/video/7643262153461435669?is_from_webapp=1&amp;sender_device=pc")</f>
        <v>https://www.tiktok.com/@withfullbye/video/7643262153461435669?is_from_webapp=1&amp;sender_device=pc</v>
      </c>
      <c r="L480" s="262"/>
      <c r="M480" s="262"/>
    </row>
    <row r="481">
      <c r="A481" s="255" t="str">
        <f>IFERROR(__xludf.DUMMYFUNCTION("""COMPUTED_VALUE"""),"NANO")</f>
        <v>NANO</v>
      </c>
      <c r="B481" s="23" t="str">
        <f>IFERROR(__xludf.DUMMYFUNCTION("""COMPUTED_VALUE"""),"slayqueen_572")</f>
        <v>slayqueen_572</v>
      </c>
      <c r="C481" s="257" t="str">
        <f>IFERROR(__xludf.DUMMYFUNCTION("""COMPUTED_VALUE"""),"https://www.tiktok.com/@slayqueen_572")</f>
        <v>https://www.tiktok.com/@slayqueen_572</v>
      </c>
      <c r="D481" s="23"/>
      <c r="E481" s="457">
        <f>IFERROR(__xludf.DUMMYFUNCTION("""COMPUTED_VALUE"""),0.0)</f>
        <v>0</v>
      </c>
      <c r="F481" s="270">
        <f>IFERROR(__xludf.DUMMYFUNCTION("""COMPUTED_VALUE"""),4.0)</f>
        <v>4</v>
      </c>
      <c r="G481" s="17" t="str">
        <f>IFERROR(__xludf.DUMMYFUNCTION("""COMPUTED_VALUE"""),"Full Set")</f>
        <v>Full Set</v>
      </c>
      <c r="H481" s="17"/>
      <c r="I481" s="262"/>
      <c r="J481" s="262"/>
      <c r="K481" s="262"/>
      <c r="L481" s="262"/>
      <c r="M481" s="262"/>
    </row>
    <row r="482">
      <c r="A482" s="255" t="str">
        <f>IFERROR(__xludf.DUMMYFUNCTION("""COMPUTED_VALUE"""),"NANO")</f>
        <v>NANO</v>
      </c>
      <c r="B482" s="23" t="str">
        <f>IFERROR(__xludf.DUMMYFUNCTION("""COMPUTED_VALUE"""),"hi.billll")</f>
        <v>hi.billll</v>
      </c>
      <c r="C482" s="257" t="str">
        <f>IFERROR(__xludf.DUMMYFUNCTION("""COMPUTED_VALUE"""),"https://www.tiktok.com/@hi.billll")</f>
        <v>https://www.tiktok.com/@hi.billll</v>
      </c>
      <c r="D482" s="23"/>
      <c r="E482" s="457">
        <f>IFERROR(__xludf.DUMMYFUNCTION("""COMPUTED_VALUE"""),0.0)</f>
        <v>0</v>
      </c>
      <c r="F482" s="270">
        <f>IFERROR(__xludf.DUMMYFUNCTION("""COMPUTED_VALUE"""),4.0)</f>
        <v>4</v>
      </c>
      <c r="G482" s="17" t="str">
        <f>IFERROR(__xludf.DUMMYFUNCTION("""COMPUTED_VALUE"""),"Full Set")</f>
        <v>Full Set</v>
      </c>
      <c r="H482" s="17"/>
      <c r="I482" s="262"/>
      <c r="J482" s="262"/>
      <c r="K482" s="262"/>
      <c r="L482" s="262"/>
      <c r="M482" s="262"/>
    </row>
    <row r="483">
      <c r="A483" s="255" t="str">
        <f>IFERROR(__xludf.DUMMYFUNCTION("""COMPUTED_VALUE"""),"NANO")</f>
        <v>NANO</v>
      </c>
      <c r="B483" s="23" t="str">
        <f>IFERROR(__xludf.DUMMYFUNCTION("""COMPUTED_VALUE"""),"tigaputri38")</f>
        <v>tigaputri38</v>
      </c>
      <c r="C483" s="257" t="str">
        <f>IFERROR(__xludf.DUMMYFUNCTION("""COMPUTED_VALUE"""),"https://www.tiktok.com/@tigaputri38")</f>
        <v>https://www.tiktok.com/@tigaputri38</v>
      </c>
      <c r="D483" s="23"/>
      <c r="E483" s="457">
        <f>IFERROR(__xludf.DUMMYFUNCTION("""COMPUTED_VALUE"""),0.0)</f>
        <v>0</v>
      </c>
      <c r="F483" s="270">
        <f>IFERROR(__xludf.DUMMYFUNCTION("""COMPUTED_VALUE"""),4.0)</f>
        <v>4</v>
      </c>
      <c r="G483" s="17" t="str">
        <f>IFERROR(__xludf.DUMMYFUNCTION("""COMPUTED_VALUE"""),"Full Set")</f>
        <v>Full Set</v>
      </c>
      <c r="H483" s="17"/>
      <c r="I483" s="278" t="str">
        <f>IFERROR(__xludf.DUMMYFUNCTION("""COMPUTED_VALUE"""),"https://www.tiktok.com/@tigaputri38/video/7643294926007962900?is_from_webapp=1&amp;sender_device=pc")</f>
        <v>https://www.tiktok.com/@tigaputri38/video/7643294926007962900?is_from_webapp=1&amp;sender_device=pc</v>
      </c>
      <c r="J483" s="278" t="str">
        <f>IFERROR(__xludf.DUMMYFUNCTION("""COMPUTED_VALUE"""),"https://www.tiktok.com/@tigaputri38/video/7643800523472211221?is_from_webapp=1&amp;sender_device=pc")</f>
        <v>https://www.tiktok.com/@tigaputri38/video/7643800523472211221?is_from_webapp=1&amp;sender_device=pc</v>
      </c>
      <c r="K483" s="262"/>
      <c r="L483" s="262"/>
      <c r="M483" s="262"/>
    </row>
    <row r="484">
      <c r="A484" s="255" t="str">
        <f>IFERROR(__xludf.DUMMYFUNCTION("""COMPUTED_VALUE"""),"NANO")</f>
        <v>NANO</v>
      </c>
      <c r="B484" s="23" t="str">
        <f>IFERROR(__xludf.DUMMYFUNCTION("""COMPUTED_VALUE"""),"minceu_090723")</f>
        <v>minceu_090723</v>
      </c>
      <c r="C484" s="257" t="str">
        <f>IFERROR(__xludf.DUMMYFUNCTION("""COMPUTED_VALUE"""),"https://www.tiktok.com/@minceu_090723")</f>
        <v>https://www.tiktok.com/@minceu_090723</v>
      </c>
      <c r="D484" s="23"/>
      <c r="E484" s="457">
        <f>IFERROR(__xludf.DUMMYFUNCTION("""COMPUTED_VALUE"""),0.0)</f>
        <v>0</v>
      </c>
      <c r="F484" s="270">
        <f>IFERROR(__xludf.DUMMYFUNCTION("""COMPUTED_VALUE"""),4.0)</f>
        <v>4</v>
      </c>
      <c r="G484" s="17" t="str">
        <f>IFERROR(__xludf.DUMMYFUNCTION("""COMPUTED_VALUE"""),"Full Set")</f>
        <v>Full Set</v>
      </c>
      <c r="H484" s="17"/>
      <c r="I484" s="278" t="str">
        <f>IFERROR(__xludf.DUMMYFUNCTION("""COMPUTED_VALUE"""),"https://www.tiktok.com/@minceu_090723/video/7642335159433334036?is_from_webapp=1&amp;sender_device=pc")</f>
        <v>https://www.tiktok.com/@minceu_090723/video/7642335159433334036?is_from_webapp=1&amp;sender_device=pc</v>
      </c>
      <c r="J484" s="278" t="str">
        <f>IFERROR(__xludf.DUMMYFUNCTION("""COMPUTED_VALUE"""),"https://www.tiktok.com/@minceu_090723/video/7642352253315206420?is_from_webapp=1&amp;sender_device=pc")</f>
        <v>https://www.tiktok.com/@minceu_090723/video/7642352253315206420?is_from_webapp=1&amp;sender_device=pc</v>
      </c>
      <c r="K484" s="278" t="str">
        <f>IFERROR(__xludf.DUMMYFUNCTION("""COMPUTED_VALUE"""),"https://www.tiktok.com/@minceu_090723/video/7643997776132558100?is_from_webapp=1&amp;sender_device=pc")</f>
        <v>https://www.tiktok.com/@minceu_090723/video/7643997776132558100?is_from_webapp=1&amp;sender_device=pc</v>
      </c>
      <c r="L484" s="262"/>
      <c r="M484" s="262"/>
    </row>
    <row r="485">
      <c r="A485" s="255" t="str">
        <f>IFERROR(__xludf.DUMMYFUNCTION("""COMPUTED_VALUE"""),"NANO")</f>
        <v>NANO</v>
      </c>
      <c r="B485" s="23" t="str">
        <f>IFERROR(__xludf.DUMMYFUNCTION("""COMPUTED_VALUE"""),"saschya11")</f>
        <v>saschya11</v>
      </c>
      <c r="C485" s="257" t="str">
        <f>IFERROR(__xludf.DUMMYFUNCTION("""COMPUTED_VALUE"""),"https://www.tiktok.com/@saschya11")</f>
        <v>https://www.tiktok.com/@saschya11</v>
      </c>
      <c r="D485" s="23">
        <f>IFERROR(__xludf.DUMMYFUNCTION("""COMPUTED_VALUE"""),8.821848792E10)</f>
        <v>88218487920</v>
      </c>
      <c r="E485" s="457">
        <f>IFERROR(__xludf.DUMMYFUNCTION("""COMPUTED_VALUE"""),0.0)</f>
        <v>0</v>
      </c>
      <c r="F485" s="270">
        <f>IFERROR(__xludf.DUMMYFUNCTION("""COMPUTED_VALUE"""),4.0)</f>
        <v>4</v>
      </c>
      <c r="G485" s="17" t="str">
        <f>IFERROR(__xludf.DUMMYFUNCTION("""COMPUTED_VALUE"""),"Full Set")</f>
        <v>Full Set</v>
      </c>
      <c r="H485" s="17"/>
      <c r="I485" s="262"/>
      <c r="J485" s="262"/>
      <c r="K485" s="262"/>
      <c r="L485" s="262"/>
      <c r="M485" s="262"/>
    </row>
    <row r="486">
      <c r="A486" s="255" t="str">
        <f>IFERROR(__xludf.DUMMYFUNCTION("""COMPUTED_VALUE"""),"NANO")</f>
        <v>NANO</v>
      </c>
      <c r="B486" s="23" t="str">
        <f>IFERROR(__xludf.DUMMYFUNCTION("""COMPUTED_VALUE"""),"itsme.thanai")</f>
        <v>itsme.thanai</v>
      </c>
      <c r="C486" s="257" t="str">
        <f>IFERROR(__xludf.DUMMYFUNCTION("""COMPUTED_VALUE"""),"https://www.tiktok.com/@itsme.thanai")</f>
        <v>https://www.tiktok.com/@itsme.thanai</v>
      </c>
      <c r="D486" s="23">
        <f>IFERROR(__xludf.DUMMYFUNCTION("""COMPUTED_VALUE"""),8.7729525484E10)</f>
        <v>87729525484</v>
      </c>
      <c r="E486" s="457">
        <f>IFERROR(__xludf.DUMMYFUNCTION("""COMPUTED_VALUE"""),0.0)</f>
        <v>0</v>
      </c>
      <c r="F486" s="270">
        <f>IFERROR(__xludf.DUMMYFUNCTION("""COMPUTED_VALUE"""),4.0)</f>
        <v>4</v>
      </c>
      <c r="G486" s="17" t="str">
        <f>IFERROR(__xludf.DUMMYFUNCTION("""COMPUTED_VALUE"""),"Full Set")</f>
        <v>Full Set</v>
      </c>
      <c r="H486" s="17"/>
      <c r="I486" s="262"/>
      <c r="J486" s="262"/>
      <c r="K486" s="262"/>
      <c r="L486" s="262"/>
      <c r="M486" s="262"/>
    </row>
    <row r="487">
      <c r="A487" s="255" t="str">
        <f>IFERROR(__xludf.DUMMYFUNCTION("""COMPUTED_VALUE"""),"NANO")</f>
        <v>NANO</v>
      </c>
      <c r="B487" s="23" t="str">
        <f>IFERROR(__xludf.DUMMYFUNCTION("""COMPUTED_VALUE"""),"arnukhaa_")</f>
        <v>arnukhaa_</v>
      </c>
      <c r="C487" s="257" t="str">
        <f>IFERROR(__xludf.DUMMYFUNCTION("""COMPUTED_VALUE"""),"https://www.tiktok.com/@arnukhaa_")</f>
        <v>https://www.tiktok.com/@arnukhaa_</v>
      </c>
      <c r="D487" s="23">
        <f>IFERROR(__xludf.DUMMYFUNCTION("""COMPUTED_VALUE"""),8.95360760708E11)</f>
        <v>895360760708</v>
      </c>
      <c r="E487" s="457">
        <f>IFERROR(__xludf.DUMMYFUNCTION("""COMPUTED_VALUE"""),0.0)</f>
        <v>0</v>
      </c>
      <c r="F487" s="270">
        <f>IFERROR(__xludf.DUMMYFUNCTION("""COMPUTED_VALUE"""),4.0)</f>
        <v>4</v>
      </c>
      <c r="G487" s="17" t="str">
        <f>IFERROR(__xludf.DUMMYFUNCTION("""COMPUTED_VALUE"""),"Full Set")</f>
        <v>Full Set</v>
      </c>
      <c r="H487" s="17"/>
      <c r="I487" s="262"/>
      <c r="J487" s="262"/>
      <c r="K487" s="262"/>
      <c r="L487" s="262"/>
      <c r="M487" s="262"/>
    </row>
    <row r="488">
      <c r="A488" s="255" t="str">
        <f>IFERROR(__xludf.DUMMYFUNCTION("""COMPUTED_VALUE"""),"NANO")</f>
        <v>NANO</v>
      </c>
      <c r="B488" s="23" t="str">
        <f>IFERROR(__xludf.DUMMYFUNCTION("""COMPUTED_VALUE"""),"sweetcocoa_")</f>
        <v>sweetcocoa_</v>
      </c>
      <c r="C488" s="257" t="str">
        <f>IFERROR(__xludf.DUMMYFUNCTION("""COMPUTED_VALUE"""),"https://www.tiktok.com/@sweetcocoa_")</f>
        <v>https://www.tiktok.com/@sweetcocoa_</v>
      </c>
      <c r="D488" s="23">
        <f>IFERROR(__xludf.DUMMYFUNCTION("""COMPUTED_VALUE"""),8.1241826353E10)</f>
        <v>81241826353</v>
      </c>
      <c r="E488" s="457">
        <f>IFERROR(__xludf.DUMMYFUNCTION("""COMPUTED_VALUE"""),0.0)</f>
        <v>0</v>
      </c>
      <c r="F488" s="270">
        <f>IFERROR(__xludf.DUMMYFUNCTION("""COMPUTED_VALUE"""),4.0)</f>
        <v>4</v>
      </c>
      <c r="G488" s="17" t="str">
        <f>IFERROR(__xludf.DUMMYFUNCTION("""COMPUTED_VALUE"""),"Full Set")</f>
        <v>Full Set</v>
      </c>
      <c r="H488" s="17"/>
      <c r="I488" s="262"/>
      <c r="J488" s="262"/>
      <c r="K488" s="262"/>
      <c r="L488" s="262"/>
      <c r="M488" s="262"/>
    </row>
    <row r="489">
      <c r="A489" s="255" t="str">
        <f>IFERROR(__xludf.DUMMYFUNCTION("""COMPUTED_VALUE"""),"NANO")</f>
        <v>NANO</v>
      </c>
      <c r="B489" s="23" t="str">
        <f>IFERROR(__xludf.DUMMYFUNCTION("""COMPUTED_VALUE"""),"lelaagustina2")</f>
        <v>lelaagustina2</v>
      </c>
      <c r="C489" s="257" t="str">
        <f>IFERROR(__xludf.DUMMYFUNCTION("""COMPUTED_VALUE"""),"https://www.tiktok.com/@lelaagustina2")</f>
        <v>https://www.tiktok.com/@lelaagustina2</v>
      </c>
      <c r="D489" s="23">
        <f>IFERROR(__xludf.DUMMYFUNCTION("""COMPUTED_VALUE"""),8.995301788E9)</f>
        <v>8995301788</v>
      </c>
      <c r="E489" s="457">
        <f>IFERROR(__xludf.DUMMYFUNCTION("""COMPUTED_VALUE"""),0.0)</f>
        <v>0</v>
      </c>
      <c r="F489" s="270">
        <f>IFERROR(__xludf.DUMMYFUNCTION("""COMPUTED_VALUE"""),4.0)</f>
        <v>4</v>
      </c>
      <c r="G489" s="17" t="str">
        <f>IFERROR(__xludf.DUMMYFUNCTION("""COMPUTED_VALUE"""),"Full Set")</f>
        <v>Full Set</v>
      </c>
      <c r="H489" s="17"/>
      <c r="I489" s="262"/>
      <c r="J489" s="262"/>
      <c r="K489" s="262"/>
      <c r="L489" s="262"/>
      <c r="M489" s="262"/>
    </row>
    <row r="490">
      <c r="A490" s="255" t="str">
        <f>IFERROR(__xludf.DUMMYFUNCTION("""COMPUTED_VALUE"""),"NANO")</f>
        <v>NANO</v>
      </c>
      <c r="B490" s="23" t="str">
        <f>IFERROR(__xludf.DUMMYFUNCTION("""COMPUTED_VALUE"""),"_tyusp")</f>
        <v>_tyusp</v>
      </c>
      <c r="C490" s="257" t="str">
        <f>IFERROR(__xludf.DUMMYFUNCTION("""COMPUTED_VALUE"""),"https://www.tiktok.com/@_tyusp")</f>
        <v>https://www.tiktok.com/@_tyusp</v>
      </c>
      <c r="D490" s="23">
        <f>IFERROR(__xludf.DUMMYFUNCTION("""COMPUTED_VALUE"""),8.2360379841E10)</f>
        <v>82360379841</v>
      </c>
      <c r="E490" s="457">
        <f>IFERROR(__xludf.DUMMYFUNCTION("""COMPUTED_VALUE"""),0.0)</f>
        <v>0</v>
      </c>
      <c r="F490" s="270">
        <f>IFERROR(__xludf.DUMMYFUNCTION("""COMPUTED_VALUE"""),4.0)</f>
        <v>4</v>
      </c>
      <c r="G490" s="17" t="str">
        <f>IFERROR(__xludf.DUMMYFUNCTION("""COMPUTED_VALUE"""),"Full Set")</f>
        <v>Full Set</v>
      </c>
      <c r="H490" s="17"/>
      <c r="I490" s="278" t="str">
        <f>IFERROR(__xludf.DUMMYFUNCTION("""COMPUTED_VALUE"""),"https://www.tiktok.com/@_tyusp/video/7643398224283192597?is_from_webapp=1&amp;sender_device=pc")</f>
        <v>https://www.tiktok.com/@_tyusp/video/7643398224283192597?is_from_webapp=1&amp;sender_device=pc</v>
      </c>
      <c r="J490" s="278" t="str">
        <f>IFERROR(__xludf.DUMMYFUNCTION("""COMPUTED_VALUE"""),"https://www.tiktok.com/@_tyusp/video/7643415380383354133?is_from_webapp=1&amp;sender_device=pc")</f>
        <v>https://www.tiktok.com/@_tyusp/video/7643415380383354133?is_from_webapp=1&amp;sender_device=pc</v>
      </c>
      <c r="K490" s="262"/>
      <c r="L490" s="262"/>
      <c r="M490" s="262"/>
    </row>
    <row r="491">
      <c r="A491" s="255" t="str">
        <f>IFERROR(__xludf.DUMMYFUNCTION("""COMPUTED_VALUE"""),"NANO")</f>
        <v>NANO</v>
      </c>
      <c r="B491" s="23" t="str">
        <f>IFERROR(__xludf.DUMMYFUNCTION("""COMPUTED_VALUE"""),"Asryyani")</f>
        <v>Asryyani</v>
      </c>
      <c r="C491" s="257" t="str">
        <f>IFERROR(__xludf.DUMMYFUNCTION("""COMPUTED_VALUE"""),"https://www.tiktok.com/@Asryyani")</f>
        <v>https://www.tiktok.com/@Asryyani</v>
      </c>
      <c r="D491" s="23">
        <f>IFERROR(__xludf.DUMMYFUNCTION("""COMPUTED_VALUE"""),8.5863512319E10)</f>
        <v>85863512319</v>
      </c>
      <c r="E491" s="457">
        <f>IFERROR(__xludf.DUMMYFUNCTION("""COMPUTED_VALUE"""),0.0)</f>
        <v>0</v>
      </c>
      <c r="F491" s="270">
        <f>IFERROR(__xludf.DUMMYFUNCTION("""COMPUTED_VALUE"""),4.0)</f>
        <v>4</v>
      </c>
      <c r="G491" s="17" t="str">
        <f>IFERROR(__xludf.DUMMYFUNCTION("""COMPUTED_VALUE"""),"Full Set")</f>
        <v>Full Set</v>
      </c>
      <c r="H491" s="17"/>
      <c r="I491" s="262"/>
      <c r="J491" s="262"/>
      <c r="K491" s="262"/>
      <c r="L491" s="262"/>
      <c r="M491" s="262"/>
    </row>
    <row r="492">
      <c r="A492" s="255" t="str">
        <f>IFERROR(__xludf.DUMMYFUNCTION("""COMPUTED_VALUE"""),"NANO")</f>
        <v>NANO</v>
      </c>
      <c r="B492" s="23" t="str">
        <f>IFERROR(__xludf.DUMMYFUNCTION("""COMPUTED_VALUE"""),"lyltlrhmadyh")</f>
        <v>lyltlrhmadyh</v>
      </c>
      <c r="C492" s="257" t="str">
        <f>IFERROR(__xludf.DUMMYFUNCTION("""COMPUTED_VALUE"""),"https://www.tiktok.com/@lyltlrhmadyh")</f>
        <v>https://www.tiktok.com/@lyltlrhmadyh</v>
      </c>
      <c r="D492" s="23">
        <f>IFERROR(__xludf.DUMMYFUNCTION("""COMPUTED_VALUE"""),8.5810832747E10)</f>
        <v>85810832747</v>
      </c>
      <c r="E492" s="457">
        <f>IFERROR(__xludf.DUMMYFUNCTION("""COMPUTED_VALUE"""),0.0)</f>
        <v>0</v>
      </c>
      <c r="F492" s="270">
        <f>IFERROR(__xludf.DUMMYFUNCTION("""COMPUTED_VALUE"""),4.0)</f>
        <v>4</v>
      </c>
      <c r="G492" s="17" t="str">
        <f>IFERROR(__xludf.DUMMYFUNCTION("""COMPUTED_VALUE"""),"Full Set")</f>
        <v>Full Set</v>
      </c>
      <c r="H492" s="17"/>
      <c r="I492" s="278" t="str">
        <f>IFERROR(__xludf.DUMMYFUNCTION("""COMPUTED_VALUE"""),"https://www.tiktok.com/@lyltlrhmadyh/video/7641982239957404935?is_from_webapp=1&amp;sender_device=pc")</f>
        <v>https://www.tiktok.com/@lyltlrhmadyh/video/7641982239957404935?is_from_webapp=1&amp;sender_device=pc</v>
      </c>
      <c r="J492" s="278" t="str">
        <f>IFERROR(__xludf.DUMMYFUNCTION("""COMPUTED_VALUE"""),"https://www.tiktok.com/@lyltlrhmadyh/video/7642325693996616967?is_from_webapp=1&amp;sender_device=pc")</f>
        <v>https://www.tiktok.com/@lyltlrhmadyh/video/7642325693996616967?is_from_webapp=1&amp;sender_device=pc</v>
      </c>
      <c r="K492" s="278" t="str">
        <f>IFERROR(__xludf.DUMMYFUNCTION("""COMPUTED_VALUE"""),"https://www.tiktok.com/@lyltlrhmadyh/video/7642332206551141650?is_from_webapp=1&amp;sender_device=pc")</f>
        <v>https://www.tiktok.com/@lyltlrhmadyh/video/7642332206551141650?is_from_webapp=1&amp;sender_device=pc</v>
      </c>
      <c r="L492" s="278" t="str">
        <f>IFERROR(__xludf.DUMMYFUNCTION("""COMPUTED_VALUE"""),"https://www.tiktok.com/@lyltlrhmadyh/video/7642985129169652999?is_from_webapp=1&amp;sender_device=pc")</f>
        <v>https://www.tiktok.com/@lyltlrhmadyh/video/7642985129169652999?is_from_webapp=1&amp;sender_device=pc</v>
      </c>
      <c r="M492" s="262"/>
    </row>
    <row r="493">
      <c r="A493" s="255" t="str">
        <f>IFERROR(__xludf.DUMMYFUNCTION("""COMPUTED_VALUE"""),"NANO")</f>
        <v>NANO</v>
      </c>
      <c r="B493" s="23" t="str">
        <f>IFERROR(__xludf.DUMMYFUNCTION("""COMPUTED_VALUE"""),"Ndaajaa_00")</f>
        <v>Ndaajaa_00</v>
      </c>
      <c r="C493" s="257" t="str">
        <f>IFERROR(__xludf.DUMMYFUNCTION("""COMPUTED_VALUE"""),"https://www.tiktok.com/@Ndaajaa_00")</f>
        <v>https://www.tiktok.com/@Ndaajaa_00</v>
      </c>
      <c r="D493" s="23">
        <f>IFERROR(__xludf.DUMMYFUNCTION("""COMPUTED_VALUE"""),8.5730607624E10)</f>
        <v>85730607624</v>
      </c>
      <c r="E493" s="457">
        <f>IFERROR(__xludf.DUMMYFUNCTION("""COMPUTED_VALUE"""),0.0)</f>
        <v>0</v>
      </c>
      <c r="F493" s="270">
        <f>IFERROR(__xludf.DUMMYFUNCTION("""COMPUTED_VALUE"""),4.0)</f>
        <v>4</v>
      </c>
      <c r="G493" s="17" t="str">
        <f>IFERROR(__xludf.DUMMYFUNCTION("""COMPUTED_VALUE"""),"Full Set")</f>
        <v>Full Set</v>
      </c>
      <c r="H493" s="17"/>
      <c r="I493" s="278" t="str">
        <f>IFERROR(__xludf.DUMMYFUNCTION("""COMPUTED_VALUE"""),"https://www.tiktok.com/@ndaajaa_00/video/7642352233908047120?is_from_webapp=1&amp;sender_device=pc")</f>
        <v>https://www.tiktok.com/@ndaajaa_00/video/7642352233908047120?is_from_webapp=1&amp;sender_device=pc</v>
      </c>
      <c r="J493" s="278" t="str">
        <f>IFERROR(__xludf.DUMMYFUNCTION("""COMPUTED_VALUE"""),"https://www.tiktok.com/@ndaajaa_00/video/7642706791163251985?is_from_webapp=1&amp;sender_device=pc")</f>
        <v>https://www.tiktok.com/@ndaajaa_00/video/7642706791163251985?is_from_webapp=1&amp;sender_device=pc</v>
      </c>
      <c r="K493" s="278" t="str">
        <f>IFERROR(__xludf.DUMMYFUNCTION("""COMPUTED_VALUE"""),"https://www.tiktok.com/@ndaajaa_00/video/7643837660888304912?is_from_webapp=1&amp;sender_device=pc")</f>
        <v>https://www.tiktok.com/@ndaajaa_00/video/7643837660888304912?is_from_webapp=1&amp;sender_device=pc</v>
      </c>
      <c r="L493" s="262"/>
      <c r="M493" s="262"/>
    </row>
    <row r="494">
      <c r="A494" s="255" t="str">
        <f>IFERROR(__xludf.DUMMYFUNCTION("""COMPUTED_VALUE"""),"NANO")</f>
        <v>NANO</v>
      </c>
      <c r="B494" s="23" t="str">
        <f>IFERROR(__xludf.DUMMYFUNCTION("""COMPUTED_VALUE"""),"ziezieshi")</f>
        <v>ziezieshi</v>
      </c>
      <c r="C494" s="257" t="str">
        <f>IFERROR(__xludf.DUMMYFUNCTION("""COMPUTED_VALUE"""),"https://www.tiktok.com/@ziezieshi")</f>
        <v>https://www.tiktok.com/@ziezieshi</v>
      </c>
      <c r="D494" s="23">
        <f>IFERROR(__xludf.DUMMYFUNCTION("""COMPUTED_VALUE"""),8.965673803E10)</f>
        <v>89656738030</v>
      </c>
      <c r="E494" s="457">
        <f>IFERROR(__xludf.DUMMYFUNCTION("""COMPUTED_VALUE"""),0.0)</f>
        <v>0</v>
      </c>
      <c r="F494" s="270">
        <f>IFERROR(__xludf.DUMMYFUNCTION("""COMPUTED_VALUE"""),4.0)</f>
        <v>4</v>
      </c>
      <c r="G494" s="17" t="str">
        <f>IFERROR(__xludf.DUMMYFUNCTION("""COMPUTED_VALUE"""),"Full Set")</f>
        <v>Full Set</v>
      </c>
      <c r="H494" s="17"/>
      <c r="I494" s="262"/>
      <c r="J494" s="262"/>
      <c r="K494" s="262"/>
      <c r="L494" s="262"/>
      <c r="M494" s="262"/>
    </row>
    <row r="495">
      <c r="A495" s="255" t="str">
        <f>IFERROR(__xludf.DUMMYFUNCTION("""COMPUTED_VALUE"""),"NANO")</f>
        <v>NANO</v>
      </c>
      <c r="B495" s="23" t="str">
        <f>IFERROR(__xludf.DUMMYFUNCTION("""COMPUTED_VALUE"""),"biggestwavess")</f>
        <v>biggestwavess</v>
      </c>
      <c r="C495" s="257" t="str">
        <f>IFERROR(__xludf.DUMMYFUNCTION("""COMPUTED_VALUE"""),"https://www.tiktok.com/@biggestwavess")</f>
        <v>https://www.tiktok.com/@biggestwavess</v>
      </c>
      <c r="D495" s="23">
        <f>IFERROR(__xludf.DUMMYFUNCTION("""COMPUTED_VALUE"""),8.2139790806E10)</f>
        <v>82139790806</v>
      </c>
      <c r="E495" s="457">
        <f>IFERROR(__xludf.DUMMYFUNCTION("""COMPUTED_VALUE"""),0.0)</f>
        <v>0</v>
      </c>
      <c r="F495" s="270">
        <f>IFERROR(__xludf.DUMMYFUNCTION("""COMPUTED_VALUE"""),4.0)</f>
        <v>4</v>
      </c>
      <c r="G495" s="17" t="str">
        <f>IFERROR(__xludf.DUMMYFUNCTION("""COMPUTED_VALUE"""),"Full Set")</f>
        <v>Full Set</v>
      </c>
      <c r="H495" s="17"/>
      <c r="I495" s="262"/>
      <c r="J495" s="262"/>
      <c r="K495" s="262"/>
      <c r="L495" s="262"/>
      <c r="M495" s="262"/>
    </row>
    <row r="496">
      <c r="A496" s="255" t="str">
        <f>IFERROR(__xludf.DUMMYFUNCTION("""COMPUTED_VALUE"""),"NANO")</f>
        <v>NANO</v>
      </c>
      <c r="B496" s="23" t="str">
        <f>IFERROR(__xludf.DUMMYFUNCTION("""COMPUTED_VALUE"""),"mffaa___")</f>
        <v>mffaa___</v>
      </c>
      <c r="C496" s="257" t="str">
        <f>IFERROR(__xludf.DUMMYFUNCTION("""COMPUTED_VALUE"""),"https://www.tiktok.com/@mffaa___")</f>
        <v>https://www.tiktok.com/@mffaa___</v>
      </c>
      <c r="D496" s="23">
        <f>IFERROR(__xludf.DUMMYFUNCTION("""COMPUTED_VALUE"""),8.3140876717E10)</f>
        <v>83140876717</v>
      </c>
      <c r="E496" s="457">
        <f>IFERROR(__xludf.DUMMYFUNCTION("""COMPUTED_VALUE"""),0.0)</f>
        <v>0</v>
      </c>
      <c r="F496" s="270">
        <f>IFERROR(__xludf.DUMMYFUNCTION("""COMPUTED_VALUE"""),4.0)</f>
        <v>4</v>
      </c>
      <c r="G496" s="17" t="str">
        <f>IFERROR(__xludf.DUMMYFUNCTION("""COMPUTED_VALUE"""),"Full Set")</f>
        <v>Full Set</v>
      </c>
      <c r="H496" s="17"/>
      <c r="I496" s="278" t="str">
        <f>IFERROR(__xludf.DUMMYFUNCTION("""COMPUTED_VALUE"""),"https://www.tiktok.com/@mffaa___/video/7641806845656468737?is_from_webapp=1&amp;sender_device=pc")</f>
        <v>https://www.tiktok.com/@mffaa___/video/7641806845656468737?is_from_webapp=1&amp;sender_device=pc</v>
      </c>
      <c r="J496" s="278" t="str">
        <f>IFERROR(__xludf.DUMMYFUNCTION("""COMPUTED_VALUE"""),"https://www.tiktok.com/@mffaa___/video/7642305093391437072?is_from_webapp=1&amp;sender_device=pc")</f>
        <v>https://www.tiktok.com/@mffaa___/video/7642305093391437072?is_from_webapp=1&amp;sender_device=pc</v>
      </c>
      <c r="K496" s="278" t="str">
        <f>IFERROR(__xludf.DUMMYFUNCTION("""COMPUTED_VALUE"""),"https://www.tiktok.com/@mffaa___/video/7642670174092397840?is_from_webapp=1&amp;sender_device=pc")</f>
        <v>https://www.tiktok.com/@mffaa___/video/7642670174092397840?is_from_webapp=1&amp;sender_device=pc</v>
      </c>
      <c r="L496" s="278" t="str">
        <f>IFERROR(__xludf.DUMMYFUNCTION("""COMPUTED_VALUE"""),"https://www.tiktok.com/@mffaa___/video/7643057805724847377?is_from_webapp=1&amp;sender_device=pc")</f>
        <v>https://www.tiktok.com/@mffaa___/video/7643057805724847377?is_from_webapp=1&amp;sender_device=pc</v>
      </c>
      <c r="M496" s="262"/>
    </row>
    <row r="497">
      <c r="A497" s="255" t="str">
        <f>IFERROR(__xludf.DUMMYFUNCTION("""COMPUTED_VALUE"""),"NANO")</f>
        <v>NANO</v>
      </c>
      <c r="B497" s="23" t="str">
        <f>IFERROR(__xludf.DUMMYFUNCTION("""COMPUTED_VALUE"""),"my.way_id")</f>
        <v>my.way_id</v>
      </c>
      <c r="C497" s="257" t="str">
        <f>IFERROR(__xludf.DUMMYFUNCTION("""COMPUTED_VALUE"""),"https://www.tiktok.com/@my.way_id")</f>
        <v>https://www.tiktok.com/@my.way_id</v>
      </c>
      <c r="D497" s="23">
        <f>IFERROR(__xludf.DUMMYFUNCTION("""COMPUTED_VALUE"""),8.2116400209E10)</f>
        <v>82116400209</v>
      </c>
      <c r="E497" s="457">
        <f>IFERROR(__xludf.DUMMYFUNCTION("""COMPUTED_VALUE"""),0.0)</f>
        <v>0</v>
      </c>
      <c r="F497" s="270">
        <f>IFERROR(__xludf.DUMMYFUNCTION("""COMPUTED_VALUE"""),4.0)</f>
        <v>4</v>
      </c>
      <c r="G497" s="17" t="str">
        <f>IFERROR(__xludf.DUMMYFUNCTION("""COMPUTED_VALUE"""),"Full Set")</f>
        <v>Full Set</v>
      </c>
      <c r="H497" s="17"/>
      <c r="I497" s="262"/>
      <c r="J497" s="262"/>
      <c r="K497" s="262"/>
      <c r="L497" s="262"/>
      <c r="M497" s="262"/>
    </row>
    <row r="498">
      <c r="A498" s="255" t="str">
        <f>IFERROR(__xludf.DUMMYFUNCTION("""COMPUTED_VALUE"""),"NANO")</f>
        <v>NANO</v>
      </c>
      <c r="B498" s="23" t="str">
        <f>IFERROR(__xludf.DUMMYFUNCTION("""COMPUTED_VALUE"""),"skinestishop")</f>
        <v>skinestishop</v>
      </c>
      <c r="C498" s="257" t="str">
        <f>IFERROR(__xludf.DUMMYFUNCTION("""COMPUTED_VALUE"""),"https://www.tiktok.com/@skinestishop")</f>
        <v>https://www.tiktok.com/@skinestishop</v>
      </c>
      <c r="D498" s="23">
        <f>IFERROR(__xludf.DUMMYFUNCTION("""COMPUTED_VALUE"""),8.5712657235E10)</f>
        <v>85712657235</v>
      </c>
      <c r="E498" s="457">
        <f>IFERROR(__xludf.DUMMYFUNCTION("""COMPUTED_VALUE"""),0.0)</f>
        <v>0</v>
      </c>
      <c r="F498" s="270">
        <f>IFERROR(__xludf.DUMMYFUNCTION("""COMPUTED_VALUE"""),4.0)</f>
        <v>4</v>
      </c>
      <c r="G498" s="17" t="str">
        <f>IFERROR(__xludf.DUMMYFUNCTION("""COMPUTED_VALUE"""),"Full Set")</f>
        <v>Full Set</v>
      </c>
      <c r="H498" s="17"/>
      <c r="I498" s="262"/>
      <c r="J498" s="262"/>
      <c r="K498" s="262"/>
      <c r="L498" s="262"/>
      <c r="M498" s="262"/>
    </row>
    <row r="499">
      <c r="A499" s="255" t="str">
        <f>IFERROR(__xludf.DUMMYFUNCTION("""COMPUTED_VALUE"""),"NANO")</f>
        <v>NANO</v>
      </c>
      <c r="B499" s="23" t="str">
        <f>IFERROR(__xludf.DUMMYFUNCTION("""COMPUTED_VALUE"""),"aliyanaelulmunaaa")</f>
        <v>aliyanaelulmunaaa</v>
      </c>
      <c r="C499" s="257" t="str">
        <f>IFERROR(__xludf.DUMMYFUNCTION("""COMPUTED_VALUE"""),"https://www.tiktok.com/@aliyanaelulmunaaa")</f>
        <v>https://www.tiktok.com/@aliyanaelulmunaaa</v>
      </c>
      <c r="D499" s="23">
        <f>IFERROR(__xludf.DUMMYFUNCTION("""COMPUTED_VALUE"""),8.1461133306E10)</f>
        <v>81461133306</v>
      </c>
      <c r="E499" s="457">
        <f>IFERROR(__xludf.DUMMYFUNCTION("""COMPUTED_VALUE"""),0.0)</f>
        <v>0</v>
      </c>
      <c r="F499" s="270">
        <f>IFERROR(__xludf.DUMMYFUNCTION("""COMPUTED_VALUE"""),4.0)</f>
        <v>4</v>
      </c>
      <c r="G499" s="17" t="str">
        <f>IFERROR(__xludf.DUMMYFUNCTION("""COMPUTED_VALUE"""),"Full Set")</f>
        <v>Full Set</v>
      </c>
      <c r="H499" s="17"/>
      <c r="I499" s="278" t="str">
        <f>IFERROR(__xludf.DUMMYFUNCTION("""COMPUTED_VALUE"""),"https://www.tiktok.com/@aliyanaelulmunaaa/video/7643148930691239188?is_from_webapp=1&amp;sender_device=pc")</f>
        <v>https://www.tiktok.com/@aliyanaelulmunaaa/video/7643148930691239188?is_from_webapp=1&amp;sender_device=pc</v>
      </c>
      <c r="J499" s="278" t="str">
        <f>IFERROR(__xludf.DUMMYFUNCTION("""COMPUTED_VALUE"""),"https://www.tiktok.com/@aliyanaelulmunaaa/video/7643692894087335188?is_from_webapp=1&amp;sender_device=pc")</f>
        <v>https://www.tiktok.com/@aliyanaelulmunaaa/video/7643692894087335188?is_from_webapp=1&amp;sender_device=pc</v>
      </c>
      <c r="K499" s="262"/>
      <c r="L499" s="262"/>
      <c r="M499" s="262"/>
    </row>
    <row r="500">
      <c r="A500" s="255" t="str">
        <f>IFERROR(__xludf.DUMMYFUNCTION("""COMPUTED_VALUE"""),"NANO")</f>
        <v>NANO</v>
      </c>
      <c r="B500" s="23" t="str">
        <f>IFERROR(__xludf.DUMMYFUNCTION("""COMPUTED_VALUE"""),"cindydestian")</f>
        <v>cindydestian</v>
      </c>
      <c r="C500" s="257" t="str">
        <f>IFERROR(__xludf.DUMMYFUNCTION("""COMPUTED_VALUE"""),"https://www.tiktok.com/@cindydestian")</f>
        <v>https://www.tiktok.com/@cindydestian</v>
      </c>
      <c r="D500" s="23">
        <f>IFERROR(__xludf.DUMMYFUNCTION("""COMPUTED_VALUE"""),8.5793825124E10)</f>
        <v>85793825124</v>
      </c>
      <c r="E500" s="457">
        <f>IFERROR(__xludf.DUMMYFUNCTION("""COMPUTED_VALUE"""),0.0)</f>
        <v>0</v>
      </c>
      <c r="F500" s="270">
        <f>IFERROR(__xludf.DUMMYFUNCTION("""COMPUTED_VALUE"""),4.0)</f>
        <v>4</v>
      </c>
      <c r="G500" s="17" t="str">
        <f>IFERROR(__xludf.DUMMYFUNCTION("""COMPUTED_VALUE"""),"Full Set")</f>
        <v>Full Set</v>
      </c>
      <c r="H500" s="17"/>
      <c r="I500" s="262"/>
      <c r="J500" s="262"/>
      <c r="K500" s="262"/>
      <c r="L500" s="262"/>
      <c r="M500" s="262"/>
    </row>
    <row r="501">
      <c r="A501" s="255" t="str">
        <f>IFERROR(__xludf.DUMMYFUNCTION("""COMPUTED_VALUE"""),"NANO")</f>
        <v>NANO</v>
      </c>
      <c r="B501" s="23" t="str">
        <f>IFERROR(__xludf.DUMMYFUNCTION("""COMPUTED_VALUE"""),"evayunda")</f>
        <v>evayunda</v>
      </c>
      <c r="C501" s="257" t="str">
        <f>IFERROR(__xludf.DUMMYFUNCTION("""COMPUTED_VALUE"""),"https://www.tiktok.com/@evayunda")</f>
        <v>https://www.tiktok.com/@evayunda</v>
      </c>
      <c r="D501" s="23">
        <f>IFERROR(__xludf.DUMMYFUNCTION("""COMPUTED_VALUE"""),8.5807459983E10)</f>
        <v>85807459983</v>
      </c>
      <c r="E501" s="457">
        <f>IFERROR(__xludf.DUMMYFUNCTION("""COMPUTED_VALUE"""),0.0)</f>
        <v>0</v>
      </c>
      <c r="F501" s="270">
        <f>IFERROR(__xludf.DUMMYFUNCTION("""COMPUTED_VALUE"""),4.0)</f>
        <v>4</v>
      </c>
      <c r="G501" s="17" t="str">
        <f>IFERROR(__xludf.DUMMYFUNCTION("""COMPUTED_VALUE"""),"Full Set")</f>
        <v>Full Set</v>
      </c>
      <c r="H501" s="17"/>
      <c r="I501" s="262"/>
      <c r="J501" s="262"/>
      <c r="K501" s="262"/>
      <c r="L501" s="262"/>
      <c r="M501" s="262"/>
    </row>
    <row r="502">
      <c r="A502" s="255" t="str">
        <f>IFERROR(__xludf.DUMMYFUNCTION("""COMPUTED_VALUE"""),"NANO")</f>
        <v>NANO</v>
      </c>
      <c r="B502" s="23" t="str">
        <f>IFERROR(__xludf.DUMMYFUNCTION("""COMPUTED_VALUE"""),"cikacikoo_")</f>
        <v>cikacikoo_</v>
      </c>
      <c r="C502" s="257" t="str">
        <f>IFERROR(__xludf.DUMMYFUNCTION("""COMPUTED_VALUE"""),"https://www.tiktok.com/@cikacikoo_")</f>
        <v>https://www.tiktok.com/@cikacikoo_</v>
      </c>
      <c r="D502" s="23">
        <f>IFERROR(__xludf.DUMMYFUNCTION("""COMPUTED_VALUE"""),8.95384982066E11)</f>
        <v>895384982066</v>
      </c>
      <c r="E502" s="457">
        <f>IFERROR(__xludf.DUMMYFUNCTION("""COMPUTED_VALUE"""),0.0)</f>
        <v>0</v>
      </c>
      <c r="F502" s="270">
        <f>IFERROR(__xludf.DUMMYFUNCTION("""COMPUTED_VALUE"""),4.0)</f>
        <v>4</v>
      </c>
      <c r="G502" s="17" t="str">
        <f>IFERROR(__xludf.DUMMYFUNCTION("""COMPUTED_VALUE"""),"Full Set")</f>
        <v>Full Set</v>
      </c>
      <c r="H502" s="17"/>
      <c r="I502" s="262"/>
      <c r="J502" s="262"/>
      <c r="K502" s="262"/>
      <c r="L502" s="262"/>
      <c r="M502" s="262"/>
    </row>
    <row r="503">
      <c r="A503" s="255" t="str">
        <f>IFERROR(__xludf.DUMMYFUNCTION("""COMPUTED_VALUE"""),"NANO")</f>
        <v>NANO</v>
      </c>
      <c r="B503" s="23" t="str">
        <f>IFERROR(__xludf.DUMMYFUNCTION("""COMPUTED_VALUE"""),"Rosihandayani78 ")</f>
        <v>Rosihandayani78 </v>
      </c>
      <c r="C503" s="257" t="str">
        <f>IFERROR(__xludf.DUMMYFUNCTION("""COMPUTED_VALUE"""),"https://www.tiktok.com/@Rosihandayani78 ")</f>
        <v>https://www.tiktok.com/@Rosihandayani78 </v>
      </c>
      <c r="D503" s="23">
        <f>IFERROR(__xludf.DUMMYFUNCTION("""COMPUTED_VALUE"""),8.3869835015E10)</f>
        <v>83869835015</v>
      </c>
      <c r="E503" s="457">
        <f>IFERROR(__xludf.DUMMYFUNCTION("""COMPUTED_VALUE"""),0.0)</f>
        <v>0</v>
      </c>
      <c r="F503" s="270">
        <f>IFERROR(__xludf.DUMMYFUNCTION("""COMPUTED_VALUE"""),4.0)</f>
        <v>4</v>
      </c>
      <c r="G503" s="17" t="str">
        <f>IFERROR(__xludf.DUMMYFUNCTION("""COMPUTED_VALUE"""),"Full Set")</f>
        <v>Full Set</v>
      </c>
      <c r="H503" s="17"/>
      <c r="I503" s="262"/>
      <c r="J503" s="262"/>
      <c r="K503" s="262"/>
      <c r="L503" s="262"/>
      <c r="M503" s="262"/>
    </row>
    <row r="504">
      <c r="A504" s="255" t="str">
        <f>IFERROR(__xludf.DUMMYFUNCTION("""COMPUTED_VALUE"""),"NANO")</f>
        <v>NANO</v>
      </c>
      <c r="B504" s="23" t="str">
        <f>IFERROR(__xludf.DUMMYFUNCTION("""COMPUTED_VALUE"""),"siapa.yakk09")</f>
        <v>siapa.yakk09</v>
      </c>
      <c r="C504" s="257" t="str">
        <f>IFERROR(__xludf.DUMMYFUNCTION("""COMPUTED_VALUE"""),"https://www.tiktok.com/@siapa.yakk09")</f>
        <v>https://www.tiktok.com/@siapa.yakk09</v>
      </c>
      <c r="D504" s="23">
        <f>IFERROR(__xludf.DUMMYFUNCTION("""COMPUTED_VALUE"""),8.312166393E10)</f>
        <v>83121663930</v>
      </c>
      <c r="E504" s="457">
        <f>IFERROR(__xludf.DUMMYFUNCTION("""COMPUTED_VALUE"""),0.0)</f>
        <v>0</v>
      </c>
      <c r="F504" s="270">
        <f>IFERROR(__xludf.DUMMYFUNCTION("""COMPUTED_VALUE"""),4.0)</f>
        <v>4</v>
      </c>
      <c r="G504" s="17" t="str">
        <f>IFERROR(__xludf.DUMMYFUNCTION("""COMPUTED_VALUE"""),"Full Set")</f>
        <v>Full Set</v>
      </c>
      <c r="H504" s="17"/>
      <c r="I504" s="278" t="str">
        <f>IFERROR(__xludf.DUMMYFUNCTION("""COMPUTED_VALUE"""),"https://www.tiktok.com/@siapa.yakk09/video/7643513057175555336?is_from_webapp=1&amp;sender_device=pc")</f>
        <v>https://www.tiktok.com/@siapa.yakk09/video/7643513057175555336?is_from_webapp=1&amp;sender_device=pc</v>
      </c>
      <c r="J504" s="278" t="str">
        <f>IFERROR(__xludf.DUMMYFUNCTION("""COMPUTED_VALUE"""),"https://www.tiktok.com/@siapa.yakk09/video/7643515571925142802?is_from_webapp=1&amp;sender_device=pc")</f>
        <v>https://www.tiktok.com/@siapa.yakk09/video/7643515571925142802?is_from_webapp=1&amp;sender_device=pc</v>
      </c>
      <c r="K504" s="278" t="str">
        <f>IFERROR(__xludf.DUMMYFUNCTION("""COMPUTED_VALUE"""),"https://www.tiktok.com/@siapa.yakk09/video/7643516267671997703?is_from_webapp=1&amp;sender_device=pc")</f>
        <v>https://www.tiktok.com/@siapa.yakk09/video/7643516267671997703?is_from_webapp=1&amp;sender_device=pc</v>
      </c>
      <c r="L504" s="278" t="str">
        <f>IFERROR(__xludf.DUMMYFUNCTION("""COMPUTED_VALUE"""),"https://www.tiktok.com/@siapa.yakk09/video/7643517873993927954?is_from_webapp=1&amp;sender_device=pc")</f>
        <v>https://www.tiktok.com/@siapa.yakk09/video/7643517873993927954?is_from_webapp=1&amp;sender_device=pc</v>
      </c>
      <c r="M504" s="262"/>
    </row>
    <row r="505">
      <c r="A505" s="255" t="str">
        <f>IFERROR(__xludf.DUMMYFUNCTION("""COMPUTED_VALUE"""),"NANO")</f>
        <v>NANO</v>
      </c>
      <c r="B505" s="23" t="str">
        <f>IFERROR(__xludf.DUMMYFUNCTION("""COMPUTED_VALUE"""),"fasya.aull")</f>
        <v>fasya.aull</v>
      </c>
      <c r="C505" s="257" t="str">
        <f>IFERROR(__xludf.DUMMYFUNCTION("""COMPUTED_VALUE"""),"https://www.tiktok.com/@fasya.aull")</f>
        <v>https://www.tiktok.com/@fasya.aull</v>
      </c>
      <c r="D505" s="23">
        <f>IFERROR(__xludf.DUMMYFUNCTION("""COMPUTED_VALUE"""),8.5790209012E10)</f>
        <v>85790209012</v>
      </c>
      <c r="E505" s="457">
        <f>IFERROR(__xludf.DUMMYFUNCTION("""COMPUTED_VALUE"""),0.0)</f>
        <v>0</v>
      </c>
      <c r="F505" s="270">
        <f>IFERROR(__xludf.DUMMYFUNCTION("""COMPUTED_VALUE"""),4.0)</f>
        <v>4</v>
      </c>
      <c r="G505" s="17" t="str">
        <f>IFERROR(__xludf.DUMMYFUNCTION("""COMPUTED_VALUE"""),"Full Set")</f>
        <v>Full Set</v>
      </c>
      <c r="H505" s="17"/>
      <c r="I505" s="262"/>
      <c r="J505" s="262"/>
      <c r="K505" s="262"/>
      <c r="L505" s="262"/>
      <c r="M505" s="262"/>
    </row>
    <row r="506">
      <c r="A506" s="255" t="str">
        <f>IFERROR(__xludf.DUMMYFUNCTION("""COMPUTED_VALUE"""),"NANO")</f>
        <v>NANO</v>
      </c>
      <c r="B506" s="23" t="str">
        <f>IFERROR(__xludf.DUMMYFUNCTION("""COMPUTED_VALUE"""),"lilisshop80")</f>
        <v>lilisshop80</v>
      </c>
      <c r="C506" s="257" t="str">
        <f>IFERROR(__xludf.DUMMYFUNCTION("""COMPUTED_VALUE"""),"https://www.tiktok.com/@lilisshop80")</f>
        <v>https://www.tiktok.com/@lilisshop80</v>
      </c>
      <c r="D506" s="23">
        <f>IFERROR(__xludf.DUMMYFUNCTION("""COMPUTED_VALUE"""),8.3125124049E10)</f>
        <v>83125124049</v>
      </c>
      <c r="E506" s="457">
        <f>IFERROR(__xludf.DUMMYFUNCTION("""COMPUTED_VALUE"""),0.0)</f>
        <v>0</v>
      </c>
      <c r="F506" s="270">
        <f>IFERROR(__xludf.DUMMYFUNCTION("""COMPUTED_VALUE"""),4.0)</f>
        <v>4</v>
      </c>
      <c r="G506" s="17" t="str">
        <f>IFERROR(__xludf.DUMMYFUNCTION("""COMPUTED_VALUE"""),"Full Set")</f>
        <v>Full Set</v>
      </c>
      <c r="H506" s="17"/>
      <c r="I506" s="278" t="str">
        <f>IFERROR(__xludf.DUMMYFUNCTION("""COMPUTED_VALUE"""),"https://www.tiktok.com/@lilisshop80/video/7641830959955889428?is_from_webapp=1&amp;sender_device=pc")</f>
        <v>https://www.tiktok.com/@lilisshop80/video/7641830959955889428?is_from_webapp=1&amp;sender_device=pc</v>
      </c>
      <c r="J506" s="278" t="str">
        <f>IFERROR(__xludf.DUMMYFUNCTION("""COMPUTED_VALUE"""),"https://www.tiktok.com/@lilisshop80/video/7641951677817310484?is_from_webapp=1&amp;sender_device=pc")</f>
        <v>https://www.tiktok.com/@lilisshop80/video/7641951677817310484?is_from_webapp=1&amp;sender_device=pc</v>
      </c>
      <c r="K506" s="278" t="str">
        <f>IFERROR(__xludf.DUMMYFUNCTION("""COMPUTED_VALUE"""),"https://www.tiktok.com/@lilisshop80/video/7642312822537637140?is_from_webapp=1&amp;sender_device=pc")</f>
        <v>https://www.tiktok.com/@lilisshop80/video/7642312822537637140?is_from_webapp=1&amp;sender_device=pc</v>
      </c>
      <c r="L506" s="278" t="str">
        <f>IFERROR(__xludf.DUMMYFUNCTION("""COMPUTED_VALUE"""),"https://www.tiktok.com/@lilisshop80/video/7642496143313816852?is_from_webapp=1&amp;sender_device=pc")</f>
        <v>https://www.tiktok.com/@lilisshop80/video/7642496143313816852?is_from_webapp=1&amp;sender_device=pc</v>
      </c>
      <c r="M506" s="262"/>
    </row>
    <row r="507">
      <c r="A507" s="255" t="str">
        <f>IFERROR(__xludf.DUMMYFUNCTION("""COMPUTED_VALUE"""),"NANO")</f>
        <v>NANO</v>
      </c>
      <c r="B507" s="23" t="str">
        <f>IFERROR(__xludf.DUMMYFUNCTION("""COMPUTED_VALUE"""),"heyyraaaaa ")</f>
        <v>heyyraaaaa </v>
      </c>
      <c r="C507" s="257" t="str">
        <f>IFERROR(__xludf.DUMMYFUNCTION("""COMPUTED_VALUE"""),"https://www.tiktok.com/@heyyraaaaa ")</f>
        <v>https://www.tiktok.com/@heyyraaaaa </v>
      </c>
      <c r="D507" s="23">
        <f>IFERROR(__xludf.DUMMYFUNCTION("""COMPUTED_VALUE"""),8.5655502331E10)</f>
        <v>85655502331</v>
      </c>
      <c r="E507" s="457">
        <f>IFERROR(__xludf.DUMMYFUNCTION("""COMPUTED_VALUE"""),0.0)</f>
        <v>0</v>
      </c>
      <c r="F507" s="270">
        <f>IFERROR(__xludf.DUMMYFUNCTION("""COMPUTED_VALUE"""),4.0)</f>
        <v>4</v>
      </c>
      <c r="G507" s="17" t="str">
        <f>IFERROR(__xludf.DUMMYFUNCTION("""COMPUTED_VALUE"""),"Full Set")</f>
        <v>Full Set</v>
      </c>
      <c r="H507" s="17"/>
      <c r="I507" s="262"/>
      <c r="J507" s="262"/>
      <c r="K507" s="262"/>
      <c r="L507" s="262"/>
      <c r="M507" s="262"/>
    </row>
    <row r="508">
      <c r="A508" s="255" t="str">
        <f>IFERROR(__xludf.DUMMYFUNCTION("""COMPUTED_VALUE"""),"NANO")</f>
        <v>NANO</v>
      </c>
      <c r="B508" s="23" t="str">
        <f>IFERROR(__xludf.DUMMYFUNCTION("""COMPUTED_VALUE"""),"fitavit_")</f>
        <v>fitavit_</v>
      </c>
      <c r="C508" s="257" t="str">
        <f>IFERROR(__xludf.DUMMYFUNCTION("""COMPUTED_VALUE"""),"https://www.tiktok.com/@fitavit_")</f>
        <v>https://www.tiktok.com/@fitavit_</v>
      </c>
      <c r="D508" s="23">
        <f>IFERROR(__xludf.DUMMYFUNCTION("""COMPUTED_VALUE"""),8.3851742763E10)</f>
        <v>83851742763</v>
      </c>
      <c r="E508" s="457">
        <f>IFERROR(__xludf.DUMMYFUNCTION("""COMPUTED_VALUE"""),0.0)</f>
        <v>0</v>
      </c>
      <c r="F508" s="270">
        <f>IFERROR(__xludf.DUMMYFUNCTION("""COMPUTED_VALUE"""),4.0)</f>
        <v>4</v>
      </c>
      <c r="G508" s="17" t="str">
        <f>IFERROR(__xludf.DUMMYFUNCTION("""COMPUTED_VALUE"""),"Full Set")</f>
        <v>Full Set</v>
      </c>
      <c r="H508" s="17"/>
      <c r="I508" s="278" t="str">
        <f>IFERROR(__xludf.DUMMYFUNCTION("""COMPUTED_VALUE"""),"https://www.tiktok.com/@fitavit_/video/7642347672137075988?is_from_webapp=1&amp;sender_device=pc")</f>
        <v>https://www.tiktok.com/@fitavit_/video/7642347672137075988?is_from_webapp=1&amp;sender_device=pc</v>
      </c>
      <c r="J508" s="278" t="str">
        <f>IFERROR(__xludf.DUMMYFUNCTION("""COMPUTED_VALUE"""),"https://www.tiktok.com/@fitavit_/video/7642541648219557140?is_from_webapp=1&amp;sender_device=pc")</f>
        <v>https://www.tiktok.com/@fitavit_/video/7642541648219557140?is_from_webapp=1&amp;sender_device=pc</v>
      </c>
      <c r="K508" s="278" t="str">
        <f>IFERROR(__xludf.DUMMYFUNCTION("""COMPUTED_VALUE"""),"https://www.tiktok.com/@fitavit_/video/7643857519751810324?is_from_webapp=1&amp;sender_device=pc")</f>
        <v>https://www.tiktok.com/@fitavit_/video/7643857519751810324?is_from_webapp=1&amp;sender_device=pc</v>
      </c>
      <c r="L508" s="262"/>
      <c r="M508" s="262"/>
    </row>
    <row r="509">
      <c r="A509" s="255" t="str">
        <f>IFERROR(__xludf.DUMMYFUNCTION("""COMPUTED_VALUE"""),"NANO")</f>
        <v>NANO</v>
      </c>
      <c r="B509" s="23" t="str">
        <f>IFERROR(__xludf.DUMMYFUNCTION("""COMPUTED_VALUE"""),"Tinaismi")</f>
        <v>Tinaismi</v>
      </c>
      <c r="C509" s="257" t="str">
        <f>IFERROR(__xludf.DUMMYFUNCTION("""COMPUTED_VALUE"""),"https://www.tiktok.com/@Tinaismi")</f>
        <v>https://www.tiktok.com/@Tinaismi</v>
      </c>
      <c r="D509" s="23">
        <f>IFERROR(__xludf.DUMMYFUNCTION("""COMPUTED_VALUE"""),8.2120695832E10)</f>
        <v>82120695832</v>
      </c>
      <c r="E509" s="457">
        <f>IFERROR(__xludf.DUMMYFUNCTION("""COMPUTED_VALUE"""),0.0)</f>
        <v>0</v>
      </c>
      <c r="F509" s="270">
        <f>IFERROR(__xludf.DUMMYFUNCTION("""COMPUTED_VALUE"""),4.0)</f>
        <v>4</v>
      </c>
      <c r="G509" s="17" t="str">
        <f>IFERROR(__xludf.DUMMYFUNCTION("""COMPUTED_VALUE"""),"Full Set")</f>
        <v>Full Set</v>
      </c>
      <c r="H509" s="17"/>
      <c r="I509" s="278" t="str">
        <f>IFERROR(__xludf.DUMMYFUNCTION("""COMPUTED_VALUE"""),"https://www.tiktok.com/@tinaismi/video/7643307211082485010?is_from_webapp=1&amp;sender_device=pc")</f>
        <v>https://www.tiktok.com/@tinaismi/video/7643307211082485010?is_from_webapp=1&amp;sender_device=pc</v>
      </c>
      <c r="J509" s="278" t="str">
        <f>IFERROR(__xludf.DUMMYFUNCTION("""COMPUTED_VALUE"""),"https://www.tiktok.com/@tinaismi/video/7643322731383065874?is_from_webapp=1&amp;sender_device=pc")</f>
        <v>https://www.tiktok.com/@tinaismi/video/7643322731383065874?is_from_webapp=1&amp;sender_device=pc</v>
      </c>
      <c r="K509" s="278" t="str">
        <f>IFERROR(__xludf.DUMMYFUNCTION("""COMPUTED_VALUE"""),"https://www.tiktok.com/@tinaismi/video/7643365958270078226?is_from_webapp=1&amp;sender_device=pc")</f>
        <v>https://www.tiktok.com/@tinaismi/video/7643365958270078226?is_from_webapp=1&amp;sender_device=pc</v>
      </c>
      <c r="L509" s="278" t="str">
        <f>IFERROR(__xludf.DUMMYFUNCTION("""COMPUTED_VALUE"""),"https://www.tiktok.com/@tinaismi/video/7643369089058213127?is_from_webapp=1&amp;sender_device=pc")</f>
        <v>https://www.tiktok.com/@tinaismi/video/7643369089058213127?is_from_webapp=1&amp;sender_device=pc</v>
      </c>
      <c r="M509" s="262"/>
    </row>
    <row r="510">
      <c r="A510" s="255" t="str">
        <f>IFERROR(__xludf.DUMMYFUNCTION("""COMPUTED_VALUE"""),"NANO")</f>
        <v>NANO</v>
      </c>
      <c r="B510" s="23" t="str">
        <f>IFERROR(__xludf.DUMMYFUNCTION("""COMPUTED_VALUE"""),"mytiffanyz")</f>
        <v>mytiffanyz</v>
      </c>
      <c r="C510" s="257" t="str">
        <f>IFERROR(__xludf.DUMMYFUNCTION("""COMPUTED_VALUE"""),"https://www.tiktok.com/@mytiffanyz")</f>
        <v>https://www.tiktok.com/@mytiffanyz</v>
      </c>
      <c r="D510" s="23">
        <f>IFERROR(__xludf.DUMMYFUNCTION("""COMPUTED_VALUE"""),8.3869476458E10)</f>
        <v>83869476458</v>
      </c>
      <c r="E510" s="457">
        <f>IFERROR(__xludf.DUMMYFUNCTION("""COMPUTED_VALUE"""),0.0)</f>
        <v>0</v>
      </c>
      <c r="F510" s="270">
        <f>IFERROR(__xludf.DUMMYFUNCTION("""COMPUTED_VALUE"""),4.0)</f>
        <v>4</v>
      </c>
      <c r="G510" s="17" t="str">
        <f>IFERROR(__xludf.DUMMYFUNCTION("""COMPUTED_VALUE"""),"Full Set")</f>
        <v>Full Set</v>
      </c>
      <c r="H510" s="17"/>
      <c r="I510" s="262"/>
      <c r="J510" s="262"/>
      <c r="K510" s="262"/>
      <c r="L510" s="262"/>
      <c r="M510" s="262"/>
    </row>
    <row r="511">
      <c r="A511" s="255" t="str">
        <f>IFERROR(__xludf.DUMMYFUNCTION("""COMPUTED_VALUE"""),"NANO")</f>
        <v>NANO</v>
      </c>
      <c r="B511" s="23" t="str">
        <f>IFERROR(__xludf.DUMMYFUNCTION("""COMPUTED_VALUE"""),"mrsladyrose.glow")</f>
        <v>mrsladyrose.glow</v>
      </c>
      <c r="C511" s="257" t="str">
        <f>IFERROR(__xludf.DUMMYFUNCTION("""COMPUTED_VALUE"""),"https://www.tiktok.com/@mrsladyrose.glow")</f>
        <v>https://www.tiktok.com/@mrsladyrose.glow</v>
      </c>
      <c r="D511" s="23">
        <f>IFERROR(__xludf.DUMMYFUNCTION("""COMPUTED_VALUE"""),8.2237388804E10)</f>
        <v>82237388804</v>
      </c>
      <c r="E511" s="457">
        <f>IFERROR(__xludf.DUMMYFUNCTION("""COMPUTED_VALUE"""),0.0)</f>
        <v>0</v>
      </c>
      <c r="F511" s="270">
        <f>IFERROR(__xludf.DUMMYFUNCTION("""COMPUTED_VALUE"""),4.0)</f>
        <v>4</v>
      </c>
      <c r="G511" s="17" t="str">
        <f>IFERROR(__xludf.DUMMYFUNCTION("""COMPUTED_VALUE"""),"Full Set")</f>
        <v>Full Set</v>
      </c>
      <c r="H511" s="17"/>
      <c r="I511" s="262"/>
      <c r="J511" s="262"/>
      <c r="K511" s="262"/>
      <c r="L511" s="262"/>
      <c r="M511" s="262"/>
    </row>
    <row r="512">
      <c r="A512" s="255" t="str">
        <f>IFERROR(__xludf.DUMMYFUNCTION("""COMPUTED_VALUE"""),"NANO")</f>
        <v>NANO</v>
      </c>
      <c r="B512" s="23" t="str">
        <f>IFERROR(__xludf.DUMMYFUNCTION("""COMPUTED_VALUE"""),"this.fannie")</f>
        <v>this.fannie</v>
      </c>
      <c r="C512" s="257" t="str">
        <f>IFERROR(__xludf.DUMMYFUNCTION("""COMPUTED_VALUE"""),"https://www.tiktok.com/@this.fannie")</f>
        <v>https://www.tiktok.com/@this.fannie</v>
      </c>
      <c r="D512" s="23">
        <f>IFERROR(__xludf.DUMMYFUNCTION("""COMPUTED_VALUE"""),8.2161607618E10)</f>
        <v>82161607618</v>
      </c>
      <c r="E512" s="457">
        <f>IFERROR(__xludf.DUMMYFUNCTION("""COMPUTED_VALUE"""),0.0)</f>
        <v>0</v>
      </c>
      <c r="F512" s="270">
        <f>IFERROR(__xludf.DUMMYFUNCTION("""COMPUTED_VALUE"""),4.0)</f>
        <v>4</v>
      </c>
      <c r="G512" s="17" t="str">
        <f>IFERROR(__xludf.DUMMYFUNCTION("""COMPUTED_VALUE"""),"Full Set")</f>
        <v>Full Set</v>
      </c>
      <c r="H512" s="17"/>
      <c r="I512" s="262"/>
      <c r="J512" s="262"/>
      <c r="K512" s="262"/>
      <c r="L512" s="262"/>
      <c r="M512" s="262"/>
    </row>
    <row r="513">
      <c r="A513" s="255" t="str">
        <f>IFERROR(__xludf.DUMMYFUNCTION("""COMPUTED_VALUE"""),"NANO")</f>
        <v>NANO</v>
      </c>
      <c r="B513" s="23" t="str">
        <f>IFERROR(__xludf.DUMMYFUNCTION("""COMPUTED_VALUE"""),"carissanz31 ")</f>
        <v>carissanz31 </v>
      </c>
      <c r="C513" s="257" t="str">
        <f>IFERROR(__xludf.DUMMYFUNCTION("""COMPUTED_VALUE"""),"https://www.tiktok.com/@carissanz31 ")</f>
        <v>https://www.tiktok.com/@carissanz31 </v>
      </c>
      <c r="D513" s="23">
        <f>IFERROR(__xludf.DUMMYFUNCTION("""COMPUTED_VALUE"""),8.5697367279E10)</f>
        <v>85697367279</v>
      </c>
      <c r="E513" s="457">
        <f>IFERROR(__xludf.DUMMYFUNCTION("""COMPUTED_VALUE"""),0.0)</f>
        <v>0</v>
      </c>
      <c r="F513" s="270">
        <f>IFERROR(__xludf.DUMMYFUNCTION("""COMPUTED_VALUE"""),4.0)</f>
        <v>4</v>
      </c>
      <c r="G513" s="17" t="str">
        <f>IFERROR(__xludf.DUMMYFUNCTION("""COMPUTED_VALUE"""),"Full Set")</f>
        <v>Full Set</v>
      </c>
      <c r="H513" s="17"/>
      <c r="I513" s="262"/>
      <c r="J513" s="262"/>
      <c r="K513" s="262"/>
      <c r="L513" s="262"/>
      <c r="M513" s="262"/>
    </row>
    <row r="514">
      <c r="A514" s="255" t="str">
        <f>IFERROR(__xludf.DUMMYFUNCTION("""COMPUTED_VALUE"""),"NANO")</f>
        <v>NANO</v>
      </c>
      <c r="B514" s="23" t="str">
        <f>IFERROR(__xludf.DUMMYFUNCTION("""COMPUTED_VALUE"""),"classica_store8")</f>
        <v>classica_store8</v>
      </c>
      <c r="C514" s="257" t="str">
        <f>IFERROR(__xludf.DUMMYFUNCTION("""COMPUTED_VALUE"""),"https://www.tiktok.com/@classica_store8")</f>
        <v>https://www.tiktok.com/@classica_store8</v>
      </c>
      <c r="D514" s="23">
        <f>IFERROR(__xludf.DUMMYFUNCTION("""COMPUTED_VALUE"""),8.9667007987E10)</f>
        <v>89667007987</v>
      </c>
      <c r="E514" s="457">
        <f>IFERROR(__xludf.DUMMYFUNCTION("""COMPUTED_VALUE"""),0.0)</f>
        <v>0</v>
      </c>
      <c r="F514" s="270">
        <f>IFERROR(__xludf.DUMMYFUNCTION("""COMPUTED_VALUE"""),4.0)</f>
        <v>4</v>
      </c>
      <c r="G514" s="17" t="str">
        <f>IFERROR(__xludf.DUMMYFUNCTION("""COMPUTED_VALUE"""),"Full Set")</f>
        <v>Full Set</v>
      </c>
      <c r="H514" s="17"/>
      <c r="I514" s="278" t="str">
        <f>IFERROR(__xludf.DUMMYFUNCTION("""COMPUTED_VALUE"""),"https://www.tiktok.com/@classica_store8/video/7642982095559658772?is_from_webapp=1&amp;sender_device=pc")</f>
        <v>https://www.tiktok.com/@classica_store8/video/7642982095559658772?is_from_webapp=1&amp;sender_device=pc</v>
      </c>
      <c r="J514" s="278" t="str">
        <f>IFERROR(__xludf.DUMMYFUNCTION("""COMPUTED_VALUE"""),"https://www.tiktok.com/@classica_store8/video/7643244856856317205?is_from_webapp=1&amp;sender_device=pc")</f>
        <v>https://www.tiktok.com/@classica_store8/video/7643244856856317205?is_from_webapp=1&amp;sender_device=pc</v>
      </c>
      <c r="K514" s="278" t="str">
        <f>IFERROR(__xludf.DUMMYFUNCTION("""COMPUTED_VALUE"""),"https://www.tiktok.com/@classica_store8/video/7643404803045100820?is_from_webapp=1&amp;sender_device=pc")</f>
        <v>https://www.tiktok.com/@classica_store8/video/7643404803045100820?is_from_webapp=1&amp;sender_device=pc</v>
      </c>
      <c r="L514" s="262"/>
      <c r="M514" s="262"/>
    </row>
    <row r="515">
      <c r="A515" s="255" t="str">
        <f>IFERROR(__xludf.DUMMYFUNCTION("""COMPUTED_VALUE"""),"NANO")</f>
        <v>NANO</v>
      </c>
      <c r="B515" s="23" t="str">
        <f>IFERROR(__xludf.DUMMYFUNCTION("""COMPUTED_VALUE"""),"Amiraastari21 ")</f>
        <v>Amiraastari21 </v>
      </c>
      <c r="C515" s="257" t="str">
        <f>IFERROR(__xludf.DUMMYFUNCTION("""COMPUTED_VALUE"""),"https://www.tiktok.com/@Amiraastari21 ")</f>
        <v>https://www.tiktok.com/@Amiraastari21 </v>
      </c>
      <c r="D515" s="23">
        <f>IFERROR(__xludf.DUMMYFUNCTION("""COMPUTED_VALUE"""),8.2123099448E10)</f>
        <v>82123099448</v>
      </c>
      <c r="E515" s="457">
        <f>IFERROR(__xludf.DUMMYFUNCTION("""COMPUTED_VALUE"""),0.0)</f>
        <v>0</v>
      </c>
      <c r="F515" s="270">
        <f>IFERROR(__xludf.DUMMYFUNCTION("""COMPUTED_VALUE"""),4.0)</f>
        <v>4</v>
      </c>
      <c r="G515" s="17" t="str">
        <f>IFERROR(__xludf.DUMMYFUNCTION("""COMPUTED_VALUE"""),"Full Set")</f>
        <v>Full Set</v>
      </c>
      <c r="H515" s="17"/>
      <c r="I515" s="278" t="str">
        <f>IFERROR(__xludf.DUMMYFUNCTION("""COMPUTED_VALUE"""),"https://www.tiktok.com/@amiraastari21/video/7642654314619473170?is_from_webapp=1&amp;sender_device=pc")</f>
        <v>https://www.tiktok.com/@amiraastari21/video/7642654314619473170?is_from_webapp=1&amp;sender_device=pc</v>
      </c>
      <c r="J515" s="278" t="str">
        <f>IFERROR(__xludf.DUMMYFUNCTION("""COMPUTED_VALUE"""),"https://www.tiktok.com/@amiraastari21/video/7643806671785004295?is_from_webapp=1&amp;sender_device=pc")</f>
        <v>https://www.tiktok.com/@amiraastari21/video/7643806671785004295?is_from_webapp=1&amp;sender_device=pc</v>
      </c>
      <c r="K515" s="262"/>
      <c r="L515" s="262"/>
      <c r="M515" s="262"/>
    </row>
    <row r="516">
      <c r="A516" s="255" t="str">
        <f>IFERROR(__xludf.DUMMYFUNCTION("""COMPUTED_VALUE"""),"NANO")</f>
        <v>NANO</v>
      </c>
      <c r="B516" s="23" t="str">
        <f>IFERROR(__xludf.DUMMYFUNCTION("""COMPUTED_VALUE"""),"ig_meaii17")</f>
        <v>ig_meaii17</v>
      </c>
      <c r="C516" s="257" t="str">
        <f>IFERROR(__xludf.DUMMYFUNCTION("""COMPUTED_VALUE"""),"https://www.tiktok.com/@ig_meaii17")</f>
        <v>https://www.tiktok.com/@ig_meaii17</v>
      </c>
      <c r="D516" s="23">
        <f>IFERROR(__xludf.DUMMYFUNCTION("""COMPUTED_VALUE"""),8.2320400315E10)</f>
        <v>82320400315</v>
      </c>
      <c r="E516" s="457">
        <f>IFERROR(__xludf.DUMMYFUNCTION("""COMPUTED_VALUE"""),0.0)</f>
        <v>0</v>
      </c>
      <c r="F516" s="270">
        <f>IFERROR(__xludf.DUMMYFUNCTION("""COMPUTED_VALUE"""),4.0)</f>
        <v>4</v>
      </c>
      <c r="G516" s="17" t="str">
        <f>IFERROR(__xludf.DUMMYFUNCTION("""COMPUTED_VALUE"""),"Full Set")</f>
        <v>Full Set</v>
      </c>
      <c r="H516" s="17"/>
      <c r="I516" s="262"/>
      <c r="J516" s="262"/>
      <c r="K516" s="262"/>
      <c r="L516" s="262"/>
      <c r="M516" s="262"/>
    </row>
    <row r="517">
      <c r="A517" s="255" t="str">
        <f>IFERROR(__xludf.DUMMYFUNCTION("""COMPUTED_VALUE"""),"NANO")</f>
        <v>NANO</v>
      </c>
      <c r="B517" s="23" t="str">
        <f>IFERROR(__xludf.DUMMYFUNCTION("""COMPUTED_VALUE"""),"cheeselovely")</f>
        <v>cheeselovely</v>
      </c>
      <c r="C517" s="257" t="str">
        <f>IFERROR(__xludf.DUMMYFUNCTION("""COMPUTED_VALUE"""),"https://www.tiktok.com/@cheeselovely")</f>
        <v>https://www.tiktok.com/@cheeselovely</v>
      </c>
      <c r="D517" s="23">
        <f>IFERROR(__xludf.DUMMYFUNCTION("""COMPUTED_VALUE"""),8.82001960716E11)</f>
        <v>882001960716</v>
      </c>
      <c r="E517" s="457">
        <f>IFERROR(__xludf.DUMMYFUNCTION("""COMPUTED_VALUE"""),0.0)</f>
        <v>0</v>
      </c>
      <c r="F517" s="270">
        <f>IFERROR(__xludf.DUMMYFUNCTION("""COMPUTED_VALUE"""),4.0)</f>
        <v>4</v>
      </c>
      <c r="G517" s="17" t="str">
        <f>IFERROR(__xludf.DUMMYFUNCTION("""COMPUTED_VALUE"""),"Full Set")</f>
        <v>Full Set</v>
      </c>
      <c r="H517" s="17"/>
      <c r="I517" s="262"/>
      <c r="J517" s="262"/>
      <c r="K517" s="262"/>
      <c r="L517" s="262"/>
      <c r="M517" s="262"/>
    </row>
    <row r="518">
      <c r="A518" s="255" t="str">
        <f>IFERROR(__xludf.DUMMYFUNCTION("""COMPUTED_VALUE"""),"NANO")</f>
        <v>NANO</v>
      </c>
      <c r="B518" s="23" t="str">
        <f>IFERROR(__xludf.DUMMYFUNCTION("""COMPUTED_VALUE"""),"azkiaarchive")</f>
        <v>azkiaarchive</v>
      </c>
      <c r="C518" s="257" t="str">
        <f>IFERROR(__xludf.DUMMYFUNCTION("""COMPUTED_VALUE"""),"https://www.tiktok.com/@azkiaarchive")</f>
        <v>https://www.tiktok.com/@azkiaarchive</v>
      </c>
      <c r="D518" s="23">
        <f>IFERROR(__xludf.DUMMYFUNCTION("""COMPUTED_VALUE"""),8.2160653457E10)</f>
        <v>82160653457</v>
      </c>
      <c r="E518" s="457">
        <f>IFERROR(__xludf.DUMMYFUNCTION("""COMPUTED_VALUE"""),0.0)</f>
        <v>0</v>
      </c>
      <c r="F518" s="270">
        <f>IFERROR(__xludf.DUMMYFUNCTION("""COMPUTED_VALUE"""),4.0)</f>
        <v>4</v>
      </c>
      <c r="G518" s="17" t="str">
        <f>IFERROR(__xludf.DUMMYFUNCTION("""COMPUTED_VALUE"""),"Full Set")</f>
        <v>Full Set</v>
      </c>
      <c r="H518" s="17"/>
      <c r="I518" s="262"/>
      <c r="J518" s="262"/>
      <c r="K518" s="262"/>
      <c r="L518" s="262"/>
      <c r="M518" s="262"/>
    </row>
    <row r="519">
      <c r="A519" s="255" t="str">
        <f>IFERROR(__xludf.DUMMYFUNCTION("""COMPUTED_VALUE"""),"NANO")</f>
        <v>NANO</v>
      </c>
      <c r="B519" s="23" t="str">
        <f>IFERROR(__xludf.DUMMYFUNCTION("""COMPUTED_VALUE"""),"anisa_fironika")</f>
        <v>anisa_fironika</v>
      </c>
      <c r="C519" s="257" t="str">
        <f>IFERROR(__xludf.DUMMYFUNCTION("""COMPUTED_VALUE"""),"https://www.tiktok.com/@anisa_fironika")</f>
        <v>https://www.tiktok.com/@anisa_fironika</v>
      </c>
      <c r="D519" s="23">
        <f>IFERROR(__xludf.DUMMYFUNCTION("""COMPUTED_VALUE"""),8.5835208396E10)</f>
        <v>85835208396</v>
      </c>
      <c r="E519" s="457">
        <f>IFERROR(__xludf.DUMMYFUNCTION("""COMPUTED_VALUE"""),0.0)</f>
        <v>0</v>
      </c>
      <c r="F519" s="270">
        <f>IFERROR(__xludf.DUMMYFUNCTION("""COMPUTED_VALUE"""),4.0)</f>
        <v>4</v>
      </c>
      <c r="G519" s="17" t="str">
        <f>IFERROR(__xludf.DUMMYFUNCTION("""COMPUTED_VALUE"""),"Full Set")</f>
        <v>Full Set</v>
      </c>
      <c r="H519" s="17"/>
      <c r="I519" s="262"/>
      <c r="J519" s="262"/>
      <c r="K519" s="262"/>
      <c r="L519" s="262"/>
      <c r="M519" s="262"/>
    </row>
    <row r="520">
      <c r="A520" s="255" t="str">
        <f>IFERROR(__xludf.DUMMYFUNCTION("""COMPUTED_VALUE"""),"NANO")</f>
        <v>NANO</v>
      </c>
      <c r="B520" s="23" t="str">
        <f>IFERROR(__xludf.DUMMYFUNCTION("""COMPUTED_VALUE"""),"mama_cantik99")</f>
        <v>mama_cantik99</v>
      </c>
      <c r="C520" s="257" t="str">
        <f>IFERROR(__xludf.DUMMYFUNCTION("""COMPUTED_VALUE"""),"https://www.tiktok.com/@mama_cantik99")</f>
        <v>https://www.tiktok.com/@mama_cantik99</v>
      </c>
      <c r="D520" s="23">
        <f>IFERROR(__xludf.DUMMYFUNCTION("""COMPUTED_VALUE"""),8.2322364779E10)</f>
        <v>82322364779</v>
      </c>
      <c r="E520" s="457">
        <f>IFERROR(__xludf.DUMMYFUNCTION("""COMPUTED_VALUE"""),0.0)</f>
        <v>0</v>
      </c>
      <c r="F520" s="270">
        <f>IFERROR(__xludf.DUMMYFUNCTION("""COMPUTED_VALUE"""),4.0)</f>
        <v>4</v>
      </c>
      <c r="G520" s="17" t="str">
        <f>IFERROR(__xludf.DUMMYFUNCTION("""COMPUTED_VALUE"""),"Full Set")</f>
        <v>Full Set</v>
      </c>
      <c r="H520" s="17"/>
      <c r="I520" s="278" t="str">
        <f>IFERROR(__xludf.DUMMYFUNCTION("""COMPUTED_VALUE"""),"https://www.tiktok.com/@mama_cantik99/video/7644055171818933522?is_from_webapp=1&amp;sender_device=pc")</f>
        <v>https://www.tiktok.com/@mama_cantik99/video/7644055171818933522?is_from_webapp=1&amp;sender_device=pc</v>
      </c>
      <c r="J520" s="262"/>
      <c r="K520" s="262"/>
      <c r="L520" s="262"/>
      <c r="M520" s="262"/>
    </row>
    <row r="521">
      <c r="A521" s="255" t="str">
        <f>IFERROR(__xludf.DUMMYFUNCTION("""COMPUTED_VALUE"""),"NANO")</f>
        <v>NANO</v>
      </c>
      <c r="B521" s="23" t="str">
        <f>IFERROR(__xludf.DUMMYFUNCTION("""COMPUTED_VALUE"""),"190222ss")</f>
        <v>190222ss</v>
      </c>
      <c r="C521" s="257" t="str">
        <f>IFERROR(__xludf.DUMMYFUNCTION("""COMPUTED_VALUE"""),"https://www.tiktok.com/@190222ss")</f>
        <v>https://www.tiktok.com/@190222ss</v>
      </c>
      <c r="D521" s="23">
        <f>IFERROR(__xludf.DUMMYFUNCTION("""COMPUTED_VALUE"""),8.5804623858E10)</f>
        <v>85804623858</v>
      </c>
      <c r="E521" s="457">
        <f>IFERROR(__xludf.DUMMYFUNCTION("""COMPUTED_VALUE"""),0.0)</f>
        <v>0</v>
      </c>
      <c r="F521" s="270">
        <f>IFERROR(__xludf.DUMMYFUNCTION("""COMPUTED_VALUE"""),4.0)</f>
        <v>4</v>
      </c>
      <c r="G521" s="17" t="str">
        <f>IFERROR(__xludf.DUMMYFUNCTION("""COMPUTED_VALUE"""),"Full Set")</f>
        <v>Full Set</v>
      </c>
      <c r="H521" s="17"/>
      <c r="I521" s="278" t="str">
        <f>IFERROR(__xludf.DUMMYFUNCTION("""COMPUTED_VALUE"""),"https://www.tiktok.com/@190222ss/video/7643438693864197384?is_from_webapp=1&amp;sender_device=pc")</f>
        <v>https://www.tiktok.com/@190222ss/video/7643438693864197384?is_from_webapp=1&amp;sender_device=pc</v>
      </c>
      <c r="J521" s="278" t="str">
        <f>IFERROR(__xludf.DUMMYFUNCTION("""COMPUTED_VALUE"""),"https://www.tiktok.com/@190222ss/video/7643449914512411911?is_from_webapp=1&amp;sender_device=pc")</f>
        <v>https://www.tiktok.com/@190222ss/video/7643449914512411911?is_from_webapp=1&amp;sender_device=pc</v>
      </c>
      <c r="K521" s="278" t="str">
        <f>IFERROR(__xludf.DUMMYFUNCTION("""COMPUTED_VALUE"""),"https://www.tiktok.com/@190222ss/video/7643497611474783506?is_from_webapp=1&amp;sender_device=pc")</f>
        <v>https://www.tiktok.com/@190222ss/video/7643497611474783506?is_from_webapp=1&amp;sender_device=pc</v>
      </c>
      <c r="L521" s="278" t="str">
        <f>IFERROR(__xludf.DUMMYFUNCTION("""COMPUTED_VALUE"""),"https://www.tiktok.com/@190222ss/video/7643503417884757256?is_from_webapp=1&amp;sender_device=pc")</f>
        <v>https://www.tiktok.com/@190222ss/video/7643503417884757256?is_from_webapp=1&amp;sender_device=pc</v>
      </c>
      <c r="M521" s="262"/>
    </row>
    <row r="522">
      <c r="A522" s="255" t="str">
        <f>IFERROR(__xludf.DUMMYFUNCTION("""COMPUTED_VALUE"""),"NANO")</f>
        <v>NANO</v>
      </c>
      <c r="B522" s="23" t="str">
        <f>IFERROR(__xludf.DUMMYFUNCTION("""COMPUTED_VALUE"""),"mamanyanecen_")</f>
        <v>mamanyanecen_</v>
      </c>
      <c r="C522" s="257" t="str">
        <f>IFERROR(__xludf.DUMMYFUNCTION("""COMPUTED_VALUE"""),"https://www.tiktok.com/@mamanyanecen_")</f>
        <v>https://www.tiktok.com/@mamanyanecen_</v>
      </c>
      <c r="D522" s="23">
        <f>IFERROR(__xludf.DUMMYFUNCTION("""COMPUTED_VALUE"""),8.1548198153E10)</f>
        <v>81548198153</v>
      </c>
      <c r="E522" s="457">
        <f>IFERROR(__xludf.DUMMYFUNCTION("""COMPUTED_VALUE"""),0.0)</f>
        <v>0</v>
      </c>
      <c r="F522" s="270">
        <f>IFERROR(__xludf.DUMMYFUNCTION("""COMPUTED_VALUE"""),4.0)</f>
        <v>4</v>
      </c>
      <c r="G522" s="17" t="str">
        <f>IFERROR(__xludf.DUMMYFUNCTION("""COMPUTED_VALUE"""),"Full Set")</f>
        <v>Full Set</v>
      </c>
      <c r="H522" s="17"/>
      <c r="I522" s="262"/>
      <c r="J522" s="262"/>
      <c r="K522" s="262"/>
      <c r="L522" s="262"/>
      <c r="M522" s="262"/>
    </row>
    <row r="523">
      <c r="A523" s="255" t="str">
        <f>IFERROR(__xludf.DUMMYFUNCTION("""COMPUTED_VALUE"""),"NANO")</f>
        <v>NANO</v>
      </c>
      <c r="B523" s="23" t="str">
        <f>IFERROR(__xludf.DUMMYFUNCTION("""COMPUTED_VALUE"""),"Nengyuliaaja")</f>
        <v>Nengyuliaaja</v>
      </c>
      <c r="C523" s="257" t="str">
        <f>IFERROR(__xludf.DUMMYFUNCTION("""COMPUTED_VALUE"""),"https://www.tiktok.com/@Nengyuliaaja")</f>
        <v>https://www.tiktok.com/@Nengyuliaaja</v>
      </c>
      <c r="D523" s="23">
        <f>IFERROR(__xludf.DUMMYFUNCTION("""COMPUTED_VALUE"""),8.811348172E9)</f>
        <v>8811348172</v>
      </c>
      <c r="E523" s="457">
        <f>IFERROR(__xludf.DUMMYFUNCTION("""COMPUTED_VALUE"""),0.0)</f>
        <v>0</v>
      </c>
      <c r="F523" s="270">
        <f>IFERROR(__xludf.DUMMYFUNCTION("""COMPUTED_VALUE"""),4.0)</f>
        <v>4</v>
      </c>
      <c r="G523" s="17" t="str">
        <f>IFERROR(__xludf.DUMMYFUNCTION("""COMPUTED_VALUE"""),"Full Set")</f>
        <v>Full Set</v>
      </c>
      <c r="H523" s="17"/>
      <c r="I523" s="262"/>
      <c r="J523" s="262"/>
      <c r="K523" s="262"/>
      <c r="L523" s="262"/>
      <c r="M523" s="262"/>
    </row>
    <row r="524">
      <c r="A524" s="255" t="str">
        <f>IFERROR(__xludf.DUMMYFUNCTION("""COMPUTED_VALUE"""),"NANO")</f>
        <v>NANO</v>
      </c>
      <c r="B524" s="23" t="str">
        <f>IFERROR(__xludf.DUMMYFUNCTION("""COMPUTED_VALUE"""),"privatebutnotsecret2")</f>
        <v>privatebutnotsecret2</v>
      </c>
      <c r="C524" s="257" t="str">
        <f>IFERROR(__xludf.DUMMYFUNCTION("""COMPUTED_VALUE"""),"https://www.tiktok.com/@privatebutnotsecret2")</f>
        <v>https://www.tiktok.com/@privatebutnotsecret2</v>
      </c>
      <c r="D524" s="23">
        <f>IFERROR(__xludf.DUMMYFUNCTION("""COMPUTED_VALUE"""),8.7877112008E10)</f>
        <v>87877112008</v>
      </c>
      <c r="E524" s="457">
        <f>IFERROR(__xludf.DUMMYFUNCTION("""COMPUTED_VALUE"""),0.0)</f>
        <v>0</v>
      </c>
      <c r="F524" s="270">
        <f>IFERROR(__xludf.DUMMYFUNCTION("""COMPUTED_VALUE"""),4.0)</f>
        <v>4</v>
      </c>
      <c r="G524" s="17" t="str">
        <f>IFERROR(__xludf.DUMMYFUNCTION("""COMPUTED_VALUE"""),"Full Set")</f>
        <v>Full Set</v>
      </c>
      <c r="H524" s="17"/>
      <c r="I524" s="262"/>
      <c r="J524" s="262"/>
      <c r="K524" s="262"/>
      <c r="L524" s="262"/>
      <c r="M524" s="262"/>
    </row>
    <row r="525">
      <c r="A525" s="255" t="str">
        <f>IFERROR(__xludf.DUMMYFUNCTION("""COMPUTED_VALUE"""),"NANO")</f>
        <v>NANO</v>
      </c>
      <c r="B525" s="23" t="str">
        <f>IFERROR(__xludf.DUMMYFUNCTION("""COMPUTED_VALUE"""),"riayulianti1406")</f>
        <v>riayulianti1406</v>
      </c>
      <c r="C525" s="257" t="str">
        <f>IFERROR(__xludf.DUMMYFUNCTION("""COMPUTED_VALUE"""),"https://www.tiktok.com/@riayulianti1406")</f>
        <v>https://www.tiktok.com/@riayulianti1406</v>
      </c>
      <c r="D525" s="23">
        <f>IFERROR(__xludf.DUMMYFUNCTION("""COMPUTED_VALUE"""),8.95358369741E11)</f>
        <v>895358369741</v>
      </c>
      <c r="E525" s="457">
        <f>IFERROR(__xludf.DUMMYFUNCTION("""COMPUTED_VALUE"""),0.0)</f>
        <v>0</v>
      </c>
      <c r="F525" s="270">
        <f>IFERROR(__xludf.DUMMYFUNCTION("""COMPUTED_VALUE"""),4.0)</f>
        <v>4</v>
      </c>
      <c r="G525" s="17" t="str">
        <f>IFERROR(__xludf.DUMMYFUNCTION("""COMPUTED_VALUE"""),"Full Set")</f>
        <v>Full Set</v>
      </c>
      <c r="H525" s="17"/>
      <c r="I525" s="278" t="str">
        <f>IFERROR(__xludf.DUMMYFUNCTION("""COMPUTED_VALUE"""),"https://www.tiktok.com/@riayulianti1406/video/7641831726657916181?is_from_webapp=1&amp;sender_device=pc")</f>
        <v>https://www.tiktok.com/@riayulianti1406/video/7641831726657916181?is_from_webapp=1&amp;sender_device=pc</v>
      </c>
      <c r="J525" s="278" t="str">
        <f>IFERROR(__xludf.DUMMYFUNCTION("""COMPUTED_VALUE"""),"https://www.tiktok.com/@riayulianti1406/video/7642219252254035221?is_from_webapp=1&amp;sender_device=pc")</f>
        <v>https://www.tiktok.com/@riayulianti1406/video/7642219252254035221?is_from_webapp=1&amp;sender_device=pc</v>
      </c>
      <c r="K525" s="278" t="str">
        <f>IFERROR(__xludf.DUMMYFUNCTION("""COMPUTED_VALUE"""),"https://www.tiktok.com/@riayulianti1406/video/7642591676158184724?is_from_webapp=1&amp;sender_device=pc")</f>
        <v>https://www.tiktok.com/@riayulianti1406/video/7642591676158184724?is_from_webapp=1&amp;sender_device=pc</v>
      </c>
      <c r="L525" s="278" t="str">
        <f>IFERROR(__xludf.DUMMYFUNCTION("""COMPUTED_VALUE"""),"https://www.tiktok.com/@riayulianti1406/video/7643020327647251733?is_from_webapp=1&amp;sender_device=pc")</f>
        <v>https://www.tiktok.com/@riayulianti1406/video/7643020327647251733?is_from_webapp=1&amp;sender_device=pc</v>
      </c>
      <c r="M525" s="262"/>
    </row>
    <row r="526">
      <c r="A526" s="255" t="str">
        <f>IFERROR(__xludf.DUMMYFUNCTION("""COMPUTED_VALUE"""),"NANO")</f>
        <v>NANO</v>
      </c>
      <c r="B526" s="23" t="str">
        <f>IFERROR(__xludf.DUMMYFUNCTION("""COMPUTED_VALUE"""),"_spalspilpromo")</f>
        <v>_spalspilpromo</v>
      </c>
      <c r="C526" s="257" t="str">
        <f>IFERROR(__xludf.DUMMYFUNCTION("""COMPUTED_VALUE"""),"https://www.tiktok.com/@_spalspilpromo")</f>
        <v>https://www.tiktok.com/@_spalspilpromo</v>
      </c>
      <c r="D526" s="23">
        <f>IFERROR(__xludf.DUMMYFUNCTION("""COMPUTED_VALUE"""),8.1338311363E10)</f>
        <v>81338311363</v>
      </c>
      <c r="E526" s="457">
        <f>IFERROR(__xludf.DUMMYFUNCTION("""COMPUTED_VALUE"""),0.0)</f>
        <v>0</v>
      </c>
      <c r="F526" s="270">
        <f>IFERROR(__xludf.DUMMYFUNCTION("""COMPUTED_VALUE"""),4.0)</f>
        <v>4</v>
      </c>
      <c r="G526" s="17" t="str">
        <f>IFERROR(__xludf.DUMMYFUNCTION("""COMPUTED_VALUE"""),"Full Set")</f>
        <v>Full Set</v>
      </c>
      <c r="H526" s="17"/>
      <c r="I526" s="262"/>
      <c r="J526" s="262"/>
      <c r="K526" s="262"/>
      <c r="L526" s="262"/>
      <c r="M526" s="262"/>
    </row>
    <row r="527">
      <c r="A527" s="255" t="str">
        <f>IFERROR(__xludf.DUMMYFUNCTION("""COMPUTED_VALUE"""),"NANO")</f>
        <v>NANO</v>
      </c>
      <c r="B527" s="23" t="str">
        <f>IFERROR(__xludf.DUMMYFUNCTION("""COMPUTED_VALUE"""),"mie40182")</f>
        <v>mie40182</v>
      </c>
      <c r="C527" s="257" t="str">
        <f>IFERROR(__xludf.DUMMYFUNCTION("""COMPUTED_VALUE"""),"https://www.tiktok.com/@mie40182")</f>
        <v>https://www.tiktok.com/@mie40182</v>
      </c>
      <c r="D527" s="23">
        <f>IFERROR(__xludf.DUMMYFUNCTION("""COMPUTED_VALUE"""),8.81026077554E11)</f>
        <v>881026077554</v>
      </c>
      <c r="E527" s="457">
        <f>IFERROR(__xludf.DUMMYFUNCTION("""COMPUTED_VALUE"""),0.0)</f>
        <v>0</v>
      </c>
      <c r="F527" s="270">
        <f>IFERROR(__xludf.DUMMYFUNCTION("""COMPUTED_VALUE"""),4.0)</f>
        <v>4</v>
      </c>
      <c r="G527" s="17" t="str">
        <f>IFERROR(__xludf.DUMMYFUNCTION("""COMPUTED_VALUE"""),"Full Set")</f>
        <v>Full Set</v>
      </c>
      <c r="H527" s="17"/>
      <c r="I527" s="262"/>
      <c r="J527" s="262"/>
      <c r="K527" s="262"/>
      <c r="L527" s="262"/>
      <c r="M527" s="262"/>
    </row>
    <row r="528">
      <c r="A528" s="255" t="str">
        <f>IFERROR(__xludf.DUMMYFUNCTION("""COMPUTED_VALUE"""),"NANO")</f>
        <v>NANO</v>
      </c>
      <c r="B528" s="23" t="str">
        <f>IFERROR(__xludf.DUMMYFUNCTION("""COMPUTED_VALUE"""),"ninayehow")</f>
        <v>ninayehow</v>
      </c>
      <c r="C528" s="257" t="str">
        <f>IFERROR(__xludf.DUMMYFUNCTION("""COMPUTED_VALUE"""),"https://www.tiktok.com/@ninayehow")</f>
        <v>https://www.tiktok.com/@ninayehow</v>
      </c>
      <c r="D528" s="23">
        <f>IFERROR(__xludf.DUMMYFUNCTION("""COMPUTED_VALUE"""),8.5955272659E10)</f>
        <v>85955272659</v>
      </c>
      <c r="E528" s="457">
        <f>IFERROR(__xludf.DUMMYFUNCTION("""COMPUTED_VALUE"""),0.0)</f>
        <v>0</v>
      </c>
      <c r="F528" s="270">
        <f>IFERROR(__xludf.DUMMYFUNCTION("""COMPUTED_VALUE"""),4.0)</f>
        <v>4</v>
      </c>
      <c r="G528" s="17" t="str">
        <f>IFERROR(__xludf.DUMMYFUNCTION("""COMPUTED_VALUE"""),"Full Set")</f>
        <v>Full Set</v>
      </c>
      <c r="H528" s="17"/>
      <c r="I528" s="278" t="str">
        <f>IFERROR(__xludf.DUMMYFUNCTION("""COMPUTED_VALUE"""),"https://www.tiktok.com/@ninayehow/video/7642618606731169042?is_from_webapp=1&amp;sender_device=pc")</f>
        <v>https://www.tiktok.com/@ninayehow/video/7642618606731169042?is_from_webapp=1&amp;sender_device=pc</v>
      </c>
      <c r="J528" s="278" t="str">
        <f>IFERROR(__xludf.DUMMYFUNCTION("""COMPUTED_VALUE"""),"https://www.tiktok.com/@ninayehow/video/7643683158440905992?is_from_webapp=1&amp;sender_device=pc")</f>
        <v>https://www.tiktok.com/@ninayehow/video/7643683158440905992?is_from_webapp=1&amp;sender_device=pc</v>
      </c>
      <c r="K528" s="262"/>
      <c r="L528" s="262"/>
      <c r="M528" s="262"/>
    </row>
    <row r="529">
      <c r="A529" s="255" t="str">
        <f>IFERROR(__xludf.DUMMYFUNCTION("""COMPUTED_VALUE"""),"NANO")</f>
        <v>NANO</v>
      </c>
      <c r="B529" s="23" t="str">
        <f>IFERROR(__xludf.DUMMYFUNCTION("""COMPUTED_VALUE"""),"spillmenurutaku ")</f>
        <v>spillmenurutaku </v>
      </c>
      <c r="C529" s="257" t="str">
        <f>IFERROR(__xludf.DUMMYFUNCTION("""COMPUTED_VALUE"""),"https://www.tiktok.com/@spillmenurutaku ")</f>
        <v>https://www.tiktok.com/@spillmenurutaku </v>
      </c>
      <c r="D529" s="23">
        <f>IFERROR(__xludf.DUMMYFUNCTION("""COMPUTED_VALUE"""),8.2181735023E10)</f>
        <v>82181735023</v>
      </c>
      <c r="E529" s="457">
        <f>IFERROR(__xludf.DUMMYFUNCTION("""COMPUTED_VALUE"""),0.0)</f>
        <v>0</v>
      </c>
      <c r="F529" s="270">
        <f>IFERROR(__xludf.DUMMYFUNCTION("""COMPUTED_VALUE"""),4.0)</f>
        <v>4</v>
      </c>
      <c r="G529" s="17" t="str">
        <f>IFERROR(__xludf.DUMMYFUNCTION("""COMPUTED_VALUE"""),"Full Set")</f>
        <v>Full Set</v>
      </c>
      <c r="H529" s="17"/>
      <c r="I529" s="262"/>
      <c r="J529" s="262"/>
      <c r="K529" s="262"/>
      <c r="L529" s="262"/>
      <c r="M529" s="262"/>
    </row>
    <row r="530">
      <c r="A530" s="255" t="str">
        <f>IFERROR(__xludf.DUMMYFUNCTION("""COMPUTED_VALUE"""),"NANO")</f>
        <v>NANO</v>
      </c>
      <c r="B530" s="23" t="str">
        <f>IFERROR(__xludf.DUMMYFUNCTION("""COMPUTED_VALUE"""),"slyvenessa")</f>
        <v>slyvenessa</v>
      </c>
      <c r="C530" s="257" t="str">
        <f>IFERROR(__xludf.DUMMYFUNCTION("""COMPUTED_VALUE"""),"https://www.tiktok.com/@slyvenessa")</f>
        <v>https://www.tiktok.com/@slyvenessa</v>
      </c>
      <c r="D530" s="23">
        <f>IFERROR(__xludf.DUMMYFUNCTION("""COMPUTED_VALUE"""),8.7768816888E10)</f>
        <v>87768816888</v>
      </c>
      <c r="E530" s="457">
        <f>IFERROR(__xludf.DUMMYFUNCTION("""COMPUTED_VALUE"""),0.0)</f>
        <v>0</v>
      </c>
      <c r="F530" s="270">
        <f>IFERROR(__xludf.DUMMYFUNCTION("""COMPUTED_VALUE"""),4.0)</f>
        <v>4</v>
      </c>
      <c r="G530" s="17" t="str">
        <f>IFERROR(__xludf.DUMMYFUNCTION("""COMPUTED_VALUE"""),"Full Set")</f>
        <v>Full Set</v>
      </c>
      <c r="H530" s="17"/>
      <c r="I530" s="262"/>
      <c r="J530" s="262"/>
      <c r="K530" s="262"/>
      <c r="L530" s="262"/>
      <c r="M530" s="262"/>
    </row>
    <row r="531">
      <c r="A531" s="255" t="str">
        <f>IFERROR(__xludf.DUMMYFUNCTION("""COMPUTED_VALUE"""),"NANO")</f>
        <v>NANO</v>
      </c>
      <c r="B531" s="23" t="str">
        <f>IFERROR(__xludf.DUMMYFUNCTION("""COMPUTED_VALUE"""),"yeornot ")</f>
        <v>yeornot </v>
      </c>
      <c r="C531" s="257" t="str">
        <f>IFERROR(__xludf.DUMMYFUNCTION("""COMPUTED_VALUE"""),"https://www.tiktok.com/@yeornot ")</f>
        <v>https://www.tiktok.com/@yeornot </v>
      </c>
      <c r="D531" s="23">
        <f>IFERROR(__xludf.DUMMYFUNCTION("""COMPUTED_VALUE"""),8.7824252583E10)</f>
        <v>87824252583</v>
      </c>
      <c r="E531" s="457">
        <f>IFERROR(__xludf.DUMMYFUNCTION("""COMPUTED_VALUE"""),0.0)</f>
        <v>0</v>
      </c>
      <c r="F531" s="270">
        <f>IFERROR(__xludf.DUMMYFUNCTION("""COMPUTED_VALUE"""),4.0)</f>
        <v>4</v>
      </c>
      <c r="G531" s="17" t="str">
        <f>IFERROR(__xludf.DUMMYFUNCTION("""COMPUTED_VALUE"""),"Full Set")</f>
        <v>Full Set</v>
      </c>
      <c r="H531" s="17"/>
      <c r="I531" s="262"/>
      <c r="J531" s="262"/>
      <c r="K531" s="262"/>
      <c r="L531" s="262"/>
      <c r="M531" s="262"/>
    </row>
    <row r="532">
      <c r="A532" s="255" t="str">
        <f>IFERROR(__xludf.DUMMYFUNCTION("""COMPUTED_VALUE"""),"NANO")</f>
        <v>NANO</v>
      </c>
      <c r="B532" s="23" t="str">
        <f>IFERROR(__xludf.DUMMYFUNCTION("""COMPUTED_VALUE"""),"storeismaa")</f>
        <v>storeismaa</v>
      </c>
      <c r="C532" s="257" t="str">
        <f>IFERROR(__xludf.DUMMYFUNCTION("""COMPUTED_VALUE"""),"https://www.tiktok.com/@storeismaa")</f>
        <v>https://www.tiktok.com/@storeismaa</v>
      </c>
      <c r="D532" s="23">
        <f>IFERROR(__xludf.DUMMYFUNCTION("""COMPUTED_VALUE"""),8.5608647944E10)</f>
        <v>85608647944</v>
      </c>
      <c r="E532" s="457">
        <f>IFERROR(__xludf.DUMMYFUNCTION("""COMPUTED_VALUE"""),0.0)</f>
        <v>0</v>
      </c>
      <c r="F532" s="270">
        <f>IFERROR(__xludf.DUMMYFUNCTION("""COMPUTED_VALUE"""),4.0)</f>
        <v>4</v>
      </c>
      <c r="G532" s="17" t="str">
        <f>IFERROR(__xludf.DUMMYFUNCTION("""COMPUTED_VALUE"""),"Full Set")</f>
        <v>Full Set</v>
      </c>
      <c r="H532" s="17"/>
      <c r="I532" s="278" t="str">
        <f>IFERROR(__xludf.DUMMYFUNCTION("""COMPUTED_VALUE"""),"https://www.tiktok.com/@storeismaa/video/7643471218003283221?is_from_webapp=1&amp;sender_device=pc")</f>
        <v>https://www.tiktok.com/@storeismaa/video/7643471218003283221?is_from_webapp=1&amp;sender_device=pc</v>
      </c>
      <c r="J532" s="262"/>
      <c r="K532" s="262"/>
      <c r="L532" s="262"/>
      <c r="M532" s="262"/>
    </row>
    <row r="533">
      <c r="A533" s="255" t="str">
        <f>IFERROR(__xludf.DUMMYFUNCTION("""COMPUTED_VALUE"""),"NANO")</f>
        <v>NANO</v>
      </c>
      <c r="B533" s="23" t="str">
        <f>IFERROR(__xludf.DUMMYFUNCTION("""COMPUTED_VALUE"""),"Mamanya_syaqila")</f>
        <v>Mamanya_syaqila</v>
      </c>
      <c r="C533" s="257" t="str">
        <f>IFERROR(__xludf.DUMMYFUNCTION("""COMPUTED_VALUE"""),"https://www.tiktok.com/@Mamanya_syaqila")</f>
        <v>https://www.tiktok.com/@Mamanya_syaqila</v>
      </c>
      <c r="D533" s="23">
        <f>IFERROR(__xludf.DUMMYFUNCTION("""COMPUTED_VALUE"""),8.1282339127E10)</f>
        <v>81282339127</v>
      </c>
      <c r="E533" s="457">
        <f>IFERROR(__xludf.DUMMYFUNCTION("""COMPUTED_VALUE"""),0.0)</f>
        <v>0</v>
      </c>
      <c r="F533" s="270">
        <f>IFERROR(__xludf.DUMMYFUNCTION("""COMPUTED_VALUE"""),4.0)</f>
        <v>4</v>
      </c>
      <c r="G533" s="17" t="str">
        <f>IFERROR(__xludf.DUMMYFUNCTION("""COMPUTED_VALUE"""),"Full Set")</f>
        <v>Full Set</v>
      </c>
      <c r="H533" s="17"/>
      <c r="I533" s="262"/>
      <c r="J533" s="262"/>
      <c r="K533" s="262"/>
      <c r="L533" s="262"/>
      <c r="M533" s="262"/>
    </row>
    <row r="534">
      <c r="A534" s="255" t="str">
        <f>IFERROR(__xludf.DUMMYFUNCTION("""COMPUTED_VALUE"""),"NANO")</f>
        <v>NANO</v>
      </c>
      <c r="B534" s="23" t="str">
        <f>IFERROR(__xludf.DUMMYFUNCTION("""COMPUTED_VALUE"""),"cordelia_khanza14")</f>
        <v>cordelia_khanza14</v>
      </c>
      <c r="C534" s="257" t="str">
        <f>IFERROR(__xludf.DUMMYFUNCTION("""COMPUTED_VALUE"""),"https://www.tiktok.com/@cordelia_khanza14")</f>
        <v>https://www.tiktok.com/@cordelia_khanza14</v>
      </c>
      <c r="D534" s="23">
        <f>IFERROR(__xludf.DUMMYFUNCTION("""COMPUTED_VALUE"""),8.9508041171E10)</f>
        <v>89508041171</v>
      </c>
      <c r="E534" s="457">
        <f>IFERROR(__xludf.DUMMYFUNCTION("""COMPUTED_VALUE"""),0.0)</f>
        <v>0</v>
      </c>
      <c r="F534" s="270">
        <f>IFERROR(__xludf.DUMMYFUNCTION("""COMPUTED_VALUE"""),4.0)</f>
        <v>4</v>
      </c>
      <c r="G534" s="17" t="str">
        <f>IFERROR(__xludf.DUMMYFUNCTION("""COMPUTED_VALUE"""),"Full Set")</f>
        <v>Full Set</v>
      </c>
      <c r="H534" s="17"/>
      <c r="I534" s="278" t="str">
        <f>IFERROR(__xludf.DUMMYFUNCTION("""COMPUTED_VALUE"""),"https://www.tiktok.com/@cordelia_khanza14/video/7643370995000069383?is_from_webapp=1&amp;sender_device=pc")</f>
        <v>https://www.tiktok.com/@cordelia_khanza14/video/7643370995000069383?is_from_webapp=1&amp;sender_device=pc</v>
      </c>
      <c r="J534" s="278" t="str">
        <f>IFERROR(__xludf.DUMMYFUNCTION("""COMPUTED_VALUE"""),"https://www.tiktok.com/@cordelia_khanza14/video/7644017156811738375?is_from_webapp=1&amp;sender_device=pc")</f>
        <v>https://www.tiktok.com/@cordelia_khanza14/video/7644017156811738375?is_from_webapp=1&amp;sender_device=pc</v>
      </c>
      <c r="K534" s="262"/>
      <c r="L534" s="262"/>
      <c r="M534" s="262"/>
    </row>
    <row r="535">
      <c r="A535" s="255" t="str">
        <f>IFERROR(__xludf.DUMMYFUNCTION("""COMPUTED_VALUE"""),"NANO")</f>
        <v>NANO</v>
      </c>
      <c r="B535" s="23" t="str">
        <f>IFERROR(__xludf.DUMMYFUNCTION("""COMPUTED_VALUE"""),"sweetinnnn")</f>
        <v>sweetinnnn</v>
      </c>
      <c r="C535" s="257" t="str">
        <f>IFERROR(__xludf.DUMMYFUNCTION("""COMPUTED_VALUE"""),"https://www.tiktok.com/@sweetinnnn")</f>
        <v>https://www.tiktok.com/@sweetinnnn</v>
      </c>
      <c r="D535" s="23">
        <f>IFERROR(__xludf.DUMMYFUNCTION("""COMPUTED_VALUE"""),8.217192046E10)</f>
        <v>82171920460</v>
      </c>
      <c r="E535" s="457">
        <f>IFERROR(__xludf.DUMMYFUNCTION("""COMPUTED_VALUE"""),0.0)</f>
        <v>0</v>
      </c>
      <c r="F535" s="270">
        <f>IFERROR(__xludf.DUMMYFUNCTION("""COMPUTED_VALUE"""),4.0)</f>
        <v>4</v>
      </c>
      <c r="G535" s="17" t="str">
        <f>IFERROR(__xludf.DUMMYFUNCTION("""COMPUTED_VALUE"""),"Full Set")</f>
        <v>Full Set</v>
      </c>
      <c r="H535" s="17"/>
      <c r="I535" s="262"/>
      <c r="J535" s="262"/>
      <c r="K535" s="262"/>
      <c r="L535" s="262"/>
      <c r="M535" s="262"/>
    </row>
    <row r="536">
      <c r="A536" s="255" t="str">
        <f>IFERROR(__xludf.DUMMYFUNCTION("""COMPUTED_VALUE"""),"NANO")</f>
        <v>NANO</v>
      </c>
      <c r="B536" s="23" t="str">
        <f>IFERROR(__xludf.DUMMYFUNCTION("""COMPUTED_VALUE"""),"beauty.is.everyting")</f>
        <v>beauty.is.everyting</v>
      </c>
      <c r="C536" s="257" t="str">
        <f>IFERROR(__xludf.DUMMYFUNCTION("""COMPUTED_VALUE"""),"https://www.tiktok.com/@beauty.is.everyting")</f>
        <v>https://www.tiktok.com/@beauty.is.everyting</v>
      </c>
      <c r="D536" s="23">
        <f>IFERROR(__xludf.DUMMYFUNCTION("""COMPUTED_VALUE"""),8.969381481E10)</f>
        <v>89693814810</v>
      </c>
      <c r="E536" s="457">
        <f>IFERROR(__xludf.DUMMYFUNCTION("""COMPUTED_VALUE"""),0.0)</f>
        <v>0</v>
      </c>
      <c r="F536" s="270">
        <f>IFERROR(__xludf.DUMMYFUNCTION("""COMPUTED_VALUE"""),4.0)</f>
        <v>4</v>
      </c>
      <c r="G536" s="17" t="str">
        <f>IFERROR(__xludf.DUMMYFUNCTION("""COMPUTED_VALUE"""),"Full Set")</f>
        <v>Full Set</v>
      </c>
      <c r="H536" s="17"/>
      <c r="I536" s="262"/>
      <c r="J536" s="262"/>
      <c r="K536" s="262"/>
      <c r="L536" s="262"/>
      <c r="M536" s="262"/>
    </row>
    <row r="537">
      <c r="A537" s="255" t="str">
        <f>IFERROR(__xludf.DUMMYFUNCTION("""COMPUTED_VALUE"""),"NANO")</f>
        <v>NANO</v>
      </c>
      <c r="B537" s="257" t="str">
        <f>IFERROR(__xludf.DUMMYFUNCTION("""COMPUTED_VALUE"""),"raihanalfarizi.id")</f>
        <v>raihanalfarizi.id</v>
      </c>
      <c r="C537" s="257" t="str">
        <f>IFERROR(__xludf.DUMMYFUNCTION("""COMPUTED_VALUE"""),"https://www.tiktok.com/@raihanalfarizi.id")</f>
        <v>https://www.tiktok.com/@raihanalfarizi.id</v>
      </c>
      <c r="D537" s="23">
        <f>IFERROR(__xludf.DUMMYFUNCTION("""COMPUTED_VALUE"""),8.316196557E10)</f>
        <v>83161965570</v>
      </c>
      <c r="E537" s="457">
        <f>IFERROR(__xludf.DUMMYFUNCTION("""COMPUTED_VALUE"""),0.0)</f>
        <v>0</v>
      </c>
      <c r="F537" s="270">
        <f>IFERROR(__xludf.DUMMYFUNCTION("""COMPUTED_VALUE"""),4.0)</f>
        <v>4</v>
      </c>
      <c r="G537" s="17" t="str">
        <f>IFERROR(__xludf.DUMMYFUNCTION("""COMPUTED_VALUE"""),"Full Set")</f>
        <v>Full Set</v>
      </c>
      <c r="H537" s="17"/>
      <c r="I537" s="262"/>
      <c r="J537" s="262"/>
      <c r="K537" s="262"/>
      <c r="L537" s="262"/>
      <c r="M537" s="262"/>
    </row>
    <row r="538">
      <c r="A538" s="255" t="str">
        <f>IFERROR(__xludf.DUMMYFUNCTION("""COMPUTED_VALUE"""),"NANO")</f>
        <v>NANO</v>
      </c>
      <c r="B538" s="23" t="str">
        <f>IFERROR(__xludf.DUMMYFUNCTION("""COMPUTED_VALUE"""),"rahasiaaaaa706")</f>
        <v>rahasiaaaaa706</v>
      </c>
      <c r="C538" s="257" t="str">
        <f>IFERROR(__xludf.DUMMYFUNCTION("""COMPUTED_VALUE"""),"https://www.tiktok.com/@rahasiaaaaa706")</f>
        <v>https://www.tiktok.com/@rahasiaaaaa706</v>
      </c>
      <c r="D538" s="23">
        <f>IFERROR(__xludf.DUMMYFUNCTION("""COMPUTED_VALUE"""),8.2313291884E10)</f>
        <v>82313291884</v>
      </c>
      <c r="E538" s="457">
        <f>IFERROR(__xludf.DUMMYFUNCTION("""COMPUTED_VALUE"""),0.0)</f>
        <v>0</v>
      </c>
      <c r="F538" s="270">
        <f>IFERROR(__xludf.DUMMYFUNCTION("""COMPUTED_VALUE"""),4.0)</f>
        <v>4</v>
      </c>
      <c r="G538" s="17" t="str">
        <f>IFERROR(__xludf.DUMMYFUNCTION("""COMPUTED_VALUE"""),"Full Set")</f>
        <v>Full Set</v>
      </c>
      <c r="H538" s="17"/>
      <c r="I538" s="262"/>
      <c r="J538" s="262"/>
      <c r="K538" s="262"/>
      <c r="L538" s="262"/>
      <c r="M538" s="262"/>
    </row>
    <row r="539">
      <c r="A539" s="255" t="str">
        <f>IFERROR(__xludf.DUMMYFUNCTION("""COMPUTED_VALUE"""),"NANO")</f>
        <v>NANO</v>
      </c>
      <c r="B539" s="23" t="str">
        <f>IFERROR(__xludf.DUMMYFUNCTION("""COMPUTED_VALUE"""),"asrinasifah43 ")</f>
        <v>asrinasifah43 </v>
      </c>
      <c r="C539" s="257" t="str">
        <f>IFERROR(__xludf.DUMMYFUNCTION("""COMPUTED_VALUE"""),"https://www.tiktok.com/@asrinasifah43 ")</f>
        <v>https://www.tiktok.com/@asrinasifah43 </v>
      </c>
      <c r="D539" s="23">
        <f>IFERROR(__xludf.DUMMYFUNCTION("""COMPUTED_VALUE"""),8.3106721819E10)</f>
        <v>83106721819</v>
      </c>
      <c r="E539" s="457">
        <f>IFERROR(__xludf.DUMMYFUNCTION("""COMPUTED_VALUE"""),0.0)</f>
        <v>0</v>
      </c>
      <c r="F539" s="270">
        <f>IFERROR(__xludf.DUMMYFUNCTION("""COMPUTED_VALUE"""),4.0)</f>
        <v>4</v>
      </c>
      <c r="G539" s="17" t="str">
        <f>IFERROR(__xludf.DUMMYFUNCTION("""COMPUTED_VALUE"""),"Full Set")</f>
        <v>Full Set</v>
      </c>
      <c r="H539" s="17"/>
      <c r="I539" s="262"/>
      <c r="J539" s="262"/>
      <c r="K539" s="262"/>
      <c r="L539" s="262"/>
      <c r="M539" s="262"/>
    </row>
    <row r="540">
      <c r="A540" s="255" t="str">
        <f>IFERROR(__xludf.DUMMYFUNCTION("""COMPUTED_VALUE"""),"NANO")</f>
        <v>NANO</v>
      </c>
      <c r="B540" s="257" t="str">
        <f>IFERROR(__xludf.DUMMYFUNCTION("""COMPUTED_VALUE"""),"kheaa.kr")</f>
        <v>kheaa.kr</v>
      </c>
      <c r="C540" s="257" t="str">
        <f>IFERROR(__xludf.DUMMYFUNCTION("""COMPUTED_VALUE"""),"https://www.tiktok.com/@kheaa.kr")</f>
        <v>https://www.tiktok.com/@kheaa.kr</v>
      </c>
      <c r="D540" s="23">
        <f>IFERROR(__xludf.DUMMYFUNCTION("""COMPUTED_VALUE"""),8.225824769E10)</f>
        <v>82258247690</v>
      </c>
      <c r="E540" s="457">
        <f>IFERROR(__xludf.DUMMYFUNCTION("""COMPUTED_VALUE"""),0.0)</f>
        <v>0</v>
      </c>
      <c r="F540" s="270">
        <f>IFERROR(__xludf.DUMMYFUNCTION("""COMPUTED_VALUE"""),4.0)</f>
        <v>4</v>
      </c>
      <c r="G540" s="17" t="str">
        <f>IFERROR(__xludf.DUMMYFUNCTION("""COMPUTED_VALUE"""),"Full Set")</f>
        <v>Full Set</v>
      </c>
      <c r="H540" s="17"/>
      <c r="I540" s="278" t="str">
        <f>IFERROR(__xludf.DUMMYFUNCTION("""COMPUTED_VALUE"""),"https://www.tiktok.com/@kheaa.kr/video/7641863455246519570?is_from_webapp=1&amp;sender_device=pc")</f>
        <v>https://www.tiktok.com/@kheaa.kr/video/7641863455246519570?is_from_webapp=1&amp;sender_device=pc</v>
      </c>
      <c r="J540" s="278" t="str">
        <f>IFERROR(__xludf.DUMMYFUNCTION("""COMPUTED_VALUE"""),"https://www.tiktok.com/@kheaa.kr/video/7642711647630445832?is_from_webapp=1&amp;sender_device=pc")</f>
        <v>https://www.tiktok.com/@kheaa.kr/video/7642711647630445832?is_from_webapp=1&amp;sender_device=pc</v>
      </c>
      <c r="K540" s="262"/>
      <c r="L540" s="262"/>
      <c r="M540" s="262"/>
    </row>
    <row r="541">
      <c r="A541" s="255" t="str">
        <f>IFERROR(__xludf.DUMMYFUNCTION("""COMPUTED_VALUE"""),"NANO")</f>
        <v>NANO</v>
      </c>
      <c r="B541" s="23" t="str">
        <f>IFERROR(__xludf.DUMMYFUNCTION("""COMPUTED_VALUE"""),"hiselsr ")</f>
        <v>hiselsr </v>
      </c>
      <c r="C541" s="257" t="str">
        <f>IFERROR(__xludf.DUMMYFUNCTION("""COMPUTED_VALUE"""),"https://www.tiktok.com/@hiselsr ")</f>
        <v>https://www.tiktok.com/@hiselsr </v>
      </c>
      <c r="D541" s="23">
        <f>IFERROR(__xludf.DUMMYFUNCTION("""COMPUTED_VALUE"""),8.5624006276E10)</f>
        <v>85624006276</v>
      </c>
      <c r="E541" s="457">
        <f>IFERROR(__xludf.DUMMYFUNCTION("""COMPUTED_VALUE"""),0.0)</f>
        <v>0</v>
      </c>
      <c r="F541" s="270">
        <f>IFERROR(__xludf.DUMMYFUNCTION("""COMPUTED_VALUE"""),4.0)</f>
        <v>4</v>
      </c>
      <c r="G541" s="17" t="str">
        <f>IFERROR(__xludf.DUMMYFUNCTION("""COMPUTED_VALUE"""),"Full Set")</f>
        <v>Full Set</v>
      </c>
      <c r="H541" s="17"/>
      <c r="I541" s="262"/>
      <c r="J541" s="262"/>
      <c r="K541" s="262"/>
      <c r="L541" s="262"/>
      <c r="M541" s="262"/>
    </row>
    <row r="542">
      <c r="A542" s="255" t="str">
        <f>IFERROR(__xludf.DUMMYFUNCTION("""COMPUTED_VALUE"""),"NANO")</f>
        <v>NANO</v>
      </c>
      <c r="B542" s="23" t="str">
        <f>IFERROR(__xludf.DUMMYFUNCTION("""COMPUTED_VALUE"""),"thia.narulita")</f>
        <v>thia.narulita</v>
      </c>
      <c r="C542" s="257" t="str">
        <f>IFERROR(__xludf.DUMMYFUNCTION("""COMPUTED_VALUE"""),"https://www.tiktok.com/@thia.narulita")</f>
        <v>https://www.tiktok.com/@thia.narulita</v>
      </c>
      <c r="D542" s="23">
        <f>IFERROR(__xludf.DUMMYFUNCTION("""COMPUTED_VALUE"""),8.5743339443E10)</f>
        <v>85743339443</v>
      </c>
      <c r="E542" s="457">
        <f>IFERROR(__xludf.DUMMYFUNCTION("""COMPUTED_VALUE"""),0.0)</f>
        <v>0</v>
      </c>
      <c r="F542" s="270">
        <f>IFERROR(__xludf.DUMMYFUNCTION("""COMPUTED_VALUE"""),4.0)</f>
        <v>4</v>
      </c>
      <c r="G542" s="17" t="str">
        <f>IFERROR(__xludf.DUMMYFUNCTION("""COMPUTED_VALUE"""),"Full Set")</f>
        <v>Full Set</v>
      </c>
      <c r="H542" s="17"/>
      <c r="I542" s="262"/>
      <c r="J542" s="262"/>
      <c r="K542" s="262"/>
      <c r="L542" s="262"/>
      <c r="M542" s="262"/>
    </row>
    <row r="543">
      <c r="A543" s="255" t="str">
        <f>IFERROR(__xludf.DUMMYFUNCTION("""COMPUTED_VALUE"""),"NANO")</f>
        <v>NANO</v>
      </c>
      <c r="B543" s="23" t="str">
        <f>IFERROR(__xludf.DUMMYFUNCTION("""COMPUTED_VALUE"""),"geminies22")</f>
        <v>geminies22</v>
      </c>
      <c r="C543" s="257" t="str">
        <f>IFERROR(__xludf.DUMMYFUNCTION("""COMPUTED_VALUE"""),"https://www.tiktok.com/@geminies22")</f>
        <v>https://www.tiktok.com/@geminies22</v>
      </c>
      <c r="D543" s="23">
        <f>IFERROR(__xludf.DUMMYFUNCTION("""COMPUTED_VALUE"""),8.8270854909E10)</f>
        <v>88270854909</v>
      </c>
      <c r="E543" s="457">
        <f>IFERROR(__xludf.DUMMYFUNCTION("""COMPUTED_VALUE"""),0.0)</f>
        <v>0</v>
      </c>
      <c r="F543" s="270">
        <f>IFERROR(__xludf.DUMMYFUNCTION("""COMPUTED_VALUE"""),4.0)</f>
        <v>4</v>
      </c>
      <c r="G543" s="17" t="str">
        <f>IFERROR(__xludf.DUMMYFUNCTION("""COMPUTED_VALUE"""),"Full Set")</f>
        <v>Full Set</v>
      </c>
      <c r="H543" s="17"/>
      <c r="I543" s="262"/>
      <c r="J543" s="262"/>
      <c r="K543" s="262"/>
      <c r="L543" s="262"/>
      <c r="M543" s="262"/>
    </row>
    <row r="544">
      <c r="A544" s="255" t="str">
        <f>IFERROR(__xludf.DUMMYFUNCTION("""COMPUTED_VALUE"""),"NANO")</f>
        <v>NANO</v>
      </c>
      <c r="B544" s="23" t="str">
        <f>IFERROR(__xludf.DUMMYFUNCTION("""COMPUTED_VALUE"""),"Lavlavooooo ")</f>
        <v>Lavlavooooo </v>
      </c>
      <c r="C544" s="257" t="str">
        <f>IFERROR(__xludf.DUMMYFUNCTION("""COMPUTED_VALUE"""),"https://www.tiktok.com/@Lavlavooooo ")</f>
        <v>https://www.tiktok.com/@Lavlavooooo </v>
      </c>
      <c r="D544" s="23">
        <f>IFERROR(__xludf.DUMMYFUNCTION("""COMPUTED_VALUE"""),8.882971277E9)</f>
        <v>8882971277</v>
      </c>
      <c r="E544" s="457">
        <f>IFERROR(__xludf.DUMMYFUNCTION("""COMPUTED_VALUE"""),0.0)</f>
        <v>0</v>
      </c>
      <c r="F544" s="270">
        <f>IFERROR(__xludf.DUMMYFUNCTION("""COMPUTED_VALUE"""),4.0)</f>
        <v>4</v>
      </c>
      <c r="G544" s="17" t="str">
        <f>IFERROR(__xludf.DUMMYFUNCTION("""COMPUTED_VALUE"""),"Full Set")</f>
        <v>Full Set</v>
      </c>
      <c r="H544" s="17"/>
      <c r="I544" s="262"/>
      <c r="J544" s="262"/>
      <c r="K544" s="262"/>
      <c r="L544" s="262"/>
      <c r="M544" s="262"/>
    </row>
    <row r="545">
      <c r="A545" s="255" t="str">
        <f>IFERROR(__xludf.DUMMYFUNCTION("""COMPUTED_VALUE"""),"NANO")</f>
        <v>NANO</v>
      </c>
      <c r="B545" s="23" t="str">
        <f>IFERROR(__xludf.DUMMYFUNCTION("""COMPUTED_VALUE"""),"raudhatl.azzahra_")</f>
        <v>raudhatl.azzahra_</v>
      </c>
      <c r="C545" s="257" t="str">
        <f>IFERROR(__xludf.DUMMYFUNCTION("""COMPUTED_VALUE"""),"https://www.tiktok.com/@raudhatl.azzahra_")</f>
        <v>https://www.tiktok.com/@raudhatl.azzahra_</v>
      </c>
      <c r="D545" s="23">
        <f>IFERROR(__xludf.DUMMYFUNCTION("""COMPUTED_VALUE"""),8.384400239E10)</f>
        <v>83844002390</v>
      </c>
      <c r="E545" s="457">
        <f>IFERROR(__xludf.DUMMYFUNCTION("""COMPUTED_VALUE"""),0.0)</f>
        <v>0</v>
      </c>
      <c r="F545" s="270">
        <f>IFERROR(__xludf.DUMMYFUNCTION("""COMPUTED_VALUE"""),4.0)</f>
        <v>4</v>
      </c>
      <c r="G545" s="17" t="str">
        <f>IFERROR(__xludf.DUMMYFUNCTION("""COMPUTED_VALUE"""),"Full Set")</f>
        <v>Full Set</v>
      </c>
      <c r="H545" s="17"/>
      <c r="I545" s="262"/>
      <c r="J545" s="262"/>
      <c r="K545" s="262"/>
      <c r="L545" s="262"/>
      <c r="M545" s="262"/>
    </row>
    <row r="546">
      <c r="A546" s="255" t="str">
        <f>IFERROR(__xludf.DUMMYFUNCTION("""COMPUTED_VALUE"""),"NANO")</f>
        <v>NANO</v>
      </c>
      <c r="B546" s="23" t="str">
        <f>IFERROR(__xludf.DUMMYFUNCTION("""COMPUTED_VALUE"""),"glizara_")</f>
        <v>glizara_</v>
      </c>
      <c r="C546" s="257" t="str">
        <f>IFERROR(__xludf.DUMMYFUNCTION("""COMPUTED_VALUE"""),"https://www.tiktok.com/@glizara_")</f>
        <v>https://www.tiktok.com/@glizara_</v>
      </c>
      <c r="D546" s="23">
        <f>IFERROR(__xludf.DUMMYFUNCTION("""COMPUTED_VALUE"""),8.139427807E10)</f>
        <v>81394278070</v>
      </c>
      <c r="E546" s="457">
        <f>IFERROR(__xludf.DUMMYFUNCTION("""COMPUTED_VALUE"""),0.0)</f>
        <v>0</v>
      </c>
      <c r="F546" s="270">
        <f>IFERROR(__xludf.DUMMYFUNCTION("""COMPUTED_VALUE"""),4.0)</f>
        <v>4</v>
      </c>
      <c r="G546" s="17" t="str">
        <f>IFERROR(__xludf.DUMMYFUNCTION("""COMPUTED_VALUE"""),"Full Set")</f>
        <v>Full Set</v>
      </c>
      <c r="H546" s="17"/>
      <c r="I546" s="262"/>
      <c r="J546" s="262"/>
      <c r="K546" s="262"/>
      <c r="L546" s="262"/>
      <c r="M546" s="262"/>
    </row>
    <row r="547">
      <c r="A547" s="255" t="str">
        <f>IFERROR(__xludf.DUMMYFUNCTION("""COMPUTED_VALUE"""),"NANO")</f>
        <v>NANO</v>
      </c>
      <c r="B547" s="23" t="str">
        <f>IFERROR(__xludf.DUMMYFUNCTION("""COMPUTED_VALUE"""),"Salsabilla_zea")</f>
        <v>Salsabilla_zea</v>
      </c>
      <c r="C547" s="257" t="str">
        <f>IFERROR(__xludf.DUMMYFUNCTION("""COMPUTED_VALUE"""),"https://www.tiktok.com/@Salsabilla_zea")</f>
        <v>https://www.tiktok.com/@Salsabilla_zea</v>
      </c>
      <c r="D547" s="23">
        <f>IFERROR(__xludf.DUMMYFUNCTION("""COMPUTED_VALUE"""),8.95610427391E11)</f>
        <v>895610427391</v>
      </c>
      <c r="E547" s="457">
        <f>IFERROR(__xludf.DUMMYFUNCTION("""COMPUTED_VALUE"""),0.0)</f>
        <v>0</v>
      </c>
      <c r="F547" s="270">
        <f>IFERROR(__xludf.DUMMYFUNCTION("""COMPUTED_VALUE"""),4.0)</f>
        <v>4</v>
      </c>
      <c r="G547" s="17" t="str">
        <f>IFERROR(__xludf.DUMMYFUNCTION("""COMPUTED_VALUE"""),"Full Set")</f>
        <v>Full Set</v>
      </c>
      <c r="H547" s="17"/>
      <c r="I547" s="278" t="str">
        <f>IFERROR(__xludf.DUMMYFUNCTION("""COMPUTED_VALUE"""),"https://www.tiktok.com/@salsabilla_zea/video/7643578011501038868?is_from_webapp=1&amp;sender_device=pc")</f>
        <v>https://www.tiktok.com/@salsabilla_zea/video/7643578011501038868?is_from_webapp=1&amp;sender_device=pc</v>
      </c>
      <c r="J547" s="278" t="str">
        <f>IFERROR(__xludf.DUMMYFUNCTION("""COMPUTED_VALUE"""),"https://www.tiktok.com/@salsabilla_zea/video/7643638327752609044?is_from_webapp=1&amp;sender_device=pc")</f>
        <v>https://www.tiktok.com/@salsabilla_zea/video/7643638327752609044?is_from_webapp=1&amp;sender_device=pc</v>
      </c>
      <c r="K547" s="262"/>
      <c r="L547" s="262"/>
      <c r="M547" s="262"/>
    </row>
    <row r="548">
      <c r="A548" s="255" t="str">
        <f>IFERROR(__xludf.DUMMYFUNCTION("""COMPUTED_VALUE"""),"NANO")</f>
        <v>NANO</v>
      </c>
      <c r="B548" s="23" t="str">
        <f>IFERROR(__xludf.DUMMYFUNCTION("""COMPUTED_VALUE"""),"Smiling7eooo")</f>
        <v>Smiling7eooo</v>
      </c>
      <c r="C548" s="257" t="str">
        <f>IFERROR(__xludf.DUMMYFUNCTION("""COMPUTED_VALUE"""),"https://www.tiktok.com/@Smiling7eooo")</f>
        <v>https://www.tiktok.com/@Smiling7eooo</v>
      </c>
      <c r="D548" s="23">
        <f>IFERROR(__xludf.DUMMYFUNCTION("""COMPUTED_VALUE"""),8.9637469566E10)</f>
        <v>89637469566</v>
      </c>
      <c r="E548" s="457">
        <f>IFERROR(__xludf.DUMMYFUNCTION("""COMPUTED_VALUE"""),0.0)</f>
        <v>0</v>
      </c>
      <c r="F548" s="270">
        <f>IFERROR(__xludf.DUMMYFUNCTION("""COMPUTED_VALUE"""),4.0)</f>
        <v>4</v>
      </c>
      <c r="G548" s="17" t="str">
        <f>IFERROR(__xludf.DUMMYFUNCTION("""COMPUTED_VALUE"""),"Full Set")</f>
        <v>Full Set</v>
      </c>
      <c r="H548" s="17"/>
      <c r="I548" s="262"/>
      <c r="J548" s="262"/>
      <c r="K548" s="262"/>
      <c r="L548" s="262"/>
      <c r="M548" s="262"/>
    </row>
    <row r="549">
      <c r="A549" s="255" t="str">
        <f>IFERROR(__xludf.DUMMYFUNCTION("""COMPUTED_VALUE"""),"NANO")</f>
        <v>NANO</v>
      </c>
      <c r="B549" s="23" t="str">
        <f>IFERROR(__xludf.DUMMYFUNCTION("""COMPUTED_VALUE"""),"Tiaratara.12")</f>
        <v>Tiaratara.12</v>
      </c>
      <c r="C549" s="257" t="str">
        <f>IFERROR(__xludf.DUMMYFUNCTION("""COMPUTED_VALUE"""),"https://www.tiktok.com/@Tiaratara.12")</f>
        <v>https://www.tiktok.com/@Tiaratara.12</v>
      </c>
      <c r="D549" s="23">
        <f>IFERROR(__xludf.DUMMYFUNCTION("""COMPUTED_VALUE"""),8.95373120984E11)</f>
        <v>895373120984</v>
      </c>
      <c r="E549" s="457">
        <f>IFERROR(__xludf.DUMMYFUNCTION("""COMPUTED_VALUE"""),0.0)</f>
        <v>0</v>
      </c>
      <c r="F549" s="270">
        <f>IFERROR(__xludf.DUMMYFUNCTION("""COMPUTED_VALUE"""),4.0)</f>
        <v>4</v>
      </c>
      <c r="G549" s="17" t="str">
        <f>IFERROR(__xludf.DUMMYFUNCTION("""COMPUTED_VALUE"""),"Full Set")</f>
        <v>Full Set</v>
      </c>
      <c r="H549" s="17"/>
      <c r="I549" s="262"/>
      <c r="J549" s="262"/>
      <c r="K549" s="262"/>
      <c r="L549" s="262"/>
      <c r="M549" s="262"/>
    </row>
    <row r="550">
      <c r="A550" s="255" t="str">
        <f>IFERROR(__xludf.DUMMYFUNCTION("""COMPUTED_VALUE"""),"NANO")</f>
        <v>NANO</v>
      </c>
      <c r="B550" s="23" t="str">
        <f>IFERROR(__xludf.DUMMYFUNCTION("""COMPUTED_VALUE"""),"akumanusia279")</f>
        <v>akumanusia279</v>
      </c>
      <c r="C550" s="257" t="str">
        <f>IFERROR(__xludf.DUMMYFUNCTION("""COMPUTED_VALUE"""),"https://www.tiktok.com/@akumanusia279")</f>
        <v>https://www.tiktok.com/@akumanusia279</v>
      </c>
      <c r="D550" s="23">
        <f>IFERROR(__xludf.DUMMYFUNCTION("""COMPUTED_VALUE"""),8.5643554494E10)</f>
        <v>85643554494</v>
      </c>
      <c r="E550" s="457">
        <f>IFERROR(__xludf.DUMMYFUNCTION("""COMPUTED_VALUE"""),0.0)</f>
        <v>0</v>
      </c>
      <c r="F550" s="270">
        <f>IFERROR(__xludf.DUMMYFUNCTION("""COMPUTED_VALUE"""),4.0)</f>
        <v>4</v>
      </c>
      <c r="G550" s="17" t="str">
        <f>IFERROR(__xludf.DUMMYFUNCTION("""COMPUTED_VALUE"""),"Full Set")</f>
        <v>Full Set</v>
      </c>
      <c r="H550" s="17"/>
      <c r="I550" s="262"/>
      <c r="J550" s="262"/>
      <c r="K550" s="262"/>
      <c r="L550" s="262"/>
      <c r="M550" s="262"/>
    </row>
    <row r="551">
      <c r="A551" s="255" t="str">
        <f>IFERROR(__xludf.DUMMYFUNCTION("""COMPUTED_VALUE"""),"NANO")</f>
        <v>NANO</v>
      </c>
      <c r="B551" s="23" t="str">
        <f>IFERROR(__xludf.DUMMYFUNCTION("""COMPUTED_VALUE"""),"lastfridaynite")</f>
        <v>lastfridaynite</v>
      </c>
      <c r="C551" s="257" t="str">
        <f>IFERROR(__xludf.DUMMYFUNCTION("""COMPUTED_VALUE"""),"https://www.tiktok.com/@lastfridaynite")</f>
        <v>https://www.tiktok.com/@lastfridaynite</v>
      </c>
      <c r="D551" s="23">
        <f>IFERROR(__xludf.DUMMYFUNCTION("""COMPUTED_VALUE"""),8.7807035398E10)</f>
        <v>87807035398</v>
      </c>
      <c r="E551" s="457">
        <f>IFERROR(__xludf.DUMMYFUNCTION("""COMPUTED_VALUE"""),0.0)</f>
        <v>0</v>
      </c>
      <c r="F551" s="270">
        <f>IFERROR(__xludf.DUMMYFUNCTION("""COMPUTED_VALUE"""),4.0)</f>
        <v>4</v>
      </c>
      <c r="G551" s="17" t="str">
        <f>IFERROR(__xludf.DUMMYFUNCTION("""COMPUTED_VALUE"""),"Full Set")</f>
        <v>Full Set</v>
      </c>
      <c r="H551" s="17"/>
      <c r="I551" s="262"/>
      <c r="J551" s="262"/>
      <c r="K551" s="262"/>
      <c r="L551" s="262"/>
      <c r="M551" s="262"/>
    </row>
    <row r="552">
      <c r="A552" s="255" t="str">
        <f>IFERROR(__xludf.DUMMYFUNCTION("""COMPUTED_VALUE"""),"NANO")</f>
        <v>NANO</v>
      </c>
      <c r="B552" s="23" t="str">
        <f>IFERROR(__xludf.DUMMYFUNCTION("""COMPUTED_VALUE"""),"nurulhsnh002")</f>
        <v>nurulhsnh002</v>
      </c>
      <c r="C552" s="257" t="str">
        <f>IFERROR(__xludf.DUMMYFUNCTION("""COMPUTED_VALUE"""),"https://www.tiktok.com/@nurulhsnh002")</f>
        <v>https://www.tiktok.com/@nurulhsnh002</v>
      </c>
      <c r="D552" s="23">
        <f>IFERROR(__xludf.DUMMYFUNCTION("""COMPUTED_VALUE"""),8.215690466E10)</f>
        <v>82156904660</v>
      </c>
      <c r="E552" s="457">
        <f>IFERROR(__xludf.DUMMYFUNCTION("""COMPUTED_VALUE"""),0.0)</f>
        <v>0</v>
      </c>
      <c r="F552" s="270">
        <f>IFERROR(__xludf.DUMMYFUNCTION("""COMPUTED_VALUE"""),4.0)</f>
        <v>4</v>
      </c>
      <c r="G552" s="17" t="str">
        <f>IFERROR(__xludf.DUMMYFUNCTION("""COMPUTED_VALUE"""),"Full Set")</f>
        <v>Full Set</v>
      </c>
      <c r="H552" s="17"/>
      <c r="I552" s="262"/>
      <c r="J552" s="262"/>
      <c r="K552" s="262"/>
      <c r="L552" s="262"/>
      <c r="M552" s="262"/>
    </row>
    <row r="553">
      <c r="A553" s="255" t="str">
        <f>IFERROR(__xludf.DUMMYFUNCTION("""COMPUTED_VALUE"""),"NANO")</f>
        <v>NANO</v>
      </c>
      <c r="B553" s="23" t="str">
        <f>IFERROR(__xludf.DUMMYFUNCTION("""COMPUTED_VALUE"""),"bianarashop ")</f>
        <v>bianarashop </v>
      </c>
      <c r="C553" s="257" t="str">
        <f>IFERROR(__xludf.DUMMYFUNCTION("""COMPUTED_VALUE"""),"https://www.tiktok.com/@bianarashop ")</f>
        <v>https://www.tiktok.com/@bianarashop </v>
      </c>
      <c r="D553" s="23">
        <f>IFERROR(__xludf.DUMMYFUNCTION("""COMPUTED_VALUE"""),8.5810757723E10)</f>
        <v>85810757723</v>
      </c>
      <c r="E553" s="457">
        <f>IFERROR(__xludf.DUMMYFUNCTION("""COMPUTED_VALUE"""),0.0)</f>
        <v>0</v>
      </c>
      <c r="F553" s="270">
        <f>IFERROR(__xludf.DUMMYFUNCTION("""COMPUTED_VALUE"""),4.0)</f>
        <v>4</v>
      </c>
      <c r="G553" s="17" t="str">
        <f>IFERROR(__xludf.DUMMYFUNCTION("""COMPUTED_VALUE"""),"Full Set")</f>
        <v>Full Set</v>
      </c>
      <c r="H553" s="17"/>
      <c r="I553" s="262"/>
      <c r="J553" s="262"/>
      <c r="K553" s="262"/>
      <c r="L553" s="262"/>
      <c r="M553" s="262"/>
    </row>
    <row r="554">
      <c r="A554" s="255" t="str">
        <f>IFERROR(__xludf.DUMMYFUNCTION("""COMPUTED_VALUE"""),"NANO")</f>
        <v>NANO</v>
      </c>
      <c r="B554" s="23" t="str">
        <f>IFERROR(__xludf.DUMMYFUNCTION("""COMPUTED_VALUE"""),"Alfrnnf")</f>
        <v>Alfrnnf</v>
      </c>
      <c r="C554" s="257" t="str">
        <f>IFERROR(__xludf.DUMMYFUNCTION("""COMPUTED_VALUE"""),"https://www.tiktok.com/@Alfrnnf")</f>
        <v>https://www.tiktok.com/@Alfrnnf</v>
      </c>
      <c r="D554" s="23">
        <f>IFERROR(__xludf.DUMMYFUNCTION("""COMPUTED_VALUE"""),8.958084059E11)</f>
        <v>895808405900</v>
      </c>
      <c r="E554" s="457">
        <f>IFERROR(__xludf.DUMMYFUNCTION("""COMPUTED_VALUE"""),0.0)</f>
        <v>0</v>
      </c>
      <c r="F554" s="270">
        <f>IFERROR(__xludf.DUMMYFUNCTION("""COMPUTED_VALUE"""),4.0)</f>
        <v>4</v>
      </c>
      <c r="G554" s="17" t="str">
        <f>IFERROR(__xludf.DUMMYFUNCTION("""COMPUTED_VALUE"""),"Full Set")</f>
        <v>Full Set</v>
      </c>
      <c r="H554" s="17"/>
      <c r="I554" s="262"/>
      <c r="J554" s="262"/>
      <c r="K554" s="262"/>
      <c r="L554" s="262"/>
      <c r="M554" s="262"/>
    </row>
    <row r="555">
      <c r="A555" s="255" t="str">
        <f>IFERROR(__xludf.DUMMYFUNCTION("""COMPUTED_VALUE"""),"NANO")</f>
        <v>NANO</v>
      </c>
      <c r="B555" s="23" t="str">
        <f>IFERROR(__xludf.DUMMYFUNCTION("""COMPUTED_VALUE"""),"taacutie2")</f>
        <v>taacutie2</v>
      </c>
      <c r="C555" s="257" t="str">
        <f>IFERROR(__xludf.DUMMYFUNCTION("""COMPUTED_VALUE"""),"https://www.tiktok.com/@taacutie2")</f>
        <v>https://www.tiktok.com/@taacutie2</v>
      </c>
      <c r="D555" s="23">
        <f>IFERROR(__xludf.DUMMYFUNCTION("""COMPUTED_VALUE"""),8.3119998859E10)</f>
        <v>83119998859</v>
      </c>
      <c r="E555" s="457">
        <f>IFERROR(__xludf.DUMMYFUNCTION("""COMPUTED_VALUE"""),0.0)</f>
        <v>0</v>
      </c>
      <c r="F555" s="270">
        <f>IFERROR(__xludf.DUMMYFUNCTION("""COMPUTED_VALUE"""),4.0)</f>
        <v>4</v>
      </c>
      <c r="G555" s="17" t="str">
        <f>IFERROR(__xludf.DUMMYFUNCTION("""COMPUTED_VALUE"""),"Full Set")</f>
        <v>Full Set</v>
      </c>
      <c r="H555" s="17"/>
      <c r="I555" s="262"/>
      <c r="J555" s="262"/>
      <c r="K555" s="262"/>
      <c r="L555" s="262"/>
      <c r="M555" s="262"/>
    </row>
    <row r="556">
      <c r="A556" s="255" t="str">
        <f>IFERROR(__xludf.DUMMYFUNCTION("""COMPUTED_VALUE"""),"NANO")</f>
        <v>NANO</v>
      </c>
      <c r="B556" s="23" t="str">
        <f>IFERROR(__xludf.DUMMYFUNCTION("""COMPUTED_VALUE"""),"mandacello26")</f>
        <v>mandacello26</v>
      </c>
      <c r="C556" s="257" t="str">
        <f>IFERROR(__xludf.DUMMYFUNCTION("""COMPUTED_VALUE"""),"https://www.tiktok.com/@mandacello26")</f>
        <v>https://www.tiktok.com/@mandacello26</v>
      </c>
      <c r="D556" s="23">
        <f>IFERROR(__xludf.DUMMYFUNCTION("""COMPUTED_VALUE"""),8.96498459E10)</f>
        <v>89649845900</v>
      </c>
      <c r="E556" s="457">
        <f>IFERROR(__xludf.DUMMYFUNCTION("""COMPUTED_VALUE"""),0.0)</f>
        <v>0</v>
      </c>
      <c r="F556" s="270">
        <f>IFERROR(__xludf.DUMMYFUNCTION("""COMPUTED_VALUE"""),4.0)</f>
        <v>4</v>
      </c>
      <c r="G556" s="17" t="str">
        <f>IFERROR(__xludf.DUMMYFUNCTION("""COMPUTED_VALUE"""),"Full Set")</f>
        <v>Full Set</v>
      </c>
      <c r="H556" s="17"/>
      <c r="I556" s="262"/>
      <c r="J556" s="262"/>
      <c r="K556" s="262"/>
      <c r="L556" s="262"/>
      <c r="M556" s="262"/>
    </row>
    <row r="557">
      <c r="A557" s="255" t="str">
        <f>IFERROR(__xludf.DUMMYFUNCTION("""COMPUTED_VALUE"""),"NANO")</f>
        <v>NANO</v>
      </c>
      <c r="B557" s="23" t="str">
        <f>IFERROR(__xludf.DUMMYFUNCTION("""COMPUTED_VALUE"""),"Dianpuspitadewi29")</f>
        <v>Dianpuspitadewi29</v>
      </c>
      <c r="C557" s="257" t="str">
        <f>IFERROR(__xludf.DUMMYFUNCTION("""COMPUTED_VALUE"""),"https://www.tiktok.com/@Dianpuspitadewi29")</f>
        <v>https://www.tiktok.com/@Dianpuspitadewi29</v>
      </c>
      <c r="D557" s="23">
        <f>IFERROR(__xludf.DUMMYFUNCTION("""COMPUTED_VALUE"""),8.9643741804E10)</f>
        <v>89643741804</v>
      </c>
      <c r="E557" s="457">
        <f>IFERROR(__xludf.DUMMYFUNCTION("""COMPUTED_VALUE"""),0.0)</f>
        <v>0</v>
      </c>
      <c r="F557" s="270">
        <f>IFERROR(__xludf.DUMMYFUNCTION("""COMPUTED_VALUE"""),4.0)</f>
        <v>4</v>
      </c>
      <c r="G557" s="17" t="str">
        <f>IFERROR(__xludf.DUMMYFUNCTION("""COMPUTED_VALUE"""),"Full Set")</f>
        <v>Full Set</v>
      </c>
      <c r="H557" s="17"/>
      <c r="I557" s="262"/>
      <c r="J557" s="262"/>
      <c r="K557" s="262"/>
      <c r="L557" s="262"/>
      <c r="M557" s="262"/>
    </row>
    <row r="558">
      <c r="A558" s="255" t="str">
        <f>IFERROR(__xludf.DUMMYFUNCTION("""COMPUTED_VALUE"""),"NANO")</f>
        <v>NANO</v>
      </c>
      <c r="B558" s="23" t="str">
        <f>IFERROR(__xludf.DUMMYFUNCTION("""COMPUTED_VALUE"""),"copleapii")</f>
        <v>copleapii</v>
      </c>
      <c r="C558" s="257" t="str">
        <f>IFERROR(__xludf.DUMMYFUNCTION("""COMPUTED_VALUE"""),"https://www.tiktok.com/@copleapii")</f>
        <v>https://www.tiktok.com/@copleapii</v>
      </c>
      <c r="D558" s="23">
        <f>IFERROR(__xludf.DUMMYFUNCTION("""COMPUTED_VALUE"""),8.970462797E9)</f>
        <v>8970462797</v>
      </c>
      <c r="E558" s="457">
        <f>IFERROR(__xludf.DUMMYFUNCTION("""COMPUTED_VALUE"""),0.0)</f>
        <v>0</v>
      </c>
      <c r="F558" s="270">
        <f>IFERROR(__xludf.DUMMYFUNCTION("""COMPUTED_VALUE"""),4.0)</f>
        <v>4</v>
      </c>
      <c r="G558" s="17" t="str">
        <f>IFERROR(__xludf.DUMMYFUNCTION("""COMPUTED_VALUE"""),"Full Set")</f>
        <v>Full Set</v>
      </c>
      <c r="H558" s="17"/>
      <c r="I558" s="262"/>
      <c r="J558" s="262"/>
      <c r="K558" s="262"/>
      <c r="L558" s="262"/>
      <c r="M558" s="262"/>
    </row>
    <row r="559">
      <c r="A559" s="255" t="str">
        <f>IFERROR(__xludf.DUMMYFUNCTION("""COMPUTED_VALUE"""),"NANO")</f>
        <v>NANO</v>
      </c>
      <c r="B559" s="23" t="str">
        <f>IFERROR(__xludf.DUMMYFUNCTION("""COMPUTED_VALUE"""),"salnadiya93 ")</f>
        <v>salnadiya93 </v>
      </c>
      <c r="C559" s="257" t="str">
        <f>IFERROR(__xludf.DUMMYFUNCTION("""COMPUTED_VALUE"""),"https://www.tiktok.com/@salnadiya93 ")</f>
        <v>https://www.tiktok.com/@salnadiya93 </v>
      </c>
      <c r="D559" s="23">
        <f>IFERROR(__xludf.DUMMYFUNCTION("""COMPUTED_VALUE"""),8.95417629103E11)</f>
        <v>895417629103</v>
      </c>
      <c r="E559" s="457">
        <f>IFERROR(__xludf.DUMMYFUNCTION("""COMPUTED_VALUE"""),0.0)</f>
        <v>0</v>
      </c>
      <c r="F559" s="270">
        <f>IFERROR(__xludf.DUMMYFUNCTION("""COMPUTED_VALUE"""),4.0)</f>
        <v>4</v>
      </c>
      <c r="G559" s="17" t="str">
        <f>IFERROR(__xludf.DUMMYFUNCTION("""COMPUTED_VALUE"""),"Full Set")</f>
        <v>Full Set</v>
      </c>
      <c r="H559" s="17"/>
      <c r="I559" s="262"/>
      <c r="J559" s="262"/>
      <c r="K559" s="262"/>
      <c r="L559" s="262"/>
      <c r="M559" s="262"/>
    </row>
    <row r="560">
      <c r="A560" s="255" t="str">
        <f>IFERROR(__xludf.DUMMYFUNCTION("""COMPUTED_VALUE"""),"NANO")</f>
        <v>NANO</v>
      </c>
      <c r="B560" s="23" t="str">
        <f>IFERROR(__xludf.DUMMYFUNCTION("""COMPUTED_VALUE"""),"lisaoficial39")</f>
        <v>lisaoficial39</v>
      </c>
      <c r="C560" s="257" t="str">
        <f>IFERROR(__xludf.DUMMYFUNCTION("""COMPUTED_VALUE"""),"https://www.tiktok.com/@lisaoficial39")</f>
        <v>https://www.tiktok.com/@lisaoficial39</v>
      </c>
      <c r="D560" s="23">
        <f>IFERROR(__xludf.DUMMYFUNCTION("""COMPUTED_VALUE"""),8.7725839129E10)</f>
        <v>87725839129</v>
      </c>
      <c r="E560" s="457">
        <f>IFERROR(__xludf.DUMMYFUNCTION("""COMPUTED_VALUE"""),0.0)</f>
        <v>0</v>
      </c>
      <c r="F560" s="270">
        <f>IFERROR(__xludf.DUMMYFUNCTION("""COMPUTED_VALUE"""),4.0)</f>
        <v>4</v>
      </c>
      <c r="G560" s="17" t="str">
        <f>IFERROR(__xludf.DUMMYFUNCTION("""COMPUTED_VALUE"""),"Full Set")</f>
        <v>Full Set</v>
      </c>
      <c r="H560" s="17"/>
      <c r="I560" s="278" t="str">
        <f>IFERROR(__xludf.DUMMYFUNCTION("""COMPUTED_VALUE"""),"https://www.tiktok.com/@lisaoficial39/video/7643729123478752532?is_from_webapp=1&amp;sender_device=pc")</f>
        <v>https://www.tiktok.com/@lisaoficial39/video/7643729123478752532?is_from_webapp=1&amp;sender_device=pc</v>
      </c>
      <c r="J560" s="262"/>
      <c r="K560" s="262"/>
      <c r="L560" s="262"/>
      <c r="M560" s="262"/>
    </row>
    <row r="561">
      <c r="A561" s="255" t="str">
        <f>IFERROR(__xludf.DUMMYFUNCTION("""COMPUTED_VALUE"""),"NANO")</f>
        <v>NANO</v>
      </c>
      <c r="B561" s="23" t="str">
        <f>IFERROR(__xludf.DUMMYFUNCTION("""COMPUTED_VALUE"""),"tetehsunda524")</f>
        <v>tetehsunda524</v>
      </c>
      <c r="C561" s="257" t="str">
        <f>IFERROR(__xludf.DUMMYFUNCTION("""COMPUTED_VALUE"""),"https://www.tiktok.com/@tetehsunda524")</f>
        <v>https://www.tiktok.com/@tetehsunda524</v>
      </c>
      <c r="D561" s="23">
        <f>IFERROR(__xludf.DUMMYFUNCTION("""COMPUTED_VALUE"""),8.3176655463E10)</f>
        <v>83176655463</v>
      </c>
      <c r="E561" s="457">
        <f>IFERROR(__xludf.DUMMYFUNCTION("""COMPUTED_VALUE"""),0.0)</f>
        <v>0</v>
      </c>
      <c r="F561" s="270">
        <f>IFERROR(__xludf.DUMMYFUNCTION("""COMPUTED_VALUE"""),4.0)</f>
        <v>4</v>
      </c>
      <c r="G561" s="17" t="str">
        <f>IFERROR(__xludf.DUMMYFUNCTION("""COMPUTED_VALUE"""),"Full Set")</f>
        <v>Full Set</v>
      </c>
      <c r="H561" s="17"/>
      <c r="I561" s="262"/>
      <c r="J561" s="262"/>
      <c r="K561" s="262"/>
      <c r="L561" s="262"/>
      <c r="M561" s="262"/>
    </row>
    <row r="562">
      <c r="A562" s="255" t="str">
        <f>IFERROR(__xludf.DUMMYFUNCTION("""COMPUTED_VALUE"""),"NANO")</f>
        <v>NANO</v>
      </c>
      <c r="B562" s="23" t="str">
        <f>IFERROR(__xludf.DUMMYFUNCTION("""COMPUTED_VALUE"""),"Kitabikinfypya")</f>
        <v>Kitabikinfypya</v>
      </c>
      <c r="C562" s="257" t="str">
        <f>IFERROR(__xludf.DUMMYFUNCTION("""COMPUTED_VALUE"""),"https://www.tiktok.com/@Kitabikinfypya")</f>
        <v>https://www.tiktok.com/@Kitabikinfypya</v>
      </c>
      <c r="D562" s="23">
        <f>IFERROR(__xludf.DUMMYFUNCTION("""COMPUTED_VALUE"""),8.7840898932E10)</f>
        <v>87840898932</v>
      </c>
      <c r="E562" s="457">
        <f>IFERROR(__xludf.DUMMYFUNCTION("""COMPUTED_VALUE"""),0.0)</f>
        <v>0</v>
      </c>
      <c r="F562" s="270">
        <f>IFERROR(__xludf.DUMMYFUNCTION("""COMPUTED_VALUE"""),4.0)</f>
        <v>4</v>
      </c>
      <c r="G562" s="17" t="str">
        <f>IFERROR(__xludf.DUMMYFUNCTION("""COMPUTED_VALUE"""),"Full Set")</f>
        <v>Full Set</v>
      </c>
      <c r="H562" s="17"/>
      <c r="I562" s="262"/>
      <c r="J562" s="262"/>
      <c r="K562" s="262"/>
      <c r="L562" s="262"/>
      <c r="M562" s="262"/>
    </row>
    <row r="563">
      <c r="A563" s="255" t="str">
        <f>IFERROR(__xludf.DUMMYFUNCTION("""COMPUTED_VALUE"""),"NANO")</f>
        <v>NANO</v>
      </c>
      <c r="B563" s="23" t="str">
        <f>IFERROR(__xludf.DUMMYFUNCTION("""COMPUTED_VALUE"""),"scc.rifaa")</f>
        <v>scc.rifaa</v>
      </c>
      <c r="C563" s="257" t="str">
        <f>IFERROR(__xludf.DUMMYFUNCTION("""COMPUTED_VALUE"""),"https://www.tiktok.com/@scc.rifaa")</f>
        <v>https://www.tiktok.com/@scc.rifaa</v>
      </c>
      <c r="D563" s="23">
        <f>IFERROR(__xludf.DUMMYFUNCTION("""COMPUTED_VALUE"""),8.3890199342E10)</f>
        <v>83890199342</v>
      </c>
      <c r="E563" s="457">
        <f>IFERROR(__xludf.DUMMYFUNCTION("""COMPUTED_VALUE"""),0.0)</f>
        <v>0</v>
      </c>
      <c r="F563" s="270">
        <f>IFERROR(__xludf.DUMMYFUNCTION("""COMPUTED_VALUE"""),4.0)</f>
        <v>4</v>
      </c>
      <c r="G563" s="17" t="str">
        <f>IFERROR(__xludf.DUMMYFUNCTION("""COMPUTED_VALUE"""),"Full Set")</f>
        <v>Full Set</v>
      </c>
      <c r="H563" s="17"/>
      <c r="I563" s="262"/>
      <c r="J563" s="262"/>
      <c r="K563" s="262"/>
      <c r="L563" s="262"/>
      <c r="M563" s="262"/>
    </row>
    <row r="564">
      <c r="A564" s="255" t="str">
        <f>IFERROR(__xludf.DUMMYFUNCTION("""COMPUTED_VALUE"""),"MICRO")</f>
        <v>MICRO</v>
      </c>
      <c r="B564" s="23" t="str">
        <f>IFERROR(__xludf.DUMMYFUNCTION("""COMPUTED_VALUE"""),"yuli_uslina")</f>
        <v>yuli_uslina</v>
      </c>
      <c r="C564" s="257" t="str">
        <f>IFERROR(__xludf.DUMMYFUNCTION("""COMPUTED_VALUE"""),"https://www.tiktok.com/@yuli_uslina")</f>
        <v>https://www.tiktok.com/@yuli_uslina</v>
      </c>
      <c r="D564" s="23">
        <f>IFERROR(__xludf.DUMMYFUNCTION("""COMPUTED_VALUE"""),8.5800370496E10)</f>
        <v>85800370496</v>
      </c>
      <c r="E564" s="457">
        <f>IFERROR(__xludf.DUMMYFUNCTION("""COMPUTED_VALUE"""),0.0)</f>
        <v>0</v>
      </c>
      <c r="F564" s="270">
        <f>IFERROR(__xludf.DUMMYFUNCTION("""COMPUTED_VALUE"""),4.0)</f>
        <v>4</v>
      </c>
      <c r="G564" s="17" t="str">
        <f>IFERROR(__xludf.DUMMYFUNCTION("""COMPUTED_VALUE"""),"Full Set")</f>
        <v>Full Set</v>
      </c>
      <c r="H564" s="17"/>
      <c r="I564" s="262"/>
      <c r="J564" s="262"/>
      <c r="K564" s="262"/>
      <c r="L564" s="262"/>
      <c r="M564" s="262"/>
    </row>
    <row r="565">
      <c r="A565" s="255" t="str">
        <f>IFERROR(__xludf.DUMMYFUNCTION("""COMPUTED_VALUE"""),"MICRO")</f>
        <v>MICRO</v>
      </c>
      <c r="B565" s="23" t="str">
        <f>IFERROR(__xludf.DUMMYFUNCTION("""COMPUTED_VALUE"""),"_noviaprilia30")</f>
        <v>_noviaprilia30</v>
      </c>
      <c r="C565" s="257" t="str">
        <f>IFERROR(__xludf.DUMMYFUNCTION("""COMPUTED_VALUE"""),"https://www.tiktok.com/@_noviaprilia30")</f>
        <v>https://www.tiktok.com/@_noviaprilia30</v>
      </c>
      <c r="D565" s="23">
        <f>IFERROR(__xludf.DUMMYFUNCTION("""COMPUTED_VALUE"""),8.221748195E10)</f>
        <v>82217481950</v>
      </c>
      <c r="E565" s="457">
        <f>IFERROR(__xludf.DUMMYFUNCTION("""COMPUTED_VALUE"""),0.0)</f>
        <v>0</v>
      </c>
      <c r="F565" s="270">
        <f>IFERROR(__xludf.DUMMYFUNCTION("""COMPUTED_VALUE"""),4.0)</f>
        <v>4</v>
      </c>
      <c r="G565" s="17" t="str">
        <f>IFERROR(__xludf.DUMMYFUNCTION("""COMPUTED_VALUE"""),"Full Set")</f>
        <v>Full Set</v>
      </c>
      <c r="H565" s="17"/>
      <c r="I565" s="262"/>
      <c r="J565" s="262"/>
      <c r="K565" s="262"/>
      <c r="L565" s="262"/>
      <c r="M565" s="262"/>
    </row>
    <row r="566">
      <c r="A566" s="255" t="str">
        <f>IFERROR(__xludf.DUMMYFUNCTION("""COMPUTED_VALUE"""),"MICRO")</f>
        <v>MICRO</v>
      </c>
      <c r="B566" s="23" t="str">
        <f>IFERROR(__xludf.DUMMYFUNCTION("""COMPUTED_VALUE"""),"jesikafj")</f>
        <v>jesikafj</v>
      </c>
      <c r="C566" s="257" t="str">
        <f>IFERROR(__xludf.DUMMYFUNCTION("""COMPUTED_VALUE"""),"https://www.tiktok.com/@jesikafj")</f>
        <v>https://www.tiktok.com/@jesikafj</v>
      </c>
      <c r="D566" s="23">
        <f>IFERROR(__xludf.DUMMYFUNCTION("""COMPUTED_VALUE"""),8.2195640039E10)</f>
        <v>82195640039</v>
      </c>
      <c r="E566" s="457">
        <f>IFERROR(__xludf.DUMMYFUNCTION("""COMPUTED_VALUE"""),0.0)</f>
        <v>0</v>
      </c>
      <c r="F566" s="270">
        <f>IFERROR(__xludf.DUMMYFUNCTION("""COMPUTED_VALUE"""),4.0)</f>
        <v>4</v>
      </c>
      <c r="G566" s="17" t="str">
        <f>IFERROR(__xludf.DUMMYFUNCTION("""COMPUTED_VALUE"""),"Full Set")</f>
        <v>Full Set</v>
      </c>
      <c r="H566" s="17"/>
      <c r="I566" s="262"/>
      <c r="J566" s="262"/>
      <c r="K566" s="262"/>
      <c r="L566" s="262"/>
      <c r="M566" s="262"/>
    </row>
    <row r="567">
      <c r="A567" s="255" t="str">
        <f>IFERROR(__xludf.DUMMYFUNCTION("""COMPUTED_VALUE"""),"MICRO")</f>
        <v>MICRO</v>
      </c>
      <c r="B567" s="23" t="str">
        <f>IFERROR(__xludf.DUMMYFUNCTION("""COMPUTED_VALUE"""),"amira.ismail10")</f>
        <v>amira.ismail10</v>
      </c>
      <c r="C567" s="257" t="str">
        <f>IFERROR(__xludf.DUMMYFUNCTION("""COMPUTED_VALUE"""),"https://www.tiktok.com/@amira.ismail10")</f>
        <v>https://www.tiktok.com/@amira.ismail10</v>
      </c>
      <c r="D567" s="23">
        <f>IFERROR(__xludf.DUMMYFUNCTION("""COMPUTED_VALUE"""),8.2385067555E10)</f>
        <v>82385067555</v>
      </c>
      <c r="E567" s="457">
        <f>IFERROR(__xludf.DUMMYFUNCTION("""COMPUTED_VALUE"""),0.0)</f>
        <v>0</v>
      </c>
      <c r="F567" s="270">
        <f>IFERROR(__xludf.DUMMYFUNCTION("""COMPUTED_VALUE"""),4.0)</f>
        <v>4</v>
      </c>
      <c r="G567" s="17" t="str">
        <f>IFERROR(__xludf.DUMMYFUNCTION("""COMPUTED_VALUE"""),"Full Set")</f>
        <v>Full Set</v>
      </c>
      <c r="H567" s="17"/>
      <c r="I567" s="262"/>
      <c r="J567" s="262"/>
      <c r="K567" s="262"/>
      <c r="L567" s="262"/>
      <c r="M567" s="262"/>
    </row>
    <row r="568">
      <c r="A568" s="255" t="str">
        <f>IFERROR(__xludf.DUMMYFUNCTION("""COMPUTED_VALUE"""),"MICRO")</f>
        <v>MICRO</v>
      </c>
      <c r="B568" s="23" t="str">
        <f>IFERROR(__xludf.DUMMYFUNCTION("""COMPUTED_VALUE"""),"anggelpradita")</f>
        <v>anggelpradita</v>
      </c>
      <c r="C568" s="257" t="str">
        <f>IFERROR(__xludf.DUMMYFUNCTION("""COMPUTED_VALUE"""),"https://www.tiktok.com/@anggelpradita")</f>
        <v>https://www.tiktok.com/@anggelpradita</v>
      </c>
      <c r="D568" s="23">
        <f>IFERROR(__xludf.DUMMYFUNCTION("""COMPUTED_VALUE"""),8.2288423571E10)</f>
        <v>82288423571</v>
      </c>
      <c r="E568" s="457">
        <f>IFERROR(__xludf.DUMMYFUNCTION("""COMPUTED_VALUE"""),0.0)</f>
        <v>0</v>
      </c>
      <c r="F568" s="270">
        <f>IFERROR(__xludf.DUMMYFUNCTION("""COMPUTED_VALUE"""),4.0)</f>
        <v>4</v>
      </c>
      <c r="G568" s="17" t="str">
        <f>IFERROR(__xludf.DUMMYFUNCTION("""COMPUTED_VALUE"""),"Full Set")</f>
        <v>Full Set</v>
      </c>
      <c r="H568" s="17"/>
      <c r="I568" s="262"/>
      <c r="J568" s="262"/>
      <c r="K568" s="262"/>
      <c r="L568" s="262"/>
      <c r="M568" s="262"/>
    </row>
    <row r="569">
      <c r="A569" s="255" t="str">
        <f>IFERROR(__xludf.DUMMYFUNCTION("""COMPUTED_VALUE"""),"MICRO")</f>
        <v>MICRO</v>
      </c>
      <c r="B569" s="23" t="str">
        <f>IFERROR(__xludf.DUMMYFUNCTION("""COMPUTED_VALUE"""),"nurul_mahkotadental")</f>
        <v>nurul_mahkotadental</v>
      </c>
      <c r="C569" s="257" t="str">
        <f>IFERROR(__xludf.DUMMYFUNCTION("""COMPUTED_VALUE"""),"https://www.tiktok.com/@nurul_mahkotadental")</f>
        <v>https://www.tiktok.com/@nurul_mahkotadental</v>
      </c>
      <c r="D569" s="23">
        <f>IFERROR(__xludf.DUMMYFUNCTION("""COMPUTED_VALUE"""),8.5655850878E10)</f>
        <v>85655850878</v>
      </c>
      <c r="E569" s="457">
        <f>IFERROR(__xludf.DUMMYFUNCTION("""COMPUTED_VALUE"""),0.0)</f>
        <v>0</v>
      </c>
      <c r="F569" s="270">
        <f>IFERROR(__xludf.DUMMYFUNCTION("""COMPUTED_VALUE"""),4.0)</f>
        <v>4</v>
      </c>
      <c r="G569" s="17" t="str">
        <f>IFERROR(__xludf.DUMMYFUNCTION("""COMPUTED_VALUE"""),"Full Set")</f>
        <v>Full Set</v>
      </c>
      <c r="H569" s="17"/>
      <c r="I569" s="262"/>
      <c r="J569" s="262"/>
      <c r="K569" s="262"/>
      <c r="L569" s="262"/>
      <c r="M569" s="262"/>
    </row>
    <row r="570">
      <c r="A570" s="255" t="str">
        <f>IFERROR(__xludf.DUMMYFUNCTION("""COMPUTED_VALUE"""),"NANO")</f>
        <v>NANO</v>
      </c>
      <c r="B570" s="23" t="str">
        <f>IFERROR(__xludf.DUMMYFUNCTION("""COMPUTED_VALUE"""),"_nidini_")</f>
        <v>_nidini_</v>
      </c>
      <c r="C570" s="257" t="str">
        <f>IFERROR(__xludf.DUMMYFUNCTION("""COMPUTED_VALUE"""),"https://www.tiktok.com/@_nidini_")</f>
        <v>https://www.tiktok.com/@_nidini_</v>
      </c>
      <c r="D570" s="23">
        <f>IFERROR(__xludf.DUMMYFUNCTION("""COMPUTED_VALUE"""),8.23132207E10)</f>
        <v>82313220700</v>
      </c>
      <c r="E570" s="457">
        <f>IFERROR(__xludf.DUMMYFUNCTION("""COMPUTED_VALUE"""),0.0)</f>
        <v>0</v>
      </c>
      <c r="F570" s="270">
        <f>IFERROR(__xludf.DUMMYFUNCTION("""COMPUTED_VALUE"""),4.0)</f>
        <v>4</v>
      </c>
      <c r="G570" s="17" t="str">
        <f>IFERROR(__xludf.DUMMYFUNCTION("""COMPUTED_VALUE"""),"Full Set")</f>
        <v>Full Set</v>
      </c>
      <c r="H570" s="17"/>
      <c r="I570" s="262"/>
      <c r="J570" s="262"/>
      <c r="K570" s="262"/>
      <c r="L570" s="262"/>
      <c r="M570" s="262"/>
    </row>
    <row r="571">
      <c r="A571" s="255" t="str">
        <f>IFERROR(__xludf.DUMMYFUNCTION("""COMPUTED_VALUE"""),"MICRO")</f>
        <v>MICRO</v>
      </c>
      <c r="B571" s="23" t="str">
        <f>IFERROR(__xludf.DUMMYFUNCTION("""COMPUTED_VALUE"""),"erka.0203")</f>
        <v>erka.0203</v>
      </c>
      <c r="C571" s="257" t="str">
        <f>IFERROR(__xludf.DUMMYFUNCTION("""COMPUTED_VALUE"""),"https://www.tiktok.com/@erka.0203")</f>
        <v>https://www.tiktok.com/@erka.0203</v>
      </c>
      <c r="D571" s="23">
        <f>IFERROR(__xludf.DUMMYFUNCTION("""COMPUTED_VALUE"""),8.589180075E10)</f>
        <v>85891800750</v>
      </c>
      <c r="E571" s="457">
        <f>IFERROR(__xludf.DUMMYFUNCTION("""COMPUTED_VALUE"""),0.0)</f>
        <v>0</v>
      </c>
      <c r="F571" s="270">
        <f>IFERROR(__xludf.DUMMYFUNCTION("""COMPUTED_VALUE"""),4.0)</f>
        <v>4</v>
      </c>
      <c r="G571" s="17" t="str">
        <f>IFERROR(__xludf.DUMMYFUNCTION("""COMPUTED_VALUE"""),"Full Set")</f>
        <v>Full Set</v>
      </c>
      <c r="H571" s="17"/>
      <c r="I571" s="278" t="str">
        <f>IFERROR(__xludf.DUMMYFUNCTION("""COMPUTED_VALUE"""),"https://www.tiktok.com/@erka.0203/video/7642917760598674708?is_from_webapp=1&amp;sender_device=pc")</f>
        <v>https://www.tiktok.com/@erka.0203/video/7642917760598674708?is_from_webapp=1&amp;sender_device=pc</v>
      </c>
      <c r="J571" s="262"/>
      <c r="K571" s="262"/>
      <c r="L571" s="262"/>
      <c r="M571" s="262"/>
    </row>
    <row r="572">
      <c r="A572" s="255" t="str">
        <f>IFERROR(__xludf.DUMMYFUNCTION("""COMPUTED_VALUE"""),"MICRO")</f>
        <v>MICRO</v>
      </c>
      <c r="B572" s="23" t="str">
        <f>IFERROR(__xludf.DUMMYFUNCTION("""COMPUTED_VALUE"""),"ika_amanda275")</f>
        <v>ika_amanda275</v>
      </c>
      <c r="C572" s="257" t="str">
        <f>IFERROR(__xludf.DUMMYFUNCTION("""COMPUTED_VALUE"""),"https://www.tiktok.com/@ika_amanda275")</f>
        <v>https://www.tiktok.com/@ika_amanda275</v>
      </c>
      <c r="D572" s="23">
        <f>IFERROR(__xludf.DUMMYFUNCTION("""COMPUTED_VALUE"""),8.5790581537E10)</f>
        <v>85790581537</v>
      </c>
      <c r="E572" s="457">
        <f>IFERROR(__xludf.DUMMYFUNCTION("""COMPUTED_VALUE"""),0.0)</f>
        <v>0</v>
      </c>
      <c r="F572" s="270">
        <f>IFERROR(__xludf.DUMMYFUNCTION("""COMPUTED_VALUE"""),4.0)</f>
        <v>4</v>
      </c>
      <c r="G572" s="17" t="str">
        <f>IFERROR(__xludf.DUMMYFUNCTION("""COMPUTED_VALUE"""),"Full Set")</f>
        <v>Full Set</v>
      </c>
      <c r="H572" s="17"/>
      <c r="I572" s="262"/>
      <c r="J572" s="262"/>
      <c r="K572" s="262"/>
      <c r="L572" s="262"/>
      <c r="M572" s="262"/>
    </row>
    <row r="573">
      <c r="A573" s="255" t="str">
        <f>IFERROR(__xludf.DUMMYFUNCTION("""COMPUTED_VALUE"""),"MICRO")</f>
        <v>MICRO</v>
      </c>
      <c r="B573" s="23" t="str">
        <f>IFERROR(__xludf.DUMMYFUNCTION("""COMPUTED_VALUE"""),"ndian67")</f>
        <v>ndian67</v>
      </c>
      <c r="C573" s="257" t="str">
        <f>IFERROR(__xludf.DUMMYFUNCTION("""COMPUTED_VALUE"""),"https://www.tiktok.com/@ndian67")</f>
        <v>https://www.tiktok.com/@ndian67</v>
      </c>
      <c r="D573" s="23">
        <f>IFERROR(__xludf.DUMMYFUNCTION("""COMPUTED_VALUE"""),8.3822337843E10)</f>
        <v>83822337843</v>
      </c>
      <c r="E573" s="457">
        <f>IFERROR(__xludf.DUMMYFUNCTION("""COMPUTED_VALUE"""),0.0)</f>
        <v>0</v>
      </c>
      <c r="F573" s="270">
        <f>IFERROR(__xludf.DUMMYFUNCTION("""COMPUTED_VALUE"""),4.0)</f>
        <v>4</v>
      </c>
      <c r="G573" s="17" t="str">
        <f>IFERROR(__xludf.DUMMYFUNCTION("""COMPUTED_VALUE"""),"Full Set")</f>
        <v>Full Set</v>
      </c>
      <c r="H573" s="17"/>
      <c r="I573" s="262"/>
      <c r="J573" s="262"/>
      <c r="K573" s="262"/>
      <c r="L573" s="262"/>
      <c r="M573" s="262"/>
    </row>
    <row r="574">
      <c r="A574" s="255" t="str">
        <f>IFERROR(__xludf.DUMMYFUNCTION("""COMPUTED_VALUE"""),"MICRO")</f>
        <v>MICRO</v>
      </c>
      <c r="B574" s="23" t="str">
        <f>IFERROR(__xludf.DUMMYFUNCTION("""COMPUTED_VALUE"""),"dewikuuu__")</f>
        <v>dewikuuu__</v>
      </c>
      <c r="C574" s="257" t="str">
        <f>IFERROR(__xludf.DUMMYFUNCTION("""COMPUTED_VALUE"""),"https://www.tiktok.com/@dewikuuu__")</f>
        <v>https://www.tiktok.com/@dewikuuu__</v>
      </c>
      <c r="D574" s="23">
        <f>IFERROR(__xludf.DUMMYFUNCTION("""COMPUTED_VALUE"""),8.5790665068E10)</f>
        <v>85790665068</v>
      </c>
      <c r="E574" s="457">
        <f>IFERROR(__xludf.DUMMYFUNCTION("""COMPUTED_VALUE"""),0.0)</f>
        <v>0</v>
      </c>
      <c r="F574" s="270">
        <f>IFERROR(__xludf.DUMMYFUNCTION("""COMPUTED_VALUE"""),4.0)</f>
        <v>4</v>
      </c>
      <c r="G574" s="17" t="str">
        <f>IFERROR(__xludf.DUMMYFUNCTION("""COMPUTED_VALUE"""),"Full Set")</f>
        <v>Full Set</v>
      </c>
      <c r="H574" s="17"/>
      <c r="I574" s="262"/>
      <c r="J574" s="262"/>
      <c r="K574" s="262"/>
      <c r="L574" s="262"/>
      <c r="M574" s="262"/>
    </row>
    <row r="575">
      <c r="A575" s="255" t="str">
        <f>IFERROR(__xludf.DUMMYFUNCTION("""COMPUTED_VALUE"""),"MICRO")</f>
        <v>MICRO</v>
      </c>
      <c r="B575" s="23" t="str">
        <f>IFERROR(__xludf.DUMMYFUNCTION("""COMPUTED_VALUE"""),"windanovitasariwi")</f>
        <v>windanovitasariwi</v>
      </c>
      <c r="C575" s="257" t="str">
        <f>IFERROR(__xludf.DUMMYFUNCTION("""COMPUTED_VALUE"""),"https://www.tiktok.com/@windanovitasariwi")</f>
        <v>https://www.tiktok.com/@windanovitasariwi</v>
      </c>
      <c r="D575" s="23">
        <f>IFERROR(__xludf.DUMMYFUNCTION("""COMPUTED_VALUE"""),8.2280511138E10)</f>
        <v>82280511138</v>
      </c>
      <c r="E575" s="457">
        <f>IFERROR(__xludf.DUMMYFUNCTION("""COMPUTED_VALUE"""),0.0)</f>
        <v>0</v>
      </c>
      <c r="F575" s="270">
        <f>IFERROR(__xludf.DUMMYFUNCTION("""COMPUTED_VALUE"""),4.0)</f>
        <v>4</v>
      </c>
      <c r="G575" s="17" t="str">
        <f>IFERROR(__xludf.DUMMYFUNCTION("""COMPUTED_VALUE"""),"Full Set")</f>
        <v>Full Set</v>
      </c>
      <c r="H575" s="17"/>
      <c r="I575" s="262"/>
      <c r="J575" s="262"/>
      <c r="K575" s="262"/>
      <c r="L575" s="262"/>
      <c r="M575" s="262"/>
    </row>
    <row r="576">
      <c r="A576" s="255" t="str">
        <f>IFERROR(__xludf.DUMMYFUNCTION("""COMPUTED_VALUE"""),"MICRO")</f>
        <v>MICRO</v>
      </c>
      <c r="B576" s="23" t="str">
        <f>IFERROR(__xludf.DUMMYFUNCTION("""COMPUTED_VALUE"""),"viavia____")</f>
        <v>viavia____</v>
      </c>
      <c r="C576" s="257" t="str">
        <f>IFERROR(__xludf.DUMMYFUNCTION("""COMPUTED_VALUE"""),"https://www.tiktok.com/@viavia____")</f>
        <v>https://www.tiktok.com/@viavia____</v>
      </c>
      <c r="D576" s="23">
        <f>IFERROR(__xludf.DUMMYFUNCTION("""COMPUTED_VALUE"""),8.2240629124E10)</f>
        <v>82240629124</v>
      </c>
      <c r="E576" s="457">
        <f>IFERROR(__xludf.DUMMYFUNCTION("""COMPUTED_VALUE"""),0.0)</f>
        <v>0</v>
      </c>
      <c r="F576" s="270">
        <f>IFERROR(__xludf.DUMMYFUNCTION("""COMPUTED_VALUE"""),4.0)</f>
        <v>4</v>
      </c>
      <c r="G576" s="17" t="str">
        <f>IFERROR(__xludf.DUMMYFUNCTION("""COMPUTED_VALUE"""),"Full Set")</f>
        <v>Full Set</v>
      </c>
      <c r="H576" s="17"/>
      <c r="I576" s="262"/>
      <c r="J576" s="262"/>
      <c r="K576" s="262"/>
      <c r="L576" s="262"/>
      <c r="M576" s="262"/>
    </row>
    <row r="577">
      <c r="A577" s="255" t="str">
        <f>IFERROR(__xludf.DUMMYFUNCTION("""COMPUTED_VALUE"""),"NANO")</f>
        <v>NANO</v>
      </c>
      <c r="B577" s="23" t="str">
        <f>IFERROR(__xludf.DUMMYFUNCTION("""COMPUTED_VALUE"""),"desi.fadillah37")</f>
        <v>desi.fadillah37</v>
      </c>
      <c r="C577" s="257" t="str">
        <f>IFERROR(__xludf.DUMMYFUNCTION("""COMPUTED_VALUE"""),"https://www.tiktok.com/@desi.fadillah37")</f>
        <v>https://www.tiktok.com/@desi.fadillah37</v>
      </c>
      <c r="D577" s="23">
        <f>IFERROR(__xludf.DUMMYFUNCTION("""COMPUTED_VALUE"""),8.95358190505E11)</f>
        <v>895358190505</v>
      </c>
      <c r="E577" s="457">
        <f>IFERROR(__xludf.DUMMYFUNCTION("""COMPUTED_VALUE"""),0.0)</f>
        <v>0</v>
      </c>
      <c r="F577" s="270">
        <f>IFERROR(__xludf.DUMMYFUNCTION("""COMPUTED_VALUE"""),4.0)</f>
        <v>4</v>
      </c>
      <c r="G577" s="17" t="str">
        <f>IFERROR(__xludf.DUMMYFUNCTION("""COMPUTED_VALUE"""),"Full Set")</f>
        <v>Full Set</v>
      </c>
      <c r="H577" s="17"/>
      <c r="I577" s="262"/>
      <c r="J577" s="262"/>
      <c r="K577" s="262"/>
      <c r="L577" s="262"/>
      <c r="M577" s="262"/>
    </row>
    <row r="578">
      <c r="A578" s="255" t="str">
        <f>IFERROR(__xludf.DUMMYFUNCTION("""COMPUTED_VALUE"""),"NANO")</f>
        <v>NANO</v>
      </c>
      <c r="B578" s="23" t="str">
        <f>IFERROR(__xludf.DUMMYFUNCTION("""COMPUTED_VALUE"""),"skincarebeuty12")</f>
        <v>skincarebeuty12</v>
      </c>
      <c r="C578" s="257" t="str">
        <f>IFERROR(__xludf.DUMMYFUNCTION("""COMPUTED_VALUE"""),"https://www.tiktok.com/@skincarebeuty12")</f>
        <v>https://www.tiktok.com/@skincarebeuty12</v>
      </c>
      <c r="D578" s="23">
        <f>IFERROR(__xludf.DUMMYFUNCTION("""COMPUTED_VALUE"""),8.5971174403E10)</f>
        <v>85971174403</v>
      </c>
      <c r="E578" s="457">
        <f>IFERROR(__xludf.DUMMYFUNCTION("""COMPUTED_VALUE"""),0.0)</f>
        <v>0</v>
      </c>
      <c r="F578" s="270">
        <f>IFERROR(__xludf.DUMMYFUNCTION("""COMPUTED_VALUE"""),4.0)</f>
        <v>4</v>
      </c>
      <c r="G578" s="17" t="str">
        <f>IFERROR(__xludf.DUMMYFUNCTION("""COMPUTED_VALUE"""),"Full Set")</f>
        <v>Full Set</v>
      </c>
      <c r="H578" s="17"/>
      <c r="I578" s="262"/>
      <c r="J578" s="262"/>
      <c r="K578" s="262"/>
      <c r="L578" s="262"/>
      <c r="M578" s="262"/>
    </row>
    <row r="579">
      <c r="A579" s="255" t="str">
        <f>IFERROR(__xludf.DUMMYFUNCTION("""COMPUTED_VALUE"""),"MICRO")</f>
        <v>MICRO</v>
      </c>
      <c r="B579" s="23" t="str">
        <f>IFERROR(__xludf.DUMMYFUNCTION("""COMPUTED_VALUE"""),"halloinirani")</f>
        <v>halloinirani</v>
      </c>
      <c r="C579" s="257" t="str">
        <f>IFERROR(__xludf.DUMMYFUNCTION("""COMPUTED_VALUE"""),"https://www.tiktok.com/@halloinirani")</f>
        <v>https://www.tiktok.com/@halloinirani</v>
      </c>
      <c r="D579" s="23">
        <f>IFERROR(__xludf.DUMMYFUNCTION("""COMPUTED_VALUE"""),8.573360013E10)</f>
        <v>85733600130</v>
      </c>
      <c r="E579" s="457">
        <f>IFERROR(__xludf.DUMMYFUNCTION("""COMPUTED_VALUE"""),0.0)</f>
        <v>0</v>
      </c>
      <c r="F579" s="270">
        <f>IFERROR(__xludf.DUMMYFUNCTION("""COMPUTED_VALUE"""),4.0)</f>
        <v>4</v>
      </c>
      <c r="G579" s="17" t="str">
        <f>IFERROR(__xludf.DUMMYFUNCTION("""COMPUTED_VALUE"""),"Full Set")</f>
        <v>Full Set</v>
      </c>
      <c r="H579" s="17"/>
      <c r="I579" s="262"/>
      <c r="J579" s="262"/>
      <c r="K579" s="262"/>
      <c r="L579" s="262"/>
      <c r="M579" s="262"/>
    </row>
    <row r="580">
      <c r="A580" s="255" t="str">
        <f>IFERROR(__xludf.DUMMYFUNCTION("""COMPUTED_VALUE"""),"MICRO")</f>
        <v>MICRO</v>
      </c>
      <c r="B580" s="23" t="str">
        <f>IFERROR(__xludf.DUMMYFUNCTION("""COMPUTED_VALUE"""),"ydh260")</f>
        <v>ydh260</v>
      </c>
      <c r="C580" s="257" t="str">
        <f>IFERROR(__xludf.DUMMYFUNCTION("""COMPUTED_VALUE"""),"https://www.tiktok.com/@ydh260")</f>
        <v>https://www.tiktok.com/@ydh260</v>
      </c>
      <c r="D580" s="23">
        <f>IFERROR(__xludf.DUMMYFUNCTION("""COMPUTED_VALUE"""),8.2139235833E10)</f>
        <v>82139235833</v>
      </c>
      <c r="E580" s="457">
        <f>IFERROR(__xludf.DUMMYFUNCTION("""COMPUTED_VALUE"""),0.0)</f>
        <v>0</v>
      </c>
      <c r="F580" s="270">
        <f>IFERROR(__xludf.DUMMYFUNCTION("""COMPUTED_VALUE"""),4.0)</f>
        <v>4</v>
      </c>
      <c r="G580" s="17" t="str">
        <f>IFERROR(__xludf.DUMMYFUNCTION("""COMPUTED_VALUE"""),"Full Set")</f>
        <v>Full Set</v>
      </c>
      <c r="H580" s="17"/>
      <c r="I580" s="262"/>
      <c r="J580" s="262"/>
      <c r="K580" s="262"/>
      <c r="L580" s="262"/>
      <c r="M580" s="262"/>
    </row>
    <row r="581">
      <c r="A581" s="255" t="str">
        <f>IFERROR(__xludf.DUMMYFUNCTION("""COMPUTED_VALUE"""),"MICRO")</f>
        <v>MICRO</v>
      </c>
      <c r="B581" s="23" t="str">
        <f>IFERROR(__xludf.DUMMYFUNCTION("""COMPUTED_VALUE"""),"diyaduadua")</f>
        <v>diyaduadua</v>
      </c>
      <c r="C581" s="257" t="str">
        <f>IFERROR(__xludf.DUMMYFUNCTION("""COMPUTED_VALUE"""),"https://www.tiktok.com/@diyaduadua")</f>
        <v>https://www.tiktok.com/@diyaduadua</v>
      </c>
      <c r="D581" s="23">
        <f>IFERROR(__xludf.DUMMYFUNCTION("""COMPUTED_VALUE"""),8.8983434011E10)</f>
        <v>88983434011</v>
      </c>
      <c r="E581" s="457">
        <f>IFERROR(__xludf.DUMMYFUNCTION("""COMPUTED_VALUE"""),0.0)</f>
        <v>0</v>
      </c>
      <c r="F581" s="270">
        <f>IFERROR(__xludf.DUMMYFUNCTION("""COMPUTED_VALUE"""),4.0)</f>
        <v>4</v>
      </c>
      <c r="G581" s="17" t="str">
        <f>IFERROR(__xludf.DUMMYFUNCTION("""COMPUTED_VALUE"""),"Full Set")</f>
        <v>Full Set</v>
      </c>
      <c r="H581" s="17"/>
      <c r="I581" s="262"/>
      <c r="J581" s="262"/>
      <c r="K581" s="262"/>
      <c r="L581" s="262"/>
      <c r="M581" s="262"/>
    </row>
    <row r="582">
      <c r="A582" s="255" t="str">
        <f>IFERROR(__xludf.DUMMYFUNCTION("""COMPUTED_VALUE"""),"MICRO")</f>
        <v>MICRO</v>
      </c>
      <c r="B582" s="23" t="str">
        <f>IFERROR(__xludf.DUMMYFUNCTION("""COMPUTED_VALUE"""),"linasrianggraeni4")</f>
        <v>linasrianggraeni4</v>
      </c>
      <c r="C582" s="257" t="str">
        <f>IFERROR(__xludf.DUMMYFUNCTION("""COMPUTED_VALUE"""),"https://www.tiktok.com/@linasrianggraeni4")</f>
        <v>https://www.tiktok.com/@linasrianggraeni4</v>
      </c>
      <c r="D582" s="23">
        <f>IFERROR(__xludf.DUMMYFUNCTION("""COMPUTED_VALUE"""),8.1909557021E10)</f>
        <v>81909557021</v>
      </c>
      <c r="E582" s="457">
        <f>IFERROR(__xludf.DUMMYFUNCTION("""COMPUTED_VALUE"""),0.0)</f>
        <v>0</v>
      </c>
      <c r="F582" s="270">
        <f>IFERROR(__xludf.DUMMYFUNCTION("""COMPUTED_VALUE"""),4.0)</f>
        <v>4</v>
      </c>
      <c r="G582" s="17" t="str">
        <f>IFERROR(__xludf.DUMMYFUNCTION("""COMPUTED_VALUE"""),"Full Set")</f>
        <v>Full Set</v>
      </c>
      <c r="H582" s="17"/>
      <c r="I582" s="262"/>
      <c r="J582" s="262"/>
      <c r="K582" s="262"/>
      <c r="L582" s="262"/>
      <c r="M582" s="262"/>
    </row>
    <row r="583">
      <c r="A583" s="255"/>
      <c r="B583" s="23" t="str">
        <f>IFERROR(__xludf.DUMMYFUNCTION("""COMPUTED_VALUE"""),"holmeday")</f>
        <v>holmeday</v>
      </c>
      <c r="C583" s="257" t="str">
        <f>IFERROR(__xludf.DUMMYFUNCTION("""COMPUTED_VALUE"""),"https://www.tiktok.com/@holmeday")</f>
        <v>https://www.tiktok.com/@holmeday</v>
      </c>
      <c r="D583" s="23"/>
      <c r="E583" s="457"/>
      <c r="F583" s="270"/>
      <c r="G583" s="17" t="str">
        <f>IFERROR(__xludf.DUMMYFUNCTION("""COMPUTED_VALUE"""),"Full Set")</f>
        <v>Full Set</v>
      </c>
      <c r="H583" s="17"/>
      <c r="I583" s="278" t="str">
        <f>IFERROR(__xludf.DUMMYFUNCTION("""COMPUTED_VALUE"""),"https://www.tiktok.com/@holmeday/video/7637864149648690453?is_from_webapp=1&amp;sender_device=pc")</f>
        <v>https://www.tiktok.com/@holmeday/video/7637864149648690453?is_from_webapp=1&amp;sender_device=pc</v>
      </c>
      <c r="J583" s="278" t="str">
        <f>IFERROR(__xludf.DUMMYFUNCTION("""COMPUTED_VALUE"""),"https://www.tiktok.com/@holmeday/video/7638072787764006164?is_from_webapp=1&amp;sender_device=pc")</f>
        <v>https://www.tiktok.com/@holmeday/video/7638072787764006164?is_from_webapp=1&amp;sender_device=pc</v>
      </c>
      <c r="K583" s="262"/>
      <c r="L583" s="262"/>
      <c r="M583" s="262"/>
    </row>
    <row r="584">
      <c r="A584" s="255" t="str">
        <f>IFERROR(__xludf.DUMMYFUNCTION("""COMPUTED_VALUE"""),"MICRO")</f>
        <v>MICRO</v>
      </c>
      <c r="B584" s="23" t="str">
        <f>IFERROR(__xludf.DUMMYFUNCTION("""COMPUTED_VALUE"""),"sky.blue200331")</f>
        <v>sky.blue200331</v>
      </c>
      <c r="C584" s="257" t="str">
        <f>IFERROR(__xludf.DUMMYFUNCTION("""COMPUTED_VALUE"""),"https://www.tiktok.com/@sky.blue200331")</f>
        <v>https://www.tiktok.com/@sky.blue200331</v>
      </c>
      <c r="D584" s="23">
        <f>IFERROR(__xludf.DUMMYFUNCTION("""COMPUTED_VALUE"""),8.2285111881E10)</f>
        <v>82285111881</v>
      </c>
      <c r="E584" s="457">
        <f>IFERROR(__xludf.DUMMYFUNCTION("""COMPUTED_VALUE"""),0.0)</f>
        <v>0</v>
      </c>
      <c r="F584" s="270">
        <f>IFERROR(__xludf.DUMMYFUNCTION("""COMPUTED_VALUE"""),4.0)</f>
        <v>4</v>
      </c>
      <c r="G584" s="17" t="str">
        <f>IFERROR(__xludf.DUMMYFUNCTION("""COMPUTED_VALUE"""),"Full Set")</f>
        <v>Full Set</v>
      </c>
      <c r="H584" s="17"/>
      <c r="I584" s="262"/>
      <c r="J584" s="262"/>
      <c r="K584" s="262"/>
      <c r="L584" s="262"/>
      <c r="M584" s="262"/>
    </row>
    <row r="585">
      <c r="A585" s="255" t="str">
        <f>IFERROR(__xludf.DUMMYFUNCTION("""COMPUTED_VALUE"""),"NANO")</f>
        <v>NANO</v>
      </c>
      <c r="B585" s="23" t="str">
        <f>IFERROR(__xludf.DUMMYFUNCTION("""COMPUTED_VALUE"""),"nayyaakuu")</f>
        <v>nayyaakuu</v>
      </c>
      <c r="C585" s="257" t="str">
        <f>IFERROR(__xludf.DUMMYFUNCTION("""COMPUTED_VALUE"""),"https://www.tiktok.com/@nayyaakuu")</f>
        <v>https://www.tiktok.com/@nayyaakuu</v>
      </c>
      <c r="D585" s="23">
        <f>IFERROR(__xludf.DUMMYFUNCTION("""COMPUTED_VALUE"""),8.5753983375E10)</f>
        <v>85753983375</v>
      </c>
      <c r="E585" s="457">
        <f>IFERROR(__xludf.DUMMYFUNCTION("""COMPUTED_VALUE"""),0.0)</f>
        <v>0</v>
      </c>
      <c r="F585" s="270">
        <f>IFERROR(__xludf.DUMMYFUNCTION("""COMPUTED_VALUE"""),4.0)</f>
        <v>4</v>
      </c>
      <c r="G585" s="17" t="str">
        <f>IFERROR(__xludf.DUMMYFUNCTION("""COMPUTED_VALUE"""),"Full Set")</f>
        <v>Full Set</v>
      </c>
      <c r="H585" s="17"/>
      <c r="I585" s="278" t="str">
        <f>IFERROR(__xludf.DUMMYFUNCTION("""COMPUTED_VALUE"""),"https://www.tiktok.com/@nayyaakuu/video/7642868782645529876?is_from_webapp=1&amp;sender_device=pc")</f>
        <v>https://www.tiktok.com/@nayyaakuu/video/7642868782645529876?is_from_webapp=1&amp;sender_device=pc</v>
      </c>
      <c r="J585" s="278" t="str">
        <f>IFERROR(__xludf.DUMMYFUNCTION("""COMPUTED_VALUE"""),"https://www.tiktok.com/@nayyaakuu/video/7643608722324901140?is_from_webapp=1&amp;sender_device=pc")</f>
        <v>https://www.tiktok.com/@nayyaakuu/video/7643608722324901140?is_from_webapp=1&amp;sender_device=pc</v>
      </c>
      <c r="K585" s="278" t="str">
        <f>IFERROR(__xludf.DUMMYFUNCTION("""COMPUTED_VALUE"""),"https://www.tiktok.com/@nayyaakuu/video/7643634293608156437?is_from_webapp=1&amp;sender_device=pc")</f>
        <v>https://www.tiktok.com/@nayyaakuu/video/7643634293608156437?is_from_webapp=1&amp;sender_device=pc</v>
      </c>
      <c r="L585" s="262"/>
      <c r="M585" s="262"/>
    </row>
    <row r="586">
      <c r="A586" s="255" t="str">
        <f>IFERROR(__xludf.DUMMYFUNCTION("""COMPUTED_VALUE"""),"NANO")</f>
        <v>NANO</v>
      </c>
      <c r="B586" s="23" t="str">
        <f>IFERROR(__xludf.DUMMYFUNCTION("""COMPUTED_VALUE"""),"biielga")</f>
        <v>biielga</v>
      </c>
      <c r="C586" s="257" t="str">
        <f>IFERROR(__xludf.DUMMYFUNCTION("""COMPUTED_VALUE"""),"https://www.tiktok.com/@biielga")</f>
        <v>https://www.tiktok.com/@biielga</v>
      </c>
      <c r="D586" s="23">
        <f>IFERROR(__xludf.DUMMYFUNCTION("""COMPUTED_VALUE"""),8.9535330203E11)</f>
        <v>895353302030</v>
      </c>
      <c r="E586" s="457">
        <f>IFERROR(__xludf.DUMMYFUNCTION("""COMPUTED_VALUE"""),0.0)</f>
        <v>0</v>
      </c>
      <c r="F586" s="270">
        <f>IFERROR(__xludf.DUMMYFUNCTION("""COMPUTED_VALUE"""),4.0)</f>
        <v>4</v>
      </c>
      <c r="G586" s="17" t="str">
        <f>IFERROR(__xludf.DUMMYFUNCTION("""COMPUTED_VALUE"""),"Full Set")</f>
        <v>Full Set</v>
      </c>
      <c r="H586" s="17"/>
      <c r="I586" s="262"/>
      <c r="J586" s="262"/>
      <c r="K586" s="262"/>
      <c r="L586" s="262"/>
      <c r="M586" s="262"/>
    </row>
    <row r="587">
      <c r="A587" s="255" t="str">
        <f>IFERROR(__xludf.DUMMYFUNCTION("""COMPUTED_VALUE"""),"NANO")</f>
        <v>NANO</v>
      </c>
      <c r="B587" s="23" t="str">
        <f>IFERROR(__xludf.DUMMYFUNCTION("""COMPUTED_VALUE"""),"Racuntiktokkk.22 ")</f>
        <v>Racuntiktokkk.22 </v>
      </c>
      <c r="C587" s="257" t="str">
        <f>IFERROR(__xludf.DUMMYFUNCTION("""COMPUTED_VALUE"""),"https://www.tiktok.com/@Racuntiktokkk.22 ")</f>
        <v>https://www.tiktok.com/@Racuntiktokkk.22 </v>
      </c>
      <c r="D587" s="23">
        <f>IFERROR(__xludf.DUMMYFUNCTION("""COMPUTED_VALUE"""),8.2265488404E10)</f>
        <v>82265488404</v>
      </c>
      <c r="E587" s="457">
        <f>IFERROR(__xludf.DUMMYFUNCTION("""COMPUTED_VALUE"""),0.0)</f>
        <v>0</v>
      </c>
      <c r="F587" s="270">
        <f>IFERROR(__xludf.DUMMYFUNCTION("""COMPUTED_VALUE"""),4.0)</f>
        <v>4</v>
      </c>
      <c r="G587" s="17" t="str">
        <f>IFERROR(__xludf.DUMMYFUNCTION("""COMPUTED_VALUE"""),"Full Set")</f>
        <v>Full Set</v>
      </c>
      <c r="H587" s="17"/>
      <c r="I587" s="262"/>
      <c r="J587" s="262"/>
      <c r="K587" s="262"/>
      <c r="L587" s="262"/>
      <c r="M587" s="262"/>
    </row>
    <row r="588">
      <c r="A588" s="255" t="str">
        <f>IFERROR(__xludf.DUMMYFUNCTION("""COMPUTED_VALUE"""),"NANO")</f>
        <v>NANO</v>
      </c>
      <c r="B588" s="23" t="str">
        <f>IFERROR(__xludf.DUMMYFUNCTION("""COMPUTED_VALUE"""),"ibuken_zo")</f>
        <v>ibuken_zo</v>
      </c>
      <c r="C588" s="257" t="str">
        <f>IFERROR(__xludf.DUMMYFUNCTION("""COMPUTED_VALUE"""),"https://www.tiktok.com/@ibuken_zo")</f>
        <v>https://www.tiktok.com/@ibuken_zo</v>
      </c>
      <c r="D588" s="23">
        <f>IFERROR(__xludf.DUMMYFUNCTION("""COMPUTED_VALUE"""),8.7853593808E10)</f>
        <v>87853593808</v>
      </c>
      <c r="E588" s="457">
        <f>IFERROR(__xludf.DUMMYFUNCTION("""COMPUTED_VALUE"""),0.0)</f>
        <v>0</v>
      </c>
      <c r="F588" s="270">
        <f>IFERROR(__xludf.DUMMYFUNCTION("""COMPUTED_VALUE"""),4.0)</f>
        <v>4</v>
      </c>
      <c r="G588" s="17" t="str">
        <f>IFERROR(__xludf.DUMMYFUNCTION("""COMPUTED_VALUE"""),"Full Set")</f>
        <v>Full Set</v>
      </c>
      <c r="H588" s="17"/>
      <c r="I588" s="262"/>
      <c r="J588" s="262"/>
      <c r="K588" s="262"/>
      <c r="L588" s="262"/>
      <c r="M588" s="262"/>
    </row>
    <row r="589">
      <c r="A589" s="255" t="str">
        <f>IFERROR(__xludf.DUMMYFUNCTION("""COMPUTED_VALUE"""),"NANO")</f>
        <v>NANO</v>
      </c>
      <c r="B589" s="23" t="str">
        <f>IFERROR(__xludf.DUMMYFUNCTION("""COMPUTED_VALUE"""),"Cindysaadah6")</f>
        <v>Cindysaadah6</v>
      </c>
      <c r="C589" s="257" t="str">
        <f>IFERROR(__xludf.DUMMYFUNCTION("""COMPUTED_VALUE"""),"https://www.tiktok.com/@Cindysaadah6")</f>
        <v>https://www.tiktok.com/@Cindysaadah6</v>
      </c>
      <c r="D589" s="23">
        <f>IFERROR(__xludf.DUMMYFUNCTION("""COMPUTED_VALUE"""),8.5177420568E10)</f>
        <v>85177420568</v>
      </c>
      <c r="E589" s="457">
        <f>IFERROR(__xludf.DUMMYFUNCTION("""COMPUTED_VALUE"""),0.0)</f>
        <v>0</v>
      </c>
      <c r="F589" s="270">
        <f>IFERROR(__xludf.DUMMYFUNCTION("""COMPUTED_VALUE"""),4.0)</f>
        <v>4</v>
      </c>
      <c r="G589" s="17" t="str">
        <f>IFERROR(__xludf.DUMMYFUNCTION("""COMPUTED_VALUE"""),"Full Set")</f>
        <v>Full Set</v>
      </c>
      <c r="H589" s="17"/>
      <c r="I589" s="262"/>
      <c r="J589" s="262"/>
      <c r="K589" s="262"/>
      <c r="L589" s="262"/>
      <c r="M589" s="262"/>
    </row>
    <row r="590">
      <c r="A590" s="255" t="str">
        <f>IFERROR(__xludf.DUMMYFUNCTION("""COMPUTED_VALUE"""),"NANO")</f>
        <v>NANO</v>
      </c>
      <c r="B590" s="23" t="str">
        <f>IFERROR(__xludf.DUMMYFUNCTION("""COMPUTED_VALUE"""),"Dedew.sin")</f>
        <v>Dedew.sin</v>
      </c>
      <c r="C590" s="257" t="str">
        <f>IFERROR(__xludf.DUMMYFUNCTION("""COMPUTED_VALUE"""),"https://www.tiktok.com/@Dedew.sin")</f>
        <v>https://www.tiktok.com/@Dedew.sin</v>
      </c>
      <c r="D590" s="23">
        <f>IFERROR(__xludf.DUMMYFUNCTION("""COMPUTED_VALUE"""),8.3893960023E10)</f>
        <v>83893960023</v>
      </c>
      <c r="E590" s="457">
        <f>IFERROR(__xludf.DUMMYFUNCTION("""COMPUTED_VALUE"""),0.0)</f>
        <v>0</v>
      </c>
      <c r="F590" s="270">
        <f>IFERROR(__xludf.DUMMYFUNCTION("""COMPUTED_VALUE"""),4.0)</f>
        <v>4</v>
      </c>
      <c r="G590" s="17" t="str">
        <f>IFERROR(__xludf.DUMMYFUNCTION("""COMPUTED_VALUE"""),"Full Set")</f>
        <v>Full Set</v>
      </c>
      <c r="H590" s="17"/>
      <c r="I590" s="278" t="str">
        <f>IFERROR(__xludf.DUMMYFUNCTION("""COMPUTED_VALUE"""),"https://www.tiktok.com/@dedew.sin/video/7642308513368378642?is_from_webapp=1&amp;sender_device=pc")</f>
        <v>https://www.tiktok.com/@dedew.sin/video/7642308513368378642?is_from_webapp=1&amp;sender_device=pc</v>
      </c>
      <c r="J590" s="278" t="str">
        <f>IFERROR(__xludf.DUMMYFUNCTION("""COMPUTED_VALUE"""),"https://www.tiktok.com/@dedew.sin/video/7642709189533486343?is_from_webapp=1&amp;sender_device=pc")</f>
        <v>https://www.tiktok.com/@dedew.sin/video/7642709189533486343?is_from_webapp=1&amp;sender_device=pc</v>
      </c>
      <c r="K590" s="278" t="str">
        <f>IFERROR(__xludf.DUMMYFUNCTION("""COMPUTED_VALUE"""),"https://www.tiktok.com/@dedew.sin/video/7643047627893984519?is_from_webapp=1&amp;sender_device=pc")</f>
        <v>https://www.tiktok.com/@dedew.sin/video/7643047627893984519?is_from_webapp=1&amp;sender_device=pc</v>
      </c>
      <c r="L590" s="278" t="str">
        <f>IFERROR(__xludf.DUMMYFUNCTION("""COMPUTED_VALUE"""),"https://www.tiktok.com/@dedew.sin/video/7643416453483351314?is_from_webapp=1&amp;sender_device=pc")</f>
        <v>https://www.tiktok.com/@dedew.sin/video/7643416453483351314?is_from_webapp=1&amp;sender_device=pc</v>
      </c>
      <c r="M590" s="262"/>
    </row>
    <row r="591">
      <c r="A591" s="255" t="str">
        <f>IFERROR(__xludf.DUMMYFUNCTION("""COMPUTED_VALUE"""),"NANO")</f>
        <v>NANO</v>
      </c>
      <c r="B591" s="23" t="str">
        <f>IFERROR(__xludf.DUMMYFUNCTION("""COMPUTED_VALUE"""),"furhun_")</f>
        <v>furhun_</v>
      </c>
      <c r="C591" s="257" t="str">
        <f>IFERROR(__xludf.DUMMYFUNCTION("""COMPUTED_VALUE"""),"https://www.tiktok.com/@furhun_")</f>
        <v>https://www.tiktok.com/@furhun_</v>
      </c>
      <c r="D591" s="23">
        <f>IFERROR(__xludf.DUMMYFUNCTION("""COMPUTED_VALUE"""),8.5728341425E10)</f>
        <v>85728341425</v>
      </c>
      <c r="E591" s="457">
        <f>IFERROR(__xludf.DUMMYFUNCTION("""COMPUTED_VALUE"""),0.0)</f>
        <v>0</v>
      </c>
      <c r="F591" s="270">
        <f>IFERROR(__xludf.DUMMYFUNCTION("""COMPUTED_VALUE"""),4.0)</f>
        <v>4</v>
      </c>
      <c r="G591" s="17" t="str">
        <f>IFERROR(__xludf.DUMMYFUNCTION("""COMPUTED_VALUE"""),"Full Set")</f>
        <v>Full Set</v>
      </c>
      <c r="H591" s="17"/>
      <c r="I591" s="262"/>
      <c r="J591" s="262"/>
      <c r="K591" s="262"/>
      <c r="L591" s="262"/>
      <c r="M591" s="262"/>
    </row>
    <row r="592">
      <c r="A592" s="255" t="str">
        <f>IFERROR(__xludf.DUMMYFUNCTION("""COMPUTED_VALUE"""),"NANO")</f>
        <v>NANO</v>
      </c>
      <c r="B592" s="23" t="str">
        <f>IFERROR(__xludf.DUMMYFUNCTION("""COMPUTED_VALUE"""),"putrianishopp")</f>
        <v>putrianishopp</v>
      </c>
      <c r="C592" s="257" t="str">
        <f>IFERROR(__xludf.DUMMYFUNCTION("""COMPUTED_VALUE"""),"https://www.tiktok.com/@putrianishopp")</f>
        <v>https://www.tiktok.com/@putrianishopp</v>
      </c>
      <c r="D592" s="23">
        <f>IFERROR(__xludf.DUMMYFUNCTION("""COMPUTED_VALUE"""),8.2248011925E10)</f>
        <v>82248011925</v>
      </c>
      <c r="E592" s="457">
        <f>IFERROR(__xludf.DUMMYFUNCTION("""COMPUTED_VALUE"""),0.0)</f>
        <v>0</v>
      </c>
      <c r="F592" s="270">
        <f>IFERROR(__xludf.DUMMYFUNCTION("""COMPUTED_VALUE"""),4.0)</f>
        <v>4</v>
      </c>
      <c r="G592" s="17" t="str">
        <f>IFERROR(__xludf.DUMMYFUNCTION("""COMPUTED_VALUE"""),"Full Set")</f>
        <v>Full Set</v>
      </c>
      <c r="H592" s="17"/>
      <c r="I592" s="278" t="str">
        <f>IFERROR(__xludf.DUMMYFUNCTION("""COMPUTED_VALUE"""),"https://www.tiktok.com/@putrianishopp/video/7642543235922988308?is_from_webapp=1&amp;sender_device=pc")</f>
        <v>https://www.tiktok.com/@putrianishopp/video/7642543235922988308?is_from_webapp=1&amp;sender_device=pc</v>
      </c>
      <c r="J592" s="262"/>
      <c r="K592" s="262"/>
      <c r="L592" s="262"/>
      <c r="M592" s="262"/>
    </row>
    <row r="593">
      <c r="A593" s="255" t="str">
        <f>IFERROR(__xludf.DUMMYFUNCTION("""COMPUTED_VALUE"""),"NANO")</f>
        <v>NANO</v>
      </c>
      <c r="B593" s="23" t="str">
        <f>IFERROR(__xludf.DUMMYFUNCTION("""COMPUTED_VALUE"""),"deyysan.01")</f>
        <v>deyysan.01</v>
      </c>
      <c r="C593" s="257" t="str">
        <f>IFERROR(__xludf.DUMMYFUNCTION("""COMPUTED_VALUE"""),"https://www.tiktok.com/@deyysan.01")</f>
        <v>https://www.tiktok.com/@deyysan.01</v>
      </c>
      <c r="D593" s="23">
        <f>IFERROR(__xludf.DUMMYFUNCTION("""COMPUTED_VALUE"""),8.56203749E9)</f>
        <v>8562037490</v>
      </c>
      <c r="E593" s="457">
        <f>IFERROR(__xludf.DUMMYFUNCTION("""COMPUTED_VALUE"""),0.0)</f>
        <v>0</v>
      </c>
      <c r="F593" s="270">
        <f>IFERROR(__xludf.DUMMYFUNCTION("""COMPUTED_VALUE"""),4.0)</f>
        <v>4</v>
      </c>
      <c r="G593" s="17" t="str">
        <f>IFERROR(__xludf.DUMMYFUNCTION("""COMPUTED_VALUE"""),"Full Set")</f>
        <v>Full Set</v>
      </c>
      <c r="H593" s="17"/>
      <c r="I593" s="262"/>
      <c r="J593" s="262"/>
      <c r="K593" s="262"/>
      <c r="L593" s="262"/>
      <c r="M593" s="262"/>
    </row>
    <row r="594">
      <c r="A594" s="255" t="str">
        <f>IFERROR(__xludf.DUMMYFUNCTION("""COMPUTED_VALUE"""),"NANO")</f>
        <v>NANO</v>
      </c>
      <c r="B594" s="23" t="str">
        <f>IFERROR(__xludf.DUMMYFUNCTION("""COMPUTED_VALUE"""),"Viktoria_anita")</f>
        <v>Viktoria_anita</v>
      </c>
      <c r="C594" s="257" t="str">
        <f>IFERROR(__xludf.DUMMYFUNCTION("""COMPUTED_VALUE"""),"https://www.tiktok.com/@Viktoria_anita")</f>
        <v>https://www.tiktok.com/@Viktoria_anita</v>
      </c>
      <c r="D594" s="23">
        <f>IFERROR(__xludf.DUMMYFUNCTION("""COMPUTED_VALUE"""),8.95337071456E11)</f>
        <v>895337071456</v>
      </c>
      <c r="E594" s="457">
        <f>IFERROR(__xludf.DUMMYFUNCTION("""COMPUTED_VALUE"""),0.0)</f>
        <v>0</v>
      </c>
      <c r="F594" s="270">
        <f>IFERROR(__xludf.DUMMYFUNCTION("""COMPUTED_VALUE"""),4.0)</f>
        <v>4</v>
      </c>
      <c r="G594" s="17" t="str">
        <f>IFERROR(__xludf.DUMMYFUNCTION("""COMPUTED_VALUE"""),"Full Set")</f>
        <v>Full Set</v>
      </c>
      <c r="H594" s="17"/>
      <c r="I594" s="262"/>
      <c r="J594" s="262"/>
      <c r="K594" s="262"/>
      <c r="L594" s="262"/>
      <c r="M594" s="262"/>
    </row>
    <row r="595">
      <c r="A595" s="255" t="str">
        <f>IFERROR(__xludf.DUMMYFUNCTION("""COMPUTED_VALUE"""),"NANO")</f>
        <v>NANO</v>
      </c>
      <c r="B595" s="23" t="str">
        <f>IFERROR(__xludf.DUMMYFUNCTION("""COMPUTED_VALUE"""),"stephani.ks")</f>
        <v>stephani.ks</v>
      </c>
      <c r="C595" s="257" t="str">
        <f>IFERROR(__xludf.DUMMYFUNCTION("""COMPUTED_VALUE"""),"https://www.tiktok.com/@stephani.ks")</f>
        <v>https://www.tiktok.com/@stephani.ks</v>
      </c>
      <c r="D595" s="23">
        <f>IFERROR(__xludf.DUMMYFUNCTION("""COMPUTED_VALUE"""),8.5700070812E10)</f>
        <v>85700070812</v>
      </c>
      <c r="E595" s="457">
        <f>IFERROR(__xludf.DUMMYFUNCTION("""COMPUTED_VALUE"""),0.0)</f>
        <v>0</v>
      </c>
      <c r="F595" s="270">
        <f>IFERROR(__xludf.DUMMYFUNCTION("""COMPUTED_VALUE"""),4.0)</f>
        <v>4</v>
      </c>
      <c r="G595" s="17" t="str">
        <f>IFERROR(__xludf.DUMMYFUNCTION("""COMPUTED_VALUE"""),"Full Set")</f>
        <v>Full Set</v>
      </c>
      <c r="H595" s="17"/>
      <c r="I595" s="278" t="str">
        <f>IFERROR(__xludf.DUMMYFUNCTION("""COMPUTED_VALUE"""),"https://www.tiktok.com/@stephani.ks/video/7642301425157934354?is_from_webapp=1&amp;sender_device=pc")</f>
        <v>https://www.tiktok.com/@stephani.ks/video/7642301425157934354?is_from_webapp=1&amp;sender_device=pc</v>
      </c>
      <c r="J595" s="278" t="str">
        <f>IFERROR(__xludf.DUMMYFUNCTION("""COMPUTED_VALUE"""),"https://www.tiktok.com/@stephani.ks/video/7643045889568722184?is_from_webapp=1&amp;sender_device=pc")</f>
        <v>https://www.tiktok.com/@stephani.ks/video/7643045889568722184?is_from_webapp=1&amp;sender_device=pc</v>
      </c>
      <c r="K595" s="262"/>
      <c r="L595" s="262"/>
      <c r="M595" s="262"/>
    </row>
    <row r="596">
      <c r="A596" s="255" t="str">
        <f>IFERROR(__xludf.DUMMYFUNCTION("""COMPUTED_VALUE"""),"NANO")</f>
        <v>NANO</v>
      </c>
      <c r="B596" s="23" t="str">
        <f>IFERROR(__xludf.DUMMYFUNCTION("""COMPUTED_VALUE"""),"figi0304")</f>
        <v>figi0304</v>
      </c>
      <c r="C596" s="257" t="str">
        <f>IFERROR(__xludf.DUMMYFUNCTION("""COMPUTED_VALUE"""),"https://www.tiktok.com/@figi0304")</f>
        <v>https://www.tiktok.com/@figi0304</v>
      </c>
      <c r="D596" s="23">
        <f>IFERROR(__xludf.DUMMYFUNCTION("""COMPUTED_VALUE"""),8.5177821095E10)</f>
        <v>85177821095</v>
      </c>
      <c r="E596" s="457">
        <f>IFERROR(__xludf.DUMMYFUNCTION("""COMPUTED_VALUE"""),0.0)</f>
        <v>0</v>
      </c>
      <c r="F596" s="270">
        <f>IFERROR(__xludf.DUMMYFUNCTION("""COMPUTED_VALUE"""),4.0)</f>
        <v>4</v>
      </c>
      <c r="G596" s="17" t="str">
        <f>IFERROR(__xludf.DUMMYFUNCTION("""COMPUTED_VALUE"""),"Full Set")</f>
        <v>Full Set</v>
      </c>
      <c r="H596" s="17"/>
      <c r="I596" s="262"/>
      <c r="J596" s="262"/>
      <c r="K596" s="262"/>
      <c r="L596" s="262"/>
      <c r="M596" s="262"/>
    </row>
    <row r="597">
      <c r="A597" s="255" t="str">
        <f>IFERROR(__xludf.DUMMYFUNCTION("""COMPUTED_VALUE"""),"NANO")</f>
        <v>NANO</v>
      </c>
      <c r="B597" s="23" t="str">
        <f>IFERROR(__xludf.DUMMYFUNCTION("""COMPUTED_VALUE"""),"Larasratna2593")</f>
        <v>Larasratna2593</v>
      </c>
      <c r="C597" s="257" t="str">
        <f>IFERROR(__xludf.DUMMYFUNCTION("""COMPUTED_VALUE"""),"https://www.tiktok.com/@Larasratna2593")</f>
        <v>https://www.tiktok.com/@Larasratna2593</v>
      </c>
      <c r="D597" s="23">
        <f>IFERROR(__xludf.DUMMYFUNCTION("""COMPUTED_VALUE"""),8.5721093606E10)</f>
        <v>85721093606</v>
      </c>
      <c r="E597" s="457">
        <f>IFERROR(__xludf.DUMMYFUNCTION("""COMPUTED_VALUE"""),0.0)</f>
        <v>0</v>
      </c>
      <c r="F597" s="270">
        <f>IFERROR(__xludf.DUMMYFUNCTION("""COMPUTED_VALUE"""),4.0)</f>
        <v>4</v>
      </c>
      <c r="G597" s="17" t="str">
        <f>IFERROR(__xludf.DUMMYFUNCTION("""COMPUTED_VALUE"""),"Full Set")</f>
        <v>Full Set</v>
      </c>
      <c r="H597" s="17"/>
      <c r="I597" s="278" t="str">
        <f>IFERROR(__xludf.DUMMYFUNCTION("""COMPUTED_VALUE"""),"https://www.tiktok.com/@larasratna2593/video/7641892094159768840?is_from_webapp=1&amp;sender_device=pc")</f>
        <v>https://www.tiktok.com/@larasratna2593/video/7641892094159768840?is_from_webapp=1&amp;sender_device=pc</v>
      </c>
      <c r="J597" s="278" t="str">
        <f>IFERROR(__xludf.DUMMYFUNCTION("""COMPUTED_VALUE"""),"https://www.tiktok.com/@larasratna2593/video/7642124653883886856?is_from_webapp=1&amp;sender_device=pc")</f>
        <v>https://www.tiktok.com/@larasratna2593/video/7642124653883886856?is_from_webapp=1&amp;sender_device=pc</v>
      </c>
      <c r="K597" s="278" t="str">
        <f>IFERROR(__xludf.DUMMYFUNCTION("""COMPUTED_VALUE"""),"https://www.tiktok.com/@larasratna2593/video/7642515904076483858?is_from_webapp=1&amp;sender_device=pc")</f>
        <v>https://www.tiktok.com/@larasratna2593/video/7642515904076483858?is_from_webapp=1&amp;sender_device=pc</v>
      </c>
      <c r="L597" s="278" t="str">
        <f>IFERROR(__xludf.DUMMYFUNCTION("""COMPUTED_VALUE"""),"https://www.tiktok.com/@larasratna2593/video/7642880519780322567?is_from_webapp=1&amp;sender_device=pc")</f>
        <v>https://www.tiktok.com/@larasratna2593/video/7642880519780322567?is_from_webapp=1&amp;sender_device=pc</v>
      </c>
      <c r="M597" s="262"/>
    </row>
    <row r="598">
      <c r="A598" s="255" t="str">
        <f>IFERROR(__xludf.DUMMYFUNCTION("""COMPUTED_VALUE"""),"NANO")</f>
        <v>NANO</v>
      </c>
      <c r="B598" s="23" t="str">
        <f>IFERROR(__xludf.DUMMYFUNCTION("""COMPUTED_VALUE"""),"beautifulgirl_2121 ")</f>
        <v>beautifulgirl_2121 </v>
      </c>
      <c r="C598" s="257" t="str">
        <f>IFERROR(__xludf.DUMMYFUNCTION("""COMPUTED_VALUE"""),"https://www.tiktok.com/@beautifulgirl_2121 ")</f>
        <v>https://www.tiktok.com/@beautifulgirl_2121 </v>
      </c>
      <c r="D598" s="23">
        <f>IFERROR(__xludf.DUMMYFUNCTION("""COMPUTED_VALUE"""),8.1275013893E10)</f>
        <v>81275013893</v>
      </c>
      <c r="E598" s="457">
        <f>IFERROR(__xludf.DUMMYFUNCTION("""COMPUTED_VALUE"""),0.0)</f>
        <v>0</v>
      </c>
      <c r="F598" s="270">
        <f>IFERROR(__xludf.DUMMYFUNCTION("""COMPUTED_VALUE"""),4.0)</f>
        <v>4</v>
      </c>
      <c r="G598" s="17" t="str">
        <f>IFERROR(__xludf.DUMMYFUNCTION("""COMPUTED_VALUE"""),"Full Set")</f>
        <v>Full Set</v>
      </c>
      <c r="H598" s="17"/>
      <c r="I598" s="262"/>
      <c r="J598" s="262"/>
      <c r="K598" s="262"/>
      <c r="L598" s="262"/>
      <c r="M598" s="262"/>
    </row>
    <row r="599">
      <c r="A599" s="255" t="str">
        <f>IFERROR(__xludf.DUMMYFUNCTION("""COMPUTED_VALUE"""),"NANO")</f>
        <v>NANO</v>
      </c>
      <c r="B599" s="23" t="str">
        <f>IFERROR(__xludf.DUMMYFUNCTION("""COMPUTED_VALUE"""),"moon13111311")</f>
        <v>moon13111311</v>
      </c>
      <c r="C599" s="257" t="str">
        <f>IFERROR(__xludf.DUMMYFUNCTION("""COMPUTED_VALUE"""),"https://www.tiktok.com/@moon13111311")</f>
        <v>https://www.tiktok.com/@moon13111311</v>
      </c>
      <c r="D599" s="23">
        <f>IFERROR(__xludf.DUMMYFUNCTION("""COMPUTED_VALUE"""),8.3189122259E10)</f>
        <v>83189122259</v>
      </c>
      <c r="E599" s="457">
        <f>IFERROR(__xludf.DUMMYFUNCTION("""COMPUTED_VALUE"""),0.0)</f>
        <v>0</v>
      </c>
      <c r="F599" s="270">
        <f>IFERROR(__xludf.DUMMYFUNCTION("""COMPUTED_VALUE"""),4.0)</f>
        <v>4</v>
      </c>
      <c r="G599" s="17" t="str">
        <f>IFERROR(__xludf.DUMMYFUNCTION("""COMPUTED_VALUE"""),"Full Set")</f>
        <v>Full Set</v>
      </c>
      <c r="H599" s="17"/>
      <c r="I599" s="262"/>
      <c r="J599" s="262"/>
      <c r="K599" s="262"/>
      <c r="L599" s="262"/>
      <c r="M599" s="262"/>
    </row>
    <row r="600">
      <c r="A600" s="255" t="str">
        <f>IFERROR(__xludf.DUMMYFUNCTION("""COMPUTED_VALUE"""),"NANO")</f>
        <v>NANO</v>
      </c>
      <c r="B600" s="23" t="str">
        <f>IFERROR(__xludf.DUMMYFUNCTION("""COMPUTED_VALUE"""),"nayannazz")</f>
        <v>nayannazz</v>
      </c>
      <c r="C600" s="257" t="str">
        <f>IFERROR(__xludf.DUMMYFUNCTION("""COMPUTED_VALUE"""),"https://www.tiktok.com/@nayannazz")</f>
        <v>https://www.tiktok.com/@nayannazz</v>
      </c>
      <c r="D600" s="23">
        <f>IFERROR(__xludf.DUMMYFUNCTION("""COMPUTED_VALUE"""),8.95402393803E11)</f>
        <v>895402393803</v>
      </c>
      <c r="E600" s="457">
        <f>IFERROR(__xludf.DUMMYFUNCTION("""COMPUTED_VALUE"""),0.0)</f>
        <v>0</v>
      </c>
      <c r="F600" s="270">
        <f>IFERROR(__xludf.DUMMYFUNCTION("""COMPUTED_VALUE"""),4.0)</f>
        <v>4</v>
      </c>
      <c r="G600" s="17" t="str">
        <f>IFERROR(__xludf.DUMMYFUNCTION("""COMPUTED_VALUE"""),"Full Set")</f>
        <v>Full Set</v>
      </c>
      <c r="H600" s="17"/>
      <c r="I600" s="278" t="str">
        <f>IFERROR(__xludf.DUMMYFUNCTION("""COMPUTED_VALUE"""),"https://www.tiktok.com/@nayannazz/video/7644090337811533074?is_from_webapp=1&amp;sender_device=pc")</f>
        <v>https://www.tiktok.com/@nayannazz/video/7644090337811533074?is_from_webapp=1&amp;sender_device=pc</v>
      </c>
      <c r="J600" s="262"/>
      <c r="K600" s="262"/>
      <c r="L600" s="262"/>
      <c r="M600" s="262"/>
    </row>
    <row r="601">
      <c r="A601" s="255" t="str">
        <f>IFERROR(__xludf.DUMMYFUNCTION("""COMPUTED_VALUE"""),"NANO")</f>
        <v>NANO</v>
      </c>
      <c r="B601" s="23" t="str">
        <f>IFERROR(__xludf.DUMMYFUNCTION("""COMPUTED_VALUE"""),"vieeraa14")</f>
        <v>vieeraa14</v>
      </c>
      <c r="C601" s="257" t="str">
        <f>IFERROR(__xludf.DUMMYFUNCTION("""COMPUTED_VALUE"""),"https://www.tiktok.com/@vieeraa14")</f>
        <v>https://www.tiktok.com/@vieeraa14</v>
      </c>
      <c r="D601" s="23">
        <f>IFERROR(__xludf.DUMMYFUNCTION("""COMPUTED_VALUE"""),8.1546812681E10)</f>
        <v>81546812681</v>
      </c>
      <c r="E601" s="457">
        <f>IFERROR(__xludf.DUMMYFUNCTION("""COMPUTED_VALUE"""),0.0)</f>
        <v>0</v>
      </c>
      <c r="F601" s="270">
        <f>IFERROR(__xludf.DUMMYFUNCTION("""COMPUTED_VALUE"""),4.0)</f>
        <v>4</v>
      </c>
      <c r="G601" s="17" t="str">
        <f>IFERROR(__xludf.DUMMYFUNCTION("""COMPUTED_VALUE"""),"Full Set")</f>
        <v>Full Set</v>
      </c>
      <c r="H601" s="17"/>
      <c r="I601" s="262"/>
      <c r="J601" s="262"/>
      <c r="K601" s="262"/>
      <c r="L601" s="262"/>
      <c r="M601" s="262"/>
    </row>
    <row r="602">
      <c r="A602" s="255" t="str">
        <f>IFERROR(__xludf.DUMMYFUNCTION("""COMPUTED_VALUE"""),"NANO")</f>
        <v>NANO</v>
      </c>
      <c r="B602" s="23" t="str">
        <f>IFERROR(__xludf.DUMMYFUNCTION("""COMPUTED_VALUE"""),"shofiyahzahrotul")</f>
        <v>shofiyahzahrotul</v>
      </c>
      <c r="C602" s="257" t="str">
        <f>IFERROR(__xludf.DUMMYFUNCTION("""COMPUTED_VALUE"""),"https://www.tiktok.com/@shofiyahzahrotul")</f>
        <v>https://www.tiktok.com/@shofiyahzahrotul</v>
      </c>
      <c r="D602" s="23">
        <f>IFERROR(__xludf.DUMMYFUNCTION("""COMPUTED_VALUE"""),8.8234315431E10)</f>
        <v>88234315431</v>
      </c>
      <c r="E602" s="457">
        <f>IFERROR(__xludf.DUMMYFUNCTION("""COMPUTED_VALUE"""),0.0)</f>
        <v>0</v>
      </c>
      <c r="F602" s="270">
        <f>IFERROR(__xludf.DUMMYFUNCTION("""COMPUTED_VALUE"""),4.0)</f>
        <v>4</v>
      </c>
      <c r="G602" s="17" t="str">
        <f>IFERROR(__xludf.DUMMYFUNCTION("""COMPUTED_VALUE"""),"Full Set")</f>
        <v>Full Set</v>
      </c>
      <c r="H602" s="17"/>
      <c r="I602" s="262"/>
      <c r="J602" s="262"/>
      <c r="K602" s="262"/>
      <c r="L602" s="262"/>
      <c r="M602" s="262"/>
    </row>
    <row r="603">
      <c r="A603" s="255" t="str">
        <f>IFERROR(__xludf.DUMMYFUNCTION("""COMPUTED_VALUE"""),"NANO")</f>
        <v>NANO</v>
      </c>
      <c r="B603" s="23" t="str">
        <f>IFERROR(__xludf.DUMMYFUNCTION("""COMPUTED_VALUE"""),"Ralinealula ")</f>
        <v>Ralinealula </v>
      </c>
      <c r="C603" s="257" t="str">
        <f>IFERROR(__xludf.DUMMYFUNCTION("""COMPUTED_VALUE"""),"https://www.tiktok.com/@Ralinealula ")</f>
        <v>https://www.tiktok.com/@Ralinealula </v>
      </c>
      <c r="D603" s="23">
        <f>IFERROR(__xludf.DUMMYFUNCTION("""COMPUTED_VALUE"""),8.9633969433E10)</f>
        <v>89633969433</v>
      </c>
      <c r="E603" s="457">
        <f>IFERROR(__xludf.DUMMYFUNCTION("""COMPUTED_VALUE"""),0.0)</f>
        <v>0</v>
      </c>
      <c r="F603" s="270">
        <f>IFERROR(__xludf.DUMMYFUNCTION("""COMPUTED_VALUE"""),4.0)</f>
        <v>4</v>
      </c>
      <c r="G603" s="17" t="str">
        <f>IFERROR(__xludf.DUMMYFUNCTION("""COMPUTED_VALUE"""),"Full Set")</f>
        <v>Full Set</v>
      </c>
      <c r="H603" s="17"/>
      <c r="I603" s="262"/>
      <c r="J603" s="262"/>
      <c r="K603" s="262"/>
      <c r="L603" s="262"/>
      <c r="M603" s="262"/>
    </row>
    <row r="604">
      <c r="A604" s="255" t="str">
        <f>IFERROR(__xludf.DUMMYFUNCTION("""COMPUTED_VALUE"""),"NANO")</f>
        <v>NANO</v>
      </c>
      <c r="B604" s="23" t="str">
        <f>IFERROR(__xludf.DUMMYFUNCTION("""COMPUTED_VALUE"""),"perempuan.aquarius_")</f>
        <v>perempuan.aquarius_</v>
      </c>
      <c r="C604" s="257" t="str">
        <f>IFERROR(__xludf.DUMMYFUNCTION("""COMPUTED_VALUE"""),"https://www.tiktok.com/@perempuan.aquarius_")</f>
        <v>https://www.tiktok.com/@perempuan.aquarius_</v>
      </c>
      <c r="D604" s="23">
        <f>IFERROR(__xludf.DUMMYFUNCTION("""COMPUTED_VALUE"""),8.5713804243E10)</f>
        <v>85713804243</v>
      </c>
      <c r="E604" s="457">
        <f>IFERROR(__xludf.DUMMYFUNCTION("""COMPUTED_VALUE"""),0.0)</f>
        <v>0</v>
      </c>
      <c r="F604" s="270">
        <f>IFERROR(__xludf.DUMMYFUNCTION("""COMPUTED_VALUE"""),4.0)</f>
        <v>4</v>
      </c>
      <c r="G604" s="17" t="str">
        <f>IFERROR(__xludf.DUMMYFUNCTION("""COMPUTED_VALUE"""),"Full Set")</f>
        <v>Full Set</v>
      </c>
      <c r="H604" s="17"/>
      <c r="I604" s="278" t="str">
        <f>IFERROR(__xludf.DUMMYFUNCTION("""COMPUTED_VALUE"""),"https://www.tiktok.com/@perempuan.aquarius_/video/7642685024197774600?is_from_webapp=1&amp;sender_device=pc")</f>
        <v>https://www.tiktok.com/@perempuan.aquarius_/video/7642685024197774600?is_from_webapp=1&amp;sender_device=pc</v>
      </c>
      <c r="J604" s="278" t="str">
        <f>IFERROR(__xludf.DUMMYFUNCTION("""COMPUTED_VALUE"""),"https://www.tiktok.com/@perempuan.aquarius_/video/7643838048421170440?is_from_webapp=1&amp;sender_device=pc")</f>
        <v>https://www.tiktok.com/@perempuan.aquarius_/video/7643838048421170440?is_from_webapp=1&amp;sender_device=pc</v>
      </c>
      <c r="K604" s="262"/>
      <c r="L604" s="262"/>
      <c r="M604" s="262"/>
    </row>
    <row r="605">
      <c r="A605" s="255" t="str">
        <f>IFERROR(__xludf.DUMMYFUNCTION("""COMPUTED_VALUE"""),"NANO")</f>
        <v>NANO</v>
      </c>
      <c r="B605" s="23" t="str">
        <f>IFERROR(__xludf.DUMMYFUNCTION("""COMPUTED_VALUE"""),"Esldyy")</f>
        <v>Esldyy</v>
      </c>
      <c r="C605" s="257" t="str">
        <f>IFERROR(__xludf.DUMMYFUNCTION("""COMPUTED_VALUE"""),"https://www.tiktok.com/@Esldyy")</f>
        <v>https://www.tiktok.com/@Esldyy</v>
      </c>
      <c r="D605" s="23">
        <f>IFERROR(__xludf.DUMMYFUNCTION("""COMPUTED_VALUE"""),8.95618644579E11)</f>
        <v>895618644579</v>
      </c>
      <c r="E605" s="457">
        <f>IFERROR(__xludf.DUMMYFUNCTION("""COMPUTED_VALUE"""),0.0)</f>
        <v>0</v>
      </c>
      <c r="F605" s="270">
        <f>IFERROR(__xludf.DUMMYFUNCTION("""COMPUTED_VALUE"""),4.0)</f>
        <v>4</v>
      </c>
      <c r="G605" s="17" t="str">
        <f>IFERROR(__xludf.DUMMYFUNCTION("""COMPUTED_VALUE"""),"Full Set")</f>
        <v>Full Set</v>
      </c>
      <c r="H605" s="17"/>
      <c r="I605" s="262"/>
      <c r="J605" s="262"/>
      <c r="K605" s="262"/>
      <c r="L605" s="262"/>
      <c r="M605" s="262"/>
    </row>
    <row r="606">
      <c r="A606" s="255" t="str">
        <f>IFERROR(__xludf.DUMMYFUNCTION("""COMPUTED_VALUE"""),"NANO")</f>
        <v>NANO</v>
      </c>
      <c r="B606" s="23" t="str">
        <f>IFERROR(__xludf.DUMMYFUNCTION("""COMPUTED_VALUE"""),"Titha10")</f>
        <v>Titha10</v>
      </c>
      <c r="C606" s="257" t="str">
        <f>IFERROR(__xludf.DUMMYFUNCTION("""COMPUTED_VALUE"""),"https://www.tiktok.com/@Titha10")</f>
        <v>https://www.tiktok.com/@Titha10</v>
      </c>
      <c r="D606" s="23">
        <f>IFERROR(__xludf.DUMMYFUNCTION("""COMPUTED_VALUE"""),8.7827493538E10)</f>
        <v>87827493538</v>
      </c>
      <c r="E606" s="457">
        <f>IFERROR(__xludf.DUMMYFUNCTION("""COMPUTED_VALUE"""),0.0)</f>
        <v>0</v>
      </c>
      <c r="F606" s="270">
        <f>IFERROR(__xludf.DUMMYFUNCTION("""COMPUTED_VALUE"""),4.0)</f>
        <v>4</v>
      </c>
      <c r="G606" s="17" t="str">
        <f>IFERROR(__xludf.DUMMYFUNCTION("""COMPUTED_VALUE"""),"Full Set")</f>
        <v>Full Set</v>
      </c>
      <c r="H606" s="17"/>
      <c r="I606" s="278" t="str">
        <f>IFERROR(__xludf.DUMMYFUNCTION("""COMPUTED_VALUE"""),"https://www.tiktok.com/@titha10/video/7643382909738470663?is_from_webapp=1&amp;sender_device=pc")</f>
        <v>https://www.tiktok.com/@titha10/video/7643382909738470663?is_from_webapp=1&amp;sender_device=pc</v>
      </c>
      <c r="J606" s="262"/>
      <c r="K606" s="262"/>
      <c r="L606" s="262"/>
      <c r="M606" s="262"/>
    </row>
    <row r="607">
      <c r="A607" s="255" t="str">
        <f>IFERROR(__xludf.DUMMYFUNCTION("""COMPUTED_VALUE"""),"NANO")</f>
        <v>NANO</v>
      </c>
      <c r="B607" s="23" t="str">
        <f>IFERROR(__xludf.DUMMYFUNCTION("""COMPUTED_VALUE"""),"anipzii")</f>
        <v>anipzii</v>
      </c>
      <c r="C607" s="257" t="str">
        <f>IFERROR(__xludf.DUMMYFUNCTION("""COMPUTED_VALUE"""),"https://www.tiktok.com/@anipzii")</f>
        <v>https://www.tiktok.com/@anipzii</v>
      </c>
      <c r="D607" s="23">
        <f>IFERROR(__xludf.DUMMYFUNCTION("""COMPUTED_VALUE"""),8.5713986293E10)</f>
        <v>85713986293</v>
      </c>
      <c r="E607" s="457">
        <f>IFERROR(__xludf.DUMMYFUNCTION("""COMPUTED_VALUE"""),0.0)</f>
        <v>0</v>
      </c>
      <c r="F607" s="270">
        <f>IFERROR(__xludf.DUMMYFUNCTION("""COMPUTED_VALUE"""),4.0)</f>
        <v>4</v>
      </c>
      <c r="G607" s="17" t="str">
        <f>IFERROR(__xludf.DUMMYFUNCTION("""COMPUTED_VALUE"""),"Full Set")</f>
        <v>Full Set</v>
      </c>
      <c r="H607" s="17"/>
      <c r="I607" s="278" t="str">
        <f>IFERROR(__xludf.DUMMYFUNCTION("""COMPUTED_VALUE"""),"https://www.tiktok.com/@anipzii/video/7643982795710221588?is_from_webapp=1&amp;sender_device=pc")</f>
        <v>https://www.tiktok.com/@anipzii/video/7643982795710221588?is_from_webapp=1&amp;sender_device=pc</v>
      </c>
      <c r="J607" s="262"/>
      <c r="K607" s="262"/>
      <c r="L607" s="262"/>
      <c r="M607" s="262"/>
    </row>
    <row r="608">
      <c r="A608" s="255" t="str">
        <f>IFERROR(__xludf.DUMMYFUNCTION("""COMPUTED_VALUE"""),"NANO")</f>
        <v>NANO</v>
      </c>
      <c r="B608" s="23" t="str">
        <f>IFERROR(__xludf.DUMMYFUNCTION("""COMPUTED_VALUE"""),"Verawindiym")</f>
        <v>Verawindiym</v>
      </c>
      <c r="C608" s="257" t="str">
        <f>IFERROR(__xludf.DUMMYFUNCTION("""COMPUTED_VALUE"""),"https://www.tiktok.com/@Verawindiym")</f>
        <v>https://www.tiktok.com/@Verawindiym</v>
      </c>
      <c r="D608" s="23">
        <f>IFERROR(__xludf.DUMMYFUNCTION("""COMPUTED_VALUE"""),8.227230711E10)</f>
        <v>82272307110</v>
      </c>
      <c r="E608" s="457">
        <f>IFERROR(__xludf.DUMMYFUNCTION("""COMPUTED_VALUE"""),0.0)</f>
        <v>0</v>
      </c>
      <c r="F608" s="270">
        <f>IFERROR(__xludf.DUMMYFUNCTION("""COMPUTED_VALUE"""),4.0)</f>
        <v>4</v>
      </c>
      <c r="G608" s="17" t="str">
        <f>IFERROR(__xludf.DUMMYFUNCTION("""COMPUTED_VALUE"""),"Full Set")</f>
        <v>Full Set</v>
      </c>
      <c r="H608" s="17"/>
      <c r="I608" s="262"/>
      <c r="J608" s="262"/>
      <c r="K608" s="262"/>
      <c r="L608" s="262"/>
      <c r="M608" s="262"/>
    </row>
    <row r="609">
      <c r="A609" s="255" t="str">
        <f>IFERROR(__xludf.DUMMYFUNCTION("""COMPUTED_VALUE"""),"MICRO")</f>
        <v>MICRO</v>
      </c>
      <c r="B609" s="23" t="str">
        <f>IFERROR(__xludf.DUMMYFUNCTION("""COMPUTED_VALUE"""),"nandaeka.j")</f>
        <v>nandaeka.j</v>
      </c>
      <c r="C609" s="257" t="str">
        <f>IFERROR(__xludf.DUMMYFUNCTION("""COMPUTED_VALUE"""),"https://www.tiktok.com/@nandaeka.j")</f>
        <v>https://www.tiktok.com/@nandaeka.j</v>
      </c>
      <c r="D609" s="23">
        <f>IFERROR(__xludf.DUMMYFUNCTION("""COMPUTED_VALUE"""),8.81036614547E11)</f>
        <v>881036614547</v>
      </c>
      <c r="E609" s="457">
        <f>IFERROR(__xludf.DUMMYFUNCTION("""COMPUTED_VALUE"""),0.0)</f>
        <v>0</v>
      </c>
      <c r="F609" s="270">
        <f>IFERROR(__xludf.DUMMYFUNCTION("""COMPUTED_VALUE"""),4.0)</f>
        <v>4</v>
      </c>
      <c r="G609" s="17" t="str">
        <f>IFERROR(__xludf.DUMMYFUNCTION("""COMPUTED_VALUE"""),"Full Set")</f>
        <v>Full Set</v>
      </c>
      <c r="H609" s="17"/>
      <c r="I609" s="262"/>
      <c r="J609" s="262"/>
      <c r="K609" s="262"/>
      <c r="L609" s="262"/>
      <c r="M609" s="262"/>
    </row>
    <row r="610">
      <c r="A610" s="255" t="str">
        <f>IFERROR(__xludf.DUMMYFUNCTION("""COMPUTED_VALUE"""),"MICRO")</f>
        <v>MICRO</v>
      </c>
      <c r="B610" s="23" t="str">
        <f>IFERROR(__xludf.DUMMYFUNCTION("""COMPUTED_VALUE"""),"piscesgirlstudio")</f>
        <v>piscesgirlstudio</v>
      </c>
      <c r="C610" s="257" t="str">
        <f>IFERROR(__xludf.DUMMYFUNCTION("""COMPUTED_VALUE"""),"https://www.tiktok.com/@piscesgirlstudio")</f>
        <v>https://www.tiktok.com/@piscesgirlstudio</v>
      </c>
      <c r="D610" s="23">
        <f>IFERROR(__xludf.DUMMYFUNCTION("""COMPUTED_VALUE"""),8.1214211864E10)</f>
        <v>81214211864</v>
      </c>
      <c r="E610" s="457">
        <f>IFERROR(__xludf.DUMMYFUNCTION("""COMPUTED_VALUE"""),0.0)</f>
        <v>0</v>
      </c>
      <c r="F610" s="270">
        <f>IFERROR(__xludf.DUMMYFUNCTION("""COMPUTED_VALUE"""),4.0)</f>
        <v>4</v>
      </c>
      <c r="G610" s="17" t="str">
        <f>IFERROR(__xludf.DUMMYFUNCTION("""COMPUTED_VALUE"""),"Full Set")</f>
        <v>Full Set</v>
      </c>
      <c r="H610" s="17"/>
      <c r="I610" s="278" t="str">
        <f>IFERROR(__xludf.DUMMYFUNCTION("""COMPUTED_VALUE"""),"https://www.tiktok.com/@piscesgirlstudio/video/7643732235144760577?is_from_webapp=1&amp;sender_device=pc")</f>
        <v>https://www.tiktok.com/@piscesgirlstudio/video/7643732235144760577?is_from_webapp=1&amp;sender_device=pc</v>
      </c>
      <c r="J610" s="278" t="str">
        <f>IFERROR(__xludf.DUMMYFUNCTION("""COMPUTED_VALUE"""),"https://www.tiktok.com/@piscesgirlstudio/video/7643729347118910721?is_from_webapp=1&amp;sender_device=pc")</f>
        <v>https://www.tiktok.com/@piscesgirlstudio/video/7643729347118910721?is_from_webapp=1&amp;sender_device=pc</v>
      </c>
      <c r="K610" s="262"/>
      <c r="L610" s="262"/>
      <c r="M610" s="262"/>
    </row>
    <row r="611">
      <c r="A611" s="255" t="str">
        <f>IFERROR(__xludf.DUMMYFUNCTION("""COMPUTED_VALUE"""),"NANO")</f>
        <v>NANO</v>
      </c>
      <c r="B611" s="23" t="str">
        <f>IFERROR(__xludf.DUMMYFUNCTION("""COMPUTED_VALUE"""),"ariatydhearisma")</f>
        <v>ariatydhearisma</v>
      </c>
      <c r="C611" s="257" t="str">
        <f>IFERROR(__xludf.DUMMYFUNCTION("""COMPUTED_VALUE"""),"https://www.tiktok.com/@ariatydhearisma")</f>
        <v>https://www.tiktok.com/@ariatydhearisma</v>
      </c>
      <c r="D611" s="23">
        <f>IFERROR(__xludf.DUMMYFUNCTION("""COMPUTED_VALUE"""),8.226126511E10)</f>
        <v>82261265110</v>
      </c>
      <c r="E611" s="457">
        <f>IFERROR(__xludf.DUMMYFUNCTION("""COMPUTED_VALUE"""),0.0)</f>
        <v>0</v>
      </c>
      <c r="F611" s="270">
        <f>IFERROR(__xludf.DUMMYFUNCTION("""COMPUTED_VALUE"""),4.0)</f>
        <v>4</v>
      </c>
      <c r="G611" s="17" t="str">
        <f>IFERROR(__xludf.DUMMYFUNCTION("""COMPUTED_VALUE"""),"Full Set")</f>
        <v>Full Set</v>
      </c>
      <c r="H611" s="17"/>
      <c r="I611" s="262"/>
      <c r="J611" s="262"/>
      <c r="K611" s="262"/>
      <c r="L611" s="262"/>
      <c r="M611" s="262"/>
    </row>
    <row r="612">
      <c r="A612" s="255" t="str">
        <f>IFERROR(__xludf.DUMMYFUNCTION("""COMPUTED_VALUE"""),"NANO")</f>
        <v>NANO</v>
      </c>
      <c r="B612" s="23" t="str">
        <f>IFERROR(__xludf.DUMMYFUNCTION("""COMPUTED_VALUE"""),"khadijahhh2510")</f>
        <v>khadijahhh2510</v>
      </c>
      <c r="C612" s="257" t="str">
        <f>IFERROR(__xludf.DUMMYFUNCTION("""COMPUTED_VALUE"""),"https://www.tiktok.com/@khadijahhh2510")</f>
        <v>https://www.tiktok.com/@khadijahhh2510</v>
      </c>
      <c r="D612" s="23">
        <f>IFERROR(__xludf.DUMMYFUNCTION("""COMPUTED_VALUE"""),8.7763522549E10)</f>
        <v>87763522549</v>
      </c>
      <c r="E612" s="457">
        <f>IFERROR(__xludf.DUMMYFUNCTION("""COMPUTED_VALUE"""),0.0)</f>
        <v>0</v>
      </c>
      <c r="F612" s="270">
        <f>IFERROR(__xludf.DUMMYFUNCTION("""COMPUTED_VALUE"""),4.0)</f>
        <v>4</v>
      </c>
      <c r="G612" s="17" t="str">
        <f>IFERROR(__xludf.DUMMYFUNCTION("""COMPUTED_VALUE"""),"Full Set")</f>
        <v>Full Set</v>
      </c>
      <c r="H612" s="17"/>
      <c r="I612" s="262"/>
      <c r="J612" s="262"/>
      <c r="K612" s="262"/>
      <c r="L612" s="262"/>
      <c r="M612" s="262"/>
    </row>
    <row r="613">
      <c r="A613" s="255" t="str">
        <f>IFERROR(__xludf.DUMMYFUNCTION("""COMPUTED_VALUE"""),"NANO")</f>
        <v>NANO</v>
      </c>
      <c r="B613" s="23" t="str">
        <f>IFERROR(__xludf.DUMMYFUNCTION("""COMPUTED_VALUE"""),"ig.e_erisssa")</f>
        <v>ig.e_erisssa</v>
      </c>
      <c r="C613" s="257" t="str">
        <f>IFERROR(__xludf.DUMMYFUNCTION("""COMPUTED_VALUE"""),"https://www.tiktok.com/@ig.e_erisssa")</f>
        <v>https://www.tiktok.com/@ig.e_erisssa</v>
      </c>
      <c r="D613" s="23">
        <f>IFERROR(__xludf.DUMMYFUNCTION("""COMPUTED_VALUE"""),8.7842022872E10)</f>
        <v>87842022872</v>
      </c>
      <c r="E613" s="457">
        <f>IFERROR(__xludf.DUMMYFUNCTION("""COMPUTED_VALUE"""),0.0)</f>
        <v>0</v>
      </c>
      <c r="F613" s="270">
        <f>IFERROR(__xludf.DUMMYFUNCTION("""COMPUTED_VALUE"""),4.0)</f>
        <v>4</v>
      </c>
      <c r="G613" s="17" t="str">
        <f>IFERROR(__xludf.DUMMYFUNCTION("""COMPUTED_VALUE"""),"Full Set")</f>
        <v>Full Set</v>
      </c>
      <c r="H613" s="17"/>
      <c r="I613" s="262"/>
      <c r="J613" s="262"/>
      <c r="K613" s="262"/>
      <c r="L613" s="262"/>
      <c r="M613" s="262"/>
    </row>
    <row r="614">
      <c r="A614" s="255" t="str">
        <f>IFERROR(__xludf.DUMMYFUNCTION("""COMPUTED_VALUE"""),"NANO")</f>
        <v>NANO</v>
      </c>
      <c r="B614" s="23" t="str">
        <f>IFERROR(__xludf.DUMMYFUNCTION("""COMPUTED_VALUE"""),"askara_family")</f>
        <v>askara_family</v>
      </c>
      <c r="C614" s="257" t="str">
        <f>IFERROR(__xludf.DUMMYFUNCTION("""COMPUTED_VALUE"""),"https://www.tiktok.com/@askara_family")</f>
        <v>https://www.tiktok.com/@askara_family</v>
      </c>
      <c r="D614" s="23">
        <f>IFERROR(__xludf.DUMMYFUNCTION("""COMPUTED_VALUE"""),8.8212887386E10)</f>
        <v>88212887386</v>
      </c>
      <c r="E614" s="457">
        <f>IFERROR(__xludf.DUMMYFUNCTION("""COMPUTED_VALUE"""),0.0)</f>
        <v>0</v>
      </c>
      <c r="F614" s="270">
        <f>IFERROR(__xludf.DUMMYFUNCTION("""COMPUTED_VALUE"""),4.0)</f>
        <v>4</v>
      </c>
      <c r="G614" s="17" t="str">
        <f>IFERROR(__xludf.DUMMYFUNCTION("""COMPUTED_VALUE"""),"Full Set")</f>
        <v>Full Set</v>
      </c>
      <c r="H614" s="17"/>
      <c r="I614" s="278" t="str">
        <f>IFERROR(__xludf.DUMMYFUNCTION("""COMPUTED_VALUE"""),"https://www.tiktok.com/@askara_family/video/7642942894243925268?is_from_webapp=1&amp;sender_device=pc")</f>
        <v>https://www.tiktok.com/@askara_family/video/7642942894243925268?is_from_webapp=1&amp;sender_device=pc</v>
      </c>
      <c r="J614" s="278" t="str">
        <f>IFERROR(__xludf.DUMMYFUNCTION("""COMPUTED_VALUE"""),"https://www.tiktok.com/@askara_family/video/7643847731005443349?is_from_webapp=1&amp;sender_device=pc")</f>
        <v>https://www.tiktok.com/@askara_family/video/7643847731005443349?is_from_webapp=1&amp;sender_device=pc</v>
      </c>
      <c r="K614" s="262"/>
      <c r="L614" s="262"/>
      <c r="M614" s="262"/>
    </row>
    <row r="615">
      <c r="A615" s="255" t="str">
        <f>IFERROR(__xludf.DUMMYFUNCTION("""COMPUTED_VALUE"""),"MICRO")</f>
        <v>MICRO</v>
      </c>
      <c r="B615" s="23" t="str">
        <f>IFERROR(__xludf.DUMMYFUNCTION("""COMPUTED_VALUE"""),"ayutiyaz15")</f>
        <v>ayutiyaz15</v>
      </c>
      <c r="C615" s="257" t="str">
        <f>IFERROR(__xludf.DUMMYFUNCTION("""COMPUTED_VALUE"""),"https://www.tiktok.com/@ayutiyaz15")</f>
        <v>https://www.tiktok.com/@ayutiyaz15</v>
      </c>
      <c r="D615" s="23">
        <f>IFERROR(__xludf.DUMMYFUNCTION("""COMPUTED_VALUE"""),8.1311543213E10)</f>
        <v>81311543213</v>
      </c>
      <c r="E615" s="457">
        <f>IFERROR(__xludf.DUMMYFUNCTION("""COMPUTED_VALUE"""),0.0)</f>
        <v>0</v>
      </c>
      <c r="F615" s="270">
        <f>IFERROR(__xludf.DUMMYFUNCTION("""COMPUTED_VALUE"""),4.0)</f>
        <v>4</v>
      </c>
      <c r="G615" s="17" t="str">
        <f>IFERROR(__xludf.DUMMYFUNCTION("""COMPUTED_VALUE"""),"Full Set")</f>
        <v>Full Set</v>
      </c>
      <c r="H615" s="17"/>
      <c r="I615" s="262"/>
      <c r="J615" s="262"/>
      <c r="K615" s="262"/>
      <c r="L615" s="262"/>
      <c r="M615" s="262"/>
    </row>
    <row r="616">
      <c r="A616" s="255" t="str">
        <f>IFERROR(__xludf.DUMMYFUNCTION("""COMPUTED_VALUE"""),"NANO")</f>
        <v>NANO</v>
      </c>
      <c r="B616" s="23" t="str">
        <f>IFERROR(__xludf.DUMMYFUNCTION("""COMPUTED_VALUE"""),"0_0chocopie0_0")</f>
        <v>0_0chocopie0_0</v>
      </c>
      <c r="C616" s="257" t="str">
        <f>IFERROR(__xludf.DUMMYFUNCTION("""COMPUTED_VALUE"""),"https://www.tiktok.com/@0_0chocopie0_0")</f>
        <v>https://www.tiktok.com/@0_0chocopie0_0</v>
      </c>
      <c r="D616" s="23">
        <f>IFERROR(__xludf.DUMMYFUNCTION("""COMPUTED_VALUE"""),8.1572615623E10)</f>
        <v>81572615623</v>
      </c>
      <c r="E616" s="457">
        <f>IFERROR(__xludf.DUMMYFUNCTION("""COMPUTED_VALUE"""),0.0)</f>
        <v>0</v>
      </c>
      <c r="F616" s="270">
        <f>IFERROR(__xludf.DUMMYFUNCTION("""COMPUTED_VALUE"""),4.0)</f>
        <v>4</v>
      </c>
      <c r="G616" s="17" t="str">
        <f>IFERROR(__xludf.DUMMYFUNCTION("""COMPUTED_VALUE"""),"Full Set")</f>
        <v>Full Set</v>
      </c>
      <c r="H616" s="17"/>
      <c r="I616" s="262"/>
      <c r="J616" s="262"/>
      <c r="K616" s="262"/>
      <c r="L616" s="262"/>
      <c r="M616" s="262"/>
    </row>
    <row r="617">
      <c r="A617" s="255" t="str">
        <f>IFERROR(__xludf.DUMMYFUNCTION("""COMPUTED_VALUE"""),"NANO")</f>
        <v>NANO</v>
      </c>
      <c r="B617" s="23" t="str">
        <f>IFERROR(__xludf.DUMMYFUNCTION("""COMPUTED_VALUE"""),"littledumpbb ")</f>
        <v>littledumpbb </v>
      </c>
      <c r="C617" s="257" t="str">
        <f>IFERROR(__xludf.DUMMYFUNCTION("""COMPUTED_VALUE"""),"https://www.tiktok.com/@littledumpbb ")</f>
        <v>https://www.tiktok.com/@littledumpbb </v>
      </c>
      <c r="D617" s="23">
        <f>IFERROR(__xludf.DUMMYFUNCTION("""COMPUTED_VALUE"""),8.2268305015E10)</f>
        <v>82268305015</v>
      </c>
      <c r="E617" s="457">
        <f>IFERROR(__xludf.DUMMYFUNCTION("""COMPUTED_VALUE"""),0.0)</f>
        <v>0</v>
      </c>
      <c r="F617" s="270">
        <f>IFERROR(__xludf.DUMMYFUNCTION("""COMPUTED_VALUE"""),4.0)</f>
        <v>4</v>
      </c>
      <c r="G617" s="17" t="str">
        <f>IFERROR(__xludf.DUMMYFUNCTION("""COMPUTED_VALUE"""),"Full Set")</f>
        <v>Full Set</v>
      </c>
      <c r="H617" s="17"/>
      <c r="I617" s="262"/>
      <c r="J617" s="262"/>
      <c r="K617" s="262"/>
      <c r="L617" s="262"/>
      <c r="M617" s="262"/>
    </row>
    <row r="618">
      <c r="A618" s="255" t="str">
        <f>IFERROR(__xludf.DUMMYFUNCTION("""COMPUTED_VALUE"""),"NANO")</f>
        <v>NANO</v>
      </c>
      <c r="B618" s="23" t="str">
        <f>IFERROR(__xludf.DUMMYFUNCTION("""COMPUTED_VALUE"""),"Spalspill.1512")</f>
        <v>Spalspill.1512</v>
      </c>
      <c r="C618" s="257" t="str">
        <f>IFERROR(__xludf.DUMMYFUNCTION("""COMPUTED_VALUE"""),"https://www.tiktok.com/@Spalspill.1512")</f>
        <v>https://www.tiktok.com/@Spalspill.1512</v>
      </c>
      <c r="D618" s="23">
        <f>IFERROR(__xludf.DUMMYFUNCTION("""COMPUTED_VALUE"""),8.5845174063E10)</f>
        <v>85845174063</v>
      </c>
      <c r="E618" s="457">
        <f>IFERROR(__xludf.DUMMYFUNCTION("""COMPUTED_VALUE"""),0.0)</f>
        <v>0</v>
      </c>
      <c r="F618" s="270">
        <f>IFERROR(__xludf.DUMMYFUNCTION("""COMPUTED_VALUE"""),4.0)</f>
        <v>4</v>
      </c>
      <c r="G618" s="17" t="str">
        <f>IFERROR(__xludf.DUMMYFUNCTION("""COMPUTED_VALUE"""),"Full Set")</f>
        <v>Full Set</v>
      </c>
      <c r="H618" s="17"/>
      <c r="I618" s="278" t="str">
        <f>IFERROR(__xludf.DUMMYFUNCTION("""COMPUTED_VALUE"""),"https://www.tiktok.com/@spalspill.1512/video/7643821628413021460?is_from_webapp=1&amp;sender_device=pc")</f>
        <v>https://www.tiktok.com/@spalspill.1512/video/7643821628413021460?is_from_webapp=1&amp;sender_device=pc</v>
      </c>
      <c r="J618" s="278" t="str">
        <f>IFERROR(__xludf.DUMMYFUNCTION("""COMPUTED_VALUE"""),"https://www.tiktok.com/@spalspill.1512/video/7644070051133328660?is_from_webapp=1&amp;sender_device=pc")</f>
        <v>https://www.tiktok.com/@spalspill.1512/video/7644070051133328660?is_from_webapp=1&amp;sender_device=pc</v>
      </c>
      <c r="K618" s="262"/>
      <c r="L618" s="262"/>
      <c r="M618" s="262"/>
    </row>
    <row r="619">
      <c r="A619" s="255" t="str">
        <f>IFERROR(__xludf.DUMMYFUNCTION("""COMPUTED_VALUE"""),"NANO")</f>
        <v>NANO</v>
      </c>
      <c r="B619" s="23" t="str">
        <f>IFERROR(__xludf.DUMMYFUNCTION("""COMPUTED_VALUE"""),"fidifada")</f>
        <v>fidifada</v>
      </c>
      <c r="C619" s="257" t="str">
        <f>IFERROR(__xludf.DUMMYFUNCTION("""COMPUTED_VALUE"""),"https://www.tiktok.com/@fidifada")</f>
        <v>https://www.tiktok.com/@fidifada</v>
      </c>
      <c r="D619" s="23">
        <f>IFERROR(__xludf.DUMMYFUNCTION("""COMPUTED_VALUE"""),8.1235643571E10)</f>
        <v>81235643571</v>
      </c>
      <c r="E619" s="457">
        <f>IFERROR(__xludf.DUMMYFUNCTION("""COMPUTED_VALUE"""),0.0)</f>
        <v>0</v>
      </c>
      <c r="F619" s="270">
        <f>IFERROR(__xludf.DUMMYFUNCTION("""COMPUTED_VALUE"""),4.0)</f>
        <v>4</v>
      </c>
      <c r="G619" s="17" t="str">
        <f>IFERROR(__xludf.DUMMYFUNCTION("""COMPUTED_VALUE"""),"Full Set")</f>
        <v>Full Set</v>
      </c>
      <c r="H619" s="17"/>
      <c r="I619" s="262"/>
      <c r="J619" s="262"/>
      <c r="K619" s="262"/>
      <c r="L619" s="262"/>
      <c r="M619" s="262"/>
    </row>
    <row r="620">
      <c r="A620" s="255" t="str">
        <f>IFERROR(__xludf.DUMMYFUNCTION("""COMPUTED_VALUE"""),"NANO")</f>
        <v>NANO</v>
      </c>
      <c r="B620" s="23" t="str">
        <f>IFERROR(__xludf.DUMMYFUNCTION("""COMPUTED_VALUE"""),"atikanurul26")</f>
        <v>atikanurul26</v>
      </c>
      <c r="C620" s="257" t="str">
        <f>IFERROR(__xludf.DUMMYFUNCTION("""COMPUTED_VALUE"""),"https://www.tiktok.com/@atikanurul26")</f>
        <v>https://www.tiktok.com/@atikanurul26</v>
      </c>
      <c r="D620" s="23">
        <f>IFERROR(__xludf.DUMMYFUNCTION("""COMPUTED_VALUE"""),8.2287453489E10)</f>
        <v>82287453489</v>
      </c>
      <c r="E620" s="457">
        <f>IFERROR(__xludf.DUMMYFUNCTION("""COMPUTED_VALUE"""),0.0)</f>
        <v>0</v>
      </c>
      <c r="F620" s="270">
        <f>IFERROR(__xludf.DUMMYFUNCTION("""COMPUTED_VALUE"""),4.0)</f>
        <v>4</v>
      </c>
      <c r="G620" s="17" t="str">
        <f>IFERROR(__xludf.DUMMYFUNCTION("""COMPUTED_VALUE"""),"Full Set")</f>
        <v>Full Set</v>
      </c>
      <c r="H620" s="17"/>
      <c r="I620" s="262"/>
      <c r="J620" s="262"/>
      <c r="K620" s="262"/>
      <c r="L620" s="262"/>
      <c r="M620" s="262"/>
    </row>
    <row r="621">
      <c r="A621" s="255" t="str">
        <f>IFERROR(__xludf.DUMMYFUNCTION("""COMPUTED_VALUE"""),"NANO")</f>
        <v>NANO</v>
      </c>
      <c r="B621" s="23" t="str">
        <f>IFERROR(__xludf.DUMMYFUNCTION("""COMPUTED_VALUE"""),"Dedea_scha")</f>
        <v>Dedea_scha</v>
      </c>
      <c r="C621" s="257" t="str">
        <f>IFERROR(__xludf.DUMMYFUNCTION("""COMPUTED_VALUE"""),"https://www.tiktok.com/@Dedea_scha")</f>
        <v>https://www.tiktok.com/@Dedea_scha</v>
      </c>
      <c r="D621" s="23">
        <f>IFERROR(__xludf.DUMMYFUNCTION("""COMPUTED_VALUE"""),8.5366873165E10)</f>
        <v>85366873165</v>
      </c>
      <c r="E621" s="457">
        <f>IFERROR(__xludf.DUMMYFUNCTION("""COMPUTED_VALUE"""),0.0)</f>
        <v>0</v>
      </c>
      <c r="F621" s="270">
        <f>IFERROR(__xludf.DUMMYFUNCTION("""COMPUTED_VALUE"""),4.0)</f>
        <v>4</v>
      </c>
      <c r="G621" s="17" t="str">
        <f>IFERROR(__xludf.DUMMYFUNCTION("""COMPUTED_VALUE"""),"Full Set")</f>
        <v>Full Set</v>
      </c>
      <c r="H621" s="17"/>
      <c r="I621" s="262"/>
      <c r="J621" s="262"/>
      <c r="K621" s="262"/>
      <c r="L621" s="262"/>
      <c r="M621" s="262"/>
    </row>
    <row r="622">
      <c r="A622" s="255" t="str">
        <f>IFERROR(__xludf.DUMMYFUNCTION("""COMPUTED_VALUE"""),"NANO")</f>
        <v>NANO</v>
      </c>
      <c r="B622" s="23" t="str">
        <f>IFERROR(__xludf.DUMMYFUNCTION("""COMPUTED_VALUE"""),"Siifarain")</f>
        <v>Siifarain</v>
      </c>
      <c r="C622" s="257" t="str">
        <f>IFERROR(__xludf.DUMMYFUNCTION("""COMPUTED_VALUE"""),"https://www.tiktok.com/@Siifarain")</f>
        <v>https://www.tiktok.com/@Siifarain</v>
      </c>
      <c r="D622" s="23">
        <f>IFERROR(__xludf.DUMMYFUNCTION("""COMPUTED_VALUE"""),8.2142488369E10)</f>
        <v>82142488369</v>
      </c>
      <c r="E622" s="457">
        <f>IFERROR(__xludf.DUMMYFUNCTION("""COMPUTED_VALUE"""),0.0)</f>
        <v>0</v>
      </c>
      <c r="F622" s="270">
        <f>IFERROR(__xludf.DUMMYFUNCTION("""COMPUTED_VALUE"""),4.0)</f>
        <v>4</v>
      </c>
      <c r="G622" s="17" t="str">
        <f>IFERROR(__xludf.DUMMYFUNCTION("""COMPUTED_VALUE"""),"Full Set")</f>
        <v>Full Set</v>
      </c>
      <c r="H622" s="17"/>
      <c r="I622" s="262"/>
      <c r="J622" s="262"/>
      <c r="K622" s="262"/>
      <c r="L622" s="262"/>
      <c r="M622" s="262"/>
    </row>
    <row r="623">
      <c r="A623" s="255" t="str">
        <f>IFERROR(__xludf.DUMMYFUNCTION("""COMPUTED_VALUE"""),"NANO")</f>
        <v>NANO</v>
      </c>
      <c r="B623" s="23" t="str">
        <f>IFERROR(__xludf.DUMMYFUNCTION("""COMPUTED_VALUE"""),"shinta.sabira")</f>
        <v>shinta.sabira</v>
      </c>
      <c r="C623" s="257" t="str">
        <f>IFERROR(__xludf.DUMMYFUNCTION("""COMPUTED_VALUE"""),"https://www.tiktok.com/@shinta.sabira")</f>
        <v>https://www.tiktok.com/@shinta.sabira</v>
      </c>
      <c r="D623" s="23">
        <f>IFERROR(__xludf.DUMMYFUNCTION("""COMPUTED_VALUE"""),8.3873687683E10)</f>
        <v>83873687683</v>
      </c>
      <c r="E623" s="457">
        <f>IFERROR(__xludf.DUMMYFUNCTION("""COMPUTED_VALUE"""),0.0)</f>
        <v>0</v>
      </c>
      <c r="F623" s="270">
        <f>IFERROR(__xludf.DUMMYFUNCTION("""COMPUTED_VALUE"""),4.0)</f>
        <v>4</v>
      </c>
      <c r="G623" s="17" t="str">
        <f>IFERROR(__xludf.DUMMYFUNCTION("""COMPUTED_VALUE"""),"Full Set")</f>
        <v>Full Set</v>
      </c>
      <c r="H623" s="17"/>
      <c r="I623" s="262"/>
      <c r="J623" s="262"/>
      <c r="K623" s="262"/>
      <c r="L623" s="262"/>
      <c r="M623" s="262"/>
    </row>
    <row r="624">
      <c r="A624" s="255" t="str">
        <f>IFERROR(__xludf.DUMMYFUNCTION("""COMPUTED_VALUE"""),"NANO")</f>
        <v>NANO</v>
      </c>
      <c r="B624" s="23" t="str">
        <f>IFERROR(__xludf.DUMMYFUNCTION("""COMPUTED_VALUE"""),"iniacha02")</f>
        <v>iniacha02</v>
      </c>
      <c r="C624" s="257" t="str">
        <f>IFERROR(__xludf.DUMMYFUNCTION("""COMPUTED_VALUE"""),"https://www.tiktok.com/@iniacha02")</f>
        <v>https://www.tiktok.com/@iniacha02</v>
      </c>
      <c r="D624" s="23">
        <f>IFERROR(__xludf.DUMMYFUNCTION("""COMPUTED_VALUE"""),8.1289934516E10)</f>
        <v>81289934516</v>
      </c>
      <c r="E624" s="457">
        <f>IFERROR(__xludf.DUMMYFUNCTION("""COMPUTED_VALUE"""),0.0)</f>
        <v>0</v>
      </c>
      <c r="F624" s="270">
        <f>IFERROR(__xludf.DUMMYFUNCTION("""COMPUTED_VALUE"""),4.0)</f>
        <v>4</v>
      </c>
      <c r="G624" s="17" t="str">
        <f>IFERROR(__xludf.DUMMYFUNCTION("""COMPUTED_VALUE"""),"Full Set")</f>
        <v>Full Set</v>
      </c>
      <c r="H624" s="17"/>
      <c r="I624" s="262"/>
      <c r="J624" s="262"/>
      <c r="K624" s="262"/>
      <c r="L624" s="262"/>
      <c r="M624" s="262"/>
    </row>
    <row r="625">
      <c r="A625" s="255" t="str">
        <f>IFERROR(__xludf.DUMMYFUNCTION("""COMPUTED_VALUE"""),"NANO")</f>
        <v>NANO</v>
      </c>
      <c r="B625" s="23" t="str">
        <f>IFERROR(__xludf.DUMMYFUNCTION("""COMPUTED_VALUE"""),"Hikiia_")</f>
        <v>Hikiia_</v>
      </c>
      <c r="C625" s="257" t="str">
        <f>IFERROR(__xludf.DUMMYFUNCTION("""COMPUTED_VALUE"""),"https://www.tiktok.com/@Hikiia_")</f>
        <v>https://www.tiktok.com/@Hikiia_</v>
      </c>
      <c r="D625" s="23">
        <f>IFERROR(__xludf.DUMMYFUNCTION("""COMPUTED_VALUE"""),8.5860910996E10)</f>
        <v>85860910996</v>
      </c>
      <c r="E625" s="457">
        <f>IFERROR(__xludf.DUMMYFUNCTION("""COMPUTED_VALUE"""),0.0)</f>
        <v>0</v>
      </c>
      <c r="F625" s="270">
        <f>IFERROR(__xludf.DUMMYFUNCTION("""COMPUTED_VALUE"""),4.0)</f>
        <v>4</v>
      </c>
      <c r="G625" s="17" t="str">
        <f>IFERROR(__xludf.DUMMYFUNCTION("""COMPUTED_VALUE"""),"Full Set")</f>
        <v>Full Set</v>
      </c>
      <c r="H625" s="17"/>
      <c r="I625" s="262"/>
      <c r="J625" s="262"/>
      <c r="K625" s="262"/>
      <c r="L625" s="262"/>
      <c r="M625" s="262"/>
    </row>
    <row r="626">
      <c r="A626" s="255" t="str">
        <f>IFERROR(__xludf.DUMMYFUNCTION("""COMPUTED_VALUE"""),"NANO")</f>
        <v>NANO</v>
      </c>
      <c r="B626" s="23" t="str">
        <f>IFERROR(__xludf.DUMMYFUNCTION("""COMPUTED_VALUE"""),"nunungnurhayatii_1")</f>
        <v>nunungnurhayatii_1</v>
      </c>
      <c r="C626" s="257" t="str">
        <f>IFERROR(__xludf.DUMMYFUNCTION("""COMPUTED_VALUE"""),"https://www.tiktok.com/@nunungnurhayatii_1")</f>
        <v>https://www.tiktok.com/@nunungnurhayatii_1</v>
      </c>
      <c r="D626" s="23">
        <f>IFERROR(__xludf.DUMMYFUNCTION("""COMPUTED_VALUE"""),8.5749625239E10)</f>
        <v>85749625239</v>
      </c>
      <c r="E626" s="457">
        <f>IFERROR(__xludf.DUMMYFUNCTION("""COMPUTED_VALUE"""),0.0)</f>
        <v>0</v>
      </c>
      <c r="F626" s="270">
        <f>IFERROR(__xludf.DUMMYFUNCTION("""COMPUTED_VALUE"""),4.0)</f>
        <v>4</v>
      </c>
      <c r="G626" s="17" t="str">
        <f>IFERROR(__xludf.DUMMYFUNCTION("""COMPUTED_VALUE"""),"Full Set")</f>
        <v>Full Set</v>
      </c>
      <c r="H626" s="17"/>
      <c r="I626" s="262"/>
      <c r="J626" s="262"/>
      <c r="K626" s="262"/>
      <c r="L626" s="262"/>
      <c r="M626" s="262"/>
    </row>
    <row r="627">
      <c r="A627" s="255" t="str">
        <f>IFERROR(__xludf.DUMMYFUNCTION("""COMPUTED_VALUE"""),"NANO")</f>
        <v>NANO</v>
      </c>
      <c r="B627" s="23" t="str">
        <f>IFERROR(__xludf.DUMMYFUNCTION("""COMPUTED_VALUE"""),"ninaoele ")</f>
        <v>ninaoele </v>
      </c>
      <c r="C627" s="257" t="str">
        <f>IFERROR(__xludf.DUMMYFUNCTION("""COMPUTED_VALUE"""),"https://www.tiktok.com/@ninaoele ")</f>
        <v>https://www.tiktok.com/@ninaoele </v>
      </c>
      <c r="D627" s="23">
        <f>IFERROR(__xludf.DUMMYFUNCTION("""COMPUTED_VALUE"""),8.2110085656E10)</f>
        <v>82110085656</v>
      </c>
      <c r="E627" s="457">
        <f>IFERROR(__xludf.DUMMYFUNCTION("""COMPUTED_VALUE"""),0.0)</f>
        <v>0</v>
      </c>
      <c r="F627" s="270">
        <f>IFERROR(__xludf.DUMMYFUNCTION("""COMPUTED_VALUE"""),4.0)</f>
        <v>4</v>
      </c>
      <c r="G627" s="17" t="str">
        <f>IFERROR(__xludf.DUMMYFUNCTION("""COMPUTED_VALUE"""),"Full Set")</f>
        <v>Full Set</v>
      </c>
      <c r="H627" s="17"/>
      <c r="I627" s="278" t="str">
        <f>IFERROR(__xludf.DUMMYFUNCTION("""COMPUTED_VALUE"""),"https://www.tiktok.com/@ninaoele/video/7643117441723288853?is_from_webapp=1&amp;sender_device=pc")</f>
        <v>https://www.tiktok.com/@ninaoele/video/7643117441723288853?is_from_webapp=1&amp;sender_device=pc</v>
      </c>
      <c r="J627" s="262"/>
      <c r="K627" s="262"/>
      <c r="L627" s="262"/>
      <c r="M627" s="262"/>
    </row>
    <row r="628">
      <c r="A628" s="255" t="str">
        <f>IFERROR(__xludf.DUMMYFUNCTION("""COMPUTED_VALUE"""),"NANO")</f>
        <v>NANO</v>
      </c>
      <c r="B628" s="23" t="str">
        <f>IFERROR(__xludf.DUMMYFUNCTION("""COMPUTED_VALUE"""),"arumihwd.18")</f>
        <v>arumihwd.18</v>
      </c>
      <c r="C628" s="257" t="str">
        <f>IFERROR(__xludf.DUMMYFUNCTION("""COMPUTED_VALUE"""),"https://www.tiktok.com/@arumihwd.18")</f>
        <v>https://www.tiktok.com/@arumihwd.18</v>
      </c>
      <c r="D628" s="23">
        <f>IFERROR(__xludf.DUMMYFUNCTION("""COMPUTED_VALUE"""),8.2192446171E10)</f>
        <v>82192446171</v>
      </c>
      <c r="E628" s="457">
        <f>IFERROR(__xludf.DUMMYFUNCTION("""COMPUTED_VALUE"""),0.0)</f>
        <v>0</v>
      </c>
      <c r="F628" s="270">
        <f>IFERROR(__xludf.DUMMYFUNCTION("""COMPUTED_VALUE"""),4.0)</f>
        <v>4</v>
      </c>
      <c r="G628" s="17" t="str">
        <f>IFERROR(__xludf.DUMMYFUNCTION("""COMPUTED_VALUE"""),"Full Set")</f>
        <v>Full Set</v>
      </c>
      <c r="H628" s="17"/>
      <c r="I628" s="262"/>
      <c r="J628" s="262"/>
      <c r="K628" s="262"/>
      <c r="L628" s="262"/>
      <c r="M628" s="262"/>
    </row>
    <row r="629">
      <c r="A629" s="255" t="str">
        <f>IFERROR(__xludf.DUMMYFUNCTION("""COMPUTED_VALUE"""),"NANO")</f>
        <v>NANO</v>
      </c>
      <c r="B629" s="23" t="str">
        <f>IFERROR(__xludf.DUMMYFUNCTION("""COMPUTED_VALUE"""),"Glowlahhh")</f>
        <v>Glowlahhh</v>
      </c>
      <c r="C629" s="257" t="str">
        <f>IFERROR(__xludf.DUMMYFUNCTION("""COMPUTED_VALUE"""),"https://www.tiktok.com/@Glowlahhh")</f>
        <v>https://www.tiktok.com/@Glowlahhh</v>
      </c>
      <c r="D629" s="23">
        <f>IFERROR(__xludf.DUMMYFUNCTION("""COMPUTED_VALUE"""),8.7766592931E10)</f>
        <v>87766592931</v>
      </c>
      <c r="E629" s="457">
        <f>IFERROR(__xludf.DUMMYFUNCTION("""COMPUTED_VALUE"""),0.0)</f>
        <v>0</v>
      </c>
      <c r="F629" s="270">
        <f>IFERROR(__xludf.DUMMYFUNCTION("""COMPUTED_VALUE"""),4.0)</f>
        <v>4</v>
      </c>
      <c r="G629" s="17" t="str">
        <f>IFERROR(__xludf.DUMMYFUNCTION("""COMPUTED_VALUE"""),"Full Set")</f>
        <v>Full Set</v>
      </c>
      <c r="H629" s="17"/>
      <c r="I629" s="278" t="str">
        <f>IFERROR(__xludf.DUMMYFUNCTION("""COMPUTED_VALUE"""),"https://www.tiktok.com/@glowlahhh/video/7643620297844804871?is_from_webapp=1&amp;sender_device=pc")</f>
        <v>https://www.tiktok.com/@glowlahhh/video/7643620297844804871?is_from_webapp=1&amp;sender_device=pc</v>
      </c>
      <c r="J629" s="278" t="str">
        <f>IFERROR(__xludf.DUMMYFUNCTION("""COMPUTED_VALUE"""),"https://www.tiktok.com/@glowlahhh/video/7643686985235746055?is_from_webapp=1&amp;sender_device=pc")</f>
        <v>https://www.tiktok.com/@glowlahhh/video/7643686985235746055?is_from_webapp=1&amp;sender_device=pc</v>
      </c>
      <c r="K629" s="262"/>
      <c r="L629" s="262"/>
      <c r="M629" s="262"/>
    </row>
    <row r="630">
      <c r="A630" s="255" t="str">
        <f>IFERROR(__xludf.DUMMYFUNCTION("""COMPUTED_VALUE"""),"NANO")</f>
        <v>NANO</v>
      </c>
      <c r="B630" s="23" t="str">
        <f>IFERROR(__xludf.DUMMYFUNCTION("""COMPUTED_VALUE"""),"nnv427")</f>
        <v>nnv427</v>
      </c>
      <c r="C630" s="257" t="str">
        <f>IFERROR(__xludf.DUMMYFUNCTION("""COMPUTED_VALUE"""),"https://www.tiktok.com/@nnv427")</f>
        <v>https://www.tiktok.com/@nnv427</v>
      </c>
      <c r="D630" s="23">
        <f>IFERROR(__xludf.DUMMYFUNCTION("""COMPUTED_VALUE"""),8.5601957967E10)</f>
        <v>85601957967</v>
      </c>
      <c r="E630" s="457">
        <f>IFERROR(__xludf.DUMMYFUNCTION("""COMPUTED_VALUE"""),0.0)</f>
        <v>0</v>
      </c>
      <c r="F630" s="270">
        <f>IFERROR(__xludf.DUMMYFUNCTION("""COMPUTED_VALUE"""),4.0)</f>
        <v>4</v>
      </c>
      <c r="G630" s="17" t="str">
        <f>IFERROR(__xludf.DUMMYFUNCTION("""COMPUTED_VALUE"""),"Full Set")</f>
        <v>Full Set</v>
      </c>
      <c r="H630" s="17"/>
      <c r="I630" s="278" t="str">
        <f>IFERROR(__xludf.DUMMYFUNCTION("""COMPUTED_VALUE"""),"https://www.tiktok.com/@nnv427/video/7643958382142983442?is_from_webapp=1&amp;sender_device=pc")</f>
        <v>https://www.tiktok.com/@nnv427/video/7643958382142983442?is_from_webapp=1&amp;sender_device=pc</v>
      </c>
      <c r="J630" s="262"/>
      <c r="K630" s="262"/>
      <c r="L630" s="262"/>
      <c r="M630" s="262"/>
    </row>
    <row r="631">
      <c r="A631" s="255" t="str">
        <f>IFERROR(__xludf.DUMMYFUNCTION("""COMPUTED_VALUE"""),"NANO")</f>
        <v>NANO</v>
      </c>
      <c r="B631" s="23" t="str">
        <f>IFERROR(__xludf.DUMMYFUNCTION("""COMPUTED_VALUE"""),"noviarisky__")</f>
        <v>noviarisky__</v>
      </c>
      <c r="C631" s="257" t="str">
        <f>IFERROR(__xludf.DUMMYFUNCTION("""COMPUTED_VALUE"""),"https://www.tiktok.com/@noviarisky__")</f>
        <v>https://www.tiktok.com/@noviarisky__</v>
      </c>
      <c r="D631" s="23">
        <f>IFERROR(__xludf.DUMMYFUNCTION("""COMPUTED_VALUE"""),8.5173047422E10)</f>
        <v>85173047422</v>
      </c>
      <c r="E631" s="457">
        <f>IFERROR(__xludf.DUMMYFUNCTION("""COMPUTED_VALUE"""),0.0)</f>
        <v>0</v>
      </c>
      <c r="F631" s="270">
        <f>IFERROR(__xludf.DUMMYFUNCTION("""COMPUTED_VALUE"""),4.0)</f>
        <v>4</v>
      </c>
      <c r="G631" s="17" t="str">
        <f>IFERROR(__xludf.DUMMYFUNCTION("""COMPUTED_VALUE"""),"Full Set")</f>
        <v>Full Set</v>
      </c>
      <c r="H631" s="17"/>
      <c r="I631" s="278" t="str">
        <f>IFERROR(__xludf.DUMMYFUNCTION("""COMPUTED_VALUE"""),"https://www.tiktok.com/@noviarisky__/video/7642238658715602196?is_from_webapp=1&amp;sender_device=pc")</f>
        <v>https://www.tiktok.com/@noviarisky__/video/7642238658715602196?is_from_webapp=1&amp;sender_device=pc</v>
      </c>
      <c r="J631" s="278" t="str">
        <f>IFERROR(__xludf.DUMMYFUNCTION("""COMPUTED_VALUE"""),"https://www.tiktok.com/@noviarisky__/video/7642682011466910997?is_from_webapp=1&amp;sender_device=pc")</f>
        <v>https://www.tiktok.com/@noviarisky__/video/7642682011466910997?is_from_webapp=1&amp;sender_device=pc</v>
      </c>
      <c r="K631" s="262"/>
      <c r="L631" s="262"/>
      <c r="M631" s="262"/>
    </row>
    <row r="632">
      <c r="A632" s="255" t="str">
        <f>IFERROR(__xludf.DUMMYFUNCTION("""COMPUTED_VALUE"""),"NANO")</f>
        <v>NANO</v>
      </c>
      <c r="B632" s="23" t="str">
        <f>IFERROR(__xludf.DUMMYFUNCTION("""COMPUTED_VALUE"""),"nabilalaqdr")</f>
        <v>nabilalaqdr</v>
      </c>
      <c r="C632" s="257" t="str">
        <f>IFERROR(__xludf.DUMMYFUNCTION("""COMPUTED_VALUE"""),"https://www.tiktok.com/@nabilalaqdr")</f>
        <v>https://www.tiktok.com/@nabilalaqdr</v>
      </c>
      <c r="D632" s="23">
        <f>IFERROR(__xludf.DUMMYFUNCTION("""COMPUTED_VALUE"""),8.9503904936E10)</f>
        <v>89503904936</v>
      </c>
      <c r="E632" s="457">
        <f>IFERROR(__xludf.DUMMYFUNCTION("""COMPUTED_VALUE"""),0.0)</f>
        <v>0</v>
      </c>
      <c r="F632" s="270">
        <f>IFERROR(__xludf.DUMMYFUNCTION("""COMPUTED_VALUE"""),4.0)</f>
        <v>4</v>
      </c>
      <c r="G632" s="17" t="str">
        <f>IFERROR(__xludf.DUMMYFUNCTION("""COMPUTED_VALUE"""),"Full Set")</f>
        <v>Full Set</v>
      </c>
      <c r="H632" s="17"/>
      <c r="I632" s="262"/>
      <c r="J632" s="262"/>
      <c r="K632" s="262"/>
      <c r="L632" s="262"/>
      <c r="M632" s="262"/>
    </row>
    <row r="633">
      <c r="A633" s="255" t="str">
        <f>IFERROR(__xludf.DUMMYFUNCTION("""COMPUTED_VALUE"""),"NANO")</f>
        <v>NANO</v>
      </c>
      <c r="B633" s="23" t="str">
        <f>IFERROR(__xludf.DUMMYFUNCTION("""COMPUTED_VALUE"""),"Hunnycaraa")</f>
        <v>Hunnycaraa</v>
      </c>
      <c r="C633" s="257" t="str">
        <f>IFERROR(__xludf.DUMMYFUNCTION("""COMPUTED_VALUE"""),"https://www.tiktok.com/@Hunnycaraa")</f>
        <v>https://www.tiktok.com/@Hunnycaraa</v>
      </c>
      <c r="D633" s="23">
        <f>IFERROR(__xludf.DUMMYFUNCTION("""COMPUTED_VALUE"""),8.3179529677E10)</f>
        <v>83179529677</v>
      </c>
      <c r="E633" s="457">
        <f>IFERROR(__xludf.DUMMYFUNCTION("""COMPUTED_VALUE"""),0.0)</f>
        <v>0</v>
      </c>
      <c r="F633" s="270">
        <f>IFERROR(__xludf.DUMMYFUNCTION("""COMPUTED_VALUE"""),4.0)</f>
        <v>4</v>
      </c>
      <c r="G633" s="17" t="str">
        <f>IFERROR(__xludf.DUMMYFUNCTION("""COMPUTED_VALUE"""),"Full Set")</f>
        <v>Full Set</v>
      </c>
      <c r="H633" s="17"/>
      <c r="I633" s="262"/>
      <c r="J633" s="262"/>
      <c r="K633" s="262"/>
      <c r="L633" s="262"/>
      <c r="M633" s="262"/>
    </row>
    <row r="634">
      <c r="A634" s="255" t="str">
        <f>IFERROR(__xludf.DUMMYFUNCTION("""COMPUTED_VALUE"""),"NANO")</f>
        <v>NANO</v>
      </c>
      <c r="B634" s="23" t="str">
        <f>IFERROR(__xludf.DUMMYFUNCTION("""COMPUTED_VALUE"""),"spill.byzee")</f>
        <v>spill.byzee</v>
      </c>
      <c r="C634" s="257" t="str">
        <f>IFERROR(__xludf.DUMMYFUNCTION("""COMPUTED_VALUE"""),"https://www.tiktok.com/@spill.byzee")</f>
        <v>https://www.tiktok.com/@spill.byzee</v>
      </c>
      <c r="D634" s="23">
        <f>IFERROR(__xludf.DUMMYFUNCTION("""COMPUTED_VALUE"""),8.95320684785E11)</f>
        <v>895320684785</v>
      </c>
      <c r="E634" s="457">
        <f>IFERROR(__xludf.DUMMYFUNCTION("""COMPUTED_VALUE"""),0.0)</f>
        <v>0</v>
      </c>
      <c r="F634" s="270">
        <f>IFERROR(__xludf.DUMMYFUNCTION("""COMPUTED_VALUE"""),4.0)</f>
        <v>4</v>
      </c>
      <c r="G634" s="17" t="str">
        <f>IFERROR(__xludf.DUMMYFUNCTION("""COMPUTED_VALUE"""),"Full Set")</f>
        <v>Full Set</v>
      </c>
      <c r="H634" s="17"/>
      <c r="I634" s="278" t="str">
        <f>IFERROR(__xludf.DUMMYFUNCTION("""COMPUTED_VALUE"""),"https://www.tiktok.com/@spill.byzee/video/7643129637752573205?is_from_webapp=1&amp;sender_device=pc")</f>
        <v>https://www.tiktok.com/@spill.byzee/video/7643129637752573205?is_from_webapp=1&amp;sender_device=pc</v>
      </c>
      <c r="J634" s="262"/>
      <c r="K634" s="262"/>
      <c r="L634" s="262"/>
      <c r="M634" s="262"/>
    </row>
    <row r="635">
      <c r="A635" s="255" t="str">
        <f>IFERROR(__xludf.DUMMYFUNCTION("""COMPUTED_VALUE"""),"MICRO")</f>
        <v>MICRO</v>
      </c>
      <c r="B635" s="23" t="str">
        <f>IFERROR(__xludf.DUMMYFUNCTION("""COMPUTED_VALUE"""),"bukan_citygirllllllll")</f>
        <v>bukan_citygirllllllll</v>
      </c>
      <c r="C635" s="257" t="str">
        <f>IFERROR(__xludf.DUMMYFUNCTION("""COMPUTED_VALUE"""),"https://www.tiktok.com/@bukan_citygirllllllll")</f>
        <v>https://www.tiktok.com/@bukan_citygirllllllll</v>
      </c>
      <c r="D635" s="23">
        <f>IFERROR(__xludf.DUMMYFUNCTION("""COMPUTED_VALUE"""),8.3877902049E10)</f>
        <v>83877902049</v>
      </c>
      <c r="E635" s="457">
        <f>IFERROR(__xludf.DUMMYFUNCTION("""COMPUTED_VALUE"""),0.0)</f>
        <v>0</v>
      </c>
      <c r="F635" s="270">
        <f>IFERROR(__xludf.DUMMYFUNCTION("""COMPUTED_VALUE"""),4.0)</f>
        <v>4</v>
      </c>
      <c r="G635" s="17" t="str">
        <f>IFERROR(__xludf.DUMMYFUNCTION("""COMPUTED_VALUE"""),"Full Set")</f>
        <v>Full Set</v>
      </c>
      <c r="H635" s="17"/>
      <c r="I635" s="262"/>
      <c r="J635" s="262"/>
      <c r="K635" s="262"/>
      <c r="L635" s="262"/>
      <c r="M635" s="262"/>
    </row>
    <row r="636">
      <c r="A636" s="255" t="str">
        <f>IFERROR(__xludf.DUMMYFUNCTION("""COMPUTED_VALUE"""),"NANO")</f>
        <v>NANO</v>
      </c>
      <c r="B636" s="23" t="str">
        <f>IFERROR(__xludf.DUMMYFUNCTION("""COMPUTED_VALUE"""),"demosaic")</f>
        <v>demosaic</v>
      </c>
      <c r="C636" s="257" t="str">
        <f>IFERROR(__xludf.DUMMYFUNCTION("""COMPUTED_VALUE"""),"https://www.tiktok.com/@demosaic")</f>
        <v>https://www.tiktok.com/@demosaic</v>
      </c>
      <c r="D636" s="23">
        <f>IFERROR(__xludf.DUMMYFUNCTION("""COMPUTED_VALUE"""),8.5394564442E10)</f>
        <v>85394564442</v>
      </c>
      <c r="E636" s="457">
        <f>IFERROR(__xludf.DUMMYFUNCTION("""COMPUTED_VALUE"""),0.0)</f>
        <v>0</v>
      </c>
      <c r="F636" s="270">
        <f>IFERROR(__xludf.DUMMYFUNCTION("""COMPUTED_VALUE"""),4.0)</f>
        <v>4</v>
      </c>
      <c r="G636" s="17" t="str">
        <f>IFERROR(__xludf.DUMMYFUNCTION("""COMPUTED_VALUE"""),"Full Set")</f>
        <v>Full Set</v>
      </c>
      <c r="H636" s="17"/>
      <c r="I636" s="262"/>
      <c r="J636" s="262"/>
      <c r="K636" s="262"/>
      <c r="L636" s="262"/>
      <c r="M636" s="262"/>
    </row>
    <row r="637">
      <c r="A637" s="255" t="str">
        <f>IFERROR(__xludf.DUMMYFUNCTION("""COMPUTED_VALUE"""),"NANO")</f>
        <v>NANO</v>
      </c>
      <c r="B637" s="23" t="str">
        <f>IFERROR(__xludf.DUMMYFUNCTION("""COMPUTED_VALUE"""),"Ayuliewahyuni ")</f>
        <v>Ayuliewahyuni </v>
      </c>
      <c r="C637" s="257" t="str">
        <f>IFERROR(__xludf.DUMMYFUNCTION("""COMPUTED_VALUE"""),"https://www.tiktok.com/@Ayuliewahyuni ")</f>
        <v>https://www.tiktok.com/@Ayuliewahyuni </v>
      </c>
      <c r="D637" s="23">
        <f>IFERROR(__xludf.DUMMYFUNCTION("""COMPUTED_VALUE"""),8.9693599914E10)</f>
        <v>89693599914</v>
      </c>
      <c r="E637" s="457">
        <f>IFERROR(__xludf.DUMMYFUNCTION("""COMPUTED_VALUE"""),0.0)</f>
        <v>0</v>
      </c>
      <c r="F637" s="270">
        <f>IFERROR(__xludf.DUMMYFUNCTION("""COMPUTED_VALUE"""),4.0)</f>
        <v>4</v>
      </c>
      <c r="G637" s="17" t="str">
        <f>IFERROR(__xludf.DUMMYFUNCTION("""COMPUTED_VALUE"""),"Full Set")</f>
        <v>Full Set</v>
      </c>
      <c r="H637" s="17"/>
      <c r="I637" s="262"/>
      <c r="J637" s="262"/>
      <c r="K637" s="262"/>
      <c r="L637" s="262"/>
      <c r="M637" s="262"/>
    </row>
    <row r="638">
      <c r="A638" s="255" t="str">
        <f>IFERROR(__xludf.DUMMYFUNCTION("""COMPUTED_VALUE"""),"NANO")</f>
        <v>NANO</v>
      </c>
      <c r="B638" s="23" t="str">
        <f>IFERROR(__xludf.DUMMYFUNCTION("""COMPUTED_VALUE"""),"nickeeen_dwi")</f>
        <v>nickeeen_dwi</v>
      </c>
      <c r="C638" s="257" t="str">
        <f>IFERROR(__xludf.DUMMYFUNCTION("""COMPUTED_VALUE"""),"https://www.tiktok.com/@nickeeen_dwi")</f>
        <v>https://www.tiktok.com/@nickeeen_dwi</v>
      </c>
      <c r="D638" s="23">
        <f>IFERROR(__xludf.DUMMYFUNCTION("""COMPUTED_VALUE"""),8.5888774887E10)</f>
        <v>85888774887</v>
      </c>
      <c r="E638" s="457">
        <f>IFERROR(__xludf.DUMMYFUNCTION("""COMPUTED_VALUE"""),0.0)</f>
        <v>0</v>
      </c>
      <c r="F638" s="270">
        <f>IFERROR(__xludf.DUMMYFUNCTION("""COMPUTED_VALUE"""),4.0)</f>
        <v>4</v>
      </c>
      <c r="G638" s="17" t="str">
        <f>IFERROR(__xludf.DUMMYFUNCTION("""COMPUTED_VALUE"""),"Full Set")</f>
        <v>Full Set</v>
      </c>
      <c r="H638" s="17"/>
      <c r="I638" s="278" t="str">
        <f>IFERROR(__xludf.DUMMYFUNCTION("""COMPUTED_VALUE"""),"https://www.tiktok.com/@nickeeen_dwi/video/7643041906372381968?is_from_webapp=1&amp;sender_device=pc")</f>
        <v>https://www.tiktok.com/@nickeeen_dwi/video/7643041906372381968?is_from_webapp=1&amp;sender_device=pc</v>
      </c>
      <c r="J638" s="262"/>
      <c r="K638" s="262"/>
      <c r="L638" s="262"/>
      <c r="M638" s="262"/>
    </row>
    <row r="639">
      <c r="A639" s="255" t="str">
        <f>IFERROR(__xludf.DUMMYFUNCTION("""COMPUTED_VALUE"""),"NANO")</f>
        <v>NANO</v>
      </c>
      <c r="B639" s="23" t="str">
        <f>IFERROR(__xludf.DUMMYFUNCTION("""COMPUTED_VALUE"""),"needta3")</f>
        <v>needta3</v>
      </c>
      <c r="C639" s="257" t="str">
        <f>IFERROR(__xludf.DUMMYFUNCTION("""COMPUTED_VALUE"""),"https://www.tiktok.com/@needta3")</f>
        <v>https://www.tiktok.com/@needta3</v>
      </c>
      <c r="D639" s="23">
        <f>IFERROR(__xludf.DUMMYFUNCTION("""COMPUTED_VALUE"""),8.3899969805E10)</f>
        <v>83899969805</v>
      </c>
      <c r="E639" s="457">
        <f>IFERROR(__xludf.DUMMYFUNCTION("""COMPUTED_VALUE"""),0.0)</f>
        <v>0</v>
      </c>
      <c r="F639" s="270">
        <f>IFERROR(__xludf.DUMMYFUNCTION("""COMPUTED_VALUE"""),4.0)</f>
        <v>4</v>
      </c>
      <c r="G639" s="17" t="str">
        <f>IFERROR(__xludf.DUMMYFUNCTION("""COMPUTED_VALUE"""),"Full Set")</f>
        <v>Full Set</v>
      </c>
      <c r="H639" s="17"/>
      <c r="I639" s="278" t="str">
        <f>IFERROR(__xludf.DUMMYFUNCTION("""COMPUTED_VALUE"""),"https://www.tiktok.com/@needta3/video/7643279818242411794?is_from_webapp=1&amp;sender_device=pc")</f>
        <v>https://www.tiktok.com/@needta3/video/7643279818242411794?is_from_webapp=1&amp;sender_device=pc</v>
      </c>
      <c r="J639" s="262"/>
      <c r="K639" s="262"/>
      <c r="L639" s="262"/>
      <c r="M639" s="262"/>
    </row>
    <row r="640">
      <c r="A640" s="255" t="str">
        <f>IFERROR(__xludf.DUMMYFUNCTION("""COMPUTED_VALUE"""),"NANO")</f>
        <v>NANO</v>
      </c>
      <c r="B640" s="23" t="str">
        <f>IFERROR(__xludf.DUMMYFUNCTION("""COMPUTED_VALUE"""),"cysyala")</f>
        <v>cysyala</v>
      </c>
      <c r="C640" s="257" t="str">
        <f>IFERROR(__xludf.DUMMYFUNCTION("""COMPUTED_VALUE"""),"https://www.tiktok.com/@cysyala")</f>
        <v>https://www.tiktok.com/@cysyala</v>
      </c>
      <c r="D640" s="23">
        <f>IFERROR(__xludf.DUMMYFUNCTION("""COMPUTED_VALUE"""),8.2271371446E10)</f>
        <v>82271371446</v>
      </c>
      <c r="E640" s="457">
        <f>IFERROR(__xludf.DUMMYFUNCTION("""COMPUTED_VALUE"""),0.0)</f>
        <v>0</v>
      </c>
      <c r="F640" s="270">
        <f>IFERROR(__xludf.DUMMYFUNCTION("""COMPUTED_VALUE"""),4.0)</f>
        <v>4</v>
      </c>
      <c r="G640" s="17" t="str">
        <f>IFERROR(__xludf.DUMMYFUNCTION("""COMPUTED_VALUE"""),"Full Set")</f>
        <v>Full Set</v>
      </c>
      <c r="H640" s="17"/>
      <c r="I640" s="262"/>
      <c r="J640" s="262"/>
      <c r="K640" s="262"/>
      <c r="L640" s="262"/>
      <c r="M640" s="262"/>
    </row>
    <row r="641">
      <c r="A641" s="255" t="str">
        <f>IFERROR(__xludf.DUMMYFUNCTION("""COMPUTED_VALUE"""),"MICRO")</f>
        <v>MICRO</v>
      </c>
      <c r="B641" s="23" t="str">
        <f>IFERROR(__xludf.DUMMYFUNCTION("""COMPUTED_VALUE"""),"Prety.mitaa")</f>
        <v>Prety.mitaa</v>
      </c>
      <c r="C641" s="257" t="str">
        <f>IFERROR(__xludf.DUMMYFUNCTION("""COMPUTED_VALUE"""),"https://www.tiktok.com/@Prety.mitaa")</f>
        <v>https://www.tiktok.com/@Prety.mitaa</v>
      </c>
      <c r="D641" s="23">
        <f>IFERROR(__xludf.DUMMYFUNCTION("""COMPUTED_VALUE"""),8.2135674177E10)</f>
        <v>82135674177</v>
      </c>
      <c r="E641" s="457">
        <f>IFERROR(__xludf.DUMMYFUNCTION("""COMPUTED_VALUE"""),0.0)</f>
        <v>0</v>
      </c>
      <c r="F641" s="270">
        <f>IFERROR(__xludf.DUMMYFUNCTION("""COMPUTED_VALUE"""),4.0)</f>
        <v>4</v>
      </c>
      <c r="G641" s="17" t="str">
        <f>IFERROR(__xludf.DUMMYFUNCTION("""COMPUTED_VALUE"""),"Full Set")</f>
        <v>Full Set</v>
      </c>
      <c r="H641" s="17"/>
      <c r="I641" s="262"/>
      <c r="J641" s="262"/>
      <c r="K641" s="262"/>
      <c r="L641" s="262"/>
      <c r="M641" s="262"/>
    </row>
    <row r="642">
      <c r="A642" s="255" t="str">
        <f>IFERROR(__xludf.DUMMYFUNCTION("""COMPUTED_VALUE"""),"NANO")</f>
        <v>NANO</v>
      </c>
      <c r="B642" s="23" t="str">
        <f>IFERROR(__xludf.DUMMYFUNCTION("""COMPUTED_VALUE"""),"hi.inijiyan2")</f>
        <v>hi.inijiyan2</v>
      </c>
      <c r="C642" s="257" t="str">
        <f>IFERROR(__xludf.DUMMYFUNCTION("""COMPUTED_VALUE"""),"https://www.tiktok.com/@hi.inijiyan2")</f>
        <v>https://www.tiktok.com/@hi.inijiyan2</v>
      </c>
      <c r="D642" s="23">
        <f>IFERROR(__xludf.DUMMYFUNCTION("""COMPUTED_VALUE"""),8.3161147091E10)</f>
        <v>83161147091</v>
      </c>
      <c r="E642" s="457">
        <f>IFERROR(__xludf.DUMMYFUNCTION("""COMPUTED_VALUE"""),0.0)</f>
        <v>0</v>
      </c>
      <c r="F642" s="270">
        <f>IFERROR(__xludf.DUMMYFUNCTION("""COMPUTED_VALUE"""),4.0)</f>
        <v>4</v>
      </c>
      <c r="G642" s="17" t="str">
        <f>IFERROR(__xludf.DUMMYFUNCTION("""COMPUTED_VALUE"""),"Full Set")</f>
        <v>Full Set</v>
      </c>
      <c r="H642" s="17"/>
      <c r="I642" s="278" t="str">
        <f>IFERROR(__xludf.DUMMYFUNCTION("""COMPUTED_VALUE"""),"https://www.tiktok.com/@hi.inijiyan2/video/7644082114782039317?is_from_webapp=1&amp;sender_device=pc")</f>
        <v>https://www.tiktok.com/@hi.inijiyan2/video/7644082114782039317?is_from_webapp=1&amp;sender_device=pc</v>
      </c>
      <c r="J642" s="262"/>
      <c r="K642" s="262"/>
      <c r="L642" s="262"/>
      <c r="M642" s="262"/>
    </row>
    <row r="643">
      <c r="A643" s="255" t="str">
        <f>IFERROR(__xludf.DUMMYFUNCTION("""COMPUTED_VALUE"""),"NANO")</f>
        <v>NANO</v>
      </c>
      <c r="B643" s="23" t="str">
        <f>IFERROR(__xludf.DUMMYFUNCTION("""COMPUTED_VALUE"""),"ezcuttti ")</f>
        <v>ezcuttti </v>
      </c>
      <c r="C643" s="257" t="str">
        <f>IFERROR(__xludf.DUMMYFUNCTION("""COMPUTED_VALUE"""),"https://www.tiktok.com/@ezcuttti ")</f>
        <v>https://www.tiktok.com/@ezcuttti </v>
      </c>
      <c r="D643" s="23">
        <f>IFERROR(__xludf.DUMMYFUNCTION("""COMPUTED_VALUE"""),8.3194899287E10)</f>
        <v>83194899287</v>
      </c>
      <c r="E643" s="457">
        <f>IFERROR(__xludf.DUMMYFUNCTION("""COMPUTED_VALUE"""),0.0)</f>
        <v>0</v>
      </c>
      <c r="F643" s="270">
        <f>IFERROR(__xludf.DUMMYFUNCTION("""COMPUTED_VALUE"""),4.0)</f>
        <v>4</v>
      </c>
      <c r="G643" s="17" t="str">
        <f>IFERROR(__xludf.DUMMYFUNCTION("""COMPUTED_VALUE"""),"Full Set")</f>
        <v>Full Set</v>
      </c>
      <c r="H643" s="17"/>
      <c r="I643" s="278" t="str">
        <f>IFERROR(__xludf.DUMMYFUNCTION("""COMPUTED_VALUE"""),"https://www.tiktok.com/@ezcuttti/video/7643874704482258197?is_from_webapp=1&amp;sender_device=pc")</f>
        <v>https://www.tiktok.com/@ezcuttti/video/7643874704482258197?is_from_webapp=1&amp;sender_device=pc</v>
      </c>
      <c r="J643" s="262"/>
      <c r="K643" s="262"/>
      <c r="L643" s="262"/>
      <c r="M643" s="262"/>
    </row>
    <row r="644">
      <c r="A644" s="255" t="str">
        <f>IFERROR(__xludf.DUMMYFUNCTION("""COMPUTED_VALUE"""),"NANO")</f>
        <v>NANO</v>
      </c>
      <c r="B644" s="23" t="str">
        <f>IFERROR(__xludf.DUMMYFUNCTION("""COMPUTED_VALUE"""),"queen.ha2")</f>
        <v>queen.ha2</v>
      </c>
      <c r="C644" s="257" t="str">
        <f>IFERROR(__xludf.DUMMYFUNCTION("""COMPUTED_VALUE"""),"https://www.tiktok.com/@queen.ha2")</f>
        <v>https://www.tiktok.com/@queen.ha2</v>
      </c>
      <c r="D644" s="23">
        <f>IFERROR(__xludf.DUMMYFUNCTION("""COMPUTED_VALUE"""),8.2297555925E10)</f>
        <v>82297555925</v>
      </c>
      <c r="E644" s="457">
        <f>IFERROR(__xludf.DUMMYFUNCTION("""COMPUTED_VALUE"""),0.0)</f>
        <v>0</v>
      </c>
      <c r="F644" s="270">
        <f>IFERROR(__xludf.DUMMYFUNCTION("""COMPUTED_VALUE"""),4.0)</f>
        <v>4</v>
      </c>
      <c r="G644" s="17" t="str">
        <f>IFERROR(__xludf.DUMMYFUNCTION("""COMPUTED_VALUE"""),"Full Set")</f>
        <v>Full Set</v>
      </c>
      <c r="H644" s="17"/>
      <c r="I644" s="262"/>
      <c r="J644" s="262"/>
      <c r="K644" s="262"/>
      <c r="L644" s="262"/>
      <c r="M644" s="262"/>
    </row>
    <row r="645">
      <c r="A645" s="255" t="str">
        <f>IFERROR(__xludf.DUMMYFUNCTION("""COMPUTED_VALUE"""),"NANO")</f>
        <v>NANO</v>
      </c>
      <c r="B645" s="23" t="str">
        <f>IFERROR(__xludf.DUMMYFUNCTION("""COMPUTED_VALUE"""),"Ditta.14")</f>
        <v>Ditta.14</v>
      </c>
      <c r="C645" s="257" t="str">
        <f>IFERROR(__xludf.DUMMYFUNCTION("""COMPUTED_VALUE"""),"https://www.tiktok.com/@Ditta.14")</f>
        <v>https://www.tiktok.com/@Ditta.14</v>
      </c>
      <c r="D645" s="23">
        <f>IFERROR(__xludf.DUMMYFUNCTION("""COMPUTED_VALUE"""),8.5691174058E10)</f>
        <v>85691174058</v>
      </c>
      <c r="E645" s="457">
        <f>IFERROR(__xludf.DUMMYFUNCTION("""COMPUTED_VALUE"""),0.0)</f>
        <v>0</v>
      </c>
      <c r="F645" s="270">
        <f>IFERROR(__xludf.DUMMYFUNCTION("""COMPUTED_VALUE"""),4.0)</f>
        <v>4</v>
      </c>
      <c r="G645" s="17" t="str">
        <f>IFERROR(__xludf.DUMMYFUNCTION("""COMPUTED_VALUE"""),"Full Set")</f>
        <v>Full Set</v>
      </c>
      <c r="H645" s="17"/>
      <c r="I645" s="262"/>
      <c r="J645" s="262"/>
      <c r="K645" s="262"/>
      <c r="L645" s="262"/>
      <c r="M645" s="262"/>
    </row>
    <row r="646">
      <c r="A646" s="255" t="str">
        <f>IFERROR(__xludf.DUMMYFUNCTION("""COMPUTED_VALUE"""),"NANO")</f>
        <v>NANO</v>
      </c>
      <c r="B646" s="23" t="str">
        <f>IFERROR(__xludf.DUMMYFUNCTION("""COMPUTED_VALUE"""),"esa.anisaa")</f>
        <v>esa.anisaa</v>
      </c>
      <c r="C646" s="257" t="str">
        <f>IFERROR(__xludf.DUMMYFUNCTION("""COMPUTED_VALUE"""),"https://www.tiktok.com/@esa.anisaa")</f>
        <v>https://www.tiktok.com/@esa.anisaa</v>
      </c>
      <c r="D646" s="23">
        <f>IFERROR(__xludf.DUMMYFUNCTION("""COMPUTED_VALUE"""),8.5721361612E10)</f>
        <v>85721361612</v>
      </c>
      <c r="E646" s="457">
        <f>IFERROR(__xludf.DUMMYFUNCTION("""COMPUTED_VALUE"""),0.0)</f>
        <v>0</v>
      </c>
      <c r="F646" s="270">
        <f>IFERROR(__xludf.DUMMYFUNCTION("""COMPUTED_VALUE"""),4.0)</f>
        <v>4</v>
      </c>
      <c r="G646" s="17" t="str">
        <f>IFERROR(__xludf.DUMMYFUNCTION("""COMPUTED_VALUE"""),"Full Set")</f>
        <v>Full Set</v>
      </c>
      <c r="H646" s="17"/>
      <c r="I646" s="262"/>
      <c r="J646" s="262"/>
      <c r="K646" s="262"/>
      <c r="L646" s="262"/>
      <c r="M646" s="262"/>
    </row>
    <row r="647">
      <c r="A647" s="255" t="str">
        <f>IFERROR(__xludf.DUMMYFUNCTION("""COMPUTED_VALUE"""),"NANO")</f>
        <v>NANO</v>
      </c>
      <c r="B647" s="23" t="str">
        <f>IFERROR(__xludf.DUMMYFUNCTION("""COMPUTED_VALUE"""),"Dailyifah ")</f>
        <v>Dailyifah </v>
      </c>
      <c r="C647" s="257" t="str">
        <f>IFERROR(__xludf.DUMMYFUNCTION("""COMPUTED_VALUE"""),"https://www.tiktok.com/@Dailyifah ")</f>
        <v>https://www.tiktok.com/@Dailyifah </v>
      </c>
      <c r="D647" s="23">
        <f>IFERROR(__xludf.DUMMYFUNCTION("""COMPUTED_VALUE"""),8.5399579946E10)</f>
        <v>85399579946</v>
      </c>
      <c r="E647" s="457">
        <f>IFERROR(__xludf.DUMMYFUNCTION("""COMPUTED_VALUE"""),0.0)</f>
        <v>0</v>
      </c>
      <c r="F647" s="270">
        <f>IFERROR(__xludf.DUMMYFUNCTION("""COMPUTED_VALUE"""),4.0)</f>
        <v>4</v>
      </c>
      <c r="G647" s="17" t="str">
        <f>IFERROR(__xludf.DUMMYFUNCTION("""COMPUTED_VALUE"""),"Full Set")</f>
        <v>Full Set</v>
      </c>
      <c r="H647" s="17"/>
      <c r="I647" s="278" t="str">
        <f>IFERROR(__xludf.DUMMYFUNCTION("""COMPUTED_VALUE"""),"https://www.tiktok.com/@dailyifah/video/7643493792397511957?is_from_webapp=1&amp;sender_device=pc")</f>
        <v>https://www.tiktok.com/@dailyifah/video/7643493792397511957?is_from_webapp=1&amp;sender_device=pc</v>
      </c>
      <c r="J647" s="262"/>
      <c r="K647" s="262"/>
      <c r="L647" s="262"/>
      <c r="M647" s="262"/>
    </row>
    <row r="648">
      <c r="A648" s="255" t="str">
        <f>IFERROR(__xludf.DUMMYFUNCTION("""COMPUTED_VALUE"""),"NANO")</f>
        <v>NANO</v>
      </c>
      <c r="B648" s="23" t="str">
        <f>IFERROR(__xludf.DUMMYFUNCTION("""COMPUTED_VALUE"""),"ayudwimaulia")</f>
        <v>ayudwimaulia</v>
      </c>
      <c r="C648" s="257" t="str">
        <f>IFERROR(__xludf.DUMMYFUNCTION("""COMPUTED_VALUE"""),"https://www.tiktok.com/@ayudwimaulia")</f>
        <v>https://www.tiktok.com/@ayudwimaulia</v>
      </c>
      <c r="D648" s="23">
        <f>IFERROR(__xludf.DUMMYFUNCTION("""COMPUTED_VALUE"""),8.2278126191E10)</f>
        <v>82278126191</v>
      </c>
      <c r="E648" s="457">
        <f>IFERROR(__xludf.DUMMYFUNCTION("""COMPUTED_VALUE"""),0.0)</f>
        <v>0</v>
      </c>
      <c r="F648" s="270">
        <f>IFERROR(__xludf.DUMMYFUNCTION("""COMPUTED_VALUE"""),4.0)</f>
        <v>4</v>
      </c>
      <c r="G648" s="17" t="str">
        <f>IFERROR(__xludf.DUMMYFUNCTION("""COMPUTED_VALUE"""),"Full Set")</f>
        <v>Full Set</v>
      </c>
      <c r="H648" s="17"/>
      <c r="I648" s="262"/>
      <c r="J648" s="262"/>
      <c r="K648" s="262"/>
      <c r="L648" s="262"/>
      <c r="M648" s="262"/>
    </row>
    <row r="649">
      <c r="A649" s="255" t="str">
        <f>IFERROR(__xludf.DUMMYFUNCTION("""COMPUTED_VALUE"""),"MICRO")</f>
        <v>MICRO</v>
      </c>
      <c r="B649" s="23" t="str">
        <f>IFERROR(__xludf.DUMMYFUNCTION("""COMPUTED_VALUE"""),"stellaclaudiaaa")</f>
        <v>stellaclaudiaaa</v>
      </c>
      <c r="C649" s="257" t="str">
        <f>IFERROR(__xludf.DUMMYFUNCTION("""COMPUTED_VALUE"""),"https://www.tiktok.com/@stellaclaudiaaa")</f>
        <v>https://www.tiktok.com/@stellaclaudiaaa</v>
      </c>
      <c r="D649" s="23">
        <f>IFERROR(__xludf.DUMMYFUNCTION("""COMPUTED_VALUE"""),8.95710281E11)</f>
        <v>895710281000</v>
      </c>
      <c r="E649" s="457">
        <f>IFERROR(__xludf.DUMMYFUNCTION("""COMPUTED_VALUE"""),0.0)</f>
        <v>0</v>
      </c>
      <c r="F649" s="270">
        <f>IFERROR(__xludf.DUMMYFUNCTION("""COMPUTED_VALUE"""),4.0)</f>
        <v>4</v>
      </c>
      <c r="G649" s="17" t="str">
        <f>IFERROR(__xludf.DUMMYFUNCTION("""COMPUTED_VALUE"""),"Full Set")</f>
        <v>Full Set</v>
      </c>
      <c r="H649" s="17"/>
      <c r="I649" s="262"/>
      <c r="J649" s="262"/>
      <c r="K649" s="262"/>
      <c r="L649" s="262"/>
      <c r="M649" s="262"/>
    </row>
    <row r="650">
      <c r="A650" s="255" t="str">
        <f>IFERROR(__xludf.DUMMYFUNCTION("""COMPUTED_VALUE"""),"MICRO")</f>
        <v>MICRO</v>
      </c>
      <c r="B650" s="23" t="str">
        <f>IFERROR(__xludf.DUMMYFUNCTION("""COMPUTED_VALUE"""),"twobest_review")</f>
        <v>twobest_review</v>
      </c>
      <c r="C650" s="257" t="str">
        <f>IFERROR(__xludf.DUMMYFUNCTION("""COMPUTED_VALUE"""),"https://www.tiktok.com/@twobest_review")</f>
        <v>https://www.tiktok.com/@twobest_review</v>
      </c>
      <c r="D650" s="23">
        <f>IFERROR(__xludf.DUMMYFUNCTION("""COMPUTED_VALUE"""),8.7842313451E10)</f>
        <v>87842313451</v>
      </c>
      <c r="E650" s="457">
        <f>IFERROR(__xludf.DUMMYFUNCTION("""COMPUTED_VALUE"""),0.0)</f>
        <v>0</v>
      </c>
      <c r="F650" s="270">
        <f>IFERROR(__xludf.DUMMYFUNCTION("""COMPUTED_VALUE"""),4.0)</f>
        <v>4</v>
      </c>
      <c r="G650" s="17" t="str">
        <f>IFERROR(__xludf.DUMMYFUNCTION("""COMPUTED_VALUE"""),"Full Set")</f>
        <v>Full Set</v>
      </c>
      <c r="H650" s="17"/>
      <c r="I650" s="278" t="str">
        <f>IFERROR(__xludf.DUMMYFUNCTION("""COMPUTED_VALUE"""),"https://www.tiktok.com/@twobest_review/video/7642250054044028178?is_from_webapp=1&amp;sender_device=pc")</f>
        <v>https://www.tiktok.com/@twobest_review/video/7642250054044028178?is_from_webapp=1&amp;sender_device=pc</v>
      </c>
      <c r="J650" s="278" t="str">
        <f>IFERROR(__xludf.DUMMYFUNCTION("""COMPUTED_VALUE"""),"https://www.tiktok.com/@twobest_review/video/7642250054044028178?is_from_webapp=1&amp;sender_device=pc")</f>
        <v>https://www.tiktok.com/@twobest_review/video/7642250054044028178?is_from_webapp=1&amp;sender_device=pc</v>
      </c>
      <c r="K650" s="278" t="str">
        <f>IFERROR(__xludf.DUMMYFUNCTION("""COMPUTED_VALUE"""),"https://www.tiktok.com/@twobest_review/video/7643073948627766535?is_from_webapp=1&amp;sender_device=pc")</f>
        <v>https://www.tiktok.com/@twobest_review/video/7643073948627766535?is_from_webapp=1&amp;sender_device=pc</v>
      </c>
      <c r="L650" s="262"/>
      <c r="M650" s="262"/>
    </row>
    <row r="651">
      <c r="A651" s="255" t="str">
        <f>IFERROR(__xludf.DUMMYFUNCTION("""COMPUTED_VALUE"""),"NANO")</f>
        <v>NANO</v>
      </c>
      <c r="B651" s="23" t="str">
        <f>IFERROR(__xludf.DUMMYFUNCTION("""COMPUTED_VALUE"""),"vxmonic")</f>
        <v>vxmonic</v>
      </c>
      <c r="C651" s="257" t="str">
        <f>IFERROR(__xludf.DUMMYFUNCTION("""COMPUTED_VALUE"""),"https://www.tiktok.com/@vxmonic")</f>
        <v>https://www.tiktok.com/@vxmonic</v>
      </c>
      <c r="D651" s="23">
        <f>IFERROR(__xludf.DUMMYFUNCTION("""COMPUTED_VALUE"""),8.95607956622E11)</f>
        <v>895607956622</v>
      </c>
      <c r="E651" s="457">
        <f>IFERROR(__xludf.DUMMYFUNCTION("""COMPUTED_VALUE"""),0.0)</f>
        <v>0</v>
      </c>
      <c r="F651" s="270">
        <f>IFERROR(__xludf.DUMMYFUNCTION("""COMPUTED_VALUE"""),4.0)</f>
        <v>4</v>
      </c>
      <c r="G651" s="17" t="str">
        <f>IFERROR(__xludf.DUMMYFUNCTION("""COMPUTED_VALUE"""),"Full Set")</f>
        <v>Full Set</v>
      </c>
      <c r="H651" s="17"/>
      <c r="I651" s="262"/>
      <c r="J651" s="262"/>
      <c r="K651" s="262"/>
      <c r="L651" s="262"/>
      <c r="M651" s="262"/>
    </row>
    <row r="652">
      <c r="A652" s="255" t="str">
        <f>IFERROR(__xludf.DUMMYFUNCTION("""COMPUTED_VALUE"""),"NANO")</f>
        <v>NANO</v>
      </c>
      <c r="B652" s="23" t="str">
        <f>IFERROR(__xludf.DUMMYFUNCTION("""COMPUTED_VALUE"""),"hay.nana209")</f>
        <v>hay.nana209</v>
      </c>
      <c r="C652" s="257" t="str">
        <f>IFERROR(__xludf.DUMMYFUNCTION("""COMPUTED_VALUE"""),"https://www.tiktok.com/@hay.nana209")</f>
        <v>https://www.tiktok.com/@hay.nana209</v>
      </c>
      <c r="D652" s="23">
        <f>IFERROR(__xludf.DUMMYFUNCTION("""COMPUTED_VALUE"""),8.5790270284E10)</f>
        <v>85790270284</v>
      </c>
      <c r="E652" s="457">
        <f>IFERROR(__xludf.DUMMYFUNCTION("""COMPUTED_VALUE"""),0.0)</f>
        <v>0</v>
      </c>
      <c r="F652" s="270">
        <f>IFERROR(__xludf.DUMMYFUNCTION("""COMPUTED_VALUE"""),4.0)</f>
        <v>4</v>
      </c>
      <c r="G652" s="17" t="str">
        <f>IFERROR(__xludf.DUMMYFUNCTION("""COMPUTED_VALUE"""),"Full Set")</f>
        <v>Full Set</v>
      </c>
      <c r="H652" s="17"/>
      <c r="I652" s="278" t="str">
        <f>IFERROR(__xludf.DUMMYFUNCTION("""COMPUTED_VALUE"""),"https://www.tiktok.com/@hay.nana209/video/7642541066159410453?is_from_webapp=1&amp;sender_device=pc")</f>
        <v>https://www.tiktok.com/@hay.nana209/video/7642541066159410453?is_from_webapp=1&amp;sender_device=pc</v>
      </c>
      <c r="J652" s="278" t="str">
        <f>IFERROR(__xludf.DUMMYFUNCTION("""COMPUTED_VALUE"""),"https://www.tiktok.com/@hay.nana209/video/7643626064299789589?is_from_webapp=1&amp;sender_device=pc")</f>
        <v>https://www.tiktok.com/@hay.nana209/video/7643626064299789589?is_from_webapp=1&amp;sender_device=pc</v>
      </c>
      <c r="K652" s="262"/>
      <c r="L652" s="262"/>
      <c r="M652" s="262"/>
    </row>
    <row r="653">
      <c r="A653" s="255" t="str">
        <f>IFERROR(__xludf.DUMMYFUNCTION("""COMPUTED_VALUE"""),"NANO")</f>
        <v>NANO</v>
      </c>
      <c r="B653" s="23" t="str">
        <f>IFERROR(__xludf.DUMMYFUNCTION("""COMPUTED_VALUE"""),"yourminee__8")</f>
        <v>yourminee__8</v>
      </c>
      <c r="C653" s="257" t="str">
        <f>IFERROR(__xludf.DUMMYFUNCTION("""COMPUTED_VALUE"""),"https://www.tiktok.com/@yourminee__8")</f>
        <v>https://www.tiktok.com/@yourminee__8</v>
      </c>
      <c r="D653" s="23">
        <f>IFERROR(__xludf.DUMMYFUNCTION("""COMPUTED_VALUE"""),8.5606907207E10)</f>
        <v>85606907207</v>
      </c>
      <c r="E653" s="457">
        <f>IFERROR(__xludf.DUMMYFUNCTION("""COMPUTED_VALUE"""),0.0)</f>
        <v>0</v>
      </c>
      <c r="F653" s="270">
        <f>IFERROR(__xludf.DUMMYFUNCTION("""COMPUTED_VALUE"""),4.0)</f>
        <v>4</v>
      </c>
      <c r="G653" s="17" t="str">
        <f>IFERROR(__xludf.DUMMYFUNCTION("""COMPUTED_VALUE"""),"Full Set")</f>
        <v>Full Set</v>
      </c>
      <c r="H653" s="17"/>
      <c r="I653" s="262"/>
      <c r="J653" s="262"/>
      <c r="K653" s="262"/>
      <c r="L653" s="262"/>
      <c r="M653" s="262"/>
    </row>
    <row r="654">
      <c r="A654" s="255" t="str">
        <f>IFERROR(__xludf.DUMMYFUNCTION("""COMPUTED_VALUE"""),"NANO")</f>
        <v>NANO</v>
      </c>
      <c r="B654" s="23" t="str">
        <f>IFERROR(__xludf.DUMMYFUNCTION("""COMPUTED_VALUE"""),"1onlysha")</f>
        <v>1onlysha</v>
      </c>
      <c r="C654" s="257" t="str">
        <f>IFERROR(__xludf.DUMMYFUNCTION("""COMPUTED_VALUE"""),"https://www.tiktok.com/@1onlysha")</f>
        <v>https://www.tiktok.com/@1onlysha</v>
      </c>
      <c r="D654" s="23">
        <f>IFERROR(__xludf.DUMMYFUNCTION("""COMPUTED_VALUE"""),8.31885251E10)</f>
        <v>83188525100</v>
      </c>
      <c r="E654" s="457">
        <f>IFERROR(__xludf.DUMMYFUNCTION("""COMPUTED_VALUE"""),0.0)</f>
        <v>0</v>
      </c>
      <c r="F654" s="270">
        <f>IFERROR(__xludf.DUMMYFUNCTION("""COMPUTED_VALUE"""),4.0)</f>
        <v>4</v>
      </c>
      <c r="G654" s="17" t="str">
        <f>IFERROR(__xludf.DUMMYFUNCTION("""COMPUTED_VALUE"""),"Full Set")</f>
        <v>Full Set</v>
      </c>
      <c r="H654" s="17"/>
      <c r="I654" s="262"/>
      <c r="J654" s="262"/>
      <c r="K654" s="262"/>
      <c r="L654" s="262"/>
      <c r="M654" s="262"/>
    </row>
    <row r="655">
      <c r="A655" s="255" t="str">
        <f>IFERROR(__xludf.DUMMYFUNCTION("""COMPUTED_VALUE"""),"NANO")</f>
        <v>NANO</v>
      </c>
      <c r="B655" s="23" t="str">
        <f>IFERROR(__xludf.DUMMYFUNCTION("""COMPUTED_VALUE"""),"remasyaa")</f>
        <v>remasyaa</v>
      </c>
      <c r="C655" s="257" t="str">
        <f>IFERROR(__xludf.DUMMYFUNCTION("""COMPUTED_VALUE"""),"https://www.tiktok.com/@remasyaa")</f>
        <v>https://www.tiktok.com/@remasyaa</v>
      </c>
      <c r="D655" s="23">
        <f>IFERROR(__xludf.DUMMYFUNCTION("""COMPUTED_VALUE"""),8.995517344E9)</f>
        <v>8995517344</v>
      </c>
      <c r="E655" s="457">
        <f>IFERROR(__xludf.DUMMYFUNCTION("""COMPUTED_VALUE"""),0.0)</f>
        <v>0</v>
      </c>
      <c r="F655" s="270">
        <f>IFERROR(__xludf.DUMMYFUNCTION("""COMPUTED_VALUE"""),4.0)</f>
        <v>4</v>
      </c>
      <c r="G655" s="17" t="str">
        <f>IFERROR(__xludf.DUMMYFUNCTION("""COMPUTED_VALUE"""),"Full Set")</f>
        <v>Full Set</v>
      </c>
      <c r="H655" s="17"/>
      <c r="I655" s="262"/>
      <c r="J655" s="262"/>
      <c r="K655" s="262"/>
      <c r="L655" s="262"/>
      <c r="M655" s="262"/>
    </row>
    <row r="656">
      <c r="A656" s="255" t="str">
        <f>IFERROR(__xludf.DUMMYFUNCTION("""COMPUTED_VALUE"""),"NANO")</f>
        <v>NANO</v>
      </c>
      <c r="B656" s="23" t="str">
        <f>IFERROR(__xludf.DUMMYFUNCTION("""COMPUTED_VALUE"""),"ernitanora ")</f>
        <v>ernitanora </v>
      </c>
      <c r="C656" s="257" t="str">
        <f>IFERROR(__xludf.DUMMYFUNCTION("""COMPUTED_VALUE"""),"https://www.tiktok.com/@ernitanora ")</f>
        <v>https://www.tiktok.com/@ernitanora </v>
      </c>
      <c r="D656" s="23">
        <f>IFERROR(__xludf.DUMMYFUNCTION("""COMPUTED_VALUE"""),8.2277000207E10)</f>
        <v>82277000207</v>
      </c>
      <c r="E656" s="457">
        <f>IFERROR(__xludf.DUMMYFUNCTION("""COMPUTED_VALUE"""),0.0)</f>
        <v>0</v>
      </c>
      <c r="F656" s="270">
        <f>IFERROR(__xludf.DUMMYFUNCTION("""COMPUTED_VALUE"""),4.0)</f>
        <v>4</v>
      </c>
      <c r="G656" s="17" t="str">
        <f>IFERROR(__xludf.DUMMYFUNCTION("""COMPUTED_VALUE"""),"Full Set")</f>
        <v>Full Set</v>
      </c>
      <c r="H656" s="17"/>
      <c r="I656" s="262"/>
      <c r="J656" s="262"/>
      <c r="K656" s="262"/>
      <c r="L656" s="262"/>
      <c r="M656" s="262"/>
    </row>
    <row r="657">
      <c r="A657" s="255" t="str">
        <f>IFERROR(__xludf.DUMMYFUNCTION("""COMPUTED_VALUE"""),"NANO")</f>
        <v>NANO</v>
      </c>
      <c r="B657" s="23" t="str">
        <f>IFERROR(__xludf.DUMMYFUNCTION("""COMPUTED_VALUE"""),"beautyf012")</f>
        <v>beautyf012</v>
      </c>
      <c r="C657" s="257" t="str">
        <f>IFERROR(__xludf.DUMMYFUNCTION("""COMPUTED_VALUE"""),"https://www.tiktok.com/@beautyf012")</f>
        <v>https://www.tiktok.com/@beautyf012</v>
      </c>
      <c r="D657" s="23">
        <f>IFERROR(__xludf.DUMMYFUNCTION("""COMPUTED_VALUE"""),8.5373225118E10)</f>
        <v>85373225118</v>
      </c>
      <c r="E657" s="457">
        <f>IFERROR(__xludf.DUMMYFUNCTION("""COMPUTED_VALUE"""),0.0)</f>
        <v>0</v>
      </c>
      <c r="F657" s="270">
        <f>IFERROR(__xludf.DUMMYFUNCTION("""COMPUTED_VALUE"""),4.0)</f>
        <v>4</v>
      </c>
      <c r="G657" s="17" t="str">
        <f>IFERROR(__xludf.DUMMYFUNCTION("""COMPUTED_VALUE"""),"Full Set")</f>
        <v>Full Set</v>
      </c>
      <c r="H657" s="17"/>
      <c r="I657" s="278" t="str">
        <f>IFERROR(__xludf.DUMMYFUNCTION("""COMPUTED_VALUE"""),"https://www.tiktok.com/@beautyf012/video/7642311802428214546?is_from_webapp=1&amp;sender_device=pc")</f>
        <v>https://www.tiktok.com/@beautyf012/video/7642311802428214546?is_from_webapp=1&amp;sender_device=pc</v>
      </c>
      <c r="J657" s="278" t="str">
        <f>IFERROR(__xludf.DUMMYFUNCTION("""COMPUTED_VALUE"""),"https://www.tiktok.com/@beautyf012/video/7643118318915767560?is_from_webapp=1&amp;sender_device=pc")</f>
        <v>https://www.tiktok.com/@beautyf012/video/7643118318915767560?is_from_webapp=1&amp;sender_device=pc</v>
      </c>
      <c r="K657" s="262"/>
      <c r="L657" s="262"/>
      <c r="M657" s="262"/>
    </row>
    <row r="658">
      <c r="A658" s="255" t="str">
        <f>IFERROR(__xludf.DUMMYFUNCTION("""COMPUTED_VALUE"""),"NANO")</f>
        <v>NANO</v>
      </c>
      <c r="B658" s="23" t="str">
        <f>IFERROR(__xludf.DUMMYFUNCTION("""COMPUTED_VALUE"""),"Ainaadt")</f>
        <v>Ainaadt</v>
      </c>
      <c r="C658" s="257" t="str">
        <f>IFERROR(__xludf.DUMMYFUNCTION("""COMPUTED_VALUE"""),"https://www.tiktok.com/@Ainaadt")</f>
        <v>https://www.tiktok.com/@Ainaadt</v>
      </c>
      <c r="D658" s="23">
        <f>IFERROR(__xludf.DUMMYFUNCTION("""COMPUTED_VALUE"""),8.572531242E10)</f>
        <v>85725312420</v>
      </c>
      <c r="E658" s="457">
        <f>IFERROR(__xludf.DUMMYFUNCTION("""COMPUTED_VALUE"""),0.0)</f>
        <v>0</v>
      </c>
      <c r="F658" s="270">
        <f>IFERROR(__xludf.DUMMYFUNCTION("""COMPUTED_VALUE"""),4.0)</f>
        <v>4</v>
      </c>
      <c r="G658" s="17" t="str">
        <f>IFERROR(__xludf.DUMMYFUNCTION("""COMPUTED_VALUE"""),"Full Set")</f>
        <v>Full Set</v>
      </c>
      <c r="H658" s="17"/>
      <c r="I658" s="262"/>
      <c r="J658" s="262"/>
      <c r="K658" s="262"/>
      <c r="L658" s="262"/>
      <c r="M658" s="262"/>
    </row>
    <row r="659">
      <c r="A659" s="255" t="str">
        <f>IFERROR(__xludf.DUMMYFUNCTION("""COMPUTED_VALUE"""),"NANO")</f>
        <v>NANO</v>
      </c>
      <c r="B659" s="23" t="str">
        <f>IFERROR(__xludf.DUMMYFUNCTION("""COMPUTED_VALUE"""),"cookiebombbie")</f>
        <v>cookiebombbie</v>
      </c>
      <c r="C659" s="257" t="str">
        <f>IFERROR(__xludf.DUMMYFUNCTION("""COMPUTED_VALUE"""),"https://www.tiktok.com/@cookiebombbie")</f>
        <v>https://www.tiktok.com/@cookiebombbie</v>
      </c>
      <c r="D659" s="23">
        <f>IFERROR(__xludf.DUMMYFUNCTION("""COMPUTED_VALUE"""),8.13248544E10)</f>
        <v>81324854400</v>
      </c>
      <c r="E659" s="457">
        <f>IFERROR(__xludf.DUMMYFUNCTION("""COMPUTED_VALUE"""),0.0)</f>
        <v>0</v>
      </c>
      <c r="F659" s="270">
        <f>IFERROR(__xludf.DUMMYFUNCTION("""COMPUTED_VALUE"""),4.0)</f>
        <v>4</v>
      </c>
      <c r="G659" s="17" t="str">
        <f>IFERROR(__xludf.DUMMYFUNCTION("""COMPUTED_VALUE"""),"Full Set")</f>
        <v>Full Set</v>
      </c>
      <c r="H659" s="17"/>
      <c r="I659" s="262"/>
      <c r="J659" s="262"/>
      <c r="K659" s="262"/>
      <c r="L659" s="262"/>
      <c r="M659" s="262"/>
    </row>
    <row r="660">
      <c r="A660" s="255" t="str">
        <f>IFERROR(__xludf.DUMMYFUNCTION("""COMPUTED_VALUE"""),"NANO")</f>
        <v>NANO</v>
      </c>
      <c r="B660" s="23" t="str">
        <f>IFERROR(__xludf.DUMMYFUNCTION("""COMPUTED_VALUE"""),"Diana_safitry")</f>
        <v>Diana_safitry</v>
      </c>
      <c r="C660" s="257" t="str">
        <f>IFERROR(__xludf.DUMMYFUNCTION("""COMPUTED_VALUE"""),"https://www.tiktok.com/@Diana_safitry")</f>
        <v>https://www.tiktok.com/@Diana_safitry</v>
      </c>
      <c r="D660" s="23">
        <f>IFERROR(__xludf.DUMMYFUNCTION("""COMPUTED_VALUE"""),8.81417462E9)</f>
        <v>8814174620</v>
      </c>
      <c r="E660" s="457">
        <f>IFERROR(__xludf.DUMMYFUNCTION("""COMPUTED_VALUE"""),0.0)</f>
        <v>0</v>
      </c>
      <c r="F660" s="270">
        <f>IFERROR(__xludf.DUMMYFUNCTION("""COMPUTED_VALUE"""),4.0)</f>
        <v>4</v>
      </c>
      <c r="G660" s="17" t="str">
        <f>IFERROR(__xludf.DUMMYFUNCTION("""COMPUTED_VALUE"""),"Full Set")</f>
        <v>Full Set</v>
      </c>
      <c r="H660" s="17"/>
      <c r="I660" s="262"/>
      <c r="J660" s="262"/>
      <c r="K660" s="262"/>
      <c r="L660" s="262"/>
      <c r="M660" s="262"/>
    </row>
    <row r="661">
      <c r="A661" s="255" t="str">
        <f>IFERROR(__xludf.DUMMYFUNCTION("""COMPUTED_VALUE"""),"NANO")</f>
        <v>NANO</v>
      </c>
      <c r="B661" s="23" t="str">
        <f>IFERROR(__xludf.DUMMYFUNCTION("""COMPUTED_VALUE"""),"wifeymasshan")</f>
        <v>wifeymasshan</v>
      </c>
      <c r="C661" s="257" t="str">
        <f>IFERROR(__xludf.DUMMYFUNCTION("""COMPUTED_VALUE"""),"https://www.tiktok.com/@wifeymasshan")</f>
        <v>https://www.tiktok.com/@wifeymasshan</v>
      </c>
      <c r="D661" s="23">
        <f>IFERROR(__xludf.DUMMYFUNCTION("""COMPUTED_VALUE"""),8.1325837106E10)</f>
        <v>81325837106</v>
      </c>
      <c r="E661" s="457">
        <f>IFERROR(__xludf.DUMMYFUNCTION("""COMPUTED_VALUE"""),0.0)</f>
        <v>0</v>
      </c>
      <c r="F661" s="270">
        <f>IFERROR(__xludf.DUMMYFUNCTION("""COMPUTED_VALUE"""),4.0)</f>
        <v>4</v>
      </c>
      <c r="G661" s="17" t="str">
        <f>IFERROR(__xludf.DUMMYFUNCTION("""COMPUTED_VALUE"""),"Full Set")</f>
        <v>Full Set</v>
      </c>
      <c r="H661" s="17"/>
      <c r="I661" s="262"/>
      <c r="J661" s="262"/>
      <c r="K661" s="262"/>
      <c r="L661" s="262"/>
      <c r="M661" s="262"/>
    </row>
    <row r="662">
      <c r="A662" s="255" t="str">
        <f>IFERROR(__xludf.DUMMYFUNCTION("""COMPUTED_VALUE"""),"NANO")</f>
        <v>NANO</v>
      </c>
      <c r="B662" s="23" t="str">
        <f>IFERROR(__xludf.DUMMYFUNCTION("""COMPUTED_VALUE"""),"hurihurye")</f>
        <v>hurihurye</v>
      </c>
      <c r="C662" s="257" t="str">
        <f>IFERROR(__xludf.DUMMYFUNCTION("""COMPUTED_VALUE"""),"https://www.tiktok.com/@hurihurye")</f>
        <v>https://www.tiktok.com/@hurihurye</v>
      </c>
      <c r="D662" s="23">
        <f>IFERROR(__xludf.DUMMYFUNCTION("""COMPUTED_VALUE"""),8.5217739739E10)</f>
        <v>85217739739</v>
      </c>
      <c r="E662" s="457">
        <f>IFERROR(__xludf.DUMMYFUNCTION("""COMPUTED_VALUE"""),0.0)</f>
        <v>0</v>
      </c>
      <c r="F662" s="270">
        <f>IFERROR(__xludf.DUMMYFUNCTION("""COMPUTED_VALUE"""),4.0)</f>
        <v>4</v>
      </c>
      <c r="G662" s="17" t="str">
        <f>IFERROR(__xludf.DUMMYFUNCTION("""COMPUTED_VALUE"""),"Full Set")</f>
        <v>Full Set</v>
      </c>
      <c r="H662" s="17"/>
      <c r="I662" s="278" t="str">
        <f>IFERROR(__xludf.DUMMYFUNCTION("""COMPUTED_VALUE"""),"https://www.tiktok.com/@hurihurye/video/7643660490517925128?is_from_webapp=1&amp;sender_device=pc")</f>
        <v>https://www.tiktok.com/@hurihurye/video/7643660490517925128?is_from_webapp=1&amp;sender_device=pc</v>
      </c>
      <c r="J662" s="278" t="str">
        <f>IFERROR(__xludf.DUMMYFUNCTION("""COMPUTED_VALUE"""),"https://www.tiktok.com/@hurihurye/video/7644064526446431506?is_from_webapp=1&amp;sender_device=pc")</f>
        <v>https://www.tiktok.com/@hurihurye/video/7644064526446431506?is_from_webapp=1&amp;sender_device=pc</v>
      </c>
      <c r="K662" s="262"/>
      <c r="L662" s="262"/>
      <c r="M662" s="262"/>
    </row>
    <row r="663">
      <c r="A663" s="255" t="str">
        <f>IFERROR(__xludf.DUMMYFUNCTION("""COMPUTED_VALUE"""),"MICRO")</f>
        <v>MICRO</v>
      </c>
      <c r="B663" s="23" t="str">
        <f>IFERROR(__xludf.DUMMYFUNCTION("""COMPUTED_VALUE"""),"racuncitra")</f>
        <v>racuncitra</v>
      </c>
      <c r="C663" s="257" t="str">
        <f>IFERROR(__xludf.DUMMYFUNCTION("""COMPUTED_VALUE"""),"https://www.tiktok.com/@racuncitra")</f>
        <v>https://www.tiktok.com/@racuncitra</v>
      </c>
      <c r="D663" s="23">
        <f>IFERROR(__xludf.DUMMYFUNCTION("""COMPUTED_VALUE"""),8.1357949841E10)</f>
        <v>81357949841</v>
      </c>
      <c r="E663" s="457">
        <f>IFERROR(__xludf.DUMMYFUNCTION("""COMPUTED_VALUE"""),0.0)</f>
        <v>0</v>
      </c>
      <c r="F663" s="270">
        <f>IFERROR(__xludf.DUMMYFUNCTION("""COMPUTED_VALUE"""),4.0)</f>
        <v>4</v>
      </c>
      <c r="G663" s="17" t="str">
        <f>IFERROR(__xludf.DUMMYFUNCTION("""COMPUTED_VALUE"""),"Full Set")</f>
        <v>Full Set</v>
      </c>
      <c r="H663" s="17"/>
      <c r="I663" s="262"/>
      <c r="J663" s="262"/>
      <c r="K663" s="262"/>
      <c r="L663" s="262"/>
      <c r="M663" s="262"/>
    </row>
    <row r="664">
      <c r="A664" s="255" t="str">
        <f>IFERROR(__xludf.DUMMYFUNCTION("""COMPUTED_VALUE"""),"MICRO")</f>
        <v>MICRO</v>
      </c>
      <c r="B664" s="23" t="str">
        <f>IFERROR(__xludf.DUMMYFUNCTION("""COMPUTED_VALUE"""),"fitritanjung2503")</f>
        <v>fitritanjung2503</v>
      </c>
      <c r="C664" s="257" t="str">
        <f>IFERROR(__xludf.DUMMYFUNCTION("""COMPUTED_VALUE"""),"https://www.tiktok.com/@fitritanjung2503")</f>
        <v>https://www.tiktok.com/@fitritanjung2503</v>
      </c>
      <c r="D664" s="23">
        <f>IFERROR(__xludf.DUMMYFUNCTION("""COMPUTED_VALUE"""),8.5219406386E10)</f>
        <v>85219406386</v>
      </c>
      <c r="E664" s="457">
        <f>IFERROR(__xludf.DUMMYFUNCTION("""COMPUTED_VALUE"""),0.0)</f>
        <v>0</v>
      </c>
      <c r="F664" s="270">
        <f>IFERROR(__xludf.DUMMYFUNCTION("""COMPUTED_VALUE"""),4.0)</f>
        <v>4</v>
      </c>
      <c r="G664" s="17" t="str">
        <f>IFERROR(__xludf.DUMMYFUNCTION("""COMPUTED_VALUE"""),"Full Set")</f>
        <v>Full Set</v>
      </c>
      <c r="H664" s="17"/>
      <c r="I664" s="262"/>
      <c r="J664" s="262"/>
      <c r="K664" s="262"/>
      <c r="L664" s="262"/>
      <c r="M664" s="262"/>
    </row>
    <row r="665">
      <c r="A665" s="255" t="str">
        <f>IFERROR(__xludf.DUMMYFUNCTION("""COMPUTED_VALUE"""),"MICRO")</f>
        <v>MICRO</v>
      </c>
      <c r="B665" s="23" t="str">
        <f>IFERROR(__xludf.DUMMYFUNCTION("""COMPUTED_VALUE"""),"meganurjanah313")</f>
        <v>meganurjanah313</v>
      </c>
      <c r="C665" s="257" t="str">
        <f>IFERROR(__xludf.DUMMYFUNCTION("""COMPUTED_VALUE"""),"https://www.tiktok.com/@meganurjanah313")</f>
        <v>https://www.tiktok.com/@meganurjanah313</v>
      </c>
      <c r="D665" s="23">
        <f>IFERROR(__xludf.DUMMYFUNCTION("""COMPUTED_VALUE"""),8.2131964754E10)</f>
        <v>82131964754</v>
      </c>
      <c r="E665" s="457">
        <f>IFERROR(__xludf.DUMMYFUNCTION("""COMPUTED_VALUE"""),0.0)</f>
        <v>0</v>
      </c>
      <c r="F665" s="270">
        <f>IFERROR(__xludf.DUMMYFUNCTION("""COMPUTED_VALUE"""),4.0)</f>
        <v>4</v>
      </c>
      <c r="G665" s="17" t="str">
        <f>IFERROR(__xludf.DUMMYFUNCTION("""COMPUTED_VALUE"""),"Full Set")</f>
        <v>Full Set</v>
      </c>
      <c r="H665" s="17"/>
      <c r="I665" s="262"/>
      <c r="J665" s="262"/>
      <c r="K665" s="262"/>
      <c r="L665" s="262"/>
      <c r="M665" s="262"/>
    </row>
    <row r="666">
      <c r="A666" s="255" t="str">
        <f>IFERROR(__xludf.DUMMYFUNCTION("""COMPUTED_VALUE"""),"MICRO")</f>
        <v>MICRO</v>
      </c>
      <c r="B666" s="23" t="str">
        <f>IFERROR(__xludf.DUMMYFUNCTION("""COMPUTED_VALUE"""),"ernieqeu")</f>
        <v>ernieqeu</v>
      </c>
      <c r="C666" s="257" t="str">
        <f>IFERROR(__xludf.DUMMYFUNCTION("""COMPUTED_VALUE"""),"https://www.tiktok.com/@ernieqeu")</f>
        <v>https://www.tiktok.com/@ernieqeu</v>
      </c>
      <c r="D666" s="23">
        <f>IFERROR(__xludf.DUMMYFUNCTION("""COMPUTED_VALUE"""),8.1221922995E10)</f>
        <v>81221922995</v>
      </c>
      <c r="E666" s="457">
        <f>IFERROR(__xludf.DUMMYFUNCTION("""COMPUTED_VALUE"""),0.0)</f>
        <v>0</v>
      </c>
      <c r="F666" s="270">
        <f>IFERROR(__xludf.DUMMYFUNCTION("""COMPUTED_VALUE"""),4.0)</f>
        <v>4</v>
      </c>
      <c r="G666" s="17" t="str">
        <f>IFERROR(__xludf.DUMMYFUNCTION("""COMPUTED_VALUE"""),"Full Set")</f>
        <v>Full Set</v>
      </c>
      <c r="H666" s="17"/>
      <c r="I666" s="262"/>
      <c r="J666" s="262"/>
      <c r="K666" s="262"/>
      <c r="L666" s="262"/>
      <c r="M666" s="262"/>
    </row>
    <row r="667">
      <c r="A667" s="255" t="str">
        <f>IFERROR(__xludf.DUMMYFUNCTION("""COMPUTED_VALUE"""),"MICRO")</f>
        <v>MICRO</v>
      </c>
      <c r="B667" s="23" t="str">
        <f>IFERROR(__xludf.DUMMYFUNCTION("""COMPUTED_VALUE"""),"diniaptrrr_")</f>
        <v>diniaptrrr_</v>
      </c>
      <c r="C667" s="257" t="str">
        <f>IFERROR(__xludf.DUMMYFUNCTION("""COMPUTED_VALUE"""),"https://www.tiktok.com/@diniaptrrr_")</f>
        <v>https://www.tiktok.com/@diniaptrrr_</v>
      </c>
      <c r="D667" s="23">
        <f>IFERROR(__xludf.DUMMYFUNCTION("""COMPUTED_VALUE"""),8.3822666199E10)</f>
        <v>83822666199</v>
      </c>
      <c r="E667" s="457">
        <f>IFERROR(__xludf.DUMMYFUNCTION("""COMPUTED_VALUE"""),0.0)</f>
        <v>0</v>
      </c>
      <c r="F667" s="270">
        <f>IFERROR(__xludf.DUMMYFUNCTION("""COMPUTED_VALUE"""),4.0)</f>
        <v>4</v>
      </c>
      <c r="G667" s="17" t="str">
        <f>IFERROR(__xludf.DUMMYFUNCTION("""COMPUTED_VALUE"""),"Full Set")</f>
        <v>Full Set</v>
      </c>
      <c r="H667" s="17"/>
      <c r="I667" s="262"/>
      <c r="J667" s="262"/>
      <c r="K667" s="262"/>
      <c r="L667" s="262"/>
      <c r="M667" s="262"/>
    </row>
    <row r="668">
      <c r="A668" s="255" t="str">
        <f>IFERROR(__xludf.DUMMYFUNCTION("""COMPUTED_VALUE"""),"MICRO")</f>
        <v>MICRO</v>
      </c>
      <c r="B668" s="23" t="str">
        <f>IFERROR(__xludf.DUMMYFUNCTION("""COMPUTED_VALUE"""),"fiqri_ar")</f>
        <v>fiqri_ar</v>
      </c>
      <c r="C668" s="257" t="str">
        <f>IFERROR(__xludf.DUMMYFUNCTION("""COMPUTED_VALUE"""),"https://www.tiktok.com/@fiqri_ar")</f>
        <v>https://www.tiktok.com/@fiqri_ar</v>
      </c>
      <c r="D668" s="23">
        <f>IFERROR(__xludf.DUMMYFUNCTION("""COMPUTED_VALUE"""),8.1294346563E10)</f>
        <v>81294346563</v>
      </c>
      <c r="E668" s="457">
        <f>IFERROR(__xludf.DUMMYFUNCTION("""COMPUTED_VALUE"""),0.0)</f>
        <v>0</v>
      </c>
      <c r="F668" s="270">
        <f>IFERROR(__xludf.DUMMYFUNCTION("""COMPUTED_VALUE"""),4.0)</f>
        <v>4</v>
      </c>
      <c r="G668" s="17" t="str">
        <f>IFERROR(__xludf.DUMMYFUNCTION("""COMPUTED_VALUE"""),"Full Set")</f>
        <v>Full Set</v>
      </c>
      <c r="H668" s="17"/>
      <c r="I668" s="278" t="str">
        <f>IFERROR(__xludf.DUMMYFUNCTION("""COMPUTED_VALUE"""),"https://www.tiktok.com/@fiqri_ar/video/7643289335357279506?is_from_webapp=1&amp;sender_device=pc")</f>
        <v>https://www.tiktok.com/@fiqri_ar/video/7643289335357279506?is_from_webapp=1&amp;sender_device=pc</v>
      </c>
      <c r="J668" s="262"/>
      <c r="K668" s="262"/>
      <c r="L668" s="262"/>
      <c r="M668" s="262"/>
    </row>
    <row r="669">
      <c r="A669" s="255" t="str">
        <f>IFERROR(__xludf.DUMMYFUNCTION("""COMPUTED_VALUE"""),"MICRO")</f>
        <v>MICRO</v>
      </c>
      <c r="B669" s="23" t="str">
        <f>IFERROR(__xludf.DUMMYFUNCTION("""COMPUTED_VALUE"""),"anggun.chelsy")</f>
        <v>anggun.chelsy</v>
      </c>
      <c r="C669" s="257" t="str">
        <f>IFERROR(__xludf.DUMMYFUNCTION("""COMPUTED_VALUE"""),"https://www.tiktok.com/@anggun.chelsy")</f>
        <v>https://www.tiktok.com/@anggun.chelsy</v>
      </c>
      <c r="D669" s="23">
        <f>IFERROR(__xludf.DUMMYFUNCTION("""COMPUTED_VALUE"""),8.5767069477E10)</f>
        <v>85767069477</v>
      </c>
      <c r="E669" s="457">
        <f>IFERROR(__xludf.DUMMYFUNCTION("""COMPUTED_VALUE"""),0.0)</f>
        <v>0</v>
      </c>
      <c r="F669" s="270">
        <f>IFERROR(__xludf.DUMMYFUNCTION("""COMPUTED_VALUE"""),4.0)</f>
        <v>4</v>
      </c>
      <c r="G669" s="17" t="str">
        <f>IFERROR(__xludf.DUMMYFUNCTION("""COMPUTED_VALUE"""),"Full Set")</f>
        <v>Full Set</v>
      </c>
      <c r="H669" s="17"/>
      <c r="I669" s="262"/>
      <c r="J669" s="262"/>
      <c r="K669" s="262"/>
      <c r="L669" s="262"/>
      <c r="M669" s="262"/>
    </row>
    <row r="670">
      <c r="A670" s="255" t="str">
        <f>IFERROR(__xludf.DUMMYFUNCTION("""COMPUTED_VALUE"""),"MICRO")</f>
        <v>MICRO</v>
      </c>
      <c r="B670" s="23" t="str">
        <f>IFERROR(__xludf.DUMMYFUNCTION("""COMPUTED_VALUE"""),"dillaaa_21")</f>
        <v>dillaaa_21</v>
      </c>
      <c r="C670" s="257" t="str">
        <f>IFERROR(__xludf.DUMMYFUNCTION("""COMPUTED_VALUE"""),"https://www.tiktok.com/@dillaaa_21")</f>
        <v>https://www.tiktok.com/@dillaaa_21</v>
      </c>
      <c r="D670" s="23">
        <f>IFERROR(__xludf.DUMMYFUNCTION("""COMPUTED_VALUE"""),8.2280310303E10)</f>
        <v>82280310303</v>
      </c>
      <c r="E670" s="457">
        <f>IFERROR(__xludf.DUMMYFUNCTION("""COMPUTED_VALUE"""),0.0)</f>
        <v>0</v>
      </c>
      <c r="F670" s="270">
        <f>IFERROR(__xludf.DUMMYFUNCTION("""COMPUTED_VALUE"""),4.0)</f>
        <v>4</v>
      </c>
      <c r="G670" s="17" t="str">
        <f>IFERROR(__xludf.DUMMYFUNCTION("""COMPUTED_VALUE"""),"Full Set")</f>
        <v>Full Set</v>
      </c>
      <c r="H670" s="17"/>
      <c r="I670" s="262"/>
      <c r="J670" s="262"/>
      <c r="K670" s="262"/>
      <c r="L670" s="262"/>
      <c r="M670" s="262"/>
    </row>
    <row r="671">
      <c r="A671" s="255" t="str">
        <f>IFERROR(__xludf.DUMMYFUNCTION("""COMPUTED_VALUE"""),"NANO")</f>
        <v>NANO</v>
      </c>
      <c r="B671" s="23" t="str">
        <f>IFERROR(__xludf.DUMMYFUNCTION("""COMPUTED_VALUE"""),"gitamaliiia_")</f>
        <v>gitamaliiia_</v>
      </c>
      <c r="C671" s="257" t="str">
        <f>IFERROR(__xludf.DUMMYFUNCTION("""COMPUTED_VALUE"""),"https://www.tiktok.com/@gitamaliiia_")</f>
        <v>https://www.tiktok.com/@gitamaliiia_</v>
      </c>
      <c r="D671" s="23">
        <f>IFERROR(__xludf.DUMMYFUNCTION("""COMPUTED_VALUE"""),8.8806337371E10)</f>
        <v>88806337371</v>
      </c>
      <c r="E671" s="457">
        <f>IFERROR(__xludf.DUMMYFUNCTION("""COMPUTED_VALUE"""),0.0)</f>
        <v>0</v>
      </c>
      <c r="F671" s="270">
        <f>IFERROR(__xludf.DUMMYFUNCTION("""COMPUTED_VALUE"""),4.0)</f>
        <v>4</v>
      </c>
      <c r="G671" s="17" t="str">
        <f>IFERROR(__xludf.DUMMYFUNCTION("""COMPUTED_VALUE"""),"Full Set")</f>
        <v>Full Set</v>
      </c>
      <c r="H671" s="17"/>
      <c r="I671" s="262"/>
      <c r="J671" s="262"/>
      <c r="K671" s="262"/>
      <c r="L671" s="262"/>
      <c r="M671" s="262"/>
    </row>
    <row r="672">
      <c r="A672" s="255" t="str">
        <f>IFERROR(__xludf.DUMMYFUNCTION("""COMPUTED_VALUE"""),"NANO")</f>
        <v>NANO</v>
      </c>
      <c r="B672" s="23" t="str">
        <f>IFERROR(__xludf.DUMMYFUNCTION("""COMPUTED_VALUE"""),"kaniaru_")</f>
        <v>kaniaru_</v>
      </c>
      <c r="C672" s="257" t="str">
        <f>IFERROR(__xludf.DUMMYFUNCTION("""COMPUTED_VALUE"""),"https://www.tiktok.com/@kaniaru_")</f>
        <v>https://www.tiktok.com/@kaniaru_</v>
      </c>
      <c r="D672" s="23">
        <f>IFERROR(__xludf.DUMMYFUNCTION("""COMPUTED_VALUE"""),8.95611320406E11)</f>
        <v>895611320406</v>
      </c>
      <c r="E672" s="457">
        <f>IFERROR(__xludf.DUMMYFUNCTION("""COMPUTED_VALUE"""),0.0)</f>
        <v>0</v>
      </c>
      <c r="F672" s="270">
        <f>IFERROR(__xludf.DUMMYFUNCTION("""COMPUTED_VALUE"""),4.0)</f>
        <v>4</v>
      </c>
      <c r="G672" s="17" t="str">
        <f>IFERROR(__xludf.DUMMYFUNCTION("""COMPUTED_VALUE"""),"Full Set")</f>
        <v>Full Set</v>
      </c>
      <c r="H672" s="17"/>
      <c r="I672" s="262"/>
      <c r="J672" s="262"/>
      <c r="K672" s="262"/>
      <c r="L672" s="262"/>
      <c r="M672" s="262"/>
    </row>
    <row r="673">
      <c r="A673" s="255" t="str">
        <f>IFERROR(__xludf.DUMMYFUNCTION("""COMPUTED_VALUE"""),"NANO")</f>
        <v>NANO</v>
      </c>
      <c r="B673" s="257" t="str">
        <f>IFERROR(__xludf.DUMMYFUNCTION("""COMPUTED_VALUE"""),"Mybyrrrrrrr.is")</f>
        <v>Mybyrrrrrrr.is</v>
      </c>
      <c r="C673" s="257" t="str">
        <f>IFERROR(__xludf.DUMMYFUNCTION("""COMPUTED_VALUE"""),"https://www.tiktok.com/@Mybyrrrrrrr.is")</f>
        <v>https://www.tiktok.com/@Mybyrrrrrrr.is</v>
      </c>
      <c r="D673" s="23">
        <f>IFERROR(__xludf.DUMMYFUNCTION("""COMPUTED_VALUE"""),8.95376913834E11)</f>
        <v>895376913834</v>
      </c>
      <c r="E673" s="457">
        <f>IFERROR(__xludf.DUMMYFUNCTION("""COMPUTED_VALUE"""),0.0)</f>
        <v>0</v>
      </c>
      <c r="F673" s="270">
        <f>IFERROR(__xludf.DUMMYFUNCTION("""COMPUTED_VALUE"""),4.0)</f>
        <v>4</v>
      </c>
      <c r="G673" s="17" t="str">
        <f>IFERROR(__xludf.DUMMYFUNCTION("""COMPUTED_VALUE"""),"Full Set")</f>
        <v>Full Set</v>
      </c>
      <c r="H673" s="17"/>
      <c r="I673" s="262"/>
      <c r="J673" s="262"/>
      <c r="K673" s="262"/>
      <c r="L673" s="262"/>
      <c r="M673" s="262"/>
    </row>
    <row r="674">
      <c r="A674" s="255" t="str">
        <f>IFERROR(__xludf.DUMMYFUNCTION("""COMPUTED_VALUE"""),"NANO")</f>
        <v>NANO</v>
      </c>
      <c r="B674" s="23" t="str">
        <f>IFERROR(__xludf.DUMMYFUNCTION("""COMPUTED_VALUE"""),"itsme_pipahhh")</f>
        <v>itsme_pipahhh</v>
      </c>
      <c r="C674" s="257" t="str">
        <f>IFERROR(__xludf.DUMMYFUNCTION("""COMPUTED_VALUE"""),"https://www.tiktok.com/@itsme_pipahhh")</f>
        <v>https://www.tiktok.com/@itsme_pipahhh</v>
      </c>
      <c r="D674" s="23">
        <f>IFERROR(__xludf.DUMMYFUNCTION("""COMPUTED_VALUE"""),8.5134375775E10)</f>
        <v>85134375775</v>
      </c>
      <c r="E674" s="457">
        <f>IFERROR(__xludf.DUMMYFUNCTION("""COMPUTED_VALUE"""),0.0)</f>
        <v>0</v>
      </c>
      <c r="F674" s="270">
        <f>IFERROR(__xludf.DUMMYFUNCTION("""COMPUTED_VALUE"""),4.0)</f>
        <v>4</v>
      </c>
      <c r="G674" s="17" t="str">
        <f>IFERROR(__xludf.DUMMYFUNCTION("""COMPUTED_VALUE"""),"Full Set")</f>
        <v>Full Set</v>
      </c>
      <c r="H674" s="17"/>
      <c r="I674" s="262"/>
      <c r="J674" s="262"/>
      <c r="K674" s="262"/>
      <c r="L674" s="262"/>
      <c r="M674" s="262"/>
    </row>
    <row r="675">
      <c r="A675" s="255" t="str">
        <f>IFERROR(__xludf.DUMMYFUNCTION("""COMPUTED_VALUE"""),"NANO")</f>
        <v>NANO</v>
      </c>
      <c r="B675" s="23" t="str">
        <f>IFERROR(__xludf.DUMMYFUNCTION("""COMPUTED_VALUE"""),"rachmaaaaa2 ")</f>
        <v>rachmaaaaa2 </v>
      </c>
      <c r="C675" s="257" t="str">
        <f>IFERROR(__xludf.DUMMYFUNCTION("""COMPUTED_VALUE"""),"https://www.tiktok.com/@rachmaaaaa2 ")</f>
        <v>https://www.tiktok.com/@rachmaaaaa2 </v>
      </c>
      <c r="D675" s="23">
        <f>IFERROR(__xludf.DUMMYFUNCTION("""COMPUTED_VALUE"""),8.5839372173E10)</f>
        <v>85839372173</v>
      </c>
      <c r="E675" s="457">
        <f>IFERROR(__xludf.DUMMYFUNCTION("""COMPUTED_VALUE"""),0.0)</f>
        <v>0</v>
      </c>
      <c r="F675" s="270">
        <f>IFERROR(__xludf.DUMMYFUNCTION("""COMPUTED_VALUE"""),4.0)</f>
        <v>4</v>
      </c>
      <c r="G675" s="17" t="str">
        <f>IFERROR(__xludf.DUMMYFUNCTION("""COMPUTED_VALUE"""),"Full Set")</f>
        <v>Full Set</v>
      </c>
      <c r="H675" s="17"/>
      <c r="I675" s="278" t="str">
        <f>IFERROR(__xludf.DUMMYFUNCTION("""COMPUTED_VALUE"""),"https://www.tiktok.com/@rachmaaaaa2/video/7642655927748807954?is_from_webapp=1&amp;sender_device=pc")</f>
        <v>https://www.tiktok.com/@rachmaaaaa2/video/7642655927748807954?is_from_webapp=1&amp;sender_device=pc</v>
      </c>
      <c r="J675" s="278" t="str">
        <f>IFERROR(__xludf.DUMMYFUNCTION("""COMPUTED_VALUE"""),"https://www.tiktok.com/@rachmaaaaa2/video/7642706823673400594?is_from_webapp=1&amp;sender_device=pc")</f>
        <v>https://www.tiktok.com/@rachmaaaaa2/video/7642706823673400594?is_from_webapp=1&amp;sender_device=pc</v>
      </c>
      <c r="K675" s="278" t="str">
        <f>IFERROR(__xludf.DUMMYFUNCTION("""COMPUTED_VALUE"""),"https://www.tiktok.com/@rachmaaaaa2/video/7642895143799901447?is_from_webapp=1&amp;sender_device=pc")</f>
        <v>https://www.tiktok.com/@rachmaaaaa2/video/7642895143799901447?is_from_webapp=1&amp;sender_device=pc</v>
      </c>
      <c r="L675" s="278" t="str">
        <f>IFERROR(__xludf.DUMMYFUNCTION("""COMPUTED_VALUE"""),"https://www.tiktok.com/@rachmaaaaa2/video/7643065348538862856?is_from_webapp=1&amp;sender_device=pc")</f>
        <v>https://www.tiktok.com/@rachmaaaaa2/video/7643065348538862856?is_from_webapp=1&amp;sender_device=pc</v>
      </c>
      <c r="M675" s="262"/>
    </row>
    <row r="676">
      <c r="A676" s="255" t="str">
        <f>IFERROR(__xludf.DUMMYFUNCTION("""COMPUTED_VALUE"""),"NANO")</f>
        <v>NANO</v>
      </c>
      <c r="B676" s="23" t="str">
        <f>IFERROR(__xludf.DUMMYFUNCTION("""COMPUTED_VALUE"""),"araseooo27")</f>
        <v>araseooo27</v>
      </c>
      <c r="C676" s="257" t="str">
        <f>IFERROR(__xludf.DUMMYFUNCTION("""COMPUTED_VALUE"""),"https://www.tiktok.com/@araseooo27")</f>
        <v>https://www.tiktok.com/@araseooo27</v>
      </c>
      <c r="D676" s="23">
        <f>IFERROR(__xludf.DUMMYFUNCTION("""COMPUTED_VALUE"""),8.8221884874E10)</f>
        <v>88221884874</v>
      </c>
      <c r="E676" s="457">
        <f>IFERROR(__xludf.DUMMYFUNCTION("""COMPUTED_VALUE"""),0.0)</f>
        <v>0</v>
      </c>
      <c r="F676" s="270">
        <f>IFERROR(__xludf.DUMMYFUNCTION("""COMPUTED_VALUE"""),4.0)</f>
        <v>4</v>
      </c>
      <c r="G676" s="17" t="str">
        <f>IFERROR(__xludf.DUMMYFUNCTION("""COMPUTED_VALUE"""),"Full Set")</f>
        <v>Full Set</v>
      </c>
      <c r="H676" s="17"/>
      <c r="I676" s="278" t="str">
        <f>IFERROR(__xludf.DUMMYFUNCTION("""COMPUTED_VALUE"""),"https://www.tiktok.com/@araseooo27/video/7643492073269660946?is_from_webapp=1&amp;sender_device=pc")</f>
        <v>https://www.tiktok.com/@araseooo27/video/7643492073269660946?is_from_webapp=1&amp;sender_device=pc</v>
      </c>
      <c r="J676" s="278" t="str">
        <f>IFERROR(__xludf.DUMMYFUNCTION("""COMPUTED_VALUE"""),"https://www.tiktok.com/@araseooo27/video/7643517394001857810?is_from_webapp=1&amp;sender_device=pc")</f>
        <v>https://www.tiktok.com/@araseooo27/video/7643517394001857810?is_from_webapp=1&amp;sender_device=pc</v>
      </c>
      <c r="K676" s="278" t="str">
        <f>IFERROR(__xludf.DUMMYFUNCTION("""COMPUTED_VALUE"""),"https://www.tiktok.com/@araseooo27/video/7643523127049211154?is_from_webapp=1&amp;sender_device=pc")</f>
        <v>https://www.tiktok.com/@araseooo27/video/7643523127049211154?is_from_webapp=1&amp;sender_device=pc</v>
      </c>
      <c r="L676" s="278" t="str">
        <f>IFERROR(__xludf.DUMMYFUNCTION("""COMPUTED_VALUE"""),"https://www.tiktok.com/@araseooo27/video/7643752425974697223?is_from_webapp=1&amp;sender_device=pc")</f>
        <v>https://www.tiktok.com/@araseooo27/video/7643752425974697223?is_from_webapp=1&amp;sender_device=pc</v>
      </c>
      <c r="M676" s="262"/>
    </row>
    <row r="677">
      <c r="A677" s="255" t="str">
        <f>IFERROR(__xludf.DUMMYFUNCTION("""COMPUTED_VALUE"""),"NANO")</f>
        <v>NANO</v>
      </c>
      <c r="B677" s="23" t="str">
        <f>IFERROR(__xludf.DUMMYFUNCTION("""COMPUTED_VALUE"""),"nda.taqiyyaa")</f>
        <v>nda.taqiyyaa</v>
      </c>
      <c r="C677" s="257" t="str">
        <f>IFERROR(__xludf.DUMMYFUNCTION("""COMPUTED_VALUE"""),"https://www.tiktok.com/@nda.taqiyyaa")</f>
        <v>https://www.tiktok.com/@nda.taqiyyaa</v>
      </c>
      <c r="D677" s="23">
        <f>IFERROR(__xludf.DUMMYFUNCTION("""COMPUTED_VALUE"""),8.385370652E10)</f>
        <v>83853706520</v>
      </c>
      <c r="E677" s="457">
        <f>IFERROR(__xludf.DUMMYFUNCTION("""COMPUTED_VALUE"""),0.0)</f>
        <v>0</v>
      </c>
      <c r="F677" s="270">
        <f>IFERROR(__xludf.DUMMYFUNCTION("""COMPUTED_VALUE"""),4.0)</f>
        <v>4</v>
      </c>
      <c r="G677" s="17" t="str">
        <f>IFERROR(__xludf.DUMMYFUNCTION("""COMPUTED_VALUE"""),"Full Set")</f>
        <v>Full Set</v>
      </c>
      <c r="H677" s="17"/>
      <c r="I677" s="262"/>
      <c r="J677" s="262"/>
      <c r="K677" s="262"/>
      <c r="L677" s="262"/>
      <c r="M677" s="262"/>
    </row>
    <row r="678">
      <c r="A678" s="255" t="str">
        <f>IFERROR(__xludf.DUMMYFUNCTION("""COMPUTED_VALUE"""),"NANO")</f>
        <v>NANO</v>
      </c>
      <c r="B678" s="23" t="str">
        <f>IFERROR(__xludf.DUMMYFUNCTION("""COMPUTED_VALUE"""),"bintisyahrialaffandy")</f>
        <v>bintisyahrialaffandy</v>
      </c>
      <c r="C678" s="257" t="str">
        <f>IFERROR(__xludf.DUMMYFUNCTION("""COMPUTED_VALUE"""),"https://www.tiktok.com/@bintisyahrialaffandy")</f>
        <v>https://www.tiktok.com/@bintisyahrialaffandy</v>
      </c>
      <c r="D678" s="23">
        <f>IFERROR(__xludf.DUMMYFUNCTION("""COMPUTED_VALUE"""),8.98453949E9)</f>
        <v>8984539490</v>
      </c>
      <c r="E678" s="457">
        <f>IFERROR(__xludf.DUMMYFUNCTION("""COMPUTED_VALUE"""),0.0)</f>
        <v>0</v>
      </c>
      <c r="F678" s="270">
        <f>IFERROR(__xludf.DUMMYFUNCTION("""COMPUTED_VALUE"""),4.0)</f>
        <v>4</v>
      </c>
      <c r="G678" s="17" t="str">
        <f>IFERROR(__xludf.DUMMYFUNCTION("""COMPUTED_VALUE"""),"Full Set")</f>
        <v>Full Set</v>
      </c>
      <c r="H678" s="17"/>
      <c r="I678" s="262"/>
      <c r="J678" s="262"/>
      <c r="K678" s="262"/>
      <c r="L678" s="262"/>
      <c r="M678" s="262"/>
    </row>
    <row r="679">
      <c r="A679" s="255" t="str">
        <f>IFERROR(__xludf.DUMMYFUNCTION("""COMPUTED_VALUE"""),"NANO")</f>
        <v>NANO</v>
      </c>
      <c r="B679" s="23" t="str">
        <f>IFERROR(__xludf.DUMMYFUNCTION("""COMPUTED_VALUE"""),"ssunxiety")</f>
        <v>ssunxiety</v>
      </c>
      <c r="C679" s="257" t="str">
        <f>IFERROR(__xludf.DUMMYFUNCTION("""COMPUTED_VALUE"""),"https://www.tiktok.com/@ssunxiety")</f>
        <v>https://www.tiktok.com/@ssunxiety</v>
      </c>
      <c r="D679" s="23">
        <f>IFERROR(__xludf.DUMMYFUNCTION("""COMPUTED_VALUE"""),8.5602647389E10)</f>
        <v>85602647389</v>
      </c>
      <c r="E679" s="457">
        <f>IFERROR(__xludf.DUMMYFUNCTION("""COMPUTED_VALUE"""),0.0)</f>
        <v>0</v>
      </c>
      <c r="F679" s="270">
        <f>IFERROR(__xludf.DUMMYFUNCTION("""COMPUTED_VALUE"""),4.0)</f>
        <v>4</v>
      </c>
      <c r="G679" s="17" t="str">
        <f>IFERROR(__xludf.DUMMYFUNCTION("""COMPUTED_VALUE"""),"Full Set")</f>
        <v>Full Set</v>
      </c>
      <c r="H679" s="17"/>
      <c r="I679" s="262"/>
      <c r="J679" s="262"/>
      <c r="K679" s="262"/>
      <c r="L679" s="262"/>
      <c r="M679" s="262"/>
    </row>
    <row r="680">
      <c r="A680" s="255" t="str">
        <f>IFERROR(__xludf.DUMMYFUNCTION("""COMPUTED_VALUE"""),"NANO")</f>
        <v>NANO</v>
      </c>
      <c r="B680" s="23" t="str">
        <f>IFERROR(__xludf.DUMMYFUNCTION("""COMPUTED_VALUE"""),"imyourdaay")</f>
        <v>imyourdaay</v>
      </c>
      <c r="C680" s="257" t="str">
        <f>IFERROR(__xludf.DUMMYFUNCTION("""COMPUTED_VALUE"""),"https://www.tiktok.com/@imyourdaay")</f>
        <v>https://www.tiktok.com/@imyourdaay</v>
      </c>
      <c r="D680" s="23">
        <f>IFERROR(__xludf.DUMMYFUNCTION("""COMPUTED_VALUE"""),8.5954271558E10)</f>
        <v>85954271558</v>
      </c>
      <c r="E680" s="457">
        <f>IFERROR(__xludf.DUMMYFUNCTION("""COMPUTED_VALUE"""),0.0)</f>
        <v>0</v>
      </c>
      <c r="F680" s="270">
        <f>IFERROR(__xludf.DUMMYFUNCTION("""COMPUTED_VALUE"""),4.0)</f>
        <v>4</v>
      </c>
      <c r="G680" s="17" t="str">
        <f>IFERROR(__xludf.DUMMYFUNCTION("""COMPUTED_VALUE"""),"Full Set")</f>
        <v>Full Set</v>
      </c>
      <c r="H680" s="17"/>
      <c r="I680" s="262"/>
      <c r="J680" s="262"/>
      <c r="K680" s="262"/>
      <c r="L680" s="262"/>
      <c r="M680" s="262"/>
    </row>
    <row r="681">
      <c r="A681" s="255" t="str">
        <f>IFERROR(__xludf.DUMMYFUNCTION("""COMPUTED_VALUE"""),"NANO")</f>
        <v>NANO</v>
      </c>
      <c r="B681" s="23" t="str">
        <f>IFERROR(__xludf.DUMMYFUNCTION("""COMPUTED_VALUE"""),"ubeedaily ")</f>
        <v>ubeedaily </v>
      </c>
      <c r="C681" s="257" t="str">
        <f>IFERROR(__xludf.DUMMYFUNCTION("""COMPUTED_VALUE"""),"https://www.tiktok.com/@ubeedaily ")</f>
        <v>https://www.tiktok.com/@ubeedaily </v>
      </c>
      <c r="D681" s="23">
        <f>IFERROR(__xludf.DUMMYFUNCTION("""COMPUTED_VALUE"""),8.2257738694E10)</f>
        <v>82257738694</v>
      </c>
      <c r="E681" s="457">
        <f>IFERROR(__xludf.DUMMYFUNCTION("""COMPUTED_VALUE"""),0.0)</f>
        <v>0</v>
      </c>
      <c r="F681" s="270">
        <f>IFERROR(__xludf.DUMMYFUNCTION("""COMPUTED_VALUE"""),4.0)</f>
        <v>4</v>
      </c>
      <c r="G681" s="17" t="str">
        <f>IFERROR(__xludf.DUMMYFUNCTION("""COMPUTED_VALUE"""),"Full Set")</f>
        <v>Full Set</v>
      </c>
      <c r="H681" s="17"/>
      <c r="I681" s="262"/>
      <c r="J681" s="262"/>
      <c r="K681" s="262"/>
      <c r="L681" s="262"/>
      <c r="M681" s="262"/>
    </row>
    <row r="682">
      <c r="A682" s="255" t="str">
        <f>IFERROR(__xludf.DUMMYFUNCTION("""COMPUTED_VALUE"""),"NANO")</f>
        <v>NANO</v>
      </c>
      <c r="B682" s="23" t="str">
        <f>IFERROR(__xludf.DUMMYFUNCTION("""COMPUTED_VALUE"""),"ceo_batu_giok04")</f>
        <v>ceo_batu_giok04</v>
      </c>
      <c r="C682" s="257" t="str">
        <f>IFERROR(__xludf.DUMMYFUNCTION("""COMPUTED_VALUE"""),"https://www.tiktok.com/@ceo_batu_giok04")</f>
        <v>https://www.tiktok.com/@ceo_batu_giok04</v>
      </c>
      <c r="D682" s="23">
        <f>IFERROR(__xludf.DUMMYFUNCTION("""COMPUTED_VALUE"""),8.5759689846E10)</f>
        <v>85759689846</v>
      </c>
      <c r="E682" s="457">
        <f>IFERROR(__xludf.DUMMYFUNCTION("""COMPUTED_VALUE"""),0.0)</f>
        <v>0</v>
      </c>
      <c r="F682" s="270">
        <f>IFERROR(__xludf.DUMMYFUNCTION("""COMPUTED_VALUE"""),4.0)</f>
        <v>4</v>
      </c>
      <c r="G682" s="17" t="str">
        <f>IFERROR(__xludf.DUMMYFUNCTION("""COMPUTED_VALUE"""),"Full Set")</f>
        <v>Full Set</v>
      </c>
      <c r="H682" s="17"/>
      <c r="I682" s="262"/>
      <c r="J682" s="262"/>
      <c r="K682" s="262"/>
      <c r="L682" s="262"/>
      <c r="M682" s="262"/>
    </row>
    <row r="683">
      <c r="A683" s="255" t="str">
        <f>IFERROR(__xludf.DUMMYFUNCTION("""COMPUTED_VALUE"""),"NANO")</f>
        <v>NANO</v>
      </c>
      <c r="B683" s="23" t="str">
        <f>IFERROR(__xludf.DUMMYFUNCTION("""COMPUTED_VALUE"""),"nisaulmmn")</f>
        <v>nisaulmmn</v>
      </c>
      <c r="C683" s="257" t="str">
        <f>IFERROR(__xludf.DUMMYFUNCTION("""COMPUTED_VALUE"""),"https://www.tiktok.com/@nisaulmmn")</f>
        <v>https://www.tiktok.com/@nisaulmmn</v>
      </c>
      <c r="D683" s="23">
        <f>IFERROR(__xludf.DUMMYFUNCTION("""COMPUTED_VALUE"""),8.5156772947E10)</f>
        <v>85156772947</v>
      </c>
      <c r="E683" s="457">
        <f>IFERROR(__xludf.DUMMYFUNCTION("""COMPUTED_VALUE"""),0.0)</f>
        <v>0</v>
      </c>
      <c r="F683" s="270">
        <f>IFERROR(__xludf.DUMMYFUNCTION("""COMPUTED_VALUE"""),4.0)</f>
        <v>4</v>
      </c>
      <c r="G683" s="17" t="str">
        <f>IFERROR(__xludf.DUMMYFUNCTION("""COMPUTED_VALUE"""),"Full Set")</f>
        <v>Full Set</v>
      </c>
      <c r="H683" s="17"/>
      <c r="I683" s="262"/>
      <c r="J683" s="262"/>
      <c r="K683" s="262"/>
      <c r="L683" s="262"/>
      <c r="M683" s="262"/>
    </row>
    <row r="684">
      <c r="A684" s="255" t="str">
        <f>IFERROR(__xludf.DUMMYFUNCTION("""COMPUTED_VALUE"""),"NANO")</f>
        <v>NANO</v>
      </c>
      <c r="B684" s="23" t="str">
        <f>IFERROR(__xludf.DUMMYFUNCTION("""COMPUTED_VALUE"""),"delvva")</f>
        <v>delvva</v>
      </c>
      <c r="C684" s="257" t="str">
        <f>IFERROR(__xludf.DUMMYFUNCTION("""COMPUTED_VALUE"""),"https://www.tiktok.com/@delvva")</f>
        <v>https://www.tiktok.com/@delvva</v>
      </c>
      <c r="D684" s="23">
        <f>IFERROR(__xludf.DUMMYFUNCTION("""COMPUTED_VALUE"""),8.2325608161E10)</f>
        <v>82325608161</v>
      </c>
      <c r="E684" s="457">
        <f>IFERROR(__xludf.DUMMYFUNCTION("""COMPUTED_VALUE"""),0.0)</f>
        <v>0</v>
      </c>
      <c r="F684" s="270">
        <f>IFERROR(__xludf.DUMMYFUNCTION("""COMPUTED_VALUE"""),4.0)</f>
        <v>4</v>
      </c>
      <c r="G684" s="17" t="str">
        <f>IFERROR(__xludf.DUMMYFUNCTION("""COMPUTED_VALUE"""),"Full Set")</f>
        <v>Full Set</v>
      </c>
      <c r="H684" s="17"/>
      <c r="I684" s="262"/>
      <c r="J684" s="262"/>
      <c r="K684" s="262"/>
      <c r="L684" s="262"/>
      <c r="M684" s="262"/>
    </row>
    <row r="685">
      <c r="A685" s="255" t="str">
        <f>IFERROR(__xludf.DUMMYFUNCTION("""COMPUTED_VALUE"""),"NANO")</f>
        <v>NANO</v>
      </c>
      <c r="B685" s="23" t="str">
        <f>IFERROR(__xludf.DUMMYFUNCTION("""COMPUTED_VALUE"""),"piet_upiet")</f>
        <v>piet_upiet</v>
      </c>
      <c r="C685" s="257" t="str">
        <f>IFERROR(__xludf.DUMMYFUNCTION("""COMPUTED_VALUE"""),"https://www.tiktok.com/@piet_upiet")</f>
        <v>https://www.tiktok.com/@piet_upiet</v>
      </c>
      <c r="D685" s="23">
        <f>IFERROR(__xludf.DUMMYFUNCTION("""COMPUTED_VALUE"""),8.5714906449E10)</f>
        <v>85714906449</v>
      </c>
      <c r="E685" s="457">
        <f>IFERROR(__xludf.DUMMYFUNCTION("""COMPUTED_VALUE"""),0.0)</f>
        <v>0</v>
      </c>
      <c r="F685" s="270">
        <f>IFERROR(__xludf.DUMMYFUNCTION("""COMPUTED_VALUE"""),4.0)</f>
        <v>4</v>
      </c>
      <c r="G685" s="17" t="str">
        <f>IFERROR(__xludf.DUMMYFUNCTION("""COMPUTED_VALUE"""),"Full Set")</f>
        <v>Full Set</v>
      </c>
      <c r="H685" s="17"/>
      <c r="I685" s="262"/>
      <c r="J685" s="262"/>
      <c r="K685" s="262"/>
      <c r="L685" s="262"/>
      <c r="M685" s="262"/>
    </row>
    <row r="686">
      <c r="A686" s="255" t="str">
        <f>IFERROR(__xludf.DUMMYFUNCTION("""COMPUTED_VALUE"""),"NANO")</f>
        <v>NANO</v>
      </c>
      <c r="B686" s="23" t="str">
        <f>IFERROR(__xludf.DUMMYFUNCTION("""COMPUTED_VALUE"""),"chocochip_232")</f>
        <v>chocochip_232</v>
      </c>
      <c r="C686" s="257" t="str">
        <f>IFERROR(__xludf.DUMMYFUNCTION("""COMPUTED_VALUE"""),"https://www.tiktok.com/@chocochip_232")</f>
        <v>https://www.tiktok.com/@chocochip_232</v>
      </c>
      <c r="D686" s="23">
        <f>IFERROR(__xludf.DUMMYFUNCTION("""COMPUTED_VALUE"""),8.3848320895E10)</f>
        <v>83848320895</v>
      </c>
      <c r="E686" s="457">
        <f>IFERROR(__xludf.DUMMYFUNCTION("""COMPUTED_VALUE"""),0.0)</f>
        <v>0</v>
      </c>
      <c r="F686" s="270">
        <f>IFERROR(__xludf.DUMMYFUNCTION("""COMPUTED_VALUE"""),4.0)</f>
        <v>4</v>
      </c>
      <c r="G686" s="17" t="str">
        <f>IFERROR(__xludf.DUMMYFUNCTION("""COMPUTED_VALUE"""),"Full Set")</f>
        <v>Full Set</v>
      </c>
      <c r="H686" s="17"/>
      <c r="I686" s="262"/>
      <c r="J686" s="262"/>
      <c r="K686" s="262"/>
      <c r="L686" s="262"/>
      <c r="M686" s="262"/>
    </row>
    <row r="687">
      <c r="A687" s="255" t="str">
        <f>IFERROR(__xludf.DUMMYFUNCTION("""COMPUTED_VALUE"""),"NANO")</f>
        <v>NANO</v>
      </c>
      <c r="B687" s="23" t="str">
        <f>IFERROR(__xludf.DUMMYFUNCTION("""COMPUTED_VALUE"""),"sasalbela01_")</f>
        <v>sasalbela01_</v>
      </c>
      <c r="C687" s="257" t="str">
        <f>IFERROR(__xludf.DUMMYFUNCTION("""COMPUTED_VALUE"""),"https://www.tiktok.com/@sasalbela01_")</f>
        <v>https://www.tiktok.com/@sasalbela01_</v>
      </c>
      <c r="D687" s="23">
        <f>IFERROR(__xludf.DUMMYFUNCTION("""COMPUTED_VALUE"""),8.7739842352E10)</f>
        <v>87739842352</v>
      </c>
      <c r="E687" s="457">
        <f>IFERROR(__xludf.DUMMYFUNCTION("""COMPUTED_VALUE"""),0.0)</f>
        <v>0</v>
      </c>
      <c r="F687" s="270">
        <f>IFERROR(__xludf.DUMMYFUNCTION("""COMPUTED_VALUE"""),4.0)</f>
        <v>4</v>
      </c>
      <c r="G687" s="17" t="str">
        <f>IFERROR(__xludf.DUMMYFUNCTION("""COMPUTED_VALUE"""),"Full Set")</f>
        <v>Full Set</v>
      </c>
      <c r="H687" s="17"/>
      <c r="I687" s="278" t="str">
        <f>IFERROR(__xludf.DUMMYFUNCTION("""COMPUTED_VALUE"""),"https://www.tiktok.com/@sasalbela01_/video/7642416717536202004?is_from_webapp=1&amp;sender_device=pc")</f>
        <v>https://www.tiktok.com/@sasalbela01_/video/7642416717536202004?is_from_webapp=1&amp;sender_device=pc</v>
      </c>
      <c r="J687" s="278" t="str">
        <f>IFERROR(__xludf.DUMMYFUNCTION("""COMPUTED_VALUE"""),"https://www.tiktok.com/@sasalbela01_/video/7643249106395188500?is_from_webapp=1&amp;sender_device=pc")</f>
        <v>https://www.tiktok.com/@sasalbela01_/video/7643249106395188500?is_from_webapp=1&amp;sender_device=pc</v>
      </c>
      <c r="K687" s="278" t="str">
        <f>IFERROR(__xludf.DUMMYFUNCTION("""COMPUTED_VALUE"""),"https://www.tiktok.com/@sasalbela01_/video/7643816775661948181?is_from_webapp=1&amp;sender_device=pc")</f>
        <v>https://www.tiktok.com/@sasalbela01_/video/7643816775661948181?is_from_webapp=1&amp;sender_device=pc</v>
      </c>
      <c r="L687" s="262"/>
      <c r="M687" s="262"/>
    </row>
    <row r="688">
      <c r="A688" s="255" t="str">
        <f>IFERROR(__xludf.DUMMYFUNCTION("""COMPUTED_VALUE"""),"NANO")</f>
        <v>NANO</v>
      </c>
      <c r="B688" s="23" t="str">
        <f>IFERROR(__xludf.DUMMYFUNCTION("""COMPUTED_VALUE"""),"affinesia_17")</f>
        <v>affinesia_17</v>
      </c>
      <c r="C688" s="257" t="str">
        <f>IFERROR(__xludf.DUMMYFUNCTION("""COMPUTED_VALUE"""),"https://www.tiktok.com/@affinesia_17")</f>
        <v>https://www.tiktok.com/@affinesia_17</v>
      </c>
      <c r="D688" s="23">
        <f>IFERROR(__xludf.DUMMYFUNCTION("""COMPUTED_VALUE"""),8.5822923507E10)</f>
        <v>85822923507</v>
      </c>
      <c r="E688" s="457">
        <f>IFERROR(__xludf.DUMMYFUNCTION("""COMPUTED_VALUE"""),0.0)</f>
        <v>0</v>
      </c>
      <c r="F688" s="270">
        <f>IFERROR(__xludf.DUMMYFUNCTION("""COMPUTED_VALUE"""),4.0)</f>
        <v>4</v>
      </c>
      <c r="G688" s="17" t="str">
        <f>IFERROR(__xludf.DUMMYFUNCTION("""COMPUTED_VALUE"""),"Full Set")</f>
        <v>Full Set</v>
      </c>
      <c r="H688" s="17"/>
      <c r="I688" s="278" t="str">
        <f>IFERROR(__xludf.DUMMYFUNCTION("""COMPUTED_VALUE"""),"https://www.tiktok.com/@affinesia_17/video/7643804084083985685?is_from_webapp=1&amp;sender_device=pc")</f>
        <v>https://www.tiktok.com/@affinesia_17/video/7643804084083985685?is_from_webapp=1&amp;sender_device=pc</v>
      </c>
      <c r="J688" s="262"/>
      <c r="K688" s="262"/>
      <c r="L688" s="262"/>
      <c r="M688" s="262"/>
    </row>
    <row r="689">
      <c r="A689" s="255" t="str">
        <f>IFERROR(__xludf.DUMMYFUNCTION("""COMPUTED_VALUE"""),"MICRO")</f>
        <v>MICRO</v>
      </c>
      <c r="B689" s="23" t="str">
        <f>IFERROR(__xludf.DUMMYFUNCTION("""COMPUTED_VALUE"""),"Ochamoyu14 ")</f>
        <v>Ochamoyu14 </v>
      </c>
      <c r="C689" s="257" t="str">
        <f>IFERROR(__xludf.DUMMYFUNCTION("""COMPUTED_VALUE"""),"https://www.tiktok.com/@Ochamoyu14 ")</f>
        <v>https://www.tiktok.com/@Ochamoyu14 </v>
      </c>
      <c r="D689" s="23">
        <f>IFERROR(__xludf.DUMMYFUNCTION("""COMPUTED_VALUE"""),8.2258651803E10)</f>
        <v>82258651803</v>
      </c>
      <c r="E689" s="457">
        <f>IFERROR(__xludf.DUMMYFUNCTION("""COMPUTED_VALUE"""),0.0)</f>
        <v>0</v>
      </c>
      <c r="F689" s="270">
        <f>IFERROR(__xludf.DUMMYFUNCTION("""COMPUTED_VALUE"""),4.0)</f>
        <v>4</v>
      </c>
      <c r="G689" s="17" t="str">
        <f>IFERROR(__xludf.DUMMYFUNCTION("""COMPUTED_VALUE"""),"Full Set")</f>
        <v>Full Set</v>
      </c>
      <c r="H689" s="17"/>
      <c r="I689" s="262"/>
      <c r="J689" s="262"/>
      <c r="K689" s="262"/>
      <c r="L689" s="262"/>
      <c r="M689" s="262"/>
    </row>
    <row r="690">
      <c r="A690" s="255" t="str">
        <f>IFERROR(__xludf.DUMMYFUNCTION("""COMPUTED_VALUE"""),"NANO")</f>
        <v>NANO</v>
      </c>
      <c r="B690" s="23" t="str">
        <f>IFERROR(__xludf.DUMMYFUNCTION("""COMPUTED_VALUE"""),"racunbynhaa_")</f>
        <v>racunbynhaa_</v>
      </c>
      <c r="C690" s="257" t="str">
        <f>IFERROR(__xludf.DUMMYFUNCTION("""COMPUTED_VALUE"""),"https://www.tiktok.com/@racunbynhaa_")</f>
        <v>https://www.tiktok.com/@racunbynhaa_</v>
      </c>
      <c r="D690" s="23">
        <f>IFERROR(__xludf.DUMMYFUNCTION("""COMPUTED_VALUE"""),8.5603554989E10)</f>
        <v>85603554989</v>
      </c>
      <c r="E690" s="457">
        <f>IFERROR(__xludf.DUMMYFUNCTION("""COMPUTED_VALUE"""),0.0)</f>
        <v>0</v>
      </c>
      <c r="F690" s="270">
        <f>IFERROR(__xludf.DUMMYFUNCTION("""COMPUTED_VALUE"""),4.0)</f>
        <v>4</v>
      </c>
      <c r="G690" s="17" t="str">
        <f>IFERROR(__xludf.DUMMYFUNCTION("""COMPUTED_VALUE"""),"Full Set")</f>
        <v>Full Set</v>
      </c>
      <c r="H690" s="17"/>
      <c r="I690" s="262"/>
      <c r="J690" s="262"/>
      <c r="K690" s="262"/>
      <c r="L690" s="262"/>
      <c r="M690" s="262"/>
    </row>
    <row r="691">
      <c r="A691" s="255" t="str">
        <f>IFERROR(__xludf.DUMMYFUNCTION("""COMPUTED_VALUE"""),"NANO")</f>
        <v>NANO</v>
      </c>
      <c r="B691" s="23" t="str">
        <f>IFERROR(__xludf.DUMMYFUNCTION("""COMPUTED_VALUE"""),"casyamine")</f>
        <v>casyamine</v>
      </c>
      <c r="C691" s="257" t="str">
        <f>IFERROR(__xludf.DUMMYFUNCTION("""COMPUTED_VALUE"""),"https://www.tiktok.com/@casyamine")</f>
        <v>https://www.tiktok.com/@casyamine</v>
      </c>
      <c r="D691" s="23">
        <f>IFERROR(__xludf.DUMMYFUNCTION("""COMPUTED_VALUE"""),8.1378459548E10)</f>
        <v>81378459548</v>
      </c>
      <c r="E691" s="457">
        <f>IFERROR(__xludf.DUMMYFUNCTION("""COMPUTED_VALUE"""),0.0)</f>
        <v>0</v>
      </c>
      <c r="F691" s="270">
        <f>IFERROR(__xludf.DUMMYFUNCTION("""COMPUTED_VALUE"""),4.0)</f>
        <v>4</v>
      </c>
      <c r="G691" s="17" t="str">
        <f>IFERROR(__xludf.DUMMYFUNCTION("""COMPUTED_VALUE"""),"Full Set")</f>
        <v>Full Set</v>
      </c>
      <c r="H691" s="17"/>
      <c r="I691" s="262"/>
      <c r="J691" s="262"/>
      <c r="K691" s="262"/>
      <c r="L691" s="262"/>
      <c r="M691" s="262"/>
    </row>
    <row r="692">
      <c r="A692" s="255" t="str">
        <f>IFERROR(__xludf.DUMMYFUNCTION("""COMPUTED_VALUE"""),"NANO")</f>
        <v>NANO</v>
      </c>
      <c r="B692" s="23" t="str">
        <f>IFERROR(__xludf.DUMMYFUNCTION("""COMPUTED_VALUE"""),"nanassshhhhh")</f>
        <v>nanassshhhhh</v>
      </c>
      <c r="C692" s="257" t="str">
        <f>IFERROR(__xludf.DUMMYFUNCTION("""COMPUTED_VALUE"""),"https://www.tiktok.com/@nanassshhhhh")</f>
        <v>https://www.tiktok.com/@nanassshhhhh</v>
      </c>
      <c r="D692" s="23">
        <f>IFERROR(__xludf.DUMMYFUNCTION("""COMPUTED_VALUE"""),8.9676086598E10)</f>
        <v>89676086598</v>
      </c>
      <c r="E692" s="457">
        <f>IFERROR(__xludf.DUMMYFUNCTION("""COMPUTED_VALUE"""),0.0)</f>
        <v>0</v>
      </c>
      <c r="F692" s="270">
        <f>IFERROR(__xludf.DUMMYFUNCTION("""COMPUTED_VALUE"""),4.0)</f>
        <v>4</v>
      </c>
      <c r="G692" s="17" t="str">
        <f>IFERROR(__xludf.DUMMYFUNCTION("""COMPUTED_VALUE"""),"Full Set")</f>
        <v>Full Set</v>
      </c>
      <c r="H692" s="17"/>
      <c r="I692" s="262"/>
      <c r="J692" s="262"/>
      <c r="K692" s="262"/>
      <c r="L692" s="262"/>
      <c r="M692" s="262"/>
    </row>
    <row r="693">
      <c r="A693" s="255" t="str">
        <f>IFERROR(__xludf.DUMMYFUNCTION("""COMPUTED_VALUE"""),"NANO")</f>
        <v>NANO</v>
      </c>
      <c r="B693" s="23" t="str">
        <f>IFERROR(__xludf.DUMMYFUNCTION("""COMPUTED_VALUE"""),"renyfeb14")</f>
        <v>renyfeb14</v>
      </c>
      <c r="C693" s="257" t="str">
        <f>IFERROR(__xludf.DUMMYFUNCTION("""COMPUTED_VALUE"""),"https://www.tiktok.com/@renyfeb14")</f>
        <v>https://www.tiktok.com/@renyfeb14</v>
      </c>
      <c r="D693" s="23">
        <f>IFERROR(__xludf.DUMMYFUNCTION("""COMPUTED_VALUE"""),8.585367292E10)</f>
        <v>85853672920</v>
      </c>
      <c r="E693" s="457">
        <f>IFERROR(__xludf.DUMMYFUNCTION("""COMPUTED_VALUE"""),0.0)</f>
        <v>0</v>
      </c>
      <c r="F693" s="270">
        <f>IFERROR(__xludf.DUMMYFUNCTION("""COMPUTED_VALUE"""),4.0)</f>
        <v>4</v>
      </c>
      <c r="G693" s="17" t="str">
        <f>IFERROR(__xludf.DUMMYFUNCTION("""COMPUTED_VALUE"""),"Full Set")</f>
        <v>Full Set</v>
      </c>
      <c r="H693" s="17"/>
      <c r="I693" s="262"/>
      <c r="J693" s="262"/>
      <c r="K693" s="262"/>
      <c r="L693" s="262"/>
      <c r="M693" s="262"/>
    </row>
    <row r="694">
      <c r="A694" s="255" t="str">
        <f>IFERROR(__xludf.DUMMYFUNCTION("""COMPUTED_VALUE"""),"NANO")</f>
        <v>NANO</v>
      </c>
      <c r="B694" s="23" t="str">
        <f>IFERROR(__xludf.DUMMYFUNCTION("""COMPUTED_VALUE"""),"indahpuspitasari232")</f>
        <v>indahpuspitasari232</v>
      </c>
      <c r="C694" s="257" t="str">
        <f>IFERROR(__xludf.DUMMYFUNCTION("""COMPUTED_VALUE"""),"https://www.tiktok.com/@indahpuspitasari232")</f>
        <v>https://www.tiktok.com/@indahpuspitasari232</v>
      </c>
      <c r="D694" s="23">
        <f>IFERROR(__xludf.DUMMYFUNCTION("""COMPUTED_VALUE"""),8.5607045301E10)</f>
        <v>85607045301</v>
      </c>
      <c r="E694" s="457">
        <f>IFERROR(__xludf.DUMMYFUNCTION("""COMPUTED_VALUE"""),0.0)</f>
        <v>0</v>
      </c>
      <c r="F694" s="270">
        <f>IFERROR(__xludf.DUMMYFUNCTION("""COMPUTED_VALUE"""),4.0)</f>
        <v>4</v>
      </c>
      <c r="G694" s="17" t="str">
        <f>IFERROR(__xludf.DUMMYFUNCTION("""COMPUTED_VALUE"""),"Full Set")</f>
        <v>Full Set</v>
      </c>
      <c r="H694" s="17"/>
      <c r="I694" s="278" t="str">
        <f>IFERROR(__xludf.DUMMYFUNCTION("""COMPUTED_VALUE"""),"https://www.tiktok.com/@indahpuspitasari232/video/7642585305760959765?is_from_webapp=1&amp;sender_device=pc")</f>
        <v>https://www.tiktok.com/@indahpuspitasari232/video/7642585305760959765?is_from_webapp=1&amp;sender_device=pc</v>
      </c>
      <c r="J694" s="278" t="str">
        <f>IFERROR(__xludf.DUMMYFUNCTION("""COMPUTED_VALUE"""),"https://www.tiktok.com/@indahpuspitasari232/video/7642940478635166996?is_from_webapp=1&amp;sender_device=pc")</f>
        <v>https://www.tiktok.com/@indahpuspitasari232/video/7642940478635166996?is_from_webapp=1&amp;sender_device=pc</v>
      </c>
      <c r="K694" s="262"/>
      <c r="L694" s="262"/>
      <c r="M694" s="262"/>
    </row>
    <row r="695">
      <c r="A695" s="255" t="str">
        <f>IFERROR(__xludf.DUMMYFUNCTION("""COMPUTED_VALUE"""),"NANO")</f>
        <v>NANO</v>
      </c>
      <c r="B695" s="23" t="str">
        <f>IFERROR(__xludf.DUMMYFUNCTION("""COMPUTED_VALUE"""),"lailihanikfyandanik ")</f>
        <v>lailihanikfyandanik </v>
      </c>
      <c r="C695" s="257" t="str">
        <f>IFERROR(__xludf.DUMMYFUNCTION("""COMPUTED_VALUE"""),"https://www.tiktok.com/@lailihanikfyandanik ")</f>
        <v>https://www.tiktok.com/@lailihanikfyandanik </v>
      </c>
      <c r="D695" s="23">
        <f>IFERROR(__xludf.DUMMYFUNCTION("""COMPUTED_VALUE"""),8.3115697071E10)</f>
        <v>83115697071</v>
      </c>
      <c r="E695" s="457">
        <f>IFERROR(__xludf.DUMMYFUNCTION("""COMPUTED_VALUE"""),0.0)</f>
        <v>0</v>
      </c>
      <c r="F695" s="270">
        <f>IFERROR(__xludf.DUMMYFUNCTION("""COMPUTED_VALUE"""),4.0)</f>
        <v>4</v>
      </c>
      <c r="G695" s="17" t="str">
        <f>IFERROR(__xludf.DUMMYFUNCTION("""COMPUTED_VALUE"""),"Full Set")</f>
        <v>Full Set</v>
      </c>
      <c r="H695" s="17"/>
      <c r="I695" s="262"/>
      <c r="J695" s="262"/>
      <c r="K695" s="262"/>
      <c r="L695" s="262"/>
      <c r="M695" s="262"/>
    </row>
    <row r="696">
      <c r="A696" s="255" t="str">
        <f>IFERROR(__xludf.DUMMYFUNCTION("""COMPUTED_VALUE"""),"NANO")</f>
        <v>NANO</v>
      </c>
      <c r="B696" s="23" t="str">
        <f>IFERROR(__xludf.DUMMYFUNCTION("""COMPUTED_VALUE"""),"suritiw")</f>
        <v>suritiw</v>
      </c>
      <c r="C696" s="257" t="str">
        <f>IFERROR(__xludf.DUMMYFUNCTION("""COMPUTED_VALUE"""),"https://www.tiktok.com/@suritiw")</f>
        <v>https://www.tiktok.com/@suritiw</v>
      </c>
      <c r="D696" s="23">
        <f>IFERROR(__xludf.DUMMYFUNCTION("""COMPUTED_VALUE"""),8.2315648181E10)</f>
        <v>82315648181</v>
      </c>
      <c r="E696" s="457">
        <f>IFERROR(__xludf.DUMMYFUNCTION("""COMPUTED_VALUE"""),0.0)</f>
        <v>0</v>
      </c>
      <c r="F696" s="270">
        <f>IFERROR(__xludf.DUMMYFUNCTION("""COMPUTED_VALUE"""),4.0)</f>
        <v>4</v>
      </c>
      <c r="G696" s="17" t="str">
        <f>IFERROR(__xludf.DUMMYFUNCTION("""COMPUTED_VALUE"""),"Full Set")</f>
        <v>Full Set</v>
      </c>
      <c r="H696" s="17"/>
      <c r="I696" s="262"/>
      <c r="J696" s="262"/>
      <c r="K696" s="262"/>
      <c r="L696" s="262"/>
      <c r="M696" s="262"/>
    </row>
    <row r="697">
      <c r="A697" s="255" t="str">
        <f>IFERROR(__xludf.DUMMYFUNCTION("""COMPUTED_VALUE"""),"NANO")</f>
        <v>NANO</v>
      </c>
      <c r="B697" s="23" t="str">
        <f>IFERROR(__xludf.DUMMYFUNCTION("""COMPUTED_VALUE"""),"recandwinata")</f>
        <v>recandwinata</v>
      </c>
      <c r="C697" s="257" t="str">
        <f>IFERROR(__xludf.DUMMYFUNCTION("""COMPUTED_VALUE"""),"https://www.tiktok.com/@recandwinata")</f>
        <v>https://www.tiktok.com/@recandwinata</v>
      </c>
      <c r="D697" s="23">
        <f>IFERROR(__xludf.DUMMYFUNCTION("""COMPUTED_VALUE"""),8.1276294908E10)</f>
        <v>81276294908</v>
      </c>
      <c r="E697" s="457">
        <f>IFERROR(__xludf.DUMMYFUNCTION("""COMPUTED_VALUE"""),0.0)</f>
        <v>0</v>
      </c>
      <c r="F697" s="270">
        <f>IFERROR(__xludf.DUMMYFUNCTION("""COMPUTED_VALUE"""),4.0)</f>
        <v>4</v>
      </c>
      <c r="G697" s="17" t="str">
        <f>IFERROR(__xludf.DUMMYFUNCTION("""COMPUTED_VALUE"""),"Full Set")</f>
        <v>Full Set</v>
      </c>
      <c r="H697" s="17"/>
      <c r="I697" s="262"/>
      <c r="J697" s="262"/>
      <c r="K697" s="262"/>
      <c r="L697" s="262"/>
      <c r="M697" s="262"/>
    </row>
    <row r="698">
      <c r="A698" s="255" t="str">
        <f>IFERROR(__xludf.DUMMYFUNCTION("""COMPUTED_VALUE"""),"NANO")</f>
        <v>NANO</v>
      </c>
      <c r="B698" s="23" t="str">
        <f>IFERROR(__xludf.DUMMYFUNCTION("""COMPUTED_VALUE"""),"devitaa_1")</f>
        <v>devitaa_1</v>
      </c>
      <c r="C698" s="257" t="str">
        <f>IFERROR(__xludf.DUMMYFUNCTION("""COMPUTED_VALUE"""),"https://www.tiktok.com/@devitaa_1")</f>
        <v>https://www.tiktok.com/@devitaa_1</v>
      </c>
      <c r="D698" s="23">
        <f>IFERROR(__xludf.DUMMYFUNCTION("""COMPUTED_VALUE"""),8.2268741144E10)</f>
        <v>82268741144</v>
      </c>
      <c r="E698" s="457">
        <f>IFERROR(__xludf.DUMMYFUNCTION("""COMPUTED_VALUE"""),0.0)</f>
        <v>0</v>
      </c>
      <c r="F698" s="270">
        <f>IFERROR(__xludf.DUMMYFUNCTION("""COMPUTED_VALUE"""),4.0)</f>
        <v>4</v>
      </c>
      <c r="G698" s="17" t="str">
        <f>IFERROR(__xludf.DUMMYFUNCTION("""COMPUTED_VALUE"""),"Full Set")</f>
        <v>Full Set</v>
      </c>
      <c r="H698" s="17"/>
      <c r="I698" s="262"/>
      <c r="J698" s="262"/>
      <c r="K698" s="262"/>
      <c r="L698" s="262"/>
      <c r="M698" s="262"/>
    </row>
    <row r="699">
      <c r="A699" s="255" t="str">
        <f>IFERROR(__xludf.DUMMYFUNCTION("""COMPUTED_VALUE"""),"NANO")</f>
        <v>NANO</v>
      </c>
      <c r="B699" s="23" t="str">
        <f>IFERROR(__xludf.DUMMYFUNCTION("""COMPUTED_VALUE"""),"Kennyaydha ")</f>
        <v>Kennyaydha </v>
      </c>
      <c r="C699" s="257" t="str">
        <f>IFERROR(__xludf.DUMMYFUNCTION("""COMPUTED_VALUE"""),"https://www.tiktok.com/@Kennyaydha ")</f>
        <v>https://www.tiktok.com/@Kennyaydha </v>
      </c>
      <c r="D699" s="23">
        <f>IFERROR(__xludf.DUMMYFUNCTION("""COMPUTED_VALUE"""),8.9625735974E10)</f>
        <v>89625735974</v>
      </c>
      <c r="E699" s="457">
        <f>IFERROR(__xludf.DUMMYFUNCTION("""COMPUTED_VALUE"""),0.0)</f>
        <v>0</v>
      </c>
      <c r="F699" s="270">
        <f>IFERROR(__xludf.DUMMYFUNCTION("""COMPUTED_VALUE"""),4.0)</f>
        <v>4</v>
      </c>
      <c r="G699" s="17" t="str">
        <f>IFERROR(__xludf.DUMMYFUNCTION("""COMPUTED_VALUE"""),"Full Set")</f>
        <v>Full Set</v>
      </c>
      <c r="H699" s="17"/>
      <c r="I699" s="262"/>
      <c r="J699" s="262"/>
      <c r="K699" s="262"/>
      <c r="L699" s="262"/>
      <c r="M699" s="262"/>
    </row>
    <row r="700">
      <c r="A700" s="255" t="str">
        <f>IFERROR(__xludf.DUMMYFUNCTION("""COMPUTED_VALUE"""),"NANO")</f>
        <v>NANO</v>
      </c>
      <c r="B700" s="23" t="str">
        <f>IFERROR(__xludf.DUMMYFUNCTION("""COMPUTED_VALUE"""),"pangesti_est")</f>
        <v>pangesti_est</v>
      </c>
      <c r="C700" s="257" t="str">
        <f>IFERROR(__xludf.DUMMYFUNCTION("""COMPUTED_VALUE"""),"https://www.tiktok.com/@pangesti_est")</f>
        <v>https://www.tiktok.com/@pangesti_est</v>
      </c>
      <c r="D700" s="23">
        <f>IFERROR(__xludf.DUMMYFUNCTION("""COMPUTED_VALUE"""),8.98806731E9)</f>
        <v>8988067310</v>
      </c>
      <c r="E700" s="457">
        <f>IFERROR(__xludf.DUMMYFUNCTION("""COMPUTED_VALUE"""),0.0)</f>
        <v>0</v>
      </c>
      <c r="F700" s="270">
        <f>IFERROR(__xludf.DUMMYFUNCTION("""COMPUTED_VALUE"""),4.0)</f>
        <v>4</v>
      </c>
      <c r="G700" s="17" t="str">
        <f>IFERROR(__xludf.DUMMYFUNCTION("""COMPUTED_VALUE"""),"Full Set")</f>
        <v>Full Set</v>
      </c>
      <c r="H700" s="17"/>
      <c r="I700" s="278" t="str">
        <f>IFERROR(__xludf.DUMMYFUNCTION("""COMPUTED_VALUE"""),"https://www.tiktok.com/@pangesti_est/video/7643826126695009554?is_from_webapp=1&amp;sender_device=pc")</f>
        <v>https://www.tiktok.com/@pangesti_est/video/7643826126695009554?is_from_webapp=1&amp;sender_device=pc</v>
      </c>
      <c r="J700" s="262"/>
      <c r="K700" s="262"/>
      <c r="L700" s="262"/>
      <c r="M700" s="262"/>
    </row>
    <row r="701">
      <c r="A701" s="255" t="str">
        <f>IFERROR(__xludf.DUMMYFUNCTION("""COMPUTED_VALUE"""),"NANO")</f>
        <v>NANO</v>
      </c>
      <c r="B701" s="23" t="str">
        <f>IFERROR(__xludf.DUMMYFUNCTION("""COMPUTED_VALUE"""),"ctrameyyrani_ ")</f>
        <v>ctrameyyrani_ </v>
      </c>
      <c r="C701" s="257" t="str">
        <f>IFERROR(__xludf.DUMMYFUNCTION("""COMPUTED_VALUE"""),"https://www.tiktok.com/@ctrameyyrani_ ")</f>
        <v>https://www.tiktok.com/@ctrameyyrani_ </v>
      </c>
      <c r="D701" s="23">
        <f>IFERROR(__xludf.DUMMYFUNCTION("""COMPUTED_VALUE"""),8.589076474E10)</f>
        <v>85890764740</v>
      </c>
      <c r="E701" s="457">
        <f>IFERROR(__xludf.DUMMYFUNCTION("""COMPUTED_VALUE"""),0.0)</f>
        <v>0</v>
      </c>
      <c r="F701" s="270">
        <f>IFERROR(__xludf.DUMMYFUNCTION("""COMPUTED_VALUE"""),4.0)</f>
        <v>4</v>
      </c>
      <c r="G701" s="17" t="str">
        <f>IFERROR(__xludf.DUMMYFUNCTION("""COMPUTED_VALUE"""),"Full Set")</f>
        <v>Full Set</v>
      </c>
      <c r="H701" s="17"/>
      <c r="I701" s="278" t="str">
        <f>IFERROR(__xludf.DUMMYFUNCTION("""COMPUTED_VALUE"""),"https://www.tiktok.com/@ctrameyyrani_/video/7643054959315176724?is_from_webapp=1&amp;sender_device=pc")</f>
        <v>https://www.tiktok.com/@ctrameyyrani_/video/7643054959315176724?is_from_webapp=1&amp;sender_device=pc</v>
      </c>
      <c r="J701" s="262"/>
      <c r="K701" s="262"/>
      <c r="L701" s="262"/>
      <c r="M701" s="262"/>
    </row>
    <row r="702">
      <c r="A702" s="255" t="str">
        <f>IFERROR(__xludf.DUMMYFUNCTION("""COMPUTED_VALUE"""),"NANO")</f>
        <v>NANO</v>
      </c>
      <c r="B702" s="23" t="str">
        <f>IFERROR(__xludf.DUMMYFUNCTION("""COMPUTED_VALUE"""),"rendut11_")</f>
        <v>rendut11_</v>
      </c>
      <c r="C702" s="257" t="str">
        <f>IFERROR(__xludf.DUMMYFUNCTION("""COMPUTED_VALUE"""),"https://www.tiktok.com/@rendut11_")</f>
        <v>https://www.tiktok.com/@rendut11_</v>
      </c>
      <c r="D702" s="23">
        <f>IFERROR(__xludf.DUMMYFUNCTION("""COMPUTED_VALUE"""),8.8991417297E10)</f>
        <v>88991417297</v>
      </c>
      <c r="E702" s="457">
        <f>IFERROR(__xludf.DUMMYFUNCTION("""COMPUTED_VALUE"""),0.0)</f>
        <v>0</v>
      </c>
      <c r="F702" s="270">
        <f>IFERROR(__xludf.DUMMYFUNCTION("""COMPUTED_VALUE"""),4.0)</f>
        <v>4</v>
      </c>
      <c r="G702" s="17" t="str">
        <f>IFERROR(__xludf.DUMMYFUNCTION("""COMPUTED_VALUE"""),"Full Set")</f>
        <v>Full Set</v>
      </c>
      <c r="H702" s="17"/>
      <c r="I702" s="262"/>
      <c r="J702" s="262"/>
      <c r="K702" s="262"/>
      <c r="L702" s="262"/>
      <c r="M702" s="262"/>
    </row>
    <row r="703">
      <c r="A703" s="255" t="str">
        <f>IFERROR(__xludf.DUMMYFUNCTION("""COMPUTED_VALUE"""),"NANO")</f>
        <v>NANO</v>
      </c>
      <c r="B703" s="23" t="str">
        <f>IFERROR(__xludf.DUMMYFUNCTION("""COMPUTED_VALUE"""),"inii.riniiiii")</f>
        <v>inii.riniiiii</v>
      </c>
      <c r="C703" s="257" t="str">
        <f>IFERROR(__xludf.DUMMYFUNCTION("""COMPUTED_VALUE"""),"https://www.tiktok.com/@inii.riniiiii")</f>
        <v>https://www.tiktok.com/@inii.riniiiii</v>
      </c>
      <c r="D703" s="23">
        <f>IFERROR(__xludf.DUMMYFUNCTION("""COMPUTED_VALUE"""),8.5756145806E10)</f>
        <v>85756145806</v>
      </c>
      <c r="E703" s="457">
        <f>IFERROR(__xludf.DUMMYFUNCTION("""COMPUTED_VALUE"""),0.0)</f>
        <v>0</v>
      </c>
      <c r="F703" s="270">
        <f>IFERROR(__xludf.DUMMYFUNCTION("""COMPUTED_VALUE"""),4.0)</f>
        <v>4</v>
      </c>
      <c r="G703" s="17" t="str">
        <f>IFERROR(__xludf.DUMMYFUNCTION("""COMPUTED_VALUE"""),"Full Set")</f>
        <v>Full Set</v>
      </c>
      <c r="H703" s="17"/>
      <c r="I703" s="262"/>
      <c r="J703" s="262"/>
      <c r="K703" s="262"/>
      <c r="L703" s="262"/>
      <c r="M703" s="262"/>
    </row>
    <row r="704">
      <c r="A704" s="255" t="str">
        <f>IFERROR(__xludf.DUMMYFUNCTION("""COMPUTED_VALUE"""),"NANO")</f>
        <v>NANO</v>
      </c>
      <c r="B704" s="23" t="str">
        <f>IFERROR(__xludf.DUMMYFUNCTION("""COMPUTED_VALUE"""),"eophanaa")</f>
        <v>eophanaa</v>
      </c>
      <c r="C704" s="257" t="str">
        <f>IFERROR(__xludf.DUMMYFUNCTION("""COMPUTED_VALUE"""),"https://www.tiktok.com/@eophanaa")</f>
        <v>https://www.tiktok.com/@eophanaa</v>
      </c>
      <c r="D704" s="23">
        <f>IFERROR(__xludf.DUMMYFUNCTION("""COMPUTED_VALUE"""),8.5723540506E10)</f>
        <v>85723540506</v>
      </c>
      <c r="E704" s="457">
        <f>IFERROR(__xludf.DUMMYFUNCTION("""COMPUTED_VALUE"""),0.0)</f>
        <v>0</v>
      </c>
      <c r="F704" s="270">
        <f>IFERROR(__xludf.DUMMYFUNCTION("""COMPUTED_VALUE"""),4.0)</f>
        <v>4</v>
      </c>
      <c r="G704" s="17" t="str">
        <f>IFERROR(__xludf.DUMMYFUNCTION("""COMPUTED_VALUE"""),"Full Set")</f>
        <v>Full Set</v>
      </c>
      <c r="H704" s="17"/>
      <c r="I704" s="262"/>
      <c r="J704" s="262"/>
      <c r="K704" s="262"/>
      <c r="L704" s="262"/>
      <c r="M704" s="262"/>
    </row>
    <row r="705">
      <c r="A705" s="255" t="str">
        <f>IFERROR(__xludf.DUMMYFUNCTION("""COMPUTED_VALUE"""),"MICRO")</f>
        <v>MICRO</v>
      </c>
      <c r="B705" s="23" t="str">
        <f>IFERROR(__xludf.DUMMYFUNCTION("""COMPUTED_VALUE"""),"xixiee._")</f>
        <v>xixiee._</v>
      </c>
      <c r="C705" s="257" t="str">
        <f>IFERROR(__xludf.DUMMYFUNCTION("""COMPUTED_VALUE"""),"https://www.tiktok.com/@xixiee._")</f>
        <v>https://www.tiktok.com/@xixiee._</v>
      </c>
      <c r="D705" s="23">
        <f>IFERROR(__xludf.DUMMYFUNCTION("""COMPUTED_VALUE"""),8.3172131259E10)</f>
        <v>83172131259</v>
      </c>
      <c r="E705" s="457">
        <f>IFERROR(__xludf.DUMMYFUNCTION("""COMPUTED_VALUE"""),0.0)</f>
        <v>0</v>
      </c>
      <c r="F705" s="270">
        <f>IFERROR(__xludf.DUMMYFUNCTION("""COMPUTED_VALUE"""),4.0)</f>
        <v>4</v>
      </c>
      <c r="G705" s="17" t="str">
        <f>IFERROR(__xludf.DUMMYFUNCTION("""COMPUTED_VALUE"""),"Full Set")</f>
        <v>Full Set</v>
      </c>
      <c r="H705" s="17"/>
      <c r="I705" s="278" t="str">
        <f>IFERROR(__xludf.DUMMYFUNCTION("""COMPUTED_VALUE"""),"https://www.tiktok.com/@xixiee._/video/7643449246385048840?is_from_webapp=1&amp;sender_device=pc")</f>
        <v>https://www.tiktok.com/@xixiee._/video/7643449246385048840?is_from_webapp=1&amp;sender_device=pc</v>
      </c>
      <c r="J705" s="278" t="str">
        <f>IFERROR(__xludf.DUMMYFUNCTION("""COMPUTED_VALUE"""),"https://www.tiktok.com/@xixiee._/video/7643842566932253970?is_from_webapp=1&amp;sender_device=pc")</f>
        <v>https://www.tiktok.com/@xixiee._/video/7643842566932253970?is_from_webapp=1&amp;sender_device=pc</v>
      </c>
      <c r="K705" s="278" t="str">
        <f>IFERROR(__xludf.DUMMYFUNCTION("""COMPUTED_VALUE"""),"https://www.tiktok.com/@xixiee._/video/7643850765676629256?is_from_webapp=1&amp;sender_device=pc")</f>
        <v>https://www.tiktok.com/@xixiee._/video/7643850765676629256?is_from_webapp=1&amp;sender_device=pc</v>
      </c>
      <c r="L705" s="262"/>
      <c r="M705" s="262"/>
    </row>
    <row r="706">
      <c r="A706" s="255" t="str">
        <f>IFERROR(__xludf.DUMMYFUNCTION("""COMPUTED_VALUE"""),"NANO")</f>
        <v>NANO</v>
      </c>
      <c r="B706" s="23" t="str">
        <f>IFERROR(__xludf.DUMMYFUNCTION("""COMPUTED_VALUE"""),"leonora.daily")</f>
        <v>leonora.daily</v>
      </c>
      <c r="C706" s="257" t="str">
        <f>IFERROR(__xludf.DUMMYFUNCTION("""COMPUTED_VALUE"""),"https://www.tiktok.com/@leonora.daily")</f>
        <v>https://www.tiktok.com/@leonora.daily</v>
      </c>
      <c r="D706" s="23">
        <f>IFERROR(__xludf.DUMMYFUNCTION("""COMPUTED_VALUE"""),8.571441916E10)</f>
        <v>85714419160</v>
      </c>
      <c r="E706" s="457">
        <f>IFERROR(__xludf.DUMMYFUNCTION("""COMPUTED_VALUE"""),0.0)</f>
        <v>0</v>
      </c>
      <c r="F706" s="270">
        <f>IFERROR(__xludf.DUMMYFUNCTION("""COMPUTED_VALUE"""),4.0)</f>
        <v>4</v>
      </c>
      <c r="G706" s="17" t="str">
        <f>IFERROR(__xludf.DUMMYFUNCTION("""COMPUTED_VALUE"""),"Full Set")</f>
        <v>Full Set</v>
      </c>
      <c r="H706" s="17"/>
      <c r="I706" s="262"/>
      <c r="J706" s="262"/>
      <c r="K706" s="262"/>
      <c r="L706" s="262"/>
      <c r="M706" s="262"/>
    </row>
    <row r="707">
      <c r="A707" s="255" t="str">
        <f>IFERROR(__xludf.DUMMYFUNCTION("""COMPUTED_VALUE"""),"NANO")</f>
        <v>NANO</v>
      </c>
      <c r="B707" s="23" t="str">
        <f>IFERROR(__xludf.DUMMYFUNCTION("""COMPUTED_VALUE"""),"Ariika_90")</f>
        <v>Ariika_90</v>
      </c>
      <c r="C707" s="257" t="str">
        <f>IFERROR(__xludf.DUMMYFUNCTION("""COMPUTED_VALUE"""),"https://www.tiktok.com/@Ariika_90")</f>
        <v>https://www.tiktok.com/@Ariika_90</v>
      </c>
      <c r="D707" s="23">
        <f>IFERROR(__xludf.DUMMYFUNCTION("""COMPUTED_VALUE"""),8.5141063113E10)</f>
        <v>85141063113</v>
      </c>
      <c r="E707" s="457">
        <f>IFERROR(__xludf.DUMMYFUNCTION("""COMPUTED_VALUE"""),0.0)</f>
        <v>0</v>
      </c>
      <c r="F707" s="270">
        <f>IFERROR(__xludf.DUMMYFUNCTION("""COMPUTED_VALUE"""),4.0)</f>
        <v>4</v>
      </c>
      <c r="G707" s="17" t="str">
        <f>IFERROR(__xludf.DUMMYFUNCTION("""COMPUTED_VALUE"""),"Full Set")</f>
        <v>Full Set</v>
      </c>
      <c r="H707" s="17"/>
      <c r="I707" s="278" t="str">
        <f>IFERROR(__xludf.DUMMYFUNCTION("""COMPUTED_VALUE"""),"https://www.tiktok.com/@ariika_90/video/7642355760415952146?is_from_webapp=1&amp;sender_device=pc")</f>
        <v>https://www.tiktok.com/@ariika_90/video/7642355760415952146?is_from_webapp=1&amp;sender_device=pc</v>
      </c>
      <c r="J707" s="278" t="str">
        <f>IFERROR(__xludf.DUMMYFUNCTION("""COMPUTED_VALUE"""),"https://www.tiktok.com/@ariika_90/video/7642551339041557778?is_from_webapp=1&amp;sender_device=pc")</f>
        <v>https://www.tiktok.com/@ariika_90/video/7642551339041557778?is_from_webapp=1&amp;sender_device=pc</v>
      </c>
      <c r="K707" s="278" t="str">
        <f>IFERROR(__xludf.DUMMYFUNCTION("""COMPUTED_VALUE"""),"https://www.tiktok.com/@ariika_90/video/7642835613263154439?is_from_webapp=1&amp;sender_device=pc")</f>
        <v>https://www.tiktok.com/@ariika_90/video/7642835613263154439?is_from_webapp=1&amp;sender_device=pc</v>
      </c>
      <c r="L707" s="278" t="str">
        <f>IFERROR(__xludf.DUMMYFUNCTION("""COMPUTED_VALUE"""),"https://www.tiktok.com/@ariika_90/video/7643430752704564488?is_from_webapp=1&amp;sender_device=pc")</f>
        <v>https://www.tiktok.com/@ariika_90/video/7643430752704564488?is_from_webapp=1&amp;sender_device=pc</v>
      </c>
      <c r="M707" s="262"/>
    </row>
    <row r="708">
      <c r="A708" s="255" t="str">
        <f>IFERROR(__xludf.DUMMYFUNCTION("""COMPUTED_VALUE"""),"NANO")</f>
        <v>NANO</v>
      </c>
      <c r="B708" s="23" t="str">
        <f>IFERROR(__xludf.DUMMYFUNCTION("""COMPUTED_VALUE"""),"ay_ia06")</f>
        <v>ay_ia06</v>
      </c>
      <c r="C708" s="257" t="str">
        <f>IFERROR(__xludf.DUMMYFUNCTION("""COMPUTED_VALUE"""),"https://www.tiktok.com/@ay_ia06")</f>
        <v>https://www.tiktok.com/@ay_ia06</v>
      </c>
      <c r="D708" s="23">
        <f>IFERROR(__xludf.DUMMYFUNCTION("""COMPUTED_VALUE"""),8.313449146E10)</f>
        <v>83134491460</v>
      </c>
      <c r="E708" s="457">
        <f>IFERROR(__xludf.DUMMYFUNCTION("""COMPUTED_VALUE"""),0.0)</f>
        <v>0</v>
      </c>
      <c r="F708" s="270">
        <f>IFERROR(__xludf.DUMMYFUNCTION("""COMPUTED_VALUE"""),4.0)</f>
        <v>4</v>
      </c>
      <c r="G708" s="17" t="str">
        <f>IFERROR(__xludf.DUMMYFUNCTION("""COMPUTED_VALUE"""),"Full Set")</f>
        <v>Full Set</v>
      </c>
      <c r="H708" s="17"/>
      <c r="I708" s="262"/>
      <c r="J708" s="262"/>
      <c r="K708" s="262"/>
      <c r="L708" s="262"/>
      <c r="M708" s="262"/>
    </row>
    <row r="709">
      <c r="A709" s="255" t="str">
        <f>IFERROR(__xludf.DUMMYFUNCTION("""COMPUTED_VALUE"""),"NANO")</f>
        <v>NANO</v>
      </c>
      <c r="B709" s="23" t="str">
        <f>IFERROR(__xludf.DUMMYFUNCTION("""COMPUTED_VALUE"""),"_iaaaaa.n")</f>
        <v>_iaaaaa.n</v>
      </c>
      <c r="C709" s="257" t="str">
        <f>IFERROR(__xludf.DUMMYFUNCTION("""COMPUTED_VALUE"""),"https://www.tiktok.com/@_iaaaaa.n")</f>
        <v>https://www.tiktok.com/@_iaaaaa.n</v>
      </c>
      <c r="D709" s="23">
        <f>IFERROR(__xludf.DUMMYFUNCTION("""COMPUTED_VALUE"""),8.1563360708E10)</f>
        <v>81563360708</v>
      </c>
      <c r="E709" s="457">
        <f>IFERROR(__xludf.DUMMYFUNCTION("""COMPUTED_VALUE"""),0.0)</f>
        <v>0</v>
      </c>
      <c r="F709" s="270">
        <f>IFERROR(__xludf.DUMMYFUNCTION("""COMPUTED_VALUE"""),4.0)</f>
        <v>4</v>
      </c>
      <c r="G709" s="17" t="str">
        <f>IFERROR(__xludf.DUMMYFUNCTION("""COMPUTED_VALUE"""),"Full Set")</f>
        <v>Full Set</v>
      </c>
      <c r="H709" s="17"/>
      <c r="I709" s="278" t="str">
        <f>IFERROR(__xludf.DUMMYFUNCTION("""COMPUTED_VALUE"""),"https://www.tiktok.com/@_iaaaaa.n/video/7642528860587740437?is_from_webapp=1&amp;sender_device=pc")</f>
        <v>https://www.tiktok.com/@_iaaaaa.n/video/7642528860587740437?is_from_webapp=1&amp;sender_device=pc</v>
      </c>
      <c r="J709" s="278" t="str">
        <f>IFERROR(__xludf.DUMMYFUNCTION("""COMPUTED_VALUE"""),"https://www.tiktok.com/@_iaaaaa.n/video/7643730617569414421?is_from_webapp=1&amp;sender_device=pc")</f>
        <v>https://www.tiktok.com/@_iaaaaa.n/video/7643730617569414421?is_from_webapp=1&amp;sender_device=pc</v>
      </c>
      <c r="K709" s="262"/>
      <c r="L709" s="278" t="str">
        <f>IFERROR(__xludf.DUMMYFUNCTION("""COMPUTED_VALUE"""),"https://vt.tiktok.com/ZSxgAodv7/")</f>
        <v>https://vt.tiktok.com/ZSxgAodv7/</v>
      </c>
      <c r="M709" s="262"/>
    </row>
    <row r="710">
      <c r="A710" s="255" t="str">
        <f>IFERROR(__xludf.DUMMYFUNCTION("""COMPUTED_VALUE"""),"NANO")</f>
        <v>NANO</v>
      </c>
      <c r="B710" s="23" t="str">
        <f>IFERROR(__xludf.DUMMYFUNCTION("""COMPUTED_VALUE"""),"Milkzywayx09 ")</f>
        <v>Milkzywayx09 </v>
      </c>
      <c r="C710" s="257" t="str">
        <f>IFERROR(__xludf.DUMMYFUNCTION("""COMPUTED_VALUE"""),"https://www.tiktok.com/@Milkzywayx09 ")</f>
        <v>https://www.tiktok.com/@Milkzywayx09 </v>
      </c>
      <c r="D710" s="23">
        <f>IFERROR(__xludf.DUMMYFUNCTION("""COMPUTED_VALUE"""),8.2219951502E10)</f>
        <v>82219951502</v>
      </c>
      <c r="E710" s="457">
        <f>IFERROR(__xludf.DUMMYFUNCTION("""COMPUTED_VALUE"""),0.0)</f>
        <v>0</v>
      </c>
      <c r="F710" s="270">
        <f>IFERROR(__xludf.DUMMYFUNCTION("""COMPUTED_VALUE"""),4.0)</f>
        <v>4</v>
      </c>
      <c r="G710" s="17" t="str">
        <f>IFERROR(__xludf.DUMMYFUNCTION("""COMPUTED_VALUE"""),"Full Set")</f>
        <v>Full Set</v>
      </c>
      <c r="H710" s="17"/>
      <c r="I710" s="262"/>
      <c r="J710" s="262"/>
      <c r="K710" s="262"/>
      <c r="L710" s="262"/>
      <c r="M710" s="262"/>
    </row>
    <row r="711">
      <c r="A711" s="255" t="str">
        <f>IFERROR(__xludf.DUMMYFUNCTION("""COMPUTED_VALUE"""),"NANO")</f>
        <v>NANO</v>
      </c>
      <c r="B711" s="23" t="str">
        <f>IFERROR(__xludf.DUMMYFUNCTION("""COMPUTED_VALUE"""),"firdaamaliaaa_")</f>
        <v>firdaamaliaaa_</v>
      </c>
      <c r="C711" s="257" t="str">
        <f>IFERROR(__xludf.DUMMYFUNCTION("""COMPUTED_VALUE"""),"https://www.tiktok.com/@firdaamaliaaa_")</f>
        <v>https://www.tiktok.com/@firdaamaliaaa_</v>
      </c>
      <c r="D711" s="23">
        <f>IFERROR(__xludf.DUMMYFUNCTION("""COMPUTED_VALUE"""),8.5864414189E10)</f>
        <v>85864414189</v>
      </c>
      <c r="E711" s="457">
        <f>IFERROR(__xludf.DUMMYFUNCTION("""COMPUTED_VALUE"""),0.0)</f>
        <v>0</v>
      </c>
      <c r="F711" s="270">
        <f>IFERROR(__xludf.DUMMYFUNCTION("""COMPUTED_VALUE"""),4.0)</f>
        <v>4</v>
      </c>
      <c r="G711" s="17" t="str">
        <f>IFERROR(__xludf.DUMMYFUNCTION("""COMPUTED_VALUE"""),"Full Set")</f>
        <v>Full Set</v>
      </c>
      <c r="H711" s="17"/>
      <c r="I711" s="262"/>
      <c r="J711" s="262"/>
      <c r="K711" s="262"/>
      <c r="L711" s="262"/>
      <c r="M711" s="262"/>
    </row>
    <row r="712">
      <c r="A712" s="255" t="str">
        <f>IFERROR(__xludf.DUMMYFUNCTION("""COMPUTED_VALUE"""),"NANO")</f>
        <v>NANO</v>
      </c>
      <c r="B712" s="23" t="str">
        <f>IFERROR(__xludf.DUMMYFUNCTION("""COMPUTED_VALUE"""),"putriulandari___")</f>
        <v>putriulandari___</v>
      </c>
      <c r="C712" s="257" t="str">
        <f>IFERROR(__xludf.DUMMYFUNCTION("""COMPUTED_VALUE"""),"https://www.tiktok.com/@putriulandari___")</f>
        <v>https://www.tiktok.com/@putriulandari___</v>
      </c>
      <c r="D712" s="23">
        <f>IFERROR(__xludf.DUMMYFUNCTION("""COMPUTED_VALUE"""),8.1273324857E10)</f>
        <v>81273324857</v>
      </c>
      <c r="E712" s="457">
        <f>IFERROR(__xludf.DUMMYFUNCTION("""COMPUTED_VALUE"""),0.0)</f>
        <v>0</v>
      </c>
      <c r="F712" s="270">
        <f>IFERROR(__xludf.DUMMYFUNCTION("""COMPUTED_VALUE"""),4.0)</f>
        <v>4</v>
      </c>
      <c r="G712" s="17" t="str">
        <f>IFERROR(__xludf.DUMMYFUNCTION("""COMPUTED_VALUE"""),"Full Set")</f>
        <v>Full Set</v>
      </c>
      <c r="H712" s="17"/>
      <c r="I712" s="262"/>
      <c r="J712" s="262"/>
      <c r="K712" s="262"/>
      <c r="L712" s="262"/>
      <c r="M712" s="262"/>
    </row>
    <row r="713">
      <c r="A713" s="255" t="str">
        <f>IFERROR(__xludf.DUMMYFUNCTION("""COMPUTED_VALUE"""),"NANO")</f>
        <v>NANO</v>
      </c>
      <c r="B713" s="23" t="str">
        <f>IFERROR(__xludf.DUMMYFUNCTION("""COMPUTED_VALUE"""),"maow2e ")</f>
        <v>maow2e </v>
      </c>
      <c r="C713" s="257" t="str">
        <f>IFERROR(__xludf.DUMMYFUNCTION("""COMPUTED_VALUE"""),"https://www.tiktok.com/@maow2e ")</f>
        <v>https://www.tiktok.com/@maow2e </v>
      </c>
      <c r="D713" s="23">
        <f>IFERROR(__xludf.DUMMYFUNCTION("""COMPUTED_VALUE"""),8.5157933037E10)</f>
        <v>85157933037</v>
      </c>
      <c r="E713" s="457">
        <f>IFERROR(__xludf.DUMMYFUNCTION("""COMPUTED_VALUE"""),0.0)</f>
        <v>0</v>
      </c>
      <c r="F713" s="270">
        <f>IFERROR(__xludf.DUMMYFUNCTION("""COMPUTED_VALUE"""),4.0)</f>
        <v>4</v>
      </c>
      <c r="G713" s="17" t="str">
        <f>IFERROR(__xludf.DUMMYFUNCTION("""COMPUTED_VALUE"""),"Full Set")</f>
        <v>Full Set</v>
      </c>
      <c r="H713" s="17"/>
      <c r="I713" s="278" t="str">
        <f>IFERROR(__xludf.DUMMYFUNCTION("""COMPUTED_VALUE"""),"https://www.tiktok.com/@maow2e/video/7643477470598991125?is_from_webapp=1&amp;sender_device=pc")</f>
        <v>https://www.tiktok.com/@maow2e/video/7643477470598991125?is_from_webapp=1&amp;sender_device=pc</v>
      </c>
      <c r="J713" s="262"/>
      <c r="K713" s="262"/>
      <c r="L713" s="262"/>
      <c r="M713" s="262"/>
    </row>
    <row r="714">
      <c r="A714" s="255" t="str">
        <f>IFERROR(__xludf.DUMMYFUNCTION("""COMPUTED_VALUE"""),"NANO")</f>
        <v>NANO</v>
      </c>
      <c r="B714" s="23" t="str">
        <f>IFERROR(__xludf.DUMMYFUNCTION("""COMPUTED_VALUE"""),"Derramedesp")</f>
        <v>Derramedesp</v>
      </c>
      <c r="C714" s="257" t="str">
        <f>IFERROR(__xludf.DUMMYFUNCTION("""COMPUTED_VALUE"""),"https://www.tiktok.com/@Derramedesp")</f>
        <v>https://www.tiktok.com/@Derramedesp</v>
      </c>
      <c r="D714" s="23">
        <f>IFERROR(__xludf.DUMMYFUNCTION("""COMPUTED_VALUE"""),8.8808383505E10)</f>
        <v>88808383505</v>
      </c>
      <c r="E714" s="457">
        <f>IFERROR(__xludf.DUMMYFUNCTION("""COMPUTED_VALUE"""),0.0)</f>
        <v>0</v>
      </c>
      <c r="F714" s="270">
        <f>IFERROR(__xludf.DUMMYFUNCTION("""COMPUTED_VALUE"""),4.0)</f>
        <v>4</v>
      </c>
      <c r="G714" s="17" t="str">
        <f>IFERROR(__xludf.DUMMYFUNCTION("""COMPUTED_VALUE"""),"Full Set")</f>
        <v>Full Set</v>
      </c>
      <c r="H714" s="17"/>
      <c r="I714" s="262"/>
      <c r="J714" s="262"/>
      <c r="K714" s="262"/>
      <c r="L714" s="262"/>
      <c r="M714" s="262"/>
    </row>
    <row r="715">
      <c r="A715" s="255" t="str">
        <f>IFERROR(__xludf.DUMMYFUNCTION("""COMPUTED_VALUE"""),"NANO")</f>
        <v>NANO</v>
      </c>
      <c r="B715" s="23" t="str">
        <f>IFERROR(__xludf.DUMMYFUNCTION("""COMPUTED_VALUE"""),"zeeya2024")</f>
        <v>zeeya2024</v>
      </c>
      <c r="C715" s="257" t="str">
        <f>IFERROR(__xludf.DUMMYFUNCTION("""COMPUTED_VALUE"""),"https://www.tiktok.com/@zeeya2024")</f>
        <v>https://www.tiktok.com/@zeeya2024</v>
      </c>
      <c r="D715" s="23">
        <f>IFERROR(__xludf.DUMMYFUNCTION("""COMPUTED_VALUE"""),8.571733222E10)</f>
        <v>85717332220</v>
      </c>
      <c r="E715" s="457">
        <f>IFERROR(__xludf.DUMMYFUNCTION("""COMPUTED_VALUE"""),0.0)</f>
        <v>0</v>
      </c>
      <c r="F715" s="270">
        <f>IFERROR(__xludf.DUMMYFUNCTION("""COMPUTED_VALUE"""),4.0)</f>
        <v>4</v>
      </c>
      <c r="G715" s="17" t="str">
        <f>IFERROR(__xludf.DUMMYFUNCTION("""COMPUTED_VALUE"""),"Full Set")</f>
        <v>Full Set</v>
      </c>
      <c r="H715" s="17"/>
      <c r="I715" s="262"/>
      <c r="J715" s="262"/>
      <c r="K715" s="262"/>
      <c r="L715" s="262"/>
      <c r="M715" s="262"/>
    </row>
    <row r="716">
      <c r="A716" s="255" t="str">
        <f>IFERROR(__xludf.DUMMYFUNCTION("""COMPUTED_VALUE"""),"NANO")</f>
        <v>NANO</v>
      </c>
      <c r="B716" s="23" t="str">
        <f>IFERROR(__xludf.DUMMYFUNCTION("""COMPUTED_VALUE"""),"Dsty0306")</f>
        <v>Dsty0306</v>
      </c>
      <c r="C716" s="257" t="str">
        <f>IFERROR(__xludf.DUMMYFUNCTION("""COMPUTED_VALUE"""),"https://www.tiktok.com/@Dsty0306")</f>
        <v>https://www.tiktok.com/@Dsty0306</v>
      </c>
      <c r="D716" s="23">
        <f>IFERROR(__xludf.DUMMYFUNCTION("""COMPUTED_VALUE"""),8.313906007E10)</f>
        <v>83139060070</v>
      </c>
      <c r="E716" s="457">
        <f>IFERROR(__xludf.DUMMYFUNCTION("""COMPUTED_VALUE"""),0.0)</f>
        <v>0</v>
      </c>
      <c r="F716" s="270">
        <f>IFERROR(__xludf.DUMMYFUNCTION("""COMPUTED_VALUE"""),4.0)</f>
        <v>4</v>
      </c>
      <c r="G716" s="17" t="str">
        <f>IFERROR(__xludf.DUMMYFUNCTION("""COMPUTED_VALUE"""),"Full Set")</f>
        <v>Full Set</v>
      </c>
      <c r="H716" s="17"/>
      <c r="I716" s="262"/>
      <c r="J716" s="262"/>
      <c r="K716" s="262"/>
      <c r="L716" s="262"/>
      <c r="M716" s="262"/>
    </row>
    <row r="717">
      <c r="A717" s="255" t="str">
        <f>IFERROR(__xludf.DUMMYFUNCTION("""COMPUTED_VALUE"""),"NANO")</f>
        <v>NANO</v>
      </c>
      <c r="B717" s="23" t="str">
        <f>IFERROR(__xludf.DUMMYFUNCTION("""COMPUTED_VALUE"""),"land13_")</f>
        <v>land13_</v>
      </c>
      <c r="C717" s="257" t="str">
        <f>IFERROR(__xludf.DUMMYFUNCTION("""COMPUTED_VALUE"""),"https://www.tiktok.com/@land13_")</f>
        <v>https://www.tiktok.com/@land13_</v>
      </c>
      <c r="D717" s="23">
        <f>IFERROR(__xludf.DUMMYFUNCTION("""COMPUTED_VALUE"""),8.5333184747E10)</f>
        <v>85333184747</v>
      </c>
      <c r="E717" s="457">
        <f>IFERROR(__xludf.DUMMYFUNCTION("""COMPUTED_VALUE"""),0.0)</f>
        <v>0</v>
      </c>
      <c r="F717" s="270">
        <f>IFERROR(__xludf.DUMMYFUNCTION("""COMPUTED_VALUE"""),4.0)</f>
        <v>4</v>
      </c>
      <c r="G717" s="17" t="str">
        <f>IFERROR(__xludf.DUMMYFUNCTION("""COMPUTED_VALUE"""),"Full Set")</f>
        <v>Full Set</v>
      </c>
      <c r="H717" s="17"/>
      <c r="I717" s="262"/>
      <c r="J717" s="262"/>
      <c r="K717" s="262"/>
      <c r="L717" s="262"/>
      <c r="M717" s="262"/>
    </row>
    <row r="718">
      <c r="A718" s="255" t="str">
        <f>IFERROR(__xludf.DUMMYFUNCTION("""COMPUTED_VALUE"""),"NANO")</f>
        <v>NANO</v>
      </c>
      <c r="B718" s="23" t="str">
        <f>IFERROR(__xludf.DUMMYFUNCTION("""COMPUTED_VALUE"""),"d127604")</f>
        <v>d127604</v>
      </c>
      <c r="C718" s="257" t="str">
        <f>IFERROR(__xludf.DUMMYFUNCTION("""COMPUTED_VALUE"""),"https://www.tiktok.com/@d127604")</f>
        <v>https://www.tiktok.com/@d127604</v>
      </c>
      <c r="D718" s="23">
        <f>IFERROR(__xludf.DUMMYFUNCTION("""COMPUTED_VALUE"""),8.3137501013E10)</f>
        <v>83137501013</v>
      </c>
      <c r="E718" s="457">
        <f>IFERROR(__xludf.DUMMYFUNCTION("""COMPUTED_VALUE"""),0.0)</f>
        <v>0</v>
      </c>
      <c r="F718" s="270">
        <f>IFERROR(__xludf.DUMMYFUNCTION("""COMPUTED_VALUE"""),4.0)</f>
        <v>4</v>
      </c>
      <c r="G718" s="17" t="str">
        <f>IFERROR(__xludf.DUMMYFUNCTION("""COMPUTED_VALUE"""),"Full Set")</f>
        <v>Full Set</v>
      </c>
      <c r="H718" s="17"/>
      <c r="I718" s="278" t="str">
        <f>IFERROR(__xludf.DUMMYFUNCTION("""COMPUTED_VALUE"""),"https://www.tiktok.com/@d127604/video/7644049223461211399?is_from_webapp=1&amp;sender_device=pc")</f>
        <v>https://www.tiktok.com/@d127604/video/7644049223461211399?is_from_webapp=1&amp;sender_device=pc</v>
      </c>
      <c r="J718" s="262"/>
      <c r="K718" s="262"/>
      <c r="L718" s="262"/>
      <c r="M718" s="262"/>
    </row>
    <row r="719">
      <c r="A719" s="255" t="str">
        <f>IFERROR(__xludf.DUMMYFUNCTION("""COMPUTED_VALUE"""),"NANO")</f>
        <v>NANO</v>
      </c>
      <c r="B719" s="23" t="str">
        <f>IFERROR(__xludf.DUMMYFUNCTION("""COMPUTED_VALUE"""),"syi_syi")</f>
        <v>syi_syi</v>
      </c>
      <c r="C719" s="257" t="str">
        <f>IFERROR(__xludf.DUMMYFUNCTION("""COMPUTED_VALUE"""),"https://www.tiktok.com/@syi_syi")</f>
        <v>https://www.tiktok.com/@syi_syi</v>
      </c>
      <c r="D719" s="23">
        <f>IFERROR(__xludf.DUMMYFUNCTION("""COMPUTED_VALUE"""),8.5624520484E10)</f>
        <v>85624520484</v>
      </c>
      <c r="E719" s="457">
        <f>IFERROR(__xludf.DUMMYFUNCTION("""COMPUTED_VALUE"""),0.0)</f>
        <v>0</v>
      </c>
      <c r="F719" s="270">
        <f>IFERROR(__xludf.DUMMYFUNCTION("""COMPUTED_VALUE"""),4.0)</f>
        <v>4</v>
      </c>
      <c r="G719" s="17" t="str">
        <f>IFERROR(__xludf.DUMMYFUNCTION("""COMPUTED_VALUE"""),"Full Set")</f>
        <v>Full Set</v>
      </c>
      <c r="H719" s="17"/>
      <c r="I719" s="278" t="str">
        <f>IFERROR(__xludf.DUMMYFUNCTION("""COMPUTED_VALUE"""),"https://www.tiktok.com/@syi_syi/video/7643396429196578069?is_from_webapp=1&amp;sender_device=pc")</f>
        <v>https://www.tiktok.com/@syi_syi/video/7643396429196578069?is_from_webapp=1&amp;sender_device=pc</v>
      </c>
      <c r="J719" s="262"/>
      <c r="K719" s="262"/>
      <c r="L719" s="262"/>
      <c r="M719" s="262"/>
    </row>
    <row r="720">
      <c r="A720" s="255" t="str">
        <f>IFERROR(__xludf.DUMMYFUNCTION("""COMPUTED_VALUE"""),"NANO")</f>
        <v>NANO</v>
      </c>
      <c r="B720" s="23" t="str">
        <f>IFERROR(__xludf.DUMMYFUNCTION("""COMPUTED_VALUE"""),"Des_yannn")</f>
        <v>Des_yannn</v>
      </c>
      <c r="C720" s="257" t="str">
        <f>IFERROR(__xludf.DUMMYFUNCTION("""COMPUTED_VALUE"""),"https://www.tiktok.com/@Des_yannn")</f>
        <v>https://www.tiktok.com/@Des_yannn</v>
      </c>
      <c r="D720" s="23">
        <f>IFERROR(__xludf.DUMMYFUNCTION("""COMPUTED_VALUE"""),8.8980595929E10)</f>
        <v>88980595929</v>
      </c>
      <c r="E720" s="457">
        <f>IFERROR(__xludf.DUMMYFUNCTION("""COMPUTED_VALUE"""),0.0)</f>
        <v>0</v>
      </c>
      <c r="F720" s="270">
        <f>IFERROR(__xludf.DUMMYFUNCTION("""COMPUTED_VALUE"""),4.0)</f>
        <v>4</v>
      </c>
      <c r="G720" s="17" t="str">
        <f>IFERROR(__xludf.DUMMYFUNCTION("""COMPUTED_VALUE"""),"Full Set")</f>
        <v>Full Set</v>
      </c>
      <c r="H720" s="17"/>
      <c r="I720" s="262"/>
      <c r="J720" s="262"/>
      <c r="K720" s="262"/>
      <c r="L720" s="262"/>
      <c r="M720" s="262"/>
    </row>
    <row r="721">
      <c r="A721" s="255" t="str">
        <f>IFERROR(__xludf.DUMMYFUNCTION("""COMPUTED_VALUE"""),"NANO")</f>
        <v>NANO</v>
      </c>
      <c r="B721" s="23" t="str">
        <f>IFERROR(__xludf.DUMMYFUNCTION("""COMPUTED_VALUE"""),"marchgirl__")</f>
        <v>marchgirl__</v>
      </c>
      <c r="C721" s="257" t="str">
        <f>IFERROR(__xludf.DUMMYFUNCTION("""COMPUTED_VALUE"""),"https://www.tiktok.com/@marchgirl__")</f>
        <v>https://www.tiktok.com/@marchgirl__</v>
      </c>
      <c r="D721" s="23">
        <f>IFERROR(__xludf.DUMMYFUNCTION("""COMPUTED_VALUE"""),8.234196956E10)</f>
        <v>82341969560</v>
      </c>
      <c r="E721" s="457">
        <f>IFERROR(__xludf.DUMMYFUNCTION("""COMPUTED_VALUE"""),0.0)</f>
        <v>0</v>
      </c>
      <c r="F721" s="270">
        <f>IFERROR(__xludf.DUMMYFUNCTION("""COMPUTED_VALUE"""),4.0)</f>
        <v>4</v>
      </c>
      <c r="G721" s="17" t="str">
        <f>IFERROR(__xludf.DUMMYFUNCTION("""COMPUTED_VALUE"""),"Full Set")</f>
        <v>Full Set</v>
      </c>
      <c r="H721" s="17"/>
      <c r="I721" s="278" t="str">
        <f>IFERROR(__xludf.DUMMYFUNCTION("""COMPUTED_VALUE"""),"https://www.tiktok.com/@marchgirl__/video/7643261705107164437?is_from_webapp=1&amp;sender_device=pc")</f>
        <v>https://www.tiktok.com/@marchgirl__/video/7643261705107164437?is_from_webapp=1&amp;sender_device=pc</v>
      </c>
      <c r="J721" s="278" t="str">
        <f>IFERROR(__xludf.DUMMYFUNCTION("""COMPUTED_VALUE"""),"https://www.tiktok.com/@marchgirl__/video/7643295494252317973?is_from_webapp=1&amp;sender_device=pc")</f>
        <v>https://www.tiktok.com/@marchgirl__/video/7643295494252317973?is_from_webapp=1&amp;sender_device=pc</v>
      </c>
      <c r="K721" s="278" t="str">
        <f>IFERROR(__xludf.DUMMYFUNCTION("""COMPUTED_VALUE"""),"https://www.tiktok.com/@marchgirl__/video/7643632154978618644?is_from_webapp=1&amp;sender_device=pc")</f>
        <v>https://www.tiktok.com/@marchgirl__/video/7643632154978618644?is_from_webapp=1&amp;sender_device=pc</v>
      </c>
      <c r="L721" s="262"/>
      <c r="M721" s="262"/>
    </row>
    <row r="722">
      <c r="A722" s="255" t="str">
        <f>IFERROR(__xludf.DUMMYFUNCTION("""COMPUTED_VALUE"""),"NANO")</f>
        <v>NANO</v>
      </c>
      <c r="B722" s="23" t="str">
        <f>IFERROR(__xludf.DUMMYFUNCTION("""COMPUTED_VALUE"""),"zizaashopp ")</f>
        <v>zizaashopp </v>
      </c>
      <c r="C722" s="257" t="str">
        <f>IFERROR(__xludf.DUMMYFUNCTION("""COMPUTED_VALUE"""),"https://www.tiktok.com/@zizaashopp ")</f>
        <v>https://www.tiktok.com/@zizaashopp </v>
      </c>
      <c r="D722" s="23">
        <f>IFERROR(__xludf.DUMMYFUNCTION("""COMPUTED_VALUE"""),8.3114562456E10)</f>
        <v>83114562456</v>
      </c>
      <c r="E722" s="457">
        <f>IFERROR(__xludf.DUMMYFUNCTION("""COMPUTED_VALUE"""),0.0)</f>
        <v>0</v>
      </c>
      <c r="F722" s="270">
        <f>IFERROR(__xludf.DUMMYFUNCTION("""COMPUTED_VALUE"""),4.0)</f>
        <v>4</v>
      </c>
      <c r="G722" s="17" t="str">
        <f>IFERROR(__xludf.DUMMYFUNCTION("""COMPUTED_VALUE"""),"Full Set")</f>
        <v>Full Set</v>
      </c>
      <c r="H722" s="17"/>
      <c r="I722" s="278" t="str">
        <f>IFERROR(__xludf.DUMMYFUNCTION("""COMPUTED_VALUE"""),"https://www.tiktok.com/@zizaashopp/video/7643434902251130133?is_from_webapp=1&amp;sender_device=pc")</f>
        <v>https://www.tiktok.com/@zizaashopp/video/7643434902251130133?is_from_webapp=1&amp;sender_device=pc</v>
      </c>
      <c r="J722" s="262"/>
      <c r="K722" s="262"/>
      <c r="L722" s="262"/>
      <c r="M722" s="262"/>
    </row>
    <row r="723">
      <c r="A723" s="255" t="str">
        <f>IFERROR(__xludf.DUMMYFUNCTION("""COMPUTED_VALUE"""),"NANO")</f>
        <v>NANO</v>
      </c>
      <c r="B723" s="23" t="str">
        <f>IFERROR(__xludf.DUMMYFUNCTION("""COMPUTED_VALUE"""),"dewiw0606")</f>
        <v>dewiw0606</v>
      </c>
      <c r="C723" s="257" t="str">
        <f>IFERROR(__xludf.DUMMYFUNCTION("""COMPUTED_VALUE"""),"https://www.tiktok.com/@dewiw0606")</f>
        <v>https://www.tiktok.com/@dewiw0606</v>
      </c>
      <c r="D723" s="23">
        <f>IFERROR(__xludf.DUMMYFUNCTION("""COMPUTED_VALUE"""),8.95320057133E11)</f>
        <v>895320057133</v>
      </c>
      <c r="E723" s="457">
        <f>IFERROR(__xludf.DUMMYFUNCTION("""COMPUTED_VALUE"""),0.0)</f>
        <v>0</v>
      </c>
      <c r="F723" s="270">
        <f>IFERROR(__xludf.DUMMYFUNCTION("""COMPUTED_VALUE"""),4.0)</f>
        <v>4</v>
      </c>
      <c r="G723" s="17" t="str">
        <f>IFERROR(__xludf.DUMMYFUNCTION("""COMPUTED_VALUE"""),"Full Set")</f>
        <v>Full Set</v>
      </c>
      <c r="H723" s="17"/>
      <c r="I723" s="262"/>
      <c r="J723" s="262"/>
      <c r="K723" s="262"/>
      <c r="L723" s="262"/>
      <c r="M723" s="262"/>
    </row>
    <row r="724">
      <c r="A724" s="255" t="str">
        <f>IFERROR(__xludf.DUMMYFUNCTION("""COMPUTED_VALUE"""),"NANO")</f>
        <v>NANO</v>
      </c>
      <c r="B724" s="23" t="str">
        <f>IFERROR(__xludf.DUMMYFUNCTION("""COMPUTED_VALUE"""),"_spilyuk")</f>
        <v>_spilyuk</v>
      </c>
      <c r="C724" s="257" t="str">
        <f>IFERROR(__xludf.DUMMYFUNCTION("""COMPUTED_VALUE"""),"https://www.tiktok.com/@_spilyuk")</f>
        <v>https://www.tiktok.com/@_spilyuk</v>
      </c>
      <c r="D724" s="23">
        <f>IFERROR(__xludf.DUMMYFUNCTION("""COMPUTED_VALUE"""),8.1329259949E10)</f>
        <v>81329259949</v>
      </c>
      <c r="E724" s="457">
        <f>IFERROR(__xludf.DUMMYFUNCTION("""COMPUTED_VALUE"""),0.0)</f>
        <v>0</v>
      </c>
      <c r="F724" s="270">
        <f>IFERROR(__xludf.DUMMYFUNCTION("""COMPUTED_VALUE"""),4.0)</f>
        <v>4</v>
      </c>
      <c r="G724" s="17" t="str">
        <f>IFERROR(__xludf.DUMMYFUNCTION("""COMPUTED_VALUE"""),"Full Set")</f>
        <v>Full Set</v>
      </c>
      <c r="H724" s="17"/>
      <c r="I724" s="262"/>
      <c r="J724" s="262"/>
      <c r="K724" s="262"/>
      <c r="L724" s="262"/>
      <c r="M724" s="262"/>
    </row>
    <row r="725">
      <c r="A725" s="255" t="str">
        <f>IFERROR(__xludf.DUMMYFUNCTION("""COMPUTED_VALUE"""),"NANO")</f>
        <v>NANO</v>
      </c>
      <c r="B725" s="23" t="str">
        <f>IFERROR(__xludf.DUMMYFUNCTION("""COMPUTED_VALUE"""),"Prandu06 ")</f>
        <v>Prandu06 </v>
      </c>
      <c r="C725" s="257" t="str">
        <f>IFERROR(__xludf.DUMMYFUNCTION("""COMPUTED_VALUE"""),"https://www.tiktok.com/@Prandu06 ")</f>
        <v>https://www.tiktok.com/@Prandu06 </v>
      </c>
      <c r="D725" s="23">
        <f>IFERROR(__xludf.DUMMYFUNCTION("""COMPUTED_VALUE"""),8.3869912262E10)</f>
        <v>83869912262</v>
      </c>
      <c r="E725" s="457">
        <f>IFERROR(__xludf.DUMMYFUNCTION("""COMPUTED_VALUE"""),0.0)</f>
        <v>0</v>
      </c>
      <c r="F725" s="270">
        <f>IFERROR(__xludf.DUMMYFUNCTION("""COMPUTED_VALUE"""),4.0)</f>
        <v>4</v>
      </c>
      <c r="G725" s="17" t="str">
        <f>IFERROR(__xludf.DUMMYFUNCTION("""COMPUTED_VALUE"""),"Full Set")</f>
        <v>Full Set</v>
      </c>
      <c r="H725" s="17"/>
      <c r="I725" s="262"/>
      <c r="J725" s="262"/>
      <c r="K725" s="262"/>
      <c r="L725" s="262"/>
      <c r="M725" s="262"/>
    </row>
    <row r="726">
      <c r="A726" s="255" t="str">
        <f>IFERROR(__xludf.DUMMYFUNCTION("""COMPUTED_VALUE"""),"NANO")</f>
        <v>NANO</v>
      </c>
      <c r="B726" s="23" t="str">
        <f>IFERROR(__xludf.DUMMYFUNCTION("""COMPUTED_VALUE"""),"glamwithlulu11")</f>
        <v>glamwithlulu11</v>
      </c>
      <c r="C726" s="257" t="str">
        <f>IFERROR(__xludf.DUMMYFUNCTION("""COMPUTED_VALUE"""),"https://www.tiktok.com/@glamwithlulu11")</f>
        <v>https://www.tiktok.com/@glamwithlulu11</v>
      </c>
      <c r="D726" s="23">
        <f>IFERROR(__xludf.DUMMYFUNCTION("""COMPUTED_VALUE"""),8.5775187304E10)</f>
        <v>85775187304</v>
      </c>
      <c r="E726" s="457">
        <f>IFERROR(__xludf.DUMMYFUNCTION("""COMPUTED_VALUE"""),0.0)</f>
        <v>0</v>
      </c>
      <c r="F726" s="270">
        <f>IFERROR(__xludf.DUMMYFUNCTION("""COMPUTED_VALUE"""),4.0)</f>
        <v>4</v>
      </c>
      <c r="G726" s="17" t="str">
        <f>IFERROR(__xludf.DUMMYFUNCTION("""COMPUTED_VALUE"""),"Full Set")</f>
        <v>Full Set</v>
      </c>
      <c r="H726" s="17"/>
      <c r="I726" s="262"/>
      <c r="J726" s="262"/>
      <c r="K726" s="262"/>
      <c r="L726" s="262"/>
      <c r="M726" s="262"/>
    </row>
    <row r="727">
      <c r="A727" s="255" t="str">
        <f>IFERROR(__xludf.DUMMYFUNCTION("""COMPUTED_VALUE"""),"NANO")</f>
        <v>NANO</v>
      </c>
      <c r="B727" s="23" t="str">
        <f>IFERROR(__xludf.DUMMYFUNCTION("""COMPUTED_VALUE"""),"ccolshop1")</f>
        <v>ccolshop1</v>
      </c>
      <c r="C727" s="257" t="str">
        <f>IFERROR(__xludf.DUMMYFUNCTION("""COMPUTED_VALUE"""),"https://www.tiktok.com/@ccolshop1")</f>
        <v>https://www.tiktok.com/@ccolshop1</v>
      </c>
      <c r="D727" s="23">
        <f>IFERROR(__xludf.DUMMYFUNCTION("""COMPUTED_VALUE"""),8.2360377174E10)</f>
        <v>82360377174</v>
      </c>
      <c r="E727" s="457">
        <f>IFERROR(__xludf.DUMMYFUNCTION("""COMPUTED_VALUE"""),0.0)</f>
        <v>0</v>
      </c>
      <c r="F727" s="270">
        <f>IFERROR(__xludf.DUMMYFUNCTION("""COMPUTED_VALUE"""),4.0)</f>
        <v>4</v>
      </c>
      <c r="G727" s="17" t="str">
        <f>IFERROR(__xludf.DUMMYFUNCTION("""COMPUTED_VALUE"""),"Full Set")</f>
        <v>Full Set</v>
      </c>
      <c r="H727" s="17"/>
      <c r="I727" s="278" t="str">
        <f>IFERROR(__xludf.DUMMYFUNCTION("""COMPUTED_VALUE"""),"https://www.tiktok.com/@ccolshop1/video/7643083805863054600?is_from_webapp=1&amp;sender_device=pc")</f>
        <v>https://www.tiktok.com/@ccolshop1/video/7643083805863054600?is_from_webapp=1&amp;sender_device=pc</v>
      </c>
      <c r="J727" s="278" t="str">
        <f>IFERROR(__xludf.DUMMYFUNCTION("""COMPUTED_VALUE"""),"https://www.tiktok.com/@ccolshop1/video/7643328956619328775?is_from_webapp=1&amp;sender_device=pc")</f>
        <v>https://www.tiktok.com/@ccolshop1/video/7643328956619328775?is_from_webapp=1&amp;sender_device=pc</v>
      </c>
      <c r="K727" s="278" t="str">
        <f>IFERROR(__xludf.DUMMYFUNCTION("""COMPUTED_VALUE"""),"https://www.tiktok.com/@ccolshop1/video/7643674493189213447?is_from_webapp=1&amp;sender_device=pc")</f>
        <v>https://www.tiktok.com/@ccolshop1/video/7643674493189213447?is_from_webapp=1&amp;sender_device=pc</v>
      </c>
      <c r="L727" s="278" t="str">
        <f>IFERROR(__xludf.DUMMYFUNCTION("""COMPUTED_VALUE"""),"https://www.tiktok.com/@ccolshop1/video/7644034189485935879?is_from_webapp=1&amp;sender_device=pc")</f>
        <v>https://www.tiktok.com/@ccolshop1/video/7644034189485935879?is_from_webapp=1&amp;sender_device=pc</v>
      </c>
      <c r="M727" s="262"/>
    </row>
    <row r="728">
      <c r="A728" s="255" t="str">
        <f>IFERROR(__xludf.DUMMYFUNCTION("""COMPUTED_VALUE"""),"NANO")</f>
        <v>NANO</v>
      </c>
      <c r="B728" s="23" t="str">
        <f>IFERROR(__xludf.DUMMYFUNCTION("""COMPUTED_VALUE"""),"spillbarengmell")</f>
        <v>spillbarengmell</v>
      </c>
      <c r="C728" s="257" t="str">
        <f>IFERROR(__xludf.DUMMYFUNCTION("""COMPUTED_VALUE"""),"https://www.tiktok.com/@spillbarengmell")</f>
        <v>https://www.tiktok.com/@spillbarengmell</v>
      </c>
      <c r="D728" s="23">
        <f>IFERROR(__xludf.DUMMYFUNCTION("""COMPUTED_VALUE"""),8.594753291E10)</f>
        <v>85947532910</v>
      </c>
      <c r="E728" s="457">
        <f>IFERROR(__xludf.DUMMYFUNCTION("""COMPUTED_VALUE"""),0.0)</f>
        <v>0</v>
      </c>
      <c r="F728" s="270">
        <f>IFERROR(__xludf.DUMMYFUNCTION("""COMPUTED_VALUE"""),4.0)</f>
        <v>4</v>
      </c>
      <c r="G728" s="17" t="str">
        <f>IFERROR(__xludf.DUMMYFUNCTION("""COMPUTED_VALUE"""),"Full Set")</f>
        <v>Full Set</v>
      </c>
      <c r="H728" s="17"/>
      <c r="I728" s="278" t="str">
        <f>IFERROR(__xludf.DUMMYFUNCTION("""COMPUTED_VALUE"""),"https://www.tiktok.com/@spillbarengmell/video/7643405807421394194?is_from_webapp=1&amp;sender_device=pc")</f>
        <v>https://www.tiktok.com/@spillbarengmell/video/7643405807421394194?is_from_webapp=1&amp;sender_device=pc</v>
      </c>
      <c r="J728" s="262"/>
      <c r="K728" s="262"/>
      <c r="L728" s="262"/>
      <c r="M728" s="262"/>
    </row>
    <row r="729">
      <c r="A729" s="255" t="str">
        <f>IFERROR(__xludf.DUMMYFUNCTION("""COMPUTED_VALUE"""),"NANO")</f>
        <v>NANO</v>
      </c>
      <c r="B729" s="23" t="str">
        <f>IFERROR(__xludf.DUMMYFUNCTION("""COMPUTED_VALUE"""),"ig.ernaaaaaaaa.a")</f>
        <v>ig.ernaaaaaaaa.a</v>
      </c>
      <c r="C729" s="257" t="str">
        <f>IFERROR(__xludf.DUMMYFUNCTION("""COMPUTED_VALUE"""),"https://www.tiktok.com/@ig.ernaaaaaaaa.a")</f>
        <v>https://www.tiktok.com/@ig.ernaaaaaaaa.a</v>
      </c>
      <c r="D729" s="23">
        <f>IFERROR(__xludf.DUMMYFUNCTION("""COMPUTED_VALUE"""),8.8245193913E10)</f>
        <v>88245193913</v>
      </c>
      <c r="E729" s="457">
        <f>IFERROR(__xludf.DUMMYFUNCTION("""COMPUTED_VALUE"""),0.0)</f>
        <v>0</v>
      </c>
      <c r="F729" s="270">
        <f>IFERROR(__xludf.DUMMYFUNCTION("""COMPUTED_VALUE"""),4.0)</f>
        <v>4</v>
      </c>
      <c r="G729" s="17" t="str">
        <f>IFERROR(__xludf.DUMMYFUNCTION("""COMPUTED_VALUE"""),"Full Set")</f>
        <v>Full Set</v>
      </c>
      <c r="H729" s="17"/>
      <c r="I729" s="278" t="str">
        <f>IFERROR(__xludf.DUMMYFUNCTION("""COMPUTED_VALUE"""),"https://www.tiktok.com/@ig.ernaaaaaaaa.a/video/7643747177470217492?is_from_webapp=1&amp;sender_device=pc")</f>
        <v>https://www.tiktok.com/@ig.ernaaaaaaaa.a/video/7643747177470217492?is_from_webapp=1&amp;sender_device=pc</v>
      </c>
      <c r="J729" s="262"/>
      <c r="K729" s="262"/>
      <c r="L729" s="262"/>
      <c r="M729" s="262"/>
    </row>
    <row r="730">
      <c r="A730" s="255" t="str">
        <f>IFERROR(__xludf.DUMMYFUNCTION("""COMPUTED_VALUE"""),"NANO")</f>
        <v>NANO</v>
      </c>
      <c r="B730" s="23" t="str">
        <f>IFERROR(__xludf.DUMMYFUNCTION("""COMPUTED_VALUE"""),"Winnersho")</f>
        <v>Winnersho</v>
      </c>
      <c r="C730" s="257" t="str">
        <f>IFERROR(__xludf.DUMMYFUNCTION("""COMPUTED_VALUE"""),"https://www.tiktok.com/@Winnersho")</f>
        <v>https://www.tiktok.com/@Winnersho</v>
      </c>
      <c r="D730" s="23">
        <f>IFERROR(__xludf.DUMMYFUNCTION("""COMPUTED_VALUE"""),8.2285111175E10)</f>
        <v>82285111175</v>
      </c>
      <c r="E730" s="457">
        <f>IFERROR(__xludf.DUMMYFUNCTION("""COMPUTED_VALUE"""),0.0)</f>
        <v>0</v>
      </c>
      <c r="F730" s="270">
        <f>IFERROR(__xludf.DUMMYFUNCTION("""COMPUTED_VALUE"""),4.0)</f>
        <v>4</v>
      </c>
      <c r="G730" s="17" t="str">
        <f>IFERROR(__xludf.DUMMYFUNCTION("""COMPUTED_VALUE"""),"Full Set")</f>
        <v>Full Set</v>
      </c>
      <c r="H730" s="17"/>
      <c r="I730" s="262"/>
      <c r="J730" s="262"/>
      <c r="K730" s="262"/>
      <c r="L730" s="262"/>
      <c r="M730" s="262"/>
    </row>
    <row r="731">
      <c r="A731" s="255" t="str">
        <f>IFERROR(__xludf.DUMMYFUNCTION("""COMPUTED_VALUE"""),"NANO")</f>
        <v>NANO</v>
      </c>
      <c r="B731" s="23" t="str">
        <f>IFERROR(__xludf.DUMMYFUNCTION("""COMPUTED_VALUE"""),"sweetgrils.store")</f>
        <v>sweetgrils.store</v>
      </c>
      <c r="C731" s="257" t="str">
        <f>IFERROR(__xludf.DUMMYFUNCTION("""COMPUTED_VALUE"""),"https://www.tiktok.com/@sweetgrils.store")</f>
        <v>https://www.tiktok.com/@sweetgrils.store</v>
      </c>
      <c r="D731" s="23">
        <f>IFERROR(__xludf.DUMMYFUNCTION("""COMPUTED_VALUE"""),8.965894206E10)</f>
        <v>89658942060</v>
      </c>
      <c r="E731" s="457">
        <f>IFERROR(__xludf.DUMMYFUNCTION("""COMPUTED_VALUE"""),0.0)</f>
        <v>0</v>
      </c>
      <c r="F731" s="270">
        <f>IFERROR(__xludf.DUMMYFUNCTION("""COMPUTED_VALUE"""),4.0)</f>
        <v>4</v>
      </c>
      <c r="G731" s="17" t="str">
        <f>IFERROR(__xludf.DUMMYFUNCTION("""COMPUTED_VALUE"""),"Full Set")</f>
        <v>Full Set</v>
      </c>
      <c r="H731" s="17"/>
      <c r="I731" s="262"/>
      <c r="J731" s="262"/>
      <c r="K731" s="262"/>
      <c r="L731" s="262"/>
      <c r="M731" s="262"/>
    </row>
    <row r="732">
      <c r="A732" s="255" t="str">
        <f>IFERROR(__xludf.DUMMYFUNCTION("""COMPUTED_VALUE"""),"NANO")</f>
        <v>NANO</v>
      </c>
      <c r="B732" s="23" t="str">
        <f>IFERROR(__xludf.DUMMYFUNCTION("""COMPUTED_VALUE"""),"zaskiaa721")</f>
        <v>zaskiaa721</v>
      </c>
      <c r="C732" s="257" t="str">
        <f>IFERROR(__xludf.DUMMYFUNCTION("""COMPUTED_VALUE"""),"https://www.tiktok.com/@zaskiaa721")</f>
        <v>https://www.tiktok.com/@zaskiaa721</v>
      </c>
      <c r="D732" s="23">
        <f>IFERROR(__xludf.DUMMYFUNCTION("""COMPUTED_VALUE"""),8.5695099277E10)</f>
        <v>85695099277</v>
      </c>
      <c r="E732" s="457">
        <f>IFERROR(__xludf.DUMMYFUNCTION("""COMPUTED_VALUE"""),0.0)</f>
        <v>0</v>
      </c>
      <c r="F732" s="270">
        <f>IFERROR(__xludf.DUMMYFUNCTION("""COMPUTED_VALUE"""),4.0)</f>
        <v>4</v>
      </c>
      <c r="G732" s="17" t="str">
        <f>IFERROR(__xludf.DUMMYFUNCTION("""COMPUTED_VALUE"""),"Full Set")</f>
        <v>Full Set</v>
      </c>
      <c r="H732" s="17"/>
      <c r="I732" s="262"/>
      <c r="J732" s="262"/>
      <c r="K732" s="262"/>
      <c r="L732" s="262"/>
      <c r="M732" s="262"/>
    </row>
    <row r="733">
      <c r="A733" s="255" t="str">
        <f>IFERROR(__xludf.DUMMYFUNCTION("""COMPUTED_VALUE"""),"NANO")</f>
        <v>NANO</v>
      </c>
      <c r="B733" s="23" t="str">
        <f>IFERROR(__xludf.DUMMYFUNCTION("""COMPUTED_VALUE"""),"vinaselviana11_")</f>
        <v>vinaselviana11_</v>
      </c>
      <c r="C733" s="257" t="str">
        <f>IFERROR(__xludf.DUMMYFUNCTION("""COMPUTED_VALUE"""),"https://www.tiktok.com/@vinaselviana11_")</f>
        <v>https://www.tiktok.com/@vinaselviana11_</v>
      </c>
      <c r="D733" s="23">
        <f>IFERROR(__xludf.DUMMYFUNCTION("""COMPUTED_VALUE"""),8.1289010357E10)</f>
        <v>81289010357</v>
      </c>
      <c r="E733" s="457">
        <f>IFERROR(__xludf.DUMMYFUNCTION("""COMPUTED_VALUE"""),0.0)</f>
        <v>0</v>
      </c>
      <c r="F733" s="270">
        <f>IFERROR(__xludf.DUMMYFUNCTION("""COMPUTED_VALUE"""),4.0)</f>
        <v>4</v>
      </c>
      <c r="G733" s="17" t="str">
        <f>IFERROR(__xludf.DUMMYFUNCTION("""COMPUTED_VALUE"""),"Full Set")</f>
        <v>Full Set</v>
      </c>
      <c r="H733" s="17"/>
      <c r="I733" s="262"/>
      <c r="J733" s="262"/>
      <c r="K733" s="262"/>
      <c r="L733" s="262"/>
      <c r="M733" s="262"/>
    </row>
    <row r="734">
      <c r="A734" s="255" t="str">
        <f>IFERROR(__xludf.DUMMYFUNCTION("""COMPUTED_VALUE"""),"NANO")</f>
        <v>NANO</v>
      </c>
      <c r="B734" s="23" t="str">
        <f>IFERROR(__xludf.DUMMYFUNCTION("""COMPUTED_VALUE"""),"spillbysalsabila")</f>
        <v>spillbysalsabila</v>
      </c>
      <c r="C734" s="257" t="str">
        <f>IFERROR(__xludf.DUMMYFUNCTION("""COMPUTED_VALUE"""),"https://www.tiktok.com/@spillbysalsabila")</f>
        <v>https://www.tiktok.com/@spillbysalsabila</v>
      </c>
      <c r="D734" s="23">
        <f>IFERROR(__xludf.DUMMYFUNCTION("""COMPUTED_VALUE"""),8.5731215355E10)</f>
        <v>85731215355</v>
      </c>
      <c r="E734" s="457">
        <f>IFERROR(__xludf.DUMMYFUNCTION("""COMPUTED_VALUE"""),0.0)</f>
        <v>0</v>
      </c>
      <c r="F734" s="270">
        <f>IFERROR(__xludf.DUMMYFUNCTION("""COMPUTED_VALUE"""),4.0)</f>
        <v>4</v>
      </c>
      <c r="G734" s="17" t="str">
        <f>IFERROR(__xludf.DUMMYFUNCTION("""COMPUTED_VALUE"""),"Full Set")</f>
        <v>Full Set</v>
      </c>
      <c r="H734" s="17"/>
      <c r="I734" s="278" t="str">
        <f>IFERROR(__xludf.DUMMYFUNCTION("""COMPUTED_VALUE"""),"https://www.tiktok.com/@spillbysalsabila/video/7642971245247761684?is_from_webapp=1&amp;sender_device=pc")</f>
        <v>https://www.tiktok.com/@spillbysalsabila/video/7642971245247761684?is_from_webapp=1&amp;sender_device=pc</v>
      </c>
      <c r="J734" s="262"/>
      <c r="K734" s="262"/>
      <c r="L734" s="262"/>
      <c r="M734" s="262"/>
    </row>
    <row r="735">
      <c r="A735" s="255" t="str">
        <f>IFERROR(__xludf.DUMMYFUNCTION("""COMPUTED_VALUE"""),"NANO")</f>
        <v>NANO</v>
      </c>
      <c r="B735" s="23" t="str">
        <f>IFERROR(__xludf.DUMMYFUNCTION("""COMPUTED_VALUE"""),"riamarianaaa")</f>
        <v>riamarianaaa</v>
      </c>
      <c r="C735" s="257" t="str">
        <f>IFERROR(__xludf.DUMMYFUNCTION("""COMPUTED_VALUE"""),"https://www.tiktok.com/@riamarianaaa")</f>
        <v>https://www.tiktok.com/@riamarianaaa</v>
      </c>
      <c r="D735" s="23">
        <f>IFERROR(__xludf.DUMMYFUNCTION("""COMPUTED_VALUE"""),8.1330446171E10)</f>
        <v>81330446171</v>
      </c>
      <c r="E735" s="457">
        <f>IFERROR(__xludf.DUMMYFUNCTION("""COMPUTED_VALUE"""),0.0)</f>
        <v>0</v>
      </c>
      <c r="F735" s="270">
        <f>IFERROR(__xludf.DUMMYFUNCTION("""COMPUTED_VALUE"""),4.0)</f>
        <v>4</v>
      </c>
      <c r="G735" s="17" t="str">
        <f>IFERROR(__xludf.DUMMYFUNCTION("""COMPUTED_VALUE"""),"Full Set")</f>
        <v>Full Set</v>
      </c>
      <c r="H735" s="17"/>
      <c r="I735" s="278" t="str">
        <f>IFERROR(__xludf.DUMMYFUNCTION("""COMPUTED_VALUE"""),"https://www.tiktok.com/@riamarianaaa/video/7642563883219176722?is_from_webapp=1&amp;sender_device=pc")</f>
        <v>https://www.tiktok.com/@riamarianaaa/video/7642563883219176722?is_from_webapp=1&amp;sender_device=pc</v>
      </c>
      <c r="J735" s="278" t="str">
        <f>IFERROR(__xludf.DUMMYFUNCTION("""COMPUTED_VALUE"""),"https://www.tiktok.com/@riamarianaaa/video/7642994651145850120?is_from_webapp=1&amp;sender_device=pc")</f>
        <v>https://www.tiktok.com/@riamarianaaa/video/7642994651145850120?is_from_webapp=1&amp;sender_device=pc</v>
      </c>
      <c r="K735" s="278" t="str">
        <f>IFERROR(__xludf.DUMMYFUNCTION("""COMPUTED_VALUE"""),"https://www.tiktok.com/@riamarianaaa/video/7643365172379192583?is_from_webapp=1&amp;sender_device=pc")</f>
        <v>https://www.tiktok.com/@riamarianaaa/video/7643365172379192583?is_from_webapp=1&amp;sender_device=pc</v>
      </c>
      <c r="L735" s="262"/>
      <c r="M735" s="262"/>
    </row>
    <row r="736">
      <c r="A736" s="255" t="str">
        <f>IFERROR(__xludf.DUMMYFUNCTION("""COMPUTED_VALUE"""),"NANO")</f>
        <v>NANO</v>
      </c>
      <c r="B736" s="23" t="str">
        <f>IFERROR(__xludf.DUMMYFUNCTION("""COMPUTED_VALUE"""),"nofakurnia24 ")</f>
        <v>nofakurnia24 </v>
      </c>
      <c r="C736" s="257" t="str">
        <f>IFERROR(__xludf.DUMMYFUNCTION("""COMPUTED_VALUE"""),"https://www.tiktok.com/@nofakurnia24 ")</f>
        <v>https://www.tiktok.com/@nofakurnia24 </v>
      </c>
      <c r="D736" s="23">
        <f>IFERROR(__xludf.DUMMYFUNCTION("""COMPUTED_VALUE"""),8.5732092825E10)</f>
        <v>85732092825</v>
      </c>
      <c r="E736" s="457">
        <f>IFERROR(__xludf.DUMMYFUNCTION("""COMPUTED_VALUE"""),0.0)</f>
        <v>0</v>
      </c>
      <c r="F736" s="270">
        <f>IFERROR(__xludf.DUMMYFUNCTION("""COMPUTED_VALUE"""),4.0)</f>
        <v>4</v>
      </c>
      <c r="G736" s="17" t="str">
        <f>IFERROR(__xludf.DUMMYFUNCTION("""COMPUTED_VALUE"""),"Full Set")</f>
        <v>Full Set</v>
      </c>
      <c r="H736" s="17"/>
      <c r="I736" s="262"/>
      <c r="J736" s="262"/>
      <c r="K736" s="262"/>
      <c r="L736" s="262"/>
      <c r="M736" s="262"/>
    </row>
    <row r="737">
      <c r="A737" s="255" t="str">
        <f>IFERROR(__xludf.DUMMYFUNCTION("""COMPUTED_VALUE"""),"NANO")</f>
        <v>NANO</v>
      </c>
      <c r="B737" s="23" t="str">
        <f>IFERROR(__xludf.DUMMYFUNCTION("""COMPUTED_VALUE"""),"ig.jahidah_30")</f>
        <v>ig.jahidah_30</v>
      </c>
      <c r="C737" s="257" t="str">
        <f>IFERROR(__xludf.DUMMYFUNCTION("""COMPUTED_VALUE"""),"https://www.tiktok.com/@ig.jahidah_30")</f>
        <v>https://www.tiktok.com/@ig.jahidah_30</v>
      </c>
      <c r="D737" s="23">
        <f>IFERROR(__xludf.DUMMYFUNCTION("""COMPUTED_VALUE"""),8.5394730327E10)</f>
        <v>85394730327</v>
      </c>
      <c r="E737" s="457">
        <f>IFERROR(__xludf.DUMMYFUNCTION("""COMPUTED_VALUE"""),0.0)</f>
        <v>0</v>
      </c>
      <c r="F737" s="270">
        <f>IFERROR(__xludf.DUMMYFUNCTION("""COMPUTED_VALUE"""),4.0)</f>
        <v>4</v>
      </c>
      <c r="G737" s="17" t="str">
        <f>IFERROR(__xludf.DUMMYFUNCTION("""COMPUTED_VALUE"""),"Full Set")</f>
        <v>Full Set</v>
      </c>
      <c r="H737" s="17"/>
      <c r="I737" s="262"/>
      <c r="J737" s="262"/>
      <c r="K737" s="262"/>
      <c r="L737" s="262"/>
      <c r="M737" s="262"/>
    </row>
    <row r="738">
      <c r="A738" s="255" t="str">
        <f>IFERROR(__xludf.DUMMYFUNCTION("""COMPUTED_VALUE"""),"NANO")</f>
        <v>NANO</v>
      </c>
      <c r="B738" s="23" t="str">
        <f>IFERROR(__xludf.DUMMYFUNCTION("""COMPUTED_VALUE"""),"Nurulcerita")</f>
        <v>Nurulcerita</v>
      </c>
      <c r="C738" s="257" t="str">
        <f>IFERROR(__xludf.DUMMYFUNCTION("""COMPUTED_VALUE"""),"https://www.tiktok.com/@Nurulcerita")</f>
        <v>https://www.tiktok.com/@Nurulcerita</v>
      </c>
      <c r="D738" s="23">
        <f>IFERROR(__xludf.DUMMYFUNCTION("""COMPUTED_VALUE"""),8.1456123453E10)</f>
        <v>81456123453</v>
      </c>
      <c r="E738" s="457">
        <f>IFERROR(__xludf.DUMMYFUNCTION("""COMPUTED_VALUE"""),0.0)</f>
        <v>0</v>
      </c>
      <c r="F738" s="270">
        <f>IFERROR(__xludf.DUMMYFUNCTION("""COMPUTED_VALUE"""),4.0)</f>
        <v>4</v>
      </c>
      <c r="G738" s="17" t="str">
        <f>IFERROR(__xludf.DUMMYFUNCTION("""COMPUTED_VALUE"""),"Full Set")</f>
        <v>Full Set</v>
      </c>
      <c r="H738" s="17"/>
      <c r="I738" s="262"/>
      <c r="J738" s="262"/>
      <c r="K738" s="262"/>
      <c r="L738" s="262"/>
      <c r="M738" s="262"/>
    </row>
    <row r="739">
      <c r="A739" s="255" t="str">
        <f>IFERROR(__xludf.DUMMYFUNCTION("""COMPUTED_VALUE"""),"NANO")</f>
        <v>NANO</v>
      </c>
      <c r="B739" s="23" t="str">
        <f>IFERROR(__xludf.DUMMYFUNCTION("""COMPUTED_VALUE"""),"Listiaaadwiii18_")</f>
        <v>Listiaaadwiii18_</v>
      </c>
      <c r="C739" s="257" t="str">
        <f>IFERROR(__xludf.DUMMYFUNCTION("""COMPUTED_VALUE"""),"https://www.tiktok.com/@Listiaaadwiii18_")</f>
        <v>https://www.tiktok.com/@Listiaaadwiii18_</v>
      </c>
      <c r="D739" s="23">
        <f>IFERROR(__xludf.DUMMYFUNCTION("""COMPUTED_VALUE"""),8.1398425311E10)</f>
        <v>81398425311</v>
      </c>
      <c r="E739" s="457">
        <f>IFERROR(__xludf.DUMMYFUNCTION("""COMPUTED_VALUE"""),0.0)</f>
        <v>0</v>
      </c>
      <c r="F739" s="270">
        <f>IFERROR(__xludf.DUMMYFUNCTION("""COMPUTED_VALUE"""),4.0)</f>
        <v>4</v>
      </c>
      <c r="G739" s="17" t="str">
        <f>IFERROR(__xludf.DUMMYFUNCTION("""COMPUTED_VALUE"""),"Full Set")</f>
        <v>Full Set</v>
      </c>
      <c r="H739" s="17"/>
      <c r="I739" s="262"/>
      <c r="J739" s="262"/>
      <c r="K739" s="262"/>
      <c r="L739" s="262"/>
      <c r="M739" s="262"/>
    </row>
    <row r="740">
      <c r="A740" s="255" t="str">
        <f>IFERROR(__xludf.DUMMYFUNCTION("""COMPUTED_VALUE"""),"NANO")</f>
        <v>NANO</v>
      </c>
      <c r="B740" s="23" t="str">
        <f>IFERROR(__xludf.DUMMYFUNCTION("""COMPUTED_VALUE"""),"anphaja")</f>
        <v>anphaja</v>
      </c>
      <c r="C740" s="257" t="str">
        <f>IFERROR(__xludf.DUMMYFUNCTION("""COMPUTED_VALUE"""),"https://www.tiktok.com/@anphaja")</f>
        <v>https://www.tiktok.com/@anphaja</v>
      </c>
      <c r="D740" s="23">
        <f>IFERROR(__xludf.DUMMYFUNCTION("""COMPUTED_VALUE"""),8.1515687354E10)</f>
        <v>81515687354</v>
      </c>
      <c r="E740" s="457">
        <f>IFERROR(__xludf.DUMMYFUNCTION("""COMPUTED_VALUE"""),0.0)</f>
        <v>0</v>
      </c>
      <c r="F740" s="270">
        <f>IFERROR(__xludf.DUMMYFUNCTION("""COMPUTED_VALUE"""),4.0)</f>
        <v>4</v>
      </c>
      <c r="G740" s="17" t="str">
        <f>IFERROR(__xludf.DUMMYFUNCTION("""COMPUTED_VALUE"""),"Full Set")</f>
        <v>Full Set</v>
      </c>
      <c r="H740" s="17"/>
      <c r="I740" s="278" t="str">
        <f>IFERROR(__xludf.DUMMYFUNCTION("""COMPUTED_VALUE"""),"https://www.tiktok.com/@anphaja/video/7642668217835523349?is_from_webapp=1&amp;sender_device=pc")</f>
        <v>https://www.tiktok.com/@anphaja/video/7642668217835523349?is_from_webapp=1&amp;sender_device=pc</v>
      </c>
      <c r="J740" s="262"/>
      <c r="K740" s="262"/>
      <c r="L740" s="262"/>
      <c r="M740" s="262"/>
    </row>
    <row r="741">
      <c r="A741" s="255" t="str">
        <f>IFERROR(__xludf.DUMMYFUNCTION("""COMPUTED_VALUE"""),"NANO")</f>
        <v>NANO</v>
      </c>
      <c r="B741" s="23" t="str">
        <f>IFERROR(__xludf.DUMMYFUNCTION("""COMPUTED_VALUE"""),"cintiaa._04")</f>
        <v>cintiaa._04</v>
      </c>
      <c r="C741" s="257" t="str">
        <f>IFERROR(__xludf.DUMMYFUNCTION("""COMPUTED_VALUE"""),"https://www.tiktok.com/@cintiaa._04")</f>
        <v>https://www.tiktok.com/@cintiaa._04</v>
      </c>
      <c r="D741" s="23">
        <f>IFERROR(__xludf.DUMMYFUNCTION("""COMPUTED_VALUE"""),8.3179980117E10)</f>
        <v>83179980117</v>
      </c>
      <c r="E741" s="457">
        <f>IFERROR(__xludf.DUMMYFUNCTION("""COMPUTED_VALUE"""),100000.0)</f>
        <v>100000</v>
      </c>
      <c r="F741" s="270">
        <f>IFERROR(__xludf.DUMMYFUNCTION("""COMPUTED_VALUE"""),3.0)</f>
        <v>3</v>
      </c>
      <c r="G741" s="17" t="str">
        <f>IFERROR(__xludf.DUMMYFUNCTION("""COMPUTED_VALUE"""),"Full Set")</f>
        <v>Full Set</v>
      </c>
      <c r="H741" s="17"/>
      <c r="I741" s="262"/>
      <c r="J741" s="262"/>
      <c r="K741" s="262"/>
      <c r="L741" s="262"/>
      <c r="M741" s="262"/>
    </row>
    <row r="742">
      <c r="A742" s="255" t="str">
        <f>IFERROR(__xludf.DUMMYFUNCTION("""COMPUTED_VALUE"""),"NANO")</f>
        <v>NANO</v>
      </c>
      <c r="B742" s="23" t="str">
        <f>IFERROR(__xludf.DUMMYFUNCTION("""COMPUTED_VALUE"""),"hildaa.ra28")</f>
        <v>hildaa.ra28</v>
      </c>
      <c r="C742" s="257" t="str">
        <f>IFERROR(__xludf.DUMMYFUNCTION("""COMPUTED_VALUE"""),"https://www.tiktok.com/@hildaa.ra28")</f>
        <v>https://www.tiktok.com/@hildaa.ra28</v>
      </c>
      <c r="D742" s="23">
        <f>IFERROR(__xludf.DUMMYFUNCTION("""COMPUTED_VALUE"""),8.1285222256E10)</f>
        <v>81285222256</v>
      </c>
      <c r="E742" s="457">
        <f>IFERROR(__xludf.DUMMYFUNCTION("""COMPUTED_VALUE"""),100000.0)</f>
        <v>100000</v>
      </c>
      <c r="F742" s="270">
        <f>IFERROR(__xludf.DUMMYFUNCTION("""COMPUTED_VALUE"""),3.0)</f>
        <v>3</v>
      </c>
      <c r="G742" s="17" t="str">
        <f>IFERROR(__xludf.DUMMYFUNCTION("""COMPUTED_VALUE"""),"Full Set")</f>
        <v>Full Set</v>
      </c>
      <c r="H742" s="17"/>
      <c r="I742" s="262"/>
      <c r="J742" s="262"/>
      <c r="K742" s="262"/>
      <c r="L742" s="262"/>
      <c r="M742" s="262"/>
    </row>
    <row r="743">
      <c r="A743" s="255" t="str">
        <f>IFERROR(__xludf.DUMMYFUNCTION("""COMPUTED_VALUE"""),"NANO")</f>
        <v>NANO</v>
      </c>
      <c r="B743" s="23" t="str">
        <f>IFERROR(__xludf.DUMMYFUNCTION("""COMPUTED_VALUE"""),"urchaa2")</f>
        <v>urchaa2</v>
      </c>
      <c r="C743" s="257" t="str">
        <f>IFERROR(__xludf.DUMMYFUNCTION("""COMPUTED_VALUE"""),"https://www.tiktok.com/@urchaa2")</f>
        <v>https://www.tiktok.com/@urchaa2</v>
      </c>
      <c r="D743" s="23">
        <f>IFERROR(__xludf.DUMMYFUNCTION("""COMPUTED_VALUE"""),8.810370428E11)</f>
        <v>881037042800</v>
      </c>
      <c r="E743" s="457">
        <f>IFERROR(__xludf.DUMMYFUNCTION("""COMPUTED_VALUE"""),100000.0)</f>
        <v>100000</v>
      </c>
      <c r="F743" s="270">
        <f>IFERROR(__xludf.DUMMYFUNCTION("""COMPUTED_VALUE"""),3.0)</f>
        <v>3</v>
      </c>
      <c r="G743" s="17" t="str">
        <f>IFERROR(__xludf.DUMMYFUNCTION("""COMPUTED_VALUE"""),"Full Set")</f>
        <v>Full Set</v>
      </c>
      <c r="H743" s="17"/>
      <c r="I743" s="262"/>
      <c r="J743" s="262"/>
      <c r="K743" s="262"/>
      <c r="L743" s="262"/>
      <c r="M743" s="262"/>
    </row>
    <row r="744">
      <c r="A744" s="255" t="str">
        <f>IFERROR(__xludf.DUMMYFUNCTION("""COMPUTED_VALUE"""),"NANO")</f>
        <v>NANO</v>
      </c>
      <c r="B744" s="23" t="str">
        <f>IFERROR(__xludf.DUMMYFUNCTION("""COMPUTED_VALUE"""),"Beauty01shop0 ")</f>
        <v>Beauty01shop0 </v>
      </c>
      <c r="C744" s="257" t="str">
        <f>IFERROR(__xludf.DUMMYFUNCTION("""COMPUTED_VALUE"""),"https://www.tiktok.com/@Beauty01shop0 ")</f>
        <v>https://www.tiktok.com/@Beauty01shop0 </v>
      </c>
      <c r="D744" s="23">
        <f>IFERROR(__xludf.DUMMYFUNCTION("""COMPUTED_VALUE"""),8.95803431913E11)</f>
        <v>895803431913</v>
      </c>
      <c r="E744" s="457">
        <f>IFERROR(__xludf.DUMMYFUNCTION("""COMPUTED_VALUE"""),100000.0)</f>
        <v>100000</v>
      </c>
      <c r="F744" s="270">
        <f>IFERROR(__xludf.DUMMYFUNCTION("""COMPUTED_VALUE"""),3.0)</f>
        <v>3</v>
      </c>
      <c r="G744" s="17" t="str">
        <f>IFERROR(__xludf.DUMMYFUNCTION("""COMPUTED_VALUE"""),"Full Set")</f>
        <v>Full Set</v>
      </c>
      <c r="H744" s="17"/>
      <c r="I744" s="262"/>
      <c r="J744" s="262"/>
      <c r="K744" s="262"/>
      <c r="L744" s="262"/>
      <c r="M744" s="262"/>
    </row>
    <row r="745">
      <c r="A745" s="255" t="str">
        <f>IFERROR(__xludf.DUMMYFUNCTION("""COMPUTED_VALUE"""),"NANO")</f>
        <v>NANO</v>
      </c>
      <c r="B745" s="23" t="str">
        <f>IFERROR(__xludf.DUMMYFUNCTION("""COMPUTED_VALUE"""),"moodbyfiaa._")</f>
        <v>moodbyfiaa._</v>
      </c>
      <c r="C745" s="257" t="str">
        <f>IFERROR(__xludf.DUMMYFUNCTION("""COMPUTED_VALUE"""),"https://www.tiktok.com/@moodbyfiaa._")</f>
        <v>https://www.tiktok.com/@moodbyfiaa._</v>
      </c>
      <c r="D745" s="23">
        <f>IFERROR(__xludf.DUMMYFUNCTION("""COMPUTED_VALUE"""),8.5854956651E10)</f>
        <v>85854956651</v>
      </c>
      <c r="E745" s="457">
        <f>IFERROR(__xludf.DUMMYFUNCTION("""COMPUTED_VALUE"""),100000.0)</f>
        <v>100000</v>
      </c>
      <c r="F745" s="270">
        <f>IFERROR(__xludf.DUMMYFUNCTION("""COMPUTED_VALUE"""),3.0)</f>
        <v>3</v>
      </c>
      <c r="G745" s="17" t="str">
        <f>IFERROR(__xludf.DUMMYFUNCTION("""COMPUTED_VALUE"""),"Full Set")</f>
        <v>Full Set</v>
      </c>
      <c r="H745" s="17"/>
      <c r="I745" s="262"/>
      <c r="J745" s="262"/>
      <c r="K745" s="262"/>
      <c r="L745" s="262"/>
      <c r="M745" s="262"/>
    </row>
    <row r="746">
      <c r="A746" s="255" t="str">
        <f>IFERROR(__xludf.DUMMYFUNCTION("""COMPUTED_VALUE"""),"NANO")</f>
        <v>NANO</v>
      </c>
      <c r="B746" s="23" t="str">
        <f>IFERROR(__xludf.DUMMYFUNCTION("""COMPUTED_VALUE"""),"Hapipah3875")</f>
        <v>Hapipah3875</v>
      </c>
      <c r="C746" s="257" t="str">
        <f>IFERROR(__xludf.DUMMYFUNCTION("""COMPUTED_VALUE"""),"https://www.tiktok.com/@Hapipah3875")</f>
        <v>https://www.tiktok.com/@Hapipah3875</v>
      </c>
      <c r="D746" s="23">
        <f>IFERROR(__xludf.DUMMYFUNCTION("""COMPUTED_VALUE"""),8.216062039E10)</f>
        <v>82160620390</v>
      </c>
      <c r="E746" s="457">
        <f>IFERROR(__xludf.DUMMYFUNCTION("""COMPUTED_VALUE"""),100000.0)</f>
        <v>100000</v>
      </c>
      <c r="F746" s="270">
        <f>IFERROR(__xludf.DUMMYFUNCTION("""COMPUTED_VALUE"""),3.0)</f>
        <v>3</v>
      </c>
      <c r="G746" s="17" t="str">
        <f>IFERROR(__xludf.DUMMYFUNCTION("""COMPUTED_VALUE"""),"Full Set")</f>
        <v>Full Set</v>
      </c>
      <c r="H746" s="17"/>
      <c r="I746" s="262"/>
      <c r="J746" s="262"/>
      <c r="K746" s="262"/>
      <c r="L746" s="262"/>
      <c r="M746" s="262"/>
    </row>
    <row r="747">
      <c r="A747" s="255" t="str">
        <f>IFERROR(__xludf.DUMMYFUNCTION("""COMPUTED_VALUE"""),"NANO")</f>
        <v>NANO</v>
      </c>
      <c r="B747" s="23" t="str">
        <f>IFERROR(__xludf.DUMMYFUNCTION("""COMPUTED_VALUE"""),"chocolate_eskrim")</f>
        <v>chocolate_eskrim</v>
      </c>
      <c r="C747" s="257" t="str">
        <f>IFERROR(__xludf.DUMMYFUNCTION("""COMPUTED_VALUE"""),"https://www.tiktok.com/@chocolate_eskrim")</f>
        <v>https://www.tiktok.com/@chocolate_eskrim</v>
      </c>
      <c r="D747" s="23">
        <f>IFERROR(__xludf.DUMMYFUNCTION("""COMPUTED_VALUE"""),8.3139631726E10)</f>
        <v>83139631726</v>
      </c>
      <c r="E747" s="457">
        <f>IFERROR(__xludf.DUMMYFUNCTION("""COMPUTED_VALUE"""),100000.0)</f>
        <v>100000</v>
      </c>
      <c r="F747" s="270">
        <f>IFERROR(__xludf.DUMMYFUNCTION("""COMPUTED_VALUE"""),3.0)</f>
        <v>3</v>
      </c>
      <c r="G747" s="17" t="str">
        <f>IFERROR(__xludf.DUMMYFUNCTION("""COMPUTED_VALUE"""),"Full Set")</f>
        <v>Full Set</v>
      </c>
      <c r="H747" s="17"/>
      <c r="I747" s="262"/>
      <c r="J747" s="262"/>
      <c r="K747" s="262"/>
      <c r="L747" s="262"/>
      <c r="M747" s="262"/>
    </row>
    <row r="748">
      <c r="A748" s="255" t="str">
        <f>IFERROR(__xludf.DUMMYFUNCTION("""COMPUTED_VALUE"""),"NANO")</f>
        <v>NANO</v>
      </c>
      <c r="B748" s="23" t="str">
        <f>IFERROR(__xludf.DUMMYFUNCTION("""COMPUTED_VALUE"""),"taacutie2 ")</f>
        <v>taacutie2 </v>
      </c>
      <c r="C748" s="257" t="str">
        <f>IFERROR(__xludf.DUMMYFUNCTION("""COMPUTED_VALUE"""),"https://www.tiktok.com/@taacutie2 ")</f>
        <v>https://www.tiktok.com/@taacutie2 </v>
      </c>
      <c r="D748" s="23">
        <f>IFERROR(__xludf.DUMMYFUNCTION("""COMPUTED_VALUE"""),8.3119998859E10)</f>
        <v>83119998859</v>
      </c>
      <c r="E748" s="457">
        <f>IFERROR(__xludf.DUMMYFUNCTION("""COMPUTED_VALUE"""),100000.0)</f>
        <v>100000</v>
      </c>
      <c r="F748" s="270">
        <f>IFERROR(__xludf.DUMMYFUNCTION("""COMPUTED_VALUE"""),3.0)</f>
        <v>3</v>
      </c>
      <c r="G748" s="17" t="str">
        <f>IFERROR(__xludf.DUMMYFUNCTION("""COMPUTED_VALUE"""),"Full Set")</f>
        <v>Full Set</v>
      </c>
      <c r="H748" s="17"/>
      <c r="I748" s="262"/>
      <c r="J748" s="262"/>
      <c r="K748" s="262"/>
      <c r="L748" s="262"/>
      <c r="M748" s="262"/>
    </row>
    <row r="749">
      <c r="A749" s="255" t="str">
        <f>IFERROR(__xludf.DUMMYFUNCTION("""COMPUTED_VALUE"""),"NANO")</f>
        <v>NANO</v>
      </c>
      <c r="B749" s="23" t="str">
        <f>IFERROR(__xludf.DUMMYFUNCTION("""COMPUTED_VALUE"""),"gildaabungaa")</f>
        <v>gildaabungaa</v>
      </c>
      <c r="C749" s="257" t="str">
        <f>IFERROR(__xludf.DUMMYFUNCTION("""COMPUTED_VALUE"""),"https://www.tiktok.com/@gildaabungaa")</f>
        <v>https://www.tiktok.com/@gildaabungaa</v>
      </c>
      <c r="D749" s="23">
        <f>IFERROR(__xludf.DUMMYFUNCTION("""COMPUTED_VALUE"""),8.5728421034E10)</f>
        <v>85728421034</v>
      </c>
      <c r="E749" s="457">
        <f>IFERROR(__xludf.DUMMYFUNCTION("""COMPUTED_VALUE"""),100000.0)</f>
        <v>100000</v>
      </c>
      <c r="F749" s="270">
        <f>IFERROR(__xludf.DUMMYFUNCTION("""COMPUTED_VALUE"""),3.0)</f>
        <v>3</v>
      </c>
      <c r="G749" s="17" t="str">
        <f>IFERROR(__xludf.DUMMYFUNCTION("""COMPUTED_VALUE"""),"Full Set")</f>
        <v>Full Set</v>
      </c>
      <c r="H749" s="17"/>
      <c r="I749" s="262"/>
      <c r="J749" s="262"/>
      <c r="K749" s="262"/>
      <c r="L749" s="262"/>
      <c r="M749" s="262"/>
    </row>
    <row r="750">
      <c r="A750" s="255" t="str">
        <f>IFERROR(__xludf.DUMMYFUNCTION("""COMPUTED_VALUE"""),"NANO")</f>
        <v>NANO</v>
      </c>
      <c r="B750" s="23" t="str">
        <f>IFERROR(__xludf.DUMMYFUNCTION("""COMPUTED_VALUE"""),"ggianovia")</f>
        <v>ggianovia</v>
      </c>
      <c r="C750" s="257" t="str">
        <f>IFERROR(__xludf.DUMMYFUNCTION("""COMPUTED_VALUE"""),"https://www.tiktok.com/@ggianovia")</f>
        <v>https://www.tiktok.com/@ggianovia</v>
      </c>
      <c r="D750" s="23">
        <f>IFERROR(__xludf.DUMMYFUNCTION("""COMPUTED_VALUE"""),8.812253201E9)</f>
        <v>8812253201</v>
      </c>
      <c r="E750" s="457">
        <f>IFERROR(__xludf.DUMMYFUNCTION("""COMPUTED_VALUE"""),100000.0)</f>
        <v>100000</v>
      </c>
      <c r="F750" s="270">
        <f>IFERROR(__xludf.DUMMYFUNCTION("""COMPUTED_VALUE"""),3.0)</f>
        <v>3</v>
      </c>
      <c r="G750" s="17" t="str">
        <f>IFERROR(__xludf.DUMMYFUNCTION("""COMPUTED_VALUE"""),"Full Set")</f>
        <v>Full Set</v>
      </c>
      <c r="H750" s="17"/>
      <c r="I750" s="262"/>
      <c r="J750" s="262"/>
      <c r="K750" s="262"/>
      <c r="L750" s="262"/>
      <c r="M750" s="262"/>
    </row>
    <row r="751">
      <c r="A751" s="255" t="str">
        <f>IFERROR(__xludf.DUMMYFUNCTION("""COMPUTED_VALUE"""),"NANO")</f>
        <v>NANO</v>
      </c>
      <c r="B751" s="23" t="str">
        <f>IFERROR(__xludf.DUMMYFUNCTION("""COMPUTED_VALUE"""),"enggiekur")</f>
        <v>enggiekur</v>
      </c>
      <c r="C751" s="257" t="str">
        <f>IFERROR(__xludf.DUMMYFUNCTION("""COMPUTED_VALUE"""),"https://www.tiktok.com/@enggiekur")</f>
        <v>https://www.tiktok.com/@enggiekur</v>
      </c>
      <c r="D751" s="23">
        <f>IFERROR(__xludf.DUMMYFUNCTION("""COMPUTED_VALUE"""),8.9607926432E10)</f>
        <v>89607926432</v>
      </c>
      <c r="E751" s="457">
        <f>IFERROR(__xludf.DUMMYFUNCTION("""COMPUTED_VALUE"""),100000.0)</f>
        <v>100000</v>
      </c>
      <c r="F751" s="270">
        <f>IFERROR(__xludf.DUMMYFUNCTION("""COMPUTED_VALUE"""),3.0)</f>
        <v>3</v>
      </c>
      <c r="G751" s="17" t="str">
        <f>IFERROR(__xludf.DUMMYFUNCTION("""COMPUTED_VALUE"""),"Full Set")</f>
        <v>Full Set</v>
      </c>
      <c r="H751" s="17"/>
      <c r="I751" s="262"/>
      <c r="J751" s="262"/>
      <c r="K751" s="262"/>
      <c r="L751" s="262"/>
      <c r="M751" s="262"/>
    </row>
    <row r="752">
      <c r="A752" s="255" t="str">
        <f>IFERROR(__xludf.DUMMYFUNCTION("""COMPUTED_VALUE"""),"NANO")</f>
        <v>NANO</v>
      </c>
      <c r="B752" s="23" t="str">
        <f>IFERROR(__xludf.DUMMYFUNCTION("""COMPUTED_VALUE"""),"elshanum.zivana")</f>
        <v>elshanum.zivana</v>
      </c>
      <c r="C752" s="257" t="str">
        <f>IFERROR(__xludf.DUMMYFUNCTION("""COMPUTED_VALUE"""),"https://www.tiktok.com/@elshanum.zivana")</f>
        <v>https://www.tiktok.com/@elshanum.zivana</v>
      </c>
      <c r="D752" s="23">
        <f>IFERROR(__xludf.DUMMYFUNCTION("""COMPUTED_VALUE"""),8.159879991E9)</f>
        <v>8159879991</v>
      </c>
      <c r="E752" s="457">
        <f>IFERROR(__xludf.DUMMYFUNCTION("""COMPUTED_VALUE"""),100000.0)</f>
        <v>100000</v>
      </c>
      <c r="F752" s="270">
        <f>IFERROR(__xludf.DUMMYFUNCTION("""COMPUTED_VALUE"""),3.0)</f>
        <v>3</v>
      </c>
      <c r="G752" s="17" t="str">
        <f>IFERROR(__xludf.DUMMYFUNCTION("""COMPUTED_VALUE"""),"Full Set")</f>
        <v>Full Set</v>
      </c>
      <c r="H752" s="17"/>
      <c r="I752" s="262"/>
      <c r="J752" s="262"/>
      <c r="K752" s="262"/>
      <c r="L752" s="262"/>
      <c r="M752" s="262"/>
    </row>
    <row r="753">
      <c r="A753" s="255" t="str">
        <f>IFERROR(__xludf.DUMMYFUNCTION("""COMPUTED_VALUE"""),"NANO")</f>
        <v>NANO</v>
      </c>
      <c r="B753" s="23" t="str">
        <f>IFERROR(__xludf.DUMMYFUNCTION("""COMPUTED_VALUE"""),"yuniinv")</f>
        <v>yuniinv</v>
      </c>
      <c r="C753" s="257" t="str">
        <f>IFERROR(__xludf.DUMMYFUNCTION("""COMPUTED_VALUE"""),"https://www.tiktok.com/@yuniinv")</f>
        <v>https://www.tiktok.com/@yuniinv</v>
      </c>
      <c r="D753" s="23">
        <f>IFERROR(__xludf.DUMMYFUNCTION("""COMPUTED_VALUE"""),8.5786574302E10)</f>
        <v>85786574302</v>
      </c>
      <c r="E753" s="457">
        <f>IFERROR(__xludf.DUMMYFUNCTION("""COMPUTED_VALUE"""),100000.0)</f>
        <v>100000</v>
      </c>
      <c r="F753" s="270">
        <f>IFERROR(__xludf.DUMMYFUNCTION("""COMPUTED_VALUE"""),3.0)</f>
        <v>3</v>
      </c>
      <c r="G753" s="17" t="str">
        <f>IFERROR(__xludf.DUMMYFUNCTION("""COMPUTED_VALUE"""),"Full Set")</f>
        <v>Full Set</v>
      </c>
      <c r="H753" s="17"/>
      <c r="I753" s="262"/>
      <c r="J753" s="262"/>
      <c r="K753" s="262"/>
      <c r="L753" s="262"/>
      <c r="M753" s="262"/>
    </row>
    <row r="754">
      <c r="A754" s="255" t="str">
        <f>IFERROR(__xludf.DUMMYFUNCTION("""COMPUTED_VALUE"""),"NANO")</f>
        <v>NANO</v>
      </c>
      <c r="B754" s="23" t="str">
        <f>IFERROR(__xludf.DUMMYFUNCTION("""COMPUTED_VALUE"""),"bbunna4")</f>
        <v>bbunna4</v>
      </c>
      <c r="C754" s="257" t="str">
        <f>IFERROR(__xludf.DUMMYFUNCTION("""COMPUTED_VALUE"""),"https://www.tiktok.com/@bbunna4")</f>
        <v>https://www.tiktok.com/@bbunna4</v>
      </c>
      <c r="D754" s="23">
        <f>IFERROR(__xludf.DUMMYFUNCTION("""COMPUTED_VALUE"""),8.5609083424E10)</f>
        <v>85609083424</v>
      </c>
      <c r="E754" s="457">
        <f>IFERROR(__xludf.DUMMYFUNCTION("""COMPUTED_VALUE"""),100000.0)</f>
        <v>100000</v>
      </c>
      <c r="F754" s="270">
        <f>IFERROR(__xludf.DUMMYFUNCTION("""COMPUTED_VALUE"""),3.0)</f>
        <v>3</v>
      </c>
      <c r="G754" s="17" t="str">
        <f>IFERROR(__xludf.DUMMYFUNCTION("""COMPUTED_VALUE"""),"Full Set")</f>
        <v>Full Set</v>
      </c>
      <c r="H754" s="17"/>
      <c r="I754" s="262"/>
      <c r="J754" s="262"/>
      <c r="K754" s="262"/>
      <c r="L754" s="262"/>
      <c r="M754" s="262"/>
    </row>
    <row r="755">
      <c r="A755" s="255" t="str">
        <f>IFERROR(__xludf.DUMMYFUNCTION("""COMPUTED_VALUE"""),"NANO")</f>
        <v>NANO</v>
      </c>
      <c r="B755" s="23" t="str">
        <f>IFERROR(__xludf.DUMMYFUNCTION("""COMPUTED_VALUE"""),"itts.naiii")</f>
        <v>itts.naiii</v>
      </c>
      <c r="C755" s="257" t="str">
        <f>IFERROR(__xludf.DUMMYFUNCTION("""COMPUTED_VALUE"""),"https://www.tiktok.com/@itts.naiii")</f>
        <v>https://www.tiktok.com/@itts.naiii</v>
      </c>
      <c r="D755" s="23">
        <f>IFERROR(__xludf.DUMMYFUNCTION("""COMPUTED_VALUE"""),8.7798064563E10)</f>
        <v>87798064563</v>
      </c>
      <c r="E755" s="457">
        <f>IFERROR(__xludf.DUMMYFUNCTION("""COMPUTED_VALUE"""),100000.0)</f>
        <v>100000</v>
      </c>
      <c r="F755" s="270">
        <f>IFERROR(__xludf.DUMMYFUNCTION("""COMPUTED_VALUE"""),3.0)</f>
        <v>3</v>
      </c>
      <c r="G755" s="17" t="str">
        <f>IFERROR(__xludf.DUMMYFUNCTION("""COMPUTED_VALUE"""),"Full Set")</f>
        <v>Full Set</v>
      </c>
      <c r="H755" s="17"/>
      <c r="I755" s="262"/>
      <c r="J755" s="262"/>
      <c r="K755" s="262"/>
      <c r="L755" s="262"/>
      <c r="M755" s="262"/>
    </row>
    <row r="756">
      <c r="A756" s="255" t="str">
        <f>IFERROR(__xludf.DUMMYFUNCTION("""COMPUTED_VALUE"""),"NANO")</f>
        <v>NANO</v>
      </c>
      <c r="B756" s="23" t="str">
        <f>IFERROR(__xludf.DUMMYFUNCTION("""COMPUTED_VALUE"""),"srayunggrn")</f>
        <v>srayunggrn</v>
      </c>
      <c r="C756" s="257" t="str">
        <f>IFERROR(__xludf.DUMMYFUNCTION("""COMPUTED_VALUE"""),"https://www.tiktok.com/@srayunggrn")</f>
        <v>https://www.tiktok.com/@srayunggrn</v>
      </c>
      <c r="D756" s="23">
        <f>IFERROR(__xludf.DUMMYFUNCTION("""COMPUTED_VALUE"""),8.952121305E10)</f>
        <v>89521213050</v>
      </c>
      <c r="E756" s="457">
        <f>IFERROR(__xludf.DUMMYFUNCTION("""COMPUTED_VALUE"""),100000.0)</f>
        <v>100000</v>
      </c>
      <c r="F756" s="270">
        <f>IFERROR(__xludf.DUMMYFUNCTION("""COMPUTED_VALUE"""),3.0)</f>
        <v>3</v>
      </c>
      <c r="G756" s="17" t="str">
        <f>IFERROR(__xludf.DUMMYFUNCTION("""COMPUTED_VALUE"""),"Full Set")</f>
        <v>Full Set</v>
      </c>
      <c r="H756" s="17"/>
      <c r="I756" s="262"/>
      <c r="J756" s="262"/>
      <c r="K756" s="262"/>
      <c r="L756" s="262"/>
      <c r="M756" s="262"/>
    </row>
    <row r="757">
      <c r="A757" s="255" t="str">
        <f>IFERROR(__xludf.DUMMYFUNCTION("""COMPUTED_VALUE"""),"NANO")</f>
        <v>NANO</v>
      </c>
      <c r="B757" s="23" t="str">
        <f>IFERROR(__xludf.DUMMYFUNCTION("""COMPUTED_VALUE"""),"cantikaspalspil")</f>
        <v>cantikaspalspil</v>
      </c>
      <c r="C757" s="257" t="str">
        <f>IFERROR(__xludf.DUMMYFUNCTION("""COMPUTED_VALUE"""),"https://www.tiktok.com/@cantikaspalspil")</f>
        <v>https://www.tiktok.com/@cantikaspalspil</v>
      </c>
      <c r="D757" s="23">
        <f>IFERROR(__xludf.DUMMYFUNCTION("""COMPUTED_VALUE"""),8.82000017172E11)</f>
        <v>882000017172</v>
      </c>
      <c r="E757" s="457">
        <f>IFERROR(__xludf.DUMMYFUNCTION("""COMPUTED_VALUE"""),100000.0)</f>
        <v>100000</v>
      </c>
      <c r="F757" s="270">
        <f>IFERROR(__xludf.DUMMYFUNCTION("""COMPUTED_VALUE"""),3.0)</f>
        <v>3</v>
      </c>
      <c r="G757" s="17" t="str">
        <f>IFERROR(__xludf.DUMMYFUNCTION("""COMPUTED_VALUE"""),"Full Set")</f>
        <v>Full Set</v>
      </c>
      <c r="H757" s="17"/>
      <c r="I757" s="262"/>
      <c r="J757" s="262"/>
      <c r="K757" s="262"/>
      <c r="L757" s="262"/>
      <c r="M757" s="262"/>
    </row>
    <row r="758">
      <c r="A758" s="255" t="str">
        <f>IFERROR(__xludf.DUMMYFUNCTION("""COMPUTED_VALUE"""),"NANO")</f>
        <v>NANO</v>
      </c>
      <c r="B758" s="23" t="str">
        <f>IFERROR(__xludf.DUMMYFUNCTION("""COMPUTED_VALUE"""),"indrii2914")</f>
        <v>indrii2914</v>
      </c>
      <c r="C758" s="257" t="str">
        <f>IFERROR(__xludf.DUMMYFUNCTION("""COMPUTED_VALUE"""),"https://www.tiktok.com/@indrii2914")</f>
        <v>https://www.tiktok.com/@indrii2914</v>
      </c>
      <c r="D758" s="23">
        <f>IFERROR(__xludf.DUMMYFUNCTION("""COMPUTED_VALUE"""),8.313569938E10)</f>
        <v>83135699380</v>
      </c>
      <c r="E758" s="457">
        <f>IFERROR(__xludf.DUMMYFUNCTION("""COMPUTED_VALUE"""),100000.0)</f>
        <v>100000</v>
      </c>
      <c r="F758" s="270">
        <f>IFERROR(__xludf.DUMMYFUNCTION("""COMPUTED_VALUE"""),3.0)</f>
        <v>3</v>
      </c>
      <c r="G758" s="17" t="str">
        <f>IFERROR(__xludf.DUMMYFUNCTION("""COMPUTED_VALUE"""),"Full Set")</f>
        <v>Full Set</v>
      </c>
      <c r="H758" s="17"/>
      <c r="I758" s="262"/>
      <c r="J758" s="262"/>
      <c r="K758" s="262"/>
      <c r="L758" s="262"/>
      <c r="M758" s="262"/>
    </row>
    <row r="759">
      <c r="A759" s="255" t="str">
        <f>IFERROR(__xludf.DUMMYFUNCTION("""COMPUTED_VALUE"""),"NANO")</f>
        <v>NANO</v>
      </c>
      <c r="B759" s="23" t="str">
        <f>IFERROR(__xludf.DUMMYFUNCTION("""COMPUTED_VALUE"""),"mayaparamudita")</f>
        <v>mayaparamudita</v>
      </c>
      <c r="C759" s="257" t="str">
        <f>IFERROR(__xludf.DUMMYFUNCTION("""COMPUTED_VALUE"""),"https://www.tiktok.com/@mayaparamudita")</f>
        <v>https://www.tiktok.com/@mayaparamudita</v>
      </c>
      <c r="D759" s="23">
        <f>IFERROR(__xludf.DUMMYFUNCTION("""COMPUTED_VALUE"""),8.9674894881E10)</f>
        <v>89674894881</v>
      </c>
      <c r="E759" s="457">
        <f>IFERROR(__xludf.DUMMYFUNCTION("""COMPUTED_VALUE"""),100000.0)</f>
        <v>100000</v>
      </c>
      <c r="F759" s="270">
        <f>IFERROR(__xludf.DUMMYFUNCTION("""COMPUTED_VALUE"""),3.0)</f>
        <v>3</v>
      </c>
      <c r="G759" s="17" t="str">
        <f>IFERROR(__xludf.DUMMYFUNCTION("""COMPUTED_VALUE"""),"Full Set")</f>
        <v>Full Set</v>
      </c>
      <c r="H759" s="17"/>
      <c r="I759" s="262"/>
      <c r="J759" s="262"/>
      <c r="K759" s="262"/>
      <c r="L759" s="262"/>
      <c r="M759" s="262"/>
    </row>
    <row r="760">
      <c r="A760" s="255" t="str">
        <f>IFERROR(__xludf.DUMMYFUNCTION("""COMPUTED_VALUE"""),"NANO")</f>
        <v>NANO</v>
      </c>
      <c r="B760" s="23" t="str">
        <f>IFERROR(__xludf.DUMMYFUNCTION("""COMPUTED_VALUE"""),"Jualanyura")</f>
        <v>Jualanyura</v>
      </c>
      <c r="C760" s="257" t="str">
        <f>IFERROR(__xludf.DUMMYFUNCTION("""COMPUTED_VALUE"""),"https://www.tiktok.com/@Jualanyura")</f>
        <v>https://www.tiktok.com/@Jualanyura</v>
      </c>
      <c r="D760" s="23">
        <f>IFERROR(__xludf.DUMMYFUNCTION("""COMPUTED_VALUE"""),8.597297822E10)</f>
        <v>85972978220</v>
      </c>
      <c r="E760" s="457">
        <f>IFERROR(__xludf.DUMMYFUNCTION("""COMPUTED_VALUE"""),100000.0)</f>
        <v>100000</v>
      </c>
      <c r="F760" s="270">
        <f>IFERROR(__xludf.DUMMYFUNCTION("""COMPUTED_VALUE"""),3.0)</f>
        <v>3</v>
      </c>
      <c r="G760" s="17" t="str">
        <f>IFERROR(__xludf.DUMMYFUNCTION("""COMPUTED_VALUE"""),"Full Set")</f>
        <v>Full Set</v>
      </c>
      <c r="H760" s="17"/>
      <c r="I760" s="262"/>
      <c r="J760" s="262"/>
      <c r="K760" s="262"/>
      <c r="L760" s="262"/>
      <c r="M760" s="262"/>
    </row>
    <row r="761">
      <c r="A761" s="255" t="str">
        <f>IFERROR(__xludf.DUMMYFUNCTION("""COMPUTED_VALUE"""),"NANO")</f>
        <v>NANO</v>
      </c>
      <c r="B761" s="23" t="str">
        <f>IFERROR(__xludf.DUMMYFUNCTION("""COMPUTED_VALUE"""),"Shellashell29")</f>
        <v>Shellashell29</v>
      </c>
      <c r="C761" s="257" t="str">
        <f>IFERROR(__xludf.DUMMYFUNCTION("""COMPUTED_VALUE"""),"https://www.tiktok.com/@Shellashell29")</f>
        <v>https://www.tiktok.com/@Shellashell29</v>
      </c>
      <c r="D761" s="23">
        <f>IFERROR(__xludf.DUMMYFUNCTION("""COMPUTED_VALUE"""),8.1280505169E10)</f>
        <v>81280505169</v>
      </c>
      <c r="E761" s="457">
        <f>IFERROR(__xludf.DUMMYFUNCTION("""COMPUTED_VALUE"""),100000.0)</f>
        <v>100000</v>
      </c>
      <c r="F761" s="270">
        <f>IFERROR(__xludf.DUMMYFUNCTION("""COMPUTED_VALUE"""),3.0)</f>
        <v>3</v>
      </c>
      <c r="G761" s="17" t="str">
        <f>IFERROR(__xludf.DUMMYFUNCTION("""COMPUTED_VALUE"""),"Full Set")</f>
        <v>Full Set</v>
      </c>
      <c r="H761" s="17"/>
      <c r="I761" s="262"/>
      <c r="J761" s="262"/>
      <c r="K761" s="262"/>
      <c r="L761" s="262"/>
      <c r="M761" s="262"/>
    </row>
    <row r="762">
      <c r="A762" s="255" t="str">
        <f>IFERROR(__xludf.DUMMYFUNCTION("""COMPUTED_VALUE"""),"NANO")</f>
        <v>NANO</v>
      </c>
      <c r="B762" s="23" t="str">
        <f>IFERROR(__xludf.DUMMYFUNCTION("""COMPUTED_VALUE"""),"its.vidaaa__")</f>
        <v>its.vidaaa__</v>
      </c>
      <c r="C762" s="257" t="str">
        <f>IFERROR(__xludf.DUMMYFUNCTION("""COMPUTED_VALUE"""),"https://www.tiktok.com/@its.vidaaa__")</f>
        <v>https://www.tiktok.com/@its.vidaaa__</v>
      </c>
      <c r="D762" s="23">
        <f>IFERROR(__xludf.DUMMYFUNCTION("""COMPUTED_VALUE"""),8.5174122308E10)</f>
        <v>85174122308</v>
      </c>
      <c r="E762" s="457">
        <f>IFERROR(__xludf.DUMMYFUNCTION("""COMPUTED_VALUE"""),100000.0)</f>
        <v>100000</v>
      </c>
      <c r="F762" s="270">
        <f>IFERROR(__xludf.DUMMYFUNCTION("""COMPUTED_VALUE"""),3.0)</f>
        <v>3</v>
      </c>
      <c r="G762" s="17" t="str">
        <f>IFERROR(__xludf.DUMMYFUNCTION("""COMPUTED_VALUE"""),"Full Set")</f>
        <v>Full Set</v>
      </c>
      <c r="H762" s="17"/>
      <c r="I762" s="262"/>
      <c r="J762" s="262"/>
      <c r="K762" s="262"/>
      <c r="L762" s="262"/>
      <c r="M762" s="262"/>
    </row>
    <row r="763">
      <c r="A763" s="255" t="str">
        <f>IFERROR(__xludf.DUMMYFUNCTION("""COMPUTED_VALUE"""),"NANO")</f>
        <v>NANO</v>
      </c>
      <c r="B763" s="23" t="str">
        <f>IFERROR(__xludf.DUMMYFUNCTION("""COMPUTED_VALUE"""),"Hllo.sha")</f>
        <v>Hllo.sha</v>
      </c>
      <c r="C763" s="257" t="str">
        <f>IFERROR(__xludf.DUMMYFUNCTION("""COMPUTED_VALUE"""),"https://www.tiktok.com/@Hllo.sha")</f>
        <v>https://www.tiktok.com/@Hllo.sha</v>
      </c>
      <c r="D763" s="23">
        <f>IFERROR(__xludf.DUMMYFUNCTION("""COMPUTED_VALUE"""),8.82009467638E11)</f>
        <v>882009467638</v>
      </c>
      <c r="E763" s="457">
        <f>IFERROR(__xludf.DUMMYFUNCTION("""COMPUTED_VALUE"""),100000.0)</f>
        <v>100000</v>
      </c>
      <c r="F763" s="270">
        <f>IFERROR(__xludf.DUMMYFUNCTION("""COMPUTED_VALUE"""),3.0)</f>
        <v>3</v>
      </c>
      <c r="G763" s="17" t="str">
        <f>IFERROR(__xludf.DUMMYFUNCTION("""COMPUTED_VALUE"""),"Full Set")</f>
        <v>Full Set</v>
      </c>
      <c r="H763" s="17"/>
      <c r="I763" s="262"/>
      <c r="J763" s="262"/>
      <c r="K763" s="262"/>
      <c r="L763" s="262"/>
      <c r="M763" s="262"/>
    </row>
    <row r="764">
      <c r="A764" s="255" t="str">
        <f>IFERROR(__xludf.DUMMYFUNCTION("""COMPUTED_VALUE"""),"NANO")</f>
        <v>NANO</v>
      </c>
      <c r="B764" s="23" t="str">
        <f>IFERROR(__xludf.DUMMYFUNCTION("""COMPUTED_VALUE"""),"spillandshop.i")</f>
        <v>spillandshop.i</v>
      </c>
      <c r="C764" s="257" t="str">
        <f>IFERROR(__xludf.DUMMYFUNCTION("""COMPUTED_VALUE"""),"https://www.tiktok.com/@spillandshop.i")</f>
        <v>https://www.tiktok.com/@spillandshop.i</v>
      </c>
      <c r="D764" s="23">
        <f>IFERROR(__xludf.DUMMYFUNCTION("""COMPUTED_VALUE"""),8.5700737368E10)</f>
        <v>85700737368</v>
      </c>
      <c r="E764" s="457">
        <f>IFERROR(__xludf.DUMMYFUNCTION("""COMPUTED_VALUE"""),100000.0)</f>
        <v>100000</v>
      </c>
      <c r="F764" s="270">
        <f>IFERROR(__xludf.DUMMYFUNCTION("""COMPUTED_VALUE"""),3.0)</f>
        <v>3</v>
      </c>
      <c r="G764" s="17" t="str">
        <f>IFERROR(__xludf.DUMMYFUNCTION("""COMPUTED_VALUE"""),"Full Set")</f>
        <v>Full Set</v>
      </c>
      <c r="H764" s="17"/>
      <c r="I764" s="262"/>
      <c r="J764" s="262"/>
      <c r="K764" s="262"/>
      <c r="L764" s="262"/>
      <c r="M764" s="262"/>
    </row>
    <row r="765">
      <c r="A765" s="255" t="str">
        <f>IFERROR(__xludf.DUMMYFUNCTION("""COMPUTED_VALUE"""),"NANO")</f>
        <v>NANO</v>
      </c>
      <c r="B765" s="23" t="str">
        <f>IFERROR(__xludf.DUMMYFUNCTION("""COMPUTED_VALUE"""),"racunbyliaaa_")</f>
        <v>racunbyliaaa_</v>
      </c>
      <c r="C765" s="257" t="str">
        <f>IFERROR(__xludf.DUMMYFUNCTION("""COMPUTED_VALUE"""),"https://www.tiktok.com/@racunbyliaaa_")</f>
        <v>https://www.tiktok.com/@racunbyliaaa_</v>
      </c>
      <c r="D765" s="23">
        <f>IFERROR(__xludf.DUMMYFUNCTION("""COMPUTED_VALUE"""),8.31771834E10)</f>
        <v>83177183400</v>
      </c>
      <c r="E765" s="457">
        <f>IFERROR(__xludf.DUMMYFUNCTION("""COMPUTED_VALUE"""),100000.0)</f>
        <v>100000</v>
      </c>
      <c r="F765" s="270">
        <f>IFERROR(__xludf.DUMMYFUNCTION("""COMPUTED_VALUE"""),3.0)</f>
        <v>3</v>
      </c>
      <c r="G765" s="17" t="str">
        <f>IFERROR(__xludf.DUMMYFUNCTION("""COMPUTED_VALUE"""),"Full Set")</f>
        <v>Full Set</v>
      </c>
      <c r="H765" s="17"/>
      <c r="I765" s="262"/>
      <c r="J765" s="262"/>
      <c r="K765" s="262"/>
      <c r="L765" s="262"/>
      <c r="M765" s="262"/>
    </row>
    <row r="766">
      <c r="A766" s="255" t="str">
        <f>IFERROR(__xludf.DUMMYFUNCTION("""COMPUTED_VALUE"""),"NANO")</f>
        <v>NANO</v>
      </c>
      <c r="B766" s="23" t="str">
        <f>IFERROR(__xludf.DUMMYFUNCTION("""COMPUTED_VALUE"""),"sweetypiegirll")</f>
        <v>sweetypiegirll</v>
      </c>
      <c r="C766" s="257" t="str">
        <f>IFERROR(__xludf.DUMMYFUNCTION("""COMPUTED_VALUE"""),"https://www.tiktok.com/@sweetypiegirll")</f>
        <v>https://www.tiktok.com/@sweetypiegirll</v>
      </c>
      <c r="D766" s="23">
        <f>IFERROR(__xludf.DUMMYFUNCTION("""COMPUTED_VALUE"""),8.8268316578E10)</f>
        <v>88268316578</v>
      </c>
      <c r="E766" s="457">
        <f>IFERROR(__xludf.DUMMYFUNCTION("""COMPUTED_VALUE"""),100000.0)</f>
        <v>100000</v>
      </c>
      <c r="F766" s="270">
        <f>IFERROR(__xludf.DUMMYFUNCTION("""COMPUTED_VALUE"""),3.0)</f>
        <v>3</v>
      </c>
      <c r="G766" s="17" t="str">
        <f>IFERROR(__xludf.DUMMYFUNCTION("""COMPUTED_VALUE"""),"Full Set")</f>
        <v>Full Set</v>
      </c>
      <c r="H766" s="17"/>
      <c r="I766" s="262"/>
      <c r="J766" s="262"/>
      <c r="K766" s="262"/>
      <c r="L766" s="262"/>
      <c r="M766" s="262"/>
    </row>
    <row r="767">
      <c r="A767" s="255" t="str">
        <f>IFERROR(__xludf.DUMMYFUNCTION("""COMPUTED_VALUE"""),"NANO")</f>
        <v>NANO</v>
      </c>
      <c r="B767" s="23" t="str">
        <f>IFERROR(__xludf.DUMMYFUNCTION("""COMPUTED_VALUE"""),"spillby.sofi")</f>
        <v>spillby.sofi</v>
      </c>
      <c r="C767" s="257" t="str">
        <f>IFERROR(__xludf.DUMMYFUNCTION("""COMPUTED_VALUE"""),"https://www.tiktok.com/@spillby.sofi")</f>
        <v>https://www.tiktok.com/@spillby.sofi</v>
      </c>
      <c r="D767" s="23">
        <f>IFERROR(__xludf.DUMMYFUNCTION("""COMPUTED_VALUE"""),8.1326102016E10)</f>
        <v>81326102016</v>
      </c>
      <c r="E767" s="457">
        <f>IFERROR(__xludf.DUMMYFUNCTION("""COMPUTED_VALUE"""),100000.0)</f>
        <v>100000</v>
      </c>
      <c r="F767" s="270">
        <f>IFERROR(__xludf.DUMMYFUNCTION("""COMPUTED_VALUE"""),3.0)</f>
        <v>3</v>
      </c>
      <c r="G767" s="17" t="str">
        <f>IFERROR(__xludf.DUMMYFUNCTION("""COMPUTED_VALUE"""),"Full Set")</f>
        <v>Full Set</v>
      </c>
      <c r="H767" s="17"/>
      <c r="I767" s="262"/>
      <c r="J767" s="262"/>
      <c r="K767" s="262"/>
      <c r="L767" s="262"/>
      <c r="M767" s="262"/>
    </row>
    <row r="768">
      <c r="A768" s="255" t="str">
        <f>IFERROR(__xludf.DUMMYFUNCTION("""COMPUTED_VALUE"""),"NANO")</f>
        <v>NANO</v>
      </c>
      <c r="B768" s="23" t="str">
        <f>IFERROR(__xludf.DUMMYFUNCTION("""COMPUTED_VALUE"""),"serbabelidisini")</f>
        <v>serbabelidisini</v>
      </c>
      <c r="C768" s="257" t="str">
        <f>IFERROR(__xludf.DUMMYFUNCTION("""COMPUTED_VALUE"""),"https://www.tiktok.com/@serbabelidisini")</f>
        <v>https://www.tiktok.com/@serbabelidisini</v>
      </c>
      <c r="D768" s="23">
        <f>IFERROR(__xludf.DUMMYFUNCTION("""COMPUTED_VALUE"""),8.5722372628E10)</f>
        <v>85722372628</v>
      </c>
      <c r="E768" s="457">
        <f>IFERROR(__xludf.DUMMYFUNCTION("""COMPUTED_VALUE"""),100000.0)</f>
        <v>100000</v>
      </c>
      <c r="F768" s="270">
        <f>IFERROR(__xludf.DUMMYFUNCTION("""COMPUTED_VALUE"""),3.0)</f>
        <v>3</v>
      </c>
      <c r="G768" s="17" t="str">
        <f>IFERROR(__xludf.DUMMYFUNCTION("""COMPUTED_VALUE"""),"Full Set")</f>
        <v>Full Set</v>
      </c>
      <c r="H768" s="17"/>
      <c r="I768" s="262"/>
      <c r="J768" s="262"/>
      <c r="K768" s="262"/>
      <c r="L768" s="262"/>
      <c r="M768" s="262"/>
    </row>
    <row r="769">
      <c r="A769" s="255" t="str">
        <f>IFERROR(__xludf.DUMMYFUNCTION("""COMPUTED_VALUE"""),"NANO")</f>
        <v>NANO</v>
      </c>
      <c r="B769" s="23" t="str">
        <f>IFERROR(__xludf.DUMMYFUNCTION("""COMPUTED_VALUE"""),"nurintan0904")</f>
        <v>nurintan0904</v>
      </c>
      <c r="C769" s="257" t="str">
        <f>IFERROR(__xludf.DUMMYFUNCTION("""COMPUTED_VALUE"""),"https://www.tiktok.com/@nurintan0904")</f>
        <v>https://www.tiktok.com/@nurintan0904</v>
      </c>
      <c r="D769" s="23">
        <f>IFERROR(__xludf.DUMMYFUNCTION("""COMPUTED_VALUE"""),8.3837223822E10)</f>
        <v>83837223822</v>
      </c>
      <c r="E769" s="457">
        <f>IFERROR(__xludf.DUMMYFUNCTION("""COMPUTED_VALUE"""),100000.0)</f>
        <v>100000</v>
      </c>
      <c r="F769" s="270">
        <f>IFERROR(__xludf.DUMMYFUNCTION("""COMPUTED_VALUE"""),3.0)</f>
        <v>3</v>
      </c>
      <c r="G769" s="17" t="str">
        <f>IFERROR(__xludf.DUMMYFUNCTION("""COMPUTED_VALUE"""),"Full Set")</f>
        <v>Full Set</v>
      </c>
      <c r="H769" s="17"/>
      <c r="I769" s="262"/>
      <c r="J769" s="262"/>
      <c r="K769" s="262"/>
      <c r="L769" s="262"/>
      <c r="M769" s="262"/>
    </row>
    <row r="770">
      <c r="A770" s="255" t="str">
        <f>IFERROR(__xludf.DUMMYFUNCTION("""COMPUTED_VALUE"""),"NANO")</f>
        <v>NANO</v>
      </c>
      <c r="B770" s="23" t="str">
        <f>IFERROR(__xludf.DUMMYFUNCTION("""COMPUTED_VALUE"""),"Sriayuuuu")</f>
        <v>Sriayuuuu</v>
      </c>
      <c r="C770" s="257" t="str">
        <f>IFERROR(__xludf.DUMMYFUNCTION("""COMPUTED_VALUE"""),"https://www.tiktok.com/@Sriayuuuu")</f>
        <v>https://www.tiktok.com/@Sriayuuuu</v>
      </c>
      <c r="D770" s="23">
        <f>IFERROR(__xludf.DUMMYFUNCTION("""COMPUTED_VALUE"""),8.1573937377E10)</f>
        <v>81573937377</v>
      </c>
      <c r="E770" s="457">
        <f>IFERROR(__xludf.DUMMYFUNCTION("""COMPUTED_VALUE"""),100000.0)</f>
        <v>100000</v>
      </c>
      <c r="F770" s="270">
        <f>IFERROR(__xludf.DUMMYFUNCTION("""COMPUTED_VALUE"""),3.0)</f>
        <v>3</v>
      </c>
      <c r="G770" s="17" t="str">
        <f>IFERROR(__xludf.DUMMYFUNCTION("""COMPUTED_VALUE"""),"Full Set")</f>
        <v>Full Set</v>
      </c>
      <c r="H770" s="17"/>
      <c r="I770" s="262"/>
      <c r="J770" s="262"/>
      <c r="K770" s="262"/>
      <c r="L770" s="262"/>
      <c r="M770" s="262"/>
    </row>
    <row r="771">
      <c r="A771" s="255" t="str">
        <f>IFERROR(__xludf.DUMMYFUNCTION("""COMPUTED_VALUE"""),"NANO")</f>
        <v>NANO</v>
      </c>
      <c r="B771" s="23" t="str">
        <f>IFERROR(__xludf.DUMMYFUNCTION("""COMPUTED_VALUE"""),"reza.rahmawati1")</f>
        <v>reza.rahmawati1</v>
      </c>
      <c r="C771" s="257" t="str">
        <f>IFERROR(__xludf.DUMMYFUNCTION("""COMPUTED_VALUE"""),"https://www.tiktok.com/@reza.rahmawati1")</f>
        <v>https://www.tiktok.com/@reza.rahmawati1</v>
      </c>
      <c r="D771" s="23">
        <f>IFERROR(__xludf.DUMMYFUNCTION("""COMPUTED_VALUE"""),8.5722343271E10)</f>
        <v>85722343271</v>
      </c>
      <c r="E771" s="457">
        <f>IFERROR(__xludf.DUMMYFUNCTION("""COMPUTED_VALUE"""),100000.0)</f>
        <v>100000</v>
      </c>
      <c r="F771" s="270">
        <f>IFERROR(__xludf.DUMMYFUNCTION("""COMPUTED_VALUE"""),3.0)</f>
        <v>3</v>
      </c>
      <c r="G771" s="17" t="str">
        <f>IFERROR(__xludf.DUMMYFUNCTION("""COMPUTED_VALUE"""),"Full Set")</f>
        <v>Full Set</v>
      </c>
      <c r="H771" s="17"/>
      <c r="I771" s="262"/>
      <c r="J771" s="262"/>
      <c r="K771" s="262"/>
      <c r="L771" s="262"/>
      <c r="M771" s="262"/>
    </row>
    <row r="772">
      <c r="A772" s="255" t="str">
        <f>IFERROR(__xludf.DUMMYFUNCTION("""COMPUTED_VALUE"""),"NANO")</f>
        <v>NANO</v>
      </c>
      <c r="B772" s="23" t="str">
        <f>IFERROR(__xludf.DUMMYFUNCTION("""COMPUTED_VALUE"""),"wulancahyaputri1990 ")</f>
        <v>wulancahyaputri1990 </v>
      </c>
      <c r="C772" s="257" t="str">
        <f>IFERROR(__xludf.DUMMYFUNCTION("""COMPUTED_VALUE"""),"https://www.tiktok.com/@wulancahyaputri1990 ")</f>
        <v>https://www.tiktok.com/@wulancahyaputri1990 </v>
      </c>
      <c r="D772" s="23">
        <f>IFERROR(__xludf.DUMMYFUNCTION("""COMPUTED_VALUE"""),8.2131976432E10)</f>
        <v>82131976432</v>
      </c>
      <c r="E772" s="457">
        <f>IFERROR(__xludf.DUMMYFUNCTION("""COMPUTED_VALUE"""),100000.0)</f>
        <v>100000</v>
      </c>
      <c r="F772" s="270">
        <f>IFERROR(__xludf.DUMMYFUNCTION("""COMPUTED_VALUE"""),3.0)</f>
        <v>3</v>
      </c>
      <c r="G772" s="17" t="str">
        <f>IFERROR(__xludf.DUMMYFUNCTION("""COMPUTED_VALUE"""),"Full Set")</f>
        <v>Full Set</v>
      </c>
      <c r="H772" s="17"/>
      <c r="I772" s="262"/>
      <c r="J772" s="262"/>
      <c r="K772" s="262"/>
      <c r="L772" s="262"/>
      <c r="M772" s="262"/>
    </row>
    <row r="773">
      <c r="A773" s="255" t="str">
        <f>IFERROR(__xludf.DUMMYFUNCTION("""COMPUTED_VALUE"""),"NANO")</f>
        <v>NANO</v>
      </c>
      <c r="B773" s="23" t="str">
        <f>IFERROR(__xludf.DUMMYFUNCTION("""COMPUTED_VALUE"""),"pinky_pilloww")</f>
        <v>pinky_pilloww</v>
      </c>
      <c r="C773" s="257" t="str">
        <f>IFERROR(__xludf.DUMMYFUNCTION("""COMPUTED_VALUE"""),"https://www.tiktok.com/@pinky_pilloww")</f>
        <v>https://www.tiktok.com/@pinky_pilloww</v>
      </c>
      <c r="D773" s="23">
        <f>IFERROR(__xludf.DUMMYFUNCTION("""COMPUTED_VALUE"""),8.1556431288E10)</f>
        <v>81556431288</v>
      </c>
      <c r="E773" s="457">
        <f>IFERROR(__xludf.DUMMYFUNCTION("""COMPUTED_VALUE"""),100000.0)</f>
        <v>100000</v>
      </c>
      <c r="F773" s="270">
        <f>IFERROR(__xludf.DUMMYFUNCTION("""COMPUTED_VALUE"""),3.0)</f>
        <v>3</v>
      </c>
      <c r="G773" s="17" t="str">
        <f>IFERROR(__xludf.DUMMYFUNCTION("""COMPUTED_VALUE"""),"Full Set")</f>
        <v>Full Set</v>
      </c>
      <c r="H773" s="17"/>
      <c r="I773" s="262"/>
      <c r="J773" s="262"/>
      <c r="K773" s="262"/>
      <c r="L773" s="262"/>
      <c r="M773" s="262"/>
    </row>
    <row r="774">
      <c r="A774" s="255" t="str">
        <f>IFERROR(__xludf.DUMMYFUNCTION("""COMPUTED_VALUE"""),"NANO")</f>
        <v>NANO</v>
      </c>
      <c r="B774" s="23" t="str">
        <f>IFERROR(__xludf.DUMMYFUNCTION("""COMPUTED_VALUE"""),"ichapinnky1")</f>
        <v>ichapinnky1</v>
      </c>
      <c r="C774" s="257" t="str">
        <f>IFERROR(__xludf.DUMMYFUNCTION("""COMPUTED_VALUE"""),"https://www.tiktok.com/@ichapinnky1")</f>
        <v>https://www.tiktok.com/@ichapinnky1</v>
      </c>
      <c r="D774" s="23">
        <f>IFERROR(__xludf.DUMMYFUNCTION("""COMPUTED_VALUE"""),8.5788757739E10)</f>
        <v>85788757739</v>
      </c>
      <c r="E774" s="457">
        <f>IFERROR(__xludf.DUMMYFUNCTION("""COMPUTED_VALUE"""),100000.0)</f>
        <v>100000</v>
      </c>
      <c r="F774" s="270">
        <f>IFERROR(__xludf.DUMMYFUNCTION("""COMPUTED_VALUE"""),3.0)</f>
        <v>3</v>
      </c>
      <c r="G774" s="17" t="str">
        <f>IFERROR(__xludf.DUMMYFUNCTION("""COMPUTED_VALUE"""),"Full Set")</f>
        <v>Full Set</v>
      </c>
      <c r="H774" s="17"/>
      <c r="I774" s="262"/>
      <c r="J774" s="262"/>
      <c r="K774" s="262"/>
      <c r="L774" s="262"/>
      <c r="M774" s="262"/>
    </row>
    <row r="775">
      <c r="A775" s="255" t="str">
        <f>IFERROR(__xludf.DUMMYFUNCTION("""COMPUTED_VALUE"""),"NANO")</f>
        <v>NANO</v>
      </c>
      <c r="B775" s="23" t="str">
        <f>IFERROR(__xludf.DUMMYFUNCTION("""COMPUTED_VALUE"""),"rindianidestizainn")</f>
        <v>rindianidestizainn</v>
      </c>
      <c r="C775" s="257" t="str">
        <f>IFERROR(__xludf.DUMMYFUNCTION("""COMPUTED_VALUE"""),"https://www.tiktok.com/@rindianidestizainn")</f>
        <v>https://www.tiktok.com/@rindianidestizainn</v>
      </c>
      <c r="D775" s="23">
        <f>IFERROR(__xludf.DUMMYFUNCTION("""COMPUTED_VALUE"""),8.786242832E10)</f>
        <v>87862428320</v>
      </c>
      <c r="E775" s="457">
        <f>IFERROR(__xludf.DUMMYFUNCTION("""COMPUTED_VALUE"""),100000.0)</f>
        <v>100000</v>
      </c>
      <c r="F775" s="270">
        <f>IFERROR(__xludf.DUMMYFUNCTION("""COMPUTED_VALUE"""),3.0)</f>
        <v>3</v>
      </c>
      <c r="G775" s="17" t="str">
        <f>IFERROR(__xludf.DUMMYFUNCTION("""COMPUTED_VALUE"""),"Full Set")</f>
        <v>Full Set</v>
      </c>
      <c r="H775" s="17"/>
      <c r="I775" s="262"/>
      <c r="J775" s="262"/>
      <c r="K775" s="262"/>
      <c r="L775" s="262"/>
      <c r="M775" s="262"/>
    </row>
    <row r="776">
      <c r="A776" s="255" t="str">
        <f>IFERROR(__xludf.DUMMYFUNCTION("""COMPUTED_VALUE"""),"NANO")</f>
        <v>NANO</v>
      </c>
      <c r="B776" s="23" t="str">
        <f>IFERROR(__xludf.DUMMYFUNCTION("""COMPUTED_VALUE"""),"tiyamom8 ")</f>
        <v>tiyamom8 </v>
      </c>
      <c r="C776" s="257" t="str">
        <f>IFERROR(__xludf.DUMMYFUNCTION("""COMPUTED_VALUE"""),"https://www.tiktok.com/@tiyamom8 ")</f>
        <v>https://www.tiktok.com/@tiyamom8 </v>
      </c>
      <c r="D776" s="23">
        <f>IFERROR(__xludf.DUMMYFUNCTION("""COMPUTED_VALUE"""),8.584770349E10)</f>
        <v>85847703490</v>
      </c>
      <c r="E776" s="457">
        <f>IFERROR(__xludf.DUMMYFUNCTION("""COMPUTED_VALUE"""),100000.0)</f>
        <v>100000</v>
      </c>
      <c r="F776" s="270">
        <f>IFERROR(__xludf.DUMMYFUNCTION("""COMPUTED_VALUE"""),3.0)</f>
        <v>3</v>
      </c>
      <c r="G776" s="17" t="str">
        <f>IFERROR(__xludf.DUMMYFUNCTION("""COMPUTED_VALUE"""),"Full Set")</f>
        <v>Full Set</v>
      </c>
      <c r="H776" s="17"/>
      <c r="I776" s="262"/>
      <c r="J776" s="262"/>
      <c r="K776" s="262"/>
      <c r="L776" s="262"/>
      <c r="M776" s="262"/>
    </row>
    <row r="777">
      <c r="A777" s="255" t="str">
        <f>IFERROR(__xludf.DUMMYFUNCTION("""COMPUTED_VALUE"""),"NANO")</f>
        <v>NANO</v>
      </c>
      <c r="B777" s="23" t="str">
        <f>IFERROR(__xludf.DUMMYFUNCTION("""COMPUTED_VALUE"""),"ranggaasyra ")</f>
        <v>ranggaasyra </v>
      </c>
      <c r="C777" s="257" t="str">
        <f>IFERROR(__xludf.DUMMYFUNCTION("""COMPUTED_VALUE"""),"https://www.tiktok.com/@ranggaasyra ")</f>
        <v>https://www.tiktok.com/@ranggaasyra </v>
      </c>
      <c r="D777" s="23">
        <f>IFERROR(__xludf.DUMMYFUNCTION("""COMPUTED_VALUE"""),8.3152064814E10)</f>
        <v>83152064814</v>
      </c>
      <c r="E777" s="457">
        <f>IFERROR(__xludf.DUMMYFUNCTION("""COMPUTED_VALUE"""),100000.0)</f>
        <v>100000</v>
      </c>
      <c r="F777" s="270">
        <f>IFERROR(__xludf.DUMMYFUNCTION("""COMPUTED_VALUE"""),3.0)</f>
        <v>3</v>
      </c>
      <c r="G777" s="17" t="str">
        <f>IFERROR(__xludf.DUMMYFUNCTION("""COMPUTED_VALUE"""),"Full Set")</f>
        <v>Full Set</v>
      </c>
      <c r="H777" s="17"/>
      <c r="I777" s="262"/>
      <c r="J777" s="262"/>
      <c r="K777" s="262"/>
      <c r="L777" s="262"/>
      <c r="M777" s="262"/>
    </row>
    <row r="778">
      <c r="A778" s="255" t="str">
        <f>IFERROR(__xludf.DUMMYFUNCTION("""COMPUTED_VALUE"""),"NANO")</f>
        <v>NANO</v>
      </c>
      <c r="B778" s="23" t="str">
        <f>IFERROR(__xludf.DUMMYFUNCTION("""COMPUTED_VALUE"""),"Opanlopelope")</f>
        <v>Opanlopelope</v>
      </c>
      <c r="C778" s="257" t="str">
        <f>IFERROR(__xludf.DUMMYFUNCTION("""COMPUTED_VALUE"""),"https://www.tiktok.com/@Opanlopelope")</f>
        <v>https://www.tiktok.com/@Opanlopelope</v>
      </c>
      <c r="D778" s="23">
        <f>IFERROR(__xludf.DUMMYFUNCTION("""COMPUTED_VALUE"""),8.5704224251E10)</f>
        <v>85704224251</v>
      </c>
      <c r="E778" s="457">
        <f>IFERROR(__xludf.DUMMYFUNCTION("""COMPUTED_VALUE"""),100000.0)</f>
        <v>100000</v>
      </c>
      <c r="F778" s="270">
        <f>IFERROR(__xludf.DUMMYFUNCTION("""COMPUTED_VALUE"""),3.0)</f>
        <v>3</v>
      </c>
      <c r="G778" s="17" t="str">
        <f>IFERROR(__xludf.DUMMYFUNCTION("""COMPUTED_VALUE"""),"Full Set")</f>
        <v>Full Set</v>
      </c>
      <c r="H778" s="17"/>
      <c r="I778" s="262"/>
      <c r="J778" s="262"/>
      <c r="K778" s="262"/>
      <c r="L778" s="262"/>
      <c r="M778" s="262"/>
    </row>
    <row r="779">
      <c r="A779" s="255" t="str">
        <f>IFERROR(__xludf.DUMMYFUNCTION("""COMPUTED_VALUE"""),"NANO")</f>
        <v>NANO</v>
      </c>
      <c r="B779" s="23" t="str">
        <f>IFERROR(__xludf.DUMMYFUNCTION("""COMPUTED_VALUE"""),"ayuu7267")</f>
        <v>ayuu7267</v>
      </c>
      <c r="C779" s="257" t="str">
        <f>IFERROR(__xludf.DUMMYFUNCTION("""COMPUTED_VALUE"""),"https://www.tiktok.com/@ayuu7267")</f>
        <v>https://www.tiktok.com/@ayuu7267</v>
      </c>
      <c r="D779" s="23">
        <f>IFERROR(__xludf.DUMMYFUNCTION("""COMPUTED_VALUE"""),8.5770848581E10)</f>
        <v>85770848581</v>
      </c>
      <c r="E779" s="457">
        <f>IFERROR(__xludf.DUMMYFUNCTION("""COMPUTED_VALUE"""),100000.0)</f>
        <v>100000</v>
      </c>
      <c r="F779" s="270">
        <f>IFERROR(__xludf.DUMMYFUNCTION("""COMPUTED_VALUE"""),3.0)</f>
        <v>3</v>
      </c>
      <c r="G779" s="17" t="str">
        <f>IFERROR(__xludf.DUMMYFUNCTION("""COMPUTED_VALUE"""),"Full Set")</f>
        <v>Full Set</v>
      </c>
      <c r="H779" s="17"/>
      <c r="I779" s="262"/>
      <c r="J779" s="262"/>
      <c r="K779" s="262"/>
      <c r="L779" s="262"/>
      <c r="M779" s="262"/>
    </row>
    <row r="780">
      <c r="A780" s="255" t="str">
        <f>IFERROR(__xludf.DUMMYFUNCTION("""COMPUTED_VALUE"""),"NANO")</f>
        <v>NANO</v>
      </c>
      <c r="B780" s="23" t="str">
        <f>IFERROR(__xludf.DUMMYFUNCTION("""COMPUTED_VALUE"""),"ulfaflow7")</f>
        <v>ulfaflow7</v>
      </c>
      <c r="C780" s="257" t="str">
        <f>IFERROR(__xludf.DUMMYFUNCTION("""COMPUTED_VALUE"""),"https://www.tiktok.com/@ulfaflow7")</f>
        <v>https://www.tiktok.com/@ulfaflow7</v>
      </c>
      <c r="D780" s="23">
        <f>IFERROR(__xludf.DUMMYFUNCTION("""COMPUTED_VALUE"""),8.2128412751E10)</f>
        <v>82128412751</v>
      </c>
      <c r="E780" s="457">
        <f>IFERROR(__xludf.DUMMYFUNCTION("""COMPUTED_VALUE"""),100000.0)</f>
        <v>100000</v>
      </c>
      <c r="F780" s="270">
        <f>IFERROR(__xludf.DUMMYFUNCTION("""COMPUTED_VALUE"""),3.0)</f>
        <v>3</v>
      </c>
      <c r="G780" s="17" t="str">
        <f>IFERROR(__xludf.DUMMYFUNCTION("""COMPUTED_VALUE"""),"Full Set")</f>
        <v>Full Set</v>
      </c>
      <c r="H780" s="17"/>
      <c r="I780" s="262"/>
      <c r="J780" s="262"/>
      <c r="K780" s="262"/>
      <c r="L780" s="262"/>
      <c r="M780" s="262"/>
    </row>
    <row r="781">
      <c r="A781" s="255" t="str">
        <f>IFERROR(__xludf.DUMMYFUNCTION("""COMPUTED_VALUE"""),"NANO")</f>
        <v>NANO</v>
      </c>
      <c r="B781" s="23" t="str">
        <f>IFERROR(__xludf.DUMMYFUNCTION("""COMPUTED_VALUE"""),"nureyy_yy")</f>
        <v>nureyy_yy</v>
      </c>
      <c r="C781" s="257" t="str">
        <f>IFERROR(__xludf.DUMMYFUNCTION("""COMPUTED_VALUE"""),"https://www.tiktok.com/@nureyy_yy")</f>
        <v>https://www.tiktok.com/@nureyy_yy</v>
      </c>
      <c r="D781" s="23">
        <f>IFERROR(__xludf.DUMMYFUNCTION("""COMPUTED_VALUE"""),8.3874103668E10)</f>
        <v>83874103668</v>
      </c>
      <c r="E781" s="457">
        <f>IFERROR(__xludf.DUMMYFUNCTION("""COMPUTED_VALUE"""),100000.0)</f>
        <v>100000</v>
      </c>
      <c r="F781" s="270">
        <f>IFERROR(__xludf.DUMMYFUNCTION("""COMPUTED_VALUE"""),3.0)</f>
        <v>3</v>
      </c>
      <c r="G781" s="17" t="str">
        <f>IFERROR(__xludf.DUMMYFUNCTION("""COMPUTED_VALUE"""),"Full Set")</f>
        <v>Full Set</v>
      </c>
      <c r="H781" s="17"/>
      <c r="I781" s="262"/>
      <c r="J781" s="262"/>
      <c r="K781" s="262"/>
      <c r="L781" s="262"/>
      <c r="M781" s="262"/>
    </row>
    <row r="782">
      <c r="A782" s="255" t="str">
        <f>IFERROR(__xludf.DUMMYFUNCTION("""COMPUTED_VALUE"""),"NANO")</f>
        <v>NANO</v>
      </c>
      <c r="B782" s="23" t="str">
        <f>IFERROR(__xludf.DUMMYFUNCTION("""COMPUTED_VALUE"""),"alfiinurr09")</f>
        <v>alfiinurr09</v>
      </c>
      <c r="C782" s="257" t="str">
        <f>IFERROR(__xludf.DUMMYFUNCTION("""COMPUTED_VALUE"""),"https://www.tiktok.com/@alfiinurr09")</f>
        <v>https://www.tiktok.com/@alfiinurr09</v>
      </c>
      <c r="D782" s="23">
        <f>IFERROR(__xludf.DUMMYFUNCTION("""COMPUTED_VALUE"""),8.9612630382E10)</f>
        <v>89612630382</v>
      </c>
      <c r="E782" s="457">
        <f>IFERROR(__xludf.DUMMYFUNCTION("""COMPUTED_VALUE"""),100000.0)</f>
        <v>100000</v>
      </c>
      <c r="F782" s="270">
        <f>IFERROR(__xludf.DUMMYFUNCTION("""COMPUTED_VALUE"""),3.0)</f>
        <v>3</v>
      </c>
      <c r="G782" s="17" t="str">
        <f>IFERROR(__xludf.DUMMYFUNCTION("""COMPUTED_VALUE"""),"Full Set")</f>
        <v>Full Set</v>
      </c>
      <c r="H782" s="17"/>
      <c r="I782" s="262"/>
      <c r="J782" s="262"/>
      <c r="K782" s="262"/>
      <c r="L782" s="262"/>
      <c r="M782" s="262"/>
    </row>
    <row r="783">
      <c r="A783" s="255" t="str">
        <f>IFERROR(__xludf.DUMMYFUNCTION("""COMPUTED_VALUE"""),"NANO")</f>
        <v>NANO</v>
      </c>
      <c r="B783" s="23" t="str">
        <f>IFERROR(__xludf.DUMMYFUNCTION("""COMPUTED_VALUE"""),"resita13_")</f>
        <v>resita13_</v>
      </c>
      <c r="C783" s="257" t="str">
        <f>IFERROR(__xludf.DUMMYFUNCTION("""COMPUTED_VALUE"""),"https://www.tiktok.com/@resita13_")</f>
        <v>https://www.tiktok.com/@resita13_</v>
      </c>
      <c r="D783" s="23">
        <f>IFERROR(__xludf.DUMMYFUNCTION("""COMPUTED_VALUE"""),8.2197964929E10)</f>
        <v>82197964929</v>
      </c>
      <c r="E783" s="457">
        <f>IFERROR(__xludf.DUMMYFUNCTION("""COMPUTED_VALUE"""),100000.0)</f>
        <v>100000</v>
      </c>
      <c r="F783" s="270">
        <f>IFERROR(__xludf.DUMMYFUNCTION("""COMPUTED_VALUE"""),3.0)</f>
        <v>3</v>
      </c>
      <c r="G783" s="17" t="str">
        <f>IFERROR(__xludf.DUMMYFUNCTION("""COMPUTED_VALUE"""),"Full Set")</f>
        <v>Full Set</v>
      </c>
      <c r="H783" s="17"/>
      <c r="I783" s="262"/>
      <c r="J783" s="262"/>
      <c r="K783" s="262"/>
      <c r="L783" s="262"/>
      <c r="M783" s="262"/>
    </row>
    <row r="784">
      <c r="A784" s="255" t="str">
        <f>IFERROR(__xludf.DUMMYFUNCTION("""COMPUTED_VALUE"""),"NANO")</f>
        <v>NANO</v>
      </c>
      <c r="B784" s="23" t="str">
        <f>IFERROR(__xludf.DUMMYFUNCTION("""COMPUTED_VALUE"""),"dwiereyiskandar")</f>
        <v>dwiereyiskandar</v>
      </c>
      <c r="C784" s="257" t="str">
        <f>IFERROR(__xludf.DUMMYFUNCTION("""COMPUTED_VALUE"""),"https://www.tiktok.com/@dwiereyiskandar")</f>
        <v>https://www.tiktok.com/@dwiereyiskandar</v>
      </c>
      <c r="D784" s="23">
        <f>IFERROR(__xludf.DUMMYFUNCTION("""COMPUTED_VALUE"""),8.888583491E9)</f>
        <v>8888583491</v>
      </c>
      <c r="E784" s="457">
        <f>IFERROR(__xludf.DUMMYFUNCTION("""COMPUTED_VALUE"""),100000.0)</f>
        <v>100000</v>
      </c>
      <c r="F784" s="270">
        <f>IFERROR(__xludf.DUMMYFUNCTION("""COMPUTED_VALUE"""),3.0)</f>
        <v>3</v>
      </c>
      <c r="G784" s="17" t="str">
        <f>IFERROR(__xludf.DUMMYFUNCTION("""COMPUTED_VALUE"""),"Full Set")</f>
        <v>Full Set</v>
      </c>
      <c r="H784" s="17"/>
      <c r="I784" s="262"/>
      <c r="J784" s="262"/>
      <c r="K784" s="262"/>
      <c r="L784" s="262"/>
      <c r="M784" s="262"/>
    </row>
    <row r="785">
      <c r="A785" s="255" t="str">
        <f>IFERROR(__xludf.DUMMYFUNCTION("""COMPUTED_VALUE"""),"NANO")</f>
        <v>NANO</v>
      </c>
      <c r="B785" s="23" t="str">
        <f>IFERROR(__xludf.DUMMYFUNCTION("""COMPUTED_VALUE"""),"nabelasetiadi")</f>
        <v>nabelasetiadi</v>
      </c>
      <c r="C785" s="257" t="str">
        <f>IFERROR(__xludf.DUMMYFUNCTION("""COMPUTED_VALUE"""),"https://www.tiktok.com/@nabelasetiadi")</f>
        <v>https://www.tiktok.com/@nabelasetiadi</v>
      </c>
      <c r="D785" s="23">
        <f>IFERROR(__xludf.DUMMYFUNCTION("""COMPUTED_VALUE"""),8.1230959098E10)</f>
        <v>81230959098</v>
      </c>
      <c r="E785" s="457">
        <f>IFERROR(__xludf.DUMMYFUNCTION("""COMPUTED_VALUE"""),100000.0)</f>
        <v>100000</v>
      </c>
      <c r="F785" s="270">
        <f>IFERROR(__xludf.DUMMYFUNCTION("""COMPUTED_VALUE"""),3.0)</f>
        <v>3</v>
      </c>
      <c r="G785" s="17" t="str">
        <f>IFERROR(__xludf.DUMMYFUNCTION("""COMPUTED_VALUE"""),"Full Set")</f>
        <v>Full Set</v>
      </c>
      <c r="H785" s="17"/>
      <c r="I785" s="262"/>
      <c r="J785" s="262"/>
      <c r="K785" s="262"/>
      <c r="L785" s="262"/>
      <c r="M785" s="262"/>
    </row>
    <row r="786">
      <c r="A786" s="255" t="str">
        <f>IFERROR(__xludf.DUMMYFUNCTION("""COMPUTED_VALUE"""),"NANO")</f>
        <v>NANO</v>
      </c>
      <c r="B786" s="23" t="str">
        <f>IFERROR(__xludf.DUMMYFUNCTION("""COMPUTED_VALUE"""),"Ryanazivaro")</f>
        <v>Ryanazivaro</v>
      </c>
      <c r="C786" s="257" t="str">
        <f>IFERROR(__xludf.DUMMYFUNCTION("""COMPUTED_VALUE"""),"https://www.tiktok.com/@Ryanazivaro")</f>
        <v>https://www.tiktok.com/@Ryanazivaro</v>
      </c>
      <c r="D786" s="23">
        <f>IFERROR(__xludf.DUMMYFUNCTION("""COMPUTED_VALUE"""),8.1282119537E10)</f>
        <v>81282119537</v>
      </c>
      <c r="E786" s="457">
        <f>IFERROR(__xludf.DUMMYFUNCTION("""COMPUTED_VALUE"""),100000.0)</f>
        <v>100000</v>
      </c>
      <c r="F786" s="270">
        <f>IFERROR(__xludf.DUMMYFUNCTION("""COMPUTED_VALUE"""),3.0)</f>
        <v>3</v>
      </c>
      <c r="G786" s="17" t="str">
        <f>IFERROR(__xludf.DUMMYFUNCTION("""COMPUTED_VALUE"""),"Full Set")</f>
        <v>Full Set</v>
      </c>
      <c r="H786" s="17"/>
      <c r="I786" s="262"/>
      <c r="J786" s="262"/>
      <c r="K786" s="262"/>
      <c r="L786" s="262"/>
      <c r="M786" s="262"/>
    </row>
    <row r="787">
      <c r="A787" s="255" t="str">
        <f>IFERROR(__xludf.DUMMYFUNCTION("""COMPUTED_VALUE"""),"NANO")</f>
        <v>NANO</v>
      </c>
      <c r="B787" s="23" t="str">
        <f>IFERROR(__xludf.DUMMYFUNCTION("""COMPUTED_VALUE"""),"abangbobiboy ")</f>
        <v>abangbobiboy </v>
      </c>
      <c r="C787" s="257" t="str">
        <f>IFERROR(__xludf.DUMMYFUNCTION("""COMPUTED_VALUE"""),"https://www.tiktok.com/@abangbobiboy ")</f>
        <v>https://www.tiktok.com/@abangbobiboy </v>
      </c>
      <c r="D787" s="23">
        <f>IFERROR(__xludf.DUMMYFUNCTION("""COMPUTED_VALUE"""),8.5264058434E10)</f>
        <v>85264058434</v>
      </c>
      <c r="E787" s="457">
        <f>IFERROR(__xludf.DUMMYFUNCTION("""COMPUTED_VALUE"""),100000.0)</f>
        <v>100000</v>
      </c>
      <c r="F787" s="270">
        <f>IFERROR(__xludf.DUMMYFUNCTION("""COMPUTED_VALUE"""),3.0)</f>
        <v>3</v>
      </c>
      <c r="G787" s="17" t="str">
        <f>IFERROR(__xludf.DUMMYFUNCTION("""COMPUTED_VALUE"""),"Full Set")</f>
        <v>Full Set</v>
      </c>
      <c r="H787" s="17"/>
      <c r="I787" s="262"/>
      <c r="J787" s="262"/>
      <c r="K787" s="262"/>
      <c r="L787" s="262"/>
      <c r="M787" s="262"/>
    </row>
    <row r="788">
      <c r="A788" s="255" t="str">
        <f>IFERROR(__xludf.DUMMYFUNCTION("""COMPUTED_VALUE"""),"NANO")</f>
        <v>NANO</v>
      </c>
      <c r="B788" s="23" t="str">
        <f>IFERROR(__xludf.DUMMYFUNCTION("""COMPUTED_VALUE"""),"rninka")</f>
        <v>rninka</v>
      </c>
      <c r="C788" s="257" t="str">
        <f>IFERROR(__xludf.DUMMYFUNCTION("""COMPUTED_VALUE"""),"https://www.tiktok.com/@rninka")</f>
        <v>https://www.tiktok.com/@rninka</v>
      </c>
      <c r="D788" s="23">
        <f>IFERROR(__xludf.DUMMYFUNCTION("""COMPUTED_VALUE"""),8.5747394969E10)</f>
        <v>85747394969</v>
      </c>
      <c r="E788" s="457">
        <f>IFERROR(__xludf.DUMMYFUNCTION("""COMPUTED_VALUE"""),100000.0)</f>
        <v>100000</v>
      </c>
      <c r="F788" s="270">
        <f>IFERROR(__xludf.DUMMYFUNCTION("""COMPUTED_VALUE"""),3.0)</f>
        <v>3</v>
      </c>
      <c r="G788" s="17" t="str">
        <f>IFERROR(__xludf.DUMMYFUNCTION("""COMPUTED_VALUE"""),"Full Set")</f>
        <v>Full Set</v>
      </c>
      <c r="H788" s="17"/>
      <c r="I788" s="262"/>
      <c r="J788" s="262"/>
      <c r="K788" s="262"/>
      <c r="L788" s="262"/>
      <c r="M788" s="262"/>
    </row>
    <row r="789">
      <c r="A789" s="255" t="str">
        <f>IFERROR(__xludf.DUMMYFUNCTION("""COMPUTED_VALUE"""),"NANO")</f>
        <v>NANO</v>
      </c>
      <c r="B789" s="23" t="str">
        <f>IFERROR(__xludf.DUMMYFUNCTION("""COMPUTED_VALUE"""),"GlamRizzAang")</f>
        <v>GlamRizzAang</v>
      </c>
      <c r="C789" s="257" t="str">
        <f>IFERROR(__xludf.DUMMYFUNCTION("""COMPUTED_VALUE"""),"https://www.tiktok.com/@GlamRizzAang")</f>
        <v>https://www.tiktok.com/@GlamRizzAang</v>
      </c>
      <c r="D789" s="23">
        <f>IFERROR(__xludf.DUMMYFUNCTION("""COMPUTED_VALUE"""),8.2164215948E10)</f>
        <v>82164215948</v>
      </c>
      <c r="E789" s="457">
        <f>IFERROR(__xludf.DUMMYFUNCTION("""COMPUTED_VALUE"""),100000.0)</f>
        <v>100000</v>
      </c>
      <c r="F789" s="270">
        <f>IFERROR(__xludf.DUMMYFUNCTION("""COMPUTED_VALUE"""),3.0)</f>
        <v>3</v>
      </c>
      <c r="G789" s="17" t="str">
        <f>IFERROR(__xludf.DUMMYFUNCTION("""COMPUTED_VALUE"""),"Full Set")</f>
        <v>Full Set</v>
      </c>
      <c r="H789" s="17"/>
      <c r="I789" s="262"/>
      <c r="J789" s="262"/>
      <c r="K789" s="262"/>
      <c r="L789" s="262"/>
      <c r="M789" s="262"/>
    </row>
    <row r="790">
      <c r="A790" s="255" t="str">
        <f>IFERROR(__xludf.DUMMYFUNCTION("""COMPUTED_VALUE"""),"NANO")</f>
        <v>NANO</v>
      </c>
      <c r="B790" s="23" t="str">
        <f>IFERROR(__xludf.DUMMYFUNCTION("""COMPUTED_VALUE"""),"sasa.marissa_")</f>
        <v>sasa.marissa_</v>
      </c>
      <c r="C790" s="257" t="str">
        <f>IFERROR(__xludf.DUMMYFUNCTION("""COMPUTED_VALUE"""),"https://www.tiktok.com/@sasa.marissa_")</f>
        <v>https://www.tiktok.com/@sasa.marissa_</v>
      </c>
      <c r="D790" s="23">
        <f>IFERROR(__xludf.DUMMYFUNCTION("""COMPUTED_VALUE"""),8.1391822943E10)</f>
        <v>81391822943</v>
      </c>
      <c r="E790" s="457">
        <f>IFERROR(__xludf.DUMMYFUNCTION("""COMPUTED_VALUE"""),100000.0)</f>
        <v>100000</v>
      </c>
      <c r="F790" s="270">
        <f>IFERROR(__xludf.DUMMYFUNCTION("""COMPUTED_VALUE"""),3.0)</f>
        <v>3</v>
      </c>
      <c r="G790" s="17" t="str">
        <f>IFERROR(__xludf.DUMMYFUNCTION("""COMPUTED_VALUE"""),"Full Set")</f>
        <v>Full Set</v>
      </c>
      <c r="H790" s="17"/>
      <c r="I790" s="262"/>
      <c r="J790" s="262"/>
      <c r="K790" s="262"/>
      <c r="L790" s="262"/>
      <c r="M790" s="262"/>
    </row>
    <row r="791">
      <c r="A791" s="255" t="str">
        <f>IFERROR(__xludf.DUMMYFUNCTION("""COMPUTED_VALUE"""),"NANO")</f>
        <v>NANO</v>
      </c>
      <c r="B791" s="23" t="str">
        <f>IFERROR(__xludf.DUMMYFUNCTION("""COMPUTED_VALUE"""),"Yasminnkim")</f>
        <v>Yasminnkim</v>
      </c>
      <c r="C791" s="257" t="str">
        <f>IFERROR(__xludf.DUMMYFUNCTION("""COMPUTED_VALUE"""),"https://www.tiktok.com/@Yasminnkim")</f>
        <v>https://www.tiktok.com/@Yasminnkim</v>
      </c>
      <c r="D791" s="23">
        <f>IFERROR(__xludf.DUMMYFUNCTION("""COMPUTED_VALUE"""),8.5732540504E10)</f>
        <v>85732540504</v>
      </c>
      <c r="E791" s="457">
        <f>IFERROR(__xludf.DUMMYFUNCTION("""COMPUTED_VALUE"""),100000.0)</f>
        <v>100000</v>
      </c>
      <c r="F791" s="270">
        <f>IFERROR(__xludf.DUMMYFUNCTION("""COMPUTED_VALUE"""),3.0)</f>
        <v>3</v>
      </c>
      <c r="G791" s="17" t="str">
        <f>IFERROR(__xludf.DUMMYFUNCTION("""COMPUTED_VALUE"""),"Full Set")</f>
        <v>Full Set</v>
      </c>
      <c r="H791" s="17"/>
      <c r="I791" s="262"/>
      <c r="J791" s="262"/>
      <c r="K791" s="262"/>
      <c r="L791" s="262"/>
      <c r="M791" s="262"/>
    </row>
    <row r="792">
      <c r="A792" s="255" t="str">
        <f>IFERROR(__xludf.DUMMYFUNCTION("""COMPUTED_VALUE"""),"NANO")</f>
        <v>NANO</v>
      </c>
      <c r="B792" s="23" t="str">
        <f>IFERROR(__xludf.DUMMYFUNCTION("""COMPUTED_VALUE"""),"henipurwanti18")</f>
        <v>henipurwanti18</v>
      </c>
      <c r="C792" s="257" t="str">
        <f>IFERROR(__xludf.DUMMYFUNCTION("""COMPUTED_VALUE"""),"https://www.tiktok.com/@henipurwanti18")</f>
        <v>https://www.tiktok.com/@henipurwanti18</v>
      </c>
      <c r="D792" s="23">
        <f>IFERROR(__xludf.DUMMYFUNCTION("""COMPUTED_VALUE"""),8.3187044185E10)</f>
        <v>83187044185</v>
      </c>
      <c r="E792" s="457">
        <f>IFERROR(__xludf.DUMMYFUNCTION("""COMPUTED_VALUE"""),100000.0)</f>
        <v>100000</v>
      </c>
      <c r="F792" s="270">
        <f>IFERROR(__xludf.DUMMYFUNCTION("""COMPUTED_VALUE"""),3.0)</f>
        <v>3</v>
      </c>
      <c r="G792" s="17" t="str">
        <f>IFERROR(__xludf.DUMMYFUNCTION("""COMPUTED_VALUE"""),"Full Set")</f>
        <v>Full Set</v>
      </c>
      <c r="H792" s="17"/>
      <c r="I792" s="262"/>
      <c r="J792" s="262"/>
      <c r="K792" s="262"/>
      <c r="L792" s="262"/>
      <c r="M792" s="262"/>
    </row>
    <row r="793">
      <c r="A793" s="255" t="str">
        <f>IFERROR(__xludf.DUMMYFUNCTION("""COMPUTED_VALUE"""),"NANO")</f>
        <v>NANO</v>
      </c>
      <c r="B793" s="23" t="str">
        <f>IFERROR(__xludf.DUMMYFUNCTION("""COMPUTED_VALUE"""),"Bisikanmatapanda")</f>
        <v>Bisikanmatapanda</v>
      </c>
      <c r="C793" s="257" t="str">
        <f>IFERROR(__xludf.DUMMYFUNCTION("""COMPUTED_VALUE"""),"https://www.tiktok.com/@Bisikanmatapanda")</f>
        <v>https://www.tiktok.com/@Bisikanmatapanda</v>
      </c>
      <c r="D793" s="23">
        <f>IFERROR(__xludf.DUMMYFUNCTION("""COMPUTED_VALUE"""),8.7712607728E10)</f>
        <v>87712607728</v>
      </c>
      <c r="E793" s="457">
        <f>IFERROR(__xludf.DUMMYFUNCTION("""COMPUTED_VALUE"""),100000.0)</f>
        <v>100000</v>
      </c>
      <c r="F793" s="270">
        <f>IFERROR(__xludf.DUMMYFUNCTION("""COMPUTED_VALUE"""),3.0)</f>
        <v>3</v>
      </c>
      <c r="G793" s="17" t="str">
        <f>IFERROR(__xludf.DUMMYFUNCTION("""COMPUTED_VALUE"""),"Full Set")</f>
        <v>Full Set</v>
      </c>
      <c r="H793" s="17"/>
      <c r="I793" s="262"/>
      <c r="J793" s="262"/>
      <c r="K793" s="262"/>
      <c r="L793" s="262"/>
      <c r="M793" s="262"/>
    </row>
    <row r="794">
      <c r="A794" s="255" t="str">
        <f>IFERROR(__xludf.DUMMYFUNCTION("""COMPUTED_VALUE"""),"NANO")</f>
        <v>NANO</v>
      </c>
      <c r="B794" s="23" t="str">
        <f>IFERROR(__xludf.DUMMYFUNCTION("""COMPUTED_VALUE"""),"arshavch")</f>
        <v>arshavch</v>
      </c>
      <c r="C794" s="257" t="str">
        <f>IFERROR(__xludf.DUMMYFUNCTION("""COMPUTED_VALUE"""),"https://www.tiktok.com/@arshavch")</f>
        <v>https://www.tiktok.com/@arshavch</v>
      </c>
      <c r="D794" s="23">
        <f>IFERROR(__xludf.DUMMYFUNCTION("""COMPUTED_VALUE"""),8.5772692873E10)</f>
        <v>85772692873</v>
      </c>
      <c r="E794" s="457">
        <f>IFERROR(__xludf.DUMMYFUNCTION("""COMPUTED_VALUE"""),100000.0)</f>
        <v>100000</v>
      </c>
      <c r="F794" s="270">
        <f>IFERROR(__xludf.DUMMYFUNCTION("""COMPUTED_VALUE"""),3.0)</f>
        <v>3</v>
      </c>
      <c r="G794" s="17" t="str">
        <f>IFERROR(__xludf.DUMMYFUNCTION("""COMPUTED_VALUE"""),"Full Set")</f>
        <v>Full Set</v>
      </c>
      <c r="H794" s="17"/>
      <c r="I794" s="262"/>
      <c r="J794" s="262"/>
      <c r="K794" s="262"/>
      <c r="L794" s="262"/>
      <c r="M794" s="262"/>
    </row>
    <row r="795">
      <c r="A795" s="255" t="str">
        <f>IFERROR(__xludf.DUMMYFUNCTION("""COMPUTED_VALUE"""),"NANO")</f>
        <v>NANO</v>
      </c>
      <c r="B795" s="23" t="str">
        <f>IFERROR(__xludf.DUMMYFUNCTION("""COMPUTED_VALUE"""),"lusitaadyaa")</f>
        <v>lusitaadyaa</v>
      </c>
      <c r="C795" s="257" t="str">
        <f>IFERROR(__xludf.DUMMYFUNCTION("""COMPUTED_VALUE"""),"https://www.tiktok.com/@lusitaadyaa")</f>
        <v>https://www.tiktok.com/@lusitaadyaa</v>
      </c>
      <c r="D795" s="23">
        <f>IFERROR(__xludf.DUMMYFUNCTION("""COMPUTED_VALUE"""),8.5815591601E10)</f>
        <v>85815591601</v>
      </c>
      <c r="E795" s="457">
        <f>IFERROR(__xludf.DUMMYFUNCTION("""COMPUTED_VALUE"""),100000.0)</f>
        <v>100000</v>
      </c>
      <c r="F795" s="270">
        <f>IFERROR(__xludf.DUMMYFUNCTION("""COMPUTED_VALUE"""),3.0)</f>
        <v>3</v>
      </c>
      <c r="G795" s="17" t="str">
        <f>IFERROR(__xludf.DUMMYFUNCTION("""COMPUTED_VALUE"""),"Full Set")</f>
        <v>Full Set</v>
      </c>
      <c r="H795" s="17"/>
      <c r="I795" s="262"/>
      <c r="J795" s="262"/>
      <c r="K795" s="262"/>
      <c r="L795" s="262"/>
      <c r="M795" s="262"/>
    </row>
    <row r="796">
      <c r="A796" s="255" t="str">
        <f>IFERROR(__xludf.DUMMYFUNCTION("""COMPUTED_VALUE"""),"NANO")</f>
        <v>NANO</v>
      </c>
      <c r="B796" s="23" t="str">
        <f>IFERROR(__xludf.DUMMYFUNCTION("""COMPUTED_VALUE"""),"ka.ameera")</f>
        <v>ka.ameera</v>
      </c>
      <c r="C796" s="257" t="str">
        <f>IFERROR(__xludf.DUMMYFUNCTION("""COMPUTED_VALUE"""),"https://www.tiktok.com/@ka.ameera")</f>
        <v>https://www.tiktok.com/@ka.ameera</v>
      </c>
      <c r="D796" s="23">
        <f>IFERROR(__xludf.DUMMYFUNCTION("""COMPUTED_VALUE"""),8.7870083552E10)</f>
        <v>87870083552</v>
      </c>
      <c r="E796" s="457">
        <f>IFERROR(__xludf.DUMMYFUNCTION("""COMPUTED_VALUE"""),100000.0)</f>
        <v>100000</v>
      </c>
      <c r="F796" s="270">
        <f>IFERROR(__xludf.DUMMYFUNCTION("""COMPUTED_VALUE"""),3.0)</f>
        <v>3</v>
      </c>
      <c r="G796" s="17" t="str">
        <f>IFERROR(__xludf.DUMMYFUNCTION("""COMPUTED_VALUE"""),"Full Set")</f>
        <v>Full Set</v>
      </c>
      <c r="H796" s="17"/>
      <c r="I796" s="262"/>
      <c r="J796" s="262"/>
      <c r="K796" s="262"/>
      <c r="L796" s="262"/>
      <c r="M796" s="262"/>
    </row>
    <row r="797">
      <c r="A797" s="255" t="str">
        <f>IFERROR(__xludf.DUMMYFUNCTION("""COMPUTED_VALUE"""),"NANO")</f>
        <v>NANO</v>
      </c>
      <c r="B797" s="23" t="str">
        <f>IFERROR(__xludf.DUMMYFUNCTION("""COMPUTED_VALUE"""),"tiarameisynda")</f>
        <v>tiarameisynda</v>
      </c>
      <c r="C797" s="257" t="str">
        <f>IFERROR(__xludf.DUMMYFUNCTION("""COMPUTED_VALUE"""),"https://www.tiktok.com/@tiarameisynda")</f>
        <v>https://www.tiktok.com/@tiarameisynda</v>
      </c>
      <c r="D797" s="23">
        <f>IFERROR(__xludf.DUMMYFUNCTION("""COMPUTED_VALUE"""),8.95605551135E11)</f>
        <v>895605551135</v>
      </c>
      <c r="E797" s="457">
        <f>IFERROR(__xludf.DUMMYFUNCTION("""COMPUTED_VALUE"""),100000.0)</f>
        <v>100000</v>
      </c>
      <c r="F797" s="270">
        <f>IFERROR(__xludf.DUMMYFUNCTION("""COMPUTED_VALUE"""),3.0)</f>
        <v>3</v>
      </c>
      <c r="G797" s="17" t="str">
        <f>IFERROR(__xludf.DUMMYFUNCTION("""COMPUTED_VALUE"""),"Full Set")</f>
        <v>Full Set</v>
      </c>
      <c r="H797" s="17"/>
      <c r="I797" s="262"/>
      <c r="J797" s="262"/>
      <c r="K797" s="262"/>
      <c r="L797" s="262"/>
      <c r="M797" s="262"/>
    </row>
    <row r="798">
      <c r="A798" s="255" t="str">
        <f>IFERROR(__xludf.DUMMYFUNCTION("""COMPUTED_VALUE"""),"NANO")</f>
        <v>NANO</v>
      </c>
      <c r="B798" s="23" t="str">
        <f>IFERROR(__xludf.DUMMYFUNCTION("""COMPUTED_VALUE"""),"pinkyyygirl75 ")</f>
        <v>pinkyyygirl75 </v>
      </c>
      <c r="C798" s="257" t="str">
        <f>IFERROR(__xludf.DUMMYFUNCTION("""COMPUTED_VALUE"""),"https://www.tiktok.com/@pinkyyygirl75 ")</f>
        <v>https://www.tiktok.com/@pinkyyygirl75 </v>
      </c>
      <c r="D798" s="23">
        <f>IFERROR(__xludf.DUMMYFUNCTION("""COMPUTED_VALUE"""),8.5249782852E10)</f>
        <v>85249782852</v>
      </c>
      <c r="E798" s="457">
        <f>IFERROR(__xludf.DUMMYFUNCTION("""COMPUTED_VALUE"""),100000.0)</f>
        <v>100000</v>
      </c>
      <c r="F798" s="270">
        <f>IFERROR(__xludf.DUMMYFUNCTION("""COMPUTED_VALUE"""),3.0)</f>
        <v>3</v>
      </c>
      <c r="G798" s="17" t="str">
        <f>IFERROR(__xludf.DUMMYFUNCTION("""COMPUTED_VALUE"""),"Full Set")</f>
        <v>Full Set</v>
      </c>
      <c r="H798" s="17"/>
      <c r="I798" s="262"/>
      <c r="J798" s="262"/>
      <c r="K798" s="262"/>
      <c r="L798" s="262"/>
      <c r="M798" s="262"/>
    </row>
    <row r="799">
      <c r="A799" s="255" t="str">
        <f>IFERROR(__xludf.DUMMYFUNCTION("""COMPUTED_VALUE"""),"NANO")</f>
        <v>NANO</v>
      </c>
      <c r="B799" s="23" t="str">
        <f>IFERROR(__xludf.DUMMYFUNCTION("""COMPUTED_VALUE"""),"anugrahpratiwi277")</f>
        <v>anugrahpratiwi277</v>
      </c>
      <c r="C799" s="257" t="str">
        <f>IFERROR(__xludf.DUMMYFUNCTION("""COMPUTED_VALUE"""),"https://www.tiktok.com/@anugrahpratiwi277")</f>
        <v>https://www.tiktok.com/@anugrahpratiwi277</v>
      </c>
      <c r="D799" s="23">
        <f>IFERROR(__xludf.DUMMYFUNCTION("""COMPUTED_VALUE"""),8.2343640379E10)</f>
        <v>82343640379</v>
      </c>
      <c r="E799" s="457">
        <f>IFERROR(__xludf.DUMMYFUNCTION("""COMPUTED_VALUE"""),100000.0)</f>
        <v>100000</v>
      </c>
      <c r="F799" s="270">
        <f>IFERROR(__xludf.DUMMYFUNCTION("""COMPUTED_VALUE"""),3.0)</f>
        <v>3</v>
      </c>
      <c r="G799" s="17" t="str">
        <f>IFERROR(__xludf.DUMMYFUNCTION("""COMPUTED_VALUE"""),"Full Set")</f>
        <v>Full Set</v>
      </c>
      <c r="H799" s="17"/>
      <c r="I799" s="262"/>
      <c r="J799" s="262"/>
      <c r="K799" s="262"/>
      <c r="L799" s="262"/>
      <c r="M799" s="262"/>
    </row>
    <row r="800">
      <c r="A800" s="255" t="str">
        <f>IFERROR(__xludf.DUMMYFUNCTION("""COMPUTED_VALUE"""),"NANO")</f>
        <v>NANO</v>
      </c>
      <c r="B800" s="23" t="str">
        <f>IFERROR(__xludf.DUMMYFUNCTION("""COMPUTED_VALUE"""),"zaleyahna ")</f>
        <v>zaleyahna </v>
      </c>
      <c r="C800" s="257" t="str">
        <f>IFERROR(__xludf.DUMMYFUNCTION("""COMPUTED_VALUE"""),"https://www.tiktok.com/@zaleyahna ")</f>
        <v>https://www.tiktok.com/@zaleyahna </v>
      </c>
      <c r="D800" s="23">
        <f>IFERROR(__xludf.DUMMYFUNCTION("""COMPUTED_VALUE"""),8.5715074293E10)</f>
        <v>85715074293</v>
      </c>
      <c r="E800" s="457">
        <f>IFERROR(__xludf.DUMMYFUNCTION("""COMPUTED_VALUE"""),100000.0)</f>
        <v>100000</v>
      </c>
      <c r="F800" s="270">
        <f>IFERROR(__xludf.DUMMYFUNCTION("""COMPUTED_VALUE"""),3.0)</f>
        <v>3</v>
      </c>
      <c r="G800" s="17" t="str">
        <f>IFERROR(__xludf.DUMMYFUNCTION("""COMPUTED_VALUE"""),"Full Set")</f>
        <v>Full Set</v>
      </c>
      <c r="H800" s="17"/>
      <c r="I800" s="262"/>
      <c r="J800" s="262"/>
      <c r="K800" s="262"/>
      <c r="L800" s="262"/>
      <c r="M800" s="262"/>
    </row>
    <row r="801">
      <c r="A801" s="255" t="str">
        <f>IFERROR(__xludf.DUMMYFUNCTION("""COMPUTED_VALUE"""),"NANO")</f>
        <v>NANO</v>
      </c>
      <c r="B801" s="23" t="str">
        <f>IFERROR(__xludf.DUMMYFUNCTION("""COMPUTED_VALUE"""),"dyahoupsi")</f>
        <v>dyahoupsi</v>
      </c>
      <c r="C801" s="257" t="str">
        <f>IFERROR(__xludf.DUMMYFUNCTION("""COMPUTED_VALUE"""),"https://www.tiktok.com/@dyahoupsi")</f>
        <v>https://www.tiktok.com/@dyahoupsi</v>
      </c>
      <c r="D801" s="23">
        <f>IFERROR(__xludf.DUMMYFUNCTION("""COMPUTED_VALUE"""),8.5731268047E10)</f>
        <v>85731268047</v>
      </c>
      <c r="E801" s="457">
        <f>IFERROR(__xludf.DUMMYFUNCTION("""COMPUTED_VALUE"""),100000.0)</f>
        <v>100000</v>
      </c>
      <c r="F801" s="270">
        <f>IFERROR(__xludf.DUMMYFUNCTION("""COMPUTED_VALUE"""),3.0)</f>
        <v>3</v>
      </c>
      <c r="G801" s="17" t="str">
        <f>IFERROR(__xludf.DUMMYFUNCTION("""COMPUTED_VALUE"""),"Full Set")</f>
        <v>Full Set</v>
      </c>
      <c r="H801" s="17"/>
      <c r="I801" s="262"/>
      <c r="J801" s="262"/>
      <c r="K801" s="262"/>
      <c r="L801" s="262"/>
      <c r="M801" s="262"/>
    </row>
    <row r="802">
      <c r="A802" s="255" t="str">
        <f>IFERROR(__xludf.DUMMYFUNCTION("""COMPUTED_VALUE"""),"NANO")</f>
        <v>NANO</v>
      </c>
      <c r="B802" s="23" t="str">
        <f>IFERROR(__xludf.DUMMYFUNCTION("""COMPUTED_VALUE"""),"sweetieputi")</f>
        <v>sweetieputi</v>
      </c>
      <c r="C802" s="257" t="str">
        <f>IFERROR(__xludf.DUMMYFUNCTION("""COMPUTED_VALUE"""),"https://www.tiktok.com/@sweetieputi")</f>
        <v>https://www.tiktok.com/@sweetieputi</v>
      </c>
      <c r="D802" s="23">
        <f>IFERROR(__xludf.DUMMYFUNCTION("""COMPUTED_VALUE"""),8.7728913441E10)</f>
        <v>87728913441</v>
      </c>
      <c r="E802" s="457">
        <f>IFERROR(__xludf.DUMMYFUNCTION("""COMPUTED_VALUE"""),100000.0)</f>
        <v>100000</v>
      </c>
      <c r="F802" s="270">
        <f>IFERROR(__xludf.DUMMYFUNCTION("""COMPUTED_VALUE"""),3.0)</f>
        <v>3</v>
      </c>
      <c r="G802" s="17" t="str">
        <f>IFERROR(__xludf.DUMMYFUNCTION("""COMPUTED_VALUE"""),"Full Set")</f>
        <v>Full Set</v>
      </c>
      <c r="H802" s="17"/>
      <c r="I802" s="262"/>
      <c r="J802" s="262"/>
      <c r="K802" s="262"/>
      <c r="L802" s="262"/>
      <c r="M802" s="262"/>
    </row>
    <row r="803">
      <c r="A803" s="255" t="str">
        <f>IFERROR(__xludf.DUMMYFUNCTION("""COMPUTED_VALUE"""),"NANO")</f>
        <v>NANO</v>
      </c>
      <c r="B803" s="23" t="str">
        <f>IFERROR(__xludf.DUMMYFUNCTION("""COMPUTED_VALUE"""),"dianpawes")</f>
        <v>dianpawes</v>
      </c>
      <c r="C803" s="257" t="str">
        <f>IFERROR(__xludf.DUMMYFUNCTION("""COMPUTED_VALUE"""),"https://www.tiktok.com/@dianpawes")</f>
        <v>https://www.tiktok.com/@dianpawes</v>
      </c>
      <c r="D803" s="23">
        <f>IFERROR(__xludf.DUMMYFUNCTION("""COMPUTED_VALUE"""),8.5878814722E10)</f>
        <v>85878814722</v>
      </c>
      <c r="E803" s="457">
        <f>IFERROR(__xludf.DUMMYFUNCTION("""COMPUTED_VALUE"""),100000.0)</f>
        <v>100000</v>
      </c>
      <c r="F803" s="270">
        <f>IFERROR(__xludf.DUMMYFUNCTION("""COMPUTED_VALUE"""),3.0)</f>
        <v>3</v>
      </c>
      <c r="G803" s="17" t="str">
        <f>IFERROR(__xludf.DUMMYFUNCTION("""COMPUTED_VALUE"""),"Full Set")</f>
        <v>Full Set</v>
      </c>
      <c r="H803" s="17"/>
      <c r="I803" s="262"/>
      <c r="J803" s="262"/>
      <c r="K803" s="262"/>
      <c r="L803" s="262"/>
      <c r="M803" s="262"/>
    </row>
    <row r="804">
      <c r="A804" s="255" t="str">
        <f>IFERROR(__xludf.DUMMYFUNCTION("""COMPUTED_VALUE"""),"NANO")</f>
        <v>NANO</v>
      </c>
      <c r="B804" s="23" t="str">
        <f>IFERROR(__xludf.DUMMYFUNCTION("""COMPUTED_VALUE"""),"ryka.ku")</f>
        <v>ryka.ku</v>
      </c>
      <c r="C804" s="257" t="str">
        <f>IFERROR(__xludf.DUMMYFUNCTION("""COMPUTED_VALUE"""),"https://www.tiktok.com/@ryka.ku")</f>
        <v>https://www.tiktok.com/@ryka.ku</v>
      </c>
      <c r="D804" s="23">
        <f>IFERROR(__xludf.DUMMYFUNCTION("""COMPUTED_VALUE"""),8.95424025212E11)</f>
        <v>895424025212</v>
      </c>
      <c r="E804" s="457">
        <f>IFERROR(__xludf.DUMMYFUNCTION("""COMPUTED_VALUE"""),100000.0)</f>
        <v>100000</v>
      </c>
      <c r="F804" s="270">
        <f>IFERROR(__xludf.DUMMYFUNCTION("""COMPUTED_VALUE"""),3.0)</f>
        <v>3</v>
      </c>
      <c r="G804" s="17" t="str">
        <f>IFERROR(__xludf.DUMMYFUNCTION("""COMPUTED_VALUE"""),"Full Set")</f>
        <v>Full Set</v>
      </c>
      <c r="H804" s="17"/>
      <c r="I804" s="262"/>
      <c r="J804" s="262"/>
      <c r="K804" s="262"/>
      <c r="L804" s="262"/>
      <c r="M804" s="262"/>
    </row>
    <row r="805">
      <c r="A805" s="255" t="str">
        <f>IFERROR(__xludf.DUMMYFUNCTION("""COMPUTED_VALUE"""),"NANO")</f>
        <v>NANO</v>
      </c>
      <c r="B805" s="23" t="str">
        <f>IFERROR(__xludf.DUMMYFUNCTION("""COMPUTED_VALUE"""),"Triaa359")</f>
        <v>Triaa359</v>
      </c>
      <c r="C805" s="257" t="str">
        <f>IFERROR(__xludf.DUMMYFUNCTION("""COMPUTED_VALUE"""),"https://www.tiktok.com/@Triaa359")</f>
        <v>https://www.tiktok.com/@Triaa359</v>
      </c>
      <c r="D805" s="23">
        <f>IFERROR(__xludf.DUMMYFUNCTION("""COMPUTED_VALUE"""),8.9518496292E10)</f>
        <v>89518496292</v>
      </c>
      <c r="E805" s="457">
        <f>IFERROR(__xludf.DUMMYFUNCTION("""COMPUTED_VALUE"""),100000.0)</f>
        <v>100000</v>
      </c>
      <c r="F805" s="270">
        <f>IFERROR(__xludf.DUMMYFUNCTION("""COMPUTED_VALUE"""),3.0)</f>
        <v>3</v>
      </c>
      <c r="G805" s="17" t="str">
        <f>IFERROR(__xludf.DUMMYFUNCTION("""COMPUTED_VALUE"""),"Full Set")</f>
        <v>Full Set</v>
      </c>
      <c r="H805" s="17"/>
      <c r="I805" s="262"/>
      <c r="J805" s="262"/>
      <c r="K805" s="262"/>
      <c r="L805" s="262"/>
      <c r="M805" s="262"/>
    </row>
    <row r="806">
      <c r="A806" s="255" t="str">
        <f>IFERROR(__xludf.DUMMYFUNCTION("""COMPUTED_VALUE"""),"NANO")</f>
        <v>NANO</v>
      </c>
      <c r="B806" s="23" t="str">
        <f>IFERROR(__xludf.DUMMYFUNCTION("""COMPUTED_VALUE"""),"asniarmansur89")</f>
        <v>asniarmansur89</v>
      </c>
      <c r="C806" s="257" t="str">
        <f>IFERROR(__xludf.DUMMYFUNCTION("""COMPUTED_VALUE"""),"https://www.tiktok.com/@asniarmansur89")</f>
        <v>https://www.tiktok.com/@asniarmansur89</v>
      </c>
      <c r="D806" s="23">
        <f>IFERROR(__xludf.DUMMYFUNCTION("""COMPUTED_VALUE"""),8.2398833308E10)</f>
        <v>82398833308</v>
      </c>
      <c r="E806" s="457">
        <f>IFERROR(__xludf.DUMMYFUNCTION("""COMPUTED_VALUE"""),100000.0)</f>
        <v>100000</v>
      </c>
      <c r="F806" s="270">
        <f>IFERROR(__xludf.DUMMYFUNCTION("""COMPUTED_VALUE"""),3.0)</f>
        <v>3</v>
      </c>
      <c r="G806" s="17" t="str">
        <f>IFERROR(__xludf.DUMMYFUNCTION("""COMPUTED_VALUE"""),"Full Set")</f>
        <v>Full Set</v>
      </c>
      <c r="H806" s="17"/>
      <c r="I806" s="262"/>
      <c r="J806" s="262"/>
      <c r="K806" s="262"/>
      <c r="L806" s="262"/>
      <c r="M806" s="262"/>
    </row>
    <row r="807">
      <c r="A807" s="255" t="str">
        <f>IFERROR(__xludf.DUMMYFUNCTION("""COMPUTED_VALUE"""),"NANO")</f>
        <v>NANO</v>
      </c>
      <c r="B807" s="23" t="str">
        <f>IFERROR(__xludf.DUMMYFUNCTION("""COMPUTED_VALUE"""),"Wdzz99")</f>
        <v>Wdzz99</v>
      </c>
      <c r="C807" s="257" t="str">
        <f>IFERROR(__xludf.DUMMYFUNCTION("""COMPUTED_VALUE"""),"https://www.tiktok.com/@Wdzz99")</f>
        <v>https://www.tiktok.com/@Wdzz99</v>
      </c>
      <c r="D807" s="23">
        <f>IFERROR(__xludf.DUMMYFUNCTION("""COMPUTED_VALUE"""),8.3879975288E10)</f>
        <v>83879975288</v>
      </c>
      <c r="E807" s="457">
        <f>IFERROR(__xludf.DUMMYFUNCTION("""COMPUTED_VALUE"""),100000.0)</f>
        <v>100000</v>
      </c>
      <c r="F807" s="270">
        <f>IFERROR(__xludf.DUMMYFUNCTION("""COMPUTED_VALUE"""),3.0)</f>
        <v>3</v>
      </c>
      <c r="G807" s="17" t="str">
        <f>IFERROR(__xludf.DUMMYFUNCTION("""COMPUTED_VALUE"""),"Full Set")</f>
        <v>Full Set</v>
      </c>
      <c r="H807" s="17"/>
      <c r="I807" s="262"/>
      <c r="J807" s="262"/>
      <c r="K807" s="262"/>
      <c r="L807" s="262"/>
      <c r="M807" s="262"/>
    </row>
    <row r="808">
      <c r="A808" s="255" t="str">
        <f>IFERROR(__xludf.DUMMYFUNCTION("""COMPUTED_VALUE"""),"NANO")</f>
        <v>NANO</v>
      </c>
      <c r="B808" s="23" t="str">
        <f>IFERROR(__xludf.DUMMYFUNCTION("""COMPUTED_VALUE"""),"disasalsabila00")</f>
        <v>disasalsabila00</v>
      </c>
      <c r="C808" s="257" t="str">
        <f>IFERROR(__xludf.DUMMYFUNCTION("""COMPUTED_VALUE"""),"https://www.tiktok.com/@disasalsabila00")</f>
        <v>https://www.tiktok.com/@disasalsabila00</v>
      </c>
      <c r="D808" s="23">
        <f>IFERROR(__xludf.DUMMYFUNCTION("""COMPUTED_VALUE"""),8.3834191146E10)</f>
        <v>83834191146</v>
      </c>
      <c r="E808" s="457">
        <f>IFERROR(__xludf.DUMMYFUNCTION("""COMPUTED_VALUE"""),100000.0)</f>
        <v>100000</v>
      </c>
      <c r="F808" s="270">
        <f>IFERROR(__xludf.DUMMYFUNCTION("""COMPUTED_VALUE"""),3.0)</f>
        <v>3</v>
      </c>
      <c r="G808" s="17" t="str">
        <f>IFERROR(__xludf.DUMMYFUNCTION("""COMPUTED_VALUE"""),"Full Set")</f>
        <v>Full Set</v>
      </c>
      <c r="H808" s="17"/>
      <c r="I808" s="262"/>
      <c r="J808" s="262"/>
      <c r="K808" s="262"/>
      <c r="L808" s="262"/>
      <c r="M808" s="262"/>
    </row>
    <row r="809">
      <c r="A809" s="255" t="str">
        <f>IFERROR(__xludf.DUMMYFUNCTION("""COMPUTED_VALUE"""),"NANO")</f>
        <v>NANO</v>
      </c>
      <c r="B809" s="23" t="str">
        <f>IFERROR(__xludf.DUMMYFUNCTION("""COMPUTED_VALUE"""),"pingkypingky10")</f>
        <v>pingkypingky10</v>
      </c>
      <c r="C809" s="257" t="str">
        <f>IFERROR(__xludf.DUMMYFUNCTION("""COMPUTED_VALUE"""),"https://www.tiktok.com/@pingkypingky10")</f>
        <v>https://www.tiktok.com/@pingkypingky10</v>
      </c>
      <c r="D809" s="23">
        <f>IFERROR(__xludf.DUMMYFUNCTION("""COMPUTED_VALUE"""),8.3177888162E10)</f>
        <v>83177888162</v>
      </c>
      <c r="E809" s="457">
        <f>IFERROR(__xludf.DUMMYFUNCTION("""COMPUTED_VALUE"""),100000.0)</f>
        <v>100000</v>
      </c>
      <c r="F809" s="270">
        <f>IFERROR(__xludf.DUMMYFUNCTION("""COMPUTED_VALUE"""),3.0)</f>
        <v>3</v>
      </c>
      <c r="G809" s="17" t="str">
        <f>IFERROR(__xludf.DUMMYFUNCTION("""COMPUTED_VALUE"""),"Full Set")</f>
        <v>Full Set</v>
      </c>
      <c r="H809" s="17"/>
      <c r="I809" s="262"/>
      <c r="J809" s="262"/>
      <c r="K809" s="262"/>
      <c r="L809" s="262"/>
      <c r="M809" s="262"/>
    </row>
    <row r="810">
      <c r="A810" s="255" t="str">
        <f>IFERROR(__xludf.DUMMYFUNCTION("""COMPUTED_VALUE"""),"NANO")</f>
        <v>NANO</v>
      </c>
      <c r="B810" s="23" t="str">
        <f>IFERROR(__xludf.DUMMYFUNCTION("""COMPUTED_VALUE"""),"Cumilbeauty ")</f>
        <v>Cumilbeauty </v>
      </c>
      <c r="C810" s="257" t="str">
        <f>IFERROR(__xludf.DUMMYFUNCTION("""COMPUTED_VALUE"""),"https://www.tiktok.com/@Cumilbeauty ")</f>
        <v>https://www.tiktok.com/@Cumilbeauty </v>
      </c>
      <c r="D810" s="23">
        <f>IFERROR(__xludf.DUMMYFUNCTION("""COMPUTED_VALUE"""),8.82005411033E11)</f>
        <v>882005411033</v>
      </c>
      <c r="E810" s="457">
        <f>IFERROR(__xludf.DUMMYFUNCTION("""COMPUTED_VALUE"""),100000.0)</f>
        <v>100000</v>
      </c>
      <c r="F810" s="270">
        <f>IFERROR(__xludf.DUMMYFUNCTION("""COMPUTED_VALUE"""),3.0)</f>
        <v>3</v>
      </c>
      <c r="G810" s="17" t="str">
        <f>IFERROR(__xludf.DUMMYFUNCTION("""COMPUTED_VALUE"""),"Full Set")</f>
        <v>Full Set</v>
      </c>
      <c r="H810" s="17"/>
      <c r="I810" s="262"/>
      <c r="J810" s="262"/>
      <c r="K810" s="262"/>
      <c r="L810" s="262"/>
      <c r="M810" s="262"/>
    </row>
    <row r="811">
      <c r="A811" s="255" t="str">
        <f>IFERROR(__xludf.DUMMYFUNCTION("""COMPUTED_VALUE"""),"NANO")</f>
        <v>NANO</v>
      </c>
      <c r="B811" s="23" t="str">
        <f>IFERROR(__xludf.DUMMYFUNCTION("""COMPUTED_VALUE"""),"Ratnadailyfinds ")</f>
        <v>Ratnadailyfinds </v>
      </c>
      <c r="C811" s="257" t="str">
        <f>IFERROR(__xludf.DUMMYFUNCTION("""COMPUTED_VALUE"""),"https://www.tiktok.com/@Ratnadailyfinds ")</f>
        <v>https://www.tiktok.com/@Ratnadailyfinds </v>
      </c>
      <c r="D811" s="23">
        <f>IFERROR(__xludf.DUMMYFUNCTION("""COMPUTED_VALUE"""),8.2331083127E10)</f>
        <v>82331083127</v>
      </c>
      <c r="E811" s="457">
        <f>IFERROR(__xludf.DUMMYFUNCTION("""COMPUTED_VALUE"""),100000.0)</f>
        <v>100000</v>
      </c>
      <c r="F811" s="270">
        <f>IFERROR(__xludf.DUMMYFUNCTION("""COMPUTED_VALUE"""),3.0)</f>
        <v>3</v>
      </c>
      <c r="G811" s="17" t="str">
        <f>IFERROR(__xludf.DUMMYFUNCTION("""COMPUTED_VALUE"""),"Full Set")</f>
        <v>Full Set</v>
      </c>
      <c r="H811" s="17"/>
      <c r="I811" s="262"/>
      <c r="J811" s="262"/>
      <c r="K811" s="262"/>
      <c r="L811" s="262"/>
      <c r="M811" s="262"/>
    </row>
    <row r="812">
      <c r="A812" s="255" t="str">
        <f>IFERROR(__xludf.DUMMYFUNCTION("""COMPUTED_VALUE"""),"NANO")</f>
        <v>NANO</v>
      </c>
      <c r="B812" s="23" t="str">
        <f>IFERROR(__xludf.DUMMYFUNCTION("""COMPUTED_VALUE"""),"triana_saputri12")</f>
        <v>triana_saputri12</v>
      </c>
      <c r="C812" s="257" t="str">
        <f>IFERROR(__xludf.DUMMYFUNCTION("""COMPUTED_VALUE"""),"https://www.tiktok.com/@triana_saputri12")</f>
        <v>https://www.tiktok.com/@triana_saputri12</v>
      </c>
      <c r="D812" s="23">
        <f>IFERROR(__xludf.DUMMYFUNCTION("""COMPUTED_VALUE"""),8.13409524E10)</f>
        <v>81340952400</v>
      </c>
      <c r="E812" s="457">
        <f>IFERROR(__xludf.DUMMYFUNCTION("""COMPUTED_VALUE"""),100000.0)</f>
        <v>100000</v>
      </c>
      <c r="F812" s="270">
        <f>IFERROR(__xludf.DUMMYFUNCTION("""COMPUTED_VALUE"""),3.0)</f>
        <v>3</v>
      </c>
      <c r="G812" s="17" t="str">
        <f>IFERROR(__xludf.DUMMYFUNCTION("""COMPUTED_VALUE"""),"Full Set")</f>
        <v>Full Set</v>
      </c>
      <c r="H812" s="17"/>
      <c r="I812" s="262"/>
      <c r="J812" s="262"/>
      <c r="K812" s="262"/>
      <c r="L812" s="262"/>
      <c r="M812" s="262"/>
    </row>
    <row r="813">
      <c r="A813" s="255" t="str">
        <f>IFERROR(__xludf.DUMMYFUNCTION("""COMPUTED_VALUE"""),"NANO")</f>
        <v>NANO</v>
      </c>
      <c r="B813" s="23" t="str">
        <f>IFERROR(__xludf.DUMMYFUNCTION("""COMPUTED_VALUE"""),"Bunyeska")</f>
        <v>Bunyeska</v>
      </c>
      <c r="C813" s="257" t="str">
        <f>IFERROR(__xludf.DUMMYFUNCTION("""COMPUTED_VALUE"""),"https://www.tiktok.com/@Bunyeska")</f>
        <v>https://www.tiktok.com/@Bunyeska</v>
      </c>
      <c r="D813" s="23">
        <f>IFERROR(__xludf.DUMMYFUNCTION("""COMPUTED_VALUE"""),8.2121769826E10)</f>
        <v>82121769826</v>
      </c>
      <c r="E813" s="457">
        <f>IFERROR(__xludf.DUMMYFUNCTION("""COMPUTED_VALUE"""),100000.0)</f>
        <v>100000</v>
      </c>
      <c r="F813" s="270">
        <f>IFERROR(__xludf.DUMMYFUNCTION("""COMPUTED_VALUE"""),3.0)</f>
        <v>3</v>
      </c>
      <c r="G813" s="17" t="str">
        <f>IFERROR(__xludf.DUMMYFUNCTION("""COMPUTED_VALUE"""),"Full Set")</f>
        <v>Full Set</v>
      </c>
      <c r="H813" s="17"/>
      <c r="I813" s="262"/>
      <c r="J813" s="262"/>
      <c r="K813" s="262"/>
      <c r="L813" s="262"/>
      <c r="M813" s="262"/>
    </row>
    <row r="814">
      <c r="A814" s="255" t="str">
        <f>IFERROR(__xludf.DUMMYFUNCTION("""COMPUTED_VALUE"""),"NANO")</f>
        <v>NANO</v>
      </c>
      <c r="B814" s="257" t="str">
        <f>IFERROR(__xludf.DUMMYFUNCTION("""COMPUTED_VALUE"""),"beautyroutine.vi")</f>
        <v>beautyroutine.vi</v>
      </c>
      <c r="C814" s="257" t="str">
        <f>IFERROR(__xludf.DUMMYFUNCTION("""COMPUTED_VALUE"""),"https://www.tiktok.com/@beautyroutine.vi")</f>
        <v>https://www.tiktok.com/@beautyroutine.vi</v>
      </c>
      <c r="D814" s="23">
        <f>IFERROR(__xludf.DUMMYFUNCTION("""COMPUTED_VALUE"""),8.5601955138E10)</f>
        <v>85601955138</v>
      </c>
      <c r="E814" s="457">
        <f>IFERROR(__xludf.DUMMYFUNCTION("""COMPUTED_VALUE"""),100000.0)</f>
        <v>100000</v>
      </c>
      <c r="F814" s="270">
        <f>IFERROR(__xludf.DUMMYFUNCTION("""COMPUTED_VALUE"""),3.0)</f>
        <v>3</v>
      </c>
      <c r="G814" s="17" t="str">
        <f>IFERROR(__xludf.DUMMYFUNCTION("""COMPUTED_VALUE"""),"Full Set")</f>
        <v>Full Set</v>
      </c>
      <c r="H814" s="17"/>
      <c r="I814" s="262"/>
      <c r="J814" s="262"/>
      <c r="K814" s="262"/>
      <c r="L814" s="262"/>
      <c r="M814" s="262"/>
    </row>
    <row r="815">
      <c r="A815" s="255" t="str">
        <f>IFERROR(__xludf.DUMMYFUNCTION("""COMPUTED_VALUE"""),"NANO")</f>
        <v>NANO</v>
      </c>
      <c r="B815" s="23" t="str">
        <f>IFERROR(__xludf.DUMMYFUNCTION("""COMPUTED_VALUE"""),"Indahlindah24 ")</f>
        <v>Indahlindah24 </v>
      </c>
      <c r="C815" s="257" t="str">
        <f>IFERROR(__xludf.DUMMYFUNCTION("""COMPUTED_VALUE"""),"https://www.tiktok.com/@Indahlindah24 ")</f>
        <v>https://www.tiktok.com/@Indahlindah24 </v>
      </c>
      <c r="D815" s="23">
        <f>IFERROR(__xludf.DUMMYFUNCTION("""COMPUTED_VALUE"""),8.9654116104E10)</f>
        <v>89654116104</v>
      </c>
      <c r="E815" s="457">
        <f>IFERROR(__xludf.DUMMYFUNCTION("""COMPUTED_VALUE"""),100000.0)</f>
        <v>100000</v>
      </c>
      <c r="F815" s="270">
        <f>IFERROR(__xludf.DUMMYFUNCTION("""COMPUTED_VALUE"""),3.0)</f>
        <v>3</v>
      </c>
      <c r="G815" s="17" t="str">
        <f>IFERROR(__xludf.DUMMYFUNCTION("""COMPUTED_VALUE"""),"Full Set")</f>
        <v>Full Set</v>
      </c>
      <c r="H815" s="17"/>
      <c r="I815" s="262"/>
      <c r="J815" s="262"/>
      <c r="K815" s="262"/>
      <c r="L815" s="262"/>
      <c r="M815" s="262"/>
    </row>
    <row r="816">
      <c r="A816" s="255" t="str">
        <f>IFERROR(__xludf.DUMMYFUNCTION("""COMPUTED_VALUE"""),"NANO")</f>
        <v>NANO</v>
      </c>
      <c r="B816" s="23" t="str">
        <f>IFERROR(__xludf.DUMMYFUNCTION("""COMPUTED_VALUE"""),"Ucieebisnisss ")</f>
        <v>Ucieebisnisss </v>
      </c>
      <c r="C816" s="257" t="str">
        <f>IFERROR(__xludf.DUMMYFUNCTION("""COMPUTED_VALUE"""),"https://www.tiktok.com/@Ucieebisnisss ")</f>
        <v>https://www.tiktok.com/@Ucieebisnisss </v>
      </c>
      <c r="D816" s="23">
        <f>IFERROR(__xludf.DUMMYFUNCTION("""COMPUTED_VALUE"""),8.2123377795E10)</f>
        <v>82123377795</v>
      </c>
      <c r="E816" s="457">
        <f>IFERROR(__xludf.DUMMYFUNCTION("""COMPUTED_VALUE"""),100000.0)</f>
        <v>100000</v>
      </c>
      <c r="F816" s="270">
        <f>IFERROR(__xludf.DUMMYFUNCTION("""COMPUTED_VALUE"""),3.0)</f>
        <v>3</v>
      </c>
      <c r="G816" s="17" t="str">
        <f>IFERROR(__xludf.DUMMYFUNCTION("""COMPUTED_VALUE"""),"Full Set")</f>
        <v>Full Set</v>
      </c>
      <c r="H816" s="17"/>
      <c r="I816" s="262"/>
      <c r="J816" s="262"/>
      <c r="K816" s="262"/>
      <c r="L816" s="262"/>
      <c r="M816" s="262"/>
    </row>
    <row r="817">
      <c r="A817" s="255" t="str">
        <f>IFERROR(__xludf.DUMMYFUNCTION("""COMPUTED_VALUE"""),"MICRO")</f>
        <v>MICRO</v>
      </c>
      <c r="B817" s="23" t="str">
        <f>IFERROR(__xludf.DUMMYFUNCTION("""COMPUTED_VALUE"""),"cece_koko333 ")</f>
        <v>cece_koko333 </v>
      </c>
      <c r="C817" s="257" t="str">
        <f>IFERROR(__xludf.DUMMYFUNCTION("""COMPUTED_VALUE"""),"https://www.tiktok.com/@cece_koko333 ")</f>
        <v>https://www.tiktok.com/@cece_koko333 </v>
      </c>
      <c r="D817" s="23">
        <f>IFERROR(__xludf.DUMMYFUNCTION("""COMPUTED_VALUE"""),8.9523120507E10)</f>
        <v>89523120507</v>
      </c>
      <c r="E817" s="457">
        <f>IFERROR(__xludf.DUMMYFUNCTION("""COMPUTED_VALUE"""),100000.0)</f>
        <v>100000</v>
      </c>
      <c r="F817" s="270">
        <f>IFERROR(__xludf.DUMMYFUNCTION("""COMPUTED_VALUE"""),3.0)</f>
        <v>3</v>
      </c>
      <c r="G817" s="17" t="str">
        <f>IFERROR(__xludf.DUMMYFUNCTION("""COMPUTED_VALUE"""),"Full Set")</f>
        <v>Full Set</v>
      </c>
      <c r="H817" s="17"/>
      <c r="I817" s="262"/>
      <c r="J817" s="262"/>
      <c r="K817" s="262"/>
      <c r="L817" s="262"/>
      <c r="M817" s="262"/>
    </row>
    <row r="818">
      <c r="A818" s="255" t="str">
        <f>IFERROR(__xludf.DUMMYFUNCTION("""COMPUTED_VALUE"""),"NANO")</f>
        <v>NANO</v>
      </c>
      <c r="B818" s="23" t="str">
        <f>IFERROR(__xludf.DUMMYFUNCTION("""COMPUTED_VALUE"""),"gitagustin18")</f>
        <v>gitagustin18</v>
      </c>
      <c r="C818" s="257" t="str">
        <f>IFERROR(__xludf.DUMMYFUNCTION("""COMPUTED_VALUE"""),"https://www.tiktok.com/@gitagustin18")</f>
        <v>https://www.tiktok.com/@gitagustin18</v>
      </c>
      <c r="D818" s="23">
        <f>IFERROR(__xludf.DUMMYFUNCTION("""COMPUTED_VALUE"""),8.5377096076E10)</f>
        <v>85377096076</v>
      </c>
      <c r="E818" s="457">
        <f>IFERROR(__xludf.DUMMYFUNCTION("""COMPUTED_VALUE"""),100000.0)</f>
        <v>100000</v>
      </c>
      <c r="F818" s="270">
        <f>IFERROR(__xludf.DUMMYFUNCTION("""COMPUTED_VALUE"""),3.0)</f>
        <v>3</v>
      </c>
      <c r="G818" s="17" t="str">
        <f>IFERROR(__xludf.DUMMYFUNCTION("""COMPUTED_VALUE"""),"Full Set")</f>
        <v>Full Set</v>
      </c>
      <c r="H818" s="17"/>
      <c r="I818" s="262"/>
      <c r="J818" s="262"/>
      <c r="K818" s="262"/>
      <c r="L818" s="262"/>
      <c r="M818" s="262"/>
    </row>
    <row r="819">
      <c r="A819" s="255" t="str">
        <f>IFERROR(__xludf.DUMMYFUNCTION("""COMPUTED_VALUE"""),"NANO")</f>
        <v>NANO</v>
      </c>
      <c r="B819" s="23" t="str">
        <f>IFERROR(__xludf.DUMMYFUNCTION("""COMPUTED_VALUE"""),"Arthauli16")</f>
        <v>Arthauli16</v>
      </c>
      <c r="C819" s="257" t="str">
        <f>IFERROR(__xludf.DUMMYFUNCTION("""COMPUTED_VALUE"""),"https://www.tiktok.com/@Arthauli16")</f>
        <v>https://www.tiktok.com/@Arthauli16</v>
      </c>
      <c r="D819" s="23">
        <f>IFERROR(__xludf.DUMMYFUNCTION("""COMPUTED_VALUE"""),8.7844450757E10)</f>
        <v>87844450757</v>
      </c>
      <c r="E819" s="457">
        <f>IFERROR(__xludf.DUMMYFUNCTION("""COMPUTED_VALUE"""),100000.0)</f>
        <v>100000</v>
      </c>
      <c r="F819" s="270">
        <f>IFERROR(__xludf.DUMMYFUNCTION("""COMPUTED_VALUE"""),3.0)</f>
        <v>3</v>
      </c>
      <c r="G819" s="17" t="str">
        <f>IFERROR(__xludf.DUMMYFUNCTION("""COMPUTED_VALUE"""),"Full Set")</f>
        <v>Full Set</v>
      </c>
      <c r="H819" s="17"/>
      <c r="I819" s="262"/>
      <c r="J819" s="262"/>
      <c r="K819" s="262"/>
      <c r="L819" s="262"/>
      <c r="M819" s="262"/>
    </row>
    <row r="820">
      <c r="A820" s="255" t="str">
        <f>IFERROR(__xludf.DUMMYFUNCTION("""COMPUTED_VALUE"""),"NANO")</f>
        <v>NANO</v>
      </c>
      <c r="B820" s="23" t="str">
        <f>IFERROR(__xludf.DUMMYFUNCTION("""COMPUTED_VALUE"""),"Mama.eve00")</f>
        <v>Mama.eve00</v>
      </c>
      <c r="C820" s="257" t="str">
        <f>IFERROR(__xludf.DUMMYFUNCTION("""COMPUTED_VALUE"""),"https://www.tiktok.com/@Mama.eve00")</f>
        <v>https://www.tiktok.com/@Mama.eve00</v>
      </c>
      <c r="D820" s="23">
        <f>IFERROR(__xludf.DUMMYFUNCTION("""COMPUTED_VALUE"""),8.5856186276E10)</f>
        <v>85856186276</v>
      </c>
      <c r="E820" s="457">
        <f>IFERROR(__xludf.DUMMYFUNCTION("""COMPUTED_VALUE"""),100000.0)</f>
        <v>100000</v>
      </c>
      <c r="F820" s="270">
        <f>IFERROR(__xludf.DUMMYFUNCTION("""COMPUTED_VALUE"""),3.0)</f>
        <v>3</v>
      </c>
      <c r="G820" s="17" t="str">
        <f>IFERROR(__xludf.DUMMYFUNCTION("""COMPUTED_VALUE"""),"Full Set")</f>
        <v>Full Set</v>
      </c>
      <c r="H820" s="17"/>
      <c r="I820" s="262"/>
      <c r="J820" s="262"/>
      <c r="K820" s="262"/>
      <c r="L820" s="262"/>
      <c r="M820" s="262"/>
    </row>
    <row r="821">
      <c r="A821" s="255" t="str">
        <f>IFERROR(__xludf.DUMMYFUNCTION("""COMPUTED_VALUE"""),"NANO")</f>
        <v>NANO</v>
      </c>
      <c r="B821" s="23" t="str">
        <f>IFERROR(__xludf.DUMMYFUNCTION("""COMPUTED_VALUE"""),"ilhamsai_store")</f>
        <v>ilhamsai_store</v>
      </c>
      <c r="C821" s="257" t="str">
        <f>IFERROR(__xludf.DUMMYFUNCTION("""COMPUTED_VALUE"""),"https://www.tiktok.com/@ilhamsai_store")</f>
        <v>https://www.tiktok.com/@ilhamsai_store</v>
      </c>
      <c r="D821" s="23">
        <f>IFERROR(__xludf.DUMMYFUNCTION("""COMPUTED_VALUE"""),8.5930058237E10)</f>
        <v>85930058237</v>
      </c>
      <c r="E821" s="457">
        <f>IFERROR(__xludf.DUMMYFUNCTION("""COMPUTED_VALUE"""),100000.0)</f>
        <v>100000</v>
      </c>
      <c r="F821" s="270">
        <f>IFERROR(__xludf.DUMMYFUNCTION("""COMPUTED_VALUE"""),3.0)</f>
        <v>3</v>
      </c>
      <c r="G821" s="17" t="str">
        <f>IFERROR(__xludf.DUMMYFUNCTION("""COMPUTED_VALUE"""),"Full Set")</f>
        <v>Full Set</v>
      </c>
      <c r="H821" s="17"/>
      <c r="I821" s="262"/>
      <c r="J821" s="262"/>
      <c r="K821" s="262"/>
      <c r="L821" s="262"/>
      <c r="M821" s="262"/>
    </row>
    <row r="822">
      <c r="A822" s="255" t="str">
        <f>IFERROR(__xludf.DUMMYFUNCTION("""COMPUTED_VALUE"""),"NANO")</f>
        <v>NANO</v>
      </c>
      <c r="B822" s="23" t="str">
        <f>IFERROR(__xludf.DUMMYFUNCTION("""COMPUTED_VALUE"""),"Wysnta3 ")</f>
        <v>Wysnta3 </v>
      </c>
      <c r="C822" s="257" t="str">
        <f>IFERROR(__xludf.DUMMYFUNCTION("""COMPUTED_VALUE"""),"https://www.tiktok.com/@Wysnta3 ")</f>
        <v>https://www.tiktok.com/@Wysnta3 </v>
      </c>
      <c r="D822" s="23">
        <f>IFERROR(__xludf.DUMMYFUNCTION("""COMPUTED_VALUE"""),8.5314551829E10)</f>
        <v>85314551829</v>
      </c>
      <c r="E822" s="457">
        <f>IFERROR(__xludf.DUMMYFUNCTION("""COMPUTED_VALUE"""),100000.0)</f>
        <v>100000</v>
      </c>
      <c r="F822" s="270">
        <f>IFERROR(__xludf.DUMMYFUNCTION("""COMPUTED_VALUE"""),3.0)</f>
        <v>3</v>
      </c>
      <c r="G822" s="17" t="str">
        <f>IFERROR(__xludf.DUMMYFUNCTION("""COMPUTED_VALUE"""),"Full Set")</f>
        <v>Full Set</v>
      </c>
      <c r="H822" s="17"/>
      <c r="I822" s="262"/>
      <c r="J822" s="262"/>
      <c r="K822" s="262"/>
      <c r="L822" s="262"/>
      <c r="M822" s="262"/>
    </row>
    <row r="823">
      <c r="A823" s="255" t="str">
        <f>IFERROR(__xludf.DUMMYFUNCTION("""COMPUTED_VALUE"""),"NANO")</f>
        <v>NANO</v>
      </c>
      <c r="B823" s="23" t="str">
        <f>IFERROR(__xludf.DUMMYFUNCTION("""COMPUTED_VALUE"""),"Anayoseoo ")</f>
        <v>Anayoseoo </v>
      </c>
      <c r="C823" s="257" t="str">
        <f>IFERROR(__xludf.DUMMYFUNCTION("""COMPUTED_VALUE"""),"https://www.tiktok.com/@Anayoseoo ")</f>
        <v>https://www.tiktok.com/@Anayoseoo </v>
      </c>
      <c r="D823" s="23">
        <f>IFERROR(__xludf.DUMMYFUNCTION("""COMPUTED_VALUE"""),8.578748473E10)</f>
        <v>85787484730</v>
      </c>
      <c r="E823" s="457">
        <f>IFERROR(__xludf.DUMMYFUNCTION("""COMPUTED_VALUE"""),100000.0)</f>
        <v>100000</v>
      </c>
      <c r="F823" s="270">
        <f>IFERROR(__xludf.DUMMYFUNCTION("""COMPUTED_VALUE"""),3.0)</f>
        <v>3</v>
      </c>
      <c r="G823" s="17" t="str">
        <f>IFERROR(__xludf.DUMMYFUNCTION("""COMPUTED_VALUE"""),"Full Set")</f>
        <v>Full Set</v>
      </c>
      <c r="H823" s="17"/>
      <c r="I823" s="262"/>
      <c r="J823" s="262"/>
      <c r="K823" s="262"/>
      <c r="L823" s="262"/>
      <c r="M823" s="262"/>
    </row>
    <row r="824">
      <c r="A824" s="255" t="str">
        <f>IFERROR(__xludf.DUMMYFUNCTION("""COMPUTED_VALUE"""),"NANO")</f>
        <v>NANO</v>
      </c>
      <c r="B824" s="23" t="str">
        <f>IFERROR(__xludf.DUMMYFUNCTION("""COMPUTED_VALUE"""),"Kartiniay")</f>
        <v>Kartiniay</v>
      </c>
      <c r="C824" s="257" t="str">
        <f>IFERROR(__xludf.DUMMYFUNCTION("""COMPUTED_VALUE"""),"https://www.tiktok.com/@Kartiniay")</f>
        <v>https://www.tiktok.com/@Kartiniay</v>
      </c>
      <c r="D824" s="23">
        <f>IFERROR(__xludf.DUMMYFUNCTION("""COMPUTED_VALUE"""),8.5863512319E10)</f>
        <v>85863512319</v>
      </c>
      <c r="E824" s="457">
        <f>IFERROR(__xludf.DUMMYFUNCTION("""COMPUTED_VALUE"""),100000.0)</f>
        <v>100000</v>
      </c>
      <c r="F824" s="270">
        <f>IFERROR(__xludf.DUMMYFUNCTION("""COMPUTED_VALUE"""),3.0)</f>
        <v>3</v>
      </c>
      <c r="G824" s="17" t="str">
        <f>IFERROR(__xludf.DUMMYFUNCTION("""COMPUTED_VALUE"""),"Full Set")</f>
        <v>Full Set</v>
      </c>
      <c r="H824" s="17"/>
      <c r="I824" s="262"/>
      <c r="J824" s="262"/>
      <c r="K824" s="262"/>
      <c r="L824" s="262"/>
      <c r="M824" s="262"/>
    </row>
    <row r="825">
      <c r="A825" s="255" t="str">
        <f>IFERROR(__xludf.DUMMYFUNCTION("""COMPUTED_VALUE"""),"NANO")</f>
        <v>NANO</v>
      </c>
      <c r="B825" s="23" t="str">
        <f>IFERROR(__xludf.DUMMYFUNCTION("""COMPUTED_VALUE"""),"muslimah_hijrah85")</f>
        <v>muslimah_hijrah85</v>
      </c>
      <c r="C825" s="257" t="str">
        <f>IFERROR(__xludf.DUMMYFUNCTION("""COMPUTED_VALUE"""),"https://www.tiktok.com/@muslimah_hijrah85")</f>
        <v>https://www.tiktok.com/@muslimah_hijrah85</v>
      </c>
      <c r="D825" s="23">
        <f>IFERROR(__xludf.DUMMYFUNCTION("""COMPUTED_VALUE"""),8.1328799932E10)</f>
        <v>81328799932</v>
      </c>
      <c r="E825" s="457">
        <f>IFERROR(__xludf.DUMMYFUNCTION("""COMPUTED_VALUE"""),100000.0)</f>
        <v>100000</v>
      </c>
      <c r="F825" s="270">
        <f>IFERROR(__xludf.DUMMYFUNCTION("""COMPUTED_VALUE"""),3.0)</f>
        <v>3</v>
      </c>
      <c r="G825" s="17" t="str">
        <f>IFERROR(__xludf.DUMMYFUNCTION("""COMPUTED_VALUE"""),"Full Set")</f>
        <v>Full Set</v>
      </c>
      <c r="H825" s="17"/>
      <c r="I825" s="262"/>
      <c r="J825" s="262"/>
      <c r="K825" s="262"/>
      <c r="L825" s="262"/>
      <c r="M825" s="262"/>
    </row>
    <row r="826">
      <c r="A826" s="255" t="str">
        <f>IFERROR(__xludf.DUMMYFUNCTION("""COMPUTED_VALUE"""),"NANO")</f>
        <v>NANO</v>
      </c>
      <c r="B826" s="23" t="str">
        <f>IFERROR(__xludf.DUMMYFUNCTION("""COMPUTED_VALUE"""),"iamvalerie_")</f>
        <v>iamvalerie_</v>
      </c>
      <c r="C826" s="257" t="str">
        <f>IFERROR(__xludf.DUMMYFUNCTION("""COMPUTED_VALUE"""),"https://www.tiktok.com/@iamvalerie_")</f>
        <v>https://www.tiktok.com/@iamvalerie_</v>
      </c>
      <c r="D826" s="23">
        <f>IFERROR(__xludf.DUMMYFUNCTION("""COMPUTED_VALUE"""),8.528035658E10)</f>
        <v>85280356580</v>
      </c>
      <c r="E826" s="457">
        <f>IFERROR(__xludf.DUMMYFUNCTION("""COMPUTED_VALUE"""),100000.0)</f>
        <v>100000</v>
      </c>
      <c r="F826" s="270">
        <f>IFERROR(__xludf.DUMMYFUNCTION("""COMPUTED_VALUE"""),3.0)</f>
        <v>3</v>
      </c>
      <c r="G826" s="17" t="str">
        <f>IFERROR(__xludf.DUMMYFUNCTION("""COMPUTED_VALUE"""),"Full Set")</f>
        <v>Full Set</v>
      </c>
      <c r="H826" s="17"/>
      <c r="I826" s="262"/>
      <c r="J826" s="262"/>
      <c r="K826" s="262"/>
      <c r="L826" s="262"/>
      <c r="M826" s="262"/>
    </row>
    <row r="827">
      <c r="A827" s="255" t="str">
        <f>IFERROR(__xludf.DUMMYFUNCTION("""COMPUTED_VALUE"""),"NANO")</f>
        <v>NANO</v>
      </c>
      <c r="B827" s="23" t="str">
        <f>IFERROR(__xludf.DUMMYFUNCTION("""COMPUTED_VALUE"""),"maminaegan")</f>
        <v>maminaegan</v>
      </c>
      <c r="C827" s="257" t="str">
        <f>IFERROR(__xludf.DUMMYFUNCTION("""COMPUTED_VALUE"""),"https://www.tiktok.com/@maminaegan")</f>
        <v>https://www.tiktok.com/@maminaegan</v>
      </c>
      <c r="D827" s="23">
        <f>IFERROR(__xludf.DUMMYFUNCTION("""COMPUTED_VALUE"""),8.788359383E10)</f>
        <v>87883593830</v>
      </c>
      <c r="E827" s="457">
        <f>IFERROR(__xludf.DUMMYFUNCTION("""COMPUTED_VALUE"""),100000.0)</f>
        <v>100000</v>
      </c>
      <c r="F827" s="270">
        <f>IFERROR(__xludf.DUMMYFUNCTION("""COMPUTED_VALUE"""),3.0)</f>
        <v>3</v>
      </c>
      <c r="G827" s="17" t="str">
        <f>IFERROR(__xludf.DUMMYFUNCTION("""COMPUTED_VALUE"""),"Full Set")</f>
        <v>Full Set</v>
      </c>
      <c r="H827" s="17"/>
      <c r="I827" s="262"/>
      <c r="J827" s="262"/>
      <c r="K827" s="262"/>
      <c r="L827" s="262"/>
      <c r="M827" s="262"/>
    </row>
    <row r="828">
      <c r="A828" s="255" t="str">
        <f>IFERROR(__xludf.DUMMYFUNCTION("""COMPUTED_VALUE"""),"NANO")</f>
        <v>NANO</v>
      </c>
      <c r="B828" s="23" t="str">
        <f>IFERROR(__xludf.DUMMYFUNCTION("""COMPUTED_VALUE"""),"evanuryani17")</f>
        <v>evanuryani17</v>
      </c>
      <c r="C828" s="257" t="str">
        <f>IFERROR(__xludf.DUMMYFUNCTION("""COMPUTED_VALUE"""),"https://www.tiktok.com/@evanuryani17")</f>
        <v>https://www.tiktok.com/@evanuryani17</v>
      </c>
      <c r="D828" s="23">
        <f>IFERROR(__xludf.DUMMYFUNCTION("""COMPUTED_VALUE"""),8.964808179E10)</f>
        <v>89648081790</v>
      </c>
      <c r="E828" s="457">
        <f>IFERROR(__xludf.DUMMYFUNCTION("""COMPUTED_VALUE"""),100000.0)</f>
        <v>100000</v>
      </c>
      <c r="F828" s="270">
        <f>IFERROR(__xludf.DUMMYFUNCTION("""COMPUTED_VALUE"""),3.0)</f>
        <v>3</v>
      </c>
      <c r="G828" s="17" t="str">
        <f>IFERROR(__xludf.DUMMYFUNCTION("""COMPUTED_VALUE"""),"Full Set")</f>
        <v>Full Set</v>
      </c>
      <c r="H828" s="17"/>
      <c r="I828" s="262"/>
      <c r="J828" s="262"/>
      <c r="K828" s="262"/>
      <c r="L828" s="262"/>
      <c r="M828" s="262"/>
    </row>
    <row r="829">
      <c r="A829" s="255" t="str">
        <f>IFERROR(__xludf.DUMMYFUNCTION("""COMPUTED_VALUE"""),"NANO")</f>
        <v>NANO</v>
      </c>
      <c r="B829" s="23" t="str">
        <f>IFERROR(__xludf.DUMMYFUNCTION("""COMPUTED_VALUE"""),"dinitahermawan09")</f>
        <v>dinitahermawan09</v>
      </c>
      <c r="C829" s="257" t="str">
        <f>IFERROR(__xludf.DUMMYFUNCTION("""COMPUTED_VALUE"""),"https://www.tiktok.com/@dinitahermawan09")</f>
        <v>https://www.tiktok.com/@dinitahermawan09</v>
      </c>
      <c r="D829" s="23">
        <f>IFERROR(__xludf.DUMMYFUNCTION("""COMPUTED_VALUE"""),8.5817516138E10)</f>
        <v>85817516138</v>
      </c>
      <c r="E829" s="457">
        <f>IFERROR(__xludf.DUMMYFUNCTION("""COMPUTED_VALUE"""),100000.0)</f>
        <v>100000</v>
      </c>
      <c r="F829" s="270">
        <f>IFERROR(__xludf.DUMMYFUNCTION("""COMPUTED_VALUE"""),3.0)</f>
        <v>3</v>
      </c>
      <c r="G829" s="17" t="str">
        <f>IFERROR(__xludf.DUMMYFUNCTION("""COMPUTED_VALUE"""),"Full Set")</f>
        <v>Full Set</v>
      </c>
      <c r="H829" s="17"/>
      <c r="I829" s="262"/>
      <c r="J829" s="262"/>
      <c r="K829" s="262"/>
      <c r="L829" s="262"/>
      <c r="M829" s="262"/>
    </row>
    <row r="830">
      <c r="A830" s="255" t="str">
        <f>IFERROR(__xludf.DUMMYFUNCTION("""COMPUTED_VALUE"""),"NANO")</f>
        <v>NANO</v>
      </c>
      <c r="B830" s="23" t="str">
        <f>IFERROR(__xludf.DUMMYFUNCTION("""COMPUTED_VALUE"""),"purple.pul")</f>
        <v>purple.pul</v>
      </c>
      <c r="C830" s="257" t="str">
        <f>IFERROR(__xludf.DUMMYFUNCTION("""COMPUTED_VALUE"""),"https://www.tiktok.com/@purple.pul")</f>
        <v>https://www.tiktok.com/@purple.pul</v>
      </c>
      <c r="D830" s="23">
        <f>IFERROR(__xludf.DUMMYFUNCTION("""COMPUTED_VALUE"""),8.1340706606E10)</f>
        <v>81340706606</v>
      </c>
      <c r="E830" s="457">
        <f>IFERROR(__xludf.DUMMYFUNCTION("""COMPUTED_VALUE"""),100000.0)</f>
        <v>100000</v>
      </c>
      <c r="F830" s="270">
        <f>IFERROR(__xludf.DUMMYFUNCTION("""COMPUTED_VALUE"""),3.0)</f>
        <v>3</v>
      </c>
      <c r="G830" s="17" t="str">
        <f>IFERROR(__xludf.DUMMYFUNCTION("""COMPUTED_VALUE"""),"Full Set")</f>
        <v>Full Set</v>
      </c>
      <c r="H830" s="17"/>
      <c r="I830" s="262"/>
      <c r="J830" s="262"/>
      <c r="K830" s="262"/>
      <c r="L830" s="262"/>
      <c r="M830" s="262"/>
    </row>
    <row r="831">
      <c r="A831" s="255" t="str">
        <f>IFERROR(__xludf.DUMMYFUNCTION("""COMPUTED_VALUE"""),"NANO")</f>
        <v>NANO</v>
      </c>
      <c r="B831" s="23" t="str">
        <f>IFERROR(__xludf.DUMMYFUNCTION("""COMPUTED_VALUE"""),"calysta.kirei")</f>
        <v>calysta.kirei</v>
      </c>
      <c r="C831" s="257" t="str">
        <f>IFERROR(__xludf.DUMMYFUNCTION("""COMPUTED_VALUE"""),"https://www.tiktok.com/@calysta.kirei")</f>
        <v>https://www.tiktok.com/@calysta.kirei</v>
      </c>
      <c r="D831" s="23">
        <f>IFERROR(__xludf.DUMMYFUNCTION("""COMPUTED_VALUE"""),8.1511885092E10)</f>
        <v>81511885092</v>
      </c>
      <c r="E831" s="457">
        <f>IFERROR(__xludf.DUMMYFUNCTION("""COMPUTED_VALUE"""),100000.0)</f>
        <v>100000</v>
      </c>
      <c r="F831" s="270">
        <f>IFERROR(__xludf.DUMMYFUNCTION("""COMPUTED_VALUE"""),3.0)</f>
        <v>3</v>
      </c>
      <c r="G831" s="17" t="str">
        <f>IFERROR(__xludf.DUMMYFUNCTION("""COMPUTED_VALUE"""),"Full Set")</f>
        <v>Full Set</v>
      </c>
      <c r="H831" s="17"/>
      <c r="I831" s="262"/>
      <c r="J831" s="262"/>
      <c r="K831" s="262"/>
      <c r="L831" s="262"/>
      <c r="M831" s="262"/>
    </row>
    <row r="832">
      <c r="A832" s="255" t="str">
        <f>IFERROR(__xludf.DUMMYFUNCTION("""COMPUTED_VALUE"""),"NANO")</f>
        <v>NANO</v>
      </c>
      <c r="B832" s="23" t="str">
        <f>IFERROR(__xludf.DUMMYFUNCTION("""COMPUTED_VALUE"""),"Riia_309")</f>
        <v>Riia_309</v>
      </c>
      <c r="C832" s="257" t="str">
        <f>IFERROR(__xludf.DUMMYFUNCTION("""COMPUTED_VALUE"""),"https://www.tiktok.com/@Riia_309")</f>
        <v>https://www.tiktok.com/@Riia_309</v>
      </c>
      <c r="D832" s="23">
        <f>IFERROR(__xludf.DUMMYFUNCTION("""COMPUTED_VALUE"""),8.7794190679E10)</f>
        <v>87794190679</v>
      </c>
      <c r="E832" s="457">
        <f>IFERROR(__xludf.DUMMYFUNCTION("""COMPUTED_VALUE"""),100000.0)</f>
        <v>100000</v>
      </c>
      <c r="F832" s="270">
        <f>IFERROR(__xludf.DUMMYFUNCTION("""COMPUTED_VALUE"""),3.0)</f>
        <v>3</v>
      </c>
      <c r="G832" s="17" t="str">
        <f>IFERROR(__xludf.DUMMYFUNCTION("""COMPUTED_VALUE"""),"Full Set")</f>
        <v>Full Set</v>
      </c>
      <c r="H832" s="17"/>
      <c r="I832" s="262"/>
      <c r="J832" s="262"/>
      <c r="K832" s="262"/>
      <c r="L832" s="262"/>
      <c r="M832" s="262"/>
    </row>
    <row r="833">
      <c r="A833" s="255" t="str">
        <f>IFERROR(__xludf.DUMMYFUNCTION("""COMPUTED_VALUE"""),"NANO")</f>
        <v>NANO</v>
      </c>
      <c r="B833" s="23" t="str">
        <f>IFERROR(__xludf.DUMMYFUNCTION("""COMPUTED_VALUE"""),"orgbumi.77")</f>
        <v>orgbumi.77</v>
      </c>
      <c r="C833" s="257" t="str">
        <f>IFERROR(__xludf.DUMMYFUNCTION("""COMPUTED_VALUE"""),"https://www.tiktok.com/@orgbumi.77")</f>
        <v>https://www.tiktok.com/@orgbumi.77</v>
      </c>
      <c r="D833" s="23">
        <f>IFERROR(__xludf.DUMMYFUNCTION("""COMPUTED_VALUE"""),8.3847913184E10)</f>
        <v>83847913184</v>
      </c>
      <c r="E833" s="457">
        <f>IFERROR(__xludf.DUMMYFUNCTION("""COMPUTED_VALUE"""),100000.0)</f>
        <v>100000</v>
      </c>
      <c r="F833" s="270">
        <f>IFERROR(__xludf.DUMMYFUNCTION("""COMPUTED_VALUE"""),3.0)</f>
        <v>3</v>
      </c>
      <c r="G833" s="17" t="str">
        <f>IFERROR(__xludf.DUMMYFUNCTION("""COMPUTED_VALUE"""),"Full Set")</f>
        <v>Full Set</v>
      </c>
      <c r="H833" s="17"/>
      <c r="I833" s="262"/>
      <c r="J833" s="262"/>
      <c r="K833" s="262"/>
      <c r="L833" s="262"/>
      <c r="M833" s="262"/>
    </row>
    <row r="834">
      <c r="A834" s="255" t="str">
        <f>IFERROR(__xludf.DUMMYFUNCTION("""COMPUTED_VALUE"""),"NANO")</f>
        <v>NANO</v>
      </c>
      <c r="B834" s="23" t="str">
        <f>IFERROR(__xludf.DUMMYFUNCTION("""COMPUTED_VALUE"""),"puput.amelia017")</f>
        <v>puput.amelia017</v>
      </c>
      <c r="C834" s="257" t="str">
        <f>IFERROR(__xludf.DUMMYFUNCTION("""COMPUTED_VALUE"""),"https://www.tiktok.com/@puput.amelia017")</f>
        <v>https://www.tiktok.com/@puput.amelia017</v>
      </c>
      <c r="D834" s="23">
        <f>IFERROR(__xludf.DUMMYFUNCTION("""COMPUTED_VALUE"""),8.3152812961E10)</f>
        <v>83152812961</v>
      </c>
      <c r="E834" s="457">
        <f>IFERROR(__xludf.DUMMYFUNCTION("""COMPUTED_VALUE"""),100000.0)</f>
        <v>100000</v>
      </c>
      <c r="F834" s="270">
        <f>IFERROR(__xludf.DUMMYFUNCTION("""COMPUTED_VALUE"""),3.0)</f>
        <v>3</v>
      </c>
      <c r="G834" s="17" t="str">
        <f>IFERROR(__xludf.DUMMYFUNCTION("""COMPUTED_VALUE"""),"Full Set")</f>
        <v>Full Set</v>
      </c>
      <c r="H834" s="17"/>
      <c r="I834" s="262"/>
      <c r="J834" s="262"/>
      <c r="K834" s="262"/>
      <c r="L834" s="262"/>
      <c r="M834" s="262"/>
    </row>
    <row r="835">
      <c r="A835" s="255" t="str">
        <f>IFERROR(__xludf.DUMMYFUNCTION("""COMPUTED_VALUE"""),"NANO")</f>
        <v>NANO</v>
      </c>
      <c r="B835" s="23" t="str">
        <f>IFERROR(__xludf.DUMMYFUNCTION("""COMPUTED_VALUE"""),"noviyantivahira")</f>
        <v>noviyantivahira</v>
      </c>
      <c r="C835" s="257" t="str">
        <f>IFERROR(__xludf.DUMMYFUNCTION("""COMPUTED_VALUE"""),"https://www.tiktok.com/@noviyantivahira")</f>
        <v>https://www.tiktok.com/@noviyantivahira</v>
      </c>
      <c r="D835" s="23">
        <f>IFERROR(__xludf.DUMMYFUNCTION("""COMPUTED_VALUE"""),8.3806158717E10)</f>
        <v>83806158717</v>
      </c>
      <c r="E835" s="457">
        <f>IFERROR(__xludf.DUMMYFUNCTION("""COMPUTED_VALUE"""),100000.0)</f>
        <v>100000</v>
      </c>
      <c r="F835" s="270">
        <f>IFERROR(__xludf.DUMMYFUNCTION("""COMPUTED_VALUE"""),3.0)</f>
        <v>3</v>
      </c>
      <c r="G835" s="17" t="str">
        <f>IFERROR(__xludf.DUMMYFUNCTION("""COMPUTED_VALUE"""),"Full Set")</f>
        <v>Full Set</v>
      </c>
      <c r="H835" s="17"/>
      <c r="I835" s="262"/>
      <c r="J835" s="262"/>
      <c r="K835" s="262"/>
      <c r="L835" s="262"/>
      <c r="M835" s="262"/>
    </row>
    <row r="836">
      <c r="A836" s="255" t="str">
        <f>IFERROR(__xludf.DUMMYFUNCTION("""COMPUTED_VALUE"""),"NANO")</f>
        <v>NANO</v>
      </c>
      <c r="B836" s="23" t="str">
        <f>IFERROR(__xludf.DUMMYFUNCTION("""COMPUTED_VALUE"""),"mmialual ")</f>
        <v>mmialual </v>
      </c>
      <c r="C836" s="257" t="str">
        <f>IFERROR(__xludf.DUMMYFUNCTION("""COMPUTED_VALUE"""),"https://www.tiktok.com/@mmialual ")</f>
        <v>https://www.tiktok.com/@mmialual </v>
      </c>
      <c r="D836" s="23">
        <f>IFERROR(__xludf.DUMMYFUNCTION("""COMPUTED_VALUE"""),8.5695280325E10)</f>
        <v>85695280325</v>
      </c>
      <c r="E836" s="457">
        <f>IFERROR(__xludf.DUMMYFUNCTION("""COMPUTED_VALUE"""),100000.0)</f>
        <v>100000</v>
      </c>
      <c r="F836" s="270">
        <f>IFERROR(__xludf.DUMMYFUNCTION("""COMPUTED_VALUE"""),3.0)</f>
        <v>3</v>
      </c>
      <c r="G836" s="17" t="str">
        <f>IFERROR(__xludf.DUMMYFUNCTION("""COMPUTED_VALUE"""),"Full Set")</f>
        <v>Full Set</v>
      </c>
      <c r="H836" s="17"/>
      <c r="I836" s="262"/>
      <c r="J836" s="262"/>
      <c r="K836" s="262"/>
      <c r="L836" s="262"/>
      <c r="M836" s="262"/>
    </row>
    <row r="837">
      <c r="A837" s="255" t="str">
        <f>IFERROR(__xludf.DUMMYFUNCTION("""COMPUTED_VALUE"""),"NANO")</f>
        <v>NANO</v>
      </c>
      <c r="B837" s="23" t="str">
        <f>IFERROR(__xludf.DUMMYFUNCTION("""COMPUTED_VALUE"""),"oktapia000")</f>
        <v>oktapia000</v>
      </c>
      <c r="C837" s="257" t="str">
        <f>IFERROR(__xludf.DUMMYFUNCTION("""COMPUTED_VALUE"""),"https://www.tiktok.com/@oktapia000")</f>
        <v>https://www.tiktok.com/@oktapia000</v>
      </c>
      <c r="D837" s="23">
        <f>IFERROR(__xludf.DUMMYFUNCTION("""COMPUTED_VALUE"""),8.2281940498E10)</f>
        <v>82281940498</v>
      </c>
      <c r="E837" s="457">
        <f>IFERROR(__xludf.DUMMYFUNCTION("""COMPUTED_VALUE"""),100000.0)</f>
        <v>100000</v>
      </c>
      <c r="F837" s="270">
        <f>IFERROR(__xludf.DUMMYFUNCTION("""COMPUTED_VALUE"""),3.0)</f>
        <v>3</v>
      </c>
      <c r="G837" s="17" t="str">
        <f>IFERROR(__xludf.DUMMYFUNCTION("""COMPUTED_VALUE"""),"Full Set")</f>
        <v>Full Set</v>
      </c>
      <c r="H837" s="17"/>
      <c r="I837" s="262"/>
      <c r="J837" s="262"/>
      <c r="K837" s="262"/>
      <c r="L837" s="262"/>
      <c r="M837" s="262"/>
    </row>
    <row r="838">
      <c r="A838" s="255" t="str">
        <f>IFERROR(__xludf.DUMMYFUNCTION("""COMPUTED_VALUE"""),"NANO")</f>
        <v>NANO</v>
      </c>
      <c r="B838" s="23" t="str">
        <f>IFERROR(__xludf.DUMMYFUNCTION("""COMPUTED_VALUE"""),"belaaa_117")</f>
        <v>belaaa_117</v>
      </c>
      <c r="C838" s="257" t="str">
        <f>IFERROR(__xludf.DUMMYFUNCTION("""COMPUTED_VALUE"""),"https://www.tiktok.com/@belaaa_117")</f>
        <v>https://www.tiktok.com/@belaaa_117</v>
      </c>
      <c r="D838" s="23">
        <f>IFERROR(__xludf.DUMMYFUNCTION("""COMPUTED_VALUE"""),8.9524771961E10)</f>
        <v>89524771961</v>
      </c>
      <c r="E838" s="457">
        <f>IFERROR(__xludf.DUMMYFUNCTION("""COMPUTED_VALUE"""),100000.0)</f>
        <v>100000</v>
      </c>
      <c r="F838" s="270">
        <f>IFERROR(__xludf.DUMMYFUNCTION("""COMPUTED_VALUE"""),3.0)</f>
        <v>3</v>
      </c>
      <c r="G838" s="17" t="str">
        <f>IFERROR(__xludf.DUMMYFUNCTION("""COMPUTED_VALUE"""),"Full Set")</f>
        <v>Full Set</v>
      </c>
      <c r="H838" s="17"/>
      <c r="I838" s="262"/>
      <c r="J838" s="262"/>
      <c r="K838" s="262"/>
      <c r="L838" s="262"/>
      <c r="M838" s="262"/>
    </row>
    <row r="839">
      <c r="A839" s="255" t="str">
        <f>IFERROR(__xludf.DUMMYFUNCTION("""COMPUTED_VALUE"""),"NANO")</f>
        <v>NANO</v>
      </c>
      <c r="B839" s="23" t="str">
        <f>IFERROR(__xludf.DUMMYFUNCTION("""COMPUTED_VALUE"""),"dwie.twins")</f>
        <v>dwie.twins</v>
      </c>
      <c r="C839" s="257" t="str">
        <f>IFERROR(__xludf.DUMMYFUNCTION("""COMPUTED_VALUE"""),"https://www.tiktok.com/@dwie.twins")</f>
        <v>https://www.tiktok.com/@dwie.twins</v>
      </c>
      <c r="D839" s="23">
        <f>IFERROR(__xludf.DUMMYFUNCTION("""COMPUTED_VALUE"""),8.1390655307E10)</f>
        <v>81390655307</v>
      </c>
      <c r="E839" s="457">
        <f>IFERROR(__xludf.DUMMYFUNCTION("""COMPUTED_VALUE"""),100000.0)</f>
        <v>100000</v>
      </c>
      <c r="F839" s="270">
        <f>IFERROR(__xludf.DUMMYFUNCTION("""COMPUTED_VALUE"""),3.0)</f>
        <v>3</v>
      </c>
      <c r="G839" s="17" t="str">
        <f>IFERROR(__xludf.DUMMYFUNCTION("""COMPUTED_VALUE"""),"Full Set")</f>
        <v>Full Set</v>
      </c>
      <c r="H839" s="17"/>
      <c r="I839" s="262"/>
      <c r="J839" s="262"/>
      <c r="K839" s="262"/>
      <c r="L839" s="262"/>
      <c r="M839" s="262"/>
    </row>
    <row r="840">
      <c r="A840" s="255" t="str">
        <f>IFERROR(__xludf.DUMMYFUNCTION("""COMPUTED_VALUE"""),"NANO")</f>
        <v>NANO</v>
      </c>
      <c r="B840" s="23" t="str">
        <f>IFERROR(__xludf.DUMMYFUNCTION("""COMPUTED_VALUE"""),"xx.snl")</f>
        <v>xx.snl</v>
      </c>
      <c r="C840" s="257" t="str">
        <f>IFERROR(__xludf.DUMMYFUNCTION("""COMPUTED_VALUE"""),"https://www.tiktok.com/@xx.snl")</f>
        <v>https://www.tiktok.com/@xx.snl</v>
      </c>
      <c r="D840" s="23">
        <f>IFERROR(__xludf.DUMMYFUNCTION("""COMPUTED_VALUE"""),8.5177839193E10)</f>
        <v>85177839193</v>
      </c>
      <c r="E840" s="457">
        <f>IFERROR(__xludf.DUMMYFUNCTION("""COMPUTED_VALUE"""),100000.0)</f>
        <v>100000</v>
      </c>
      <c r="F840" s="270">
        <f>IFERROR(__xludf.DUMMYFUNCTION("""COMPUTED_VALUE"""),3.0)</f>
        <v>3</v>
      </c>
      <c r="G840" s="17" t="str">
        <f>IFERROR(__xludf.DUMMYFUNCTION("""COMPUTED_VALUE"""),"Full Set")</f>
        <v>Full Set</v>
      </c>
      <c r="H840" s="17"/>
      <c r="I840" s="262"/>
      <c r="J840" s="262"/>
      <c r="K840" s="262"/>
      <c r="L840" s="262"/>
      <c r="M840" s="262"/>
    </row>
    <row r="841">
      <c r="A841" s="255" t="str">
        <f>IFERROR(__xludf.DUMMYFUNCTION("""COMPUTED_VALUE"""),"NANO")</f>
        <v>NANO</v>
      </c>
      <c r="B841" s="23" t="str">
        <f>IFERROR(__xludf.DUMMYFUNCTION("""COMPUTED_VALUE"""),"seoyouzie ")</f>
        <v>seoyouzie </v>
      </c>
      <c r="C841" s="257" t="str">
        <f>IFERROR(__xludf.DUMMYFUNCTION("""COMPUTED_VALUE"""),"https://www.tiktok.com/@seoyouzie ")</f>
        <v>https://www.tiktok.com/@seoyouzie </v>
      </c>
      <c r="D841" s="23">
        <f>IFERROR(__xludf.DUMMYFUNCTION("""COMPUTED_VALUE"""),8.8971635704E10)</f>
        <v>88971635704</v>
      </c>
      <c r="E841" s="457">
        <f>IFERROR(__xludf.DUMMYFUNCTION("""COMPUTED_VALUE"""),100000.0)</f>
        <v>100000</v>
      </c>
      <c r="F841" s="270">
        <f>IFERROR(__xludf.DUMMYFUNCTION("""COMPUTED_VALUE"""),3.0)</f>
        <v>3</v>
      </c>
      <c r="G841" s="17" t="str">
        <f>IFERROR(__xludf.DUMMYFUNCTION("""COMPUTED_VALUE"""),"Full Set")</f>
        <v>Full Set</v>
      </c>
      <c r="H841" s="17"/>
      <c r="I841" s="262"/>
      <c r="J841" s="262"/>
      <c r="K841" s="262"/>
      <c r="L841" s="262"/>
      <c r="M841" s="262"/>
    </row>
    <row r="842">
      <c r="A842" s="255" t="str">
        <f>IFERROR(__xludf.DUMMYFUNCTION("""COMPUTED_VALUE"""),"NANO")</f>
        <v>NANO</v>
      </c>
      <c r="B842" s="23" t="str">
        <f>IFERROR(__xludf.DUMMYFUNCTION("""COMPUTED_VALUE"""),"Nisafahhn")</f>
        <v>Nisafahhn</v>
      </c>
      <c r="C842" s="257" t="str">
        <f>IFERROR(__xludf.DUMMYFUNCTION("""COMPUTED_VALUE"""),"https://www.tiktok.com/@Nisafahhn")</f>
        <v>https://www.tiktok.com/@Nisafahhn</v>
      </c>
      <c r="D842" s="23">
        <f>IFERROR(__xludf.DUMMYFUNCTION("""COMPUTED_VALUE"""),8.9504961119E10)</f>
        <v>89504961119</v>
      </c>
      <c r="E842" s="457">
        <f>IFERROR(__xludf.DUMMYFUNCTION("""COMPUTED_VALUE"""),100000.0)</f>
        <v>100000</v>
      </c>
      <c r="F842" s="270">
        <f>IFERROR(__xludf.DUMMYFUNCTION("""COMPUTED_VALUE"""),3.0)</f>
        <v>3</v>
      </c>
      <c r="G842" s="17" t="str">
        <f>IFERROR(__xludf.DUMMYFUNCTION("""COMPUTED_VALUE"""),"Full Set")</f>
        <v>Full Set</v>
      </c>
      <c r="H842" s="17"/>
      <c r="I842" s="262"/>
      <c r="J842" s="262"/>
      <c r="K842" s="262"/>
      <c r="L842" s="262"/>
      <c r="M842" s="262"/>
    </row>
    <row r="843">
      <c r="A843" s="255" t="str">
        <f>IFERROR(__xludf.DUMMYFUNCTION("""COMPUTED_VALUE"""),"NANO")</f>
        <v>NANO</v>
      </c>
      <c r="B843" s="23" t="str">
        <f>IFERROR(__xludf.DUMMYFUNCTION("""COMPUTED_VALUE"""),"marshaaa.l")</f>
        <v>marshaaa.l</v>
      </c>
      <c r="C843" s="257" t="str">
        <f>IFERROR(__xludf.DUMMYFUNCTION("""COMPUTED_VALUE"""),"https://www.tiktok.com/@marshaaa.l")</f>
        <v>https://www.tiktok.com/@marshaaa.l</v>
      </c>
      <c r="D843" s="23">
        <f>IFERROR(__xludf.DUMMYFUNCTION("""COMPUTED_VALUE"""),8.95376261004E11)</f>
        <v>895376261004</v>
      </c>
      <c r="E843" s="457">
        <f>IFERROR(__xludf.DUMMYFUNCTION("""COMPUTED_VALUE"""),100000.0)</f>
        <v>100000</v>
      </c>
      <c r="F843" s="270">
        <f>IFERROR(__xludf.DUMMYFUNCTION("""COMPUTED_VALUE"""),3.0)</f>
        <v>3</v>
      </c>
      <c r="G843" s="17" t="str">
        <f>IFERROR(__xludf.DUMMYFUNCTION("""COMPUTED_VALUE"""),"Full Set")</f>
        <v>Full Set</v>
      </c>
      <c r="H843" s="17"/>
      <c r="I843" s="262"/>
      <c r="J843" s="262"/>
      <c r="K843" s="262"/>
      <c r="L843" s="262"/>
      <c r="M843" s="262"/>
    </row>
    <row r="844">
      <c r="A844" s="255" t="str">
        <f>IFERROR(__xludf.DUMMYFUNCTION("""COMPUTED_VALUE"""),"NANO")</f>
        <v>NANO</v>
      </c>
      <c r="B844" s="23" t="str">
        <f>IFERROR(__xludf.DUMMYFUNCTION("""COMPUTED_VALUE"""),"Luluk.m6")</f>
        <v>Luluk.m6</v>
      </c>
      <c r="C844" s="257" t="str">
        <f>IFERROR(__xludf.DUMMYFUNCTION("""COMPUTED_VALUE"""),"https://www.tiktok.com/@Luluk.m6")</f>
        <v>https://www.tiktok.com/@Luluk.m6</v>
      </c>
      <c r="D844" s="23">
        <f>IFERROR(__xludf.DUMMYFUNCTION("""COMPUTED_VALUE"""),8.5866307443E10)</f>
        <v>85866307443</v>
      </c>
      <c r="E844" s="457">
        <f>IFERROR(__xludf.DUMMYFUNCTION("""COMPUTED_VALUE"""),100000.0)</f>
        <v>100000</v>
      </c>
      <c r="F844" s="270">
        <f>IFERROR(__xludf.DUMMYFUNCTION("""COMPUTED_VALUE"""),3.0)</f>
        <v>3</v>
      </c>
      <c r="G844" s="17" t="str">
        <f>IFERROR(__xludf.DUMMYFUNCTION("""COMPUTED_VALUE"""),"Full Set")</f>
        <v>Full Set</v>
      </c>
      <c r="H844" s="17"/>
      <c r="I844" s="262"/>
      <c r="J844" s="262"/>
      <c r="K844" s="262"/>
      <c r="L844" s="262"/>
      <c r="M844" s="262"/>
    </row>
    <row r="845">
      <c r="A845" s="255" t="str">
        <f>IFERROR(__xludf.DUMMYFUNCTION("""COMPUTED_VALUE"""),"NANO")</f>
        <v>NANO</v>
      </c>
      <c r="B845" s="23" t="str">
        <f>IFERROR(__xludf.DUMMYFUNCTION("""COMPUTED_VALUE"""),"detikurnia378")</f>
        <v>detikurnia378</v>
      </c>
      <c r="C845" s="257" t="str">
        <f>IFERROR(__xludf.DUMMYFUNCTION("""COMPUTED_VALUE"""),"https://www.tiktok.com/@detikurnia378")</f>
        <v>https://www.tiktok.com/@detikurnia378</v>
      </c>
      <c r="D845" s="23">
        <f>IFERROR(__xludf.DUMMYFUNCTION("""COMPUTED_VALUE"""),8.5697148347E10)</f>
        <v>85697148347</v>
      </c>
      <c r="E845" s="457">
        <f>IFERROR(__xludf.DUMMYFUNCTION("""COMPUTED_VALUE"""),100000.0)</f>
        <v>100000</v>
      </c>
      <c r="F845" s="270">
        <f>IFERROR(__xludf.DUMMYFUNCTION("""COMPUTED_VALUE"""),3.0)</f>
        <v>3</v>
      </c>
      <c r="G845" s="17" t="str">
        <f>IFERROR(__xludf.DUMMYFUNCTION("""COMPUTED_VALUE"""),"Full Set")</f>
        <v>Full Set</v>
      </c>
      <c r="H845" s="17"/>
      <c r="I845" s="262"/>
      <c r="J845" s="262"/>
      <c r="K845" s="262"/>
      <c r="L845" s="262"/>
      <c r="M845" s="262"/>
    </row>
    <row r="846">
      <c r="A846" s="255" t="str">
        <f>IFERROR(__xludf.DUMMYFUNCTION("""COMPUTED_VALUE"""),"NANO")</f>
        <v>NANO</v>
      </c>
      <c r="B846" s="23" t="str">
        <f>IFERROR(__xludf.DUMMYFUNCTION("""COMPUTED_VALUE"""),"ratu.azizah94")</f>
        <v>ratu.azizah94</v>
      </c>
      <c r="C846" s="257" t="str">
        <f>IFERROR(__xludf.DUMMYFUNCTION("""COMPUTED_VALUE"""),"https://www.tiktok.com/@ratu.azizah94")</f>
        <v>https://www.tiktok.com/@ratu.azizah94</v>
      </c>
      <c r="D846" s="23">
        <f>IFERROR(__xludf.DUMMYFUNCTION("""COMPUTED_VALUE"""),8.95415846924E11)</f>
        <v>895415846924</v>
      </c>
      <c r="E846" s="457">
        <f>IFERROR(__xludf.DUMMYFUNCTION("""COMPUTED_VALUE"""),100000.0)</f>
        <v>100000</v>
      </c>
      <c r="F846" s="270">
        <f>IFERROR(__xludf.DUMMYFUNCTION("""COMPUTED_VALUE"""),3.0)</f>
        <v>3</v>
      </c>
      <c r="G846" s="17" t="str">
        <f>IFERROR(__xludf.DUMMYFUNCTION("""COMPUTED_VALUE"""),"Full Set")</f>
        <v>Full Set</v>
      </c>
      <c r="H846" s="17"/>
      <c r="I846" s="262"/>
      <c r="J846" s="262"/>
      <c r="K846" s="262"/>
      <c r="L846" s="262"/>
      <c r="M846" s="262"/>
    </row>
    <row r="847">
      <c r="A847" s="255" t="str">
        <f>IFERROR(__xludf.DUMMYFUNCTION("""COMPUTED_VALUE"""),"NANO")</f>
        <v>NANO</v>
      </c>
      <c r="B847" s="23" t="str">
        <f>IFERROR(__xludf.DUMMYFUNCTION("""COMPUTED_VALUE"""),"1uvvlyla0")</f>
        <v>1uvvlyla0</v>
      </c>
      <c r="C847" s="257" t="str">
        <f>IFERROR(__xludf.DUMMYFUNCTION("""COMPUTED_VALUE"""),"https://www.tiktok.com/@1uvvlyla0")</f>
        <v>https://www.tiktok.com/@1uvvlyla0</v>
      </c>
      <c r="D847" s="23">
        <f>IFERROR(__xludf.DUMMYFUNCTION("""COMPUTED_VALUE"""),8.3834310771E10)</f>
        <v>83834310771</v>
      </c>
      <c r="E847" s="457">
        <f>IFERROR(__xludf.DUMMYFUNCTION("""COMPUTED_VALUE"""),100000.0)</f>
        <v>100000</v>
      </c>
      <c r="F847" s="270">
        <f>IFERROR(__xludf.DUMMYFUNCTION("""COMPUTED_VALUE"""),3.0)</f>
        <v>3</v>
      </c>
      <c r="G847" s="17" t="str">
        <f>IFERROR(__xludf.DUMMYFUNCTION("""COMPUTED_VALUE"""),"Full Set")</f>
        <v>Full Set</v>
      </c>
      <c r="H847" s="17"/>
      <c r="I847" s="262"/>
      <c r="J847" s="262"/>
      <c r="K847" s="262"/>
      <c r="L847" s="262"/>
      <c r="M847" s="262"/>
    </row>
    <row r="848">
      <c r="A848" s="255" t="str">
        <f>IFERROR(__xludf.DUMMYFUNCTION("""COMPUTED_VALUE"""),"NANO")</f>
        <v>NANO</v>
      </c>
      <c r="B848" s="23" t="str">
        <f>IFERROR(__xludf.DUMMYFUNCTION("""COMPUTED_VALUE"""),"tasyaa_712")</f>
        <v>tasyaa_712</v>
      </c>
      <c r="C848" s="257" t="str">
        <f>IFERROR(__xludf.DUMMYFUNCTION("""COMPUTED_VALUE"""),"https://www.tiktok.com/@tasyaa_712")</f>
        <v>https://www.tiktok.com/@tasyaa_712</v>
      </c>
      <c r="D848" s="23">
        <f>IFERROR(__xludf.DUMMYFUNCTION("""COMPUTED_VALUE"""),8.7744482503E10)</f>
        <v>87744482503</v>
      </c>
      <c r="E848" s="457">
        <f>IFERROR(__xludf.DUMMYFUNCTION("""COMPUTED_VALUE"""),100000.0)</f>
        <v>100000</v>
      </c>
      <c r="F848" s="270">
        <f>IFERROR(__xludf.DUMMYFUNCTION("""COMPUTED_VALUE"""),3.0)</f>
        <v>3</v>
      </c>
      <c r="G848" s="17" t="str">
        <f>IFERROR(__xludf.DUMMYFUNCTION("""COMPUTED_VALUE"""),"Full Set")</f>
        <v>Full Set</v>
      </c>
      <c r="H848" s="17"/>
      <c r="I848" s="262"/>
      <c r="J848" s="262"/>
      <c r="K848" s="262"/>
      <c r="L848" s="262"/>
      <c r="M848" s="262"/>
    </row>
    <row r="849">
      <c r="A849" s="255" t="str">
        <f>IFERROR(__xludf.DUMMYFUNCTION("""COMPUTED_VALUE"""),"NANO")</f>
        <v>NANO</v>
      </c>
      <c r="B849" s="23" t="str">
        <f>IFERROR(__xludf.DUMMYFUNCTION("""COMPUTED_VALUE"""),"rifiaalmaidah17")</f>
        <v>rifiaalmaidah17</v>
      </c>
      <c r="C849" s="257" t="str">
        <f>IFERROR(__xludf.DUMMYFUNCTION("""COMPUTED_VALUE"""),"https://www.tiktok.com/@rifiaalmaidah17")</f>
        <v>https://www.tiktok.com/@rifiaalmaidah17</v>
      </c>
      <c r="D849" s="23">
        <f>IFERROR(__xludf.DUMMYFUNCTION("""COMPUTED_VALUE"""),8.5773101478E10)</f>
        <v>85773101478</v>
      </c>
      <c r="E849" s="457">
        <f>IFERROR(__xludf.DUMMYFUNCTION("""COMPUTED_VALUE"""),100000.0)</f>
        <v>100000</v>
      </c>
      <c r="F849" s="270">
        <f>IFERROR(__xludf.DUMMYFUNCTION("""COMPUTED_VALUE"""),3.0)</f>
        <v>3</v>
      </c>
      <c r="G849" s="17" t="str">
        <f>IFERROR(__xludf.DUMMYFUNCTION("""COMPUTED_VALUE"""),"Full Set")</f>
        <v>Full Set</v>
      </c>
      <c r="H849" s="17"/>
      <c r="I849" s="262"/>
      <c r="J849" s="262"/>
      <c r="K849" s="262"/>
      <c r="L849" s="262"/>
      <c r="M849" s="262"/>
    </row>
    <row r="850">
      <c r="A850" s="255" t="str">
        <f>IFERROR(__xludf.DUMMYFUNCTION("""COMPUTED_VALUE"""),"MICRO")</f>
        <v>MICRO</v>
      </c>
      <c r="B850" s="23" t="str">
        <f>IFERROR(__xludf.DUMMYFUNCTION("""COMPUTED_VALUE"""),"mbak.lia.kd")</f>
        <v>mbak.lia.kd</v>
      </c>
      <c r="C850" s="257" t="str">
        <f>IFERROR(__xludf.DUMMYFUNCTION("""COMPUTED_VALUE"""),"https://www.tiktok.com/@mbak.lia.kd")</f>
        <v>https://www.tiktok.com/@mbak.lia.kd</v>
      </c>
      <c r="D850" s="23">
        <f>IFERROR(__xludf.DUMMYFUNCTION("""COMPUTED_VALUE"""),8.5640098451E10)</f>
        <v>85640098451</v>
      </c>
      <c r="E850" s="457">
        <f>IFERROR(__xludf.DUMMYFUNCTION("""COMPUTED_VALUE"""),100000.0)</f>
        <v>100000</v>
      </c>
      <c r="F850" s="270">
        <f>IFERROR(__xludf.DUMMYFUNCTION("""COMPUTED_VALUE"""),3.0)</f>
        <v>3</v>
      </c>
      <c r="G850" s="17" t="str">
        <f>IFERROR(__xludf.DUMMYFUNCTION("""COMPUTED_VALUE"""),"Full Set")</f>
        <v>Full Set</v>
      </c>
      <c r="H850" s="17"/>
      <c r="I850" s="262"/>
      <c r="J850" s="262"/>
      <c r="K850" s="262"/>
      <c r="L850" s="262"/>
      <c r="M850" s="262"/>
    </row>
    <row r="851">
      <c r="A851" s="255" t="str">
        <f>IFERROR(__xludf.DUMMYFUNCTION("""COMPUTED_VALUE"""),"MICRO")</f>
        <v>MICRO</v>
      </c>
      <c r="B851" s="23" t="str">
        <f>IFERROR(__xludf.DUMMYFUNCTION("""COMPUTED_VALUE"""),"renn.ans")</f>
        <v>renn.ans</v>
      </c>
      <c r="C851" s="257" t="str">
        <f>IFERROR(__xludf.DUMMYFUNCTION("""COMPUTED_VALUE"""),"https://www.tiktok.com/@renn.ans")</f>
        <v>https://www.tiktok.com/@renn.ans</v>
      </c>
      <c r="D851" s="23">
        <f>IFERROR(__xludf.DUMMYFUNCTION("""COMPUTED_VALUE"""),8.95614010033E11)</f>
        <v>895614010033</v>
      </c>
      <c r="E851" s="457">
        <f>IFERROR(__xludf.DUMMYFUNCTION("""COMPUTED_VALUE"""),100000.0)</f>
        <v>100000</v>
      </c>
      <c r="F851" s="270">
        <f>IFERROR(__xludf.DUMMYFUNCTION("""COMPUTED_VALUE"""),3.0)</f>
        <v>3</v>
      </c>
      <c r="G851" s="17" t="str">
        <f>IFERROR(__xludf.DUMMYFUNCTION("""COMPUTED_VALUE"""),"Full Set")</f>
        <v>Full Set</v>
      </c>
      <c r="H851" s="17"/>
      <c r="I851" s="262"/>
      <c r="J851" s="262"/>
      <c r="K851" s="262"/>
      <c r="L851" s="262"/>
      <c r="M851" s="262"/>
    </row>
    <row r="852">
      <c r="A852" s="255" t="str">
        <f>IFERROR(__xludf.DUMMYFUNCTION("""COMPUTED_VALUE"""),"NANO")</f>
        <v>NANO</v>
      </c>
      <c r="B852" s="257" t="str">
        <f>IFERROR(__xludf.DUMMYFUNCTION("""COMPUTED_VALUE"""),"Zyta.co")</f>
        <v>Zyta.co</v>
      </c>
      <c r="C852" s="257" t="str">
        <f>IFERROR(__xludf.DUMMYFUNCTION("""COMPUTED_VALUE"""),"https://www.tiktok.com/@Zyta.co")</f>
        <v>https://www.tiktok.com/@Zyta.co</v>
      </c>
      <c r="D852" s="23">
        <f>IFERROR(__xludf.DUMMYFUNCTION("""COMPUTED_VALUE"""),8.9816903E9)</f>
        <v>8981690300</v>
      </c>
      <c r="E852" s="457">
        <f>IFERROR(__xludf.DUMMYFUNCTION("""COMPUTED_VALUE"""),100000.0)</f>
        <v>100000</v>
      </c>
      <c r="F852" s="270">
        <f>IFERROR(__xludf.DUMMYFUNCTION("""COMPUTED_VALUE"""),3.0)</f>
        <v>3</v>
      </c>
      <c r="G852" s="17" t="str">
        <f>IFERROR(__xludf.DUMMYFUNCTION("""COMPUTED_VALUE"""),"Full Set")</f>
        <v>Full Set</v>
      </c>
      <c r="H852" s="17"/>
      <c r="I852" s="262"/>
      <c r="J852" s="262"/>
      <c r="K852" s="262"/>
      <c r="L852" s="262"/>
      <c r="M852" s="262"/>
    </row>
    <row r="853">
      <c r="A853" s="255" t="str">
        <f>IFERROR(__xludf.DUMMYFUNCTION("""COMPUTED_VALUE"""),"NANO")</f>
        <v>NANO</v>
      </c>
      <c r="B853" s="23" t="str">
        <f>IFERROR(__xludf.DUMMYFUNCTION("""COMPUTED_VALUE"""),"Vio_ku")</f>
        <v>Vio_ku</v>
      </c>
      <c r="C853" s="257" t="str">
        <f>IFERROR(__xludf.DUMMYFUNCTION("""COMPUTED_VALUE"""),"https://www.tiktok.com/@Vio_ku")</f>
        <v>https://www.tiktok.com/@Vio_ku</v>
      </c>
      <c r="D853" s="23">
        <f>IFERROR(__xludf.DUMMYFUNCTION("""COMPUTED_VALUE"""),8.5641655939E10)</f>
        <v>85641655939</v>
      </c>
      <c r="E853" s="457">
        <f>IFERROR(__xludf.DUMMYFUNCTION("""COMPUTED_VALUE"""),100000.0)</f>
        <v>100000</v>
      </c>
      <c r="F853" s="270">
        <f>IFERROR(__xludf.DUMMYFUNCTION("""COMPUTED_VALUE"""),3.0)</f>
        <v>3</v>
      </c>
      <c r="G853" s="17" t="str">
        <f>IFERROR(__xludf.DUMMYFUNCTION("""COMPUTED_VALUE"""),"Full Set")</f>
        <v>Full Set</v>
      </c>
      <c r="H853" s="17"/>
      <c r="I853" s="262"/>
      <c r="J853" s="262"/>
      <c r="K853" s="262"/>
      <c r="L853" s="262"/>
      <c r="M853" s="262"/>
    </row>
    <row r="854">
      <c r="A854" s="255" t="str">
        <f>IFERROR(__xludf.DUMMYFUNCTION("""COMPUTED_VALUE"""),"NANO")</f>
        <v>NANO</v>
      </c>
      <c r="B854" s="23" t="str">
        <f>IFERROR(__xludf.DUMMYFUNCTION("""COMPUTED_VALUE"""),"efi7319")</f>
        <v>efi7319</v>
      </c>
      <c r="C854" s="257" t="str">
        <f>IFERROR(__xludf.DUMMYFUNCTION("""COMPUTED_VALUE"""),"https://www.tiktok.com/@efi7319")</f>
        <v>https://www.tiktok.com/@efi7319</v>
      </c>
      <c r="D854" s="23">
        <f>IFERROR(__xludf.DUMMYFUNCTION("""COMPUTED_VALUE"""),8.385770247E10)</f>
        <v>83857702470</v>
      </c>
      <c r="E854" s="457">
        <f>IFERROR(__xludf.DUMMYFUNCTION("""COMPUTED_VALUE"""),100000.0)</f>
        <v>100000</v>
      </c>
      <c r="F854" s="270">
        <f>IFERROR(__xludf.DUMMYFUNCTION("""COMPUTED_VALUE"""),3.0)</f>
        <v>3</v>
      </c>
      <c r="G854" s="17" t="str">
        <f>IFERROR(__xludf.DUMMYFUNCTION("""COMPUTED_VALUE"""),"Full Set")</f>
        <v>Full Set</v>
      </c>
      <c r="H854" s="17"/>
      <c r="I854" s="262"/>
      <c r="J854" s="262"/>
      <c r="K854" s="262"/>
      <c r="L854" s="262"/>
      <c r="M854" s="262"/>
    </row>
    <row r="855">
      <c r="A855" s="255" t="str">
        <f>IFERROR(__xludf.DUMMYFUNCTION("""COMPUTED_VALUE"""),"NANO")</f>
        <v>NANO</v>
      </c>
      <c r="B855" s="23" t="str">
        <f>IFERROR(__xludf.DUMMYFUNCTION("""COMPUTED_VALUE"""),"Yangyangg ")</f>
        <v>Yangyangg </v>
      </c>
      <c r="C855" s="257" t="str">
        <f>IFERROR(__xludf.DUMMYFUNCTION("""COMPUTED_VALUE"""),"https://www.tiktok.com/@Yangyangg ")</f>
        <v>https://www.tiktok.com/@Yangyangg </v>
      </c>
      <c r="D855" s="23">
        <f>IFERROR(__xludf.DUMMYFUNCTION("""COMPUTED_VALUE"""),8.5603651429E10)</f>
        <v>85603651429</v>
      </c>
      <c r="E855" s="457">
        <f>IFERROR(__xludf.DUMMYFUNCTION("""COMPUTED_VALUE"""),100000.0)</f>
        <v>100000</v>
      </c>
      <c r="F855" s="270">
        <f>IFERROR(__xludf.DUMMYFUNCTION("""COMPUTED_VALUE"""),3.0)</f>
        <v>3</v>
      </c>
      <c r="G855" s="17" t="str">
        <f>IFERROR(__xludf.DUMMYFUNCTION("""COMPUTED_VALUE"""),"Full Set")</f>
        <v>Full Set</v>
      </c>
      <c r="H855" s="17"/>
      <c r="I855" s="262"/>
      <c r="J855" s="262"/>
      <c r="K855" s="262"/>
      <c r="L855" s="262"/>
      <c r="M855" s="262"/>
    </row>
    <row r="856">
      <c r="A856" s="255" t="str">
        <f>IFERROR(__xludf.DUMMYFUNCTION("""COMPUTED_VALUE"""),"NANO")</f>
        <v>NANO</v>
      </c>
      <c r="B856" s="23" t="str">
        <f>IFERROR(__xludf.DUMMYFUNCTION("""COMPUTED_VALUE"""),"_rifkadwy")</f>
        <v>_rifkadwy</v>
      </c>
      <c r="C856" s="257" t="str">
        <f>IFERROR(__xludf.DUMMYFUNCTION("""COMPUTED_VALUE"""),"https://www.tiktok.com/@_rifkadwy")</f>
        <v>https://www.tiktok.com/@_rifkadwy</v>
      </c>
      <c r="D856" s="23">
        <f>IFERROR(__xludf.DUMMYFUNCTION("""COMPUTED_VALUE"""),8.5134356541E10)</f>
        <v>85134356541</v>
      </c>
      <c r="E856" s="457">
        <f>IFERROR(__xludf.DUMMYFUNCTION("""COMPUTED_VALUE"""),100000.0)</f>
        <v>100000</v>
      </c>
      <c r="F856" s="270">
        <f>IFERROR(__xludf.DUMMYFUNCTION("""COMPUTED_VALUE"""),3.0)</f>
        <v>3</v>
      </c>
      <c r="G856" s="17" t="str">
        <f>IFERROR(__xludf.DUMMYFUNCTION("""COMPUTED_VALUE"""),"Full Set")</f>
        <v>Full Set</v>
      </c>
      <c r="H856" s="17"/>
      <c r="I856" s="262"/>
      <c r="J856" s="262"/>
      <c r="K856" s="262"/>
      <c r="L856" s="262"/>
      <c r="M856" s="262"/>
    </row>
    <row r="857">
      <c r="A857" s="255" t="str">
        <f>IFERROR(__xludf.DUMMYFUNCTION("""COMPUTED_VALUE"""),"NANO")</f>
        <v>NANO</v>
      </c>
      <c r="B857" s="23" t="str">
        <f>IFERROR(__xludf.DUMMYFUNCTION("""COMPUTED_VALUE"""),"wlynov")</f>
        <v>wlynov</v>
      </c>
      <c r="C857" s="257" t="str">
        <f>IFERROR(__xludf.DUMMYFUNCTION("""COMPUTED_VALUE"""),"https://www.tiktok.com/@wlynov")</f>
        <v>https://www.tiktok.com/@wlynov</v>
      </c>
      <c r="D857" s="23">
        <f>IFERROR(__xludf.DUMMYFUNCTION("""COMPUTED_VALUE"""),8.9504499779E10)</f>
        <v>89504499779</v>
      </c>
      <c r="E857" s="457">
        <f>IFERROR(__xludf.DUMMYFUNCTION("""COMPUTED_VALUE"""),100000.0)</f>
        <v>100000</v>
      </c>
      <c r="F857" s="270">
        <f>IFERROR(__xludf.DUMMYFUNCTION("""COMPUTED_VALUE"""),3.0)</f>
        <v>3</v>
      </c>
      <c r="G857" s="17" t="str">
        <f>IFERROR(__xludf.DUMMYFUNCTION("""COMPUTED_VALUE"""),"Full Set")</f>
        <v>Full Set</v>
      </c>
      <c r="H857" s="17"/>
      <c r="I857" s="262"/>
      <c r="J857" s="262"/>
      <c r="K857" s="262"/>
      <c r="L857" s="262"/>
      <c r="M857" s="262"/>
    </row>
    <row r="858">
      <c r="A858" s="255" t="str">
        <f>IFERROR(__xludf.DUMMYFUNCTION("""COMPUTED_VALUE"""),"NANO")</f>
        <v>NANO</v>
      </c>
      <c r="B858" s="23" t="str">
        <f>IFERROR(__xludf.DUMMYFUNCTION("""COMPUTED_VALUE"""),"productskin")</f>
        <v>productskin</v>
      </c>
      <c r="C858" s="257" t="str">
        <f>IFERROR(__xludf.DUMMYFUNCTION("""COMPUTED_VALUE"""),"https://www.tiktok.com/@productskin")</f>
        <v>https://www.tiktok.com/@productskin</v>
      </c>
      <c r="D858" s="23">
        <f>IFERROR(__xludf.DUMMYFUNCTION("""COMPUTED_VALUE"""),8.5188195737E10)</f>
        <v>85188195737</v>
      </c>
      <c r="E858" s="457">
        <f>IFERROR(__xludf.DUMMYFUNCTION("""COMPUTED_VALUE"""),100000.0)</f>
        <v>100000</v>
      </c>
      <c r="F858" s="270">
        <f>IFERROR(__xludf.DUMMYFUNCTION("""COMPUTED_VALUE"""),3.0)</f>
        <v>3</v>
      </c>
      <c r="G858" s="17" t="str">
        <f>IFERROR(__xludf.DUMMYFUNCTION("""COMPUTED_VALUE"""),"Full Set")</f>
        <v>Full Set</v>
      </c>
      <c r="H858" s="17"/>
      <c r="I858" s="262"/>
      <c r="J858" s="262"/>
      <c r="K858" s="262"/>
      <c r="L858" s="262"/>
      <c r="M858" s="262"/>
    </row>
    <row r="859">
      <c r="A859" s="255" t="str">
        <f>IFERROR(__xludf.DUMMYFUNCTION("""COMPUTED_VALUE"""),"NANO")</f>
        <v>NANO</v>
      </c>
      <c r="B859" s="23" t="str">
        <f>IFERROR(__xludf.DUMMYFUNCTION("""COMPUTED_VALUE"""),"sipalingrandom08")</f>
        <v>sipalingrandom08</v>
      </c>
      <c r="C859" s="257" t="str">
        <f>IFERROR(__xludf.DUMMYFUNCTION("""COMPUTED_VALUE"""),"https://www.tiktok.com/@sipalingrandom08")</f>
        <v>https://www.tiktok.com/@sipalingrandom08</v>
      </c>
      <c r="D859" s="23">
        <f>IFERROR(__xludf.DUMMYFUNCTION("""COMPUTED_VALUE"""),8.5871129844E10)</f>
        <v>85871129844</v>
      </c>
      <c r="E859" s="457">
        <f>IFERROR(__xludf.DUMMYFUNCTION("""COMPUTED_VALUE"""),100000.0)</f>
        <v>100000</v>
      </c>
      <c r="F859" s="270">
        <f>IFERROR(__xludf.DUMMYFUNCTION("""COMPUTED_VALUE"""),3.0)</f>
        <v>3</v>
      </c>
      <c r="G859" s="17" t="str">
        <f>IFERROR(__xludf.DUMMYFUNCTION("""COMPUTED_VALUE"""),"Full Set")</f>
        <v>Full Set</v>
      </c>
      <c r="H859" s="17"/>
      <c r="I859" s="262"/>
      <c r="J859" s="262"/>
      <c r="K859" s="262"/>
      <c r="L859" s="262"/>
      <c r="M859" s="262"/>
    </row>
    <row r="860">
      <c r="A860" s="255" t="str">
        <f>IFERROR(__xludf.DUMMYFUNCTION("""COMPUTED_VALUE"""),"NANO")</f>
        <v>NANO</v>
      </c>
      <c r="B860" s="23" t="str">
        <f>IFERROR(__xludf.DUMMYFUNCTION("""COMPUTED_VALUE"""),"siputttttt39")</f>
        <v>siputttttt39</v>
      </c>
      <c r="C860" s="257" t="str">
        <f>IFERROR(__xludf.DUMMYFUNCTION("""COMPUTED_VALUE"""),"https://www.tiktok.com/@siputttttt39")</f>
        <v>https://www.tiktok.com/@siputttttt39</v>
      </c>
      <c r="D860" s="23">
        <f>IFERROR(__xludf.DUMMYFUNCTION("""COMPUTED_VALUE"""),8.9519204098E10)</f>
        <v>89519204098</v>
      </c>
      <c r="E860" s="457">
        <f>IFERROR(__xludf.DUMMYFUNCTION("""COMPUTED_VALUE"""),100000.0)</f>
        <v>100000</v>
      </c>
      <c r="F860" s="270">
        <f>IFERROR(__xludf.DUMMYFUNCTION("""COMPUTED_VALUE"""),3.0)</f>
        <v>3</v>
      </c>
      <c r="G860" s="17" t="str">
        <f>IFERROR(__xludf.DUMMYFUNCTION("""COMPUTED_VALUE"""),"Full Set")</f>
        <v>Full Set</v>
      </c>
      <c r="H860" s="17"/>
      <c r="I860" s="262"/>
      <c r="J860" s="262"/>
      <c r="K860" s="262"/>
      <c r="L860" s="262"/>
      <c r="M860" s="262"/>
    </row>
    <row r="861">
      <c r="A861" s="255" t="str">
        <f>IFERROR(__xludf.DUMMYFUNCTION("""COMPUTED_VALUE"""),"NANO")</f>
        <v>NANO</v>
      </c>
      <c r="B861" s="23" t="str">
        <f>IFERROR(__xludf.DUMMYFUNCTION("""COMPUTED_VALUE"""),"illona1230")</f>
        <v>illona1230</v>
      </c>
      <c r="C861" s="257" t="str">
        <f>IFERROR(__xludf.DUMMYFUNCTION("""COMPUTED_VALUE"""),"https://www.tiktok.com/@illona1230")</f>
        <v>https://www.tiktok.com/@illona1230</v>
      </c>
      <c r="D861" s="23">
        <f>IFERROR(__xludf.DUMMYFUNCTION("""COMPUTED_VALUE"""),8.811350417E9)</f>
        <v>8811350417</v>
      </c>
      <c r="E861" s="457">
        <f>IFERROR(__xludf.DUMMYFUNCTION("""COMPUTED_VALUE"""),100000.0)</f>
        <v>100000</v>
      </c>
      <c r="F861" s="270">
        <f>IFERROR(__xludf.DUMMYFUNCTION("""COMPUTED_VALUE"""),3.0)</f>
        <v>3</v>
      </c>
      <c r="G861" s="17" t="str">
        <f>IFERROR(__xludf.DUMMYFUNCTION("""COMPUTED_VALUE"""),"Full Set")</f>
        <v>Full Set</v>
      </c>
      <c r="H861" s="17"/>
      <c r="I861" s="262"/>
      <c r="J861" s="262"/>
      <c r="K861" s="262"/>
      <c r="L861" s="262"/>
      <c r="M861" s="262"/>
    </row>
    <row r="862">
      <c r="A862" s="255" t="str">
        <f>IFERROR(__xludf.DUMMYFUNCTION("""COMPUTED_VALUE"""),"NANO")</f>
        <v>NANO</v>
      </c>
      <c r="B862" s="23" t="str">
        <f>IFERROR(__xludf.DUMMYFUNCTION("""COMPUTED_VALUE"""),"animar.jafar")</f>
        <v>animar.jafar</v>
      </c>
      <c r="C862" s="257" t="str">
        <f>IFERROR(__xludf.DUMMYFUNCTION("""COMPUTED_VALUE"""),"https://www.tiktok.com/@animar.jafar")</f>
        <v>https://www.tiktok.com/@animar.jafar</v>
      </c>
      <c r="D862" s="23">
        <f>IFERROR(__xludf.DUMMYFUNCTION("""COMPUTED_VALUE"""),8.1261859939E10)</f>
        <v>81261859939</v>
      </c>
      <c r="E862" s="457">
        <f>IFERROR(__xludf.DUMMYFUNCTION("""COMPUTED_VALUE"""),100000.0)</f>
        <v>100000</v>
      </c>
      <c r="F862" s="270">
        <f>IFERROR(__xludf.DUMMYFUNCTION("""COMPUTED_VALUE"""),3.0)</f>
        <v>3</v>
      </c>
      <c r="G862" s="17" t="str">
        <f>IFERROR(__xludf.DUMMYFUNCTION("""COMPUTED_VALUE"""),"Full Set")</f>
        <v>Full Set</v>
      </c>
      <c r="H862" s="17"/>
      <c r="I862" s="262"/>
      <c r="J862" s="262"/>
      <c r="K862" s="262"/>
      <c r="L862" s="262"/>
      <c r="M862" s="262"/>
    </row>
    <row r="863">
      <c r="A863" s="255" t="str">
        <f>IFERROR(__xludf.DUMMYFUNCTION("""COMPUTED_VALUE"""),"NANO")</f>
        <v>NANO</v>
      </c>
      <c r="B863" s="23" t="str">
        <f>IFERROR(__xludf.DUMMYFUNCTION("""COMPUTED_VALUE"""),"resyaputri86")</f>
        <v>resyaputri86</v>
      </c>
      <c r="C863" s="257" t="str">
        <f>IFERROR(__xludf.DUMMYFUNCTION("""COMPUTED_VALUE"""),"https://www.tiktok.com/@resyaputri86")</f>
        <v>https://www.tiktok.com/@resyaputri86</v>
      </c>
      <c r="D863" s="23">
        <f>IFERROR(__xludf.DUMMYFUNCTION("""COMPUTED_VALUE"""),8.5664381203E10)</f>
        <v>85664381203</v>
      </c>
      <c r="E863" s="457">
        <f>IFERROR(__xludf.DUMMYFUNCTION("""COMPUTED_VALUE"""),100000.0)</f>
        <v>100000</v>
      </c>
      <c r="F863" s="270">
        <f>IFERROR(__xludf.DUMMYFUNCTION("""COMPUTED_VALUE"""),3.0)</f>
        <v>3</v>
      </c>
      <c r="G863" s="17" t="str">
        <f>IFERROR(__xludf.DUMMYFUNCTION("""COMPUTED_VALUE"""),"Full Set")</f>
        <v>Full Set</v>
      </c>
      <c r="H863" s="17"/>
      <c r="I863" s="262"/>
      <c r="J863" s="262"/>
      <c r="K863" s="262"/>
      <c r="L863" s="262"/>
      <c r="M863" s="262"/>
    </row>
    <row r="864">
      <c r="A864" s="255" t="str">
        <f>IFERROR(__xludf.DUMMYFUNCTION("""COMPUTED_VALUE"""),"NANO")</f>
        <v>NANO</v>
      </c>
      <c r="B864" s="23" t="str">
        <f>IFERROR(__xludf.DUMMYFUNCTION("""COMPUTED_VALUE"""),"allviyafirmansyah")</f>
        <v>allviyafirmansyah</v>
      </c>
      <c r="C864" s="257" t="str">
        <f>IFERROR(__xludf.DUMMYFUNCTION("""COMPUTED_VALUE"""),"https://www.tiktok.com/@allviyafirmansyah")</f>
        <v>https://www.tiktok.com/@allviyafirmansyah</v>
      </c>
      <c r="D864" s="23">
        <f>IFERROR(__xludf.DUMMYFUNCTION("""COMPUTED_VALUE"""),8.31031331E10)</f>
        <v>83103133100</v>
      </c>
      <c r="E864" s="457">
        <f>IFERROR(__xludf.DUMMYFUNCTION("""COMPUTED_VALUE"""),100000.0)</f>
        <v>100000</v>
      </c>
      <c r="F864" s="270">
        <f>IFERROR(__xludf.DUMMYFUNCTION("""COMPUTED_VALUE"""),3.0)</f>
        <v>3</v>
      </c>
      <c r="G864" s="17" t="str">
        <f>IFERROR(__xludf.DUMMYFUNCTION("""COMPUTED_VALUE"""),"Full Set")</f>
        <v>Full Set</v>
      </c>
      <c r="H864" s="17"/>
      <c r="I864" s="262"/>
      <c r="J864" s="262"/>
      <c r="K864" s="262"/>
      <c r="L864" s="262"/>
      <c r="M864" s="262"/>
    </row>
    <row r="865">
      <c r="A865" s="255" t="str">
        <f>IFERROR(__xludf.DUMMYFUNCTION("""COMPUTED_VALUE"""),"NANO")</f>
        <v>NANO</v>
      </c>
      <c r="B865" s="23" t="str">
        <f>IFERROR(__xludf.DUMMYFUNCTION("""COMPUTED_VALUE"""),"Widiaaa_mnz")</f>
        <v>Widiaaa_mnz</v>
      </c>
      <c r="C865" s="257" t="str">
        <f>IFERROR(__xludf.DUMMYFUNCTION("""COMPUTED_VALUE"""),"https://www.tiktok.com/@Widiaaa_mnz")</f>
        <v>https://www.tiktok.com/@Widiaaa_mnz</v>
      </c>
      <c r="D865" s="23">
        <f>IFERROR(__xludf.DUMMYFUNCTION("""COMPUTED_VALUE"""),9.5126732085E10)</f>
        <v>95126732085</v>
      </c>
      <c r="E865" s="457">
        <f>IFERROR(__xludf.DUMMYFUNCTION("""COMPUTED_VALUE"""),100000.0)</f>
        <v>100000</v>
      </c>
      <c r="F865" s="270">
        <f>IFERROR(__xludf.DUMMYFUNCTION("""COMPUTED_VALUE"""),3.0)</f>
        <v>3</v>
      </c>
      <c r="G865" s="17" t="str">
        <f>IFERROR(__xludf.DUMMYFUNCTION("""COMPUTED_VALUE"""),"Full Set")</f>
        <v>Full Set</v>
      </c>
      <c r="H865" s="17"/>
      <c r="I865" s="262"/>
      <c r="J865" s="262"/>
      <c r="K865" s="262"/>
      <c r="L865" s="262"/>
      <c r="M865" s="262"/>
    </row>
    <row r="866">
      <c r="A866" s="255" t="str">
        <f>IFERROR(__xludf.DUMMYFUNCTION("""COMPUTED_VALUE"""),"NANO")</f>
        <v>NANO</v>
      </c>
      <c r="B866" s="23" t="str">
        <f>IFERROR(__xludf.DUMMYFUNCTION("""COMPUTED_VALUE"""),"Rismamsyyy")</f>
        <v>Rismamsyyy</v>
      </c>
      <c r="C866" s="257" t="str">
        <f>IFERROR(__xludf.DUMMYFUNCTION("""COMPUTED_VALUE"""),"https://www.tiktok.com/@Rismamsyyy")</f>
        <v>https://www.tiktok.com/@Rismamsyyy</v>
      </c>
      <c r="D866" s="23">
        <f>IFERROR(__xludf.DUMMYFUNCTION("""COMPUTED_VALUE"""),8.1222604435E10)</f>
        <v>81222604435</v>
      </c>
      <c r="E866" s="457">
        <f>IFERROR(__xludf.DUMMYFUNCTION("""COMPUTED_VALUE"""),100000.0)</f>
        <v>100000</v>
      </c>
      <c r="F866" s="270">
        <f>IFERROR(__xludf.DUMMYFUNCTION("""COMPUTED_VALUE"""),3.0)</f>
        <v>3</v>
      </c>
      <c r="G866" s="17" t="str">
        <f>IFERROR(__xludf.DUMMYFUNCTION("""COMPUTED_VALUE"""),"Full Set")</f>
        <v>Full Set</v>
      </c>
      <c r="H866" s="17"/>
      <c r="I866" s="262"/>
      <c r="J866" s="262"/>
      <c r="K866" s="262"/>
      <c r="L866" s="262"/>
      <c r="M866" s="262"/>
    </row>
    <row r="867">
      <c r="A867" s="255" t="str">
        <f>IFERROR(__xludf.DUMMYFUNCTION("""COMPUTED_VALUE"""),"NANO")</f>
        <v>NANO</v>
      </c>
      <c r="B867" s="23" t="str">
        <f>IFERROR(__xludf.DUMMYFUNCTION("""COMPUTED_VALUE"""),"imi1__")</f>
        <v>imi1__</v>
      </c>
      <c r="C867" s="257" t="str">
        <f>IFERROR(__xludf.DUMMYFUNCTION("""COMPUTED_VALUE"""),"https://www.tiktok.com/@imi1__")</f>
        <v>https://www.tiktok.com/@imi1__</v>
      </c>
      <c r="D867" s="23">
        <f>IFERROR(__xludf.DUMMYFUNCTION("""COMPUTED_VALUE"""),8.9668031952E10)</f>
        <v>89668031952</v>
      </c>
      <c r="E867" s="457">
        <f>IFERROR(__xludf.DUMMYFUNCTION("""COMPUTED_VALUE"""),0.0)</f>
        <v>0</v>
      </c>
      <c r="F867" s="270">
        <f>IFERROR(__xludf.DUMMYFUNCTION("""COMPUTED_VALUE"""),4.0)</f>
        <v>4</v>
      </c>
      <c r="G867" s="17" t="str">
        <f>IFERROR(__xludf.DUMMYFUNCTION("""COMPUTED_VALUE"""),"Full Set")</f>
        <v>Full Set</v>
      </c>
      <c r="H867" s="17"/>
      <c r="I867" s="262"/>
      <c r="J867" s="262"/>
      <c r="K867" s="262"/>
      <c r="L867" s="262"/>
      <c r="M867" s="262"/>
    </row>
    <row r="868">
      <c r="A868" s="255" t="str">
        <f>IFERROR(__xludf.DUMMYFUNCTION("""COMPUTED_VALUE"""),"NANO")</f>
        <v>NANO</v>
      </c>
      <c r="B868" s="23" t="str">
        <f>IFERROR(__xludf.DUMMYFUNCTION("""COMPUTED_VALUE"""),"Mamacilla1407")</f>
        <v>Mamacilla1407</v>
      </c>
      <c r="C868" s="257" t="str">
        <f>IFERROR(__xludf.DUMMYFUNCTION("""COMPUTED_VALUE"""),"https://www.tiktok.com/@Mamacilla1407")</f>
        <v>https://www.tiktok.com/@Mamacilla1407</v>
      </c>
      <c r="D868" s="23">
        <f>IFERROR(__xludf.DUMMYFUNCTION("""COMPUTED_VALUE"""),8.525866603E10)</f>
        <v>85258666030</v>
      </c>
      <c r="E868" s="457">
        <f>IFERROR(__xludf.DUMMYFUNCTION("""COMPUTED_VALUE"""),0.0)</f>
        <v>0</v>
      </c>
      <c r="F868" s="270">
        <f>IFERROR(__xludf.DUMMYFUNCTION("""COMPUTED_VALUE"""),4.0)</f>
        <v>4</v>
      </c>
      <c r="G868" s="17" t="str">
        <f>IFERROR(__xludf.DUMMYFUNCTION("""COMPUTED_VALUE"""),"Full Set")</f>
        <v>Full Set</v>
      </c>
      <c r="H868" s="17"/>
      <c r="I868" s="262"/>
      <c r="J868" s="262"/>
      <c r="K868" s="262"/>
      <c r="L868" s="262"/>
      <c r="M868" s="262"/>
    </row>
    <row r="869">
      <c r="A869" s="255" t="str">
        <f>IFERROR(__xludf.DUMMYFUNCTION("""COMPUTED_VALUE"""),"NANO")</f>
        <v>NANO</v>
      </c>
      <c r="B869" s="23" t="str">
        <f>IFERROR(__xludf.DUMMYFUNCTION("""COMPUTED_VALUE"""),"ffazzahro")</f>
        <v>ffazzahro</v>
      </c>
      <c r="C869" s="257" t="str">
        <f>IFERROR(__xludf.DUMMYFUNCTION("""COMPUTED_VALUE"""),"https://www.tiktok.com/@ffazzahro")</f>
        <v>https://www.tiktok.com/@ffazzahro</v>
      </c>
      <c r="D869" s="23">
        <f>IFERROR(__xludf.DUMMYFUNCTION("""COMPUTED_VALUE"""),8.5156294685E10)</f>
        <v>85156294685</v>
      </c>
      <c r="E869" s="457">
        <f>IFERROR(__xludf.DUMMYFUNCTION("""COMPUTED_VALUE"""),0.0)</f>
        <v>0</v>
      </c>
      <c r="F869" s="270">
        <f>IFERROR(__xludf.DUMMYFUNCTION("""COMPUTED_VALUE"""),4.0)</f>
        <v>4</v>
      </c>
      <c r="G869" s="17" t="str">
        <f>IFERROR(__xludf.DUMMYFUNCTION("""COMPUTED_VALUE"""),"Full Set")</f>
        <v>Full Set</v>
      </c>
      <c r="H869" s="17"/>
      <c r="I869" s="262"/>
      <c r="J869" s="262"/>
      <c r="K869" s="262"/>
      <c r="L869" s="262"/>
      <c r="M869" s="262"/>
    </row>
    <row r="870">
      <c r="A870" s="255" t="str">
        <f>IFERROR(__xludf.DUMMYFUNCTION("""COMPUTED_VALUE"""),"NANO")</f>
        <v>NANO</v>
      </c>
      <c r="B870" s="23" t="str">
        <f>IFERROR(__xludf.DUMMYFUNCTION("""COMPUTED_VALUE"""),"im_ayaaa41")</f>
        <v>im_ayaaa41</v>
      </c>
      <c r="C870" s="257" t="str">
        <f>IFERROR(__xludf.DUMMYFUNCTION("""COMPUTED_VALUE"""),"https://www.tiktok.com/@im_ayaaa41")</f>
        <v>https://www.tiktok.com/@im_ayaaa41</v>
      </c>
      <c r="D870" s="23">
        <f>IFERROR(__xludf.DUMMYFUNCTION("""COMPUTED_VALUE"""),8.3863654998E10)</f>
        <v>83863654998</v>
      </c>
      <c r="E870" s="457">
        <f>IFERROR(__xludf.DUMMYFUNCTION("""COMPUTED_VALUE"""),0.0)</f>
        <v>0</v>
      </c>
      <c r="F870" s="270">
        <f>IFERROR(__xludf.DUMMYFUNCTION("""COMPUTED_VALUE"""),4.0)</f>
        <v>4</v>
      </c>
      <c r="G870" s="17" t="str">
        <f>IFERROR(__xludf.DUMMYFUNCTION("""COMPUTED_VALUE"""),"Full Set")</f>
        <v>Full Set</v>
      </c>
      <c r="H870" s="17"/>
      <c r="I870" s="262"/>
      <c r="J870" s="262"/>
      <c r="K870" s="262"/>
      <c r="L870" s="262"/>
      <c r="M870" s="262"/>
    </row>
    <row r="871">
      <c r="A871" s="255" t="str">
        <f>IFERROR(__xludf.DUMMYFUNCTION("""COMPUTED_VALUE"""),"NANO")</f>
        <v>NANO</v>
      </c>
      <c r="B871" s="23" t="str">
        <f>IFERROR(__xludf.DUMMYFUNCTION("""COMPUTED_VALUE"""),"medina_aleaa")</f>
        <v>medina_aleaa</v>
      </c>
      <c r="C871" s="257" t="str">
        <f>IFERROR(__xludf.DUMMYFUNCTION("""COMPUTED_VALUE"""),"https://www.tiktok.com/@medina_aleaa")</f>
        <v>https://www.tiktok.com/@medina_aleaa</v>
      </c>
      <c r="D871" s="23">
        <f>IFERROR(__xludf.DUMMYFUNCTION("""COMPUTED_VALUE"""),8.5941923523E10)</f>
        <v>85941923523</v>
      </c>
      <c r="E871" s="457">
        <f>IFERROR(__xludf.DUMMYFUNCTION("""COMPUTED_VALUE"""),0.0)</f>
        <v>0</v>
      </c>
      <c r="F871" s="270">
        <f>IFERROR(__xludf.DUMMYFUNCTION("""COMPUTED_VALUE"""),4.0)</f>
        <v>4</v>
      </c>
      <c r="G871" s="17" t="str">
        <f>IFERROR(__xludf.DUMMYFUNCTION("""COMPUTED_VALUE"""),"Full Set")</f>
        <v>Full Set</v>
      </c>
      <c r="H871" s="17"/>
      <c r="I871" s="262"/>
      <c r="J871" s="262"/>
      <c r="K871" s="262"/>
      <c r="L871" s="262"/>
      <c r="M871" s="262"/>
    </row>
    <row r="872">
      <c r="A872" s="255" t="str">
        <f>IFERROR(__xludf.DUMMYFUNCTION("""COMPUTED_VALUE"""),"NANO")</f>
        <v>NANO</v>
      </c>
      <c r="B872" s="23" t="str">
        <f>IFERROR(__xludf.DUMMYFUNCTION("""COMPUTED_VALUE"""),"amilaamshol ")</f>
        <v>amilaamshol </v>
      </c>
      <c r="C872" s="257" t="str">
        <f>IFERROR(__xludf.DUMMYFUNCTION("""COMPUTED_VALUE"""),"https://www.tiktok.com/@amilaamshol ")</f>
        <v>https://www.tiktok.com/@amilaamshol </v>
      </c>
      <c r="D872" s="23">
        <f>IFERROR(__xludf.DUMMYFUNCTION("""COMPUTED_VALUE"""),8.3189861369E10)</f>
        <v>83189861369</v>
      </c>
      <c r="E872" s="457">
        <f>IFERROR(__xludf.DUMMYFUNCTION("""COMPUTED_VALUE"""),0.0)</f>
        <v>0</v>
      </c>
      <c r="F872" s="270">
        <f>IFERROR(__xludf.DUMMYFUNCTION("""COMPUTED_VALUE"""),4.0)</f>
        <v>4</v>
      </c>
      <c r="G872" s="17" t="str">
        <f>IFERROR(__xludf.DUMMYFUNCTION("""COMPUTED_VALUE"""),"Full Set")</f>
        <v>Full Set</v>
      </c>
      <c r="H872" s="17"/>
      <c r="I872" s="262"/>
      <c r="J872" s="262"/>
      <c r="K872" s="262"/>
      <c r="L872" s="262"/>
      <c r="M872" s="262"/>
    </row>
    <row r="873">
      <c r="A873" s="255" t="str">
        <f>IFERROR(__xludf.DUMMYFUNCTION("""COMPUTED_VALUE"""),"NANO")</f>
        <v>NANO</v>
      </c>
      <c r="B873" s="23" t="str">
        <f>IFERROR(__xludf.DUMMYFUNCTION("""COMPUTED_VALUE"""),"bellvaa9")</f>
        <v>bellvaa9</v>
      </c>
      <c r="C873" s="257" t="str">
        <f>IFERROR(__xludf.DUMMYFUNCTION("""COMPUTED_VALUE"""),"https://www.tiktok.com/@bellvaa9")</f>
        <v>https://www.tiktok.com/@bellvaa9</v>
      </c>
      <c r="D873" s="23">
        <f>IFERROR(__xludf.DUMMYFUNCTION("""COMPUTED_VALUE"""),8.7730000622E10)</f>
        <v>87730000622</v>
      </c>
      <c r="E873" s="457">
        <f>IFERROR(__xludf.DUMMYFUNCTION("""COMPUTED_VALUE"""),0.0)</f>
        <v>0</v>
      </c>
      <c r="F873" s="270">
        <f>IFERROR(__xludf.DUMMYFUNCTION("""COMPUTED_VALUE"""),4.0)</f>
        <v>4</v>
      </c>
      <c r="G873" s="17" t="str">
        <f>IFERROR(__xludf.DUMMYFUNCTION("""COMPUTED_VALUE"""),"Full Set")</f>
        <v>Full Set</v>
      </c>
      <c r="H873" s="17"/>
      <c r="I873" s="262"/>
      <c r="J873" s="262"/>
      <c r="K873" s="262"/>
      <c r="L873" s="262"/>
      <c r="M873" s="262"/>
    </row>
    <row r="874">
      <c r="A874" s="255" t="str">
        <f>IFERROR(__xludf.DUMMYFUNCTION("""COMPUTED_VALUE"""),"NANO")</f>
        <v>NANO</v>
      </c>
      <c r="B874" s="23" t="str">
        <f>IFERROR(__xludf.DUMMYFUNCTION("""COMPUTED_VALUE"""),"Racunyaulfaaa")</f>
        <v>Racunyaulfaaa</v>
      </c>
      <c r="C874" s="257" t="str">
        <f>IFERROR(__xludf.DUMMYFUNCTION("""COMPUTED_VALUE"""),"https://www.tiktok.com/@Racunyaulfaaa")</f>
        <v>https://www.tiktok.com/@Racunyaulfaaa</v>
      </c>
      <c r="D874" s="23">
        <f>IFERROR(__xludf.DUMMYFUNCTION("""COMPUTED_VALUE"""),8.1234256226E10)</f>
        <v>81234256226</v>
      </c>
      <c r="E874" s="457">
        <f>IFERROR(__xludf.DUMMYFUNCTION("""COMPUTED_VALUE"""),0.0)</f>
        <v>0</v>
      </c>
      <c r="F874" s="270">
        <f>IFERROR(__xludf.DUMMYFUNCTION("""COMPUTED_VALUE"""),4.0)</f>
        <v>4</v>
      </c>
      <c r="G874" s="17" t="str">
        <f>IFERROR(__xludf.DUMMYFUNCTION("""COMPUTED_VALUE"""),"Full Set")</f>
        <v>Full Set</v>
      </c>
      <c r="H874" s="17"/>
      <c r="I874" s="262"/>
      <c r="J874" s="262"/>
      <c r="K874" s="262"/>
      <c r="L874" s="262"/>
      <c r="M874" s="262"/>
    </row>
    <row r="875">
      <c r="A875" s="255" t="str">
        <f>IFERROR(__xludf.DUMMYFUNCTION("""COMPUTED_VALUE"""),"MICRO")</f>
        <v>MICRO</v>
      </c>
      <c r="B875" s="23" t="str">
        <f>IFERROR(__xludf.DUMMYFUNCTION("""COMPUTED_VALUE"""),"alvenda_")</f>
        <v>alvenda_</v>
      </c>
      <c r="C875" s="257" t="str">
        <f>IFERROR(__xludf.DUMMYFUNCTION("""COMPUTED_VALUE"""),"https://www.tiktok.com/@alvenda_")</f>
        <v>https://www.tiktok.com/@alvenda_</v>
      </c>
      <c r="D875" s="23">
        <f>IFERROR(__xludf.DUMMYFUNCTION("""COMPUTED_VALUE"""),8.3894910528E10)</f>
        <v>83894910528</v>
      </c>
      <c r="E875" s="457">
        <f>IFERROR(__xludf.DUMMYFUNCTION("""COMPUTED_VALUE"""),0.0)</f>
        <v>0</v>
      </c>
      <c r="F875" s="270">
        <f>IFERROR(__xludf.DUMMYFUNCTION("""COMPUTED_VALUE"""),4.0)</f>
        <v>4</v>
      </c>
      <c r="G875" s="17" t="str">
        <f>IFERROR(__xludf.DUMMYFUNCTION("""COMPUTED_VALUE"""),"Full Set")</f>
        <v>Full Set</v>
      </c>
      <c r="H875" s="17"/>
      <c r="I875" s="262"/>
      <c r="J875" s="262"/>
      <c r="K875" s="262"/>
      <c r="L875" s="262"/>
      <c r="M875" s="262"/>
    </row>
    <row r="876">
      <c r="A876" s="255" t="str">
        <f>IFERROR(__xludf.DUMMYFUNCTION("""COMPUTED_VALUE"""),"NANO")</f>
        <v>NANO</v>
      </c>
      <c r="B876" s="23" t="str">
        <f>IFERROR(__xludf.DUMMYFUNCTION("""COMPUTED_VALUE"""),"morningstars_81")</f>
        <v>morningstars_81</v>
      </c>
      <c r="C876" s="257" t="str">
        <f>IFERROR(__xludf.DUMMYFUNCTION("""COMPUTED_VALUE"""),"https://www.tiktok.com/@morningstars_81")</f>
        <v>https://www.tiktok.com/@morningstars_81</v>
      </c>
      <c r="D876" s="23">
        <f>IFERROR(__xludf.DUMMYFUNCTION("""COMPUTED_VALUE"""),8.5220298033E10)</f>
        <v>85220298033</v>
      </c>
      <c r="E876" s="457">
        <f>IFERROR(__xludf.DUMMYFUNCTION("""COMPUTED_VALUE"""),0.0)</f>
        <v>0</v>
      </c>
      <c r="F876" s="270">
        <f>IFERROR(__xludf.DUMMYFUNCTION("""COMPUTED_VALUE"""),4.0)</f>
        <v>4</v>
      </c>
      <c r="G876" s="17" t="str">
        <f>IFERROR(__xludf.DUMMYFUNCTION("""COMPUTED_VALUE"""),"Full Set")</f>
        <v>Full Set</v>
      </c>
      <c r="H876" s="17"/>
      <c r="I876" s="262"/>
      <c r="J876" s="262"/>
      <c r="K876" s="262"/>
      <c r="L876" s="262"/>
      <c r="M876" s="262"/>
    </row>
    <row r="877">
      <c r="A877" s="255" t="str">
        <f>IFERROR(__xludf.DUMMYFUNCTION("""COMPUTED_VALUE"""),"MICRO")</f>
        <v>MICRO</v>
      </c>
      <c r="B877" s="23" t="str">
        <f>IFERROR(__xludf.DUMMYFUNCTION("""COMPUTED_VALUE"""),"ayurasendriya ")</f>
        <v>ayurasendriya </v>
      </c>
      <c r="C877" s="257" t="str">
        <f>IFERROR(__xludf.DUMMYFUNCTION("""COMPUTED_VALUE"""),"https://www.tiktok.com/@ayurasendriya ")</f>
        <v>https://www.tiktok.com/@ayurasendriya </v>
      </c>
      <c r="D877" s="23">
        <f>IFERROR(__xludf.DUMMYFUNCTION("""COMPUTED_VALUE"""),8.8215516407E10)</f>
        <v>88215516407</v>
      </c>
      <c r="E877" s="457">
        <f>IFERROR(__xludf.DUMMYFUNCTION("""COMPUTED_VALUE"""),0.0)</f>
        <v>0</v>
      </c>
      <c r="F877" s="270">
        <f>IFERROR(__xludf.DUMMYFUNCTION("""COMPUTED_VALUE"""),4.0)</f>
        <v>4</v>
      </c>
      <c r="G877" s="17" t="str">
        <f>IFERROR(__xludf.DUMMYFUNCTION("""COMPUTED_VALUE"""),"Full Set")</f>
        <v>Full Set</v>
      </c>
      <c r="H877" s="17"/>
      <c r="I877" s="262"/>
      <c r="J877" s="262"/>
      <c r="K877" s="262"/>
      <c r="L877" s="262"/>
      <c r="M877" s="262"/>
    </row>
    <row r="878">
      <c r="A878" s="255" t="str">
        <f>IFERROR(__xludf.DUMMYFUNCTION("""COMPUTED_VALUE"""),"NANO")</f>
        <v>NANO</v>
      </c>
      <c r="B878" s="23" t="str">
        <f>IFERROR(__xludf.DUMMYFUNCTION("""COMPUTED_VALUE"""),"fadzilah.nr_")</f>
        <v>fadzilah.nr_</v>
      </c>
      <c r="C878" s="257" t="str">
        <f>IFERROR(__xludf.DUMMYFUNCTION("""COMPUTED_VALUE"""),"https://www.tiktok.com/@fadzilah.nr_")</f>
        <v>https://www.tiktok.com/@fadzilah.nr_</v>
      </c>
      <c r="D878" s="23">
        <f>IFERROR(__xludf.DUMMYFUNCTION("""COMPUTED_VALUE"""),8.1228836501E10)</f>
        <v>81228836501</v>
      </c>
      <c r="E878" s="457">
        <f>IFERROR(__xludf.DUMMYFUNCTION("""COMPUTED_VALUE"""),0.0)</f>
        <v>0</v>
      </c>
      <c r="F878" s="270">
        <f>IFERROR(__xludf.DUMMYFUNCTION("""COMPUTED_VALUE"""),4.0)</f>
        <v>4</v>
      </c>
      <c r="G878" s="17" t="str">
        <f>IFERROR(__xludf.DUMMYFUNCTION("""COMPUTED_VALUE"""),"Full Set")</f>
        <v>Full Set</v>
      </c>
      <c r="H878" s="17"/>
      <c r="I878" s="262"/>
      <c r="J878" s="262"/>
      <c r="K878" s="262"/>
      <c r="L878" s="262"/>
      <c r="M878" s="262"/>
    </row>
    <row r="879">
      <c r="A879" s="255" t="str">
        <f>IFERROR(__xludf.DUMMYFUNCTION("""COMPUTED_VALUE"""),"NANO")</f>
        <v>NANO</v>
      </c>
      <c r="B879" s="23" t="str">
        <f>IFERROR(__xludf.DUMMYFUNCTION("""COMPUTED_VALUE"""),"dian_ranti_")</f>
        <v>dian_ranti_</v>
      </c>
      <c r="C879" s="257" t="str">
        <f>IFERROR(__xludf.DUMMYFUNCTION("""COMPUTED_VALUE"""),"https://www.tiktok.com/@dian_ranti_")</f>
        <v>https://www.tiktok.com/@dian_ranti_</v>
      </c>
      <c r="D879" s="23">
        <f>IFERROR(__xludf.DUMMYFUNCTION("""COMPUTED_VALUE"""),8.78692199E10)</f>
        <v>87869219900</v>
      </c>
      <c r="E879" s="457">
        <f>IFERROR(__xludf.DUMMYFUNCTION("""COMPUTED_VALUE"""),0.0)</f>
        <v>0</v>
      </c>
      <c r="F879" s="270">
        <f>IFERROR(__xludf.DUMMYFUNCTION("""COMPUTED_VALUE"""),4.0)</f>
        <v>4</v>
      </c>
      <c r="G879" s="17" t="str">
        <f>IFERROR(__xludf.DUMMYFUNCTION("""COMPUTED_VALUE"""),"Full Set")</f>
        <v>Full Set</v>
      </c>
      <c r="H879" s="17"/>
      <c r="I879" s="262"/>
      <c r="J879" s="262"/>
      <c r="K879" s="262"/>
      <c r="L879" s="262"/>
      <c r="M879" s="262"/>
    </row>
    <row r="880">
      <c r="A880" s="255" t="str">
        <f>IFERROR(__xludf.DUMMYFUNCTION("""COMPUTED_VALUE"""),"NANO")</f>
        <v>NANO</v>
      </c>
      <c r="B880" s="23" t="str">
        <f>IFERROR(__xludf.DUMMYFUNCTION("""COMPUTED_VALUE"""),"macitosss")</f>
        <v>macitosss</v>
      </c>
      <c r="C880" s="257" t="str">
        <f>IFERROR(__xludf.DUMMYFUNCTION("""COMPUTED_VALUE"""),"https://www.tiktok.com/@macitosss")</f>
        <v>https://www.tiktok.com/@macitosss</v>
      </c>
      <c r="D880" s="23">
        <f>IFERROR(__xludf.DUMMYFUNCTION("""COMPUTED_VALUE"""),8.1999220613E10)</f>
        <v>81999220613</v>
      </c>
      <c r="E880" s="457">
        <f>IFERROR(__xludf.DUMMYFUNCTION("""COMPUTED_VALUE"""),0.0)</f>
        <v>0</v>
      </c>
      <c r="F880" s="270">
        <f>IFERROR(__xludf.DUMMYFUNCTION("""COMPUTED_VALUE"""),4.0)</f>
        <v>4</v>
      </c>
      <c r="G880" s="17" t="str">
        <f>IFERROR(__xludf.DUMMYFUNCTION("""COMPUTED_VALUE"""),"Full Set")</f>
        <v>Full Set</v>
      </c>
      <c r="H880" s="17"/>
      <c r="I880" s="262"/>
      <c r="J880" s="262"/>
      <c r="K880" s="262"/>
      <c r="L880" s="262"/>
      <c r="M880" s="262"/>
    </row>
    <row r="881">
      <c r="A881" s="255" t="str">
        <f>IFERROR(__xludf.DUMMYFUNCTION("""COMPUTED_VALUE"""),"NANO")</f>
        <v>NANO</v>
      </c>
      <c r="B881" s="23" t="str">
        <f>IFERROR(__xludf.DUMMYFUNCTION("""COMPUTED_VALUE"""),"ginnamega7")</f>
        <v>ginnamega7</v>
      </c>
      <c r="C881" s="257" t="str">
        <f>IFERROR(__xludf.DUMMYFUNCTION("""COMPUTED_VALUE"""),"https://www.tiktok.com/@ginnamega7")</f>
        <v>https://www.tiktok.com/@ginnamega7</v>
      </c>
      <c r="D881" s="23">
        <f>IFERROR(__xludf.DUMMYFUNCTION("""COMPUTED_VALUE"""),8.38295453E10)</f>
        <v>83829545300</v>
      </c>
      <c r="E881" s="457">
        <f>IFERROR(__xludf.DUMMYFUNCTION("""COMPUTED_VALUE"""),0.0)</f>
        <v>0</v>
      </c>
      <c r="F881" s="270">
        <f>IFERROR(__xludf.DUMMYFUNCTION("""COMPUTED_VALUE"""),4.0)</f>
        <v>4</v>
      </c>
      <c r="G881" s="17" t="str">
        <f>IFERROR(__xludf.DUMMYFUNCTION("""COMPUTED_VALUE"""),"Full Set")</f>
        <v>Full Set</v>
      </c>
      <c r="H881" s="17"/>
      <c r="I881" s="262"/>
      <c r="J881" s="262"/>
      <c r="K881" s="262"/>
      <c r="L881" s="262"/>
      <c r="M881" s="262"/>
    </row>
    <row r="882">
      <c r="A882" s="255" t="str">
        <f>IFERROR(__xludf.DUMMYFUNCTION("""COMPUTED_VALUE"""),"NANO")</f>
        <v>NANO</v>
      </c>
      <c r="B882" s="23" t="str">
        <f>IFERROR(__xludf.DUMMYFUNCTION("""COMPUTED_VALUE"""),"r_dheaanzani28")</f>
        <v>r_dheaanzani28</v>
      </c>
      <c r="C882" s="257" t="str">
        <f>IFERROR(__xludf.DUMMYFUNCTION("""COMPUTED_VALUE"""),"https://www.tiktok.com/@r_dheaanzani28")</f>
        <v>https://www.tiktok.com/@r_dheaanzani28</v>
      </c>
      <c r="D882" s="23">
        <f>IFERROR(__xludf.DUMMYFUNCTION("""COMPUTED_VALUE"""),8.5659833954E10)</f>
        <v>85659833954</v>
      </c>
      <c r="E882" s="457">
        <f>IFERROR(__xludf.DUMMYFUNCTION("""COMPUTED_VALUE"""),0.0)</f>
        <v>0</v>
      </c>
      <c r="F882" s="270">
        <f>IFERROR(__xludf.DUMMYFUNCTION("""COMPUTED_VALUE"""),4.0)</f>
        <v>4</v>
      </c>
      <c r="G882" s="17" t="str">
        <f>IFERROR(__xludf.DUMMYFUNCTION("""COMPUTED_VALUE"""),"Full Set")</f>
        <v>Full Set</v>
      </c>
      <c r="H882" s="17"/>
      <c r="I882" s="262"/>
      <c r="J882" s="262"/>
      <c r="K882" s="262"/>
      <c r="L882" s="262"/>
      <c r="M882" s="262"/>
    </row>
    <row r="883">
      <c r="A883" s="255" t="str">
        <f>IFERROR(__xludf.DUMMYFUNCTION("""COMPUTED_VALUE"""),"MICRO")</f>
        <v>MICRO</v>
      </c>
      <c r="B883" s="23" t="str">
        <f>IFERROR(__xludf.DUMMYFUNCTION("""COMPUTED_VALUE"""),"Kunyitkencur ")</f>
        <v>Kunyitkencur </v>
      </c>
      <c r="C883" s="257" t="str">
        <f>IFERROR(__xludf.DUMMYFUNCTION("""COMPUTED_VALUE"""),"https://www.tiktok.com/@Kunyitkencur ")</f>
        <v>https://www.tiktok.com/@Kunyitkencur </v>
      </c>
      <c r="D883" s="23">
        <f>IFERROR(__xludf.DUMMYFUNCTION("""COMPUTED_VALUE"""),8.2117350176E10)</f>
        <v>82117350176</v>
      </c>
      <c r="E883" s="457">
        <f>IFERROR(__xludf.DUMMYFUNCTION("""COMPUTED_VALUE"""),0.0)</f>
        <v>0</v>
      </c>
      <c r="F883" s="270">
        <f>IFERROR(__xludf.DUMMYFUNCTION("""COMPUTED_VALUE"""),4.0)</f>
        <v>4</v>
      </c>
      <c r="G883" s="17" t="str">
        <f>IFERROR(__xludf.DUMMYFUNCTION("""COMPUTED_VALUE"""),"Full Set")</f>
        <v>Full Set</v>
      </c>
      <c r="H883" s="17"/>
      <c r="I883" s="262"/>
      <c r="J883" s="262"/>
      <c r="K883" s="262"/>
      <c r="L883" s="262"/>
      <c r="M883" s="262"/>
    </row>
    <row r="884">
      <c r="A884" s="255" t="str">
        <f>IFERROR(__xludf.DUMMYFUNCTION("""COMPUTED_VALUE"""),"NANO")</f>
        <v>NANO</v>
      </c>
      <c r="B884" s="23" t="str">
        <f>IFERROR(__xludf.DUMMYFUNCTION("""COMPUTED_VALUE"""),"apipbe")</f>
        <v>apipbe</v>
      </c>
      <c r="C884" s="257" t="str">
        <f>IFERROR(__xludf.DUMMYFUNCTION("""COMPUTED_VALUE"""),"https://www.tiktok.com/@apipbe")</f>
        <v>https://www.tiktok.com/@apipbe</v>
      </c>
      <c r="D884" s="23">
        <f>IFERROR(__xludf.DUMMYFUNCTION("""COMPUTED_VALUE"""),8.3850986907E10)</f>
        <v>83850986907</v>
      </c>
      <c r="E884" s="457">
        <f>IFERROR(__xludf.DUMMYFUNCTION("""COMPUTED_VALUE"""),0.0)</f>
        <v>0</v>
      </c>
      <c r="F884" s="270">
        <f>IFERROR(__xludf.DUMMYFUNCTION("""COMPUTED_VALUE"""),4.0)</f>
        <v>4</v>
      </c>
      <c r="G884" s="17" t="str">
        <f>IFERROR(__xludf.DUMMYFUNCTION("""COMPUTED_VALUE"""),"Full Set")</f>
        <v>Full Set</v>
      </c>
      <c r="H884" s="17"/>
      <c r="I884" s="262"/>
      <c r="J884" s="262"/>
      <c r="K884" s="262"/>
      <c r="L884" s="262"/>
      <c r="M884" s="262"/>
    </row>
    <row r="885">
      <c r="A885" s="255" t="str">
        <f>IFERROR(__xludf.DUMMYFUNCTION("""COMPUTED_VALUE"""),"NANO")</f>
        <v>NANO</v>
      </c>
      <c r="B885" s="23" t="str">
        <f>IFERROR(__xludf.DUMMYFUNCTION("""COMPUTED_VALUE"""),"mtgina")</f>
        <v>mtgina</v>
      </c>
      <c r="C885" s="257" t="str">
        <f>IFERROR(__xludf.DUMMYFUNCTION("""COMPUTED_VALUE"""),"https://www.tiktok.com/@mtgina")</f>
        <v>https://www.tiktok.com/@mtgina</v>
      </c>
      <c r="D885" s="23">
        <f>IFERROR(__xludf.DUMMYFUNCTION("""COMPUTED_VALUE"""),8.95332805282E11)</f>
        <v>895332805282</v>
      </c>
      <c r="E885" s="457">
        <f>IFERROR(__xludf.DUMMYFUNCTION("""COMPUTED_VALUE"""),0.0)</f>
        <v>0</v>
      </c>
      <c r="F885" s="270">
        <f>IFERROR(__xludf.DUMMYFUNCTION("""COMPUTED_VALUE"""),4.0)</f>
        <v>4</v>
      </c>
      <c r="G885" s="17" t="str">
        <f>IFERROR(__xludf.DUMMYFUNCTION("""COMPUTED_VALUE"""),"Full Set")</f>
        <v>Full Set</v>
      </c>
      <c r="H885" s="17"/>
      <c r="I885" s="262"/>
      <c r="J885" s="262"/>
      <c r="K885" s="262"/>
      <c r="L885" s="262"/>
      <c r="M885" s="262"/>
    </row>
    <row r="886">
      <c r="A886" s="255" t="str">
        <f>IFERROR(__xludf.DUMMYFUNCTION("""COMPUTED_VALUE"""),"NANO")</f>
        <v>NANO</v>
      </c>
      <c r="B886" s="23" t="str">
        <f>IFERROR(__xludf.DUMMYFUNCTION("""COMPUTED_VALUE"""),"tislutfna")</f>
        <v>tislutfna</v>
      </c>
      <c r="C886" s="257" t="str">
        <f>IFERROR(__xludf.DUMMYFUNCTION("""COMPUTED_VALUE"""),"https://www.tiktok.com/@tislutfna")</f>
        <v>https://www.tiktok.com/@tislutfna</v>
      </c>
      <c r="D886" s="23">
        <f>IFERROR(__xludf.DUMMYFUNCTION("""COMPUTED_VALUE"""),8.5770020113E10)</f>
        <v>85770020113</v>
      </c>
      <c r="E886" s="457">
        <f>IFERROR(__xludf.DUMMYFUNCTION("""COMPUTED_VALUE"""),0.0)</f>
        <v>0</v>
      </c>
      <c r="F886" s="270">
        <f>IFERROR(__xludf.DUMMYFUNCTION("""COMPUTED_VALUE"""),4.0)</f>
        <v>4</v>
      </c>
      <c r="G886" s="17" t="str">
        <f>IFERROR(__xludf.DUMMYFUNCTION("""COMPUTED_VALUE"""),"Full Set")</f>
        <v>Full Set</v>
      </c>
      <c r="H886" s="17"/>
      <c r="I886" s="262"/>
      <c r="J886" s="262"/>
      <c r="K886" s="262"/>
      <c r="L886" s="262"/>
      <c r="M886" s="262"/>
    </row>
    <row r="887">
      <c r="A887" s="255" t="str">
        <f>IFERROR(__xludf.DUMMYFUNCTION("""COMPUTED_VALUE"""),"NANO")</f>
        <v>NANO</v>
      </c>
      <c r="B887" s="23" t="str">
        <f>IFERROR(__xludf.DUMMYFUNCTION("""COMPUTED_VALUE"""),"rindi.yanyan")</f>
        <v>rindi.yanyan</v>
      </c>
      <c r="C887" s="257" t="str">
        <f>IFERROR(__xludf.DUMMYFUNCTION("""COMPUTED_VALUE"""),"https://www.tiktok.com/@rindi.yanyan")</f>
        <v>https://www.tiktok.com/@rindi.yanyan</v>
      </c>
      <c r="D887" s="23">
        <f>IFERROR(__xludf.DUMMYFUNCTION("""COMPUTED_VALUE"""),8.95365588303E11)</f>
        <v>895365588303</v>
      </c>
      <c r="E887" s="457">
        <f>IFERROR(__xludf.DUMMYFUNCTION("""COMPUTED_VALUE"""),0.0)</f>
        <v>0</v>
      </c>
      <c r="F887" s="270">
        <f>IFERROR(__xludf.DUMMYFUNCTION("""COMPUTED_VALUE"""),4.0)</f>
        <v>4</v>
      </c>
      <c r="G887" s="17" t="str">
        <f>IFERROR(__xludf.DUMMYFUNCTION("""COMPUTED_VALUE"""),"Full Set")</f>
        <v>Full Set</v>
      </c>
      <c r="H887" s="17"/>
      <c r="I887" s="262"/>
      <c r="J887" s="262"/>
      <c r="K887" s="262"/>
      <c r="L887" s="262"/>
      <c r="M887" s="262"/>
    </row>
    <row r="888">
      <c r="A888" s="255" t="str">
        <f>IFERROR(__xludf.DUMMYFUNCTION("""COMPUTED_VALUE"""),"NANO")</f>
        <v>NANO</v>
      </c>
      <c r="B888" s="23" t="str">
        <f>IFERROR(__xludf.DUMMYFUNCTION("""COMPUTED_VALUE"""),"Zhraalfnaa_")</f>
        <v>Zhraalfnaa_</v>
      </c>
      <c r="C888" s="257" t="str">
        <f>IFERROR(__xludf.DUMMYFUNCTION("""COMPUTED_VALUE"""),"https://www.tiktok.com/@Zhraalfnaa_")</f>
        <v>https://www.tiktok.com/@Zhraalfnaa_</v>
      </c>
      <c r="D888" s="23">
        <f>IFERROR(__xludf.DUMMYFUNCTION("""COMPUTED_VALUE"""),8.1217703414E10)</f>
        <v>81217703414</v>
      </c>
      <c r="E888" s="457">
        <f>IFERROR(__xludf.DUMMYFUNCTION("""COMPUTED_VALUE"""),0.0)</f>
        <v>0</v>
      </c>
      <c r="F888" s="270">
        <f>IFERROR(__xludf.DUMMYFUNCTION("""COMPUTED_VALUE"""),4.0)</f>
        <v>4</v>
      </c>
      <c r="G888" s="17" t="str">
        <f>IFERROR(__xludf.DUMMYFUNCTION("""COMPUTED_VALUE"""),"Full Set")</f>
        <v>Full Set</v>
      </c>
      <c r="H888" s="17"/>
      <c r="I888" s="262"/>
      <c r="J888" s="262"/>
      <c r="K888" s="262"/>
      <c r="L888" s="262"/>
      <c r="M888" s="262"/>
    </row>
    <row r="889">
      <c r="A889" s="255" t="str">
        <f>IFERROR(__xludf.DUMMYFUNCTION("""COMPUTED_VALUE"""),"NANO")</f>
        <v>NANO</v>
      </c>
      <c r="B889" s="23" t="str">
        <f>IFERROR(__xludf.DUMMYFUNCTION("""COMPUTED_VALUE"""),"spilbyaku_")</f>
        <v>spilbyaku_</v>
      </c>
      <c r="C889" s="257" t="str">
        <f>IFERROR(__xludf.DUMMYFUNCTION("""COMPUTED_VALUE"""),"https://www.tiktok.com/@spilbyaku_")</f>
        <v>https://www.tiktok.com/@spilbyaku_</v>
      </c>
      <c r="D889" s="23">
        <f>IFERROR(__xludf.DUMMYFUNCTION("""COMPUTED_VALUE"""),8.5695289452E10)</f>
        <v>85695289452</v>
      </c>
      <c r="E889" s="457">
        <f>IFERROR(__xludf.DUMMYFUNCTION("""COMPUTED_VALUE"""),0.0)</f>
        <v>0</v>
      </c>
      <c r="F889" s="270">
        <f>IFERROR(__xludf.DUMMYFUNCTION("""COMPUTED_VALUE"""),4.0)</f>
        <v>4</v>
      </c>
      <c r="G889" s="17" t="str">
        <f>IFERROR(__xludf.DUMMYFUNCTION("""COMPUTED_VALUE"""),"Full Set")</f>
        <v>Full Set</v>
      </c>
      <c r="H889" s="17"/>
      <c r="I889" s="262"/>
      <c r="J889" s="262"/>
      <c r="K889" s="262"/>
      <c r="L889" s="262"/>
      <c r="M889" s="262"/>
    </row>
    <row r="890">
      <c r="A890" s="255" t="str">
        <f>IFERROR(__xludf.DUMMYFUNCTION("""COMPUTED_VALUE"""),"NANO")</f>
        <v>NANO</v>
      </c>
      <c r="B890" s="23" t="str">
        <f>IFERROR(__xludf.DUMMYFUNCTION("""COMPUTED_VALUE"""),"_chamalll")</f>
        <v>_chamalll</v>
      </c>
      <c r="C890" s="257" t="str">
        <f>IFERROR(__xludf.DUMMYFUNCTION("""COMPUTED_VALUE"""),"https://www.tiktok.com/@_chamalll")</f>
        <v>https://www.tiktok.com/@_chamalll</v>
      </c>
      <c r="D890" s="23">
        <f>IFERROR(__xludf.DUMMYFUNCTION("""COMPUTED_VALUE"""),8.7782056953E10)</f>
        <v>87782056953</v>
      </c>
      <c r="E890" s="457">
        <f>IFERROR(__xludf.DUMMYFUNCTION("""COMPUTED_VALUE"""),0.0)</f>
        <v>0</v>
      </c>
      <c r="F890" s="270">
        <f>IFERROR(__xludf.DUMMYFUNCTION("""COMPUTED_VALUE"""),4.0)</f>
        <v>4</v>
      </c>
      <c r="G890" s="17" t="str">
        <f>IFERROR(__xludf.DUMMYFUNCTION("""COMPUTED_VALUE"""),"Full Set")</f>
        <v>Full Set</v>
      </c>
      <c r="H890" s="17"/>
      <c r="I890" s="262"/>
      <c r="J890" s="262"/>
      <c r="K890" s="262"/>
      <c r="L890" s="262"/>
      <c r="M890" s="262"/>
    </row>
    <row r="891">
      <c r="A891" s="255" t="str">
        <f>IFERROR(__xludf.DUMMYFUNCTION("""COMPUTED_VALUE"""),"NANO")</f>
        <v>NANO</v>
      </c>
      <c r="B891" s="23" t="str">
        <f>IFERROR(__xludf.DUMMYFUNCTION("""COMPUTED_VALUE"""),"nadilaaa_18")</f>
        <v>nadilaaa_18</v>
      </c>
      <c r="C891" s="257" t="str">
        <f>IFERROR(__xludf.DUMMYFUNCTION("""COMPUTED_VALUE"""),"https://www.tiktok.com/@nadilaaa_18")</f>
        <v>https://www.tiktok.com/@nadilaaa_18</v>
      </c>
      <c r="D891" s="23">
        <f>IFERROR(__xludf.DUMMYFUNCTION("""COMPUTED_VALUE"""),8.1933118153E10)</f>
        <v>81933118153</v>
      </c>
      <c r="E891" s="457">
        <f>IFERROR(__xludf.DUMMYFUNCTION("""COMPUTED_VALUE"""),0.0)</f>
        <v>0</v>
      </c>
      <c r="F891" s="270">
        <f>IFERROR(__xludf.DUMMYFUNCTION("""COMPUTED_VALUE"""),4.0)</f>
        <v>4</v>
      </c>
      <c r="G891" s="17" t="str">
        <f>IFERROR(__xludf.DUMMYFUNCTION("""COMPUTED_VALUE"""),"Full Set")</f>
        <v>Full Set</v>
      </c>
      <c r="H891" s="17"/>
      <c r="I891" s="262"/>
      <c r="J891" s="262"/>
      <c r="K891" s="262"/>
      <c r="L891" s="262"/>
      <c r="M891" s="262"/>
    </row>
    <row r="892">
      <c r="A892" s="255" t="str">
        <f>IFERROR(__xludf.DUMMYFUNCTION("""COMPUTED_VALUE"""),"NANO")</f>
        <v>NANO</v>
      </c>
      <c r="B892" s="23" t="str">
        <f>IFERROR(__xludf.DUMMYFUNCTION("""COMPUTED_VALUE"""),"rhane0105")</f>
        <v>rhane0105</v>
      </c>
      <c r="C892" s="257" t="str">
        <f>IFERROR(__xludf.DUMMYFUNCTION("""COMPUTED_VALUE"""),"https://www.tiktok.com/@rhane0105")</f>
        <v>https://www.tiktok.com/@rhane0105</v>
      </c>
      <c r="D892" s="23">
        <f>IFERROR(__xludf.DUMMYFUNCTION("""COMPUTED_VALUE"""),8.5839007251E10)</f>
        <v>85839007251</v>
      </c>
      <c r="E892" s="457">
        <f>IFERROR(__xludf.DUMMYFUNCTION("""COMPUTED_VALUE"""),0.0)</f>
        <v>0</v>
      </c>
      <c r="F892" s="270">
        <f>IFERROR(__xludf.DUMMYFUNCTION("""COMPUTED_VALUE"""),4.0)</f>
        <v>4</v>
      </c>
      <c r="G892" s="17" t="str">
        <f>IFERROR(__xludf.DUMMYFUNCTION("""COMPUTED_VALUE"""),"Full Set")</f>
        <v>Full Set</v>
      </c>
      <c r="H892" s="17"/>
      <c r="I892" s="262"/>
      <c r="J892" s="262"/>
      <c r="K892" s="262"/>
      <c r="L892" s="262"/>
      <c r="M892" s="262"/>
    </row>
    <row r="893">
      <c r="A893" s="255" t="str">
        <f>IFERROR(__xludf.DUMMYFUNCTION("""COMPUTED_VALUE"""),"NANO")</f>
        <v>NANO</v>
      </c>
      <c r="B893" s="23" t="str">
        <f>IFERROR(__xludf.DUMMYFUNCTION("""COMPUTED_VALUE"""),"octlynnnn")</f>
        <v>octlynnnn</v>
      </c>
      <c r="C893" s="257" t="str">
        <f>IFERROR(__xludf.DUMMYFUNCTION("""COMPUTED_VALUE"""),"https://www.tiktok.com/@octlynnnn")</f>
        <v>https://www.tiktok.com/@octlynnnn</v>
      </c>
      <c r="D893" s="23">
        <f>IFERROR(__xludf.DUMMYFUNCTION("""COMPUTED_VALUE"""),8.95373710604E11)</f>
        <v>895373710604</v>
      </c>
      <c r="E893" s="457">
        <f>IFERROR(__xludf.DUMMYFUNCTION("""COMPUTED_VALUE"""),0.0)</f>
        <v>0</v>
      </c>
      <c r="F893" s="270">
        <f>IFERROR(__xludf.DUMMYFUNCTION("""COMPUTED_VALUE"""),4.0)</f>
        <v>4</v>
      </c>
      <c r="G893" s="17" t="str">
        <f>IFERROR(__xludf.DUMMYFUNCTION("""COMPUTED_VALUE"""),"Full Set")</f>
        <v>Full Set</v>
      </c>
      <c r="H893" s="17"/>
      <c r="I893" s="262"/>
      <c r="J893" s="262"/>
      <c r="K893" s="262"/>
      <c r="L893" s="262"/>
      <c r="M893" s="262"/>
    </row>
    <row r="894">
      <c r="A894" s="255" t="str">
        <f>IFERROR(__xludf.DUMMYFUNCTION("""COMPUTED_VALUE"""),"NANO")</f>
        <v>NANO</v>
      </c>
      <c r="B894" s="23" t="str">
        <f>IFERROR(__xludf.DUMMYFUNCTION("""COMPUTED_VALUE"""),"carissaaputriii_")</f>
        <v>carissaaputriii_</v>
      </c>
      <c r="C894" s="257" t="str">
        <f>IFERROR(__xludf.DUMMYFUNCTION("""COMPUTED_VALUE"""),"https://www.tiktok.com/@carissaaputriii_")</f>
        <v>https://www.tiktok.com/@carissaaputriii_</v>
      </c>
      <c r="D894" s="23">
        <f>IFERROR(__xludf.DUMMYFUNCTION("""COMPUTED_VALUE"""),8.2178302477E10)</f>
        <v>82178302477</v>
      </c>
      <c r="E894" s="457">
        <f>IFERROR(__xludf.DUMMYFUNCTION("""COMPUTED_VALUE"""),0.0)</f>
        <v>0</v>
      </c>
      <c r="F894" s="270">
        <f>IFERROR(__xludf.DUMMYFUNCTION("""COMPUTED_VALUE"""),4.0)</f>
        <v>4</v>
      </c>
      <c r="G894" s="17" t="str">
        <f>IFERROR(__xludf.DUMMYFUNCTION("""COMPUTED_VALUE"""),"Full Set")</f>
        <v>Full Set</v>
      </c>
      <c r="H894" s="17"/>
      <c r="I894" s="262"/>
      <c r="J894" s="262"/>
      <c r="K894" s="262"/>
      <c r="L894" s="262"/>
      <c r="M894" s="262"/>
    </row>
    <row r="895">
      <c r="A895" s="255" t="str">
        <f>IFERROR(__xludf.DUMMYFUNCTION("""COMPUTED_VALUE"""),"NANO")</f>
        <v>NANO</v>
      </c>
      <c r="B895" s="23" t="str">
        <f>IFERROR(__xludf.DUMMYFUNCTION("""COMPUTED_VALUE"""),"Ratu_reviewapaaja")</f>
        <v>Ratu_reviewapaaja</v>
      </c>
      <c r="C895" s="257" t="str">
        <f>IFERROR(__xludf.DUMMYFUNCTION("""COMPUTED_VALUE"""),"https://www.tiktok.com/@Ratu_reviewapaaja")</f>
        <v>https://www.tiktok.com/@Ratu_reviewapaaja</v>
      </c>
      <c r="D895" s="23">
        <f>IFERROR(__xludf.DUMMYFUNCTION("""COMPUTED_VALUE"""),8.387930438E10)</f>
        <v>83879304380</v>
      </c>
      <c r="E895" s="457">
        <f>IFERROR(__xludf.DUMMYFUNCTION("""COMPUTED_VALUE"""),0.0)</f>
        <v>0</v>
      </c>
      <c r="F895" s="270">
        <f>IFERROR(__xludf.DUMMYFUNCTION("""COMPUTED_VALUE"""),4.0)</f>
        <v>4</v>
      </c>
      <c r="G895" s="17" t="str">
        <f>IFERROR(__xludf.DUMMYFUNCTION("""COMPUTED_VALUE"""),"Full Set")</f>
        <v>Full Set</v>
      </c>
      <c r="H895" s="17"/>
      <c r="I895" s="262"/>
      <c r="J895" s="262"/>
      <c r="K895" s="262"/>
      <c r="L895" s="262"/>
      <c r="M895" s="262"/>
    </row>
    <row r="896">
      <c r="A896" s="255" t="str">
        <f>IFERROR(__xludf.DUMMYFUNCTION("""COMPUTED_VALUE"""),"NANO")</f>
        <v>NANO</v>
      </c>
      <c r="B896" s="23" t="str">
        <f>IFERROR(__xludf.DUMMYFUNCTION("""COMPUTED_VALUE"""),"bluefiremey")</f>
        <v>bluefiremey</v>
      </c>
      <c r="C896" s="257" t="str">
        <f>IFERROR(__xludf.DUMMYFUNCTION("""COMPUTED_VALUE"""),"https://www.tiktok.com/@bluefiremey")</f>
        <v>https://www.tiktok.com/@bluefiremey</v>
      </c>
      <c r="D896" s="23">
        <f>IFERROR(__xludf.DUMMYFUNCTION("""COMPUTED_VALUE"""),8.5807264924E10)</f>
        <v>85807264924</v>
      </c>
      <c r="E896" s="457">
        <f>IFERROR(__xludf.DUMMYFUNCTION("""COMPUTED_VALUE"""),0.0)</f>
        <v>0</v>
      </c>
      <c r="F896" s="270">
        <f>IFERROR(__xludf.DUMMYFUNCTION("""COMPUTED_VALUE"""),4.0)</f>
        <v>4</v>
      </c>
      <c r="G896" s="17" t="str">
        <f>IFERROR(__xludf.DUMMYFUNCTION("""COMPUTED_VALUE"""),"Full Set")</f>
        <v>Full Set</v>
      </c>
      <c r="H896" s="17"/>
      <c r="I896" s="262"/>
      <c r="J896" s="262"/>
      <c r="K896" s="262"/>
      <c r="L896" s="262"/>
      <c r="M896" s="262"/>
    </row>
    <row r="897">
      <c r="A897" s="255" t="str">
        <f>IFERROR(__xludf.DUMMYFUNCTION("""COMPUTED_VALUE"""),"NANO")</f>
        <v>NANO</v>
      </c>
      <c r="B897" s="23" t="str">
        <f>IFERROR(__xludf.DUMMYFUNCTION("""COMPUTED_VALUE"""),"_lilula")</f>
        <v>_lilula</v>
      </c>
      <c r="C897" s="257" t="str">
        <f>IFERROR(__xludf.DUMMYFUNCTION("""COMPUTED_VALUE"""),"https://www.tiktok.com/@_lilula")</f>
        <v>https://www.tiktok.com/@_lilula</v>
      </c>
      <c r="D897" s="23">
        <f>IFERROR(__xludf.DUMMYFUNCTION("""COMPUTED_VALUE"""),8.2266953819E10)</f>
        <v>82266953819</v>
      </c>
      <c r="E897" s="457">
        <f>IFERROR(__xludf.DUMMYFUNCTION("""COMPUTED_VALUE"""),0.0)</f>
        <v>0</v>
      </c>
      <c r="F897" s="270">
        <f>IFERROR(__xludf.DUMMYFUNCTION("""COMPUTED_VALUE"""),4.0)</f>
        <v>4</v>
      </c>
      <c r="G897" s="17" t="str">
        <f>IFERROR(__xludf.DUMMYFUNCTION("""COMPUTED_VALUE"""),"Full Set")</f>
        <v>Full Set</v>
      </c>
      <c r="H897" s="17"/>
      <c r="I897" s="262"/>
      <c r="J897" s="262"/>
      <c r="K897" s="262"/>
      <c r="L897" s="262"/>
      <c r="M897" s="262"/>
    </row>
    <row r="898">
      <c r="A898" s="255" t="str">
        <f>IFERROR(__xludf.DUMMYFUNCTION("""COMPUTED_VALUE"""),"NANO")</f>
        <v>NANO</v>
      </c>
      <c r="B898" s="23" t="str">
        <f>IFERROR(__xludf.DUMMYFUNCTION("""COMPUTED_VALUE"""),"Mimomtiara28")</f>
        <v>Mimomtiara28</v>
      </c>
      <c r="C898" s="257" t="str">
        <f>IFERROR(__xludf.DUMMYFUNCTION("""COMPUTED_VALUE"""),"https://www.tiktok.com/@Mimomtiara28")</f>
        <v>https://www.tiktok.com/@Mimomtiara28</v>
      </c>
      <c r="D898" s="23">
        <f>IFERROR(__xludf.DUMMYFUNCTION("""COMPUTED_VALUE"""),8.5697276341E10)</f>
        <v>85697276341</v>
      </c>
      <c r="E898" s="457">
        <f>IFERROR(__xludf.DUMMYFUNCTION("""COMPUTED_VALUE"""),0.0)</f>
        <v>0</v>
      </c>
      <c r="F898" s="270">
        <f>IFERROR(__xludf.DUMMYFUNCTION("""COMPUTED_VALUE"""),4.0)</f>
        <v>4</v>
      </c>
      <c r="G898" s="17" t="str">
        <f>IFERROR(__xludf.DUMMYFUNCTION("""COMPUTED_VALUE"""),"Full Set")</f>
        <v>Full Set</v>
      </c>
      <c r="H898" s="17"/>
      <c r="I898" s="262"/>
      <c r="J898" s="262"/>
      <c r="K898" s="262"/>
      <c r="L898" s="262"/>
      <c r="M898" s="262"/>
    </row>
    <row r="899">
      <c r="A899" s="255" t="str">
        <f>IFERROR(__xludf.DUMMYFUNCTION("""COMPUTED_VALUE"""),"NANO")</f>
        <v>NANO</v>
      </c>
      <c r="B899" s="23" t="str">
        <f>IFERROR(__xludf.DUMMYFUNCTION("""COMPUTED_VALUE"""),"Cahyana_emalia")</f>
        <v>Cahyana_emalia</v>
      </c>
      <c r="C899" s="257" t="str">
        <f>IFERROR(__xludf.DUMMYFUNCTION("""COMPUTED_VALUE"""),"https://www.tiktok.com/@Cahyana_emalia")</f>
        <v>https://www.tiktok.com/@Cahyana_emalia</v>
      </c>
      <c r="D899" s="23">
        <f>IFERROR(__xludf.DUMMYFUNCTION("""COMPUTED_VALUE"""),8.1499263267E10)</f>
        <v>81499263267</v>
      </c>
      <c r="E899" s="457">
        <f>IFERROR(__xludf.DUMMYFUNCTION("""COMPUTED_VALUE"""),0.0)</f>
        <v>0</v>
      </c>
      <c r="F899" s="270">
        <f>IFERROR(__xludf.DUMMYFUNCTION("""COMPUTED_VALUE"""),4.0)</f>
        <v>4</v>
      </c>
      <c r="G899" s="17" t="str">
        <f>IFERROR(__xludf.DUMMYFUNCTION("""COMPUTED_VALUE"""),"Full Set")</f>
        <v>Full Set</v>
      </c>
      <c r="H899" s="17"/>
      <c r="I899" s="262"/>
      <c r="J899" s="262"/>
      <c r="K899" s="262"/>
      <c r="L899" s="262"/>
      <c r="M899" s="262"/>
    </row>
    <row r="900">
      <c r="A900" s="255" t="str">
        <f>IFERROR(__xludf.DUMMYFUNCTION("""COMPUTED_VALUE"""),"NANO")</f>
        <v>NANO</v>
      </c>
      <c r="B900" s="23" t="str">
        <f>IFERROR(__xludf.DUMMYFUNCTION("""COMPUTED_VALUE"""),"becomey2 ")</f>
        <v>becomey2 </v>
      </c>
      <c r="C900" s="257" t="str">
        <f>IFERROR(__xludf.DUMMYFUNCTION("""COMPUTED_VALUE"""),"https://www.tiktok.com/@becomey2 ")</f>
        <v>https://www.tiktok.com/@becomey2 </v>
      </c>
      <c r="D900" s="23">
        <f>IFERROR(__xludf.DUMMYFUNCTION("""COMPUTED_VALUE"""),8.9535129322E11)</f>
        <v>895351293220</v>
      </c>
      <c r="E900" s="457">
        <f>IFERROR(__xludf.DUMMYFUNCTION("""COMPUTED_VALUE"""),0.0)</f>
        <v>0</v>
      </c>
      <c r="F900" s="270">
        <f>IFERROR(__xludf.DUMMYFUNCTION("""COMPUTED_VALUE"""),4.0)</f>
        <v>4</v>
      </c>
      <c r="G900" s="17" t="str">
        <f>IFERROR(__xludf.DUMMYFUNCTION("""COMPUTED_VALUE"""),"Full Set")</f>
        <v>Full Set</v>
      </c>
      <c r="H900" s="17"/>
      <c r="I900" s="262"/>
      <c r="J900" s="262"/>
      <c r="K900" s="262"/>
      <c r="L900" s="262"/>
      <c r="M900" s="262"/>
    </row>
    <row r="901">
      <c r="A901" s="255" t="str">
        <f>IFERROR(__xludf.DUMMYFUNCTION("""COMPUTED_VALUE"""),"NANO")</f>
        <v>NANO</v>
      </c>
      <c r="B901" s="23" t="str">
        <f>IFERROR(__xludf.DUMMYFUNCTION("""COMPUTED_VALUE"""),"pretty1mailoorh ")</f>
        <v>pretty1mailoorh </v>
      </c>
      <c r="C901" s="257" t="str">
        <f>IFERROR(__xludf.DUMMYFUNCTION("""COMPUTED_VALUE"""),"https://www.tiktok.com/@pretty1mailoorh ")</f>
        <v>https://www.tiktok.com/@pretty1mailoorh </v>
      </c>
      <c r="D901" s="23">
        <f>IFERROR(__xludf.DUMMYFUNCTION("""COMPUTED_VALUE"""),8.7862062229E10)</f>
        <v>87862062229</v>
      </c>
      <c r="E901" s="457">
        <f>IFERROR(__xludf.DUMMYFUNCTION("""COMPUTED_VALUE"""),0.0)</f>
        <v>0</v>
      </c>
      <c r="F901" s="270">
        <f>IFERROR(__xludf.DUMMYFUNCTION("""COMPUTED_VALUE"""),4.0)</f>
        <v>4</v>
      </c>
      <c r="G901" s="17" t="str">
        <f>IFERROR(__xludf.DUMMYFUNCTION("""COMPUTED_VALUE"""),"Full Set")</f>
        <v>Full Set</v>
      </c>
      <c r="H901" s="17"/>
      <c r="I901" s="262"/>
      <c r="J901" s="262"/>
      <c r="K901" s="262"/>
      <c r="L901" s="262"/>
      <c r="M901" s="262"/>
    </row>
    <row r="902">
      <c r="A902" s="255" t="str">
        <f>IFERROR(__xludf.DUMMYFUNCTION("""COMPUTED_VALUE"""),"NANO")</f>
        <v>NANO</v>
      </c>
      <c r="B902" s="23" t="str">
        <f>IFERROR(__xludf.DUMMYFUNCTION("""COMPUTED_VALUE"""),"Xdnytz_")</f>
        <v>Xdnytz_</v>
      </c>
      <c r="C902" s="257" t="str">
        <f>IFERROR(__xludf.DUMMYFUNCTION("""COMPUTED_VALUE"""),"https://www.tiktok.com/@Xdnytz_")</f>
        <v>https://www.tiktok.com/@Xdnytz_</v>
      </c>
      <c r="D902" s="23">
        <f>IFERROR(__xludf.DUMMYFUNCTION("""COMPUTED_VALUE"""),8.1259670694E10)</f>
        <v>81259670694</v>
      </c>
      <c r="E902" s="457">
        <f>IFERROR(__xludf.DUMMYFUNCTION("""COMPUTED_VALUE"""),0.0)</f>
        <v>0</v>
      </c>
      <c r="F902" s="270">
        <f>IFERROR(__xludf.DUMMYFUNCTION("""COMPUTED_VALUE"""),4.0)</f>
        <v>4</v>
      </c>
      <c r="G902" s="17" t="str">
        <f>IFERROR(__xludf.DUMMYFUNCTION("""COMPUTED_VALUE"""),"Full Set")</f>
        <v>Full Set</v>
      </c>
      <c r="H902" s="17"/>
      <c r="I902" s="262"/>
      <c r="J902" s="262"/>
      <c r="K902" s="262"/>
      <c r="L902" s="262"/>
      <c r="M902" s="262"/>
    </row>
    <row r="903">
      <c r="A903" s="255" t="str">
        <f>IFERROR(__xludf.DUMMYFUNCTION("""COMPUTED_VALUE"""),"NANO")</f>
        <v>NANO</v>
      </c>
      <c r="B903" s="23" t="str">
        <f>IFERROR(__xludf.DUMMYFUNCTION("""COMPUTED_VALUE"""),"sorayaaaaa25")</f>
        <v>sorayaaaaa25</v>
      </c>
      <c r="C903" s="257" t="str">
        <f>IFERROR(__xludf.DUMMYFUNCTION("""COMPUTED_VALUE"""),"https://www.tiktok.com/@sorayaaaaa25")</f>
        <v>https://www.tiktok.com/@sorayaaaaa25</v>
      </c>
      <c r="D903" s="23">
        <f>IFERROR(__xludf.DUMMYFUNCTION("""COMPUTED_VALUE"""),8.9694267202E10)</f>
        <v>89694267202</v>
      </c>
      <c r="E903" s="457">
        <f>IFERROR(__xludf.DUMMYFUNCTION("""COMPUTED_VALUE"""),0.0)</f>
        <v>0</v>
      </c>
      <c r="F903" s="270">
        <f>IFERROR(__xludf.DUMMYFUNCTION("""COMPUTED_VALUE"""),4.0)</f>
        <v>4</v>
      </c>
      <c r="G903" s="17" t="str">
        <f>IFERROR(__xludf.DUMMYFUNCTION("""COMPUTED_VALUE"""),"Full Set")</f>
        <v>Full Set</v>
      </c>
      <c r="H903" s="17"/>
      <c r="I903" s="262"/>
      <c r="J903" s="262"/>
      <c r="K903" s="262"/>
      <c r="L903" s="262"/>
      <c r="M903" s="262"/>
    </row>
    <row r="904">
      <c r="A904" s="255" t="str">
        <f>IFERROR(__xludf.DUMMYFUNCTION("""COMPUTED_VALUE"""),"NANO")</f>
        <v>NANO</v>
      </c>
      <c r="B904" s="23" t="str">
        <f>IFERROR(__xludf.DUMMYFUNCTION("""COMPUTED_VALUE"""),"dhelfi12")</f>
        <v>dhelfi12</v>
      </c>
      <c r="C904" s="257" t="str">
        <f>IFERROR(__xludf.DUMMYFUNCTION("""COMPUTED_VALUE"""),"https://www.tiktok.com/@dhelfi12")</f>
        <v>https://www.tiktok.com/@dhelfi12</v>
      </c>
      <c r="D904" s="23">
        <f>IFERROR(__xludf.DUMMYFUNCTION("""COMPUTED_VALUE"""),8.382211885E10)</f>
        <v>83822118850</v>
      </c>
      <c r="E904" s="457">
        <f>IFERROR(__xludf.DUMMYFUNCTION("""COMPUTED_VALUE"""),0.0)</f>
        <v>0</v>
      </c>
      <c r="F904" s="270">
        <f>IFERROR(__xludf.DUMMYFUNCTION("""COMPUTED_VALUE"""),4.0)</f>
        <v>4</v>
      </c>
      <c r="G904" s="17" t="str">
        <f>IFERROR(__xludf.DUMMYFUNCTION("""COMPUTED_VALUE"""),"Full Set")</f>
        <v>Full Set</v>
      </c>
      <c r="H904" s="17"/>
      <c r="I904" s="262"/>
      <c r="J904" s="262"/>
      <c r="K904" s="262"/>
      <c r="L904" s="262"/>
      <c r="M904" s="262"/>
    </row>
    <row r="905">
      <c r="A905" s="255" t="str">
        <f>IFERROR(__xludf.DUMMYFUNCTION("""COMPUTED_VALUE"""),"NANO")</f>
        <v>NANO</v>
      </c>
      <c r="B905" s="23" t="str">
        <f>IFERROR(__xludf.DUMMYFUNCTION("""COMPUTED_VALUE"""),"haeyooouuuu_")</f>
        <v>haeyooouuuu_</v>
      </c>
      <c r="C905" s="257" t="str">
        <f>IFERROR(__xludf.DUMMYFUNCTION("""COMPUTED_VALUE"""),"https://www.tiktok.com/@haeyooouuuu_")</f>
        <v>https://www.tiktok.com/@haeyooouuuu_</v>
      </c>
      <c r="D905" s="23">
        <f>IFERROR(__xludf.DUMMYFUNCTION("""COMPUTED_VALUE"""),8.5736030625E10)</f>
        <v>85736030625</v>
      </c>
      <c r="E905" s="457">
        <f>IFERROR(__xludf.DUMMYFUNCTION("""COMPUTED_VALUE"""),0.0)</f>
        <v>0</v>
      </c>
      <c r="F905" s="270">
        <f>IFERROR(__xludf.DUMMYFUNCTION("""COMPUTED_VALUE"""),4.0)</f>
        <v>4</v>
      </c>
      <c r="G905" s="17" t="str">
        <f>IFERROR(__xludf.DUMMYFUNCTION("""COMPUTED_VALUE"""),"Full Set")</f>
        <v>Full Set</v>
      </c>
      <c r="H905" s="17"/>
      <c r="I905" s="262"/>
      <c r="J905" s="262"/>
      <c r="K905" s="262"/>
      <c r="L905" s="262"/>
      <c r="M905" s="262"/>
    </row>
    <row r="906">
      <c r="A906" s="255" t="str">
        <f>IFERROR(__xludf.DUMMYFUNCTION("""COMPUTED_VALUE"""),"NANO")</f>
        <v>NANO</v>
      </c>
      <c r="B906" s="23" t="str">
        <f>IFERROR(__xludf.DUMMYFUNCTION("""COMPUTED_VALUE"""),"fi_kaa1")</f>
        <v>fi_kaa1</v>
      </c>
      <c r="C906" s="257" t="str">
        <f>IFERROR(__xludf.DUMMYFUNCTION("""COMPUTED_VALUE"""),"https://www.tiktok.com/@fi_kaa1")</f>
        <v>https://www.tiktok.com/@fi_kaa1</v>
      </c>
      <c r="D906" s="23">
        <f>IFERROR(__xludf.DUMMYFUNCTION("""COMPUTED_VALUE"""),8.8225022197E10)</f>
        <v>88225022197</v>
      </c>
      <c r="E906" s="457">
        <f>IFERROR(__xludf.DUMMYFUNCTION("""COMPUTED_VALUE"""),0.0)</f>
        <v>0</v>
      </c>
      <c r="F906" s="270">
        <f>IFERROR(__xludf.DUMMYFUNCTION("""COMPUTED_VALUE"""),4.0)</f>
        <v>4</v>
      </c>
      <c r="G906" s="17" t="str">
        <f>IFERROR(__xludf.DUMMYFUNCTION("""COMPUTED_VALUE"""),"Full Set")</f>
        <v>Full Set</v>
      </c>
      <c r="H906" s="17"/>
      <c r="I906" s="262"/>
      <c r="J906" s="262"/>
      <c r="K906" s="262"/>
      <c r="L906" s="262"/>
      <c r="M906" s="262"/>
    </row>
    <row r="907">
      <c r="A907" s="255" t="str">
        <f>IFERROR(__xludf.DUMMYFUNCTION("""COMPUTED_VALUE"""),"NANO")</f>
        <v>NANO</v>
      </c>
      <c r="B907" s="23" t="str">
        <f>IFERROR(__xludf.DUMMYFUNCTION("""COMPUTED_VALUE"""),"shybelaa")</f>
        <v>shybelaa</v>
      </c>
      <c r="C907" s="257" t="str">
        <f>IFERROR(__xludf.DUMMYFUNCTION("""COMPUTED_VALUE"""),"https://www.tiktok.com/@shybelaa")</f>
        <v>https://www.tiktok.com/@shybelaa</v>
      </c>
      <c r="D907" s="23">
        <f>IFERROR(__xludf.DUMMYFUNCTION("""COMPUTED_VALUE"""),8.2258998543E10)</f>
        <v>82258998543</v>
      </c>
      <c r="E907" s="457">
        <f>IFERROR(__xludf.DUMMYFUNCTION("""COMPUTED_VALUE"""),0.0)</f>
        <v>0</v>
      </c>
      <c r="F907" s="270">
        <f>IFERROR(__xludf.DUMMYFUNCTION("""COMPUTED_VALUE"""),4.0)</f>
        <v>4</v>
      </c>
      <c r="G907" s="17" t="str">
        <f>IFERROR(__xludf.DUMMYFUNCTION("""COMPUTED_VALUE"""),"Full Set")</f>
        <v>Full Set</v>
      </c>
      <c r="H907" s="17"/>
      <c r="I907" s="262"/>
      <c r="J907" s="262"/>
      <c r="K907" s="262"/>
      <c r="L907" s="262"/>
      <c r="M907" s="262"/>
    </row>
    <row r="908">
      <c r="A908" s="255" t="str">
        <f>IFERROR(__xludf.DUMMYFUNCTION("""COMPUTED_VALUE"""),"NANO")</f>
        <v>NANO</v>
      </c>
      <c r="B908" s="23" t="str">
        <f>IFERROR(__xludf.DUMMYFUNCTION("""COMPUTED_VALUE"""),"ainon499")</f>
        <v>ainon499</v>
      </c>
      <c r="C908" s="257" t="str">
        <f>IFERROR(__xludf.DUMMYFUNCTION("""COMPUTED_VALUE"""),"https://www.tiktok.com/@ainon499")</f>
        <v>https://www.tiktok.com/@ainon499</v>
      </c>
      <c r="D908" s="23">
        <f>IFERROR(__xludf.DUMMYFUNCTION("""COMPUTED_VALUE"""),8.2148768953E10)</f>
        <v>82148768953</v>
      </c>
      <c r="E908" s="457">
        <f>IFERROR(__xludf.DUMMYFUNCTION("""COMPUTED_VALUE"""),0.0)</f>
        <v>0</v>
      </c>
      <c r="F908" s="270">
        <f>IFERROR(__xludf.DUMMYFUNCTION("""COMPUTED_VALUE"""),4.0)</f>
        <v>4</v>
      </c>
      <c r="G908" s="17" t="str">
        <f>IFERROR(__xludf.DUMMYFUNCTION("""COMPUTED_VALUE"""),"Full Set")</f>
        <v>Full Set</v>
      </c>
      <c r="H908" s="17"/>
      <c r="I908" s="262"/>
      <c r="J908" s="262"/>
      <c r="K908" s="262"/>
      <c r="L908" s="262"/>
      <c r="M908" s="262"/>
    </row>
    <row r="909">
      <c r="A909" s="255" t="str">
        <f>IFERROR(__xludf.DUMMYFUNCTION("""COMPUTED_VALUE"""),"NANO")</f>
        <v>NANO</v>
      </c>
      <c r="B909" s="23" t="str">
        <f>IFERROR(__xludf.DUMMYFUNCTION("""COMPUTED_VALUE"""),"F34n4")</f>
        <v>F34n4</v>
      </c>
      <c r="C909" s="257" t="str">
        <f>IFERROR(__xludf.DUMMYFUNCTION("""COMPUTED_VALUE"""),"https://www.tiktok.com/@F34n4")</f>
        <v>https://www.tiktok.com/@F34n4</v>
      </c>
      <c r="D909" s="23">
        <f>IFERROR(__xludf.DUMMYFUNCTION("""COMPUTED_VALUE"""),8.2110200352E10)</f>
        <v>82110200352</v>
      </c>
      <c r="E909" s="457">
        <f>IFERROR(__xludf.DUMMYFUNCTION("""COMPUTED_VALUE"""),0.0)</f>
        <v>0</v>
      </c>
      <c r="F909" s="270">
        <f>IFERROR(__xludf.DUMMYFUNCTION("""COMPUTED_VALUE"""),4.0)</f>
        <v>4</v>
      </c>
      <c r="G909" s="17" t="str">
        <f>IFERROR(__xludf.DUMMYFUNCTION("""COMPUTED_VALUE"""),"Full Set")</f>
        <v>Full Set</v>
      </c>
      <c r="H909" s="17"/>
      <c r="I909" s="262"/>
      <c r="J909" s="262"/>
      <c r="K909" s="262"/>
      <c r="L909" s="262"/>
      <c r="M909" s="262"/>
    </row>
    <row r="910">
      <c r="A910" s="255" t="str">
        <f>IFERROR(__xludf.DUMMYFUNCTION("""COMPUTED_VALUE"""),"NANO")</f>
        <v>NANO</v>
      </c>
      <c r="B910" s="23" t="str">
        <f>IFERROR(__xludf.DUMMYFUNCTION("""COMPUTED_VALUE"""),"aiyudew_")</f>
        <v>aiyudew_</v>
      </c>
      <c r="C910" s="257" t="str">
        <f>IFERROR(__xludf.DUMMYFUNCTION("""COMPUTED_VALUE"""),"https://www.tiktok.com/@aiyudew_")</f>
        <v>https://www.tiktok.com/@aiyudew_</v>
      </c>
      <c r="D910" s="23">
        <f>IFERROR(__xludf.DUMMYFUNCTION("""COMPUTED_VALUE"""),8.82002481091E11)</f>
        <v>882002481091</v>
      </c>
      <c r="E910" s="457">
        <f>IFERROR(__xludf.DUMMYFUNCTION("""COMPUTED_VALUE"""),0.0)</f>
        <v>0</v>
      </c>
      <c r="F910" s="270">
        <f>IFERROR(__xludf.DUMMYFUNCTION("""COMPUTED_VALUE"""),4.0)</f>
        <v>4</v>
      </c>
      <c r="G910" s="17" t="str">
        <f>IFERROR(__xludf.DUMMYFUNCTION("""COMPUTED_VALUE"""),"Full Set")</f>
        <v>Full Set</v>
      </c>
      <c r="H910" s="17"/>
      <c r="I910" s="262"/>
      <c r="J910" s="262"/>
      <c r="K910" s="262"/>
      <c r="L910" s="262"/>
      <c r="M910" s="262"/>
    </row>
    <row r="911">
      <c r="A911" s="255" t="str">
        <f>IFERROR(__xludf.DUMMYFUNCTION("""COMPUTED_VALUE"""),"NANO")</f>
        <v>NANO</v>
      </c>
      <c r="B911" s="23" t="str">
        <f>IFERROR(__xludf.DUMMYFUNCTION("""COMPUTED_VALUE"""),"giteee_")</f>
        <v>giteee_</v>
      </c>
      <c r="C911" s="257" t="str">
        <f>IFERROR(__xludf.DUMMYFUNCTION("""COMPUTED_VALUE"""),"https://www.tiktok.com/@giteee_")</f>
        <v>https://www.tiktok.com/@giteee_</v>
      </c>
      <c r="D911" s="23">
        <f>IFERROR(__xludf.DUMMYFUNCTION("""COMPUTED_VALUE"""),8.2254154605E10)</f>
        <v>82254154605</v>
      </c>
      <c r="E911" s="457">
        <f>IFERROR(__xludf.DUMMYFUNCTION("""COMPUTED_VALUE"""),0.0)</f>
        <v>0</v>
      </c>
      <c r="F911" s="270">
        <f>IFERROR(__xludf.DUMMYFUNCTION("""COMPUTED_VALUE"""),4.0)</f>
        <v>4</v>
      </c>
      <c r="G911" s="17" t="str">
        <f>IFERROR(__xludf.DUMMYFUNCTION("""COMPUTED_VALUE"""),"Full Set")</f>
        <v>Full Set</v>
      </c>
      <c r="H911" s="17"/>
      <c r="I911" s="262"/>
      <c r="J911" s="262"/>
      <c r="K911" s="262"/>
      <c r="L911" s="262"/>
      <c r="M911" s="262"/>
    </row>
    <row r="912">
      <c r="A912" s="255" t="str">
        <f>IFERROR(__xludf.DUMMYFUNCTION("""COMPUTED_VALUE"""),"NANO")</f>
        <v>NANO</v>
      </c>
      <c r="B912" s="23" t="str">
        <f>IFERROR(__xludf.DUMMYFUNCTION("""COMPUTED_VALUE"""),"kamiliacaa_")</f>
        <v>kamiliacaa_</v>
      </c>
      <c r="C912" s="257" t="str">
        <f>IFERROR(__xludf.DUMMYFUNCTION("""COMPUTED_VALUE"""),"https://www.tiktok.com/@kamiliacaa_")</f>
        <v>https://www.tiktok.com/@kamiliacaa_</v>
      </c>
      <c r="D912" s="23">
        <f>IFERROR(__xludf.DUMMYFUNCTION("""COMPUTED_VALUE"""),8.577188933E10)</f>
        <v>85771889330</v>
      </c>
      <c r="E912" s="457">
        <f>IFERROR(__xludf.DUMMYFUNCTION("""COMPUTED_VALUE"""),0.0)</f>
        <v>0</v>
      </c>
      <c r="F912" s="270">
        <f>IFERROR(__xludf.DUMMYFUNCTION("""COMPUTED_VALUE"""),4.0)</f>
        <v>4</v>
      </c>
      <c r="G912" s="17" t="str">
        <f>IFERROR(__xludf.DUMMYFUNCTION("""COMPUTED_VALUE"""),"Full Set")</f>
        <v>Full Set</v>
      </c>
      <c r="H912" s="17"/>
      <c r="I912" s="262"/>
      <c r="J912" s="262"/>
      <c r="K912" s="262"/>
      <c r="L912" s="262"/>
      <c r="M912" s="262"/>
    </row>
    <row r="913">
      <c r="A913" s="255" t="str">
        <f>IFERROR(__xludf.DUMMYFUNCTION("""COMPUTED_VALUE"""),"NANO")</f>
        <v>NANO</v>
      </c>
      <c r="B913" s="23" t="str">
        <f>IFERROR(__xludf.DUMMYFUNCTION("""COMPUTED_VALUE"""),"muti1007")</f>
        <v>muti1007</v>
      </c>
      <c r="C913" s="257" t="str">
        <f>IFERROR(__xludf.DUMMYFUNCTION("""COMPUTED_VALUE"""),"https://www.tiktok.com/@muti1007")</f>
        <v>https://www.tiktok.com/@muti1007</v>
      </c>
      <c r="D913" s="23">
        <f>IFERROR(__xludf.DUMMYFUNCTION("""COMPUTED_VALUE"""),8.5846593721E10)</f>
        <v>85846593721</v>
      </c>
      <c r="E913" s="457">
        <f>IFERROR(__xludf.DUMMYFUNCTION("""COMPUTED_VALUE"""),0.0)</f>
        <v>0</v>
      </c>
      <c r="F913" s="270">
        <f>IFERROR(__xludf.DUMMYFUNCTION("""COMPUTED_VALUE"""),4.0)</f>
        <v>4</v>
      </c>
      <c r="G913" s="17" t="str">
        <f>IFERROR(__xludf.DUMMYFUNCTION("""COMPUTED_VALUE"""),"Full Set")</f>
        <v>Full Set</v>
      </c>
      <c r="H913" s="17"/>
      <c r="I913" s="262"/>
      <c r="J913" s="262"/>
      <c r="K913" s="262"/>
      <c r="L913" s="262"/>
      <c r="M913" s="262"/>
    </row>
    <row r="914">
      <c r="A914" s="255" t="str">
        <f>IFERROR(__xludf.DUMMYFUNCTION("""COMPUTED_VALUE"""),"NANO")</f>
        <v>NANO</v>
      </c>
      <c r="B914" s="23" t="str">
        <f>IFERROR(__xludf.DUMMYFUNCTION("""COMPUTED_VALUE"""),"White.vii")</f>
        <v>White.vii</v>
      </c>
      <c r="C914" s="257" t="str">
        <f>IFERROR(__xludf.DUMMYFUNCTION("""COMPUTED_VALUE"""),"https://www.tiktok.com/@White.vii")</f>
        <v>https://www.tiktok.com/@White.vii</v>
      </c>
      <c r="D914" s="23">
        <f>IFERROR(__xludf.DUMMYFUNCTION("""COMPUTED_VALUE"""),8.81824268E9)</f>
        <v>8818242680</v>
      </c>
      <c r="E914" s="457">
        <f>IFERROR(__xludf.DUMMYFUNCTION("""COMPUTED_VALUE"""),0.0)</f>
        <v>0</v>
      </c>
      <c r="F914" s="270">
        <f>IFERROR(__xludf.DUMMYFUNCTION("""COMPUTED_VALUE"""),4.0)</f>
        <v>4</v>
      </c>
      <c r="G914" s="17" t="str">
        <f>IFERROR(__xludf.DUMMYFUNCTION("""COMPUTED_VALUE"""),"Full Set")</f>
        <v>Full Set</v>
      </c>
      <c r="H914" s="17"/>
      <c r="I914" s="262"/>
      <c r="J914" s="262"/>
      <c r="K914" s="262"/>
      <c r="L914" s="262"/>
      <c r="M914" s="262"/>
    </row>
    <row r="915">
      <c r="A915" s="255" t="str">
        <f>IFERROR(__xludf.DUMMYFUNCTION("""COMPUTED_VALUE"""),"NANO")</f>
        <v>NANO</v>
      </c>
      <c r="B915" s="23" t="str">
        <f>IFERROR(__xludf.DUMMYFUNCTION("""COMPUTED_VALUE"""),"glamwithmiaa ")</f>
        <v>glamwithmiaa </v>
      </c>
      <c r="C915" s="257" t="str">
        <f>IFERROR(__xludf.DUMMYFUNCTION("""COMPUTED_VALUE"""),"https://www.tiktok.com/@glamwithmiaa ")</f>
        <v>https://www.tiktok.com/@glamwithmiaa </v>
      </c>
      <c r="D915" s="23">
        <f>IFERROR(__xludf.DUMMYFUNCTION("""COMPUTED_VALUE"""),8.5943748486E10)</f>
        <v>85943748486</v>
      </c>
      <c r="E915" s="457">
        <f>IFERROR(__xludf.DUMMYFUNCTION("""COMPUTED_VALUE"""),0.0)</f>
        <v>0</v>
      </c>
      <c r="F915" s="270">
        <f>IFERROR(__xludf.DUMMYFUNCTION("""COMPUTED_VALUE"""),4.0)</f>
        <v>4</v>
      </c>
      <c r="G915" s="17" t="str">
        <f>IFERROR(__xludf.DUMMYFUNCTION("""COMPUTED_VALUE"""),"Full Set")</f>
        <v>Full Set</v>
      </c>
      <c r="H915" s="17"/>
      <c r="I915" s="262"/>
      <c r="J915" s="262"/>
      <c r="K915" s="262"/>
      <c r="L915" s="262"/>
      <c r="M915" s="262"/>
    </row>
    <row r="916">
      <c r="A916" s="255" t="str">
        <f>IFERROR(__xludf.DUMMYFUNCTION("""COMPUTED_VALUE"""),"NANO")</f>
        <v>NANO</v>
      </c>
      <c r="B916" s="23" t="str">
        <f>IFERROR(__xludf.DUMMYFUNCTION("""COMPUTED_VALUE"""),"Parveenstoreid ")</f>
        <v>Parveenstoreid </v>
      </c>
      <c r="C916" s="257" t="str">
        <f>IFERROR(__xludf.DUMMYFUNCTION("""COMPUTED_VALUE"""),"https://www.tiktok.com/@Parveenstoreid ")</f>
        <v>https://www.tiktok.com/@Parveenstoreid </v>
      </c>
      <c r="D916" s="23">
        <f>IFERROR(__xludf.DUMMYFUNCTION("""COMPUTED_VALUE"""),8.571461934E10)</f>
        <v>85714619340</v>
      </c>
      <c r="E916" s="457">
        <f>IFERROR(__xludf.DUMMYFUNCTION("""COMPUTED_VALUE"""),0.0)</f>
        <v>0</v>
      </c>
      <c r="F916" s="270">
        <f>IFERROR(__xludf.DUMMYFUNCTION("""COMPUTED_VALUE"""),4.0)</f>
        <v>4</v>
      </c>
      <c r="G916" s="17" t="str">
        <f>IFERROR(__xludf.DUMMYFUNCTION("""COMPUTED_VALUE"""),"Full Set")</f>
        <v>Full Set</v>
      </c>
      <c r="H916" s="17"/>
      <c r="I916" s="262"/>
      <c r="J916" s="262"/>
      <c r="K916" s="262"/>
      <c r="L916" s="262"/>
      <c r="M916" s="262"/>
    </row>
    <row r="917">
      <c r="A917" s="255" t="str">
        <f>IFERROR(__xludf.DUMMYFUNCTION("""COMPUTED_VALUE"""),"NANO")</f>
        <v>NANO</v>
      </c>
      <c r="B917" s="23" t="str">
        <f>IFERROR(__xludf.DUMMYFUNCTION("""COMPUTED_VALUE"""),"caffelovete")</f>
        <v>caffelovete</v>
      </c>
      <c r="C917" s="257" t="str">
        <f>IFERROR(__xludf.DUMMYFUNCTION("""COMPUTED_VALUE"""),"https://www.tiktok.com/@caffelovete")</f>
        <v>https://www.tiktok.com/@caffelovete</v>
      </c>
      <c r="D917" s="23">
        <f>IFERROR(__xludf.DUMMYFUNCTION("""COMPUTED_VALUE"""),8.7746552524E10)</f>
        <v>87746552524</v>
      </c>
      <c r="E917" s="457">
        <f>IFERROR(__xludf.DUMMYFUNCTION("""COMPUTED_VALUE"""),0.0)</f>
        <v>0</v>
      </c>
      <c r="F917" s="270">
        <f>IFERROR(__xludf.DUMMYFUNCTION("""COMPUTED_VALUE"""),4.0)</f>
        <v>4</v>
      </c>
      <c r="G917" s="17" t="str">
        <f>IFERROR(__xludf.DUMMYFUNCTION("""COMPUTED_VALUE"""),"Full Set")</f>
        <v>Full Set</v>
      </c>
      <c r="H917" s="17"/>
      <c r="I917" s="262"/>
      <c r="J917" s="262"/>
      <c r="K917" s="262"/>
      <c r="L917" s="262"/>
      <c r="M917" s="262"/>
    </row>
    <row r="918">
      <c r="A918" s="255" t="str">
        <f>IFERROR(__xludf.DUMMYFUNCTION("""COMPUTED_VALUE"""),"NANO")</f>
        <v>NANO</v>
      </c>
      <c r="B918" s="23" t="str">
        <f>IFERROR(__xludf.DUMMYFUNCTION("""COMPUTED_VALUE"""),"itsmeirma8")</f>
        <v>itsmeirma8</v>
      </c>
      <c r="C918" s="257" t="str">
        <f>IFERROR(__xludf.DUMMYFUNCTION("""COMPUTED_VALUE"""),"https://www.tiktok.com/@itsmeirma8")</f>
        <v>https://www.tiktok.com/@itsmeirma8</v>
      </c>
      <c r="D918" s="23">
        <f>IFERROR(__xludf.DUMMYFUNCTION("""COMPUTED_VALUE"""),8.1324430603E10)</f>
        <v>81324430603</v>
      </c>
      <c r="E918" s="457">
        <f>IFERROR(__xludf.DUMMYFUNCTION("""COMPUTED_VALUE"""),0.0)</f>
        <v>0</v>
      </c>
      <c r="F918" s="270">
        <f>IFERROR(__xludf.DUMMYFUNCTION("""COMPUTED_VALUE"""),4.0)</f>
        <v>4</v>
      </c>
      <c r="G918" s="17" t="str">
        <f>IFERROR(__xludf.DUMMYFUNCTION("""COMPUTED_VALUE"""),"Full Set")</f>
        <v>Full Set</v>
      </c>
      <c r="H918" s="17"/>
      <c r="I918" s="262"/>
      <c r="J918" s="262"/>
      <c r="K918" s="262"/>
      <c r="L918" s="262"/>
      <c r="M918" s="262"/>
    </row>
    <row r="919">
      <c r="A919" s="255" t="str">
        <f>IFERROR(__xludf.DUMMYFUNCTION("""COMPUTED_VALUE"""),"NANO")</f>
        <v>NANO</v>
      </c>
      <c r="B919" s="23" t="str">
        <f>IFERROR(__xludf.DUMMYFUNCTION("""COMPUTED_VALUE"""),"Snaura22")</f>
        <v>Snaura22</v>
      </c>
      <c r="C919" s="257" t="str">
        <f>IFERROR(__xludf.DUMMYFUNCTION("""COMPUTED_VALUE"""),"https://www.tiktok.com/@Snaura22")</f>
        <v>https://www.tiktok.com/@Snaura22</v>
      </c>
      <c r="D919" s="23">
        <f>IFERROR(__xludf.DUMMYFUNCTION("""COMPUTED_VALUE"""),8.5175154873E10)</f>
        <v>85175154873</v>
      </c>
      <c r="E919" s="457">
        <f>IFERROR(__xludf.DUMMYFUNCTION("""COMPUTED_VALUE"""),0.0)</f>
        <v>0</v>
      </c>
      <c r="F919" s="270">
        <f>IFERROR(__xludf.DUMMYFUNCTION("""COMPUTED_VALUE"""),4.0)</f>
        <v>4</v>
      </c>
      <c r="G919" s="17" t="str">
        <f>IFERROR(__xludf.DUMMYFUNCTION("""COMPUTED_VALUE"""),"Full Set")</f>
        <v>Full Set</v>
      </c>
      <c r="H919" s="17"/>
      <c r="I919" s="262"/>
      <c r="J919" s="262"/>
      <c r="K919" s="262"/>
      <c r="L919" s="262"/>
      <c r="M919" s="262"/>
    </row>
    <row r="920">
      <c r="A920" s="255" t="str">
        <f>IFERROR(__xludf.DUMMYFUNCTION("""COMPUTED_VALUE"""),"NANO")</f>
        <v>NANO</v>
      </c>
      <c r="B920" s="23" t="str">
        <f>IFERROR(__xludf.DUMMYFUNCTION("""COMPUTED_VALUE"""),"aleenalzam")</f>
        <v>aleenalzam</v>
      </c>
      <c r="C920" s="257" t="str">
        <f>IFERROR(__xludf.DUMMYFUNCTION("""COMPUTED_VALUE"""),"https://www.tiktok.com/@aleenalzam")</f>
        <v>https://www.tiktok.com/@aleenalzam</v>
      </c>
      <c r="D920" s="23">
        <f>IFERROR(__xludf.DUMMYFUNCTION("""COMPUTED_VALUE"""),8.388816279E9)</f>
        <v>8388816279</v>
      </c>
      <c r="E920" s="457">
        <f>IFERROR(__xludf.DUMMYFUNCTION("""COMPUTED_VALUE"""),0.0)</f>
        <v>0</v>
      </c>
      <c r="F920" s="270">
        <f>IFERROR(__xludf.DUMMYFUNCTION("""COMPUTED_VALUE"""),4.0)</f>
        <v>4</v>
      </c>
      <c r="G920" s="17" t="str">
        <f>IFERROR(__xludf.DUMMYFUNCTION("""COMPUTED_VALUE"""),"Full Set")</f>
        <v>Full Set</v>
      </c>
      <c r="H920" s="17"/>
      <c r="I920" s="262"/>
      <c r="J920" s="262"/>
      <c r="K920" s="262"/>
      <c r="L920" s="262"/>
      <c r="M920" s="262"/>
    </row>
    <row r="921">
      <c r="A921" s="255" t="str">
        <f>IFERROR(__xludf.DUMMYFUNCTION("""COMPUTED_VALUE"""),"NANO")</f>
        <v>NANO</v>
      </c>
      <c r="B921" s="23" t="str">
        <f>IFERROR(__xludf.DUMMYFUNCTION("""COMPUTED_VALUE"""),"alisia.svr")</f>
        <v>alisia.svr</v>
      </c>
      <c r="C921" s="257" t="str">
        <f>IFERROR(__xludf.DUMMYFUNCTION("""COMPUTED_VALUE"""),"https://www.tiktok.com/@alisia.svr")</f>
        <v>https://www.tiktok.com/@alisia.svr</v>
      </c>
      <c r="D921" s="23">
        <f>IFERROR(__xludf.DUMMYFUNCTION("""COMPUTED_VALUE"""),8.5725832753E10)</f>
        <v>85725832753</v>
      </c>
      <c r="E921" s="457">
        <f>IFERROR(__xludf.DUMMYFUNCTION("""COMPUTED_VALUE"""),0.0)</f>
        <v>0</v>
      </c>
      <c r="F921" s="270">
        <f>IFERROR(__xludf.DUMMYFUNCTION("""COMPUTED_VALUE"""),4.0)</f>
        <v>4</v>
      </c>
      <c r="G921" s="17" t="str">
        <f>IFERROR(__xludf.DUMMYFUNCTION("""COMPUTED_VALUE"""),"Full Set")</f>
        <v>Full Set</v>
      </c>
      <c r="H921" s="17"/>
      <c r="I921" s="262"/>
      <c r="J921" s="262"/>
      <c r="K921" s="262"/>
      <c r="L921" s="262"/>
      <c r="M921" s="262"/>
    </row>
    <row r="922">
      <c r="A922" s="255" t="str">
        <f>IFERROR(__xludf.DUMMYFUNCTION("""COMPUTED_VALUE"""),"NANO")</f>
        <v>NANO</v>
      </c>
      <c r="B922" s="23" t="str">
        <f>IFERROR(__xludf.DUMMYFUNCTION("""COMPUTED_VALUE"""),"chafastore_")</f>
        <v>chafastore_</v>
      </c>
      <c r="C922" s="257" t="str">
        <f>IFERROR(__xludf.DUMMYFUNCTION("""COMPUTED_VALUE"""),"https://www.tiktok.com/@chafastore_")</f>
        <v>https://www.tiktok.com/@chafastore_</v>
      </c>
      <c r="D922" s="23">
        <f>IFERROR(__xludf.DUMMYFUNCTION("""COMPUTED_VALUE"""),8.5169564234E10)</f>
        <v>85169564234</v>
      </c>
      <c r="E922" s="457">
        <f>IFERROR(__xludf.DUMMYFUNCTION("""COMPUTED_VALUE"""),0.0)</f>
        <v>0</v>
      </c>
      <c r="F922" s="270">
        <f>IFERROR(__xludf.DUMMYFUNCTION("""COMPUTED_VALUE"""),4.0)</f>
        <v>4</v>
      </c>
      <c r="G922" s="17" t="str">
        <f>IFERROR(__xludf.DUMMYFUNCTION("""COMPUTED_VALUE"""),"Full Set")</f>
        <v>Full Set</v>
      </c>
      <c r="H922" s="17"/>
      <c r="I922" s="262"/>
      <c r="J922" s="262"/>
      <c r="K922" s="262"/>
      <c r="L922" s="262"/>
      <c r="M922" s="262"/>
    </row>
    <row r="923">
      <c r="A923" s="255" t="str">
        <f>IFERROR(__xludf.DUMMYFUNCTION("""COMPUTED_VALUE"""),"NANO")</f>
        <v>NANO</v>
      </c>
      <c r="B923" s="23" t="str">
        <f>IFERROR(__xludf.DUMMYFUNCTION("""COMPUTED_VALUE"""),"spillskincare07")</f>
        <v>spillskincare07</v>
      </c>
      <c r="C923" s="257" t="str">
        <f>IFERROR(__xludf.DUMMYFUNCTION("""COMPUTED_VALUE"""),"https://www.tiktok.com/@spillskincare07")</f>
        <v>https://www.tiktok.com/@spillskincare07</v>
      </c>
      <c r="D923" s="23">
        <f>IFERROR(__xludf.DUMMYFUNCTION("""COMPUTED_VALUE"""),8.5730872973E10)</f>
        <v>85730872973</v>
      </c>
      <c r="E923" s="457">
        <f>IFERROR(__xludf.DUMMYFUNCTION("""COMPUTED_VALUE"""),0.0)</f>
        <v>0</v>
      </c>
      <c r="F923" s="270">
        <f>IFERROR(__xludf.DUMMYFUNCTION("""COMPUTED_VALUE"""),4.0)</f>
        <v>4</v>
      </c>
      <c r="G923" s="17" t="str">
        <f>IFERROR(__xludf.DUMMYFUNCTION("""COMPUTED_VALUE"""),"Full Set")</f>
        <v>Full Set</v>
      </c>
      <c r="H923" s="17"/>
      <c r="I923" s="262"/>
      <c r="J923" s="262"/>
      <c r="K923" s="262"/>
      <c r="L923" s="262"/>
      <c r="M923" s="262"/>
    </row>
    <row r="924">
      <c r="A924" s="255" t="str">
        <f>IFERROR(__xludf.DUMMYFUNCTION("""COMPUTED_VALUE"""),"NANO")</f>
        <v>NANO</v>
      </c>
      <c r="B924" s="23" t="str">
        <f>IFERROR(__xludf.DUMMYFUNCTION("""COMPUTED_VALUE"""),"dianamiswar ")</f>
        <v>dianamiswar </v>
      </c>
      <c r="C924" s="257" t="str">
        <f>IFERROR(__xludf.DUMMYFUNCTION("""COMPUTED_VALUE"""),"https://www.tiktok.com/@dianamiswar ")</f>
        <v>https://www.tiktok.com/@dianamiswar </v>
      </c>
      <c r="D924" s="23">
        <f>IFERROR(__xludf.DUMMYFUNCTION("""COMPUTED_VALUE"""),8.5182523205E10)</f>
        <v>85182523205</v>
      </c>
      <c r="E924" s="457">
        <f>IFERROR(__xludf.DUMMYFUNCTION("""COMPUTED_VALUE"""),0.0)</f>
        <v>0</v>
      </c>
      <c r="F924" s="270">
        <f>IFERROR(__xludf.DUMMYFUNCTION("""COMPUTED_VALUE"""),4.0)</f>
        <v>4</v>
      </c>
      <c r="G924" s="17" t="str">
        <f>IFERROR(__xludf.DUMMYFUNCTION("""COMPUTED_VALUE"""),"Full Set")</f>
        <v>Full Set</v>
      </c>
      <c r="H924" s="17"/>
      <c r="I924" s="262"/>
      <c r="J924" s="262"/>
      <c r="K924" s="262"/>
      <c r="L924" s="262"/>
      <c r="M924" s="262"/>
    </row>
    <row r="925">
      <c r="A925" s="255" t="str">
        <f>IFERROR(__xludf.DUMMYFUNCTION("""COMPUTED_VALUE"""),"NANO")</f>
        <v>NANO</v>
      </c>
      <c r="B925" s="23" t="str">
        <f>IFERROR(__xludf.DUMMYFUNCTION("""COMPUTED_VALUE"""),"liongirlie")</f>
        <v>liongirlie</v>
      </c>
      <c r="C925" s="257" t="str">
        <f>IFERROR(__xludf.DUMMYFUNCTION("""COMPUTED_VALUE"""),"https://www.tiktok.com/@liongirlie")</f>
        <v>https://www.tiktok.com/@liongirlie</v>
      </c>
      <c r="D925" s="23">
        <f>IFERROR(__xludf.DUMMYFUNCTION("""COMPUTED_VALUE"""),8.5236630604E10)</f>
        <v>85236630604</v>
      </c>
      <c r="E925" s="457">
        <f>IFERROR(__xludf.DUMMYFUNCTION("""COMPUTED_VALUE"""),0.0)</f>
        <v>0</v>
      </c>
      <c r="F925" s="270">
        <f>IFERROR(__xludf.DUMMYFUNCTION("""COMPUTED_VALUE"""),4.0)</f>
        <v>4</v>
      </c>
      <c r="G925" s="17" t="str">
        <f>IFERROR(__xludf.DUMMYFUNCTION("""COMPUTED_VALUE"""),"Full Set")</f>
        <v>Full Set</v>
      </c>
      <c r="H925" s="17"/>
      <c r="I925" s="262"/>
      <c r="J925" s="262"/>
      <c r="K925" s="262"/>
      <c r="L925" s="262"/>
      <c r="M925" s="262"/>
    </row>
    <row r="926">
      <c r="A926" s="255" t="str">
        <f>IFERROR(__xludf.DUMMYFUNCTION("""COMPUTED_VALUE"""),"NANO")</f>
        <v>NANO</v>
      </c>
      <c r="B926" s="23" t="str">
        <f>IFERROR(__xludf.DUMMYFUNCTION("""COMPUTED_VALUE"""),"Affiliatetiktok830")</f>
        <v>Affiliatetiktok830</v>
      </c>
      <c r="C926" s="257" t="str">
        <f>IFERROR(__xludf.DUMMYFUNCTION("""COMPUTED_VALUE"""),"https://www.tiktok.com/@Affiliatetiktok830")</f>
        <v>https://www.tiktok.com/@Affiliatetiktok830</v>
      </c>
      <c r="D926" s="23">
        <f>IFERROR(__xludf.DUMMYFUNCTION("""COMPUTED_VALUE"""),8.7843238803E10)</f>
        <v>87843238803</v>
      </c>
      <c r="E926" s="457">
        <f>IFERROR(__xludf.DUMMYFUNCTION("""COMPUTED_VALUE"""),0.0)</f>
        <v>0</v>
      </c>
      <c r="F926" s="270">
        <f>IFERROR(__xludf.DUMMYFUNCTION("""COMPUTED_VALUE"""),4.0)</f>
        <v>4</v>
      </c>
      <c r="G926" s="17" t="str">
        <f>IFERROR(__xludf.DUMMYFUNCTION("""COMPUTED_VALUE"""),"Full Set")</f>
        <v>Full Set</v>
      </c>
      <c r="H926" s="17"/>
      <c r="I926" s="262"/>
      <c r="J926" s="262"/>
      <c r="K926" s="262"/>
      <c r="L926" s="262"/>
      <c r="M926" s="262"/>
    </row>
    <row r="927">
      <c r="A927" s="255" t="str">
        <f>IFERROR(__xludf.DUMMYFUNCTION("""COMPUTED_VALUE"""),"NANO")</f>
        <v>NANO</v>
      </c>
      <c r="B927" s="23" t="str">
        <f>IFERROR(__xludf.DUMMYFUNCTION("""COMPUTED_VALUE"""),"sweetly_ranaa")</f>
        <v>sweetly_ranaa</v>
      </c>
      <c r="C927" s="257" t="str">
        <f>IFERROR(__xludf.DUMMYFUNCTION("""COMPUTED_VALUE"""),"https://www.tiktok.com/@sweetly_ranaa")</f>
        <v>https://www.tiktok.com/@sweetly_ranaa</v>
      </c>
      <c r="D927" s="23">
        <f>IFERROR(__xludf.DUMMYFUNCTION("""COMPUTED_VALUE"""),8.5315119893E10)</f>
        <v>85315119893</v>
      </c>
      <c r="E927" s="457">
        <f>IFERROR(__xludf.DUMMYFUNCTION("""COMPUTED_VALUE"""),0.0)</f>
        <v>0</v>
      </c>
      <c r="F927" s="270">
        <f>IFERROR(__xludf.DUMMYFUNCTION("""COMPUTED_VALUE"""),4.0)</f>
        <v>4</v>
      </c>
      <c r="G927" s="17" t="str">
        <f>IFERROR(__xludf.DUMMYFUNCTION("""COMPUTED_VALUE"""),"Full Set")</f>
        <v>Full Set</v>
      </c>
      <c r="H927" s="17"/>
      <c r="I927" s="262"/>
      <c r="J927" s="262"/>
      <c r="K927" s="262"/>
      <c r="L927" s="262"/>
      <c r="M927" s="262"/>
    </row>
    <row r="928">
      <c r="A928" s="255" t="str">
        <f>IFERROR(__xludf.DUMMYFUNCTION("""COMPUTED_VALUE"""),"NANO")</f>
        <v>NANO</v>
      </c>
      <c r="B928" s="23" t="str">
        <f>IFERROR(__xludf.DUMMYFUNCTION("""COMPUTED_VALUE"""),"thismandya")</f>
        <v>thismandya</v>
      </c>
      <c r="C928" s="257" t="str">
        <f>IFERROR(__xludf.DUMMYFUNCTION("""COMPUTED_VALUE"""),"https://www.tiktok.com/@thismandya")</f>
        <v>https://www.tiktok.com/@thismandya</v>
      </c>
      <c r="D928" s="23">
        <f>IFERROR(__xludf.DUMMYFUNCTION("""COMPUTED_VALUE"""),8.1211997105E10)</f>
        <v>81211997105</v>
      </c>
      <c r="E928" s="457">
        <f>IFERROR(__xludf.DUMMYFUNCTION("""COMPUTED_VALUE"""),0.0)</f>
        <v>0</v>
      </c>
      <c r="F928" s="270">
        <f>IFERROR(__xludf.DUMMYFUNCTION("""COMPUTED_VALUE"""),4.0)</f>
        <v>4</v>
      </c>
      <c r="G928" s="17" t="str">
        <f>IFERROR(__xludf.DUMMYFUNCTION("""COMPUTED_VALUE"""),"Full Set")</f>
        <v>Full Set</v>
      </c>
      <c r="H928" s="17"/>
      <c r="I928" s="262"/>
      <c r="J928" s="262"/>
      <c r="K928" s="262"/>
      <c r="L928" s="262"/>
      <c r="M928" s="262"/>
    </row>
    <row r="929">
      <c r="A929" s="255" t="str">
        <f>IFERROR(__xludf.DUMMYFUNCTION("""COMPUTED_VALUE"""),"NANO")</f>
        <v>NANO</v>
      </c>
      <c r="B929" s="23" t="str">
        <f>IFERROR(__xludf.DUMMYFUNCTION("""COMPUTED_VALUE"""),"latiffmuha02")</f>
        <v>latiffmuha02</v>
      </c>
      <c r="C929" s="257" t="str">
        <f>IFERROR(__xludf.DUMMYFUNCTION("""COMPUTED_VALUE"""),"https://www.tiktok.com/@latiffmuha02")</f>
        <v>https://www.tiktok.com/@latiffmuha02</v>
      </c>
      <c r="D929" s="23">
        <f>IFERROR(__xludf.DUMMYFUNCTION("""COMPUTED_VALUE"""),8.2322390104E10)</f>
        <v>82322390104</v>
      </c>
      <c r="E929" s="457">
        <f>IFERROR(__xludf.DUMMYFUNCTION("""COMPUTED_VALUE"""),0.0)</f>
        <v>0</v>
      </c>
      <c r="F929" s="270">
        <f>IFERROR(__xludf.DUMMYFUNCTION("""COMPUTED_VALUE"""),4.0)</f>
        <v>4</v>
      </c>
      <c r="G929" s="17" t="str">
        <f>IFERROR(__xludf.DUMMYFUNCTION("""COMPUTED_VALUE"""),"Full Set")</f>
        <v>Full Set</v>
      </c>
      <c r="H929" s="17"/>
      <c r="I929" s="262"/>
      <c r="J929" s="262"/>
      <c r="K929" s="262"/>
      <c r="L929" s="262"/>
      <c r="M929" s="262"/>
    </row>
    <row r="930">
      <c r="A930" s="255" t="str">
        <f>IFERROR(__xludf.DUMMYFUNCTION("""COMPUTED_VALUE"""),"NANO")</f>
        <v>NANO</v>
      </c>
      <c r="B930" s="23" t="str">
        <f>IFERROR(__xludf.DUMMYFUNCTION("""COMPUTED_VALUE"""),"Citraabelia_")</f>
        <v>Citraabelia_</v>
      </c>
      <c r="C930" s="257" t="str">
        <f>IFERROR(__xludf.DUMMYFUNCTION("""COMPUTED_VALUE"""),"https://www.tiktok.com/@Citraabelia_")</f>
        <v>https://www.tiktok.com/@Citraabelia_</v>
      </c>
      <c r="D930" s="23">
        <f>IFERROR(__xludf.DUMMYFUNCTION("""COMPUTED_VALUE"""),8.5835437329E10)</f>
        <v>85835437329</v>
      </c>
      <c r="E930" s="457">
        <f>IFERROR(__xludf.DUMMYFUNCTION("""COMPUTED_VALUE"""),0.0)</f>
        <v>0</v>
      </c>
      <c r="F930" s="270">
        <f>IFERROR(__xludf.DUMMYFUNCTION("""COMPUTED_VALUE"""),4.0)</f>
        <v>4</v>
      </c>
      <c r="G930" s="17" t="str">
        <f>IFERROR(__xludf.DUMMYFUNCTION("""COMPUTED_VALUE"""),"Full Set")</f>
        <v>Full Set</v>
      </c>
      <c r="H930" s="17"/>
      <c r="I930" s="262"/>
      <c r="J930" s="262"/>
      <c r="K930" s="262"/>
      <c r="L930" s="262"/>
      <c r="M930" s="262"/>
    </row>
    <row r="931">
      <c r="A931" s="255" t="str">
        <f>IFERROR(__xludf.DUMMYFUNCTION("""COMPUTED_VALUE"""),"NANO")</f>
        <v>NANO</v>
      </c>
      <c r="B931" s="23" t="str">
        <f>IFERROR(__xludf.DUMMYFUNCTION("""COMPUTED_VALUE"""),"Windiyku")</f>
        <v>Windiyku</v>
      </c>
      <c r="C931" s="257" t="str">
        <f>IFERROR(__xludf.DUMMYFUNCTION("""COMPUTED_VALUE"""),"https://www.tiktok.com/@Windiyku")</f>
        <v>https://www.tiktok.com/@Windiyku</v>
      </c>
      <c r="D931" s="23">
        <f>IFERROR(__xludf.DUMMYFUNCTION("""COMPUTED_VALUE"""),8.5640713896E10)</f>
        <v>85640713896</v>
      </c>
      <c r="E931" s="457">
        <f>IFERROR(__xludf.DUMMYFUNCTION("""COMPUTED_VALUE"""),0.0)</f>
        <v>0</v>
      </c>
      <c r="F931" s="270">
        <f>IFERROR(__xludf.DUMMYFUNCTION("""COMPUTED_VALUE"""),4.0)</f>
        <v>4</v>
      </c>
      <c r="G931" s="17" t="str">
        <f>IFERROR(__xludf.DUMMYFUNCTION("""COMPUTED_VALUE"""),"Full Set")</f>
        <v>Full Set</v>
      </c>
      <c r="H931" s="17"/>
      <c r="I931" s="262"/>
      <c r="J931" s="262"/>
      <c r="K931" s="262"/>
      <c r="L931" s="262"/>
      <c r="M931" s="262"/>
    </row>
    <row r="932">
      <c r="A932" s="255" t="str">
        <f>IFERROR(__xludf.DUMMYFUNCTION("""COMPUTED_VALUE"""),"NANO")</f>
        <v>NANO</v>
      </c>
      <c r="B932" s="23" t="str">
        <f>IFERROR(__xludf.DUMMYFUNCTION("""COMPUTED_VALUE"""),"quenzzx ")</f>
        <v>quenzzx </v>
      </c>
      <c r="C932" s="257" t="str">
        <f>IFERROR(__xludf.DUMMYFUNCTION("""COMPUTED_VALUE"""),"https://www.tiktok.com/@quenzzx ")</f>
        <v>https://www.tiktok.com/@quenzzx </v>
      </c>
      <c r="D932" s="23">
        <f>IFERROR(__xludf.DUMMYFUNCTION("""COMPUTED_VALUE"""),8.3817088417E10)</f>
        <v>83817088417</v>
      </c>
      <c r="E932" s="457">
        <f>IFERROR(__xludf.DUMMYFUNCTION("""COMPUTED_VALUE"""),0.0)</f>
        <v>0</v>
      </c>
      <c r="F932" s="270">
        <f>IFERROR(__xludf.DUMMYFUNCTION("""COMPUTED_VALUE"""),4.0)</f>
        <v>4</v>
      </c>
      <c r="G932" s="17" t="str">
        <f>IFERROR(__xludf.DUMMYFUNCTION("""COMPUTED_VALUE"""),"Full Set")</f>
        <v>Full Set</v>
      </c>
      <c r="H932" s="17"/>
      <c r="I932" s="262"/>
      <c r="J932" s="262"/>
      <c r="K932" s="262"/>
      <c r="L932" s="262"/>
      <c r="M932" s="262"/>
    </row>
    <row r="933">
      <c r="A933" s="255" t="str">
        <f>IFERROR(__xludf.DUMMYFUNCTION("""COMPUTED_VALUE"""),"NANO")</f>
        <v>NANO</v>
      </c>
      <c r="B933" s="23" t="str">
        <f>IFERROR(__xludf.DUMMYFUNCTION("""COMPUTED_VALUE"""),"spilbysilvi_")</f>
        <v>spilbysilvi_</v>
      </c>
      <c r="C933" s="257" t="str">
        <f>IFERROR(__xludf.DUMMYFUNCTION("""COMPUTED_VALUE"""),"https://www.tiktok.com/@spilbysilvi_")</f>
        <v>https://www.tiktok.com/@spilbysilvi_</v>
      </c>
      <c r="D933" s="23">
        <f>IFERROR(__xludf.DUMMYFUNCTION("""COMPUTED_VALUE"""),8.516715665E10)</f>
        <v>85167156650</v>
      </c>
      <c r="E933" s="457">
        <f>IFERROR(__xludf.DUMMYFUNCTION("""COMPUTED_VALUE"""),0.0)</f>
        <v>0</v>
      </c>
      <c r="F933" s="270">
        <f>IFERROR(__xludf.DUMMYFUNCTION("""COMPUTED_VALUE"""),4.0)</f>
        <v>4</v>
      </c>
      <c r="G933" s="17" t="str">
        <f>IFERROR(__xludf.DUMMYFUNCTION("""COMPUTED_VALUE"""),"Full Set")</f>
        <v>Full Set</v>
      </c>
      <c r="H933" s="17"/>
      <c r="I933" s="262"/>
      <c r="J933" s="262"/>
      <c r="K933" s="262"/>
      <c r="L933" s="262"/>
      <c r="M933" s="262"/>
    </row>
    <row r="934">
      <c r="A934" s="255" t="str">
        <f>IFERROR(__xludf.DUMMYFUNCTION("""COMPUTED_VALUE"""),"NANO")</f>
        <v>NANO</v>
      </c>
      <c r="B934" s="23" t="str">
        <f>IFERROR(__xludf.DUMMYFUNCTION("""COMPUTED_VALUE"""),"as3atri")</f>
        <v>as3atri</v>
      </c>
      <c r="C934" s="257" t="str">
        <f>IFERROR(__xludf.DUMMYFUNCTION("""COMPUTED_VALUE"""),"https://www.tiktok.com/@as3atri")</f>
        <v>https://www.tiktok.com/@as3atri</v>
      </c>
      <c r="D934" s="23">
        <f>IFERROR(__xludf.DUMMYFUNCTION("""COMPUTED_VALUE"""),8.7840321565E10)</f>
        <v>87840321565</v>
      </c>
      <c r="E934" s="457">
        <f>IFERROR(__xludf.DUMMYFUNCTION("""COMPUTED_VALUE"""),0.0)</f>
        <v>0</v>
      </c>
      <c r="F934" s="270">
        <f>IFERROR(__xludf.DUMMYFUNCTION("""COMPUTED_VALUE"""),4.0)</f>
        <v>4</v>
      </c>
      <c r="G934" s="17" t="str">
        <f>IFERROR(__xludf.DUMMYFUNCTION("""COMPUTED_VALUE"""),"Full Set")</f>
        <v>Full Set</v>
      </c>
      <c r="H934" s="17"/>
      <c r="I934" s="262"/>
      <c r="J934" s="262"/>
      <c r="K934" s="262"/>
      <c r="L934" s="262"/>
      <c r="M934" s="262"/>
    </row>
    <row r="935">
      <c r="A935" s="255" t="str">
        <f>IFERROR(__xludf.DUMMYFUNCTION("""COMPUTED_VALUE"""),"NANO")</f>
        <v>NANO</v>
      </c>
      <c r="B935" s="23" t="str">
        <f>IFERROR(__xludf.DUMMYFUNCTION("""COMPUTED_VALUE"""),"ayuni sm ")</f>
        <v>ayuni sm </v>
      </c>
      <c r="C935" s="23" t="str">
        <f>IFERROR(__xludf.DUMMYFUNCTION("""COMPUTED_VALUE"""),"https://www.tiktok.com/@ayuni sm ")</f>
        <v>https://www.tiktok.com/@ayuni sm </v>
      </c>
      <c r="D935" s="23">
        <f>IFERROR(__xludf.DUMMYFUNCTION("""COMPUTED_VALUE"""),8.3873028629E10)</f>
        <v>83873028629</v>
      </c>
      <c r="E935" s="457">
        <f>IFERROR(__xludf.DUMMYFUNCTION("""COMPUTED_VALUE"""),0.0)</f>
        <v>0</v>
      </c>
      <c r="F935" s="270">
        <f>IFERROR(__xludf.DUMMYFUNCTION("""COMPUTED_VALUE"""),4.0)</f>
        <v>4</v>
      </c>
      <c r="G935" s="17" t="str">
        <f>IFERROR(__xludf.DUMMYFUNCTION("""COMPUTED_VALUE"""),"Full Set")</f>
        <v>Full Set</v>
      </c>
      <c r="H935" s="17"/>
      <c r="I935" s="262"/>
      <c r="J935" s="262"/>
      <c r="K935" s="262"/>
      <c r="L935" s="262"/>
      <c r="M935" s="262"/>
    </row>
    <row r="936">
      <c r="A936" s="255" t="str">
        <f>IFERROR(__xludf.DUMMYFUNCTION("""COMPUTED_VALUE"""),"NANO")</f>
        <v>NANO</v>
      </c>
      <c r="B936" s="23" t="str">
        <f>IFERROR(__xludf.DUMMYFUNCTION("""COMPUTED_VALUE"""),"renaaaadwiar")</f>
        <v>renaaaadwiar</v>
      </c>
      <c r="C936" s="257" t="str">
        <f>IFERROR(__xludf.DUMMYFUNCTION("""COMPUTED_VALUE"""),"https://www.tiktok.com/@renaaaadwiar")</f>
        <v>https://www.tiktok.com/@renaaaadwiar</v>
      </c>
      <c r="D936" s="23">
        <f>IFERROR(__xludf.DUMMYFUNCTION("""COMPUTED_VALUE"""),8.1336446649E10)</f>
        <v>81336446649</v>
      </c>
      <c r="E936" s="457">
        <f>IFERROR(__xludf.DUMMYFUNCTION("""COMPUTED_VALUE"""),0.0)</f>
        <v>0</v>
      </c>
      <c r="F936" s="270">
        <f>IFERROR(__xludf.DUMMYFUNCTION("""COMPUTED_VALUE"""),4.0)</f>
        <v>4</v>
      </c>
      <c r="G936" s="17" t="str">
        <f>IFERROR(__xludf.DUMMYFUNCTION("""COMPUTED_VALUE"""),"Full Set")</f>
        <v>Full Set</v>
      </c>
      <c r="H936" s="17"/>
      <c r="I936" s="262"/>
      <c r="J936" s="262"/>
      <c r="K936" s="262"/>
      <c r="L936" s="262"/>
      <c r="M936" s="262"/>
    </row>
    <row r="937">
      <c r="A937" s="255" t="str">
        <f>IFERROR(__xludf.DUMMYFUNCTION("""COMPUTED_VALUE"""),"NANO")</f>
        <v>NANO</v>
      </c>
      <c r="B937" s="23" t="str">
        <f>IFERROR(__xludf.DUMMYFUNCTION("""COMPUTED_VALUE"""),"Nadnadtrz")</f>
        <v>Nadnadtrz</v>
      </c>
      <c r="C937" s="257" t="str">
        <f>IFERROR(__xludf.DUMMYFUNCTION("""COMPUTED_VALUE"""),"https://www.tiktok.com/@Nadnadtrz")</f>
        <v>https://www.tiktok.com/@Nadnadtrz</v>
      </c>
      <c r="D937" s="23">
        <f>IFERROR(__xludf.DUMMYFUNCTION("""COMPUTED_VALUE"""),8.95710274499E11)</f>
        <v>895710274499</v>
      </c>
      <c r="E937" s="457">
        <f>IFERROR(__xludf.DUMMYFUNCTION("""COMPUTED_VALUE"""),0.0)</f>
        <v>0</v>
      </c>
      <c r="F937" s="270">
        <f>IFERROR(__xludf.DUMMYFUNCTION("""COMPUTED_VALUE"""),4.0)</f>
        <v>4</v>
      </c>
      <c r="G937" s="17" t="str">
        <f>IFERROR(__xludf.DUMMYFUNCTION("""COMPUTED_VALUE"""),"Full Set")</f>
        <v>Full Set</v>
      </c>
      <c r="H937" s="17"/>
      <c r="I937" s="262"/>
      <c r="J937" s="262"/>
      <c r="K937" s="262"/>
      <c r="L937" s="262"/>
      <c r="M937" s="262"/>
    </row>
    <row r="938">
      <c r="A938" s="255" t="str">
        <f>IFERROR(__xludf.DUMMYFUNCTION("""COMPUTED_VALUE"""),"NANO")</f>
        <v>NANO</v>
      </c>
      <c r="B938" s="23" t="str">
        <f>IFERROR(__xludf.DUMMYFUNCTION("""COMPUTED_VALUE"""),"Alexandria.1205")</f>
        <v>Alexandria.1205</v>
      </c>
      <c r="C938" s="257" t="str">
        <f>IFERROR(__xludf.DUMMYFUNCTION("""COMPUTED_VALUE"""),"https://www.tiktok.com/@Alexandria.1205")</f>
        <v>https://www.tiktok.com/@Alexandria.1205</v>
      </c>
      <c r="D938" s="23">
        <f>IFERROR(__xludf.DUMMYFUNCTION("""COMPUTED_VALUE"""),8.5883338673E10)</f>
        <v>85883338673</v>
      </c>
      <c r="E938" s="457">
        <f>IFERROR(__xludf.DUMMYFUNCTION("""COMPUTED_VALUE"""),0.0)</f>
        <v>0</v>
      </c>
      <c r="F938" s="270">
        <f>IFERROR(__xludf.DUMMYFUNCTION("""COMPUTED_VALUE"""),4.0)</f>
        <v>4</v>
      </c>
      <c r="G938" s="17" t="str">
        <f>IFERROR(__xludf.DUMMYFUNCTION("""COMPUTED_VALUE"""),"Full Set")</f>
        <v>Full Set</v>
      </c>
      <c r="H938" s="17"/>
      <c r="I938" s="262"/>
      <c r="J938" s="262"/>
      <c r="K938" s="262"/>
      <c r="L938" s="262"/>
      <c r="M938" s="262"/>
    </row>
    <row r="939">
      <c r="A939" s="255" t="str">
        <f>IFERROR(__xludf.DUMMYFUNCTION("""COMPUTED_VALUE"""),"NANO")</f>
        <v>NANO</v>
      </c>
      <c r="B939" s="23" t="str">
        <f>IFERROR(__xludf.DUMMYFUNCTION("""COMPUTED_VALUE"""),"Hanakoluminara02")</f>
        <v>Hanakoluminara02</v>
      </c>
      <c r="C939" s="257" t="str">
        <f>IFERROR(__xludf.DUMMYFUNCTION("""COMPUTED_VALUE"""),"https://www.tiktok.com/@Hanakoluminara02")</f>
        <v>https://www.tiktok.com/@Hanakoluminara02</v>
      </c>
      <c r="D939" s="23">
        <f>IFERROR(__xludf.DUMMYFUNCTION("""COMPUTED_VALUE"""),8.5172222921E10)</f>
        <v>85172222921</v>
      </c>
      <c r="E939" s="457">
        <f>IFERROR(__xludf.DUMMYFUNCTION("""COMPUTED_VALUE"""),0.0)</f>
        <v>0</v>
      </c>
      <c r="F939" s="270">
        <f>IFERROR(__xludf.DUMMYFUNCTION("""COMPUTED_VALUE"""),4.0)</f>
        <v>4</v>
      </c>
      <c r="G939" s="17" t="str">
        <f>IFERROR(__xludf.DUMMYFUNCTION("""COMPUTED_VALUE"""),"Full Set")</f>
        <v>Full Set</v>
      </c>
      <c r="H939" s="17"/>
      <c r="I939" s="262"/>
      <c r="J939" s="262"/>
      <c r="K939" s="262"/>
      <c r="L939" s="262"/>
      <c r="M939" s="262"/>
    </row>
    <row r="940">
      <c r="A940" s="255" t="str">
        <f>IFERROR(__xludf.DUMMYFUNCTION("""COMPUTED_VALUE"""),"NANO")</f>
        <v>NANO</v>
      </c>
      <c r="B940" s="23" t="str">
        <f>IFERROR(__xludf.DUMMYFUNCTION("""COMPUTED_VALUE"""),"hiiichataa ")</f>
        <v>hiiichataa </v>
      </c>
      <c r="C940" s="257" t="str">
        <f>IFERROR(__xludf.DUMMYFUNCTION("""COMPUTED_VALUE"""),"https://www.tiktok.com/@hiiichataa ")</f>
        <v>https://www.tiktok.com/@hiiichataa </v>
      </c>
      <c r="D940" s="23">
        <f>IFERROR(__xludf.DUMMYFUNCTION("""COMPUTED_VALUE"""),8.1910790805E10)</f>
        <v>81910790805</v>
      </c>
      <c r="E940" s="457">
        <f>IFERROR(__xludf.DUMMYFUNCTION("""COMPUTED_VALUE"""),0.0)</f>
        <v>0</v>
      </c>
      <c r="F940" s="270">
        <f>IFERROR(__xludf.DUMMYFUNCTION("""COMPUTED_VALUE"""),4.0)</f>
        <v>4</v>
      </c>
      <c r="G940" s="17" t="str">
        <f>IFERROR(__xludf.DUMMYFUNCTION("""COMPUTED_VALUE"""),"Full Set")</f>
        <v>Full Set</v>
      </c>
      <c r="H940" s="17"/>
      <c r="I940" s="262"/>
      <c r="J940" s="262"/>
      <c r="K940" s="262"/>
      <c r="L940" s="262"/>
      <c r="M940" s="262"/>
    </row>
    <row r="941">
      <c r="A941" s="255" t="str">
        <f>IFERROR(__xludf.DUMMYFUNCTION("""COMPUTED_VALUE"""),"NANO")</f>
        <v>NANO</v>
      </c>
      <c r="B941" s="23" t="str">
        <f>IFERROR(__xludf.DUMMYFUNCTION("""COMPUTED_VALUE"""),"aca.filate")</f>
        <v>aca.filate</v>
      </c>
      <c r="C941" s="257" t="str">
        <f>IFERROR(__xludf.DUMMYFUNCTION("""COMPUTED_VALUE"""),"https://www.tiktok.com/@aca.filate")</f>
        <v>https://www.tiktok.com/@aca.filate</v>
      </c>
      <c r="D941" s="23">
        <f>IFERROR(__xludf.DUMMYFUNCTION("""COMPUTED_VALUE"""),8.95344946688E11)</f>
        <v>895344946688</v>
      </c>
      <c r="E941" s="457">
        <f>IFERROR(__xludf.DUMMYFUNCTION("""COMPUTED_VALUE"""),0.0)</f>
        <v>0</v>
      </c>
      <c r="F941" s="270">
        <f>IFERROR(__xludf.DUMMYFUNCTION("""COMPUTED_VALUE"""),4.0)</f>
        <v>4</v>
      </c>
      <c r="G941" s="17" t="str">
        <f>IFERROR(__xludf.DUMMYFUNCTION("""COMPUTED_VALUE"""),"Full Set")</f>
        <v>Full Set</v>
      </c>
      <c r="H941" s="17"/>
      <c r="I941" s="262"/>
      <c r="J941" s="262"/>
      <c r="K941" s="262"/>
      <c r="L941" s="262"/>
      <c r="M941" s="262"/>
    </row>
    <row r="942">
      <c r="A942" s="255" t="str">
        <f>IFERROR(__xludf.DUMMYFUNCTION("""COMPUTED_VALUE"""),"NANO")</f>
        <v>NANO</v>
      </c>
      <c r="B942" s="23" t="str">
        <f>IFERROR(__xludf.DUMMYFUNCTION("""COMPUTED_VALUE"""),"Mitandini_")</f>
        <v>Mitandini_</v>
      </c>
      <c r="C942" s="257" t="str">
        <f>IFERROR(__xludf.DUMMYFUNCTION("""COMPUTED_VALUE"""),"https://www.tiktok.com/@Mitandini_")</f>
        <v>https://www.tiktok.com/@Mitandini_</v>
      </c>
      <c r="D942" s="23">
        <f>IFERROR(__xludf.DUMMYFUNCTION("""COMPUTED_VALUE"""),8.12106727E10)</f>
        <v>81210672700</v>
      </c>
      <c r="E942" s="457">
        <f>IFERROR(__xludf.DUMMYFUNCTION("""COMPUTED_VALUE"""),0.0)</f>
        <v>0</v>
      </c>
      <c r="F942" s="270">
        <f>IFERROR(__xludf.DUMMYFUNCTION("""COMPUTED_VALUE"""),4.0)</f>
        <v>4</v>
      </c>
      <c r="G942" s="17" t="str">
        <f>IFERROR(__xludf.DUMMYFUNCTION("""COMPUTED_VALUE"""),"Full Set")</f>
        <v>Full Set</v>
      </c>
      <c r="H942" s="17"/>
      <c r="I942" s="262"/>
      <c r="J942" s="262"/>
      <c r="K942" s="262"/>
      <c r="L942" s="262"/>
      <c r="M942" s="262"/>
    </row>
    <row r="943">
      <c r="A943" s="255" t="str">
        <f>IFERROR(__xludf.DUMMYFUNCTION("""COMPUTED_VALUE"""),"NANO")</f>
        <v>NANO</v>
      </c>
      <c r="B943" s="23" t="str">
        <f>IFERROR(__xludf.DUMMYFUNCTION("""COMPUTED_VALUE"""),"agustinaselayar3")</f>
        <v>agustinaselayar3</v>
      </c>
      <c r="C943" s="257" t="str">
        <f>IFERROR(__xludf.DUMMYFUNCTION("""COMPUTED_VALUE"""),"https://www.tiktok.com/@agustinaselayar3")</f>
        <v>https://www.tiktok.com/@agustinaselayar3</v>
      </c>
      <c r="D943" s="23">
        <f>IFERROR(__xludf.DUMMYFUNCTION("""COMPUTED_VALUE"""),8.1316004265E10)</f>
        <v>81316004265</v>
      </c>
      <c r="E943" s="457">
        <f>IFERROR(__xludf.DUMMYFUNCTION("""COMPUTED_VALUE"""),0.0)</f>
        <v>0</v>
      </c>
      <c r="F943" s="270">
        <f>IFERROR(__xludf.DUMMYFUNCTION("""COMPUTED_VALUE"""),4.0)</f>
        <v>4</v>
      </c>
      <c r="G943" s="17" t="str">
        <f>IFERROR(__xludf.DUMMYFUNCTION("""COMPUTED_VALUE"""),"Full Set")</f>
        <v>Full Set</v>
      </c>
      <c r="H943" s="17"/>
      <c r="I943" s="262"/>
      <c r="J943" s="262"/>
      <c r="K943" s="262"/>
      <c r="L943" s="262"/>
      <c r="M943" s="262"/>
    </row>
    <row r="944">
      <c r="A944" s="255" t="str">
        <f>IFERROR(__xludf.DUMMYFUNCTION("""COMPUTED_VALUE"""),"NANO")</f>
        <v>NANO</v>
      </c>
      <c r="B944" s="23" t="str">
        <f>IFERROR(__xludf.DUMMYFUNCTION("""COMPUTED_VALUE"""),"rirayy_")</f>
        <v>rirayy_</v>
      </c>
      <c r="C944" s="257" t="str">
        <f>IFERROR(__xludf.DUMMYFUNCTION("""COMPUTED_VALUE"""),"https://www.tiktok.com/@rirayy_")</f>
        <v>https://www.tiktok.com/@rirayy_</v>
      </c>
      <c r="D944" s="23">
        <f>IFERROR(__xludf.DUMMYFUNCTION("""COMPUTED_VALUE"""),8.5600499058E10)</f>
        <v>85600499058</v>
      </c>
      <c r="E944" s="457">
        <f>IFERROR(__xludf.DUMMYFUNCTION("""COMPUTED_VALUE"""),0.0)</f>
        <v>0</v>
      </c>
      <c r="F944" s="270">
        <f>IFERROR(__xludf.DUMMYFUNCTION("""COMPUTED_VALUE"""),4.0)</f>
        <v>4</v>
      </c>
      <c r="G944" s="17" t="str">
        <f>IFERROR(__xludf.DUMMYFUNCTION("""COMPUTED_VALUE"""),"Full Set")</f>
        <v>Full Set</v>
      </c>
      <c r="H944" s="17"/>
      <c r="I944" s="262"/>
      <c r="J944" s="262"/>
      <c r="K944" s="262"/>
      <c r="L944" s="262"/>
      <c r="M944" s="262"/>
    </row>
    <row r="945">
      <c r="A945" s="255" t="str">
        <f>IFERROR(__xludf.DUMMYFUNCTION("""COMPUTED_VALUE"""),"NANO")</f>
        <v>NANO</v>
      </c>
      <c r="B945" s="23" t="str">
        <f>IFERROR(__xludf.DUMMYFUNCTION("""COMPUTED_VALUE"""),"Monoeyelid ")</f>
        <v>Monoeyelid </v>
      </c>
      <c r="C945" s="257" t="str">
        <f>IFERROR(__xludf.DUMMYFUNCTION("""COMPUTED_VALUE"""),"https://www.tiktok.com/@Monoeyelid ")</f>
        <v>https://www.tiktok.com/@Monoeyelid </v>
      </c>
      <c r="D945" s="23">
        <f>IFERROR(__xludf.DUMMYFUNCTION("""COMPUTED_VALUE"""),8.5290718807E10)</f>
        <v>85290718807</v>
      </c>
      <c r="E945" s="457">
        <f>IFERROR(__xludf.DUMMYFUNCTION("""COMPUTED_VALUE"""),0.0)</f>
        <v>0</v>
      </c>
      <c r="F945" s="270">
        <f>IFERROR(__xludf.DUMMYFUNCTION("""COMPUTED_VALUE"""),4.0)</f>
        <v>4</v>
      </c>
      <c r="G945" s="17" t="str">
        <f>IFERROR(__xludf.DUMMYFUNCTION("""COMPUTED_VALUE"""),"Full Set")</f>
        <v>Full Set</v>
      </c>
      <c r="H945" s="17"/>
      <c r="I945" s="262"/>
      <c r="J945" s="262"/>
      <c r="K945" s="262"/>
      <c r="L945" s="262"/>
      <c r="M945" s="262"/>
    </row>
    <row r="946">
      <c r="A946" s="255" t="str">
        <f>IFERROR(__xludf.DUMMYFUNCTION("""COMPUTED_VALUE"""),"NANO")</f>
        <v>NANO</v>
      </c>
      <c r="B946" s="23" t="str">
        <f>IFERROR(__xludf.DUMMYFUNCTION("""COMPUTED_VALUE"""),"Bucinnyamasagus")</f>
        <v>Bucinnyamasagus</v>
      </c>
      <c r="C946" s="257" t="str">
        <f>IFERROR(__xludf.DUMMYFUNCTION("""COMPUTED_VALUE"""),"https://www.tiktok.com/@Bucinnyamasagus")</f>
        <v>https://www.tiktok.com/@Bucinnyamasagus</v>
      </c>
      <c r="D946" s="23">
        <f>IFERROR(__xludf.DUMMYFUNCTION("""COMPUTED_VALUE"""),8.5954047466E10)</f>
        <v>85954047466</v>
      </c>
      <c r="E946" s="457">
        <f>IFERROR(__xludf.DUMMYFUNCTION("""COMPUTED_VALUE"""),0.0)</f>
        <v>0</v>
      </c>
      <c r="F946" s="270">
        <f>IFERROR(__xludf.DUMMYFUNCTION("""COMPUTED_VALUE"""),4.0)</f>
        <v>4</v>
      </c>
      <c r="G946" s="17" t="str">
        <f>IFERROR(__xludf.DUMMYFUNCTION("""COMPUTED_VALUE"""),"Full Set")</f>
        <v>Full Set</v>
      </c>
      <c r="H946" s="17"/>
      <c r="I946" s="262"/>
      <c r="J946" s="262"/>
      <c r="K946" s="262"/>
      <c r="L946" s="262"/>
      <c r="M946" s="262"/>
    </row>
    <row r="947">
      <c r="A947" s="255" t="str">
        <f>IFERROR(__xludf.DUMMYFUNCTION("""COMPUTED_VALUE"""),"MICRO")</f>
        <v>MICRO</v>
      </c>
      <c r="B947" s="23" t="str">
        <f>IFERROR(__xludf.DUMMYFUNCTION("""COMPUTED_VALUE"""),"dipoo_8")</f>
        <v>dipoo_8</v>
      </c>
      <c r="C947" s="257" t="str">
        <f>IFERROR(__xludf.DUMMYFUNCTION("""COMPUTED_VALUE"""),"https://www.tiktok.com/@dipoo_8")</f>
        <v>https://www.tiktok.com/@dipoo_8</v>
      </c>
      <c r="D947" s="23">
        <f>IFERROR(__xludf.DUMMYFUNCTION("""COMPUTED_VALUE"""),8.1358601608E10)</f>
        <v>81358601608</v>
      </c>
      <c r="E947" s="457">
        <f>IFERROR(__xludf.DUMMYFUNCTION("""COMPUTED_VALUE"""),0.0)</f>
        <v>0</v>
      </c>
      <c r="F947" s="270">
        <f>IFERROR(__xludf.DUMMYFUNCTION("""COMPUTED_VALUE"""),4.0)</f>
        <v>4</v>
      </c>
      <c r="G947" s="17" t="str">
        <f>IFERROR(__xludf.DUMMYFUNCTION("""COMPUTED_VALUE"""),"Full Set")</f>
        <v>Full Set</v>
      </c>
      <c r="H947" s="17"/>
      <c r="I947" s="262"/>
      <c r="J947" s="262"/>
      <c r="K947" s="262"/>
      <c r="L947" s="262"/>
      <c r="M947" s="262"/>
    </row>
    <row r="948">
      <c r="A948" s="255" t="str">
        <f>IFERROR(__xludf.DUMMYFUNCTION("""COMPUTED_VALUE"""),"NANO")</f>
        <v>NANO</v>
      </c>
      <c r="B948" s="23" t="str">
        <f>IFERROR(__xludf.DUMMYFUNCTION("""COMPUTED_VALUE"""),"Sdlptr")</f>
        <v>Sdlptr</v>
      </c>
      <c r="C948" s="257" t="str">
        <f>IFERROR(__xludf.DUMMYFUNCTION("""COMPUTED_VALUE"""),"https://www.tiktok.com/@Sdlptr")</f>
        <v>https://www.tiktok.com/@Sdlptr</v>
      </c>
      <c r="D948" s="23">
        <f>IFERROR(__xludf.DUMMYFUNCTION("""COMPUTED_VALUE"""),8.9659321773E10)</f>
        <v>89659321773</v>
      </c>
      <c r="E948" s="457">
        <f>IFERROR(__xludf.DUMMYFUNCTION("""COMPUTED_VALUE"""),0.0)</f>
        <v>0</v>
      </c>
      <c r="F948" s="270">
        <f>IFERROR(__xludf.DUMMYFUNCTION("""COMPUTED_VALUE"""),4.0)</f>
        <v>4</v>
      </c>
      <c r="G948" s="17" t="str">
        <f>IFERROR(__xludf.DUMMYFUNCTION("""COMPUTED_VALUE"""),"Full Set")</f>
        <v>Full Set</v>
      </c>
      <c r="H948" s="17"/>
      <c r="I948" s="262"/>
      <c r="J948" s="262"/>
      <c r="K948" s="262"/>
      <c r="L948" s="262"/>
      <c r="M948" s="262"/>
    </row>
    <row r="949">
      <c r="A949" s="255" t="str">
        <f>IFERROR(__xludf.DUMMYFUNCTION("""COMPUTED_VALUE"""),"NANO")</f>
        <v>NANO</v>
      </c>
      <c r="B949" s="23" t="str">
        <f>IFERROR(__xludf.DUMMYFUNCTION("""COMPUTED_VALUE"""),"mayaditt")</f>
        <v>mayaditt</v>
      </c>
      <c r="C949" s="257" t="str">
        <f>IFERROR(__xludf.DUMMYFUNCTION("""COMPUTED_VALUE"""),"https://www.tiktok.com/@mayaditt")</f>
        <v>https://www.tiktok.com/@mayaditt</v>
      </c>
      <c r="D949" s="23">
        <f>IFERROR(__xludf.DUMMYFUNCTION("""COMPUTED_VALUE"""),8.5326726033E10)</f>
        <v>85326726033</v>
      </c>
      <c r="E949" s="457">
        <f>IFERROR(__xludf.DUMMYFUNCTION("""COMPUTED_VALUE"""),0.0)</f>
        <v>0</v>
      </c>
      <c r="F949" s="270">
        <f>IFERROR(__xludf.DUMMYFUNCTION("""COMPUTED_VALUE"""),4.0)</f>
        <v>4</v>
      </c>
      <c r="G949" s="17" t="str">
        <f>IFERROR(__xludf.DUMMYFUNCTION("""COMPUTED_VALUE"""),"Full Set")</f>
        <v>Full Set</v>
      </c>
      <c r="H949" s="17"/>
      <c r="I949" s="262"/>
      <c r="J949" s="262"/>
      <c r="K949" s="262"/>
      <c r="L949" s="262"/>
      <c r="M949" s="262"/>
    </row>
    <row r="950">
      <c r="A950" s="255" t="str">
        <f>IFERROR(__xludf.DUMMYFUNCTION("""COMPUTED_VALUE"""),"MICRO")</f>
        <v>MICRO</v>
      </c>
      <c r="B950" s="23" t="str">
        <f>IFERROR(__xludf.DUMMYFUNCTION("""COMPUTED_VALUE"""),"lehha.27")</f>
        <v>lehha.27</v>
      </c>
      <c r="C950" s="257" t="str">
        <f>IFERROR(__xludf.DUMMYFUNCTION("""COMPUTED_VALUE"""),"https://www.tiktok.com/@lehha.27")</f>
        <v>https://www.tiktok.com/@lehha.27</v>
      </c>
      <c r="D950" s="23">
        <f>IFERROR(__xludf.DUMMYFUNCTION("""COMPUTED_VALUE"""),8.5771809902E10)</f>
        <v>85771809902</v>
      </c>
      <c r="E950" s="457">
        <f>IFERROR(__xludf.DUMMYFUNCTION("""COMPUTED_VALUE"""),0.0)</f>
        <v>0</v>
      </c>
      <c r="F950" s="270">
        <f>IFERROR(__xludf.DUMMYFUNCTION("""COMPUTED_VALUE"""),4.0)</f>
        <v>4</v>
      </c>
      <c r="G950" s="17" t="str">
        <f>IFERROR(__xludf.DUMMYFUNCTION("""COMPUTED_VALUE"""),"Full Set")</f>
        <v>Full Set</v>
      </c>
      <c r="H950" s="17"/>
      <c r="I950" s="262"/>
      <c r="J950" s="262"/>
      <c r="K950" s="262"/>
      <c r="L950" s="262"/>
      <c r="M950" s="262"/>
    </row>
    <row r="951">
      <c r="A951" s="255" t="str">
        <f>IFERROR(__xludf.DUMMYFUNCTION("""COMPUTED_VALUE"""),"MICRO")</f>
        <v>MICRO</v>
      </c>
      <c r="B951" s="23" t="str">
        <f>IFERROR(__xludf.DUMMYFUNCTION("""COMPUTED_VALUE"""),"putriayuwinataa_")</f>
        <v>putriayuwinataa_</v>
      </c>
      <c r="C951" s="257" t="str">
        <f>IFERROR(__xludf.DUMMYFUNCTION("""COMPUTED_VALUE"""),"https://www.tiktok.com/@putriayuwinataa_")</f>
        <v>https://www.tiktok.com/@putriayuwinataa_</v>
      </c>
      <c r="D951" s="23">
        <f>IFERROR(__xludf.DUMMYFUNCTION("""COMPUTED_VALUE"""),8.781518004E10)</f>
        <v>87815180040</v>
      </c>
      <c r="E951" s="457">
        <f>IFERROR(__xludf.DUMMYFUNCTION("""COMPUTED_VALUE"""),0.0)</f>
        <v>0</v>
      </c>
      <c r="F951" s="270">
        <f>IFERROR(__xludf.DUMMYFUNCTION("""COMPUTED_VALUE"""),4.0)</f>
        <v>4</v>
      </c>
      <c r="G951" s="17" t="str">
        <f>IFERROR(__xludf.DUMMYFUNCTION("""COMPUTED_VALUE"""),"Full Set")</f>
        <v>Full Set</v>
      </c>
      <c r="H951" s="17"/>
      <c r="I951" s="262"/>
      <c r="J951" s="262"/>
      <c r="K951" s="262"/>
      <c r="L951" s="262"/>
      <c r="M951" s="262"/>
    </row>
    <row r="952">
      <c r="A952" s="255" t="str">
        <f>IFERROR(__xludf.DUMMYFUNCTION("""COMPUTED_VALUE"""),"NANO")</f>
        <v>NANO</v>
      </c>
      <c r="B952" s="23" t="str">
        <f>IFERROR(__xludf.DUMMYFUNCTION("""COMPUTED_VALUE"""),"hii.eyaaa")</f>
        <v>hii.eyaaa</v>
      </c>
      <c r="C952" s="257" t="str">
        <f>IFERROR(__xludf.DUMMYFUNCTION("""COMPUTED_VALUE"""),"https://www.tiktok.com/@hii.eyaaa")</f>
        <v>https://www.tiktok.com/@hii.eyaaa</v>
      </c>
      <c r="D952" s="23">
        <f>IFERROR(__xludf.DUMMYFUNCTION("""COMPUTED_VALUE"""),8.3119877764E10)</f>
        <v>83119877764</v>
      </c>
      <c r="E952" s="457">
        <f>IFERROR(__xludf.DUMMYFUNCTION("""COMPUTED_VALUE"""),0.0)</f>
        <v>0</v>
      </c>
      <c r="F952" s="270">
        <f>IFERROR(__xludf.DUMMYFUNCTION("""COMPUTED_VALUE"""),4.0)</f>
        <v>4</v>
      </c>
      <c r="G952" s="17" t="str">
        <f>IFERROR(__xludf.DUMMYFUNCTION("""COMPUTED_VALUE"""),"Full Set")</f>
        <v>Full Set</v>
      </c>
      <c r="H952" s="17"/>
      <c r="I952" s="262"/>
      <c r="J952" s="262"/>
      <c r="K952" s="262"/>
      <c r="L952" s="262"/>
      <c r="M952" s="262"/>
    </row>
    <row r="953">
      <c r="A953" s="255" t="str">
        <f>IFERROR(__xludf.DUMMYFUNCTION("""COMPUTED_VALUE"""),"NANO")</f>
        <v>NANO</v>
      </c>
      <c r="B953" s="23" t="str">
        <f>IFERROR(__xludf.DUMMYFUNCTION("""COMPUTED_VALUE"""),"__iniakunkuuuu")</f>
        <v>__iniakunkuuuu</v>
      </c>
      <c r="C953" s="257" t="str">
        <f>IFERROR(__xludf.DUMMYFUNCTION("""COMPUTED_VALUE"""),"https://www.tiktok.com/@__iniakunkuuuu")</f>
        <v>https://www.tiktok.com/@__iniakunkuuuu</v>
      </c>
      <c r="D953" s="23">
        <f>IFERROR(__xludf.DUMMYFUNCTION("""COMPUTED_VALUE"""),8.5602400279E10)</f>
        <v>85602400279</v>
      </c>
      <c r="E953" s="457">
        <f>IFERROR(__xludf.DUMMYFUNCTION("""COMPUTED_VALUE"""),0.0)</f>
        <v>0</v>
      </c>
      <c r="F953" s="270">
        <f>IFERROR(__xludf.DUMMYFUNCTION("""COMPUTED_VALUE"""),4.0)</f>
        <v>4</v>
      </c>
      <c r="G953" s="17" t="str">
        <f>IFERROR(__xludf.DUMMYFUNCTION("""COMPUTED_VALUE"""),"Full Set")</f>
        <v>Full Set</v>
      </c>
      <c r="H953" s="17"/>
      <c r="I953" s="262"/>
      <c r="J953" s="262"/>
      <c r="K953" s="262"/>
      <c r="L953" s="262"/>
      <c r="M953" s="262"/>
    </row>
    <row r="954">
      <c r="A954" s="255" t="str">
        <f>IFERROR(__xludf.DUMMYFUNCTION("""COMPUTED_VALUE"""),"MICRO")</f>
        <v>MICRO</v>
      </c>
      <c r="B954" s="23" t="str">
        <f>IFERROR(__xludf.DUMMYFUNCTION("""COMPUTED_VALUE"""),"fitria.sondari")</f>
        <v>fitria.sondari</v>
      </c>
      <c r="C954" s="257" t="str">
        <f>IFERROR(__xludf.DUMMYFUNCTION("""COMPUTED_VALUE"""),"https://www.tiktok.com/@fitria.sondari")</f>
        <v>https://www.tiktok.com/@fitria.sondari</v>
      </c>
      <c r="D954" s="23">
        <f>IFERROR(__xludf.DUMMYFUNCTION("""COMPUTED_VALUE"""),8.778704857E10)</f>
        <v>87787048570</v>
      </c>
      <c r="E954" s="457">
        <f>IFERROR(__xludf.DUMMYFUNCTION("""COMPUTED_VALUE"""),0.0)</f>
        <v>0</v>
      </c>
      <c r="F954" s="270">
        <f>IFERROR(__xludf.DUMMYFUNCTION("""COMPUTED_VALUE"""),4.0)</f>
        <v>4</v>
      </c>
      <c r="G954" s="17" t="str">
        <f>IFERROR(__xludf.DUMMYFUNCTION("""COMPUTED_VALUE"""),"Full Set")</f>
        <v>Full Set</v>
      </c>
      <c r="H954" s="17"/>
      <c r="I954" s="262"/>
      <c r="J954" s="262"/>
      <c r="K954" s="262"/>
      <c r="L954" s="262"/>
      <c r="M954" s="262"/>
    </row>
    <row r="955">
      <c r="A955" s="255" t="str">
        <f>IFERROR(__xludf.DUMMYFUNCTION("""COMPUTED_VALUE"""),"NANO")</f>
        <v>NANO</v>
      </c>
      <c r="B955" s="23" t="str">
        <f>IFERROR(__xludf.DUMMYFUNCTION("""COMPUTED_VALUE"""),"salm___18")</f>
        <v>salm___18</v>
      </c>
      <c r="C955" s="257" t="str">
        <f>IFERROR(__xludf.DUMMYFUNCTION("""COMPUTED_VALUE"""),"https://www.tiktok.com/@salm___18")</f>
        <v>https://www.tiktok.com/@salm___18</v>
      </c>
      <c r="D955" s="23">
        <f>IFERROR(__xludf.DUMMYFUNCTION("""COMPUTED_VALUE"""),8.5752852441E10)</f>
        <v>85752852441</v>
      </c>
      <c r="E955" s="457">
        <f>IFERROR(__xludf.DUMMYFUNCTION("""COMPUTED_VALUE"""),0.0)</f>
        <v>0</v>
      </c>
      <c r="F955" s="270">
        <f>IFERROR(__xludf.DUMMYFUNCTION("""COMPUTED_VALUE"""),4.0)</f>
        <v>4</v>
      </c>
      <c r="G955" s="17" t="str">
        <f>IFERROR(__xludf.DUMMYFUNCTION("""COMPUTED_VALUE"""),"Full Set")</f>
        <v>Full Set</v>
      </c>
      <c r="H955" s="17"/>
      <c r="I955" s="262"/>
      <c r="J955" s="262"/>
      <c r="K955" s="262"/>
      <c r="L955" s="262"/>
      <c r="M955" s="262"/>
    </row>
    <row r="956">
      <c r="A956" s="255" t="str">
        <f>IFERROR(__xludf.DUMMYFUNCTION("""COMPUTED_VALUE"""),"NANO")</f>
        <v>NANO</v>
      </c>
      <c r="B956" s="23" t="str">
        <f>IFERROR(__xludf.DUMMYFUNCTION("""COMPUTED_VALUE"""),"cokelat330")</f>
        <v>cokelat330</v>
      </c>
      <c r="C956" s="257" t="str">
        <f>IFERROR(__xludf.DUMMYFUNCTION("""COMPUTED_VALUE"""),"https://www.tiktok.com/@cokelat330")</f>
        <v>https://www.tiktok.com/@cokelat330</v>
      </c>
      <c r="D956" s="23">
        <f>IFERROR(__xludf.DUMMYFUNCTION("""COMPUTED_VALUE"""),8.2117613553E10)</f>
        <v>82117613553</v>
      </c>
      <c r="E956" s="457">
        <f>IFERROR(__xludf.DUMMYFUNCTION("""COMPUTED_VALUE"""),0.0)</f>
        <v>0</v>
      </c>
      <c r="F956" s="270">
        <f>IFERROR(__xludf.DUMMYFUNCTION("""COMPUTED_VALUE"""),4.0)</f>
        <v>4</v>
      </c>
      <c r="G956" s="17" t="str">
        <f>IFERROR(__xludf.DUMMYFUNCTION("""COMPUTED_VALUE"""),"Full Set")</f>
        <v>Full Set</v>
      </c>
      <c r="H956" s="17"/>
      <c r="I956" s="262"/>
      <c r="J956" s="262"/>
      <c r="K956" s="262"/>
      <c r="L956" s="262"/>
      <c r="M956" s="262"/>
    </row>
    <row r="957">
      <c r="A957" s="255" t="str">
        <f>IFERROR(__xludf.DUMMYFUNCTION("""COMPUTED_VALUE"""),"NANO")</f>
        <v>NANO</v>
      </c>
      <c r="B957" s="23" t="str">
        <f>IFERROR(__xludf.DUMMYFUNCTION("""COMPUTED_VALUE"""),"for.u244")</f>
        <v>for.u244</v>
      </c>
      <c r="C957" s="257" t="str">
        <f>IFERROR(__xludf.DUMMYFUNCTION("""COMPUTED_VALUE"""),"https://www.tiktok.com/@for.u244")</f>
        <v>https://www.tiktok.com/@for.u244</v>
      </c>
      <c r="D957" s="23">
        <f>IFERROR(__xludf.DUMMYFUNCTION("""COMPUTED_VALUE"""),8.156281937E9)</f>
        <v>8156281937</v>
      </c>
      <c r="E957" s="457">
        <f>IFERROR(__xludf.DUMMYFUNCTION("""COMPUTED_VALUE"""),0.0)</f>
        <v>0</v>
      </c>
      <c r="F957" s="270">
        <f>IFERROR(__xludf.DUMMYFUNCTION("""COMPUTED_VALUE"""),4.0)</f>
        <v>4</v>
      </c>
      <c r="G957" s="17" t="str">
        <f>IFERROR(__xludf.DUMMYFUNCTION("""COMPUTED_VALUE"""),"Full Set")</f>
        <v>Full Set</v>
      </c>
      <c r="H957" s="17"/>
      <c r="I957" s="262"/>
      <c r="J957" s="262"/>
      <c r="K957" s="262"/>
      <c r="L957" s="262"/>
      <c r="M957" s="262"/>
    </row>
    <row r="958">
      <c r="A958" s="255" t="str">
        <f>IFERROR(__xludf.DUMMYFUNCTION("""COMPUTED_VALUE"""),"NANO")</f>
        <v>NANO</v>
      </c>
      <c r="B958" s="23" t="str">
        <f>IFERROR(__xludf.DUMMYFUNCTION("""COMPUTED_VALUE"""),"Shaylaevelyn1")</f>
        <v>Shaylaevelyn1</v>
      </c>
      <c r="C958" s="257" t="str">
        <f>IFERROR(__xludf.DUMMYFUNCTION("""COMPUTED_VALUE"""),"https://www.tiktok.com/@Shaylaevelyn1")</f>
        <v>https://www.tiktok.com/@Shaylaevelyn1</v>
      </c>
      <c r="D958" s="23">
        <f>IFERROR(__xludf.DUMMYFUNCTION("""COMPUTED_VALUE"""),8.2166076416E10)</f>
        <v>82166076416</v>
      </c>
      <c r="E958" s="457">
        <f>IFERROR(__xludf.DUMMYFUNCTION("""COMPUTED_VALUE"""),0.0)</f>
        <v>0</v>
      </c>
      <c r="F958" s="270">
        <f>IFERROR(__xludf.DUMMYFUNCTION("""COMPUTED_VALUE"""),4.0)</f>
        <v>4</v>
      </c>
      <c r="G958" s="17" t="str">
        <f>IFERROR(__xludf.DUMMYFUNCTION("""COMPUTED_VALUE"""),"Full Set")</f>
        <v>Full Set</v>
      </c>
      <c r="H958" s="17"/>
      <c r="I958" s="262"/>
      <c r="J958" s="262"/>
      <c r="K958" s="262"/>
      <c r="L958" s="262"/>
      <c r="M958" s="262"/>
    </row>
    <row r="959">
      <c r="A959" s="255" t="str">
        <f>IFERROR(__xludf.DUMMYFUNCTION("""COMPUTED_VALUE"""),"NANO")</f>
        <v>NANO</v>
      </c>
      <c r="B959" s="23" t="str">
        <f>IFERROR(__xludf.DUMMYFUNCTION("""COMPUTED_VALUE"""),"hima_2812")</f>
        <v>hima_2812</v>
      </c>
      <c r="C959" s="257" t="str">
        <f>IFERROR(__xludf.DUMMYFUNCTION("""COMPUTED_VALUE"""),"https://www.tiktok.com/@hima_2812")</f>
        <v>https://www.tiktok.com/@hima_2812</v>
      </c>
      <c r="D959" s="23">
        <f>IFERROR(__xludf.DUMMYFUNCTION("""COMPUTED_VALUE"""),8.2131494158E10)</f>
        <v>82131494158</v>
      </c>
      <c r="E959" s="457">
        <f>IFERROR(__xludf.DUMMYFUNCTION("""COMPUTED_VALUE"""),0.0)</f>
        <v>0</v>
      </c>
      <c r="F959" s="270">
        <f>IFERROR(__xludf.DUMMYFUNCTION("""COMPUTED_VALUE"""),4.0)</f>
        <v>4</v>
      </c>
      <c r="G959" s="17" t="str">
        <f>IFERROR(__xludf.DUMMYFUNCTION("""COMPUTED_VALUE"""),"Full Set")</f>
        <v>Full Set</v>
      </c>
      <c r="H959" s="17"/>
      <c r="I959" s="262"/>
      <c r="J959" s="262"/>
      <c r="K959" s="262"/>
      <c r="L959" s="262"/>
      <c r="M959" s="262"/>
    </row>
    <row r="960">
      <c r="A960" s="255" t="str">
        <f>IFERROR(__xludf.DUMMYFUNCTION("""COMPUTED_VALUE"""),"NANO")</f>
        <v>NANO</v>
      </c>
      <c r="B960" s="23" t="str">
        <f>IFERROR(__xludf.DUMMYFUNCTION("""COMPUTED_VALUE"""),"Takoyaki.isi.squidward")</f>
        <v>Takoyaki.isi.squidward</v>
      </c>
      <c r="C960" s="257" t="str">
        <f>IFERROR(__xludf.DUMMYFUNCTION("""COMPUTED_VALUE"""),"https://www.tiktok.com/@Takoyaki.isi.squidward")</f>
        <v>https://www.tiktok.com/@Takoyaki.isi.squidward</v>
      </c>
      <c r="D960" s="23">
        <f>IFERROR(__xludf.DUMMYFUNCTION("""COMPUTED_VALUE"""),8.1321381301E10)</f>
        <v>81321381301</v>
      </c>
      <c r="E960" s="457">
        <f>IFERROR(__xludf.DUMMYFUNCTION("""COMPUTED_VALUE"""),0.0)</f>
        <v>0</v>
      </c>
      <c r="F960" s="270">
        <f>IFERROR(__xludf.DUMMYFUNCTION("""COMPUTED_VALUE"""),4.0)</f>
        <v>4</v>
      </c>
      <c r="G960" s="17" t="str">
        <f>IFERROR(__xludf.DUMMYFUNCTION("""COMPUTED_VALUE"""),"Full Set")</f>
        <v>Full Set</v>
      </c>
      <c r="H960" s="17"/>
      <c r="I960" s="262"/>
      <c r="J960" s="262"/>
      <c r="K960" s="262"/>
      <c r="L960" s="262"/>
      <c r="M960" s="262"/>
    </row>
    <row r="961">
      <c r="A961" s="255" t="str">
        <f>IFERROR(__xludf.DUMMYFUNCTION("""COMPUTED_VALUE"""),"NANO")</f>
        <v>NANO</v>
      </c>
      <c r="B961" s="23" t="str">
        <f>IFERROR(__xludf.DUMMYFUNCTION("""COMPUTED_VALUE"""),"bungsualshop")</f>
        <v>bungsualshop</v>
      </c>
      <c r="C961" s="257" t="str">
        <f>IFERROR(__xludf.DUMMYFUNCTION("""COMPUTED_VALUE"""),"https://www.tiktok.com/@bungsualshop")</f>
        <v>https://www.tiktok.com/@bungsualshop</v>
      </c>
      <c r="D961" s="23">
        <f>IFERROR(__xludf.DUMMYFUNCTION("""COMPUTED_VALUE"""),8.1572821184E10)</f>
        <v>81572821184</v>
      </c>
      <c r="E961" s="457">
        <f>IFERROR(__xludf.DUMMYFUNCTION("""COMPUTED_VALUE"""),0.0)</f>
        <v>0</v>
      </c>
      <c r="F961" s="270">
        <f>IFERROR(__xludf.DUMMYFUNCTION("""COMPUTED_VALUE"""),4.0)</f>
        <v>4</v>
      </c>
      <c r="G961" s="17" t="str">
        <f>IFERROR(__xludf.DUMMYFUNCTION("""COMPUTED_VALUE"""),"Full Set")</f>
        <v>Full Set</v>
      </c>
      <c r="H961" s="17"/>
      <c r="I961" s="262"/>
      <c r="J961" s="262"/>
      <c r="K961" s="262"/>
      <c r="L961" s="262"/>
      <c r="M961" s="262"/>
    </row>
    <row r="962">
      <c r="A962" s="255" t="str">
        <f>IFERROR(__xludf.DUMMYFUNCTION("""COMPUTED_VALUE"""),"NANO")</f>
        <v>NANO</v>
      </c>
      <c r="B962" s="23" t="str">
        <f>IFERROR(__xludf.DUMMYFUNCTION("""COMPUTED_VALUE"""),"dvsoeli")</f>
        <v>dvsoeli</v>
      </c>
      <c r="C962" s="257" t="str">
        <f>IFERROR(__xludf.DUMMYFUNCTION("""COMPUTED_VALUE"""),"https://www.tiktok.com/@dvsoeli")</f>
        <v>https://www.tiktok.com/@dvsoeli</v>
      </c>
      <c r="D962" s="23">
        <f>IFERROR(__xludf.DUMMYFUNCTION("""COMPUTED_VALUE"""),8.7711372596E10)</f>
        <v>87711372596</v>
      </c>
      <c r="E962" s="457">
        <f>IFERROR(__xludf.DUMMYFUNCTION("""COMPUTED_VALUE"""),0.0)</f>
        <v>0</v>
      </c>
      <c r="F962" s="270">
        <f>IFERROR(__xludf.DUMMYFUNCTION("""COMPUTED_VALUE"""),4.0)</f>
        <v>4</v>
      </c>
      <c r="G962" s="17" t="str">
        <f>IFERROR(__xludf.DUMMYFUNCTION("""COMPUTED_VALUE"""),"Full Set")</f>
        <v>Full Set</v>
      </c>
      <c r="H962" s="17"/>
      <c r="I962" s="262"/>
      <c r="J962" s="262"/>
      <c r="K962" s="262"/>
      <c r="L962" s="262"/>
      <c r="M962" s="262"/>
    </row>
    <row r="963">
      <c r="A963" s="255" t="str">
        <f>IFERROR(__xludf.DUMMYFUNCTION("""COMPUTED_VALUE"""),"NANO")</f>
        <v>NANO</v>
      </c>
      <c r="B963" s="23" t="str">
        <f>IFERROR(__xludf.DUMMYFUNCTION("""COMPUTED_VALUE"""),"alfarizqi204")</f>
        <v>alfarizqi204</v>
      </c>
      <c r="C963" s="257" t="str">
        <f>IFERROR(__xludf.DUMMYFUNCTION("""COMPUTED_VALUE"""),"https://www.tiktok.com/@alfarizqi204")</f>
        <v>https://www.tiktok.com/@alfarizqi204</v>
      </c>
      <c r="D963" s="23">
        <f>IFERROR(__xludf.DUMMYFUNCTION("""COMPUTED_VALUE"""),8.1383934223E10)</f>
        <v>81383934223</v>
      </c>
      <c r="E963" s="457">
        <f>IFERROR(__xludf.DUMMYFUNCTION("""COMPUTED_VALUE"""),0.0)</f>
        <v>0</v>
      </c>
      <c r="F963" s="270">
        <f>IFERROR(__xludf.DUMMYFUNCTION("""COMPUTED_VALUE"""),4.0)</f>
        <v>4</v>
      </c>
      <c r="G963" s="17" t="str">
        <f>IFERROR(__xludf.DUMMYFUNCTION("""COMPUTED_VALUE"""),"Full Set")</f>
        <v>Full Set</v>
      </c>
      <c r="H963" s="17"/>
      <c r="I963" s="262"/>
      <c r="J963" s="262"/>
      <c r="K963" s="262"/>
      <c r="L963" s="262"/>
      <c r="M963" s="262"/>
    </row>
    <row r="964">
      <c r="A964" s="255" t="str">
        <f>IFERROR(__xludf.DUMMYFUNCTION("""COMPUTED_VALUE"""),"NANO")</f>
        <v>NANO</v>
      </c>
      <c r="B964" s="23" t="str">
        <f>IFERROR(__xludf.DUMMYFUNCTION("""COMPUTED_VALUE"""),"daisyyyid")</f>
        <v>daisyyyid</v>
      </c>
      <c r="C964" s="257" t="str">
        <f>IFERROR(__xludf.DUMMYFUNCTION("""COMPUTED_VALUE"""),"https://www.tiktok.com/@daisyyyid")</f>
        <v>https://www.tiktok.com/@daisyyyid</v>
      </c>
      <c r="D964" s="23">
        <f>IFERROR(__xludf.DUMMYFUNCTION("""COMPUTED_VALUE"""),8.82005495435E11)</f>
        <v>882005495435</v>
      </c>
      <c r="E964" s="457">
        <f>IFERROR(__xludf.DUMMYFUNCTION("""COMPUTED_VALUE"""),0.0)</f>
        <v>0</v>
      </c>
      <c r="F964" s="270">
        <f>IFERROR(__xludf.DUMMYFUNCTION("""COMPUTED_VALUE"""),4.0)</f>
        <v>4</v>
      </c>
      <c r="G964" s="17" t="str">
        <f>IFERROR(__xludf.DUMMYFUNCTION("""COMPUTED_VALUE"""),"Full Set")</f>
        <v>Full Set</v>
      </c>
      <c r="H964" s="17"/>
      <c r="I964" s="262"/>
      <c r="J964" s="262"/>
      <c r="K964" s="262"/>
      <c r="L964" s="262"/>
      <c r="M964" s="262"/>
    </row>
    <row r="965">
      <c r="A965" s="255" t="str">
        <f>IFERROR(__xludf.DUMMYFUNCTION("""COMPUTED_VALUE"""),"MICRO")</f>
        <v>MICRO</v>
      </c>
      <c r="B965" s="23" t="str">
        <f>IFERROR(__xludf.DUMMYFUNCTION("""COMPUTED_VALUE"""),"aeriiptri ")</f>
        <v>aeriiptri </v>
      </c>
      <c r="C965" s="257" t="str">
        <f>IFERROR(__xludf.DUMMYFUNCTION("""COMPUTED_VALUE"""),"https://www.tiktok.com/@aeriiptri ")</f>
        <v>https://www.tiktok.com/@aeriiptri </v>
      </c>
      <c r="D965" s="23">
        <f>IFERROR(__xludf.DUMMYFUNCTION("""COMPUTED_VALUE"""),8.7897770036E10)</f>
        <v>87897770036</v>
      </c>
      <c r="E965" s="457">
        <f>IFERROR(__xludf.DUMMYFUNCTION("""COMPUTED_VALUE"""),0.0)</f>
        <v>0</v>
      </c>
      <c r="F965" s="270">
        <f>IFERROR(__xludf.DUMMYFUNCTION("""COMPUTED_VALUE"""),4.0)</f>
        <v>4</v>
      </c>
      <c r="G965" s="17" t="str">
        <f>IFERROR(__xludf.DUMMYFUNCTION("""COMPUTED_VALUE"""),"Full Set")</f>
        <v>Full Set</v>
      </c>
      <c r="H965" s="17"/>
      <c r="I965" s="262"/>
      <c r="J965" s="262"/>
      <c r="K965" s="262"/>
      <c r="L965" s="262"/>
      <c r="M965" s="262"/>
    </row>
    <row r="966">
      <c r="A966" s="255" t="str">
        <f>IFERROR(__xludf.DUMMYFUNCTION("""COMPUTED_VALUE"""),"MICRO")</f>
        <v>MICRO</v>
      </c>
      <c r="B966" s="23" t="str">
        <f>IFERROR(__xludf.DUMMYFUNCTION("""COMPUTED_VALUE"""),"nda_nmld")</f>
        <v>nda_nmld</v>
      </c>
      <c r="C966" s="257" t="str">
        <f>IFERROR(__xludf.DUMMYFUNCTION("""COMPUTED_VALUE"""),"https://www.tiktok.com/@nda_nmld")</f>
        <v>https://www.tiktok.com/@nda_nmld</v>
      </c>
      <c r="D966" s="23">
        <f>IFERROR(__xludf.DUMMYFUNCTION("""COMPUTED_VALUE"""),8.586023026E10)</f>
        <v>85860230260</v>
      </c>
      <c r="E966" s="457">
        <f>IFERROR(__xludf.DUMMYFUNCTION("""COMPUTED_VALUE"""),0.0)</f>
        <v>0</v>
      </c>
      <c r="F966" s="270">
        <f>IFERROR(__xludf.DUMMYFUNCTION("""COMPUTED_VALUE"""),4.0)</f>
        <v>4</v>
      </c>
      <c r="G966" s="17" t="str">
        <f>IFERROR(__xludf.DUMMYFUNCTION("""COMPUTED_VALUE"""),"Full Set")</f>
        <v>Full Set</v>
      </c>
      <c r="H966" s="17"/>
      <c r="I966" s="262"/>
      <c r="J966" s="262"/>
      <c r="K966" s="262"/>
      <c r="L966" s="262"/>
      <c r="M966" s="262"/>
    </row>
    <row r="967">
      <c r="A967" s="255" t="str">
        <f>IFERROR(__xludf.DUMMYFUNCTION("""COMPUTED_VALUE"""),"NANO")</f>
        <v>NANO</v>
      </c>
      <c r="B967" s="23" t="str">
        <f>IFERROR(__xludf.DUMMYFUNCTION("""COMPUTED_VALUE"""),"disadisty01")</f>
        <v>disadisty01</v>
      </c>
      <c r="C967" s="257" t="str">
        <f>IFERROR(__xludf.DUMMYFUNCTION("""COMPUTED_VALUE"""),"https://www.tiktok.com/@disadisty01")</f>
        <v>https://www.tiktok.com/@disadisty01</v>
      </c>
      <c r="D967" s="23">
        <f>IFERROR(__xludf.DUMMYFUNCTION("""COMPUTED_VALUE"""),8.2124732122E10)</f>
        <v>82124732122</v>
      </c>
      <c r="E967" s="457">
        <f>IFERROR(__xludf.DUMMYFUNCTION("""COMPUTED_VALUE"""),0.0)</f>
        <v>0</v>
      </c>
      <c r="F967" s="270">
        <f>IFERROR(__xludf.DUMMYFUNCTION("""COMPUTED_VALUE"""),4.0)</f>
        <v>4</v>
      </c>
      <c r="G967" s="17" t="str">
        <f>IFERROR(__xludf.DUMMYFUNCTION("""COMPUTED_VALUE"""),"Full Set")</f>
        <v>Full Set</v>
      </c>
      <c r="H967" s="17"/>
      <c r="I967" s="262"/>
      <c r="J967" s="262"/>
      <c r="K967" s="262"/>
      <c r="L967" s="262"/>
      <c r="M967" s="262"/>
    </row>
    <row r="968">
      <c r="A968" s="255" t="str">
        <f>IFERROR(__xludf.DUMMYFUNCTION("""COMPUTED_VALUE"""),"NANO")</f>
        <v>NANO</v>
      </c>
      <c r="B968" s="257" t="str">
        <f>IFERROR(__xludf.DUMMYFUNCTION("""COMPUTED_VALUE"""),"beautyvault.id")</f>
        <v>beautyvault.id</v>
      </c>
      <c r="C968" s="257" t="str">
        <f>IFERROR(__xludf.DUMMYFUNCTION("""COMPUTED_VALUE"""),"https://www.tiktok.com/@beautyvault.id")</f>
        <v>https://www.tiktok.com/@beautyvault.id</v>
      </c>
      <c r="D968" s="23">
        <f>IFERROR(__xludf.DUMMYFUNCTION("""COMPUTED_VALUE"""),8.5136648592E10)</f>
        <v>85136648592</v>
      </c>
      <c r="E968" s="457">
        <f>IFERROR(__xludf.DUMMYFUNCTION("""COMPUTED_VALUE"""),0.0)</f>
        <v>0</v>
      </c>
      <c r="F968" s="270">
        <f>IFERROR(__xludf.DUMMYFUNCTION("""COMPUTED_VALUE"""),4.0)</f>
        <v>4</v>
      </c>
      <c r="G968" s="17" t="str">
        <f>IFERROR(__xludf.DUMMYFUNCTION("""COMPUTED_VALUE"""),"Full Set")</f>
        <v>Full Set</v>
      </c>
      <c r="H968" s="17"/>
      <c r="I968" s="262"/>
      <c r="J968" s="262"/>
      <c r="K968" s="262"/>
      <c r="L968" s="262"/>
      <c r="M968" s="262"/>
    </row>
    <row r="969">
      <c r="A969" s="255" t="str">
        <f>IFERROR(__xludf.DUMMYFUNCTION("""COMPUTED_VALUE"""),"NANO")</f>
        <v>NANO</v>
      </c>
      <c r="B969" s="23" t="str">
        <f>IFERROR(__xludf.DUMMYFUNCTION("""COMPUTED_VALUE"""),"rfaa.n_")</f>
        <v>rfaa.n_</v>
      </c>
      <c r="C969" s="257" t="str">
        <f>IFERROR(__xludf.DUMMYFUNCTION("""COMPUTED_VALUE"""),"https://www.tiktok.com/@rfaa.n_")</f>
        <v>https://www.tiktok.com/@rfaa.n_</v>
      </c>
      <c r="D969" s="23">
        <f>IFERROR(__xludf.DUMMYFUNCTION("""COMPUTED_VALUE"""),8.1803446605E10)</f>
        <v>81803446605</v>
      </c>
      <c r="E969" s="457">
        <f>IFERROR(__xludf.DUMMYFUNCTION("""COMPUTED_VALUE"""),0.0)</f>
        <v>0</v>
      </c>
      <c r="F969" s="270">
        <f>IFERROR(__xludf.DUMMYFUNCTION("""COMPUTED_VALUE"""),4.0)</f>
        <v>4</v>
      </c>
      <c r="G969" s="17" t="str">
        <f>IFERROR(__xludf.DUMMYFUNCTION("""COMPUTED_VALUE"""),"Full Set")</f>
        <v>Full Set</v>
      </c>
      <c r="H969" s="17"/>
      <c r="I969" s="262"/>
      <c r="J969" s="262"/>
      <c r="K969" s="262"/>
      <c r="L969" s="262"/>
      <c r="M969" s="262"/>
    </row>
    <row r="970">
      <c r="A970" s="255" t="str">
        <f>IFERROR(__xludf.DUMMYFUNCTION("""COMPUTED_VALUE"""),"NANO")</f>
        <v>NANO</v>
      </c>
      <c r="B970" s="23" t="str">
        <f>IFERROR(__xludf.DUMMYFUNCTION("""COMPUTED_VALUE"""),"novaa1611")</f>
        <v>novaa1611</v>
      </c>
      <c r="C970" s="257" t="str">
        <f>IFERROR(__xludf.DUMMYFUNCTION("""COMPUTED_VALUE"""),"https://www.tiktok.com/@novaa1611")</f>
        <v>https://www.tiktok.com/@novaa1611</v>
      </c>
      <c r="D970" s="23">
        <f>IFERROR(__xludf.DUMMYFUNCTION("""COMPUTED_VALUE"""),8.9519188608E10)</f>
        <v>89519188608</v>
      </c>
      <c r="E970" s="457">
        <f>IFERROR(__xludf.DUMMYFUNCTION("""COMPUTED_VALUE"""),0.0)</f>
        <v>0</v>
      </c>
      <c r="F970" s="270">
        <f>IFERROR(__xludf.DUMMYFUNCTION("""COMPUTED_VALUE"""),4.0)</f>
        <v>4</v>
      </c>
      <c r="G970" s="17" t="str">
        <f>IFERROR(__xludf.DUMMYFUNCTION("""COMPUTED_VALUE"""),"Full Set")</f>
        <v>Full Set</v>
      </c>
      <c r="H970" s="17"/>
      <c r="I970" s="262"/>
      <c r="J970" s="262"/>
      <c r="K970" s="262"/>
      <c r="L970" s="262"/>
      <c r="M970" s="262"/>
    </row>
    <row r="971">
      <c r="A971" s="255" t="str">
        <f>IFERROR(__xludf.DUMMYFUNCTION("""COMPUTED_VALUE"""),"NANO")</f>
        <v>NANO</v>
      </c>
      <c r="B971" s="23" t="str">
        <f>IFERROR(__xludf.DUMMYFUNCTION("""COMPUTED_VALUE"""),"Im.myyyyy30")</f>
        <v>Im.myyyyy30</v>
      </c>
      <c r="C971" s="257" t="str">
        <f>IFERROR(__xludf.DUMMYFUNCTION("""COMPUTED_VALUE"""),"https://www.tiktok.com/@Im.myyyyy30")</f>
        <v>https://www.tiktok.com/@Im.myyyyy30</v>
      </c>
      <c r="D971" s="23">
        <f>IFERROR(__xludf.DUMMYFUNCTION("""COMPUTED_VALUE"""),8.988789408E9)</f>
        <v>8988789408</v>
      </c>
      <c r="E971" s="457">
        <f>IFERROR(__xludf.DUMMYFUNCTION("""COMPUTED_VALUE"""),0.0)</f>
        <v>0</v>
      </c>
      <c r="F971" s="270">
        <f>IFERROR(__xludf.DUMMYFUNCTION("""COMPUTED_VALUE"""),4.0)</f>
        <v>4</v>
      </c>
      <c r="G971" s="17" t="str">
        <f>IFERROR(__xludf.DUMMYFUNCTION("""COMPUTED_VALUE"""),"Full Set")</f>
        <v>Full Set</v>
      </c>
      <c r="H971" s="17"/>
      <c r="I971" s="262"/>
      <c r="J971" s="262"/>
      <c r="K971" s="262"/>
      <c r="L971" s="262"/>
      <c r="M971" s="262"/>
    </row>
    <row r="972">
      <c r="A972" s="255" t="str">
        <f>IFERROR(__xludf.DUMMYFUNCTION("""COMPUTED_VALUE"""),"NANO")</f>
        <v>NANO</v>
      </c>
      <c r="B972" s="23" t="str">
        <f>IFERROR(__xludf.DUMMYFUNCTION("""COMPUTED_VALUE"""),"spalspilmuti")</f>
        <v>spalspilmuti</v>
      </c>
      <c r="C972" s="257" t="str">
        <f>IFERROR(__xludf.DUMMYFUNCTION("""COMPUTED_VALUE"""),"https://www.tiktok.com/@spalspilmuti")</f>
        <v>https://www.tiktok.com/@spalspilmuti</v>
      </c>
      <c r="D972" s="23">
        <f>IFERROR(__xludf.DUMMYFUNCTION("""COMPUTED_VALUE"""),8.2276716397E10)</f>
        <v>82276716397</v>
      </c>
      <c r="E972" s="457">
        <f>IFERROR(__xludf.DUMMYFUNCTION("""COMPUTED_VALUE"""),0.0)</f>
        <v>0</v>
      </c>
      <c r="F972" s="270">
        <f>IFERROR(__xludf.DUMMYFUNCTION("""COMPUTED_VALUE"""),4.0)</f>
        <v>4</v>
      </c>
      <c r="G972" s="17" t="str">
        <f>IFERROR(__xludf.DUMMYFUNCTION("""COMPUTED_VALUE"""),"Full Set")</f>
        <v>Full Set</v>
      </c>
      <c r="H972" s="17"/>
      <c r="I972" s="262"/>
      <c r="J972" s="262"/>
      <c r="K972" s="262"/>
      <c r="L972" s="262"/>
      <c r="M972" s="262"/>
    </row>
    <row r="973">
      <c r="A973" s="255" t="str">
        <f>IFERROR(__xludf.DUMMYFUNCTION("""COMPUTED_VALUE"""),"NANO")</f>
        <v>NANO</v>
      </c>
      <c r="B973" s="23" t="str">
        <f>IFERROR(__xludf.DUMMYFUNCTION("""COMPUTED_VALUE"""),"itsmeee20072")</f>
        <v>itsmeee20072</v>
      </c>
      <c r="C973" s="257" t="str">
        <f>IFERROR(__xludf.DUMMYFUNCTION("""COMPUTED_VALUE"""),"https://www.tiktok.com/@itsmeee20072")</f>
        <v>https://www.tiktok.com/@itsmeee20072</v>
      </c>
      <c r="D973" s="23">
        <f>IFERROR(__xludf.DUMMYFUNCTION("""COMPUTED_VALUE"""),8.82022458477E11)</f>
        <v>882022458477</v>
      </c>
      <c r="E973" s="457">
        <f>IFERROR(__xludf.DUMMYFUNCTION("""COMPUTED_VALUE"""),0.0)</f>
        <v>0</v>
      </c>
      <c r="F973" s="270">
        <f>IFERROR(__xludf.DUMMYFUNCTION("""COMPUTED_VALUE"""),4.0)</f>
        <v>4</v>
      </c>
      <c r="G973" s="17" t="str">
        <f>IFERROR(__xludf.DUMMYFUNCTION("""COMPUTED_VALUE"""),"Full Set")</f>
        <v>Full Set</v>
      </c>
      <c r="H973" s="17"/>
      <c r="I973" s="262"/>
      <c r="J973" s="262"/>
      <c r="K973" s="262"/>
      <c r="L973" s="262"/>
      <c r="M973" s="262"/>
    </row>
    <row r="974">
      <c r="A974" s="255" t="str">
        <f>IFERROR(__xludf.DUMMYFUNCTION("""COMPUTED_VALUE"""),"NANO")</f>
        <v>NANO</v>
      </c>
      <c r="B974" s="23" t="str">
        <f>IFERROR(__xludf.DUMMYFUNCTION("""COMPUTED_VALUE"""),"karaaafashion")</f>
        <v>karaaafashion</v>
      </c>
      <c r="C974" s="257" t="str">
        <f>IFERROR(__xludf.DUMMYFUNCTION("""COMPUTED_VALUE"""),"https://www.tiktok.com/@karaaafashion")</f>
        <v>https://www.tiktok.com/@karaaafashion</v>
      </c>
      <c r="D974" s="23">
        <f>IFERROR(__xludf.DUMMYFUNCTION("""COMPUTED_VALUE"""),8.3820113569E10)</f>
        <v>83820113569</v>
      </c>
      <c r="E974" s="457">
        <f>IFERROR(__xludf.DUMMYFUNCTION("""COMPUTED_VALUE"""),0.0)</f>
        <v>0</v>
      </c>
      <c r="F974" s="270">
        <f>IFERROR(__xludf.DUMMYFUNCTION("""COMPUTED_VALUE"""),4.0)</f>
        <v>4</v>
      </c>
      <c r="G974" s="17" t="str">
        <f>IFERROR(__xludf.DUMMYFUNCTION("""COMPUTED_VALUE"""),"Full Set")</f>
        <v>Full Set</v>
      </c>
      <c r="H974" s="17"/>
      <c r="I974" s="262"/>
      <c r="J974" s="262"/>
      <c r="K974" s="262"/>
      <c r="L974" s="262"/>
      <c r="M974" s="262"/>
    </row>
    <row r="975">
      <c r="A975" s="255" t="str">
        <f>IFERROR(__xludf.DUMMYFUNCTION("""COMPUTED_VALUE"""),"NANO")</f>
        <v>NANO</v>
      </c>
      <c r="B975" s="23" t="str">
        <f>IFERROR(__xludf.DUMMYFUNCTION("""COMPUTED_VALUE"""),"mahhnh")</f>
        <v>mahhnh</v>
      </c>
      <c r="C975" s="257" t="str">
        <f>IFERROR(__xludf.DUMMYFUNCTION("""COMPUTED_VALUE"""),"https://www.tiktok.com/@mahhnh")</f>
        <v>https://www.tiktok.com/@mahhnh</v>
      </c>
      <c r="D975" s="23">
        <f>IFERROR(__xludf.DUMMYFUNCTION("""COMPUTED_VALUE"""),8.3140284901E10)</f>
        <v>83140284901</v>
      </c>
      <c r="E975" s="457">
        <f>IFERROR(__xludf.DUMMYFUNCTION("""COMPUTED_VALUE"""),0.0)</f>
        <v>0</v>
      </c>
      <c r="F975" s="270">
        <f>IFERROR(__xludf.DUMMYFUNCTION("""COMPUTED_VALUE"""),4.0)</f>
        <v>4</v>
      </c>
      <c r="G975" s="17" t="str">
        <f>IFERROR(__xludf.DUMMYFUNCTION("""COMPUTED_VALUE"""),"Full Set")</f>
        <v>Full Set</v>
      </c>
      <c r="H975" s="17"/>
      <c r="I975" s="262"/>
      <c r="J975" s="262"/>
      <c r="K975" s="262"/>
      <c r="L975" s="262"/>
      <c r="M975" s="262"/>
    </row>
    <row r="976">
      <c r="A976" s="255" t="str">
        <f>IFERROR(__xludf.DUMMYFUNCTION("""COMPUTED_VALUE"""),"NANO")</f>
        <v>NANO</v>
      </c>
      <c r="B976" s="23" t="str">
        <f>IFERROR(__xludf.DUMMYFUNCTION("""COMPUTED_VALUE"""),"diyanah_yh")</f>
        <v>diyanah_yh</v>
      </c>
      <c r="C976" s="257" t="str">
        <f>IFERROR(__xludf.DUMMYFUNCTION("""COMPUTED_VALUE"""),"https://www.tiktok.com/@diyanah_yh")</f>
        <v>https://www.tiktok.com/@diyanah_yh</v>
      </c>
      <c r="D976" s="23">
        <f>IFERROR(__xludf.DUMMYFUNCTION("""COMPUTED_VALUE"""),8.3871794948E10)</f>
        <v>83871794948</v>
      </c>
      <c r="E976" s="457">
        <f>IFERROR(__xludf.DUMMYFUNCTION("""COMPUTED_VALUE"""),0.0)</f>
        <v>0</v>
      </c>
      <c r="F976" s="270">
        <f>IFERROR(__xludf.DUMMYFUNCTION("""COMPUTED_VALUE"""),4.0)</f>
        <v>4</v>
      </c>
      <c r="G976" s="17" t="str">
        <f>IFERROR(__xludf.DUMMYFUNCTION("""COMPUTED_VALUE"""),"Full Set")</f>
        <v>Full Set</v>
      </c>
      <c r="H976" s="17"/>
      <c r="I976" s="262"/>
      <c r="J976" s="262"/>
      <c r="K976" s="262"/>
      <c r="L976" s="262"/>
      <c r="M976" s="262"/>
    </row>
    <row r="977">
      <c r="A977" s="255" t="str">
        <f>IFERROR(__xludf.DUMMYFUNCTION("""COMPUTED_VALUE"""),"NANO")</f>
        <v>NANO</v>
      </c>
      <c r="B977" s="23" t="str">
        <f>IFERROR(__xludf.DUMMYFUNCTION("""COMPUTED_VALUE"""),"andini9396")</f>
        <v>andini9396</v>
      </c>
      <c r="C977" s="257" t="str">
        <f>IFERROR(__xludf.DUMMYFUNCTION("""COMPUTED_VALUE"""),"https://www.tiktok.com/@andini9396")</f>
        <v>https://www.tiktok.com/@andini9396</v>
      </c>
      <c r="D977" s="23">
        <f>IFERROR(__xludf.DUMMYFUNCTION("""COMPUTED_VALUE"""),8.521098961E10)</f>
        <v>85210989610</v>
      </c>
      <c r="E977" s="457">
        <f>IFERROR(__xludf.DUMMYFUNCTION("""COMPUTED_VALUE"""),0.0)</f>
        <v>0</v>
      </c>
      <c r="F977" s="270">
        <f>IFERROR(__xludf.DUMMYFUNCTION("""COMPUTED_VALUE"""),4.0)</f>
        <v>4</v>
      </c>
      <c r="G977" s="17" t="str">
        <f>IFERROR(__xludf.DUMMYFUNCTION("""COMPUTED_VALUE"""),"Full Set")</f>
        <v>Full Set</v>
      </c>
      <c r="H977" s="17"/>
      <c r="I977" s="262"/>
      <c r="J977" s="262"/>
      <c r="K977" s="262"/>
      <c r="L977" s="262"/>
      <c r="M977" s="262"/>
    </row>
    <row r="978">
      <c r="A978" s="255" t="str">
        <f>IFERROR(__xludf.DUMMYFUNCTION("""COMPUTED_VALUE"""),"NANO")</f>
        <v>NANO</v>
      </c>
      <c r="B978" s="23" t="str">
        <f>IFERROR(__xludf.DUMMYFUNCTION("""COMPUTED_VALUE"""),"bubujes_")</f>
        <v>bubujes_</v>
      </c>
      <c r="C978" s="257" t="str">
        <f>IFERROR(__xludf.DUMMYFUNCTION("""COMPUTED_VALUE"""),"https://www.tiktok.com/@bubujes_")</f>
        <v>https://www.tiktok.com/@bubujes_</v>
      </c>
      <c r="D978" s="23">
        <f>IFERROR(__xludf.DUMMYFUNCTION("""COMPUTED_VALUE"""),8.5212913865E10)</f>
        <v>85212913865</v>
      </c>
      <c r="E978" s="457">
        <f>IFERROR(__xludf.DUMMYFUNCTION("""COMPUTED_VALUE"""),0.0)</f>
        <v>0</v>
      </c>
      <c r="F978" s="270">
        <f>IFERROR(__xludf.DUMMYFUNCTION("""COMPUTED_VALUE"""),4.0)</f>
        <v>4</v>
      </c>
      <c r="G978" s="17" t="str">
        <f>IFERROR(__xludf.DUMMYFUNCTION("""COMPUTED_VALUE"""),"Full Set")</f>
        <v>Full Set</v>
      </c>
      <c r="H978" s="17"/>
      <c r="I978" s="262"/>
      <c r="J978" s="262"/>
      <c r="K978" s="262"/>
      <c r="L978" s="262"/>
      <c r="M978" s="262"/>
    </row>
    <row r="979">
      <c r="A979" s="255" t="str">
        <f>IFERROR(__xludf.DUMMYFUNCTION("""COMPUTED_VALUE"""),"NANO")</f>
        <v>NANO</v>
      </c>
      <c r="B979" s="23" t="str">
        <f>IFERROR(__xludf.DUMMYFUNCTION("""COMPUTED_VALUE"""),"Wiwindarti")</f>
        <v>Wiwindarti</v>
      </c>
      <c r="C979" s="257" t="str">
        <f>IFERROR(__xludf.DUMMYFUNCTION("""COMPUTED_VALUE"""),"https://www.tiktok.com/@Wiwindarti")</f>
        <v>https://www.tiktok.com/@Wiwindarti</v>
      </c>
      <c r="D979" s="23">
        <f>IFERROR(__xludf.DUMMYFUNCTION("""COMPUTED_VALUE"""),8.5755335481E10)</f>
        <v>85755335481</v>
      </c>
      <c r="E979" s="457">
        <f>IFERROR(__xludf.DUMMYFUNCTION("""COMPUTED_VALUE"""),0.0)</f>
        <v>0</v>
      </c>
      <c r="F979" s="270">
        <f>IFERROR(__xludf.DUMMYFUNCTION("""COMPUTED_VALUE"""),4.0)</f>
        <v>4</v>
      </c>
      <c r="G979" s="17" t="str">
        <f>IFERROR(__xludf.DUMMYFUNCTION("""COMPUTED_VALUE"""),"Full Set")</f>
        <v>Full Set</v>
      </c>
      <c r="H979" s="17"/>
      <c r="I979" s="262"/>
      <c r="J979" s="262"/>
      <c r="K979" s="262"/>
      <c r="L979" s="262"/>
      <c r="M979" s="262"/>
    </row>
    <row r="980">
      <c r="A980" s="255" t="str">
        <f>IFERROR(__xludf.DUMMYFUNCTION("""COMPUTED_VALUE"""),"MICRO")</f>
        <v>MICRO</v>
      </c>
      <c r="B980" s="23" t="str">
        <f>IFERROR(__xludf.DUMMYFUNCTION("""COMPUTED_VALUE"""),"lolandapp23")</f>
        <v>lolandapp23</v>
      </c>
      <c r="C980" s="257" t="str">
        <f>IFERROR(__xludf.DUMMYFUNCTION("""COMPUTED_VALUE"""),"https://www.tiktok.com/@lolandapp23")</f>
        <v>https://www.tiktok.com/@lolandapp23</v>
      </c>
      <c r="D980" s="23">
        <f>IFERROR(__xludf.DUMMYFUNCTION("""COMPUTED_VALUE"""),8.3100477425E10)</f>
        <v>83100477425</v>
      </c>
      <c r="E980" s="457">
        <f>IFERROR(__xludf.DUMMYFUNCTION("""COMPUTED_VALUE"""),0.0)</f>
        <v>0</v>
      </c>
      <c r="F980" s="270">
        <f>IFERROR(__xludf.DUMMYFUNCTION("""COMPUTED_VALUE"""),4.0)</f>
        <v>4</v>
      </c>
      <c r="G980" s="17" t="str">
        <f>IFERROR(__xludf.DUMMYFUNCTION("""COMPUTED_VALUE"""),"Full Set")</f>
        <v>Full Set</v>
      </c>
      <c r="H980" s="17"/>
      <c r="I980" s="262"/>
      <c r="J980" s="262"/>
      <c r="K980" s="262"/>
      <c r="L980" s="262"/>
      <c r="M980" s="262"/>
    </row>
    <row r="981">
      <c r="A981" s="255" t="str">
        <f>IFERROR(__xludf.DUMMYFUNCTION("""COMPUTED_VALUE"""),"NANO")</f>
        <v>NANO</v>
      </c>
      <c r="B981" s="23" t="str">
        <f>IFERROR(__xludf.DUMMYFUNCTION("""COMPUTED_VALUE"""),"marcella_harini")</f>
        <v>marcella_harini</v>
      </c>
      <c r="C981" s="257" t="str">
        <f>IFERROR(__xludf.DUMMYFUNCTION("""COMPUTED_VALUE"""),"https://www.tiktok.com/@marcella_harini")</f>
        <v>https://www.tiktok.com/@marcella_harini</v>
      </c>
      <c r="D981" s="23">
        <f>IFERROR(__xludf.DUMMYFUNCTION("""COMPUTED_VALUE"""),8.575852717E10)</f>
        <v>85758527170</v>
      </c>
      <c r="E981" s="457">
        <f>IFERROR(__xludf.DUMMYFUNCTION("""COMPUTED_VALUE"""),0.0)</f>
        <v>0</v>
      </c>
      <c r="F981" s="270">
        <f>IFERROR(__xludf.DUMMYFUNCTION("""COMPUTED_VALUE"""),4.0)</f>
        <v>4</v>
      </c>
      <c r="G981" s="17" t="str">
        <f>IFERROR(__xludf.DUMMYFUNCTION("""COMPUTED_VALUE"""),"Full Set")</f>
        <v>Full Set</v>
      </c>
      <c r="H981" s="17"/>
      <c r="I981" s="262"/>
      <c r="J981" s="262"/>
      <c r="K981" s="262"/>
      <c r="L981" s="262"/>
      <c r="M981" s="262"/>
    </row>
    <row r="982">
      <c r="A982" s="255" t="str">
        <f>IFERROR(__xludf.DUMMYFUNCTION("""COMPUTED_VALUE"""),"NANO")</f>
        <v>NANO</v>
      </c>
      <c r="B982" s="23" t="str">
        <f>IFERROR(__xludf.DUMMYFUNCTION("""COMPUTED_VALUE"""),"raiyaa.r")</f>
        <v>raiyaa.r</v>
      </c>
      <c r="C982" s="257" t="str">
        <f>IFERROR(__xludf.DUMMYFUNCTION("""COMPUTED_VALUE"""),"https://www.tiktok.com/@raiyaa.r")</f>
        <v>https://www.tiktok.com/@raiyaa.r</v>
      </c>
      <c r="D982" s="23">
        <f>IFERROR(__xludf.DUMMYFUNCTION("""COMPUTED_VALUE"""),8.563288832E9)</f>
        <v>8563288832</v>
      </c>
      <c r="E982" s="457">
        <f>IFERROR(__xludf.DUMMYFUNCTION("""COMPUTED_VALUE"""),0.0)</f>
        <v>0</v>
      </c>
      <c r="F982" s="270">
        <f>IFERROR(__xludf.DUMMYFUNCTION("""COMPUTED_VALUE"""),4.0)</f>
        <v>4</v>
      </c>
      <c r="G982" s="17" t="str">
        <f>IFERROR(__xludf.DUMMYFUNCTION("""COMPUTED_VALUE"""),"Full Set")</f>
        <v>Full Set</v>
      </c>
      <c r="H982" s="17"/>
      <c r="I982" s="262"/>
      <c r="J982" s="262"/>
      <c r="K982" s="262"/>
      <c r="L982" s="262"/>
      <c r="M982" s="262"/>
    </row>
    <row r="983">
      <c r="A983" s="255" t="str">
        <f>IFERROR(__xludf.DUMMYFUNCTION("""COMPUTED_VALUE"""),"NANO")</f>
        <v>NANO</v>
      </c>
      <c r="B983" s="23" t="str">
        <f>IFERROR(__xludf.DUMMYFUNCTION("""COMPUTED_VALUE"""),"aries.shop_ ")</f>
        <v>aries.shop_ </v>
      </c>
      <c r="C983" s="257" t="str">
        <f>IFERROR(__xludf.DUMMYFUNCTION("""COMPUTED_VALUE"""),"https://www.tiktok.com/@aries.shop_ ")</f>
        <v>https://www.tiktok.com/@aries.shop_ </v>
      </c>
      <c r="D983" s="23">
        <f>IFERROR(__xludf.DUMMYFUNCTION("""COMPUTED_VALUE"""),8.5731939874E10)</f>
        <v>85731939874</v>
      </c>
      <c r="E983" s="457">
        <f>IFERROR(__xludf.DUMMYFUNCTION("""COMPUTED_VALUE"""),0.0)</f>
        <v>0</v>
      </c>
      <c r="F983" s="270">
        <f>IFERROR(__xludf.DUMMYFUNCTION("""COMPUTED_VALUE"""),4.0)</f>
        <v>4</v>
      </c>
      <c r="G983" s="17" t="str">
        <f>IFERROR(__xludf.DUMMYFUNCTION("""COMPUTED_VALUE"""),"Full Set")</f>
        <v>Full Set</v>
      </c>
      <c r="H983" s="17"/>
      <c r="I983" s="262"/>
      <c r="J983" s="262"/>
      <c r="K983" s="262"/>
      <c r="L983" s="262"/>
      <c r="M983" s="262"/>
    </row>
    <row r="984">
      <c r="A984" s="255" t="str">
        <f>IFERROR(__xludf.DUMMYFUNCTION("""COMPUTED_VALUE"""),"NANO")</f>
        <v>NANO</v>
      </c>
      <c r="B984" s="23" t="str">
        <f>IFERROR(__xludf.DUMMYFUNCTION("""COMPUTED_VALUE"""),"_yollaa23")</f>
        <v>_yollaa23</v>
      </c>
      <c r="C984" s="257" t="str">
        <f>IFERROR(__xludf.DUMMYFUNCTION("""COMPUTED_VALUE"""),"https://www.tiktok.com/@_yollaa23")</f>
        <v>https://www.tiktok.com/@_yollaa23</v>
      </c>
      <c r="D984" s="23">
        <f>IFERROR(__xludf.DUMMYFUNCTION("""COMPUTED_VALUE"""),8.3100477474E10)</f>
        <v>83100477474</v>
      </c>
      <c r="E984" s="457">
        <f>IFERROR(__xludf.DUMMYFUNCTION("""COMPUTED_VALUE"""),0.0)</f>
        <v>0</v>
      </c>
      <c r="F984" s="270">
        <f>IFERROR(__xludf.DUMMYFUNCTION("""COMPUTED_VALUE"""),4.0)</f>
        <v>4</v>
      </c>
      <c r="G984" s="17" t="str">
        <f>IFERROR(__xludf.DUMMYFUNCTION("""COMPUTED_VALUE"""),"Full Set")</f>
        <v>Full Set</v>
      </c>
      <c r="H984" s="17"/>
      <c r="I984" s="262"/>
      <c r="J984" s="262"/>
      <c r="K984" s="262"/>
      <c r="L984" s="262"/>
      <c r="M984" s="262"/>
    </row>
    <row r="985">
      <c r="A985" s="255" t="str">
        <f>IFERROR(__xludf.DUMMYFUNCTION("""COMPUTED_VALUE"""),"NANO")</f>
        <v>NANO</v>
      </c>
      <c r="B985" s="23" t="str">
        <f>IFERROR(__xludf.DUMMYFUNCTION("""COMPUTED_VALUE"""),"amma.niss")</f>
        <v>amma.niss</v>
      </c>
      <c r="C985" s="257" t="str">
        <f>IFERROR(__xludf.DUMMYFUNCTION("""COMPUTED_VALUE"""),"https://www.tiktok.com/@amma.niss")</f>
        <v>https://www.tiktok.com/@amma.niss</v>
      </c>
      <c r="D985" s="23">
        <f>IFERROR(__xludf.DUMMYFUNCTION("""COMPUTED_VALUE"""),8.95338564671E11)</f>
        <v>895338564671</v>
      </c>
      <c r="E985" s="457">
        <f>IFERROR(__xludf.DUMMYFUNCTION("""COMPUTED_VALUE"""),0.0)</f>
        <v>0</v>
      </c>
      <c r="F985" s="270">
        <f>IFERROR(__xludf.DUMMYFUNCTION("""COMPUTED_VALUE"""),4.0)</f>
        <v>4</v>
      </c>
      <c r="G985" s="17" t="str">
        <f>IFERROR(__xludf.DUMMYFUNCTION("""COMPUTED_VALUE"""),"Full Set")</f>
        <v>Full Set</v>
      </c>
      <c r="H985" s="17"/>
      <c r="I985" s="262"/>
      <c r="J985" s="262"/>
      <c r="K985" s="262"/>
      <c r="L985" s="262"/>
      <c r="M985" s="262"/>
    </row>
    <row r="986">
      <c r="A986" s="255" t="str">
        <f>IFERROR(__xludf.DUMMYFUNCTION("""COMPUTED_VALUE"""),"MICRO")</f>
        <v>MICRO</v>
      </c>
      <c r="B986" s="23" t="str">
        <f>IFERROR(__xludf.DUMMYFUNCTION("""COMPUTED_VALUE"""),"Chelfazarxx")</f>
        <v>Chelfazarxx</v>
      </c>
      <c r="C986" s="257" t="str">
        <f>IFERROR(__xludf.DUMMYFUNCTION("""COMPUTED_VALUE"""),"https://www.tiktok.com/@Chelfazarxx")</f>
        <v>https://www.tiktok.com/@Chelfazarxx</v>
      </c>
      <c r="D986" s="23">
        <f>IFERROR(__xludf.DUMMYFUNCTION("""COMPUTED_VALUE"""),8.9515396075E10)</f>
        <v>89515396075</v>
      </c>
      <c r="E986" s="457">
        <f>IFERROR(__xludf.DUMMYFUNCTION("""COMPUTED_VALUE"""),0.0)</f>
        <v>0</v>
      </c>
      <c r="F986" s="270">
        <f>IFERROR(__xludf.DUMMYFUNCTION("""COMPUTED_VALUE"""),4.0)</f>
        <v>4</v>
      </c>
      <c r="G986" s="17" t="str">
        <f>IFERROR(__xludf.DUMMYFUNCTION("""COMPUTED_VALUE"""),"Full Set")</f>
        <v>Full Set</v>
      </c>
      <c r="H986" s="17"/>
      <c r="I986" s="262"/>
      <c r="J986" s="262"/>
      <c r="K986" s="262"/>
      <c r="L986" s="262"/>
      <c r="M986" s="262"/>
    </row>
    <row r="987">
      <c r="A987" s="255" t="str">
        <f>IFERROR(__xludf.DUMMYFUNCTION("""COMPUTED_VALUE"""),"NANO")</f>
        <v>NANO</v>
      </c>
      <c r="B987" s="23" t="str">
        <f>IFERROR(__xludf.DUMMYFUNCTION("""COMPUTED_VALUE"""),"spillbynala")</f>
        <v>spillbynala</v>
      </c>
      <c r="C987" s="257" t="str">
        <f>IFERROR(__xludf.DUMMYFUNCTION("""COMPUTED_VALUE"""),"https://www.tiktok.com/@spillbynala")</f>
        <v>https://www.tiktok.com/@spillbynala</v>
      </c>
      <c r="D987" s="23">
        <f>IFERROR(__xludf.DUMMYFUNCTION("""COMPUTED_VALUE"""),8.1998889185E10)</f>
        <v>81998889185</v>
      </c>
      <c r="E987" s="457">
        <f>IFERROR(__xludf.DUMMYFUNCTION("""COMPUTED_VALUE"""),0.0)</f>
        <v>0</v>
      </c>
      <c r="F987" s="270">
        <f>IFERROR(__xludf.DUMMYFUNCTION("""COMPUTED_VALUE"""),4.0)</f>
        <v>4</v>
      </c>
      <c r="G987" s="17" t="str">
        <f>IFERROR(__xludf.DUMMYFUNCTION("""COMPUTED_VALUE"""),"Full Set")</f>
        <v>Full Set</v>
      </c>
      <c r="H987" s="17"/>
      <c r="I987" s="262"/>
      <c r="J987" s="262"/>
      <c r="K987" s="262"/>
      <c r="L987" s="262"/>
      <c r="M987" s="262"/>
    </row>
    <row r="988">
      <c r="A988" s="255" t="str">
        <f>IFERROR(__xludf.DUMMYFUNCTION("""COMPUTED_VALUE"""),"NANO")</f>
        <v>NANO</v>
      </c>
      <c r="B988" s="23" t="str">
        <f>IFERROR(__xludf.DUMMYFUNCTION("""COMPUTED_VALUE"""),"nssadepeee_")</f>
        <v>nssadepeee_</v>
      </c>
      <c r="C988" s="257" t="str">
        <f>IFERROR(__xludf.DUMMYFUNCTION("""COMPUTED_VALUE"""),"https://www.tiktok.com/@nssadepeee_")</f>
        <v>https://www.tiktok.com/@nssadepeee_</v>
      </c>
      <c r="D988" s="23">
        <f>IFERROR(__xludf.DUMMYFUNCTION("""COMPUTED_VALUE"""),8.7711287243E10)</f>
        <v>87711287243</v>
      </c>
      <c r="E988" s="457">
        <f>IFERROR(__xludf.DUMMYFUNCTION("""COMPUTED_VALUE"""),0.0)</f>
        <v>0</v>
      </c>
      <c r="F988" s="270">
        <f>IFERROR(__xludf.DUMMYFUNCTION("""COMPUTED_VALUE"""),4.0)</f>
        <v>4</v>
      </c>
      <c r="G988" s="17" t="str">
        <f>IFERROR(__xludf.DUMMYFUNCTION("""COMPUTED_VALUE"""),"Full Set")</f>
        <v>Full Set</v>
      </c>
      <c r="H988" s="17"/>
      <c r="I988" s="262"/>
      <c r="J988" s="262"/>
      <c r="K988" s="262"/>
      <c r="L988" s="262"/>
      <c r="M988" s="262"/>
    </row>
    <row r="989">
      <c r="A989" s="255" t="str">
        <f>IFERROR(__xludf.DUMMYFUNCTION("""COMPUTED_VALUE"""),"NANO")</f>
        <v>NANO</v>
      </c>
      <c r="B989" s="23" t="str">
        <f>IFERROR(__xludf.DUMMYFUNCTION("""COMPUTED_VALUE"""),"Cimomole")</f>
        <v>Cimomole</v>
      </c>
      <c r="C989" s="257" t="str">
        <f>IFERROR(__xludf.DUMMYFUNCTION("""COMPUTED_VALUE"""),"https://www.tiktok.com/@Cimomole")</f>
        <v>https://www.tiktok.com/@Cimomole</v>
      </c>
      <c r="D989" s="23">
        <f>IFERROR(__xludf.DUMMYFUNCTION("""COMPUTED_VALUE"""),8.8298499588E10)</f>
        <v>88298499588</v>
      </c>
      <c r="E989" s="457">
        <f>IFERROR(__xludf.DUMMYFUNCTION("""COMPUTED_VALUE"""),0.0)</f>
        <v>0</v>
      </c>
      <c r="F989" s="270">
        <f>IFERROR(__xludf.DUMMYFUNCTION("""COMPUTED_VALUE"""),4.0)</f>
        <v>4</v>
      </c>
      <c r="G989" s="17" t="str">
        <f>IFERROR(__xludf.DUMMYFUNCTION("""COMPUTED_VALUE"""),"Full Set")</f>
        <v>Full Set</v>
      </c>
      <c r="H989" s="17"/>
      <c r="I989" s="262"/>
      <c r="J989" s="262"/>
      <c r="K989" s="262"/>
      <c r="L989" s="262"/>
      <c r="M989" s="262"/>
    </row>
    <row r="990">
      <c r="A990" s="255" t="str">
        <f>IFERROR(__xludf.DUMMYFUNCTION("""COMPUTED_VALUE"""),"NANO")</f>
        <v>NANO</v>
      </c>
      <c r="B990" s="23" t="str">
        <f>IFERROR(__xludf.DUMMYFUNCTION("""COMPUTED_VALUE"""),"peachy.mornings16")</f>
        <v>peachy.mornings16</v>
      </c>
      <c r="C990" s="257" t="str">
        <f>IFERROR(__xludf.DUMMYFUNCTION("""COMPUTED_VALUE"""),"https://www.tiktok.com/@peachy.mornings16")</f>
        <v>https://www.tiktok.com/@peachy.mornings16</v>
      </c>
      <c r="D990" s="23">
        <f>IFERROR(__xludf.DUMMYFUNCTION("""COMPUTED_VALUE"""),8.8705125315E10)</f>
        <v>88705125315</v>
      </c>
      <c r="E990" s="457">
        <f>IFERROR(__xludf.DUMMYFUNCTION("""COMPUTED_VALUE"""),0.0)</f>
        <v>0</v>
      </c>
      <c r="F990" s="270">
        <f>IFERROR(__xludf.DUMMYFUNCTION("""COMPUTED_VALUE"""),4.0)</f>
        <v>4</v>
      </c>
      <c r="G990" s="17" t="str">
        <f>IFERROR(__xludf.DUMMYFUNCTION("""COMPUTED_VALUE"""),"Full Set")</f>
        <v>Full Set</v>
      </c>
      <c r="H990" s="17"/>
      <c r="I990" s="262"/>
      <c r="J990" s="262"/>
      <c r="K990" s="262"/>
      <c r="L990" s="262"/>
      <c r="M990" s="262"/>
    </row>
    <row r="991">
      <c r="A991" s="255" t="str">
        <f>IFERROR(__xludf.DUMMYFUNCTION("""COMPUTED_VALUE"""),"NANO")</f>
        <v>NANO</v>
      </c>
      <c r="B991" s="23" t="str">
        <f>IFERROR(__xludf.DUMMYFUNCTION("""COMPUTED_VALUE"""),"wilichil")</f>
        <v>wilichil</v>
      </c>
      <c r="C991" s="257" t="str">
        <f>IFERROR(__xludf.DUMMYFUNCTION("""COMPUTED_VALUE"""),"https://www.tiktok.com/@wilichil")</f>
        <v>https://www.tiktok.com/@wilichil</v>
      </c>
      <c r="D991" s="23">
        <f>IFERROR(__xludf.DUMMYFUNCTION("""COMPUTED_VALUE"""),8.5158500158E10)</f>
        <v>85158500158</v>
      </c>
      <c r="E991" s="457">
        <f>IFERROR(__xludf.DUMMYFUNCTION("""COMPUTED_VALUE"""),0.0)</f>
        <v>0</v>
      </c>
      <c r="F991" s="270">
        <f>IFERROR(__xludf.DUMMYFUNCTION("""COMPUTED_VALUE"""),4.0)</f>
        <v>4</v>
      </c>
      <c r="G991" s="17" t="str">
        <f>IFERROR(__xludf.DUMMYFUNCTION("""COMPUTED_VALUE"""),"Full Set")</f>
        <v>Full Set</v>
      </c>
      <c r="H991" s="17"/>
      <c r="I991" s="262"/>
      <c r="J991" s="262"/>
      <c r="K991" s="262"/>
      <c r="L991" s="262"/>
      <c r="M991" s="262"/>
    </row>
    <row r="992">
      <c r="A992" s="255" t="str">
        <f>IFERROR(__xludf.DUMMYFUNCTION("""COMPUTED_VALUE"""),"NANO")</f>
        <v>NANO</v>
      </c>
      <c r="B992" s="23" t="str">
        <f>IFERROR(__xludf.DUMMYFUNCTION("""COMPUTED_VALUE"""),"nes_dyd")</f>
        <v>nes_dyd</v>
      </c>
      <c r="C992" s="257" t="str">
        <f>IFERROR(__xludf.DUMMYFUNCTION("""COMPUTED_VALUE"""),"https://www.tiktok.com/@nes_dyd")</f>
        <v>https://www.tiktok.com/@nes_dyd</v>
      </c>
      <c r="D992" s="23">
        <f>IFERROR(__xludf.DUMMYFUNCTION("""COMPUTED_VALUE"""),8.2135816482E10)</f>
        <v>82135816482</v>
      </c>
      <c r="E992" s="457">
        <f>IFERROR(__xludf.DUMMYFUNCTION("""COMPUTED_VALUE"""),0.0)</f>
        <v>0</v>
      </c>
      <c r="F992" s="270">
        <f>IFERROR(__xludf.DUMMYFUNCTION("""COMPUTED_VALUE"""),4.0)</f>
        <v>4</v>
      </c>
      <c r="G992" s="17" t="str">
        <f>IFERROR(__xludf.DUMMYFUNCTION("""COMPUTED_VALUE"""),"Full Set")</f>
        <v>Full Set</v>
      </c>
      <c r="H992" s="17"/>
      <c r="I992" s="262"/>
      <c r="J992" s="262"/>
      <c r="K992" s="262"/>
      <c r="L992" s="262"/>
      <c r="M992" s="262"/>
    </row>
    <row r="993">
      <c r="A993" s="255" t="str">
        <f>IFERROR(__xludf.DUMMYFUNCTION("""COMPUTED_VALUE"""),"NANO")</f>
        <v>NANO</v>
      </c>
      <c r="B993" s="23" t="str">
        <f>IFERROR(__xludf.DUMMYFUNCTION("""COMPUTED_VALUE"""),"tiniwinidhiti")</f>
        <v>tiniwinidhiti</v>
      </c>
      <c r="C993" s="257" t="str">
        <f>IFERROR(__xludf.DUMMYFUNCTION("""COMPUTED_VALUE"""),"https://www.tiktok.com/@tiniwinidhiti")</f>
        <v>https://www.tiktok.com/@tiniwinidhiti</v>
      </c>
      <c r="D993" s="23">
        <f>IFERROR(__xludf.DUMMYFUNCTION("""COMPUTED_VALUE"""),8.7783239755E10)</f>
        <v>87783239755</v>
      </c>
      <c r="E993" s="457">
        <f>IFERROR(__xludf.DUMMYFUNCTION("""COMPUTED_VALUE"""),0.0)</f>
        <v>0</v>
      </c>
      <c r="F993" s="270">
        <f>IFERROR(__xludf.DUMMYFUNCTION("""COMPUTED_VALUE"""),4.0)</f>
        <v>4</v>
      </c>
      <c r="G993" s="17" t="str">
        <f>IFERROR(__xludf.DUMMYFUNCTION("""COMPUTED_VALUE"""),"Full Set")</f>
        <v>Full Set</v>
      </c>
      <c r="H993" s="17"/>
      <c r="I993" s="262"/>
      <c r="J993" s="262"/>
      <c r="K993" s="262"/>
      <c r="L993" s="262"/>
      <c r="M993" s="262"/>
    </row>
    <row r="994">
      <c r="A994" s="255" t="str">
        <f>IFERROR(__xludf.DUMMYFUNCTION("""COMPUTED_VALUE"""),"NANO")</f>
        <v>NANO</v>
      </c>
      <c r="B994" s="23" t="str">
        <f>IFERROR(__xludf.DUMMYFUNCTION("""COMPUTED_VALUE"""),"fannyyshop")</f>
        <v>fannyyshop</v>
      </c>
      <c r="C994" s="257" t="str">
        <f>IFERROR(__xludf.DUMMYFUNCTION("""COMPUTED_VALUE"""),"https://www.tiktok.com/@fannyyshop")</f>
        <v>https://www.tiktok.com/@fannyyshop</v>
      </c>
      <c r="D994" s="23">
        <f>IFERROR(__xludf.DUMMYFUNCTION("""COMPUTED_VALUE"""),8.3842728463E10)</f>
        <v>83842728463</v>
      </c>
      <c r="E994" s="457">
        <f>IFERROR(__xludf.DUMMYFUNCTION("""COMPUTED_VALUE"""),0.0)</f>
        <v>0</v>
      </c>
      <c r="F994" s="270">
        <f>IFERROR(__xludf.DUMMYFUNCTION("""COMPUTED_VALUE"""),4.0)</f>
        <v>4</v>
      </c>
      <c r="G994" s="17" t="str">
        <f>IFERROR(__xludf.DUMMYFUNCTION("""COMPUTED_VALUE"""),"Full Set")</f>
        <v>Full Set</v>
      </c>
      <c r="H994" s="17"/>
      <c r="I994" s="262"/>
      <c r="J994" s="262"/>
      <c r="K994" s="262"/>
      <c r="L994" s="262"/>
      <c r="M994" s="262"/>
    </row>
    <row r="995">
      <c r="A995" s="255" t="str">
        <f>IFERROR(__xludf.DUMMYFUNCTION("""COMPUTED_VALUE"""),"NANO")</f>
        <v>NANO</v>
      </c>
      <c r="B995" s="23" t="str">
        <f>IFERROR(__xludf.DUMMYFUNCTION("""COMPUTED_VALUE"""),"leyya")</f>
        <v>leyya</v>
      </c>
      <c r="C995" s="257" t="str">
        <f>IFERROR(__xludf.DUMMYFUNCTION("""COMPUTED_VALUE"""),"https://www.tiktok.com/@leyya")</f>
        <v>https://www.tiktok.com/@leyya</v>
      </c>
      <c r="D995" s="23">
        <f>IFERROR(__xludf.DUMMYFUNCTION("""COMPUTED_VALUE"""),8.3847435533E10)</f>
        <v>83847435533</v>
      </c>
      <c r="E995" s="457">
        <f>IFERROR(__xludf.DUMMYFUNCTION("""COMPUTED_VALUE"""),0.0)</f>
        <v>0</v>
      </c>
      <c r="F995" s="270">
        <f>IFERROR(__xludf.DUMMYFUNCTION("""COMPUTED_VALUE"""),4.0)</f>
        <v>4</v>
      </c>
      <c r="G995" s="17" t="str">
        <f>IFERROR(__xludf.DUMMYFUNCTION("""COMPUTED_VALUE"""),"Full Set")</f>
        <v>Full Set</v>
      </c>
      <c r="H995" s="17"/>
      <c r="I995" s="262"/>
      <c r="J995" s="262"/>
      <c r="K995" s="262"/>
      <c r="L995" s="262"/>
      <c r="M995" s="262"/>
    </row>
    <row r="996">
      <c r="A996" s="255" t="str">
        <f>IFERROR(__xludf.DUMMYFUNCTION("""COMPUTED_VALUE"""),"NANO")</f>
        <v>NANO</v>
      </c>
      <c r="B996" s="23" t="str">
        <f>IFERROR(__xludf.DUMMYFUNCTION("""COMPUTED_VALUE"""),"Novi_diana95")</f>
        <v>Novi_diana95</v>
      </c>
      <c r="C996" s="257" t="str">
        <f>IFERROR(__xludf.DUMMYFUNCTION("""COMPUTED_VALUE"""),"https://www.tiktok.com/@Novi_diana95")</f>
        <v>https://www.tiktok.com/@Novi_diana95</v>
      </c>
      <c r="D996" s="23">
        <f>IFERROR(__xludf.DUMMYFUNCTION("""COMPUTED_VALUE"""),8.5946628425E10)</f>
        <v>85946628425</v>
      </c>
      <c r="E996" s="457">
        <f>IFERROR(__xludf.DUMMYFUNCTION("""COMPUTED_VALUE"""),0.0)</f>
        <v>0</v>
      </c>
      <c r="F996" s="270">
        <f>IFERROR(__xludf.DUMMYFUNCTION("""COMPUTED_VALUE"""),4.0)</f>
        <v>4</v>
      </c>
      <c r="G996" s="17" t="str">
        <f>IFERROR(__xludf.DUMMYFUNCTION("""COMPUTED_VALUE"""),"Full Set")</f>
        <v>Full Set</v>
      </c>
      <c r="H996" s="17"/>
      <c r="I996" s="262"/>
      <c r="J996" s="262"/>
      <c r="K996" s="262"/>
      <c r="L996" s="262"/>
      <c r="M996" s="262"/>
    </row>
    <row r="997">
      <c r="A997" s="255" t="str">
        <f>IFERROR(__xludf.DUMMYFUNCTION("""COMPUTED_VALUE"""),"NANO")</f>
        <v>NANO</v>
      </c>
      <c r="B997" s="23" t="str">
        <f>IFERROR(__xludf.DUMMYFUNCTION("""COMPUTED_VALUE"""),"evanurfadilah44")</f>
        <v>evanurfadilah44</v>
      </c>
      <c r="C997" s="257" t="str">
        <f>IFERROR(__xludf.DUMMYFUNCTION("""COMPUTED_VALUE"""),"https://www.tiktok.com/@evanurfadilah44")</f>
        <v>https://www.tiktok.com/@evanurfadilah44</v>
      </c>
      <c r="D997" s="23">
        <f>IFERROR(__xludf.DUMMYFUNCTION("""COMPUTED_VALUE"""),8.3195700966E10)</f>
        <v>83195700966</v>
      </c>
      <c r="E997" s="457">
        <f>IFERROR(__xludf.DUMMYFUNCTION("""COMPUTED_VALUE"""),0.0)</f>
        <v>0</v>
      </c>
      <c r="F997" s="270">
        <f>IFERROR(__xludf.DUMMYFUNCTION("""COMPUTED_VALUE"""),4.0)</f>
        <v>4</v>
      </c>
      <c r="G997" s="17" t="str">
        <f>IFERROR(__xludf.DUMMYFUNCTION("""COMPUTED_VALUE"""),"Full Set")</f>
        <v>Full Set</v>
      </c>
      <c r="H997" s="17"/>
      <c r="I997" s="262"/>
      <c r="J997" s="262"/>
      <c r="K997" s="262"/>
      <c r="L997" s="262"/>
      <c r="M997" s="262"/>
    </row>
    <row r="998">
      <c r="A998" s="255" t="str">
        <f>IFERROR(__xludf.DUMMYFUNCTION("""COMPUTED_VALUE"""),"NANO")</f>
        <v>NANO</v>
      </c>
      <c r="B998" s="23" t="str">
        <f>IFERROR(__xludf.DUMMYFUNCTION("""COMPUTED_VALUE"""),"spillbyanti_")</f>
        <v>spillbyanti_</v>
      </c>
      <c r="C998" s="257" t="str">
        <f>IFERROR(__xludf.DUMMYFUNCTION("""COMPUTED_VALUE"""),"https://www.tiktok.com/@spillbyanti_")</f>
        <v>https://www.tiktok.com/@spillbyanti_</v>
      </c>
      <c r="D998" s="23">
        <f>IFERROR(__xludf.DUMMYFUNCTION("""COMPUTED_VALUE"""),8.953750122E11)</f>
        <v>895375012200</v>
      </c>
      <c r="E998" s="457">
        <f>IFERROR(__xludf.DUMMYFUNCTION("""COMPUTED_VALUE"""),0.0)</f>
        <v>0</v>
      </c>
      <c r="F998" s="270">
        <f>IFERROR(__xludf.DUMMYFUNCTION("""COMPUTED_VALUE"""),4.0)</f>
        <v>4</v>
      </c>
      <c r="G998" s="17" t="str">
        <f>IFERROR(__xludf.DUMMYFUNCTION("""COMPUTED_VALUE"""),"Full Set")</f>
        <v>Full Set</v>
      </c>
      <c r="H998" s="17"/>
      <c r="I998" s="262"/>
      <c r="J998" s="262"/>
      <c r="K998" s="262"/>
      <c r="L998" s="262"/>
      <c r="M998" s="262"/>
    </row>
    <row r="999">
      <c r="A999" s="255" t="str">
        <f>IFERROR(__xludf.DUMMYFUNCTION("""COMPUTED_VALUE"""),"MICRO")</f>
        <v>MICRO</v>
      </c>
      <c r="B999" s="23" t="str">
        <f>IFERROR(__xludf.DUMMYFUNCTION("""COMPUTED_VALUE"""),"roseshxx")</f>
        <v>roseshxx</v>
      </c>
      <c r="C999" s="257" t="str">
        <f>IFERROR(__xludf.DUMMYFUNCTION("""COMPUTED_VALUE"""),"https://www.tiktok.com/@roseshxx")</f>
        <v>https://www.tiktok.com/@roseshxx</v>
      </c>
      <c r="D999" s="23">
        <f>IFERROR(__xludf.DUMMYFUNCTION("""COMPUTED_VALUE"""),8.5865787675E10)</f>
        <v>85865787675</v>
      </c>
      <c r="E999" s="457">
        <f>IFERROR(__xludf.DUMMYFUNCTION("""COMPUTED_VALUE"""),0.0)</f>
        <v>0</v>
      </c>
      <c r="F999" s="270">
        <f>IFERROR(__xludf.DUMMYFUNCTION("""COMPUTED_VALUE"""),4.0)</f>
        <v>4</v>
      </c>
      <c r="G999" s="17" t="str">
        <f>IFERROR(__xludf.DUMMYFUNCTION("""COMPUTED_VALUE"""),"Full Set")</f>
        <v>Full Set</v>
      </c>
      <c r="H999" s="17"/>
      <c r="I999" s="262"/>
      <c r="J999" s="262"/>
      <c r="K999" s="262"/>
      <c r="L999" s="262"/>
      <c r="M999" s="262"/>
    </row>
    <row r="1000">
      <c r="A1000" s="255" t="str">
        <f>IFERROR(__xludf.DUMMYFUNCTION("""COMPUTED_VALUE"""),"NANO")</f>
        <v>NANO</v>
      </c>
      <c r="B1000" s="23" t="str">
        <f>IFERROR(__xludf.DUMMYFUNCTION("""COMPUTED_VALUE"""),"axamarixa")</f>
        <v>axamarixa</v>
      </c>
      <c r="C1000" s="257" t="str">
        <f>IFERROR(__xludf.DUMMYFUNCTION("""COMPUTED_VALUE"""),"https://www.tiktok.com/@axamarixa")</f>
        <v>https://www.tiktok.com/@axamarixa</v>
      </c>
      <c r="D1000" s="23">
        <f>IFERROR(__xludf.DUMMYFUNCTION("""COMPUTED_VALUE"""),8.9646940795E10)</f>
        <v>89646940795</v>
      </c>
      <c r="E1000" s="457">
        <f>IFERROR(__xludf.DUMMYFUNCTION("""COMPUTED_VALUE"""),0.0)</f>
        <v>0</v>
      </c>
      <c r="F1000" s="270">
        <f>IFERROR(__xludf.DUMMYFUNCTION("""COMPUTED_VALUE"""),4.0)</f>
        <v>4</v>
      </c>
      <c r="G1000" s="17" t="str">
        <f>IFERROR(__xludf.DUMMYFUNCTION("""COMPUTED_VALUE"""),"Full Set")</f>
        <v>Full Set</v>
      </c>
      <c r="H1000" s="17"/>
      <c r="I1000" s="262"/>
      <c r="J1000" s="262"/>
      <c r="K1000" s="262"/>
      <c r="L1000" s="262"/>
      <c r="M1000" s="262"/>
    </row>
    <row r="1001">
      <c r="A1001" s="255" t="str">
        <f>IFERROR(__xludf.DUMMYFUNCTION("""COMPUTED_VALUE"""),"NANO")</f>
        <v>NANO</v>
      </c>
      <c r="B1001" s="23" t="str">
        <f>IFERROR(__xludf.DUMMYFUNCTION("""COMPUTED_VALUE"""),"Maviraapw")</f>
        <v>Maviraapw</v>
      </c>
      <c r="C1001" s="257" t="str">
        <f>IFERROR(__xludf.DUMMYFUNCTION("""COMPUTED_VALUE"""),"https://www.tiktok.com/@Maviraapw")</f>
        <v>https://www.tiktok.com/@Maviraapw</v>
      </c>
      <c r="D1001" s="23">
        <f>IFERROR(__xludf.DUMMYFUNCTION("""COMPUTED_VALUE"""),8.2250041827E10)</f>
        <v>82250041827</v>
      </c>
      <c r="E1001" s="457">
        <f>IFERROR(__xludf.DUMMYFUNCTION("""COMPUTED_VALUE"""),0.0)</f>
        <v>0</v>
      </c>
      <c r="F1001" s="270">
        <f>IFERROR(__xludf.DUMMYFUNCTION("""COMPUTED_VALUE"""),4.0)</f>
        <v>4</v>
      </c>
      <c r="G1001" s="17" t="str">
        <f>IFERROR(__xludf.DUMMYFUNCTION("""COMPUTED_VALUE"""),"Full Set")</f>
        <v>Full Set</v>
      </c>
      <c r="H1001" s="17"/>
      <c r="I1001" s="262"/>
      <c r="J1001" s="262"/>
      <c r="K1001" s="262"/>
      <c r="L1001" s="262"/>
      <c r="M1001" s="262"/>
    </row>
    <row r="1002">
      <c r="A1002" s="255" t="str">
        <f>IFERROR(__xludf.DUMMYFUNCTION("""COMPUTED_VALUE"""),"NANO")</f>
        <v>NANO</v>
      </c>
      <c r="B1002" s="23" t="str">
        <f>IFERROR(__xludf.DUMMYFUNCTION("""COMPUTED_VALUE"""),"dearlunette")</f>
        <v>dearlunette</v>
      </c>
      <c r="C1002" s="257" t="str">
        <f>IFERROR(__xludf.DUMMYFUNCTION("""COMPUTED_VALUE"""),"https://www.tiktok.com/@dearlunette")</f>
        <v>https://www.tiktok.com/@dearlunette</v>
      </c>
      <c r="D1002" s="23">
        <f>IFERROR(__xludf.DUMMYFUNCTION("""COMPUTED_VALUE"""),8.992873172E9)</f>
        <v>8992873172</v>
      </c>
      <c r="E1002" s="457">
        <f>IFERROR(__xludf.DUMMYFUNCTION("""COMPUTED_VALUE"""),0.0)</f>
        <v>0</v>
      </c>
      <c r="F1002" s="270">
        <f>IFERROR(__xludf.DUMMYFUNCTION("""COMPUTED_VALUE"""),4.0)</f>
        <v>4</v>
      </c>
      <c r="G1002" s="17" t="str">
        <f>IFERROR(__xludf.DUMMYFUNCTION("""COMPUTED_VALUE"""),"Full Set")</f>
        <v>Full Set</v>
      </c>
      <c r="H1002" s="17"/>
      <c r="I1002" s="262"/>
      <c r="J1002" s="262"/>
      <c r="K1002" s="262"/>
      <c r="L1002" s="262"/>
      <c r="M1002" s="262"/>
    </row>
    <row r="1003">
      <c r="A1003" s="255" t="str">
        <f>IFERROR(__xludf.DUMMYFUNCTION("""COMPUTED_VALUE"""),"NANO")</f>
        <v>NANO</v>
      </c>
      <c r="B1003" s="23" t="str">
        <f>IFERROR(__xludf.DUMMYFUNCTION("""COMPUTED_VALUE"""),"Nanlalisaa_")</f>
        <v>Nanlalisaa_</v>
      </c>
      <c r="C1003" s="257" t="str">
        <f>IFERROR(__xludf.DUMMYFUNCTION("""COMPUTED_VALUE"""),"https://www.tiktok.com/@Nanlalisaa_")</f>
        <v>https://www.tiktok.com/@Nanlalisaa_</v>
      </c>
      <c r="D1003" s="23">
        <f>IFERROR(__xludf.DUMMYFUNCTION("""COMPUTED_VALUE"""),8.5755778802E10)</f>
        <v>85755778802</v>
      </c>
      <c r="E1003" s="457">
        <f>IFERROR(__xludf.DUMMYFUNCTION("""COMPUTED_VALUE"""),0.0)</f>
        <v>0</v>
      </c>
      <c r="F1003" s="270">
        <f>IFERROR(__xludf.DUMMYFUNCTION("""COMPUTED_VALUE"""),4.0)</f>
        <v>4</v>
      </c>
      <c r="G1003" s="17" t="str">
        <f>IFERROR(__xludf.DUMMYFUNCTION("""COMPUTED_VALUE"""),"Full Set")</f>
        <v>Full Set</v>
      </c>
      <c r="H1003" s="17"/>
      <c r="I1003" s="262"/>
      <c r="J1003" s="262"/>
      <c r="K1003" s="262"/>
      <c r="L1003" s="262"/>
      <c r="M1003" s="262"/>
    </row>
    <row r="1004">
      <c r="A1004" s="255" t="str">
        <f>IFERROR(__xludf.DUMMYFUNCTION("""COMPUTED_VALUE"""),"NANO")</f>
        <v>NANO</v>
      </c>
      <c r="B1004" s="23" t="str">
        <f>IFERROR(__xludf.DUMMYFUNCTION("""COMPUTED_VALUE"""),"nanariella")</f>
        <v>nanariella</v>
      </c>
      <c r="C1004" s="257" t="str">
        <f>IFERROR(__xludf.DUMMYFUNCTION("""COMPUTED_VALUE"""),"https://www.tiktok.com/@nanariella")</f>
        <v>https://www.tiktok.com/@nanariella</v>
      </c>
      <c r="D1004" s="23">
        <f>IFERROR(__xludf.DUMMYFUNCTION("""COMPUTED_VALUE"""),8.586287349E10)</f>
        <v>85862873490</v>
      </c>
      <c r="E1004" s="457">
        <f>IFERROR(__xludf.DUMMYFUNCTION("""COMPUTED_VALUE"""),0.0)</f>
        <v>0</v>
      </c>
      <c r="F1004" s="270">
        <f>IFERROR(__xludf.DUMMYFUNCTION("""COMPUTED_VALUE"""),4.0)</f>
        <v>4</v>
      </c>
      <c r="G1004" s="17" t="str">
        <f>IFERROR(__xludf.DUMMYFUNCTION("""COMPUTED_VALUE"""),"Full Set")</f>
        <v>Full Set</v>
      </c>
      <c r="H1004" s="17"/>
      <c r="I1004" s="262"/>
      <c r="J1004" s="262"/>
      <c r="K1004" s="262"/>
      <c r="L1004" s="262"/>
      <c r="M1004" s="262"/>
    </row>
    <row r="1005">
      <c r="A1005" s="255" t="str">
        <f>IFERROR(__xludf.DUMMYFUNCTION("""COMPUTED_VALUE"""),"NANO")</f>
        <v>NANO</v>
      </c>
      <c r="B1005" s="23" t="str">
        <f>IFERROR(__xludf.DUMMYFUNCTION("""COMPUTED_VALUE"""),"ejul69")</f>
        <v>ejul69</v>
      </c>
      <c r="C1005" s="257" t="str">
        <f>IFERROR(__xludf.DUMMYFUNCTION("""COMPUTED_VALUE"""),"https://www.tiktok.com/@ejul69")</f>
        <v>https://www.tiktok.com/@ejul69</v>
      </c>
      <c r="D1005" s="23">
        <f>IFERROR(__xludf.DUMMYFUNCTION("""COMPUTED_VALUE"""),8.2135658496E10)</f>
        <v>82135658496</v>
      </c>
      <c r="E1005" s="457">
        <f>IFERROR(__xludf.DUMMYFUNCTION("""COMPUTED_VALUE"""),0.0)</f>
        <v>0</v>
      </c>
      <c r="F1005" s="270">
        <f>IFERROR(__xludf.DUMMYFUNCTION("""COMPUTED_VALUE"""),4.0)</f>
        <v>4</v>
      </c>
      <c r="G1005" s="17" t="str">
        <f>IFERROR(__xludf.DUMMYFUNCTION("""COMPUTED_VALUE"""),"Full Set")</f>
        <v>Full Set</v>
      </c>
      <c r="H1005" s="17"/>
      <c r="I1005" s="262"/>
      <c r="J1005" s="262"/>
      <c r="K1005" s="262"/>
      <c r="L1005" s="262"/>
      <c r="M1005" s="262"/>
    </row>
    <row r="1006">
      <c r="A1006" s="255" t="str">
        <f>IFERROR(__xludf.DUMMYFUNCTION("""COMPUTED_VALUE"""),"NANO")</f>
        <v>NANO</v>
      </c>
      <c r="B1006" s="23" t="str">
        <f>IFERROR(__xludf.DUMMYFUNCTION("""COMPUTED_VALUE"""),"yupiii04")</f>
        <v>yupiii04</v>
      </c>
      <c r="C1006" s="257" t="str">
        <f>IFERROR(__xludf.DUMMYFUNCTION("""COMPUTED_VALUE"""),"https://www.tiktok.com/@yupiii04")</f>
        <v>https://www.tiktok.com/@yupiii04</v>
      </c>
      <c r="D1006" s="23">
        <f>IFERROR(__xludf.DUMMYFUNCTION("""COMPUTED_VALUE"""),8.9613989241E10)</f>
        <v>89613989241</v>
      </c>
      <c r="E1006" s="457">
        <f>IFERROR(__xludf.DUMMYFUNCTION("""COMPUTED_VALUE"""),0.0)</f>
        <v>0</v>
      </c>
      <c r="F1006" s="270">
        <f>IFERROR(__xludf.DUMMYFUNCTION("""COMPUTED_VALUE"""),4.0)</f>
        <v>4</v>
      </c>
      <c r="G1006" s="17" t="str">
        <f>IFERROR(__xludf.DUMMYFUNCTION("""COMPUTED_VALUE"""),"Full Set")</f>
        <v>Full Set</v>
      </c>
      <c r="H1006" s="17"/>
      <c r="I1006" s="262"/>
      <c r="J1006" s="262"/>
      <c r="K1006" s="262"/>
      <c r="L1006" s="262"/>
      <c r="M1006" s="262"/>
    </row>
    <row r="1007">
      <c r="A1007" s="255" t="str">
        <f>IFERROR(__xludf.DUMMYFUNCTION("""COMPUTED_VALUE"""),"NANO")</f>
        <v>NANO</v>
      </c>
      <c r="B1007" s="23" t="str">
        <f>IFERROR(__xludf.DUMMYFUNCTION("""COMPUTED_VALUE"""),"ini_ccya")</f>
        <v>ini_ccya</v>
      </c>
      <c r="C1007" s="257" t="str">
        <f>IFERROR(__xludf.DUMMYFUNCTION("""COMPUTED_VALUE"""),"https://www.tiktok.com/@ini_ccya")</f>
        <v>https://www.tiktok.com/@ini_ccya</v>
      </c>
      <c r="D1007" s="23">
        <f>IFERROR(__xludf.DUMMYFUNCTION("""COMPUTED_VALUE"""),8.1229750724E10)</f>
        <v>81229750724</v>
      </c>
      <c r="E1007" s="457">
        <f>IFERROR(__xludf.DUMMYFUNCTION("""COMPUTED_VALUE"""),0.0)</f>
        <v>0</v>
      </c>
      <c r="F1007" s="270">
        <f>IFERROR(__xludf.DUMMYFUNCTION("""COMPUTED_VALUE"""),4.0)</f>
        <v>4</v>
      </c>
      <c r="G1007" s="17" t="str">
        <f>IFERROR(__xludf.DUMMYFUNCTION("""COMPUTED_VALUE"""),"Full Set")</f>
        <v>Full Set</v>
      </c>
      <c r="H1007" s="17"/>
      <c r="I1007" s="262"/>
      <c r="J1007" s="262"/>
      <c r="K1007" s="262"/>
      <c r="L1007" s="262"/>
      <c r="M1007" s="262"/>
    </row>
    <row r="1008">
      <c r="A1008" s="255" t="str">
        <f>IFERROR(__xludf.DUMMYFUNCTION("""COMPUTED_VALUE"""),"NANO")</f>
        <v>NANO</v>
      </c>
      <c r="B1008" s="23" t="str">
        <f>IFERROR(__xludf.DUMMYFUNCTION("""COMPUTED_VALUE"""),"Vitavhy")</f>
        <v>Vitavhy</v>
      </c>
      <c r="C1008" s="257" t="str">
        <f>IFERROR(__xludf.DUMMYFUNCTION("""COMPUTED_VALUE"""),"https://www.tiktok.com/@Vitavhy")</f>
        <v>https://www.tiktok.com/@Vitavhy</v>
      </c>
      <c r="D1008" s="23">
        <f>IFERROR(__xludf.DUMMYFUNCTION("""COMPUTED_VALUE"""),8.2193578681E10)</f>
        <v>82193578681</v>
      </c>
      <c r="E1008" s="457">
        <f>IFERROR(__xludf.DUMMYFUNCTION("""COMPUTED_VALUE"""),0.0)</f>
        <v>0</v>
      </c>
      <c r="F1008" s="270">
        <f>IFERROR(__xludf.DUMMYFUNCTION("""COMPUTED_VALUE"""),4.0)</f>
        <v>4</v>
      </c>
      <c r="G1008" s="17" t="str">
        <f>IFERROR(__xludf.DUMMYFUNCTION("""COMPUTED_VALUE"""),"Full Set")</f>
        <v>Full Set</v>
      </c>
      <c r="H1008" s="17"/>
      <c r="I1008" s="262"/>
      <c r="J1008" s="262"/>
      <c r="K1008" s="262"/>
      <c r="L1008" s="262"/>
      <c r="M1008" s="262"/>
    </row>
    <row r="1009">
      <c r="A1009" s="255" t="str">
        <f>IFERROR(__xludf.DUMMYFUNCTION("""COMPUTED_VALUE"""),"NANO")</f>
        <v>NANO</v>
      </c>
      <c r="B1009" s="23" t="str">
        <f>IFERROR(__xludf.DUMMYFUNCTION("""COMPUTED_VALUE"""),"spalspilrandom215")</f>
        <v>spalspilrandom215</v>
      </c>
      <c r="C1009" s="257" t="str">
        <f>IFERROR(__xludf.DUMMYFUNCTION("""COMPUTED_VALUE"""),"https://www.tiktok.com/@spalspilrandom215")</f>
        <v>https://www.tiktok.com/@spalspilrandom215</v>
      </c>
      <c r="D1009" s="23">
        <f>IFERROR(__xludf.DUMMYFUNCTION("""COMPUTED_VALUE"""),8.1932986122E10)</f>
        <v>81932986122</v>
      </c>
      <c r="E1009" s="457">
        <f>IFERROR(__xludf.DUMMYFUNCTION("""COMPUTED_VALUE"""),0.0)</f>
        <v>0</v>
      </c>
      <c r="F1009" s="270">
        <f>IFERROR(__xludf.DUMMYFUNCTION("""COMPUTED_VALUE"""),4.0)</f>
        <v>4</v>
      </c>
      <c r="G1009" s="17" t="str">
        <f>IFERROR(__xludf.DUMMYFUNCTION("""COMPUTED_VALUE"""),"Full Set")</f>
        <v>Full Set</v>
      </c>
      <c r="H1009" s="17"/>
      <c r="I1009" s="262"/>
      <c r="J1009" s="262"/>
      <c r="K1009" s="262"/>
      <c r="L1009" s="262"/>
      <c r="M1009" s="262"/>
    </row>
    <row r="1010">
      <c r="A1010" s="255" t="str">
        <f>IFERROR(__xludf.DUMMYFUNCTION("""COMPUTED_VALUE"""),"NANO")</f>
        <v>NANO</v>
      </c>
      <c r="B1010" s="23" t="str">
        <f>IFERROR(__xludf.DUMMYFUNCTION("""COMPUTED_VALUE"""),"usartrav_03")</f>
        <v>usartrav_03</v>
      </c>
      <c r="C1010" s="257" t="str">
        <f>IFERROR(__xludf.DUMMYFUNCTION("""COMPUTED_VALUE"""),"https://www.tiktok.com/@usartrav_03")</f>
        <v>https://www.tiktok.com/@usartrav_03</v>
      </c>
      <c r="D1010" s="23">
        <f>IFERROR(__xludf.DUMMYFUNCTION("""COMPUTED_VALUE"""),8.5386765177E10)</f>
        <v>85386765177</v>
      </c>
      <c r="E1010" s="457">
        <f>IFERROR(__xludf.DUMMYFUNCTION("""COMPUTED_VALUE"""),0.0)</f>
        <v>0</v>
      </c>
      <c r="F1010" s="270">
        <f>IFERROR(__xludf.DUMMYFUNCTION("""COMPUTED_VALUE"""),4.0)</f>
        <v>4</v>
      </c>
      <c r="G1010" s="17" t="str">
        <f>IFERROR(__xludf.DUMMYFUNCTION("""COMPUTED_VALUE"""),"Full Set")</f>
        <v>Full Set</v>
      </c>
      <c r="H1010" s="17"/>
      <c r="I1010" s="262"/>
      <c r="J1010" s="262"/>
      <c r="K1010" s="262"/>
      <c r="L1010" s="262"/>
      <c r="M1010" s="262"/>
    </row>
    <row r="1011">
      <c r="A1011" s="255" t="str">
        <f>IFERROR(__xludf.DUMMYFUNCTION("""COMPUTED_VALUE"""),"NANO")</f>
        <v>NANO</v>
      </c>
      <c r="B1011" s="23" t="str">
        <f>IFERROR(__xludf.DUMMYFUNCTION("""COMPUTED_VALUE"""),"viiimutma")</f>
        <v>viiimutma</v>
      </c>
      <c r="C1011" s="257" t="str">
        <f>IFERROR(__xludf.DUMMYFUNCTION("""COMPUTED_VALUE"""),"https://www.tiktok.com/@viiimutma")</f>
        <v>https://www.tiktok.com/@viiimutma</v>
      </c>
      <c r="D1011" s="23">
        <f>IFERROR(__xludf.DUMMYFUNCTION("""COMPUTED_VALUE"""),8.7852659493E10)</f>
        <v>87852659493</v>
      </c>
      <c r="E1011" s="457">
        <f>IFERROR(__xludf.DUMMYFUNCTION("""COMPUTED_VALUE"""),0.0)</f>
        <v>0</v>
      </c>
      <c r="F1011" s="270">
        <f>IFERROR(__xludf.DUMMYFUNCTION("""COMPUTED_VALUE"""),4.0)</f>
        <v>4</v>
      </c>
      <c r="G1011" s="17" t="str">
        <f>IFERROR(__xludf.DUMMYFUNCTION("""COMPUTED_VALUE"""),"Full Set")</f>
        <v>Full Set</v>
      </c>
      <c r="H1011" s="17"/>
      <c r="I1011" s="262"/>
      <c r="J1011" s="262"/>
      <c r="K1011" s="262"/>
      <c r="L1011" s="262"/>
      <c r="M1011" s="262"/>
    </row>
    <row r="1012">
      <c r="A1012" s="282" t="str">
        <f>IFERROR(__xludf.DUMMYFUNCTION("""COMPUTED_VALUE"""),"NANO")</f>
        <v>NANO</v>
      </c>
      <c r="B1012" s="272" t="str">
        <f>IFERROR(__xludf.DUMMYFUNCTION("""COMPUTED_VALUE"""),"megayulianti90 ")</f>
        <v>megayulianti90 </v>
      </c>
      <c r="C1012" s="283" t="str">
        <f>IFERROR(__xludf.DUMMYFUNCTION("""COMPUTED_VALUE"""),"https://www.tiktok.com/@megayulianti90 ")</f>
        <v>https://www.tiktok.com/@megayulianti90 </v>
      </c>
      <c r="D1012" s="272">
        <f>IFERROR(__xludf.DUMMYFUNCTION("""COMPUTED_VALUE"""),8.1221906038E10)</f>
        <v>81221906038</v>
      </c>
      <c r="E1012" s="458">
        <f>IFERROR(__xludf.DUMMYFUNCTION("""COMPUTED_VALUE"""),0.0)</f>
        <v>0</v>
      </c>
      <c r="F1012" s="273">
        <f>IFERROR(__xludf.DUMMYFUNCTION("""COMPUTED_VALUE"""),4.0)</f>
        <v>4</v>
      </c>
      <c r="G1012" t="str">
        <f>IFERROR(__xludf.DUMMYFUNCTION("""COMPUTED_VALUE"""),"Full Set")</f>
        <v>Full Set</v>
      </c>
      <c r="I1012" s="12"/>
      <c r="J1012" s="12"/>
      <c r="K1012" s="12"/>
      <c r="L1012" s="12"/>
      <c r="M1012" s="12"/>
    </row>
    <row r="1013">
      <c r="A1013" s="282" t="str">
        <f>IFERROR(__xludf.DUMMYFUNCTION("""COMPUTED_VALUE"""),"NANO")</f>
        <v>NANO</v>
      </c>
      <c r="B1013" s="272" t="str">
        <f>IFERROR(__xludf.DUMMYFUNCTION("""COMPUTED_VALUE"""),"xn.xls")</f>
        <v>xn.xls</v>
      </c>
      <c r="C1013" s="283" t="str">
        <f>IFERROR(__xludf.DUMMYFUNCTION("""COMPUTED_VALUE"""),"https://www.tiktok.com/@xn.xls")</f>
        <v>https://www.tiktok.com/@xn.xls</v>
      </c>
      <c r="D1013" s="272">
        <f>IFERROR(__xludf.DUMMYFUNCTION("""COMPUTED_VALUE"""),8.9530052142E10)</f>
        <v>89530052142</v>
      </c>
      <c r="E1013" s="458">
        <f>IFERROR(__xludf.DUMMYFUNCTION("""COMPUTED_VALUE"""),0.0)</f>
        <v>0</v>
      </c>
      <c r="F1013" s="273">
        <f>IFERROR(__xludf.DUMMYFUNCTION("""COMPUTED_VALUE"""),4.0)</f>
        <v>4</v>
      </c>
      <c r="G1013" t="str">
        <f>IFERROR(__xludf.DUMMYFUNCTION("""COMPUTED_VALUE"""),"Full Set")</f>
        <v>Full Set</v>
      </c>
      <c r="I1013" s="12"/>
      <c r="J1013" s="12"/>
      <c r="K1013" s="12"/>
      <c r="L1013" s="12"/>
      <c r="M1013" s="12"/>
    </row>
    <row r="1014">
      <c r="A1014" s="282" t="str">
        <f>IFERROR(__xludf.DUMMYFUNCTION("""COMPUTED_VALUE"""),"NANO")</f>
        <v>NANO</v>
      </c>
      <c r="B1014" s="272" t="str">
        <f>IFERROR(__xludf.DUMMYFUNCTION("""COMPUTED_VALUE"""),"itsme.ra08")</f>
        <v>itsme.ra08</v>
      </c>
      <c r="C1014" s="283" t="str">
        <f>IFERROR(__xludf.DUMMYFUNCTION("""COMPUTED_VALUE"""),"https://www.tiktok.com/@itsme.ra08")</f>
        <v>https://www.tiktok.com/@itsme.ra08</v>
      </c>
      <c r="D1014" s="272">
        <f>IFERROR(__xludf.DUMMYFUNCTION("""COMPUTED_VALUE"""),8.5775450818E10)</f>
        <v>85775450818</v>
      </c>
      <c r="E1014" s="458">
        <f>IFERROR(__xludf.DUMMYFUNCTION("""COMPUTED_VALUE"""),0.0)</f>
        <v>0</v>
      </c>
      <c r="F1014" s="273">
        <f>IFERROR(__xludf.DUMMYFUNCTION("""COMPUTED_VALUE"""),4.0)</f>
        <v>4</v>
      </c>
      <c r="G1014" t="str">
        <f>IFERROR(__xludf.DUMMYFUNCTION("""COMPUTED_VALUE"""),"Full Set")</f>
        <v>Full Set</v>
      </c>
      <c r="I1014" s="12"/>
      <c r="J1014" s="12"/>
      <c r="K1014" s="12"/>
      <c r="L1014" s="12"/>
      <c r="M1014" s="12"/>
    </row>
    <row r="1015">
      <c r="A1015" s="282" t="str">
        <f>IFERROR(__xludf.DUMMYFUNCTION("""COMPUTED_VALUE"""),"NANO")</f>
        <v>NANO</v>
      </c>
      <c r="B1015" s="272" t="str">
        <f>IFERROR(__xludf.DUMMYFUNCTION("""COMPUTED_VALUE"""),"dianambar05")</f>
        <v>dianambar05</v>
      </c>
      <c r="C1015" s="283" t="str">
        <f>IFERROR(__xludf.DUMMYFUNCTION("""COMPUTED_VALUE"""),"https://www.tiktok.com/@dianambar05")</f>
        <v>https://www.tiktok.com/@dianambar05</v>
      </c>
      <c r="D1015" s="272">
        <f>IFERROR(__xludf.DUMMYFUNCTION("""COMPUTED_VALUE"""),8.2122848854E10)</f>
        <v>82122848854</v>
      </c>
      <c r="E1015" s="458">
        <f>IFERROR(__xludf.DUMMYFUNCTION("""COMPUTED_VALUE"""),0.0)</f>
        <v>0</v>
      </c>
      <c r="F1015" s="273">
        <f>IFERROR(__xludf.DUMMYFUNCTION("""COMPUTED_VALUE"""),4.0)</f>
        <v>4</v>
      </c>
      <c r="G1015" t="str">
        <f>IFERROR(__xludf.DUMMYFUNCTION("""COMPUTED_VALUE"""),"Full Set")</f>
        <v>Full Set</v>
      </c>
      <c r="I1015" s="12"/>
      <c r="J1015" s="12"/>
      <c r="K1015" s="12"/>
      <c r="L1015" s="12"/>
      <c r="M1015" s="12"/>
    </row>
    <row r="1016">
      <c r="A1016" s="282" t="str">
        <f>IFERROR(__xludf.DUMMYFUNCTION("""COMPUTED_VALUE"""),"NANO")</f>
        <v>NANO</v>
      </c>
      <c r="B1016" s="272" t="str">
        <f>IFERROR(__xludf.DUMMYFUNCTION("""COMPUTED_VALUE"""),"naesarang__")</f>
        <v>naesarang__</v>
      </c>
      <c r="C1016" s="283" t="str">
        <f>IFERROR(__xludf.DUMMYFUNCTION("""COMPUTED_VALUE"""),"https://www.tiktok.com/@naesarang__")</f>
        <v>https://www.tiktok.com/@naesarang__</v>
      </c>
      <c r="D1016" s="272">
        <f>IFERROR(__xludf.DUMMYFUNCTION("""COMPUTED_VALUE"""),8.2341990027E10)</f>
        <v>82341990027</v>
      </c>
      <c r="E1016" s="458">
        <f>IFERROR(__xludf.DUMMYFUNCTION("""COMPUTED_VALUE"""),0.0)</f>
        <v>0</v>
      </c>
      <c r="F1016" s="273">
        <f>IFERROR(__xludf.DUMMYFUNCTION("""COMPUTED_VALUE"""),4.0)</f>
        <v>4</v>
      </c>
      <c r="G1016" t="str">
        <f>IFERROR(__xludf.DUMMYFUNCTION("""COMPUTED_VALUE"""),"Full Set")</f>
        <v>Full Set</v>
      </c>
      <c r="I1016" s="12"/>
      <c r="J1016" s="12"/>
      <c r="K1016" s="12"/>
      <c r="L1016" s="12"/>
      <c r="M1016" s="12"/>
    </row>
    <row r="1017">
      <c r="A1017" s="282" t="str">
        <f>IFERROR(__xludf.DUMMYFUNCTION("""COMPUTED_VALUE"""),"NANO")</f>
        <v>NANO</v>
      </c>
      <c r="B1017" s="272" t="str">
        <f>IFERROR(__xludf.DUMMYFUNCTION("""COMPUTED_VALUE"""),"Rkyylla")</f>
        <v>Rkyylla</v>
      </c>
      <c r="C1017" s="283" t="str">
        <f>IFERROR(__xludf.DUMMYFUNCTION("""COMPUTED_VALUE"""),"https://www.tiktok.com/@Rkyylla")</f>
        <v>https://www.tiktok.com/@Rkyylla</v>
      </c>
      <c r="D1017" s="272">
        <f>IFERROR(__xludf.DUMMYFUNCTION("""COMPUTED_VALUE"""),8.1549744505E10)</f>
        <v>81549744505</v>
      </c>
      <c r="E1017" s="458">
        <f>IFERROR(__xludf.DUMMYFUNCTION("""COMPUTED_VALUE"""),0.0)</f>
        <v>0</v>
      </c>
      <c r="F1017" s="273">
        <f>IFERROR(__xludf.DUMMYFUNCTION("""COMPUTED_VALUE"""),4.0)</f>
        <v>4</v>
      </c>
      <c r="G1017" t="str">
        <f>IFERROR(__xludf.DUMMYFUNCTION("""COMPUTED_VALUE"""),"Full Set")</f>
        <v>Full Set</v>
      </c>
      <c r="I1017" s="12"/>
      <c r="J1017" s="12"/>
      <c r="K1017" s="12"/>
      <c r="L1017" s="12"/>
      <c r="M1017" s="12"/>
    </row>
    <row r="1018">
      <c r="A1018" s="282" t="str">
        <f>IFERROR(__xludf.DUMMYFUNCTION("""COMPUTED_VALUE"""),"NANO")</f>
        <v>NANO</v>
      </c>
      <c r="B1018" s="272" t="str">
        <f>IFERROR(__xludf.DUMMYFUNCTION("""COMPUTED_VALUE"""),"Halokay_")</f>
        <v>Halokay_</v>
      </c>
      <c r="C1018" s="283" t="str">
        <f>IFERROR(__xludf.DUMMYFUNCTION("""COMPUTED_VALUE"""),"https://www.tiktok.com/@Halokay_")</f>
        <v>https://www.tiktok.com/@Halokay_</v>
      </c>
      <c r="D1018" s="272">
        <f>IFERROR(__xludf.DUMMYFUNCTION("""COMPUTED_VALUE"""),8.5341475126E10)</f>
        <v>85341475126</v>
      </c>
      <c r="E1018" s="458">
        <f>IFERROR(__xludf.DUMMYFUNCTION("""COMPUTED_VALUE"""),0.0)</f>
        <v>0</v>
      </c>
      <c r="F1018" s="273">
        <f>IFERROR(__xludf.DUMMYFUNCTION("""COMPUTED_VALUE"""),4.0)</f>
        <v>4</v>
      </c>
      <c r="G1018" t="str">
        <f>IFERROR(__xludf.DUMMYFUNCTION("""COMPUTED_VALUE"""),"Full Set")</f>
        <v>Full Set</v>
      </c>
      <c r="I1018" s="12"/>
      <c r="J1018" s="12"/>
      <c r="K1018" s="12"/>
      <c r="L1018" s="12"/>
      <c r="M1018" s="12"/>
    </row>
    <row r="1019">
      <c r="A1019" s="282" t="str">
        <f>IFERROR(__xludf.DUMMYFUNCTION("""COMPUTED_VALUE"""),"NANO")</f>
        <v>NANO</v>
      </c>
      <c r="B1019" s="272" t="str">
        <f>IFERROR(__xludf.DUMMYFUNCTION("""COMPUTED_VALUE"""),"Sherina8204")</f>
        <v>Sherina8204</v>
      </c>
      <c r="C1019" s="283" t="str">
        <f>IFERROR(__xludf.DUMMYFUNCTION("""COMPUTED_VALUE"""),"https://www.tiktok.com/@Sherina8204")</f>
        <v>https://www.tiktok.com/@Sherina8204</v>
      </c>
      <c r="D1019" s="272">
        <f>IFERROR(__xludf.DUMMYFUNCTION("""COMPUTED_VALUE"""),8.2143561832E10)</f>
        <v>82143561832</v>
      </c>
      <c r="E1019" s="458">
        <f>IFERROR(__xludf.DUMMYFUNCTION("""COMPUTED_VALUE"""),0.0)</f>
        <v>0</v>
      </c>
      <c r="F1019" s="273">
        <f>IFERROR(__xludf.DUMMYFUNCTION("""COMPUTED_VALUE"""),4.0)</f>
        <v>4</v>
      </c>
      <c r="G1019" t="str">
        <f>IFERROR(__xludf.DUMMYFUNCTION("""COMPUTED_VALUE"""),"Full Set")</f>
        <v>Full Set</v>
      </c>
      <c r="I1019" s="12"/>
      <c r="J1019" s="12"/>
      <c r="K1019" s="12"/>
      <c r="L1019" s="12"/>
      <c r="M1019" s="12"/>
    </row>
    <row r="1020">
      <c r="A1020" s="282" t="str">
        <f>IFERROR(__xludf.DUMMYFUNCTION("""COMPUTED_VALUE"""),"NANO")</f>
        <v>NANO</v>
      </c>
      <c r="B1020" s="272" t="str">
        <f>IFERROR(__xludf.DUMMYFUNCTION("""COMPUTED_VALUE"""),"dwilingsssss ")</f>
        <v>dwilingsssss </v>
      </c>
      <c r="C1020" s="283" t="str">
        <f>IFERROR(__xludf.DUMMYFUNCTION("""COMPUTED_VALUE"""),"https://www.tiktok.com/@dwilingsssss ")</f>
        <v>https://www.tiktok.com/@dwilingsssss </v>
      </c>
      <c r="D1020" s="272">
        <f>IFERROR(__xludf.DUMMYFUNCTION("""COMPUTED_VALUE"""),8.2260583559E10)</f>
        <v>82260583559</v>
      </c>
      <c r="E1020" s="458">
        <f>IFERROR(__xludf.DUMMYFUNCTION("""COMPUTED_VALUE"""),0.0)</f>
        <v>0</v>
      </c>
      <c r="F1020" s="273">
        <f>IFERROR(__xludf.DUMMYFUNCTION("""COMPUTED_VALUE"""),4.0)</f>
        <v>4</v>
      </c>
      <c r="G1020" t="str">
        <f>IFERROR(__xludf.DUMMYFUNCTION("""COMPUTED_VALUE"""),"Full Set")</f>
        <v>Full Set</v>
      </c>
      <c r="I1020" s="12"/>
      <c r="J1020" s="12"/>
      <c r="K1020" s="12"/>
      <c r="L1020" s="12"/>
      <c r="M1020" s="12"/>
    </row>
    <row r="1021">
      <c r="A1021" s="282" t="str">
        <f>IFERROR(__xludf.DUMMYFUNCTION("""COMPUTED_VALUE"""),"NANO")</f>
        <v>NANO</v>
      </c>
      <c r="B1021" s="272" t="str">
        <f>IFERROR(__xludf.DUMMYFUNCTION("""COMPUTED_VALUE"""),"Omicamb2")</f>
        <v>Omicamb2</v>
      </c>
      <c r="C1021" s="283" t="str">
        <f>IFERROR(__xludf.DUMMYFUNCTION("""COMPUTED_VALUE"""),"https://www.tiktok.com/@Omicamb2")</f>
        <v>https://www.tiktok.com/@Omicamb2</v>
      </c>
      <c r="D1021" s="272">
        <f>IFERROR(__xludf.DUMMYFUNCTION("""COMPUTED_VALUE"""),8.2284773541E10)</f>
        <v>82284773541</v>
      </c>
      <c r="E1021" s="458">
        <f>IFERROR(__xludf.DUMMYFUNCTION("""COMPUTED_VALUE"""),0.0)</f>
        <v>0</v>
      </c>
      <c r="F1021" s="273">
        <f>IFERROR(__xludf.DUMMYFUNCTION("""COMPUTED_VALUE"""),4.0)</f>
        <v>4</v>
      </c>
      <c r="G1021" t="str">
        <f>IFERROR(__xludf.DUMMYFUNCTION("""COMPUTED_VALUE"""),"Full Set")</f>
        <v>Full Set</v>
      </c>
      <c r="I1021" s="12"/>
      <c r="J1021" s="12"/>
      <c r="K1021" s="12"/>
      <c r="L1021" s="12"/>
      <c r="M1021" s="12"/>
    </row>
    <row r="1022">
      <c r="A1022" s="282" t="str">
        <f>IFERROR(__xludf.DUMMYFUNCTION("""COMPUTED_VALUE"""),"NANO")</f>
        <v>NANO</v>
      </c>
      <c r="B1022" s="272" t="str">
        <f>IFERROR(__xludf.DUMMYFUNCTION("""COMPUTED_VALUE"""),"eladelio")</f>
        <v>eladelio</v>
      </c>
      <c r="C1022" s="283" t="str">
        <f>IFERROR(__xludf.DUMMYFUNCTION("""COMPUTED_VALUE"""),"https://www.tiktok.com/@eladelio")</f>
        <v>https://www.tiktok.com/@eladelio</v>
      </c>
      <c r="D1022" s="272">
        <f>IFERROR(__xludf.DUMMYFUNCTION("""COMPUTED_VALUE"""),8.1343179903E10)</f>
        <v>81343179903</v>
      </c>
      <c r="E1022" s="458">
        <f>IFERROR(__xludf.DUMMYFUNCTION("""COMPUTED_VALUE"""),0.0)</f>
        <v>0</v>
      </c>
      <c r="F1022" s="273">
        <f>IFERROR(__xludf.DUMMYFUNCTION("""COMPUTED_VALUE"""),4.0)</f>
        <v>4</v>
      </c>
      <c r="G1022" t="str">
        <f>IFERROR(__xludf.DUMMYFUNCTION("""COMPUTED_VALUE"""),"Full Set")</f>
        <v>Full Set</v>
      </c>
      <c r="I1022" s="12"/>
      <c r="J1022" s="12"/>
      <c r="K1022" s="12"/>
      <c r="L1022" s="12"/>
      <c r="M1022" s="12"/>
    </row>
    <row r="1023">
      <c r="A1023" s="282" t="str">
        <f>IFERROR(__xludf.DUMMYFUNCTION("""COMPUTED_VALUE"""),"NANO")</f>
        <v>NANO</v>
      </c>
      <c r="B1023" s="272" t="str">
        <f>IFERROR(__xludf.DUMMYFUNCTION("""COMPUTED_VALUE"""),"rgsssss14")</f>
        <v>rgsssss14</v>
      </c>
      <c r="C1023" s="283" t="str">
        <f>IFERROR(__xludf.DUMMYFUNCTION("""COMPUTED_VALUE"""),"https://www.tiktok.com/@rgsssss14")</f>
        <v>https://www.tiktok.com/@rgsssss14</v>
      </c>
      <c r="D1023" s="272">
        <f>IFERROR(__xludf.DUMMYFUNCTION("""COMPUTED_VALUE"""),8.5692526802E10)</f>
        <v>85692526802</v>
      </c>
      <c r="E1023" s="458">
        <f>IFERROR(__xludf.DUMMYFUNCTION("""COMPUTED_VALUE"""),0.0)</f>
        <v>0</v>
      </c>
      <c r="F1023" s="273">
        <f>IFERROR(__xludf.DUMMYFUNCTION("""COMPUTED_VALUE"""),4.0)</f>
        <v>4</v>
      </c>
      <c r="G1023" t="str">
        <f>IFERROR(__xludf.DUMMYFUNCTION("""COMPUTED_VALUE"""),"Full Set")</f>
        <v>Full Set</v>
      </c>
      <c r="I1023" s="12"/>
      <c r="J1023" s="12"/>
      <c r="K1023" s="12"/>
      <c r="L1023" s="12"/>
      <c r="M1023" s="12"/>
    </row>
    <row r="1024">
      <c r="A1024" s="282" t="str">
        <f>IFERROR(__xludf.DUMMYFUNCTION("""COMPUTED_VALUE"""),"NANO")</f>
        <v>NANO</v>
      </c>
      <c r="B1024" s="272" t="str">
        <f>IFERROR(__xludf.DUMMYFUNCTION("""COMPUTED_VALUE"""),"maharani.yaaa")</f>
        <v>maharani.yaaa</v>
      </c>
      <c r="C1024" s="283" t="str">
        <f>IFERROR(__xludf.DUMMYFUNCTION("""COMPUTED_VALUE"""),"https://www.tiktok.com/@maharani.yaaa")</f>
        <v>https://www.tiktok.com/@maharani.yaaa</v>
      </c>
      <c r="D1024" s="272">
        <f>IFERROR(__xludf.DUMMYFUNCTION("""COMPUTED_VALUE"""),8.9607995769E10)</f>
        <v>89607995769</v>
      </c>
      <c r="E1024" s="458">
        <f>IFERROR(__xludf.DUMMYFUNCTION("""COMPUTED_VALUE"""),0.0)</f>
        <v>0</v>
      </c>
      <c r="F1024" s="273">
        <f>IFERROR(__xludf.DUMMYFUNCTION("""COMPUTED_VALUE"""),4.0)</f>
        <v>4</v>
      </c>
      <c r="G1024" t="str">
        <f>IFERROR(__xludf.DUMMYFUNCTION("""COMPUTED_VALUE"""),"Full Set")</f>
        <v>Full Set</v>
      </c>
      <c r="I1024" s="12"/>
      <c r="J1024" s="12"/>
      <c r="K1024" s="12"/>
      <c r="L1024" s="12"/>
      <c r="M1024" s="12"/>
    </row>
    <row r="1025">
      <c r="A1025" s="282" t="str">
        <f>IFERROR(__xludf.DUMMYFUNCTION("""COMPUTED_VALUE"""),"NANO")</f>
        <v>NANO</v>
      </c>
      <c r="B1025" s="272" t="str">
        <f>IFERROR(__xludf.DUMMYFUNCTION("""COMPUTED_VALUE"""),"laraspri ")</f>
        <v>laraspri </v>
      </c>
      <c r="C1025" s="283" t="str">
        <f>IFERROR(__xludf.DUMMYFUNCTION("""COMPUTED_VALUE"""),"https://www.tiktok.com/@laraspri ")</f>
        <v>https://www.tiktok.com/@laraspri </v>
      </c>
      <c r="D1025" s="272">
        <f>IFERROR(__xludf.DUMMYFUNCTION("""COMPUTED_VALUE"""),8.9657985557E10)</f>
        <v>89657985557</v>
      </c>
      <c r="E1025" s="458">
        <f>IFERROR(__xludf.DUMMYFUNCTION("""COMPUTED_VALUE"""),0.0)</f>
        <v>0</v>
      </c>
      <c r="F1025" s="273">
        <f>IFERROR(__xludf.DUMMYFUNCTION("""COMPUTED_VALUE"""),4.0)</f>
        <v>4</v>
      </c>
      <c r="G1025" t="str">
        <f>IFERROR(__xludf.DUMMYFUNCTION("""COMPUTED_VALUE"""),"Full Set")</f>
        <v>Full Set</v>
      </c>
      <c r="I1025" s="12"/>
      <c r="J1025" s="12"/>
      <c r="K1025" s="12"/>
      <c r="L1025" s="12"/>
      <c r="M1025" s="12"/>
    </row>
    <row r="1026">
      <c r="A1026" s="282" t="str">
        <f>IFERROR(__xludf.DUMMYFUNCTION("""COMPUTED_VALUE"""),"NANO")</f>
        <v>NANO</v>
      </c>
      <c r="B1026" s="272" t="str">
        <f>IFERROR(__xludf.DUMMYFUNCTION("""COMPUTED_VALUE"""),"everytingboutyou ")</f>
        <v>everytingboutyou </v>
      </c>
      <c r="C1026" s="283" t="str">
        <f>IFERROR(__xludf.DUMMYFUNCTION("""COMPUTED_VALUE"""),"https://www.tiktok.com/@everytingboutyou ")</f>
        <v>https://www.tiktok.com/@everytingboutyou </v>
      </c>
      <c r="D1026" s="272">
        <f>IFERROR(__xludf.DUMMYFUNCTION("""COMPUTED_VALUE"""),8.2226445063E10)</f>
        <v>82226445063</v>
      </c>
      <c r="E1026" s="458">
        <f>IFERROR(__xludf.DUMMYFUNCTION("""COMPUTED_VALUE"""),0.0)</f>
        <v>0</v>
      </c>
      <c r="F1026" s="273">
        <f>IFERROR(__xludf.DUMMYFUNCTION("""COMPUTED_VALUE"""),4.0)</f>
        <v>4</v>
      </c>
      <c r="G1026" t="str">
        <f>IFERROR(__xludf.DUMMYFUNCTION("""COMPUTED_VALUE"""),"Full Set")</f>
        <v>Full Set</v>
      </c>
      <c r="I1026" s="12"/>
      <c r="J1026" s="12"/>
      <c r="K1026" s="12"/>
      <c r="L1026" s="12"/>
      <c r="M1026" s="12"/>
    </row>
    <row r="1027">
      <c r="A1027" s="282" t="str">
        <f>IFERROR(__xludf.DUMMYFUNCTION("""COMPUTED_VALUE"""),"NANO")</f>
        <v>NANO</v>
      </c>
      <c r="B1027" s="272" t="str">
        <f>IFERROR(__xludf.DUMMYFUNCTION("""COMPUTED_VALUE"""),"Syarifah.sarii1")</f>
        <v>Syarifah.sarii1</v>
      </c>
      <c r="C1027" s="283" t="str">
        <f>IFERROR(__xludf.DUMMYFUNCTION("""COMPUTED_VALUE"""),"https://www.tiktok.com/@Syarifah.sarii1")</f>
        <v>https://www.tiktok.com/@Syarifah.sarii1</v>
      </c>
      <c r="D1027" s="272">
        <f>IFERROR(__xludf.DUMMYFUNCTION("""COMPUTED_VALUE"""),8.526252514E10)</f>
        <v>85262525140</v>
      </c>
      <c r="E1027" s="458">
        <f>IFERROR(__xludf.DUMMYFUNCTION("""COMPUTED_VALUE"""),0.0)</f>
        <v>0</v>
      </c>
      <c r="F1027" s="273">
        <f>IFERROR(__xludf.DUMMYFUNCTION("""COMPUTED_VALUE"""),4.0)</f>
        <v>4</v>
      </c>
      <c r="G1027" t="str">
        <f>IFERROR(__xludf.DUMMYFUNCTION("""COMPUTED_VALUE"""),"Full Set")</f>
        <v>Full Set</v>
      </c>
      <c r="I1027" s="12"/>
      <c r="J1027" s="12"/>
      <c r="K1027" s="12"/>
      <c r="L1027" s="12"/>
      <c r="M1027" s="12"/>
    </row>
    <row r="1028">
      <c r="A1028" s="282" t="str">
        <f>IFERROR(__xludf.DUMMYFUNCTION("""COMPUTED_VALUE"""),"NANO")</f>
        <v>NANO</v>
      </c>
      <c r="B1028" s="272" t="str">
        <f>IFERROR(__xludf.DUMMYFUNCTION("""COMPUTED_VALUE"""),"Shopiwww_")</f>
        <v>Shopiwww_</v>
      </c>
      <c r="C1028" s="283" t="str">
        <f>IFERROR(__xludf.DUMMYFUNCTION("""COMPUTED_VALUE"""),"https://www.tiktok.com/@Shopiwww_")</f>
        <v>https://www.tiktok.com/@Shopiwww_</v>
      </c>
      <c r="D1028" s="272">
        <f>IFERROR(__xludf.DUMMYFUNCTION("""COMPUTED_VALUE"""),8.8989044034E10)</f>
        <v>88989044034</v>
      </c>
      <c r="E1028" s="458">
        <f>IFERROR(__xludf.DUMMYFUNCTION("""COMPUTED_VALUE"""),0.0)</f>
        <v>0</v>
      </c>
      <c r="F1028" s="273">
        <f>IFERROR(__xludf.DUMMYFUNCTION("""COMPUTED_VALUE"""),4.0)</f>
        <v>4</v>
      </c>
      <c r="G1028" t="str">
        <f>IFERROR(__xludf.DUMMYFUNCTION("""COMPUTED_VALUE"""),"Full Set")</f>
        <v>Full Set</v>
      </c>
      <c r="I1028" s="12"/>
      <c r="J1028" s="12"/>
      <c r="K1028" s="12"/>
      <c r="L1028" s="12"/>
      <c r="M1028" s="12"/>
    </row>
    <row r="1029">
      <c r="A1029" s="282" t="str">
        <f>IFERROR(__xludf.DUMMYFUNCTION("""COMPUTED_VALUE"""),"NANO")</f>
        <v>NANO</v>
      </c>
      <c r="B1029" s="272" t="str">
        <f>IFERROR(__xludf.DUMMYFUNCTION("""COMPUTED_VALUE"""),"yourr.destinationn")</f>
        <v>yourr.destinationn</v>
      </c>
      <c r="C1029" s="283" t="str">
        <f>IFERROR(__xludf.DUMMYFUNCTION("""COMPUTED_VALUE"""),"https://www.tiktok.com/@yourr.destinationn")</f>
        <v>https://www.tiktok.com/@yourr.destinationn</v>
      </c>
      <c r="D1029" s="272">
        <f>IFERROR(__xludf.DUMMYFUNCTION("""COMPUTED_VALUE"""),8.5883915855E10)</f>
        <v>85883915855</v>
      </c>
      <c r="E1029" s="458">
        <f>IFERROR(__xludf.DUMMYFUNCTION("""COMPUTED_VALUE"""),0.0)</f>
        <v>0</v>
      </c>
      <c r="F1029" s="273">
        <f>IFERROR(__xludf.DUMMYFUNCTION("""COMPUTED_VALUE"""),4.0)</f>
        <v>4</v>
      </c>
      <c r="G1029" t="str">
        <f>IFERROR(__xludf.DUMMYFUNCTION("""COMPUTED_VALUE"""),"Full Set")</f>
        <v>Full Set</v>
      </c>
      <c r="I1029" s="12"/>
      <c r="J1029" s="12"/>
      <c r="K1029" s="12"/>
      <c r="L1029" s="12"/>
      <c r="M1029" s="12"/>
    </row>
    <row r="1030">
      <c r="A1030" s="282" t="str">
        <f>IFERROR(__xludf.DUMMYFUNCTION("""COMPUTED_VALUE"""),"NANO")</f>
        <v>NANO</v>
      </c>
      <c r="B1030" s="272" t="str">
        <f>IFERROR(__xludf.DUMMYFUNCTION("""COMPUTED_VALUE"""),"nafi_ra06")</f>
        <v>nafi_ra06</v>
      </c>
      <c r="C1030" s="283" t="str">
        <f>IFERROR(__xludf.DUMMYFUNCTION("""COMPUTED_VALUE"""),"https://www.tiktok.com/@nafi_ra06")</f>
        <v>https://www.tiktok.com/@nafi_ra06</v>
      </c>
      <c r="D1030" s="272">
        <f>IFERROR(__xludf.DUMMYFUNCTION("""COMPUTED_VALUE"""),8.2119703787E10)</f>
        <v>82119703787</v>
      </c>
      <c r="E1030" s="458">
        <f>IFERROR(__xludf.DUMMYFUNCTION("""COMPUTED_VALUE"""),0.0)</f>
        <v>0</v>
      </c>
      <c r="F1030" s="273">
        <f>IFERROR(__xludf.DUMMYFUNCTION("""COMPUTED_VALUE"""),4.0)</f>
        <v>4</v>
      </c>
      <c r="G1030" t="str">
        <f>IFERROR(__xludf.DUMMYFUNCTION("""COMPUTED_VALUE"""),"Full Set")</f>
        <v>Full Set</v>
      </c>
      <c r="I1030" s="12"/>
      <c r="J1030" s="12"/>
      <c r="K1030" s="12"/>
      <c r="L1030" s="12"/>
      <c r="M1030" s="12"/>
    </row>
    <row r="1031">
      <c r="A1031" s="282" t="str">
        <f>IFERROR(__xludf.DUMMYFUNCTION("""COMPUTED_VALUE"""),"NANO")</f>
        <v>NANO</v>
      </c>
      <c r="B1031" s="272" t="str">
        <f>IFERROR(__xludf.DUMMYFUNCTION("""COMPUTED_VALUE"""),"mwaroon_adct")</f>
        <v>mwaroon_adct</v>
      </c>
      <c r="C1031" s="283" t="str">
        <f>IFERROR(__xludf.DUMMYFUNCTION("""COMPUTED_VALUE"""),"https://www.tiktok.com/@mwaroon_adct")</f>
        <v>https://www.tiktok.com/@mwaroon_adct</v>
      </c>
      <c r="D1031" s="272">
        <f>IFERROR(__xludf.DUMMYFUNCTION("""COMPUTED_VALUE"""),8.1218517854E10)</f>
        <v>81218517854</v>
      </c>
      <c r="E1031" s="458">
        <f>IFERROR(__xludf.DUMMYFUNCTION("""COMPUTED_VALUE"""),0.0)</f>
        <v>0</v>
      </c>
      <c r="F1031" s="273">
        <f>IFERROR(__xludf.DUMMYFUNCTION("""COMPUTED_VALUE"""),4.0)</f>
        <v>4</v>
      </c>
      <c r="G1031" t="str">
        <f>IFERROR(__xludf.DUMMYFUNCTION("""COMPUTED_VALUE"""),"Full Set")</f>
        <v>Full Set</v>
      </c>
      <c r="I1031" s="12"/>
      <c r="J1031" s="12"/>
      <c r="K1031" s="12"/>
      <c r="L1031" s="12"/>
      <c r="M1031" s="12"/>
    </row>
    <row r="1032">
      <c r="A1032" s="282" t="str">
        <f>IFERROR(__xludf.DUMMYFUNCTION("""COMPUTED_VALUE"""),"NANO")</f>
        <v>NANO</v>
      </c>
      <c r="B1032" s="272" t="str">
        <f>IFERROR(__xludf.DUMMYFUNCTION("""COMPUTED_VALUE"""),"ristatata15")</f>
        <v>ristatata15</v>
      </c>
      <c r="C1032" s="283" t="str">
        <f>IFERROR(__xludf.DUMMYFUNCTION("""COMPUTED_VALUE"""),"https://www.tiktok.com/@ristatata15")</f>
        <v>https://www.tiktok.com/@ristatata15</v>
      </c>
      <c r="D1032" s="272">
        <f>IFERROR(__xludf.DUMMYFUNCTION("""COMPUTED_VALUE"""),8.584626048E9)</f>
        <v>8584626048</v>
      </c>
      <c r="E1032" s="458">
        <f>IFERROR(__xludf.DUMMYFUNCTION("""COMPUTED_VALUE"""),0.0)</f>
        <v>0</v>
      </c>
      <c r="F1032" s="273">
        <f>IFERROR(__xludf.DUMMYFUNCTION("""COMPUTED_VALUE"""),4.0)</f>
        <v>4</v>
      </c>
      <c r="G1032" t="str">
        <f>IFERROR(__xludf.DUMMYFUNCTION("""COMPUTED_VALUE"""),"Full Set")</f>
        <v>Full Set</v>
      </c>
      <c r="I1032" s="12"/>
      <c r="J1032" s="12"/>
      <c r="K1032" s="12"/>
      <c r="L1032" s="12"/>
      <c r="M1032" s="12"/>
    </row>
    <row r="1033">
      <c r="A1033" s="282" t="str">
        <f>IFERROR(__xludf.DUMMYFUNCTION("""COMPUTED_VALUE"""),"NANO")</f>
        <v>NANO</v>
      </c>
      <c r="B1033" s="272" t="str">
        <f>IFERROR(__xludf.DUMMYFUNCTION("""COMPUTED_VALUE"""),"nabazz4")</f>
        <v>nabazz4</v>
      </c>
      <c r="C1033" s="283" t="str">
        <f>IFERROR(__xludf.DUMMYFUNCTION("""COMPUTED_VALUE"""),"https://www.tiktok.com/@nabazz4")</f>
        <v>https://www.tiktok.com/@nabazz4</v>
      </c>
      <c r="D1033" s="272">
        <f>IFERROR(__xludf.DUMMYFUNCTION("""COMPUTED_VALUE"""),8.7741866961E10)</f>
        <v>87741866961</v>
      </c>
      <c r="E1033" s="458">
        <f>IFERROR(__xludf.DUMMYFUNCTION("""COMPUTED_VALUE"""),0.0)</f>
        <v>0</v>
      </c>
      <c r="F1033" s="273">
        <f>IFERROR(__xludf.DUMMYFUNCTION("""COMPUTED_VALUE"""),4.0)</f>
        <v>4</v>
      </c>
      <c r="G1033" t="str">
        <f>IFERROR(__xludf.DUMMYFUNCTION("""COMPUTED_VALUE"""),"Full Set")</f>
        <v>Full Set</v>
      </c>
      <c r="I1033" s="12"/>
      <c r="J1033" s="12"/>
      <c r="K1033" s="12"/>
      <c r="L1033" s="12"/>
      <c r="M1033" s="12"/>
    </row>
    <row r="1034">
      <c r="A1034" s="282" t="str">
        <f>IFERROR(__xludf.DUMMYFUNCTION("""COMPUTED_VALUE"""),"NANO")</f>
        <v>NANO</v>
      </c>
      <c r="B1034" s="272" t="str">
        <f>IFERROR(__xludf.DUMMYFUNCTION("""COMPUTED_VALUE"""),"nvdw_4")</f>
        <v>nvdw_4</v>
      </c>
      <c r="C1034" s="283" t="str">
        <f>IFERROR(__xludf.DUMMYFUNCTION("""COMPUTED_VALUE"""),"https://www.tiktok.com/@nvdw_4")</f>
        <v>https://www.tiktok.com/@nvdw_4</v>
      </c>
      <c r="D1034" s="272">
        <f>IFERROR(__xludf.DUMMYFUNCTION("""COMPUTED_VALUE"""),8.5859121439E10)</f>
        <v>85859121439</v>
      </c>
      <c r="E1034" s="458">
        <f>IFERROR(__xludf.DUMMYFUNCTION("""COMPUTED_VALUE"""),0.0)</f>
        <v>0</v>
      </c>
      <c r="F1034" s="273">
        <f>IFERROR(__xludf.DUMMYFUNCTION("""COMPUTED_VALUE"""),4.0)</f>
        <v>4</v>
      </c>
      <c r="G1034" t="str">
        <f>IFERROR(__xludf.DUMMYFUNCTION("""COMPUTED_VALUE"""),"Full Set")</f>
        <v>Full Set</v>
      </c>
      <c r="I1034" s="12"/>
      <c r="J1034" s="12"/>
      <c r="K1034" s="12"/>
      <c r="L1034" s="12"/>
      <c r="M1034" s="12"/>
    </row>
    <row r="1035">
      <c r="A1035" s="282" t="str">
        <f>IFERROR(__xludf.DUMMYFUNCTION("""COMPUTED_VALUE"""),"NANO")</f>
        <v>NANO</v>
      </c>
      <c r="B1035" s="272" t="str">
        <f>IFERROR(__xludf.DUMMYFUNCTION("""COMPUTED_VALUE"""),"Ratu_Spill")</f>
        <v>Ratu_Spill</v>
      </c>
      <c r="C1035" s="283" t="str">
        <f>IFERROR(__xludf.DUMMYFUNCTION("""COMPUTED_VALUE"""),"https://www.tiktok.com/@Ratu_Spill")</f>
        <v>https://www.tiktok.com/@Ratu_Spill</v>
      </c>
      <c r="D1035" s="272">
        <f>IFERROR(__xludf.DUMMYFUNCTION("""COMPUTED_VALUE"""),8.8996345471E10)</f>
        <v>88996345471</v>
      </c>
      <c r="E1035" s="458">
        <f>IFERROR(__xludf.DUMMYFUNCTION("""COMPUTED_VALUE"""),0.0)</f>
        <v>0</v>
      </c>
      <c r="F1035" s="273">
        <f>IFERROR(__xludf.DUMMYFUNCTION("""COMPUTED_VALUE"""),4.0)</f>
        <v>4</v>
      </c>
      <c r="G1035" t="str">
        <f>IFERROR(__xludf.DUMMYFUNCTION("""COMPUTED_VALUE"""),"Full Set")</f>
        <v>Full Set</v>
      </c>
      <c r="I1035" s="12"/>
      <c r="J1035" s="12"/>
      <c r="K1035" s="12"/>
      <c r="L1035" s="12"/>
      <c r="M1035" s="12"/>
    </row>
    <row r="1036">
      <c r="A1036" s="282" t="str">
        <f>IFERROR(__xludf.DUMMYFUNCTION("""COMPUTED_VALUE"""),"NANO")</f>
        <v>NANO</v>
      </c>
      <c r="B1036" s="272" t="str">
        <f>IFERROR(__xludf.DUMMYFUNCTION("""COMPUTED_VALUE"""),"Ainayafth")</f>
        <v>Ainayafth</v>
      </c>
      <c r="C1036" s="283" t="str">
        <f>IFERROR(__xludf.DUMMYFUNCTION("""COMPUTED_VALUE"""),"https://www.tiktok.com/@Ainayafth")</f>
        <v>https://www.tiktok.com/@Ainayafth</v>
      </c>
      <c r="D1036" s="272">
        <f>IFERROR(__xludf.DUMMYFUNCTION("""COMPUTED_VALUE"""),8.954332212E11)</f>
        <v>895433221200</v>
      </c>
      <c r="E1036" s="458">
        <f>IFERROR(__xludf.DUMMYFUNCTION("""COMPUTED_VALUE"""),0.0)</f>
        <v>0</v>
      </c>
      <c r="F1036" s="273">
        <f>IFERROR(__xludf.DUMMYFUNCTION("""COMPUTED_VALUE"""),4.0)</f>
        <v>4</v>
      </c>
      <c r="G1036" t="str">
        <f>IFERROR(__xludf.DUMMYFUNCTION("""COMPUTED_VALUE"""),"Full Set")</f>
        <v>Full Set</v>
      </c>
      <c r="I1036" s="12"/>
      <c r="J1036" s="12"/>
      <c r="K1036" s="12"/>
      <c r="L1036" s="12"/>
      <c r="M1036" s="12"/>
    </row>
    <row r="1037">
      <c r="A1037" s="282" t="str">
        <f>IFERROR(__xludf.DUMMYFUNCTION("""COMPUTED_VALUE"""),"NANO")</f>
        <v>NANO</v>
      </c>
      <c r="B1037" s="272" t="str">
        <f>IFERROR(__xludf.DUMMYFUNCTION("""COMPUTED_VALUE"""),"anya.akm")</f>
        <v>anya.akm</v>
      </c>
      <c r="C1037" s="283" t="str">
        <f>IFERROR(__xludf.DUMMYFUNCTION("""COMPUTED_VALUE"""),"https://www.tiktok.com/@anya.akm")</f>
        <v>https://www.tiktok.com/@anya.akm</v>
      </c>
      <c r="D1037" s="272">
        <f>IFERROR(__xludf.DUMMYFUNCTION("""COMPUTED_VALUE"""),8.5732655277E10)</f>
        <v>85732655277</v>
      </c>
      <c r="E1037" s="458">
        <f>IFERROR(__xludf.DUMMYFUNCTION("""COMPUTED_VALUE"""),0.0)</f>
        <v>0</v>
      </c>
      <c r="F1037" s="273">
        <f>IFERROR(__xludf.DUMMYFUNCTION("""COMPUTED_VALUE"""),4.0)</f>
        <v>4</v>
      </c>
      <c r="G1037" t="str">
        <f>IFERROR(__xludf.DUMMYFUNCTION("""COMPUTED_VALUE"""),"Full Set")</f>
        <v>Full Set</v>
      </c>
      <c r="I1037" s="12"/>
      <c r="J1037" s="12"/>
      <c r="K1037" s="12"/>
      <c r="L1037" s="12"/>
      <c r="M1037" s="12"/>
    </row>
    <row r="1038">
      <c r="A1038" s="282" t="str">
        <f>IFERROR(__xludf.DUMMYFUNCTION("""COMPUTED_VALUE"""),"NANO")</f>
        <v>NANO</v>
      </c>
      <c r="B1038" s="272" t="str">
        <f>IFERROR(__xludf.DUMMYFUNCTION("""COMPUTED_VALUE"""),"diahajengsrikandini")</f>
        <v>diahajengsrikandini</v>
      </c>
      <c r="C1038" s="283" t="str">
        <f>IFERROR(__xludf.DUMMYFUNCTION("""COMPUTED_VALUE"""),"https://www.tiktok.com/@diahajengsrikandini")</f>
        <v>https://www.tiktok.com/@diahajengsrikandini</v>
      </c>
      <c r="D1038" s="272">
        <f>IFERROR(__xludf.DUMMYFUNCTION("""COMPUTED_VALUE"""),8.123874893E9)</f>
        <v>8123874893</v>
      </c>
      <c r="E1038" s="458">
        <f>IFERROR(__xludf.DUMMYFUNCTION("""COMPUTED_VALUE"""),0.0)</f>
        <v>0</v>
      </c>
      <c r="F1038" s="273">
        <f>IFERROR(__xludf.DUMMYFUNCTION("""COMPUTED_VALUE"""),4.0)</f>
        <v>4</v>
      </c>
      <c r="G1038" t="str">
        <f>IFERROR(__xludf.DUMMYFUNCTION("""COMPUTED_VALUE"""),"Full Set")</f>
        <v>Full Set</v>
      </c>
      <c r="I1038" s="12"/>
      <c r="J1038" s="12"/>
      <c r="K1038" s="12"/>
      <c r="L1038" s="12"/>
      <c r="M1038" s="12"/>
    </row>
    <row r="1039">
      <c r="A1039" s="282" t="str">
        <f>IFERROR(__xludf.DUMMYFUNCTION("""COMPUTED_VALUE"""),"NANO")</f>
        <v>NANO</v>
      </c>
      <c r="B1039" s="272" t="str">
        <f>IFERROR(__xludf.DUMMYFUNCTION("""COMPUTED_VALUE"""),"Annaami22 ")</f>
        <v>Annaami22 </v>
      </c>
      <c r="C1039" s="283" t="str">
        <f>IFERROR(__xludf.DUMMYFUNCTION("""COMPUTED_VALUE"""),"https://www.tiktok.com/@Annaami22 ")</f>
        <v>https://www.tiktok.com/@Annaami22 </v>
      </c>
      <c r="D1039" s="272">
        <f>IFERROR(__xludf.DUMMYFUNCTION("""COMPUTED_VALUE"""),8.983039558E9)</f>
        <v>8983039558</v>
      </c>
      <c r="E1039" s="458">
        <f>IFERROR(__xludf.DUMMYFUNCTION("""COMPUTED_VALUE"""),0.0)</f>
        <v>0</v>
      </c>
      <c r="F1039" s="273">
        <f>IFERROR(__xludf.DUMMYFUNCTION("""COMPUTED_VALUE"""),4.0)</f>
        <v>4</v>
      </c>
      <c r="G1039" t="str">
        <f>IFERROR(__xludf.DUMMYFUNCTION("""COMPUTED_VALUE"""),"Full Set")</f>
        <v>Full Set</v>
      </c>
      <c r="I1039" s="12"/>
      <c r="J1039" s="12"/>
      <c r="K1039" s="12"/>
      <c r="L1039" s="12"/>
      <c r="M1039" s="12"/>
    </row>
    <row r="1040">
      <c r="A1040" s="282" t="str">
        <f>IFERROR(__xludf.DUMMYFUNCTION("""COMPUTED_VALUE"""),"NANO")</f>
        <v>NANO</v>
      </c>
      <c r="B1040" s="272" t="str">
        <f>IFERROR(__xludf.DUMMYFUNCTION("""COMPUTED_VALUE"""),"herlinaaprianiiiii")</f>
        <v>herlinaaprianiiiii</v>
      </c>
      <c r="C1040" s="283" t="str">
        <f>IFERROR(__xludf.DUMMYFUNCTION("""COMPUTED_VALUE"""),"https://www.tiktok.com/@herlinaaprianiiiii")</f>
        <v>https://www.tiktok.com/@herlinaaprianiiiii</v>
      </c>
      <c r="D1040" s="272">
        <f>IFERROR(__xludf.DUMMYFUNCTION("""COMPUTED_VALUE"""),8.5691377504E10)</f>
        <v>85691377504</v>
      </c>
      <c r="E1040" s="458">
        <f>IFERROR(__xludf.DUMMYFUNCTION("""COMPUTED_VALUE"""),0.0)</f>
        <v>0</v>
      </c>
      <c r="F1040" s="273">
        <f>IFERROR(__xludf.DUMMYFUNCTION("""COMPUTED_VALUE"""),4.0)</f>
        <v>4</v>
      </c>
      <c r="G1040" t="str">
        <f>IFERROR(__xludf.DUMMYFUNCTION("""COMPUTED_VALUE"""),"Full Set")</f>
        <v>Full Set</v>
      </c>
      <c r="I1040" s="12"/>
      <c r="J1040" s="12"/>
      <c r="K1040" s="12"/>
      <c r="L1040" s="12"/>
      <c r="M1040" s="12"/>
    </row>
    <row r="1041">
      <c r="A1041" s="282" t="str">
        <f>IFERROR(__xludf.DUMMYFUNCTION("""COMPUTED_VALUE"""),"NANO")</f>
        <v>NANO</v>
      </c>
      <c r="B1041" s="272" t="str">
        <f>IFERROR(__xludf.DUMMYFUNCTION("""COMPUTED_VALUE"""),"megasmarpaung")</f>
        <v>megasmarpaung</v>
      </c>
      <c r="C1041" s="283" t="str">
        <f>IFERROR(__xludf.DUMMYFUNCTION("""COMPUTED_VALUE"""),"https://www.tiktok.com/@megasmarpaung")</f>
        <v>https://www.tiktok.com/@megasmarpaung</v>
      </c>
      <c r="D1041" s="272">
        <f>IFERROR(__xludf.DUMMYFUNCTION("""COMPUTED_VALUE"""),8.5718416528E10)</f>
        <v>85718416528</v>
      </c>
      <c r="E1041" s="458">
        <f>IFERROR(__xludf.DUMMYFUNCTION("""COMPUTED_VALUE"""),0.0)</f>
        <v>0</v>
      </c>
      <c r="F1041" s="273">
        <f>IFERROR(__xludf.DUMMYFUNCTION("""COMPUTED_VALUE"""),4.0)</f>
        <v>4</v>
      </c>
      <c r="G1041" t="str">
        <f>IFERROR(__xludf.DUMMYFUNCTION("""COMPUTED_VALUE"""),"Full Set")</f>
        <v>Full Set</v>
      </c>
      <c r="I1041" s="12"/>
      <c r="J1041" s="12"/>
      <c r="K1041" s="12"/>
      <c r="L1041" s="12"/>
      <c r="M1041" s="12"/>
    </row>
    <row r="1042">
      <c r="A1042" s="282" t="str">
        <f>IFERROR(__xludf.DUMMYFUNCTION("""COMPUTED_VALUE"""),"NANO")</f>
        <v>NANO</v>
      </c>
      <c r="B1042" s="272" t="str">
        <f>IFERROR(__xludf.DUMMYFUNCTION("""COMPUTED_VALUE"""),"hiinidian_")</f>
        <v>hiinidian_</v>
      </c>
      <c r="C1042" s="283" t="str">
        <f>IFERROR(__xludf.DUMMYFUNCTION("""COMPUTED_VALUE"""),"https://www.tiktok.com/@hiinidian_")</f>
        <v>https://www.tiktok.com/@hiinidian_</v>
      </c>
      <c r="D1042" s="272">
        <f>IFERROR(__xludf.DUMMYFUNCTION("""COMPUTED_VALUE"""),8.5724162796E10)</f>
        <v>85724162796</v>
      </c>
      <c r="E1042" s="458">
        <f>IFERROR(__xludf.DUMMYFUNCTION("""COMPUTED_VALUE"""),0.0)</f>
        <v>0</v>
      </c>
      <c r="F1042" s="273">
        <f>IFERROR(__xludf.DUMMYFUNCTION("""COMPUTED_VALUE"""),4.0)</f>
        <v>4</v>
      </c>
      <c r="G1042" t="str">
        <f>IFERROR(__xludf.DUMMYFUNCTION("""COMPUTED_VALUE"""),"Full Set")</f>
        <v>Full Set</v>
      </c>
      <c r="I1042" s="12"/>
      <c r="J1042" s="12"/>
      <c r="K1042" s="12"/>
      <c r="L1042" s="12"/>
      <c r="M1042" s="12"/>
    </row>
    <row r="1043">
      <c r="A1043" s="282" t="str">
        <f>IFERROR(__xludf.DUMMYFUNCTION("""COMPUTED_VALUE"""),"NANO")</f>
        <v>NANO</v>
      </c>
      <c r="B1043" s="272" t="str">
        <f>IFERROR(__xludf.DUMMYFUNCTION("""COMPUTED_VALUE"""),"habibahmld12")</f>
        <v>habibahmld12</v>
      </c>
      <c r="C1043" s="283" t="str">
        <f>IFERROR(__xludf.DUMMYFUNCTION("""COMPUTED_VALUE"""),"https://www.tiktok.com/@habibahmld12")</f>
        <v>https://www.tiktok.com/@habibahmld12</v>
      </c>
      <c r="D1043" s="272">
        <f>IFERROR(__xludf.DUMMYFUNCTION("""COMPUTED_VALUE"""),8.5766837662E10)</f>
        <v>85766837662</v>
      </c>
      <c r="E1043" s="458">
        <f>IFERROR(__xludf.DUMMYFUNCTION("""COMPUTED_VALUE"""),0.0)</f>
        <v>0</v>
      </c>
      <c r="F1043" s="273">
        <f>IFERROR(__xludf.DUMMYFUNCTION("""COMPUTED_VALUE"""),4.0)</f>
        <v>4</v>
      </c>
      <c r="G1043" t="str">
        <f>IFERROR(__xludf.DUMMYFUNCTION("""COMPUTED_VALUE"""),"Full Set")</f>
        <v>Full Set</v>
      </c>
      <c r="I1043" s="12"/>
      <c r="J1043" s="12"/>
      <c r="K1043" s="12"/>
      <c r="L1043" s="12"/>
      <c r="M1043" s="12"/>
    </row>
    <row r="1044">
      <c r="A1044" s="282" t="str">
        <f>IFERROR(__xludf.DUMMYFUNCTION("""COMPUTED_VALUE"""),"NANO")</f>
        <v>NANO</v>
      </c>
      <c r="B1044" s="272" t="str">
        <f>IFERROR(__xludf.DUMMYFUNCTION("""COMPUTED_VALUE"""),"riffrifawwww")</f>
        <v>riffrifawwww</v>
      </c>
      <c r="C1044" s="283" t="str">
        <f>IFERROR(__xludf.DUMMYFUNCTION("""COMPUTED_VALUE"""),"https://www.tiktok.com/@riffrifawwww")</f>
        <v>https://www.tiktok.com/@riffrifawwww</v>
      </c>
      <c r="D1044" s="272">
        <f>IFERROR(__xludf.DUMMYFUNCTION("""COMPUTED_VALUE"""),8.560767119E10)</f>
        <v>85607671190</v>
      </c>
      <c r="E1044" s="458">
        <f>IFERROR(__xludf.DUMMYFUNCTION("""COMPUTED_VALUE"""),0.0)</f>
        <v>0</v>
      </c>
      <c r="F1044" s="273">
        <f>IFERROR(__xludf.DUMMYFUNCTION("""COMPUTED_VALUE"""),4.0)</f>
        <v>4</v>
      </c>
      <c r="G1044" t="str">
        <f>IFERROR(__xludf.DUMMYFUNCTION("""COMPUTED_VALUE"""),"Full Set")</f>
        <v>Full Set</v>
      </c>
      <c r="I1044" s="12"/>
      <c r="J1044" s="12"/>
      <c r="K1044" s="12"/>
      <c r="L1044" s="12"/>
      <c r="M1044" s="12"/>
    </row>
    <row r="1045">
      <c r="A1045" s="282" t="str">
        <f>IFERROR(__xludf.DUMMYFUNCTION("""COMPUTED_VALUE"""),"NANO")</f>
        <v>NANO</v>
      </c>
      <c r="B1045" s="272" t="str">
        <f>IFERROR(__xludf.DUMMYFUNCTION("""COMPUTED_VALUE"""),"dew_wi13")</f>
        <v>dew_wi13</v>
      </c>
      <c r="C1045" s="283" t="str">
        <f>IFERROR(__xludf.DUMMYFUNCTION("""COMPUTED_VALUE"""),"https://www.tiktok.com/@dew_wi13")</f>
        <v>https://www.tiktok.com/@dew_wi13</v>
      </c>
      <c r="D1045" s="272">
        <f>IFERROR(__xludf.DUMMYFUNCTION("""COMPUTED_VALUE"""),8.383139889E10)</f>
        <v>83831398890</v>
      </c>
      <c r="E1045" s="458">
        <f>IFERROR(__xludf.DUMMYFUNCTION("""COMPUTED_VALUE"""),0.0)</f>
        <v>0</v>
      </c>
      <c r="F1045" s="273">
        <f>IFERROR(__xludf.DUMMYFUNCTION("""COMPUTED_VALUE"""),4.0)</f>
        <v>4</v>
      </c>
      <c r="G1045" t="str">
        <f>IFERROR(__xludf.DUMMYFUNCTION("""COMPUTED_VALUE"""),"Full Set")</f>
        <v>Full Set</v>
      </c>
      <c r="I1045" s="12"/>
      <c r="J1045" s="12"/>
      <c r="K1045" s="12"/>
      <c r="L1045" s="12"/>
      <c r="M1045" s="12"/>
    </row>
    <row r="1046">
      <c r="A1046" s="282" t="str">
        <f>IFERROR(__xludf.DUMMYFUNCTION("""COMPUTED_VALUE"""),"NANO")</f>
        <v>NANO</v>
      </c>
      <c r="B1046" s="272" t="str">
        <f>IFERROR(__xludf.DUMMYFUNCTION("""COMPUTED_VALUE"""),"gigigian99")</f>
        <v>gigigian99</v>
      </c>
      <c r="C1046" s="283" t="str">
        <f>IFERROR(__xludf.DUMMYFUNCTION("""COMPUTED_VALUE"""),"https://www.tiktok.com/@gigigian99")</f>
        <v>https://www.tiktok.com/@gigigian99</v>
      </c>
      <c r="D1046" s="272">
        <f>IFERROR(__xludf.DUMMYFUNCTION("""COMPUTED_VALUE"""),8.979393149E9)</f>
        <v>8979393149</v>
      </c>
      <c r="E1046" s="458">
        <f>IFERROR(__xludf.DUMMYFUNCTION("""COMPUTED_VALUE"""),0.0)</f>
        <v>0</v>
      </c>
      <c r="F1046" s="273">
        <f>IFERROR(__xludf.DUMMYFUNCTION("""COMPUTED_VALUE"""),4.0)</f>
        <v>4</v>
      </c>
      <c r="G1046" t="str">
        <f>IFERROR(__xludf.DUMMYFUNCTION("""COMPUTED_VALUE"""),"Full Set")</f>
        <v>Full Set</v>
      </c>
      <c r="I1046" s="12"/>
      <c r="J1046" s="12"/>
      <c r="K1046" s="12"/>
      <c r="L1046" s="12"/>
      <c r="M1046" s="12"/>
    </row>
    <row r="1047">
      <c r="A1047" s="282" t="str">
        <f>IFERROR(__xludf.DUMMYFUNCTION("""COMPUTED_VALUE"""),"NANO")</f>
        <v>NANO</v>
      </c>
      <c r="B1047" s="272" t="str">
        <f>IFERROR(__xludf.DUMMYFUNCTION("""COMPUTED_VALUE"""),"fluffynnaa_")</f>
        <v>fluffynnaa_</v>
      </c>
      <c r="C1047" s="283" t="str">
        <f>IFERROR(__xludf.DUMMYFUNCTION("""COMPUTED_VALUE"""),"https://www.tiktok.com/@fluffynnaa_")</f>
        <v>https://www.tiktok.com/@fluffynnaa_</v>
      </c>
      <c r="D1047" s="272">
        <f>IFERROR(__xludf.DUMMYFUNCTION("""COMPUTED_VALUE"""),8.5642437142E10)</f>
        <v>85642437142</v>
      </c>
      <c r="E1047" s="458">
        <f>IFERROR(__xludf.DUMMYFUNCTION("""COMPUTED_VALUE"""),0.0)</f>
        <v>0</v>
      </c>
      <c r="F1047" s="273">
        <f>IFERROR(__xludf.DUMMYFUNCTION("""COMPUTED_VALUE"""),4.0)</f>
        <v>4</v>
      </c>
      <c r="G1047" t="str">
        <f>IFERROR(__xludf.DUMMYFUNCTION("""COMPUTED_VALUE"""),"Full Set")</f>
        <v>Full Set</v>
      </c>
      <c r="I1047" s="12"/>
      <c r="J1047" s="12"/>
      <c r="K1047" s="12"/>
      <c r="L1047" s="12"/>
      <c r="M1047" s="12"/>
    </row>
    <row r="1048">
      <c r="A1048" s="282" t="str">
        <f>IFERROR(__xludf.DUMMYFUNCTION("""COMPUTED_VALUE"""),"NANO")</f>
        <v>NANO</v>
      </c>
      <c r="B1048" s="272" t="str">
        <f>IFERROR(__xludf.DUMMYFUNCTION("""COMPUTED_VALUE"""),"puding.kesasar")</f>
        <v>puding.kesasar</v>
      </c>
      <c r="C1048" s="283" t="str">
        <f>IFERROR(__xludf.DUMMYFUNCTION("""COMPUTED_VALUE"""),"https://www.tiktok.com/@puding.kesasar")</f>
        <v>https://www.tiktok.com/@puding.kesasar</v>
      </c>
      <c r="D1048" s="272">
        <f>IFERROR(__xludf.DUMMYFUNCTION("""COMPUTED_VALUE"""),8.5876848544E10)</f>
        <v>85876848544</v>
      </c>
      <c r="E1048" s="458">
        <f>IFERROR(__xludf.DUMMYFUNCTION("""COMPUTED_VALUE"""),0.0)</f>
        <v>0</v>
      </c>
      <c r="F1048" s="273">
        <f>IFERROR(__xludf.DUMMYFUNCTION("""COMPUTED_VALUE"""),4.0)</f>
        <v>4</v>
      </c>
      <c r="G1048" t="str">
        <f>IFERROR(__xludf.DUMMYFUNCTION("""COMPUTED_VALUE"""),"Full Set")</f>
        <v>Full Set</v>
      </c>
      <c r="I1048" s="12"/>
      <c r="J1048" s="12"/>
      <c r="K1048" s="12"/>
      <c r="L1048" s="12"/>
      <c r="M1048" s="12"/>
    </row>
    <row r="1049">
      <c r="A1049" s="282" t="str">
        <f>IFERROR(__xludf.DUMMYFUNCTION("""COMPUTED_VALUE"""),"MICRO")</f>
        <v>MICRO</v>
      </c>
      <c r="B1049" s="272" t="str">
        <f>IFERROR(__xludf.DUMMYFUNCTION("""COMPUTED_VALUE"""),"spicabelle")</f>
        <v>spicabelle</v>
      </c>
      <c r="C1049" s="283" t="str">
        <f>IFERROR(__xludf.DUMMYFUNCTION("""COMPUTED_VALUE"""),"https://www.tiktok.com/@spicabelle")</f>
        <v>https://www.tiktok.com/@spicabelle</v>
      </c>
      <c r="D1049" s="272">
        <f>IFERROR(__xludf.DUMMYFUNCTION("""COMPUTED_VALUE"""),8.12821044E10)</f>
        <v>81282104400</v>
      </c>
      <c r="E1049" s="458">
        <f>IFERROR(__xludf.DUMMYFUNCTION("""COMPUTED_VALUE"""),0.0)</f>
        <v>0</v>
      </c>
      <c r="F1049" s="273">
        <f>IFERROR(__xludf.DUMMYFUNCTION("""COMPUTED_VALUE"""),4.0)</f>
        <v>4</v>
      </c>
      <c r="G1049" t="str">
        <f>IFERROR(__xludf.DUMMYFUNCTION("""COMPUTED_VALUE"""),"Full Set")</f>
        <v>Full Set</v>
      </c>
      <c r="I1049" s="12"/>
      <c r="J1049" s="12"/>
      <c r="K1049" s="12"/>
      <c r="L1049" s="12"/>
      <c r="M1049" s="12"/>
    </row>
    <row r="1050">
      <c r="A1050" s="282" t="str">
        <f>IFERROR(__xludf.DUMMYFUNCTION("""COMPUTED_VALUE"""),"NANO")</f>
        <v>NANO</v>
      </c>
      <c r="B1050" s="272" t="str">
        <f>IFERROR(__xludf.DUMMYFUNCTION("""COMPUTED_VALUE"""),"wulanwoo09")</f>
        <v>wulanwoo09</v>
      </c>
      <c r="C1050" s="283" t="str">
        <f>IFERROR(__xludf.DUMMYFUNCTION("""COMPUTED_VALUE"""),"https://www.tiktok.com/@wulanwoo09")</f>
        <v>https://www.tiktok.com/@wulanwoo09</v>
      </c>
      <c r="D1050" s="272">
        <f>IFERROR(__xludf.DUMMYFUNCTION("""COMPUTED_VALUE"""),8.2237113742E10)</f>
        <v>82237113742</v>
      </c>
      <c r="E1050" s="458">
        <f>IFERROR(__xludf.DUMMYFUNCTION("""COMPUTED_VALUE"""),0.0)</f>
        <v>0</v>
      </c>
      <c r="F1050" s="273">
        <f>IFERROR(__xludf.DUMMYFUNCTION("""COMPUTED_VALUE"""),4.0)</f>
        <v>4</v>
      </c>
      <c r="G1050" t="str">
        <f>IFERROR(__xludf.DUMMYFUNCTION("""COMPUTED_VALUE"""),"Full Set")</f>
        <v>Full Set</v>
      </c>
      <c r="I1050" s="12"/>
      <c r="J1050" s="12"/>
      <c r="K1050" s="12"/>
      <c r="L1050" s="12"/>
      <c r="M1050" s="12"/>
    </row>
    <row r="1051">
      <c r="A1051" s="282" t="str">
        <f>IFERROR(__xludf.DUMMYFUNCTION("""COMPUTED_VALUE"""),"MICRO")</f>
        <v>MICRO</v>
      </c>
      <c r="B1051" s="272" t="str">
        <f>IFERROR(__xludf.DUMMYFUNCTION("""COMPUTED_VALUE"""),"meganurjananh313")</f>
        <v>meganurjananh313</v>
      </c>
      <c r="C1051" s="283" t="str">
        <f>IFERROR(__xludf.DUMMYFUNCTION("""COMPUTED_VALUE"""),"https://www.tiktok.com/@meganurjananh313")</f>
        <v>https://www.tiktok.com/@meganurjananh313</v>
      </c>
      <c r="D1051" s="272">
        <f>IFERROR(__xludf.DUMMYFUNCTION("""COMPUTED_VALUE"""),8.2131964754E10)</f>
        <v>82131964754</v>
      </c>
      <c r="E1051" s="458">
        <f>IFERROR(__xludf.DUMMYFUNCTION("""COMPUTED_VALUE"""),0.0)</f>
        <v>0</v>
      </c>
      <c r="F1051" s="273">
        <f>IFERROR(__xludf.DUMMYFUNCTION("""COMPUTED_VALUE"""),4.0)</f>
        <v>4</v>
      </c>
      <c r="G1051" t="str">
        <f>IFERROR(__xludf.DUMMYFUNCTION("""COMPUTED_VALUE"""),"Full Set")</f>
        <v>Full Set</v>
      </c>
      <c r="I1051" s="12"/>
      <c r="J1051" s="12"/>
      <c r="K1051" s="12"/>
      <c r="L1051" s="12"/>
      <c r="M1051" s="12"/>
    </row>
    <row r="1052">
      <c r="A1052" s="282" t="str">
        <f>IFERROR(__xludf.DUMMYFUNCTION("""COMPUTED_VALUE"""),"NANO")</f>
        <v>NANO</v>
      </c>
      <c r="B1052" s="272" t="str">
        <f>IFERROR(__xludf.DUMMYFUNCTION("""COMPUTED_VALUE"""),"ulfahreginaa")</f>
        <v>ulfahreginaa</v>
      </c>
      <c r="C1052" s="283" t="str">
        <f>IFERROR(__xludf.DUMMYFUNCTION("""COMPUTED_VALUE"""),"https://www.tiktok.com/@ulfahreginaa")</f>
        <v>https://www.tiktok.com/@ulfahreginaa</v>
      </c>
      <c r="D1052" s="272">
        <f>IFERROR(__xludf.DUMMYFUNCTION("""COMPUTED_VALUE"""),8.9639301621E10)</f>
        <v>89639301621</v>
      </c>
      <c r="E1052" s="458">
        <f>IFERROR(__xludf.DUMMYFUNCTION("""COMPUTED_VALUE"""),0.0)</f>
        <v>0</v>
      </c>
      <c r="F1052" s="273">
        <f>IFERROR(__xludf.DUMMYFUNCTION("""COMPUTED_VALUE"""),4.0)</f>
        <v>4</v>
      </c>
      <c r="G1052" t="str">
        <f>IFERROR(__xludf.DUMMYFUNCTION("""COMPUTED_VALUE"""),"Full Set")</f>
        <v>Full Set</v>
      </c>
      <c r="I1052" s="12"/>
      <c r="J1052" s="12"/>
      <c r="K1052" s="12"/>
      <c r="L1052" s="12"/>
      <c r="M1052" s="12"/>
    </row>
    <row r="1053">
      <c r="A1053" s="282" t="str">
        <f>IFERROR(__xludf.DUMMYFUNCTION("""COMPUTED_VALUE"""),"NANO")</f>
        <v>NANO</v>
      </c>
      <c r="B1053" s="272" t="str">
        <f>IFERROR(__xludf.DUMMYFUNCTION("""COMPUTED_VALUE"""),"mama.anyachloe")</f>
        <v>mama.anyachloe</v>
      </c>
      <c r="C1053" s="283" t="str">
        <f>IFERROR(__xludf.DUMMYFUNCTION("""COMPUTED_VALUE"""),"https://www.tiktok.com/@mama.anyachloe")</f>
        <v>https://www.tiktok.com/@mama.anyachloe</v>
      </c>
      <c r="D1053" s="272">
        <f>IFERROR(__xludf.DUMMYFUNCTION("""COMPUTED_VALUE"""),8.990817428E9)</f>
        <v>8990817428</v>
      </c>
      <c r="E1053" s="458">
        <f>IFERROR(__xludf.DUMMYFUNCTION("""COMPUTED_VALUE"""),0.0)</f>
        <v>0</v>
      </c>
      <c r="F1053" s="273">
        <f>IFERROR(__xludf.DUMMYFUNCTION("""COMPUTED_VALUE"""),4.0)</f>
        <v>4</v>
      </c>
      <c r="G1053" t="str">
        <f>IFERROR(__xludf.DUMMYFUNCTION("""COMPUTED_VALUE"""),"Full Set")</f>
        <v>Full Set</v>
      </c>
      <c r="I1053" s="12"/>
      <c r="J1053" s="12"/>
      <c r="K1053" s="12"/>
      <c r="L1053" s="12"/>
      <c r="M1053" s="12"/>
    </row>
    <row r="1054">
      <c r="A1054" s="282" t="str">
        <f>IFERROR(__xludf.DUMMYFUNCTION("""COMPUTED_VALUE"""),"NANO")</f>
        <v>NANO</v>
      </c>
      <c r="B1054" s="272" t="str">
        <f>IFERROR(__xludf.DUMMYFUNCTION("""COMPUTED_VALUE"""),"littlelibraaa_")</f>
        <v>littlelibraaa_</v>
      </c>
      <c r="C1054" s="283" t="str">
        <f>IFERROR(__xludf.DUMMYFUNCTION("""COMPUTED_VALUE"""),"https://www.tiktok.com/@littlelibraaa_")</f>
        <v>https://www.tiktok.com/@littlelibraaa_</v>
      </c>
      <c r="D1054" s="272">
        <f>IFERROR(__xludf.DUMMYFUNCTION("""COMPUTED_VALUE"""),8.8987024214E10)</f>
        <v>88987024214</v>
      </c>
      <c r="E1054" s="458">
        <f>IFERROR(__xludf.DUMMYFUNCTION("""COMPUTED_VALUE"""),0.0)</f>
        <v>0</v>
      </c>
      <c r="F1054" s="273">
        <f>IFERROR(__xludf.DUMMYFUNCTION("""COMPUTED_VALUE"""),4.0)</f>
        <v>4</v>
      </c>
      <c r="G1054" t="str">
        <f>IFERROR(__xludf.DUMMYFUNCTION("""COMPUTED_VALUE"""),"Full Set")</f>
        <v>Full Set</v>
      </c>
      <c r="I1054" s="12"/>
      <c r="J1054" s="12"/>
      <c r="K1054" s="12"/>
      <c r="L1054" s="12"/>
      <c r="M1054" s="12"/>
    </row>
    <row r="1055">
      <c r="A1055" s="282" t="str">
        <f>IFERROR(__xludf.DUMMYFUNCTION("""COMPUTED_VALUE"""),"NANO")</f>
        <v>NANO</v>
      </c>
      <c r="B1055" s="272" t="str">
        <f>IFERROR(__xludf.DUMMYFUNCTION("""COMPUTED_VALUE"""),"Diahayu090")</f>
        <v>Diahayu090</v>
      </c>
      <c r="C1055" s="283" t="str">
        <f>IFERROR(__xludf.DUMMYFUNCTION("""COMPUTED_VALUE"""),"https://www.tiktok.com/@Diahayu090")</f>
        <v>https://www.tiktok.com/@Diahayu090</v>
      </c>
      <c r="D1055" s="272">
        <f>IFERROR(__xludf.DUMMYFUNCTION("""COMPUTED_VALUE"""),8.1369713197E10)</f>
        <v>81369713197</v>
      </c>
      <c r="E1055" s="458">
        <f>IFERROR(__xludf.DUMMYFUNCTION("""COMPUTED_VALUE"""),0.0)</f>
        <v>0</v>
      </c>
      <c r="F1055" s="273">
        <f>IFERROR(__xludf.DUMMYFUNCTION("""COMPUTED_VALUE"""),4.0)</f>
        <v>4</v>
      </c>
      <c r="G1055" t="str">
        <f>IFERROR(__xludf.DUMMYFUNCTION("""COMPUTED_VALUE"""),"Full Set")</f>
        <v>Full Set</v>
      </c>
      <c r="I1055" s="12"/>
      <c r="J1055" s="12"/>
      <c r="K1055" s="12"/>
      <c r="L1055" s="12"/>
      <c r="M1055" s="12"/>
    </row>
    <row r="1056">
      <c r="A1056" s="282" t="str">
        <f>IFERROR(__xludf.DUMMYFUNCTION("""COMPUTED_VALUE"""),"NANO")</f>
        <v>NANO</v>
      </c>
      <c r="B1056" s="272" t="str">
        <f>IFERROR(__xludf.DUMMYFUNCTION("""COMPUTED_VALUE"""),"butterfly.bloom____")</f>
        <v>butterfly.bloom____</v>
      </c>
      <c r="C1056" s="283" t="str">
        <f>IFERROR(__xludf.DUMMYFUNCTION("""COMPUTED_VALUE"""),"https://www.tiktok.com/@butterfly.bloom____")</f>
        <v>https://www.tiktok.com/@butterfly.bloom____</v>
      </c>
      <c r="D1056" s="272">
        <f>IFERROR(__xludf.DUMMYFUNCTION("""COMPUTED_VALUE"""),8.82003814283E11)</f>
        <v>882003814283</v>
      </c>
      <c r="E1056" s="458">
        <f>IFERROR(__xludf.DUMMYFUNCTION("""COMPUTED_VALUE"""),0.0)</f>
        <v>0</v>
      </c>
      <c r="F1056" s="273">
        <f>IFERROR(__xludf.DUMMYFUNCTION("""COMPUTED_VALUE"""),4.0)</f>
        <v>4</v>
      </c>
      <c r="G1056" t="str">
        <f>IFERROR(__xludf.DUMMYFUNCTION("""COMPUTED_VALUE"""),"Full Set")</f>
        <v>Full Set</v>
      </c>
      <c r="I1056" s="12"/>
      <c r="J1056" s="12"/>
      <c r="K1056" s="12"/>
      <c r="L1056" s="12"/>
      <c r="M1056" s="12"/>
    </row>
    <row r="1057">
      <c r="A1057" s="282" t="str">
        <f>IFERROR(__xludf.DUMMYFUNCTION("""COMPUTED_VALUE"""),"NANO")</f>
        <v>NANO</v>
      </c>
      <c r="B1057" s="272" t="str">
        <f>IFERROR(__xludf.DUMMYFUNCTION("""COMPUTED_VALUE"""),"cerryyours")</f>
        <v>cerryyours</v>
      </c>
      <c r="C1057" s="283" t="str">
        <f>IFERROR(__xludf.DUMMYFUNCTION("""COMPUTED_VALUE"""),"https://www.tiktok.com/@cerryyours")</f>
        <v>https://www.tiktok.com/@cerryyours</v>
      </c>
      <c r="D1057" s="272">
        <f>IFERROR(__xludf.DUMMYFUNCTION("""COMPUTED_VALUE"""),8.5165622667E10)</f>
        <v>85165622667</v>
      </c>
      <c r="E1057" s="458">
        <f>IFERROR(__xludf.DUMMYFUNCTION("""COMPUTED_VALUE"""),0.0)</f>
        <v>0</v>
      </c>
      <c r="F1057" s="273">
        <f>IFERROR(__xludf.DUMMYFUNCTION("""COMPUTED_VALUE"""),4.0)</f>
        <v>4</v>
      </c>
      <c r="G1057" t="str">
        <f>IFERROR(__xludf.DUMMYFUNCTION("""COMPUTED_VALUE"""),"Full Set")</f>
        <v>Full Set</v>
      </c>
      <c r="I1057" s="12"/>
      <c r="J1057" s="12"/>
      <c r="K1057" s="12"/>
      <c r="L1057" s="12"/>
      <c r="M1057" s="12"/>
    </row>
    <row r="1058">
      <c r="A1058" s="282" t="str">
        <f>IFERROR(__xludf.DUMMYFUNCTION("""COMPUTED_VALUE"""),"NANO")</f>
        <v>NANO</v>
      </c>
      <c r="B1058" s="272" t="str">
        <f>IFERROR(__xludf.DUMMYFUNCTION("""COMPUTED_VALUE"""),"jsicastore")</f>
        <v>jsicastore</v>
      </c>
      <c r="C1058" s="283" t="str">
        <f>IFERROR(__xludf.DUMMYFUNCTION("""COMPUTED_VALUE"""),"https://www.tiktok.com/@jsicastore")</f>
        <v>https://www.tiktok.com/@jsicastore</v>
      </c>
      <c r="D1058" s="272">
        <f>IFERROR(__xludf.DUMMYFUNCTION("""COMPUTED_VALUE"""),8.2189825662E10)</f>
        <v>82189825662</v>
      </c>
      <c r="E1058" s="458">
        <f>IFERROR(__xludf.DUMMYFUNCTION("""COMPUTED_VALUE"""),0.0)</f>
        <v>0</v>
      </c>
      <c r="F1058" s="273">
        <f>IFERROR(__xludf.DUMMYFUNCTION("""COMPUTED_VALUE"""),4.0)</f>
        <v>4</v>
      </c>
      <c r="G1058" t="str">
        <f>IFERROR(__xludf.DUMMYFUNCTION("""COMPUTED_VALUE"""),"Full Set")</f>
        <v>Full Set</v>
      </c>
      <c r="I1058" s="12"/>
      <c r="J1058" s="12"/>
      <c r="K1058" s="12"/>
      <c r="L1058" s="12"/>
      <c r="M1058" s="12"/>
    </row>
    <row r="1059">
      <c r="A1059" s="282" t="str">
        <f>IFERROR(__xludf.DUMMYFUNCTION("""COMPUTED_VALUE"""),"NANO")</f>
        <v>NANO</v>
      </c>
      <c r="B1059" s="272" t="str">
        <f>IFERROR(__xludf.DUMMYFUNCTION("""COMPUTED_VALUE"""),"kitaberduaid")</f>
        <v>kitaberduaid</v>
      </c>
      <c r="C1059" s="283" t="str">
        <f>IFERROR(__xludf.DUMMYFUNCTION("""COMPUTED_VALUE"""),"https://www.tiktok.com/@kitaberduaid")</f>
        <v>https://www.tiktok.com/@kitaberduaid</v>
      </c>
      <c r="D1059" s="272">
        <f>IFERROR(__xludf.DUMMYFUNCTION("""COMPUTED_VALUE"""),8.5736989244E10)</f>
        <v>85736989244</v>
      </c>
      <c r="E1059" s="458">
        <f>IFERROR(__xludf.DUMMYFUNCTION("""COMPUTED_VALUE"""),0.0)</f>
        <v>0</v>
      </c>
      <c r="F1059" s="273">
        <f>IFERROR(__xludf.DUMMYFUNCTION("""COMPUTED_VALUE"""),4.0)</f>
        <v>4</v>
      </c>
      <c r="G1059" t="str">
        <f>IFERROR(__xludf.DUMMYFUNCTION("""COMPUTED_VALUE"""),"Full Set")</f>
        <v>Full Set</v>
      </c>
      <c r="I1059" s="12"/>
      <c r="J1059" s="12"/>
      <c r="K1059" s="12"/>
      <c r="L1059" s="12"/>
      <c r="M1059" s="12"/>
    </row>
    <row r="1060">
      <c r="A1060" s="282" t="str">
        <f>IFERROR(__xludf.DUMMYFUNCTION("""COMPUTED_VALUE"""),"MICRO")</f>
        <v>MICRO</v>
      </c>
      <c r="B1060" s="272" t="str">
        <f>IFERROR(__xludf.DUMMYFUNCTION("""COMPUTED_VALUE"""),"dpitaaa6_")</f>
        <v>dpitaaa6_</v>
      </c>
      <c r="C1060" s="283" t="str">
        <f>IFERROR(__xludf.DUMMYFUNCTION("""COMPUTED_VALUE"""),"https://www.tiktok.com/@dpitaaa6_")</f>
        <v>https://www.tiktok.com/@dpitaaa6_</v>
      </c>
      <c r="D1060" s="272">
        <f>IFERROR(__xludf.DUMMYFUNCTION("""COMPUTED_VALUE"""),8.3163033024E10)</f>
        <v>83163033024</v>
      </c>
      <c r="E1060" s="458">
        <f>IFERROR(__xludf.DUMMYFUNCTION("""COMPUTED_VALUE"""),0.0)</f>
        <v>0</v>
      </c>
      <c r="F1060" s="273">
        <f>IFERROR(__xludf.DUMMYFUNCTION("""COMPUTED_VALUE"""),4.0)</f>
        <v>4</v>
      </c>
      <c r="G1060" t="str">
        <f>IFERROR(__xludf.DUMMYFUNCTION("""COMPUTED_VALUE"""),"Full Set")</f>
        <v>Full Set</v>
      </c>
      <c r="I1060" s="12"/>
      <c r="J1060" s="12"/>
      <c r="K1060" s="12"/>
      <c r="L1060" s="12"/>
      <c r="M1060" s="12"/>
    </row>
    <row r="1061">
      <c r="A1061" s="282" t="str">
        <f>IFERROR(__xludf.DUMMYFUNCTION("""COMPUTED_VALUE"""),"NANO")</f>
        <v>NANO</v>
      </c>
      <c r="B1061" s="272" t="str">
        <f>IFERROR(__xludf.DUMMYFUNCTION("""COMPUTED_VALUE"""),"meilindawdr")</f>
        <v>meilindawdr</v>
      </c>
      <c r="C1061" s="283" t="str">
        <f>IFERROR(__xludf.DUMMYFUNCTION("""COMPUTED_VALUE"""),"https://www.tiktok.com/@meilindawdr")</f>
        <v>https://www.tiktok.com/@meilindawdr</v>
      </c>
      <c r="D1061" s="272">
        <f>IFERROR(__xludf.DUMMYFUNCTION("""COMPUTED_VALUE"""),8.1217783108E10)</f>
        <v>81217783108</v>
      </c>
      <c r="E1061" s="458">
        <f>IFERROR(__xludf.DUMMYFUNCTION("""COMPUTED_VALUE"""),0.0)</f>
        <v>0</v>
      </c>
      <c r="F1061" s="273">
        <f>IFERROR(__xludf.DUMMYFUNCTION("""COMPUTED_VALUE"""),4.0)</f>
        <v>4</v>
      </c>
      <c r="G1061" t="str">
        <f>IFERROR(__xludf.DUMMYFUNCTION("""COMPUTED_VALUE"""),"Full Set")</f>
        <v>Full Set</v>
      </c>
      <c r="I1061" s="12"/>
      <c r="J1061" s="12"/>
      <c r="K1061" s="12"/>
      <c r="L1061" s="12"/>
      <c r="M1061" s="12"/>
    </row>
    <row r="1062">
      <c r="A1062" s="282" t="str">
        <f>IFERROR(__xludf.DUMMYFUNCTION("""COMPUTED_VALUE"""),"NANO")</f>
        <v>NANO</v>
      </c>
      <c r="B1062" s="272" t="str">
        <f>IFERROR(__xludf.DUMMYFUNCTION("""COMPUTED_VALUE"""),"xzlfzhrz")</f>
        <v>xzlfzhrz</v>
      </c>
      <c r="C1062" s="283" t="str">
        <f>IFERROR(__xludf.DUMMYFUNCTION("""COMPUTED_VALUE"""),"https://www.tiktok.com/@xzlfzhrz")</f>
        <v>https://www.tiktok.com/@xzlfzhrz</v>
      </c>
      <c r="D1062" s="272">
        <f>IFERROR(__xludf.DUMMYFUNCTION("""COMPUTED_VALUE"""),8.1520306346E10)</f>
        <v>81520306346</v>
      </c>
      <c r="E1062" s="458">
        <f>IFERROR(__xludf.DUMMYFUNCTION("""COMPUTED_VALUE"""),0.0)</f>
        <v>0</v>
      </c>
      <c r="F1062" s="273">
        <f>IFERROR(__xludf.DUMMYFUNCTION("""COMPUTED_VALUE"""),4.0)</f>
        <v>4</v>
      </c>
      <c r="G1062" t="str">
        <f>IFERROR(__xludf.DUMMYFUNCTION("""COMPUTED_VALUE"""),"Full Set")</f>
        <v>Full Set</v>
      </c>
      <c r="I1062" s="12"/>
      <c r="J1062" s="12"/>
      <c r="K1062" s="12"/>
      <c r="L1062" s="12"/>
      <c r="M1062" s="12"/>
    </row>
    <row r="1063">
      <c r="A1063" s="282" t="str">
        <f>IFERROR(__xludf.DUMMYFUNCTION("""COMPUTED_VALUE"""),"NANO")</f>
        <v>NANO</v>
      </c>
      <c r="B1063" s="272" t="str">
        <f>IFERROR(__xludf.DUMMYFUNCTION("""COMPUTED_VALUE"""),"mowyowo")</f>
        <v>mowyowo</v>
      </c>
      <c r="C1063" s="283" t="str">
        <f>IFERROR(__xludf.DUMMYFUNCTION("""COMPUTED_VALUE"""),"https://www.tiktok.com/@mowyowo")</f>
        <v>https://www.tiktok.com/@mowyowo</v>
      </c>
      <c r="D1063" s="272">
        <f>IFERROR(__xludf.DUMMYFUNCTION("""COMPUTED_VALUE"""),8.5191080197E10)</f>
        <v>85191080197</v>
      </c>
      <c r="E1063" s="458">
        <f>IFERROR(__xludf.DUMMYFUNCTION("""COMPUTED_VALUE"""),0.0)</f>
        <v>0</v>
      </c>
      <c r="F1063" s="273">
        <f>IFERROR(__xludf.DUMMYFUNCTION("""COMPUTED_VALUE"""),4.0)</f>
        <v>4</v>
      </c>
      <c r="G1063" t="str">
        <f>IFERROR(__xludf.DUMMYFUNCTION("""COMPUTED_VALUE"""),"Full Set")</f>
        <v>Full Set</v>
      </c>
      <c r="I1063" s="12"/>
      <c r="J1063" s="12"/>
      <c r="K1063" s="12"/>
      <c r="L1063" s="12"/>
      <c r="M1063" s="12"/>
    </row>
    <row r="1064">
      <c r="A1064" s="282" t="str">
        <f>IFERROR(__xludf.DUMMYFUNCTION("""COMPUTED_VALUE"""),"NANO")</f>
        <v>NANO</v>
      </c>
      <c r="B1064" s="272" t="str">
        <f>IFERROR(__xludf.DUMMYFUNCTION("""COMPUTED_VALUE"""),"lutfinurdiyana24")</f>
        <v>lutfinurdiyana24</v>
      </c>
      <c r="C1064" s="283" t="str">
        <f>IFERROR(__xludf.DUMMYFUNCTION("""COMPUTED_VALUE"""),"https://www.tiktok.com/@lutfinurdiyana24")</f>
        <v>https://www.tiktok.com/@lutfinurdiyana24</v>
      </c>
      <c r="D1064" s="272">
        <f>IFERROR(__xludf.DUMMYFUNCTION("""COMPUTED_VALUE"""),8.95602211481E11)</f>
        <v>895602211481</v>
      </c>
      <c r="E1064" s="458">
        <f>IFERROR(__xludf.DUMMYFUNCTION("""COMPUTED_VALUE"""),0.0)</f>
        <v>0</v>
      </c>
      <c r="F1064" s="273">
        <f>IFERROR(__xludf.DUMMYFUNCTION("""COMPUTED_VALUE"""),4.0)</f>
        <v>4</v>
      </c>
      <c r="G1064" t="str">
        <f>IFERROR(__xludf.DUMMYFUNCTION("""COMPUTED_VALUE"""),"Full Set")</f>
        <v>Full Set</v>
      </c>
      <c r="I1064" s="12"/>
      <c r="J1064" s="12"/>
      <c r="K1064" s="12"/>
      <c r="L1064" s="12"/>
      <c r="M1064" s="12"/>
    </row>
    <row r="1065">
      <c r="A1065" s="282" t="str">
        <f>IFERROR(__xludf.DUMMYFUNCTION("""COMPUTED_VALUE"""),"NANO")</f>
        <v>NANO</v>
      </c>
      <c r="B1065" s="272" t="str">
        <f>IFERROR(__xludf.DUMMYFUNCTION("""COMPUTED_VALUE"""),"aanisanss")</f>
        <v>aanisanss</v>
      </c>
      <c r="C1065" s="283" t="str">
        <f>IFERROR(__xludf.DUMMYFUNCTION("""COMPUTED_VALUE"""),"https://www.tiktok.com/@aanisanss")</f>
        <v>https://www.tiktok.com/@aanisanss</v>
      </c>
      <c r="D1065" s="272">
        <f>IFERROR(__xludf.DUMMYFUNCTION("""COMPUTED_VALUE"""),8.585348559E10)</f>
        <v>85853485590</v>
      </c>
      <c r="E1065" s="458">
        <f>IFERROR(__xludf.DUMMYFUNCTION("""COMPUTED_VALUE"""),0.0)</f>
        <v>0</v>
      </c>
      <c r="F1065" s="273">
        <f>IFERROR(__xludf.DUMMYFUNCTION("""COMPUTED_VALUE"""),4.0)</f>
        <v>4</v>
      </c>
      <c r="G1065" t="str">
        <f>IFERROR(__xludf.DUMMYFUNCTION("""COMPUTED_VALUE"""),"Full Set")</f>
        <v>Full Set</v>
      </c>
      <c r="I1065" s="12"/>
      <c r="J1065" s="12"/>
      <c r="K1065" s="12"/>
      <c r="L1065" s="12"/>
      <c r="M1065" s="12"/>
    </row>
    <row r="1066">
      <c r="A1066" s="282" t="str">
        <f>IFERROR(__xludf.DUMMYFUNCTION("""COMPUTED_VALUE"""),"NANO")</f>
        <v>NANO</v>
      </c>
      <c r="B1066" s="272" t="str">
        <f>IFERROR(__xludf.DUMMYFUNCTION("""COMPUTED_VALUE"""),"anotherchumai")</f>
        <v>anotherchumai</v>
      </c>
      <c r="C1066" s="283" t="str">
        <f>IFERROR(__xludf.DUMMYFUNCTION("""COMPUTED_VALUE"""),"https://www.tiktok.com/@anotherchumai")</f>
        <v>https://www.tiktok.com/@anotherchumai</v>
      </c>
      <c r="D1066" s="272">
        <f>IFERROR(__xludf.DUMMYFUNCTION("""COMPUTED_VALUE"""),8.5777105895E10)</f>
        <v>85777105895</v>
      </c>
      <c r="E1066" s="458">
        <f>IFERROR(__xludf.DUMMYFUNCTION("""COMPUTED_VALUE"""),0.0)</f>
        <v>0</v>
      </c>
      <c r="F1066" s="273">
        <f>IFERROR(__xludf.DUMMYFUNCTION("""COMPUTED_VALUE"""),4.0)</f>
        <v>4</v>
      </c>
      <c r="G1066" t="str">
        <f>IFERROR(__xludf.DUMMYFUNCTION("""COMPUTED_VALUE"""),"Full Set")</f>
        <v>Full Set</v>
      </c>
      <c r="I1066" s="12"/>
      <c r="J1066" s="12"/>
      <c r="K1066" s="12"/>
      <c r="L1066" s="12"/>
      <c r="M1066" s="12"/>
    </row>
    <row r="1067">
      <c r="A1067" s="282" t="str">
        <f>IFERROR(__xludf.DUMMYFUNCTION("""COMPUTED_VALUE"""),"NANO")</f>
        <v>NANO</v>
      </c>
      <c r="B1067" s="272" t="str">
        <f>IFERROR(__xludf.DUMMYFUNCTION("""COMPUTED_VALUE"""),"adindapsta_")</f>
        <v>adindapsta_</v>
      </c>
      <c r="C1067" s="283" t="str">
        <f>IFERROR(__xludf.DUMMYFUNCTION("""COMPUTED_VALUE"""),"https://www.tiktok.com/@adindapsta_")</f>
        <v>https://www.tiktok.com/@adindapsta_</v>
      </c>
      <c r="D1067" s="272">
        <f>IFERROR(__xludf.DUMMYFUNCTION("""COMPUTED_VALUE"""),8.5385934997E10)</f>
        <v>85385934997</v>
      </c>
      <c r="E1067" s="458">
        <f>IFERROR(__xludf.DUMMYFUNCTION("""COMPUTED_VALUE"""),0.0)</f>
        <v>0</v>
      </c>
      <c r="F1067" s="273">
        <f>IFERROR(__xludf.DUMMYFUNCTION("""COMPUTED_VALUE"""),4.0)</f>
        <v>4</v>
      </c>
      <c r="G1067" t="str">
        <f>IFERROR(__xludf.DUMMYFUNCTION("""COMPUTED_VALUE"""),"Full Set")</f>
        <v>Full Set</v>
      </c>
      <c r="I1067" s="12"/>
      <c r="J1067" s="12"/>
      <c r="K1067" s="12"/>
      <c r="L1067" s="12"/>
      <c r="M1067" s="12"/>
    </row>
    <row r="1068">
      <c r="A1068" s="282" t="str">
        <f>IFERROR(__xludf.DUMMYFUNCTION("""COMPUTED_VALUE"""),"NANO")</f>
        <v>NANO</v>
      </c>
      <c r="B1068" s="272" t="str">
        <f>IFERROR(__xludf.DUMMYFUNCTION("""COMPUTED_VALUE"""),"tyaa0226")</f>
        <v>tyaa0226</v>
      </c>
      <c r="C1068" s="283" t="str">
        <f>IFERROR(__xludf.DUMMYFUNCTION("""COMPUTED_VALUE"""),"https://www.tiktok.com/@tyaa0226")</f>
        <v>https://www.tiktok.com/@tyaa0226</v>
      </c>
      <c r="D1068" s="272">
        <f>IFERROR(__xludf.DUMMYFUNCTION("""COMPUTED_VALUE"""),8.7859326797E10)</f>
        <v>87859326797</v>
      </c>
      <c r="E1068" s="458">
        <f>IFERROR(__xludf.DUMMYFUNCTION("""COMPUTED_VALUE"""),0.0)</f>
        <v>0</v>
      </c>
      <c r="F1068" s="273">
        <f>IFERROR(__xludf.DUMMYFUNCTION("""COMPUTED_VALUE"""),4.0)</f>
        <v>4</v>
      </c>
      <c r="G1068" t="str">
        <f>IFERROR(__xludf.DUMMYFUNCTION("""COMPUTED_VALUE"""),"Full Set")</f>
        <v>Full Set</v>
      </c>
      <c r="I1068" s="12"/>
      <c r="J1068" s="12"/>
      <c r="K1068" s="12"/>
      <c r="L1068" s="12"/>
      <c r="M1068" s="12"/>
    </row>
    <row r="1069">
      <c r="A1069" s="282" t="str">
        <f>IFERROR(__xludf.DUMMYFUNCTION("""COMPUTED_VALUE"""),"NANO")</f>
        <v>NANO</v>
      </c>
      <c r="B1069" s="272" t="str">
        <f>IFERROR(__xludf.DUMMYFUNCTION("""COMPUTED_VALUE"""),"milkypukatt")</f>
        <v>milkypukatt</v>
      </c>
      <c r="C1069" s="283" t="str">
        <f>IFERROR(__xludf.DUMMYFUNCTION("""COMPUTED_VALUE"""),"https://www.tiktok.com/@milkypukatt")</f>
        <v>https://www.tiktok.com/@milkypukatt</v>
      </c>
      <c r="D1069" s="272">
        <f>IFERROR(__xludf.DUMMYFUNCTION("""COMPUTED_VALUE"""),8.81904137E9)</f>
        <v>8819041370</v>
      </c>
      <c r="E1069" s="458">
        <f>IFERROR(__xludf.DUMMYFUNCTION("""COMPUTED_VALUE"""),0.0)</f>
        <v>0</v>
      </c>
      <c r="F1069" s="273">
        <f>IFERROR(__xludf.DUMMYFUNCTION("""COMPUTED_VALUE"""),4.0)</f>
        <v>4</v>
      </c>
      <c r="G1069" t="str">
        <f>IFERROR(__xludf.DUMMYFUNCTION("""COMPUTED_VALUE"""),"Full Set")</f>
        <v>Full Set</v>
      </c>
      <c r="I1069" s="12"/>
      <c r="J1069" s="12"/>
      <c r="K1069" s="12"/>
      <c r="L1069" s="12"/>
      <c r="M1069" s="12"/>
    </row>
    <row r="1070">
      <c r="A1070" s="282" t="str">
        <f>IFERROR(__xludf.DUMMYFUNCTION("""COMPUTED_VALUE"""),"NANO")</f>
        <v>NANO</v>
      </c>
      <c r="B1070" s="272" t="str">
        <f>IFERROR(__xludf.DUMMYFUNCTION("""COMPUTED_VALUE"""),"nenyyrr_")</f>
        <v>nenyyrr_</v>
      </c>
      <c r="C1070" s="283" t="str">
        <f>IFERROR(__xludf.DUMMYFUNCTION("""COMPUTED_VALUE"""),"https://www.tiktok.com/@nenyyrr_")</f>
        <v>https://www.tiktok.com/@nenyyrr_</v>
      </c>
      <c r="D1070" s="272">
        <f>IFERROR(__xludf.DUMMYFUNCTION("""COMPUTED_VALUE"""),8.8227949429E10)</f>
        <v>88227949429</v>
      </c>
      <c r="E1070" s="458">
        <f>IFERROR(__xludf.DUMMYFUNCTION("""COMPUTED_VALUE"""),0.0)</f>
        <v>0</v>
      </c>
      <c r="F1070" s="273">
        <f>IFERROR(__xludf.DUMMYFUNCTION("""COMPUTED_VALUE"""),4.0)</f>
        <v>4</v>
      </c>
      <c r="G1070" t="str">
        <f>IFERROR(__xludf.DUMMYFUNCTION("""COMPUTED_VALUE"""),"Full Set")</f>
        <v>Full Set</v>
      </c>
      <c r="I1070" s="12"/>
      <c r="J1070" s="12"/>
      <c r="K1070" s="12"/>
      <c r="L1070" s="12"/>
      <c r="M1070" s="12"/>
    </row>
    <row r="1071">
      <c r="A1071" s="282" t="str">
        <f>IFERROR(__xludf.DUMMYFUNCTION("""COMPUTED_VALUE"""),"NANO")</f>
        <v>NANO</v>
      </c>
      <c r="B1071" s="272" t="str">
        <f>IFERROR(__xludf.DUMMYFUNCTION("""COMPUTED_VALUE"""),"Hdyyh07")</f>
        <v>Hdyyh07</v>
      </c>
      <c r="C1071" s="283" t="str">
        <f>IFERROR(__xludf.DUMMYFUNCTION("""COMPUTED_VALUE"""),"https://www.tiktok.com/@Hdyyh07")</f>
        <v>https://www.tiktok.com/@Hdyyh07</v>
      </c>
      <c r="D1071" s="272">
        <f>IFERROR(__xludf.DUMMYFUNCTION("""COMPUTED_VALUE"""),8.534896917E10)</f>
        <v>85348969170</v>
      </c>
      <c r="E1071" s="458">
        <f>IFERROR(__xludf.DUMMYFUNCTION("""COMPUTED_VALUE"""),0.0)</f>
        <v>0</v>
      </c>
      <c r="F1071" s="273">
        <f>IFERROR(__xludf.DUMMYFUNCTION("""COMPUTED_VALUE"""),4.0)</f>
        <v>4</v>
      </c>
      <c r="G1071" t="str">
        <f>IFERROR(__xludf.DUMMYFUNCTION("""COMPUTED_VALUE"""),"Full Set")</f>
        <v>Full Set</v>
      </c>
      <c r="I1071" s="12"/>
      <c r="J1071" s="12"/>
      <c r="K1071" s="12"/>
      <c r="L1071" s="12"/>
      <c r="M1071" s="12"/>
    </row>
    <row r="1072">
      <c r="A1072" s="282" t="str">
        <f>IFERROR(__xludf.DUMMYFUNCTION("""COMPUTED_VALUE"""),"NANO")</f>
        <v>NANO</v>
      </c>
      <c r="B1072" s="272" t="str">
        <f>IFERROR(__xludf.DUMMYFUNCTION("""COMPUTED_VALUE"""),"ecagmess")</f>
        <v>ecagmess</v>
      </c>
      <c r="C1072" s="283" t="str">
        <f>IFERROR(__xludf.DUMMYFUNCTION("""COMPUTED_VALUE"""),"https://www.tiktok.com/@ecagmess")</f>
        <v>https://www.tiktok.com/@ecagmess</v>
      </c>
      <c r="D1072" s="272">
        <f>IFERROR(__xludf.DUMMYFUNCTION("""COMPUTED_VALUE"""),8.9534494668E10)</f>
        <v>89534494668</v>
      </c>
      <c r="E1072" s="458">
        <f>IFERROR(__xludf.DUMMYFUNCTION("""COMPUTED_VALUE"""),0.0)</f>
        <v>0</v>
      </c>
      <c r="F1072" s="273">
        <f>IFERROR(__xludf.DUMMYFUNCTION("""COMPUTED_VALUE"""),4.0)</f>
        <v>4</v>
      </c>
      <c r="G1072" t="str">
        <f>IFERROR(__xludf.DUMMYFUNCTION("""COMPUTED_VALUE"""),"Full Set")</f>
        <v>Full Set</v>
      </c>
      <c r="I1072" s="12"/>
      <c r="J1072" s="12"/>
      <c r="K1072" s="12"/>
      <c r="L1072" s="12"/>
      <c r="M1072" s="12"/>
    </row>
    <row r="1073">
      <c r="A1073" s="282" t="str">
        <f>IFERROR(__xludf.DUMMYFUNCTION("""COMPUTED_VALUE"""),"NANO")</f>
        <v>NANO</v>
      </c>
      <c r="B1073" s="272" t="str">
        <f>IFERROR(__xludf.DUMMYFUNCTION("""COMPUTED_VALUE"""),"ngeselinbangetsi")</f>
        <v>ngeselinbangetsi</v>
      </c>
      <c r="C1073" s="283" t="str">
        <f>IFERROR(__xludf.DUMMYFUNCTION("""COMPUTED_VALUE"""),"https://www.tiktok.com/@ngeselinbangetsi")</f>
        <v>https://www.tiktok.com/@ngeselinbangetsi</v>
      </c>
      <c r="D1073" s="272">
        <f>IFERROR(__xludf.DUMMYFUNCTION("""COMPUTED_VALUE"""),8.8808687267E10)</f>
        <v>88808687267</v>
      </c>
      <c r="E1073" s="458">
        <f>IFERROR(__xludf.DUMMYFUNCTION("""COMPUTED_VALUE"""),0.0)</f>
        <v>0</v>
      </c>
      <c r="F1073" s="273">
        <f>IFERROR(__xludf.DUMMYFUNCTION("""COMPUTED_VALUE"""),4.0)</f>
        <v>4</v>
      </c>
      <c r="G1073" t="str">
        <f>IFERROR(__xludf.DUMMYFUNCTION("""COMPUTED_VALUE"""),"Full Set")</f>
        <v>Full Set</v>
      </c>
      <c r="I1073" s="12"/>
      <c r="J1073" s="12"/>
      <c r="K1073" s="12"/>
      <c r="L1073" s="12"/>
      <c r="M1073" s="12"/>
    </row>
    <row r="1074">
      <c r="A1074" s="282" t="str">
        <f>IFERROR(__xludf.DUMMYFUNCTION("""COMPUTED_VALUE"""),"NANO")</f>
        <v>NANO</v>
      </c>
      <c r="B1074" s="272" t="str">
        <f>IFERROR(__xludf.DUMMYFUNCTION("""COMPUTED_VALUE"""),"yalaamee_")</f>
        <v>yalaamee_</v>
      </c>
      <c r="C1074" s="283" t="str">
        <f>IFERROR(__xludf.DUMMYFUNCTION("""COMPUTED_VALUE"""),"https://www.tiktok.com/@yalaamee_")</f>
        <v>https://www.tiktok.com/@yalaamee_</v>
      </c>
      <c r="D1074" s="272">
        <f>IFERROR(__xludf.DUMMYFUNCTION("""COMPUTED_VALUE"""),8.3871566169E10)</f>
        <v>83871566169</v>
      </c>
      <c r="E1074" s="458">
        <f>IFERROR(__xludf.DUMMYFUNCTION("""COMPUTED_VALUE"""),0.0)</f>
        <v>0</v>
      </c>
      <c r="F1074" s="273">
        <f>IFERROR(__xludf.DUMMYFUNCTION("""COMPUTED_VALUE"""),4.0)</f>
        <v>4</v>
      </c>
      <c r="G1074" t="str">
        <f>IFERROR(__xludf.DUMMYFUNCTION("""COMPUTED_VALUE"""),"Full Set")</f>
        <v>Full Set</v>
      </c>
      <c r="I1074" s="12"/>
      <c r="J1074" s="12"/>
      <c r="K1074" s="12"/>
      <c r="L1074" s="12"/>
      <c r="M1074" s="12"/>
    </row>
    <row r="1075">
      <c r="A1075" s="282" t="str">
        <f>IFERROR(__xludf.DUMMYFUNCTION("""COMPUTED_VALUE"""),"NANO")</f>
        <v>NANO</v>
      </c>
      <c r="B1075" s="272" t="str">
        <f>IFERROR(__xludf.DUMMYFUNCTION("""COMPUTED_VALUE"""),"liaaahanii")</f>
        <v>liaaahanii</v>
      </c>
      <c r="C1075" s="283" t="str">
        <f>IFERROR(__xludf.DUMMYFUNCTION("""COMPUTED_VALUE"""),"https://www.tiktok.com/@liaaahanii")</f>
        <v>https://www.tiktok.com/@liaaahanii</v>
      </c>
      <c r="D1075" s="272">
        <f>IFERROR(__xludf.DUMMYFUNCTION("""COMPUTED_VALUE"""),8.1564771573E10)</f>
        <v>81564771573</v>
      </c>
      <c r="E1075" s="458">
        <f>IFERROR(__xludf.DUMMYFUNCTION("""COMPUTED_VALUE"""),0.0)</f>
        <v>0</v>
      </c>
      <c r="F1075" s="273">
        <f>IFERROR(__xludf.DUMMYFUNCTION("""COMPUTED_VALUE"""),4.0)</f>
        <v>4</v>
      </c>
      <c r="G1075" t="str">
        <f>IFERROR(__xludf.DUMMYFUNCTION("""COMPUTED_VALUE"""),"Full Set")</f>
        <v>Full Set</v>
      </c>
      <c r="I1075" s="12"/>
      <c r="J1075" s="12"/>
      <c r="K1075" s="12"/>
      <c r="L1075" s="12"/>
      <c r="M1075" s="12"/>
    </row>
    <row r="1076">
      <c r="A1076" s="282" t="str">
        <f>IFERROR(__xludf.DUMMYFUNCTION("""COMPUTED_VALUE"""),"NANO")</f>
        <v>NANO</v>
      </c>
      <c r="B1076" s="272" t="str">
        <f>IFERROR(__xludf.DUMMYFUNCTION("""COMPUTED_VALUE"""),"_virgo.r8")</f>
        <v>_virgo.r8</v>
      </c>
      <c r="C1076" s="283" t="str">
        <f>IFERROR(__xludf.DUMMYFUNCTION("""COMPUTED_VALUE"""),"https://www.tiktok.com/@_virgo.r8")</f>
        <v>https://www.tiktok.com/@_virgo.r8</v>
      </c>
      <c r="D1076" s="272">
        <f>IFERROR(__xludf.DUMMYFUNCTION("""COMPUTED_VALUE"""),8.5182474023E10)</f>
        <v>85182474023</v>
      </c>
      <c r="E1076" s="458">
        <f>IFERROR(__xludf.DUMMYFUNCTION("""COMPUTED_VALUE"""),0.0)</f>
        <v>0</v>
      </c>
      <c r="F1076" s="273">
        <f>IFERROR(__xludf.DUMMYFUNCTION("""COMPUTED_VALUE"""),4.0)</f>
        <v>4</v>
      </c>
      <c r="G1076" t="str">
        <f>IFERROR(__xludf.DUMMYFUNCTION("""COMPUTED_VALUE"""),"Full Set")</f>
        <v>Full Set</v>
      </c>
      <c r="I1076" s="12"/>
      <c r="J1076" s="12"/>
      <c r="K1076" s="12"/>
      <c r="L1076" s="12"/>
      <c r="M1076" s="12"/>
    </row>
    <row r="1077">
      <c r="A1077" s="282" t="str">
        <f>IFERROR(__xludf.DUMMYFUNCTION("""COMPUTED_VALUE"""),"NANO")</f>
        <v>NANO</v>
      </c>
      <c r="B1077" s="272" t="str">
        <f>IFERROR(__xludf.DUMMYFUNCTION("""COMPUTED_VALUE"""),"ciatciatciattt")</f>
        <v>ciatciatciattt</v>
      </c>
      <c r="C1077" s="283" t="str">
        <f>IFERROR(__xludf.DUMMYFUNCTION("""COMPUTED_VALUE"""),"https://www.tiktok.com/@ciatciatciattt")</f>
        <v>https://www.tiktok.com/@ciatciatciattt</v>
      </c>
      <c r="D1077" s="272">
        <f>IFERROR(__xludf.DUMMYFUNCTION("""COMPUTED_VALUE"""),8.3871596769E10)</f>
        <v>83871596769</v>
      </c>
      <c r="E1077" s="458">
        <f>IFERROR(__xludf.DUMMYFUNCTION("""COMPUTED_VALUE"""),0.0)</f>
        <v>0</v>
      </c>
      <c r="F1077" s="273">
        <f>IFERROR(__xludf.DUMMYFUNCTION("""COMPUTED_VALUE"""),4.0)</f>
        <v>4</v>
      </c>
      <c r="G1077" t="str">
        <f>IFERROR(__xludf.DUMMYFUNCTION("""COMPUTED_VALUE"""),"Full Set")</f>
        <v>Full Set</v>
      </c>
      <c r="I1077" s="12"/>
      <c r="J1077" s="12"/>
      <c r="K1077" s="12"/>
      <c r="L1077" s="12"/>
      <c r="M1077" s="12"/>
    </row>
    <row r="1078">
      <c r="A1078" s="282" t="str">
        <f>IFERROR(__xludf.DUMMYFUNCTION("""COMPUTED_VALUE"""),"NANO")</f>
        <v>NANO</v>
      </c>
      <c r="B1078" s="272" t="str">
        <f>IFERROR(__xludf.DUMMYFUNCTION("""COMPUTED_VALUE"""),"cici_kabnani")</f>
        <v>cici_kabnani</v>
      </c>
      <c r="C1078" s="283" t="str">
        <f>IFERROR(__xludf.DUMMYFUNCTION("""COMPUTED_VALUE"""),"https://www.tiktok.com/@cici_kabnani")</f>
        <v>https://www.tiktok.com/@cici_kabnani</v>
      </c>
      <c r="D1078" s="272">
        <f>IFERROR(__xludf.DUMMYFUNCTION("""COMPUTED_VALUE"""),8.5134421295E10)</f>
        <v>85134421295</v>
      </c>
      <c r="E1078" s="458">
        <f>IFERROR(__xludf.DUMMYFUNCTION("""COMPUTED_VALUE"""),0.0)</f>
        <v>0</v>
      </c>
      <c r="F1078" s="273">
        <f>IFERROR(__xludf.DUMMYFUNCTION("""COMPUTED_VALUE"""),4.0)</f>
        <v>4</v>
      </c>
      <c r="G1078" t="str">
        <f>IFERROR(__xludf.DUMMYFUNCTION("""COMPUTED_VALUE"""),"Full Set")</f>
        <v>Full Set</v>
      </c>
      <c r="I1078" s="12"/>
      <c r="J1078" s="12"/>
      <c r="K1078" s="12"/>
      <c r="L1078" s="12"/>
      <c r="M1078" s="12"/>
    </row>
    <row r="1079">
      <c r="A1079" s="282" t="str">
        <f>IFERROR(__xludf.DUMMYFUNCTION("""COMPUTED_VALUE"""),"NANO")</f>
        <v>NANO</v>
      </c>
      <c r="B1079" s="272" t="str">
        <f>IFERROR(__xludf.DUMMYFUNCTION("""COMPUTED_VALUE"""),"amhrrr4")</f>
        <v>amhrrr4</v>
      </c>
      <c r="C1079" s="283" t="str">
        <f>IFERROR(__xludf.DUMMYFUNCTION("""COMPUTED_VALUE"""),"https://www.tiktok.com/@amhrrr4")</f>
        <v>https://www.tiktok.com/@amhrrr4</v>
      </c>
      <c r="D1079" s="272">
        <f>IFERROR(__xludf.DUMMYFUNCTION("""COMPUTED_VALUE"""),8.2144015384E10)</f>
        <v>82144015384</v>
      </c>
      <c r="E1079" s="458">
        <f>IFERROR(__xludf.DUMMYFUNCTION("""COMPUTED_VALUE"""),0.0)</f>
        <v>0</v>
      </c>
      <c r="F1079" s="273">
        <f>IFERROR(__xludf.DUMMYFUNCTION("""COMPUTED_VALUE"""),4.0)</f>
        <v>4</v>
      </c>
      <c r="G1079" t="str">
        <f>IFERROR(__xludf.DUMMYFUNCTION("""COMPUTED_VALUE"""),"Full Set")</f>
        <v>Full Set</v>
      </c>
      <c r="I1079" s="12"/>
      <c r="J1079" s="12"/>
      <c r="K1079" s="12"/>
      <c r="L1079" s="12"/>
      <c r="M1079" s="12"/>
    </row>
    <row r="1080">
      <c r="A1080" s="282" t="str">
        <f>IFERROR(__xludf.DUMMYFUNCTION("""COMPUTED_VALUE"""),"NANO")</f>
        <v>NANO</v>
      </c>
      <c r="B1080" s="272" t="str">
        <f>IFERROR(__xludf.DUMMYFUNCTION("""COMPUTED_VALUE"""),"Avrlnda_")</f>
        <v>Avrlnda_</v>
      </c>
      <c r="C1080" s="283" t="str">
        <f>IFERROR(__xludf.DUMMYFUNCTION("""COMPUTED_VALUE"""),"https://www.tiktok.com/@Avrlnda_")</f>
        <v>https://www.tiktok.com/@Avrlnda_</v>
      </c>
      <c r="D1080" s="272">
        <f>IFERROR(__xludf.DUMMYFUNCTION("""COMPUTED_VALUE"""),8.5782466219E10)</f>
        <v>85782466219</v>
      </c>
      <c r="E1080" s="458">
        <f>IFERROR(__xludf.DUMMYFUNCTION("""COMPUTED_VALUE"""),0.0)</f>
        <v>0</v>
      </c>
      <c r="F1080" s="273">
        <f>IFERROR(__xludf.DUMMYFUNCTION("""COMPUTED_VALUE"""),4.0)</f>
        <v>4</v>
      </c>
      <c r="G1080" t="str">
        <f>IFERROR(__xludf.DUMMYFUNCTION("""COMPUTED_VALUE"""),"Full Set")</f>
        <v>Full Set</v>
      </c>
      <c r="I1080" s="12"/>
      <c r="J1080" s="12"/>
      <c r="K1080" s="12"/>
      <c r="L1080" s="12"/>
      <c r="M1080" s="12"/>
    </row>
    <row r="1081">
      <c r="A1081" s="282" t="str">
        <f>IFERROR(__xludf.DUMMYFUNCTION("""COMPUTED_VALUE"""),"NANO")</f>
        <v>NANO</v>
      </c>
      <c r="B1081" s="272" t="str">
        <f>IFERROR(__xludf.DUMMYFUNCTION("""COMPUTED_VALUE"""),"rosalindaod_")</f>
        <v>rosalindaod_</v>
      </c>
      <c r="C1081" s="283" t="str">
        <f>IFERROR(__xludf.DUMMYFUNCTION("""COMPUTED_VALUE"""),"https://www.tiktok.com/@rosalindaod_")</f>
        <v>https://www.tiktok.com/@rosalindaod_</v>
      </c>
      <c r="D1081" s="272">
        <f>IFERROR(__xludf.DUMMYFUNCTION("""COMPUTED_VALUE"""),8.1909414874E10)</f>
        <v>81909414874</v>
      </c>
      <c r="E1081" s="458">
        <f>IFERROR(__xludf.DUMMYFUNCTION("""COMPUTED_VALUE"""),0.0)</f>
        <v>0</v>
      </c>
      <c r="F1081" s="273">
        <f>IFERROR(__xludf.DUMMYFUNCTION("""COMPUTED_VALUE"""),4.0)</f>
        <v>4</v>
      </c>
      <c r="G1081" t="str">
        <f>IFERROR(__xludf.DUMMYFUNCTION("""COMPUTED_VALUE"""),"Full Set")</f>
        <v>Full Set</v>
      </c>
      <c r="I1081" s="12"/>
      <c r="J1081" s="12"/>
      <c r="K1081" s="12"/>
      <c r="L1081" s="12"/>
      <c r="M1081" s="12"/>
    </row>
    <row r="1082">
      <c r="A1082" s="282" t="str">
        <f>IFERROR(__xludf.DUMMYFUNCTION("""COMPUTED_VALUE"""),"NANO")</f>
        <v>NANO</v>
      </c>
      <c r="B1082" s="272" t="str">
        <f>IFERROR(__xludf.DUMMYFUNCTION("""COMPUTED_VALUE"""),"akdin_shop21")</f>
        <v>akdin_shop21</v>
      </c>
      <c r="C1082" s="283" t="str">
        <f>IFERROR(__xludf.DUMMYFUNCTION("""COMPUTED_VALUE"""),"https://www.tiktok.com/@akdin_shop21")</f>
        <v>https://www.tiktok.com/@akdin_shop21</v>
      </c>
      <c r="D1082" s="272">
        <f>IFERROR(__xludf.DUMMYFUNCTION("""COMPUTED_VALUE"""),8.2274508087E10)</f>
        <v>82274508087</v>
      </c>
      <c r="E1082" s="458">
        <f>IFERROR(__xludf.DUMMYFUNCTION("""COMPUTED_VALUE"""),0.0)</f>
        <v>0</v>
      </c>
      <c r="F1082" s="273">
        <f>IFERROR(__xludf.DUMMYFUNCTION("""COMPUTED_VALUE"""),4.0)</f>
        <v>4</v>
      </c>
      <c r="G1082" t="str">
        <f>IFERROR(__xludf.DUMMYFUNCTION("""COMPUTED_VALUE"""),"Full Set")</f>
        <v>Full Set</v>
      </c>
      <c r="I1082" s="12"/>
      <c r="J1082" s="12"/>
      <c r="K1082" s="12"/>
      <c r="L1082" s="12"/>
      <c r="M1082" s="12"/>
    </row>
    <row r="1083">
      <c r="A1083" s="282" t="str">
        <f>IFERROR(__xludf.DUMMYFUNCTION("""COMPUTED_VALUE"""),"NANO")</f>
        <v>NANO</v>
      </c>
      <c r="B1083" s="272" t="str">
        <f>IFERROR(__xludf.DUMMYFUNCTION("""COMPUTED_VALUE"""),"kyaaa.prameswari")</f>
        <v>kyaaa.prameswari</v>
      </c>
      <c r="C1083" s="283" t="str">
        <f>IFERROR(__xludf.DUMMYFUNCTION("""COMPUTED_VALUE"""),"https://www.tiktok.com/@kyaaa.prameswari")</f>
        <v>https://www.tiktok.com/@kyaaa.prameswari</v>
      </c>
      <c r="D1083" s="272">
        <f>IFERROR(__xludf.DUMMYFUNCTION("""COMPUTED_VALUE"""),8.5856814366E10)</f>
        <v>85856814366</v>
      </c>
      <c r="E1083" s="458">
        <f>IFERROR(__xludf.DUMMYFUNCTION("""COMPUTED_VALUE"""),0.0)</f>
        <v>0</v>
      </c>
      <c r="F1083" s="273">
        <f>IFERROR(__xludf.DUMMYFUNCTION("""COMPUTED_VALUE"""),4.0)</f>
        <v>4</v>
      </c>
      <c r="G1083" t="str">
        <f>IFERROR(__xludf.DUMMYFUNCTION("""COMPUTED_VALUE"""),"Full Set")</f>
        <v>Full Set</v>
      </c>
      <c r="I1083" s="12"/>
      <c r="J1083" s="12"/>
      <c r="K1083" s="12"/>
      <c r="L1083" s="12"/>
      <c r="M1083" s="12"/>
    </row>
    <row r="1084">
      <c r="A1084" s="282" t="str">
        <f>IFERROR(__xludf.DUMMYFUNCTION("""COMPUTED_VALUE"""),"NANO")</f>
        <v>NANO</v>
      </c>
      <c r="B1084" s="272" t="str">
        <f>IFERROR(__xludf.DUMMYFUNCTION("""COMPUTED_VALUE"""),"Diyaa1103")</f>
        <v>Diyaa1103</v>
      </c>
      <c r="C1084" s="283" t="str">
        <f>IFERROR(__xludf.DUMMYFUNCTION("""COMPUTED_VALUE"""),"https://www.tiktok.com/@Diyaa1103")</f>
        <v>https://www.tiktok.com/@Diyaa1103</v>
      </c>
      <c r="D1084" s="272">
        <f>IFERROR(__xludf.DUMMYFUNCTION("""COMPUTED_VALUE"""),8.2260585322E10)</f>
        <v>82260585322</v>
      </c>
      <c r="E1084" s="458">
        <f>IFERROR(__xludf.DUMMYFUNCTION("""COMPUTED_VALUE"""),0.0)</f>
        <v>0</v>
      </c>
      <c r="F1084" s="273">
        <f>IFERROR(__xludf.DUMMYFUNCTION("""COMPUTED_VALUE"""),4.0)</f>
        <v>4</v>
      </c>
      <c r="G1084" t="str">
        <f>IFERROR(__xludf.DUMMYFUNCTION("""COMPUTED_VALUE"""),"Full Set")</f>
        <v>Full Set</v>
      </c>
      <c r="I1084" s="12"/>
      <c r="J1084" s="12"/>
      <c r="K1084" s="12"/>
      <c r="L1084" s="12"/>
      <c r="M1084" s="12"/>
    </row>
    <row r="1085">
      <c r="A1085" s="282" t="str">
        <f>IFERROR(__xludf.DUMMYFUNCTION("""COMPUTED_VALUE"""),"NANO")</f>
        <v>NANO</v>
      </c>
      <c r="B1085" s="272" t="str">
        <f>IFERROR(__xludf.DUMMYFUNCTION("""COMPUTED_VALUE"""),"anisa_liana")</f>
        <v>anisa_liana</v>
      </c>
      <c r="C1085" s="283" t="str">
        <f>IFERROR(__xludf.DUMMYFUNCTION("""COMPUTED_VALUE"""),"https://www.tiktok.com/@anisa_liana")</f>
        <v>https://www.tiktok.com/@anisa_liana</v>
      </c>
      <c r="D1085" s="272">
        <f>IFERROR(__xludf.DUMMYFUNCTION("""COMPUTED_VALUE"""),8.5974547077E10)</f>
        <v>85974547077</v>
      </c>
      <c r="E1085" s="458">
        <f>IFERROR(__xludf.DUMMYFUNCTION("""COMPUTED_VALUE"""),0.0)</f>
        <v>0</v>
      </c>
      <c r="F1085" s="273">
        <f>IFERROR(__xludf.DUMMYFUNCTION("""COMPUTED_VALUE"""),4.0)</f>
        <v>4</v>
      </c>
      <c r="G1085" t="str">
        <f>IFERROR(__xludf.DUMMYFUNCTION("""COMPUTED_VALUE"""),"Full Set")</f>
        <v>Full Set</v>
      </c>
      <c r="I1085" s="12"/>
      <c r="J1085" s="12"/>
      <c r="K1085" s="12"/>
      <c r="L1085" s="12"/>
      <c r="M1085" s="12"/>
    </row>
    <row r="1086">
      <c r="A1086" s="282" t="str">
        <f>IFERROR(__xludf.DUMMYFUNCTION("""COMPUTED_VALUE"""),"NANO")</f>
        <v>NANO</v>
      </c>
      <c r="B1086" s="272" t="str">
        <f>IFERROR(__xludf.DUMMYFUNCTION("""COMPUTED_VALUE"""),"spalspilbyrania ")</f>
        <v>spalspilbyrania </v>
      </c>
      <c r="C1086" s="283" t="str">
        <f>IFERROR(__xludf.DUMMYFUNCTION("""COMPUTED_VALUE"""),"https://www.tiktok.com/@spalspilbyrania ")</f>
        <v>https://www.tiktok.com/@spalspilbyrania </v>
      </c>
      <c r="D1086" s="272">
        <f>IFERROR(__xludf.DUMMYFUNCTION("""COMPUTED_VALUE"""),8.2361002409E10)</f>
        <v>82361002409</v>
      </c>
      <c r="E1086" s="458">
        <f>IFERROR(__xludf.DUMMYFUNCTION("""COMPUTED_VALUE"""),0.0)</f>
        <v>0</v>
      </c>
      <c r="F1086" s="273">
        <f>IFERROR(__xludf.DUMMYFUNCTION("""COMPUTED_VALUE"""),4.0)</f>
        <v>4</v>
      </c>
      <c r="G1086" t="str">
        <f>IFERROR(__xludf.DUMMYFUNCTION("""COMPUTED_VALUE"""),"Full Set")</f>
        <v>Full Set</v>
      </c>
      <c r="I1086" s="12"/>
      <c r="J1086" s="12"/>
      <c r="K1086" s="12"/>
      <c r="L1086" s="12"/>
      <c r="M1086" s="12"/>
    </row>
    <row r="1087">
      <c r="A1087" s="282" t="str">
        <f>IFERROR(__xludf.DUMMYFUNCTION("""COMPUTED_VALUE"""),"NANO")</f>
        <v>NANO</v>
      </c>
      <c r="B1087" s="272" t="str">
        <f>IFERROR(__xludf.DUMMYFUNCTION("""COMPUTED_VALUE"""),"spill.byyool")</f>
        <v>spill.byyool</v>
      </c>
      <c r="C1087" s="283" t="str">
        <f>IFERROR(__xludf.DUMMYFUNCTION("""COMPUTED_VALUE"""),"https://www.tiktok.com/@spill.byyool")</f>
        <v>https://www.tiktok.com/@spill.byyool</v>
      </c>
      <c r="D1087" s="272">
        <f>IFERROR(__xludf.DUMMYFUNCTION("""COMPUTED_VALUE"""),8.2135666526E10)</f>
        <v>82135666526</v>
      </c>
      <c r="E1087" s="458">
        <f>IFERROR(__xludf.DUMMYFUNCTION("""COMPUTED_VALUE"""),0.0)</f>
        <v>0</v>
      </c>
      <c r="F1087" s="273">
        <f>IFERROR(__xludf.DUMMYFUNCTION("""COMPUTED_VALUE"""),4.0)</f>
        <v>4</v>
      </c>
      <c r="G1087" t="str">
        <f>IFERROR(__xludf.DUMMYFUNCTION("""COMPUTED_VALUE"""),"Full Set")</f>
        <v>Full Set</v>
      </c>
      <c r="I1087" s="12"/>
      <c r="J1087" s="12"/>
      <c r="K1087" s="12"/>
      <c r="L1087" s="12"/>
      <c r="M1087" s="12"/>
    </row>
    <row r="1088">
      <c r="A1088" s="282" t="str">
        <f>IFERROR(__xludf.DUMMYFUNCTION("""COMPUTED_VALUE"""),"NANO")</f>
        <v>NANO</v>
      </c>
      <c r="B1088" s="272" t="str">
        <f>IFERROR(__xludf.DUMMYFUNCTION("""COMPUTED_VALUE"""),"ghitaprnmsr_")</f>
        <v>ghitaprnmsr_</v>
      </c>
      <c r="C1088" s="283" t="str">
        <f>IFERROR(__xludf.DUMMYFUNCTION("""COMPUTED_VALUE"""),"https://www.tiktok.com/@ghitaprnmsr_")</f>
        <v>https://www.tiktok.com/@ghitaprnmsr_</v>
      </c>
      <c r="D1088" s="272">
        <f>IFERROR(__xludf.DUMMYFUNCTION("""COMPUTED_VALUE"""),8.3861456712E10)</f>
        <v>83861456712</v>
      </c>
      <c r="E1088" s="458">
        <f>IFERROR(__xludf.DUMMYFUNCTION("""COMPUTED_VALUE"""),0.0)</f>
        <v>0</v>
      </c>
      <c r="F1088" s="273">
        <f>IFERROR(__xludf.DUMMYFUNCTION("""COMPUTED_VALUE"""),4.0)</f>
        <v>4</v>
      </c>
      <c r="G1088" t="str">
        <f>IFERROR(__xludf.DUMMYFUNCTION("""COMPUTED_VALUE"""),"Full Set")</f>
        <v>Full Set</v>
      </c>
      <c r="I1088" s="12"/>
      <c r="J1088" s="12"/>
      <c r="K1088" s="12"/>
      <c r="L1088" s="12"/>
      <c r="M1088" s="12"/>
    </row>
    <row r="1089">
      <c r="A1089" s="282" t="str">
        <f>IFERROR(__xludf.DUMMYFUNCTION("""COMPUTED_VALUE"""),"MICRO")</f>
        <v>MICRO</v>
      </c>
      <c r="B1089" s="272" t="str">
        <f>IFERROR(__xludf.DUMMYFUNCTION("""COMPUTED_VALUE"""),"Alfa08")</f>
        <v>Alfa08</v>
      </c>
      <c r="C1089" s="283" t="str">
        <f>IFERROR(__xludf.DUMMYFUNCTION("""COMPUTED_VALUE"""),"https://www.tiktok.com/@Alfa08")</f>
        <v>https://www.tiktok.com/@Alfa08</v>
      </c>
      <c r="D1089" s="272">
        <f>IFERROR(__xludf.DUMMYFUNCTION("""COMPUTED_VALUE"""),8.1320791146E10)</f>
        <v>81320791146</v>
      </c>
      <c r="E1089" s="458">
        <f>IFERROR(__xludf.DUMMYFUNCTION("""COMPUTED_VALUE"""),0.0)</f>
        <v>0</v>
      </c>
      <c r="F1089" s="273">
        <f>IFERROR(__xludf.DUMMYFUNCTION("""COMPUTED_VALUE"""),4.0)</f>
        <v>4</v>
      </c>
      <c r="G1089" t="str">
        <f>IFERROR(__xludf.DUMMYFUNCTION("""COMPUTED_VALUE"""),"Full Set")</f>
        <v>Full Set</v>
      </c>
      <c r="I1089" s="12"/>
      <c r="J1089" s="12"/>
      <c r="K1089" s="12"/>
      <c r="L1089" s="12"/>
      <c r="M1089" s="12"/>
    </row>
    <row r="1090">
      <c r="A1090" s="282" t="str">
        <f>IFERROR(__xludf.DUMMYFUNCTION("""COMPUTED_VALUE"""),"NANO")</f>
        <v>NANO</v>
      </c>
      <c r="B1090" s="272" t="str">
        <f>IFERROR(__xludf.DUMMYFUNCTION("""COMPUTED_VALUE"""),"by.skincare5")</f>
        <v>by.skincare5</v>
      </c>
      <c r="C1090" s="283" t="str">
        <f>IFERROR(__xludf.DUMMYFUNCTION("""COMPUTED_VALUE"""),"https://www.tiktok.com/@by.skincare5")</f>
        <v>https://www.tiktok.com/@by.skincare5</v>
      </c>
      <c r="D1090" s="272">
        <f>IFERROR(__xludf.DUMMYFUNCTION("""COMPUTED_VALUE"""),8.5122482981E10)</f>
        <v>85122482981</v>
      </c>
      <c r="E1090" s="458">
        <f>IFERROR(__xludf.DUMMYFUNCTION("""COMPUTED_VALUE"""),0.0)</f>
        <v>0</v>
      </c>
      <c r="F1090" s="273">
        <f>IFERROR(__xludf.DUMMYFUNCTION("""COMPUTED_VALUE"""),4.0)</f>
        <v>4</v>
      </c>
      <c r="G1090" t="str">
        <f>IFERROR(__xludf.DUMMYFUNCTION("""COMPUTED_VALUE"""),"Full Set")</f>
        <v>Full Set</v>
      </c>
      <c r="I1090" s="12"/>
      <c r="J1090" s="12"/>
      <c r="K1090" s="12"/>
      <c r="L1090" s="12"/>
      <c r="M1090" s="12"/>
    </row>
    <row r="1091">
      <c r="A1091" s="282" t="str">
        <f>IFERROR(__xludf.DUMMYFUNCTION("""COMPUTED_VALUE"""),"NANO")</f>
        <v>NANO</v>
      </c>
      <c r="B1091" s="272" t="str">
        <f>IFERROR(__xludf.DUMMYFUNCTION("""COMPUTED_VALUE"""),"Almahyranasywaa")</f>
        <v>Almahyranasywaa</v>
      </c>
      <c r="C1091" s="283" t="str">
        <f>IFERROR(__xludf.DUMMYFUNCTION("""COMPUTED_VALUE"""),"https://www.tiktok.com/@Almahyranasywaa")</f>
        <v>https://www.tiktok.com/@Almahyranasywaa</v>
      </c>
      <c r="D1091" s="272">
        <f>IFERROR(__xludf.DUMMYFUNCTION("""COMPUTED_VALUE"""),8.8232512408E10)</f>
        <v>88232512408</v>
      </c>
      <c r="E1091" s="458">
        <f>IFERROR(__xludf.DUMMYFUNCTION("""COMPUTED_VALUE"""),0.0)</f>
        <v>0</v>
      </c>
      <c r="F1091" s="273">
        <f>IFERROR(__xludf.DUMMYFUNCTION("""COMPUTED_VALUE"""),4.0)</f>
        <v>4</v>
      </c>
      <c r="G1091" t="str">
        <f>IFERROR(__xludf.DUMMYFUNCTION("""COMPUTED_VALUE"""),"Full Set")</f>
        <v>Full Set</v>
      </c>
      <c r="I1091" s="12"/>
      <c r="J1091" s="12"/>
      <c r="K1091" s="12"/>
      <c r="L1091" s="12"/>
      <c r="M1091" s="12"/>
    </row>
    <row r="1092">
      <c r="A1092" s="282" t="str">
        <f>IFERROR(__xludf.DUMMYFUNCTION("""COMPUTED_VALUE"""),"NANO")</f>
        <v>NANO</v>
      </c>
      <c r="B1092" s="272" t="str">
        <f>IFERROR(__xludf.DUMMYFUNCTION("""COMPUTED_VALUE"""),"putriaycaaa")</f>
        <v>putriaycaaa</v>
      </c>
      <c r="C1092" s="283" t="str">
        <f>IFERROR(__xludf.DUMMYFUNCTION("""COMPUTED_VALUE"""),"https://www.tiktok.com/@putriaycaaa")</f>
        <v>https://www.tiktok.com/@putriaycaaa</v>
      </c>
      <c r="D1092" s="272">
        <f>IFERROR(__xludf.DUMMYFUNCTION("""COMPUTED_VALUE"""),8.95408615588E11)</f>
        <v>895408615588</v>
      </c>
      <c r="E1092" s="458">
        <f>IFERROR(__xludf.DUMMYFUNCTION("""COMPUTED_VALUE"""),0.0)</f>
        <v>0</v>
      </c>
      <c r="F1092" s="273">
        <f>IFERROR(__xludf.DUMMYFUNCTION("""COMPUTED_VALUE"""),4.0)</f>
        <v>4</v>
      </c>
      <c r="G1092" t="str">
        <f>IFERROR(__xludf.DUMMYFUNCTION("""COMPUTED_VALUE"""),"Full Set")</f>
        <v>Full Set</v>
      </c>
      <c r="I1092" s="12"/>
      <c r="J1092" s="12"/>
      <c r="K1092" s="12"/>
      <c r="L1092" s="12"/>
      <c r="M1092" s="12"/>
    </row>
    <row r="1093">
      <c r="A1093" s="282" t="str">
        <f>IFERROR(__xludf.DUMMYFUNCTION("""COMPUTED_VALUE"""),"NANO")</f>
        <v>NANO</v>
      </c>
      <c r="B1093" s="272" t="str">
        <f>IFERROR(__xludf.DUMMYFUNCTION("""COMPUTED_VALUE"""),"spalspilhapp")</f>
        <v>spalspilhapp</v>
      </c>
      <c r="C1093" s="283" t="str">
        <f>IFERROR(__xludf.DUMMYFUNCTION("""COMPUTED_VALUE"""),"https://www.tiktok.com/@spalspilhapp")</f>
        <v>https://www.tiktok.com/@spalspilhapp</v>
      </c>
      <c r="D1093" s="272">
        <f>IFERROR(__xludf.DUMMYFUNCTION("""COMPUTED_VALUE"""),8.2142409234E10)</f>
        <v>82142409234</v>
      </c>
      <c r="E1093" s="458">
        <f>IFERROR(__xludf.DUMMYFUNCTION("""COMPUTED_VALUE"""),0.0)</f>
        <v>0</v>
      </c>
      <c r="F1093" s="273">
        <f>IFERROR(__xludf.DUMMYFUNCTION("""COMPUTED_VALUE"""),4.0)</f>
        <v>4</v>
      </c>
      <c r="G1093" t="str">
        <f>IFERROR(__xludf.DUMMYFUNCTION("""COMPUTED_VALUE"""),"Full Set")</f>
        <v>Full Set</v>
      </c>
      <c r="I1093" s="12"/>
      <c r="J1093" s="12"/>
      <c r="K1093" s="12"/>
      <c r="L1093" s="12"/>
      <c r="M1093" s="12"/>
    </row>
    <row r="1094">
      <c r="A1094" s="282" t="str">
        <f>IFERROR(__xludf.DUMMYFUNCTION("""COMPUTED_VALUE"""),"NANO")</f>
        <v>NANO</v>
      </c>
      <c r="B1094" s="272" t="str">
        <f>IFERROR(__xludf.DUMMYFUNCTION("""COMPUTED_VALUE"""),"anggarawati22 ")</f>
        <v>anggarawati22 </v>
      </c>
      <c r="C1094" s="283" t="str">
        <f>IFERROR(__xludf.DUMMYFUNCTION("""COMPUTED_VALUE"""),"https://www.tiktok.com/@anggarawati22 ")</f>
        <v>https://www.tiktok.com/@anggarawati22 </v>
      </c>
      <c r="D1094" s="272">
        <f>IFERROR(__xludf.DUMMYFUNCTION("""COMPUTED_VALUE"""),8.2210107102E10)</f>
        <v>82210107102</v>
      </c>
      <c r="E1094" s="458">
        <f>IFERROR(__xludf.DUMMYFUNCTION("""COMPUTED_VALUE"""),0.0)</f>
        <v>0</v>
      </c>
      <c r="F1094" s="273">
        <f>IFERROR(__xludf.DUMMYFUNCTION("""COMPUTED_VALUE"""),4.0)</f>
        <v>4</v>
      </c>
      <c r="G1094" t="str">
        <f>IFERROR(__xludf.DUMMYFUNCTION("""COMPUTED_VALUE"""),"Full Set")</f>
        <v>Full Set</v>
      </c>
      <c r="I1094" s="12"/>
      <c r="J1094" s="12"/>
      <c r="K1094" s="12"/>
      <c r="L1094" s="12"/>
      <c r="M1094" s="12"/>
    </row>
    <row r="1095">
      <c r="A1095" s="282" t="str">
        <f>IFERROR(__xludf.DUMMYFUNCTION("""COMPUTED_VALUE"""),"NANO")</f>
        <v>NANO</v>
      </c>
      <c r="B1095" s="272" t="str">
        <f>IFERROR(__xludf.DUMMYFUNCTION("""COMPUTED_VALUE"""),"janeeeurbaby")</f>
        <v>janeeeurbaby</v>
      </c>
      <c r="C1095" s="283" t="str">
        <f>IFERROR(__xludf.DUMMYFUNCTION("""COMPUTED_VALUE"""),"https://www.tiktok.com/@janeeeurbaby")</f>
        <v>https://www.tiktok.com/@janeeeurbaby</v>
      </c>
      <c r="D1095" s="272">
        <f>IFERROR(__xludf.DUMMYFUNCTION("""COMPUTED_VALUE"""),8.5825148318E10)</f>
        <v>85825148318</v>
      </c>
      <c r="E1095" s="458">
        <f>IFERROR(__xludf.DUMMYFUNCTION("""COMPUTED_VALUE"""),0.0)</f>
        <v>0</v>
      </c>
      <c r="F1095" s="273">
        <f>IFERROR(__xludf.DUMMYFUNCTION("""COMPUTED_VALUE"""),4.0)</f>
        <v>4</v>
      </c>
      <c r="G1095" t="str">
        <f>IFERROR(__xludf.DUMMYFUNCTION("""COMPUTED_VALUE"""),"Full Set")</f>
        <v>Full Set</v>
      </c>
      <c r="I1095" s="12"/>
      <c r="J1095" s="12"/>
      <c r="K1095" s="12"/>
      <c r="L1095" s="12"/>
      <c r="M1095" s="12"/>
    </row>
    <row r="1096">
      <c r="A1096" s="282" t="str">
        <f>IFERROR(__xludf.DUMMYFUNCTION("""COMPUTED_VALUE"""),"NANO")</f>
        <v>NANO</v>
      </c>
      <c r="B1096" s="272" t="str">
        <f>IFERROR(__xludf.DUMMYFUNCTION("""COMPUTED_VALUE"""),"ellaylstr")</f>
        <v>ellaylstr</v>
      </c>
      <c r="C1096" s="283" t="str">
        <f>IFERROR(__xludf.DUMMYFUNCTION("""COMPUTED_VALUE"""),"https://www.tiktok.com/@ellaylstr")</f>
        <v>https://www.tiktok.com/@ellaylstr</v>
      </c>
      <c r="D1096" s="272">
        <f>IFERROR(__xludf.DUMMYFUNCTION("""COMPUTED_VALUE"""),8.1242343269E10)</f>
        <v>81242343269</v>
      </c>
      <c r="E1096" s="458">
        <f>IFERROR(__xludf.DUMMYFUNCTION("""COMPUTED_VALUE"""),0.0)</f>
        <v>0</v>
      </c>
      <c r="F1096" s="273">
        <f>IFERROR(__xludf.DUMMYFUNCTION("""COMPUTED_VALUE"""),4.0)</f>
        <v>4</v>
      </c>
      <c r="G1096" t="str">
        <f>IFERROR(__xludf.DUMMYFUNCTION("""COMPUTED_VALUE"""),"Full Set")</f>
        <v>Full Set</v>
      </c>
      <c r="I1096" s="12"/>
      <c r="J1096" s="12"/>
      <c r="K1096" s="12"/>
      <c r="L1096" s="12"/>
      <c r="M1096" s="12"/>
    </row>
    <row r="1097">
      <c r="A1097" s="282" t="str">
        <f>IFERROR(__xludf.DUMMYFUNCTION("""COMPUTED_VALUE"""),"NANO")</f>
        <v>NANO</v>
      </c>
      <c r="B1097" s="272" t="str">
        <f>IFERROR(__xludf.DUMMYFUNCTION("""COMPUTED_VALUE"""),"v4ndut")</f>
        <v>v4ndut</v>
      </c>
      <c r="C1097" s="283" t="str">
        <f>IFERROR(__xludf.DUMMYFUNCTION("""COMPUTED_VALUE"""),"https://www.tiktok.com/@v4ndut")</f>
        <v>https://www.tiktok.com/@v4ndut</v>
      </c>
      <c r="D1097" s="272">
        <f>IFERROR(__xludf.DUMMYFUNCTION("""COMPUTED_VALUE"""),8.2245530911E10)</f>
        <v>82245530911</v>
      </c>
      <c r="E1097" s="458">
        <f>IFERROR(__xludf.DUMMYFUNCTION("""COMPUTED_VALUE"""),0.0)</f>
        <v>0</v>
      </c>
      <c r="F1097" s="273">
        <f>IFERROR(__xludf.DUMMYFUNCTION("""COMPUTED_VALUE"""),4.0)</f>
        <v>4</v>
      </c>
      <c r="G1097" t="str">
        <f>IFERROR(__xludf.DUMMYFUNCTION("""COMPUTED_VALUE"""),"Full Set")</f>
        <v>Full Set</v>
      </c>
      <c r="I1097" s="12"/>
      <c r="J1097" s="12"/>
      <c r="K1097" s="12"/>
      <c r="L1097" s="12"/>
      <c r="M1097" s="12"/>
    </row>
    <row r="1098">
      <c r="A1098" s="282" t="str">
        <f>IFERROR(__xludf.DUMMYFUNCTION("""COMPUTED_VALUE"""),"NANO")</f>
        <v>NANO</v>
      </c>
      <c r="B1098" s="272" t="str">
        <f>IFERROR(__xludf.DUMMYFUNCTION("""COMPUTED_VALUE"""),"aueiaiaiaauaa")</f>
        <v>aueiaiaiaauaa</v>
      </c>
      <c r="C1098" s="283" t="str">
        <f>IFERROR(__xludf.DUMMYFUNCTION("""COMPUTED_VALUE"""),"https://www.tiktok.com/@aueiaiaiaauaa")</f>
        <v>https://www.tiktok.com/@aueiaiaiaauaa</v>
      </c>
      <c r="D1098" s="272">
        <f>IFERROR(__xludf.DUMMYFUNCTION("""COMPUTED_VALUE"""),8.5930290006E10)</f>
        <v>85930290006</v>
      </c>
      <c r="E1098" s="458">
        <f>IFERROR(__xludf.DUMMYFUNCTION("""COMPUTED_VALUE"""),0.0)</f>
        <v>0</v>
      </c>
      <c r="F1098" s="273">
        <f>IFERROR(__xludf.DUMMYFUNCTION("""COMPUTED_VALUE"""),4.0)</f>
        <v>4</v>
      </c>
      <c r="G1098" t="str">
        <f>IFERROR(__xludf.DUMMYFUNCTION("""COMPUTED_VALUE"""),"Full Set")</f>
        <v>Full Set</v>
      </c>
      <c r="I1098" s="12"/>
      <c r="J1098" s="12"/>
      <c r="K1098" s="12"/>
      <c r="L1098" s="12"/>
      <c r="M1098" s="12"/>
    </row>
    <row r="1099">
      <c r="A1099" s="282" t="str">
        <f>IFERROR(__xludf.DUMMYFUNCTION("""COMPUTED_VALUE"""),"NANO")</f>
        <v>NANO</v>
      </c>
      <c r="B1099" s="272" t="str">
        <f>IFERROR(__xludf.DUMMYFUNCTION("""COMPUTED_VALUE"""),"srimz5")</f>
        <v>srimz5</v>
      </c>
      <c r="C1099" s="283" t="str">
        <f>IFERROR(__xludf.DUMMYFUNCTION("""COMPUTED_VALUE"""),"https://www.tiktok.com/@srimz5")</f>
        <v>https://www.tiktok.com/@srimz5</v>
      </c>
      <c r="D1099" s="272">
        <f>IFERROR(__xludf.DUMMYFUNCTION("""COMPUTED_VALUE"""),8.3116533243E10)</f>
        <v>83116533243</v>
      </c>
      <c r="E1099" s="458">
        <f>IFERROR(__xludf.DUMMYFUNCTION("""COMPUTED_VALUE"""),0.0)</f>
        <v>0</v>
      </c>
      <c r="F1099" s="273">
        <f>IFERROR(__xludf.DUMMYFUNCTION("""COMPUTED_VALUE"""),4.0)</f>
        <v>4</v>
      </c>
      <c r="G1099" t="str">
        <f>IFERROR(__xludf.DUMMYFUNCTION("""COMPUTED_VALUE"""),"Full Set")</f>
        <v>Full Set</v>
      </c>
      <c r="I1099" s="12"/>
      <c r="J1099" s="12"/>
      <c r="K1099" s="12"/>
      <c r="L1099" s="12"/>
      <c r="M1099" s="12"/>
    </row>
    <row r="1100">
      <c r="A1100" s="282" t="str">
        <f>IFERROR(__xludf.DUMMYFUNCTION("""COMPUTED_VALUE"""),"NANO")</f>
        <v>NANO</v>
      </c>
      <c r="B1100" s="272" t="str">
        <f>IFERROR(__xludf.DUMMYFUNCTION("""COMPUTED_VALUE"""),"ndrta")</f>
        <v>ndrta</v>
      </c>
      <c r="C1100" s="283" t="str">
        <f>IFERROR(__xludf.DUMMYFUNCTION("""COMPUTED_VALUE"""),"https://www.tiktok.com/@ndrta")</f>
        <v>https://www.tiktok.com/@ndrta</v>
      </c>
      <c r="D1100" s="272">
        <f>IFERROR(__xludf.DUMMYFUNCTION("""COMPUTED_VALUE"""),8.1339211979E10)</f>
        <v>81339211979</v>
      </c>
      <c r="E1100" s="458">
        <f>IFERROR(__xludf.DUMMYFUNCTION("""COMPUTED_VALUE"""),0.0)</f>
        <v>0</v>
      </c>
      <c r="F1100" s="273">
        <f>IFERROR(__xludf.DUMMYFUNCTION("""COMPUTED_VALUE"""),4.0)</f>
        <v>4</v>
      </c>
      <c r="G1100" t="str">
        <f>IFERROR(__xludf.DUMMYFUNCTION("""COMPUTED_VALUE"""),"Full Set")</f>
        <v>Full Set</v>
      </c>
      <c r="I1100" s="12"/>
      <c r="J1100" s="12"/>
      <c r="K1100" s="12"/>
      <c r="L1100" s="12"/>
      <c r="M1100" s="12"/>
    </row>
    <row r="1101">
      <c r="A1101" s="282" t="str">
        <f>IFERROR(__xludf.DUMMYFUNCTION("""COMPUTED_VALUE"""),"NANO")</f>
        <v>NANO</v>
      </c>
      <c r="B1101" s="272" t="str">
        <f>IFERROR(__xludf.DUMMYFUNCTION("""COMPUTED_VALUE"""),"mamakahfi10_")</f>
        <v>mamakahfi10_</v>
      </c>
      <c r="C1101" s="283" t="str">
        <f>IFERROR(__xludf.DUMMYFUNCTION("""COMPUTED_VALUE"""),"https://www.tiktok.com/@mamakahfi10_")</f>
        <v>https://www.tiktok.com/@mamakahfi10_</v>
      </c>
      <c r="D1101" s="272">
        <f>IFERROR(__xludf.DUMMYFUNCTION("""COMPUTED_VALUE"""),8.5258492415E10)</f>
        <v>85258492415</v>
      </c>
      <c r="E1101" s="458">
        <f>IFERROR(__xludf.DUMMYFUNCTION("""COMPUTED_VALUE"""),0.0)</f>
        <v>0</v>
      </c>
      <c r="F1101" s="273">
        <f>IFERROR(__xludf.DUMMYFUNCTION("""COMPUTED_VALUE"""),4.0)</f>
        <v>4</v>
      </c>
      <c r="G1101" t="str">
        <f>IFERROR(__xludf.DUMMYFUNCTION("""COMPUTED_VALUE"""),"Full Set")</f>
        <v>Full Set</v>
      </c>
      <c r="I1101" s="12"/>
      <c r="J1101" s="12"/>
      <c r="K1101" s="12"/>
      <c r="L1101" s="12"/>
      <c r="M1101" s="12"/>
    </row>
    <row r="1102">
      <c r="A1102" s="282" t="str">
        <f>IFERROR(__xludf.DUMMYFUNCTION("""COMPUTED_VALUE"""),"NANO")</f>
        <v>NANO</v>
      </c>
      <c r="B1102" s="272" t="str">
        <f>IFERROR(__xludf.DUMMYFUNCTION("""COMPUTED_VALUE"""),"syafira.zahara")</f>
        <v>syafira.zahara</v>
      </c>
      <c r="C1102" s="283" t="str">
        <f>IFERROR(__xludf.DUMMYFUNCTION("""COMPUTED_VALUE"""),"https://www.tiktok.com/@syafira.zahara")</f>
        <v>https://www.tiktok.com/@syafira.zahara</v>
      </c>
      <c r="D1102" s="272">
        <f>IFERROR(__xludf.DUMMYFUNCTION("""COMPUTED_VALUE"""),8.5135273573E10)</f>
        <v>85135273573</v>
      </c>
      <c r="E1102" s="458">
        <f>IFERROR(__xludf.DUMMYFUNCTION("""COMPUTED_VALUE"""),0.0)</f>
        <v>0</v>
      </c>
      <c r="F1102" s="273">
        <f>IFERROR(__xludf.DUMMYFUNCTION("""COMPUTED_VALUE"""),4.0)</f>
        <v>4</v>
      </c>
      <c r="G1102" t="str">
        <f>IFERROR(__xludf.DUMMYFUNCTION("""COMPUTED_VALUE"""),"Full Set")</f>
        <v>Full Set</v>
      </c>
      <c r="I1102" s="12"/>
      <c r="J1102" s="12"/>
      <c r="K1102" s="12"/>
      <c r="L1102" s="12"/>
      <c r="M1102" s="12"/>
    </row>
    <row r="1103">
      <c r="A1103" s="282" t="str">
        <f>IFERROR(__xludf.DUMMYFUNCTION("""COMPUTED_VALUE"""),"NANO")</f>
        <v>NANO</v>
      </c>
      <c r="B1103" s="272" t="str">
        <f>IFERROR(__xludf.DUMMYFUNCTION("""COMPUTED_VALUE"""),"naandaaoo")</f>
        <v>naandaaoo</v>
      </c>
      <c r="C1103" s="283" t="str">
        <f>IFERROR(__xludf.DUMMYFUNCTION("""COMPUTED_VALUE"""),"https://www.tiktok.com/@naandaaoo")</f>
        <v>https://www.tiktok.com/@naandaaoo</v>
      </c>
      <c r="D1103" s="272">
        <f>IFERROR(__xludf.DUMMYFUNCTION("""COMPUTED_VALUE"""),8.5748980117E10)</f>
        <v>85748980117</v>
      </c>
      <c r="E1103" s="458">
        <f>IFERROR(__xludf.DUMMYFUNCTION("""COMPUTED_VALUE"""),0.0)</f>
        <v>0</v>
      </c>
      <c r="F1103" s="273">
        <f>IFERROR(__xludf.DUMMYFUNCTION("""COMPUTED_VALUE"""),4.0)</f>
        <v>4</v>
      </c>
      <c r="G1103" t="str">
        <f>IFERROR(__xludf.DUMMYFUNCTION("""COMPUTED_VALUE"""),"Full Set")</f>
        <v>Full Set</v>
      </c>
      <c r="I1103" s="12"/>
      <c r="J1103" s="12"/>
      <c r="K1103" s="12"/>
      <c r="L1103" s="12"/>
      <c r="M1103" s="12"/>
    </row>
    <row r="1104">
      <c r="A1104" s="282" t="str">
        <f>IFERROR(__xludf.DUMMYFUNCTION("""COMPUTED_VALUE"""),"NANO")</f>
        <v>NANO</v>
      </c>
      <c r="B1104" s="272" t="str">
        <f>IFERROR(__xludf.DUMMYFUNCTION("""COMPUTED_VALUE"""),"imnrmh")</f>
        <v>imnrmh</v>
      </c>
      <c r="C1104" s="283" t="str">
        <f>IFERROR(__xludf.DUMMYFUNCTION("""COMPUTED_VALUE"""),"https://www.tiktok.com/@imnrmh")</f>
        <v>https://www.tiktok.com/@imnrmh</v>
      </c>
      <c r="D1104" s="272">
        <f>IFERROR(__xludf.DUMMYFUNCTION("""COMPUTED_VALUE"""),8.5736651976E10)</f>
        <v>85736651976</v>
      </c>
      <c r="E1104" s="458">
        <f>IFERROR(__xludf.DUMMYFUNCTION("""COMPUTED_VALUE"""),0.0)</f>
        <v>0</v>
      </c>
      <c r="F1104" s="273">
        <f>IFERROR(__xludf.DUMMYFUNCTION("""COMPUTED_VALUE"""),4.0)</f>
        <v>4</v>
      </c>
      <c r="G1104" t="str">
        <f>IFERROR(__xludf.DUMMYFUNCTION("""COMPUTED_VALUE"""),"Full Set")</f>
        <v>Full Set</v>
      </c>
      <c r="I1104" s="12"/>
      <c r="J1104" s="12"/>
      <c r="K1104" s="12"/>
      <c r="L1104" s="12"/>
      <c r="M1104" s="12"/>
    </row>
    <row r="1105">
      <c r="A1105" s="282" t="str">
        <f>IFERROR(__xludf.DUMMYFUNCTION("""COMPUTED_VALUE"""),"NANO")</f>
        <v>NANO</v>
      </c>
      <c r="B1105" s="272" t="str">
        <f>IFERROR(__xludf.DUMMYFUNCTION("""COMPUTED_VALUE"""),"etikawati15")</f>
        <v>etikawati15</v>
      </c>
      <c r="C1105" s="283" t="str">
        <f>IFERROR(__xludf.DUMMYFUNCTION("""COMPUTED_VALUE"""),"https://www.tiktok.com/@etikawati15")</f>
        <v>https://www.tiktok.com/@etikawati15</v>
      </c>
      <c r="D1105" s="272">
        <f>IFERROR(__xludf.DUMMYFUNCTION("""COMPUTED_VALUE"""),8.1352021509E10)</f>
        <v>81352021509</v>
      </c>
      <c r="E1105" s="458">
        <f>IFERROR(__xludf.DUMMYFUNCTION("""COMPUTED_VALUE"""),0.0)</f>
        <v>0</v>
      </c>
      <c r="F1105" s="273">
        <f>IFERROR(__xludf.DUMMYFUNCTION("""COMPUTED_VALUE"""),4.0)</f>
        <v>4</v>
      </c>
      <c r="G1105" t="str">
        <f>IFERROR(__xludf.DUMMYFUNCTION("""COMPUTED_VALUE"""),"Full Set")</f>
        <v>Full Set</v>
      </c>
      <c r="I1105" s="12"/>
      <c r="J1105" s="12"/>
      <c r="K1105" s="12"/>
      <c r="L1105" s="12"/>
      <c r="M1105" s="12"/>
    </row>
    <row r="1106">
      <c r="A1106" s="282" t="str">
        <f>IFERROR(__xludf.DUMMYFUNCTION("""COMPUTED_VALUE"""),"NANO")</f>
        <v>NANO</v>
      </c>
      <c r="B1106" s="272" t="str">
        <f>IFERROR(__xludf.DUMMYFUNCTION("""COMPUTED_VALUE"""),"nafishafish")</f>
        <v>nafishafish</v>
      </c>
      <c r="C1106" s="283" t="str">
        <f>IFERROR(__xludf.DUMMYFUNCTION("""COMPUTED_VALUE"""),"https://www.tiktok.com/@nafishafish")</f>
        <v>https://www.tiktok.com/@nafishafish</v>
      </c>
      <c r="D1106" s="272">
        <f>IFERROR(__xludf.DUMMYFUNCTION("""COMPUTED_VALUE"""),8.886998088E9)</f>
        <v>8886998088</v>
      </c>
      <c r="E1106" s="458">
        <f>IFERROR(__xludf.DUMMYFUNCTION("""COMPUTED_VALUE"""),0.0)</f>
        <v>0</v>
      </c>
      <c r="F1106" s="273">
        <f>IFERROR(__xludf.DUMMYFUNCTION("""COMPUTED_VALUE"""),4.0)</f>
        <v>4</v>
      </c>
      <c r="G1106" t="str">
        <f>IFERROR(__xludf.DUMMYFUNCTION("""COMPUTED_VALUE"""),"Full Set")</f>
        <v>Full Set</v>
      </c>
      <c r="I1106" s="12"/>
      <c r="J1106" s="12"/>
      <c r="K1106" s="12"/>
      <c r="L1106" s="12"/>
      <c r="M1106" s="12"/>
    </row>
    <row r="1107">
      <c r="A1107" s="282" t="str">
        <f>IFERROR(__xludf.DUMMYFUNCTION("""COMPUTED_VALUE"""),"NANO")</f>
        <v>NANO</v>
      </c>
      <c r="B1107" s="272" t="str">
        <f>IFERROR(__xludf.DUMMYFUNCTION("""COMPUTED_VALUE"""),"Justt.rndomp")</f>
        <v>Justt.rndomp</v>
      </c>
      <c r="C1107" s="283" t="str">
        <f>IFERROR(__xludf.DUMMYFUNCTION("""COMPUTED_VALUE"""),"https://www.tiktok.com/@Justt.rndomp")</f>
        <v>https://www.tiktok.com/@Justt.rndomp</v>
      </c>
      <c r="D1107" s="272">
        <f>IFERROR(__xludf.DUMMYFUNCTION("""COMPUTED_VALUE"""),8.9507659893E10)</f>
        <v>89507659893</v>
      </c>
      <c r="E1107" s="458">
        <f>IFERROR(__xludf.DUMMYFUNCTION("""COMPUTED_VALUE"""),0.0)</f>
        <v>0</v>
      </c>
      <c r="F1107" s="273">
        <f>IFERROR(__xludf.DUMMYFUNCTION("""COMPUTED_VALUE"""),4.0)</f>
        <v>4</v>
      </c>
      <c r="G1107" t="str">
        <f>IFERROR(__xludf.DUMMYFUNCTION("""COMPUTED_VALUE"""),"Full Set")</f>
        <v>Full Set</v>
      </c>
      <c r="I1107" s="12"/>
      <c r="J1107" s="12"/>
      <c r="K1107" s="12"/>
      <c r="L1107" s="12"/>
      <c r="M1107" s="12"/>
    </row>
    <row r="1108">
      <c r="A1108" s="282" t="str">
        <f>IFERROR(__xludf.DUMMYFUNCTION("""COMPUTED_VALUE"""),"NANO")</f>
        <v>NANO</v>
      </c>
      <c r="B1108" s="272" t="str">
        <f>IFERROR(__xludf.DUMMYFUNCTION("""COMPUTED_VALUE"""),"Ayuumiana")</f>
        <v>Ayuumiana</v>
      </c>
      <c r="C1108" s="283" t="str">
        <f>IFERROR(__xludf.DUMMYFUNCTION("""COMPUTED_VALUE"""),"https://www.tiktok.com/@Ayuumiana")</f>
        <v>https://www.tiktok.com/@Ayuumiana</v>
      </c>
      <c r="D1108" s="272">
        <f>IFERROR(__xludf.DUMMYFUNCTION("""COMPUTED_VALUE"""),8.9512050972E10)</f>
        <v>89512050972</v>
      </c>
      <c r="E1108" s="458">
        <f>IFERROR(__xludf.DUMMYFUNCTION("""COMPUTED_VALUE"""),0.0)</f>
        <v>0</v>
      </c>
      <c r="F1108" s="273">
        <f>IFERROR(__xludf.DUMMYFUNCTION("""COMPUTED_VALUE"""),4.0)</f>
        <v>4</v>
      </c>
      <c r="G1108" t="str">
        <f>IFERROR(__xludf.DUMMYFUNCTION("""COMPUTED_VALUE"""),"Full Set")</f>
        <v>Full Set</v>
      </c>
      <c r="I1108" s="12"/>
      <c r="J1108" s="12"/>
      <c r="K1108" s="12"/>
      <c r="L1108" s="12"/>
      <c r="M1108" s="12"/>
    </row>
    <row r="1109">
      <c r="A1109" s="282" t="str">
        <f>IFERROR(__xludf.DUMMYFUNCTION("""COMPUTED_VALUE"""),"NANO")</f>
        <v>NANO</v>
      </c>
      <c r="B1109" s="272" t="str">
        <f>IFERROR(__xludf.DUMMYFUNCTION("""COMPUTED_VALUE"""),"Nurmiajha21")</f>
        <v>Nurmiajha21</v>
      </c>
      <c r="C1109" s="283" t="str">
        <f>IFERROR(__xludf.DUMMYFUNCTION("""COMPUTED_VALUE"""),"https://www.tiktok.com/@Nurmiajha21")</f>
        <v>https://www.tiktok.com/@Nurmiajha21</v>
      </c>
      <c r="D1109" s="272">
        <f>IFERROR(__xludf.DUMMYFUNCTION("""COMPUTED_VALUE"""),8.2215242642E10)</f>
        <v>82215242642</v>
      </c>
      <c r="E1109" s="458">
        <f>IFERROR(__xludf.DUMMYFUNCTION("""COMPUTED_VALUE"""),0.0)</f>
        <v>0</v>
      </c>
      <c r="F1109" s="273">
        <f>IFERROR(__xludf.DUMMYFUNCTION("""COMPUTED_VALUE"""),4.0)</f>
        <v>4</v>
      </c>
      <c r="G1109" t="str">
        <f>IFERROR(__xludf.DUMMYFUNCTION("""COMPUTED_VALUE"""),"Full Set")</f>
        <v>Full Set</v>
      </c>
      <c r="I1109" s="12"/>
      <c r="J1109" s="12"/>
      <c r="K1109" s="12"/>
      <c r="L1109" s="12"/>
      <c r="M1109" s="12"/>
    </row>
    <row r="1110">
      <c r="A1110" s="282" t="str">
        <f>IFERROR(__xludf.DUMMYFUNCTION("""COMPUTED_VALUE"""),"NANO")</f>
        <v>NANO</v>
      </c>
      <c r="B1110" s="272" t="str">
        <f>IFERROR(__xludf.DUMMYFUNCTION("""COMPUTED_VALUE"""),"stroberry008")</f>
        <v>stroberry008</v>
      </c>
      <c r="C1110" s="283" t="str">
        <f>IFERROR(__xludf.DUMMYFUNCTION("""COMPUTED_VALUE"""),"https://www.tiktok.com/@stroberry008")</f>
        <v>https://www.tiktok.com/@stroberry008</v>
      </c>
      <c r="D1110" s="272">
        <f>IFERROR(__xludf.DUMMYFUNCTION("""COMPUTED_VALUE"""),8.5876340008E10)</f>
        <v>85876340008</v>
      </c>
      <c r="E1110" s="458">
        <f>IFERROR(__xludf.DUMMYFUNCTION("""COMPUTED_VALUE"""),0.0)</f>
        <v>0</v>
      </c>
      <c r="F1110" s="273">
        <f>IFERROR(__xludf.DUMMYFUNCTION("""COMPUTED_VALUE"""),4.0)</f>
        <v>4</v>
      </c>
      <c r="G1110" t="str">
        <f>IFERROR(__xludf.DUMMYFUNCTION("""COMPUTED_VALUE"""),"Full Set")</f>
        <v>Full Set</v>
      </c>
      <c r="I1110" s="12"/>
      <c r="J1110" s="12"/>
      <c r="K1110" s="12"/>
      <c r="L1110" s="12"/>
      <c r="M1110" s="12"/>
    </row>
    <row r="1111">
      <c r="A1111" s="282" t="str">
        <f>IFERROR(__xludf.DUMMYFUNCTION("""COMPUTED_VALUE"""),"NANO")</f>
        <v>NANO</v>
      </c>
      <c r="B1111" s="272" t="str">
        <f>IFERROR(__xludf.DUMMYFUNCTION("""COMPUTED_VALUE"""),"nayyasnn")</f>
        <v>nayyasnn</v>
      </c>
      <c r="C1111" s="283" t="str">
        <f>IFERROR(__xludf.DUMMYFUNCTION("""COMPUTED_VALUE"""),"https://www.tiktok.com/@nayyasnn")</f>
        <v>https://www.tiktok.com/@nayyasnn</v>
      </c>
      <c r="D1111" s="272">
        <f>IFERROR(__xludf.DUMMYFUNCTION("""COMPUTED_VALUE"""),8.1906690955E10)</f>
        <v>81906690955</v>
      </c>
      <c r="E1111" s="458">
        <f>IFERROR(__xludf.DUMMYFUNCTION("""COMPUTED_VALUE"""),0.0)</f>
        <v>0</v>
      </c>
      <c r="F1111" s="273">
        <f>IFERROR(__xludf.DUMMYFUNCTION("""COMPUTED_VALUE"""),4.0)</f>
        <v>4</v>
      </c>
      <c r="G1111" t="str">
        <f>IFERROR(__xludf.DUMMYFUNCTION("""COMPUTED_VALUE"""),"Full Set")</f>
        <v>Full Set</v>
      </c>
      <c r="I1111" s="12"/>
      <c r="J1111" s="12"/>
      <c r="K1111" s="12"/>
      <c r="L1111" s="12"/>
      <c r="M1111" s="12"/>
    </row>
    <row r="1112">
      <c r="A1112" s="282" t="str">
        <f>IFERROR(__xludf.DUMMYFUNCTION("""COMPUTED_VALUE"""),"NANO")</f>
        <v>NANO</v>
      </c>
      <c r="B1112" s="272" t="str">
        <f>IFERROR(__xludf.DUMMYFUNCTION("""COMPUTED_VALUE"""),"bylathifania")</f>
        <v>bylathifania</v>
      </c>
      <c r="C1112" s="283" t="str">
        <f>IFERROR(__xludf.DUMMYFUNCTION("""COMPUTED_VALUE"""),"https://www.tiktok.com/@bylathifania")</f>
        <v>https://www.tiktok.com/@bylathifania</v>
      </c>
      <c r="D1112" s="272">
        <f>IFERROR(__xludf.DUMMYFUNCTION("""COMPUTED_VALUE"""),8.3832366856E10)</f>
        <v>83832366856</v>
      </c>
      <c r="E1112" s="458">
        <f>IFERROR(__xludf.DUMMYFUNCTION("""COMPUTED_VALUE"""),0.0)</f>
        <v>0</v>
      </c>
      <c r="F1112" s="273">
        <f>IFERROR(__xludf.DUMMYFUNCTION("""COMPUTED_VALUE"""),4.0)</f>
        <v>4</v>
      </c>
      <c r="G1112" t="str">
        <f>IFERROR(__xludf.DUMMYFUNCTION("""COMPUTED_VALUE"""),"Full Set")</f>
        <v>Full Set</v>
      </c>
      <c r="I1112" s="12"/>
      <c r="J1112" s="12"/>
      <c r="K1112" s="12"/>
      <c r="L1112" s="12"/>
      <c r="M1112" s="12"/>
    </row>
    <row r="1113">
      <c r="A1113" s="282" t="str">
        <f>IFERROR(__xludf.DUMMYFUNCTION("""COMPUTED_VALUE"""),"NANO")</f>
        <v>NANO</v>
      </c>
      <c r="B1113" s="272" t="str">
        <f>IFERROR(__xludf.DUMMYFUNCTION("""COMPUTED_VALUE"""),"ollalanel")</f>
        <v>ollalanel</v>
      </c>
      <c r="C1113" s="283" t="str">
        <f>IFERROR(__xludf.DUMMYFUNCTION("""COMPUTED_VALUE"""),"https://www.tiktok.com/@ollalanel")</f>
        <v>https://www.tiktok.com/@ollalanel</v>
      </c>
      <c r="D1113" s="272">
        <f>IFERROR(__xludf.DUMMYFUNCTION("""COMPUTED_VALUE"""),8.1276434207E10)</f>
        <v>81276434207</v>
      </c>
      <c r="E1113" s="458">
        <f>IFERROR(__xludf.DUMMYFUNCTION("""COMPUTED_VALUE"""),0.0)</f>
        <v>0</v>
      </c>
      <c r="F1113" s="273">
        <f>IFERROR(__xludf.DUMMYFUNCTION("""COMPUTED_VALUE"""),4.0)</f>
        <v>4</v>
      </c>
      <c r="G1113" t="str">
        <f>IFERROR(__xludf.DUMMYFUNCTION("""COMPUTED_VALUE"""),"Full Set")</f>
        <v>Full Set</v>
      </c>
      <c r="I1113" s="12"/>
      <c r="J1113" s="12"/>
      <c r="K1113" s="12"/>
      <c r="L1113" s="12"/>
      <c r="M1113" s="12"/>
    </row>
    <row r="1114">
      <c r="A1114" s="282" t="str">
        <f>IFERROR(__xludf.DUMMYFUNCTION("""COMPUTED_VALUE"""),"NANO")</f>
        <v>NANO</v>
      </c>
      <c r="B1114" s="272" t="str">
        <f>IFERROR(__xludf.DUMMYFUNCTION("""COMPUTED_VALUE"""),"_whyris")</f>
        <v>_whyris</v>
      </c>
      <c r="C1114" s="283" t="str">
        <f>IFERROR(__xludf.DUMMYFUNCTION("""COMPUTED_VALUE"""),"https://www.tiktok.com/@_whyris")</f>
        <v>https://www.tiktok.com/@_whyris</v>
      </c>
      <c r="D1114" s="272">
        <f>IFERROR(__xludf.DUMMYFUNCTION("""COMPUTED_VALUE"""),8.95348131152E11)</f>
        <v>895348131152</v>
      </c>
      <c r="E1114" s="458">
        <f>IFERROR(__xludf.DUMMYFUNCTION("""COMPUTED_VALUE"""),0.0)</f>
        <v>0</v>
      </c>
      <c r="F1114" s="273">
        <f>IFERROR(__xludf.DUMMYFUNCTION("""COMPUTED_VALUE"""),4.0)</f>
        <v>4</v>
      </c>
      <c r="G1114" t="str">
        <f>IFERROR(__xludf.DUMMYFUNCTION("""COMPUTED_VALUE"""),"Full Set")</f>
        <v>Full Set</v>
      </c>
      <c r="I1114" s="12"/>
      <c r="J1114" s="12"/>
      <c r="K1114" s="12"/>
      <c r="L1114" s="12"/>
      <c r="M1114" s="12"/>
    </row>
    <row r="1115">
      <c r="A1115" s="282" t="str">
        <f>IFERROR(__xludf.DUMMYFUNCTION("""COMPUTED_VALUE"""),"NANO")</f>
        <v>NANO</v>
      </c>
      <c r="B1115" s="272" t="str">
        <f>IFERROR(__xludf.DUMMYFUNCTION("""COMPUTED_VALUE"""),"sapy_store")</f>
        <v>sapy_store</v>
      </c>
      <c r="C1115" s="283" t="str">
        <f>IFERROR(__xludf.DUMMYFUNCTION("""COMPUTED_VALUE"""),"https://www.tiktok.com/@sapy_store")</f>
        <v>https://www.tiktok.com/@sapy_store</v>
      </c>
      <c r="D1115" s="272">
        <f>IFERROR(__xludf.DUMMYFUNCTION("""COMPUTED_VALUE"""),8.315647192E10)</f>
        <v>83156471920</v>
      </c>
      <c r="E1115" s="458">
        <f>IFERROR(__xludf.DUMMYFUNCTION("""COMPUTED_VALUE"""),0.0)</f>
        <v>0</v>
      </c>
      <c r="F1115" s="273">
        <f>IFERROR(__xludf.DUMMYFUNCTION("""COMPUTED_VALUE"""),4.0)</f>
        <v>4</v>
      </c>
      <c r="G1115" t="str">
        <f>IFERROR(__xludf.DUMMYFUNCTION("""COMPUTED_VALUE"""),"Full Set")</f>
        <v>Full Set</v>
      </c>
      <c r="I1115" s="12"/>
      <c r="J1115" s="12"/>
      <c r="K1115" s="12"/>
      <c r="L1115" s="12"/>
      <c r="M1115" s="12"/>
    </row>
    <row r="1116">
      <c r="A1116" s="282" t="str">
        <f>IFERROR(__xludf.DUMMYFUNCTION("""COMPUTED_VALUE"""),"NANO")</f>
        <v>NANO</v>
      </c>
      <c r="B1116" s="272" t="str">
        <f>IFERROR(__xludf.DUMMYFUNCTION("""COMPUTED_VALUE"""),"_youneedthiss")</f>
        <v>_youneedthiss</v>
      </c>
      <c r="C1116" s="283" t="str">
        <f>IFERROR(__xludf.DUMMYFUNCTION("""COMPUTED_VALUE"""),"https://www.tiktok.com/@_youneedthiss")</f>
        <v>https://www.tiktok.com/@_youneedthiss</v>
      </c>
      <c r="D1116" s="272">
        <f>IFERROR(__xludf.DUMMYFUNCTION("""COMPUTED_VALUE"""),8.8200376016E10)</f>
        <v>88200376016</v>
      </c>
      <c r="E1116" s="458">
        <f>IFERROR(__xludf.DUMMYFUNCTION("""COMPUTED_VALUE"""),0.0)</f>
        <v>0</v>
      </c>
      <c r="F1116" s="273">
        <f>IFERROR(__xludf.DUMMYFUNCTION("""COMPUTED_VALUE"""),4.0)</f>
        <v>4</v>
      </c>
      <c r="G1116" t="str">
        <f>IFERROR(__xludf.DUMMYFUNCTION("""COMPUTED_VALUE"""),"Full Set")</f>
        <v>Full Set</v>
      </c>
      <c r="I1116" s="12"/>
      <c r="J1116" s="12"/>
      <c r="K1116" s="12"/>
      <c r="L1116" s="12"/>
      <c r="M1116" s="12"/>
    </row>
    <row r="1117">
      <c r="A1117" s="282" t="str">
        <f>IFERROR(__xludf.DUMMYFUNCTION("""COMPUTED_VALUE"""),"NANO")</f>
        <v>NANO</v>
      </c>
      <c r="B1117" s="272" t="str">
        <f>IFERROR(__xludf.DUMMYFUNCTION("""COMPUTED_VALUE"""),"adelinaaprl")</f>
        <v>adelinaaprl</v>
      </c>
      <c r="C1117" s="283" t="str">
        <f>IFERROR(__xludf.DUMMYFUNCTION("""COMPUTED_VALUE"""),"https://www.tiktok.com/@adelinaaprl")</f>
        <v>https://www.tiktok.com/@adelinaaprl</v>
      </c>
      <c r="D1117" s="272">
        <f>IFERROR(__xludf.DUMMYFUNCTION("""COMPUTED_VALUE"""),8.1225645257E10)</f>
        <v>81225645257</v>
      </c>
      <c r="E1117" s="458">
        <f>IFERROR(__xludf.DUMMYFUNCTION("""COMPUTED_VALUE"""),0.0)</f>
        <v>0</v>
      </c>
      <c r="F1117" s="273">
        <f>IFERROR(__xludf.DUMMYFUNCTION("""COMPUTED_VALUE"""),4.0)</f>
        <v>4</v>
      </c>
      <c r="G1117" t="str">
        <f>IFERROR(__xludf.DUMMYFUNCTION("""COMPUTED_VALUE"""),"Full Set")</f>
        <v>Full Set</v>
      </c>
      <c r="I1117" s="12"/>
      <c r="J1117" s="12"/>
      <c r="K1117" s="12"/>
      <c r="L1117" s="12"/>
      <c r="M1117" s="12"/>
    </row>
    <row r="1118">
      <c r="A1118" s="282" t="str">
        <f>IFERROR(__xludf.DUMMYFUNCTION("""COMPUTED_VALUE"""),"NANO")</f>
        <v>NANO</v>
      </c>
      <c r="B1118" s="272" t="str">
        <f>IFERROR(__xludf.DUMMYFUNCTION("""COMPUTED_VALUE"""),"shellalaa434")</f>
        <v>shellalaa434</v>
      </c>
      <c r="C1118" s="283" t="str">
        <f>IFERROR(__xludf.DUMMYFUNCTION("""COMPUTED_VALUE"""),"https://www.tiktok.com/@shellalaa434")</f>
        <v>https://www.tiktok.com/@shellalaa434</v>
      </c>
      <c r="D1118" s="272">
        <f>IFERROR(__xludf.DUMMYFUNCTION("""COMPUTED_VALUE"""),8.1266882723E10)</f>
        <v>81266882723</v>
      </c>
      <c r="E1118" s="458">
        <f>IFERROR(__xludf.DUMMYFUNCTION("""COMPUTED_VALUE"""),0.0)</f>
        <v>0</v>
      </c>
      <c r="F1118" s="273">
        <f>IFERROR(__xludf.DUMMYFUNCTION("""COMPUTED_VALUE"""),4.0)</f>
        <v>4</v>
      </c>
      <c r="G1118" t="str">
        <f>IFERROR(__xludf.DUMMYFUNCTION("""COMPUTED_VALUE"""),"Full Set")</f>
        <v>Full Set</v>
      </c>
      <c r="I1118" s="12"/>
      <c r="J1118" s="12"/>
      <c r="K1118" s="12"/>
      <c r="L1118" s="12"/>
      <c r="M1118" s="12"/>
    </row>
    <row r="1119">
      <c r="A1119" s="282" t="str">
        <f>IFERROR(__xludf.DUMMYFUNCTION("""COMPUTED_VALUE"""),"NANO")</f>
        <v>NANO</v>
      </c>
      <c r="B1119" s="272" t="str">
        <f>IFERROR(__xludf.DUMMYFUNCTION("""COMPUTED_VALUE"""),"ariff.ratnaa")</f>
        <v>ariff.ratnaa</v>
      </c>
      <c r="C1119" s="283" t="str">
        <f>IFERROR(__xludf.DUMMYFUNCTION("""COMPUTED_VALUE"""),"https://www.tiktok.com/@ariff.ratnaa")</f>
        <v>https://www.tiktok.com/@ariff.ratnaa</v>
      </c>
      <c r="D1119" s="272">
        <f>IFERROR(__xludf.DUMMYFUNCTION("""COMPUTED_VALUE"""),8.9636619781E10)</f>
        <v>89636619781</v>
      </c>
      <c r="E1119" s="458">
        <f>IFERROR(__xludf.DUMMYFUNCTION("""COMPUTED_VALUE"""),0.0)</f>
        <v>0</v>
      </c>
      <c r="F1119" s="273">
        <f>IFERROR(__xludf.DUMMYFUNCTION("""COMPUTED_VALUE"""),4.0)</f>
        <v>4</v>
      </c>
      <c r="G1119" t="str">
        <f>IFERROR(__xludf.DUMMYFUNCTION("""COMPUTED_VALUE"""),"Full Set")</f>
        <v>Full Set</v>
      </c>
      <c r="I1119" s="12"/>
      <c r="J1119" s="12"/>
      <c r="K1119" s="12"/>
      <c r="L1119" s="12"/>
      <c r="M1119" s="12"/>
    </row>
    <row r="1120">
      <c r="A1120" s="282" t="str">
        <f>IFERROR(__xludf.DUMMYFUNCTION("""COMPUTED_VALUE"""),"NANO")</f>
        <v>NANO</v>
      </c>
      <c r="B1120" s="272" t="str">
        <f>IFERROR(__xludf.DUMMYFUNCTION("""COMPUTED_VALUE"""),"dewimsrrh21")</f>
        <v>dewimsrrh21</v>
      </c>
      <c r="C1120" s="283" t="str">
        <f>IFERROR(__xludf.DUMMYFUNCTION("""COMPUTED_VALUE"""),"https://www.tiktok.com/@dewimsrrh21")</f>
        <v>https://www.tiktok.com/@dewimsrrh21</v>
      </c>
      <c r="D1120" s="272">
        <f>IFERROR(__xludf.DUMMYFUNCTION("""COMPUTED_VALUE"""),8.8220702916E10)</f>
        <v>88220702916</v>
      </c>
      <c r="E1120" s="458">
        <f>IFERROR(__xludf.DUMMYFUNCTION("""COMPUTED_VALUE"""),0.0)</f>
        <v>0</v>
      </c>
      <c r="F1120" s="273">
        <f>IFERROR(__xludf.DUMMYFUNCTION("""COMPUTED_VALUE"""),4.0)</f>
        <v>4</v>
      </c>
      <c r="G1120" t="str">
        <f>IFERROR(__xludf.DUMMYFUNCTION("""COMPUTED_VALUE"""),"Full Set")</f>
        <v>Full Set</v>
      </c>
      <c r="I1120" s="12"/>
      <c r="J1120" s="12"/>
      <c r="K1120" s="12"/>
      <c r="L1120" s="12"/>
      <c r="M1120" s="12"/>
    </row>
    <row r="1121">
      <c r="A1121" s="282" t="str">
        <f>IFERROR(__xludf.DUMMYFUNCTION("""COMPUTED_VALUE"""),"NANO")</f>
        <v>NANO</v>
      </c>
      <c r="B1121" s="272" t="str">
        <f>IFERROR(__xludf.DUMMYFUNCTION("""COMPUTED_VALUE"""),"rosliannaputr")</f>
        <v>rosliannaputr</v>
      </c>
      <c r="C1121" s="283" t="str">
        <f>IFERROR(__xludf.DUMMYFUNCTION("""COMPUTED_VALUE"""),"https://www.tiktok.com/@rosliannaputr")</f>
        <v>https://www.tiktok.com/@rosliannaputr</v>
      </c>
      <c r="D1121" s="272">
        <f>IFERROR(__xludf.DUMMYFUNCTION("""COMPUTED_VALUE"""),8.9620381454E10)</f>
        <v>89620381454</v>
      </c>
      <c r="E1121" s="458">
        <f>IFERROR(__xludf.DUMMYFUNCTION("""COMPUTED_VALUE"""),0.0)</f>
        <v>0</v>
      </c>
      <c r="F1121" s="273">
        <f>IFERROR(__xludf.DUMMYFUNCTION("""COMPUTED_VALUE"""),4.0)</f>
        <v>4</v>
      </c>
      <c r="G1121" t="str">
        <f>IFERROR(__xludf.DUMMYFUNCTION("""COMPUTED_VALUE"""),"Full Set")</f>
        <v>Full Set</v>
      </c>
      <c r="I1121" s="12"/>
      <c r="J1121" s="12"/>
      <c r="K1121" s="12"/>
      <c r="L1121" s="12"/>
      <c r="M1121" s="12"/>
    </row>
    <row r="1122">
      <c r="A1122" s="282" t="str">
        <f>IFERROR(__xludf.DUMMYFUNCTION("""COMPUTED_VALUE"""),"NANO")</f>
        <v>NANO</v>
      </c>
      <c r="B1122" s="272" t="str">
        <f>IFERROR(__xludf.DUMMYFUNCTION("""COMPUTED_VALUE"""),"Kharis0802")</f>
        <v>Kharis0802</v>
      </c>
      <c r="C1122" s="283" t="str">
        <f>IFERROR(__xludf.DUMMYFUNCTION("""COMPUTED_VALUE"""),"https://www.tiktok.com/@Kharis0802")</f>
        <v>https://www.tiktok.com/@Kharis0802</v>
      </c>
      <c r="D1122" s="272">
        <f>IFERROR(__xludf.DUMMYFUNCTION("""COMPUTED_VALUE"""),8.9525024365E10)</f>
        <v>89525024365</v>
      </c>
      <c r="E1122" s="458">
        <f>IFERROR(__xludf.DUMMYFUNCTION("""COMPUTED_VALUE"""),0.0)</f>
        <v>0</v>
      </c>
      <c r="F1122" s="273">
        <f>IFERROR(__xludf.DUMMYFUNCTION("""COMPUTED_VALUE"""),4.0)</f>
        <v>4</v>
      </c>
      <c r="G1122" t="str">
        <f>IFERROR(__xludf.DUMMYFUNCTION("""COMPUTED_VALUE"""),"Full Set")</f>
        <v>Full Set</v>
      </c>
      <c r="I1122" s="12"/>
      <c r="J1122" s="12"/>
      <c r="K1122" s="12"/>
      <c r="L1122" s="12"/>
      <c r="M1122" s="12"/>
    </row>
    <row r="1123">
      <c r="A1123" s="282" t="str">
        <f>IFERROR(__xludf.DUMMYFUNCTION("""COMPUTED_VALUE"""),"NANO")</f>
        <v>NANO</v>
      </c>
      <c r="B1123" s="272" t="str">
        <f>IFERROR(__xludf.DUMMYFUNCTION("""COMPUTED_VALUE"""),"Keykesyaa")</f>
        <v>Keykesyaa</v>
      </c>
      <c r="C1123" s="283" t="str">
        <f>IFERROR(__xludf.DUMMYFUNCTION("""COMPUTED_VALUE"""),"https://www.tiktok.com/@Keykesyaa")</f>
        <v>https://www.tiktok.com/@Keykesyaa</v>
      </c>
      <c r="D1123" s="272">
        <f>IFERROR(__xludf.DUMMYFUNCTION("""COMPUTED_VALUE"""),8.970983414E9)</f>
        <v>8970983414</v>
      </c>
      <c r="E1123" s="458">
        <f>IFERROR(__xludf.DUMMYFUNCTION("""COMPUTED_VALUE"""),0.0)</f>
        <v>0</v>
      </c>
      <c r="F1123" s="273">
        <f>IFERROR(__xludf.DUMMYFUNCTION("""COMPUTED_VALUE"""),4.0)</f>
        <v>4</v>
      </c>
      <c r="G1123" t="str">
        <f>IFERROR(__xludf.DUMMYFUNCTION("""COMPUTED_VALUE"""),"Full Set")</f>
        <v>Full Set</v>
      </c>
      <c r="I1123" s="12"/>
      <c r="J1123" s="12"/>
      <c r="K1123" s="12"/>
      <c r="L1123" s="12"/>
      <c r="M1123" s="12"/>
    </row>
    <row r="1124">
      <c r="A1124" s="282" t="str">
        <f>IFERROR(__xludf.DUMMYFUNCTION("""COMPUTED_VALUE"""),"NANO")</f>
        <v>NANO</v>
      </c>
      <c r="B1124" s="272" t="str">
        <f>IFERROR(__xludf.DUMMYFUNCTION("""COMPUTED_VALUE"""),"abcdee.laaa6")</f>
        <v>abcdee.laaa6</v>
      </c>
      <c r="C1124" s="283" t="str">
        <f>IFERROR(__xludf.DUMMYFUNCTION("""COMPUTED_VALUE"""),"https://www.tiktok.com/@abcdee.laaa6")</f>
        <v>https://www.tiktok.com/@abcdee.laaa6</v>
      </c>
      <c r="D1124" s="272">
        <f>IFERROR(__xludf.DUMMYFUNCTION("""COMPUTED_VALUE"""),8.5842159226E10)</f>
        <v>85842159226</v>
      </c>
      <c r="E1124" s="458">
        <f>IFERROR(__xludf.DUMMYFUNCTION("""COMPUTED_VALUE"""),0.0)</f>
        <v>0</v>
      </c>
      <c r="F1124" s="273">
        <f>IFERROR(__xludf.DUMMYFUNCTION("""COMPUTED_VALUE"""),4.0)</f>
        <v>4</v>
      </c>
      <c r="G1124" t="str">
        <f>IFERROR(__xludf.DUMMYFUNCTION("""COMPUTED_VALUE"""),"Full Set")</f>
        <v>Full Set</v>
      </c>
      <c r="I1124" s="12"/>
      <c r="J1124" s="12"/>
      <c r="K1124" s="12"/>
      <c r="L1124" s="12"/>
      <c r="M1124" s="12"/>
    </row>
    <row r="1125">
      <c r="A1125" s="282" t="str">
        <f>IFERROR(__xludf.DUMMYFUNCTION("""COMPUTED_VALUE"""),"NANO")</f>
        <v>NANO</v>
      </c>
      <c r="B1125" s="272" t="str">
        <f>IFERROR(__xludf.DUMMYFUNCTION("""COMPUTED_VALUE"""),"kisr4_")</f>
        <v>kisr4_</v>
      </c>
      <c r="C1125" s="283" t="str">
        <f>IFERROR(__xludf.DUMMYFUNCTION("""COMPUTED_VALUE"""),"https://www.tiktok.com/@kisr4_")</f>
        <v>https://www.tiktok.com/@kisr4_</v>
      </c>
      <c r="D1125" s="272">
        <f>IFERROR(__xludf.DUMMYFUNCTION("""COMPUTED_VALUE"""),8.95402877561E11)</f>
        <v>895402877561</v>
      </c>
      <c r="E1125" s="458">
        <f>IFERROR(__xludf.DUMMYFUNCTION("""COMPUTED_VALUE"""),0.0)</f>
        <v>0</v>
      </c>
      <c r="F1125" s="273">
        <f>IFERROR(__xludf.DUMMYFUNCTION("""COMPUTED_VALUE"""),4.0)</f>
        <v>4</v>
      </c>
      <c r="G1125" t="str">
        <f>IFERROR(__xludf.DUMMYFUNCTION("""COMPUTED_VALUE"""),"Full Set")</f>
        <v>Full Set</v>
      </c>
      <c r="I1125" s="12"/>
      <c r="J1125" s="12"/>
      <c r="K1125" s="12"/>
      <c r="L1125" s="12"/>
      <c r="M1125" s="12"/>
    </row>
    <row r="1126">
      <c r="A1126" s="282" t="str">
        <f>IFERROR(__xludf.DUMMYFUNCTION("""COMPUTED_VALUE"""),"NANO")</f>
        <v>NANO</v>
      </c>
      <c r="B1126" s="272" t="str">
        <f>IFERROR(__xludf.DUMMYFUNCTION("""COMPUTED_VALUE"""),"aaurynz")</f>
        <v>aaurynz</v>
      </c>
      <c r="C1126" s="283" t="str">
        <f>IFERROR(__xludf.DUMMYFUNCTION("""COMPUTED_VALUE"""),"https://www.tiktok.com/@aaurynz")</f>
        <v>https://www.tiktok.com/@aaurynz</v>
      </c>
      <c r="D1126" s="272">
        <f>IFERROR(__xludf.DUMMYFUNCTION("""COMPUTED_VALUE"""),8.81026669588E11)</f>
        <v>881026669588</v>
      </c>
      <c r="E1126" s="458">
        <f>IFERROR(__xludf.DUMMYFUNCTION("""COMPUTED_VALUE"""),0.0)</f>
        <v>0</v>
      </c>
      <c r="F1126" s="273">
        <f>IFERROR(__xludf.DUMMYFUNCTION("""COMPUTED_VALUE"""),4.0)</f>
        <v>4</v>
      </c>
      <c r="G1126" t="str">
        <f>IFERROR(__xludf.DUMMYFUNCTION("""COMPUTED_VALUE"""),"Full Set")</f>
        <v>Full Set</v>
      </c>
      <c r="I1126" s="12"/>
      <c r="J1126" s="12"/>
      <c r="K1126" s="12"/>
      <c r="L1126" s="12"/>
      <c r="M1126" s="12"/>
    </row>
    <row r="1127">
      <c r="A1127" s="282" t="str">
        <f>IFERROR(__xludf.DUMMYFUNCTION("""COMPUTED_VALUE"""),"NANO")</f>
        <v>NANO</v>
      </c>
      <c r="B1127" s="272" t="str">
        <f>IFERROR(__xludf.DUMMYFUNCTION("""COMPUTED_VALUE"""),"pinkyby_rnr")</f>
        <v>pinkyby_rnr</v>
      </c>
      <c r="C1127" s="283" t="str">
        <f>IFERROR(__xludf.DUMMYFUNCTION("""COMPUTED_VALUE"""),"https://www.tiktok.com/@pinkyby_rnr")</f>
        <v>https://www.tiktok.com/@pinkyby_rnr</v>
      </c>
      <c r="D1127" s="272">
        <f>IFERROR(__xludf.DUMMYFUNCTION("""COMPUTED_VALUE"""),8.3836500947E10)</f>
        <v>83836500947</v>
      </c>
      <c r="E1127" s="458">
        <f>IFERROR(__xludf.DUMMYFUNCTION("""COMPUTED_VALUE"""),0.0)</f>
        <v>0</v>
      </c>
      <c r="F1127" s="273">
        <f>IFERROR(__xludf.DUMMYFUNCTION("""COMPUTED_VALUE"""),4.0)</f>
        <v>4</v>
      </c>
      <c r="G1127" t="str">
        <f>IFERROR(__xludf.DUMMYFUNCTION("""COMPUTED_VALUE"""),"Full Set")</f>
        <v>Full Set</v>
      </c>
      <c r="I1127" s="12"/>
      <c r="J1127" s="12"/>
      <c r="K1127" s="12"/>
      <c r="L1127" s="12"/>
      <c r="M1127" s="12"/>
    </row>
    <row r="1128">
      <c r="A1128" s="282" t="str">
        <f>IFERROR(__xludf.DUMMYFUNCTION("""COMPUTED_VALUE"""),"NANO")</f>
        <v>NANO</v>
      </c>
      <c r="B1128" s="272" t="str">
        <f>IFERROR(__xludf.DUMMYFUNCTION("""COMPUTED_VALUE"""),"ummijazilah04")</f>
        <v>ummijazilah04</v>
      </c>
      <c r="C1128" s="283" t="str">
        <f>IFERROR(__xludf.DUMMYFUNCTION("""COMPUTED_VALUE"""),"https://www.tiktok.com/@ummijazilah04")</f>
        <v>https://www.tiktok.com/@ummijazilah04</v>
      </c>
      <c r="D1128" s="272">
        <f>IFERROR(__xludf.DUMMYFUNCTION("""COMPUTED_VALUE"""),8.3839355196E10)</f>
        <v>83839355196</v>
      </c>
      <c r="E1128" s="458">
        <f>IFERROR(__xludf.DUMMYFUNCTION("""COMPUTED_VALUE"""),0.0)</f>
        <v>0</v>
      </c>
      <c r="F1128" s="273">
        <f>IFERROR(__xludf.DUMMYFUNCTION("""COMPUTED_VALUE"""),4.0)</f>
        <v>4</v>
      </c>
      <c r="G1128" t="str">
        <f>IFERROR(__xludf.DUMMYFUNCTION("""COMPUTED_VALUE"""),"Full Set")</f>
        <v>Full Set</v>
      </c>
      <c r="I1128" s="12"/>
      <c r="J1128" s="12"/>
      <c r="K1128" s="12"/>
      <c r="L1128" s="12"/>
      <c r="M1128" s="12"/>
    </row>
    <row r="1129">
      <c r="A1129" s="282" t="str">
        <f>IFERROR(__xludf.DUMMYFUNCTION("""COMPUTED_VALUE"""),"NANO")</f>
        <v>NANO</v>
      </c>
      <c r="B1129" s="272" t="str">
        <f>IFERROR(__xludf.DUMMYFUNCTION("""COMPUTED_VALUE"""),"shyniaa39")</f>
        <v>shyniaa39</v>
      </c>
      <c r="C1129" s="283" t="str">
        <f>IFERROR(__xludf.DUMMYFUNCTION("""COMPUTED_VALUE"""),"https://www.tiktok.com/@shyniaa39")</f>
        <v>https://www.tiktok.com/@shyniaa39</v>
      </c>
      <c r="D1129" s="272">
        <f>IFERROR(__xludf.DUMMYFUNCTION("""COMPUTED_VALUE"""),8.3136263477E10)</f>
        <v>83136263477</v>
      </c>
      <c r="E1129" s="458">
        <f>IFERROR(__xludf.DUMMYFUNCTION("""COMPUTED_VALUE"""),0.0)</f>
        <v>0</v>
      </c>
      <c r="F1129" s="273">
        <f>IFERROR(__xludf.DUMMYFUNCTION("""COMPUTED_VALUE"""),4.0)</f>
        <v>4</v>
      </c>
      <c r="G1129" t="str">
        <f>IFERROR(__xludf.DUMMYFUNCTION("""COMPUTED_VALUE"""),"Full Set")</f>
        <v>Full Set</v>
      </c>
      <c r="I1129" s="12"/>
      <c r="J1129" s="12"/>
      <c r="K1129" s="12"/>
      <c r="L1129" s="12"/>
      <c r="M1129" s="12"/>
    </row>
    <row r="1130">
      <c r="A1130" s="282"/>
      <c r="B1130" s="272"/>
      <c r="C1130" s="272"/>
      <c r="D1130" s="272"/>
      <c r="E1130" s="273"/>
      <c r="F1130" s="273"/>
      <c r="I1130" s="12"/>
      <c r="J1130" s="12"/>
      <c r="K1130" s="12"/>
      <c r="L1130" s="12"/>
      <c r="M1130" s="12"/>
    </row>
    <row r="1131">
      <c r="A1131" s="282"/>
      <c r="B1131" s="272"/>
      <c r="C1131" s="272"/>
      <c r="D1131" s="272"/>
      <c r="E1131" s="273"/>
      <c r="F1131" s="273"/>
      <c r="I1131" s="12"/>
      <c r="J1131" s="12"/>
      <c r="K1131" s="12"/>
      <c r="L1131" s="12"/>
      <c r="M1131" s="12"/>
    </row>
    <row r="1132">
      <c r="A1132" s="282"/>
      <c r="B1132" s="272"/>
      <c r="C1132" s="272"/>
      <c r="D1132" s="272"/>
      <c r="E1132" s="273"/>
      <c r="F1132" s="273"/>
      <c r="I1132" s="12"/>
      <c r="J1132" s="12"/>
      <c r="K1132" s="12"/>
      <c r="L1132" s="12"/>
      <c r="M1132" s="12"/>
    </row>
    <row r="1133">
      <c r="A1133" s="282"/>
      <c r="B1133" s="272"/>
      <c r="C1133" s="272"/>
      <c r="D1133" s="272"/>
      <c r="E1133" s="273"/>
      <c r="F1133" s="273"/>
      <c r="I1133" s="12"/>
      <c r="J1133" s="12"/>
      <c r="K1133" s="12"/>
      <c r="L1133" s="12"/>
      <c r="M1133" s="12"/>
    </row>
    <row r="1134">
      <c r="A1134" s="282"/>
      <c r="B1134" s="272"/>
      <c r="C1134" s="272"/>
      <c r="D1134" s="272"/>
      <c r="E1134" s="273"/>
      <c r="F1134" s="273"/>
      <c r="I1134" s="12"/>
      <c r="J1134" s="12"/>
      <c r="K1134" s="12"/>
      <c r="L1134" s="12"/>
      <c r="M1134" s="12"/>
    </row>
    <row r="1135">
      <c r="A1135" s="282"/>
      <c r="B1135" s="272"/>
      <c r="C1135" s="272"/>
      <c r="D1135" s="272"/>
      <c r="E1135" s="273"/>
      <c r="F1135" s="273"/>
      <c r="I1135" s="12"/>
      <c r="J1135" s="12"/>
      <c r="K1135" s="12"/>
      <c r="L1135" s="12"/>
      <c r="M1135" s="12"/>
    </row>
    <row r="1136">
      <c r="A1136" s="282"/>
      <c r="B1136" s="272"/>
      <c r="C1136" s="272"/>
      <c r="D1136" s="272"/>
      <c r="E1136" s="273"/>
      <c r="F1136" s="273"/>
      <c r="I1136" s="12"/>
      <c r="J1136" s="12"/>
      <c r="K1136" s="12"/>
      <c r="L1136" s="12"/>
      <c r="M1136" s="12"/>
    </row>
    <row r="1137">
      <c r="A1137" s="282"/>
      <c r="B1137" s="272"/>
      <c r="C1137" s="272"/>
      <c r="D1137" s="272"/>
      <c r="E1137" s="273"/>
      <c r="F1137" s="273"/>
      <c r="I1137" s="12"/>
      <c r="J1137" s="12"/>
      <c r="K1137" s="12"/>
      <c r="L1137" s="12"/>
      <c r="M1137" s="12"/>
    </row>
    <row r="1138">
      <c r="A1138" s="282"/>
      <c r="B1138" s="272"/>
      <c r="C1138" s="272"/>
      <c r="D1138" s="272"/>
      <c r="E1138" s="273"/>
      <c r="F1138" s="273"/>
      <c r="I1138" s="12"/>
      <c r="J1138" s="12"/>
      <c r="K1138" s="12"/>
      <c r="L1138" s="12"/>
      <c r="M1138" s="12"/>
    </row>
    <row r="1139">
      <c r="A1139" s="282"/>
      <c r="B1139" s="272"/>
      <c r="C1139" s="272"/>
      <c r="D1139" s="272"/>
      <c r="E1139" s="273"/>
      <c r="F1139" s="273"/>
      <c r="I1139" s="12"/>
      <c r="J1139" s="12"/>
      <c r="K1139" s="12"/>
      <c r="L1139" s="12"/>
      <c r="M1139" s="12"/>
    </row>
    <row r="1140">
      <c r="A1140" s="282"/>
      <c r="B1140" s="272"/>
      <c r="C1140" s="272"/>
      <c r="D1140" s="272"/>
      <c r="E1140" s="273"/>
      <c r="F1140" s="273"/>
      <c r="I1140" s="12"/>
      <c r="J1140" s="12"/>
      <c r="K1140" s="12"/>
      <c r="L1140" s="12"/>
      <c r="M1140" s="12"/>
    </row>
    <row r="1141">
      <c r="A1141" s="282"/>
      <c r="B1141" s="272"/>
      <c r="C1141" s="272"/>
      <c r="D1141" s="272"/>
      <c r="E1141" s="273"/>
      <c r="F1141" s="273"/>
      <c r="I1141" s="12"/>
      <c r="J1141" s="12"/>
      <c r="K1141" s="12"/>
      <c r="L1141" s="12"/>
      <c r="M1141" s="12"/>
    </row>
    <row r="1142">
      <c r="A1142" s="282"/>
      <c r="B1142" s="272"/>
      <c r="C1142" s="272"/>
      <c r="D1142" s="272"/>
      <c r="E1142" s="273"/>
      <c r="F1142" s="273"/>
      <c r="I1142" s="12"/>
      <c r="J1142" s="12"/>
      <c r="K1142" s="12"/>
      <c r="L1142" s="12"/>
      <c r="M1142" s="12"/>
    </row>
    <row r="1143">
      <c r="A1143" s="282"/>
      <c r="B1143" s="272"/>
      <c r="C1143" s="272"/>
      <c r="D1143" s="272"/>
      <c r="E1143" s="273"/>
      <c r="F1143" s="273"/>
      <c r="I1143" s="12"/>
      <c r="J1143" s="12"/>
      <c r="K1143" s="12"/>
      <c r="L1143" s="12"/>
      <c r="M1143" s="12"/>
    </row>
    <row r="1144">
      <c r="A1144" s="282"/>
      <c r="B1144" s="272"/>
      <c r="C1144" s="272"/>
      <c r="D1144" s="272"/>
      <c r="E1144" s="273"/>
      <c r="F1144" s="273"/>
      <c r="I1144" s="12"/>
      <c r="J1144" s="12"/>
      <c r="K1144" s="12"/>
      <c r="L1144" s="12"/>
      <c r="M1144" s="12"/>
    </row>
    <row r="1145">
      <c r="A1145" s="282"/>
      <c r="B1145" s="272"/>
      <c r="C1145" s="272"/>
      <c r="D1145" s="272"/>
      <c r="E1145" s="273"/>
      <c r="F1145" s="273"/>
      <c r="I1145" s="12"/>
      <c r="J1145" s="12"/>
      <c r="K1145" s="12"/>
      <c r="L1145" s="12"/>
      <c r="M1145" s="12"/>
    </row>
    <row r="1146">
      <c r="A1146" s="282"/>
      <c r="B1146" s="272"/>
      <c r="C1146" s="272"/>
      <c r="D1146" s="272"/>
      <c r="E1146" s="273"/>
      <c r="F1146" s="273"/>
      <c r="I1146" s="12"/>
      <c r="J1146" s="12"/>
      <c r="K1146" s="12"/>
      <c r="L1146" s="12"/>
      <c r="M1146" s="12"/>
    </row>
    <row r="1147">
      <c r="A1147" s="282"/>
      <c r="B1147" s="272"/>
      <c r="C1147" s="272"/>
      <c r="D1147" s="272"/>
      <c r="E1147" s="273"/>
      <c r="F1147" s="273"/>
      <c r="I1147" s="12"/>
      <c r="J1147" s="12"/>
      <c r="K1147" s="12"/>
      <c r="L1147" s="12"/>
      <c r="M1147" s="12"/>
    </row>
    <row r="1148">
      <c r="A1148" s="282"/>
      <c r="B1148" s="272"/>
      <c r="C1148" s="272"/>
      <c r="D1148" s="272"/>
      <c r="E1148" s="273"/>
      <c r="F1148" s="273"/>
      <c r="I1148" s="12"/>
      <c r="J1148" s="12"/>
      <c r="K1148" s="12"/>
      <c r="L1148" s="12"/>
      <c r="M1148" s="12"/>
    </row>
    <row r="1149">
      <c r="A1149" s="282"/>
      <c r="B1149" s="272"/>
      <c r="C1149" s="272"/>
      <c r="D1149" s="272"/>
      <c r="E1149" s="273"/>
      <c r="F1149" s="273"/>
      <c r="I1149" s="12"/>
      <c r="J1149" s="12"/>
      <c r="K1149" s="12"/>
      <c r="L1149" s="12"/>
      <c r="M1149" s="12"/>
    </row>
    <row r="1150">
      <c r="A1150" s="282"/>
      <c r="B1150" s="272"/>
      <c r="C1150" s="272"/>
      <c r="D1150" s="272"/>
      <c r="E1150" s="273"/>
      <c r="F1150" s="273"/>
      <c r="I1150" s="12"/>
      <c r="J1150" s="12"/>
      <c r="K1150" s="12"/>
      <c r="L1150" s="12"/>
      <c r="M1150" s="12"/>
    </row>
    <row r="1151">
      <c r="A1151" s="282"/>
      <c r="B1151" s="272"/>
      <c r="C1151" s="272"/>
      <c r="D1151" s="272"/>
      <c r="E1151" s="273"/>
      <c r="F1151" s="273"/>
      <c r="I1151" s="12"/>
      <c r="J1151" s="12"/>
      <c r="K1151" s="12"/>
      <c r="L1151" s="12"/>
      <c r="M1151" s="12"/>
    </row>
    <row r="1152">
      <c r="A1152" s="282"/>
      <c r="B1152" s="272"/>
      <c r="C1152" s="272"/>
      <c r="D1152" s="272"/>
      <c r="E1152" s="273"/>
      <c r="F1152" s="273"/>
      <c r="I1152" s="12"/>
      <c r="J1152" s="12"/>
      <c r="K1152" s="12"/>
      <c r="L1152" s="12"/>
      <c r="M1152" s="12"/>
    </row>
    <row r="1153">
      <c r="A1153" s="282"/>
      <c r="B1153" s="272"/>
      <c r="C1153" s="272"/>
      <c r="D1153" s="272"/>
      <c r="E1153" s="273"/>
      <c r="F1153" s="273"/>
      <c r="I1153" s="12"/>
      <c r="J1153" s="12"/>
      <c r="K1153" s="12"/>
      <c r="L1153" s="12"/>
      <c r="M1153" s="12"/>
    </row>
    <row r="1154">
      <c r="A1154" s="282"/>
      <c r="B1154" s="272"/>
      <c r="C1154" s="272"/>
      <c r="D1154" s="272"/>
      <c r="E1154" s="273"/>
      <c r="F1154" s="273"/>
      <c r="I1154" s="12"/>
      <c r="J1154" s="12"/>
      <c r="K1154" s="12"/>
      <c r="L1154" s="12"/>
      <c r="M1154" s="12"/>
    </row>
    <row r="1155">
      <c r="A1155" s="282"/>
      <c r="B1155" s="272"/>
      <c r="C1155" s="272"/>
      <c r="D1155" s="272"/>
      <c r="E1155" s="273"/>
      <c r="F1155" s="273"/>
      <c r="I1155" s="12"/>
      <c r="J1155" s="12"/>
      <c r="K1155" s="12"/>
      <c r="L1155" s="12"/>
      <c r="M1155" s="12"/>
    </row>
    <row r="1156">
      <c r="A1156" s="282"/>
      <c r="B1156" s="272"/>
      <c r="C1156" s="272"/>
      <c r="D1156" s="272"/>
      <c r="E1156" s="273"/>
      <c r="F1156" s="273"/>
      <c r="I1156" s="12"/>
      <c r="J1156" s="12"/>
      <c r="K1156" s="12"/>
      <c r="L1156" s="12"/>
      <c r="M1156" s="12"/>
    </row>
    <row r="1157">
      <c r="A1157" s="282"/>
      <c r="B1157" s="272"/>
      <c r="C1157" s="272"/>
      <c r="D1157" s="272"/>
      <c r="E1157" s="273"/>
      <c r="F1157" s="273"/>
      <c r="I1157" s="12"/>
      <c r="J1157" s="12"/>
      <c r="K1157" s="12"/>
      <c r="L1157" s="12"/>
      <c r="M1157" s="12"/>
    </row>
    <row r="1158">
      <c r="A1158" s="282"/>
      <c r="B1158" s="272"/>
      <c r="C1158" s="272"/>
      <c r="D1158" s="272"/>
      <c r="E1158" s="273"/>
      <c r="F1158" s="273"/>
      <c r="I1158" s="12"/>
      <c r="J1158" s="12"/>
      <c r="K1158" s="12"/>
      <c r="L1158" s="12"/>
      <c r="M1158" s="12"/>
    </row>
    <row r="1159">
      <c r="A1159" s="282"/>
      <c r="B1159" s="272"/>
      <c r="C1159" s="272"/>
      <c r="D1159" s="272"/>
      <c r="E1159" s="273"/>
      <c r="F1159" s="273"/>
      <c r="I1159" s="12"/>
      <c r="J1159" s="12"/>
      <c r="K1159" s="12"/>
      <c r="L1159" s="12"/>
      <c r="M1159" s="12"/>
    </row>
    <row r="1160">
      <c r="A1160" s="282"/>
      <c r="B1160" s="272"/>
      <c r="C1160" s="272"/>
      <c r="D1160" s="272"/>
      <c r="E1160" s="273"/>
      <c r="F1160" s="273"/>
      <c r="I1160" s="12"/>
      <c r="J1160" s="12"/>
      <c r="K1160" s="12"/>
      <c r="L1160" s="12"/>
      <c r="M1160" s="12"/>
    </row>
    <row r="1161">
      <c r="A1161" s="282"/>
      <c r="B1161" s="272"/>
      <c r="C1161" s="272"/>
      <c r="D1161" s="272"/>
      <c r="E1161" s="273"/>
      <c r="F1161" s="273"/>
      <c r="I1161" s="12"/>
      <c r="J1161" s="12"/>
      <c r="K1161" s="12"/>
      <c r="L1161" s="12"/>
      <c r="M1161" s="12"/>
    </row>
    <row r="1162">
      <c r="A1162" s="282"/>
      <c r="B1162" s="272"/>
      <c r="C1162" s="272"/>
      <c r="D1162" s="272"/>
      <c r="E1162" s="273"/>
      <c r="F1162" s="273"/>
      <c r="I1162" s="12"/>
      <c r="J1162" s="12"/>
      <c r="K1162" s="12"/>
      <c r="L1162" s="12"/>
      <c r="M1162" s="12"/>
    </row>
    <row r="1163">
      <c r="A1163" s="282"/>
      <c r="B1163" s="272"/>
      <c r="C1163" s="272"/>
      <c r="D1163" s="272"/>
      <c r="E1163" s="273"/>
      <c r="F1163" s="273"/>
      <c r="I1163" s="12"/>
      <c r="J1163" s="12"/>
      <c r="K1163" s="12"/>
      <c r="L1163" s="12"/>
      <c r="M1163" s="12"/>
    </row>
    <row r="1164">
      <c r="A1164" s="282"/>
      <c r="B1164" s="272"/>
      <c r="C1164" s="272"/>
      <c r="D1164" s="272"/>
      <c r="E1164" s="273"/>
      <c r="F1164" s="273"/>
      <c r="I1164" s="12"/>
      <c r="J1164" s="12"/>
      <c r="K1164" s="12"/>
      <c r="L1164" s="12"/>
      <c r="M1164" s="12"/>
    </row>
    <row r="1165">
      <c r="A1165" s="282"/>
      <c r="B1165" s="272"/>
      <c r="C1165" s="272"/>
      <c r="D1165" s="272"/>
      <c r="E1165" s="273"/>
      <c r="F1165" s="273"/>
      <c r="I1165" s="12"/>
      <c r="J1165" s="12"/>
      <c r="K1165" s="12"/>
      <c r="L1165" s="12"/>
      <c r="M1165" s="12"/>
    </row>
    <row r="1166">
      <c r="A1166" s="282"/>
      <c r="B1166" s="272"/>
      <c r="C1166" s="272"/>
      <c r="D1166" s="272"/>
      <c r="E1166" s="273"/>
      <c r="F1166" s="273"/>
      <c r="I1166" s="12"/>
      <c r="J1166" s="12"/>
      <c r="K1166" s="12"/>
      <c r="L1166" s="12"/>
      <c r="M1166" s="12"/>
    </row>
    <row r="1167">
      <c r="A1167" s="282"/>
      <c r="B1167" s="272"/>
      <c r="C1167" s="272"/>
      <c r="D1167" s="272"/>
      <c r="E1167" s="273"/>
      <c r="F1167" s="273"/>
      <c r="I1167" s="12"/>
      <c r="J1167" s="12"/>
      <c r="K1167" s="12"/>
      <c r="L1167" s="12"/>
      <c r="M1167" s="12"/>
    </row>
    <row r="1168">
      <c r="A1168" s="282"/>
      <c r="B1168" s="272"/>
      <c r="C1168" s="272"/>
      <c r="D1168" s="272"/>
      <c r="E1168" s="273"/>
      <c r="F1168" s="273"/>
      <c r="I1168" s="12"/>
      <c r="J1168" s="12"/>
      <c r="K1168" s="12"/>
      <c r="L1168" s="12"/>
      <c r="M1168" s="12"/>
    </row>
    <row r="1169">
      <c r="A1169" s="282"/>
      <c r="B1169" s="272"/>
      <c r="C1169" s="272"/>
      <c r="D1169" s="272"/>
      <c r="E1169" s="273"/>
      <c r="F1169" s="273"/>
      <c r="I1169" s="12"/>
      <c r="J1169" s="12"/>
      <c r="K1169" s="12"/>
      <c r="L1169" s="12"/>
      <c r="M1169" s="12"/>
    </row>
    <row r="1170">
      <c r="A1170" s="282"/>
      <c r="B1170" s="272"/>
      <c r="C1170" s="272"/>
      <c r="D1170" s="272"/>
      <c r="E1170" s="273"/>
      <c r="F1170" s="273"/>
      <c r="I1170" s="12"/>
      <c r="J1170" s="12"/>
      <c r="K1170" s="12"/>
      <c r="L1170" s="12"/>
      <c r="M1170" s="12"/>
    </row>
    <row r="1171">
      <c r="A1171" s="282"/>
      <c r="B1171" s="272"/>
      <c r="C1171" s="272"/>
      <c r="D1171" s="272"/>
      <c r="E1171" s="273"/>
      <c r="F1171" s="273"/>
      <c r="I1171" s="12"/>
      <c r="J1171" s="12"/>
      <c r="K1171" s="12"/>
      <c r="L1171" s="12"/>
      <c r="M1171" s="12"/>
    </row>
    <row r="1172">
      <c r="A1172" s="282"/>
      <c r="B1172" s="272"/>
      <c r="C1172" s="272"/>
      <c r="D1172" s="272"/>
      <c r="E1172" s="273"/>
      <c r="F1172" s="273"/>
      <c r="I1172" s="12"/>
      <c r="J1172" s="12"/>
      <c r="K1172" s="12"/>
      <c r="L1172" s="12"/>
      <c r="M1172" s="12"/>
    </row>
    <row r="1173">
      <c r="A1173" s="282"/>
      <c r="B1173" s="272"/>
      <c r="C1173" s="272"/>
      <c r="D1173" s="272"/>
      <c r="E1173" s="273"/>
      <c r="F1173" s="273"/>
      <c r="I1173" s="12"/>
      <c r="J1173" s="12"/>
      <c r="K1173" s="12"/>
      <c r="L1173" s="12"/>
      <c r="M1173" s="12"/>
    </row>
    <row r="1174">
      <c r="A1174" s="282"/>
      <c r="B1174" s="272"/>
      <c r="C1174" s="272"/>
      <c r="D1174" s="272"/>
      <c r="E1174" s="273"/>
      <c r="F1174" s="273"/>
      <c r="I1174" s="12"/>
      <c r="J1174" s="12"/>
      <c r="K1174" s="12"/>
      <c r="L1174" s="12"/>
      <c r="M1174" s="12"/>
    </row>
    <row r="1175">
      <c r="A1175" s="282"/>
      <c r="B1175" s="272"/>
      <c r="C1175" s="272"/>
      <c r="D1175" s="272"/>
      <c r="E1175" s="273"/>
      <c r="F1175" s="273"/>
      <c r="I1175" s="12"/>
      <c r="J1175" s="12"/>
      <c r="K1175" s="12"/>
      <c r="L1175" s="12"/>
      <c r="M1175" s="12"/>
    </row>
    <row r="1176">
      <c r="A1176" s="282"/>
      <c r="B1176" s="272"/>
      <c r="C1176" s="272"/>
      <c r="D1176" s="272"/>
      <c r="E1176" s="273"/>
      <c r="F1176" s="273"/>
      <c r="I1176" s="12"/>
      <c r="J1176" s="12"/>
      <c r="K1176" s="12"/>
      <c r="L1176" s="12"/>
      <c r="M1176" s="12"/>
    </row>
    <row r="1177">
      <c r="A1177" s="282"/>
      <c r="B1177" s="272"/>
      <c r="C1177" s="272"/>
      <c r="D1177" s="272"/>
      <c r="E1177" s="273"/>
      <c r="F1177" s="273"/>
      <c r="I1177" s="12"/>
      <c r="J1177" s="12"/>
      <c r="K1177" s="12"/>
      <c r="L1177" s="12"/>
      <c r="M1177" s="12"/>
    </row>
    <row r="1178">
      <c r="A1178" s="282"/>
      <c r="B1178" s="272"/>
      <c r="C1178" s="272"/>
      <c r="D1178" s="272"/>
      <c r="E1178" s="273"/>
      <c r="F1178" s="273"/>
      <c r="I1178" s="12"/>
      <c r="J1178" s="12"/>
      <c r="K1178" s="12"/>
      <c r="L1178" s="12"/>
      <c r="M1178" s="12"/>
    </row>
    <row r="1179">
      <c r="A1179" s="282"/>
      <c r="B1179" s="272"/>
      <c r="C1179" s="272"/>
      <c r="D1179" s="272"/>
      <c r="E1179" s="273"/>
      <c r="F1179" s="273"/>
      <c r="I1179" s="12"/>
      <c r="J1179" s="12"/>
      <c r="K1179" s="12"/>
      <c r="L1179" s="12"/>
      <c r="M1179" s="12"/>
    </row>
    <row r="1180">
      <c r="A1180" s="282"/>
      <c r="B1180" s="272"/>
      <c r="C1180" s="272"/>
      <c r="D1180" s="272"/>
      <c r="E1180" s="273"/>
      <c r="F1180" s="273"/>
      <c r="I1180" s="12"/>
      <c r="J1180" s="12"/>
      <c r="K1180" s="12"/>
      <c r="L1180" s="12"/>
      <c r="M1180" s="12"/>
    </row>
    <row r="1181">
      <c r="A1181" s="282"/>
      <c r="B1181" s="272"/>
      <c r="C1181" s="272"/>
      <c r="D1181" s="272"/>
      <c r="E1181" s="273"/>
      <c r="F1181" s="273"/>
      <c r="I1181" s="12"/>
      <c r="J1181" s="12"/>
      <c r="K1181" s="12"/>
      <c r="L1181" s="12"/>
      <c r="M1181" s="12"/>
    </row>
    <row r="1182">
      <c r="A1182" s="282"/>
      <c r="B1182" s="272"/>
      <c r="C1182" s="272"/>
      <c r="D1182" s="272"/>
      <c r="E1182" s="273"/>
      <c r="F1182" s="273"/>
      <c r="I1182" s="12"/>
      <c r="J1182" s="12"/>
      <c r="K1182" s="12"/>
      <c r="L1182" s="12"/>
      <c r="M1182" s="12"/>
    </row>
    <row r="1183">
      <c r="A1183" s="282"/>
      <c r="B1183" s="272"/>
      <c r="C1183" s="272"/>
      <c r="D1183" s="272"/>
      <c r="E1183" s="273"/>
      <c r="F1183" s="273"/>
      <c r="I1183" s="12"/>
      <c r="J1183" s="12"/>
      <c r="K1183" s="12"/>
      <c r="L1183" s="12"/>
      <c r="M1183" s="12"/>
    </row>
    <row r="1184">
      <c r="A1184" s="282"/>
      <c r="B1184" s="272"/>
      <c r="C1184" s="272"/>
      <c r="D1184" s="272"/>
      <c r="E1184" s="273"/>
      <c r="F1184" s="273"/>
      <c r="I1184" s="12"/>
      <c r="J1184" s="12"/>
      <c r="K1184" s="12"/>
      <c r="L1184" s="12"/>
      <c r="M1184" s="12"/>
    </row>
    <row r="1185">
      <c r="A1185" s="282"/>
      <c r="B1185" s="272"/>
      <c r="C1185" s="272"/>
      <c r="D1185" s="272"/>
      <c r="E1185" s="273"/>
      <c r="F1185" s="273"/>
      <c r="I1185" s="12"/>
      <c r="J1185" s="12"/>
      <c r="K1185" s="12"/>
      <c r="L1185" s="12"/>
      <c r="M1185" s="12"/>
    </row>
    <row r="1186">
      <c r="A1186" s="282"/>
      <c r="B1186" s="272"/>
      <c r="C1186" s="272"/>
      <c r="D1186" s="272"/>
      <c r="E1186" s="273"/>
      <c r="F1186" s="273"/>
      <c r="I1186" s="12"/>
      <c r="J1186" s="12"/>
      <c r="K1186" s="12"/>
      <c r="L1186" s="12"/>
      <c r="M1186" s="12"/>
    </row>
    <row r="1187">
      <c r="A1187" s="282"/>
      <c r="B1187" s="272"/>
      <c r="C1187" s="272"/>
      <c r="D1187" s="272"/>
      <c r="E1187" s="273"/>
      <c r="F1187" s="273"/>
      <c r="I1187" s="12"/>
      <c r="J1187" s="12"/>
      <c r="K1187" s="12"/>
      <c r="L1187" s="12"/>
      <c r="M1187" s="12"/>
    </row>
    <row r="1188">
      <c r="A1188" s="282"/>
      <c r="B1188" s="272"/>
      <c r="C1188" s="272"/>
      <c r="D1188" s="272"/>
      <c r="E1188" s="273"/>
      <c r="F1188" s="273"/>
      <c r="I1188" s="12"/>
      <c r="J1188" s="12"/>
      <c r="K1188" s="12"/>
      <c r="L1188" s="12"/>
      <c r="M1188" s="12"/>
    </row>
    <row r="1189">
      <c r="A1189" s="282"/>
      <c r="B1189" s="272"/>
      <c r="C1189" s="272"/>
      <c r="D1189" s="272"/>
      <c r="E1189" s="273"/>
      <c r="F1189" s="273"/>
      <c r="I1189" s="12"/>
      <c r="J1189" s="12"/>
      <c r="K1189" s="12"/>
      <c r="L1189" s="12"/>
      <c r="M1189" s="12"/>
    </row>
    <row r="1190">
      <c r="A1190" s="282"/>
      <c r="B1190" s="272"/>
      <c r="C1190" s="272"/>
      <c r="D1190" s="272"/>
      <c r="E1190" s="273"/>
      <c r="F1190" s="273"/>
      <c r="I1190" s="12"/>
      <c r="J1190" s="12"/>
      <c r="K1190" s="12"/>
      <c r="L1190" s="12"/>
      <c r="M1190" s="12"/>
    </row>
    <row r="1191">
      <c r="A1191" s="282"/>
      <c r="B1191" s="272"/>
      <c r="C1191" s="272"/>
      <c r="D1191" s="272"/>
      <c r="E1191" s="273"/>
      <c r="F1191" s="273"/>
      <c r="I1191" s="12"/>
      <c r="J1191" s="12"/>
      <c r="K1191" s="12"/>
      <c r="L1191" s="12"/>
      <c r="M1191" s="12"/>
    </row>
    <row r="1192">
      <c r="A1192" s="282"/>
      <c r="B1192" s="272"/>
      <c r="C1192" s="272"/>
      <c r="D1192" s="272"/>
      <c r="E1192" s="273"/>
      <c r="F1192" s="273"/>
      <c r="I1192" s="12"/>
      <c r="J1192" s="12"/>
      <c r="K1192" s="12"/>
      <c r="L1192" s="12"/>
      <c r="M1192" s="12"/>
    </row>
    <row r="1193">
      <c r="A1193" s="282"/>
      <c r="B1193" s="272"/>
      <c r="C1193" s="272"/>
      <c r="D1193" s="272"/>
      <c r="E1193" s="273"/>
      <c r="F1193" s="273"/>
      <c r="I1193" s="12"/>
      <c r="J1193" s="12"/>
      <c r="K1193" s="12"/>
      <c r="L1193" s="12"/>
      <c r="M1193" s="12"/>
    </row>
    <row r="1194">
      <c r="A1194" s="282"/>
      <c r="B1194" s="272"/>
      <c r="C1194" s="272"/>
      <c r="D1194" s="272"/>
      <c r="E1194" s="273"/>
      <c r="F1194" s="273"/>
      <c r="I1194" s="12"/>
      <c r="J1194" s="12"/>
      <c r="K1194" s="12"/>
      <c r="L1194" s="12"/>
      <c r="M1194" s="12"/>
    </row>
    <row r="1195">
      <c r="A1195" s="282"/>
      <c r="B1195" s="272"/>
      <c r="C1195" s="272"/>
      <c r="D1195" s="272"/>
      <c r="E1195" s="273"/>
      <c r="F1195" s="273"/>
      <c r="I1195" s="12"/>
      <c r="J1195" s="12"/>
      <c r="K1195" s="12"/>
      <c r="L1195" s="12"/>
      <c r="M1195" s="12"/>
    </row>
    <row r="1196">
      <c r="A1196" s="282"/>
      <c r="B1196" s="272"/>
      <c r="C1196" s="272"/>
      <c r="D1196" s="272"/>
      <c r="E1196" s="273"/>
      <c r="F1196" s="273"/>
      <c r="I1196" s="12"/>
      <c r="J1196" s="12"/>
      <c r="K1196" s="12"/>
      <c r="L1196" s="12"/>
      <c r="M1196" s="12"/>
    </row>
    <row r="1197">
      <c r="A1197" s="282"/>
      <c r="B1197" s="272"/>
      <c r="C1197" s="272"/>
      <c r="D1197" s="272"/>
      <c r="E1197" s="273"/>
      <c r="F1197" s="273"/>
      <c r="I1197" s="12"/>
      <c r="J1197" s="12"/>
      <c r="K1197" s="12"/>
      <c r="L1197" s="12"/>
      <c r="M1197" s="12"/>
    </row>
    <row r="1198">
      <c r="A1198" s="282"/>
      <c r="B1198" s="272"/>
      <c r="C1198" s="272"/>
      <c r="D1198" s="272"/>
      <c r="E1198" s="273"/>
      <c r="F1198" s="273"/>
      <c r="I1198" s="12"/>
      <c r="J1198" s="12"/>
      <c r="K1198" s="12"/>
      <c r="L1198" s="12"/>
      <c r="M1198" s="12"/>
    </row>
    <row r="1199">
      <c r="A1199" s="282"/>
      <c r="B1199" s="272"/>
      <c r="C1199" s="272"/>
      <c r="D1199" s="272"/>
      <c r="E1199" s="273"/>
      <c r="F1199" s="273"/>
      <c r="I1199" s="12"/>
      <c r="J1199" s="12"/>
      <c r="K1199" s="12"/>
      <c r="L1199" s="12"/>
      <c r="M1199" s="12"/>
    </row>
    <row r="1200">
      <c r="A1200" s="282"/>
      <c r="B1200" s="272"/>
      <c r="C1200" s="272"/>
      <c r="D1200" s="272"/>
      <c r="E1200" s="273"/>
      <c r="F1200" s="273"/>
      <c r="I1200" s="12"/>
      <c r="J1200" s="12"/>
      <c r="K1200" s="12"/>
      <c r="L1200" s="12"/>
      <c r="M1200" s="12"/>
    </row>
    <row r="1201">
      <c r="A1201" s="282"/>
      <c r="B1201" s="272"/>
      <c r="C1201" s="272"/>
      <c r="D1201" s="272"/>
      <c r="E1201" s="273"/>
      <c r="F1201" s="273"/>
      <c r="I1201" s="12"/>
      <c r="J1201" s="12"/>
      <c r="K1201" s="12"/>
      <c r="L1201" s="12"/>
      <c r="M1201" s="12"/>
    </row>
    <row r="1202">
      <c r="A1202" s="282"/>
      <c r="B1202" s="272"/>
      <c r="C1202" s="272"/>
      <c r="D1202" s="272"/>
      <c r="E1202" s="273"/>
      <c r="F1202" s="273"/>
      <c r="I1202" s="12"/>
      <c r="J1202" s="12"/>
      <c r="K1202" s="12"/>
      <c r="L1202" s="12"/>
      <c r="M1202" s="12"/>
    </row>
    <row r="1203">
      <c r="A1203" s="282"/>
      <c r="B1203" s="272"/>
      <c r="C1203" s="272"/>
      <c r="D1203" s="272"/>
      <c r="E1203" s="273"/>
      <c r="F1203" s="273"/>
      <c r="I1203" s="12"/>
      <c r="J1203" s="12"/>
      <c r="K1203" s="12"/>
      <c r="L1203" s="12"/>
      <c r="M1203" s="12"/>
    </row>
    <row r="1204">
      <c r="A1204" s="282"/>
      <c r="B1204" s="272"/>
      <c r="C1204" s="272"/>
      <c r="D1204" s="272"/>
      <c r="E1204" s="273"/>
      <c r="F1204" s="273"/>
      <c r="I1204" s="12"/>
      <c r="J1204" s="12"/>
      <c r="K1204" s="12"/>
      <c r="L1204" s="12"/>
      <c r="M1204" s="12"/>
    </row>
    <row r="1205">
      <c r="A1205" s="282"/>
      <c r="B1205" s="272"/>
      <c r="C1205" s="272"/>
      <c r="D1205" s="272"/>
      <c r="E1205" s="273"/>
      <c r="F1205" s="273"/>
      <c r="I1205" s="12"/>
      <c r="J1205" s="12"/>
      <c r="K1205" s="12"/>
      <c r="L1205" s="12"/>
      <c r="M1205" s="12"/>
    </row>
    <row r="1206">
      <c r="A1206" s="282"/>
      <c r="B1206" s="272"/>
      <c r="C1206" s="272"/>
      <c r="D1206" s="272"/>
      <c r="E1206" s="273"/>
      <c r="F1206" s="273"/>
      <c r="I1206" s="12"/>
      <c r="J1206" s="12"/>
      <c r="K1206" s="12"/>
      <c r="L1206" s="12"/>
      <c r="M1206" s="12"/>
    </row>
    <row r="1207">
      <c r="A1207" s="282"/>
      <c r="B1207" s="272"/>
      <c r="C1207" s="272"/>
      <c r="D1207" s="272"/>
      <c r="E1207" s="273"/>
      <c r="F1207" s="273"/>
      <c r="I1207" s="12"/>
      <c r="J1207" s="12"/>
      <c r="K1207" s="12"/>
      <c r="L1207" s="12"/>
      <c r="M1207" s="12"/>
    </row>
    <row r="1208">
      <c r="A1208" s="282"/>
      <c r="B1208" s="272"/>
      <c r="C1208" s="272"/>
      <c r="D1208" s="272"/>
      <c r="E1208" s="273"/>
      <c r="F1208" s="273"/>
      <c r="I1208" s="12"/>
      <c r="J1208" s="12"/>
      <c r="K1208" s="12"/>
      <c r="L1208" s="12"/>
      <c r="M1208" s="12"/>
    </row>
    <row r="1209">
      <c r="A1209" s="282"/>
      <c r="B1209" s="272"/>
      <c r="C1209" s="272"/>
      <c r="D1209" s="272"/>
      <c r="E1209" s="273"/>
      <c r="F1209" s="273"/>
      <c r="I1209" s="12"/>
      <c r="J1209" s="12"/>
      <c r="K1209" s="12"/>
      <c r="L1209" s="12"/>
      <c r="M1209" s="12"/>
    </row>
    <row r="1210">
      <c r="A1210" s="282"/>
      <c r="B1210" s="272"/>
      <c r="C1210" s="272"/>
      <c r="D1210" s="272"/>
      <c r="E1210" s="273"/>
      <c r="F1210" s="273"/>
      <c r="I1210" s="12"/>
      <c r="J1210" s="12"/>
      <c r="K1210" s="12"/>
      <c r="L1210" s="12"/>
      <c r="M1210" s="12"/>
    </row>
    <row r="1211">
      <c r="A1211" s="282"/>
      <c r="B1211" s="272"/>
      <c r="C1211" s="272"/>
      <c r="D1211" s="272"/>
      <c r="E1211" s="273"/>
      <c r="F1211" s="273"/>
      <c r="I1211" s="12"/>
      <c r="J1211" s="12"/>
      <c r="K1211" s="12"/>
      <c r="L1211" s="12"/>
      <c r="M1211" s="12"/>
    </row>
    <row r="1212">
      <c r="A1212" s="282"/>
      <c r="B1212" s="272"/>
      <c r="C1212" s="272"/>
      <c r="D1212" s="272"/>
      <c r="E1212" s="273"/>
      <c r="F1212" s="273"/>
      <c r="I1212" s="12"/>
      <c r="J1212" s="12"/>
      <c r="K1212" s="12"/>
      <c r="L1212" s="12"/>
      <c r="M1212" s="12"/>
    </row>
    <row r="1213">
      <c r="A1213" s="282"/>
      <c r="B1213" s="272"/>
      <c r="C1213" s="272"/>
      <c r="D1213" s="272"/>
      <c r="E1213" s="273"/>
      <c r="F1213" s="273"/>
      <c r="I1213" s="12"/>
      <c r="J1213" s="12"/>
      <c r="K1213" s="12"/>
      <c r="L1213" s="12"/>
      <c r="M1213" s="12"/>
    </row>
    <row r="1214">
      <c r="A1214" s="282"/>
      <c r="B1214" s="272"/>
      <c r="C1214" s="272"/>
      <c r="D1214" s="272"/>
      <c r="E1214" s="273"/>
      <c r="F1214" s="273"/>
      <c r="I1214" s="12"/>
      <c r="J1214" s="12"/>
      <c r="K1214" s="12"/>
      <c r="L1214" s="12"/>
      <c r="M1214" s="12"/>
    </row>
    <row r="1215">
      <c r="A1215" s="282"/>
      <c r="B1215" s="272"/>
      <c r="C1215" s="272"/>
      <c r="D1215" s="272"/>
      <c r="E1215" s="273"/>
      <c r="F1215" s="273"/>
      <c r="I1215" s="12"/>
      <c r="J1215" s="12"/>
      <c r="K1215" s="12"/>
      <c r="L1215" s="12"/>
      <c r="M1215" s="12"/>
    </row>
    <row r="1216">
      <c r="A1216" s="282"/>
      <c r="B1216" s="272"/>
      <c r="C1216" s="272"/>
      <c r="D1216" s="272"/>
      <c r="E1216" s="273"/>
      <c r="F1216" s="273"/>
      <c r="I1216" s="12"/>
      <c r="J1216" s="12"/>
      <c r="K1216" s="12"/>
      <c r="L1216" s="12"/>
      <c r="M1216" s="12"/>
    </row>
    <row r="1217">
      <c r="A1217" s="282"/>
      <c r="B1217" s="272"/>
      <c r="C1217" s="272"/>
      <c r="D1217" s="272"/>
      <c r="E1217" s="273"/>
      <c r="F1217" s="273"/>
      <c r="I1217" s="12"/>
      <c r="J1217" s="12"/>
      <c r="K1217" s="12"/>
      <c r="L1217" s="12"/>
      <c r="M1217" s="12"/>
    </row>
    <row r="1218">
      <c r="A1218" s="282"/>
      <c r="B1218" s="272"/>
      <c r="C1218" s="272"/>
      <c r="D1218" s="272"/>
      <c r="E1218" s="273"/>
      <c r="F1218" s="273"/>
      <c r="I1218" s="12"/>
      <c r="J1218" s="12"/>
      <c r="K1218" s="12"/>
      <c r="L1218" s="12"/>
      <c r="M1218" s="12"/>
    </row>
    <row r="1219">
      <c r="A1219" s="282"/>
      <c r="B1219" s="272"/>
      <c r="C1219" s="272"/>
      <c r="D1219" s="272"/>
      <c r="E1219" s="273"/>
      <c r="F1219" s="273"/>
      <c r="I1219" s="12"/>
      <c r="J1219" s="12"/>
      <c r="K1219" s="12"/>
      <c r="L1219" s="12"/>
      <c r="M1219" s="12"/>
    </row>
    <row r="1220">
      <c r="A1220" s="282"/>
      <c r="B1220" s="272"/>
      <c r="C1220" s="272"/>
      <c r="D1220" s="272"/>
      <c r="E1220" s="273"/>
      <c r="F1220" s="273"/>
      <c r="I1220" s="12"/>
      <c r="J1220" s="12"/>
      <c r="K1220" s="12"/>
      <c r="L1220" s="12"/>
      <c r="M1220" s="12"/>
    </row>
    <row r="1221">
      <c r="A1221" s="282"/>
      <c r="B1221" s="272"/>
      <c r="C1221" s="272"/>
      <c r="D1221" s="272"/>
      <c r="E1221" s="273"/>
      <c r="F1221" s="273"/>
      <c r="I1221" s="12"/>
      <c r="J1221" s="12"/>
      <c r="K1221" s="12"/>
      <c r="L1221" s="12"/>
      <c r="M1221" s="12"/>
    </row>
    <row r="1222">
      <c r="A1222" s="282"/>
      <c r="B1222" s="272"/>
      <c r="C1222" s="272"/>
      <c r="D1222" s="272"/>
      <c r="E1222" s="273"/>
      <c r="F1222" s="273"/>
      <c r="I1222" s="12"/>
      <c r="J1222" s="12"/>
      <c r="K1222" s="12"/>
      <c r="L1222" s="12"/>
      <c r="M1222" s="12"/>
    </row>
    <row r="1223">
      <c r="A1223" s="282"/>
      <c r="B1223" s="272"/>
      <c r="C1223" s="272"/>
      <c r="D1223" s="272"/>
      <c r="E1223" s="273"/>
      <c r="F1223" s="273"/>
      <c r="I1223" s="12"/>
      <c r="J1223" s="12"/>
      <c r="K1223" s="12"/>
      <c r="L1223" s="12"/>
      <c r="M1223" s="12"/>
    </row>
    <row r="1224">
      <c r="A1224" s="282"/>
      <c r="B1224" s="272"/>
      <c r="C1224" s="272"/>
      <c r="D1224" s="272"/>
      <c r="E1224" s="273"/>
      <c r="F1224" s="273"/>
      <c r="I1224" s="12"/>
      <c r="J1224" s="12"/>
      <c r="K1224" s="12"/>
      <c r="L1224" s="12"/>
      <c r="M1224" s="12"/>
    </row>
    <row r="1225">
      <c r="A1225" s="282"/>
      <c r="B1225" s="272"/>
      <c r="C1225" s="272"/>
      <c r="D1225" s="272"/>
      <c r="E1225" s="273"/>
      <c r="F1225" s="273"/>
      <c r="I1225" s="12"/>
      <c r="J1225" s="12"/>
      <c r="K1225" s="12"/>
      <c r="L1225" s="12"/>
      <c r="M1225" s="12"/>
    </row>
    <row r="1226">
      <c r="A1226" s="282"/>
      <c r="B1226" s="272"/>
      <c r="C1226" s="272"/>
      <c r="D1226" s="272"/>
      <c r="E1226" s="273"/>
      <c r="F1226" s="273"/>
      <c r="I1226" s="12"/>
      <c r="J1226" s="12"/>
      <c r="K1226" s="12"/>
      <c r="L1226" s="12"/>
      <c r="M1226" s="12"/>
    </row>
    <row r="1227">
      <c r="A1227" s="282"/>
      <c r="B1227" s="272"/>
      <c r="C1227" s="272"/>
      <c r="D1227" s="272"/>
      <c r="E1227" s="273"/>
      <c r="F1227" s="273"/>
      <c r="I1227" s="12"/>
      <c r="J1227" s="12"/>
      <c r="K1227" s="12"/>
      <c r="L1227" s="12"/>
      <c r="M1227" s="12"/>
    </row>
    <row r="1228">
      <c r="A1228" s="282"/>
      <c r="B1228" s="272"/>
      <c r="C1228" s="272"/>
      <c r="D1228" s="272"/>
      <c r="E1228" s="273"/>
      <c r="F1228" s="273"/>
      <c r="I1228" s="12"/>
      <c r="J1228" s="12"/>
      <c r="K1228" s="12"/>
      <c r="L1228" s="12"/>
      <c r="M1228" s="12"/>
    </row>
    <row r="1229">
      <c r="A1229" s="282"/>
      <c r="B1229" s="272"/>
      <c r="C1229" s="272"/>
      <c r="D1229" s="272"/>
      <c r="E1229" s="273"/>
      <c r="F1229" s="273"/>
      <c r="I1229" s="12"/>
      <c r="J1229" s="12"/>
      <c r="K1229" s="12"/>
      <c r="L1229" s="12"/>
      <c r="M1229" s="12"/>
    </row>
    <row r="1230">
      <c r="A1230" s="282"/>
      <c r="B1230" s="272"/>
      <c r="C1230" s="272"/>
      <c r="D1230" s="272"/>
      <c r="E1230" s="273"/>
      <c r="F1230" s="273"/>
      <c r="I1230" s="12"/>
      <c r="J1230" s="12"/>
      <c r="K1230" s="12"/>
      <c r="L1230" s="12"/>
      <c r="M1230" s="12"/>
    </row>
    <row r="1231">
      <c r="A1231" s="282"/>
      <c r="B1231" s="272"/>
      <c r="C1231" s="272"/>
      <c r="D1231" s="272"/>
      <c r="E1231" s="273"/>
      <c r="F1231" s="273"/>
      <c r="I1231" s="12"/>
      <c r="J1231" s="12"/>
      <c r="K1231" s="12"/>
      <c r="L1231" s="12"/>
      <c r="M1231" s="12"/>
    </row>
    <row r="1232">
      <c r="A1232" s="282"/>
      <c r="B1232" s="272"/>
      <c r="C1232" s="272"/>
      <c r="D1232" s="272"/>
      <c r="E1232" s="273"/>
      <c r="F1232" s="273"/>
      <c r="I1232" s="12"/>
      <c r="J1232" s="12"/>
      <c r="K1232" s="12"/>
      <c r="L1232" s="12"/>
      <c r="M1232" s="12"/>
    </row>
    <row r="1233">
      <c r="A1233" s="282"/>
      <c r="B1233" s="272"/>
      <c r="C1233" s="272"/>
      <c r="D1233" s="272"/>
      <c r="E1233" s="273"/>
      <c r="F1233" s="273"/>
      <c r="I1233" s="12"/>
      <c r="J1233" s="12"/>
      <c r="K1233" s="12"/>
      <c r="L1233" s="12"/>
      <c r="M1233" s="12"/>
    </row>
    <row r="1234">
      <c r="A1234" s="282"/>
      <c r="B1234" s="272"/>
      <c r="C1234" s="272"/>
      <c r="D1234" s="272"/>
      <c r="E1234" s="273"/>
      <c r="F1234" s="273"/>
      <c r="I1234" s="12"/>
      <c r="J1234" s="12"/>
      <c r="K1234" s="12"/>
      <c r="L1234" s="12"/>
      <c r="M1234" s="12"/>
    </row>
    <row r="1235">
      <c r="A1235" s="282"/>
      <c r="B1235" s="272"/>
      <c r="C1235" s="272"/>
      <c r="D1235" s="272"/>
      <c r="E1235" s="273"/>
      <c r="F1235" s="273"/>
      <c r="I1235" s="12"/>
      <c r="J1235" s="12"/>
      <c r="K1235" s="12"/>
      <c r="L1235" s="12"/>
      <c r="M1235" s="12"/>
    </row>
    <row r="1236">
      <c r="A1236" s="282"/>
      <c r="B1236" s="272"/>
      <c r="C1236" s="272"/>
      <c r="D1236" s="272"/>
      <c r="E1236" s="273"/>
      <c r="F1236" s="273"/>
      <c r="I1236" s="12"/>
      <c r="J1236" s="12"/>
      <c r="K1236" s="12"/>
      <c r="L1236" s="12"/>
      <c r="M1236" s="12"/>
    </row>
    <row r="1237">
      <c r="A1237" s="282"/>
      <c r="B1237" s="272"/>
      <c r="C1237" s="272"/>
      <c r="D1237" s="272"/>
      <c r="E1237" s="273"/>
      <c r="F1237" s="273"/>
      <c r="I1237" s="12"/>
      <c r="J1237" s="12"/>
      <c r="K1237" s="12"/>
      <c r="L1237" s="12"/>
      <c r="M1237" s="12"/>
    </row>
    <row r="1238">
      <c r="A1238" s="282"/>
      <c r="B1238" s="272"/>
      <c r="C1238" s="272"/>
      <c r="D1238" s="272"/>
      <c r="E1238" s="273"/>
      <c r="F1238" s="273"/>
      <c r="I1238" s="12"/>
      <c r="J1238" s="12"/>
      <c r="K1238" s="12"/>
      <c r="L1238" s="12"/>
      <c r="M1238" s="12"/>
    </row>
    <row r="1239">
      <c r="A1239" s="282"/>
      <c r="B1239" s="272"/>
      <c r="C1239" s="272"/>
      <c r="D1239" s="272"/>
      <c r="E1239" s="273"/>
      <c r="F1239" s="273"/>
      <c r="I1239" s="12"/>
      <c r="J1239" s="12"/>
      <c r="K1239" s="12"/>
      <c r="L1239" s="12"/>
      <c r="M1239" s="12"/>
    </row>
    <row r="1240">
      <c r="A1240" s="282"/>
      <c r="B1240" s="272"/>
      <c r="C1240" s="272"/>
      <c r="D1240" s="272"/>
      <c r="E1240" s="273"/>
      <c r="F1240" s="273"/>
      <c r="I1240" s="12"/>
      <c r="J1240" s="12"/>
      <c r="K1240" s="12"/>
      <c r="L1240" s="12"/>
      <c r="M1240" s="12"/>
    </row>
    <row r="1241">
      <c r="A1241" s="282"/>
      <c r="B1241" s="272"/>
      <c r="C1241" s="272"/>
      <c r="D1241" s="272"/>
      <c r="E1241" s="273"/>
      <c r="F1241" s="273"/>
      <c r="I1241" s="12"/>
      <c r="J1241" s="12"/>
      <c r="K1241" s="12"/>
      <c r="L1241" s="12"/>
      <c r="M1241" s="12"/>
    </row>
    <row r="1242">
      <c r="A1242" s="282"/>
      <c r="B1242" s="272"/>
      <c r="C1242" s="272"/>
      <c r="D1242" s="272"/>
      <c r="E1242" s="273"/>
      <c r="F1242" s="273"/>
      <c r="I1242" s="12"/>
      <c r="J1242" s="12"/>
      <c r="K1242" s="12"/>
      <c r="L1242" s="12"/>
      <c r="M1242" s="12"/>
    </row>
    <row r="1243">
      <c r="A1243" s="282"/>
      <c r="B1243" s="272"/>
      <c r="C1243" s="272"/>
      <c r="D1243" s="272"/>
      <c r="E1243" s="273"/>
      <c r="F1243" s="273"/>
      <c r="I1243" s="12"/>
      <c r="J1243" s="12"/>
      <c r="K1243" s="12"/>
      <c r="L1243" s="12"/>
      <c r="M1243" s="12"/>
    </row>
    <row r="1244">
      <c r="A1244" s="282"/>
      <c r="B1244" s="272"/>
      <c r="C1244" s="272"/>
      <c r="D1244" s="272"/>
      <c r="E1244" s="273"/>
      <c r="F1244" s="273"/>
      <c r="I1244" s="12"/>
      <c r="J1244" s="12"/>
      <c r="K1244" s="12"/>
      <c r="L1244" s="12"/>
      <c r="M1244" s="12"/>
    </row>
    <row r="1245">
      <c r="A1245" s="282"/>
      <c r="B1245" s="272"/>
      <c r="C1245" s="272"/>
      <c r="D1245" s="272"/>
      <c r="E1245" s="273"/>
      <c r="F1245" s="273"/>
      <c r="I1245" s="12"/>
      <c r="J1245" s="12"/>
      <c r="K1245" s="12"/>
      <c r="L1245" s="12"/>
      <c r="M1245" s="12"/>
    </row>
    <row r="1246">
      <c r="A1246" s="282"/>
      <c r="B1246" s="272"/>
      <c r="C1246" s="272"/>
      <c r="D1246" s="272"/>
      <c r="E1246" s="273"/>
      <c r="F1246" s="273"/>
      <c r="I1246" s="12"/>
      <c r="J1246" s="12"/>
      <c r="K1246" s="12"/>
      <c r="L1246" s="12"/>
      <c r="M1246" s="12"/>
    </row>
    <row r="1247">
      <c r="A1247" s="282"/>
      <c r="B1247" s="272"/>
      <c r="C1247" s="272"/>
      <c r="D1247" s="272"/>
      <c r="E1247" s="273"/>
      <c r="F1247" s="273"/>
      <c r="I1247" s="12"/>
      <c r="J1247" s="12"/>
      <c r="K1247" s="12"/>
      <c r="L1247" s="12"/>
      <c r="M1247" s="12"/>
    </row>
    <row r="1248">
      <c r="A1248" s="282"/>
      <c r="B1248" s="272"/>
      <c r="C1248" s="272"/>
      <c r="D1248" s="272"/>
      <c r="E1248" s="273"/>
      <c r="F1248" s="273"/>
      <c r="I1248" s="12"/>
      <c r="J1248" s="12"/>
      <c r="K1248" s="12"/>
      <c r="L1248" s="12"/>
      <c r="M1248" s="12"/>
    </row>
    <row r="1249">
      <c r="A1249" s="282"/>
      <c r="B1249" s="272"/>
      <c r="C1249" s="272"/>
      <c r="D1249" s="272"/>
      <c r="E1249" s="273"/>
      <c r="F1249" s="273"/>
      <c r="I1249" s="12"/>
      <c r="J1249" s="12"/>
      <c r="K1249" s="12"/>
      <c r="L1249" s="12"/>
      <c r="M1249" s="12"/>
    </row>
    <row r="1250">
      <c r="A1250" s="282"/>
      <c r="B1250" s="272"/>
      <c r="C1250" s="272"/>
      <c r="D1250" s="272"/>
      <c r="E1250" s="273"/>
      <c r="F1250" s="273"/>
      <c r="I1250" s="12"/>
      <c r="J1250" s="12"/>
      <c r="K1250" s="12"/>
      <c r="L1250" s="12"/>
      <c r="M1250" s="12"/>
    </row>
    <row r="1251">
      <c r="A1251" s="282"/>
      <c r="B1251" s="272"/>
      <c r="C1251" s="272"/>
      <c r="D1251" s="272"/>
      <c r="E1251" s="273"/>
      <c r="F1251" s="273"/>
      <c r="I1251" s="12"/>
      <c r="J1251" s="12"/>
      <c r="K1251" s="12"/>
      <c r="L1251" s="12"/>
      <c r="M1251" s="12"/>
    </row>
    <row r="1252">
      <c r="A1252" s="282"/>
      <c r="B1252" s="272"/>
      <c r="C1252" s="272"/>
      <c r="D1252" s="272"/>
      <c r="E1252" s="273"/>
      <c r="F1252" s="273"/>
      <c r="I1252" s="12"/>
      <c r="J1252" s="12"/>
      <c r="K1252" s="12"/>
      <c r="L1252" s="12"/>
      <c r="M1252" s="12"/>
    </row>
    <row r="1253">
      <c r="A1253" s="282"/>
      <c r="B1253" s="272"/>
      <c r="C1253" s="272"/>
      <c r="D1253" s="272"/>
      <c r="E1253" s="273"/>
      <c r="F1253" s="273"/>
      <c r="I1253" s="12"/>
      <c r="J1253" s="12"/>
      <c r="K1253" s="12"/>
      <c r="L1253" s="12"/>
      <c r="M1253" s="12"/>
    </row>
    <row r="1254">
      <c r="A1254" s="282"/>
      <c r="B1254" s="272"/>
      <c r="C1254" s="272"/>
      <c r="D1254" s="272"/>
      <c r="E1254" s="273"/>
      <c r="F1254" s="273"/>
      <c r="I1254" s="12"/>
      <c r="J1254" s="12"/>
      <c r="K1254" s="12"/>
      <c r="L1254" s="12"/>
      <c r="M1254" s="12"/>
    </row>
    <row r="1255">
      <c r="A1255" s="282"/>
      <c r="B1255" s="272"/>
      <c r="C1255" s="272"/>
      <c r="D1255" s="272"/>
      <c r="E1255" s="273"/>
      <c r="F1255" s="273"/>
      <c r="I1255" s="12"/>
      <c r="J1255" s="12"/>
      <c r="K1255" s="12"/>
      <c r="L1255" s="12"/>
      <c r="M1255" s="12"/>
    </row>
    <row r="1256">
      <c r="A1256" s="282"/>
      <c r="B1256" s="272"/>
      <c r="C1256" s="272"/>
      <c r="D1256" s="272"/>
      <c r="E1256" s="273"/>
      <c r="F1256" s="273"/>
      <c r="I1256" s="12"/>
      <c r="J1256" s="12"/>
      <c r="K1256" s="12"/>
      <c r="L1256" s="12"/>
      <c r="M1256" s="12"/>
    </row>
    <row r="1257">
      <c r="A1257" s="282"/>
      <c r="B1257" s="272"/>
      <c r="C1257" s="272"/>
      <c r="D1257" s="272"/>
      <c r="E1257" s="273"/>
      <c r="F1257" s="273"/>
      <c r="I1257" s="12"/>
      <c r="J1257" s="12"/>
      <c r="K1257" s="12"/>
      <c r="L1257" s="12"/>
      <c r="M1257" s="12"/>
    </row>
    <row r="1258">
      <c r="A1258" s="282"/>
      <c r="B1258" s="272"/>
      <c r="C1258" s="272"/>
      <c r="D1258" s="272"/>
      <c r="E1258" s="273"/>
      <c r="F1258" s="273"/>
      <c r="I1258" s="12"/>
      <c r="J1258" s="12"/>
      <c r="K1258" s="12"/>
      <c r="L1258" s="12"/>
      <c r="M1258" s="12"/>
    </row>
    <row r="1259">
      <c r="A1259" s="282"/>
      <c r="B1259" s="272"/>
      <c r="C1259" s="272"/>
      <c r="D1259" s="272"/>
      <c r="E1259" s="273"/>
      <c r="F1259" s="273"/>
      <c r="I1259" s="12"/>
      <c r="J1259" s="12"/>
      <c r="K1259" s="12"/>
      <c r="L1259" s="12"/>
      <c r="M1259" s="12"/>
    </row>
    <row r="1260">
      <c r="A1260" s="282"/>
      <c r="B1260" s="272"/>
      <c r="C1260" s="272"/>
      <c r="D1260" s="272"/>
      <c r="E1260" s="273"/>
      <c r="F1260" s="273"/>
      <c r="I1260" s="12"/>
      <c r="J1260" s="12"/>
      <c r="K1260" s="12"/>
      <c r="L1260" s="12"/>
      <c r="M1260" s="12"/>
    </row>
    <row r="1261">
      <c r="A1261" s="282"/>
      <c r="B1261" s="272"/>
      <c r="C1261" s="272"/>
      <c r="D1261" s="272"/>
      <c r="E1261" s="273"/>
      <c r="F1261" s="273"/>
      <c r="I1261" s="12"/>
      <c r="J1261" s="12"/>
      <c r="K1261" s="12"/>
      <c r="L1261" s="12"/>
      <c r="M1261" s="12"/>
    </row>
    <row r="1262">
      <c r="A1262" s="282"/>
      <c r="B1262" s="272"/>
      <c r="C1262" s="272"/>
      <c r="D1262" s="272"/>
      <c r="E1262" s="273"/>
      <c r="F1262" s="273"/>
      <c r="I1262" s="12"/>
      <c r="J1262" s="12"/>
      <c r="K1262" s="12"/>
      <c r="L1262" s="12"/>
      <c r="M1262" s="12"/>
    </row>
    <row r="1263">
      <c r="A1263" s="282"/>
      <c r="B1263" s="272"/>
      <c r="C1263" s="272"/>
      <c r="D1263" s="272"/>
      <c r="E1263" s="273"/>
      <c r="F1263" s="273"/>
      <c r="I1263" s="12"/>
      <c r="J1263" s="12"/>
      <c r="K1263" s="12"/>
      <c r="L1263" s="12"/>
      <c r="M1263" s="12"/>
    </row>
    <row r="1264">
      <c r="A1264" s="282"/>
      <c r="B1264" s="272"/>
      <c r="C1264" s="272"/>
      <c r="D1264" s="272"/>
      <c r="E1264" s="273"/>
      <c r="F1264" s="273"/>
      <c r="I1264" s="12"/>
      <c r="J1264" s="12"/>
      <c r="K1264" s="12"/>
      <c r="L1264" s="12"/>
      <c r="M1264" s="12"/>
    </row>
    <row r="1265">
      <c r="A1265" s="282"/>
      <c r="B1265" s="272"/>
      <c r="C1265" s="272"/>
      <c r="D1265" s="272"/>
      <c r="E1265" s="273"/>
      <c r="F1265" s="273"/>
      <c r="I1265" s="12"/>
      <c r="J1265" s="12"/>
      <c r="K1265" s="12"/>
      <c r="L1265" s="12"/>
      <c r="M1265" s="12"/>
    </row>
    <row r="1266">
      <c r="A1266" s="282"/>
      <c r="B1266" s="272"/>
      <c r="C1266" s="272"/>
      <c r="D1266" s="272"/>
      <c r="E1266" s="273"/>
      <c r="F1266" s="273"/>
      <c r="I1266" s="12"/>
      <c r="J1266" s="12"/>
      <c r="K1266" s="12"/>
      <c r="L1266" s="12"/>
      <c r="M1266" s="12"/>
    </row>
    <row r="1267">
      <c r="A1267" s="282"/>
      <c r="B1267" s="272"/>
      <c r="C1267" s="272"/>
      <c r="D1267" s="272"/>
      <c r="E1267" s="273"/>
      <c r="F1267" s="273"/>
      <c r="I1267" s="12"/>
      <c r="J1267" s="12"/>
      <c r="K1267" s="12"/>
      <c r="L1267" s="12"/>
      <c r="M1267" s="12"/>
    </row>
    <row r="1268">
      <c r="A1268" s="282"/>
      <c r="B1268" s="272"/>
      <c r="C1268" s="272"/>
      <c r="D1268" s="272"/>
      <c r="E1268" s="273"/>
      <c r="F1268" s="273"/>
      <c r="I1268" s="12"/>
      <c r="J1268" s="12"/>
      <c r="K1268" s="12"/>
      <c r="L1268" s="12"/>
      <c r="M1268" s="12"/>
    </row>
    <row r="1269">
      <c r="A1269" s="282"/>
      <c r="B1269" s="272"/>
      <c r="C1269" s="272"/>
      <c r="D1269" s="272"/>
      <c r="E1269" s="273"/>
      <c r="F1269" s="273"/>
      <c r="I1269" s="12"/>
      <c r="J1269" s="12"/>
      <c r="K1269" s="12"/>
      <c r="L1269" s="12"/>
      <c r="M1269" s="12"/>
    </row>
    <row r="1270">
      <c r="A1270" s="282"/>
      <c r="B1270" s="272"/>
      <c r="C1270" s="272"/>
      <c r="D1270" s="272"/>
      <c r="E1270" s="273"/>
      <c r="F1270" s="273"/>
      <c r="I1270" s="12"/>
      <c r="J1270" s="12"/>
      <c r="K1270" s="12"/>
      <c r="L1270" s="12"/>
      <c r="M1270" s="12"/>
    </row>
    <row r="1271">
      <c r="A1271" s="282"/>
      <c r="B1271" s="272"/>
      <c r="C1271" s="272"/>
      <c r="D1271" s="272"/>
      <c r="E1271" s="273"/>
      <c r="F1271" s="273"/>
      <c r="I1271" s="12"/>
      <c r="J1271" s="12"/>
      <c r="K1271" s="12"/>
      <c r="L1271" s="12"/>
      <c r="M1271" s="12"/>
    </row>
    <row r="1272">
      <c r="A1272" s="282"/>
      <c r="B1272" s="272"/>
      <c r="C1272" s="272"/>
      <c r="D1272" s="272"/>
      <c r="E1272" s="273"/>
      <c r="F1272" s="273"/>
      <c r="I1272" s="12"/>
      <c r="J1272" s="12"/>
      <c r="K1272" s="12"/>
      <c r="L1272" s="12"/>
      <c r="M1272" s="12"/>
    </row>
    <row r="1273">
      <c r="A1273" s="282"/>
      <c r="B1273" s="272"/>
      <c r="C1273" s="272"/>
      <c r="D1273" s="272"/>
      <c r="E1273" s="273"/>
      <c r="F1273" s="273"/>
      <c r="I1273" s="12"/>
      <c r="J1273" s="12"/>
      <c r="K1273" s="12"/>
      <c r="L1273" s="12"/>
      <c r="M1273" s="12"/>
    </row>
    <row r="1274">
      <c r="A1274" s="282"/>
      <c r="B1274" s="272"/>
      <c r="C1274" s="272"/>
      <c r="D1274" s="272"/>
      <c r="E1274" s="273"/>
      <c r="F1274" s="273"/>
      <c r="I1274" s="12"/>
      <c r="J1274" s="12"/>
      <c r="K1274" s="12"/>
      <c r="L1274" s="12"/>
      <c r="M1274" s="12"/>
    </row>
    <row r="1275">
      <c r="A1275" s="282"/>
      <c r="B1275" s="272"/>
      <c r="C1275" s="272"/>
      <c r="D1275" s="272"/>
      <c r="E1275" s="273"/>
      <c r="F1275" s="273"/>
      <c r="I1275" s="12"/>
      <c r="J1275" s="12"/>
      <c r="K1275" s="12"/>
      <c r="L1275" s="12"/>
      <c r="M1275" s="12"/>
    </row>
    <row r="1276">
      <c r="A1276" s="282"/>
      <c r="B1276" s="272"/>
      <c r="C1276" s="272"/>
      <c r="D1276" s="272"/>
      <c r="E1276" s="273"/>
      <c r="F1276" s="273"/>
      <c r="I1276" s="12"/>
      <c r="J1276" s="12"/>
      <c r="K1276" s="12"/>
      <c r="L1276" s="12"/>
      <c r="M1276" s="12"/>
    </row>
    <row r="1277">
      <c r="A1277" s="282"/>
      <c r="B1277" s="272"/>
      <c r="C1277" s="272"/>
      <c r="D1277" s="272"/>
      <c r="E1277" s="273"/>
      <c r="F1277" s="273"/>
      <c r="I1277" s="12"/>
      <c r="J1277" s="12"/>
      <c r="K1277" s="12"/>
      <c r="L1277" s="12"/>
      <c r="M1277" s="12"/>
    </row>
    <row r="1278">
      <c r="A1278" s="282"/>
      <c r="B1278" s="272"/>
      <c r="C1278" s="272"/>
      <c r="D1278" s="272"/>
      <c r="E1278" s="273"/>
      <c r="F1278" s="273"/>
      <c r="I1278" s="12"/>
      <c r="J1278" s="12"/>
      <c r="K1278" s="12"/>
      <c r="L1278" s="12"/>
      <c r="M1278" s="12"/>
    </row>
    <row r="1279">
      <c r="A1279" s="282"/>
      <c r="B1279" s="272"/>
      <c r="C1279" s="272"/>
      <c r="D1279" s="272"/>
      <c r="E1279" s="273"/>
      <c r="F1279" s="273"/>
      <c r="I1279" s="12"/>
      <c r="J1279" s="12"/>
      <c r="K1279" s="12"/>
      <c r="L1279" s="12"/>
      <c r="M1279" s="12"/>
    </row>
    <row r="1280">
      <c r="A1280" s="282"/>
      <c r="B1280" s="272"/>
      <c r="C1280" s="272"/>
      <c r="D1280" s="272"/>
      <c r="E1280" s="273"/>
      <c r="F1280" s="273"/>
      <c r="I1280" s="12"/>
      <c r="J1280" s="12"/>
      <c r="K1280" s="12"/>
      <c r="L1280" s="12"/>
      <c r="M1280" s="12"/>
    </row>
    <row r="1281">
      <c r="A1281" s="282"/>
      <c r="B1281" s="272"/>
      <c r="C1281" s="272"/>
      <c r="D1281" s="272"/>
      <c r="E1281" s="273"/>
      <c r="F1281" s="273"/>
      <c r="I1281" s="12"/>
      <c r="J1281" s="12"/>
      <c r="K1281" s="12"/>
      <c r="L1281" s="12"/>
      <c r="M1281" s="12"/>
    </row>
    <row r="1282">
      <c r="A1282" s="282"/>
      <c r="B1282" s="272"/>
      <c r="C1282" s="272"/>
      <c r="D1282" s="272"/>
      <c r="E1282" s="273"/>
      <c r="F1282" s="273"/>
      <c r="I1282" s="12"/>
      <c r="J1282" s="12"/>
      <c r="K1282" s="12"/>
      <c r="L1282" s="12"/>
      <c r="M1282" s="12"/>
    </row>
    <row r="1283">
      <c r="A1283" s="282"/>
      <c r="B1283" s="272"/>
      <c r="C1283" s="272"/>
      <c r="D1283" s="272"/>
      <c r="E1283" s="273"/>
      <c r="F1283" s="273"/>
      <c r="I1283" s="12"/>
      <c r="J1283" s="12"/>
      <c r="K1283" s="12"/>
      <c r="L1283" s="12"/>
      <c r="M1283" s="12"/>
    </row>
    <row r="1284">
      <c r="A1284" s="282"/>
      <c r="B1284" s="272"/>
      <c r="C1284" s="272"/>
      <c r="D1284" s="272"/>
      <c r="E1284" s="273"/>
      <c r="F1284" s="273"/>
      <c r="I1284" s="12"/>
      <c r="J1284" s="12"/>
      <c r="K1284" s="12"/>
      <c r="L1284" s="12"/>
      <c r="M1284" s="12"/>
    </row>
    <row r="1285">
      <c r="A1285" s="282"/>
      <c r="B1285" s="272"/>
      <c r="C1285" s="272"/>
      <c r="D1285" s="272"/>
      <c r="E1285" s="273"/>
      <c r="F1285" s="273"/>
      <c r="I1285" s="12"/>
      <c r="J1285" s="12"/>
      <c r="K1285" s="12"/>
      <c r="L1285" s="12"/>
      <c r="M1285" s="12"/>
    </row>
    <row r="1286">
      <c r="A1286" s="282"/>
      <c r="B1286" s="272"/>
      <c r="C1286" s="272"/>
      <c r="D1286" s="272"/>
      <c r="E1286" s="273"/>
      <c r="F1286" s="273"/>
      <c r="I1286" s="12"/>
      <c r="J1286" s="12"/>
      <c r="K1286" s="12"/>
      <c r="L1286" s="12"/>
      <c r="M1286" s="12"/>
    </row>
    <row r="1287">
      <c r="A1287" s="282"/>
      <c r="B1287" s="272"/>
      <c r="C1287" s="272"/>
      <c r="D1287" s="272"/>
      <c r="E1287" s="273"/>
      <c r="F1287" s="273"/>
      <c r="I1287" s="12"/>
      <c r="J1287" s="12"/>
      <c r="K1287" s="12"/>
      <c r="L1287" s="12"/>
      <c r="M1287" s="12"/>
    </row>
    <row r="1288">
      <c r="A1288" s="282"/>
      <c r="B1288" s="272"/>
      <c r="C1288" s="272"/>
      <c r="D1288" s="272"/>
      <c r="E1288" s="273"/>
      <c r="F1288" s="273"/>
      <c r="I1288" s="12"/>
      <c r="J1288" s="12"/>
      <c r="K1288" s="12"/>
      <c r="L1288" s="12"/>
      <c r="M1288" s="12"/>
    </row>
    <row r="1289">
      <c r="A1289" s="282"/>
      <c r="B1289" s="272"/>
      <c r="C1289" s="272"/>
      <c r="D1289" s="272"/>
      <c r="E1289" s="273"/>
      <c r="F1289" s="273"/>
      <c r="I1289" s="12"/>
      <c r="J1289" s="12"/>
      <c r="K1289" s="12"/>
      <c r="L1289" s="12"/>
      <c r="M1289" s="12"/>
    </row>
    <row r="1290">
      <c r="A1290" s="282"/>
      <c r="B1290" s="272"/>
      <c r="C1290" s="272"/>
      <c r="D1290" s="272"/>
      <c r="E1290" s="273"/>
      <c r="F1290" s="273"/>
      <c r="I1290" s="12"/>
      <c r="J1290" s="12"/>
      <c r="K1290" s="12"/>
      <c r="L1290" s="12"/>
      <c r="M1290" s="12"/>
    </row>
    <row r="1291">
      <c r="A1291" s="282"/>
      <c r="B1291" s="272"/>
      <c r="C1291" s="272"/>
      <c r="D1291" s="272"/>
      <c r="E1291" s="273"/>
      <c r="F1291" s="273"/>
      <c r="I1291" s="12"/>
      <c r="J1291" s="12"/>
      <c r="K1291" s="12"/>
      <c r="L1291" s="12"/>
      <c r="M1291" s="12"/>
    </row>
    <row r="1292">
      <c r="A1292" s="282"/>
      <c r="B1292" s="272"/>
      <c r="C1292" s="272"/>
      <c r="D1292" s="272"/>
      <c r="E1292" s="273"/>
      <c r="F1292" s="273"/>
      <c r="I1292" s="12"/>
      <c r="J1292" s="12"/>
      <c r="K1292" s="12"/>
      <c r="L1292" s="12"/>
      <c r="M1292" s="12"/>
    </row>
    <row r="1293">
      <c r="A1293" s="282"/>
      <c r="B1293" s="272"/>
      <c r="C1293" s="272"/>
      <c r="D1293" s="272"/>
      <c r="E1293" s="273"/>
      <c r="F1293" s="273"/>
      <c r="I1293" s="12"/>
      <c r="J1293" s="12"/>
      <c r="K1293" s="12"/>
      <c r="L1293" s="12"/>
      <c r="M1293" s="12"/>
    </row>
    <row r="1294">
      <c r="A1294" s="282"/>
      <c r="B1294" s="272"/>
      <c r="C1294" s="272"/>
      <c r="D1294" s="272"/>
      <c r="E1294" s="273"/>
      <c r="F1294" s="273"/>
      <c r="I1294" s="12"/>
      <c r="J1294" s="12"/>
      <c r="K1294" s="12"/>
      <c r="L1294" s="12"/>
      <c r="M1294" s="12"/>
    </row>
    <row r="1295">
      <c r="A1295" s="282"/>
      <c r="B1295" s="272"/>
      <c r="C1295" s="272"/>
      <c r="D1295" s="272"/>
      <c r="E1295" s="273"/>
      <c r="F1295" s="273"/>
      <c r="I1295" s="12"/>
      <c r="J1295" s="12"/>
      <c r="K1295" s="12"/>
      <c r="L1295" s="12"/>
      <c r="M1295" s="12"/>
    </row>
    <row r="1296">
      <c r="A1296" s="282"/>
      <c r="B1296" s="272"/>
      <c r="C1296" s="272"/>
      <c r="D1296" s="272"/>
      <c r="E1296" s="273"/>
      <c r="F1296" s="273"/>
      <c r="I1296" s="12"/>
      <c r="J1296" s="12"/>
      <c r="K1296" s="12"/>
      <c r="L1296" s="12"/>
      <c r="M1296" s="12"/>
    </row>
    <row r="1297">
      <c r="A1297" s="282"/>
      <c r="B1297" s="272"/>
      <c r="C1297" s="272"/>
      <c r="D1297" s="272"/>
      <c r="E1297" s="273"/>
      <c r="F1297" s="273"/>
      <c r="I1297" s="12"/>
      <c r="J1297" s="12"/>
      <c r="K1297" s="12"/>
      <c r="L1297" s="12"/>
      <c r="M1297" s="12"/>
    </row>
    <row r="1298">
      <c r="A1298" s="282"/>
      <c r="B1298" s="272"/>
      <c r="C1298" s="272"/>
      <c r="D1298" s="272"/>
      <c r="E1298" s="273"/>
      <c r="F1298" s="273"/>
      <c r="I1298" s="12"/>
      <c r="J1298" s="12"/>
      <c r="K1298" s="12"/>
      <c r="L1298" s="12"/>
      <c r="M1298" s="12"/>
    </row>
    <row r="1299">
      <c r="A1299" s="282"/>
      <c r="B1299" s="272"/>
      <c r="C1299" s="272"/>
      <c r="D1299" s="272"/>
      <c r="E1299" s="273"/>
      <c r="F1299" s="273"/>
      <c r="I1299" s="12"/>
      <c r="J1299" s="12"/>
      <c r="K1299" s="12"/>
      <c r="L1299" s="12"/>
      <c r="M1299" s="12"/>
    </row>
    <row r="1300">
      <c r="A1300" s="282"/>
      <c r="B1300" s="272"/>
      <c r="C1300" s="272"/>
      <c r="D1300" s="272"/>
      <c r="E1300" s="273"/>
      <c r="F1300" s="273"/>
      <c r="I1300" s="12"/>
      <c r="J1300" s="12"/>
      <c r="K1300" s="12"/>
      <c r="L1300" s="12"/>
      <c r="M1300" s="12"/>
    </row>
    <row r="1301">
      <c r="A1301" s="282"/>
      <c r="B1301" s="272"/>
      <c r="C1301" s="272"/>
      <c r="D1301" s="272"/>
      <c r="E1301" s="273"/>
      <c r="F1301" s="273"/>
      <c r="I1301" s="12"/>
      <c r="J1301" s="12"/>
      <c r="K1301" s="12"/>
      <c r="L1301" s="12"/>
      <c r="M1301" s="12"/>
    </row>
    <row r="1302">
      <c r="A1302" s="282"/>
      <c r="B1302" s="272"/>
      <c r="C1302" s="272"/>
      <c r="D1302" s="272"/>
      <c r="E1302" s="273"/>
      <c r="F1302" s="273"/>
      <c r="I1302" s="12"/>
      <c r="J1302" s="12"/>
      <c r="K1302" s="12"/>
      <c r="L1302" s="12"/>
      <c r="M1302" s="12"/>
    </row>
    <row r="1303">
      <c r="A1303" s="282"/>
      <c r="B1303" s="272"/>
      <c r="C1303" s="272"/>
      <c r="D1303" s="272"/>
      <c r="E1303" s="273"/>
      <c r="F1303" s="273"/>
      <c r="I1303" s="12"/>
      <c r="J1303" s="12"/>
      <c r="K1303" s="12"/>
      <c r="L1303" s="12"/>
      <c r="M1303" s="12"/>
    </row>
    <row r="1304">
      <c r="A1304" s="282"/>
      <c r="B1304" s="272"/>
      <c r="C1304" s="272"/>
      <c r="D1304" s="272"/>
      <c r="E1304" s="273"/>
      <c r="F1304" s="273"/>
      <c r="I1304" s="12"/>
      <c r="J1304" s="12"/>
      <c r="K1304" s="12"/>
      <c r="L1304" s="12"/>
      <c r="M1304" s="12"/>
    </row>
    <row r="1305">
      <c r="A1305" s="282"/>
      <c r="B1305" s="272"/>
      <c r="C1305" s="272"/>
      <c r="D1305" s="272"/>
      <c r="E1305" s="273"/>
      <c r="F1305" s="273"/>
      <c r="I1305" s="12"/>
      <c r="J1305" s="12"/>
      <c r="K1305" s="12"/>
      <c r="L1305" s="12"/>
      <c r="M1305" s="12"/>
    </row>
    <row r="1306">
      <c r="A1306" s="282"/>
      <c r="B1306" s="272"/>
      <c r="C1306" s="272"/>
      <c r="D1306" s="272"/>
      <c r="E1306" s="273"/>
      <c r="F1306" s="273"/>
      <c r="I1306" s="12"/>
      <c r="J1306" s="12"/>
      <c r="K1306" s="12"/>
      <c r="L1306" s="12"/>
      <c r="M1306" s="12"/>
    </row>
    <row r="1307">
      <c r="A1307" s="282"/>
      <c r="B1307" s="272"/>
      <c r="C1307" s="272"/>
      <c r="D1307" s="272"/>
      <c r="E1307" s="273"/>
      <c r="F1307" s="273"/>
      <c r="I1307" s="12"/>
      <c r="J1307" s="12"/>
      <c r="K1307" s="12"/>
      <c r="L1307" s="12"/>
      <c r="M1307" s="12"/>
    </row>
    <row r="1308">
      <c r="A1308" s="282"/>
      <c r="B1308" s="272"/>
      <c r="C1308" s="272"/>
      <c r="D1308" s="272"/>
      <c r="E1308" s="273"/>
      <c r="F1308" s="273"/>
      <c r="I1308" s="12"/>
      <c r="J1308" s="12"/>
      <c r="K1308" s="12"/>
      <c r="L1308" s="12"/>
      <c r="M1308" s="12"/>
    </row>
    <row r="1309">
      <c r="A1309" s="282"/>
      <c r="B1309" s="272"/>
      <c r="C1309" s="272"/>
      <c r="D1309" s="272"/>
      <c r="E1309" s="273"/>
      <c r="F1309" s="273"/>
      <c r="I1309" s="12"/>
      <c r="J1309" s="12"/>
      <c r="K1309" s="12"/>
      <c r="L1309" s="12"/>
      <c r="M1309" s="12"/>
    </row>
    <row r="1310">
      <c r="A1310" s="282"/>
      <c r="B1310" s="272"/>
      <c r="C1310" s="272"/>
      <c r="D1310" s="272"/>
      <c r="E1310" s="273"/>
      <c r="F1310" s="273"/>
      <c r="I1310" s="12"/>
      <c r="J1310" s="12"/>
      <c r="K1310" s="12"/>
      <c r="L1310" s="12"/>
      <c r="M1310" s="12"/>
    </row>
    <row r="1311">
      <c r="A1311" s="282"/>
      <c r="B1311" s="272"/>
      <c r="C1311" s="272"/>
      <c r="D1311" s="272"/>
      <c r="E1311" s="273"/>
      <c r="F1311" s="273"/>
      <c r="I1311" s="12"/>
      <c r="J1311" s="12"/>
      <c r="K1311" s="12"/>
      <c r="L1311" s="12"/>
      <c r="M1311" s="12"/>
    </row>
    <row r="1312">
      <c r="A1312" s="282"/>
      <c r="B1312" s="272"/>
      <c r="C1312" s="272"/>
      <c r="D1312" s="272"/>
      <c r="E1312" s="273"/>
      <c r="F1312" s="273"/>
      <c r="I1312" s="12"/>
      <c r="J1312" s="12"/>
      <c r="K1312" s="12"/>
      <c r="L1312" s="12"/>
      <c r="M1312" s="12"/>
    </row>
    <row r="1313">
      <c r="A1313" s="282"/>
      <c r="B1313" s="272"/>
      <c r="C1313" s="272"/>
      <c r="D1313" s="272"/>
      <c r="E1313" s="273"/>
      <c r="F1313" s="273"/>
      <c r="I1313" s="12"/>
      <c r="J1313" s="12"/>
      <c r="K1313" s="12"/>
      <c r="L1313" s="12"/>
      <c r="M1313" s="12"/>
    </row>
    <row r="1314">
      <c r="A1314" s="282"/>
      <c r="B1314" s="272"/>
      <c r="C1314" s="272"/>
      <c r="D1314" s="272"/>
      <c r="E1314" s="273"/>
      <c r="F1314" s="273"/>
      <c r="I1314" s="12"/>
      <c r="J1314" s="12"/>
      <c r="K1314" s="12"/>
      <c r="L1314" s="12"/>
      <c r="M1314" s="12"/>
    </row>
    <row r="1315">
      <c r="A1315" s="282"/>
      <c r="B1315" s="272"/>
      <c r="C1315" s="272"/>
      <c r="D1315" s="272"/>
      <c r="E1315" s="273"/>
      <c r="F1315" s="273"/>
      <c r="I1315" s="12"/>
      <c r="J1315" s="12"/>
      <c r="K1315" s="12"/>
      <c r="L1315" s="12"/>
      <c r="M1315" s="12"/>
    </row>
    <row r="1316">
      <c r="A1316" s="282"/>
      <c r="B1316" s="272"/>
      <c r="C1316" s="272"/>
      <c r="D1316" s="272"/>
      <c r="E1316" s="273"/>
      <c r="F1316" s="273"/>
      <c r="I1316" s="12"/>
      <c r="J1316" s="12"/>
      <c r="K1316" s="12"/>
      <c r="L1316" s="12"/>
      <c r="M1316" s="12"/>
    </row>
    <row r="1317">
      <c r="A1317" s="282"/>
      <c r="B1317" s="272"/>
      <c r="C1317" s="272"/>
      <c r="D1317" s="272"/>
      <c r="E1317" s="273"/>
      <c r="F1317" s="273"/>
      <c r="I1317" s="12"/>
      <c r="J1317" s="12"/>
      <c r="K1317" s="12"/>
      <c r="L1317" s="12"/>
      <c r="M1317" s="12"/>
    </row>
    <row r="1318">
      <c r="A1318" s="282"/>
      <c r="B1318" s="272"/>
      <c r="C1318" s="272"/>
      <c r="D1318" s="272"/>
      <c r="E1318" s="273"/>
      <c r="F1318" s="273"/>
      <c r="I1318" s="12"/>
      <c r="J1318" s="12"/>
      <c r="K1318" s="12"/>
      <c r="L1318" s="12"/>
      <c r="M1318" s="12"/>
    </row>
    <row r="1319">
      <c r="A1319" s="282"/>
      <c r="B1319" s="272"/>
      <c r="C1319" s="272"/>
      <c r="D1319" s="272"/>
      <c r="E1319" s="273"/>
      <c r="F1319" s="273"/>
      <c r="I1319" s="12"/>
      <c r="J1319" s="12"/>
      <c r="K1319" s="12"/>
      <c r="L1319" s="12"/>
      <c r="M1319" s="12"/>
    </row>
    <row r="1320">
      <c r="A1320" s="282"/>
      <c r="B1320" s="272"/>
      <c r="C1320" s="272"/>
      <c r="D1320" s="272"/>
      <c r="E1320" s="273"/>
      <c r="F1320" s="273"/>
      <c r="I1320" s="12"/>
      <c r="J1320" s="12"/>
      <c r="K1320" s="12"/>
      <c r="L1320" s="12"/>
      <c r="M1320" s="12"/>
    </row>
    <row r="1321">
      <c r="A1321" s="282"/>
      <c r="B1321" s="272"/>
      <c r="C1321" s="272"/>
      <c r="D1321" s="272"/>
      <c r="E1321" s="273"/>
      <c r="F1321" s="273"/>
      <c r="I1321" s="12"/>
      <c r="J1321" s="12"/>
      <c r="K1321" s="12"/>
      <c r="L1321" s="12"/>
      <c r="M1321" s="12"/>
    </row>
    <row r="1322">
      <c r="A1322" s="282"/>
      <c r="B1322" s="272"/>
      <c r="C1322" s="272"/>
      <c r="D1322" s="272"/>
      <c r="E1322" s="273"/>
      <c r="F1322" s="273"/>
      <c r="I1322" s="12"/>
      <c r="J1322" s="12"/>
      <c r="K1322" s="12"/>
      <c r="L1322" s="12"/>
      <c r="M1322" s="12"/>
    </row>
    <row r="1323">
      <c r="A1323" s="282"/>
      <c r="B1323" s="272"/>
      <c r="C1323" s="272"/>
      <c r="D1323" s="272"/>
      <c r="E1323" s="273"/>
      <c r="F1323" s="273"/>
      <c r="I1323" s="12"/>
      <c r="J1323" s="12"/>
      <c r="K1323" s="12"/>
      <c r="L1323" s="12"/>
      <c r="M1323" s="12"/>
    </row>
    <row r="1324">
      <c r="A1324" s="282"/>
      <c r="B1324" s="272"/>
      <c r="C1324" s="272"/>
      <c r="D1324" s="272"/>
      <c r="E1324" s="273"/>
      <c r="F1324" s="273"/>
      <c r="I1324" s="12"/>
      <c r="J1324" s="12"/>
      <c r="K1324" s="12"/>
      <c r="L1324" s="12"/>
      <c r="M1324" s="12"/>
    </row>
    <row r="1325">
      <c r="A1325" s="282"/>
      <c r="B1325" s="272"/>
      <c r="C1325" s="272"/>
      <c r="D1325" s="272"/>
      <c r="E1325" s="273"/>
      <c r="F1325" s="273"/>
      <c r="I1325" s="12"/>
      <c r="J1325" s="12"/>
      <c r="K1325" s="12"/>
      <c r="L1325" s="12"/>
      <c r="M1325" s="12"/>
    </row>
    <row r="1326">
      <c r="A1326" s="282"/>
      <c r="B1326" s="272"/>
      <c r="C1326" s="272"/>
      <c r="D1326" s="272"/>
      <c r="E1326" s="273"/>
      <c r="F1326" s="273"/>
      <c r="I1326" s="12"/>
      <c r="J1326" s="12"/>
      <c r="K1326" s="12"/>
      <c r="L1326" s="12"/>
      <c r="M1326" s="12"/>
    </row>
    <row r="1327">
      <c r="A1327" s="282"/>
      <c r="B1327" s="272"/>
      <c r="C1327" s="272"/>
      <c r="D1327" s="272"/>
      <c r="E1327" s="273"/>
      <c r="F1327" s="273"/>
      <c r="I1327" s="12"/>
      <c r="J1327" s="12"/>
      <c r="K1327" s="12"/>
      <c r="L1327" s="12"/>
      <c r="M1327" s="12"/>
    </row>
    <row r="1328">
      <c r="A1328" s="282"/>
      <c r="B1328" s="272"/>
      <c r="C1328" s="272"/>
      <c r="D1328" s="272"/>
      <c r="E1328" s="273"/>
      <c r="F1328" s="273"/>
      <c r="I1328" s="12"/>
      <c r="J1328" s="12"/>
      <c r="K1328" s="12"/>
      <c r="L1328" s="12"/>
      <c r="M1328" s="12"/>
    </row>
    <row r="1329">
      <c r="A1329" s="282"/>
      <c r="B1329" s="272"/>
      <c r="C1329" s="272"/>
      <c r="D1329" s="272"/>
      <c r="E1329" s="273"/>
      <c r="F1329" s="273"/>
      <c r="I1329" s="12"/>
      <c r="J1329" s="12"/>
      <c r="K1329" s="12"/>
      <c r="L1329" s="12"/>
      <c r="M1329" s="12"/>
    </row>
    <row r="1330">
      <c r="A1330" s="282"/>
      <c r="B1330" s="272"/>
      <c r="C1330" s="272"/>
      <c r="D1330" s="272"/>
      <c r="E1330" s="273"/>
      <c r="F1330" s="273"/>
      <c r="I1330" s="12"/>
      <c r="J1330" s="12"/>
      <c r="K1330" s="12"/>
      <c r="L1330" s="12"/>
      <c r="M1330" s="12"/>
    </row>
    <row r="1331">
      <c r="A1331" s="282"/>
      <c r="B1331" s="272"/>
      <c r="C1331" s="272"/>
      <c r="D1331" s="272"/>
      <c r="E1331" s="273"/>
      <c r="F1331" s="273"/>
      <c r="I1331" s="12"/>
      <c r="J1331" s="12"/>
      <c r="K1331" s="12"/>
      <c r="L1331" s="12"/>
      <c r="M1331" s="12"/>
    </row>
    <row r="1332">
      <c r="A1332" s="282"/>
      <c r="B1332" s="272"/>
      <c r="C1332" s="272"/>
      <c r="D1332" s="272"/>
      <c r="E1332" s="273"/>
      <c r="F1332" s="273"/>
      <c r="I1332" s="12"/>
      <c r="J1332" s="12"/>
      <c r="K1332" s="12"/>
      <c r="L1332" s="12"/>
      <c r="M1332" s="12"/>
    </row>
    <row r="1333">
      <c r="A1333" s="282"/>
      <c r="B1333" s="272"/>
      <c r="C1333" s="272"/>
      <c r="D1333" s="272"/>
      <c r="E1333" s="273"/>
      <c r="F1333" s="273"/>
      <c r="I1333" s="12"/>
      <c r="J1333" s="12"/>
      <c r="K1333" s="12"/>
      <c r="L1333" s="12"/>
      <c r="M1333" s="12"/>
    </row>
    <row r="1334">
      <c r="A1334" s="282"/>
      <c r="B1334" s="272"/>
      <c r="C1334" s="272"/>
      <c r="D1334" s="272"/>
      <c r="E1334" s="273"/>
      <c r="F1334" s="273"/>
      <c r="I1334" s="12"/>
      <c r="J1334" s="12"/>
      <c r="K1334" s="12"/>
      <c r="L1334" s="12"/>
      <c r="M1334" s="12"/>
    </row>
    <row r="1335">
      <c r="A1335" s="282"/>
      <c r="B1335" s="272"/>
      <c r="C1335" s="272"/>
      <c r="D1335" s="272"/>
      <c r="E1335" s="273"/>
      <c r="F1335" s="273"/>
      <c r="I1335" s="12"/>
      <c r="J1335" s="12"/>
      <c r="K1335" s="12"/>
      <c r="L1335" s="12"/>
      <c r="M1335" s="12"/>
    </row>
    <row r="1336">
      <c r="A1336" s="282"/>
      <c r="B1336" s="272"/>
      <c r="C1336" s="272"/>
      <c r="D1336" s="272"/>
      <c r="E1336" s="273"/>
      <c r="F1336" s="273"/>
      <c r="I1336" s="12"/>
      <c r="J1336" s="12"/>
      <c r="K1336" s="12"/>
      <c r="L1336" s="12"/>
      <c r="M1336" s="12"/>
    </row>
    <row r="1337">
      <c r="A1337" s="282"/>
      <c r="B1337" s="272"/>
      <c r="C1337" s="272"/>
      <c r="D1337" s="272"/>
      <c r="E1337" s="273"/>
      <c r="F1337" s="273"/>
      <c r="I1337" s="12"/>
      <c r="J1337" s="12"/>
      <c r="K1337" s="12"/>
      <c r="L1337" s="12"/>
      <c r="M1337" s="12"/>
    </row>
    <row r="1338">
      <c r="A1338" s="282"/>
      <c r="B1338" s="272"/>
      <c r="C1338" s="272"/>
      <c r="D1338" s="272"/>
      <c r="E1338" s="273"/>
      <c r="F1338" s="273"/>
      <c r="I1338" s="12"/>
      <c r="J1338" s="12"/>
      <c r="K1338" s="12"/>
      <c r="L1338" s="12"/>
      <c r="M1338" s="12"/>
    </row>
    <row r="1339">
      <c r="A1339" s="282"/>
      <c r="B1339" s="272"/>
      <c r="C1339" s="272"/>
      <c r="D1339" s="272"/>
      <c r="E1339" s="273"/>
      <c r="F1339" s="273"/>
      <c r="I1339" s="12"/>
      <c r="J1339" s="12"/>
      <c r="K1339" s="12"/>
      <c r="L1339" s="12"/>
      <c r="M1339" s="12"/>
    </row>
    <row r="1340">
      <c r="A1340" s="282"/>
      <c r="B1340" s="272"/>
      <c r="C1340" s="272"/>
      <c r="D1340" s="272"/>
      <c r="E1340" s="273"/>
      <c r="F1340" s="273"/>
      <c r="I1340" s="12"/>
      <c r="J1340" s="12"/>
      <c r="K1340" s="12"/>
      <c r="L1340" s="12"/>
      <c r="M1340" s="12"/>
    </row>
    <row r="1341">
      <c r="A1341" s="282"/>
      <c r="B1341" s="272"/>
      <c r="C1341" s="272"/>
      <c r="D1341" s="272"/>
      <c r="E1341" s="273"/>
      <c r="F1341" s="273"/>
      <c r="I1341" s="12"/>
      <c r="J1341" s="12"/>
      <c r="K1341" s="12"/>
      <c r="L1341" s="12"/>
      <c r="M1341" s="12"/>
    </row>
    <row r="1342">
      <c r="A1342" s="282"/>
      <c r="B1342" s="272"/>
      <c r="C1342" s="272"/>
      <c r="D1342" s="272"/>
      <c r="E1342" s="273"/>
      <c r="F1342" s="273"/>
      <c r="I1342" s="12"/>
      <c r="J1342" s="12"/>
      <c r="K1342" s="12"/>
      <c r="L1342" s="12"/>
      <c r="M1342" s="12"/>
    </row>
    <row r="1343">
      <c r="A1343" s="282"/>
      <c r="B1343" s="272"/>
      <c r="C1343" s="272"/>
      <c r="D1343" s="272"/>
      <c r="E1343" s="273"/>
      <c r="F1343" s="273"/>
      <c r="I1343" s="12"/>
      <c r="J1343" s="12"/>
      <c r="K1343" s="12"/>
      <c r="L1343" s="12"/>
      <c r="M1343" s="12"/>
    </row>
    <row r="1344">
      <c r="A1344" s="282"/>
      <c r="B1344" s="272"/>
      <c r="C1344" s="272"/>
      <c r="D1344" s="272"/>
      <c r="E1344" s="273"/>
      <c r="F1344" s="273"/>
      <c r="I1344" s="12"/>
      <c r="J1344" s="12"/>
      <c r="K1344" s="12"/>
      <c r="L1344" s="12"/>
      <c r="M1344" s="12"/>
    </row>
    <row r="1345">
      <c r="A1345" s="282"/>
      <c r="B1345" s="272"/>
      <c r="C1345" s="272"/>
      <c r="D1345" s="272"/>
      <c r="E1345" s="273"/>
      <c r="F1345" s="273"/>
      <c r="I1345" s="12"/>
      <c r="J1345" s="12"/>
      <c r="K1345" s="12"/>
      <c r="L1345" s="12"/>
      <c r="M1345" s="12"/>
    </row>
    <row r="1346">
      <c r="A1346" s="282"/>
      <c r="B1346" s="272"/>
      <c r="C1346" s="272"/>
      <c r="D1346" s="272"/>
      <c r="E1346" s="273"/>
      <c r="F1346" s="273"/>
      <c r="I1346" s="12"/>
      <c r="J1346" s="12"/>
      <c r="K1346" s="12"/>
      <c r="L1346" s="12"/>
      <c r="M1346" s="12"/>
    </row>
    <row r="1347">
      <c r="A1347" s="282"/>
      <c r="B1347" s="272"/>
      <c r="C1347" s="272"/>
      <c r="D1347" s="272"/>
      <c r="E1347" s="273"/>
      <c r="F1347" s="273"/>
      <c r="I1347" s="12"/>
      <c r="J1347" s="12"/>
      <c r="K1347" s="12"/>
      <c r="L1347" s="12"/>
      <c r="M1347" s="12"/>
    </row>
    <row r="1348">
      <c r="A1348" s="282"/>
      <c r="B1348" s="272"/>
      <c r="C1348" s="272"/>
      <c r="D1348" s="272"/>
      <c r="E1348" s="273"/>
      <c r="F1348" s="273"/>
      <c r="I1348" s="12"/>
      <c r="J1348" s="12"/>
      <c r="K1348" s="12"/>
      <c r="L1348" s="12"/>
      <c r="M1348" s="12"/>
    </row>
    <row r="1349">
      <c r="A1349" s="282"/>
      <c r="B1349" s="272"/>
      <c r="C1349" s="272"/>
      <c r="D1349" s="272"/>
      <c r="E1349" s="273"/>
      <c r="F1349" s="273"/>
      <c r="I1349" s="12"/>
      <c r="J1349" s="12"/>
      <c r="K1349" s="12"/>
      <c r="L1349" s="12"/>
      <c r="M1349" s="12"/>
    </row>
    <row r="1350">
      <c r="A1350" s="282"/>
      <c r="B1350" s="272"/>
      <c r="C1350" s="272"/>
      <c r="D1350" s="272"/>
      <c r="E1350" s="273"/>
      <c r="F1350" s="273"/>
      <c r="I1350" s="12"/>
      <c r="J1350" s="12"/>
      <c r="K1350" s="12"/>
      <c r="L1350" s="12"/>
      <c r="M1350" s="12"/>
    </row>
    <row r="1351">
      <c r="A1351" s="282"/>
      <c r="B1351" s="272"/>
      <c r="C1351" s="272"/>
      <c r="D1351" s="272"/>
      <c r="E1351" s="273"/>
      <c r="F1351" s="273"/>
      <c r="I1351" s="12"/>
      <c r="J1351" s="12"/>
      <c r="K1351" s="12"/>
      <c r="L1351" s="12"/>
      <c r="M1351" s="12"/>
    </row>
    <row r="1352">
      <c r="A1352" s="282"/>
      <c r="B1352" s="272"/>
      <c r="C1352" s="272"/>
      <c r="D1352" s="272"/>
      <c r="E1352" s="273"/>
      <c r="F1352" s="273"/>
      <c r="I1352" s="12"/>
      <c r="J1352" s="12"/>
      <c r="K1352" s="12"/>
      <c r="L1352" s="12"/>
      <c r="M1352" s="12"/>
    </row>
    <row r="1353">
      <c r="A1353" s="282"/>
      <c r="B1353" s="272"/>
      <c r="C1353" s="272"/>
      <c r="D1353" s="272"/>
      <c r="E1353" s="273"/>
      <c r="F1353" s="273"/>
      <c r="I1353" s="12"/>
      <c r="J1353" s="12"/>
      <c r="K1353" s="12"/>
      <c r="L1353" s="12"/>
      <c r="M1353" s="12"/>
    </row>
    <row r="1354">
      <c r="A1354" s="282"/>
      <c r="B1354" s="272"/>
      <c r="C1354" s="272"/>
      <c r="D1354" s="272"/>
      <c r="E1354" s="273"/>
      <c r="F1354" s="273"/>
      <c r="I1354" s="12"/>
      <c r="J1354" s="12"/>
      <c r="K1354" s="12"/>
      <c r="L1354" s="12"/>
      <c r="M1354" s="12"/>
    </row>
    <row r="1355">
      <c r="A1355" s="282"/>
      <c r="B1355" s="272"/>
      <c r="C1355" s="272"/>
      <c r="D1355" s="272"/>
      <c r="E1355" s="273"/>
      <c r="F1355" s="273"/>
      <c r="I1355" s="12"/>
      <c r="J1355" s="12"/>
      <c r="K1355" s="12"/>
      <c r="L1355" s="12"/>
      <c r="M1355" s="12"/>
    </row>
    <row r="1356">
      <c r="A1356" s="282"/>
      <c r="B1356" s="272"/>
      <c r="C1356" s="272"/>
      <c r="D1356" s="272"/>
      <c r="E1356" s="273"/>
      <c r="F1356" s="273"/>
      <c r="I1356" s="12"/>
      <c r="J1356" s="12"/>
      <c r="K1356" s="12"/>
      <c r="L1356" s="12"/>
      <c r="M1356" s="12"/>
    </row>
    <row r="1357">
      <c r="A1357" s="282"/>
      <c r="B1357" s="272"/>
      <c r="C1357" s="272"/>
      <c r="D1357" s="272"/>
      <c r="E1357" s="273"/>
      <c r="F1357" s="273"/>
      <c r="I1357" s="12"/>
      <c r="J1357" s="12"/>
      <c r="K1357" s="12"/>
      <c r="L1357" s="12"/>
      <c r="M1357" s="12"/>
    </row>
    <row r="1358">
      <c r="A1358" s="282"/>
      <c r="B1358" s="272"/>
      <c r="C1358" s="272"/>
      <c r="D1358" s="272"/>
      <c r="E1358" s="273"/>
      <c r="F1358" s="273"/>
      <c r="I1358" s="12"/>
      <c r="J1358" s="12"/>
      <c r="K1358" s="12"/>
      <c r="L1358" s="12"/>
      <c r="M1358" s="12"/>
    </row>
    <row r="1359">
      <c r="A1359" s="282"/>
      <c r="B1359" s="272"/>
      <c r="C1359" s="272"/>
      <c r="D1359" s="272"/>
      <c r="E1359" s="273"/>
      <c r="F1359" s="273"/>
      <c r="I1359" s="12"/>
      <c r="J1359" s="12"/>
      <c r="K1359" s="12"/>
      <c r="L1359" s="12"/>
      <c r="M1359" s="12"/>
    </row>
    <row r="1360">
      <c r="A1360" s="282"/>
      <c r="B1360" s="272"/>
      <c r="C1360" s="272"/>
      <c r="D1360" s="272"/>
      <c r="E1360" s="273"/>
      <c r="F1360" s="273"/>
      <c r="I1360" s="12"/>
      <c r="J1360" s="12"/>
      <c r="K1360" s="12"/>
      <c r="L1360" s="12"/>
      <c r="M1360" s="12"/>
    </row>
    <row r="1361">
      <c r="A1361" s="282"/>
      <c r="B1361" s="272"/>
      <c r="C1361" s="272"/>
      <c r="D1361" s="272"/>
      <c r="E1361" s="273"/>
      <c r="F1361" s="273"/>
      <c r="I1361" s="12"/>
      <c r="J1361" s="12"/>
      <c r="K1361" s="12"/>
      <c r="L1361" s="12"/>
      <c r="M1361" s="12"/>
    </row>
    <row r="1362">
      <c r="A1362" s="282"/>
      <c r="B1362" s="272"/>
      <c r="C1362" s="272"/>
      <c r="D1362" s="272"/>
      <c r="E1362" s="273"/>
      <c r="F1362" s="273"/>
      <c r="I1362" s="12"/>
      <c r="J1362" s="12"/>
      <c r="K1362" s="12"/>
      <c r="L1362" s="12"/>
      <c r="M1362" s="12"/>
    </row>
    <row r="1363">
      <c r="A1363" s="282"/>
      <c r="B1363" s="272"/>
      <c r="C1363" s="272"/>
      <c r="D1363" s="272"/>
      <c r="E1363" s="273"/>
      <c r="F1363" s="273"/>
      <c r="I1363" s="12"/>
      <c r="J1363" s="12"/>
      <c r="K1363" s="12"/>
      <c r="L1363" s="12"/>
      <c r="M1363" s="12"/>
    </row>
    <row r="1364">
      <c r="A1364" s="282"/>
      <c r="B1364" s="272"/>
      <c r="C1364" s="272"/>
      <c r="D1364" s="272"/>
      <c r="E1364" s="273"/>
      <c r="F1364" s="273"/>
      <c r="I1364" s="12"/>
      <c r="J1364" s="12"/>
      <c r="K1364" s="12"/>
      <c r="L1364" s="12"/>
      <c r="M1364" s="12"/>
    </row>
    <row r="1365">
      <c r="A1365" s="282"/>
      <c r="B1365" s="272"/>
      <c r="C1365" s="272"/>
      <c r="D1365" s="272"/>
      <c r="E1365" s="273"/>
      <c r="F1365" s="273"/>
      <c r="I1365" s="12"/>
      <c r="J1365" s="12"/>
      <c r="K1365" s="12"/>
      <c r="L1365" s="12"/>
      <c r="M1365" s="12"/>
    </row>
    <row r="1366">
      <c r="A1366" s="282"/>
      <c r="B1366" s="272"/>
      <c r="C1366" s="272"/>
      <c r="D1366" s="272"/>
      <c r="E1366" s="273"/>
      <c r="F1366" s="273"/>
      <c r="I1366" s="12"/>
      <c r="J1366" s="12"/>
      <c r="K1366" s="12"/>
      <c r="L1366" s="12"/>
      <c r="M1366" s="12"/>
    </row>
    <row r="1367">
      <c r="A1367" s="282"/>
      <c r="B1367" s="272"/>
      <c r="C1367" s="272"/>
      <c r="D1367" s="272"/>
      <c r="E1367" s="273"/>
      <c r="F1367" s="273"/>
      <c r="I1367" s="12"/>
      <c r="J1367" s="12"/>
      <c r="K1367" s="12"/>
      <c r="L1367" s="12"/>
      <c r="M1367" s="12"/>
    </row>
    <row r="1368">
      <c r="A1368" s="282"/>
      <c r="B1368" s="272"/>
      <c r="C1368" s="272"/>
      <c r="D1368" s="272"/>
      <c r="E1368" s="273"/>
      <c r="F1368" s="273"/>
      <c r="I1368" s="12"/>
      <c r="J1368" s="12"/>
      <c r="K1368" s="12"/>
      <c r="L1368" s="12"/>
      <c r="M1368" s="12"/>
    </row>
    <row r="1369">
      <c r="A1369" s="282"/>
      <c r="B1369" s="272"/>
      <c r="C1369" s="272"/>
      <c r="D1369" s="272"/>
      <c r="E1369" s="273"/>
      <c r="F1369" s="273"/>
      <c r="I1369" s="12"/>
      <c r="J1369" s="12"/>
      <c r="K1369" s="12"/>
      <c r="L1369" s="12"/>
      <c r="M1369" s="12"/>
    </row>
    <row r="1370">
      <c r="A1370" s="282"/>
      <c r="B1370" s="272"/>
      <c r="C1370" s="272"/>
      <c r="D1370" s="272"/>
      <c r="E1370" s="273"/>
      <c r="F1370" s="273"/>
      <c r="I1370" s="12"/>
      <c r="J1370" s="12"/>
      <c r="K1370" s="12"/>
      <c r="L1370" s="12"/>
      <c r="M1370" s="12"/>
    </row>
    <row r="1371">
      <c r="A1371" s="282"/>
      <c r="B1371" s="272"/>
      <c r="C1371" s="272"/>
      <c r="D1371" s="272"/>
      <c r="E1371" s="273"/>
      <c r="F1371" s="273"/>
      <c r="I1371" s="12"/>
      <c r="J1371" s="12"/>
      <c r="K1371" s="12"/>
      <c r="L1371" s="12"/>
      <c r="M1371" s="12"/>
    </row>
    <row r="1372">
      <c r="A1372" s="282"/>
      <c r="B1372" s="272"/>
      <c r="C1372" s="272"/>
      <c r="D1372" s="272"/>
      <c r="E1372" s="273"/>
      <c r="F1372" s="273"/>
      <c r="I1372" s="12"/>
      <c r="J1372" s="12"/>
      <c r="K1372" s="12"/>
      <c r="L1372" s="12"/>
      <c r="M1372" s="12"/>
    </row>
    <row r="1373">
      <c r="A1373" s="282"/>
      <c r="B1373" s="272"/>
      <c r="C1373" s="272"/>
      <c r="D1373" s="272"/>
      <c r="E1373" s="273"/>
      <c r="F1373" s="273"/>
      <c r="I1373" s="12"/>
      <c r="J1373" s="12"/>
      <c r="K1373" s="12"/>
      <c r="L1373" s="12"/>
      <c r="M1373" s="12"/>
    </row>
    <row r="1374">
      <c r="A1374" s="282"/>
      <c r="B1374" s="272"/>
      <c r="C1374" s="272"/>
      <c r="D1374" s="272"/>
      <c r="E1374" s="273"/>
      <c r="F1374" s="273"/>
      <c r="I1374" s="12"/>
      <c r="J1374" s="12"/>
      <c r="K1374" s="12"/>
      <c r="L1374" s="12"/>
      <c r="M1374" s="12"/>
    </row>
    <row r="1375">
      <c r="A1375" s="282"/>
      <c r="B1375" s="272"/>
      <c r="C1375" s="272"/>
      <c r="D1375" s="272"/>
      <c r="E1375" s="273"/>
      <c r="F1375" s="273"/>
      <c r="I1375" s="12"/>
      <c r="J1375" s="12"/>
      <c r="K1375" s="12"/>
      <c r="L1375" s="12"/>
      <c r="M1375" s="12"/>
    </row>
    <row r="1376">
      <c r="A1376" s="282"/>
      <c r="B1376" s="272"/>
      <c r="C1376" s="272"/>
      <c r="D1376" s="272"/>
      <c r="E1376" s="273"/>
      <c r="F1376" s="273"/>
      <c r="I1376" s="12"/>
      <c r="J1376" s="12"/>
      <c r="K1376" s="12"/>
      <c r="L1376" s="12"/>
      <c r="M1376" s="12"/>
    </row>
    <row r="1377">
      <c r="A1377" s="282"/>
      <c r="B1377" s="272"/>
      <c r="C1377" s="272"/>
      <c r="D1377" s="272"/>
      <c r="E1377" s="273"/>
      <c r="F1377" s="273"/>
      <c r="I1377" s="12"/>
      <c r="J1377" s="12"/>
      <c r="K1377" s="12"/>
      <c r="L1377" s="12"/>
      <c r="M1377" s="12"/>
    </row>
    <row r="1378">
      <c r="A1378" s="282"/>
      <c r="B1378" s="272"/>
      <c r="C1378" s="272"/>
      <c r="D1378" s="272"/>
      <c r="E1378" s="273"/>
      <c r="F1378" s="273"/>
      <c r="I1378" s="12"/>
      <c r="J1378" s="12"/>
      <c r="K1378" s="12"/>
      <c r="L1378" s="12"/>
      <c r="M1378" s="12"/>
    </row>
    <row r="1379">
      <c r="A1379" s="282"/>
      <c r="B1379" s="272"/>
      <c r="C1379" s="272"/>
      <c r="D1379" s="272"/>
      <c r="E1379" s="273"/>
      <c r="F1379" s="273"/>
      <c r="I1379" s="12"/>
      <c r="J1379" s="12"/>
      <c r="K1379" s="12"/>
      <c r="L1379" s="12"/>
      <c r="M1379" s="12"/>
    </row>
    <row r="1380">
      <c r="A1380" s="282"/>
      <c r="B1380" s="272"/>
      <c r="C1380" s="272"/>
      <c r="D1380" s="272"/>
      <c r="E1380" s="273"/>
      <c r="F1380" s="273"/>
      <c r="I1380" s="12"/>
      <c r="J1380" s="12"/>
      <c r="K1380" s="12"/>
      <c r="L1380" s="12"/>
      <c r="M1380" s="12"/>
    </row>
    <row r="1381">
      <c r="A1381" s="282"/>
      <c r="B1381" s="272"/>
      <c r="C1381" s="272"/>
      <c r="D1381" s="272"/>
      <c r="E1381" s="273"/>
      <c r="F1381" s="273"/>
      <c r="I1381" s="12"/>
      <c r="J1381" s="12"/>
      <c r="K1381" s="12"/>
      <c r="L1381" s="12"/>
      <c r="M1381" s="12"/>
    </row>
    <row r="1382">
      <c r="A1382" s="282"/>
      <c r="B1382" s="272"/>
      <c r="C1382" s="272"/>
      <c r="D1382" s="272"/>
      <c r="E1382" s="273"/>
      <c r="F1382" s="273"/>
      <c r="I1382" s="12"/>
      <c r="J1382" s="12"/>
      <c r="K1382" s="12"/>
      <c r="L1382" s="12"/>
      <c r="M1382" s="12"/>
    </row>
    <row r="1383">
      <c r="A1383" s="282"/>
      <c r="B1383" s="272"/>
      <c r="C1383" s="272"/>
      <c r="D1383" s="272"/>
      <c r="E1383" s="273"/>
      <c r="F1383" s="273"/>
      <c r="I1383" s="12"/>
      <c r="J1383" s="12"/>
      <c r="K1383" s="12"/>
      <c r="L1383" s="12"/>
      <c r="M1383" s="12"/>
    </row>
    <row r="1384">
      <c r="A1384" s="282"/>
      <c r="B1384" s="272"/>
      <c r="C1384" s="272"/>
      <c r="D1384" s="272"/>
      <c r="E1384" s="273"/>
      <c r="F1384" s="273"/>
      <c r="I1384" s="12"/>
      <c r="J1384" s="12"/>
      <c r="K1384" s="12"/>
      <c r="L1384" s="12"/>
      <c r="M1384" s="12"/>
    </row>
    <row r="1385">
      <c r="A1385" s="282"/>
      <c r="B1385" s="272"/>
      <c r="C1385" s="272"/>
      <c r="D1385" s="272"/>
      <c r="E1385" s="273"/>
      <c r="F1385" s="273"/>
      <c r="I1385" s="12"/>
      <c r="J1385" s="12"/>
      <c r="K1385" s="12"/>
      <c r="L1385" s="12"/>
      <c r="M1385" s="12"/>
    </row>
    <row r="1386">
      <c r="A1386" s="282"/>
      <c r="B1386" s="272"/>
      <c r="C1386" s="272"/>
      <c r="D1386" s="272"/>
      <c r="E1386" s="273"/>
      <c r="F1386" s="273"/>
      <c r="I1386" s="12"/>
      <c r="J1386" s="12"/>
      <c r="K1386" s="12"/>
      <c r="L1386" s="12"/>
      <c r="M1386" s="12"/>
    </row>
    <row r="1387">
      <c r="A1387" s="282"/>
      <c r="B1387" s="272"/>
      <c r="C1387" s="272"/>
      <c r="D1387" s="272"/>
      <c r="E1387" s="273"/>
      <c r="F1387" s="273"/>
      <c r="I1387" s="12"/>
      <c r="J1387" s="12"/>
      <c r="K1387" s="12"/>
      <c r="L1387" s="12"/>
      <c r="M1387" s="12"/>
    </row>
    <row r="1388">
      <c r="A1388" s="282"/>
      <c r="B1388" s="272"/>
      <c r="C1388" s="272"/>
      <c r="D1388" s="272"/>
      <c r="E1388" s="273"/>
      <c r="F1388" s="273"/>
      <c r="I1388" s="12"/>
      <c r="J1388" s="12"/>
      <c r="K1388" s="12"/>
      <c r="L1388" s="12"/>
      <c r="M1388" s="12"/>
    </row>
    <row r="1389">
      <c r="A1389" s="282"/>
      <c r="B1389" s="272"/>
      <c r="C1389" s="272"/>
      <c r="D1389" s="272"/>
      <c r="E1389" s="273"/>
      <c r="F1389" s="273"/>
      <c r="I1389" s="12"/>
      <c r="J1389" s="12"/>
      <c r="K1389" s="12"/>
      <c r="L1389" s="12"/>
      <c r="M1389" s="12"/>
    </row>
    <row r="1390">
      <c r="A1390" s="282"/>
      <c r="B1390" s="272"/>
      <c r="C1390" s="272"/>
      <c r="D1390" s="272"/>
      <c r="E1390" s="273"/>
      <c r="F1390" s="273"/>
      <c r="I1390" s="12"/>
      <c r="J1390" s="12"/>
      <c r="K1390" s="12"/>
      <c r="L1390" s="12"/>
      <c r="M1390" s="12"/>
    </row>
    <row r="1391">
      <c r="A1391" s="282"/>
      <c r="B1391" s="272"/>
      <c r="C1391" s="272"/>
      <c r="D1391" s="272"/>
      <c r="E1391" s="273"/>
      <c r="F1391" s="273"/>
      <c r="I1391" s="12"/>
      <c r="J1391" s="12"/>
      <c r="K1391" s="12"/>
      <c r="L1391" s="12"/>
      <c r="M1391" s="12"/>
    </row>
    <row r="1392">
      <c r="A1392" s="282"/>
      <c r="B1392" s="272"/>
      <c r="C1392" s="272"/>
      <c r="D1392" s="272"/>
      <c r="E1392" s="273"/>
      <c r="F1392" s="273"/>
      <c r="I1392" s="12"/>
      <c r="J1392" s="12"/>
      <c r="K1392" s="12"/>
      <c r="L1392" s="12"/>
      <c r="M1392" s="12"/>
    </row>
    <row r="1393">
      <c r="A1393" s="282"/>
      <c r="B1393" s="272"/>
      <c r="C1393" s="272"/>
      <c r="D1393" s="272"/>
      <c r="E1393" s="273"/>
      <c r="F1393" s="273"/>
      <c r="I1393" s="12"/>
      <c r="J1393" s="12"/>
      <c r="K1393" s="12"/>
      <c r="L1393" s="12"/>
      <c r="M1393" s="12"/>
    </row>
    <row r="1394">
      <c r="A1394" s="282"/>
      <c r="B1394" s="272"/>
      <c r="C1394" s="272"/>
      <c r="D1394" s="272"/>
      <c r="E1394" s="273"/>
      <c r="F1394" s="273"/>
      <c r="I1394" s="12"/>
      <c r="J1394" s="12"/>
      <c r="K1394" s="12"/>
      <c r="L1394" s="12"/>
      <c r="M1394" s="12"/>
    </row>
    <row r="1395">
      <c r="A1395" s="282"/>
      <c r="B1395" s="272"/>
      <c r="C1395" s="272"/>
      <c r="D1395" s="272"/>
      <c r="E1395" s="273"/>
      <c r="F1395" s="273"/>
      <c r="I1395" s="12"/>
      <c r="J1395" s="12"/>
      <c r="K1395" s="12"/>
      <c r="L1395" s="12"/>
      <c r="M1395" s="12"/>
    </row>
    <row r="1396">
      <c r="A1396" s="282"/>
      <c r="B1396" s="272"/>
      <c r="C1396" s="272"/>
      <c r="D1396" s="272"/>
      <c r="E1396" s="273"/>
      <c r="F1396" s="273"/>
      <c r="I1396" s="12"/>
      <c r="J1396" s="12"/>
      <c r="K1396" s="12"/>
      <c r="L1396" s="12"/>
      <c r="M1396" s="12"/>
    </row>
    <row r="1397">
      <c r="A1397" s="282"/>
      <c r="B1397" s="272"/>
      <c r="C1397" s="272"/>
      <c r="D1397" s="272"/>
      <c r="E1397" s="273"/>
      <c r="F1397" s="273"/>
      <c r="I1397" s="12"/>
      <c r="J1397" s="12"/>
      <c r="K1397" s="12"/>
      <c r="L1397" s="12"/>
      <c r="M1397" s="12"/>
    </row>
    <row r="1398">
      <c r="A1398" s="282"/>
      <c r="B1398" s="272"/>
      <c r="C1398" s="272"/>
      <c r="D1398" s="272"/>
      <c r="E1398" s="273"/>
      <c r="F1398" s="273"/>
      <c r="I1398" s="12"/>
      <c r="J1398" s="12"/>
      <c r="K1398" s="12"/>
      <c r="L1398" s="12"/>
      <c r="M1398" s="12"/>
    </row>
    <row r="1399">
      <c r="A1399" s="282"/>
      <c r="B1399" s="272"/>
      <c r="C1399" s="272"/>
      <c r="D1399" s="272"/>
      <c r="E1399" s="273"/>
      <c r="F1399" s="273"/>
      <c r="I1399" s="12"/>
      <c r="J1399" s="12"/>
      <c r="K1399" s="12"/>
      <c r="L1399" s="12"/>
      <c r="M1399" s="12"/>
    </row>
    <row r="1400">
      <c r="A1400" s="282"/>
      <c r="B1400" s="272"/>
      <c r="C1400" s="272"/>
      <c r="D1400" s="272"/>
      <c r="E1400" s="273"/>
      <c r="F1400" s="273"/>
      <c r="I1400" s="12"/>
      <c r="J1400" s="12"/>
      <c r="K1400" s="12"/>
      <c r="L1400" s="12"/>
      <c r="M1400" s="12"/>
    </row>
    <row r="1401">
      <c r="A1401" s="282"/>
      <c r="B1401" s="272"/>
      <c r="C1401" s="272"/>
      <c r="D1401" s="272"/>
      <c r="E1401" s="273"/>
      <c r="F1401" s="273"/>
      <c r="I1401" s="12"/>
      <c r="J1401" s="12"/>
      <c r="K1401" s="12"/>
      <c r="L1401" s="12"/>
      <c r="M1401" s="12"/>
    </row>
    <row r="1402">
      <c r="A1402" s="282"/>
      <c r="B1402" s="272"/>
      <c r="C1402" s="272"/>
      <c r="D1402" s="272"/>
      <c r="E1402" s="273"/>
      <c r="F1402" s="273"/>
      <c r="I1402" s="12"/>
      <c r="J1402" s="12"/>
      <c r="K1402" s="12"/>
      <c r="L1402" s="12"/>
      <c r="M1402" s="12"/>
    </row>
    <row r="1403">
      <c r="A1403" s="282"/>
      <c r="B1403" s="272"/>
      <c r="C1403" s="272"/>
      <c r="D1403" s="272"/>
      <c r="E1403" s="273"/>
      <c r="F1403" s="273"/>
      <c r="I1403" s="12"/>
      <c r="J1403" s="12"/>
      <c r="K1403" s="12"/>
      <c r="L1403" s="12"/>
      <c r="M1403" s="12"/>
    </row>
    <row r="1404">
      <c r="A1404" s="282"/>
      <c r="B1404" s="272"/>
      <c r="C1404" s="272"/>
      <c r="D1404" s="272"/>
      <c r="E1404" s="273"/>
      <c r="F1404" s="273"/>
      <c r="I1404" s="12"/>
      <c r="J1404" s="12"/>
      <c r="K1404" s="12"/>
      <c r="L1404" s="12"/>
      <c r="M1404" s="12"/>
    </row>
    <row r="1405">
      <c r="A1405" s="282"/>
      <c r="B1405" s="272"/>
      <c r="C1405" s="272"/>
      <c r="D1405" s="272"/>
      <c r="E1405" s="273"/>
      <c r="F1405" s="273"/>
      <c r="I1405" s="12"/>
      <c r="J1405" s="12"/>
      <c r="K1405" s="12"/>
      <c r="L1405" s="12"/>
      <c r="M1405" s="12"/>
    </row>
    <row r="1406">
      <c r="A1406" s="282"/>
      <c r="B1406" s="272"/>
      <c r="C1406" s="272"/>
      <c r="D1406" s="272"/>
      <c r="E1406" s="273"/>
      <c r="F1406" s="273"/>
      <c r="I1406" s="12"/>
      <c r="J1406" s="12"/>
      <c r="K1406" s="12"/>
      <c r="L1406" s="12"/>
      <c r="M1406" s="12"/>
    </row>
    <row r="1407">
      <c r="A1407" s="282"/>
      <c r="B1407" s="272"/>
      <c r="C1407" s="272"/>
      <c r="D1407" s="272"/>
      <c r="E1407" s="273"/>
      <c r="F1407" s="273"/>
      <c r="I1407" s="12"/>
      <c r="J1407" s="12"/>
      <c r="K1407" s="12"/>
      <c r="L1407" s="12"/>
      <c r="M1407" s="12"/>
    </row>
    <row r="1408">
      <c r="A1408" s="282"/>
      <c r="B1408" s="272"/>
      <c r="C1408" s="272"/>
      <c r="D1408" s="272"/>
      <c r="E1408" s="273"/>
      <c r="F1408" s="273"/>
      <c r="I1408" s="12"/>
      <c r="J1408" s="12"/>
      <c r="K1408" s="12"/>
      <c r="L1408" s="12"/>
      <c r="M1408" s="12"/>
    </row>
    <row r="1409">
      <c r="A1409" s="282"/>
      <c r="B1409" s="272"/>
      <c r="C1409" s="272"/>
      <c r="D1409" s="272"/>
      <c r="E1409" s="273"/>
      <c r="F1409" s="273"/>
      <c r="I1409" s="12"/>
      <c r="J1409" s="12"/>
      <c r="K1409" s="12"/>
      <c r="L1409" s="12"/>
      <c r="M1409" s="12"/>
    </row>
    <row r="1410">
      <c r="A1410" s="282"/>
      <c r="B1410" s="272"/>
      <c r="C1410" s="272"/>
      <c r="D1410" s="272"/>
      <c r="E1410" s="273"/>
      <c r="F1410" s="273"/>
      <c r="I1410" s="12"/>
      <c r="J1410" s="12"/>
      <c r="K1410" s="12"/>
      <c r="L1410" s="12"/>
      <c r="M1410" s="12"/>
    </row>
    <row r="1411">
      <c r="A1411" s="282"/>
      <c r="B1411" s="272"/>
      <c r="C1411" s="272"/>
      <c r="D1411" s="272"/>
      <c r="E1411" s="273"/>
      <c r="F1411" s="273"/>
      <c r="I1411" s="12"/>
      <c r="J1411" s="12"/>
      <c r="K1411" s="12"/>
      <c r="L1411" s="12"/>
      <c r="M1411" s="12"/>
    </row>
    <row r="1412">
      <c r="A1412" s="282"/>
      <c r="B1412" s="272"/>
      <c r="C1412" s="272"/>
      <c r="D1412" s="272"/>
      <c r="E1412" s="273"/>
      <c r="F1412" s="273"/>
      <c r="I1412" s="12"/>
      <c r="J1412" s="12"/>
      <c r="K1412" s="12"/>
      <c r="L1412" s="12"/>
      <c r="M1412" s="12"/>
    </row>
    <row r="1413">
      <c r="A1413" s="282"/>
      <c r="B1413" s="272"/>
      <c r="C1413" s="272"/>
      <c r="D1413" s="272"/>
      <c r="E1413" s="273"/>
      <c r="F1413" s="273"/>
      <c r="I1413" s="12"/>
      <c r="J1413" s="12"/>
      <c r="K1413" s="12"/>
      <c r="L1413" s="12"/>
      <c r="M1413" s="12"/>
    </row>
    <row r="1414">
      <c r="A1414" s="282"/>
      <c r="B1414" s="272"/>
      <c r="C1414" s="272"/>
      <c r="D1414" s="272"/>
      <c r="E1414" s="273"/>
      <c r="F1414" s="273"/>
      <c r="I1414" s="12"/>
      <c r="J1414" s="12"/>
      <c r="K1414" s="12"/>
      <c r="L1414" s="12"/>
      <c r="M1414" s="12"/>
    </row>
    <row r="1415">
      <c r="A1415" s="282"/>
      <c r="B1415" s="272"/>
      <c r="C1415" s="272"/>
      <c r="D1415" s="272"/>
      <c r="E1415" s="273"/>
      <c r="F1415" s="273"/>
      <c r="I1415" s="12"/>
      <c r="J1415" s="12"/>
      <c r="K1415" s="12"/>
      <c r="L1415" s="12"/>
      <c r="M1415" s="12"/>
    </row>
    <row r="1416">
      <c r="A1416" s="282"/>
      <c r="B1416" s="272"/>
      <c r="C1416" s="272"/>
      <c r="D1416" s="272"/>
      <c r="E1416" s="273"/>
      <c r="F1416" s="273"/>
      <c r="I1416" s="12"/>
      <c r="J1416" s="12"/>
      <c r="K1416" s="12"/>
      <c r="L1416" s="12"/>
      <c r="M1416" s="12"/>
    </row>
    <row r="1417">
      <c r="A1417" s="282"/>
      <c r="B1417" s="272"/>
      <c r="C1417" s="272"/>
      <c r="D1417" s="272"/>
      <c r="E1417" s="273"/>
      <c r="F1417" s="273"/>
      <c r="I1417" s="12"/>
      <c r="J1417" s="12"/>
      <c r="K1417" s="12"/>
      <c r="L1417" s="12"/>
      <c r="M1417" s="12"/>
    </row>
    <row r="1418">
      <c r="A1418" s="282"/>
      <c r="B1418" s="272"/>
      <c r="C1418" s="272"/>
      <c r="D1418" s="272"/>
      <c r="E1418" s="273"/>
      <c r="F1418" s="273"/>
      <c r="I1418" s="12"/>
      <c r="J1418" s="12"/>
      <c r="K1418" s="12"/>
      <c r="L1418" s="12"/>
      <c r="M1418" s="12"/>
    </row>
    <row r="1419">
      <c r="A1419" s="282"/>
      <c r="B1419" s="272"/>
      <c r="C1419" s="272"/>
      <c r="D1419" s="272"/>
      <c r="E1419" s="273"/>
      <c r="F1419" s="273"/>
      <c r="I1419" s="12"/>
      <c r="J1419" s="12"/>
      <c r="K1419" s="12"/>
      <c r="L1419" s="12"/>
      <c r="M1419" s="12"/>
    </row>
    <row r="1420">
      <c r="A1420" s="282"/>
      <c r="B1420" s="272"/>
      <c r="C1420" s="272"/>
      <c r="D1420" s="272"/>
      <c r="E1420" s="273"/>
      <c r="F1420" s="273"/>
      <c r="I1420" s="12"/>
      <c r="J1420" s="12"/>
      <c r="K1420" s="12"/>
      <c r="L1420" s="12"/>
      <c r="M1420" s="12"/>
    </row>
    <row r="1421">
      <c r="A1421" s="282"/>
      <c r="B1421" s="272"/>
      <c r="C1421" s="272"/>
      <c r="D1421" s="272"/>
      <c r="E1421" s="273"/>
      <c r="F1421" s="273"/>
      <c r="I1421" s="12"/>
      <c r="J1421" s="12"/>
      <c r="K1421" s="12"/>
      <c r="L1421" s="12"/>
      <c r="M1421" s="12"/>
    </row>
    <row r="1422">
      <c r="A1422" s="282"/>
      <c r="B1422" s="272"/>
      <c r="C1422" s="272"/>
      <c r="D1422" s="272"/>
      <c r="E1422" s="273"/>
      <c r="F1422" s="273"/>
      <c r="I1422" s="12"/>
      <c r="J1422" s="12"/>
      <c r="K1422" s="12"/>
      <c r="L1422" s="12"/>
      <c r="M1422" s="12"/>
    </row>
    <row r="1423">
      <c r="A1423" s="282"/>
      <c r="B1423" s="272"/>
      <c r="C1423" s="272"/>
      <c r="D1423" s="272"/>
      <c r="E1423" s="273"/>
      <c r="F1423" s="273"/>
      <c r="I1423" s="12"/>
      <c r="J1423" s="12"/>
      <c r="K1423" s="12"/>
      <c r="L1423" s="12"/>
      <c r="M1423" s="12"/>
    </row>
    <row r="1424">
      <c r="A1424" s="282"/>
      <c r="B1424" s="272"/>
      <c r="C1424" s="272"/>
      <c r="D1424" s="272"/>
      <c r="E1424" s="273"/>
      <c r="F1424" s="273"/>
      <c r="I1424" s="12"/>
      <c r="J1424" s="12"/>
      <c r="K1424" s="12"/>
      <c r="L1424" s="12"/>
      <c r="M1424" s="12"/>
    </row>
    <row r="1425">
      <c r="A1425" s="282"/>
      <c r="B1425" s="272"/>
      <c r="C1425" s="272"/>
      <c r="D1425" s="272"/>
      <c r="E1425" s="273"/>
      <c r="F1425" s="273"/>
      <c r="I1425" s="12"/>
      <c r="J1425" s="12"/>
      <c r="K1425" s="12"/>
      <c r="L1425" s="12"/>
      <c r="M1425" s="12"/>
    </row>
    <row r="1426">
      <c r="A1426" s="282"/>
      <c r="B1426" s="272"/>
      <c r="C1426" s="272"/>
      <c r="D1426" s="272"/>
      <c r="E1426" s="273"/>
      <c r="F1426" s="273"/>
      <c r="I1426" s="12"/>
      <c r="J1426" s="12"/>
      <c r="K1426" s="12"/>
      <c r="L1426" s="12"/>
      <c r="M1426" s="12"/>
    </row>
    <row r="1427">
      <c r="A1427" s="282"/>
      <c r="B1427" s="272"/>
      <c r="C1427" s="272"/>
      <c r="D1427" s="272"/>
      <c r="E1427" s="273"/>
      <c r="F1427" s="273"/>
      <c r="I1427" s="12"/>
      <c r="J1427" s="12"/>
      <c r="K1427" s="12"/>
      <c r="L1427" s="12"/>
      <c r="M1427" s="12"/>
    </row>
    <row r="1428">
      <c r="A1428" s="282"/>
      <c r="B1428" s="272"/>
      <c r="C1428" s="272"/>
      <c r="D1428" s="272"/>
      <c r="E1428" s="273"/>
      <c r="F1428" s="273"/>
      <c r="I1428" s="12"/>
      <c r="J1428" s="12"/>
      <c r="K1428" s="12"/>
      <c r="L1428" s="12"/>
      <c r="M1428" s="12"/>
    </row>
    <row r="1429">
      <c r="A1429" s="282"/>
      <c r="B1429" s="272"/>
      <c r="C1429" s="272"/>
      <c r="D1429" s="272"/>
      <c r="E1429" s="273"/>
      <c r="F1429" s="273"/>
      <c r="I1429" s="12"/>
      <c r="J1429" s="12"/>
      <c r="K1429" s="12"/>
      <c r="L1429" s="12"/>
      <c r="M1429" s="12"/>
    </row>
    <row r="1430">
      <c r="A1430" s="282"/>
      <c r="B1430" s="272"/>
      <c r="C1430" s="272"/>
      <c r="D1430" s="272"/>
      <c r="E1430" s="273"/>
      <c r="F1430" s="273"/>
      <c r="I1430" s="12"/>
      <c r="J1430" s="12"/>
      <c r="K1430" s="12"/>
      <c r="L1430" s="12"/>
      <c r="M1430" s="12"/>
    </row>
    <row r="1431">
      <c r="A1431" s="282"/>
      <c r="B1431" s="272"/>
      <c r="C1431" s="272"/>
      <c r="D1431" s="272"/>
      <c r="E1431" s="273"/>
      <c r="F1431" s="273"/>
      <c r="I1431" s="12"/>
      <c r="J1431" s="12"/>
      <c r="K1431" s="12"/>
      <c r="L1431" s="12"/>
      <c r="M1431" s="12"/>
    </row>
    <row r="1432">
      <c r="A1432" s="282"/>
      <c r="B1432" s="272"/>
      <c r="C1432" s="272"/>
      <c r="D1432" s="272"/>
      <c r="E1432" s="273"/>
      <c r="F1432" s="273"/>
      <c r="I1432" s="12"/>
      <c r="J1432" s="12"/>
      <c r="K1432" s="12"/>
      <c r="L1432" s="12"/>
      <c r="M1432" s="12"/>
    </row>
    <row r="1433">
      <c r="A1433" s="282"/>
      <c r="B1433" s="272"/>
      <c r="C1433" s="272"/>
      <c r="D1433" s="272"/>
      <c r="E1433" s="273"/>
      <c r="F1433" s="273"/>
      <c r="I1433" s="12"/>
      <c r="J1433" s="12"/>
      <c r="K1433" s="12"/>
      <c r="L1433" s="12"/>
      <c r="M1433" s="12"/>
    </row>
    <row r="1434">
      <c r="A1434" s="282"/>
      <c r="B1434" s="272"/>
      <c r="C1434" s="272"/>
      <c r="D1434" s="272"/>
      <c r="E1434" s="273"/>
      <c r="F1434" s="273"/>
      <c r="I1434" s="12"/>
      <c r="J1434" s="12"/>
      <c r="K1434" s="12"/>
      <c r="L1434" s="12"/>
      <c r="M1434" s="12"/>
    </row>
    <row r="1435">
      <c r="A1435" s="282"/>
      <c r="B1435" s="272"/>
      <c r="C1435" s="272"/>
      <c r="D1435" s="272"/>
      <c r="E1435" s="273"/>
      <c r="F1435" s="273"/>
      <c r="I1435" s="12"/>
      <c r="J1435" s="12"/>
      <c r="K1435" s="12"/>
      <c r="L1435" s="12"/>
      <c r="M1435" s="12"/>
    </row>
    <row r="1436">
      <c r="A1436" s="282"/>
      <c r="B1436" s="272"/>
      <c r="C1436" s="272"/>
      <c r="D1436" s="272"/>
      <c r="E1436" s="273"/>
      <c r="F1436" s="273"/>
      <c r="I1436" s="12"/>
      <c r="J1436" s="12"/>
      <c r="K1436" s="12"/>
      <c r="L1436" s="12"/>
      <c r="M1436" s="12"/>
    </row>
    <row r="1437">
      <c r="A1437" s="282"/>
      <c r="B1437" s="272"/>
      <c r="C1437" s="272"/>
      <c r="D1437" s="272"/>
      <c r="E1437" s="273"/>
      <c r="F1437" s="273"/>
      <c r="I1437" s="12"/>
      <c r="J1437" s="12"/>
      <c r="K1437" s="12"/>
      <c r="L1437" s="12"/>
      <c r="M1437" s="12"/>
    </row>
    <row r="1438">
      <c r="A1438" s="282"/>
      <c r="B1438" s="272"/>
      <c r="C1438" s="272"/>
      <c r="D1438" s="272"/>
      <c r="E1438" s="273"/>
      <c r="F1438" s="273"/>
      <c r="I1438" s="12"/>
      <c r="J1438" s="12"/>
      <c r="K1438" s="12"/>
      <c r="L1438" s="12"/>
      <c r="M1438" s="12"/>
    </row>
    <row r="1439">
      <c r="A1439" s="282"/>
      <c r="B1439" s="272"/>
      <c r="C1439" s="272"/>
      <c r="D1439" s="272"/>
      <c r="E1439" s="273"/>
      <c r="F1439" s="273"/>
      <c r="I1439" s="12"/>
      <c r="J1439" s="12"/>
      <c r="K1439" s="12"/>
      <c r="L1439" s="12"/>
      <c r="M1439" s="12"/>
    </row>
    <row r="1440">
      <c r="A1440" s="282"/>
      <c r="B1440" s="272"/>
      <c r="C1440" s="272"/>
      <c r="D1440" s="272"/>
      <c r="E1440" s="273"/>
      <c r="F1440" s="273"/>
      <c r="I1440" s="12"/>
      <c r="J1440" s="12"/>
      <c r="K1440" s="12"/>
      <c r="L1440" s="12"/>
      <c r="M1440" s="12"/>
    </row>
    <row r="1441">
      <c r="A1441" s="282"/>
      <c r="B1441" s="272"/>
      <c r="C1441" s="272"/>
      <c r="D1441" s="272"/>
      <c r="E1441" s="273"/>
      <c r="F1441" s="273"/>
      <c r="I1441" s="12"/>
      <c r="J1441" s="12"/>
      <c r="K1441" s="12"/>
      <c r="L1441" s="12"/>
      <c r="M1441" s="12"/>
    </row>
    <row r="1442">
      <c r="A1442" s="282"/>
      <c r="B1442" s="272"/>
      <c r="C1442" s="272"/>
      <c r="D1442" s="272"/>
      <c r="E1442" s="273"/>
      <c r="F1442" s="273"/>
      <c r="I1442" s="12"/>
      <c r="J1442" s="12"/>
      <c r="K1442" s="12"/>
      <c r="L1442" s="12"/>
      <c r="M1442" s="12"/>
    </row>
    <row r="1443">
      <c r="A1443" s="282"/>
      <c r="B1443" s="272"/>
      <c r="C1443" s="272"/>
      <c r="D1443" s="272"/>
      <c r="E1443" s="273"/>
      <c r="F1443" s="273"/>
      <c r="I1443" s="12"/>
      <c r="J1443" s="12"/>
      <c r="K1443" s="12"/>
      <c r="L1443" s="12"/>
      <c r="M1443" s="12"/>
    </row>
    <row r="1444">
      <c r="A1444" s="282"/>
      <c r="B1444" s="272"/>
      <c r="C1444" s="272"/>
      <c r="D1444" s="272"/>
      <c r="E1444" s="273"/>
      <c r="F1444" s="273"/>
      <c r="I1444" s="12"/>
      <c r="J1444" s="12"/>
      <c r="K1444" s="12"/>
      <c r="L1444" s="12"/>
      <c r="M1444" s="12"/>
    </row>
    <row r="1445">
      <c r="A1445" s="282"/>
      <c r="B1445" s="272"/>
      <c r="C1445" s="272"/>
      <c r="D1445" s="272"/>
      <c r="E1445" s="273"/>
      <c r="F1445" s="273"/>
      <c r="I1445" s="12"/>
      <c r="J1445" s="12"/>
      <c r="K1445" s="12"/>
      <c r="L1445" s="12"/>
      <c r="M1445" s="12"/>
    </row>
    <row r="1446">
      <c r="A1446" s="282"/>
      <c r="B1446" s="272"/>
      <c r="C1446" s="272"/>
      <c r="D1446" s="272"/>
      <c r="E1446" s="273"/>
      <c r="F1446" s="273"/>
      <c r="I1446" s="12"/>
      <c r="J1446" s="12"/>
      <c r="K1446" s="12"/>
      <c r="L1446" s="12"/>
      <c r="M1446" s="12"/>
    </row>
    <row r="1447">
      <c r="A1447" s="282"/>
      <c r="B1447" s="272"/>
      <c r="C1447" s="272"/>
      <c r="D1447" s="272"/>
      <c r="E1447" s="273"/>
      <c r="F1447" s="273"/>
      <c r="I1447" s="12"/>
      <c r="J1447" s="12"/>
      <c r="K1447" s="12"/>
      <c r="L1447" s="12"/>
      <c r="M1447" s="12"/>
    </row>
    <row r="1448">
      <c r="A1448" s="282"/>
      <c r="B1448" s="272"/>
      <c r="C1448" s="272"/>
      <c r="D1448" s="272"/>
      <c r="E1448" s="273"/>
      <c r="F1448" s="273"/>
      <c r="I1448" s="12"/>
      <c r="J1448" s="12"/>
      <c r="K1448" s="12"/>
      <c r="L1448" s="12"/>
      <c r="M1448" s="12"/>
    </row>
    <row r="1449">
      <c r="A1449" s="282"/>
      <c r="B1449" s="272"/>
      <c r="C1449" s="272"/>
      <c r="D1449" s="272"/>
      <c r="E1449" s="273"/>
      <c r="F1449" s="273"/>
      <c r="I1449" s="12"/>
      <c r="J1449" s="12"/>
      <c r="K1449" s="12"/>
      <c r="L1449" s="12"/>
      <c r="M1449" s="12"/>
    </row>
    <row r="1450">
      <c r="A1450" s="282"/>
      <c r="B1450" s="272"/>
      <c r="C1450" s="272"/>
      <c r="D1450" s="272"/>
      <c r="E1450" s="273"/>
      <c r="F1450" s="273"/>
      <c r="I1450" s="12"/>
      <c r="J1450" s="12"/>
      <c r="K1450" s="12"/>
      <c r="L1450" s="12"/>
      <c r="M1450" s="12"/>
    </row>
    <row r="1451">
      <c r="A1451" s="282"/>
      <c r="B1451" s="272"/>
      <c r="C1451" s="272"/>
      <c r="D1451" s="272"/>
      <c r="E1451" s="273"/>
      <c r="F1451" s="273"/>
      <c r="I1451" s="12"/>
      <c r="J1451" s="12"/>
      <c r="K1451" s="12"/>
      <c r="L1451" s="12"/>
      <c r="M1451" s="12"/>
    </row>
    <row r="1452">
      <c r="A1452" s="282"/>
      <c r="B1452" s="272"/>
      <c r="C1452" s="272"/>
      <c r="D1452" s="272"/>
      <c r="E1452" s="273"/>
      <c r="F1452" s="273"/>
      <c r="I1452" s="12"/>
      <c r="J1452" s="12"/>
      <c r="K1452" s="12"/>
      <c r="L1452" s="12"/>
      <c r="M1452" s="12"/>
    </row>
    <row r="1453">
      <c r="A1453" s="282"/>
      <c r="B1453" s="272"/>
      <c r="C1453" s="272"/>
      <c r="D1453" s="272"/>
      <c r="E1453" s="273"/>
      <c r="F1453" s="273"/>
      <c r="I1453" s="12"/>
      <c r="J1453" s="12"/>
      <c r="K1453" s="12"/>
      <c r="L1453" s="12"/>
      <c r="M1453" s="12"/>
    </row>
    <row r="1454">
      <c r="A1454" s="282"/>
      <c r="B1454" s="272"/>
      <c r="C1454" s="272"/>
      <c r="D1454" s="272"/>
      <c r="E1454" s="273"/>
      <c r="F1454" s="273"/>
      <c r="I1454" s="12"/>
      <c r="J1454" s="12"/>
      <c r="K1454" s="12"/>
      <c r="L1454" s="12"/>
      <c r="M1454" s="12"/>
    </row>
    <row r="1455">
      <c r="A1455" s="282"/>
      <c r="B1455" s="272"/>
      <c r="C1455" s="272"/>
      <c r="D1455" s="272"/>
      <c r="E1455" s="273"/>
      <c r="F1455" s="273"/>
      <c r="I1455" s="12"/>
      <c r="J1455" s="12"/>
      <c r="K1455" s="12"/>
      <c r="L1455" s="12"/>
      <c r="M1455" s="12"/>
    </row>
    <row r="1456">
      <c r="A1456" s="282"/>
      <c r="B1456" s="272"/>
      <c r="C1456" s="272"/>
      <c r="D1456" s="272"/>
      <c r="E1456" s="273"/>
      <c r="F1456" s="273"/>
      <c r="I1456" s="12"/>
      <c r="J1456" s="12"/>
      <c r="K1456" s="12"/>
      <c r="L1456" s="12"/>
      <c r="M1456" s="12"/>
    </row>
    <row r="1457">
      <c r="A1457" s="282"/>
      <c r="B1457" s="272"/>
      <c r="C1457" s="272"/>
      <c r="D1457" s="272"/>
      <c r="E1457" s="273"/>
      <c r="F1457" s="273"/>
      <c r="I1457" s="12"/>
      <c r="J1457" s="12"/>
      <c r="K1457" s="12"/>
      <c r="L1457" s="12"/>
      <c r="M1457" s="12"/>
    </row>
    <row r="1458">
      <c r="A1458" s="282"/>
      <c r="B1458" s="272"/>
      <c r="C1458" s="272"/>
      <c r="D1458" s="272"/>
      <c r="E1458" s="273"/>
      <c r="F1458" s="273"/>
      <c r="I1458" s="12"/>
      <c r="J1458" s="12"/>
      <c r="K1458" s="12"/>
      <c r="L1458" s="12"/>
      <c r="M1458" s="12"/>
    </row>
    <row r="1459">
      <c r="A1459" s="282"/>
      <c r="B1459" s="272"/>
      <c r="C1459" s="272"/>
      <c r="D1459" s="272"/>
      <c r="E1459" s="273"/>
      <c r="F1459" s="273"/>
      <c r="I1459" s="12"/>
      <c r="J1459" s="12"/>
      <c r="K1459" s="12"/>
      <c r="L1459" s="12"/>
      <c r="M1459" s="12"/>
    </row>
    <row r="1460">
      <c r="A1460" s="282"/>
      <c r="B1460" s="272"/>
      <c r="C1460" s="272"/>
      <c r="D1460" s="272"/>
      <c r="E1460" s="273"/>
      <c r="F1460" s="273"/>
      <c r="I1460" s="12"/>
      <c r="J1460" s="12"/>
      <c r="K1460" s="12"/>
      <c r="L1460" s="12"/>
      <c r="M1460" s="12"/>
    </row>
    <row r="1461">
      <c r="A1461" s="282"/>
      <c r="B1461" s="272"/>
      <c r="C1461" s="272"/>
      <c r="D1461" s="272"/>
      <c r="E1461" s="273"/>
      <c r="F1461" s="273"/>
      <c r="I1461" s="12"/>
      <c r="J1461" s="12"/>
      <c r="K1461" s="12"/>
      <c r="L1461" s="12"/>
      <c r="M1461" s="12"/>
    </row>
    <row r="1462">
      <c r="A1462" s="282"/>
      <c r="B1462" s="272"/>
      <c r="C1462" s="272"/>
      <c r="D1462" s="272"/>
      <c r="E1462" s="273"/>
      <c r="F1462" s="273"/>
      <c r="I1462" s="12"/>
      <c r="J1462" s="12"/>
      <c r="K1462" s="12"/>
      <c r="L1462" s="12"/>
      <c r="M1462" s="12"/>
    </row>
    <row r="1463">
      <c r="A1463" s="282"/>
      <c r="B1463" s="272"/>
      <c r="C1463" s="272"/>
      <c r="D1463" s="272"/>
      <c r="E1463" s="273"/>
      <c r="F1463" s="273"/>
      <c r="I1463" s="12"/>
      <c r="J1463" s="12"/>
      <c r="K1463" s="12"/>
      <c r="L1463" s="12"/>
      <c r="M1463" s="12"/>
    </row>
    <row r="1464">
      <c r="A1464" s="282"/>
      <c r="B1464" s="272"/>
      <c r="C1464" s="272"/>
      <c r="D1464" s="272"/>
      <c r="E1464" s="273"/>
      <c r="F1464" s="273"/>
      <c r="I1464" s="12"/>
      <c r="J1464" s="12"/>
      <c r="K1464" s="12"/>
      <c r="L1464" s="12"/>
      <c r="M1464" s="12"/>
    </row>
    <row r="1465">
      <c r="A1465" s="282"/>
      <c r="B1465" s="272"/>
      <c r="C1465" s="272"/>
      <c r="D1465" s="272"/>
      <c r="E1465" s="273"/>
      <c r="F1465" s="273"/>
      <c r="I1465" s="12"/>
      <c r="J1465" s="12"/>
      <c r="K1465" s="12"/>
      <c r="L1465" s="12"/>
      <c r="M1465" s="12"/>
    </row>
    <row r="1466">
      <c r="A1466" s="282"/>
      <c r="B1466" s="272"/>
      <c r="C1466" s="272"/>
      <c r="D1466" s="272"/>
      <c r="E1466" s="273"/>
      <c r="F1466" s="273"/>
      <c r="I1466" s="12"/>
      <c r="J1466" s="12"/>
      <c r="K1466" s="12"/>
      <c r="L1466" s="12"/>
      <c r="M1466" s="12"/>
    </row>
    <row r="1467">
      <c r="A1467" s="282"/>
      <c r="B1467" s="272"/>
      <c r="C1467" s="272"/>
      <c r="D1467" s="272"/>
      <c r="E1467" s="273"/>
      <c r="F1467" s="273"/>
      <c r="I1467" s="12"/>
      <c r="J1467" s="12"/>
      <c r="K1467" s="12"/>
      <c r="L1467" s="12"/>
      <c r="M1467" s="12"/>
    </row>
    <row r="1468">
      <c r="A1468" s="282"/>
      <c r="B1468" s="272"/>
      <c r="C1468" s="272"/>
      <c r="D1468" s="272"/>
      <c r="E1468" s="273"/>
      <c r="F1468" s="273"/>
      <c r="I1468" s="12"/>
      <c r="J1468" s="12"/>
      <c r="K1468" s="12"/>
      <c r="L1468" s="12"/>
      <c r="M1468" s="12"/>
    </row>
    <row r="1469">
      <c r="A1469" s="282"/>
      <c r="B1469" s="272"/>
      <c r="C1469" s="272"/>
      <c r="D1469" s="272"/>
      <c r="E1469" s="273"/>
      <c r="F1469" s="273"/>
      <c r="I1469" s="12"/>
      <c r="J1469" s="12"/>
      <c r="K1469" s="12"/>
      <c r="L1469" s="12"/>
      <c r="M1469" s="12"/>
    </row>
    <row r="1470">
      <c r="A1470" s="282"/>
      <c r="B1470" s="272"/>
      <c r="C1470" s="272"/>
      <c r="D1470" s="272"/>
      <c r="E1470" s="273"/>
      <c r="F1470" s="273"/>
      <c r="I1470" s="12"/>
      <c r="J1470" s="12"/>
      <c r="K1470" s="12"/>
      <c r="L1470" s="12"/>
      <c r="M1470" s="12"/>
    </row>
    <row r="1471">
      <c r="A1471" s="282"/>
      <c r="B1471" s="272"/>
      <c r="C1471" s="272"/>
      <c r="D1471" s="272"/>
      <c r="E1471" s="273"/>
      <c r="F1471" s="273"/>
      <c r="I1471" s="12"/>
      <c r="J1471" s="12"/>
      <c r="K1471" s="12"/>
      <c r="L1471" s="12"/>
      <c r="M1471" s="12"/>
    </row>
    <row r="1472">
      <c r="A1472" s="282"/>
      <c r="B1472" s="272"/>
      <c r="C1472" s="272"/>
      <c r="D1472" s="272"/>
      <c r="E1472" s="273"/>
      <c r="F1472" s="273"/>
      <c r="I1472" s="12"/>
      <c r="J1472" s="12"/>
      <c r="K1472" s="12"/>
      <c r="L1472" s="12"/>
      <c r="M1472" s="12"/>
    </row>
    <row r="1473">
      <c r="A1473" s="282"/>
      <c r="B1473" s="272"/>
      <c r="C1473" s="272"/>
      <c r="D1473" s="272"/>
      <c r="E1473" s="273"/>
      <c r="F1473" s="273"/>
      <c r="I1473" s="12"/>
      <c r="J1473" s="12"/>
      <c r="K1473" s="12"/>
      <c r="L1473" s="12"/>
      <c r="M1473" s="12"/>
    </row>
    <row r="1474">
      <c r="A1474" s="282"/>
      <c r="B1474" s="272"/>
      <c r="C1474" s="272"/>
      <c r="D1474" s="272"/>
      <c r="E1474" s="273"/>
      <c r="F1474" s="273"/>
      <c r="I1474" s="12"/>
      <c r="J1474" s="12"/>
      <c r="K1474" s="12"/>
      <c r="L1474" s="12"/>
      <c r="M1474" s="12"/>
    </row>
    <row r="1475">
      <c r="A1475" s="282"/>
      <c r="B1475" s="272"/>
      <c r="C1475" s="272"/>
      <c r="D1475" s="272"/>
      <c r="E1475" s="273"/>
      <c r="F1475" s="273"/>
      <c r="I1475" s="12"/>
      <c r="J1475" s="12"/>
      <c r="K1475" s="12"/>
      <c r="L1475" s="12"/>
      <c r="M1475" s="12"/>
    </row>
    <row r="1476">
      <c r="A1476" s="282"/>
      <c r="B1476" s="272"/>
      <c r="C1476" s="272"/>
      <c r="D1476" s="272"/>
      <c r="E1476" s="273"/>
      <c r="F1476" s="273"/>
      <c r="I1476" s="12"/>
      <c r="J1476" s="12"/>
      <c r="K1476" s="12"/>
      <c r="L1476" s="12"/>
      <c r="M1476" s="12"/>
    </row>
    <row r="1477">
      <c r="A1477" s="282"/>
      <c r="B1477" s="272"/>
      <c r="C1477" s="272"/>
      <c r="D1477" s="272"/>
      <c r="E1477" s="273"/>
      <c r="F1477" s="273"/>
      <c r="I1477" s="12"/>
      <c r="J1477" s="12"/>
      <c r="K1477" s="12"/>
      <c r="L1477" s="12"/>
      <c r="M1477" s="12"/>
    </row>
    <row r="1478">
      <c r="A1478" s="282"/>
      <c r="B1478" s="272"/>
      <c r="C1478" s="272"/>
      <c r="D1478" s="272"/>
      <c r="E1478" s="273"/>
      <c r="F1478" s="273"/>
      <c r="I1478" s="12"/>
      <c r="J1478" s="12"/>
      <c r="K1478" s="12"/>
      <c r="L1478" s="12"/>
      <c r="M1478" s="12"/>
    </row>
    <row r="1479">
      <c r="A1479" s="282"/>
      <c r="B1479" s="272"/>
      <c r="C1479" s="272"/>
      <c r="D1479" s="272"/>
      <c r="E1479" s="273"/>
      <c r="F1479" s="273"/>
      <c r="I1479" s="12"/>
      <c r="J1479" s="12"/>
      <c r="K1479" s="12"/>
      <c r="L1479" s="12"/>
      <c r="M1479" s="12"/>
    </row>
    <row r="1480">
      <c r="A1480" s="282"/>
      <c r="B1480" s="272"/>
      <c r="C1480" s="272"/>
      <c r="D1480" s="272"/>
      <c r="E1480" s="273"/>
      <c r="F1480" s="273"/>
      <c r="I1480" s="12"/>
      <c r="J1480" s="12"/>
      <c r="K1480" s="12"/>
      <c r="L1480" s="12"/>
      <c r="M1480" s="12"/>
    </row>
    <row r="1481">
      <c r="A1481" s="282"/>
      <c r="B1481" s="272"/>
      <c r="C1481" s="272"/>
      <c r="D1481" s="272"/>
      <c r="E1481" s="273"/>
      <c r="F1481" s="273"/>
      <c r="I1481" s="12"/>
      <c r="J1481" s="12"/>
      <c r="K1481" s="12"/>
      <c r="L1481" s="12"/>
      <c r="M1481" s="12"/>
    </row>
    <row r="1482">
      <c r="A1482" s="282"/>
      <c r="B1482" s="272"/>
      <c r="C1482" s="272"/>
      <c r="D1482" s="272"/>
      <c r="E1482" s="273"/>
      <c r="F1482" s="273"/>
      <c r="I1482" s="12"/>
      <c r="J1482" s="12"/>
      <c r="K1482" s="12"/>
      <c r="L1482" s="12"/>
      <c r="M1482" s="12"/>
    </row>
    <row r="1483">
      <c r="A1483" s="282"/>
      <c r="B1483" s="272"/>
      <c r="C1483" s="272"/>
      <c r="D1483" s="272"/>
      <c r="E1483" s="273"/>
      <c r="F1483" s="273"/>
      <c r="I1483" s="12"/>
      <c r="J1483" s="12"/>
      <c r="K1483" s="12"/>
      <c r="L1483" s="12"/>
      <c r="M1483" s="12"/>
    </row>
    <row r="1484">
      <c r="A1484" s="282"/>
      <c r="B1484" s="272"/>
      <c r="C1484" s="272"/>
      <c r="D1484" s="272"/>
      <c r="E1484" s="273"/>
      <c r="F1484" s="273"/>
      <c r="I1484" s="12"/>
      <c r="J1484" s="12"/>
      <c r="K1484" s="12"/>
      <c r="L1484" s="12"/>
      <c r="M1484" s="12"/>
    </row>
    <row r="1485">
      <c r="A1485" s="282"/>
      <c r="B1485" s="272"/>
      <c r="C1485" s="272"/>
      <c r="D1485" s="272"/>
      <c r="E1485" s="273"/>
      <c r="F1485" s="273"/>
      <c r="I1485" s="12"/>
      <c r="J1485" s="12"/>
      <c r="K1485" s="12"/>
      <c r="L1485" s="12"/>
      <c r="M1485" s="12"/>
    </row>
    <row r="1486">
      <c r="A1486" s="282"/>
      <c r="B1486" s="272"/>
      <c r="C1486" s="272"/>
      <c r="D1486" s="272"/>
      <c r="E1486" s="273"/>
      <c r="F1486" s="273"/>
      <c r="I1486" s="12"/>
      <c r="J1486" s="12"/>
      <c r="K1486" s="12"/>
      <c r="L1486" s="12"/>
      <c r="M1486" s="12"/>
    </row>
    <row r="1487">
      <c r="A1487" s="282"/>
      <c r="B1487" s="272"/>
      <c r="C1487" s="272"/>
      <c r="D1487" s="272"/>
      <c r="E1487" s="273"/>
      <c r="F1487" s="273"/>
      <c r="I1487" s="12"/>
      <c r="J1487" s="12"/>
      <c r="K1487" s="12"/>
      <c r="L1487" s="12"/>
      <c r="M1487" s="12"/>
    </row>
    <row r="1488">
      <c r="A1488" s="282"/>
      <c r="B1488" s="272"/>
      <c r="C1488" s="272"/>
      <c r="D1488" s="272"/>
      <c r="E1488" s="273"/>
      <c r="F1488" s="273"/>
      <c r="I1488" s="12"/>
      <c r="J1488" s="12"/>
      <c r="K1488" s="12"/>
      <c r="L1488" s="12"/>
      <c r="M1488" s="12"/>
    </row>
    <row r="1489">
      <c r="A1489" s="282"/>
      <c r="B1489" s="272"/>
      <c r="C1489" s="272"/>
      <c r="D1489" s="272"/>
      <c r="E1489" s="273"/>
      <c r="F1489" s="273"/>
      <c r="I1489" s="12"/>
      <c r="J1489" s="12"/>
      <c r="K1489" s="12"/>
      <c r="L1489" s="12"/>
      <c r="M1489" s="12"/>
    </row>
    <row r="1490">
      <c r="A1490" s="282"/>
      <c r="B1490" s="272"/>
      <c r="C1490" s="272"/>
      <c r="D1490" s="272"/>
      <c r="E1490" s="273"/>
      <c r="F1490" s="273"/>
      <c r="I1490" s="12"/>
      <c r="J1490" s="12"/>
      <c r="K1490" s="12"/>
      <c r="L1490" s="12"/>
      <c r="M1490" s="12"/>
    </row>
    <row r="1491">
      <c r="A1491" s="282"/>
      <c r="B1491" s="272"/>
      <c r="C1491" s="272"/>
      <c r="D1491" s="272"/>
      <c r="E1491" s="273"/>
      <c r="F1491" s="273"/>
      <c r="I1491" s="12"/>
      <c r="J1491" s="12"/>
      <c r="K1491" s="12"/>
      <c r="L1491" s="12"/>
      <c r="M1491" s="12"/>
    </row>
    <row r="1492">
      <c r="A1492" s="282"/>
      <c r="B1492" s="272"/>
      <c r="C1492" s="272"/>
      <c r="D1492" s="272"/>
      <c r="E1492" s="273"/>
      <c r="F1492" s="273"/>
      <c r="I1492" s="12"/>
      <c r="J1492" s="12"/>
      <c r="K1492" s="12"/>
      <c r="L1492" s="12"/>
      <c r="M1492" s="12"/>
    </row>
    <row r="1493">
      <c r="A1493" s="282"/>
      <c r="B1493" s="272"/>
      <c r="C1493" s="272"/>
      <c r="D1493" s="272"/>
      <c r="E1493" s="273"/>
      <c r="F1493" s="273"/>
      <c r="I1493" s="12"/>
      <c r="J1493" s="12"/>
      <c r="K1493" s="12"/>
      <c r="L1493" s="12"/>
      <c r="M1493" s="12"/>
    </row>
    <row r="1494">
      <c r="A1494" s="282"/>
      <c r="B1494" s="272"/>
      <c r="C1494" s="272"/>
      <c r="D1494" s="272"/>
      <c r="E1494" s="273"/>
      <c r="F1494" s="273"/>
      <c r="I1494" s="12"/>
      <c r="J1494" s="12"/>
      <c r="K1494" s="12"/>
      <c r="L1494" s="12"/>
      <c r="M1494" s="12"/>
    </row>
    <row r="1495">
      <c r="A1495" s="282"/>
      <c r="B1495" s="272"/>
      <c r="C1495" s="272"/>
      <c r="D1495" s="272"/>
      <c r="E1495" s="273"/>
      <c r="F1495" s="273"/>
      <c r="I1495" s="12"/>
      <c r="J1495" s="12"/>
      <c r="K1495" s="12"/>
      <c r="L1495" s="12"/>
      <c r="M1495" s="12"/>
    </row>
    <row r="1496">
      <c r="A1496" s="282"/>
      <c r="B1496" s="272"/>
      <c r="C1496" s="272"/>
      <c r="D1496" s="272"/>
      <c r="E1496" s="273"/>
      <c r="F1496" s="273"/>
      <c r="I1496" s="12"/>
      <c r="J1496" s="12"/>
      <c r="K1496" s="12"/>
      <c r="L1496" s="12"/>
      <c r="M1496" s="12"/>
    </row>
    <row r="1497">
      <c r="A1497" s="282"/>
      <c r="B1497" s="272"/>
      <c r="C1497" s="272"/>
      <c r="D1497" s="272"/>
      <c r="E1497" s="273"/>
      <c r="F1497" s="273"/>
      <c r="I1497" s="12"/>
      <c r="J1497" s="12"/>
      <c r="K1497" s="12"/>
      <c r="L1497" s="12"/>
      <c r="M1497" s="12"/>
    </row>
    <row r="1498">
      <c r="A1498" s="282"/>
      <c r="B1498" s="272"/>
      <c r="C1498" s="272"/>
      <c r="D1498" s="272"/>
      <c r="E1498" s="273"/>
      <c r="F1498" s="273"/>
      <c r="I1498" s="12"/>
      <c r="J1498" s="12"/>
      <c r="K1498" s="12"/>
      <c r="L1498" s="12"/>
      <c r="M1498" s="12"/>
    </row>
    <row r="1499">
      <c r="A1499" s="282"/>
      <c r="B1499" s="272"/>
      <c r="C1499" s="272"/>
      <c r="D1499" s="272"/>
      <c r="E1499" s="273"/>
      <c r="F1499" s="273"/>
      <c r="I1499" s="12"/>
      <c r="J1499" s="12"/>
      <c r="K1499" s="12"/>
      <c r="L1499" s="12"/>
      <c r="M1499" s="12"/>
    </row>
    <row r="1500">
      <c r="A1500" s="282"/>
      <c r="B1500" s="272"/>
      <c r="C1500" s="272"/>
      <c r="D1500" s="272"/>
      <c r="E1500" s="273"/>
      <c r="F1500" s="273"/>
      <c r="I1500" s="12"/>
      <c r="J1500" s="12"/>
      <c r="K1500" s="12"/>
      <c r="L1500" s="12"/>
      <c r="M1500" s="12"/>
    </row>
    <row r="1501">
      <c r="A1501" s="282"/>
      <c r="B1501" s="272"/>
      <c r="C1501" s="272"/>
      <c r="D1501" s="272"/>
      <c r="E1501" s="273"/>
      <c r="F1501" s="273"/>
      <c r="I1501" s="12"/>
      <c r="J1501" s="12"/>
      <c r="K1501" s="12"/>
      <c r="L1501" s="12"/>
      <c r="M1501" s="12"/>
    </row>
    <row r="1502">
      <c r="A1502" s="282"/>
      <c r="B1502" s="272"/>
      <c r="C1502" s="272"/>
      <c r="D1502" s="272"/>
      <c r="E1502" s="273"/>
      <c r="F1502" s="273"/>
      <c r="I1502" s="12"/>
      <c r="J1502" s="12"/>
      <c r="K1502" s="12"/>
      <c r="L1502" s="12"/>
      <c r="M1502" s="12"/>
    </row>
    <row r="1503">
      <c r="A1503" s="282"/>
      <c r="B1503" s="272"/>
      <c r="C1503" s="272"/>
      <c r="D1503" s="272"/>
      <c r="E1503" s="273"/>
      <c r="F1503" s="273"/>
      <c r="I1503" s="12"/>
      <c r="J1503" s="12"/>
      <c r="K1503" s="12"/>
      <c r="L1503" s="12"/>
      <c r="M1503" s="12"/>
    </row>
    <row r="1504">
      <c r="A1504" s="282"/>
      <c r="B1504" s="272"/>
      <c r="C1504" s="272"/>
      <c r="D1504" s="272"/>
      <c r="E1504" s="273"/>
      <c r="F1504" s="273"/>
      <c r="I1504" s="12"/>
      <c r="J1504" s="12"/>
      <c r="K1504" s="12"/>
      <c r="L1504" s="12"/>
      <c r="M1504" s="12"/>
    </row>
    <row r="1505">
      <c r="A1505" s="282"/>
      <c r="B1505" s="272"/>
      <c r="C1505" s="272"/>
      <c r="D1505" s="272"/>
      <c r="E1505" s="273"/>
      <c r="F1505" s="273"/>
      <c r="I1505" s="12"/>
      <c r="J1505" s="12"/>
      <c r="K1505" s="12"/>
      <c r="L1505" s="12"/>
      <c r="M1505" s="12"/>
    </row>
    <row r="1506">
      <c r="A1506" s="282"/>
      <c r="B1506" s="272"/>
      <c r="C1506" s="272"/>
      <c r="D1506" s="272"/>
      <c r="E1506" s="273"/>
      <c r="F1506" s="273"/>
      <c r="I1506" s="12"/>
      <c r="J1506" s="12"/>
      <c r="K1506" s="12"/>
      <c r="L1506" s="12"/>
      <c r="M1506" s="12"/>
    </row>
    <row r="1507">
      <c r="A1507" s="282"/>
      <c r="B1507" s="272"/>
      <c r="C1507" s="272"/>
      <c r="D1507" s="272"/>
      <c r="E1507" s="273"/>
      <c r="F1507" s="273"/>
      <c r="I1507" s="12"/>
      <c r="J1507" s="12"/>
      <c r="K1507" s="12"/>
      <c r="L1507" s="12"/>
      <c r="M1507" s="12"/>
    </row>
    <row r="1508">
      <c r="A1508" s="282"/>
      <c r="B1508" s="272"/>
      <c r="C1508" s="272"/>
      <c r="D1508" s="272"/>
      <c r="E1508" s="273"/>
      <c r="F1508" s="273"/>
      <c r="I1508" s="12"/>
      <c r="J1508" s="12"/>
      <c r="K1508" s="12"/>
      <c r="L1508" s="12"/>
      <c r="M1508" s="12"/>
    </row>
    <row r="1509">
      <c r="A1509" s="282"/>
      <c r="B1509" s="272"/>
      <c r="C1509" s="272"/>
      <c r="D1509" s="272"/>
      <c r="E1509" s="273"/>
      <c r="F1509" s="273"/>
      <c r="I1509" s="12"/>
      <c r="J1509" s="12"/>
      <c r="K1509" s="12"/>
      <c r="L1509" s="12"/>
      <c r="M1509" s="12"/>
    </row>
    <row r="1510">
      <c r="A1510" s="282"/>
      <c r="B1510" s="272"/>
      <c r="C1510" s="272"/>
      <c r="D1510" s="272"/>
      <c r="E1510" s="273"/>
      <c r="F1510" s="273"/>
      <c r="I1510" s="12"/>
      <c r="J1510" s="12"/>
      <c r="K1510" s="12"/>
      <c r="L1510" s="12"/>
      <c r="M1510" s="12"/>
    </row>
    <row r="1511">
      <c r="A1511" s="282"/>
      <c r="B1511" s="272"/>
      <c r="C1511" s="272"/>
      <c r="D1511" s="272"/>
      <c r="E1511" s="273"/>
      <c r="F1511" s="273"/>
      <c r="I1511" s="12"/>
      <c r="J1511" s="12"/>
      <c r="K1511" s="12"/>
      <c r="L1511" s="12"/>
      <c r="M1511" s="12"/>
    </row>
    <row r="1512">
      <c r="A1512" s="282"/>
      <c r="B1512" s="272"/>
      <c r="C1512" s="272"/>
      <c r="D1512" s="272"/>
      <c r="E1512" s="273"/>
      <c r="F1512" s="273"/>
      <c r="I1512" s="12"/>
      <c r="J1512" s="12"/>
      <c r="K1512" s="12"/>
      <c r="L1512" s="12"/>
      <c r="M1512" s="12"/>
    </row>
    <row r="1513">
      <c r="A1513" s="282"/>
      <c r="B1513" s="272"/>
      <c r="C1513" s="272"/>
      <c r="D1513" s="272"/>
      <c r="E1513" s="273"/>
      <c r="F1513" s="273"/>
      <c r="I1513" s="12"/>
      <c r="J1513" s="12"/>
      <c r="K1513" s="12"/>
      <c r="L1513" s="12"/>
      <c r="M1513" s="12"/>
    </row>
    <row r="1514">
      <c r="A1514" s="282"/>
      <c r="B1514" s="272"/>
      <c r="C1514" s="272"/>
      <c r="D1514" s="272"/>
      <c r="E1514" s="273"/>
      <c r="F1514" s="273"/>
      <c r="I1514" s="12"/>
      <c r="J1514" s="12"/>
      <c r="K1514" s="12"/>
      <c r="L1514" s="12"/>
      <c r="M1514" s="12"/>
    </row>
    <row r="1515">
      <c r="A1515" s="282"/>
      <c r="B1515" s="272"/>
      <c r="C1515" s="272"/>
      <c r="D1515" s="272"/>
      <c r="E1515" s="273"/>
      <c r="F1515" s="273"/>
      <c r="I1515" s="12"/>
      <c r="J1515" s="12"/>
      <c r="K1515" s="12"/>
      <c r="L1515" s="12"/>
      <c r="M1515" s="12"/>
    </row>
    <row r="1516">
      <c r="A1516" s="282"/>
      <c r="B1516" s="272"/>
      <c r="C1516" s="272"/>
      <c r="D1516" s="272"/>
      <c r="E1516" s="273"/>
      <c r="F1516" s="273"/>
      <c r="I1516" s="12"/>
      <c r="J1516" s="12"/>
      <c r="K1516" s="12"/>
      <c r="L1516" s="12"/>
      <c r="M1516" s="12"/>
    </row>
    <row r="1517">
      <c r="A1517" s="282"/>
      <c r="B1517" s="272"/>
      <c r="C1517" s="272"/>
      <c r="D1517" s="272"/>
      <c r="E1517" s="273"/>
      <c r="F1517" s="273"/>
      <c r="I1517" s="12"/>
      <c r="J1517" s="12"/>
      <c r="K1517" s="12"/>
      <c r="L1517" s="12"/>
      <c r="M1517" s="12"/>
    </row>
    <row r="1518">
      <c r="A1518" s="282"/>
      <c r="B1518" s="272"/>
      <c r="C1518" s="272"/>
      <c r="D1518" s="272"/>
      <c r="E1518" s="273"/>
      <c r="F1518" s="273"/>
      <c r="I1518" s="12"/>
      <c r="J1518" s="12"/>
      <c r="K1518" s="12"/>
      <c r="L1518" s="12"/>
      <c r="M1518" s="12"/>
    </row>
    <row r="1519">
      <c r="A1519" s="282"/>
      <c r="B1519" s="272"/>
      <c r="C1519" s="272"/>
      <c r="D1519" s="272"/>
      <c r="E1519" s="273"/>
      <c r="F1519" s="273"/>
      <c r="I1519" s="12"/>
      <c r="J1519" s="12"/>
      <c r="K1519" s="12"/>
      <c r="L1519" s="12"/>
      <c r="M1519" s="12"/>
    </row>
    <row r="1520">
      <c r="A1520" s="282"/>
      <c r="B1520" s="272"/>
      <c r="C1520" s="272"/>
      <c r="D1520" s="272"/>
      <c r="E1520" s="273"/>
      <c r="F1520" s="273"/>
      <c r="I1520" s="12"/>
      <c r="J1520" s="12"/>
      <c r="K1520" s="12"/>
      <c r="L1520" s="12"/>
      <c r="M1520" s="12"/>
    </row>
    <row r="1521">
      <c r="A1521" s="282"/>
      <c r="B1521" s="272"/>
      <c r="C1521" s="272"/>
      <c r="D1521" s="272"/>
      <c r="E1521" s="273"/>
      <c r="F1521" s="273"/>
      <c r="I1521" s="12"/>
      <c r="J1521" s="12"/>
      <c r="K1521" s="12"/>
      <c r="L1521" s="12"/>
      <c r="M1521" s="12"/>
    </row>
    <row r="1522">
      <c r="A1522" s="282"/>
      <c r="B1522" s="272"/>
      <c r="C1522" s="272"/>
      <c r="D1522" s="272"/>
      <c r="E1522" s="273"/>
      <c r="F1522" s="273"/>
      <c r="I1522" s="12"/>
      <c r="J1522" s="12"/>
      <c r="K1522" s="12"/>
      <c r="L1522" s="12"/>
      <c r="M1522" s="12"/>
    </row>
    <row r="1523">
      <c r="A1523" s="282"/>
      <c r="B1523" s="272"/>
      <c r="C1523" s="272"/>
      <c r="D1523" s="272"/>
      <c r="E1523" s="273"/>
      <c r="F1523" s="273"/>
      <c r="I1523" s="12"/>
      <c r="J1523" s="12"/>
      <c r="K1523" s="12"/>
      <c r="L1523" s="12"/>
      <c r="M1523" s="12"/>
    </row>
    <row r="1524">
      <c r="A1524" s="282"/>
      <c r="B1524" s="272"/>
      <c r="C1524" s="272"/>
      <c r="D1524" s="272"/>
      <c r="E1524" s="273"/>
      <c r="F1524" s="273"/>
      <c r="I1524" s="12"/>
      <c r="J1524" s="12"/>
      <c r="K1524" s="12"/>
      <c r="L1524" s="12"/>
      <c r="M1524" s="12"/>
    </row>
    <row r="1525">
      <c r="A1525" s="282"/>
      <c r="B1525" s="272"/>
      <c r="C1525" s="272"/>
      <c r="D1525" s="272"/>
      <c r="E1525" s="273"/>
      <c r="F1525" s="273"/>
      <c r="I1525" s="12"/>
      <c r="J1525" s="12"/>
      <c r="K1525" s="12"/>
      <c r="L1525" s="12"/>
      <c r="M1525" s="12"/>
    </row>
    <row r="1526">
      <c r="A1526" s="282"/>
      <c r="B1526" s="272"/>
      <c r="C1526" s="272"/>
      <c r="D1526" s="272"/>
      <c r="E1526" s="273"/>
      <c r="F1526" s="273"/>
      <c r="I1526" s="12"/>
      <c r="J1526" s="12"/>
      <c r="K1526" s="12"/>
      <c r="L1526" s="12"/>
      <c r="M1526" s="12"/>
    </row>
    <row r="1527">
      <c r="A1527" s="282"/>
      <c r="B1527" s="272"/>
      <c r="C1527" s="272"/>
      <c r="D1527" s="272"/>
      <c r="E1527" s="273"/>
      <c r="F1527" s="273"/>
      <c r="I1527" s="12"/>
      <c r="J1527" s="12"/>
      <c r="K1527" s="12"/>
      <c r="L1527" s="12"/>
      <c r="M1527" s="12"/>
    </row>
    <row r="1528">
      <c r="A1528" s="282"/>
      <c r="B1528" s="272"/>
      <c r="C1528" s="272"/>
      <c r="D1528" s="272"/>
      <c r="E1528" s="273"/>
      <c r="F1528" s="273"/>
      <c r="I1528" s="12"/>
      <c r="J1528" s="12"/>
      <c r="K1528" s="12"/>
      <c r="L1528" s="12"/>
      <c r="M1528" s="12"/>
    </row>
    <row r="1529">
      <c r="A1529" s="282"/>
      <c r="B1529" s="272"/>
      <c r="C1529" s="272"/>
      <c r="D1529" s="272"/>
      <c r="E1529" s="273"/>
      <c r="F1529" s="273"/>
      <c r="I1529" s="12"/>
      <c r="J1529" s="12"/>
      <c r="K1529" s="12"/>
      <c r="L1529" s="12"/>
      <c r="M1529" s="12"/>
    </row>
    <row r="1530">
      <c r="A1530" s="282"/>
      <c r="B1530" s="272"/>
      <c r="C1530" s="272"/>
      <c r="D1530" s="272"/>
      <c r="E1530" s="273"/>
      <c r="F1530" s="273"/>
      <c r="I1530" s="12"/>
      <c r="J1530" s="12"/>
      <c r="K1530" s="12"/>
      <c r="L1530" s="12"/>
      <c r="M1530" s="12"/>
    </row>
    <row r="1531">
      <c r="A1531" s="282"/>
      <c r="B1531" s="272"/>
      <c r="C1531" s="272"/>
      <c r="D1531" s="272"/>
      <c r="E1531" s="273"/>
      <c r="F1531" s="273"/>
      <c r="I1531" s="12"/>
      <c r="J1531" s="12"/>
      <c r="K1531" s="12"/>
      <c r="L1531" s="12"/>
      <c r="M1531" s="12"/>
    </row>
    <row r="1532">
      <c r="A1532" s="282"/>
      <c r="B1532" s="272"/>
      <c r="C1532" s="272"/>
      <c r="D1532" s="272"/>
      <c r="E1532" s="273"/>
      <c r="F1532" s="273"/>
      <c r="I1532" s="12"/>
      <c r="J1532" s="12"/>
      <c r="K1532" s="12"/>
      <c r="L1532" s="12"/>
      <c r="M1532" s="12"/>
    </row>
    <row r="1533">
      <c r="A1533" s="282"/>
      <c r="B1533" s="272"/>
      <c r="C1533" s="272"/>
      <c r="D1533" s="272"/>
      <c r="E1533" s="273"/>
      <c r="F1533" s="273"/>
      <c r="I1533" s="12"/>
      <c r="J1533" s="12"/>
      <c r="K1533" s="12"/>
      <c r="L1533" s="12"/>
      <c r="M1533" s="12"/>
    </row>
    <row r="1534">
      <c r="A1534" s="282"/>
      <c r="B1534" s="272"/>
      <c r="C1534" s="272"/>
      <c r="D1534" s="272"/>
      <c r="E1534" s="273"/>
      <c r="F1534" s="273"/>
      <c r="I1534" s="12"/>
      <c r="J1534" s="12"/>
      <c r="K1534" s="12"/>
      <c r="L1534" s="12"/>
      <c r="M1534" s="12"/>
    </row>
    <row r="1535">
      <c r="A1535" s="282"/>
      <c r="B1535" s="272"/>
      <c r="C1535" s="272"/>
      <c r="D1535" s="272"/>
      <c r="E1535" s="273"/>
      <c r="F1535" s="273"/>
      <c r="I1535" s="12"/>
      <c r="J1535" s="12"/>
      <c r="K1535" s="12"/>
      <c r="L1535" s="12"/>
      <c r="M1535" s="12"/>
    </row>
    <row r="1536">
      <c r="A1536" s="282"/>
      <c r="B1536" s="272"/>
      <c r="C1536" s="272"/>
      <c r="D1536" s="272"/>
      <c r="E1536" s="273"/>
      <c r="F1536" s="273"/>
      <c r="I1536" s="12"/>
      <c r="J1536" s="12"/>
      <c r="K1536" s="12"/>
      <c r="L1536" s="12"/>
      <c r="M1536" s="12"/>
    </row>
    <row r="1537">
      <c r="A1537" s="282"/>
      <c r="B1537" s="272"/>
      <c r="C1537" s="272"/>
      <c r="D1537" s="272"/>
      <c r="E1537" s="273"/>
      <c r="F1537" s="273"/>
      <c r="I1537" s="12"/>
      <c r="J1537" s="12"/>
      <c r="K1537" s="12"/>
      <c r="L1537" s="12"/>
      <c r="M1537" s="12"/>
    </row>
    <row r="1538">
      <c r="A1538" s="282"/>
      <c r="B1538" s="272"/>
      <c r="C1538" s="272"/>
      <c r="D1538" s="272"/>
      <c r="E1538" s="273"/>
      <c r="F1538" s="273"/>
      <c r="I1538" s="12"/>
      <c r="J1538" s="12"/>
      <c r="K1538" s="12"/>
      <c r="L1538" s="12"/>
      <c r="M1538" s="12"/>
    </row>
    <row r="1539">
      <c r="A1539" s="282"/>
      <c r="B1539" s="272"/>
      <c r="C1539" s="272"/>
      <c r="D1539" s="272"/>
      <c r="E1539" s="273"/>
      <c r="F1539" s="273"/>
      <c r="I1539" s="12"/>
      <c r="J1539" s="12"/>
      <c r="K1539" s="12"/>
      <c r="L1539" s="12"/>
      <c r="M1539" s="12"/>
    </row>
    <row r="1540">
      <c r="A1540" s="282"/>
      <c r="B1540" s="272"/>
      <c r="C1540" s="272"/>
      <c r="D1540" s="272"/>
      <c r="E1540" s="273"/>
      <c r="F1540" s="273"/>
      <c r="I1540" s="12"/>
      <c r="J1540" s="12"/>
      <c r="K1540" s="12"/>
      <c r="L1540" s="12"/>
      <c r="M1540" s="12"/>
    </row>
    <row r="1541">
      <c r="A1541" s="282"/>
      <c r="B1541" s="272"/>
      <c r="C1541" s="272"/>
      <c r="D1541" s="272"/>
      <c r="E1541" s="273"/>
      <c r="F1541" s="273"/>
      <c r="I1541" s="12"/>
      <c r="J1541" s="12"/>
      <c r="K1541" s="12"/>
      <c r="L1541" s="12"/>
      <c r="M1541" s="12"/>
    </row>
    <row r="1542">
      <c r="A1542" s="282"/>
      <c r="B1542" s="272"/>
      <c r="C1542" s="272"/>
      <c r="D1542" s="272"/>
      <c r="E1542" s="273"/>
      <c r="F1542" s="273"/>
      <c r="I1542" s="12"/>
      <c r="J1542" s="12"/>
      <c r="K1542" s="12"/>
      <c r="L1542" s="12"/>
      <c r="M1542" s="12"/>
    </row>
    <row r="1543">
      <c r="A1543" s="282"/>
      <c r="B1543" s="272"/>
      <c r="C1543" s="272"/>
      <c r="D1543" s="272"/>
      <c r="E1543" s="273"/>
      <c r="F1543" s="273"/>
      <c r="I1543" s="12"/>
      <c r="J1543" s="12"/>
      <c r="K1543" s="12"/>
      <c r="L1543" s="12"/>
      <c r="M1543" s="12"/>
    </row>
    <row r="1544">
      <c r="A1544" s="282"/>
      <c r="B1544" s="272"/>
      <c r="C1544" s="272"/>
      <c r="D1544" s="272"/>
      <c r="E1544" s="273"/>
      <c r="F1544" s="273"/>
      <c r="I1544" s="12"/>
      <c r="J1544" s="12"/>
      <c r="K1544" s="12"/>
      <c r="L1544" s="12"/>
      <c r="M1544" s="12"/>
    </row>
    <row r="1545">
      <c r="A1545" s="282"/>
      <c r="B1545" s="272"/>
      <c r="C1545" s="272"/>
      <c r="D1545" s="272"/>
      <c r="E1545" s="273"/>
      <c r="F1545" s="273"/>
      <c r="I1545" s="12"/>
      <c r="J1545" s="12"/>
      <c r="K1545" s="12"/>
      <c r="L1545" s="12"/>
      <c r="M1545" s="12"/>
    </row>
    <row r="1546">
      <c r="A1546" s="282"/>
      <c r="B1546" s="272"/>
      <c r="C1546" s="272"/>
      <c r="D1546" s="272"/>
      <c r="E1546" s="273"/>
      <c r="F1546" s="273"/>
      <c r="I1546" s="12"/>
      <c r="J1546" s="12"/>
      <c r="K1546" s="12"/>
      <c r="L1546" s="12"/>
      <c r="M1546" s="12"/>
    </row>
    <row r="1547">
      <c r="A1547" s="282"/>
      <c r="B1547" s="272"/>
      <c r="C1547" s="272"/>
      <c r="D1547" s="272"/>
      <c r="E1547" s="273"/>
      <c r="F1547" s="273"/>
      <c r="I1547" s="12"/>
      <c r="J1547" s="12"/>
      <c r="K1547" s="12"/>
      <c r="L1547" s="12"/>
      <c r="M1547" s="12"/>
    </row>
    <row r="1548">
      <c r="A1548" s="282"/>
      <c r="B1548" s="272"/>
      <c r="C1548" s="272"/>
      <c r="D1548" s="272"/>
      <c r="E1548" s="273"/>
      <c r="F1548" s="273"/>
      <c r="I1548" s="12"/>
      <c r="J1548" s="12"/>
      <c r="K1548" s="12"/>
      <c r="L1548" s="12"/>
      <c r="M1548" s="12"/>
    </row>
    <row r="1549">
      <c r="A1549" s="282"/>
      <c r="B1549" s="272"/>
      <c r="C1549" s="272"/>
      <c r="D1549" s="272"/>
      <c r="E1549" s="273"/>
      <c r="F1549" s="273"/>
      <c r="I1549" s="12"/>
      <c r="J1549" s="12"/>
      <c r="K1549" s="12"/>
      <c r="L1549" s="12"/>
      <c r="M1549" s="12"/>
    </row>
    <row r="1550">
      <c r="A1550" s="282"/>
      <c r="B1550" s="272"/>
      <c r="C1550" s="272"/>
      <c r="D1550" s="272"/>
      <c r="E1550" s="273"/>
      <c r="F1550" s="273"/>
      <c r="I1550" s="12"/>
      <c r="J1550" s="12"/>
      <c r="K1550" s="12"/>
      <c r="L1550" s="12"/>
      <c r="M1550" s="12"/>
    </row>
    <row r="1551">
      <c r="A1551" s="282"/>
      <c r="B1551" s="272"/>
      <c r="C1551" s="272"/>
      <c r="D1551" s="272"/>
      <c r="E1551" s="273"/>
      <c r="F1551" s="273"/>
      <c r="I1551" s="12"/>
      <c r="J1551" s="12"/>
      <c r="K1551" s="12"/>
      <c r="L1551" s="12"/>
      <c r="M1551" s="12"/>
    </row>
    <row r="1552">
      <c r="A1552" s="282"/>
      <c r="B1552" s="272"/>
      <c r="C1552" s="272"/>
      <c r="D1552" s="272"/>
      <c r="E1552" s="273"/>
      <c r="F1552" s="273"/>
      <c r="I1552" s="12"/>
      <c r="J1552" s="12"/>
      <c r="K1552" s="12"/>
      <c r="L1552" s="12"/>
      <c r="M1552" s="12"/>
    </row>
    <row r="1553">
      <c r="A1553" s="282"/>
      <c r="B1553" s="272"/>
      <c r="C1553" s="272"/>
      <c r="D1553" s="272"/>
      <c r="E1553" s="273"/>
      <c r="F1553" s="273"/>
      <c r="I1553" s="12"/>
      <c r="J1553" s="12"/>
      <c r="K1553" s="12"/>
      <c r="L1553" s="12"/>
      <c r="M1553" s="12"/>
    </row>
    <row r="1554">
      <c r="A1554" s="282"/>
      <c r="B1554" s="272"/>
      <c r="C1554" s="272"/>
      <c r="D1554" s="272"/>
      <c r="E1554" s="273"/>
      <c r="F1554" s="273"/>
      <c r="I1554" s="12"/>
      <c r="J1554" s="12"/>
      <c r="K1554" s="12"/>
      <c r="L1554" s="12"/>
      <c r="M1554" s="12"/>
    </row>
    <row r="1555">
      <c r="A1555" s="282"/>
      <c r="B1555" s="272"/>
      <c r="C1555" s="272"/>
      <c r="D1555" s="272"/>
      <c r="E1555" s="273"/>
      <c r="F1555" s="273"/>
      <c r="I1555" s="12"/>
      <c r="J1555" s="12"/>
      <c r="K1555" s="12"/>
      <c r="L1555" s="12"/>
      <c r="M1555" s="12"/>
    </row>
    <row r="1556">
      <c r="A1556" s="282"/>
      <c r="B1556" s="272"/>
      <c r="C1556" s="272"/>
      <c r="D1556" s="272"/>
      <c r="E1556" s="273"/>
      <c r="F1556" s="273"/>
      <c r="I1556" s="12"/>
      <c r="J1556" s="12"/>
      <c r="K1556" s="12"/>
      <c r="L1556" s="12"/>
      <c r="M1556" s="12"/>
    </row>
    <row r="1557">
      <c r="A1557" s="282"/>
      <c r="B1557" s="272"/>
      <c r="C1557" s="272"/>
      <c r="D1557" s="272"/>
      <c r="E1557" s="273"/>
      <c r="F1557" s="273"/>
      <c r="I1557" s="12"/>
      <c r="J1557" s="12"/>
      <c r="K1557" s="12"/>
      <c r="L1557" s="12"/>
      <c r="M1557" s="12"/>
    </row>
    <row r="1558">
      <c r="A1558" s="282"/>
      <c r="B1558" s="272"/>
      <c r="C1558" s="272"/>
      <c r="D1558" s="272"/>
      <c r="E1558" s="273"/>
      <c r="F1558" s="273"/>
      <c r="I1558" s="12"/>
      <c r="J1558" s="12"/>
      <c r="K1558" s="12"/>
      <c r="L1558" s="12"/>
      <c r="M1558" s="12"/>
    </row>
    <row r="1559">
      <c r="A1559" s="282"/>
      <c r="B1559" s="272"/>
      <c r="C1559" s="272"/>
      <c r="D1559" s="272"/>
      <c r="E1559" s="273"/>
      <c r="F1559" s="273"/>
      <c r="I1559" s="12"/>
      <c r="J1559" s="12"/>
      <c r="K1559" s="12"/>
      <c r="L1559" s="12"/>
      <c r="M1559" s="12"/>
    </row>
    <row r="1560">
      <c r="A1560" s="282"/>
      <c r="B1560" s="272"/>
      <c r="C1560" s="272"/>
      <c r="D1560" s="272"/>
      <c r="E1560" s="273"/>
      <c r="F1560" s="273"/>
      <c r="I1560" s="12"/>
      <c r="J1560" s="12"/>
      <c r="K1560" s="12"/>
      <c r="L1560" s="12"/>
      <c r="M1560" s="12"/>
    </row>
    <row r="1561">
      <c r="A1561" s="282"/>
      <c r="B1561" s="272"/>
      <c r="C1561" s="272"/>
      <c r="D1561" s="272"/>
      <c r="E1561" s="273"/>
      <c r="F1561" s="273"/>
      <c r="I1561" s="12"/>
      <c r="J1561" s="12"/>
      <c r="K1561" s="12"/>
      <c r="L1561" s="12"/>
      <c r="M1561" s="12"/>
    </row>
    <row r="1562">
      <c r="A1562" s="282"/>
      <c r="B1562" s="272"/>
      <c r="C1562" s="272"/>
      <c r="D1562" s="272"/>
      <c r="E1562" s="273"/>
      <c r="F1562" s="273"/>
      <c r="I1562" s="12"/>
      <c r="J1562" s="12"/>
      <c r="K1562" s="12"/>
      <c r="L1562" s="12"/>
      <c r="M1562" s="12"/>
    </row>
    <row r="1563">
      <c r="A1563" s="282"/>
      <c r="B1563" s="272"/>
      <c r="C1563" s="272"/>
      <c r="D1563" s="272"/>
      <c r="E1563" s="273"/>
      <c r="F1563" s="273"/>
      <c r="I1563" s="12"/>
      <c r="J1563" s="12"/>
      <c r="K1563" s="12"/>
      <c r="L1563" s="12"/>
      <c r="M1563" s="12"/>
    </row>
    <row r="1564">
      <c r="A1564" s="282"/>
      <c r="B1564" s="272"/>
      <c r="C1564" s="272"/>
      <c r="D1564" s="272"/>
      <c r="E1564" s="273"/>
      <c r="F1564" s="273"/>
      <c r="I1564" s="12"/>
      <c r="J1564" s="12"/>
      <c r="K1564" s="12"/>
      <c r="L1564" s="12"/>
      <c r="M1564" s="12"/>
    </row>
    <row r="1565">
      <c r="A1565" s="282"/>
      <c r="B1565" s="272"/>
      <c r="C1565" s="272"/>
      <c r="D1565" s="272"/>
      <c r="E1565" s="273"/>
      <c r="F1565" s="273"/>
      <c r="I1565" s="12"/>
      <c r="J1565" s="12"/>
      <c r="K1565" s="12"/>
      <c r="L1565" s="12"/>
      <c r="M1565" s="12"/>
    </row>
    <row r="1566">
      <c r="A1566" s="282"/>
      <c r="B1566" s="272"/>
      <c r="C1566" s="272"/>
      <c r="D1566" s="272"/>
      <c r="E1566" s="273"/>
      <c r="F1566" s="273"/>
      <c r="I1566" s="12"/>
      <c r="J1566" s="12"/>
      <c r="K1566" s="12"/>
      <c r="L1566" s="12"/>
      <c r="M1566" s="12"/>
    </row>
    <row r="1567">
      <c r="A1567" s="282"/>
      <c r="B1567" s="272"/>
      <c r="C1567" s="272"/>
      <c r="D1567" s="272"/>
      <c r="E1567" s="273"/>
      <c r="F1567" s="273"/>
      <c r="I1567" s="12"/>
      <c r="J1567" s="12"/>
      <c r="K1567" s="12"/>
      <c r="L1567" s="12"/>
      <c r="M1567" s="12"/>
    </row>
    <row r="1568">
      <c r="A1568" s="282"/>
      <c r="B1568" s="272"/>
      <c r="C1568" s="272"/>
      <c r="D1568" s="272"/>
      <c r="E1568" s="273"/>
      <c r="F1568" s="273"/>
      <c r="I1568" s="12"/>
      <c r="J1568" s="12"/>
      <c r="K1568" s="12"/>
      <c r="L1568" s="12"/>
      <c r="M1568" s="12"/>
    </row>
    <row r="1569">
      <c r="A1569" s="282"/>
      <c r="B1569" s="272"/>
      <c r="C1569" s="272"/>
      <c r="D1569" s="272"/>
      <c r="E1569" s="273"/>
      <c r="F1569" s="273"/>
      <c r="I1569" s="12"/>
      <c r="J1569" s="12"/>
      <c r="K1569" s="12"/>
      <c r="L1569" s="12"/>
      <c r="M1569" s="12"/>
    </row>
    <row r="1570">
      <c r="A1570" s="282"/>
      <c r="B1570" s="272"/>
      <c r="C1570" s="272"/>
      <c r="D1570" s="272"/>
      <c r="E1570" s="273"/>
      <c r="F1570" s="273"/>
      <c r="I1570" s="12"/>
      <c r="J1570" s="12"/>
      <c r="K1570" s="12"/>
      <c r="L1570" s="12"/>
      <c r="M1570" s="12"/>
    </row>
  </sheetData>
  <mergeCells count="30">
    <mergeCell ref="F3:F4"/>
    <mergeCell ref="G3:G4"/>
    <mergeCell ref="E6:E7"/>
    <mergeCell ref="F6:F7"/>
    <mergeCell ref="G6:G7"/>
    <mergeCell ref="I3:J3"/>
    <mergeCell ref="K3:L3"/>
    <mergeCell ref="I4:J5"/>
    <mergeCell ref="K4:L5"/>
    <mergeCell ref="I2:L2"/>
    <mergeCell ref="I6:L6"/>
    <mergeCell ref="A1:C1"/>
    <mergeCell ref="E1:G1"/>
    <mergeCell ref="I1:L1"/>
    <mergeCell ref="A2:B2"/>
    <mergeCell ref="A3:B4"/>
    <mergeCell ref="E3:E4"/>
    <mergeCell ref="A5:B6"/>
    <mergeCell ref="K7:L8"/>
    <mergeCell ref="I9:L9"/>
    <mergeCell ref="I10:J11"/>
    <mergeCell ref="K10:L11"/>
    <mergeCell ref="A7:B8"/>
    <mergeCell ref="I7:J8"/>
    <mergeCell ref="E8:G8"/>
    <mergeCell ref="A9:B10"/>
    <mergeCell ref="E9:E10"/>
    <mergeCell ref="F9:F10"/>
    <mergeCell ref="G9:G10"/>
    <mergeCell ref="A11:B12"/>
  </mergeCells>
  <dataValidations>
    <dataValidation type="list" allowBlank="1" showErrorMessage="1" sqref="H15:H37">
      <formula1>"Sampai,Sudah Proses Pengiriman,Kendala [FU!],Done Req Sample"</formula1>
    </dataValidation>
    <dataValidation type="list" allowBlank="1" showErrorMessage="1" sqref="A15:A1570">
      <formula1>"MEGA,MACRO,MICRO,NANO"</formula1>
    </dataValidation>
  </dataValidations>
  <hyperlinks>
    <hyperlink r:id="rId1" ref="C15"/>
    <hyperlink r:id="rId2" ref="C16"/>
    <hyperlink r:id="rId3" ref="I16"/>
    <hyperlink r:id="rId4" ref="C17"/>
    <hyperlink r:id="rId5" ref="C18"/>
    <hyperlink r:id="rId6" ref="C19"/>
    <hyperlink r:id="rId7" ref="C20"/>
    <hyperlink r:id="rId8" ref="I20"/>
    <hyperlink r:id="rId9" ref="J20"/>
    <hyperlink r:id="rId10" ref="K20"/>
    <hyperlink r:id="rId11" ref="L20"/>
    <hyperlink r:id="rId12" ref="C21"/>
    <hyperlink r:id="rId13" ref="C22"/>
    <hyperlink r:id="rId14" ref="I22"/>
    <hyperlink r:id="rId15" ref="J22"/>
    <hyperlink r:id="rId16" ref="K22"/>
    <hyperlink r:id="rId17" ref="L22"/>
    <hyperlink r:id="rId18" ref="C23"/>
    <hyperlink r:id="rId19" ref="I23"/>
    <hyperlink r:id="rId20" ref="C24"/>
    <hyperlink r:id="rId21" ref="C25"/>
    <hyperlink r:id="rId22" ref="I26"/>
    <hyperlink r:id="rId23" ref="J26"/>
    <hyperlink r:id="rId24" ref="K26"/>
    <hyperlink r:id="rId25" ref="L26"/>
    <hyperlink r:id="rId26" ref="C27"/>
    <hyperlink r:id="rId27" ref="I27"/>
    <hyperlink r:id="rId28" ref="C28"/>
    <hyperlink r:id="rId29" ref="C29"/>
    <hyperlink r:id="rId30" ref="I29"/>
    <hyperlink r:id="rId31" ref="J29"/>
    <hyperlink r:id="rId32" ref="K29"/>
    <hyperlink r:id="rId33" ref="C30"/>
    <hyperlink r:id="rId34" ref="C31"/>
    <hyperlink r:id="rId35" ref="I31"/>
    <hyperlink r:id="rId36" ref="J31"/>
    <hyperlink r:id="rId37" ref="K31"/>
    <hyperlink r:id="rId38" ref="L31"/>
    <hyperlink r:id="rId39" ref="C32"/>
    <hyperlink r:id="rId40" ref="I32"/>
    <hyperlink r:id="rId41" ref="J32"/>
    <hyperlink r:id="rId42" ref="C33"/>
    <hyperlink r:id="rId43" ref="I33"/>
    <hyperlink r:id="rId44" ref="J33"/>
    <hyperlink r:id="rId45" ref="C34"/>
    <hyperlink r:id="rId46" ref="I34"/>
    <hyperlink r:id="rId47" ref="J34"/>
    <hyperlink r:id="rId48" ref="K34"/>
    <hyperlink r:id="rId49" ref="C35"/>
    <hyperlink r:id="rId50" ref="I35"/>
    <hyperlink r:id="rId51" ref="C36"/>
    <hyperlink r:id="rId52" ref="C37"/>
    <hyperlink r:id="rId53" ref="C38"/>
    <hyperlink r:id="rId54" ref="I38"/>
    <hyperlink r:id="rId55" ref="J38"/>
    <hyperlink r:id="rId56" ref="K38"/>
    <hyperlink r:id="rId57" ref="L38"/>
    <hyperlink r:id="rId58" ref="C39"/>
    <hyperlink r:id="rId59" ref="I39"/>
    <hyperlink r:id="rId60" ref="C40"/>
    <hyperlink r:id="rId61" ref="C41"/>
    <hyperlink r:id="rId62" ref="C42"/>
    <hyperlink r:id="rId63" ref="I42"/>
    <hyperlink r:id="rId64" ref="J42"/>
    <hyperlink r:id="rId65" ref="K42"/>
    <hyperlink r:id="rId66" ref="L42"/>
    <hyperlink r:id="rId67" ref="C43"/>
    <hyperlink r:id="rId68" ref="I43"/>
    <hyperlink r:id="rId69" ref="J43"/>
    <hyperlink r:id="rId70" ref="K43"/>
    <hyperlink r:id="rId71" ref="L43"/>
    <hyperlink r:id="rId72" ref="C44"/>
    <hyperlink r:id="rId73" ref="I44"/>
    <hyperlink r:id="rId74" ref="J44"/>
    <hyperlink r:id="rId75" ref="K44"/>
    <hyperlink r:id="rId76" ref="L44"/>
    <hyperlink r:id="rId77" ref="C45"/>
    <hyperlink r:id="rId78" ref="I45"/>
    <hyperlink r:id="rId79" ref="J45"/>
    <hyperlink r:id="rId80" ref="K45"/>
    <hyperlink r:id="rId81" ref="L45"/>
    <hyperlink r:id="rId82" ref="C46"/>
    <hyperlink r:id="rId83" ref="I46"/>
    <hyperlink r:id="rId84" ref="J46"/>
    <hyperlink r:id="rId85" ref="K46"/>
    <hyperlink r:id="rId86" ref="L46"/>
    <hyperlink r:id="rId87" ref="C47"/>
    <hyperlink r:id="rId88" ref="I47"/>
    <hyperlink r:id="rId89" ref="J47"/>
    <hyperlink r:id="rId90" ref="K47"/>
    <hyperlink r:id="rId91" ref="C48"/>
    <hyperlink r:id="rId92" ref="C49"/>
    <hyperlink r:id="rId93" ref="I49"/>
    <hyperlink r:id="rId94" ref="J49"/>
    <hyperlink r:id="rId95" ref="K49"/>
    <hyperlink r:id="rId96" ref="L49"/>
    <hyperlink r:id="rId97" ref="C50"/>
    <hyperlink r:id="rId98" ref="I50"/>
    <hyperlink r:id="rId99" ref="J50"/>
    <hyperlink r:id="rId100" ref="K50"/>
    <hyperlink r:id="rId101" ref="L50"/>
    <hyperlink r:id="rId102" ref="C51"/>
    <hyperlink r:id="rId103" ref="C52"/>
    <hyperlink r:id="rId104" ref="I52"/>
    <hyperlink r:id="rId105" ref="J52"/>
    <hyperlink r:id="rId106" ref="K52"/>
    <hyperlink r:id="rId107" ref="L52"/>
    <hyperlink r:id="rId108" ref="C53"/>
    <hyperlink r:id="rId109" ref="I53"/>
    <hyperlink r:id="rId110" ref="J53"/>
    <hyperlink r:id="rId111" ref="K53"/>
    <hyperlink r:id="rId112" ref="L53"/>
    <hyperlink r:id="rId113" ref="C54"/>
    <hyperlink r:id="rId114" ref="C55"/>
    <hyperlink r:id="rId115" ref="C56"/>
    <hyperlink r:id="rId116" ref="I56"/>
    <hyperlink r:id="rId117" ref="J56"/>
    <hyperlink r:id="rId118" ref="K56"/>
    <hyperlink r:id="rId119" ref="L56"/>
    <hyperlink r:id="rId120" ref="C57"/>
    <hyperlink r:id="rId121" ref="C58"/>
    <hyperlink r:id="rId122" ref="I58"/>
    <hyperlink r:id="rId123" ref="C59"/>
    <hyperlink r:id="rId124" ref="I59"/>
    <hyperlink r:id="rId125" ref="J59"/>
    <hyperlink r:id="rId126" ref="K59"/>
    <hyperlink r:id="rId127" ref="L59"/>
    <hyperlink r:id="rId128" ref="C60"/>
    <hyperlink r:id="rId129" ref="C61"/>
    <hyperlink r:id="rId130" ref="C62"/>
    <hyperlink r:id="rId131" ref="C63"/>
    <hyperlink r:id="rId132" ref="C64"/>
    <hyperlink r:id="rId133" ref="C65"/>
    <hyperlink r:id="rId134" ref="I65"/>
    <hyperlink r:id="rId135" ref="J65"/>
    <hyperlink r:id="rId136" ref="C66"/>
    <hyperlink r:id="rId137" ref="C67"/>
    <hyperlink r:id="rId138" ref="C68"/>
    <hyperlink r:id="rId139" ref="I68"/>
    <hyperlink r:id="rId140" ref="J68"/>
    <hyperlink r:id="rId141" ref="K68"/>
    <hyperlink r:id="rId142" ref="C69"/>
    <hyperlink r:id="rId143" ref="I69"/>
    <hyperlink r:id="rId144" ref="J69"/>
    <hyperlink r:id="rId145" ref="C70"/>
    <hyperlink r:id="rId146" ref="I70"/>
    <hyperlink r:id="rId147" ref="C71"/>
    <hyperlink r:id="rId148" ref="I71"/>
    <hyperlink r:id="rId149" ref="C72"/>
    <hyperlink r:id="rId150" ref="C73"/>
    <hyperlink r:id="rId151" ref="C74"/>
    <hyperlink r:id="rId152" ref="I74"/>
    <hyperlink r:id="rId153" ref="J74"/>
    <hyperlink r:id="rId154" ref="K74"/>
    <hyperlink r:id="rId155" ref="C75"/>
    <hyperlink r:id="rId156" ref="C76"/>
    <hyperlink r:id="rId157" ref="I76"/>
    <hyperlink r:id="rId158" ref="C77"/>
    <hyperlink r:id="rId159" ref="C78"/>
    <hyperlink r:id="rId160" ref="C79"/>
    <hyperlink r:id="rId161" ref="I79"/>
    <hyperlink r:id="rId162" ref="J79"/>
    <hyperlink r:id="rId163" ref="C80"/>
    <hyperlink r:id="rId164" ref="C81"/>
    <hyperlink r:id="rId165" ref="C82"/>
    <hyperlink r:id="rId166" ref="C83"/>
    <hyperlink r:id="rId167" ref="C84"/>
    <hyperlink r:id="rId168" ref="C85"/>
    <hyperlink r:id="rId169" ref="C86"/>
    <hyperlink r:id="rId170" ref="I86"/>
    <hyperlink r:id="rId171" ref="C87"/>
    <hyperlink r:id="rId172" ref="I87"/>
    <hyperlink r:id="rId173" ref="J87"/>
    <hyperlink r:id="rId174" ref="K87"/>
    <hyperlink r:id="rId175" ref="L87"/>
    <hyperlink r:id="rId176" ref="C88"/>
    <hyperlink r:id="rId177" ref="I88"/>
    <hyperlink r:id="rId178" ref="C89"/>
    <hyperlink r:id="rId179" ref="C90"/>
    <hyperlink r:id="rId180" ref="I90"/>
    <hyperlink r:id="rId181" ref="J90"/>
    <hyperlink r:id="rId182" ref="K90"/>
    <hyperlink r:id="rId183" ref="L90"/>
    <hyperlink r:id="rId184" ref="C91"/>
    <hyperlink r:id="rId185" ref="I91"/>
    <hyperlink r:id="rId186" ref="J91"/>
    <hyperlink r:id="rId187" ref="K91"/>
    <hyperlink r:id="rId188" ref="L91"/>
    <hyperlink r:id="rId189" ref="C92"/>
    <hyperlink r:id="rId190" ref="C93"/>
    <hyperlink r:id="rId191" ref="C94"/>
    <hyperlink r:id="rId192" ref="C95"/>
    <hyperlink r:id="rId193" ref="C96"/>
    <hyperlink r:id="rId194" ref="C97"/>
    <hyperlink r:id="rId195" ref="C98"/>
    <hyperlink r:id="rId196" ref="C99"/>
    <hyperlink r:id="rId197" ref="I99"/>
    <hyperlink r:id="rId198" ref="J99"/>
    <hyperlink r:id="rId199" ref="K99"/>
    <hyperlink r:id="rId200" ref="C100"/>
    <hyperlink r:id="rId201" ref="C101"/>
    <hyperlink r:id="rId202" ref="I101"/>
    <hyperlink r:id="rId203" ref="J101"/>
    <hyperlink r:id="rId204" ref="K101"/>
    <hyperlink r:id="rId205" ref="L101"/>
    <hyperlink r:id="rId206" ref="C102"/>
    <hyperlink r:id="rId207" ref="C103"/>
    <hyperlink r:id="rId208" ref="C104"/>
    <hyperlink r:id="rId209" ref="I104"/>
    <hyperlink r:id="rId210" ref="J104"/>
    <hyperlink r:id="rId211" ref="C105"/>
    <hyperlink r:id="rId212" ref="C106"/>
    <hyperlink r:id="rId213" ref="I106"/>
    <hyperlink r:id="rId214" ref="J106"/>
    <hyperlink r:id="rId215" ref="K106"/>
    <hyperlink r:id="rId216" ref="L106"/>
    <hyperlink r:id="rId217" ref="C107"/>
    <hyperlink r:id="rId218" ref="I107"/>
    <hyperlink r:id="rId219" ref="J107"/>
    <hyperlink r:id="rId220" ref="K107"/>
    <hyperlink r:id="rId221" ref="L107"/>
    <hyperlink r:id="rId222" ref="C108"/>
    <hyperlink r:id="rId223" ref="I108"/>
    <hyperlink r:id="rId224" ref="J108"/>
    <hyperlink r:id="rId225" ref="K108"/>
    <hyperlink r:id="rId226" ref="C109"/>
    <hyperlink r:id="rId227" ref="C110"/>
    <hyperlink r:id="rId228" ref="C111"/>
    <hyperlink r:id="rId229" ref="C112"/>
    <hyperlink r:id="rId230" ref="I112"/>
    <hyperlink r:id="rId231" ref="J112"/>
    <hyperlink r:id="rId232" ref="K112"/>
    <hyperlink r:id="rId233" ref="C113"/>
    <hyperlink r:id="rId234" ref="C114"/>
    <hyperlink r:id="rId235" ref="C115"/>
    <hyperlink r:id="rId236" ref="C116"/>
    <hyperlink r:id="rId237" ref="C117"/>
    <hyperlink r:id="rId238" ref="I117"/>
    <hyperlink r:id="rId239" ref="J117"/>
    <hyperlink r:id="rId240" ref="K117"/>
    <hyperlink r:id="rId241" ref="L117"/>
    <hyperlink r:id="rId242" ref="C118"/>
    <hyperlink r:id="rId243" ref="I118"/>
    <hyperlink r:id="rId244" ref="J118"/>
    <hyperlink r:id="rId245" ref="K118"/>
    <hyperlink r:id="rId246" ref="C119"/>
    <hyperlink r:id="rId247" ref="I119"/>
    <hyperlink r:id="rId248" ref="J119"/>
    <hyperlink r:id="rId249" ref="C120"/>
    <hyperlink r:id="rId250" ref="C121"/>
    <hyperlink r:id="rId251" ref="C122"/>
    <hyperlink r:id="rId252" ref="I122"/>
    <hyperlink r:id="rId253" ref="J122"/>
    <hyperlink r:id="rId254" ref="K122"/>
    <hyperlink r:id="rId255" ref="L122"/>
    <hyperlink r:id="rId256" ref="C123"/>
    <hyperlink r:id="rId257" ref="I123"/>
    <hyperlink r:id="rId258" ref="J123"/>
    <hyperlink r:id="rId259" ref="C124"/>
    <hyperlink r:id="rId260" ref="I124"/>
    <hyperlink r:id="rId261" ref="J124"/>
    <hyperlink r:id="rId262" ref="C125"/>
    <hyperlink r:id="rId263" ref="I125"/>
    <hyperlink r:id="rId264" ref="J125"/>
    <hyperlink r:id="rId265" ref="K125"/>
    <hyperlink r:id="rId266" ref="L125"/>
    <hyperlink r:id="rId267" ref="C126"/>
    <hyperlink r:id="rId268" ref="C127"/>
    <hyperlink r:id="rId269" ref="C128"/>
    <hyperlink r:id="rId270" ref="I128"/>
    <hyperlink r:id="rId271" ref="J128"/>
    <hyperlink r:id="rId272" ref="C129"/>
    <hyperlink r:id="rId273" ref="C130"/>
    <hyperlink r:id="rId274" ref="C131"/>
    <hyperlink r:id="rId275" ref="I131"/>
    <hyperlink r:id="rId276" ref="J131"/>
    <hyperlink r:id="rId277" ref="K131"/>
    <hyperlink r:id="rId278" ref="L131"/>
    <hyperlink r:id="rId279" ref="C132"/>
    <hyperlink r:id="rId280" ref="C133"/>
    <hyperlink r:id="rId281" ref="C134"/>
    <hyperlink r:id="rId282" ref="I134"/>
    <hyperlink r:id="rId283" ref="J134"/>
    <hyperlink r:id="rId284" ref="C135"/>
    <hyperlink r:id="rId285" ref="I135"/>
    <hyperlink r:id="rId286" ref="J135"/>
    <hyperlink r:id="rId287" ref="C136"/>
    <hyperlink r:id="rId288" ref="C137"/>
    <hyperlink r:id="rId289" ref="I137"/>
    <hyperlink r:id="rId290" ref="J137"/>
    <hyperlink r:id="rId291" ref="K137"/>
    <hyperlink r:id="rId292" ref="L137"/>
    <hyperlink r:id="rId293" ref="C138"/>
    <hyperlink r:id="rId294" ref="I138"/>
    <hyperlink r:id="rId295" ref="C139"/>
    <hyperlink r:id="rId296" ref="I139"/>
    <hyperlink r:id="rId297" ref="J139"/>
    <hyperlink r:id="rId298" ref="C140"/>
    <hyperlink r:id="rId299" ref="C141"/>
    <hyperlink r:id="rId300" ref="C142"/>
    <hyperlink r:id="rId301" ref="C143"/>
    <hyperlink r:id="rId302" ref="C144"/>
    <hyperlink r:id="rId303" ref="C145"/>
    <hyperlink r:id="rId304" ref="C146"/>
    <hyperlink r:id="rId305" ref="C147"/>
    <hyperlink r:id="rId306" ref="C148"/>
    <hyperlink r:id="rId307" ref="C149"/>
    <hyperlink r:id="rId308" ref="I149"/>
    <hyperlink r:id="rId309" ref="J149"/>
    <hyperlink r:id="rId310" ref="C150"/>
    <hyperlink r:id="rId311" ref="C151"/>
    <hyperlink r:id="rId312" ref="C152"/>
    <hyperlink r:id="rId313" ref="C153"/>
    <hyperlink r:id="rId314" ref="C154"/>
    <hyperlink r:id="rId315" ref="I154"/>
    <hyperlink r:id="rId316" ref="J154"/>
    <hyperlink r:id="rId317" ref="K154"/>
    <hyperlink r:id="rId318" ref="L154"/>
    <hyperlink r:id="rId319" ref="C155"/>
    <hyperlink r:id="rId320" ref="C156"/>
    <hyperlink r:id="rId321" ref="C157"/>
    <hyperlink r:id="rId322" ref="I157"/>
    <hyperlink r:id="rId323" ref="J157"/>
    <hyperlink r:id="rId324" ref="C158"/>
    <hyperlink r:id="rId325" ref="C159"/>
    <hyperlink r:id="rId326" ref="C160"/>
    <hyperlink r:id="rId327" ref="C161"/>
    <hyperlink r:id="rId328" ref="I161"/>
    <hyperlink r:id="rId329" ref="J161"/>
    <hyperlink r:id="rId330" ref="K161"/>
    <hyperlink r:id="rId331" ref="L161"/>
    <hyperlink r:id="rId332" ref="C162"/>
    <hyperlink r:id="rId333" ref="C163"/>
    <hyperlink r:id="rId334" ref="I163"/>
    <hyperlink r:id="rId335" ref="J163"/>
    <hyperlink r:id="rId336" ref="K163"/>
    <hyperlink r:id="rId337" ref="L163"/>
    <hyperlink r:id="rId338" ref="C164"/>
    <hyperlink r:id="rId339" ref="C165"/>
    <hyperlink r:id="rId340" ref="I165"/>
    <hyperlink r:id="rId341" ref="J165"/>
    <hyperlink r:id="rId342" ref="K165"/>
    <hyperlink r:id="rId343" ref="L165"/>
    <hyperlink r:id="rId344" ref="C166"/>
    <hyperlink r:id="rId345" ref="I166"/>
    <hyperlink r:id="rId346" ref="C167"/>
    <hyperlink r:id="rId347" ref="I167"/>
    <hyperlink r:id="rId348" ref="J167"/>
    <hyperlink r:id="rId349" ref="K167"/>
    <hyperlink r:id="rId350" ref="L167"/>
    <hyperlink r:id="rId351" ref="C168"/>
    <hyperlink r:id="rId352" ref="C169"/>
    <hyperlink r:id="rId353" ref="I169"/>
    <hyperlink r:id="rId354" ref="J169"/>
    <hyperlink r:id="rId355" ref="K169"/>
    <hyperlink r:id="rId356" ref="L169"/>
    <hyperlink r:id="rId357" ref="C170"/>
    <hyperlink r:id="rId358" ref="I170"/>
    <hyperlink r:id="rId359" ref="J170"/>
    <hyperlink r:id="rId360" ref="C171"/>
    <hyperlink r:id="rId361" ref="I171"/>
    <hyperlink r:id="rId362" ref="J171"/>
    <hyperlink r:id="rId363" ref="K171"/>
    <hyperlink r:id="rId364" ref="L171"/>
    <hyperlink r:id="rId365" ref="C172"/>
    <hyperlink r:id="rId366" ref="C173"/>
    <hyperlink r:id="rId367" ref="I173"/>
    <hyperlink r:id="rId368" ref="J173"/>
    <hyperlink r:id="rId369" ref="K173"/>
    <hyperlink r:id="rId370" ref="L173"/>
    <hyperlink r:id="rId371" ref="C174"/>
    <hyperlink r:id="rId372" ref="I174"/>
    <hyperlink r:id="rId373" ref="J174"/>
    <hyperlink r:id="rId374" ref="K174"/>
    <hyperlink r:id="rId375" ref="L174"/>
    <hyperlink r:id="rId376" ref="C175"/>
    <hyperlink r:id="rId377" ref="I175"/>
    <hyperlink r:id="rId378" ref="J175"/>
    <hyperlink r:id="rId379" ref="C176"/>
    <hyperlink r:id="rId380" ref="C177"/>
    <hyperlink r:id="rId381" ref="C178"/>
    <hyperlink r:id="rId382" ref="C179"/>
    <hyperlink r:id="rId383" ref="C180"/>
    <hyperlink r:id="rId384" ref="C181"/>
    <hyperlink r:id="rId385" ref="I181"/>
    <hyperlink r:id="rId386" ref="C182"/>
    <hyperlink r:id="rId387" ref="I182"/>
    <hyperlink r:id="rId388" ref="J182"/>
    <hyperlink r:id="rId389" ref="C183"/>
    <hyperlink r:id="rId390" ref="I183"/>
    <hyperlink r:id="rId391" ref="J183"/>
    <hyperlink r:id="rId392" ref="K183"/>
    <hyperlink r:id="rId393" ref="L183"/>
    <hyperlink r:id="rId394" ref="C184"/>
    <hyperlink r:id="rId395" ref="C185"/>
    <hyperlink r:id="rId396" ref="I185"/>
    <hyperlink r:id="rId397" ref="J185"/>
    <hyperlink r:id="rId398" ref="K185"/>
    <hyperlink r:id="rId399" ref="L185"/>
    <hyperlink r:id="rId400" ref="C186"/>
    <hyperlink r:id="rId401" ref="C187"/>
    <hyperlink r:id="rId402" ref="C188"/>
    <hyperlink r:id="rId403" ref="I188"/>
    <hyperlink r:id="rId404" ref="J188"/>
    <hyperlink r:id="rId405" ref="K188"/>
    <hyperlink r:id="rId406" ref="L188"/>
    <hyperlink r:id="rId407" ref="C189"/>
    <hyperlink r:id="rId408" ref="I189"/>
    <hyperlink r:id="rId409" ref="C190"/>
    <hyperlink r:id="rId410" ref="I190"/>
    <hyperlink r:id="rId411" ref="J190"/>
    <hyperlink r:id="rId412" ref="K190"/>
    <hyperlink r:id="rId413" ref="L190"/>
    <hyperlink r:id="rId414" ref="C191"/>
    <hyperlink r:id="rId415" ref="C192"/>
    <hyperlink r:id="rId416" ref="C193"/>
    <hyperlink r:id="rId417" ref="C194"/>
    <hyperlink r:id="rId418" ref="I194"/>
    <hyperlink r:id="rId419" ref="J194"/>
    <hyperlink r:id="rId420" ref="C195"/>
    <hyperlink r:id="rId421" ref="I195"/>
    <hyperlink r:id="rId422" ref="J195"/>
    <hyperlink r:id="rId423" ref="C196"/>
    <hyperlink r:id="rId424" ref="I196"/>
    <hyperlink r:id="rId425" ref="J196"/>
    <hyperlink r:id="rId426" ref="K196"/>
    <hyperlink r:id="rId427" ref="L196"/>
    <hyperlink r:id="rId428" ref="C197"/>
    <hyperlink r:id="rId429" ref="I197"/>
    <hyperlink r:id="rId430" ref="J197"/>
    <hyperlink r:id="rId431" ref="C198"/>
    <hyperlink r:id="rId432" ref="I198"/>
    <hyperlink r:id="rId433" ref="C199"/>
    <hyperlink r:id="rId434" ref="C200"/>
    <hyperlink r:id="rId435" ref="I200"/>
    <hyperlink r:id="rId436" ref="J200"/>
    <hyperlink r:id="rId437" ref="K200"/>
    <hyperlink r:id="rId438" ref="C201"/>
    <hyperlink r:id="rId439" ref="I201"/>
    <hyperlink r:id="rId440" ref="C202"/>
    <hyperlink r:id="rId441" ref="C203"/>
    <hyperlink r:id="rId442" ref="I203"/>
    <hyperlink r:id="rId443" ref="J203"/>
    <hyperlink r:id="rId444" ref="K203"/>
    <hyperlink r:id="rId445" ref="C204"/>
    <hyperlink r:id="rId446" ref="C205"/>
    <hyperlink r:id="rId447" ref="I205"/>
    <hyperlink r:id="rId448" ref="J205"/>
    <hyperlink r:id="rId449" ref="C206"/>
    <hyperlink r:id="rId450" ref="C207"/>
    <hyperlink r:id="rId451" ref="I207"/>
    <hyperlink r:id="rId452" ref="J207"/>
    <hyperlink r:id="rId453" ref="K207"/>
    <hyperlink r:id="rId454" ref="L207"/>
    <hyperlink r:id="rId455" ref="C208"/>
    <hyperlink r:id="rId456" ref="I208"/>
    <hyperlink r:id="rId457" ref="C209"/>
    <hyperlink r:id="rId458" ref="I209"/>
    <hyperlink r:id="rId459" ref="J209"/>
    <hyperlink r:id="rId460" ref="K209"/>
    <hyperlink r:id="rId461" ref="L209"/>
    <hyperlink r:id="rId462" ref="C210"/>
    <hyperlink r:id="rId463" ref="I210"/>
    <hyperlink r:id="rId464" ref="J210"/>
    <hyperlink r:id="rId465" ref="K210"/>
    <hyperlink r:id="rId466" ref="L210"/>
    <hyperlink r:id="rId467" ref="C211"/>
    <hyperlink r:id="rId468" ref="C212"/>
    <hyperlink r:id="rId469" ref="I212"/>
    <hyperlink r:id="rId470" ref="J212"/>
    <hyperlink r:id="rId471" ref="K212"/>
    <hyperlink r:id="rId472" ref="L212"/>
    <hyperlink r:id="rId473" ref="C213"/>
    <hyperlink r:id="rId474" ref="C214"/>
    <hyperlink r:id="rId475" ref="I214"/>
    <hyperlink r:id="rId476" ref="C215"/>
    <hyperlink r:id="rId477" ref="I215"/>
    <hyperlink r:id="rId478" ref="J215"/>
    <hyperlink r:id="rId479" ref="K215"/>
    <hyperlink r:id="rId480" ref="L215"/>
    <hyperlink r:id="rId481" ref="C216"/>
    <hyperlink r:id="rId482" ref="C217"/>
    <hyperlink r:id="rId483" ref="C218"/>
    <hyperlink r:id="rId484" ref="C219"/>
    <hyperlink r:id="rId485" ref="C220"/>
    <hyperlink r:id="rId486" ref="I220"/>
    <hyperlink r:id="rId487" ref="C221"/>
    <hyperlink r:id="rId488" ref="I221"/>
    <hyperlink r:id="rId489" ref="C222"/>
    <hyperlink r:id="rId490" ref="C223"/>
    <hyperlink r:id="rId491" ref="I223"/>
    <hyperlink r:id="rId492" ref="J223"/>
    <hyperlink r:id="rId493" ref="K223"/>
    <hyperlink r:id="rId494" ref="C224"/>
    <hyperlink r:id="rId495" ref="C225"/>
    <hyperlink r:id="rId496" ref="I225"/>
    <hyperlink r:id="rId497" ref="J225"/>
    <hyperlink r:id="rId498" ref="C226"/>
    <hyperlink r:id="rId499" ref="I226"/>
    <hyperlink r:id="rId500" ref="J226"/>
    <hyperlink r:id="rId501" ref="K226"/>
    <hyperlink r:id="rId502" ref="C227"/>
    <hyperlink r:id="rId503" ref="C228"/>
    <hyperlink r:id="rId504" ref="I228"/>
    <hyperlink r:id="rId505" ref="J228"/>
    <hyperlink r:id="rId506" ref="K228"/>
    <hyperlink r:id="rId507" ref="C229"/>
    <hyperlink r:id="rId508" ref="I229"/>
    <hyperlink r:id="rId509" ref="C230"/>
    <hyperlink r:id="rId510" ref="I230"/>
    <hyperlink r:id="rId511" ref="C231"/>
    <hyperlink r:id="rId512" ref="C232"/>
    <hyperlink r:id="rId513" ref="C233"/>
    <hyperlink r:id="rId514" ref="I233"/>
    <hyperlink r:id="rId515" ref="J233"/>
    <hyperlink r:id="rId516" ref="K233"/>
    <hyperlink r:id="rId517" ref="L233"/>
    <hyperlink r:id="rId518" ref="C234"/>
    <hyperlink r:id="rId519" ref="C235"/>
    <hyperlink r:id="rId520" ref="I235"/>
    <hyperlink r:id="rId521" ref="J235"/>
    <hyperlink r:id="rId522" ref="C236"/>
    <hyperlink r:id="rId523" ref="I236"/>
    <hyperlink r:id="rId524" ref="J236"/>
    <hyperlink r:id="rId525" ref="C237"/>
    <hyperlink r:id="rId526" ref="C238"/>
    <hyperlink r:id="rId527" ref="C239"/>
    <hyperlink r:id="rId528" ref="C240"/>
    <hyperlink r:id="rId529" ref="I240"/>
    <hyperlink r:id="rId530" ref="J240"/>
    <hyperlink r:id="rId531" ref="K240"/>
    <hyperlink r:id="rId532" ref="L240"/>
    <hyperlink r:id="rId533" ref="C241"/>
    <hyperlink r:id="rId534" ref="B242"/>
    <hyperlink r:id="rId535" ref="C242"/>
    <hyperlink r:id="rId536" ref="C243"/>
    <hyperlink r:id="rId537" ref="I243"/>
    <hyperlink r:id="rId538" ref="J243"/>
    <hyperlink r:id="rId539" ref="K243"/>
    <hyperlink r:id="rId540" ref="L243"/>
    <hyperlink r:id="rId541" ref="C244"/>
    <hyperlink r:id="rId542" ref="C245"/>
    <hyperlink r:id="rId543" ref="C246"/>
    <hyperlink r:id="rId544" ref="C247"/>
    <hyperlink r:id="rId545" ref="I247"/>
    <hyperlink r:id="rId546" ref="J247"/>
    <hyperlink r:id="rId547" ref="K247"/>
    <hyperlink r:id="rId548" ref="L247"/>
    <hyperlink r:id="rId549" ref="C248"/>
    <hyperlink r:id="rId550" ref="I248"/>
    <hyperlink r:id="rId551" ref="J248"/>
    <hyperlink r:id="rId552" ref="C249"/>
    <hyperlink r:id="rId553" ref="I249"/>
    <hyperlink r:id="rId554" ref="J249"/>
    <hyperlink r:id="rId555" ref="K249"/>
    <hyperlink r:id="rId556" ref="L249"/>
    <hyperlink r:id="rId557" ref="C250"/>
    <hyperlink r:id="rId558" ref="C251"/>
    <hyperlink r:id="rId559" ref="I251"/>
    <hyperlink r:id="rId560" ref="C252"/>
    <hyperlink r:id="rId561" ref="C253"/>
    <hyperlink r:id="rId562" ref="C254"/>
    <hyperlink r:id="rId563" ref="I254"/>
    <hyperlink r:id="rId564" ref="J254"/>
    <hyperlink r:id="rId565" ref="K254"/>
    <hyperlink r:id="rId566" ref="L254"/>
    <hyperlink r:id="rId567" ref="C255"/>
    <hyperlink r:id="rId568" ref="I255"/>
    <hyperlink r:id="rId569" ref="J255"/>
    <hyperlink r:id="rId570" ref="K255"/>
    <hyperlink r:id="rId571" ref="C256"/>
    <hyperlink r:id="rId572" ref="I256"/>
    <hyperlink r:id="rId573" ref="J256"/>
    <hyperlink r:id="rId574" ref="K256"/>
    <hyperlink r:id="rId575" ref="C257"/>
    <hyperlink r:id="rId576" ref="C258"/>
    <hyperlink r:id="rId577" ref="I258"/>
    <hyperlink r:id="rId578" ref="J258"/>
    <hyperlink r:id="rId579" ref="K258"/>
    <hyperlink r:id="rId580" ref="L258"/>
    <hyperlink r:id="rId581" ref="C259"/>
    <hyperlink r:id="rId582" ref="I259"/>
    <hyperlink r:id="rId583" ref="J259"/>
    <hyperlink r:id="rId584" ref="K259"/>
    <hyperlink r:id="rId585" ref="L259"/>
    <hyperlink r:id="rId586" ref="C260"/>
    <hyperlink r:id="rId587" ref="C261"/>
    <hyperlink r:id="rId588" ref="C262"/>
    <hyperlink r:id="rId589" ref="I262"/>
    <hyperlink r:id="rId590" ref="J262"/>
    <hyperlink r:id="rId591" ref="K262"/>
    <hyperlink r:id="rId592" ref="C263"/>
    <hyperlink r:id="rId593" ref="I263"/>
    <hyperlink r:id="rId594" ref="J263"/>
    <hyperlink r:id="rId595" ref="C264"/>
    <hyperlink r:id="rId596" ref="I264"/>
    <hyperlink r:id="rId597" ref="J264"/>
    <hyperlink r:id="rId598" ref="K264"/>
    <hyperlink r:id="rId599" ref="C265"/>
    <hyperlink r:id="rId600" ref="C266"/>
    <hyperlink r:id="rId601" ref="C267"/>
    <hyperlink r:id="rId602" ref="I267"/>
    <hyperlink r:id="rId603" ref="C268"/>
    <hyperlink r:id="rId604" ref="C269"/>
    <hyperlink r:id="rId605" ref="C270"/>
    <hyperlink r:id="rId606" ref="C271"/>
    <hyperlink r:id="rId607" ref="C272"/>
    <hyperlink r:id="rId608" ref="C273"/>
    <hyperlink r:id="rId609" ref="C274"/>
    <hyperlink r:id="rId610" ref="C275"/>
    <hyperlink r:id="rId611" ref="I275"/>
    <hyperlink r:id="rId612" ref="J275"/>
    <hyperlink r:id="rId613" ref="C276"/>
    <hyperlink r:id="rId614" ref="I276"/>
    <hyperlink r:id="rId615" ref="J276"/>
    <hyperlink r:id="rId616" ref="K276"/>
    <hyperlink r:id="rId617" ref="L276"/>
    <hyperlink r:id="rId618" ref="C277"/>
    <hyperlink r:id="rId619" ref="I277"/>
    <hyperlink r:id="rId620" ref="J277"/>
    <hyperlink r:id="rId621" ref="K277"/>
    <hyperlink r:id="rId622" ref="L277"/>
    <hyperlink r:id="rId623" ref="C278"/>
    <hyperlink r:id="rId624" ref="C279"/>
    <hyperlink r:id="rId625" ref="C280"/>
    <hyperlink r:id="rId626" ref="C281"/>
    <hyperlink r:id="rId627" ref="C282"/>
    <hyperlink r:id="rId628" ref="C283"/>
    <hyperlink r:id="rId629" ref="C284"/>
    <hyperlink r:id="rId630" ref="C285"/>
    <hyperlink r:id="rId631" ref="I285"/>
    <hyperlink r:id="rId632" ref="C286"/>
    <hyperlink r:id="rId633" ref="C287"/>
    <hyperlink r:id="rId634" ref="C288"/>
    <hyperlink r:id="rId635" ref="I288"/>
    <hyperlink r:id="rId636" ref="C289"/>
    <hyperlink r:id="rId637" ref="C290"/>
    <hyperlink r:id="rId638" ref="C291"/>
    <hyperlink r:id="rId639" ref="C292"/>
    <hyperlink r:id="rId640" ref="C293"/>
    <hyperlink r:id="rId641" ref="C294"/>
    <hyperlink r:id="rId642" ref="C295"/>
    <hyperlink r:id="rId643" ref="I295"/>
    <hyperlink r:id="rId644" ref="J295"/>
    <hyperlink r:id="rId645" ref="K295"/>
    <hyperlink r:id="rId646" ref="L295"/>
    <hyperlink r:id="rId647" ref="C296"/>
    <hyperlink r:id="rId648" ref="I296"/>
    <hyperlink r:id="rId649" ref="J296"/>
    <hyperlink r:id="rId650" ref="C297"/>
    <hyperlink r:id="rId651" ref="C298"/>
    <hyperlink r:id="rId652" ref="C299"/>
    <hyperlink r:id="rId653" ref="C300"/>
    <hyperlink r:id="rId654" ref="C301"/>
    <hyperlink r:id="rId655" ref="C302"/>
    <hyperlink r:id="rId656" ref="C303"/>
    <hyperlink r:id="rId657" ref="C304"/>
    <hyperlink r:id="rId658" ref="I304"/>
    <hyperlink r:id="rId659" ref="J304"/>
    <hyperlink r:id="rId660" ref="C305"/>
    <hyperlink r:id="rId661" ref="C306"/>
    <hyperlink r:id="rId662" ref="I306"/>
    <hyperlink r:id="rId663" ref="J306"/>
    <hyperlink r:id="rId664" ref="K306"/>
    <hyperlink r:id="rId665" ref="C307"/>
    <hyperlink r:id="rId666" ref="I307"/>
    <hyperlink r:id="rId667" ref="J307"/>
    <hyperlink r:id="rId668" ref="K307"/>
    <hyperlink r:id="rId669" ref="L307"/>
    <hyperlink r:id="rId670" ref="C308"/>
    <hyperlink r:id="rId671" ref="I308"/>
    <hyperlink r:id="rId672" ref="J308"/>
    <hyperlink r:id="rId673" ref="K308"/>
    <hyperlink r:id="rId674" ref="L308"/>
    <hyperlink r:id="rId675" ref="C309"/>
    <hyperlink r:id="rId676" ref="C310"/>
    <hyperlink r:id="rId677" ref="I310"/>
    <hyperlink r:id="rId678" ref="J310"/>
    <hyperlink r:id="rId679" ref="K310"/>
    <hyperlink r:id="rId680" ref="C311"/>
    <hyperlink r:id="rId681" ref="I311"/>
    <hyperlink r:id="rId682" ref="J311"/>
    <hyperlink r:id="rId683" ref="K311"/>
    <hyperlink r:id="rId684" ref="L311"/>
    <hyperlink r:id="rId685" ref="C312"/>
    <hyperlink r:id="rId686" ref="C313"/>
    <hyperlink r:id="rId687" ref="I313"/>
    <hyperlink r:id="rId688" ref="J313"/>
    <hyperlink r:id="rId689" ref="C314"/>
    <hyperlink r:id="rId690" ref="C315"/>
    <hyperlink r:id="rId691" ref="I315"/>
    <hyperlink r:id="rId692" ref="C316"/>
    <hyperlink r:id="rId693" ref="C317"/>
    <hyperlink r:id="rId694" ref="C318"/>
    <hyperlink r:id="rId695" ref="I318"/>
    <hyperlink r:id="rId696" ref="J318"/>
    <hyperlink r:id="rId697" ref="K318"/>
    <hyperlink r:id="rId698" ref="L318"/>
    <hyperlink r:id="rId699" ref="C319"/>
    <hyperlink r:id="rId700" ref="C320"/>
    <hyperlink r:id="rId701" ref="I320"/>
    <hyperlink r:id="rId702" ref="J320"/>
    <hyperlink r:id="rId703" ref="K320"/>
    <hyperlink r:id="rId704" ref="C321"/>
    <hyperlink r:id="rId705" ref="C322"/>
    <hyperlink r:id="rId706" ref="C323"/>
    <hyperlink r:id="rId707" ref="I323"/>
    <hyperlink r:id="rId708" ref="C324"/>
    <hyperlink r:id="rId709" ref="C325"/>
    <hyperlink r:id="rId710" ref="C326"/>
    <hyperlink r:id="rId711" ref="C327"/>
    <hyperlink r:id="rId712" ref="C328"/>
    <hyperlink r:id="rId713" ref="C329"/>
    <hyperlink r:id="rId714" ref="C330"/>
    <hyperlink r:id="rId715" ref="C331"/>
    <hyperlink r:id="rId716" ref="C332"/>
    <hyperlink r:id="rId717" ref="C333"/>
    <hyperlink r:id="rId718" ref="C334"/>
    <hyperlink r:id="rId719" ref="C335"/>
    <hyperlink r:id="rId720" ref="C336"/>
    <hyperlink r:id="rId721" ref="C337"/>
    <hyperlink r:id="rId722" ref="C338"/>
    <hyperlink r:id="rId723" ref="I338"/>
    <hyperlink r:id="rId724" ref="C339"/>
    <hyperlink r:id="rId725" ref="C340"/>
    <hyperlink r:id="rId726" ref="C341"/>
    <hyperlink r:id="rId727" ref="C342"/>
    <hyperlink r:id="rId728" ref="C343"/>
    <hyperlink r:id="rId729" ref="I343"/>
    <hyperlink r:id="rId730" ref="J343"/>
    <hyperlink r:id="rId731" ref="C344"/>
    <hyperlink r:id="rId732" ref="C345"/>
    <hyperlink r:id="rId733" ref="C346"/>
    <hyperlink r:id="rId734" ref="C347"/>
    <hyperlink r:id="rId735" ref="C348"/>
    <hyperlink r:id="rId736" ref="C349"/>
    <hyperlink r:id="rId737" ref="C350"/>
    <hyperlink r:id="rId738" ref="C351"/>
    <hyperlink r:id="rId739" ref="C352"/>
    <hyperlink r:id="rId740" ref="C353"/>
    <hyperlink r:id="rId741" ref="C354"/>
    <hyperlink r:id="rId742" ref="C355"/>
    <hyperlink r:id="rId743" ref="C356"/>
    <hyperlink r:id="rId744" ref="C357"/>
    <hyperlink r:id="rId745" ref="C358"/>
    <hyperlink r:id="rId746" ref="C359"/>
    <hyperlink r:id="rId747" ref="C360"/>
    <hyperlink r:id="rId748" ref="C361"/>
    <hyperlink r:id="rId749" ref="C362"/>
    <hyperlink r:id="rId750" ref="C363"/>
    <hyperlink r:id="rId751" ref="C364"/>
    <hyperlink r:id="rId752" ref="C365"/>
    <hyperlink r:id="rId753" ref="C366"/>
    <hyperlink r:id="rId754" ref="C367"/>
    <hyperlink r:id="rId755" ref="C368"/>
    <hyperlink r:id="rId756" ref="C369"/>
    <hyperlink r:id="rId757" ref="C370"/>
    <hyperlink r:id="rId758" ref="C371"/>
    <hyperlink r:id="rId759" ref="C372"/>
    <hyperlink r:id="rId760" ref="C373"/>
    <hyperlink r:id="rId761" ref="C374"/>
    <hyperlink r:id="rId762" ref="C375"/>
    <hyperlink r:id="rId763" ref="C376"/>
    <hyperlink r:id="rId764" ref="C377"/>
    <hyperlink r:id="rId765" ref="C378"/>
    <hyperlink r:id="rId766" ref="C379"/>
    <hyperlink r:id="rId767" ref="C380"/>
    <hyperlink r:id="rId768" ref="C381"/>
    <hyperlink r:id="rId769" ref="C382"/>
    <hyperlink r:id="rId770" ref="C383"/>
    <hyperlink r:id="rId771" ref="C384"/>
    <hyperlink r:id="rId772" ref="I384"/>
    <hyperlink r:id="rId773" ref="J384"/>
    <hyperlink r:id="rId774" ref="K384"/>
    <hyperlink r:id="rId775" ref="C385"/>
    <hyperlink r:id="rId776" ref="I385"/>
    <hyperlink r:id="rId777" ref="J385"/>
    <hyperlink r:id="rId778" ref="K385"/>
    <hyperlink r:id="rId779" ref="C386"/>
    <hyperlink r:id="rId780" ref="C387"/>
    <hyperlink r:id="rId781" ref="I387"/>
    <hyperlink r:id="rId782" ref="J387"/>
    <hyperlink r:id="rId783" ref="B388"/>
    <hyperlink r:id="rId784" ref="C388"/>
    <hyperlink r:id="rId785" ref="I388"/>
    <hyperlink r:id="rId786" ref="J388"/>
    <hyperlink r:id="rId787" ref="K388"/>
    <hyperlink r:id="rId788" ref="C389"/>
    <hyperlink r:id="rId789" ref="C390"/>
    <hyperlink r:id="rId790" ref="C391"/>
    <hyperlink r:id="rId791" ref="C392"/>
    <hyperlink r:id="rId792" ref="C393"/>
    <hyperlink r:id="rId793" ref="I393"/>
    <hyperlink r:id="rId794" ref="C394"/>
    <hyperlink r:id="rId795" ref="C395"/>
    <hyperlink r:id="rId796" ref="I395"/>
    <hyperlink r:id="rId797" ref="J395"/>
    <hyperlink r:id="rId798" ref="C396"/>
    <hyperlink r:id="rId799" ref="C397"/>
    <hyperlink r:id="rId800" ref="I397"/>
    <hyperlink r:id="rId801" ref="C398"/>
    <hyperlink r:id="rId802" ref="I398"/>
    <hyperlink r:id="rId803" ref="J398"/>
    <hyperlink r:id="rId804" ref="C399"/>
    <hyperlink r:id="rId805" ref="I399"/>
    <hyperlink r:id="rId806" ref="J399"/>
    <hyperlink r:id="rId807" ref="K399"/>
    <hyperlink r:id="rId808" ref="L399"/>
    <hyperlink r:id="rId809" ref="C400"/>
    <hyperlink r:id="rId810" ref="C401"/>
    <hyperlink r:id="rId811" ref="C402"/>
    <hyperlink r:id="rId812" ref="C403"/>
    <hyperlink r:id="rId813" ref="C404"/>
    <hyperlink r:id="rId814" ref="C405"/>
    <hyperlink r:id="rId815" ref="C406"/>
    <hyperlink r:id="rId816" ref="C407"/>
    <hyperlink r:id="rId817" ref="C408"/>
    <hyperlink r:id="rId818" ref="C409"/>
    <hyperlink r:id="rId819" ref="I409"/>
    <hyperlink r:id="rId820" ref="C410"/>
    <hyperlink r:id="rId821" ref="C411"/>
    <hyperlink r:id="rId822" ref="C412"/>
    <hyperlink r:id="rId823" ref="C413"/>
    <hyperlink r:id="rId824" ref="I413"/>
    <hyperlink r:id="rId825" ref="C414"/>
    <hyperlink r:id="rId826" ref="C415"/>
    <hyperlink r:id="rId827" ref="C416"/>
    <hyperlink r:id="rId828" ref="C417"/>
    <hyperlink r:id="rId829" ref="C418"/>
    <hyperlink r:id="rId830" ref="I418"/>
    <hyperlink r:id="rId831" ref="J418"/>
    <hyperlink r:id="rId832" ref="K418"/>
    <hyperlink r:id="rId833" ref="C419"/>
    <hyperlink r:id="rId834" ref="C420"/>
    <hyperlink r:id="rId835" ref="C421"/>
    <hyperlink r:id="rId836" ref="C422"/>
    <hyperlink r:id="rId837" ref="I422"/>
    <hyperlink r:id="rId838" ref="J422"/>
    <hyperlink r:id="rId839" ref="C423"/>
    <hyperlink r:id="rId840" ref="C424"/>
    <hyperlink r:id="rId841" ref="C425"/>
    <hyperlink r:id="rId842" ref="C426"/>
    <hyperlink r:id="rId843" ref="C427"/>
    <hyperlink r:id="rId844" ref="C428"/>
    <hyperlink r:id="rId845" ref="C429"/>
    <hyperlink r:id="rId846" ref="C430"/>
    <hyperlink r:id="rId847" ref="C431"/>
    <hyperlink r:id="rId848" ref="I431"/>
    <hyperlink r:id="rId849" ref="J431"/>
    <hyperlink r:id="rId850" ref="K431"/>
    <hyperlink r:id="rId851" ref="L431"/>
    <hyperlink r:id="rId852" ref="C432"/>
    <hyperlink r:id="rId853" ref="C433"/>
    <hyperlink r:id="rId854" ref="C434"/>
    <hyperlink r:id="rId855" ref="I434"/>
    <hyperlink r:id="rId856" ref="C435"/>
    <hyperlink r:id="rId857" ref="C436"/>
    <hyperlink r:id="rId858" ref="C437"/>
    <hyperlink r:id="rId859" ref="C438"/>
    <hyperlink r:id="rId860" ref="C439"/>
    <hyperlink r:id="rId861" ref="C440"/>
    <hyperlink r:id="rId862" ref="C441"/>
    <hyperlink r:id="rId863" ref="C442"/>
    <hyperlink r:id="rId864" ref="C443"/>
    <hyperlink r:id="rId865" ref="C444"/>
    <hyperlink r:id="rId866" ref="I444"/>
    <hyperlink r:id="rId867" ref="C445"/>
    <hyperlink r:id="rId868" ref="C446"/>
    <hyperlink r:id="rId869" ref="C447"/>
    <hyperlink r:id="rId870" ref="C448"/>
    <hyperlink r:id="rId871" ref="I448"/>
    <hyperlink r:id="rId872" ref="C449"/>
    <hyperlink r:id="rId873" ref="C450"/>
    <hyperlink r:id="rId874" ref="C451"/>
    <hyperlink r:id="rId875" ref="C452"/>
    <hyperlink r:id="rId876" ref="B453"/>
    <hyperlink r:id="rId877" ref="C453"/>
    <hyperlink r:id="rId878" ref="C454"/>
    <hyperlink r:id="rId879" ref="C455"/>
    <hyperlink r:id="rId880" ref="C456"/>
    <hyperlink r:id="rId881" ref="I456"/>
    <hyperlink r:id="rId882" ref="J456"/>
    <hyperlink r:id="rId883" ref="K456"/>
    <hyperlink r:id="rId884" ref="L456"/>
    <hyperlink r:id="rId885" ref="C457"/>
    <hyperlink r:id="rId886" ref="C458"/>
    <hyperlink r:id="rId887" ref="C459"/>
    <hyperlink r:id="rId888" ref="I459"/>
    <hyperlink r:id="rId889" ref="C460"/>
    <hyperlink r:id="rId890" ref="C461"/>
    <hyperlink r:id="rId891" ref="I461"/>
    <hyperlink r:id="rId892" ref="C462"/>
    <hyperlink r:id="rId893" ref="C463"/>
    <hyperlink r:id="rId894" ref="I463"/>
    <hyperlink r:id="rId895" ref="J463"/>
    <hyperlink r:id="rId896" ref="C464"/>
    <hyperlink r:id="rId897" ref="I464"/>
    <hyperlink r:id="rId898" ref="C466"/>
    <hyperlink r:id="rId899" ref="I466"/>
    <hyperlink r:id="rId900" ref="J466"/>
    <hyperlink r:id="rId901" ref="C467"/>
    <hyperlink r:id="rId902" ref="I467"/>
    <hyperlink r:id="rId903" ref="J467"/>
    <hyperlink r:id="rId904" ref="C468"/>
    <hyperlink r:id="rId905" ref="C469"/>
    <hyperlink r:id="rId906" ref="C470"/>
    <hyperlink r:id="rId907" ref="C471"/>
    <hyperlink r:id="rId908" ref="I471"/>
    <hyperlink r:id="rId909" ref="C472"/>
    <hyperlink r:id="rId910" ref="I472"/>
    <hyperlink r:id="rId911" ref="J472"/>
    <hyperlink r:id="rId912" ref="K472"/>
    <hyperlink r:id="rId913" ref="C473"/>
    <hyperlink r:id="rId914" ref="C474"/>
    <hyperlink r:id="rId915" ref="I474"/>
    <hyperlink r:id="rId916" ref="J474"/>
    <hyperlink r:id="rId917" ref="C475"/>
    <hyperlink r:id="rId918" ref="I475"/>
    <hyperlink r:id="rId919" ref="J475"/>
    <hyperlink r:id="rId920" ref="C476"/>
    <hyperlink r:id="rId921" ref="C477"/>
    <hyperlink r:id="rId922" ref="I477"/>
    <hyperlink r:id="rId923" ref="C478"/>
    <hyperlink r:id="rId924" ref="I478"/>
    <hyperlink r:id="rId925" ref="C479"/>
    <hyperlink r:id="rId926" ref="I479"/>
    <hyperlink r:id="rId927" ref="J479"/>
    <hyperlink r:id="rId928" ref="K479"/>
    <hyperlink r:id="rId929" ref="L479"/>
    <hyperlink r:id="rId930" ref="C480"/>
    <hyperlink r:id="rId931" ref="I480"/>
    <hyperlink r:id="rId932" ref="J480"/>
    <hyperlink r:id="rId933" ref="K480"/>
    <hyperlink r:id="rId934" ref="C481"/>
    <hyperlink r:id="rId935" ref="C482"/>
    <hyperlink r:id="rId936" ref="C483"/>
    <hyperlink r:id="rId937" ref="I483"/>
    <hyperlink r:id="rId938" ref="J483"/>
    <hyperlink r:id="rId939" ref="C484"/>
    <hyperlink r:id="rId940" ref="I484"/>
    <hyperlink r:id="rId941" ref="J484"/>
    <hyperlink r:id="rId942" ref="K484"/>
    <hyperlink r:id="rId943" ref="C485"/>
    <hyperlink r:id="rId944" ref="C486"/>
    <hyperlink r:id="rId945" ref="C487"/>
    <hyperlink r:id="rId946" ref="C488"/>
    <hyperlink r:id="rId947" ref="C489"/>
    <hyperlink r:id="rId948" ref="C490"/>
    <hyperlink r:id="rId949" ref="I490"/>
    <hyperlink r:id="rId950" ref="J490"/>
    <hyperlink r:id="rId951" ref="C491"/>
    <hyperlink r:id="rId952" ref="C492"/>
    <hyperlink r:id="rId953" ref="I492"/>
    <hyperlink r:id="rId954" ref="J492"/>
    <hyperlink r:id="rId955" ref="K492"/>
    <hyperlink r:id="rId956" ref="L492"/>
    <hyperlink r:id="rId957" ref="C493"/>
    <hyperlink r:id="rId958" ref="I493"/>
    <hyperlink r:id="rId959" ref="J493"/>
    <hyperlink r:id="rId960" ref="K493"/>
    <hyperlink r:id="rId961" ref="C494"/>
    <hyperlink r:id="rId962" ref="C495"/>
    <hyperlink r:id="rId963" ref="C496"/>
    <hyperlink r:id="rId964" ref="I496"/>
    <hyperlink r:id="rId965" ref="J496"/>
    <hyperlink r:id="rId966" ref="K496"/>
    <hyperlink r:id="rId967" ref="L496"/>
    <hyperlink r:id="rId968" ref="C497"/>
    <hyperlink r:id="rId969" ref="C498"/>
    <hyperlink r:id="rId970" ref="C499"/>
    <hyperlink r:id="rId971" ref="I499"/>
    <hyperlink r:id="rId972" ref="J499"/>
    <hyperlink r:id="rId973" ref="C500"/>
    <hyperlink r:id="rId974" ref="C501"/>
    <hyperlink r:id="rId975" ref="C502"/>
    <hyperlink r:id="rId976" ref="C503"/>
    <hyperlink r:id="rId977" ref="C504"/>
    <hyperlink r:id="rId978" ref="I504"/>
    <hyperlink r:id="rId979" ref="J504"/>
    <hyperlink r:id="rId980" ref="K504"/>
    <hyperlink r:id="rId981" ref="L504"/>
    <hyperlink r:id="rId982" ref="C505"/>
    <hyperlink r:id="rId983" ref="C506"/>
    <hyperlink r:id="rId984" ref="I506"/>
    <hyperlink r:id="rId985" ref="J506"/>
    <hyperlink r:id="rId986" ref="K506"/>
    <hyperlink r:id="rId987" ref="L506"/>
    <hyperlink r:id="rId988" ref="C507"/>
    <hyperlink r:id="rId989" ref="C508"/>
    <hyperlink r:id="rId990" ref="I508"/>
    <hyperlink r:id="rId991" ref="J508"/>
    <hyperlink r:id="rId992" ref="K508"/>
    <hyperlink r:id="rId993" ref="C509"/>
    <hyperlink r:id="rId994" ref="I509"/>
    <hyperlink r:id="rId995" ref="J509"/>
    <hyperlink r:id="rId996" ref="K509"/>
    <hyperlink r:id="rId997" ref="L509"/>
    <hyperlink r:id="rId998" ref="C510"/>
    <hyperlink r:id="rId999" ref="C511"/>
    <hyperlink r:id="rId1000" ref="C512"/>
    <hyperlink r:id="rId1001" ref="C513"/>
    <hyperlink r:id="rId1002" ref="C514"/>
    <hyperlink r:id="rId1003" ref="I514"/>
    <hyperlink r:id="rId1004" ref="J514"/>
    <hyperlink r:id="rId1005" ref="K514"/>
    <hyperlink r:id="rId1006" ref="C515"/>
    <hyperlink r:id="rId1007" ref="I515"/>
    <hyperlink r:id="rId1008" ref="J515"/>
    <hyperlink r:id="rId1009" ref="C516"/>
    <hyperlink r:id="rId1010" ref="C517"/>
    <hyperlink r:id="rId1011" ref="C518"/>
    <hyperlink r:id="rId1012" ref="C519"/>
    <hyperlink r:id="rId1013" ref="C520"/>
    <hyperlink r:id="rId1014" ref="I520"/>
    <hyperlink r:id="rId1015" ref="C521"/>
    <hyperlink r:id="rId1016" ref="I521"/>
    <hyperlink r:id="rId1017" ref="J521"/>
    <hyperlink r:id="rId1018" ref="K521"/>
    <hyperlink r:id="rId1019" ref="L521"/>
    <hyperlink r:id="rId1020" ref="C522"/>
    <hyperlink r:id="rId1021" ref="C523"/>
    <hyperlink r:id="rId1022" ref="C524"/>
    <hyperlink r:id="rId1023" ref="C525"/>
    <hyperlink r:id="rId1024" ref="I525"/>
    <hyperlink r:id="rId1025" ref="J525"/>
    <hyperlink r:id="rId1026" ref="K525"/>
    <hyperlink r:id="rId1027" ref="L525"/>
    <hyperlink r:id="rId1028" ref="C526"/>
    <hyperlink r:id="rId1029" ref="C527"/>
    <hyperlink r:id="rId1030" ref="C528"/>
    <hyperlink r:id="rId1031" ref="I528"/>
    <hyperlink r:id="rId1032" ref="J528"/>
    <hyperlink r:id="rId1033" ref="C529"/>
    <hyperlink r:id="rId1034" ref="C530"/>
    <hyperlink r:id="rId1035" ref="C531"/>
    <hyperlink r:id="rId1036" ref="C532"/>
    <hyperlink r:id="rId1037" ref="I532"/>
    <hyperlink r:id="rId1038" ref="C533"/>
    <hyperlink r:id="rId1039" ref="C534"/>
    <hyperlink r:id="rId1040" ref="I534"/>
    <hyperlink r:id="rId1041" ref="J534"/>
    <hyperlink r:id="rId1042" ref="C535"/>
    <hyperlink r:id="rId1043" ref="C536"/>
    <hyperlink r:id="rId1044" ref="B537"/>
    <hyperlink r:id="rId1045" ref="C537"/>
    <hyperlink r:id="rId1046" ref="C538"/>
    <hyperlink r:id="rId1047" ref="C539"/>
    <hyperlink r:id="rId1048" ref="B540"/>
    <hyperlink r:id="rId1049" ref="C540"/>
    <hyperlink r:id="rId1050" ref="I540"/>
    <hyperlink r:id="rId1051" ref="J540"/>
    <hyperlink r:id="rId1052" ref="C541"/>
    <hyperlink r:id="rId1053" ref="C542"/>
    <hyperlink r:id="rId1054" ref="C543"/>
    <hyperlink r:id="rId1055" ref="C544"/>
    <hyperlink r:id="rId1056" ref="C545"/>
    <hyperlink r:id="rId1057" ref="C546"/>
    <hyperlink r:id="rId1058" ref="C547"/>
    <hyperlink r:id="rId1059" ref="I547"/>
    <hyperlink r:id="rId1060" ref="J547"/>
    <hyperlink r:id="rId1061" ref="C548"/>
    <hyperlink r:id="rId1062" ref="C549"/>
    <hyperlink r:id="rId1063" ref="C550"/>
    <hyperlink r:id="rId1064" ref="C551"/>
    <hyperlink r:id="rId1065" ref="C552"/>
    <hyperlink r:id="rId1066" ref="C553"/>
    <hyperlink r:id="rId1067" ref="C554"/>
    <hyperlink r:id="rId1068" ref="C555"/>
    <hyperlink r:id="rId1069" ref="C556"/>
    <hyperlink r:id="rId1070" ref="C557"/>
    <hyperlink r:id="rId1071" ref="C558"/>
    <hyperlink r:id="rId1072" ref="C559"/>
    <hyperlink r:id="rId1073" ref="C560"/>
    <hyperlink r:id="rId1074" ref="I560"/>
    <hyperlink r:id="rId1075" ref="C561"/>
    <hyperlink r:id="rId1076" ref="C562"/>
    <hyperlink r:id="rId1077" ref="C563"/>
    <hyperlink r:id="rId1078" ref="C564"/>
    <hyperlink r:id="rId1079" ref="C565"/>
    <hyperlink r:id="rId1080" ref="C566"/>
    <hyperlink r:id="rId1081" ref="C567"/>
    <hyperlink r:id="rId1082" ref="C568"/>
    <hyperlink r:id="rId1083" ref="C569"/>
    <hyperlink r:id="rId1084" ref="C570"/>
    <hyperlink r:id="rId1085" ref="C571"/>
    <hyperlink r:id="rId1086" ref="I571"/>
    <hyperlink r:id="rId1087" ref="C572"/>
    <hyperlink r:id="rId1088" ref="C573"/>
    <hyperlink r:id="rId1089" ref="C574"/>
    <hyperlink r:id="rId1090" ref="C575"/>
    <hyperlink r:id="rId1091" ref="C576"/>
    <hyperlink r:id="rId1092" ref="C577"/>
    <hyperlink r:id="rId1093" ref="C578"/>
    <hyperlink r:id="rId1094" ref="C579"/>
    <hyperlink r:id="rId1095" ref="C580"/>
    <hyperlink r:id="rId1096" ref="C581"/>
    <hyperlink r:id="rId1097" ref="C582"/>
    <hyperlink r:id="rId1098" ref="C583"/>
    <hyperlink r:id="rId1099" ref="I583"/>
    <hyperlink r:id="rId1100" ref="J583"/>
    <hyperlink r:id="rId1101" ref="C584"/>
    <hyperlink r:id="rId1102" ref="C585"/>
    <hyperlink r:id="rId1103" ref="I585"/>
    <hyperlink r:id="rId1104" ref="J585"/>
    <hyperlink r:id="rId1105" ref="K585"/>
    <hyperlink r:id="rId1106" ref="C586"/>
    <hyperlink r:id="rId1107" ref="C587"/>
    <hyperlink r:id="rId1108" ref="C588"/>
    <hyperlink r:id="rId1109" ref="C589"/>
    <hyperlink r:id="rId1110" ref="C590"/>
    <hyperlink r:id="rId1111" ref="I590"/>
    <hyperlink r:id="rId1112" ref="J590"/>
    <hyperlink r:id="rId1113" ref="K590"/>
    <hyperlink r:id="rId1114" ref="L590"/>
    <hyperlink r:id="rId1115" ref="C591"/>
    <hyperlink r:id="rId1116" ref="C592"/>
    <hyperlink r:id="rId1117" ref="I592"/>
    <hyperlink r:id="rId1118" ref="C593"/>
    <hyperlink r:id="rId1119" ref="C594"/>
    <hyperlink r:id="rId1120" ref="C595"/>
    <hyperlink r:id="rId1121" ref="I595"/>
    <hyperlink r:id="rId1122" ref="J595"/>
    <hyperlink r:id="rId1123" ref="C596"/>
    <hyperlink r:id="rId1124" ref="C597"/>
    <hyperlink r:id="rId1125" ref="I597"/>
    <hyperlink r:id="rId1126" ref="J597"/>
    <hyperlink r:id="rId1127" ref="K597"/>
    <hyperlink r:id="rId1128" ref="L597"/>
    <hyperlink r:id="rId1129" ref="C598"/>
    <hyperlink r:id="rId1130" ref="C599"/>
    <hyperlink r:id="rId1131" ref="C600"/>
    <hyperlink r:id="rId1132" ref="I600"/>
    <hyperlink r:id="rId1133" ref="C601"/>
    <hyperlink r:id="rId1134" ref="C602"/>
    <hyperlink r:id="rId1135" ref="C603"/>
    <hyperlink r:id="rId1136" ref="C604"/>
    <hyperlink r:id="rId1137" ref="I604"/>
    <hyperlink r:id="rId1138" ref="J604"/>
    <hyperlink r:id="rId1139" ref="C605"/>
    <hyperlink r:id="rId1140" ref="C606"/>
    <hyperlink r:id="rId1141" ref="I606"/>
    <hyperlink r:id="rId1142" ref="C607"/>
    <hyperlink r:id="rId1143" ref="I607"/>
    <hyperlink r:id="rId1144" ref="C608"/>
    <hyperlink r:id="rId1145" ref="C609"/>
    <hyperlink r:id="rId1146" ref="C610"/>
    <hyperlink r:id="rId1147" ref="I610"/>
    <hyperlink r:id="rId1148" ref="J610"/>
    <hyperlink r:id="rId1149" ref="C611"/>
    <hyperlink r:id="rId1150" ref="C612"/>
    <hyperlink r:id="rId1151" ref="C613"/>
    <hyperlink r:id="rId1152" ref="C614"/>
    <hyperlink r:id="rId1153" ref="I614"/>
    <hyperlink r:id="rId1154" ref="J614"/>
    <hyperlink r:id="rId1155" ref="C615"/>
    <hyperlink r:id="rId1156" ref="C616"/>
    <hyperlink r:id="rId1157" ref="C617"/>
    <hyperlink r:id="rId1158" ref="C618"/>
    <hyperlink r:id="rId1159" ref="I618"/>
    <hyperlink r:id="rId1160" ref="J618"/>
    <hyperlink r:id="rId1161" ref="C619"/>
    <hyperlink r:id="rId1162" ref="C620"/>
    <hyperlink r:id="rId1163" ref="C621"/>
    <hyperlink r:id="rId1164" ref="C622"/>
    <hyperlink r:id="rId1165" ref="C623"/>
    <hyperlink r:id="rId1166" ref="C624"/>
    <hyperlink r:id="rId1167" ref="C625"/>
    <hyperlink r:id="rId1168" ref="C626"/>
    <hyperlink r:id="rId1169" ref="C627"/>
    <hyperlink r:id="rId1170" ref="I627"/>
    <hyperlink r:id="rId1171" ref="C628"/>
    <hyperlink r:id="rId1172" ref="C629"/>
    <hyperlink r:id="rId1173" ref="I629"/>
    <hyperlink r:id="rId1174" ref="J629"/>
    <hyperlink r:id="rId1175" ref="C630"/>
    <hyperlink r:id="rId1176" ref="I630"/>
    <hyperlink r:id="rId1177" ref="C631"/>
    <hyperlink r:id="rId1178" ref="I631"/>
    <hyperlink r:id="rId1179" ref="J631"/>
    <hyperlink r:id="rId1180" ref="C632"/>
    <hyperlink r:id="rId1181" ref="C633"/>
    <hyperlink r:id="rId1182" ref="C634"/>
    <hyperlink r:id="rId1183" ref="I634"/>
    <hyperlink r:id="rId1184" ref="C635"/>
    <hyperlink r:id="rId1185" ref="C636"/>
    <hyperlink r:id="rId1186" ref="C637"/>
    <hyperlink r:id="rId1187" ref="C638"/>
    <hyperlink r:id="rId1188" ref="I638"/>
    <hyperlink r:id="rId1189" ref="C639"/>
    <hyperlink r:id="rId1190" ref="I639"/>
    <hyperlink r:id="rId1191" ref="C640"/>
    <hyperlink r:id="rId1192" ref="C641"/>
    <hyperlink r:id="rId1193" ref="C642"/>
    <hyperlink r:id="rId1194" ref="I642"/>
    <hyperlink r:id="rId1195" ref="C643"/>
    <hyperlink r:id="rId1196" ref="I643"/>
    <hyperlink r:id="rId1197" ref="C644"/>
    <hyperlink r:id="rId1198" ref="C645"/>
    <hyperlink r:id="rId1199" ref="C646"/>
    <hyperlink r:id="rId1200" ref="C647"/>
    <hyperlink r:id="rId1201" ref="I647"/>
    <hyperlink r:id="rId1202" ref="C648"/>
    <hyperlink r:id="rId1203" ref="C649"/>
    <hyperlink r:id="rId1204" ref="C650"/>
    <hyperlink r:id="rId1205" ref="I650"/>
    <hyperlink r:id="rId1206" ref="J650"/>
    <hyperlink r:id="rId1207" ref="K650"/>
    <hyperlink r:id="rId1208" ref="C651"/>
    <hyperlink r:id="rId1209" ref="C652"/>
    <hyperlink r:id="rId1210" ref="I652"/>
    <hyperlink r:id="rId1211" ref="J652"/>
    <hyperlink r:id="rId1212" ref="C653"/>
    <hyperlink r:id="rId1213" ref="C654"/>
    <hyperlink r:id="rId1214" ref="C655"/>
    <hyperlink r:id="rId1215" ref="C656"/>
    <hyperlink r:id="rId1216" ref="C657"/>
    <hyperlink r:id="rId1217" ref="I657"/>
    <hyperlink r:id="rId1218" ref="J657"/>
    <hyperlink r:id="rId1219" ref="C658"/>
    <hyperlink r:id="rId1220" ref="C659"/>
    <hyperlink r:id="rId1221" ref="C660"/>
    <hyperlink r:id="rId1222" ref="C661"/>
    <hyperlink r:id="rId1223" ref="C662"/>
    <hyperlink r:id="rId1224" ref="I662"/>
    <hyperlink r:id="rId1225" ref="J662"/>
    <hyperlink r:id="rId1226" ref="C663"/>
    <hyperlink r:id="rId1227" ref="C664"/>
    <hyperlink r:id="rId1228" ref="C665"/>
    <hyperlink r:id="rId1229" ref="C666"/>
    <hyperlink r:id="rId1230" ref="C667"/>
    <hyperlink r:id="rId1231" ref="C668"/>
    <hyperlink r:id="rId1232" ref="I668"/>
    <hyperlink r:id="rId1233" ref="C669"/>
    <hyperlink r:id="rId1234" ref="C670"/>
    <hyperlink r:id="rId1235" ref="C671"/>
    <hyperlink r:id="rId1236" ref="C672"/>
    <hyperlink r:id="rId1237" ref="B673"/>
    <hyperlink r:id="rId1238" ref="C673"/>
    <hyperlink r:id="rId1239" ref="C674"/>
    <hyperlink r:id="rId1240" ref="C675"/>
    <hyperlink r:id="rId1241" ref="I675"/>
    <hyperlink r:id="rId1242" ref="J675"/>
    <hyperlink r:id="rId1243" ref="K675"/>
    <hyperlink r:id="rId1244" ref="L675"/>
    <hyperlink r:id="rId1245" ref="C676"/>
    <hyperlink r:id="rId1246" ref="I676"/>
    <hyperlink r:id="rId1247" ref="J676"/>
    <hyperlink r:id="rId1248" ref="K676"/>
    <hyperlink r:id="rId1249" ref="L676"/>
    <hyperlink r:id="rId1250" ref="C677"/>
    <hyperlink r:id="rId1251" ref="C678"/>
    <hyperlink r:id="rId1252" ref="C679"/>
    <hyperlink r:id="rId1253" ref="C680"/>
    <hyperlink r:id="rId1254" ref="C681"/>
    <hyperlink r:id="rId1255" ref="C682"/>
    <hyperlink r:id="rId1256" ref="C683"/>
    <hyperlink r:id="rId1257" ref="C684"/>
    <hyperlink r:id="rId1258" ref="C685"/>
    <hyperlink r:id="rId1259" ref="C686"/>
    <hyperlink r:id="rId1260" ref="C687"/>
    <hyperlink r:id="rId1261" ref="I687"/>
    <hyperlink r:id="rId1262" ref="J687"/>
    <hyperlink r:id="rId1263" ref="K687"/>
    <hyperlink r:id="rId1264" ref="C688"/>
    <hyperlink r:id="rId1265" ref="I688"/>
    <hyperlink r:id="rId1266" ref="C689"/>
    <hyperlink r:id="rId1267" ref="C690"/>
    <hyperlink r:id="rId1268" ref="C691"/>
    <hyperlink r:id="rId1269" ref="C692"/>
    <hyperlink r:id="rId1270" ref="C693"/>
    <hyperlink r:id="rId1271" ref="C694"/>
    <hyperlink r:id="rId1272" ref="I694"/>
    <hyperlink r:id="rId1273" ref="J694"/>
    <hyperlink r:id="rId1274" ref="C695"/>
    <hyperlink r:id="rId1275" ref="C696"/>
    <hyperlink r:id="rId1276" ref="C697"/>
    <hyperlink r:id="rId1277" ref="C698"/>
    <hyperlink r:id="rId1278" ref="C699"/>
    <hyperlink r:id="rId1279" ref="C700"/>
    <hyperlink r:id="rId1280" ref="I700"/>
    <hyperlink r:id="rId1281" ref="C701"/>
    <hyperlink r:id="rId1282" ref="I701"/>
    <hyperlink r:id="rId1283" ref="C702"/>
    <hyperlink r:id="rId1284" ref="C703"/>
    <hyperlink r:id="rId1285" ref="C704"/>
    <hyperlink r:id="rId1286" ref="C705"/>
    <hyperlink r:id="rId1287" ref="I705"/>
    <hyperlink r:id="rId1288" ref="J705"/>
    <hyperlink r:id="rId1289" ref="K705"/>
    <hyperlink r:id="rId1290" ref="C706"/>
    <hyperlink r:id="rId1291" ref="C707"/>
    <hyperlink r:id="rId1292" ref="I707"/>
    <hyperlink r:id="rId1293" ref="J707"/>
    <hyperlink r:id="rId1294" ref="K707"/>
    <hyperlink r:id="rId1295" ref="L707"/>
    <hyperlink r:id="rId1296" ref="C708"/>
    <hyperlink r:id="rId1297" ref="C709"/>
    <hyperlink r:id="rId1298" ref="I709"/>
    <hyperlink r:id="rId1299" ref="J709"/>
    <hyperlink r:id="rId1300" ref="L709"/>
    <hyperlink r:id="rId1301" ref="C710"/>
    <hyperlink r:id="rId1302" ref="C711"/>
    <hyperlink r:id="rId1303" ref="C712"/>
    <hyperlink r:id="rId1304" ref="C713"/>
    <hyperlink r:id="rId1305" ref="I713"/>
    <hyperlink r:id="rId1306" ref="C714"/>
    <hyperlink r:id="rId1307" ref="C715"/>
    <hyperlink r:id="rId1308" ref="C716"/>
    <hyperlink r:id="rId1309" ref="C717"/>
    <hyperlink r:id="rId1310" ref="C718"/>
    <hyperlink r:id="rId1311" ref="I718"/>
    <hyperlink r:id="rId1312" ref="C719"/>
    <hyperlink r:id="rId1313" ref="I719"/>
    <hyperlink r:id="rId1314" ref="C720"/>
    <hyperlink r:id="rId1315" ref="C721"/>
    <hyperlink r:id="rId1316" ref="I721"/>
    <hyperlink r:id="rId1317" ref="J721"/>
    <hyperlink r:id="rId1318" ref="K721"/>
    <hyperlink r:id="rId1319" ref="C722"/>
    <hyperlink r:id="rId1320" ref="I722"/>
    <hyperlink r:id="rId1321" ref="C723"/>
    <hyperlink r:id="rId1322" ref="C724"/>
    <hyperlink r:id="rId1323" ref="C725"/>
    <hyperlink r:id="rId1324" ref="C726"/>
    <hyperlink r:id="rId1325" ref="C727"/>
    <hyperlink r:id="rId1326" ref="I727"/>
    <hyperlink r:id="rId1327" ref="J727"/>
    <hyperlink r:id="rId1328" ref="K727"/>
    <hyperlink r:id="rId1329" ref="L727"/>
    <hyperlink r:id="rId1330" ref="C728"/>
    <hyperlink r:id="rId1331" ref="I728"/>
    <hyperlink r:id="rId1332" ref="C729"/>
    <hyperlink r:id="rId1333" ref="I729"/>
    <hyperlink r:id="rId1334" ref="C730"/>
    <hyperlink r:id="rId1335" ref="C731"/>
    <hyperlink r:id="rId1336" ref="C732"/>
    <hyperlink r:id="rId1337" ref="C733"/>
    <hyperlink r:id="rId1338" ref="C734"/>
    <hyperlink r:id="rId1339" ref="I734"/>
    <hyperlink r:id="rId1340" ref="C735"/>
    <hyperlink r:id="rId1341" ref="I735"/>
    <hyperlink r:id="rId1342" ref="J735"/>
    <hyperlink r:id="rId1343" ref="K735"/>
    <hyperlink r:id="rId1344" ref="C736"/>
    <hyperlink r:id="rId1345" ref="C737"/>
    <hyperlink r:id="rId1346" ref="C738"/>
    <hyperlink r:id="rId1347" ref="C739"/>
    <hyperlink r:id="rId1348" ref="C740"/>
    <hyperlink r:id="rId1349" ref="I740"/>
    <hyperlink r:id="rId1350" ref="C741"/>
    <hyperlink r:id="rId1351" ref="C742"/>
    <hyperlink r:id="rId1352" ref="C743"/>
    <hyperlink r:id="rId1353" ref="C744"/>
    <hyperlink r:id="rId1354" ref="C745"/>
    <hyperlink r:id="rId1355" ref="C746"/>
    <hyperlink r:id="rId1356" ref="C747"/>
    <hyperlink r:id="rId1357" ref="C748"/>
    <hyperlink r:id="rId1358" ref="C749"/>
    <hyperlink r:id="rId1359" ref="C750"/>
    <hyperlink r:id="rId1360" ref="C751"/>
    <hyperlink r:id="rId1361" ref="C752"/>
    <hyperlink r:id="rId1362" ref="C753"/>
    <hyperlink r:id="rId1363" ref="C754"/>
    <hyperlink r:id="rId1364" ref="C755"/>
    <hyperlink r:id="rId1365" ref="C756"/>
    <hyperlink r:id="rId1366" ref="C757"/>
    <hyperlink r:id="rId1367" ref="C758"/>
    <hyperlink r:id="rId1368" ref="C759"/>
    <hyperlink r:id="rId1369" ref="C760"/>
    <hyperlink r:id="rId1370" ref="C761"/>
    <hyperlink r:id="rId1371" ref="C762"/>
    <hyperlink r:id="rId1372" ref="C763"/>
    <hyperlink r:id="rId1373" ref="C764"/>
    <hyperlink r:id="rId1374" ref="C765"/>
    <hyperlink r:id="rId1375" ref="C766"/>
    <hyperlink r:id="rId1376" ref="C767"/>
    <hyperlink r:id="rId1377" ref="C768"/>
    <hyperlink r:id="rId1378" ref="C769"/>
    <hyperlink r:id="rId1379" ref="C770"/>
    <hyperlink r:id="rId1380" ref="C771"/>
    <hyperlink r:id="rId1381" ref="C772"/>
    <hyperlink r:id="rId1382" ref="C773"/>
    <hyperlink r:id="rId1383" ref="C774"/>
    <hyperlink r:id="rId1384" ref="C775"/>
    <hyperlink r:id="rId1385" ref="C776"/>
    <hyperlink r:id="rId1386" ref="C777"/>
    <hyperlink r:id="rId1387" ref="C778"/>
    <hyperlink r:id="rId1388" ref="C779"/>
    <hyperlink r:id="rId1389" ref="C780"/>
    <hyperlink r:id="rId1390" ref="C781"/>
    <hyperlink r:id="rId1391" ref="C782"/>
    <hyperlink r:id="rId1392" ref="C783"/>
    <hyperlink r:id="rId1393" ref="C784"/>
    <hyperlink r:id="rId1394" ref="C785"/>
    <hyperlink r:id="rId1395" ref="C786"/>
    <hyperlink r:id="rId1396" ref="C787"/>
    <hyperlink r:id="rId1397" ref="C788"/>
    <hyperlink r:id="rId1398" ref="C789"/>
    <hyperlink r:id="rId1399" ref="C790"/>
    <hyperlink r:id="rId1400" ref="C791"/>
    <hyperlink r:id="rId1401" ref="C792"/>
    <hyperlink r:id="rId1402" ref="C793"/>
    <hyperlink r:id="rId1403" ref="C794"/>
    <hyperlink r:id="rId1404" ref="C795"/>
    <hyperlink r:id="rId1405" ref="C796"/>
    <hyperlink r:id="rId1406" ref="C797"/>
    <hyperlink r:id="rId1407" ref="C798"/>
    <hyperlink r:id="rId1408" ref="C799"/>
    <hyperlink r:id="rId1409" ref="C800"/>
    <hyperlink r:id="rId1410" ref="C801"/>
    <hyperlink r:id="rId1411" ref="C802"/>
    <hyperlink r:id="rId1412" ref="C803"/>
    <hyperlink r:id="rId1413" ref="C804"/>
    <hyperlink r:id="rId1414" ref="C805"/>
    <hyperlink r:id="rId1415" ref="C806"/>
    <hyperlink r:id="rId1416" ref="C807"/>
    <hyperlink r:id="rId1417" ref="C808"/>
    <hyperlink r:id="rId1418" ref="C809"/>
    <hyperlink r:id="rId1419" ref="C810"/>
    <hyperlink r:id="rId1420" ref="C811"/>
    <hyperlink r:id="rId1421" ref="C812"/>
    <hyperlink r:id="rId1422" ref="C813"/>
    <hyperlink r:id="rId1423" ref="B814"/>
    <hyperlink r:id="rId1424" ref="C814"/>
    <hyperlink r:id="rId1425" ref="C815"/>
    <hyperlink r:id="rId1426" ref="C816"/>
    <hyperlink r:id="rId1427" ref="C817"/>
    <hyperlink r:id="rId1428" ref="C818"/>
    <hyperlink r:id="rId1429" ref="C819"/>
    <hyperlink r:id="rId1430" ref="C820"/>
    <hyperlink r:id="rId1431" ref="C821"/>
    <hyperlink r:id="rId1432" ref="C822"/>
    <hyperlink r:id="rId1433" ref="C823"/>
    <hyperlink r:id="rId1434" ref="C824"/>
    <hyperlink r:id="rId1435" ref="C825"/>
    <hyperlink r:id="rId1436" ref="C826"/>
    <hyperlink r:id="rId1437" ref="C827"/>
    <hyperlink r:id="rId1438" ref="C828"/>
    <hyperlink r:id="rId1439" ref="C829"/>
    <hyperlink r:id="rId1440" ref="C830"/>
    <hyperlink r:id="rId1441" ref="C831"/>
    <hyperlink r:id="rId1442" ref="C832"/>
    <hyperlink r:id="rId1443" ref="C833"/>
    <hyperlink r:id="rId1444" ref="C834"/>
    <hyperlink r:id="rId1445" ref="C835"/>
    <hyperlink r:id="rId1446" ref="C836"/>
    <hyperlink r:id="rId1447" ref="C837"/>
    <hyperlink r:id="rId1448" ref="C838"/>
    <hyperlink r:id="rId1449" ref="C839"/>
    <hyperlink r:id="rId1450" ref="C840"/>
    <hyperlink r:id="rId1451" ref="C841"/>
    <hyperlink r:id="rId1452" ref="C842"/>
    <hyperlink r:id="rId1453" ref="C843"/>
    <hyperlink r:id="rId1454" ref="C844"/>
    <hyperlink r:id="rId1455" ref="C845"/>
    <hyperlink r:id="rId1456" ref="C846"/>
    <hyperlink r:id="rId1457" ref="C847"/>
    <hyperlink r:id="rId1458" ref="C848"/>
    <hyperlink r:id="rId1459" ref="C849"/>
    <hyperlink r:id="rId1460" ref="C850"/>
    <hyperlink r:id="rId1461" ref="C851"/>
    <hyperlink r:id="rId1462" ref="B852"/>
    <hyperlink r:id="rId1463" ref="C852"/>
    <hyperlink r:id="rId1464" ref="C853"/>
    <hyperlink r:id="rId1465" ref="C854"/>
    <hyperlink r:id="rId1466" ref="C855"/>
    <hyperlink r:id="rId1467" ref="C856"/>
    <hyperlink r:id="rId1468" ref="C857"/>
    <hyperlink r:id="rId1469" ref="C858"/>
    <hyperlink r:id="rId1470" ref="C859"/>
    <hyperlink r:id="rId1471" ref="C860"/>
    <hyperlink r:id="rId1472" ref="C861"/>
    <hyperlink r:id="rId1473" ref="C862"/>
    <hyperlink r:id="rId1474" ref="C863"/>
    <hyperlink r:id="rId1475" ref="C864"/>
    <hyperlink r:id="rId1476" ref="C865"/>
    <hyperlink r:id="rId1477" ref="C866"/>
    <hyperlink r:id="rId1478" ref="C867"/>
    <hyperlink r:id="rId1479" ref="C868"/>
    <hyperlink r:id="rId1480" ref="C869"/>
    <hyperlink r:id="rId1481" ref="C870"/>
    <hyperlink r:id="rId1482" ref="C871"/>
    <hyperlink r:id="rId1483" ref="C872"/>
    <hyperlink r:id="rId1484" ref="C873"/>
    <hyperlink r:id="rId1485" ref="C874"/>
    <hyperlink r:id="rId1486" ref="C875"/>
    <hyperlink r:id="rId1487" ref="C876"/>
    <hyperlink r:id="rId1488" ref="C877"/>
    <hyperlink r:id="rId1489" ref="C878"/>
    <hyperlink r:id="rId1490" ref="C879"/>
    <hyperlink r:id="rId1491" ref="C880"/>
    <hyperlink r:id="rId1492" ref="C881"/>
    <hyperlink r:id="rId1493" ref="C882"/>
    <hyperlink r:id="rId1494" ref="C883"/>
    <hyperlink r:id="rId1495" ref="C884"/>
    <hyperlink r:id="rId1496" ref="C885"/>
    <hyperlink r:id="rId1497" ref="C886"/>
    <hyperlink r:id="rId1498" ref="C887"/>
    <hyperlink r:id="rId1499" ref="C888"/>
    <hyperlink r:id="rId1500" ref="C889"/>
    <hyperlink r:id="rId1501" ref="C890"/>
    <hyperlink r:id="rId1502" ref="C891"/>
    <hyperlink r:id="rId1503" ref="C892"/>
    <hyperlink r:id="rId1504" ref="C893"/>
    <hyperlink r:id="rId1505" ref="C894"/>
    <hyperlink r:id="rId1506" ref="C895"/>
    <hyperlink r:id="rId1507" ref="C896"/>
    <hyperlink r:id="rId1508" ref="C897"/>
    <hyperlink r:id="rId1509" ref="C898"/>
    <hyperlink r:id="rId1510" ref="C899"/>
    <hyperlink r:id="rId1511" ref="C900"/>
    <hyperlink r:id="rId1512" ref="C901"/>
    <hyperlink r:id="rId1513" ref="C902"/>
    <hyperlink r:id="rId1514" ref="C903"/>
    <hyperlink r:id="rId1515" ref="C904"/>
    <hyperlink r:id="rId1516" ref="C905"/>
    <hyperlink r:id="rId1517" ref="C906"/>
    <hyperlink r:id="rId1518" ref="C907"/>
    <hyperlink r:id="rId1519" ref="C908"/>
    <hyperlink r:id="rId1520" ref="C909"/>
    <hyperlink r:id="rId1521" ref="C910"/>
    <hyperlink r:id="rId1522" ref="C911"/>
    <hyperlink r:id="rId1523" ref="C912"/>
    <hyperlink r:id="rId1524" ref="C913"/>
    <hyperlink r:id="rId1525" ref="C914"/>
    <hyperlink r:id="rId1526" ref="C915"/>
    <hyperlink r:id="rId1527" ref="C916"/>
    <hyperlink r:id="rId1528" ref="C917"/>
    <hyperlink r:id="rId1529" ref="C918"/>
    <hyperlink r:id="rId1530" ref="C919"/>
    <hyperlink r:id="rId1531" ref="C920"/>
    <hyperlink r:id="rId1532" ref="C921"/>
    <hyperlink r:id="rId1533" ref="C922"/>
    <hyperlink r:id="rId1534" ref="C923"/>
    <hyperlink r:id="rId1535" ref="C924"/>
    <hyperlink r:id="rId1536" ref="C925"/>
    <hyperlink r:id="rId1537" ref="C926"/>
    <hyperlink r:id="rId1538" ref="C927"/>
    <hyperlink r:id="rId1539" ref="C928"/>
    <hyperlink r:id="rId1540" ref="C929"/>
    <hyperlink r:id="rId1541" ref="C930"/>
    <hyperlink r:id="rId1542" ref="C931"/>
    <hyperlink r:id="rId1543" ref="C932"/>
    <hyperlink r:id="rId1544" ref="C933"/>
    <hyperlink r:id="rId1545" ref="C934"/>
    <hyperlink r:id="rId1546" ref="C936"/>
    <hyperlink r:id="rId1547" ref="C937"/>
    <hyperlink r:id="rId1548" ref="C938"/>
    <hyperlink r:id="rId1549" ref="C939"/>
    <hyperlink r:id="rId1550" ref="C940"/>
    <hyperlink r:id="rId1551" ref="C941"/>
    <hyperlink r:id="rId1552" ref="C942"/>
    <hyperlink r:id="rId1553" ref="C943"/>
    <hyperlink r:id="rId1554" ref="C944"/>
    <hyperlink r:id="rId1555" ref="C945"/>
    <hyperlink r:id="rId1556" ref="C946"/>
    <hyperlink r:id="rId1557" ref="C947"/>
    <hyperlink r:id="rId1558" ref="C948"/>
    <hyperlink r:id="rId1559" ref="C949"/>
    <hyperlink r:id="rId1560" ref="C950"/>
    <hyperlink r:id="rId1561" ref="C951"/>
    <hyperlink r:id="rId1562" ref="C952"/>
    <hyperlink r:id="rId1563" ref="C953"/>
    <hyperlink r:id="rId1564" ref="C954"/>
    <hyperlink r:id="rId1565" ref="C955"/>
    <hyperlink r:id="rId1566" ref="C956"/>
    <hyperlink r:id="rId1567" ref="C957"/>
    <hyperlink r:id="rId1568" ref="C958"/>
    <hyperlink r:id="rId1569" ref="C959"/>
    <hyperlink r:id="rId1570" ref="C960"/>
    <hyperlink r:id="rId1571" ref="C961"/>
    <hyperlink r:id="rId1572" ref="C962"/>
    <hyperlink r:id="rId1573" ref="C963"/>
    <hyperlink r:id="rId1574" ref="C964"/>
    <hyperlink r:id="rId1575" ref="C965"/>
    <hyperlink r:id="rId1576" ref="C966"/>
    <hyperlink r:id="rId1577" ref="C967"/>
    <hyperlink r:id="rId1578" ref="B968"/>
    <hyperlink r:id="rId1579" ref="C968"/>
    <hyperlink r:id="rId1580" ref="C969"/>
    <hyperlink r:id="rId1581" ref="C970"/>
    <hyperlink r:id="rId1582" ref="C971"/>
    <hyperlink r:id="rId1583" ref="C972"/>
    <hyperlink r:id="rId1584" ref="C973"/>
    <hyperlink r:id="rId1585" ref="C974"/>
    <hyperlink r:id="rId1586" ref="C975"/>
    <hyperlink r:id="rId1587" ref="C976"/>
    <hyperlink r:id="rId1588" ref="C977"/>
    <hyperlink r:id="rId1589" ref="C978"/>
    <hyperlink r:id="rId1590" ref="C979"/>
    <hyperlink r:id="rId1591" ref="C980"/>
    <hyperlink r:id="rId1592" ref="C981"/>
    <hyperlink r:id="rId1593" ref="C982"/>
    <hyperlink r:id="rId1594" ref="C983"/>
    <hyperlink r:id="rId1595" ref="C984"/>
    <hyperlink r:id="rId1596" ref="C985"/>
    <hyperlink r:id="rId1597" ref="C986"/>
    <hyperlink r:id="rId1598" ref="C987"/>
    <hyperlink r:id="rId1599" ref="C988"/>
    <hyperlink r:id="rId1600" ref="C989"/>
    <hyperlink r:id="rId1601" ref="C990"/>
    <hyperlink r:id="rId1602" ref="C991"/>
    <hyperlink r:id="rId1603" ref="C992"/>
    <hyperlink r:id="rId1604" ref="C993"/>
    <hyperlink r:id="rId1605" ref="C994"/>
    <hyperlink r:id="rId1606" ref="C995"/>
    <hyperlink r:id="rId1607" ref="C996"/>
    <hyperlink r:id="rId1608" ref="C997"/>
    <hyperlink r:id="rId1609" ref="C998"/>
    <hyperlink r:id="rId1610" ref="C999"/>
    <hyperlink r:id="rId1611" ref="C1000"/>
    <hyperlink r:id="rId1612" ref="C1001"/>
    <hyperlink r:id="rId1613" ref="C1002"/>
    <hyperlink r:id="rId1614" ref="C1003"/>
    <hyperlink r:id="rId1615" ref="C1004"/>
    <hyperlink r:id="rId1616" ref="C1005"/>
    <hyperlink r:id="rId1617" ref="C1006"/>
    <hyperlink r:id="rId1618" ref="C1007"/>
    <hyperlink r:id="rId1619" ref="C1008"/>
    <hyperlink r:id="rId1620" ref="C1009"/>
    <hyperlink r:id="rId1621" ref="C1010"/>
    <hyperlink r:id="rId1622" ref="C1011"/>
    <hyperlink r:id="rId1623" ref="C1012"/>
    <hyperlink r:id="rId1624" ref="C1013"/>
    <hyperlink r:id="rId1625" ref="C1014"/>
    <hyperlink r:id="rId1626" ref="C1015"/>
    <hyperlink r:id="rId1627" ref="C1016"/>
    <hyperlink r:id="rId1628" ref="C1017"/>
    <hyperlink r:id="rId1629" ref="C1018"/>
    <hyperlink r:id="rId1630" ref="C1019"/>
    <hyperlink r:id="rId1631" ref="C1020"/>
    <hyperlink r:id="rId1632" ref="C1021"/>
    <hyperlink r:id="rId1633" ref="C1022"/>
    <hyperlink r:id="rId1634" ref="C1023"/>
    <hyperlink r:id="rId1635" ref="C1024"/>
    <hyperlink r:id="rId1636" ref="C1025"/>
    <hyperlink r:id="rId1637" ref="C1026"/>
    <hyperlink r:id="rId1638" ref="C1027"/>
    <hyperlink r:id="rId1639" ref="C1028"/>
    <hyperlink r:id="rId1640" ref="C1029"/>
    <hyperlink r:id="rId1641" ref="C1030"/>
    <hyperlink r:id="rId1642" ref="C1031"/>
    <hyperlink r:id="rId1643" ref="C1032"/>
    <hyperlink r:id="rId1644" ref="C1033"/>
    <hyperlink r:id="rId1645" ref="C1034"/>
    <hyperlink r:id="rId1646" ref="C1035"/>
    <hyperlink r:id="rId1647" ref="C1036"/>
    <hyperlink r:id="rId1648" ref="C1037"/>
    <hyperlink r:id="rId1649" ref="C1038"/>
    <hyperlink r:id="rId1650" ref="C1039"/>
    <hyperlink r:id="rId1651" ref="C1040"/>
    <hyperlink r:id="rId1652" ref="C1041"/>
    <hyperlink r:id="rId1653" ref="C1042"/>
    <hyperlink r:id="rId1654" ref="C1043"/>
    <hyperlink r:id="rId1655" ref="C1044"/>
    <hyperlink r:id="rId1656" ref="C1045"/>
    <hyperlink r:id="rId1657" ref="C1046"/>
    <hyperlink r:id="rId1658" ref="C1047"/>
    <hyperlink r:id="rId1659" ref="C1048"/>
    <hyperlink r:id="rId1660" ref="C1049"/>
    <hyperlink r:id="rId1661" ref="C1050"/>
    <hyperlink r:id="rId1662" ref="C1051"/>
    <hyperlink r:id="rId1663" ref="C1052"/>
    <hyperlink r:id="rId1664" ref="C1053"/>
    <hyperlink r:id="rId1665" ref="C1054"/>
    <hyperlink r:id="rId1666" ref="C1055"/>
    <hyperlink r:id="rId1667" ref="C1056"/>
    <hyperlink r:id="rId1668" ref="C1057"/>
    <hyperlink r:id="rId1669" ref="C1058"/>
    <hyperlink r:id="rId1670" ref="C1059"/>
    <hyperlink r:id="rId1671" ref="C1060"/>
    <hyperlink r:id="rId1672" ref="C1061"/>
    <hyperlink r:id="rId1673" ref="C1062"/>
    <hyperlink r:id="rId1674" ref="C1063"/>
    <hyperlink r:id="rId1675" ref="C1064"/>
    <hyperlink r:id="rId1676" ref="C1065"/>
    <hyperlink r:id="rId1677" ref="C1066"/>
    <hyperlink r:id="rId1678" ref="C1067"/>
    <hyperlink r:id="rId1679" ref="C1068"/>
    <hyperlink r:id="rId1680" ref="C1069"/>
    <hyperlink r:id="rId1681" ref="C1070"/>
    <hyperlink r:id="rId1682" ref="C1071"/>
    <hyperlink r:id="rId1683" ref="C1072"/>
    <hyperlink r:id="rId1684" ref="C1073"/>
    <hyperlink r:id="rId1685" ref="C1074"/>
    <hyperlink r:id="rId1686" ref="C1075"/>
    <hyperlink r:id="rId1687" ref="C1076"/>
    <hyperlink r:id="rId1688" ref="C1077"/>
    <hyperlink r:id="rId1689" ref="C1078"/>
    <hyperlink r:id="rId1690" ref="C1079"/>
    <hyperlink r:id="rId1691" ref="C1080"/>
    <hyperlink r:id="rId1692" ref="C1081"/>
    <hyperlink r:id="rId1693" ref="C1082"/>
    <hyperlink r:id="rId1694" ref="C1083"/>
    <hyperlink r:id="rId1695" ref="C1084"/>
    <hyperlink r:id="rId1696" ref="C1085"/>
    <hyperlink r:id="rId1697" ref="C1086"/>
    <hyperlink r:id="rId1698" ref="C1087"/>
    <hyperlink r:id="rId1699" ref="C1088"/>
    <hyperlink r:id="rId1700" ref="C1089"/>
    <hyperlink r:id="rId1701" ref="C1090"/>
    <hyperlink r:id="rId1702" ref="C1091"/>
    <hyperlink r:id="rId1703" ref="C1092"/>
    <hyperlink r:id="rId1704" ref="C1093"/>
    <hyperlink r:id="rId1705" ref="C1094"/>
    <hyperlink r:id="rId1706" ref="C1095"/>
    <hyperlink r:id="rId1707" ref="C1096"/>
    <hyperlink r:id="rId1708" ref="C1097"/>
    <hyperlink r:id="rId1709" ref="C1098"/>
    <hyperlink r:id="rId1710" ref="C1099"/>
    <hyperlink r:id="rId1711" ref="C1100"/>
    <hyperlink r:id="rId1712" ref="C1101"/>
    <hyperlink r:id="rId1713" ref="C1102"/>
    <hyperlink r:id="rId1714" ref="C1103"/>
    <hyperlink r:id="rId1715" ref="C1104"/>
    <hyperlink r:id="rId1716" ref="C1105"/>
    <hyperlink r:id="rId1717" ref="C1106"/>
    <hyperlink r:id="rId1718" ref="C1107"/>
    <hyperlink r:id="rId1719" ref="C1108"/>
    <hyperlink r:id="rId1720" ref="C1109"/>
    <hyperlink r:id="rId1721" ref="C1110"/>
    <hyperlink r:id="rId1722" ref="C1111"/>
    <hyperlink r:id="rId1723" ref="C1112"/>
    <hyperlink r:id="rId1724" ref="C1113"/>
    <hyperlink r:id="rId1725" ref="C1114"/>
    <hyperlink r:id="rId1726" ref="C1115"/>
    <hyperlink r:id="rId1727" ref="C1116"/>
    <hyperlink r:id="rId1728" ref="C1117"/>
    <hyperlink r:id="rId1729" ref="C1118"/>
    <hyperlink r:id="rId1730" ref="C1119"/>
    <hyperlink r:id="rId1731" ref="C1120"/>
    <hyperlink r:id="rId1732" ref="C1121"/>
    <hyperlink r:id="rId1733" ref="C1122"/>
    <hyperlink r:id="rId1734" ref="C1123"/>
    <hyperlink r:id="rId1735" ref="C1124"/>
    <hyperlink r:id="rId1736" ref="C1125"/>
    <hyperlink r:id="rId1737" ref="C1126"/>
    <hyperlink r:id="rId1738" ref="C1127"/>
    <hyperlink r:id="rId1739" ref="C1128"/>
    <hyperlink r:id="rId1740" ref="C1129"/>
  </hyperlinks>
  <drawing r:id="rId174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22.38"/>
    <col customWidth="1" min="4" max="4" width="14.88"/>
  </cols>
  <sheetData>
    <row r="1">
      <c r="A1" s="213" t="s">
        <v>455</v>
      </c>
      <c r="B1" s="214"/>
      <c r="C1" s="214"/>
      <c r="D1" s="215"/>
      <c r="E1" s="213" t="s">
        <v>328</v>
      </c>
      <c r="F1" s="214"/>
      <c r="G1" s="216"/>
      <c r="I1" s="217" t="s">
        <v>456</v>
      </c>
      <c r="J1" s="214"/>
      <c r="K1" s="214"/>
      <c r="L1" s="216"/>
    </row>
    <row r="2">
      <c r="A2" s="219" t="s">
        <v>457</v>
      </c>
      <c r="B2" s="220"/>
      <c r="C2" s="219" t="s">
        <v>455</v>
      </c>
      <c r="D2" s="215"/>
      <c r="E2" s="439" t="s">
        <v>374</v>
      </c>
      <c r="F2" s="440" t="s">
        <v>375</v>
      </c>
      <c r="G2" s="441" t="s">
        <v>479</v>
      </c>
      <c r="I2" s="222" t="s">
        <v>458</v>
      </c>
      <c r="J2" s="214"/>
      <c r="K2" s="214"/>
      <c r="L2" s="216"/>
    </row>
    <row r="3">
      <c r="A3" s="223">
        <v>1.0</v>
      </c>
      <c r="B3" s="224"/>
      <c r="C3" s="225">
        <v>1.0</v>
      </c>
      <c r="D3" s="215"/>
      <c r="E3" s="459">
        <f>Maindata!I17</f>
        <v>3750</v>
      </c>
      <c r="F3" s="459">
        <f>Maindata!J17</f>
        <v>15000</v>
      </c>
      <c r="G3" s="460">
        <f>Maindata!K17</f>
        <v>0.5548666667</v>
      </c>
      <c r="I3" s="229" t="s">
        <v>459</v>
      </c>
      <c r="J3" s="216"/>
      <c r="K3" s="230" t="s">
        <v>460</v>
      </c>
      <c r="L3" s="216"/>
      <c r="N3" s="4" t="s">
        <v>488</v>
      </c>
      <c r="O3">
        <f>COUNTIF(A16:A3058,"micro")</f>
        <v>2600</v>
      </c>
    </row>
    <row r="4">
      <c r="A4" s="231"/>
      <c r="B4" s="220"/>
      <c r="C4" s="225">
        <v>2.0</v>
      </c>
      <c r="D4" s="215"/>
      <c r="E4" s="297"/>
      <c r="F4" s="297"/>
      <c r="G4" s="297"/>
      <c r="I4" s="235">
        <f>IFERROR(__xludf.DUMMYFUNCTION("IMPORTRANGE(""https://docs.google.com/spreadsheets/d/1XGHyffJQ7KjI292zt5QVK_1XTfEMh_HDpl_2BHAzd4c/edit?gid=1335890585#gid=1335890585"",""KIMME!H16"")        "),9.75E7)</f>
        <v>97500000</v>
      </c>
      <c r="J4" s="228"/>
      <c r="K4" s="235">
        <f>IFERROR(__xludf.DUMMYFUNCTION("IMPORTRANGE(""https://docs.google.com/spreadsheets/d/1XGHyffJQ7KjI292zt5QVK_1XTfEMh_HDpl_2BHAzd4c/edit?gid=1335890585#gid=1335890585"",""KIMME!H21"")        "),0.0)</f>
        <v>0</v>
      </c>
      <c r="L4" s="228"/>
      <c r="N4" s="4" t="s">
        <v>489</v>
      </c>
      <c r="O4">
        <f>COUNTIF(A17:A3058,"macro")</f>
        <v>157</v>
      </c>
    </row>
    <row r="5">
      <c r="A5" s="236">
        <v>2.0</v>
      </c>
      <c r="B5" s="224"/>
      <c r="C5" s="225">
        <v>1.0</v>
      </c>
      <c r="D5" s="215"/>
      <c r="E5" s="444" t="s">
        <v>481</v>
      </c>
      <c r="F5" s="444" t="s">
        <v>409</v>
      </c>
      <c r="G5" s="444" t="s">
        <v>482</v>
      </c>
      <c r="I5" s="232"/>
      <c r="J5" s="234"/>
      <c r="K5" s="232"/>
      <c r="L5" s="234"/>
    </row>
    <row r="6">
      <c r="A6" s="231"/>
      <c r="B6" s="220"/>
      <c r="C6" s="225">
        <v>2.0</v>
      </c>
      <c r="D6" s="215"/>
      <c r="E6" s="445">
        <f>COUNTA(B16:B3058)</f>
        <v>2840</v>
      </c>
      <c r="F6" s="445">
        <f>COUNTA(J15:J3058, M15:M3058, P15:P3058)</f>
        <v>4595</v>
      </c>
      <c r="G6" s="446"/>
      <c r="I6" s="238" t="s">
        <v>462</v>
      </c>
      <c r="J6" s="214"/>
      <c r="K6" s="214"/>
      <c r="L6" s="216"/>
    </row>
    <row r="7">
      <c r="A7" s="236">
        <v>3.0</v>
      </c>
      <c r="B7" s="224"/>
      <c r="C7" s="225">
        <v>1.0</v>
      </c>
      <c r="D7" s="215"/>
      <c r="E7" s="297"/>
      <c r="F7" s="297"/>
      <c r="G7" s="297"/>
      <c r="I7" s="235">
        <f>IFERROR(__xludf.DUMMYFUNCTION("IMPORTRANGE(""https://docs.google.com/spreadsheets/d/1XGHyffJQ7KjI292zt5QVK_1XTfEMh_HDpl_2BHAzd4c/edit?gid=1335890585#gid=1335890585"",""KIMME!H2"")        "),4.4585E7)</f>
        <v>44585000</v>
      </c>
      <c r="J7" s="228"/>
      <c r="K7" s="226">
        <f>IFERROR(__xludf.DUMMYFUNCTION("IMPORTRANGE(""https://docs.google.com/spreadsheets/d/1XGHyffJQ7KjI292zt5QVK_1XTfEMh_HDpl_2BHAzd4c/edit?gid=1335890585#gid=1335890585"",""SALSA M&amp;B!K4"")        "),1.3E7)</f>
        <v>13000000</v>
      </c>
      <c r="L7" s="228"/>
    </row>
    <row r="8">
      <c r="A8" s="231"/>
      <c r="B8" s="220"/>
      <c r="C8" s="225">
        <v>2.0</v>
      </c>
      <c r="D8" s="215"/>
      <c r="E8" s="447" t="s">
        <v>329</v>
      </c>
      <c r="F8" s="233"/>
      <c r="G8" s="234"/>
      <c r="I8" s="232"/>
      <c r="J8" s="234"/>
      <c r="K8" s="232"/>
      <c r="L8" s="234"/>
    </row>
    <row r="9">
      <c r="A9" s="236">
        <v>4.0</v>
      </c>
      <c r="B9" s="224"/>
      <c r="C9" s="225">
        <v>1.0</v>
      </c>
      <c r="D9" s="215"/>
      <c r="E9" s="448">
        <f t="shared" ref="E9:F9" si="1">E6/E3</f>
        <v>0.7573333333</v>
      </c>
      <c r="F9" s="448">
        <f t="shared" si="1"/>
        <v>0.3063333333</v>
      </c>
      <c r="G9" s="449"/>
      <c r="I9" s="241" t="s">
        <v>463</v>
      </c>
      <c r="J9" s="214"/>
      <c r="K9" s="214"/>
      <c r="L9" s="216"/>
      <c r="N9" s="461">
        <f>E3-E6</f>
        <v>910</v>
      </c>
    </row>
    <row r="10">
      <c r="A10" s="231"/>
      <c r="B10" s="220"/>
      <c r="C10" s="225">
        <v>2.0</v>
      </c>
      <c r="D10" s="215"/>
      <c r="E10" s="297"/>
      <c r="F10" s="297"/>
      <c r="G10" s="297"/>
      <c r="I10" s="235">
        <f>I4-I7</f>
        <v>52915000</v>
      </c>
      <c r="J10" s="228"/>
      <c r="K10" s="226">
        <f>K4-K7</f>
        <v>-13000000</v>
      </c>
      <c r="L10" s="228"/>
    </row>
    <row r="11">
      <c r="A11" s="236">
        <v>5.0</v>
      </c>
      <c r="B11" s="224"/>
      <c r="C11" s="225">
        <v>1.0</v>
      </c>
      <c r="D11" s="215"/>
      <c r="E11" s="215"/>
      <c r="F11" s="3"/>
      <c r="I11" s="232"/>
      <c r="J11" s="234"/>
      <c r="K11" s="232"/>
      <c r="L11" s="234"/>
    </row>
    <row r="12">
      <c r="A12" s="231"/>
      <c r="B12" s="220"/>
      <c r="C12" s="225">
        <v>2.0</v>
      </c>
      <c r="D12" s="215"/>
      <c r="E12" s="215"/>
      <c r="F12" s="3"/>
      <c r="J12" s="215"/>
      <c r="K12" s="215"/>
      <c r="L12" s="215"/>
      <c r="M12" s="243"/>
      <c r="N12" s="243"/>
      <c r="O12" s="243"/>
      <c r="P12" s="243"/>
    </row>
    <row r="13">
      <c r="A13" s="245"/>
      <c r="B13" s="245"/>
      <c r="D13" s="3"/>
      <c r="E13" s="3"/>
      <c r="F13" s="3"/>
      <c r="K13" s="243"/>
      <c r="L13" s="243"/>
      <c r="M13" s="243"/>
      <c r="N13" s="243"/>
      <c r="O13" s="243"/>
      <c r="P13" s="243"/>
    </row>
    <row r="14">
      <c r="A14" s="341"/>
      <c r="B14" s="341"/>
      <c r="C14" s="341"/>
      <c r="D14" s="462"/>
      <c r="E14" s="462"/>
      <c r="F14" s="462"/>
      <c r="G14" s="341"/>
      <c r="H14" s="341"/>
      <c r="I14" s="341"/>
      <c r="J14" s="341"/>
      <c r="K14" s="341"/>
      <c r="L14" s="341"/>
      <c r="M14" s="341"/>
      <c r="N14" s="341"/>
      <c r="O14" s="341"/>
      <c r="P14" s="341"/>
    </row>
    <row r="15">
      <c r="A15" s="345" t="s">
        <v>466</v>
      </c>
      <c r="B15" s="250" t="s">
        <v>467</v>
      </c>
      <c r="C15" s="346" t="s">
        <v>468</v>
      </c>
      <c r="D15" s="347" t="s">
        <v>469</v>
      </c>
      <c r="E15" s="348" t="s">
        <v>470</v>
      </c>
      <c r="F15" s="346" t="s">
        <v>471</v>
      </c>
      <c r="G15" s="350" t="s">
        <v>457</v>
      </c>
      <c r="H15" s="351" t="s">
        <v>472</v>
      </c>
      <c r="I15" s="352" t="s">
        <v>455</v>
      </c>
      <c r="J15" s="352" t="s">
        <v>473</v>
      </c>
      <c r="K15" s="352" t="s">
        <v>455</v>
      </c>
      <c r="L15" s="346" t="s">
        <v>474</v>
      </c>
      <c r="M15" s="352" t="s">
        <v>455</v>
      </c>
      <c r="N15" s="352" t="s">
        <v>475</v>
      </c>
      <c r="O15" s="352" t="s">
        <v>455</v>
      </c>
      <c r="P15" s="346" t="s">
        <v>476</v>
      </c>
    </row>
    <row r="16">
      <c r="A16" s="255" t="str">
        <f>IFERROR(__xludf.DUMMYFUNCTION("QUERY(IMPORTRANGE(""https://docs.google.com/spreadsheets/d/10wdjc5GKQIqHka9D7QGq1b4WkRuVqG0ylA8lw57ns-I/edit?usp=sharing"", ""KIMME!A3:AB""),""SELECT Col1, Col2, Col3, Col4, Col5, Col6, Col11, Col16, Col17, Col18, Col19, Col20, Col21, Col22, Col23, Col24 "&amp;"WHERE Col12 = 'Approved'"")"),"MICRO")</f>
        <v>MICRO</v>
      </c>
      <c r="B16" s="23" t="str">
        <f>IFERROR(__xludf.DUMMYFUNCTION("""COMPUTED_VALUE"""),"they.callmelst")</f>
        <v>they.callmelst</v>
      </c>
      <c r="C16" s="257" t="str">
        <f>IFERROR(__xludf.DUMMYFUNCTION("""COMPUTED_VALUE"""),"https://www.tiktok.com/@they.callmelst")</f>
        <v>https://www.tiktok.com/@they.callmelst</v>
      </c>
      <c r="D16" s="98">
        <f>IFERROR(__xludf.DUMMYFUNCTION("""COMPUTED_VALUE"""),8.9604299344E10)</f>
        <v>89604299344</v>
      </c>
      <c r="E16" s="258">
        <f>IFERROR(__xludf.DUMMYFUNCTION("""COMPUTED_VALUE"""),0.0)</f>
        <v>0</v>
      </c>
      <c r="F16" s="25">
        <f>IFERROR(__xludf.DUMMYFUNCTION("""COMPUTED_VALUE"""),4.0)</f>
        <v>4</v>
      </c>
      <c r="G16" s="17" t="str">
        <f>IFERROR(__xludf.DUMMYFUNCTION("""COMPUTED_VALUE"""),"Sabun batang 1 Box ( 2 PCS )")</f>
        <v>Sabun batang 1 Box ( 2 PCS )</v>
      </c>
      <c r="H16" s="463" t="str">
        <f>IFERROR(__xludf.DUMMYFUNCTION("""COMPUTED_VALUE"""),"Sampai")</f>
        <v>Sampai</v>
      </c>
      <c r="I16" s="464" t="str">
        <f>IFERROR(__xludf.DUMMYFUNCTION("""COMPUTED_VALUE"""),"KIMME")</f>
        <v>KIMME</v>
      </c>
      <c r="J16" s="279" t="str">
        <f>IFERROR(__xludf.DUMMYFUNCTION("""COMPUTED_VALUE"""),"https://vt.tiktok.com/ZSm2nfLgw/")</f>
        <v>https://vt.tiktok.com/ZSm2nfLgw/</v>
      </c>
      <c r="K16" s="464" t="str">
        <f>IFERROR(__xludf.DUMMYFUNCTION("""COMPUTED_VALUE"""),"KIMME")</f>
        <v>KIMME</v>
      </c>
      <c r="L16" s="279" t="str">
        <f>IFERROR(__xludf.DUMMYFUNCTION("""COMPUTED_VALUE"""),"https://vt.tiktok.com/ZSmrTYFR5/")</f>
        <v>https://vt.tiktok.com/ZSmrTYFR5/</v>
      </c>
      <c r="M16" s="464" t="str">
        <f>IFERROR(__xludf.DUMMYFUNCTION("""COMPUTED_VALUE"""),"KIMME")</f>
        <v>KIMME</v>
      </c>
      <c r="N16" s="279" t="str">
        <f>IFERROR(__xludf.DUMMYFUNCTION("""COMPUTED_VALUE"""),"https://vt.tiktok.com/ZSmr3cNDL/")</f>
        <v>https://vt.tiktok.com/ZSmr3cNDL/</v>
      </c>
      <c r="O16" s="464" t="str">
        <f>IFERROR(__xludf.DUMMYFUNCTION("""COMPUTED_VALUE"""),"KIMME")</f>
        <v>KIMME</v>
      </c>
      <c r="P16" s="279" t="str">
        <f>IFERROR(__xludf.DUMMYFUNCTION("""COMPUTED_VALUE"""),"https://vt.tiktok.com/ZSmBWnTrV/")</f>
        <v>https://vt.tiktok.com/ZSmBWnTrV/</v>
      </c>
    </row>
    <row r="17">
      <c r="A17" s="255" t="str">
        <f>IFERROR(__xludf.DUMMYFUNCTION("""COMPUTED_VALUE"""),"MICRO")</f>
        <v>MICRO</v>
      </c>
      <c r="B17" s="23" t="str">
        <f>IFERROR(__xludf.DUMMYFUNCTION("""COMPUTED_VALUE"""),"indahcavalera")</f>
        <v>indahcavalera</v>
      </c>
      <c r="C17" s="257" t="str">
        <f>IFERROR(__xludf.DUMMYFUNCTION("""COMPUTED_VALUE"""),"https://www.tiktok.com/@indahcavalera")</f>
        <v>https://www.tiktok.com/@indahcavalera</v>
      </c>
      <c r="D17" s="98">
        <f>IFERROR(__xludf.DUMMYFUNCTION("""COMPUTED_VALUE"""),8.2386780288E10)</f>
        <v>82386780288</v>
      </c>
      <c r="E17" s="258">
        <f>IFERROR(__xludf.DUMMYFUNCTION("""COMPUTED_VALUE"""),600000.0)</f>
        <v>600000</v>
      </c>
      <c r="F17" s="25">
        <f>IFERROR(__xludf.DUMMYFUNCTION("""COMPUTED_VALUE"""),2.0)</f>
        <v>2</v>
      </c>
      <c r="G17" s="17" t="str">
        <f>IFERROR(__xludf.DUMMYFUNCTION("""COMPUTED_VALUE"""),"Sabun batang 1 Box ( 2 PCS )")</f>
        <v>Sabun batang 1 Box ( 2 PCS )</v>
      </c>
      <c r="H17" s="463" t="str">
        <f>IFERROR(__xludf.DUMMYFUNCTION("""COMPUTED_VALUE"""),"Sampai")</f>
        <v>Sampai</v>
      </c>
      <c r="I17" s="464" t="str">
        <f>IFERROR(__xludf.DUMMYFUNCTION("""COMPUTED_VALUE"""),"KIMME")</f>
        <v>KIMME</v>
      </c>
      <c r="J17" s="279" t="str">
        <f>IFERROR(__xludf.DUMMYFUNCTION("""COMPUTED_VALUE"""),"https://vt.tiktok.com/ZSmBDaTMN/")</f>
        <v>https://vt.tiktok.com/ZSmBDaTMN/</v>
      </c>
      <c r="K17" s="464" t="str">
        <f>IFERROR(__xludf.DUMMYFUNCTION("""COMPUTED_VALUE"""),"KIMME")</f>
        <v>KIMME</v>
      </c>
      <c r="L17" s="279" t="str">
        <f>IFERROR(__xludf.DUMMYFUNCTION("""COMPUTED_VALUE"""),"https://vt.tiktok.com/ZSmQKcdvh/")</f>
        <v>https://vt.tiktok.com/ZSmQKcdvh/</v>
      </c>
      <c r="M17" s="464" t="str">
        <f>IFERROR(__xludf.DUMMYFUNCTION("""COMPUTED_VALUE"""),"KIMME")</f>
        <v>KIMME</v>
      </c>
      <c r="N17" s="279" t="str">
        <f>IFERROR(__xludf.DUMMYFUNCTION("""COMPUTED_VALUE"""),"https://vt.tiktok.com/ZS9JRKBcg/")</f>
        <v>https://vt.tiktok.com/ZS9JRKBcg/</v>
      </c>
      <c r="O17" s="464" t="str">
        <f>IFERROR(__xludf.DUMMYFUNCTION("""COMPUTED_VALUE"""),"KIMME")</f>
        <v>KIMME</v>
      </c>
      <c r="P17" s="279" t="str">
        <f>IFERROR(__xludf.DUMMYFUNCTION("""COMPUTED_VALUE"""),"https://vt.tiktok.com/ZS9J8jtbx/")</f>
        <v>https://vt.tiktok.com/ZS9J8jtbx/</v>
      </c>
    </row>
    <row r="18">
      <c r="A18" s="255" t="str">
        <f>IFERROR(__xludf.DUMMYFUNCTION("""COMPUTED_VALUE"""),"MICRO")</f>
        <v>MICRO</v>
      </c>
      <c r="B18" s="23" t="str">
        <f>IFERROR(__xludf.DUMMYFUNCTION("""COMPUTED_VALUE"""),"ayyy_______")</f>
        <v>ayyy_______</v>
      </c>
      <c r="C18" s="257" t="str">
        <f>IFERROR(__xludf.DUMMYFUNCTION("""COMPUTED_VALUE"""),"https://www.tiktok.com/@ayyy_______")</f>
        <v>https://www.tiktok.com/@ayyy_______</v>
      </c>
      <c r="D18" s="98">
        <f>IFERROR(__xludf.DUMMYFUNCTION("""COMPUTED_VALUE"""),8.2339993909E10)</f>
        <v>82339993909</v>
      </c>
      <c r="E18" s="258">
        <f>IFERROR(__xludf.DUMMYFUNCTION("""COMPUTED_VALUE"""),0.0)</f>
        <v>0</v>
      </c>
      <c r="F18" s="25">
        <f>IFERROR(__xludf.DUMMYFUNCTION("""COMPUTED_VALUE"""),4.0)</f>
        <v>4</v>
      </c>
      <c r="G18" s="17" t="str">
        <f>IFERROR(__xludf.DUMMYFUNCTION("""COMPUTED_VALUE"""),"Sabun batang 1 Box ( 2 PCS )")</f>
        <v>Sabun batang 1 Box ( 2 PCS )</v>
      </c>
      <c r="H18" s="463" t="str">
        <f>IFERROR(__xludf.DUMMYFUNCTION("""COMPUTED_VALUE"""),"Sampai")</f>
        <v>Sampai</v>
      </c>
      <c r="I18" s="464" t="str">
        <f>IFERROR(__xludf.DUMMYFUNCTION("""COMPUTED_VALUE"""),"KIMME")</f>
        <v>KIMME</v>
      </c>
      <c r="J18" s="279" t="str">
        <f>IFERROR(__xludf.DUMMYFUNCTION("""COMPUTED_VALUE"""),"https://vt.tiktok.com/ZSxVuCLJU/")</f>
        <v>https://vt.tiktok.com/ZSxVuCLJU/</v>
      </c>
      <c r="K18" s="464" t="str">
        <f>IFERROR(__xludf.DUMMYFUNCTION("""COMPUTED_VALUE"""),"KIMME")</f>
        <v>KIMME</v>
      </c>
      <c r="L18" s="279" t="str">
        <f>IFERROR(__xludf.DUMMYFUNCTION("""COMPUTED_VALUE"""),"https://vt.tiktok.com/ZSxQ2FvQY/")</f>
        <v>https://vt.tiktok.com/ZSxQ2FvQY/</v>
      </c>
      <c r="M18" s="464" t="str">
        <f>IFERROR(__xludf.DUMMYFUNCTION("""COMPUTED_VALUE"""),"KIMME")</f>
        <v>KIMME</v>
      </c>
      <c r="N18" s="279" t="str">
        <f>IFERROR(__xludf.DUMMYFUNCTION("""COMPUTED_VALUE"""),"https://vt.tiktok.com/ZSxVb3eJV/")</f>
        <v>https://vt.tiktok.com/ZSxVb3eJV/</v>
      </c>
      <c r="O18" s="464" t="str">
        <f>IFERROR(__xludf.DUMMYFUNCTION("""COMPUTED_VALUE"""),"KIMME")</f>
        <v>KIMME</v>
      </c>
      <c r="P18" s="17" t="str">
        <f>IFERROR(__xludf.DUMMYFUNCTION("""COMPUTED_VALUE"""),"⁠https://vt.tiktok.com/ZSxVbtQSU/")</f>
        <v>⁠https://vt.tiktok.com/ZSxVbtQSU/</v>
      </c>
    </row>
    <row r="19">
      <c r="A19" s="255" t="str">
        <f>IFERROR(__xludf.DUMMYFUNCTION("""COMPUTED_VALUE"""),"MICRO")</f>
        <v>MICRO</v>
      </c>
      <c r="B19" s="23" t="str">
        <f>IFERROR(__xludf.DUMMYFUNCTION("""COMPUTED_VALUE"""),"fnuri")</f>
        <v>fnuri</v>
      </c>
      <c r="C19" s="257" t="str">
        <f>IFERROR(__xludf.DUMMYFUNCTION("""COMPUTED_VALUE"""),"https://www.tiktok.com/@fnuri")</f>
        <v>https://www.tiktok.com/@fnuri</v>
      </c>
      <c r="D19" s="465">
        <f>IFERROR(__xludf.DUMMYFUNCTION("""COMPUTED_VALUE"""),8.2267260454E10)</f>
        <v>82267260454</v>
      </c>
      <c r="E19" s="258">
        <f>IFERROR(__xludf.DUMMYFUNCTION("""COMPUTED_VALUE"""),0.0)</f>
        <v>0</v>
      </c>
      <c r="F19" s="25">
        <f>IFERROR(__xludf.DUMMYFUNCTION("""COMPUTED_VALUE"""),4.0)</f>
        <v>4</v>
      </c>
      <c r="G19" s="17" t="str">
        <f>IFERROR(__xludf.DUMMYFUNCTION("""COMPUTED_VALUE"""),"Sabun batang 1 Box ( 2 PCS )")</f>
        <v>Sabun batang 1 Box ( 2 PCS )</v>
      </c>
      <c r="H19" s="463" t="str">
        <f>IFERROR(__xludf.DUMMYFUNCTION("""COMPUTED_VALUE"""),"Sampai")</f>
        <v>Sampai</v>
      </c>
      <c r="I19" s="464" t="str">
        <f>IFERROR(__xludf.DUMMYFUNCTION("""COMPUTED_VALUE"""),"KIMME")</f>
        <v>KIMME</v>
      </c>
      <c r="J19" s="279" t="str">
        <f>IFERROR(__xludf.DUMMYFUNCTION("""COMPUTED_VALUE"""),"https://vt.tiktok.com/ZSmknpYh5/")</f>
        <v>https://vt.tiktok.com/ZSmknpYh5/</v>
      </c>
      <c r="K19" s="464" t="str">
        <f>IFERROR(__xludf.DUMMYFUNCTION("""COMPUTED_VALUE"""),"KIMME")</f>
        <v>KIMME</v>
      </c>
      <c r="L19" s="279" t="str">
        <f>IFERROR(__xludf.DUMMYFUNCTION("""COMPUTED_VALUE"""),"https://vt.tiktok.com/ZSmknpYh5/")</f>
        <v>https://vt.tiktok.com/ZSmknpYh5/</v>
      </c>
      <c r="M19" s="464" t="str">
        <f>IFERROR(__xludf.DUMMYFUNCTION("""COMPUTED_VALUE"""),"KIMME")</f>
        <v>KIMME</v>
      </c>
      <c r="N19" s="279" t="str">
        <f>IFERROR(__xludf.DUMMYFUNCTION("""COMPUTED_VALUE"""),"https://vt.tiktok.com/ZSuSHyEwq/")</f>
        <v>https://vt.tiktok.com/ZSuSHyEwq/</v>
      </c>
      <c r="O19" s="464" t="str">
        <f>IFERROR(__xludf.DUMMYFUNCTION("""COMPUTED_VALUE"""),"KIMME")</f>
        <v>KIMME</v>
      </c>
      <c r="P19" s="279" t="str">
        <f>IFERROR(__xludf.DUMMYFUNCTION("""COMPUTED_VALUE"""),"https://www.tiktok.com/@fnuri/video/7607058057046035713?is_from_webapp=1&amp;sender_device=pc")</f>
        <v>https://www.tiktok.com/@fnuri/video/7607058057046035713?is_from_webapp=1&amp;sender_device=pc</v>
      </c>
    </row>
    <row r="20">
      <c r="A20" s="255" t="str">
        <f>IFERROR(__xludf.DUMMYFUNCTION("""COMPUTED_VALUE"""),"MACRO")</f>
        <v>MACRO</v>
      </c>
      <c r="B20" s="466" t="str">
        <f>IFERROR(__xludf.DUMMYFUNCTION("""COMPUTED_VALUE"""),"zulfakafilah_ ")</f>
        <v>zulfakafilah_ </v>
      </c>
      <c r="C20" s="257" t="str">
        <f>IFERROR(__xludf.DUMMYFUNCTION("""COMPUTED_VALUE"""),"https://www.tiktok.com/@zulfakafilah_ ")</f>
        <v>https://www.tiktok.com/@zulfakafilah_ </v>
      </c>
      <c r="D20" s="467">
        <f>IFERROR(__xludf.DUMMYFUNCTION("""COMPUTED_VALUE"""),8.5706727552E10)</f>
        <v>85706727552</v>
      </c>
      <c r="E20" s="258">
        <f>IFERROR(__xludf.DUMMYFUNCTION("""COMPUTED_VALUE"""),0.0)</f>
        <v>0</v>
      </c>
      <c r="F20" s="25">
        <f>IFERROR(__xludf.DUMMYFUNCTION("""COMPUTED_VALUE"""),4.0)</f>
        <v>4</v>
      </c>
      <c r="G20" s="17" t="str">
        <f>IFERROR(__xludf.DUMMYFUNCTION("""COMPUTED_VALUE"""),"Sabun batang 1 Box ( 2 PCS )")</f>
        <v>Sabun batang 1 Box ( 2 PCS )</v>
      </c>
      <c r="H20" s="463" t="str">
        <f>IFERROR(__xludf.DUMMYFUNCTION("""COMPUTED_VALUE"""),"Sampai")</f>
        <v>Sampai</v>
      </c>
      <c r="I20" s="464" t="str">
        <f>IFERROR(__xludf.DUMMYFUNCTION("""COMPUTED_VALUE"""),"KIMME")</f>
        <v>KIMME</v>
      </c>
      <c r="J20" s="279" t="str">
        <f>IFERROR(__xludf.DUMMYFUNCTION("""COMPUTED_VALUE"""),"https://vt.tiktok.com/ZSmQy69Vf/")</f>
        <v>https://vt.tiktok.com/ZSmQy69Vf/</v>
      </c>
      <c r="K20" s="464" t="str">
        <f>IFERROR(__xludf.DUMMYFUNCTION("""COMPUTED_VALUE"""),"KIMME")</f>
        <v>KIMME</v>
      </c>
      <c r="L20" s="279" t="str">
        <f>IFERROR(__xludf.DUMMYFUNCTION("""COMPUTED_VALUE"""),"https://vt.tiktok.com/ZSuDjex1r/")</f>
        <v>https://vt.tiktok.com/ZSuDjex1r/</v>
      </c>
      <c r="M20" s="464" t="str">
        <f>IFERROR(__xludf.DUMMYFUNCTION("""COMPUTED_VALUE"""),"KIMME")</f>
        <v>KIMME</v>
      </c>
      <c r="N20" s="279" t="str">
        <f>IFERROR(__xludf.DUMMYFUNCTION("""COMPUTED_VALUE"""),"https://www.tiktok.com/@nina_kadier/video/7629280883777834247?_r=1&amp;u_code=d9b9ld57347i92&amp;region=&amp;mid=7629280923233635093&amp;preview_pb=0&amp;sharer_language=&amp;_d=0&amp;ec_shared_reflux_dynamic_params=%7B%22placeholder_material_id%22%3A%227629280883777834247%22%2C%22p"&amp;"laceholder_origin_cover%22%3A%22https%253A%252F%252Fp16-common-sign.tiktokcdn.com%252Ftos-alisg-p-0037%252FowSjawIjTa3oQg4pIfsRpZAQGeAsLDCSWCeTUQ~tplv-tiktokx-origin.jpeg%253Fdr%253D14572%2526refresh_token%253D0331b9b9%2526x-expires%253D1808208000%2526x-s"&amp;"ignature%253Dr8q29aZp%25252FiUNIBGmbrkvXUyxcvE%25253D%2526t%253D4d5b0474%2526ps%253D13740610%2526shp%253Dd05b14bd%2526shcp%253D34ff8df6%2526idc%253Dmy3%2526s%253DTIKTOK_AFFILIATE_VIRAL_VIDEO%22%2C%22placeholder_product_id%22%3A%221729427766722726591%22%2C"&amp;"%22placeholder_video_id%22%3A%227629280883777834247%22%7D&amp;ec_shared_reflux_scene=shop_tab_feed&amp;share_item_id=7629280883777834247&amp;source=h5_t")</f>
        <v>https://www.tiktok.com/@nina_kadier/video/7629280883777834247?_r=1&amp;u_code=d9b9ld57347i92&amp;region=&amp;mid=7629280923233635093&amp;preview_pb=0&amp;sharer_language=&amp;_d=0&amp;ec_shared_reflux_dynamic_params=%7B%22placeholder_material_id%22%3A%227629280883777834247%22%2C%22placeholder_origin_cover%22%3A%22https%253A%252F%252Fp16-common-sign.tiktokcdn.com%252Ftos-alisg-p-0037%252FowSjawIjTa3oQg4pIfsRpZAQGeAsLDCSWCeTUQ~tplv-tiktokx-origin.jpeg%253Fdr%253D14572%2526refresh_token%253D0331b9b9%2526x-expires%253D1808208000%2526x-signature%253Dr8q29aZp%25252FiUNIBGmbrkvXUyxcvE%25253D%2526t%253D4d5b0474%2526ps%253D13740610%2526shp%253Dd05b14bd%2526shcp%253D34ff8df6%2526idc%253Dmy3%2526s%253DTIKTOK_AFFILIATE_VIRAL_VIDEO%22%2C%22placeholder_product_id%22%3A%221729427766722726591%22%2C%22placeholder_video_id%22%3A%227629280883777834247%22%7D&amp;ec_shared_reflux_scene=shop_tab_feed&amp;share_item_id=7629280883777834247&amp;source=h5_t</v>
      </c>
      <c r="O20" s="464" t="str">
        <f>IFERROR(__xludf.DUMMYFUNCTION("""COMPUTED_VALUE"""),"KIMME")</f>
        <v>KIMME</v>
      </c>
      <c r="P20" s="279" t="str">
        <f>IFERROR(__xludf.DUMMYFUNCTION("""COMPUTED_VALUE"""),"https://www.tiktok.com/@nina_kadier/video/7629944232266059026?_d=0&amp;_r=1&amp;ec_shared_reflux_dynamic_params=%7B%22placeholder_material_id%22%3A%227629944232266059026%22%2C%22placeholder_origin_cover%22%3A%22https%253A%252F%252Fp19-common-sign.tiktokcdn.com%25"&amp;"2Ftos-alisg-p-0037%252FoE3LQoQMP28DZLRCATgGIjWQeoWHejAxfbCMTA~tplv-tiktokx-origin.jpeg%253Fdr%253D14572%2526refresh_token%253Db35c095b%2526x-expires%253D1808208000%2526x-signature%253DvVFjAKOWYAD5KWxa9SEdXzgBtsM%25253D%2526t%253D4d5b0474%2526ps%253D137406"&amp;"10%2526shp%253Dd05b14bd%2526shcp%253D34ff8df6%2526idc%253Dmy3%2526s%253DTIKTOK_AFFILIATE_VIRAL_VIDEO%22%2C%22placeholder_product_id%22%3A%221729427766722726591%22%2C%22placeholder_video_id%22%3A%227629944232266059026%22%7D&amp;ec_shared_reflux_scene=shop_tab_"&amp;"feed&amp;mid=7629944269096110856&amp;preview_pb=0&amp;region=&amp;share_item_id=7629944232266059026&amp;sharer_language=&amp;source=h5_t&amp;u_code=d9b9ld57347i92")</f>
        <v>https://www.tiktok.com/@nina_kadier/video/7629944232266059026?_d=0&amp;_r=1&amp;ec_shared_reflux_dynamic_params=%7B%22placeholder_material_id%22%3A%227629944232266059026%22%2C%22placeholder_origin_cover%22%3A%22https%253A%252F%252Fp19-common-sign.tiktokcdn.com%252Ftos-alisg-p-0037%252FoE3LQoQMP28DZLRCATgGIjWQeoWHejAxfbCMTA~tplv-tiktokx-origin.jpeg%253Fdr%253D14572%2526refresh_token%253Db35c095b%2526x-expires%253D1808208000%2526x-signature%253DvVFjAKOWYAD5KWxa9SEdXzgBtsM%25253D%2526t%253D4d5b0474%2526ps%253D13740610%2526shp%253Dd05b14bd%2526shcp%253D34ff8df6%2526idc%253Dmy3%2526s%253DTIKTOK_AFFILIATE_VIRAL_VIDEO%22%2C%22placeholder_product_id%22%3A%221729427766722726591%22%2C%22placeholder_video_id%22%3A%227629944232266059026%22%7D&amp;ec_shared_reflux_scene=shop_tab_feed&amp;mid=7629944269096110856&amp;preview_pb=0&amp;region=&amp;share_item_id=7629944232266059026&amp;sharer_language=&amp;source=h5_t&amp;u_code=d9b9ld57347i92</v>
      </c>
    </row>
    <row r="21">
      <c r="A21" s="255" t="str">
        <f>IFERROR(__xludf.DUMMYFUNCTION("""COMPUTED_VALUE"""),"MICRO")</f>
        <v>MICRO</v>
      </c>
      <c r="B21" s="23" t="str">
        <f>IFERROR(__xludf.DUMMYFUNCTION("""COMPUTED_VALUE"""),"fitririfit")</f>
        <v>fitririfit</v>
      </c>
      <c r="C21" s="257" t="str">
        <f>IFERROR(__xludf.DUMMYFUNCTION("""COMPUTED_VALUE"""),"https://www.tiktok.com/@fitririfit")</f>
        <v>https://www.tiktok.com/@fitririfit</v>
      </c>
      <c r="D21" s="270">
        <f>IFERROR(__xludf.DUMMYFUNCTION("""COMPUTED_VALUE"""),8.1377850884E10)</f>
        <v>81377850884</v>
      </c>
      <c r="E21" s="258">
        <f>IFERROR(__xludf.DUMMYFUNCTION("""COMPUTED_VALUE"""),0.0)</f>
        <v>0</v>
      </c>
      <c r="F21" s="270">
        <f>IFERROR(__xludf.DUMMYFUNCTION("""COMPUTED_VALUE"""),1.0)</f>
        <v>1</v>
      </c>
      <c r="G21" s="17" t="str">
        <f>IFERROR(__xludf.DUMMYFUNCTION("""COMPUTED_VALUE"""),"Sabun batang 1 Box ( 2 PCS )")</f>
        <v>Sabun batang 1 Box ( 2 PCS )</v>
      </c>
      <c r="H21" s="463" t="str">
        <f>IFERROR(__xludf.DUMMYFUNCTION("""COMPUTED_VALUE"""),"Sampai")</f>
        <v>Sampai</v>
      </c>
      <c r="I21" s="464" t="str">
        <f>IFERROR(__xludf.DUMMYFUNCTION("""COMPUTED_VALUE"""),"KIMME")</f>
        <v>KIMME</v>
      </c>
      <c r="J21" s="279" t="str">
        <f>IFERROR(__xludf.DUMMYFUNCTION("""COMPUTED_VALUE"""),"https://vt.tiktok.com/ZSHEp1JJY/")</f>
        <v>https://vt.tiktok.com/ZSHEp1JJY/</v>
      </c>
      <c r="K21" s="464" t="str">
        <f>IFERROR(__xludf.DUMMYFUNCTION("""COMPUTED_VALUE"""),"KIMME")</f>
        <v>KIMME</v>
      </c>
      <c r="L21" s="279" t="str">
        <f>IFERROR(__xludf.DUMMYFUNCTION("""COMPUTED_VALUE"""),"https://www.tiktok.com/@produkindonesiayaa/video/7635922203099319570?_r=1&amp;u_code=e8ciej6cg6bd8j&amp;region=&amp;mid=7635922238830873362&amp;preview_pb=0&amp;sharer_language=&amp;_d=0&amp;ec_shared_reflux_dynamic_params=%7B%22placeholder_material_id%22%3A%227635922203099319570%22"&amp;"%2C%22placeholder_origin_cover%22%3A%22https%253A%252F%252Fp16-common-sign.tiktokcdn.com%252Ftos-alisg-p-0037%252FocfgCMv0AfeeEbxmkZBAwf0ABfNnOugOeII3LAx~tplv-tiktokx-origin.jpeg%253Fdr%253D14572%2526refresh_token%253D2329d445%2526x-expires%253D1809507600"&amp;"%2526x-signature%253DiWz29WIC0Y94Zmdzyq7hl9PniMQ%25253D%2526t%253D4d5b0474%2526ps%253D13740610%2526shp%253Dd05b14bd%2526shcp%253D34ff8df6%2526idc%253Dmy%2526s%253DTIKTOK_AFFILIATE_VIRAL_VIDEO%22%2C%22placeholder_product_id%22%3A%221729427766722726591%22%2"&amp;"C%22placeholder_video_id%22%3A%227635922203099319570%22%7D&amp;ec_shared_reflux_scene=shop_tab_feed&amp;share_item_id=7635922203099319570&amp;source=h5_t")</f>
        <v>https://www.tiktok.com/@produkindonesiayaa/video/7635922203099319570?_r=1&amp;u_code=e8ciej6cg6bd8j&amp;region=&amp;mid=7635922238830873362&amp;preview_pb=0&amp;sharer_language=&amp;_d=0&amp;ec_shared_reflux_dynamic_params=%7B%22placeholder_material_id%22%3A%227635922203099319570%22%2C%22placeholder_origin_cover%22%3A%22https%253A%252F%252Fp16-common-sign.tiktokcdn.com%252Ftos-alisg-p-0037%252FocfgCMv0AfeeEbxmkZBAwf0ABfNnOugOeII3LAx~tplv-tiktokx-origin.jpeg%253Fdr%253D14572%2526refresh_token%253D2329d445%2526x-expires%253D1809507600%2526x-signature%253DiWz29WIC0Y94Zmdzyq7hl9PniMQ%25253D%2526t%253D4d5b0474%2526ps%253D13740610%2526shp%253Dd05b14bd%2526shcp%253D34ff8df6%2526idc%253Dmy%2526s%253DTIKTOK_AFFILIATE_VIRAL_VIDEO%22%2C%22placeholder_product_id%22%3A%221729427766722726591%22%2C%22placeholder_video_id%22%3A%227635922203099319570%22%7D&amp;ec_shared_reflux_scene=shop_tab_feed&amp;share_item_id=7635922203099319570&amp;source=h5_t</v>
      </c>
      <c r="M21" s="464" t="str">
        <f>IFERROR(__xludf.DUMMYFUNCTION("""COMPUTED_VALUE"""),"KIMME")</f>
        <v>KIMME</v>
      </c>
      <c r="N21" s="279" t="str">
        <f>IFERROR(__xludf.DUMMYFUNCTION("""COMPUTED_VALUE"""),"https://www.tiktok.com/@produkindonesiayaa/video/7635911886793428231?_r=1&amp;u_code=e8ciej6cg6bd8j&amp;region=&amp;mid=7635911937184434952&amp;preview_pb=0&amp;sharer_language=&amp;_d=0&amp;ec_shared_reflux_dynamic_params=%7B%22placeholder_material_id%22%3A%227635911886793428231%22"&amp;"%2C%22placeholder_origin_cover%22%3A%22https%253A%252F%252Fp16-common-sign.tiktokcdn.com%252Ftos-alisg-p-0037%252FowXUQoLKCe4L6944DCGAQp8yj1TANCfIqGI7eG~tplv-tiktokx-origin.jpeg%253Fdr%253D14572%2526refresh_token%253D868d346d%2526x-expires%253D1809507600%"&amp;"2526x-signature%253D2ec9hCsgLDidjb3dqifntbKywW4%25253D%2526t%253D4d5b0474%2526ps%253D13740610%2526shp%253Dd05b14bd%2526shcp%253D34ff8df6%2526idc%253Dmy%2526s%253DTIKTOK_AFFILIATE_VIRAL_VIDEO%22%2C%22placeholder_product_id%22%3A%221729427766722726591%22%2C"&amp;"%22placeholder_video_id%22%3A%227635911886793428231%22%7D&amp;ec_shared_reflux_scene=shop_tab_feed&amp;share_item_id=7635911886793428231&amp;source=h5_t")</f>
        <v>https://www.tiktok.com/@produkindonesiayaa/video/7635911886793428231?_r=1&amp;u_code=e8ciej6cg6bd8j&amp;region=&amp;mid=7635911937184434952&amp;preview_pb=0&amp;sharer_language=&amp;_d=0&amp;ec_shared_reflux_dynamic_params=%7B%22placeholder_material_id%22%3A%227635911886793428231%22%2C%22placeholder_origin_cover%22%3A%22https%253A%252F%252Fp16-common-sign.tiktokcdn.com%252Ftos-alisg-p-0037%252FowXUQoLKCe4L6944DCGAQp8yj1TANCfIqGI7eG~tplv-tiktokx-origin.jpeg%253Fdr%253D14572%2526refresh_token%253D868d346d%2526x-expires%253D1809507600%2526x-signature%253D2ec9hCsgLDidjb3dqifntbKywW4%25253D%2526t%253D4d5b0474%2526ps%253D13740610%2526shp%253Dd05b14bd%2526shcp%253D34ff8df6%2526idc%253Dmy%2526s%253DTIKTOK_AFFILIATE_VIRAL_VIDEO%22%2C%22placeholder_product_id%22%3A%221729427766722726591%22%2C%22placeholder_video_id%22%3A%227635911886793428231%22%7D&amp;ec_shared_reflux_scene=shop_tab_feed&amp;share_item_id=7635911886793428231&amp;source=h5_t</v>
      </c>
      <c r="O21" s="464"/>
      <c r="P21" s="279" t="str">
        <f>IFERROR(__xludf.DUMMYFUNCTION("""COMPUTED_VALUE"""),"https://vt.tiktok.com/ZS9XqR7CF/")</f>
        <v>https://vt.tiktok.com/ZS9XqR7CF/</v>
      </c>
    </row>
    <row r="22">
      <c r="A22" s="255" t="str">
        <f>IFERROR(__xludf.DUMMYFUNCTION("""COMPUTED_VALUE"""),"MICRO")</f>
        <v>MICRO</v>
      </c>
      <c r="B22" s="23" t="str">
        <f>IFERROR(__xludf.DUMMYFUNCTION("""COMPUTED_VALUE"""),"marifatul_mahmudah3")</f>
        <v>marifatul_mahmudah3</v>
      </c>
      <c r="C22" s="257" t="str">
        <f>IFERROR(__xludf.DUMMYFUNCTION("""COMPUTED_VALUE"""),"https://www.tiktok.com/@marifatul_mahmudah3")</f>
        <v>https://www.tiktok.com/@marifatul_mahmudah3</v>
      </c>
      <c r="D22" s="270">
        <f>IFERROR(__xludf.DUMMYFUNCTION("""COMPUTED_VALUE"""),8.8225096947E10)</f>
        <v>88225096947</v>
      </c>
      <c r="E22" s="271">
        <f>IFERROR(__xludf.DUMMYFUNCTION("""COMPUTED_VALUE"""),0.0)</f>
        <v>0</v>
      </c>
      <c r="F22" s="270">
        <f>IFERROR(__xludf.DUMMYFUNCTION("""COMPUTED_VALUE"""),2.0)</f>
        <v>2</v>
      </c>
      <c r="G22" s="17" t="str">
        <f>IFERROR(__xludf.DUMMYFUNCTION("""COMPUTED_VALUE"""),"Sabun batang 1 Box ( 2 PCS )")</f>
        <v>Sabun batang 1 Box ( 2 PCS )</v>
      </c>
      <c r="H22" s="463" t="str">
        <f>IFERROR(__xludf.DUMMYFUNCTION("""COMPUTED_VALUE"""),"Sampai")</f>
        <v>Sampai</v>
      </c>
      <c r="I22" s="464" t="str">
        <f>IFERROR(__xludf.DUMMYFUNCTION("""COMPUTED_VALUE"""),"KIMME")</f>
        <v>KIMME</v>
      </c>
      <c r="J22" s="279" t="str">
        <f>IFERROR(__xludf.DUMMYFUNCTION("""COMPUTED_VALUE"""),"https://vt.tiktok.com/ZSmATVF1p/")</f>
        <v>https://vt.tiktok.com/ZSmATVF1p/</v>
      </c>
      <c r="K22" s="464" t="str">
        <f>IFERROR(__xludf.DUMMYFUNCTION("""COMPUTED_VALUE"""),"KIMME")</f>
        <v>KIMME</v>
      </c>
      <c r="L22" s="279" t="str">
        <f>IFERROR(__xludf.DUMMYFUNCTION("""COMPUTED_VALUE"""),"https://vt.tiktok.com/ZSmvbJP3b/")</f>
        <v>https://vt.tiktok.com/ZSmvbJP3b/</v>
      </c>
      <c r="M22" s="464" t="str">
        <f>IFERROR(__xludf.DUMMYFUNCTION("""COMPUTED_VALUE"""),"KIMME")</f>
        <v>KIMME</v>
      </c>
      <c r="N22" s="279" t="str">
        <f>IFERROR(__xludf.DUMMYFUNCTION("""COMPUTED_VALUE"""),"https://www.tiktok.com/@sunja.96/video/7635484727541075220?_r=1&amp;u_code=dc098fbgha09m9&amp;region=&amp;mid=7635484773557357328&amp;preview_pb=0&amp;sharer_language=&amp;_d=0&amp;ec_shared_reflux_dynamic_params=%7B%22placeholder_material_id%22%3A%227635484727541075220%22%2C%22plac"&amp;"eholder_origin_cover%22%3A%22https%253A%252F%252Fp16-common-sign.tiktokcdn.com%252Ftos-alisg-p-0037%252FoYGt2nsFf1NgRUvGuhAJfmAwEwA4pvHauf2BeY~tplv-tiktokx-origin.jpeg%253Fdr%253D14572%2526refresh_token%253D84c9e4b2%2526x-expires%253D1809507600%2526x-sign"&amp;"ature%253DNo8XNv%25252Bjn8rjMokdSq7hahJVF%25252BU%25253D%2526t%253D4d5b0474%2526ps%253D13740610%2526shp%253Dd05b14bd%2526shcp%253D34ff8df6%2526idc%253Dmy%2526s%253DTIKTOK_AFFILIATE_VIRAL_VIDEO%22%2C%22placeholder_product_id%22%3A%221729427766722726591%22%"&amp;"2C%22placeholder_video_id%22%3A%227635484727541075220%22%7D&amp;ec_shared_reflux_scene=shop_tab_feed&amp;share_item_id=7635484727541075220&amp;source=h5_t")</f>
        <v>https://www.tiktok.com/@sunja.96/video/7635484727541075220?_r=1&amp;u_code=dc098fbgha09m9&amp;region=&amp;mid=7635484773557357328&amp;preview_pb=0&amp;sharer_language=&amp;_d=0&amp;ec_shared_reflux_dynamic_params=%7B%22placeholder_material_id%22%3A%227635484727541075220%22%2C%22placeholder_origin_cover%22%3A%22https%253A%252F%252Fp16-common-sign.tiktokcdn.com%252Ftos-alisg-p-0037%252FoYGt2nsFf1NgRUvGuhAJfmAwEwA4pvHauf2BeY~tplv-tiktokx-origin.jpeg%253Fdr%253D14572%2526refresh_token%253D84c9e4b2%2526x-expires%253D1809507600%2526x-signature%253DNo8XNv%25252Bjn8rjMokdSq7hahJVF%25252BU%25253D%2526t%253D4d5b0474%2526ps%253D13740610%2526shp%253Dd05b14bd%2526shcp%253D34ff8df6%2526idc%253Dmy%2526s%253DTIKTOK_AFFILIATE_VIRAL_VIDEO%22%2C%22placeholder_product_id%22%3A%221729427766722726591%22%2C%22placeholder_video_id%22%3A%227635484727541075220%22%7D&amp;ec_shared_reflux_scene=shop_tab_feed&amp;share_item_id=7635484727541075220&amp;source=h5_t</v>
      </c>
      <c r="O22" s="464"/>
      <c r="P22" s="279" t="str">
        <f>IFERROR(__xludf.DUMMYFUNCTION("""COMPUTED_VALUE"""),"https://www.tiktok.com/@sunja.96/video/7635183735905799445?_r=1&amp;u_code=dc098fbgha09m9&amp;region=&amp;mid=7635183789718702868&amp;preview_pb=0&amp;sharer_language=&amp;_d=0&amp;ec_shared_reflux_dynamic_params=%7B%22placeholder_material_id%22%3A%227635183735905799445%22%2C%22plac"&amp;"eholder_origin_cover%22%3A%22https%253A%252F%252Fp16-sign-sg.tiktokcdn.com%252Ftos-alisg-p-0037%252FooBdAnJ9ninPsEZBIpiB6zfII4XEgeAaBc1LNR~tplv-tiktokx-origin.jpeg%253Fdr%253D14572%2526refresh_token%253D5b7ca8fb%2526x-expires%253D1809507600%2526x-signatur"&amp;"e%253DRVRCFixL9zBRU3xkwGNrWbKGGf0%25253D%2526t%253D4d5b0474%2526ps%253D13740610%2526shp%253Dd05b14bd%2526shcp%253D34ff8df6%2526idc%253Dmy%2526s%253DTIKTOK_AFFILIATE_VIRAL_VIDEO%22%2C%22placeholder_product_id%22%3A%221729427766722726591%22%2C%22placeholder"&amp;"_video_id%22%3A%227635183735905799445%22%7D&amp;ec_shared_reflux_scene=shop_tab_feed&amp;share_item_id=7635183735905799445&amp;source=h5_t")</f>
        <v>https://www.tiktok.com/@sunja.96/video/7635183735905799445?_r=1&amp;u_code=dc098fbgha09m9&amp;region=&amp;mid=7635183789718702868&amp;preview_pb=0&amp;sharer_language=&amp;_d=0&amp;ec_shared_reflux_dynamic_params=%7B%22placeholder_material_id%22%3A%227635183735905799445%22%2C%22placeholder_origin_cover%22%3A%22https%253A%252F%252Fp16-sign-sg.tiktokcdn.com%252Ftos-alisg-p-0037%252FooBdAnJ9ninPsEZBIpiB6zfII4XEgeAaBc1LNR~tplv-tiktokx-origin.jpeg%253Fdr%253D14572%2526refresh_token%253D5b7ca8fb%2526x-expires%253D1809507600%2526x-signature%253DRVRCFixL9zBRU3xkwGNrWbKGGf0%25253D%2526t%253D4d5b0474%2526ps%253D13740610%2526shp%253Dd05b14bd%2526shcp%253D34ff8df6%2526idc%253Dmy%2526s%253DTIKTOK_AFFILIATE_VIRAL_VIDEO%22%2C%22placeholder_product_id%22%3A%221729427766722726591%22%2C%22placeholder_video_id%22%3A%227635183735905799445%22%7D&amp;ec_shared_reflux_scene=shop_tab_feed&amp;share_item_id=7635183735905799445&amp;source=h5_t</v>
      </c>
    </row>
    <row r="23">
      <c r="A23" s="255" t="str">
        <f>IFERROR(__xludf.DUMMYFUNCTION("""COMPUTED_VALUE"""),"MICRO")</f>
        <v>MICRO</v>
      </c>
      <c r="B23" s="23" t="str">
        <f>IFERROR(__xludf.DUMMYFUNCTION("""COMPUTED_VALUE"""),"sugarbaby9_")</f>
        <v>sugarbaby9_</v>
      </c>
      <c r="C23" s="257" t="str">
        <f>IFERROR(__xludf.DUMMYFUNCTION("""COMPUTED_VALUE"""),"https://www.tiktok.com/@sugarbaby9_")</f>
        <v>https://www.tiktok.com/@sugarbaby9_</v>
      </c>
      <c r="D23" s="270">
        <f>IFERROR(__xludf.DUMMYFUNCTION("""COMPUTED_VALUE"""),8.57673501E10)</f>
        <v>85767350100</v>
      </c>
      <c r="E23" s="271">
        <f>IFERROR(__xludf.DUMMYFUNCTION("""COMPUTED_VALUE"""),0.0)</f>
        <v>0</v>
      </c>
      <c r="F23" s="270">
        <f>IFERROR(__xludf.DUMMYFUNCTION("""COMPUTED_VALUE"""),2.0)</f>
        <v>2</v>
      </c>
      <c r="G23" s="17" t="str">
        <f>IFERROR(__xludf.DUMMYFUNCTION("""COMPUTED_VALUE"""),"Sabun batang 1 Box ( 2 PCS )")</f>
        <v>Sabun batang 1 Box ( 2 PCS )</v>
      </c>
      <c r="H23" s="463" t="str">
        <f>IFERROR(__xludf.DUMMYFUNCTION("""COMPUTED_VALUE"""),"Sampai")</f>
        <v>Sampai</v>
      </c>
      <c r="I23" s="464" t="str">
        <f>IFERROR(__xludf.DUMMYFUNCTION("""COMPUTED_VALUE"""),"KIMME")</f>
        <v>KIMME</v>
      </c>
      <c r="J23" s="279" t="str">
        <f>IFERROR(__xludf.DUMMYFUNCTION("""COMPUTED_VALUE"""),"https://vt.tiktok.com/ZSu1eV1dt/")</f>
        <v>https://vt.tiktok.com/ZSu1eV1dt/</v>
      </c>
      <c r="K23" s="464" t="str">
        <f>IFERROR(__xludf.DUMMYFUNCTION("""COMPUTED_VALUE"""),"KIMME")</f>
        <v>KIMME</v>
      </c>
      <c r="L23" s="279" t="str">
        <f>IFERROR(__xludf.DUMMYFUNCTION("""COMPUTED_VALUE"""),"https://vt.tiktok.com/ZSH9Ma44J/")</f>
        <v>https://vt.tiktok.com/ZSH9Ma44J/</v>
      </c>
      <c r="M23" s="464" t="str">
        <f>IFERROR(__xludf.DUMMYFUNCTION("""COMPUTED_VALUE"""),"KIMME")</f>
        <v>KIMME</v>
      </c>
      <c r="N23" s="279" t="str">
        <f>IFERROR(__xludf.DUMMYFUNCTION("""COMPUTED_VALUE"""),"https://vt.tiktok.com/ZS9RSVay1/")</f>
        <v>https://vt.tiktok.com/ZS9RSVay1/</v>
      </c>
      <c r="O23" s="464"/>
      <c r="P23" s="279" t="str">
        <f>IFERROR(__xludf.DUMMYFUNCTION("""COMPUTED_VALUE"""),"https://www.tiktok.com/@sunja.96/video/7634784255058414869?_r=1&amp;u_code=dc098fbgha09m9&amp;region=&amp;mid=7634784287371447058&amp;preview_pb=0&amp;sharer_language=&amp;_d=0&amp;ec_shared_reflux_dynamic_params=%7B%22placeholder_material_id%22%3A%227634784255058414869%22%2C%22plac"&amp;"eholder_origin_cover%22%3A%22https%253A%252F%252Fp16-sign-sg.tiktokcdn.com%252Ftos-alisg-p-0037%252FoAhpciBPREB2jIdX20iIwnBAMBdg94OCepfS0T~tplv-tiktokx-origin.jpeg%253Fdr%253D14572%2526refresh_token%253D8fe09b5a%2526x-expires%253D1809507600%2526x-signatur"&amp;"e%253DNfqpinJvnLDV674KqByDVUr14Fo%25253D%2526t%253D4d5b0474%2526ps%253D13740610%2526shp%253Dd05b14bd%2526shcp%253D34ff8df6%2526idc%253Dmy%2526s%253DTIKTOK_AFFILIATE_VIRAL_VIDEO%22%2C%22placeholder_product_id%22%3A%221729427766722726591%22%2C%22placeholder"&amp;"_video_id%22%3A%227634784255058414869%22%7D&amp;ec_shared_reflux_scene=shop_tab_feed&amp;share_item_id=7634784255058414869&amp;source=h5_t")</f>
        <v>https://www.tiktok.com/@sunja.96/video/7634784255058414869?_r=1&amp;u_code=dc098fbgha09m9&amp;region=&amp;mid=7634784287371447058&amp;preview_pb=0&amp;sharer_language=&amp;_d=0&amp;ec_shared_reflux_dynamic_params=%7B%22placeholder_material_id%22%3A%227634784255058414869%22%2C%22placeholder_origin_cover%22%3A%22https%253A%252F%252Fp16-sign-sg.tiktokcdn.com%252Ftos-alisg-p-0037%252FoAhpciBPREB2jIdX20iIwnBAMBdg94OCepfS0T~tplv-tiktokx-origin.jpeg%253Fdr%253D14572%2526refresh_token%253D8fe09b5a%2526x-expires%253D1809507600%2526x-signature%253DNfqpinJvnLDV674KqByDVUr14Fo%25253D%2526t%253D4d5b0474%2526ps%253D13740610%2526shp%253Dd05b14bd%2526shcp%253D34ff8df6%2526idc%253Dmy%2526s%253DTIKTOK_AFFILIATE_VIRAL_VIDEO%22%2C%22placeholder_product_id%22%3A%221729427766722726591%22%2C%22placeholder_video_id%22%3A%227634784255058414869%22%7D&amp;ec_shared_reflux_scene=shop_tab_feed&amp;share_item_id=7634784255058414869&amp;source=h5_t</v>
      </c>
    </row>
    <row r="24">
      <c r="A24" s="255" t="str">
        <f>IFERROR(__xludf.DUMMYFUNCTION("""COMPUTED_VALUE"""),"MACRO")</f>
        <v>MACRO</v>
      </c>
      <c r="B24" s="23" t="str">
        <f>IFERROR(__xludf.DUMMYFUNCTION("""COMPUTED_VALUE"""),"urnon_")</f>
        <v>urnon_</v>
      </c>
      <c r="C24" s="257" t="str">
        <f>IFERROR(__xludf.DUMMYFUNCTION("""COMPUTED_VALUE"""),"https://www.tiktok.com/@urnon_")</f>
        <v>https://www.tiktok.com/@urnon_</v>
      </c>
      <c r="D24" s="270">
        <f>IFERROR(__xludf.DUMMYFUNCTION("""COMPUTED_VALUE"""),8.124840228E9)</f>
        <v>8124840228</v>
      </c>
      <c r="E24" s="271">
        <f>IFERROR(__xludf.DUMMYFUNCTION("""COMPUTED_VALUE"""),0.0)</f>
        <v>0</v>
      </c>
      <c r="F24" s="270">
        <f>IFERROR(__xludf.DUMMYFUNCTION("""COMPUTED_VALUE"""),1.0)</f>
        <v>1</v>
      </c>
      <c r="G24" s="17" t="str">
        <f>IFERROR(__xludf.DUMMYFUNCTION("""COMPUTED_VALUE"""),"Sabun batang 1 Box ( 2 PCS )")</f>
        <v>Sabun batang 1 Box ( 2 PCS )</v>
      </c>
      <c r="H24" s="463" t="str">
        <f>IFERROR(__xludf.DUMMYFUNCTION("""COMPUTED_VALUE"""),"Sampai")</f>
        <v>Sampai</v>
      </c>
      <c r="I24" s="464" t="str">
        <f>IFERROR(__xludf.DUMMYFUNCTION("""COMPUTED_VALUE"""),"KIMME")</f>
        <v>KIMME</v>
      </c>
      <c r="J24" s="279" t="str">
        <f>IFERROR(__xludf.DUMMYFUNCTION("""COMPUTED_VALUE"""),"https://vt.tiktok.com/ZSHNX6yHE/")</f>
        <v>https://vt.tiktok.com/ZSHNX6yHE/</v>
      </c>
      <c r="K24" s="464" t="str">
        <f>IFERROR(__xludf.DUMMYFUNCTION("""COMPUTED_VALUE"""),"KIMME")</f>
        <v>KIMME</v>
      </c>
      <c r="L24" s="279" t="str">
        <f>IFERROR(__xludf.DUMMYFUNCTION("""COMPUTED_VALUE"""),"https://vt.tiktok.com/ZSxVgeg9E/")</f>
        <v>https://vt.tiktok.com/ZSxVgeg9E/</v>
      </c>
      <c r="M24" s="464" t="str">
        <f>IFERROR(__xludf.DUMMYFUNCTION("""COMPUTED_VALUE"""),"KIMME")</f>
        <v>KIMME</v>
      </c>
      <c r="N24" s="17"/>
      <c r="O24" s="464" t="str">
        <f>IFERROR(__xludf.DUMMYFUNCTION("""COMPUTED_VALUE"""),"KIMME")</f>
        <v>KIMME</v>
      </c>
      <c r="P24" s="17"/>
    </row>
    <row r="25">
      <c r="A25" s="255" t="str">
        <f>IFERROR(__xludf.DUMMYFUNCTION("""COMPUTED_VALUE"""),"MACRO")</f>
        <v>MACRO</v>
      </c>
      <c r="B25" s="23" t="str">
        <f>IFERROR(__xludf.DUMMYFUNCTION("""COMPUTED_VALUE"""),"mutiarabintang.2")</f>
        <v>mutiarabintang.2</v>
      </c>
      <c r="C25" s="257" t="str">
        <f>IFERROR(__xludf.DUMMYFUNCTION("""COMPUTED_VALUE"""),"https://www.tiktok.com/@mutiarabintang.2")</f>
        <v>https://www.tiktok.com/@mutiarabintang.2</v>
      </c>
      <c r="D25" s="270">
        <f>IFERROR(__xludf.DUMMYFUNCTION("""COMPUTED_VALUE"""),8.5363217189E10)</f>
        <v>85363217189</v>
      </c>
      <c r="E25" s="271">
        <f>IFERROR(__xludf.DUMMYFUNCTION("""COMPUTED_VALUE"""),0.0)</f>
        <v>0</v>
      </c>
      <c r="F25" s="270">
        <f>IFERROR(__xludf.DUMMYFUNCTION("""COMPUTED_VALUE"""),4.0)</f>
        <v>4</v>
      </c>
      <c r="G25" s="17" t="str">
        <f>IFERROR(__xludf.DUMMYFUNCTION("""COMPUTED_VALUE"""),"Sabun batang 1 Box ( 2 PCS )")</f>
        <v>Sabun batang 1 Box ( 2 PCS )</v>
      </c>
      <c r="H25" s="463" t="str">
        <f>IFERROR(__xludf.DUMMYFUNCTION("""COMPUTED_VALUE"""),"Sampai")</f>
        <v>Sampai</v>
      </c>
      <c r="I25" s="464" t="str">
        <f>IFERROR(__xludf.DUMMYFUNCTION("""COMPUTED_VALUE"""),"KIMME")</f>
        <v>KIMME</v>
      </c>
      <c r="J25" s="279" t="str">
        <f>IFERROR(__xludf.DUMMYFUNCTION("""COMPUTED_VALUE"""),"https://www.tiktok.com/@liayulianti1278/video/7610755116546673940?is_from_webapp=1&amp;sender_device=pc")</f>
        <v>https://www.tiktok.com/@liayulianti1278/video/7610755116546673940?is_from_webapp=1&amp;sender_device=pc</v>
      </c>
      <c r="K25" s="464" t="str">
        <f>IFERROR(__xludf.DUMMYFUNCTION("""COMPUTED_VALUE"""),"KIMME")</f>
        <v>KIMME</v>
      </c>
      <c r="L25" s="279" t="str">
        <f>IFERROR(__xludf.DUMMYFUNCTION("""COMPUTED_VALUE"""),"https://www.tiktok.com/@liayulianti1278/video/7611915904510594324?is_from_webapp=1&amp;sender_device=pc")</f>
        <v>https://www.tiktok.com/@liayulianti1278/video/7611915904510594324?is_from_webapp=1&amp;sender_device=pc</v>
      </c>
      <c r="M25" s="464" t="str">
        <f>IFERROR(__xludf.DUMMYFUNCTION("""COMPUTED_VALUE"""),"KIMME")</f>
        <v>KIMME</v>
      </c>
      <c r="N25" s="279" t="str">
        <f>IFERROR(__xludf.DUMMYFUNCTION("""COMPUTED_VALUE"""),"https://www.tiktok.com/@liayulianti1278/video/7613287829334002965?is_from_webapp=1&amp;sender_device=pc")</f>
        <v>https://www.tiktok.com/@liayulianti1278/video/7613287829334002965?is_from_webapp=1&amp;sender_device=pc</v>
      </c>
      <c r="O25" s="464" t="str">
        <f>IFERROR(__xludf.DUMMYFUNCTION("""COMPUTED_VALUE"""),"KIMME")</f>
        <v>KIMME</v>
      </c>
      <c r="P25" s="279" t="str">
        <f>IFERROR(__xludf.DUMMYFUNCTION("""COMPUTED_VALUE"""),"https://www.tiktok.com/@liakomalasari15/video/7612191482455379220?is_from_webapp=1&amp;sender_device=pc")</f>
        <v>https://www.tiktok.com/@liakomalasari15/video/7612191482455379220?is_from_webapp=1&amp;sender_device=pc</v>
      </c>
    </row>
    <row r="26">
      <c r="A26" s="255" t="str">
        <f>IFERROR(__xludf.DUMMYFUNCTION("""COMPUTED_VALUE"""),"MICRO")</f>
        <v>MICRO</v>
      </c>
      <c r="B26" s="23" t="str">
        <f>IFERROR(__xludf.DUMMYFUNCTION("""COMPUTED_VALUE"""),"dipiul_")</f>
        <v>dipiul_</v>
      </c>
      <c r="C26" s="257" t="str">
        <f>IFERROR(__xludf.DUMMYFUNCTION("""COMPUTED_VALUE"""),"https://www.tiktok.com/@dipiul_")</f>
        <v>https://www.tiktok.com/@dipiul_</v>
      </c>
      <c r="D26" s="270">
        <f>IFERROR(__xludf.DUMMYFUNCTION("""COMPUTED_VALUE"""),8.950828058E10)</f>
        <v>89508280580</v>
      </c>
      <c r="E26" s="271">
        <f>IFERROR(__xludf.DUMMYFUNCTION("""COMPUTED_VALUE"""),0.0)</f>
        <v>0</v>
      </c>
      <c r="F26" s="270">
        <f>IFERROR(__xludf.DUMMYFUNCTION("""COMPUTED_VALUE"""),4.0)</f>
        <v>4</v>
      </c>
      <c r="G26" s="17" t="str">
        <f>IFERROR(__xludf.DUMMYFUNCTION("""COMPUTED_VALUE"""),"Sabun batang 1 Box ( 2 PCS )")</f>
        <v>Sabun batang 1 Box ( 2 PCS )</v>
      </c>
      <c r="H26" s="463" t="str">
        <f>IFERROR(__xludf.DUMMYFUNCTION("""COMPUTED_VALUE"""),"Sampai")</f>
        <v>Sampai</v>
      </c>
      <c r="I26" s="464" t="str">
        <f>IFERROR(__xludf.DUMMYFUNCTION("""COMPUTED_VALUE"""),"KIMME")</f>
        <v>KIMME</v>
      </c>
      <c r="J26" s="279" t="str">
        <f>IFERROR(__xludf.DUMMYFUNCTION("""COMPUTED_VALUE"""),"https://vt.tiktok.com/ZSmKM63sx/")</f>
        <v>https://vt.tiktok.com/ZSmKM63sx/</v>
      </c>
      <c r="K26" s="464" t="str">
        <f>IFERROR(__xludf.DUMMYFUNCTION("""COMPUTED_VALUE"""),"KIMME")</f>
        <v>KIMME</v>
      </c>
      <c r="L26" s="279" t="str">
        <f>IFERROR(__xludf.DUMMYFUNCTION("""COMPUTED_VALUE"""),"https://vt.tiktok.com/ZSuDNDGGa/")</f>
        <v>https://vt.tiktok.com/ZSuDNDGGa/</v>
      </c>
      <c r="M26" s="464" t="str">
        <f>IFERROR(__xludf.DUMMYFUNCTION("""COMPUTED_VALUE"""),"KIMME")</f>
        <v>KIMME</v>
      </c>
      <c r="N26" s="279" t="str">
        <f>IFERROR(__xludf.DUMMYFUNCTION("""COMPUTED_VALUE"""),"https://vt.tiktok.com/ZSuDNDqM1/")</f>
        <v>https://vt.tiktok.com/ZSuDNDqM1/</v>
      </c>
      <c r="O26" s="464" t="str">
        <f>IFERROR(__xludf.DUMMYFUNCTION("""COMPUTED_VALUE"""),"KIMME")</f>
        <v>KIMME</v>
      </c>
      <c r="P26" s="279" t="str">
        <f>IFERROR(__xludf.DUMMYFUNCTION("""COMPUTED_VALUE"""),"https://vt.tiktok.com/ZSHYbhHTQ/")</f>
        <v>https://vt.tiktok.com/ZSHYbhHTQ/</v>
      </c>
    </row>
    <row r="27">
      <c r="A27" s="255" t="str">
        <f>IFERROR(__xludf.DUMMYFUNCTION("""COMPUTED_VALUE"""),"MICRO")</f>
        <v>MICRO</v>
      </c>
      <c r="B27" s="23" t="str">
        <f>IFERROR(__xludf.DUMMYFUNCTION("""COMPUTED_VALUE"""),"ifanasyiffa")</f>
        <v>ifanasyiffa</v>
      </c>
      <c r="C27" s="257" t="str">
        <f>IFERROR(__xludf.DUMMYFUNCTION("""COMPUTED_VALUE"""),"https://www.tiktok.com/@ifanasyiffa")</f>
        <v>https://www.tiktok.com/@ifanasyiffa</v>
      </c>
      <c r="D27" s="270">
        <f>IFERROR(__xludf.DUMMYFUNCTION("""COMPUTED_VALUE"""),8.3155871008E10)</f>
        <v>83155871008</v>
      </c>
      <c r="E27" s="271">
        <f>IFERROR(__xludf.DUMMYFUNCTION("""COMPUTED_VALUE"""),0.0)</f>
        <v>0</v>
      </c>
      <c r="F27" s="270">
        <f>IFERROR(__xludf.DUMMYFUNCTION("""COMPUTED_VALUE"""),1.0)</f>
        <v>1</v>
      </c>
      <c r="G27" s="17" t="str">
        <f>IFERROR(__xludf.DUMMYFUNCTION("""COMPUTED_VALUE"""),"Sabun batang 1 Box ( 2 PCS )")</f>
        <v>Sabun batang 1 Box ( 2 PCS )</v>
      </c>
      <c r="H27" s="463" t="str">
        <f>IFERROR(__xludf.DUMMYFUNCTION("""COMPUTED_VALUE"""),"Sampai")</f>
        <v>Sampai</v>
      </c>
      <c r="I27" s="464" t="str">
        <f>IFERROR(__xludf.DUMMYFUNCTION("""COMPUTED_VALUE"""),"KIMME")</f>
        <v>KIMME</v>
      </c>
      <c r="J27" s="279" t="str">
        <f>IFERROR(__xludf.DUMMYFUNCTION("""COMPUTED_VALUE"""),"https://vt.tiktok.com/ZSmXD6Wd5/")</f>
        <v>https://vt.tiktok.com/ZSmXD6Wd5/</v>
      </c>
      <c r="K27" s="464" t="str">
        <f>IFERROR(__xludf.DUMMYFUNCTION("""COMPUTED_VALUE"""),"KIMME")</f>
        <v>KIMME</v>
      </c>
      <c r="L27" s="279" t="str">
        <f>IFERROR(__xludf.DUMMYFUNCTION("""COMPUTED_VALUE"""),"https://www.tiktok.com/@vernikaariani/video/7636025041611787541?_r=1&amp;u_code=dbl1j1l79c2ag5&amp;region=&amp;mid=7537216107264067585&amp;preview_pb=0&amp;sharer_language=&amp;_d=0&amp;ec_shared_reflux_dynamic_params=%7B%22placeholder_material_id%22%3A%227636025041611787541%22%2C%2"&amp;"2placeholder_origin_cover%22%3A%22https%253A%252F%252Fp16-common-sign.tiktokcdn.com%252Ftos-alisg-p-0037%252FogIa40nCpAi5DwIF8UIAPiiAbnB5ZfAxBvd6Fq~tplv-tiktokx-origin.jpeg%253Fdr%253D14572%2526refresh_token%253D0cbb4a63%2526x-expires%253D1809507600%2526x"&amp;"-signature%253D53KxI%25252FGTyJRiPBNIO8we%25252Fxf4Xxw%25253D%2526t%253D4d5b0474%2526ps%253D13740610%2526shp%253Dd05b14bd%2526shcp%253D34ff8df6%2526idc%253Dmy%2526s%253DTIKTOK_AFFILIATE_VIRAL_VIDEO%22%2C%22placeholder_product_id%22%3A%22172942776672272659"&amp;"1%22%2C%22placeholder_video_id%22%3A%227636025041611787541%22%7D&amp;ec_shared_reflux_scene=shop_tab_feed&amp;share_item_id=7636025041611787541&amp;source=h5_t")</f>
        <v>https://www.tiktok.com/@vernikaariani/video/7636025041611787541?_r=1&amp;u_code=dbl1j1l79c2ag5&amp;region=&amp;mid=7537216107264067585&amp;preview_pb=0&amp;sharer_language=&amp;_d=0&amp;ec_shared_reflux_dynamic_params=%7B%22placeholder_material_id%22%3A%227636025041611787541%22%2C%22placeholder_origin_cover%22%3A%22https%253A%252F%252Fp16-common-sign.tiktokcdn.com%252Ftos-alisg-p-0037%252FogIa40nCpAi5DwIF8UIAPiiAbnB5ZfAxBvd6Fq~tplv-tiktokx-origin.jpeg%253Fdr%253D14572%2526refresh_token%253D0cbb4a63%2526x-expires%253D1809507600%2526x-signature%253D53KxI%25252FGTyJRiPBNIO8we%25252Fxf4Xxw%25253D%2526t%253D4d5b0474%2526ps%253D13740610%2526shp%253Dd05b14bd%2526shcp%253D34ff8df6%2526idc%253Dmy%2526s%253DTIKTOK_AFFILIATE_VIRAL_VIDEO%22%2C%22placeholder_product_id%22%3A%221729427766722726591%22%2C%22placeholder_video_id%22%3A%227636025041611787541%22%7D&amp;ec_shared_reflux_scene=shop_tab_feed&amp;share_item_id=7636025041611787541&amp;source=h5_t</v>
      </c>
      <c r="M27" s="464" t="str">
        <f>IFERROR(__xludf.DUMMYFUNCTION("""COMPUTED_VALUE"""),"KIMME")</f>
        <v>KIMME</v>
      </c>
      <c r="N27" s="279" t="str">
        <f>IFERROR(__xludf.DUMMYFUNCTION("""COMPUTED_VALUE"""),"https://www.tiktok.com/@vernikaariani/video/7632952013919096085?_r=1&amp;u_code=dbl1j1l79c2ag5&amp;region=&amp;mid=7408039355241711633&amp;preview_pb=0&amp;sharer_language=&amp;_d=0&amp;ec_shared_reflux_dynamic_params=%7B%22placeholder_material_id%22%3A%227632952013919096085%22%2C%2"&amp;"2placeholder_origin_cover%22%3A%22https%253A%252F%252Fp16-common-sign.tiktokcdn.com%252Ftos-alisg-p-0037%252Fo8bB7PQfftJpFBAoQEXgRsZDgEjEUFBQs37MQZ~tplv-tiktokx-origin.jpeg%253Fdr%253D14572%2526refresh_token%253Dce743c7d%2526x-expires%253D1809507600%2526x"&amp;"-signature%253Dh3Ipsho3jRYJO8%25252B8dwMqCuZ8jhk%25253D%2526t%253D4d5b0474%2526ps%253D13740610%2526shp%253Dd05b14bd%2526shcp%253D34ff8df6%2526idc%253Dmy%2526s%253DTIKTOK_AFFILIATE_VIRAL_VIDEO%22%2C%22placeholder_product_id%22%3A%221729427766722726591%22%2"&amp;"C%22placeholder_video_id%22%3A%227632952013919096085%22%7D&amp;ec_shared_reflux_scene=shop_tab_feed&amp;share_item_id=7632952013919096085&amp;source=h5_t")</f>
        <v>https://www.tiktok.com/@vernikaariani/video/7632952013919096085?_r=1&amp;u_code=dbl1j1l79c2ag5&amp;region=&amp;mid=7408039355241711633&amp;preview_pb=0&amp;sharer_language=&amp;_d=0&amp;ec_shared_reflux_dynamic_params=%7B%22placeholder_material_id%22%3A%227632952013919096085%22%2C%22placeholder_origin_cover%22%3A%22https%253A%252F%252Fp16-common-sign.tiktokcdn.com%252Ftos-alisg-p-0037%252Fo8bB7PQfftJpFBAoQEXgRsZDgEjEUFBQs37MQZ~tplv-tiktokx-origin.jpeg%253Fdr%253D14572%2526refresh_token%253Dce743c7d%2526x-expires%253D1809507600%2526x-signature%253Dh3Ipsho3jRYJO8%25252B8dwMqCuZ8jhk%25253D%2526t%253D4d5b0474%2526ps%253D13740610%2526shp%253Dd05b14bd%2526shcp%253D34ff8df6%2526idc%253Dmy%2526s%253DTIKTOK_AFFILIATE_VIRAL_VIDEO%22%2C%22placeholder_product_id%22%3A%221729427766722726591%22%2C%22placeholder_video_id%22%3A%227632952013919096085%22%7D&amp;ec_shared_reflux_scene=shop_tab_feed&amp;share_item_id=7632952013919096085&amp;source=h5_t</v>
      </c>
      <c r="O27" s="464"/>
      <c r="P27" s="279" t="str">
        <f>IFERROR(__xludf.DUMMYFUNCTION("""COMPUTED_VALUE"""),"https://www.tiktok.com/@yaniramadhani3/video/7634852980457540871?_d=0&amp;_r=1&amp;ec_shared_reflux_dynamic_params=%7B%22placeholder_material_id%22%3A%227634852980457540871%22%2C%22placeholder_origin_cover%22%3A%22https%253A%252F%252Fp16-common-sign.tiktokcdn.com"&amp;"%252Ftos-alisg-p-0037%252FokvHIUEDn6fBbgxBcpH0E5eIlrFUxRA98SBQQg~tplv-tiktokx-origin.jpeg%253Fdr%253D14572%2526refresh_token%253D388fc2b7%2526x-expires%253D1809507600%2526x-signature%253Dby%25252BzHgFCDzAfncybF551q9Y9Vn0%25253D%2526t%253D4d5b0474%2526ps%2"&amp;"53D13740610%2526shp%253Dd05b14bd%2526shcp%253D34ff8df6%2526idc%253Dmy%2526s%253DTIKTOK_AFFILIATE_VIRAL_VIDEO%22%2C%22placeholder_product_id%22%3A%221729427766722726591%22%2C%22placeholder_video_id%22%3A%227634852980457540871%22%7D&amp;ec_shared_reflux_scene=s"&amp;"hop_tab_feed&amp;mid=7626899689086520072&amp;preview_pb=0&amp;region=&amp;share_item_id=7634852980457540871&amp;sharer_language=&amp;source=h5_t&amp;u_code=d9fflkigeh8jd7")</f>
        <v>https://www.tiktok.com/@yaniramadhani3/video/7634852980457540871?_d=0&amp;_r=1&amp;ec_shared_reflux_dynamic_params=%7B%22placeholder_material_id%22%3A%227634852980457540871%22%2C%22placeholder_origin_cover%22%3A%22https%253A%252F%252Fp16-common-sign.tiktokcdn.com%252Ftos-alisg-p-0037%252FokvHIUEDn6fBbgxBcpH0E5eIlrFUxRA98SBQQg~tplv-tiktokx-origin.jpeg%253Fdr%253D14572%2526refresh_token%253D388fc2b7%2526x-expires%253D1809507600%2526x-signature%253Dby%25252BzHgFCDzAfncybF551q9Y9Vn0%25253D%2526t%253D4d5b0474%2526ps%253D13740610%2526shp%253Dd05b14bd%2526shcp%253D34ff8df6%2526idc%253Dmy%2526s%253DTIKTOK_AFFILIATE_VIRAL_VIDEO%22%2C%22placeholder_product_id%22%3A%221729427766722726591%22%2C%22placeholder_video_id%22%3A%227634852980457540871%22%7D&amp;ec_shared_reflux_scene=shop_tab_feed&amp;mid=7626899689086520072&amp;preview_pb=0&amp;region=&amp;share_item_id=7634852980457540871&amp;sharer_language=&amp;source=h5_t&amp;u_code=d9fflkigeh8jd7</v>
      </c>
    </row>
    <row r="28">
      <c r="A28" s="255" t="str">
        <f>IFERROR(__xludf.DUMMYFUNCTION("""COMPUTED_VALUE"""),"MACRO")</f>
        <v>MACRO</v>
      </c>
      <c r="B28" s="23" t="str">
        <f>IFERROR(__xludf.DUMMYFUNCTION("""COMPUTED_VALUE"""),"itsmeanie3")</f>
        <v>itsmeanie3</v>
      </c>
      <c r="C28" s="257" t="str">
        <f>IFERROR(__xludf.DUMMYFUNCTION("""COMPUTED_VALUE"""),"https://www.tiktok.com/@itsmeanie3")</f>
        <v>https://www.tiktok.com/@itsmeanie3</v>
      </c>
      <c r="D28" s="270">
        <f>IFERROR(__xludf.DUMMYFUNCTION("""COMPUTED_VALUE"""),8.5975395086E10)</f>
        <v>85975395086</v>
      </c>
      <c r="E28" s="271">
        <f>IFERROR(__xludf.DUMMYFUNCTION("""COMPUTED_VALUE"""),200000.0)</f>
        <v>200000</v>
      </c>
      <c r="F28" s="270">
        <f>IFERROR(__xludf.DUMMYFUNCTION("""COMPUTED_VALUE"""),1.0)</f>
        <v>1</v>
      </c>
      <c r="G28" s="17" t="str">
        <f>IFERROR(__xludf.DUMMYFUNCTION("""COMPUTED_VALUE"""),"Sabun batang 1 Box ( 2 PCS )")</f>
        <v>Sabun batang 1 Box ( 2 PCS )</v>
      </c>
      <c r="H28" s="463" t="str">
        <f>IFERROR(__xludf.DUMMYFUNCTION("""COMPUTED_VALUE"""),"Sampai")</f>
        <v>Sampai</v>
      </c>
      <c r="I28" s="464" t="str">
        <f>IFERROR(__xludf.DUMMYFUNCTION("""COMPUTED_VALUE"""),"KIMME")</f>
        <v>KIMME</v>
      </c>
      <c r="J28" s="279" t="str">
        <f>IFERROR(__xludf.DUMMYFUNCTION("""COMPUTED_VALUE"""),"https://vt.tiktok.com/ZSmMqTfJy/")</f>
        <v>https://vt.tiktok.com/ZSmMqTfJy/</v>
      </c>
      <c r="K28" s="464" t="str">
        <f>IFERROR(__xludf.DUMMYFUNCTION("""COMPUTED_VALUE"""),"KIMME")</f>
        <v>KIMME</v>
      </c>
      <c r="L28" s="279" t="str">
        <f>IFERROR(__xludf.DUMMYFUNCTION("""COMPUTED_VALUE"""),"https://vt.tiktok.com/ZSxQn1s6K/")</f>
        <v>https://vt.tiktok.com/ZSxQn1s6K/</v>
      </c>
      <c r="M28" s="464"/>
      <c r="N28" s="17"/>
      <c r="O28" s="464"/>
      <c r="P28" s="17"/>
    </row>
    <row r="29">
      <c r="A29" s="255" t="str">
        <f>IFERROR(__xludf.DUMMYFUNCTION("""COMPUTED_VALUE"""),"MACRO")</f>
        <v>MACRO</v>
      </c>
      <c r="B29" s="23" t="str">
        <f>IFERROR(__xludf.DUMMYFUNCTION("""COMPUTED_VALUE"""),"pumpkinscarf")</f>
        <v>pumpkinscarf</v>
      </c>
      <c r="C29" s="257" t="str">
        <f>IFERROR(__xludf.DUMMYFUNCTION("""COMPUTED_VALUE"""),"https://www.tiktok.com/@pumpkinscarf")</f>
        <v>https://www.tiktok.com/@pumpkinscarf</v>
      </c>
      <c r="D29" s="270">
        <f>IFERROR(__xludf.DUMMYFUNCTION("""COMPUTED_VALUE"""),8.5700060082E10)</f>
        <v>85700060082</v>
      </c>
      <c r="E29" s="271">
        <f>IFERROR(__xludf.DUMMYFUNCTION("""COMPUTED_VALUE"""),200000.0)</f>
        <v>200000</v>
      </c>
      <c r="F29" s="270">
        <f>IFERROR(__xludf.DUMMYFUNCTION("""COMPUTED_VALUE"""),1.0)</f>
        <v>1</v>
      </c>
      <c r="G29" s="17" t="str">
        <f>IFERROR(__xludf.DUMMYFUNCTION("""COMPUTED_VALUE"""),"Sabun batang 1 Box ( 2 PCS )")</f>
        <v>Sabun batang 1 Box ( 2 PCS )</v>
      </c>
      <c r="H29" s="463" t="str">
        <f>IFERROR(__xludf.DUMMYFUNCTION("""COMPUTED_VALUE"""),"Sampai")</f>
        <v>Sampai</v>
      </c>
      <c r="I29" s="464" t="str">
        <f>IFERROR(__xludf.DUMMYFUNCTION("""COMPUTED_VALUE"""),"KIMME")</f>
        <v>KIMME</v>
      </c>
      <c r="J29" s="279" t="str">
        <f>IFERROR(__xludf.DUMMYFUNCTION("""COMPUTED_VALUE"""),"https://vt.tiktok.com/ZSmBu8aCj/")</f>
        <v>https://vt.tiktok.com/ZSmBu8aCj/</v>
      </c>
      <c r="K29" s="464" t="str">
        <f>IFERROR(__xludf.DUMMYFUNCTION("""COMPUTED_VALUE"""),"KIMME")</f>
        <v>KIMME</v>
      </c>
      <c r="L29" s="279" t="str">
        <f>IFERROR(__xludf.DUMMYFUNCTION("""COMPUTED_VALUE"""),"https://vt.tiktok.com/ZSxVbn3JB/")</f>
        <v>https://vt.tiktok.com/ZSxVbn3JB/</v>
      </c>
      <c r="M29" s="464"/>
      <c r="N29" s="17"/>
      <c r="O29" s="464"/>
      <c r="P29" s="17"/>
    </row>
    <row r="30">
      <c r="A30" s="255" t="str">
        <f>IFERROR(__xludf.DUMMYFUNCTION("""COMPUTED_VALUE"""),"MEGA")</f>
        <v>MEGA</v>
      </c>
      <c r="B30" s="23" t="str">
        <f>IFERROR(__xludf.DUMMYFUNCTION("""COMPUTED_VALUE"""),"lehabottoh")</f>
        <v>lehabottoh</v>
      </c>
      <c r="C30" s="257" t="str">
        <f>IFERROR(__xludf.DUMMYFUNCTION("""COMPUTED_VALUE"""),"https://www.tiktok.com/@lehabottoh")</f>
        <v>https://www.tiktok.com/@lehabottoh</v>
      </c>
      <c r="D30" s="270">
        <f>IFERROR(__xludf.DUMMYFUNCTION("""COMPUTED_VALUE"""),8.7820442711E10)</f>
        <v>87820442711</v>
      </c>
      <c r="E30" s="271">
        <f>IFERROR(__xludf.DUMMYFUNCTION("""COMPUTED_VALUE"""),300000.0)</f>
        <v>300000</v>
      </c>
      <c r="F30" s="270">
        <f>IFERROR(__xludf.DUMMYFUNCTION("""COMPUTED_VALUE"""),1.0)</f>
        <v>1</v>
      </c>
      <c r="G30" s="17" t="str">
        <f>IFERROR(__xludf.DUMMYFUNCTION("""COMPUTED_VALUE"""),"Sabun batang 1 Box ( 2 PCS )")</f>
        <v>Sabun batang 1 Box ( 2 PCS )</v>
      </c>
      <c r="H30" s="463" t="str">
        <f>IFERROR(__xludf.DUMMYFUNCTION("""COMPUTED_VALUE"""),"Sampai")</f>
        <v>Sampai</v>
      </c>
      <c r="I30" s="464" t="str">
        <f>IFERROR(__xludf.DUMMYFUNCTION("""COMPUTED_VALUE"""),"KIMME")</f>
        <v>KIMME</v>
      </c>
      <c r="J30" s="279" t="str">
        <f>IFERROR(__xludf.DUMMYFUNCTION("""COMPUTED_VALUE"""),"https://vt.tiktok.com/ZSmUeJ6KQ/")</f>
        <v>https://vt.tiktok.com/ZSmUeJ6KQ/</v>
      </c>
      <c r="K30" s="464"/>
      <c r="L30" s="17"/>
      <c r="M30" s="464"/>
      <c r="N30" s="17"/>
      <c r="O30" s="464"/>
      <c r="P30" s="17"/>
    </row>
    <row r="31">
      <c r="A31" s="255" t="str">
        <f>IFERROR(__xludf.DUMMYFUNCTION("""COMPUTED_VALUE"""),"MICRO")</f>
        <v>MICRO</v>
      </c>
      <c r="B31" s="23" t="str">
        <f>IFERROR(__xludf.DUMMYFUNCTION("""COMPUTED_VALUE"""),"innaahhiyan")</f>
        <v>innaahhiyan</v>
      </c>
      <c r="C31" s="257" t="str">
        <f>IFERROR(__xludf.DUMMYFUNCTION("""COMPUTED_VALUE"""),"https://www.tiktok.com/@innaahhiyan")</f>
        <v>https://www.tiktok.com/@innaahhiyan</v>
      </c>
      <c r="D31" s="270">
        <f>IFERROR(__xludf.DUMMYFUNCTION("""COMPUTED_VALUE"""),8.5226956975E10)</f>
        <v>85226956975</v>
      </c>
      <c r="E31" s="271">
        <f>IFERROR(__xludf.DUMMYFUNCTION("""COMPUTED_VALUE"""),0.0)</f>
        <v>0</v>
      </c>
      <c r="F31" s="270">
        <f>IFERROR(__xludf.DUMMYFUNCTION("""COMPUTED_VALUE"""),4.0)</f>
        <v>4</v>
      </c>
      <c r="G31" s="17" t="str">
        <f>IFERROR(__xludf.DUMMYFUNCTION("""COMPUTED_VALUE"""),"Sabun batang 1 Box ( 2 PCS )")</f>
        <v>Sabun batang 1 Box ( 2 PCS )</v>
      </c>
      <c r="H31" s="463" t="str">
        <f>IFERROR(__xludf.DUMMYFUNCTION("""COMPUTED_VALUE"""),"Sampai")</f>
        <v>Sampai</v>
      </c>
      <c r="I31" s="464" t="str">
        <f>IFERROR(__xludf.DUMMYFUNCTION("""COMPUTED_VALUE"""),"KIMME")</f>
        <v>KIMME</v>
      </c>
      <c r="J31" s="279" t="str">
        <f>IFERROR(__xludf.DUMMYFUNCTION("""COMPUTED_VALUE"""),"https://vt.tiktok.com/ZSmQk71Nx/")</f>
        <v>https://vt.tiktok.com/ZSmQk71Nx/</v>
      </c>
      <c r="K31" s="464" t="str">
        <f>IFERROR(__xludf.DUMMYFUNCTION("""COMPUTED_VALUE"""),"KIMME")</f>
        <v>KIMME</v>
      </c>
      <c r="L31" s="279" t="str">
        <f>IFERROR(__xludf.DUMMYFUNCTION("""COMPUTED_VALUE"""),"https://vt.tiktok.com/ZSmQk71Nx/")</f>
        <v>https://vt.tiktok.com/ZSmQk71Nx/</v>
      </c>
      <c r="M31" s="464" t="str">
        <f>IFERROR(__xludf.DUMMYFUNCTION("""COMPUTED_VALUE"""),"KIMME")</f>
        <v>KIMME</v>
      </c>
      <c r="N31" s="279" t="str">
        <f>IFERROR(__xludf.DUMMYFUNCTION("""COMPUTED_VALUE"""),"https://vt.tiktok.com/ZSmV4T7o8/")</f>
        <v>https://vt.tiktok.com/ZSmV4T7o8/</v>
      </c>
      <c r="O31" s="464" t="str">
        <f>IFERROR(__xludf.DUMMYFUNCTION("""COMPUTED_VALUE"""),"KIMME")</f>
        <v>KIMME</v>
      </c>
      <c r="P31" s="279" t="str">
        <f>IFERROR(__xludf.DUMMYFUNCTION("""COMPUTED_VALUE"""),"https://vt.tiktok.com/ZSmV4sxTM/")</f>
        <v>https://vt.tiktok.com/ZSmV4sxTM/</v>
      </c>
    </row>
    <row r="32">
      <c r="A32" s="255" t="str">
        <f>IFERROR(__xludf.DUMMYFUNCTION("""COMPUTED_VALUE"""),"MICRO")</f>
        <v>MICRO</v>
      </c>
      <c r="B32" s="23" t="str">
        <f>IFERROR(__xludf.DUMMYFUNCTION("""COMPUTED_VALUE"""),"yeppiyippi")</f>
        <v>yeppiyippi</v>
      </c>
      <c r="C32" s="257" t="str">
        <f>IFERROR(__xludf.DUMMYFUNCTION("""COMPUTED_VALUE"""),"https://www.tiktok.com/@yeppiyippi")</f>
        <v>https://www.tiktok.com/@yeppiyippi</v>
      </c>
      <c r="D32" s="270">
        <f>IFERROR(__xludf.DUMMYFUNCTION("""COMPUTED_VALUE"""),8.1261527773E10)</f>
        <v>81261527773</v>
      </c>
      <c r="E32" s="271">
        <f>IFERROR(__xludf.DUMMYFUNCTION("""COMPUTED_VALUE"""),200000.0)</f>
        <v>200000</v>
      </c>
      <c r="F32" s="270">
        <f>IFERROR(__xludf.DUMMYFUNCTION("""COMPUTED_VALUE"""),3.0)</f>
        <v>3</v>
      </c>
      <c r="G32" s="17" t="str">
        <f>IFERROR(__xludf.DUMMYFUNCTION("""COMPUTED_VALUE"""),"Sabun batang 1 Box ( 2 PCS )")</f>
        <v>Sabun batang 1 Box ( 2 PCS )</v>
      </c>
      <c r="H32" s="463" t="str">
        <f>IFERROR(__xludf.DUMMYFUNCTION("""COMPUTED_VALUE"""),"Sampai")</f>
        <v>Sampai</v>
      </c>
      <c r="I32" s="464" t="str">
        <f>IFERROR(__xludf.DUMMYFUNCTION("""COMPUTED_VALUE"""),"KIMME")</f>
        <v>KIMME</v>
      </c>
      <c r="J32" s="279" t="str">
        <f>IFERROR(__xludf.DUMMYFUNCTION("""COMPUTED_VALUE"""),"https://www.tiktok.com/@nina_kadier/video/7616090885666704658?is_from_webapp=1&amp;sender_device=pc")</f>
        <v>https://www.tiktok.com/@nina_kadier/video/7616090885666704658?is_from_webapp=1&amp;sender_device=pc</v>
      </c>
      <c r="K32" s="464" t="str">
        <f>IFERROR(__xludf.DUMMYFUNCTION("""COMPUTED_VALUE"""),"KIMME")</f>
        <v>KIMME</v>
      </c>
      <c r="L32" s="279" t="str">
        <f>IFERROR(__xludf.DUMMYFUNCTION("""COMPUTED_VALUE"""),"https://www.tiktok.com/@nina_kadier/video/7615361541600283911?is_from_webapp=1&amp;sender_device=pc")</f>
        <v>https://www.tiktok.com/@nina_kadier/video/7615361541600283911?is_from_webapp=1&amp;sender_device=pc</v>
      </c>
      <c r="M32" s="464" t="str">
        <f>IFERROR(__xludf.DUMMYFUNCTION("""COMPUTED_VALUE"""),"KIMME")</f>
        <v>KIMME</v>
      </c>
      <c r="N32" s="279" t="str">
        <f>IFERROR(__xludf.DUMMYFUNCTION("""COMPUTED_VALUE"""),"https://www.tiktok.com/@belynabeauty/video/7610696891600358674?is_from_webapp=1&amp;sender_device=pc")</f>
        <v>https://www.tiktok.com/@belynabeauty/video/7610696891600358674?is_from_webapp=1&amp;sender_device=pc</v>
      </c>
      <c r="O32" s="464"/>
      <c r="P32" s="279" t="str">
        <f>IFERROR(__xludf.DUMMYFUNCTION("""COMPUTED_VALUE"""),"https://vt.tiktok.com/ZSxQtvdtw/")</f>
        <v>https://vt.tiktok.com/ZSxQtvdtw/</v>
      </c>
    </row>
    <row r="33">
      <c r="A33" s="255" t="str">
        <f>IFERROR(__xludf.DUMMYFUNCTION("""COMPUTED_VALUE"""),"MICRO")</f>
        <v>MICRO</v>
      </c>
      <c r="B33" s="23" t="str">
        <f>IFERROR(__xludf.DUMMYFUNCTION("""COMPUTED_VALUE"""),"dncnadya")</f>
        <v>dncnadya</v>
      </c>
      <c r="C33" s="257" t="str">
        <f>IFERROR(__xludf.DUMMYFUNCTION("""COMPUTED_VALUE"""),"https://www.tiktok.com/@dncnadya")</f>
        <v>https://www.tiktok.com/@dncnadya</v>
      </c>
      <c r="D33" s="270">
        <f>IFERROR(__xludf.DUMMYFUNCTION("""COMPUTED_VALUE"""),8.1386556626E10)</f>
        <v>81386556626</v>
      </c>
      <c r="E33" s="271">
        <f>IFERROR(__xludf.DUMMYFUNCTION("""COMPUTED_VALUE"""),0.0)</f>
        <v>0</v>
      </c>
      <c r="F33" s="270">
        <f>IFERROR(__xludf.DUMMYFUNCTION("""COMPUTED_VALUE"""),4.0)</f>
        <v>4</v>
      </c>
      <c r="G33" s="17" t="str">
        <f>IFERROR(__xludf.DUMMYFUNCTION("""COMPUTED_VALUE"""),"Sabun batang 1 Box ( 2 PCS )")</f>
        <v>Sabun batang 1 Box ( 2 PCS )</v>
      </c>
      <c r="H33" s="463" t="str">
        <f>IFERROR(__xludf.DUMMYFUNCTION("""COMPUTED_VALUE"""),"Sampai")</f>
        <v>Sampai</v>
      </c>
      <c r="I33" s="464" t="str">
        <f>IFERROR(__xludf.DUMMYFUNCTION("""COMPUTED_VALUE"""),"KIMME")</f>
        <v>KIMME</v>
      </c>
      <c r="J33" s="279" t="str">
        <f>IFERROR(__xludf.DUMMYFUNCTION("""COMPUTED_VALUE"""),"https://vt.tiktok.com/ZSmULgNjA/")</f>
        <v>https://vt.tiktok.com/ZSmULgNjA/</v>
      </c>
      <c r="K33" s="464" t="str">
        <f>IFERROR(__xludf.DUMMYFUNCTION("""COMPUTED_VALUE"""),"KIMME")</f>
        <v>KIMME</v>
      </c>
      <c r="L33" s="279" t="str">
        <f>IFERROR(__xludf.DUMMYFUNCTION("""COMPUTED_VALUE"""),"https://vt.tiktok.com/ZSmULbtyv/")</f>
        <v>https://vt.tiktok.com/ZSmULbtyv/</v>
      </c>
      <c r="M33" s="464" t="str">
        <f>IFERROR(__xludf.DUMMYFUNCTION("""COMPUTED_VALUE"""),"KIMME")</f>
        <v>KIMME</v>
      </c>
      <c r="N33" s="279" t="str">
        <f>IFERROR(__xludf.DUMMYFUNCTION("""COMPUTED_VALUE"""),"https://vt.tiktok.com/ZSmqRtptg/")</f>
        <v>https://vt.tiktok.com/ZSmqRtptg/</v>
      </c>
      <c r="O33" s="464" t="str">
        <f>IFERROR(__xludf.DUMMYFUNCTION("""COMPUTED_VALUE"""),"KIMME")</f>
        <v>KIMME</v>
      </c>
      <c r="P33" s="279" t="str">
        <f>IFERROR(__xludf.DUMMYFUNCTION("""COMPUTED_VALUE"""),"https://vt.tiktok.com/ZSmqRQHbo/")</f>
        <v>https://vt.tiktok.com/ZSmqRQHbo/</v>
      </c>
    </row>
    <row r="34">
      <c r="A34" s="255" t="str">
        <f>IFERROR(__xludf.DUMMYFUNCTION("""COMPUTED_VALUE"""),"MICRO")</f>
        <v>MICRO</v>
      </c>
      <c r="B34" s="257" t="str">
        <f>IFERROR(__xludf.DUMMYFUNCTION("""COMPUTED_VALUE"""),"dinif.sa")</f>
        <v>dinif.sa</v>
      </c>
      <c r="C34" s="257" t="str">
        <f>IFERROR(__xludf.DUMMYFUNCTION("""COMPUTED_VALUE"""),"https://www.tiktok.com/@dinif.sa")</f>
        <v>https://www.tiktok.com/@dinif.sa</v>
      </c>
      <c r="D34" s="270">
        <f>IFERROR(__xludf.DUMMYFUNCTION("""COMPUTED_VALUE"""),8.5212884452E10)</f>
        <v>85212884452</v>
      </c>
      <c r="E34" s="271">
        <f>IFERROR(__xludf.DUMMYFUNCTION("""COMPUTED_VALUE"""),0.0)</f>
        <v>0</v>
      </c>
      <c r="F34" s="270">
        <f>IFERROR(__xludf.DUMMYFUNCTION("""COMPUTED_VALUE"""),4.0)</f>
        <v>4</v>
      </c>
      <c r="G34" s="17" t="str">
        <f>IFERROR(__xludf.DUMMYFUNCTION("""COMPUTED_VALUE"""),"Sabun batang 1 Box ( 2 PCS )")</f>
        <v>Sabun batang 1 Box ( 2 PCS )</v>
      </c>
      <c r="H34" s="463" t="str">
        <f>IFERROR(__xludf.DUMMYFUNCTION("""COMPUTED_VALUE"""),"Sampai")</f>
        <v>Sampai</v>
      </c>
      <c r="I34" s="464" t="str">
        <f>IFERROR(__xludf.DUMMYFUNCTION("""COMPUTED_VALUE"""),"KIMME")</f>
        <v>KIMME</v>
      </c>
      <c r="J34" s="279" t="str">
        <f>IFERROR(__xludf.DUMMYFUNCTION("""COMPUTED_VALUE"""),"https://vt.tiktok.com/ZSmUy6j6x/")</f>
        <v>https://vt.tiktok.com/ZSmUy6j6x/</v>
      </c>
      <c r="K34" s="464" t="str">
        <f>IFERROR(__xludf.DUMMYFUNCTION("""COMPUTED_VALUE"""),"KIMME")</f>
        <v>KIMME</v>
      </c>
      <c r="L34" s="279" t="str">
        <f>IFERROR(__xludf.DUMMYFUNCTION("""COMPUTED_VALUE"""),"https://vt.tiktok.com/ZSmUUtQbg/")</f>
        <v>https://vt.tiktok.com/ZSmUUtQbg/</v>
      </c>
      <c r="M34" s="464" t="str">
        <f>IFERROR(__xludf.DUMMYFUNCTION("""COMPUTED_VALUE"""),"KIMME")</f>
        <v>KIMME</v>
      </c>
      <c r="N34" s="279" t="str">
        <f>IFERROR(__xludf.DUMMYFUNCTION("""COMPUTED_VALUE"""),"https://vt.tiktok.com/ZSmUUw3RD/")</f>
        <v>https://vt.tiktok.com/ZSmUUw3RD/</v>
      </c>
      <c r="O34" s="464" t="str">
        <f>IFERROR(__xludf.DUMMYFUNCTION("""COMPUTED_VALUE"""),"KIMME")</f>
        <v>KIMME</v>
      </c>
      <c r="P34" s="279" t="str">
        <f>IFERROR(__xludf.DUMMYFUNCTION("""COMPUTED_VALUE"""),"https://vt.tiktok.com/ZSmQS3vCy/")</f>
        <v>https://vt.tiktok.com/ZSmQS3vCy/</v>
      </c>
    </row>
    <row r="35">
      <c r="A35" s="255" t="str">
        <f>IFERROR(__xludf.DUMMYFUNCTION("""COMPUTED_VALUE"""),"MICRO")</f>
        <v>MICRO</v>
      </c>
      <c r="B35" s="23" t="str">
        <f>IFERROR(__xludf.DUMMYFUNCTION("""COMPUTED_VALUE"""),"review.erna27")</f>
        <v>review.erna27</v>
      </c>
      <c r="C35" s="257" t="str">
        <f>IFERROR(__xludf.DUMMYFUNCTION("""COMPUTED_VALUE"""),"https://www.tiktok.com/@review.erna27")</f>
        <v>https://www.tiktok.com/@review.erna27</v>
      </c>
      <c r="D35" s="270">
        <f>IFERROR(__xludf.DUMMYFUNCTION("""COMPUTED_VALUE"""),8.2310268988E10)</f>
        <v>82310268988</v>
      </c>
      <c r="E35" s="271">
        <f>IFERROR(__xludf.DUMMYFUNCTION("""COMPUTED_VALUE"""),100000.0)</f>
        <v>100000</v>
      </c>
      <c r="F35" s="270">
        <f>IFERROR(__xludf.DUMMYFUNCTION("""COMPUTED_VALUE"""),4.0)</f>
        <v>4</v>
      </c>
      <c r="G35" s="17" t="str">
        <f>IFERROR(__xludf.DUMMYFUNCTION("""COMPUTED_VALUE"""),"Sabun batang 1 Box ( 2 PCS )")</f>
        <v>Sabun batang 1 Box ( 2 PCS )</v>
      </c>
      <c r="H35" s="463" t="str">
        <f>IFERROR(__xludf.DUMMYFUNCTION("""COMPUTED_VALUE"""),"Sampai")</f>
        <v>Sampai</v>
      </c>
      <c r="I35" s="464" t="str">
        <f>IFERROR(__xludf.DUMMYFUNCTION("""COMPUTED_VALUE"""),"KIMME")</f>
        <v>KIMME</v>
      </c>
      <c r="J35" s="279" t="str">
        <f>IFERROR(__xludf.DUMMYFUNCTION("""COMPUTED_VALUE"""),"https://vt.tiktok.com/ZSmAQ2xpv/")</f>
        <v>https://vt.tiktok.com/ZSmAQ2xpv/</v>
      </c>
      <c r="K35" s="464" t="str">
        <f>IFERROR(__xludf.DUMMYFUNCTION("""COMPUTED_VALUE"""),"KIMME")</f>
        <v>KIMME</v>
      </c>
      <c r="L35" s="279" t="str">
        <f>IFERROR(__xludf.DUMMYFUNCTION("""COMPUTED_VALUE"""),"https://vt.tiktok.com/ZSmfUnUqD/")</f>
        <v>https://vt.tiktok.com/ZSmfUnUqD/</v>
      </c>
      <c r="M35" s="464" t="str">
        <f>IFERROR(__xludf.DUMMYFUNCTION("""COMPUTED_VALUE"""),"KIMME")</f>
        <v>KIMME</v>
      </c>
      <c r="N35" s="279" t="str">
        <f>IFERROR(__xludf.DUMMYFUNCTION("""COMPUTED_VALUE"""),"https://vt.tiktok.com/ZSmCokoj1/")</f>
        <v>https://vt.tiktok.com/ZSmCokoj1/</v>
      </c>
      <c r="O35" s="464" t="str">
        <f>IFERROR(__xludf.DUMMYFUNCTION("""COMPUTED_VALUE"""),"KIMME")</f>
        <v>KIMME</v>
      </c>
      <c r="P35" s="279" t="str">
        <f>IFERROR(__xludf.DUMMYFUNCTION("""COMPUTED_VALUE"""),"https://vt.tiktok.com/ZSmV4eByP/")</f>
        <v>https://vt.tiktok.com/ZSmV4eByP/</v>
      </c>
    </row>
    <row r="36">
      <c r="A36" s="255" t="str">
        <f>IFERROR(__xludf.DUMMYFUNCTION("""COMPUTED_VALUE"""),"MICRO")</f>
        <v>MICRO</v>
      </c>
      <c r="B36" s="23" t="str">
        <f>IFERROR(__xludf.DUMMYFUNCTION("""COMPUTED_VALUE"""),"elinyuli1")</f>
        <v>elinyuli1</v>
      </c>
      <c r="C36" s="257" t="str">
        <f>IFERROR(__xludf.DUMMYFUNCTION("""COMPUTED_VALUE"""),"https://www.tiktok.com/@elinyuli1")</f>
        <v>https://www.tiktok.com/@elinyuli1</v>
      </c>
      <c r="D36" s="270">
        <f>IFERROR(__xludf.DUMMYFUNCTION("""COMPUTED_VALUE"""),8.9562007087E10)</f>
        <v>89562007087</v>
      </c>
      <c r="E36" s="271">
        <f>IFERROR(__xludf.DUMMYFUNCTION("""COMPUTED_VALUE"""),100000.0)</f>
        <v>100000</v>
      </c>
      <c r="F36" s="270">
        <f>IFERROR(__xludf.DUMMYFUNCTION("""COMPUTED_VALUE"""),4.0)</f>
        <v>4</v>
      </c>
      <c r="G36" s="17" t="str">
        <f>IFERROR(__xludf.DUMMYFUNCTION("""COMPUTED_VALUE"""),"Sabun batang 1 Box ( 2 PCS )")</f>
        <v>Sabun batang 1 Box ( 2 PCS )</v>
      </c>
      <c r="H36" s="463" t="str">
        <f>IFERROR(__xludf.DUMMYFUNCTION("""COMPUTED_VALUE"""),"Sampai")</f>
        <v>Sampai</v>
      </c>
      <c r="I36" s="464" t="str">
        <f>IFERROR(__xludf.DUMMYFUNCTION("""COMPUTED_VALUE"""),"KIMME")</f>
        <v>KIMME</v>
      </c>
      <c r="J36" s="17" t="str">
        <f>IFERROR(__xludf.DUMMYFUNCTION("""COMPUTED_VALUE"""),"https://www.tiktok.com/@elinyuli1/video/7608211051175349511?_r=1&amp;u_code=e58fk74mg32cbk&amp;region=ID&amp;mid=7608213250687666952&amp;preview_pb=0&amp;sharer_language=id&amp;_d=e50cii858198eg&amp;ec_shared_reflux_dynamic_params=%7B%22placeholder_material_id%22%3A%2276082110511753"&amp;"49511%22%2C%22placeholder_origin_cover%22%3A%22https%253A%252F%252Fp16-sign-sg.tiktokcdn.com%252Ftos-alisg-p-0037%252Fo8ABVFE3mlz6DyrfRfXBc1EigcEDBipQzpZFQo~tplv-tiktokx-origin.webp%253Fdr%253D14572%2526refresh_token%253D0d9be0d4%2526x-expires%253D1804212"&amp;"000%2526x-signature%253DrHaXFQH2gb4taWRLs3pzKyBvuq8%25253D%2526t%253D4d5b0474%2526ps%253D13740610%2526shp%253Dd05b14bd%2526shcp%253D34ff8df6%2526idc%253Dmy%2526s%253DPUBLISH%22%2C%22placeholder_product_id%22%3A%221729427766722726591%22%2C%22placeholder_vi"&amp;"deo_id%22%3A%227608211051175349511%22%7D&amp;ec_shared_reflux_scene=shop_tab_feed&amp;share_item_id=7608211051175349511&amp;source=h5_t&amp;timestamp=1772679286&amp;user_id=7174362653212230657&amp;sec_user_id=MS4wLjABAAAAM6bfcnouJPtU4pdluRjCbusHA39TCUUQp9qEgBNHOLfaqkFjcCvL02fffm"&amp;"FWhHLU&amp;item_author_type=1&amp;social_share_type=0&amp;utm_source=copy&amp;utm_campaign=client_share&amp;utm_medium=android&amp;share_iid=7601913458317969172&amp;share_link_id=b35ed458-1a86-4d64-ba91-f1df64078a0c&amp;share_app_id=1180&amp;ugbiz_name=MAIN&amp;ug_btm=b8727%2Cb2878&amp;link_reflow_"&amp;"popup_iteration_sharer=%7B%22click_empty_to_play%22%3A1%2C%22dynamic_cover%22%3A1%2C%22follow_to_play_duration%22%3A-1.0%2C%22profile_clickable%22%3A1%7D&amp;enable_checksum=1")</f>
        <v>https://www.tiktok.com/@elinyuli1/video/7608211051175349511?_r=1&amp;u_code=e58fk74mg32cbk&amp;region=ID&amp;mid=7608213250687666952&amp;preview_pb=0&amp;sharer_language=id&amp;_d=e50cii858198eg&amp;ec_shared_reflux_dynamic_params=%7B%22placeholder_material_id%22%3A%227608211051175349511%22%2C%22placeholder_origin_cover%22%3A%22https%253A%252F%252Fp16-sign-sg.tiktokcdn.com%252Ftos-alisg-p-0037%252Fo8ABVFE3mlz6DyrfRfXBc1EigcEDBipQzpZFQo~tplv-tiktokx-origin.webp%253Fdr%253D14572%2526refresh_token%253D0d9be0d4%2526x-expires%253D1804212000%2526x-signature%253DrHaXFQH2gb4taWRLs3pzKyBvuq8%25253D%2526t%253D4d5b0474%2526ps%253D13740610%2526shp%253Dd05b14bd%2526shcp%253D34ff8df6%2526idc%253Dmy%2526s%253DPUBLISH%22%2C%22placeholder_product_id%22%3A%221729427766722726591%22%2C%22placeholder_video_id%22%3A%227608211051175349511%22%7D&amp;ec_shared_reflux_scene=shop_tab_feed&amp;share_item_id=7608211051175349511&amp;source=h5_t&amp;timestamp=1772679286&amp;user_id=7174362653212230657&amp;sec_user_id=MS4wLjABAAAAM6bfcnouJPtU4pdluRjCbusHA39TCUUQp9qEgBNHOLfaqkFjcCvL02fffmFWhHLU&amp;item_author_type=1&amp;social_share_type=0&amp;utm_source=copy&amp;utm_campaign=client_share&amp;utm_medium=android&amp;share_iid=7601913458317969172&amp;share_link_id=b35ed458-1a86-4d64-ba91-f1df64078a0c&amp;share_app_id=1180&amp;ugbiz_name=MAIN&amp;ug_btm=b8727%2Cb2878&amp;link_reflow_popup_iteration_sharer=%7B%22click_empty_to_play%22%3A1%2C%22dynamic_cover%22%3A1%2C%22follow_to_play_duration%22%3A-1.0%2C%22profile_clickable%22%3A1%7D&amp;enable_checksum=1</v>
      </c>
      <c r="K36" s="464" t="str">
        <f>IFERROR(__xludf.DUMMYFUNCTION("""COMPUTED_VALUE"""),"KIMME")</f>
        <v>KIMME</v>
      </c>
      <c r="L36" s="279" t="str">
        <f>IFERROR(__xludf.DUMMYFUNCTION("""COMPUTED_VALUE"""),"https://www.tiktok.com/@elinyuli1/video/7611213672932740359?is_from_webapp=1&amp;sender_device=pc")</f>
        <v>https://www.tiktok.com/@elinyuli1/video/7611213672932740359?is_from_webapp=1&amp;sender_device=pc</v>
      </c>
      <c r="M36" s="464" t="str">
        <f>IFERROR(__xludf.DUMMYFUNCTION("""COMPUTED_VALUE"""),"KIMME")</f>
        <v>KIMME</v>
      </c>
      <c r="N36" s="279" t="str">
        <f>IFERROR(__xludf.DUMMYFUNCTION("""COMPUTED_VALUE"""),"https://www.tiktok.com/@elinyuli1/video/7610478770419485960?is_from_webapp=1&amp;sender_device=pc")</f>
        <v>https://www.tiktok.com/@elinyuli1/video/7610478770419485960?is_from_webapp=1&amp;sender_device=pc</v>
      </c>
      <c r="O36" s="464" t="str">
        <f>IFERROR(__xludf.DUMMYFUNCTION("""COMPUTED_VALUE"""),"KIMME")</f>
        <v>KIMME</v>
      </c>
      <c r="P36" s="279" t="str">
        <f>IFERROR(__xludf.DUMMYFUNCTION("""COMPUTED_VALUE"""),"https://www.tiktok.com/@elinyuli1/video/7608211051175349511?is_from_webapp=1&amp;sender_device=pc")</f>
        <v>https://www.tiktok.com/@elinyuli1/video/7608211051175349511?is_from_webapp=1&amp;sender_device=pc</v>
      </c>
    </row>
    <row r="37">
      <c r="A37" s="255" t="str">
        <f>IFERROR(__xludf.DUMMYFUNCTION("""COMPUTED_VALUE"""),"MICRO")</f>
        <v>MICRO</v>
      </c>
      <c r="B37" s="23" t="str">
        <f>IFERROR(__xludf.DUMMYFUNCTION("""COMPUTED_VALUE"""),"inii.dyan")</f>
        <v>inii.dyan</v>
      </c>
      <c r="C37" s="257" t="str">
        <f>IFERROR(__xludf.DUMMYFUNCTION("""COMPUTED_VALUE"""),"https://www.tiktok.com/@inii.dyan")</f>
        <v>https://www.tiktok.com/@inii.dyan</v>
      </c>
      <c r="D37" s="270">
        <f>IFERROR(__xludf.DUMMYFUNCTION("""COMPUTED_VALUE"""),8.564180338E9)</f>
        <v>8564180338</v>
      </c>
      <c r="E37" s="457">
        <f>IFERROR(__xludf.DUMMYFUNCTION("""COMPUTED_VALUE"""),100000.0)</f>
        <v>100000</v>
      </c>
      <c r="F37" s="270">
        <f>IFERROR(__xludf.DUMMYFUNCTION("""COMPUTED_VALUE"""),4.0)</f>
        <v>4</v>
      </c>
      <c r="G37" s="17" t="str">
        <f>IFERROR(__xludf.DUMMYFUNCTION("""COMPUTED_VALUE"""),"Sabun batang 1 Box ( 2 PCS )")</f>
        <v>Sabun batang 1 Box ( 2 PCS )</v>
      </c>
      <c r="H37" s="463" t="str">
        <f>IFERROR(__xludf.DUMMYFUNCTION("""COMPUTED_VALUE"""),"Sampai")</f>
        <v>Sampai</v>
      </c>
      <c r="I37" s="464" t="str">
        <f>IFERROR(__xludf.DUMMYFUNCTION("""COMPUTED_VALUE"""),"KIMME")</f>
        <v>KIMME</v>
      </c>
      <c r="J37" s="279" t="str">
        <f>IFERROR(__xludf.DUMMYFUNCTION("""COMPUTED_VALUE"""),"https://vt.tiktok.com/ZSmH7QLQg/")</f>
        <v>https://vt.tiktok.com/ZSmH7QLQg/</v>
      </c>
      <c r="K37" s="464" t="str">
        <f>IFERROR(__xludf.DUMMYFUNCTION("""COMPUTED_VALUE"""),"KIMME")</f>
        <v>KIMME</v>
      </c>
      <c r="L37" s="279" t="str">
        <f>IFERROR(__xludf.DUMMYFUNCTION("""COMPUTED_VALUE"""),"https://vt.tiktok.com/ZSmH7WEkY/")</f>
        <v>https://vt.tiktok.com/ZSmH7WEkY/</v>
      </c>
      <c r="M37" s="464" t="str">
        <f>IFERROR(__xludf.DUMMYFUNCTION("""COMPUTED_VALUE"""),"KIMME")</f>
        <v>KIMME</v>
      </c>
      <c r="N37" s="279" t="str">
        <f>IFERROR(__xludf.DUMMYFUNCTION("""COMPUTED_VALUE"""),"https://vt.tiktok.com/ZSmp19QdP/")</f>
        <v>https://vt.tiktok.com/ZSmp19QdP/</v>
      </c>
      <c r="O37" s="464" t="str">
        <f>IFERROR(__xludf.DUMMYFUNCTION("""COMPUTED_VALUE"""),"KIMME")</f>
        <v>KIMME</v>
      </c>
      <c r="P37" s="279" t="str">
        <f>IFERROR(__xludf.DUMMYFUNCTION("""COMPUTED_VALUE"""),"https://vt.tiktok.com/ZSmsboHc9/")</f>
        <v>https://vt.tiktok.com/ZSmsboHc9/</v>
      </c>
    </row>
    <row r="38">
      <c r="A38" s="255" t="str">
        <f>IFERROR(__xludf.DUMMYFUNCTION("""COMPUTED_VALUE"""),"MICRO")</f>
        <v>MICRO</v>
      </c>
      <c r="B38" s="23" t="str">
        <f>IFERROR(__xludf.DUMMYFUNCTION("""COMPUTED_VALUE"""),"nadirasalma11")</f>
        <v>nadirasalma11</v>
      </c>
      <c r="C38" s="257" t="str">
        <f>IFERROR(__xludf.DUMMYFUNCTION("""COMPUTED_VALUE"""),"https://www.tiktok.com/@nadirasalma11")</f>
        <v>https://www.tiktok.com/@nadirasalma11</v>
      </c>
      <c r="D38" s="270">
        <f>IFERROR(__xludf.DUMMYFUNCTION("""COMPUTED_VALUE"""),8.218933232E9)</f>
        <v>8218933232</v>
      </c>
      <c r="E38" s="457">
        <f>IFERROR(__xludf.DUMMYFUNCTION("""COMPUTED_VALUE"""),100000.0)</f>
        <v>100000</v>
      </c>
      <c r="F38" s="270">
        <f>IFERROR(__xludf.DUMMYFUNCTION("""COMPUTED_VALUE"""),4.0)</f>
        <v>4</v>
      </c>
      <c r="G38" s="17" t="str">
        <f>IFERROR(__xludf.DUMMYFUNCTION("""COMPUTED_VALUE"""),"Sabun batang 1 Box ( 2 PCS )")</f>
        <v>Sabun batang 1 Box ( 2 PCS )</v>
      </c>
      <c r="H38" s="463" t="str">
        <f>IFERROR(__xludf.DUMMYFUNCTION("""COMPUTED_VALUE"""),"Sampai")</f>
        <v>Sampai</v>
      </c>
      <c r="I38" s="464" t="str">
        <f>IFERROR(__xludf.DUMMYFUNCTION("""COMPUTED_VALUE"""),"KIMME")</f>
        <v>KIMME</v>
      </c>
      <c r="J38" s="279" t="str">
        <f>IFERROR(__xludf.DUMMYFUNCTION("""COMPUTED_VALUE"""),"https://vt.tiktok.com/ZSmWjhRC6/")</f>
        <v>https://vt.tiktok.com/ZSmWjhRC6/</v>
      </c>
      <c r="K38" s="464" t="str">
        <f>IFERROR(__xludf.DUMMYFUNCTION("""COMPUTED_VALUE"""),"KIMME")</f>
        <v>KIMME</v>
      </c>
      <c r="L38" s="279" t="str">
        <f>IFERROR(__xludf.DUMMYFUNCTION("""COMPUTED_VALUE"""),"https://vt.tiktok.com/ZSmwP9gwm/")</f>
        <v>https://vt.tiktok.com/ZSmwP9gwm/</v>
      </c>
      <c r="M38" s="464" t="str">
        <f>IFERROR(__xludf.DUMMYFUNCTION("""COMPUTED_VALUE"""),"KIMME")</f>
        <v>KIMME</v>
      </c>
      <c r="N38" s="279" t="str">
        <f>IFERROR(__xludf.DUMMYFUNCTION("""COMPUTED_VALUE"""),"https://vt.tiktok.com/ZSmw5a2f5/")</f>
        <v>https://vt.tiktok.com/ZSmw5a2f5/</v>
      </c>
      <c r="O38" s="464" t="str">
        <f>IFERROR(__xludf.DUMMYFUNCTION("""COMPUTED_VALUE"""),"KIMME")</f>
        <v>KIMME</v>
      </c>
      <c r="P38" s="279" t="str">
        <f>IFERROR(__xludf.DUMMYFUNCTION("""COMPUTED_VALUE"""),"https://vt.tiktok.com/ZSu8nVdRd/")</f>
        <v>https://vt.tiktok.com/ZSu8nVdRd/</v>
      </c>
    </row>
    <row r="39">
      <c r="A39" s="255" t="str">
        <f>IFERROR(__xludf.DUMMYFUNCTION("""COMPUTED_VALUE"""),"MICRO")</f>
        <v>MICRO</v>
      </c>
      <c r="B39" s="23" t="str">
        <f>IFERROR(__xludf.DUMMYFUNCTION("""COMPUTED_VALUE"""),"cyell_09")</f>
        <v>cyell_09</v>
      </c>
      <c r="C39" s="257" t="str">
        <f>IFERROR(__xludf.DUMMYFUNCTION("""COMPUTED_VALUE"""),"https://www.tiktok.com/@cyell_09")</f>
        <v>https://www.tiktok.com/@cyell_09</v>
      </c>
      <c r="D39" s="270">
        <f>IFERROR(__xludf.DUMMYFUNCTION("""COMPUTED_VALUE"""),8.3120247066E10)</f>
        <v>83120247066</v>
      </c>
      <c r="E39" s="457">
        <f>IFERROR(__xludf.DUMMYFUNCTION("""COMPUTED_VALUE"""),0.0)</f>
        <v>0</v>
      </c>
      <c r="F39" s="270">
        <f>IFERROR(__xludf.DUMMYFUNCTION("""COMPUTED_VALUE"""),4.0)</f>
        <v>4</v>
      </c>
      <c r="G39" s="17" t="str">
        <f>IFERROR(__xludf.DUMMYFUNCTION("""COMPUTED_VALUE"""),"Sabun batang 1 Box ( 2 PCS )")</f>
        <v>Sabun batang 1 Box ( 2 PCS )</v>
      </c>
      <c r="H39" s="463" t="str">
        <f>IFERROR(__xludf.DUMMYFUNCTION("""COMPUTED_VALUE"""),"Sampai")</f>
        <v>Sampai</v>
      </c>
      <c r="I39" s="464" t="str">
        <f>IFERROR(__xludf.DUMMYFUNCTION("""COMPUTED_VALUE"""),"KIMME")</f>
        <v>KIMME</v>
      </c>
      <c r="J39" s="279" t="str">
        <f>IFERROR(__xludf.DUMMYFUNCTION("""COMPUTED_VALUE"""),"https://vt.tiktok.com/ZSHEggKD1/")</f>
        <v>https://vt.tiktok.com/ZSHEggKD1/</v>
      </c>
      <c r="K39" s="464" t="str">
        <f>IFERROR(__xludf.DUMMYFUNCTION("""COMPUTED_VALUE"""),"KIMME")</f>
        <v>KIMME</v>
      </c>
      <c r="L39" s="279" t="str">
        <f>IFERROR(__xludf.DUMMYFUNCTION("""COMPUTED_VALUE"""),"https://vt.tiktok.com/ZSHEgoK18/")</f>
        <v>https://vt.tiktok.com/ZSHEgoK18/</v>
      </c>
      <c r="M39" s="464" t="str">
        <f>IFERROR(__xludf.DUMMYFUNCTION("""COMPUTED_VALUE"""),"KIMME")</f>
        <v>KIMME</v>
      </c>
      <c r="N39" s="279" t="str">
        <f>IFERROR(__xludf.DUMMYFUNCTION("""COMPUTED_VALUE"""),"https://vt.tiktok.com/ZSHEpFAfS/")</f>
        <v>https://vt.tiktok.com/ZSHEpFAfS/</v>
      </c>
      <c r="O39" s="464" t="str">
        <f>IFERROR(__xludf.DUMMYFUNCTION("""COMPUTED_VALUE"""),"KIMME")</f>
        <v>KIMME</v>
      </c>
      <c r="P39" s="279" t="str">
        <f>IFERROR(__xludf.DUMMYFUNCTION("""COMPUTED_VALUE"""),"https://vt.tiktok.com/ZSHEgwsX9/")</f>
        <v>https://vt.tiktok.com/ZSHEgwsX9/</v>
      </c>
    </row>
    <row r="40">
      <c r="A40" s="255" t="str">
        <f>IFERROR(__xludf.DUMMYFUNCTION("""COMPUTED_VALUE"""),"MACRO")</f>
        <v>MACRO</v>
      </c>
      <c r="B40" s="23" t="str">
        <f>IFERROR(__xludf.DUMMYFUNCTION("""COMPUTED_VALUE"""),"bintangpelangi28")</f>
        <v>bintangpelangi28</v>
      </c>
      <c r="C40" s="257" t="str">
        <f>IFERROR(__xludf.DUMMYFUNCTION("""COMPUTED_VALUE"""),"https://www.tiktok.com/@bintangpelangi28")</f>
        <v>https://www.tiktok.com/@bintangpelangi28</v>
      </c>
      <c r="D40" s="270">
        <f>IFERROR(__xludf.DUMMYFUNCTION("""COMPUTED_VALUE"""),8.7774225385E10)</f>
        <v>87774225385</v>
      </c>
      <c r="E40" s="457">
        <f>IFERROR(__xludf.DUMMYFUNCTION("""COMPUTED_VALUE"""),100000.0)</f>
        <v>100000</v>
      </c>
      <c r="F40" s="270">
        <f>IFERROR(__xludf.DUMMYFUNCTION("""COMPUTED_VALUE"""),4.0)</f>
        <v>4</v>
      </c>
      <c r="G40" s="17" t="str">
        <f>IFERROR(__xludf.DUMMYFUNCTION("""COMPUTED_VALUE"""),"Sabun batang 1 Box ( 2 PCS )")</f>
        <v>Sabun batang 1 Box ( 2 PCS )</v>
      </c>
      <c r="H40" s="463" t="str">
        <f>IFERROR(__xludf.DUMMYFUNCTION("""COMPUTED_VALUE"""),"Sampai")</f>
        <v>Sampai</v>
      </c>
      <c r="I40" s="464" t="str">
        <f>IFERROR(__xludf.DUMMYFUNCTION("""COMPUTED_VALUE"""),"KIMME")</f>
        <v>KIMME</v>
      </c>
      <c r="J40" s="279" t="str">
        <f>IFERROR(__xludf.DUMMYFUNCTION("""COMPUTED_VALUE"""),"https://vt.tiktok.com/ZSmFLVB5U/")</f>
        <v>https://vt.tiktok.com/ZSmFLVB5U/</v>
      </c>
      <c r="K40" s="464" t="str">
        <f>IFERROR(__xludf.DUMMYFUNCTION("""COMPUTED_VALUE"""),"KIMME")</f>
        <v>KIMME</v>
      </c>
      <c r="L40" s="279" t="str">
        <f>IFERROR(__xludf.DUMMYFUNCTION("""COMPUTED_VALUE"""),"https://vt.tiktok.com/ZSmjAFu7m/")</f>
        <v>https://vt.tiktok.com/ZSmjAFu7m/</v>
      </c>
      <c r="M40" s="464" t="str">
        <f>IFERROR(__xludf.DUMMYFUNCTION("""COMPUTED_VALUE"""),"KIMME")</f>
        <v>KIMME</v>
      </c>
      <c r="N40" s="279" t="str">
        <f>IFERROR(__xludf.DUMMYFUNCTION("""COMPUTED_VALUE"""),"https://vt.tiktok.com/ZSmknvQaE/")</f>
        <v>https://vt.tiktok.com/ZSmknvQaE/</v>
      </c>
      <c r="O40" s="464" t="str">
        <f>IFERROR(__xludf.DUMMYFUNCTION("""COMPUTED_VALUE"""),"KIMME")</f>
        <v>KIMME</v>
      </c>
      <c r="P40" s="279" t="str">
        <f>IFERROR(__xludf.DUMMYFUNCTION("""COMPUTED_VALUE"""),"https://vt.tiktok.com/ZSmU1uePM/")</f>
        <v>https://vt.tiktok.com/ZSmU1uePM/</v>
      </c>
    </row>
    <row r="41">
      <c r="A41" s="255" t="str">
        <f>IFERROR(__xludf.DUMMYFUNCTION("""COMPUTED_VALUE"""),"MACRO")</f>
        <v>MACRO</v>
      </c>
      <c r="B41" s="23" t="str">
        <f>IFERROR(__xludf.DUMMYFUNCTION("""COMPUTED_VALUE"""),"lovedaisy2488")</f>
        <v>lovedaisy2488</v>
      </c>
      <c r="C41" s="257" t="str">
        <f>IFERROR(__xludf.DUMMYFUNCTION("""COMPUTED_VALUE"""),"https://www.tiktok.com/@lovedaisy2488")</f>
        <v>https://www.tiktok.com/@lovedaisy2488</v>
      </c>
      <c r="D41" s="270">
        <f>IFERROR(__xludf.DUMMYFUNCTION("""COMPUTED_VALUE"""),8.1259955496E10)</f>
        <v>81259955496</v>
      </c>
      <c r="E41" s="457">
        <f>IFERROR(__xludf.DUMMYFUNCTION("""COMPUTED_VALUE"""),0.0)</f>
        <v>0</v>
      </c>
      <c r="F41" s="270">
        <f>IFERROR(__xludf.DUMMYFUNCTION("""COMPUTED_VALUE"""),4.0)</f>
        <v>4</v>
      </c>
      <c r="G41" s="17" t="str">
        <f>IFERROR(__xludf.DUMMYFUNCTION("""COMPUTED_VALUE"""),"Sabun batang 1 Box ( 2 PCS )")</f>
        <v>Sabun batang 1 Box ( 2 PCS )</v>
      </c>
      <c r="H41" s="463" t="str">
        <f>IFERROR(__xludf.DUMMYFUNCTION("""COMPUTED_VALUE"""),"Sampai")</f>
        <v>Sampai</v>
      </c>
      <c r="I41" s="464" t="str">
        <f>IFERROR(__xludf.DUMMYFUNCTION("""COMPUTED_VALUE"""),"KIMME")</f>
        <v>KIMME</v>
      </c>
      <c r="J41" s="279" t="str">
        <f>IFERROR(__xludf.DUMMYFUNCTION("""COMPUTED_VALUE"""),"https://vt.tiktok.com/ZSmpdnrBE/")</f>
        <v>https://vt.tiktok.com/ZSmpdnrBE/</v>
      </c>
      <c r="K41" s="464" t="str">
        <f>IFERROR(__xludf.DUMMYFUNCTION("""COMPUTED_VALUE"""),"KIMME")</f>
        <v>KIMME</v>
      </c>
      <c r="L41" s="279" t="str">
        <f>IFERROR(__xludf.DUMMYFUNCTION("""COMPUTED_VALUE"""),"https://vt.tiktok.com/ZSmW8jX6W/")</f>
        <v>https://vt.tiktok.com/ZSmW8jX6W/</v>
      </c>
      <c r="M41" s="464" t="str">
        <f>IFERROR(__xludf.DUMMYFUNCTION("""COMPUTED_VALUE"""),"KIMME")</f>
        <v>KIMME</v>
      </c>
      <c r="N41" s="279" t="str">
        <f>IFERROR(__xludf.DUMMYFUNCTION("""COMPUTED_VALUE"""),"https://vt.tiktok.com/ZSmtEP2X2/")</f>
        <v>https://vt.tiktok.com/ZSmtEP2X2/</v>
      </c>
      <c r="O41" s="464" t="str">
        <f>IFERROR(__xludf.DUMMYFUNCTION("""COMPUTED_VALUE"""),"KIMME")</f>
        <v>KIMME</v>
      </c>
      <c r="P41" s="279" t="str">
        <f>IFERROR(__xludf.DUMMYFUNCTION("""COMPUTED_VALUE"""),"https://vt.tiktok.com/ZSmUdR4JG/")</f>
        <v>https://vt.tiktok.com/ZSmUdR4JG/</v>
      </c>
    </row>
    <row r="42">
      <c r="A42" s="255" t="str">
        <f>IFERROR(__xludf.DUMMYFUNCTION("""COMPUTED_VALUE"""),"MICRO")</f>
        <v>MICRO</v>
      </c>
      <c r="B42" s="23" t="str">
        <f>IFERROR(__xludf.DUMMYFUNCTION("""COMPUTED_VALUE"""),"sibar0324")</f>
        <v>sibar0324</v>
      </c>
      <c r="C42" s="257" t="str">
        <f>IFERROR(__xludf.DUMMYFUNCTION("""COMPUTED_VALUE"""),"https://www.tiktok.com/@sibar0324")</f>
        <v>https://www.tiktok.com/@sibar0324</v>
      </c>
      <c r="D42" s="270">
        <f>IFERROR(__xludf.DUMMYFUNCTION("""COMPUTED_VALUE"""),8.9646474955E10)</f>
        <v>89646474955</v>
      </c>
      <c r="E42" s="457">
        <f>IFERROR(__xludf.DUMMYFUNCTION("""COMPUTED_VALUE"""),100000.0)</f>
        <v>100000</v>
      </c>
      <c r="F42" s="270">
        <f>IFERROR(__xludf.DUMMYFUNCTION("""COMPUTED_VALUE"""),4.0)</f>
        <v>4</v>
      </c>
      <c r="G42" s="17" t="str">
        <f>IFERROR(__xludf.DUMMYFUNCTION("""COMPUTED_VALUE"""),"Sabun batang 1 Box ( 2 PCS )")</f>
        <v>Sabun batang 1 Box ( 2 PCS )</v>
      </c>
      <c r="H42" s="463" t="str">
        <f>IFERROR(__xludf.DUMMYFUNCTION("""COMPUTED_VALUE"""),"Sampai")</f>
        <v>Sampai</v>
      </c>
      <c r="I42" s="464" t="str">
        <f>IFERROR(__xludf.DUMMYFUNCTION("""COMPUTED_VALUE"""),"KIMME")</f>
        <v>KIMME</v>
      </c>
      <c r="J42" s="279" t="str">
        <f>IFERROR(__xludf.DUMMYFUNCTION("""COMPUTED_VALUE"""),"https://vt.tiktok.com/ZSmvdQy3c/")</f>
        <v>https://vt.tiktok.com/ZSmvdQy3c/</v>
      </c>
      <c r="K42" s="464" t="str">
        <f>IFERROR(__xludf.DUMMYFUNCTION("""COMPUTED_VALUE"""),"KIMME")</f>
        <v>KIMME</v>
      </c>
      <c r="L42" s="279" t="str">
        <f>IFERROR(__xludf.DUMMYFUNCTION("""COMPUTED_VALUE"""),"https://vt.tiktok.com/ZSmvdVDSE/")</f>
        <v>https://vt.tiktok.com/ZSmvdVDSE/</v>
      </c>
      <c r="M42" s="464" t="str">
        <f>IFERROR(__xludf.DUMMYFUNCTION("""COMPUTED_VALUE"""),"KIMME")</f>
        <v>KIMME</v>
      </c>
      <c r="N42" s="279" t="str">
        <f>IFERROR(__xludf.DUMMYFUNCTION("""COMPUTED_VALUE"""),"https://vt.tiktok.com/ZSmvdqkkf/")</f>
        <v>https://vt.tiktok.com/ZSmvdqkkf/</v>
      </c>
      <c r="O42" s="464" t="str">
        <f>IFERROR(__xludf.DUMMYFUNCTION("""COMPUTED_VALUE"""),"KIMME")</f>
        <v>KIMME</v>
      </c>
      <c r="P42" s="279" t="str">
        <f>IFERROR(__xludf.DUMMYFUNCTION("""COMPUTED_VALUE"""),"https://vt.tiktok.com/ZSmvd7cgm/")</f>
        <v>https://vt.tiktok.com/ZSmvd7cgm/</v>
      </c>
    </row>
    <row r="43">
      <c r="A43" s="255" t="str">
        <f>IFERROR(__xludf.DUMMYFUNCTION("""COMPUTED_VALUE"""),"MICRO")</f>
        <v>MICRO</v>
      </c>
      <c r="B43" s="23" t="str">
        <f>IFERROR(__xludf.DUMMYFUNCTION("""COMPUTED_VALUE"""),"fitrifitt_")</f>
        <v>fitrifitt_</v>
      </c>
      <c r="C43" s="257" t="str">
        <f>IFERROR(__xludf.DUMMYFUNCTION("""COMPUTED_VALUE"""),"https://www.tiktok.com/@fitrifitt_")</f>
        <v>https://www.tiktok.com/@fitrifitt_</v>
      </c>
      <c r="D43" s="270">
        <f>IFERROR(__xludf.DUMMYFUNCTION("""COMPUTED_VALUE"""),8.3135723078E10)</f>
        <v>83135723078</v>
      </c>
      <c r="E43" s="457">
        <f>IFERROR(__xludf.DUMMYFUNCTION("""COMPUTED_VALUE"""),100000.0)</f>
        <v>100000</v>
      </c>
      <c r="F43" s="270">
        <f>IFERROR(__xludf.DUMMYFUNCTION("""COMPUTED_VALUE"""),4.0)</f>
        <v>4</v>
      </c>
      <c r="G43" s="17" t="str">
        <f>IFERROR(__xludf.DUMMYFUNCTION("""COMPUTED_VALUE"""),"Sabun batang 1 Box ( 2 PCS )")</f>
        <v>Sabun batang 1 Box ( 2 PCS )</v>
      </c>
      <c r="H43" s="463" t="str">
        <f>IFERROR(__xludf.DUMMYFUNCTION("""COMPUTED_VALUE"""),"Sampai")</f>
        <v>Sampai</v>
      </c>
      <c r="I43" s="464" t="str">
        <f>IFERROR(__xludf.DUMMYFUNCTION("""COMPUTED_VALUE"""),"KIMME")</f>
        <v>KIMME</v>
      </c>
      <c r="J43" s="279" t="str">
        <f>IFERROR(__xludf.DUMMYFUNCTION("""COMPUTED_VALUE"""),"https://vt.tiktok.com/ZSuJHtfjr/")</f>
        <v>https://vt.tiktok.com/ZSuJHtfjr/</v>
      </c>
      <c r="K43" s="464" t="str">
        <f>IFERROR(__xludf.DUMMYFUNCTION("""COMPUTED_VALUE"""),"KIMME")</f>
        <v>KIMME</v>
      </c>
      <c r="L43" s="279" t="str">
        <f>IFERROR(__xludf.DUMMYFUNCTION("""COMPUTED_VALUE"""),"https://vt.tiktok.com/ZSuL9LWMA/")</f>
        <v>https://vt.tiktok.com/ZSuL9LWMA/</v>
      </c>
      <c r="M43" s="464" t="str">
        <f>IFERROR(__xludf.DUMMYFUNCTION("""COMPUTED_VALUE"""),"KIMME")</f>
        <v>KIMME</v>
      </c>
      <c r="N43" s="279" t="str">
        <f>IFERROR(__xludf.DUMMYFUNCTION("""COMPUTED_VALUE"""),"https://vt.tiktok.com/ZSu6SEgc9/")</f>
        <v>https://vt.tiktok.com/ZSu6SEgc9/</v>
      </c>
      <c r="O43" s="464" t="str">
        <f>IFERROR(__xludf.DUMMYFUNCTION("""COMPUTED_VALUE"""),"KIMME")</f>
        <v>KIMME</v>
      </c>
      <c r="P43" s="279" t="str">
        <f>IFERROR(__xludf.DUMMYFUNCTION("""COMPUTED_VALUE"""),"https://vt.tiktok.com/ZSuM8hAn5/")</f>
        <v>https://vt.tiktok.com/ZSuM8hAn5/</v>
      </c>
    </row>
    <row r="44">
      <c r="A44" s="255" t="str">
        <f>IFERROR(__xludf.DUMMYFUNCTION("""COMPUTED_VALUE"""),"MICRO")</f>
        <v>MICRO</v>
      </c>
      <c r="B44" s="23" t="str">
        <f>IFERROR(__xludf.DUMMYFUNCTION("""COMPUTED_VALUE"""),"shinta.deput")</f>
        <v>shinta.deput</v>
      </c>
      <c r="C44" s="257" t="str">
        <f>IFERROR(__xludf.DUMMYFUNCTION("""COMPUTED_VALUE"""),"https://www.tiktok.com/@shinta.deput")</f>
        <v>https://www.tiktok.com/@shinta.deput</v>
      </c>
      <c r="D44" s="270">
        <f>IFERROR(__xludf.DUMMYFUNCTION("""COMPUTED_VALUE"""),8.5740007341E10)</f>
        <v>85740007341</v>
      </c>
      <c r="E44" s="457">
        <f>IFERROR(__xludf.DUMMYFUNCTION("""COMPUTED_VALUE"""),100000.0)</f>
        <v>100000</v>
      </c>
      <c r="F44" s="270">
        <f>IFERROR(__xludf.DUMMYFUNCTION("""COMPUTED_VALUE"""),4.0)</f>
        <v>4</v>
      </c>
      <c r="G44" s="17" t="str">
        <f>IFERROR(__xludf.DUMMYFUNCTION("""COMPUTED_VALUE"""),"Sabun batang 1 Box ( 2 PCS )")</f>
        <v>Sabun batang 1 Box ( 2 PCS )</v>
      </c>
      <c r="H44" s="463" t="str">
        <f>IFERROR(__xludf.DUMMYFUNCTION("""COMPUTED_VALUE"""),"Sampai")</f>
        <v>Sampai</v>
      </c>
      <c r="I44" s="464" t="str">
        <f>IFERROR(__xludf.DUMMYFUNCTION("""COMPUTED_VALUE"""),"KIMME")</f>
        <v>KIMME</v>
      </c>
      <c r="J44" s="279" t="str">
        <f>IFERROR(__xludf.DUMMYFUNCTION("""COMPUTED_VALUE"""),"https://vt.tiktok.com/ZSmUeWvSJ/")</f>
        <v>https://vt.tiktok.com/ZSmUeWvSJ/</v>
      </c>
      <c r="K44" s="464" t="str">
        <f>IFERROR(__xludf.DUMMYFUNCTION("""COMPUTED_VALUE"""),"KIMME")</f>
        <v>KIMME</v>
      </c>
      <c r="L44" s="279" t="str">
        <f>IFERROR(__xludf.DUMMYFUNCTION("""COMPUTED_VALUE"""),"https://vt.tiktok.com/ZSmXGwSJs/")</f>
        <v>https://vt.tiktok.com/ZSmXGwSJs/</v>
      </c>
      <c r="M44" s="464" t="str">
        <f>IFERROR(__xludf.DUMMYFUNCTION("""COMPUTED_VALUE"""),"KIMME")</f>
        <v>KIMME</v>
      </c>
      <c r="N44" s="279" t="str">
        <f>IFERROR(__xludf.DUMMYFUNCTION("""COMPUTED_VALUE"""),"https://vt.tiktok.com/ZSmgaXYGK/")</f>
        <v>https://vt.tiktok.com/ZSmgaXYGK/</v>
      </c>
      <c r="O44" s="464" t="str">
        <f>IFERROR(__xludf.DUMMYFUNCTION("""COMPUTED_VALUE"""),"KIMME")</f>
        <v>KIMME</v>
      </c>
      <c r="P44" s="279" t="str">
        <f>IFERROR(__xludf.DUMMYFUNCTION("""COMPUTED_VALUE"""),"https://vt.tiktok.com/ZSmgaVkp5/")</f>
        <v>https://vt.tiktok.com/ZSmgaVkp5/</v>
      </c>
    </row>
    <row r="45">
      <c r="A45" s="255" t="str">
        <f>IFERROR(__xludf.DUMMYFUNCTION("""COMPUTED_VALUE"""),"MICRO")</f>
        <v>MICRO</v>
      </c>
      <c r="B45" s="23" t="str">
        <f>IFERROR(__xludf.DUMMYFUNCTION("""COMPUTED_VALUE"""),"luthfiiiii13")</f>
        <v>luthfiiiii13</v>
      </c>
      <c r="C45" s="257" t="str">
        <f>IFERROR(__xludf.DUMMYFUNCTION("""COMPUTED_VALUE"""),"https://www.tiktok.com/@luthfiiiii13")</f>
        <v>https://www.tiktok.com/@luthfiiiii13</v>
      </c>
      <c r="D45" s="270">
        <f>IFERROR(__xludf.DUMMYFUNCTION("""COMPUTED_VALUE"""),8.9651658095E10)</f>
        <v>89651658095</v>
      </c>
      <c r="E45" s="457">
        <f>IFERROR(__xludf.DUMMYFUNCTION("""COMPUTED_VALUE"""),100000.0)</f>
        <v>100000</v>
      </c>
      <c r="F45" s="270">
        <f>IFERROR(__xludf.DUMMYFUNCTION("""COMPUTED_VALUE"""),4.0)</f>
        <v>4</v>
      </c>
      <c r="G45" s="17" t="str">
        <f>IFERROR(__xludf.DUMMYFUNCTION("""COMPUTED_VALUE"""),"Sabun batang 1 Box ( 2 PCS )")</f>
        <v>Sabun batang 1 Box ( 2 PCS )</v>
      </c>
      <c r="H45" s="463" t="str">
        <f>IFERROR(__xludf.DUMMYFUNCTION("""COMPUTED_VALUE"""),"Sampai")</f>
        <v>Sampai</v>
      </c>
      <c r="I45" s="464" t="str">
        <f>IFERROR(__xludf.DUMMYFUNCTION("""COMPUTED_VALUE"""),"KIMME")</f>
        <v>KIMME</v>
      </c>
      <c r="J45" s="279" t="str">
        <f>IFERROR(__xludf.DUMMYFUNCTION("""COMPUTED_VALUE"""),"https://www.tiktok.com/@luthfiiiii13/video/7611578265790090517?is_from_webapp=1&amp;sender_device=pc")</f>
        <v>https://www.tiktok.com/@luthfiiiii13/video/7611578265790090517?is_from_webapp=1&amp;sender_device=pc</v>
      </c>
      <c r="K45" s="464" t="str">
        <f>IFERROR(__xludf.DUMMYFUNCTION("""COMPUTED_VALUE"""),"KIMME")</f>
        <v>KIMME</v>
      </c>
      <c r="L45" s="279" t="str">
        <f>IFERROR(__xludf.DUMMYFUNCTION("""COMPUTED_VALUE"""),"https://www.tiktok.com/@luthfiiiii13/video/7613044860785806613?is_from_webapp=1&amp;sender_device=pc")</f>
        <v>https://www.tiktok.com/@luthfiiiii13/video/7613044860785806613?is_from_webapp=1&amp;sender_device=pc</v>
      </c>
      <c r="M45" s="464" t="str">
        <f>IFERROR(__xludf.DUMMYFUNCTION("""COMPUTED_VALUE"""),"KIMME")</f>
        <v>KIMME</v>
      </c>
      <c r="N45" s="279" t="str">
        <f>IFERROR(__xludf.DUMMYFUNCTION("""COMPUTED_VALUE"""),"https://vt.tiktok.com/ZSuJybH8e/")</f>
        <v>https://vt.tiktok.com/ZSuJybH8e/</v>
      </c>
      <c r="O45" s="464" t="str">
        <f>IFERROR(__xludf.DUMMYFUNCTION("""COMPUTED_VALUE"""),"KIMME")</f>
        <v>KIMME</v>
      </c>
      <c r="P45" s="279" t="str">
        <f>IFERROR(__xludf.DUMMYFUNCTION("""COMPUTED_VALUE"""),"https://vt.tiktok.com/ZSuJyfUsW/")</f>
        <v>https://vt.tiktok.com/ZSuJyfUsW/</v>
      </c>
    </row>
    <row r="46">
      <c r="A46" s="255" t="str">
        <f>IFERROR(__xludf.DUMMYFUNCTION("""COMPUTED_VALUE"""),"MICRO")</f>
        <v>MICRO</v>
      </c>
      <c r="B46" s="23" t="str">
        <f>IFERROR(__xludf.DUMMYFUNCTION("""COMPUTED_VALUE"""),"nunnadesi97")</f>
        <v>nunnadesi97</v>
      </c>
      <c r="C46" s="257" t="str">
        <f>IFERROR(__xludf.DUMMYFUNCTION("""COMPUTED_VALUE"""),"https://www.tiktok.com/@nunnadesi97")</f>
        <v>https://www.tiktok.com/@nunnadesi97</v>
      </c>
      <c r="D46" s="270">
        <f>IFERROR(__xludf.DUMMYFUNCTION("""COMPUTED_VALUE"""),8.5894799078E10)</f>
        <v>85894799078</v>
      </c>
      <c r="E46" s="457">
        <f>IFERROR(__xludf.DUMMYFUNCTION("""COMPUTED_VALUE"""),100000.0)</f>
        <v>100000</v>
      </c>
      <c r="F46" s="270">
        <f>IFERROR(__xludf.DUMMYFUNCTION("""COMPUTED_VALUE"""),4.0)</f>
        <v>4</v>
      </c>
      <c r="G46" s="17" t="str">
        <f>IFERROR(__xludf.DUMMYFUNCTION("""COMPUTED_VALUE"""),"Sabun batang 1 Box ( 2 PCS )")</f>
        <v>Sabun batang 1 Box ( 2 PCS )</v>
      </c>
      <c r="H46" s="463" t="str">
        <f>IFERROR(__xludf.DUMMYFUNCTION("""COMPUTED_VALUE"""),"Sampai")</f>
        <v>Sampai</v>
      </c>
      <c r="I46" s="464" t="str">
        <f>IFERROR(__xludf.DUMMYFUNCTION("""COMPUTED_VALUE"""),"KIMME")</f>
        <v>KIMME</v>
      </c>
      <c r="J46" s="279" t="str">
        <f>IFERROR(__xludf.DUMMYFUNCTION("""COMPUTED_VALUE"""),"https://vt.tiktok.com/ZSm2AEe4j/")</f>
        <v>https://vt.tiktok.com/ZSm2AEe4j/</v>
      </c>
      <c r="K46" s="464" t="str">
        <f>IFERROR(__xludf.DUMMYFUNCTION("""COMPUTED_VALUE"""),"KIMME")</f>
        <v>KIMME</v>
      </c>
      <c r="L46" s="279" t="str">
        <f>IFERROR(__xludf.DUMMYFUNCTION("""COMPUTED_VALUE"""),"https://vt.tiktok.com/ZSmrwFGJx/")</f>
        <v>https://vt.tiktok.com/ZSmrwFGJx/</v>
      </c>
      <c r="M46" s="464" t="str">
        <f>IFERROR(__xludf.DUMMYFUNCTION("""COMPUTED_VALUE"""),"KIMME")</f>
        <v>KIMME</v>
      </c>
      <c r="N46" s="279" t="str">
        <f>IFERROR(__xludf.DUMMYFUNCTION("""COMPUTED_VALUE"""),"https://vt.tiktok.com/ZSma2tNxY/")</f>
        <v>https://vt.tiktok.com/ZSma2tNxY/</v>
      </c>
      <c r="O46" s="464" t="str">
        <f>IFERROR(__xludf.DUMMYFUNCTION("""COMPUTED_VALUE"""),"KIMME")</f>
        <v>KIMME</v>
      </c>
      <c r="P46" s="279" t="str">
        <f>IFERROR(__xludf.DUMMYFUNCTION("""COMPUTED_VALUE"""),"https://vt.tiktok.com/ZSmQh7rgo/")</f>
        <v>https://vt.tiktok.com/ZSmQh7rgo/</v>
      </c>
    </row>
    <row r="47">
      <c r="A47" s="255" t="str">
        <f>IFERROR(__xludf.DUMMYFUNCTION("""COMPUTED_VALUE"""),"MICRO")</f>
        <v>MICRO</v>
      </c>
      <c r="B47" s="23" t="str">
        <f>IFERROR(__xludf.DUMMYFUNCTION("""COMPUTED_VALUE"""),"reviewwilda")</f>
        <v>reviewwilda</v>
      </c>
      <c r="C47" s="257" t="str">
        <f>IFERROR(__xludf.DUMMYFUNCTION("""COMPUTED_VALUE"""),"https://www.tiktok.com/@reviewwilda")</f>
        <v>https://www.tiktok.com/@reviewwilda</v>
      </c>
      <c r="D47" s="270">
        <f>IFERROR(__xludf.DUMMYFUNCTION("""COMPUTED_VALUE"""),8.128899406E10)</f>
        <v>81288994060</v>
      </c>
      <c r="E47" s="457">
        <f>IFERROR(__xludf.DUMMYFUNCTION("""COMPUTED_VALUE"""),100000.0)</f>
        <v>100000</v>
      </c>
      <c r="F47" s="270">
        <f>IFERROR(__xludf.DUMMYFUNCTION("""COMPUTED_VALUE"""),4.0)</f>
        <v>4</v>
      </c>
      <c r="G47" s="17" t="str">
        <f>IFERROR(__xludf.DUMMYFUNCTION("""COMPUTED_VALUE"""),"Sabun batang 1 Box ( 2 PCS )")</f>
        <v>Sabun batang 1 Box ( 2 PCS )</v>
      </c>
      <c r="H47" s="463" t="str">
        <f>IFERROR(__xludf.DUMMYFUNCTION("""COMPUTED_VALUE"""),"Sampai")</f>
        <v>Sampai</v>
      </c>
      <c r="I47" s="464" t="str">
        <f>IFERROR(__xludf.DUMMYFUNCTION("""COMPUTED_VALUE"""),"KIMME")</f>
        <v>KIMME</v>
      </c>
      <c r="J47" s="279" t="str">
        <f>IFERROR(__xludf.DUMMYFUNCTION("""COMPUTED_VALUE"""),"https://vt.tiktok.com/ZSmDEv86r/")</f>
        <v>https://vt.tiktok.com/ZSmDEv86r/</v>
      </c>
      <c r="K47" s="464" t="str">
        <f>IFERROR(__xludf.DUMMYFUNCTION("""COMPUTED_VALUE"""),"KIMME")</f>
        <v>KIMME</v>
      </c>
      <c r="L47" s="279" t="str">
        <f>IFERROR(__xludf.DUMMYFUNCTION("""COMPUTED_VALUE"""),"https://vt.tiktok.com/ZSm5TtPSK/")</f>
        <v>https://vt.tiktok.com/ZSm5TtPSK/</v>
      </c>
      <c r="M47" s="464" t="str">
        <f>IFERROR(__xludf.DUMMYFUNCTION("""COMPUTED_VALUE"""),"KIMME")</f>
        <v>KIMME</v>
      </c>
      <c r="N47" s="279" t="str">
        <f>IFERROR(__xludf.DUMMYFUNCTION("""COMPUTED_VALUE"""),"https://vt.tiktok.com/ZSm5wJgFR/")</f>
        <v>https://vt.tiktok.com/ZSm5wJgFR/</v>
      </c>
      <c r="O47" s="464" t="str">
        <f>IFERROR(__xludf.DUMMYFUNCTION("""COMPUTED_VALUE"""),"KIMME")</f>
        <v>KIMME</v>
      </c>
      <c r="P47" s="279" t="str">
        <f>IFERROR(__xludf.DUMMYFUNCTION("""COMPUTED_VALUE"""),"https://vt.tiktok.com/ZSmxFPXAf/")</f>
        <v>https://vt.tiktok.com/ZSmxFPXAf/</v>
      </c>
    </row>
    <row r="48">
      <c r="A48" s="255" t="str">
        <f>IFERROR(__xludf.DUMMYFUNCTION("""COMPUTED_VALUE"""),"MICRO")</f>
        <v>MICRO</v>
      </c>
      <c r="B48" s="23" t="str">
        <f>IFERROR(__xludf.DUMMYFUNCTION("""COMPUTED_VALUE"""),"ayla19553")</f>
        <v>ayla19553</v>
      </c>
      <c r="C48" s="257" t="str">
        <f>IFERROR(__xludf.DUMMYFUNCTION("""COMPUTED_VALUE"""),"https://www.tiktok.com/@ayla19553")</f>
        <v>https://www.tiktok.com/@ayla19553</v>
      </c>
      <c r="D48" s="270">
        <f>IFERROR(__xludf.DUMMYFUNCTION("""COMPUTED_VALUE"""),8.1332677895E10)</f>
        <v>81332677895</v>
      </c>
      <c r="E48" s="457">
        <f>IFERROR(__xludf.DUMMYFUNCTION("""COMPUTED_VALUE"""),100000.0)</f>
        <v>100000</v>
      </c>
      <c r="F48" s="270">
        <f>IFERROR(__xludf.DUMMYFUNCTION("""COMPUTED_VALUE"""),4.0)</f>
        <v>4</v>
      </c>
      <c r="G48" s="17" t="str">
        <f>IFERROR(__xludf.DUMMYFUNCTION("""COMPUTED_VALUE"""),"Sabun batang 1 Box ( 2 PCS )")</f>
        <v>Sabun batang 1 Box ( 2 PCS )</v>
      </c>
      <c r="H48" s="463" t="str">
        <f>IFERROR(__xludf.DUMMYFUNCTION("""COMPUTED_VALUE"""),"Sampai")</f>
        <v>Sampai</v>
      </c>
      <c r="I48" s="464" t="str">
        <f>IFERROR(__xludf.DUMMYFUNCTION("""COMPUTED_VALUE"""),"KIMME")</f>
        <v>KIMME</v>
      </c>
      <c r="J48" s="279" t="str">
        <f>IFERROR(__xludf.DUMMYFUNCTION("""COMPUTED_VALUE"""),"https://vt.tiktok.com/ZSmFsnVoD/")</f>
        <v>https://vt.tiktok.com/ZSmFsnVoD/</v>
      </c>
      <c r="K48" s="464" t="str">
        <f>IFERROR(__xludf.DUMMYFUNCTION("""COMPUTED_VALUE"""),"KIMME")</f>
        <v>KIMME</v>
      </c>
      <c r="L48" s="279" t="str">
        <f>IFERROR(__xludf.DUMMYFUNCTION("""COMPUTED_VALUE"""),"https://vt.tiktok.com/ZSmj4frj8/")</f>
        <v>https://vt.tiktok.com/ZSmj4frj8/</v>
      </c>
      <c r="M48" s="464" t="str">
        <f>IFERROR(__xludf.DUMMYFUNCTION("""COMPUTED_VALUE"""),"KIMME")</f>
        <v>KIMME</v>
      </c>
      <c r="N48" s="279" t="str">
        <f>IFERROR(__xludf.DUMMYFUNCTION("""COMPUTED_VALUE"""),"https://vt.tiktok.com/ZSmP8NBeM/")</f>
        <v>https://vt.tiktok.com/ZSmP8NBeM/</v>
      </c>
      <c r="O48" s="464" t="str">
        <f>IFERROR(__xludf.DUMMYFUNCTION("""COMPUTED_VALUE"""),"KIMME")</f>
        <v>KIMME</v>
      </c>
      <c r="P48" s="279" t="str">
        <f>IFERROR(__xludf.DUMMYFUNCTION("""COMPUTED_VALUE"""),"https://vt.tiktok.com/ZSmaWycsb/")</f>
        <v>https://vt.tiktok.com/ZSmaWycsb/</v>
      </c>
    </row>
    <row r="49">
      <c r="A49" s="255" t="str">
        <f>IFERROR(__xludf.DUMMYFUNCTION("""COMPUTED_VALUE"""),"MICRO")</f>
        <v>MICRO</v>
      </c>
      <c r="B49" s="23" t="str">
        <f>IFERROR(__xludf.DUMMYFUNCTION("""COMPUTED_VALUE"""),"yanpuspita05")</f>
        <v>yanpuspita05</v>
      </c>
      <c r="C49" s="257" t="str">
        <f>IFERROR(__xludf.DUMMYFUNCTION("""COMPUTED_VALUE"""),"https://www.tiktok.com/@yanpuspita05")</f>
        <v>https://www.tiktok.com/@yanpuspita05</v>
      </c>
      <c r="D49" s="270">
        <f>IFERROR(__xludf.DUMMYFUNCTION("""COMPUTED_VALUE"""),8.9519814486E10)</f>
        <v>89519814486</v>
      </c>
      <c r="E49" s="457">
        <f>IFERROR(__xludf.DUMMYFUNCTION("""COMPUTED_VALUE"""),100000.0)</f>
        <v>100000</v>
      </c>
      <c r="F49" s="270">
        <f>IFERROR(__xludf.DUMMYFUNCTION("""COMPUTED_VALUE"""),4.0)</f>
        <v>4</v>
      </c>
      <c r="G49" s="17" t="str">
        <f>IFERROR(__xludf.DUMMYFUNCTION("""COMPUTED_VALUE"""),"Sabun batang 1 Box ( 2 PCS )")</f>
        <v>Sabun batang 1 Box ( 2 PCS )</v>
      </c>
      <c r="H49" s="463" t="str">
        <f>IFERROR(__xludf.DUMMYFUNCTION("""COMPUTED_VALUE"""),"Sampai")</f>
        <v>Sampai</v>
      </c>
      <c r="I49" s="464" t="str">
        <f>IFERROR(__xludf.DUMMYFUNCTION("""COMPUTED_VALUE"""),"KIMME")</f>
        <v>KIMME</v>
      </c>
      <c r="J49" s="279" t="str">
        <f>IFERROR(__xludf.DUMMYFUNCTION("""COMPUTED_VALUE"""),"https://vt.tiktok.com/ZSmktpDf8/")</f>
        <v>https://vt.tiktok.com/ZSmktpDf8/</v>
      </c>
      <c r="K49" s="464" t="str">
        <f>IFERROR(__xludf.DUMMYFUNCTION("""COMPUTED_VALUE"""),"KIMME")</f>
        <v>KIMME</v>
      </c>
      <c r="L49" s="279" t="str">
        <f>IFERROR(__xludf.DUMMYFUNCTION("""COMPUTED_VALUE"""),"https://vt.tiktok.com/ZSmfyfHhb/")</f>
        <v>https://vt.tiktok.com/ZSmfyfHhb/</v>
      </c>
      <c r="M49" s="464" t="str">
        <f>IFERROR(__xludf.DUMMYFUNCTION("""COMPUTED_VALUE"""),"KIMME")</f>
        <v>KIMME</v>
      </c>
      <c r="N49" s="279" t="str">
        <f>IFERROR(__xludf.DUMMYFUNCTION("""COMPUTED_VALUE"""),"https://vt.tiktok.com/ZSmVPDqhW/")</f>
        <v>https://vt.tiktok.com/ZSmVPDqhW/</v>
      </c>
      <c r="O49" s="464" t="str">
        <f>IFERROR(__xludf.DUMMYFUNCTION("""COMPUTED_VALUE"""),"KIMME")</f>
        <v>KIMME</v>
      </c>
      <c r="P49" s="279" t="str">
        <f>IFERROR(__xludf.DUMMYFUNCTION("""COMPUTED_VALUE"""),"https://vt.tiktok.com/ZSmVPts85/")</f>
        <v>https://vt.tiktok.com/ZSmVPts85/</v>
      </c>
    </row>
    <row r="50">
      <c r="A50" s="255" t="str">
        <f>IFERROR(__xludf.DUMMYFUNCTION("""COMPUTED_VALUE"""),"MICRO")</f>
        <v>MICRO</v>
      </c>
      <c r="B50" s="23" t="str">
        <f>IFERROR(__xludf.DUMMYFUNCTION("""COMPUTED_VALUE"""),"ririwindarii")</f>
        <v>ririwindarii</v>
      </c>
      <c r="C50" s="257" t="str">
        <f>IFERROR(__xludf.DUMMYFUNCTION("""COMPUTED_VALUE"""),"https://www.tiktok.com/@ririwindarii")</f>
        <v>https://www.tiktok.com/@ririwindarii</v>
      </c>
      <c r="D50" s="270">
        <f>IFERROR(__xludf.DUMMYFUNCTION("""COMPUTED_VALUE"""),8.5282405115E10)</f>
        <v>85282405115</v>
      </c>
      <c r="E50" s="457">
        <f>IFERROR(__xludf.DUMMYFUNCTION("""COMPUTED_VALUE"""),100000.0)</f>
        <v>100000</v>
      </c>
      <c r="F50" s="270">
        <f>IFERROR(__xludf.DUMMYFUNCTION("""COMPUTED_VALUE"""),4.0)</f>
        <v>4</v>
      </c>
      <c r="G50" s="17" t="str">
        <f>IFERROR(__xludf.DUMMYFUNCTION("""COMPUTED_VALUE"""),"Sabun batang 1 Box ( 2 PCS )")</f>
        <v>Sabun batang 1 Box ( 2 PCS )</v>
      </c>
      <c r="H50" s="463" t="str">
        <f>IFERROR(__xludf.DUMMYFUNCTION("""COMPUTED_VALUE"""),"Sampai")</f>
        <v>Sampai</v>
      </c>
      <c r="I50" s="464" t="str">
        <f>IFERROR(__xludf.DUMMYFUNCTION("""COMPUTED_VALUE"""),"KIMME")</f>
        <v>KIMME</v>
      </c>
      <c r="J50" s="279" t="str">
        <f>IFERROR(__xludf.DUMMYFUNCTION("""COMPUTED_VALUE"""),"https://vt.tiktok.com/ZSmQWtMkg/")</f>
        <v>https://vt.tiktok.com/ZSmQWtMkg/</v>
      </c>
      <c r="K50" s="464" t="str">
        <f>IFERROR(__xludf.DUMMYFUNCTION("""COMPUTED_VALUE"""),"KIMME")</f>
        <v>KIMME</v>
      </c>
      <c r="L50" s="279" t="str">
        <f>IFERROR(__xludf.DUMMYFUNCTION("""COMPUTED_VALUE"""),"https://vt.tiktok.com/ZSm4EGV9X/")</f>
        <v>https://vt.tiktok.com/ZSm4EGV9X/</v>
      </c>
      <c r="M50" s="464" t="str">
        <f>IFERROR(__xludf.DUMMYFUNCTION("""COMPUTED_VALUE"""),"KIMME")</f>
        <v>KIMME</v>
      </c>
      <c r="N50" s="279" t="str">
        <f>IFERROR(__xludf.DUMMYFUNCTION("""COMPUTED_VALUE"""),"https://vt.tiktok.com/ZSmspdV82/")</f>
        <v>https://vt.tiktok.com/ZSmspdV82/</v>
      </c>
      <c r="O50" s="464" t="str">
        <f>IFERROR(__xludf.DUMMYFUNCTION("""COMPUTED_VALUE"""),"KIMME")</f>
        <v>KIMME</v>
      </c>
      <c r="P50" s="279" t="str">
        <f>IFERROR(__xludf.DUMMYFUNCTION("""COMPUTED_VALUE"""),"https://vt.tiktok.com/ZSmGGN7gR/")</f>
        <v>https://vt.tiktok.com/ZSmGGN7gR/</v>
      </c>
    </row>
    <row r="51">
      <c r="A51" s="255" t="str">
        <f>IFERROR(__xludf.DUMMYFUNCTION("""COMPUTED_VALUE"""),"MACRO")</f>
        <v>MACRO</v>
      </c>
      <c r="B51" s="23" t="str">
        <f>IFERROR(__xludf.DUMMYFUNCTION("""COMPUTED_VALUE"""),"elzahiraa25")</f>
        <v>elzahiraa25</v>
      </c>
      <c r="C51" s="257" t="str">
        <f>IFERROR(__xludf.DUMMYFUNCTION("""COMPUTED_VALUE"""),"https://www.tiktok.com/@elzahiraa25")</f>
        <v>https://www.tiktok.com/@elzahiraa25</v>
      </c>
      <c r="D51" s="270">
        <f>IFERROR(__xludf.DUMMYFUNCTION("""COMPUTED_VALUE"""),8.979443408E9)</f>
        <v>8979443408</v>
      </c>
      <c r="E51" s="457">
        <f>IFERROR(__xludf.DUMMYFUNCTION("""COMPUTED_VALUE"""),100000.0)</f>
        <v>100000</v>
      </c>
      <c r="F51" s="270">
        <f>IFERROR(__xludf.DUMMYFUNCTION("""COMPUTED_VALUE"""),4.0)</f>
        <v>4</v>
      </c>
      <c r="G51" s="17" t="str">
        <f>IFERROR(__xludf.DUMMYFUNCTION("""COMPUTED_VALUE"""),"Sabun batang 1 Box ( 2 PCS )")</f>
        <v>Sabun batang 1 Box ( 2 PCS )</v>
      </c>
      <c r="H51" s="463" t="str">
        <f>IFERROR(__xludf.DUMMYFUNCTION("""COMPUTED_VALUE"""),"Sampai")</f>
        <v>Sampai</v>
      </c>
      <c r="I51" s="464" t="str">
        <f>IFERROR(__xludf.DUMMYFUNCTION("""COMPUTED_VALUE"""),"KIMME")</f>
        <v>KIMME</v>
      </c>
      <c r="J51" s="279" t="str">
        <f>IFERROR(__xludf.DUMMYFUNCTION("""COMPUTED_VALUE"""),"https://vt.tiktok.com/ZSmY8MBbj/")</f>
        <v>https://vt.tiktok.com/ZSmY8MBbj/</v>
      </c>
      <c r="K51" s="464" t="str">
        <f>IFERROR(__xludf.DUMMYFUNCTION("""COMPUTED_VALUE"""),"KIMME")</f>
        <v>KIMME</v>
      </c>
      <c r="L51" s="279" t="str">
        <f>IFERROR(__xludf.DUMMYFUNCTION("""COMPUTED_VALUE"""),"https://vt.tiktok.com/ZSmBLE6m7/")</f>
        <v>https://vt.tiktok.com/ZSmBLE6m7/</v>
      </c>
      <c r="M51" s="464" t="str">
        <f>IFERROR(__xludf.DUMMYFUNCTION("""COMPUTED_VALUE"""),"KIMME")</f>
        <v>KIMME</v>
      </c>
      <c r="N51" s="279" t="str">
        <f>IFERROR(__xludf.DUMMYFUNCTION("""COMPUTED_VALUE"""),"https://vt.tiktok.com/ZSmPsPb1U/")</f>
        <v>https://vt.tiktok.com/ZSmPsPb1U/</v>
      </c>
      <c r="O51" s="464" t="str">
        <f>IFERROR(__xludf.DUMMYFUNCTION("""COMPUTED_VALUE"""),"KIMME")</f>
        <v>KIMME</v>
      </c>
      <c r="P51" s="279" t="str">
        <f>IFERROR(__xludf.DUMMYFUNCTION("""COMPUTED_VALUE"""),"https://vt.tiktok.com/ZSmQLXbjx/")</f>
        <v>https://vt.tiktok.com/ZSmQLXbjx/</v>
      </c>
    </row>
    <row r="52">
      <c r="A52" s="255" t="str">
        <f>IFERROR(__xludf.DUMMYFUNCTION("""COMPUTED_VALUE"""),"MICRO")</f>
        <v>MICRO</v>
      </c>
      <c r="B52" s="23" t="str">
        <f>IFERROR(__xludf.DUMMYFUNCTION("""COMPUTED_VALUE"""),"r.amalia_mel")</f>
        <v>r.amalia_mel</v>
      </c>
      <c r="C52" s="257" t="str">
        <f>IFERROR(__xludf.DUMMYFUNCTION("""COMPUTED_VALUE"""),"https://www.tiktok.com/@r.amalia_mel")</f>
        <v>https://www.tiktok.com/@r.amalia_mel</v>
      </c>
      <c r="D52" s="270">
        <f>IFERROR(__xludf.DUMMYFUNCTION("""COMPUTED_VALUE"""),8.5809890989E10)</f>
        <v>85809890989</v>
      </c>
      <c r="E52" s="457">
        <f>IFERROR(__xludf.DUMMYFUNCTION("""COMPUTED_VALUE"""),100000.0)</f>
        <v>100000</v>
      </c>
      <c r="F52" s="270">
        <f>IFERROR(__xludf.DUMMYFUNCTION("""COMPUTED_VALUE"""),4.0)</f>
        <v>4</v>
      </c>
      <c r="G52" s="17" t="str">
        <f>IFERROR(__xludf.DUMMYFUNCTION("""COMPUTED_VALUE"""),"Sabun batang 1 Box ( 2 PCS )")</f>
        <v>Sabun batang 1 Box ( 2 PCS )</v>
      </c>
      <c r="H52" s="463" t="str">
        <f>IFERROR(__xludf.DUMMYFUNCTION("""COMPUTED_VALUE"""),"Sampai")</f>
        <v>Sampai</v>
      </c>
      <c r="I52" s="464" t="str">
        <f>IFERROR(__xludf.DUMMYFUNCTION("""COMPUTED_VALUE"""),"KIMME")</f>
        <v>KIMME</v>
      </c>
      <c r="J52" s="279" t="str">
        <f>IFERROR(__xludf.DUMMYFUNCTION("""COMPUTED_VALUE"""),"https://vt.tiktok.com/ZSmm3euuB/")</f>
        <v>https://vt.tiktok.com/ZSmm3euuB/</v>
      </c>
      <c r="K52" s="464" t="str">
        <f>IFERROR(__xludf.DUMMYFUNCTION("""COMPUTED_VALUE"""),"KIMME")</f>
        <v>KIMME</v>
      </c>
      <c r="L52" s="279" t="str">
        <f>IFERROR(__xludf.DUMMYFUNCTION("""COMPUTED_VALUE"""),"https://vt.tiktok.com/ZSmQaD1AE/")</f>
        <v>https://vt.tiktok.com/ZSmQaD1AE/</v>
      </c>
      <c r="M52" s="464" t="str">
        <f>IFERROR(__xludf.DUMMYFUNCTION("""COMPUTED_VALUE"""),"KIMME")</f>
        <v>KIMME</v>
      </c>
      <c r="N52" s="279" t="str">
        <f>IFERROR(__xludf.DUMMYFUNCTION("""COMPUTED_VALUE"""),"https://vt.tiktok.com/ZSm5kP7s5/")</f>
        <v>https://vt.tiktok.com/ZSm5kP7s5/</v>
      </c>
      <c r="O52" s="464" t="str">
        <f>IFERROR(__xludf.DUMMYFUNCTION("""COMPUTED_VALUE"""),"KIMME")</f>
        <v>KIMME</v>
      </c>
      <c r="P52" s="279" t="str">
        <f>IFERROR(__xludf.DUMMYFUNCTION("""COMPUTED_VALUE"""),"https://vt.tiktok.com/ZSmqRGFpK/")</f>
        <v>https://vt.tiktok.com/ZSmqRGFpK/</v>
      </c>
    </row>
    <row r="53">
      <c r="A53" s="255" t="str">
        <f>IFERROR(__xludf.DUMMYFUNCTION("""COMPUTED_VALUE"""),"MICRO")</f>
        <v>MICRO</v>
      </c>
      <c r="B53" s="23" t="str">
        <f>IFERROR(__xludf.DUMMYFUNCTION("""COMPUTED_VALUE"""),"enjesoeyono")</f>
        <v>enjesoeyono</v>
      </c>
      <c r="C53" s="257" t="str">
        <f>IFERROR(__xludf.DUMMYFUNCTION("""COMPUTED_VALUE"""),"https://www.tiktok.com/@enjesoeyono")</f>
        <v>https://www.tiktok.com/@enjesoeyono</v>
      </c>
      <c r="D53" s="270">
        <f>IFERROR(__xludf.DUMMYFUNCTION("""COMPUTED_VALUE"""),8.2280809055E10)</f>
        <v>82280809055</v>
      </c>
      <c r="E53" s="457">
        <f>IFERROR(__xludf.DUMMYFUNCTION("""COMPUTED_VALUE"""),100000.0)</f>
        <v>100000</v>
      </c>
      <c r="F53" s="270">
        <f>IFERROR(__xludf.DUMMYFUNCTION("""COMPUTED_VALUE"""),4.0)</f>
        <v>4</v>
      </c>
      <c r="G53" s="17" t="str">
        <f>IFERROR(__xludf.DUMMYFUNCTION("""COMPUTED_VALUE"""),"Sabun batang 1 Box ( 2 PCS )")</f>
        <v>Sabun batang 1 Box ( 2 PCS )</v>
      </c>
      <c r="H53" s="463" t="str">
        <f>IFERROR(__xludf.DUMMYFUNCTION("""COMPUTED_VALUE"""),"Sampai")</f>
        <v>Sampai</v>
      </c>
      <c r="I53" s="464" t="str">
        <f>IFERROR(__xludf.DUMMYFUNCTION("""COMPUTED_VALUE"""),"KIMME")</f>
        <v>KIMME</v>
      </c>
      <c r="J53" s="279" t="str">
        <f>IFERROR(__xludf.DUMMYFUNCTION("""COMPUTED_VALUE"""),"https://vt.tiktok.com/ZSm4oXTkY/")</f>
        <v>https://vt.tiktok.com/ZSm4oXTkY/</v>
      </c>
      <c r="K53" s="464" t="str">
        <f>IFERROR(__xludf.DUMMYFUNCTION("""COMPUTED_VALUE"""),"KIMME")</f>
        <v>KIMME</v>
      </c>
      <c r="L53" s="279" t="str">
        <f>IFERROR(__xludf.DUMMYFUNCTION("""COMPUTED_VALUE"""),"https://vt.tiktok.com/ZSmV625M6/")</f>
        <v>https://vt.tiktok.com/ZSmV625M6/</v>
      </c>
      <c r="M53" s="464" t="str">
        <f>IFERROR(__xludf.DUMMYFUNCTION("""COMPUTED_VALUE"""),"KIMME")</f>
        <v>KIMME</v>
      </c>
      <c r="N53" s="279" t="str">
        <f>IFERROR(__xludf.DUMMYFUNCTION("""COMPUTED_VALUE"""),"https://vt.tiktok.com/ZSmBsvw5Q/")</f>
        <v>https://vt.tiktok.com/ZSmBsvw5Q/</v>
      </c>
      <c r="O53" s="464" t="str">
        <f>IFERROR(__xludf.DUMMYFUNCTION("""COMPUTED_VALUE"""),"KIMME")</f>
        <v>KIMME</v>
      </c>
      <c r="P53" s="279" t="str">
        <f>IFERROR(__xludf.DUMMYFUNCTION("""COMPUTED_VALUE"""),"https://vt.tiktok.com/ZSmpSYjW6/")</f>
        <v>https://vt.tiktok.com/ZSmpSYjW6/</v>
      </c>
    </row>
    <row r="54">
      <c r="A54" s="255" t="str">
        <f>IFERROR(__xludf.DUMMYFUNCTION("""COMPUTED_VALUE"""),"MICRO")</f>
        <v>MICRO</v>
      </c>
      <c r="B54" s="23" t="str">
        <f>IFERROR(__xludf.DUMMYFUNCTION("""COMPUTED_VALUE"""),"liakomalasari15")</f>
        <v>liakomalasari15</v>
      </c>
      <c r="C54" s="257" t="str">
        <f>IFERROR(__xludf.DUMMYFUNCTION("""COMPUTED_VALUE"""),"https://www.tiktok.com/@liakomalasari15")</f>
        <v>https://www.tiktok.com/@liakomalasari15</v>
      </c>
      <c r="D54" s="270">
        <f>IFERROR(__xludf.DUMMYFUNCTION("""COMPUTED_VALUE"""),8.1388359694E10)</f>
        <v>81388359694</v>
      </c>
      <c r="E54" s="457">
        <f>IFERROR(__xludf.DUMMYFUNCTION("""COMPUTED_VALUE"""),100000.0)</f>
        <v>100000</v>
      </c>
      <c r="F54" s="270">
        <f>IFERROR(__xludf.DUMMYFUNCTION("""COMPUTED_VALUE"""),4.0)</f>
        <v>4</v>
      </c>
      <c r="G54" s="17" t="str">
        <f>IFERROR(__xludf.DUMMYFUNCTION("""COMPUTED_VALUE"""),"Sabun batang 1 Box ( 2 PCS )")</f>
        <v>Sabun batang 1 Box ( 2 PCS )</v>
      </c>
      <c r="H54" s="463" t="str">
        <f>IFERROR(__xludf.DUMMYFUNCTION("""COMPUTED_VALUE"""),"Sampai")</f>
        <v>Sampai</v>
      </c>
      <c r="I54" s="464" t="str">
        <f>IFERROR(__xludf.DUMMYFUNCTION("""COMPUTED_VALUE"""),"KIMME")</f>
        <v>KIMME</v>
      </c>
      <c r="J54" s="279" t="str">
        <f>IFERROR(__xludf.DUMMYFUNCTION("""COMPUTED_VALUE"""),"https://vt.tiktok.com/ZSmaE6Lwt/")</f>
        <v>https://vt.tiktok.com/ZSmaE6Lwt/</v>
      </c>
      <c r="K54" s="464" t="str">
        <f>IFERROR(__xludf.DUMMYFUNCTION("""COMPUTED_VALUE"""),"KIMME")</f>
        <v>KIMME</v>
      </c>
      <c r="L54" s="279" t="str">
        <f>IFERROR(__xludf.DUMMYFUNCTION("""COMPUTED_VALUE"""),"https://vt.tiktok.com/ZSm98gJ3E/")</f>
        <v>https://vt.tiktok.com/ZSm98gJ3E/</v>
      </c>
      <c r="M54" s="464" t="str">
        <f>IFERROR(__xludf.DUMMYFUNCTION("""COMPUTED_VALUE"""),"KIMME")</f>
        <v>KIMME</v>
      </c>
      <c r="N54" s="279" t="str">
        <f>IFERROR(__xludf.DUMMYFUNCTION("""COMPUTED_VALUE"""),"https://vt.tiktok.com/ZSmBUD2Jj/")</f>
        <v>https://vt.tiktok.com/ZSmBUD2Jj/</v>
      </c>
      <c r="O54" s="464" t="str">
        <f>IFERROR(__xludf.DUMMYFUNCTION("""COMPUTED_VALUE"""),"KIMME")</f>
        <v>KIMME</v>
      </c>
      <c r="P54" s="279" t="str">
        <f>IFERROR(__xludf.DUMMYFUNCTION("""COMPUTED_VALUE"""),"https://vt.tiktok.com/ZSmXYgsGA/")</f>
        <v>https://vt.tiktok.com/ZSmXYgsGA/</v>
      </c>
    </row>
    <row r="55">
      <c r="A55" s="255" t="str">
        <f>IFERROR(__xludf.DUMMYFUNCTION("""COMPUTED_VALUE"""),"MICRO")</f>
        <v>MICRO</v>
      </c>
      <c r="B55" s="23" t="str">
        <f>IFERROR(__xludf.DUMMYFUNCTION("""COMPUTED_VALUE"""),"una.211")</f>
        <v>una.211</v>
      </c>
      <c r="C55" s="257" t="str">
        <f>IFERROR(__xludf.DUMMYFUNCTION("""COMPUTED_VALUE"""),"https://www.tiktok.com/@una.211")</f>
        <v>https://www.tiktok.com/@una.211</v>
      </c>
      <c r="D55" s="270">
        <f>IFERROR(__xludf.DUMMYFUNCTION("""COMPUTED_VALUE"""),8.9525853072E10)</f>
        <v>89525853072</v>
      </c>
      <c r="E55" s="457">
        <f>IFERROR(__xludf.DUMMYFUNCTION("""COMPUTED_VALUE"""),100000.0)</f>
        <v>100000</v>
      </c>
      <c r="F55" s="270">
        <f>IFERROR(__xludf.DUMMYFUNCTION("""COMPUTED_VALUE"""),4.0)</f>
        <v>4</v>
      </c>
      <c r="G55" s="17" t="str">
        <f>IFERROR(__xludf.DUMMYFUNCTION("""COMPUTED_VALUE"""),"Sabun batang 1 Box ( 2 PCS )")</f>
        <v>Sabun batang 1 Box ( 2 PCS )</v>
      </c>
      <c r="H55" s="463" t="str">
        <f>IFERROR(__xludf.DUMMYFUNCTION("""COMPUTED_VALUE"""),"Sampai")</f>
        <v>Sampai</v>
      </c>
      <c r="I55" s="464" t="str">
        <f>IFERROR(__xludf.DUMMYFUNCTION("""COMPUTED_VALUE"""),"KIMME")</f>
        <v>KIMME</v>
      </c>
      <c r="J55" s="279" t="str">
        <f>IFERROR(__xludf.DUMMYFUNCTION("""COMPUTED_VALUE"""),"https://vt.tiktok.com/ZSm6kgc99/")</f>
        <v>https://vt.tiktok.com/ZSm6kgc99/</v>
      </c>
      <c r="K55" s="464" t="str">
        <f>IFERROR(__xludf.DUMMYFUNCTION("""COMPUTED_VALUE"""),"KIMME")</f>
        <v>KIMME</v>
      </c>
      <c r="L55" s="279" t="str">
        <f>IFERROR(__xludf.DUMMYFUNCTION("""COMPUTED_VALUE"""),"https://vt.tiktok.com/ZSmkt3BWE/")</f>
        <v>https://vt.tiktok.com/ZSmkt3BWE/</v>
      </c>
      <c r="M55" s="464" t="str">
        <f>IFERROR(__xludf.DUMMYFUNCTION("""COMPUTED_VALUE"""),"KIMME")</f>
        <v>KIMME</v>
      </c>
      <c r="N55" s="279" t="str">
        <f>IFERROR(__xludf.DUMMYFUNCTION("""COMPUTED_VALUE"""),"https://vt.tiktok.com/ZSmSVeouv/")</f>
        <v>https://vt.tiktok.com/ZSmSVeouv/</v>
      </c>
      <c r="O55" s="464" t="str">
        <f>IFERROR(__xludf.DUMMYFUNCTION("""COMPUTED_VALUE"""),"KIMME")</f>
        <v>KIMME</v>
      </c>
      <c r="P55" s="279" t="str">
        <f>IFERROR(__xludf.DUMMYFUNCTION("""COMPUTED_VALUE"""),"https://vt.tiktok.com/ZSmVVPmSM/")</f>
        <v>https://vt.tiktok.com/ZSmVVPmSM/</v>
      </c>
    </row>
    <row r="56">
      <c r="A56" s="255" t="str">
        <f>IFERROR(__xludf.DUMMYFUNCTION("""COMPUTED_VALUE"""),"MICRO")</f>
        <v>MICRO</v>
      </c>
      <c r="B56" s="23" t="str">
        <f>IFERROR(__xludf.DUMMYFUNCTION("""COMPUTED_VALUE"""),"twingirls949")</f>
        <v>twingirls949</v>
      </c>
      <c r="C56" s="257" t="str">
        <f>IFERROR(__xludf.DUMMYFUNCTION("""COMPUTED_VALUE"""),"https://www.tiktok.com/@twingirls949")</f>
        <v>https://www.tiktok.com/@twingirls949</v>
      </c>
      <c r="D56" s="270">
        <f>IFERROR(__xludf.DUMMYFUNCTION("""COMPUTED_VALUE"""),8.3154964954E10)</f>
        <v>83154964954</v>
      </c>
      <c r="E56" s="457">
        <f>IFERROR(__xludf.DUMMYFUNCTION("""COMPUTED_VALUE"""),100000.0)</f>
        <v>100000</v>
      </c>
      <c r="F56" s="270">
        <f>IFERROR(__xludf.DUMMYFUNCTION("""COMPUTED_VALUE"""),4.0)</f>
        <v>4</v>
      </c>
      <c r="G56" s="17" t="str">
        <f>IFERROR(__xludf.DUMMYFUNCTION("""COMPUTED_VALUE"""),"Sabun batang 1 Box ( 2 PCS )")</f>
        <v>Sabun batang 1 Box ( 2 PCS )</v>
      </c>
      <c r="H56" s="463" t="str">
        <f>IFERROR(__xludf.DUMMYFUNCTION("""COMPUTED_VALUE"""),"Sampai")</f>
        <v>Sampai</v>
      </c>
      <c r="I56" s="464" t="str">
        <f>IFERROR(__xludf.DUMMYFUNCTION("""COMPUTED_VALUE"""),"KIMME")</f>
        <v>KIMME</v>
      </c>
      <c r="J56" s="279" t="str">
        <f>IFERROR(__xludf.DUMMYFUNCTION("""COMPUTED_VALUE"""),"https://vt.tiktok.com/ZSmUFCeJg/")</f>
        <v>https://vt.tiktok.com/ZSmUFCeJg/</v>
      </c>
      <c r="K56" s="464" t="str">
        <f>IFERROR(__xludf.DUMMYFUNCTION("""COMPUTED_VALUE"""),"KIMME")</f>
        <v>KIMME</v>
      </c>
      <c r="L56" s="279" t="str">
        <f>IFERROR(__xludf.DUMMYFUNCTION("""COMPUTED_VALUE"""),"https://vt.tiktok.com/ZSmyE7ScC/")</f>
        <v>https://vt.tiktok.com/ZSmyE7ScC/</v>
      </c>
      <c r="M56" s="464" t="str">
        <f>IFERROR(__xludf.DUMMYFUNCTION("""COMPUTED_VALUE"""),"KIMME")</f>
        <v>KIMME</v>
      </c>
      <c r="N56" s="279" t="str">
        <f>IFERROR(__xludf.DUMMYFUNCTION("""COMPUTED_VALUE"""),"https://vt.tiktok.com/ZSm5pXUCT/")</f>
        <v>https://vt.tiktok.com/ZSm5pXUCT/</v>
      </c>
      <c r="O56" s="464" t="str">
        <f>IFERROR(__xludf.DUMMYFUNCTION("""COMPUTED_VALUE"""),"KIMME")</f>
        <v>KIMME</v>
      </c>
      <c r="P56" s="279" t="str">
        <f>IFERROR(__xludf.DUMMYFUNCTION("""COMPUTED_VALUE"""),"https://vt.tiktok.com/ZSmmUWLjp/")</f>
        <v>https://vt.tiktok.com/ZSmmUWLjp/</v>
      </c>
    </row>
    <row r="57">
      <c r="A57" s="255" t="str">
        <f>IFERROR(__xludf.DUMMYFUNCTION("""COMPUTED_VALUE"""),"MACRO")</f>
        <v>MACRO</v>
      </c>
      <c r="B57" s="23" t="str">
        <f>IFERROR(__xludf.DUMMYFUNCTION("""COMPUTED_VALUE"""),"shofi_aliyatuningrum")</f>
        <v>shofi_aliyatuningrum</v>
      </c>
      <c r="C57" s="257" t="str">
        <f>IFERROR(__xludf.DUMMYFUNCTION("""COMPUTED_VALUE"""),"https://www.tiktok.com/@shofi_aliyatuningrum")</f>
        <v>https://www.tiktok.com/@shofi_aliyatuningrum</v>
      </c>
      <c r="D57" s="270">
        <f>IFERROR(__xludf.DUMMYFUNCTION("""COMPUTED_VALUE"""),8.5213690956E10)</f>
        <v>85213690956</v>
      </c>
      <c r="E57" s="457">
        <f>IFERROR(__xludf.DUMMYFUNCTION("""COMPUTED_VALUE"""),100000.0)</f>
        <v>100000</v>
      </c>
      <c r="F57" s="270">
        <f>IFERROR(__xludf.DUMMYFUNCTION("""COMPUTED_VALUE"""),4.0)</f>
        <v>4</v>
      </c>
      <c r="G57" s="17" t="str">
        <f>IFERROR(__xludf.DUMMYFUNCTION("""COMPUTED_VALUE"""),"Sabun batang 1 Box ( 2 PCS )")</f>
        <v>Sabun batang 1 Box ( 2 PCS )</v>
      </c>
      <c r="H57" s="463" t="str">
        <f>IFERROR(__xludf.DUMMYFUNCTION("""COMPUTED_VALUE"""),"Sampai")</f>
        <v>Sampai</v>
      </c>
      <c r="I57" s="464" t="str">
        <f>IFERROR(__xludf.DUMMYFUNCTION("""COMPUTED_VALUE"""),"KIMME")</f>
        <v>KIMME</v>
      </c>
      <c r="J57" s="279" t="str">
        <f>IFERROR(__xludf.DUMMYFUNCTION("""COMPUTED_VALUE"""),"https://vt.tiktok.com/ZSmrUwY13/")</f>
        <v>https://vt.tiktok.com/ZSmrUwY13/</v>
      </c>
      <c r="K57" s="464" t="str">
        <f>IFERROR(__xludf.DUMMYFUNCTION("""COMPUTED_VALUE"""),"KIMME")</f>
        <v>KIMME</v>
      </c>
      <c r="L57" s="279" t="str">
        <f>IFERROR(__xludf.DUMMYFUNCTION("""COMPUTED_VALUE"""),"https://vt.tiktok.com/ZSmryNREP/")</f>
        <v>https://vt.tiktok.com/ZSmryNREP/</v>
      </c>
      <c r="M57" s="464" t="str">
        <f>IFERROR(__xludf.DUMMYFUNCTION("""COMPUTED_VALUE"""),"KIMME")</f>
        <v>KIMME</v>
      </c>
      <c r="N57" s="279" t="str">
        <f>IFERROR(__xludf.DUMMYFUNCTION("""COMPUTED_VALUE"""),"https://vt.tiktok.com/ZSmSG9qK9/")</f>
        <v>https://vt.tiktok.com/ZSmSG9qK9/</v>
      </c>
      <c r="O57" s="464" t="str">
        <f>IFERROR(__xludf.DUMMYFUNCTION("""COMPUTED_VALUE"""),"KIMME")</f>
        <v>KIMME</v>
      </c>
      <c r="P57" s="279" t="str">
        <f>IFERROR(__xludf.DUMMYFUNCTION("""COMPUTED_VALUE"""),"https://vt.tiktok.com/ZSmXeWY2f/")</f>
        <v>https://vt.tiktok.com/ZSmXeWY2f/</v>
      </c>
    </row>
    <row r="58">
      <c r="A58" s="255" t="str">
        <f>IFERROR(__xludf.DUMMYFUNCTION("""COMPUTED_VALUE"""),"MICRO")</f>
        <v>MICRO</v>
      </c>
      <c r="B58" s="23" t="str">
        <f>IFERROR(__xludf.DUMMYFUNCTION("""COMPUTED_VALUE"""),"ini_uniii")</f>
        <v>ini_uniii</v>
      </c>
      <c r="C58" s="257" t="str">
        <f>IFERROR(__xludf.DUMMYFUNCTION("""COMPUTED_VALUE"""),"https://www.tiktok.com/@ini_uniii")</f>
        <v>https://www.tiktok.com/@ini_uniii</v>
      </c>
      <c r="D58" s="270">
        <f>IFERROR(__xludf.DUMMYFUNCTION("""COMPUTED_VALUE"""),8.9677135405E10)</f>
        <v>89677135405</v>
      </c>
      <c r="E58" s="457">
        <f>IFERROR(__xludf.DUMMYFUNCTION("""COMPUTED_VALUE"""),100000.0)</f>
        <v>100000</v>
      </c>
      <c r="F58" s="270">
        <f>IFERROR(__xludf.DUMMYFUNCTION("""COMPUTED_VALUE"""),4.0)</f>
        <v>4</v>
      </c>
      <c r="G58" s="17" t="str">
        <f>IFERROR(__xludf.DUMMYFUNCTION("""COMPUTED_VALUE"""),"Sabun batang 1 Box ( 2 PCS )")</f>
        <v>Sabun batang 1 Box ( 2 PCS )</v>
      </c>
      <c r="H58" s="463" t="str">
        <f>IFERROR(__xludf.DUMMYFUNCTION("""COMPUTED_VALUE"""),"Sampai")</f>
        <v>Sampai</v>
      </c>
      <c r="I58" s="464" t="str">
        <f>IFERROR(__xludf.DUMMYFUNCTION("""COMPUTED_VALUE"""),"KIMME")</f>
        <v>KIMME</v>
      </c>
      <c r="J58" s="279" t="str">
        <f>IFERROR(__xludf.DUMMYFUNCTION("""COMPUTED_VALUE"""),"https://vt.tiktok.com/ZSmSGMLo4/")</f>
        <v>https://vt.tiktok.com/ZSmSGMLo4/</v>
      </c>
      <c r="K58" s="464" t="str">
        <f>IFERROR(__xludf.DUMMYFUNCTION("""COMPUTED_VALUE"""),"KIMME")</f>
        <v>KIMME</v>
      </c>
      <c r="L58" s="279" t="str">
        <f>IFERROR(__xludf.DUMMYFUNCTION("""COMPUTED_VALUE"""),"https://vt.tiktok.com/ZSmSGSB7g/")</f>
        <v>https://vt.tiktok.com/ZSmSGSB7g/</v>
      </c>
      <c r="M58" s="464" t="str">
        <f>IFERROR(__xludf.DUMMYFUNCTION("""COMPUTED_VALUE"""),"KIMME")</f>
        <v>KIMME</v>
      </c>
      <c r="N58" s="279" t="str">
        <f>IFERROR(__xludf.DUMMYFUNCTION("""COMPUTED_VALUE"""),"https://vt.tiktok.com/ZSmSG2y1f/")</f>
        <v>https://vt.tiktok.com/ZSmSG2y1f/</v>
      </c>
      <c r="O58" s="464" t="str">
        <f>IFERROR(__xludf.DUMMYFUNCTION("""COMPUTED_VALUE"""),"KIMME")</f>
        <v>KIMME</v>
      </c>
      <c r="P58" s="279" t="str">
        <f>IFERROR(__xludf.DUMMYFUNCTION("""COMPUTED_VALUE"""),"https://vt.tiktok.com/ZSmXeFsfn/")</f>
        <v>https://vt.tiktok.com/ZSmXeFsfn/</v>
      </c>
    </row>
    <row r="59">
      <c r="A59" s="255" t="str">
        <f>IFERROR(__xludf.DUMMYFUNCTION("""COMPUTED_VALUE"""),"MICRO")</f>
        <v>MICRO</v>
      </c>
      <c r="B59" s="23" t="str">
        <f>IFERROR(__xludf.DUMMYFUNCTION("""COMPUTED_VALUE"""),"kirana.chandraluph")</f>
        <v>kirana.chandraluph</v>
      </c>
      <c r="C59" s="257" t="str">
        <f>IFERROR(__xludf.DUMMYFUNCTION("""COMPUTED_VALUE"""),"https://www.tiktok.com/@kirana.chandraluph")</f>
        <v>https://www.tiktok.com/@kirana.chandraluph</v>
      </c>
      <c r="D59" s="270">
        <f>IFERROR(__xludf.DUMMYFUNCTION("""COMPUTED_VALUE"""),8.1330011938E10)</f>
        <v>81330011938</v>
      </c>
      <c r="E59" s="457">
        <f>IFERROR(__xludf.DUMMYFUNCTION("""COMPUTED_VALUE"""),100000.0)</f>
        <v>100000</v>
      </c>
      <c r="F59" s="270">
        <f>IFERROR(__xludf.DUMMYFUNCTION("""COMPUTED_VALUE"""),4.0)</f>
        <v>4</v>
      </c>
      <c r="G59" s="17" t="str">
        <f>IFERROR(__xludf.DUMMYFUNCTION("""COMPUTED_VALUE"""),"Sabun batang 1 Box ( 2 PCS )")</f>
        <v>Sabun batang 1 Box ( 2 PCS )</v>
      </c>
      <c r="H59" s="463" t="str">
        <f>IFERROR(__xludf.DUMMYFUNCTION("""COMPUTED_VALUE"""),"Sampai")</f>
        <v>Sampai</v>
      </c>
      <c r="I59" s="464" t="str">
        <f>IFERROR(__xludf.DUMMYFUNCTION("""COMPUTED_VALUE"""),"KIMME")</f>
        <v>KIMME</v>
      </c>
      <c r="J59" s="279" t="str">
        <f>IFERROR(__xludf.DUMMYFUNCTION("""COMPUTED_VALUE"""),"https://vt.tiktok.com/ZSmFrH2B3/")</f>
        <v>https://vt.tiktok.com/ZSmFrH2B3/</v>
      </c>
      <c r="K59" s="464" t="str">
        <f>IFERROR(__xludf.DUMMYFUNCTION("""COMPUTED_VALUE"""),"KIMME")</f>
        <v>KIMME</v>
      </c>
      <c r="L59" s="279" t="str">
        <f>IFERROR(__xludf.DUMMYFUNCTION("""COMPUTED_VALUE"""),"https://vt.tiktok.com/ZSm62DR4q/")</f>
        <v>https://vt.tiktok.com/ZSm62DR4q/</v>
      </c>
      <c r="M59" s="464" t="str">
        <f>IFERROR(__xludf.DUMMYFUNCTION("""COMPUTED_VALUE"""),"KIMME")</f>
        <v>KIMME</v>
      </c>
      <c r="N59" s="279" t="str">
        <f>IFERROR(__xludf.DUMMYFUNCTION("""COMPUTED_VALUE"""),"https://vt.tiktok.com/ZSmDEQ5nj/")</f>
        <v>https://vt.tiktok.com/ZSmDEQ5nj/</v>
      </c>
      <c r="O59" s="464" t="str">
        <f>IFERROR(__xludf.DUMMYFUNCTION("""COMPUTED_VALUE"""),"KIMME")</f>
        <v>KIMME</v>
      </c>
      <c r="P59" s="279" t="str">
        <f>IFERROR(__xludf.DUMMYFUNCTION("""COMPUTED_VALUE"""),"https://vt.tiktok.com/ZSmXQmdRV/")</f>
        <v>https://vt.tiktok.com/ZSmXQmdRV/</v>
      </c>
    </row>
    <row r="60">
      <c r="A60" s="255" t="str">
        <f>IFERROR(__xludf.DUMMYFUNCTION("""COMPUTED_VALUE"""),"MICRO")</f>
        <v>MICRO</v>
      </c>
      <c r="B60" s="23" t="str">
        <f>IFERROR(__xludf.DUMMYFUNCTION("""COMPUTED_VALUE"""),"ike.m.ayu")</f>
        <v>ike.m.ayu</v>
      </c>
      <c r="C60" s="257" t="str">
        <f>IFERROR(__xludf.DUMMYFUNCTION("""COMPUTED_VALUE"""),"https://www.tiktok.com/@ike.m.ayu")</f>
        <v>https://www.tiktok.com/@ike.m.ayu</v>
      </c>
      <c r="D60" s="270">
        <f>IFERROR(__xludf.DUMMYFUNCTION("""COMPUTED_VALUE"""),8.3896503369E10)</f>
        <v>83896503369</v>
      </c>
      <c r="E60" s="457">
        <f>IFERROR(__xludf.DUMMYFUNCTION("""COMPUTED_VALUE"""),100000.0)</f>
        <v>100000</v>
      </c>
      <c r="F60" s="270">
        <f>IFERROR(__xludf.DUMMYFUNCTION("""COMPUTED_VALUE"""),4.0)</f>
        <v>4</v>
      </c>
      <c r="G60" s="17" t="str">
        <f>IFERROR(__xludf.DUMMYFUNCTION("""COMPUTED_VALUE"""),"Sabun batang 1 Box ( 2 PCS )")</f>
        <v>Sabun batang 1 Box ( 2 PCS )</v>
      </c>
      <c r="H60" s="463" t="str">
        <f>IFERROR(__xludf.DUMMYFUNCTION("""COMPUTED_VALUE"""),"Sampai")</f>
        <v>Sampai</v>
      </c>
      <c r="I60" s="464" t="str">
        <f>IFERROR(__xludf.DUMMYFUNCTION("""COMPUTED_VALUE"""),"KIMME")</f>
        <v>KIMME</v>
      </c>
      <c r="J60" s="279" t="str">
        <f>IFERROR(__xludf.DUMMYFUNCTION("""COMPUTED_VALUE"""),"https://vt.tiktok.com/ZSmF27Yv3/")</f>
        <v>https://vt.tiktok.com/ZSmF27Yv3/</v>
      </c>
      <c r="K60" s="464" t="str">
        <f>IFERROR(__xludf.DUMMYFUNCTION("""COMPUTED_VALUE"""),"KIMME")</f>
        <v>KIMME</v>
      </c>
      <c r="L60" s="279" t="str">
        <f>IFERROR(__xludf.DUMMYFUNCTION("""COMPUTED_VALUE"""),"https://vt.tiktok.com/ZSmrtnVjr/")</f>
        <v>https://vt.tiktok.com/ZSmrtnVjr/</v>
      </c>
      <c r="M60" s="464" t="str">
        <f>IFERROR(__xludf.DUMMYFUNCTION("""COMPUTED_VALUE"""),"KIMME")</f>
        <v>KIMME</v>
      </c>
      <c r="N60" s="279" t="str">
        <f>IFERROR(__xludf.DUMMYFUNCTION("""COMPUTED_VALUE"""),"https://vt.tiktok.com/ZSmDKJkPo/")</f>
        <v>https://vt.tiktok.com/ZSmDKJkPo/</v>
      </c>
      <c r="O60" s="464" t="str">
        <f>IFERROR(__xludf.DUMMYFUNCTION("""COMPUTED_VALUE"""),"KIMME")</f>
        <v>KIMME</v>
      </c>
      <c r="P60" s="279" t="str">
        <f>IFERROR(__xludf.DUMMYFUNCTION("""COMPUTED_VALUE"""),"https://vt.tiktok.com/ZSm5HNqYj/")</f>
        <v>https://vt.tiktok.com/ZSm5HNqYj/</v>
      </c>
    </row>
    <row r="61">
      <c r="A61" s="255" t="str">
        <f>IFERROR(__xludf.DUMMYFUNCTION("""COMPUTED_VALUE"""),"MICRO")</f>
        <v>MICRO</v>
      </c>
      <c r="B61" s="23" t="str">
        <f>IFERROR(__xludf.DUMMYFUNCTION("""COMPUTED_VALUE"""),"fentyameliza")</f>
        <v>fentyameliza</v>
      </c>
      <c r="C61" s="257" t="str">
        <f>IFERROR(__xludf.DUMMYFUNCTION("""COMPUTED_VALUE"""),"https://www.tiktok.com/@fentyameliza")</f>
        <v>https://www.tiktok.com/@fentyameliza</v>
      </c>
      <c r="D61" s="270">
        <f>IFERROR(__xludf.DUMMYFUNCTION("""COMPUTED_VALUE"""),8.5775095045E10)</f>
        <v>85775095045</v>
      </c>
      <c r="E61" s="457">
        <f>IFERROR(__xludf.DUMMYFUNCTION("""COMPUTED_VALUE"""),100000.0)</f>
        <v>100000</v>
      </c>
      <c r="F61" s="270">
        <f>IFERROR(__xludf.DUMMYFUNCTION("""COMPUTED_VALUE"""),4.0)</f>
        <v>4</v>
      </c>
      <c r="G61" s="17" t="str">
        <f>IFERROR(__xludf.DUMMYFUNCTION("""COMPUTED_VALUE"""),"Sabun batang 1 Box ( 2 PCS )")</f>
        <v>Sabun batang 1 Box ( 2 PCS )</v>
      </c>
      <c r="H61" s="463" t="str">
        <f>IFERROR(__xludf.DUMMYFUNCTION("""COMPUTED_VALUE"""),"Sampai")</f>
        <v>Sampai</v>
      </c>
      <c r="I61" s="464" t="str">
        <f>IFERROR(__xludf.DUMMYFUNCTION("""COMPUTED_VALUE"""),"KIMME")</f>
        <v>KIMME</v>
      </c>
      <c r="J61" s="279" t="str">
        <f>IFERROR(__xludf.DUMMYFUNCTION("""COMPUTED_VALUE"""),"https://vt.tiktok.com/ZSmajomJF/")</f>
        <v>https://vt.tiktok.com/ZSmajomJF/</v>
      </c>
      <c r="K61" s="464" t="str">
        <f>IFERROR(__xludf.DUMMYFUNCTION("""COMPUTED_VALUE"""),"KIMME")</f>
        <v>KIMME</v>
      </c>
      <c r="L61" s="279" t="str">
        <f>IFERROR(__xludf.DUMMYFUNCTION("""COMPUTED_VALUE"""),"https://vt.tiktok.com/ZSmXg1vM7/")</f>
        <v>https://vt.tiktok.com/ZSmXg1vM7/</v>
      </c>
      <c r="M61" s="464" t="str">
        <f>IFERROR(__xludf.DUMMYFUNCTION("""COMPUTED_VALUE"""),"KIMME")</f>
        <v>KIMME</v>
      </c>
      <c r="N61" s="279" t="str">
        <f>IFERROR(__xludf.DUMMYFUNCTION("""COMPUTED_VALUE"""),"https://vt.tiktok.com/ZSmq9NFt1/")</f>
        <v>https://vt.tiktok.com/ZSmq9NFt1/</v>
      </c>
      <c r="O61" s="464" t="str">
        <f>IFERROR(__xludf.DUMMYFUNCTION("""COMPUTED_VALUE"""),"KIMME")</f>
        <v>KIMME</v>
      </c>
      <c r="P61" s="279" t="str">
        <f>IFERROR(__xludf.DUMMYFUNCTION("""COMPUTED_VALUE"""),"https://vt.tiktok.com/ZSmpJbDqy/")</f>
        <v>https://vt.tiktok.com/ZSmpJbDqy/</v>
      </c>
    </row>
    <row r="62">
      <c r="A62" s="255" t="str">
        <f>IFERROR(__xludf.DUMMYFUNCTION("""COMPUTED_VALUE"""),"MICRO")</f>
        <v>MICRO</v>
      </c>
      <c r="B62" s="23" t="str">
        <f>IFERROR(__xludf.DUMMYFUNCTION("""COMPUTED_VALUE"""),"cherry_review21")</f>
        <v>cherry_review21</v>
      </c>
      <c r="C62" s="257" t="str">
        <f>IFERROR(__xludf.DUMMYFUNCTION("""COMPUTED_VALUE"""),"https://www.tiktok.com/@cherry_review21")</f>
        <v>https://www.tiktok.com/@cherry_review21</v>
      </c>
      <c r="D62" s="270">
        <f>IFERROR(__xludf.DUMMYFUNCTION("""COMPUTED_VALUE"""),8.5714778994E10)</f>
        <v>85714778994</v>
      </c>
      <c r="E62" s="457">
        <f>IFERROR(__xludf.DUMMYFUNCTION("""COMPUTED_VALUE"""),100000.0)</f>
        <v>100000</v>
      </c>
      <c r="F62" s="270">
        <f>IFERROR(__xludf.DUMMYFUNCTION("""COMPUTED_VALUE"""),4.0)</f>
        <v>4</v>
      </c>
      <c r="G62" s="17" t="str">
        <f>IFERROR(__xludf.DUMMYFUNCTION("""COMPUTED_VALUE"""),"Sabun batang 1 Box ( 2 PCS )")</f>
        <v>Sabun batang 1 Box ( 2 PCS )</v>
      </c>
      <c r="H62" s="463" t="str">
        <f>IFERROR(__xludf.DUMMYFUNCTION("""COMPUTED_VALUE"""),"Sampai")</f>
        <v>Sampai</v>
      </c>
      <c r="I62" s="464" t="str">
        <f>IFERROR(__xludf.DUMMYFUNCTION("""COMPUTED_VALUE"""),"KIMME")</f>
        <v>KIMME</v>
      </c>
      <c r="J62" s="279" t="str">
        <f>IFERROR(__xludf.DUMMYFUNCTION("""COMPUTED_VALUE"""),"https://vt.tiktok.com/ZSmXxX4Kv/")</f>
        <v>https://vt.tiktok.com/ZSmXxX4Kv/</v>
      </c>
      <c r="K62" s="464" t="str">
        <f>IFERROR(__xludf.DUMMYFUNCTION("""COMPUTED_VALUE"""),"KIMME")</f>
        <v>KIMME</v>
      </c>
      <c r="L62" s="279" t="str">
        <f>IFERROR(__xludf.DUMMYFUNCTION("""COMPUTED_VALUE"""),"https://vt.tiktok.com/ZSmVayHt4/")</f>
        <v>https://vt.tiktok.com/ZSmVayHt4/</v>
      </c>
      <c r="M62" s="464" t="str">
        <f>IFERROR(__xludf.DUMMYFUNCTION("""COMPUTED_VALUE"""),"KIMME")</f>
        <v>KIMME</v>
      </c>
      <c r="N62" s="279" t="str">
        <f>IFERROR(__xludf.DUMMYFUNCTION("""COMPUTED_VALUE"""),"https://vt.tiktok.com/ZSmtgNDH2/")</f>
        <v>https://vt.tiktok.com/ZSmtgNDH2/</v>
      </c>
      <c r="O62" s="464" t="str">
        <f>IFERROR(__xludf.DUMMYFUNCTION("""COMPUTED_VALUE"""),"KIMME")</f>
        <v>KIMME</v>
      </c>
      <c r="P62" s="279" t="str">
        <f>IFERROR(__xludf.DUMMYFUNCTION("""COMPUTED_VALUE"""),"https://vt.tiktok.com/ZSmc1WTHT/")</f>
        <v>https://vt.tiktok.com/ZSmc1WTHT/</v>
      </c>
    </row>
    <row r="63">
      <c r="A63" s="255" t="str">
        <f>IFERROR(__xludf.DUMMYFUNCTION("""COMPUTED_VALUE"""),"MICRO")</f>
        <v>MICRO</v>
      </c>
      <c r="B63" s="23" t="str">
        <f>IFERROR(__xludf.DUMMYFUNCTION("""COMPUTED_VALUE"""),"estersaputri_")</f>
        <v>estersaputri_</v>
      </c>
      <c r="C63" s="257" t="str">
        <f>IFERROR(__xludf.DUMMYFUNCTION("""COMPUTED_VALUE"""),"https://www.tiktok.com/@estersaputri_")</f>
        <v>https://www.tiktok.com/@estersaputri_</v>
      </c>
      <c r="D63" s="270">
        <f>IFERROR(__xludf.DUMMYFUNCTION("""COMPUTED_VALUE"""),8.5702299542E10)</f>
        <v>85702299542</v>
      </c>
      <c r="E63" s="457">
        <f>IFERROR(__xludf.DUMMYFUNCTION("""COMPUTED_VALUE"""),100000.0)</f>
        <v>100000</v>
      </c>
      <c r="F63" s="270">
        <f>IFERROR(__xludf.DUMMYFUNCTION("""COMPUTED_VALUE"""),4.0)</f>
        <v>4</v>
      </c>
      <c r="G63" s="17" t="str">
        <f>IFERROR(__xludf.DUMMYFUNCTION("""COMPUTED_VALUE"""),"Sabun batang 1 Box ( 2 PCS )")</f>
        <v>Sabun batang 1 Box ( 2 PCS )</v>
      </c>
      <c r="H63" s="463" t="str">
        <f>IFERROR(__xludf.DUMMYFUNCTION("""COMPUTED_VALUE"""),"Sampai")</f>
        <v>Sampai</v>
      </c>
      <c r="I63" s="464" t="str">
        <f>IFERROR(__xludf.DUMMYFUNCTION("""COMPUTED_VALUE"""),"KIMME")</f>
        <v>KIMME</v>
      </c>
      <c r="J63" s="279" t="str">
        <f>IFERROR(__xludf.DUMMYFUNCTION("""COMPUTED_VALUE"""),"https://vt.tiktok.com/ZSmjJV4G1/")</f>
        <v>https://vt.tiktok.com/ZSmjJV4G1/</v>
      </c>
      <c r="K63" s="464" t="str">
        <f>IFERROR(__xludf.DUMMYFUNCTION("""COMPUTED_VALUE"""),"KIMME")</f>
        <v>KIMME</v>
      </c>
      <c r="L63" s="279" t="str">
        <f>IFERROR(__xludf.DUMMYFUNCTION("""COMPUTED_VALUE"""),"https://vt.tiktok.com/ZSmUtkNPj/")</f>
        <v>https://vt.tiktok.com/ZSmUtkNPj/</v>
      </c>
      <c r="M63" s="464" t="str">
        <f>IFERROR(__xludf.DUMMYFUNCTION("""COMPUTED_VALUE"""),"KIMME")</f>
        <v>KIMME</v>
      </c>
      <c r="N63" s="279" t="str">
        <f>IFERROR(__xludf.DUMMYFUNCTION("""COMPUTED_VALUE"""),"https://vt.tiktok.com/ZSmQfdD6f/")</f>
        <v>https://vt.tiktok.com/ZSmQfdD6f/</v>
      </c>
      <c r="O63" s="464" t="str">
        <f>IFERROR(__xludf.DUMMYFUNCTION("""COMPUTED_VALUE"""),"KIMME")</f>
        <v>KIMME</v>
      </c>
      <c r="P63" s="279" t="str">
        <f>IFERROR(__xludf.DUMMYFUNCTION("""COMPUTED_VALUE"""),"https://vt.tiktok.com/ZSmXM6WPC/")</f>
        <v>https://vt.tiktok.com/ZSmXM6WPC/</v>
      </c>
    </row>
    <row r="64">
      <c r="A64" s="255" t="str">
        <f>IFERROR(__xludf.DUMMYFUNCTION("""COMPUTED_VALUE"""),"MICRO")</f>
        <v>MICRO</v>
      </c>
      <c r="B64" s="23" t="str">
        <f>IFERROR(__xludf.DUMMYFUNCTION("""COMPUTED_VALUE"""),"reviewtetehvia")</f>
        <v>reviewtetehvia</v>
      </c>
      <c r="C64" s="257" t="str">
        <f>IFERROR(__xludf.DUMMYFUNCTION("""COMPUTED_VALUE"""),"https://www.tiktok.com/@reviewtetehvia")</f>
        <v>https://www.tiktok.com/@reviewtetehvia</v>
      </c>
      <c r="D64" s="270">
        <f>IFERROR(__xludf.DUMMYFUNCTION("""COMPUTED_VALUE"""),8.1224196039E10)</f>
        <v>81224196039</v>
      </c>
      <c r="E64" s="457">
        <f>IFERROR(__xludf.DUMMYFUNCTION("""COMPUTED_VALUE"""),100000.0)</f>
        <v>100000</v>
      </c>
      <c r="F64" s="270">
        <f>IFERROR(__xludf.DUMMYFUNCTION("""COMPUTED_VALUE"""),4.0)</f>
        <v>4</v>
      </c>
      <c r="G64" s="17" t="str">
        <f>IFERROR(__xludf.DUMMYFUNCTION("""COMPUTED_VALUE"""),"Sabun batang 1 Box ( 2 PCS )")</f>
        <v>Sabun batang 1 Box ( 2 PCS )</v>
      </c>
      <c r="H64" s="463" t="str">
        <f>IFERROR(__xludf.DUMMYFUNCTION("""COMPUTED_VALUE"""),"Sampai")</f>
        <v>Sampai</v>
      </c>
      <c r="I64" s="464" t="str">
        <f>IFERROR(__xludf.DUMMYFUNCTION("""COMPUTED_VALUE"""),"KIMME")</f>
        <v>KIMME</v>
      </c>
      <c r="J64" s="279" t="str">
        <f>IFERROR(__xludf.DUMMYFUNCTION("""COMPUTED_VALUE"""),"https://vt.tiktok.com/ZSmBLoUbV/")</f>
        <v>https://vt.tiktok.com/ZSmBLoUbV/</v>
      </c>
      <c r="K64" s="464" t="str">
        <f>IFERROR(__xludf.DUMMYFUNCTION("""COMPUTED_VALUE"""),"KIMME")</f>
        <v>KIMME</v>
      </c>
      <c r="L64" s="279" t="str">
        <f>IFERROR(__xludf.DUMMYFUNCTION("""COMPUTED_VALUE"""),"https://vt.tiktok.com/ZSm9F72By/")</f>
        <v>https://vt.tiktok.com/ZSm9F72By/</v>
      </c>
      <c r="M64" s="464" t="str">
        <f>IFERROR(__xludf.DUMMYFUNCTION("""COMPUTED_VALUE"""),"KIMME")</f>
        <v>KIMME</v>
      </c>
      <c r="N64" s="279" t="str">
        <f>IFERROR(__xludf.DUMMYFUNCTION("""COMPUTED_VALUE"""),"https://vt.tiktok.com/ZSmq9R3SF/")</f>
        <v>https://vt.tiktok.com/ZSmq9R3SF/</v>
      </c>
      <c r="O64" s="464" t="str">
        <f>IFERROR(__xludf.DUMMYFUNCTION("""COMPUTED_VALUE"""),"KIMME")</f>
        <v>KIMME</v>
      </c>
      <c r="P64" s="279" t="str">
        <f>IFERROR(__xludf.DUMMYFUNCTION("""COMPUTED_VALUE"""),"https://vt.tiktok.com/ZSmbwqg4s/")</f>
        <v>https://vt.tiktok.com/ZSmbwqg4s/</v>
      </c>
    </row>
    <row r="65">
      <c r="A65" s="255" t="str">
        <f>IFERROR(__xludf.DUMMYFUNCTION("""COMPUTED_VALUE"""),"MICRO")</f>
        <v>MICRO</v>
      </c>
      <c r="B65" s="23" t="str">
        <f>IFERROR(__xludf.DUMMYFUNCTION("""COMPUTED_VALUE"""),"est.ayu")</f>
        <v>est.ayu</v>
      </c>
      <c r="C65" s="257" t="str">
        <f>IFERROR(__xludf.DUMMYFUNCTION("""COMPUTED_VALUE"""),"https://www.tiktok.com/@est.ayu")</f>
        <v>https://www.tiktok.com/@est.ayu</v>
      </c>
      <c r="D65" s="270">
        <f>IFERROR(__xludf.DUMMYFUNCTION("""COMPUTED_VALUE"""),8.5647703572E10)</f>
        <v>85647703572</v>
      </c>
      <c r="E65" s="457">
        <f>IFERROR(__xludf.DUMMYFUNCTION("""COMPUTED_VALUE"""),100000.0)</f>
        <v>100000</v>
      </c>
      <c r="F65" s="270">
        <f>IFERROR(__xludf.DUMMYFUNCTION("""COMPUTED_VALUE"""),4.0)</f>
        <v>4</v>
      </c>
      <c r="G65" s="17" t="str">
        <f>IFERROR(__xludf.DUMMYFUNCTION("""COMPUTED_VALUE"""),"Sabun batang 1 Box ( 2 PCS )")</f>
        <v>Sabun batang 1 Box ( 2 PCS )</v>
      </c>
      <c r="H65" s="463" t="str">
        <f>IFERROR(__xludf.DUMMYFUNCTION("""COMPUTED_VALUE"""),"Sampai")</f>
        <v>Sampai</v>
      </c>
      <c r="I65" s="464" t="str">
        <f>IFERROR(__xludf.DUMMYFUNCTION("""COMPUTED_VALUE"""),"KIMME")</f>
        <v>KIMME</v>
      </c>
      <c r="J65" s="279" t="str">
        <f>IFERROR(__xludf.DUMMYFUNCTION("""COMPUTED_VALUE"""),"https://vt.tiktok.com/ZSmmmuQFD/")</f>
        <v>https://vt.tiktok.com/ZSmmmuQFD/</v>
      </c>
      <c r="K65" s="464" t="str">
        <f>IFERROR(__xludf.DUMMYFUNCTION("""COMPUTED_VALUE"""),"KIMME")</f>
        <v>KIMME</v>
      </c>
      <c r="L65" s="279" t="str">
        <f>IFERROR(__xludf.DUMMYFUNCTION("""COMPUTED_VALUE"""),"https://vt.tiktok.com/ZSmvgSV4L/")</f>
        <v>https://vt.tiktok.com/ZSmvgSV4L/</v>
      </c>
      <c r="M65" s="464" t="str">
        <f>IFERROR(__xludf.DUMMYFUNCTION("""COMPUTED_VALUE"""),"KIMME")</f>
        <v>KIMME</v>
      </c>
      <c r="N65" s="279" t="str">
        <f>IFERROR(__xludf.DUMMYFUNCTION("""COMPUTED_VALUE"""),"https://vt.tiktok.com/ZSu1rUjf7/")</f>
        <v>https://vt.tiktok.com/ZSu1rUjf7/</v>
      </c>
      <c r="O65" s="464" t="str">
        <f>IFERROR(__xludf.DUMMYFUNCTION("""COMPUTED_VALUE"""),"KIMME")</f>
        <v>KIMME</v>
      </c>
      <c r="P65" s="279" t="str">
        <f>IFERROR(__xludf.DUMMYFUNCTION("""COMPUTED_VALUE"""),"https://vt.tiktok.com/ZSurpMSbe/")</f>
        <v>https://vt.tiktok.com/ZSurpMSbe/</v>
      </c>
    </row>
    <row r="66">
      <c r="A66" s="255" t="str">
        <f>IFERROR(__xludf.DUMMYFUNCTION("""COMPUTED_VALUE"""),"MICRO")</f>
        <v>MICRO</v>
      </c>
      <c r="B66" s="23" t="str">
        <f>IFERROR(__xludf.DUMMYFUNCTION("""COMPUTED_VALUE"""),"queena_03kl")</f>
        <v>queena_03kl</v>
      </c>
      <c r="C66" s="257" t="str">
        <f>IFERROR(__xludf.DUMMYFUNCTION("""COMPUTED_VALUE"""),"https://www.tiktok.com/@queena_03kl")</f>
        <v>https://www.tiktok.com/@queena_03kl</v>
      </c>
      <c r="D66" s="270">
        <f>IFERROR(__xludf.DUMMYFUNCTION("""COMPUTED_VALUE"""),8.59552513E10)</f>
        <v>85955251300</v>
      </c>
      <c r="E66" s="457">
        <f>IFERROR(__xludf.DUMMYFUNCTION("""COMPUTED_VALUE"""),100000.0)</f>
        <v>100000</v>
      </c>
      <c r="F66" s="270">
        <f>IFERROR(__xludf.DUMMYFUNCTION("""COMPUTED_VALUE"""),4.0)</f>
        <v>4</v>
      </c>
      <c r="G66" s="17" t="str">
        <f>IFERROR(__xludf.DUMMYFUNCTION("""COMPUTED_VALUE"""),"Sabun batang 1 Box ( 2 PCS )")</f>
        <v>Sabun batang 1 Box ( 2 PCS )</v>
      </c>
      <c r="H66" s="463" t="str">
        <f>IFERROR(__xludf.DUMMYFUNCTION("""COMPUTED_VALUE"""),"Sampai")</f>
        <v>Sampai</v>
      </c>
      <c r="I66" s="464" t="str">
        <f>IFERROR(__xludf.DUMMYFUNCTION("""COMPUTED_VALUE"""),"KIMME")</f>
        <v>KIMME</v>
      </c>
      <c r="J66" s="279" t="str">
        <f>IFERROR(__xludf.DUMMYFUNCTION("""COMPUTED_VALUE"""),"https://vt.tiktok.com/ZSmXYH7vW/")</f>
        <v>https://vt.tiktok.com/ZSmXYH7vW/</v>
      </c>
      <c r="K66" s="464" t="str">
        <f>IFERROR(__xludf.DUMMYFUNCTION("""COMPUTED_VALUE"""),"KIMME")</f>
        <v>KIMME</v>
      </c>
      <c r="L66" s="279" t="str">
        <f>IFERROR(__xludf.DUMMYFUNCTION("""COMPUTED_VALUE"""),"https://vt.tiktok.com/ZSm4BbWLC/")</f>
        <v>https://vt.tiktok.com/ZSm4BbWLC/</v>
      </c>
      <c r="M66" s="464" t="str">
        <f>IFERROR(__xludf.DUMMYFUNCTION("""COMPUTED_VALUE"""),"KIMME")</f>
        <v>KIMME</v>
      </c>
      <c r="N66" s="279" t="str">
        <f>IFERROR(__xludf.DUMMYFUNCTION("""COMPUTED_VALUE"""),"https://www.tiktok.com/@queena_03kl/video/7611898335120674069?is_from_webapp=1&amp;sender_device=pc")</f>
        <v>https://www.tiktok.com/@queena_03kl/video/7611898335120674069?is_from_webapp=1&amp;sender_device=pc</v>
      </c>
      <c r="O66" s="464" t="str">
        <f>IFERROR(__xludf.DUMMYFUNCTION("""COMPUTED_VALUE"""),"KIMME")</f>
        <v>KIMME</v>
      </c>
      <c r="P66" s="279" t="str">
        <f>IFERROR(__xludf.DUMMYFUNCTION("""COMPUTED_VALUE"""),"https://www.tiktok.com/@queena_03kl/video/7615551888263630100?is_from_webapp=1&amp;sender_device=pc")</f>
        <v>https://www.tiktok.com/@queena_03kl/video/7615551888263630100?is_from_webapp=1&amp;sender_device=pc</v>
      </c>
    </row>
    <row r="67">
      <c r="A67" s="255" t="str">
        <f>IFERROR(__xludf.DUMMYFUNCTION("""COMPUTED_VALUE"""),"MICRO")</f>
        <v>MICRO</v>
      </c>
      <c r="B67" s="23" t="str">
        <f>IFERROR(__xludf.DUMMYFUNCTION("""COMPUTED_VALUE"""),"ibu_ninnda")</f>
        <v>ibu_ninnda</v>
      </c>
      <c r="C67" s="257" t="str">
        <f>IFERROR(__xludf.DUMMYFUNCTION("""COMPUTED_VALUE"""),"https://www.tiktok.com/@ibu_ninnda")</f>
        <v>https://www.tiktok.com/@ibu_ninnda</v>
      </c>
      <c r="D67" s="270">
        <f>IFERROR(__xludf.DUMMYFUNCTION("""COMPUTED_VALUE"""),8.139105391E10)</f>
        <v>81391053910</v>
      </c>
      <c r="E67" s="457">
        <f>IFERROR(__xludf.DUMMYFUNCTION("""COMPUTED_VALUE"""),100000.0)</f>
        <v>100000</v>
      </c>
      <c r="F67" s="270">
        <f>IFERROR(__xludf.DUMMYFUNCTION("""COMPUTED_VALUE"""),4.0)</f>
        <v>4</v>
      </c>
      <c r="G67" s="17" t="str">
        <f>IFERROR(__xludf.DUMMYFUNCTION("""COMPUTED_VALUE"""),"Sabun batang 1 Box ( 2 PCS )")</f>
        <v>Sabun batang 1 Box ( 2 PCS )</v>
      </c>
      <c r="H67" s="463" t="str">
        <f>IFERROR(__xludf.DUMMYFUNCTION("""COMPUTED_VALUE"""),"Sampai")</f>
        <v>Sampai</v>
      </c>
      <c r="I67" s="464" t="str">
        <f>IFERROR(__xludf.DUMMYFUNCTION("""COMPUTED_VALUE"""),"KIMME")</f>
        <v>KIMME</v>
      </c>
      <c r="J67" s="279" t="str">
        <f>IFERROR(__xludf.DUMMYFUNCTION("""COMPUTED_VALUE"""),"https://vt.tiktok.com/ZSmGpFk8X/")</f>
        <v>https://vt.tiktok.com/ZSmGpFk8X/</v>
      </c>
      <c r="K67" s="464" t="str">
        <f>IFERROR(__xludf.DUMMYFUNCTION("""COMPUTED_VALUE"""),"KIMME")</f>
        <v>KIMME</v>
      </c>
      <c r="L67" s="279" t="str">
        <f>IFERROR(__xludf.DUMMYFUNCTION("""COMPUTED_VALUE"""),"https://vt.tiktok.com/ZSmT17fKV/")</f>
        <v>https://vt.tiktok.com/ZSmT17fKV/</v>
      </c>
      <c r="M67" s="464" t="str">
        <f>IFERROR(__xludf.DUMMYFUNCTION("""COMPUTED_VALUE"""),"KIMME")</f>
        <v>KIMME</v>
      </c>
      <c r="N67" s="279" t="str">
        <f>IFERROR(__xludf.DUMMYFUNCTION("""COMPUTED_VALUE"""),"https://vt.tiktok.com/ZSmwaU91B/")</f>
        <v>https://vt.tiktok.com/ZSmwaU91B/</v>
      </c>
      <c r="O67" s="464" t="str">
        <f>IFERROR(__xludf.DUMMYFUNCTION("""COMPUTED_VALUE"""),"KIMME")</f>
        <v>KIMME</v>
      </c>
      <c r="P67" s="279" t="str">
        <f>IFERROR(__xludf.DUMMYFUNCTION("""COMPUTED_VALUE"""),"https://www.tiktok.com/@ibu_ninnda/video/7613312493716327687?is_from_webapp=1&amp;sender_device=pc")</f>
        <v>https://www.tiktok.com/@ibu_ninnda/video/7613312493716327687?is_from_webapp=1&amp;sender_device=pc</v>
      </c>
    </row>
    <row r="68">
      <c r="A68" s="255" t="str">
        <f>IFERROR(__xludf.DUMMYFUNCTION("""COMPUTED_VALUE"""),"MICRO")</f>
        <v>MICRO</v>
      </c>
      <c r="B68" s="23" t="str">
        <f>IFERROR(__xludf.DUMMYFUNCTION("""COMPUTED_VALUE"""),"khoiraisyah2")</f>
        <v>khoiraisyah2</v>
      </c>
      <c r="C68" s="257" t="str">
        <f>IFERROR(__xludf.DUMMYFUNCTION("""COMPUTED_VALUE"""),"https://www.tiktok.com/@khoiraisyah2")</f>
        <v>https://www.tiktok.com/@khoiraisyah2</v>
      </c>
      <c r="D68" s="270">
        <f>IFERROR(__xludf.DUMMYFUNCTION("""COMPUTED_VALUE"""),8.5655714354E10)</f>
        <v>85655714354</v>
      </c>
      <c r="E68" s="457">
        <f>IFERROR(__xludf.DUMMYFUNCTION("""COMPUTED_VALUE"""),100000.0)</f>
        <v>100000</v>
      </c>
      <c r="F68" s="270">
        <f>IFERROR(__xludf.DUMMYFUNCTION("""COMPUTED_VALUE"""),4.0)</f>
        <v>4</v>
      </c>
      <c r="G68" s="17" t="str">
        <f>IFERROR(__xludf.DUMMYFUNCTION("""COMPUTED_VALUE"""),"Sabun batang 1 Box ( 2 PCS )")</f>
        <v>Sabun batang 1 Box ( 2 PCS )</v>
      </c>
      <c r="H68" s="463" t="str">
        <f>IFERROR(__xludf.DUMMYFUNCTION("""COMPUTED_VALUE"""),"Sampai")</f>
        <v>Sampai</v>
      </c>
      <c r="I68" s="464" t="str">
        <f>IFERROR(__xludf.DUMMYFUNCTION("""COMPUTED_VALUE"""),"KIMME")</f>
        <v>KIMME</v>
      </c>
      <c r="J68" s="279" t="str">
        <f>IFERROR(__xludf.DUMMYFUNCTION("""COMPUTED_VALUE"""),"https://vt.tiktok.com/ZSmnL2eaG/")</f>
        <v>https://vt.tiktok.com/ZSmnL2eaG/</v>
      </c>
      <c r="K68" s="464" t="str">
        <f>IFERROR(__xludf.DUMMYFUNCTION("""COMPUTED_VALUE"""),"KIMME")</f>
        <v>KIMME</v>
      </c>
      <c r="L68" s="279" t="str">
        <f>IFERROR(__xludf.DUMMYFUNCTION("""COMPUTED_VALUE"""),"https://vt.tiktok.com/ZSmsvBG63/")</f>
        <v>https://vt.tiktok.com/ZSmsvBG63/</v>
      </c>
      <c r="M68" s="464" t="str">
        <f>IFERROR(__xludf.DUMMYFUNCTION("""COMPUTED_VALUE"""),"KIMME")</f>
        <v>KIMME</v>
      </c>
      <c r="N68" s="279" t="str">
        <f>IFERROR(__xludf.DUMMYFUNCTION("""COMPUTED_VALUE"""),"https://vt.tiktok.com/ZSm7J6n1B/")</f>
        <v>https://vt.tiktok.com/ZSm7J6n1B/</v>
      </c>
      <c r="O68" s="464" t="str">
        <f>IFERROR(__xludf.DUMMYFUNCTION("""COMPUTED_VALUE"""),"KIMME")</f>
        <v>KIMME</v>
      </c>
      <c r="P68" s="279" t="str">
        <f>IFERROR(__xludf.DUMMYFUNCTION("""COMPUTED_VALUE"""),"https://vt.tiktok.com/ZSm3axSco/")</f>
        <v>https://vt.tiktok.com/ZSm3axSco/</v>
      </c>
    </row>
    <row r="69">
      <c r="A69" s="255" t="str">
        <f>IFERROR(__xludf.DUMMYFUNCTION("""COMPUTED_VALUE"""),"MACRO")</f>
        <v>MACRO</v>
      </c>
      <c r="B69" s="23" t="str">
        <f>IFERROR(__xludf.DUMMYFUNCTION("""COMPUTED_VALUE"""),"kakrere22")</f>
        <v>kakrere22</v>
      </c>
      <c r="C69" s="257" t="str">
        <f>IFERROR(__xludf.DUMMYFUNCTION("""COMPUTED_VALUE"""),"https://www.tiktok.com/@kakrere22")</f>
        <v>https://www.tiktok.com/@kakrere22</v>
      </c>
      <c r="D69" s="270">
        <f>IFERROR(__xludf.DUMMYFUNCTION("""COMPUTED_VALUE"""),8.2132168316E10)</f>
        <v>82132168316</v>
      </c>
      <c r="E69" s="457">
        <f>IFERROR(__xludf.DUMMYFUNCTION("""COMPUTED_VALUE"""),0.0)</f>
        <v>0</v>
      </c>
      <c r="F69" s="270">
        <f>IFERROR(__xludf.DUMMYFUNCTION("""COMPUTED_VALUE"""),1.0)</f>
        <v>1</v>
      </c>
      <c r="G69" s="17" t="str">
        <f>IFERROR(__xludf.DUMMYFUNCTION("""COMPUTED_VALUE"""),"Sabun batang 1 Box ( 2 PCS )")</f>
        <v>Sabun batang 1 Box ( 2 PCS )</v>
      </c>
      <c r="H69" s="463" t="str">
        <f>IFERROR(__xludf.DUMMYFUNCTION("""COMPUTED_VALUE"""),"Sampai")</f>
        <v>Sampai</v>
      </c>
      <c r="I69" s="464" t="str">
        <f>IFERROR(__xludf.DUMMYFUNCTION("""COMPUTED_VALUE"""),"KIMME")</f>
        <v>KIMME</v>
      </c>
      <c r="J69" s="17"/>
      <c r="K69" s="464" t="str">
        <f>IFERROR(__xludf.DUMMYFUNCTION("""COMPUTED_VALUE"""),"KIMME")</f>
        <v>KIMME</v>
      </c>
      <c r="L69" s="17"/>
      <c r="M69" s="464"/>
      <c r="N69" s="17"/>
      <c r="O69" s="464"/>
      <c r="P69" s="17"/>
    </row>
    <row r="70">
      <c r="A70" s="255" t="str">
        <f>IFERROR(__xludf.DUMMYFUNCTION("""COMPUTED_VALUE"""),"MICRO")</f>
        <v>MICRO</v>
      </c>
      <c r="B70" s="23" t="str">
        <f>IFERROR(__xludf.DUMMYFUNCTION("""COMPUTED_VALUE"""),".anismarsela14")</f>
        <v>.anismarsela14</v>
      </c>
      <c r="C70" s="257" t="str">
        <f>IFERROR(__xludf.DUMMYFUNCTION("""COMPUTED_VALUE"""),"https://www.tiktok.com/@.anismarsela14")</f>
        <v>https://www.tiktok.com/@.anismarsela14</v>
      </c>
      <c r="D70" s="270">
        <f>IFERROR(__xludf.DUMMYFUNCTION("""COMPUTED_VALUE"""),8.5624899077E10)</f>
        <v>85624899077</v>
      </c>
      <c r="E70" s="457">
        <f>IFERROR(__xludf.DUMMYFUNCTION("""COMPUTED_VALUE"""),0.0)</f>
        <v>0</v>
      </c>
      <c r="F70" s="270">
        <f>IFERROR(__xludf.DUMMYFUNCTION("""COMPUTED_VALUE"""),4.0)</f>
        <v>4</v>
      </c>
      <c r="G70" s="17" t="str">
        <f>IFERROR(__xludf.DUMMYFUNCTION("""COMPUTED_VALUE"""),"Sabun batang 1 Box ( 2 PCS )")</f>
        <v>Sabun batang 1 Box ( 2 PCS )</v>
      </c>
      <c r="H70" s="463" t="str">
        <f>IFERROR(__xludf.DUMMYFUNCTION("""COMPUTED_VALUE"""),"Sampai")</f>
        <v>Sampai</v>
      </c>
      <c r="I70" s="464" t="str">
        <f>IFERROR(__xludf.DUMMYFUNCTION("""COMPUTED_VALUE"""),"KIMME")</f>
        <v>KIMME</v>
      </c>
      <c r="J70" s="279" t="str">
        <f>IFERROR(__xludf.DUMMYFUNCTION("""COMPUTED_VALUE"""),"https://vt.tiktok.com/ZSmDEfpkU/")</f>
        <v>https://vt.tiktok.com/ZSmDEfpkU/</v>
      </c>
      <c r="K70" s="464" t="str">
        <f>IFERROR(__xludf.DUMMYFUNCTION("""COMPUTED_VALUE"""),"KIMME")</f>
        <v>KIMME</v>
      </c>
      <c r="L70" s="279" t="str">
        <f>IFERROR(__xludf.DUMMYFUNCTION("""COMPUTED_VALUE"""),"https://vt.tiktok.com/ZSmDE9AK3/")</f>
        <v>https://vt.tiktok.com/ZSmDE9AK3/</v>
      </c>
      <c r="M70" s="464" t="str">
        <f>IFERROR(__xludf.DUMMYFUNCTION("""COMPUTED_VALUE"""),"KIMME")</f>
        <v>KIMME</v>
      </c>
      <c r="N70" s="279" t="str">
        <f>IFERROR(__xludf.DUMMYFUNCTION("""COMPUTED_VALUE"""),"https://vt.tiktok.com/ZSmQbHVPX/")</f>
        <v>https://vt.tiktok.com/ZSmQbHVPX/</v>
      </c>
      <c r="O70" s="464" t="str">
        <f>IFERROR(__xludf.DUMMYFUNCTION("""COMPUTED_VALUE"""),"KIMME")</f>
        <v>KIMME</v>
      </c>
      <c r="P70" s="279" t="str">
        <f>IFERROR(__xludf.DUMMYFUNCTION("""COMPUTED_VALUE"""),"https://vt.tiktok.com/ZSmnhyeFe/")</f>
        <v>https://vt.tiktok.com/ZSmnhyeFe/</v>
      </c>
    </row>
    <row r="71">
      <c r="A71" s="255" t="str">
        <f>IFERROR(__xludf.DUMMYFUNCTION("""COMPUTED_VALUE"""),"MICRO")</f>
        <v>MICRO</v>
      </c>
      <c r="B71" s="23" t="str">
        <f>IFERROR(__xludf.DUMMYFUNCTION("""COMPUTED_VALUE"""),"ica17898")</f>
        <v>ica17898</v>
      </c>
      <c r="C71" s="257" t="str">
        <f>IFERROR(__xludf.DUMMYFUNCTION("""COMPUTED_VALUE"""),"https://www.tiktok.com/@ica17898")</f>
        <v>https://www.tiktok.com/@ica17898</v>
      </c>
      <c r="D71" s="270">
        <f>IFERROR(__xludf.DUMMYFUNCTION("""COMPUTED_VALUE"""),8.5703780578E10)</f>
        <v>85703780578</v>
      </c>
      <c r="E71" s="457">
        <f>IFERROR(__xludf.DUMMYFUNCTION("""COMPUTED_VALUE"""),0.0)</f>
        <v>0</v>
      </c>
      <c r="F71" s="270">
        <f>IFERROR(__xludf.DUMMYFUNCTION("""COMPUTED_VALUE"""),4.0)</f>
        <v>4</v>
      </c>
      <c r="G71" s="17" t="str">
        <f>IFERROR(__xludf.DUMMYFUNCTION("""COMPUTED_VALUE"""),"Sabun batang 1 Box ( 2 PCS )")</f>
        <v>Sabun batang 1 Box ( 2 PCS )</v>
      </c>
      <c r="H71" s="463" t="str">
        <f>IFERROR(__xludf.DUMMYFUNCTION("""COMPUTED_VALUE"""),"Sampai")</f>
        <v>Sampai</v>
      </c>
      <c r="I71" s="464" t="str">
        <f>IFERROR(__xludf.DUMMYFUNCTION("""COMPUTED_VALUE"""),"KIMME")</f>
        <v>KIMME</v>
      </c>
      <c r="J71" s="279" t="str">
        <f>IFERROR(__xludf.DUMMYFUNCTION("""COMPUTED_VALUE"""),"https://vt.tiktok.com/ZSmBy62Gr/")</f>
        <v>https://vt.tiktok.com/ZSmBy62Gr/</v>
      </c>
      <c r="K71" s="464" t="str">
        <f>IFERROR(__xludf.DUMMYFUNCTION("""COMPUTED_VALUE"""),"KIMME")</f>
        <v>KIMME</v>
      </c>
      <c r="L71" s="279" t="str">
        <f>IFERROR(__xludf.DUMMYFUNCTION("""COMPUTED_VALUE"""),"https://vt.tiktok.com/ZSuBh72D4/")</f>
        <v>https://vt.tiktok.com/ZSuBh72D4/</v>
      </c>
      <c r="M71" s="464" t="str">
        <f>IFERROR(__xludf.DUMMYFUNCTION("""COMPUTED_VALUE"""),"KIMME")</f>
        <v>KIMME</v>
      </c>
      <c r="N71" s="279" t="str">
        <f>IFERROR(__xludf.DUMMYFUNCTION("""COMPUTED_VALUE"""),"https://www.tiktok.com/@ica17898/video/7625515830645738772")</f>
        <v>https://www.tiktok.com/@ica17898/video/7625515830645738772</v>
      </c>
      <c r="O71" s="464" t="str">
        <f>IFERROR(__xludf.DUMMYFUNCTION("""COMPUTED_VALUE"""),"KIMME")</f>
        <v>KIMME</v>
      </c>
      <c r="P71" s="279" t="str">
        <f>IFERROR(__xludf.DUMMYFUNCTION("""COMPUTED_VALUE"""),"https://vt.tiktok.com/ZS9X4uHy1/")</f>
        <v>https://vt.tiktok.com/ZS9X4uHy1/</v>
      </c>
    </row>
    <row r="72">
      <c r="A72" s="255" t="str">
        <f>IFERROR(__xludf.DUMMYFUNCTION("""COMPUTED_VALUE"""),"MACRO")</f>
        <v>MACRO</v>
      </c>
      <c r="B72" s="23" t="str">
        <f>IFERROR(__xludf.DUMMYFUNCTION("""COMPUTED_VALUE"""),"annisaap__")</f>
        <v>annisaap__</v>
      </c>
      <c r="C72" s="257" t="str">
        <f>IFERROR(__xludf.DUMMYFUNCTION("""COMPUTED_VALUE"""),"https://www.tiktok.com/@annisaap__")</f>
        <v>https://www.tiktok.com/@annisaap__</v>
      </c>
      <c r="D72" s="270">
        <f>IFERROR(__xludf.DUMMYFUNCTION("""COMPUTED_VALUE"""),8.3894856828E10)</f>
        <v>83894856828</v>
      </c>
      <c r="E72" s="457">
        <f>IFERROR(__xludf.DUMMYFUNCTION("""COMPUTED_VALUE"""),200000.0)</f>
        <v>200000</v>
      </c>
      <c r="F72" s="270">
        <f>IFERROR(__xludf.DUMMYFUNCTION("""COMPUTED_VALUE"""),1.0)</f>
        <v>1</v>
      </c>
      <c r="G72" s="17" t="str">
        <f>IFERROR(__xludf.DUMMYFUNCTION("""COMPUTED_VALUE"""),"Sabun batang 1 Box ( 2 PCS )")</f>
        <v>Sabun batang 1 Box ( 2 PCS )</v>
      </c>
      <c r="H72" s="463" t="str">
        <f>IFERROR(__xludf.DUMMYFUNCTION("""COMPUTED_VALUE"""),"Sampai")</f>
        <v>Sampai</v>
      </c>
      <c r="I72" s="464" t="str">
        <f>IFERROR(__xludf.DUMMYFUNCTION("""COMPUTED_VALUE"""),"KIMME")</f>
        <v>KIMME</v>
      </c>
      <c r="J72" s="279" t="str">
        <f>IFERROR(__xludf.DUMMYFUNCTION("""COMPUTED_VALUE"""),"https://vt.tiktok.com/ZSmU8Ekdj/")</f>
        <v>https://vt.tiktok.com/ZSmU8Ekdj/</v>
      </c>
      <c r="K72" s="464" t="str">
        <f>IFERROR(__xludf.DUMMYFUNCTION("""COMPUTED_VALUE"""),"KIMME")</f>
        <v>KIMME</v>
      </c>
      <c r="L72" s="279" t="str">
        <f>IFERROR(__xludf.DUMMYFUNCTION("""COMPUTED_VALUE"""),"https://www.tiktok.com/@yaniramadhani3/video/7631027588877651207?_r=1&amp;u_code=d9fflkigeh8jd7&amp;region=&amp;mid=7587297958270454535&amp;preview_pb=0&amp;sharer_language=&amp;_d=0&amp;ec_shared_reflux_dynamic_params=%7B%22placeholder_material_id%22%3A%227631027588877651207%22%2C%"&amp;"22placeholder_origin_cover%22%3A%22https%253A%252F%252Fp16-common-sign.tiktokcdn.com%252Ftos-alisg-p-0037%252FoEAGGmQNynng4F1EbfY2NgTeQmtGgtuAXceRge~tplv-tiktokx-origin.jpeg%253Fdr%253D14572%2526refresh_token%253Dd506f584%2526x-expires%253D1809507600%2526"&amp;"x-signature%253DxTI1TxdhzmTbMvwoP3sM1o3AgU4%25253D%2526t%253D4d5b0474%2526ps%253D13740610%2526shp%253Dd05b14bd%2526shcp%253D34ff8df6%2526idc%253Dmy%2526s%253DTIKTOK_AFFILIATE_VIRAL_VIDEO%22%2C%22placeholder_product_id%22%3A%221729427766722726591%22%2C%22p"&amp;"laceholder_video_id%22%3A%227631027588877651207%22%7D&amp;ec_shared_reflux_scene=shop_tab_feed&amp;share_item_id=7631027588877651207&amp;source=h5_t")</f>
        <v>https://www.tiktok.com/@yaniramadhani3/video/7631027588877651207?_r=1&amp;u_code=d9fflkigeh8jd7&amp;region=&amp;mid=7587297958270454535&amp;preview_pb=0&amp;sharer_language=&amp;_d=0&amp;ec_shared_reflux_dynamic_params=%7B%22placeholder_material_id%22%3A%227631027588877651207%22%2C%22placeholder_origin_cover%22%3A%22https%253A%252F%252Fp16-common-sign.tiktokcdn.com%252Ftos-alisg-p-0037%252FoEAGGmQNynng4F1EbfY2NgTeQmtGgtuAXceRge~tplv-tiktokx-origin.jpeg%253Fdr%253D14572%2526refresh_token%253Dd506f584%2526x-expires%253D1809507600%2526x-signature%253DxTI1TxdhzmTbMvwoP3sM1o3AgU4%25253D%2526t%253D4d5b0474%2526ps%253D13740610%2526shp%253Dd05b14bd%2526shcp%253D34ff8df6%2526idc%253Dmy%2526s%253DTIKTOK_AFFILIATE_VIRAL_VIDEO%22%2C%22placeholder_product_id%22%3A%221729427766722726591%22%2C%22placeholder_video_id%22%3A%227631027588877651207%22%7D&amp;ec_shared_reflux_scene=shop_tab_feed&amp;share_item_id=7631027588877651207&amp;source=h5_t</v>
      </c>
      <c r="M72" s="464"/>
      <c r="N72" s="17"/>
      <c r="O72" s="464"/>
      <c r="P72" s="17"/>
    </row>
    <row r="73">
      <c r="A73" s="255" t="str">
        <f>IFERROR(__xludf.DUMMYFUNCTION("""COMPUTED_VALUE"""),"MACRO")</f>
        <v>MACRO</v>
      </c>
      <c r="B73" s="23" t="str">
        <f>IFERROR(__xludf.DUMMYFUNCTION("""COMPUTED_VALUE"""),"putri.antris")</f>
        <v>putri.antris</v>
      </c>
      <c r="C73" s="257" t="str">
        <f>IFERROR(__xludf.DUMMYFUNCTION("""COMPUTED_VALUE"""),"https://www.tiktok.com/@putri.antris")</f>
        <v>https://www.tiktok.com/@putri.antris</v>
      </c>
      <c r="D73" s="270">
        <f>IFERROR(__xludf.DUMMYFUNCTION("""COMPUTED_VALUE"""),8.1233802641E10)</f>
        <v>81233802641</v>
      </c>
      <c r="E73" s="457">
        <f>IFERROR(__xludf.DUMMYFUNCTION("""COMPUTED_VALUE"""),0.0)</f>
        <v>0</v>
      </c>
      <c r="F73" s="270">
        <f>IFERROR(__xludf.DUMMYFUNCTION("""COMPUTED_VALUE"""),3.0)</f>
        <v>3</v>
      </c>
      <c r="G73" s="17" t="str">
        <f>IFERROR(__xludf.DUMMYFUNCTION("""COMPUTED_VALUE"""),"Sabun batang 1 Box ( 2 PCS )")</f>
        <v>Sabun batang 1 Box ( 2 PCS )</v>
      </c>
      <c r="H73" s="463" t="str">
        <f>IFERROR(__xludf.DUMMYFUNCTION("""COMPUTED_VALUE"""),"Sampai")</f>
        <v>Sampai</v>
      </c>
      <c r="I73" s="464" t="str">
        <f>IFERROR(__xludf.DUMMYFUNCTION("""COMPUTED_VALUE"""),"KIMME")</f>
        <v>KIMME</v>
      </c>
      <c r="J73" s="279" t="str">
        <f>IFERROR(__xludf.DUMMYFUNCTION("""COMPUTED_VALUE"""),"https://vt.tiktok.com/ZSmtv45Y9/")</f>
        <v>https://vt.tiktok.com/ZSmtv45Y9/</v>
      </c>
      <c r="K73" s="464" t="str">
        <f>IFERROR(__xludf.DUMMYFUNCTION("""COMPUTED_VALUE"""),"KIMME")</f>
        <v>KIMME</v>
      </c>
      <c r="L73" s="279" t="str">
        <f>IFERROR(__xludf.DUMMYFUNCTION("""COMPUTED_VALUE"""),"https://vt.tiktok.com/ZSuMvAGRb/")</f>
        <v>https://vt.tiktok.com/ZSuMvAGRb/</v>
      </c>
      <c r="M73" s="464" t="str">
        <f>IFERROR(__xludf.DUMMYFUNCTION("""COMPUTED_VALUE"""),"KIMME")</f>
        <v>KIMME</v>
      </c>
      <c r="N73" s="279" t="str">
        <f>IFERROR(__xludf.DUMMYFUNCTION("""COMPUTED_VALUE"""),"https://vt.tiktok.com/ZSuMvQL1A/")</f>
        <v>https://vt.tiktok.com/ZSuMvQL1A/</v>
      </c>
      <c r="O73" s="464"/>
      <c r="P73" s="17"/>
    </row>
    <row r="74">
      <c r="A74" s="255" t="str">
        <f>IFERROR(__xludf.DUMMYFUNCTION("""COMPUTED_VALUE"""),"MICRO")</f>
        <v>MICRO</v>
      </c>
      <c r="B74" s="23" t="str">
        <f>IFERROR(__xludf.DUMMYFUNCTION("""COMPUTED_VALUE"""),"pembawa_rezeqi")</f>
        <v>pembawa_rezeqi</v>
      </c>
      <c r="C74" s="257" t="str">
        <f>IFERROR(__xludf.DUMMYFUNCTION("""COMPUTED_VALUE"""),"https://www.tiktok.com/@pembawa_rezeqi")</f>
        <v>https://www.tiktok.com/@pembawa_rezeqi</v>
      </c>
      <c r="D74" s="270">
        <f>IFERROR(__xludf.DUMMYFUNCTION("""COMPUTED_VALUE"""),8.5337377287E10)</f>
        <v>85337377287</v>
      </c>
      <c r="E74" s="457">
        <f>IFERROR(__xludf.DUMMYFUNCTION("""COMPUTED_VALUE"""),0.0)</f>
        <v>0</v>
      </c>
      <c r="F74" s="270">
        <f>IFERROR(__xludf.DUMMYFUNCTION("""COMPUTED_VALUE"""),4.0)</f>
        <v>4</v>
      </c>
      <c r="G74" s="17" t="str">
        <f>IFERROR(__xludf.DUMMYFUNCTION("""COMPUTED_VALUE"""),"Sabun batang 1 Box ( 2 PCS )")</f>
        <v>Sabun batang 1 Box ( 2 PCS )</v>
      </c>
      <c r="H74" s="463" t="str">
        <f>IFERROR(__xludf.DUMMYFUNCTION("""COMPUTED_VALUE"""),"Sampai")</f>
        <v>Sampai</v>
      </c>
      <c r="I74" s="464" t="str">
        <f>IFERROR(__xludf.DUMMYFUNCTION("""COMPUTED_VALUE"""),"KIMME")</f>
        <v>KIMME</v>
      </c>
      <c r="J74" s="279" t="str">
        <f>IFERROR(__xludf.DUMMYFUNCTION("""COMPUTED_VALUE"""),"https://www.tiktok.com/@pembawa_rezeqi/video/7607301206695791893?is_from_webapp=1&amp;sender_device=pc")</f>
        <v>https://www.tiktok.com/@pembawa_rezeqi/video/7607301206695791893?is_from_webapp=1&amp;sender_device=pc</v>
      </c>
      <c r="K74" s="464" t="str">
        <f>IFERROR(__xludf.DUMMYFUNCTION("""COMPUTED_VALUE"""),"KIMME")</f>
        <v>KIMME</v>
      </c>
      <c r="L74" s="279" t="str">
        <f>IFERROR(__xludf.DUMMYFUNCTION("""COMPUTED_VALUE"""),"https://vt.tiktok.com/ZSu8aUVwj/")</f>
        <v>https://vt.tiktok.com/ZSu8aUVwj/</v>
      </c>
      <c r="M74" s="464" t="str">
        <f>IFERROR(__xludf.DUMMYFUNCTION("""COMPUTED_VALUE"""),"KIMME")</f>
        <v>KIMME</v>
      </c>
      <c r="N74" s="279" t="str">
        <f>IFERROR(__xludf.DUMMYFUNCTION("""COMPUTED_VALUE"""),"https://www.tiktok.com/@klambi.jo/video/7620263992384326933?is_from_webapp=1&amp;sender_device=pc")</f>
        <v>https://www.tiktok.com/@klambi.jo/video/7620263992384326933?is_from_webapp=1&amp;sender_device=pc</v>
      </c>
      <c r="O74" s="464" t="str">
        <f>IFERROR(__xludf.DUMMYFUNCTION("""COMPUTED_VALUE"""),"KIMME")</f>
        <v>KIMME</v>
      </c>
      <c r="P74" s="279" t="str">
        <f>IFERROR(__xludf.DUMMYFUNCTION("""COMPUTED_VALUE"""),"https://www.tiktok.com/@klambi.jo/video/7620619295994793237?is_from_webapp=1&amp;sender_device=pc")</f>
        <v>https://www.tiktok.com/@klambi.jo/video/7620619295994793237?is_from_webapp=1&amp;sender_device=pc</v>
      </c>
    </row>
    <row r="75">
      <c r="A75" s="255" t="str">
        <f>IFERROR(__xludf.DUMMYFUNCTION("""COMPUTED_VALUE"""),"MACRO")</f>
        <v>MACRO</v>
      </c>
      <c r="B75" s="23" t="str">
        <f>IFERROR(__xludf.DUMMYFUNCTION("""COMPUTED_VALUE"""),"arsykhumairah27")</f>
        <v>arsykhumairah27</v>
      </c>
      <c r="C75" s="257" t="str">
        <f>IFERROR(__xludf.DUMMYFUNCTION("""COMPUTED_VALUE"""),"https://www.tiktok.com/@arsykhumairah27")</f>
        <v>https://www.tiktok.com/@arsykhumairah27</v>
      </c>
      <c r="D75" s="270">
        <f>IFERROR(__xludf.DUMMYFUNCTION("""COMPUTED_VALUE"""),8.95620646522E11)</f>
        <v>895620646522</v>
      </c>
      <c r="E75" s="457">
        <f>IFERROR(__xludf.DUMMYFUNCTION("""COMPUTED_VALUE"""),0.0)</f>
        <v>0</v>
      </c>
      <c r="F75" s="270">
        <f>IFERROR(__xludf.DUMMYFUNCTION("""COMPUTED_VALUE"""),1.0)</f>
        <v>1</v>
      </c>
      <c r="G75" s="17" t="str">
        <f>IFERROR(__xludf.DUMMYFUNCTION("""COMPUTED_VALUE"""),"Sabun batang 1 Box ( 2 PCS )")</f>
        <v>Sabun batang 1 Box ( 2 PCS )</v>
      </c>
      <c r="H75" s="463" t="str">
        <f>IFERROR(__xludf.DUMMYFUNCTION("""COMPUTED_VALUE"""),"Sampai")</f>
        <v>Sampai</v>
      </c>
      <c r="I75" s="464" t="str">
        <f>IFERROR(__xludf.DUMMYFUNCTION("""COMPUTED_VALUE"""),"KIMME")</f>
        <v>KIMME</v>
      </c>
      <c r="J75" s="279" t="str">
        <f>IFERROR(__xludf.DUMMYFUNCTION("""COMPUTED_VALUE"""),"https://vt.tiktok.com/ZSmFDnK6Q/")</f>
        <v>https://vt.tiktok.com/ZSmFDnK6Q/</v>
      </c>
      <c r="K75" s="464" t="str">
        <f>IFERROR(__xludf.DUMMYFUNCTION("""COMPUTED_VALUE"""),"KIMME")</f>
        <v>KIMME</v>
      </c>
      <c r="L75" s="17" t="str">
        <f>IFERROR(__xludf.DUMMYFUNCTION("""COMPUTED_VALUE"""),"⁠https://vt.tiktok.com/ZSxVbcgmY/")</f>
        <v>⁠https://vt.tiktok.com/ZSxVbcgmY/</v>
      </c>
      <c r="M75" s="464"/>
      <c r="N75" s="17"/>
      <c r="O75" s="464"/>
      <c r="P75" s="17"/>
    </row>
    <row r="76">
      <c r="A76" s="255" t="str">
        <f>IFERROR(__xludf.DUMMYFUNCTION("""COMPUTED_VALUE"""),"MICRO")</f>
        <v>MICRO</v>
      </c>
      <c r="B76" s="23" t="str">
        <f>IFERROR(__xludf.DUMMYFUNCTION("""COMPUTED_VALUE"""),"liayulianti1278")</f>
        <v>liayulianti1278</v>
      </c>
      <c r="C76" s="257" t="str">
        <f>IFERROR(__xludf.DUMMYFUNCTION("""COMPUTED_VALUE"""),"https://www.tiktok.com/@liayulianti1278")</f>
        <v>https://www.tiktok.com/@liayulianti1278</v>
      </c>
      <c r="D76" s="270">
        <f>IFERROR(__xludf.DUMMYFUNCTION("""COMPUTED_VALUE"""),8.1220183515E10)</f>
        <v>81220183515</v>
      </c>
      <c r="E76" s="457">
        <f>IFERROR(__xludf.DUMMYFUNCTION("""COMPUTED_VALUE"""),50000.0)</f>
        <v>50000</v>
      </c>
      <c r="F76" s="270">
        <f>IFERROR(__xludf.DUMMYFUNCTION("""COMPUTED_VALUE"""),4.0)</f>
        <v>4</v>
      </c>
      <c r="G76" s="17" t="str">
        <f>IFERROR(__xludf.DUMMYFUNCTION("""COMPUTED_VALUE"""),"Sabun batang 1 Box ( 2 PCS )")</f>
        <v>Sabun batang 1 Box ( 2 PCS )</v>
      </c>
      <c r="H76" s="463" t="str">
        <f>IFERROR(__xludf.DUMMYFUNCTION("""COMPUTED_VALUE"""),"Sampai")</f>
        <v>Sampai</v>
      </c>
      <c r="I76" s="464" t="str">
        <f>IFERROR(__xludf.DUMMYFUNCTION("""COMPUTED_VALUE"""),"KIMME")</f>
        <v>KIMME</v>
      </c>
      <c r="J76" s="280" t="str">
        <f>IFERROR(__xludf.DUMMYFUNCTION("""COMPUTED_VALUE"""),"https://www.tiktok.com/@liayulianti1278/video/7604656178970365204")</f>
        <v>https://www.tiktok.com/@liayulianti1278/video/7604656178970365204</v>
      </c>
      <c r="K76" s="464" t="str">
        <f>IFERROR(__xludf.DUMMYFUNCTION("""COMPUTED_VALUE"""),"KIMME")</f>
        <v>KIMME</v>
      </c>
      <c r="L76" s="279" t="str">
        <f>IFERROR(__xludf.DUMMYFUNCTION("""COMPUTED_VALUE"""),"https://vt.tiktok.com/ZSmFhnpy6/")</f>
        <v>https://vt.tiktok.com/ZSmFhnpy6/</v>
      </c>
      <c r="M76" s="464" t="str">
        <f>IFERROR(__xludf.DUMMYFUNCTION("""COMPUTED_VALUE"""),"KIMME")</f>
        <v>KIMME</v>
      </c>
      <c r="N76" s="279" t="str">
        <f>IFERROR(__xludf.DUMMYFUNCTION("""COMPUTED_VALUE"""),"https://vt.tiktok.com/ZSmU8hdrP/")</f>
        <v>https://vt.tiktok.com/ZSmU8hdrP/</v>
      </c>
      <c r="O76" s="464" t="str">
        <f>IFERROR(__xludf.DUMMYFUNCTION("""COMPUTED_VALUE"""),"KIMME")</f>
        <v>KIMME</v>
      </c>
      <c r="P76" s="279" t="str">
        <f>IFERROR(__xludf.DUMMYFUNCTION("""COMPUTED_VALUE"""),"https://vt.tiktok.com/ZSmX9ngKU/")</f>
        <v>https://vt.tiktok.com/ZSmX9ngKU/</v>
      </c>
    </row>
    <row r="77">
      <c r="A77" s="255" t="str">
        <f>IFERROR(__xludf.DUMMYFUNCTION("""COMPUTED_VALUE"""),"MACRO")</f>
        <v>MACRO</v>
      </c>
      <c r="B77" s="23" t="str">
        <f>IFERROR(__xludf.DUMMYFUNCTION("""COMPUTED_VALUE"""),"demaristhaa_")</f>
        <v>demaristhaa_</v>
      </c>
      <c r="C77" s="257" t="str">
        <f>IFERROR(__xludf.DUMMYFUNCTION("""COMPUTED_VALUE"""),"https://www.tiktok.com/@demaristhaa_")</f>
        <v>https://www.tiktok.com/@demaristhaa_</v>
      </c>
      <c r="D77" s="270">
        <f>IFERROR(__xludf.DUMMYFUNCTION("""COMPUTED_VALUE"""),8.5378023329E10)</f>
        <v>85378023329</v>
      </c>
      <c r="E77" s="457">
        <f>IFERROR(__xludf.DUMMYFUNCTION("""COMPUTED_VALUE"""),200000.0)</f>
        <v>200000</v>
      </c>
      <c r="F77" s="270">
        <f>IFERROR(__xludf.DUMMYFUNCTION("""COMPUTED_VALUE"""),1.0)</f>
        <v>1</v>
      </c>
      <c r="G77" s="17" t="str">
        <f>IFERROR(__xludf.DUMMYFUNCTION("""COMPUTED_VALUE"""),"Sabun batang 1 Box ( 2 PCS )")</f>
        <v>Sabun batang 1 Box ( 2 PCS )</v>
      </c>
      <c r="H77" s="463" t="str">
        <f>IFERROR(__xludf.DUMMYFUNCTION("""COMPUTED_VALUE"""),"Sampai")</f>
        <v>Sampai</v>
      </c>
      <c r="I77" s="464" t="str">
        <f>IFERROR(__xludf.DUMMYFUNCTION("""COMPUTED_VALUE"""),"KIMME")</f>
        <v>KIMME</v>
      </c>
      <c r="J77" s="279" t="str">
        <f>IFERROR(__xludf.DUMMYFUNCTION("""COMPUTED_VALUE"""),"https://vt.tiktok.com/ZSmy9x1eB/")</f>
        <v>https://vt.tiktok.com/ZSmy9x1eB/</v>
      </c>
      <c r="K77" s="464" t="str">
        <f>IFERROR(__xludf.DUMMYFUNCTION("""COMPUTED_VALUE"""),"KIMME")</f>
        <v>KIMME</v>
      </c>
      <c r="L77" s="17" t="str">
        <f>IFERROR(__xludf.DUMMYFUNCTION("""COMPUTED_VALUE"""),"⁠https://vt.tiktok.com/ZSxXJP393/")</f>
        <v>⁠https://vt.tiktok.com/ZSxXJP393/</v>
      </c>
      <c r="M77" s="464"/>
      <c r="N77" s="17"/>
      <c r="O77" s="464"/>
      <c r="P77" s="17"/>
    </row>
    <row r="78">
      <c r="A78" s="255" t="str">
        <f>IFERROR(__xludf.DUMMYFUNCTION("""COMPUTED_VALUE"""),"MICRO")</f>
        <v>MICRO</v>
      </c>
      <c r="B78" s="23" t="str">
        <f>IFERROR(__xludf.DUMMYFUNCTION("""COMPUTED_VALUE"""),"apriliakartiningsih")</f>
        <v>apriliakartiningsih</v>
      </c>
      <c r="C78" s="257" t="str">
        <f>IFERROR(__xludf.DUMMYFUNCTION("""COMPUTED_VALUE"""),"https://www.tiktok.com/@apriliakartiningsih")</f>
        <v>https://www.tiktok.com/@apriliakartiningsih</v>
      </c>
      <c r="D78" s="270">
        <f>IFERROR(__xludf.DUMMYFUNCTION("""COMPUTED_VALUE"""),8.9651779766E10)</f>
        <v>89651779766</v>
      </c>
      <c r="E78" s="457">
        <f>IFERROR(__xludf.DUMMYFUNCTION("""COMPUTED_VALUE"""),0.0)</f>
        <v>0</v>
      </c>
      <c r="F78" s="270">
        <f>IFERROR(__xludf.DUMMYFUNCTION("""COMPUTED_VALUE"""),2.0)</f>
        <v>2</v>
      </c>
      <c r="G78" s="17" t="str">
        <f>IFERROR(__xludf.DUMMYFUNCTION("""COMPUTED_VALUE"""),"Sabun batang 1 Box ( 2 PCS )")</f>
        <v>Sabun batang 1 Box ( 2 PCS )</v>
      </c>
      <c r="H78" s="463" t="str">
        <f>IFERROR(__xludf.DUMMYFUNCTION("""COMPUTED_VALUE"""),"Sampai")</f>
        <v>Sampai</v>
      </c>
      <c r="I78" s="464" t="str">
        <f>IFERROR(__xludf.DUMMYFUNCTION("""COMPUTED_VALUE"""),"KIMME")</f>
        <v>KIMME</v>
      </c>
      <c r="J78" s="279" t="str">
        <f>IFERROR(__xludf.DUMMYFUNCTION("""COMPUTED_VALUE"""),"https://vt.tiktok.com/ZSm2BpkuX/")</f>
        <v>https://vt.tiktok.com/ZSm2BpkuX/</v>
      </c>
      <c r="K78" s="464" t="str">
        <f>IFERROR(__xludf.DUMMYFUNCTION("""COMPUTED_VALUE"""),"KIMME")</f>
        <v>KIMME</v>
      </c>
      <c r="L78" s="279" t="str">
        <f>IFERROR(__xludf.DUMMYFUNCTION("""COMPUTED_VALUE"""),"https://vt.tiktok.com/ZSmBkSerC/")</f>
        <v>https://vt.tiktok.com/ZSmBkSerC/</v>
      </c>
      <c r="M78" s="464"/>
      <c r="N78" s="279" t="str">
        <f>IFERROR(__xludf.DUMMYFUNCTION("""COMPUTED_VALUE"""),"https://vt.tiktok.com/ZS9X4assB/")</f>
        <v>https://vt.tiktok.com/ZS9X4assB/</v>
      </c>
      <c r="O78" s="464"/>
      <c r="P78" s="279" t="str">
        <f>IFERROR(__xludf.DUMMYFUNCTION("""COMPUTED_VALUE"""),"https://vt.tiktok.com/ZS9X4rTV7/")</f>
        <v>https://vt.tiktok.com/ZS9X4rTV7/</v>
      </c>
    </row>
    <row r="79">
      <c r="A79" s="255" t="str">
        <f>IFERROR(__xludf.DUMMYFUNCTION("""COMPUTED_VALUE"""),"MACRO")</f>
        <v>MACRO</v>
      </c>
      <c r="B79" s="23" t="str">
        <f>IFERROR(__xludf.DUMMYFUNCTION("""COMPUTED_VALUE"""),"auliaaaa3")</f>
        <v>auliaaaa3</v>
      </c>
      <c r="C79" s="257" t="str">
        <f>IFERROR(__xludf.DUMMYFUNCTION("""COMPUTED_VALUE"""),"https://www.tiktok.com/@auliaaaa3")</f>
        <v>https://www.tiktok.com/@auliaaaa3</v>
      </c>
      <c r="D79" s="270">
        <f>IFERROR(__xludf.DUMMYFUNCTION("""COMPUTED_VALUE"""),8.1617448831E10)</f>
        <v>81617448831</v>
      </c>
      <c r="E79" s="457">
        <f>IFERROR(__xludf.DUMMYFUNCTION("""COMPUTED_VALUE"""),0.0)</f>
        <v>0</v>
      </c>
      <c r="F79" s="270">
        <f>IFERROR(__xludf.DUMMYFUNCTION("""COMPUTED_VALUE"""),2.0)</f>
        <v>2</v>
      </c>
      <c r="G79" s="17" t="str">
        <f>IFERROR(__xludf.DUMMYFUNCTION("""COMPUTED_VALUE"""),"Sabun batang 1 Box ( 2 PCS )")</f>
        <v>Sabun batang 1 Box ( 2 PCS )</v>
      </c>
      <c r="H79" s="463" t="str">
        <f>IFERROR(__xludf.DUMMYFUNCTION("""COMPUTED_VALUE"""),"Sampai")</f>
        <v>Sampai</v>
      </c>
      <c r="I79" s="464" t="str">
        <f>IFERROR(__xludf.DUMMYFUNCTION("""COMPUTED_VALUE"""),"KIMME")</f>
        <v>KIMME</v>
      </c>
      <c r="J79" s="279" t="str">
        <f>IFERROR(__xludf.DUMMYFUNCTION("""COMPUTED_VALUE"""),"https://vt.tiktok.com/ZSucoArdB/")</f>
        <v>https://vt.tiktok.com/ZSucoArdB/</v>
      </c>
      <c r="K79" s="464" t="str">
        <f>IFERROR(__xludf.DUMMYFUNCTION("""COMPUTED_VALUE"""),"KIMME")</f>
        <v>KIMME</v>
      </c>
      <c r="L79" s="279" t="str">
        <f>IFERROR(__xludf.DUMMYFUNCTION("""COMPUTED_VALUE"""),"https://vt.tiktok.com/ZSucobCbc/")</f>
        <v>https://vt.tiktok.com/ZSucobCbc/</v>
      </c>
      <c r="M79" s="464"/>
      <c r="N79" s="17"/>
      <c r="O79" s="464"/>
      <c r="P79" s="17"/>
    </row>
    <row r="80">
      <c r="A80" s="255" t="str">
        <f>IFERROR(__xludf.DUMMYFUNCTION("""COMPUTED_VALUE"""),"MICRO")</f>
        <v>MICRO</v>
      </c>
      <c r="B80" s="23" t="str">
        <f>IFERROR(__xludf.DUMMYFUNCTION("""COMPUTED_VALUE"""),"dheafitryani")</f>
        <v>dheafitryani</v>
      </c>
      <c r="C80" s="257" t="str">
        <f>IFERROR(__xludf.DUMMYFUNCTION("""COMPUTED_VALUE"""),"https://www.tiktok.com/@dheafitryani")</f>
        <v>https://www.tiktok.com/@dheafitryani</v>
      </c>
      <c r="D80" s="270">
        <f>IFERROR(__xludf.DUMMYFUNCTION("""COMPUTED_VALUE"""),8.5162911691E10)</f>
        <v>85162911691</v>
      </c>
      <c r="E80" s="457">
        <f>IFERROR(__xludf.DUMMYFUNCTION("""COMPUTED_VALUE"""),0.0)</f>
        <v>0</v>
      </c>
      <c r="F80" s="270">
        <f>IFERROR(__xludf.DUMMYFUNCTION("""COMPUTED_VALUE"""),1.0)</f>
        <v>1</v>
      </c>
      <c r="G80" s="17" t="str">
        <f>IFERROR(__xludf.DUMMYFUNCTION("""COMPUTED_VALUE"""),"Sabun batang 1 Box ( 2 PCS )")</f>
        <v>Sabun batang 1 Box ( 2 PCS )</v>
      </c>
      <c r="H80" s="463" t="str">
        <f>IFERROR(__xludf.DUMMYFUNCTION("""COMPUTED_VALUE"""),"Sampai")</f>
        <v>Sampai</v>
      </c>
      <c r="I80" s="464" t="str">
        <f>IFERROR(__xludf.DUMMYFUNCTION("""COMPUTED_VALUE"""),"KIMME")</f>
        <v>KIMME</v>
      </c>
      <c r="J80" s="279" t="str">
        <f>IFERROR(__xludf.DUMMYFUNCTION("""COMPUTED_VALUE"""),"https://vt.tiktok.com/ZSHuTT1x6/")</f>
        <v>https://vt.tiktok.com/ZSHuTT1x6/</v>
      </c>
      <c r="K80" s="464" t="str">
        <f>IFERROR(__xludf.DUMMYFUNCTION("""COMPUTED_VALUE"""),"KIMME")</f>
        <v>KIMME</v>
      </c>
      <c r="L80" s="279" t="str">
        <f>IFERROR(__xludf.DUMMYFUNCTION("""COMPUTED_VALUE"""),"https://vt.tiktok.com/ZS9X4mAsL/")</f>
        <v>https://vt.tiktok.com/ZS9X4mAsL/</v>
      </c>
      <c r="M80" s="464"/>
      <c r="N80" s="279" t="str">
        <f>IFERROR(__xludf.DUMMYFUNCTION("""COMPUTED_VALUE"""),"https://vt.tiktok.com/ZS9X4Q3nb/")</f>
        <v>https://vt.tiktok.com/ZS9X4Q3nb/</v>
      </c>
      <c r="O80" s="464"/>
      <c r="P80" s="279" t="str">
        <f>IFERROR(__xludf.DUMMYFUNCTION("""COMPUTED_VALUE"""),"https://vt.tiktok.com/ZS9X4BAbr/")</f>
        <v>https://vt.tiktok.com/ZS9X4BAbr/</v>
      </c>
    </row>
    <row r="81">
      <c r="A81" s="255" t="str">
        <f>IFERROR(__xludf.DUMMYFUNCTION("""COMPUTED_VALUE"""),"MICRO")</f>
        <v>MICRO</v>
      </c>
      <c r="B81" s="23" t="str">
        <f>IFERROR(__xludf.DUMMYFUNCTION("""COMPUTED_VALUE"""),"rissaamell_08")</f>
        <v>rissaamell_08</v>
      </c>
      <c r="C81" s="257" t="str">
        <f>IFERROR(__xludf.DUMMYFUNCTION("""COMPUTED_VALUE"""),"https://www.tiktok.com/@rissaamell_08")</f>
        <v>https://www.tiktok.com/@rissaamell_08</v>
      </c>
      <c r="D81" s="270">
        <f>IFERROR(__xludf.DUMMYFUNCTION("""COMPUTED_VALUE"""),8.5794300429E10)</f>
        <v>85794300429</v>
      </c>
      <c r="E81" s="457">
        <f>IFERROR(__xludf.DUMMYFUNCTION("""COMPUTED_VALUE"""),0.0)</f>
        <v>0</v>
      </c>
      <c r="F81" s="270">
        <f>IFERROR(__xludf.DUMMYFUNCTION("""COMPUTED_VALUE"""),2.0)</f>
        <v>2</v>
      </c>
      <c r="G81" s="17" t="str">
        <f>IFERROR(__xludf.DUMMYFUNCTION("""COMPUTED_VALUE"""),"Sabun batang 1 Box ( 2 PCS )")</f>
        <v>Sabun batang 1 Box ( 2 PCS )</v>
      </c>
      <c r="H81" s="463" t="str">
        <f>IFERROR(__xludf.DUMMYFUNCTION("""COMPUTED_VALUE"""),"Sampai")</f>
        <v>Sampai</v>
      </c>
      <c r="I81" s="464" t="str">
        <f>IFERROR(__xludf.DUMMYFUNCTION("""COMPUTED_VALUE"""),"KIMME")</f>
        <v>KIMME</v>
      </c>
      <c r="J81" s="279" t="str">
        <f>IFERROR(__xludf.DUMMYFUNCTION("""COMPUTED_VALUE"""),"https://vt.tiktok.com/ZSmACojFQ/")</f>
        <v>https://vt.tiktok.com/ZSmACojFQ/</v>
      </c>
      <c r="K81" s="464" t="str">
        <f>IFERROR(__xludf.DUMMYFUNCTION("""COMPUTED_VALUE"""),"KIMME")</f>
        <v>KIMME</v>
      </c>
      <c r="L81" s="279" t="str">
        <f>IFERROR(__xludf.DUMMYFUNCTION("""COMPUTED_VALUE"""),"https://vt.tiktok.com/ZSmAXJx5u/")</f>
        <v>https://vt.tiktok.com/ZSmAXJx5u/</v>
      </c>
      <c r="M81" s="464"/>
      <c r="N81" s="279" t="str">
        <f>IFERROR(__xludf.DUMMYFUNCTION("""COMPUTED_VALUE"""),"https://vt.tiktok.com/ZS9X4Xpdj/")</f>
        <v>https://vt.tiktok.com/ZS9X4Xpdj/</v>
      </c>
      <c r="O81" s="464"/>
      <c r="P81" s="279" t="str">
        <f>IFERROR(__xludf.DUMMYFUNCTION("""COMPUTED_VALUE"""),"https://vt.tiktok.com/ZS9X4CxfN/")</f>
        <v>https://vt.tiktok.com/ZS9X4CxfN/</v>
      </c>
    </row>
    <row r="82">
      <c r="A82" s="255" t="str">
        <f>IFERROR(__xludf.DUMMYFUNCTION("""COMPUTED_VALUE"""),"MICRO")</f>
        <v>MICRO</v>
      </c>
      <c r="B82" s="257" t="str">
        <f>IFERROR(__xludf.DUMMYFUNCTION("""COMPUTED_VALUE"""),"klambi.jo")</f>
        <v>klambi.jo</v>
      </c>
      <c r="C82" s="257" t="str">
        <f>IFERROR(__xludf.DUMMYFUNCTION("""COMPUTED_VALUE"""),"https://www.tiktok.com/@klambi.jo")</f>
        <v>https://www.tiktok.com/@klambi.jo</v>
      </c>
      <c r="D82" s="270">
        <f>IFERROR(__xludf.DUMMYFUNCTION("""COMPUTED_VALUE"""),8.9699696313E10)</f>
        <v>89699696313</v>
      </c>
      <c r="E82" s="457">
        <f>IFERROR(__xludf.DUMMYFUNCTION("""COMPUTED_VALUE"""),0.0)</f>
        <v>0</v>
      </c>
      <c r="F82" s="270">
        <f>IFERROR(__xludf.DUMMYFUNCTION("""COMPUTED_VALUE"""),1.0)</f>
        <v>1</v>
      </c>
      <c r="G82" s="17" t="str">
        <f>IFERROR(__xludf.DUMMYFUNCTION("""COMPUTED_VALUE"""),"Sabun batang 1 Box ( 2 PCS )")</f>
        <v>Sabun batang 1 Box ( 2 PCS )</v>
      </c>
      <c r="H82" s="463" t="str">
        <f>IFERROR(__xludf.DUMMYFUNCTION("""COMPUTED_VALUE"""),"Sampai")</f>
        <v>Sampai</v>
      </c>
      <c r="I82" s="464" t="str">
        <f>IFERROR(__xludf.DUMMYFUNCTION("""COMPUTED_VALUE"""),"KIMME")</f>
        <v>KIMME</v>
      </c>
      <c r="J82" s="279" t="str">
        <f>IFERROR(__xludf.DUMMYFUNCTION("""COMPUTED_VALUE"""),"https://vt.tiktok.com/ZSmDorAKc/")</f>
        <v>https://vt.tiktok.com/ZSmDorAKc/</v>
      </c>
      <c r="K82" s="464" t="str">
        <f>IFERROR(__xludf.DUMMYFUNCTION("""COMPUTED_VALUE"""),"KIMME")</f>
        <v>KIMME</v>
      </c>
      <c r="L82" s="279" t="str">
        <f>IFERROR(__xludf.DUMMYFUNCTION("""COMPUTED_VALUE"""),"https://www.tiktok.com/@klambi.jo/video/7620765223896583444?is_from_webapp=1&amp;sender_device=pc")</f>
        <v>https://www.tiktok.com/@klambi.jo/video/7620765223896583444?is_from_webapp=1&amp;sender_device=pc</v>
      </c>
      <c r="M82" s="464" t="str">
        <f>IFERROR(__xludf.DUMMYFUNCTION("""COMPUTED_VALUE"""),"KIMME")</f>
        <v>KIMME</v>
      </c>
      <c r="N82" s="279" t="str">
        <f>IFERROR(__xludf.DUMMYFUNCTION("""COMPUTED_VALUE"""),"https://www.tiktok.com/@klambi.jo/video/7620971634891017492?is_from_webapp=1&amp;sender_device=pc")</f>
        <v>https://www.tiktok.com/@klambi.jo/video/7620971634891017492?is_from_webapp=1&amp;sender_device=pc</v>
      </c>
      <c r="O82" s="464" t="str">
        <f>IFERROR(__xludf.DUMMYFUNCTION("""COMPUTED_VALUE"""),"KIMME")</f>
        <v>KIMME</v>
      </c>
      <c r="P82" s="279" t="str">
        <f>IFERROR(__xludf.DUMMYFUNCTION("""COMPUTED_VALUE"""),"https://www.tiktok.com/@klambi.jo/video/7621332659419073812?is_from_webapp=1&amp;sender_device=pc")</f>
        <v>https://www.tiktok.com/@klambi.jo/video/7621332659419073812?is_from_webapp=1&amp;sender_device=pc</v>
      </c>
    </row>
    <row r="83">
      <c r="A83" s="255" t="str">
        <f>IFERROR(__xludf.DUMMYFUNCTION("""COMPUTED_VALUE"""),"MICRO")</f>
        <v>MICRO</v>
      </c>
      <c r="B83" s="23" t="str">
        <f>IFERROR(__xludf.DUMMYFUNCTION("""COMPUTED_VALUE"""),"acsalsabila")</f>
        <v>acsalsabila</v>
      </c>
      <c r="C83" s="257" t="str">
        <f>IFERROR(__xludf.DUMMYFUNCTION("""COMPUTED_VALUE"""),"https://www.tiktok.com/@acsalsabila")</f>
        <v>https://www.tiktok.com/@acsalsabila</v>
      </c>
      <c r="D83" s="270">
        <f>IFERROR(__xludf.DUMMYFUNCTION("""COMPUTED_VALUE"""),8.5960193938E10)</f>
        <v>85960193938</v>
      </c>
      <c r="E83" s="457">
        <f>IFERROR(__xludf.DUMMYFUNCTION("""COMPUTED_VALUE"""),0.0)</f>
        <v>0</v>
      </c>
      <c r="F83" s="270">
        <f>IFERROR(__xludf.DUMMYFUNCTION("""COMPUTED_VALUE"""),4.0)</f>
        <v>4</v>
      </c>
      <c r="G83" s="17" t="str">
        <f>IFERROR(__xludf.DUMMYFUNCTION("""COMPUTED_VALUE"""),"Sabun batang 1 Box ( 2 PCS )")</f>
        <v>Sabun batang 1 Box ( 2 PCS )</v>
      </c>
      <c r="H83" s="463" t="str">
        <f>IFERROR(__xludf.DUMMYFUNCTION("""COMPUTED_VALUE"""),"Sampai")</f>
        <v>Sampai</v>
      </c>
      <c r="I83" s="464" t="str">
        <f>IFERROR(__xludf.DUMMYFUNCTION("""COMPUTED_VALUE"""),"KIMME")</f>
        <v>KIMME</v>
      </c>
      <c r="J83" s="279" t="str">
        <f>IFERROR(__xludf.DUMMYFUNCTION("""COMPUTED_VALUE"""),"https://www.tiktok.com/@acsalsabila/video/7608364694029602068?is_from_webapp=1&amp;sender_device=pc")</f>
        <v>https://www.tiktok.com/@acsalsabila/video/7608364694029602068?is_from_webapp=1&amp;sender_device=pc</v>
      </c>
      <c r="K83" s="464" t="str">
        <f>IFERROR(__xludf.DUMMYFUNCTION("""COMPUTED_VALUE"""),"KIMME")</f>
        <v>KIMME</v>
      </c>
      <c r="L83" s="279" t="str">
        <f>IFERROR(__xludf.DUMMYFUNCTION("""COMPUTED_VALUE"""),"https://www.tiktok.com/@acsalsabila/video/7609054525537864980?is_from_webapp=1&amp;sender_device=pc")</f>
        <v>https://www.tiktok.com/@acsalsabila/video/7609054525537864980?is_from_webapp=1&amp;sender_device=pc</v>
      </c>
      <c r="M83" s="464" t="str">
        <f>IFERROR(__xludf.DUMMYFUNCTION("""COMPUTED_VALUE"""),"KIMME")</f>
        <v>KIMME</v>
      </c>
      <c r="N83" s="279" t="str">
        <f>IFERROR(__xludf.DUMMYFUNCTION("""COMPUTED_VALUE"""),"https://www.tiktok.com/@acsalsabila/video/7609194726373346581?is_from_webapp=1&amp;sender_device=pc")</f>
        <v>https://www.tiktok.com/@acsalsabila/video/7609194726373346581?is_from_webapp=1&amp;sender_device=pc</v>
      </c>
      <c r="O83" s="464" t="str">
        <f>IFERROR(__xludf.DUMMYFUNCTION("""COMPUTED_VALUE"""),"KIMME")</f>
        <v>KIMME</v>
      </c>
      <c r="P83" s="279" t="str">
        <f>IFERROR(__xludf.DUMMYFUNCTION("""COMPUTED_VALUE"""),"https://www.tiktok.com/@acsalsabila/video/7609490665793277205?is_from_webapp=1&amp;sender_device=pc")</f>
        <v>https://www.tiktok.com/@acsalsabila/video/7609490665793277205?is_from_webapp=1&amp;sender_device=pc</v>
      </c>
    </row>
    <row r="84">
      <c r="A84" s="255" t="str">
        <f>IFERROR(__xludf.DUMMYFUNCTION("""COMPUTED_VALUE"""),"MACRO")</f>
        <v>MACRO</v>
      </c>
      <c r="B84" s="23" t="str">
        <f>IFERROR(__xludf.DUMMYFUNCTION("""COMPUTED_VALUE"""),"maimunah_220")</f>
        <v>maimunah_220</v>
      </c>
      <c r="C84" s="257" t="str">
        <f>IFERROR(__xludf.DUMMYFUNCTION("""COMPUTED_VALUE"""),"https://www.tiktok.com/@maimunah_220")</f>
        <v>https://www.tiktok.com/@maimunah_220</v>
      </c>
      <c r="D84" s="270">
        <f>IFERROR(__xludf.DUMMYFUNCTION("""COMPUTED_VALUE"""),8.1264119948E10)</f>
        <v>81264119948</v>
      </c>
      <c r="E84" s="457">
        <f>IFERROR(__xludf.DUMMYFUNCTION("""COMPUTED_VALUE"""),0.0)</f>
        <v>0</v>
      </c>
      <c r="F84" s="270">
        <f>IFERROR(__xludf.DUMMYFUNCTION("""COMPUTED_VALUE"""),4.0)</f>
        <v>4</v>
      </c>
      <c r="G84" s="17" t="str">
        <f>IFERROR(__xludf.DUMMYFUNCTION("""COMPUTED_VALUE"""),"Sabun batang 1 Box ( 2 PCS )")</f>
        <v>Sabun batang 1 Box ( 2 PCS )</v>
      </c>
      <c r="H84" s="463" t="str">
        <f>IFERROR(__xludf.DUMMYFUNCTION("""COMPUTED_VALUE"""),"Sampai")</f>
        <v>Sampai</v>
      </c>
      <c r="I84" s="464" t="str">
        <f>IFERROR(__xludf.DUMMYFUNCTION("""COMPUTED_VALUE"""),"KIMME")</f>
        <v>KIMME</v>
      </c>
      <c r="J84" s="279" t="str">
        <f>IFERROR(__xludf.DUMMYFUNCTION("""COMPUTED_VALUE"""),"https://www.tiktok.com/@maimunah_220/video/7613242359593159943?is_from_webapp=1&amp;sender_device=pc")</f>
        <v>https://www.tiktok.com/@maimunah_220/video/7613242359593159943?is_from_webapp=1&amp;sender_device=pc</v>
      </c>
      <c r="K84" s="464" t="str">
        <f>IFERROR(__xludf.DUMMYFUNCTION("""COMPUTED_VALUE"""),"KIMME")</f>
        <v>KIMME</v>
      </c>
      <c r="L84" s="279" t="str">
        <f>IFERROR(__xludf.DUMMYFUNCTION("""COMPUTED_VALUE"""),"https://vt.tiktok.com/ZSue96rVe/ ")</f>
        <v>https://vt.tiktok.com/ZSue96rVe/ </v>
      </c>
      <c r="M84" s="464" t="str">
        <f>IFERROR(__xludf.DUMMYFUNCTION("""COMPUTED_VALUE"""),"KIMME")</f>
        <v>KIMME</v>
      </c>
      <c r="N84" s="279" t="str">
        <f>IFERROR(__xludf.DUMMYFUNCTION("""COMPUTED_VALUE"""),"https://www.tiktok.com/@maimunah_220/video/7616407545254546695?is_from_webapp=1&amp;sender_device=pc&amp;web_id=7611930277489657360")</f>
        <v>https://www.tiktok.com/@maimunah_220/video/7616407545254546695?is_from_webapp=1&amp;sender_device=pc&amp;web_id=7611930277489657360</v>
      </c>
      <c r="O84" s="464" t="str">
        <f>IFERROR(__xludf.DUMMYFUNCTION("""COMPUTED_VALUE"""),"KIMME")</f>
        <v>KIMME</v>
      </c>
      <c r="P84" s="17"/>
    </row>
    <row r="85">
      <c r="A85" s="255" t="str">
        <f>IFERROR(__xludf.DUMMYFUNCTION("""COMPUTED_VALUE"""),"MICRO")</f>
        <v>MICRO</v>
      </c>
      <c r="B85" s="23" t="str">
        <f>IFERROR(__xludf.DUMMYFUNCTION("""COMPUTED_VALUE"""),"thnlykai")</f>
        <v>thnlykai</v>
      </c>
      <c r="C85" s="257" t="str">
        <f>IFERROR(__xludf.DUMMYFUNCTION("""COMPUTED_VALUE"""),"https://www.tiktok.com/@thnlykai")</f>
        <v>https://www.tiktok.com/@thnlykai</v>
      </c>
      <c r="D85" s="270">
        <f>IFERROR(__xludf.DUMMYFUNCTION("""COMPUTED_VALUE"""),8.98613759E9)</f>
        <v>8986137590</v>
      </c>
      <c r="E85" s="457">
        <f>IFERROR(__xludf.DUMMYFUNCTION("""COMPUTED_VALUE"""),100000.0)</f>
        <v>100000</v>
      </c>
      <c r="F85" s="270">
        <f>IFERROR(__xludf.DUMMYFUNCTION("""COMPUTED_VALUE"""),1.0)</f>
        <v>1</v>
      </c>
      <c r="G85" s="17" t="str">
        <f>IFERROR(__xludf.DUMMYFUNCTION("""COMPUTED_VALUE"""),"Sabun batang 1 Box ( 2 PCS )")</f>
        <v>Sabun batang 1 Box ( 2 PCS )</v>
      </c>
      <c r="H85" s="463" t="str">
        <f>IFERROR(__xludf.DUMMYFUNCTION("""COMPUTED_VALUE"""),"Sampai")</f>
        <v>Sampai</v>
      </c>
      <c r="I85" s="464" t="str">
        <f>IFERROR(__xludf.DUMMYFUNCTION("""COMPUTED_VALUE"""),"KIMME")</f>
        <v>KIMME</v>
      </c>
      <c r="J85" s="279" t="str">
        <f>IFERROR(__xludf.DUMMYFUNCTION("""COMPUTED_VALUE"""),"https://vt.tiktok.com/ZSmQEwYN3/")</f>
        <v>https://vt.tiktok.com/ZSmQEwYN3/</v>
      </c>
      <c r="K85" s="464" t="str">
        <f>IFERROR(__xludf.DUMMYFUNCTION("""COMPUTED_VALUE"""),"KIMME")</f>
        <v>KIMME</v>
      </c>
      <c r="L85" s="279" t="str">
        <f>IFERROR(__xludf.DUMMYFUNCTION("""COMPUTED_VALUE"""),"https://vt.tiktok.com/ZS9X4TdMq/")</f>
        <v>https://vt.tiktok.com/ZS9X4TdMq/</v>
      </c>
      <c r="M85" s="464"/>
      <c r="N85" s="279" t="str">
        <f>IFERROR(__xludf.DUMMYFUNCTION("""COMPUTED_VALUE"""),"https://vt.tiktok.com/ZS9X4vYfe/")</f>
        <v>https://vt.tiktok.com/ZS9X4vYfe/</v>
      </c>
      <c r="O85" s="464"/>
      <c r="P85" s="279" t="str">
        <f>IFERROR(__xludf.DUMMYFUNCTION("""COMPUTED_VALUE"""),"https://vt.tiktok.com/ZS9X4cEnK/")</f>
        <v>https://vt.tiktok.com/ZS9X4cEnK/</v>
      </c>
    </row>
    <row r="86">
      <c r="A86" s="255" t="str">
        <f>IFERROR(__xludf.DUMMYFUNCTION("""COMPUTED_VALUE"""),"MICRO")</f>
        <v>MICRO</v>
      </c>
      <c r="B86" s="23" t="str">
        <f>IFERROR(__xludf.DUMMYFUNCTION("""COMPUTED_VALUE"""),"hixybinn")</f>
        <v>hixybinn</v>
      </c>
      <c r="C86" s="257" t="str">
        <f>IFERROR(__xludf.DUMMYFUNCTION("""COMPUTED_VALUE"""),"https://www.tiktok.com/@hixybinn")</f>
        <v>https://www.tiktok.com/@hixybinn</v>
      </c>
      <c r="D86" s="270">
        <f>IFERROR(__xludf.DUMMYFUNCTION("""COMPUTED_VALUE"""),8.5894524079E10)</f>
        <v>85894524079</v>
      </c>
      <c r="E86" s="457">
        <f>IFERROR(__xludf.DUMMYFUNCTION("""COMPUTED_VALUE"""),50000.0)</f>
        <v>50000</v>
      </c>
      <c r="F86" s="270">
        <f>IFERROR(__xludf.DUMMYFUNCTION("""COMPUTED_VALUE"""),1.0)</f>
        <v>1</v>
      </c>
      <c r="G86" s="17" t="str">
        <f>IFERROR(__xludf.DUMMYFUNCTION("""COMPUTED_VALUE"""),"Sabun batang 1 Box ( 2 PCS )")</f>
        <v>Sabun batang 1 Box ( 2 PCS )</v>
      </c>
      <c r="H86" s="463" t="str">
        <f>IFERROR(__xludf.DUMMYFUNCTION("""COMPUTED_VALUE"""),"Sampai")</f>
        <v>Sampai</v>
      </c>
      <c r="I86" s="464" t="str">
        <f>IFERROR(__xludf.DUMMYFUNCTION("""COMPUTED_VALUE"""),"KIMME")</f>
        <v>KIMME</v>
      </c>
      <c r="J86" s="279" t="str">
        <f>IFERROR(__xludf.DUMMYFUNCTION("""COMPUTED_VALUE"""),"https://vt.tiktok.com/ZSmXgUS2u/")</f>
        <v>https://vt.tiktok.com/ZSmXgUS2u/</v>
      </c>
      <c r="K86" s="464" t="str">
        <f>IFERROR(__xludf.DUMMYFUNCTION("""COMPUTED_VALUE"""),"KIMME")</f>
        <v>KIMME</v>
      </c>
      <c r="L86" s="279" t="str">
        <f>IFERROR(__xludf.DUMMYFUNCTION("""COMPUTED_VALUE"""),"https://vt.tiktok.com/ZS9X4sMLg/")</f>
        <v>https://vt.tiktok.com/ZS9X4sMLg/</v>
      </c>
      <c r="M86" s="464"/>
      <c r="N86" s="279" t="str">
        <f>IFERROR(__xludf.DUMMYFUNCTION("""COMPUTED_VALUE"""),"https://vt.tiktok.com/ZS9XVFRbp/")</f>
        <v>https://vt.tiktok.com/ZS9XVFRbp/</v>
      </c>
      <c r="O86" s="464"/>
      <c r="P86" s="279" t="str">
        <f>IFERROR(__xludf.DUMMYFUNCTION("""COMPUTED_VALUE"""),"https://vt.tiktok.com/ZS9X4wekD/")</f>
        <v>https://vt.tiktok.com/ZS9X4wekD/</v>
      </c>
    </row>
    <row r="87">
      <c r="A87" s="255" t="str">
        <f>IFERROR(__xludf.DUMMYFUNCTION("""COMPUTED_VALUE"""),"MICRO")</f>
        <v>MICRO</v>
      </c>
      <c r="B87" s="23" t="str">
        <f>IFERROR(__xludf.DUMMYFUNCTION("""COMPUTED_VALUE"""),"anitanursyifa")</f>
        <v>anitanursyifa</v>
      </c>
      <c r="C87" s="257" t="str">
        <f>IFERROR(__xludf.DUMMYFUNCTION("""COMPUTED_VALUE"""),"https://www.tiktok.com/@anitanursyifa")</f>
        <v>https://www.tiktok.com/@anitanursyifa</v>
      </c>
      <c r="D87" s="270">
        <f>IFERROR(__xludf.DUMMYFUNCTION("""COMPUTED_VALUE"""),8.1398972153E10)</f>
        <v>81398972153</v>
      </c>
      <c r="E87" s="457">
        <f>IFERROR(__xludf.DUMMYFUNCTION("""COMPUTED_VALUE"""),0.0)</f>
        <v>0</v>
      </c>
      <c r="F87" s="270">
        <f>IFERROR(__xludf.DUMMYFUNCTION("""COMPUTED_VALUE"""),1.0)</f>
        <v>1</v>
      </c>
      <c r="G87" s="17" t="str">
        <f>IFERROR(__xludf.DUMMYFUNCTION("""COMPUTED_VALUE"""),"Sabun batang 1 Box ( 2 PCS )")</f>
        <v>Sabun batang 1 Box ( 2 PCS )</v>
      </c>
      <c r="H87" s="463" t="str">
        <f>IFERROR(__xludf.DUMMYFUNCTION("""COMPUTED_VALUE"""),"Sampai")</f>
        <v>Sampai</v>
      </c>
      <c r="I87" s="464" t="str">
        <f>IFERROR(__xludf.DUMMYFUNCTION("""COMPUTED_VALUE"""),"KIMME")</f>
        <v>KIMME</v>
      </c>
      <c r="J87" s="279" t="str">
        <f>IFERROR(__xludf.DUMMYFUNCTION("""COMPUTED_VALUE"""),"https://vt.tiktok.com/ZSmaK6Raw/")</f>
        <v>https://vt.tiktok.com/ZSmaK6Raw/</v>
      </c>
      <c r="K87" s="464" t="str">
        <f>IFERROR(__xludf.DUMMYFUNCTION("""COMPUTED_VALUE"""),"KIMME")</f>
        <v>KIMME</v>
      </c>
      <c r="L87" s="279" t="str">
        <f>IFERROR(__xludf.DUMMYFUNCTION("""COMPUTED_VALUE"""),"https://vt.tiktok.com/ZS9X4tCGx/")</f>
        <v>https://vt.tiktok.com/ZS9X4tCGx/</v>
      </c>
      <c r="M87" s="464"/>
      <c r="N87" s="279" t="str">
        <f>IFERROR(__xludf.DUMMYFUNCTION("""COMPUTED_VALUE"""),"https://vt.tiktok.com/ZS9BER16R/")</f>
        <v>https://vt.tiktok.com/ZS9BER16R/</v>
      </c>
      <c r="O87" s="464"/>
      <c r="P87" s="279" t="str">
        <f>IFERROR(__xludf.DUMMYFUNCTION("""COMPUTED_VALUE"""),"https://vt.tiktok.com/ZS9BEYY5k/")</f>
        <v>https://vt.tiktok.com/ZS9BEYY5k/</v>
      </c>
    </row>
    <row r="88">
      <c r="A88" s="255" t="str">
        <f>IFERROR(__xludf.DUMMYFUNCTION("""COMPUTED_VALUE"""),"MICRO")</f>
        <v>MICRO</v>
      </c>
      <c r="B88" s="23" t="str">
        <f>IFERROR(__xludf.DUMMYFUNCTION("""COMPUTED_VALUE"""),"anifanadifa")</f>
        <v>anifanadifa</v>
      </c>
      <c r="C88" s="257" t="str">
        <f>IFERROR(__xludf.DUMMYFUNCTION("""COMPUTED_VALUE"""),"https://www.tiktok.com/@anifanadifa")</f>
        <v>https://www.tiktok.com/@anifanadifa</v>
      </c>
      <c r="D88" s="270">
        <f>IFERROR(__xludf.DUMMYFUNCTION("""COMPUTED_VALUE"""),8.5794910521E10)</f>
        <v>85794910521</v>
      </c>
      <c r="E88" s="457">
        <f>IFERROR(__xludf.DUMMYFUNCTION("""COMPUTED_VALUE"""),0.0)</f>
        <v>0</v>
      </c>
      <c r="F88" s="270">
        <f>IFERROR(__xludf.DUMMYFUNCTION("""COMPUTED_VALUE"""),4.0)</f>
        <v>4</v>
      </c>
      <c r="G88" s="17" t="str">
        <f>IFERROR(__xludf.DUMMYFUNCTION("""COMPUTED_VALUE"""),"Sabun batang 1 Box ( 2 PCS )")</f>
        <v>Sabun batang 1 Box ( 2 PCS )</v>
      </c>
      <c r="H88" s="463" t="str">
        <f>IFERROR(__xludf.DUMMYFUNCTION("""COMPUTED_VALUE"""),"Sampai")</f>
        <v>Sampai</v>
      </c>
      <c r="I88" s="464" t="str">
        <f>IFERROR(__xludf.DUMMYFUNCTION("""COMPUTED_VALUE"""),"KIMME")</f>
        <v>KIMME</v>
      </c>
      <c r="J88" s="279" t="str">
        <f>IFERROR(__xludf.DUMMYFUNCTION("""COMPUTED_VALUE"""),"https://vt.tiktok.com/ZSmQBBm5G/")</f>
        <v>https://vt.tiktok.com/ZSmQBBm5G/</v>
      </c>
      <c r="K88" s="464" t="str">
        <f>IFERROR(__xludf.DUMMYFUNCTION("""COMPUTED_VALUE"""),"KIMME")</f>
        <v>KIMME</v>
      </c>
      <c r="L88" s="279" t="str">
        <f>IFERROR(__xludf.DUMMYFUNCTION("""COMPUTED_VALUE"""),"https://www.tiktok.com/@anifanadifa/video/7611073751345646868?is_from_webapp=1&amp;sender_device=pc")</f>
        <v>https://www.tiktok.com/@anifanadifa/video/7611073751345646868?is_from_webapp=1&amp;sender_device=pc</v>
      </c>
      <c r="M88" s="464" t="str">
        <f>IFERROR(__xludf.DUMMYFUNCTION("""COMPUTED_VALUE"""),"KIMME")</f>
        <v>KIMME</v>
      </c>
      <c r="N88" s="279" t="str">
        <f>IFERROR(__xludf.DUMMYFUNCTION("""COMPUTED_VALUE"""),"https://www.tiktok.com/@anifanadifa/video/7613655529008762132?is_from_webapp=1&amp;sender_device=pc")</f>
        <v>https://www.tiktok.com/@anifanadifa/video/7613655529008762132?is_from_webapp=1&amp;sender_device=pc</v>
      </c>
      <c r="O88" s="464" t="str">
        <f>IFERROR(__xludf.DUMMYFUNCTION("""COMPUTED_VALUE"""),"KIMME")</f>
        <v>KIMME</v>
      </c>
      <c r="P88" s="279" t="str">
        <f>IFERROR(__xludf.DUMMYFUNCTION("""COMPUTED_VALUE"""),"https://vt.tiktok.com/ZSuymJLuB/")</f>
        <v>https://vt.tiktok.com/ZSuymJLuB/</v>
      </c>
    </row>
    <row r="89">
      <c r="A89" s="255" t="str">
        <f>IFERROR(__xludf.DUMMYFUNCTION("""COMPUTED_VALUE"""),"MICRO")</f>
        <v>MICRO</v>
      </c>
      <c r="B89" s="23" t="str">
        <f>IFERROR(__xludf.DUMMYFUNCTION("""COMPUTED_VALUE"""),"nandajeliss")</f>
        <v>nandajeliss</v>
      </c>
      <c r="C89" s="257" t="str">
        <f>IFERROR(__xludf.DUMMYFUNCTION("""COMPUTED_VALUE"""),"https://www.tiktok.com/@nandajeliss")</f>
        <v>https://www.tiktok.com/@nandajeliss</v>
      </c>
      <c r="D89" s="270">
        <f>IFERROR(__xludf.DUMMYFUNCTION("""COMPUTED_VALUE"""),8.1575544282E10)</f>
        <v>81575544282</v>
      </c>
      <c r="E89" s="457">
        <f>IFERROR(__xludf.DUMMYFUNCTION("""COMPUTED_VALUE"""),0.0)</f>
        <v>0</v>
      </c>
      <c r="F89" s="270">
        <f>IFERROR(__xludf.DUMMYFUNCTION("""COMPUTED_VALUE"""),2.0)</f>
        <v>2</v>
      </c>
      <c r="G89" s="17" t="str">
        <f>IFERROR(__xludf.DUMMYFUNCTION("""COMPUTED_VALUE"""),"Sabun batang 1 Box ( 2 PCS )")</f>
        <v>Sabun batang 1 Box ( 2 PCS )</v>
      </c>
      <c r="H89" s="463" t="str">
        <f>IFERROR(__xludf.DUMMYFUNCTION("""COMPUTED_VALUE"""),"Sampai")</f>
        <v>Sampai</v>
      </c>
      <c r="I89" s="464" t="str">
        <f>IFERROR(__xludf.DUMMYFUNCTION("""COMPUTED_VALUE"""),"KIMME")</f>
        <v>KIMME</v>
      </c>
      <c r="J89" s="279" t="str">
        <f>IFERROR(__xludf.DUMMYFUNCTION("""COMPUTED_VALUE"""),"https://vt.tiktok.com/ZSmXkSW3k/")</f>
        <v>https://vt.tiktok.com/ZSmXkSW3k/</v>
      </c>
      <c r="K89" s="464" t="str">
        <f>IFERROR(__xludf.DUMMYFUNCTION("""COMPUTED_VALUE"""),"KIMME")</f>
        <v>KIMME</v>
      </c>
      <c r="L89" s="279" t="str">
        <f>IFERROR(__xludf.DUMMYFUNCTION("""COMPUTED_VALUE"""),"https://vt.tiktok.com/ZSmgQdKqp/")</f>
        <v>https://vt.tiktok.com/ZSmgQdKqp/</v>
      </c>
      <c r="M89" s="464"/>
      <c r="N89" s="279" t="str">
        <f>IFERROR(__xludf.DUMMYFUNCTION("""COMPUTED_VALUE"""),"https://www.tiktok.com/@nandajeliss/video/7610284021360250130?_d=0&amp;_r=1&amp;ec_shared_reflux_dynamic_params=%7B%22placeholder_material_id%22%3A%227610284021360250130%22%2C%22placeholder_origin_cover%22%3A%22https%253A%252F%252Fp16-sign-sg.tiktokcdn.com%252Fto"&amp;"s-alisg-p-0037%252FowdGxiAIqB0qzqCRKwzYAHQNIfrmA2AikXIXpA~tplv-tiktokx-origin.jpeg%253Fdr%253D14572%2526refresh_token%253D72ed7dd1%2526x-expires%253D1806051600%2526x-signature%253DcE%25252Fq1YK99HUM9VzpjAZHveF%25252BaGk%25253D%2526t%253D4d5b0474%2526ps%25"&amp;"3D13740610%2526shp%253Dd05b14bd%2526shcp%253D34ff8df6%2526idc%253Dmy2%2526s%253DTIKTOK_AFFILIATE_VIRAL_VIDEO%22%2C%22placeholder_product_id%22%3A%221729427766722726591%22%2C%22placeholder_video_id%22%3A%227610284021360250130%22%7D&amp;ec_shared_reflux_scene=s"&amp;"hop_tab_feed&amp;mid=7610284079640005397&amp;preview_pb=0&amp;region=&amp;share_item_id=7610284021360250130&amp;sharer_language=&amp;source=h5_t&amp;u_code=e764lld7374f0j")</f>
        <v>https://www.tiktok.com/@nandajeliss/video/7610284021360250130?_d=0&amp;_r=1&amp;ec_shared_reflux_dynamic_params=%7B%22placeholder_material_id%22%3A%227610284021360250130%22%2C%22placeholder_origin_cover%22%3A%22https%253A%252F%252Fp16-sign-sg.tiktokcdn.com%252Ftos-alisg-p-0037%252FowdGxiAIqB0qzqCRKwzYAHQNIfrmA2AikXIXpA~tplv-tiktokx-origin.jpeg%253Fdr%253D14572%2526refresh_token%253D72ed7dd1%2526x-expires%253D1806051600%2526x-signature%253DcE%25252Fq1YK99HUM9VzpjAZHveF%25252BaGk%25253D%2526t%253D4d5b0474%2526ps%253D13740610%2526shp%253Dd05b14bd%2526shcp%253D34ff8df6%2526idc%253Dmy2%2526s%253DTIKTOK_AFFILIATE_VIRAL_VIDEO%22%2C%22placeholder_product_id%22%3A%221729427766722726591%22%2C%22placeholder_video_id%22%3A%227610284021360250130%22%7D&amp;ec_shared_reflux_scene=shop_tab_feed&amp;mid=7610284079640005397&amp;preview_pb=0&amp;region=&amp;share_item_id=7610284021360250130&amp;sharer_language=&amp;source=h5_t&amp;u_code=e764lld7374f0j</v>
      </c>
      <c r="O89" s="464"/>
      <c r="P89" s="279" t="str">
        <f>IFERROR(__xludf.DUMMYFUNCTION("""COMPUTED_VALUE"""),"tiktok.com/@nandajeliss/video/7611041242884984082?_r=1&amp;u_code=e764lld7374f0j&amp;region=&amp;mid=7325130475969824769&amp;preview_pb=0&amp;sharer_language=&amp;_d=0&amp;ec_shared_reflux_dynamic_params=%7B""placeholder_material_id""%3A""7611041242884984082""%2C""placeholder_origin"&amp;"_cover""%3A""https%253A%252F%252Fp16-sign-sg.tiktokcdn.com%252Ftos-alisg-p-0037%252FoUjCLLDyBMheEuP0bTwyAiofWyQIQheQG72OIA~tplv-tiktokx-origin.jpeg%253Fdr%253D14572%2526refresh_token%253D8717be92%2526x-expires%253D1806051600%2526x-signature%253DTjUjGppwzs"&amp;"i%25252FLdpJZfc42qh3TaI%25253D%2526t%253D4d5b0474%2526ps%253D13740610%2526shp%253Dd05b14bd%2526shcp%253D34ff8df6%2526idc%253Dmy2%2526s%253DTIKTOK_AFFILIATE_VIRAL_VIDEO""%2C""placeholder_product_id""%3A""1729427766722726591""%2C""placeholder_video_id""%3A"&amp;"""7611041242884984082""%7D&amp;ec_shared_reflux_scene=shop_tab_feed&amp;share_item_id=7611041242884984082&amp;source=h5_t")</f>
        <v>tiktok.com/@nandajeliss/video/7611041242884984082?_r=1&amp;u_code=e764lld7374f0j&amp;region=&amp;mid=7325130475969824769&amp;preview_pb=0&amp;sharer_language=&amp;_d=0&amp;ec_shared_reflux_dynamic_params=%7B"placeholder_material_id"%3A"7611041242884984082"%2C"placeholder_origin_cover"%3A"https%253A%252F%252Fp16-sign-sg.tiktokcdn.com%252Ftos-alisg-p-0037%252FoUjCLLDyBMheEuP0bTwyAiofWyQIQheQG72OIA~tplv-tiktokx-origin.jpeg%253Fdr%253D14572%2526refresh_token%253D8717be92%2526x-expires%253D1806051600%2526x-signature%253DTjUjGppwzsi%25252FLdpJZfc42qh3TaI%25253D%2526t%253D4d5b0474%2526ps%253D13740610%2526shp%253Dd05b14bd%2526shcp%253D34ff8df6%2526idc%253Dmy2%2526s%253DTIKTOK_AFFILIATE_VIRAL_VIDEO"%2C"placeholder_product_id"%3A"1729427766722726591"%2C"placeholder_video_id"%3A"7611041242884984082"%7D&amp;ec_shared_reflux_scene=shop_tab_feed&amp;share_item_id=7611041242884984082&amp;source=h5_t</v>
      </c>
    </row>
    <row r="90">
      <c r="A90" s="255" t="str">
        <f>IFERROR(__xludf.DUMMYFUNCTION("""COMPUTED_VALUE"""),"MICRO")</f>
        <v>MICRO</v>
      </c>
      <c r="B90" s="23" t="str">
        <f>IFERROR(__xludf.DUMMYFUNCTION("""COMPUTED_VALUE"""),"cahyaa102")</f>
        <v>cahyaa102</v>
      </c>
      <c r="C90" s="257" t="str">
        <f>IFERROR(__xludf.DUMMYFUNCTION("""COMPUTED_VALUE"""),"https://www.tiktok.com/@cahyaa102")</f>
        <v>https://www.tiktok.com/@cahyaa102</v>
      </c>
      <c r="D90" s="270">
        <f>IFERROR(__xludf.DUMMYFUNCTION("""COMPUTED_VALUE"""),8.8806328326E10)</f>
        <v>88806328326</v>
      </c>
      <c r="E90" s="457">
        <f>IFERROR(__xludf.DUMMYFUNCTION("""COMPUTED_VALUE"""),0.0)</f>
        <v>0</v>
      </c>
      <c r="F90" s="270">
        <f>IFERROR(__xludf.DUMMYFUNCTION("""COMPUTED_VALUE"""),3.0)</f>
        <v>3</v>
      </c>
      <c r="G90" s="17" t="str">
        <f>IFERROR(__xludf.DUMMYFUNCTION("""COMPUTED_VALUE"""),"Sabun batang 1 Box ( 2 PCS )")</f>
        <v>Sabun batang 1 Box ( 2 PCS )</v>
      </c>
      <c r="H90" s="463" t="str">
        <f>IFERROR(__xludf.DUMMYFUNCTION("""COMPUTED_VALUE"""),"Sampai")</f>
        <v>Sampai</v>
      </c>
      <c r="I90" s="464" t="str">
        <f>IFERROR(__xludf.DUMMYFUNCTION("""COMPUTED_VALUE"""),"KIMME")</f>
        <v>KIMME</v>
      </c>
      <c r="J90" s="279" t="str">
        <f>IFERROR(__xludf.DUMMYFUNCTION("""COMPUTED_VALUE"""),"https://vt.tiktok.com/ZSmQACFWw/")</f>
        <v>https://vt.tiktok.com/ZSmQACFWw/</v>
      </c>
      <c r="K90" s="464" t="str">
        <f>IFERROR(__xludf.DUMMYFUNCTION("""COMPUTED_VALUE"""),"KIMME")</f>
        <v>KIMME</v>
      </c>
      <c r="L90" s="279" t="str">
        <f>IFERROR(__xludf.DUMMYFUNCTION("""COMPUTED_VALUE"""),"https://vt.tiktok.com/ZSmQAbHyV/")</f>
        <v>https://vt.tiktok.com/ZSmQAbHyV/</v>
      </c>
      <c r="M90" s="464" t="str">
        <f>IFERROR(__xludf.DUMMYFUNCTION("""COMPUTED_VALUE"""),"KIMME")</f>
        <v>KIMME</v>
      </c>
      <c r="N90" s="279" t="str">
        <f>IFERROR(__xludf.DUMMYFUNCTION("""COMPUTED_VALUE"""),"https://www.tiktok.com/@cahyaa102/video/7609189229637291284?is_from_webapp=1&amp;sender_device=pc")</f>
        <v>https://www.tiktok.com/@cahyaa102/video/7609189229637291284?is_from_webapp=1&amp;sender_device=pc</v>
      </c>
      <c r="O90" s="464" t="str">
        <f>IFERROR(__xludf.DUMMYFUNCTION("""COMPUTED_VALUE"""),"KIMME")</f>
        <v>KIMME</v>
      </c>
      <c r="P90" s="17" t="str">
        <f>IFERROR(__xludf.DUMMYFUNCTION("""COMPUTED_VALUE"""),"1ih991m&amp;region=&amp;mid=7628812707009579796&amp;preview_pb=0&amp;sharer_language=&amp;_d=0&amp;ec_shared_reflux_dynamic_params=%7B""placeholder_material_id""%3A""7628812664403447060""%2C""placeholder_origin_cover""%3A""https%253A%252F%252Fp16-common-sign.tiktokcdn.com%252Fto"&amp;"s-alisg-p-0037%252Focw3DfmxEETcQLfbXCpgFBO9QGRvA8qaGB5HVL~tplv-tiktokx-origin.jpeg%253Fdr%253D14572%2526refresh_token%253Dd27f3013%2526x-expires%253D1808208000%2526x-signature%253DO9bvhE2AaekRushEhJT%25252B4KQmOBg%25253D%2526t%253D4d5b0474%2526ps%253D1374"&amp;"0610%2526shp%253Dd05b14bd%2526shcp%253D34ff8df6%2526idc%253Dmy3%2526s%253DTIKTOK_AFFILIATE_VIRAL_VIDEO""%2C""placeholder_product_id""%3A""1729427766722726591""%2C""placeholder_video_id""%3A""7628812664403447060""%7D&amp;ec_shared_reflux_scene=shop_tab_feed&amp;sh"&amp;"are_item_id=7628812664403447060&amp;source=h5_t")</f>
        <v>1ih991m&amp;region=&amp;mid=7628812707009579796&amp;preview_pb=0&amp;sharer_language=&amp;_d=0&amp;ec_shared_reflux_dynamic_params=%7B"placeholder_material_id"%3A"7628812664403447060"%2C"placeholder_origin_cover"%3A"https%253A%252F%252Fp16-common-sign.tiktokcdn.com%252Ftos-alisg-p-0037%252Focw3DfmxEETcQLfbXCpgFBO9QGRvA8qaGB5HVL~tplv-tiktokx-origin.jpeg%253Fdr%253D14572%2526refresh_token%253Dd27f3013%2526x-expires%253D1808208000%2526x-signature%253DO9bvhE2AaekRushEhJT%25252B4KQmOBg%25253D%2526t%253D4d5b0474%2526ps%253D13740610%2526shp%253Dd05b14bd%2526shcp%253D34ff8df6%2526idc%253Dmy3%2526s%253DTIKTOK_AFFILIATE_VIRAL_VIDEO"%2C"placeholder_product_id"%3A"1729427766722726591"%2C"placeholder_video_id"%3A"7628812664403447060"%7D&amp;ec_shared_reflux_scene=shop_tab_feed&amp;share_item_id=7628812664403447060&amp;source=h5_t</v>
      </c>
    </row>
    <row r="91">
      <c r="A91" s="255" t="str">
        <f>IFERROR(__xludf.DUMMYFUNCTION("""COMPUTED_VALUE"""),"MICRO")</f>
        <v>MICRO</v>
      </c>
      <c r="B91" s="23" t="str">
        <f>IFERROR(__xludf.DUMMYFUNCTION("""COMPUTED_VALUE"""),"upaahsn")</f>
        <v>upaahsn</v>
      </c>
      <c r="C91" s="257" t="str">
        <f>IFERROR(__xludf.DUMMYFUNCTION("""COMPUTED_VALUE"""),"https://www.tiktok.com/@upaahsn")</f>
        <v>https://www.tiktok.com/@upaahsn</v>
      </c>
      <c r="D91" s="270">
        <f>IFERROR(__xludf.DUMMYFUNCTION("""COMPUTED_VALUE"""),8.2279790694E10)</f>
        <v>82279790694</v>
      </c>
      <c r="E91" s="457">
        <f>IFERROR(__xludf.DUMMYFUNCTION("""COMPUTED_VALUE"""),50000.0)</f>
        <v>50000</v>
      </c>
      <c r="F91" s="270">
        <f>IFERROR(__xludf.DUMMYFUNCTION("""COMPUTED_VALUE"""),1.0)</f>
        <v>1</v>
      </c>
      <c r="G91" s="17" t="str">
        <f>IFERROR(__xludf.DUMMYFUNCTION("""COMPUTED_VALUE"""),"Sabun batang 1 Box ( 2 PCS )")</f>
        <v>Sabun batang 1 Box ( 2 PCS )</v>
      </c>
      <c r="H91" s="463" t="str">
        <f>IFERROR(__xludf.DUMMYFUNCTION("""COMPUTED_VALUE"""),"Sampai")</f>
        <v>Sampai</v>
      </c>
      <c r="I91" s="464" t="str">
        <f>IFERROR(__xludf.DUMMYFUNCTION("""COMPUTED_VALUE"""),"KIMME")</f>
        <v>KIMME</v>
      </c>
      <c r="J91" s="279" t="str">
        <f>IFERROR(__xludf.DUMMYFUNCTION("""COMPUTED_VALUE"""),"https://www.tiktok.com/@upaahsn/video/7615869744532491540?is_from_webapp=1&amp;sender_device=pc")</f>
        <v>https://www.tiktok.com/@upaahsn/video/7615869744532491540?is_from_webapp=1&amp;sender_device=pc</v>
      </c>
      <c r="K91" s="464" t="str">
        <f>IFERROR(__xludf.DUMMYFUNCTION("""COMPUTED_VALUE"""),"KIMME")</f>
        <v>KIMME</v>
      </c>
      <c r="L91" s="279" t="str">
        <f>IFERROR(__xludf.DUMMYFUNCTION("""COMPUTED_VALUE"""),"https://www.tiktok.com/@upaahsn/video/7616671855356792084?is_from_webapp=1&amp;sender_device=pc")</f>
        <v>https://www.tiktok.com/@upaahsn/video/7616671855356792084?is_from_webapp=1&amp;sender_device=pc</v>
      </c>
      <c r="M91" s="464"/>
      <c r="N91" s="279" t="str">
        <f>IFERROR(__xludf.DUMMYFUNCTION("""COMPUTED_VALUE"""),"https://vt.tiktok.com/ZS9BERtWU/")</f>
        <v>https://vt.tiktok.com/ZS9BERtWU/</v>
      </c>
      <c r="O91" s="464"/>
      <c r="P91" s="279" t="str">
        <f>IFERROR(__xludf.DUMMYFUNCTION("""COMPUTED_VALUE"""),"https://vt.tiktok.com/ZS9BERnGH/")</f>
        <v>https://vt.tiktok.com/ZS9BERnGH/</v>
      </c>
    </row>
    <row r="92">
      <c r="A92" s="255" t="str">
        <f>IFERROR(__xludf.DUMMYFUNCTION("""COMPUTED_VALUE"""),"MICRO")</f>
        <v>MICRO</v>
      </c>
      <c r="B92" s="23" t="str">
        <f>IFERROR(__xludf.DUMMYFUNCTION("""COMPUTED_VALUE"""),"sygkmu__3")</f>
        <v>sygkmu__3</v>
      </c>
      <c r="C92" s="257" t="str">
        <f>IFERROR(__xludf.DUMMYFUNCTION("""COMPUTED_VALUE"""),"https://www.tiktok.com/@sygkmu__3")</f>
        <v>https://www.tiktok.com/@sygkmu__3</v>
      </c>
      <c r="D92" s="270">
        <f>IFERROR(__xludf.DUMMYFUNCTION("""COMPUTED_VALUE"""),8.95417340374E11)</f>
        <v>895417340374</v>
      </c>
      <c r="E92" s="457">
        <f>IFERROR(__xludf.DUMMYFUNCTION("""COMPUTED_VALUE"""),50000.0)</f>
        <v>50000</v>
      </c>
      <c r="F92" s="270">
        <f>IFERROR(__xludf.DUMMYFUNCTION("""COMPUTED_VALUE"""),1.0)</f>
        <v>1</v>
      </c>
      <c r="G92" s="17" t="str">
        <f>IFERROR(__xludf.DUMMYFUNCTION("""COMPUTED_VALUE"""),"Sabun batang 1 Box ( 2 PCS )")</f>
        <v>Sabun batang 1 Box ( 2 PCS )</v>
      </c>
      <c r="H92" s="463" t="str">
        <f>IFERROR(__xludf.DUMMYFUNCTION("""COMPUTED_VALUE"""),"Sampai")</f>
        <v>Sampai</v>
      </c>
      <c r="I92" s="464" t="str">
        <f>IFERROR(__xludf.DUMMYFUNCTION("""COMPUTED_VALUE"""),"KIMME")</f>
        <v>KIMME</v>
      </c>
      <c r="J92" s="279" t="str">
        <f>IFERROR(__xludf.DUMMYFUNCTION("""COMPUTED_VALUE"""),"https://vt.tiktok.com/ZSmxE9xcm/")</f>
        <v>https://vt.tiktok.com/ZSmxE9xcm/</v>
      </c>
      <c r="K92" s="464" t="str">
        <f>IFERROR(__xludf.DUMMYFUNCTION("""COMPUTED_VALUE"""),"KIMME")</f>
        <v>KIMME</v>
      </c>
      <c r="L92" s="279" t="str">
        <f>IFERROR(__xludf.DUMMYFUNCTION("""COMPUTED_VALUE"""),"https://vt.tiktok.com/ZS9X4mrSg/")</f>
        <v>https://vt.tiktok.com/ZS9X4mrSg/</v>
      </c>
      <c r="M92" s="464"/>
      <c r="N92" s="279" t="str">
        <f>IFERROR(__xludf.DUMMYFUNCTION("""COMPUTED_VALUE"""),"https://vt.tiktok.com/ZS9DPuJ5S/")</f>
        <v>https://vt.tiktok.com/ZS9DPuJ5S/</v>
      </c>
      <c r="O92" s="464"/>
      <c r="P92" s="279" t="str">
        <f>IFERROR(__xludf.DUMMYFUNCTION("""COMPUTED_VALUE"""),"https://vt.tiktok.com/ZS9DP54cV/")</f>
        <v>https://vt.tiktok.com/ZS9DP54cV/</v>
      </c>
    </row>
    <row r="93">
      <c r="A93" s="255" t="str">
        <f>IFERROR(__xludf.DUMMYFUNCTION("""COMPUTED_VALUE"""),"MICRO")</f>
        <v>MICRO</v>
      </c>
      <c r="B93" s="23" t="str">
        <f>IFERROR(__xludf.DUMMYFUNCTION("""COMPUTED_VALUE"""),"liawidhy")</f>
        <v>liawidhy</v>
      </c>
      <c r="C93" s="257" t="str">
        <f>IFERROR(__xludf.DUMMYFUNCTION("""COMPUTED_VALUE"""),"https://www.tiktok.com/@liawidhy")</f>
        <v>https://www.tiktok.com/@liawidhy</v>
      </c>
      <c r="D93" s="270">
        <f>IFERROR(__xludf.DUMMYFUNCTION("""COMPUTED_VALUE"""),8.2337357377E10)</f>
        <v>82337357377</v>
      </c>
      <c r="E93" s="457">
        <f>IFERROR(__xludf.DUMMYFUNCTION("""COMPUTED_VALUE"""),0.0)</f>
        <v>0</v>
      </c>
      <c r="F93" s="270">
        <f>IFERROR(__xludf.DUMMYFUNCTION("""COMPUTED_VALUE"""),4.0)</f>
        <v>4</v>
      </c>
      <c r="G93" s="17" t="str">
        <f>IFERROR(__xludf.DUMMYFUNCTION("""COMPUTED_VALUE"""),"Sabun batang 1 Box ( 2 PCS )")</f>
        <v>Sabun batang 1 Box ( 2 PCS )</v>
      </c>
      <c r="H93" s="463" t="str">
        <f>IFERROR(__xludf.DUMMYFUNCTION("""COMPUTED_VALUE"""),"Sampai")</f>
        <v>Sampai</v>
      </c>
      <c r="I93" s="464" t="str">
        <f>IFERROR(__xludf.DUMMYFUNCTION("""COMPUTED_VALUE"""),"KIMME")</f>
        <v>KIMME</v>
      </c>
      <c r="J93" s="279" t="str">
        <f>IFERROR(__xludf.DUMMYFUNCTION("""COMPUTED_VALUE"""),"https://vt.tiktok.com/ZSmbvgDKb/")</f>
        <v>https://vt.tiktok.com/ZSmbvgDKb/</v>
      </c>
      <c r="K93" s="464" t="str">
        <f>IFERROR(__xludf.DUMMYFUNCTION("""COMPUTED_VALUE"""),"KIMME")</f>
        <v>KIMME</v>
      </c>
      <c r="L93" s="279" t="str">
        <f>IFERROR(__xludf.DUMMYFUNCTION("""COMPUTED_VALUE"""),"https://vt.tiktok.com/ZSmbc23JE/")</f>
        <v>https://vt.tiktok.com/ZSmbc23JE/</v>
      </c>
      <c r="M93" s="464" t="str">
        <f>IFERROR(__xludf.DUMMYFUNCTION("""COMPUTED_VALUE"""),"KIMME")</f>
        <v>KIMME</v>
      </c>
      <c r="N93" s="279" t="str">
        <f>IFERROR(__xludf.DUMMYFUNCTION("""COMPUTED_VALUE"""),"https://www.tiktok.com/@liawidhy/video/7613745754896649493?is_from_webapp=1&amp;sender_device=pc")</f>
        <v>https://www.tiktok.com/@liawidhy/video/7613745754896649493?is_from_webapp=1&amp;sender_device=pc</v>
      </c>
      <c r="O93" s="464" t="str">
        <f>IFERROR(__xludf.DUMMYFUNCTION("""COMPUTED_VALUE"""),"KIMME")</f>
        <v>KIMME</v>
      </c>
      <c r="P93" s="279" t="str">
        <f>IFERROR(__xludf.DUMMYFUNCTION("""COMPUTED_VALUE"""),"https://www.tiktok.com/@liawidhy/video/7614118036659883284?is_from_webapp=1&amp;sender_device=pc")</f>
        <v>https://www.tiktok.com/@liawidhy/video/7614118036659883284?is_from_webapp=1&amp;sender_device=pc</v>
      </c>
    </row>
    <row r="94">
      <c r="A94" s="255" t="str">
        <f>IFERROR(__xludf.DUMMYFUNCTION("""COMPUTED_VALUE"""),"MICRO")</f>
        <v>MICRO</v>
      </c>
      <c r="B94" s="23" t="str">
        <f>IFERROR(__xludf.DUMMYFUNCTION("""COMPUTED_VALUE"""),"rismaawtt")</f>
        <v>rismaawtt</v>
      </c>
      <c r="C94" s="257" t="str">
        <f>IFERROR(__xludf.DUMMYFUNCTION("""COMPUTED_VALUE"""),"https://www.tiktok.com/@rismaawtt")</f>
        <v>https://www.tiktok.com/@rismaawtt</v>
      </c>
      <c r="D94" s="270">
        <f>IFERROR(__xludf.DUMMYFUNCTION("""COMPUTED_VALUE"""),8.572733163E10)</f>
        <v>85727331630</v>
      </c>
      <c r="E94" s="457">
        <f>IFERROR(__xludf.DUMMYFUNCTION("""COMPUTED_VALUE"""),0.0)</f>
        <v>0</v>
      </c>
      <c r="F94" s="270">
        <f>IFERROR(__xludf.DUMMYFUNCTION("""COMPUTED_VALUE"""),4.0)</f>
        <v>4</v>
      </c>
      <c r="G94" s="17" t="str">
        <f>IFERROR(__xludf.DUMMYFUNCTION("""COMPUTED_VALUE"""),"Sabun batang 1 Box ( 2 PCS )")</f>
        <v>Sabun batang 1 Box ( 2 PCS )</v>
      </c>
      <c r="H94" s="463" t="str">
        <f>IFERROR(__xludf.DUMMYFUNCTION("""COMPUTED_VALUE"""),"Sampai")</f>
        <v>Sampai</v>
      </c>
      <c r="I94" s="464" t="str">
        <f>IFERROR(__xludf.DUMMYFUNCTION("""COMPUTED_VALUE"""),"KIMME")</f>
        <v>KIMME</v>
      </c>
      <c r="J94" s="279" t="str">
        <f>IFERROR(__xludf.DUMMYFUNCTION("""COMPUTED_VALUE"""),"https://vt.tiktok.com/ZSuBksq6y/")</f>
        <v>https://vt.tiktok.com/ZSuBksq6y/</v>
      </c>
      <c r="K94" s="464" t="str">
        <f>IFERROR(__xludf.DUMMYFUNCTION("""COMPUTED_VALUE"""),"KIMME")</f>
        <v>KIMME</v>
      </c>
      <c r="L94" s="279" t="str">
        <f>IFERROR(__xludf.DUMMYFUNCTION("""COMPUTED_VALUE"""),"https://vt.tiktok.com/ZSuBkTCpx/")</f>
        <v>https://vt.tiktok.com/ZSuBkTCpx/</v>
      </c>
      <c r="M94" s="464" t="str">
        <f>IFERROR(__xludf.DUMMYFUNCTION("""COMPUTED_VALUE"""),"KIMME")</f>
        <v>KIMME</v>
      </c>
      <c r="N94" s="279" t="str">
        <f>IFERROR(__xludf.DUMMYFUNCTION("""COMPUTED_VALUE"""),"https://vt.tiktok.com/ZSuBkGyFr/")</f>
        <v>https://vt.tiktok.com/ZSuBkGyFr/</v>
      </c>
      <c r="O94" s="464" t="str">
        <f>IFERROR(__xludf.DUMMYFUNCTION("""COMPUTED_VALUE"""),"KIMME")</f>
        <v>KIMME</v>
      </c>
      <c r="P94" s="279" t="str">
        <f>IFERROR(__xludf.DUMMYFUNCTION("""COMPUTED_VALUE"""),"https://vt.tiktok.com/ZSuBkbY4T/")</f>
        <v>https://vt.tiktok.com/ZSuBkbY4T/</v>
      </c>
    </row>
    <row r="95">
      <c r="A95" s="255" t="str">
        <f>IFERROR(__xludf.DUMMYFUNCTION("""COMPUTED_VALUE"""),"MICRO")</f>
        <v>MICRO</v>
      </c>
      <c r="B95" s="23" t="str">
        <f>IFERROR(__xludf.DUMMYFUNCTION("""COMPUTED_VALUE"""),"ntsyajulia_")</f>
        <v>ntsyajulia_</v>
      </c>
      <c r="C95" s="257" t="str">
        <f>IFERROR(__xludf.DUMMYFUNCTION("""COMPUTED_VALUE"""),"https://www.tiktok.com/@ntsyajulia_")</f>
        <v>https://www.tiktok.com/@ntsyajulia_</v>
      </c>
      <c r="D95" s="270">
        <f>IFERROR(__xludf.DUMMYFUNCTION("""COMPUTED_VALUE"""),8.3185529313E10)</f>
        <v>83185529313</v>
      </c>
      <c r="E95" s="457">
        <f>IFERROR(__xludf.DUMMYFUNCTION("""COMPUTED_VALUE"""),0.0)</f>
        <v>0</v>
      </c>
      <c r="F95" s="270">
        <f>IFERROR(__xludf.DUMMYFUNCTION("""COMPUTED_VALUE"""),4.0)</f>
        <v>4</v>
      </c>
      <c r="G95" s="17" t="str">
        <f>IFERROR(__xludf.DUMMYFUNCTION("""COMPUTED_VALUE"""),"Sabun batang 1 Box ( 2 PCS )")</f>
        <v>Sabun batang 1 Box ( 2 PCS )</v>
      </c>
      <c r="H95" s="463" t="str">
        <f>IFERROR(__xludf.DUMMYFUNCTION("""COMPUTED_VALUE"""),"Sampai")</f>
        <v>Sampai</v>
      </c>
      <c r="I95" s="464" t="str">
        <f>IFERROR(__xludf.DUMMYFUNCTION("""COMPUTED_VALUE"""),"KIMME")</f>
        <v>KIMME</v>
      </c>
      <c r="J95" s="279" t="str">
        <f>IFERROR(__xludf.DUMMYFUNCTION("""COMPUTED_VALUE"""),"https://vt.tiktok.com/ZSmHeE2Cw/")</f>
        <v>https://vt.tiktok.com/ZSmHeE2Cw/</v>
      </c>
      <c r="K95" s="464" t="str">
        <f>IFERROR(__xludf.DUMMYFUNCTION("""COMPUTED_VALUE"""),"KIMME")</f>
        <v>KIMME</v>
      </c>
      <c r="L95" s="279" t="str">
        <f>IFERROR(__xludf.DUMMYFUNCTION("""COMPUTED_VALUE"""),"https://vt.tiktok.com/ZSmwWGVPY/")</f>
        <v>https://vt.tiktok.com/ZSmwWGVPY/</v>
      </c>
      <c r="M95" s="464" t="str">
        <f>IFERROR(__xludf.DUMMYFUNCTION("""COMPUTED_VALUE"""),"KIMME")</f>
        <v>KIMME</v>
      </c>
      <c r="N95" s="279" t="str">
        <f>IFERROR(__xludf.DUMMYFUNCTION("""COMPUTED_VALUE"""),"https://www.tiktok.com/@ntsyajulia_/video/7630735376088304916")</f>
        <v>https://www.tiktok.com/@ntsyajulia_/video/7630735376088304916</v>
      </c>
      <c r="O95" s="464" t="str">
        <f>IFERROR(__xludf.DUMMYFUNCTION("""COMPUTED_VALUE"""),"KIMME")</f>
        <v>KIMME</v>
      </c>
      <c r="P95" s="279" t="str">
        <f>IFERROR(__xludf.DUMMYFUNCTION("""COMPUTED_VALUE"""),"https://www.tiktok.com/@ntsyajulia_/video/7621845987186822421")</f>
        <v>https://www.tiktok.com/@ntsyajulia_/video/7621845987186822421</v>
      </c>
    </row>
    <row r="96">
      <c r="A96" s="255" t="str">
        <f>IFERROR(__xludf.DUMMYFUNCTION("""COMPUTED_VALUE"""),"MICRO")</f>
        <v>MICRO</v>
      </c>
      <c r="B96" s="23" t="str">
        <f>IFERROR(__xludf.DUMMYFUNCTION("""COMPUTED_VALUE"""),"selfiaberliana")</f>
        <v>selfiaberliana</v>
      </c>
      <c r="C96" s="257" t="str">
        <f>IFERROR(__xludf.DUMMYFUNCTION("""COMPUTED_VALUE"""),"https://www.tiktok.com/@selfiaberliana")</f>
        <v>https://www.tiktok.com/@selfiaberliana</v>
      </c>
      <c r="D96" s="270">
        <f>IFERROR(__xludf.DUMMYFUNCTION("""COMPUTED_VALUE"""),8.98881251E9)</f>
        <v>8988812510</v>
      </c>
      <c r="E96" s="457">
        <f>IFERROR(__xludf.DUMMYFUNCTION("""COMPUTED_VALUE"""),50000.0)</f>
        <v>50000</v>
      </c>
      <c r="F96" s="270">
        <f>IFERROR(__xludf.DUMMYFUNCTION("""COMPUTED_VALUE"""),4.0)</f>
        <v>4</v>
      </c>
      <c r="G96" s="17" t="str">
        <f>IFERROR(__xludf.DUMMYFUNCTION("""COMPUTED_VALUE"""),"Sabun batang 1 Box ( 2 PCS )")</f>
        <v>Sabun batang 1 Box ( 2 PCS )</v>
      </c>
      <c r="H96" s="463" t="str">
        <f>IFERROR(__xludf.DUMMYFUNCTION("""COMPUTED_VALUE"""),"Sampai")</f>
        <v>Sampai</v>
      </c>
      <c r="I96" s="464" t="str">
        <f>IFERROR(__xludf.DUMMYFUNCTION("""COMPUTED_VALUE"""),"KIMME")</f>
        <v>KIMME</v>
      </c>
      <c r="J96" s="279" t="str">
        <f>IFERROR(__xludf.DUMMYFUNCTION("""COMPUTED_VALUE"""),"https://vt.tiktok.com/ZSmm28dCF/")</f>
        <v>https://vt.tiktok.com/ZSmm28dCF/</v>
      </c>
      <c r="K96" s="464" t="str">
        <f>IFERROR(__xludf.DUMMYFUNCTION("""COMPUTED_VALUE"""),"KIMME")</f>
        <v>KIMME</v>
      </c>
      <c r="L96" s="279" t="str">
        <f>IFERROR(__xludf.DUMMYFUNCTION("""COMPUTED_VALUE"""),"https://vt.tiktok.com/ZSmm2D11e/")</f>
        <v>https://vt.tiktok.com/ZSmm2D11e/</v>
      </c>
      <c r="M96" s="464" t="str">
        <f>IFERROR(__xludf.DUMMYFUNCTION("""COMPUTED_VALUE"""),"KIMME")</f>
        <v>KIMME</v>
      </c>
      <c r="N96" s="279" t="str">
        <f>IFERROR(__xludf.DUMMYFUNCTION("""COMPUTED_VALUE"""),"https://vt.tiktok.com/ZSmQa7Nx4/")</f>
        <v>https://vt.tiktok.com/ZSmQa7Nx4/</v>
      </c>
      <c r="O96" s="464" t="str">
        <f>IFERROR(__xludf.DUMMYFUNCTION("""COMPUTED_VALUE"""),"KIMME")</f>
        <v>KIMME</v>
      </c>
      <c r="P96" s="279" t="str">
        <f>IFERROR(__xludf.DUMMYFUNCTION("""COMPUTED_VALUE"""),"https://vt.tiktok.com/ZSmg8vbbj/")</f>
        <v>https://vt.tiktok.com/ZSmg8vbbj/</v>
      </c>
    </row>
    <row r="97">
      <c r="A97" s="255" t="str">
        <f>IFERROR(__xludf.DUMMYFUNCTION("""COMPUTED_VALUE"""),"MICRO")</f>
        <v>MICRO</v>
      </c>
      <c r="B97" s="361" t="str">
        <f>IFERROR(__xludf.DUMMYFUNCTION("""COMPUTED_VALUE"""),"auroraaa.jm")</f>
        <v>auroraaa.jm</v>
      </c>
      <c r="C97" s="257" t="str">
        <f>IFERROR(__xludf.DUMMYFUNCTION("""COMPUTED_VALUE"""),"https://www.tiktok.com/@auroraaa.jm")</f>
        <v>https://www.tiktok.com/@auroraaa.jm</v>
      </c>
      <c r="D97" s="270">
        <f>IFERROR(__xludf.DUMMYFUNCTION("""COMPUTED_VALUE"""),8.1385659729E10)</f>
        <v>81385659729</v>
      </c>
      <c r="E97" s="457">
        <f>IFERROR(__xludf.DUMMYFUNCTION("""COMPUTED_VALUE"""),600000.0)</f>
        <v>600000</v>
      </c>
      <c r="F97" s="270">
        <f>IFERROR(__xludf.DUMMYFUNCTION("""COMPUTED_VALUE"""),2.0)</f>
        <v>2</v>
      </c>
      <c r="G97" s="17" t="str">
        <f>IFERROR(__xludf.DUMMYFUNCTION("""COMPUTED_VALUE"""),"Sabun batang 1 Box ( 2 PCS )")</f>
        <v>Sabun batang 1 Box ( 2 PCS )</v>
      </c>
      <c r="H97" s="463" t="str">
        <f>IFERROR(__xludf.DUMMYFUNCTION("""COMPUTED_VALUE"""),"Sampai")</f>
        <v>Sampai</v>
      </c>
      <c r="I97" s="464" t="str">
        <f>IFERROR(__xludf.DUMMYFUNCTION("""COMPUTED_VALUE"""),"KIMME")</f>
        <v>KIMME</v>
      </c>
      <c r="J97" s="279" t="str">
        <f>IFERROR(__xludf.DUMMYFUNCTION("""COMPUTED_VALUE"""),"https://vt.tiktok.com/ZSmqTKvg5/")</f>
        <v>https://vt.tiktok.com/ZSmqTKvg5/</v>
      </c>
      <c r="K97" s="464" t="str">
        <f>IFERROR(__xludf.DUMMYFUNCTION("""COMPUTED_VALUE"""),"KIMME")</f>
        <v>KIMME</v>
      </c>
      <c r="L97" s="279" t="str">
        <f>IFERROR(__xludf.DUMMYFUNCTION("""COMPUTED_VALUE"""),"https://vt.tiktok.com/ZSmcprdad/")</f>
        <v>https://vt.tiktok.com/ZSmcprdad/</v>
      </c>
      <c r="M97" s="464"/>
      <c r="N97" s="279" t="str">
        <f>IFERROR(__xludf.DUMMYFUNCTION("""COMPUTED_VALUE"""),"https://vt.tiktok.com/ZS9DamKty/")</f>
        <v>https://vt.tiktok.com/ZS9DamKty/</v>
      </c>
      <c r="O97" s="464"/>
      <c r="P97" s="279" t="str">
        <f>IFERROR(__xludf.DUMMYFUNCTION("""COMPUTED_VALUE"""),"https://vt.tiktok.com/ZS9DaquRs/")</f>
        <v>https://vt.tiktok.com/ZS9DaquRs/</v>
      </c>
    </row>
    <row r="98">
      <c r="A98" s="255" t="str">
        <f>IFERROR(__xludf.DUMMYFUNCTION("""COMPUTED_VALUE"""),"MICRO")</f>
        <v>MICRO</v>
      </c>
      <c r="B98" s="23" t="str">
        <f>IFERROR(__xludf.DUMMYFUNCTION("""COMPUTED_VALUE"""),"dhinadiana")</f>
        <v>dhinadiana</v>
      </c>
      <c r="C98" s="257" t="str">
        <f>IFERROR(__xludf.DUMMYFUNCTION("""COMPUTED_VALUE"""),"https://www.tiktok.com/@dhinadiana")</f>
        <v>https://www.tiktok.com/@dhinadiana</v>
      </c>
      <c r="D98" s="270">
        <f>IFERROR(__xludf.DUMMYFUNCTION("""COMPUTED_VALUE"""),8.9502886163E10)</f>
        <v>89502886163</v>
      </c>
      <c r="E98" s="457">
        <f>IFERROR(__xludf.DUMMYFUNCTION("""COMPUTED_VALUE"""),50000.0)</f>
        <v>50000</v>
      </c>
      <c r="F98" s="270">
        <f>IFERROR(__xludf.DUMMYFUNCTION("""COMPUTED_VALUE"""),1.0)</f>
        <v>1</v>
      </c>
      <c r="G98" s="17" t="str">
        <f>IFERROR(__xludf.DUMMYFUNCTION("""COMPUTED_VALUE"""),"Sabun batang 1 Box ( 2 PCS )")</f>
        <v>Sabun batang 1 Box ( 2 PCS )</v>
      </c>
      <c r="H98" s="463" t="str">
        <f>IFERROR(__xludf.DUMMYFUNCTION("""COMPUTED_VALUE"""),"Sampai")</f>
        <v>Sampai</v>
      </c>
      <c r="I98" s="464" t="str">
        <f>IFERROR(__xludf.DUMMYFUNCTION("""COMPUTED_VALUE"""),"KIMME")</f>
        <v>KIMME</v>
      </c>
      <c r="J98" s="279" t="str">
        <f>IFERROR(__xludf.DUMMYFUNCTION("""COMPUTED_VALUE"""),"https://vt.tiktok.com/ZSmDtfkEc/")</f>
        <v>https://vt.tiktok.com/ZSmDtfkEc/</v>
      </c>
      <c r="K98" s="464" t="str">
        <f>IFERROR(__xludf.DUMMYFUNCTION("""COMPUTED_VALUE"""),"KIMME")</f>
        <v>KIMME</v>
      </c>
      <c r="L98" s="279" t="str">
        <f>IFERROR(__xludf.DUMMYFUNCTION("""COMPUTED_VALUE"""),"https://vt.tiktok.com/ZS9DPD4Ec/")</f>
        <v>https://vt.tiktok.com/ZS9DPD4Ec/</v>
      </c>
      <c r="M98" s="464"/>
      <c r="N98" s="279" t="str">
        <f>IFERROR(__xludf.DUMMYFUNCTION("""COMPUTED_VALUE"""),"https://vt.tiktok.com/ZS9DPyMTU/")</f>
        <v>https://vt.tiktok.com/ZS9DPyMTU/</v>
      </c>
      <c r="O98" s="464"/>
      <c r="P98" s="279" t="str">
        <f>IFERROR(__xludf.DUMMYFUNCTION("""COMPUTED_VALUE"""),"https://vt.tiktok.com/ZS9DPA5Bq/")</f>
        <v>https://vt.tiktok.com/ZS9DPA5Bq/</v>
      </c>
    </row>
    <row r="99">
      <c r="A99" s="255" t="str">
        <f>IFERROR(__xludf.DUMMYFUNCTION("""COMPUTED_VALUE"""),"MACRO")</f>
        <v>MACRO</v>
      </c>
      <c r="B99" s="23" t="str">
        <f>IFERROR(__xludf.DUMMYFUNCTION("""COMPUTED_VALUE"""),"99tikatikem")</f>
        <v>99tikatikem</v>
      </c>
      <c r="C99" s="257" t="str">
        <f>IFERROR(__xludf.DUMMYFUNCTION("""COMPUTED_VALUE"""),"https://www.tiktok.com/@99tikatikem")</f>
        <v>https://www.tiktok.com/@99tikatikem</v>
      </c>
      <c r="D99" s="270">
        <f>IFERROR(__xludf.DUMMYFUNCTION("""COMPUTED_VALUE"""),8.7738300769E10)</f>
        <v>87738300769</v>
      </c>
      <c r="E99" s="457">
        <f>IFERROR(__xludf.DUMMYFUNCTION("""COMPUTED_VALUE"""),0.0)</f>
        <v>0</v>
      </c>
      <c r="F99" s="270">
        <f>IFERROR(__xludf.DUMMYFUNCTION("""COMPUTED_VALUE"""),1.0)</f>
        <v>1</v>
      </c>
      <c r="G99" s="17" t="str">
        <f>IFERROR(__xludf.DUMMYFUNCTION("""COMPUTED_VALUE"""),"Sabun batang 1 Box ( 2 PCS )")</f>
        <v>Sabun batang 1 Box ( 2 PCS )</v>
      </c>
      <c r="H99" s="463" t="str">
        <f>IFERROR(__xludf.DUMMYFUNCTION("""COMPUTED_VALUE"""),"Sampai")</f>
        <v>Sampai</v>
      </c>
      <c r="I99" s="464" t="str">
        <f>IFERROR(__xludf.DUMMYFUNCTION("""COMPUTED_VALUE"""),"KIMME")</f>
        <v>KIMME</v>
      </c>
      <c r="J99" s="279" t="str">
        <f>IFERROR(__xludf.DUMMYFUNCTION("""COMPUTED_VALUE"""),"https://vt.tiktok.com/ZSmgh5Jof/")</f>
        <v>https://vt.tiktok.com/ZSmgh5Jof/</v>
      </c>
      <c r="K99" s="464" t="str">
        <f>IFERROR(__xludf.DUMMYFUNCTION("""COMPUTED_VALUE"""),"KIMME")</f>
        <v>KIMME</v>
      </c>
      <c r="L99" s="279" t="str">
        <f>IFERROR(__xludf.DUMMYFUNCTION("""COMPUTED_VALUE"""),"https://vt.tiktok.com/ZS9fSh1nx/")</f>
        <v>https://vt.tiktok.com/ZS9fSh1nx/</v>
      </c>
      <c r="M99" s="464"/>
      <c r="N99" s="17"/>
      <c r="O99" s="464"/>
      <c r="P99" s="17"/>
    </row>
    <row r="100">
      <c r="A100" s="255" t="str">
        <f>IFERROR(__xludf.DUMMYFUNCTION("""COMPUTED_VALUE"""),"MICRO")</f>
        <v>MICRO</v>
      </c>
      <c r="B100" s="23" t="str">
        <f>IFERROR(__xludf.DUMMYFUNCTION("""COMPUTED_VALUE"""),"septiyanitya99")</f>
        <v>septiyanitya99</v>
      </c>
      <c r="C100" s="257" t="str">
        <f>IFERROR(__xludf.DUMMYFUNCTION("""COMPUTED_VALUE"""),"https://www.tiktok.com/@septiyanitya99")</f>
        <v>https://www.tiktok.com/@septiyanitya99</v>
      </c>
      <c r="D100" s="270">
        <f>IFERROR(__xludf.DUMMYFUNCTION("""COMPUTED_VALUE"""),8.5700376018E10)</f>
        <v>85700376018</v>
      </c>
      <c r="E100" s="457">
        <f>IFERROR(__xludf.DUMMYFUNCTION("""COMPUTED_VALUE"""),0.0)</f>
        <v>0</v>
      </c>
      <c r="F100" s="270">
        <f>IFERROR(__xludf.DUMMYFUNCTION("""COMPUTED_VALUE"""),1.0)</f>
        <v>1</v>
      </c>
      <c r="G100" s="17" t="str">
        <f>IFERROR(__xludf.DUMMYFUNCTION("""COMPUTED_VALUE"""),"Sabun batang 1 Box ( 2 PCS )")</f>
        <v>Sabun batang 1 Box ( 2 PCS )</v>
      </c>
      <c r="H100" s="463" t="str">
        <f>IFERROR(__xludf.DUMMYFUNCTION("""COMPUTED_VALUE"""),"Sampai")</f>
        <v>Sampai</v>
      </c>
      <c r="I100" s="464" t="str">
        <f>IFERROR(__xludf.DUMMYFUNCTION("""COMPUTED_VALUE"""),"KIMME")</f>
        <v>KIMME</v>
      </c>
      <c r="J100" s="279" t="str">
        <f>IFERROR(__xludf.DUMMYFUNCTION("""COMPUTED_VALUE"""),"https://vt.tiktok.com/ZSm7376Nk/")</f>
        <v>https://vt.tiktok.com/ZSm7376Nk/</v>
      </c>
      <c r="K100" s="464" t="str">
        <f>IFERROR(__xludf.DUMMYFUNCTION("""COMPUTED_VALUE"""),"KIMME")</f>
        <v>KIMME</v>
      </c>
      <c r="L100" s="279" t="str">
        <f>IFERROR(__xludf.DUMMYFUNCTION("""COMPUTED_VALUE"""),"https://vt.tiktok.com/ZS9DPjrgK/")</f>
        <v>https://vt.tiktok.com/ZS9DPjrgK/</v>
      </c>
      <c r="M100" s="464"/>
      <c r="N100" s="279" t="str">
        <f>IFERROR(__xludf.DUMMYFUNCTION("""COMPUTED_VALUE"""),"https://vt.tiktok.com/ZS9fS4DKG/")</f>
        <v>https://vt.tiktok.com/ZS9fS4DKG/</v>
      </c>
      <c r="O100" s="464"/>
      <c r="P100" s="279" t="str">
        <f>IFERROR(__xludf.DUMMYFUNCTION("""COMPUTED_VALUE"""),"https://vt.tiktok.com/ZS9fSAF9p/")</f>
        <v>https://vt.tiktok.com/ZS9fSAF9p/</v>
      </c>
    </row>
    <row r="101">
      <c r="A101" s="255" t="str">
        <f>IFERROR(__xludf.DUMMYFUNCTION("""COMPUTED_VALUE"""),"MICRO")</f>
        <v>MICRO</v>
      </c>
      <c r="B101" s="23" t="str">
        <f>IFERROR(__xludf.DUMMYFUNCTION("""COMPUTED_VALUE"""),"tinse09")</f>
        <v>tinse09</v>
      </c>
      <c r="C101" s="257" t="str">
        <f>IFERROR(__xludf.DUMMYFUNCTION("""COMPUTED_VALUE"""),"https://www.tiktok.com/@tinse09")</f>
        <v>https://www.tiktok.com/@tinse09</v>
      </c>
      <c r="D101" s="270">
        <f>IFERROR(__xludf.DUMMYFUNCTION("""COMPUTED_VALUE"""),8.3176846049E10)</f>
        <v>83176846049</v>
      </c>
      <c r="E101" s="457">
        <f>IFERROR(__xludf.DUMMYFUNCTION("""COMPUTED_VALUE"""),0.0)</f>
        <v>0</v>
      </c>
      <c r="F101" s="270">
        <f>IFERROR(__xludf.DUMMYFUNCTION("""COMPUTED_VALUE"""),4.0)</f>
        <v>4</v>
      </c>
      <c r="G101" s="17" t="str">
        <f>IFERROR(__xludf.DUMMYFUNCTION("""COMPUTED_VALUE"""),"Sabun batang 1 Box ( 2 PCS )")</f>
        <v>Sabun batang 1 Box ( 2 PCS )</v>
      </c>
      <c r="H101" s="463" t="str">
        <f>IFERROR(__xludf.DUMMYFUNCTION("""COMPUTED_VALUE"""),"Sampai")</f>
        <v>Sampai</v>
      </c>
      <c r="I101" s="464" t="str">
        <f>IFERROR(__xludf.DUMMYFUNCTION("""COMPUTED_VALUE"""),"KIMME")</f>
        <v>KIMME</v>
      </c>
      <c r="J101" s="17" t="str">
        <f>IFERROR(__xludf.DUMMYFUNCTION("""COMPUTED_VALUE"""),"https://www.tiktok.com/@tinse09/video/7607316176020032789?_d=egid00mm7klg37&amp;_r=1&amp;ec_shared_reflux_dynamic_params=%7B%22placeholder_material_id%22%3A%227607316176020032789%22%2C%22placeholder_origin_cover%22%3A%22https%253A%252F%252Fp16-sign-sg.tiktokcdn.c"&amp;"om%252Ftos-alisg-p-0037%252FoQllxy0ERQNA5c6fzcQDnSDp4eKFEBqpBgq2Ok~tplv-tiktokx-origin.webp%253Fdr%253D14572%2526refresh_token%253D5694bd27%2526x-expires%253D1802934000%2526x-signature%253DgBiCUoiaBuYLnu7nLAwFLUtgqUQ%25253D%2526t%253D4d5b0474%2526ps%253D1"&amp;"3740610%2526shp%253Dd05b14bd%2526shcp%253D34ff8df6%2526idc%253Dmy3%2526s%253DPUBLISH%22%2C%22placeholder_product_id%22%3A%221729427766722726591%22%2C%22placeholder_video_id%22%3A%227607316176020032789%22%7D&amp;ec_shared_reflux_scene=shop_tab_feed&amp;enable_chec"&amp;"ksum=1&amp;item_author_type=1&amp;link_reflow_popup_iteration_sharer=%7B%22click_empty_to_play%22%3A1%2C%22dynamic_cover%22%3A1%2C%22follow_to_play_duration%22%3A-1.0%2C%22profile_clickable%22%3A1%7D&amp;mid=7602475719000426512&amp;preview_pb=0&amp;region=ID&amp;sec_user_id=MS4w"&amp;"LjABAAAAx-y7j-b93k8jCWKX4oIWbN7k_0N_CQkhUdzrUO9n9hkWcneGWpOzi3uX9zZems8C&amp;share_app_id=1180&amp;share_iid=7607037814602123024&amp;share_item_id=7607316176020032789&amp;share_link_id=9a345ea6-bd42-4e67-bb66-735c0cdee1b7&amp;sharer_language=id&amp;social_share_type=0&amp;source=h5_"&amp;"t&amp;timestamp=1771400743&amp;u_code=dbb9md1eeghcg5&amp;ug_btm=b8727%2Cb2878&amp;ugbiz_name=MAIN&amp;user_id=6804427968837764098&amp;utm_campaign=client_share&amp;utm_medium=android&amp;utm_source=copy")</f>
        <v>https://www.tiktok.com/@tinse09/video/7607316176020032789?_d=egid00mm7klg37&amp;_r=1&amp;ec_shared_reflux_dynamic_params=%7B%22placeholder_material_id%22%3A%227607316176020032789%22%2C%22placeholder_origin_cover%22%3A%22https%253A%252F%252Fp16-sign-sg.tiktokcdn.com%252Ftos-alisg-p-0037%252FoQllxy0ERQNA5c6fzcQDnSDp4eKFEBqpBgq2Ok~tplv-tiktokx-origin.webp%253Fdr%253D14572%2526refresh_token%253D5694bd27%2526x-expires%253D1802934000%2526x-signature%253DgBiCUoiaBuYLnu7nLAwFLUtgqUQ%25253D%2526t%253D4d5b0474%2526ps%253D13740610%2526shp%253Dd05b14bd%2526shcp%253D34ff8df6%2526idc%253Dmy3%2526s%253DPUBLISH%22%2C%22placeholder_product_id%22%3A%221729427766722726591%22%2C%22placeholder_video_id%22%3A%227607316176020032789%22%7D&amp;ec_shared_reflux_scene=shop_tab_feed&amp;enable_checksum=1&amp;item_author_type=1&amp;link_reflow_popup_iteration_sharer=%7B%22click_empty_to_play%22%3A1%2C%22dynamic_cover%22%3A1%2C%22follow_to_play_duration%22%3A-1.0%2C%22profile_clickable%22%3A1%7D&amp;mid=7602475719000426512&amp;preview_pb=0&amp;region=ID&amp;sec_user_id=MS4wLjABAAAAx-y7j-b93k8jCWKX4oIWbN7k_0N_CQkhUdzrUO9n9hkWcneGWpOzi3uX9zZems8C&amp;share_app_id=1180&amp;share_iid=7607037814602123024&amp;share_item_id=7607316176020032789&amp;share_link_id=9a345ea6-bd42-4e67-bb66-735c0cdee1b7&amp;sharer_language=id&amp;social_share_type=0&amp;source=h5_t&amp;timestamp=1771400743&amp;u_code=dbb9md1eeghcg5&amp;ug_btm=b8727%2Cb2878&amp;ugbiz_name=MAIN&amp;user_id=6804427968837764098&amp;utm_campaign=client_share&amp;utm_medium=android&amp;utm_source=copy</v>
      </c>
      <c r="K101" s="464" t="str">
        <f>IFERROR(__xludf.DUMMYFUNCTION("""COMPUTED_VALUE"""),"KIMME")</f>
        <v>KIMME</v>
      </c>
      <c r="L101" s="17" t="str">
        <f>IFERROR(__xludf.DUMMYFUNCTION("""COMPUTED_VALUE"""),"https://www.tiktok.com/@tinse09/video/7607316176020032789?_r=1&amp;u_code=dbb9md1eeghcg5&amp;region=ID&amp;mid=7602475719000426512&amp;preview_pb=0&amp;sharer_language=id&amp;_d=egid00mm7klg37&amp;ec_shared_reflux_dynamic_params=%7B%22placeholder_material_id%22%3A%227607316176020032"&amp;"789%22%2C%22placeholder_origin_cover%22%3A%22https%253A%252F%252Fp16-sign-sg.tiktokcdn.com%252Ftos-alisg-p-0037%252FoQllxy0ERQNA5c6fzcQDnSDp4eKFEBqpBgq2Ok~tplv-tiktokx-origin.webp%253Fdr%253D14572%2526refresh_token%253Dec754db8%2526x-expires%253D180293760"&amp;"0%2526x-signature%253DuMDtAVviP8LwpxAQ38Y0E%25252F3GX5Y%25253D%2526t%253D4d5b0474%2526ps%253D13740610%2526shp%253Dd05b14bd%2526shcp%253D34ff8df6%2526idc%253Dmy3%2526s%253DPUBLISH%22%2C%22placeholder_product_id%22%3A%221729427766722726591%22%2C%22placehold"&amp;"er_video_id%22%3A%227607316176020032789%22%7D&amp;ec_shared_reflux_scene=shop_tab_feed&amp;share_item_id=7607316176020032789&amp;source=h5_t&amp;timestamp=1771404858&amp;user_id=6804427968837764098&amp;sec_user_id=MS4wLjABAAAAx-y7j-b93k8jCWKX4oIWbN7k_0N_CQkhUdzrUO9n9hkWcneGWpOzi"&amp;"3uX9zZems8C&amp;item_author_type=1&amp;social_share_type=0&amp;utm_source=whatsapp&amp;utm_campaign=client_share&amp;utm_medium=android&amp;share_iid=7607037814602123024&amp;share_link_id=12eb1b7f-ae20-4aa0-9534-85fc82b0e913&amp;share_app_id=1180&amp;ugbiz_name=MAIN&amp;ug_btm=b8727%2Cb2878&amp;lin"&amp;"k_reflow_popup_iteration_sharer=%7B%22click_empty_to_play%22%3A1%2C%22dynamic_cover%22%3A1%2C%22follow_to_play_duration%22%3A-1.0%2C%22profile_clickable%22%3A1%7D&amp;enable_checksum=1")</f>
        <v>https://www.tiktok.com/@tinse09/video/7607316176020032789?_r=1&amp;u_code=dbb9md1eeghcg5&amp;region=ID&amp;mid=7602475719000426512&amp;preview_pb=0&amp;sharer_language=id&amp;_d=egid00mm7klg37&amp;ec_shared_reflux_dynamic_params=%7B%22placeholder_material_id%22%3A%227607316176020032789%22%2C%22placeholder_origin_cover%22%3A%22https%253A%252F%252Fp16-sign-sg.tiktokcdn.com%252Ftos-alisg-p-0037%252FoQllxy0ERQNA5c6fzcQDnSDp4eKFEBqpBgq2Ok~tplv-tiktokx-origin.webp%253Fdr%253D14572%2526refresh_token%253Dec754db8%2526x-expires%253D1802937600%2526x-signature%253DuMDtAVviP8LwpxAQ38Y0E%25252F3GX5Y%25253D%2526t%253D4d5b0474%2526ps%253D13740610%2526shp%253Dd05b14bd%2526shcp%253D34ff8df6%2526idc%253Dmy3%2526s%253DPUBLISH%22%2C%22placeholder_product_id%22%3A%221729427766722726591%22%2C%22placeholder_video_id%22%3A%227607316176020032789%22%7D&amp;ec_shared_reflux_scene=shop_tab_feed&amp;share_item_id=7607316176020032789&amp;source=h5_t&amp;timestamp=1771404858&amp;user_id=6804427968837764098&amp;sec_user_id=MS4wLjABAAAAx-y7j-b93k8jCWKX4oIWbN7k_0N_CQkhUdzrUO9n9hkWcneGWpOzi3uX9zZems8C&amp;item_author_type=1&amp;social_share_type=0&amp;utm_source=whatsapp&amp;utm_campaign=client_share&amp;utm_medium=android&amp;share_iid=7607037814602123024&amp;share_link_id=12eb1b7f-ae20-4aa0-9534-85fc82b0e913&amp;share_app_id=1180&amp;ugbiz_name=MAIN&amp;ug_btm=b8727%2Cb2878&amp;link_reflow_popup_iteration_sharer=%7B%22click_empty_to_play%22%3A1%2C%22dynamic_cover%22%3A1%2C%22follow_to_play_duration%22%3A-1.0%2C%22profile_clickable%22%3A1%7D&amp;enable_checksum=1</v>
      </c>
      <c r="M101" s="464" t="str">
        <f>IFERROR(__xludf.DUMMYFUNCTION("""COMPUTED_VALUE"""),"KIMME")</f>
        <v>KIMME</v>
      </c>
      <c r="N101" s="279" t="str">
        <f>IFERROR(__xludf.DUMMYFUNCTION("""COMPUTED_VALUE"""),"https://vt.tiktok.com/ZSmQ52xwh/")</f>
        <v>https://vt.tiktok.com/ZSmQ52xwh/</v>
      </c>
      <c r="O101" s="464" t="str">
        <f>IFERROR(__xludf.DUMMYFUNCTION("""COMPUTED_VALUE"""),"KIMME")</f>
        <v>KIMME</v>
      </c>
      <c r="P101" s="279" t="str">
        <f>IFERROR(__xludf.DUMMYFUNCTION("""COMPUTED_VALUE"""),"https://vt.tiktok.com/ZSmgLXRMJ/")</f>
        <v>https://vt.tiktok.com/ZSmgLXRMJ/</v>
      </c>
    </row>
    <row r="102">
      <c r="A102" s="255" t="str">
        <f>IFERROR(__xludf.DUMMYFUNCTION("""COMPUTED_VALUE"""),"MICRO")</f>
        <v>MICRO</v>
      </c>
      <c r="B102" s="23" t="str">
        <f>IFERROR(__xludf.DUMMYFUNCTION("""COMPUTED_VALUE"""),"itsxixinie")</f>
        <v>itsxixinie</v>
      </c>
      <c r="C102" s="257" t="str">
        <f>IFERROR(__xludf.DUMMYFUNCTION("""COMPUTED_VALUE"""),"https://www.tiktok.com/@itsxixinie")</f>
        <v>https://www.tiktok.com/@itsxixinie</v>
      </c>
      <c r="D102" s="270">
        <f>IFERROR(__xludf.DUMMYFUNCTION("""COMPUTED_VALUE"""),8.1219916706E10)</f>
        <v>81219916706</v>
      </c>
      <c r="E102" s="457">
        <f>IFERROR(__xludf.DUMMYFUNCTION("""COMPUTED_VALUE"""),50000.0)</f>
        <v>50000</v>
      </c>
      <c r="F102" s="270">
        <f>IFERROR(__xludf.DUMMYFUNCTION("""COMPUTED_VALUE"""),1.0)</f>
        <v>1</v>
      </c>
      <c r="G102" s="17" t="str">
        <f>IFERROR(__xludf.DUMMYFUNCTION("""COMPUTED_VALUE"""),"Sabun batang 1 Box ( 2 PCS )")</f>
        <v>Sabun batang 1 Box ( 2 PCS )</v>
      </c>
      <c r="H102" s="463" t="str">
        <f>IFERROR(__xludf.DUMMYFUNCTION("""COMPUTED_VALUE"""),"Sampai")</f>
        <v>Sampai</v>
      </c>
      <c r="I102" s="464" t="str">
        <f>IFERROR(__xludf.DUMMYFUNCTION("""COMPUTED_VALUE"""),"KIMME")</f>
        <v>KIMME</v>
      </c>
      <c r="J102" s="279" t="str">
        <f>IFERROR(__xludf.DUMMYFUNCTION("""COMPUTED_VALUE"""),"https://vt.tiktok.com/ZSmpALkGH/")</f>
        <v>https://vt.tiktok.com/ZSmpALkGH/</v>
      </c>
      <c r="K102" s="464" t="str">
        <f>IFERROR(__xludf.DUMMYFUNCTION("""COMPUTED_VALUE"""),"KIMME")</f>
        <v>KIMME</v>
      </c>
      <c r="L102" s="279" t="str">
        <f>IFERROR(__xludf.DUMMYFUNCTION("""COMPUTED_VALUE"""),"https://vt.tiktok.com/ZS9fSAYkE/")</f>
        <v>https://vt.tiktok.com/ZS9fSAYkE/</v>
      </c>
      <c r="M102" s="464"/>
      <c r="N102" s="279" t="str">
        <f>IFERROR(__xludf.DUMMYFUNCTION("""COMPUTED_VALUE"""),"https://vt.tiktok.com/ZS9fShXNg/")</f>
        <v>https://vt.tiktok.com/ZS9fShXNg/</v>
      </c>
      <c r="O102" s="464"/>
      <c r="P102" s="279" t="str">
        <f>IFERROR(__xludf.DUMMYFUNCTION("""COMPUTED_VALUE"""),"https://vt.tiktok.com/ZS9fSb9fp/")</f>
        <v>https://vt.tiktok.com/ZS9fSb9fp/</v>
      </c>
    </row>
    <row r="103">
      <c r="A103" s="255" t="str">
        <f>IFERROR(__xludf.DUMMYFUNCTION("""COMPUTED_VALUE"""),"MICRO")</f>
        <v>MICRO</v>
      </c>
      <c r="B103" s="23" t="str">
        <f>IFERROR(__xludf.DUMMYFUNCTION("""COMPUTED_VALUE"""),"makeupbysoliha")</f>
        <v>makeupbysoliha</v>
      </c>
      <c r="C103" s="257" t="str">
        <f>IFERROR(__xludf.DUMMYFUNCTION("""COMPUTED_VALUE"""),"https://www.tiktok.com/@makeupbysoliha")</f>
        <v>https://www.tiktok.com/@makeupbysoliha</v>
      </c>
      <c r="D103" s="270">
        <f>IFERROR(__xludf.DUMMYFUNCTION("""COMPUTED_VALUE"""),8.95397204872E11)</f>
        <v>895397204872</v>
      </c>
      <c r="E103" s="457">
        <f>IFERROR(__xludf.DUMMYFUNCTION("""COMPUTED_VALUE"""),50000.0)</f>
        <v>50000</v>
      </c>
      <c r="F103" s="270">
        <f>IFERROR(__xludf.DUMMYFUNCTION("""COMPUTED_VALUE"""),1.0)</f>
        <v>1</v>
      </c>
      <c r="G103" s="17" t="str">
        <f>IFERROR(__xludf.DUMMYFUNCTION("""COMPUTED_VALUE"""),"Sabun batang 1 Box ( 2 PCS )")</f>
        <v>Sabun batang 1 Box ( 2 PCS )</v>
      </c>
      <c r="H103" s="463" t="str">
        <f>IFERROR(__xludf.DUMMYFUNCTION("""COMPUTED_VALUE"""),"Sampai")</f>
        <v>Sampai</v>
      </c>
      <c r="I103" s="464" t="str">
        <f>IFERROR(__xludf.DUMMYFUNCTION("""COMPUTED_VALUE"""),"KIMME")</f>
        <v>KIMME</v>
      </c>
      <c r="J103" s="279" t="str">
        <f>IFERROR(__xludf.DUMMYFUNCTION("""COMPUTED_VALUE"""),"https://www.tiktok.com/@makeupbysoliha/video/7609972234920185108?is_from_webapp=1&amp;sender_device=pc")</f>
        <v>https://www.tiktok.com/@makeupbysoliha/video/7609972234920185108?is_from_webapp=1&amp;sender_device=pc</v>
      </c>
      <c r="K103" s="464" t="str">
        <f>IFERROR(__xludf.DUMMYFUNCTION("""COMPUTED_VALUE"""),"KIMME")</f>
        <v>KIMME</v>
      </c>
      <c r="L103" s="279" t="str">
        <f>IFERROR(__xludf.DUMMYFUNCTION("""COMPUTED_VALUE"""),"https://vt.tiktok.com/ZS9fS4aRL/")</f>
        <v>https://vt.tiktok.com/ZS9fS4aRL/</v>
      </c>
      <c r="M103" s="464"/>
      <c r="N103" s="279" t="str">
        <f>IFERROR(__xludf.DUMMYFUNCTION("""COMPUTED_VALUE"""),"https://vt.tiktok.com/ZS9fSHauQ/")</f>
        <v>https://vt.tiktok.com/ZS9fSHauQ/</v>
      </c>
      <c r="O103" s="464"/>
      <c r="P103" s="279" t="str">
        <f>IFERROR(__xludf.DUMMYFUNCTION("""COMPUTED_VALUE"""),"https://vt.tiktok.com/ZS9fSmpPu/")</f>
        <v>https://vt.tiktok.com/ZS9fSmpPu/</v>
      </c>
    </row>
    <row r="104">
      <c r="A104" s="255" t="str">
        <f>IFERROR(__xludf.DUMMYFUNCTION("""COMPUTED_VALUE"""),"MICRO")</f>
        <v>MICRO</v>
      </c>
      <c r="B104" s="23" t="str">
        <f>IFERROR(__xludf.DUMMYFUNCTION("""COMPUTED_VALUE"""),"focusonmeehh")</f>
        <v>focusonmeehh</v>
      </c>
      <c r="C104" s="257" t="str">
        <f>IFERROR(__xludf.DUMMYFUNCTION("""COMPUTED_VALUE"""),"https://www.tiktok.com/@focusonmeehh")</f>
        <v>https://www.tiktok.com/@focusonmeehh</v>
      </c>
      <c r="D104" s="270">
        <f>IFERROR(__xludf.DUMMYFUNCTION("""COMPUTED_VALUE"""),8.1278546432E10)</f>
        <v>81278546432</v>
      </c>
      <c r="E104" s="457">
        <f>IFERROR(__xludf.DUMMYFUNCTION("""COMPUTED_VALUE"""),0.0)</f>
        <v>0</v>
      </c>
      <c r="F104" s="270">
        <f>IFERROR(__xludf.DUMMYFUNCTION("""COMPUTED_VALUE"""),1.0)</f>
        <v>1</v>
      </c>
      <c r="G104" s="17" t="str">
        <f>IFERROR(__xludf.DUMMYFUNCTION("""COMPUTED_VALUE"""),"Sabun batang 1 Box ( 2 PCS )")</f>
        <v>Sabun batang 1 Box ( 2 PCS )</v>
      </c>
      <c r="H104" s="463" t="str">
        <f>IFERROR(__xludf.DUMMYFUNCTION("""COMPUTED_VALUE"""),"Sampai")</f>
        <v>Sampai</v>
      </c>
      <c r="I104" s="464" t="str">
        <f>IFERROR(__xludf.DUMMYFUNCTION("""COMPUTED_VALUE"""),"KIMME")</f>
        <v>KIMME</v>
      </c>
      <c r="J104" s="279" t="str">
        <f>IFERROR(__xludf.DUMMYFUNCTION("""COMPUTED_VALUE"""),"https://vt.tiktok.com/ZSuofEE2B/")</f>
        <v>https://vt.tiktok.com/ZSuofEE2B/</v>
      </c>
      <c r="K104" s="464" t="str">
        <f>IFERROR(__xludf.DUMMYFUNCTION("""COMPUTED_VALUE"""),"KIMME")</f>
        <v>KIMME</v>
      </c>
      <c r="L104" s="17" t="str">
        <f>IFERROR(__xludf.DUMMYFUNCTION("""COMPUTED_VALUE"""),"https://www.tiktok.com/@nolisnurjanah21/video/7634322626080509204?_r=1&amp;u_code=e85madfeelij2j&amp;region=ID&amp;mid=7475611422276242181&amp;preview_pb=0&amp;sharer_language=id&amp;_d=eamlmmm8mhi2b1&amp;ec_shared_reflux_dynamic_params=%7B%22placeholder_material_id%22%3A%2276343226"&amp;"26080509204%22%2C%22placeholder_origin_cover%22%3A%22https%253A%252F%252Fp16-common-sign.tiktokcdn.com%252Ftos-alisg-p-0037%252FoYPAEGkDAcfIRj4TjQICDkyTAEQGQFFy1Xf5fD~tplv-tiktokx-origin.webp%253Fdr%253D14572%2526refresh_token%253D0ca52837%2526x-expires%2"&amp;"53D1809068400%2526x-signature%253DyhEVXe0kbKQfDZNzpbTAf5NIrHQ%25253D%2526t%253D4d5b0474%2526ps%253D13740610%2526shp%253Dd05b14bd%2526shcp%253D34ff8df6%2526idc%253Dmy%2526s%253DPUBLISH%22%2C%22placeholder_product_id%22%3A%221729729730555512511%22%2C%22plac"&amp;"eholder_video_id%22%3A%227634322626080509204%22%7D&amp;ec_shared_reflux_scene=shop_tab_feed&amp;share_item_id=7634322626080509204&amp;source=h5_t&amp;timestamp=1777535305&amp;user_id=7237520577413497862&amp;sec_user_id=MS4wLjABAAAAuFKTxltRNEA4vRxvmggGlTdfDooZIOomASx9rmdI28pmHrMu"&amp;"v03DvPz0p1WeHk_U&amp;item_author_type=1&amp;social_share_type=0&amp;utm_source=copy&amp;utm_campaign=client_share&amp;utm_medium=android&amp;share_iid=7632450506153887495&amp;share_link_id=0a64322c-5fe5-42e1-b6fa-6928ab4b2b27&amp;share_app_id=1180&amp;ugbiz_name=MAIN&amp;ug_btm=b8727%2Cb2878&amp;sp"&amp;"_root_share_link_id=0a64322c-5fe5-42e1-b6fa-6928ab4b2b27&amp;link_reflow_popup_iteration_sharer=%7B%22click_empty_to_play%22%3A1%2C%22dynamic_cover%22%3A1%2C%22follow_to_play_duration%22%3A-1.0%2C%22profile_clickable%22%3A1%7D&amp;enable_checksum=1&amp;sp_level=1&amp;sp_"&amp;"root_u=e85madfeelij2j&amp;sp_root_d=eamlmmm8mhi2b1")</f>
        <v>https://www.tiktok.com/@nolisnurjanah21/video/7634322626080509204?_r=1&amp;u_code=e85madfeelij2j&amp;region=ID&amp;mid=7475611422276242181&amp;preview_pb=0&amp;sharer_language=id&amp;_d=eamlmmm8mhi2b1&amp;ec_shared_reflux_dynamic_params=%7B%22placeholder_material_id%22%3A%227634322626080509204%22%2C%22placeholder_origin_cover%22%3A%22https%253A%252F%252Fp16-common-sign.tiktokcdn.com%252Ftos-alisg-p-0037%252FoYPAEGkDAcfIRj4TjQICDkyTAEQGQFFy1Xf5fD~tplv-tiktokx-origin.webp%253Fdr%253D14572%2526refresh_token%253D0ca52837%2526x-expires%253D1809068400%2526x-signature%253DyhEVXe0kbKQfDZNzpbTAf5NIrHQ%25253D%2526t%253D4d5b0474%2526ps%253D13740610%2526shp%253Dd05b14bd%2526shcp%253D34ff8df6%2526idc%253Dmy%2526s%253DPUBLISH%22%2C%22placeholder_product_id%22%3A%221729729730555512511%22%2C%22placeholder_video_id%22%3A%227634322626080509204%22%7D&amp;ec_shared_reflux_scene=shop_tab_feed&amp;share_item_id=7634322626080509204&amp;source=h5_t&amp;timestamp=1777535305&amp;user_id=7237520577413497862&amp;sec_user_id=MS4wLjABAAAAuFKTxltRNEA4vRxvmggGlTdfDooZIOomASx9rmdI28pmHrMuv03DvPz0p1WeHk_U&amp;item_author_type=1&amp;social_share_type=0&amp;utm_source=copy&amp;utm_campaign=client_share&amp;utm_medium=android&amp;share_iid=7632450506153887495&amp;share_link_id=0a64322c-5fe5-42e1-b6fa-6928ab4b2b27&amp;share_app_id=1180&amp;ugbiz_name=MAIN&amp;ug_btm=b8727%2Cb2878&amp;sp_root_share_link_id=0a64322c-5fe5-42e1-b6fa-6928ab4b2b27&amp;link_reflow_popup_iteration_sharer=%7B%22click_empty_to_play%22%3A1%2C%22dynamic_cover%22%3A1%2C%22follow_to_play_duration%22%3A-1.0%2C%22profile_clickable%22%3A1%7D&amp;enable_checksum=1&amp;sp_level=1&amp;sp_root_u=e85madfeelij2j&amp;sp_root_d=eamlmmm8mhi2b1</v>
      </c>
      <c r="M104" s="464"/>
      <c r="N104" s="17" t="str">
        <f>IFERROR(__xludf.DUMMYFUNCTION("""COMPUTED_VALUE"""),"https://www.tiktok.com/@nolisnurjanah21/video/7634322950107286805?_r=1&amp;u_code=e85madfeelij2j&amp;region=ID&amp;mid=7634322975957355271&amp;preview_pb=0&amp;sharer_language=id&amp;_d=eamlmmm8mhi2b1&amp;ec_shared_reflux_dynamic_params=%7B%22placeholder_material_id%22%3A%2276343229"&amp;"50107286805%22%2C%22placeholder_origin_cover%22%3A%22https%253A%252F%252Fp16-common-sign.tiktokcdn.com%252Ftos-alisg-p-0037%252FoMIDp8Cf00LpEB2NnBABvdmAEDcFyMSIDgfFRk~tplv-tiktokx-origin.webp%253Fdr%253D14572%2526refresh_token%253Dad21f30e%2526x-expires%2"&amp;"53D1809068400%2526x-signature%253DWT0PFQEbnF2skbQR48CVziX4miQ%25253D%2526t%253D4d5b0474%2526ps%253D13740610%2526shp%253Dd05b14bd%2526shcp%253D34ff8df6%2526idc%253Dmy%2526s%253DPUBLISH%22%2C%22placeholder_product_id%22%3A%221729729730555512511%22%2C%22plac"&amp;"eholder_video_id%22%3A%227634322950107286805%22%7D&amp;ec_shared_reflux_scene=shop_tab_feed&amp;share_item_id=7634322950107286805&amp;source=h5_t&amp;timestamp=1777535318&amp;user_id=7237520577413497862&amp;sec_user_id=MS4wLjABAAAAuFKTxltRNEA4vRxvmggGlTdfDooZIOomASx9rmdI28pmHrMu"&amp;"v03DvPz0p1WeHk_U&amp;item_author_type=1&amp;social_share_type=0&amp;utm_source=copy&amp;utm_campaign=client_share&amp;utm_medium=android&amp;share_iid=7632450506153887495&amp;share_link_id=e377c444-a771-41e9-9e9b-f29d802b5136&amp;share_app_id=1180&amp;ugbiz_name=MAIN&amp;ug_btm=b8727%2Cb2878&amp;sp"&amp;"_root_share_link_id=e377c444-a771-41e9-9e9b-f29d802b5136&amp;link_reflow_popup_iteration_sharer=%7B%22click_empty_to_play%22%3A1%2C%22dynamic_cover%22%3A1%2C%22follow_to_play_duration%22%3A-1.0%2C%22profile_clickable%22%3A1%7D&amp;enable_checksum=1&amp;sp_level=1&amp;sp_"&amp;"root_u=e85madfeelij2j&amp;sp_root_d=eamlmmm8mhi2b1")</f>
        <v>https://www.tiktok.com/@nolisnurjanah21/video/7634322950107286805?_r=1&amp;u_code=e85madfeelij2j&amp;region=ID&amp;mid=7634322975957355271&amp;preview_pb=0&amp;sharer_language=id&amp;_d=eamlmmm8mhi2b1&amp;ec_shared_reflux_dynamic_params=%7B%22placeholder_material_id%22%3A%227634322950107286805%22%2C%22placeholder_origin_cover%22%3A%22https%253A%252F%252Fp16-common-sign.tiktokcdn.com%252Ftos-alisg-p-0037%252FoMIDp8Cf00LpEB2NnBABvdmAEDcFyMSIDgfFRk~tplv-tiktokx-origin.webp%253Fdr%253D14572%2526refresh_token%253Dad21f30e%2526x-expires%253D1809068400%2526x-signature%253DWT0PFQEbnF2skbQR48CVziX4miQ%25253D%2526t%253D4d5b0474%2526ps%253D13740610%2526shp%253Dd05b14bd%2526shcp%253D34ff8df6%2526idc%253Dmy%2526s%253DPUBLISH%22%2C%22placeholder_product_id%22%3A%221729729730555512511%22%2C%22placeholder_video_id%22%3A%227634322950107286805%22%7D&amp;ec_shared_reflux_scene=shop_tab_feed&amp;share_item_id=7634322950107286805&amp;source=h5_t&amp;timestamp=1777535318&amp;user_id=7237520577413497862&amp;sec_user_id=MS4wLjABAAAAuFKTxltRNEA4vRxvmggGlTdfDooZIOomASx9rmdI28pmHrMuv03DvPz0p1WeHk_U&amp;item_author_type=1&amp;social_share_type=0&amp;utm_source=copy&amp;utm_campaign=client_share&amp;utm_medium=android&amp;share_iid=7632450506153887495&amp;share_link_id=e377c444-a771-41e9-9e9b-f29d802b5136&amp;share_app_id=1180&amp;ugbiz_name=MAIN&amp;ug_btm=b8727%2Cb2878&amp;sp_root_share_link_id=e377c444-a771-41e9-9e9b-f29d802b5136&amp;link_reflow_popup_iteration_sharer=%7B%22click_empty_to_play%22%3A1%2C%22dynamic_cover%22%3A1%2C%22follow_to_play_duration%22%3A-1.0%2C%22profile_clickable%22%3A1%7D&amp;enable_checksum=1&amp;sp_level=1&amp;sp_root_u=e85madfeelij2j&amp;sp_root_d=eamlmmm8mhi2b1</v>
      </c>
      <c r="O104" s="464"/>
      <c r="P104" s="279" t="str">
        <f>IFERROR(__xludf.DUMMYFUNCTION("""COMPUTED_VALUE"""),"https://vt.tiktok.com/ZS9fSkAGK/")</f>
        <v>https://vt.tiktok.com/ZS9fSkAGK/</v>
      </c>
    </row>
    <row r="105">
      <c r="A105" s="255" t="str">
        <f>IFERROR(__xludf.DUMMYFUNCTION("""COMPUTED_VALUE"""),"MICRO")</f>
        <v>MICRO</v>
      </c>
      <c r="B105" s="23" t="str">
        <f>IFERROR(__xludf.DUMMYFUNCTION("""COMPUTED_VALUE"""),"audhynrz")</f>
        <v>audhynrz</v>
      </c>
      <c r="C105" s="257" t="str">
        <f>IFERROR(__xludf.DUMMYFUNCTION("""COMPUTED_VALUE"""),"https://www.tiktok.com/@audhynrz")</f>
        <v>https://www.tiktok.com/@audhynrz</v>
      </c>
      <c r="D105" s="270">
        <f>IFERROR(__xludf.DUMMYFUNCTION("""COMPUTED_VALUE"""),8.2338585405E10)</f>
        <v>82338585405</v>
      </c>
      <c r="E105" s="457">
        <f>IFERROR(__xludf.DUMMYFUNCTION("""COMPUTED_VALUE"""),0.0)</f>
        <v>0</v>
      </c>
      <c r="F105" s="270">
        <f>IFERROR(__xludf.DUMMYFUNCTION("""COMPUTED_VALUE"""),1.0)</f>
        <v>1</v>
      </c>
      <c r="G105" s="17" t="str">
        <f>IFERROR(__xludf.DUMMYFUNCTION("""COMPUTED_VALUE"""),"Sabun batang 1 Box ( 2 PCS )")</f>
        <v>Sabun batang 1 Box ( 2 PCS )</v>
      </c>
      <c r="H105" s="463" t="str">
        <f>IFERROR(__xludf.DUMMYFUNCTION("""COMPUTED_VALUE"""),"Sampai")</f>
        <v>Sampai</v>
      </c>
      <c r="I105" s="464" t="str">
        <f>IFERROR(__xludf.DUMMYFUNCTION("""COMPUTED_VALUE"""),"KIMME")</f>
        <v>KIMME</v>
      </c>
      <c r="J105" s="279" t="str">
        <f>IFERROR(__xludf.DUMMYFUNCTION("""COMPUTED_VALUE"""),"https://vt.tiktok.com/ZSuxpjsLm/")</f>
        <v>https://vt.tiktok.com/ZSuxpjsLm/</v>
      </c>
      <c r="K105" s="464" t="str">
        <f>IFERROR(__xludf.DUMMYFUNCTION("""COMPUTED_VALUE"""),"KIMME")</f>
        <v>KIMME</v>
      </c>
      <c r="L105" s="279" t="str">
        <f>IFERROR(__xludf.DUMMYFUNCTION("""COMPUTED_VALUE"""),"https://vt.tiktok.com/ZS9fSQpC9/")</f>
        <v>https://vt.tiktok.com/ZS9fSQpC9/</v>
      </c>
      <c r="M105" s="464"/>
      <c r="N105" s="279" t="str">
        <f>IFERROR(__xludf.DUMMYFUNCTION("""COMPUTED_VALUE"""),"https://vt.tiktok.com/ZS9fSVMKt/")</f>
        <v>https://vt.tiktok.com/ZS9fSVMKt/</v>
      </c>
      <c r="O105" s="464"/>
      <c r="P105" s="279" t="str">
        <f>IFERROR(__xludf.DUMMYFUNCTION("""COMPUTED_VALUE"""),"https://vt.tiktok.com/ZS9fSMwWh/")</f>
        <v>https://vt.tiktok.com/ZS9fSMwWh/</v>
      </c>
    </row>
    <row r="106">
      <c r="A106" s="255" t="str">
        <f>IFERROR(__xludf.DUMMYFUNCTION("""COMPUTED_VALUE"""),"MICRO")</f>
        <v>MICRO</v>
      </c>
      <c r="B106" s="23" t="str">
        <f>IFERROR(__xludf.DUMMYFUNCTION("""COMPUTED_VALUE"""),"nurfira01")</f>
        <v>nurfira01</v>
      </c>
      <c r="C106" s="257" t="str">
        <f>IFERROR(__xludf.DUMMYFUNCTION("""COMPUTED_VALUE"""),"https://www.tiktok.com/@nurfira01")</f>
        <v>https://www.tiktok.com/@nurfira01</v>
      </c>
      <c r="D106" s="270">
        <f>IFERROR(__xludf.DUMMYFUNCTION("""COMPUTED_VALUE"""),8.2116201262E10)</f>
        <v>82116201262</v>
      </c>
      <c r="E106" s="457">
        <f>IFERROR(__xludf.DUMMYFUNCTION("""COMPUTED_VALUE"""),0.0)</f>
        <v>0</v>
      </c>
      <c r="F106" s="270">
        <f>IFERROR(__xludf.DUMMYFUNCTION("""COMPUTED_VALUE"""),4.0)</f>
        <v>4</v>
      </c>
      <c r="G106" s="17" t="str">
        <f>IFERROR(__xludf.DUMMYFUNCTION("""COMPUTED_VALUE"""),"Sabun batang 1 Box ( 2 PCS )")</f>
        <v>Sabun batang 1 Box ( 2 PCS )</v>
      </c>
      <c r="H106" s="463" t="str">
        <f>IFERROR(__xludf.DUMMYFUNCTION("""COMPUTED_VALUE"""),"Sampai")</f>
        <v>Sampai</v>
      </c>
      <c r="I106" s="464" t="str">
        <f>IFERROR(__xludf.DUMMYFUNCTION("""COMPUTED_VALUE"""),"KIMME")</f>
        <v>KIMME</v>
      </c>
      <c r="J106" s="279" t="str">
        <f>IFERROR(__xludf.DUMMYFUNCTION("""COMPUTED_VALUE"""),"https://vt.tiktok.com/ZSmQ93qo2/")</f>
        <v>https://vt.tiktok.com/ZSmQ93qo2/</v>
      </c>
      <c r="K106" s="464" t="str">
        <f>IFERROR(__xludf.DUMMYFUNCTION("""COMPUTED_VALUE"""),"KIMME")</f>
        <v>KIMME</v>
      </c>
      <c r="L106" s="17" t="str">
        <f>IFERROR(__xludf.DUMMYFUNCTION("""COMPUTED_VALUE"""),"⁠https://vt.tiktok.com/ZSmQ9KgTA/")</f>
        <v>⁠https://vt.tiktok.com/ZSmQ9KgTA/</v>
      </c>
      <c r="M106" s="464" t="str">
        <f>IFERROR(__xludf.DUMMYFUNCTION("""COMPUTED_VALUE"""),"KIMME")</f>
        <v>KIMME</v>
      </c>
      <c r="N106" s="279" t="str">
        <f>IFERROR(__xludf.DUMMYFUNCTION("""COMPUTED_VALUE"""),"https://vt.tiktok.com/ZSmGBSW7r/")</f>
        <v>https://vt.tiktok.com/ZSmGBSW7r/</v>
      </c>
      <c r="O106" s="464" t="str">
        <f>IFERROR(__xludf.DUMMYFUNCTION("""COMPUTED_VALUE"""),"KIMME")</f>
        <v>KIMME</v>
      </c>
      <c r="P106" s="279" t="str">
        <f>IFERROR(__xludf.DUMMYFUNCTION("""COMPUTED_VALUE"""),"https://vt.tiktok.com/ZSmGmQjHc/")</f>
        <v>https://vt.tiktok.com/ZSmGmQjHc/</v>
      </c>
    </row>
    <row r="107">
      <c r="A107" s="255" t="str">
        <f>IFERROR(__xludf.DUMMYFUNCTION("""COMPUTED_VALUE"""),"MICRO")</f>
        <v>MICRO</v>
      </c>
      <c r="B107" s="23" t="str">
        <f>IFERROR(__xludf.DUMMYFUNCTION("""COMPUTED_VALUE"""),"ikkenovi18")</f>
        <v>ikkenovi18</v>
      </c>
      <c r="C107" s="257" t="str">
        <f>IFERROR(__xludf.DUMMYFUNCTION("""COMPUTED_VALUE"""),"https://www.tiktok.com/@ikkenovi18")</f>
        <v>https://www.tiktok.com/@ikkenovi18</v>
      </c>
      <c r="D107" s="270">
        <f>IFERROR(__xludf.DUMMYFUNCTION("""COMPUTED_VALUE"""),8.5781730712E10)</f>
        <v>85781730712</v>
      </c>
      <c r="E107" s="457">
        <f>IFERROR(__xludf.DUMMYFUNCTION("""COMPUTED_VALUE"""),0.0)</f>
        <v>0</v>
      </c>
      <c r="F107" s="270">
        <f>IFERROR(__xludf.DUMMYFUNCTION("""COMPUTED_VALUE"""),4.0)</f>
        <v>4</v>
      </c>
      <c r="G107" s="17" t="str">
        <f>IFERROR(__xludf.DUMMYFUNCTION("""COMPUTED_VALUE"""),"Sabun batang 1 Box ( 2 PCS )")</f>
        <v>Sabun batang 1 Box ( 2 PCS )</v>
      </c>
      <c r="H107" s="463" t="str">
        <f>IFERROR(__xludf.DUMMYFUNCTION("""COMPUTED_VALUE"""),"Sampai")</f>
        <v>Sampai</v>
      </c>
      <c r="I107" s="464" t="str">
        <f>IFERROR(__xludf.DUMMYFUNCTION("""COMPUTED_VALUE"""),"KIMME")</f>
        <v>KIMME</v>
      </c>
      <c r="J107" s="279" t="str">
        <f>IFERROR(__xludf.DUMMYFUNCTION("""COMPUTED_VALUE"""),"https://vt.tiktok.com/ZSmUd6o2G/")</f>
        <v>https://vt.tiktok.com/ZSmUd6o2G/</v>
      </c>
      <c r="K107" s="464" t="str">
        <f>IFERROR(__xludf.DUMMYFUNCTION("""COMPUTED_VALUE"""),"KIMME")</f>
        <v>KIMME</v>
      </c>
      <c r="L107" s="279" t="str">
        <f>IFERROR(__xludf.DUMMYFUNCTION("""COMPUTED_VALUE"""),"https://vt.tiktok.com/ZSmUdrsmD/")</f>
        <v>https://vt.tiktok.com/ZSmUdrsmD/</v>
      </c>
      <c r="M107" s="464" t="str">
        <f>IFERROR(__xludf.DUMMYFUNCTION("""COMPUTED_VALUE"""),"KIMME")</f>
        <v>KIMME</v>
      </c>
      <c r="N107" s="279" t="str">
        <f>IFERROR(__xludf.DUMMYFUNCTION("""COMPUTED_VALUE"""),"https://vt.tiktok.com/ZSmUdjfVP/")</f>
        <v>https://vt.tiktok.com/ZSmUdjfVP/</v>
      </c>
      <c r="O107" s="464" t="str">
        <f>IFERROR(__xludf.DUMMYFUNCTION("""COMPUTED_VALUE"""),"KIMME")</f>
        <v>KIMME</v>
      </c>
      <c r="P107" s="279" t="str">
        <f>IFERROR(__xludf.DUMMYFUNCTION("""COMPUTED_VALUE"""),"https://vt.tiktok.com/ZSmUdFWFt/")</f>
        <v>https://vt.tiktok.com/ZSmUdFWFt/</v>
      </c>
    </row>
    <row r="108">
      <c r="A108" s="255" t="str">
        <f>IFERROR(__xludf.DUMMYFUNCTION("""COMPUTED_VALUE"""),"MICRO")</f>
        <v>MICRO</v>
      </c>
      <c r="B108" s="23" t="str">
        <f>IFERROR(__xludf.DUMMYFUNCTION("""COMPUTED_VALUE"""),"dian_novitasari98")</f>
        <v>dian_novitasari98</v>
      </c>
      <c r="C108" s="257" t="str">
        <f>IFERROR(__xludf.DUMMYFUNCTION("""COMPUTED_VALUE"""),"https://www.tiktok.com/@dian_novitasari98")</f>
        <v>https://www.tiktok.com/@dian_novitasari98</v>
      </c>
      <c r="D108" s="270">
        <f>IFERROR(__xludf.DUMMYFUNCTION("""COMPUTED_VALUE"""),8.789524164E10)</f>
        <v>87895241640</v>
      </c>
      <c r="E108" s="457">
        <f>IFERROR(__xludf.DUMMYFUNCTION("""COMPUTED_VALUE"""),50000.0)</f>
        <v>50000</v>
      </c>
      <c r="F108" s="270">
        <f>IFERROR(__xludf.DUMMYFUNCTION("""COMPUTED_VALUE"""),4.0)</f>
        <v>4</v>
      </c>
      <c r="G108" s="17" t="str">
        <f>IFERROR(__xludf.DUMMYFUNCTION("""COMPUTED_VALUE"""),"Sabun batang 1 Box ( 2 PCS )")</f>
        <v>Sabun batang 1 Box ( 2 PCS )</v>
      </c>
      <c r="H108" s="463" t="str">
        <f>IFERROR(__xludf.DUMMYFUNCTION("""COMPUTED_VALUE"""),"Sampai")</f>
        <v>Sampai</v>
      </c>
      <c r="I108" s="464" t="str">
        <f>IFERROR(__xludf.DUMMYFUNCTION("""COMPUTED_VALUE"""),"KIMME")</f>
        <v>KIMME</v>
      </c>
      <c r="J108" s="279" t="str">
        <f>IFERROR(__xludf.DUMMYFUNCTION("""COMPUTED_VALUE"""),"https://vt.tiktok.com/ZSmU57xRF/")</f>
        <v>https://vt.tiktok.com/ZSmU57xRF/</v>
      </c>
      <c r="K108" s="464" t="str">
        <f>IFERROR(__xludf.DUMMYFUNCTION("""COMPUTED_VALUE"""),"KIMME")</f>
        <v>KIMME</v>
      </c>
      <c r="L108" s="279" t="str">
        <f>IFERROR(__xludf.DUMMYFUNCTION("""COMPUTED_VALUE"""),"https://www.tiktok.com/@dian_novitasari98/video/7612596948029230356?is_from_webapp=1&amp;sender_device=pc")</f>
        <v>https://www.tiktok.com/@dian_novitasari98/video/7612596948029230356?is_from_webapp=1&amp;sender_device=pc</v>
      </c>
      <c r="M108" s="464" t="str">
        <f>IFERROR(__xludf.DUMMYFUNCTION("""COMPUTED_VALUE"""),"KIMME")</f>
        <v>KIMME</v>
      </c>
      <c r="N108" s="279" t="str">
        <f>IFERROR(__xludf.DUMMYFUNCTION("""COMPUTED_VALUE"""),"https://www.tiktok.com/@dian_novitasari98/video/7612616579498528020?is_from_webapp=1&amp;sender_device=pc")</f>
        <v>https://www.tiktok.com/@dian_novitasari98/video/7612616579498528020?is_from_webapp=1&amp;sender_device=pc</v>
      </c>
      <c r="O108" s="464" t="str">
        <f>IFERROR(__xludf.DUMMYFUNCTION("""COMPUTED_VALUE"""),"KIMME")</f>
        <v>KIMME</v>
      </c>
      <c r="P108" s="279" t="str">
        <f>IFERROR(__xludf.DUMMYFUNCTION("""COMPUTED_VALUE"""),"https://www.tiktok.com/@dian_novitasari98/video/7612667423023795477?is_from_webapp=1&amp;sender_device=pc")</f>
        <v>https://www.tiktok.com/@dian_novitasari98/video/7612667423023795477?is_from_webapp=1&amp;sender_device=pc</v>
      </c>
    </row>
    <row r="109">
      <c r="A109" s="255" t="str">
        <f>IFERROR(__xludf.DUMMYFUNCTION("""COMPUTED_VALUE"""),"MICRO")</f>
        <v>MICRO</v>
      </c>
      <c r="B109" s="23" t="str">
        <f>IFERROR(__xludf.DUMMYFUNCTION("""COMPUTED_VALUE"""),"titiaja12")</f>
        <v>titiaja12</v>
      </c>
      <c r="C109" s="257" t="str">
        <f>IFERROR(__xludf.DUMMYFUNCTION("""COMPUTED_VALUE"""),"https://www.tiktok.com/@titiaja12")</f>
        <v>https://www.tiktok.com/@titiaja12</v>
      </c>
      <c r="D109" s="270">
        <f>IFERROR(__xludf.DUMMYFUNCTION("""COMPUTED_VALUE"""),8.2291404892E10)</f>
        <v>82291404892</v>
      </c>
      <c r="E109" s="457">
        <f>IFERROR(__xludf.DUMMYFUNCTION("""COMPUTED_VALUE"""),0.0)</f>
        <v>0</v>
      </c>
      <c r="F109" s="270">
        <f>IFERROR(__xludf.DUMMYFUNCTION("""COMPUTED_VALUE"""),1.0)</f>
        <v>1</v>
      </c>
      <c r="G109" s="17" t="str">
        <f>IFERROR(__xludf.DUMMYFUNCTION("""COMPUTED_VALUE"""),"Sabun batang 1 Box ( 2 PCS )")</f>
        <v>Sabun batang 1 Box ( 2 PCS )</v>
      </c>
      <c r="H109" s="463" t="str">
        <f>IFERROR(__xludf.DUMMYFUNCTION("""COMPUTED_VALUE"""),"Sampai")</f>
        <v>Sampai</v>
      </c>
      <c r="I109" s="464" t="str">
        <f>IFERROR(__xludf.DUMMYFUNCTION("""COMPUTED_VALUE"""),"KIMME")</f>
        <v>KIMME</v>
      </c>
      <c r="J109" s="279" t="str">
        <f>IFERROR(__xludf.DUMMYFUNCTION("""COMPUTED_VALUE"""),"https://vt.tiktok.com/ZSmHE63kn/")</f>
        <v>https://vt.tiktok.com/ZSmHE63kn/</v>
      </c>
      <c r="K109" s="464" t="str">
        <f>IFERROR(__xludf.DUMMYFUNCTION("""COMPUTED_VALUE"""),"KIMME")</f>
        <v>KIMME</v>
      </c>
      <c r="L109" s="279" t="str">
        <f>IFERROR(__xludf.DUMMYFUNCTION("""COMPUTED_VALUE"""),"https://vt.tiktok.com/ZS9fSPWwG/")</f>
        <v>https://vt.tiktok.com/ZS9fSPWwG/</v>
      </c>
      <c r="M109" s="464"/>
      <c r="N109" s="279" t="str">
        <f>IFERROR(__xludf.DUMMYFUNCTION("""COMPUTED_VALUE"""),"https://vt.tiktok.com/ZS9fSb6Jx/")</f>
        <v>https://vt.tiktok.com/ZS9fSb6Jx/</v>
      </c>
      <c r="O109" s="464"/>
      <c r="P109" s="279" t="str">
        <f>IFERROR(__xludf.DUMMYFUNCTION("""COMPUTED_VALUE"""),"https://vt.tiktok.com/ZS9fSD1kQ/")</f>
        <v>https://vt.tiktok.com/ZS9fSD1kQ/</v>
      </c>
    </row>
    <row r="110">
      <c r="A110" s="255" t="str">
        <f>IFERROR(__xludf.DUMMYFUNCTION("""COMPUTED_VALUE"""),"MICRO")</f>
        <v>MICRO</v>
      </c>
      <c r="B110" s="23" t="str">
        <f>IFERROR(__xludf.DUMMYFUNCTION("""COMPUTED_VALUE"""),"verapurn")</f>
        <v>verapurn</v>
      </c>
      <c r="C110" s="257" t="str">
        <f>IFERROR(__xludf.DUMMYFUNCTION("""COMPUTED_VALUE"""),"https://www.tiktok.com/@verapurn")</f>
        <v>https://www.tiktok.com/@verapurn</v>
      </c>
      <c r="D110" s="270">
        <f>IFERROR(__xludf.DUMMYFUNCTION("""COMPUTED_VALUE"""),8.1292214475E10)</f>
        <v>81292214475</v>
      </c>
      <c r="E110" s="457">
        <f>IFERROR(__xludf.DUMMYFUNCTION("""COMPUTED_VALUE"""),0.0)</f>
        <v>0</v>
      </c>
      <c r="F110" s="270">
        <f>IFERROR(__xludf.DUMMYFUNCTION("""COMPUTED_VALUE"""),1.0)</f>
        <v>1</v>
      </c>
      <c r="G110" s="17" t="str">
        <f>IFERROR(__xludf.DUMMYFUNCTION("""COMPUTED_VALUE"""),"Sabun batang 1 Box ( 2 PCS )")</f>
        <v>Sabun batang 1 Box ( 2 PCS )</v>
      </c>
      <c r="H110" s="463" t="str">
        <f>IFERROR(__xludf.DUMMYFUNCTION("""COMPUTED_VALUE"""),"Sampai")</f>
        <v>Sampai</v>
      </c>
      <c r="I110" s="464" t="str">
        <f>IFERROR(__xludf.DUMMYFUNCTION("""COMPUTED_VALUE"""),"KIMME")</f>
        <v>KIMME</v>
      </c>
      <c r="J110" s="279" t="str">
        <f>IFERROR(__xludf.DUMMYFUNCTION("""COMPUTED_VALUE"""),"https://vt.tiktok.com/ZSuhRca2r/")</f>
        <v>https://vt.tiktok.com/ZSuhRca2r/</v>
      </c>
      <c r="K110" s="464" t="str">
        <f>IFERROR(__xludf.DUMMYFUNCTION("""COMPUTED_VALUE"""),"KIMME")</f>
        <v>KIMME</v>
      </c>
      <c r="L110" s="279" t="str">
        <f>IFERROR(__xludf.DUMMYFUNCTION("""COMPUTED_VALUE"""),"https://vt.tiktok.com/ZS9fShw5x/")</f>
        <v>https://vt.tiktok.com/ZS9fShw5x/</v>
      </c>
      <c r="M110" s="464"/>
      <c r="N110" s="279" t="str">
        <f>IFERROR(__xludf.DUMMYFUNCTION("""COMPUTED_VALUE"""),"https://vt.tiktok.com/ZS9fSbhkW/")</f>
        <v>https://vt.tiktok.com/ZS9fSbhkW/</v>
      </c>
      <c r="O110" s="464"/>
      <c r="P110" s="279" t="str">
        <f>IFERROR(__xludf.DUMMYFUNCTION("""COMPUTED_VALUE"""),"https://vt.tiktok.com/ZS9fSDMP8/")</f>
        <v>https://vt.tiktok.com/ZS9fSDMP8/</v>
      </c>
    </row>
    <row r="111">
      <c r="A111" s="255" t="str">
        <f>IFERROR(__xludf.DUMMYFUNCTION("""COMPUTED_VALUE"""),"MICRO")</f>
        <v>MICRO</v>
      </c>
      <c r="B111" s="23" t="str">
        <f>IFERROR(__xludf.DUMMYFUNCTION("""COMPUTED_VALUE"""),"queenrfl")</f>
        <v>queenrfl</v>
      </c>
      <c r="C111" s="257" t="str">
        <f>IFERROR(__xludf.DUMMYFUNCTION("""COMPUTED_VALUE"""),"https://www.tiktok.com/@queenrfl")</f>
        <v>https://www.tiktok.com/@queenrfl</v>
      </c>
      <c r="D111" s="270">
        <f>IFERROR(__xludf.DUMMYFUNCTION("""COMPUTED_VALUE"""),8.1210008394E10)</f>
        <v>81210008394</v>
      </c>
      <c r="E111" s="457">
        <f>IFERROR(__xludf.DUMMYFUNCTION("""COMPUTED_VALUE"""),0.0)</f>
        <v>0</v>
      </c>
      <c r="F111" s="270">
        <f>IFERROR(__xludf.DUMMYFUNCTION("""COMPUTED_VALUE"""),2.0)</f>
        <v>2</v>
      </c>
      <c r="G111" s="17" t="str">
        <f>IFERROR(__xludf.DUMMYFUNCTION("""COMPUTED_VALUE"""),"Sabun batang 1 Box ( 2 PCS )")</f>
        <v>Sabun batang 1 Box ( 2 PCS )</v>
      </c>
      <c r="H111" s="463" t="str">
        <f>IFERROR(__xludf.DUMMYFUNCTION("""COMPUTED_VALUE"""),"Sampai")</f>
        <v>Sampai</v>
      </c>
      <c r="I111" s="464" t="str">
        <f>IFERROR(__xludf.DUMMYFUNCTION("""COMPUTED_VALUE"""),"KIMME")</f>
        <v>KIMME</v>
      </c>
      <c r="J111" s="279" t="str">
        <f>IFERROR(__xludf.DUMMYFUNCTION("""COMPUTED_VALUE"""),"https://www.tiktok.com/@queenrfl/video/7612346050292075784?is_from_webapp=1&amp;sender_device=pc")</f>
        <v>https://www.tiktok.com/@queenrfl/video/7612346050292075784?is_from_webapp=1&amp;sender_device=pc</v>
      </c>
      <c r="K111" s="464" t="str">
        <f>IFERROR(__xludf.DUMMYFUNCTION("""COMPUTED_VALUE"""),"KIMME")</f>
        <v>KIMME</v>
      </c>
      <c r="L111" s="279" t="str">
        <f>IFERROR(__xludf.DUMMYFUNCTION("""COMPUTED_VALUE"""),"https://vt.tiktok.com/ZSuUj1ruG/")</f>
        <v>https://vt.tiktok.com/ZSuUj1ruG/</v>
      </c>
      <c r="M111" s="464"/>
      <c r="N111" s="279" t="str">
        <f>IFERROR(__xludf.DUMMYFUNCTION("""COMPUTED_VALUE"""),"https://vt.tiktok.com/ZS9fSC3na/")</f>
        <v>https://vt.tiktok.com/ZS9fSC3na/</v>
      </c>
      <c r="O111" s="464"/>
      <c r="P111" s="279" t="str">
        <f>IFERROR(__xludf.DUMMYFUNCTION("""COMPUTED_VALUE"""),"https://vt.tiktok.com/ZS9fSsWWQ/")</f>
        <v>https://vt.tiktok.com/ZS9fSsWWQ/</v>
      </c>
    </row>
    <row r="112">
      <c r="A112" s="255" t="str">
        <f>IFERROR(__xludf.DUMMYFUNCTION("""COMPUTED_VALUE"""),"MICRO")</f>
        <v>MICRO</v>
      </c>
      <c r="B112" s="257" t="str">
        <f>IFERROR(__xludf.DUMMYFUNCTION("""COMPUTED_VALUE"""),"arfatus.sh")</f>
        <v>arfatus.sh</v>
      </c>
      <c r="C112" s="257" t="str">
        <f>IFERROR(__xludf.DUMMYFUNCTION("""COMPUTED_VALUE"""),"https://www.tiktok.com/@arfatus.sh")</f>
        <v>https://www.tiktok.com/@arfatus.sh</v>
      </c>
      <c r="D112" s="270">
        <f>IFERROR(__xludf.DUMMYFUNCTION("""COMPUTED_VALUE"""),8.1271828887E10)</f>
        <v>81271828887</v>
      </c>
      <c r="E112" s="457">
        <f>IFERROR(__xludf.DUMMYFUNCTION("""COMPUTED_VALUE"""),0.0)</f>
        <v>0</v>
      </c>
      <c r="F112" s="270">
        <f>IFERROR(__xludf.DUMMYFUNCTION("""COMPUTED_VALUE"""),1.0)</f>
        <v>1</v>
      </c>
      <c r="G112" s="17" t="str">
        <f>IFERROR(__xludf.DUMMYFUNCTION("""COMPUTED_VALUE"""),"Sabun batang 1 Box ( 2 PCS )")</f>
        <v>Sabun batang 1 Box ( 2 PCS )</v>
      </c>
      <c r="H112" s="463" t="str">
        <f>IFERROR(__xludf.DUMMYFUNCTION("""COMPUTED_VALUE"""),"Sampai")</f>
        <v>Sampai</v>
      </c>
      <c r="I112" s="464" t="str">
        <f>IFERROR(__xludf.DUMMYFUNCTION("""COMPUTED_VALUE"""),"KIMME")</f>
        <v>KIMME</v>
      </c>
      <c r="J112" s="279" t="str">
        <f>IFERROR(__xludf.DUMMYFUNCTION("""COMPUTED_VALUE"""),"https://vt.tiktok.com/ZSmGD1vaP/")</f>
        <v>https://vt.tiktok.com/ZSmGD1vaP/</v>
      </c>
      <c r="K112" s="464" t="str">
        <f>IFERROR(__xludf.DUMMYFUNCTION("""COMPUTED_VALUE"""),"KIMME")</f>
        <v>KIMME</v>
      </c>
      <c r="L112" s="279" t="str">
        <f>IFERROR(__xludf.DUMMYFUNCTION("""COMPUTED_VALUE"""),"https://vt.tiktok.com/ZS9fANKEa/")</f>
        <v>https://vt.tiktok.com/ZS9fANKEa/</v>
      </c>
      <c r="M112" s="464"/>
      <c r="N112" s="279" t="str">
        <f>IFERROR(__xludf.DUMMYFUNCTION("""COMPUTED_VALUE"""),"https://vt.tiktok.com/ZS9fANV4P/")</f>
        <v>https://vt.tiktok.com/ZS9fANV4P/</v>
      </c>
      <c r="O112" s="464"/>
      <c r="P112" s="279" t="str">
        <f>IFERROR(__xludf.DUMMYFUNCTION("""COMPUTED_VALUE"""),"https://vt.tiktok.com/ZS9fSWBNo/")</f>
        <v>https://vt.tiktok.com/ZS9fSWBNo/</v>
      </c>
    </row>
    <row r="113">
      <c r="A113" s="255" t="str">
        <f>IFERROR(__xludf.DUMMYFUNCTION("""COMPUTED_VALUE"""),"MICRO")</f>
        <v>MICRO</v>
      </c>
      <c r="B113" s="361" t="str">
        <f>IFERROR(__xludf.DUMMYFUNCTION("""COMPUTED_VALUE"""),"outher.la")</f>
        <v>outher.la</v>
      </c>
      <c r="C113" s="257" t="str">
        <f>IFERROR(__xludf.DUMMYFUNCTION("""COMPUTED_VALUE"""),"https://www.tiktok.com/@outher.la")</f>
        <v>https://www.tiktok.com/@outher.la</v>
      </c>
      <c r="D113" s="270">
        <f>IFERROR(__xludf.DUMMYFUNCTION("""COMPUTED_VALUE"""),8.9510514531E10)</f>
        <v>89510514531</v>
      </c>
      <c r="E113" s="457">
        <f>IFERROR(__xludf.DUMMYFUNCTION("""COMPUTED_VALUE"""),0.0)</f>
        <v>0</v>
      </c>
      <c r="F113" s="270">
        <f>IFERROR(__xludf.DUMMYFUNCTION("""COMPUTED_VALUE"""),4.0)</f>
        <v>4</v>
      </c>
      <c r="G113" s="17" t="str">
        <f>IFERROR(__xludf.DUMMYFUNCTION("""COMPUTED_VALUE"""),"Sabun batang 1 Box ( 2 PCS )")</f>
        <v>Sabun batang 1 Box ( 2 PCS )</v>
      </c>
      <c r="H113" s="463" t="str">
        <f>IFERROR(__xludf.DUMMYFUNCTION("""COMPUTED_VALUE"""),"Sampai")</f>
        <v>Sampai</v>
      </c>
      <c r="I113" s="464" t="str">
        <f>IFERROR(__xludf.DUMMYFUNCTION("""COMPUTED_VALUE"""),"KIMME")</f>
        <v>KIMME</v>
      </c>
      <c r="J113" s="279" t="str">
        <f>IFERROR(__xludf.DUMMYFUNCTION("""COMPUTED_VALUE"""),"https://www.tiktok.com/@outher.la/video/7628617531573488916?is_from_webapp=1&amp;sender_device=pc")</f>
        <v>https://www.tiktok.com/@outher.la/video/7628617531573488916?is_from_webapp=1&amp;sender_device=pc</v>
      </c>
      <c r="K113" s="464" t="str">
        <f>IFERROR(__xludf.DUMMYFUNCTION("""COMPUTED_VALUE"""),"KIMME")</f>
        <v>KIMME</v>
      </c>
      <c r="L113" s="279" t="str">
        <f>IFERROR(__xludf.DUMMYFUNCTION("""COMPUTED_VALUE"""),"https://vt.tiktok.com/ZSHskWGBv/")</f>
        <v>https://vt.tiktok.com/ZSHskWGBv/</v>
      </c>
      <c r="M113" s="464" t="str">
        <f>IFERROR(__xludf.DUMMYFUNCTION("""COMPUTED_VALUE"""),"KIMME")</f>
        <v>KIMME</v>
      </c>
      <c r="N113" s="17" t="str">
        <f>IFERROR(__xludf.DUMMYFUNCTION("""COMPUTED_VALUE"""),"https://www.tiktok.com/@nolisnurjanah21/video/7634334673694379284?_r=1&amp;u_code=e85madfeelij2j&amp;region=ID&amp;mid=7379015083181935365&amp;preview_pb=0&amp;sharer_language=id&amp;_d=eamlmmm8mhi2b1&amp;ec_shared_reflux_dynamic_params=%7B%22placeholder_material_id%22%3A%2276343346"&amp;"73694379284%22%2C%22placeholder_origin_cover%22%3A%22https%253A%252F%252Fp16-common-sign.tiktokcdn.com%252Ftos-alisg-p-0037%252FoMJRGC4YwBZjGCnRfaehvyxmKFfAHgnwtQfLAA~tplv-tiktokx-origin.webp%253Fdr%253D14572%2526refresh_token%253D1d5df5a3%2526x-expires%2"&amp;"53D1809068400%2526x-signature%253DuohuIHjVcODSt0LHYqYb2sdQG8k%25253D%2526t%253D4d5b0474%2526ps%253D13740610%2526shp%253Dd05b14bd%2526shcp%253D34ff8df6%2526idc%253Dmy%2526s%253DPUBLISH%22%2C%22placeholder_product_id%22%3A%221729729730555512511%22%2C%22plac"&amp;"eholder_video_id%22%3A%227634334673694379284%22%7D&amp;ec_shared_reflux_scene=shop_tab_feed&amp;share_item_id=7634334673694379284&amp;source=h5_t&amp;timestamp=1777535516&amp;user_id=7237520577413497862&amp;sec_user_id=MS4wLjABAAAAuFKTxltRNEA4vRxvmggGlTdfDooZIOomASx9rmdI28pmHrMu"&amp;"v03DvPz0p1WeHk_U&amp;item_author_type=1&amp;social_share_type=0&amp;utm_source=copy&amp;utm_campaign=client_share&amp;utm_medium=android&amp;share_iid=7632450506153887495&amp;share_link_id=1b11ce68-3cbd-412b-a74f-92fce033f9ae&amp;share_app_id=1180&amp;ugbiz_name=MAIN&amp;ug_btm=b8727%2Cb2878&amp;sp"&amp;"_root_share_link_id=1b11ce68-3cbd-412b-a74f-92fce033f9ae&amp;link_reflow_popup_iteration_sharer=%7B%22click_empty_to_play%22%3A1%2C%22dynamic_cover%22%3A1%2C%22follow_to_play_duration%22%3A-1.0%2C%22profile_clickable%22%3A1%7D&amp;enable_checksum=1&amp;sp_level=1&amp;sp_"&amp;"root_u=e85madfeelij2j&amp;sp_root_d=eamlmmm8mhi2b1")</f>
        <v>https://www.tiktok.com/@nolisnurjanah21/video/7634334673694379284?_r=1&amp;u_code=e85madfeelij2j&amp;region=ID&amp;mid=7379015083181935365&amp;preview_pb=0&amp;sharer_language=id&amp;_d=eamlmmm8mhi2b1&amp;ec_shared_reflux_dynamic_params=%7B%22placeholder_material_id%22%3A%227634334673694379284%22%2C%22placeholder_origin_cover%22%3A%22https%253A%252F%252Fp16-common-sign.tiktokcdn.com%252Ftos-alisg-p-0037%252FoMJRGC4YwBZjGCnRfaehvyxmKFfAHgnwtQfLAA~tplv-tiktokx-origin.webp%253Fdr%253D14572%2526refresh_token%253D1d5df5a3%2526x-expires%253D1809068400%2526x-signature%253DuohuIHjVcODSt0LHYqYb2sdQG8k%25253D%2526t%253D4d5b0474%2526ps%253D13740610%2526shp%253Dd05b14bd%2526shcp%253D34ff8df6%2526idc%253Dmy%2526s%253DPUBLISH%22%2C%22placeholder_product_id%22%3A%221729729730555512511%22%2C%22placeholder_video_id%22%3A%227634334673694379284%22%7D&amp;ec_shared_reflux_scene=shop_tab_feed&amp;share_item_id=7634334673694379284&amp;source=h5_t&amp;timestamp=1777535516&amp;user_id=7237520577413497862&amp;sec_user_id=MS4wLjABAAAAuFKTxltRNEA4vRxvmggGlTdfDooZIOomASx9rmdI28pmHrMuv03DvPz0p1WeHk_U&amp;item_author_type=1&amp;social_share_type=0&amp;utm_source=copy&amp;utm_campaign=client_share&amp;utm_medium=android&amp;share_iid=7632450506153887495&amp;share_link_id=1b11ce68-3cbd-412b-a74f-92fce033f9ae&amp;share_app_id=1180&amp;ugbiz_name=MAIN&amp;ug_btm=b8727%2Cb2878&amp;sp_root_share_link_id=1b11ce68-3cbd-412b-a74f-92fce033f9ae&amp;link_reflow_popup_iteration_sharer=%7B%22click_empty_to_play%22%3A1%2C%22dynamic_cover%22%3A1%2C%22follow_to_play_duration%22%3A-1.0%2C%22profile_clickable%22%3A1%7D&amp;enable_checksum=1&amp;sp_level=1&amp;sp_root_u=e85madfeelij2j&amp;sp_root_d=eamlmmm8mhi2b1</v>
      </c>
      <c r="O113" s="464" t="str">
        <f>IFERROR(__xludf.DUMMYFUNCTION("""COMPUTED_VALUE"""),"KIMME")</f>
        <v>KIMME</v>
      </c>
      <c r="P113" s="279" t="str">
        <f>IFERROR(__xludf.DUMMYFUNCTION("""COMPUTED_VALUE"""),"https://vt.tiktok.com/ZS9fAdQpw/")</f>
        <v>https://vt.tiktok.com/ZS9fAdQpw/</v>
      </c>
    </row>
    <row r="114">
      <c r="A114" s="255" t="str">
        <f>IFERROR(__xludf.DUMMYFUNCTION("""COMPUTED_VALUE"""),"MICRO")</f>
        <v>MICRO</v>
      </c>
      <c r="B114" s="361" t="str">
        <f>IFERROR(__xludf.DUMMYFUNCTION("""COMPUTED_VALUE"""),"its.riniii_")</f>
        <v>its.riniii_</v>
      </c>
      <c r="C114" s="257" t="str">
        <f>IFERROR(__xludf.DUMMYFUNCTION("""COMPUTED_VALUE"""),"https://www.tiktok.com/@its.riniii_")</f>
        <v>https://www.tiktok.com/@its.riniii_</v>
      </c>
      <c r="D114" s="270">
        <f>IFERROR(__xludf.DUMMYFUNCTION("""COMPUTED_VALUE"""),8.9604961677E10)</f>
        <v>89604961677</v>
      </c>
      <c r="E114" s="457">
        <f>IFERROR(__xludf.DUMMYFUNCTION("""COMPUTED_VALUE"""),0.0)</f>
        <v>0</v>
      </c>
      <c r="F114" s="270">
        <f>IFERROR(__xludf.DUMMYFUNCTION("""COMPUTED_VALUE"""),4.0)</f>
        <v>4</v>
      </c>
      <c r="G114" s="17" t="str">
        <f>IFERROR(__xludf.DUMMYFUNCTION("""COMPUTED_VALUE"""),"Sabun batang 1 Box ( 2 PCS )")</f>
        <v>Sabun batang 1 Box ( 2 PCS )</v>
      </c>
      <c r="H114" s="463" t="str">
        <f>IFERROR(__xludf.DUMMYFUNCTION("""COMPUTED_VALUE"""),"Sampai")</f>
        <v>Sampai</v>
      </c>
      <c r="I114" s="464" t="str">
        <f>IFERROR(__xludf.DUMMYFUNCTION("""COMPUTED_VALUE"""),"KIMME")</f>
        <v>KIMME</v>
      </c>
      <c r="J114" s="279" t="str">
        <f>IFERROR(__xludf.DUMMYFUNCTION("""COMPUTED_VALUE"""),"https://www.tiktok.com/@byliyah/video/7634877105813064967?_r=1&amp;u_code=dj0c9igeb6ei5f&amp;region=&amp;mid=7628933306519816967&amp;preview_pb=0&amp;sharer_language=&amp;_d=0&amp;ec_shared_reflux_dynamic_params=%7B%22placeholder_material_id%22%3A%227634877105813064967%22%2C%22place"&amp;"holder_origin_cover%22%3A%22https%253A%252F%252Fp16-common-sign.tiktokcdn.com%252Ftos-alisg-p-0037%252Focei17GjILABIDC6IDI4xiICDGRxeju0TtEPAe~tplv-tiktokx-origin.jpeg%253Fdr%253D14572%2526refresh_token%253D5bc4fb2f%2526x-expires%253D1809507600%2526x-signa"&amp;"ture%253DUvN%25252BfzBID4iTP8lYuNjCEFAlPfg%25253D%2526t%253D4d5b0474%2526ps%253D13740610%2526shp%253Dd05b14bd%2526shcp%253D34ff8df6%2526idc%253Dmy%2526s%253DTIKTOK_AFFILIATE_VIRAL_VIDEO%22%2C%22placeholder_product_id%22%3A%221729427766722726591%22%2C%22pl"&amp;"aceholder_video_id%22%3A%227634877105813064967%22%7D&amp;ec_shared_reflux_scene=shop_tab_feed&amp;share_item_id=7634877105813064967&amp;source=h5_t")</f>
        <v>https://www.tiktok.com/@byliyah/video/7634877105813064967?_r=1&amp;u_code=dj0c9igeb6ei5f&amp;region=&amp;mid=7628933306519816967&amp;preview_pb=0&amp;sharer_language=&amp;_d=0&amp;ec_shared_reflux_dynamic_params=%7B%22placeholder_material_id%22%3A%227634877105813064967%22%2C%22placeholder_origin_cover%22%3A%22https%253A%252F%252Fp16-common-sign.tiktokcdn.com%252Ftos-alisg-p-0037%252Focei17GjILABIDC6IDI4xiICDGRxeju0TtEPAe~tplv-tiktokx-origin.jpeg%253Fdr%253D14572%2526refresh_token%253D5bc4fb2f%2526x-expires%253D1809507600%2526x-signature%253DUvN%25252BfzBID4iTP8lYuNjCEFAlPfg%25253D%2526t%253D4d5b0474%2526ps%253D13740610%2526shp%253Dd05b14bd%2526shcp%253D34ff8df6%2526idc%253Dmy%2526s%253DTIKTOK_AFFILIATE_VIRAL_VIDEO%22%2C%22placeholder_product_id%22%3A%221729427766722726591%22%2C%22placeholder_video_id%22%3A%227634877105813064967%22%7D&amp;ec_shared_reflux_scene=shop_tab_feed&amp;share_item_id=7634877105813064967&amp;source=h5_t</v>
      </c>
      <c r="K114" s="464" t="str">
        <f>IFERROR(__xludf.DUMMYFUNCTION("""COMPUTED_VALUE"""),"KIMME")</f>
        <v>KIMME</v>
      </c>
      <c r="L114" s="17" t="str">
        <f>IFERROR(__xludf.DUMMYFUNCTION("""COMPUTED_VALUE"""),"https://www.tiktok.com/@nolisnurjanah21/video/7634335357869296917?_r=1&amp;u_code=e85madfeelij2j&amp;region=ID&amp;mid=7580009717771782160&amp;preview_pb=0&amp;sharer_language=id&amp;_d=eamlmmm8mhi2b1&amp;ec_shared_reflux_dynamic_params=%7B%22placeholder_material_id%22%3A%2276343353"&amp;"57869296917%22%2C%22placeholder_origin_cover%22%3A%22https%253A%252F%252Fp16-common-sign.tiktokcdn.com%252Ftos-alisg-p-0037%252FoQKXuiBhICAgCIoZKyiI0bAAmDDw5wcFf0PO9b~tplv-tiktokx-origin.webp%253Fdr%253D14572%2526refresh_token%253Dff3f4ae6%2526x-expires%2"&amp;"53D1809068400%2526x-signature%253DM9AZr%25252BwGzDnMm%25252BK6Qa5esgMc7ag%25253D%2526t%253D4d5b0474%2526ps%253D13740610%2526shp%253Dd05b14bd%2526shcp%253D34ff8df6%2526idc%253Dmy%2526s%253DPUBLISH%22%2C%22placeholder_product_id%22%3A%221729729730555512511%"&amp;"22%2C%22placeholder_video_id%22%3A%227634335357869296917%22%7D&amp;ec_shared_reflux_scene=shop_tab_feed&amp;share_item_id=7634335357869296917&amp;source=h5_t&amp;timestamp=1777535537&amp;user_id=7237520577413497862&amp;sec_user_id=MS4wLjABAAAAuFKTxltRNEA4vRxvmggGlTdfDooZIOomASx9"&amp;"rmdI28pmHrMuv03DvPz0p1WeHk_U&amp;item_author_type=1&amp;social_share_type=0&amp;utm_source=copy&amp;utm_campaign=client_share&amp;utm_medium=android&amp;share_iid=7632450506153887495&amp;share_link_id=32412c20-2096-427b-a2a5-1ea2bc0f8318&amp;share_app_id=1180&amp;ugbiz_name=MAIN&amp;ug_btm=b872"&amp;"7%2Cb2878&amp;sp_root_share_link_id=32412c20-2096-427b-a2a5-1ea2bc0f8318&amp;link_reflow_popup_iteration_sharer=%7B%22click_empty_to_play%22%3A1%2C%22dynamic_cover%22%3A1%2C%22follow_to_play_duration%22%3A-1.0%2C%22profile_clickable%22%3A1%7D&amp;enable_checksum=1&amp;sp"&amp;"_level=1&amp;sp_root_u=e85madfeelij2j&amp;sp_root_d=eamlmmm8mhi2b1")</f>
        <v>https://www.tiktok.com/@nolisnurjanah21/video/7634335357869296917?_r=1&amp;u_code=e85madfeelij2j&amp;region=ID&amp;mid=7580009717771782160&amp;preview_pb=0&amp;sharer_language=id&amp;_d=eamlmmm8mhi2b1&amp;ec_shared_reflux_dynamic_params=%7B%22placeholder_material_id%22%3A%227634335357869296917%22%2C%22placeholder_origin_cover%22%3A%22https%253A%252F%252Fp16-common-sign.tiktokcdn.com%252Ftos-alisg-p-0037%252FoQKXuiBhICAgCIoZKyiI0bAAmDDw5wcFf0PO9b~tplv-tiktokx-origin.webp%253Fdr%253D14572%2526refresh_token%253Dff3f4ae6%2526x-expires%253D1809068400%2526x-signature%253DM9AZr%25252BwGzDnMm%25252BK6Qa5esgMc7ag%25253D%2526t%253D4d5b0474%2526ps%253D13740610%2526shp%253Dd05b14bd%2526shcp%253D34ff8df6%2526idc%253Dmy%2526s%253DPUBLISH%22%2C%22placeholder_product_id%22%3A%221729729730555512511%22%2C%22placeholder_video_id%22%3A%227634335357869296917%22%7D&amp;ec_shared_reflux_scene=shop_tab_feed&amp;share_item_id=7634335357869296917&amp;source=h5_t&amp;timestamp=1777535537&amp;user_id=7237520577413497862&amp;sec_user_id=MS4wLjABAAAAuFKTxltRNEA4vRxvmggGlTdfDooZIOomASx9rmdI28pmHrMuv03DvPz0p1WeHk_U&amp;item_author_type=1&amp;social_share_type=0&amp;utm_source=copy&amp;utm_campaign=client_share&amp;utm_medium=android&amp;share_iid=7632450506153887495&amp;share_link_id=32412c20-2096-427b-a2a5-1ea2bc0f8318&amp;share_app_id=1180&amp;ugbiz_name=MAIN&amp;ug_btm=b8727%2Cb2878&amp;sp_root_share_link_id=32412c20-2096-427b-a2a5-1ea2bc0f8318&amp;link_reflow_popup_iteration_sharer=%7B%22click_empty_to_play%22%3A1%2C%22dynamic_cover%22%3A1%2C%22follow_to_play_duration%22%3A-1.0%2C%22profile_clickable%22%3A1%7D&amp;enable_checksum=1&amp;sp_level=1&amp;sp_root_u=e85madfeelij2j&amp;sp_root_d=eamlmmm8mhi2b1</v>
      </c>
      <c r="M114" s="464" t="str">
        <f>IFERROR(__xludf.DUMMYFUNCTION("""COMPUTED_VALUE"""),"KIMME")</f>
        <v>KIMME</v>
      </c>
      <c r="N114" s="279" t="str">
        <f>IFERROR(__xludf.DUMMYFUNCTION("""COMPUTED_VALUE"""),"https://www.tiktok.com/@byliyah/video/7634123815890455815?_r=1&amp;u_code=dj0c9igeb6ei5f&amp;region=&amp;mid=7628933306519816967&amp;preview_pb=0&amp;sharer_language=&amp;_d=0&amp;ec_shared_reflux_dynamic_params=%7B%22placeholder_material_id%22%3A%227634123815890455815%22%2C%22place"&amp;"holder_origin_cover%22%3A%22https%253A%252F%252Fp16-sign-sg.tiktokcdn.com%252Ftos-alisg-p-0037%252Fo8CPAtE4ELXVCI7GQTIGJmegQVKeAXe1D4jnKj~tplv-tiktokx-origin.jpeg%253Fdr%253D14572%2526refresh_token%253Df5d9677c%2526x-expires%253D1809507600%2526x-signature"&amp;"%253DWKkOkl71wCIejeGiPGxkcw2Pwqk%25253D%2526t%253D4d5b0474%2526ps%253D13740610%2526shp%253Dd05b14bd%2526shcp%253D34ff8df6%2526idc%253Dmy%2526s%253DTIKTOK_AFFILIATE_VIRAL_VIDEO%22%2C%22placeholder_product_id%22%3A%221729427766722726591%22%2C%22placeholder_"&amp;"video_id%22%3A%227634123815890455815%22%7D&amp;ec_shared_reflux_scene=shop_tab_feed&amp;share_item_id=7634123815890455815&amp;source=h5_t")</f>
        <v>https://www.tiktok.com/@byliyah/video/7634123815890455815?_r=1&amp;u_code=dj0c9igeb6ei5f&amp;region=&amp;mid=7628933306519816967&amp;preview_pb=0&amp;sharer_language=&amp;_d=0&amp;ec_shared_reflux_dynamic_params=%7B%22placeholder_material_id%22%3A%227634123815890455815%22%2C%22placeholder_origin_cover%22%3A%22https%253A%252F%252Fp16-sign-sg.tiktokcdn.com%252Ftos-alisg-p-0037%252Fo8CPAtE4ELXVCI7GQTIGJmegQVKeAXe1D4jnKj~tplv-tiktokx-origin.jpeg%253Fdr%253D14572%2526refresh_token%253Df5d9677c%2526x-expires%253D1809507600%2526x-signature%253DWKkOkl71wCIejeGiPGxkcw2Pwqk%25253D%2526t%253D4d5b0474%2526ps%253D13740610%2526shp%253Dd05b14bd%2526shcp%253D34ff8df6%2526idc%253Dmy%2526s%253DTIKTOK_AFFILIATE_VIRAL_VIDEO%22%2C%22placeholder_product_id%22%3A%221729427766722726591%22%2C%22placeholder_video_id%22%3A%227634123815890455815%22%7D&amp;ec_shared_reflux_scene=shop_tab_feed&amp;share_item_id=7634123815890455815&amp;source=h5_t</v>
      </c>
      <c r="O114" s="464" t="str">
        <f>IFERROR(__xludf.DUMMYFUNCTION("""COMPUTED_VALUE"""),"KIMME")</f>
        <v>KIMME</v>
      </c>
      <c r="P114" s="279" t="str">
        <f>IFERROR(__xludf.DUMMYFUNCTION("""COMPUTED_VALUE"""),"https://www.tiktok.com/@byliyah/video/7634407705381260551?_r=1&amp;u_code=dj0c9igeb6ei5f&amp;region=&amp;mid=7628933306519816967&amp;preview_pb=0&amp;sharer_language=&amp;_d=0&amp;ec_shared_reflux_dynamic_params=%7B%22placeholder_material_id%22%3A%227634407705381260551%22%2C%22place"&amp;"holder_origin_cover%22%3A%22https%253A%252F%252Fp16-common-sign.tiktokcdn.com%252Ftos-alisg-p-0037%252FoEuBg4sri7VCIWiw0VJAV3LP8d7IAPCfyIAkz9~tplv-tiktokx-origin.jpeg%253Fdr%253D14572%2526refresh_token%253D55153503%2526x-expires%253D1809507600%2526x-signa"&amp;"ture%253D7k9sQv%25252B12AURNBsQqleQjcthtRI%25253D%2526t%253D4d5b0474%2526ps%253D13740610%2526shp%253Dd05b14bd%2526shcp%253D34ff8df6%2526idc%253Dmy%2526s%253DTIKTOK_AFFILIATE_VIRAL_VIDEO%22%2C%22placeholder_product_id%22%3A%221729427766722726591%22%2C%22pl"&amp;"aceholder_video_id%22%3A%227634407705381260551%22%7D&amp;ec_shared_reflux_scene=shop_tab_feed&amp;share_item_id=7634407705381260551&amp;source=h5_t")</f>
        <v>https://www.tiktok.com/@byliyah/video/7634407705381260551?_r=1&amp;u_code=dj0c9igeb6ei5f&amp;region=&amp;mid=7628933306519816967&amp;preview_pb=0&amp;sharer_language=&amp;_d=0&amp;ec_shared_reflux_dynamic_params=%7B%22placeholder_material_id%22%3A%227634407705381260551%22%2C%22placeholder_origin_cover%22%3A%22https%253A%252F%252Fp16-common-sign.tiktokcdn.com%252Ftos-alisg-p-0037%252FoEuBg4sri7VCIWiw0VJAV3LP8d7IAPCfyIAkz9~tplv-tiktokx-origin.jpeg%253Fdr%253D14572%2526refresh_token%253D55153503%2526x-expires%253D1809507600%2526x-signature%253D7k9sQv%25252B12AURNBsQqleQjcthtRI%25253D%2526t%253D4d5b0474%2526ps%253D13740610%2526shp%253Dd05b14bd%2526shcp%253D34ff8df6%2526idc%253Dmy%2526s%253DTIKTOK_AFFILIATE_VIRAL_VIDEO%22%2C%22placeholder_product_id%22%3A%221729427766722726591%22%2C%22placeholder_video_id%22%3A%227634407705381260551%22%7D&amp;ec_shared_reflux_scene=shop_tab_feed&amp;share_item_id=7634407705381260551&amp;source=h5_t</v>
      </c>
    </row>
    <row r="115">
      <c r="A115" s="255" t="str">
        <f>IFERROR(__xludf.DUMMYFUNCTION("""COMPUTED_VALUE"""),"MICRO")</f>
        <v>MICRO</v>
      </c>
      <c r="B115" s="361" t="str">
        <f>IFERROR(__xludf.DUMMYFUNCTION("""COMPUTED_VALUE"""),"__meisiadillah")</f>
        <v>__meisiadillah</v>
      </c>
      <c r="C115" s="257" t="str">
        <f>IFERROR(__xludf.DUMMYFUNCTION("""COMPUTED_VALUE"""),"https://www.tiktok.com/@__meisiadillah")</f>
        <v>https://www.tiktok.com/@__meisiadillah</v>
      </c>
      <c r="D115" s="270">
        <f>IFERROR(__xludf.DUMMYFUNCTION("""COMPUTED_VALUE"""),8.5523608117E10)</f>
        <v>85523608117</v>
      </c>
      <c r="E115" s="457">
        <f>IFERROR(__xludf.DUMMYFUNCTION("""COMPUTED_VALUE"""),0.0)</f>
        <v>0</v>
      </c>
      <c r="F115" s="270">
        <f>IFERROR(__xludf.DUMMYFUNCTION("""COMPUTED_VALUE"""),1.0)</f>
        <v>1</v>
      </c>
      <c r="G115" s="17" t="str">
        <f>IFERROR(__xludf.DUMMYFUNCTION("""COMPUTED_VALUE"""),"Sabun batang 1 Box ( 2 PCS )")</f>
        <v>Sabun batang 1 Box ( 2 PCS )</v>
      </c>
      <c r="H115" s="463" t="str">
        <f>IFERROR(__xludf.DUMMYFUNCTION("""COMPUTED_VALUE"""),"Sampai")</f>
        <v>Sampai</v>
      </c>
      <c r="I115" s="464" t="str">
        <f>IFERROR(__xludf.DUMMYFUNCTION("""COMPUTED_VALUE"""),"KIMME")</f>
        <v>KIMME</v>
      </c>
      <c r="J115" s="279" t="str">
        <f>IFERROR(__xludf.DUMMYFUNCTION("""COMPUTED_VALUE"""),"https://vt.tiktok.com/ZSmXNsKcm/")</f>
        <v>https://vt.tiktok.com/ZSmXNsKcm/</v>
      </c>
      <c r="K115" s="464" t="str">
        <f>IFERROR(__xludf.DUMMYFUNCTION("""COMPUTED_VALUE"""),"KIMME")</f>
        <v>KIMME</v>
      </c>
      <c r="L115" s="279" t="str">
        <f>IFERROR(__xludf.DUMMYFUNCTION("""COMPUTED_VALUE"""),"https://www.tiktok.com/@byliyah/video/7635987897417518343?_r=1&amp;u_code=dj0c9igeb6ei5f&amp;region=&amp;mid=7628029008957967111&amp;preview_pb=0&amp;sharer_language=&amp;_d=0&amp;ec_shared_reflux_dynamic_params=%7B%22placeholder_material_id%22%3A%227635987897417518343%22%2C%22place"&amp;"holder_origin_cover%22%3A%22https%253A%252F%252Fp16-common-sign.tiktokcdn.com%252Ftos-alisg-p-0037%252Fo41qwAYHH4D6ZEQT3eFfDCAyFetLp4QnjDDoI6~tplv-tiktokx-origin.jpeg%253Fdr%253D14572%2526refresh_token%253De19bbb6b%2526x-expires%253D1809507600%2526x-signa"&amp;"ture%253DnTUQ%25252BW62ezdzIbpZnaeXRpmO49k%25253D%2526t%253D4d5b0474%2526ps%253D13740610%2526shp%253Dd05b14bd%2526shcp%253D34ff8df6%2526idc%253Dmy%2526s%253DTIKTOK_AFFILIATE_VIRAL_VIDEO%22%2C%22placeholder_product_id%22%3A%221729427766722726591%22%2C%22pl"&amp;"aceholder_video_id%22%3A%227635987897417518343%22%7D&amp;ec_shared_reflux_scene=shop_tab_feed&amp;share_item_id=7635987897417518343&amp;source=h5_t")</f>
        <v>https://www.tiktok.com/@byliyah/video/7635987897417518343?_r=1&amp;u_code=dj0c9igeb6ei5f&amp;region=&amp;mid=7628029008957967111&amp;preview_pb=0&amp;sharer_language=&amp;_d=0&amp;ec_shared_reflux_dynamic_params=%7B%22placeholder_material_id%22%3A%227635987897417518343%22%2C%22placeholder_origin_cover%22%3A%22https%253A%252F%252Fp16-common-sign.tiktokcdn.com%252Ftos-alisg-p-0037%252Fo41qwAYHH4D6ZEQT3eFfDCAyFetLp4QnjDDoI6~tplv-tiktokx-origin.jpeg%253Fdr%253D14572%2526refresh_token%253De19bbb6b%2526x-expires%253D1809507600%2526x-signature%253DnTUQ%25252BW62ezdzIbpZnaeXRpmO49k%25253D%2526t%253D4d5b0474%2526ps%253D13740610%2526shp%253Dd05b14bd%2526shcp%253D34ff8df6%2526idc%253Dmy%2526s%253DTIKTOK_AFFILIATE_VIRAL_VIDEO%22%2C%22placeholder_product_id%22%3A%221729427766722726591%22%2C%22placeholder_video_id%22%3A%227635987897417518343%22%7D&amp;ec_shared_reflux_scene=shop_tab_feed&amp;share_item_id=7635987897417518343&amp;source=h5_t</v>
      </c>
      <c r="M115" s="464"/>
      <c r="N115" s="279" t="str">
        <f>IFERROR(__xludf.DUMMYFUNCTION("""COMPUTED_VALUE"""),"https://www.tiktok.com/@beauty.iidd/video/7633701589638712583?_r=1&amp;u_code=ebjf03139m95gf&amp;region=&amp;mid=7608559003840400145&amp;preview_pb=0&amp;sharer_language=&amp;_d=0&amp;ec_shared_reflux_dynamic_params=%7B%22placeholder_material_id%22%3A%227633701589638712583%22%2C%22p"&amp;"laceholder_origin_cover%22%3A%22https%253A%252F%252Fp16-common-sign.tiktokcdn.com%252Ftos-alisg-p-0037%252FosEcFZIgciAF2EFWn4R278fywsDTBBvIfAypTw~tplv-tiktokx-origin.jpeg%253Fdr%253D14572%2526refresh_token%253Dd0980959%2526x-expires%253D1809507600%2526x-s"&amp;"ignature%253DGfU1M%25252FdCBs5jaYRfZzW5XUpRPVI%25253D%2526t%253D4d5b0474%2526ps%253D13740610%2526shp%253Dd05b14bd%2526shcp%253D34ff8df6%2526idc%253Dmy%2526s%253DTIKTOK_AFFILIATE_VIRAL_VIDEO%22%2C%22placeholder_product_id%22%3A%221729427766722726591%22%2C%"&amp;"22placeholder_video_id%22%3A%227633701589638712583%22%7D&amp;ec_shared_reflux_scene=shop_tab_feed&amp;share_item_id=7633701589638712583&amp;source=h5_t")</f>
        <v>https://www.tiktok.com/@beauty.iidd/video/7633701589638712583?_r=1&amp;u_code=ebjf03139m95gf&amp;region=&amp;mid=7608559003840400145&amp;preview_pb=0&amp;sharer_language=&amp;_d=0&amp;ec_shared_reflux_dynamic_params=%7B%22placeholder_material_id%22%3A%227633701589638712583%22%2C%22placeholder_origin_cover%22%3A%22https%253A%252F%252Fp16-common-sign.tiktokcdn.com%252Ftos-alisg-p-0037%252FosEcFZIgciAF2EFWn4R278fywsDTBBvIfAypTw~tplv-tiktokx-origin.jpeg%253Fdr%253D14572%2526refresh_token%253Dd0980959%2526x-expires%253D1809507600%2526x-signature%253DGfU1M%25252FdCBs5jaYRfZzW5XUpRPVI%25253D%2526t%253D4d5b0474%2526ps%253D13740610%2526shp%253Dd05b14bd%2526shcp%253D34ff8df6%2526idc%253Dmy%2526s%253DTIKTOK_AFFILIATE_VIRAL_VIDEO%22%2C%22placeholder_product_id%22%3A%221729427766722726591%22%2C%22placeholder_video_id%22%3A%227633701589638712583%22%7D&amp;ec_shared_reflux_scene=shop_tab_feed&amp;share_item_id=7633701589638712583&amp;source=h5_t</v>
      </c>
      <c r="O115" s="464"/>
      <c r="P115" s="279" t="str">
        <f>IFERROR(__xludf.DUMMYFUNCTION("""COMPUTED_VALUE"""),"https://www.tiktok.com/@shiintamiiftaa/video/7635816713296170258?_r=1&amp;u_code=d6i1iij6bihcli&amp;region=&amp;mid=7170634321794059034&amp;preview_pb=0&amp;sharer_language=&amp;_d=0&amp;ec_shared_reflux_dynamic_params=%7B%22placeholder_material_id%22%3A%227635816713296170258%22%2C%"&amp;"22placeholder_origin_cover%22%3A%22https%253A%252F%252Fp16-common-sign.tiktokcdn.com%252Ftos-alisg-p-0037%252Fo0ek37no7CDL74KQEQWfejAVx62AuTDKGIj3ID~tplv-tiktokx-origin.jpeg%253Fdr%253D14572%2526refresh_token%253D317d8c5d%2526x-expires%253D1809507600%2526"&amp;"x-signature%253D5NFXAKgeoh4UmmGHKjEMTtWcHU4%25253D%2526t%253D4d5b0474%2526ps%253D13740610%2526shp%253Dd05b14bd%2526shcp%253D34ff8df6%2526idc%253Dmy%2526s%253DTIKTOK_AFFILIATE_VIRAL_VIDEO%22%2C%22placeholder_product_id%22%3A%221729427766722726591%22%2C%22p"&amp;"laceholder_video_id%22%3A%227635816713296170258%22%7D&amp;ec_shared_reflux_scene=shop_tab_feed&amp;share_item_id=7635816713296170258&amp;source=h5_t")</f>
        <v>https://www.tiktok.com/@shiintamiiftaa/video/7635816713296170258?_r=1&amp;u_code=d6i1iij6bihcli&amp;region=&amp;mid=7170634321794059034&amp;preview_pb=0&amp;sharer_language=&amp;_d=0&amp;ec_shared_reflux_dynamic_params=%7B%22placeholder_material_id%22%3A%227635816713296170258%22%2C%22placeholder_origin_cover%22%3A%22https%253A%252F%252Fp16-common-sign.tiktokcdn.com%252Ftos-alisg-p-0037%252Fo0ek37no7CDL74KQEQWfejAVx62AuTDKGIj3ID~tplv-tiktokx-origin.jpeg%253Fdr%253D14572%2526refresh_token%253D317d8c5d%2526x-expires%253D1809507600%2526x-signature%253D5NFXAKgeoh4UmmGHKjEMTtWcHU4%25253D%2526t%253D4d5b0474%2526ps%253D13740610%2526shp%253Dd05b14bd%2526shcp%253D34ff8df6%2526idc%253Dmy%2526s%253DTIKTOK_AFFILIATE_VIRAL_VIDEO%22%2C%22placeholder_product_id%22%3A%221729427766722726591%22%2C%22placeholder_video_id%22%3A%227635816713296170258%22%7D&amp;ec_shared_reflux_scene=shop_tab_feed&amp;share_item_id=7635816713296170258&amp;source=h5_t</v>
      </c>
    </row>
    <row r="116">
      <c r="A116" s="255" t="str">
        <f>IFERROR(__xludf.DUMMYFUNCTION("""COMPUTED_VALUE"""),"MICRO")</f>
        <v>MICRO</v>
      </c>
      <c r="B116" s="361" t="str">
        <f>IFERROR(__xludf.DUMMYFUNCTION("""COMPUTED_VALUE"""),"salwanarulita")</f>
        <v>salwanarulita</v>
      </c>
      <c r="C116" s="257" t="str">
        <f>IFERROR(__xludf.DUMMYFUNCTION("""COMPUTED_VALUE"""),"https://www.tiktok.com/@salwanarulita")</f>
        <v>https://www.tiktok.com/@salwanarulita</v>
      </c>
      <c r="D116" s="270">
        <f>IFERROR(__xludf.DUMMYFUNCTION("""COMPUTED_VALUE"""),8.1546953308E10)</f>
        <v>81546953308</v>
      </c>
      <c r="E116" s="457">
        <f>IFERROR(__xludf.DUMMYFUNCTION("""COMPUTED_VALUE"""),50000.0)</f>
        <v>50000</v>
      </c>
      <c r="F116" s="270">
        <f>IFERROR(__xludf.DUMMYFUNCTION("""COMPUTED_VALUE"""),2.0)</f>
        <v>2</v>
      </c>
      <c r="G116" s="17" t="str">
        <f>IFERROR(__xludf.DUMMYFUNCTION("""COMPUTED_VALUE"""),"Sabun batang 1 Box ( 2 PCS )")</f>
        <v>Sabun batang 1 Box ( 2 PCS )</v>
      </c>
      <c r="H116" s="463" t="str">
        <f>IFERROR(__xludf.DUMMYFUNCTION("""COMPUTED_VALUE"""),"Sampai")</f>
        <v>Sampai</v>
      </c>
      <c r="I116" s="464" t="str">
        <f>IFERROR(__xludf.DUMMYFUNCTION("""COMPUTED_VALUE"""),"KIMME")</f>
        <v>KIMME</v>
      </c>
      <c r="J116" s="279" t="str">
        <f>IFERROR(__xludf.DUMMYFUNCTION("""COMPUTED_VALUE"""),"https://vt.tiktok.com/ZSmmqcgkv/")</f>
        <v>https://vt.tiktok.com/ZSmmqcgkv/</v>
      </c>
      <c r="K116" s="464" t="str">
        <f>IFERROR(__xludf.DUMMYFUNCTION("""COMPUTED_VALUE"""),"KIMME")</f>
        <v>KIMME</v>
      </c>
      <c r="L116" s="279" t="str">
        <f>IFERROR(__xludf.DUMMYFUNCTION("""COMPUTED_VALUE"""),"https://vt.tiktok.com/ZSmmqc3Sv/")</f>
        <v>https://vt.tiktok.com/ZSmmqc3Sv/</v>
      </c>
      <c r="M116" s="464"/>
      <c r="N116" s="279" t="str">
        <f>IFERROR(__xludf.DUMMYFUNCTION("""COMPUTED_VALUE"""),"https://www.tiktok.com/@racunskincare07_/video/7636313225373519125?_r=1&amp;u_code=e9d5fc75hjj49e&amp;region=&amp;mid=7594443310195329041&amp;preview_pb=0&amp;sharer_language=&amp;_d=0&amp;ec_shared_reflux_dynamic_params=%7B%22placeholder_material_id%22%3A%227636313225373519125%22%2"&amp;"C%22placeholder_origin_cover%22%3A%22https%253A%252F%252Fp16-common-sign.tiktokcdn.com%252Ftos-alisg-p-0037%252Foo9xEDAFMQiifjEAzRIevJQaFQomDfQC4n8TU5~tplv-tiktokx-origin.jpeg%253Fdr%253D14572%2526refresh_token%253Dfb0beacc%2526x-expires%253D1809504000%25"&amp;"26x-signature%253D%25252FwxPxXMJ3Mibp7HApGGamXpeCbs%25253D%2526t%253D4d5b0474%2526ps%253D13740610%2526shp%253Dd05b14bd%2526shcp%253D34ff8df6%2526idc%253Dmy%2526s%253DTIKTOK_AFFILIATE_VIRAL_VIDEO%22%2C%22placeholder_product_id%22%3A%221729427766722726591%2"&amp;"2%2C%22placeholder_video_id%22%3A%227636313225373519125%22%7D&amp;ec_shared_reflux_scene=shop_tab_feed&amp;share_item_id=7636313225373519125&amp;source=h5_t")</f>
        <v>https://www.tiktok.com/@racunskincare07_/video/7636313225373519125?_r=1&amp;u_code=e9d5fc75hjj49e&amp;region=&amp;mid=7594443310195329041&amp;preview_pb=0&amp;sharer_language=&amp;_d=0&amp;ec_shared_reflux_dynamic_params=%7B%22placeholder_material_id%22%3A%227636313225373519125%22%2C%22placeholder_origin_cover%22%3A%22https%253A%252F%252Fp16-common-sign.tiktokcdn.com%252Ftos-alisg-p-0037%252Foo9xEDAFMQiifjEAzRIevJQaFQomDfQC4n8TU5~tplv-tiktokx-origin.jpeg%253Fdr%253D14572%2526refresh_token%253Dfb0beacc%2526x-expires%253D1809504000%2526x-signature%253D%25252FwxPxXMJ3Mibp7HApGGamXpeCbs%25253D%2526t%253D4d5b0474%2526ps%253D13740610%2526shp%253Dd05b14bd%2526shcp%253D34ff8df6%2526idc%253Dmy%2526s%253DTIKTOK_AFFILIATE_VIRAL_VIDEO%22%2C%22placeholder_product_id%22%3A%221729427766722726591%22%2C%22placeholder_video_id%22%3A%227636313225373519125%22%7D&amp;ec_shared_reflux_scene=shop_tab_feed&amp;share_item_id=7636313225373519125&amp;source=h5_t</v>
      </c>
      <c r="O116" s="464"/>
      <c r="P116" s="279" t="str">
        <f>IFERROR(__xludf.DUMMYFUNCTION("""COMPUTED_VALUE"""),"https://www.tiktok.com/@arul_baster/video/7635420868281175316?_r=1&amp;u_code=em5ldfdci12ji3&amp;region=&amp;mid=7200439513942853634&amp;preview_pb=0&amp;sharer_language=&amp;_d=0&amp;ec_shared_reflux_dynamic_params=%7B%22placeholder_material_id%22%3A%227635420868281175316%22%2C%22p"&amp;"laceholder_origin_cover%22%3A%22https%253A%252F%252Fp16-sign-sg.tiktokcdn.com%252Ftos-alisg-p-0037%252FoEB2su3NIAKf0IiltPIdC67Am2liZwlKAaA1i0~tplv-tiktokx-origin.jpeg%253Fdr%253D14572%2526refresh_token%253D2b28fc6a%2526x-expires%253D1809507600%2526x-signa"&amp;"ture%253D4tuhg1SoheYht6dqgWC7Ssp4YEs%25253D%2526t%253D4d5b0474%2526ps%253D13740610%2526shp%253Dd05b14bd%2526shcp%253D34ff8df6%2526idc%253Dmy%2526s%253DTIKTOK_AFFILIATE_VIRAL_VIDEO%22%2C%22placeholder_product_id%22%3A%221729427766722726591%22%2C%22placehol"&amp;"der_video_id%22%3A%227635420868281175316%22%7D&amp;ec_shared_reflux_scene=shop_tab_feed&amp;share_item_id=7635420868281175316&amp;source=h5_t")</f>
        <v>https://www.tiktok.com/@arul_baster/video/7635420868281175316?_r=1&amp;u_code=em5ldfdci12ji3&amp;region=&amp;mid=7200439513942853634&amp;preview_pb=0&amp;sharer_language=&amp;_d=0&amp;ec_shared_reflux_dynamic_params=%7B%22placeholder_material_id%22%3A%227635420868281175316%22%2C%22placeholder_origin_cover%22%3A%22https%253A%252F%252Fp16-sign-sg.tiktokcdn.com%252Ftos-alisg-p-0037%252FoEB2su3NIAKf0IiltPIdC67Am2liZwlKAaA1i0~tplv-tiktokx-origin.jpeg%253Fdr%253D14572%2526refresh_token%253D2b28fc6a%2526x-expires%253D1809507600%2526x-signature%253D4tuhg1SoheYht6dqgWC7Ssp4YEs%25253D%2526t%253D4d5b0474%2526ps%253D13740610%2526shp%253Dd05b14bd%2526shcp%253D34ff8df6%2526idc%253Dmy%2526s%253DTIKTOK_AFFILIATE_VIRAL_VIDEO%22%2C%22placeholder_product_id%22%3A%221729427766722726591%22%2C%22placeholder_video_id%22%3A%227635420868281175316%22%7D&amp;ec_shared_reflux_scene=shop_tab_feed&amp;share_item_id=7635420868281175316&amp;source=h5_t</v>
      </c>
    </row>
    <row r="117">
      <c r="A117" s="255" t="str">
        <f>IFERROR(__xludf.DUMMYFUNCTION("""COMPUTED_VALUE"""),"MICRO")</f>
        <v>MICRO</v>
      </c>
      <c r="B117" s="361" t="str">
        <f>IFERROR(__xludf.DUMMYFUNCTION("""COMPUTED_VALUE"""),"meriiskaaa")</f>
        <v>meriiskaaa</v>
      </c>
      <c r="C117" s="257" t="str">
        <f>IFERROR(__xludf.DUMMYFUNCTION("""COMPUTED_VALUE"""),"https://www.tiktok.com/@meriiskaaa")</f>
        <v>https://www.tiktok.com/@meriiskaaa</v>
      </c>
      <c r="D117" s="270">
        <f>IFERROR(__xludf.DUMMYFUNCTION("""COMPUTED_VALUE"""),8.1455097835E10)</f>
        <v>81455097835</v>
      </c>
      <c r="E117" s="457">
        <f>IFERROR(__xludf.DUMMYFUNCTION("""COMPUTED_VALUE"""),0.0)</f>
        <v>0</v>
      </c>
      <c r="F117" s="270">
        <f>IFERROR(__xludf.DUMMYFUNCTION("""COMPUTED_VALUE"""),1.0)</f>
        <v>1</v>
      </c>
      <c r="G117" s="17" t="str">
        <f>IFERROR(__xludf.DUMMYFUNCTION("""COMPUTED_VALUE"""),"Sabun batang 1 Box ( 2 PCS )")</f>
        <v>Sabun batang 1 Box ( 2 PCS )</v>
      </c>
      <c r="H117" s="463" t="str">
        <f>IFERROR(__xludf.DUMMYFUNCTION("""COMPUTED_VALUE"""),"Sampai")</f>
        <v>Sampai</v>
      </c>
      <c r="I117" s="464" t="str">
        <f>IFERROR(__xludf.DUMMYFUNCTION("""COMPUTED_VALUE"""),"KIMME")</f>
        <v>KIMME</v>
      </c>
      <c r="J117" s="279" t="str">
        <f>IFERROR(__xludf.DUMMYFUNCTION("""COMPUTED_VALUE"""),"https://vt.tiktok.com/ZSmqVA4Dp/")</f>
        <v>https://vt.tiktok.com/ZSmqVA4Dp/</v>
      </c>
      <c r="K117" s="464" t="str">
        <f>IFERROR(__xludf.DUMMYFUNCTION("""COMPUTED_VALUE"""),"KIMME")</f>
        <v>KIMME</v>
      </c>
      <c r="L117" s="279" t="str">
        <f>IFERROR(__xludf.DUMMYFUNCTION("""COMPUTED_VALUE"""),"https://www.tiktok.com/@arul_baster/video/7634893424923118868?_r=1&amp;u_code=em5ldfdci12ji3&amp;region=&amp;mid=6768727472981673985&amp;preview_pb=0&amp;sharer_language=&amp;_d=0&amp;ec_shared_reflux_dynamic_params=%7B%22placeholder_material_id%22%3A%227634893424923118868%22%2C%22p"&amp;"laceholder_origin_cover%22%3A%22https%253A%252F%252Fp16-common-sign.tiktokcdn.com%252Ftos-alisg-p-0037%252FokIs000C4AS1YwIYxrIA3iiAWlBv3fAiVP8Wyu~tplv-tiktokx-origin.jpeg%253Fdr%253D14572%2526refresh_token%253Daa494d09%2526x-expires%253D1809507600%2526x-s"&amp;"ignature%253D25P1hc6%25252FNKsQVqdYmeHOmTMg%25252B5Q%25253D%2526t%253D4d5b0474%2526ps%253D13740610%2526shp%253Dd05b14bd%2526shcp%253D34ff8df6%2526idc%253Dmy%2526s%253DTIKTOK_AFFILIATE_VIRAL_VIDEO%22%2C%22placeholder_product_id%22%3A%221729427766722726591%"&amp;"22%2C%22placeholder_video_id%22%3A%227634893424923118868%22%7D&amp;ec_shared_reflux_scene=shop_tab_feed&amp;share_item_id=7634893424923118868&amp;source=h5_t")</f>
        <v>https://www.tiktok.com/@arul_baster/video/7634893424923118868?_r=1&amp;u_code=em5ldfdci12ji3&amp;region=&amp;mid=6768727472981673985&amp;preview_pb=0&amp;sharer_language=&amp;_d=0&amp;ec_shared_reflux_dynamic_params=%7B%22placeholder_material_id%22%3A%227634893424923118868%22%2C%22placeholder_origin_cover%22%3A%22https%253A%252F%252Fp16-common-sign.tiktokcdn.com%252Ftos-alisg-p-0037%252FokIs000C4AS1YwIYxrIA3iiAWlBv3fAiVP8Wyu~tplv-tiktokx-origin.jpeg%253Fdr%253D14572%2526refresh_token%253Daa494d09%2526x-expires%253D1809507600%2526x-signature%253D25P1hc6%25252FNKsQVqdYmeHOmTMg%25252B5Q%25253D%2526t%253D4d5b0474%2526ps%253D13740610%2526shp%253Dd05b14bd%2526shcp%253D34ff8df6%2526idc%253Dmy%2526s%253DTIKTOK_AFFILIATE_VIRAL_VIDEO%22%2C%22placeholder_product_id%22%3A%221729427766722726591%22%2C%22placeholder_video_id%22%3A%227634893424923118868%22%7D&amp;ec_shared_reflux_scene=shop_tab_feed&amp;share_item_id=7634893424923118868&amp;source=h5_t</v>
      </c>
      <c r="M117" s="464"/>
      <c r="N117" s="279" t="str">
        <f>IFERROR(__xludf.DUMMYFUNCTION("""COMPUTED_VALUE"""),"https://www.tiktok.com/@arul_baster/video/7634564139033349397?_d=0&amp;_r=1&amp;ec_shared_reflux_dynamic_params=%7B%22placeholder_material_id%22%3A%227634564139033349397%22%2C%22placeholder_origin_cover%22%3A%22https%253A%252F%252Fp16-common-sign.tiktokcdn.com%25"&amp;"2Ftos-alisg-p-0037%252FowRBWiBpAcPfz8es6plbAiUz1HIEIhH7Bba4ig~tplv-tiktokx-origin.jpeg%253Fdr%253D14572%2526refresh_token%253D4eb99483%2526x-expires%253D1809507600%2526x-signature%253Dl9K8Kf1Evnc5qhmLfals2cwO2%25252FI%25253D%2526t%253D4d5b0474%2526ps%253D"&amp;"13740610%2526shp%253Dd05b14bd%2526shcp%253D34ff8df6%2526idc%253Dmy%2526s%253DTIKTOK_AFFILIATE_VIRAL_VIDEO%22%2C%22placeholder_product_id%22%3A%221729427766722726591%22%2C%22placeholder_video_id%22%3A%227634564139033349397%22%7D&amp;ec_shared_reflux_scene=shop"&amp;"_tab_feed&amp;mid=6571743901395192589&amp;preview_pb=0&amp;region=&amp;share_item_id=7634564139033349397&amp;sharer_language=&amp;source=h5_t&amp;u_code=em5ldfdci12ji3")</f>
        <v>https://www.tiktok.com/@arul_baster/video/7634564139033349397?_d=0&amp;_r=1&amp;ec_shared_reflux_dynamic_params=%7B%22placeholder_material_id%22%3A%227634564139033349397%22%2C%22placeholder_origin_cover%22%3A%22https%253A%252F%252Fp16-common-sign.tiktokcdn.com%252Ftos-alisg-p-0037%252FowRBWiBpAcPfz8es6plbAiUz1HIEIhH7Bba4ig~tplv-tiktokx-origin.jpeg%253Fdr%253D14572%2526refresh_token%253D4eb99483%2526x-expires%253D1809507600%2526x-signature%253Dl9K8Kf1Evnc5qhmLfals2cwO2%25252FI%25253D%2526t%253D4d5b0474%2526ps%253D13740610%2526shp%253Dd05b14bd%2526shcp%253D34ff8df6%2526idc%253Dmy%2526s%253DTIKTOK_AFFILIATE_VIRAL_VIDEO%22%2C%22placeholder_product_id%22%3A%221729427766722726591%22%2C%22placeholder_video_id%22%3A%227634564139033349397%22%7D&amp;ec_shared_reflux_scene=shop_tab_feed&amp;mid=6571743901395192589&amp;preview_pb=0&amp;region=&amp;share_item_id=7634564139033349397&amp;sharer_language=&amp;source=h5_t&amp;u_code=em5ldfdci12ji3</v>
      </c>
      <c r="O117" s="464"/>
      <c r="P117" s="279" t="str">
        <f>IFERROR(__xludf.DUMMYFUNCTION("""COMPUTED_VALUE"""),"https://www.tiktok.com/@sinbel28/video/7635534912774327559?_r=1&amp;u_code=d054de3ejd5k82&amp;region=&amp;mid=7605074065766696961&amp;preview_pb=0&amp;sharer_language=&amp;_d=0&amp;ec_shared_reflux_dynamic_params=%7B%22placeholder_material_id%22%3A%227635534912774327559%22%2C%22plac"&amp;"eholder_origin_cover%22%3A%22https%253A%252F%252Fp16-sign-sg.tiktokcdn.com%252Ftos-alisg-p-0037%252FocAB2LJvu75pG3TWjeJCbRIeA4IVDfYQbT1AQQ~tplv-tiktokx-origin.jpeg%253Fdr%253D14572%2526refresh_token%253D4d052432%2526x-expires%253D1809504000%2526x-signatur"&amp;"e%253DyCI7BI4znlygZJdzyb8h31LzF2U%25253D%2526t%253D4d5b0474%2526ps%253D13740610%2526shp%253Dd05b14bd%2526shcp%253D34ff8df6%2526idc%253Dmy%2526s%253DTIKTOK_AFFILIATE_VIRAL_VIDEO%22%2C%22placeholder_product_id%22%3A%221729427766722726591%22%2C%22placeholder"&amp;"_video_id%22%3A%227635534912774327559%22%7D&amp;ec_shared_reflux_scene=shop_tab_feed&amp;share_item_id=7635534912774327559&amp;source=h5_t")</f>
        <v>https://www.tiktok.com/@sinbel28/video/7635534912774327559?_r=1&amp;u_code=d054de3ejd5k82&amp;region=&amp;mid=7605074065766696961&amp;preview_pb=0&amp;sharer_language=&amp;_d=0&amp;ec_shared_reflux_dynamic_params=%7B%22placeholder_material_id%22%3A%227635534912774327559%22%2C%22placeholder_origin_cover%22%3A%22https%253A%252F%252Fp16-sign-sg.tiktokcdn.com%252Ftos-alisg-p-0037%252FocAB2LJvu75pG3TWjeJCbRIeA4IVDfYQbT1AQQ~tplv-tiktokx-origin.jpeg%253Fdr%253D14572%2526refresh_token%253D4d052432%2526x-expires%253D1809504000%2526x-signature%253DyCI7BI4znlygZJdzyb8h31LzF2U%25253D%2526t%253D4d5b0474%2526ps%253D13740610%2526shp%253Dd05b14bd%2526shcp%253D34ff8df6%2526idc%253Dmy%2526s%253DTIKTOK_AFFILIATE_VIRAL_VIDEO%22%2C%22placeholder_product_id%22%3A%221729427766722726591%22%2C%22placeholder_video_id%22%3A%227635534912774327559%22%7D&amp;ec_shared_reflux_scene=shop_tab_feed&amp;share_item_id=7635534912774327559&amp;source=h5_t</v>
      </c>
    </row>
    <row r="118">
      <c r="A118" s="255" t="str">
        <f>IFERROR(__xludf.DUMMYFUNCTION("""COMPUTED_VALUE"""),"MICRO")</f>
        <v>MICRO</v>
      </c>
      <c r="B118" s="361" t="str">
        <f>IFERROR(__xludf.DUMMYFUNCTION("""COMPUTED_VALUE"""),"wattpadstoryy_3")</f>
        <v>wattpadstoryy_3</v>
      </c>
      <c r="C118" s="257" t="str">
        <f>IFERROR(__xludf.DUMMYFUNCTION("""COMPUTED_VALUE"""),"https://www.tiktok.com/@wattpadstoryy_3")</f>
        <v>https://www.tiktok.com/@wattpadstoryy_3</v>
      </c>
      <c r="D118" s="270">
        <f>IFERROR(__xludf.DUMMYFUNCTION("""COMPUTED_VALUE"""),8.3878307868E10)</f>
        <v>83878307868</v>
      </c>
      <c r="E118" s="457">
        <f>IFERROR(__xludf.DUMMYFUNCTION("""COMPUTED_VALUE"""),0.0)</f>
        <v>0</v>
      </c>
      <c r="F118" s="270">
        <f>IFERROR(__xludf.DUMMYFUNCTION("""COMPUTED_VALUE"""),3.0)</f>
        <v>3</v>
      </c>
      <c r="G118" s="17" t="str">
        <f>IFERROR(__xludf.DUMMYFUNCTION("""COMPUTED_VALUE"""),"Sabun batang 1 Box ( 2 PCS )")</f>
        <v>Sabun batang 1 Box ( 2 PCS )</v>
      </c>
      <c r="H118" s="463" t="str">
        <f>IFERROR(__xludf.DUMMYFUNCTION("""COMPUTED_VALUE"""),"Sampai")</f>
        <v>Sampai</v>
      </c>
      <c r="I118" s="464" t="str">
        <f>IFERROR(__xludf.DUMMYFUNCTION("""COMPUTED_VALUE"""),"KIMME")</f>
        <v>KIMME</v>
      </c>
      <c r="J118" s="279" t="str">
        <f>IFERROR(__xludf.DUMMYFUNCTION("""COMPUTED_VALUE"""),"https://vt.tiktok.com/ZSuYeGSpP/")</f>
        <v>https://vt.tiktok.com/ZSuYeGSpP/</v>
      </c>
      <c r="K118" s="464" t="str">
        <f>IFERROR(__xludf.DUMMYFUNCTION("""COMPUTED_VALUE"""),"KIMME")</f>
        <v>KIMME</v>
      </c>
      <c r="L118" s="279" t="str">
        <f>IFERROR(__xludf.DUMMYFUNCTION("""COMPUTED_VALUE"""),"https://vt.tiktok.com/ZSuYeGSpP/")</f>
        <v>https://vt.tiktok.com/ZSuYeGSpP/</v>
      </c>
      <c r="M118" s="464" t="str">
        <f>IFERROR(__xludf.DUMMYFUNCTION("""COMPUTED_VALUE"""),"KIMME")</f>
        <v>KIMME</v>
      </c>
      <c r="N118" s="279" t="str">
        <f>IFERROR(__xludf.DUMMYFUNCTION("""COMPUTED_VALUE"""),"https://vt.tiktok.com/ZSuAosWCe/")</f>
        <v>https://vt.tiktok.com/ZSuAosWCe/</v>
      </c>
      <c r="O118" s="464"/>
      <c r="P118" s="279" t="str">
        <f>IFERROR(__xludf.DUMMYFUNCTION("""COMPUTED_VALUE"""),"https://www.tiktok.com/@iniicaaaaa_19/video/7634116465825697032?_r=1&amp;u_code=dd05kb3jhhkck9&amp;region=&amp;mid=7614222591133944597&amp;preview_pb=0&amp;sharer_language=&amp;_d=0&amp;ec_shared_reflux_dynamic_params=%7B%22placeholder_material_id%22%3A%227634116465825697032%22%2C%2"&amp;"2placeholder_origin_cover%22%3A%22https%253A%252F%252Fp16-common-sign.tiktokcdn.com%252Ftos-alisg-p-0037%252FoA8gEP1pA8REd1UpRHqBBCSBHEQWQAFxtfa8fD~tplv-tiktokx-origin.jpeg%253Fdr%253D14572%2526refresh_token%253Df4d03728%2526x-expires%253D1809507600%2526x"&amp;"-signature%253DKynDKj6KTo921AocsN2lfuCSB4E%25253D%2526t%253D4d5b0474%2526ps%253D13740610%2526shp%253Dd05b14bd%2526shcp%253D34ff8df6%2526idc%253Dmy%2526s%253DTIKTOK_AFFILIATE_VIRAL_VIDEO%22%2C%22placeholder_product_id%22%3A%221729427766722726591%22%2C%22pl"&amp;"aceholder_video_id%22%3A%227634116465825697032%22%7D&amp;ec_shared_reflux_scene=shop_tab_feed&amp;share_item_id=7634116465825697032&amp;source=h5_t")</f>
        <v>https://www.tiktok.com/@iniicaaaaa_19/video/7634116465825697032?_r=1&amp;u_code=dd05kb3jhhkck9&amp;region=&amp;mid=7614222591133944597&amp;preview_pb=0&amp;sharer_language=&amp;_d=0&amp;ec_shared_reflux_dynamic_params=%7B%22placeholder_material_id%22%3A%227634116465825697032%22%2C%22placeholder_origin_cover%22%3A%22https%253A%252F%252Fp16-common-sign.tiktokcdn.com%252Ftos-alisg-p-0037%252FoA8gEP1pA8REd1UpRHqBBCSBHEQWQAFxtfa8fD~tplv-tiktokx-origin.jpeg%253Fdr%253D14572%2526refresh_token%253Df4d03728%2526x-expires%253D1809507600%2526x-signature%253DKynDKj6KTo921AocsN2lfuCSB4E%25253D%2526t%253D4d5b0474%2526ps%253D13740610%2526shp%253Dd05b14bd%2526shcp%253D34ff8df6%2526idc%253Dmy%2526s%253DTIKTOK_AFFILIATE_VIRAL_VIDEO%22%2C%22placeholder_product_id%22%3A%221729427766722726591%22%2C%22placeholder_video_id%22%3A%227634116465825697032%22%7D&amp;ec_shared_reflux_scene=shop_tab_feed&amp;share_item_id=7634116465825697032&amp;source=h5_t</v>
      </c>
    </row>
    <row r="119">
      <c r="A119" s="255" t="str">
        <f>IFERROR(__xludf.DUMMYFUNCTION("""COMPUTED_VALUE"""),"MICRO")</f>
        <v>MICRO</v>
      </c>
      <c r="B119" s="361" t="str">
        <f>IFERROR(__xludf.DUMMYFUNCTION("""COMPUTED_VALUE"""),"beautywith_kadita")</f>
        <v>beautywith_kadita</v>
      </c>
      <c r="C119" s="257" t="str">
        <f>IFERROR(__xludf.DUMMYFUNCTION("""COMPUTED_VALUE"""),"https://www.tiktok.com/@beautywith_kadita")</f>
        <v>https://www.tiktok.com/@beautywith_kadita</v>
      </c>
      <c r="D119" s="270">
        <f>IFERROR(__xludf.DUMMYFUNCTION("""COMPUTED_VALUE"""),8.8290195191E10)</f>
        <v>88290195191</v>
      </c>
      <c r="E119" s="457">
        <f>IFERROR(__xludf.DUMMYFUNCTION("""COMPUTED_VALUE"""),100000.0)</f>
        <v>100000</v>
      </c>
      <c r="F119" s="270">
        <f>IFERROR(__xludf.DUMMYFUNCTION("""COMPUTED_VALUE"""),4.0)</f>
        <v>4</v>
      </c>
      <c r="G119" s="17" t="str">
        <f>IFERROR(__xludf.DUMMYFUNCTION("""COMPUTED_VALUE"""),"Sabun batang 1 Box ( 2 PCS )")</f>
        <v>Sabun batang 1 Box ( 2 PCS )</v>
      </c>
      <c r="H119" s="463" t="str">
        <f>IFERROR(__xludf.DUMMYFUNCTION("""COMPUTED_VALUE"""),"Sampai")</f>
        <v>Sampai</v>
      </c>
      <c r="I119" s="464" t="str">
        <f>IFERROR(__xludf.DUMMYFUNCTION("""COMPUTED_VALUE"""),"KIMME")</f>
        <v>KIMME</v>
      </c>
      <c r="J119" s="279" t="str">
        <f>IFERROR(__xludf.DUMMYFUNCTION("""COMPUTED_VALUE"""),"https://vt.tiktok.com/ZSmpuGdS6/")</f>
        <v>https://vt.tiktok.com/ZSmpuGdS6/</v>
      </c>
      <c r="K119" s="464" t="str">
        <f>IFERROR(__xludf.DUMMYFUNCTION("""COMPUTED_VALUE"""),"KIMME")</f>
        <v>KIMME</v>
      </c>
      <c r="L119" s="279" t="str">
        <f>IFERROR(__xludf.DUMMYFUNCTION("""COMPUTED_VALUE"""),"https://vt.tiktok.com/ZSmWgM5qo/")</f>
        <v>https://vt.tiktok.com/ZSmWgM5qo/</v>
      </c>
      <c r="M119" s="464" t="str">
        <f>IFERROR(__xludf.DUMMYFUNCTION("""COMPUTED_VALUE"""),"KIMME")</f>
        <v>KIMME</v>
      </c>
      <c r="N119" s="279" t="str">
        <f>IFERROR(__xludf.DUMMYFUNCTION("""COMPUTED_VALUE"""),"https://vt.tiktok.com/ZSmWb75hb/")</f>
        <v>https://vt.tiktok.com/ZSmWb75hb/</v>
      </c>
      <c r="O119" s="464" t="str">
        <f>IFERROR(__xludf.DUMMYFUNCTION("""COMPUTED_VALUE"""),"KIMME")</f>
        <v>KIMME</v>
      </c>
      <c r="P119" s="279" t="str">
        <f>IFERROR(__xludf.DUMMYFUNCTION("""COMPUTED_VALUE"""),"https://vt.tiktok.com/ZSmcFLaVL/")</f>
        <v>https://vt.tiktok.com/ZSmcFLaVL/</v>
      </c>
    </row>
    <row r="120">
      <c r="A120" s="255" t="str">
        <f>IFERROR(__xludf.DUMMYFUNCTION("""COMPUTED_VALUE"""),"MICRO")</f>
        <v>MICRO</v>
      </c>
      <c r="B120" s="361" t="str">
        <f>IFERROR(__xludf.DUMMYFUNCTION("""COMPUTED_VALUE"""),"nris9")</f>
        <v>nris9</v>
      </c>
      <c r="C120" s="257" t="str">
        <f>IFERROR(__xludf.DUMMYFUNCTION("""COMPUTED_VALUE"""),"https://www.tiktok.com/@nris9")</f>
        <v>https://www.tiktok.com/@nris9</v>
      </c>
      <c r="D120" s="270">
        <f>IFERROR(__xludf.DUMMYFUNCTION("""COMPUTED_VALUE"""),8.7721316159E10)</f>
        <v>87721316159</v>
      </c>
      <c r="E120" s="457">
        <f>IFERROR(__xludf.DUMMYFUNCTION("""COMPUTED_VALUE"""),100000.0)</f>
        <v>100000</v>
      </c>
      <c r="F120" s="270">
        <f>IFERROR(__xludf.DUMMYFUNCTION("""COMPUTED_VALUE"""),1.0)</f>
        <v>1</v>
      </c>
      <c r="G120" s="17" t="str">
        <f>IFERROR(__xludf.DUMMYFUNCTION("""COMPUTED_VALUE"""),"Sabun batang 1 Box ( 2 PCS )")</f>
        <v>Sabun batang 1 Box ( 2 PCS )</v>
      </c>
      <c r="H120" s="463" t="str">
        <f>IFERROR(__xludf.DUMMYFUNCTION("""COMPUTED_VALUE"""),"Sampai")</f>
        <v>Sampai</v>
      </c>
      <c r="I120" s="464" t="str">
        <f>IFERROR(__xludf.DUMMYFUNCTION("""COMPUTED_VALUE"""),"KIMME")</f>
        <v>KIMME</v>
      </c>
      <c r="J120" s="279" t="str">
        <f>IFERROR(__xludf.DUMMYFUNCTION("""COMPUTED_VALUE"""),"https://vt.tiktok.com/ZSmwW2fkD/")</f>
        <v>https://vt.tiktok.com/ZSmwW2fkD/</v>
      </c>
      <c r="K120" s="464" t="str">
        <f>IFERROR(__xludf.DUMMYFUNCTION("""COMPUTED_VALUE"""),"KIMME")</f>
        <v>KIMME</v>
      </c>
      <c r="L120" s="279" t="str">
        <f>IFERROR(__xludf.DUMMYFUNCTION("""COMPUTED_VALUE"""),"https://www.tiktok.com/@beauty.iidd/video/7635070531208826120?_r=1&amp;u_code=ebjf03139m95gf&amp;region=&amp;mid=7628387283846826773&amp;preview_pb=0&amp;sharer_language=&amp;_d=0&amp;ec_shared_reflux_dynamic_params=%7B%22placeholder_material_id%22%3A%227635070531208826120%22%2C%22p"&amp;"laceholder_origin_cover%22%3A%22https%253A%252F%252Fp16-common-sign.tiktokcdn.com%252Ftos-alisg-p-0037%252FoEVefAD9UcHBHFRupTWugBcEgQ1qBRlQiJyTEM~tplv-tiktokx-origin.jpeg%253Fdr%253D14572%2526refresh_token%253D237ec95b%2526x-expires%253D1809507600%2526x-s"&amp;"ignature%253DuNf%25252B1LNpHKUTg1KaL5Qo5L%25252F2nuU%25253D%2526t%253D4d5b0474%2526ps%253D13740610%2526shp%253Dd05b14bd%2526shcp%253D34ff8df6%2526idc%253Dmy%2526s%253DTIKTOK_AFFILIATE_VIRAL_VIDEO%22%2C%22placeholder_product_id%22%3A%221729427766722726591%"&amp;"22%2C%22placeholder_video_id%22%3A%227635070531208826120%22%7D&amp;ec_shared_reflux_scene=shop_tab_feed&amp;share_item_id=7635070531208826120&amp;source=h5_t")</f>
        <v>https://www.tiktok.com/@beauty.iidd/video/7635070531208826120?_r=1&amp;u_code=ebjf03139m95gf&amp;region=&amp;mid=7628387283846826773&amp;preview_pb=0&amp;sharer_language=&amp;_d=0&amp;ec_shared_reflux_dynamic_params=%7B%22placeholder_material_id%22%3A%227635070531208826120%22%2C%22placeholder_origin_cover%22%3A%22https%253A%252F%252Fp16-common-sign.tiktokcdn.com%252Ftos-alisg-p-0037%252FoEVefAD9UcHBHFRupTWugBcEgQ1qBRlQiJyTEM~tplv-tiktokx-origin.jpeg%253Fdr%253D14572%2526refresh_token%253D237ec95b%2526x-expires%253D1809507600%2526x-signature%253DuNf%25252B1LNpHKUTg1KaL5Qo5L%25252F2nuU%25253D%2526t%253D4d5b0474%2526ps%253D13740610%2526shp%253Dd05b14bd%2526shcp%253D34ff8df6%2526idc%253Dmy%2526s%253DTIKTOK_AFFILIATE_VIRAL_VIDEO%22%2C%22placeholder_product_id%22%3A%221729427766722726591%22%2C%22placeholder_video_id%22%3A%227635070531208826120%22%7D&amp;ec_shared_reflux_scene=shop_tab_feed&amp;share_item_id=7635070531208826120&amp;source=h5_t</v>
      </c>
      <c r="M120" s="464"/>
      <c r="N120" s="17" t="str">
        <f>IFERROR(__xludf.DUMMYFUNCTION("""COMPUTED_VALUE"""),"⁠https://vt.tiktok.com/ZS9gM9UwC/")</f>
        <v>⁠https://vt.tiktok.com/ZS9gM9UwC/</v>
      </c>
      <c r="O120" s="464"/>
      <c r="P120" s="279" t="str">
        <f>IFERROR(__xludf.DUMMYFUNCTION("""COMPUTED_VALUE"""),"https://vt.tiktok.com/ZS9bJXLe4/")</f>
        <v>https://vt.tiktok.com/ZS9bJXLe4/</v>
      </c>
    </row>
    <row r="121">
      <c r="A121" s="255" t="str">
        <f>IFERROR(__xludf.DUMMYFUNCTION("""COMPUTED_VALUE"""),"MICRO")</f>
        <v>MICRO</v>
      </c>
      <c r="B121" s="361" t="str">
        <f>IFERROR(__xludf.DUMMYFUNCTION("""COMPUTED_VALUE"""),"lina_chubby94")</f>
        <v>lina_chubby94</v>
      </c>
      <c r="C121" s="257" t="str">
        <f>IFERROR(__xludf.DUMMYFUNCTION("""COMPUTED_VALUE"""),"https://www.tiktok.com/@lina_chubby94")</f>
        <v>https://www.tiktok.com/@lina_chubby94</v>
      </c>
      <c r="D121" s="270">
        <f>IFERROR(__xludf.DUMMYFUNCTION("""COMPUTED_VALUE"""),8.9626315137E10)</f>
        <v>89626315137</v>
      </c>
      <c r="E121" s="457">
        <f>IFERROR(__xludf.DUMMYFUNCTION("""COMPUTED_VALUE"""),0.0)</f>
        <v>0</v>
      </c>
      <c r="F121" s="270">
        <f>IFERROR(__xludf.DUMMYFUNCTION("""COMPUTED_VALUE"""),3.0)</f>
        <v>3</v>
      </c>
      <c r="G121" s="17" t="str">
        <f>IFERROR(__xludf.DUMMYFUNCTION("""COMPUTED_VALUE"""),"Sabun batang 1 Box ( 2 PCS )")</f>
        <v>Sabun batang 1 Box ( 2 PCS )</v>
      </c>
      <c r="H121" s="463" t="str">
        <f>IFERROR(__xludf.DUMMYFUNCTION("""COMPUTED_VALUE"""),"Sampai")</f>
        <v>Sampai</v>
      </c>
      <c r="I121" s="464" t="str">
        <f>IFERROR(__xludf.DUMMYFUNCTION("""COMPUTED_VALUE"""),"KIMME")</f>
        <v>KIMME</v>
      </c>
      <c r="J121" s="279" t="str">
        <f>IFERROR(__xludf.DUMMYFUNCTION("""COMPUTED_VALUE"""),"https://vt.tiktok.com/ZSmfr58L2/")</f>
        <v>https://vt.tiktok.com/ZSmfr58L2/</v>
      </c>
      <c r="K121" s="464" t="str">
        <f>IFERROR(__xludf.DUMMYFUNCTION("""COMPUTED_VALUE"""),"KIMME")</f>
        <v>KIMME</v>
      </c>
      <c r="L121" s="279" t="str">
        <f>IFERROR(__xludf.DUMMYFUNCTION("""COMPUTED_VALUE"""),"https://vt.tiktok.com/ZSmQ4X75A/")</f>
        <v>https://vt.tiktok.com/ZSmQ4X75A/</v>
      </c>
      <c r="M121" s="464" t="str">
        <f>IFERROR(__xludf.DUMMYFUNCTION("""COMPUTED_VALUE"""),"KIMME")</f>
        <v>KIMME</v>
      </c>
      <c r="N121" s="279" t="str">
        <f>IFERROR(__xludf.DUMMYFUNCTION("""COMPUTED_VALUE"""),"https://vt.tiktok.com/ZSmcgbutw/")</f>
        <v>https://vt.tiktok.com/ZSmcgbutw/</v>
      </c>
      <c r="O121" s="464"/>
      <c r="P121" s="279" t="str">
        <f>IFERROR(__xludf.DUMMYFUNCTION("""COMPUTED_VALUE"""),"https://www.tiktok.com/@lina_chubby94/video/7619653195182165256?_r=1&amp;u_code=d7kai4da07jhb8&amp;region=&amp;mid=7619653220260006663&amp;preview_pb=0&amp;sharer_language=&amp;_d=0&amp;ec_shared_reflux_dynamic_params=%7B%22placeholder_material_id%22%3A%227619653195182165256%22%2C%2"&amp;"2placeholder_origin_cover%22%3A%22https%253A%252F%252Fp16-sign-sg.tiktokcdn.com%252Ftos-alisg-p-0037%252Fo8jeGm7ffNcIRcz2GAQT7MReBC0AFLQGB3wFYO~tplv-tiktokx-origin.jpeg%253Fdr%253D14572%2526refresh_token%253Dc20ecf44%2526x-expires%253D1806055200%2526x-sig"&amp;"nature%253DZdZeqod%25252BQDZTBBzSBuTOsNVkyEc%25253D%2526t%253D4d5b0474%2526ps%253D13740610%2526shp%253Dd05b14bd%2526shcp%253D34ff8df6%2526idc%253Dmy2%2526s%253DTIKTOK_AFFILIATE_VIRAL_VIDEO%22%2C%22placeholder_product_id%22%3A%221729427766722726591%22%2C%2"&amp;"2placeholder_video_id%22%3A%227619653195182165256%22%7D&amp;ec_shared_reflux_scene=shop_tab_feed&amp;share_item_id=7619653195182165256&amp;source=h5_t")</f>
        <v>https://www.tiktok.com/@lina_chubby94/video/7619653195182165256?_r=1&amp;u_code=d7kai4da07jhb8&amp;region=&amp;mid=7619653220260006663&amp;preview_pb=0&amp;sharer_language=&amp;_d=0&amp;ec_shared_reflux_dynamic_params=%7B%22placeholder_material_id%22%3A%227619653195182165256%22%2C%22placeholder_origin_cover%22%3A%22https%253A%252F%252Fp16-sign-sg.tiktokcdn.com%252Ftos-alisg-p-0037%252Fo8jeGm7ffNcIRcz2GAQT7MReBC0AFLQGB3wFYO~tplv-tiktokx-origin.jpeg%253Fdr%253D14572%2526refresh_token%253Dc20ecf44%2526x-expires%253D1806055200%2526x-signature%253DZdZeqod%25252BQDZTBBzSBuTOsNVkyEc%25253D%2526t%253D4d5b0474%2526ps%253D13740610%2526shp%253Dd05b14bd%2526shcp%253D34ff8df6%2526idc%253Dmy2%2526s%253DTIKTOK_AFFILIATE_VIRAL_VIDEO%22%2C%22placeholder_product_id%22%3A%221729427766722726591%22%2C%22placeholder_video_id%22%3A%227619653195182165256%22%7D&amp;ec_shared_reflux_scene=shop_tab_feed&amp;share_item_id=7619653195182165256&amp;source=h5_t</v>
      </c>
    </row>
    <row r="122">
      <c r="A122" s="255" t="str">
        <f>IFERROR(__xludf.DUMMYFUNCTION("""COMPUTED_VALUE"""),"MICRO")</f>
        <v>MICRO</v>
      </c>
      <c r="B122" s="361" t="str">
        <f>IFERROR(__xludf.DUMMYFUNCTION("""COMPUTED_VALUE"""),"pptlktskm")</f>
        <v>pptlktskm</v>
      </c>
      <c r="C122" s="257" t="str">
        <f>IFERROR(__xludf.DUMMYFUNCTION("""COMPUTED_VALUE"""),"https://www.tiktok.com/@pptlktskm")</f>
        <v>https://www.tiktok.com/@pptlktskm</v>
      </c>
      <c r="D122" s="270">
        <f>IFERROR(__xludf.DUMMYFUNCTION("""COMPUTED_VALUE"""),8.5871602092E10)</f>
        <v>85871602092</v>
      </c>
      <c r="E122" s="457">
        <f>IFERROR(__xludf.DUMMYFUNCTION("""COMPUTED_VALUE"""),0.0)</f>
        <v>0</v>
      </c>
      <c r="F122" s="270">
        <f>IFERROR(__xludf.DUMMYFUNCTION("""COMPUTED_VALUE"""),4.0)</f>
        <v>4</v>
      </c>
      <c r="G122" s="17" t="str">
        <f>IFERROR(__xludf.DUMMYFUNCTION("""COMPUTED_VALUE"""),"Sabun batang 1 Box ( 2 PCS )")</f>
        <v>Sabun batang 1 Box ( 2 PCS )</v>
      </c>
      <c r="H122" s="463" t="str">
        <f>IFERROR(__xludf.DUMMYFUNCTION("""COMPUTED_VALUE"""),"Sampai")</f>
        <v>Sampai</v>
      </c>
      <c r="I122" s="464" t="str">
        <f>IFERROR(__xludf.DUMMYFUNCTION("""COMPUTED_VALUE"""),"KIMME")</f>
        <v>KIMME</v>
      </c>
      <c r="J122" s="17" t="str">
        <f>IFERROR(__xludf.DUMMYFUNCTION("""COMPUTED_VALUE"""),"⁠https://vt.tiktok.com/ZS9gMS6f9/")</f>
        <v>⁠https://vt.tiktok.com/ZS9gMS6f9/</v>
      </c>
      <c r="K122" s="464" t="str">
        <f>IFERROR(__xludf.DUMMYFUNCTION("""COMPUTED_VALUE"""),"KIMME")</f>
        <v>KIMME</v>
      </c>
      <c r="L122" s="17" t="str">
        <f>IFERROR(__xludf.DUMMYFUNCTION("""COMPUTED_VALUE"""),"⁠https://vt.tiktok.com/ZS9gMauSs/")</f>
        <v>⁠https://vt.tiktok.com/ZS9gMauSs/</v>
      </c>
      <c r="M122" s="464" t="str">
        <f>IFERROR(__xludf.DUMMYFUNCTION("""COMPUTED_VALUE"""),"KIMME")</f>
        <v>KIMME</v>
      </c>
      <c r="N122" s="17" t="str">
        <f>IFERROR(__xludf.DUMMYFUNCTION("""COMPUTED_VALUE"""),"⁠https://vt.tiktok.com/ZS9g63HyS/")</f>
        <v>⁠https://vt.tiktok.com/ZS9g63HyS/</v>
      </c>
      <c r="O122" s="464" t="str">
        <f>IFERROR(__xludf.DUMMYFUNCTION("""COMPUTED_VALUE"""),"KIMME")</f>
        <v>KIMME</v>
      </c>
      <c r="P122" s="17" t="str">
        <f>IFERROR(__xludf.DUMMYFUNCTION("""COMPUTED_VALUE"""),"⁠https://vt.tiktok.com/ZS9g63nu5/")</f>
        <v>⁠https://vt.tiktok.com/ZS9g63nu5/</v>
      </c>
    </row>
    <row r="123">
      <c r="A123" s="255" t="str">
        <f>IFERROR(__xludf.DUMMYFUNCTION("""COMPUTED_VALUE"""),"MICRO")</f>
        <v>MICRO</v>
      </c>
      <c r="B123" s="361" t="str">
        <f>IFERROR(__xludf.DUMMYFUNCTION("""COMPUTED_VALUE"""),"theophilaa")</f>
        <v>theophilaa</v>
      </c>
      <c r="C123" s="257" t="str">
        <f>IFERROR(__xludf.DUMMYFUNCTION("""COMPUTED_VALUE"""),"https://www.tiktok.com/@theophilaa")</f>
        <v>https://www.tiktok.com/@theophilaa</v>
      </c>
      <c r="D123" s="270">
        <f>IFERROR(__xludf.DUMMYFUNCTION("""COMPUTED_VALUE"""),8.1244243232E10)</f>
        <v>81244243232</v>
      </c>
      <c r="E123" s="457">
        <f>IFERROR(__xludf.DUMMYFUNCTION("""COMPUTED_VALUE"""),0.0)</f>
        <v>0</v>
      </c>
      <c r="F123" s="270">
        <f>IFERROR(__xludf.DUMMYFUNCTION("""COMPUTED_VALUE"""),1.0)</f>
        <v>1</v>
      </c>
      <c r="G123" s="17" t="str">
        <f>IFERROR(__xludf.DUMMYFUNCTION("""COMPUTED_VALUE"""),"Sabun batang 1 Box ( 2 PCS )")</f>
        <v>Sabun batang 1 Box ( 2 PCS )</v>
      </c>
      <c r="H123" s="463" t="str">
        <f>IFERROR(__xludf.DUMMYFUNCTION("""COMPUTED_VALUE"""),"Sampai")</f>
        <v>Sampai</v>
      </c>
      <c r="I123" s="464" t="str">
        <f>IFERROR(__xludf.DUMMYFUNCTION("""COMPUTED_VALUE"""),"KIMME")</f>
        <v>KIMME</v>
      </c>
      <c r="J123" s="279" t="str">
        <f>IFERROR(__xludf.DUMMYFUNCTION("""COMPUTED_VALUE"""),"https://vt.tiktok.com/ZSueBNBtU/")</f>
        <v>https://vt.tiktok.com/ZSueBNBtU/</v>
      </c>
      <c r="K123" s="464" t="str">
        <f>IFERROR(__xludf.DUMMYFUNCTION("""COMPUTED_VALUE"""),"KIMME")</f>
        <v>KIMME</v>
      </c>
      <c r="L123" s="279" t="str">
        <f>IFERROR(__xludf.DUMMYFUNCTION("""COMPUTED_VALUE"""),"https://www.tiktok.com/@theophilaa/video/7613721495017131282?is_from_webapp=1&amp;sender_device=pc")</f>
        <v>https://www.tiktok.com/@theophilaa/video/7613721495017131282?is_from_webapp=1&amp;sender_device=pc</v>
      </c>
      <c r="M123" s="464"/>
      <c r="N123" s="17" t="str">
        <f>IFERROR(__xludf.DUMMYFUNCTION("""COMPUTED_VALUE"""),"⁠https://vt.tiktok.com/ZS9gMMvAp/")</f>
        <v>⁠https://vt.tiktok.com/ZS9gMMvAp/</v>
      </c>
      <c r="O123" s="464"/>
      <c r="P123" s="17" t="str">
        <f>IFERROR(__xludf.DUMMYFUNCTION("""COMPUTED_VALUE"""),"⁠https://vt.tiktok.com/ZS9gMFAmv/")</f>
        <v>⁠https://vt.tiktok.com/ZS9gMFAmv/</v>
      </c>
    </row>
    <row r="124">
      <c r="A124" s="255" t="str">
        <f>IFERROR(__xludf.DUMMYFUNCTION("""COMPUTED_VALUE"""),"MICRO")</f>
        <v>MICRO</v>
      </c>
      <c r="B124" s="361" t="str">
        <f>IFERROR(__xludf.DUMMYFUNCTION("""COMPUTED_VALUE"""),"underthesamemoonnn")</f>
        <v>underthesamemoonnn</v>
      </c>
      <c r="C124" s="257" t="str">
        <f>IFERROR(__xludf.DUMMYFUNCTION("""COMPUTED_VALUE"""),"https://www.tiktok.com/@underthesamemoonnn")</f>
        <v>https://www.tiktok.com/@underthesamemoonnn</v>
      </c>
      <c r="D124" s="270">
        <f>IFERROR(__xludf.DUMMYFUNCTION("""COMPUTED_VALUE"""),8.1299339348E10)</f>
        <v>81299339348</v>
      </c>
      <c r="E124" s="457">
        <f>IFERROR(__xludf.DUMMYFUNCTION("""COMPUTED_VALUE"""),0.0)</f>
        <v>0</v>
      </c>
      <c r="F124" s="270">
        <f>IFERROR(__xludf.DUMMYFUNCTION("""COMPUTED_VALUE"""),2.0)</f>
        <v>2</v>
      </c>
      <c r="G124" s="17" t="str">
        <f>IFERROR(__xludf.DUMMYFUNCTION("""COMPUTED_VALUE"""),"Sabun batang 1 Box ( 2 PCS )")</f>
        <v>Sabun batang 1 Box ( 2 PCS )</v>
      </c>
      <c r="H124" s="463" t="str">
        <f>IFERROR(__xludf.DUMMYFUNCTION("""COMPUTED_VALUE"""),"Sampai")</f>
        <v>Sampai</v>
      </c>
      <c r="I124" s="464" t="str">
        <f>IFERROR(__xludf.DUMMYFUNCTION("""COMPUTED_VALUE"""),"KIMME")</f>
        <v>KIMME</v>
      </c>
      <c r="J124" s="279" t="str">
        <f>IFERROR(__xludf.DUMMYFUNCTION("""COMPUTED_VALUE"""),"https://www.tiktok.com/@underthesamemoonnn/video/7608868988356988178?is_from_webapp=1&amp;sender_device=pc")</f>
        <v>https://www.tiktok.com/@underthesamemoonnn/video/7608868988356988178?is_from_webapp=1&amp;sender_device=pc</v>
      </c>
      <c r="K124" s="464" t="str">
        <f>IFERROR(__xludf.DUMMYFUNCTION("""COMPUTED_VALUE"""),"KIMME")</f>
        <v>KIMME</v>
      </c>
      <c r="L124" s="279" t="str">
        <f>IFERROR(__xludf.DUMMYFUNCTION("""COMPUTED_VALUE"""),"https://www.tiktok.com/@underthesamemoonnn/video/7614090367763287304?is_from_webapp=1&amp;sender_device=pc")</f>
        <v>https://www.tiktok.com/@underthesamemoonnn/video/7614090367763287304?is_from_webapp=1&amp;sender_device=pc</v>
      </c>
      <c r="M124" s="464"/>
      <c r="N124" s="17" t="str">
        <f>IFERROR(__xludf.DUMMYFUNCTION("""COMPUTED_VALUE"""),"⁠https://vt.tiktok.com/ZS9g6TdJG/")</f>
        <v>⁠https://vt.tiktok.com/ZS9g6TdJG/</v>
      </c>
      <c r="O124" s="464"/>
      <c r="P124" s="17" t="str">
        <f>IFERROR(__xludf.DUMMYFUNCTION("""COMPUTED_VALUE"""),"⁠https://vt.tiktok.com/ZS9g6vCXX/")</f>
        <v>⁠https://vt.tiktok.com/ZS9g6vCXX/</v>
      </c>
    </row>
    <row r="125">
      <c r="A125" s="255" t="str">
        <f>IFERROR(__xludf.DUMMYFUNCTION("""COMPUTED_VALUE"""),"MICRO")</f>
        <v>MICRO</v>
      </c>
      <c r="B125" s="361" t="str">
        <f>IFERROR(__xludf.DUMMYFUNCTION("""COMPUTED_VALUE"""),"mineee.20")</f>
        <v>mineee.20</v>
      </c>
      <c r="C125" s="257" t="str">
        <f>IFERROR(__xludf.DUMMYFUNCTION("""COMPUTED_VALUE"""),"https://www.tiktok.com/@mineee.20")</f>
        <v>https://www.tiktok.com/@mineee.20</v>
      </c>
      <c r="D125" s="270">
        <f>IFERROR(__xludf.DUMMYFUNCTION("""COMPUTED_VALUE"""),8.3128364378E10)</f>
        <v>83128364378</v>
      </c>
      <c r="E125" s="457">
        <f>IFERROR(__xludf.DUMMYFUNCTION("""COMPUTED_VALUE"""),0.0)</f>
        <v>0</v>
      </c>
      <c r="F125" s="270">
        <f>IFERROR(__xludf.DUMMYFUNCTION("""COMPUTED_VALUE"""),4.0)</f>
        <v>4</v>
      </c>
      <c r="G125" s="17" t="str">
        <f>IFERROR(__xludf.DUMMYFUNCTION("""COMPUTED_VALUE"""),"Sabun batang 1 Box ( 2 PCS )")</f>
        <v>Sabun batang 1 Box ( 2 PCS )</v>
      </c>
      <c r="H125" s="463" t="str">
        <f>IFERROR(__xludf.DUMMYFUNCTION("""COMPUTED_VALUE"""),"Sampai")</f>
        <v>Sampai</v>
      </c>
      <c r="I125" s="464" t="str">
        <f>IFERROR(__xludf.DUMMYFUNCTION("""COMPUTED_VALUE"""),"KIMME")</f>
        <v>KIMME</v>
      </c>
      <c r="J125" s="279" t="str">
        <f>IFERROR(__xludf.DUMMYFUNCTION("""COMPUTED_VALUE"""),"https://www.tiktok.com/@mineee.20/video/7607687836996799764?is_from_webapp=1&amp;sender_device=pc")</f>
        <v>https://www.tiktok.com/@mineee.20/video/7607687836996799764?is_from_webapp=1&amp;sender_device=pc</v>
      </c>
      <c r="K125" s="464" t="str">
        <f>IFERROR(__xludf.DUMMYFUNCTION("""COMPUTED_VALUE"""),"KIMME")</f>
        <v>KIMME</v>
      </c>
      <c r="L125" s="279" t="str">
        <f>IFERROR(__xludf.DUMMYFUNCTION("""COMPUTED_VALUE"""),"https://www.tiktok.com/@mineee.20/video/7607819382223359253?is_from_webapp=1&amp;sender_device=pc")</f>
        <v>https://www.tiktok.com/@mineee.20/video/7607819382223359253?is_from_webapp=1&amp;sender_device=pc</v>
      </c>
      <c r="M125" s="464" t="str">
        <f>IFERROR(__xludf.DUMMYFUNCTION("""COMPUTED_VALUE"""),"KIMME")</f>
        <v>KIMME</v>
      </c>
      <c r="N125" s="279" t="str">
        <f>IFERROR(__xludf.DUMMYFUNCTION("""COMPUTED_VALUE"""),"https://www.tiktok.com/@mineee.20/video/7608476395215342868?is_from_webapp=1&amp;sender_device=pc")</f>
        <v>https://www.tiktok.com/@mineee.20/video/7608476395215342868?is_from_webapp=1&amp;sender_device=pc</v>
      </c>
      <c r="O125" s="464" t="str">
        <f>IFERROR(__xludf.DUMMYFUNCTION("""COMPUTED_VALUE"""),"KIMME")</f>
        <v>KIMME</v>
      </c>
      <c r="P125" s="279" t="str">
        <f>IFERROR(__xludf.DUMMYFUNCTION("""COMPUTED_VALUE"""),"https://www.tiktok.com/@mineee.20/video/7608812770259111189?is_from_webapp=1&amp;sender_device=pc")</f>
        <v>https://www.tiktok.com/@mineee.20/video/7608812770259111189?is_from_webapp=1&amp;sender_device=pc</v>
      </c>
    </row>
    <row r="126">
      <c r="A126" s="255" t="str">
        <f>IFERROR(__xludf.DUMMYFUNCTION("""COMPUTED_VALUE"""),"MICRO")</f>
        <v>MICRO</v>
      </c>
      <c r="B126" s="361" t="str">
        <f>IFERROR(__xludf.DUMMYFUNCTION("""COMPUTED_VALUE"""),"ika_nf6")</f>
        <v>ika_nf6</v>
      </c>
      <c r="C126" s="257" t="str">
        <f>IFERROR(__xludf.DUMMYFUNCTION("""COMPUTED_VALUE"""),"https://www.tiktok.com/@ika_nf6")</f>
        <v>https://www.tiktok.com/@ika_nf6</v>
      </c>
      <c r="D126" s="270">
        <f>IFERROR(__xludf.DUMMYFUNCTION("""COMPUTED_VALUE"""),8.9676224654E10)</f>
        <v>89676224654</v>
      </c>
      <c r="E126" s="457">
        <f>IFERROR(__xludf.DUMMYFUNCTION("""COMPUTED_VALUE"""),0.0)</f>
        <v>0</v>
      </c>
      <c r="F126" s="270">
        <f>IFERROR(__xludf.DUMMYFUNCTION("""COMPUTED_VALUE"""),4.0)</f>
        <v>4</v>
      </c>
      <c r="G126" s="17" t="str">
        <f>IFERROR(__xludf.DUMMYFUNCTION("""COMPUTED_VALUE"""),"Sabun batang 1 Box ( 2 PCS )")</f>
        <v>Sabun batang 1 Box ( 2 PCS )</v>
      </c>
      <c r="H126" s="463" t="str">
        <f>IFERROR(__xludf.DUMMYFUNCTION("""COMPUTED_VALUE"""),"Sampai")</f>
        <v>Sampai</v>
      </c>
      <c r="I126" s="464" t="str">
        <f>IFERROR(__xludf.DUMMYFUNCTION("""COMPUTED_VALUE"""),"KIMME")</f>
        <v>KIMME</v>
      </c>
      <c r="J126" s="279" t="str">
        <f>IFERROR(__xludf.DUMMYFUNCTION("""COMPUTED_VALUE"""),"https://www.tiktok.com/@ika_nf6/video/7608414441066990869?is_from_webapp=1&amp;sender_device=pc")</f>
        <v>https://www.tiktok.com/@ika_nf6/video/7608414441066990869?is_from_webapp=1&amp;sender_device=pc</v>
      </c>
      <c r="K126" s="464" t="str">
        <f>IFERROR(__xludf.DUMMYFUNCTION("""COMPUTED_VALUE"""),"KIMME")</f>
        <v>KIMME</v>
      </c>
      <c r="L126" s="279" t="str">
        <f>IFERROR(__xludf.DUMMYFUNCTION("""COMPUTED_VALUE"""),"https://www.tiktok.com/@leogirls6986/video/7615120411335986453?is_from_webapp=1&amp;sender_device=pc")</f>
        <v>https://www.tiktok.com/@leogirls6986/video/7615120411335986453?is_from_webapp=1&amp;sender_device=pc</v>
      </c>
      <c r="M126" s="464" t="str">
        <f>IFERROR(__xludf.DUMMYFUNCTION("""COMPUTED_VALUE"""),"KIMME")</f>
        <v>KIMME</v>
      </c>
      <c r="N126" s="279" t="str">
        <f>IFERROR(__xludf.DUMMYFUNCTION("""COMPUTED_VALUE"""),"https://vt.tiktok.com/ZSHFfVWfU/")</f>
        <v>https://vt.tiktok.com/ZSHFfVWfU/</v>
      </c>
      <c r="O126" s="464" t="str">
        <f>IFERROR(__xludf.DUMMYFUNCTION("""COMPUTED_VALUE"""),"KIMME")</f>
        <v>KIMME</v>
      </c>
      <c r="P126" s="279" t="str">
        <f>IFERROR(__xludf.DUMMYFUNCTION("""COMPUTED_VALUE"""),"https://vt.tiktok.com/ZSHFPpofG/")</f>
        <v>https://vt.tiktok.com/ZSHFPpofG/</v>
      </c>
    </row>
    <row r="127">
      <c r="A127" s="255" t="str">
        <f>IFERROR(__xludf.DUMMYFUNCTION("""COMPUTED_VALUE"""),"MICRO")</f>
        <v>MICRO</v>
      </c>
      <c r="B127" s="361" t="str">
        <f>IFERROR(__xludf.DUMMYFUNCTION("""COMPUTED_VALUE"""),"rithasimarmataa")</f>
        <v>rithasimarmataa</v>
      </c>
      <c r="C127" s="257" t="str">
        <f>IFERROR(__xludf.DUMMYFUNCTION("""COMPUTED_VALUE"""),"https://www.tiktok.com/@rithasimarmataa")</f>
        <v>https://www.tiktok.com/@rithasimarmataa</v>
      </c>
      <c r="D127" s="270">
        <f>IFERROR(__xludf.DUMMYFUNCTION("""COMPUTED_VALUE"""),8.7707468933E10)</f>
        <v>87707468933</v>
      </c>
      <c r="E127" s="457">
        <f>IFERROR(__xludf.DUMMYFUNCTION("""COMPUTED_VALUE"""),0.0)</f>
        <v>0</v>
      </c>
      <c r="F127" s="270">
        <f>IFERROR(__xludf.DUMMYFUNCTION("""COMPUTED_VALUE"""),3.0)</f>
        <v>3</v>
      </c>
      <c r="G127" s="17" t="str">
        <f>IFERROR(__xludf.DUMMYFUNCTION("""COMPUTED_VALUE"""),"Sabun batang 1 Box ( 2 PCS )")</f>
        <v>Sabun batang 1 Box ( 2 PCS )</v>
      </c>
      <c r="H127" s="463" t="str">
        <f>IFERROR(__xludf.DUMMYFUNCTION("""COMPUTED_VALUE"""),"Sampai")</f>
        <v>Sampai</v>
      </c>
      <c r="I127" s="464" t="str">
        <f>IFERROR(__xludf.DUMMYFUNCTION("""COMPUTED_VALUE"""),"KIMME")</f>
        <v>KIMME</v>
      </c>
      <c r="J127" s="279" t="str">
        <f>IFERROR(__xludf.DUMMYFUNCTION("""COMPUTED_VALUE"""),"https://www.tiktok.com/@rithasimarmataa/video/7608912762378423573?is_from_webapp=1&amp;sender_device=pc")</f>
        <v>https://www.tiktok.com/@rithasimarmataa/video/7608912762378423573?is_from_webapp=1&amp;sender_device=pc</v>
      </c>
      <c r="K127" s="464" t="str">
        <f>IFERROR(__xludf.DUMMYFUNCTION("""COMPUTED_VALUE"""),"KIMME")</f>
        <v>KIMME</v>
      </c>
      <c r="L127" s="279" t="str">
        <f>IFERROR(__xludf.DUMMYFUNCTION("""COMPUTED_VALUE"""),"https://www.tiktok.com/@rithasimarmataa/video/7609628092805467412?is_from_webapp=1&amp;sender_device=pc")</f>
        <v>https://www.tiktok.com/@rithasimarmataa/video/7609628092805467412?is_from_webapp=1&amp;sender_device=pc</v>
      </c>
      <c r="M127" s="464" t="str">
        <f>IFERROR(__xludf.DUMMYFUNCTION("""COMPUTED_VALUE"""),"KIMME")</f>
        <v>KIMME</v>
      </c>
      <c r="N127" s="279" t="str">
        <f>IFERROR(__xludf.DUMMYFUNCTION("""COMPUTED_VALUE"""),"https://www.tiktok.com/@rithasimarmataa/video/7609865859497987349?is_from_webapp=1&amp;sender_device=pc")</f>
        <v>https://www.tiktok.com/@rithasimarmataa/video/7609865859497987349?is_from_webapp=1&amp;sender_device=pc</v>
      </c>
      <c r="O127" s="464"/>
      <c r="P127" s="279" t="str">
        <f>IFERROR(__xludf.DUMMYFUNCTION("""COMPUTED_VALUE"""),"https://www.tiktok.com/@rithasimarmataa/video/7610038293052329236?is_from_webapp=1&amp;sender_device=pc")</f>
        <v>https://www.tiktok.com/@rithasimarmataa/video/7610038293052329236?is_from_webapp=1&amp;sender_device=pc</v>
      </c>
    </row>
    <row r="128">
      <c r="A128" s="255" t="str">
        <f>IFERROR(__xludf.DUMMYFUNCTION("""COMPUTED_VALUE"""),"MICRO")</f>
        <v>MICRO</v>
      </c>
      <c r="B128" s="361" t="str">
        <f>IFERROR(__xludf.DUMMYFUNCTION("""COMPUTED_VALUE"""),"gevaaardna")</f>
        <v>gevaaardna</v>
      </c>
      <c r="C128" s="257" t="str">
        <f>IFERROR(__xludf.DUMMYFUNCTION("""COMPUTED_VALUE"""),"https://www.tiktok.com/@gevaaardna")</f>
        <v>https://www.tiktok.com/@gevaaardna</v>
      </c>
      <c r="D128" s="270">
        <f>IFERROR(__xludf.DUMMYFUNCTION("""COMPUTED_VALUE"""),8.98387634E9)</f>
        <v>8983876340</v>
      </c>
      <c r="E128" s="457">
        <f>IFERROR(__xludf.DUMMYFUNCTION("""COMPUTED_VALUE"""),0.0)</f>
        <v>0</v>
      </c>
      <c r="F128" s="270">
        <f>IFERROR(__xludf.DUMMYFUNCTION("""COMPUTED_VALUE"""),4.0)</f>
        <v>4</v>
      </c>
      <c r="G128" s="17" t="str">
        <f>IFERROR(__xludf.DUMMYFUNCTION("""COMPUTED_VALUE"""),"Sabun batang 1 Box ( 2 PCS )")</f>
        <v>Sabun batang 1 Box ( 2 PCS )</v>
      </c>
      <c r="H128" s="463" t="str">
        <f>IFERROR(__xludf.DUMMYFUNCTION("""COMPUTED_VALUE"""),"Sampai")</f>
        <v>Sampai</v>
      </c>
      <c r="I128" s="464" t="str">
        <f>IFERROR(__xludf.DUMMYFUNCTION("""COMPUTED_VALUE"""),"KIMME")</f>
        <v>KIMME</v>
      </c>
      <c r="J128" s="279" t="str">
        <f>IFERROR(__xludf.DUMMYFUNCTION("""COMPUTED_VALUE"""),"https://vt.tiktok.com/ZSmBeYro5/")</f>
        <v>https://vt.tiktok.com/ZSmBeYro5/</v>
      </c>
      <c r="K128" s="464" t="str">
        <f>IFERROR(__xludf.DUMMYFUNCTION("""COMPUTED_VALUE"""),"KIMME")</f>
        <v>KIMME</v>
      </c>
      <c r="L128" s="279" t="str">
        <f>IFERROR(__xludf.DUMMYFUNCTION("""COMPUTED_VALUE"""),"https://vt.tiktok.com/ZSmUFm66a/")</f>
        <v>https://vt.tiktok.com/ZSmUFm66a/</v>
      </c>
      <c r="M128" s="464" t="str">
        <f>IFERROR(__xludf.DUMMYFUNCTION("""COMPUTED_VALUE"""),"KIMME")</f>
        <v>KIMME</v>
      </c>
      <c r="N128" s="279" t="str">
        <f>IFERROR(__xludf.DUMMYFUNCTION("""COMPUTED_VALUE"""),"https://vt.tiktok.com/ZS9DSTaJJ/")</f>
        <v>https://vt.tiktok.com/ZS9DSTaJJ/</v>
      </c>
      <c r="O128" s="464" t="str">
        <f>IFERROR(__xludf.DUMMYFUNCTION("""COMPUTED_VALUE"""),"KIMME")</f>
        <v>KIMME</v>
      </c>
      <c r="P128" s="279" t="str">
        <f>IFERROR(__xludf.DUMMYFUNCTION("""COMPUTED_VALUE"""),"https://vt.tiktok.com/ZS9UmnfWf/")</f>
        <v>https://vt.tiktok.com/ZS9UmnfWf/</v>
      </c>
    </row>
    <row r="129">
      <c r="A129" s="255" t="str">
        <f>IFERROR(__xludf.DUMMYFUNCTION("""COMPUTED_VALUE"""),"MICRO")</f>
        <v>MICRO</v>
      </c>
      <c r="B129" s="361" t="str">
        <f>IFERROR(__xludf.DUMMYFUNCTION("""COMPUTED_VALUE"""),"alsbeauty1")</f>
        <v>alsbeauty1</v>
      </c>
      <c r="C129" s="257" t="str">
        <f>IFERROR(__xludf.DUMMYFUNCTION("""COMPUTED_VALUE"""),"https://www.tiktok.com/@alsbeauty1")</f>
        <v>https://www.tiktok.com/@alsbeauty1</v>
      </c>
      <c r="D129" s="270">
        <f>IFERROR(__xludf.DUMMYFUNCTION("""COMPUTED_VALUE"""),8.7760051077E10)</f>
        <v>87760051077</v>
      </c>
      <c r="E129" s="457">
        <f>IFERROR(__xludf.DUMMYFUNCTION("""COMPUTED_VALUE"""),0.0)</f>
        <v>0</v>
      </c>
      <c r="F129" s="270">
        <f>IFERROR(__xludf.DUMMYFUNCTION("""COMPUTED_VALUE"""),4.0)</f>
        <v>4</v>
      </c>
      <c r="G129" s="17" t="str">
        <f>IFERROR(__xludf.DUMMYFUNCTION("""COMPUTED_VALUE"""),"Sabun batang 1 Box ( 2 PCS )")</f>
        <v>Sabun batang 1 Box ( 2 PCS )</v>
      </c>
      <c r="H129" s="463" t="str">
        <f>IFERROR(__xludf.DUMMYFUNCTION("""COMPUTED_VALUE"""),"Sampai")</f>
        <v>Sampai</v>
      </c>
      <c r="I129" s="464" t="str">
        <f>IFERROR(__xludf.DUMMYFUNCTION("""COMPUTED_VALUE"""),"KIMME")</f>
        <v>KIMME</v>
      </c>
      <c r="J129" s="279" t="str">
        <f>IFERROR(__xludf.DUMMYFUNCTION("""COMPUTED_VALUE"""),"https://vt.tiktok.com/ZSmQyjmVb/")</f>
        <v>https://vt.tiktok.com/ZSmQyjmVb/</v>
      </c>
      <c r="K129" s="464" t="str">
        <f>IFERROR(__xludf.DUMMYFUNCTION("""COMPUTED_VALUE"""),"KIMME")</f>
        <v>KIMME</v>
      </c>
      <c r="L129" s="279" t="str">
        <f>IFERROR(__xludf.DUMMYFUNCTION("""COMPUTED_VALUE"""),"https://vt.tiktok.com/ZSmQy2LdH/")</f>
        <v>https://vt.tiktok.com/ZSmQy2LdH/</v>
      </c>
      <c r="M129" s="464" t="str">
        <f>IFERROR(__xludf.DUMMYFUNCTION("""COMPUTED_VALUE"""),"KIMME")</f>
        <v>KIMME</v>
      </c>
      <c r="N129" s="279" t="str">
        <f>IFERROR(__xludf.DUMMYFUNCTION("""COMPUTED_VALUE"""),"https://vt.tiktok.com/ZSmQyLhqX/")</f>
        <v>https://vt.tiktok.com/ZSmQyLhqX/</v>
      </c>
      <c r="O129" s="464" t="str">
        <f>IFERROR(__xludf.DUMMYFUNCTION("""COMPUTED_VALUE"""),"KIMME")</f>
        <v>KIMME</v>
      </c>
      <c r="P129" s="279" t="str">
        <f>IFERROR(__xludf.DUMMYFUNCTION("""COMPUTED_VALUE"""),"https://vt.tiktok.com/ZSmQyhoY5/")</f>
        <v>https://vt.tiktok.com/ZSmQyhoY5/</v>
      </c>
    </row>
    <row r="130">
      <c r="A130" s="255" t="str">
        <f>IFERROR(__xludf.DUMMYFUNCTION("""COMPUTED_VALUE"""),"MICRO")</f>
        <v>MICRO</v>
      </c>
      <c r="B130" s="361" t="str">
        <f>IFERROR(__xludf.DUMMYFUNCTION("""COMPUTED_VALUE"""),"maydarafsha")</f>
        <v>maydarafsha</v>
      </c>
      <c r="C130" s="257" t="str">
        <f>IFERROR(__xludf.DUMMYFUNCTION("""COMPUTED_VALUE"""),"https://www.tiktok.com/@maydarafsha")</f>
        <v>https://www.tiktok.com/@maydarafsha</v>
      </c>
      <c r="D130" s="270">
        <f>IFERROR(__xludf.DUMMYFUNCTION("""COMPUTED_VALUE"""),8.5850688023E10)</f>
        <v>85850688023</v>
      </c>
      <c r="E130" s="457">
        <f>IFERROR(__xludf.DUMMYFUNCTION("""COMPUTED_VALUE"""),0.0)</f>
        <v>0</v>
      </c>
      <c r="F130" s="270">
        <f>IFERROR(__xludf.DUMMYFUNCTION("""COMPUTED_VALUE"""),3.0)</f>
        <v>3</v>
      </c>
      <c r="G130" s="17" t="str">
        <f>IFERROR(__xludf.DUMMYFUNCTION("""COMPUTED_VALUE"""),"Sabun batang 1 Box ( 2 PCS )")</f>
        <v>Sabun batang 1 Box ( 2 PCS )</v>
      </c>
      <c r="H130" s="463" t="str">
        <f>IFERROR(__xludf.DUMMYFUNCTION("""COMPUTED_VALUE"""),"Sampai")</f>
        <v>Sampai</v>
      </c>
      <c r="I130" s="464" t="str">
        <f>IFERROR(__xludf.DUMMYFUNCTION("""COMPUTED_VALUE"""),"KIMME")</f>
        <v>KIMME</v>
      </c>
      <c r="J130" s="279" t="str">
        <f>IFERROR(__xludf.DUMMYFUNCTION("""COMPUTED_VALUE"""),"https://www.tiktok.com/@maydarafsha/video/7608774616802249992?is_from_webapp=1&amp;sender_device=pc")</f>
        <v>https://www.tiktok.com/@maydarafsha/video/7608774616802249992?is_from_webapp=1&amp;sender_device=pc</v>
      </c>
      <c r="K130" s="464" t="str">
        <f>IFERROR(__xludf.DUMMYFUNCTION("""COMPUTED_VALUE"""),"KIMME")</f>
        <v>KIMME</v>
      </c>
      <c r="L130" s="279" t="str">
        <f>IFERROR(__xludf.DUMMYFUNCTION("""COMPUTED_VALUE"""),"https://vt.tiktok.com/ZSm5NeFdq/")</f>
        <v>https://vt.tiktok.com/ZSm5NeFdq/</v>
      </c>
      <c r="M130" s="464" t="str">
        <f>IFERROR(__xludf.DUMMYFUNCTION("""COMPUTED_VALUE"""),"KIMME")</f>
        <v>KIMME</v>
      </c>
      <c r="N130" s="279" t="str">
        <f>IFERROR(__xludf.DUMMYFUNCTION("""COMPUTED_VALUE"""),"https://vt.tiktok.com/ZSmg29j91/")</f>
        <v>https://vt.tiktok.com/ZSmg29j91/</v>
      </c>
      <c r="O130" s="464" t="str">
        <f>IFERROR(__xludf.DUMMYFUNCTION("""COMPUTED_VALUE"""),"KIMME")</f>
        <v>KIMME</v>
      </c>
      <c r="P130" s="279" t="str">
        <f>IFERROR(__xludf.DUMMYFUNCTION("""COMPUTED_VALUE"""),"https://vt.tiktok.com/ZSuBBvMe7/")</f>
        <v>https://vt.tiktok.com/ZSuBBvMe7/</v>
      </c>
    </row>
    <row r="131">
      <c r="A131" s="255" t="str">
        <f>IFERROR(__xludf.DUMMYFUNCTION("""COMPUTED_VALUE"""),"MICRO")</f>
        <v>MICRO</v>
      </c>
      <c r="B131" s="361" t="str">
        <f>IFERROR(__xludf.DUMMYFUNCTION("""COMPUTED_VALUE"""),"ani3088")</f>
        <v>ani3088</v>
      </c>
      <c r="C131" s="257" t="str">
        <f>IFERROR(__xludf.DUMMYFUNCTION("""COMPUTED_VALUE"""),"https://www.tiktok.com/@ani3088")</f>
        <v>https://www.tiktok.com/@ani3088</v>
      </c>
      <c r="D131" s="270">
        <f>IFERROR(__xludf.DUMMYFUNCTION("""COMPUTED_VALUE"""),8.5723983282E10)</f>
        <v>85723983282</v>
      </c>
      <c r="E131" s="457">
        <f>IFERROR(__xludf.DUMMYFUNCTION("""COMPUTED_VALUE"""),0.0)</f>
        <v>0</v>
      </c>
      <c r="F131" s="270">
        <f>IFERROR(__xludf.DUMMYFUNCTION("""COMPUTED_VALUE"""),4.0)</f>
        <v>4</v>
      </c>
      <c r="G131" s="17" t="str">
        <f>IFERROR(__xludf.DUMMYFUNCTION("""COMPUTED_VALUE"""),"Sabun batang 1 Box ( 2 PCS )")</f>
        <v>Sabun batang 1 Box ( 2 PCS )</v>
      </c>
      <c r="H131" s="463" t="str">
        <f>IFERROR(__xludf.DUMMYFUNCTION("""COMPUTED_VALUE"""),"Sampai")</f>
        <v>Sampai</v>
      </c>
      <c r="I131" s="464" t="str">
        <f>IFERROR(__xludf.DUMMYFUNCTION("""COMPUTED_VALUE"""),"KIMME")</f>
        <v>KIMME</v>
      </c>
      <c r="J131" s="279" t="str">
        <f>IFERROR(__xludf.DUMMYFUNCTION("""COMPUTED_VALUE"""),"https://www.tiktok.com/@ani3088/video/7607778135353888007?is_from_webapp=1&amp;sender_device=pc")</f>
        <v>https://www.tiktok.com/@ani3088/video/7607778135353888007?is_from_webapp=1&amp;sender_device=pc</v>
      </c>
      <c r="K131" s="464" t="str">
        <f>IFERROR(__xludf.DUMMYFUNCTION("""COMPUTED_VALUE"""),"KIMME")</f>
        <v>KIMME</v>
      </c>
      <c r="L131" s="279" t="str">
        <f>IFERROR(__xludf.DUMMYFUNCTION("""COMPUTED_VALUE"""),"https://www.tiktok.com/@ani3088/video/7608053718113717511?is_from_webapp=1&amp;sender_device=pc")</f>
        <v>https://www.tiktok.com/@ani3088/video/7608053718113717511?is_from_webapp=1&amp;sender_device=pc</v>
      </c>
      <c r="M131" s="464" t="str">
        <f>IFERROR(__xludf.DUMMYFUNCTION("""COMPUTED_VALUE"""),"KIMME")</f>
        <v>KIMME</v>
      </c>
      <c r="N131" s="279" t="str">
        <f>IFERROR(__xludf.DUMMYFUNCTION("""COMPUTED_VALUE"""),"https://www.tiktok.com/@ani3088/video/7608389561823087880?is_from_webapp=1&amp;sender_device=pc")</f>
        <v>https://www.tiktok.com/@ani3088/video/7608389561823087880?is_from_webapp=1&amp;sender_device=pc</v>
      </c>
      <c r="O131" s="464" t="str">
        <f>IFERROR(__xludf.DUMMYFUNCTION("""COMPUTED_VALUE"""),"KIMME")</f>
        <v>KIMME</v>
      </c>
      <c r="P131" s="279" t="str">
        <f>IFERROR(__xludf.DUMMYFUNCTION("""COMPUTED_VALUE"""),"https://www.tiktok.com/@ani3088/video/7609173812390759688?is_from_webapp=1&amp;sender_device=pc")</f>
        <v>https://www.tiktok.com/@ani3088/video/7609173812390759688?is_from_webapp=1&amp;sender_device=pc</v>
      </c>
    </row>
    <row r="132">
      <c r="A132" s="255" t="str">
        <f>IFERROR(__xludf.DUMMYFUNCTION("""COMPUTED_VALUE"""),"MACRO")</f>
        <v>MACRO</v>
      </c>
      <c r="B132" s="361" t="str">
        <f>IFERROR(__xludf.DUMMYFUNCTION("""COMPUTED_VALUE"""),"nonazawa")</f>
        <v>nonazawa</v>
      </c>
      <c r="C132" s="257" t="str">
        <f>IFERROR(__xludf.DUMMYFUNCTION("""COMPUTED_VALUE"""),"https://www.tiktok.com/@nonazawa")</f>
        <v>https://www.tiktok.com/@nonazawa</v>
      </c>
      <c r="D132" s="270">
        <f>IFERROR(__xludf.DUMMYFUNCTION("""COMPUTED_VALUE"""),8.2137380222E10)</f>
        <v>82137380222</v>
      </c>
      <c r="E132" s="457">
        <f>IFERROR(__xludf.DUMMYFUNCTION("""COMPUTED_VALUE"""),0.0)</f>
        <v>0</v>
      </c>
      <c r="F132" s="270">
        <f>IFERROR(__xludf.DUMMYFUNCTION("""COMPUTED_VALUE"""),1.0)</f>
        <v>1</v>
      </c>
      <c r="G132" s="17" t="str">
        <f>IFERROR(__xludf.DUMMYFUNCTION("""COMPUTED_VALUE"""),"Sabun batang 1 Box ( 2 PCS )")</f>
        <v>Sabun batang 1 Box ( 2 PCS )</v>
      </c>
      <c r="H132" s="463" t="str">
        <f>IFERROR(__xludf.DUMMYFUNCTION("""COMPUTED_VALUE"""),"Sampai")</f>
        <v>Sampai</v>
      </c>
      <c r="I132" s="464" t="str">
        <f>IFERROR(__xludf.DUMMYFUNCTION("""COMPUTED_VALUE"""),"KIMME")</f>
        <v>KIMME</v>
      </c>
      <c r="J132" s="279" t="str">
        <f>IFERROR(__xludf.DUMMYFUNCTION("""COMPUTED_VALUE"""),"https://www.tiktok.com/@nonazawa/video/7630754890830204181?_d=0&amp;_r=1&amp;ec_shared_reflux_dynamic_params=%7B%22placeholder_material_id%22%3A%227630754890830204181%22%2C%22placeholder_origin_cover%22%3A%22https%253A%252F%252Fp16-common-sign.tiktokcdn.com%252Ft"&amp;"os-alisg-p-0037%252FoQzIISFSDMoRn38lDBDAIGyfjRTA4CnIOeE2fq~tplv-tiktokx-origin.jpeg%253Fdr%253D14572%2526refresh_token%253D40287656%2526x-expires%253D1808301600%2526x-signature%253DOtDD%25252FGGp0%25252F3GJgtSSpunyBnVZ6s%25253D%2526t%253D4d5b0474%2526ps%2"&amp;"53D13740610%2526shp%253Dd05b14bd%2526shcp%253D34ff8df6%2526idc%253Dmy3%2526s%253DTIKTOK_AFFILIATE_VIRAL_VIDEO%22%2C%22placeholder_product_id%22%3A%221729427766722726591%22%2C%22placeholder_video_id%22%3A%227630754890830204181%22%7D&amp;ec_shared_reflux_scene="&amp;"shop_tab_feed&amp;mid=7630754952911407893&amp;preview_pb=0&amp;region=&amp;share_item_id=7630754890830204181&amp;sharer_language=&amp;source=h5_t&amp;u_code=d9liaile8494g1")</f>
        <v>https://www.tiktok.com/@nonazawa/video/7630754890830204181?_d=0&amp;_r=1&amp;ec_shared_reflux_dynamic_params=%7B%22placeholder_material_id%22%3A%227630754890830204181%22%2C%22placeholder_origin_cover%22%3A%22https%253A%252F%252Fp16-common-sign.tiktokcdn.com%252Ftos-alisg-p-0037%252FoQzIISFSDMoRn38lDBDAIGyfjRTA4CnIOeE2fq~tplv-tiktokx-origin.jpeg%253Fdr%253D14572%2526refresh_token%253D40287656%2526x-expires%253D1808301600%2526x-signature%253DOtDD%25252FGGp0%25252F3GJgtSSpunyBnVZ6s%25253D%2526t%253D4d5b0474%2526ps%253D13740610%2526shp%253Dd05b14bd%2526shcp%253D34ff8df6%2526idc%253Dmy3%2526s%253DTIKTOK_AFFILIATE_VIRAL_VIDEO%22%2C%22placeholder_product_id%22%3A%221729427766722726591%22%2C%22placeholder_video_id%22%3A%227630754890830204181%22%7D&amp;ec_shared_reflux_scene=shop_tab_feed&amp;mid=7630754952911407893&amp;preview_pb=0&amp;region=&amp;share_item_id=7630754890830204181&amp;sharer_language=&amp;source=h5_t&amp;u_code=d9liaile8494g1</v>
      </c>
      <c r="K132" s="464" t="str">
        <f>IFERROR(__xludf.DUMMYFUNCTION("""COMPUTED_VALUE"""),"KIMME")</f>
        <v>KIMME</v>
      </c>
      <c r="L132" s="279" t="str">
        <f>IFERROR(__xludf.DUMMYFUNCTION("""COMPUTED_VALUE"""),"https://vt.tiktok.com/ZSxQtwc2d/")</f>
        <v>https://vt.tiktok.com/ZSxQtwc2d/</v>
      </c>
      <c r="M132" s="464"/>
      <c r="N132" s="17"/>
      <c r="O132" s="464"/>
      <c r="P132" s="17"/>
    </row>
    <row r="133">
      <c r="A133" s="255" t="str">
        <f>IFERROR(__xludf.DUMMYFUNCTION("""COMPUTED_VALUE"""),"MICRO")</f>
        <v>MICRO</v>
      </c>
      <c r="B133" s="361" t="str">
        <f>IFERROR(__xludf.DUMMYFUNCTION("""COMPUTED_VALUE"""),"belynabeauty")</f>
        <v>belynabeauty</v>
      </c>
      <c r="C133" s="257" t="str">
        <f>IFERROR(__xludf.DUMMYFUNCTION("""COMPUTED_VALUE"""),"https://www.tiktok.com/@belynabeauty")</f>
        <v>https://www.tiktok.com/@belynabeauty</v>
      </c>
      <c r="D133" s="270">
        <f>IFERROR(__xludf.DUMMYFUNCTION("""COMPUTED_VALUE"""),8.5376977248E10)</f>
        <v>85376977248</v>
      </c>
      <c r="E133" s="457">
        <f>IFERROR(__xludf.DUMMYFUNCTION("""COMPUTED_VALUE"""),0.0)</f>
        <v>0</v>
      </c>
      <c r="F133" s="270">
        <f>IFERROR(__xludf.DUMMYFUNCTION("""COMPUTED_VALUE"""),4.0)</f>
        <v>4</v>
      </c>
      <c r="G133" s="17" t="str">
        <f>IFERROR(__xludf.DUMMYFUNCTION("""COMPUTED_VALUE"""),"Sabun batang 1 Box ( 2 PCS )")</f>
        <v>Sabun batang 1 Box ( 2 PCS )</v>
      </c>
      <c r="H133" s="463" t="str">
        <f>IFERROR(__xludf.DUMMYFUNCTION("""COMPUTED_VALUE"""),"Sampai")</f>
        <v>Sampai</v>
      </c>
      <c r="I133" s="464" t="str">
        <f>IFERROR(__xludf.DUMMYFUNCTION("""COMPUTED_VALUE"""),"KIMME")</f>
        <v>KIMME</v>
      </c>
      <c r="J133" s="279" t="str">
        <f>IFERROR(__xludf.DUMMYFUNCTION("""COMPUTED_VALUE"""),"https://www.tiktok.com/@belynabeauty/video/7610696007986203912?is_from_webapp=1&amp;sender_device=pc")</f>
        <v>https://www.tiktok.com/@belynabeauty/video/7610696007986203912?is_from_webapp=1&amp;sender_device=pc</v>
      </c>
      <c r="K133" s="464" t="str">
        <f>IFERROR(__xludf.DUMMYFUNCTION("""COMPUTED_VALUE"""),"KIMME")</f>
        <v>KIMME</v>
      </c>
      <c r="L133" s="279" t="str">
        <f>IFERROR(__xludf.DUMMYFUNCTION("""COMPUTED_VALUE"""),"https://www.tiktok.com/@belynabeauty/video/7610696182377024776?is_from_webapp=1&amp;sender_device=pc")</f>
        <v>https://www.tiktok.com/@belynabeauty/video/7610696182377024776?is_from_webapp=1&amp;sender_device=pc</v>
      </c>
      <c r="M133" s="464" t="str">
        <f>IFERROR(__xludf.DUMMYFUNCTION("""COMPUTED_VALUE"""),"KIMME")</f>
        <v>KIMME</v>
      </c>
      <c r="N133" s="279" t="str">
        <f>IFERROR(__xludf.DUMMYFUNCTION("""COMPUTED_VALUE"""),"https://www.tiktok.com/@belynabeauty/video/7610696590734494994?is_from_webapp=1&amp;sender_device=pc")</f>
        <v>https://www.tiktok.com/@belynabeauty/video/7610696590734494994?is_from_webapp=1&amp;sender_device=pc</v>
      </c>
      <c r="O133" s="464" t="str">
        <f>IFERROR(__xludf.DUMMYFUNCTION("""COMPUTED_VALUE"""),"KIMME")</f>
        <v>KIMME</v>
      </c>
      <c r="P133" s="279" t="str">
        <f>IFERROR(__xludf.DUMMYFUNCTION("""COMPUTED_VALUE"""),"https://www.tiktok.com/@belynabeauty/video/7610696747219717394?is_from_webapp=1&amp;sender_device=pc")</f>
        <v>https://www.tiktok.com/@belynabeauty/video/7610696747219717394?is_from_webapp=1&amp;sender_device=pc</v>
      </c>
    </row>
    <row r="134">
      <c r="A134" s="255" t="str">
        <f>IFERROR(__xludf.DUMMYFUNCTION("""COMPUTED_VALUE"""),"MICRO")</f>
        <v>MICRO</v>
      </c>
      <c r="B134" s="361" t="str">
        <f>IFERROR(__xludf.DUMMYFUNCTION("""COMPUTED_VALUE"""),"rdyfaap")</f>
        <v>rdyfaap</v>
      </c>
      <c r="C134" s="257" t="str">
        <f>IFERROR(__xludf.DUMMYFUNCTION("""COMPUTED_VALUE"""),"https://www.tiktok.com/@rdyfaap")</f>
        <v>https://www.tiktok.com/@rdyfaap</v>
      </c>
      <c r="D134" s="270">
        <f>IFERROR(__xludf.DUMMYFUNCTION("""COMPUTED_VALUE"""),8.2261671259E10)</f>
        <v>82261671259</v>
      </c>
      <c r="E134" s="457">
        <f>IFERROR(__xludf.DUMMYFUNCTION("""COMPUTED_VALUE"""),0.0)</f>
        <v>0</v>
      </c>
      <c r="F134" s="270">
        <f>IFERROR(__xludf.DUMMYFUNCTION("""COMPUTED_VALUE"""),4.0)</f>
        <v>4</v>
      </c>
      <c r="G134" s="17" t="str">
        <f>IFERROR(__xludf.DUMMYFUNCTION("""COMPUTED_VALUE"""),"Sabun batang 1 Box ( 2 PCS )")</f>
        <v>Sabun batang 1 Box ( 2 PCS )</v>
      </c>
      <c r="H134" s="463" t="str">
        <f>IFERROR(__xludf.DUMMYFUNCTION("""COMPUTED_VALUE"""),"Sampai")</f>
        <v>Sampai</v>
      </c>
      <c r="I134" s="464" t="str">
        <f>IFERROR(__xludf.DUMMYFUNCTION("""COMPUTED_VALUE"""),"KIMME")</f>
        <v>KIMME</v>
      </c>
      <c r="J134" s="279" t="str">
        <f>IFERROR(__xludf.DUMMYFUNCTION("""COMPUTED_VALUE"""),"https://vt.tiktok.com/ZSHFP2bVu/")</f>
        <v>https://vt.tiktok.com/ZSHFP2bVu/</v>
      </c>
      <c r="K134" s="464" t="str">
        <f>IFERROR(__xludf.DUMMYFUNCTION("""COMPUTED_VALUE"""),"KIMME")</f>
        <v>KIMME</v>
      </c>
      <c r="L134" s="279" t="str">
        <f>IFERROR(__xludf.DUMMYFUNCTION("""COMPUTED_VALUE"""),"https://vt.tiktok.com/ZSHFP5MRR/")</f>
        <v>https://vt.tiktok.com/ZSHFP5MRR/</v>
      </c>
      <c r="M134" s="464" t="str">
        <f>IFERROR(__xludf.DUMMYFUNCTION("""COMPUTED_VALUE"""),"KIMME")</f>
        <v>KIMME</v>
      </c>
      <c r="N134" s="279" t="str">
        <f>IFERROR(__xludf.DUMMYFUNCTION("""COMPUTED_VALUE"""),"https://vt.tiktok.com/ZSHFPavfS/")</f>
        <v>https://vt.tiktok.com/ZSHFPavfS/</v>
      </c>
      <c r="O134" s="464" t="str">
        <f>IFERROR(__xludf.DUMMYFUNCTION("""COMPUTED_VALUE"""),"KIMME")</f>
        <v>KIMME</v>
      </c>
      <c r="P134" s="279" t="str">
        <f>IFERROR(__xludf.DUMMYFUNCTION("""COMPUTED_VALUE"""),"https://vt.tiktok.com/ZSHFPnvwo/")</f>
        <v>https://vt.tiktok.com/ZSHFPnvwo/</v>
      </c>
    </row>
    <row r="135">
      <c r="A135" s="255" t="str">
        <f>IFERROR(__xludf.DUMMYFUNCTION("""COMPUTED_VALUE"""),"MICRO")</f>
        <v>MICRO</v>
      </c>
      <c r="B135" s="361" t="str">
        <f>IFERROR(__xludf.DUMMYFUNCTION("""COMPUTED_VALUE"""),"arjjsevv25")</f>
        <v>arjjsevv25</v>
      </c>
      <c r="C135" s="257" t="str">
        <f>IFERROR(__xludf.DUMMYFUNCTION("""COMPUTED_VALUE"""),"https://www.tiktok.com/@arjjsevv25")</f>
        <v>https://www.tiktok.com/@arjjsevv25</v>
      </c>
      <c r="D135" s="270">
        <f>IFERROR(__xludf.DUMMYFUNCTION("""COMPUTED_VALUE"""),8.211320793E10)</f>
        <v>82113207930</v>
      </c>
      <c r="E135" s="457">
        <f>IFERROR(__xludf.DUMMYFUNCTION("""COMPUTED_VALUE"""),0.0)</f>
        <v>0</v>
      </c>
      <c r="F135" s="270">
        <f>IFERROR(__xludf.DUMMYFUNCTION("""COMPUTED_VALUE"""),3.0)</f>
        <v>3</v>
      </c>
      <c r="G135" s="17" t="str">
        <f>IFERROR(__xludf.DUMMYFUNCTION("""COMPUTED_VALUE"""),"Sabun batang 1 Box ( 2 PCS )")</f>
        <v>Sabun batang 1 Box ( 2 PCS )</v>
      </c>
      <c r="H135" s="463" t="str">
        <f>IFERROR(__xludf.DUMMYFUNCTION("""COMPUTED_VALUE"""),"Sampai")</f>
        <v>Sampai</v>
      </c>
      <c r="I135" s="464" t="str">
        <f>IFERROR(__xludf.DUMMYFUNCTION("""COMPUTED_VALUE"""),"KIMME")</f>
        <v>KIMME</v>
      </c>
      <c r="J135" s="279" t="str">
        <f>IFERROR(__xludf.DUMMYFUNCTION("""COMPUTED_VALUE"""),"https://www.tiktok.com/@arjjsevv25/video/7609569294392790292?is_from_webapp=1&amp;sender_device=pc")</f>
        <v>https://www.tiktok.com/@arjjsevv25/video/7609569294392790292?is_from_webapp=1&amp;sender_device=pc</v>
      </c>
      <c r="K135" s="464" t="str">
        <f>IFERROR(__xludf.DUMMYFUNCTION("""COMPUTED_VALUE"""),"KIMME")</f>
        <v>KIMME</v>
      </c>
      <c r="L135" s="279" t="str">
        <f>IFERROR(__xludf.DUMMYFUNCTION("""COMPUTED_VALUE"""),"https://www.tiktok.com/@arjjsevv25/video/7612134874085936404?is_from_webapp=1&amp;sender_device=pc")</f>
        <v>https://www.tiktok.com/@arjjsevv25/video/7612134874085936404?is_from_webapp=1&amp;sender_device=pc</v>
      </c>
      <c r="M135" s="464" t="str">
        <f>IFERROR(__xludf.DUMMYFUNCTION("""COMPUTED_VALUE"""),"KIMME")</f>
        <v>KIMME</v>
      </c>
      <c r="N135" s="279" t="str">
        <f>IFERROR(__xludf.DUMMYFUNCTION("""COMPUTED_VALUE"""),"https://www.tiktok.com/@arjjsevv25/video/7614423684291333396?is_from_webapp=1&amp;sender_device=pc")</f>
        <v>https://www.tiktok.com/@arjjsevv25/video/7614423684291333396?is_from_webapp=1&amp;sender_device=pc</v>
      </c>
      <c r="O135" s="464" t="str">
        <f>IFERROR(__xludf.DUMMYFUNCTION("""COMPUTED_VALUE"""),"KIMME")</f>
        <v>KIMME</v>
      </c>
      <c r="P135" s="279" t="str">
        <f>IFERROR(__xludf.DUMMYFUNCTION("""COMPUTED_VALUE"""),"https://www.tiktok.com/@arjjsevv25/video/7620066497922206996?_r=1&amp;u_code=dd457d9l8blhld&amp;region=&amp;mid=7620066536855161618&amp;preview_pb=0&amp;sharer_language=&amp;_d=0&amp;ec_shared_reflux_dynamic_params=%7B%22placeholder_material_id%22%3A%227620066497922206996%22%2C%22pl"&amp;"aceholder_origin_cover%22%3A%22https%253A%252F%252Fp16-sign-sg.tiktokcdn.com%252Ftos-alisg-p-0037%252FoswCfGWGrQH0R6zGEmeATjDoFbfBAFi8VQRfqH~tplv-tiktokx-origin.jpeg%253Fdr%253D14572%2526refresh_token%253D63ca39d0%2526x-expires%253D1806051600%2526x-signat"&amp;"ure%253Dw0gOZth57j655hXQYeoTk3mlkAA%25253D%2526t%253D4d5b0474%2526ps%253D13740610%2526shp%253Dd05b14bd%2526shcp%253D34ff8df6%2526idc%253Dmy2%2526s%253DTIKTOK_AFFILIATE_VIRAL_VIDEO%22%2C%22placeholder_product_id%22%3A%221729427766722726591%22%2C%22placehol"&amp;"der_video_id%22%3A%227620066497922206996%22%7D&amp;ec_shared_reflux_scene=shop_tab_feed&amp;share_item_id=7620066497922206996&amp;source=h5_t")</f>
        <v>https://www.tiktok.com/@arjjsevv25/video/7620066497922206996?_r=1&amp;u_code=dd457d9l8blhld&amp;region=&amp;mid=7620066536855161618&amp;preview_pb=0&amp;sharer_language=&amp;_d=0&amp;ec_shared_reflux_dynamic_params=%7B%22placeholder_material_id%22%3A%227620066497922206996%22%2C%22placeholder_origin_cover%22%3A%22https%253A%252F%252Fp16-sign-sg.tiktokcdn.com%252Ftos-alisg-p-0037%252FoswCfGWGrQH0R6zGEmeATjDoFbfBAFi8VQRfqH~tplv-tiktokx-origin.jpeg%253Fdr%253D14572%2526refresh_token%253D63ca39d0%2526x-expires%253D1806051600%2526x-signature%253Dw0gOZth57j655hXQYeoTk3mlkAA%25253D%2526t%253D4d5b0474%2526ps%253D13740610%2526shp%253Dd05b14bd%2526shcp%253D34ff8df6%2526idc%253Dmy2%2526s%253DTIKTOK_AFFILIATE_VIRAL_VIDEO%22%2C%22placeholder_product_id%22%3A%221729427766722726591%22%2C%22placeholder_video_id%22%3A%227620066497922206996%22%7D&amp;ec_shared_reflux_scene=shop_tab_feed&amp;share_item_id=7620066497922206996&amp;source=h5_t</v>
      </c>
    </row>
    <row r="136">
      <c r="A136" s="255" t="str">
        <f>IFERROR(__xludf.DUMMYFUNCTION("""COMPUTED_VALUE"""),"MACRO")</f>
        <v>MACRO</v>
      </c>
      <c r="B136" s="361" t="str">
        <f>IFERROR(__xludf.DUMMYFUNCTION("""COMPUTED_VALUE"""),"silkyheart_")</f>
        <v>silkyheart_</v>
      </c>
      <c r="C136" s="257" t="str">
        <f>IFERROR(__xludf.DUMMYFUNCTION("""COMPUTED_VALUE"""),"https://www.tiktok.com/@silkyheart_")</f>
        <v>https://www.tiktok.com/@silkyheart_</v>
      </c>
      <c r="D136" s="270">
        <f>IFERROR(__xludf.DUMMYFUNCTION("""COMPUTED_VALUE"""),8.1227291068E10)</f>
        <v>81227291068</v>
      </c>
      <c r="E136" s="457">
        <f>IFERROR(__xludf.DUMMYFUNCTION("""COMPUTED_VALUE"""),0.0)</f>
        <v>0</v>
      </c>
      <c r="F136" s="270">
        <f>IFERROR(__xludf.DUMMYFUNCTION("""COMPUTED_VALUE"""),4.0)</f>
        <v>4</v>
      </c>
      <c r="G136" s="17" t="str">
        <f>IFERROR(__xludf.DUMMYFUNCTION("""COMPUTED_VALUE"""),"Sabun batang 1 Box ( 2 PCS )")</f>
        <v>Sabun batang 1 Box ( 2 PCS )</v>
      </c>
      <c r="H136" s="463" t="str">
        <f>IFERROR(__xludf.DUMMYFUNCTION("""COMPUTED_VALUE"""),"Sampai")</f>
        <v>Sampai</v>
      </c>
      <c r="I136" s="464" t="str">
        <f>IFERROR(__xludf.DUMMYFUNCTION("""COMPUTED_VALUE"""),"KIMME")</f>
        <v>KIMME</v>
      </c>
      <c r="J136" s="279" t="str">
        <f>IFERROR(__xludf.DUMMYFUNCTION("""COMPUTED_VALUE"""),"https://www.tiktok.com/@ikkenovi18/video/7606175527128567058?is_from_webapp=1&amp;sender_device=pc")</f>
        <v>https://www.tiktok.com/@ikkenovi18/video/7606175527128567058?is_from_webapp=1&amp;sender_device=pc</v>
      </c>
      <c r="K136" s="464" t="str">
        <f>IFERROR(__xludf.DUMMYFUNCTION("""COMPUTED_VALUE"""),"KIMME")</f>
        <v>KIMME</v>
      </c>
      <c r="L136" s="279" t="str">
        <f>IFERROR(__xludf.DUMMYFUNCTION("""COMPUTED_VALUE"""),"https://www.tiktok.com/@ikkenovi18/video/7606166102640512274?is_from_webapp=1&amp;sender_device=pc")</f>
        <v>https://www.tiktok.com/@ikkenovi18/video/7606166102640512274?is_from_webapp=1&amp;sender_device=pc</v>
      </c>
      <c r="M136" s="464" t="str">
        <f>IFERROR(__xludf.DUMMYFUNCTION("""COMPUTED_VALUE"""),"KIMME")</f>
        <v>KIMME</v>
      </c>
      <c r="N136" s="279" t="str">
        <f>IFERROR(__xludf.DUMMYFUNCTION("""COMPUTED_VALUE"""),"https://www.tiktok.com/@ikkenovi18/video/7606267908636937480?is_from_webapp=1&amp;sender_device=pc")</f>
        <v>https://www.tiktok.com/@ikkenovi18/video/7606267908636937480?is_from_webapp=1&amp;sender_device=pc</v>
      </c>
      <c r="O136" s="464" t="str">
        <f>IFERROR(__xludf.DUMMYFUNCTION("""COMPUTED_VALUE"""),"KIMME")</f>
        <v>KIMME</v>
      </c>
      <c r="P136" s="279" t="str">
        <f>IFERROR(__xludf.DUMMYFUNCTION("""COMPUTED_VALUE"""),"https://www.tiktok.com/@ikkenovi18/video/7608032759923166482?is_from_webapp=1&amp;sender_device=pc")</f>
        <v>https://www.tiktok.com/@ikkenovi18/video/7608032759923166482?is_from_webapp=1&amp;sender_device=pc</v>
      </c>
    </row>
    <row r="137">
      <c r="A137" s="255" t="str">
        <f>IFERROR(__xludf.DUMMYFUNCTION("""COMPUTED_VALUE"""),"MACRO")</f>
        <v>MACRO</v>
      </c>
      <c r="B137" s="361" t="str">
        <f>IFERROR(__xludf.DUMMYFUNCTION("""COMPUTED_VALUE"""),"amayrzki")</f>
        <v>amayrzki</v>
      </c>
      <c r="C137" s="257" t="str">
        <f>IFERROR(__xludf.DUMMYFUNCTION("""COMPUTED_VALUE"""),"https://www.tiktok.com/@amayrzki")</f>
        <v>https://www.tiktok.com/@amayrzki</v>
      </c>
      <c r="D137" s="270">
        <f>IFERROR(__xludf.DUMMYFUNCTION("""COMPUTED_VALUE"""),8.7841227598E10)</f>
        <v>87841227598</v>
      </c>
      <c r="E137" s="457">
        <f>IFERROR(__xludf.DUMMYFUNCTION("""COMPUTED_VALUE"""),0.0)</f>
        <v>0</v>
      </c>
      <c r="F137" s="270">
        <f>IFERROR(__xludf.DUMMYFUNCTION("""COMPUTED_VALUE"""),4.0)</f>
        <v>4</v>
      </c>
      <c r="G137" s="17" t="str">
        <f>IFERROR(__xludf.DUMMYFUNCTION("""COMPUTED_VALUE"""),"Sabun batang 1 Box ( 2 PCS )")</f>
        <v>Sabun batang 1 Box ( 2 PCS )</v>
      </c>
      <c r="H137" s="463" t="str">
        <f>IFERROR(__xludf.DUMMYFUNCTION("""COMPUTED_VALUE"""),"Sampai")</f>
        <v>Sampai</v>
      </c>
      <c r="I137" s="464" t="str">
        <f>IFERROR(__xludf.DUMMYFUNCTION("""COMPUTED_VALUE"""),"KIMME")</f>
        <v>KIMME</v>
      </c>
      <c r="J137" s="279" t="str">
        <f>IFERROR(__xludf.DUMMYFUNCTION("""COMPUTED_VALUE"""),"https://www.tiktok.com/@amayrzki/video/7607064592925068551")</f>
        <v>https://www.tiktok.com/@amayrzki/video/7607064592925068551</v>
      </c>
      <c r="K137" s="464" t="str">
        <f>IFERROR(__xludf.DUMMYFUNCTION("""COMPUTED_VALUE"""),"KIMME")</f>
        <v>KIMME</v>
      </c>
      <c r="L137" s="279" t="str">
        <f>IFERROR(__xludf.DUMMYFUNCTION("""COMPUTED_VALUE"""),"https://www.tiktok.com/@amayrzki/video/7607065560047979784")</f>
        <v>https://www.tiktok.com/@amayrzki/video/7607065560047979784</v>
      </c>
      <c r="M137" s="464" t="str">
        <f>IFERROR(__xludf.DUMMYFUNCTION("""COMPUTED_VALUE"""),"KIMME")</f>
        <v>KIMME</v>
      </c>
      <c r="N137" s="279" t="str">
        <f>IFERROR(__xludf.DUMMYFUNCTION("""COMPUTED_VALUE"""),"https://www.tiktok.com/@amayrzki/video/7607066391509880071")</f>
        <v>https://www.tiktok.com/@amayrzki/video/7607066391509880071</v>
      </c>
      <c r="O137" s="464" t="str">
        <f>IFERROR(__xludf.DUMMYFUNCTION("""COMPUTED_VALUE"""),"KIMME")</f>
        <v>KIMME</v>
      </c>
      <c r="P137" s="279" t="str">
        <f>IFERROR(__xludf.DUMMYFUNCTION("""COMPUTED_VALUE"""),"https://www.tiktok.com/@amayrzki/video/7607067004817722632")</f>
        <v>https://www.tiktok.com/@amayrzki/video/7607067004817722632</v>
      </c>
    </row>
    <row r="138">
      <c r="A138" s="255" t="str">
        <f>IFERROR(__xludf.DUMMYFUNCTION("""COMPUTED_VALUE"""),"MICRO")</f>
        <v>MICRO</v>
      </c>
      <c r="B138" s="361" t="str">
        <f>IFERROR(__xludf.DUMMYFUNCTION("""COMPUTED_VALUE"""),"fiska_septiana")</f>
        <v>fiska_septiana</v>
      </c>
      <c r="C138" s="257" t="str">
        <f>IFERROR(__xludf.DUMMYFUNCTION("""COMPUTED_VALUE"""),"https://www.tiktok.com/@fiska_septiana")</f>
        <v>https://www.tiktok.com/@fiska_septiana</v>
      </c>
      <c r="D138" s="270">
        <f>IFERROR(__xludf.DUMMYFUNCTION("""COMPUTED_VALUE"""),8.2269224454E10)</f>
        <v>82269224454</v>
      </c>
      <c r="E138" s="457">
        <f>IFERROR(__xludf.DUMMYFUNCTION("""COMPUTED_VALUE"""),0.0)</f>
        <v>0</v>
      </c>
      <c r="F138" s="270">
        <f>IFERROR(__xludf.DUMMYFUNCTION("""COMPUTED_VALUE"""),4.0)</f>
        <v>4</v>
      </c>
      <c r="G138" s="17" t="str">
        <f>IFERROR(__xludf.DUMMYFUNCTION("""COMPUTED_VALUE"""),"Sabun batang 1 Box ( 2 PCS )")</f>
        <v>Sabun batang 1 Box ( 2 PCS )</v>
      </c>
      <c r="H138" s="463" t="str">
        <f>IFERROR(__xludf.DUMMYFUNCTION("""COMPUTED_VALUE"""),"Sampai")</f>
        <v>Sampai</v>
      </c>
      <c r="I138" s="464" t="str">
        <f>IFERROR(__xludf.DUMMYFUNCTION("""COMPUTED_VALUE"""),"KIMME")</f>
        <v>KIMME</v>
      </c>
      <c r="J138" s="279" t="str">
        <f>IFERROR(__xludf.DUMMYFUNCTION("""COMPUTED_VALUE"""),"https://vt.tiktok.com/ZSHFPQv1m/")</f>
        <v>https://vt.tiktok.com/ZSHFPQv1m/</v>
      </c>
      <c r="K138" s="464" t="str">
        <f>IFERROR(__xludf.DUMMYFUNCTION("""COMPUTED_VALUE"""),"KIMME")</f>
        <v>KIMME</v>
      </c>
      <c r="L138" s="279" t="str">
        <f>IFERROR(__xludf.DUMMYFUNCTION("""COMPUTED_VALUE"""),"https://vt.tiktok.com/ZSHFPwDQT/")</f>
        <v>https://vt.tiktok.com/ZSHFPwDQT/</v>
      </c>
      <c r="M138" s="464" t="str">
        <f>IFERROR(__xludf.DUMMYFUNCTION("""COMPUTED_VALUE"""),"KIMME")</f>
        <v>KIMME</v>
      </c>
      <c r="N138" s="279" t="str">
        <f>IFERROR(__xludf.DUMMYFUNCTION("""COMPUTED_VALUE"""),"https://vt.tiktok.com/ZSHFPTq8A/")</f>
        <v>https://vt.tiktok.com/ZSHFPTq8A/</v>
      </c>
      <c r="O138" s="464" t="str">
        <f>IFERROR(__xludf.DUMMYFUNCTION("""COMPUTED_VALUE"""),"KIMME")</f>
        <v>KIMME</v>
      </c>
      <c r="P138" s="279" t="str">
        <f>IFERROR(__xludf.DUMMYFUNCTION("""COMPUTED_VALUE"""),"https://vt.tiktok.com/ZSHF5rjcu/")</f>
        <v>https://vt.tiktok.com/ZSHF5rjcu/</v>
      </c>
    </row>
    <row r="139">
      <c r="A139" s="255" t="str">
        <f>IFERROR(__xludf.DUMMYFUNCTION("""COMPUTED_VALUE"""),"MICRO")</f>
        <v>MICRO</v>
      </c>
      <c r="B139" s="361" t="str">
        <f>IFERROR(__xludf.DUMMYFUNCTION("""COMPUTED_VALUE"""),"allfi077")</f>
        <v>allfi077</v>
      </c>
      <c r="C139" s="257" t="str">
        <f>IFERROR(__xludf.DUMMYFUNCTION("""COMPUTED_VALUE"""),"https://www.tiktok.com/@allfi077")</f>
        <v>https://www.tiktok.com/@allfi077</v>
      </c>
      <c r="D139" s="270">
        <f>IFERROR(__xludf.DUMMYFUNCTION("""COMPUTED_VALUE"""),8.2132734721E10)</f>
        <v>82132734721</v>
      </c>
      <c r="E139" s="457">
        <f>IFERROR(__xludf.DUMMYFUNCTION("""COMPUTED_VALUE"""),0.0)</f>
        <v>0</v>
      </c>
      <c r="F139" s="270">
        <f>IFERROR(__xludf.DUMMYFUNCTION("""COMPUTED_VALUE"""),4.0)</f>
        <v>4</v>
      </c>
      <c r="G139" s="17" t="str">
        <f>IFERROR(__xludf.DUMMYFUNCTION("""COMPUTED_VALUE"""),"Sabun batang 1 Box ( 2 PCS )")</f>
        <v>Sabun batang 1 Box ( 2 PCS )</v>
      </c>
      <c r="H139" s="463" t="str">
        <f>IFERROR(__xludf.DUMMYFUNCTION("""COMPUTED_VALUE"""),"Sampai")</f>
        <v>Sampai</v>
      </c>
      <c r="I139" s="464" t="str">
        <f>IFERROR(__xludf.DUMMYFUNCTION("""COMPUTED_VALUE"""),"KIMME")</f>
        <v>KIMME</v>
      </c>
      <c r="J139" s="279" t="str">
        <f>IFERROR(__xludf.DUMMYFUNCTION("""COMPUTED_VALUE"""),"https://www.tiktok.com/@allfi077/video/7608617759236312340?is_from_webapp=1&amp;sender_device=pc")</f>
        <v>https://www.tiktok.com/@allfi077/video/7608617759236312340?is_from_webapp=1&amp;sender_device=pc</v>
      </c>
      <c r="K139" s="464" t="str">
        <f>IFERROR(__xludf.DUMMYFUNCTION("""COMPUTED_VALUE"""),"KIMME")</f>
        <v>KIMME</v>
      </c>
      <c r="L139" s="279" t="str">
        <f>IFERROR(__xludf.DUMMYFUNCTION("""COMPUTED_VALUE"""),"https://vt.tiktok.com/ZSuBSMj6u/")</f>
        <v>https://vt.tiktok.com/ZSuBSMj6u/</v>
      </c>
      <c r="M139" s="464" t="str">
        <f>IFERROR(__xludf.DUMMYFUNCTION("""COMPUTED_VALUE"""),"KIMME")</f>
        <v>KIMME</v>
      </c>
      <c r="N139" s="279" t="str">
        <f>IFERROR(__xludf.DUMMYFUNCTION("""COMPUTED_VALUE"""),"https://vt.tiktok.com/ZSuBBo8FK/")</f>
        <v>https://vt.tiktok.com/ZSuBBo8FK/</v>
      </c>
      <c r="O139" s="464" t="str">
        <f>IFERROR(__xludf.DUMMYFUNCTION("""COMPUTED_VALUE"""),"KIMME")</f>
        <v>KIMME</v>
      </c>
      <c r="P139" s="279" t="str">
        <f>IFERROR(__xludf.DUMMYFUNCTION("""COMPUTED_VALUE"""),"https://vt.tiktok.com/ZSuBSgS2e/")</f>
        <v>https://vt.tiktok.com/ZSuBSgS2e/</v>
      </c>
    </row>
    <row r="140">
      <c r="A140" s="255" t="str">
        <f>IFERROR(__xludf.DUMMYFUNCTION("""COMPUTED_VALUE"""),"MICRO")</f>
        <v>MICRO</v>
      </c>
      <c r="B140" s="361" t="str">
        <f>IFERROR(__xludf.DUMMYFUNCTION("""COMPUTED_VALUE"""),"nurul.aulia.r")</f>
        <v>nurul.aulia.r</v>
      </c>
      <c r="C140" s="257" t="str">
        <f>IFERROR(__xludf.DUMMYFUNCTION("""COMPUTED_VALUE"""),"https://www.tiktok.com/@nurul.aulia.r")</f>
        <v>https://www.tiktok.com/@nurul.aulia.r</v>
      </c>
      <c r="D140" s="270">
        <f>IFERROR(__xludf.DUMMYFUNCTION("""COMPUTED_VALUE"""),8.1395850398E10)</f>
        <v>81395850398</v>
      </c>
      <c r="E140" s="457">
        <f>IFERROR(__xludf.DUMMYFUNCTION("""COMPUTED_VALUE"""),0.0)</f>
        <v>0</v>
      </c>
      <c r="F140" s="270">
        <f>IFERROR(__xludf.DUMMYFUNCTION("""COMPUTED_VALUE"""),2.0)</f>
        <v>2</v>
      </c>
      <c r="G140" s="17" t="str">
        <f>IFERROR(__xludf.DUMMYFUNCTION("""COMPUTED_VALUE"""),"Sabun batang 1 Box ( 2 PCS )")</f>
        <v>Sabun batang 1 Box ( 2 PCS )</v>
      </c>
      <c r="H140" s="463" t="str">
        <f>IFERROR(__xludf.DUMMYFUNCTION("""COMPUTED_VALUE"""),"Sampai")</f>
        <v>Sampai</v>
      </c>
      <c r="I140" s="464" t="str">
        <f>IFERROR(__xludf.DUMMYFUNCTION("""COMPUTED_VALUE"""),"KIMME")</f>
        <v>KIMME</v>
      </c>
      <c r="J140" s="279" t="str">
        <f>IFERROR(__xludf.DUMMYFUNCTION("""COMPUTED_VALUE"""),"https://www.tiktok.com/@jossone_/video/7619462019133000980?is_from_webapp=1&amp;sender_device=pc&amp;web_id=7611930277489657360")</f>
        <v>https://www.tiktok.com/@jossone_/video/7619462019133000980?is_from_webapp=1&amp;sender_device=pc&amp;web_id=7611930277489657360</v>
      </c>
      <c r="K140" s="464" t="str">
        <f>IFERROR(__xludf.DUMMYFUNCTION("""COMPUTED_VALUE"""),"KIMME")</f>
        <v>KIMME</v>
      </c>
      <c r="L140" s="279" t="str">
        <f>IFERROR(__xludf.DUMMYFUNCTION("""COMPUTED_VALUE"""),"https://www.tiktok.com/@jossone_/video/7621135760644656405?is_from_webapp=1&amp;sender_device=pc&amp;web_id=7611930277489657360")</f>
        <v>https://www.tiktok.com/@jossone_/video/7621135760644656405?is_from_webapp=1&amp;sender_device=pc&amp;web_id=7611930277489657360</v>
      </c>
      <c r="M140" s="464"/>
      <c r="N140" s="17" t="str">
        <f>IFERROR(__xludf.DUMMYFUNCTION("""COMPUTED_VALUE"""),"https://www.tiktok.com/@tarigumala3/video/7636589496984751380?_r=1&amp;u_code=e9c26b44f9k0e0&amp;region=ID&amp;mid=7584991766089124626&amp;preview_pb=0&amp;sharer_language=id&amp;_d=ecd4mj4mma9l93&amp;ec_shared_reflux_dynamic_params=%7B%22placeholder_material_id%22%3A%22763658949698"&amp;"4751380%22%2C%22placeholder_origin_cover%22%3A%22https%253A%252F%252Fp16-common-sign.tiktokcdn.com%252Ftos-alisg-p-0037%252Fo4IcQ04jBIsp0fD6D2AFjebYQfnbTjEC6B046A~tplv-tiktokx-origin.webp%253Fdr%253D14572%2526refresh_token%253D86037409%2526x-expires%253D1"&amp;"809572400%2526x-signature%253DvvByGqZILSmUhTQF1T7ACeu%25252BCWU%25253D%2526t%253D4d5b0474%2526ps%253D13740610%2526shp%253Dd05b14bd%2526shcp%253D34ff8df6%2526idc%253Dsg1%2526s%253DPUBLISH%22%2C%22placeholder_product_id%22%3A%221729767597228983999%22%2C%22p"&amp;"laceholder_video_id%22%3A%227636589496984751380%22%7D&amp;ec_shared_reflux_scene=shop_tab_feed&amp;share_item_id=7636589496984751380&amp;source=h5_t&amp;timestamp=1778039206&amp;user_id=7265268939763680262&amp;sec_user_id=MS4wLjABAAAAPaXvRyDf-oQGScjNncwWMYDbd3M7mlGd8VvwyRd_PhSJf"&amp;"HRZrEvMBZQWMWGBSUUn&amp;item_author_type=1&amp;social_share_type=0&amp;utm_source=whatsapp&amp;utm_campaign=client_share&amp;utm_medium=android&amp;share_iid=7633990124074714896&amp;share_link_id=66b4b5f7-4ce5-43d5-a66c-3488f6a53713&amp;share_app_id=1180&amp;ugbiz_name=MAIN&amp;ug_btm=b8727%2Cb"&amp;"2878&amp;sp_root_share_link_id=66b4b5f7-4ce5-43d5-a66c-3488f6a53713&amp;link_reflow_popup_iteration_sharer=%7B%22click_empty_to_play%22%3A1%2C%22dynamic_cover%22%3A1%2C%22follow_to_play_duration%22%3A-1.0%2C%22profile_clickable%22%3A1%7D&amp;enable_checksum=1&amp;sp_leve"&amp;"l=1&amp;sp_root_u=e9c26b44f9k0e0&amp;sp_root_d=ecd4mj4mma9l93")</f>
        <v>https://www.tiktok.com/@tarigumala3/video/7636589496984751380?_r=1&amp;u_code=e9c26b44f9k0e0&amp;region=ID&amp;mid=7584991766089124626&amp;preview_pb=0&amp;sharer_language=id&amp;_d=ecd4mj4mma9l93&amp;ec_shared_reflux_dynamic_params=%7B%22placeholder_material_id%22%3A%227636589496984751380%22%2C%22placeholder_origin_cover%22%3A%22https%253A%252F%252Fp16-common-sign.tiktokcdn.com%252Ftos-alisg-p-0037%252Fo4IcQ04jBIsp0fD6D2AFjebYQfnbTjEC6B046A~tplv-tiktokx-origin.webp%253Fdr%253D14572%2526refresh_token%253D86037409%2526x-expires%253D1809572400%2526x-signature%253DvvByGqZILSmUhTQF1T7ACeu%25252BCWU%25253D%2526t%253D4d5b0474%2526ps%253D13740610%2526shp%253Dd05b14bd%2526shcp%253D34ff8df6%2526idc%253Dsg1%2526s%253DPUBLISH%22%2C%22placeholder_product_id%22%3A%221729767597228983999%22%2C%22placeholder_video_id%22%3A%227636589496984751380%22%7D&amp;ec_shared_reflux_scene=shop_tab_feed&amp;share_item_id=7636589496984751380&amp;source=h5_t&amp;timestamp=1778039206&amp;user_id=7265268939763680262&amp;sec_user_id=MS4wLjABAAAAPaXvRyDf-oQGScjNncwWMYDbd3M7mlGd8VvwyRd_PhSJfHRZrEvMBZQWMWGBSUUn&amp;item_author_type=1&amp;social_share_type=0&amp;utm_source=whatsapp&amp;utm_campaign=client_share&amp;utm_medium=android&amp;share_iid=7633990124074714896&amp;share_link_id=66b4b5f7-4ce5-43d5-a66c-3488f6a53713&amp;share_app_id=1180&amp;ugbiz_name=MAIN&amp;ug_btm=b8727%2Cb2878&amp;sp_root_share_link_id=66b4b5f7-4ce5-43d5-a66c-3488f6a53713&amp;link_reflow_popup_iteration_sharer=%7B%22click_empty_to_play%22%3A1%2C%22dynamic_cover%22%3A1%2C%22follow_to_play_duration%22%3A-1.0%2C%22profile_clickable%22%3A1%7D&amp;enable_checksum=1&amp;sp_level=1&amp;sp_root_u=e9c26b44f9k0e0&amp;sp_root_d=ecd4mj4mma9l93</v>
      </c>
      <c r="O140" s="464"/>
      <c r="P140" s="279" t="str">
        <f>IFERROR(__xludf.DUMMYFUNCTION("""COMPUTED_VALUE"""),"https://vt.tiktok.com/ZS9qrXk3a/")</f>
        <v>https://vt.tiktok.com/ZS9qrXk3a/</v>
      </c>
    </row>
    <row r="141">
      <c r="A141" s="255" t="str">
        <f>IFERROR(__xludf.DUMMYFUNCTION("""COMPUTED_VALUE"""),"MICRO")</f>
        <v>MICRO</v>
      </c>
      <c r="B141" s="361" t="str">
        <f>IFERROR(__xludf.DUMMYFUNCTION("""COMPUTED_VALUE"""),"serra_xera")</f>
        <v>serra_xera</v>
      </c>
      <c r="C141" s="257" t="str">
        <f>IFERROR(__xludf.DUMMYFUNCTION("""COMPUTED_VALUE"""),"https://www.tiktok.com/@serra_xera")</f>
        <v>https://www.tiktok.com/@serra_xera</v>
      </c>
      <c r="D141" s="270">
        <f>IFERROR(__xludf.DUMMYFUNCTION("""COMPUTED_VALUE"""),8.1312983639E10)</f>
        <v>81312983639</v>
      </c>
      <c r="E141" s="457">
        <f>IFERROR(__xludf.DUMMYFUNCTION("""COMPUTED_VALUE"""),0.0)</f>
        <v>0</v>
      </c>
      <c r="F141" s="270">
        <f>IFERROR(__xludf.DUMMYFUNCTION("""COMPUTED_VALUE"""),4.0)</f>
        <v>4</v>
      </c>
      <c r="G141" s="17" t="str">
        <f>IFERROR(__xludf.DUMMYFUNCTION("""COMPUTED_VALUE"""),"Sabun batang 1 Box ( 2 PCS )")</f>
        <v>Sabun batang 1 Box ( 2 PCS )</v>
      </c>
      <c r="H141" s="463" t="str">
        <f>IFERROR(__xludf.DUMMYFUNCTION("""COMPUTED_VALUE"""),"Sampai")</f>
        <v>Sampai</v>
      </c>
      <c r="I141" s="464" t="str">
        <f>IFERROR(__xludf.DUMMYFUNCTION("""COMPUTED_VALUE"""),"KIMME")</f>
        <v>KIMME</v>
      </c>
      <c r="J141" s="279" t="str">
        <f>IFERROR(__xludf.DUMMYFUNCTION("""COMPUTED_VALUE"""),"https://www.tiktok.com/@serra_xera/video/7608341335753428244?is_from_webapp=1&amp;sender_device=pc")</f>
        <v>https://www.tiktok.com/@serra_xera/video/7608341335753428244?is_from_webapp=1&amp;sender_device=pc</v>
      </c>
      <c r="K141" s="464" t="str">
        <f>IFERROR(__xludf.DUMMYFUNCTION("""COMPUTED_VALUE"""),"KIMME")</f>
        <v>KIMME</v>
      </c>
      <c r="L141" s="279" t="str">
        <f>IFERROR(__xludf.DUMMYFUNCTION("""COMPUTED_VALUE"""),"https://www.tiktok.com/@serra_xera/video/7608449269091011860?is_from_webapp=1&amp;sender_device=pc")</f>
        <v>https://www.tiktok.com/@serra_xera/video/7608449269091011860?is_from_webapp=1&amp;sender_device=pc</v>
      </c>
      <c r="M141" s="464" t="str">
        <f>IFERROR(__xludf.DUMMYFUNCTION("""COMPUTED_VALUE"""),"KIMME")</f>
        <v>KIMME</v>
      </c>
      <c r="N141" s="279" t="str">
        <f>IFERROR(__xludf.DUMMYFUNCTION("""COMPUTED_VALUE"""),"https://www.tiktok.com/@serra_xera/video/7609913878520007956?is_from_webapp=1&amp;sender_device=pc")</f>
        <v>https://www.tiktok.com/@serra_xera/video/7609913878520007956?is_from_webapp=1&amp;sender_device=pc</v>
      </c>
      <c r="O141" s="464" t="str">
        <f>IFERROR(__xludf.DUMMYFUNCTION("""COMPUTED_VALUE"""),"KIMME")</f>
        <v>KIMME</v>
      </c>
      <c r="P141" s="279" t="str">
        <f>IFERROR(__xludf.DUMMYFUNCTION("""COMPUTED_VALUE"""),"https://www.tiktok.com/@serra_xera/video/7610412208870231317?is_from_webapp=1&amp;sender_device=pc")</f>
        <v>https://www.tiktok.com/@serra_xera/video/7610412208870231317?is_from_webapp=1&amp;sender_device=pc</v>
      </c>
    </row>
    <row r="142">
      <c r="A142" s="255" t="str">
        <f>IFERROR(__xludf.DUMMYFUNCTION("""COMPUTED_VALUE"""),"MICRO")</f>
        <v>MICRO</v>
      </c>
      <c r="B142" s="361" t="str">
        <f>IFERROR(__xludf.DUMMYFUNCTION("""COMPUTED_VALUE"""),"ririnrynti__")</f>
        <v>ririnrynti__</v>
      </c>
      <c r="C142" s="257" t="str">
        <f>IFERROR(__xludf.DUMMYFUNCTION("""COMPUTED_VALUE"""),"https://www.tiktok.com/@ririnrynti__")</f>
        <v>https://www.tiktok.com/@ririnrynti__</v>
      </c>
      <c r="D142" s="270">
        <f>IFERROR(__xludf.DUMMYFUNCTION("""COMPUTED_VALUE"""),8.2120959912E10)</f>
        <v>82120959912</v>
      </c>
      <c r="E142" s="457">
        <f>IFERROR(__xludf.DUMMYFUNCTION("""COMPUTED_VALUE"""),0.0)</f>
        <v>0</v>
      </c>
      <c r="F142" s="270">
        <f>IFERROR(__xludf.DUMMYFUNCTION("""COMPUTED_VALUE"""),4.0)</f>
        <v>4</v>
      </c>
      <c r="G142" s="17" t="str">
        <f>IFERROR(__xludf.DUMMYFUNCTION("""COMPUTED_VALUE"""),"Sabun batang 1 Box ( 2 PCS )")</f>
        <v>Sabun batang 1 Box ( 2 PCS )</v>
      </c>
      <c r="H142" s="463" t="str">
        <f>IFERROR(__xludf.DUMMYFUNCTION("""COMPUTED_VALUE"""),"Sampai")</f>
        <v>Sampai</v>
      </c>
      <c r="I142" s="464" t="str">
        <f>IFERROR(__xludf.DUMMYFUNCTION("""COMPUTED_VALUE"""),"KIMME")</f>
        <v>KIMME</v>
      </c>
      <c r="J142" s="279" t="str">
        <f>IFERROR(__xludf.DUMMYFUNCTION("""COMPUTED_VALUE"""),"https://vt.tiktok.com/ZSuR2uTmM/")</f>
        <v>https://vt.tiktok.com/ZSuR2uTmM/</v>
      </c>
      <c r="K142" s="464" t="str">
        <f>IFERROR(__xludf.DUMMYFUNCTION("""COMPUTED_VALUE"""),"KIMME")</f>
        <v>KIMME</v>
      </c>
      <c r="L142" s="279" t="str">
        <f>IFERROR(__xludf.DUMMYFUNCTION("""COMPUTED_VALUE"""),"https://vt.tiktok.com/ZSHLfVqj5/")</f>
        <v>https://vt.tiktok.com/ZSHLfVqj5/</v>
      </c>
      <c r="M142" s="464" t="str">
        <f>IFERROR(__xludf.DUMMYFUNCTION("""COMPUTED_VALUE"""),"KIMME")</f>
        <v>KIMME</v>
      </c>
      <c r="N142" s="279" t="str">
        <f>IFERROR(__xludf.DUMMYFUNCTION("""COMPUTED_VALUE"""),"https://vt.tiktok.com/ZS9q63Y6t/")</f>
        <v>https://vt.tiktok.com/ZS9q63Y6t/</v>
      </c>
      <c r="O142" s="464" t="str">
        <f>IFERROR(__xludf.DUMMYFUNCTION("""COMPUTED_VALUE"""),"KIMME")</f>
        <v>KIMME</v>
      </c>
      <c r="P142" s="279" t="str">
        <f>IFERROR(__xludf.DUMMYFUNCTION("""COMPUTED_VALUE"""),"https://vt.tiktok.com/ZS9qMR9Aq/")</f>
        <v>https://vt.tiktok.com/ZS9qMR9Aq/</v>
      </c>
    </row>
    <row r="143">
      <c r="A143" s="255" t="str">
        <f>IFERROR(__xludf.DUMMYFUNCTION("""COMPUTED_VALUE"""),"MICRO")</f>
        <v>MICRO</v>
      </c>
      <c r="B143" s="361" t="str">
        <f>IFERROR(__xludf.DUMMYFUNCTION("""COMPUTED_VALUE"""),"chessieyumiko")</f>
        <v>chessieyumiko</v>
      </c>
      <c r="C143" s="257" t="str">
        <f>IFERROR(__xludf.DUMMYFUNCTION("""COMPUTED_VALUE"""),"https://www.tiktok.com/@chessieyumiko")</f>
        <v>https://www.tiktok.com/@chessieyumiko</v>
      </c>
      <c r="D143" s="270">
        <f>IFERROR(__xludf.DUMMYFUNCTION("""COMPUTED_VALUE"""),8.7754631716E10)</f>
        <v>87754631716</v>
      </c>
      <c r="E143" s="457">
        <f>IFERROR(__xludf.DUMMYFUNCTION("""COMPUTED_VALUE"""),0.0)</f>
        <v>0</v>
      </c>
      <c r="F143" s="270">
        <f>IFERROR(__xludf.DUMMYFUNCTION("""COMPUTED_VALUE"""),1.0)</f>
        <v>1</v>
      </c>
      <c r="G143" s="17" t="str">
        <f>IFERROR(__xludf.DUMMYFUNCTION("""COMPUTED_VALUE"""),"Sabun batang 1 Box ( 2 PCS )")</f>
        <v>Sabun batang 1 Box ( 2 PCS )</v>
      </c>
      <c r="H143" s="463" t="str">
        <f>IFERROR(__xludf.DUMMYFUNCTION("""COMPUTED_VALUE"""),"Sampai")</f>
        <v>Sampai</v>
      </c>
      <c r="I143" s="464" t="str">
        <f>IFERROR(__xludf.DUMMYFUNCTION("""COMPUTED_VALUE"""),"KIMME")</f>
        <v>KIMME</v>
      </c>
      <c r="J143" s="279" t="str">
        <f>IFERROR(__xludf.DUMMYFUNCTION("""COMPUTED_VALUE"""),"https://vt.tiktok.com/ZS9q6WkPa/")</f>
        <v>https://vt.tiktok.com/ZS9q6WkPa/</v>
      </c>
      <c r="K143" s="464" t="str">
        <f>IFERROR(__xludf.DUMMYFUNCTION("""COMPUTED_VALUE"""),"KIMME")</f>
        <v>KIMME</v>
      </c>
      <c r="L143" s="279" t="str">
        <f>IFERROR(__xludf.DUMMYFUNCTION("""COMPUTED_VALUE"""),"https://vt.tiktok.com/ZS9q6W6Cm/")</f>
        <v>https://vt.tiktok.com/ZS9q6W6Cm/</v>
      </c>
      <c r="M143" s="464"/>
      <c r="N143" s="279" t="str">
        <f>IFERROR(__xludf.DUMMYFUNCTION("""COMPUTED_VALUE"""),"https://vt.tiktok.com/ZS9qMeRmV/")</f>
        <v>https://vt.tiktok.com/ZS9qMeRmV/</v>
      </c>
      <c r="O143" s="464"/>
      <c r="P143" s="279" t="str">
        <f>IFERROR(__xludf.DUMMYFUNCTION("""COMPUTED_VALUE"""),"https://vt.tiktok.com/ZS9qM8nkK/")</f>
        <v>https://vt.tiktok.com/ZS9qM8nkK/</v>
      </c>
    </row>
    <row r="144">
      <c r="A144" s="255" t="str">
        <f>IFERROR(__xludf.DUMMYFUNCTION("""COMPUTED_VALUE"""),"MICRO")</f>
        <v>MICRO</v>
      </c>
      <c r="B144" s="361" t="str">
        <f>IFERROR(__xludf.DUMMYFUNCTION("""COMPUTED_VALUE"""),"ndiranavsyari")</f>
        <v>ndiranavsyari</v>
      </c>
      <c r="C144" s="257" t="str">
        <f>IFERROR(__xludf.DUMMYFUNCTION("""COMPUTED_VALUE"""),"https://www.tiktok.com/@ndiranavsyari")</f>
        <v>https://www.tiktok.com/@ndiranavsyari</v>
      </c>
      <c r="D144" s="270">
        <f>IFERROR(__xludf.DUMMYFUNCTION("""COMPUTED_VALUE"""),8.5751160469E10)</f>
        <v>85751160469</v>
      </c>
      <c r="E144" s="457">
        <f>IFERROR(__xludf.DUMMYFUNCTION("""COMPUTED_VALUE"""),0.0)</f>
        <v>0</v>
      </c>
      <c r="F144" s="270">
        <f>IFERROR(__xludf.DUMMYFUNCTION("""COMPUTED_VALUE"""),2.0)</f>
        <v>2</v>
      </c>
      <c r="G144" s="17" t="str">
        <f>IFERROR(__xludf.DUMMYFUNCTION("""COMPUTED_VALUE"""),"Sabun batang 1 Box ( 2 PCS )")</f>
        <v>Sabun batang 1 Box ( 2 PCS )</v>
      </c>
      <c r="H144" s="463" t="str">
        <f>IFERROR(__xludf.DUMMYFUNCTION("""COMPUTED_VALUE"""),"Sampai")</f>
        <v>Sampai</v>
      </c>
      <c r="I144" s="464" t="str">
        <f>IFERROR(__xludf.DUMMYFUNCTION("""COMPUTED_VALUE"""),"KIMME")</f>
        <v>KIMME</v>
      </c>
      <c r="J144" s="279" t="str">
        <f>IFERROR(__xludf.DUMMYFUNCTION("""COMPUTED_VALUE"""),"https://vt.tiktok.com/ZSmQTxTHh/")</f>
        <v>https://vt.tiktok.com/ZSmQTxTHh/</v>
      </c>
      <c r="K144" s="464" t="str">
        <f>IFERROR(__xludf.DUMMYFUNCTION("""COMPUTED_VALUE"""),"KIMME")</f>
        <v>KIMME</v>
      </c>
      <c r="L144" s="279" t="str">
        <f>IFERROR(__xludf.DUMMYFUNCTION("""COMPUTED_VALUE"""),"https://vt.tiktok.com/ZSmoGHrSY/")</f>
        <v>https://vt.tiktok.com/ZSmoGHrSY/</v>
      </c>
      <c r="M144" s="464"/>
      <c r="N144" s="279" t="str">
        <f>IFERROR(__xludf.DUMMYFUNCTION("""COMPUTED_VALUE"""),"https://vt.tiktok.com/ZS9qMdNqf/")</f>
        <v>https://vt.tiktok.com/ZS9qMdNqf/</v>
      </c>
      <c r="O144" s="464"/>
      <c r="P144" s="279" t="str">
        <f>IFERROR(__xludf.DUMMYFUNCTION("""COMPUTED_VALUE"""),"https://vt.tiktok.com/ZS9qM251N/")</f>
        <v>https://vt.tiktok.com/ZS9qM251N/</v>
      </c>
    </row>
    <row r="145">
      <c r="A145" s="255" t="str">
        <f>IFERROR(__xludf.DUMMYFUNCTION("""COMPUTED_VALUE"""),"MICRO")</f>
        <v>MICRO</v>
      </c>
      <c r="B145" s="361" t="str">
        <f>IFERROR(__xludf.DUMMYFUNCTION("""COMPUTED_VALUE"""),"ghea.beauty")</f>
        <v>ghea.beauty</v>
      </c>
      <c r="C145" s="257" t="str">
        <f>IFERROR(__xludf.DUMMYFUNCTION("""COMPUTED_VALUE"""),"https://www.tiktok.com/@ghea.beauty")</f>
        <v>https://www.tiktok.com/@ghea.beauty</v>
      </c>
      <c r="D145" s="270">
        <f>IFERROR(__xludf.DUMMYFUNCTION("""COMPUTED_VALUE"""),8.1545665592E10)</f>
        <v>81545665592</v>
      </c>
      <c r="E145" s="457">
        <f>IFERROR(__xludf.DUMMYFUNCTION("""COMPUTED_VALUE"""),0.0)</f>
        <v>0</v>
      </c>
      <c r="F145" s="270">
        <f>IFERROR(__xludf.DUMMYFUNCTION("""COMPUTED_VALUE"""),4.0)</f>
        <v>4</v>
      </c>
      <c r="G145" s="17" t="str">
        <f>IFERROR(__xludf.DUMMYFUNCTION("""COMPUTED_VALUE"""),"Sabun batang 1 Box ( 2 PCS )")</f>
        <v>Sabun batang 1 Box ( 2 PCS )</v>
      </c>
      <c r="H145" s="463" t="str">
        <f>IFERROR(__xludf.DUMMYFUNCTION("""COMPUTED_VALUE"""),"Sampai")</f>
        <v>Sampai</v>
      </c>
      <c r="I145" s="464" t="str">
        <f>IFERROR(__xludf.DUMMYFUNCTION("""COMPUTED_VALUE"""),"KIMME")</f>
        <v>KIMME</v>
      </c>
      <c r="J145" s="279" t="str">
        <f>IFERROR(__xludf.DUMMYFUNCTION("""COMPUTED_VALUE"""),"https://www.tiktok.com/@ghea.beauty/video/7629507202105396501")</f>
        <v>https://www.tiktok.com/@ghea.beauty/video/7629507202105396501</v>
      </c>
      <c r="K145" s="464" t="str">
        <f>IFERROR(__xludf.DUMMYFUNCTION("""COMPUTED_VALUE"""),"KIMME")</f>
        <v>KIMME</v>
      </c>
      <c r="L145" s="279" t="str">
        <f>IFERROR(__xludf.DUMMYFUNCTION("""COMPUTED_VALUE"""),"https://www.tiktok.com/@ghea.beauty/video/7629679331589098772")</f>
        <v>https://www.tiktok.com/@ghea.beauty/video/7629679331589098772</v>
      </c>
      <c r="M145" s="464" t="str">
        <f>IFERROR(__xludf.DUMMYFUNCTION("""COMPUTED_VALUE"""),"KIMME")</f>
        <v>KIMME</v>
      </c>
      <c r="N145" s="279" t="str">
        <f>IFERROR(__xludf.DUMMYFUNCTION("""COMPUTED_VALUE"""),"https://www.tiktok.com/@ghea.beauty/video/7630009764629450005")</f>
        <v>https://www.tiktok.com/@ghea.beauty/video/7630009764629450005</v>
      </c>
      <c r="O145" s="464" t="str">
        <f>IFERROR(__xludf.DUMMYFUNCTION("""COMPUTED_VALUE"""),"KIMME")</f>
        <v>KIMME</v>
      </c>
      <c r="P145" s="279" t="str">
        <f>IFERROR(__xludf.DUMMYFUNCTION("""COMPUTED_VALUE"""),"https://vt.tiktok.com/ZS9LVqusX/")</f>
        <v>https://vt.tiktok.com/ZS9LVqusX/</v>
      </c>
    </row>
    <row r="146">
      <c r="A146" s="255" t="str">
        <f>IFERROR(__xludf.DUMMYFUNCTION("""COMPUTED_VALUE"""),"MICRO")</f>
        <v>MICRO</v>
      </c>
      <c r="B146" s="361" t="str">
        <f>IFERROR(__xludf.DUMMYFUNCTION("""COMPUTED_VALUE"""),"afni01235")</f>
        <v>afni01235</v>
      </c>
      <c r="C146" s="257" t="str">
        <f>IFERROR(__xludf.DUMMYFUNCTION("""COMPUTED_VALUE"""),"https://www.tiktok.com/@afni01235")</f>
        <v>https://www.tiktok.com/@afni01235</v>
      </c>
      <c r="D146" s="270">
        <f>IFERROR(__xludf.DUMMYFUNCTION("""COMPUTED_VALUE"""),8.1536284145E10)</f>
        <v>81536284145</v>
      </c>
      <c r="E146" s="457">
        <f>IFERROR(__xludf.DUMMYFUNCTION("""COMPUTED_VALUE"""),0.0)</f>
        <v>0</v>
      </c>
      <c r="F146" s="270">
        <f>IFERROR(__xludf.DUMMYFUNCTION("""COMPUTED_VALUE"""),4.0)</f>
        <v>4</v>
      </c>
      <c r="G146" s="17" t="str">
        <f>IFERROR(__xludf.DUMMYFUNCTION("""COMPUTED_VALUE"""),"Sabun batang 1 Box ( 2 PCS )")</f>
        <v>Sabun batang 1 Box ( 2 PCS )</v>
      </c>
      <c r="H146" s="463" t="str">
        <f>IFERROR(__xludf.DUMMYFUNCTION("""COMPUTED_VALUE"""),"Sampai")</f>
        <v>Sampai</v>
      </c>
      <c r="I146" s="464" t="str">
        <f>IFERROR(__xludf.DUMMYFUNCTION("""COMPUTED_VALUE"""),"KIMME")</f>
        <v>KIMME</v>
      </c>
      <c r="J146" s="279" t="str">
        <f>IFERROR(__xludf.DUMMYFUNCTION("""COMPUTED_VALUE"""),"https://vt.tiktok.com/ZSmwMvnrW/")</f>
        <v>https://vt.tiktok.com/ZSmwMvnrW/</v>
      </c>
      <c r="K146" s="464" t="str">
        <f>IFERROR(__xludf.DUMMYFUNCTION("""COMPUTED_VALUE"""),"KIMME")</f>
        <v>KIMME</v>
      </c>
      <c r="L146" s="279" t="str">
        <f>IFERROR(__xludf.DUMMYFUNCTION("""COMPUTED_VALUE"""),"https://vt.tiktok.com/ZSuAQDsep/")</f>
        <v>https://vt.tiktok.com/ZSuAQDsep/</v>
      </c>
      <c r="M146" s="464" t="str">
        <f>IFERROR(__xludf.DUMMYFUNCTION("""COMPUTED_VALUE"""),"KIMME")</f>
        <v>KIMME</v>
      </c>
      <c r="N146" s="279" t="str">
        <f>IFERROR(__xludf.DUMMYFUNCTION("""COMPUTED_VALUE"""),"https://www.tiktok.com/@afni01235/video/7618145592102997255?is_from_webapp=1&amp;sender_device=pc&amp;web_id=7611930277489657360")</f>
        <v>https://www.tiktok.com/@afni01235/video/7618145592102997255?is_from_webapp=1&amp;sender_device=pc&amp;web_id=7611930277489657360</v>
      </c>
      <c r="O146" s="464" t="str">
        <f>IFERROR(__xludf.DUMMYFUNCTION("""COMPUTED_VALUE"""),"KIMME")</f>
        <v>KIMME</v>
      </c>
      <c r="P146" s="279" t="str">
        <f>IFERROR(__xludf.DUMMYFUNCTION("""COMPUTED_VALUE"""),"https://vt.tiktok.com/ZSuXd64Br/")</f>
        <v>https://vt.tiktok.com/ZSuXd64Br/</v>
      </c>
    </row>
    <row r="147">
      <c r="A147" s="255" t="str">
        <f>IFERROR(__xludf.DUMMYFUNCTION("""COMPUTED_VALUE"""),"MICRO")</f>
        <v>MICRO</v>
      </c>
      <c r="B147" s="361" t="str">
        <f>IFERROR(__xludf.DUMMYFUNCTION("""COMPUTED_VALUE"""),"grosircantik")</f>
        <v>grosircantik</v>
      </c>
      <c r="C147" s="257" t="str">
        <f>IFERROR(__xludf.DUMMYFUNCTION("""COMPUTED_VALUE"""),"https://www.tiktok.com/@grosircantik")</f>
        <v>https://www.tiktok.com/@grosircantik</v>
      </c>
      <c r="D147" s="270">
        <f>IFERROR(__xludf.DUMMYFUNCTION("""COMPUTED_VALUE"""),8.1222697186E10)</f>
        <v>81222697186</v>
      </c>
      <c r="E147" s="457">
        <f>IFERROR(__xludf.DUMMYFUNCTION("""COMPUTED_VALUE"""),0.0)</f>
        <v>0</v>
      </c>
      <c r="F147" s="270">
        <f>IFERROR(__xludf.DUMMYFUNCTION("""COMPUTED_VALUE"""),4.0)</f>
        <v>4</v>
      </c>
      <c r="G147" s="17" t="str">
        <f>IFERROR(__xludf.DUMMYFUNCTION("""COMPUTED_VALUE"""),"Sabun batang 1 Box ( 2 PCS )")</f>
        <v>Sabun batang 1 Box ( 2 PCS )</v>
      </c>
      <c r="H147" s="463" t="str">
        <f>IFERROR(__xludf.DUMMYFUNCTION("""COMPUTED_VALUE"""),"Sampai")</f>
        <v>Sampai</v>
      </c>
      <c r="I147" s="464" t="str">
        <f>IFERROR(__xludf.DUMMYFUNCTION("""COMPUTED_VALUE"""),"KIMME")</f>
        <v>KIMME</v>
      </c>
      <c r="J147" s="279" t="str">
        <f>IFERROR(__xludf.DUMMYFUNCTION("""COMPUTED_VALUE"""),"https://www.tiktok.com/@grosircantik/video/7609941138513939732?is_from_webapp=1&amp;sender_device=pc")</f>
        <v>https://www.tiktok.com/@grosircantik/video/7609941138513939732?is_from_webapp=1&amp;sender_device=pc</v>
      </c>
      <c r="K147" s="464" t="str">
        <f>IFERROR(__xludf.DUMMYFUNCTION("""COMPUTED_VALUE"""),"KIMME")</f>
        <v>KIMME</v>
      </c>
      <c r="L147" s="279" t="str">
        <f>IFERROR(__xludf.DUMMYFUNCTION("""COMPUTED_VALUE"""),"https://www.tiktok.com/@grosircantik/video/7614389247893720341?is_from_webapp=1&amp;sender_device=pc")</f>
        <v>https://www.tiktok.com/@grosircantik/video/7614389247893720341?is_from_webapp=1&amp;sender_device=pc</v>
      </c>
      <c r="M147" s="464" t="str">
        <f>IFERROR(__xludf.DUMMYFUNCTION("""COMPUTED_VALUE"""),"KIMME")</f>
        <v>KIMME</v>
      </c>
      <c r="N147" s="279" t="str">
        <f>IFERROR(__xludf.DUMMYFUNCTION("""COMPUTED_VALUE"""),"https://www.tiktok.com/@grosircantik/video/7617349608515177749?is_from_webapp=1&amp;sender_device=pc&amp;web_id=7611930277489657360")</f>
        <v>https://www.tiktok.com/@grosircantik/video/7617349608515177749?is_from_webapp=1&amp;sender_device=pc&amp;web_id=7611930277489657360</v>
      </c>
      <c r="O147" s="464" t="str">
        <f>IFERROR(__xludf.DUMMYFUNCTION("""COMPUTED_VALUE"""),"KIMME")</f>
        <v>KIMME</v>
      </c>
      <c r="P147" s="279" t="str">
        <f>IFERROR(__xludf.DUMMYFUNCTION("""COMPUTED_VALUE"""),"https://www.tiktok.com/@grosircantik/video/7618060019224907028?is_from_webapp=1&amp;sender_device=pc&amp;web_id=7611930277489657360")</f>
        <v>https://www.tiktok.com/@grosircantik/video/7618060019224907028?is_from_webapp=1&amp;sender_device=pc&amp;web_id=7611930277489657360</v>
      </c>
    </row>
    <row r="148">
      <c r="A148" s="255" t="str">
        <f>IFERROR(__xludf.DUMMYFUNCTION("""COMPUTED_VALUE"""),"MICRO")</f>
        <v>MICRO</v>
      </c>
      <c r="B148" s="361" t="str">
        <f>IFERROR(__xludf.DUMMYFUNCTION("""COMPUTED_VALUE"""),"angelmatondang14")</f>
        <v>angelmatondang14</v>
      </c>
      <c r="C148" s="257" t="str">
        <f>IFERROR(__xludf.DUMMYFUNCTION("""COMPUTED_VALUE"""),"https://www.tiktok.com/@angelmatondang14")</f>
        <v>https://www.tiktok.com/@angelmatondang14</v>
      </c>
      <c r="D148" s="270">
        <f>IFERROR(__xludf.DUMMYFUNCTION("""COMPUTED_VALUE"""),8.77510358E10)</f>
        <v>87751035800</v>
      </c>
      <c r="E148" s="457">
        <f>IFERROR(__xludf.DUMMYFUNCTION("""COMPUTED_VALUE"""),0.0)</f>
        <v>0</v>
      </c>
      <c r="F148" s="270">
        <f>IFERROR(__xludf.DUMMYFUNCTION("""COMPUTED_VALUE"""),2.0)</f>
        <v>2</v>
      </c>
      <c r="G148" s="17" t="str">
        <f>IFERROR(__xludf.DUMMYFUNCTION("""COMPUTED_VALUE"""),"Sabun batang 1 Box ( 2 PCS )")</f>
        <v>Sabun batang 1 Box ( 2 PCS )</v>
      </c>
      <c r="H148" s="463" t="str">
        <f>IFERROR(__xludf.DUMMYFUNCTION("""COMPUTED_VALUE"""),"Sampai")</f>
        <v>Sampai</v>
      </c>
      <c r="I148" s="464" t="str">
        <f>IFERROR(__xludf.DUMMYFUNCTION("""COMPUTED_VALUE"""),"KIMME")</f>
        <v>KIMME</v>
      </c>
      <c r="J148" s="279" t="str">
        <f>IFERROR(__xludf.DUMMYFUNCTION("""COMPUTED_VALUE"""),"https://vt.tiktok.com/ZSuRq56U7/")</f>
        <v>https://vt.tiktok.com/ZSuRq56U7/</v>
      </c>
      <c r="K148" s="464" t="str">
        <f>IFERROR(__xludf.DUMMYFUNCTION("""COMPUTED_VALUE"""),"KIMME")</f>
        <v>KIMME</v>
      </c>
      <c r="L148" s="279" t="str">
        <f>IFERROR(__xludf.DUMMYFUNCTION("""COMPUTED_VALUE"""),"https://vt.tiktok.com/ZSuCKmgTq/")</f>
        <v>https://vt.tiktok.com/ZSuCKmgTq/</v>
      </c>
      <c r="M148" s="464"/>
      <c r="N148" s="279" t="str">
        <f>IFERROR(__xludf.DUMMYFUNCTION("""COMPUTED_VALUE"""),"https://vt.tiktok.com/ZS9qrUyVM/")</f>
        <v>https://vt.tiktok.com/ZS9qrUyVM/</v>
      </c>
      <c r="O148" s="464"/>
      <c r="P148" s="17" t="str">
        <f>IFERROR(__xludf.DUMMYFUNCTION("""COMPUTED_VALUE"""),"https://www.tiktok.com/@tarigumala3/video/7636582693198761237?_r=1&amp;u_code=e9c26b44f9k0e0&amp;region=ID&amp;mid=7580279471085800199&amp;preview_pb=0&amp;sharer_language=id&amp;_d=ecd4mj4mma9l93&amp;ec_shared_reflux_dynamic_params=%7B%22placeholder_material_id%22%3A%22763658269319"&amp;"8761237%22%2C%22placeholder_origin_cover%22%3A%22https%253A%252F%252Fp16-common-sign.tiktokcdn.com%252Ftos-alisg-p-0037%252FoU683rMIjQLA54Kf1fQB0jDT8dKFED7pCAFble~tplv-tiktokx-origin.webp%253Fdr%253D14572%2526refresh_token%253D3b5819bd%2526x-expires%253D1"&amp;"809572400%2526x-signature%253DOdloRMN4oAFsklyydCaQ5jvKBMw%25253D%2526t%253D4d5b0474%2526ps%253D13740610%2526shp%253Dd05b14bd%2526shcp%253D34ff8df6%2526idc%253Dsg1%2526s%253DPUBLISH%22%2C%22placeholder_product_id%22%3A%221729427766722726591%22%2C%22placeho"&amp;"lder_video_id%22%3A%227636582693198761237%22%7D&amp;ec_shared_reflux_scene=shop_tab_feed&amp;share_item_id=7636582693198761237&amp;source=h5_t&amp;timestamp=1778039269&amp;user_id=7265268939763680262&amp;sec_user_id=MS4wLjABAAAAPaXvRyDf-oQGScjNncwWMYDbd3M7mlGd8VvwyRd_PhSJfHRZrEv"&amp;"MBZQWMWGBSUUn&amp;item_author_type=1&amp;social_share_type=0&amp;utm_source=whatsapp&amp;utm_campaign=client_share&amp;utm_medium=android&amp;share_iid=7633990124074714896&amp;share_link_id=f56b595b-331d-4773-a08d-997a7da0088d&amp;share_app_id=1180&amp;ugbiz_name=MAIN&amp;ug_btm=b8727%2Cb2878&amp;s"&amp;"p_root_share_link_id=f56b595b-331d-4773-a08d-997a7da0088d&amp;link_reflow_popup_iteration_sharer=%7B%22click_empty_to_play%22%3A1%2C%22dynamic_cover%22%3A1%2C%22follow_to_play_duration%22%3A-1.0%2C%22profile_clickable%22%3A1%7D&amp;enable_checksum=1&amp;sp_level=1&amp;sp"&amp;"_root_u=e9c26b44f9k0e0&amp;sp_root_d=ecd4mj4mma9l93")</f>
        <v>https://www.tiktok.com/@tarigumala3/video/7636582693198761237?_r=1&amp;u_code=e9c26b44f9k0e0&amp;region=ID&amp;mid=7580279471085800199&amp;preview_pb=0&amp;sharer_language=id&amp;_d=ecd4mj4mma9l93&amp;ec_shared_reflux_dynamic_params=%7B%22placeholder_material_id%22%3A%227636582693198761237%22%2C%22placeholder_origin_cover%22%3A%22https%253A%252F%252Fp16-common-sign.tiktokcdn.com%252Ftos-alisg-p-0037%252FoU683rMIjQLA54Kf1fQB0jDT8dKFED7pCAFble~tplv-tiktokx-origin.webp%253Fdr%253D14572%2526refresh_token%253D3b5819bd%2526x-expires%253D1809572400%2526x-signature%253DOdloRMN4oAFsklyydCaQ5jvKBMw%25253D%2526t%253D4d5b0474%2526ps%253D13740610%2526shp%253Dd05b14bd%2526shcp%253D34ff8df6%2526idc%253Dsg1%2526s%253DPUBLISH%22%2C%22placeholder_product_id%22%3A%221729427766722726591%22%2C%22placeholder_video_id%22%3A%227636582693198761237%22%7D&amp;ec_shared_reflux_scene=shop_tab_feed&amp;share_item_id=7636582693198761237&amp;source=h5_t&amp;timestamp=1778039269&amp;user_id=7265268939763680262&amp;sec_user_id=MS4wLjABAAAAPaXvRyDf-oQGScjNncwWMYDbd3M7mlGd8VvwyRd_PhSJfHRZrEvMBZQWMWGBSUUn&amp;item_author_type=1&amp;social_share_type=0&amp;utm_source=whatsapp&amp;utm_campaign=client_share&amp;utm_medium=android&amp;share_iid=7633990124074714896&amp;share_link_id=f56b595b-331d-4773-a08d-997a7da0088d&amp;share_app_id=1180&amp;ugbiz_name=MAIN&amp;ug_btm=b8727%2Cb2878&amp;sp_root_share_link_id=f56b595b-331d-4773-a08d-997a7da0088d&amp;link_reflow_popup_iteration_sharer=%7B%22click_empty_to_play%22%3A1%2C%22dynamic_cover%22%3A1%2C%22follow_to_play_duration%22%3A-1.0%2C%22profile_clickable%22%3A1%7D&amp;enable_checksum=1&amp;sp_level=1&amp;sp_root_u=e9c26b44f9k0e0&amp;sp_root_d=ecd4mj4mma9l93</v>
      </c>
    </row>
    <row r="149">
      <c r="A149" s="255" t="str">
        <f>IFERROR(__xludf.DUMMYFUNCTION("""COMPUTED_VALUE"""),"MICRO")</f>
        <v>MICRO</v>
      </c>
      <c r="B149" s="361" t="str">
        <f>IFERROR(__xludf.DUMMYFUNCTION("""COMPUTED_VALUE"""),"popynoviana_")</f>
        <v>popynoviana_</v>
      </c>
      <c r="C149" s="257" t="str">
        <f>IFERROR(__xludf.DUMMYFUNCTION("""COMPUTED_VALUE"""),"https://www.tiktok.com/@popynoviana_")</f>
        <v>https://www.tiktok.com/@popynoviana_</v>
      </c>
      <c r="D149" s="270">
        <f>IFERROR(__xludf.DUMMYFUNCTION("""COMPUTED_VALUE"""),8.2122355727E10)</f>
        <v>82122355727</v>
      </c>
      <c r="E149" s="457">
        <f>IFERROR(__xludf.DUMMYFUNCTION("""COMPUTED_VALUE"""),0.0)</f>
        <v>0</v>
      </c>
      <c r="F149" s="270">
        <f>IFERROR(__xludf.DUMMYFUNCTION("""COMPUTED_VALUE"""),2.0)</f>
        <v>2</v>
      </c>
      <c r="G149" s="17" t="str">
        <f>IFERROR(__xludf.DUMMYFUNCTION("""COMPUTED_VALUE"""),"Sabun batang 1 Box ( 2 PCS )")</f>
        <v>Sabun batang 1 Box ( 2 PCS )</v>
      </c>
      <c r="H149" s="463" t="str">
        <f>IFERROR(__xludf.DUMMYFUNCTION("""COMPUTED_VALUE"""),"Sampai")</f>
        <v>Sampai</v>
      </c>
      <c r="I149" s="464" t="str">
        <f>IFERROR(__xludf.DUMMYFUNCTION("""COMPUTED_VALUE"""),"KIMME")</f>
        <v>KIMME</v>
      </c>
      <c r="J149" s="279" t="str">
        <f>IFERROR(__xludf.DUMMYFUNCTION("""COMPUTED_VALUE"""),"https://vt.tiktok.com/ZSmyYdT5N/")</f>
        <v>https://vt.tiktok.com/ZSmyYdT5N/</v>
      </c>
      <c r="K149" s="464" t="str">
        <f>IFERROR(__xludf.DUMMYFUNCTION("""COMPUTED_VALUE"""),"KIMME")</f>
        <v>KIMME</v>
      </c>
      <c r="L149" s="279" t="str">
        <f>IFERROR(__xludf.DUMMYFUNCTION("""COMPUTED_VALUE"""),"https://vt.tiktok.com/ZSu5nsNdC/")</f>
        <v>https://vt.tiktok.com/ZSu5nsNdC/</v>
      </c>
      <c r="M149" s="464"/>
      <c r="N149" s="279" t="str">
        <f>IFERROR(__xludf.DUMMYFUNCTION("""COMPUTED_VALUE"""),"https://vt.tiktok.com/ZS9qrM4VV/")</f>
        <v>https://vt.tiktok.com/ZS9qrM4VV/</v>
      </c>
      <c r="O149" s="464"/>
      <c r="P149" s="17" t="str">
        <f>IFERROR(__xludf.DUMMYFUNCTION("""COMPUTED_VALUE"""),"https://www.tiktok.com/@tarigumala3/video/7636431756622597397?_r=1&amp;u_code=e9c26b44f9k0e0&amp;region=ID&amp;mid=7450054073216568081&amp;preview_pb=0&amp;sharer_language=id&amp;_d=ecd4mj4mma9l93&amp;ec_shared_reflux_dynamic_params=%7B%22placeholder_material_id%22%3A%22763643175662"&amp;"2597397%22%2C%22placeholder_origin_cover%22%3A%22https%253A%252F%252Fp16-common-sign.tiktokcdn.com%252Ftos-alisg-p-0037%252FoobDzkDCF7nreD6tYjAMACfIw6iII4AfATgy1E~tplv-tiktokx-origin.webp%253Fdr%253D14572%2526refresh_token%253De9e44ff5%2526x-expires%253D1"&amp;"809572400%2526x-signature%253Dm0OvZY0Dw5nBBEhjDeXiO6izEjE%25253D%2526t%253D4d5b0474%2526ps%253D13740610%2526shp%253Dd05b14bd%2526shcp%253D34ff8df6%2526idc%253Dsg1%2526s%253DPUBLISH%22%2C%22placeholder_product_id%22%3A%221729767597228983999%22%2C%22placeho"&amp;"lder_video_id%22%3A%227636431756622597397%22%7D&amp;ec_shared_reflux_scene=shop_tab_feed&amp;share_item_id=7636431756622597397&amp;source=h5_t&amp;timestamp=1778039301&amp;user_id=7265268939763680262&amp;sec_user_id=MS4wLjABAAAAPaXvRyDf-oQGScjNncwWMYDbd3M7mlGd8VvwyRd_PhSJfHRZrEv"&amp;"MBZQWMWGBSUUn&amp;item_author_type=1&amp;social_share_type=0&amp;utm_source=whatsapp&amp;utm_campaign=client_share&amp;utm_medium=android&amp;share_iid=7633990124074714896&amp;share_link_id=58a066eb-2864-4589-ad74-5536d0d24d53&amp;share_app_id=1180&amp;ugbiz_name=MAIN&amp;ug_btm=b8727%2Cb2878&amp;s"&amp;"p_root_share_link_id=58a066eb-2864-4589-ad74-5536d0d24d53&amp;link_reflow_popup_iteration_sharer=%7B%22click_empty_to_play%22%3A1%2C%22dynamic_cover%22%3A1%2C%22follow_to_play_duration%22%3A-1.0%2C%22profile_clickable%22%3A1%7D&amp;enable_checksum=1&amp;sp_level=1&amp;sp"&amp;"_root_u=e9c26b44f9k0e0&amp;sp_root_d=ecd4mj4mma9l93")</f>
        <v>https://www.tiktok.com/@tarigumala3/video/7636431756622597397?_r=1&amp;u_code=e9c26b44f9k0e0&amp;region=ID&amp;mid=7450054073216568081&amp;preview_pb=0&amp;sharer_language=id&amp;_d=ecd4mj4mma9l93&amp;ec_shared_reflux_dynamic_params=%7B%22placeholder_material_id%22%3A%227636431756622597397%22%2C%22placeholder_origin_cover%22%3A%22https%253A%252F%252Fp16-common-sign.tiktokcdn.com%252Ftos-alisg-p-0037%252FoobDzkDCF7nreD6tYjAMACfIw6iII4AfATgy1E~tplv-tiktokx-origin.webp%253Fdr%253D14572%2526refresh_token%253De9e44ff5%2526x-expires%253D1809572400%2526x-signature%253Dm0OvZY0Dw5nBBEhjDeXiO6izEjE%25253D%2526t%253D4d5b0474%2526ps%253D13740610%2526shp%253Dd05b14bd%2526shcp%253D34ff8df6%2526idc%253Dsg1%2526s%253DPUBLISH%22%2C%22placeholder_product_id%22%3A%221729767597228983999%22%2C%22placeholder_video_id%22%3A%227636431756622597397%22%7D&amp;ec_shared_reflux_scene=shop_tab_feed&amp;share_item_id=7636431756622597397&amp;source=h5_t&amp;timestamp=1778039301&amp;user_id=7265268939763680262&amp;sec_user_id=MS4wLjABAAAAPaXvRyDf-oQGScjNncwWMYDbd3M7mlGd8VvwyRd_PhSJfHRZrEvMBZQWMWGBSUUn&amp;item_author_type=1&amp;social_share_type=0&amp;utm_source=whatsapp&amp;utm_campaign=client_share&amp;utm_medium=android&amp;share_iid=7633990124074714896&amp;share_link_id=58a066eb-2864-4589-ad74-5536d0d24d53&amp;share_app_id=1180&amp;ugbiz_name=MAIN&amp;ug_btm=b8727%2Cb2878&amp;sp_root_share_link_id=58a066eb-2864-4589-ad74-5536d0d24d53&amp;link_reflow_popup_iteration_sharer=%7B%22click_empty_to_play%22%3A1%2C%22dynamic_cover%22%3A1%2C%22follow_to_play_duration%22%3A-1.0%2C%22profile_clickable%22%3A1%7D&amp;enable_checksum=1&amp;sp_level=1&amp;sp_root_u=e9c26b44f9k0e0&amp;sp_root_d=ecd4mj4mma9l93</v>
      </c>
    </row>
    <row r="150">
      <c r="A150" s="255" t="str">
        <f>IFERROR(__xludf.DUMMYFUNCTION("""COMPUTED_VALUE"""),"MICRO")</f>
        <v>MICRO</v>
      </c>
      <c r="B150" s="361" t="str">
        <f>IFERROR(__xludf.DUMMYFUNCTION("""COMPUTED_VALUE"""),"friskafrl")</f>
        <v>friskafrl</v>
      </c>
      <c r="C150" s="257" t="str">
        <f>IFERROR(__xludf.DUMMYFUNCTION("""COMPUTED_VALUE"""),"https://www.tiktok.com/@friskafrl")</f>
        <v>https://www.tiktok.com/@friskafrl</v>
      </c>
      <c r="D150" s="270">
        <f>IFERROR(__xludf.DUMMYFUNCTION("""COMPUTED_VALUE"""),8.3162081028E10)</f>
        <v>83162081028</v>
      </c>
      <c r="E150" s="457">
        <f>IFERROR(__xludf.DUMMYFUNCTION("""COMPUTED_VALUE"""),0.0)</f>
        <v>0</v>
      </c>
      <c r="F150" s="270">
        <f>IFERROR(__xludf.DUMMYFUNCTION("""COMPUTED_VALUE"""),2.0)</f>
        <v>2</v>
      </c>
      <c r="G150" s="17" t="str">
        <f>IFERROR(__xludf.DUMMYFUNCTION("""COMPUTED_VALUE"""),"Sabun batang 1 Box ( 2 PCS )")</f>
        <v>Sabun batang 1 Box ( 2 PCS )</v>
      </c>
      <c r="H150" s="463" t="str">
        <f>IFERROR(__xludf.DUMMYFUNCTION("""COMPUTED_VALUE"""),"Sampai")</f>
        <v>Sampai</v>
      </c>
      <c r="I150" s="464" t="str">
        <f>IFERROR(__xludf.DUMMYFUNCTION("""COMPUTED_VALUE"""),"KIMME")</f>
        <v>KIMME</v>
      </c>
      <c r="J150" s="279" t="str">
        <f>IFERROR(__xludf.DUMMYFUNCTION("""COMPUTED_VALUE"""),"https://www.tiktok.com/@jossone_/video/7616188096048139541?is_from_webapp=1&amp;sender_device=pc&amp;web_id=7611930277489657360")</f>
        <v>https://www.tiktok.com/@jossone_/video/7616188096048139541?is_from_webapp=1&amp;sender_device=pc&amp;web_id=7611930277489657360</v>
      </c>
      <c r="K150" s="464" t="str">
        <f>IFERROR(__xludf.DUMMYFUNCTION("""COMPUTED_VALUE"""),"KIMME")</f>
        <v>KIMME</v>
      </c>
      <c r="L150" s="279" t="str">
        <f>IFERROR(__xludf.DUMMYFUNCTION("""COMPUTED_VALUE"""),"https://www.tiktok.com/@jossone_/video/7616004391153437973?is_from_webapp=1&amp;sender_device=pc&amp;web_id=7611930277489657360")</f>
        <v>https://www.tiktok.com/@jossone_/video/7616004391153437973?is_from_webapp=1&amp;sender_device=pc&amp;web_id=7611930277489657360</v>
      </c>
      <c r="M150" s="464"/>
      <c r="N150" s="279" t="str">
        <f>IFERROR(__xludf.DUMMYFUNCTION("""COMPUTED_VALUE"""),"https://vt.tiktok.com/ZS9qrSDt8/")</f>
        <v>https://vt.tiktok.com/ZS9qrSDt8/</v>
      </c>
      <c r="O150" s="464"/>
      <c r="P150" s="17" t="str">
        <f>IFERROR(__xludf.DUMMYFUNCTION("""COMPUTED_VALUE"""),"https://www.tiktok.com/@tarigumala3/video/7636394246425087252?_r=1&amp;u_code=e9c26b44f9k0e0&amp;region=ID&amp;mid=7615567524612737814&amp;preview_pb=0&amp;sharer_language=id&amp;_d=ecd4mj4mma9l93&amp;ec_shared_reflux_dynamic_params=%7B%22placeholder_material_id%22%3A%22763639424642"&amp;"5087252%22%2C%22placeholder_origin_cover%22%3A%22https%253A%252F%252Fp16-common-sign.tiktokcdn.com%252Ftos-alisg-p-0037%252FosiIkbI5zXlDxHBpAwvWiaAqArIpCzRSAnf07C~tplv-tiktokx-origin.webp%253Fdr%253D14572%2526refresh_token%253Dd5f10503%2526x-expires%253D1"&amp;"809572400%2526x-signature%253DAE7c2X9PI3bR6DxshSVz1b97kBg%25253D%2526t%253D4d5b0474%2526ps%253D13740610%2526shp%253Dd05b14bd%2526shcp%253D34ff8df6%2526idc%253Dsg1%2526s%253DPUBLISH%22%2C%22placeholder_product_id%22%3A%221729427766722726591%22%2C%22placeho"&amp;"lder_video_id%22%3A%227636394246425087252%22%7D&amp;ec_shared_reflux_scene=shop_tab_feed&amp;share_item_id=7636394246425087252&amp;source=h5_t&amp;timestamp=1778039343&amp;user_id=7265268939763680262&amp;sec_user_id=MS4wLjABAAAAPaXvRyDf-oQGScjNncwWMYDbd3M7mlGd8VvwyRd_PhSJfHRZrEv"&amp;"MBZQWMWGBSUUn&amp;item_author_type=1&amp;social_share_type=0&amp;utm_source=whatsapp&amp;utm_campaign=client_share&amp;utm_medium=android&amp;share_iid=7633990124074714896&amp;share_link_id=cdab2e3c-f96b-440e-86c7-8dadf8096214&amp;share_app_id=1180&amp;ugbiz_name=MAIN&amp;ug_btm=b8727%2Cb2878&amp;s"&amp;"p_root_share_link_id=cdab2e3c-f96b-440e-86c7-8dadf8096214&amp;link_reflow_popup_iteration_sharer=%7B%22click_empty_to_play%22%3A1%2C%22dynamic_cover%22%3A1%2C%22follow_to_play_duration%22%3A-1.0%2C%22profile_clickable%22%3A1%7D&amp;enable_checksum=1&amp;sp_level=1&amp;sp"&amp;"_root_u=e9c26b44f9k0e0&amp;sp_root_d=ecd4mj4mma9l93")</f>
        <v>https://www.tiktok.com/@tarigumala3/video/7636394246425087252?_r=1&amp;u_code=e9c26b44f9k0e0&amp;region=ID&amp;mid=7615567524612737814&amp;preview_pb=0&amp;sharer_language=id&amp;_d=ecd4mj4mma9l93&amp;ec_shared_reflux_dynamic_params=%7B%22placeholder_material_id%22%3A%227636394246425087252%22%2C%22placeholder_origin_cover%22%3A%22https%253A%252F%252Fp16-common-sign.tiktokcdn.com%252Ftos-alisg-p-0037%252FosiIkbI5zXlDxHBpAwvWiaAqArIpCzRSAnf07C~tplv-tiktokx-origin.webp%253Fdr%253D14572%2526refresh_token%253Dd5f10503%2526x-expires%253D1809572400%2526x-signature%253DAE7c2X9PI3bR6DxshSVz1b97kBg%25253D%2526t%253D4d5b0474%2526ps%253D13740610%2526shp%253Dd05b14bd%2526shcp%253D34ff8df6%2526idc%253Dsg1%2526s%253DPUBLISH%22%2C%22placeholder_product_id%22%3A%221729427766722726591%22%2C%22placeholder_video_id%22%3A%227636394246425087252%22%7D&amp;ec_shared_reflux_scene=shop_tab_feed&amp;share_item_id=7636394246425087252&amp;source=h5_t&amp;timestamp=1778039343&amp;user_id=7265268939763680262&amp;sec_user_id=MS4wLjABAAAAPaXvRyDf-oQGScjNncwWMYDbd3M7mlGd8VvwyRd_PhSJfHRZrEvMBZQWMWGBSUUn&amp;item_author_type=1&amp;social_share_type=0&amp;utm_source=whatsapp&amp;utm_campaign=client_share&amp;utm_medium=android&amp;share_iid=7633990124074714896&amp;share_link_id=cdab2e3c-f96b-440e-86c7-8dadf8096214&amp;share_app_id=1180&amp;ugbiz_name=MAIN&amp;ug_btm=b8727%2Cb2878&amp;sp_root_share_link_id=cdab2e3c-f96b-440e-86c7-8dadf8096214&amp;link_reflow_popup_iteration_sharer=%7B%22click_empty_to_play%22%3A1%2C%22dynamic_cover%22%3A1%2C%22follow_to_play_duration%22%3A-1.0%2C%22profile_clickable%22%3A1%7D&amp;enable_checksum=1&amp;sp_level=1&amp;sp_root_u=e9c26b44f9k0e0&amp;sp_root_d=ecd4mj4mma9l93</v>
      </c>
    </row>
    <row r="151">
      <c r="A151" s="255" t="str">
        <f>IFERROR(__xludf.DUMMYFUNCTION("""COMPUTED_VALUE"""),"MICRO")</f>
        <v>MICRO</v>
      </c>
      <c r="B151" s="361" t="str">
        <f>IFERROR(__xludf.DUMMYFUNCTION("""COMPUTED_VALUE"""),"itsmeevaniii")</f>
        <v>itsmeevaniii</v>
      </c>
      <c r="C151" s="257" t="str">
        <f>IFERROR(__xludf.DUMMYFUNCTION("""COMPUTED_VALUE"""),"https://www.tiktok.com/@itsmeevaniii")</f>
        <v>https://www.tiktok.com/@itsmeevaniii</v>
      </c>
      <c r="D151" s="270">
        <f>IFERROR(__xludf.DUMMYFUNCTION("""COMPUTED_VALUE"""),8.5283494606E10)</f>
        <v>85283494606</v>
      </c>
      <c r="E151" s="457">
        <f>IFERROR(__xludf.DUMMYFUNCTION("""COMPUTED_VALUE"""),200000.0)</f>
        <v>200000</v>
      </c>
      <c r="F151" s="270">
        <f>IFERROR(__xludf.DUMMYFUNCTION("""COMPUTED_VALUE"""),1.0)</f>
        <v>1</v>
      </c>
      <c r="G151" s="17" t="str">
        <f>IFERROR(__xludf.DUMMYFUNCTION("""COMPUTED_VALUE"""),"Sabun batang 1 Box ( 2 PCS )")</f>
        <v>Sabun batang 1 Box ( 2 PCS )</v>
      </c>
      <c r="H151" s="463" t="str">
        <f>IFERROR(__xludf.DUMMYFUNCTION("""COMPUTED_VALUE"""),"Sampai")</f>
        <v>Sampai</v>
      </c>
      <c r="I151" s="464" t="str">
        <f>IFERROR(__xludf.DUMMYFUNCTION("""COMPUTED_VALUE"""),"KIMME")</f>
        <v>KIMME</v>
      </c>
      <c r="J151" s="279" t="str">
        <f>IFERROR(__xludf.DUMMYFUNCTION("""COMPUTED_VALUE"""),"https://vt.tiktok.com/ZSmXLSnxL/")</f>
        <v>https://vt.tiktok.com/ZSmXLSnxL/</v>
      </c>
      <c r="K151" s="464" t="str">
        <f>IFERROR(__xludf.DUMMYFUNCTION("""COMPUTED_VALUE"""),"KIMME")</f>
        <v>KIMME</v>
      </c>
      <c r="L151" s="279" t="str">
        <f>IFERROR(__xludf.DUMMYFUNCTION("""COMPUTED_VALUE"""),"https://vt.tiktok.com/ZS9qrX55G/")</f>
        <v>https://vt.tiktok.com/ZS9qrX55G/</v>
      </c>
      <c r="M151" s="464"/>
      <c r="N151" s="279" t="str">
        <f>IFERROR(__xludf.DUMMYFUNCTION("""COMPUTED_VALUE"""),"https://vt.tiktok.com/ZS9qh1X45/")</f>
        <v>https://vt.tiktok.com/ZS9qh1X45/</v>
      </c>
      <c r="O151" s="464"/>
      <c r="P151" s="279" t="str">
        <f>IFERROR(__xludf.DUMMYFUNCTION("""COMPUTED_VALUE"""),"https://vt.tiktok.com/ZS9qMNCkD/")</f>
        <v>https://vt.tiktok.com/ZS9qMNCkD/</v>
      </c>
    </row>
    <row r="152">
      <c r="A152" s="255" t="str">
        <f>IFERROR(__xludf.DUMMYFUNCTION("""COMPUTED_VALUE"""),"MICRO")</f>
        <v>MICRO</v>
      </c>
      <c r="B152" s="361" t="str">
        <f>IFERROR(__xludf.DUMMYFUNCTION("""COMPUTED_VALUE"""),"cbeauty6")</f>
        <v>cbeauty6</v>
      </c>
      <c r="C152" s="257" t="str">
        <f>IFERROR(__xludf.DUMMYFUNCTION("""COMPUTED_VALUE"""),"https://www.tiktok.com/@cbeauty6")</f>
        <v>https://www.tiktok.com/@cbeauty6</v>
      </c>
      <c r="D152" s="270">
        <f>IFERROR(__xludf.DUMMYFUNCTION("""COMPUTED_VALUE"""),8.1326933376E10)</f>
        <v>81326933376</v>
      </c>
      <c r="E152" s="457">
        <f>IFERROR(__xludf.DUMMYFUNCTION("""COMPUTED_VALUE"""),0.0)</f>
        <v>0</v>
      </c>
      <c r="F152" s="270">
        <f>IFERROR(__xludf.DUMMYFUNCTION("""COMPUTED_VALUE"""),4.0)</f>
        <v>4</v>
      </c>
      <c r="G152" s="17" t="str">
        <f>IFERROR(__xludf.DUMMYFUNCTION("""COMPUTED_VALUE"""),"Sabun batang 1 Box ( 2 PCS )")</f>
        <v>Sabun batang 1 Box ( 2 PCS )</v>
      </c>
      <c r="H152" s="463" t="str">
        <f>IFERROR(__xludf.DUMMYFUNCTION("""COMPUTED_VALUE"""),"Sampai")</f>
        <v>Sampai</v>
      </c>
      <c r="I152" s="464" t="str">
        <f>IFERROR(__xludf.DUMMYFUNCTION("""COMPUTED_VALUE"""),"KIMME")</f>
        <v>KIMME</v>
      </c>
      <c r="J152" s="279" t="str">
        <f>IFERROR(__xludf.DUMMYFUNCTION("""COMPUTED_VALUE"""),"https://www.tiktok.com/@jossone_/video/7621868771069660436?is_from_webapp=1&amp;sender_device=pc&amp;web_id=7611930277489657360")</f>
        <v>https://www.tiktok.com/@jossone_/video/7621868771069660436?is_from_webapp=1&amp;sender_device=pc&amp;web_id=7611930277489657360</v>
      </c>
      <c r="K152" s="464" t="str">
        <f>IFERROR(__xludf.DUMMYFUNCTION("""COMPUTED_VALUE"""),"KIMME")</f>
        <v>KIMME</v>
      </c>
      <c r="L152" s="279" t="str">
        <f>IFERROR(__xludf.DUMMYFUNCTION("""COMPUTED_VALUE"""),"https://www.tiktok.com/@jossone_/video/7622635767596158228?is_from_webapp=1&amp;sender_device=pc&amp;web_id=7611930277489657360")</f>
        <v>https://www.tiktok.com/@jossone_/video/7622635767596158228?is_from_webapp=1&amp;sender_device=pc&amp;web_id=7611930277489657360</v>
      </c>
      <c r="M152" s="464" t="str">
        <f>IFERROR(__xludf.DUMMYFUNCTION("""COMPUTED_VALUE"""),"KIMME")</f>
        <v>KIMME</v>
      </c>
      <c r="N152" s="279" t="str">
        <f>IFERROR(__xludf.DUMMYFUNCTION("""COMPUTED_VALUE"""),"https://www.tiktok.com/@jossone_/video/7623330685910076693?is_from_webapp=1&amp;sender_device=pc&amp;web_id=7611930277489657360")</f>
        <v>https://www.tiktok.com/@jossone_/video/7623330685910076693?is_from_webapp=1&amp;sender_device=pc&amp;web_id=7611930277489657360</v>
      </c>
      <c r="O152" s="464" t="str">
        <f>IFERROR(__xludf.DUMMYFUNCTION("""COMPUTED_VALUE"""),"KIMME")</f>
        <v>KIMME</v>
      </c>
      <c r="P152" s="279" t="str">
        <f>IFERROR(__xludf.DUMMYFUNCTION("""COMPUTED_VALUE"""),"https://www.tiktok.com/@dewi.sunday/video/7615104077130697991?is_from_webapp=1&amp;sender_device=pc&amp;web_id=7611930277489657360")</f>
        <v>https://www.tiktok.com/@dewi.sunday/video/7615104077130697991?is_from_webapp=1&amp;sender_device=pc&amp;web_id=7611930277489657360</v>
      </c>
    </row>
    <row r="153">
      <c r="A153" s="255" t="str">
        <f>IFERROR(__xludf.DUMMYFUNCTION("""COMPUTED_VALUE"""),"MICRO")</f>
        <v>MICRO</v>
      </c>
      <c r="B153" s="361" t="str">
        <f>IFERROR(__xludf.DUMMYFUNCTION("""COMPUTED_VALUE"""),"mimih_animate")</f>
        <v>mimih_animate</v>
      </c>
      <c r="C153" s="257" t="str">
        <f>IFERROR(__xludf.DUMMYFUNCTION("""COMPUTED_VALUE"""),"https://www.tiktok.com/@mimih_animate")</f>
        <v>https://www.tiktok.com/@mimih_animate</v>
      </c>
      <c r="D153" s="270">
        <f>IFERROR(__xludf.DUMMYFUNCTION("""COMPUTED_VALUE"""),8.95621964105E11)</f>
        <v>895621964105</v>
      </c>
      <c r="E153" s="457">
        <f>IFERROR(__xludf.DUMMYFUNCTION("""COMPUTED_VALUE"""),0.0)</f>
        <v>0</v>
      </c>
      <c r="F153" s="270">
        <f>IFERROR(__xludf.DUMMYFUNCTION("""COMPUTED_VALUE"""),4.0)</f>
        <v>4</v>
      </c>
      <c r="G153" s="17" t="str">
        <f>IFERROR(__xludf.DUMMYFUNCTION("""COMPUTED_VALUE"""),"Sabun batang 1 Box ( 2 PCS )")</f>
        <v>Sabun batang 1 Box ( 2 PCS )</v>
      </c>
      <c r="H153" s="463" t="str">
        <f>IFERROR(__xludf.DUMMYFUNCTION("""COMPUTED_VALUE"""),"Sampai")</f>
        <v>Sampai</v>
      </c>
      <c r="I153" s="464" t="str">
        <f>IFERROR(__xludf.DUMMYFUNCTION("""COMPUTED_VALUE"""),"KIMME")</f>
        <v>KIMME</v>
      </c>
      <c r="J153" s="279" t="str">
        <f>IFERROR(__xludf.DUMMYFUNCTION("""COMPUTED_VALUE"""),"https://vt.tiktok.com/ZSuBARuDf/")</f>
        <v>https://vt.tiktok.com/ZSuBARuDf/</v>
      </c>
      <c r="K153" s="464" t="str">
        <f>IFERROR(__xludf.DUMMYFUNCTION("""COMPUTED_VALUE"""),"KIMME")</f>
        <v>KIMME</v>
      </c>
      <c r="L153" s="279" t="str">
        <f>IFERROR(__xludf.DUMMYFUNCTION("""COMPUTED_VALUE"""),"https://vt.tiktok.com/ZSuBARb89/")</f>
        <v>https://vt.tiktok.com/ZSuBARb89/</v>
      </c>
      <c r="M153" s="464" t="str">
        <f>IFERROR(__xludf.DUMMYFUNCTION("""COMPUTED_VALUE"""),"KIMME")</f>
        <v>KIMME</v>
      </c>
      <c r="N153" s="279" t="str">
        <f>IFERROR(__xludf.DUMMYFUNCTION("""COMPUTED_VALUE"""),"https://vt.tiktok.com/ZSuBS7FD9/")</f>
        <v>https://vt.tiktok.com/ZSuBS7FD9/</v>
      </c>
      <c r="O153" s="464" t="str">
        <f>IFERROR(__xludf.DUMMYFUNCTION("""COMPUTED_VALUE"""),"KIMME")</f>
        <v>KIMME</v>
      </c>
      <c r="P153" s="279" t="str">
        <f>IFERROR(__xludf.DUMMYFUNCTION("""COMPUTED_VALUE"""),"https://vt.tiktok.com/ZSuBALPtR/")</f>
        <v>https://vt.tiktok.com/ZSuBALPtR/</v>
      </c>
    </row>
    <row r="154">
      <c r="A154" s="255" t="str">
        <f>IFERROR(__xludf.DUMMYFUNCTION("""COMPUTED_VALUE"""),"MICRO")</f>
        <v>MICRO</v>
      </c>
      <c r="B154" s="361" t="str">
        <f>IFERROR(__xludf.DUMMYFUNCTION("""COMPUTED_VALUE"""),"mamaahsansukses1")</f>
        <v>mamaahsansukses1</v>
      </c>
      <c r="C154" s="257" t="str">
        <f>IFERROR(__xludf.DUMMYFUNCTION("""COMPUTED_VALUE"""),"https://www.tiktok.com/@mamaahsansukses1")</f>
        <v>https://www.tiktok.com/@mamaahsansukses1</v>
      </c>
      <c r="D154" s="270">
        <f>IFERROR(__xludf.DUMMYFUNCTION("""COMPUTED_VALUE"""),8.222334907E10)</f>
        <v>82223349070</v>
      </c>
      <c r="E154" s="457">
        <f>IFERROR(__xludf.DUMMYFUNCTION("""COMPUTED_VALUE"""),50000.0)</f>
        <v>50000</v>
      </c>
      <c r="F154" s="270">
        <f>IFERROR(__xludf.DUMMYFUNCTION("""COMPUTED_VALUE"""),1.0)</f>
        <v>1</v>
      </c>
      <c r="G154" s="17" t="str">
        <f>IFERROR(__xludf.DUMMYFUNCTION("""COMPUTED_VALUE"""),"Sabun batang 1 Box ( 2 PCS )")</f>
        <v>Sabun batang 1 Box ( 2 PCS )</v>
      </c>
      <c r="H154" s="463" t="str">
        <f>IFERROR(__xludf.DUMMYFUNCTION("""COMPUTED_VALUE"""),"Sampai")</f>
        <v>Sampai</v>
      </c>
      <c r="I154" s="464" t="str">
        <f>IFERROR(__xludf.DUMMYFUNCTION("""COMPUTED_VALUE"""),"KIMME")</f>
        <v>KIMME</v>
      </c>
      <c r="J154" s="279" t="str">
        <f>IFERROR(__xludf.DUMMYFUNCTION("""COMPUTED_VALUE"""),"https://www.tiktok.com/@mamaahsansukses1/video/7612183248713583880?is_from_webapp=1&amp;sender_device=pc")</f>
        <v>https://www.tiktok.com/@mamaahsansukses1/video/7612183248713583880?is_from_webapp=1&amp;sender_device=pc</v>
      </c>
      <c r="K154" s="464" t="str">
        <f>IFERROR(__xludf.DUMMYFUNCTION("""COMPUTED_VALUE"""),"KIMME")</f>
        <v>KIMME</v>
      </c>
      <c r="L154" s="279" t="str">
        <f>IFERROR(__xludf.DUMMYFUNCTION("""COMPUTED_VALUE"""),"https://vt.tiktok.com/ZS9q6338s/")</f>
        <v>https://vt.tiktok.com/ZS9q6338s/</v>
      </c>
      <c r="M154" s="464"/>
      <c r="N154" s="279" t="str">
        <f>IFERROR(__xludf.DUMMYFUNCTION("""COMPUTED_VALUE"""),"https://vt.tiktok.com/ZS9q6E5PR/")</f>
        <v>https://vt.tiktok.com/ZS9q6E5PR/</v>
      </c>
      <c r="O154" s="464"/>
      <c r="P154" s="279" t="str">
        <f>IFERROR(__xludf.DUMMYFUNCTION("""COMPUTED_VALUE"""),"https://vt.tiktok.com/ZS9qM15c9/")</f>
        <v>https://vt.tiktok.com/ZS9qM15c9/</v>
      </c>
    </row>
    <row r="155">
      <c r="A155" s="255" t="str">
        <f>IFERROR(__xludf.DUMMYFUNCTION("""COMPUTED_VALUE"""),"MICRO")</f>
        <v>MICRO</v>
      </c>
      <c r="B155" s="361" t="str">
        <f>IFERROR(__xludf.DUMMYFUNCTION("""COMPUTED_VALUE"""),"teteh_448")</f>
        <v>teteh_448</v>
      </c>
      <c r="C155" s="257" t="str">
        <f>IFERROR(__xludf.DUMMYFUNCTION("""COMPUTED_VALUE"""),"https://www.tiktok.com/@teteh_448")</f>
        <v>https://www.tiktok.com/@teteh_448</v>
      </c>
      <c r="D155" s="270">
        <f>IFERROR(__xludf.DUMMYFUNCTION("""COMPUTED_VALUE"""),8.7842384245E10)</f>
        <v>87842384245</v>
      </c>
      <c r="E155" s="457">
        <f>IFERROR(__xludf.DUMMYFUNCTION("""COMPUTED_VALUE"""),0.0)</f>
        <v>0</v>
      </c>
      <c r="F155" s="270">
        <f>IFERROR(__xludf.DUMMYFUNCTION("""COMPUTED_VALUE"""),4.0)</f>
        <v>4</v>
      </c>
      <c r="G155" s="17" t="str">
        <f>IFERROR(__xludf.DUMMYFUNCTION("""COMPUTED_VALUE"""),"Sabun batang 1 Box ( 2 PCS )")</f>
        <v>Sabun batang 1 Box ( 2 PCS )</v>
      </c>
      <c r="H155" s="463" t="str">
        <f>IFERROR(__xludf.DUMMYFUNCTION("""COMPUTED_VALUE"""),"Sampai")</f>
        <v>Sampai</v>
      </c>
      <c r="I155" s="464" t="str">
        <f>IFERROR(__xludf.DUMMYFUNCTION("""COMPUTED_VALUE"""),"KIMME")</f>
        <v>KIMME</v>
      </c>
      <c r="J155" s="279" t="str">
        <f>IFERROR(__xludf.DUMMYFUNCTION("""COMPUTED_VALUE"""),"https://www.tiktok.com/@teteh_448/video/7610206939036912904?is_from_webapp=1&amp;sender_device=pc")</f>
        <v>https://www.tiktok.com/@teteh_448/video/7610206939036912904?is_from_webapp=1&amp;sender_device=pc</v>
      </c>
      <c r="K155" s="464" t="str">
        <f>IFERROR(__xludf.DUMMYFUNCTION("""COMPUTED_VALUE"""),"KIMME")</f>
        <v>KIMME</v>
      </c>
      <c r="L155" s="279" t="str">
        <f>IFERROR(__xludf.DUMMYFUNCTION("""COMPUTED_VALUE"""),"https://www.tiktok.com/@teteh_448/video/7610577744996371720?is_from_webapp=1&amp;sender_device=pc")</f>
        <v>https://www.tiktok.com/@teteh_448/video/7610577744996371720?is_from_webapp=1&amp;sender_device=pc</v>
      </c>
      <c r="M155" s="464" t="str">
        <f>IFERROR(__xludf.DUMMYFUNCTION("""COMPUTED_VALUE"""),"KIMME")</f>
        <v>KIMME</v>
      </c>
      <c r="N155" s="279" t="str">
        <f>IFERROR(__xludf.DUMMYFUNCTION("""COMPUTED_VALUE"""),"https://www.tiktok.com/@teteh_448/video/7612102795268836615?is_from_webapp=1&amp;sender_device=pc")</f>
        <v>https://www.tiktok.com/@teteh_448/video/7612102795268836615?is_from_webapp=1&amp;sender_device=pc</v>
      </c>
      <c r="O155" s="464" t="str">
        <f>IFERROR(__xludf.DUMMYFUNCTION("""COMPUTED_VALUE"""),"KIMME")</f>
        <v>KIMME</v>
      </c>
      <c r="P155" s="279" t="str">
        <f>IFERROR(__xludf.DUMMYFUNCTION("""COMPUTED_VALUE"""),"https://www.tiktok.com/@teteh_448/video/7613546007699197202?is_from_webapp=1&amp;sender_device=pc")</f>
        <v>https://www.tiktok.com/@teteh_448/video/7613546007699197202?is_from_webapp=1&amp;sender_device=pc</v>
      </c>
    </row>
    <row r="156">
      <c r="A156" s="255" t="str">
        <f>IFERROR(__xludf.DUMMYFUNCTION("""COMPUTED_VALUE"""),"MICRO")</f>
        <v>MICRO</v>
      </c>
      <c r="B156" s="361" t="str">
        <f>IFERROR(__xludf.DUMMYFUNCTION("""COMPUTED_VALUE"""),"omah_kristin")</f>
        <v>omah_kristin</v>
      </c>
      <c r="C156" s="257" t="str">
        <f>IFERROR(__xludf.DUMMYFUNCTION("""COMPUTED_VALUE"""),"https://www.tiktok.com/@omah_kristin")</f>
        <v>https://www.tiktok.com/@omah_kristin</v>
      </c>
      <c r="D156" s="270">
        <f>IFERROR(__xludf.DUMMYFUNCTION("""COMPUTED_VALUE"""),8.95359709919E11)</f>
        <v>895359709919</v>
      </c>
      <c r="E156" s="457">
        <f>IFERROR(__xludf.DUMMYFUNCTION("""COMPUTED_VALUE"""),0.0)</f>
        <v>0</v>
      </c>
      <c r="F156" s="270">
        <f>IFERROR(__xludf.DUMMYFUNCTION("""COMPUTED_VALUE"""),2.0)</f>
        <v>2</v>
      </c>
      <c r="G156" s="17" t="str">
        <f>IFERROR(__xludf.DUMMYFUNCTION("""COMPUTED_VALUE"""),"Sabun batang 1 Box ( 2 PCS )")</f>
        <v>Sabun batang 1 Box ( 2 PCS )</v>
      </c>
      <c r="H156" s="463" t="str">
        <f>IFERROR(__xludf.DUMMYFUNCTION("""COMPUTED_VALUE"""),"Sampai")</f>
        <v>Sampai</v>
      </c>
      <c r="I156" s="464" t="str">
        <f>IFERROR(__xludf.DUMMYFUNCTION("""COMPUTED_VALUE"""),"KIMME")</f>
        <v>KIMME</v>
      </c>
      <c r="J156" s="279" t="str">
        <f>IFERROR(__xludf.DUMMYFUNCTION("""COMPUTED_VALUE"""),"https://www.tiktok.com/@omah_kristin/video/7614413750732426504?is_from_webapp=1&amp;sender_device=pc")</f>
        <v>https://www.tiktok.com/@omah_kristin/video/7614413750732426504?is_from_webapp=1&amp;sender_device=pc</v>
      </c>
      <c r="K156" s="464" t="str">
        <f>IFERROR(__xludf.DUMMYFUNCTION("""COMPUTED_VALUE"""),"KIMME")</f>
        <v>KIMME</v>
      </c>
      <c r="L156" s="279" t="str">
        <f>IFERROR(__xludf.DUMMYFUNCTION("""COMPUTED_VALUE"""),"https://www.tiktok.com/@dewi.sunday/video/7615465738358344967?is_from_webapp=1&amp;sender_device=pc&amp;web_id=7611930277489657360")</f>
        <v>https://www.tiktok.com/@dewi.sunday/video/7615465738358344967?is_from_webapp=1&amp;sender_device=pc&amp;web_id=7611930277489657360</v>
      </c>
      <c r="M156" s="464"/>
      <c r="N156" s="279" t="str">
        <f>IFERROR(__xludf.DUMMYFUNCTION("""COMPUTED_VALUE"""),"https://vt.tiktok.com/ZS9q67Dd8/")</f>
        <v>https://vt.tiktok.com/ZS9q67Dd8/</v>
      </c>
      <c r="O156" s="464"/>
      <c r="P156" s="279" t="str">
        <f>IFERROR(__xludf.DUMMYFUNCTION("""COMPUTED_VALUE"""),"https://vt.tiktok.com/ZS9q6vKgF/")</f>
        <v>https://vt.tiktok.com/ZS9q6vKgF/</v>
      </c>
    </row>
    <row r="157">
      <c r="A157" s="255" t="str">
        <f>IFERROR(__xludf.DUMMYFUNCTION("""COMPUTED_VALUE"""),"MICRO")</f>
        <v>MICRO</v>
      </c>
      <c r="B157" s="361" t="str">
        <f>IFERROR(__xludf.DUMMYFUNCTION("""COMPUTED_VALUE"""),"bubblesmilkk")</f>
        <v>bubblesmilkk</v>
      </c>
      <c r="C157" s="257" t="str">
        <f>IFERROR(__xludf.DUMMYFUNCTION("""COMPUTED_VALUE"""),"https://www.tiktok.com/@bubblesmilkk")</f>
        <v>https://www.tiktok.com/@bubblesmilkk</v>
      </c>
      <c r="D157" s="270">
        <f>IFERROR(__xludf.DUMMYFUNCTION("""COMPUTED_VALUE"""),8.5600714209E10)</f>
        <v>85600714209</v>
      </c>
      <c r="E157" s="457">
        <f>IFERROR(__xludf.DUMMYFUNCTION("""COMPUTED_VALUE"""),0.0)</f>
        <v>0</v>
      </c>
      <c r="F157" s="270">
        <f>IFERROR(__xludf.DUMMYFUNCTION("""COMPUTED_VALUE"""),1.0)</f>
        <v>1</v>
      </c>
      <c r="G157" s="17" t="str">
        <f>IFERROR(__xludf.DUMMYFUNCTION("""COMPUTED_VALUE"""),"Sabun batang 1 Box ( 2 PCS )")</f>
        <v>Sabun batang 1 Box ( 2 PCS )</v>
      </c>
      <c r="H157" s="463" t="str">
        <f>IFERROR(__xludf.DUMMYFUNCTION("""COMPUTED_VALUE"""),"Sampai")</f>
        <v>Sampai</v>
      </c>
      <c r="I157" s="464" t="str">
        <f>IFERROR(__xludf.DUMMYFUNCTION("""COMPUTED_VALUE"""),"KIMME")</f>
        <v>KIMME</v>
      </c>
      <c r="J157" s="279" t="str">
        <f>IFERROR(__xludf.DUMMYFUNCTION("""COMPUTED_VALUE"""),"https://www.tiktok.com/@dewi.sunday/video/7616249158453808391?is_from_webapp=1&amp;sender_device=pc&amp;web_id=7611930277489657360")</f>
        <v>https://www.tiktok.com/@dewi.sunday/video/7616249158453808391?is_from_webapp=1&amp;sender_device=pc&amp;web_id=7611930277489657360</v>
      </c>
      <c r="K157" s="464" t="str">
        <f>IFERROR(__xludf.DUMMYFUNCTION("""COMPUTED_VALUE"""),"KIMME")</f>
        <v>KIMME</v>
      </c>
      <c r="L157" s="279" t="str">
        <f>IFERROR(__xludf.DUMMYFUNCTION("""COMPUTED_VALUE"""),"https://vt.tiktok.com/ZS9qMYRQG/")</f>
        <v>https://vt.tiktok.com/ZS9qMYRQG/</v>
      </c>
      <c r="M157" s="464"/>
      <c r="N157" s="279" t="str">
        <f>IFERROR(__xludf.DUMMYFUNCTION("""COMPUTED_VALUE"""),"https://vt.tiktok.com/ZS9qMN88u/")</f>
        <v>https://vt.tiktok.com/ZS9qMN88u/</v>
      </c>
      <c r="O157" s="464"/>
      <c r="P157" s="279" t="str">
        <f>IFERROR(__xludf.DUMMYFUNCTION("""COMPUTED_VALUE"""),"https://vt.tiktok.com/ZS9qMJFCw/")</f>
        <v>https://vt.tiktok.com/ZS9qMJFCw/</v>
      </c>
    </row>
    <row r="158">
      <c r="A158" s="255" t="str">
        <f>IFERROR(__xludf.DUMMYFUNCTION("""COMPUTED_VALUE"""),"MICRO")</f>
        <v>MICRO</v>
      </c>
      <c r="B158" s="361" t="str">
        <f>IFERROR(__xludf.DUMMYFUNCTION("""COMPUTED_VALUE"""),"cilpialucuna")</f>
        <v>cilpialucuna</v>
      </c>
      <c r="C158" s="257" t="str">
        <f>IFERROR(__xludf.DUMMYFUNCTION("""COMPUTED_VALUE"""),"https://www.tiktok.com/@cilpialucuna")</f>
        <v>https://www.tiktok.com/@cilpialucuna</v>
      </c>
      <c r="D158" s="270">
        <f>IFERROR(__xludf.DUMMYFUNCTION("""COMPUTED_VALUE"""),8.1585255066E10)</f>
        <v>81585255066</v>
      </c>
      <c r="E158" s="457">
        <f>IFERROR(__xludf.DUMMYFUNCTION("""COMPUTED_VALUE"""),0.0)</f>
        <v>0</v>
      </c>
      <c r="F158" s="270">
        <f>IFERROR(__xludf.DUMMYFUNCTION("""COMPUTED_VALUE"""),4.0)</f>
        <v>4</v>
      </c>
      <c r="G158" s="17" t="str">
        <f>IFERROR(__xludf.DUMMYFUNCTION("""COMPUTED_VALUE"""),"Sabun batang 1 Box ( 2 PCS )")</f>
        <v>Sabun batang 1 Box ( 2 PCS )</v>
      </c>
      <c r="H158" s="463" t="str">
        <f>IFERROR(__xludf.DUMMYFUNCTION("""COMPUTED_VALUE"""),"Sampai")</f>
        <v>Sampai</v>
      </c>
      <c r="I158" s="464" t="str">
        <f>IFERROR(__xludf.DUMMYFUNCTION("""COMPUTED_VALUE"""),"KIMME")</f>
        <v>KIMME</v>
      </c>
      <c r="J158" s="279" t="str">
        <f>IFERROR(__xludf.DUMMYFUNCTION("""COMPUTED_VALUE"""),"https://www.tiktok.com/@dewi.sunday/video/7616630415973043464?is_from_webapp=1&amp;sender_device=pc&amp;web_id=7611930277489657360")</f>
        <v>https://www.tiktok.com/@dewi.sunday/video/7616630415973043464?is_from_webapp=1&amp;sender_device=pc&amp;web_id=7611930277489657360</v>
      </c>
      <c r="K158" s="464" t="str">
        <f>IFERROR(__xludf.DUMMYFUNCTION("""COMPUTED_VALUE"""),"KIMME")</f>
        <v>KIMME</v>
      </c>
      <c r="L158" s="279" t="str">
        <f>IFERROR(__xludf.DUMMYFUNCTION("""COMPUTED_VALUE"""),"https://www.tiktok.com/@dewi.sunday/video/7616933881555602695?is_from_webapp=1&amp;sender_device=pc&amp;web_id=7611930277489657360")</f>
        <v>https://www.tiktok.com/@dewi.sunday/video/7616933881555602695?is_from_webapp=1&amp;sender_device=pc&amp;web_id=7611930277489657360</v>
      </c>
      <c r="M158" s="464" t="str">
        <f>IFERROR(__xludf.DUMMYFUNCTION("""COMPUTED_VALUE"""),"KIMME")</f>
        <v>KIMME</v>
      </c>
      <c r="N158" s="279" t="str">
        <f>IFERROR(__xludf.DUMMYFUNCTION("""COMPUTED_VALUE"""),"https://www.tiktok.com/@dewi.sunday/video/7617696982789852424?is_from_webapp=1&amp;sender_device=pc&amp;web_id=7611930277489657360")</f>
        <v>https://www.tiktok.com/@dewi.sunday/video/7617696982789852424?is_from_webapp=1&amp;sender_device=pc&amp;web_id=7611930277489657360</v>
      </c>
      <c r="O158" s="464" t="str">
        <f>IFERROR(__xludf.DUMMYFUNCTION("""COMPUTED_VALUE"""),"KIMME")</f>
        <v>KIMME</v>
      </c>
      <c r="P158" s="279" t="str">
        <f>IFERROR(__xludf.DUMMYFUNCTION("""COMPUTED_VALUE"""),"https://www.tiktok.com/@dewi.sunday/video/7618507072186993927?is_from_webapp=1&amp;sender_device=pc&amp;web_id=7611930277489657360")</f>
        <v>https://www.tiktok.com/@dewi.sunday/video/7618507072186993927?is_from_webapp=1&amp;sender_device=pc&amp;web_id=7611930277489657360</v>
      </c>
    </row>
    <row r="159">
      <c r="A159" s="255" t="str">
        <f>IFERROR(__xludf.DUMMYFUNCTION("""COMPUTED_VALUE"""),"MICRO")</f>
        <v>MICRO</v>
      </c>
      <c r="B159" s="361" t="str">
        <f>IFERROR(__xludf.DUMMYFUNCTION("""COMPUTED_VALUE"""),"ehniakk_")</f>
        <v>ehniakk_</v>
      </c>
      <c r="C159" s="257" t="str">
        <f>IFERROR(__xludf.DUMMYFUNCTION("""COMPUTED_VALUE"""),"https://www.tiktok.com/@ehniakk_")</f>
        <v>https://www.tiktok.com/@ehniakk_</v>
      </c>
      <c r="D159" s="270">
        <f>IFERROR(__xludf.DUMMYFUNCTION("""COMPUTED_VALUE"""),8.5609577307E10)</f>
        <v>85609577307</v>
      </c>
      <c r="E159" s="457">
        <f>IFERROR(__xludf.DUMMYFUNCTION("""COMPUTED_VALUE"""),0.0)</f>
        <v>0</v>
      </c>
      <c r="F159" s="270">
        <f>IFERROR(__xludf.DUMMYFUNCTION("""COMPUTED_VALUE"""),2.0)</f>
        <v>2</v>
      </c>
      <c r="G159" s="17" t="str">
        <f>IFERROR(__xludf.DUMMYFUNCTION("""COMPUTED_VALUE"""),"Sabun batang 1 Box ( 2 PCS )")</f>
        <v>Sabun batang 1 Box ( 2 PCS )</v>
      </c>
      <c r="H159" s="463" t="str">
        <f>IFERROR(__xludf.DUMMYFUNCTION("""COMPUTED_VALUE"""),"Sampai")</f>
        <v>Sampai</v>
      </c>
      <c r="I159" s="464" t="str">
        <f>IFERROR(__xludf.DUMMYFUNCTION("""COMPUTED_VALUE"""),"KIMME")</f>
        <v>KIMME</v>
      </c>
      <c r="J159" s="279" t="str">
        <f>IFERROR(__xludf.DUMMYFUNCTION("""COMPUTED_VALUE"""),"https://www.tiktok.com/@dewi.sunday/video/7622925062332550408?is_from_webapp=1&amp;sender_device=pc&amp;web_id=7611930277489657360")</f>
        <v>https://www.tiktok.com/@dewi.sunday/video/7622925062332550408?is_from_webapp=1&amp;sender_device=pc&amp;web_id=7611930277489657360</v>
      </c>
      <c r="K159" s="464" t="str">
        <f>IFERROR(__xludf.DUMMYFUNCTION("""COMPUTED_VALUE"""),"KIMME")</f>
        <v>KIMME</v>
      </c>
      <c r="L159" s="279" t="str">
        <f>IFERROR(__xludf.DUMMYFUNCTION("""COMPUTED_VALUE"""),"https://www.tiktok.com/@userrrrrr073124/video/7622151730205101330?is_from_webapp=1&amp;sender_device=pc&amp;web_id=7611930277489657360")</f>
        <v>https://www.tiktok.com/@userrrrrr073124/video/7622151730205101330?is_from_webapp=1&amp;sender_device=pc&amp;web_id=7611930277489657360</v>
      </c>
      <c r="M159" s="464"/>
      <c r="N159" s="279" t="str">
        <f>IFERROR(__xludf.DUMMYFUNCTION("""COMPUTED_VALUE"""),"https://vt.tiktok.com/ZS9qMYMVs/")</f>
        <v>https://vt.tiktok.com/ZS9qMYMVs/</v>
      </c>
      <c r="O159" s="464"/>
      <c r="P159" s="279" t="str">
        <f>IFERROR(__xludf.DUMMYFUNCTION("""COMPUTED_VALUE"""),"https://vt.tiktok.com/ZS9qM8pfq/")</f>
        <v>https://vt.tiktok.com/ZS9qM8pfq/</v>
      </c>
    </row>
    <row r="160">
      <c r="A160" s="255" t="str">
        <f>IFERROR(__xludf.DUMMYFUNCTION("""COMPUTED_VALUE"""),"MICRO")</f>
        <v>MICRO</v>
      </c>
      <c r="B160" s="361" t="str">
        <f>IFERROR(__xludf.DUMMYFUNCTION("""COMPUTED_VALUE"""),"ria_3a_yr")</f>
        <v>ria_3a_yr</v>
      </c>
      <c r="C160" s="257" t="str">
        <f>IFERROR(__xludf.DUMMYFUNCTION("""COMPUTED_VALUE"""),"https://www.tiktok.com/@ria_3a_yr")</f>
        <v>https://www.tiktok.com/@ria_3a_yr</v>
      </c>
      <c r="D160" s="270">
        <f>IFERROR(__xludf.DUMMYFUNCTION("""COMPUTED_VALUE"""),8.7822742147E10)</f>
        <v>87822742147</v>
      </c>
      <c r="E160" s="457">
        <f>IFERROR(__xludf.DUMMYFUNCTION("""COMPUTED_VALUE"""),0.0)</f>
        <v>0</v>
      </c>
      <c r="F160" s="270">
        <f>IFERROR(__xludf.DUMMYFUNCTION("""COMPUTED_VALUE"""),4.0)</f>
        <v>4</v>
      </c>
      <c r="G160" s="17" t="str">
        <f>IFERROR(__xludf.DUMMYFUNCTION("""COMPUTED_VALUE"""),"Sabun batang 1 Box ( 2 PCS )")</f>
        <v>Sabun batang 1 Box ( 2 PCS )</v>
      </c>
      <c r="H160" s="463" t="str">
        <f>IFERROR(__xludf.DUMMYFUNCTION("""COMPUTED_VALUE"""),"Sampai")</f>
        <v>Sampai</v>
      </c>
      <c r="I160" s="464" t="str">
        <f>IFERROR(__xludf.DUMMYFUNCTION("""COMPUTED_VALUE"""),"KIMME")</f>
        <v>KIMME</v>
      </c>
      <c r="J160" s="279" t="str">
        <f>IFERROR(__xludf.DUMMYFUNCTION("""COMPUTED_VALUE"""),"https://www.tiktok.com/@ria_3a_yr/video/7609705320738262280?is_from_webapp=1&amp;sender_device=pc")</f>
        <v>https://www.tiktok.com/@ria_3a_yr/video/7609705320738262280?is_from_webapp=1&amp;sender_device=pc</v>
      </c>
      <c r="K160" s="464" t="str">
        <f>IFERROR(__xludf.DUMMYFUNCTION("""COMPUTED_VALUE"""),"KIMME")</f>
        <v>KIMME</v>
      </c>
      <c r="L160" s="279" t="str">
        <f>IFERROR(__xludf.DUMMYFUNCTION("""COMPUTED_VALUE"""),"https://www.tiktok.com/@ria_3a_yr/video/7614056369569713426?is_from_webapp=1&amp;sender_device=pc")</f>
        <v>https://www.tiktok.com/@ria_3a_yr/video/7614056369569713426?is_from_webapp=1&amp;sender_device=pc</v>
      </c>
      <c r="M160" s="464" t="str">
        <f>IFERROR(__xludf.DUMMYFUNCTION("""COMPUTED_VALUE"""),"KIMME")</f>
        <v>KIMME</v>
      </c>
      <c r="N160" s="279" t="str">
        <f>IFERROR(__xludf.DUMMYFUNCTION("""COMPUTED_VALUE"""),"https://www.tiktok.com/@ria_3a_yr/video/7614752153806195975?is_from_webapp=1&amp;sender_device=pc")</f>
        <v>https://www.tiktok.com/@ria_3a_yr/video/7614752153806195975?is_from_webapp=1&amp;sender_device=pc</v>
      </c>
      <c r="O160" s="464" t="str">
        <f>IFERROR(__xludf.DUMMYFUNCTION("""COMPUTED_VALUE"""),"KIMME")</f>
        <v>KIMME</v>
      </c>
      <c r="P160" s="279" t="str">
        <f>IFERROR(__xludf.DUMMYFUNCTION("""COMPUTED_VALUE"""),"https://www.tiktok.com/@userrrrrr073124/video/7622151802481380616?is_from_webapp=1&amp;sender_device=pc&amp;web_id=7611930277489657360")</f>
        <v>https://www.tiktok.com/@userrrrrr073124/video/7622151802481380616?is_from_webapp=1&amp;sender_device=pc&amp;web_id=7611930277489657360</v>
      </c>
    </row>
    <row r="161">
      <c r="A161" s="255" t="str">
        <f>IFERROR(__xludf.DUMMYFUNCTION("""COMPUTED_VALUE"""),"MICRO")</f>
        <v>MICRO</v>
      </c>
      <c r="B161" s="361" t="str">
        <f>IFERROR(__xludf.DUMMYFUNCTION("""COMPUTED_VALUE"""),"hyyy_kitttyyyy
")</f>
        <v>hyyy_kitttyyyy
</v>
      </c>
      <c r="C161" s="257" t="str">
        <f>IFERROR(__xludf.DUMMYFUNCTION("""COMPUTED_VALUE"""),"https://www.tiktok.com/@hyyy_kitttyyyy
")</f>
        <v>https://www.tiktok.com/@hyyy_kitttyyyy
</v>
      </c>
      <c r="D161" s="270">
        <f>IFERROR(__xludf.DUMMYFUNCTION("""COMPUTED_VALUE"""),8.3121401752E10)</f>
        <v>83121401752</v>
      </c>
      <c r="E161" s="457">
        <f>IFERROR(__xludf.DUMMYFUNCTION("""COMPUTED_VALUE"""),0.0)</f>
        <v>0</v>
      </c>
      <c r="F161" s="270">
        <f>IFERROR(__xludf.DUMMYFUNCTION("""COMPUTED_VALUE"""),4.0)</f>
        <v>4</v>
      </c>
      <c r="G161" s="17" t="str">
        <f>IFERROR(__xludf.DUMMYFUNCTION("""COMPUTED_VALUE"""),"Sabun batang 1 Box ( 2 PCS )")</f>
        <v>Sabun batang 1 Box ( 2 PCS )</v>
      </c>
      <c r="H161" s="463" t="str">
        <f>IFERROR(__xludf.DUMMYFUNCTION("""COMPUTED_VALUE"""),"Sampai")</f>
        <v>Sampai</v>
      </c>
      <c r="I161" s="464" t="str">
        <f>IFERROR(__xludf.DUMMYFUNCTION("""COMPUTED_VALUE"""),"KIMME")</f>
        <v>KIMME</v>
      </c>
      <c r="J161" s="279" t="str">
        <f>IFERROR(__xludf.DUMMYFUNCTION("""COMPUTED_VALUE"""),"https://www.tiktok.com/@hyyy_kitttyyyy/video/7615996714176007444?is_from_webapp=1&amp;sender_device=pc&amp;web_id=7611930277489657360")</f>
        <v>https://www.tiktok.com/@hyyy_kitttyyyy/video/7615996714176007444?is_from_webapp=1&amp;sender_device=pc&amp;web_id=7611930277489657360</v>
      </c>
      <c r="K161" s="464" t="str">
        <f>IFERROR(__xludf.DUMMYFUNCTION("""COMPUTED_VALUE"""),"KIMME")</f>
        <v>KIMME</v>
      </c>
      <c r="L161" s="279" t="str">
        <f>IFERROR(__xludf.DUMMYFUNCTION("""COMPUTED_VALUE"""),"https://www.tiktok.com/@hyyy_kitttyyyy/video/7616240751264992533?is_from_webapp=1&amp;sender_device=pc&amp;web_id=7611930277489657360")</f>
        <v>https://www.tiktok.com/@hyyy_kitttyyyy/video/7616240751264992533?is_from_webapp=1&amp;sender_device=pc&amp;web_id=7611930277489657360</v>
      </c>
      <c r="M161" s="464" t="str">
        <f>IFERROR(__xludf.DUMMYFUNCTION("""COMPUTED_VALUE"""),"KIMME")</f>
        <v>KIMME</v>
      </c>
      <c r="N161" s="279" t="str">
        <f>IFERROR(__xludf.DUMMYFUNCTION("""COMPUTED_VALUE"""),"https://www.tiktok.com/@userrrrrr073124/video/7622303374964247815?is_from_webapp=1&amp;sender_device=pc&amp;web_id=7611930277489657360")</f>
        <v>https://www.tiktok.com/@userrrrrr073124/video/7622303374964247815?is_from_webapp=1&amp;sender_device=pc&amp;web_id=7611930277489657360</v>
      </c>
      <c r="O161" s="464" t="str">
        <f>IFERROR(__xludf.DUMMYFUNCTION("""COMPUTED_VALUE"""),"KIMME")</f>
        <v>KIMME</v>
      </c>
      <c r="P161" s="279" t="str">
        <f>IFERROR(__xludf.DUMMYFUNCTION("""COMPUTED_VALUE"""),"https://www.tiktok.com/@userrrrrr073124/video/7622304016382348562?is_from_webapp=1&amp;sender_device=pc&amp;web_id=7611930277489657360")</f>
        <v>https://www.tiktok.com/@userrrrrr073124/video/7622304016382348562?is_from_webapp=1&amp;sender_device=pc&amp;web_id=7611930277489657360</v>
      </c>
    </row>
    <row r="162">
      <c r="A162" s="255" t="str">
        <f>IFERROR(__xludf.DUMMYFUNCTION("""COMPUTED_VALUE"""),"MICRO")</f>
        <v>MICRO</v>
      </c>
      <c r="B162" s="361" t="str">
        <f>IFERROR(__xludf.DUMMYFUNCTION("""COMPUTED_VALUE"""),"failady")</f>
        <v>failady</v>
      </c>
      <c r="C162" s="257" t="str">
        <f>IFERROR(__xludf.DUMMYFUNCTION("""COMPUTED_VALUE"""),"https://www.tiktok.com/@failady")</f>
        <v>https://www.tiktok.com/@failady</v>
      </c>
      <c r="D162" s="270">
        <f>IFERROR(__xludf.DUMMYFUNCTION("""COMPUTED_VALUE"""),8.2143184921E10)</f>
        <v>82143184921</v>
      </c>
      <c r="E162" s="457">
        <f>IFERROR(__xludf.DUMMYFUNCTION("""COMPUTED_VALUE"""),0.0)</f>
        <v>0</v>
      </c>
      <c r="F162" s="270">
        <f>IFERROR(__xludf.DUMMYFUNCTION("""COMPUTED_VALUE"""),4.0)</f>
        <v>4</v>
      </c>
      <c r="G162" s="17" t="str">
        <f>IFERROR(__xludf.DUMMYFUNCTION("""COMPUTED_VALUE"""),"Sabun batang 1 Box ( 2 PCS )")</f>
        <v>Sabun batang 1 Box ( 2 PCS )</v>
      </c>
      <c r="H162" s="463" t="str">
        <f>IFERROR(__xludf.DUMMYFUNCTION("""COMPUTED_VALUE"""),"Sampai")</f>
        <v>Sampai</v>
      </c>
      <c r="I162" s="464" t="str">
        <f>IFERROR(__xludf.DUMMYFUNCTION("""COMPUTED_VALUE"""),"KIMME")</f>
        <v>KIMME</v>
      </c>
      <c r="J162" s="279" t="str">
        <f>IFERROR(__xludf.DUMMYFUNCTION("""COMPUTED_VALUE"""),"https://vt.tiktok.com/ZSuBAhF2q/")</f>
        <v>https://vt.tiktok.com/ZSuBAhF2q/</v>
      </c>
      <c r="K162" s="464" t="str">
        <f>IFERROR(__xludf.DUMMYFUNCTION("""COMPUTED_VALUE"""),"KIMME")</f>
        <v>KIMME</v>
      </c>
      <c r="L162" s="279" t="str">
        <f>IFERROR(__xludf.DUMMYFUNCTION("""COMPUTED_VALUE"""),"https://vt.tiktok.com/ZSuBA4jkV/")</f>
        <v>https://vt.tiktok.com/ZSuBA4jkV/</v>
      </c>
      <c r="M162" s="464" t="str">
        <f>IFERROR(__xludf.DUMMYFUNCTION("""COMPUTED_VALUE"""),"KIMME")</f>
        <v>KIMME</v>
      </c>
      <c r="N162" s="279" t="str">
        <f>IFERROR(__xludf.DUMMYFUNCTION("""COMPUTED_VALUE"""),"https://www.tiktok.com/@naura.karisma/video/7620658693012573461?is_from_webapp=1&amp;sender_device=pc&amp;web_id=7611930277489657360")</f>
        <v>https://www.tiktok.com/@naura.karisma/video/7620658693012573461?is_from_webapp=1&amp;sender_device=pc&amp;web_id=7611930277489657360</v>
      </c>
      <c r="O162" s="464" t="str">
        <f>IFERROR(__xludf.DUMMYFUNCTION("""COMPUTED_VALUE"""),"KIMME")</f>
        <v>KIMME</v>
      </c>
      <c r="P162" s="279" t="str">
        <f>IFERROR(__xludf.DUMMYFUNCTION("""COMPUTED_VALUE"""),"https://www.tiktok.com/@naura.karisma/video/7621642225880960277?is_from_webapp=1&amp;sender_device=pc&amp;web_id=7611930277489657360")</f>
        <v>https://www.tiktok.com/@naura.karisma/video/7621642225880960277?is_from_webapp=1&amp;sender_device=pc&amp;web_id=7611930277489657360</v>
      </c>
    </row>
    <row r="163">
      <c r="A163" s="255" t="str">
        <f>IFERROR(__xludf.DUMMYFUNCTION("""COMPUTED_VALUE"""),"MICRO")</f>
        <v>MICRO</v>
      </c>
      <c r="B163" s="361" t="str">
        <f>IFERROR(__xludf.DUMMYFUNCTION("""COMPUTED_VALUE"""),"naylanayla_yh1
")</f>
        <v>naylanayla_yh1
</v>
      </c>
      <c r="C163" s="257" t="str">
        <f>IFERROR(__xludf.DUMMYFUNCTION("""COMPUTED_VALUE"""),"https://www.tiktok.com/@naylanayla_yh1
")</f>
        <v>https://www.tiktok.com/@naylanayla_yh1
</v>
      </c>
      <c r="D163" s="270">
        <f>IFERROR(__xludf.DUMMYFUNCTION("""COMPUTED_VALUE"""),8.385711493E10)</f>
        <v>83857114930</v>
      </c>
      <c r="E163" s="457">
        <f>IFERROR(__xludf.DUMMYFUNCTION("""COMPUTED_VALUE"""),0.0)</f>
        <v>0</v>
      </c>
      <c r="F163" s="270">
        <f>IFERROR(__xludf.DUMMYFUNCTION("""COMPUTED_VALUE"""),4.0)</f>
        <v>4</v>
      </c>
      <c r="G163" s="17" t="str">
        <f>IFERROR(__xludf.DUMMYFUNCTION("""COMPUTED_VALUE"""),"Sabun batang 1 Box ( 2 PCS )")</f>
        <v>Sabun batang 1 Box ( 2 PCS )</v>
      </c>
      <c r="H163" s="463" t="str">
        <f>IFERROR(__xludf.DUMMYFUNCTION("""COMPUTED_VALUE"""),"Sampai")</f>
        <v>Sampai</v>
      </c>
      <c r="I163" s="464" t="str">
        <f>IFERROR(__xludf.DUMMYFUNCTION("""COMPUTED_VALUE"""),"KIMME")</f>
        <v>KIMME</v>
      </c>
      <c r="J163" s="279" t="str">
        <f>IFERROR(__xludf.DUMMYFUNCTION("""COMPUTED_VALUE"""),"https://vt.tiktok.com/ZSuBAbthn/")</f>
        <v>https://vt.tiktok.com/ZSuBAbthn/</v>
      </c>
      <c r="K163" s="464" t="str">
        <f>IFERROR(__xludf.DUMMYFUNCTION("""COMPUTED_VALUE"""),"KIMME")</f>
        <v>KIMME</v>
      </c>
      <c r="L163" s="279" t="str">
        <f>IFERROR(__xludf.DUMMYFUNCTION("""COMPUTED_VALUE"""),"https://www.tiktok.com/@naura.karisma/video/7622092209893936404?is_from_webapp=1&amp;sender_device=pc&amp;web_id=7611930277489657360")</f>
        <v>https://www.tiktok.com/@naura.karisma/video/7622092209893936404?is_from_webapp=1&amp;sender_device=pc&amp;web_id=7611930277489657360</v>
      </c>
      <c r="M163" s="464" t="str">
        <f>IFERROR(__xludf.DUMMYFUNCTION("""COMPUTED_VALUE"""),"KIMME")</f>
        <v>KIMME</v>
      </c>
      <c r="N163" s="279" t="str">
        <f>IFERROR(__xludf.DUMMYFUNCTION("""COMPUTED_VALUE"""),"https://www.tiktok.com/@naura.karisma/video/7622944556455136533?is_from_webapp=1&amp;sender_device=pc&amp;web_id=7611930277489657360")</f>
        <v>https://www.tiktok.com/@naura.karisma/video/7622944556455136533?is_from_webapp=1&amp;sender_device=pc&amp;web_id=7611930277489657360</v>
      </c>
      <c r="O163" s="464" t="str">
        <f>IFERROR(__xludf.DUMMYFUNCTION("""COMPUTED_VALUE"""),"KIMME")</f>
        <v>KIMME</v>
      </c>
      <c r="P163" s="279" t="str">
        <f>IFERROR(__xludf.DUMMYFUNCTION("""COMPUTED_VALUE"""),"https://www.tiktok.com/@khanndew/video/7624054004414237970?is_from_webapp=1&amp;sender_device=pc")</f>
        <v>https://www.tiktok.com/@khanndew/video/7624054004414237970?is_from_webapp=1&amp;sender_device=pc</v>
      </c>
    </row>
    <row r="164">
      <c r="A164" s="255" t="str">
        <f>IFERROR(__xludf.DUMMYFUNCTION("""COMPUTED_VALUE"""),"MICRO")</f>
        <v>MICRO</v>
      </c>
      <c r="B164" s="361" t="str">
        <f>IFERROR(__xludf.DUMMYFUNCTION("""COMPUTED_VALUE"""),"himahsy")</f>
        <v>himahsy</v>
      </c>
      <c r="C164" s="257" t="str">
        <f>IFERROR(__xludf.DUMMYFUNCTION("""COMPUTED_VALUE"""),"https://www.tiktok.com/@himahsy")</f>
        <v>https://www.tiktok.com/@himahsy</v>
      </c>
      <c r="D164" s="270">
        <f>IFERROR(__xludf.DUMMYFUNCTION("""COMPUTED_VALUE"""),8.5603701558E10)</f>
        <v>85603701558</v>
      </c>
      <c r="E164" s="457">
        <f>IFERROR(__xludf.DUMMYFUNCTION("""COMPUTED_VALUE"""),0.0)</f>
        <v>0</v>
      </c>
      <c r="F164" s="270">
        <f>IFERROR(__xludf.DUMMYFUNCTION("""COMPUTED_VALUE"""),2.0)</f>
        <v>2</v>
      </c>
      <c r="G164" s="17" t="str">
        <f>IFERROR(__xludf.DUMMYFUNCTION("""COMPUTED_VALUE"""),"Sabun batang 1 Box ( 2 PCS )")</f>
        <v>Sabun batang 1 Box ( 2 PCS )</v>
      </c>
      <c r="H164" s="463" t="str">
        <f>IFERROR(__xludf.DUMMYFUNCTION("""COMPUTED_VALUE"""),"Sampai")</f>
        <v>Sampai</v>
      </c>
      <c r="I164" s="464" t="str">
        <f>IFERROR(__xludf.DUMMYFUNCTION("""COMPUTED_VALUE"""),"KIMME")</f>
        <v>KIMME</v>
      </c>
      <c r="J164" s="279" t="str">
        <f>IFERROR(__xludf.DUMMYFUNCTION("""COMPUTED_VALUE"""),"https://www.tiktok.com/@skinbeauty.id/video/7616600460442553620?is_from_webapp=1&amp;sender_device=pc")</f>
        <v>https://www.tiktok.com/@skinbeauty.id/video/7616600460442553620?is_from_webapp=1&amp;sender_device=pc</v>
      </c>
      <c r="K164" s="464" t="str">
        <f>IFERROR(__xludf.DUMMYFUNCTION("""COMPUTED_VALUE"""),"KIMME")</f>
        <v>KIMME</v>
      </c>
      <c r="L164" s="279" t="str">
        <f>IFERROR(__xludf.DUMMYFUNCTION("""COMPUTED_VALUE"""),"https://www.tiktok.com/@skinbeauty.id/video/7617020380250705172?is_from_webapp=1&amp;sender_device=pc")</f>
        <v>https://www.tiktok.com/@skinbeauty.id/video/7617020380250705172?is_from_webapp=1&amp;sender_device=pc</v>
      </c>
      <c r="M164" s="464"/>
      <c r="N164" s="279" t="str">
        <f>IFERROR(__xludf.DUMMYFUNCTION("""COMPUTED_VALUE"""),"https://vt.tiktok.com/ZS9qMU3qj/")</f>
        <v>https://vt.tiktok.com/ZS9qMU3qj/</v>
      </c>
      <c r="O164" s="464"/>
      <c r="P164" s="279" t="str">
        <f>IFERROR(__xludf.DUMMYFUNCTION("""COMPUTED_VALUE"""),"https://vt.tiktok.com/ZS9qMkhCk/")</f>
        <v>https://vt.tiktok.com/ZS9qMkhCk/</v>
      </c>
    </row>
    <row r="165">
      <c r="A165" s="255" t="str">
        <f>IFERROR(__xludf.DUMMYFUNCTION("""COMPUTED_VALUE"""),"MICRO")</f>
        <v>MICRO</v>
      </c>
      <c r="B165" s="361" t="str">
        <f>IFERROR(__xludf.DUMMYFUNCTION("""COMPUTED_VALUE"""),"ahakosmetik")</f>
        <v>ahakosmetik</v>
      </c>
      <c r="C165" s="257" t="str">
        <f>IFERROR(__xludf.DUMMYFUNCTION("""COMPUTED_VALUE"""),"https://www.tiktok.com/@ahakosmetik")</f>
        <v>https://www.tiktok.com/@ahakosmetik</v>
      </c>
      <c r="D165" s="270">
        <f>IFERROR(__xludf.DUMMYFUNCTION("""COMPUTED_VALUE"""),8.2244955559E10)</f>
        <v>82244955559</v>
      </c>
      <c r="E165" s="457">
        <f>IFERROR(__xludf.DUMMYFUNCTION("""COMPUTED_VALUE"""),0.0)</f>
        <v>0</v>
      </c>
      <c r="F165" s="270">
        <f>IFERROR(__xludf.DUMMYFUNCTION("""COMPUTED_VALUE"""),4.0)</f>
        <v>4</v>
      </c>
      <c r="G165" s="17" t="str">
        <f>IFERROR(__xludf.DUMMYFUNCTION("""COMPUTED_VALUE"""),"Sabun batang 1 Box ( 2 PCS )")</f>
        <v>Sabun batang 1 Box ( 2 PCS )</v>
      </c>
      <c r="H165" s="463" t="str">
        <f>IFERROR(__xludf.DUMMYFUNCTION("""COMPUTED_VALUE"""),"Sampai")</f>
        <v>Sampai</v>
      </c>
      <c r="I165" s="464" t="str">
        <f>IFERROR(__xludf.DUMMYFUNCTION("""COMPUTED_VALUE"""),"KIMME")</f>
        <v>KIMME</v>
      </c>
      <c r="J165" s="279" t="str">
        <f>IFERROR(__xludf.DUMMYFUNCTION("""COMPUTED_VALUE"""),"https://www.tiktok.com/@ahakosmetik/video/7607102609501129992?is_from_webapp=1&amp;sender_device=pc")</f>
        <v>https://www.tiktok.com/@ahakosmetik/video/7607102609501129992?is_from_webapp=1&amp;sender_device=pc</v>
      </c>
      <c r="K165" s="464" t="str">
        <f>IFERROR(__xludf.DUMMYFUNCTION("""COMPUTED_VALUE"""),"KIMME")</f>
        <v>KIMME</v>
      </c>
      <c r="L165" s="279" t="str">
        <f>IFERROR(__xludf.DUMMYFUNCTION("""COMPUTED_VALUE"""),"https://www.tiktok.com/@ahakosmetik/video/7614497945974557960?is_from_webapp=1&amp;sender_device=pc")</f>
        <v>https://www.tiktok.com/@ahakosmetik/video/7614497945974557960?is_from_webapp=1&amp;sender_device=pc</v>
      </c>
      <c r="M165" s="464" t="str">
        <f>IFERROR(__xludf.DUMMYFUNCTION("""COMPUTED_VALUE"""),"KIMME")</f>
        <v>KIMME</v>
      </c>
      <c r="N165" s="279" t="str">
        <f>IFERROR(__xludf.DUMMYFUNCTION("""COMPUTED_VALUE"""),"https://www.tiktok.com/@ahakosmetik/video/7615700726605450517?is_from_webapp=1&amp;sender_device=pc")</f>
        <v>https://www.tiktok.com/@ahakosmetik/video/7615700726605450517?is_from_webapp=1&amp;sender_device=pc</v>
      </c>
      <c r="O165" s="464" t="str">
        <f>IFERROR(__xludf.DUMMYFUNCTION("""COMPUTED_VALUE"""),"KIMME")</f>
        <v>KIMME</v>
      </c>
      <c r="P165" s="279" t="str">
        <f>IFERROR(__xludf.DUMMYFUNCTION("""COMPUTED_VALUE"""),"https://www.tiktok.com/@ahakosmetik/video/7618524440673946888?_r=1&amp;u_code=dal346a9j0maa6&amp;region=&amp;mid=7618524478917708562&amp;preview_pb=0&amp;sharer_language=&amp;_d=0&amp;ec_shared_reflux_dynamic_params=%7B%22placeholder_material_id%22%3A%227618524440673946888%22%2C%22p"&amp;"laceholder_origin_cover%22%3A%22https%253A%252F%252Fp16-sign-sg.tiktokcdn.com%252Ftos-alisg-p-0037%252FoU65AdGCeQT3LWJ8w4eCjQJF6QfbbNIcAIDqHQ~tplv-tiktokx-origin.jpeg%253Fdr%253D14572%2526refresh_token%253Dddea5784%2526x-expires%253D1808208000%2526x-signa"&amp;"ture%253DoVn1%25252Fh1UGOaJS4%25252B1OJG9bFpbBQ4%25253D%2526t%253D4d5b0474%2526ps%253D13740610%2526shp%253Dd05b14bd%2526shcp%253D34ff8df6%2526idc%253Dmy3%2526s%253DTIKTOK_AFFILIATE_VIRAL_VIDEO%22%2C%22placeholder_product_id%22%3A%221729427766722726591%22%"&amp;"2C%22placeholder_video_id%22%3A%227618524440673946888%22%7D&amp;ec_shared_reflux_scene=shop_tab_feed&amp;share_item_id=7618524440673946888&amp;source=h5_t")</f>
        <v>https://www.tiktok.com/@ahakosmetik/video/7618524440673946888?_r=1&amp;u_code=dal346a9j0maa6&amp;region=&amp;mid=7618524478917708562&amp;preview_pb=0&amp;sharer_language=&amp;_d=0&amp;ec_shared_reflux_dynamic_params=%7B%22placeholder_material_id%22%3A%227618524440673946888%22%2C%22placeholder_origin_cover%22%3A%22https%253A%252F%252Fp16-sign-sg.tiktokcdn.com%252Ftos-alisg-p-0037%252FoU65AdGCeQT3LWJ8w4eCjQJF6QfbbNIcAIDqHQ~tplv-tiktokx-origin.jpeg%253Fdr%253D14572%2526refresh_token%253Dddea5784%2526x-expires%253D1808208000%2526x-signature%253DoVn1%25252Fh1UGOaJS4%25252B1OJG9bFpbBQ4%25253D%2526t%253D4d5b0474%2526ps%253D13740610%2526shp%253Dd05b14bd%2526shcp%253D34ff8df6%2526idc%253Dmy3%2526s%253DTIKTOK_AFFILIATE_VIRAL_VIDEO%22%2C%22placeholder_product_id%22%3A%221729427766722726591%22%2C%22placeholder_video_id%22%3A%227618524440673946888%22%7D&amp;ec_shared_reflux_scene=shop_tab_feed&amp;share_item_id=7618524440673946888&amp;source=h5_t</v>
      </c>
    </row>
    <row r="166">
      <c r="A166" s="255" t="str">
        <f>IFERROR(__xludf.DUMMYFUNCTION("""COMPUTED_VALUE"""),"MICRO")</f>
        <v>MICRO</v>
      </c>
      <c r="B166" s="361" t="str">
        <f>IFERROR(__xludf.DUMMYFUNCTION("""COMPUTED_VALUE"""),"racunonline91")</f>
        <v>racunonline91</v>
      </c>
      <c r="C166" s="257" t="str">
        <f>IFERROR(__xludf.DUMMYFUNCTION("""COMPUTED_VALUE"""),"https://www.tiktok.com/@racunonline91")</f>
        <v>https://www.tiktok.com/@racunonline91</v>
      </c>
      <c r="D166" s="270">
        <f>IFERROR(__xludf.DUMMYFUNCTION("""COMPUTED_VALUE"""),8.5899546091E10)</f>
        <v>85899546091</v>
      </c>
      <c r="E166" s="457">
        <f>IFERROR(__xludf.DUMMYFUNCTION("""COMPUTED_VALUE"""),0.0)</f>
        <v>0</v>
      </c>
      <c r="F166" s="270">
        <f>IFERROR(__xludf.DUMMYFUNCTION("""COMPUTED_VALUE"""),4.0)</f>
        <v>4</v>
      </c>
      <c r="G166" s="17" t="str">
        <f>IFERROR(__xludf.DUMMYFUNCTION("""COMPUTED_VALUE"""),"Sabun batang 1 Box ( 2 PCS )")</f>
        <v>Sabun batang 1 Box ( 2 PCS )</v>
      </c>
      <c r="H166" s="463" t="str">
        <f>IFERROR(__xludf.DUMMYFUNCTION("""COMPUTED_VALUE"""),"Sampai")</f>
        <v>Sampai</v>
      </c>
      <c r="I166" s="464" t="str">
        <f>IFERROR(__xludf.DUMMYFUNCTION("""COMPUTED_VALUE"""),"KIMME")</f>
        <v>KIMME</v>
      </c>
      <c r="J166" s="279" t="str">
        <f>IFERROR(__xludf.DUMMYFUNCTION("""COMPUTED_VALUE"""),"https://www.tiktok.com/@racunonline91/video/7607245650245242119?is_from_webapp=1&amp;sender_device=pc")</f>
        <v>https://www.tiktok.com/@racunonline91/video/7607245650245242119?is_from_webapp=1&amp;sender_device=pc</v>
      </c>
      <c r="K166" s="464" t="str">
        <f>IFERROR(__xludf.DUMMYFUNCTION("""COMPUTED_VALUE"""),"KIMME")</f>
        <v>KIMME</v>
      </c>
      <c r="L166" s="279" t="str">
        <f>IFERROR(__xludf.DUMMYFUNCTION("""COMPUTED_VALUE"""),"https://www.tiktok.com/@racunonline91/video/7607388276818791687?is_from_webapp=1&amp;sender_device=pc")</f>
        <v>https://www.tiktok.com/@racunonline91/video/7607388276818791687?is_from_webapp=1&amp;sender_device=pc</v>
      </c>
      <c r="M166" s="464" t="str">
        <f>IFERROR(__xludf.DUMMYFUNCTION("""COMPUTED_VALUE"""),"KIMME")</f>
        <v>KIMME</v>
      </c>
      <c r="N166" s="279" t="str">
        <f>IFERROR(__xludf.DUMMYFUNCTION("""COMPUTED_VALUE"""),"https://www.tiktok.com/@racunonline91/video/7607983202732379400?is_from_webapp=1&amp;sender_device=pc")</f>
        <v>https://www.tiktok.com/@racunonline91/video/7607983202732379400?is_from_webapp=1&amp;sender_device=pc</v>
      </c>
      <c r="O166" s="464" t="str">
        <f>IFERROR(__xludf.DUMMYFUNCTION("""COMPUTED_VALUE"""),"KIMME")</f>
        <v>KIMME</v>
      </c>
      <c r="P166" s="279" t="str">
        <f>IFERROR(__xludf.DUMMYFUNCTION("""COMPUTED_VALUE"""),"https://www.tiktok.com/@racunonline91/video/7608723880131169543?is_from_webapp=1&amp;sender_device=pc")</f>
        <v>https://www.tiktok.com/@racunonline91/video/7608723880131169543?is_from_webapp=1&amp;sender_device=pc</v>
      </c>
    </row>
    <row r="167">
      <c r="A167" s="255" t="str">
        <f>IFERROR(__xludf.DUMMYFUNCTION("""COMPUTED_VALUE"""),"MICRO")</f>
        <v>MICRO</v>
      </c>
      <c r="B167" s="361" t="str">
        <f>IFERROR(__xludf.DUMMYFUNCTION("""COMPUTED_VALUE"""),"siekumkum")</f>
        <v>siekumkum</v>
      </c>
      <c r="C167" s="257" t="str">
        <f>IFERROR(__xludf.DUMMYFUNCTION("""COMPUTED_VALUE"""),"https://www.tiktok.com/@siekumkum")</f>
        <v>https://www.tiktok.com/@siekumkum</v>
      </c>
      <c r="D167" s="270">
        <f>IFERROR(__xludf.DUMMYFUNCTION("""COMPUTED_VALUE"""),8.2363260632E10)</f>
        <v>82363260632</v>
      </c>
      <c r="E167" s="457">
        <f>IFERROR(__xludf.DUMMYFUNCTION("""COMPUTED_VALUE"""),0.0)</f>
        <v>0</v>
      </c>
      <c r="F167" s="270">
        <f>IFERROR(__xludf.DUMMYFUNCTION("""COMPUTED_VALUE"""),4.0)</f>
        <v>4</v>
      </c>
      <c r="G167" s="17" t="str">
        <f>IFERROR(__xludf.DUMMYFUNCTION("""COMPUTED_VALUE"""),"Sabun batang 1 Box ( 2 PCS )")</f>
        <v>Sabun batang 1 Box ( 2 PCS )</v>
      </c>
      <c r="H167" s="463" t="str">
        <f>IFERROR(__xludf.DUMMYFUNCTION("""COMPUTED_VALUE"""),"Sampai")</f>
        <v>Sampai</v>
      </c>
      <c r="I167" s="464" t="str">
        <f>IFERROR(__xludf.DUMMYFUNCTION("""COMPUTED_VALUE"""),"KIMME")</f>
        <v>KIMME</v>
      </c>
      <c r="J167" s="279" t="str">
        <f>IFERROR(__xludf.DUMMYFUNCTION("""COMPUTED_VALUE"""),"https://www.tiktok.com/@siekumkum/video/7608120273224912148?is_from_webapp=1&amp;sender_device=pc")</f>
        <v>https://www.tiktok.com/@siekumkum/video/7608120273224912148?is_from_webapp=1&amp;sender_device=pc</v>
      </c>
      <c r="K167" s="464" t="str">
        <f>IFERROR(__xludf.DUMMYFUNCTION("""COMPUTED_VALUE"""),"KIMME")</f>
        <v>KIMME</v>
      </c>
      <c r="L167" s="279" t="str">
        <f>IFERROR(__xludf.DUMMYFUNCTION("""COMPUTED_VALUE"""),"https://www.tiktok.com/@siekumkum/video/7610335663992392980?is_from_webapp=1&amp;sender_device=pc")</f>
        <v>https://www.tiktok.com/@siekumkum/video/7610335663992392980?is_from_webapp=1&amp;sender_device=pc</v>
      </c>
      <c r="M167" s="464" t="str">
        <f>IFERROR(__xludf.DUMMYFUNCTION("""COMPUTED_VALUE"""),"KIMME")</f>
        <v>KIMME</v>
      </c>
      <c r="N167" s="279" t="str">
        <f>IFERROR(__xludf.DUMMYFUNCTION("""COMPUTED_VALUE"""),"https://www.tiktok.com/@siekumkum/video/7611841097979088149?is_from_webapp=1&amp;sender_device=pc")</f>
        <v>https://www.tiktok.com/@siekumkum/video/7611841097979088149?is_from_webapp=1&amp;sender_device=pc</v>
      </c>
      <c r="O167" s="464" t="str">
        <f>IFERROR(__xludf.DUMMYFUNCTION("""COMPUTED_VALUE"""),"KIMME")</f>
        <v>KIMME</v>
      </c>
      <c r="P167" s="279" t="str">
        <f>IFERROR(__xludf.DUMMYFUNCTION("""COMPUTED_VALUE"""),"https://www.tiktok.com/@siekumkum/video/7614383581841952021?is_from_webapp=1&amp;sender_device=pc")</f>
        <v>https://www.tiktok.com/@siekumkum/video/7614383581841952021?is_from_webapp=1&amp;sender_device=pc</v>
      </c>
    </row>
    <row r="168">
      <c r="A168" s="255" t="str">
        <f>IFERROR(__xludf.DUMMYFUNCTION("""COMPUTED_VALUE"""),"MICRO")</f>
        <v>MICRO</v>
      </c>
      <c r="B168" s="361" t="str">
        <f>IFERROR(__xludf.DUMMYFUNCTION("""COMPUTED_VALUE"""),"mbk_cantik2309")</f>
        <v>mbk_cantik2309</v>
      </c>
      <c r="C168" s="257" t="str">
        <f>IFERROR(__xludf.DUMMYFUNCTION("""COMPUTED_VALUE"""),"https://www.tiktok.com/@mbk_cantik2309")</f>
        <v>https://www.tiktok.com/@mbk_cantik2309</v>
      </c>
      <c r="D168" s="270">
        <f>IFERROR(__xludf.DUMMYFUNCTION("""COMPUTED_VALUE"""),8.7754958443E10)</f>
        <v>87754958443</v>
      </c>
      <c r="E168" s="457">
        <f>IFERROR(__xludf.DUMMYFUNCTION("""COMPUTED_VALUE"""),0.0)</f>
        <v>0</v>
      </c>
      <c r="F168" s="270">
        <f>IFERROR(__xludf.DUMMYFUNCTION("""COMPUTED_VALUE"""),4.0)</f>
        <v>4</v>
      </c>
      <c r="G168" s="17" t="str">
        <f>IFERROR(__xludf.DUMMYFUNCTION("""COMPUTED_VALUE"""),"Sabun batang 1 Box ( 2 PCS )")</f>
        <v>Sabun batang 1 Box ( 2 PCS )</v>
      </c>
      <c r="H168" s="463" t="str">
        <f>IFERROR(__xludf.DUMMYFUNCTION("""COMPUTED_VALUE"""),"Sampai")</f>
        <v>Sampai</v>
      </c>
      <c r="I168" s="464" t="str">
        <f>IFERROR(__xludf.DUMMYFUNCTION("""COMPUTED_VALUE"""),"KIMME")</f>
        <v>KIMME</v>
      </c>
      <c r="J168" s="279" t="str">
        <f>IFERROR(__xludf.DUMMYFUNCTION("""COMPUTED_VALUE"""),"https://www.tiktok.com/@mbk_cantik2309/video/7607049567279926535?is_from_webapp=1&amp;sender_device=pc")</f>
        <v>https://www.tiktok.com/@mbk_cantik2309/video/7607049567279926535?is_from_webapp=1&amp;sender_device=pc</v>
      </c>
      <c r="K168" s="464" t="str">
        <f>IFERROR(__xludf.DUMMYFUNCTION("""COMPUTED_VALUE"""),"KIMME")</f>
        <v>KIMME</v>
      </c>
      <c r="L168" s="279" t="str">
        <f>IFERROR(__xludf.DUMMYFUNCTION("""COMPUTED_VALUE"""),"https://www.tiktok.com/@mbk_cantik2309/video/7608114660486696200?is_from_webapp=1&amp;sender_device=pc")</f>
        <v>https://www.tiktok.com/@mbk_cantik2309/video/7608114660486696200?is_from_webapp=1&amp;sender_device=pc</v>
      </c>
      <c r="M168" s="464" t="str">
        <f>IFERROR(__xludf.DUMMYFUNCTION("""COMPUTED_VALUE"""),"KIMME")</f>
        <v>KIMME</v>
      </c>
      <c r="N168" s="279" t="str">
        <f>IFERROR(__xludf.DUMMYFUNCTION("""COMPUTED_VALUE"""),"https://www.tiktok.com/@mbk_cantik2309/video/7610657100724800776?is_from_webapp=1&amp;sender_device=pc")</f>
        <v>https://www.tiktok.com/@mbk_cantik2309/video/7610657100724800776?is_from_webapp=1&amp;sender_device=pc</v>
      </c>
      <c r="O168" s="464" t="str">
        <f>IFERROR(__xludf.DUMMYFUNCTION("""COMPUTED_VALUE"""),"KIMME")</f>
        <v>KIMME</v>
      </c>
      <c r="P168" s="279" t="str">
        <f>IFERROR(__xludf.DUMMYFUNCTION("""COMPUTED_VALUE"""),"https://www.tiktok.com/@mbk_cantik2309/video/7613741265850486034?is_from_webapp=1&amp;sender_device=pc")</f>
        <v>https://www.tiktok.com/@mbk_cantik2309/video/7613741265850486034?is_from_webapp=1&amp;sender_device=pc</v>
      </c>
    </row>
    <row r="169">
      <c r="A169" s="255" t="str">
        <f>IFERROR(__xludf.DUMMYFUNCTION("""COMPUTED_VALUE"""),"MICRO")</f>
        <v>MICRO</v>
      </c>
      <c r="B169" s="361" t="str">
        <f>IFERROR(__xludf.DUMMYFUNCTION("""COMPUTED_VALUE"""),"momysiska20")</f>
        <v>momysiska20</v>
      </c>
      <c r="C169" s="257" t="str">
        <f>IFERROR(__xludf.DUMMYFUNCTION("""COMPUTED_VALUE"""),"https://www.tiktok.com/@momysiska20")</f>
        <v>https://www.tiktok.com/@momysiska20</v>
      </c>
      <c r="D169" s="270">
        <f>IFERROR(__xludf.DUMMYFUNCTION("""COMPUTED_VALUE"""),8.9650215404E10)</f>
        <v>89650215404</v>
      </c>
      <c r="E169" s="457">
        <f>IFERROR(__xludf.DUMMYFUNCTION("""COMPUTED_VALUE"""),0.0)</f>
        <v>0</v>
      </c>
      <c r="F169" s="270">
        <f>IFERROR(__xludf.DUMMYFUNCTION("""COMPUTED_VALUE"""),4.0)</f>
        <v>4</v>
      </c>
      <c r="G169" s="17" t="str">
        <f>IFERROR(__xludf.DUMMYFUNCTION("""COMPUTED_VALUE"""),"Sabun batang 1 Box ( 2 PCS )")</f>
        <v>Sabun batang 1 Box ( 2 PCS )</v>
      </c>
      <c r="H169" s="463" t="str">
        <f>IFERROR(__xludf.DUMMYFUNCTION("""COMPUTED_VALUE"""),"Sampai")</f>
        <v>Sampai</v>
      </c>
      <c r="I169" s="464" t="str">
        <f>IFERROR(__xludf.DUMMYFUNCTION("""COMPUTED_VALUE"""),"KIMME")</f>
        <v>KIMME</v>
      </c>
      <c r="J169" s="279" t="str">
        <f>IFERROR(__xludf.DUMMYFUNCTION("""COMPUTED_VALUE"""),"https://www.tiktok.com/@momysiska20/video/7608057120541625621?is_from_webapp=1&amp;sender_device=pc")</f>
        <v>https://www.tiktok.com/@momysiska20/video/7608057120541625621?is_from_webapp=1&amp;sender_device=pc</v>
      </c>
      <c r="K169" s="464" t="str">
        <f>IFERROR(__xludf.DUMMYFUNCTION("""COMPUTED_VALUE"""),"KIMME")</f>
        <v>KIMME</v>
      </c>
      <c r="L169" s="279" t="str">
        <f>IFERROR(__xludf.DUMMYFUNCTION("""COMPUTED_VALUE"""),"https://www.tiktok.com/@momysiska20/video/7608804983282126101?is_from_webapp=1&amp;sender_device=pc")</f>
        <v>https://www.tiktok.com/@momysiska20/video/7608804983282126101?is_from_webapp=1&amp;sender_device=pc</v>
      </c>
      <c r="M169" s="464" t="str">
        <f>IFERROR(__xludf.DUMMYFUNCTION("""COMPUTED_VALUE"""),"KIMME")</f>
        <v>KIMME</v>
      </c>
      <c r="N169" s="279" t="str">
        <f>IFERROR(__xludf.DUMMYFUNCTION("""COMPUTED_VALUE"""),"https://www.tiktok.com/@momysiska20/video/7610416685677284629?is_from_webapp=1&amp;sender_device=pc")</f>
        <v>https://www.tiktok.com/@momysiska20/video/7610416685677284629?is_from_webapp=1&amp;sender_device=pc</v>
      </c>
      <c r="O169" s="464" t="str">
        <f>IFERROR(__xludf.DUMMYFUNCTION("""COMPUTED_VALUE"""),"KIMME")</f>
        <v>KIMME</v>
      </c>
      <c r="P169" s="279" t="str">
        <f>IFERROR(__xludf.DUMMYFUNCTION("""COMPUTED_VALUE"""),"https://www.tiktok.com/@momysiska20/video/7614355252724124949?is_from_webapp=1&amp;sender_device=pc")</f>
        <v>https://www.tiktok.com/@momysiska20/video/7614355252724124949?is_from_webapp=1&amp;sender_device=pc</v>
      </c>
    </row>
    <row r="170">
      <c r="A170" s="255" t="str">
        <f>IFERROR(__xludf.DUMMYFUNCTION("""COMPUTED_VALUE"""),"MICRO")</f>
        <v>MICRO</v>
      </c>
      <c r="B170" s="361" t="str">
        <f>IFERROR(__xludf.DUMMYFUNCTION("""COMPUTED_VALUE"""),"its_vitta")</f>
        <v>its_vitta</v>
      </c>
      <c r="C170" s="257" t="str">
        <f>IFERROR(__xludf.DUMMYFUNCTION("""COMPUTED_VALUE"""),"https://www.tiktok.com/@its_vitta")</f>
        <v>https://www.tiktok.com/@its_vitta</v>
      </c>
      <c r="D170" s="270">
        <f>IFERROR(__xludf.DUMMYFUNCTION("""COMPUTED_VALUE"""),8.1919005536E10)</f>
        <v>81919005536</v>
      </c>
      <c r="E170" s="457">
        <f>IFERROR(__xludf.DUMMYFUNCTION("""COMPUTED_VALUE"""),0.0)</f>
        <v>0</v>
      </c>
      <c r="F170" s="270">
        <f>IFERROR(__xludf.DUMMYFUNCTION("""COMPUTED_VALUE"""),4.0)</f>
        <v>4</v>
      </c>
      <c r="G170" s="17" t="str">
        <f>IFERROR(__xludf.DUMMYFUNCTION("""COMPUTED_VALUE"""),"Sabun batang 1 Box ( 2 PCS )")</f>
        <v>Sabun batang 1 Box ( 2 PCS )</v>
      </c>
      <c r="H170" s="463" t="str">
        <f>IFERROR(__xludf.DUMMYFUNCTION("""COMPUTED_VALUE"""),"Sampai")</f>
        <v>Sampai</v>
      </c>
      <c r="I170" s="464" t="str">
        <f>IFERROR(__xludf.DUMMYFUNCTION("""COMPUTED_VALUE"""),"KIMME")</f>
        <v>KIMME</v>
      </c>
      <c r="J170" s="279" t="str">
        <f>IFERROR(__xludf.DUMMYFUNCTION("""COMPUTED_VALUE"""),"https://www.tiktok.com/@its_vitta/video/7609921041917381908?is_from_webapp=1&amp;sender_device=pc")</f>
        <v>https://www.tiktok.com/@its_vitta/video/7609921041917381908?is_from_webapp=1&amp;sender_device=pc</v>
      </c>
      <c r="K170" s="464" t="str">
        <f>IFERROR(__xludf.DUMMYFUNCTION("""COMPUTED_VALUE"""),"KIMME")</f>
        <v>KIMME</v>
      </c>
      <c r="L170" s="279" t="str">
        <f>IFERROR(__xludf.DUMMYFUNCTION("""COMPUTED_VALUE"""),"https://www.tiktok.com/@racunbyyola/video/7609239677068971272?is_from_webapp=1&amp;sender_device=pc")</f>
        <v>https://www.tiktok.com/@racunbyyola/video/7609239677068971272?is_from_webapp=1&amp;sender_device=pc</v>
      </c>
      <c r="M170" s="464" t="str">
        <f>IFERROR(__xludf.DUMMYFUNCTION("""COMPUTED_VALUE"""),"KIMME")</f>
        <v>KIMME</v>
      </c>
      <c r="N170" s="279" t="str">
        <f>IFERROR(__xludf.DUMMYFUNCTION("""COMPUTED_VALUE"""),"https://www.tiktok.com/@racunbyyola/video/7609661401950473490?is_from_webapp=1&amp;sender_device=pc")</f>
        <v>https://www.tiktok.com/@racunbyyola/video/7609661401950473490?is_from_webapp=1&amp;sender_device=pc</v>
      </c>
      <c r="O170" s="464" t="str">
        <f>IFERROR(__xludf.DUMMYFUNCTION("""COMPUTED_VALUE"""),"KIMME")</f>
        <v>KIMME</v>
      </c>
      <c r="P170" s="279" t="str">
        <f>IFERROR(__xludf.DUMMYFUNCTION("""COMPUTED_VALUE"""),"https://www.tiktok.com/@racunbyyola/video/7610090589178137874?is_from_webapp=1&amp;sender_device=pc")</f>
        <v>https://www.tiktok.com/@racunbyyola/video/7610090589178137874?is_from_webapp=1&amp;sender_device=pc</v>
      </c>
    </row>
    <row r="171">
      <c r="A171" s="255" t="str">
        <f>IFERROR(__xludf.DUMMYFUNCTION("""COMPUTED_VALUE"""),"MICRO")</f>
        <v>MICRO</v>
      </c>
      <c r="B171" s="361" t="str">
        <f>IFERROR(__xludf.DUMMYFUNCTION("""COMPUTED_VALUE"""),"rumahcivi")</f>
        <v>rumahcivi</v>
      </c>
      <c r="C171" s="257" t="str">
        <f>IFERROR(__xludf.DUMMYFUNCTION("""COMPUTED_VALUE"""),"https://www.tiktok.com/@rumahcivi")</f>
        <v>https://www.tiktok.com/@rumahcivi</v>
      </c>
      <c r="D171" s="270">
        <f>IFERROR(__xludf.DUMMYFUNCTION("""COMPUTED_VALUE"""),8.511747372E10)</f>
        <v>85117473720</v>
      </c>
      <c r="E171" s="457">
        <f>IFERROR(__xludf.DUMMYFUNCTION("""COMPUTED_VALUE"""),0.0)</f>
        <v>0</v>
      </c>
      <c r="F171" s="270">
        <f>IFERROR(__xludf.DUMMYFUNCTION("""COMPUTED_VALUE"""),2.0)</f>
        <v>2</v>
      </c>
      <c r="G171" s="17" t="str">
        <f>IFERROR(__xludf.DUMMYFUNCTION("""COMPUTED_VALUE"""),"Sabun batang 1 Box ( 2 PCS )")</f>
        <v>Sabun batang 1 Box ( 2 PCS )</v>
      </c>
      <c r="H171" s="463" t="str">
        <f>IFERROR(__xludf.DUMMYFUNCTION("""COMPUTED_VALUE"""),"Sampai")</f>
        <v>Sampai</v>
      </c>
      <c r="I171" s="464" t="str">
        <f>IFERROR(__xludf.DUMMYFUNCTION("""COMPUTED_VALUE"""),"KIMME")</f>
        <v>KIMME</v>
      </c>
      <c r="J171" s="279" t="str">
        <f>IFERROR(__xludf.DUMMYFUNCTION("""COMPUTED_VALUE"""),"https://www.tiktok.com/@rumahcivi/video/7611440307032362261?is_from_webapp=1&amp;sender_device=pc")</f>
        <v>https://www.tiktok.com/@rumahcivi/video/7611440307032362261?is_from_webapp=1&amp;sender_device=pc</v>
      </c>
      <c r="K171" s="464" t="str">
        <f>IFERROR(__xludf.DUMMYFUNCTION("""COMPUTED_VALUE"""),"KIMME")</f>
        <v>KIMME</v>
      </c>
      <c r="L171" s="279" t="str">
        <f>IFERROR(__xludf.DUMMYFUNCTION("""COMPUTED_VALUE"""),"https://vt.tiktok.com/ZSHPJWBMx/")</f>
        <v>https://vt.tiktok.com/ZSHPJWBMx/</v>
      </c>
      <c r="M171" s="464"/>
      <c r="N171" s="279" t="str">
        <f>IFERROR(__xludf.DUMMYFUNCTION("""COMPUTED_VALUE"""),"https://vt.tiktok.com/ZS9qMQyLr//")</f>
        <v>https://vt.tiktok.com/ZS9qMQyLr//</v>
      </c>
      <c r="O171" s="464"/>
      <c r="P171" s="279" t="str">
        <f>IFERROR(__xludf.DUMMYFUNCTION("""COMPUTED_VALUE"""),"https://vt.tiktok.com/ZS9qMyWKm/")</f>
        <v>https://vt.tiktok.com/ZS9qMyWKm/</v>
      </c>
    </row>
    <row r="172">
      <c r="A172" s="255" t="str">
        <f>IFERROR(__xludf.DUMMYFUNCTION("""COMPUTED_VALUE"""),"MICRO")</f>
        <v>MICRO</v>
      </c>
      <c r="B172" s="361" t="str">
        <f>IFERROR(__xludf.DUMMYFUNCTION("""COMPUTED_VALUE"""),"hidayatibintizamzami")</f>
        <v>hidayatibintizamzami</v>
      </c>
      <c r="C172" s="257" t="str">
        <f>IFERROR(__xludf.DUMMYFUNCTION("""COMPUTED_VALUE"""),"https://www.tiktok.com/@hidayatibintizamzami")</f>
        <v>https://www.tiktok.com/@hidayatibintizamzami</v>
      </c>
      <c r="D172" s="270">
        <f>IFERROR(__xludf.DUMMYFUNCTION("""COMPUTED_VALUE"""),8.1232078367E10)</f>
        <v>81232078367</v>
      </c>
      <c r="E172" s="457">
        <f>IFERROR(__xludf.DUMMYFUNCTION("""COMPUTED_VALUE"""),0.0)</f>
        <v>0</v>
      </c>
      <c r="F172" s="270">
        <f>IFERROR(__xludf.DUMMYFUNCTION("""COMPUTED_VALUE"""),4.0)</f>
        <v>4</v>
      </c>
      <c r="G172" s="17" t="str">
        <f>IFERROR(__xludf.DUMMYFUNCTION("""COMPUTED_VALUE"""),"Sabun batang 1 Box ( 2 PCS )")</f>
        <v>Sabun batang 1 Box ( 2 PCS )</v>
      </c>
      <c r="H172" s="463" t="str">
        <f>IFERROR(__xludf.DUMMYFUNCTION("""COMPUTED_VALUE"""),"Sampai")</f>
        <v>Sampai</v>
      </c>
      <c r="I172" s="464" t="str">
        <f>IFERROR(__xludf.DUMMYFUNCTION("""COMPUTED_VALUE"""),"KIMME")</f>
        <v>KIMME</v>
      </c>
      <c r="J172" s="279" t="str">
        <f>IFERROR(__xludf.DUMMYFUNCTION("""COMPUTED_VALUE"""),"https://vt.tiktok.com/ZSuBAcWhE/")</f>
        <v>https://vt.tiktok.com/ZSuBAcWhE/</v>
      </c>
      <c r="K172" s="464" t="str">
        <f>IFERROR(__xludf.DUMMYFUNCTION("""COMPUTED_VALUE"""),"KIMME")</f>
        <v>KIMME</v>
      </c>
      <c r="L172" s="279" t="str">
        <f>IFERROR(__xludf.DUMMYFUNCTION("""COMPUTED_VALUE"""),"https://vt.tiktok.com/ZS9qMuPy9/")</f>
        <v>https://vt.tiktok.com/ZS9qMuPy9/</v>
      </c>
      <c r="M172" s="464"/>
      <c r="N172" s="279" t="str">
        <f>IFERROR(__xludf.DUMMYFUNCTION("""COMPUTED_VALUE"""),"https://www.tiktok.com/@barokah.collection/video/7631929451982490887?_r=1&amp;u_code=e6ki6hmgc946ah&amp;region=&amp;mid=7397487242866214913&amp;preview_pb=0&amp;sharer_language=&amp;_d=0&amp;ec_shared_reflux_dynamic_params=%7B%22placeholder_material_id%22%3A%227631929451982490887%22"&amp;"%2C%22placeholder_origin_cover%22%3A%22https%253A%252F%252Fp16-common-sign.tiktokcdn.com%252Ftos-alisg-p-0037%252FoktgUD6fQAc6SWCEuBHETu18yQHRgcF4pUBuCf~tplv-tiktokx-origin.jpeg%253Fdr%253D14572%2526refresh_token%253D33cb9403%2526x-expires%253D1809507600%"&amp;"2526x-signature%253DVS9R79KpiyI2PqQL7%25252FMWoepz%25252BRQ%25253D%2526t%253D4d5b0474%2526ps%253D13740610%2526shp%253Dd05b14bd%2526shcp%253D34ff8df6%2526idc%253Dmy%2526s%253DTIKTOK_AFFILIATE_VIRAL_VIDEO%22%2C%22placeholder_product_id%22%3A%221729427766722"&amp;"726591%22%2C%22placeholder_video_id%22%3A%227631929451982490887%22%7D&amp;ec_shared_reflux_scene=shop_tab_feed&amp;share_item_id=7631929451982490887&amp;source=h5_t")</f>
        <v>https://www.tiktok.com/@barokah.collection/video/7631929451982490887?_r=1&amp;u_code=e6ki6hmgc946ah&amp;region=&amp;mid=7397487242866214913&amp;preview_pb=0&amp;sharer_language=&amp;_d=0&amp;ec_shared_reflux_dynamic_params=%7B%22placeholder_material_id%22%3A%227631929451982490887%22%2C%22placeholder_origin_cover%22%3A%22https%253A%252F%252Fp16-common-sign.tiktokcdn.com%252Ftos-alisg-p-0037%252FoktgUD6fQAc6SWCEuBHETu18yQHRgcF4pUBuCf~tplv-tiktokx-origin.jpeg%253Fdr%253D14572%2526refresh_token%253D33cb9403%2526x-expires%253D1809507600%2526x-signature%253DVS9R79KpiyI2PqQL7%25252FMWoepz%25252BRQ%25253D%2526t%253D4d5b0474%2526ps%253D13740610%2526shp%253Dd05b14bd%2526shcp%253D34ff8df6%2526idc%253Dmy%2526s%253DTIKTOK_AFFILIATE_VIRAL_VIDEO%22%2C%22placeholder_product_id%22%3A%221729427766722726591%22%2C%22placeholder_video_id%22%3A%227631929451982490887%22%7D&amp;ec_shared_reflux_scene=shop_tab_feed&amp;share_item_id=7631929451982490887&amp;source=h5_t</v>
      </c>
      <c r="O172" s="464"/>
      <c r="P172" s="279" t="str">
        <f>IFERROR(__xludf.DUMMYFUNCTION("""COMPUTED_VALUE"""),"https://www.tiktok.com/@barokah.collection/video/7631738227413601556?_d=0&amp;_r=1&amp;ec_shared_reflux_dynamic_params=%7B%22placeholder_material_id%22%3A%227631738227413601556%22%2C%22placeholder_origin_cover%22%3A%22https%253A%252F%252Fp16-common-sign.tiktokcdn"&amp;".com%252Ftos-alisg-p-0037%252FooA9AGSPI0iq3uAoAwBphhilEYSewA1IvtYoIC~tplv-tiktokx-origin.jpeg%253Fdr%253D14572%2526refresh_token%253D1b8265ec%2526x-expires%253D1809507600%2526x-signature%253DvRUZTfsqqIznHRqRXLoh6LbqM%25252Fo%25253D%2526t%253D4d5b0474%2526"&amp;"ps%253D13740610%2526shp%253Dd05b14bd%2526shcp%253D34ff8df6%2526idc%253Dmy%2526s%253DTIKTOK_AFFILIATE_VIRAL_VIDEO%22%2C%22placeholder_product_id%22%3A%221729427766722726591%22%2C%22placeholder_video_id%22%3A%227631738227413601556%22%7D&amp;ec_shared_reflux_sce"&amp;"ne=shop_tab_feed&amp;mid=7623706568667712273&amp;preview_pb=0&amp;region=&amp;share_item_id=7631738227413601556&amp;sharer_language=&amp;source=h5_t&amp;u_code=e6ki6hmgc946ah")</f>
        <v>https://www.tiktok.com/@barokah.collection/video/7631738227413601556?_d=0&amp;_r=1&amp;ec_shared_reflux_dynamic_params=%7B%22placeholder_material_id%22%3A%227631738227413601556%22%2C%22placeholder_origin_cover%22%3A%22https%253A%252F%252Fp16-common-sign.tiktokcdn.com%252Ftos-alisg-p-0037%252FooA9AGSPI0iq3uAoAwBphhilEYSewA1IvtYoIC~tplv-tiktokx-origin.jpeg%253Fdr%253D14572%2526refresh_token%253D1b8265ec%2526x-expires%253D1809507600%2526x-signature%253DvRUZTfsqqIznHRqRXLoh6LbqM%25252Fo%25253D%2526t%253D4d5b0474%2526ps%253D13740610%2526shp%253Dd05b14bd%2526shcp%253D34ff8df6%2526idc%253Dmy%2526s%253DTIKTOK_AFFILIATE_VIRAL_VIDEO%22%2C%22placeholder_product_id%22%3A%221729427766722726591%22%2C%22placeholder_video_id%22%3A%227631738227413601556%22%7D&amp;ec_shared_reflux_scene=shop_tab_feed&amp;mid=7623706568667712273&amp;preview_pb=0&amp;region=&amp;share_item_id=7631738227413601556&amp;sharer_language=&amp;source=h5_t&amp;u_code=e6ki6hmgc946ah</v>
      </c>
    </row>
    <row r="173">
      <c r="A173" s="255" t="str">
        <f>IFERROR(__xludf.DUMMYFUNCTION("""COMPUTED_VALUE"""),"MICRO")</f>
        <v>MICRO</v>
      </c>
      <c r="B173" s="361" t="str">
        <f>IFERROR(__xludf.DUMMYFUNCTION("""COMPUTED_VALUE"""),"vrnzayn")</f>
        <v>vrnzayn</v>
      </c>
      <c r="C173" s="257" t="str">
        <f>IFERROR(__xludf.DUMMYFUNCTION("""COMPUTED_VALUE"""),"https://www.tiktok.com/@vrnzayn")</f>
        <v>https://www.tiktok.com/@vrnzayn</v>
      </c>
      <c r="D173" s="270">
        <f>IFERROR(__xludf.DUMMYFUNCTION("""COMPUTED_VALUE"""),8.8708261233E10)</f>
        <v>88708261233</v>
      </c>
      <c r="E173" s="457">
        <f>IFERROR(__xludf.DUMMYFUNCTION("""COMPUTED_VALUE"""),0.0)</f>
        <v>0</v>
      </c>
      <c r="F173" s="270">
        <f>IFERROR(__xludf.DUMMYFUNCTION("""COMPUTED_VALUE"""),4.0)</f>
        <v>4</v>
      </c>
      <c r="G173" s="17" t="str">
        <f>IFERROR(__xludf.DUMMYFUNCTION("""COMPUTED_VALUE"""),"Sabun batang 1 Box ( 2 PCS )")</f>
        <v>Sabun batang 1 Box ( 2 PCS )</v>
      </c>
      <c r="H173" s="463" t="str">
        <f>IFERROR(__xludf.DUMMYFUNCTION("""COMPUTED_VALUE"""),"Sampai")</f>
        <v>Sampai</v>
      </c>
      <c r="I173" s="464" t="str">
        <f>IFERROR(__xludf.DUMMYFUNCTION("""COMPUTED_VALUE"""),"KIMME")</f>
        <v>KIMME</v>
      </c>
      <c r="J173" s="279" t="str">
        <f>IFERROR(__xludf.DUMMYFUNCTION("""COMPUTED_VALUE"""),"https://www.tiktok.com/@vrnzayn/video/7611294730189557013?is_from_webapp=1&amp;sender_device=pc")</f>
        <v>https://www.tiktok.com/@vrnzayn/video/7611294730189557013?is_from_webapp=1&amp;sender_device=pc</v>
      </c>
      <c r="K173" s="464" t="str">
        <f>IFERROR(__xludf.DUMMYFUNCTION("""COMPUTED_VALUE"""),"KIMME")</f>
        <v>KIMME</v>
      </c>
      <c r="L173" s="279" t="str">
        <f>IFERROR(__xludf.DUMMYFUNCTION("""COMPUTED_VALUE"""),"https://vt.tiktok.com/ZSuR1pSJP/")</f>
        <v>https://vt.tiktok.com/ZSuR1pSJP/</v>
      </c>
      <c r="M173" s="464" t="str">
        <f>IFERROR(__xludf.DUMMYFUNCTION("""COMPUTED_VALUE"""),"KIMME")</f>
        <v>KIMME</v>
      </c>
      <c r="N173" s="279" t="str">
        <f>IFERROR(__xludf.DUMMYFUNCTION("""COMPUTED_VALUE"""),"https://vt.tiktok.com/ZSuBAECb3/")</f>
        <v>https://vt.tiktok.com/ZSuBAECb3/</v>
      </c>
      <c r="O173" s="464" t="str">
        <f>IFERROR(__xludf.DUMMYFUNCTION("""COMPUTED_VALUE"""),"KIMME")</f>
        <v>KIMME</v>
      </c>
      <c r="P173" s="279" t="str">
        <f>IFERROR(__xludf.DUMMYFUNCTION("""COMPUTED_VALUE"""),"https://vt.tiktok.com/ZSHpcvaDt/")</f>
        <v>https://vt.tiktok.com/ZSHpcvaDt/</v>
      </c>
    </row>
    <row r="174">
      <c r="A174" s="255" t="str">
        <f>IFERROR(__xludf.DUMMYFUNCTION("""COMPUTED_VALUE"""),"MICRO")</f>
        <v>MICRO</v>
      </c>
      <c r="B174" s="361" t="str">
        <f>IFERROR(__xludf.DUMMYFUNCTION("""COMPUTED_VALUE"""),"tiaaajaaa93")</f>
        <v>tiaaajaaa93</v>
      </c>
      <c r="C174" s="257" t="str">
        <f>IFERROR(__xludf.DUMMYFUNCTION("""COMPUTED_VALUE"""),"https://www.tiktok.com/@tiaaajaaa93")</f>
        <v>https://www.tiktok.com/@tiaaajaaa93</v>
      </c>
      <c r="D174" s="270">
        <f>IFERROR(__xludf.DUMMYFUNCTION("""COMPUTED_VALUE"""),8.1358821107E10)</f>
        <v>81358821107</v>
      </c>
      <c r="E174" s="457">
        <f>IFERROR(__xludf.DUMMYFUNCTION("""COMPUTED_VALUE"""),0.0)</f>
        <v>0</v>
      </c>
      <c r="F174" s="270">
        <f>IFERROR(__xludf.DUMMYFUNCTION("""COMPUTED_VALUE"""),4.0)</f>
        <v>4</v>
      </c>
      <c r="G174" s="17" t="str">
        <f>IFERROR(__xludf.DUMMYFUNCTION("""COMPUTED_VALUE"""),"Sabun batang 1 Box ( 2 PCS )")</f>
        <v>Sabun batang 1 Box ( 2 PCS )</v>
      </c>
      <c r="H174" s="463" t="str">
        <f>IFERROR(__xludf.DUMMYFUNCTION("""COMPUTED_VALUE"""),"Sampai")</f>
        <v>Sampai</v>
      </c>
      <c r="I174" s="464" t="str">
        <f>IFERROR(__xludf.DUMMYFUNCTION("""COMPUTED_VALUE"""),"KIMME")</f>
        <v>KIMME</v>
      </c>
      <c r="J174" s="279" t="str">
        <f>IFERROR(__xludf.DUMMYFUNCTION("""COMPUTED_VALUE"""),"https://vt.tiktok.com/ZSmachgUd/")</f>
        <v>https://vt.tiktok.com/ZSmachgUd/</v>
      </c>
      <c r="K174" s="464" t="str">
        <f>IFERROR(__xludf.DUMMYFUNCTION("""COMPUTED_VALUE"""),"KIMME")</f>
        <v>KIMME</v>
      </c>
      <c r="L174" s="279" t="str">
        <f>IFERROR(__xludf.DUMMYFUNCTION("""COMPUTED_VALUE"""),"https://vt.tiktok.com/ZSm7xKUCS/")</f>
        <v>https://vt.tiktok.com/ZSm7xKUCS/</v>
      </c>
      <c r="M174" s="464" t="str">
        <f>IFERROR(__xludf.DUMMYFUNCTION("""COMPUTED_VALUE"""),"KIMME")</f>
        <v>KIMME</v>
      </c>
      <c r="N174" s="279" t="str">
        <f>IFERROR(__xludf.DUMMYFUNCTION("""COMPUTED_VALUE"""),"https://vt.tiktok.com/ZSu6Q6ndB/")</f>
        <v>https://vt.tiktok.com/ZSu6Q6ndB/</v>
      </c>
      <c r="O174" s="464" t="str">
        <f>IFERROR(__xludf.DUMMYFUNCTION("""COMPUTED_VALUE"""),"KIMME")</f>
        <v>KIMME</v>
      </c>
      <c r="P174" s="279" t="str">
        <f>IFERROR(__xludf.DUMMYFUNCTION("""COMPUTED_VALUE"""),"https://vt.tiktok.com/ZSHNkxn58/")</f>
        <v>https://vt.tiktok.com/ZSHNkxn58/</v>
      </c>
    </row>
    <row r="175">
      <c r="A175" s="255" t="str">
        <f>IFERROR(__xludf.DUMMYFUNCTION("""COMPUTED_VALUE"""),"MICRO")</f>
        <v>MICRO</v>
      </c>
      <c r="B175" s="361" t="str">
        <f>IFERROR(__xludf.DUMMYFUNCTION("""COMPUTED_VALUE"""),"mayang_skincare
")</f>
        <v>mayang_skincare
</v>
      </c>
      <c r="C175" s="257" t="str">
        <f>IFERROR(__xludf.DUMMYFUNCTION("""COMPUTED_VALUE"""),"https://www.tiktok.com/@mayang_skincare
")</f>
        <v>https://www.tiktok.com/@mayang_skincare
</v>
      </c>
      <c r="D175" s="270">
        <f>IFERROR(__xludf.DUMMYFUNCTION("""COMPUTED_VALUE"""),8.95635947123E11)</f>
        <v>895635947123</v>
      </c>
      <c r="E175" s="457">
        <f>IFERROR(__xludf.DUMMYFUNCTION("""COMPUTED_VALUE"""),0.0)</f>
        <v>0</v>
      </c>
      <c r="F175" s="270">
        <f>IFERROR(__xludf.DUMMYFUNCTION("""COMPUTED_VALUE"""),2.0)</f>
        <v>2</v>
      </c>
      <c r="G175" s="17" t="str">
        <f>IFERROR(__xludf.DUMMYFUNCTION("""COMPUTED_VALUE"""),"Sabun batang 1 Box ( 2 PCS )")</f>
        <v>Sabun batang 1 Box ( 2 PCS )</v>
      </c>
      <c r="H175" s="463" t="str">
        <f>IFERROR(__xludf.DUMMYFUNCTION("""COMPUTED_VALUE"""),"Sampai")</f>
        <v>Sampai</v>
      </c>
      <c r="I175" s="464" t="str">
        <f>IFERROR(__xludf.DUMMYFUNCTION("""COMPUTED_VALUE"""),"KIMME")</f>
        <v>KIMME</v>
      </c>
      <c r="J175" s="279" t="str">
        <f>IFERROR(__xludf.DUMMYFUNCTION("""COMPUTED_VALUE"""),"https://vt.tiktok.com/ZSmmRnN1r/")</f>
        <v>https://vt.tiktok.com/ZSmmRnN1r/</v>
      </c>
      <c r="K175" s="464" t="str">
        <f>IFERROR(__xludf.DUMMYFUNCTION("""COMPUTED_VALUE"""),"KIMME")</f>
        <v>KIMME</v>
      </c>
      <c r="L175" s="279" t="str">
        <f>IFERROR(__xludf.DUMMYFUNCTION("""COMPUTED_VALUE"""),"https://vt.tiktok.com/ZSm9uBEbJ/")</f>
        <v>https://vt.tiktok.com/ZSm9uBEbJ/</v>
      </c>
      <c r="M175" s="464"/>
      <c r="N175" s="279" t="str">
        <f>IFERROR(__xludf.DUMMYFUNCTION("""COMPUTED_VALUE"""),"https://www.tiktok.com/@mayang_skincare/video/7609610260696976647?is_from_webapp=1&amp;sender_device=pc")</f>
        <v>https://www.tiktok.com/@mayang_skincare/video/7609610260696976647?is_from_webapp=1&amp;sender_device=pc</v>
      </c>
      <c r="O175" s="464"/>
      <c r="P175" s="279" t="str">
        <f>IFERROR(__xludf.DUMMYFUNCTION("""COMPUTED_VALUE"""),"https://www.tiktok.com/@mayang_skincare/video/7609113737076755730?is_from_webapp=1&amp;sender_device=pc")</f>
        <v>https://www.tiktok.com/@mayang_skincare/video/7609113737076755730?is_from_webapp=1&amp;sender_device=pc</v>
      </c>
    </row>
    <row r="176">
      <c r="A176" s="255" t="str">
        <f>IFERROR(__xludf.DUMMYFUNCTION("""COMPUTED_VALUE"""),"MICRO")</f>
        <v>MICRO</v>
      </c>
      <c r="B176" s="361" t="str">
        <f>IFERROR(__xludf.DUMMYFUNCTION("""COMPUTED_VALUE"""),"shiisf")</f>
        <v>shiisf</v>
      </c>
      <c r="C176" s="257" t="str">
        <f>IFERROR(__xludf.DUMMYFUNCTION("""COMPUTED_VALUE"""),"https://www.tiktok.com/@shiisf")</f>
        <v>https://www.tiktok.com/@shiisf</v>
      </c>
      <c r="D176" s="270">
        <f>IFERROR(__xludf.DUMMYFUNCTION("""COMPUTED_VALUE"""),8.3820270557E10)</f>
        <v>83820270557</v>
      </c>
      <c r="E176" s="457">
        <f>IFERROR(__xludf.DUMMYFUNCTION("""COMPUTED_VALUE"""),0.0)</f>
        <v>0</v>
      </c>
      <c r="F176" s="270">
        <f>IFERROR(__xludf.DUMMYFUNCTION("""COMPUTED_VALUE"""),4.0)</f>
        <v>4</v>
      </c>
      <c r="G176" s="17" t="str">
        <f>IFERROR(__xludf.DUMMYFUNCTION("""COMPUTED_VALUE"""),"Sabun batang 1 Box ( 2 PCS )")</f>
        <v>Sabun batang 1 Box ( 2 PCS )</v>
      </c>
      <c r="H176" s="463" t="str">
        <f>IFERROR(__xludf.DUMMYFUNCTION("""COMPUTED_VALUE"""),"Sampai")</f>
        <v>Sampai</v>
      </c>
      <c r="I176" s="464" t="str">
        <f>IFERROR(__xludf.DUMMYFUNCTION("""COMPUTED_VALUE"""),"KIMME")</f>
        <v>KIMME</v>
      </c>
      <c r="J176" s="279" t="str">
        <f>IFERROR(__xludf.DUMMYFUNCTION("""COMPUTED_VALUE"""),"https://www.tiktok.com/@shiisf/video/7608482326661680392?is_from_webapp=1&amp;sender_device=pc")</f>
        <v>https://www.tiktok.com/@shiisf/video/7608482326661680392?is_from_webapp=1&amp;sender_device=pc</v>
      </c>
      <c r="K176" s="464" t="str">
        <f>IFERROR(__xludf.DUMMYFUNCTION("""COMPUTED_VALUE"""),"KIMME")</f>
        <v>KIMME</v>
      </c>
      <c r="L176" s="279" t="str">
        <f>IFERROR(__xludf.DUMMYFUNCTION("""COMPUTED_VALUE"""),"https://www.tiktok.com/@shiisf/video/7609530663657557256?is_from_webapp=1&amp;sender_device=pc")</f>
        <v>https://www.tiktok.com/@shiisf/video/7609530663657557256?is_from_webapp=1&amp;sender_device=pc</v>
      </c>
      <c r="M176" s="464" t="str">
        <f>IFERROR(__xludf.DUMMYFUNCTION("""COMPUTED_VALUE"""),"KIMME")</f>
        <v>KIMME</v>
      </c>
      <c r="N176" s="279" t="str">
        <f>IFERROR(__xludf.DUMMYFUNCTION("""COMPUTED_VALUE"""),"https://www.tiktok.com/@shiisf/video/7616380002082360584?is_from_webapp=1&amp;sender_device=pc")</f>
        <v>https://www.tiktok.com/@shiisf/video/7616380002082360584?is_from_webapp=1&amp;sender_device=pc</v>
      </c>
      <c r="O176" s="464" t="str">
        <f>IFERROR(__xludf.DUMMYFUNCTION("""COMPUTED_VALUE"""),"KIMME")</f>
        <v>KIMME</v>
      </c>
      <c r="P176" s="279" t="str">
        <f>IFERROR(__xludf.DUMMYFUNCTION("""COMPUTED_VALUE"""),"https://www.tiktok.com/@shiisf/video/7608482326661680392?is_from_webapp=1&amp;sender_device=pc")</f>
        <v>https://www.tiktok.com/@shiisf/video/7608482326661680392?is_from_webapp=1&amp;sender_device=pc</v>
      </c>
    </row>
    <row r="177">
      <c r="A177" s="255" t="str">
        <f>IFERROR(__xludf.DUMMYFUNCTION("""COMPUTED_VALUE"""),"MICRO")</f>
        <v>MICRO</v>
      </c>
      <c r="B177" s="361" t="str">
        <f>IFERROR(__xludf.DUMMYFUNCTION("""COMPUTED_VALUE"""),"ristarstya11")</f>
        <v>ristarstya11</v>
      </c>
      <c r="C177" s="257" t="str">
        <f>IFERROR(__xludf.DUMMYFUNCTION("""COMPUTED_VALUE"""),"https://www.tiktok.com/@ristarstya11")</f>
        <v>https://www.tiktok.com/@ristarstya11</v>
      </c>
      <c r="D177" s="270">
        <f>IFERROR(__xludf.DUMMYFUNCTION("""COMPUTED_VALUE"""),8.3856590732E10)</f>
        <v>83856590732</v>
      </c>
      <c r="E177" s="457">
        <f>IFERROR(__xludf.DUMMYFUNCTION("""COMPUTED_VALUE"""),0.0)</f>
        <v>0</v>
      </c>
      <c r="F177" s="270">
        <f>IFERROR(__xludf.DUMMYFUNCTION("""COMPUTED_VALUE"""),4.0)</f>
        <v>4</v>
      </c>
      <c r="G177" s="17" t="str">
        <f>IFERROR(__xludf.DUMMYFUNCTION("""COMPUTED_VALUE"""),"Sabun batang 1 Box ( 2 PCS )")</f>
        <v>Sabun batang 1 Box ( 2 PCS )</v>
      </c>
      <c r="H177" s="463" t="str">
        <f>IFERROR(__xludf.DUMMYFUNCTION("""COMPUTED_VALUE"""),"Sampai")</f>
        <v>Sampai</v>
      </c>
      <c r="I177" s="464" t="str">
        <f>IFERROR(__xludf.DUMMYFUNCTION("""COMPUTED_VALUE"""),"KIMME")</f>
        <v>KIMME</v>
      </c>
      <c r="J177" s="279" t="str">
        <f>IFERROR(__xludf.DUMMYFUNCTION("""COMPUTED_VALUE"""),"https://vt.tiktok.com/ZSm7P1JWx/")</f>
        <v>https://vt.tiktok.com/ZSm7P1JWx/</v>
      </c>
      <c r="K177" s="464" t="str">
        <f>IFERROR(__xludf.DUMMYFUNCTION("""COMPUTED_VALUE"""),"KIMME")</f>
        <v>KIMME</v>
      </c>
      <c r="L177" s="279" t="str">
        <f>IFERROR(__xludf.DUMMYFUNCTION("""COMPUTED_VALUE"""),"https://vt.tiktok.com/ZSuBAbgAh/")</f>
        <v>https://vt.tiktok.com/ZSuBAbgAh/</v>
      </c>
      <c r="M177" s="464" t="str">
        <f>IFERROR(__xludf.DUMMYFUNCTION("""COMPUTED_VALUE"""),"KIMME")</f>
        <v>KIMME</v>
      </c>
      <c r="N177" s="279" t="str">
        <f>IFERROR(__xludf.DUMMYFUNCTION("""COMPUTED_VALUE"""),"https://vt.tiktok.com/ZSucuArMb/")</f>
        <v>https://vt.tiktok.com/ZSucuArMb/</v>
      </c>
      <c r="O177" s="464" t="str">
        <f>IFERROR(__xludf.DUMMYFUNCTION("""COMPUTED_VALUE"""),"KIMME")</f>
        <v>KIMME</v>
      </c>
      <c r="P177" s="279" t="str">
        <f>IFERROR(__xludf.DUMMYFUNCTION("""COMPUTED_VALUE"""),"https://vt.tiktok.com/ZSucuArMb/")</f>
        <v>https://vt.tiktok.com/ZSucuArMb/</v>
      </c>
    </row>
    <row r="178">
      <c r="A178" s="255" t="str">
        <f>IFERROR(__xludf.DUMMYFUNCTION("""COMPUTED_VALUE"""),"MICRO")</f>
        <v>MICRO</v>
      </c>
      <c r="B178" s="361" t="str">
        <f>IFERROR(__xludf.DUMMYFUNCTION("""COMPUTED_VALUE"""),"_salmasinta")</f>
        <v>_salmasinta</v>
      </c>
      <c r="C178" s="257" t="str">
        <f>IFERROR(__xludf.DUMMYFUNCTION("""COMPUTED_VALUE"""),"https://www.tiktok.com/@_salmasinta")</f>
        <v>https://www.tiktok.com/@_salmasinta</v>
      </c>
      <c r="D178" s="270">
        <f>IFERROR(__xludf.DUMMYFUNCTION("""COMPUTED_VALUE"""),8.812406928E9)</f>
        <v>8812406928</v>
      </c>
      <c r="E178" s="457">
        <f>IFERROR(__xludf.DUMMYFUNCTION("""COMPUTED_VALUE"""),0.0)</f>
        <v>0</v>
      </c>
      <c r="F178" s="270">
        <f>IFERROR(__xludf.DUMMYFUNCTION("""COMPUTED_VALUE"""),1.0)</f>
        <v>1</v>
      </c>
      <c r="G178" s="17" t="str">
        <f>IFERROR(__xludf.DUMMYFUNCTION("""COMPUTED_VALUE"""),"Sabun batang 1 Box ( 2 PCS )")</f>
        <v>Sabun batang 1 Box ( 2 PCS )</v>
      </c>
      <c r="H178" s="463" t="str">
        <f>IFERROR(__xludf.DUMMYFUNCTION("""COMPUTED_VALUE"""),"Sampai")</f>
        <v>Sampai</v>
      </c>
      <c r="I178" s="464" t="str">
        <f>IFERROR(__xludf.DUMMYFUNCTION("""COMPUTED_VALUE"""),"KIMME")</f>
        <v>KIMME</v>
      </c>
      <c r="J178" s="279" t="str">
        <f>IFERROR(__xludf.DUMMYFUNCTION("""COMPUTED_VALUE"""),"https://vt.tiktok.com/ZSuxWKUDy/")</f>
        <v>https://vt.tiktok.com/ZSuxWKUDy/</v>
      </c>
      <c r="K178" s="464" t="str">
        <f>IFERROR(__xludf.DUMMYFUNCTION("""COMPUTED_VALUE"""),"KIMME")</f>
        <v>KIMME</v>
      </c>
      <c r="L178" s="279" t="str">
        <f>IFERROR(__xludf.DUMMYFUNCTION("""COMPUTED_VALUE"""),"https://vt.tiktok.com/ZSHwLveLD/")</f>
        <v>https://vt.tiktok.com/ZSHwLveLD/</v>
      </c>
      <c r="M178" s="464" t="str">
        <f>IFERROR(__xludf.DUMMYFUNCTION("""COMPUTED_VALUE"""),"KIMME")</f>
        <v>KIMME</v>
      </c>
      <c r="N178" s="279" t="str">
        <f>IFERROR(__xludf.DUMMYFUNCTION("""COMPUTED_VALUE"""),"https://vt.tiktok.com/ZS9JHR5MY/")</f>
        <v>https://vt.tiktok.com/ZS9JHR5MY/</v>
      </c>
      <c r="O178" s="464" t="str">
        <f>IFERROR(__xludf.DUMMYFUNCTION("""COMPUTED_VALUE"""),"KIMME")</f>
        <v>KIMME</v>
      </c>
      <c r="P178" s="279" t="str">
        <f>IFERROR(__xludf.DUMMYFUNCTION("""COMPUTED_VALUE"""),"https://vt.tiktok.com/ZS9LCRWxV/")</f>
        <v>https://vt.tiktok.com/ZS9LCRWxV/</v>
      </c>
    </row>
    <row r="179">
      <c r="A179" s="255" t="str">
        <f>IFERROR(__xludf.DUMMYFUNCTION("""COMPUTED_VALUE"""),"MICRO")</f>
        <v>MICRO</v>
      </c>
      <c r="B179" s="361" t="str">
        <f>IFERROR(__xludf.DUMMYFUNCTION("""COMPUTED_VALUE"""),"titis_rose")</f>
        <v>titis_rose</v>
      </c>
      <c r="C179" s="257" t="str">
        <f>IFERROR(__xludf.DUMMYFUNCTION("""COMPUTED_VALUE"""),"https://www.tiktok.com/@titis_rose")</f>
        <v>https://www.tiktok.com/@titis_rose</v>
      </c>
      <c r="D179" s="270">
        <f>IFERROR(__xludf.DUMMYFUNCTION("""COMPUTED_VALUE"""),8.1615558404E10)</f>
        <v>81615558404</v>
      </c>
      <c r="E179" s="457">
        <f>IFERROR(__xludf.DUMMYFUNCTION("""COMPUTED_VALUE"""),50000.0)</f>
        <v>50000</v>
      </c>
      <c r="F179" s="270">
        <f>IFERROR(__xludf.DUMMYFUNCTION("""COMPUTED_VALUE"""),1.0)</f>
        <v>1</v>
      </c>
      <c r="G179" s="17" t="str">
        <f>IFERROR(__xludf.DUMMYFUNCTION("""COMPUTED_VALUE"""),"Sabun batang 1 Box ( 2 PCS )")</f>
        <v>Sabun batang 1 Box ( 2 PCS )</v>
      </c>
      <c r="H179" s="463" t="str">
        <f>IFERROR(__xludf.DUMMYFUNCTION("""COMPUTED_VALUE"""),"Sampai")</f>
        <v>Sampai</v>
      </c>
      <c r="I179" s="464" t="str">
        <f>IFERROR(__xludf.DUMMYFUNCTION("""COMPUTED_VALUE"""),"KIMME")</f>
        <v>KIMME</v>
      </c>
      <c r="J179" s="279" t="str">
        <f>IFERROR(__xludf.DUMMYFUNCTION("""COMPUTED_VALUE"""),"https://www.tiktok.com/@titis_rose/video/7613297709562268936?is_from_webapp=1&amp;sender_device=pc")</f>
        <v>https://www.tiktok.com/@titis_rose/video/7613297709562268936?is_from_webapp=1&amp;sender_device=pc</v>
      </c>
      <c r="K179" s="464" t="str">
        <f>IFERROR(__xludf.DUMMYFUNCTION("""COMPUTED_VALUE"""),"KIMME")</f>
        <v>KIMME</v>
      </c>
      <c r="L179" s="279" t="str">
        <f>IFERROR(__xludf.DUMMYFUNCTION("""COMPUTED_VALUE"""),"https://www.tiktok.com/@barokah.collection/video/7631344839472336149?_r=1&amp;u_code=e6ki6hmgc946ah&amp;region=&amp;mid=7628029008957967111&amp;preview_pb=0&amp;sharer_language=&amp;_d=0&amp;ec_shared_reflux_dynamic_params=%7B%22placeholder_material_id%22%3A%227631344839472336149%22"&amp;"%2C%22placeholder_origin_cover%22%3A%22https%253A%252F%252Fp16-common-sign.tiktokcdn.com%252Ftos-alisg-p-0037%252FoUoQAjzQ7sbeDpTG5FfxIxEUPDm8fnAjjBCsP4~tplv-tiktokx-origin.jpeg%253Fdr%253D14572%2526refresh_token%253D34dfee2e%2526x-expires%253D1809507600%"&amp;"2526x-signature%253DTRFwNnnNx50QEde5HlN55MRE0lg%25253D%2526t%253D4d5b0474%2526ps%253D13740610%2526shp%253Dd05b14bd%2526shcp%253D34ff8df6%2526idc%253Dmy%2526s%253DTIKTOK_AFFILIATE_VIRAL_VIDEO%22%2C%22placeholder_product_id%22%3A%221729427766722726591%22%2C"&amp;"%22placeholder_video_id%22%3A%227631344839472336149%22%7D&amp;ec_shared_reflux_scene=shop_tab_feed&amp;share_item_id=7631344839472336149&amp;source=h5_t")</f>
        <v>https://www.tiktok.com/@barokah.collection/video/7631344839472336149?_r=1&amp;u_code=e6ki6hmgc946ah&amp;region=&amp;mid=7628029008957967111&amp;preview_pb=0&amp;sharer_language=&amp;_d=0&amp;ec_shared_reflux_dynamic_params=%7B%22placeholder_material_id%22%3A%227631344839472336149%22%2C%22placeholder_origin_cover%22%3A%22https%253A%252F%252Fp16-common-sign.tiktokcdn.com%252Ftos-alisg-p-0037%252FoUoQAjzQ7sbeDpTG5FfxIxEUPDm8fnAjjBCsP4~tplv-tiktokx-origin.jpeg%253Fdr%253D14572%2526refresh_token%253D34dfee2e%2526x-expires%253D1809507600%2526x-signature%253DTRFwNnnNx50QEde5HlN55MRE0lg%25253D%2526t%253D4d5b0474%2526ps%253D13740610%2526shp%253Dd05b14bd%2526shcp%253D34ff8df6%2526idc%253Dmy%2526s%253DTIKTOK_AFFILIATE_VIRAL_VIDEO%22%2C%22placeholder_product_id%22%3A%221729427766722726591%22%2C%22placeholder_video_id%22%3A%227631344839472336149%22%7D&amp;ec_shared_reflux_scene=shop_tab_feed&amp;share_item_id=7631344839472336149&amp;source=h5_t</v>
      </c>
      <c r="M179" s="464"/>
      <c r="N179" s="279" t="str">
        <f>IFERROR(__xludf.DUMMYFUNCTION("""COMPUTED_VALUE"""),"https://www.tiktok.com/@barokah.collection/video/7631156539872611604?_r=1&amp;u_code=e6ki6hmgc946ah&amp;region=&amp;mid=7628376981885405959&amp;preview_pb=0&amp;sharer_language=&amp;_d=0&amp;ec_shared_reflux_dynamic_params=%7B%22placeholder_material_id%22%3A%227631156539872611604%22"&amp;"%2C%22placeholder_origin_cover%22%3A%22https%253A%252F%252Fp16-sign-sg.tiktokcdn.com%252Ftos-alisg-p-0037%252FoAU7Li4CiIzIwKeSdnPQKnHAIR8u0Bu5AALHAH~tplv-tiktokx-origin.jpeg%253Fdr%253D14572%2526refresh_token%253Dc21d8600%2526x-expires%253D1809507600%2526"&amp;"x-signature%253DPpeFC5evI8I94hOCpFbHMRbiE8s%25253D%2526t%253D4d5b0474%2526ps%253D13740610%2526shp%253Dd05b14bd%2526shcp%253D34ff8df6%2526idc%253Dmy%2526s%253DTIKTOK_AFFILIATE_VIRAL_VIDEO%22%2C%22placeholder_product_id%22%3A%221729427766722726591%22%2C%22p"&amp;"laceholder_video_id%22%3A%227631156539872611604%22%7D&amp;ec_shared_reflux_scene=shop_tab_feed&amp;share_item_id=7631156539872611604&amp;source=h5_t")</f>
        <v>https://www.tiktok.com/@barokah.collection/video/7631156539872611604?_r=1&amp;u_code=e6ki6hmgc946ah&amp;region=&amp;mid=7628376981885405959&amp;preview_pb=0&amp;sharer_language=&amp;_d=0&amp;ec_shared_reflux_dynamic_params=%7B%22placeholder_material_id%22%3A%227631156539872611604%22%2C%22placeholder_origin_cover%22%3A%22https%253A%252F%252Fp16-sign-sg.tiktokcdn.com%252Ftos-alisg-p-0037%252FoAU7Li4CiIzIwKeSdnPQKnHAIR8u0Bu5AALHAH~tplv-tiktokx-origin.jpeg%253Fdr%253D14572%2526refresh_token%253Dc21d8600%2526x-expires%253D1809507600%2526x-signature%253DPpeFC5evI8I94hOCpFbHMRbiE8s%25253D%2526t%253D4d5b0474%2526ps%253D13740610%2526shp%253Dd05b14bd%2526shcp%253D34ff8df6%2526idc%253Dmy%2526s%253DTIKTOK_AFFILIATE_VIRAL_VIDEO%22%2C%22placeholder_product_id%22%3A%221729427766722726591%22%2C%22placeholder_video_id%22%3A%227631156539872611604%22%7D&amp;ec_shared_reflux_scene=shop_tab_feed&amp;share_item_id=7631156539872611604&amp;source=h5_t</v>
      </c>
      <c r="O179" s="464"/>
      <c r="P179" s="279" t="str">
        <f>IFERROR(__xludf.DUMMYFUNCTION("""COMPUTED_VALUE"""),"https://vt.tiktok.com/ZS94oS1y6/")</f>
        <v>https://vt.tiktok.com/ZS94oS1y6/</v>
      </c>
    </row>
    <row r="180">
      <c r="A180" s="255" t="str">
        <f>IFERROR(__xludf.DUMMYFUNCTION("""COMPUTED_VALUE"""),"MICRO")</f>
        <v>MICRO</v>
      </c>
      <c r="B180" s="361" t="str">
        <f>IFERROR(__xludf.DUMMYFUNCTION("""COMPUTED_VALUE"""),"kaaaaast")</f>
        <v>kaaaaast</v>
      </c>
      <c r="C180" s="257" t="str">
        <f>IFERROR(__xludf.DUMMYFUNCTION("""COMPUTED_VALUE"""),"https://www.tiktok.com/@kaaaaast")</f>
        <v>https://www.tiktok.com/@kaaaaast</v>
      </c>
      <c r="D180" s="270">
        <f>IFERROR(__xludf.DUMMYFUNCTION("""COMPUTED_VALUE"""),8.2243166916E10)</f>
        <v>82243166916</v>
      </c>
      <c r="E180" s="457">
        <f>IFERROR(__xludf.DUMMYFUNCTION("""COMPUTED_VALUE"""),0.0)</f>
        <v>0</v>
      </c>
      <c r="F180" s="270">
        <f>IFERROR(__xludf.DUMMYFUNCTION("""COMPUTED_VALUE"""),2.0)</f>
        <v>2</v>
      </c>
      <c r="G180" s="17" t="str">
        <f>IFERROR(__xludf.DUMMYFUNCTION("""COMPUTED_VALUE"""),"Sabun batang 1 Box ( 2 PCS )")</f>
        <v>Sabun batang 1 Box ( 2 PCS )</v>
      </c>
      <c r="H180" s="463" t="str">
        <f>IFERROR(__xludf.DUMMYFUNCTION("""COMPUTED_VALUE"""),"Sampai")</f>
        <v>Sampai</v>
      </c>
      <c r="I180" s="464" t="str">
        <f>IFERROR(__xludf.DUMMYFUNCTION("""COMPUTED_VALUE"""),"KIMME")</f>
        <v>KIMME</v>
      </c>
      <c r="J180" s="279" t="str">
        <f>IFERROR(__xludf.DUMMYFUNCTION("""COMPUTED_VALUE"""),"https://vt.tiktok.com/ZSmgFhuBy/")</f>
        <v>https://vt.tiktok.com/ZSmgFhuBy/</v>
      </c>
      <c r="K180" s="464" t="str">
        <f>IFERROR(__xludf.DUMMYFUNCTION("""COMPUTED_VALUE"""),"KIMME")</f>
        <v>KIMME</v>
      </c>
      <c r="L180" s="279" t="str">
        <f>IFERROR(__xludf.DUMMYFUNCTION("""COMPUTED_VALUE"""),"https://www.tiktok.com/@kaaaaast/video/7613961445667065095?is_from_webapp=1&amp;sender_device=pc")</f>
        <v>https://www.tiktok.com/@kaaaaast/video/7613961445667065095?is_from_webapp=1&amp;sender_device=pc</v>
      </c>
      <c r="M180" s="464"/>
      <c r="N180" s="279" t="str">
        <f>IFERROR(__xludf.DUMMYFUNCTION("""COMPUTED_VALUE"""),"https://www.tiktok.com/@sinabilla/video/7633465175101754642?_r=1&amp;u_code=d8ce4h27fdmff3&amp;region=&amp;mid=7608547172799236881&amp;preview_pb=0&amp;sharer_language=&amp;_d=0&amp;ec_shared_reflux_dynamic_params=%7B%22placeholder_material_id%22%3A%227633465175101754642%22%2C%22pla"&amp;"ceholder_origin_cover%22%3A%22https%253A%252F%252Fp16-common-sign.tiktokcdn.com%252Ftos-alisg-p-0037%252FogfpX6RDE8D7AvnEohFPMQeCBOvPQgB34lEcbA~tplv-tiktokx-origin.jpeg%253Fdr%253D14572%2526refresh_token%253D67e77441%2526x-expires%253D1809507600%2526x-sig"&amp;"nature%253DtfaU6sV78JbrY8ttfm9W%25252BXnu5VE%25253D%2526t%253D4d5b0474%2526ps%253D13740610%2526shp%253Dd05b14bd%2526shcp%253D34ff8df6%2526idc%253Dmy%2526s%253DTIKTOK_AFFILIATE_VIRAL_VIDEO%22%2C%22placeholder_product_id%22%3A%221729427766722726591%22%2C%22"&amp;"placeholder_video_id%22%3A%227633465175101754642%22%7D&amp;ec_shared_reflux_scene=shop_tab_feed&amp;share_item_id=7633465175101754642&amp;source=h5_t")</f>
        <v>https://www.tiktok.com/@sinabilla/video/7633465175101754642?_r=1&amp;u_code=d8ce4h27fdmff3&amp;region=&amp;mid=7608547172799236881&amp;preview_pb=0&amp;sharer_language=&amp;_d=0&amp;ec_shared_reflux_dynamic_params=%7B%22placeholder_material_id%22%3A%227633465175101754642%22%2C%22placeholder_origin_cover%22%3A%22https%253A%252F%252Fp16-common-sign.tiktokcdn.com%252Ftos-alisg-p-0037%252FogfpX6RDE8D7AvnEohFPMQeCBOvPQgB34lEcbA~tplv-tiktokx-origin.jpeg%253Fdr%253D14572%2526refresh_token%253D67e77441%2526x-expires%253D1809507600%2526x-signature%253DtfaU6sV78JbrY8ttfm9W%25252BXnu5VE%25253D%2526t%253D4d5b0474%2526ps%253D13740610%2526shp%253Dd05b14bd%2526shcp%253D34ff8df6%2526idc%253Dmy%2526s%253DTIKTOK_AFFILIATE_VIRAL_VIDEO%22%2C%22placeholder_product_id%22%3A%221729427766722726591%22%2C%22placeholder_video_id%22%3A%227633465175101754642%22%7D&amp;ec_shared_reflux_scene=shop_tab_feed&amp;share_item_id=7633465175101754642&amp;source=h5_t</v>
      </c>
      <c r="O180" s="464"/>
      <c r="P180" s="17" t="str">
        <f>IFERROR(__xludf.DUMMYFUNCTION("""COMPUTED_VALUE"""),"⁠https://vt.tiktok.com/ZS94oh6ES/")</f>
        <v>⁠https://vt.tiktok.com/ZS94oh6ES/</v>
      </c>
    </row>
    <row r="181">
      <c r="A181" s="255" t="str">
        <f>IFERROR(__xludf.DUMMYFUNCTION("""COMPUTED_VALUE"""),"MICRO")</f>
        <v>MICRO</v>
      </c>
      <c r="B181" s="361" t="str">
        <f>IFERROR(__xludf.DUMMYFUNCTION("""COMPUTED_VALUE"""),"hi.deez")</f>
        <v>hi.deez</v>
      </c>
      <c r="C181" s="257" t="str">
        <f>IFERROR(__xludf.DUMMYFUNCTION("""COMPUTED_VALUE"""),"https://www.tiktok.com/@hi.deez")</f>
        <v>https://www.tiktok.com/@hi.deez</v>
      </c>
      <c r="D181" s="270">
        <f>IFERROR(__xludf.DUMMYFUNCTION("""COMPUTED_VALUE"""),8.7891363203E10)</f>
        <v>87891363203</v>
      </c>
      <c r="E181" s="457">
        <f>IFERROR(__xludf.DUMMYFUNCTION("""COMPUTED_VALUE"""),0.0)</f>
        <v>0</v>
      </c>
      <c r="F181" s="270">
        <f>IFERROR(__xludf.DUMMYFUNCTION("""COMPUTED_VALUE"""),4.0)</f>
        <v>4</v>
      </c>
      <c r="G181" s="17" t="str">
        <f>IFERROR(__xludf.DUMMYFUNCTION("""COMPUTED_VALUE"""),"Sabun batang 1 Box ( 2 PCS )")</f>
        <v>Sabun batang 1 Box ( 2 PCS )</v>
      </c>
      <c r="H181" s="463" t="str">
        <f>IFERROR(__xludf.DUMMYFUNCTION("""COMPUTED_VALUE"""),"Sampai")</f>
        <v>Sampai</v>
      </c>
      <c r="I181" s="464" t="str">
        <f>IFERROR(__xludf.DUMMYFUNCTION("""COMPUTED_VALUE"""),"KIMME")</f>
        <v>KIMME</v>
      </c>
      <c r="J181" s="279" t="str">
        <f>IFERROR(__xludf.DUMMYFUNCTION("""COMPUTED_VALUE"""),"https://www.tiktok.com/@hi.deez/video/7608373021463629076?is_from_webapp=1&amp;sender_device=pc")</f>
        <v>https://www.tiktok.com/@hi.deez/video/7608373021463629076?is_from_webapp=1&amp;sender_device=pc</v>
      </c>
      <c r="K181" s="464" t="str">
        <f>IFERROR(__xludf.DUMMYFUNCTION("""COMPUTED_VALUE"""),"KIMME")</f>
        <v>KIMME</v>
      </c>
      <c r="L181" s="279" t="str">
        <f>IFERROR(__xludf.DUMMYFUNCTION("""COMPUTED_VALUE"""),"https://www.tiktok.com/@hi.deez/video/7611355601175596308?is_from_webapp=1&amp;sender_device=pc")</f>
        <v>https://www.tiktok.com/@hi.deez/video/7611355601175596308?is_from_webapp=1&amp;sender_device=pc</v>
      </c>
      <c r="M181" s="464" t="str">
        <f>IFERROR(__xludf.DUMMYFUNCTION("""COMPUTED_VALUE"""),"KIMME")</f>
        <v>KIMME</v>
      </c>
      <c r="N181" s="279" t="str">
        <f>IFERROR(__xludf.DUMMYFUNCTION("""COMPUTED_VALUE"""),"https://vt.tiktok.com/ZSuBDDTv5/")</f>
        <v>https://vt.tiktok.com/ZSuBDDTv5/</v>
      </c>
      <c r="O181" s="464" t="str">
        <f>IFERROR(__xludf.DUMMYFUNCTION("""COMPUTED_VALUE"""),"KIMME")</f>
        <v>KIMME</v>
      </c>
      <c r="P181" s="279" t="str">
        <f>IFERROR(__xludf.DUMMYFUNCTION("""COMPUTED_VALUE"""),"https://www.tiktok.com/@hi.deez/video/7616591330474560788?is_from_webapp=1&amp;sender_device=pc")</f>
        <v>https://www.tiktok.com/@hi.deez/video/7616591330474560788?is_from_webapp=1&amp;sender_device=pc</v>
      </c>
    </row>
    <row r="182">
      <c r="A182" s="255" t="str">
        <f>IFERROR(__xludf.DUMMYFUNCTION("""COMPUTED_VALUE"""),"MICRO")</f>
        <v>MICRO</v>
      </c>
      <c r="B182" s="361" t="str">
        <f>IFERROR(__xludf.DUMMYFUNCTION("""COMPUTED_VALUE"""),"berkah.glosir")</f>
        <v>berkah.glosir</v>
      </c>
      <c r="C182" s="257" t="str">
        <f>IFERROR(__xludf.DUMMYFUNCTION("""COMPUTED_VALUE"""),"https://www.tiktok.com/@berkah.glosir")</f>
        <v>https://www.tiktok.com/@berkah.glosir</v>
      </c>
      <c r="D182" s="270">
        <f>IFERROR(__xludf.DUMMYFUNCTION("""COMPUTED_VALUE"""),8.9646308571E10)</f>
        <v>89646308571</v>
      </c>
      <c r="E182" s="457">
        <f>IFERROR(__xludf.DUMMYFUNCTION("""COMPUTED_VALUE"""),750000.0)</f>
        <v>750000</v>
      </c>
      <c r="F182" s="270">
        <f>IFERROR(__xludf.DUMMYFUNCTION("""COMPUTED_VALUE"""),4.0)</f>
        <v>4</v>
      </c>
      <c r="G182" s="17" t="str">
        <f>IFERROR(__xludf.DUMMYFUNCTION("""COMPUTED_VALUE"""),"Sabun batang 1 Box ( 2 PCS )")</f>
        <v>Sabun batang 1 Box ( 2 PCS )</v>
      </c>
      <c r="H182" s="463" t="str">
        <f>IFERROR(__xludf.DUMMYFUNCTION("""COMPUTED_VALUE"""),"Sampai")</f>
        <v>Sampai</v>
      </c>
      <c r="I182" s="464" t="str">
        <f>IFERROR(__xludf.DUMMYFUNCTION("""COMPUTED_VALUE"""),"KIMME")</f>
        <v>KIMME</v>
      </c>
      <c r="J182" s="279" t="str">
        <f>IFERROR(__xludf.DUMMYFUNCTION("""COMPUTED_VALUE"""),"https://vt.tiktok.com/ZSmU2gGtE/")</f>
        <v>https://vt.tiktok.com/ZSmU2gGtE/</v>
      </c>
      <c r="K182" s="464" t="str">
        <f>IFERROR(__xludf.DUMMYFUNCTION("""COMPUTED_VALUE"""),"KIMME")</f>
        <v>KIMME</v>
      </c>
      <c r="L182" s="279" t="str">
        <f>IFERROR(__xludf.DUMMYFUNCTION("""COMPUTED_VALUE"""),"https://vt.tiktok.com/ZSmfj6unn/")</f>
        <v>https://vt.tiktok.com/ZSmfj6unn/</v>
      </c>
      <c r="M182" s="464" t="str">
        <f>IFERROR(__xludf.DUMMYFUNCTION("""COMPUTED_VALUE"""),"KIMME")</f>
        <v>KIMME</v>
      </c>
      <c r="N182" s="279" t="str">
        <f>IFERROR(__xludf.DUMMYFUNCTION("""COMPUTED_VALUE"""),"https://vt.tiktok.com/ZSmfjxJ14/")</f>
        <v>https://vt.tiktok.com/ZSmfjxJ14/</v>
      </c>
      <c r="O182" s="464" t="str">
        <f>IFERROR(__xludf.DUMMYFUNCTION("""COMPUTED_VALUE"""),"KIMME")</f>
        <v>KIMME</v>
      </c>
      <c r="P182" s="279" t="str">
        <f>IFERROR(__xludf.DUMMYFUNCTION("""COMPUTED_VALUE"""),"https://vt.tiktok.com/ZSmfj5exq/")</f>
        <v>https://vt.tiktok.com/ZSmfj5exq/</v>
      </c>
    </row>
    <row r="183">
      <c r="A183" s="255" t="str">
        <f>IFERROR(__xludf.DUMMYFUNCTION("""COMPUTED_VALUE"""),"MICRO")</f>
        <v>MICRO</v>
      </c>
      <c r="B183" s="361" t="str">
        <f>IFERROR(__xludf.DUMMYFUNCTION("""COMPUTED_VALUE"""),"alzafbeauty")</f>
        <v>alzafbeauty</v>
      </c>
      <c r="C183" s="257" t="str">
        <f>IFERROR(__xludf.DUMMYFUNCTION("""COMPUTED_VALUE"""),"https://www.tiktok.com/@alzafbeauty")</f>
        <v>https://www.tiktok.com/@alzafbeauty</v>
      </c>
      <c r="D183" s="270">
        <f>IFERROR(__xludf.DUMMYFUNCTION("""COMPUTED_VALUE"""),8.783856907E10)</f>
        <v>87838569070</v>
      </c>
      <c r="E183" s="457">
        <f>IFERROR(__xludf.DUMMYFUNCTION("""COMPUTED_VALUE"""),0.0)</f>
        <v>0</v>
      </c>
      <c r="F183" s="270">
        <f>IFERROR(__xludf.DUMMYFUNCTION("""COMPUTED_VALUE"""),4.0)</f>
        <v>4</v>
      </c>
      <c r="G183" s="17" t="str">
        <f>IFERROR(__xludf.DUMMYFUNCTION("""COMPUTED_VALUE"""),"Sabun batang 1 Box ( 2 PCS )")</f>
        <v>Sabun batang 1 Box ( 2 PCS )</v>
      </c>
      <c r="H183" s="463" t="str">
        <f>IFERROR(__xludf.DUMMYFUNCTION("""COMPUTED_VALUE"""),"Sampai")</f>
        <v>Sampai</v>
      </c>
      <c r="I183" s="464" t="str">
        <f>IFERROR(__xludf.DUMMYFUNCTION("""COMPUTED_VALUE"""),"KIMME")</f>
        <v>KIMME</v>
      </c>
      <c r="J183" s="279" t="str">
        <f>IFERROR(__xludf.DUMMYFUNCTION("""COMPUTED_VALUE"""),"https://www.tiktok.com/@alzafbeauty/video/7607249221812636935?is_from_webapp=1&amp;sender_device=pc")</f>
        <v>https://www.tiktok.com/@alzafbeauty/video/7607249221812636935?is_from_webapp=1&amp;sender_device=pc</v>
      </c>
      <c r="K183" s="464" t="str">
        <f>IFERROR(__xludf.DUMMYFUNCTION("""COMPUTED_VALUE"""),"KIMME")</f>
        <v>KIMME</v>
      </c>
      <c r="L183" s="279" t="str">
        <f>IFERROR(__xludf.DUMMYFUNCTION("""COMPUTED_VALUE"""),"https://www.tiktok.com/@alzafbeauty/video/7607647922527784199?is_from_webapp=1&amp;sender_device=pc")</f>
        <v>https://www.tiktok.com/@alzafbeauty/video/7607647922527784199?is_from_webapp=1&amp;sender_device=pc</v>
      </c>
      <c r="M183" s="464" t="str">
        <f>IFERROR(__xludf.DUMMYFUNCTION("""COMPUTED_VALUE"""),"KIMME")</f>
        <v>KIMME</v>
      </c>
      <c r="N183" s="279" t="str">
        <f>IFERROR(__xludf.DUMMYFUNCTION("""COMPUTED_VALUE"""),"https://www.tiktok.com/@alzafbeauty/video/7608948965681204488?is_from_webapp=1&amp;sender_device=pc")</f>
        <v>https://www.tiktok.com/@alzafbeauty/video/7608948965681204488?is_from_webapp=1&amp;sender_device=pc</v>
      </c>
      <c r="O183" s="464" t="str">
        <f>IFERROR(__xludf.DUMMYFUNCTION("""COMPUTED_VALUE"""),"KIMME")</f>
        <v>KIMME</v>
      </c>
      <c r="P183" s="279" t="str">
        <f>IFERROR(__xludf.DUMMYFUNCTION("""COMPUTED_VALUE"""),"https://www.tiktok.com/@alzafbeauty/video/7609853280713329927?is_from_webapp=1&amp;sender_device=pc")</f>
        <v>https://www.tiktok.com/@alzafbeauty/video/7609853280713329927?is_from_webapp=1&amp;sender_device=pc</v>
      </c>
    </row>
    <row r="184">
      <c r="A184" s="255" t="str">
        <f>IFERROR(__xludf.DUMMYFUNCTION("""COMPUTED_VALUE"""),"MICRO")</f>
        <v>MICRO</v>
      </c>
      <c r="B184" s="361" t="str">
        <f>IFERROR(__xludf.DUMMYFUNCTION("""COMPUTED_VALUE"""),"dindajuitananda_")</f>
        <v>dindajuitananda_</v>
      </c>
      <c r="C184" s="257" t="str">
        <f>IFERROR(__xludf.DUMMYFUNCTION("""COMPUTED_VALUE"""),"https://www.tiktok.com/@dindajuitananda_")</f>
        <v>https://www.tiktok.com/@dindajuitananda_</v>
      </c>
      <c r="D184" s="270">
        <f>IFERROR(__xludf.DUMMYFUNCTION("""COMPUTED_VALUE"""),8.5864134535E10)</f>
        <v>85864134535</v>
      </c>
      <c r="E184" s="457">
        <f>IFERROR(__xludf.DUMMYFUNCTION("""COMPUTED_VALUE"""),0.0)</f>
        <v>0</v>
      </c>
      <c r="F184" s="270">
        <f>IFERROR(__xludf.DUMMYFUNCTION("""COMPUTED_VALUE"""),1.0)</f>
        <v>1</v>
      </c>
      <c r="G184" s="17" t="str">
        <f>IFERROR(__xludf.DUMMYFUNCTION("""COMPUTED_VALUE"""),"Sabun batang 1 Box ( 2 PCS )")</f>
        <v>Sabun batang 1 Box ( 2 PCS )</v>
      </c>
      <c r="H184" s="463" t="str">
        <f>IFERROR(__xludf.DUMMYFUNCTION("""COMPUTED_VALUE"""),"Sampai")</f>
        <v>Sampai</v>
      </c>
      <c r="I184" s="464" t="str">
        <f>IFERROR(__xludf.DUMMYFUNCTION("""COMPUTED_VALUE"""),"KIMME")</f>
        <v>KIMME</v>
      </c>
      <c r="J184" s="279" t="str">
        <f>IFERROR(__xludf.DUMMYFUNCTION("""COMPUTED_VALUE"""),"https://vt.tiktok.com/ZSuREJvqe/")</f>
        <v>https://vt.tiktok.com/ZSuREJvqe/</v>
      </c>
      <c r="K184" s="464" t="str">
        <f>IFERROR(__xludf.DUMMYFUNCTION("""COMPUTED_VALUE"""),"KIMME")</f>
        <v>KIMME</v>
      </c>
      <c r="L184" s="17" t="str">
        <f>IFERROR(__xludf.DUMMYFUNCTION("""COMPUTED_VALUE"""),"⁠https://vt.tiktok.com/ZS94orMHR/")</f>
        <v>⁠https://vt.tiktok.com/ZS94orMHR/</v>
      </c>
      <c r="M184" s="464"/>
      <c r="N184" s="17" t="str">
        <f>IFERROR(__xludf.DUMMYFUNCTION("""COMPUTED_VALUE"""),"⁠https://vt.tiktok.com/ZS94ofRfQ/")</f>
        <v>⁠https://vt.tiktok.com/ZS94ofRfQ/</v>
      </c>
      <c r="O184" s="464"/>
      <c r="P184" s="17" t="str">
        <f>IFERROR(__xludf.DUMMYFUNCTION("""COMPUTED_VALUE"""),"⁠https://vt.tiktok.com/ZS94oMueJ/")</f>
        <v>⁠https://vt.tiktok.com/ZS94oMueJ/</v>
      </c>
    </row>
    <row r="185">
      <c r="A185" s="255" t="str">
        <f>IFERROR(__xludf.DUMMYFUNCTION("""COMPUTED_VALUE"""),"MICRO")</f>
        <v>MICRO</v>
      </c>
      <c r="B185" s="361" t="str">
        <f>IFERROR(__xludf.DUMMYFUNCTION("""COMPUTED_VALUE"""),"santikartika95")</f>
        <v>santikartika95</v>
      </c>
      <c r="C185" s="257" t="str">
        <f>IFERROR(__xludf.DUMMYFUNCTION("""COMPUTED_VALUE"""),"https://www.tiktok.com/@santikartika95")</f>
        <v>https://www.tiktok.com/@santikartika95</v>
      </c>
      <c r="D185" s="270">
        <f>IFERROR(__xludf.DUMMYFUNCTION("""COMPUTED_VALUE"""),8.3822601966E10)</f>
        <v>83822601966</v>
      </c>
      <c r="E185" s="457">
        <f>IFERROR(__xludf.DUMMYFUNCTION("""COMPUTED_VALUE"""),0.0)</f>
        <v>0</v>
      </c>
      <c r="F185" s="270">
        <f>IFERROR(__xludf.DUMMYFUNCTION("""COMPUTED_VALUE"""),2.0)</f>
        <v>2</v>
      </c>
      <c r="G185" s="17" t="str">
        <f>IFERROR(__xludf.DUMMYFUNCTION("""COMPUTED_VALUE"""),"Sabun batang 1 Box ( 2 PCS )")</f>
        <v>Sabun batang 1 Box ( 2 PCS )</v>
      </c>
      <c r="H185" s="463" t="str">
        <f>IFERROR(__xludf.DUMMYFUNCTION("""COMPUTED_VALUE"""),"Sampai")</f>
        <v>Sampai</v>
      </c>
      <c r="I185" s="464" t="str">
        <f>IFERROR(__xludf.DUMMYFUNCTION("""COMPUTED_VALUE"""),"KIMME")</f>
        <v>KIMME</v>
      </c>
      <c r="J185" s="279" t="str">
        <f>IFERROR(__xludf.DUMMYFUNCTION("""COMPUTED_VALUE"""),"https://www.tiktok.com/@alzafbeauty/video/7610768885763165448?is_from_webapp=1&amp;sender_device=pc")</f>
        <v>https://www.tiktok.com/@alzafbeauty/video/7610768885763165448?is_from_webapp=1&amp;sender_device=pc</v>
      </c>
      <c r="K185" s="464" t="str">
        <f>IFERROR(__xludf.DUMMYFUNCTION("""COMPUTED_VALUE"""),"KIMME")</f>
        <v>KIMME</v>
      </c>
      <c r="L185" s="279" t="str">
        <f>IFERROR(__xludf.DUMMYFUNCTION("""COMPUTED_VALUE"""),"https://www.tiktok.com/@alzafbeauty/video/7612534565084695816?is_from_webapp=1&amp;sender_device=pc")</f>
        <v>https://www.tiktok.com/@alzafbeauty/video/7612534565084695816?is_from_webapp=1&amp;sender_device=pc</v>
      </c>
      <c r="M185" s="464"/>
      <c r="N185" s="17" t="str">
        <f>IFERROR(__xludf.DUMMYFUNCTION("""COMPUTED_VALUE"""),"⁠https://vt.tiktok.com/ZS94oq4rv/")</f>
        <v>⁠https://vt.tiktok.com/ZS94oq4rv/</v>
      </c>
      <c r="O185" s="464"/>
      <c r="P185" s="279" t="str">
        <f>IFERROR(__xludf.DUMMYFUNCTION("""COMPUTED_VALUE"""),"https://vt.tiktok.com/ZS94oxRcT/")</f>
        <v>https://vt.tiktok.com/ZS94oxRcT/</v>
      </c>
    </row>
    <row r="186">
      <c r="A186" s="255" t="str">
        <f>IFERROR(__xludf.DUMMYFUNCTION("""COMPUTED_VALUE"""),"MICRO")</f>
        <v>MICRO</v>
      </c>
      <c r="B186" s="361" t="str">
        <f>IFERROR(__xludf.DUMMYFUNCTION("""COMPUTED_VALUE"""),"naila_ulya__
")</f>
        <v>naila_ulya__
</v>
      </c>
      <c r="C186" s="257" t="str">
        <f>IFERROR(__xludf.DUMMYFUNCTION("""COMPUTED_VALUE"""),"https://www.tiktok.com/@naila_ulya__
")</f>
        <v>https://www.tiktok.com/@naila_ulya__
</v>
      </c>
      <c r="D186" s="270">
        <f>IFERROR(__xludf.DUMMYFUNCTION("""COMPUTED_VALUE"""),8.1227833073E10)</f>
        <v>81227833073</v>
      </c>
      <c r="E186" s="457">
        <f>IFERROR(__xludf.DUMMYFUNCTION("""COMPUTED_VALUE"""),0.0)</f>
        <v>0</v>
      </c>
      <c r="F186" s="270">
        <f>IFERROR(__xludf.DUMMYFUNCTION("""COMPUTED_VALUE"""),1.0)</f>
        <v>1</v>
      </c>
      <c r="G186" s="17" t="str">
        <f>IFERROR(__xludf.DUMMYFUNCTION("""COMPUTED_VALUE"""),"Sabun batang 1 Box ( 2 PCS )")</f>
        <v>Sabun batang 1 Box ( 2 PCS )</v>
      </c>
      <c r="H186" s="463" t="str">
        <f>IFERROR(__xludf.DUMMYFUNCTION("""COMPUTED_VALUE"""),"Sampai")</f>
        <v>Sampai</v>
      </c>
      <c r="I186" s="464" t="str">
        <f>IFERROR(__xludf.DUMMYFUNCTION("""COMPUTED_VALUE"""),"KIMME")</f>
        <v>KIMME</v>
      </c>
      <c r="J186" s="279" t="str">
        <f>IFERROR(__xludf.DUMMYFUNCTION("""COMPUTED_VALUE"""),"https://vt.tiktok.com/ZSmpAbKq6/")</f>
        <v>https://vt.tiktok.com/ZSmpAbKq6/</v>
      </c>
      <c r="K186" s="464" t="str">
        <f>IFERROR(__xludf.DUMMYFUNCTION("""COMPUTED_VALUE"""),"KIMME")</f>
        <v>KIMME</v>
      </c>
      <c r="L186" s="17" t="str">
        <f>IFERROR(__xludf.DUMMYFUNCTION("""COMPUTED_VALUE"""),"⁠https://vt.tiktok.com/ZS94oshKE/")</f>
        <v>⁠https://vt.tiktok.com/ZS94oshKE/</v>
      </c>
      <c r="M186" s="464"/>
      <c r="N186" s="17" t="str">
        <f>IFERROR(__xludf.DUMMYFUNCTION("""COMPUTED_VALUE"""),"⁠https://vt.tiktok.com/ZS94o393h/")</f>
        <v>⁠https://vt.tiktok.com/ZS94o393h/</v>
      </c>
      <c r="O186" s="464"/>
      <c r="P186" s="17" t="str">
        <f>IFERROR(__xludf.DUMMYFUNCTION("""COMPUTED_VALUE"""),"⁠https://vt.tiktok.com/ZS94oWCj2/")</f>
        <v>⁠https://vt.tiktok.com/ZS94oWCj2/</v>
      </c>
    </row>
    <row r="187">
      <c r="A187" s="255" t="str">
        <f>IFERROR(__xludf.DUMMYFUNCTION("""COMPUTED_VALUE"""),"MACRO")</f>
        <v>MACRO</v>
      </c>
      <c r="B187" s="361" t="str">
        <f>IFERROR(__xludf.DUMMYFUNCTION("""COMPUTED_VALUE"""),"nurnnyas")</f>
        <v>nurnnyas</v>
      </c>
      <c r="C187" s="257" t="str">
        <f>IFERROR(__xludf.DUMMYFUNCTION("""COMPUTED_VALUE"""),"https://www.tiktok.com/@nurnnyas")</f>
        <v>https://www.tiktok.com/@nurnnyas</v>
      </c>
      <c r="D187" s="270">
        <f>IFERROR(__xludf.DUMMYFUNCTION("""COMPUTED_VALUE"""),8.1352754346E10)</f>
        <v>81352754346</v>
      </c>
      <c r="E187" s="457">
        <f>IFERROR(__xludf.DUMMYFUNCTION("""COMPUTED_VALUE"""),0.0)</f>
        <v>0</v>
      </c>
      <c r="F187" s="270">
        <f>IFERROR(__xludf.DUMMYFUNCTION("""COMPUTED_VALUE"""),3.0)</f>
        <v>3</v>
      </c>
      <c r="G187" s="17" t="str">
        <f>IFERROR(__xludf.DUMMYFUNCTION("""COMPUTED_VALUE"""),"Sabun batang 1 Box ( 2 PCS )")</f>
        <v>Sabun batang 1 Box ( 2 PCS )</v>
      </c>
      <c r="H187" s="463" t="str">
        <f>IFERROR(__xludf.DUMMYFUNCTION("""COMPUTED_VALUE"""),"Sampai")</f>
        <v>Sampai</v>
      </c>
      <c r="I187" s="464" t="str">
        <f>IFERROR(__xludf.DUMMYFUNCTION("""COMPUTED_VALUE"""),"KIMME")</f>
        <v>KIMME</v>
      </c>
      <c r="J187" s="279" t="str">
        <f>IFERROR(__xludf.DUMMYFUNCTION("""COMPUTED_VALUE"""),"https://vt.tiktok.com/ZSmghr4Ak/")</f>
        <v>https://vt.tiktok.com/ZSmghr4Ak/</v>
      </c>
      <c r="K187" s="464" t="str">
        <f>IFERROR(__xludf.DUMMYFUNCTION("""COMPUTED_VALUE"""),"KIMME")</f>
        <v>KIMME</v>
      </c>
      <c r="L187" s="279" t="str">
        <f>IFERROR(__xludf.DUMMYFUNCTION("""COMPUTED_VALUE"""),"https://vt.tiktok.com/ZSH2boYR2/")</f>
        <v>https://vt.tiktok.com/ZSH2boYR2/</v>
      </c>
      <c r="M187" s="464"/>
      <c r="N187" s="279" t="str">
        <f>IFERROR(__xludf.DUMMYFUNCTION("""COMPUTED_VALUE"""),"https://www.tiktok.com/@nurnnyas/video/7629351795285921044?_r=1&amp;u_code=dg3fmh8bmii19a&amp;region=&amp;mid=7629351843247704850&amp;preview_pb=0&amp;sharer_language=&amp;_d=0&amp;ec_shared_reflux_dynamic_params=%7B%22placeholder_material_id%22%3A%227629351795285921044%22%2C%22plac"&amp;"eholder_origin_cover%22%3A%22https%253A%252F%252Fp16-sign-sg.tiktokcdn.com%252Ftos-alisg-p-0037%252Fo45CPABeM5vAxiIW02uhmAqCwIHgAtKIwJ6DiT~tplv-tiktokx-origin.jpeg%253Fdr%253D14572%2526refresh_token%253D619cf5d2%2526x-expires%253D1808208000%2526x-signatur"&amp;"e%253D7OGbx9OMNLhulDiW9ehw4YVKeag%25253D%2526t%253D4d5b0474%2526ps%253D13740610%2526shp%253Dd05b14bd%2526shcp%253D34ff8df6%2526idc%253Dmy3%2526s%253DTIKTOK_AFFILIATE_VIRAL_VIDEO%22%2C%22placeholder_product_id%22%3A%221729729730555512511%22%2C%22placeholde"&amp;"r_video_id%22%3A%227629351795285921044%22%7D&amp;ec_shared_reflux_scene=shop_tab_feed&amp;share_item_id=7629351795285921044&amp;source=h5_t")</f>
        <v>https://www.tiktok.com/@nurnnyas/video/7629351795285921044?_r=1&amp;u_code=dg3fmh8bmii19a&amp;region=&amp;mid=7629351843247704850&amp;preview_pb=0&amp;sharer_language=&amp;_d=0&amp;ec_shared_reflux_dynamic_params=%7B%22placeholder_material_id%22%3A%227629351795285921044%22%2C%22placeholder_origin_cover%22%3A%22https%253A%252F%252Fp16-sign-sg.tiktokcdn.com%252Ftos-alisg-p-0037%252Fo45CPABeM5vAxiIW02uhmAqCwIHgAtKIwJ6DiT~tplv-tiktokx-origin.jpeg%253Fdr%253D14572%2526refresh_token%253D619cf5d2%2526x-expires%253D1808208000%2526x-signature%253D7OGbx9OMNLhulDiW9ehw4YVKeag%25253D%2526t%253D4d5b0474%2526ps%253D13740610%2526shp%253Dd05b14bd%2526shcp%253D34ff8df6%2526idc%253Dmy3%2526s%253DTIKTOK_AFFILIATE_VIRAL_VIDEO%22%2C%22placeholder_product_id%22%3A%221729729730555512511%22%2C%22placeholder_video_id%22%3A%227629351795285921044%22%7D&amp;ec_shared_reflux_scene=shop_tab_feed&amp;share_item_id=7629351795285921044&amp;source=h5_t</v>
      </c>
      <c r="O187" s="464"/>
      <c r="P187" s="17"/>
    </row>
    <row r="188">
      <c r="A188" s="255" t="str">
        <f>IFERROR(__xludf.DUMMYFUNCTION("""COMPUTED_VALUE"""),"MICRO")</f>
        <v>MICRO</v>
      </c>
      <c r="B188" s="361" t="str">
        <f>IFERROR(__xludf.DUMMYFUNCTION("""COMPUTED_VALUE"""),"tarryochiii")</f>
        <v>tarryochiii</v>
      </c>
      <c r="C188" s="257" t="str">
        <f>IFERROR(__xludf.DUMMYFUNCTION("""COMPUTED_VALUE"""),"https://www.tiktok.com/@tarryochiii")</f>
        <v>https://www.tiktok.com/@tarryochiii</v>
      </c>
      <c r="D188" s="270">
        <f>IFERROR(__xludf.DUMMYFUNCTION("""COMPUTED_VALUE"""),8.2238157165E10)</f>
        <v>82238157165</v>
      </c>
      <c r="E188" s="457">
        <f>IFERROR(__xludf.DUMMYFUNCTION("""COMPUTED_VALUE"""),0.0)</f>
        <v>0</v>
      </c>
      <c r="F188" s="270">
        <f>IFERROR(__xludf.DUMMYFUNCTION("""COMPUTED_VALUE"""),4.0)</f>
        <v>4</v>
      </c>
      <c r="G188" s="17" t="str">
        <f>IFERROR(__xludf.DUMMYFUNCTION("""COMPUTED_VALUE"""),"Sabun batang 1 Box ( 2 PCS )")</f>
        <v>Sabun batang 1 Box ( 2 PCS )</v>
      </c>
      <c r="H188" s="463" t="str">
        <f>IFERROR(__xludf.DUMMYFUNCTION("""COMPUTED_VALUE"""),"Sampai")</f>
        <v>Sampai</v>
      </c>
      <c r="I188" s="464" t="str">
        <f>IFERROR(__xludf.DUMMYFUNCTION("""COMPUTED_VALUE"""),"KIMME")</f>
        <v>KIMME</v>
      </c>
      <c r="J188" s="279" t="str">
        <f>IFERROR(__xludf.DUMMYFUNCTION("""COMPUTED_VALUE"""),"https://www.tiktok.com/@fitrifitt_/video/7614917512139918613?is_from_webapp=1&amp;sender_device=pc")</f>
        <v>https://www.tiktok.com/@fitrifitt_/video/7614917512139918613?is_from_webapp=1&amp;sender_device=pc</v>
      </c>
      <c r="K188" s="464" t="str">
        <f>IFERROR(__xludf.DUMMYFUNCTION("""COMPUTED_VALUE"""),"KIMME")</f>
        <v>KIMME</v>
      </c>
      <c r="L188" s="279" t="str">
        <f>IFERROR(__xludf.DUMMYFUNCTION("""COMPUTED_VALUE"""),"https://www.tiktok.com/@mayang_skincare/video/7609610260696976647?is_from_webapp=1&amp;sender_device=pc")</f>
        <v>https://www.tiktok.com/@mayang_skincare/video/7609610260696976647?is_from_webapp=1&amp;sender_device=pc</v>
      </c>
      <c r="M188" s="464" t="str">
        <f>IFERROR(__xludf.DUMMYFUNCTION("""COMPUTED_VALUE"""),"KIMME")</f>
        <v>KIMME</v>
      </c>
      <c r="N188" s="279" t="str">
        <f>IFERROR(__xludf.DUMMYFUNCTION("""COMPUTED_VALUE"""),"https://www.tiktok.com/@glowyng_barengyuk/video/7611347015884115221?is_from_webapp=1&amp;sender_device=pc")</f>
        <v>https://www.tiktok.com/@glowyng_barengyuk/video/7611347015884115221?is_from_webapp=1&amp;sender_device=pc</v>
      </c>
      <c r="O188" s="464" t="str">
        <f>IFERROR(__xludf.DUMMYFUNCTION("""COMPUTED_VALUE"""),"KIMME")</f>
        <v>KIMME</v>
      </c>
      <c r="P188" s="279" t="str">
        <f>IFERROR(__xludf.DUMMYFUNCTION("""COMPUTED_VALUE"""),"https://www.tiktok.com/@glowyng_barengyuk/video/7612113439506337045?is_from_webapp=1&amp;sender_device=pc")</f>
        <v>https://www.tiktok.com/@glowyng_barengyuk/video/7612113439506337045?is_from_webapp=1&amp;sender_device=pc</v>
      </c>
    </row>
    <row r="189">
      <c r="A189" s="255" t="str">
        <f>IFERROR(__xludf.DUMMYFUNCTION("""COMPUTED_VALUE"""),"MICRO")</f>
        <v>MICRO</v>
      </c>
      <c r="B189" s="361" t="str">
        <f>IFERROR(__xludf.DUMMYFUNCTION("""COMPUTED_VALUE"""),"itskhilda")</f>
        <v>itskhilda</v>
      </c>
      <c r="C189" s="257" t="str">
        <f>IFERROR(__xludf.DUMMYFUNCTION("""COMPUTED_VALUE"""),"https://www.tiktok.com/@itskhilda")</f>
        <v>https://www.tiktok.com/@itskhilda</v>
      </c>
      <c r="D189" s="270">
        <f>IFERROR(__xludf.DUMMYFUNCTION("""COMPUTED_VALUE"""),8.1779672061E10)</f>
        <v>81779672061</v>
      </c>
      <c r="E189" s="457">
        <f>IFERROR(__xludf.DUMMYFUNCTION("""COMPUTED_VALUE"""),80000.0)</f>
        <v>80000</v>
      </c>
      <c r="F189" s="270">
        <f>IFERROR(__xludf.DUMMYFUNCTION("""COMPUTED_VALUE"""),1.0)</f>
        <v>1</v>
      </c>
      <c r="G189" s="17" t="str">
        <f>IFERROR(__xludf.DUMMYFUNCTION("""COMPUTED_VALUE"""),"Sabun batang 1 Box ( 2 PCS )")</f>
        <v>Sabun batang 1 Box ( 2 PCS )</v>
      </c>
      <c r="H189" s="463" t="str">
        <f>IFERROR(__xludf.DUMMYFUNCTION("""COMPUTED_VALUE"""),"Sampai")</f>
        <v>Sampai</v>
      </c>
      <c r="I189" s="464" t="str">
        <f>IFERROR(__xludf.DUMMYFUNCTION("""COMPUTED_VALUE"""),"KIMME")</f>
        <v>KIMME</v>
      </c>
      <c r="J189" s="279" t="str">
        <f>IFERROR(__xludf.DUMMYFUNCTION("""COMPUTED_VALUE"""),"https://vt.tiktok.com/ZSmBUpRvR/")</f>
        <v>https://vt.tiktok.com/ZSmBUpRvR/</v>
      </c>
      <c r="K189" s="464" t="str">
        <f>IFERROR(__xludf.DUMMYFUNCTION("""COMPUTED_VALUE"""),"KIMME")</f>
        <v>KIMME</v>
      </c>
      <c r="L189" s="279" t="str">
        <f>IFERROR(__xludf.DUMMYFUNCTION("""COMPUTED_VALUE"""),"https://vt.tiktok.com/ZS94onXau/")</f>
        <v>https://vt.tiktok.com/ZS94onXau/</v>
      </c>
      <c r="M189" s="464"/>
      <c r="N189" s="17" t="str">
        <f>IFERROR(__xludf.DUMMYFUNCTION("""COMPUTED_VALUE"""),"⁠https://vt.tiktok.com/ZS94outJa/")</f>
        <v>⁠https://vt.tiktok.com/ZS94outJa/</v>
      </c>
      <c r="O189" s="464"/>
      <c r="P189" s="17" t="str">
        <f>IFERROR(__xludf.DUMMYFUNCTION("""COMPUTED_VALUE"""),"⁠https://vt.tiktok.com/ZS94oxsEt/")</f>
        <v>⁠https://vt.tiktok.com/ZS94oxsEt/</v>
      </c>
    </row>
    <row r="190">
      <c r="A190" s="255" t="str">
        <f>IFERROR(__xludf.DUMMYFUNCTION("""COMPUTED_VALUE"""),"MICRO")</f>
        <v>MICRO</v>
      </c>
      <c r="B190" s="361" t="str">
        <f>IFERROR(__xludf.DUMMYFUNCTION("""COMPUTED_VALUE"""),"vanila169")</f>
        <v>vanila169</v>
      </c>
      <c r="C190" s="257" t="str">
        <f>IFERROR(__xludf.DUMMYFUNCTION("""COMPUTED_VALUE"""),"https://www.tiktok.com/@vanila169")</f>
        <v>https://www.tiktok.com/@vanila169</v>
      </c>
      <c r="D190" s="270">
        <f>IFERROR(__xludf.DUMMYFUNCTION("""COMPUTED_VALUE"""),8.81012679783E11)</f>
        <v>881012679783</v>
      </c>
      <c r="E190" s="457">
        <f>IFERROR(__xludf.DUMMYFUNCTION("""COMPUTED_VALUE"""),0.0)</f>
        <v>0</v>
      </c>
      <c r="F190" s="270">
        <f>IFERROR(__xludf.DUMMYFUNCTION("""COMPUTED_VALUE"""),4.0)</f>
        <v>4</v>
      </c>
      <c r="G190" s="17" t="str">
        <f>IFERROR(__xludf.DUMMYFUNCTION("""COMPUTED_VALUE"""),"Sabun batang 1 Box ( 2 PCS )")</f>
        <v>Sabun batang 1 Box ( 2 PCS )</v>
      </c>
      <c r="H190" s="463" t="str">
        <f>IFERROR(__xludf.DUMMYFUNCTION("""COMPUTED_VALUE"""),"Sampai")</f>
        <v>Sampai</v>
      </c>
      <c r="I190" s="464" t="str">
        <f>IFERROR(__xludf.DUMMYFUNCTION("""COMPUTED_VALUE"""),"KIMME")</f>
        <v>KIMME</v>
      </c>
      <c r="J190" s="279" t="str">
        <f>IFERROR(__xludf.DUMMYFUNCTION("""COMPUTED_VALUE"""),"https://www.tiktok.com/@vanila169/video/7621088508559527175?_r=1&amp;u_code=ddg027jm603079&amp;region=&amp;mid=7577401479309314833&amp;preview_pb=0&amp;sharer_language=&amp;_d=0&amp;ec_shared_reflux_dynamic_params=%7B%22placeholder_material_id%22%3A%227621088508559527175%22%2C%22pla"&amp;"ceholder_origin_cover%22%3A%22https%253A%252F%252Fp16-sign-sg.tiktokcdn.com%252Ftos-alisg-p-0037%252FogyT2eXfNA8IBjsXAQLUhF4G1e0883xIDICGHQ~tplv-tiktokx-origin.jpeg%253Fdr%253D14572%2526refresh_token%253Dc928b56a%2526x-expires%253D1806055200%2526x-signatu"&amp;"re%253DKwtz4AK2aAmyc98vZoEjDRceIkU%25253D%2526t%253D4d5b0474%2526ps%253D13740610%2526shp%253Dd05b14bd%2526shcp%253D34ff8df6%2526idc%253Dmy2%2526s%253DTIKTOK_AFFILIATE_VIRAL_VIDEO%22%2C%22placeholder_product_id%22%3A%221729427766722726591%22%2C%22placehold"&amp;"er_video_id%22%3A%227621088508559527175%22%7D&amp;ec_shared_reflux_scene=shop_tab_feed&amp;share_item_id=7621088508559527175&amp;source=h5_t")</f>
        <v>https://www.tiktok.com/@vanila169/video/7621088508559527175?_r=1&amp;u_code=ddg027jm603079&amp;region=&amp;mid=7577401479309314833&amp;preview_pb=0&amp;sharer_language=&amp;_d=0&amp;ec_shared_reflux_dynamic_params=%7B%22placeholder_material_id%22%3A%227621088508559527175%22%2C%22placeholder_origin_cover%22%3A%22https%253A%252F%252Fp16-sign-sg.tiktokcdn.com%252Ftos-alisg-p-0037%252FogyT2eXfNA8IBjsXAQLUhF4G1e0883xIDICGHQ~tplv-tiktokx-origin.jpeg%253Fdr%253D14572%2526refresh_token%253Dc928b56a%2526x-expires%253D1806055200%2526x-signature%253DKwtz4AK2aAmyc98vZoEjDRceIkU%25253D%2526t%253D4d5b0474%2526ps%253D13740610%2526shp%253Dd05b14bd%2526shcp%253D34ff8df6%2526idc%253Dmy2%2526s%253DTIKTOK_AFFILIATE_VIRAL_VIDEO%22%2C%22placeholder_product_id%22%3A%221729427766722726591%22%2C%22placeholder_video_id%22%3A%227621088508559527175%22%7D&amp;ec_shared_reflux_scene=shop_tab_feed&amp;share_item_id=7621088508559527175&amp;source=h5_t</v>
      </c>
      <c r="K190" s="464" t="str">
        <f>IFERROR(__xludf.DUMMYFUNCTION("""COMPUTED_VALUE"""),"KIMME")</f>
        <v>KIMME</v>
      </c>
      <c r="L190" s="279" t="str">
        <f>IFERROR(__xludf.DUMMYFUNCTION("""COMPUTED_VALUE"""),"https://vt.tiktok.com/ZSuwtYb1x/")</f>
        <v>https://vt.tiktok.com/ZSuwtYb1x/</v>
      </c>
      <c r="M190" s="464" t="str">
        <f>IFERROR(__xludf.DUMMYFUNCTION("""COMPUTED_VALUE"""),"KIMME")</f>
        <v>KIMME</v>
      </c>
      <c r="N190" s="279" t="str">
        <f>IFERROR(__xludf.DUMMYFUNCTION("""COMPUTED_VALUE"""),"https://vt.tiktok.com/ZSHp6s9NN/")</f>
        <v>https://vt.tiktok.com/ZSHp6s9NN/</v>
      </c>
      <c r="O190" s="464" t="str">
        <f>IFERROR(__xludf.DUMMYFUNCTION("""COMPUTED_VALUE"""),"KIMME")</f>
        <v>KIMME</v>
      </c>
      <c r="P190" s="279" t="str">
        <f>IFERROR(__xludf.DUMMYFUNCTION("""COMPUTED_VALUE"""),"https://vt.tiktok.com/ZSHp646q6/")</f>
        <v>https://vt.tiktok.com/ZSHp646q6/</v>
      </c>
    </row>
    <row r="191">
      <c r="A191" s="255" t="str">
        <f>IFERROR(__xludf.DUMMYFUNCTION("""COMPUTED_VALUE"""),"MICRO")</f>
        <v>MICRO</v>
      </c>
      <c r="B191" s="361" t="str">
        <f>IFERROR(__xludf.DUMMYFUNCTION("""COMPUTED_VALUE"""),"tarigumala3")</f>
        <v>tarigumala3</v>
      </c>
      <c r="C191" s="257" t="str">
        <f>IFERROR(__xludf.DUMMYFUNCTION("""COMPUTED_VALUE"""),"https://www.tiktok.com/@tarigumala3")</f>
        <v>https://www.tiktok.com/@tarigumala3</v>
      </c>
      <c r="D191" s="270">
        <f>IFERROR(__xludf.DUMMYFUNCTION("""COMPUTED_VALUE"""),8.951634439E10)</f>
        <v>89516344390</v>
      </c>
      <c r="E191" s="457">
        <f>IFERROR(__xludf.DUMMYFUNCTION("""COMPUTED_VALUE"""),700000.0)</f>
        <v>700000</v>
      </c>
      <c r="F191" s="270">
        <f>IFERROR(__xludf.DUMMYFUNCTION("""COMPUTED_VALUE"""),4.0)</f>
        <v>4</v>
      </c>
      <c r="G191" s="17" t="str">
        <f>IFERROR(__xludf.DUMMYFUNCTION("""COMPUTED_VALUE"""),"Sabun batang 1 Box ( 2 PCS )")</f>
        <v>Sabun batang 1 Box ( 2 PCS )</v>
      </c>
      <c r="H191" s="463" t="str">
        <f>IFERROR(__xludf.DUMMYFUNCTION("""COMPUTED_VALUE"""),"Sampai")</f>
        <v>Sampai</v>
      </c>
      <c r="I191" s="464" t="str">
        <f>IFERROR(__xludf.DUMMYFUNCTION("""COMPUTED_VALUE"""),"KIMME")</f>
        <v>KIMME</v>
      </c>
      <c r="J191" s="279" t="str">
        <f>IFERROR(__xludf.DUMMYFUNCTION("""COMPUTED_VALUE"""),"https://vt.tiktok.com/ZSuBDCd4x/")</f>
        <v>https://vt.tiktok.com/ZSuBDCd4x/</v>
      </c>
      <c r="K191" s="464" t="str">
        <f>IFERROR(__xludf.DUMMYFUNCTION("""COMPUTED_VALUE"""),"KIMME")</f>
        <v>KIMME</v>
      </c>
      <c r="L191" s="279" t="str">
        <f>IFERROR(__xludf.DUMMYFUNCTION("""COMPUTED_VALUE"""),"https://vt.tiktok.com/ZSuBkSPSf/")</f>
        <v>https://vt.tiktok.com/ZSuBkSPSf/</v>
      </c>
      <c r="M191" s="464" t="str">
        <f>IFERROR(__xludf.DUMMYFUNCTION("""COMPUTED_VALUE"""),"KIMME")</f>
        <v>KIMME</v>
      </c>
      <c r="N191" s="279" t="str">
        <f>IFERROR(__xludf.DUMMYFUNCTION("""COMPUTED_VALUE"""),"https://vt.tiktok.com/ZSHPeHBEN/")</f>
        <v>https://vt.tiktok.com/ZSHPeHBEN/</v>
      </c>
      <c r="O191" s="464" t="str">
        <f>IFERROR(__xludf.DUMMYFUNCTION("""COMPUTED_VALUE"""),"KIMME")</f>
        <v>KIMME</v>
      </c>
      <c r="P191" s="279" t="str">
        <f>IFERROR(__xludf.DUMMYFUNCTION("""COMPUTED_VALUE"""),"https://www.tiktok.com/@tarigumala3/video/7611099211995598100")</f>
        <v>https://www.tiktok.com/@tarigumala3/video/7611099211995598100</v>
      </c>
    </row>
    <row r="192">
      <c r="A192" s="255" t="str">
        <f>IFERROR(__xludf.DUMMYFUNCTION("""COMPUTED_VALUE"""),"MICRO")</f>
        <v>MICRO</v>
      </c>
      <c r="B192" s="361" t="str">
        <f>IFERROR(__xludf.DUMMYFUNCTION("""COMPUTED_VALUE"""),"mimianindya")</f>
        <v>mimianindya</v>
      </c>
      <c r="C192" s="257" t="str">
        <f>IFERROR(__xludf.DUMMYFUNCTION("""COMPUTED_VALUE"""),"https://www.tiktok.com/@mimianindya")</f>
        <v>https://www.tiktok.com/@mimianindya</v>
      </c>
      <c r="D192" s="270">
        <f>IFERROR(__xludf.DUMMYFUNCTION("""COMPUTED_VALUE"""),8.2176472959E10)</f>
        <v>82176472959</v>
      </c>
      <c r="E192" s="457">
        <f>IFERROR(__xludf.DUMMYFUNCTION("""COMPUTED_VALUE"""),0.0)</f>
        <v>0</v>
      </c>
      <c r="F192" s="270">
        <f>IFERROR(__xludf.DUMMYFUNCTION("""COMPUTED_VALUE"""),4.0)</f>
        <v>4</v>
      </c>
      <c r="G192" s="17" t="str">
        <f>IFERROR(__xludf.DUMMYFUNCTION("""COMPUTED_VALUE"""),"Sabun batang 1 Box ( 2 PCS )")</f>
        <v>Sabun batang 1 Box ( 2 PCS )</v>
      </c>
      <c r="H192" s="463" t="str">
        <f>IFERROR(__xludf.DUMMYFUNCTION("""COMPUTED_VALUE"""),"Sampai")</f>
        <v>Sampai</v>
      </c>
      <c r="I192" s="464" t="str">
        <f>IFERROR(__xludf.DUMMYFUNCTION("""COMPUTED_VALUE"""),"KIMME")</f>
        <v>KIMME</v>
      </c>
      <c r="J192" s="279" t="str">
        <f>IFERROR(__xludf.DUMMYFUNCTION("""COMPUTED_VALUE"""),"https://www.tiktok.com/@mimianindya/video/7609688065992428821?is_from_webapp=1&amp;sender_device=pc")</f>
        <v>https://www.tiktok.com/@mimianindya/video/7609688065992428821?is_from_webapp=1&amp;sender_device=pc</v>
      </c>
      <c r="K192" s="464" t="str">
        <f>IFERROR(__xludf.DUMMYFUNCTION("""COMPUTED_VALUE"""),"KIMME")</f>
        <v>KIMME</v>
      </c>
      <c r="L192" s="279" t="str">
        <f>IFERROR(__xludf.DUMMYFUNCTION("""COMPUTED_VALUE"""),"https://www.tiktok.com/@mimianindya/video/7609928473750146324?is_from_webapp=1&amp;sender_device=pc")</f>
        <v>https://www.tiktok.com/@mimianindya/video/7609928473750146324?is_from_webapp=1&amp;sender_device=pc</v>
      </c>
      <c r="M192" s="464" t="str">
        <f>IFERROR(__xludf.DUMMYFUNCTION("""COMPUTED_VALUE"""),"KIMME")</f>
        <v>KIMME</v>
      </c>
      <c r="N192" s="279" t="str">
        <f>IFERROR(__xludf.DUMMYFUNCTION("""COMPUTED_VALUE"""),"https://www.tiktok.com/@mimianindya/video/7610117407008410901?is_from_webapp=1&amp;sender_device=pc")</f>
        <v>https://www.tiktok.com/@mimianindya/video/7610117407008410901?is_from_webapp=1&amp;sender_device=pc</v>
      </c>
      <c r="O192" s="464" t="str">
        <f>IFERROR(__xludf.DUMMYFUNCTION("""COMPUTED_VALUE"""),"KIMME")</f>
        <v>KIMME</v>
      </c>
      <c r="P192" s="279" t="str">
        <f>IFERROR(__xludf.DUMMYFUNCTION("""COMPUTED_VALUE"""),"https://www.tiktok.com/@mimianindya/video/7610272688984165652?is_from_webapp=1&amp;sender_device=pc")</f>
        <v>https://www.tiktok.com/@mimianindya/video/7610272688984165652?is_from_webapp=1&amp;sender_device=pc</v>
      </c>
    </row>
    <row r="193">
      <c r="A193" s="255" t="str">
        <f>IFERROR(__xludf.DUMMYFUNCTION("""COMPUTED_VALUE"""),"MICRO")</f>
        <v>MICRO</v>
      </c>
      <c r="B193" s="361" t="str">
        <f>IFERROR(__xludf.DUMMYFUNCTION("""COMPUTED_VALUE"""),"nhai1612")</f>
        <v>nhai1612</v>
      </c>
      <c r="C193" s="257" t="str">
        <f>IFERROR(__xludf.DUMMYFUNCTION("""COMPUTED_VALUE"""),"https://www.tiktok.com/@nhai1612")</f>
        <v>https://www.tiktok.com/@nhai1612</v>
      </c>
      <c r="D193" s="270">
        <f>IFERROR(__xludf.DUMMYFUNCTION("""COMPUTED_VALUE"""),8.1572879564E10)</f>
        <v>81572879564</v>
      </c>
      <c r="E193" s="457">
        <f>IFERROR(__xludf.DUMMYFUNCTION("""COMPUTED_VALUE"""),0.0)</f>
        <v>0</v>
      </c>
      <c r="F193" s="270">
        <f>IFERROR(__xludf.DUMMYFUNCTION("""COMPUTED_VALUE"""),1.0)</f>
        <v>1</v>
      </c>
      <c r="G193" s="17" t="str">
        <f>IFERROR(__xludf.DUMMYFUNCTION("""COMPUTED_VALUE"""),"Sabun batang 1 Box ( 2 PCS )")</f>
        <v>Sabun batang 1 Box ( 2 PCS )</v>
      </c>
      <c r="H193" s="463" t="str">
        <f>IFERROR(__xludf.DUMMYFUNCTION("""COMPUTED_VALUE"""),"Sampai")</f>
        <v>Sampai</v>
      </c>
      <c r="I193" s="464" t="str">
        <f>IFERROR(__xludf.DUMMYFUNCTION("""COMPUTED_VALUE"""),"KIMME")</f>
        <v>KIMME</v>
      </c>
      <c r="J193" s="279" t="str">
        <f>IFERROR(__xludf.DUMMYFUNCTION("""COMPUTED_VALUE"""),"https://vt.tiktok.com/ZSmgFHxC1/")</f>
        <v>https://vt.tiktok.com/ZSmgFHxC1/</v>
      </c>
      <c r="K193" s="464" t="str">
        <f>IFERROR(__xludf.DUMMYFUNCTION("""COMPUTED_VALUE"""),"KIMME")</f>
        <v>KIMME</v>
      </c>
      <c r="L193" s="17" t="str">
        <f>IFERROR(__xludf.DUMMYFUNCTION("""COMPUTED_VALUE"""),"⁠https://vt.tiktok.com/ZS94oVkAw/")</f>
        <v>⁠https://vt.tiktok.com/ZS94oVkAw/</v>
      </c>
      <c r="M193" s="464"/>
      <c r="N193" s="17" t="str">
        <f>IFERROR(__xludf.DUMMYFUNCTION("""COMPUTED_VALUE"""),"⁠https://vt.tiktok.com/ZS94omc5c/")</f>
        <v>⁠https://vt.tiktok.com/ZS94omc5c/</v>
      </c>
      <c r="O193" s="464"/>
      <c r="P193" s="17" t="str">
        <f>IFERROR(__xludf.DUMMYFUNCTION("""COMPUTED_VALUE"""),"⁠https://vt.tiktok.com/ZS94o9QYd/")</f>
        <v>⁠https://vt.tiktok.com/ZS94o9QYd/</v>
      </c>
    </row>
    <row r="194">
      <c r="A194" s="255" t="str">
        <f>IFERROR(__xludf.DUMMYFUNCTION("""COMPUTED_VALUE"""),"MICRO")</f>
        <v>MICRO</v>
      </c>
      <c r="B194" s="361" t="str">
        <f>IFERROR(__xludf.DUMMYFUNCTION("""COMPUTED_VALUE"""),"ttarisna")</f>
        <v>ttarisna</v>
      </c>
      <c r="C194" s="257" t="str">
        <f>IFERROR(__xludf.DUMMYFUNCTION("""COMPUTED_VALUE"""),"https://www.tiktok.com/@ttarisna")</f>
        <v>https://www.tiktok.com/@ttarisna</v>
      </c>
      <c r="D194" s="270">
        <f>IFERROR(__xludf.DUMMYFUNCTION("""COMPUTED_VALUE"""),8.310641581E10)</f>
        <v>83106415810</v>
      </c>
      <c r="E194" s="457">
        <f>IFERROR(__xludf.DUMMYFUNCTION("""COMPUTED_VALUE"""),0.0)</f>
        <v>0</v>
      </c>
      <c r="F194" s="270">
        <f>IFERROR(__xludf.DUMMYFUNCTION("""COMPUTED_VALUE"""),2.0)</f>
        <v>2</v>
      </c>
      <c r="G194" s="17" t="str">
        <f>IFERROR(__xludf.DUMMYFUNCTION("""COMPUTED_VALUE"""),"Sabun batang 1 Box ( 2 PCS )")</f>
        <v>Sabun batang 1 Box ( 2 PCS )</v>
      </c>
      <c r="H194" s="463" t="str">
        <f>IFERROR(__xludf.DUMMYFUNCTION("""COMPUTED_VALUE"""),"Sampai")</f>
        <v>Sampai</v>
      </c>
      <c r="I194" s="464" t="str">
        <f>IFERROR(__xludf.DUMMYFUNCTION("""COMPUTED_VALUE"""),"KIMME")</f>
        <v>KIMME</v>
      </c>
      <c r="J194" s="279" t="str">
        <f>IFERROR(__xludf.DUMMYFUNCTION("""COMPUTED_VALUE"""),"https://vt.tiktok.com/ZSmg14JVk/")</f>
        <v>https://vt.tiktok.com/ZSmg14JVk/</v>
      </c>
      <c r="K194" s="464" t="str">
        <f>IFERROR(__xludf.DUMMYFUNCTION("""COMPUTED_VALUE"""),"KIMME")</f>
        <v>KIMME</v>
      </c>
      <c r="L194" s="279" t="str">
        <f>IFERROR(__xludf.DUMMYFUNCTION("""COMPUTED_VALUE"""),"https://vt.tiktok.com/ZSuerSr5T/")</f>
        <v>https://vt.tiktok.com/ZSuerSr5T/</v>
      </c>
      <c r="M194" s="464"/>
      <c r="N194" s="17" t="str">
        <f>IFERROR(__xludf.DUMMYFUNCTION("""COMPUTED_VALUE"""),"⁠https://vt.tiktok.com/ZS94oC6Kj/")</f>
        <v>⁠https://vt.tiktok.com/ZS94oC6Kj/</v>
      </c>
      <c r="O194" s="464"/>
      <c r="P194" s="17" t="str">
        <f>IFERROR(__xludf.DUMMYFUNCTION("""COMPUTED_VALUE"""),"⁠https://vt.tiktok.com/ZS94ocqs9/")</f>
        <v>⁠https://vt.tiktok.com/ZS94ocqs9/</v>
      </c>
    </row>
    <row r="195">
      <c r="A195" s="255" t="str">
        <f>IFERROR(__xludf.DUMMYFUNCTION("""COMPUTED_VALUE"""),"MICRO")</f>
        <v>MICRO</v>
      </c>
      <c r="B195" s="361" t="str">
        <f>IFERROR(__xludf.DUMMYFUNCTION("""COMPUTED_VALUE"""),"glowyng_barengyuk
")</f>
        <v>glowyng_barengyuk
</v>
      </c>
      <c r="C195" s="257" t="str">
        <f>IFERROR(__xludf.DUMMYFUNCTION("""COMPUTED_VALUE"""),"https://www.tiktok.com/@glowyng_barengyuk
")</f>
        <v>https://www.tiktok.com/@glowyng_barengyuk
</v>
      </c>
      <c r="D195" s="270">
        <f>IFERROR(__xludf.DUMMYFUNCTION("""COMPUTED_VALUE"""),8.5246077998E10)</f>
        <v>85246077998</v>
      </c>
      <c r="E195" s="457">
        <f>IFERROR(__xludf.DUMMYFUNCTION("""COMPUTED_VALUE"""),0.0)</f>
        <v>0</v>
      </c>
      <c r="F195" s="270">
        <f>IFERROR(__xludf.DUMMYFUNCTION("""COMPUTED_VALUE"""),1.0)</f>
        <v>1</v>
      </c>
      <c r="G195" s="17" t="str">
        <f>IFERROR(__xludf.DUMMYFUNCTION("""COMPUTED_VALUE"""),"Sabun batang 1 Box ( 2 PCS )")</f>
        <v>Sabun batang 1 Box ( 2 PCS )</v>
      </c>
      <c r="H195" s="463" t="str">
        <f>IFERROR(__xludf.DUMMYFUNCTION("""COMPUTED_VALUE"""),"Sampai")</f>
        <v>Sampai</v>
      </c>
      <c r="I195" s="464" t="str">
        <f>IFERROR(__xludf.DUMMYFUNCTION("""COMPUTED_VALUE"""),"KIMME")</f>
        <v>KIMME</v>
      </c>
      <c r="J195" s="279" t="str">
        <f>IFERROR(__xludf.DUMMYFUNCTION("""COMPUTED_VALUE"""),"https://vt.tiktok.com/ZSmDXfKgP/")</f>
        <v>https://vt.tiktok.com/ZSmDXfKgP/</v>
      </c>
      <c r="K195" s="464" t="str">
        <f>IFERROR(__xludf.DUMMYFUNCTION("""COMPUTED_VALUE"""),"KIMME")</f>
        <v>KIMME</v>
      </c>
      <c r="L195" s="17" t="str">
        <f>IFERROR(__xludf.DUMMYFUNCTION("""COMPUTED_VALUE"""),"⁠https://vt.tiktok.com/ZS9VqWHoy/")</f>
        <v>⁠https://vt.tiktok.com/ZS9VqWHoy/</v>
      </c>
      <c r="M195" s="464"/>
      <c r="N195" s="17" t="str">
        <f>IFERROR(__xludf.DUMMYFUNCTION("""COMPUTED_VALUE"""),"⁠https://vt.tiktok.com/ZS9VqWMkp/")</f>
        <v>⁠https://vt.tiktok.com/ZS9VqWMkp/</v>
      </c>
      <c r="O195" s="464"/>
      <c r="P195" s="17" t="str">
        <f>IFERROR(__xludf.DUMMYFUNCTION("""COMPUTED_VALUE"""),"⁠https://vt.tiktok.com/ZS9V35ABk/")</f>
        <v>⁠https://vt.tiktok.com/ZS9V35ABk/</v>
      </c>
    </row>
    <row r="196">
      <c r="A196" s="255" t="str">
        <f>IFERROR(__xludf.DUMMYFUNCTION("""COMPUTED_VALUE"""),"MICRO")</f>
        <v>MICRO</v>
      </c>
      <c r="B196" s="361" t="str">
        <f>IFERROR(__xludf.DUMMYFUNCTION("""COMPUTED_VALUE"""),"olaak07")</f>
        <v>olaak07</v>
      </c>
      <c r="C196" s="257" t="str">
        <f>IFERROR(__xludf.DUMMYFUNCTION("""COMPUTED_VALUE"""),"https://www.tiktok.com/@olaak07")</f>
        <v>https://www.tiktok.com/@olaak07</v>
      </c>
      <c r="D196" s="270">
        <f>IFERROR(__xludf.DUMMYFUNCTION("""COMPUTED_VALUE"""),8.95335504667E11)</f>
        <v>895335504667</v>
      </c>
      <c r="E196" s="457">
        <f>IFERROR(__xludf.DUMMYFUNCTION("""COMPUTED_VALUE"""),0.0)</f>
        <v>0</v>
      </c>
      <c r="F196" s="270">
        <f>IFERROR(__xludf.DUMMYFUNCTION("""COMPUTED_VALUE"""),2.0)</f>
        <v>2</v>
      </c>
      <c r="G196" s="17" t="str">
        <f>IFERROR(__xludf.DUMMYFUNCTION("""COMPUTED_VALUE"""),"Sabun batang 1 Box ( 2 PCS )")</f>
        <v>Sabun batang 1 Box ( 2 PCS )</v>
      </c>
      <c r="H196" s="463" t="str">
        <f>IFERROR(__xludf.DUMMYFUNCTION("""COMPUTED_VALUE"""),"Sampai")</f>
        <v>Sampai</v>
      </c>
      <c r="I196" s="464" t="str">
        <f>IFERROR(__xludf.DUMMYFUNCTION("""COMPUTED_VALUE"""),"KIMME")</f>
        <v>KIMME</v>
      </c>
      <c r="J196" s="279" t="str">
        <f>IFERROR(__xludf.DUMMYFUNCTION("""COMPUTED_VALUE"""),"https://vt.tiktok.com/ZSHPdRqfY/")</f>
        <v>https://vt.tiktok.com/ZSHPdRqfY/</v>
      </c>
      <c r="K196" s="464" t="str">
        <f>IFERROR(__xludf.DUMMYFUNCTION("""COMPUTED_VALUE"""),"KIMME")</f>
        <v>KIMME</v>
      </c>
      <c r="L196" s="279" t="str">
        <f>IFERROR(__xludf.DUMMYFUNCTION("""COMPUTED_VALUE"""),"https://vt.tiktok.com/ZSHPR6B5A/")</f>
        <v>https://vt.tiktok.com/ZSHPR6B5A/</v>
      </c>
      <c r="M196" s="464"/>
      <c r="N196" s="279" t="str">
        <f>IFERROR(__xludf.DUMMYFUNCTION("""COMPUTED_VALUE"""),"https://vt.tiktok.com/ZS9V3WVpy/")</f>
        <v>https://vt.tiktok.com/ZS9V3WVpy/</v>
      </c>
      <c r="O196" s="464"/>
      <c r="P196" s="17" t="str">
        <f>IFERROR(__xludf.DUMMYFUNCTION("""COMPUTED_VALUE"""),"⁠https://vt.tiktok.com/ZS9V35g4o/")</f>
        <v>⁠https://vt.tiktok.com/ZS9V35g4o/</v>
      </c>
    </row>
    <row r="197">
      <c r="A197" s="255" t="str">
        <f>IFERROR(__xludf.DUMMYFUNCTION("""COMPUTED_VALUE"""),"MICRO")</f>
        <v>MICRO</v>
      </c>
      <c r="B197" s="361" t="str">
        <f>IFERROR(__xludf.DUMMYFUNCTION("""COMPUTED_VALUE"""),"mardi_yanti")</f>
        <v>mardi_yanti</v>
      </c>
      <c r="C197" s="257" t="str">
        <f>IFERROR(__xludf.DUMMYFUNCTION("""COMPUTED_VALUE"""),"https://www.tiktok.com/@mardi_yanti")</f>
        <v>https://www.tiktok.com/@mardi_yanti</v>
      </c>
      <c r="D197" s="270">
        <f>IFERROR(__xludf.DUMMYFUNCTION("""COMPUTED_VALUE"""),8.1375892721E10)</f>
        <v>81375892721</v>
      </c>
      <c r="E197" s="457">
        <f>IFERROR(__xludf.DUMMYFUNCTION("""COMPUTED_VALUE"""),0.0)</f>
        <v>0</v>
      </c>
      <c r="F197" s="270">
        <f>IFERROR(__xludf.DUMMYFUNCTION("""COMPUTED_VALUE"""),1.0)</f>
        <v>1</v>
      </c>
      <c r="G197" s="17" t="str">
        <f>IFERROR(__xludf.DUMMYFUNCTION("""COMPUTED_VALUE"""),"Sabun batang 1 Box ( 2 PCS )")</f>
        <v>Sabun batang 1 Box ( 2 PCS )</v>
      </c>
      <c r="H197" s="463" t="str">
        <f>IFERROR(__xludf.DUMMYFUNCTION("""COMPUTED_VALUE"""),"Sampai")</f>
        <v>Sampai</v>
      </c>
      <c r="I197" s="464" t="str">
        <f>IFERROR(__xludf.DUMMYFUNCTION("""COMPUTED_VALUE"""),"KIMME")</f>
        <v>KIMME</v>
      </c>
      <c r="J197" s="279" t="str">
        <f>IFERROR(__xludf.DUMMYFUNCTION("""COMPUTED_VALUE"""),"https://vt.tiktok.com/ZSHPRLxjq/")</f>
        <v>https://vt.tiktok.com/ZSHPRLxjq/</v>
      </c>
      <c r="K197" s="464" t="str">
        <f>IFERROR(__xludf.DUMMYFUNCTION("""COMPUTED_VALUE"""),"KIMME")</f>
        <v>KIMME</v>
      </c>
      <c r="L197" s="17" t="str">
        <f>IFERROR(__xludf.DUMMYFUNCTION("""COMPUTED_VALUE"""),"⁠https://vt.tiktok.com/ZS9V3cP7N/")</f>
        <v>⁠https://vt.tiktok.com/ZS9V3cP7N/</v>
      </c>
      <c r="M197" s="464"/>
      <c r="N197" s="17" t="str">
        <f>IFERROR(__xludf.DUMMYFUNCTION("""COMPUTED_VALUE"""),"⁠https://vt.tiktok.com/ZS9V3Xn7j/")</f>
        <v>⁠https://vt.tiktok.com/ZS9V3Xn7j/</v>
      </c>
      <c r="O197" s="464"/>
      <c r="P197" s="279" t="str">
        <f>IFERROR(__xludf.DUMMYFUNCTION("""COMPUTED_VALUE"""),"https://vt.tiktok.com/ZS9qeubA4/")</f>
        <v>https://vt.tiktok.com/ZS9qeubA4/</v>
      </c>
    </row>
    <row r="198">
      <c r="A198" s="255" t="str">
        <f>IFERROR(__xludf.DUMMYFUNCTION("""COMPUTED_VALUE"""),"MICRO")</f>
        <v>MICRO</v>
      </c>
      <c r="B198" s="361" t="str">
        <f>IFERROR(__xludf.DUMMYFUNCTION("""COMPUTED_VALUE"""),"skincarerivw_aarsyi")</f>
        <v>skincarerivw_aarsyi</v>
      </c>
      <c r="C198" s="257" t="str">
        <f>IFERROR(__xludf.DUMMYFUNCTION("""COMPUTED_VALUE"""),"https://www.tiktok.com/@skincarerivw_aarsyi")</f>
        <v>https://www.tiktok.com/@skincarerivw_aarsyi</v>
      </c>
      <c r="D198" s="270">
        <f>IFERROR(__xludf.DUMMYFUNCTION("""COMPUTED_VALUE"""),8.95337106756E11)</f>
        <v>895337106756</v>
      </c>
      <c r="E198" s="457">
        <f>IFERROR(__xludf.DUMMYFUNCTION("""COMPUTED_VALUE"""),0.0)</f>
        <v>0</v>
      </c>
      <c r="F198" s="270">
        <f>IFERROR(__xludf.DUMMYFUNCTION("""COMPUTED_VALUE"""),4.0)</f>
        <v>4</v>
      </c>
      <c r="G198" s="17" t="str">
        <f>IFERROR(__xludf.DUMMYFUNCTION("""COMPUTED_VALUE"""),"Sabun batang 1 Box ( 2 PCS )")</f>
        <v>Sabun batang 1 Box ( 2 PCS )</v>
      </c>
      <c r="H198" s="463" t="str">
        <f>IFERROR(__xludf.DUMMYFUNCTION("""COMPUTED_VALUE"""),"Sampai")</f>
        <v>Sampai</v>
      </c>
      <c r="I198" s="464" t="str">
        <f>IFERROR(__xludf.DUMMYFUNCTION("""COMPUTED_VALUE"""),"KIMME")</f>
        <v>KIMME</v>
      </c>
      <c r="J198" s="279" t="str">
        <f>IFERROR(__xludf.DUMMYFUNCTION("""COMPUTED_VALUE"""),"https://www.tiktok.com/@skincarerivw_aarsyi/video/7608830644210208007?is_from_webapp=1&amp;sender_device=pc")</f>
        <v>https://www.tiktok.com/@skincarerivw_aarsyi/video/7608830644210208007?is_from_webapp=1&amp;sender_device=pc</v>
      </c>
      <c r="K198" s="464" t="str">
        <f>IFERROR(__xludf.DUMMYFUNCTION("""COMPUTED_VALUE"""),"KIMME")</f>
        <v>KIMME</v>
      </c>
      <c r="L198" s="279" t="str">
        <f>IFERROR(__xludf.DUMMYFUNCTION("""COMPUTED_VALUE"""),"https://www.tiktok.com/@skincarerivw_aarsyi/video/7608832037180493074?is_from_webapp=1&amp;sender_device=pc")</f>
        <v>https://www.tiktok.com/@skincarerivw_aarsyi/video/7608832037180493074?is_from_webapp=1&amp;sender_device=pc</v>
      </c>
      <c r="M198" s="464" t="str">
        <f>IFERROR(__xludf.DUMMYFUNCTION("""COMPUTED_VALUE"""),"KIMME")</f>
        <v>KIMME</v>
      </c>
      <c r="N198" s="279" t="str">
        <f>IFERROR(__xludf.DUMMYFUNCTION("""COMPUTED_VALUE"""),"https://www.tiktok.com/@skincarerivw_aarsyi/video/7614093780509101330?is_from_webapp=1&amp;sender_device=pc")</f>
        <v>https://www.tiktok.com/@skincarerivw_aarsyi/video/7614093780509101330?is_from_webapp=1&amp;sender_device=pc</v>
      </c>
      <c r="O198" s="464" t="str">
        <f>IFERROR(__xludf.DUMMYFUNCTION("""COMPUTED_VALUE"""),"KIMME")</f>
        <v>KIMME</v>
      </c>
      <c r="P198" s="279" t="str">
        <f>IFERROR(__xludf.DUMMYFUNCTION("""COMPUTED_VALUE"""),"https://vt.tiktok.com/ZSHPReq9D/")</f>
        <v>https://vt.tiktok.com/ZSHPReq9D/</v>
      </c>
    </row>
    <row r="199">
      <c r="A199" s="255" t="str">
        <f>IFERROR(__xludf.DUMMYFUNCTION("""COMPUTED_VALUE"""),"MACRO")</f>
        <v>MACRO</v>
      </c>
      <c r="B199" s="361" t="str">
        <f>IFERROR(__xludf.DUMMYFUNCTION("""COMPUTED_VALUE"""),"mei_arifin180899")</f>
        <v>mei_arifin180899</v>
      </c>
      <c r="C199" s="257" t="str">
        <f>IFERROR(__xludf.DUMMYFUNCTION("""COMPUTED_VALUE"""),"https://www.tiktok.com/@mei_arifin180899")</f>
        <v>https://www.tiktok.com/@mei_arifin180899</v>
      </c>
      <c r="D199" s="270">
        <f>IFERROR(__xludf.DUMMYFUNCTION("""COMPUTED_VALUE"""),8.9659997472E10)</f>
        <v>89659997472</v>
      </c>
      <c r="E199" s="457">
        <f>IFERROR(__xludf.DUMMYFUNCTION("""COMPUTED_VALUE"""),0.0)</f>
        <v>0</v>
      </c>
      <c r="F199" s="270">
        <f>IFERROR(__xludf.DUMMYFUNCTION("""COMPUTED_VALUE"""),1.0)</f>
        <v>1</v>
      </c>
      <c r="G199" s="17" t="str">
        <f>IFERROR(__xludf.DUMMYFUNCTION("""COMPUTED_VALUE"""),"Sabun batang 1 Box ( 2 PCS )")</f>
        <v>Sabun batang 1 Box ( 2 PCS )</v>
      </c>
      <c r="H199" s="463" t="str">
        <f>IFERROR(__xludf.DUMMYFUNCTION("""COMPUTED_VALUE"""),"Sampai")</f>
        <v>Sampai</v>
      </c>
      <c r="I199" s="464" t="str">
        <f>IFERROR(__xludf.DUMMYFUNCTION("""COMPUTED_VALUE"""),"KIMME")</f>
        <v>KIMME</v>
      </c>
      <c r="J199" s="279" t="str">
        <f>IFERROR(__xludf.DUMMYFUNCTION("""COMPUTED_VALUE"""),"https://vt.tiktok.com/ZSuo4X98e/")</f>
        <v>https://vt.tiktok.com/ZSuo4X98e/</v>
      </c>
      <c r="K199" s="464" t="str">
        <f>IFERROR(__xludf.DUMMYFUNCTION("""COMPUTED_VALUE"""),"KIMME")</f>
        <v>KIMME</v>
      </c>
      <c r="L199" s="279" t="str">
        <f>IFERROR(__xludf.DUMMYFUNCTION("""COMPUTED_VALUE"""),"https://www.tiktok.com/@raturambutpanjang3/video/7637061527379414290")</f>
        <v>https://www.tiktok.com/@raturambutpanjang3/video/7637061527379414290</v>
      </c>
      <c r="M199" s="464"/>
      <c r="N199" s="17"/>
      <c r="O199" s="464"/>
      <c r="P199" s="17"/>
    </row>
    <row r="200">
      <c r="A200" s="255" t="str">
        <f>IFERROR(__xludf.DUMMYFUNCTION("""COMPUTED_VALUE"""),"MICRO")</f>
        <v>MICRO</v>
      </c>
      <c r="B200" s="361" t="str">
        <f>IFERROR(__xludf.DUMMYFUNCTION("""COMPUTED_VALUE"""),"ajengsetyarini1_")</f>
        <v>ajengsetyarini1_</v>
      </c>
      <c r="C200" s="257" t="str">
        <f>IFERROR(__xludf.DUMMYFUNCTION("""COMPUTED_VALUE"""),"https://www.tiktok.com/@ajengsetyarini1_")</f>
        <v>https://www.tiktok.com/@ajengsetyarini1_</v>
      </c>
      <c r="D200" s="270">
        <f>IFERROR(__xludf.DUMMYFUNCTION("""COMPUTED_VALUE"""),8.1511964199E10)</f>
        <v>81511964199</v>
      </c>
      <c r="E200" s="457">
        <f>IFERROR(__xludf.DUMMYFUNCTION("""COMPUTED_VALUE"""),0.0)</f>
        <v>0</v>
      </c>
      <c r="F200" s="270">
        <f>IFERROR(__xludf.DUMMYFUNCTION("""COMPUTED_VALUE"""),4.0)</f>
        <v>4</v>
      </c>
      <c r="G200" s="17" t="str">
        <f>IFERROR(__xludf.DUMMYFUNCTION("""COMPUTED_VALUE"""),"Sabun batang 1 Box ( 2 PCS )")</f>
        <v>Sabun batang 1 Box ( 2 PCS )</v>
      </c>
      <c r="H200" s="463" t="str">
        <f>IFERROR(__xludf.DUMMYFUNCTION("""COMPUTED_VALUE"""),"Sampai")</f>
        <v>Sampai</v>
      </c>
      <c r="I200" s="464" t="str">
        <f>IFERROR(__xludf.DUMMYFUNCTION("""COMPUTED_VALUE"""),"KIMME")</f>
        <v>KIMME</v>
      </c>
      <c r="J200" s="279" t="str">
        <f>IFERROR(__xludf.DUMMYFUNCTION("""COMPUTED_VALUE"""),"https://www.tiktok.com/@ajengsetyarini1_/video/7615217262617808146?is_from_webapp=1&amp;sender_device=pc")</f>
        <v>https://www.tiktok.com/@ajengsetyarini1_/video/7615217262617808146?is_from_webapp=1&amp;sender_device=pc</v>
      </c>
      <c r="K200" s="464" t="str">
        <f>IFERROR(__xludf.DUMMYFUNCTION("""COMPUTED_VALUE"""),"KIMME")</f>
        <v>KIMME</v>
      </c>
      <c r="L200" s="279" t="str">
        <f>IFERROR(__xludf.DUMMYFUNCTION("""COMPUTED_VALUE"""),"https://vt.tiktok.com/ZS9JSCkoY/")</f>
        <v>https://vt.tiktok.com/ZS9JSCkoY/</v>
      </c>
      <c r="M200" s="464" t="str">
        <f>IFERROR(__xludf.DUMMYFUNCTION("""COMPUTED_VALUE"""),"KIMME")</f>
        <v>KIMME</v>
      </c>
      <c r="N200" s="279" t="str">
        <f>IFERROR(__xludf.DUMMYFUNCTION("""COMPUTED_VALUE"""),"https://vt.tiktok.com/ZS9JSPsvX/")</f>
        <v>https://vt.tiktok.com/ZS9JSPsvX/</v>
      </c>
      <c r="O200" s="464" t="str">
        <f>IFERROR(__xludf.DUMMYFUNCTION("""COMPUTED_VALUE"""),"KIMME")</f>
        <v>KIMME</v>
      </c>
      <c r="P200" s="279" t="str">
        <f>IFERROR(__xludf.DUMMYFUNCTION("""COMPUTED_VALUE"""),"https://www.tiktok.com/@ajengsetyarini1_/video/7631012250060410120?_r=1&amp;_t=ZS-95iFHQxirxa")</f>
        <v>https://www.tiktok.com/@ajengsetyarini1_/video/7631012250060410120?_r=1&amp;_t=ZS-95iFHQxirxa</v>
      </c>
    </row>
    <row r="201">
      <c r="A201" s="255" t="str">
        <f>IFERROR(__xludf.DUMMYFUNCTION("""COMPUTED_VALUE"""),"MICRO")</f>
        <v>MICRO</v>
      </c>
      <c r="B201" s="361" t="str">
        <f>IFERROR(__xludf.DUMMYFUNCTION("""COMPUTED_VALUE"""),"_sweetly19")</f>
        <v>_sweetly19</v>
      </c>
      <c r="C201" s="257" t="str">
        <f>IFERROR(__xludf.DUMMYFUNCTION("""COMPUTED_VALUE"""),"https://www.tiktok.com/@_sweetly19")</f>
        <v>https://www.tiktok.com/@_sweetly19</v>
      </c>
      <c r="D201" s="270">
        <f>IFERROR(__xludf.DUMMYFUNCTION("""COMPUTED_VALUE"""),8.967276103E10)</f>
        <v>89672761030</v>
      </c>
      <c r="E201" s="457">
        <f>IFERROR(__xludf.DUMMYFUNCTION("""COMPUTED_VALUE"""),0.0)</f>
        <v>0</v>
      </c>
      <c r="F201" s="270">
        <f>IFERROR(__xludf.DUMMYFUNCTION("""COMPUTED_VALUE"""),4.0)</f>
        <v>4</v>
      </c>
      <c r="G201" s="17" t="str">
        <f>IFERROR(__xludf.DUMMYFUNCTION("""COMPUTED_VALUE"""),"Sabun batang 1 Box ( 2 PCS )")</f>
        <v>Sabun batang 1 Box ( 2 PCS )</v>
      </c>
      <c r="H201" s="463" t="str">
        <f>IFERROR(__xludf.DUMMYFUNCTION("""COMPUTED_VALUE"""),"Sampai")</f>
        <v>Sampai</v>
      </c>
      <c r="I201" s="464" t="str">
        <f>IFERROR(__xludf.DUMMYFUNCTION("""COMPUTED_VALUE"""),"KIMME")</f>
        <v>KIMME</v>
      </c>
      <c r="J201" s="279" t="str">
        <f>IFERROR(__xludf.DUMMYFUNCTION("""COMPUTED_VALUE"""),"https://www.tiktok.com/@_sweetly19/video/7606995425496747284?is_from_webapp=1&amp;sender_device=pc")</f>
        <v>https://www.tiktok.com/@_sweetly19/video/7606995425496747284?is_from_webapp=1&amp;sender_device=pc</v>
      </c>
      <c r="K201" s="464" t="str">
        <f>IFERROR(__xludf.DUMMYFUNCTION("""COMPUTED_VALUE"""),"KIMME")</f>
        <v>KIMME</v>
      </c>
      <c r="L201" s="279" t="str">
        <f>IFERROR(__xludf.DUMMYFUNCTION("""COMPUTED_VALUE"""),"https://www.tiktok.com/@_sweetly19/video/7607035215608892693?is_from_webapp=1&amp;sender_device=pc")</f>
        <v>https://www.tiktok.com/@_sweetly19/video/7607035215608892693?is_from_webapp=1&amp;sender_device=pc</v>
      </c>
      <c r="M201" s="464" t="str">
        <f>IFERROR(__xludf.DUMMYFUNCTION("""COMPUTED_VALUE"""),"KIMME")</f>
        <v>KIMME</v>
      </c>
      <c r="N201" s="279" t="str">
        <f>IFERROR(__xludf.DUMMYFUNCTION("""COMPUTED_VALUE"""),"https://www.tiktok.com/@_sweetly19/video/7607273568874876181?is_from_webapp=1&amp;sender_device=pc")</f>
        <v>https://www.tiktok.com/@_sweetly19/video/7607273568874876181?is_from_webapp=1&amp;sender_device=pc</v>
      </c>
      <c r="O201" s="464" t="str">
        <f>IFERROR(__xludf.DUMMYFUNCTION("""COMPUTED_VALUE"""),"KIMME")</f>
        <v>KIMME</v>
      </c>
      <c r="P201" s="279" t="str">
        <f>IFERROR(__xludf.DUMMYFUNCTION("""COMPUTED_VALUE"""),"https://www.tiktok.com/@_sweetly19/video/7607676285669641492?is_from_webapp=1&amp;sender_device=pc")</f>
        <v>https://www.tiktok.com/@_sweetly19/video/7607676285669641492?is_from_webapp=1&amp;sender_device=pc</v>
      </c>
    </row>
    <row r="202">
      <c r="A202" s="255" t="str">
        <f>IFERROR(__xludf.DUMMYFUNCTION("""COMPUTED_VALUE"""),"MICRO")</f>
        <v>MICRO</v>
      </c>
      <c r="B202" s="361" t="str">
        <f>IFERROR(__xludf.DUMMYFUNCTION("""COMPUTED_VALUE"""),"chaaaajalahyah")</f>
        <v>chaaaajalahyah</v>
      </c>
      <c r="C202" s="257" t="str">
        <f>IFERROR(__xludf.DUMMYFUNCTION("""COMPUTED_VALUE"""),"https://www.tiktok.com/@chaaaajalahyah")</f>
        <v>https://www.tiktok.com/@chaaaajalahyah</v>
      </c>
      <c r="D202" s="270">
        <f>IFERROR(__xludf.DUMMYFUNCTION("""COMPUTED_VALUE"""),8.573258986E10)</f>
        <v>85732589860</v>
      </c>
      <c r="E202" s="457">
        <f>IFERROR(__xludf.DUMMYFUNCTION("""COMPUTED_VALUE"""),0.0)</f>
        <v>0</v>
      </c>
      <c r="F202" s="270">
        <f>IFERROR(__xludf.DUMMYFUNCTION("""COMPUTED_VALUE"""),2.0)</f>
        <v>2</v>
      </c>
      <c r="G202" s="17" t="str">
        <f>IFERROR(__xludf.DUMMYFUNCTION("""COMPUTED_VALUE"""),"Sabun batang 1 Box ( 2 PCS )")</f>
        <v>Sabun batang 1 Box ( 2 PCS )</v>
      </c>
      <c r="H202" s="463" t="str">
        <f>IFERROR(__xludf.DUMMYFUNCTION("""COMPUTED_VALUE"""),"Sampai")</f>
        <v>Sampai</v>
      </c>
      <c r="I202" s="464" t="str">
        <f>IFERROR(__xludf.DUMMYFUNCTION("""COMPUTED_VALUE"""),"KIMME")</f>
        <v>KIMME</v>
      </c>
      <c r="J202" s="279" t="str">
        <f>IFERROR(__xludf.DUMMYFUNCTION("""COMPUTED_VALUE"""),"https://vt.tiktok.com/ZSuLT7VNx/")</f>
        <v>https://vt.tiktok.com/ZSuLT7VNx/</v>
      </c>
      <c r="K202" s="464" t="str">
        <f>IFERROR(__xludf.DUMMYFUNCTION("""COMPUTED_VALUE"""),"KIMME")</f>
        <v>KIMME</v>
      </c>
      <c r="L202" s="279" t="str">
        <f>IFERROR(__xludf.DUMMYFUNCTION("""COMPUTED_VALUE"""),"https://vt.tiktok.com/ZSucHhNYh/")</f>
        <v>https://vt.tiktok.com/ZSucHhNYh/</v>
      </c>
      <c r="M202" s="464"/>
      <c r="N202" s="279" t="str">
        <f>IFERROR(__xludf.DUMMYFUNCTION("""COMPUTED_VALUE"""),"https://vt.tiktok.com/ZS9qe56Tf/")</f>
        <v>https://vt.tiktok.com/ZS9qe56Tf/</v>
      </c>
      <c r="O202" s="464"/>
      <c r="P202" s="279" t="str">
        <f>IFERROR(__xludf.DUMMYFUNCTION("""COMPUTED_VALUE"""),"https://vt.tiktok.com/ZS9qeumn3/")</f>
        <v>https://vt.tiktok.com/ZS9qeumn3/</v>
      </c>
    </row>
    <row r="203">
      <c r="A203" s="255" t="str">
        <f>IFERROR(__xludf.DUMMYFUNCTION("""COMPUTED_VALUE"""),"MICRO")</f>
        <v>MICRO</v>
      </c>
      <c r="B203" s="361" t="str">
        <f>IFERROR(__xludf.DUMMYFUNCTION("""COMPUTED_VALUE"""),"jualannyaleni")</f>
        <v>jualannyaleni</v>
      </c>
      <c r="C203" s="257" t="str">
        <f>IFERROR(__xludf.DUMMYFUNCTION("""COMPUTED_VALUE"""),"https://www.tiktok.com/@jualannyaleni")</f>
        <v>https://www.tiktok.com/@jualannyaleni</v>
      </c>
      <c r="D203" s="270">
        <f>IFERROR(__xludf.DUMMYFUNCTION("""COMPUTED_VALUE"""),8.1219414688E10)</f>
        <v>81219414688</v>
      </c>
      <c r="E203" s="457">
        <f>IFERROR(__xludf.DUMMYFUNCTION("""COMPUTED_VALUE"""),0.0)</f>
        <v>0</v>
      </c>
      <c r="F203" s="270">
        <f>IFERROR(__xludf.DUMMYFUNCTION("""COMPUTED_VALUE"""),4.0)</f>
        <v>4</v>
      </c>
      <c r="G203" s="17" t="str">
        <f>IFERROR(__xludf.DUMMYFUNCTION("""COMPUTED_VALUE"""),"Sabun batang 1 Box ( 2 PCS )")</f>
        <v>Sabun batang 1 Box ( 2 PCS )</v>
      </c>
      <c r="H203" s="463" t="str">
        <f>IFERROR(__xludf.DUMMYFUNCTION("""COMPUTED_VALUE"""),"Sampai")</f>
        <v>Sampai</v>
      </c>
      <c r="I203" s="464" t="str">
        <f>IFERROR(__xludf.DUMMYFUNCTION("""COMPUTED_VALUE"""),"KIMME")</f>
        <v>KIMME</v>
      </c>
      <c r="J203" s="279" t="str">
        <f>IFERROR(__xludf.DUMMYFUNCTION("""COMPUTED_VALUE"""),"https://vt.tiktok.com/ZSmpJHHpF/")</f>
        <v>https://vt.tiktok.com/ZSmpJHHpF/</v>
      </c>
      <c r="K203" s="464" t="str">
        <f>IFERROR(__xludf.DUMMYFUNCTION("""COMPUTED_VALUE"""),"KIMME")</f>
        <v>KIMME</v>
      </c>
      <c r="L203" s="279" t="str">
        <f>IFERROR(__xludf.DUMMYFUNCTION("""COMPUTED_VALUE"""),"https://www.tiktok.com/@jualannyaleni/video/7608879766992719125?_r=1&amp;_t=ZS-94F84OYUjoI")</f>
        <v>https://www.tiktok.com/@jualannyaleni/video/7608879766992719125?_r=1&amp;_t=ZS-94F84OYUjoI</v>
      </c>
      <c r="M203" s="464" t="str">
        <f>IFERROR(__xludf.DUMMYFUNCTION("""COMPUTED_VALUE"""),"KIMME")</f>
        <v>KIMME</v>
      </c>
      <c r="N203" s="279" t="str">
        <f>IFERROR(__xludf.DUMMYFUNCTION("""COMPUTED_VALUE"""),"https://www.tiktok.com/@jualannyaleni/video/7608131435785997575?_r=1&amp;_t=ZS-94F85OHOjRw")</f>
        <v>https://www.tiktok.com/@jualannyaleni/video/7608131435785997575?_r=1&amp;_t=ZS-94F85OHOjRw</v>
      </c>
      <c r="O203" s="464" t="str">
        <f>IFERROR(__xludf.DUMMYFUNCTION("""COMPUTED_VALUE"""),"KIMME")</f>
        <v>KIMME</v>
      </c>
      <c r="P203" s="279" t="str">
        <f>IFERROR(__xludf.DUMMYFUNCTION("""COMPUTED_VALUE"""),"https://www.tiktok.com/@jualannyaleni/video/7607914856389365013?_r=1&amp;_t=ZS-94F86fv1BKR")</f>
        <v>https://www.tiktok.com/@jualannyaleni/video/7607914856389365013?_r=1&amp;_t=ZS-94F86fv1BKR</v>
      </c>
    </row>
    <row r="204">
      <c r="A204" s="255" t="str">
        <f>IFERROR(__xludf.DUMMYFUNCTION("""COMPUTED_VALUE"""),"MICRO")</f>
        <v>MICRO</v>
      </c>
      <c r="B204" s="361" t="str">
        <f>IFERROR(__xludf.DUMMYFUNCTION("""COMPUTED_VALUE"""),"wisepotatoo")</f>
        <v>wisepotatoo</v>
      </c>
      <c r="C204" s="257" t="str">
        <f>IFERROR(__xludf.DUMMYFUNCTION("""COMPUTED_VALUE"""),"https://www.tiktok.com/@wisepotatoo")</f>
        <v>https://www.tiktok.com/@wisepotatoo</v>
      </c>
      <c r="D204" s="270">
        <f>IFERROR(__xludf.DUMMYFUNCTION("""COMPUTED_VALUE"""),8.7781950585E10)</f>
        <v>87781950585</v>
      </c>
      <c r="E204" s="457">
        <f>IFERROR(__xludf.DUMMYFUNCTION("""COMPUTED_VALUE"""),0.0)</f>
        <v>0</v>
      </c>
      <c r="F204" s="270">
        <f>IFERROR(__xludf.DUMMYFUNCTION("""COMPUTED_VALUE"""),4.0)</f>
        <v>4</v>
      </c>
      <c r="G204" s="17" t="str">
        <f>IFERROR(__xludf.DUMMYFUNCTION("""COMPUTED_VALUE"""),"Sabun batang 1 Box ( 2 PCS )")</f>
        <v>Sabun batang 1 Box ( 2 PCS )</v>
      </c>
      <c r="H204" s="463" t="str">
        <f>IFERROR(__xludf.DUMMYFUNCTION("""COMPUTED_VALUE"""),"Sampai")</f>
        <v>Sampai</v>
      </c>
      <c r="I204" s="464" t="str">
        <f>IFERROR(__xludf.DUMMYFUNCTION("""COMPUTED_VALUE"""),"KIMME")</f>
        <v>KIMME</v>
      </c>
      <c r="J204" s="279" t="str">
        <f>IFERROR(__xludf.DUMMYFUNCTION("""COMPUTED_VALUE"""),"https://www.tiktok.com/@masheddpootato/video/7612712635775192341")</f>
        <v>https://www.tiktok.com/@masheddpootato/video/7612712635775192341</v>
      </c>
      <c r="K204" s="464" t="str">
        <f>IFERROR(__xludf.DUMMYFUNCTION("""COMPUTED_VALUE"""),"KIMME")</f>
        <v>KIMME</v>
      </c>
      <c r="L204" s="279" t="str">
        <f>IFERROR(__xludf.DUMMYFUNCTION("""COMPUTED_VALUE"""),"https://www.tiktok.com/@masheddpootato/video/7615191095080717589?is_from_webapp=1&amp;sender_device=pc&amp;web_id=7611930277489657360")</f>
        <v>https://www.tiktok.com/@masheddpootato/video/7615191095080717589?is_from_webapp=1&amp;sender_device=pc&amp;web_id=7611930277489657360</v>
      </c>
      <c r="M204" s="464" t="str">
        <f>IFERROR(__xludf.DUMMYFUNCTION("""COMPUTED_VALUE"""),"KIMME")</f>
        <v>KIMME</v>
      </c>
      <c r="N204" s="279" t="str">
        <f>IFERROR(__xludf.DUMMYFUNCTION("""COMPUTED_VALUE"""),"https://vt.tiktok.com/ZSH9ngbGN/")</f>
        <v>https://vt.tiktok.com/ZSH9ngbGN/</v>
      </c>
      <c r="O204" s="464" t="str">
        <f>IFERROR(__xludf.DUMMYFUNCTION("""COMPUTED_VALUE"""),"KIMME")</f>
        <v>KIMME</v>
      </c>
      <c r="P204" s="279" t="str">
        <f>IFERROR(__xludf.DUMMYFUNCTION("""COMPUTED_VALUE"""),"https://vt.tiktok.com/ZSHxP4fSo/")</f>
        <v>https://vt.tiktok.com/ZSHxP4fSo/</v>
      </c>
    </row>
    <row r="205">
      <c r="A205" s="255" t="str">
        <f>IFERROR(__xludf.DUMMYFUNCTION("""COMPUTED_VALUE"""),"MACRO")</f>
        <v>MACRO</v>
      </c>
      <c r="B205" s="361" t="str">
        <f>IFERROR(__xludf.DUMMYFUNCTION("""COMPUTED_VALUE"""),"raturambutpanjang3")</f>
        <v>raturambutpanjang3</v>
      </c>
      <c r="C205" s="257" t="str">
        <f>IFERROR(__xludf.DUMMYFUNCTION("""COMPUTED_VALUE"""),"https://www.tiktok.com/@raturambutpanjang3")</f>
        <v>https://www.tiktok.com/@raturambutpanjang3</v>
      </c>
      <c r="D205" s="270">
        <f>IFERROR(__xludf.DUMMYFUNCTION("""COMPUTED_VALUE"""),8.5271631529E10)</f>
        <v>85271631529</v>
      </c>
      <c r="E205" s="457">
        <f>IFERROR(__xludf.DUMMYFUNCTION("""COMPUTED_VALUE"""),0.0)</f>
        <v>0</v>
      </c>
      <c r="F205" s="270">
        <f>IFERROR(__xludf.DUMMYFUNCTION("""COMPUTED_VALUE"""),4.0)</f>
        <v>4</v>
      </c>
      <c r="G205" s="17" t="str">
        <f>IFERROR(__xludf.DUMMYFUNCTION("""COMPUTED_VALUE"""),"Sabun batang 1 Box ( 2 PCS )")</f>
        <v>Sabun batang 1 Box ( 2 PCS )</v>
      </c>
      <c r="H205" s="463" t="str">
        <f>IFERROR(__xludf.DUMMYFUNCTION("""COMPUTED_VALUE"""),"Sampai")</f>
        <v>Sampai</v>
      </c>
      <c r="I205" s="464" t="str">
        <f>IFERROR(__xludf.DUMMYFUNCTION("""COMPUTED_VALUE"""),"KIMME")</f>
        <v>KIMME</v>
      </c>
      <c r="J205" s="279" t="str">
        <f>IFERROR(__xludf.DUMMYFUNCTION("""COMPUTED_VALUE"""),"https://www.tiktok.com/@raturambutpanjang3/video/7612519996601765141?is_from_webapp=1&amp;sender_device=pc")</f>
        <v>https://www.tiktok.com/@raturambutpanjang3/video/7612519996601765141?is_from_webapp=1&amp;sender_device=pc</v>
      </c>
      <c r="K205" s="464" t="str">
        <f>IFERROR(__xludf.DUMMYFUNCTION("""COMPUTED_VALUE"""),"KIMME")</f>
        <v>KIMME</v>
      </c>
      <c r="L205" s="279" t="str">
        <f>IFERROR(__xludf.DUMMYFUNCTION("""COMPUTED_VALUE"""),"https://vt.tiktok.com/ZSuxbn3xc/")</f>
        <v>https://vt.tiktok.com/ZSuxbn3xc/</v>
      </c>
      <c r="M205" s="464" t="str">
        <f>IFERROR(__xludf.DUMMYFUNCTION("""COMPUTED_VALUE"""),"KIMME")</f>
        <v>KIMME</v>
      </c>
      <c r="N205" s="279" t="str">
        <f>IFERROR(__xludf.DUMMYFUNCTION("""COMPUTED_VALUE"""),"https://vt.tiktok.com/ZSuxbn3xc/")</f>
        <v>https://vt.tiktok.com/ZSuxbn3xc/</v>
      </c>
      <c r="O205" s="464" t="str">
        <f>IFERROR(__xludf.DUMMYFUNCTION("""COMPUTED_VALUE"""),"KIMME")</f>
        <v>KIMME</v>
      </c>
      <c r="P205" s="279" t="str">
        <f>IFERROR(__xludf.DUMMYFUNCTION("""COMPUTED_VALUE"""),"https://vt.tiktok.com/ZSHPRpCnQ/")</f>
        <v>https://vt.tiktok.com/ZSHPRpCnQ/</v>
      </c>
    </row>
    <row r="206">
      <c r="A206" s="255" t="str">
        <f>IFERROR(__xludf.DUMMYFUNCTION("""COMPUTED_VALUE"""),"MICRO")</f>
        <v>MICRO</v>
      </c>
      <c r="B206" s="361" t="str">
        <f>IFERROR(__xludf.DUMMYFUNCTION("""COMPUTED_VALUE"""),"weni_ilham")</f>
        <v>weni_ilham</v>
      </c>
      <c r="C206" s="257" t="str">
        <f>IFERROR(__xludf.DUMMYFUNCTION("""COMPUTED_VALUE"""),"https://www.tiktok.com/@weni_ilham")</f>
        <v>https://www.tiktok.com/@weni_ilham</v>
      </c>
      <c r="D206" s="270">
        <f>IFERROR(__xludf.DUMMYFUNCTION("""COMPUTED_VALUE"""),8.822452132E10)</f>
        <v>88224521320</v>
      </c>
      <c r="E206" s="457">
        <f>IFERROR(__xludf.DUMMYFUNCTION("""COMPUTED_VALUE"""),50000.0)</f>
        <v>50000</v>
      </c>
      <c r="F206" s="270">
        <f>IFERROR(__xludf.DUMMYFUNCTION("""COMPUTED_VALUE"""),1.0)</f>
        <v>1</v>
      </c>
      <c r="G206" s="17" t="str">
        <f>IFERROR(__xludf.DUMMYFUNCTION("""COMPUTED_VALUE"""),"Sabun batang 1 Box ( 2 PCS )")</f>
        <v>Sabun batang 1 Box ( 2 PCS )</v>
      </c>
      <c r="H206" s="463" t="str">
        <f>IFERROR(__xludf.DUMMYFUNCTION("""COMPUTED_VALUE"""),"Sampai")</f>
        <v>Sampai</v>
      </c>
      <c r="I206" s="464" t="str">
        <f>IFERROR(__xludf.DUMMYFUNCTION("""COMPUTED_VALUE"""),"KIMME")</f>
        <v>KIMME</v>
      </c>
      <c r="J206" s="279" t="str">
        <f>IFERROR(__xludf.DUMMYFUNCTION("""COMPUTED_VALUE"""),"https://vt.tiktok.com/ZSmXDvA5A/")</f>
        <v>https://vt.tiktok.com/ZSmXDvA5A/</v>
      </c>
      <c r="K206" s="464" t="str">
        <f>IFERROR(__xludf.DUMMYFUNCTION("""COMPUTED_VALUE"""),"KIMME")</f>
        <v>KIMME</v>
      </c>
      <c r="L206" s="279" t="str">
        <f>IFERROR(__xludf.DUMMYFUNCTION("""COMPUTED_VALUE"""),"https://vt.tiktok.com/ZS9qddf5E/")</f>
        <v>https://vt.tiktok.com/ZS9qddf5E/</v>
      </c>
      <c r="M206" s="464"/>
      <c r="N206" s="279" t="str">
        <f>IFERROR(__xludf.DUMMYFUNCTION("""COMPUTED_VALUE"""),"https://vt.tiktok.com/ZS9qMHdXq/")</f>
        <v>https://vt.tiktok.com/ZS9qMHdXq/</v>
      </c>
      <c r="O206" s="464"/>
      <c r="P206" s="279" t="str">
        <f>IFERROR(__xludf.DUMMYFUNCTION("""COMPUTED_VALUE"""),"https://vt.tiktok.com/ZS9qMqUqo/")</f>
        <v>https://vt.tiktok.com/ZS9qMqUqo/</v>
      </c>
    </row>
    <row r="207">
      <c r="A207" s="255" t="str">
        <f>IFERROR(__xludf.DUMMYFUNCTION("""COMPUTED_VALUE"""),"MICRO")</f>
        <v>MICRO</v>
      </c>
      <c r="B207" s="361" t="str">
        <f>IFERROR(__xludf.DUMMYFUNCTION("""COMPUTED_VALUE"""),"nina_kadier")</f>
        <v>nina_kadier</v>
      </c>
      <c r="C207" s="257" t="str">
        <f>IFERROR(__xludf.DUMMYFUNCTION("""COMPUTED_VALUE"""),"https://www.tiktok.com/@nina_kadier")</f>
        <v>https://www.tiktok.com/@nina_kadier</v>
      </c>
      <c r="D207" s="270">
        <f>IFERROR(__xludf.DUMMYFUNCTION("""COMPUTED_VALUE"""),8.524275228E10)</f>
        <v>85242752280</v>
      </c>
      <c r="E207" s="457">
        <f>IFERROR(__xludf.DUMMYFUNCTION("""COMPUTED_VALUE"""),0.0)</f>
        <v>0</v>
      </c>
      <c r="F207" s="270">
        <f>IFERROR(__xludf.DUMMYFUNCTION("""COMPUTED_VALUE"""),4.0)</f>
        <v>4</v>
      </c>
      <c r="G207" s="17" t="str">
        <f>IFERROR(__xludf.DUMMYFUNCTION("""COMPUTED_VALUE"""),"Sabun batang 1 Box ( 2 PCS )")</f>
        <v>Sabun batang 1 Box ( 2 PCS )</v>
      </c>
      <c r="H207" s="463" t="str">
        <f>IFERROR(__xludf.DUMMYFUNCTION("""COMPUTED_VALUE"""),"Sampai")</f>
        <v>Sampai</v>
      </c>
      <c r="I207" s="464" t="str">
        <f>IFERROR(__xludf.DUMMYFUNCTION("""COMPUTED_VALUE"""),"KIMME")</f>
        <v>KIMME</v>
      </c>
      <c r="J207" s="279" t="str">
        <f>IFERROR(__xludf.DUMMYFUNCTION("""COMPUTED_VALUE"""),"https://www.tiktok.com/@nina_kadier/video/7606564657658105095?is_from_webapp=1&amp;sender_device=pc")</f>
        <v>https://www.tiktok.com/@nina_kadier/video/7606564657658105095?is_from_webapp=1&amp;sender_device=pc</v>
      </c>
      <c r="K207" s="464" t="str">
        <f>IFERROR(__xludf.DUMMYFUNCTION("""COMPUTED_VALUE"""),"KIMME")</f>
        <v>KIMME</v>
      </c>
      <c r="L207" s="279" t="str">
        <f>IFERROR(__xludf.DUMMYFUNCTION("""COMPUTED_VALUE"""),"https://www.tiktok.com/@nina_kadier/video/7606965616158821639?is_from_webapp=1&amp;sender_device=pc")</f>
        <v>https://www.tiktok.com/@nina_kadier/video/7606965616158821639?is_from_webapp=1&amp;sender_device=pc</v>
      </c>
      <c r="M207" s="464" t="str">
        <f>IFERROR(__xludf.DUMMYFUNCTION("""COMPUTED_VALUE"""),"KIMME")</f>
        <v>KIMME</v>
      </c>
      <c r="N207" s="279" t="str">
        <f>IFERROR(__xludf.DUMMYFUNCTION("""COMPUTED_VALUE"""),"https://www.tiktok.com/@nina_kadier/video/7607228939685317895?is_from_webapp=1&amp;sender_device=pc")</f>
        <v>https://www.tiktok.com/@nina_kadier/video/7607228939685317895?is_from_webapp=1&amp;sender_device=pc</v>
      </c>
      <c r="O207" s="464" t="str">
        <f>IFERROR(__xludf.DUMMYFUNCTION("""COMPUTED_VALUE"""),"KIMME")</f>
        <v>KIMME</v>
      </c>
      <c r="P207" s="279" t="str">
        <f>IFERROR(__xludf.DUMMYFUNCTION("""COMPUTED_VALUE"""),"https://www.tiktok.com/@nina_kadier/video/7607281060660956423?is_from_webapp=1&amp;sender_device=pc")</f>
        <v>https://www.tiktok.com/@nina_kadier/video/7607281060660956423?is_from_webapp=1&amp;sender_device=pc</v>
      </c>
    </row>
    <row r="208">
      <c r="A208" s="255" t="str">
        <f>IFERROR(__xludf.DUMMYFUNCTION("""COMPUTED_VALUE"""),"MICRO")</f>
        <v>MICRO</v>
      </c>
      <c r="B208" s="361" t="str">
        <f>IFERROR(__xludf.DUMMYFUNCTION("""COMPUTED_VALUE"""),"kepiting.rebus1")</f>
        <v>kepiting.rebus1</v>
      </c>
      <c r="C208" s="257" t="str">
        <f>IFERROR(__xludf.DUMMYFUNCTION("""COMPUTED_VALUE"""),"https://www.tiktok.com/@kepiting.rebus1")</f>
        <v>https://www.tiktok.com/@kepiting.rebus1</v>
      </c>
      <c r="D208" s="270">
        <f>IFERROR(__xludf.DUMMYFUNCTION("""COMPUTED_VALUE"""),8.9637536181E10)</f>
        <v>89637536181</v>
      </c>
      <c r="E208" s="457">
        <f>IFERROR(__xludf.DUMMYFUNCTION("""COMPUTED_VALUE"""),0.0)</f>
        <v>0</v>
      </c>
      <c r="F208" s="270">
        <f>IFERROR(__xludf.DUMMYFUNCTION("""COMPUTED_VALUE"""),4.0)</f>
        <v>4</v>
      </c>
      <c r="G208" s="17" t="str">
        <f>IFERROR(__xludf.DUMMYFUNCTION("""COMPUTED_VALUE"""),"Sabun batang 1 Box ( 2 PCS )")</f>
        <v>Sabun batang 1 Box ( 2 PCS )</v>
      </c>
      <c r="H208" s="463" t="str">
        <f>IFERROR(__xludf.DUMMYFUNCTION("""COMPUTED_VALUE"""),"Sampai")</f>
        <v>Sampai</v>
      </c>
      <c r="I208" s="464" t="str">
        <f>IFERROR(__xludf.DUMMYFUNCTION("""COMPUTED_VALUE"""),"KIMME")</f>
        <v>KIMME</v>
      </c>
      <c r="J208" s="279" t="str">
        <f>IFERROR(__xludf.DUMMYFUNCTION("""COMPUTED_VALUE"""),"https://www.tiktok.com/@kepiting.rebus1/video/7615199694465027335?is_from_webapp=1&amp;sender_device=pc")</f>
        <v>https://www.tiktok.com/@kepiting.rebus1/video/7615199694465027335?is_from_webapp=1&amp;sender_device=pc</v>
      </c>
      <c r="K208" s="464" t="str">
        <f>IFERROR(__xludf.DUMMYFUNCTION("""COMPUTED_VALUE"""),"KIMME")</f>
        <v>KIMME</v>
      </c>
      <c r="L208" s="279" t="str">
        <f>IFERROR(__xludf.DUMMYFUNCTION("""COMPUTED_VALUE"""),"https://vt.tiktok.com/ZSHPR2Xk5/")</f>
        <v>https://vt.tiktok.com/ZSHPR2Xk5/</v>
      </c>
      <c r="M208" s="464" t="str">
        <f>IFERROR(__xludf.DUMMYFUNCTION("""COMPUTED_VALUE"""),"KIMME")</f>
        <v>KIMME</v>
      </c>
      <c r="N208" s="279" t="str">
        <f>IFERROR(__xludf.DUMMYFUNCTION("""COMPUTED_VALUE"""),"https://vt.tiktok.com/ZSHPdEeAV/")</f>
        <v>https://vt.tiktok.com/ZSHPdEeAV/</v>
      </c>
      <c r="O208" s="464" t="str">
        <f>IFERROR(__xludf.DUMMYFUNCTION("""COMPUTED_VALUE"""),"KIMME")</f>
        <v>KIMME</v>
      </c>
      <c r="P208" s="279" t="str">
        <f>IFERROR(__xludf.DUMMYFUNCTION("""COMPUTED_VALUE"""),"https://vt.tiktok.com/ZSHPd3YMj/")</f>
        <v>https://vt.tiktok.com/ZSHPd3YMj/</v>
      </c>
    </row>
    <row r="209">
      <c r="A209" s="255" t="str">
        <f>IFERROR(__xludf.DUMMYFUNCTION("""COMPUTED_VALUE"""),"MICRO")</f>
        <v>MICRO</v>
      </c>
      <c r="B209" s="361" t="str">
        <f>IFERROR(__xludf.DUMMYFUNCTION("""COMPUTED_VALUE"""),"faladinaa")</f>
        <v>faladinaa</v>
      </c>
      <c r="C209" s="257" t="str">
        <f>IFERROR(__xludf.DUMMYFUNCTION("""COMPUTED_VALUE"""),"https://www.tiktok.com/@faladinaa")</f>
        <v>https://www.tiktok.com/@faladinaa</v>
      </c>
      <c r="D209" s="270">
        <f>IFERROR(__xludf.DUMMYFUNCTION("""COMPUTED_VALUE"""),8.121300582E10)</f>
        <v>81213005820</v>
      </c>
      <c r="E209" s="457">
        <f>IFERROR(__xludf.DUMMYFUNCTION("""COMPUTED_VALUE"""),0.0)</f>
        <v>0</v>
      </c>
      <c r="F209" s="270">
        <f>IFERROR(__xludf.DUMMYFUNCTION("""COMPUTED_VALUE"""),4.0)</f>
        <v>4</v>
      </c>
      <c r="G209" s="17" t="str">
        <f>IFERROR(__xludf.DUMMYFUNCTION("""COMPUTED_VALUE"""),"Sabun batang 1 Box ( 2 PCS )")</f>
        <v>Sabun batang 1 Box ( 2 PCS )</v>
      </c>
      <c r="H209" s="463" t="str">
        <f>IFERROR(__xludf.DUMMYFUNCTION("""COMPUTED_VALUE"""),"Sampai")</f>
        <v>Sampai</v>
      </c>
      <c r="I209" s="464" t="str">
        <f>IFERROR(__xludf.DUMMYFUNCTION("""COMPUTED_VALUE"""),"KIMME")</f>
        <v>KIMME</v>
      </c>
      <c r="J209" s="279" t="str">
        <f>IFERROR(__xludf.DUMMYFUNCTION("""COMPUTED_VALUE"""),"https://vt.tiktok.com/ZSHPdokpg/")</f>
        <v>https://vt.tiktok.com/ZSHPdokpg/</v>
      </c>
      <c r="K209" s="464" t="str">
        <f>IFERROR(__xludf.DUMMYFUNCTION("""COMPUTED_VALUE"""),"KIMME")</f>
        <v>KIMME</v>
      </c>
      <c r="L209" s="279" t="str">
        <f>IFERROR(__xludf.DUMMYFUNCTION("""COMPUTED_VALUE"""),"https://vt.tiktok.com/ZSHPR1n4x/")</f>
        <v>https://vt.tiktok.com/ZSHPR1n4x/</v>
      </c>
      <c r="M209" s="464" t="str">
        <f>IFERROR(__xludf.DUMMYFUNCTION("""COMPUTED_VALUE"""),"KIMME")</f>
        <v>KIMME</v>
      </c>
      <c r="N209" s="279" t="str">
        <f>IFERROR(__xludf.DUMMYFUNCTION("""COMPUTED_VALUE"""),"https://vt.tiktok.com/ZSHPdE8t6/")</f>
        <v>https://vt.tiktok.com/ZSHPdE8t6/</v>
      </c>
      <c r="O209" s="464" t="str">
        <f>IFERROR(__xludf.DUMMYFUNCTION("""COMPUTED_VALUE"""),"KIMME")</f>
        <v>KIMME</v>
      </c>
      <c r="P209" s="279" t="str">
        <f>IFERROR(__xludf.DUMMYFUNCTION("""COMPUTED_VALUE"""),"https://www.tiktok.com/@nina_kadier/video/7620224540446084360?is_from_webapp=1&amp;sender_device=pc")</f>
        <v>https://www.tiktok.com/@nina_kadier/video/7620224540446084360?is_from_webapp=1&amp;sender_device=pc</v>
      </c>
    </row>
    <row r="210">
      <c r="A210" s="255" t="str">
        <f>IFERROR(__xludf.DUMMYFUNCTION("""COMPUTED_VALUE"""),"MICRO")</f>
        <v>MICRO</v>
      </c>
      <c r="B210" s="361" t="str">
        <f>IFERROR(__xludf.DUMMYFUNCTION("""COMPUTED_VALUE"""),"liantyhijab_")</f>
        <v>liantyhijab_</v>
      </c>
      <c r="C210" s="257" t="str">
        <f>IFERROR(__xludf.DUMMYFUNCTION("""COMPUTED_VALUE"""),"https://www.tiktok.com/@liantyhijab_")</f>
        <v>https://www.tiktok.com/@liantyhijab_</v>
      </c>
      <c r="D210" s="270">
        <f>IFERROR(__xludf.DUMMYFUNCTION("""COMPUTED_VALUE"""),8.823709605E10)</f>
        <v>88237096050</v>
      </c>
      <c r="E210" s="457">
        <f>IFERROR(__xludf.DUMMYFUNCTION("""COMPUTED_VALUE"""),0.0)</f>
        <v>0</v>
      </c>
      <c r="F210" s="270">
        <f>IFERROR(__xludf.DUMMYFUNCTION("""COMPUTED_VALUE"""),4.0)</f>
        <v>4</v>
      </c>
      <c r="G210" s="17" t="str">
        <f>IFERROR(__xludf.DUMMYFUNCTION("""COMPUTED_VALUE"""),"Sabun batang 1 Box ( 2 PCS )")</f>
        <v>Sabun batang 1 Box ( 2 PCS )</v>
      </c>
      <c r="H210" s="463" t="str">
        <f>IFERROR(__xludf.DUMMYFUNCTION("""COMPUTED_VALUE"""),"Sampai")</f>
        <v>Sampai</v>
      </c>
      <c r="I210" s="464" t="str">
        <f>IFERROR(__xludf.DUMMYFUNCTION("""COMPUTED_VALUE"""),"KIMME")</f>
        <v>KIMME</v>
      </c>
      <c r="J210" s="279" t="str">
        <f>IFERROR(__xludf.DUMMYFUNCTION("""COMPUTED_VALUE"""),"https://www.tiktok.com/@liantyhijab_/video/7612155232662981908?is_from_webapp=1&amp;sender_device=pc")</f>
        <v>https://www.tiktok.com/@liantyhijab_/video/7612155232662981908?is_from_webapp=1&amp;sender_device=pc</v>
      </c>
      <c r="K210" s="464" t="str">
        <f>IFERROR(__xludf.DUMMYFUNCTION("""COMPUTED_VALUE"""),"KIMME")</f>
        <v>KIMME</v>
      </c>
      <c r="L210" s="279" t="str">
        <f>IFERROR(__xludf.DUMMYFUNCTION("""COMPUTED_VALUE"""),"https://www.tiktok.com/@liantyhijab_/video/7616298225225452820?is_from_webapp=1&amp;sender_device=pc")</f>
        <v>https://www.tiktok.com/@liantyhijab_/video/7616298225225452820?is_from_webapp=1&amp;sender_device=pc</v>
      </c>
      <c r="M210" s="464" t="str">
        <f>IFERROR(__xludf.DUMMYFUNCTION("""COMPUTED_VALUE"""),"KIMME")</f>
        <v>KIMME</v>
      </c>
      <c r="N210" s="279" t="str">
        <f>IFERROR(__xludf.DUMMYFUNCTION("""COMPUTED_VALUE"""),"https://www.tiktok.com/@liantyhijab_/video/7621491790280953109?_r=1&amp;u_code=dl653b85caj10h&amp;region=&amp;mid=7615192504778590984&amp;preview_pb=0&amp;sharer_language=&amp;_d=0&amp;ec_shared_reflux_dynamic_params=%7B%22placeholder_material_id%22%3A%227621491790280953109%22%2C%22"&amp;"placeholder_origin_cover%22%3A%22https%253A%252F%252Fp16-sign-sg.tiktokcdn.com%252Ftos-alisg-p-0037%252FoUnEBxlccQAPro7ZOZenJfBDkgEm5BDupQyRGF~tplv-tiktokx-origin.jpeg%253Fdr%253D14572%2526refresh_token%253Db9449091%2526x-expires%253D1806051600%2526x-sign"&amp;"ature%253DJvpMp8VyqupOr9QrPYuSDKShH1o%25253D%2526t%253D4d5b0474%2526ps%253D13740610%2526shp%253Dd05b14bd%2526shcp%253D34ff8df6%2526idc%253Dmy2%2526s%253DTIKTOK_AFFILIATE_VIRAL_VIDEO%22%2C%22placeholder_product_id%22%3A%221729427766722726591%22%2C%22placeh"&amp;"older_video_id%22%3A%227621491790280953109%22%7D&amp;ec_shared_reflux_scene=shop_tab_feed&amp;share_item_id=7621491790280953109&amp;source=h5_t")</f>
        <v>https://www.tiktok.com/@liantyhijab_/video/7621491790280953109?_r=1&amp;u_code=dl653b85caj10h&amp;region=&amp;mid=7615192504778590984&amp;preview_pb=0&amp;sharer_language=&amp;_d=0&amp;ec_shared_reflux_dynamic_params=%7B%22placeholder_material_id%22%3A%227621491790280953109%22%2C%22placeholder_origin_cover%22%3A%22https%253A%252F%252Fp16-sign-sg.tiktokcdn.com%252Ftos-alisg-p-0037%252FoUnEBxlccQAPro7ZOZenJfBDkgEm5BDupQyRGF~tplv-tiktokx-origin.jpeg%253Fdr%253D14572%2526refresh_token%253Db9449091%2526x-expires%253D1806051600%2526x-signature%253DJvpMp8VyqupOr9QrPYuSDKShH1o%25253D%2526t%253D4d5b0474%2526ps%253D13740610%2526shp%253Dd05b14bd%2526shcp%253D34ff8df6%2526idc%253Dmy2%2526s%253DTIKTOK_AFFILIATE_VIRAL_VIDEO%22%2C%22placeholder_product_id%22%3A%221729427766722726591%22%2C%22placeholder_video_id%22%3A%227621491790280953109%22%7D&amp;ec_shared_reflux_scene=shop_tab_feed&amp;share_item_id=7621491790280953109&amp;source=h5_t</v>
      </c>
      <c r="O210" s="464" t="str">
        <f>IFERROR(__xludf.DUMMYFUNCTION("""COMPUTED_VALUE"""),"KIMME")</f>
        <v>KIMME</v>
      </c>
      <c r="P210" s="279" t="str">
        <f>IFERROR(__xludf.DUMMYFUNCTION("""COMPUTED_VALUE"""),"https://www.tiktok.com/@sa.nisaluf/video/7631017669965188373?is_from_webapp=1&amp;sender_device=pc&amp;web_id=7611930277489657360")</f>
        <v>https://www.tiktok.com/@sa.nisaluf/video/7631017669965188373?is_from_webapp=1&amp;sender_device=pc&amp;web_id=7611930277489657360</v>
      </c>
    </row>
    <row r="211">
      <c r="A211" s="255" t="str">
        <f>IFERROR(__xludf.DUMMYFUNCTION("""COMPUTED_VALUE"""),"MICRO")</f>
        <v>MICRO</v>
      </c>
      <c r="B211" s="361" t="str">
        <f>IFERROR(__xludf.DUMMYFUNCTION("""COMPUTED_VALUE"""),"toko_apaajaada94
")</f>
        <v>toko_apaajaada94
</v>
      </c>
      <c r="C211" s="257" t="str">
        <f>IFERROR(__xludf.DUMMYFUNCTION("""COMPUTED_VALUE"""),"https://www.tiktok.com/@toko_apaajaada94
")</f>
        <v>https://www.tiktok.com/@toko_apaajaada94
</v>
      </c>
      <c r="D211" s="270">
        <f>IFERROR(__xludf.DUMMYFUNCTION("""COMPUTED_VALUE"""),8.1255148422E10)</f>
        <v>81255148422</v>
      </c>
      <c r="E211" s="457">
        <f>IFERROR(__xludf.DUMMYFUNCTION("""COMPUTED_VALUE"""),0.0)</f>
        <v>0</v>
      </c>
      <c r="F211" s="270">
        <f>IFERROR(__xludf.DUMMYFUNCTION("""COMPUTED_VALUE"""),2.0)</f>
        <v>2</v>
      </c>
      <c r="G211" s="17" t="str">
        <f>IFERROR(__xludf.DUMMYFUNCTION("""COMPUTED_VALUE"""),"Sabun batang 1 Box ( 2 PCS )")</f>
        <v>Sabun batang 1 Box ( 2 PCS )</v>
      </c>
      <c r="H211" s="463" t="str">
        <f>IFERROR(__xludf.DUMMYFUNCTION("""COMPUTED_VALUE"""),"Sampai")</f>
        <v>Sampai</v>
      </c>
      <c r="I211" s="464" t="str">
        <f>IFERROR(__xludf.DUMMYFUNCTION("""COMPUTED_VALUE"""),"KIMME")</f>
        <v>KIMME</v>
      </c>
      <c r="J211" s="279" t="str">
        <f>IFERROR(__xludf.DUMMYFUNCTION("""COMPUTED_VALUE"""),"https://www.tiktok.com/@toko_apaajaada94/video/7610668534875639060?is_from_webapp=1&amp;sender_device=pc")</f>
        <v>https://www.tiktok.com/@toko_apaajaada94/video/7610668534875639060?is_from_webapp=1&amp;sender_device=pc</v>
      </c>
      <c r="K211" s="464" t="str">
        <f>IFERROR(__xludf.DUMMYFUNCTION("""COMPUTED_VALUE"""),"KIMME")</f>
        <v>KIMME</v>
      </c>
      <c r="L211" s="279" t="str">
        <f>IFERROR(__xludf.DUMMYFUNCTION("""COMPUTED_VALUE"""),"https://www.tiktok.com/@toko_apaajaada94/video/7620280776898268436?_r=1&amp;u_code=d2a9i6mjmg1322&amp;region=&amp;mid=7620280859643513621&amp;preview_pb=0&amp;sharer_language=&amp;_d=0&amp;ec_shared_reflux_dynamic_params=%7B%22placeholder_material_id%22%3A%227620280776898268436%22%2"&amp;"C%22placeholder_origin_cover%22%3A%22https%253A%252F%252Fp16-common-sign.tiktokcdn.com%252Ftos-alisg-p-0037%252FocZYCIbBvUrAwt2yAaCdyEbXVBAsiicGI7BRi~tplv-tiktokx-origin.jpeg%253Fdr%253D14572%2526refresh_token%253Dbc1f5ae5%2526x-expires%253D1806051600%252"&amp;"6x-signature%253DxrKnS1Yznczbu3NmWtQXUTNddw4%25253D%2526t%253D4d5b0474%2526ps%253D13740610%2526shp%253Dd05b14bd%2526shcp%253D34ff8df6%2526idc%253Dmy2%2526s%253DTIKTOK_AFFILIATE_VIRAL_VIDEO%22%2C%22placeholder_product_id%22%3A%221729427766722726591%22%2C%2"&amp;"2placeholder_video_id%22%3A%227620280776898268436%22%7D&amp;ec_shared_reflux_scene=shop_tab_feed&amp;share_item_id=7620280776898268436&amp;source=h5_t")</f>
        <v>https://www.tiktok.com/@toko_apaajaada94/video/7620280776898268436?_r=1&amp;u_code=d2a9i6mjmg1322&amp;region=&amp;mid=7620280859643513621&amp;preview_pb=0&amp;sharer_language=&amp;_d=0&amp;ec_shared_reflux_dynamic_params=%7B%22placeholder_material_id%22%3A%227620280776898268436%22%2C%22placeholder_origin_cover%22%3A%22https%253A%252F%252Fp16-common-sign.tiktokcdn.com%252Ftos-alisg-p-0037%252FocZYCIbBvUrAwt2yAaCdyEbXVBAsiicGI7BRi~tplv-tiktokx-origin.jpeg%253Fdr%253D14572%2526refresh_token%253Dbc1f5ae5%2526x-expires%253D1806051600%2526x-signature%253DxrKnS1Yznczbu3NmWtQXUTNddw4%25253D%2526t%253D4d5b0474%2526ps%253D13740610%2526shp%253Dd05b14bd%2526shcp%253D34ff8df6%2526idc%253Dmy2%2526s%253DTIKTOK_AFFILIATE_VIRAL_VIDEO%22%2C%22placeholder_product_id%22%3A%221729427766722726591%22%2C%22placeholder_video_id%22%3A%227620280776898268436%22%7D&amp;ec_shared_reflux_scene=shop_tab_feed&amp;share_item_id=7620280776898268436&amp;source=h5_t</v>
      </c>
      <c r="M211" s="464"/>
      <c r="N211" s="279" t="str">
        <f>IFERROR(__xludf.DUMMYFUNCTION("""COMPUTED_VALUE"""),"https://vt.tiktok.com/ZS9qMKEE9/")</f>
        <v>https://vt.tiktok.com/ZS9qMKEE9/</v>
      </c>
      <c r="O211" s="464"/>
      <c r="P211" s="279" t="str">
        <f>IFERROR(__xludf.DUMMYFUNCTION("""COMPUTED_VALUE"""),"https://vt.tiktok.com/ZS9qMsfcK/")</f>
        <v>https://vt.tiktok.com/ZS9qMsfcK/</v>
      </c>
    </row>
    <row r="212">
      <c r="A212" s="255" t="str">
        <f>IFERROR(__xludf.DUMMYFUNCTION("""COMPUTED_VALUE"""),"MICRO")</f>
        <v>MICRO</v>
      </c>
      <c r="B212" s="361" t="str">
        <f>IFERROR(__xludf.DUMMYFUNCTION("""COMPUTED_VALUE"""),"miikaylahafizah")</f>
        <v>miikaylahafizah</v>
      </c>
      <c r="C212" s="257" t="str">
        <f>IFERROR(__xludf.DUMMYFUNCTION("""COMPUTED_VALUE"""),"https://www.tiktok.com/@miikaylahafizah")</f>
        <v>https://www.tiktok.com/@miikaylahafizah</v>
      </c>
      <c r="D212" s="270">
        <f>IFERROR(__xludf.DUMMYFUNCTION("""COMPUTED_VALUE"""),8.5895244228E10)</f>
        <v>85895244228</v>
      </c>
      <c r="E212" s="457">
        <f>IFERROR(__xludf.DUMMYFUNCTION("""COMPUTED_VALUE"""),0.0)</f>
        <v>0</v>
      </c>
      <c r="F212" s="270">
        <f>IFERROR(__xludf.DUMMYFUNCTION("""COMPUTED_VALUE"""),4.0)</f>
        <v>4</v>
      </c>
      <c r="G212" s="17" t="str">
        <f>IFERROR(__xludf.DUMMYFUNCTION("""COMPUTED_VALUE"""),"Sabun batang 1 Box ( 2 PCS )")</f>
        <v>Sabun batang 1 Box ( 2 PCS )</v>
      </c>
      <c r="H212" s="463" t="str">
        <f>IFERROR(__xludf.DUMMYFUNCTION("""COMPUTED_VALUE"""),"Sampai")</f>
        <v>Sampai</v>
      </c>
      <c r="I212" s="464" t="str">
        <f>IFERROR(__xludf.DUMMYFUNCTION("""COMPUTED_VALUE"""),"KIMME")</f>
        <v>KIMME</v>
      </c>
      <c r="J212" s="279" t="str">
        <f>IFERROR(__xludf.DUMMYFUNCTION("""COMPUTED_VALUE"""),"https://www.tiktok.com/@nina_kadier/video/7621964723227036935?is_from_webapp=1&amp;sender_device=pc")</f>
        <v>https://www.tiktok.com/@nina_kadier/video/7621964723227036935?is_from_webapp=1&amp;sender_device=pc</v>
      </c>
      <c r="K212" s="464" t="str">
        <f>IFERROR(__xludf.DUMMYFUNCTION("""COMPUTED_VALUE"""),"KIMME")</f>
        <v>KIMME</v>
      </c>
      <c r="L212" s="279" t="str">
        <f>IFERROR(__xludf.DUMMYFUNCTION("""COMPUTED_VALUE"""),"https://www.tiktok.com/@nina_kadier/video/7623047762770201864?is_from_webapp=1&amp;sender_device=pc")</f>
        <v>https://www.tiktok.com/@nina_kadier/video/7623047762770201864?is_from_webapp=1&amp;sender_device=pc</v>
      </c>
      <c r="M212" s="464" t="str">
        <f>IFERROR(__xludf.DUMMYFUNCTION("""COMPUTED_VALUE"""),"KIMME")</f>
        <v>KIMME</v>
      </c>
      <c r="N212" s="279" t="str">
        <f>IFERROR(__xludf.DUMMYFUNCTION("""COMPUTED_VALUE"""),"https://www.tiktok.com/@nina_kadier/video/7623623080400915719?is_from_webapp=1&amp;sender_device=pc")</f>
        <v>https://www.tiktok.com/@nina_kadier/video/7623623080400915719?is_from_webapp=1&amp;sender_device=pc</v>
      </c>
      <c r="O212" s="464" t="str">
        <f>IFERROR(__xludf.DUMMYFUNCTION("""COMPUTED_VALUE"""),"KIMME")</f>
        <v>KIMME</v>
      </c>
      <c r="P212" s="279" t="str">
        <f>IFERROR(__xludf.DUMMYFUNCTION("""COMPUTED_VALUE"""),"https://www.tiktok.com/@nina_kadier/video/7624545745886088466?is_from_webapp=1&amp;sender_device=pc")</f>
        <v>https://www.tiktok.com/@nina_kadier/video/7624545745886088466?is_from_webapp=1&amp;sender_device=pc</v>
      </c>
    </row>
    <row r="213">
      <c r="A213" s="255" t="str">
        <f>IFERROR(__xludf.DUMMYFUNCTION("""COMPUTED_VALUE"""),"MICRO")</f>
        <v>MICRO</v>
      </c>
      <c r="B213" s="361" t="str">
        <f>IFERROR(__xludf.DUMMYFUNCTION("""COMPUTED_VALUE"""),"vivikimss")</f>
        <v>vivikimss</v>
      </c>
      <c r="C213" s="257" t="str">
        <f>IFERROR(__xludf.DUMMYFUNCTION("""COMPUTED_VALUE"""),"https://www.tiktok.com/@vivikimss")</f>
        <v>https://www.tiktok.com/@vivikimss</v>
      </c>
      <c r="D213" s="270">
        <f>IFERROR(__xludf.DUMMYFUNCTION("""COMPUTED_VALUE"""),8.2241420854E10)</f>
        <v>82241420854</v>
      </c>
      <c r="E213" s="457">
        <f>IFERROR(__xludf.DUMMYFUNCTION("""COMPUTED_VALUE"""),0.0)</f>
        <v>0</v>
      </c>
      <c r="F213" s="270">
        <f>IFERROR(__xludf.DUMMYFUNCTION("""COMPUTED_VALUE"""),2.0)</f>
        <v>2</v>
      </c>
      <c r="G213" s="17" t="str">
        <f>IFERROR(__xludf.DUMMYFUNCTION("""COMPUTED_VALUE"""),"Sabun batang 1 Box ( 2 PCS )")</f>
        <v>Sabun batang 1 Box ( 2 PCS )</v>
      </c>
      <c r="H213" s="463" t="str">
        <f>IFERROR(__xludf.DUMMYFUNCTION("""COMPUTED_VALUE"""),"Sampai")</f>
        <v>Sampai</v>
      </c>
      <c r="I213" s="464" t="str">
        <f>IFERROR(__xludf.DUMMYFUNCTION("""COMPUTED_VALUE"""),"KIMME")</f>
        <v>KIMME</v>
      </c>
      <c r="J213" s="279" t="str">
        <f>IFERROR(__xludf.DUMMYFUNCTION("""COMPUTED_VALUE"""),"https://vt.tiktok.com/ZS9qMTyo6/")</f>
        <v>https://vt.tiktok.com/ZS9qMTyo6/</v>
      </c>
      <c r="K213" s="464" t="str">
        <f>IFERROR(__xludf.DUMMYFUNCTION("""COMPUTED_VALUE"""),"KIMME")</f>
        <v>KIMME</v>
      </c>
      <c r="L213" s="279" t="str">
        <f>IFERROR(__xludf.DUMMYFUNCTION("""COMPUTED_VALUE"""),"https://vt.tiktok.com/ZS9qMgAno/")</f>
        <v>https://vt.tiktok.com/ZS9qMgAno/</v>
      </c>
      <c r="M213" s="464"/>
      <c r="N213" s="279" t="str">
        <f>IFERROR(__xludf.DUMMYFUNCTION("""COMPUTED_VALUE"""),"https://vt.tiktok.com/ZS9qrd86U/")</f>
        <v>https://vt.tiktok.com/ZS9qrd86U/</v>
      </c>
      <c r="O213" s="464"/>
      <c r="P213" s="279" t="str">
        <f>IFERROR(__xludf.DUMMYFUNCTION("""COMPUTED_VALUE"""),"https://vt.tiktok.com/ZS9qMn9Au/")</f>
        <v>https://vt.tiktok.com/ZS9qMn9Au/</v>
      </c>
    </row>
    <row r="214">
      <c r="A214" s="255" t="str">
        <f>IFERROR(__xludf.DUMMYFUNCTION("""COMPUTED_VALUE"""),"MICRO")</f>
        <v>MICRO</v>
      </c>
      <c r="B214" s="361" t="str">
        <f>IFERROR(__xludf.DUMMYFUNCTION("""COMPUTED_VALUE"""),"thonesachw")</f>
        <v>thonesachw</v>
      </c>
      <c r="C214" s="257" t="str">
        <f>IFERROR(__xludf.DUMMYFUNCTION("""COMPUTED_VALUE"""),"https://www.tiktok.com/@thonesachw")</f>
        <v>https://www.tiktok.com/@thonesachw</v>
      </c>
      <c r="D214" s="270">
        <f>IFERROR(__xludf.DUMMYFUNCTION("""COMPUTED_VALUE"""),8.2186354519E10)</f>
        <v>82186354519</v>
      </c>
      <c r="E214" s="457">
        <f>IFERROR(__xludf.DUMMYFUNCTION("""COMPUTED_VALUE"""),0.0)</f>
        <v>0</v>
      </c>
      <c r="F214" s="270">
        <f>IFERROR(__xludf.DUMMYFUNCTION("""COMPUTED_VALUE"""),4.0)</f>
        <v>4</v>
      </c>
      <c r="G214" s="17" t="str">
        <f>IFERROR(__xludf.DUMMYFUNCTION("""COMPUTED_VALUE"""),"Sabun batang 1 Box ( 2 PCS )")</f>
        <v>Sabun batang 1 Box ( 2 PCS )</v>
      </c>
      <c r="H214" s="463" t="str">
        <f>IFERROR(__xludf.DUMMYFUNCTION("""COMPUTED_VALUE"""),"Sampai")</f>
        <v>Sampai</v>
      </c>
      <c r="I214" s="464" t="str">
        <f>IFERROR(__xludf.DUMMYFUNCTION("""COMPUTED_VALUE"""),"KIMME")</f>
        <v>KIMME</v>
      </c>
      <c r="J214" s="279" t="str">
        <f>IFERROR(__xludf.DUMMYFUNCTION("""COMPUTED_VALUE"""),"https://vt.tiktok.com/ZSuDPppTS/")</f>
        <v>https://vt.tiktok.com/ZSuDPppTS/</v>
      </c>
      <c r="K214" s="464" t="str">
        <f>IFERROR(__xludf.DUMMYFUNCTION("""COMPUTED_VALUE"""),"KIMME")</f>
        <v>KIMME</v>
      </c>
      <c r="L214" s="279" t="str">
        <f>IFERROR(__xludf.DUMMYFUNCTION("""COMPUTED_VALUE"""),"https://vt.tiktok.com/ZSHFSQRfh/")</f>
        <v>https://vt.tiktok.com/ZSHFSQRfh/</v>
      </c>
      <c r="M214" s="464" t="str">
        <f>IFERROR(__xludf.DUMMYFUNCTION("""COMPUTED_VALUE"""),"KIMME")</f>
        <v>KIMME</v>
      </c>
      <c r="N214" s="279" t="str">
        <f>IFERROR(__xludf.DUMMYFUNCTION("""COMPUTED_VALUE"""),"https://vt.tiktok.com/ZSHFSWM2a/")</f>
        <v>https://vt.tiktok.com/ZSHFSWM2a/</v>
      </c>
      <c r="O214" s="464" t="str">
        <f>IFERROR(__xludf.DUMMYFUNCTION("""COMPUTED_VALUE"""),"KIMME")</f>
        <v>KIMME</v>
      </c>
      <c r="P214" s="279" t="str">
        <f>IFERROR(__xludf.DUMMYFUNCTION("""COMPUTED_VALUE"""),"https://vt.tiktok.com/ZS9dXQErf/")</f>
        <v>https://vt.tiktok.com/ZS9dXQErf/</v>
      </c>
    </row>
    <row r="215">
      <c r="A215" s="255" t="str">
        <f>IFERROR(__xludf.DUMMYFUNCTION("""COMPUTED_VALUE"""),"MACRO")</f>
        <v>MACRO</v>
      </c>
      <c r="B215" s="361" t="str">
        <f>IFERROR(__xludf.DUMMYFUNCTION("""COMPUTED_VALUE"""),"erwinmuter")</f>
        <v>erwinmuter</v>
      </c>
      <c r="C215" s="257" t="str">
        <f>IFERROR(__xludf.DUMMYFUNCTION("""COMPUTED_VALUE"""),"https://www.tiktok.com/@erwinmuter")</f>
        <v>https://www.tiktok.com/@erwinmuter</v>
      </c>
      <c r="D215" s="270">
        <f>IFERROR(__xludf.DUMMYFUNCTION("""COMPUTED_VALUE"""),8.9603058586E10)</f>
        <v>89603058586</v>
      </c>
      <c r="E215" s="457">
        <f>IFERROR(__xludf.DUMMYFUNCTION("""COMPUTED_VALUE"""),0.0)</f>
        <v>0</v>
      </c>
      <c r="F215" s="270">
        <f>IFERROR(__xludf.DUMMYFUNCTION("""COMPUTED_VALUE"""),4.0)</f>
        <v>4</v>
      </c>
      <c r="G215" s="17" t="str">
        <f>IFERROR(__xludf.DUMMYFUNCTION("""COMPUTED_VALUE"""),"Sabun batang 1 Box ( 2 PCS )")</f>
        <v>Sabun batang 1 Box ( 2 PCS )</v>
      </c>
      <c r="H215" s="463" t="str">
        <f>IFERROR(__xludf.DUMMYFUNCTION("""COMPUTED_VALUE"""),"Sampai")</f>
        <v>Sampai</v>
      </c>
      <c r="I215" s="464" t="str">
        <f>IFERROR(__xludf.DUMMYFUNCTION("""COMPUTED_VALUE"""),"KIMME")</f>
        <v>KIMME</v>
      </c>
      <c r="J215" s="17"/>
      <c r="K215" s="464" t="str">
        <f>IFERROR(__xludf.DUMMYFUNCTION("""COMPUTED_VALUE"""),"KIMME")</f>
        <v>KIMME</v>
      </c>
      <c r="L215" s="17"/>
      <c r="M215" s="464" t="str">
        <f>IFERROR(__xludf.DUMMYFUNCTION("""COMPUTED_VALUE"""),"KIMME")</f>
        <v>KIMME</v>
      </c>
      <c r="N215" s="17"/>
      <c r="O215" s="464" t="str">
        <f>IFERROR(__xludf.DUMMYFUNCTION("""COMPUTED_VALUE"""),"KIMME")</f>
        <v>KIMME</v>
      </c>
      <c r="P215" s="17"/>
    </row>
    <row r="216">
      <c r="A216" s="255" t="str">
        <f>IFERROR(__xludf.DUMMYFUNCTION("""COMPUTED_VALUE"""),"MICRO")</f>
        <v>MICRO</v>
      </c>
      <c r="B216" s="361" t="str">
        <f>IFERROR(__xludf.DUMMYFUNCTION("""COMPUTED_VALUE"""),"bangfine_")</f>
        <v>bangfine_</v>
      </c>
      <c r="C216" s="257" t="str">
        <f>IFERROR(__xludf.DUMMYFUNCTION("""COMPUTED_VALUE"""),"https://www.tiktok.com/@bangfine_")</f>
        <v>https://www.tiktok.com/@bangfine_</v>
      </c>
      <c r="D216" s="270">
        <f>IFERROR(__xludf.DUMMYFUNCTION("""COMPUTED_VALUE"""),8.5869833638E10)</f>
        <v>85869833638</v>
      </c>
      <c r="E216" s="457">
        <f>IFERROR(__xludf.DUMMYFUNCTION("""COMPUTED_VALUE"""),0.0)</f>
        <v>0</v>
      </c>
      <c r="F216" s="270">
        <f>IFERROR(__xludf.DUMMYFUNCTION("""COMPUTED_VALUE"""),4.0)</f>
        <v>4</v>
      </c>
      <c r="G216" s="17" t="str">
        <f>IFERROR(__xludf.DUMMYFUNCTION("""COMPUTED_VALUE"""),"Sabun batang 1 Box ( 2 PCS )")</f>
        <v>Sabun batang 1 Box ( 2 PCS )</v>
      </c>
      <c r="H216" s="463" t="str">
        <f>IFERROR(__xludf.DUMMYFUNCTION("""COMPUTED_VALUE"""),"Sampai")</f>
        <v>Sampai</v>
      </c>
      <c r="I216" s="464" t="str">
        <f>IFERROR(__xludf.DUMMYFUNCTION("""COMPUTED_VALUE"""),"KIMME")</f>
        <v>KIMME</v>
      </c>
      <c r="J216" s="279" t="str">
        <f>IFERROR(__xludf.DUMMYFUNCTION("""COMPUTED_VALUE"""),"https://vt.tiktok.com/ZSHPdD1ja/")</f>
        <v>https://vt.tiktok.com/ZSHPdD1ja/</v>
      </c>
      <c r="K216" s="464" t="str">
        <f>IFERROR(__xludf.DUMMYFUNCTION("""COMPUTED_VALUE"""),"KIMME")</f>
        <v>KIMME</v>
      </c>
      <c r="L216" s="279" t="str">
        <f>IFERROR(__xludf.DUMMYFUNCTION("""COMPUTED_VALUE"""),"https://vt.tiktok.com/ZSHPpQkcf/")</f>
        <v>https://vt.tiktok.com/ZSHPpQkcf/</v>
      </c>
      <c r="M216" s="464" t="str">
        <f>IFERROR(__xludf.DUMMYFUNCTION("""COMPUTED_VALUE"""),"KIMME")</f>
        <v>KIMME</v>
      </c>
      <c r="N216" s="279" t="str">
        <f>IFERROR(__xludf.DUMMYFUNCTION("""COMPUTED_VALUE"""),"https://vt.tiktok.com/ZSHpMTC2p/")</f>
        <v>https://vt.tiktok.com/ZSHpMTC2p/</v>
      </c>
      <c r="O216" s="464" t="str">
        <f>IFERROR(__xludf.DUMMYFUNCTION("""COMPUTED_VALUE"""),"KIMME")</f>
        <v>KIMME</v>
      </c>
      <c r="P216" s="279" t="str">
        <f>IFERROR(__xludf.DUMMYFUNCTION("""COMPUTED_VALUE"""),"https://vt.tiktok.com/ZSHprffPq/")</f>
        <v>https://vt.tiktok.com/ZSHprffPq/</v>
      </c>
    </row>
    <row r="217">
      <c r="A217" s="255" t="str">
        <f>IFERROR(__xludf.DUMMYFUNCTION("""COMPUTED_VALUE"""),"MACRO")</f>
        <v>MACRO</v>
      </c>
      <c r="B217" s="361" t="str">
        <f>IFERROR(__xludf.DUMMYFUNCTION("""COMPUTED_VALUE"""),"elsachawul_")</f>
        <v>elsachawul_</v>
      </c>
      <c r="C217" s="257" t="str">
        <f>IFERROR(__xludf.DUMMYFUNCTION("""COMPUTED_VALUE"""),"https://www.tiktok.com/@elsachawul_")</f>
        <v>https://www.tiktok.com/@elsachawul_</v>
      </c>
      <c r="D217" s="270">
        <f>IFERROR(__xludf.DUMMYFUNCTION("""COMPUTED_VALUE"""),8.95328487696E11)</f>
        <v>895328487696</v>
      </c>
      <c r="E217" s="457">
        <f>IFERROR(__xludf.DUMMYFUNCTION("""COMPUTED_VALUE"""),0.0)</f>
        <v>0</v>
      </c>
      <c r="F217" s="270">
        <f>IFERROR(__xludf.DUMMYFUNCTION("""COMPUTED_VALUE"""),4.0)</f>
        <v>4</v>
      </c>
      <c r="G217" s="17" t="str">
        <f>IFERROR(__xludf.DUMMYFUNCTION("""COMPUTED_VALUE"""),"Sabun batang 1 Box ( 2 PCS )")</f>
        <v>Sabun batang 1 Box ( 2 PCS )</v>
      </c>
      <c r="H217" s="463" t="str">
        <f>IFERROR(__xludf.DUMMYFUNCTION("""COMPUTED_VALUE"""),"Sampai")</f>
        <v>Sampai</v>
      </c>
      <c r="I217" s="464" t="str">
        <f>IFERROR(__xludf.DUMMYFUNCTION("""COMPUTED_VALUE"""),"KIMME")</f>
        <v>KIMME</v>
      </c>
      <c r="J217" s="279" t="str">
        <f>IFERROR(__xludf.DUMMYFUNCTION("""COMPUTED_VALUE"""),"https://vt.tiktok.com/ZSuk4GUL3/")</f>
        <v>https://vt.tiktok.com/ZSuk4GUL3/</v>
      </c>
      <c r="K217" s="464" t="str">
        <f>IFERROR(__xludf.DUMMYFUNCTION("""COMPUTED_VALUE"""),"KIMME")</f>
        <v>KIMME</v>
      </c>
      <c r="L217" s="279" t="str">
        <f>IFERROR(__xludf.DUMMYFUNCTION("""COMPUTED_VALUE"""),"https://vt.tiktok.com/ZSH2X5KgM/")</f>
        <v>https://vt.tiktok.com/ZSH2X5KgM/</v>
      </c>
      <c r="M217" s="464" t="str">
        <f>IFERROR(__xludf.DUMMYFUNCTION("""COMPUTED_VALUE"""),"KIMME")</f>
        <v>KIMME</v>
      </c>
      <c r="N217" s="279" t="str">
        <f>IFERROR(__xludf.DUMMYFUNCTION("""COMPUTED_VALUE"""),"https://vt.tiktok.com/ZSH2XfSmq/")</f>
        <v>https://vt.tiktok.com/ZSH2XfSmq/</v>
      </c>
      <c r="O217" s="464" t="str">
        <f>IFERROR(__xludf.DUMMYFUNCTION("""COMPUTED_VALUE"""),"KIMME")</f>
        <v>KIMME</v>
      </c>
      <c r="P217" s="279" t="str">
        <f>IFERROR(__xludf.DUMMYFUNCTION("""COMPUTED_VALUE"""),"https://vt.tiktok.com/ZSH2X2fwq/")</f>
        <v>https://vt.tiktok.com/ZSH2X2fwq/</v>
      </c>
    </row>
    <row r="218">
      <c r="A218" s="255" t="str">
        <f>IFERROR(__xludf.DUMMYFUNCTION("""COMPUTED_VALUE"""),"MICRO")</f>
        <v>MICRO</v>
      </c>
      <c r="B218" s="361" t="str">
        <f>IFERROR(__xludf.DUMMYFUNCTION("""COMPUTED_VALUE"""),"kakaklin_")</f>
        <v>kakaklin_</v>
      </c>
      <c r="C218" s="257" t="str">
        <f>IFERROR(__xludf.DUMMYFUNCTION("""COMPUTED_VALUE"""),"https://www.tiktok.com/@kakaklin_")</f>
        <v>https://www.tiktok.com/@kakaklin_</v>
      </c>
      <c r="D218" s="270">
        <f>IFERROR(__xludf.DUMMYFUNCTION("""COMPUTED_VALUE"""),8.2112568747E10)</f>
        <v>82112568747</v>
      </c>
      <c r="E218" s="457">
        <f>IFERROR(__xludf.DUMMYFUNCTION("""COMPUTED_VALUE"""),50000.0)</f>
        <v>50000</v>
      </c>
      <c r="F218" s="270">
        <f>IFERROR(__xludf.DUMMYFUNCTION("""COMPUTED_VALUE"""),4.0)</f>
        <v>4</v>
      </c>
      <c r="G218" s="17" t="str">
        <f>IFERROR(__xludf.DUMMYFUNCTION("""COMPUTED_VALUE"""),"Sabun batang 1 Box ( 2 PCS )")</f>
        <v>Sabun batang 1 Box ( 2 PCS )</v>
      </c>
      <c r="H218" s="463" t="str">
        <f>IFERROR(__xludf.DUMMYFUNCTION("""COMPUTED_VALUE"""),"Sampai")</f>
        <v>Sampai</v>
      </c>
      <c r="I218" s="464" t="str">
        <f>IFERROR(__xludf.DUMMYFUNCTION("""COMPUTED_VALUE"""),"KIMME")</f>
        <v>KIMME</v>
      </c>
      <c r="J218" s="279" t="str">
        <f>IFERROR(__xludf.DUMMYFUNCTION("""COMPUTED_VALUE"""),"https://vt.tiktok.com/ZSukuwVEe/")</f>
        <v>https://vt.tiktok.com/ZSukuwVEe/</v>
      </c>
      <c r="K218" s="464" t="str">
        <f>IFERROR(__xludf.DUMMYFUNCTION("""COMPUTED_VALUE"""),"KIMME")</f>
        <v>KIMME</v>
      </c>
      <c r="L218" s="279" t="str">
        <f>IFERROR(__xludf.DUMMYFUNCTION("""COMPUTED_VALUE"""),"https://vt.tiktok.com/ZSukHdTJu/")</f>
        <v>https://vt.tiktok.com/ZSukHdTJu/</v>
      </c>
      <c r="M218" s="464" t="str">
        <f>IFERROR(__xludf.DUMMYFUNCTION("""COMPUTED_VALUE"""),"KIMME")</f>
        <v>KIMME</v>
      </c>
      <c r="N218" s="279" t="str">
        <f>IFERROR(__xludf.DUMMYFUNCTION("""COMPUTED_VALUE"""),"https://vt.tiktok.com/ZSukH9A6p/")</f>
        <v>https://vt.tiktok.com/ZSukH9A6p/</v>
      </c>
      <c r="O218" s="464" t="str">
        <f>IFERROR(__xludf.DUMMYFUNCTION("""COMPUTED_VALUE"""),"KIMME")</f>
        <v>KIMME</v>
      </c>
      <c r="P218" s="279" t="str">
        <f>IFERROR(__xludf.DUMMYFUNCTION("""COMPUTED_VALUE"""),"https://vt.tiktok.com/ZSukHmyDB/")</f>
        <v>https://vt.tiktok.com/ZSukHmyDB/</v>
      </c>
    </row>
    <row r="219">
      <c r="A219" s="255" t="str">
        <f>IFERROR(__xludf.DUMMYFUNCTION("""COMPUTED_VALUE"""),"MICRO")</f>
        <v>MICRO</v>
      </c>
      <c r="B219" s="361" t="str">
        <f>IFERROR(__xludf.DUMMYFUNCTION("""COMPUTED_VALUE"""),"ozbahrilky")</f>
        <v>ozbahrilky</v>
      </c>
      <c r="C219" s="257" t="str">
        <f>IFERROR(__xludf.DUMMYFUNCTION("""COMPUTED_VALUE"""),"https://www.tiktok.com/@ozbahrilky")</f>
        <v>https://www.tiktok.com/@ozbahrilky</v>
      </c>
      <c r="D219" s="270">
        <f>IFERROR(__xludf.DUMMYFUNCTION("""COMPUTED_VALUE"""),8.5730026134E10)</f>
        <v>85730026134</v>
      </c>
      <c r="E219" s="457">
        <f>IFERROR(__xludf.DUMMYFUNCTION("""COMPUTED_VALUE"""),500000.0)</f>
        <v>500000</v>
      </c>
      <c r="F219" s="270">
        <f>IFERROR(__xludf.DUMMYFUNCTION("""COMPUTED_VALUE"""),4.0)</f>
        <v>4</v>
      </c>
      <c r="G219" s="17" t="str">
        <f>IFERROR(__xludf.DUMMYFUNCTION("""COMPUTED_VALUE"""),"Sabun batang 1 Box ( 2 PCS )")</f>
        <v>Sabun batang 1 Box ( 2 PCS )</v>
      </c>
      <c r="H219" s="463" t="str">
        <f>IFERROR(__xludf.DUMMYFUNCTION("""COMPUTED_VALUE"""),"Sampai")</f>
        <v>Sampai</v>
      </c>
      <c r="I219" s="464" t="str">
        <f>IFERROR(__xludf.DUMMYFUNCTION("""COMPUTED_VALUE"""),"KIMME")</f>
        <v>KIMME</v>
      </c>
      <c r="J219" s="279" t="str">
        <f>IFERROR(__xludf.DUMMYFUNCTION("""COMPUTED_VALUE"""),"https://www.tiktok.com/@ikkenovi18/video/7606175527128567058?is_from_webapp=1&amp;sender_device=pc")</f>
        <v>https://www.tiktok.com/@ikkenovi18/video/7606175527128567058?is_from_webapp=1&amp;sender_device=pc</v>
      </c>
      <c r="K219" s="464" t="str">
        <f>IFERROR(__xludf.DUMMYFUNCTION("""COMPUTED_VALUE"""),"KIMME")</f>
        <v>KIMME</v>
      </c>
      <c r="L219" s="279" t="str">
        <f>IFERROR(__xludf.DUMMYFUNCTION("""COMPUTED_VALUE"""),"https://www.tiktok.com/@ikkenovi18/video/7606267908636937480?is_from_webapp=1&amp;sender_device=pc")</f>
        <v>https://www.tiktok.com/@ikkenovi18/video/7606267908636937480?is_from_webapp=1&amp;sender_device=pc</v>
      </c>
      <c r="M219" s="464" t="str">
        <f>IFERROR(__xludf.DUMMYFUNCTION("""COMPUTED_VALUE"""),"KIMME")</f>
        <v>KIMME</v>
      </c>
      <c r="N219" s="279" t="str">
        <f>IFERROR(__xludf.DUMMYFUNCTION("""COMPUTED_VALUE"""),"https://www.tiktok.com/@ikkenovi18/video/7608032759923166482?is_from_webapp=1&amp;sender_device=pc")</f>
        <v>https://www.tiktok.com/@ikkenovi18/video/7608032759923166482?is_from_webapp=1&amp;sender_device=pc</v>
      </c>
      <c r="O219" s="464" t="str">
        <f>IFERROR(__xludf.DUMMYFUNCTION("""COMPUTED_VALUE"""),"KIMME")</f>
        <v>KIMME</v>
      </c>
      <c r="P219" s="279" t="str">
        <f>IFERROR(__xludf.DUMMYFUNCTION("""COMPUTED_VALUE"""),"https://www.tiktok.com/@ikkenovi18/video/7610993190442650888?is_from_webapp=1&amp;sender_device=pc")</f>
        <v>https://www.tiktok.com/@ikkenovi18/video/7610993190442650888?is_from_webapp=1&amp;sender_device=pc</v>
      </c>
    </row>
    <row r="220">
      <c r="A220" s="255" t="str">
        <f>IFERROR(__xludf.DUMMYFUNCTION("""COMPUTED_VALUE"""),"MICRO")</f>
        <v>MICRO</v>
      </c>
      <c r="B220" s="361" t="str">
        <f>IFERROR(__xludf.DUMMYFUNCTION("""COMPUTED_VALUE"""),"produkbestsellerkuy168")</f>
        <v>produkbestsellerkuy168</v>
      </c>
      <c r="C220" s="257" t="str">
        <f>IFERROR(__xludf.DUMMYFUNCTION("""COMPUTED_VALUE"""),"https://www.tiktok.com/@produkbestsellerkuy168")</f>
        <v>https://www.tiktok.com/@produkbestsellerkuy168</v>
      </c>
      <c r="D220" s="270">
        <f>IFERROR(__xludf.DUMMYFUNCTION("""COMPUTED_VALUE"""),8.1233421598E10)</f>
        <v>81233421598</v>
      </c>
      <c r="E220" s="457">
        <f>IFERROR(__xludf.DUMMYFUNCTION("""COMPUTED_VALUE"""),0.0)</f>
        <v>0</v>
      </c>
      <c r="F220" s="270">
        <f>IFERROR(__xludf.DUMMYFUNCTION("""COMPUTED_VALUE"""),4.0)</f>
        <v>4</v>
      </c>
      <c r="G220" s="17" t="str">
        <f>IFERROR(__xludf.DUMMYFUNCTION("""COMPUTED_VALUE"""),"Sabun batang 1 Box ( 2 PCS )")</f>
        <v>Sabun batang 1 Box ( 2 PCS )</v>
      </c>
      <c r="H220" s="463" t="str">
        <f>IFERROR(__xludf.DUMMYFUNCTION("""COMPUTED_VALUE"""),"Sampai")</f>
        <v>Sampai</v>
      </c>
      <c r="I220" s="464" t="str">
        <f>IFERROR(__xludf.DUMMYFUNCTION("""COMPUTED_VALUE"""),"KIMME")</f>
        <v>KIMME</v>
      </c>
      <c r="J220" s="279" t="str">
        <f>IFERROR(__xludf.DUMMYFUNCTION("""COMPUTED_VALUE"""),"https://vt.tiktok.com/ZS9qrLdCL/")</f>
        <v>https://vt.tiktok.com/ZS9qrLdCL/</v>
      </c>
      <c r="K220" s="464" t="str">
        <f>IFERROR(__xludf.DUMMYFUNCTION("""COMPUTED_VALUE"""),"KIMME")</f>
        <v>KIMME</v>
      </c>
      <c r="L220" s="279" t="str">
        <f>IFERROR(__xludf.DUMMYFUNCTION("""COMPUTED_VALUE"""),"https://vt.tiktok.com/ZS9qr8XER/")</f>
        <v>https://vt.tiktok.com/ZS9qr8XER/</v>
      </c>
      <c r="M220" s="464" t="str">
        <f>IFERROR(__xludf.DUMMYFUNCTION("""COMPUTED_VALUE"""),"KIMME")</f>
        <v>KIMME</v>
      </c>
      <c r="N220" s="279" t="str">
        <f>IFERROR(__xludf.DUMMYFUNCTION("""COMPUTED_VALUE"""),"https://vt.tiktok.com/ZS9qMT7qG/")</f>
        <v>https://vt.tiktok.com/ZS9qMT7qG/</v>
      </c>
      <c r="O220" s="464" t="str">
        <f>IFERROR(__xludf.DUMMYFUNCTION("""COMPUTED_VALUE"""),"KIMME")</f>
        <v>KIMME</v>
      </c>
      <c r="P220" s="279" t="str">
        <f>IFERROR(__xludf.DUMMYFUNCTION("""COMPUTED_VALUE"""),"https://vt.tiktok.com/ZS9qrB8j7/")</f>
        <v>https://vt.tiktok.com/ZS9qrB8j7/</v>
      </c>
    </row>
    <row r="221">
      <c r="A221" s="255" t="str">
        <f>IFERROR(__xludf.DUMMYFUNCTION("""COMPUTED_VALUE"""),"MICRO")</f>
        <v>MICRO</v>
      </c>
      <c r="B221" s="361" t="str">
        <f>IFERROR(__xludf.DUMMYFUNCTION("""COMPUTED_VALUE"""),"ikarahartati11")</f>
        <v>ikarahartati11</v>
      </c>
      <c r="C221" s="257" t="str">
        <f>IFERROR(__xludf.DUMMYFUNCTION("""COMPUTED_VALUE"""),"https://www.tiktok.com/@ikarahartati11")</f>
        <v>https://www.tiktok.com/@ikarahartati11</v>
      </c>
      <c r="D221" s="270">
        <f>IFERROR(__xludf.DUMMYFUNCTION("""COMPUTED_VALUE"""),8.5282384452E10)</f>
        <v>85282384452</v>
      </c>
      <c r="E221" s="457">
        <f>IFERROR(__xludf.DUMMYFUNCTION("""COMPUTED_VALUE"""),0.0)</f>
        <v>0</v>
      </c>
      <c r="F221" s="270">
        <f>IFERROR(__xludf.DUMMYFUNCTION("""COMPUTED_VALUE"""),1.0)</f>
        <v>1</v>
      </c>
      <c r="G221" s="17" t="str">
        <f>IFERROR(__xludf.DUMMYFUNCTION("""COMPUTED_VALUE"""),"Sabun batang 1 Box ( 2 PCS )")</f>
        <v>Sabun batang 1 Box ( 2 PCS )</v>
      </c>
      <c r="H221" s="463" t="str">
        <f>IFERROR(__xludf.DUMMYFUNCTION("""COMPUTED_VALUE"""),"Sampai")</f>
        <v>Sampai</v>
      </c>
      <c r="I221" s="464" t="str">
        <f>IFERROR(__xludf.DUMMYFUNCTION("""COMPUTED_VALUE"""),"KIMME")</f>
        <v>KIMME</v>
      </c>
      <c r="J221" s="279" t="str">
        <f>IFERROR(__xludf.DUMMYFUNCTION("""COMPUTED_VALUE"""),"https://vt.tiktok.com/ZSHy2NYLy/")</f>
        <v>https://vt.tiktok.com/ZSHy2NYLy/</v>
      </c>
      <c r="K221" s="464" t="str">
        <f>IFERROR(__xludf.DUMMYFUNCTION("""COMPUTED_VALUE"""),"KIMME")</f>
        <v>KIMME</v>
      </c>
      <c r="L221" s="279" t="str">
        <f>IFERROR(__xludf.DUMMYFUNCTION("""COMPUTED_VALUE"""),"https://vt.tiktok.com/ZS9qrrPPd/")</f>
        <v>https://vt.tiktok.com/ZS9qrrPPd/</v>
      </c>
      <c r="M221" s="464"/>
      <c r="N221" s="279" t="str">
        <f>IFERROR(__xludf.DUMMYFUNCTION("""COMPUTED_VALUE"""),"https://vt.tiktok.com/ZS9qrS6gc/")</f>
        <v>https://vt.tiktok.com/ZS9qrS6gc/</v>
      </c>
      <c r="O221" s="464"/>
      <c r="P221" s="279" t="str">
        <f>IFERROR(__xludf.DUMMYFUNCTION("""COMPUTED_VALUE"""),"https://vt.tiktok.com/ZS9qrHAdc/")</f>
        <v>https://vt.tiktok.com/ZS9qrHAdc/</v>
      </c>
    </row>
    <row r="222">
      <c r="A222" s="255" t="str">
        <f>IFERROR(__xludf.DUMMYFUNCTION("""COMPUTED_VALUE"""),"MICRO")</f>
        <v>MICRO</v>
      </c>
      <c r="B222" s="361" t="str">
        <f>IFERROR(__xludf.DUMMYFUNCTION("""COMPUTED_VALUE"""),"restuab17")</f>
        <v>restuab17</v>
      </c>
      <c r="C222" s="257" t="str">
        <f>IFERROR(__xludf.DUMMYFUNCTION("""COMPUTED_VALUE"""),"https://www.tiktok.com/@restuab17")</f>
        <v>https://www.tiktok.com/@restuab17</v>
      </c>
      <c r="D222" s="270">
        <f>IFERROR(__xludf.DUMMYFUNCTION("""COMPUTED_VALUE"""),8.7879529694E10)</f>
        <v>87879529694</v>
      </c>
      <c r="E222" s="457">
        <f>IFERROR(__xludf.DUMMYFUNCTION("""COMPUTED_VALUE"""),0.0)</f>
        <v>0</v>
      </c>
      <c r="F222" s="270">
        <f>IFERROR(__xludf.DUMMYFUNCTION("""COMPUTED_VALUE"""),3.0)</f>
        <v>3</v>
      </c>
      <c r="G222" s="17" t="str">
        <f>IFERROR(__xludf.DUMMYFUNCTION("""COMPUTED_VALUE"""),"Sabun batang 1 Box ( 2 PCS )")</f>
        <v>Sabun batang 1 Box ( 2 PCS )</v>
      </c>
      <c r="H222" s="463" t="str">
        <f>IFERROR(__xludf.DUMMYFUNCTION("""COMPUTED_VALUE"""),"Sampai")</f>
        <v>Sampai</v>
      </c>
      <c r="I222" s="464" t="str">
        <f>IFERROR(__xludf.DUMMYFUNCTION("""COMPUTED_VALUE"""),"KIMME")</f>
        <v>KIMME</v>
      </c>
      <c r="J222" s="279" t="str">
        <f>IFERROR(__xludf.DUMMYFUNCTION("""COMPUTED_VALUE"""),"https://www.tiktok.com/@restuab17/video/7621175796933315860?_r=1&amp;u_code=d0ka3c5b829ke2&amp;region=&amp;mid=7405532015485257745&amp;preview_pb=0&amp;sharer_language=&amp;_d=0&amp;ec_shared_reflux_dynamic_params=%7B%22placeholder_material_id%22%3A%227621175796933315860%22%2C%22pla"&amp;"ceholder_origin_cover%22%3A%22https%253A%252F%252Fp16-sign-sg.tiktokcdn.com%252Ftos-alisg-p-0037%252FoA7IEqopiiAqwwBgIRYBc2jhe62505pD1B0fBw~tplv-tiktokx-origin.jpeg%253Fdr%253D14572%2526refresh_token%253Df1d58419%2526x-expires%253D1806051600%2526x-signatu"&amp;"re%253DO2WtxgShjqxqxSEHKfi20X%25252F7rkc%25253D%2526t%253D4d5b0474%2526ps%253D13740610%2526shp%253Dd05b14bd%2526shcp%253D34ff8df6%2526idc%253Dmy2%2526s%253DTIKTOK_AFFILIATE_VIRAL_VIDEO%22%2C%22placeholder_product_id%22%3A%221729427766722726591%22%2C%22pla"&amp;"ceholder_video_id%22%3A%227621175796933315860%22%7D&amp;ec_shared_reflux_scene=shop_tab_feed&amp;share_item_id=7621175796933315860&amp;source=h5_t")</f>
        <v>https://www.tiktok.com/@restuab17/video/7621175796933315860?_r=1&amp;u_code=d0ka3c5b829ke2&amp;region=&amp;mid=7405532015485257745&amp;preview_pb=0&amp;sharer_language=&amp;_d=0&amp;ec_shared_reflux_dynamic_params=%7B%22placeholder_material_id%22%3A%227621175796933315860%22%2C%22placeholder_origin_cover%22%3A%22https%253A%252F%252Fp16-sign-sg.tiktokcdn.com%252Ftos-alisg-p-0037%252FoA7IEqopiiAqwwBgIRYBc2jhe62505pD1B0fBw~tplv-tiktokx-origin.jpeg%253Fdr%253D14572%2526refresh_token%253Df1d58419%2526x-expires%253D1806051600%2526x-signature%253DO2WtxgShjqxqxSEHKfi20X%25252F7rkc%25253D%2526t%253D4d5b0474%2526ps%253D13740610%2526shp%253Dd05b14bd%2526shcp%253D34ff8df6%2526idc%253Dmy2%2526s%253DTIKTOK_AFFILIATE_VIRAL_VIDEO%22%2C%22placeholder_product_id%22%3A%221729427766722726591%22%2C%22placeholder_video_id%22%3A%227621175796933315860%22%7D&amp;ec_shared_reflux_scene=shop_tab_feed&amp;share_item_id=7621175796933315860&amp;source=h5_t</v>
      </c>
      <c r="K222" s="464" t="str">
        <f>IFERROR(__xludf.DUMMYFUNCTION("""COMPUTED_VALUE"""),"KIMME")</f>
        <v>KIMME</v>
      </c>
      <c r="L222" s="279" t="str">
        <f>IFERROR(__xludf.DUMMYFUNCTION("""COMPUTED_VALUE"""),"https://vt.tiktok.com/ZSuw23KGE/")</f>
        <v>https://vt.tiktok.com/ZSuw23KGE/</v>
      </c>
      <c r="M222" s="464" t="str">
        <f>IFERROR(__xludf.DUMMYFUNCTION("""COMPUTED_VALUE"""),"KIMME")</f>
        <v>KIMME</v>
      </c>
      <c r="N222" s="279" t="str">
        <f>IFERROR(__xludf.DUMMYFUNCTION("""COMPUTED_VALUE"""),"https://vt.tiktok.com/ZSHFA9oRq/")</f>
        <v>https://vt.tiktok.com/ZSHFA9oRq/</v>
      </c>
      <c r="O222" s="464" t="str">
        <f>IFERROR(__xludf.DUMMYFUNCTION("""COMPUTED_VALUE"""),"KIMME")</f>
        <v>KIMME</v>
      </c>
      <c r="P222" s="279" t="str">
        <f>IFERROR(__xludf.DUMMYFUNCTION("""COMPUTED_VALUE"""),"https://vt.tiktok.com/ZSHFAP2qL/")</f>
        <v>https://vt.tiktok.com/ZSHFAP2qL/</v>
      </c>
    </row>
    <row r="223">
      <c r="A223" s="255" t="str">
        <f>IFERROR(__xludf.DUMMYFUNCTION("""COMPUTED_VALUE"""),"MICRO")</f>
        <v>MICRO</v>
      </c>
      <c r="B223" s="361" t="str">
        <f>IFERROR(__xludf.DUMMYFUNCTION("""COMPUTED_VALUE"""),"simas.032")</f>
        <v>simas.032</v>
      </c>
      <c r="C223" s="257" t="str">
        <f>IFERROR(__xludf.DUMMYFUNCTION("""COMPUTED_VALUE"""),"https://www.tiktok.com/@simas.032")</f>
        <v>https://www.tiktok.com/@simas.032</v>
      </c>
      <c r="D223" s="270">
        <f>IFERROR(__xludf.DUMMYFUNCTION("""COMPUTED_VALUE"""),8.3152670388E10)</f>
        <v>83152670388</v>
      </c>
      <c r="E223" s="457">
        <f>IFERROR(__xludf.DUMMYFUNCTION("""COMPUTED_VALUE"""),0.0)</f>
        <v>0</v>
      </c>
      <c r="F223" s="270">
        <f>IFERROR(__xludf.DUMMYFUNCTION("""COMPUTED_VALUE"""),4.0)</f>
        <v>4</v>
      </c>
      <c r="G223" s="17" t="str">
        <f>IFERROR(__xludf.DUMMYFUNCTION("""COMPUTED_VALUE"""),"Sabun batang 1 Box ( 2 PCS )")</f>
        <v>Sabun batang 1 Box ( 2 PCS )</v>
      </c>
      <c r="H223" s="463" t="str">
        <f>IFERROR(__xludf.DUMMYFUNCTION("""COMPUTED_VALUE"""),"Sampai")</f>
        <v>Sampai</v>
      </c>
      <c r="I223" s="464" t="str">
        <f>IFERROR(__xludf.DUMMYFUNCTION("""COMPUTED_VALUE"""),"KIMME")</f>
        <v>KIMME</v>
      </c>
      <c r="J223" s="279" t="str">
        <f>IFERROR(__xludf.DUMMYFUNCTION("""COMPUTED_VALUE"""),"https://www.tiktok.com/@simas.032/video/7605832677001907474?is_from_webapp=1&amp;sender_device=pc")</f>
        <v>https://www.tiktok.com/@simas.032/video/7605832677001907474?is_from_webapp=1&amp;sender_device=pc</v>
      </c>
      <c r="K223" s="464" t="str">
        <f>IFERROR(__xludf.DUMMYFUNCTION("""COMPUTED_VALUE"""),"KIMME")</f>
        <v>KIMME</v>
      </c>
      <c r="L223" s="279" t="str">
        <f>IFERROR(__xludf.DUMMYFUNCTION("""COMPUTED_VALUE"""),"https://www.tiktok.com/@simas.032/video/7606152933024992530?is_from_webapp=1&amp;sender_device=pc")</f>
        <v>https://www.tiktok.com/@simas.032/video/7606152933024992530?is_from_webapp=1&amp;sender_device=pc</v>
      </c>
      <c r="M223" s="464" t="str">
        <f>IFERROR(__xludf.DUMMYFUNCTION("""COMPUTED_VALUE"""),"KIMME")</f>
        <v>KIMME</v>
      </c>
      <c r="N223" s="279" t="str">
        <f>IFERROR(__xludf.DUMMYFUNCTION("""COMPUTED_VALUE"""),"https://www.tiktok.com/@simas.032/video/7606564587621764359?is_from_webapp=1&amp;sender_device=pc")</f>
        <v>https://www.tiktok.com/@simas.032/video/7606564587621764359?is_from_webapp=1&amp;sender_device=pc</v>
      </c>
      <c r="O223" s="464" t="str">
        <f>IFERROR(__xludf.DUMMYFUNCTION("""COMPUTED_VALUE"""),"KIMME")</f>
        <v>KIMME</v>
      </c>
      <c r="P223" s="279" t="str">
        <f>IFERROR(__xludf.DUMMYFUNCTION("""COMPUTED_VALUE"""),"https://www.tiktok.com/@simas.032/video/7613686061763546386?is_from_webapp=1&amp;sender_device=pc")</f>
        <v>https://www.tiktok.com/@simas.032/video/7613686061763546386?is_from_webapp=1&amp;sender_device=pc</v>
      </c>
    </row>
    <row r="224">
      <c r="A224" s="255" t="str">
        <f>IFERROR(__xludf.DUMMYFUNCTION("""COMPUTED_VALUE"""),"MICRO")</f>
        <v>MICRO</v>
      </c>
      <c r="B224" s="361" t="str">
        <f>IFERROR(__xludf.DUMMYFUNCTION("""COMPUTED_VALUE"""),"chichiddr")</f>
        <v>chichiddr</v>
      </c>
      <c r="C224" s="257" t="str">
        <f>IFERROR(__xludf.DUMMYFUNCTION("""COMPUTED_VALUE"""),"https://www.tiktok.com/@chichiddr")</f>
        <v>https://www.tiktok.com/@chichiddr</v>
      </c>
      <c r="D224" s="270">
        <f>IFERROR(__xludf.DUMMYFUNCTION("""COMPUTED_VALUE"""),8.2282673081E10)</f>
        <v>82282673081</v>
      </c>
      <c r="E224" s="457">
        <f>IFERROR(__xludf.DUMMYFUNCTION("""COMPUTED_VALUE"""),0.0)</f>
        <v>0</v>
      </c>
      <c r="F224" s="270">
        <f>IFERROR(__xludf.DUMMYFUNCTION("""COMPUTED_VALUE"""),4.0)</f>
        <v>4</v>
      </c>
      <c r="G224" s="17" t="str">
        <f>IFERROR(__xludf.DUMMYFUNCTION("""COMPUTED_VALUE"""),"Sabun batang 1 Box ( 2 PCS )")</f>
        <v>Sabun batang 1 Box ( 2 PCS )</v>
      </c>
      <c r="H224" s="463" t="str">
        <f>IFERROR(__xludf.DUMMYFUNCTION("""COMPUTED_VALUE"""),"Sampai")</f>
        <v>Sampai</v>
      </c>
      <c r="I224" s="464" t="str">
        <f>IFERROR(__xludf.DUMMYFUNCTION("""COMPUTED_VALUE"""),"KIMME")</f>
        <v>KIMME</v>
      </c>
      <c r="J224" s="279" t="str">
        <f>IFERROR(__xludf.DUMMYFUNCTION("""COMPUTED_VALUE"""),"https://vt.tiktok.com/ZSHFAsSBw/")</f>
        <v>https://vt.tiktok.com/ZSHFAsSBw/</v>
      </c>
      <c r="K224" s="464" t="str">
        <f>IFERROR(__xludf.DUMMYFUNCTION("""COMPUTED_VALUE"""),"KIMME")</f>
        <v>KIMME</v>
      </c>
      <c r="L224" s="279" t="str">
        <f>IFERROR(__xludf.DUMMYFUNCTION("""COMPUTED_VALUE"""),"https://vt.tiktok.com/ZSHFAQLfn/")</f>
        <v>https://vt.tiktok.com/ZSHFAQLfn/</v>
      </c>
      <c r="M224" s="464" t="str">
        <f>IFERROR(__xludf.DUMMYFUNCTION("""COMPUTED_VALUE"""),"KIMME")</f>
        <v>KIMME</v>
      </c>
      <c r="N224" s="279" t="str">
        <f>IFERROR(__xludf.DUMMYFUNCTION("""COMPUTED_VALUE"""),"https://vt.tiktok.com/ZSHFA481s/")</f>
        <v>https://vt.tiktok.com/ZSHFA481s/</v>
      </c>
      <c r="O224" s="464" t="str">
        <f>IFERROR(__xludf.DUMMYFUNCTION("""COMPUTED_VALUE"""),"KIMME")</f>
        <v>KIMME</v>
      </c>
      <c r="P224" s="279" t="str">
        <f>IFERROR(__xludf.DUMMYFUNCTION("""COMPUTED_VALUE"""),"https://vt.tiktok.com/ZSHFDqSRK/")</f>
        <v>https://vt.tiktok.com/ZSHFDqSRK/</v>
      </c>
    </row>
    <row r="225">
      <c r="A225" s="255" t="str">
        <f>IFERROR(__xludf.DUMMYFUNCTION("""COMPUTED_VALUE"""),"MICRO")</f>
        <v>MICRO</v>
      </c>
      <c r="B225" s="361" t="str">
        <f>IFERROR(__xludf.DUMMYFUNCTION("""COMPUTED_VALUE"""),"indri_0188")</f>
        <v>indri_0188</v>
      </c>
      <c r="C225" s="257" t="str">
        <f>IFERROR(__xludf.DUMMYFUNCTION("""COMPUTED_VALUE"""),"https://www.tiktok.com/@indri_0188")</f>
        <v>https://www.tiktok.com/@indri_0188</v>
      </c>
      <c r="D225" s="270">
        <f>IFERROR(__xludf.DUMMYFUNCTION("""COMPUTED_VALUE"""),8.5692935534E10)</f>
        <v>85692935534</v>
      </c>
      <c r="E225" s="457">
        <f>IFERROR(__xludf.DUMMYFUNCTION("""COMPUTED_VALUE"""),0.0)</f>
        <v>0</v>
      </c>
      <c r="F225" s="270">
        <f>IFERROR(__xludf.DUMMYFUNCTION("""COMPUTED_VALUE"""),4.0)</f>
        <v>4</v>
      </c>
      <c r="G225" s="17" t="str">
        <f>IFERROR(__xludf.DUMMYFUNCTION("""COMPUTED_VALUE"""),"Sabun batang 1 Box ( 2 PCS )")</f>
        <v>Sabun batang 1 Box ( 2 PCS )</v>
      </c>
      <c r="H225" s="463" t="str">
        <f>IFERROR(__xludf.DUMMYFUNCTION("""COMPUTED_VALUE"""),"Sampai")</f>
        <v>Sampai</v>
      </c>
      <c r="I225" s="464" t="str">
        <f>IFERROR(__xludf.DUMMYFUNCTION("""COMPUTED_VALUE"""),"KIMME")</f>
        <v>KIMME</v>
      </c>
      <c r="J225" s="279" t="str">
        <f>IFERROR(__xludf.DUMMYFUNCTION("""COMPUTED_VALUE"""),"https://www.tiktok.com/@indri_0188/video/7610721400114121992?is_from_webapp=1&amp;sender_device=pc")</f>
        <v>https://www.tiktok.com/@indri_0188/video/7610721400114121992?is_from_webapp=1&amp;sender_device=pc</v>
      </c>
      <c r="K225" s="464" t="str">
        <f>IFERROR(__xludf.DUMMYFUNCTION("""COMPUTED_VALUE"""),"KIMME")</f>
        <v>KIMME</v>
      </c>
      <c r="L225" s="279" t="str">
        <f>IFERROR(__xludf.DUMMYFUNCTION("""COMPUTED_VALUE"""),"https://www.tiktok.com/@indri_0188/video/7614072697034673415?is_from_webapp=1&amp;sender_device=pc")</f>
        <v>https://www.tiktok.com/@indri_0188/video/7614072697034673415?is_from_webapp=1&amp;sender_device=pc</v>
      </c>
      <c r="M225" s="464" t="str">
        <f>IFERROR(__xludf.DUMMYFUNCTION("""COMPUTED_VALUE"""),"KIMME")</f>
        <v>KIMME</v>
      </c>
      <c r="N225" s="279" t="str">
        <f>IFERROR(__xludf.DUMMYFUNCTION("""COMPUTED_VALUE"""),"https://vt.tiktok.com/ZSHFD3rrV/")</f>
        <v>https://vt.tiktok.com/ZSHFD3rrV/</v>
      </c>
      <c r="O225" s="464" t="str">
        <f>IFERROR(__xludf.DUMMYFUNCTION("""COMPUTED_VALUE"""),"KIMME")</f>
        <v>KIMME</v>
      </c>
      <c r="P225" s="279" t="str">
        <f>IFERROR(__xludf.DUMMYFUNCTION("""COMPUTED_VALUE"""),"https://vt.tiktok.com/ZSHFDo7CT/")</f>
        <v>https://vt.tiktok.com/ZSHFDo7CT/</v>
      </c>
    </row>
    <row r="226">
      <c r="A226" s="255" t="str">
        <f>IFERROR(__xludf.DUMMYFUNCTION("""COMPUTED_VALUE"""),"MICRO")</f>
        <v>MICRO</v>
      </c>
      <c r="B226" s="361" t="str">
        <f>IFERROR(__xludf.DUMMYFUNCTION("""COMPUTED_VALUE"""),"owen81888")</f>
        <v>owen81888</v>
      </c>
      <c r="C226" s="257" t="str">
        <f>IFERROR(__xludf.DUMMYFUNCTION("""COMPUTED_VALUE"""),"https://www.tiktok.com/@owen81888")</f>
        <v>https://www.tiktok.com/@owen81888</v>
      </c>
      <c r="D226" s="270">
        <f>IFERROR(__xludf.DUMMYFUNCTION("""COMPUTED_VALUE"""),8.9505005908E10)</f>
        <v>89505005908</v>
      </c>
      <c r="E226" s="457">
        <f>IFERROR(__xludf.DUMMYFUNCTION("""COMPUTED_VALUE"""),0.0)</f>
        <v>0</v>
      </c>
      <c r="F226" s="270">
        <f>IFERROR(__xludf.DUMMYFUNCTION("""COMPUTED_VALUE"""),4.0)</f>
        <v>4</v>
      </c>
      <c r="G226" s="17" t="str">
        <f>IFERROR(__xludf.DUMMYFUNCTION("""COMPUTED_VALUE"""),"Sabun batang 1 Box ( 2 PCS )")</f>
        <v>Sabun batang 1 Box ( 2 PCS )</v>
      </c>
      <c r="H226" s="463" t="str">
        <f>IFERROR(__xludf.DUMMYFUNCTION("""COMPUTED_VALUE"""),"Sampai")</f>
        <v>Sampai</v>
      </c>
      <c r="I226" s="464" t="str">
        <f>IFERROR(__xludf.DUMMYFUNCTION("""COMPUTED_VALUE"""),"KIMME")</f>
        <v>KIMME</v>
      </c>
      <c r="J226" s="279" t="str">
        <f>IFERROR(__xludf.DUMMYFUNCTION("""COMPUTED_VALUE"""),"https://www.tiktok.com/@_sweetly19/video/7610312481306643733?is_from_webapp=1&amp;sender_device=pc")</f>
        <v>https://www.tiktok.com/@_sweetly19/video/7610312481306643733?is_from_webapp=1&amp;sender_device=pc</v>
      </c>
      <c r="K226" s="464" t="str">
        <f>IFERROR(__xludf.DUMMYFUNCTION("""COMPUTED_VALUE"""),"KIMME")</f>
        <v>KIMME</v>
      </c>
      <c r="L226" s="279" t="str">
        <f>IFERROR(__xludf.DUMMYFUNCTION("""COMPUTED_VALUE"""),"https://www.tiktok.com/@_sweetly19/video/7610087564464213268?is_from_webapp=1&amp;sender_device=pc")</f>
        <v>https://www.tiktok.com/@_sweetly19/video/7610087564464213268?is_from_webapp=1&amp;sender_device=pc</v>
      </c>
      <c r="M226" s="464" t="str">
        <f>IFERROR(__xludf.DUMMYFUNCTION("""COMPUTED_VALUE"""),"KIMME")</f>
        <v>KIMME</v>
      </c>
      <c r="N226" s="279" t="str">
        <f>IFERROR(__xludf.DUMMYFUNCTION("""COMPUTED_VALUE"""),"https://www.tiktok.com/@_sweetly19/video/7610054973170273557?is_from_webapp=1&amp;sender_device=pc")</f>
        <v>https://www.tiktok.com/@_sweetly19/video/7610054973170273557?is_from_webapp=1&amp;sender_device=pc</v>
      </c>
      <c r="O226" s="464" t="str">
        <f>IFERROR(__xludf.DUMMYFUNCTION("""COMPUTED_VALUE"""),"KIMME")</f>
        <v>KIMME</v>
      </c>
      <c r="P226" s="279" t="str">
        <f>IFERROR(__xludf.DUMMYFUNCTION("""COMPUTED_VALUE"""),"https://www.tiktok.com/@_sweetly19/video/7610448457186282773?is_from_webapp=1&amp;sender_device=pc")</f>
        <v>https://www.tiktok.com/@_sweetly19/video/7610448457186282773?is_from_webapp=1&amp;sender_device=pc</v>
      </c>
    </row>
    <row r="227">
      <c r="A227" s="255" t="str">
        <f>IFERROR(__xludf.DUMMYFUNCTION("""COMPUTED_VALUE"""),"MICRO")</f>
        <v>MICRO</v>
      </c>
      <c r="B227" s="361" t="str">
        <f>IFERROR(__xludf.DUMMYFUNCTION("""COMPUTED_VALUE"""),"selyjuly")</f>
        <v>selyjuly</v>
      </c>
      <c r="C227" s="257" t="str">
        <f>IFERROR(__xludf.DUMMYFUNCTION("""COMPUTED_VALUE"""),"https://www.tiktok.com/@selyjuly")</f>
        <v>https://www.tiktok.com/@selyjuly</v>
      </c>
      <c r="D227" s="270">
        <f>IFERROR(__xludf.DUMMYFUNCTION("""COMPUTED_VALUE"""),8.9828766E9)</f>
        <v>8982876600</v>
      </c>
      <c r="E227" s="457">
        <f>IFERROR(__xludf.DUMMYFUNCTION("""COMPUTED_VALUE"""),0.0)</f>
        <v>0</v>
      </c>
      <c r="F227" s="270">
        <f>IFERROR(__xludf.DUMMYFUNCTION("""COMPUTED_VALUE"""),4.0)</f>
        <v>4</v>
      </c>
      <c r="G227" s="17" t="str">
        <f>IFERROR(__xludf.DUMMYFUNCTION("""COMPUTED_VALUE"""),"Sabun batang 1 Box ( 2 PCS )")</f>
        <v>Sabun batang 1 Box ( 2 PCS )</v>
      </c>
      <c r="H227" s="463" t="str">
        <f>IFERROR(__xludf.DUMMYFUNCTION("""COMPUTED_VALUE"""),"Sampai")</f>
        <v>Sampai</v>
      </c>
      <c r="I227" s="464" t="str">
        <f>IFERROR(__xludf.DUMMYFUNCTION("""COMPUTED_VALUE"""),"KIMME")</f>
        <v>KIMME</v>
      </c>
      <c r="J227" s="279" t="str">
        <f>IFERROR(__xludf.DUMMYFUNCTION("""COMPUTED_VALUE"""),"https://www.tiktok.com/@sinabilla/video/7633023150787235080?_r=1&amp;u_code=d8ce4h27fdmff3&amp;region=&amp;mid=7629352910916897543&amp;preview_pb=0&amp;sharer_language=&amp;_d=0&amp;ec_shared_reflux_dynamic_params=%7B%22placeholder_material_id%22%3A%227633023150787235080%22%2C%22pla"&amp;"ceholder_origin_cover%22%3A%22https%253A%252F%252Fp16-sign-sg.tiktokcdn.com%252Ftos-alisg-p-0037%252Fo4LI4I8KAAHyDoqkjFfPfTDCb22NDEIeiOPLAt~tplv-tiktokx-origin.jpeg%253Fdr%253D14572%2526refresh_token%253Da8b941c3%2526x-expires%253D1809507600%2526x-signatu"&amp;"re%253D%25252BHNM3mo5koXIi8sacF9R12rhjM8%25253D%2526t%253D4d5b0474%2526ps%253D13740610%2526shp%253Dd05b14bd%2526shcp%253D34ff8df6%2526idc%253Dmy%2526s%253DTIKTOK_AFFILIATE_VIRAL_VIDEO%22%2C%22placeholder_product_id%22%3A%221729427766722726591%22%2C%22plac"&amp;"eholder_video_id%22%3A%227633023150787235080%22%7D&amp;ec_shared_reflux_scene=shop_tab_feed&amp;share_item_id=7633023150787235080&amp;source=h5_t")</f>
        <v>https://www.tiktok.com/@sinabilla/video/7633023150787235080?_r=1&amp;u_code=d8ce4h27fdmff3&amp;region=&amp;mid=7629352910916897543&amp;preview_pb=0&amp;sharer_language=&amp;_d=0&amp;ec_shared_reflux_dynamic_params=%7B%22placeholder_material_id%22%3A%227633023150787235080%22%2C%22placeholder_origin_cover%22%3A%22https%253A%252F%252Fp16-sign-sg.tiktokcdn.com%252Ftos-alisg-p-0037%252Fo4LI4I8KAAHyDoqkjFfPfTDCb22NDEIeiOPLAt~tplv-tiktokx-origin.jpeg%253Fdr%253D14572%2526refresh_token%253Da8b941c3%2526x-expires%253D1809507600%2526x-signature%253D%25252BHNM3mo5koXIi8sacF9R12rhjM8%25253D%2526t%253D4d5b0474%2526ps%253D13740610%2526shp%253Dd05b14bd%2526shcp%253D34ff8df6%2526idc%253Dmy%2526s%253DTIKTOK_AFFILIATE_VIRAL_VIDEO%22%2C%22placeholder_product_id%22%3A%221729427766722726591%22%2C%22placeholder_video_id%22%3A%227633023150787235080%22%7D&amp;ec_shared_reflux_scene=shop_tab_feed&amp;share_item_id=7633023150787235080&amp;source=h5_t</v>
      </c>
      <c r="K227" s="464" t="str">
        <f>IFERROR(__xludf.DUMMYFUNCTION("""COMPUTED_VALUE"""),"KIMME")</f>
        <v>KIMME</v>
      </c>
      <c r="L227" s="279" t="str">
        <f>IFERROR(__xludf.DUMMYFUNCTION("""COMPUTED_VALUE"""),"https://vt.tiktok.com/ZS9qMoB9V/")</f>
        <v>https://vt.tiktok.com/ZS9qMoB9V/</v>
      </c>
      <c r="M227" s="464" t="str">
        <f>IFERROR(__xludf.DUMMYFUNCTION("""COMPUTED_VALUE"""),"KIMME")</f>
        <v>KIMME</v>
      </c>
      <c r="N227" s="279" t="str">
        <f>IFERROR(__xludf.DUMMYFUNCTION("""COMPUTED_VALUE"""),"https://vt.tiktok.com/ZS9qrMpxb/")</f>
        <v>https://vt.tiktok.com/ZS9qrMpxb/</v>
      </c>
      <c r="O227" s="464" t="str">
        <f>IFERROR(__xludf.DUMMYFUNCTION("""COMPUTED_VALUE"""),"KIMME")</f>
        <v>KIMME</v>
      </c>
      <c r="P227" s="279" t="str">
        <f>IFERROR(__xludf.DUMMYFUNCTION("""COMPUTED_VALUE"""),"https://vt.tiktok.com/ZS9qrucwT/")</f>
        <v>https://vt.tiktok.com/ZS9qrucwT/</v>
      </c>
    </row>
    <row r="228">
      <c r="A228" s="255" t="str">
        <f>IFERROR(__xludf.DUMMYFUNCTION("""COMPUTED_VALUE"""),"MACRO")</f>
        <v>MACRO</v>
      </c>
      <c r="B228" s="361" t="str">
        <f>IFERROR(__xludf.DUMMYFUNCTION("""COMPUTED_VALUE"""),"zeni.co.id")</f>
        <v>zeni.co.id</v>
      </c>
      <c r="C228" s="257" t="str">
        <f>IFERROR(__xludf.DUMMYFUNCTION("""COMPUTED_VALUE"""),"https://www.tiktok.com/@zeni.co.id")</f>
        <v>https://www.tiktok.com/@zeni.co.id</v>
      </c>
      <c r="D228" s="270">
        <f>IFERROR(__xludf.DUMMYFUNCTION("""COMPUTED_VALUE"""),8.5601993836E10)</f>
        <v>85601993836</v>
      </c>
      <c r="E228" s="457">
        <f>IFERROR(__xludf.DUMMYFUNCTION("""COMPUTED_VALUE"""),0.0)</f>
        <v>0</v>
      </c>
      <c r="F228" s="270">
        <f>IFERROR(__xludf.DUMMYFUNCTION("""COMPUTED_VALUE"""),1.0)</f>
        <v>1</v>
      </c>
      <c r="G228" s="17" t="str">
        <f>IFERROR(__xludf.DUMMYFUNCTION("""COMPUTED_VALUE"""),"Sabun batang 1 Box ( 2 PCS )")</f>
        <v>Sabun batang 1 Box ( 2 PCS )</v>
      </c>
      <c r="H228" s="463" t="str">
        <f>IFERROR(__xludf.DUMMYFUNCTION("""COMPUTED_VALUE"""),"Sampai")</f>
        <v>Sampai</v>
      </c>
      <c r="I228" s="464" t="str">
        <f>IFERROR(__xludf.DUMMYFUNCTION("""COMPUTED_VALUE"""),"KIMME")</f>
        <v>KIMME</v>
      </c>
      <c r="J228" s="279" t="str">
        <f>IFERROR(__xludf.DUMMYFUNCTION("""COMPUTED_VALUE"""),"https://vt.tiktok.com/ZSHGhUbx5/")</f>
        <v>https://vt.tiktok.com/ZSHGhUbx5/</v>
      </c>
      <c r="K228" s="464" t="str">
        <f>IFERROR(__xludf.DUMMYFUNCTION("""COMPUTED_VALUE"""),"KIMME")</f>
        <v>KIMME</v>
      </c>
      <c r="L228" s="17"/>
      <c r="M228" s="464"/>
      <c r="N228" s="17"/>
      <c r="O228" s="464"/>
      <c r="P228" s="17"/>
    </row>
    <row r="229">
      <c r="A229" s="255" t="str">
        <f>IFERROR(__xludf.DUMMYFUNCTION("""COMPUTED_VALUE"""),"MICRO")</f>
        <v>MICRO</v>
      </c>
      <c r="B229" s="361" t="str">
        <f>IFERROR(__xludf.DUMMYFUNCTION("""COMPUTED_VALUE"""),"tokomama08_")</f>
        <v>tokomama08_</v>
      </c>
      <c r="C229" s="257" t="str">
        <f>IFERROR(__xludf.DUMMYFUNCTION("""COMPUTED_VALUE"""),"https://www.tiktok.com/@tokomama08_")</f>
        <v>https://www.tiktok.com/@tokomama08_</v>
      </c>
      <c r="D229" s="270">
        <f>IFERROR(__xludf.DUMMYFUNCTION("""COMPUTED_VALUE"""),8.5881332507E10)</f>
        <v>85881332507</v>
      </c>
      <c r="E229" s="457">
        <f>IFERROR(__xludf.DUMMYFUNCTION("""COMPUTED_VALUE"""),0.0)</f>
        <v>0</v>
      </c>
      <c r="F229" s="270">
        <f>IFERROR(__xludf.DUMMYFUNCTION("""COMPUTED_VALUE"""),4.0)</f>
        <v>4</v>
      </c>
      <c r="G229" s="17" t="str">
        <f>IFERROR(__xludf.DUMMYFUNCTION("""COMPUTED_VALUE"""),"Sabun batang 1 Box ( 2 PCS )")</f>
        <v>Sabun batang 1 Box ( 2 PCS )</v>
      </c>
      <c r="H229" s="463" t="str">
        <f>IFERROR(__xludf.DUMMYFUNCTION("""COMPUTED_VALUE"""),"Sampai")</f>
        <v>Sampai</v>
      </c>
      <c r="I229" s="464" t="str">
        <f>IFERROR(__xludf.DUMMYFUNCTION("""COMPUTED_VALUE"""),"KIMME")</f>
        <v>KIMME</v>
      </c>
      <c r="J229" s="279" t="str">
        <f>IFERROR(__xludf.DUMMYFUNCTION("""COMPUTED_VALUE"""),"https://www.tiktok.com/@_sweetly19/video/7608080087761653013?is_from_webapp=1&amp;sender_device=pc")</f>
        <v>https://www.tiktok.com/@_sweetly19/video/7608080087761653013?is_from_webapp=1&amp;sender_device=pc</v>
      </c>
      <c r="K229" s="464" t="str">
        <f>IFERROR(__xludf.DUMMYFUNCTION("""COMPUTED_VALUE"""),"KIMME")</f>
        <v>KIMME</v>
      </c>
      <c r="L229" s="279" t="str">
        <f>IFERROR(__xludf.DUMMYFUNCTION("""COMPUTED_VALUE"""),"https://www.tiktok.com/@_sweetly19/video/7608460525306907924?is_from_webapp=1&amp;sender_device=pc")</f>
        <v>https://www.tiktok.com/@_sweetly19/video/7608460525306907924?is_from_webapp=1&amp;sender_device=pc</v>
      </c>
      <c r="M229" s="464" t="str">
        <f>IFERROR(__xludf.DUMMYFUNCTION("""COMPUTED_VALUE"""),"KIMME")</f>
        <v>KIMME</v>
      </c>
      <c r="N229" s="279" t="str">
        <f>IFERROR(__xludf.DUMMYFUNCTION("""COMPUTED_VALUE"""),"https://www.tiktok.com/@_sweetly19/video/7609442437580344597?is_from_webapp=1&amp;sender_device=pc")</f>
        <v>https://www.tiktok.com/@_sweetly19/video/7609442437580344597?is_from_webapp=1&amp;sender_device=pc</v>
      </c>
      <c r="O229" s="464" t="str">
        <f>IFERROR(__xludf.DUMMYFUNCTION("""COMPUTED_VALUE"""),"KIMME")</f>
        <v>KIMME</v>
      </c>
      <c r="P229" s="279" t="str">
        <f>IFERROR(__xludf.DUMMYFUNCTION("""COMPUTED_VALUE"""),"https://www.tiktok.com/@_sweetly19/video/7609944295281528084?is_from_webapp=1&amp;sender_device=pc")</f>
        <v>https://www.tiktok.com/@_sweetly19/video/7609944295281528084?is_from_webapp=1&amp;sender_device=pc</v>
      </c>
    </row>
    <row r="230">
      <c r="A230" s="255" t="str">
        <f>IFERROR(__xludf.DUMMYFUNCTION("""COMPUTED_VALUE"""),"MACRO")</f>
        <v>MACRO</v>
      </c>
      <c r="B230" s="361" t="str">
        <f>IFERROR(__xludf.DUMMYFUNCTION("""COMPUTED_VALUE"""),"_stesicahya")</f>
        <v>_stesicahya</v>
      </c>
      <c r="C230" s="257" t="str">
        <f>IFERROR(__xludf.DUMMYFUNCTION("""COMPUTED_VALUE"""),"https://www.tiktok.com/@_stesicahya")</f>
        <v>https://www.tiktok.com/@_stesicahya</v>
      </c>
      <c r="D230" s="270">
        <f>IFERROR(__xludf.DUMMYFUNCTION("""COMPUTED_VALUE"""),8.2311461349E10)</f>
        <v>82311461349</v>
      </c>
      <c r="E230" s="457">
        <f>IFERROR(__xludf.DUMMYFUNCTION("""COMPUTED_VALUE"""),100000.0)</f>
        <v>100000</v>
      </c>
      <c r="F230" s="270">
        <f>IFERROR(__xludf.DUMMYFUNCTION("""COMPUTED_VALUE"""),1.0)</f>
        <v>1</v>
      </c>
      <c r="G230" s="17" t="str">
        <f>IFERROR(__xludf.DUMMYFUNCTION("""COMPUTED_VALUE"""),"Sabun batang 1 Box ( 2 PCS )")</f>
        <v>Sabun batang 1 Box ( 2 PCS )</v>
      </c>
      <c r="H230" s="463" t="str">
        <f>IFERROR(__xludf.DUMMYFUNCTION("""COMPUTED_VALUE"""),"Sampai")</f>
        <v>Sampai</v>
      </c>
      <c r="I230" s="464" t="str">
        <f>IFERROR(__xludf.DUMMYFUNCTION("""COMPUTED_VALUE"""),"KIMME")</f>
        <v>KIMME</v>
      </c>
      <c r="J230" s="279" t="str">
        <f>IFERROR(__xludf.DUMMYFUNCTION("""COMPUTED_VALUE"""),"https://www.tiktok.com/@_stesicahya/video/7628485517620890898?is_from_webapp=1&amp;sender_device=pc")</f>
        <v>https://www.tiktok.com/@_stesicahya/video/7628485517620890898?is_from_webapp=1&amp;sender_device=pc</v>
      </c>
      <c r="K230" s="464" t="str">
        <f>IFERROR(__xludf.DUMMYFUNCTION("""COMPUTED_VALUE"""),"KIMME")</f>
        <v>KIMME</v>
      </c>
      <c r="L230" s="17"/>
      <c r="M230" s="464"/>
      <c r="N230" s="17"/>
      <c r="O230" s="464"/>
      <c r="P230" s="17"/>
    </row>
    <row r="231">
      <c r="A231" s="255" t="str">
        <f>IFERROR(__xludf.DUMMYFUNCTION("""COMPUTED_VALUE"""),"MICRO")</f>
        <v>MICRO</v>
      </c>
      <c r="B231" s="361" t="str">
        <f>IFERROR(__xludf.DUMMYFUNCTION("""COMPUTED_VALUE"""),"ambu_arfa")</f>
        <v>ambu_arfa</v>
      </c>
      <c r="C231" s="257" t="str">
        <f>IFERROR(__xludf.DUMMYFUNCTION("""COMPUTED_VALUE"""),"https://www.tiktok.com/@ambu_arfa")</f>
        <v>https://www.tiktok.com/@ambu_arfa</v>
      </c>
      <c r="D231" s="270">
        <f>IFERROR(__xludf.DUMMYFUNCTION("""COMPUTED_VALUE"""),8.3896929636E10)</f>
        <v>83896929636</v>
      </c>
      <c r="E231" s="457">
        <f>IFERROR(__xludf.DUMMYFUNCTION("""COMPUTED_VALUE"""),0.0)</f>
        <v>0</v>
      </c>
      <c r="F231" s="270">
        <f>IFERROR(__xludf.DUMMYFUNCTION("""COMPUTED_VALUE"""),4.0)</f>
        <v>4</v>
      </c>
      <c r="G231" s="17" t="str">
        <f>IFERROR(__xludf.DUMMYFUNCTION("""COMPUTED_VALUE"""),"Sabun batang 1 Box ( 2 PCS )")</f>
        <v>Sabun batang 1 Box ( 2 PCS )</v>
      </c>
      <c r="H231" s="463" t="str">
        <f>IFERROR(__xludf.DUMMYFUNCTION("""COMPUTED_VALUE"""),"Sampai")</f>
        <v>Sampai</v>
      </c>
      <c r="I231" s="464" t="str">
        <f>IFERROR(__xludf.DUMMYFUNCTION("""COMPUTED_VALUE"""),"KIMME")</f>
        <v>KIMME</v>
      </c>
      <c r="J231" s="279" t="str">
        <f>IFERROR(__xludf.DUMMYFUNCTION("""COMPUTED_VALUE"""),"https://www.tiktok.com/@ambu_arfa/video/7614380522411691282?is_from_webapp=1&amp;sender_device=pc")</f>
        <v>https://www.tiktok.com/@ambu_arfa/video/7614380522411691282?is_from_webapp=1&amp;sender_device=pc</v>
      </c>
      <c r="K231" s="464" t="str">
        <f>IFERROR(__xludf.DUMMYFUNCTION("""COMPUTED_VALUE"""),"KIMME")</f>
        <v>KIMME</v>
      </c>
      <c r="L231" s="279" t="str">
        <f>IFERROR(__xludf.DUMMYFUNCTION("""COMPUTED_VALUE"""),"https://vt.tiktok.com/ZSHFU4WPx/")</f>
        <v>https://vt.tiktok.com/ZSHFU4WPx/</v>
      </c>
      <c r="M231" s="464" t="str">
        <f>IFERROR(__xludf.DUMMYFUNCTION("""COMPUTED_VALUE"""),"KIMME")</f>
        <v>KIMME</v>
      </c>
      <c r="N231" s="279" t="str">
        <f>IFERROR(__xludf.DUMMYFUNCTION("""COMPUTED_VALUE"""),"https://vt.tiktok.com/ZSHFyB43y/")</f>
        <v>https://vt.tiktok.com/ZSHFyB43y/</v>
      </c>
      <c r="O231" s="464" t="str">
        <f>IFERROR(__xludf.DUMMYFUNCTION("""COMPUTED_VALUE"""),"KIMME")</f>
        <v>KIMME</v>
      </c>
      <c r="P231" s="279" t="str">
        <f>IFERROR(__xludf.DUMMYFUNCTION("""COMPUTED_VALUE"""),"https://www.tiktok.com/@simas.032/video/7618032046547553554?is_from_webapp=1&amp;sender_device=pc")</f>
        <v>https://www.tiktok.com/@simas.032/video/7618032046547553554?is_from_webapp=1&amp;sender_device=pc</v>
      </c>
    </row>
    <row r="232">
      <c r="A232" s="255" t="str">
        <f>IFERROR(__xludf.DUMMYFUNCTION("""COMPUTED_VALUE"""),"MICRO")</f>
        <v>MICRO</v>
      </c>
      <c r="B232" s="361" t="str">
        <f>IFERROR(__xludf.DUMMYFUNCTION("""COMPUTED_VALUE"""),"tyasaktisetya")</f>
        <v>tyasaktisetya</v>
      </c>
      <c r="C232" s="257" t="str">
        <f>IFERROR(__xludf.DUMMYFUNCTION("""COMPUTED_VALUE"""),"https://www.tiktok.com/@tyasaktisetya")</f>
        <v>https://www.tiktok.com/@tyasaktisetya</v>
      </c>
      <c r="D232" s="270">
        <f>IFERROR(__xludf.DUMMYFUNCTION("""COMPUTED_VALUE"""),8.5866439863E10)</f>
        <v>85866439863</v>
      </c>
      <c r="E232" s="457">
        <f>IFERROR(__xludf.DUMMYFUNCTION("""COMPUTED_VALUE"""),0.0)</f>
        <v>0</v>
      </c>
      <c r="F232" s="270">
        <f>IFERROR(__xludf.DUMMYFUNCTION("""COMPUTED_VALUE"""),4.0)</f>
        <v>4</v>
      </c>
      <c r="G232" s="17" t="str">
        <f>IFERROR(__xludf.DUMMYFUNCTION("""COMPUTED_VALUE"""),"Sabun batang 1 Box ( 2 PCS )")</f>
        <v>Sabun batang 1 Box ( 2 PCS )</v>
      </c>
      <c r="H232" s="463" t="str">
        <f>IFERROR(__xludf.DUMMYFUNCTION("""COMPUTED_VALUE"""),"Sampai")</f>
        <v>Sampai</v>
      </c>
      <c r="I232" s="464" t="str">
        <f>IFERROR(__xludf.DUMMYFUNCTION("""COMPUTED_VALUE"""),"KIMME")</f>
        <v>KIMME</v>
      </c>
      <c r="J232" s="279" t="str">
        <f>IFERROR(__xludf.DUMMYFUNCTION("""COMPUTED_VALUE"""),"https://www.tiktok.com/@tyasaktisetya/video/7609889897951825173?is_from_webapp=1&amp;sender_device=pc")</f>
        <v>https://www.tiktok.com/@tyasaktisetya/video/7609889897951825173?is_from_webapp=1&amp;sender_device=pc</v>
      </c>
      <c r="K232" s="464" t="str">
        <f>IFERROR(__xludf.DUMMYFUNCTION("""COMPUTED_VALUE"""),"KIMME")</f>
        <v>KIMME</v>
      </c>
      <c r="L232" s="279" t="str">
        <f>IFERROR(__xludf.DUMMYFUNCTION("""COMPUTED_VALUE"""),"https://www.tiktok.com/@tyasaktisetya/video/7610985610433580308?is_from_webapp=1&amp;sender_device=pc")</f>
        <v>https://www.tiktok.com/@tyasaktisetya/video/7610985610433580308?is_from_webapp=1&amp;sender_device=pc</v>
      </c>
      <c r="M232" s="464" t="str">
        <f>IFERROR(__xludf.DUMMYFUNCTION("""COMPUTED_VALUE"""),"KIMME")</f>
        <v>KIMME</v>
      </c>
      <c r="N232" s="279" t="str">
        <f>IFERROR(__xludf.DUMMYFUNCTION("""COMPUTED_VALUE"""),"https://www.tiktok.com/@tyasaktisetya/video/7611376033383615764?is_from_webapp=1&amp;sender_device=pc")</f>
        <v>https://www.tiktok.com/@tyasaktisetya/video/7611376033383615764?is_from_webapp=1&amp;sender_device=pc</v>
      </c>
      <c r="O232" s="464" t="str">
        <f>IFERROR(__xludf.DUMMYFUNCTION("""COMPUTED_VALUE"""),"KIMME")</f>
        <v>KIMME</v>
      </c>
      <c r="P232" s="279" t="str">
        <f>IFERROR(__xludf.DUMMYFUNCTION("""COMPUTED_VALUE"""),"https://www.tiktok.com/@tyasaktisetya/video/7612832547437022485?is_from_webapp=1&amp;sender_device=pc")</f>
        <v>https://www.tiktok.com/@tyasaktisetya/video/7612832547437022485?is_from_webapp=1&amp;sender_device=pc</v>
      </c>
    </row>
    <row r="233">
      <c r="A233" s="255" t="str">
        <f>IFERROR(__xludf.DUMMYFUNCTION("""COMPUTED_VALUE"""),"MICRO")</f>
        <v>MICRO</v>
      </c>
      <c r="B233" s="361" t="str">
        <f>IFERROR(__xludf.DUMMYFUNCTION("""COMPUTED_VALUE"""),"dhharyati02")</f>
        <v>dhharyati02</v>
      </c>
      <c r="C233" s="257" t="str">
        <f>IFERROR(__xludf.DUMMYFUNCTION("""COMPUTED_VALUE"""),"https://www.tiktok.com/@dhharyati02")</f>
        <v>https://www.tiktok.com/@dhharyati02</v>
      </c>
      <c r="D233" s="270">
        <f>IFERROR(__xludf.DUMMYFUNCTION("""COMPUTED_VALUE"""),8.579573553E10)</f>
        <v>85795735530</v>
      </c>
      <c r="E233" s="457">
        <f>IFERROR(__xludf.DUMMYFUNCTION("""COMPUTED_VALUE"""),0.0)</f>
        <v>0</v>
      </c>
      <c r="F233" s="270">
        <f>IFERROR(__xludf.DUMMYFUNCTION("""COMPUTED_VALUE"""),4.0)</f>
        <v>4</v>
      </c>
      <c r="G233" s="17" t="str">
        <f>IFERROR(__xludf.DUMMYFUNCTION("""COMPUTED_VALUE"""),"Sabun batang 1 Box ( 2 PCS )")</f>
        <v>Sabun batang 1 Box ( 2 PCS )</v>
      </c>
      <c r="H233" s="463" t="str">
        <f>IFERROR(__xludf.DUMMYFUNCTION("""COMPUTED_VALUE"""),"Sampai")</f>
        <v>Sampai</v>
      </c>
      <c r="I233" s="464" t="str">
        <f>IFERROR(__xludf.DUMMYFUNCTION("""COMPUTED_VALUE"""),"KIMME")</f>
        <v>KIMME</v>
      </c>
      <c r="J233" s="279" t="str">
        <f>IFERROR(__xludf.DUMMYFUNCTION("""COMPUTED_VALUE"""),"https://www.tiktok.com/@dhbeauty7/video/7609932897289555217?is_from_webapp=1&amp;sender_device=pc")</f>
        <v>https://www.tiktok.com/@dhbeauty7/video/7609932897289555217?is_from_webapp=1&amp;sender_device=pc</v>
      </c>
      <c r="K233" s="464" t="str">
        <f>IFERROR(__xludf.DUMMYFUNCTION("""COMPUTED_VALUE"""),"KIMME")</f>
        <v>KIMME</v>
      </c>
      <c r="L233" s="279" t="str">
        <f>IFERROR(__xludf.DUMMYFUNCTION("""COMPUTED_VALUE"""),"https://www.tiktok.com/@simas.032/video/7618867579729497352?is_from_webapp=1&amp;sender_device=pc")</f>
        <v>https://www.tiktok.com/@simas.032/video/7618867579729497352?is_from_webapp=1&amp;sender_device=pc</v>
      </c>
      <c r="M233" s="464" t="str">
        <f>IFERROR(__xludf.DUMMYFUNCTION("""COMPUTED_VALUE"""),"KIMME")</f>
        <v>KIMME</v>
      </c>
      <c r="N233" s="279" t="str">
        <f>IFERROR(__xludf.DUMMYFUNCTION("""COMPUTED_VALUE"""),"https://www.tiktok.com/@simas.032/video/7618871334205934855?is_from_webapp=1&amp;sender_device=pc")</f>
        <v>https://www.tiktok.com/@simas.032/video/7618871334205934855?is_from_webapp=1&amp;sender_device=pc</v>
      </c>
      <c r="O233" s="464" t="str">
        <f>IFERROR(__xludf.DUMMYFUNCTION("""COMPUTED_VALUE"""),"KIMME")</f>
        <v>KIMME</v>
      </c>
      <c r="P233" s="279" t="str">
        <f>IFERROR(__xludf.DUMMYFUNCTION("""COMPUTED_VALUE"""),"https://www.tiktok.com/@simas.032/video/7620748794296126727?is_from_webapp=1&amp;sender_device=pc")</f>
        <v>https://www.tiktok.com/@simas.032/video/7620748794296126727?is_from_webapp=1&amp;sender_device=pc</v>
      </c>
    </row>
    <row r="234">
      <c r="A234" s="255" t="str">
        <f>IFERROR(__xludf.DUMMYFUNCTION("""COMPUTED_VALUE"""),"MICRO")</f>
        <v>MICRO</v>
      </c>
      <c r="B234" s="361" t="str">
        <f>IFERROR(__xludf.DUMMYFUNCTION("""COMPUTED_VALUE"""),"rettnowulan")</f>
        <v>rettnowulan</v>
      </c>
      <c r="C234" s="257" t="str">
        <f>IFERROR(__xludf.DUMMYFUNCTION("""COMPUTED_VALUE"""),"https://www.tiktok.com/@rettnowulan")</f>
        <v>https://www.tiktok.com/@rettnowulan</v>
      </c>
      <c r="D234" s="270">
        <f>IFERROR(__xludf.DUMMYFUNCTION("""COMPUTED_VALUE"""),8.1284497781E10)</f>
        <v>81284497781</v>
      </c>
      <c r="E234" s="457">
        <f>IFERROR(__xludf.DUMMYFUNCTION("""COMPUTED_VALUE"""),0.0)</f>
        <v>0</v>
      </c>
      <c r="F234" s="270">
        <f>IFERROR(__xludf.DUMMYFUNCTION("""COMPUTED_VALUE"""),2.0)</f>
        <v>2</v>
      </c>
      <c r="G234" s="17" t="str">
        <f>IFERROR(__xludf.DUMMYFUNCTION("""COMPUTED_VALUE"""),"Sabun batang 1 Box ( 2 PCS )")</f>
        <v>Sabun batang 1 Box ( 2 PCS )</v>
      </c>
      <c r="H234" s="463" t="str">
        <f>IFERROR(__xludf.DUMMYFUNCTION("""COMPUTED_VALUE"""),"Sampai")</f>
        <v>Sampai</v>
      </c>
      <c r="I234" s="464" t="str">
        <f>IFERROR(__xludf.DUMMYFUNCTION("""COMPUTED_VALUE"""),"KIMME")</f>
        <v>KIMME</v>
      </c>
      <c r="J234" s="279" t="str">
        <f>IFERROR(__xludf.DUMMYFUNCTION("""COMPUTED_VALUE"""),"https://www.tiktok.com/@rettnowulan/video/7614159212721097992?is_from_webapp=1&amp;sender_device=pc")</f>
        <v>https://www.tiktok.com/@rettnowulan/video/7614159212721097992?is_from_webapp=1&amp;sender_device=pc</v>
      </c>
      <c r="K234" s="464" t="str">
        <f>IFERROR(__xludf.DUMMYFUNCTION("""COMPUTED_VALUE"""),"KIMME")</f>
        <v>KIMME</v>
      </c>
      <c r="L234" s="279" t="str">
        <f>IFERROR(__xludf.DUMMYFUNCTION("""COMPUTED_VALUE"""),"https://www.tiktok.com/@rettnowulan/video/7617456098722794772?is_from_webapp=1&amp;sender_device=pc")</f>
        <v>https://www.tiktok.com/@rettnowulan/video/7617456098722794772?is_from_webapp=1&amp;sender_device=pc</v>
      </c>
      <c r="M234" s="464"/>
      <c r="N234" s="279" t="str">
        <f>IFERROR(__xludf.DUMMYFUNCTION("""COMPUTED_VALUE"""),"https://vt.tiktok.com/ZS9qr6ftx/")</f>
        <v>https://vt.tiktok.com/ZS9qr6ftx/</v>
      </c>
      <c r="O234" s="464"/>
      <c r="P234" s="279" t="str">
        <f>IFERROR(__xludf.DUMMYFUNCTION("""COMPUTED_VALUE"""),"https://vt.tiktok.com/ZS9qr6BGp/")</f>
        <v>https://vt.tiktok.com/ZS9qr6BGp/</v>
      </c>
    </row>
    <row r="235">
      <c r="A235" s="255" t="str">
        <f>IFERROR(__xludf.DUMMYFUNCTION("""COMPUTED_VALUE"""),"MICRO")</f>
        <v>MICRO</v>
      </c>
      <c r="B235" s="361" t="str">
        <f>IFERROR(__xludf.DUMMYFUNCTION("""COMPUTED_VALUE"""),"lyta_annidapranata")</f>
        <v>lyta_annidapranata</v>
      </c>
      <c r="C235" s="257" t="str">
        <f>IFERROR(__xludf.DUMMYFUNCTION("""COMPUTED_VALUE"""),"https://www.tiktok.com/@lyta_annidapranata")</f>
        <v>https://www.tiktok.com/@lyta_annidapranata</v>
      </c>
      <c r="D235" s="270">
        <f>IFERROR(__xludf.DUMMYFUNCTION("""COMPUTED_VALUE"""),8.2230993933E10)</f>
        <v>82230993933</v>
      </c>
      <c r="E235" s="457">
        <f>IFERROR(__xludf.DUMMYFUNCTION("""COMPUTED_VALUE"""),0.0)</f>
        <v>0</v>
      </c>
      <c r="F235" s="270">
        <f>IFERROR(__xludf.DUMMYFUNCTION("""COMPUTED_VALUE"""),4.0)</f>
        <v>4</v>
      </c>
      <c r="G235" s="17" t="str">
        <f>IFERROR(__xludf.DUMMYFUNCTION("""COMPUTED_VALUE"""),"Sabun batang 1 Box ( 2 PCS )")</f>
        <v>Sabun batang 1 Box ( 2 PCS )</v>
      </c>
      <c r="H235" s="463" t="str">
        <f>IFERROR(__xludf.DUMMYFUNCTION("""COMPUTED_VALUE"""),"Sampai")</f>
        <v>Sampai</v>
      </c>
      <c r="I235" s="464" t="str">
        <f>IFERROR(__xludf.DUMMYFUNCTION("""COMPUTED_VALUE"""),"KIMME")</f>
        <v>KIMME</v>
      </c>
      <c r="J235" s="279" t="str">
        <f>IFERROR(__xludf.DUMMYFUNCTION("""COMPUTED_VALUE"""),"https://www.tiktok.com/@lyta_annidapranata/video/7612571940703702293?is_from_webapp=1&amp;sender_device=pc")</f>
        <v>https://www.tiktok.com/@lyta_annidapranata/video/7612571940703702293?is_from_webapp=1&amp;sender_device=pc</v>
      </c>
      <c r="K235" s="464" t="str">
        <f>IFERROR(__xludf.DUMMYFUNCTION("""COMPUTED_VALUE"""),"KIMME")</f>
        <v>KIMME</v>
      </c>
      <c r="L235" s="279" t="str">
        <f>IFERROR(__xludf.DUMMYFUNCTION("""COMPUTED_VALUE"""),"https://www.tiktok.com/@lyta_annidapranata/video/7618161237607632148?is_from_webapp=1&amp;sender_device=pc&amp;web_id=7611930277489657360")</f>
        <v>https://www.tiktok.com/@lyta_annidapranata/video/7618161237607632148?is_from_webapp=1&amp;sender_device=pc&amp;web_id=7611930277489657360</v>
      </c>
      <c r="M235" s="464" t="str">
        <f>IFERROR(__xludf.DUMMYFUNCTION("""COMPUTED_VALUE"""),"KIMME")</f>
        <v>KIMME</v>
      </c>
      <c r="N235" s="279" t="str">
        <f>IFERROR(__xludf.DUMMYFUNCTION("""COMPUTED_VALUE"""),"https://www.tiktok.com/@indri_0188/video/7625596487195561234?is_from_webapp=1&amp;sender_device=pc")</f>
        <v>https://www.tiktok.com/@indri_0188/video/7625596487195561234?is_from_webapp=1&amp;sender_device=pc</v>
      </c>
      <c r="O235" s="464" t="str">
        <f>IFERROR(__xludf.DUMMYFUNCTION("""COMPUTED_VALUE"""),"KIMME")</f>
        <v>KIMME</v>
      </c>
      <c r="P235" s="279" t="str">
        <f>IFERROR(__xludf.DUMMYFUNCTION("""COMPUTED_VALUE"""),"https://www.tiktok.com/@skinbeauty.id/video/7618545388538170644?is_from_webapp=1&amp;sender_device=pc")</f>
        <v>https://www.tiktok.com/@skinbeauty.id/video/7618545388538170644?is_from_webapp=1&amp;sender_device=pc</v>
      </c>
    </row>
    <row r="236">
      <c r="A236" s="255" t="str">
        <f>IFERROR(__xludf.DUMMYFUNCTION("""COMPUTED_VALUE"""),"MICRO")</f>
        <v>MICRO</v>
      </c>
      <c r="B236" s="361" t="str">
        <f>IFERROR(__xludf.DUMMYFUNCTION("""COMPUTED_VALUE"""),"skinbeauty.id")</f>
        <v>skinbeauty.id</v>
      </c>
      <c r="C236" s="257" t="str">
        <f>IFERROR(__xludf.DUMMYFUNCTION("""COMPUTED_VALUE"""),"https://www.tiktok.com/@skinbeauty.id")</f>
        <v>https://www.tiktok.com/@skinbeauty.id</v>
      </c>
      <c r="D236" s="270">
        <f>IFERROR(__xludf.DUMMYFUNCTION("""COMPUTED_VALUE"""),8.1273864847E10)</f>
        <v>81273864847</v>
      </c>
      <c r="E236" s="457">
        <f>IFERROR(__xludf.DUMMYFUNCTION("""COMPUTED_VALUE"""),0.0)</f>
        <v>0</v>
      </c>
      <c r="F236" s="270">
        <f>IFERROR(__xludf.DUMMYFUNCTION("""COMPUTED_VALUE"""),2.0)</f>
        <v>2</v>
      </c>
      <c r="G236" s="17" t="str">
        <f>IFERROR(__xludf.DUMMYFUNCTION("""COMPUTED_VALUE"""),"Sabun batang 1 Box ( 2 PCS )")</f>
        <v>Sabun batang 1 Box ( 2 PCS )</v>
      </c>
      <c r="H236" s="463" t="str">
        <f>IFERROR(__xludf.DUMMYFUNCTION("""COMPUTED_VALUE"""),"Sampai")</f>
        <v>Sampai</v>
      </c>
      <c r="I236" s="464" t="str">
        <f>IFERROR(__xludf.DUMMYFUNCTION("""COMPUTED_VALUE"""),"KIMME")</f>
        <v>KIMME</v>
      </c>
      <c r="J236" s="279" t="str">
        <f>IFERROR(__xludf.DUMMYFUNCTION("""COMPUTED_VALUE"""),"https://www.tiktok.com/@skinbeauty.id/video/7616240057661263125?is_from_webapp=1&amp;sender_device=pc")</f>
        <v>https://www.tiktok.com/@skinbeauty.id/video/7616240057661263125?is_from_webapp=1&amp;sender_device=pc</v>
      </c>
      <c r="K236" s="464" t="str">
        <f>IFERROR(__xludf.DUMMYFUNCTION("""COMPUTED_VALUE"""),"KIMME")</f>
        <v>KIMME</v>
      </c>
      <c r="L236" s="279" t="str">
        <f>IFERROR(__xludf.DUMMYFUNCTION("""COMPUTED_VALUE"""),"https://www.tiktok.com/@skinbeauty.id/video/7616244700411956501?is_from_webapp=1&amp;sender_device=pc")</f>
        <v>https://www.tiktok.com/@skinbeauty.id/video/7616244700411956501?is_from_webapp=1&amp;sender_device=pc</v>
      </c>
      <c r="M236" s="464"/>
      <c r="N236" s="279" t="str">
        <f>IFERROR(__xludf.DUMMYFUNCTION("""COMPUTED_VALUE"""),"https://www.tiktok.com/@skinbeauty.id/video/7630463264421350676?_r=1&amp;u_code=db2el50hhee557&amp;region=&amp;mid=7590285635702885128&amp;preview_pb=0&amp;sharer_language=&amp;_d=0&amp;ec_shared_reflux_dynamic_params=%7B%22placeholder_material_id%22%3A%227630463264421350676%22%2C%2"&amp;"2placeholder_origin_cover%22%3A%22https%253A%252F%252Fp16-common-sign.tiktokcdn.com%252Ftos-alisg-p-0037%252FogdbTDg4OHGZACAngLfICPgLEgLZjytIebQle0~tplv-tiktokx-origin.jpeg%253Fdr%253D14572%2526refresh_token%253Dcd3c50c3%2526x-expires%253D1808208000%2526x"&amp;"-signature%253DEBY9CqV%25252B79R%25252BSqDATwEw4aweSbA%25253D%2526t%253D4d5b0474%2526ps%253D13740610%2526shp%253Dd05b14bd%2526shcp%253D34ff8df6%2526idc%253Dmy3%2526s%253DTIKTOK_AFFILIATE_VIRAL_VIDEO%22%2C%22placeholder_product_id%22%3A%2217294277667227265"&amp;"91%22%2C%22placeholder_video_id%22%3A%227630463264421350676%22%7D&amp;ec_shared_reflux_scene=shop_tab_feed&amp;share_item_id=7630463264421350676&amp;source=h5_t")</f>
        <v>https://www.tiktok.com/@skinbeauty.id/video/7630463264421350676?_r=1&amp;u_code=db2el50hhee557&amp;region=&amp;mid=7590285635702885128&amp;preview_pb=0&amp;sharer_language=&amp;_d=0&amp;ec_shared_reflux_dynamic_params=%7B%22placeholder_material_id%22%3A%227630463264421350676%22%2C%22placeholder_origin_cover%22%3A%22https%253A%252F%252Fp16-common-sign.tiktokcdn.com%252Ftos-alisg-p-0037%252FogdbTDg4OHGZACAngLfICPgLEgLZjytIebQle0~tplv-tiktokx-origin.jpeg%253Fdr%253D14572%2526refresh_token%253Dcd3c50c3%2526x-expires%253D1808208000%2526x-signature%253DEBY9CqV%25252B79R%25252BSqDATwEw4aweSbA%25253D%2526t%253D4d5b0474%2526ps%253D13740610%2526shp%253Dd05b14bd%2526shcp%253D34ff8df6%2526idc%253Dmy3%2526s%253DTIKTOK_AFFILIATE_VIRAL_VIDEO%22%2C%22placeholder_product_id%22%3A%221729427766722726591%22%2C%22placeholder_video_id%22%3A%227630463264421350676%22%7D&amp;ec_shared_reflux_scene=shop_tab_feed&amp;share_item_id=7630463264421350676&amp;source=h5_t</v>
      </c>
      <c r="O236" s="464"/>
      <c r="P236" s="279" t="str">
        <f>IFERROR(__xludf.DUMMYFUNCTION("""COMPUTED_VALUE"""),"https://www.tiktok.com/@skinbeauty.id/video/7628611973856480533?_r=1&amp;u_code=db2el50hhee557&amp;region=&amp;mid=7625355034217793537&amp;preview_pb=0&amp;sharer_language=&amp;_d=0&amp;ec_shared_reflux_dynamic_params=%7B%22placeholder_material_id%22%3A%227628611973856480533%22%2C%2"&amp;"2placeholder_origin_cover%22%3A%22https%253A%252F%252Fp16-common-sign.tiktokcdn.com%252Ftos-alisg-p-0037%252FoQjkOD3vQAc1O8CEpBREKvX0WQWRg9FypeBduf~tplv-tiktokx-origin.jpeg%253Fdr%253D14572%2526refresh_token%253Df9c5aa81%2526x-expires%253D1808208000%2526x"&amp;"-signature%253DcQIl3Z0umu1ZWhlVn2KwMqZ2HS8%25253D%2526t%253D4d5b0474%2526ps%253D13740610%2526shp%253Dd05b14bd%2526shcp%253D34ff8df6%2526idc%253Dmy3%2526s%253DTIKTOK_AFFILIATE_VIRAL_VIDEO%22%2C%22placeholder_product_id%22%3A%221729427766722726591%22%2C%22p"&amp;"laceholder_video_id%22%3A%227628611973856480533%22%7D&amp;ec_shared_reflux_scene=shop_tab_feed&amp;share_item_id=7628611973856480533&amp;source=h5_t")</f>
        <v>https://www.tiktok.com/@skinbeauty.id/video/7628611973856480533?_r=1&amp;u_code=db2el50hhee557&amp;region=&amp;mid=7625355034217793537&amp;preview_pb=0&amp;sharer_language=&amp;_d=0&amp;ec_shared_reflux_dynamic_params=%7B%22placeholder_material_id%22%3A%227628611973856480533%22%2C%22placeholder_origin_cover%22%3A%22https%253A%252F%252Fp16-common-sign.tiktokcdn.com%252Ftos-alisg-p-0037%252FoQjkOD3vQAc1O8CEpBREKvX0WQWRg9FypeBduf~tplv-tiktokx-origin.jpeg%253Fdr%253D14572%2526refresh_token%253Df9c5aa81%2526x-expires%253D1808208000%2526x-signature%253DcQIl3Z0umu1ZWhlVn2KwMqZ2HS8%25253D%2526t%253D4d5b0474%2526ps%253D13740610%2526shp%253Dd05b14bd%2526shcp%253D34ff8df6%2526idc%253Dmy3%2526s%253DTIKTOK_AFFILIATE_VIRAL_VIDEO%22%2C%22placeholder_product_id%22%3A%221729427766722726591%22%2C%22placeholder_video_id%22%3A%227628611973856480533%22%7D&amp;ec_shared_reflux_scene=shop_tab_feed&amp;share_item_id=7628611973856480533&amp;source=h5_t</v>
      </c>
    </row>
    <row r="237">
      <c r="A237" s="255" t="str">
        <f>IFERROR(__xludf.DUMMYFUNCTION("""COMPUTED_VALUE"""),"MICRO")</f>
        <v>MICRO</v>
      </c>
      <c r="B237" s="361" t="str">
        <f>IFERROR(__xludf.DUMMYFUNCTION("""COMPUTED_VALUE"""),"giuni.shop03
")</f>
        <v>giuni.shop03
</v>
      </c>
      <c r="C237" s="257" t="str">
        <f>IFERROR(__xludf.DUMMYFUNCTION("""COMPUTED_VALUE"""),"https://www.tiktok.com/@giuni.shop03
")</f>
        <v>https://www.tiktok.com/@giuni.shop03
</v>
      </c>
      <c r="D237" s="270">
        <f>IFERROR(__xludf.DUMMYFUNCTION("""COMPUTED_VALUE"""),8.95331370087E11)</f>
        <v>895331370087</v>
      </c>
      <c r="E237" s="457">
        <f>IFERROR(__xludf.DUMMYFUNCTION("""COMPUTED_VALUE"""),0.0)</f>
        <v>0</v>
      </c>
      <c r="F237" s="270">
        <f>IFERROR(__xludf.DUMMYFUNCTION("""COMPUTED_VALUE"""),4.0)</f>
        <v>4</v>
      </c>
      <c r="G237" s="17" t="str">
        <f>IFERROR(__xludf.DUMMYFUNCTION("""COMPUTED_VALUE"""),"Sabun batang 1 Box ( 2 PCS )")</f>
        <v>Sabun batang 1 Box ( 2 PCS )</v>
      </c>
      <c r="H237" s="463" t="str">
        <f>IFERROR(__xludf.DUMMYFUNCTION("""COMPUTED_VALUE"""),"Sampai")</f>
        <v>Sampai</v>
      </c>
      <c r="I237" s="464" t="str">
        <f>IFERROR(__xludf.DUMMYFUNCTION("""COMPUTED_VALUE"""),"KIMME")</f>
        <v>KIMME</v>
      </c>
      <c r="J237" s="279" t="str">
        <f>IFERROR(__xludf.DUMMYFUNCTION("""COMPUTED_VALUE"""),"https://www.tiktok.com/@giuni.shop03/video/7614000056538008853?is_from_webapp=1&amp;sender_device=pc")</f>
        <v>https://www.tiktok.com/@giuni.shop03/video/7614000056538008853?is_from_webapp=1&amp;sender_device=pc</v>
      </c>
      <c r="K237" s="464" t="str">
        <f>IFERROR(__xludf.DUMMYFUNCTION("""COMPUTED_VALUE"""),"KIMME")</f>
        <v>KIMME</v>
      </c>
      <c r="L237" s="279" t="str">
        <f>IFERROR(__xludf.DUMMYFUNCTION("""COMPUTED_VALUE"""),"https://www.tiktok.com/@giuni.shop03/video/7614001121580911892?is_from_webapp=1&amp;sender_device=pc")</f>
        <v>https://www.tiktok.com/@giuni.shop03/video/7614001121580911892?is_from_webapp=1&amp;sender_device=pc</v>
      </c>
      <c r="M237" s="464" t="str">
        <f>IFERROR(__xludf.DUMMYFUNCTION("""COMPUTED_VALUE"""),"KIMME")</f>
        <v>KIMME</v>
      </c>
      <c r="N237" s="279" t="str">
        <f>IFERROR(__xludf.DUMMYFUNCTION("""COMPUTED_VALUE"""),"https://www.tiktok.com/@giuni.shop03/video/7614001643079732501?is_from_webapp=1&amp;sender_device=pc")</f>
        <v>https://www.tiktok.com/@giuni.shop03/video/7614001643079732501?is_from_webapp=1&amp;sender_device=pc</v>
      </c>
      <c r="O237" s="464" t="str">
        <f>IFERROR(__xludf.DUMMYFUNCTION("""COMPUTED_VALUE"""),"KIMME")</f>
        <v>KIMME</v>
      </c>
      <c r="P237" s="279" t="str">
        <f>IFERROR(__xludf.DUMMYFUNCTION("""COMPUTED_VALUE"""),"https://www.tiktok.com/@racunbyyola/video/7625083876553067794?is_from_webapp=1&amp;sender_device=pc")</f>
        <v>https://www.tiktok.com/@racunbyyola/video/7625083876553067794?is_from_webapp=1&amp;sender_device=pc</v>
      </c>
    </row>
    <row r="238">
      <c r="A238" s="255" t="str">
        <f>IFERROR(__xludf.DUMMYFUNCTION("""COMPUTED_VALUE"""),"MICRO")</f>
        <v>MICRO</v>
      </c>
      <c r="B238" s="361" t="str">
        <f>IFERROR(__xludf.DUMMYFUNCTION("""COMPUTED_VALUE"""),"naomiifarsya")</f>
        <v>naomiifarsya</v>
      </c>
      <c r="C238" s="257" t="str">
        <f>IFERROR(__xludf.DUMMYFUNCTION("""COMPUTED_VALUE"""),"https://www.tiktok.com/@naomiifarsya")</f>
        <v>https://www.tiktok.com/@naomiifarsya</v>
      </c>
      <c r="D238" s="270">
        <f>IFERROR(__xludf.DUMMYFUNCTION("""COMPUTED_VALUE"""),8.95351795802E11)</f>
        <v>895351795802</v>
      </c>
      <c r="E238" s="457">
        <f>IFERROR(__xludf.DUMMYFUNCTION("""COMPUTED_VALUE"""),50000.0)</f>
        <v>50000</v>
      </c>
      <c r="F238" s="270">
        <f>IFERROR(__xludf.DUMMYFUNCTION("""COMPUTED_VALUE"""),1.0)</f>
        <v>1</v>
      </c>
      <c r="G238" s="17" t="str">
        <f>IFERROR(__xludf.DUMMYFUNCTION("""COMPUTED_VALUE"""),"Sabun batang 1 Box ( 2 PCS )")</f>
        <v>Sabun batang 1 Box ( 2 PCS )</v>
      </c>
      <c r="H238" s="463" t="str">
        <f>IFERROR(__xludf.DUMMYFUNCTION("""COMPUTED_VALUE"""),"Sampai")</f>
        <v>Sampai</v>
      </c>
      <c r="I238" s="464" t="str">
        <f>IFERROR(__xludf.DUMMYFUNCTION("""COMPUTED_VALUE"""),"KIMME")</f>
        <v>KIMME</v>
      </c>
      <c r="J238" s="279" t="str">
        <f>IFERROR(__xludf.DUMMYFUNCTION("""COMPUTED_VALUE"""),"https://vt.tiktok.com/ZSHFDtmdS/")</f>
        <v>https://vt.tiktok.com/ZSHFDtmdS/</v>
      </c>
      <c r="K238" s="464" t="str">
        <f>IFERROR(__xludf.DUMMYFUNCTION("""COMPUTED_VALUE"""),"KIMME")</f>
        <v>KIMME</v>
      </c>
      <c r="L238" s="279" t="str">
        <f>IFERROR(__xludf.DUMMYFUNCTION("""COMPUTED_VALUE"""),"https://vt.tiktok.com/ZS9qrm6gs/")</f>
        <v>https://vt.tiktok.com/ZS9qrm6gs/</v>
      </c>
      <c r="M238" s="464"/>
      <c r="N238" s="279" t="str">
        <f>IFERROR(__xludf.DUMMYFUNCTION("""COMPUTED_VALUE"""),"https://vt.tiktok.com/ZS9qrEpC1/")</f>
        <v>https://vt.tiktok.com/ZS9qrEpC1/</v>
      </c>
      <c r="O238" s="464"/>
      <c r="P238" s="279" t="str">
        <f>IFERROR(__xludf.DUMMYFUNCTION("""COMPUTED_VALUE"""),"https://vt.tiktok.com/ZS9qh1P6e/")</f>
        <v>https://vt.tiktok.com/ZS9qh1P6e/</v>
      </c>
    </row>
    <row r="239">
      <c r="A239" s="255" t="str">
        <f>IFERROR(__xludf.DUMMYFUNCTION("""COMPUTED_VALUE"""),"MICRO")</f>
        <v>MICRO</v>
      </c>
      <c r="B239" s="361" t="str">
        <f>IFERROR(__xludf.DUMMYFUNCTION("""COMPUTED_VALUE"""),"ristaglowingkuu")</f>
        <v>ristaglowingkuu</v>
      </c>
      <c r="C239" s="257" t="str">
        <f>IFERROR(__xludf.DUMMYFUNCTION("""COMPUTED_VALUE"""),"https://www.tiktok.com/@ristaglowingkuu")</f>
        <v>https://www.tiktok.com/@ristaglowingkuu</v>
      </c>
      <c r="D239" s="270">
        <f>IFERROR(__xludf.DUMMYFUNCTION("""COMPUTED_VALUE"""),8.1929166615E10)</f>
        <v>81929166615</v>
      </c>
      <c r="E239" s="457">
        <f>IFERROR(__xludf.DUMMYFUNCTION("""COMPUTED_VALUE"""),50000.0)</f>
        <v>50000</v>
      </c>
      <c r="F239" s="270">
        <f>IFERROR(__xludf.DUMMYFUNCTION("""COMPUTED_VALUE"""),1.0)</f>
        <v>1</v>
      </c>
      <c r="G239" s="17" t="str">
        <f>IFERROR(__xludf.DUMMYFUNCTION("""COMPUTED_VALUE"""),"Sabun batang 1 Box ( 2 PCS )")</f>
        <v>Sabun batang 1 Box ( 2 PCS )</v>
      </c>
      <c r="H239" s="463" t="str">
        <f>IFERROR(__xludf.DUMMYFUNCTION("""COMPUTED_VALUE"""),"Sampai")</f>
        <v>Sampai</v>
      </c>
      <c r="I239" s="464" t="str">
        <f>IFERROR(__xludf.DUMMYFUNCTION("""COMPUTED_VALUE"""),"KIMME")</f>
        <v>KIMME</v>
      </c>
      <c r="J239" s="279" t="str">
        <f>IFERROR(__xludf.DUMMYFUNCTION("""COMPUTED_VALUE"""),"https://vt.tiktok.com/ZSHFDBmVP/")</f>
        <v>https://vt.tiktok.com/ZSHFDBmVP/</v>
      </c>
      <c r="K239" s="464" t="str">
        <f>IFERROR(__xludf.DUMMYFUNCTION("""COMPUTED_VALUE"""),"KIMME")</f>
        <v>KIMME</v>
      </c>
      <c r="L239" s="279" t="str">
        <f>IFERROR(__xludf.DUMMYFUNCTION("""COMPUTED_VALUE"""),"https://vt.tiktok.com/ZS9qrGctR/")</f>
        <v>https://vt.tiktok.com/ZS9qrGctR/</v>
      </c>
      <c r="M239" s="464"/>
      <c r="N239" s="279" t="str">
        <f>IFERROR(__xludf.DUMMYFUNCTION("""COMPUTED_VALUE"""),"https://vt.tiktok.com/ZS9qrEREC/")</f>
        <v>https://vt.tiktok.com/ZS9qrEREC/</v>
      </c>
      <c r="O239" s="464"/>
      <c r="P239" s="279" t="str">
        <f>IFERROR(__xludf.DUMMYFUNCTION("""COMPUTED_VALUE"""),"https://vt.tiktok.com/ZS9qrXKcY/")</f>
        <v>https://vt.tiktok.com/ZS9qrXKcY/</v>
      </c>
    </row>
    <row r="240">
      <c r="A240" s="255" t="str">
        <f>IFERROR(__xludf.DUMMYFUNCTION("""COMPUTED_VALUE"""),"MICRO")</f>
        <v>MICRO</v>
      </c>
      <c r="B240" s="361" t="str">
        <f>IFERROR(__xludf.DUMMYFUNCTION("""COMPUTED_VALUE"""),"zizee___")</f>
        <v>zizee___</v>
      </c>
      <c r="C240" s="257" t="str">
        <f>IFERROR(__xludf.DUMMYFUNCTION("""COMPUTED_VALUE"""),"https://www.tiktok.com/@zizee___")</f>
        <v>https://www.tiktok.com/@zizee___</v>
      </c>
      <c r="D240" s="270">
        <f>IFERROR(__xludf.DUMMYFUNCTION("""COMPUTED_VALUE"""),8.3190938892E10)</f>
        <v>83190938892</v>
      </c>
      <c r="E240" s="457">
        <f>IFERROR(__xludf.DUMMYFUNCTION("""COMPUTED_VALUE"""),0.0)</f>
        <v>0</v>
      </c>
      <c r="F240" s="270">
        <f>IFERROR(__xludf.DUMMYFUNCTION("""COMPUTED_VALUE"""),4.0)</f>
        <v>4</v>
      </c>
      <c r="G240" s="17" t="str">
        <f>IFERROR(__xludf.DUMMYFUNCTION("""COMPUTED_VALUE"""),"Sabun batang 1 Box ( 2 PCS )")</f>
        <v>Sabun batang 1 Box ( 2 PCS )</v>
      </c>
      <c r="H240" s="463" t="str">
        <f>IFERROR(__xludf.DUMMYFUNCTION("""COMPUTED_VALUE"""),"Sampai")</f>
        <v>Sampai</v>
      </c>
      <c r="I240" s="464" t="str">
        <f>IFERROR(__xludf.DUMMYFUNCTION("""COMPUTED_VALUE"""),"KIMME")</f>
        <v>KIMME</v>
      </c>
      <c r="J240" s="279" t="str">
        <f>IFERROR(__xludf.DUMMYFUNCTION("""COMPUTED_VALUE"""),"https://www.tiktok.com/@zizee___/video/7611767153599008018?is_from_webapp=1&amp;sender_device=pc")</f>
        <v>https://www.tiktok.com/@zizee___/video/7611767153599008018?is_from_webapp=1&amp;sender_device=pc</v>
      </c>
      <c r="K240" s="464" t="str">
        <f>IFERROR(__xludf.DUMMYFUNCTION("""COMPUTED_VALUE"""),"KIMME")</f>
        <v>KIMME</v>
      </c>
      <c r="L240" s="279" t="str">
        <f>IFERROR(__xludf.DUMMYFUNCTION("""COMPUTED_VALUE"""),"https://www.tiktok.com/@zizee___/video/7612645602752580872?is_from_webapp=1&amp;sender_device=pc")</f>
        <v>https://www.tiktok.com/@zizee___/video/7612645602752580872?is_from_webapp=1&amp;sender_device=pc</v>
      </c>
      <c r="M240" s="464" t="str">
        <f>IFERROR(__xludf.DUMMYFUNCTION("""COMPUTED_VALUE"""),"KIMME")</f>
        <v>KIMME</v>
      </c>
      <c r="N240" s="279" t="str">
        <f>IFERROR(__xludf.DUMMYFUNCTION("""COMPUTED_VALUE"""),"https://www.tiktok.com/@zizee___/video/7617475199369301256?is_from_webapp=1&amp;sender_device=pc")</f>
        <v>https://www.tiktok.com/@zizee___/video/7617475199369301256?is_from_webapp=1&amp;sender_device=pc</v>
      </c>
      <c r="O240" s="464" t="str">
        <f>IFERROR(__xludf.DUMMYFUNCTION("""COMPUTED_VALUE"""),"KIMME")</f>
        <v>KIMME</v>
      </c>
      <c r="P240" s="279" t="str">
        <f>IFERROR(__xludf.DUMMYFUNCTION("""COMPUTED_VALUE"""),"https://www.tiktok.com/@zizee___/video/7617482376968457480?is_from_webapp=1&amp;sender_device=pc")</f>
        <v>https://www.tiktok.com/@zizee___/video/7617482376968457480?is_from_webapp=1&amp;sender_device=pc</v>
      </c>
    </row>
    <row r="241">
      <c r="A241" s="255" t="str">
        <f>IFERROR(__xludf.DUMMYFUNCTION("""COMPUTED_VALUE"""),"MICRO")</f>
        <v>MICRO</v>
      </c>
      <c r="B241" s="361" t="str">
        <f>IFERROR(__xludf.DUMMYFUNCTION("""COMPUTED_VALUE"""),"racunbyyola")</f>
        <v>racunbyyola</v>
      </c>
      <c r="C241" s="257" t="str">
        <f>IFERROR(__xludf.DUMMYFUNCTION("""COMPUTED_VALUE"""),"https://www.tiktok.com/@racunbyyola")</f>
        <v>https://www.tiktok.com/@racunbyyola</v>
      </c>
      <c r="D241" s="270">
        <f>IFERROR(__xludf.DUMMYFUNCTION("""COMPUTED_VALUE"""),8.5646488799E10)</f>
        <v>85646488799</v>
      </c>
      <c r="E241" s="457">
        <f>IFERROR(__xludf.DUMMYFUNCTION("""COMPUTED_VALUE"""),0.0)</f>
        <v>0</v>
      </c>
      <c r="F241" s="270">
        <f>IFERROR(__xludf.DUMMYFUNCTION("""COMPUTED_VALUE"""),1.0)</f>
        <v>1</v>
      </c>
      <c r="G241" s="17" t="str">
        <f>IFERROR(__xludf.DUMMYFUNCTION("""COMPUTED_VALUE"""),"Sabun batang 1 Box ( 2 PCS )")</f>
        <v>Sabun batang 1 Box ( 2 PCS )</v>
      </c>
      <c r="H241" s="463" t="str">
        <f>IFERROR(__xludf.DUMMYFUNCTION("""COMPUTED_VALUE"""),"Sampai")</f>
        <v>Sampai</v>
      </c>
      <c r="I241" s="464" t="str">
        <f>IFERROR(__xludf.DUMMYFUNCTION("""COMPUTED_VALUE"""),"KIMME")</f>
        <v>KIMME</v>
      </c>
      <c r="J241" s="279" t="str">
        <f>IFERROR(__xludf.DUMMYFUNCTION("""COMPUTED_VALUE"""),"https://www.tiktok.com/@racunbyyola/video/7608536634086264071?is_from_webapp=1&amp;sender_device=pc")</f>
        <v>https://www.tiktok.com/@racunbyyola/video/7608536634086264071?is_from_webapp=1&amp;sender_device=pc</v>
      </c>
      <c r="K241" s="464" t="str">
        <f>IFERROR(__xludf.DUMMYFUNCTION("""COMPUTED_VALUE"""),"KIMME")</f>
        <v>KIMME</v>
      </c>
      <c r="L241" s="279" t="str">
        <f>IFERROR(__xludf.DUMMYFUNCTION("""COMPUTED_VALUE"""),"https://www.tiktok.com/@racunbyyola/video/7626227024658517255?_r=1&amp;u_code=did1gld0iebd1c&amp;region=&amp;mid=7626232216430906133&amp;preview_pb=0&amp;sharer_language=&amp;_d=0&amp;ec_shared_reflux_dynamic_params=%7B%22placeholder_material_id%22%3A%227626227024658517255%22%2C%22p"&amp;"laceholder_origin_cover%22%3A%22https%253A%252F%252Fp16-common-sign.tiktokcdn.com%252Ftos-alisg-p-0037%252FokBEXrF1nIDvBeBA0CUgfnEqpVIwRVoBc0RczB~tplv-tiktokx-origin.jpeg%253Fdr%253D14572%2526refresh_token%253D529c989e%2526x-expires%253D1808208000%2526x-s"&amp;"ignature%253DA0%25252F9ORASx%25252FjRfTVvQI%25252B2nTS717g%25253D%2526t%253D4d5b0474%2526ps%253D13740610%2526shp%253Dd05b14bd%2526shcp%253D34ff8df6%2526idc%253Dmy3%2526s%253DTIKTOK_AFFILIATE_VIRAL_VIDEO%22%2C%22placeholder_product_id%22%3A%221729427766722"&amp;"726591%22%2C%22placeholder_video_id%22%3A%227626227024658517255%22%7D&amp;ec_shared_reflux_scene=shop_tab_feed&amp;share_item_id=7626227024658517255&amp;source=h5_t")</f>
        <v>https://www.tiktok.com/@racunbyyola/video/7626227024658517255?_r=1&amp;u_code=did1gld0iebd1c&amp;region=&amp;mid=7626232216430906133&amp;preview_pb=0&amp;sharer_language=&amp;_d=0&amp;ec_shared_reflux_dynamic_params=%7B%22placeholder_material_id%22%3A%227626227024658517255%22%2C%22placeholder_origin_cover%22%3A%22https%253A%252F%252Fp16-common-sign.tiktokcdn.com%252Ftos-alisg-p-0037%252FokBEXrF1nIDvBeBA0CUgfnEqpVIwRVoBc0RczB~tplv-tiktokx-origin.jpeg%253Fdr%253D14572%2526refresh_token%253D529c989e%2526x-expires%253D1808208000%2526x-signature%253DA0%25252F9ORASx%25252FjRfTVvQI%25252B2nTS717g%25253D%2526t%253D4d5b0474%2526ps%253D13740610%2526shp%253Dd05b14bd%2526shcp%253D34ff8df6%2526idc%253Dmy3%2526s%253DTIKTOK_AFFILIATE_VIRAL_VIDEO%22%2C%22placeholder_product_id%22%3A%221729427766722726591%22%2C%22placeholder_video_id%22%3A%227626227024658517255%22%7D&amp;ec_shared_reflux_scene=shop_tab_feed&amp;share_item_id=7626227024658517255&amp;source=h5_t</v>
      </c>
      <c r="M241" s="464" t="str">
        <f>IFERROR(__xludf.DUMMYFUNCTION("""COMPUTED_VALUE"""),"KIMME")</f>
        <v>KIMME</v>
      </c>
      <c r="N241" s="279" t="str">
        <f>IFERROR(__xludf.DUMMYFUNCTION("""COMPUTED_VALUE"""),"https://www.tiktok.com/@racunbyyola/video/7626609730777025800?_r=1&amp;u_code=did1gld0iebd1c&amp;region=&amp;mid=7493541906289150726&amp;preview_pb=0&amp;sharer_language=&amp;_d=0&amp;ec_shared_reflux_dynamic_params=%7B%22placeholder_material_id%22%3A%227626609730777025800%22%2C%22p"&amp;"laceholder_origin_cover%22%3A%22https%253A%252F%252Fp16-common-sign.tiktokcdn.com%252Ftos-alisg-p-0037%252FocvXVpaDuCA2EYVBXc7DApKB1ilAdBSiIIY1s~tplv-tiktokx-origin.jpeg%253Fdr%253D14572%2526refresh_token%253D79c4d873%2526x-expires%253D1808208000%2526x-si"&amp;"gnature%253Dq38jRO%25252BuckdzXthuA1kUR7OG6jY%25253D%2526t%253D4d5b0474%2526ps%253D13740610%2526shp%253Dd05b14bd%2526shcp%253D34ff8df6%2526idc%253Dmy3%2526s%253DTIKTOK_AFFILIATE_VIRAL_VIDEO%22%2C%22placeholder_product_id%22%3A%221729427766722726591%22%2C%"&amp;"22placeholder_video_id%22%3A%227626609730777025800%22%7D&amp;ec_shared_reflux_scene=shop_tab_feed&amp;share_item_id=7626609730777025800&amp;source=h5_t")</f>
        <v>https://www.tiktok.com/@racunbyyola/video/7626609730777025800?_r=1&amp;u_code=did1gld0iebd1c&amp;region=&amp;mid=7493541906289150726&amp;preview_pb=0&amp;sharer_language=&amp;_d=0&amp;ec_shared_reflux_dynamic_params=%7B%22placeholder_material_id%22%3A%227626609730777025800%22%2C%22placeholder_origin_cover%22%3A%22https%253A%252F%252Fp16-common-sign.tiktokcdn.com%252Ftos-alisg-p-0037%252FocvXVpaDuCA2EYVBXc7DApKB1ilAdBSiIIY1s~tplv-tiktokx-origin.jpeg%253Fdr%253D14572%2526refresh_token%253D79c4d873%2526x-expires%253D1808208000%2526x-signature%253Dq38jRO%25252BuckdzXthuA1kUR7OG6jY%25253D%2526t%253D4d5b0474%2526ps%253D13740610%2526shp%253Dd05b14bd%2526shcp%253D34ff8df6%2526idc%253Dmy3%2526s%253DTIKTOK_AFFILIATE_VIRAL_VIDEO%22%2C%22placeholder_product_id%22%3A%221729427766722726591%22%2C%22placeholder_video_id%22%3A%227626609730777025800%22%7D&amp;ec_shared_reflux_scene=shop_tab_feed&amp;share_item_id=7626609730777025800&amp;source=h5_t</v>
      </c>
      <c r="O241" s="464" t="str">
        <f>IFERROR(__xludf.DUMMYFUNCTION("""COMPUTED_VALUE"""),"KIMME")</f>
        <v>KIMME</v>
      </c>
      <c r="P241" s="279" t="str">
        <f>IFERROR(__xludf.DUMMYFUNCTION("""COMPUTED_VALUE"""),"https://www.tiktok.com/@racunbyyola/video/7627030825271332114?_r=1&amp;u_code=did1gld0iebd1c&amp;region=&amp;mid=7521278093747604280&amp;preview_pb=0&amp;sharer_language=&amp;_d=0&amp;ec_shared_reflux_dynamic_params=%7B%22placeholder_material_id%22%3A%227627030825271332114%22%2C%22p"&amp;"laceholder_origin_cover%22%3A%22https%253A%252F%252Fp16-common-sign.tiktokcdn.com%252Ftos-alisg-p-0037%252FokeBBwZ8TYATQKnfzqueGGnLbRqAnFHYA14fFg~tplv-tiktokx-origin.jpeg%253Fdr%253D14572%2526refresh_token%253D9299b4cb%2526x-expires%253D1808208000%2526x-s"&amp;"ignature%253DmQTTvWWMbuplNx3SbTMM%25252BHIA2BQ%25253D%2526t%253D4d5b0474%2526ps%253D13740610%2526shp%253Dd05b14bd%2526shcp%253D34ff8df6%2526idc%253Dmy3%2526s%253DTIKTOK_AFFILIATE_VIRAL_VIDEO%22%2C%22placeholder_product_id%22%3A%221729427766722726591%22%2C"&amp;"%22placeholder_video_id%22%3A%227627030825271332114%22%7D&amp;ec_shared_reflux_scene=shop_tab_feed&amp;share_item_id=7627030825271332114&amp;source=h5_t")</f>
        <v>https://www.tiktok.com/@racunbyyola/video/7627030825271332114?_r=1&amp;u_code=did1gld0iebd1c&amp;region=&amp;mid=7521278093747604280&amp;preview_pb=0&amp;sharer_language=&amp;_d=0&amp;ec_shared_reflux_dynamic_params=%7B%22placeholder_material_id%22%3A%227627030825271332114%22%2C%22placeholder_origin_cover%22%3A%22https%253A%252F%252Fp16-common-sign.tiktokcdn.com%252Ftos-alisg-p-0037%252FokeBBwZ8TYATQKnfzqueGGnLbRqAnFHYA14fFg~tplv-tiktokx-origin.jpeg%253Fdr%253D14572%2526refresh_token%253D9299b4cb%2526x-expires%253D1808208000%2526x-signature%253DmQTTvWWMbuplNx3SbTMM%25252BHIA2BQ%25253D%2526t%253D4d5b0474%2526ps%253D13740610%2526shp%253Dd05b14bd%2526shcp%253D34ff8df6%2526idc%253Dmy3%2526s%253DTIKTOK_AFFILIATE_VIRAL_VIDEO%22%2C%22placeholder_product_id%22%3A%221729427766722726591%22%2C%22placeholder_video_id%22%3A%227627030825271332114%22%7D&amp;ec_shared_reflux_scene=shop_tab_feed&amp;share_item_id=7627030825271332114&amp;source=h5_t</v>
      </c>
    </row>
    <row r="242">
      <c r="A242" s="255" t="str">
        <f>IFERROR(__xludf.DUMMYFUNCTION("""COMPUTED_VALUE"""),"MICRO")</f>
        <v>MICRO</v>
      </c>
      <c r="B242" s="361" t="str">
        <f>IFERROR(__xludf.DUMMYFUNCTION("""COMPUTED_VALUE"""),"sintarahayu1728")</f>
        <v>sintarahayu1728</v>
      </c>
      <c r="C242" s="257" t="str">
        <f>IFERROR(__xludf.DUMMYFUNCTION("""COMPUTED_VALUE"""),"https://www.tiktok.com/@sintarahayu1728")</f>
        <v>https://www.tiktok.com/@sintarahayu1728</v>
      </c>
      <c r="D242" s="270">
        <f>IFERROR(__xludf.DUMMYFUNCTION("""COMPUTED_VALUE"""),8.5793186279E10)</f>
        <v>85793186279</v>
      </c>
      <c r="E242" s="457">
        <f>IFERROR(__xludf.DUMMYFUNCTION("""COMPUTED_VALUE"""),0.0)</f>
        <v>0</v>
      </c>
      <c r="F242" s="270">
        <f>IFERROR(__xludf.DUMMYFUNCTION("""COMPUTED_VALUE"""),2.0)</f>
        <v>2</v>
      </c>
      <c r="G242" s="17" t="str">
        <f>IFERROR(__xludf.DUMMYFUNCTION("""COMPUTED_VALUE"""),"Sabun batang 1 Box ( 2 PCS )")</f>
        <v>Sabun batang 1 Box ( 2 PCS )</v>
      </c>
      <c r="H242" s="463" t="str">
        <f>IFERROR(__xludf.DUMMYFUNCTION("""COMPUTED_VALUE"""),"Sampai")</f>
        <v>Sampai</v>
      </c>
      <c r="I242" s="464" t="str">
        <f>IFERROR(__xludf.DUMMYFUNCTION("""COMPUTED_VALUE"""),"KIMME")</f>
        <v>KIMME</v>
      </c>
      <c r="J242" s="279" t="str">
        <f>IFERROR(__xludf.DUMMYFUNCTION("""COMPUTED_VALUE"""),"https://www.tiktok.com/@sintarahayu1728/video/7608592816989670663?is_from_webapp=1&amp;sender_device=pc")</f>
        <v>https://www.tiktok.com/@sintarahayu1728/video/7608592816989670663?is_from_webapp=1&amp;sender_device=pc</v>
      </c>
      <c r="K242" s="464" t="str">
        <f>IFERROR(__xludf.DUMMYFUNCTION("""COMPUTED_VALUE"""),"KIMME")</f>
        <v>KIMME</v>
      </c>
      <c r="L242" s="279" t="str">
        <f>IFERROR(__xludf.DUMMYFUNCTION("""COMPUTED_VALUE"""),"https://www.tiktok.com/@sintarahayu1728/video/7614092890867895570?is_from_webapp=1&amp;sender_device=pc")</f>
        <v>https://www.tiktok.com/@sintarahayu1728/video/7614092890867895570?is_from_webapp=1&amp;sender_device=pc</v>
      </c>
      <c r="M242" s="464"/>
      <c r="N242" s="279" t="str">
        <f>IFERROR(__xludf.DUMMYFUNCTION("""COMPUTED_VALUE"""),"https://vt.tiktok.com/ZS9qh1n5v/")</f>
        <v>https://vt.tiktok.com/ZS9qh1n5v/</v>
      </c>
      <c r="O242" s="464"/>
      <c r="P242" s="279" t="str">
        <f>IFERROR(__xludf.DUMMYFUNCTION("""COMPUTED_VALUE"""),"https://vt.tiktok.com/ZS9qhexkq/")</f>
        <v>https://vt.tiktok.com/ZS9qhexkq/</v>
      </c>
    </row>
    <row r="243">
      <c r="A243" s="255" t="str">
        <f>IFERROR(__xludf.DUMMYFUNCTION("""COMPUTED_VALUE"""),"MICRO")</f>
        <v>MICRO</v>
      </c>
      <c r="B243" s="361" t="str">
        <f>IFERROR(__xludf.DUMMYFUNCTION("""COMPUTED_VALUE"""),"grosirndeso1")</f>
        <v>grosirndeso1</v>
      </c>
      <c r="C243" s="257" t="str">
        <f>IFERROR(__xludf.DUMMYFUNCTION("""COMPUTED_VALUE"""),"https://www.tiktok.com/@grosirndeso1")</f>
        <v>https://www.tiktok.com/@grosirndeso1</v>
      </c>
      <c r="D243" s="270">
        <f>IFERROR(__xludf.DUMMYFUNCTION("""COMPUTED_VALUE"""),8.2340867303E10)</f>
        <v>82340867303</v>
      </c>
      <c r="E243" s="457">
        <f>IFERROR(__xludf.DUMMYFUNCTION("""COMPUTED_VALUE"""),0.0)</f>
        <v>0</v>
      </c>
      <c r="F243" s="270">
        <f>IFERROR(__xludf.DUMMYFUNCTION("""COMPUTED_VALUE"""),4.0)</f>
        <v>4</v>
      </c>
      <c r="G243" s="17" t="str">
        <f>IFERROR(__xludf.DUMMYFUNCTION("""COMPUTED_VALUE"""),"Sabun batang 1 Box ( 2 PCS )")</f>
        <v>Sabun batang 1 Box ( 2 PCS )</v>
      </c>
      <c r="H243" s="463" t="str">
        <f>IFERROR(__xludf.DUMMYFUNCTION("""COMPUTED_VALUE"""),"Sampai")</f>
        <v>Sampai</v>
      </c>
      <c r="I243" s="464" t="str">
        <f>IFERROR(__xludf.DUMMYFUNCTION("""COMPUTED_VALUE"""),"KIMME")</f>
        <v>KIMME</v>
      </c>
      <c r="J243" s="279" t="str">
        <f>IFERROR(__xludf.DUMMYFUNCTION("""COMPUTED_VALUE"""),"https://vt.tiktok.com/ZSHFyjvVp/")</f>
        <v>https://vt.tiktok.com/ZSHFyjvVp/</v>
      </c>
      <c r="K243" s="464" t="str">
        <f>IFERROR(__xludf.DUMMYFUNCTION("""COMPUTED_VALUE"""),"KIMME")</f>
        <v>KIMME</v>
      </c>
      <c r="L243" s="279" t="str">
        <f>IFERROR(__xludf.DUMMYFUNCTION("""COMPUTED_VALUE"""),"https://vt.tiktok.com/ZSHFf6e5C/")</f>
        <v>https://vt.tiktok.com/ZSHFf6e5C/</v>
      </c>
      <c r="M243" s="464" t="str">
        <f>IFERROR(__xludf.DUMMYFUNCTION("""COMPUTED_VALUE"""),"KIMME")</f>
        <v>KIMME</v>
      </c>
      <c r="N243" s="279" t="str">
        <f>IFERROR(__xludf.DUMMYFUNCTION("""COMPUTED_VALUE"""),"https://vt.tiktok.com/ZSHFfkQ2P/")</f>
        <v>https://vt.tiktok.com/ZSHFfkQ2P/</v>
      </c>
      <c r="O243" s="464" t="str">
        <f>IFERROR(__xludf.DUMMYFUNCTION("""COMPUTED_VALUE"""),"KIMME")</f>
        <v>KIMME</v>
      </c>
      <c r="P243" s="279" t="str">
        <f>IFERROR(__xludf.DUMMYFUNCTION("""COMPUTED_VALUE"""),"https://www.tiktok.com/@hdytl_masruroh/video/7624987719659179271?is_from_webapp=1&amp;sender_device=pc")</f>
        <v>https://www.tiktok.com/@hdytl_masruroh/video/7624987719659179271?is_from_webapp=1&amp;sender_device=pc</v>
      </c>
    </row>
    <row r="244">
      <c r="A244" s="255" t="str">
        <f>IFERROR(__xludf.DUMMYFUNCTION("""COMPUTED_VALUE"""),"MICRO")</f>
        <v>MICRO</v>
      </c>
      <c r="B244" s="361" t="str">
        <f>IFERROR(__xludf.DUMMYFUNCTION("""COMPUTED_VALUE"""),"hdytl_masruroh")</f>
        <v>hdytl_masruroh</v>
      </c>
      <c r="C244" s="257" t="str">
        <f>IFERROR(__xludf.DUMMYFUNCTION("""COMPUTED_VALUE"""),"https://www.tiktok.com/@hdytl_masruroh")</f>
        <v>https://www.tiktok.com/@hdytl_masruroh</v>
      </c>
      <c r="D244" s="270">
        <f>IFERROR(__xludf.DUMMYFUNCTION("""COMPUTED_VALUE"""),8.1916254311E10)</f>
        <v>81916254311</v>
      </c>
      <c r="E244" s="457">
        <f>IFERROR(__xludf.DUMMYFUNCTION("""COMPUTED_VALUE"""),0.0)</f>
        <v>0</v>
      </c>
      <c r="F244" s="270">
        <f>IFERROR(__xludf.DUMMYFUNCTION("""COMPUTED_VALUE"""),4.0)</f>
        <v>4</v>
      </c>
      <c r="G244" s="17" t="str">
        <f>IFERROR(__xludf.DUMMYFUNCTION("""COMPUTED_VALUE"""),"Sabun batang 1 Box ( 2 PCS )")</f>
        <v>Sabun batang 1 Box ( 2 PCS )</v>
      </c>
      <c r="H244" s="463" t="str">
        <f>IFERROR(__xludf.DUMMYFUNCTION("""COMPUTED_VALUE"""),"Sampai")</f>
        <v>Sampai</v>
      </c>
      <c r="I244" s="464" t="str">
        <f>IFERROR(__xludf.DUMMYFUNCTION("""COMPUTED_VALUE"""),"KIMME")</f>
        <v>KIMME</v>
      </c>
      <c r="J244" s="279" t="str">
        <f>IFERROR(__xludf.DUMMYFUNCTION("""COMPUTED_VALUE"""),"https://www.tiktok.com/@hdytl_masruroh/video/7614641067878599954?is_from_webapp=1&amp;sender_device=pc")</f>
        <v>https://www.tiktok.com/@hdytl_masruroh/video/7614641067878599954?is_from_webapp=1&amp;sender_device=pc</v>
      </c>
      <c r="K244" s="464" t="str">
        <f>IFERROR(__xludf.DUMMYFUNCTION("""COMPUTED_VALUE"""),"KIMME")</f>
        <v>KIMME</v>
      </c>
      <c r="L244" s="279" t="str">
        <f>IFERROR(__xludf.DUMMYFUNCTION("""COMPUTED_VALUE"""),"https://www.tiktok.com/@hdytl_masruroh/video/7616002563397258517?is_from_webapp=1&amp;sender_device=pc")</f>
        <v>https://www.tiktok.com/@hdytl_masruroh/video/7616002563397258517?is_from_webapp=1&amp;sender_device=pc</v>
      </c>
      <c r="M244" s="464" t="str">
        <f>IFERROR(__xludf.DUMMYFUNCTION("""COMPUTED_VALUE"""),"KIMME")</f>
        <v>KIMME</v>
      </c>
      <c r="N244" s="279" t="str">
        <f>IFERROR(__xludf.DUMMYFUNCTION("""COMPUTED_VALUE"""),"https://www.tiktok.com/@hdytl_masruroh/video/7620071238093851925?_d=0&amp;_r=1&amp;ec_shared_reflux_dynamic_params=%7B%22placeholder_material_id%22%3A%227620071238093851925%22%2C%22placeholder_origin_cover%22%3A%22https%253A%252F%252Fp16-sign-sg.tiktokcdn.com%252"&amp;"Ftos-alisg-p-0037%252FoQbfGeQLmQQcR2Gx7FfFRF3EQdDF7UAHVAfBnz~tplv-tiktokx-origin.jpeg%253Fdr%253D14572%2526refresh_token%253Dc1f5728c%2526x-expires%253D1806051600%2526x-signature%253DI7gJuB%25252BY%25252FuyAR8lDiVTFWy%25252F5fUg%25253D%2526t%253D4d5b0474%"&amp;"2526ps%253D13740610%2526shp%253Dd05b14bd%2526shcp%253D34ff8df6%2526idc%253Dmy2%2526s%253DTIKTOK_AFFILIATE_VIRAL_VIDEO%22%2C%22placeholder_product_id%22%3A%221729427766722726591%22%2C%22placeholder_video_id%22%3A%227620071238093851925%22%7D&amp;ec_shared_reflu"&amp;"x_scene=shop_tab_feed&amp;mid=7405822483246451461&amp;preview_pb=0&amp;region=&amp;share_item_id=7620071238093851925&amp;sharer_language=&amp;source=h5_t&amp;u_code=d8alfgjgak93j5")</f>
        <v>https://www.tiktok.com/@hdytl_masruroh/video/7620071238093851925?_d=0&amp;_r=1&amp;ec_shared_reflux_dynamic_params=%7B%22placeholder_material_id%22%3A%227620071238093851925%22%2C%22placeholder_origin_cover%22%3A%22https%253A%252F%252Fp16-sign-sg.tiktokcdn.com%252Ftos-alisg-p-0037%252FoQbfGeQLmQQcR2Gx7FfFRF3EQdDF7UAHVAfBnz~tplv-tiktokx-origin.jpeg%253Fdr%253D14572%2526refresh_token%253Dc1f5728c%2526x-expires%253D1806051600%2526x-signature%253DI7gJuB%25252BY%25252FuyAR8lDiVTFWy%25252F5fUg%25253D%2526t%253D4d5b0474%2526ps%253D13740610%2526shp%253Dd05b14bd%2526shcp%253D34ff8df6%2526idc%253Dmy2%2526s%253DTIKTOK_AFFILIATE_VIRAL_VIDEO%22%2C%22placeholder_product_id%22%3A%221729427766722726591%22%2C%22placeholder_video_id%22%3A%227620071238093851925%22%7D&amp;ec_shared_reflux_scene=shop_tab_feed&amp;mid=7405822483246451461&amp;preview_pb=0&amp;region=&amp;share_item_id=7620071238093851925&amp;sharer_language=&amp;source=h5_t&amp;u_code=d8alfgjgak93j5</v>
      </c>
      <c r="O244" s="464" t="str">
        <f>IFERROR(__xludf.DUMMYFUNCTION("""COMPUTED_VALUE"""),"KIMME")</f>
        <v>KIMME</v>
      </c>
      <c r="P244" s="279" t="str">
        <f>IFERROR(__xludf.DUMMYFUNCTION("""COMPUTED_VALUE"""),"https://www.tiktok.com/@hdytl_masruroh/video/7621625067830512904?is_from_webapp=1&amp;sender_device=pc")</f>
        <v>https://www.tiktok.com/@hdytl_masruroh/video/7621625067830512904?is_from_webapp=1&amp;sender_device=pc</v>
      </c>
    </row>
    <row r="245">
      <c r="A245" s="255" t="str">
        <f>IFERROR(__xludf.DUMMYFUNCTION("""COMPUTED_VALUE"""),"MICRO")</f>
        <v>MICRO</v>
      </c>
      <c r="B245" s="361" t="str">
        <f>IFERROR(__xludf.DUMMYFUNCTION("""COMPUTED_VALUE"""),"sillan.tyarn")</f>
        <v>sillan.tyarn</v>
      </c>
      <c r="C245" s="257" t="str">
        <f>IFERROR(__xludf.DUMMYFUNCTION("""COMPUTED_VALUE"""),"https://www.tiktok.com/@sillan.tyarn")</f>
        <v>https://www.tiktok.com/@sillan.tyarn</v>
      </c>
      <c r="D245" s="270">
        <f>IFERROR(__xludf.DUMMYFUNCTION("""COMPUTED_VALUE"""),8.889324739E9)</f>
        <v>8889324739</v>
      </c>
      <c r="E245" s="457">
        <f>IFERROR(__xludf.DUMMYFUNCTION("""COMPUTED_VALUE"""),0.0)</f>
        <v>0</v>
      </c>
      <c r="F245" s="270">
        <f>IFERROR(__xludf.DUMMYFUNCTION("""COMPUTED_VALUE"""),4.0)</f>
        <v>4</v>
      </c>
      <c r="G245" s="17" t="str">
        <f>IFERROR(__xludf.DUMMYFUNCTION("""COMPUTED_VALUE"""),"Sabun batang 1 Box ( 2 PCS )")</f>
        <v>Sabun batang 1 Box ( 2 PCS )</v>
      </c>
      <c r="H245" s="463" t="str">
        <f>IFERROR(__xludf.DUMMYFUNCTION("""COMPUTED_VALUE"""),"Sampai")</f>
        <v>Sampai</v>
      </c>
      <c r="I245" s="464" t="str">
        <f>IFERROR(__xludf.DUMMYFUNCTION("""COMPUTED_VALUE"""),"KIMME")</f>
        <v>KIMME</v>
      </c>
      <c r="J245" s="279" t="str">
        <f>IFERROR(__xludf.DUMMYFUNCTION("""COMPUTED_VALUE"""),"https://www.tiktok.com/@sillan.tyarn/video/7610250760479149319?is_from_webapp=1&amp;sender_device=pc")</f>
        <v>https://www.tiktok.com/@sillan.tyarn/video/7610250760479149319?is_from_webapp=1&amp;sender_device=pc</v>
      </c>
      <c r="K245" s="464" t="str">
        <f>IFERROR(__xludf.DUMMYFUNCTION("""COMPUTED_VALUE"""),"KIMME")</f>
        <v>KIMME</v>
      </c>
      <c r="L245" s="279" t="str">
        <f>IFERROR(__xludf.DUMMYFUNCTION("""COMPUTED_VALUE"""),"https://www.tiktok.com/@sillan.tyarn/video/7610728804083911954?is_from_webapp=1&amp;sender_device=pc")</f>
        <v>https://www.tiktok.com/@sillan.tyarn/video/7610728804083911954?is_from_webapp=1&amp;sender_device=pc</v>
      </c>
      <c r="M245" s="464" t="str">
        <f>IFERROR(__xludf.DUMMYFUNCTION("""COMPUTED_VALUE"""),"KIMME")</f>
        <v>KIMME</v>
      </c>
      <c r="N245" s="279" t="str">
        <f>IFERROR(__xludf.DUMMYFUNCTION("""COMPUTED_VALUE"""),"https://www.tiktok.com/@sillan.tyarn/video/7611274675368348935?is_from_webapp=1&amp;sender_device=pc")</f>
        <v>https://www.tiktok.com/@sillan.tyarn/video/7611274675368348935?is_from_webapp=1&amp;sender_device=pc</v>
      </c>
      <c r="O245" s="464" t="str">
        <f>IFERROR(__xludf.DUMMYFUNCTION("""COMPUTED_VALUE"""),"KIMME")</f>
        <v>KIMME</v>
      </c>
      <c r="P245" s="279" t="str">
        <f>IFERROR(__xludf.DUMMYFUNCTION("""COMPUTED_VALUE"""),"https://www.tiktok.com/@sillan.tyarn/video/7611361956649372935?is_from_webapp=1&amp;sender_device=pc")</f>
        <v>https://www.tiktok.com/@sillan.tyarn/video/7611361956649372935?is_from_webapp=1&amp;sender_device=pc</v>
      </c>
    </row>
    <row r="246">
      <c r="A246" s="255" t="str">
        <f>IFERROR(__xludf.DUMMYFUNCTION("""COMPUTED_VALUE"""),"MICRO")</f>
        <v>MICRO</v>
      </c>
      <c r="B246" s="361" t="str">
        <f>IFERROR(__xludf.DUMMYFUNCTION("""COMPUTED_VALUE"""),"glamshineee")</f>
        <v>glamshineee</v>
      </c>
      <c r="C246" s="257" t="str">
        <f>IFERROR(__xludf.DUMMYFUNCTION("""COMPUTED_VALUE"""),"https://www.tiktok.com/@glamshineee")</f>
        <v>https://www.tiktok.com/@glamshineee</v>
      </c>
      <c r="D246" s="270">
        <f>IFERROR(__xludf.DUMMYFUNCTION("""COMPUTED_VALUE"""),8.986393888E9)</f>
        <v>8986393888</v>
      </c>
      <c r="E246" s="457">
        <f>IFERROR(__xludf.DUMMYFUNCTION("""COMPUTED_VALUE"""),0.0)</f>
        <v>0</v>
      </c>
      <c r="F246" s="270">
        <f>IFERROR(__xludf.DUMMYFUNCTION("""COMPUTED_VALUE"""),4.0)</f>
        <v>4</v>
      </c>
      <c r="G246" s="17" t="str">
        <f>IFERROR(__xludf.DUMMYFUNCTION("""COMPUTED_VALUE"""),"Sabun batang 1 Box ( 2 PCS )")</f>
        <v>Sabun batang 1 Box ( 2 PCS )</v>
      </c>
      <c r="H246" s="463" t="str">
        <f>IFERROR(__xludf.DUMMYFUNCTION("""COMPUTED_VALUE"""),"Sampai")</f>
        <v>Sampai</v>
      </c>
      <c r="I246" s="464" t="str">
        <f>IFERROR(__xludf.DUMMYFUNCTION("""COMPUTED_VALUE"""),"KIMME")</f>
        <v>KIMME</v>
      </c>
      <c r="J246" s="279" t="str">
        <f>IFERROR(__xludf.DUMMYFUNCTION("""COMPUTED_VALUE"""),"https://www.tiktok.com/@sillan.tyarn/video/7616706771142446343?is_from_webapp=1&amp;sender_device=pc")</f>
        <v>https://www.tiktok.com/@sillan.tyarn/video/7616706771142446343?is_from_webapp=1&amp;sender_device=pc</v>
      </c>
      <c r="K246" s="464" t="str">
        <f>IFERROR(__xludf.DUMMYFUNCTION("""COMPUTED_VALUE"""),"KIMME")</f>
        <v>KIMME</v>
      </c>
      <c r="L246" s="279" t="str">
        <f>IFERROR(__xludf.DUMMYFUNCTION("""COMPUTED_VALUE"""),"https://www.tiktok.com/@sillan.tyarn/video/7624508035968421127?is_from_webapp=1&amp;sender_device=pc")</f>
        <v>https://www.tiktok.com/@sillan.tyarn/video/7624508035968421127?is_from_webapp=1&amp;sender_device=pc</v>
      </c>
      <c r="M246" s="464" t="str">
        <f>IFERROR(__xludf.DUMMYFUNCTION("""COMPUTED_VALUE"""),"KIMME")</f>
        <v>KIMME</v>
      </c>
      <c r="N246" s="279" t="str">
        <f>IFERROR(__xludf.DUMMYFUNCTION("""COMPUTED_VALUE"""),"https://vt.tiktok.com/ZSHPNQccw/")</f>
        <v>https://vt.tiktok.com/ZSHPNQccw/</v>
      </c>
      <c r="O246" s="464" t="str">
        <f>IFERROR(__xludf.DUMMYFUNCTION("""COMPUTED_VALUE"""),"KIMME")</f>
        <v>KIMME</v>
      </c>
      <c r="P246" s="279" t="str">
        <f>IFERROR(__xludf.DUMMYFUNCTION("""COMPUTED_VALUE"""),"https://www.tiktok.com/@glamshineee/video/7631122096311127303?is_from_webapp=1&amp;sender_device=pc&amp;web_id=7611930277489657360")</f>
        <v>https://www.tiktok.com/@glamshineee/video/7631122096311127303?is_from_webapp=1&amp;sender_device=pc&amp;web_id=7611930277489657360</v>
      </c>
    </row>
    <row r="247">
      <c r="A247" s="255" t="str">
        <f>IFERROR(__xludf.DUMMYFUNCTION("""COMPUTED_VALUE"""),"MICRO")</f>
        <v>MICRO</v>
      </c>
      <c r="B247" s="361" t="str">
        <f>IFERROR(__xludf.DUMMYFUNCTION("""COMPUTED_VALUE"""),"rinni480")</f>
        <v>rinni480</v>
      </c>
      <c r="C247" s="257" t="str">
        <f>IFERROR(__xludf.DUMMYFUNCTION("""COMPUTED_VALUE"""),"https://www.tiktok.com/@rinni480")</f>
        <v>https://www.tiktok.com/@rinni480</v>
      </c>
      <c r="D247" s="270">
        <f>IFERROR(__xludf.DUMMYFUNCTION("""COMPUTED_VALUE"""),8.5733205992E10)</f>
        <v>85733205992</v>
      </c>
      <c r="E247" s="457">
        <f>IFERROR(__xludf.DUMMYFUNCTION("""COMPUTED_VALUE"""),0.0)</f>
        <v>0</v>
      </c>
      <c r="F247" s="270">
        <f>IFERROR(__xludf.DUMMYFUNCTION("""COMPUTED_VALUE"""),4.0)</f>
        <v>4</v>
      </c>
      <c r="G247" s="17" t="str">
        <f>IFERROR(__xludf.DUMMYFUNCTION("""COMPUTED_VALUE"""),"Sabun batang 1 Box ( 2 PCS )")</f>
        <v>Sabun batang 1 Box ( 2 PCS )</v>
      </c>
      <c r="H247" s="463" t="str">
        <f>IFERROR(__xludf.DUMMYFUNCTION("""COMPUTED_VALUE"""),"Sampai")</f>
        <v>Sampai</v>
      </c>
      <c r="I247" s="464" t="str">
        <f>IFERROR(__xludf.DUMMYFUNCTION("""COMPUTED_VALUE"""),"KIMME")</f>
        <v>KIMME</v>
      </c>
      <c r="J247" s="279" t="str">
        <f>IFERROR(__xludf.DUMMYFUNCTION("""COMPUTED_VALUE"""),"https://vt.tiktok.com/ZSHFyLPWn/")</f>
        <v>https://vt.tiktok.com/ZSHFyLPWn/</v>
      </c>
      <c r="K247" s="464" t="str">
        <f>IFERROR(__xludf.DUMMYFUNCTION("""COMPUTED_VALUE"""),"KIMME")</f>
        <v>KIMME</v>
      </c>
      <c r="L247" s="279" t="str">
        <f>IFERROR(__xludf.DUMMYFUNCTION("""COMPUTED_VALUE"""),"https://vt.tiktok.com/ZSHFyd7Bv/")</f>
        <v>https://vt.tiktok.com/ZSHFyd7Bv/</v>
      </c>
      <c r="M247" s="464" t="str">
        <f>IFERROR(__xludf.DUMMYFUNCTION("""COMPUTED_VALUE"""),"KIMME")</f>
        <v>KIMME</v>
      </c>
      <c r="N247" s="279" t="str">
        <f>IFERROR(__xludf.DUMMYFUNCTION("""COMPUTED_VALUE"""),"https://vt.tiktok.com/ZSHFUoow4/")</f>
        <v>https://vt.tiktok.com/ZSHFUoow4/</v>
      </c>
      <c r="O247" s="464" t="str">
        <f>IFERROR(__xludf.DUMMYFUNCTION("""COMPUTED_VALUE"""),"KIMME")</f>
        <v>KIMME</v>
      </c>
      <c r="P247" s="279" t="str">
        <f>IFERROR(__xludf.DUMMYFUNCTION("""COMPUTED_VALUE"""),"https://vt.tiktok.com/ZSHFyLDew/")</f>
        <v>https://vt.tiktok.com/ZSHFyLDew/</v>
      </c>
    </row>
    <row r="248">
      <c r="A248" s="255" t="str">
        <f>IFERROR(__xludf.DUMMYFUNCTION("""COMPUTED_VALUE"""),"MICRO")</f>
        <v>MICRO</v>
      </c>
      <c r="B248" s="361" t="str">
        <f>IFERROR(__xludf.DUMMYFUNCTION("""COMPUTED_VALUE"""),"elbystoree")</f>
        <v>elbystoree</v>
      </c>
      <c r="C248" s="257" t="str">
        <f>IFERROR(__xludf.DUMMYFUNCTION("""COMPUTED_VALUE"""),"https://www.tiktok.com/@elbystoree")</f>
        <v>https://www.tiktok.com/@elbystoree</v>
      </c>
      <c r="D248" s="270">
        <f>IFERROR(__xludf.DUMMYFUNCTION("""COMPUTED_VALUE"""),8.1326651877E10)</f>
        <v>81326651877</v>
      </c>
      <c r="E248" s="457">
        <f>IFERROR(__xludf.DUMMYFUNCTION("""COMPUTED_VALUE"""),0.0)</f>
        <v>0</v>
      </c>
      <c r="F248" s="270">
        <f>IFERROR(__xludf.DUMMYFUNCTION("""COMPUTED_VALUE"""),4.0)</f>
        <v>4</v>
      </c>
      <c r="G248" s="17" t="str">
        <f>IFERROR(__xludf.DUMMYFUNCTION("""COMPUTED_VALUE"""),"Sabun batang 1 Box ( 2 PCS )")</f>
        <v>Sabun batang 1 Box ( 2 PCS )</v>
      </c>
      <c r="H248" s="463" t="str">
        <f>IFERROR(__xludf.DUMMYFUNCTION("""COMPUTED_VALUE"""),"Sampai")</f>
        <v>Sampai</v>
      </c>
      <c r="I248" s="464" t="str">
        <f>IFERROR(__xludf.DUMMYFUNCTION("""COMPUTED_VALUE"""),"KIMME")</f>
        <v>KIMME</v>
      </c>
      <c r="J248" s="279" t="str">
        <f>IFERROR(__xludf.DUMMYFUNCTION("""COMPUTED_VALUE"""),"https://vt.tiktok.com/ZSHFy8CF1/")</f>
        <v>https://vt.tiktok.com/ZSHFy8CF1/</v>
      </c>
      <c r="K248" s="464" t="str">
        <f>IFERROR(__xludf.DUMMYFUNCTION("""COMPUTED_VALUE"""),"KIMME")</f>
        <v>KIMME</v>
      </c>
      <c r="L248" s="279" t="str">
        <f>IFERROR(__xludf.DUMMYFUNCTION("""COMPUTED_VALUE"""),"https://vt.tiktok.com/ZSHFUqhc4/")</f>
        <v>https://vt.tiktok.com/ZSHFUqhc4/</v>
      </c>
      <c r="M248" s="464" t="str">
        <f>IFERROR(__xludf.DUMMYFUNCTION("""COMPUTED_VALUE"""),"KIMME")</f>
        <v>KIMME</v>
      </c>
      <c r="N248" s="279" t="str">
        <f>IFERROR(__xludf.DUMMYFUNCTION("""COMPUTED_VALUE"""),"https://vt.tiktok.com/ZSHFyYYQW/")</f>
        <v>https://vt.tiktok.com/ZSHFyYYQW/</v>
      </c>
      <c r="O248" s="464" t="str">
        <f>IFERROR(__xludf.DUMMYFUNCTION("""COMPUTED_VALUE"""),"KIMME")</f>
        <v>KIMME</v>
      </c>
      <c r="P248" s="279" t="str">
        <f>IFERROR(__xludf.DUMMYFUNCTION("""COMPUTED_VALUE"""),"https://vt.tiktok.com/ZSHFyr9VC/")</f>
        <v>https://vt.tiktok.com/ZSHFyr9VC/</v>
      </c>
    </row>
    <row r="249">
      <c r="A249" s="255" t="str">
        <f>IFERROR(__xludf.DUMMYFUNCTION("""COMPUTED_VALUE"""),"MICRO")</f>
        <v>MICRO</v>
      </c>
      <c r="B249" s="361" t="str">
        <f>IFERROR(__xludf.DUMMYFUNCTION("""COMPUTED_VALUE"""),"lilis_sfr")</f>
        <v>lilis_sfr</v>
      </c>
      <c r="C249" s="257" t="str">
        <f>IFERROR(__xludf.DUMMYFUNCTION("""COMPUTED_VALUE"""),"https://www.tiktok.com/@lilis_sfr")</f>
        <v>https://www.tiktok.com/@lilis_sfr</v>
      </c>
      <c r="D249" s="270">
        <f>IFERROR(__xludf.DUMMYFUNCTION("""COMPUTED_VALUE"""),8.81653364E9)</f>
        <v>8816533640</v>
      </c>
      <c r="E249" s="457">
        <f>IFERROR(__xludf.DUMMYFUNCTION("""COMPUTED_VALUE"""),0.0)</f>
        <v>0</v>
      </c>
      <c r="F249" s="270">
        <f>IFERROR(__xludf.DUMMYFUNCTION("""COMPUTED_VALUE"""),4.0)</f>
        <v>4</v>
      </c>
      <c r="G249" s="17" t="str">
        <f>IFERROR(__xludf.DUMMYFUNCTION("""COMPUTED_VALUE"""),"Sabun batang 1 Box ( 2 PCS )")</f>
        <v>Sabun batang 1 Box ( 2 PCS )</v>
      </c>
      <c r="H249" s="463" t="str">
        <f>IFERROR(__xludf.DUMMYFUNCTION("""COMPUTED_VALUE"""),"Sampai")</f>
        <v>Sampai</v>
      </c>
      <c r="I249" s="464" t="str">
        <f>IFERROR(__xludf.DUMMYFUNCTION("""COMPUTED_VALUE"""),"KIMME")</f>
        <v>KIMME</v>
      </c>
      <c r="J249" s="279" t="str">
        <f>IFERROR(__xludf.DUMMYFUNCTION("""COMPUTED_VALUE"""),"https://vt.tiktok.com/ZSHGPhff3/")</f>
        <v>https://vt.tiktok.com/ZSHGPhff3/</v>
      </c>
      <c r="K249" s="464" t="str">
        <f>IFERROR(__xludf.DUMMYFUNCTION("""COMPUTED_VALUE"""),"KIMME")</f>
        <v>KIMME</v>
      </c>
      <c r="L249" s="279" t="str">
        <f>IFERROR(__xludf.DUMMYFUNCTION("""COMPUTED_VALUE"""),"https://vt.tiktok.com/ZS9UPg98x/")</f>
        <v>https://vt.tiktok.com/ZS9UPg98x/</v>
      </c>
      <c r="M249" s="464" t="str">
        <f>IFERROR(__xludf.DUMMYFUNCTION("""COMPUTED_VALUE"""),"KIMME")</f>
        <v>KIMME</v>
      </c>
      <c r="N249" s="279" t="str">
        <f>IFERROR(__xludf.DUMMYFUNCTION("""COMPUTED_VALUE"""),"https://www.tiktok.com/@lilis_sfr/video/7628824651287760148")</f>
        <v>https://www.tiktok.com/@lilis_sfr/video/7628824651287760148</v>
      </c>
      <c r="O249" s="464" t="str">
        <f>IFERROR(__xludf.DUMMYFUNCTION("""COMPUTED_VALUE"""),"KIMME")</f>
        <v>KIMME</v>
      </c>
      <c r="P249" s="279" t="str">
        <f>IFERROR(__xludf.DUMMYFUNCTION("""COMPUTED_VALUE"""),"https://vt.tiktok.com/ZS9qr5rA6/")</f>
        <v>https://vt.tiktok.com/ZS9qr5rA6/</v>
      </c>
    </row>
    <row r="250">
      <c r="A250" s="255" t="str">
        <f>IFERROR(__xludf.DUMMYFUNCTION("""COMPUTED_VALUE"""),"MICRO")</f>
        <v>MICRO</v>
      </c>
      <c r="B250" s="361" t="str">
        <f>IFERROR(__xludf.DUMMYFUNCTION("""COMPUTED_VALUE"""),"isha_safitry")</f>
        <v>isha_safitry</v>
      </c>
      <c r="C250" s="257" t="str">
        <f>IFERROR(__xludf.DUMMYFUNCTION("""COMPUTED_VALUE"""),"https://www.tiktok.com/@isha_safitry")</f>
        <v>https://www.tiktok.com/@isha_safitry</v>
      </c>
      <c r="D250" s="270">
        <f>IFERROR(__xludf.DUMMYFUNCTION("""COMPUTED_VALUE"""),8.2214567528E10)</f>
        <v>82214567528</v>
      </c>
      <c r="E250" s="457">
        <f>IFERROR(__xludf.DUMMYFUNCTION("""COMPUTED_VALUE"""),0.0)</f>
        <v>0</v>
      </c>
      <c r="F250" s="270">
        <f>IFERROR(__xludf.DUMMYFUNCTION("""COMPUTED_VALUE"""),4.0)</f>
        <v>4</v>
      </c>
      <c r="G250" s="17" t="str">
        <f>IFERROR(__xludf.DUMMYFUNCTION("""COMPUTED_VALUE"""),"Sabun batang 1 Box ( 2 PCS )")</f>
        <v>Sabun batang 1 Box ( 2 PCS )</v>
      </c>
      <c r="H250" s="463" t="str">
        <f>IFERROR(__xludf.DUMMYFUNCTION("""COMPUTED_VALUE"""),"Sampai")</f>
        <v>Sampai</v>
      </c>
      <c r="I250" s="464" t="str">
        <f>IFERROR(__xludf.DUMMYFUNCTION("""COMPUTED_VALUE"""),"KIMME")</f>
        <v>KIMME</v>
      </c>
      <c r="J250" s="279" t="str">
        <f>IFERROR(__xludf.DUMMYFUNCTION("""COMPUTED_VALUE"""),"https://www.tiktok.com/@ikkenovi18/video/7606175527128567058?is_from_webapp=1&amp;sender_device=pc")</f>
        <v>https://www.tiktok.com/@ikkenovi18/video/7606175527128567058?is_from_webapp=1&amp;sender_device=pc</v>
      </c>
      <c r="K250" s="464" t="str">
        <f>IFERROR(__xludf.DUMMYFUNCTION("""COMPUTED_VALUE"""),"KIMME")</f>
        <v>KIMME</v>
      </c>
      <c r="L250" s="279" t="str">
        <f>IFERROR(__xludf.DUMMYFUNCTION("""COMPUTED_VALUE"""),"https://www.tiktok.com/@ikkenovi18/video/7606267908636937480?is_from_webapp=1&amp;sender_device=pc")</f>
        <v>https://www.tiktok.com/@ikkenovi18/video/7606267908636937480?is_from_webapp=1&amp;sender_device=pc</v>
      </c>
      <c r="M250" s="464" t="str">
        <f>IFERROR(__xludf.DUMMYFUNCTION("""COMPUTED_VALUE"""),"KIMME")</f>
        <v>KIMME</v>
      </c>
      <c r="N250" s="279" t="str">
        <f>IFERROR(__xludf.DUMMYFUNCTION("""COMPUTED_VALUE"""),"https://www.tiktok.com/@ikkenovi18/video/7608032759923166482?is_from_webapp=1&amp;sender_device=pc")</f>
        <v>https://www.tiktok.com/@ikkenovi18/video/7608032759923166482?is_from_webapp=1&amp;sender_device=pc</v>
      </c>
      <c r="O250" s="464" t="str">
        <f>IFERROR(__xludf.DUMMYFUNCTION("""COMPUTED_VALUE"""),"KIMME")</f>
        <v>KIMME</v>
      </c>
      <c r="P250" s="279" t="str">
        <f>IFERROR(__xludf.DUMMYFUNCTION("""COMPUTED_VALUE"""),"https://www.tiktok.com/@ikkenovi18/video/7610993190442650888?is_from_webapp=1&amp;sender_device=pc")</f>
        <v>https://www.tiktok.com/@ikkenovi18/video/7610993190442650888?is_from_webapp=1&amp;sender_device=pc</v>
      </c>
    </row>
    <row r="251">
      <c r="A251" s="255" t="str">
        <f>IFERROR(__xludf.DUMMYFUNCTION("""COMPUTED_VALUE"""),"MICRO")</f>
        <v>MICRO</v>
      </c>
      <c r="B251" s="361" t="str">
        <f>IFERROR(__xludf.DUMMYFUNCTION("""COMPUTED_VALUE"""),"its_me.fitrii05")</f>
        <v>its_me.fitrii05</v>
      </c>
      <c r="C251" s="257" t="str">
        <f>IFERROR(__xludf.DUMMYFUNCTION("""COMPUTED_VALUE"""),"https://www.tiktok.com/@its_me.fitrii05")</f>
        <v>https://www.tiktok.com/@its_me.fitrii05</v>
      </c>
      <c r="D251" s="270">
        <f>IFERROR(__xludf.DUMMYFUNCTION("""COMPUTED_VALUE"""),8.2124703127E10)</f>
        <v>82124703127</v>
      </c>
      <c r="E251" s="457">
        <f>IFERROR(__xludf.DUMMYFUNCTION("""COMPUTED_VALUE"""),0.0)</f>
        <v>0</v>
      </c>
      <c r="F251" s="270">
        <f>IFERROR(__xludf.DUMMYFUNCTION("""COMPUTED_VALUE"""),2.0)</f>
        <v>2</v>
      </c>
      <c r="G251" s="17" t="str">
        <f>IFERROR(__xludf.DUMMYFUNCTION("""COMPUTED_VALUE"""),"Sabun batang 1 Box ( 2 PCS )")</f>
        <v>Sabun batang 1 Box ( 2 PCS )</v>
      </c>
      <c r="H251" s="463" t="str">
        <f>IFERROR(__xludf.DUMMYFUNCTION("""COMPUTED_VALUE"""),"Sampai")</f>
        <v>Sampai</v>
      </c>
      <c r="I251" s="464" t="str">
        <f>IFERROR(__xludf.DUMMYFUNCTION("""COMPUTED_VALUE"""),"KIMME")</f>
        <v>KIMME</v>
      </c>
      <c r="J251" s="279" t="str">
        <f>IFERROR(__xludf.DUMMYFUNCTION("""COMPUTED_VALUE"""),"https://www.tiktok.com/@its_me.fitrii05/video/7613303226305088775?is_from_webapp=1&amp;sender_device=pc")</f>
        <v>https://www.tiktok.com/@its_me.fitrii05/video/7613303226305088775?is_from_webapp=1&amp;sender_device=pc</v>
      </c>
      <c r="K251" s="464" t="str">
        <f>IFERROR(__xludf.DUMMYFUNCTION("""COMPUTED_VALUE"""),"KIMME")</f>
        <v>KIMME</v>
      </c>
      <c r="L251" s="279" t="str">
        <f>IFERROR(__xludf.DUMMYFUNCTION("""COMPUTED_VALUE"""),"https://www.tiktok.com/@sinabilla/video/7623355695982759175?is_from_webapp=1&amp;sender_device=pc")</f>
        <v>https://www.tiktok.com/@sinabilla/video/7623355695982759175?is_from_webapp=1&amp;sender_device=pc</v>
      </c>
      <c r="M251" s="464"/>
      <c r="N251" s="279" t="str">
        <f>IFERROR(__xludf.DUMMYFUNCTION("""COMPUTED_VALUE"""),"https://vt.tiktok.com/ZS9qrSoXa/")</f>
        <v>https://vt.tiktok.com/ZS9qrSoXa/</v>
      </c>
      <c r="O251" s="464"/>
      <c r="P251" s="279" t="str">
        <f>IFERROR(__xludf.DUMMYFUNCTION("""COMPUTED_VALUE"""),"https://vt.tiktok.com/ZS9qroCLK/")</f>
        <v>https://vt.tiktok.com/ZS9qroCLK/</v>
      </c>
    </row>
    <row r="252">
      <c r="A252" s="255" t="str">
        <f>IFERROR(__xludf.DUMMYFUNCTION("""COMPUTED_VALUE"""),"MICRO")</f>
        <v>MICRO</v>
      </c>
      <c r="B252" s="361" t="str">
        <f>IFERROR(__xludf.DUMMYFUNCTION("""COMPUTED_VALUE"""),"racuntiktok426")</f>
        <v>racuntiktok426</v>
      </c>
      <c r="C252" s="257" t="str">
        <f>IFERROR(__xludf.DUMMYFUNCTION("""COMPUTED_VALUE"""),"https://www.tiktok.com/@racuntiktok426")</f>
        <v>https://www.tiktok.com/@racuntiktok426</v>
      </c>
      <c r="D252" s="270">
        <f>IFERROR(__xludf.DUMMYFUNCTION("""COMPUTED_VALUE"""),8.3873431131E10)</f>
        <v>83873431131</v>
      </c>
      <c r="E252" s="457">
        <f>IFERROR(__xludf.DUMMYFUNCTION("""COMPUTED_VALUE"""),0.0)</f>
        <v>0</v>
      </c>
      <c r="F252" s="270">
        <f>IFERROR(__xludf.DUMMYFUNCTION("""COMPUTED_VALUE"""),4.0)</f>
        <v>4</v>
      </c>
      <c r="G252" s="17" t="str">
        <f>IFERROR(__xludf.DUMMYFUNCTION("""COMPUTED_VALUE"""),"Sabun batang 1 Box ( 2 PCS )")</f>
        <v>Sabun batang 1 Box ( 2 PCS )</v>
      </c>
      <c r="H252" s="463" t="str">
        <f>IFERROR(__xludf.DUMMYFUNCTION("""COMPUTED_VALUE"""),"Sampai")</f>
        <v>Sampai</v>
      </c>
      <c r="I252" s="464" t="str">
        <f>IFERROR(__xludf.DUMMYFUNCTION("""COMPUTED_VALUE"""),"KIMME")</f>
        <v>KIMME</v>
      </c>
      <c r="J252" s="279" t="str">
        <f>IFERROR(__xludf.DUMMYFUNCTION("""COMPUTED_VALUE"""),"https://www.tiktok.com/@racuntiktok426/video/7614640024214179092?is_from_webapp=1&amp;sender_device=pc")</f>
        <v>https://www.tiktok.com/@racuntiktok426/video/7614640024214179092?is_from_webapp=1&amp;sender_device=pc</v>
      </c>
      <c r="K252" s="464" t="str">
        <f>IFERROR(__xludf.DUMMYFUNCTION("""COMPUTED_VALUE"""),"KIMME")</f>
        <v>KIMME</v>
      </c>
      <c r="L252" s="279" t="str">
        <f>IFERROR(__xludf.DUMMYFUNCTION("""COMPUTED_VALUE"""),"https://vt.tiktok.com/ZSHPFsuVA/")</f>
        <v>https://vt.tiktok.com/ZSHPFsuVA/</v>
      </c>
      <c r="M252" s="464" t="str">
        <f>IFERROR(__xludf.DUMMYFUNCTION("""COMPUTED_VALUE"""),"KIMME")</f>
        <v>KIMME</v>
      </c>
      <c r="N252" s="279" t="str">
        <f>IFERROR(__xludf.DUMMYFUNCTION("""COMPUTED_VALUE"""),"https://vt.tiktok.com/ZSHPFEmkM/")</f>
        <v>https://vt.tiktok.com/ZSHPFEmkM/</v>
      </c>
      <c r="O252" s="464" t="str">
        <f>IFERROR(__xludf.DUMMYFUNCTION("""COMPUTED_VALUE"""),"KIMME")</f>
        <v>KIMME</v>
      </c>
      <c r="P252" s="279" t="str">
        <f>IFERROR(__xludf.DUMMYFUNCTION("""COMPUTED_VALUE"""),"https://vt.tiktok.com/ZSHPYMowQ/")</f>
        <v>https://vt.tiktok.com/ZSHPYMowQ/</v>
      </c>
    </row>
    <row r="253">
      <c r="A253" s="255" t="str">
        <f>IFERROR(__xludf.DUMMYFUNCTION("""COMPUTED_VALUE"""),"MACRO")</f>
        <v>MACRO</v>
      </c>
      <c r="B253" s="361" t="str">
        <f>IFERROR(__xludf.DUMMYFUNCTION("""COMPUTED_VALUE"""),"silvalim_")</f>
        <v>silvalim_</v>
      </c>
      <c r="C253" s="257" t="str">
        <f>IFERROR(__xludf.DUMMYFUNCTION("""COMPUTED_VALUE"""),"https://www.tiktok.com/@silvalim_")</f>
        <v>https://www.tiktok.com/@silvalim_</v>
      </c>
      <c r="D253" s="270">
        <f>IFERROR(__xludf.DUMMYFUNCTION("""COMPUTED_VALUE"""),8.5792985404E10)</f>
        <v>85792985404</v>
      </c>
      <c r="E253" s="457">
        <f>IFERROR(__xludf.DUMMYFUNCTION("""COMPUTED_VALUE"""),0.0)</f>
        <v>0</v>
      </c>
      <c r="F253" s="270">
        <f>IFERROR(__xludf.DUMMYFUNCTION("""COMPUTED_VALUE"""),2.0)</f>
        <v>2</v>
      </c>
      <c r="G253" s="17" t="str">
        <f>IFERROR(__xludf.DUMMYFUNCTION("""COMPUTED_VALUE"""),"Sabun batang 1 Box ( 2 PCS )")</f>
        <v>Sabun batang 1 Box ( 2 PCS )</v>
      </c>
      <c r="H253" s="463" t="str">
        <f>IFERROR(__xludf.DUMMYFUNCTION("""COMPUTED_VALUE"""),"Sampai")</f>
        <v>Sampai</v>
      </c>
      <c r="I253" s="464" t="str">
        <f>IFERROR(__xludf.DUMMYFUNCTION("""COMPUTED_VALUE"""),"KIMME")</f>
        <v>KIMME</v>
      </c>
      <c r="J253" s="279" t="str">
        <f>IFERROR(__xludf.DUMMYFUNCTION("""COMPUTED_VALUE"""),"https://www.tiktok.com/@mimianindya/video/7611724583766445333?is_from_webapp=1&amp;sender_device=pc")</f>
        <v>https://www.tiktok.com/@mimianindya/video/7611724583766445333?is_from_webapp=1&amp;sender_device=pc</v>
      </c>
      <c r="K253" s="464" t="str">
        <f>IFERROR(__xludf.DUMMYFUNCTION("""COMPUTED_VALUE"""),"KIMME")</f>
        <v>KIMME</v>
      </c>
      <c r="L253" s="279" t="str">
        <f>IFERROR(__xludf.DUMMYFUNCTION("""COMPUTED_VALUE"""),"https://www.tiktok.com/@mimianindya/video/7613804180372753684?is_from_webapp=1&amp;sender_device=pc")</f>
        <v>https://www.tiktok.com/@mimianindya/video/7613804180372753684?is_from_webapp=1&amp;sender_device=pc</v>
      </c>
      <c r="M253" s="464"/>
      <c r="N253" s="17"/>
      <c r="O253" s="464"/>
      <c r="P253" s="17"/>
    </row>
    <row r="254">
      <c r="A254" s="255" t="str">
        <f>IFERROR(__xludf.DUMMYFUNCTION("""COMPUTED_VALUE"""),"MACRO")</f>
        <v>MACRO</v>
      </c>
      <c r="B254" s="361" t="str">
        <f>IFERROR(__xludf.DUMMYFUNCTION("""COMPUTED_VALUE"""),"hanisasarah18")</f>
        <v>hanisasarah18</v>
      </c>
      <c r="C254" s="257" t="str">
        <f>IFERROR(__xludf.DUMMYFUNCTION("""COMPUTED_VALUE"""),"https://www.tiktok.com/@hanisasarah18")</f>
        <v>https://www.tiktok.com/@hanisasarah18</v>
      </c>
      <c r="D254" s="270">
        <f>IFERROR(__xludf.DUMMYFUNCTION("""COMPUTED_VALUE"""),8.77510358E10)</f>
        <v>87751035800</v>
      </c>
      <c r="E254" s="457">
        <f>IFERROR(__xludf.DUMMYFUNCTION("""COMPUTED_VALUE"""),0.0)</f>
        <v>0</v>
      </c>
      <c r="F254" s="270">
        <f>IFERROR(__xludf.DUMMYFUNCTION("""COMPUTED_VALUE"""),1.0)</f>
        <v>1</v>
      </c>
      <c r="G254" s="17" t="str">
        <f>IFERROR(__xludf.DUMMYFUNCTION("""COMPUTED_VALUE"""),"Sabun batang 1 Box ( 2 PCS )")</f>
        <v>Sabun batang 1 Box ( 2 PCS )</v>
      </c>
      <c r="H254" s="463" t="str">
        <f>IFERROR(__xludf.DUMMYFUNCTION("""COMPUTED_VALUE"""),"Sampai")</f>
        <v>Sampai</v>
      </c>
      <c r="I254" s="464" t="str">
        <f>IFERROR(__xludf.DUMMYFUNCTION("""COMPUTED_VALUE"""),"KIMME")</f>
        <v>KIMME</v>
      </c>
      <c r="J254" s="279" t="str">
        <f>IFERROR(__xludf.DUMMYFUNCTION("""COMPUTED_VALUE"""),"https://www.tiktok.com/@simas.032/video/7614274867940117778?is_from_webapp=1&amp;sender_device=pc")</f>
        <v>https://www.tiktok.com/@simas.032/video/7614274867940117778?is_from_webapp=1&amp;sender_device=pc</v>
      </c>
      <c r="K254" s="464" t="str">
        <f>IFERROR(__xludf.DUMMYFUNCTION("""COMPUTED_VALUE"""),"KIMME")</f>
        <v>KIMME</v>
      </c>
      <c r="L254" s="279" t="str">
        <f>IFERROR(__xludf.DUMMYFUNCTION("""COMPUTED_VALUE"""),"https://vt.tiktok.com/ZSxQt9CCt/")</f>
        <v>https://vt.tiktok.com/ZSxQt9CCt/</v>
      </c>
      <c r="M254" s="464"/>
      <c r="N254" s="17"/>
      <c r="O254" s="464"/>
      <c r="P254" s="17"/>
    </row>
    <row r="255">
      <c r="A255" s="255" t="str">
        <f>IFERROR(__xludf.DUMMYFUNCTION("""COMPUTED_VALUE"""),"MICRO")</f>
        <v>MICRO</v>
      </c>
      <c r="B255" s="361" t="str">
        <f>IFERROR(__xludf.DUMMYFUNCTION("""COMPUTED_VALUE"""),"racunskincar3")</f>
        <v>racunskincar3</v>
      </c>
      <c r="C255" s="257" t="str">
        <f>IFERROR(__xludf.DUMMYFUNCTION("""COMPUTED_VALUE"""),"https://www.tiktok.com/@racunskincar3")</f>
        <v>https://www.tiktok.com/@racunskincar3</v>
      </c>
      <c r="D255" s="270">
        <f>IFERROR(__xludf.DUMMYFUNCTION("""COMPUTED_VALUE"""),8.3178285383E10)</f>
        <v>83178285383</v>
      </c>
      <c r="E255" s="457">
        <f>IFERROR(__xludf.DUMMYFUNCTION("""COMPUTED_VALUE"""),0.0)</f>
        <v>0</v>
      </c>
      <c r="F255" s="270">
        <f>IFERROR(__xludf.DUMMYFUNCTION("""COMPUTED_VALUE"""),4.0)</f>
        <v>4</v>
      </c>
      <c r="G255" s="17" t="str">
        <f>IFERROR(__xludf.DUMMYFUNCTION("""COMPUTED_VALUE"""),"Sabun batang 1 Box ( 2 PCS )")</f>
        <v>Sabun batang 1 Box ( 2 PCS )</v>
      </c>
      <c r="H255" s="463" t="str">
        <f>IFERROR(__xludf.DUMMYFUNCTION("""COMPUTED_VALUE"""),"Sampai")</f>
        <v>Sampai</v>
      </c>
      <c r="I255" s="464" t="str">
        <f>IFERROR(__xludf.DUMMYFUNCTION("""COMPUTED_VALUE"""),"KIMME")</f>
        <v>KIMME</v>
      </c>
      <c r="J255" s="279" t="str">
        <f>IFERROR(__xludf.DUMMYFUNCTION("""COMPUTED_VALUE"""),"https://www.tiktok.com/@liayulianti1278/video/7610755116546673940?is_from_webapp=1&amp;sender_device=pc")</f>
        <v>https://www.tiktok.com/@liayulianti1278/video/7610755116546673940?is_from_webapp=1&amp;sender_device=pc</v>
      </c>
      <c r="K255" s="464" t="str">
        <f>IFERROR(__xludf.DUMMYFUNCTION("""COMPUTED_VALUE"""),"KIMME")</f>
        <v>KIMME</v>
      </c>
      <c r="L255" s="279" t="str">
        <f>IFERROR(__xludf.DUMMYFUNCTION("""COMPUTED_VALUE"""),"https://www.tiktok.com/@liayulianti1278/video/7611915904510594324?is_from_webapp=1&amp;sender_device=pc")</f>
        <v>https://www.tiktok.com/@liayulianti1278/video/7611915904510594324?is_from_webapp=1&amp;sender_device=pc</v>
      </c>
      <c r="M255" s="464" t="str">
        <f>IFERROR(__xludf.DUMMYFUNCTION("""COMPUTED_VALUE"""),"KIMME")</f>
        <v>KIMME</v>
      </c>
      <c r="N255" s="279" t="str">
        <f>IFERROR(__xludf.DUMMYFUNCTION("""COMPUTED_VALUE"""),"https://www.tiktok.com/@liayulianti1278/video/7613287829334002965?is_from_webapp=1&amp;sender_device=pc")</f>
        <v>https://www.tiktok.com/@liayulianti1278/video/7613287829334002965?is_from_webapp=1&amp;sender_device=pc</v>
      </c>
      <c r="O255" s="464" t="str">
        <f>IFERROR(__xludf.DUMMYFUNCTION("""COMPUTED_VALUE"""),"KIMME")</f>
        <v>KIMME</v>
      </c>
      <c r="P255" s="279" t="str">
        <f>IFERROR(__xludf.DUMMYFUNCTION("""COMPUTED_VALUE"""),"https://www.tiktok.com/@liayulianti1278/video/7613670502741052693?is_from_webapp=1&amp;sender_device=pc")</f>
        <v>https://www.tiktok.com/@liayulianti1278/video/7613670502741052693?is_from_webapp=1&amp;sender_device=pc</v>
      </c>
    </row>
    <row r="256">
      <c r="A256" s="255" t="str">
        <f>IFERROR(__xludf.DUMMYFUNCTION("""COMPUTED_VALUE"""),"MACRO")</f>
        <v>MACRO</v>
      </c>
      <c r="B256" s="361" t="str">
        <f>IFERROR(__xludf.DUMMYFUNCTION("""COMPUTED_VALUE"""),"indungbudak_")</f>
        <v>indungbudak_</v>
      </c>
      <c r="C256" s="257" t="str">
        <f>IFERROR(__xludf.DUMMYFUNCTION("""COMPUTED_VALUE"""),"https://www.tiktok.com/@indungbudak_")</f>
        <v>https://www.tiktok.com/@indungbudak_</v>
      </c>
      <c r="D256" s="270">
        <f>IFERROR(__xludf.DUMMYFUNCTION("""COMPUTED_VALUE"""),8.2215317736E10)</f>
        <v>82215317736</v>
      </c>
      <c r="E256" s="457">
        <f>IFERROR(__xludf.DUMMYFUNCTION("""COMPUTED_VALUE"""),0.0)</f>
        <v>0</v>
      </c>
      <c r="F256" s="270">
        <f>IFERROR(__xludf.DUMMYFUNCTION("""COMPUTED_VALUE"""),2.0)</f>
        <v>2</v>
      </c>
      <c r="G256" s="17" t="str">
        <f>IFERROR(__xludf.DUMMYFUNCTION("""COMPUTED_VALUE"""),"Sabun batang 1 Box ( 2 PCS )")</f>
        <v>Sabun batang 1 Box ( 2 PCS )</v>
      </c>
      <c r="H256" s="463" t="str">
        <f>IFERROR(__xludf.DUMMYFUNCTION("""COMPUTED_VALUE"""),"Sampai")</f>
        <v>Sampai</v>
      </c>
      <c r="I256" s="464" t="str">
        <f>IFERROR(__xludf.DUMMYFUNCTION("""COMPUTED_VALUE"""),"KIMME")</f>
        <v>KIMME</v>
      </c>
      <c r="J256" s="279" t="str">
        <f>IFERROR(__xludf.DUMMYFUNCTION("""COMPUTED_VALUE"""),"https://www.tiktok.com/@indungbudak_/video/7630731372029676807?_r=1&amp;u_code=e931imd5d6dbic&amp;region=&amp;mid=7450081019025017605&amp;preview_pb=0&amp;sharer_language=&amp;_d=0&amp;ec_shared_reflux_dynamic_params=%7B%22placeholder_material_id%22%3A%227630731372029676807%22%2C%22"&amp;"placeholder_origin_cover%22%3A%22https%253A%252F%252Fp16-common-sign.tiktokcdn.com%252Ftos-alisg-p-0037%252FoIEjzyIfZoG0XL45IkqpmbAgGeAeLDE2GCuT5g~tplv-tiktokx-origin.jpeg%253Fdr%253D14572%2526refresh_token%253D27d14d34%2526x-expires%253D1808301600%2526x-"&amp;"signature%253DYwm%25252BVxbkawSVp5oUF9cJopSm8jw%25253D%2526t%253D4d5b0474%2526ps%253D13740610%2526shp%253Dd05b14bd%2526shcp%253D34ff8df6%2526idc%253Dmy3%2526s%253DTIKTOK_AFFILIATE_VIRAL_VIDEO%22%2C%22placeholder_product_id%22%3A%221729427766722726591%22%2"&amp;"C%22placeholder_video_id%22%3A%227630731372029676807%22%7D&amp;ec_shared_reflux_scene=shop_tab_feed&amp;share_item_id=7630731372029676807&amp;source=h5_t")</f>
        <v>https://www.tiktok.com/@indungbudak_/video/7630731372029676807?_r=1&amp;u_code=e931imd5d6dbic&amp;region=&amp;mid=7450081019025017605&amp;preview_pb=0&amp;sharer_language=&amp;_d=0&amp;ec_shared_reflux_dynamic_params=%7B%22placeholder_material_id%22%3A%227630731372029676807%22%2C%22placeholder_origin_cover%22%3A%22https%253A%252F%252Fp16-common-sign.tiktokcdn.com%252Ftos-alisg-p-0037%252FoIEjzyIfZoG0XL45IkqpmbAgGeAeLDE2GCuT5g~tplv-tiktokx-origin.jpeg%253Fdr%253D14572%2526refresh_token%253D27d14d34%2526x-expires%253D1808301600%2526x-signature%253DYwm%25252BVxbkawSVp5oUF9cJopSm8jw%25253D%2526t%253D4d5b0474%2526ps%253D13740610%2526shp%253Dd05b14bd%2526shcp%253D34ff8df6%2526idc%253Dmy3%2526s%253DTIKTOK_AFFILIATE_VIRAL_VIDEO%22%2C%22placeholder_product_id%22%3A%221729427766722726591%22%2C%22placeholder_video_id%22%3A%227630731372029676807%22%7D&amp;ec_shared_reflux_scene=shop_tab_feed&amp;share_item_id=7630731372029676807&amp;source=h5_t</v>
      </c>
      <c r="K256" s="464" t="str">
        <f>IFERROR(__xludf.DUMMYFUNCTION("""COMPUTED_VALUE"""),"KIMME")</f>
        <v>KIMME</v>
      </c>
      <c r="L256" s="279" t="str">
        <f>IFERROR(__xludf.DUMMYFUNCTION("""COMPUTED_VALUE"""),"https://www.tiktok.com/@indungbudak_/video/7628590212779642120?_d=0&amp;_r=1&amp;ec_shared_reflux_dynamic_params=%7B%22placeholder_material_id%22%3A%227628590212779642120%22%2C%22placeholder_origin_cover%22%3A%22https%253A%252F%252Fp19-common-sign.tiktokcdn.com%2"&amp;"52Ftos-alisg-p-0037%252FokQeQCBFRMS3AiDpbFGtf73aiHvEXEvgU9jmBn~tplv-tiktokx-origin.jpeg%253Fdr%253D14572%2526refresh_token%253Db599b56c%2526x-expires%253D1808301600%2526x-signature%253DB64fBYOfapMGXK0k%25252B8r41JllIlQ%25253D%2526t%253D4d5b0474%2526ps%253"&amp;"D13740610%2526shp%253Dd05b14bd%2526shcp%253D34ff8df6%2526idc%253Dmy3%2526s%253DTIKTOK_AFFILIATE_VIRAL_VIDEO%22%2C%22placeholder_product_id%22%3A%221729427766722726591%22%2C%22placeholder_video_id%22%3A%227628590212779642120%22%7D&amp;ec_shared_reflux_scene=sh"&amp;"op_tab_feed&amp;mid=7624394480175287047&amp;preview_pb=0&amp;region=&amp;share_item_id=7628590212779642120&amp;sharer_language=&amp;source=h5_t&amp;u_code=e931imd5d6dbic")</f>
        <v>https://www.tiktok.com/@indungbudak_/video/7628590212779642120?_d=0&amp;_r=1&amp;ec_shared_reflux_dynamic_params=%7B%22placeholder_material_id%22%3A%227628590212779642120%22%2C%22placeholder_origin_cover%22%3A%22https%253A%252F%252Fp19-common-sign.tiktokcdn.com%252Ftos-alisg-p-0037%252FokQeQCBFRMS3AiDpbFGtf73aiHvEXEvgU9jmBn~tplv-tiktokx-origin.jpeg%253Fdr%253D14572%2526refresh_token%253Db599b56c%2526x-expires%253D1808301600%2526x-signature%253DB64fBYOfapMGXK0k%25252B8r41JllIlQ%25253D%2526t%253D4d5b0474%2526ps%253D13740610%2526shp%253Dd05b14bd%2526shcp%253D34ff8df6%2526idc%253Dmy3%2526s%253DTIKTOK_AFFILIATE_VIRAL_VIDEO%22%2C%22placeholder_product_id%22%3A%221729427766722726591%22%2C%22placeholder_video_id%22%3A%227628590212779642120%22%7D&amp;ec_shared_reflux_scene=shop_tab_feed&amp;mid=7624394480175287047&amp;preview_pb=0&amp;region=&amp;share_item_id=7628590212779642120&amp;sharer_language=&amp;source=h5_t&amp;u_code=e931imd5d6dbic</v>
      </c>
      <c r="M256" s="464" t="str">
        <f>IFERROR(__xludf.DUMMYFUNCTION("""COMPUTED_VALUE"""),"KIMME")</f>
        <v>KIMME</v>
      </c>
      <c r="N256" s="279" t="str">
        <f>IFERROR(__xludf.DUMMYFUNCTION("""COMPUTED_VALUE"""),"https://vt.tiktok.com/ZSHo34n1y/")</f>
        <v>https://vt.tiktok.com/ZSHo34n1y/</v>
      </c>
      <c r="O256" s="464" t="str">
        <f>IFERROR(__xludf.DUMMYFUNCTION("""COMPUTED_VALUE"""),"KIMME")</f>
        <v>KIMME</v>
      </c>
      <c r="P256" s="279" t="str">
        <f>IFERROR(__xludf.DUMMYFUNCTION("""COMPUTED_VALUE"""),"https://vt.tiktok.com/ZSHoTLSH1/")</f>
        <v>https://vt.tiktok.com/ZSHoTLSH1/</v>
      </c>
    </row>
    <row r="257">
      <c r="A257" s="255" t="str">
        <f>IFERROR(__xludf.DUMMYFUNCTION("""COMPUTED_VALUE"""),"MICRO")</f>
        <v>MICRO</v>
      </c>
      <c r="B257" s="361" t="str">
        <f>IFERROR(__xludf.DUMMYFUNCTION("""COMPUTED_VALUE"""),"lisna_tanjung")</f>
        <v>lisna_tanjung</v>
      </c>
      <c r="C257" s="257" t="str">
        <f>IFERROR(__xludf.DUMMYFUNCTION("""COMPUTED_VALUE"""),"https://www.tiktok.com/@lisna_tanjung")</f>
        <v>https://www.tiktok.com/@lisna_tanjung</v>
      </c>
      <c r="D257" s="270">
        <f>IFERROR(__xludf.DUMMYFUNCTION("""COMPUTED_VALUE"""),8.2385033597E10)</f>
        <v>82385033597</v>
      </c>
      <c r="E257" s="457">
        <f>IFERROR(__xludf.DUMMYFUNCTION("""COMPUTED_VALUE"""),0.0)</f>
        <v>0</v>
      </c>
      <c r="F257" s="270">
        <f>IFERROR(__xludf.DUMMYFUNCTION("""COMPUTED_VALUE"""),4.0)</f>
        <v>4</v>
      </c>
      <c r="G257" s="17" t="str">
        <f>IFERROR(__xludf.DUMMYFUNCTION("""COMPUTED_VALUE"""),"Sabun batang 1 Box ( 2 PCS )")</f>
        <v>Sabun batang 1 Box ( 2 PCS )</v>
      </c>
      <c r="H257" s="463" t="str">
        <f>IFERROR(__xludf.DUMMYFUNCTION("""COMPUTED_VALUE"""),"Sampai")</f>
        <v>Sampai</v>
      </c>
      <c r="I257" s="464" t="str">
        <f>IFERROR(__xludf.DUMMYFUNCTION("""COMPUTED_VALUE"""),"KIMME")</f>
        <v>KIMME</v>
      </c>
      <c r="J257" s="279" t="str">
        <f>IFERROR(__xludf.DUMMYFUNCTION("""COMPUTED_VALUE"""),"https://vt.tiktok.com/ZSuwqnyxh/")</f>
        <v>https://vt.tiktok.com/ZSuwqnyxh/</v>
      </c>
      <c r="K257" s="464" t="str">
        <f>IFERROR(__xludf.DUMMYFUNCTION("""COMPUTED_VALUE"""),"KIMME")</f>
        <v>KIMME</v>
      </c>
      <c r="L257" s="279" t="str">
        <f>IFERROR(__xludf.DUMMYFUNCTION("""COMPUTED_VALUE"""),"https://vt.tiktok.com/ZSHa1LL12/")</f>
        <v>https://vt.tiktok.com/ZSHa1LL12/</v>
      </c>
      <c r="M257" s="464"/>
      <c r="N257" s="279" t="str">
        <f>IFERROR(__xludf.DUMMYFUNCTION("""COMPUTED_VALUE"""),"https://vt.tiktok.com/ZS9qrhsKg/")</f>
        <v>https://vt.tiktok.com/ZS9qrhsKg/</v>
      </c>
      <c r="O257" s="464"/>
      <c r="P257" s="279" t="str">
        <f>IFERROR(__xludf.DUMMYFUNCTION("""COMPUTED_VALUE"""),"https://vt.tiktok.com/ZS9qrUFEr/")</f>
        <v>https://vt.tiktok.com/ZS9qrUFEr/</v>
      </c>
    </row>
    <row r="258">
      <c r="A258" s="255" t="str">
        <f>IFERROR(__xludf.DUMMYFUNCTION("""COMPUTED_VALUE"""),"MICRO")</f>
        <v>MICRO</v>
      </c>
      <c r="B258" s="361" t="str">
        <f>IFERROR(__xludf.DUMMYFUNCTION("""COMPUTED_VALUE"""),"dwitriyant")</f>
        <v>dwitriyant</v>
      </c>
      <c r="C258" s="257" t="str">
        <f>IFERROR(__xludf.DUMMYFUNCTION("""COMPUTED_VALUE"""),"https://www.tiktok.com/@dwitriyant")</f>
        <v>https://www.tiktok.com/@dwitriyant</v>
      </c>
      <c r="D258" s="270">
        <f>IFERROR(__xludf.DUMMYFUNCTION("""COMPUTED_VALUE"""),8.5784142744E10)</f>
        <v>85784142744</v>
      </c>
      <c r="E258" s="457">
        <f>IFERROR(__xludf.DUMMYFUNCTION("""COMPUTED_VALUE"""),0.0)</f>
        <v>0</v>
      </c>
      <c r="F258" s="270">
        <f>IFERROR(__xludf.DUMMYFUNCTION("""COMPUTED_VALUE"""),4.0)</f>
        <v>4</v>
      </c>
      <c r="G258" s="17" t="str">
        <f>IFERROR(__xludf.DUMMYFUNCTION("""COMPUTED_VALUE"""),"Sabun batang 1 Box ( 2 PCS )")</f>
        <v>Sabun batang 1 Box ( 2 PCS )</v>
      </c>
      <c r="H258" s="463" t="str">
        <f>IFERROR(__xludf.DUMMYFUNCTION("""COMPUTED_VALUE"""),"Sampai")</f>
        <v>Sampai</v>
      </c>
      <c r="I258" s="464" t="str">
        <f>IFERROR(__xludf.DUMMYFUNCTION("""COMPUTED_VALUE"""),"KIMME")</f>
        <v>KIMME</v>
      </c>
      <c r="J258" s="279" t="str">
        <f>IFERROR(__xludf.DUMMYFUNCTION("""COMPUTED_VALUE"""),"https://www.tiktok.com/@dwitriyant/video/7628591594198912263")</f>
        <v>https://www.tiktok.com/@dwitriyant/video/7628591594198912263</v>
      </c>
      <c r="K258" s="464" t="str">
        <f>IFERROR(__xludf.DUMMYFUNCTION("""COMPUTED_VALUE"""),"KIMME")</f>
        <v>KIMME</v>
      </c>
      <c r="L258" s="279" t="str">
        <f>IFERROR(__xludf.DUMMYFUNCTION("""COMPUTED_VALUE"""),"https://vt.tiktok.com/ZSHoN1CJn/")</f>
        <v>https://vt.tiktok.com/ZSHoN1CJn/</v>
      </c>
      <c r="M258" s="464"/>
      <c r="N258" s="279" t="str">
        <f>IFERROR(__xludf.DUMMYFUNCTION("""COMPUTED_VALUE"""),"https://vt.tiktok.com/ZS9qr7RXB/")</f>
        <v>https://vt.tiktok.com/ZS9qr7RXB/</v>
      </c>
      <c r="O258" s="464"/>
      <c r="P258" s="279" t="str">
        <f>IFERROR(__xludf.DUMMYFUNCTION("""COMPUTED_VALUE"""),"https://vt.tiktok.com/ZS9qrtgDq/")</f>
        <v>https://vt.tiktok.com/ZS9qrtgDq/</v>
      </c>
    </row>
    <row r="259">
      <c r="A259" s="255" t="str">
        <f>IFERROR(__xludf.DUMMYFUNCTION("""COMPUTED_VALUE"""),"MICRO")</f>
        <v>MICRO</v>
      </c>
      <c r="B259" s="361" t="str">
        <f>IFERROR(__xludf.DUMMYFUNCTION("""COMPUTED_VALUE"""),"sinabilla")</f>
        <v>sinabilla</v>
      </c>
      <c r="C259" s="257" t="str">
        <f>IFERROR(__xludf.DUMMYFUNCTION("""COMPUTED_VALUE"""),"https://www.tiktok.com/@sinabilla")</f>
        <v>https://www.tiktok.com/@sinabilla</v>
      </c>
      <c r="D259" s="270">
        <f>IFERROR(__xludf.DUMMYFUNCTION("""COMPUTED_VALUE"""),8.5706320004E10)</f>
        <v>85706320004</v>
      </c>
      <c r="E259" s="457">
        <f>IFERROR(__xludf.DUMMYFUNCTION("""COMPUTED_VALUE"""),100000.0)</f>
        <v>100000</v>
      </c>
      <c r="F259" s="270">
        <f>IFERROR(__xludf.DUMMYFUNCTION("""COMPUTED_VALUE"""),4.0)</f>
        <v>4</v>
      </c>
      <c r="G259" s="17" t="str">
        <f>IFERROR(__xludf.DUMMYFUNCTION("""COMPUTED_VALUE"""),"Sabun batang 1 Box ( 2 PCS )")</f>
        <v>Sabun batang 1 Box ( 2 PCS )</v>
      </c>
      <c r="H259" s="463" t="str">
        <f>IFERROR(__xludf.DUMMYFUNCTION("""COMPUTED_VALUE"""),"Sampai")</f>
        <v>Sampai</v>
      </c>
      <c r="I259" s="464" t="str">
        <f>IFERROR(__xludf.DUMMYFUNCTION("""COMPUTED_VALUE"""),"KIMME")</f>
        <v>KIMME</v>
      </c>
      <c r="J259" s="279" t="str">
        <f>IFERROR(__xludf.DUMMYFUNCTION("""COMPUTED_VALUE"""),"https://www.tiktok.com/@sinabilla/video/7621083859941068052?_r=1&amp;u_code=d8ce4h27fdmff3&amp;region=&amp;mid=7589876360392559368&amp;preview_pb=0&amp;sharer_language=&amp;_d=0&amp;ec_shared_reflux_dynamic_params=%7B%22placeholder_material_id%22%3A%227621083859941068052%22%2C%22pla"&amp;"ceholder_origin_cover%22%3A%22https%253A%252F%252Fp16-sign-sg.tiktokcdn.com%252Ftos-alisg-p-0037%252FoQ4bcFDGREBeLQhp4HEQPbBADEqgtwX7wpf0Zu~tplv-tiktokx-origin.jpeg%253Fdr%253D14572%2526refresh_token%253D2c8f7ecc%2526x-expires%253D1806051600%2526x-signatu"&amp;"re%253DETPQModYt1RS2nBzouqacvv5Yds%25253D%2526t%253D4d5b0474%2526ps%253D13740610%2526shp%253Dd05b14bd%2526shcp%253D34ff8df6%2526idc%253Dmy2%2526s%253DTIKTOK_AFFILIATE_VIRAL_VIDEO%22%2C%22placeholder_product_id%22%3A%221729427766722726591%22%2C%22placehold"&amp;"er_video_id%22%3A%227621083859941068052%22%7D&amp;ec_shared_reflux_scene=shop_tab_feed&amp;share_item_id=7621083859941068052&amp;source=h5_t")</f>
        <v>https://www.tiktok.com/@sinabilla/video/7621083859941068052?_r=1&amp;u_code=d8ce4h27fdmff3&amp;region=&amp;mid=7589876360392559368&amp;preview_pb=0&amp;sharer_language=&amp;_d=0&amp;ec_shared_reflux_dynamic_params=%7B%22placeholder_material_id%22%3A%227621083859941068052%22%2C%22placeholder_origin_cover%22%3A%22https%253A%252F%252Fp16-sign-sg.tiktokcdn.com%252Ftos-alisg-p-0037%252FoQ4bcFDGREBeLQhp4HEQPbBADEqgtwX7wpf0Zu~tplv-tiktokx-origin.jpeg%253Fdr%253D14572%2526refresh_token%253D2c8f7ecc%2526x-expires%253D1806051600%2526x-signature%253DETPQModYt1RS2nBzouqacvv5Yds%25253D%2526t%253D4d5b0474%2526ps%253D13740610%2526shp%253Dd05b14bd%2526shcp%253D34ff8df6%2526idc%253Dmy2%2526s%253DTIKTOK_AFFILIATE_VIRAL_VIDEO%22%2C%22placeholder_product_id%22%3A%221729427766722726591%22%2C%22placeholder_video_id%22%3A%227621083859941068052%22%7D&amp;ec_shared_reflux_scene=shop_tab_feed&amp;share_item_id=7621083859941068052&amp;source=h5_t</v>
      </c>
      <c r="K259" s="464" t="str">
        <f>IFERROR(__xludf.DUMMYFUNCTION("""COMPUTED_VALUE"""),"KIMME")</f>
        <v>KIMME</v>
      </c>
      <c r="L259" s="279" t="str">
        <f>IFERROR(__xludf.DUMMYFUNCTION("""COMPUTED_VALUE"""),"https://vt.tiktok.com/ZSH8Ur6hL/")</f>
        <v>https://vt.tiktok.com/ZSH8Ur6hL/</v>
      </c>
      <c r="M259" s="464" t="str">
        <f>IFERROR(__xludf.DUMMYFUNCTION("""COMPUTED_VALUE"""),"KIMME")</f>
        <v>KIMME</v>
      </c>
      <c r="N259" s="279" t="str">
        <f>IFERROR(__xludf.DUMMYFUNCTION("""COMPUTED_VALUE"""),"https://vt.tiktok.com/ZSH8U66FK/")</f>
        <v>https://vt.tiktok.com/ZSH8U66FK/</v>
      </c>
      <c r="O259" s="464" t="str">
        <f>IFERROR(__xludf.DUMMYFUNCTION("""COMPUTED_VALUE"""),"KIMME")</f>
        <v>KIMME</v>
      </c>
      <c r="P259" s="279" t="str">
        <f>IFERROR(__xludf.DUMMYFUNCTION("""COMPUTED_VALUE"""),"https://vt.tiktok.com/ZSH8UaCqb/")</f>
        <v>https://vt.tiktok.com/ZSH8UaCqb/</v>
      </c>
    </row>
    <row r="260">
      <c r="A260" s="255" t="str">
        <f>IFERROR(__xludf.DUMMYFUNCTION("""COMPUTED_VALUE"""),"MICRO")</f>
        <v>MICRO</v>
      </c>
      <c r="B260" s="361" t="str">
        <f>IFERROR(__xludf.DUMMYFUNCTION("""COMPUTED_VALUE"""),"meliantiukail2")</f>
        <v>meliantiukail2</v>
      </c>
      <c r="C260" s="257" t="str">
        <f>IFERROR(__xludf.DUMMYFUNCTION("""COMPUTED_VALUE"""),"https://www.tiktok.com/@meliantiukail2")</f>
        <v>https://www.tiktok.com/@meliantiukail2</v>
      </c>
      <c r="D260" s="270">
        <f>IFERROR(__xludf.DUMMYFUNCTION("""COMPUTED_VALUE"""),8.1211158163E10)</f>
        <v>81211158163</v>
      </c>
      <c r="E260" s="457">
        <f>IFERROR(__xludf.DUMMYFUNCTION("""COMPUTED_VALUE"""),0.0)</f>
        <v>0</v>
      </c>
      <c r="F260" s="270">
        <f>IFERROR(__xludf.DUMMYFUNCTION("""COMPUTED_VALUE"""),4.0)</f>
        <v>4</v>
      </c>
      <c r="G260" s="17" t="str">
        <f>IFERROR(__xludf.DUMMYFUNCTION("""COMPUTED_VALUE"""),"Sabun batang 1 Box ( 2 PCS )")</f>
        <v>Sabun batang 1 Box ( 2 PCS )</v>
      </c>
      <c r="H260" s="463" t="str">
        <f>IFERROR(__xludf.DUMMYFUNCTION("""COMPUTED_VALUE"""),"Sampai")</f>
        <v>Sampai</v>
      </c>
      <c r="I260" s="464" t="str">
        <f>IFERROR(__xludf.DUMMYFUNCTION("""COMPUTED_VALUE"""),"KIMME")</f>
        <v>KIMME</v>
      </c>
      <c r="J260" s="279" t="str">
        <f>IFERROR(__xludf.DUMMYFUNCTION("""COMPUTED_VALUE"""),"https://www.tiktok.com/@meliantiukail2/video/7612082631177473301?is_from_webapp=1&amp;sender_device=pc")</f>
        <v>https://www.tiktok.com/@meliantiukail2/video/7612082631177473301?is_from_webapp=1&amp;sender_device=pc</v>
      </c>
      <c r="K260" s="464" t="str">
        <f>IFERROR(__xludf.DUMMYFUNCTION("""COMPUTED_VALUE"""),"KIMME")</f>
        <v>KIMME</v>
      </c>
      <c r="L260" s="279" t="str">
        <f>IFERROR(__xludf.DUMMYFUNCTION("""COMPUTED_VALUE"""),"https://www.tiktok.com/@meliantiukail2/video/7612587672116268308?is_from_webapp=1&amp;sender_device=pc")</f>
        <v>https://www.tiktok.com/@meliantiukail2/video/7612587672116268308?is_from_webapp=1&amp;sender_device=pc</v>
      </c>
      <c r="M260" s="464" t="str">
        <f>IFERROR(__xludf.DUMMYFUNCTION("""COMPUTED_VALUE"""),"KIMME")</f>
        <v>KIMME</v>
      </c>
      <c r="N260" s="279" t="str">
        <f>IFERROR(__xludf.DUMMYFUNCTION("""COMPUTED_VALUE"""),"https://www.tiktok.com/@meliantiukail2/video/7613211063663791380?is_from_webapp=1&amp;sender_device=pc")</f>
        <v>https://www.tiktok.com/@meliantiukail2/video/7613211063663791380?is_from_webapp=1&amp;sender_device=pc</v>
      </c>
      <c r="O260" s="464" t="str">
        <f>IFERROR(__xludf.DUMMYFUNCTION("""COMPUTED_VALUE"""),"KIMME")</f>
        <v>KIMME</v>
      </c>
      <c r="P260" s="279" t="str">
        <f>IFERROR(__xludf.DUMMYFUNCTION("""COMPUTED_VALUE"""),"https://www.tiktok.com/@meliantiukail2/video/7613308531193793813?is_from_webapp=1&amp;sender_device=pc")</f>
        <v>https://www.tiktok.com/@meliantiukail2/video/7613308531193793813?is_from_webapp=1&amp;sender_device=pc</v>
      </c>
    </row>
    <row r="261">
      <c r="A261" s="255" t="str">
        <f>IFERROR(__xludf.DUMMYFUNCTION("""COMPUTED_VALUE"""),"MICRO")</f>
        <v>MICRO</v>
      </c>
      <c r="B261" s="361" t="str">
        <f>IFERROR(__xludf.DUMMYFUNCTION("""COMPUTED_VALUE"""),"jun_shop")</f>
        <v>jun_shop</v>
      </c>
      <c r="C261" s="257" t="str">
        <f>IFERROR(__xludf.DUMMYFUNCTION("""COMPUTED_VALUE"""),"https://www.tiktok.com/@jun_shop")</f>
        <v>https://www.tiktok.com/@jun_shop</v>
      </c>
      <c r="D261" s="270">
        <f>IFERROR(__xludf.DUMMYFUNCTION("""COMPUTED_VALUE"""),8.1392779614E10)</f>
        <v>81392779614</v>
      </c>
      <c r="E261" s="457">
        <f>IFERROR(__xludf.DUMMYFUNCTION("""COMPUTED_VALUE"""),0.0)</f>
        <v>0</v>
      </c>
      <c r="F261" s="270">
        <f>IFERROR(__xludf.DUMMYFUNCTION("""COMPUTED_VALUE"""),4.0)</f>
        <v>4</v>
      </c>
      <c r="G261" s="17" t="str">
        <f>IFERROR(__xludf.DUMMYFUNCTION("""COMPUTED_VALUE"""),"Sabun batang 1 Box ( 2 PCS )")</f>
        <v>Sabun batang 1 Box ( 2 PCS )</v>
      </c>
      <c r="H261" s="463" t="str">
        <f>IFERROR(__xludf.DUMMYFUNCTION("""COMPUTED_VALUE"""),"Sampai")</f>
        <v>Sampai</v>
      </c>
      <c r="I261" s="464" t="str">
        <f>IFERROR(__xludf.DUMMYFUNCTION("""COMPUTED_VALUE"""),"KIMME")</f>
        <v>KIMME</v>
      </c>
      <c r="J261" s="279" t="str">
        <f>IFERROR(__xludf.DUMMYFUNCTION("""COMPUTED_VALUE"""),"https://www.tiktok.com/@sinabilla/video/7624007060069371154?is_from_webapp=1&amp;sender_device=pc")</f>
        <v>https://www.tiktok.com/@sinabilla/video/7624007060069371154?is_from_webapp=1&amp;sender_device=pc</v>
      </c>
      <c r="K261" s="464" t="str">
        <f>IFERROR(__xludf.DUMMYFUNCTION("""COMPUTED_VALUE"""),"KIMME")</f>
        <v>KIMME</v>
      </c>
      <c r="L261" s="279" t="str">
        <f>IFERROR(__xludf.DUMMYFUNCTION("""COMPUTED_VALUE"""),"https://vt.tiktok.com/ZSHPYMowQ/")</f>
        <v>https://vt.tiktok.com/ZSHPYMowQ/</v>
      </c>
      <c r="M261" s="464" t="str">
        <f>IFERROR(__xludf.DUMMYFUNCTION("""COMPUTED_VALUE"""),"KIMME")</f>
        <v>KIMME</v>
      </c>
      <c r="N261" s="279" t="str">
        <f>IFERROR(__xludf.DUMMYFUNCTION("""COMPUTED_VALUE"""),"https://vt.tiktok.com/ZSHPYCUjB/")</f>
        <v>https://vt.tiktok.com/ZSHPYCUjB/</v>
      </c>
      <c r="O261" s="464" t="str">
        <f>IFERROR(__xludf.DUMMYFUNCTION("""COMPUTED_VALUE"""),"KIMME")</f>
        <v>KIMME</v>
      </c>
      <c r="P261" s="279" t="str">
        <f>IFERROR(__xludf.DUMMYFUNCTION("""COMPUTED_VALUE"""),"https://vt.tiktok.com/ZSHPYHDeY/")</f>
        <v>https://vt.tiktok.com/ZSHPYHDeY/</v>
      </c>
    </row>
    <row r="262">
      <c r="A262" s="255" t="str">
        <f>IFERROR(__xludf.DUMMYFUNCTION("""COMPUTED_VALUE"""),"MICRO")</f>
        <v>MICRO</v>
      </c>
      <c r="B262" s="361" t="str">
        <f>IFERROR(__xludf.DUMMYFUNCTION("""COMPUTED_VALUE"""),"_kartikara
")</f>
        <v>_kartikara
</v>
      </c>
      <c r="C262" s="257" t="str">
        <f>IFERROR(__xludf.DUMMYFUNCTION("""COMPUTED_VALUE"""),"https://www.tiktok.com/@_kartikara
")</f>
        <v>https://www.tiktok.com/@_kartikara
</v>
      </c>
      <c r="D262" s="270">
        <f>IFERROR(__xludf.DUMMYFUNCTION("""COMPUTED_VALUE"""),8.579434751E10)</f>
        <v>85794347510</v>
      </c>
      <c r="E262" s="457">
        <f>IFERROR(__xludf.DUMMYFUNCTION("""COMPUTED_VALUE"""),0.0)</f>
        <v>0</v>
      </c>
      <c r="F262" s="270">
        <f>IFERROR(__xludf.DUMMYFUNCTION("""COMPUTED_VALUE"""),4.0)</f>
        <v>4</v>
      </c>
      <c r="G262" s="17" t="str">
        <f>IFERROR(__xludf.DUMMYFUNCTION("""COMPUTED_VALUE"""),"Sabun batang 1 Box ( 2 PCS )")</f>
        <v>Sabun batang 1 Box ( 2 PCS )</v>
      </c>
      <c r="H262" s="463" t="str">
        <f>IFERROR(__xludf.DUMMYFUNCTION("""COMPUTED_VALUE"""),"Sampai")</f>
        <v>Sampai</v>
      </c>
      <c r="I262" s="464" t="str">
        <f>IFERROR(__xludf.DUMMYFUNCTION("""COMPUTED_VALUE"""),"KIMME")</f>
        <v>KIMME</v>
      </c>
      <c r="J262" s="279" t="str">
        <f>IFERROR(__xludf.DUMMYFUNCTION("""COMPUTED_VALUE"""),"https://vt.tiktok.com/ZSHF1E8Mk/")</f>
        <v>https://vt.tiktok.com/ZSHF1E8Mk/</v>
      </c>
      <c r="K262" s="464" t="str">
        <f>IFERROR(__xludf.DUMMYFUNCTION("""COMPUTED_VALUE"""),"KIMME")</f>
        <v>KIMME</v>
      </c>
      <c r="L262" s="279" t="str">
        <f>IFERROR(__xludf.DUMMYFUNCTION("""COMPUTED_VALUE"""),"https://vt.tiktok.com/ZS9LcnWKL/")</f>
        <v>https://vt.tiktok.com/ZS9LcnWKL/</v>
      </c>
      <c r="M262" s="464"/>
      <c r="N262" s="279" t="str">
        <f>IFERROR(__xludf.DUMMYFUNCTION("""COMPUTED_VALUE"""),"https://vt.tiktok.com/ZS9qryMXD/")</f>
        <v>https://vt.tiktok.com/ZS9qryMXD/</v>
      </c>
      <c r="O262" s="464"/>
      <c r="P262" s="279" t="str">
        <f>IFERROR(__xludf.DUMMYFUNCTION("""COMPUTED_VALUE"""),"https://vt.tiktok.com/ZS9qroWUN/")</f>
        <v>https://vt.tiktok.com/ZS9qroWUN/</v>
      </c>
    </row>
    <row r="263">
      <c r="A263" s="255" t="str">
        <f>IFERROR(__xludf.DUMMYFUNCTION("""COMPUTED_VALUE"""),"MICRO")</f>
        <v>MICRO</v>
      </c>
      <c r="B263" s="361" t="str">
        <f>IFERROR(__xludf.DUMMYFUNCTION("""COMPUTED_VALUE"""),"amellibraa_")</f>
        <v>amellibraa_</v>
      </c>
      <c r="C263" s="257" t="str">
        <f>IFERROR(__xludf.DUMMYFUNCTION("""COMPUTED_VALUE"""),"https://www.tiktok.com/@amellibraa_")</f>
        <v>https://www.tiktok.com/@amellibraa_</v>
      </c>
      <c r="D263" s="270">
        <f>IFERROR(__xludf.DUMMYFUNCTION("""COMPUTED_VALUE"""),8.5879371669E10)</f>
        <v>85879371669</v>
      </c>
      <c r="E263" s="457">
        <f>IFERROR(__xludf.DUMMYFUNCTION("""COMPUTED_VALUE"""),0.0)</f>
        <v>0</v>
      </c>
      <c r="F263" s="270">
        <f>IFERROR(__xludf.DUMMYFUNCTION("""COMPUTED_VALUE"""),4.0)</f>
        <v>4</v>
      </c>
      <c r="G263" s="17" t="str">
        <f>IFERROR(__xludf.DUMMYFUNCTION("""COMPUTED_VALUE"""),"Sabun batang 1 Box ( 2 PCS )")</f>
        <v>Sabun batang 1 Box ( 2 PCS )</v>
      </c>
      <c r="H263" s="463" t="str">
        <f>IFERROR(__xludf.DUMMYFUNCTION("""COMPUTED_VALUE"""),"Sampai")</f>
        <v>Sampai</v>
      </c>
      <c r="I263" s="464" t="str">
        <f>IFERROR(__xludf.DUMMYFUNCTION("""COMPUTED_VALUE"""),"KIMME")</f>
        <v>KIMME</v>
      </c>
      <c r="J263" s="279" t="str">
        <f>IFERROR(__xludf.DUMMYFUNCTION("""COMPUTED_VALUE"""),"https://www.tiktok.com/@amellibraa_/video/7610013370544262421?is_from_webapp=1&amp;sender_device=pc&amp;web_id=7611930277489657360")</f>
        <v>https://www.tiktok.com/@amellibraa_/video/7610013370544262421?is_from_webapp=1&amp;sender_device=pc&amp;web_id=7611930277489657360</v>
      </c>
      <c r="K263" s="464" t="str">
        <f>IFERROR(__xludf.DUMMYFUNCTION("""COMPUTED_VALUE"""),"KIMME")</f>
        <v>KIMME</v>
      </c>
      <c r="L263" s="279" t="str">
        <f>IFERROR(__xludf.DUMMYFUNCTION("""COMPUTED_VALUE"""),"https://www.tiktok.com/@amellibraa_/video/7610776816277540117?is_from_webapp=1&amp;sender_device=pc&amp;web_id=7611930277489657360")</f>
        <v>https://www.tiktok.com/@amellibraa_/video/7610776816277540117?is_from_webapp=1&amp;sender_device=pc&amp;web_id=7611930277489657360</v>
      </c>
      <c r="M263" s="464" t="str">
        <f>IFERROR(__xludf.DUMMYFUNCTION("""COMPUTED_VALUE"""),"KIMME")</f>
        <v>KIMME</v>
      </c>
      <c r="N263" s="279" t="str">
        <f>IFERROR(__xludf.DUMMYFUNCTION("""COMPUTED_VALUE"""),"https://www.tiktok.com/@amellibraa_/video/7610840381370010901?is_from_webapp=1&amp;sender_device=pc&amp;web_id=7611930277489657360")</f>
        <v>https://www.tiktok.com/@amellibraa_/video/7610840381370010901?is_from_webapp=1&amp;sender_device=pc&amp;web_id=7611930277489657360</v>
      </c>
      <c r="O263" s="464" t="str">
        <f>IFERROR(__xludf.DUMMYFUNCTION("""COMPUTED_VALUE"""),"KIMME")</f>
        <v>KIMME</v>
      </c>
      <c r="P263" s="279" t="str">
        <f>IFERROR(__xludf.DUMMYFUNCTION("""COMPUTED_VALUE"""),"https://www.tiktok.com/@amellibraa_/video/7611094281478294805?is_from_webapp=1&amp;sender_device=pc&amp;web_id=7611930277489657360")</f>
        <v>https://www.tiktok.com/@amellibraa_/video/7611094281478294805?is_from_webapp=1&amp;sender_device=pc&amp;web_id=7611930277489657360</v>
      </c>
    </row>
    <row r="264">
      <c r="A264" s="255" t="str">
        <f>IFERROR(__xludf.DUMMYFUNCTION("""COMPUTED_VALUE"""),"MICRO")</f>
        <v>MICRO</v>
      </c>
      <c r="B264" s="361" t="str">
        <f>IFERROR(__xludf.DUMMYFUNCTION("""COMPUTED_VALUE"""),"895351795802")</f>
        <v>895351795802</v>
      </c>
      <c r="C264" s="257" t="str">
        <f>IFERROR(__xludf.DUMMYFUNCTION("""COMPUTED_VALUE"""),"https://www.tiktok.com/@895351795802")</f>
        <v>https://www.tiktok.com/@895351795802</v>
      </c>
      <c r="D264" s="270">
        <f>IFERROR(__xludf.DUMMYFUNCTION("""COMPUTED_VALUE"""),8.2275670668E10)</f>
        <v>82275670668</v>
      </c>
      <c r="E264" s="457">
        <f>IFERROR(__xludf.DUMMYFUNCTION("""COMPUTED_VALUE"""),0.0)</f>
        <v>0</v>
      </c>
      <c r="F264" s="270">
        <f>IFERROR(__xludf.DUMMYFUNCTION("""COMPUTED_VALUE"""),4.0)</f>
        <v>4</v>
      </c>
      <c r="G264" s="17" t="str">
        <f>IFERROR(__xludf.DUMMYFUNCTION("""COMPUTED_VALUE"""),"Sabun batang 1 Box ( 2 PCS )")</f>
        <v>Sabun batang 1 Box ( 2 PCS )</v>
      </c>
      <c r="H264" s="463" t="str">
        <f>IFERROR(__xludf.DUMMYFUNCTION("""COMPUTED_VALUE"""),"Sampai")</f>
        <v>Sampai</v>
      </c>
      <c r="I264" s="464" t="str">
        <f>IFERROR(__xludf.DUMMYFUNCTION("""COMPUTED_VALUE"""),"KIMME")</f>
        <v>KIMME</v>
      </c>
      <c r="J264" s="279" t="str">
        <f>IFERROR(__xludf.DUMMYFUNCTION("""COMPUTED_VALUE"""),"https://www.tiktok.com/@_karisma__01/video/7615813757385674005?is_from_webapp=1&amp;sender_device=pc")</f>
        <v>https://www.tiktok.com/@_karisma__01/video/7615813757385674005?is_from_webapp=1&amp;sender_device=pc</v>
      </c>
      <c r="K264" s="464" t="str">
        <f>IFERROR(__xludf.DUMMYFUNCTION("""COMPUTED_VALUE"""),"KIMME")</f>
        <v>KIMME</v>
      </c>
      <c r="L264" s="279" t="str">
        <f>IFERROR(__xludf.DUMMYFUNCTION("""COMPUTED_VALUE"""),"https://www.tiktok.com/@_karisma__01/video/7615865448801783060?is_from_webapp=1&amp;sender_device=pc")</f>
        <v>https://www.tiktok.com/@_karisma__01/video/7615865448801783060?is_from_webapp=1&amp;sender_device=pc</v>
      </c>
      <c r="M264" s="464" t="str">
        <f>IFERROR(__xludf.DUMMYFUNCTION("""COMPUTED_VALUE"""),"KIMME")</f>
        <v>KIMME</v>
      </c>
      <c r="N264" s="279" t="str">
        <f>IFERROR(__xludf.DUMMYFUNCTION("""COMPUTED_VALUE"""),"https://vt.tiktok.com/ZSHPYP4vK/")</f>
        <v>https://vt.tiktok.com/ZSHPYP4vK/</v>
      </c>
      <c r="O264" s="464" t="str">
        <f>IFERROR(__xludf.DUMMYFUNCTION("""COMPUTED_VALUE"""),"KIMME")</f>
        <v>KIMME</v>
      </c>
      <c r="P264" s="279" t="str">
        <f>IFERROR(__xludf.DUMMYFUNCTION("""COMPUTED_VALUE"""),"https://vt.tiktok.com/ZSHPYVhKE/")</f>
        <v>https://vt.tiktok.com/ZSHPYVhKE/</v>
      </c>
    </row>
    <row r="265">
      <c r="A265" s="255" t="str">
        <f>IFERROR(__xludf.DUMMYFUNCTION("""COMPUTED_VALUE"""),"MICRO")</f>
        <v>MICRO</v>
      </c>
      <c r="B265" s="361" t="str">
        <f>IFERROR(__xludf.DUMMYFUNCTION("""COMPUTED_VALUE"""),"pakethemat_07")</f>
        <v>pakethemat_07</v>
      </c>
      <c r="C265" s="257" t="str">
        <f>IFERROR(__xludf.DUMMYFUNCTION("""COMPUTED_VALUE"""),"https://www.tiktok.com/@pakethemat_07")</f>
        <v>https://www.tiktok.com/@pakethemat_07</v>
      </c>
      <c r="D265" s="270">
        <f>IFERROR(__xludf.DUMMYFUNCTION("""COMPUTED_VALUE"""),8.3875165731E10)</f>
        <v>83875165731</v>
      </c>
      <c r="E265" s="457">
        <f>IFERROR(__xludf.DUMMYFUNCTION("""COMPUTED_VALUE"""),0.0)</f>
        <v>0</v>
      </c>
      <c r="F265" s="270">
        <f>IFERROR(__xludf.DUMMYFUNCTION("""COMPUTED_VALUE"""),4.0)</f>
        <v>4</v>
      </c>
      <c r="G265" s="17" t="str">
        <f>IFERROR(__xludf.DUMMYFUNCTION("""COMPUTED_VALUE"""),"Sabun batang 1 Box ( 2 PCS )")</f>
        <v>Sabun batang 1 Box ( 2 PCS )</v>
      </c>
      <c r="H265" s="463" t="str">
        <f>IFERROR(__xludf.DUMMYFUNCTION("""COMPUTED_VALUE"""),"Sampai")</f>
        <v>Sampai</v>
      </c>
      <c r="I265" s="464" t="str">
        <f>IFERROR(__xludf.DUMMYFUNCTION("""COMPUTED_VALUE"""),"KIMME")</f>
        <v>KIMME</v>
      </c>
      <c r="J265" s="279" t="str">
        <f>IFERROR(__xludf.DUMMYFUNCTION("""COMPUTED_VALUE"""),"https://vt.tiktok.com/ZSHPY5UbT/")</f>
        <v>https://vt.tiktok.com/ZSHPY5UbT/</v>
      </c>
      <c r="K265" s="464" t="str">
        <f>IFERROR(__xludf.DUMMYFUNCTION("""COMPUTED_VALUE"""),"KIMME")</f>
        <v>KIMME</v>
      </c>
      <c r="L265" s="279" t="str">
        <f>IFERROR(__xludf.DUMMYFUNCTION("""COMPUTED_VALUE"""),"https://vt.tiktok.com/ZSHPY95yr/")</f>
        <v>https://vt.tiktok.com/ZSHPY95yr/</v>
      </c>
      <c r="M265" s="464" t="str">
        <f>IFERROR(__xludf.DUMMYFUNCTION("""COMPUTED_VALUE"""),"KIMME")</f>
        <v>KIMME</v>
      </c>
      <c r="N265" s="279" t="str">
        <f>IFERROR(__xludf.DUMMYFUNCTION("""COMPUTED_VALUE"""),"https://www.tiktok.com/@liayulianti1278/video/7605759499974085909?_d=0&amp;_r=1&amp;ec_shared_reflux_dynamic_params=%7B%22placeholder_material_id%22%3A%227605759499974085909%22%2C%22placeholder_origin_cover%22%3A%22https%253A%252F%252Fp16-sign-sg.tiktokcdn.com%25"&amp;"2Ftos-alisg-p-0037%252FoImjUImIDh8XRBFXgEfgAoB9FFIfEpBEx7UR1N~tplv-tiktokx-origin.jpeg%253Fdr%253D14572%2526refresh_token%253D2da909ce%2526x-expires%253D1807322400%2526x-signature%253DOex1Cpd85yne3J6W4XisS00TL4E%25253D%2526t%253D4d5b0474%2526ps%253D137406"&amp;"10%2526shp%253Dd05b14bd%2526shcp%253D34ff8df6%2526idc%253Dmy2%2526s%253DTIKTOK_AFFILIATE_VIRAL_VIDEO%22%2C%22placeholder_product_id%22%3A%221729427766722726591%22%2C%22placeholder_video_id%22%3A%227605759499974085909%22%7D&amp;ec_shared_reflux_scene=shop_tab_"&amp;"feed&amp;mid=7605759577203739399&amp;preview_pb=0&amp;region=&amp;share_item_id=7605759499974085909&amp;sharer_language=&amp;source=h5_t&amp;u_code=e0m900de86aeg2")</f>
        <v>https://www.tiktok.com/@liayulianti1278/video/7605759499974085909?_d=0&amp;_r=1&amp;ec_shared_reflux_dynamic_params=%7B%22placeholder_material_id%22%3A%227605759499974085909%22%2C%22placeholder_origin_cover%22%3A%22https%253A%252F%252Fp16-sign-sg.tiktokcdn.com%252Ftos-alisg-p-0037%252FoImjUImIDh8XRBFXgEfgAoB9FFIfEpBEx7UR1N~tplv-tiktokx-origin.jpeg%253Fdr%253D14572%2526refresh_token%253D2da909ce%2526x-expires%253D1807322400%2526x-signature%253DOex1Cpd85yne3J6W4XisS00TL4E%25253D%2526t%253D4d5b0474%2526ps%253D13740610%2526shp%253Dd05b14bd%2526shcp%253D34ff8df6%2526idc%253Dmy2%2526s%253DTIKTOK_AFFILIATE_VIRAL_VIDEO%22%2C%22placeholder_product_id%22%3A%221729427766722726591%22%2C%22placeholder_video_id%22%3A%227605759499974085909%22%7D&amp;ec_shared_reflux_scene=shop_tab_feed&amp;mid=7605759577203739399&amp;preview_pb=0&amp;region=&amp;share_item_id=7605759499974085909&amp;sharer_language=&amp;source=h5_t&amp;u_code=e0m900de86aeg2</v>
      </c>
      <c r="O265" s="464" t="str">
        <f>IFERROR(__xludf.DUMMYFUNCTION("""COMPUTED_VALUE"""),"KIMME")</f>
        <v>KIMME</v>
      </c>
      <c r="P265" s="279" t="str">
        <f>IFERROR(__xludf.DUMMYFUNCTION("""COMPUTED_VALUE"""),"https://www.tiktok.com/@liayulianti1278/video/7607655532387863829?is_from_webapp=1&amp;sender_device=pc")</f>
        <v>https://www.tiktok.com/@liayulianti1278/video/7607655532387863829?is_from_webapp=1&amp;sender_device=pc</v>
      </c>
    </row>
    <row r="266">
      <c r="A266" s="255" t="str">
        <f>IFERROR(__xludf.DUMMYFUNCTION("""COMPUTED_VALUE"""),"MICRO")</f>
        <v>MICRO</v>
      </c>
      <c r="B266" s="361" t="str">
        <f>IFERROR(__xludf.DUMMYFUNCTION("""COMPUTED_VALUE"""),"lsakyu")</f>
        <v>lsakyu</v>
      </c>
      <c r="C266" s="257" t="str">
        <f>IFERROR(__xludf.DUMMYFUNCTION("""COMPUTED_VALUE"""),"https://www.tiktok.com/@lsakyu")</f>
        <v>https://www.tiktok.com/@lsakyu</v>
      </c>
      <c r="D266" s="270">
        <f>IFERROR(__xludf.DUMMYFUNCTION("""COMPUTED_VALUE"""),8.2214110002E10)</f>
        <v>82214110002</v>
      </c>
      <c r="E266" s="457">
        <f>IFERROR(__xludf.DUMMYFUNCTION("""COMPUTED_VALUE"""),0.0)</f>
        <v>0</v>
      </c>
      <c r="F266" s="270">
        <f>IFERROR(__xludf.DUMMYFUNCTION("""COMPUTED_VALUE"""),4.0)</f>
        <v>4</v>
      </c>
      <c r="G266" s="17" t="str">
        <f>IFERROR(__xludf.DUMMYFUNCTION("""COMPUTED_VALUE"""),"Sabun batang 1 Box ( 2 PCS )")</f>
        <v>Sabun batang 1 Box ( 2 PCS )</v>
      </c>
      <c r="H266" s="463" t="str">
        <f>IFERROR(__xludf.DUMMYFUNCTION("""COMPUTED_VALUE"""),"Sampai")</f>
        <v>Sampai</v>
      </c>
      <c r="I266" s="464" t="str">
        <f>IFERROR(__xludf.DUMMYFUNCTION("""COMPUTED_VALUE"""),"KIMME")</f>
        <v>KIMME</v>
      </c>
      <c r="J266" s="279" t="str">
        <f>IFERROR(__xludf.DUMMYFUNCTION("""COMPUTED_VALUE"""),"https://www.tiktok.com/@lsakyu/video/7616038514643258625?is_from_webapp=1&amp;sender_device=pc&amp;web_id=7611930277489657360")</f>
        <v>https://www.tiktok.com/@lsakyu/video/7616038514643258625?is_from_webapp=1&amp;sender_device=pc&amp;web_id=7611930277489657360</v>
      </c>
      <c r="K266" s="464" t="str">
        <f>IFERROR(__xludf.DUMMYFUNCTION("""COMPUTED_VALUE"""),"KIMME")</f>
        <v>KIMME</v>
      </c>
      <c r="L266" s="279" t="str">
        <f>IFERROR(__xludf.DUMMYFUNCTION("""COMPUTED_VALUE"""),"https://www.tiktok.com/@lsakyu/video/7616240776007126288?is_from_webapp=1&amp;sender_device=pc&amp;web_id=7611930277489657360")</f>
        <v>https://www.tiktok.com/@lsakyu/video/7616240776007126288?is_from_webapp=1&amp;sender_device=pc&amp;web_id=7611930277489657360</v>
      </c>
      <c r="M266" s="464" t="str">
        <f>IFERROR(__xludf.DUMMYFUNCTION("""COMPUTED_VALUE"""),"KIMME")</f>
        <v>KIMME</v>
      </c>
      <c r="N266" s="279" t="str">
        <f>IFERROR(__xludf.DUMMYFUNCTION("""COMPUTED_VALUE"""),"https://www.tiktok.com/@lsakyu/video/7616597293587844369?is_from_webapp=1&amp;sender_device=pc&amp;web_id=7611930277489657360")</f>
        <v>https://www.tiktok.com/@lsakyu/video/7616597293587844369?is_from_webapp=1&amp;sender_device=pc&amp;web_id=7611930277489657360</v>
      </c>
      <c r="O266" s="464" t="str">
        <f>IFERROR(__xludf.DUMMYFUNCTION("""COMPUTED_VALUE"""),"KIMME")</f>
        <v>KIMME</v>
      </c>
      <c r="P266" s="279" t="str">
        <f>IFERROR(__xludf.DUMMYFUNCTION("""COMPUTED_VALUE"""),"https://www.tiktok.com/@lsakyu/video/7616987327558126849?is_from_webapp=1&amp;sender_device=pc&amp;web_id=7611930277489657360")</f>
        <v>https://www.tiktok.com/@lsakyu/video/7616987327558126849?is_from_webapp=1&amp;sender_device=pc&amp;web_id=7611930277489657360</v>
      </c>
    </row>
    <row r="267">
      <c r="A267" s="255" t="str">
        <f>IFERROR(__xludf.DUMMYFUNCTION("""COMPUTED_VALUE"""),"MICRO")</f>
        <v>MICRO</v>
      </c>
      <c r="B267" s="361" t="str">
        <f>IFERROR(__xludf.DUMMYFUNCTION("""COMPUTED_VALUE"""),"mamanyamatthiew")</f>
        <v>mamanyamatthiew</v>
      </c>
      <c r="C267" s="257" t="str">
        <f>IFERROR(__xludf.DUMMYFUNCTION("""COMPUTED_VALUE"""),"https://www.tiktok.com/@mamanyamatthiew")</f>
        <v>https://www.tiktok.com/@mamanyamatthiew</v>
      </c>
      <c r="D267" s="270">
        <f>IFERROR(__xludf.DUMMYFUNCTION("""COMPUTED_VALUE"""),8.2296506476E10)</f>
        <v>82296506476</v>
      </c>
      <c r="E267" s="457">
        <f>IFERROR(__xludf.DUMMYFUNCTION("""COMPUTED_VALUE"""),0.0)</f>
        <v>0</v>
      </c>
      <c r="F267" s="270">
        <f>IFERROR(__xludf.DUMMYFUNCTION("""COMPUTED_VALUE"""),4.0)</f>
        <v>4</v>
      </c>
      <c r="G267" s="17" t="str">
        <f>IFERROR(__xludf.DUMMYFUNCTION("""COMPUTED_VALUE"""),"Sabun batang 1 Box ( 2 PCS )")</f>
        <v>Sabun batang 1 Box ( 2 PCS )</v>
      </c>
      <c r="H267" s="463" t="str">
        <f>IFERROR(__xludf.DUMMYFUNCTION("""COMPUTED_VALUE"""),"Sampai")</f>
        <v>Sampai</v>
      </c>
      <c r="I267" s="464" t="str">
        <f>IFERROR(__xludf.DUMMYFUNCTION("""COMPUTED_VALUE"""),"KIMME")</f>
        <v>KIMME</v>
      </c>
      <c r="J267" s="279" t="str">
        <f>IFERROR(__xludf.DUMMYFUNCTION("""COMPUTED_VALUE"""),"https://www.tiktok.com/@liayulianti1278/video/7616926316398431508?_d=0&amp;_r=1&amp;ec_shared_reflux_dynamic_params=%7B%22placeholder_material_id%22%3A%227616926316398431508%22%2C%22placeholder_origin_cover%22%3A%22https%253A%252F%252Fp16-common-sign.tiktokcdn.co"&amp;"m%252Ftos-alisg-p-0037%252Fo0qYGgCqQEXLf8pBMhpEpDFBtQwYcU5fgABF1R~tplv-tiktokx-origin.jpeg%253Fdr%253D14572%2526refresh_token%253D0f10d427%2526x-expires%253D1807322400%2526x-signature%253D83ZjgdUoyP%25252Ftt6x5%25252FHp6kNG62Gk%25253D%2526t%253D4d5b0474%2"&amp;"526ps%253D13740610%2526shp%253Dd05b14bd%2526shcp%253D34ff8df6%2526idc%253Dmy2%2526s%253DTIKTOK_AFFILIATE_VIRAL_VIDEO%22%2C%22placeholder_product_id%22%3A%221729427766722726591%22%2C%22placeholder_video_id%22%3A%227616926316398431508%22%7D&amp;ec_shared_reflux"&amp;"_scene=shop_tab_feed&amp;mid=7475638762669819921&amp;preview_pb=0&amp;region=&amp;share_item_id=7616926316398431508&amp;sharer_language=&amp;source=h5_t&amp;u_code=e0m900de86aeg2")</f>
        <v>https://www.tiktok.com/@liayulianti1278/video/7616926316398431508?_d=0&amp;_r=1&amp;ec_shared_reflux_dynamic_params=%7B%22placeholder_material_id%22%3A%227616926316398431508%22%2C%22placeholder_origin_cover%22%3A%22https%253A%252F%252Fp16-common-sign.tiktokcdn.com%252Ftos-alisg-p-0037%252Fo0qYGgCqQEXLf8pBMhpEpDFBtQwYcU5fgABF1R~tplv-tiktokx-origin.jpeg%253Fdr%253D14572%2526refresh_token%253D0f10d427%2526x-expires%253D1807322400%2526x-signature%253D83ZjgdUoyP%25252Ftt6x5%25252FHp6kNG62Gk%25253D%2526t%253D4d5b0474%2526ps%253D13740610%2526shp%253Dd05b14bd%2526shcp%253D34ff8df6%2526idc%253Dmy2%2526s%253DTIKTOK_AFFILIATE_VIRAL_VIDEO%22%2C%22placeholder_product_id%22%3A%221729427766722726591%22%2C%22placeholder_video_id%22%3A%227616926316398431508%22%7D&amp;ec_shared_reflux_scene=shop_tab_feed&amp;mid=7475638762669819921&amp;preview_pb=0&amp;region=&amp;share_item_id=7616926316398431508&amp;sharer_language=&amp;source=h5_t&amp;u_code=e0m900de86aeg2</v>
      </c>
      <c r="K267" s="464" t="str">
        <f>IFERROR(__xludf.DUMMYFUNCTION("""COMPUTED_VALUE"""),"KIMME")</f>
        <v>KIMME</v>
      </c>
      <c r="L267" s="279" t="str">
        <f>IFERROR(__xludf.DUMMYFUNCTION("""COMPUTED_VALUE"""),"https://www.tiktok.com/@liayulianti1278/video/7617312662728346900?is_from_webapp=1&amp;sender_device=pc")</f>
        <v>https://www.tiktok.com/@liayulianti1278/video/7617312662728346900?is_from_webapp=1&amp;sender_device=pc</v>
      </c>
      <c r="M267" s="464" t="str">
        <f>IFERROR(__xludf.DUMMYFUNCTION("""COMPUTED_VALUE"""),"KIMME")</f>
        <v>KIMME</v>
      </c>
      <c r="N267" s="279" t="str">
        <f>IFERROR(__xludf.DUMMYFUNCTION("""COMPUTED_VALUE"""),"https://www.tiktok.com/@liayulianti1278/video/7618918005602471188?is_from_webapp=1&amp;sender_device=pc")</f>
        <v>https://www.tiktok.com/@liayulianti1278/video/7618918005602471188?is_from_webapp=1&amp;sender_device=pc</v>
      </c>
      <c r="O267" s="464" t="str">
        <f>IFERROR(__xludf.DUMMYFUNCTION("""COMPUTED_VALUE"""),"KIMME")</f>
        <v>KIMME</v>
      </c>
      <c r="P267" s="279" t="str">
        <f>IFERROR(__xludf.DUMMYFUNCTION("""COMPUTED_VALUE"""),"https://www.tiktok.com/@liayulianti1278/video/7621060710922997013?is_from_webapp=1&amp;sender_device=pc")</f>
        <v>https://www.tiktok.com/@liayulianti1278/video/7621060710922997013?is_from_webapp=1&amp;sender_device=pc</v>
      </c>
    </row>
    <row r="268">
      <c r="A268" s="255" t="str">
        <f>IFERROR(__xludf.DUMMYFUNCTION("""COMPUTED_VALUE"""),"MICRO")</f>
        <v>MICRO</v>
      </c>
      <c r="B268" s="361" t="str">
        <f>IFERROR(__xludf.DUMMYFUNCTION("""COMPUTED_VALUE"""),"makeupbaruu")</f>
        <v>makeupbaruu</v>
      </c>
      <c r="C268" s="257" t="str">
        <f>IFERROR(__xludf.DUMMYFUNCTION("""COMPUTED_VALUE"""),"https://www.tiktok.com/@makeupbaruu")</f>
        <v>https://www.tiktok.com/@makeupbaruu</v>
      </c>
      <c r="D268" s="270">
        <f>IFERROR(__xludf.DUMMYFUNCTION("""COMPUTED_VALUE"""),8.2245952503E10)</f>
        <v>82245952503</v>
      </c>
      <c r="E268" s="457">
        <f>IFERROR(__xludf.DUMMYFUNCTION("""COMPUTED_VALUE"""),0.0)</f>
        <v>0</v>
      </c>
      <c r="F268" s="270">
        <f>IFERROR(__xludf.DUMMYFUNCTION("""COMPUTED_VALUE"""),4.0)</f>
        <v>4</v>
      </c>
      <c r="G268" s="17" t="str">
        <f>IFERROR(__xludf.DUMMYFUNCTION("""COMPUTED_VALUE"""),"Sabun batang 1 Box ( 2 PCS )")</f>
        <v>Sabun batang 1 Box ( 2 PCS )</v>
      </c>
      <c r="H268" s="463" t="str">
        <f>IFERROR(__xludf.DUMMYFUNCTION("""COMPUTED_VALUE"""),"Sampai")</f>
        <v>Sampai</v>
      </c>
      <c r="I268" s="464" t="str">
        <f>IFERROR(__xludf.DUMMYFUNCTION("""COMPUTED_VALUE"""),"KIMME")</f>
        <v>KIMME</v>
      </c>
      <c r="J268" s="279" t="str">
        <f>IFERROR(__xludf.DUMMYFUNCTION("""COMPUTED_VALUE"""),"https://www.tiktok.com/@liayulianti1278/video/7622491786807659797?is_from_webapp=1&amp;sender_device=pc")</f>
        <v>https://www.tiktok.com/@liayulianti1278/video/7622491786807659797?is_from_webapp=1&amp;sender_device=pc</v>
      </c>
      <c r="K268" s="464" t="str">
        <f>IFERROR(__xludf.DUMMYFUNCTION("""COMPUTED_VALUE"""),"KIMME")</f>
        <v>KIMME</v>
      </c>
      <c r="L268" s="279" t="str">
        <f>IFERROR(__xludf.DUMMYFUNCTION("""COMPUTED_VALUE"""),"https://www.tiktok.com/@liayulianti1278/video/7624068176707390740?is_from_webapp=1&amp;sender_device=pc")</f>
        <v>https://www.tiktok.com/@liayulianti1278/video/7624068176707390740?is_from_webapp=1&amp;sender_device=pc</v>
      </c>
      <c r="M268" s="464" t="str">
        <f>IFERROR(__xludf.DUMMYFUNCTION("""COMPUTED_VALUE"""),"KIMME")</f>
        <v>KIMME</v>
      </c>
      <c r="N268" s="279" t="str">
        <f>IFERROR(__xludf.DUMMYFUNCTION("""COMPUTED_VALUE"""),"https://www.tiktok.com/@rezkyhamdayani277/video/7626257802796977416?is_from_webapp=1&amp;sender_device=pc&amp;web_id=7611930277489657360")</f>
        <v>https://www.tiktok.com/@rezkyhamdayani277/video/7626257802796977416?is_from_webapp=1&amp;sender_device=pc&amp;web_id=7611930277489657360</v>
      </c>
      <c r="O268" s="464" t="str">
        <f>IFERROR(__xludf.DUMMYFUNCTION("""COMPUTED_VALUE"""),"KIMME")</f>
        <v>KIMME</v>
      </c>
      <c r="P268" s="279" t="str">
        <f>IFERROR(__xludf.DUMMYFUNCTION("""COMPUTED_VALUE"""),"https://www.tiktok.com/@reinn057/video/7601833601344359698?is_from_webapp=1&amp;sender_device=pc&amp;web_id=7611930277489657360")</f>
        <v>https://www.tiktok.com/@reinn057/video/7601833601344359698?is_from_webapp=1&amp;sender_device=pc&amp;web_id=7611930277489657360</v>
      </c>
    </row>
    <row r="269">
      <c r="A269" s="255" t="str">
        <f>IFERROR(__xludf.DUMMYFUNCTION("""COMPUTED_VALUE"""),"MICRO")</f>
        <v>MICRO</v>
      </c>
      <c r="B269" s="361" t="str">
        <f>IFERROR(__xludf.DUMMYFUNCTION("""COMPUTED_VALUE"""),"amaliaaikaa")</f>
        <v>amaliaaikaa</v>
      </c>
      <c r="C269" s="257" t="str">
        <f>IFERROR(__xludf.DUMMYFUNCTION("""COMPUTED_VALUE"""),"https://www.tiktok.com/@amaliaaikaa")</f>
        <v>https://www.tiktok.com/@amaliaaikaa</v>
      </c>
      <c r="D269" s="270">
        <f>IFERROR(__xludf.DUMMYFUNCTION("""COMPUTED_VALUE"""),8.1215704782E10)</f>
        <v>81215704782</v>
      </c>
      <c r="E269" s="457">
        <f>IFERROR(__xludf.DUMMYFUNCTION("""COMPUTED_VALUE"""),0.0)</f>
        <v>0</v>
      </c>
      <c r="F269" s="270">
        <f>IFERROR(__xludf.DUMMYFUNCTION("""COMPUTED_VALUE"""),2.0)</f>
        <v>2</v>
      </c>
      <c r="G269" s="17" t="str">
        <f>IFERROR(__xludf.DUMMYFUNCTION("""COMPUTED_VALUE"""),"Sabun batang 1 Box ( 2 PCS )")</f>
        <v>Sabun batang 1 Box ( 2 PCS )</v>
      </c>
      <c r="H269" s="463" t="str">
        <f>IFERROR(__xludf.DUMMYFUNCTION("""COMPUTED_VALUE"""),"Sampai")</f>
        <v>Sampai</v>
      </c>
      <c r="I269" s="464" t="str">
        <f>IFERROR(__xludf.DUMMYFUNCTION("""COMPUTED_VALUE"""),"KIMME")</f>
        <v>KIMME</v>
      </c>
      <c r="J269" s="279" t="str">
        <f>IFERROR(__xludf.DUMMYFUNCTION("""COMPUTED_VALUE"""),"https://www.tiktok.com/@reinn057/video/7603242435027750151?is_from_webapp=1&amp;sender_device=pc&amp;web_id=7611930277489657360")</f>
        <v>https://www.tiktok.com/@reinn057/video/7603242435027750151?is_from_webapp=1&amp;sender_device=pc&amp;web_id=7611930277489657360</v>
      </c>
      <c r="K269" s="464" t="str">
        <f>IFERROR(__xludf.DUMMYFUNCTION("""COMPUTED_VALUE"""),"KIMME")</f>
        <v>KIMME</v>
      </c>
      <c r="L269" s="279" t="str">
        <f>IFERROR(__xludf.DUMMYFUNCTION("""COMPUTED_VALUE"""),"https://www.tiktok.com/@reinn057/video/7605633390917766407?is_from_webapp=1&amp;sender_device=pc&amp;web_id=7611930277489657360")</f>
        <v>https://www.tiktok.com/@reinn057/video/7605633390917766407?is_from_webapp=1&amp;sender_device=pc&amp;web_id=7611930277489657360</v>
      </c>
      <c r="M269" s="464"/>
      <c r="N269" s="279" t="str">
        <f>IFERROR(__xludf.DUMMYFUNCTION("""COMPUTED_VALUE"""),"https://vt.tiktok.com/ZS9qh1kfw/")</f>
        <v>https://vt.tiktok.com/ZS9qh1kfw/</v>
      </c>
      <c r="O269" s="464"/>
      <c r="P269" s="279" t="str">
        <f>IFERROR(__xludf.DUMMYFUNCTION("""COMPUTED_VALUE"""),"https://vt.tiktok.com/ZS9qhJpQ8/")</f>
        <v>https://vt.tiktok.com/ZS9qhJpQ8/</v>
      </c>
    </row>
    <row r="270">
      <c r="A270" s="255" t="str">
        <f>IFERROR(__xludf.DUMMYFUNCTION("""COMPUTED_VALUE"""),"MICRO")</f>
        <v>MICRO</v>
      </c>
      <c r="B270" s="361" t="str">
        <f>IFERROR(__xludf.DUMMYFUNCTION("""COMPUTED_VALUE"""),"refalinakn")</f>
        <v>refalinakn</v>
      </c>
      <c r="C270" s="257" t="str">
        <f>IFERROR(__xludf.DUMMYFUNCTION("""COMPUTED_VALUE"""),"https://www.tiktok.com/@refalinakn")</f>
        <v>https://www.tiktok.com/@refalinakn</v>
      </c>
      <c r="D270" s="270">
        <f>IFERROR(__xludf.DUMMYFUNCTION("""COMPUTED_VALUE"""),8.5746726761E10)</f>
        <v>85746726761</v>
      </c>
      <c r="E270" s="457">
        <f>IFERROR(__xludf.DUMMYFUNCTION("""COMPUTED_VALUE"""),0.0)</f>
        <v>0</v>
      </c>
      <c r="F270" s="270">
        <f>IFERROR(__xludf.DUMMYFUNCTION("""COMPUTED_VALUE"""),2.0)</f>
        <v>2</v>
      </c>
      <c r="G270" s="17" t="str">
        <f>IFERROR(__xludf.DUMMYFUNCTION("""COMPUTED_VALUE"""),"Sabun batang 1 Box ( 2 PCS )")</f>
        <v>Sabun batang 1 Box ( 2 PCS )</v>
      </c>
      <c r="H270" s="463" t="str">
        <f>IFERROR(__xludf.DUMMYFUNCTION("""COMPUTED_VALUE"""),"Sampai")</f>
        <v>Sampai</v>
      </c>
      <c r="I270" s="464" t="str">
        <f>IFERROR(__xludf.DUMMYFUNCTION("""COMPUTED_VALUE"""),"KIMME")</f>
        <v>KIMME</v>
      </c>
      <c r="J270" s="17" t="str">
        <f>IFERROR(__xludf.DUMMYFUNCTION("""COMPUTED_VALUE"""),"⁠https://vt.tiktok.com/ZS9gMAJJ6/")</f>
        <v>⁠https://vt.tiktok.com/ZS9gMAJJ6/</v>
      </c>
      <c r="K270" s="464" t="str">
        <f>IFERROR(__xludf.DUMMYFUNCTION("""COMPUTED_VALUE"""),"KIMME")</f>
        <v>KIMME</v>
      </c>
      <c r="L270" s="17" t="str">
        <f>IFERROR(__xludf.DUMMYFUNCTION("""COMPUTED_VALUE"""),"⁠https://vt.tiktok.com/ZS9gMrkfy/")</f>
        <v>⁠https://vt.tiktok.com/ZS9gMrkfy/</v>
      </c>
      <c r="M270" s="464"/>
      <c r="N270" s="17" t="str">
        <f>IFERROR(__xludf.DUMMYFUNCTION("""COMPUTED_VALUE"""),"⁠https://vt.tiktok.com/ZS9gMsvpp/")</f>
        <v>⁠https://vt.tiktok.com/ZS9gMsvpp/</v>
      </c>
      <c r="O270" s="464"/>
      <c r="P270" s="17" t="str">
        <f>IFERROR(__xludf.DUMMYFUNCTION("""COMPUTED_VALUE"""),"⁠https://vt.tiktok.com/ZS9gMbXag/")</f>
        <v>⁠https://vt.tiktok.com/ZS9gMbXag/</v>
      </c>
    </row>
    <row r="271">
      <c r="A271" s="255" t="str">
        <f>IFERROR(__xludf.DUMMYFUNCTION("""COMPUTED_VALUE"""),"MICRO")</f>
        <v>MICRO</v>
      </c>
      <c r="B271" s="361" t="str">
        <f>IFERROR(__xludf.DUMMYFUNCTION("""COMPUTED_VALUE"""),"desymufti96")</f>
        <v>desymufti96</v>
      </c>
      <c r="C271" s="257" t="str">
        <f>IFERROR(__xludf.DUMMYFUNCTION("""COMPUTED_VALUE"""),"https://www.tiktok.com/@desymufti96")</f>
        <v>https://www.tiktok.com/@desymufti96</v>
      </c>
      <c r="D271" s="270">
        <f>IFERROR(__xludf.DUMMYFUNCTION("""COMPUTED_VALUE"""),8.1280440016E10)</f>
        <v>81280440016</v>
      </c>
      <c r="E271" s="457">
        <f>IFERROR(__xludf.DUMMYFUNCTION("""COMPUTED_VALUE"""),0.0)</f>
        <v>0</v>
      </c>
      <c r="F271" s="270">
        <f>IFERROR(__xludf.DUMMYFUNCTION("""COMPUTED_VALUE"""),4.0)</f>
        <v>4</v>
      </c>
      <c r="G271" s="17" t="str">
        <f>IFERROR(__xludf.DUMMYFUNCTION("""COMPUTED_VALUE"""),"Sabun batang 1 Box ( 2 PCS )")</f>
        <v>Sabun batang 1 Box ( 2 PCS )</v>
      </c>
      <c r="H271" s="463" t="str">
        <f>IFERROR(__xludf.DUMMYFUNCTION("""COMPUTED_VALUE"""),"Sampai")</f>
        <v>Sampai</v>
      </c>
      <c r="I271" s="464" t="str">
        <f>IFERROR(__xludf.DUMMYFUNCTION("""COMPUTED_VALUE"""),"KIMME")</f>
        <v>KIMME</v>
      </c>
      <c r="J271" s="279" t="str">
        <f>IFERROR(__xludf.DUMMYFUNCTION("""COMPUTED_VALUE"""),"https://www.tiktok.com/@desymufti96/video/7616384157492595989?is_from_webapp=1&amp;sender_device=pc")</f>
        <v>https://www.tiktok.com/@desymufti96/video/7616384157492595989?is_from_webapp=1&amp;sender_device=pc</v>
      </c>
      <c r="K271" s="464" t="str">
        <f>IFERROR(__xludf.DUMMYFUNCTION("""COMPUTED_VALUE"""),"KIMME")</f>
        <v>KIMME</v>
      </c>
      <c r="L271" s="279" t="str">
        <f>IFERROR(__xludf.DUMMYFUNCTION("""COMPUTED_VALUE"""),"https://www.tiktok.com/@desymufti96/video/7617006763556080917?is_from_webapp=1&amp;sender_device=pc")</f>
        <v>https://www.tiktok.com/@desymufti96/video/7617006763556080917?is_from_webapp=1&amp;sender_device=pc</v>
      </c>
      <c r="M271" s="464" t="str">
        <f>IFERROR(__xludf.DUMMYFUNCTION("""COMPUTED_VALUE"""),"KIMME")</f>
        <v>KIMME</v>
      </c>
      <c r="N271" s="279" t="str">
        <f>IFERROR(__xludf.DUMMYFUNCTION("""COMPUTED_VALUE"""),"https://www.tiktok.com/@desymufti96/video/7617771345530670357?is_from_webapp=1&amp;sender_device=pc&amp;web_id=7611930277489657360")</f>
        <v>https://www.tiktok.com/@desymufti96/video/7617771345530670357?is_from_webapp=1&amp;sender_device=pc&amp;web_id=7611930277489657360</v>
      </c>
      <c r="O271" s="464" t="str">
        <f>IFERROR(__xludf.DUMMYFUNCTION("""COMPUTED_VALUE"""),"KIMME")</f>
        <v>KIMME</v>
      </c>
      <c r="P271" s="279" t="str">
        <f>IFERROR(__xludf.DUMMYFUNCTION("""COMPUTED_VALUE"""),"https://vt.tiktok.com/ZSHFfEueH/")</f>
        <v>https://vt.tiktok.com/ZSHFfEueH/</v>
      </c>
    </row>
    <row r="272">
      <c r="A272" s="255" t="str">
        <f>IFERROR(__xludf.DUMMYFUNCTION("""COMPUTED_VALUE"""),"MICRO")</f>
        <v>MICRO</v>
      </c>
      <c r="B272" s="361" t="str">
        <f>IFERROR(__xludf.DUMMYFUNCTION("""COMPUTED_VALUE"""),"rkmyng")</f>
        <v>rkmyng</v>
      </c>
      <c r="C272" s="257" t="str">
        <f>IFERROR(__xludf.DUMMYFUNCTION("""COMPUTED_VALUE"""),"https://www.tiktok.com/@rkmyng")</f>
        <v>https://www.tiktok.com/@rkmyng</v>
      </c>
      <c r="D272" s="270">
        <f>IFERROR(__xludf.DUMMYFUNCTION("""COMPUTED_VALUE"""),8.3121817656E10)</f>
        <v>83121817656</v>
      </c>
      <c r="E272" s="457">
        <f>IFERROR(__xludf.DUMMYFUNCTION("""COMPUTED_VALUE"""),0.0)</f>
        <v>0</v>
      </c>
      <c r="F272" s="270">
        <f>IFERROR(__xludf.DUMMYFUNCTION("""COMPUTED_VALUE"""),4.0)</f>
        <v>4</v>
      </c>
      <c r="G272" s="17" t="str">
        <f>IFERROR(__xludf.DUMMYFUNCTION("""COMPUTED_VALUE"""),"Sabun batang 1 Box ( 2 PCS )")</f>
        <v>Sabun batang 1 Box ( 2 PCS )</v>
      </c>
      <c r="H272" s="463" t="str">
        <f>IFERROR(__xludf.DUMMYFUNCTION("""COMPUTED_VALUE"""),"Sampai")</f>
        <v>Sampai</v>
      </c>
      <c r="I272" s="464" t="str">
        <f>IFERROR(__xludf.DUMMYFUNCTION("""COMPUTED_VALUE"""),"KIMME")</f>
        <v>KIMME</v>
      </c>
      <c r="J272" s="279" t="str">
        <f>IFERROR(__xludf.DUMMYFUNCTION("""COMPUTED_VALUE"""),"https://www.tiktok.com/@rkmyng/video/7617088414361341204?is_from_webapp=1&amp;sender_device=pc&amp;web_id=7611930277489657360")</f>
        <v>https://www.tiktok.com/@rkmyng/video/7617088414361341204?is_from_webapp=1&amp;sender_device=pc&amp;web_id=7611930277489657360</v>
      </c>
      <c r="K272" s="464" t="str">
        <f>IFERROR(__xludf.DUMMYFUNCTION("""COMPUTED_VALUE"""),"KIMME")</f>
        <v>KIMME</v>
      </c>
      <c r="L272" s="279" t="str">
        <f>IFERROR(__xludf.DUMMYFUNCTION("""COMPUTED_VALUE"""),"https://vt.tiktok.com/ZSHFPUKw9/")</f>
        <v>https://vt.tiktok.com/ZSHFPUKw9/</v>
      </c>
      <c r="M272" s="464" t="str">
        <f>IFERROR(__xludf.DUMMYFUNCTION("""COMPUTED_VALUE"""),"KIMME")</f>
        <v>KIMME</v>
      </c>
      <c r="N272" s="279" t="str">
        <f>IFERROR(__xludf.DUMMYFUNCTION("""COMPUTED_VALUE"""),"https://www.tiktok.com/@rkmyng/video/7629134547149491476?_d=0&amp;_r=1&amp;ec_shared_reflux_dynamic_params=%7B%22placeholder_material_id%22%3A%227629134547149491476%22%2C%22placeholder_origin_cover%22%3A%22https%253A%252F%252Fp16-common-sign.tiktokcdn.com%252Ftos"&amp;"-alisg-p-0037%252FoE8AIAiBYGB4IXw6CvQ4iVgAf5qA70ICITI8wC~tplv-tiktokx-origin.jpeg%253Fdr%253D14572%2526refresh_token%253Dec72e526%2526x-expires%253D1808204400%2526x-signature%253DG%25252BNbOvrEeGl8vtccmV83lcGSDX4%25253D%2526t%253D4d5b0474%2526ps%253D13740"&amp;"610%2526shp%253Dd05b14bd%2526shcp%253D34ff8df6%2526idc%253Dmy3%2526s%253DTIKTOK_AFFILIATE_VIRAL_VIDEO%22%2C%22placeholder_product_id%22%3A%221729427766722726591%22%2C%22placeholder_video_id%22%3A%227629134547149491476%22%7D&amp;ec_shared_reflux_scene=shop_tab"&amp;"_feed&amp;mid=7591472512833259536&amp;preview_pb=0&amp;region=&amp;share_item_id=7629134547149491476&amp;sharer_language=&amp;source=h5_t&amp;u_code=d6ekdaheggk4le")</f>
        <v>https://www.tiktok.com/@rkmyng/video/7629134547149491476?_d=0&amp;_r=1&amp;ec_shared_reflux_dynamic_params=%7B%22placeholder_material_id%22%3A%227629134547149491476%22%2C%22placeholder_origin_cover%22%3A%22https%253A%252F%252Fp16-common-sign.tiktokcdn.com%252Ftos-alisg-p-0037%252FoE8AIAiBYGB4IXw6CvQ4iVgAf5qA70ICITI8wC~tplv-tiktokx-origin.jpeg%253Fdr%253D14572%2526refresh_token%253Dec72e526%2526x-expires%253D1808204400%2526x-signature%253DG%25252BNbOvrEeGl8vtccmV83lcGSDX4%25253D%2526t%253D4d5b0474%2526ps%253D13740610%2526shp%253Dd05b14bd%2526shcp%253D34ff8df6%2526idc%253Dmy3%2526s%253DTIKTOK_AFFILIATE_VIRAL_VIDEO%22%2C%22placeholder_product_id%22%3A%221729427766722726591%22%2C%22placeholder_video_id%22%3A%227629134547149491476%22%7D&amp;ec_shared_reflux_scene=shop_tab_feed&amp;mid=7591472512833259536&amp;preview_pb=0&amp;region=&amp;share_item_id=7629134547149491476&amp;sharer_language=&amp;source=h5_t&amp;u_code=d6ekdaheggk4le</v>
      </c>
      <c r="O272" s="464"/>
      <c r="P272" s="279" t="str">
        <f>IFERROR(__xludf.DUMMYFUNCTION("""COMPUTED_VALUE"""),"https://www.tiktok.com/@rkmyng/video/7633791674107301140")</f>
        <v>https://www.tiktok.com/@rkmyng/video/7633791674107301140</v>
      </c>
    </row>
    <row r="273">
      <c r="A273" s="255" t="str">
        <f>IFERROR(__xludf.DUMMYFUNCTION("""COMPUTED_VALUE"""),"MICRO")</f>
        <v>MICRO</v>
      </c>
      <c r="B273" s="361" t="str">
        <f>IFERROR(__xludf.DUMMYFUNCTION("""COMPUTED_VALUE"""),"mamahindranadya")</f>
        <v>mamahindranadya</v>
      </c>
      <c r="C273" s="257" t="str">
        <f>IFERROR(__xludf.DUMMYFUNCTION("""COMPUTED_VALUE"""),"https://www.tiktok.com/@mamahindranadya")</f>
        <v>https://www.tiktok.com/@mamahindranadya</v>
      </c>
      <c r="D273" s="270">
        <f>IFERROR(__xludf.DUMMYFUNCTION("""COMPUTED_VALUE"""),8.5694988441E10)</f>
        <v>85694988441</v>
      </c>
      <c r="E273" s="457">
        <f>IFERROR(__xludf.DUMMYFUNCTION("""COMPUTED_VALUE"""),0.0)</f>
        <v>0</v>
      </c>
      <c r="F273" s="270">
        <f>IFERROR(__xludf.DUMMYFUNCTION("""COMPUTED_VALUE"""),2.0)</f>
        <v>2</v>
      </c>
      <c r="G273" s="17" t="str">
        <f>IFERROR(__xludf.DUMMYFUNCTION("""COMPUTED_VALUE"""),"Sabun batang 1 Box ( 2 PCS )")</f>
        <v>Sabun batang 1 Box ( 2 PCS )</v>
      </c>
      <c r="H273" s="463" t="str">
        <f>IFERROR(__xludf.DUMMYFUNCTION("""COMPUTED_VALUE"""),"Sampai")</f>
        <v>Sampai</v>
      </c>
      <c r="I273" s="464" t="str">
        <f>IFERROR(__xludf.DUMMYFUNCTION("""COMPUTED_VALUE"""),"KIMME")</f>
        <v>KIMME</v>
      </c>
      <c r="J273" s="279" t="str">
        <f>IFERROR(__xludf.DUMMYFUNCTION("""COMPUTED_VALUE"""),"https://www.tiktok.com/@reinn057/video/7606720998267899144?is_from_webapp=1&amp;sender_device=pc&amp;web_id=7611930277489657360")</f>
        <v>https://www.tiktok.com/@reinn057/video/7606720998267899144?is_from_webapp=1&amp;sender_device=pc&amp;web_id=7611930277489657360</v>
      </c>
      <c r="K273" s="464" t="str">
        <f>IFERROR(__xludf.DUMMYFUNCTION("""COMPUTED_VALUE"""),"KIMME")</f>
        <v>KIMME</v>
      </c>
      <c r="L273" s="279" t="str">
        <f>IFERROR(__xludf.DUMMYFUNCTION("""COMPUTED_VALUE"""),"https://www.tiktok.com/@reinn057/video/7606947782129159442?is_from_webapp=1&amp;sender_device=pc&amp;web_id=7611930277489657360")</f>
        <v>https://www.tiktok.com/@reinn057/video/7606947782129159442?is_from_webapp=1&amp;sender_device=pc&amp;web_id=7611930277489657360</v>
      </c>
      <c r="M273" s="464"/>
      <c r="N273" s="279" t="str">
        <f>IFERROR(__xludf.DUMMYFUNCTION("""COMPUTED_VALUE"""),"https://vt.tiktok.com/ZS9qrcH1R/")</f>
        <v>https://vt.tiktok.com/ZS9qrcH1R/</v>
      </c>
      <c r="O273" s="464"/>
      <c r="P273" s="279" t="str">
        <f>IFERROR(__xludf.DUMMYFUNCTION("""COMPUTED_VALUE"""),"https://vt.tiktok.com/ZS9qhJ82a/")</f>
        <v>https://vt.tiktok.com/ZS9qhJ82a/</v>
      </c>
    </row>
    <row r="274">
      <c r="A274" s="255" t="str">
        <f>IFERROR(__xludf.DUMMYFUNCTION("""COMPUTED_VALUE"""),"MICRO")</f>
        <v>MICRO</v>
      </c>
      <c r="B274" s="361" t="str">
        <f>IFERROR(__xludf.DUMMYFUNCTION("""COMPUTED_VALUE"""),"zrly__")</f>
        <v>zrly__</v>
      </c>
      <c r="C274" s="257" t="str">
        <f>IFERROR(__xludf.DUMMYFUNCTION("""COMPUTED_VALUE"""),"https://www.tiktok.com/@zrly__")</f>
        <v>https://www.tiktok.com/@zrly__</v>
      </c>
      <c r="D274" s="270">
        <f>IFERROR(__xludf.DUMMYFUNCTION("""COMPUTED_VALUE"""),8.5179695112E10)</f>
        <v>85179695112</v>
      </c>
      <c r="E274" s="457">
        <f>IFERROR(__xludf.DUMMYFUNCTION("""COMPUTED_VALUE"""),0.0)</f>
        <v>0</v>
      </c>
      <c r="F274" s="270">
        <f>IFERROR(__xludf.DUMMYFUNCTION("""COMPUTED_VALUE"""),4.0)</f>
        <v>4</v>
      </c>
      <c r="G274" s="17" t="str">
        <f>IFERROR(__xludf.DUMMYFUNCTION("""COMPUTED_VALUE"""),"Sabun batang 1 Box ( 2 PCS )")</f>
        <v>Sabun batang 1 Box ( 2 PCS )</v>
      </c>
      <c r="H274" s="463" t="str">
        <f>IFERROR(__xludf.DUMMYFUNCTION("""COMPUTED_VALUE"""),"Sampai")</f>
        <v>Sampai</v>
      </c>
      <c r="I274" s="464" t="str">
        <f>IFERROR(__xludf.DUMMYFUNCTION("""COMPUTED_VALUE"""),"KIMME")</f>
        <v>KIMME</v>
      </c>
      <c r="J274" s="279" t="str">
        <f>IFERROR(__xludf.DUMMYFUNCTION("""COMPUTED_VALUE"""),"https://www.tiktok.com/@zrly__/video/7625882414018989333?is_from_webapp=1&amp;sender_device=pc")</f>
        <v>https://www.tiktok.com/@zrly__/video/7625882414018989333?is_from_webapp=1&amp;sender_device=pc</v>
      </c>
      <c r="K274" s="464" t="str">
        <f>IFERROR(__xludf.DUMMYFUNCTION("""COMPUTED_VALUE"""),"KIMME")</f>
        <v>KIMME</v>
      </c>
      <c r="L274" s="279" t="str">
        <f>IFERROR(__xludf.DUMMYFUNCTION("""COMPUTED_VALUE"""),"https://www.tiktok.com/@zrly__/video/7625882276517137684?is_from_webapp=1&amp;sender_device=pc")</f>
        <v>https://www.tiktok.com/@zrly__/video/7625882276517137684?is_from_webapp=1&amp;sender_device=pc</v>
      </c>
      <c r="M274" s="464" t="str">
        <f>IFERROR(__xludf.DUMMYFUNCTION("""COMPUTED_VALUE"""),"KIMME")</f>
        <v>KIMME</v>
      </c>
      <c r="N274" s="279" t="str">
        <f>IFERROR(__xludf.DUMMYFUNCTION("""COMPUTED_VALUE"""),"https://www.tiktok.com/@zrly__/video/7626625034907405589?is_from_webapp=1&amp;sender_device=pc")</f>
        <v>https://www.tiktok.com/@zrly__/video/7626625034907405589?is_from_webapp=1&amp;sender_device=pc</v>
      </c>
      <c r="O274" s="464" t="str">
        <f>IFERROR(__xludf.DUMMYFUNCTION("""COMPUTED_VALUE"""),"KIMME")</f>
        <v>KIMME</v>
      </c>
      <c r="P274" s="279" t="str">
        <f>IFERROR(__xludf.DUMMYFUNCTION("""COMPUTED_VALUE"""),"https://www.tiktok.com/@zrly__/video/7627849724757839125")</f>
        <v>https://www.tiktok.com/@zrly__/video/7627849724757839125</v>
      </c>
    </row>
    <row r="275">
      <c r="A275" s="255" t="str">
        <f>IFERROR(__xludf.DUMMYFUNCTION("""COMPUTED_VALUE"""),"MICRO")</f>
        <v>MICRO</v>
      </c>
      <c r="B275" s="361" t="str">
        <f>IFERROR(__xludf.DUMMYFUNCTION("""COMPUTED_VALUE"""),"selly_ttania2")</f>
        <v>selly_ttania2</v>
      </c>
      <c r="C275" s="257" t="str">
        <f>IFERROR(__xludf.DUMMYFUNCTION("""COMPUTED_VALUE"""),"https://www.tiktok.com/@selly_ttania2")</f>
        <v>https://www.tiktok.com/@selly_ttania2</v>
      </c>
      <c r="D275" s="270">
        <f>IFERROR(__xludf.DUMMYFUNCTION("""COMPUTED_VALUE"""),8.5707361606E10)</f>
        <v>85707361606</v>
      </c>
      <c r="E275" s="457">
        <f>IFERROR(__xludf.DUMMYFUNCTION("""COMPUTED_VALUE"""),0.0)</f>
        <v>0</v>
      </c>
      <c r="F275" s="270">
        <f>IFERROR(__xludf.DUMMYFUNCTION("""COMPUTED_VALUE"""),4.0)</f>
        <v>4</v>
      </c>
      <c r="G275" s="17" t="str">
        <f>IFERROR(__xludf.DUMMYFUNCTION("""COMPUTED_VALUE"""),"Sabun batang 1 Box ( 2 PCS )")</f>
        <v>Sabun batang 1 Box ( 2 PCS )</v>
      </c>
      <c r="H275" s="463" t="str">
        <f>IFERROR(__xludf.DUMMYFUNCTION("""COMPUTED_VALUE"""),"Sampai")</f>
        <v>Sampai</v>
      </c>
      <c r="I275" s="464" t="str">
        <f>IFERROR(__xludf.DUMMYFUNCTION("""COMPUTED_VALUE"""),"KIMME")</f>
        <v>KIMME</v>
      </c>
      <c r="J275" s="279" t="str">
        <f>IFERROR(__xludf.DUMMYFUNCTION("""COMPUTED_VALUE"""),"https://vt.tiktok.com/ZSuqRhJXB/")</f>
        <v>https://vt.tiktok.com/ZSuqRhJXB/</v>
      </c>
      <c r="K275" s="464" t="str">
        <f>IFERROR(__xludf.DUMMYFUNCTION("""COMPUTED_VALUE"""),"KIMME")</f>
        <v>KIMME</v>
      </c>
      <c r="L275" s="279" t="str">
        <f>IFERROR(__xludf.DUMMYFUNCTION("""COMPUTED_VALUE"""),"https://vt.tiktok.com/ZSuc3Wjdg/")</f>
        <v>https://vt.tiktok.com/ZSuc3Wjdg/</v>
      </c>
      <c r="M275" s="464" t="str">
        <f>IFERROR(__xludf.DUMMYFUNCTION("""COMPUTED_VALUE"""),"KIMME")</f>
        <v>KIMME</v>
      </c>
      <c r="N275" s="279" t="str">
        <f>IFERROR(__xludf.DUMMYFUNCTION("""COMPUTED_VALUE"""),"https://vt.tiktok.com/ZSHdbDHxn/")</f>
        <v>https://vt.tiktok.com/ZSHdbDHxn/</v>
      </c>
      <c r="O275" s="464" t="str">
        <f>IFERROR(__xludf.DUMMYFUNCTION("""COMPUTED_VALUE"""),"KIMME")</f>
        <v>KIMME</v>
      </c>
      <c r="P275" s="279" t="str">
        <f>IFERROR(__xludf.DUMMYFUNCTION("""COMPUTED_VALUE"""),"https://vt.tiktok.com/ZSHPjpkyH/")</f>
        <v>https://vt.tiktok.com/ZSHPjpkyH/</v>
      </c>
    </row>
    <row r="276">
      <c r="A276" s="255" t="str">
        <f>IFERROR(__xludf.DUMMYFUNCTION("""COMPUTED_VALUE"""),"MICRO")</f>
        <v>MICRO</v>
      </c>
      <c r="B276" s="361" t="str">
        <f>IFERROR(__xludf.DUMMYFUNCTION("""COMPUTED_VALUE"""),"farizafgani")</f>
        <v>farizafgani</v>
      </c>
      <c r="C276" s="257" t="str">
        <f>IFERROR(__xludf.DUMMYFUNCTION("""COMPUTED_VALUE"""),"https://www.tiktok.com/@farizafgani")</f>
        <v>https://www.tiktok.com/@farizafgani</v>
      </c>
      <c r="D276" s="270">
        <f>IFERROR(__xludf.DUMMYFUNCTION("""COMPUTED_VALUE"""),8.1460900368E10)</f>
        <v>81460900368</v>
      </c>
      <c r="E276" s="457">
        <f>IFERROR(__xludf.DUMMYFUNCTION("""COMPUTED_VALUE"""),0.0)</f>
        <v>0</v>
      </c>
      <c r="F276" s="270">
        <f>IFERROR(__xludf.DUMMYFUNCTION("""COMPUTED_VALUE"""),4.0)</f>
        <v>4</v>
      </c>
      <c r="G276" s="17" t="str">
        <f>IFERROR(__xludf.DUMMYFUNCTION("""COMPUTED_VALUE"""),"Sabun batang 1 Box ( 2 PCS )")</f>
        <v>Sabun batang 1 Box ( 2 PCS )</v>
      </c>
      <c r="H276" s="463" t="str">
        <f>IFERROR(__xludf.DUMMYFUNCTION("""COMPUTED_VALUE"""),"Sampai")</f>
        <v>Sampai</v>
      </c>
      <c r="I276" s="464" t="str">
        <f>IFERROR(__xludf.DUMMYFUNCTION("""COMPUTED_VALUE"""),"KIMME")</f>
        <v>KIMME</v>
      </c>
      <c r="J276" s="279" t="str">
        <f>IFERROR(__xludf.DUMMYFUNCTION("""COMPUTED_VALUE"""),"https://www.tiktok.com/@farizafgani/video/7617142400993070357?is_from_webapp=1&amp;sender_device=pc&amp;web_id=7611930277489657360")</f>
        <v>https://www.tiktok.com/@farizafgani/video/7617142400993070357?is_from_webapp=1&amp;sender_device=pc&amp;web_id=7611930277489657360</v>
      </c>
      <c r="K276" s="464" t="str">
        <f>IFERROR(__xludf.DUMMYFUNCTION("""COMPUTED_VALUE"""),"KIMME")</f>
        <v>KIMME</v>
      </c>
      <c r="L276" s="279" t="str">
        <f>IFERROR(__xludf.DUMMYFUNCTION("""COMPUTED_VALUE"""),"https://www.tiktok.com/@farizafgani/video/7617497472109153557?is_from_webapp=1&amp;sender_device=pc&amp;web_id=7611930277489657360")</f>
        <v>https://www.tiktok.com/@farizafgani/video/7617497472109153557?is_from_webapp=1&amp;sender_device=pc&amp;web_id=7611930277489657360</v>
      </c>
      <c r="M276" s="464" t="str">
        <f>IFERROR(__xludf.DUMMYFUNCTION("""COMPUTED_VALUE"""),"KIMME")</f>
        <v>KIMME</v>
      </c>
      <c r="N276" s="279" t="str">
        <f>IFERROR(__xludf.DUMMYFUNCTION("""COMPUTED_VALUE"""),"https://vt.tiktok.com/ZSu3ae2KU/")</f>
        <v>https://vt.tiktok.com/ZSu3ae2KU/</v>
      </c>
      <c r="O276" s="464" t="str">
        <f>IFERROR(__xludf.DUMMYFUNCTION("""COMPUTED_VALUE"""),"KIMME")</f>
        <v>KIMME</v>
      </c>
      <c r="P276" s="279" t="str">
        <f>IFERROR(__xludf.DUMMYFUNCTION("""COMPUTED_VALUE"""),"https://vt.tiktok.com/ZSu35G4sM/")</f>
        <v>https://vt.tiktok.com/ZSu35G4sM/</v>
      </c>
    </row>
    <row r="277">
      <c r="A277" s="255" t="str">
        <f>IFERROR(__xludf.DUMMYFUNCTION("""COMPUTED_VALUE"""),"MICRO")</f>
        <v>MICRO</v>
      </c>
      <c r="B277" s="361" t="str">
        <f>IFERROR(__xludf.DUMMYFUNCTION("""COMPUTED_VALUE"""),"yullia008")</f>
        <v>yullia008</v>
      </c>
      <c r="C277" s="257" t="str">
        <f>IFERROR(__xludf.DUMMYFUNCTION("""COMPUTED_VALUE"""),"https://www.tiktok.com/@yullia008")</f>
        <v>https://www.tiktok.com/@yullia008</v>
      </c>
      <c r="D277" s="270">
        <f>IFERROR(__xludf.DUMMYFUNCTION("""COMPUTED_VALUE"""),8.1321702393E10)</f>
        <v>81321702393</v>
      </c>
      <c r="E277" s="457">
        <f>IFERROR(__xludf.DUMMYFUNCTION("""COMPUTED_VALUE"""),0.0)</f>
        <v>0</v>
      </c>
      <c r="F277" s="270">
        <f>IFERROR(__xludf.DUMMYFUNCTION("""COMPUTED_VALUE"""),4.0)</f>
        <v>4</v>
      </c>
      <c r="G277" s="17" t="str">
        <f>IFERROR(__xludf.DUMMYFUNCTION("""COMPUTED_VALUE"""),"Sabun batang 1 Box ( 2 PCS )")</f>
        <v>Sabun batang 1 Box ( 2 PCS )</v>
      </c>
      <c r="H277" s="463" t="str">
        <f>IFERROR(__xludf.DUMMYFUNCTION("""COMPUTED_VALUE"""),"Sampai")</f>
        <v>Sampai</v>
      </c>
      <c r="I277" s="464" t="str">
        <f>IFERROR(__xludf.DUMMYFUNCTION("""COMPUTED_VALUE"""),"KIMME")</f>
        <v>KIMME</v>
      </c>
      <c r="J277" s="279" t="str">
        <f>IFERROR(__xludf.DUMMYFUNCTION("""COMPUTED_VALUE"""),"https://vt.tiktok.com/ZSuTo4aCb/")</f>
        <v>https://vt.tiktok.com/ZSuTo4aCb/</v>
      </c>
      <c r="K277" s="464" t="str">
        <f>IFERROR(__xludf.DUMMYFUNCTION("""COMPUTED_VALUE"""),"KIMME")</f>
        <v>KIMME</v>
      </c>
      <c r="L277" s="279" t="str">
        <f>IFERROR(__xludf.DUMMYFUNCTION("""COMPUTED_VALUE"""),"https://vt.tiktok.com/ZSuTosJBw/")</f>
        <v>https://vt.tiktok.com/ZSuTosJBw/</v>
      </c>
      <c r="M277" s="464" t="str">
        <f>IFERROR(__xludf.DUMMYFUNCTION("""COMPUTED_VALUE"""),"KIMME")</f>
        <v>KIMME</v>
      </c>
      <c r="N277" s="279" t="str">
        <f>IFERROR(__xludf.DUMMYFUNCTION("""COMPUTED_VALUE"""),"https://vt.tiktok.com/ZSuTopDHf/")</f>
        <v>https://vt.tiktok.com/ZSuTopDHf/</v>
      </c>
      <c r="O277" s="464" t="str">
        <f>IFERROR(__xludf.DUMMYFUNCTION("""COMPUTED_VALUE"""),"KIMME")</f>
        <v>KIMME</v>
      </c>
      <c r="P277" s="279" t="str">
        <f>IFERROR(__xludf.DUMMYFUNCTION("""COMPUTED_VALUE"""),"https://vt.tiktok.com/ZSHJCd1KR/")</f>
        <v>https://vt.tiktok.com/ZSHJCd1KR/</v>
      </c>
    </row>
    <row r="278">
      <c r="A278" s="255" t="str">
        <f>IFERROR(__xludf.DUMMYFUNCTION("""COMPUTED_VALUE"""),"MICRO")</f>
        <v>MICRO</v>
      </c>
      <c r="B278" s="361" t="str">
        <f>IFERROR(__xludf.DUMMYFUNCTION("""COMPUTED_VALUE"""),"indri_murti03")</f>
        <v>indri_murti03</v>
      </c>
      <c r="C278" s="257" t="str">
        <f>IFERROR(__xludf.DUMMYFUNCTION("""COMPUTED_VALUE"""),"https://www.tiktok.com/@indri_murti03")</f>
        <v>https://www.tiktok.com/@indri_murti03</v>
      </c>
      <c r="D278" s="270">
        <f>IFERROR(__xludf.DUMMYFUNCTION("""COMPUTED_VALUE"""),8.7735183616E10)</f>
        <v>87735183616</v>
      </c>
      <c r="E278" s="457">
        <f>IFERROR(__xludf.DUMMYFUNCTION("""COMPUTED_VALUE"""),0.0)</f>
        <v>0</v>
      </c>
      <c r="F278" s="270">
        <f>IFERROR(__xludf.DUMMYFUNCTION("""COMPUTED_VALUE"""),4.0)</f>
        <v>4</v>
      </c>
      <c r="G278" s="17" t="str">
        <f>IFERROR(__xludf.DUMMYFUNCTION("""COMPUTED_VALUE"""),"Sabun batang 1 Box ( 2 PCS )")</f>
        <v>Sabun batang 1 Box ( 2 PCS )</v>
      </c>
      <c r="H278" s="463" t="str">
        <f>IFERROR(__xludf.DUMMYFUNCTION("""COMPUTED_VALUE"""),"Sampai")</f>
        <v>Sampai</v>
      </c>
      <c r="I278" s="464" t="str">
        <f>IFERROR(__xludf.DUMMYFUNCTION("""COMPUTED_VALUE"""),"KIMME")</f>
        <v>KIMME</v>
      </c>
      <c r="J278" s="279" t="str">
        <f>IFERROR(__xludf.DUMMYFUNCTION("""COMPUTED_VALUE"""),"https://vt.tiktok.com/ZSuKpvHEA/")</f>
        <v>https://vt.tiktok.com/ZSuKpvHEA/</v>
      </c>
      <c r="K278" s="464" t="str">
        <f>IFERROR(__xludf.DUMMYFUNCTION("""COMPUTED_VALUE"""),"KIMME")</f>
        <v>KIMME</v>
      </c>
      <c r="L278" s="279" t="str">
        <f>IFERROR(__xludf.DUMMYFUNCTION("""COMPUTED_VALUE"""),"https://www.tiktok.com/@indri_murti03/video/7628897022346530069")</f>
        <v>https://www.tiktok.com/@indri_murti03/video/7628897022346530069</v>
      </c>
      <c r="M278" s="464" t="str">
        <f>IFERROR(__xludf.DUMMYFUNCTION("""COMPUTED_VALUE"""),"KIMME")</f>
        <v>KIMME</v>
      </c>
      <c r="N278" s="279" t="str">
        <f>IFERROR(__xludf.DUMMYFUNCTION("""COMPUTED_VALUE"""),"https://www.tiktok.com/@indri_murti03/video/7621661591330721045")</f>
        <v>https://www.tiktok.com/@indri_murti03/video/7621661591330721045</v>
      </c>
      <c r="O278" s="464"/>
      <c r="P278" s="17" t="str">
        <f>IFERROR(__xludf.DUMMYFUNCTION("""COMPUTED_VALUE"""),"⁠https://vt.tiktok.com/ZS9gMQYGX/")</f>
        <v>⁠https://vt.tiktok.com/ZS9gMQYGX/</v>
      </c>
    </row>
    <row r="279">
      <c r="A279" s="255" t="str">
        <f>IFERROR(__xludf.DUMMYFUNCTION("""COMPUTED_VALUE"""),"MICRO")</f>
        <v>MICRO</v>
      </c>
      <c r="B279" s="361" t="str">
        <f>IFERROR(__xludf.DUMMYFUNCTION("""COMPUTED_VALUE"""),"hai_cha_yank")</f>
        <v>hai_cha_yank</v>
      </c>
      <c r="C279" s="257" t="str">
        <f>IFERROR(__xludf.DUMMYFUNCTION("""COMPUTED_VALUE"""),"https://www.tiktok.com/@hai_cha_yank")</f>
        <v>https://www.tiktok.com/@hai_cha_yank</v>
      </c>
      <c r="D279" s="270">
        <f>IFERROR(__xludf.DUMMYFUNCTION("""COMPUTED_VALUE"""),8.950637105E10)</f>
        <v>89506371050</v>
      </c>
      <c r="E279" s="457">
        <f>IFERROR(__xludf.DUMMYFUNCTION("""COMPUTED_VALUE"""),0.0)</f>
        <v>0</v>
      </c>
      <c r="F279" s="270">
        <f>IFERROR(__xludf.DUMMYFUNCTION("""COMPUTED_VALUE"""),2.0)</f>
        <v>2</v>
      </c>
      <c r="G279" s="17" t="str">
        <f>IFERROR(__xludf.DUMMYFUNCTION("""COMPUTED_VALUE"""),"Sabun batang 1 Box ( 2 PCS )")</f>
        <v>Sabun batang 1 Box ( 2 PCS )</v>
      </c>
      <c r="H279" s="463" t="str">
        <f>IFERROR(__xludf.DUMMYFUNCTION("""COMPUTED_VALUE"""),"Sampai")</f>
        <v>Sampai</v>
      </c>
      <c r="I279" s="464" t="str">
        <f>IFERROR(__xludf.DUMMYFUNCTION("""COMPUTED_VALUE"""),"KIMME")</f>
        <v>KIMME</v>
      </c>
      <c r="J279" s="279" t="str">
        <f>IFERROR(__xludf.DUMMYFUNCTION("""COMPUTED_VALUE"""),"https://vt.tiktok.com/ZSHAmCTuv/")</f>
        <v>https://vt.tiktok.com/ZSHAmCTuv/</v>
      </c>
      <c r="K279" s="464" t="str">
        <f>IFERROR(__xludf.DUMMYFUNCTION("""COMPUTED_VALUE"""),"KIMME")</f>
        <v>KIMME</v>
      </c>
      <c r="L279" s="279" t="str">
        <f>IFERROR(__xludf.DUMMYFUNCTION("""COMPUTED_VALUE"""),"https://www.tiktok.com/@outfitce_/video/7624876528345566484?_r=1&amp;u_code=e0898kg4gbb4c7&amp;region=&amp;mid=7600640437279984404&amp;preview_pb=0&amp;sharer_language=&amp;_d=0&amp;ec_shared_reflux_dynamic_params=%7B%22placeholder_material_id%22%3A%227624876528345566484%22%2C%22pla"&amp;"ceholder_origin_cover%22%3A%22https%253A%252F%252Fp16-sign-sg.tiktokcdn.com%252Ftos-alisg-p-0037%252FoMxBQCqB0AA0iWQiiHNItAIjCAkRf6pw3IINji~tplv-tiktokx-origin.jpeg%253Fdr%253D14572%2526refresh_token%253D27c9dcdf%2526x-expires%253D1807070400%2526x-signatu"&amp;"re%253DMUvp%25252Fk3DVy4%25252Fk%25252B3Bh%25252F2gzJV5tTU%25253D%2526t%253D4d5b0474%2526ps%253D13740610%2526shp%253Dd05b14bd%2526shcp%253D34ff8df6%2526idc%253Dmy2%2526s%253DTIKTOK_AFFILIATE_VIRAL_VIDEO%22%2C%22placeholder_product_id%22%3A%221729427766722"&amp;"726591%22%2C%22placeholder_video_id%22%3A%227624876528345566484%22%7D&amp;ec_shared_reflux_scene=shop_tab_feed&amp;share_item_id=7624876528345566484&amp;source=h5_t")</f>
        <v>https://www.tiktok.com/@outfitce_/video/7624876528345566484?_r=1&amp;u_code=e0898kg4gbb4c7&amp;region=&amp;mid=7600640437279984404&amp;preview_pb=0&amp;sharer_language=&amp;_d=0&amp;ec_shared_reflux_dynamic_params=%7B%22placeholder_material_id%22%3A%227624876528345566484%22%2C%22placeholder_origin_cover%22%3A%22https%253A%252F%252Fp16-sign-sg.tiktokcdn.com%252Ftos-alisg-p-0037%252FoMxBQCqB0AA0iWQiiHNItAIjCAkRf6pw3IINji~tplv-tiktokx-origin.jpeg%253Fdr%253D14572%2526refresh_token%253D27c9dcdf%2526x-expires%253D1807070400%2526x-signature%253DMUvp%25252Fk3DVy4%25252Fk%25252B3Bh%25252F2gzJV5tTU%25253D%2526t%253D4d5b0474%2526ps%253D13740610%2526shp%253Dd05b14bd%2526shcp%253D34ff8df6%2526idc%253Dmy2%2526s%253DTIKTOK_AFFILIATE_VIRAL_VIDEO%22%2C%22placeholder_product_id%22%3A%221729427766722726591%22%2C%22placeholder_video_id%22%3A%227624876528345566484%22%7D&amp;ec_shared_reflux_scene=shop_tab_feed&amp;share_item_id=7624876528345566484&amp;source=h5_t</v>
      </c>
      <c r="M279" s="464"/>
      <c r="N279" s="17" t="str">
        <f>IFERROR(__xludf.DUMMYFUNCTION("""COMPUTED_VALUE"""),"⁠https://vt.tiktok.com/ZS9gMwBgN/")</f>
        <v>⁠https://vt.tiktok.com/ZS9gMwBgN/</v>
      </c>
      <c r="O279" s="464"/>
      <c r="P279" s="17" t="str">
        <f>IFERROR(__xludf.DUMMYFUNCTION("""COMPUTED_VALUE"""),"⁠https://vt.tiktok.com/ZS9gMhr97/")</f>
        <v>⁠https://vt.tiktok.com/ZS9gMhr97/</v>
      </c>
    </row>
    <row r="280">
      <c r="A280" s="255" t="str">
        <f>IFERROR(__xludf.DUMMYFUNCTION("""COMPUTED_VALUE"""),"MICRO")</f>
        <v>MICRO</v>
      </c>
      <c r="B280" s="361" t="str">
        <f>IFERROR(__xludf.DUMMYFUNCTION("""COMPUTED_VALUE"""),"namakurahasie")</f>
        <v>namakurahasie</v>
      </c>
      <c r="C280" s="257" t="str">
        <f>IFERROR(__xludf.DUMMYFUNCTION("""COMPUTED_VALUE"""),"https://www.tiktok.com/@namakurahasie")</f>
        <v>https://www.tiktok.com/@namakurahasie</v>
      </c>
      <c r="D280" s="270">
        <f>IFERROR(__xludf.DUMMYFUNCTION("""COMPUTED_VALUE"""),8.2378966E10)</f>
        <v>82378966000</v>
      </c>
      <c r="E280" s="457">
        <f>IFERROR(__xludf.DUMMYFUNCTION("""COMPUTED_VALUE"""),0.0)</f>
        <v>0</v>
      </c>
      <c r="F280" s="270">
        <f>IFERROR(__xludf.DUMMYFUNCTION("""COMPUTED_VALUE"""),4.0)</f>
        <v>4</v>
      </c>
      <c r="G280" s="17" t="str">
        <f>IFERROR(__xludf.DUMMYFUNCTION("""COMPUTED_VALUE"""),"Sabun batang 1 Box ( 2 PCS )")</f>
        <v>Sabun batang 1 Box ( 2 PCS )</v>
      </c>
      <c r="H280" s="463" t="str">
        <f>IFERROR(__xludf.DUMMYFUNCTION("""COMPUTED_VALUE"""),"Sampai")</f>
        <v>Sampai</v>
      </c>
      <c r="I280" s="464" t="str">
        <f>IFERROR(__xludf.DUMMYFUNCTION("""COMPUTED_VALUE"""),"KIMME")</f>
        <v>KIMME</v>
      </c>
      <c r="J280" s="279" t="str">
        <f>IFERROR(__xludf.DUMMYFUNCTION("""COMPUTED_VALUE"""),"https://vt.tiktok.com/ZSucWmxtW/")</f>
        <v>https://vt.tiktok.com/ZSucWmxtW/</v>
      </c>
      <c r="K280" s="464" t="str">
        <f>IFERROR(__xludf.DUMMYFUNCTION("""COMPUTED_VALUE"""),"KIMME")</f>
        <v>KIMME</v>
      </c>
      <c r="L280" s="279" t="str">
        <f>IFERROR(__xludf.DUMMYFUNCTION("""COMPUTED_VALUE"""),"https://vt.tiktok.com/ZSHF5dh5m/")</f>
        <v>https://vt.tiktok.com/ZSHF5dh5m/</v>
      </c>
      <c r="M280" s="464" t="str">
        <f>IFERROR(__xludf.DUMMYFUNCTION("""COMPUTED_VALUE"""),"KIMME")</f>
        <v>KIMME</v>
      </c>
      <c r="N280" s="279" t="str">
        <f>IFERROR(__xludf.DUMMYFUNCTION("""COMPUTED_VALUE"""),"https://vt.tiktok.com/ZSHsj9tkB/")</f>
        <v>https://vt.tiktok.com/ZSHsj9tkB/</v>
      </c>
      <c r="O280" s="464" t="str">
        <f>IFERROR(__xludf.DUMMYFUNCTION("""COMPUTED_VALUE"""),"KIMME")</f>
        <v>KIMME</v>
      </c>
      <c r="P280" s="279" t="str">
        <f>IFERROR(__xludf.DUMMYFUNCTION("""COMPUTED_VALUE"""),"https://vt.tiktok.com/ZSHsjAkP5/")</f>
        <v>https://vt.tiktok.com/ZSHsjAkP5/</v>
      </c>
    </row>
    <row r="281">
      <c r="A281" s="255" t="str">
        <f>IFERROR(__xludf.DUMMYFUNCTION("""COMPUTED_VALUE"""),"MICRO")</f>
        <v>MICRO</v>
      </c>
      <c r="B281" s="361" t="str">
        <f>IFERROR(__xludf.DUMMYFUNCTION("""COMPUTED_VALUE"""),"suksesshop7")</f>
        <v>suksesshop7</v>
      </c>
      <c r="C281" s="257" t="str">
        <f>IFERROR(__xludf.DUMMYFUNCTION("""COMPUTED_VALUE"""),"https://www.tiktok.com/@suksesshop7")</f>
        <v>https://www.tiktok.com/@suksesshop7</v>
      </c>
      <c r="D281" s="270">
        <f>IFERROR(__xludf.DUMMYFUNCTION("""COMPUTED_VALUE"""),8.9612359322E10)</f>
        <v>89612359322</v>
      </c>
      <c r="E281" s="457">
        <f>IFERROR(__xludf.DUMMYFUNCTION("""COMPUTED_VALUE"""),0.0)</f>
        <v>0</v>
      </c>
      <c r="F281" s="270">
        <f>IFERROR(__xludf.DUMMYFUNCTION("""COMPUTED_VALUE"""),2.0)</f>
        <v>2</v>
      </c>
      <c r="G281" s="17" t="str">
        <f>IFERROR(__xludf.DUMMYFUNCTION("""COMPUTED_VALUE"""),"Sabun batang 1 Box ( 2 PCS )")</f>
        <v>Sabun batang 1 Box ( 2 PCS )</v>
      </c>
      <c r="H281" s="463" t="str">
        <f>IFERROR(__xludf.DUMMYFUNCTION("""COMPUTED_VALUE"""),"Sampai")</f>
        <v>Sampai</v>
      </c>
      <c r="I281" s="464" t="str">
        <f>IFERROR(__xludf.DUMMYFUNCTION("""COMPUTED_VALUE"""),"KIMME")</f>
        <v>KIMME</v>
      </c>
      <c r="J281" s="279" t="str">
        <f>IFERROR(__xludf.DUMMYFUNCTION("""COMPUTED_VALUE"""),"https://www.tiktok.com/@suksesshop7/video/7633498684151368967")</f>
        <v>https://www.tiktok.com/@suksesshop7/video/7633498684151368967</v>
      </c>
      <c r="K281" s="464" t="str">
        <f>IFERROR(__xludf.DUMMYFUNCTION("""COMPUTED_VALUE"""),"KIMME")</f>
        <v>KIMME</v>
      </c>
      <c r="L281" s="279" t="str">
        <f>IFERROR(__xludf.DUMMYFUNCTION("""COMPUTED_VALUE"""),"https://vt.tiktok.com/ZS9SfDjV2/")</f>
        <v>https://vt.tiktok.com/ZS9SfDjV2/</v>
      </c>
      <c r="M281" s="464"/>
      <c r="N281" s="279" t="str">
        <f>IFERROR(__xludf.DUMMYFUNCTION("""COMPUTED_VALUE"""),"https://vt.tiktok.com/ZS99CHNe3/")</f>
        <v>https://vt.tiktok.com/ZS99CHNe3/</v>
      </c>
      <c r="O281" s="464"/>
      <c r="P281" s="17" t="str">
        <f>IFERROR(__xludf.DUMMYFUNCTION("""COMPUTED_VALUE"""),"⁠https://vt.tiktok.com/ZS9gMXCKL/")</f>
        <v>⁠https://vt.tiktok.com/ZS9gMXCKL/</v>
      </c>
    </row>
    <row r="282">
      <c r="A282" s="255" t="str">
        <f>IFERROR(__xludf.DUMMYFUNCTION("""COMPUTED_VALUE"""),"MICRO")</f>
        <v>MICRO</v>
      </c>
      <c r="B282" s="361" t="str">
        <f>IFERROR(__xludf.DUMMYFUNCTION("""COMPUTED_VALUE"""),"tyaa0508")</f>
        <v>tyaa0508</v>
      </c>
      <c r="C282" s="257" t="str">
        <f>IFERROR(__xludf.DUMMYFUNCTION("""COMPUTED_VALUE"""),"https://www.tiktok.com/@tyaa0508")</f>
        <v>https://www.tiktok.com/@tyaa0508</v>
      </c>
      <c r="D282" s="270">
        <f>IFERROR(__xludf.DUMMYFUNCTION("""COMPUTED_VALUE"""),8.2370311113E10)</f>
        <v>82370311113</v>
      </c>
      <c r="E282" s="457">
        <f>IFERROR(__xludf.DUMMYFUNCTION("""COMPUTED_VALUE"""),50000.0)</f>
        <v>50000</v>
      </c>
      <c r="F282" s="270">
        <f>IFERROR(__xludf.DUMMYFUNCTION("""COMPUTED_VALUE"""),4.0)</f>
        <v>4</v>
      </c>
      <c r="G282" s="17" t="str">
        <f>IFERROR(__xludf.DUMMYFUNCTION("""COMPUTED_VALUE"""),"Sabun batang 1 Box ( 2 PCS )")</f>
        <v>Sabun batang 1 Box ( 2 PCS )</v>
      </c>
      <c r="H282" s="463" t="str">
        <f>IFERROR(__xludf.DUMMYFUNCTION("""COMPUTED_VALUE"""),"Sampai")</f>
        <v>Sampai</v>
      </c>
      <c r="I282" s="464" t="str">
        <f>IFERROR(__xludf.DUMMYFUNCTION("""COMPUTED_VALUE"""),"KIMME")</f>
        <v>KIMME</v>
      </c>
      <c r="J282" s="279" t="str">
        <f>IFERROR(__xludf.DUMMYFUNCTION("""COMPUTED_VALUE"""),"https://www.tiktok.com/@tyaa0508/video/7615610011871579413?is_from_webapp=1&amp;sender_device=pc&amp;web_id=7611930277489657360")</f>
        <v>https://www.tiktok.com/@tyaa0508/video/7615610011871579413?is_from_webapp=1&amp;sender_device=pc&amp;web_id=7611930277489657360</v>
      </c>
      <c r="K282" s="464" t="str">
        <f>IFERROR(__xludf.DUMMYFUNCTION("""COMPUTED_VALUE"""),"KIMME")</f>
        <v>KIMME</v>
      </c>
      <c r="L282" s="279" t="str">
        <f>IFERROR(__xludf.DUMMYFUNCTION("""COMPUTED_VALUE"""),"https://vt.tiktok.com/ZSuTpm231/")</f>
        <v>https://vt.tiktok.com/ZSuTpm231/</v>
      </c>
      <c r="M282" s="464" t="str">
        <f>IFERROR(__xludf.DUMMYFUNCTION("""COMPUTED_VALUE"""),"KIMME")</f>
        <v>KIMME</v>
      </c>
      <c r="N282" s="279" t="str">
        <f>IFERROR(__xludf.DUMMYFUNCTION("""COMPUTED_VALUE"""),"https://vt.tiktok.com/ZSuTpnQjx/")</f>
        <v>https://vt.tiktok.com/ZSuTpnQjx/</v>
      </c>
      <c r="O282" s="464" t="str">
        <f>IFERROR(__xludf.DUMMYFUNCTION("""COMPUTED_VALUE"""),"KIMME")</f>
        <v>KIMME</v>
      </c>
      <c r="P282" s="279" t="str">
        <f>IFERROR(__xludf.DUMMYFUNCTION("""COMPUTED_VALUE"""),"https://vt.tiktok.com/ZSuTpf4JK/")</f>
        <v>https://vt.tiktok.com/ZSuTpf4JK/</v>
      </c>
    </row>
    <row r="283">
      <c r="A283" s="255" t="str">
        <f>IFERROR(__xludf.DUMMYFUNCTION("""COMPUTED_VALUE"""),"MICRO")</f>
        <v>MICRO</v>
      </c>
      <c r="B283" s="361" t="str">
        <f>IFERROR(__xludf.DUMMYFUNCTION("""COMPUTED_VALUE"""),"imaawhn")</f>
        <v>imaawhn</v>
      </c>
      <c r="C283" s="257" t="str">
        <f>IFERROR(__xludf.DUMMYFUNCTION("""COMPUTED_VALUE"""),"https://www.tiktok.com/@imaawhn")</f>
        <v>https://www.tiktok.com/@imaawhn</v>
      </c>
      <c r="D283" s="270">
        <f>IFERROR(__xludf.DUMMYFUNCTION("""COMPUTED_VALUE"""),8.2214751087E10)</f>
        <v>82214751087</v>
      </c>
      <c r="E283" s="457">
        <f>IFERROR(__xludf.DUMMYFUNCTION("""COMPUTED_VALUE"""),750000.0)</f>
        <v>750000</v>
      </c>
      <c r="F283" s="270">
        <f>IFERROR(__xludf.DUMMYFUNCTION("""COMPUTED_VALUE"""),4.0)</f>
        <v>4</v>
      </c>
      <c r="G283" s="17" t="str">
        <f>IFERROR(__xludf.DUMMYFUNCTION("""COMPUTED_VALUE"""),"Sabun batang 1 Box ( 2 PCS )")</f>
        <v>Sabun batang 1 Box ( 2 PCS )</v>
      </c>
      <c r="H283" s="463" t="str">
        <f>IFERROR(__xludf.DUMMYFUNCTION("""COMPUTED_VALUE"""),"Sampai")</f>
        <v>Sampai</v>
      </c>
      <c r="I283" s="464" t="str">
        <f>IFERROR(__xludf.DUMMYFUNCTION("""COMPUTED_VALUE"""),"KIMME")</f>
        <v>KIMME</v>
      </c>
      <c r="J283" s="279" t="str">
        <f>IFERROR(__xludf.DUMMYFUNCTION("""COMPUTED_VALUE"""),"https://vt.tiktok.com/ZSHFP3VCG/")</f>
        <v>https://vt.tiktok.com/ZSHFP3VCG/</v>
      </c>
      <c r="K283" s="464" t="str">
        <f>IFERROR(__xludf.DUMMYFUNCTION("""COMPUTED_VALUE"""),"KIMME")</f>
        <v>KIMME</v>
      </c>
      <c r="L283" s="279" t="str">
        <f>IFERROR(__xludf.DUMMYFUNCTION("""COMPUTED_VALUE"""),"https://www.tiktok.com/@imaawhn/video/7628866399536008469")</f>
        <v>https://www.tiktok.com/@imaawhn/video/7628866399536008469</v>
      </c>
      <c r="M283" s="464" t="str">
        <f>IFERROR(__xludf.DUMMYFUNCTION("""COMPUTED_VALUE"""),"KIMME")</f>
        <v>KIMME</v>
      </c>
      <c r="N283" s="279" t="str">
        <f>IFERROR(__xludf.DUMMYFUNCTION("""COMPUTED_VALUE"""),"https://www.tiktok.com/@imaawhn/video/7624011077583473940")</f>
        <v>https://www.tiktok.com/@imaawhn/video/7624011077583473940</v>
      </c>
      <c r="O283" s="464" t="str">
        <f>IFERROR(__xludf.DUMMYFUNCTION("""COMPUTED_VALUE"""),"KIMME")</f>
        <v>KIMME</v>
      </c>
      <c r="P283" s="279" t="str">
        <f>IFERROR(__xludf.DUMMYFUNCTION("""COMPUTED_VALUE"""),"https://www.tiktok.com/@imaawhn/video/7621586103400713492")</f>
        <v>https://www.tiktok.com/@imaawhn/video/7621586103400713492</v>
      </c>
    </row>
    <row r="284">
      <c r="A284" s="255" t="str">
        <f>IFERROR(__xludf.DUMMYFUNCTION("""COMPUTED_VALUE"""),"MICRO")</f>
        <v>MICRO</v>
      </c>
      <c r="B284" s="361" t="str">
        <f>IFERROR(__xludf.DUMMYFUNCTION("""COMPUTED_VALUE"""),"babydew2")</f>
        <v>babydew2</v>
      </c>
      <c r="C284" s="257" t="str">
        <f>IFERROR(__xludf.DUMMYFUNCTION("""COMPUTED_VALUE"""),"https://www.tiktok.com/@babydew2")</f>
        <v>https://www.tiktok.com/@babydew2</v>
      </c>
      <c r="D284" s="270">
        <f>IFERROR(__xludf.DUMMYFUNCTION("""COMPUTED_VALUE"""),8.7784818598E10)</f>
        <v>87784818598</v>
      </c>
      <c r="E284" s="457">
        <f>IFERROR(__xludf.DUMMYFUNCTION("""COMPUTED_VALUE"""),0.0)</f>
        <v>0</v>
      </c>
      <c r="F284" s="270">
        <f>IFERROR(__xludf.DUMMYFUNCTION("""COMPUTED_VALUE"""),1.0)</f>
        <v>1</v>
      </c>
      <c r="G284" s="17" t="str">
        <f>IFERROR(__xludf.DUMMYFUNCTION("""COMPUTED_VALUE"""),"Sabun batang 1 Box ( 2 PCS )")</f>
        <v>Sabun batang 1 Box ( 2 PCS )</v>
      </c>
      <c r="H284" s="463" t="str">
        <f>IFERROR(__xludf.DUMMYFUNCTION("""COMPUTED_VALUE"""),"Sampai")</f>
        <v>Sampai</v>
      </c>
      <c r="I284" s="464" t="str">
        <f>IFERROR(__xludf.DUMMYFUNCTION("""COMPUTED_VALUE"""),"KIMME")</f>
        <v>KIMME</v>
      </c>
      <c r="J284" s="17" t="str">
        <f>IFERROR(__xludf.DUMMYFUNCTION("""COMPUTED_VALUE"""),"⁠https://vt.tiktok.com/ZSHAmUtHj/")</f>
        <v>⁠https://vt.tiktok.com/ZSHAmUtHj/</v>
      </c>
      <c r="K284" s="464" t="str">
        <f>IFERROR(__xludf.DUMMYFUNCTION("""COMPUTED_VALUE"""),"KIMME")</f>
        <v>KIMME</v>
      </c>
      <c r="L284" s="279" t="str">
        <f>IFERROR(__xludf.DUMMYFUNCTION("""COMPUTED_VALUE"""),"https://vt.tiktok.com/ZS9qrTfPy/")</f>
        <v>https://vt.tiktok.com/ZS9qrTfPy/</v>
      </c>
      <c r="M284" s="464"/>
      <c r="N284" s="17" t="str">
        <f>IFERROR(__xludf.DUMMYFUNCTION("""COMPUTED_VALUE"""),"⁠https://vt.tiktok.com/ZS9gr8QjH/")</f>
        <v>⁠https://vt.tiktok.com/ZS9gr8QjH/</v>
      </c>
      <c r="O284" s="464"/>
      <c r="P284" s="17" t="str">
        <f>IFERROR(__xludf.DUMMYFUNCTION("""COMPUTED_VALUE"""),"⁠https://vt.tiktok.com/ZS9gMmtnw/")</f>
        <v>⁠https://vt.tiktok.com/ZS9gMmtnw/</v>
      </c>
    </row>
    <row r="285">
      <c r="A285" s="255" t="str">
        <f>IFERROR(__xludf.DUMMYFUNCTION("""COMPUTED_VALUE"""),"MICRO")</f>
        <v>MICRO</v>
      </c>
      <c r="B285" s="361" t="str">
        <f>IFERROR(__xludf.DUMMYFUNCTION("""COMPUTED_VALUE"""),"zahra_store33")</f>
        <v>zahra_store33</v>
      </c>
      <c r="C285" s="257" t="str">
        <f>IFERROR(__xludf.DUMMYFUNCTION("""COMPUTED_VALUE"""),"https://www.tiktok.com/@zahra_store33")</f>
        <v>https://www.tiktok.com/@zahra_store33</v>
      </c>
      <c r="D285" s="270">
        <f>IFERROR(__xludf.DUMMYFUNCTION("""COMPUTED_VALUE"""),8.389899904E10)</f>
        <v>83898999040</v>
      </c>
      <c r="E285" s="457">
        <f>IFERROR(__xludf.DUMMYFUNCTION("""COMPUTED_VALUE"""),50000.0)</f>
        <v>50000</v>
      </c>
      <c r="F285" s="270">
        <f>IFERROR(__xludf.DUMMYFUNCTION("""COMPUTED_VALUE"""),4.0)</f>
        <v>4</v>
      </c>
      <c r="G285" s="17" t="str">
        <f>IFERROR(__xludf.DUMMYFUNCTION("""COMPUTED_VALUE"""),"Sabun batang 1 Box ( 2 PCS )")</f>
        <v>Sabun batang 1 Box ( 2 PCS )</v>
      </c>
      <c r="H285" s="463" t="str">
        <f>IFERROR(__xludf.DUMMYFUNCTION("""COMPUTED_VALUE"""),"Sampai")</f>
        <v>Sampai</v>
      </c>
      <c r="I285" s="464" t="str">
        <f>IFERROR(__xludf.DUMMYFUNCTION("""COMPUTED_VALUE"""),"KIMME")</f>
        <v>KIMME</v>
      </c>
      <c r="J285" s="279" t="str">
        <f>IFERROR(__xludf.DUMMYFUNCTION("""COMPUTED_VALUE"""),"https://vt.tiktok.com/ZSHPdfNN4/")</f>
        <v>https://vt.tiktok.com/ZSHPdfNN4/</v>
      </c>
      <c r="K285" s="464" t="str">
        <f>IFERROR(__xludf.DUMMYFUNCTION("""COMPUTED_VALUE"""),"KIMME")</f>
        <v>KIMME</v>
      </c>
      <c r="L285" s="279" t="str">
        <f>IFERROR(__xludf.DUMMYFUNCTION("""COMPUTED_VALUE"""),"https://vt.tiktok.com/ZSHPdXSdf/")</f>
        <v>https://vt.tiktok.com/ZSHPdXSdf/</v>
      </c>
      <c r="M285" s="464" t="str">
        <f>IFERROR(__xludf.DUMMYFUNCTION("""COMPUTED_VALUE"""),"KIMME")</f>
        <v>KIMME</v>
      </c>
      <c r="N285" s="279" t="str">
        <f>IFERROR(__xludf.DUMMYFUNCTION("""COMPUTED_VALUE"""),"https://vt.tiktok.com/ZSHPdqpKA/")</f>
        <v>https://vt.tiktok.com/ZSHPdqpKA/</v>
      </c>
      <c r="O285" s="464" t="str">
        <f>IFERROR(__xludf.DUMMYFUNCTION("""COMPUTED_VALUE"""),"KIMME")</f>
        <v>KIMME</v>
      </c>
      <c r="P285" s="279" t="str">
        <f>IFERROR(__xludf.DUMMYFUNCTION("""COMPUTED_VALUE"""),"https://vt.tiktok.com/ZSHPR2tLL/")</f>
        <v>https://vt.tiktok.com/ZSHPR2tLL/</v>
      </c>
    </row>
    <row r="286">
      <c r="A286" s="255" t="str">
        <f>IFERROR(__xludf.DUMMYFUNCTION("""COMPUTED_VALUE"""),"MICRO")</f>
        <v>MICRO</v>
      </c>
      <c r="B286" s="361" t="str">
        <f>IFERROR(__xludf.DUMMYFUNCTION("""COMPUTED_VALUE"""),"racun.aprillia")</f>
        <v>racun.aprillia</v>
      </c>
      <c r="C286" s="257" t="str">
        <f>IFERROR(__xludf.DUMMYFUNCTION("""COMPUTED_VALUE"""),"https://www.tiktok.com/@racun.aprillia")</f>
        <v>https://www.tiktok.com/@racun.aprillia</v>
      </c>
      <c r="D286" s="270">
        <f>IFERROR(__xludf.DUMMYFUNCTION("""COMPUTED_VALUE"""),8.1278659244E10)</f>
        <v>81278659244</v>
      </c>
      <c r="E286" s="457">
        <f>IFERROR(__xludf.DUMMYFUNCTION("""COMPUTED_VALUE"""),0.0)</f>
        <v>0</v>
      </c>
      <c r="F286" s="270">
        <f>IFERROR(__xludf.DUMMYFUNCTION("""COMPUTED_VALUE"""),4.0)</f>
        <v>4</v>
      </c>
      <c r="G286" s="17" t="str">
        <f>IFERROR(__xludf.DUMMYFUNCTION("""COMPUTED_VALUE"""),"Sabun batang 1 Box ( 2 PCS )")</f>
        <v>Sabun batang 1 Box ( 2 PCS )</v>
      </c>
      <c r="H286" s="463" t="str">
        <f>IFERROR(__xludf.DUMMYFUNCTION("""COMPUTED_VALUE"""),"Sampai")</f>
        <v>Sampai</v>
      </c>
      <c r="I286" s="464" t="str">
        <f>IFERROR(__xludf.DUMMYFUNCTION("""COMPUTED_VALUE"""),"KIMME")</f>
        <v>KIMME</v>
      </c>
      <c r="J286" s="279" t="str">
        <f>IFERROR(__xludf.DUMMYFUNCTION("""COMPUTED_VALUE"""),"https://vt.tiktok.com/ZSHy3jhbj/")</f>
        <v>https://vt.tiktok.com/ZSHy3jhbj/</v>
      </c>
      <c r="K286" s="464" t="str">
        <f>IFERROR(__xludf.DUMMYFUNCTION("""COMPUTED_VALUE"""),"KIMME")</f>
        <v>KIMME</v>
      </c>
      <c r="L286" s="279" t="str">
        <f>IFERROR(__xludf.DUMMYFUNCTION("""COMPUTED_VALUE"""),"https://vt.tiktok.com/ZSuCgAKLW/")</f>
        <v>https://vt.tiktok.com/ZSuCgAKLW/</v>
      </c>
      <c r="M286" s="464" t="str">
        <f>IFERROR(__xludf.DUMMYFUNCTION("""COMPUTED_VALUE"""),"KIMME")</f>
        <v>KIMME</v>
      </c>
      <c r="N286" s="279" t="str">
        <f>IFERROR(__xludf.DUMMYFUNCTION("""COMPUTED_VALUE"""),"https://vt.tiktok.com/ZSuVyeo3Y/")</f>
        <v>https://vt.tiktok.com/ZSuVyeo3Y/</v>
      </c>
      <c r="O286" s="464" t="str">
        <f>IFERROR(__xludf.DUMMYFUNCTION("""COMPUTED_VALUE"""),"KIMME")</f>
        <v>KIMME</v>
      </c>
      <c r="P286" s="279" t="str">
        <f>IFERROR(__xludf.DUMMYFUNCTION("""COMPUTED_VALUE"""),"https://vt.tiktok.com/ZSHYjknLP/")</f>
        <v>https://vt.tiktok.com/ZSHYjknLP/</v>
      </c>
    </row>
    <row r="287">
      <c r="A287" s="255" t="str">
        <f>IFERROR(__xludf.DUMMYFUNCTION("""COMPUTED_VALUE"""),"MICRO")</f>
        <v>MICRO</v>
      </c>
      <c r="B287" s="361" t="str">
        <f>IFERROR(__xludf.DUMMYFUNCTION("""COMPUTED_VALUE"""),"helma.amaliaa
")</f>
        <v>helma.amaliaa
</v>
      </c>
      <c r="C287" s="257" t="str">
        <f>IFERROR(__xludf.DUMMYFUNCTION("""COMPUTED_VALUE"""),"https://www.tiktok.com/@helma.amaliaa
")</f>
        <v>https://www.tiktok.com/@helma.amaliaa
</v>
      </c>
      <c r="D287" s="270">
        <f>IFERROR(__xludf.DUMMYFUNCTION("""COMPUTED_VALUE"""),8.5933061049E10)</f>
        <v>85933061049</v>
      </c>
      <c r="E287" s="457">
        <f>IFERROR(__xludf.DUMMYFUNCTION("""COMPUTED_VALUE"""),0.0)</f>
        <v>0</v>
      </c>
      <c r="F287" s="270">
        <f>IFERROR(__xludf.DUMMYFUNCTION("""COMPUTED_VALUE"""),4.0)</f>
        <v>4</v>
      </c>
      <c r="G287" s="17" t="str">
        <f>IFERROR(__xludf.DUMMYFUNCTION("""COMPUTED_VALUE"""),"Sabun batang 1 Box ( 2 PCS )")</f>
        <v>Sabun batang 1 Box ( 2 PCS )</v>
      </c>
      <c r="H287" s="463" t="str">
        <f>IFERROR(__xludf.DUMMYFUNCTION("""COMPUTED_VALUE"""),"Sampai")</f>
        <v>Sampai</v>
      </c>
      <c r="I287" s="464" t="str">
        <f>IFERROR(__xludf.DUMMYFUNCTION("""COMPUTED_VALUE"""),"KIMME")</f>
        <v>KIMME</v>
      </c>
      <c r="J287" s="279" t="str">
        <f>IFERROR(__xludf.DUMMYFUNCTION("""COMPUTED_VALUE"""),"https://vt.tiktok.com/ZSHxPxxUQ/")</f>
        <v>https://vt.tiktok.com/ZSHxPxxUQ/</v>
      </c>
      <c r="K287" s="464" t="str">
        <f>IFERROR(__xludf.DUMMYFUNCTION("""COMPUTED_VALUE"""),"KIMME")</f>
        <v>KIMME</v>
      </c>
      <c r="L287" s="279" t="str">
        <f>IFERROR(__xludf.DUMMYFUNCTION("""COMPUTED_VALUE"""),"https://vt.tiktok.com/ZSHxPVS6s/")</f>
        <v>https://vt.tiktok.com/ZSHxPVS6s/</v>
      </c>
      <c r="M287" s="464" t="str">
        <f>IFERROR(__xludf.DUMMYFUNCTION("""COMPUTED_VALUE"""),"KIMME")</f>
        <v>KIMME</v>
      </c>
      <c r="N287" s="279" t="str">
        <f>IFERROR(__xludf.DUMMYFUNCTION("""COMPUTED_VALUE"""),"https://vt.tiktok.com/ZSHxPQ4tA/")</f>
        <v>https://vt.tiktok.com/ZSHxPQ4tA/</v>
      </c>
      <c r="O287" s="464" t="str">
        <f>IFERROR(__xludf.DUMMYFUNCTION("""COMPUTED_VALUE"""),"KIMME")</f>
        <v>KIMME</v>
      </c>
      <c r="P287" s="279" t="str">
        <f>IFERROR(__xludf.DUMMYFUNCTION("""COMPUTED_VALUE"""),"https://www.tiktok.com/@ochacacaaaaa_/video/7626783420915485959")</f>
        <v>https://www.tiktok.com/@ochacacaaaaa_/video/7626783420915485959</v>
      </c>
    </row>
    <row r="288">
      <c r="A288" s="255" t="str">
        <f>IFERROR(__xludf.DUMMYFUNCTION("""COMPUTED_VALUE"""),"MICRO")</f>
        <v>MICRO</v>
      </c>
      <c r="B288" s="361" t="str">
        <f>IFERROR(__xludf.DUMMYFUNCTION("""COMPUTED_VALUE"""),"jossone_")</f>
        <v>jossone_</v>
      </c>
      <c r="C288" s="257" t="str">
        <f>IFERROR(__xludf.DUMMYFUNCTION("""COMPUTED_VALUE"""),"https://www.tiktok.com/@jossone_")</f>
        <v>https://www.tiktok.com/@jossone_</v>
      </c>
      <c r="D288" s="270">
        <f>IFERROR(__xludf.DUMMYFUNCTION("""COMPUTED_VALUE"""),8.5792569683E10)</f>
        <v>85792569683</v>
      </c>
      <c r="E288" s="457">
        <f>IFERROR(__xludf.DUMMYFUNCTION("""COMPUTED_VALUE"""),250000.0)</f>
        <v>250000</v>
      </c>
      <c r="F288" s="270">
        <f>IFERROR(__xludf.DUMMYFUNCTION("""COMPUTED_VALUE"""),4.0)</f>
        <v>4</v>
      </c>
      <c r="G288" s="17" t="str">
        <f>IFERROR(__xludf.DUMMYFUNCTION("""COMPUTED_VALUE"""),"Sabun batang 1 Box ( 2 PCS )")</f>
        <v>Sabun batang 1 Box ( 2 PCS )</v>
      </c>
      <c r="H288" s="463" t="str">
        <f>IFERROR(__xludf.DUMMYFUNCTION("""COMPUTED_VALUE"""),"Sampai")</f>
        <v>Sampai</v>
      </c>
      <c r="I288" s="464" t="str">
        <f>IFERROR(__xludf.DUMMYFUNCTION("""COMPUTED_VALUE"""),"KIMME")</f>
        <v>KIMME</v>
      </c>
      <c r="J288" s="279" t="str">
        <f>IFERROR(__xludf.DUMMYFUNCTION("""COMPUTED_VALUE"""),"https://vt.tiktok.com/ZSuEfD475/")</f>
        <v>https://vt.tiktok.com/ZSuEfD475/</v>
      </c>
      <c r="K288" s="464" t="str">
        <f>IFERROR(__xludf.DUMMYFUNCTION("""COMPUTED_VALUE"""),"KIMME")</f>
        <v>KIMME</v>
      </c>
      <c r="L288" s="279" t="str">
        <f>IFERROR(__xludf.DUMMYFUNCTION("""COMPUTED_VALUE"""),"https://vt.tiktok.com/ZSuEfMXEr/")</f>
        <v>https://vt.tiktok.com/ZSuEfMXEr/</v>
      </c>
      <c r="M288" s="464" t="str">
        <f>IFERROR(__xludf.DUMMYFUNCTION("""COMPUTED_VALUE"""),"KIMME")</f>
        <v>KIMME</v>
      </c>
      <c r="N288" s="279" t="str">
        <f>IFERROR(__xludf.DUMMYFUNCTION("""COMPUTED_VALUE"""),"https://vt.tiktok.com/ZSuEfSX8w/")</f>
        <v>https://vt.tiktok.com/ZSuEfSX8w/</v>
      </c>
      <c r="O288" s="464" t="str">
        <f>IFERROR(__xludf.DUMMYFUNCTION("""COMPUTED_VALUE"""),"KIMME")</f>
        <v>KIMME</v>
      </c>
      <c r="P288" s="279" t="str">
        <f>IFERROR(__xludf.DUMMYFUNCTION("""COMPUTED_VALUE"""),"https://vt.tiktok.com/ZSuEfDksB/")</f>
        <v>https://vt.tiktok.com/ZSuEfDksB/</v>
      </c>
    </row>
    <row r="289">
      <c r="A289" s="255" t="str">
        <f>IFERROR(__xludf.DUMMYFUNCTION("""COMPUTED_VALUE"""),"MICRO")</f>
        <v>MICRO</v>
      </c>
      <c r="B289" s="361" t="str">
        <f>IFERROR(__xludf.DUMMYFUNCTION("""COMPUTED_VALUE"""),"khanndew")</f>
        <v>khanndew</v>
      </c>
      <c r="C289" s="257" t="str">
        <f>IFERROR(__xludf.DUMMYFUNCTION("""COMPUTED_VALUE"""),"https://www.tiktok.com/@khanndew")</f>
        <v>https://www.tiktok.com/@khanndew</v>
      </c>
      <c r="D289" s="270">
        <f>IFERROR(__xludf.DUMMYFUNCTION("""COMPUTED_VALUE"""),8.1386031234E10)</f>
        <v>81386031234</v>
      </c>
      <c r="E289" s="457">
        <f>IFERROR(__xludf.DUMMYFUNCTION("""COMPUTED_VALUE"""),0.0)</f>
        <v>0</v>
      </c>
      <c r="F289" s="270">
        <f>IFERROR(__xludf.DUMMYFUNCTION("""COMPUTED_VALUE"""),2.0)</f>
        <v>2</v>
      </c>
      <c r="G289" s="17" t="str">
        <f>IFERROR(__xludf.DUMMYFUNCTION("""COMPUTED_VALUE"""),"Sabun batang 1 Box ( 2 PCS )")</f>
        <v>Sabun batang 1 Box ( 2 PCS )</v>
      </c>
      <c r="H289" s="463" t="str">
        <f>IFERROR(__xludf.DUMMYFUNCTION("""COMPUTED_VALUE"""),"Sampai")</f>
        <v>Sampai</v>
      </c>
      <c r="I289" s="464" t="str">
        <f>IFERROR(__xludf.DUMMYFUNCTION("""COMPUTED_VALUE"""),"KIMME")</f>
        <v>KIMME</v>
      </c>
      <c r="J289" s="279" t="str">
        <f>IFERROR(__xludf.DUMMYFUNCTION("""COMPUTED_VALUE"""),"https://www.tiktok.com/@khanndew/video/7624039300493036818?is_from_webapp=1&amp;sender_device=pc")</f>
        <v>https://www.tiktok.com/@khanndew/video/7624039300493036818?is_from_webapp=1&amp;sender_device=pc</v>
      </c>
      <c r="K289" s="464" t="str">
        <f>IFERROR(__xludf.DUMMYFUNCTION("""COMPUTED_VALUE"""),"KIMME")</f>
        <v>KIMME</v>
      </c>
      <c r="L289" s="279" t="str">
        <f>IFERROR(__xludf.DUMMYFUNCTION("""COMPUTED_VALUE"""),"https://www.tiktok.com/@khanndew/video/7624046777053744402?is_from_webapp=1&amp;sender_device=pc")</f>
        <v>https://www.tiktok.com/@khanndew/video/7624046777053744402?is_from_webapp=1&amp;sender_device=pc</v>
      </c>
      <c r="M289" s="464"/>
      <c r="N289" s="279" t="str">
        <f>IFERROR(__xludf.DUMMYFUNCTION("""COMPUTED_VALUE"""),"https://vt.tiktok.com/ZS9grY9GL/")</f>
        <v>https://vt.tiktok.com/ZS9grY9GL/</v>
      </c>
      <c r="O289" s="464"/>
      <c r="P289" s="17" t="str">
        <f>IFERROR(__xludf.DUMMYFUNCTION("""COMPUTED_VALUE"""),"⁠https://vt.tiktok.com/ZS9gMsrDC/")</f>
        <v>⁠https://vt.tiktok.com/ZS9gMsrDC/</v>
      </c>
    </row>
    <row r="290">
      <c r="A290" s="255" t="str">
        <f>IFERROR(__xludf.DUMMYFUNCTION("""COMPUTED_VALUE"""),"MICRO")</f>
        <v>MICRO</v>
      </c>
      <c r="B290" s="361" t="str">
        <f>IFERROR(__xludf.DUMMYFUNCTION("""COMPUTED_VALUE"""),"projectshopeehaul")</f>
        <v>projectshopeehaul</v>
      </c>
      <c r="C290" s="257" t="str">
        <f>IFERROR(__xludf.DUMMYFUNCTION("""COMPUTED_VALUE"""),"https://www.tiktok.com/@projectshopeehaul")</f>
        <v>https://www.tiktok.com/@projectshopeehaul</v>
      </c>
      <c r="D290" s="270">
        <f>IFERROR(__xludf.DUMMYFUNCTION("""COMPUTED_VALUE"""),8.2228884165E10)</f>
        <v>82228884165</v>
      </c>
      <c r="E290" s="457">
        <f>IFERROR(__xludf.DUMMYFUNCTION("""COMPUTED_VALUE"""),0.0)</f>
        <v>0</v>
      </c>
      <c r="F290" s="270">
        <f>IFERROR(__xludf.DUMMYFUNCTION("""COMPUTED_VALUE"""),4.0)</f>
        <v>4</v>
      </c>
      <c r="G290" s="17" t="str">
        <f>IFERROR(__xludf.DUMMYFUNCTION("""COMPUTED_VALUE"""),"Sabun batang 1 Box ( 2 PCS )")</f>
        <v>Sabun batang 1 Box ( 2 PCS )</v>
      </c>
      <c r="H290" s="463" t="str">
        <f>IFERROR(__xludf.DUMMYFUNCTION("""COMPUTED_VALUE"""),"Sampai")</f>
        <v>Sampai</v>
      </c>
      <c r="I290" s="464" t="str">
        <f>IFERROR(__xludf.DUMMYFUNCTION("""COMPUTED_VALUE"""),"KIMME")</f>
        <v>KIMME</v>
      </c>
      <c r="J290" s="279" t="str">
        <f>IFERROR(__xludf.DUMMYFUNCTION("""COMPUTED_VALUE"""),"https://www.tiktok.com/@projectshopeehaul/video/7621238759329254676?is_from_webapp=1&amp;sender_device=pc&amp;web_id=7611930277489657360")</f>
        <v>https://www.tiktok.com/@projectshopeehaul/video/7621238759329254676?is_from_webapp=1&amp;sender_device=pc&amp;web_id=7611930277489657360</v>
      </c>
      <c r="K290" s="464" t="str">
        <f>IFERROR(__xludf.DUMMYFUNCTION("""COMPUTED_VALUE"""),"KIMME")</f>
        <v>KIMME</v>
      </c>
      <c r="L290" s="279" t="str">
        <f>IFERROR(__xludf.DUMMYFUNCTION("""COMPUTED_VALUE"""),"https://www.tiktok.com/@projectshopeehaul/video/7621905848855465237?is_from_webapp=1&amp;sender_device=pc&amp;web_id=7611930277489657360")</f>
        <v>https://www.tiktok.com/@projectshopeehaul/video/7621905848855465237?is_from_webapp=1&amp;sender_device=pc&amp;web_id=7611930277489657360</v>
      </c>
      <c r="M290" s="464" t="str">
        <f>IFERROR(__xludf.DUMMYFUNCTION("""COMPUTED_VALUE"""),"KIMME")</f>
        <v>KIMME</v>
      </c>
      <c r="N290" s="279" t="str">
        <f>IFERROR(__xludf.DUMMYFUNCTION("""COMPUTED_VALUE"""),"https://www.tiktok.com/@reinn057/video/7607100042964503816?is_from_webapp=1&amp;sender_device=pc&amp;web_id=7611930277489657360")</f>
        <v>https://www.tiktok.com/@reinn057/video/7607100042964503816?is_from_webapp=1&amp;sender_device=pc&amp;web_id=7611930277489657360</v>
      </c>
      <c r="O290" s="464" t="str">
        <f>IFERROR(__xludf.DUMMYFUNCTION("""COMPUTED_VALUE"""),"KIMME")</f>
        <v>KIMME</v>
      </c>
      <c r="P290" s="279" t="str">
        <f>IFERROR(__xludf.DUMMYFUNCTION("""COMPUTED_VALUE"""),"https://www.tiktok.com/@myname_hana/video/7623374396954070292?is_from_webapp=1&amp;sender_device=pc&amp;web_id=7611930277489657360")</f>
        <v>https://www.tiktok.com/@myname_hana/video/7623374396954070292?is_from_webapp=1&amp;sender_device=pc&amp;web_id=7611930277489657360</v>
      </c>
    </row>
    <row r="291">
      <c r="A291" s="255" t="str">
        <f>IFERROR(__xludf.DUMMYFUNCTION("""COMPUTED_VALUE"""),"MICRO")</f>
        <v>MICRO</v>
      </c>
      <c r="B291" s="361" t="str">
        <f>IFERROR(__xludf.DUMMYFUNCTION("""COMPUTED_VALUE"""),"ayub.indra")</f>
        <v>ayub.indra</v>
      </c>
      <c r="C291" s="257" t="str">
        <f>IFERROR(__xludf.DUMMYFUNCTION("""COMPUTED_VALUE"""),"https://www.tiktok.com/@ayub.indra")</f>
        <v>https://www.tiktok.com/@ayub.indra</v>
      </c>
      <c r="D291" s="270">
        <f>IFERROR(__xludf.DUMMYFUNCTION("""COMPUTED_VALUE"""),8.2113809869E10)</f>
        <v>82113809869</v>
      </c>
      <c r="E291" s="457">
        <f>IFERROR(__xludf.DUMMYFUNCTION("""COMPUTED_VALUE"""),0.0)</f>
        <v>0</v>
      </c>
      <c r="F291" s="270">
        <f>IFERROR(__xludf.DUMMYFUNCTION("""COMPUTED_VALUE"""),4.0)</f>
        <v>4</v>
      </c>
      <c r="G291" s="17" t="str">
        <f>IFERROR(__xludf.DUMMYFUNCTION("""COMPUTED_VALUE"""),"Sabun batang 1 Box ( 2 PCS )")</f>
        <v>Sabun batang 1 Box ( 2 PCS )</v>
      </c>
      <c r="H291" s="463" t="str">
        <f>IFERROR(__xludf.DUMMYFUNCTION("""COMPUTED_VALUE"""),"Sampai")</f>
        <v>Sampai</v>
      </c>
      <c r="I291" s="464" t="str">
        <f>IFERROR(__xludf.DUMMYFUNCTION("""COMPUTED_VALUE"""),"KIMME")</f>
        <v>KIMME</v>
      </c>
      <c r="J291" s="17" t="str">
        <f>IFERROR(__xludf.DUMMYFUNCTION("""COMPUTED_VALUE"""),"⁠https://vt.tiktok.com/ZS9pkH6Mc/")</f>
        <v>⁠https://vt.tiktok.com/ZS9pkH6Mc/</v>
      </c>
      <c r="K291" s="464" t="str">
        <f>IFERROR(__xludf.DUMMYFUNCTION("""COMPUTED_VALUE"""),"KIMME")</f>
        <v>KIMME</v>
      </c>
      <c r="L291" s="17" t="str">
        <f>IFERROR(__xludf.DUMMYFUNCTION("""COMPUTED_VALUE"""),"⁠https://vt.tiktok.com/ZS9pk3xgj/")</f>
        <v>⁠https://vt.tiktok.com/ZS9pk3xgj/</v>
      </c>
      <c r="M291" s="464"/>
      <c r="N291" s="17" t="str">
        <f>IFERROR(__xludf.DUMMYFUNCTION("""COMPUTED_VALUE"""),"⁠https://vt.tiktok.com/ZS9pkVsxR/")</f>
        <v>⁠https://vt.tiktok.com/ZS9pkVsxR/</v>
      </c>
      <c r="O291" s="464"/>
      <c r="P291" s="17" t="str">
        <f>IFERROR(__xludf.DUMMYFUNCTION("""COMPUTED_VALUE"""),"⁠https://vt.tiktok.com/ZS9pk7dqS/")</f>
        <v>⁠https://vt.tiktok.com/ZS9pk7dqS/</v>
      </c>
    </row>
    <row r="292">
      <c r="A292" s="255" t="str">
        <f>IFERROR(__xludf.DUMMYFUNCTION("""COMPUTED_VALUE"""),"MICRO")</f>
        <v>MICRO</v>
      </c>
      <c r="B292" s="361" t="str">
        <f>IFERROR(__xludf.DUMMYFUNCTION("""COMPUTED_VALUE"""),"kainam.skincare
")</f>
        <v>kainam.skincare
</v>
      </c>
      <c r="C292" s="257" t="str">
        <f>IFERROR(__xludf.DUMMYFUNCTION("""COMPUTED_VALUE"""),"https://www.tiktok.com/@kainam.skincare
")</f>
        <v>https://www.tiktok.com/@kainam.skincare
</v>
      </c>
      <c r="D292" s="270">
        <f>IFERROR(__xludf.DUMMYFUNCTION("""COMPUTED_VALUE"""),8.1396802084E10)</f>
        <v>81396802084</v>
      </c>
      <c r="E292" s="457">
        <f>IFERROR(__xludf.DUMMYFUNCTION("""COMPUTED_VALUE"""),0.0)</f>
        <v>0</v>
      </c>
      <c r="F292" s="270">
        <f>IFERROR(__xludf.DUMMYFUNCTION("""COMPUTED_VALUE"""),4.0)</f>
        <v>4</v>
      </c>
      <c r="G292" s="17" t="str">
        <f>IFERROR(__xludf.DUMMYFUNCTION("""COMPUTED_VALUE"""),"Sabun batang 1 Box ( 2 PCS )")</f>
        <v>Sabun batang 1 Box ( 2 PCS )</v>
      </c>
      <c r="H292" s="463" t="str">
        <f>IFERROR(__xludf.DUMMYFUNCTION("""COMPUTED_VALUE"""),"Sampai")</f>
        <v>Sampai</v>
      </c>
      <c r="I292" s="464" t="str">
        <f>IFERROR(__xludf.DUMMYFUNCTION("""COMPUTED_VALUE"""),"KIMME")</f>
        <v>KIMME</v>
      </c>
      <c r="J292" s="279" t="str">
        <f>IFERROR(__xludf.DUMMYFUNCTION("""COMPUTED_VALUE"""),"https://vt.tiktok.com/ZSHFafUv4/")</f>
        <v>https://vt.tiktok.com/ZSHFafUv4/</v>
      </c>
      <c r="K292" s="464" t="str">
        <f>IFERROR(__xludf.DUMMYFUNCTION("""COMPUTED_VALUE"""),"KIMME")</f>
        <v>KIMME</v>
      </c>
      <c r="L292" s="279" t="str">
        <f>IFERROR(__xludf.DUMMYFUNCTION("""COMPUTED_VALUE"""),"https://vt.tiktok.com/ZSHPJePs6/")</f>
        <v>https://vt.tiktok.com/ZSHPJePs6/</v>
      </c>
      <c r="M292" s="464" t="str">
        <f>IFERROR(__xludf.DUMMYFUNCTION("""COMPUTED_VALUE"""),"KIMME")</f>
        <v>KIMME</v>
      </c>
      <c r="N292" s="279" t="str">
        <f>IFERROR(__xludf.DUMMYFUNCTION("""COMPUTED_VALUE"""),"https://vt.tiktok.com/ZSHpgt3ks/")</f>
        <v>https://vt.tiktok.com/ZSHpgt3ks/</v>
      </c>
      <c r="O292" s="464"/>
      <c r="P292" s="279" t="str">
        <f>IFERROR(__xludf.DUMMYFUNCTION("""COMPUTED_VALUE"""),"https://vt.tiktok.com/ZS9yt8xNB/")</f>
        <v>https://vt.tiktok.com/ZS9yt8xNB/</v>
      </c>
    </row>
    <row r="293">
      <c r="A293" s="255" t="str">
        <f>IFERROR(__xludf.DUMMYFUNCTION("""COMPUTED_VALUE"""),"MICRO")</f>
        <v>MICRO</v>
      </c>
      <c r="B293" s="361" t="str">
        <f>IFERROR(__xludf.DUMMYFUNCTION("""COMPUTED_VALUE"""),"zulfabeautycare_bwi")</f>
        <v>zulfabeautycare_bwi</v>
      </c>
      <c r="C293" s="257" t="str">
        <f>IFERROR(__xludf.DUMMYFUNCTION("""COMPUTED_VALUE"""),"https://www.tiktok.com/@zulfabeautycare_bwi")</f>
        <v>https://www.tiktok.com/@zulfabeautycare_bwi</v>
      </c>
      <c r="D293" s="270">
        <f>IFERROR(__xludf.DUMMYFUNCTION("""COMPUTED_VALUE"""),8.5608611692E10)</f>
        <v>85608611692</v>
      </c>
      <c r="E293" s="457">
        <f>IFERROR(__xludf.DUMMYFUNCTION("""COMPUTED_VALUE"""),0.0)</f>
        <v>0</v>
      </c>
      <c r="F293" s="270">
        <f>IFERROR(__xludf.DUMMYFUNCTION("""COMPUTED_VALUE"""),3.0)</f>
        <v>3</v>
      </c>
      <c r="G293" s="17" t="str">
        <f>IFERROR(__xludf.DUMMYFUNCTION("""COMPUTED_VALUE"""),"Sabun batang 1 Box ( 2 PCS )")</f>
        <v>Sabun batang 1 Box ( 2 PCS )</v>
      </c>
      <c r="H293" s="463" t="str">
        <f>IFERROR(__xludf.DUMMYFUNCTION("""COMPUTED_VALUE"""),"Sampai")</f>
        <v>Sampai</v>
      </c>
      <c r="I293" s="464" t="str">
        <f>IFERROR(__xludf.DUMMYFUNCTION("""COMPUTED_VALUE"""),"KIMME")</f>
        <v>KIMME</v>
      </c>
      <c r="J293" s="279" t="str">
        <f>IFERROR(__xludf.DUMMYFUNCTION("""COMPUTED_VALUE"""),"https://vt.tiktok.com/ZSHHjyfEE/")</f>
        <v>https://vt.tiktok.com/ZSHHjyfEE/</v>
      </c>
      <c r="K293" s="464" t="str">
        <f>IFERROR(__xludf.DUMMYFUNCTION("""COMPUTED_VALUE"""),"KIMME")</f>
        <v>KIMME</v>
      </c>
      <c r="L293" s="279" t="str">
        <f>IFERROR(__xludf.DUMMYFUNCTION("""COMPUTED_VALUE"""),"https://vt.tiktok.com/ZSHHjUNT3/")</f>
        <v>https://vt.tiktok.com/ZSHHjUNT3/</v>
      </c>
      <c r="M293" s="464" t="str">
        <f>IFERROR(__xludf.DUMMYFUNCTION("""COMPUTED_VALUE"""),"KIMME")</f>
        <v>KIMME</v>
      </c>
      <c r="N293" s="279" t="str">
        <f>IFERROR(__xludf.DUMMYFUNCTION("""COMPUTED_VALUE"""),"https://vt.tiktok.com/ZSHHjyKmr/")</f>
        <v>https://vt.tiktok.com/ZSHHjyKmr/</v>
      </c>
      <c r="O293" s="464"/>
      <c r="P293" s="17" t="str">
        <f>IFERROR(__xludf.DUMMYFUNCTION("""COMPUTED_VALUE"""),"⁠https://vt.tiktok.com/ZS9pkVL72/")</f>
        <v>⁠https://vt.tiktok.com/ZS9pkVL72/</v>
      </c>
    </row>
    <row r="294">
      <c r="A294" s="255" t="str">
        <f>IFERROR(__xludf.DUMMYFUNCTION("""COMPUTED_VALUE"""),"MICRO")</f>
        <v>MICRO</v>
      </c>
      <c r="B294" s="361" t="str">
        <f>IFERROR(__xludf.DUMMYFUNCTION("""COMPUTED_VALUE"""),"yofita.a.n")</f>
        <v>yofita.a.n</v>
      </c>
      <c r="C294" s="257" t="str">
        <f>IFERROR(__xludf.DUMMYFUNCTION("""COMPUTED_VALUE"""),"https://www.tiktok.com/@yofita.a.n")</f>
        <v>https://www.tiktok.com/@yofita.a.n</v>
      </c>
      <c r="D294" s="270">
        <f>IFERROR(__xludf.DUMMYFUNCTION("""COMPUTED_VALUE"""),8.1337866786E10)</f>
        <v>81337866786</v>
      </c>
      <c r="E294" s="457">
        <f>IFERROR(__xludf.DUMMYFUNCTION("""COMPUTED_VALUE"""),0.0)</f>
        <v>0</v>
      </c>
      <c r="F294" s="270">
        <f>IFERROR(__xludf.DUMMYFUNCTION("""COMPUTED_VALUE"""),4.0)</f>
        <v>4</v>
      </c>
      <c r="G294" s="17" t="str">
        <f>IFERROR(__xludf.DUMMYFUNCTION("""COMPUTED_VALUE"""),"Sabun batang 1 Box ( 2 PCS )")</f>
        <v>Sabun batang 1 Box ( 2 PCS )</v>
      </c>
      <c r="H294" s="463" t="str">
        <f>IFERROR(__xludf.DUMMYFUNCTION("""COMPUTED_VALUE"""),"Sampai")</f>
        <v>Sampai</v>
      </c>
      <c r="I294" s="464" t="str">
        <f>IFERROR(__xludf.DUMMYFUNCTION("""COMPUTED_VALUE"""),"KIMME")</f>
        <v>KIMME</v>
      </c>
      <c r="J294" s="279" t="str">
        <f>IFERROR(__xludf.DUMMYFUNCTION("""COMPUTED_VALUE"""),"https://www.tiktok.com/@yofita.a.n/video/7628203698346413319?is_from_webapp=1&amp;sender_device=pc&amp;web_id=7611916109072221716")</f>
        <v>https://www.tiktok.com/@yofita.a.n/video/7628203698346413319?is_from_webapp=1&amp;sender_device=pc&amp;web_id=7611916109072221716</v>
      </c>
      <c r="K294" s="464" t="str">
        <f>IFERROR(__xludf.DUMMYFUNCTION("""COMPUTED_VALUE"""),"KIMME")</f>
        <v>KIMME</v>
      </c>
      <c r="L294" s="279" t="str">
        <f>IFERROR(__xludf.DUMMYFUNCTION("""COMPUTED_VALUE"""),"https://www.tiktok.com/@zafarabeauty/video/7625825086108486919?is_from_webapp=1&amp;sender_device=pc&amp;web_id=7611930277489657360")</f>
        <v>https://www.tiktok.com/@zafarabeauty/video/7625825086108486919?is_from_webapp=1&amp;sender_device=pc&amp;web_id=7611930277489657360</v>
      </c>
      <c r="M294" s="464" t="str">
        <f>IFERROR(__xludf.DUMMYFUNCTION("""COMPUTED_VALUE"""),"KIMME")</f>
        <v>KIMME</v>
      </c>
      <c r="N294" s="279" t="str">
        <f>IFERROR(__xludf.DUMMYFUNCTION("""COMPUTED_VALUE"""),"https://www.tiktok.com/@zafarabeauty/video/7625936162636483847?is_from_webapp=1&amp;sender_device=pc&amp;web_id=7611930277489657360")</f>
        <v>https://www.tiktok.com/@zafarabeauty/video/7625936162636483847?is_from_webapp=1&amp;sender_device=pc&amp;web_id=7611930277489657360</v>
      </c>
      <c r="O294" s="464" t="str">
        <f>IFERROR(__xludf.DUMMYFUNCTION("""COMPUTED_VALUE"""),"KIMME")</f>
        <v>KIMME</v>
      </c>
      <c r="P294" s="279" t="str">
        <f>IFERROR(__xludf.DUMMYFUNCTION("""COMPUTED_VALUE"""),"https://www.tiktok.com/@zafarabeauty/video/7626306223192788242?is_from_webapp=1&amp;sender_device=pc&amp;web_id=7611930277489657360")</f>
        <v>https://www.tiktok.com/@zafarabeauty/video/7626306223192788242?is_from_webapp=1&amp;sender_device=pc&amp;web_id=7611930277489657360</v>
      </c>
    </row>
    <row r="295">
      <c r="A295" s="255" t="str">
        <f>IFERROR(__xludf.DUMMYFUNCTION("""COMPUTED_VALUE"""),"MACRO")</f>
        <v>MACRO</v>
      </c>
      <c r="B295" s="361" t="str">
        <f>IFERROR(__xludf.DUMMYFUNCTION("""COMPUTED_VALUE"""),"hai.epple")</f>
        <v>hai.epple</v>
      </c>
      <c r="C295" s="257" t="str">
        <f>IFERROR(__xludf.DUMMYFUNCTION("""COMPUTED_VALUE"""),"https://www.tiktok.com/@hai.epple")</f>
        <v>https://www.tiktok.com/@hai.epple</v>
      </c>
      <c r="D295" s="270">
        <f>IFERROR(__xludf.DUMMYFUNCTION("""COMPUTED_VALUE"""),8.5600760048E10)</f>
        <v>85600760048</v>
      </c>
      <c r="E295" s="457">
        <f>IFERROR(__xludf.DUMMYFUNCTION("""COMPUTED_VALUE"""),0.0)</f>
        <v>0</v>
      </c>
      <c r="F295" s="270">
        <f>IFERROR(__xludf.DUMMYFUNCTION("""COMPUTED_VALUE"""),4.0)</f>
        <v>4</v>
      </c>
      <c r="G295" s="17" t="str">
        <f>IFERROR(__xludf.DUMMYFUNCTION("""COMPUTED_VALUE"""),"Sabun batang 1 Box ( 2 PCS )")</f>
        <v>Sabun batang 1 Box ( 2 PCS )</v>
      </c>
      <c r="H295" s="463" t="str">
        <f>IFERROR(__xludf.DUMMYFUNCTION("""COMPUTED_VALUE"""),"Sampai")</f>
        <v>Sampai</v>
      </c>
      <c r="I295" s="464" t="str">
        <f>IFERROR(__xludf.DUMMYFUNCTION("""COMPUTED_VALUE"""),"KIMME")</f>
        <v>KIMME</v>
      </c>
      <c r="J295" s="279" t="str">
        <f>IFERROR(__xludf.DUMMYFUNCTION("""COMPUTED_VALUE"""),"https://vt.tiktok.com/ZSH5eaNba/")</f>
        <v>https://vt.tiktok.com/ZSH5eaNba/</v>
      </c>
      <c r="K295" s="464" t="str">
        <f>IFERROR(__xludf.DUMMYFUNCTION("""COMPUTED_VALUE"""),"KIMME")</f>
        <v>KIMME</v>
      </c>
      <c r="L295" s="279" t="str">
        <f>IFERROR(__xludf.DUMMYFUNCTION("""COMPUTED_VALUE"""),"https://vt.tiktok.com/ZSH5dUJ1f/")</f>
        <v>https://vt.tiktok.com/ZSH5dUJ1f/</v>
      </c>
      <c r="M295" s="464" t="str">
        <f>IFERROR(__xludf.DUMMYFUNCTION("""COMPUTED_VALUE"""),"KIMME")</f>
        <v>KIMME</v>
      </c>
      <c r="N295" s="17"/>
      <c r="O295" s="464" t="str">
        <f>IFERROR(__xludf.DUMMYFUNCTION("""COMPUTED_VALUE"""),"KIMME")</f>
        <v>KIMME</v>
      </c>
      <c r="P295" s="17"/>
    </row>
    <row r="296">
      <c r="A296" s="255" t="str">
        <f>IFERROR(__xludf.DUMMYFUNCTION("""COMPUTED_VALUE"""),"MICRO")</f>
        <v>MICRO</v>
      </c>
      <c r="B296" s="361" t="str">
        <f>IFERROR(__xludf.DUMMYFUNCTION("""COMPUTED_VALUE"""),"gegesyaww")</f>
        <v>gegesyaww</v>
      </c>
      <c r="C296" s="257" t="str">
        <f>IFERROR(__xludf.DUMMYFUNCTION("""COMPUTED_VALUE"""),"https://www.tiktok.com/@gegesyaww")</f>
        <v>https://www.tiktok.com/@gegesyaww</v>
      </c>
      <c r="D296" s="270">
        <f>IFERROR(__xludf.DUMMYFUNCTION("""COMPUTED_VALUE"""),8.5860708934E10)</f>
        <v>85860708934</v>
      </c>
      <c r="E296" s="457">
        <f>IFERROR(__xludf.DUMMYFUNCTION("""COMPUTED_VALUE"""),0.0)</f>
        <v>0</v>
      </c>
      <c r="F296" s="270">
        <f>IFERROR(__xludf.DUMMYFUNCTION("""COMPUTED_VALUE"""),2.0)</f>
        <v>2</v>
      </c>
      <c r="G296" s="17" t="str">
        <f>IFERROR(__xludf.DUMMYFUNCTION("""COMPUTED_VALUE"""),"Sabun batang 1 Box ( 2 PCS )")</f>
        <v>Sabun batang 1 Box ( 2 PCS )</v>
      </c>
      <c r="H296" s="463" t="str">
        <f>IFERROR(__xludf.DUMMYFUNCTION("""COMPUTED_VALUE"""),"Sampai")</f>
        <v>Sampai</v>
      </c>
      <c r="I296" s="464" t="str">
        <f>IFERROR(__xludf.DUMMYFUNCTION("""COMPUTED_VALUE"""),"KIMME")</f>
        <v>KIMME</v>
      </c>
      <c r="J296" s="279" t="str">
        <f>IFERROR(__xludf.DUMMYFUNCTION("""COMPUTED_VALUE"""),"https://vt.tiktok.com/ZS94rKYw2/")</f>
        <v>https://vt.tiktok.com/ZS94rKYw2/</v>
      </c>
      <c r="K296" s="464" t="str">
        <f>IFERROR(__xludf.DUMMYFUNCTION("""COMPUTED_VALUE"""),"KIMME")</f>
        <v>KIMME</v>
      </c>
      <c r="L296" s="279" t="str">
        <f>IFERROR(__xludf.DUMMYFUNCTION("""COMPUTED_VALUE"""),"https://vt.tiktok.com/ZS94rE3YY/")</f>
        <v>https://vt.tiktok.com/ZS94rE3YY/</v>
      </c>
      <c r="M296" s="464"/>
      <c r="N296" s="279" t="str">
        <f>IFERROR(__xludf.DUMMYFUNCTION("""COMPUTED_VALUE"""),"https://www.tiktok.com/@sinabilla/video/7632180521308523794?_r=1&amp;u_code=d8ce4h27fdmff3&amp;region=&amp;mid=7629352910916897543&amp;preview_pb=0&amp;sharer_language=&amp;_d=0&amp;ec_shared_reflux_dynamic_params=%7B%22placeholder_material_id%22%3A%227632180521308523794%22%2C%22pla"&amp;"ceholder_origin_cover%22%3A%22https%253A%252F%252Fp16-common-sign.tiktokcdn.com%252Ftos-alisg-p-0037%252FooQqQBBlR8S6ArDpyFfIf71UgMiE6E3gcCv8B5~tplv-tiktokx-origin.jpeg%253Fdr%253D14572%2526refresh_token%253Dabd4d972%2526x-expires%253D1809507600%2526x-sig"&amp;"nature%253DlSJi4AMftkZfzUdsHS1wYJtc0rw%25253D%2526t%253D4d5b0474%2526ps%253D13740610%2526shp%253Dd05b14bd%2526shcp%253D34ff8df6%2526idc%253Dmy%2526s%253DTIKTOK_AFFILIATE_VIRAL_VIDEO%22%2C%22placeholder_product_id%22%3A%221729427766722726591%22%2C%22placeh"&amp;"older_video_id%22%3A%227632180521308523794%22%7D&amp;ec_shared_reflux_scene=shop_tab_feed&amp;share_item_id=7632180521308523794&amp;source=h5_t")</f>
        <v>https://www.tiktok.com/@sinabilla/video/7632180521308523794?_r=1&amp;u_code=d8ce4h27fdmff3&amp;region=&amp;mid=7629352910916897543&amp;preview_pb=0&amp;sharer_language=&amp;_d=0&amp;ec_shared_reflux_dynamic_params=%7B%22placeholder_material_id%22%3A%227632180521308523794%22%2C%22placeholder_origin_cover%22%3A%22https%253A%252F%252Fp16-common-sign.tiktokcdn.com%252Ftos-alisg-p-0037%252FooQqQBBlR8S6ArDpyFfIf71UgMiE6E3gcCv8B5~tplv-tiktokx-origin.jpeg%253Fdr%253D14572%2526refresh_token%253Dabd4d972%2526x-expires%253D1809507600%2526x-signature%253DlSJi4AMftkZfzUdsHS1wYJtc0rw%25253D%2526t%253D4d5b0474%2526ps%253D13740610%2526shp%253Dd05b14bd%2526shcp%253D34ff8df6%2526idc%253Dmy%2526s%253DTIKTOK_AFFILIATE_VIRAL_VIDEO%22%2C%22placeholder_product_id%22%3A%221729427766722726591%22%2C%22placeholder_video_id%22%3A%227632180521308523794%22%7D&amp;ec_shared_reflux_scene=shop_tab_feed&amp;share_item_id=7632180521308523794&amp;source=h5_t</v>
      </c>
      <c r="O296" s="464"/>
      <c r="P296" s="17" t="str">
        <f>IFERROR(__xludf.DUMMYFUNCTION("""COMPUTED_VALUE"""),"⁠https://vt.tiktok.com/ZS9pkvjRo/")</f>
        <v>⁠https://vt.tiktok.com/ZS9pkvjRo/</v>
      </c>
    </row>
    <row r="297">
      <c r="A297" s="255" t="str">
        <f>IFERROR(__xludf.DUMMYFUNCTION("""COMPUTED_VALUE"""),"MACRO")</f>
        <v>MACRO</v>
      </c>
      <c r="B297" s="361" t="str">
        <f>IFERROR(__xludf.DUMMYFUNCTION("""COMPUTED_VALUE"""),"dewi.sunday")</f>
        <v>dewi.sunday</v>
      </c>
      <c r="C297" s="257" t="str">
        <f>IFERROR(__xludf.DUMMYFUNCTION("""COMPUTED_VALUE"""),"https://www.tiktok.com/@dewi.sunday")</f>
        <v>https://www.tiktok.com/@dewi.sunday</v>
      </c>
      <c r="D297" s="270">
        <f>IFERROR(__xludf.DUMMYFUNCTION("""COMPUTED_VALUE"""),8.1331321929E10)</f>
        <v>81331321929</v>
      </c>
      <c r="E297" s="457">
        <f>IFERROR(__xludf.DUMMYFUNCTION("""COMPUTED_VALUE"""),0.0)</f>
        <v>0</v>
      </c>
      <c r="F297" s="270">
        <f>IFERROR(__xludf.DUMMYFUNCTION("""COMPUTED_VALUE"""),4.0)</f>
        <v>4</v>
      </c>
      <c r="G297" s="17" t="str">
        <f>IFERROR(__xludf.DUMMYFUNCTION("""COMPUTED_VALUE"""),"Sabun batang 1 Box ( 2 PCS )")</f>
        <v>Sabun batang 1 Box ( 2 PCS )</v>
      </c>
      <c r="H297" s="463" t="str">
        <f>IFERROR(__xludf.DUMMYFUNCTION("""COMPUTED_VALUE"""),"Sampai")</f>
        <v>Sampai</v>
      </c>
      <c r="I297" s="464" t="str">
        <f>IFERROR(__xludf.DUMMYFUNCTION("""COMPUTED_VALUE"""),"KIMME")</f>
        <v>KIMME</v>
      </c>
      <c r="J297" s="279" t="str">
        <f>IFERROR(__xludf.DUMMYFUNCTION("""COMPUTED_VALUE"""),"https://www.tiktok.com/@dewi.sunday/video/7613290424857398535?is_from_webapp=1&amp;sender_device=pc&amp;web_id=7611930277489657360")</f>
        <v>https://www.tiktok.com/@dewi.sunday/video/7613290424857398535?is_from_webapp=1&amp;sender_device=pc&amp;web_id=7611930277489657360</v>
      </c>
      <c r="K297" s="464" t="str">
        <f>IFERROR(__xludf.DUMMYFUNCTION("""COMPUTED_VALUE"""),"KIMME")</f>
        <v>KIMME</v>
      </c>
      <c r="L297" s="279" t="str">
        <f>IFERROR(__xludf.DUMMYFUNCTION("""COMPUTED_VALUE"""),"https://www.tiktok.com/@dewi.sunday/video/7613590386409360647?is_from_webapp=1&amp;sender_device=pc&amp;web_id=7611930277489657360")</f>
        <v>https://www.tiktok.com/@dewi.sunday/video/7613590386409360647?is_from_webapp=1&amp;sender_device=pc&amp;web_id=7611930277489657360</v>
      </c>
      <c r="M297" s="464" t="str">
        <f>IFERROR(__xludf.DUMMYFUNCTION("""COMPUTED_VALUE"""),"KIMME")</f>
        <v>KIMME</v>
      </c>
      <c r="N297" s="279" t="str">
        <f>IFERROR(__xludf.DUMMYFUNCTION("""COMPUTED_VALUE"""),"https://www.tiktok.com/@dewi.sunday/video/7613963186164829458?is_from_webapp=1&amp;sender_device=pc&amp;web_id=7611930277489657360")</f>
        <v>https://www.tiktok.com/@dewi.sunday/video/7613963186164829458?is_from_webapp=1&amp;sender_device=pc&amp;web_id=7611930277489657360</v>
      </c>
      <c r="O297" s="464" t="str">
        <f>IFERROR(__xludf.DUMMYFUNCTION("""COMPUTED_VALUE"""),"KIMME")</f>
        <v>KIMME</v>
      </c>
      <c r="P297" s="279" t="str">
        <f>IFERROR(__xludf.DUMMYFUNCTION("""COMPUTED_VALUE"""),"https://www.tiktok.com/@dewi.sunday/video/7614021423392181511?is_from_webapp=1&amp;sender_device=pc&amp;web_id=7611930277489657360")</f>
        <v>https://www.tiktok.com/@dewi.sunday/video/7614021423392181511?is_from_webapp=1&amp;sender_device=pc&amp;web_id=7611930277489657360</v>
      </c>
    </row>
    <row r="298">
      <c r="A298" s="255" t="str">
        <f>IFERROR(__xludf.DUMMYFUNCTION("""COMPUTED_VALUE"""),"MICRO")</f>
        <v>MICRO</v>
      </c>
      <c r="B298" s="361" t="str">
        <f>IFERROR(__xludf.DUMMYFUNCTION("""COMPUTED_VALUE"""),"sarisitohang")</f>
        <v>sarisitohang</v>
      </c>
      <c r="C298" s="257" t="str">
        <f>IFERROR(__xludf.DUMMYFUNCTION("""COMPUTED_VALUE"""),"https://www.tiktok.com/@sarisitohang")</f>
        <v>https://www.tiktok.com/@sarisitohang</v>
      </c>
      <c r="D298" s="270">
        <f>IFERROR(__xludf.DUMMYFUNCTION("""COMPUTED_VALUE"""),8.2272422203E10)</f>
        <v>82272422203</v>
      </c>
      <c r="E298" s="457">
        <f>IFERROR(__xludf.DUMMYFUNCTION("""COMPUTED_VALUE"""),0.0)</f>
        <v>0</v>
      </c>
      <c r="F298" s="270">
        <f>IFERROR(__xludf.DUMMYFUNCTION("""COMPUTED_VALUE"""),2.0)</f>
        <v>2</v>
      </c>
      <c r="G298" s="17" t="str">
        <f>IFERROR(__xludf.DUMMYFUNCTION("""COMPUTED_VALUE"""),"Sabun batang 1 Box ( 2 PCS )")</f>
        <v>Sabun batang 1 Box ( 2 PCS )</v>
      </c>
      <c r="H298" s="463" t="str">
        <f>IFERROR(__xludf.DUMMYFUNCTION("""COMPUTED_VALUE"""),"Sampai")</f>
        <v>Sampai</v>
      </c>
      <c r="I298" s="464" t="str">
        <f>IFERROR(__xludf.DUMMYFUNCTION("""COMPUTED_VALUE"""),"KIMME")</f>
        <v>KIMME</v>
      </c>
      <c r="J298" s="279" t="str">
        <f>IFERROR(__xludf.DUMMYFUNCTION("""COMPUTED_VALUE"""),"https://www.tiktok.com/@naura.karisma/video/7626012252520434965?is_from_webapp=1&amp;sender_device=pc&amp;web_id=7611930277489657360")</f>
        <v>https://www.tiktok.com/@naura.karisma/video/7626012252520434965?is_from_webapp=1&amp;sender_device=pc&amp;web_id=7611930277489657360</v>
      </c>
      <c r="K298" s="464" t="str">
        <f>IFERROR(__xludf.DUMMYFUNCTION("""COMPUTED_VALUE"""),"KIMME")</f>
        <v>KIMME</v>
      </c>
      <c r="L298" s="279" t="str">
        <f>IFERROR(__xludf.DUMMYFUNCTION("""COMPUTED_VALUE"""),"https://www.tiktok.com/@naura.karisma/video/7626755225600232725?is_from_webapp=1&amp;sender_device=pc&amp;web_id=7611930277489657360")</f>
        <v>https://www.tiktok.com/@naura.karisma/video/7626755225600232725?is_from_webapp=1&amp;sender_device=pc&amp;web_id=7611930277489657360</v>
      </c>
      <c r="M298" s="464"/>
      <c r="N298" s="279" t="str">
        <f>IFERROR(__xludf.DUMMYFUNCTION("""COMPUTED_VALUE"""),"https://vt.tiktok.com/ZS9DDGsej/")</f>
        <v>https://vt.tiktok.com/ZS9DDGsej/</v>
      </c>
      <c r="O298" s="464"/>
      <c r="P298" s="17" t="str">
        <f>IFERROR(__xludf.DUMMYFUNCTION("""COMPUTED_VALUE"""),"⁠https://vt.tiktok.com/ZS9pk3JQQ/")</f>
        <v>⁠https://vt.tiktok.com/ZS9pk3JQQ/</v>
      </c>
    </row>
    <row r="299">
      <c r="A299" s="255" t="str">
        <f>IFERROR(__xludf.DUMMYFUNCTION("""COMPUTED_VALUE"""),"MICRO")</f>
        <v>MICRO</v>
      </c>
      <c r="B299" s="361" t="str">
        <f>IFERROR(__xludf.DUMMYFUNCTION("""COMPUTED_VALUE"""),"liestyfriendly")</f>
        <v>liestyfriendly</v>
      </c>
      <c r="C299" s="257" t="str">
        <f>IFERROR(__xludf.DUMMYFUNCTION("""COMPUTED_VALUE"""),"https://www.tiktok.com/@liestyfriendly")</f>
        <v>https://www.tiktok.com/@liestyfriendly</v>
      </c>
      <c r="D299" s="270">
        <f>IFERROR(__xludf.DUMMYFUNCTION("""COMPUTED_VALUE"""),8.564027521E10)</f>
        <v>85640275210</v>
      </c>
      <c r="E299" s="457">
        <f>IFERROR(__xludf.DUMMYFUNCTION("""COMPUTED_VALUE"""),0.0)</f>
        <v>0</v>
      </c>
      <c r="F299" s="270">
        <f>IFERROR(__xludf.DUMMYFUNCTION("""COMPUTED_VALUE"""),3.0)</f>
        <v>3</v>
      </c>
      <c r="G299" s="17" t="str">
        <f>IFERROR(__xludf.DUMMYFUNCTION("""COMPUTED_VALUE"""),"Sabun batang 1 Box ( 2 PCS )")</f>
        <v>Sabun batang 1 Box ( 2 PCS )</v>
      </c>
      <c r="H299" s="463" t="str">
        <f>IFERROR(__xludf.DUMMYFUNCTION("""COMPUTED_VALUE"""),"Sampai")</f>
        <v>Sampai</v>
      </c>
      <c r="I299" s="464" t="str">
        <f>IFERROR(__xludf.DUMMYFUNCTION("""COMPUTED_VALUE"""),"KIMME")</f>
        <v>KIMME</v>
      </c>
      <c r="J299" s="279" t="str">
        <f>IFERROR(__xludf.DUMMYFUNCTION("""COMPUTED_VALUE"""),"https://vt.tiktok.com/ZSHFmbQjg/")</f>
        <v>https://vt.tiktok.com/ZSHFmbQjg/</v>
      </c>
      <c r="K299" s="464" t="str">
        <f>IFERROR(__xludf.DUMMYFUNCTION("""COMPUTED_VALUE"""),"KIMME")</f>
        <v>KIMME</v>
      </c>
      <c r="L299" s="279" t="str">
        <f>IFERROR(__xludf.DUMMYFUNCTION("""COMPUTED_VALUE"""),"https://vt.tiktok.com/ZSHFmK2fL/")</f>
        <v>https://vt.tiktok.com/ZSHFmK2fL/</v>
      </c>
      <c r="M299" s="464" t="str">
        <f>IFERROR(__xludf.DUMMYFUNCTION("""COMPUTED_VALUE"""),"KIMME")</f>
        <v>KIMME</v>
      </c>
      <c r="N299" s="279" t="str">
        <f>IFERROR(__xludf.DUMMYFUNCTION("""COMPUTED_VALUE"""),"https://www.tiktok.com/@userrrrrr073124/video/7626641422392872210?is_from_webapp=1&amp;sender_device=pc&amp;web_id=7611930277489657360")</f>
        <v>https://www.tiktok.com/@userrrrrr073124/video/7626641422392872210?is_from_webapp=1&amp;sender_device=pc&amp;web_id=7611930277489657360</v>
      </c>
      <c r="O299" s="464"/>
      <c r="P299" s="17" t="str">
        <f>IFERROR(__xludf.DUMMYFUNCTION("""COMPUTED_VALUE"""),"⁠https://vt.tiktok.com/ZS9pkTRPb/")</f>
        <v>⁠https://vt.tiktok.com/ZS9pkTRPb/</v>
      </c>
    </row>
    <row r="300">
      <c r="A300" s="255" t="str">
        <f>IFERROR(__xludf.DUMMYFUNCTION("""COMPUTED_VALUE"""),"MICRO")</f>
        <v>MICRO</v>
      </c>
      <c r="B300" s="361" t="str">
        <f>IFERROR(__xludf.DUMMYFUNCTION("""COMPUTED_VALUE"""),"nisrina.atira
")</f>
        <v>nisrina.atira
</v>
      </c>
      <c r="C300" s="257" t="str">
        <f>IFERROR(__xludf.DUMMYFUNCTION("""COMPUTED_VALUE"""),"https://www.tiktok.com/@nisrina.atira
")</f>
        <v>https://www.tiktok.com/@nisrina.atira
</v>
      </c>
      <c r="D300" s="270">
        <f>IFERROR(__xludf.DUMMYFUNCTION("""COMPUTED_VALUE"""),8.2245320416E10)</f>
        <v>82245320416</v>
      </c>
      <c r="E300" s="457">
        <f>IFERROR(__xludf.DUMMYFUNCTION("""COMPUTED_VALUE"""),0.0)</f>
        <v>0</v>
      </c>
      <c r="F300" s="270">
        <f>IFERROR(__xludf.DUMMYFUNCTION("""COMPUTED_VALUE"""),4.0)</f>
        <v>4</v>
      </c>
      <c r="G300" s="17" t="str">
        <f>IFERROR(__xludf.DUMMYFUNCTION("""COMPUTED_VALUE"""),"Sabun batang 1 Box ( 2 PCS )")</f>
        <v>Sabun batang 1 Box ( 2 PCS )</v>
      </c>
      <c r="H300" s="463" t="str">
        <f>IFERROR(__xludf.DUMMYFUNCTION("""COMPUTED_VALUE"""),"Sampai")</f>
        <v>Sampai</v>
      </c>
      <c r="I300" s="464" t="str">
        <f>IFERROR(__xludf.DUMMYFUNCTION("""COMPUTED_VALUE"""),"KIMME")</f>
        <v>KIMME</v>
      </c>
      <c r="J300" s="279" t="str">
        <f>IFERROR(__xludf.DUMMYFUNCTION("""COMPUTED_VALUE"""),"https://www.tiktok.com/@nisrina.atira/video/7616785338035490066?is_from_webapp=1&amp;sender_device=pc&amp;web_id=7611930277489657360")</f>
        <v>https://www.tiktok.com/@nisrina.atira/video/7616785338035490066?is_from_webapp=1&amp;sender_device=pc&amp;web_id=7611930277489657360</v>
      </c>
      <c r="K300" s="464" t="str">
        <f>IFERROR(__xludf.DUMMYFUNCTION("""COMPUTED_VALUE"""),"KIMME")</f>
        <v>KIMME</v>
      </c>
      <c r="L300" s="279" t="str">
        <f>IFERROR(__xludf.DUMMYFUNCTION("""COMPUTED_VALUE"""),"https://www.tiktok.com/@nisrina.atira/video/7617473874271227154?is_from_webapp=1&amp;sender_device=pc&amp;web_id=7611930277489657360")</f>
        <v>https://www.tiktok.com/@nisrina.atira/video/7617473874271227154?is_from_webapp=1&amp;sender_device=pc&amp;web_id=7611930277489657360</v>
      </c>
      <c r="M300" s="464" t="str">
        <f>IFERROR(__xludf.DUMMYFUNCTION("""COMPUTED_VALUE"""),"KIMME")</f>
        <v>KIMME</v>
      </c>
      <c r="N300" s="279" t="str">
        <f>IFERROR(__xludf.DUMMYFUNCTION("""COMPUTED_VALUE"""),"https://www.tiktok.com/@nisrina.atira/video/7617874210588839176?is_from_webapp=1&amp;sender_device=pc&amp;web_id=7611930277489657360")</f>
        <v>https://www.tiktok.com/@nisrina.atira/video/7617874210588839176?is_from_webapp=1&amp;sender_device=pc&amp;web_id=7611930277489657360</v>
      </c>
      <c r="O300" s="464" t="str">
        <f>IFERROR(__xludf.DUMMYFUNCTION("""COMPUTED_VALUE"""),"KIMME")</f>
        <v>KIMME</v>
      </c>
      <c r="P300" s="279" t="str">
        <f>IFERROR(__xludf.DUMMYFUNCTION("""COMPUTED_VALUE"""),"https://www.tiktok.com/@nisrina.atira/video/7621232998146428168?is_from_webapp=1&amp;sender_device=pc&amp;web_id=7611930277489657360")</f>
        <v>https://www.tiktok.com/@nisrina.atira/video/7621232998146428168?is_from_webapp=1&amp;sender_device=pc&amp;web_id=7611930277489657360</v>
      </c>
    </row>
    <row r="301">
      <c r="A301" s="255" t="str">
        <f>IFERROR(__xludf.DUMMYFUNCTION("""COMPUTED_VALUE"""),"MICRO")</f>
        <v>MICRO</v>
      </c>
      <c r="B301" s="361" t="str">
        <f>IFERROR(__xludf.DUMMYFUNCTION("""COMPUTED_VALUE"""),"winaling")</f>
        <v>winaling</v>
      </c>
      <c r="C301" s="257" t="str">
        <f>IFERROR(__xludf.DUMMYFUNCTION("""COMPUTED_VALUE"""),"https://www.tiktok.com/@winaling")</f>
        <v>https://www.tiktok.com/@winaling</v>
      </c>
      <c r="D301" s="270">
        <f>IFERROR(__xludf.DUMMYFUNCTION("""COMPUTED_VALUE"""),8.5719451141E10)</f>
        <v>85719451141</v>
      </c>
      <c r="E301" s="457">
        <f>IFERROR(__xludf.DUMMYFUNCTION("""COMPUTED_VALUE"""),0.0)</f>
        <v>0</v>
      </c>
      <c r="F301" s="270">
        <f>IFERROR(__xludf.DUMMYFUNCTION("""COMPUTED_VALUE"""),2.0)</f>
        <v>2</v>
      </c>
      <c r="G301" s="17" t="str">
        <f>IFERROR(__xludf.DUMMYFUNCTION("""COMPUTED_VALUE"""),"Sabun batang 1 Box ( 2 PCS )")</f>
        <v>Sabun batang 1 Box ( 2 PCS )</v>
      </c>
      <c r="H301" s="463" t="str">
        <f>IFERROR(__xludf.DUMMYFUNCTION("""COMPUTED_VALUE"""),"Sampai")</f>
        <v>Sampai</v>
      </c>
      <c r="I301" s="464" t="str">
        <f>IFERROR(__xludf.DUMMYFUNCTION("""COMPUTED_VALUE"""),"KIMME")</f>
        <v>KIMME</v>
      </c>
      <c r="J301" s="279" t="str">
        <f>IFERROR(__xludf.DUMMYFUNCTION("""COMPUTED_VALUE"""),"https://www.tiktok.com/@winaling/video/7624916744888536340?is_from_webapp=1&amp;sender_device=pc&amp;web_id=7611930277489657360")</f>
        <v>https://www.tiktok.com/@winaling/video/7624916744888536340?is_from_webapp=1&amp;sender_device=pc&amp;web_id=7611930277489657360</v>
      </c>
      <c r="K301" s="464" t="str">
        <f>IFERROR(__xludf.DUMMYFUNCTION("""COMPUTED_VALUE"""),"KIMME")</f>
        <v>KIMME</v>
      </c>
      <c r="L301" s="279" t="str">
        <f>IFERROR(__xludf.DUMMYFUNCTION("""COMPUTED_VALUE"""),"https://www.tiktok.com/@nisrina.atira/video/7626755785078361352?is_from_webapp=1&amp;sender_device=pc&amp;web_id=7611930277489657360")</f>
        <v>https://www.tiktok.com/@nisrina.atira/video/7626755785078361352?is_from_webapp=1&amp;sender_device=pc&amp;web_id=7611930277489657360</v>
      </c>
      <c r="M301" s="464"/>
      <c r="N301" s="17" t="str">
        <f>IFERROR(__xludf.DUMMYFUNCTION("""COMPUTED_VALUE"""),"⁠https://vt.tiktok.com/ZS9pkTNAo/")</f>
        <v>⁠https://vt.tiktok.com/ZS9pkTNAo/</v>
      </c>
      <c r="O301" s="464"/>
      <c r="P301" s="17" t="str">
        <f>IFERROR(__xludf.DUMMYFUNCTION("""COMPUTED_VALUE"""),"⁠https://vt.tiktok.com/ZS9pkHrLA/")</f>
        <v>⁠https://vt.tiktok.com/ZS9pkHrLA/</v>
      </c>
    </row>
    <row r="302">
      <c r="A302" s="255" t="str">
        <f>IFERROR(__xludf.DUMMYFUNCTION("""COMPUTED_VALUE"""),"MICRO")</f>
        <v>MICRO</v>
      </c>
      <c r="B302" s="361" t="str">
        <f>IFERROR(__xludf.DUMMYFUNCTION("""COMPUTED_VALUE"""),"se.sa87")</f>
        <v>se.sa87</v>
      </c>
      <c r="C302" s="257" t="str">
        <f>IFERROR(__xludf.DUMMYFUNCTION("""COMPUTED_VALUE"""),"https://www.tiktok.com/@se.sa87")</f>
        <v>https://www.tiktok.com/@se.sa87</v>
      </c>
      <c r="D302" s="270">
        <f>IFERROR(__xludf.DUMMYFUNCTION("""COMPUTED_VALUE"""),8.38535415E10)</f>
        <v>83853541500</v>
      </c>
      <c r="E302" s="457">
        <f>IFERROR(__xludf.DUMMYFUNCTION("""COMPUTED_VALUE"""),0.0)</f>
        <v>0</v>
      </c>
      <c r="F302" s="270">
        <f>IFERROR(__xludf.DUMMYFUNCTION("""COMPUTED_VALUE"""),4.0)</f>
        <v>4</v>
      </c>
      <c r="G302" s="17" t="str">
        <f>IFERROR(__xludf.DUMMYFUNCTION("""COMPUTED_VALUE"""),"Sabun batang 1 Box ( 2 PCS )")</f>
        <v>Sabun batang 1 Box ( 2 PCS )</v>
      </c>
      <c r="H302" s="463" t="str">
        <f>IFERROR(__xludf.DUMMYFUNCTION("""COMPUTED_VALUE"""),"Sampai")</f>
        <v>Sampai</v>
      </c>
      <c r="I302" s="464" t="str">
        <f>IFERROR(__xludf.DUMMYFUNCTION("""COMPUTED_VALUE"""),"KIMME")</f>
        <v>KIMME</v>
      </c>
      <c r="J302" s="279" t="str">
        <f>IFERROR(__xludf.DUMMYFUNCTION("""COMPUTED_VALUE"""),"https://www.tiktok.com/@iciiiiss_/video/7626202944530140437?is_from_webapp=1&amp;sender_device=pc&amp;web_id=7611930277489657360")</f>
        <v>https://www.tiktok.com/@iciiiiss_/video/7626202944530140437?is_from_webapp=1&amp;sender_device=pc&amp;web_id=7611930277489657360</v>
      </c>
      <c r="K302" s="464" t="str">
        <f>IFERROR(__xludf.DUMMYFUNCTION("""COMPUTED_VALUE"""),"KIMME")</f>
        <v>KIMME</v>
      </c>
      <c r="L302" s="279" t="str">
        <f>IFERROR(__xludf.DUMMYFUNCTION("""COMPUTED_VALUE"""),"https://www.tiktok.com/@friskafrl/video/7627037458449845525?is_from_webapp=1&amp;sender_device=pc")</f>
        <v>https://www.tiktok.com/@friskafrl/video/7627037458449845525?is_from_webapp=1&amp;sender_device=pc</v>
      </c>
      <c r="M302" s="464" t="str">
        <f>IFERROR(__xludf.DUMMYFUNCTION("""COMPUTED_VALUE"""),"KIMME")</f>
        <v>KIMME</v>
      </c>
      <c r="N302" s="279" t="str">
        <f>IFERROR(__xludf.DUMMYFUNCTION("""COMPUTED_VALUE"""),"https://www.tiktok.com/@friskafrl/video/7628140003306081557?is_from_webapp=1&amp;sender_device=pc")</f>
        <v>https://www.tiktok.com/@friskafrl/video/7628140003306081557?is_from_webapp=1&amp;sender_device=pc</v>
      </c>
      <c r="O302" s="464" t="str">
        <f>IFERROR(__xludf.DUMMYFUNCTION("""COMPUTED_VALUE"""),"KIMME")</f>
        <v>KIMME</v>
      </c>
      <c r="P302" s="279" t="str">
        <f>IFERROR(__xludf.DUMMYFUNCTION("""COMPUTED_VALUE"""),"https://www.tiktok.com/@snowme.shop/video/7627483819351870741?is_from_webapp=1&amp;sender_device=pc")</f>
        <v>https://www.tiktok.com/@snowme.shop/video/7627483819351870741?is_from_webapp=1&amp;sender_device=pc</v>
      </c>
    </row>
    <row r="303">
      <c r="A303" s="255" t="str">
        <f>IFERROR(__xludf.DUMMYFUNCTION("""COMPUTED_VALUE"""),"MICRO")</f>
        <v>MICRO</v>
      </c>
      <c r="B303" s="361" t="str">
        <f>IFERROR(__xludf.DUMMYFUNCTION("""COMPUTED_VALUE"""),"userrrrrr073124")</f>
        <v>userrrrrr073124</v>
      </c>
      <c r="C303" s="257" t="str">
        <f>IFERROR(__xludf.DUMMYFUNCTION("""COMPUTED_VALUE"""),"https://www.tiktok.com/@userrrrrr073124")</f>
        <v>https://www.tiktok.com/@userrrrrr073124</v>
      </c>
      <c r="D303" s="270">
        <f>IFERROR(__xludf.DUMMYFUNCTION("""COMPUTED_VALUE"""),8.1218368057E10)</f>
        <v>81218368057</v>
      </c>
      <c r="E303" s="457">
        <f>IFERROR(__xludf.DUMMYFUNCTION("""COMPUTED_VALUE"""),0.0)</f>
        <v>0</v>
      </c>
      <c r="F303" s="270">
        <f>IFERROR(__xludf.DUMMYFUNCTION("""COMPUTED_VALUE"""),4.0)</f>
        <v>4</v>
      </c>
      <c r="G303" s="17" t="str">
        <f>IFERROR(__xludf.DUMMYFUNCTION("""COMPUTED_VALUE"""),"Sabun batang 1 Box ( 2 PCS )")</f>
        <v>Sabun batang 1 Box ( 2 PCS )</v>
      </c>
      <c r="H303" s="463" t="str">
        <f>IFERROR(__xludf.DUMMYFUNCTION("""COMPUTED_VALUE"""),"Sampai")</f>
        <v>Sampai</v>
      </c>
      <c r="I303" s="464" t="str">
        <f>IFERROR(__xludf.DUMMYFUNCTION("""COMPUTED_VALUE"""),"KIMME")</f>
        <v>KIMME</v>
      </c>
      <c r="J303" s="279" t="str">
        <f>IFERROR(__xludf.DUMMYFUNCTION("""COMPUTED_VALUE"""),"https://www.tiktok.com/@userrrrrr073124/video/7621173038045809927?is_from_webapp=1&amp;sender_device=pc&amp;web_id=7611930277489657360")</f>
        <v>https://www.tiktok.com/@userrrrrr073124/video/7621173038045809927?is_from_webapp=1&amp;sender_device=pc&amp;web_id=7611930277489657360</v>
      </c>
      <c r="K303" s="464" t="str">
        <f>IFERROR(__xludf.DUMMYFUNCTION("""COMPUTED_VALUE"""),"KIMME")</f>
        <v>KIMME</v>
      </c>
      <c r="L303" s="279" t="str">
        <f>IFERROR(__xludf.DUMMYFUNCTION("""COMPUTED_VALUE"""),"https://www.tiktok.com/@userrrrrr073124/video/7621413833113865479?is_from_webapp=1&amp;sender_device=pc&amp;web_id=7611930277489657360")</f>
        <v>https://www.tiktok.com/@userrrrrr073124/video/7621413833113865479?is_from_webapp=1&amp;sender_device=pc&amp;web_id=7611930277489657360</v>
      </c>
      <c r="M303" s="464" t="str">
        <f>IFERROR(__xludf.DUMMYFUNCTION("""COMPUTED_VALUE"""),"KIMME")</f>
        <v>KIMME</v>
      </c>
      <c r="N303" s="279" t="str">
        <f>IFERROR(__xludf.DUMMYFUNCTION("""COMPUTED_VALUE"""),"https://www.tiktok.com/@userrrrrr073124/video/7621570030202899719?is_from_webapp=1&amp;sender_device=pc&amp;web_id=7611930277489657360")</f>
        <v>https://www.tiktok.com/@userrrrrr073124/video/7621570030202899719?is_from_webapp=1&amp;sender_device=pc&amp;web_id=7611930277489657360</v>
      </c>
      <c r="O303" s="464" t="str">
        <f>IFERROR(__xludf.DUMMYFUNCTION("""COMPUTED_VALUE"""),"KIMME")</f>
        <v>KIMME</v>
      </c>
      <c r="P303" s="279" t="str">
        <f>IFERROR(__xludf.DUMMYFUNCTION("""COMPUTED_VALUE"""),"https://www.tiktok.com/@userrrrrr073124/video/7621838655673404679?is_from_webapp=1&amp;sender_device=pc&amp;web_id=7611930277489657360")</f>
        <v>https://www.tiktok.com/@userrrrrr073124/video/7621838655673404679?is_from_webapp=1&amp;sender_device=pc&amp;web_id=7611930277489657360</v>
      </c>
    </row>
    <row r="304">
      <c r="A304" s="255" t="str">
        <f>IFERROR(__xludf.DUMMYFUNCTION("""COMPUTED_VALUE"""),"MICRO")</f>
        <v>MICRO</v>
      </c>
      <c r="B304" s="361" t="str">
        <f>IFERROR(__xludf.DUMMYFUNCTION("""COMPUTED_VALUE"""),"silpilivii
")</f>
        <v>silpilivii
</v>
      </c>
      <c r="C304" s="257" t="str">
        <f>IFERROR(__xludf.DUMMYFUNCTION("""COMPUTED_VALUE"""),"https://www.tiktok.com/@silpilivii
")</f>
        <v>https://www.tiktok.com/@silpilivii
</v>
      </c>
      <c r="D304" s="270">
        <f>IFERROR(__xludf.DUMMYFUNCTION("""COMPUTED_VALUE"""),8.2115348063E10)</f>
        <v>82115348063</v>
      </c>
      <c r="E304" s="457">
        <f>IFERROR(__xludf.DUMMYFUNCTION("""COMPUTED_VALUE"""),0.0)</f>
        <v>0</v>
      </c>
      <c r="F304" s="270">
        <f>IFERROR(__xludf.DUMMYFUNCTION("""COMPUTED_VALUE"""),4.0)</f>
        <v>4</v>
      </c>
      <c r="G304" s="17" t="str">
        <f>IFERROR(__xludf.DUMMYFUNCTION("""COMPUTED_VALUE"""),"Sabun batang 1 Box ( 2 PCS )")</f>
        <v>Sabun batang 1 Box ( 2 PCS )</v>
      </c>
      <c r="H304" s="463" t="str">
        <f>IFERROR(__xludf.DUMMYFUNCTION("""COMPUTED_VALUE"""),"Sampai")</f>
        <v>Sampai</v>
      </c>
      <c r="I304" s="464" t="str">
        <f>IFERROR(__xludf.DUMMYFUNCTION("""COMPUTED_VALUE"""),"KIMME")</f>
        <v>KIMME</v>
      </c>
      <c r="J304" s="279" t="str">
        <f>IFERROR(__xludf.DUMMYFUNCTION("""COMPUTED_VALUE"""),"https://www.tiktok.com/@silpilivii/video/7612149213115321621?is_from_webapp=1&amp;sender_device=pc&amp;web_id=7611930277489657360")</f>
        <v>https://www.tiktok.com/@silpilivii/video/7612149213115321621?is_from_webapp=1&amp;sender_device=pc&amp;web_id=7611930277489657360</v>
      </c>
      <c r="K304" s="464" t="str">
        <f>IFERROR(__xludf.DUMMYFUNCTION("""COMPUTED_VALUE"""),"KIMME")</f>
        <v>KIMME</v>
      </c>
      <c r="L304" s="279" t="str">
        <f>IFERROR(__xludf.DUMMYFUNCTION("""COMPUTED_VALUE"""),"https://www.tiktok.com/@silpilivii/video/7620665172373310740?is_from_webapp=1&amp;sender_device=pc&amp;web_id=7611930277489657360")</f>
        <v>https://www.tiktok.com/@silpilivii/video/7620665172373310740?is_from_webapp=1&amp;sender_device=pc&amp;web_id=7611930277489657360</v>
      </c>
      <c r="M304" s="464" t="str">
        <f>IFERROR(__xludf.DUMMYFUNCTION("""COMPUTED_VALUE"""),"KIMME")</f>
        <v>KIMME</v>
      </c>
      <c r="N304" s="279" t="str">
        <f>IFERROR(__xludf.DUMMYFUNCTION("""COMPUTED_VALUE"""),"https://www.tiktok.com/@silpilivii/video/7621440239659257109?is_from_webapp=1&amp;sender_device=pc&amp;web_id=7611930277489657360")</f>
        <v>https://www.tiktok.com/@silpilivii/video/7621440239659257109?is_from_webapp=1&amp;sender_device=pc&amp;web_id=7611930277489657360</v>
      </c>
      <c r="O304" s="464" t="str">
        <f>IFERROR(__xludf.DUMMYFUNCTION("""COMPUTED_VALUE"""),"KIMME")</f>
        <v>KIMME</v>
      </c>
      <c r="P304" s="279" t="str">
        <f>IFERROR(__xludf.DUMMYFUNCTION("""COMPUTED_VALUE"""),"https://www.tiktok.com/@snowme.shop/video/7627506185498807572?is_from_webapp=1&amp;sender_device=pc")</f>
        <v>https://www.tiktok.com/@snowme.shop/video/7627506185498807572?is_from_webapp=1&amp;sender_device=pc</v>
      </c>
    </row>
    <row r="305">
      <c r="A305" s="255" t="str">
        <f>IFERROR(__xludf.DUMMYFUNCTION("""COMPUTED_VALUE"""),"MICRO")</f>
        <v>MICRO</v>
      </c>
      <c r="B305" s="361" t="str">
        <f>IFERROR(__xludf.DUMMYFUNCTION("""COMPUTED_VALUE"""),"alvinhwang_")</f>
        <v>alvinhwang_</v>
      </c>
      <c r="C305" s="257" t="str">
        <f>IFERROR(__xludf.DUMMYFUNCTION("""COMPUTED_VALUE"""),"https://www.tiktok.com/@alvinhwang_")</f>
        <v>https://www.tiktok.com/@alvinhwang_</v>
      </c>
      <c r="D305" s="270">
        <f>IFERROR(__xludf.DUMMYFUNCTION("""COMPUTED_VALUE"""),8.1214123936E10)</f>
        <v>81214123936</v>
      </c>
      <c r="E305" s="457">
        <f>IFERROR(__xludf.DUMMYFUNCTION("""COMPUTED_VALUE"""),0.0)</f>
        <v>0</v>
      </c>
      <c r="F305" s="270">
        <f>IFERROR(__xludf.DUMMYFUNCTION("""COMPUTED_VALUE"""),4.0)</f>
        <v>4</v>
      </c>
      <c r="G305" s="17" t="str">
        <f>IFERROR(__xludf.DUMMYFUNCTION("""COMPUTED_VALUE"""),"Sabun batang 1 Box ( 2 PCS )")</f>
        <v>Sabun batang 1 Box ( 2 PCS )</v>
      </c>
      <c r="H305" s="463" t="str">
        <f>IFERROR(__xludf.DUMMYFUNCTION("""COMPUTED_VALUE"""),"Sampai")</f>
        <v>Sampai</v>
      </c>
      <c r="I305" s="464" t="str">
        <f>IFERROR(__xludf.DUMMYFUNCTION("""COMPUTED_VALUE"""),"KIMME")</f>
        <v>KIMME</v>
      </c>
      <c r="J305" s="279" t="str">
        <f>IFERROR(__xludf.DUMMYFUNCTION("""COMPUTED_VALUE"""),"https://www.tiktok.com/@snowme.shop/video/7627663870852631828?is_from_webapp=1&amp;sender_device=pc")</f>
        <v>https://www.tiktok.com/@snowme.shop/video/7627663870852631828?is_from_webapp=1&amp;sender_device=pc</v>
      </c>
      <c r="K305" s="464" t="str">
        <f>IFERROR(__xludf.DUMMYFUNCTION("""COMPUTED_VALUE"""),"KIMME")</f>
        <v>KIMME</v>
      </c>
      <c r="L305" s="279" t="str">
        <f>IFERROR(__xludf.DUMMYFUNCTION("""COMPUTED_VALUE"""),"https://www.tiktok.com/@snowme.shop/video/7627896267414326548?is_from_webapp=1&amp;sender_device=pc")</f>
        <v>https://www.tiktok.com/@snowme.shop/video/7627896267414326548?is_from_webapp=1&amp;sender_device=pc</v>
      </c>
      <c r="M305" s="464" t="str">
        <f>IFERROR(__xludf.DUMMYFUNCTION("""COMPUTED_VALUE"""),"KIMME")</f>
        <v>KIMME</v>
      </c>
      <c r="N305" s="279" t="str">
        <f>IFERROR(__xludf.DUMMYFUNCTION("""COMPUTED_VALUE"""),"https://www.tiktok.com/@snowme.shop/video/7627901126972673301?is_from_webapp=1&amp;sender_device=pc")</f>
        <v>https://www.tiktok.com/@snowme.shop/video/7627901126972673301?is_from_webapp=1&amp;sender_device=pc</v>
      </c>
      <c r="O305" s="464" t="str">
        <f>IFERROR(__xludf.DUMMYFUNCTION("""COMPUTED_VALUE"""),"KIMME")</f>
        <v>KIMME</v>
      </c>
      <c r="P305" s="279" t="str">
        <f>IFERROR(__xludf.DUMMYFUNCTION("""COMPUTED_VALUE"""),"https://www.tiktok.com/@snowme.shop/video/7628065885810461973?is_from_webapp=1&amp;sender_device=pc")</f>
        <v>https://www.tiktok.com/@snowme.shop/video/7628065885810461973?is_from_webapp=1&amp;sender_device=pc</v>
      </c>
    </row>
    <row r="306">
      <c r="A306" s="255" t="str">
        <f>IFERROR(__xludf.DUMMYFUNCTION("""COMPUTED_VALUE"""),"MACRO")</f>
        <v>MACRO</v>
      </c>
      <c r="B306" s="361" t="str">
        <f>IFERROR(__xludf.DUMMYFUNCTION("""COMPUTED_VALUE"""),"heraariska_")</f>
        <v>heraariska_</v>
      </c>
      <c r="C306" s="257" t="str">
        <f>IFERROR(__xludf.DUMMYFUNCTION("""COMPUTED_VALUE"""),"https://www.tiktok.com/@heraariska_")</f>
        <v>https://www.tiktok.com/@heraariska_</v>
      </c>
      <c r="D306" s="270">
        <f>IFERROR(__xludf.DUMMYFUNCTION("""COMPUTED_VALUE"""),8.223034157E10)</f>
        <v>82230341570</v>
      </c>
      <c r="E306" s="457">
        <f>IFERROR(__xludf.DUMMYFUNCTION("""COMPUTED_VALUE"""),0.0)</f>
        <v>0</v>
      </c>
      <c r="F306" s="270">
        <f>IFERROR(__xludf.DUMMYFUNCTION("""COMPUTED_VALUE"""),2.0)</f>
        <v>2</v>
      </c>
      <c r="G306" s="17" t="str">
        <f>IFERROR(__xludf.DUMMYFUNCTION("""COMPUTED_VALUE"""),"Sabun batang 1 Box ( 2 PCS )")</f>
        <v>Sabun batang 1 Box ( 2 PCS )</v>
      </c>
      <c r="H306" s="463" t="str">
        <f>IFERROR(__xludf.DUMMYFUNCTION("""COMPUTED_VALUE"""),"Sampai")</f>
        <v>Sampai</v>
      </c>
      <c r="I306" s="464" t="str">
        <f>IFERROR(__xludf.DUMMYFUNCTION("""COMPUTED_VALUE"""),"KIMME")</f>
        <v>KIMME</v>
      </c>
      <c r="J306" s="279" t="str">
        <f>IFERROR(__xludf.DUMMYFUNCTION("""COMPUTED_VALUE"""),"https://www.tiktok.com/@alzafbeauty/video/7610768885763165448?is_from_webapp=1&amp;sender_device=pc")</f>
        <v>https://www.tiktok.com/@alzafbeauty/video/7610768885763165448?is_from_webapp=1&amp;sender_device=pc</v>
      </c>
      <c r="K306" s="464" t="str">
        <f>IFERROR(__xludf.DUMMYFUNCTION("""COMPUTED_VALUE"""),"KIMME")</f>
        <v>KIMME</v>
      </c>
      <c r="L306" s="279" t="str">
        <f>IFERROR(__xludf.DUMMYFUNCTION("""COMPUTED_VALUE"""),"https://www.tiktok.com/@alzafbeauty/video/7612534565084695816?is_from_webapp=1&amp;sender_device=pc")</f>
        <v>https://www.tiktok.com/@alzafbeauty/video/7612534565084695816?is_from_webapp=1&amp;sender_device=pc</v>
      </c>
      <c r="M306" s="464"/>
      <c r="N306" s="17"/>
      <c r="O306" s="464"/>
      <c r="P306" s="17"/>
    </row>
    <row r="307">
      <c r="A307" s="255" t="str">
        <f>IFERROR(__xludf.DUMMYFUNCTION("""COMPUTED_VALUE"""),"MICRO")</f>
        <v>MICRO</v>
      </c>
      <c r="B307" s="361" t="str">
        <f>IFERROR(__xludf.DUMMYFUNCTION("""COMPUTED_VALUE"""),"erikafbrnt_")</f>
        <v>erikafbrnt_</v>
      </c>
      <c r="C307" s="257" t="str">
        <f>IFERROR(__xludf.DUMMYFUNCTION("""COMPUTED_VALUE"""),"https://www.tiktok.com/@erikafbrnt_")</f>
        <v>https://www.tiktok.com/@erikafbrnt_</v>
      </c>
      <c r="D307" s="270">
        <f>IFERROR(__xludf.DUMMYFUNCTION("""COMPUTED_VALUE"""),8.575911836E10)</f>
        <v>85759118360</v>
      </c>
      <c r="E307" s="457">
        <f>IFERROR(__xludf.DUMMYFUNCTION("""COMPUTED_VALUE"""),0.0)</f>
        <v>0</v>
      </c>
      <c r="F307" s="270">
        <f>IFERROR(__xludf.DUMMYFUNCTION("""COMPUTED_VALUE"""),1.0)</f>
        <v>1</v>
      </c>
      <c r="G307" s="17" t="str">
        <f>IFERROR(__xludf.DUMMYFUNCTION("""COMPUTED_VALUE"""),"Sabun batang 1 Box ( 2 PCS )")</f>
        <v>Sabun batang 1 Box ( 2 PCS )</v>
      </c>
      <c r="H307" s="463" t="str">
        <f>IFERROR(__xludf.DUMMYFUNCTION("""COMPUTED_VALUE"""),"Sampai")</f>
        <v>Sampai</v>
      </c>
      <c r="I307" s="464" t="str">
        <f>IFERROR(__xludf.DUMMYFUNCTION("""COMPUTED_VALUE"""),"KIMME")</f>
        <v>KIMME</v>
      </c>
      <c r="J307" s="17" t="str">
        <f>IFERROR(__xludf.DUMMYFUNCTION("""COMPUTED_VALUE"""),"⁠https://vt.tiktok.com/ZS9g638yK/")</f>
        <v>⁠https://vt.tiktok.com/ZS9g638yK/</v>
      </c>
      <c r="K307" s="464" t="str">
        <f>IFERROR(__xludf.DUMMYFUNCTION("""COMPUTED_VALUE"""),"KIMME")</f>
        <v>KIMME</v>
      </c>
      <c r="L307" s="279" t="str">
        <f>IFERROR(__xludf.DUMMYFUNCTION("""COMPUTED_VALUE"""),"https://vt.tiktok.com/ZS9gMJpK9/")</f>
        <v>https://vt.tiktok.com/ZS9gMJpK9/</v>
      </c>
      <c r="M307" s="464"/>
      <c r="N307" s="17" t="str">
        <f>IFERROR(__xludf.DUMMYFUNCTION("""COMPUTED_VALUE"""),"⁠https://vt.tiktok.com/ZS9gMNU5p/")</f>
        <v>⁠https://vt.tiktok.com/ZS9gMNU5p/</v>
      </c>
      <c r="O307" s="464"/>
      <c r="P307" s="17" t="str">
        <f>IFERROR(__xludf.DUMMYFUNCTION("""COMPUTED_VALUE"""),"⁠https://vt.tiktok.com/ZS9gMehrr/")</f>
        <v>⁠https://vt.tiktok.com/ZS9gMehrr/</v>
      </c>
    </row>
    <row r="308">
      <c r="A308" s="255" t="str">
        <f>IFERROR(__xludf.DUMMYFUNCTION("""COMPUTED_VALUE"""),"MICRO")</f>
        <v>MICRO</v>
      </c>
      <c r="B308" s="361" t="str">
        <f>IFERROR(__xludf.DUMMYFUNCTION("""COMPUTED_VALUE"""),"aliyahris_")</f>
        <v>aliyahris_</v>
      </c>
      <c r="C308" s="257" t="str">
        <f>IFERROR(__xludf.DUMMYFUNCTION("""COMPUTED_VALUE"""),"https://www.tiktok.com/@aliyahris_")</f>
        <v>https://www.tiktok.com/@aliyahris_</v>
      </c>
      <c r="D308" s="270">
        <f>IFERROR(__xludf.DUMMYFUNCTION("""COMPUTED_VALUE"""),8.7770219615E10)</f>
        <v>87770219615</v>
      </c>
      <c r="E308" s="457">
        <f>IFERROR(__xludf.DUMMYFUNCTION("""COMPUTED_VALUE"""),0.0)</f>
        <v>0</v>
      </c>
      <c r="F308" s="270">
        <f>IFERROR(__xludf.DUMMYFUNCTION("""COMPUTED_VALUE"""),4.0)</f>
        <v>4</v>
      </c>
      <c r="G308" s="17" t="str">
        <f>IFERROR(__xludf.DUMMYFUNCTION("""COMPUTED_VALUE"""),"Sabun batang 1 Box ( 2 PCS )")</f>
        <v>Sabun batang 1 Box ( 2 PCS )</v>
      </c>
      <c r="H308" s="463" t="str">
        <f>IFERROR(__xludf.DUMMYFUNCTION("""COMPUTED_VALUE"""),"Sampai")</f>
        <v>Sampai</v>
      </c>
      <c r="I308" s="464" t="str">
        <f>IFERROR(__xludf.DUMMYFUNCTION("""COMPUTED_VALUE"""),"KIMME")</f>
        <v>KIMME</v>
      </c>
      <c r="J308" s="279" t="str">
        <f>IFERROR(__xludf.DUMMYFUNCTION("""COMPUTED_VALUE"""),"https://vt.tiktok.com/ZSuBk9oNN/")</f>
        <v>https://vt.tiktok.com/ZSuBk9oNN/</v>
      </c>
      <c r="K308" s="464" t="str">
        <f>IFERROR(__xludf.DUMMYFUNCTION("""COMPUTED_VALUE"""),"KIMME")</f>
        <v>KIMME</v>
      </c>
      <c r="L308" s="279" t="str">
        <f>IFERROR(__xludf.DUMMYFUNCTION("""COMPUTED_VALUE"""),"https://vt.tiktok.com/ZSuBkQknD/")</f>
        <v>https://vt.tiktok.com/ZSuBkQknD/</v>
      </c>
      <c r="M308" s="464" t="str">
        <f>IFERROR(__xludf.DUMMYFUNCTION("""COMPUTED_VALUE"""),"KIMME")</f>
        <v>KIMME</v>
      </c>
      <c r="N308" s="279" t="str">
        <f>IFERROR(__xludf.DUMMYFUNCTION("""COMPUTED_VALUE"""),"https://vt.tiktok.com/ZSuku8EHF/")</f>
        <v>https://vt.tiktok.com/ZSuku8EHF/</v>
      </c>
      <c r="O308" s="464" t="str">
        <f>IFERROR(__xludf.DUMMYFUNCTION("""COMPUTED_VALUE"""),"KIMME")</f>
        <v>KIMME</v>
      </c>
      <c r="P308" s="279" t="str">
        <f>IFERROR(__xludf.DUMMYFUNCTION("""COMPUTED_VALUE"""),"https://vt.tiktok.com/ZSukuLFXn/")</f>
        <v>https://vt.tiktok.com/ZSukuLFXn/</v>
      </c>
    </row>
    <row r="309">
      <c r="A309" s="255" t="str">
        <f>IFERROR(__xludf.DUMMYFUNCTION("""COMPUTED_VALUE"""),"MICRO")</f>
        <v>MICRO</v>
      </c>
      <c r="B309" s="361" t="str">
        <f>IFERROR(__xludf.DUMMYFUNCTION("""COMPUTED_VALUE"""),"hestiisyawal")</f>
        <v>hestiisyawal</v>
      </c>
      <c r="C309" s="257" t="str">
        <f>IFERROR(__xludf.DUMMYFUNCTION("""COMPUTED_VALUE"""),"https://www.tiktok.com/@hestiisyawal")</f>
        <v>https://www.tiktok.com/@hestiisyawal</v>
      </c>
      <c r="D309" s="270">
        <f>IFERROR(__xludf.DUMMYFUNCTION("""COMPUTED_VALUE"""),8.782202607E10)</f>
        <v>87822026070</v>
      </c>
      <c r="E309" s="457">
        <f>IFERROR(__xludf.DUMMYFUNCTION("""COMPUTED_VALUE"""),0.0)</f>
        <v>0</v>
      </c>
      <c r="F309" s="270">
        <f>IFERROR(__xludf.DUMMYFUNCTION("""COMPUTED_VALUE"""),4.0)</f>
        <v>4</v>
      </c>
      <c r="G309" s="17" t="str">
        <f>IFERROR(__xludf.DUMMYFUNCTION("""COMPUTED_VALUE"""),"Sabun batang 1 Box ( 2 PCS )")</f>
        <v>Sabun batang 1 Box ( 2 PCS )</v>
      </c>
      <c r="H309" s="463" t="str">
        <f>IFERROR(__xludf.DUMMYFUNCTION("""COMPUTED_VALUE"""),"Sampai")</f>
        <v>Sampai</v>
      </c>
      <c r="I309" s="464" t="str">
        <f>IFERROR(__xludf.DUMMYFUNCTION("""COMPUTED_VALUE"""),"KIMME")</f>
        <v>KIMME</v>
      </c>
      <c r="J309" s="279" t="str">
        <f>IFERROR(__xludf.DUMMYFUNCTION("""COMPUTED_VALUE"""),"https://www.tiktok.com/@_sweetly19/video/7607741047619341589?is_from_webapp=1&amp;sender_device=pc")</f>
        <v>https://www.tiktok.com/@_sweetly19/video/7607741047619341589?is_from_webapp=1&amp;sender_device=pc</v>
      </c>
      <c r="K309" s="464" t="str">
        <f>IFERROR(__xludf.DUMMYFUNCTION("""COMPUTED_VALUE"""),"KIMME")</f>
        <v>KIMME</v>
      </c>
      <c r="L309" s="279" t="str">
        <f>IFERROR(__xludf.DUMMYFUNCTION("""COMPUTED_VALUE"""),"https://www.tiktok.com/@_sweetly19/video/7607865218923859220?is_from_webapp=1&amp;sender_device=pc")</f>
        <v>https://www.tiktok.com/@_sweetly19/video/7607865218923859220?is_from_webapp=1&amp;sender_device=pc</v>
      </c>
      <c r="M309" s="464" t="str">
        <f>IFERROR(__xludf.DUMMYFUNCTION("""COMPUTED_VALUE"""),"KIMME")</f>
        <v>KIMME</v>
      </c>
      <c r="N309" s="279" t="str">
        <f>IFERROR(__xludf.DUMMYFUNCTION("""COMPUTED_VALUE"""),"https://www.tiktok.com/@_sweetly19/video/7607863158480358677?is_from_webapp=1&amp;sender_device=pc")</f>
        <v>https://www.tiktok.com/@_sweetly19/video/7607863158480358677?is_from_webapp=1&amp;sender_device=pc</v>
      </c>
      <c r="O309" s="464" t="str">
        <f>IFERROR(__xludf.DUMMYFUNCTION("""COMPUTED_VALUE"""),"KIMME")</f>
        <v>KIMME</v>
      </c>
      <c r="P309" s="279" t="str">
        <f>IFERROR(__xludf.DUMMYFUNCTION("""COMPUTED_VALUE"""),"https://www.tiktok.com/@_sweetly19/video/7607996964822600981?is_from_webapp=1&amp;sender_device=pc")</f>
        <v>https://www.tiktok.com/@_sweetly19/video/7607996964822600981?is_from_webapp=1&amp;sender_device=pc</v>
      </c>
    </row>
    <row r="310">
      <c r="A310" s="255" t="str">
        <f>IFERROR(__xludf.DUMMYFUNCTION("""COMPUTED_VALUE"""),"MICRO")</f>
        <v>MICRO</v>
      </c>
      <c r="B310" s="361" t="str">
        <f>IFERROR(__xludf.DUMMYFUNCTION("""COMPUTED_VALUE"""),"tobeepretty")</f>
        <v>tobeepretty</v>
      </c>
      <c r="C310" s="257" t="str">
        <f>IFERROR(__xludf.DUMMYFUNCTION("""COMPUTED_VALUE"""),"https://www.tiktok.com/@tobeepretty")</f>
        <v>https://www.tiktok.com/@tobeepretty</v>
      </c>
      <c r="D310" s="270">
        <f>IFERROR(__xludf.DUMMYFUNCTION("""COMPUTED_VALUE"""),8.3195224573E10)</f>
        <v>83195224573</v>
      </c>
      <c r="E310" s="457">
        <f>IFERROR(__xludf.DUMMYFUNCTION("""COMPUTED_VALUE"""),0.0)</f>
        <v>0</v>
      </c>
      <c r="F310" s="270">
        <f>IFERROR(__xludf.DUMMYFUNCTION("""COMPUTED_VALUE"""),4.0)</f>
        <v>4</v>
      </c>
      <c r="G310" s="17" t="str">
        <f>IFERROR(__xludf.DUMMYFUNCTION("""COMPUTED_VALUE"""),"Sabun batang 1 Box ( 2 PCS )")</f>
        <v>Sabun batang 1 Box ( 2 PCS )</v>
      </c>
      <c r="H310" s="463" t="str">
        <f>IFERROR(__xludf.DUMMYFUNCTION("""COMPUTED_VALUE"""),"Sampai")</f>
        <v>Sampai</v>
      </c>
      <c r="I310" s="464" t="str">
        <f>IFERROR(__xludf.DUMMYFUNCTION("""COMPUTED_VALUE"""),"KIMME")</f>
        <v>KIMME</v>
      </c>
      <c r="J310" s="279" t="str">
        <f>IFERROR(__xludf.DUMMYFUNCTION("""COMPUTED_VALUE"""),"https://www.tiktok.com/@ikkenovi18/video/7606166102640512274?is_from_webapp=1")</f>
        <v>https://www.tiktok.com/@ikkenovi18/video/7606166102640512274?is_from_webapp=1</v>
      </c>
      <c r="K310" s="464" t="str">
        <f>IFERROR(__xludf.DUMMYFUNCTION("""COMPUTED_VALUE"""),"KIMME")</f>
        <v>KIMME</v>
      </c>
      <c r="L310" s="279" t="str">
        <f>IFERROR(__xludf.DUMMYFUNCTION("""COMPUTED_VALUE"""),"https://vt.tiktok.com/ZSuJAheJ1/")</f>
        <v>https://vt.tiktok.com/ZSuJAheJ1/</v>
      </c>
      <c r="M310" s="464" t="str">
        <f>IFERROR(__xludf.DUMMYFUNCTION("""COMPUTED_VALUE"""),"KIMME")</f>
        <v>KIMME</v>
      </c>
      <c r="N310" s="279" t="str">
        <f>IFERROR(__xludf.DUMMYFUNCTION("""COMPUTED_VALUE"""),"https://vt.tiktok.com/ZSuJADV1E/")</f>
        <v>https://vt.tiktok.com/ZSuJADV1E/</v>
      </c>
      <c r="O310" s="464" t="str">
        <f>IFERROR(__xludf.DUMMYFUNCTION("""COMPUTED_VALUE"""),"KIMME")</f>
        <v>KIMME</v>
      </c>
      <c r="P310" s="279" t="str">
        <f>IFERROR(__xludf.DUMMYFUNCTION("""COMPUTED_VALUE"""),"https://vt.tiktok.com/ZSuJDosP9/")</f>
        <v>https://vt.tiktok.com/ZSuJDosP9/</v>
      </c>
    </row>
    <row r="311">
      <c r="A311" s="255" t="str">
        <f>IFERROR(__xludf.DUMMYFUNCTION("""COMPUTED_VALUE"""),"MICRO")</f>
        <v>MICRO</v>
      </c>
      <c r="B311" s="361" t="str">
        <f>IFERROR(__xludf.DUMMYFUNCTION("""COMPUTED_VALUE"""),"hannnnn133")</f>
        <v>hannnnn133</v>
      </c>
      <c r="C311" s="257" t="str">
        <f>IFERROR(__xludf.DUMMYFUNCTION("""COMPUTED_VALUE"""),"https://www.tiktok.com/@hannnnn133")</f>
        <v>https://www.tiktok.com/@hannnnn133</v>
      </c>
      <c r="D311" s="270">
        <f>IFERROR(__xludf.DUMMYFUNCTION("""COMPUTED_VALUE"""),8.5717584413E10)</f>
        <v>85717584413</v>
      </c>
      <c r="E311" s="457">
        <f>IFERROR(__xludf.DUMMYFUNCTION("""COMPUTED_VALUE"""),0.0)</f>
        <v>0</v>
      </c>
      <c r="F311" s="270">
        <f>IFERROR(__xludf.DUMMYFUNCTION("""COMPUTED_VALUE"""),4.0)</f>
        <v>4</v>
      </c>
      <c r="G311" s="17" t="str">
        <f>IFERROR(__xludf.DUMMYFUNCTION("""COMPUTED_VALUE"""),"Sabun batang 1 Box ( 2 PCS )")</f>
        <v>Sabun batang 1 Box ( 2 PCS )</v>
      </c>
      <c r="H311" s="463" t="str">
        <f>IFERROR(__xludf.DUMMYFUNCTION("""COMPUTED_VALUE"""),"Sampai")</f>
        <v>Sampai</v>
      </c>
      <c r="I311" s="464" t="str">
        <f>IFERROR(__xludf.DUMMYFUNCTION("""COMPUTED_VALUE"""),"KIMME")</f>
        <v>KIMME</v>
      </c>
      <c r="J311" s="279" t="str">
        <f>IFERROR(__xludf.DUMMYFUNCTION("""COMPUTED_VALUE"""),"https://www.tiktok.com/@rithasimarmataa/video/7610320938340535572?is_from_webapp=1&amp;sender_device=pc")</f>
        <v>https://www.tiktok.com/@rithasimarmataa/video/7610320938340535572?is_from_webapp=1&amp;sender_device=pc</v>
      </c>
      <c r="K311" s="464" t="str">
        <f>IFERROR(__xludf.DUMMYFUNCTION("""COMPUTED_VALUE"""),"KIMME")</f>
        <v>KIMME</v>
      </c>
      <c r="L311" s="279" t="str">
        <f>IFERROR(__xludf.DUMMYFUNCTION("""COMPUTED_VALUE"""),"https://www.tiktok.com/@nina_kadier/video/7607580605580053768?is_from_webapp=1&amp;sender_device=pc")</f>
        <v>https://www.tiktok.com/@nina_kadier/video/7607580605580053768?is_from_webapp=1&amp;sender_device=pc</v>
      </c>
      <c r="M311" s="464" t="str">
        <f>IFERROR(__xludf.DUMMYFUNCTION("""COMPUTED_VALUE"""),"KIMME")</f>
        <v>KIMME</v>
      </c>
      <c r="N311" s="279" t="str">
        <f>IFERROR(__xludf.DUMMYFUNCTION("""COMPUTED_VALUE"""),"https://www.tiktok.com/@nina_kadier/video/7611653776373517586?is_from_webapp=1&amp;sender_device=pc")</f>
        <v>https://www.tiktok.com/@nina_kadier/video/7611653776373517586?is_from_webapp=1&amp;sender_device=pc</v>
      </c>
      <c r="O311" s="464" t="str">
        <f>IFERROR(__xludf.DUMMYFUNCTION("""COMPUTED_VALUE"""),"KIMME")</f>
        <v>KIMME</v>
      </c>
      <c r="P311" s="279" t="str">
        <f>IFERROR(__xludf.DUMMYFUNCTION("""COMPUTED_VALUE"""),"https://www.tiktok.com/@nina_kadier/video/7614243626222161159?is_from_webapp=1&amp;sender_device=pc")</f>
        <v>https://www.tiktok.com/@nina_kadier/video/7614243626222161159?is_from_webapp=1&amp;sender_device=pc</v>
      </c>
    </row>
    <row r="312">
      <c r="A312" s="255" t="str">
        <f>IFERROR(__xludf.DUMMYFUNCTION("""COMPUTED_VALUE"""),"MICRO")</f>
        <v>MICRO</v>
      </c>
      <c r="B312" s="361" t="str">
        <f>IFERROR(__xludf.DUMMYFUNCTION("""COMPUTED_VALUE"""),"lijacantikhehe")</f>
        <v>lijacantikhehe</v>
      </c>
      <c r="C312" s="257" t="str">
        <f>IFERROR(__xludf.DUMMYFUNCTION("""COMPUTED_VALUE"""),"https://www.tiktok.com/@lijacantikhehe")</f>
        <v>https://www.tiktok.com/@lijacantikhehe</v>
      </c>
      <c r="D312" s="270">
        <f>IFERROR(__xludf.DUMMYFUNCTION("""COMPUTED_VALUE"""),8.1298365945E10)</f>
        <v>81298365945</v>
      </c>
      <c r="E312" s="457">
        <f>IFERROR(__xludf.DUMMYFUNCTION("""COMPUTED_VALUE"""),0.0)</f>
        <v>0</v>
      </c>
      <c r="F312" s="270">
        <f>IFERROR(__xludf.DUMMYFUNCTION("""COMPUTED_VALUE"""),4.0)</f>
        <v>4</v>
      </c>
      <c r="G312" s="17" t="str">
        <f>IFERROR(__xludf.DUMMYFUNCTION("""COMPUTED_VALUE"""),"Sabun batang 1 Box ( 2 PCS )")</f>
        <v>Sabun batang 1 Box ( 2 PCS )</v>
      </c>
      <c r="H312" s="463" t="str">
        <f>IFERROR(__xludf.DUMMYFUNCTION("""COMPUTED_VALUE"""),"Sampai")</f>
        <v>Sampai</v>
      </c>
      <c r="I312" s="464" t="str">
        <f>IFERROR(__xludf.DUMMYFUNCTION("""COMPUTED_VALUE"""),"KIMME")</f>
        <v>KIMME</v>
      </c>
      <c r="J312" s="279" t="str">
        <f>IFERROR(__xludf.DUMMYFUNCTION("""COMPUTED_VALUE"""),"https://www.tiktok.com/@teteh_448/video/7614866313894284552?is_from_webapp=1&amp;sender_device=pc")</f>
        <v>https://www.tiktok.com/@teteh_448/video/7614866313894284552?is_from_webapp=1&amp;sender_device=pc</v>
      </c>
      <c r="K312" s="464" t="str">
        <f>IFERROR(__xludf.DUMMYFUNCTION("""COMPUTED_VALUE"""),"KIMME")</f>
        <v>KIMME</v>
      </c>
      <c r="L312" s="279" t="str">
        <f>IFERROR(__xludf.DUMMYFUNCTION("""COMPUTED_VALUE"""),"https://vt.tiktok.com/ZSuSEtXmJ/")</f>
        <v>https://vt.tiktok.com/ZSuSEtXmJ/</v>
      </c>
      <c r="M312" s="464" t="str">
        <f>IFERROR(__xludf.DUMMYFUNCTION("""COMPUTED_VALUE"""),"KIMME")</f>
        <v>KIMME</v>
      </c>
      <c r="N312" s="279" t="str">
        <f>IFERROR(__xludf.DUMMYFUNCTION("""COMPUTED_VALUE"""),"https://www.tiktok.com/@fitrifitt_/video/7614917512139918613?is_from_webapp=1&amp;sender_device=pc")</f>
        <v>https://www.tiktok.com/@fitrifitt_/video/7614917512139918613?is_from_webapp=1&amp;sender_device=pc</v>
      </c>
      <c r="O312" s="464" t="str">
        <f>IFERROR(__xludf.DUMMYFUNCTION("""COMPUTED_VALUE"""),"KIMME")</f>
        <v>KIMME</v>
      </c>
      <c r="P312" s="279" t="str">
        <f>IFERROR(__xludf.DUMMYFUNCTION("""COMPUTED_VALUE"""),"https://www.tiktok.com/@fitrifitt_/video/7614341780116458773?is_from_webapp=1&amp;sender_device=pc")</f>
        <v>https://www.tiktok.com/@fitrifitt_/video/7614341780116458773?is_from_webapp=1&amp;sender_device=pc</v>
      </c>
    </row>
    <row r="313">
      <c r="A313" s="255" t="str">
        <f>IFERROR(__xludf.DUMMYFUNCTION("""COMPUTED_VALUE"""),"MICRO")</f>
        <v>MICRO</v>
      </c>
      <c r="B313" s="361" t="str">
        <f>IFERROR(__xludf.DUMMYFUNCTION("""COMPUTED_VALUE"""),"_vtcan")</f>
        <v>_vtcan</v>
      </c>
      <c r="C313" s="257" t="str">
        <f>IFERROR(__xludf.DUMMYFUNCTION("""COMPUTED_VALUE"""),"https://www.tiktok.com/@_vtcan")</f>
        <v>https://www.tiktok.com/@_vtcan</v>
      </c>
      <c r="D313" s="270">
        <f>IFERROR(__xludf.DUMMYFUNCTION("""COMPUTED_VALUE"""),8.1322534254E10)</f>
        <v>81322534254</v>
      </c>
      <c r="E313" s="457">
        <f>IFERROR(__xludf.DUMMYFUNCTION("""COMPUTED_VALUE"""),0.0)</f>
        <v>0</v>
      </c>
      <c r="F313" s="270">
        <f>IFERROR(__xludf.DUMMYFUNCTION("""COMPUTED_VALUE"""),4.0)</f>
        <v>4</v>
      </c>
      <c r="G313" s="17" t="str">
        <f>IFERROR(__xludf.DUMMYFUNCTION("""COMPUTED_VALUE"""),"Sabun batang 1 Box ( 2 PCS )")</f>
        <v>Sabun batang 1 Box ( 2 PCS )</v>
      </c>
      <c r="H313" s="463" t="str">
        <f>IFERROR(__xludf.DUMMYFUNCTION("""COMPUTED_VALUE"""),"Sampai")</f>
        <v>Sampai</v>
      </c>
      <c r="I313" s="464" t="str">
        <f>IFERROR(__xludf.DUMMYFUNCTION("""COMPUTED_VALUE"""),"KIMME")</f>
        <v>KIMME</v>
      </c>
      <c r="J313" s="279" t="str">
        <f>IFERROR(__xludf.DUMMYFUNCTION("""COMPUTED_VALUE"""),"https://vt.tiktok.com/ZSuBSf8WG/")</f>
        <v>https://vt.tiktok.com/ZSuBSf8WG/</v>
      </c>
      <c r="K313" s="464" t="str">
        <f>IFERROR(__xludf.DUMMYFUNCTION("""COMPUTED_VALUE"""),"KIMME")</f>
        <v>KIMME</v>
      </c>
      <c r="L313" s="279" t="str">
        <f>IFERROR(__xludf.DUMMYFUNCTION("""COMPUTED_VALUE"""),"https://vt.tiktok.com/ZSukHUYee/")</f>
        <v>https://vt.tiktok.com/ZSukHUYee/</v>
      </c>
      <c r="M313" s="464" t="str">
        <f>IFERROR(__xludf.DUMMYFUNCTION("""COMPUTED_VALUE"""),"KIMME")</f>
        <v>KIMME</v>
      </c>
      <c r="N313" s="279" t="str">
        <f>IFERROR(__xludf.DUMMYFUNCTION("""COMPUTED_VALUE"""),"https://vt.tiktok.com/ZSmoarBpw/")</f>
        <v>https://vt.tiktok.com/ZSmoarBpw/</v>
      </c>
      <c r="O313" s="464" t="str">
        <f>IFERROR(__xludf.DUMMYFUNCTION("""COMPUTED_VALUE"""),"KIMME")</f>
        <v>KIMME</v>
      </c>
      <c r="P313" s="279" t="str">
        <f>IFERROR(__xludf.DUMMYFUNCTION("""COMPUTED_VALUE"""),"https://vt.tiktok.com/ZSukHbL6r/")</f>
        <v>https://vt.tiktok.com/ZSukHbL6r/</v>
      </c>
    </row>
    <row r="314">
      <c r="A314" s="255" t="str">
        <f>IFERROR(__xludf.DUMMYFUNCTION("""COMPUTED_VALUE"""),"MICRO")</f>
        <v>MICRO</v>
      </c>
      <c r="B314" s="361" t="str">
        <f>IFERROR(__xludf.DUMMYFUNCTION("""COMPUTED_VALUE"""),"kikiromli89")</f>
        <v>kikiromli89</v>
      </c>
      <c r="C314" s="257" t="str">
        <f>IFERROR(__xludf.DUMMYFUNCTION("""COMPUTED_VALUE"""),"https://www.tiktok.com/@kikiromli89")</f>
        <v>https://www.tiktok.com/@kikiromli89</v>
      </c>
      <c r="D314" s="270">
        <f>IFERROR(__xludf.DUMMYFUNCTION("""COMPUTED_VALUE"""),8.2269863399E10)</f>
        <v>82269863399</v>
      </c>
      <c r="E314" s="457">
        <f>IFERROR(__xludf.DUMMYFUNCTION("""COMPUTED_VALUE"""),0.0)</f>
        <v>0</v>
      </c>
      <c r="F314" s="270">
        <f>IFERROR(__xludf.DUMMYFUNCTION("""COMPUTED_VALUE"""),4.0)</f>
        <v>4</v>
      </c>
      <c r="G314" s="17" t="str">
        <f>IFERROR(__xludf.DUMMYFUNCTION("""COMPUTED_VALUE"""),"Sabun batang 1 Box ( 2 PCS )")</f>
        <v>Sabun batang 1 Box ( 2 PCS )</v>
      </c>
      <c r="H314" s="463" t="str">
        <f>IFERROR(__xludf.DUMMYFUNCTION("""COMPUTED_VALUE"""),"Sampai")</f>
        <v>Sampai</v>
      </c>
      <c r="I314" s="464" t="str">
        <f>IFERROR(__xludf.DUMMYFUNCTION("""COMPUTED_VALUE"""),"KIMME")</f>
        <v>KIMME</v>
      </c>
      <c r="J314" s="279" t="str">
        <f>IFERROR(__xludf.DUMMYFUNCTION("""COMPUTED_VALUE"""),"https://www.tiktok.com/@_sweetly19/video/7607683720081886484?is_from_webapp=1&amp;sender_device=pc")</f>
        <v>https://www.tiktok.com/@_sweetly19/video/7607683720081886484?is_from_webapp=1&amp;sender_device=pc</v>
      </c>
      <c r="K314" s="464" t="str">
        <f>IFERROR(__xludf.DUMMYFUNCTION("""COMPUTED_VALUE"""),"KIMME")</f>
        <v>KIMME</v>
      </c>
      <c r="L314" s="279" t="str">
        <f>IFERROR(__xludf.DUMMYFUNCTION("""COMPUTED_VALUE"""),"https://www.tiktok.com/@_sweetly19/video/7607690490867141909?is_from_webapp=1&amp;sender_device=pc")</f>
        <v>https://www.tiktok.com/@_sweetly19/video/7607690490867141909?is_from_webapp=1&amp;sender_device=pc</v>
      </c>
      <c r="M314" s="464" t="str">
        <f>IFERROR(__xludf.DUMMYFUNCTION("""COMPUTED_VALUE"""),"KIMME")</f>
        <v>KIMME</v>
      </c>
      <c r="N314" s="279" t="str">
        <f>IFERROR(__xludf.DUMMYFUNCTION("""COMPUTED_VALUE"""),"https://www.tiktok.com/@belynabeauty/video/7610696891600358674?is_from_webapp=1&amp;sender_device=pc")</f>
        <v>https://www.tiktok.com/@belynabeauty/video/7610696891600358674?is_from_webapp=1&amp;sender_device=pc</v>
      </c>
      <c r="O314" s="464" t="str">
        <f>IFERROR(__xludf.DUMMYFUNCTION("""COMPUTED_VALUE"""),"KIMME")</f>
        <v>KIMME</v>
      </c>
      <c r="P314" s="279" t="str">
        <f>IFERROR(__xludf.DUMMYFUNCTION("""COMPUTED_VALUE"""),"https://www.tiktok.com/@belynabeauty/video/7610696361058651400?is_from_webapp=1&amp;sender_device=pc")</f>
        <v>https://www.tiktok.com/@belynabeauty/video/7610696361058651400?is_from_webapp=1&amp;sender_device=pc</v>
      </c>
    </row>
    <row r="315">
      <c r="A315" s="255" t="str">
        <f>IFERROR(__xludf.DUMMYFUNCTION("""COMPUTED_VALUE"""),"MACRO")</f>
        <v>MACRO</v>
      </c>
      <c r="B315" s="361" t="str">
        <f>IFERROR(__xludf.DUMMYFUNCTION("""COMPUTED_VALUE"""),"balaqutax")</f>
        <v>balaqutax</v>
      </c>
      <c r="C315" s="257" t="str">
        <f>IFERROR(__xludf.DUMMYFUNCTION("""COMPUTED_VALUE"""),"https://www.tiktok.com/@balaqutax")</f>
        <v>https://www.tiktok.com/@balaqutax</v>
      </c>
      <c r="D315" s="270">
        <f>IFERROR(__xludf.DUMMYFUNCTION("""COMPUTED_VALUE"""),8.1312447447E10)</f>
        <v>81312447447</v>
      </c>
      <c r="E315" s="457">
        <f>IFERROR(__xludf.DUMMYFUNCTION("""COMPUTED_VALUE"""),0.0)</f>
        <v>0</v>
      </c>
      <c r="F315" s="270">
        <f>IFERROR(__xludf.DUMMYFUNCTION("""COMPUTED_VALUE"""),1.0)</f>
        <v>1</v>
      </c>
      <c r="G315" s="17" t="str">
        <f>IFERROR(__xludf.DUMMYFUNCTION("""COMPUTED_VALUE"""),"Sabun batang 1 Box ( 2 PCS )")</f>
        <v>Sabun batang 1 Box ( 2 PCS )</v>
      </c>
      <c r="H315" s="463" t="str">
        <f>IFERROR(__xludf.DUMMYFUNCTION("""COMPUTED_VALUE"""),"Sampai")</f>
        <v>Sampai</v>
      </c>
      <c r="I315" s="464" t="str">
        <f>IFERROR(__xludf.DUMMYFUNCTION("""COMPUTED_VALUE"""),"KIMME")</f>
        <v>KIMME</v>
      </c>
      <c r="J315" s="279" t="str">
        <f>IFERROR(__xludf.DUMMYFUNCTION("""COMPUTED_VALUE"""),"https://www.tiktok.com/@sillan.tyarn/video/7611761068611734792?is_from_webapp=1&amp;sender_device=pc")</f>
        <v>https://www.tiktok.com/@sillan.tyarn/video/7611761068611734792?is_from_webapp=1&amp;sender_device=pc</v>
      </c>
      <c r="K315" s="464" t="str">
        <f>IFERROR(__xludf.DUMMYFUNCTION("""COMPUTED_VALUE"""),"KIMME")</f>
        <v>KIMME</v>
      </c>
      <c r="L315" s="279" t="str">
        <f>IFERROR(__xludf.DUMMYFUNCTION("""COMPUTED_VALUE"""),"https://vt.tiktok.com/ZSxQtuGGJ/")</f>
        <v>https://vt.tiktok.com/ZSxQtuGGJ/</v>
      </c>
      <c r="M315" s="464"/>
      <c r="N315" s="17"/>
      <c r="O315" s="464"/>
      <c r="P315" s="17"/>
    </row>
    <row r="316">
      <c r="A316" s="255" t="str">
        <f>IFERROR(__xludf.DUMMYFUNCTION("""COMPUTED_VALUE"""),"MICRO")</f>
        <v>MICRO</v>
      </c>
      <c r="B316" s="361" t="str">
        <f>IFERROR(__xludf.DUMMYFUNCTION("""COMPUTED_VALUE"""),".nur235")</f>
        <v>.nur235</v>
      </c>
      <c r="C316" s="257" t="str">
        <f>IFERROR(__xludf.DUMMYFUNCTION("""COMPUTED_VALUE"""),"https://www.tiktok.com/@.nur235")</f>
        <v>https://www.tiktok.com/@.nur235</v>
      </c>
      <c r="D316" s="270">
        <f>IFERROR(__xludf.DUMMYFUNCTION("""COMPUTED_VALUE"""),8.9684018537E10)</f>
        <v>89684018537</v>
      </c>
      <c r="E316" s="457">
        <f>IFERROR(__xludf.DUMMYFUNCTION("""COMPUTED_VALUE"""),0.0)</f>
        <v>0</v>
      </c>
      <c r="F316" s="270">
        <f>IFERROR(__xludf.DUMMYFUNCTION("""COMPUTED_VALUE"""),4.0)</f>
        <v>4</v>
      </c>
      <c r="G316" s="17" t="str">
        <f>IFERROR(__xludf.DUMMYFUNCTION("""COMPUTED_VALUE"""),"Sabun batang 1 Box ( 2 PCS )")</f>
        <v>Sabun batang 1 Box ( 2 PCS )</v>
      </c>
      <c r="H316" s="463" t="str">
        <f>IFERROR(__xludf.DUMMYFUNCTION("""COMPUTED_VALUE"""),"Sampai")</f>
        <v>Sampai</v>
      </c>
      <c r="I316" s="464" t="str">
        <f>IFERROR(__xludf.DUMMYFUNCTION("""COMPUTED_VALUE"""),"KIMME")</f>
        <v>KIMME</v>
      </c>
      <c r="J316" s="279" t="str">
        <f>IFERROR(__xludf.DUMMYFUNCTION("""COMPUTED_VALUE"""),"https://www.tiktok.com/@racunonline91/video/7613174736360590600?is_from_webapp=1&amp;sender_device=pc")</f>
        <v>https://www.tiktok.com/@racunonline91/video/7613174736360590600?is_from_webapp=1&amp;sender_device=pc</v>
      </c>
      <c r="K316" s="464" t="str">
        <f>IFERROR(__xludf.DUMMYFUNCTION("""COMPUTED_VALUE"""),"KIMME")</f>
        <v>KIMME</v>
      </c>
      <c r="L316" s="279" t="str">
        <f>IFERROR(__xludf.DUMMYFUNCTION("""COMPUTED_VALUE"""),"https://www.tiktok.com/@racunonline91/video/7609466746533072136?is_from_webapp=1&amp;sender_device=pc")</f>
        <v>https://www.tiktok.com/@racunonline91/video/7609466746533072136?is_from_webapp=1&amp;sender_device=pc</v>
      </c>
      <c r="M316" s="464" t="str">
        <f>IFERROR(__xludf.DUMMYFUNCTION("""COMPUTED_VALUE"""),"KIMME")</f>
        <v>KIMME</v>
      </c>
      <c r="N316" s="279" t="str">
        <f>IFERROR(__xludf.DUMMYFUNCTION("""COMPUTED_VALUE"""),"https://www.tiktok.com/@racunonline91/video/7610574641748380935?is_from_webapp=1&amp;sender_device=pc")</f>
        <v>https://www.tiktok.com/@racunonline91/video/7610574641748380935?is_from_webapp=1&amp;sender_device=pc</v>
      </c>
      <c r="O316" s="464" t="str">
        <f>IFERROR(__xludf.DUMMYFUNCTION("""COMPUTED_VALUE"""),"KIMME")</f>
        <v>KIMME</v>
      </c>
      <c r="P316" s="279" t="str">
        <f>IFERROR(__xludf.DUMMYFUNCTION("""COMPUTED_VALUE"""),"https://www.tiktok.com/@racunbyyola/video/7614561500371389714?is_from_webapp=1&amp;sender_device=pc")</f>
        <v>https://www.tiktok.com/@racunbyyola/video/7614561500371389714?is_from_webapp=1&amp;sender_device=pc</v>
      </c>
    </row>
    <row r="317">
      <c r="A317" s="255" t="str">
        <f>IFERROR(__xludf.DUMMYFUNCTION("""COMPUTED_VALUE"""),"MICRO")</f>
        <v>MICRO</v>
      </c>
      <c r="B317" s="361" t="str">
        <f>IFERROR(__xludf.DUMMYFUNCTION("""COMPUTED_VALUE"""),"cikakrnisa13")</f>
        <v>cikakrnisa13</v>
      </c>
      <c r="C317" s="257" t="str">
        <f>IFERROR(__xludf.DUMMYFUNCTION("""COMPUTED_VALUE"""),"https://www.tiktok.com/@cikakrnisa13")</f>
        <v>https://www.tiktok.com/@cikakrnisa13</v>
      </c>
      <c r="D317" s="270">
        <f>IFERROR(__xludf.DUMMYFUNCTION("""COMPUTED_VALUE"""),8.5624999109E10)</f>
        <v>85624999109</v>
      </c>
      <c r="E317" s="457">
        <f>IFERROR(__xludf.DUMMYFUNCTION("""COMPUTED_VALUE"""),0.0)</f>
        <v>0</v>
      </c>
      <c r="F317" s="270">
        <f>IFERROR(__xludf.DUMMYFUNCTION("""COMPUTED_VALUE"""),4.0)</f>
        <v>4</v>
      </c>
      <c r="G317" s="17" t="str">
        <f>IFERROR(__xludf.DUMMYFUNCTION("""COMPUTED_VALUE"""),"Sabun batang 1 Box ( 2 PCS )")</f>
        <v>Sabun batang 1 Box ( 2 PCS )</v>
      </c>
      <c r="H317" s="463" t="str">
        <f>IFERROR(__xludf.DUMMYFUNCTION("""COMPUTED_VALUE"""),"Sampai")</f>
        <v>Sampai</v>
      </c>
      <c r="I317" s="464" t="str">
        <f>IFERROR(__xludf.DUMMYFUNCTION("""COMPUTED_VALUE"""),"KIMME")</f>
        <v>KIMME</v>
      </c>
      <c r="J317" s="279" t="str">
        <f>IFERROR(__xludf.DUMMYFUNCTION("""COMPUTED_VALUE"""),"https://www.tiktok.com/@sillan.tyarn/video/7612826038564916488?is_from_webapp=1&amp;sender_device=pc")</f>
        <v>https://www.tiktok.com/@sillan.tyarn/video/7612826038564916488?is_from_webapp=1&amp;sender_device=pc</v>
      </c>
      <c r="K317" s="464" t="str">
        <f>IFERROR(__xludf.DUMMYFUNCTION("""COMPUTED_VALUE"""),"KIMME")</f>
        <v>KIMME</v>
      </c>
      <c r="L317" s="279" t="str">
        <f>IFERROR(__xludf.DUMMYFUNCTION("""COMPUTED_VALUE"""),"https://www.tiktok.com/@sillan.tyarn/video/7613392404825132295?is_from_webapp=1&amp;sender_device=pc")</f>
        <v>https://www.tiktok.com/@sillan.tyarn/video/7613392404825132295?is_from_webapp=1&amp;sender_device=pc</v>
      </c>
      <c r="M317" s="464" t="str">
        <f>IFERROR(__xludf.DUMMYFUNCTION("""COMPUTED_VALUE"""),"KIMME")</f>
        <v>KIMME</v>
      </c>
      <c r="N317" s="279" t="str">
        <f>IFERROR(__xludf.DUMMYFUNCTION("""COMPUTED_VALUE"""),"https://www.tiktok.com/@racunbyyola/video/7613732996369124616?is_from_webapp=1&amp;sender_device=pc")</f>
        <v>https://www.tiktok.com/@racunbyyola/video/7613732996369124616?is_from_webapp=1&amp;sender_device=pc</v>
      </c>
      <c r="O317" s="464" t="str">
        <f>IFERROR(__xludf.DUMMYFUNCTION("""COMPUTED_VALUE"""),"KIMME")</f>
        <v>KIMME</v>
      </c>
      <c r="P317" s="279" t="str">
        <f>IFERROR(__xludf.DUMMYFUNCTION("""COMPUTED_VALUE"""),"https://www.tiktok.com/@racunbyyola/video/7614058563320696071?is_from_webapp=1&amp;sender_device=pc")</f>
        <v>https://www.tiktok.com/@racunbyyola/video/7614058563320696071?is_from_webapp=1&amp;sender_device=pc</v>
      </c>
    </row>
    <row r="318">
      <c r="A318" s="255" t="str">
        <f>IFERROR(__xludf.DUMMYFUNCTION("""COMPUTED_VALUE"""),"MICRO")</f>
        <v>MICRO</v>
      </c>
      <c r="B318" s="361" t="str">
        <f>IFERROR(__xludf.DUMMYFUNCTION("""COMPUTED_VALUE"""),"nayyanarrastore4")</f>
        <v>nayyanarrastore4</v>
      </c>
      <c r="C318" s="257" t="str">
        <f>IFERROR(__xludf.DUMMYFUNCTION("""COMPUTED_VALUE"""),"https://www.tiktok.com/@nayyanarrastore4")</f>
        <v>https://www.tiktok.com/@nayyanarrastore4</v>
      </c>
      <c r="D318" s="270">
        <f>IFERROR(__xludf.DUMMYFUNCTION("""COMPUTED_VALUE"""),8.5793709465E10)</f>
        <v>85793709465</v>
      </c>
      <c r="E318" s="457">
        <f>IFERROR(__xludf.DUMMYFUNCTION("""COMPUTED_VALUE"""),0.0)</f>
        <v>0</v>
      </c>
      <c r="F318" s="270">
        <f>IFERROR(__xludf.DUMMYFUNCTION("""COMPUTED_VALUE"""),4.0)</f>
        <v>4</v>
      </c>
      <c r="G318" s="17" t="str">
        <f>IFERROR(__xludf.DUMMYFUNCTION("""COMPUTED_VALUE"""),"Sabun batang 1 Box ( 2 PCS )")</f>
        <v>Sabun batang 1 Box ( 2 PCS )</v>
      </c>
      <c r="H318" s="463" t="str">
        <f>IFERROR(__xludf.DUMMYFUNCTION("""COMPUTED_VALUE"""),"Sampai")</f>
        <v>Sampai</v>
      </c>
      <c r="I318" s="464" t="str">
        <f>IFERROR(__xludf.DUMMYFUNCTION("""COMPUTED_VALUE"""),"KIMME")</f>
        <v>KIMME</v>
      </c>
      <c r="J318" s="279" t="str">
        <f>IFERROR(__xludf.DUMMYFUNCTION("""COMPUTED_VALUE"""),"https://www.tiktok.com/@jossone_/video/7616667810780941589?is_from_webapp=1&amp;sender_device=pc&amp;web_id=7611930277489657360")</f>
        <v>https://www.tiktok.com/@jossone_/video/7616667810780941589?is_from_webapp=1&amp;sender_device=pc&amp;web_id=7611930277489657360</v>
      </c>
      <c r="K318" s="464" t="str">
        <f>IFERROR(__xludf.DUMMYFUNCTION("""COMPUTED_VALUE"""),"KIMME")</f>
        <v>KIMME</v>
      </c>
      <c r="L318" s="279" t="str">
        <f>IFERROR(__xludf.DUMMYFUNCTION("""COMPUTED_VALUE"""),"https://www.tiktok.com/@jossone_/video/7616894011093093652?is_from_webapp=1&amp;sender_device=pc&amp;web_id=7611930277489657360")</f>
        <v>https://www.tiktok.com/@jossone_/video/7616894011093093652?is_from_webapp=1&amp;sender_device=pc&amp;web_id=7611930277489657360</v>
      </c>
      <c r="M318" s="464" t="str">
        <f>IFERROR(__xludf.DUMMYFUNCTION("""COMPUTED_VALUE"""),"KIMME")</f>
        <v>KIMME</v>
      </c>
      <c r="N318" s="279" t="str">
        <f>IFERROR(__xludf.DUMMYFUNCTION("""COMPUTED_VALUE"""),"https://www.tiktok.com/@jossone_/video/7616987367399984404?is_from_webapp=1&amp;sender_device=pc&amp;web_id=7611930277489657360")</f>
        <v>https://www.tiktok.com/@jossone_/video/7616987367399984404?is_from_webapp=1&amp;sender_device=pc&amp;web_id=7611930277489657360</v>
      </c>
      <c r="O318" s="464" t="str">
        <f>IFERROR(__xludf.DUMMYFUNCTION("""COMPUTED_VALUE"""),"KIMME")</f>
        <v>KIMME</v>
      </c>
      <c r="P318" s="279" t="str">
        <f>IFERROR(__xludf.DUMMYFUNCTION("""COMPUTED_VALUE"""),"https://www.tiktok.com/@jossone_/video/7617117364894616853?is_from_webapp=1&amp;sender_device=pc&amp;web_id=7611930277489657360")</f>
        <v>https://www.tiktok.com/@jossone_/video/7617117364894616853?is_from_webapp=1&amp;sender_device=pc&amp;web_id=7611930277489657360</v>
      </c>
    </row>
    <row r="319">
      <c r="A319" s="255" t="str">
        <f>IFERROR(__xludf.DUMMYFUNCTION("""COMPUTED_VALUE"""),"MICRO")</f>
        <v>MICRO</v>
      </c>
      <c r="B319" s="361" t="str">
        <f>IFERROR(__xludf.DUMMYFUNCTION("""COMPUTED_VALUE"""),"ziozilo")</f>
        <v>ziozilo</v>
      </c>
      <c r="C319" s="257" t="str">
        <f>IFERROR(__xludf.DUMMYFUNCTION("""COMPUTED_VALUE"""),"https://www.tiktok.com/@ziozilo")</f>
        <v>https://www.tiktok.com/@ziozilo</v>
      </c>
      <c r="D319" s="270">
        <f>IFERROR(__xludf.DUMMYFUNCTION("""COMPUTED_VALUE"""),8.1541560157E10)</f>
        <v>81541560157</v>
      </c>
      <c r="E319" s="457">
        <f>IFERROR(__xludf.DUMMYFUNCTION("""COMPUTED_VALUE"""),0.0)</f>
        <v>0</v>
      </c>
      <c r="F319" s="270">
        <f>IFERROR(__xludf.DUMMYFUNCTION("""COMPUTED_VALUE"""),4.0)</f>
        <v>4</v>
      </c>
      <c r="G319" s="17" t="str">
        <f>IFERROR(__xludf.DUMMYFUNCTION("""COMPUTED_VALUE"""),"Sabun batang 1 Box ( 2 PCS )")</f>
        <v>Sabun batang 1 Box ( 2 PCS )</v>
      </c>
      <c r="H319" s="463" t="str">
        <f>IFERROR(__xludf.DUMMYFUNCTION("""COMPUTED_VALUE"""),"Sampai")</f>
        <v>Sampai</v>
      </c>
      <c r="I319" s="464" t="str">
        <f>IFERROR(__xludf.DUMMYFUNCTION("""COMPUTED_VALUE"""),"KIMME")</f>
        <v>KIMME</v>
      </c>
      <c r="J319" s="279" t="str">
        <f>IFERROR(__xludf.DUMMYFUNCTION("""COMPUTED_VALUE"""),"https://www.tiktok.com/@amellibraa_/video/7612410544271740180?is_from_webapp=1&amp;sender_device=pc&amp;web_id=7611930277489657360")</f>
        <v>https://www.tiktok.com/@amellibraa_/video/7612410544271740180?is_from_webapp=1&amp;sender_device=pc&amp;web_id=7611930277489657360</v>
      </c>
      <c r="K319" s="464" t="str">
        <f>IFERROR(__xludf.DUMMYFUNCTION("""COMPUTED_VALUE"""),"KIMME")</f>
        <v>KIMME</v>
      </c>
      <c r="L319" s="279" t="str">
        <f>IFERROR(__xludf.DUMMYFUNCTION("""COMPUTED_VALUE"""),"https://www.tiktok.com/@amellibraa_/video/7612570583615769877?is_from_webapp=1&amp;sender_device=pc&amp;web_id=7611930277489657360")</f>
        <v>https://www.tiktok.com/@amellibraa_/video/7612570583615769877?is_from_webapp=1&amp;sender_device=pc&amp;web_id=7611930277489657360</v>
      </c>
      <c r="M319" s="464" t="str">
        <f>IFERROR(__xludf.DUMMYFUNCTION("""COMPUTED_VALUE"""),"KIMME")</f>
        <v>KIMME</v>
      </c>
      <c r="N319" s="279" t="str">
        <f>IFERROR(__xludf.DUMMYFUNCTION("""COMPUTED_VALUE"""),"https://www.tiktok.com/@amellibraa_/video/7612727836222278932?is_from_webapp=1&amp;sender_device=pc&amp;web_id=7611930277489657360")</f>
        <v>https://www.tiktok.com/@amellibraa_/video/7612727836222278932?is_from_webapp=1&amp;sender_device=pc&amp;web_id=7611930277489657360</v>
      </c>
      <c r="O319" s="464" t="str">
        <f>IFERROR(__xludf.DUMMYFUNCTION("""COMPUTED_VALUE"""),"KIMME")</f>
        <v>KIMME</v>
      </c>
      <c r="P319" s="279" t="str">
        <f>IFERROR(__xludf.DUMMYFUNCTION("""COMPUTED_VALUE"""),"https://www.tiktok.com/@amellibraa_/video/7613003519272078613?is_from_webapp=1&amp;sender_device=pc&amp;web_id=7611930277489657360")</f>
        <v>https://www.tiktok.com/@amellibraa_/video/7613003519272078613?is_from_webapp=1&amp;sender_device=pc&amp;web_id=7611930277489657360</v>
      </c>
    </row>
    <row r="320">
      <c r="A320" s="255" t="str">
        <f>IFERROR(__xludf.DUMMYFUNCTION("""COMPUTED_VALUE"""),"MICRO")</f>
        <v>MICRO</v>
      </c>
      <c r="B320" s="361" t="str">
        <f>IFERROR(__xludf.DUMMYFUNCTION("""COMPUTED_VALUE"""),".lala.beauty")</f>
        <v>.lala.beauty</v>
      </c>
      <c r="C320" s="257" t="str">
        <f>IFERROR(__xludf.DUMMYFUNCTION("""COMPUTED_VALUE"""),"https://www.tiktok.com/@.lala.beauty")</f>
        <v>https://www.tiktok.com/@.lala.beauty</v>
      </c>
      <c r="D320" s="270">
        <f>IFERROR(__xludf.DUMMYFUNCTION("""COMPUTED_VALUE"""),8.5814561876E10)</f>
        <v>85814561876</v>
      </c>
      <c r="E320" s="457">
        <f>IFERROR(__xludf.DUMMYFUNCTION("""COMPUTED_VALUE"""),0.0)</f>
        <v>0</v>
      </c>
      <c r="F320" s="270">
        <f>IFERROR(__xludf.DUMMYFUNCTION("""COMPUTED_VALUE"""),4.0)</f>
        <v>4</v>
      </c>
      <c r="G320" s="17" t="str">
        <f>IFERROR(__xludf.DUMMYFUNCTION("""COMPUTED_VALUE"""),"Sabun batang 1 Box ( 2 PCS )")</f>
        <v>Sabun batang 1 Box ( 2 PCS )</v>
      </c>
      <c r="H320" s="463" t="str">
        <f>IFERROR(__xludf.DUMMYFUNCTION("""COMPUTED_VALUE"""),"Sampai")</f>
        <v>Sampai</v>
      </c>
      <c r="I320" s="464" t="str">
        <f>IFERROR(__xludf.DUMMYFUNCTION("""COMPUTED_VALUE"""),"KIMME")</f>
        <v>KIMME</v>
      </c>
      <c r="J320" s="279" t="str">
        <f>IFERROR(__xludf.DUMMYFUNCTION("""COMPUTED_VALUE"""),"https://www.tiktok.com/@skinbeauty.id/video/7617404182168898836?is_from_webapp=1&amp;sender_device=pc")</f>
        <v>https://www.tiktok.com/@skinbeauty.id/video/7617404182168898836?is_from_webapp=1&amp;sender_device=pc</v>
      </c>
      <c r="K320" s="464" t="str">
        <f>IFERROR(__xludf.DUMMYFUNCTION("""COMPUTED_VALUE"""),"KIMME")</f>
        <v>KIMME</v>
      </c>
      <c r="L320" s="279" t="str">
        <f>IFERROR(__xludf.DUMMYFUNCTION("""COMPUTED_VALUE"""),"https://www.tiktok.com/@skinbeauty.id/video/7617848378914802965?is_from_webapp=1&amp;sender_device=pc")</f>
        <v>https://www.tiktok.com/@skinbeauty.id/video/7617848378914802965?is_from_webapp=1&amp;sender_device=pc</v>
      </c>
      <c r="M320" s="464" t="str">
        <f>IFERROR(__xludf.DUMMYFUNCTION("""COMPUTED_VALUE"""),"KIMME")</f>
        <v>KIMME</v>
      </c>
      <c r="N320" s="279" t="str">
        <f>IFERROR(__xludf.DUMMYFUNCTION("""COMPUTED_VALUE"""),"tiktok.com/@skinbeauty.id/video/7619991931183058197?_r=1&amp;u_code=db2el50hhee557&amp;region=&amp;mid=7611584354364099335&amp;preview_pb=0&amp;sharer_language=&amp;_d=0&amp;ec_shared_reflux_dynamic_params=%7B""placeholder_material_id""%3A""7619991931183058197""%2C""placeholder_orig"&amp;"in_cover""%3A""https%253A%252F%252Fp16-sign-sg.tiktokcdn.com%252Ftos-alisg-p-0037%252FokmJQSfxdF1g0ALGHGLgCKeFKfRhARerOtTGI8~tplv-tiktokx-origin.jpeg%253Fdr%253D14572%2526refresh_token%253D274efb9d%2526x-expires%253D1806051600%2526x-signature%253Du2YRgETD"&amp;"LFEu4XhFUr0vSOLfcks%25253D%2526t%253D4d5b0474%2526ps%253D13740610%2526shp%253Dd05b14bd%2526shcp%253D34ff8df6%2526idc%253Dmy2%2526s%253DTIKTOK_AFFILIATE_VIRAL_VIDEO""%2C""placeholder_product_id""%3A""1729427766722726591""%2C""placeholder_video_id""%3A""761"&amp;"9991931183058197""%7D&amp;ec_shared_reflux_scene=shop_tab_feed&amp;share_item_id=7619991931183058197&amp;source=h5_t")</f>
        <v>tiktok.com/@skinbeauty.id/video/7619991931183058197?_r=1&amp;u_code=db2el50hhee557&amp;region=&amp;mid=7611584354364099335&amp;preview_pb=0&amp;sharer_language=&amp;_d=0&amp;ec_shared_reflux_dynamic_params=%7B"placeholder_material_id"%3A"7619991931183058197"%2C"placeholder_origin_cover"%3A"https%253A%252F%252Fp16-sign-sg.tiktokcdn.com%252Ftos-alisg-p-0037%252FokmJQSfxdF1g0ALGHGLgCKeFKfRhARerOtTGI8~tplv-tiktokx-origin.jpeg%253Fdr%253D14572%2526refresh_token%253D274efb9d%2526x-expires%253D1806051600%2526x-signature%253Du2YRgETDLFEu4XhFUr0vSOLfcks%25253D%2526t%253D4d5b0474%2526ps%253D13740610%2526shp%253Dd05b14bd%2526shcp%253D34ff8df6%2526idc%253Dmy2%2526s%253DTIKTOK_AFFILIATE_VIRAL_VIDEO"%2C"placeholder_product_id"%3A"1729427766722726591"%2C"placeholder_video_id"%3A"7619991931183058197"%7D&amp;ec_shared_reflux_scene=shop_tab_feed&amp;share_item_id=7619991931183058197&amp;source=h5_t</v>
      </c>
      <c r="O320" s="464" t="str">
        <f>IFERROR(__xludf.DUMMYFUNCTION("""COMPUTED_VALUE"""),"KIMME")</f>
        <v>KIMME</v>
      </c>
      <c r="P320" s="279" t="str">
        <f>IFERROR(__xludf.DUMMYFUNCTION("""COMPUTED_VALUE"""),"https://www.tiktok.com/@skinbeauty.id/video/7621787642899811604?is_from_webapp=1&amp;sender_device=pc")</f>
        <v>https://www.tiktok.com/@skinbeauty.id/video/7621787642899811604?is_from_webapp=1&amp;sender_device=pc</v>
      </c>
    </row>
    <row r="321">
      <c r="A321" s="255" t="str">
        <f>IFERROR(__xludf.DUMMYFUNCTION("""COMPUTED_VALUE"""),"MICRO")</f>
        <v>MICRO</v>
      </c>
      <c r="B321" s="361" t="str">
        <f>IFERROR(__xludf.DUMMYFUNCTION("""COMPUTED_VALUE"""),"wulanpdla3")</f>
        <v>wulanpdla3</v>
      </c>
      <c r="C321" s="257" t="str">
        <f>IFERROR(__xludf.DUMMYFUNCTION("""COMPUTED_VALUE"""),"https://www.tiktok.com/@wulanpdla3")</f>
        <v>https://www.tiktok.com/@wulanpdla3</v>
      </c>
      <c r="D321" s="270">
        <f>IFERROR(__xludf.DUMMYFUNCTION("""COMPUTED_VALUE"""),8.139121707E10)</f>
        <v>81391217070</v>
      </c>
      <c r="E321" s="457">
        <f>IFERROR(__xludf.DUMMYFUNCTION("""COMPUTED_VALUE"""),0.0)</f>
        <v>0</v>
      </c>
      <c r="F321" s="270">
        <f>IFERROR(__xludf.DUMMYFUNCTION("""COMPUTED_VALUE"""),4.0)</f>
        <v>4</v>
      </c>
      <c r="G321" s="17" t="str">
        <f>IFERROR(__xludf.DUMMYFUNCTION("""COMPUTED_VALUE"""),"Sabun batang 1 Box ( 2 PCS )")</f>
        <v>Sabun batang 1 Box ( 2 PCS )</v>
      </c>
      <c r="H321" s="463" t="str">
        <f>IFERROR(__xludf.DUMMYFUNCTION("""COMPUTED_VALUE"""),"Sampai")</f>
        <v>Sampai</v>
      </c>
      <c r="I321" s="464" t="str">
        <f>IFERROR(__xludf.DUMMYFUNCTION("""COMPUTED_VALUE"""),"KIMME")</f>
        <v>KIMME</v>
      </c>
      <c r="J321" s="279" t="str">
        <f>IFERROR(__xludf.DUMMYFUNCTION("""COMPUTED_VALUE"""),"https://vt.tiktok.com/ZSuVby91n/")</f>
        <v>https://vt.tiktok.com/ZSuVby91n/</v>
      </c>
      <c r="K321" s="464" t="str">
        <f>IFERROR(__xludf.DUMMYFUNCTION("""COMPUTED_VALUE"""),"KIMME")</f>
        <v>KIMME</v>
      </c>
      <c r="L321" s="279" t="str">
        <f>IFERROR(__xludf.DUMMYFUNCTION("""COMPUTED_VALUE"""),"https://www.tiktok.com/@teteh_448/video/7619462348981505301?_r=1&amp;u_code=e5ae9d9kjdj62m&amp;region=&amp;mid=7571860912149415952&amp;preview_pb=0&amp;sharer_language=&amp;_d=0&amp;ec_shared_reflux_dynamic_params=%7B%22placeholder_material_id%22%3A%227619462348981505301%22%2C%22pla"&amp;"ceholder_origin_cover%22%3A%22https%253A%252F%252Fp16-sign-sg.tiktokcdn.com%252Ftos-alisg-p-0037%252FoI0uxpwqfABqEtDcEKA9SoIgWFR7cvpSecEIBY~tplv-tiktokx-origin.jpeg%253Fdr%253D14572%2526refresh_token%253D6cfa4172%2526x-expires%253D1806051600%2526x-signatu"&amp;"re%253DCMqF7XncELYatnerLhjunIURhW8%25253D%2526t%253D4d5b0474%2526ps%253D13740610%2526shp%253Dd05b14bd%2526shcp%253D34ff8df6%2526idc%253Dmy2%2526s%253DTIKTOK_AFFILIATE_VIRAL_VIDEO%22%2C%22placeholder_product_id%22%3A%221729427766722726591%22%2C%22placehold"&amp;"er_video_id%22%3A%227619462348981505301%22%7D&amp;ec_shared_reflux_scene=shop_tab_feed&amp;share_item_id=7619462348981505301&amp;source=h5_t")</f>
        <v>https://www.tiktok.com/@teteh_448/video/7619462348981505301?_r=1&amp;u_code=e5ae9d9kjdj62m&amp;region=&amp;mid=7571860912149415952&amp;preview_pb=0&amp;sharer_language=&amp;_d=0&amp;ec_shared_reflux_dynamic_params=%7B%22placeholder_material_id%22%3A%227619462348981505301%22%2C%22placeholder_origin_cover%22%3A%22https%253A%252F%252Fp16-sign-sg.tiktokcdn.com%252Ftos-alisg-p-0037%252FoI0uxpwqfABqEtDcEKA9SoIgWFR7cvpSecEIBY~tplv-tiktokx-origin.jpeg%253Fdr%253D14572%2526refresh_token%253D6cfa4172%2526x-expires%253D1806051600%2526x-signature%253DCMqF7XncELYatnerLhjunIURhW8%25253D%2526t%253D4d5b0474%2526ps%253D13740610%2526shp%253Dd05b14bd%2526shcp%253D34ff8df6%2526idc%253Dmy2%2526s%253DTIKTOK_AFFILIATE_VIRAL_VIDEO%22%2C%22placeholder_product_id%22%3A%221729427766722726591%22%2C%22placeholder_video_id%22%3A%227619462348981505301%22%7D&amp;ec_shared_reflux_scene=shop_tab_feed&amp;share_item_id=7619462348981505301&amp;source=h5_t</v>
      </c>
      <c r="M321" s="464" t="str">
        <f>IFERROR(__xludf.DUMMYFUNCTION("""COMPUTED_VALUE"""),"KIMME")</f>
        <v>KIMME</v>
      </c>
      <c r="N321" s="279" t="str">
        <f>IFERROR(__xludf.DUMMYFUNCTION("""COMPUTED_VALUE"""),"https://www.tiktok.com/@teteh_448/video/7620229778917887252?_r=1&amp;u_code=e5ae9d9kjdj62m&amp;region=&amp;mid=7362754773216004097&amp;preview_pb=0&amp;sharer_language=&amp;_d=0&amp;ec_shared_reflux_dynamic_params=%7B%22placeholder_material_id%22%3A%227620229778917887252%22%2C%22pla"&amp;"ceholder_origin_cover%22%3A%22https%253A%252F%252Fp16-sign-sg.tiktokcdn.com%252Ftos-alisg-p-0037%252FowoMfoOfDfN8gveitfAOYQQYAAagAs5LEu4Eqk~tplv-tiktokx-origin.jpeg%253Fdr%253D14572%2526refresh_token%253D87e032ff%2526x-expires%253D1806051600%2526x-signatu"&amp;"re%253DaAgyAN3wwGMiFitXORgX98PMtWo%25253D%2526t%253D4d5b0474%2526ps%253D13740610%2526shp%253Dd05b14bd%2526shcp%253D34ff8df6%2526idc%253Dmy2%2526s%253DTIKTOK_AFFILIATE_VIRAL_VIDEO%22%2C%22placeholder_product_id%22%3A%221729729730555512511%22%2C%22placehold"&amp;"er_video_id%22%3A%227620229778917887252%22%7D&amp;ec_shared_reflux_scene=shop_tab_feed&amp;share_item_id=7620229778917887252&amp;source=h5_t")</f>
        <v>https://www.tiktok.com/@teteh_448/video/7620229778917887252?_r=1&amp;u_code=e5ae9d9kjdj62m&amp;region=&amp;mid=7362754773216004097&amp;preview_pb=0&amp;sharer_language=&amp;_d=0&amp;ec_shared_reflux_dynamic_params=%7B%22placeholder_material_id%22%3A%227620229778917887252%22%2C%22placeholder_origin_cover%22%3A%22https%253A%252F%252Fp16-sign-sg.tiktokcdn.com%252Ftos-alisg-p-0037%252FowoMfoOfDfN8gveitfAOYQQYAAagAs5LEu4Eqk~tplv-tiktokx-origin.jpeg%253Fdr%253D14572%2526refresh_token%253D87e032ff%2526x-expires%253D1806051600%2526x-signature%253DaAgyAN3wwGMiFitXORgX98PMtWo%25253D%2526t%253D4d5b0474%2526ps%253D13740610%2526shp%253Dd05b14bd%2526shcp%253D34ff8df6%2526idc%253Dmy2%2526s%253DTIKTOK_AFFILIATE_VIRAL_VIDEO%22%2C%22placeholder_product_id%22%3A%221729729730555512511%22%2C%22placeholder_video_id%22%3A%227620229778917887252%22%7D&amp;ec_shared_reflux_scene=shop_tab_feed&amp;share_item_id=7620229778917887252&amp;source=h5_t</v>
      </c>
      <c r="O321" s="464" t="str">
        <f>IFERROR(__xludf.DUMMYFUNCTION("""COMPUTED_VALUE"""),"KIMME")</f>
        <v>KIMME</v>
      </c>
      <c r="P321" s="279" t="str">
        <f>IFERROR(__xludf.DUMMYFUNCTION("""COMPUTED_VALUE"""),"https://www.tiktok.com/@teteh_448/video/7620932422825233685?_r=1&amp;u_code=e5ae9d9kjdj62m&amp;region=&amp;mid=7428227392702319365&amp;preview_pb=0&amp;sharer_language=&amp;_d=0&amp;ec_shared_reflux_dynamic_params=%7B%22placeholder_material_id%22%3A%227620932422825233685%22%2C%22pla"&amp;"ceholder_origin_cover%22%3A%22https%253A%252F%252Fp16-sign-sg.tiktokcdn.com%252Ftos-alisg-p-0037%252FoEMFVWACeAQhisGAGGGn1bF6fIGwLRlRbf9Qxf~tplv-tiktokx-origin.jpeg%253Fdr%253D14572%2526refresh_token%253D9cb328fa%2526x-expires%253D1806051600%2526x-signatu"&amp;"re%253Dk55R2XaxwBQFKsUfWWYhTjiTQBw%25253D%2526t%253D4d5b0474%2526ps%253D13740610%2526shp%253Dd05b14bd%2526shcp%253D34ff8df6%2526idc%253Dmy2%2526s%253DTIKTOK_AFFILIATE_VIRAL_VIDEO%22%2C%22placeholder_product_id%22%3A%221729427766722726591%22%2C%22placehold"&amp;"er_video_id%22%3A%227620932422825233685%22%7D&amp;ec_shared_reflux_scene=shop_tab_feed&amp;share_item_id=7620932422825233685&amp;source=h5_t")</f>
        <v>https://www.tiktok.com/@teteh_448/video/7620932422825233685?_r=1&amp;u_code=e5ae9d9kjdj62m&amp;region=&amp;mid=7428227392702319365&amp;preview_pb=0&amp;sharer_language=&amp;_d=0&amp;ec_shared_reflux_dynamic_params=%7B%22placeholder_material_id%22%3A%227620932422825233685%22%2C%22placeholder_origin_cover%22%3A%22https%253A%252F%252Fp16-sign-sg.tiktokcdn.com%252Ftos-alisg-p-0037%252FoEMFVWACeAQhisGAGGGn1bF6fIGwLRlRbf9Qxf~tplv-tiktokx-origin.jpeg%253Fdr%253D14572%2526refresh_token%253D9cb328fa%2526x-expires%253D1806051600%2526x-signature%253Dk55R2XaxwBQFKsUfWWYhTjiTQBw%25253D%2526t%253D4d5b0474%2526ps%253D13740610%2526shp%253Dd05b14bd%2526shcp%253D34ff8df6%2526idc%253Dmy2%2526s%253DTIKTOK_AFFILIATE_VIRAL_VIDEO%22%2C%22placeholder_product_id%22%3A%221729427766722726591%22%2C%22placeholder_video_id%22%3A%227620932422825233685%22%7D&amp;ec_shared_reflux_scene=shop_tab_feed&amp;share_item_id=7620932422825233685&amp;source=h5_t</v>
      </c>
    </row>
    <row r="322">
      <c r="A322" s="255" t="str">
        <f>IFERROR(__xludf.DUMMYFUNCTION("""COMPUTED_VALUE"""),"MICRO")</f>
        <v>MICRO</v>
      </c>
      <c r="B322" s="361" t="str">
        <f>IFERROR(__xludf.DUMMYFUNCTION("""COMPUTED_VALUE"""),"sindiprastika.s")</f>
        <v>sindiprastika.s</v>
      </c>
      <c r="C322" s="257" t="str">
        <f>IFERROR(__xludf.DUMMYFUNCTION("""COMPUTED_VALUE"""),"https://www.tiktok.com/@sindiprastika.s")</f>
        <v>https://www.tiktok.com/@sindiprastika.s</v>
      </c>
      <c r="D322" s="270">
        <f>IFERROR(__xludf.DUMMYFUNCTION("""COMPUTED_VALUE"""),8.7780680486E10)</f>
        <v>87780680486</v>
      </c>
      <c r="E322" s="457">
        <f>IFERROR(__xludf.DUMMYFUNCTION("""COMPUTED_VALUE"""),0.0)</f>
        <v>0</v>
      </c>
      <c r="F322" s="270">
        <f>IFERROR(__xludf.DUMMYFUNCTION("""COMPUTED_VALUE"""),4.0)</f>
        <v>4</v>
      </c>
      <c r="G322" s="17" t="str">
        <f>IFERROR(__xludf.DUMMYFUNCTION("""COMPUTED_VALUE"""),"Sabun batang 1 Box ( 2 PCS )")</f>
        <v>Sabun batang 1 Box ( 2 PCS )</v>
      </c>
      <c r="H322" s="463" t="str">
        <f>IFERROR(__xludf.DUMMYFUNCTION("""COMPUTED_VALUE"""),"Sampai")</f>
        <v>Sampai</v>
      </c>
      <c r="I322" s="464" t="str">
        <f>IFERROR(__xludf.DUMMYFUNCTION("""COMPUTED_VALUE"""),"KIMME")</f>
        <v>KIMME</v>
      </c>
      <c r="J322" s="279" t="str">
        <f>IFERROR(__xludf.DUMMYFUNCTION("""COMPUTED_VALUE"""),"https://www.tiktok.com/@mbk_cantik2309/video/7620278171522501908?_r=1&amp;u_code=d1gjfh028dg736&amp;region=&amp;mid=7528279704600972038&amp;preview_pb=0&amp;sharer_language=&amp;_d=0&amp;ec_shared_reflux_dynamic_params=%7B%22placeholder_material_id%22%3A%227620278171522501908%22%2C%"&amp;"22placeholder_origin_cover%22%3A%22https%253A%252F%252Fp16-sign-sg.tiktokcdn.com%252Ftos-alisg-p-0037%252FoQnBRKGopQccEzB8VBwFmWkEQzDHleA7RgfdVS~tplv-tiktokx-origin.jpeg%253Fdr%253D14572%2526refresh_token%253D50ab74c6%2526x-expires%253D1806055200%2526x-si"&amp;"gnature%253DNtpZM0zQV8awXIGC%25252BmrmhJT0n4E%25253D%2526t%253D4d5b0474%2526ps%253D13740610%2526shp%253Dd05b14bd%2526shcp%253D34ff8df6%2526idc%253Dmy2%2526s%253DTIKTOK_AFFILIATE_VIRAL_VIDEO%22%2C%22placeholder_product_id%22%3A%221729427766722726591%22%2C%"&amp;"22placeholder_video_id%22%3A%227620278171522501908%22%7D&amp;ec_shared_reflux_scene=shop_tab_feed&amp;share_item_id=7620278171522501908&amp;source=h5_t")</f>
        <v>https://www.tiktok.com/@mbk_cantik2309/video/7620278171522501908?_r=1&amp;u_code=d1gjfh028dg736&amp;region=&amp;mid=7528279704600972038&amp;preview_pb=0&amp;sharer_language=&amp;_d=0&amp;ec_shared_reflux_dynamic_params=%7B%22placeholder_material_id%22%3A%227620278171522501908%22%2C%22placeholder_origin_cover%22%3A%22https%253A%252F%252Fp16-sign-sg.tiktokcdn.com%252Ftos-alisg-p-0037%252FoQnBRKGopQccEzB8VBwFmWkEQzDHleA7RgfdVS~tplv-tiktokx-origin.jpeg%253Fdr%253D14572%2526refresh_token%253D50ab74c6%2526x-expires%253D1806055200%2526x-signature%253DNtpZM0zQV8awXIGC%25252BmrmhJT0n4E%25253D%2526t%253D4d5b0474%2526ps%253D13740610%2526shp%253Dd05b14bd%2526shcp%253D34ff8df6%2526idc%253Dmy2%2526s%253DTIKTOK_AFFILIATE_VIRAL_VIDEO%22%2C%22placeholder_product_id%22%3A%221729427766722726591%22%2C%22placeholder_video_id%22%3A%227620278171522501908%22%7D&amp;ec_shared_reflux_scene=shop_tab_feed&amp;share_item_id=7620278171522501908&amp;source=h5_t</v>
      </c>
      <c r="K322" s="464" t="str">
        <f>IFERROR(__xludf.DUMMYFUNCTION("""COMPUTED_VALUE"""),"KIMME")</f>
        <v>KIMME</v>
      </c>
      <c r="L322" s="279" t="str">
        <f>IFERROR(__xludf.DUMMYFUNCTION("""COMPUTED_VALUE"""),"https://www.tiktok.com/@mbk_cantik2309/video/7618069906117954837?_r=1&amp;u_code=d1gjfh028dg736&amp;region=&amp;mid=7602563353914968840&amp;preview_pb=0&amp;sharer_language=&amp;_d=0&amp;ec_shared_reflux_dynamic_params=%7B%22placeholder_material_id%22%3A%227618069906117954837%22%2C%"&amp;"22placeholder_origin_cover%22%3A%22https%253A%252F%252Fp16-sign-sg.tiktokcdn.com%252Ftos-alisg-p-0037%252Fo01k4AwgGuCZ7iI0C3ifAAwvT09mhTIBIUB2CA~tplv-tiktokx-origin.jpeg%253Fdr%253D14572%2526refresh_token%253D8f31bc96%2526x-expires%253D1806055200%2526x-si"&amp;"gnature%253DVsyXUfW296JWSrSIgA99s9OyfEE%25253D%2526t%253D4d5b0474%2526ps%253D13740610%2526shp%253Dd05b14bd%2526shcp%253D34ff8df6%2526idc%253Dmy2%2526s%253DTIKTOK_AFFILIATE_VIRAL_VIDEO%22%2C%22placeholder_product_id%22%3A%221729427766722726591%22%2C%22plac"&amp;"eholder_video_id%22%3A%227618069906117954837%22%7D&amp;ec_shared_reflux_scene=shop_tab_feed&amp;share_item_id=7618069906117954837&amp;source=h5_t")</f>
        <v>https://www.tiktok.com/@mbk_cantik2309/video/7618069906117954837?_r=1&amp;u_code=d1gjfh028dg736&amp;region=&amp;mid=7602563353914968840&amp;preview_pb=0&amp;sharer_language=&amp;_d=0&amp;ec_shared_reflux_dynamic_params=%7B%22placeholder_material_id%22%3A%227618069906117954837%22%2C%22placeholder_origin_cover%22%3A%22https%253A%252F%252Fp16-sign-sg.tiktokcdn.com%252Ftos-alisg-p-0037%252Fo01k4AwgGuCZ7iI0C3ifAAwvT09mhTIBIUB2CA~tplv-tiktokx-origin.jpeg%253Fdr%253D14572%2526refresh_token%253D8f31bc96%2526x-expires%253D1806055200%2526x-signature%253DVsyXUfW296JWSrSIgA99s9OyfEE%25253D%2526t%253D4d5b0474%2526ps%253D13740610%2526shp%253Dd05b14bd%2526shcp%253D34ff8df6%2526idc%253Dmy2%2526s%253DTIKTOK_AFFILIATE_VIRAL_VIDEO%22%2C%22placeholder_product_id%22%3A%221729427766722726591%22%2C%22placeholder_video_id%22%3A%227618069906117954837%22%7D&amp;ec_shared_reflux_scene=shop_tab_feed&amp;share_item_id=7618069906117954837&amp;source=h5_t</v>
      </c>
      <c r="M322" s="464" t="str">
        <f>IFERROR(__xludf.DUMMYFUNCTION("""COMPUTED_VALUE"""),"KIMME")</f>
        <v>KIMME</v>
      </c>
      <c r="N322" s="279" t="str">
        <f>IFERROR(__xludf.DUMMYFUNCTION("""COMPUTED_VALUE"""),"https://www.tiktok.com/@mbk_cantik2309/video/7615538712419519752?_r=1&amp;u_code=d1gjfh028dg736&amp;region=&amp;mid=7543265801286290192&amp;preview_pb=0&amp;sharer_language=&amp;_d=0&amp;ec_shared_reflux_dynamic_params=%7B%22placeholder_material_id%22%3A%227615538712419519752%22%2C%"&amp;"22placeholder_origin_cover%22%3A%22https%253A%252F%252Fp16-sign-sg.tiktokcdn.com%252Ftos-alisg-p-0037%252FoI0MDs8M4BqljzTIJqeRqX36fCEAqQcfWYzBAA~tplv-tiktokx-origin.jpeg%253Fdr%253D14572%2526refresh_token%253Dc04cf3fa%2526x-expires%253D1806055200%2526x-si"&amp;"gnature%253DQ0W6mm7U%25252F6mphOoAuJAn1BU1sZ0%25253D%2526t%253D4d5b0474%2526ps%253D13740610%2526shp%253Dd05b14bd%2526shcp%253D34ff8df6%2526idc%253Dmy2%2526s%253DTIKTOK_AFFILIATE_VIRAL_VIDEO%22%2C%22placeholder_product_id%22%3A%221729427766722726591%22%2C%"&amp;"22placeholder_video_id%22%3A%227615538712419519752%22%7D&amp;ec_shared_reflux_scene=shop_tab_feed&amp;share_item_id=7615538712419519752&amp;source=h5_t")</f>
        <v>https://www.tiktok.com/@mbk_cantik2309/video/7615538712419519752?_r=1&amp;u_code=d1gjfh028dg736&amp;region=&amp;mid=7543265801286290192&amp;preview_pb=0&amp;sharer_language=&amp;_d=0&amp;ec_shared_reflux_dynamic_params=%7B%22placeholder_material_id%22%3A%227615538712419519752%22%2C%22placeholder_origin_cover%22%3A%22https%253A%252F%252Fp16-sign-sg.tiktokcdn.com%252Ftos-alisg-p-0037%252FoI0MDs8M4BqljzTIJqeRqX36fCEAqQcfWYzBAA~tplv-tiktokx-origin.jpeg%253Fdr%253D14572%2526refresh_token%253Dc04cf3fa%2526x-expires%253D1806055200%2526x-signature%253DQ0W6mm7U%25252F6mphOoAuJAn1BU1sZ0%25253D%2526t%253D4d5b0474%2526ps%253D13740610%2526shp%253Dd05b14bd%2526shcp%253D34ff8df6%2526idc%253Dmy2%2526s%253DTIKTOK_AFFILIATE_VIRAL_VIDEO%22%2C%22placeholder_product_id%22%3A%221729427766722726591%22%2C%22placeholder_video_id%22%3A%227615538712419519752%22%7D&amp;ec_shared_reflux_scene=shop_tab_feed&amp;share_item_id=7615538712419519752&amp;source=h5_t</v>
      </c>
      <c r="O322" s="464" t="str">
        <f>IFERROR(__xludf.DUMMYFUNCTION("""COMPUTED_VALUE"""),"KIMME")</f>
        <v>KIMME</v>
      </c>
      <c r="P322" s="279" t="str">
        <f>IFERROR(__xludf.DUMMYFUNCTION("""COMPUTED_VALUE"""),"https://vt.tiktok.com/ZSucuFEwe/")</f>
        <v>https://vt.tiktok.com/ZSucuFEwe/</v>
      </c>
    </row>
    <row r="323">
      <c r="A323" s="255" t="str">
        <f>IFERROR(__xludf.DUMMYFUNCTION("""COMPUTED_VALUE"""),"MICRO")</f>
        <v>MICRO</v>
      </c>
      <c r="B323" s="361" t="str">
        <f>IFERROR(__xludf.DUMMYFUNCTION("""COMPUTED_VALUE"""),"shantym21")</f>
        <v>shantym21</v>
      </c>
      <c r="C323" s="257" t="str">
        <f>IFERROR(__xludf.DUMMYFUNCTION("""COMPUTED_VALUE"""),"https://www.tiktok.com/@shantym21")</f>
        <v>https://www.tiktok.com/@shantym21</v>
      </c>
      <c r="D323" s="270">
        <f>IFERROR(__xludf.DUMMYFUNCTION("""COMPUTED_VALUE"""),8.5314137828E10)</f>
        <v>85314137828</v>
      </c>
      <c r="E323" s="457">
        <f>IFERROR(__xludf.DUMMYFUNCTION("""COMPUTED_VALUE"""),0.0)</f>
        <v>0</v>
      </c>
      <c r="F323" s="270">
        <f>IFERROR(__xludf.DUMMYFUNCTION("""COMPUTED_VALUE"""),4.0)</f>
        <v>4</v>
      </c>
      <c r="G323" s="17" t="str">
        <f>IFERROR(__xludf.DUMMYFUNCTION("""COMPUTED_VALUE"""),"Sabun batang 1 Box ( 2 PCS )")</f>
        <v>Sabun batang 1 Box ( 2 PCS )</v>
      </c>
      <c r="H323" s="463" t="str">
        <f>IFERROR(__xludf.DUMMYFUNCTION("""COMPUTED_VALUE"""),"Sampai")</f>
        <v>Sampai</v>
      </c>
      <c r="I323" s="464" t="str">
        <f>IFERROR(__xludf.DUMMYFUNCTION("""COMPUTED_VALUE"""),"KIMME")</f>
        <v>KIMME</v>
      </c>
      <c r="J323" s="279" t="str">
        <f>IFERROR(__xludf.DUMMYFUNCTION("""COMPUTED_VALUE"""),"https://www.tiktok.com/@mimianindya/video/7617129011650497812?_r=1&amp;u_code=di9l43d2mjdm07&amp;region=&amp;mid=7252577204579879685&amp;preview_pb=0&amp;sharer_language=&amp;_d=0&amp;ec_shared_reflux_dynamic_params=%7B%22placeholder_material_id%22%3A%227617129011650497812%22%2C%22p"&amp;"laceholder_origin_cover%22%3A%22https%253A%252F%252Fp16-sign-sg.tiktokcdn.com%252Ftos-alisg-p-0037%252FooVkGDoQ44FXBuafEgnqJUpoedR9tA9ZEQmBCX~tplv-tiktokx-origin.jpeg%253Fdr%253D14572%2526refresh_token%253D150fff4a%2526x-expires%253D1806051600%2526x-signa"&amp;"ture%253DVrof2j4GAQhpdFCVKRI7rV7A5wk%25253D%2526t%253D4d5b0474%2526ps%253D13740610%2526shp%253Dd05b14bd%2526shcp%253D34ff8df6%2526idc%253Dmy2%2526s%253DTIKTOK_AFFILIATE_VIRAL_VIDEO%22%2C%22placeholder_product_id%22%3A%221729427766722726591%22%2C%22placeho"&amp;"lder_video_id%22%3A%227617129011650497812%22%7D&amp;ec_shared_reflux_scene=shop_tab_feed&amp;share_item_id=7617129011650497812&amp;source=h5_t")</f>
        <v>https://www.tiktok.com/@mimianindya/video/7617129011650497812?_r=1&amp;u_code=di9l43d2mjdm07&amp;region=&amp;mid=7252577204579879685&amp;preview_pb=0&amp;sharer_language=&amp;_d=0&amp;ec_shared_reflux_dynamic_params=%7B%22placeholder_material_id%22%3A%227617129011650497812%22%2C%22placeholder_origin_cover%22%3A%22https%253A%252F%252Fp16-sign-sg.tiktokcdn.com%252Ftos-alisg-p-0037%252FooVkGDoQ44FXBuafEgnqJUpoedR9tA9ZEQmBCX~tplv-tiktokx-origin.jpeg%253Fdr%253D14572%2526refresh_token%253D150fff4a%2526x-expires%253D1806051600%2526x-signature%253DVrof2j4GAQhpdFCVKRI7rV7A5wk%25253D%2526t%253D4d5b0474%2526ps%253D13740610%2526shp%253Dd05b14bd%2526shcp%253D34ff8df6%2526idc%253Dmy2%2526s%253DTIKTOK_AFFILIATE_VIRAL_VIDEO%22%2C%22placeholder_product_id%22%3A%221729427766722726591%22%2C%22placeholder_video_id%22%3A%227617129011650497812%22%7D&amp;ec_shared_reflux_scene=shop_tab_feed&amp;share_item_id=7617129011650497812&amp;source=h5_t</v>
      </c>
      <c r="K323" s="464" t="str">
        <f>IFERROR(__xludf.DUMMYFUNCTION("""COMPUTED_VALUE"""),"KIMME")</f>
        <v>KIMME</v>
      </c>
      <c r="L323" s="279" t="str">
        <f>IFERROR(__xludf.DUMMYFUNCTION("""COMPUTED_VALUE"""),"https://www.tiktok.com/@mimianindya/video/7614917258917301524?_r=1&amp;u_code=di9l43d2mjdm07&amp;region=&amp;mid=7548353600003607297&amp;preview_pb=0&amp;sharer_language=&amp;_d=0&amp;ec_shared_reflux_dynamic_params=%7B%22placeholder_material_id%22%3A%227614917258917301524%22%2C%22p"&amp;"laceholder_origin_cover%22%3A%22https%253A%252F%252Fp16-sign-sg.tiktokcdn.com%252Ftos-alisg-p-0037%252FoYDIjNB2IiAeIPA1qBiqQnCTAxsAvIat0DvOwV~tplv-tiktokx-origin.jpeg%253Fdr%253D14572%2526refresh_token%253D4cd279ac%2526x-expires%253D1806051600%2526x-signa"&amp;"ture%253DYcPUmRtYVsKgU4P1HlIv0btGsww%25253D%2526t%253D4d5b0474%2526ps%253D13740610%2526shp%253Dd05b14bd%2526shcp%253D34ff8df6%2526idc%253Dmy2%2526s%253DTIKTOK_AFFILIATE_VIRAL_VIDEO%22%2C%22placeholder_product_id%22%3A%221729427766722726591%22%2C%22placeho"&amp;"lder_video_id%22%3A%227614917258917301524%22%7D&amp;ec_shared_reflux_scene=shop_tab_feed&amp;share_item_id=7614917258917301524&amp;source=h5_t")</f>
        <v>https://www.tiktok.com/@mimianindya/video/7614917258917301524?_r=1&amp;u_code=di9l43d2mjdm07&amp;region=&amp;mid=7548353600003607297&amp;preview_pb=0&amp;sharer_language=&amp;_d=0&amp;ec_shared_reflux_dynamic_params=%7B%22placeholder_material_id%22%3A%227614917258917301524%22%2C%22placeholder_origin_cover%22%3A%22https%253A%252F%252Fp16-sign-sg.tiktokcdn.com%252Ftos-alisg-p-0037%252FoYDIjNB2IiAeIPA1qBiqQnCTAxsAvIat0DvOwV~tplv-tiktokx-origin.jpeg%253Fdr%253D14572%2526refresh_token%253D4cd279ac%2526x-expires%253D1806051600%2526x-signature%253DYcPUmRtYVsKgU4P1HlIv0btGsww%25253D%2526t%253D4d5b0474%2526ps%253D13740610%2526shp%253Dd05b14bd%2526shcp%253D34ff8df6%2526idc%253Dmy2%2526s%253DTIKTOK_AFFILIATE_VIRAL_VIDEO%22%2C%22placeholder_product_id%22%3A%221729427766722726591%22%2C%22placeholder_video_id%22%3A%227614917258917301524%22%7D&amp;ec_shared_reflux_scene=shop_tab_feed&amp;share_item_id=7614917258917301524&amp;source=h5_t</v>
      </c>
      <c r="M323" s="464" t="str">
        <f>IFERROR(__xludf.DUMMYFUNCTION("""COMPUTED_VALUE"""),"KIMME")</f>
        <v>KIMME</v>
      </c>
      <c r="N323" s="279" t="str">
        <f>IFERROR(__xludf.DUMMYFUNCTION("""COMPUTED_VALUE"""),"https://www.tiktok.com/@meliantiukail2/video/7619832912254340372?_r=1&amp;u_code=di8aha2h9mb79f&amp;region=&amp;mid=7619832980768951060&amp;preview_pb=0&amp;sharer_language=&amp;_d=0&amp;ec_shared_reflux_dynamic_params=%7B%22placeholder_material_id%22%3A%227619832912254340372%22%2C%"&amp;"22placeholder_origin_cover%22%3A%22https%253A%252F%252Fp16-sign-sg.tiktokcdn.com%252Ftos-alisg-p-0037%252FoIfhFxncvBBFiYOQCQDgtoATTRVgbpI5DERfEV~tplv-tiktokx-origin.jpeg%253Fdr%253D14572%2526refresh_token%253D50ac5391%2526x-expires%253D1806051600%2526x-si"&amp;"gnature%253D7KhgEJm3Iyt%25252Fb9vLAxlYJEO1g9U%25253D%2526t%253D4d5b0474%2526ps%253D13740610%2526shp%253Dd05b14bd%2526shcp%253D34ff8df6%2526idc%253Dmy2%2526s%253DTIKTOK_AFFILIATE_VIRAL_VIDEO%22%2C%22placeholder_product_id%22%3A%221729427766722726591%22%2C%"&amp;"22placeholder_video_id%22%3A%227619832912254340372%22%7D&amp;ec_shared_reflux_scene=shop_tab_feed&amp;share_item_id=7619832912254340372&amp;source=h5_t")</f>
        <v>https://www.tiktok.com/@meliantiukail2/video/7619832912254340372?_r=1&amp;u_code=di8aha2h9mb79f&amp;region=&amp;mid=7619832980768951060&amp;preview_pb=0&amp;sharer_language=&amp;_d=0&amp;ec_shared_reflux_dynamic_params=%7B%22placeholder_material_id%22%3A%227619832912254340372%22%2C%22placeholder_origin_cover%22%3A%22https%253A%252F%252Fp16-sign-sg.tiktokcdn.com%252Ftos-alisg-p-0037%252FoIfhFxncvBBFiYOQCQDgtoATTRVgbpI5DERfEV~tplv-tiktokx-origin.jpeg%253Fdr%253D14572%2526refresh_token%253D50ac5391%2526x-expires%253D1806051600%2526x-signature%253D7KhgEJm3Iyt%25252Fb9vLAxlYJEO1g9U%25253D%2526t%253D4d5b0474%2526ps%253D13740610%2526shp%253Dd05b14bd%2526shcp%253D34ff8df6%2526idc%253Dmy2%2526s%253DTIKTOK_AFFILIATE_VIRAL_VIDEO%22%2C%22placeholder_product_id%22%3A%221729427766722726591%22%2C%22placeholder_video_id%22%3A%227619832912254340372%22%7D&amp;ec_shared_reflux_scene=shop_tab_feed&amp;share_item_id=7619832912254340372&amp;source=h5_t</v>
      </c>
      <c r="O323" s="464" t="str">
        <f>IFERROR(__xludf.DUMMYFUNCTION("""COMPUTED_VALUE"""),"KIMME")</f>
        <v>KIMME</v>
      </c>
      <c r="P323" s="279" t="str">
        <f>IFERROR(__xludf.DUMMYFUNCTION("""COMPUTED_VALUE"""),"https://www.tiktok.com/@meliantiukail2/video/7621411114492136724?_r=1&amp;u_code=di8aha2h9mb79f&amp;region=&amp;mid=7621411202394966785&amp;preview_pb=0&amp;sharer_language=&amp;_d=0&amp;ec_shared_reflux_dynamic_params=%7B%22placeholder_material_id%22%3A%227621411114492136724%22%2C%"&amp;"22placeholder_origin_cover%22%3A%22https%253A%252F%252Fp16-sign-sg.tiktokcdn.com%252Ftos-alisg-p-0037%252Fo8uBnDpQEu7DsBnsgzURLfERFEARfAx8vkOY3Q~tplv-tiktokx-origin.jpeg%253Fdr%253D14572%2526refresh_token%253D67e0fd70%2526x-expires%253D1806051600%2526x-si"&amp;"gnature%253DMrviZMnO6N2DB3Sib0TysVGWETk%25253D%2526t%253D4d5b0474%2526ps%253D13740610%2526shp%253Dd05b14bd%2526shcp%253D34ff8df6%2526idc%253Dmy2%2526s%253DTIKTOK_AFFILIATE_VIRAL_VIDEO%22%2C%22placeholder_product_id%22%3A%221729427766722726591%22%2C%22plac"&amp;"eholder_video_id%22%3A%227621411114492136724%22%7D&amp;ec_shared_reflux_scene=shop_tab_feed&amp;share_item_id=7621411114492136724&amp;source=h5_t")</f>
        <v>https://www.tiktok.com/@meliantiukail2/video/7621411114492136724?_r=1&amp;u_code=di8aha2h9mb79f&amp;region=&amp;mid=7621411202394966785&amp;preview_pb=0&amp;sharer_language=&amp;_d=0&amp;ec_shared_reflux_dynamic_params=%7B%22placeholder_material_id%22%3A%227621411114492136724%22%2C%22placeholder_origin_cover%22%3A%22https%253A%252F%252Fp16-sign-sg.tiktokcdn.com%252Ftos-alisg-p-0037%252Fo8uBnDpQEu7DsBnsgzURLfERFEARfAx8vkOY3Q~tplv-tiktokx-origin.jpeg%253Fdr%253D14572%2526refresh_token%253D67e0fd70%2526x-expires%253D1806051600%2526x-signature%253DMrviZMnO6N2DB3Sib0TysVGWETk%25253D%2526t%253D4d5b0474%2526ps%253D13740610%2526shp%253Dd05b14bd%2526shcp%253D34ff8df6%2526idc%253Dmy2%2526s%253DTIKTOK_AFFILIATE_VIRAL_VIDEO%22%2C%22placeholder_product_id%22%3A%221729427766722726591%22%2C%22placeholder_video_id%22%3A%227621411114492136724%22%7D&amp;ec_shared_reflux_scene=shop_tab_feed&amp;share_item_id=7621411114492136724&amp;source=h5_t</v>
      </c>
    </row>
    <row r="324">
      <c r="A324" s="255" t="str">
        <f>IFERROR(__xludf.DUMMYFUNCTION("""COMPUTED_VALUE"""),"MICRO")</f>
        <v>MICRO</v>
      </c>
      <c r="B324" s="361" t="str">
        <f>IFERROR(__xludf.DUMMYFUNCTION("""COMPUTED_VALUE"""),"onakadukahshop")</f>
        <v>onakadukahshop</v>
      </c>
      <c r="C324" s="257" t="str">
        <f>IFERROR(__xludf.DUMMYFUNCTION("""COMPUTED_VALUE"""),"https://www.tiktok.com/@onakadukahshop")</f>
        <v>https://www.tiktok.com/@onakadukahshop</v>
      </c>
      <c r="D324" s="270">
        <f>IFERROR(__xludf.DUMMYFUNCTION("""COMPUTED_VALUE"""),8.953558294E11)</f>
        <v>895355829400</v>
      </c>
      <c r="E324" s="457">
        <f>IFERROR(__xludf.DUMMYFUNCTION("""COMPUTED_VALUE"""),0.0)</f>
        <v>0</v>
      </c>
      <c r="F324" s="270">
        <f>IFERROR(__xludf.DUMMYFUNCTION("""COMPUTED_VALUE"""),4.0)</f>
        <v>4</v>
      </c>
      <c r="G324" s="17" t="str">
        <f>IFERROR(__xludf.DUMMYFUNCTION("""COMPUTED_VALUE"""),"Sabun batang 1 Box ( 2 PCS )")</f>
        <v>Sabun batang 1 Box ( 2 PCS )</v>
      </c>
      <c r="H324" s="463" t="str">
        <f>IFERROR(__xludf.DUMMYFUNCTION("""COMPUTED_VALUE"""),"Sampai")</f>
        <v>Sampai</v>
      </c>
      <c r="I324" s="464" t="str">
        <f>IFERROR(__xludf.DUMMYFUNCTION("""COMPUTED_VALUE"""),"KIMME")</f>
        <v>KIMME</v>
      </c>
      <c r="J324" s="279" t="str">
        <f>IFERROR(__xludf.DUMMYFUNCTION("""COMPUTED_VALUE"""),"https://www.tiktok.com/@zizee___/video/7617693992582532360?is_from_webapp=1&amp;sender_device=pc")</f>
        <v>https://www.tiktok.com/@zizee___/video/7617693992582532360?is_from_webapp=1&amp;sender_device=pc</v>
      </c>
      <c r="K324" s="464" t="str">
        <f>IFERROR(__xludf.DUMMYFUNCTION("""COMPUTED_VALUE"""),"KIMME")</f>
        <v>KIMME</v>
      </c>
      <c r="L324" s="279" t="str">
        <f>IFERROR(__xludf.DUMMYFUNCTION("""COMPUTED_VALUE"""),"https://www.tiktok.com/@zizee___/video/7617721433518624018?is_from_webapp=1&amp;sender_device=pc")</f>
        <v>https://www.tiktok.com/@zizee___/video/7617721433518624018?is_from_webapp=1&amp;sender_device=pc</v>
      </c>
      <c r="M324" s="464" t="str">
        <f>IFERROR(__xludf.DUMMYFUNCTION("""COMPUTED_VALUE"""),"KIMME")</f>
        <v>KIMME</v>
      </c>
      <c r="N324" s="279" t="str">
        <f>IFERROR(__xludf.DUMMYFUNCTION("""COMPUTED_VALUE"""),"https://www.tiktok.com/@zizee___/video/7618580880579267847?_r=1&amp;u_code=d683jg1cbkdg4l&amp;region=&amp;mid=7592942162568923912&amp;preview_pb=0&amp;sharer_language=&amp;_d=0&amp;ec_shared_reflux_dynamic_params=%7B%22placeholder_material_id%22%3A%227618580880579267847%22%2C%22plac"&amp;"eholder_origin_cover%22%3A%22https%253A%252F%252Fp16-sign-sg.tiktokcdn.com%252Ftos-alisg-p-0037%252FogPAfHi9AWWIUToTjScCDAkgfQgfgEWqO7Pd8M~tplv-tiktokx-origin.jpeg%253Fdr%253D14572%2526refresh_token%253Dddc30bc3%2526x-expires%253D1806051600%2526x-signatur"&amp;"e%253DIf5bguChkP86KRUNB7SAXYSPIqY%25253D%2526t%253D4d5b0474%2526ps%253D13740610%2526shp%253Dd05b14bd%2526shcp%253D34ff8df6%2526idc%253Dmy2%2526s%253DTIKTOK_AFFILIATE_VIRAL_VIDEO%22%2C%22placeholder_product_id%22%3A%221729427766722726591%22%2C%22placeholde"&amp;"r_video_id%22%3A%227618580880579267847%22%7D&amp;ec_shared_reflux_scene=shop_tab_feed&amp;share_item_id=7618580880579267847&amp;source=h5_t")</f>
        <v>https://www.tiktok.com/@zizee___/video/7618580880579267847?_r=1&amp;u_code=d683jg1cbkdg4l&amp;region=&amp;mid=7592942162568923912&amp;preview_pb=0&amp;sharer_language=&amp;_d=0&amp;ec_shared_reflux_dynamic_params=%7B%22placeholder_material_id%22%3A%227618580880579267847%22%2C%22placeholder_origin_cover%22%3A%22https%253A%252F%252Fp16-sign-sg.tiktokcdn.com%252Ftos-alisg-p-0037%252FogPAfHi9AWWIUToTjScCDAkgfQgfgEWqO7Pd8M~tplv-tiktokx-origin.jpeg%253Fdr%253D14572%2526refresh_token%253Dddc30bc3%2526x-expires%253D1806051600%2526x-signature%253DIf5bguChkP86KRUNB7SAXYSPIqY%25253D%2526t%253D4d5b0474%2526ps%253D13740610%2526shp%253Dd05b14bd%2526shcp%253D34ff8df6%2526idc%253Dmy2%2526s%253DTIKTOK_AFFILIATE_VIRAL_VIDEO%22%2C%22placeholder_product_id%22%3A%221729427766722726591%22%2C%22placeholder_video_id%22%3A%227618580880579267847%22%7D&amp;ec_shared_reflux_scene=shop_tab_feed&amp;share_item_id=7618580880579267847&amp;source=h5_t</v>
      </c>
      <c r="O324" s="464" t="str">
        <f>IFERROR(__xludf.DUMMYFUNCTION("""COMPUTED_VALUE"""),"KIMME")</f>
        <v>KIMME</v>
      </c>
      <c r="P324" s="279" t="str">
        <f>IFERROR(__xludf.DUMMYFUNCTION("""COMPUTED_VALUE"""),"https://www.tiktok.com/@zizee___/video/7618925680461483282?_d=0&amp;_r=1&amp;ec_shared_reflux_dynamic_params=%7B%22placeholder_material_id%22%3A%227618925680461483282%22%2C%22placeholder_origin_cover%22%3A%22https%253A%252F%252Fp16-sign-sg.tiktokcdn.com%252Ftos-a"&amp;"lisg-p-0037%252FoUHDfjT8CujRIzUIL7AtlQQG3Agod1rC4XeeSj~tplv-tiktokx-origin.jpeg%253Fdr%253D14572%2526refresh_token%253Df42fc3ed%2526x-expires%253D1806051600%2526x-signature%253DcWph1TgB8t3df61fLXCAIVBoj7c%25253D%2526t%253D4d5b0474%2526ps%253D13740610%2526"&amp;"shp%253Dd05b14bd%2526shcp%253D34ff8df6%2526idc%253Dmy2%2526s%253DTIKTOK_AFFILIATE_VIRAL_VIDEO%22%2C%22placeholder_product_id%22%3A%221729427766722726591%22%2C%22placeholder_video_id%22%3A%227618925680461483282%22%7D&amp;ec_shared_reflux_scene=shop_tab_feed&amp;mi"&amp;"d=7507772951459432464&amp;preview_pb=0&amp;region=&amp;share_item_id=7618925680461483282&amp;sharer_language=&amp;source=h5_t&amp;u_code=d683jg1cbkdg4l")</f>
        <v>https://www.tiktok.com/@zizee___/video/7618925680461483282?_d=0&amp;_r=1&amp;ec_shared_reflux_dynamic_params=%7B%22placeholder_material_id%22%3A%227618925680461483282%22%2C%22placeholder_origin_cover%22%3A%22https%253A%252F%252Fp16-sign-sg.tiktokcdn.com%252Ftos-alisg-p-0037%252FoUHDfjT8CujRIzUIL7AtlQQG3Agod1rC4XeeSj~tplv-tiktokx-origin.jpeg%253Fdr%253D14572%2526refresh_token%253Df42fc3ed%2526x-expires%253D1806051600%2526x-signature%253DcWph1TgB8t3df61fLXCAIVBoj7c%25253D%2526t%253D4d5b0474%2526ps%253D13740610%2526shp%253Dd05b14bd%2526shcp%253D34ff8df6%2526idc%253Dmy2%2526s%253DTIKTOK_AFFILIATE_VIRAL_VIDEO%22%2C%22placeholder_product_id%22%3A%221729427766722726591%22%2C%22placeholder_video_id%22%3A%227618925680461483282%22%7D&amp;ec_shared_reflux_scene=shop_tab_feed&amp;mid=7507772951459432464&amp;preview_pb=0&amp;region=&amp;share_item_id=7618925680461483282&amp;sharer_language=&amp;source=h5_t&amp;u_code=d683jg1cbkdg4l</v>
      </c>
    </row>
    <row r="325">
      <c r="A325" s="255" t="str">
        <f>IFERROR(__xludf.DUMMYFUNCTION("""COMPUTED_VALUE"""),"MICRO")</f>
        <v>MICRO</v>
      </c>
      <c r="B325" s="361" t="str">
        <f>IFERROR(__xludf.DUMMYFUNCTION("""COMPUTED_VALUE"""),"galerirubi")</f>
        <v>galerirubi</v>
      </c>
      <c r="C325" s="257" t="str">
        <f>IFERROR(__xludf.DUMMYFUNCTION("""COMPUTED_VALUE"""),"https://www.tiktok.com/@galerirubi")</f>
        <v>https://www.tiktok.com/@galerirubi</v>
      </c>
      <c r="D325" s="270">
        <f>IFERROR(__xludf.DUMMYFUNCTION("""COMPUTED_VALUE"""),8.1385860471E10)</f>
        <v>81385860471</v>
      </c>
      <c r="E325" s="457">
        <f>IFERROR(__xludf.DUMMYFUNCTION("""COMPUTED_VALUE"""),0.0)</f>
        <v>0</v>
      </c>
      <c r="F325" s="270">
        <f>IFERROR(__xludf.DUMMYFUNCTION("""COMPUTED_VALUE"""),4.0)</f>
        <v>4</v>
      </c>
      <c r="G325" s="17" t="str">
        <f>IFERROR(__xludf.DUMMYFUNCTION("""COMPUTED_VALUE"""),"Sabun batang 1 Box ( 2 PCS )")</f>
        <v>Sabun batang 1 Box ( 2 PCS )</v>
      </c>
      <c r="H325" s="463" t="str">
        <f>IFERROR(__xludf.DUMMYFUNCTION("""COMPUTED_VALUE"""),"Sampai")</f>
        <v>Sampai</v>
      </c>
      <c r="I325" s="464" t="str">
        <f>IFERROR(__xludf.DUMMYFUNCTION("""COMPUTED_VALUE"""),"KIMME")</f>
        <v>KIMME</v>
      </c>
      <c r="J325" s="279" t="str">
        <f>IFERROR(__xludf.DUMMYFUNCTION("""COMPUTED_VALUE"""),"https://vt.tiktok.com/ZSuTpt21D/")</f>
        <v>https://vt.tiktok.com/ZSuTpt21D/</v>
      </c>
      <c r="K325" s="464" t="str">
        <f>IFERROR(__xludf.DUMMYFUNCTION("""COMPUTED_VALUE"""),"KIMME")</f>
        <v>KIMME</v>
      </c>
      <c r="L325" s="279" t="str">
        <f>IFERROR(__xludf.DUMMYFUNCTION("""COMPUTED_VALUE"""),"https://www.tiktok.com/@racunbyyola/video/7615893213643148552?_r=1&amp;u_code=did1gld0iebd1c&amp;region=&amp;mid=7615893257116994322&amp;preview_pb=0&amp;sharer_language=&amp;_d=0&amp;ec_shared_reflux_dynamic_params=%7B%22placeholder_material_id%22%3A%227615893213643148552%22%2C%22p"&amp;"laceholder_origin_cover%22%3A%22https%253A%252F%252Fp16-sign-sg.tiktokcdn.com%252Ftos-alisg-p-0037%252Fo45XIYXtHiBcFJxa8EaDvypWObEBBiOIR4QBA~tplv-tiktokx-origin.jpeg%253Fdr%253D14572%2526refresh_token%253Dd3db15fc%2526x-expires%253D1806051600%2526x-signat"&amp;"ure%253DzMNGox%25252FWKWkBsIotlX%25252Fmt%25252Fhl0RA%25253D%2526t%253D4d5b0474%2526ps%253D13740610%2526shp%253Dd05b14bd%2526shcp%253D34ff8df6%2526idc%253Dmy2%2526s%253DTIKTOK_AFFILIATE_VIRAL_VIDEO%22%2C%22placeholder_product_id%22%3A%22172942776672272659"&amp;"1%22%2C%22placeholder_video_id%22%3A%227615893213643148552%22%7D&amp;ec_shared_reflux_scene=shop_tab_feed&amp;share_item_id=7615893213643148552&amp;source=h5_t")</f>
        <v>https://www.tiktok.com/@racunbyyola/video/7615893213643148552?_r=1&amp;u_code=did1gld0iebd1c&amp;region=&amp;mid=7615893257116994322&amp;preview_pb=0&amp;sharer_language=&amp;_d=0&amp;ec_shared_reflux_dynamic_params=%7B%22placeholder_material_id%22%3A%227615893213643148552%22%2C%22placeholder_origin_cover%22%3A%22https%253A%252F%252Fp16-sign-sg.tiktokcdn.com%252Ftos-alisg-p-0037%252Fo45XIYXtHiBcFJxa8EaDvypWObEBBiOIR4QBA~tplv-tiktokx-origin.jpeg%253Fdr%253D14572%2526refresh_token%253Dd3db15fc%2526x-expires%253D1806051600%2526x-signature%253DzMNGox%25252FWKWkBsIotlX%25252Fmt%25252Fhl0RA%25253D%2526t%253D4d5b0474%2526ps%253D13740610%2526shp%253Dd05b14bd%2526shcp%253D34ff8df6%2526idc%253Dmy2%2526s%253DTIKTOK_AFFILIATE_VIRAL_VIDEO%22%2C%22placeholder_product_id%22%3A%221729427766722726591%22%2C%22placeholder_video_id%22%3A%227615893213643148552%22%7D&amp;ec_shared_reflux_scene=shop_tab_feed&amp;share_item_id=7615893213643148552&amp;source=h5_t</v>
      </c>
      <c r="M325" s="464" t="str">
        <f>IFERROR(__xludf.DUMMYFUNCTION("""COMPUTED_VALUE"""),"KIMME")</f>
        <v>KIMME</v>
      </c>
      <c r="N325" s="279" t="str">
        <f>IFERROR(__xludf.DUMMYFUNCTION("""COMPUTED_VALUE"""),"https://www.tiktok.com/@racunbyyola/video/7616297481894137106?_d=0&amp;_r=1&amp;ec_shared_reflux_dynamic_params=%7B%22placeholder_material_id%22%3A%227616297481894137106%22%2C%22placeholder_origin_cover%22%3A%22https%253A%252F%252Fp16-sign-sg.tiktokcdn.com%252Fto"&amp;"s-alisg-p-0037%252Fo0HEBsvc6QAorMfY7sDXlfD3agEoOBDFpQURsF~tplv-tiktokx-origin.jpeg%253Fdr%253D14572%2526refresh_token%253De9e796f6%2526x-expires%253D1806051600%2526x-signature%253DHJSFdKLm7gYYgHf8Hc95SoHVs58%25253D%2526t%253D4d5b0474%2526ps%253D13740610%2"&amp;"526shp%253Dd05b14bd%2526shcp%253D34ff8df6%2526idc%253Dmy2%2526s%253DTIKTOK_AFFILIATE_VIRAL_VIDEO%22%2C%22placeholder_product_id%22%3A%221729427766722726591%22%2C%22placeholder_video_id%22%3A%227616297481894137106%22%7D&amp;ec_shared_reflux_scene=shop_tab_feed"&amp;"&amp;mid=7612573308588018449&amp;preview_pb=0&amp;region=&amp;share_item_id=7616297481894137106&amp;sharer_language=&amp;source=h5_t&amp;u_code=did1gld0iebd1c")</f>
        <v>https://www.tiktok.com/@racunbyyola/video/7616297481894137106?_d=0&amp;_r=1&amp;ec_shared_reflux_dynamic_params=%7B%22placeholder_material_id%22%3A%227616297481894137106%22%2C%22placeholder_origin_cover%22%3A%22https%253A%252F%252Fp16-sign-sg.tiktokcdn.com%252Ftos-alisg-p-0037%252Fo0HEBsvc6QAorMfY7sDXlfD3agEoOBDFpQURsF~tplv-tiktokx-origin.jpeg%253Fdr%253D14572%2526refresh_token%253De9e796f6%2526x-expires%253D1806051600%2526x-signature%253DHJSFdKLm7gYYgHf8Hc95SoHVs58%25253D%2526t%253D4d5b0474%2526ps%253D13740610%2526shp%253Dd05b14bd%2526shcp%253D34ff8df6%2526idc%253Dmy2%2526s%253DTIKTOK_AFFILIATE_VIRAL_VIDEO%22%2C%22placeholder_product_id%22%3A%221729427766722726591%22%2C%22placeholder_video_id%22%3A%227616297481894137106%22%7D&amp;ec_shared_reflux_scene=shop_tab_feed&amp;mid=7612573308588018449&amp;preview_pb=0&amp;region=&amp;share_item_id=7616297481894137106&amp;sharer_language=&amp;source=h5_t&amp;u_code=did1gld0iebd1c</v>
      </c>
      <c r="O325" s="464" t="str">
        <f>IFERROR(__xludf.DUMMYFUNCTION("""COMPUTED_VALUE"""),"KIMME")</f>
        <v>KIMME</v>
      </c>
      <c r="P325" s="279" t="str">
        <f>IFERROR(__xludf.DUMMYFUNCTION("""COMPUTED_VALUE"""),"https://www.tiktok.com/@racunbyyola/video/7616391575031057671?_r=1&amp;u_code=did1gld0iebd1c&amp;region=&amp;mid=7579485199155677960&amp;preview_pb=0&amp;sharer_language=&amp;_d=0&amp;ec_shared_reflux_dynamic_params=%7B%22placeholder_material_id%22%3A%227616391575031057671%22%2C%22p"&amp;"laceholder_origin_cover%22%3A%22https%253A%252F%252Fp16-sign-sg.tiktokcdn.com%252Ftos-alisg-p-0037%252Fo4BwA2usFFamcEtBIpEDf8fQIt9cguOCBcyCxR~tplv-tiktokx-origin.jpeg%253Fdr%253D14572%2526refresh_token%253D7ef5dddf%2526x-expires%253D1806051600%2526x-signa"&amp;"ture%253D0J9bdg2SG06zl%25252Fs%25252BINCPv4j4L6M%25253D%2526t%253D4d5b0474%2526ps%253D13740610%2526shp%253Dd05b14bd%2526shcp%253D34ff8df6%2526idc%253Dmy2%2526s%253DTIKTOK_AFFILIATE_VIRAL_VIDEO%22%2C%22placeholder_product_id%22%3A%221729427766722726591%22%"&amp;"2C%22placeholder_video_id%22%3A%227616391575031057671%22%7D&amp;ec_shared_reflux_scene=shop_tab_feed&amp;share_item_id=7616391575031057671&amp;source=h5_t")</f>
        <v>https://www.tiktok.com/@racunbyyola/video/7616391575031057671?_r=1&amp;u_code=did1gld0iebd1c&amp;region=&amp;mid=7579485199155677960&amp;preview_pb=0&amp;sharer_language=&amp;_d=0&amp;ec_shared_reflux_dynamic_params=%7B%22placeholder_material_id%22%3A%227616391575031057671%22%2C%22placeholder_origin_cover%22%3A%22https%253A%252F%252Fp16-sign-sg.tiktokcdn.com%252Ftos-alisg-p-0037%252Fo4BwA2usFFamcEtBIpEDf8fQIt9cguOCBcyCxR~tplv-tiktokx-origin.jpeg%253Fdr%253D14572%2526refresh_token%253D7ef5dddf%2526x-expires%253D1806051600%2526x-signature%253D0J9bdg2SG06zl%25252Fs%25252BINCPv4j4L6M%25253D%2526t%253D4d5b0474%2526ps%253D13740610%2526shp%253Dd05b14bd%2526shcp%253D34ff8df6%2526idc%253Dmy2%2526s%253DTIKTOK_AFFILIATE_VIRAL_VIDEO%22%2C%22placeholder_product_id%22%3A%221729427766722726591%22%2C%22placeholder_video_id%22%3A%227616391575031057671%22%7D&amp;ec_shared_reflux_scene=shop_tab_feed&amp;share_item_id=7616391575031057671&amp;source=h5_t</v>
      </c>
    </row>
    <row r="326">
      <c r="A326" s="255" t="str">
        <f>IFERROR(__xludf.DUMMYFUNCTION("""COMPUTED_VALUE"""),"MICRO")</f>
        <v>MICRO</v>
      </c>
      <c r="B326" s="361" t="str">
        <f>IFERROR(__xludf.DUMMYFUNCTION("""COMPUTED_VALUE"""),"nia_chan006")</f>
        <v>nia_chan006</v>
      </c>
      <c r="C326" s="257" t="str">
        <f>IFERROR(__xludf.DUMMYFUNCTION("""COMPUTED_VALUE"""),"https://www.tiktok.com/@nia_chan006")</f>
        <v>https://www.tiktok.com/@nia_chan006</v>
      </c>
      <c r="D326" s="270">
        <f>IFERROR(__xludf.DUMMYFUNCTION("""COMPUTED_VALUE"""),8.5213525696E10)</f>
        <v>85213525696</v>
      </c>
      <c r="E326" s="457">
        <f>IFERROR(__xludf.DUMMYFUNCTION("""COMPUTED_VALUE"""),0.0)</f>
        <v>0</v>
      </c>
      <c r="F326" s="270">
        <f>IFERROR(__xludf.DUMMYFUNCTION("""COMPUTED_VALUE"""),4.0)</f>
        <v>4</v>
      </c>
      <c r="G326" s="17" t="str">
        <f>IFERROR(__xludf.DUMMYFUNCTION("""COMPUTED_VALUE"""),"Sabun batang 1 Box ( 2 PCS )")</f>
        <v>Sabun batang 1 Box ( 2 PCS )</v>
      </c>
      <c r="H326" s="463" t="str">
        <f>IFERROR(__xludf.DUMMYFUNCTION("""COMPUTED_VALUE"""),"Sampai")</f>
        <v>Sampai</v>
      </c>
      <c r="I326" s="464" t="str">
        <f>IFERROR(__xludf.DUMMYFUNCTION("""COMPUTED_VALUE"""),"KIMME")</f>
        <v>KIMME</v>
      </c>
      <c r="J326" s="279" t="str">
        <f>IFERROR(__xludf.DUMMYFUNCTION("""COMPUTED_VALUE"""),"https://www.tiktok.com/@lsakyu/video/7618030718739926273?is_from_webapp=1&amp;sender_device=pc&amp;web_id=7611930277489657360")</f>
        <v>https://www.tiktok.com/@lsakyu/video/7618030718739926273?is_from_webapp=1&amp;sender_device=pc&amp;web_id=7611930277489657360</v>
      </c>
      <c r="K326" s="464" t="str">
        <f>IFERROR(__xludf.DUMMYFUNCTION("""COMPUTED_VALUE"""),"KIMME")</f>
        <v>KIMME</v>
      </c>
      <c r="L326" s="279" t="str">
        <f>IFERROR(__xludf.DUMMYFUNCTION("""COMPUTED_VALUE"""),"https://www.tiktok.com/@amellibraa_/video/7611416971619437844?is_from_webapp=1&amp;sender_device=pc&amp;web_id=7611930277489657360")</f>
        <v>https://www.tiktok.com/@amellibraa_/video/7611416971619437844?is_from_webapp=1&amp;sender_device=pc&amp;web_id=7611930277489657360</v>
      </c>
      <c r="M326" s="464" t="str">
        <f>IFERROR(__xludf.DUMMYFUNCTION("""COMPUTED_VALUE"""),"KIMME")</f>
        <v>KIMME</v>
      </c>
      <c r="N326" s="279" t="str">
        <f>IFERROR(__xludf.DUMMYFUNCTION("""COMPUTED_VALUE"""),"https://www.tiktok.com/@amellibraa_/video/7611678642376215828?is_from_webapp=1&amp;sender_device=pc&amp;web_id=7611930277489657360")</f>
        <v>https://www.tiktok.com/@amellibraa_/video/7611678642376215828?is_from_webapp=1&amp;sender_device=pc&amp;web_id=7611930277489657360</v>
      </c>
      <c r="O326" s="464" t="str">
        <f>IFERROR(__xludf.DUMMYFUNCTION("""COMPUTED_VALUE"""),"KIMME")</f>
        <v>KIMME</v>
      </c>
      <c r="P326" s="279" t="str">
        <f>IFERROR(__xludf.DUMMYFUNCTION("""COMPUTED_VALUE"""),"https://www.tiktok.com/@amellibraa_/video/7612329375144447252?is_from_webapp=1&amp;sender_device=pc&amp;web_id=7611930277489657360")</f>
        <v>https://www.tiktok.com/@amellibraa_/video/7612329375144447252?is_from_webapp=1&amp;sender_device=pc&amp;web_id=7611930277489657360</v>
      </c>
    </row>
    <row r="327">
      <c r="A327" s="255" t="str">
        <f>IFERROR(__xludf.DUMMYFUNCTION("""COMPUTED_VALUE"""),"MACRO")</f>
        <v>MACRO</v>
      </c>
      <c r="B327" s="361" t="str">
        <f>IFERROR(__xludf.DUMMYFUNCTION("""COMPUTED_VALUE"""),"Wan_Ghoffur")</f>
        <v>Wan_Ghoffur</v>
      </c>
      <c r="C327" s="257" t="str">
        <f>IFERROR(__xludf.DUMMYFUNCTION("""COMPUTED_VALUE"""),"https://www.tiktok.com/@Wan_Ghoffur")</f>
        <v>https://www.tiktok.com/@Wan_Ghoffur</v>
      </c>
      <c r="D327" s="270">
        <f>IFERROR(__xludf.DUMMYFUNCTION("""COMPUTED_VALUE"""),8.5708577679E10)</f>
        <v>85708577679</v>
      </c>
      <c r="E327" s="457">
        <f>IFERROR(__xludf.DUMMYFUNCTION("""COMPUTED_VALUE"""),0.0)</f>
        <v>0</v>
      </c>
      <c r="F327" s="270">
        <f>IFERROR(__xludf.DUMMYFUNCTION("""COMPUTED_VALUE"""),2.0)</f>
        <v>2</v>
      </c>
      <c r="G327" s="17" t="str">
        <f>IFERROR(__xludf.DUMMYFUNCTION("""COMPUTED_VALUE"""),"Sabun batang 1 Box ( 2 PCS )")</f>
        <v>Sabun batang 1 Box ( 2 PCS )</v>
      </c>
      <c r="H327" s="463" t="str">
        <f>IFERROR(__xludf.DUMMYFUNCTION("""COMPUTED_VALUE"""),"Sampai")</f>
        <v>Sampai</v>
      </c>
      <c r="I327" s="464" t="str">
        <f>IFERROR(__xludf.DUMMYFUNCTION("""COMPUTED_VALUE"""),"KIMME")</f>
        <v>KIMME</v>
      </c>
      <c r="J327" s="279" t="str">
        <f>IFERROR(__xludf.DUMMYFUNCTION("""COMPUTED_VALUE"""),"https://www.tiktok.com/@lsakyu/video/7617131087562624273?is_from_webapp=1&amp;sender_device=pc&amp;web_id=7611930277489657360")</f>
        <v>https://www.tiktok.com/@lsakyu/video/7617131087562624273?is_from_webapp=1&amp;sender_device=pc&amp;web_id=7611930277489657360</v>
      </c>
      <c r="K327" s="464" t="str">
        <f>IFERROR(__xludf.DUMMYFUNCTION("""COMPUTED_VALUE"""),"KIMME")</f>
        <v>KIMME</v>
      </c>
      <c r="L327" s="279" t="str">
        <f>IFERROR(__xludf.DUMMYFUNCTION("""COMPUTED_VALUE"""),"https://vt.tiktok.com/ZSu3aYKFm/")</f>
        <v>https://vt.tiktok.com/ZSu3aYKFm/</v>
      </c>
      <c r="M327" s="464"/>
      <c r="N327" s="17"/>
      <c r="O327" s="464"/>
      <c r="P327" s="17"/>
    </row>
    <row r="328">
      <c r="A328" s="255" t="str">
        <f>IFERROR(__xludf.DUMMYFUNCTION("""COMPUTED_VALUE"""),"MICRO")</f>
        <v>MICRO</v>
      </c>
      <c r="B328" s="361" t="str">
        <f>IFERROR(__xludf.DUMMYFUNCTION("""COMPUTED_VALUE"""),"ahmad_husein123")</f>
        <v>ahmad_husein123</v>
      </c>
      <c r="C328" s="257" t="str">
        <f>IFERROR(__xludf.DUMMYFUNCTION("""COMPUTED_VALUE"""),"https://www.tiktok.com/@ahmad_husein123")</f>
        <v>https://www.tiktok.com/@ahmad_husein123</v>
      </c>
      <c r="D328" s="270">
        <f>IFERROR(__xludf.DUMMYFUNCTION("""COMPUTED_VALUE"""),8.1375662689E10)</f>
        <v>81375662689</v>
      </c>
      <c r="E328" s="457">
        <f>IFERROR(__xludf.DUMMYFUNCTION("""COMPUTED_VALUE"""),0.0)</f>
        <v>0</v>
      </c>
      <c r="F328" s="270">
        <f>IFERROR(__xludf.DUMMYFUNCTION("""COMPUTED_VALUE"""),4.0)</f>
        <v>4</v>
      </c>
      <c r="G328" s="17" t="str">
        <f>IFERROR(__xludf.DUMMYFUNCTION("""COMPUTED_VALUE"""),"Sabun batang 1 Box ( 2 PCS )")</f>
        <v>Sabun batang 1 Box ( 2 PCS )</v>
      </c>
      <c r="H328" s="463" t="str">
        <f>IFERROR(__xludf.DUMMYFUNCTION("""COMPUTED_VALUE"""),"Sampai")</f>
        <v>Sampai</v>
      </c>
      <c r="I328" s="464" t="str">
        <f>IFERROR(__xludf.DUMMYFUNCTION("""COMPUTED_VALUE"""),"KIMME")</f>
        <v>KIMME</v>
      </c>
      <c r="J328" s="279" t="str">
        <f>IFERROR(__xludf.DUMMYFUNCTION("""COMPUTED_VALUE"""),"https://vt.tiktok.com/ZSu357Xhk/")</f>
        <v>https://vt.tiktok.com/ZSu357Xhk/</v>
      </c>
      <c r="K328" s="464" t="str">
        <f>IFERROR(__xludf.DUMMYFUNCTION("""COMPUTED_VALUE"""),"KIMME")</f>
        <v>KIMME</v>
      </c>
      <c r="L328" s="279" t="str">
        <f>IFERROR(__xludf.DUMMYFUNCTION("""COMPUTED_VALUE"""),"https://www.tiktok.com/@naura.karisma/video/7620658693012573461?_r=1&amp;u_code=ee97hf50aa8g7e&amp;region=&amp;mid=7615505674093234177&amp;preview_pb=0&amp;sharer_language=&amp;_d=0&amp;ec_shared_reflux_dynamic_params=%7B%22placeholder_material_id%22%3A%227620658693012573461%22%2C%2"&amp;"2placeholder_origin_cover%22%3A%22https%253A%252F%252Fp16-sign-sg.tiktokcdn.com%252Ftos-alisg-p-0037%252Fo0ICIBBXRBOwAADpuFrmfv9kdSkENEUgcfgMBs~tplv-tiktokx-origin.jpeg%253Fdr%253D14572%2526refresh_token%253Dfca18a01%2526x-expires%253D1806051600%2526x-sig"&amp;"nature%253DHvm4skfEDqCouYyV43yQ8aWZFk0%25253D%2526t%253D4d5b0474%2526ps%253D13740610%2526shp%253Dd05b14bd%2526shcp%253D34ff8df6%2526idc%253Dmy2%2526s%253DTIKTOK_AFFILIATE_VIRAL_VIDEO%22%2C%22placeholder_product_id%22%3A%221729427766722726591%22%2C%22place"&amp;"holder_video_id%22%3A%227620658693012573461%22%7D&amp;ec_shared_reflux_scene=shop_tab_feed&amp;share_item_id=7620658693012573461&amp;source=h5_t")</f>
        <v>https://www.tiktok.com/@naura.karisma/video/7620658693012573461?_r=1&amp;u_code=ee97hf50aa8g7e&amp;region=&amp;mid=7615505674093234177&amp;preview_pb=0&amp;sharer_language=&amp;_d=0&amp;ec_shared_reflux_dynamic_params=%7B%22placeholder_material_id%22%3A%227620658693012573461%22%2C%22placeholder_origin_cover%22%3A%22https%253A%252F%252Fp16-sign-sg.tiktokcdn.com%252Ftos-alisg-p-0037%252Fo0ICIBBXRBOwAADpuFrmfv9kdSkENEUgcfgMBs~tplv-tiktokx-origin.jpeg%253Fdr%253D14572%2526refresh_token%253Dfca18a01%2526x-expires%253D1806051600%2526x-signature%253DHvm4skfEDqCouYyV43yQ8aWZFk0%25253D%2526t%253D4d5b0474%2526ps%253D13740610%2526shp%253Dd05b14bd%2526shcp%253D34ff8df6%2526idc%253Dmy2%2526s%253DTIKTOK_AFFILIATE_VIRAL_VIDEO%22%2C%22placeholder_product_id%22%3A%221729427766722726591%22%2C%22placeholder_video_id%22%3A%227620658693012573461%22%7D&amp;ec_shared_reflux_scene=shop_tab_feed&amp;share_item_id=7620658693012573461&amp;source=h5_t</v>
      </c>
      <c r="M328" s="464" t="str">
        <f>IFERROR(__xludf.DUMMYFUNCTION("""COMPUTED_VALUE"""),"KIMME")</f>
        <v>KIMME</v>
      </c>
      <c r="N328" s="279" t="str">
        <f>IFERROR(__xludf.DUMMYFUNCTION("""COMPUTED_VALUE"""),"https://www.tiktok.com/@waroengserbamurah/video/7609238646922792212?_r=1&amp;u_code=di6ce8079l4acg&amp;region=&amp;mid=7609238713461607175&amp;preview_pb=0&amp;sharer_language=&amp;_d=0&amp;ec_shared_reflux_dynamic_params=%7B%22placeholder_material_id%22%3A%227609238646922792212%22%"&amp;"2C%22placeholder_origin_cover%22%3A%22https%253A%252F%252Fp16-sign-sg.tiktokcdn.com%252Ftos-alisg-p-0037%252FosgIgnmIiKAcBvpZAFXrEgE9ZD4kf8AeRABI6U~tplv-tiktokx-origin.jpeg%253Fdr%253D14572%2526refresh_token%253Dbe3c9c54%2526x-expires%253D1806055200%2526x"&amp;"-signature%253D9koJ7wBrZgB6YtgNIe3V1oDWdDw%25253D%2526t%253D4d5b0474%2526ps%253D13740610%2526shp%253Dd05b14bd%2526shcp%253D34ff8df6%2526idc%253Dmy2%2526s%253DTIKTOK_AFFILIATE_VIRAL_VIDEO%22%2C%22placeholder_product_id%22%3A%221729427766722726591%22%2C%22p"&amp;"laceholder_video_id%22%3A%227609238646922792212%22%7D&amp;ec_shared_reflux_scene=shop_tab_feed&amp;share_item_id=7609238646922792212&amp;source=h5_t")</f>
        <v>https://www.tiktok.com/@waroengserbamurah/video/7609238646922792212?_r=1&amp;u_code=di6ce8079l4acg&amp;region=&amp;mid=7609238713461607175&amp;preview_pb=0&amp;sharer_language=&amp;_d=0&amp;ec_shared_reflux_dynamic_params=%7B%22placeholder_material_id%22%3A%227609238646922792212%22%2C%22placeholder_origin_cover%22%3A%22https%253A%252F%252Fp16-sign-sg.tiktokcdn.com%252Ftos-alisg-p-0037%252FosgIgnmIiKAcBvpZAFXrEgE9ZD4kf8AeRABI6U~tplv-tiktokx-origin.jpeg%253Fdr%253D14572%2526refresh_token%253Dbe3c9c54%2526x-expires%253D1806055200%2526x-signature%253D9koJ7wBrZgB6YtgNIe3V1oDWdDw%25253D%2526t%253D4d5b0474%2526ps%253D13740610%2526shp%253Dd05b14bd%2526shcp%253D34ff8df6%2526idc%253Dmy2%2526s%253DTIKTOK_AFFILIATE_VIRAL_VIDEO%22%2C%22placeholder_product_id%22%3A%221729427766722726591%22%2C%22placeholder_video_id%22%3A%227609238646922792212%22%7D&amp;ec_shared_reflux_scene=shop_tab_feed&amp;share_item_id=7609238646922792212&amp;source=h5_t</v>
      </c>
      <c r="O328" s="464" t="str">
        <f>IFERROR(__xludf.DUMMYFUNCTION("""COMPUTED_VALUE"""),"KIMME")</f>
        <v>KIMME</v>
      </c>
      <c r="P328" s="279" t="str">
        <f>IFERROR(__xludf.DUMMYFUNCTION("""COMPUTED_VALUE"""),"https://www.tiktok.com/@waroengserbamurah/video/7610061599843355925?_r=1&amp;u_code=di6ce8079l4acg&amp;region=&amp;mid=7610066798612499220&amp;preview_pb=0&amp;sharer_language=&amp;_d=0&amp;ec_shared_reflux_dynamic_params=%7B%22placeholder_material_id%22%3A%227610061599843355925%22%"&amp;"2C%22placeholder_origin_cover%22%3A%22https%253A%252F%252Fp16-sign-sg.tiktokcdn.com%252Ftos-alisg-p-0037%252FoEpncpkvQ3F0Bb5EQj44eBASBRFX1cfsogKD6E~tplv-tiktokx-origin.jpeg%253Fdr%253D14572%2526refresh_token%253Dda6da684%2526x-expires%253D1806055200%2526x"&amp;"-signature%253DOdgrsNTP3RfdXzijml9TXCnQ0D0%25253D%2526t%253D4d5b0474%2526ps%253D13740610%2526shp%253Dd05b14bd%2526shcp%253D34ff8df6%2526idc%253Dmy2%2526s%253DTIKTOK_AFFILIATE_VIRAL_VIDEO%22%2C%22placeholder_product_id%22%3A%221729427766722726591%22%2C%22p"&amp;"laceholder_video_id%22%3A%227610061599843355925%22%7D&amp;ec_shared_reflux_scene=shop_tab_feed&amp;share_item_id=7610061599843355925&amp;source=h5_t")</f>
        <v>https://www.tiktok.com/@waroengserbamurah/video/7610061599843355925?_r=1&amp;u_code=di6ce8079l4acg&amp;region=&amp;mid=7610066798612499220&amp;preview_pb=0&amp;sharer_language=&amp;_d=0&amp;ec_shared_reflux_dynamic_params=%7B%22placeholder_material_id%22%3A%227610061599843355925%22%2C%22placeholder_origin_cover%22%3A%22https%253A%252F%252Fp16-sign-sg.tiktokcdn.com%252Ftos-alisg-p-0037%252FoEpncpkvQ3F0Bb5EQj44eBASBRFX1cfsogKD6E~tplv-tiktokx-origin.jpeg%253Fdr%253D14572%2526refresh_token%253Dda6da684%2526x-expires%253D1806055200%2526x-signature%253DOdgrsNTP3RfdXzijml9TXCnQ0D0%25253D%2526t%253D4d5b0474%2526ps%253D13740610%2526shp%253Dd05b14bd%2526shcp%253D34ff8df6%2526idc%253Dmy2%2526s%253DTIKTOK_AFFILIATE_VIRAL_VIDEO%22%2C%22placeholder_product_id%22%3A%221729427766722726591%22%2C%22placeholder_video_id%22%3A%227610061599843355925%22%7D&amp;ec_shared_reflux_scene=shop_tab_feed&amp;share_item_id=7610061599843355925&amp;source=h5_t</v>
      </c>
    </row>
    <row r="329">
      <c r="A329" s="255" t="str">
        <f>IFERROR(__xludf.DUMMYFUNCTION("""COMPUTED_VALUE"""),"MICRO")</f>
        <v>MICRO</v>
      </c>
      <c r="B329" s="361" t="str">
        <f>IFERROR(__xludf.DUMMYFUNCTION("""COMPUTED_VALUE"""),"beliyok354")</f>
        <v>beliyok354</v>
      </c>
      <c r="C329" s="257" t="str">
        <f>IFERROR(__xludf.DUMMYFUNCTION("""COMPUTED_VALUE"""),"https://www.tiktok.com/@beliyok354")</f>
        <v>https://www.tiktok.com/@beliyok354</v>
      </c>
      <c r="D329" s="270">
        <f>IFERROR(__xludf.DUMMYFUNCTION("""COMPUTED_VALUE"""),8.565573363E10)</f>
        <v>85655733630</v>
      </c>
      <c r="E329" s="457">
        <f>IFERROR(__xludf.DUMMYFUNCTION("""COMPUTED_VALUE"""),0.0)</f>
        <v>0</v>
      </c>
      <c r="F329" s="270">
        <f>IFERROR(__xludf.DUMMYFUNCTION("""COMPUTED_VALUE"""),4.0)</f>
        <v>4</v>
      </c>
      <c r="G329" s="17" t="str">
        <f>IFERROR(__xludf.DUMMYFUNCTION("""COMPUTED_VALUE"""),"Sabun batang 1 Box ( 2 PCS )")</f>
        <v>Sabun batang 1 Box ( 2 PCS )</v>
      </c>
      <c r="H329" s="463" t="str">
        <f>IFERROR(__xludf.DUMMYFUNCTION("""COMPUTED_VALUE"""),"Sampai")</f>
        <v>Sampai</v>
      </c>
      <c r="I329" s="464" t="str">
        <f>IFERROR(__xludf.DUMMYFUNCTION("""COMPUTED_VALUE"""),"KIMME")</f>
        <v>KIMME</v>
      </c>
      <c r="J329" s="279" t="str">
        <f>IFERROR(__xludf.DUMMYFUNCTION("""COMPUTED_VALUE"""),"https://www.tiktok.com/@waroengserbamurah/video/7609742484872350996?_r=1&amp;u_code=di6ce8079l4acg&amp;region=&amp;mid=7609742528782420743&amp;preview_pb=0&amp;sharer_language=&amp;_d=0&amp;ec_shared_reflux_dynamic_params=%7B%22placeholder_material_id%22%3A%227609742484872350996%22%"&amp;"2C%22placeholder_origin_cover%22%3A%22https%253A%252F%252Fp16-sign-sg.tiktokcdn.com%252Ftos-alisg-p-0037%252FooRPIA9npqBZkELbB8iigxBeEmARoLdII4frUz~tplv-tiktokx-origin.jpeg%253Fdr%253D14572%2526refresh_token%253D0401aef4%2526x-expires%253D1806055200%2526x"&amp;"-signature%253DZdIYG%25252B5SMugt7mRxh2ecCgnqfNA%25253D%2526t%253D4d5b0474%2526ps%253D13740610%2526shp%253Dd05b14bd%2526shcp%253D34ff8df6%2526idc%253Dmy2%2526s%253DTIKTOK_AFFILIATE_VIRAL_VIDEO%22%2C%22placeholder_product_id%22%3A%221729427766722726591%22%"&amp;"2C%22placeholder_video_id%22%3A%227609742484872350996%22%7D&amp;ec_shared_reflux_scene=shop_tab_feed&amp;share_item_id=7609742484872350996&amp;source=h5_t")</f>
        <v>https://www.tiktok.com/@waroengserbamurah/video/7609742484872350996?_r=1&amp;u_code=di6ce8079l4acg&amp;region=&amp;mid=7609742528782420743&amp;preview_pb=0&amp;sharer_language=&amp;_d=0&amp;ec_shared_reflux_dynamic_params=%7B%22placeholder_material_id%22%3A%227609742484872350996%22%2C%22placeholder_origin_cover%22%3A%22https%253A%252F%252Fp16-sign-sg.tiktokcdn.com%252Ftos-alisg-p-0037%252FooRPIA9npqBZkELbB8iigxBeEmARoLdII4frUz~tplv-tiktokx-origin.jpeg%253Fdr%253D14572%2526refresh_token%253D0401aef4%2526x-expires%253D1806055200%2526x-signature%253DZdIYG%25252B5SMugt7mRxh2ecCgnqfNA%25253D%2526t%253D4d5b0474%2526ps%253D13740610%2526shp%253Dd05b14bd%2526shcp%253D34ff8df6%2526idc%253Dmy2%2526s%253DTIKTOK_AFFILIATE_VIRAL_VIDEO%22%2C%22placeholder_product_id%22%3A%221729427766722726591%22%2C%22placeholder_video_id%22%3A%227609742484872350996%22%7D&amp;ec_shared_reflux_scene=shop_tab_feed&amp;share_item_id=7609742484872350996&amp;source=h5_t</v>
      </c>
      <c r="K329" s="464" t="str">
        <f>IFERROR(__xludf.DUMMYFUNCTION("""COMPUTED_VALUE"""),"KIMME")</f>
        <v>KIMME</v>
      </c>
      <c r="L329" s="279" t="str">
        <f>IFERROR(__xludf.DUMMYFUNCTION("""COMPUTED_VALUE"""),"https://www.tiktok.com/@waroengserbamurah/video/7609742422335327509?_r=1&amp;u_code=di6ce8079l4acg&amp;region=&amp;mid=7609742469441325842&amp;preview_pb=0&amp;sharer_language=&amp;_d=0&amp;ec_shared_reflux_dynamic_params=%7B%22placeholder_material_id%22%3A%227609742422335327509%22%"&amp;"2C%22placeholder_origin_cover%22%3A%22https%253A%252F%252Fp16-sign-sg.tiktokcdn.com%252Ftos-alisg-p-0037%252Fo0nTCstUIXOLCpeAsAPgN8sjjjcVGDD4Ieeg5o~tplv-tiktokx-origin.jpeg%253Fdr%253D14572%2526refresh_token%253D3f4fd3c4%2526x-expires%253D1806055200%2526x"&amp;"-signature%253DSb8u9f4RhrkntimRaDJIWO0CNSI%25253D%2526t%253D4d5b0474%2526ps%253D13740610%2526shp%253Dd05b14bd%2526shcp%253D34ff8df6%2526idc%253Dmy2%2526s%253DTIKTOK_AFFILIATE_VIRAL_VIDEO%22%2C%22placeholder_product_id%22%3A%221729729730555512511%22%2C%22p"&amp;"laceholder_video_id%22%3A%227609742422335327509%22%7D&amp;ec_shared_reflux_scene=shop_tab_feed&amp;share_item_id=7609742422335327509&amp;source=h5_t")</f>
        <v>https://www.tiktok.com/@waroengserbamurah/video/7609742422335327509?_r=1&amp;u_code=di6ce8079l4acg&amp;region=&amp;mid=7609742469441325842&amp;preview_pb=0&amp;sharer_language=&amp;_d=0&amp;ec_shared_reflux_dynamic_params=%7B%22placeholder_material_id%22%3A%227609742422335327509%22%2C%22placeholder_origin_cover%22%3A%22https%253A%252F%252Fp16-sign-sg.tiktokcdn.com%252Ftos-alisg-p-0037%252Fo0nTCstUIXOLCpeAsAPgN8sjjjcVGDD4Ieeg5o~tplv-tiktokx-origin.jpeg%253Fdr%253D14572%2526refresh_token%253D3f4fd3c4%2526x-expires%253D1806055200%2526x-signature%253DSb8u9f4RhrkntimRaDJIWO0CNSI%25253D%2526t%253D4d5b0474%2526ps%253D13740610%2526shp%253Dd05b14bd%2526shcp%253D34ff8df6%2526idc%253Dmy2%2526s%253DTIKTOK_AFFILIATE_VIRAL_VIDEO%22%2C%22placeholder_product_id%22%3A%221729729730555512511%22%2C%22placeholder_video_id%22%3A%227609742422335327509%22%7D&amp;ec_shared_reflux_scene=shop_tab_feed&amp;share_item_id=7609742422335327509&amp;source=h5_t</v>
      </c>
      <c r="M329" s="464" t="str">
        <f>IFERROR(__xludf.DUMMYFUNCTION("""COMPUTED_VALUE"""),"KIMME")</f>
        <v>KIMME</v>
      </c>
      <c r="N329" s="279" t="str">
        <f>IFERROR(__xludf.DUMMYFUNCTION("""COMPUTED_VALUE"""),"https://www.tiktok.com/@waroengserbamurah/video/7609742371042921749?_r=1&amp;u_code=di6ce8079l4acg&amp;region=&amp;mid=7609742419634555669&amp;preview_pb=0&amp;sharer_language=&amp;_d=0&amp;ec_shared_reflux_dynamic_params=%7B%22placeholder_material_id%22%3A%227609742371042921749%22%"&amp;"2C%22placeholder_origin_cover%22%3A%22https%253A%252F%252Fp16-sign-sg.tiktokcdn.com%252Ftos-alisg-p-0037%252FogNbRzgApIU0EQBrPBmFlWxEIoDAUpAIggfGGe~tplv-tiktokx-origin.jpeg%253Fdr%253D14572%2526refresh_token%253D59d40ba6%2526x-expires%253D1806055200%2526x"&amp;"-signature%253Dt0W%25252BgKpRInRWQVwNl4elnTVr5lI%25253D%2526t%253D4d5b0474%2526ps%253D13740610%2526shp%253Dd05b14bd%2526shcp%253D34ff8df6%2526idc%253Dmy2%2526s%253DTIKTOK_AFFILIATE_VIRAL_VIDEO%22%2C%22placeholder_product_id%22%3A%221729729730555512511%22%"&amp;"2C%22placeholder_video_id%22%3A%227609742371042921749%22%7D&amp;ec_shared_reflux_scene=shop_tab_feed&amp;share_item_id=7609742371042921749&amp;source=h5_t")</f>
        <v>https://www.tiktok.com/@waroengserbamurah/video/7609742371042921749?_r=1&amp;u_code=di6ce8079l4acg&amp;region=&amp;mid=7609742419634555669&amp;preview_pb=0&amp;sharer_language=&amp;_d=0&amp;ec_shared_reflux_dynamic_params=%7B%22placeholder_material_id%22%3A%227609742371042921749%22%2C%22placeholder_origin_cover%22%3A%22https%253A%252F%252Fp16-sign-sg.tiktokcdn.com%252Ftos-alisg-p-0037%252FogNbRzgApIU0EQBrPBmFlWxEIoDAUpAIggfGGe~tplv-tiktokx-origin.jpeg%253Fdr%253D14572%2526refresh_token%253D59d40ba6%2526x-expires%253D1806055200%2526x-signature%253Dt0W%25252BgKpRInRWQVwNl4elnTVr5lI%25253D%2526t%253D4d5b0474%2526ps%253D13740610%2526shp%253Dd05b14bd%2526shcp%253D34ff8df6%2526idc%253Dmy2%2526s%253DTIKTOK_AFFILIATE_VIRAL_VIDEO%22%2C%22placeholder_product_id%22%3A%221729729730555512511%22%2C%22placeholder_video_id%22%3A%227609742371042921749%22%7D&amp;ec_shared_reflux_scene=shop_tab_feed&amp;share_item_id=7609742371042921749&amp;source=h5_t</v>
      </c>
      <c r="O329" s="464" t="str">
        <f>IFERROR(__xludf.DUMMYFUNCTION("""COMPUTED_VALUE"""),"KIMME")</f>
        <v>KIMME</v>
      </c>
      <c r="P329" s="279" t="str">
        <f>IFERROR(__xludf.DUMMYFUNCTION("""COMPUTED_VALUE"""),"https://www.tiktok.com/@waroengserbamurah/video/7609240844943559957?_r=1&amp;u_code=di6ce8079l4acg&amp;region=&amp;mid=7609240887243803412&amp;preview_pb=0&amp;sharer_language=&amp;_d=0&amp;ec_shared_reflux_dynamic_params=%7B%22placeholder_material_id%22%3A%227609240844943559957%22%"&amp;"2C%22placeholder_origin_cover%22%3A%22https%253A%252F%252Fp16-sign-sg.tiktokcdn.com%252Ftos-alisg-p-0037%252FosPmmAfZUmIB3dR2E5gjIjFEgVFeGpZEDKBXBw~tplv-tiktokx-origin.jpeg%253Fdr%253D14572%2526refresh_token%253De42efb5a%2526x-expires%253D1806055200%2526x"&amp;"-signature%253DvJpjrYY%25252BvHeCTuf30%25252FJJHiAGhD0%25253D%2526t%253D4d5b0474%2526ps%253D13740610%2526shp%253Dd05b14bd%2526shcp%253D34ff8df6%2526idc%253Dmy2%2526s%253DTIKTOK_AFFILIATE_VIRAL_VIDEO%22%2C%22placeholder_product_id%22%3A%2217294277667227265"&amp;"91%22%2C%22placeholder_video_id%22%3A%227609240844943559957%22%7D&amp;ec_shared_reflux_scene=shop_tab_feed&amp;share_item_id=7609240844943559957&amp;source=h5_t")</f>
        <v>https://www.tiktok.com/@waroengserbamurah/video/7609240844943559957?_r=1&amp;u_code=di6ce8079l4acg&amp;region=&amp;mid=7609240887243803412&amp;preview_pb=0&amp;sharer_language=&amp;_d=0&amp;ec_shared_reflux_dynamic_params=%7B%22placeholder_material_id%22%3A%227609240844943559957%22%2C%22placeholder_origin_cover%22%3A%22https%253A%252F%252Fp16-sign-sg.tiktokcdn.com%252Ftos-alisg-p-0037%252FosPmmAfZUmIB3dR2E5gjIjFEgVFeGpZEDKBXBw~tplv-tiktokx-origin.jpeg%253Fdr%253D14572%2526refresh_token%253De42efb5a%2526x-expires%253D1806055200%2526x-signature%253DvJpjrYY%25252BvHeCTuf30%25252FJJHiAGhD0%25253D%2526t%253D4d5b0474%2526ps%253D13740610%2526shp%253Dd05b14bd%2526shcp%253D34ff8df6%2526idc%253Dmy2%2526s%253DTIKTOK_AFFILIATE_VIRAL_VIDEO%22%2C%22placeholder_product_id%22%3A%221729427766722726591%22%2C%22placeholder_video_id%22%3A%227609240844943559957%22%7D&amp;ec_shared_reflux_scene=shop_tab_feed&amp;share_item_id=7609240844943559957&amp;source=h5_t</v>
      </c>
    </row>
    <row r="330">
      <c r="A330" s="255" t="str">
        <f>IFERROR(__xludf.DUMMYFUNCTION("""COMPUTED_VALUE"""),"MICRO")</f>
        <v>MICRO</v>
      </c>
      <c r="B330" s="361" t="str">
        <f>IFERROR(__xludf.DUMMYFUNCTION("""COMPUTED_VALUE"""),"maheera_makeup")</f>
        <v>maheera_makeup</v>
      </c>
      <c r="C330" s="257" t="str">
        <f>IFERROR(__xludf.DUMMYFUNCTION("""COMPUTED_VALUE"""),"https://www.tiktok.com/@maheera_makeup")</f>
        <v>https://www.tiktok.com/@maheera_makeup</v>
      </c>
      <c r="D330" s="270">
        <f>IFERROR(__xludf.DUMMYFUNCTION("""COMPUTED_VALUE"""),8.1554906104E10)</f>
        <v>81554906104</v>
      </c>
      <c r="E330" s="457">
        <f>IFERROR(__xludf.DUMMYFUNCTION("""COMPUTED_VALUE"""),0.0)</f>
        <v>0</v>
      </c>
      <c r="F330" s="270">
        <f>IFERROR(__xludf.DUMMYFUNCTION("""COMPUTED_VALUE"""),4.0)</f>
        <v>4</v>
      </c>
      <c r="G330" s="17" t="str">
        <f>IFERROR(__xludf.DUMMYFUNCTION("""COMPUTED_VALUE"""),"Sabun batang 1 Box ( 2 PCS )")</f>
        <v>Sabun batang 1 Box ( 2 PCS )</v>
      </c>
      <c r="H330" s="463" t="str">
        <f>IFERROR(__xludf.DUMMYFUNCTION("""COMPUTED_VALUE"""),"Sampai")</f>
        <v>Sampai</v>
      </c>
      <c r="I330" s="464" t="str">
        <f>IFERROR(__xludf.DUMMYFUNCTION("""COMPUTED_VALUE"""),"KIMME")</f>
        <v>KIMME</v>
      </c>
      <c r="J330" s="279" t="str">
        <f>IFERROR(__xludf.DUMMYFUNCTION("""COMPUTED_VALUE"""),"https://www.tiktok.com/@icha7721/video/7612990118462360850?_r=1&amp;u_code=e59fc6bfdb6373&amp;region=&amp;mid=7070111883117742081&amp;preview_pb=0&amp;sharer_language=&amp;_d=0&amp;ec_shared_reflux_dynamic_params=%7B%22placeholder_material_id%22%3A%227612990118462360850%22%2C%22plac"&amp;"eholder_origin_cover%22%3A%22https%253A%252F%252Fp16-sign-sg.tiktokcdn.com%252Ftos-alisg-p-0037%252FoQQNQDBJRjVpAyDp0FtffD8UyUsE4EqgcxsGBy~tplv-tiktokx-origin.jpeg%253Fdr%253D14572%2526refresh_token%253Dc067df89%2526x-expires%253D1806055200%2526x-signatur"&amp;"e%253DBfc4M%25252BXi1ZSLXPSaSj8LKJF8Vws%25253D%2526t%253D4d5b0474%2526ps%253D13740610%2526shp%253Dd05b14bd%2526shcp%253D34ff8df6%2526idc%253Dmy2%2526s%253DTIKTOK_AFFILIATE_VIRAL_VIDEO%22%2C%22placeholder_product_id%22%3A%221729427766722726591%22%2C%22plac"&amp;"eholder_video_id%22%3A%227612990118462360850%22%7D&amp;ec_shared_reflux_scene=shop_tab_feed&amp;share_item_id=7612990118462360850&amp;source=h5_t")</f>
        <v>https://www.tiktok.com/@icha7721/video/7612990118462360850?_r=1&amp;u_code=e59fc6bfdb6373&amp;region=&amp;mid=7070111883117742081&amp;preview_pb=0&amp;sharer_language=&amp;_d=0&amp;ec_shared_reflux_dynamic_params=%7B%22placeholder_material_id%22%3A%227612990118462360850%22%2C%22placeholder_origin_cover%22%3A%22https%253A%252F%252Fp16-sign-sg.tiktokcdn.com%252Ftos-alisg-p-0037%252FoQQNQDBJRjVpAyDp0FtffD8UyUsE4EqgcxsGBy~tplv-tiktokx-origin.jpeg%253Fdr%253D14572%2526refresh_token%253Dc067df89%2526x-expires%253D1806055200%2526x-signature%253DBfc4M%25252BXi1ZSLXPSaSj8LKJF8Vws%25253D%2526t%253D4d5b0474%2526ps%253D13740610%2526shp%253Dd05b14bd%2526shcp%253D34ff8df6%2526idc%253Dmy2%2526s%253DTIKTOK_AFFILIATE_VIRAL_VIDEO%22%2C%22placeholder_product_id%22%3A%221729427766722726591%22%2C%22placeholder_video_id%22%3A%227612990118462360850%22%7D&amp;ec_shared_reflux_scene=shop_tab_feed&amp;share_item_id=7612990118462360850&amp;source=h5_t</v>
      </c>
      <c r="K330" s="464" t="str">
        <f>IFERROR(__xludf.DUMMYFUNCTION("""COMPUTED_VALUE"""),"KIMME")</f>
        <v>KIMME</v>
      </c>
      <c r="L330" s="279" t="str">
        <f>IFERROR(__xludf.DUMMYFUNCTION("""COMPUTED_VALUE"""),"https://www.tiktok.com/@waroengserbamurah/video/7609237180044676372?_r=1&amp;u_code=di6ce8079l4acg&amp;region=&amp;mid=7609237237896956689&amp;preview_pb=0&amp;sharer_language=&amp;_d=0&amp;ec_shared_reflux_dynamic_params=%7B%22placeholder_material_id%22%3A%227609237180044676372%22%"&amp;"2C%22placeholder_origin_cover%22%3A%22https%253A%252F%252Fp16-sign-sg.tiktokcdn.com%252Ftos-alisg-p-0037%252Fos5BRfmJguAQqZGAAGMYQbT2cew0O1mleGS4Fe~tplv-tiktokx-origin.jpeg%253Fdr%253D14572%2526refresh_token%253Dc1b9157e%2526x-expires%253D1806055200%2526x"&amp;"-signature%253D5AoAWzHng29R%25252FgMXOshfSMESKAk%25253D%2526t%253D4d5b0474%2526ps%253D13740610%2526shp%253Dd05b14bd%2526shcp%253D34ff8df6%2526idc%253Dmy2%2526s%253DTIKTOK_AFFILIATE_VIRAL_VIDEO%22%2C%22placeholder_product_id%22%3A%221729427766722726591%22%"&amp;"2C%22placeholder_video_id%22%3A%227609237180044676372%22%7D&amp;ec_shared_reflux_scene=shop_tab_feed&amp;share_item_id=7609237180044676372&amp;source=h5_t")</f>
        <v>https://www.tiktok.com/@waroengserbamurah/video/7609237180044676372?_r=1&amp;u_code=di6ce8079l4acg&amp;region=&amp;mid=7609237237896956689&amp;preview_pb=0&amp;sharer_language=&amp;_d=0&amp;ec_shared_reflux_dynamic_params=%7B%22placeholder_material_id%22%3A%227609237180044676372%22%2C%22placeholder_origin_cover%22%3A%22https%253A%252F%252Fp16-sign-sg.tiktokcdn.com%252Ftos-alisg-p-0037%252Fos5BRfmJguAQqZGAAGMYQbT2cew0O1mleGS4Fe~tplv-tiktokx-origin.jpeg%253Fdr%253D14572%2526refresh_token%253Dc1b9157e%2526x-expires%253D1806055200%2526x-signature%253D5AoAWzHng29R%25252FgMXOshfSMESKAk%25253D%2526t%253D4d5b0474%2526ps%253D13740610%2526shp%253Dd05b14bd%2526shcp%253D34ff8df6%2526idc%253Dmy2%2526s%253DTIKTOK_AFFILIATE_VIRAL_VIDEO%22%2C%22placeholder_product_id%22%3A%221729427766722726591%22%2C%22placeholder_video_id%22%3A%227609237180044676372%22%7D&amp;ec_shared_reflux_scene=shop_tab_feed&amp;share_item_id=7609237180044676372&amp;source=h5_t</v>
      </c>
      <c r="M330" s="464" t="str">
        <f>IFERROR(__xludf.DUMMYFUNCTION("""COMPUTED_VALUE"""),"KIMME")</f>
        <v>KIMME</v>
      </c>
      <c r="N330" s="279" t="str">
        <f>IFERROR(__xludf.DUMMYFUNCTION("""COMPUTED_VALUE"""),"https://www.tiktok.com/@waroengserbamurah/video/7608947616704908564?_r=1&amp;u_code=di6ce8079l4acg&amp;region=&amp;mid=7608947655879740180&amp;preview_pb=0&amp;sharer_language=&amp;_d=0&amp;ec_shared_reflux_dynamic_params=%7B%22placeholder_material_id%22%3A%227608947616704908564%22%"&amp;"2C%22placeholder_origin_cover%22%3A%22https%253A%252F%252Fp16-sign-sg.tiktokcdn.com%252Ftos-alisg-p-0037%252FosAAYiu8SzbZBab9IfwADQC3wqiKAWoIJ0jHIP~tplv-tiktokx-origin.jpeg%253Fdr%253D14572%2526refresh_token%253Dd5a98910%2526x-expires%253D1806055200%2526x"&amp;"-signature%253DM2MXascBuVzrI4Wrd%25252F4sSeNfiek%25253D%2526t%253D4d5b0474%2526ps%253D13740610%2526shp%253Dd05b14bd%2526shcp%253D34ff8df6%2526idc%253Dmy2%2526s%253DTIKTOK_AFFILIATE_VIRAL_VIDEO%22%2C%22placeholder_product_id%22%3A%221729427766722726591%22%"&amp;"2C%22placeholder_video_id%22%3A%227608947616704908564%22%7D&amp;ec_shared_reflux_scene=shop_tab_feed&amp;share_item_id=7608947616704908564&amp;source=h5_t")</f>
        <v>https://www.tiktok.com/@waroengserbamurah/video/7608947616704908564?_r=1&amp;u_code=di6ce8079l4acg&amp;region=&amp;mid=7608947655879740180&amp;preview_pb=0&amp;sharer_language=&amp;_d=0&amp;ec_shared_reflux_dynamic_params=%7B%22placeholder_material_id%22%3A%227608947616704908564%22%2C%22placeholder_origin_cover%22%3A%22https%253A%252F%252Fp16-sign-sg.tiktokcdn.com%252Ftos-alisg-p-0037%252FosAAYiu8SzbZBab9IfwADQC3wqiKAWoIJ0jHIP~tplv-tiktokx-origin.jpeg%253Fdr%253D14572%2526refresh_token%253Dd5a98910%2526x-expires%253D1806055200%2526x-signature%253DM2MXascBuVzrI4Wrd%25252F4sSeNfiek%25253D%2526t%253D4d5b0474%2526ps%253D13740610%2526shp%253Dd05b14bd%2526shcp%253D34ff8df6%2526idc%253Dmy2%2526s%253DTIKTOK_AFFILIATE_VIRAL_VIDEO%22%2C%22placeholder_product_id%22%3A%221729427766722726591%22%2C%22placeholder_video_id%22%3A%227608947616704908564%22%7D&amp;ec_shared_reflux_scene=shop_tab_feed&amp;share_item_id=7608947616704908564&amp;source=h5_t</v>
      </c>
      <c r="O330" s="464" t="str">
        <f>IFERROR(__xludf.DUMMYFUNCTION("""COMPUTED_VALUE"""),"KIMME")</f>
        <v>KIMME</v>
      </c>
      <c r="P330" s="279" t="str">
        <f>IFERROR(__xludf.DUMMYFUNCTION("""COMPUTED_VALUE"""),"https://www.tiktok.com/@waroengserbamurah/video/7608650054051630356?_r=1&amp;u_code=di6ce8079l4acg&amp;region=&amp;mid=7608650091399105288&amp;preview_pb=0&amp;sharer_language=&amp;_d=0&amp;ec_shared_reflux_dynamic_params=%7B%22placeholder_material_id%22%3A%227608650054051630356%22%"&amp;"2C%22placeholder_origin_cover%22%3A%22https%253A%252F%252Fp16-sign-sg.tiktokcdn.com%252Ftos-alisg-p-0037%252FoIYVvEIIAvLiqad0EWUzZ8aYizPSXQAVBILAB~tplv-tiktokx-origin.jpeg%253Fdr%253D14572%2526refresh_token%253D3c51e040%2526x-expires%253D1806055200%2526x-"&amp;"signature%253D%25252Bo%25252Bgxgwja7OA0Jx0QJ7stZqSp%25252FU%25253D%2526t%253D4d5b0474%2526ps%253D13740610%2526shp%253Dd05b14bd%2526shcp%253D34ff8df6%2526idc%253Dmy2%2526s%253DTIKTOK_AFFILIATE_VIRAL_VIDEO%22%2C%22placeholder_product_id%22%3A%22172942776672"&amp;"2726591%22%2C%22placeholder_video_id%22%3A%227608650054051630356%22%7D&amp;ec_shared_reflux_scene=shop_tab_feed&amp;share_item_id=7608650054051630356&amp;source=h5_t")</f>
        <v>https://www.tiktok.com/@waroengserbamurah/video/7608650054051630356?_r=1&amp;u_code=di6ce8079l4acg&amp;region=&amp;mid=7608650091399105288&amp;preview_pb=0&amp;sharer_language=&amp;_d=0&amp;ec_shared_reflux_dynamic_params=%7B%22placeholder_material_id%22%3A%227608650054051630356%22%2C%22placeholder_origin_cover%22%3A%22https%253A%252F%252Fp16-sign-sg.tiktokcdn.com%252Ftos-alisg-p-0037%252FoIYVvEIIAvLiqad0EWUzZ8aYizPSXQAVBILAB~tplv-tiktokx-origin.jpeg%253Fdr%253D14572%2526refresh_token%253D3c51e040%2526x-expires%253D1806055200%2526x-signature%253D%25252Bo%25252Bgxgwja7OA0Jx0QJ7stZqSp%25252FU%25253D%2526t%253D4d5b0474%2526ps%253D13740610%2526shp%253Dd05b14bd%2526shcp%253D34ff8df6%2526idc%253Dmy2%2526s%253DTIKTOK_AFFILIATE_VIRAL_VIDEO%22%2C%22placeholder_product_id%22%3A%221729427766722726591%22%2C%22placeholder_video_id%22%3A%227608650054051630356%22%7D&amp;ec_shared_reflux_scene=shop_tab_feed&amp;share_item_id=7608650054051630356&amp;source=h5_t</v>
      </c>
    </row>
    <row r="331">
      <c r="A331" s="255" t="str">
        <f>IFERROR(__xludf.DUMMYFUNCTION("""COMPUTED_VALUE"""),"MICRO")</f>
        <v>MICRO</v>
      </c>
      <c r="B331" s="361" t="str">
        <f>IFERROR(__xludf.DUMMYFUNCTION("""COMPUTED_VALUE"""),"winston_zhang7")</f>
        <v>winston_zhang7</v>
      </c>
      <c r="C331" s="257" t="str">
        <f>IFERROR(__xludf.DUMMYFUNCTION("""COMPUTED_VALUE"""),"https://www.tiktok.com/@winston_zhang7")</f>
        <v>https://www.tiktok.com/@winston_zhang7</v>
      </c>
      <c r="D331" s="270">
        <f>IFERROR(__xludf.DUMMYFUNCTION("""COMPUTED_VALUE"""),8.18300387E8)</f>
        <v>818300387</v>
      </c>
      <c r="E331" s="457">
        <f>IFERROR(__xludf.DUMMYFUNCTION("""COMPUTED_VALUE"""),0.0)</f>
        <v>0</v>
      </c>
      <c r="F331" s="270">
        <f>IFERROR(__xludf.DUMMYFUNCTION("""COMPUTED_VALUE"""),4.0)</f>
        <v>4</v>
      </c>
      <c r="G331" s="17" t="str">
        <f>IFERROR(__xludf.DUMMYFUNCTION("""COMPUTED_VALUE"""),"Sabun batang 1 Box ( 2 PCS )")</f>
        <v>Sabun batang 1 Box ( 2 PCS )</v>
      </c>
      <c r="H331" s="463" t="str">
        <f>IFERROR(__xludf.DUMMYFUNCTION("""COMPUTED_VALUE"""),"Sampai")</f>
        <v>Sampai</v>
      </c>
      <c r="I331" s="464" t="str">
        <f>IFERROR(__xludf.DUMMYFUNCTION("""COMPUTED_VALUE"""),"KIMME")</f>
        <v>KIMME</v>
      </c>
      <c r="J331" s="279" t="str">
        <f>IFERROR(__xludf.DUMMYFUNCTION("""COMPUTED_VALUE"""),"https://vt.tiktok.com/ZS9GdtmMC/")</f>
        <v>https://vt.tiktok.com/ZS9GdtmMC/</v>
      </c>
      <c r="K331" s="464" t="str">
        <f>IFERROR(__xludf.DUMMYFUNCTION("""COMPUTED_VALUE"""),"KIMME")</f>
        <v>KIMME</v>
      </c>
      <c r="L331" s="279" t="str">
        <f>IFERROR(__xludf.DUMMYFUNCTION("""COMPUTED_VALUE"""),"https://vt.tiktok.com/ZS9GdvB7p/")</f>
        <v>https://vt.tiktok.com/ZS9GdvB7p/</v>
      </c>
      <c r="M331" s="464" t="str">
        <f>IFERROR(__xludf.DUMMYFUNCTION("""COMPUTED_VALUE"""),"KIMME")</f>
        <v>KIMME</v>
      </c>
      <c r="N331" s="279" t="str">
        <f>IFERROR(__xludf.DUMMYFUNCTION("""COMPUTED_VALUE"""),"https://vt.tiktok.com/ZS9Gd7S5B/")</f>
        <v>https://vt.tiktok.com/ZS9Gd7S5B/</v>
      </c>
      <c r="O331" s="464" t="str">
        <f>IFERROR(__xludf.DUMMYFUNCTION("""COMPUTED_VALUE"""),"KIMME")</f>
        <v>KIMME</v>
      </c>
      <c r="P331" s="279" t="str">
        <f>IFERROR(__xludf.DUMMYFUNCTION("""COMPUTED_VALUE"""),"https://vt.tiktok.com/ZS9GdnN5n/")</f>
        <v>https://vt.tiktok.com/ZS9GdnN5n/</v>
      </c>
    </row>
    <row r="332">
      <c r="A332" s="255" t="str">
        <f>IFERROR(__xludf.DUMMYFUNCTION("""COMPUTED_VALUE"""),"MICRO")</f>
        <v>MICRO</v>
      </c>
      <c r="B332" s="361" t="str">
        <f>IFERROR(__xludf.DUMMYFUNCTION("""COMPUTED_VALUE"""),"herlinaameliaa")</f>
        <v>herlinaameliaa</v>
      </c>
      <c r="C332" s="257" t="str">
        <f>IFERROR(__xludf.DUMMYFUNCTION("""COMPUTED_VALUE"""),"https://www.tiktok.com/@herlinaameliaa")</f>
        <v>https://www.tiktok.com/@herlinaameliaa</v>
      </c>
      <c r="D332" s="270">
        <f>IFERROR(__xludf.DUMMYFUNCTION("""COMPUTED_VALUE"""),8.1775195314E10)</f>
        <v>81775195314</v>
      </c>
      <c r="E332" s="457">
        <f>IFERROR(__xludf.DUMMYFUNCTION("""COMPUTED_VALUE"""),0.0)</f>
        <v>0</v>
      </c>
      <c r="F332" s="270">
        <f>IFERROR(__xludf.DUMMYFUNCTION("""COMPUTED_VALUE"""),4.0)</f>
        <v>4</v>
      </c>
      <c r="G332" s="17" t="str">
        <f>IFERROR(__xludf.DUMMYFUNCTION("""COMPUTED_VALUE"""),"Sabun batang 1 Box ( 2 PCS )")</f>
        <v>Sabun batang 1 Box ( 2 PCS )</v>
      </c>
      <c r="H332" s="463" t="str">
        <f>IFERROR(__xludf.DUMMYFUNCTION("""COMPUTED_VALUE"""),"Sampai")</f>
        <v>Sampai</v>
      </c>
      <c r="I332" s="464" t="str">
        <f>IFERROR(__xludf.DUMMYFUNCTION("""COMPUTED_VALUE"""),"KIMME")</f>
        <v>KIMME</v>
      </c>
      <c r="J332" s="279" t="str">
        <f>IFERROR(__xludf.DUMMYFUNCTION("""COMPUTED_VALUE"""),"https://www.tiktok.com/@icha7721/video/7613367505595387143?_r=1&amp;u_code=e59fc6bfdb6373&amp;region=&amp;mid=7613367537566157589&amp;preview_pb=0&amp;sharer_language=&amp;_d=0&amp;ec_shared_reflux_dynamic_params=%7B%22placeholder_material_id%22%3A%227613367505595387143%22%2C%22plac"&amp;"eholder_origin_cover%22%3A%22https%253A%252F%252Fp16-sign-sg.tiktokcdn.com%252Ftos-alisg-p-0037%252FoQDo9cekQB7qgQEsXfRHEK1B4zy8BgwiFZA9Fp~tplv-tiktokx-origin.jpeg%253Fdr%253D14572%2526refresh_token%253D9d4a05eb%2526x-expires%253D1806055200%2526x-signatur"&amp;"e%253DyvYGEn2MQABeFLMukifm06jwqTw%25253D%2526t%253D4d5b0474%2526ps%253D13740610%2526shp%253Dd05b14bd%2526shcp%253D34ff8df6%2526idc%253Dmy2%2526s%253DTIKTOK_AFFILIATE_VIRAL_VIDEO%22%2C%22placeholder_product_id%22%3A%221729427766722726591%22%2C%22placeholde"&amp;"r_video_id%22%3A%227613367505595387143%22%7D&amp;ec_shared_reflux_scene=shop_tab_feed&amp;share_item_id=7613367505595387143&amp;source=h5_t")</f>
        <v>https://www.tiktok.com/@icha7721/video/7613367505595387143?_r=1&amp;u_code=e59fc6bfdb6373&amp;region=&amp;mid=7613367537566157589&amp;preview_pb=0&amp;sharer_language=&amp;_d=0&amp;ec_shared_reflux_dynamic_params=%7B%22placeholder_material_id%22%3A%227613367505595387143%22%2C%22placeholder_origin_cover%22%3A%22https%253A%252F%252Fp16-sign-sg.tiktokcdn.com%252Ftos-alisg-p-0037%252FoQDo9cekQB7qgQEsXfRHEK1B4zy8BgwiFZA9Fp~tplv-tiktokx-origin.jpeg%253Fdr%253D14572%2526refresh_token%253D9d4a05eb%2526x-expires%253D1806055200%2526x-signature%253DyvYGEn2MQABeFLMukifm06jwqTw%25253D%2526t%253D4d5b0474%2526ps%253D13740610%2526shp%253Dd05b14bd%2526shcp%253D34ff8df6%2526idc%253Dmy2%2526s%253DTIKTOK_AFFILIATE_VIRAL_VIDEO%22%2C%22placeholder_product_id%22%3A%221729427766722726591%22%2C%22placeholder_video_id%22%3A%227613367505595387143%22%7D&amp;ec_shared_reflux_scene=shop_tab_feed&amp;share_item_id=7613367505595387143&amp;source=h5_t</v>
      </c>
      <c r="K332" s="464" t="str">
        <f>IFERROR(__xludf.DUMMYFUNCTION("""COMPUTED_VALUE"""),"KIMME")</f>
        <v>KIMME</v>
      </c>
      <c r="L332" s="279" t="str">
        <f>IFERROR(__xludf.DUMMYFUNCTION("""COMPUTED_VALUE"""),"https://www.tiktok.com/@icha7721/video/7610365735797263634?_d=0&amp;_r=1&amp;ec_shared_reflux_dynamic_params=%7B%22placeholder_material_id%22%3A%227610365735797263634%22%2C%22placeholder_origin_cover%22%3A%22https%253A%252F%252Fp16-sign-sg.tiktokcdn.com%252Ftos-a"&amp;"lisg-p-0037%252Fog69Ub8Ijg9Ar4WerkgH0FGTfewLIDjuCAIU5O~tplv-tiktokx-origin.jpeg%253Fdr%253D14572%2526refresh_token%253D4872b9f7%2526x-expires%253D1806055200%2526x-signature%253DFoTHcEwzcL2S8SX5u7ALN%25252Fv6cFo%25253D%2526t%253D4d5b0474%2526ps%253D1374061"&amp;"0%2526shp%253Dd05b14bd%2526shcp%253D34ff8df6%2526idc%253Dmy2%2526s%253DTIKTOK_AFFILIATE_VIRAL_VIDEO%22%2C%22placeholder_product_id%22%3A%221729634177198098769%22%2C%22placeholder_video_id%22%3A%227610365735797263634%22%7D&amp;ec_shared_reflux_scene=shop_tab_f"&amp;"eed&amp;mid=7528756224239323905&amp;preview_pb=0&amp;region=&amp;share_item_id=7610365735797263634&amp;sharer_language=&amp;source=h5_t&amp;u_code=e59fc6bfdb6373")</f>
        <v>https://www.tiktok.com/@icha7721/video/7610365735797263634?_d=0&amp;_r=1&amp;ec_shared_reflux_dynamic_params=%7B%22placeholder_material_id%22%3A%227610365735797263634%22%2C%22placeholder_origin_cover%22%3A%22https%253A%252F%252Fp16-sign-sg.tiktokcdn.com%252Ftos-alisg-p-0037%252Fog69Ub8Ijg9Ar4WerkgH0FGTfewLIDjuCAIU5O~tplv-tiktokx-origin.jpeg%253Fdr%253D14572%2526refresh_token%253D4872b9f7%2526x-expires%253D1806055200%2526x-signature%253DFoTHcEwzcL2S8SX5u7ALN%25252Fv6cFo%25253D%2526t%253D4d5b0474%2526ps%253D13740610%2526shp%253Dd05b14bd%2526shcp%253D34ff8df6%2526idc%253Dmy2%2526s%253DTIKTOK_AFFILIATE_VIRAL_VIDEO%22%2C%22placeholder_product_id%22%3A%221729634177198098769%22%2C%22placeholder_video_id%22%3A%227610365735797263634%22%7D&amp;ec_shared_reflux_scene=shop_tab_feed&amp;mid=7528756224239323905&amp;preview_pb=0&amp;region=&amp;share_item_id=7610365735797263634&amp;sharer_language=&amp;source=h5_t&amp;u_code=e59fc6bfdb6373</v>
      </c>
      <c r="M332" s="464" t="str">
        <f>IFERROR(__xludf.DUMMYFUNCTION("""COMPUTED_VALUE"""),"KIMME")</f>
        <v>KIMME</v>
      </c>
      <c r="N332" s="279" t="str">
        <f>IFERROR(__xludf.DUMMYFUNCTION("""COMPUTED_VALUE"""),"https://www.tiktok.com/@icha7721/video/7609925746773036306?_r=1&amp;u_code=e59fc6bfdb6373&amp;region=&amp;mid=7147549859652979482&amp;preview_pb=0&amp;sharer_language=&amp;_d=0&amp;ec_shared_reflux_dynamic_params=%7B%22placeholder_material_id%22%3A%227609925746773036306%22%2C%22plac"&amp;"eholder_origin_cover%22%3A%22https%253A%252F%252Fp16-sign-sg.tiktokcdn.com%252Ftos-alisg-p-0037%252FogGj1NEUoLTfo34mIcK7xtAQDfA5FDCIZCETeQ~tplv-tiktokx-origin.jpeg%253Fdr%253D14572%2526refresh_token%253D5de2c3ec%2526x-expires%253D1806055200%2526x-signatur"&amp;"e%253DyFjnIWa%25252BqSfLv3U3gpvJEToEfe0%25253D%2526t%253D4d5b0474%2526ps%253D13740610%2526shp%253Dd05b14bd%2526shcp%253D34ff8df6%2526idc%253Dmy2%2526s%253DTIKTOK_AFFILIATE_VIRAL_VIDEO%22%2C%22placeholder_product_id%22%3A%221729427766722726591%22%2C%22plac"&amp;"eholder_video_id%22%3A%227609925746773036306%22%7D&amp;ec_shared_reflux_scene=shop_tab_feed&amp;share_item_id=7609925746773036306&amp;source=h5_t")</f>
        <v>https://www.tiktok.com/@icha7721/video/7609925746773036306?_r=1&amp;u_code=e59fc6bfdb6373&amp;region=&amp;mid=7147549859652979482&amp;preview_pb=0&amp;sharer_language=&amp;_d=0&amp;ec_shared_reflux_dynamic_params=%7B%22placeholder_material_id%22%3A%227609925746773036306%22%2C%22placeholder_origin_cover%22%3A%22https%253A%252F%252Fp16-sign-sg.tiktokcdn.com%252Ftos-alisg-p-0037%252FogGj1NEUoLTfo34mIcK7xtAQDfA5FDCIZCETeQ~tplv-tiktokx-origin.jpeg%253Fdr%253D14572%2526refresh_token%253D5de2c3ec%2526x-expires%253D1806055200%2526x-signature%253DyFjnIWa%25252BqSfLv3U3gpvJEToEfe0%25253D%2526t%253D4d5b0474%2526ps%253D13740610%2526shp%253Dd05b14bd%2526shcp%253D34ff8df6%2526idc%253Dmy2%2526s%253DTIKTOK_AFFILIATE_VIRAL_VIDEO%22%2C%22placeholder_product_id%22%3A%221729427766722726591%22%2C%22placeholder_video_id%22%3A%227609925746773036306%22%7D&amp;ec_shared_reflux_scene=shop_tab_feed&amp;share_item_id=7609925746773036306&amp;source=h5_t</v>
      </c>
      <c r="O332" s="464" t="str">
        <f>IFERROR(__xludf.DUMMYFUNCTION("""COMPUTED_VALUE"""),"KIMME")</f>
        <v>KIMME</v>
      </c>
      <c r="P332" s="279" t="str">
        <f>IFERROR(__xludf.DUMMYFUNCTION("""COMPUTED_VALUE"""),"https://www.tiktok.com/@icha7721/video/7609664424349093138?_r=1&amp;u_code=e59fc6bfdb6373&amp;region=&amp;mid=7147549859652979482&amp;preview_pb=0&amp;sharer_language=&amp;_d=0&amp;ec_shared_reflux_dynamic_params=%7B%22placeholder_material_id%22%3A%227609664424349093138%22%2C%22plac"&amp;"eholder_origin_cover%22%3A%22https%253A%252F%252Fp16-common-sign.tiktokcdn.com%252Ftos-alisg-p-0037%252Focf59vIdDQaYka6TAQFFcPRKWBfjpJBQEQgLEm~tplv-tiktokx-origin.jpeg%253Fdr%253D14572%2526refresh_token%253D0a169f98%2526x-expires%253D1806055200%2526x-sign"&amp;"ature%253DqARHBKyeMftiA%25252F6ch2RIr4C9ils%25253D%2526t%253D4d5b0474%2526ps%253D13740610%2526shp%253Dd05b14bd%2526shcp%253D34ff8df6%2526idc%253Dmy2%2526s%253DTIKTOK_AFFILIATE_VIRAL_VIDEO%22%2C%22placeholder_product_id%22%3A%221729427766722726591%22%2C%22"&amp;"placeholder_video_id%22%3A%227609664424349093138%22%7D&amp;ec_shared_reflux_scene=shop_tab_feed&amp;share_item_id=7609664424349093138&amp;source=h5_t")</f>
        <v>https://www.tiktok.com/@icha7721/video/7609664424349093138?_r=1&amp;u_code=e59fc6bfdb6373&amp;region=&amp;mid=7147549859652979482&amp;preview_pb=0&amp;sharer_language=&amp;_d=0&amp;ec_shared_reflux_dynamic_params=%7B%22placeholder_material_id%22%3A%227609664424349093138%22%2C%22placeholder_origin_cover%22%3A%22https%253A%252F%252Fp16-common-sign.tiktokcdn.com%252Ftos-alisg-p-0037%252Focf59vIdDQaYka6TAQFFcPRKWBfjpJBQEQgLEm~tplv-tiktokx-origin.jpeg%253Fdr%253D14572%2526refresh_token%253D0a169f98%2526x-expires%253D1806055200%2526x-signature%253DqARHBKyeMftiA%25252F6ch2RIr4C9ils%25253D%2526t%253D4d5b0474%2526ps%253D13740610%2526shp%253Dd05b14bd%2526shcp%253D34ff8df6%2526idc%253Dmy2%2526s%253DTIKTOK_AFFILIATE_VIRAL_VIDEO%22%2C%22placeholder_product_id%22%3A%221729427766722726591%22%2C%22placeholder_video_id%22%3A%227609664424349093138%22%7D&amp;ec_shared_reflux_scene=shop_tab_feed&amp;share_item_id=7609664424349093138&amp;source=h5_t</v>
      </c>
    </row>
    <row r="333">
      <c r="A333" s="255" t="str">
        <f>IFERROR(__xludf.DUMMYFUNCTION("""COMPUTED_VALUE"""),"MICRO")</f>
        <v>MICRO</v>
      </c>
      <c r="B333" s="361" t="str">
        <f>IFERROR(__xludf.DUMMYFUNCTION("""COMPUTED_VALUE"""),"epay.y_")</f>
        <v>epay.y_</v>
      </c>
      <c r="C333" s="257" t="str">
        <f>IFERROR(__xludf.DUMMYFUNCTION("""COMPUTED_VALUE"""),"https://www.tiktok.com/@epay.y_")</f>
        <v>https://www.tiktok.com/@epay.y_</v>
      </c>
      <c r="D333" s="270">
        <f>IFERROR(__xludf.DUMMYFUNCTION("""COMPUTED_VALUE"""),8.9663957173E10)</f>
        <v>89663957173</v>
      </c>
      <c r="E333" s="457">
        <f>IFERROR(__xludf.DUMMYFUNCTION("""COMPUTED_VALUE"""),0.0)</f>
        <v>0</v>
      </c>
      <c r="F333" s="270">
        <f>IFERROR(__xludf.DUMMYFUNCTION("""COMPUTED_VALUE"""),4.0)</f>
        <v>4</v>
      </c>
      <c r="G333" s="17" t="str">
        <f>IFERROR(__xludf.DUMMYFUNCTION("""COMPUTED_VALUE"""),"Sabun batang 1 Box ( 2 PCS )")</f>
        <v>Sabun batang 1 Box ( 2 PCS )</v>
      </c>
      <c r="H333" s="463" t="str">
        <f>IFERROR(__xludf.DUMMYFUNCTION("""COMPUTED_VALUE"""),"Sampai")</f>
        <v>Sampai</v>
      </c>
      <c r="I333" s="464" t="str">
        <f>IFERROR(__xludf.DUMMYFUNCTION("""COMPUTED_VALUE"""),"KIMME")</f>
        <v>KIMME</v>
      </c>
      <c r="J333" s="279" t="str">
        <f>IFERROR(__xludf.DUMMYFUNCTION("""COMPUTED_VALUE"""),"https://www.tiktok.com/@icha7721/video/7621133484911840519?_d=0&amp;_r=1&amp;ec_shared_reflux_dynamic_params=%7B%22placeholder_material_id%22%3A%227621133484911840519%22%2C%22placeholder_origin_cover%22%3A%22https%253A%252F%252Fp16-sign-sg.tiktokcdn.com%252Ftos-a"&amp;"lisg-p-0037%252Fo0IABm3v0AAizRpEaWO0cBhDtViImIrYSPal1~tplv-tiktokx-origin.jpeg%253Fdr%253D14572%2526refresh_token%253D554be32c%2526x-expires%253D1806055200%2526x-signature%253Dll%25252FWEocoO59UpqMJ0rKoZhp%25252BLGQ%25253D%2526t%253D4d5b0474%2526ps%253D13"&amp;"740610%2526shp%253Dd05b14bd%2526shcp%253D34ff8df6%2526idc%253Dmy2%2526s%253DTIKTOK_AFFILIATE_VIRAL_VIDEO%22%2C%22placeholder_product_id%22%3A%221729427766722726591%22%2C%22placeholder_video_id%22%3A%227621133484911840519%22%7D&amp;ec_shared_reflux_scene=shop_"&amp;"tab_feed&amp;mid=7567367839414225672&amp;preview_pb=0&amp;region=&amp;share_item_id=7621133484911840519&amp;sharer_language=&amp;source=h5_t&amp;u_code=e59fc6bfdb6373")</f>
        <v>https://www.tiktok.com/@icha7721/video/7621133484911840519?_d=0&amp;_r=1&amp;ec_shared_reflux_dynamic_params=%7B%22placeholder_material_id%22%3A%227621133484911840519%22%2C%22placeholder_origin_cover%22%3A%22https%253A%252F%252Fp16-sign-sg.tiktokcdn.com%252Ftos-alisg-p-0037%252Fo0IABm3v0AAizRpEaWO0cBhDtViImIrYSPal1~tplv-tiktokx-origin.jpeg%253Fdr%253D14572%2526refresh_token%253D554be32c%2526x-expires%253D1806055200%2526x-signature%253Dll%25252FWEocoO59UpqMJ0rKoZhp%25252BLGQ%25253D%2526t%253D4d5b0474%2526ps%253D13740610%2526shp%253Dd05b14bd%2526shcp%253D34ff8df6%2526idc%253Dmy2%2526s%253DTIKTOK_AFFILIATE_VIRAL_VIDEO%22%2C%22placeholder_product_id%22%3A%221729427766722726591%22%2C%22placeholder_video_id%22%3A%227621133484911840519%22%7D&amp;ec_shared_reflux_scene=shop_tab_feed&amp;mid=7567367839414225672&amp;preview_pb=0&amp;region=&amp;share_item_id=7621133484911840519&amp;sharer_language=&amp;source=h5_t&amp;u_code=e59fc6bfdb6373</v>
      </c>
      <c r="K333" s="464" t="str">
        <f>IFERROR(__xludf.DUMMYFUNCTION("""COMPUTED_VALUE"""),"KIMME")</f>
        <v>KIMME</v>
      </c>
      <c r="L333" s="279" t="str">
        <f>IFERROR(__xludf.DUMMYFUNCTION("""COMPUTED_VALUE"""),"https://www.tiktok.com/@icha7721/video/7620082754461666581?_r=1&amp;u_code=e59fc6bfdb6373&amp;region=&amp;mid=7549919045177625400&amp;preview_pb=0&amp;sharer_language=&amp;_d=0&amp;ec_shared_reflux_dynamic_params=%7B%22placeholder_material_id%22%3A%227620082754461666581%22%2C%22plac"&amp;"eholder_origin_cover%22%3A%22https%253A%252F%252Fp16-sign-sg.tiktokcdn.com%252Ftos-alisg-p-0037%252Fow0fglXbYA6g17a8YgDO4GeBfrsYftRLeAkewE~tplv-tiktokx-origin.jpeg%253Fdr%253D14572%2526refresh_token%253De452ddbc%2526x-expires%253D1806055200%2526x-signatur"&amp;"e%253DEAH91%25252BcSORbmryFCcyd0srRKtQQ%25253D%2526t%253D4d5b0474%2526ps%253D13740610%2526shp%253Dd05b14bd%2526shcp%253D34ff8df6%2526idc%253Dmy2%2526s%253DTIKTOK_AFFILIATE_VIRAL_VIDEO%22%2C%22placeholder_product_id%22%3A%221729427766722726591%22%2C%22plac"&amp;"eholder_video_id%22%3A%227620082754461666581%22%7D&amp;ec_shared_reflux_scene=shop_tab_feed&amp;share_item_id=7620082754461666581&amp;source=h5_t")</f>
        <v>https://www.tiktok.com/@icha7721/video/7620082754461666581?_r=1&amp;u_code=e59fc6bfdb6373&amp;region=&amp;mid=7549919045177625400&amp;preview_pb=0&amp;sharer_language=&amp;_d=0&amp;ec_shared_reflux_dynamic_params=%7B%22placeholder_material_id%22%3A%227620082754461666581%22%2C%22placeholder_origin_cover%22%3A%22https%253A%252F%252Fp16-sign-sg.tiktokcdn.com%252Ftos-alisg-p-0037%252Fow0fglXbYA6g17a8YgDO4GeBfrsYftRLeAkewE~tplv-tiktokx-origin.jpeg%253Fdr%253D14572%2526refresh_token%253De452ddbc%2526x-expires%253D1806055200%2526x-signature%253DEAH91%25252BcSORbmryFCcyd0srRKtQQ%25253D%2526t%253D4d5b0474%2526ps%253D13740610%2526shp%253Dd05b14bd%2526shcp%253D34ff8df6%2526idc%253Dmy2%2526s%253DTIKTOK_AFFILIATE_VIRAL_VIDEO%22%2C%22placeholder_product_id%22%3A%221729427766722726591%22%2C%22placeholder_video_id%22%3A%227620082754461666581%22%7D&amp;ec_shared_reflux_scene=shop_tab_feed&amp;share_item_id=7620082754461666581&amp;source=h5_t</v>
      </c>
      <c r="M333" s="464" t="str">
        <f>IFERROR(__xludf.DUMMYFUNCTION("""COMPUTED_VALUE"""),"KIMME")</f>
        <v>KIMME</v>
      </c>
      <c r="N333" s="279" t="str">
        <f>IFERROR(__xludf.DUMMYFUNCTION("""COMPUTED_VALUE"""),"https://www.tiktok.com/@icha7721/video/7619306411926850837?_r=1&amp;u_code=e59fc6bfdb6373&amp;region=&amp;mid=7475638762669819921&amp;preview_pb=0&amp;sharer_language=&amp;_d=0&amp;ec_shared_reflux_dynamic_params=%7B%22placeholder_material_id%22%3A%227619306411926850837%22%2C%22plac"&amp;"eholder_origin_cover%22%3A%22https%253A%252F%252Fp16-sign-sg.tiktokcdn.com%252Ftos-alisg-p-0037%252FoItoIKFgsGcDN4g9BCDAIav6RfpgNBqEQTEvfp~tplv-tiktokx-origin.jpeg%253Fdr%253D14572%2526refresh_token%253Ded2e8c47%2526x-expires%253D1806055200%2526x-signatur"&amp;"e%253D3qaAlFDgMOTbAwqH9nWQwNPNym8%25253D%2526t%253D4d5b0474%2526ps%253D13740610%2526shp%253Dd05b14bd%2526shcp%253D34ff8df6%2526idc%253Dmy2%2526s%253DTIKTOK_AFFILIATE_VIRAL_VIDEO%22%2C%22placeholder_product_id%22%3A%221729427766722726591%22%2C%22placeholde"&amp;"r_video_id%22%3A%227619306411926850837%22%7D&amp;ec_shared_reflux_scene=shop_tab_feed&amp;share_item_id=7619306411926850837&amp;source=h5_t")</f>
        <v>https://www.tiktok.com/@icha7721/video/7619306411926850837?_r=1&amp;u_code=e59fc6bfdb6373&amp;region=&amp;mid=7475638762669819921&amp;preview_pb=0&amp;sharer_language=&amp;_d=0&amp;ec_shared_reflux_dynamic_params=%7B%22placeholder_material_id%22%3A%227619306411926850837%22%2C%22placeholder_origin_cover%22%3A%22https%253A%252F%252Fp16-sign-sg.tiktokcdn.com%252Ftos-alisg-p-0037%252FoItoIKFgsGcDN4g9BCDAIav6RfpgNBqEQTEvfp~tplv-tiktokx-origin.jpeg%253Fdr%253D14572%2526refresh_token%253Ded2e8c47%2526x-expires%253D1806055200%2526x-signature%253D3qaAlFDgMOTbAwqH9nWQwNPNym8%25253D%2526t%253D4d5b0474%2526ps%253D13740610%2526shp%253Dd05b14bd%2526shcp%253D34ff8df6%2526idc%253Dmy2%2526s%253DTIKTOK_AFFILIATE_VIRAL_VIDEO%22%2C%22placeholder_product_id%22%3A%221729427766722726591%22%2C%22placeholder_video_id%22%3A%227619306411926850837%22%7D&amp;ec_shared_reflux_scene=shop_tab_feed&amp;share_item_id=7619306411926850837&amp;source=h5_t</v>
      </c>
      <c r="O333" s="464" t="str">
        <f>IFERROR(__xludf.DUMMYFUNCTION("""COMPUTED_VALUE"""),"KIMME")</f>
        <v>KIMME</v>
      </c>
      <c r="P333" s="279" t="str">
        <f>IFERROR(__xludf.DUMMYFUNCTION("""COMPUTED_VALUE"""),"https://www.tiktok.com/@icha7721/video/7618961640788135188?_r=1&amp;u_code=e59fc6bfdb6373&amp;region=&amp;mid=7332514883958164230&amp;preview_pb=0&amp;sharer_language=&amp;_d=0&amp;ec_shared_reflux_dynamic_params=%7B%22placeholder_material_id%22%3A%227618961640788135188%22%2C%22plac"&amp;"eholder_origin_cover%22%3A%22https%253A%252F%252Fp16-sign-sg.tiktokcdn.com%252Ftos-alisg-p-0037%252Fo85fUVAPfQ8if5nmA0C1QfQ38nRdKFGQAMbG7X~tplv-tiktokx-origin.jpeg%253Fdr%253D14572%2526refresh_token%253D1b65029e%2526x-expires%253D1806055200%2526x-signatur"&amp;"e%253DK91bv%25252FvvPsEm06qoAb6%25252F6aMYKMI%25253D%2526t%253D4d5b0474%2526ps%253D13740610%2526shp%253Dd05b14bd%2526shcp%253D34ff8df6%2526idc%253Dmy2%2526s%253DTIKTOK_AFFILIATE_VIRAL_VIDEO%22%2C%22placeholder_product_id%22%3A%221729427766722726591%22%2C%"&amp;"22placeholder_video_id%22%3A%227618961640788135188%22%7D&amp;ec_shared_reflux_scene=shop_tab_feed&amp;share_item_id=7618961640788135188&amp;source=h5_t")</f>
        <v>https://www.tiktok.com/@icha7721/video/7618961640788135188?_r=1&amp;u_code=e59fc6bfdb6373&amp;region=&amp;mid=7332514883958164230&amp;preview_pb=0&amp;sharer_language=&amp;_d=0&amp;ec_shared_reflux_dynamic_params=%7B%22placeholder_material_id%22%3A%227618961640788135188%22%2C%22placeholder_origin_cover%22%3A%22https%253A%252F%252Fp16-sign-sg.tiktokcdn.com%252Ftos-alisg-p-0037%252Fo85fUVAPfQ8if5nmA0C1QfQ38nRdKFGQAMbG7X~tplv-tiktokx-origin.jpeg%253Fdr%253D14572%2526refresh_token%253D1b65029e%2526x-expires%253D1806055200%2526x-signature%253DK91bv%25252FvvPsEm06qoAb6%25252F6aMYKMI%25253D%2526t%253D4d5b0474%2526ps%253D13740610%2526shp%253Dd05b14bd%2526shcp%253D34ff8df6%2526idc%253Dmy2%2526s%253DTIKTOK_AFFILIATE_VIRAL_VIDEO%22%2C%22placeholder_product_id%22%3A%221729427766722726591%22%2C%22placeholder_video_id%22%3A%227618961640788135188%22%7D&amp;ec_shared_reflux_scene=shop_tab_feed&amp;share_item_id=7618961640788135188&amp;source=h5_t</v>
      </c>
    </row>
    <row r="334">
      <c r="A334" s="255" t="str">
        <f>IFERROR(__xludf.DUMMYFUNCTION("""COMPUTED_VALUE"""),"MICRO")</f>
        <v>MICRO</v>
      </c>
      <c r="B334" s="361" t="str">
        <f>IFERROR(__xludf.DUMMYFUNCTION("""COMPUTED_VALUE"""),"cheristiaap")</f>
        <v>cheristiaap</v>
      </c>
      <c r="C334" s="257" t="str">
        <f>IFERROR(__xludf.DUMMYFUNCTION("""COMPUTED_VALUE"""),"https://www.tiktok.com/@cheristiaap")</f>
        <v>https://www.tiktok.com/@cheristiaap</v>
      </c>
      <c r="D334" s="270">
        <f>IFERROR(__xludf.DUMMYFUNCTION("""COMPUTED_VALUE"""),8.881814602E9)</f>
        <v>8881814602</v>
      </c>
      <c r="E334" s="457">
        <f>IFERROR(__xludf.DUMMYFUNCTION("""COMPUTED_VALUE"""),0.0)</f>
        <v>0</v>
      </c>
      <c r="F334" s="270">
        <f>IFERROR(__xludf.DUMMYFUNCTION("""COMPUTED_VALUE"""),4.0)</f>
        <v>4</v>
      </c>
      <c r="G334" s="17" t="str">
        <f>IFERROR(__xludf.DUMMYFUNCTION("""COMPUTED_VALUE"""),"Sabun batang 1 Box ( 2 PCS )")</f>
        <v>Sabun batang 1 Box ( 2 PCS )</v>
      </c>
      <c r="H334" s="463" t="str">
        <f>IFERROR(__xludf.DUMMYFUNCTION("""COMPUTED_VALUE"""),"Sampai")</f>
        <v>Sampai</v>
      </c>
      <c r="I334" s="464" t="str">
        <f>IFERROR(__xludf.DUMMYFUNCTION("""COMPUTED_VALUE"""),"KIMME")</f>
        <v>KIMME</v>
      </c>
      <c r="J334" s="279" t="str">
        <f>IFERROR(__xludf.DUMMYFUNCTION("""COMPUTED_VALUE"""),"https://www.tiktok.com/@ochacacaaaaa_/video/7616663214968868104")</f>
        <v>https://www.tiktok.com/@ochacacaaaaa_/video/7616663214968868104</v>
      </c>
      <c r="K334" s="464" t="str">
        <f>IFERROR(__xludf.DUMMYFUNCTION("""COMPUTED_VALUE"""),"KIMME")</f>
        <v>KIMME</v>
      </c>
      <c r="L334" s="279" t="str">
        <f>IFERROR(__xludf.DUMMYFUNCTION("""COMPUTED_VALUE"""),"https://www.tiktok.com/@ochacacaaaaa_/video/7616675418971671815")</f>
        <v>https://www.tiktok.com/@ochacacaaaaa_/video/7616675418971671815</v>
      </c>
      <c r="M334" s="464" t="str">
        <f>IFERROR(__xludf.DUMMYFUNCTION("""COMPUTED_VALUE"""),"KIMME")</f>
        <v>KIMME</v>
      </c>
      <c r="N334" s="279" t="str">
        <f>IFERROR(__xludf.DUMMYFUNCTION("""COMPUTED_VALUE"""),"https://www.tiktok.com/@ochacacaaaaa_/video/7617780607531158792")</f>
        <v>https://www.tiktok.com/@ochacacaaaaa_/video/7617780607531158792</v>
      </c>
      <c r="O334" s="464" t="str">
        <f>IFERROR(__xludf.DUMMYFUNCTION("""COMPUTED_VALUE"""),"KIMME")</f>
        <v>KIMME</v>
      </c>
      <c r="P334" s="279" t="str">
        <f>IFERROR(__xludf.DUMMYFUNCTION("""COMPUTED_VALUE"""),"https://www.tiktok.com/@ochacacaaaaa_/video/7618163618491845909")</f>
        <v>https://www.tiktok.com/@ochacacaaaaa_/video/7618163618491845909</v>
      </c>
    </row>
    <row r="335">
      <c r="A335" s="255" t="str">
        <f>IFERROR(__xludf.DUMMYFUNCTION("""COMPUTED_VALUE"""),"MICRO")</f>
        <v>MICRO</v>
      </c>
      <c r="B335" s="361" t="str">
        <f>IFERROR(__xludf.DUMMYFUNCTION("""COMPUTED_VALUE"""),"ayaquy")</f>
        <v>ayaquy</v>
      </c>
      <c r="C335" s="257" t="str">
        <f>IFERROR(__xludf.DUMMYFUNCTION("""COMPUTED_VALUE"""),"https://www.tiktok.com/@ayaquy")</f>
        <v>https://www.tiktok.com/@ayaquy</v>
      </c>
      <c r="D335" s="270">
        <f>IFERROR(__xludf.DUMMYFUNCTION("""COMPUTED_VALUE"""),8.2126882246E10)</f>
        <v>82126882246</v>
      </c>
      <c r="E335" s="457">
        <f>IFERROR(__xludf.DUMMYFUNCTION("""COMPUTED_VALUE"""),0.0)</f>
        <v>0</v>
      </c>
      <c r="F335" s="270">
        <f>IFERROR(__xludf.DUMMYFUNCTION("""COMPUTED_VALUE"""),4.0)</f>
        <v>4</v>
      </c>
      <c r="G335" s="17" t="str">
        <f>IFERROR(__xludf.DUMMYFUNCTION("""COMPUTED_VALUE"""),"Sabun batang 1 Box ( 2 PCS )")</f>
        <v>Sabun batang 1 Box ( 2 PCS )</v>
      </c>
      <c r="H335" s="463" t="str">
        <f>IFERROR(__xludf.DUMMYFUNCTION("""COMPUTED_VALUE"""),"Sampai")</f>
        <v>Sampai</v>
      </c>
      <c r="I335" s="464" t="str">
        <f>IFERROR(__xludf.DUMMYFUNCTION("""COMPUTED_VALUE"""),"KIMME")</f>
        <v>KIMME</v>
      </c>
      <c r="J335" s="279" t="str">
        <f>IFERROR(__xludf.DUMMYFUNCTION("""COMPUTED_VALUE"""),"https://www.tiktok.com/@ochacacaaaaa_/video/7620063758026771732")</f>
        <v>https://www.tiktok.com/@ochacacaaaaa_/video/7620063758026771732</v>
      </c>
      <c r="K335" s="464" t="str">
        <f>IFERROR(__xludf.DUMMYFUNCTION("""COMPUTED_VALUE"""),"KIMME")</f>
        <v>KIMME</v>
      </c>
      <c r="L335" s="279" t="str">
        <f>IFERROR(__xludf.DUMMYFUNCTION("""COMPUTED_VALUE"""),"https://www.tiktok.com/@ochacacaaaaa_/video/7624129679804550407")</f>
        <v>https://www.tiktok.com/@ochacacaaaaa_/video/7624129679804550407</v>
      </c>
      <c r="M335" s="464" t="str">
        <f>IFERROR(__xludf.DUMMYFUNCTION("""COMPUTED_VALUE"""),"KIMME")</f>
        <v>KIMME</v>
      </c>
      <c r="N335" s="279" t="str">
        <f>IFERROR(__xludf.DUMMYFUNCTION("""COMPUTED_VALUE"""),"https://www.tiktok.com/@ochacacaaaaa_/video/7624839842261765394")</f>
        <v>https://www.tiktok.com/@ochacacaaaaa_/video/7624839842261765394</v>
      </c>
      <c r="O335" s="464" t="str">
        <f>IFERROR(__xludf.DUMMYFUNCTION("""COMPUTED_VALUE"""),"KIMME")</f>
        <v>KIMME</v>
      </c>
      <c r="P335" s="279" t="str">
        <f>IFERROR(__xludf.DUMMYFUNCTION("""COMPUTED_VALUE"""),"https://vt.tiktok.com/ZSHHbtSQr/")</f>
        <v>https://vt.tiktok.com/ZSHHbtSQr/</v>
      </c>
    </row>
    <row r="336">
      <c r="A336" s="255" t="str">
        <f>IFERROR(__xludf.DUMMYFUNCTION("""COMPUTED_VALUE"""),"MICRO")</f>
        <v>MICRO</v>
      </c>
      <c r="B336" s="361" t="str">
        <f>IFERROR(__xludf.DUMMYFUNCTION("""COMPUTED_VALUE"""),"nesyaars")</f>
        <v>nesyaars</v>
      </c>
      <c r="C336" s="257" t="str">
        <f>IFERROR(__xludf.DUMMYFUNCTION("""COMPUTED_VALUE"""),"https://www.tiktok.com/@nesyaars")</f>
        <v>https://www.tiktok.com/@nesyaars</v>
      </c>
      <c r="D336" s="270">
        <f>IFERROR(__xludf.DUMMYFUNCTION("""COMPUTED_VALUE"""),8.1222433275E10)</f>
        <v>81222433275</v>
      </c>
      <c r="E336" s="457">
        <f>IFERROR(__xludf.DUMMYFUNCTION("""COMPUTED_VALUE"""),0.0)</f>
        <v>0</v>
      </c>
      <c r="F336" s="270">
        <f>IFERROR(__xludf.DUMMYFUNCTION("""COMPUTED_VALUE"""),4.0)</f>
        <v>4</v>
      </c>
      <c r="G336" s="17" t="str">
        <f>IFERROR(__xludf.DUMMYFUNCTION("""COMPUTED_VALUE"""),"Sabun batang 1 Box ( 2 PCS )")</f>
        <v>Sabun batang 1 Box ( 2 PCS )</v>
      </c>
      <c r="H336" s="463" t="str">
        <f>IFERROR(__xludf.DUMMYFUNCTION("""COMPUTED_VALUE"""),"Sampai")</f>
        <v>Sampai</v>
      </c>
      <c r="I336" s="464" t="str">
        <f>IFERROR(__xludf.DUMMYFUNCTION("""COMPUTED_VALUE"""),"KIMME")</f>
        <v>KIMME</v>
      </c>
      <c r="J336" s="279" t="str">
        <f>IFERROR(__xludf.DUMMYFUNCTION("""COMPUTED_VALUE"""),"https://vt.tiktok.com/ZSHHbT5K9/")</f>
        <v>https://vt.tiktok.com/ZSHHbT5K9/</v>
      </c>
      <c r="K336" s="464" t="str">
        <f>IFERROR(__xludf.DUMMYFUNCTION("""COMPUTED_VALUE"""),"KIMME")</f>
        <v>KIMME</v>
      </c>
      <c r="L336" s="279" t="str">
        <f>IFERROR(__xludf.DUMMYFUNCTION("""COMPUTED_VALUE"""),"https://vt.tiktok.com/ZSHpwneh9/")</f>
        <v>https://vt.tiktok.com/ZSHpwneh9/</v>
      </c>
      <c r="M336" s="464" t="str">
        <f>IFERROR(__xludf.DUMMYFUNCTION("""COMPUTED_VALUE"""),"KIMME")</f>
        <v>KIMME</v>
      </c>
      <c r="N336" s="279" t="str">
        <f>IFERROR(__xludf.DUMMYFUNCTION("""COMPUTED_VALUE"""),"https://vt.tiktok.com/ZSHpgp6eS/")</f>
        <v>https://vt.tiktok.com/ZSHpgp6eS/</v>
      </c>
      <c r="O336" s="464" t="str">
        <f>IFERROR(__xludf.DUMMYFUNCTION("""COMPUTED_VALUE"""),"KIMME")</f>
        <v>KIMME</v>
      </c>
      <c r="P336" s="279" t="str">
        <f>IFERROR(__xludf.DUMMYFUNCTION("""COMPUTED_VALUE"""),"https://vt.tiktok.com/ZSH5kxbcP/")</f>
        <v>https://vt.tiktok.com/ZSH5kxbcP/</v>
      </c>
    </row>
    <row r="337">
      <c r="A337" s="255" t="str">
        <f>IFERROR(__xludf.DUMMYFUNCTION("""COMPUTED_VALUE"""),"MICRO")</f>
        <v>MICRO</v>
      </c>
      <c r="B337" s="361" t="str">
        <f>IFERROR(__xludf.DUMMYFUNCTION("""COMPUTED_VALUE"""),"byderara")</f>
        <v>byderara</v>
      </c>
      <c r="C337" s="257" t="str">
        <f>IFERROR(__xludf.DUMMYFUNCTION("""COMPUTED_VALUE"""),"https://www.tiktok.com/@byderara")</f>
        <v>https://www.tiktok.com/@byderara</v>
      </c>
      <c r="D337" s="270">
        <f>IFERROR(__xludf.DUMMYFUNCTION("""COMPUTED_VALUE"""),8.1214948264E10)</f>
        <v>81214948264</v>
      </c>
      <c r="E337" s="457">
        <f>IFERROR(__xludf.DUMMYFUNCTION("""COMPUTED_VALUE"""),0.0)</f>
        <v>0</v>
      </c>
      <c r="F337" s="270">
        <f>IFERROR(__xludf.DUMMYFUNCTION("""COMPUTED_VALUE"""),4.0)</f>
        <v>4</v>
      </c>
      <c r="G337" s="17" t="str">
        <f>IFERROR(__xludf.DUMMYFUNCTION("""COMPUTED_VALUE"""),"Sabun batang 1 Box ( 2 PCS )")</f>
        <v>Sabun batang 1 Box ( 2 PCS )</v>
      </c>
      <c r="H337" s="463" t="str">
        <f>IFERROR(__xludf.DUMMYFUNCTION("""COMPUTED_VALUE"""),"Sampai")</f>
        <v>Sampai</v>
      </c>
      <c r="I337" s="464" t="str">
        <f>IFERROR(__xludf.DUMMYFUNCTION("""COMPUTED_VALUE"""),"KIMME")</f>
        <v>KIMME</v>
      </c>
      <c r="J337" s="279" t="str">
        <f>IFERROR(__xludf.DUMMYFUNCTION("""COMPUTED_VALUE"""),"https://vt.tiktok.com/ZSHHbT5K9/")</f>
        <v>https://vt.tiktok.com/ZSHHbT5K9/</v>
      </c>
      <c r="K337" s="464" t="str">
        <f>IFERROR(__xludf.DUMMYFUNCTION("""COMPUTED_VALUE"""),"KIMME")</f>
        <v>KIMME</v>
      </c>
      <c r="L337" s="279" t="str">
        <f>IFERROR(__xludf.DUMMYFUNCTION("""COMPUTED_VALUE"""),"https://vt.tiktok.com/ZSHpwneh9/")</f>
        <v>https://vt.tiktok.com/ZSHpwneh9/</v>
      </c>
      <c r="M337" s="464" t="str">
        <f>IFERROR(__xludf.DUMMYFUNCTION("""COMPUTED_VALUE"""),"KIMME")</f>
        <v>KIMME</v>
      </c>
      <c r="N337" s="279" t="str">
        <f>IFERROR(__xludf.DUMMYFUNCTION("""COMPUTED_VALUE"""),"https://www.tiktok.com/@mellyshasuryani14/video/7601884241965616404")</f>
        <v>https://www.tiktok.com/@mellyshasuryani14/video/7601884241965616404</v>
      </c>
      <c r="O337" s="464" t="str">
        <f>IFERROR(__xludf.DUMMYFUNCTION("""COMPUTED_VALUE"""),"KIMME")</f>
        <v>KIMME</v>
      </c>
      <c r="P337" s="279" t="str">
        <f>IFERROR(__xludf.DUMMYFUNCTION("""COMPUTED_VALUE"""),"https://www.tiktok.com/@mellyshasuryani14/video/7610342554478988565")</f>
        <v>https://www.tiktok.com/@mellyshasuryani14/video/7610342554478988565</v>
      </c>
    </row>
    <row r="338">
      <c r="A338" s="255" t="str">
        <f>IFERROR(__xludf.DUMMYFUNCTION("""COMPUTED_VALUE"""),"MICRO")</f>
        <v>MICRO</v>
      </c>
      <c r="B338" s="361" t="str">
        <f>IFERROR(__xludf.DUMMYFUNCTION("""COMPUTED_VALUE"""),"coach_lina01")</f>
        <v>coach_lina01</v>
      </c>
      <c r="C338" s="257" t="str">
        <f>IFERROR(__xludf.DUMMYFUNCTION("""COMPUTED_VALUE"""),"https://www.tiktok.com/@coach_lina01")</f>
        <v>https://www.tiktok.com/@coach_lina01</v>
      </c>
      <c r="D338" s="270">
        <f>IFERROR(__xludf.DUMMYFUNCTION("""COMPUTED_VALUE"""),8.1381088525E10)</f>
        <v>81381088525</v>
      </c>
      <c r="E338" s="457">
        <f>IFERROR(__xludf.DUMMYFUNCTION("""COMPUTED_VALUE"""),0.0)</f>
        <v>0</v>
      </c>
      <c r="F338" s="270">
        <f>IFERROR(__xludf.DUMMYFUNCTION("""COMPUTED_VALUE"""),4.0)</f>
        <v>4</v>
      </c>
      <c r="G338" s="17" t="str">
        <f>IFERROR(__xludf.DUMMYFUNCTION("""COMPUTED_VALUE"""),"Sabun batang 1 Box ( 2 PCS )")</f>
        <v>Sabun batang 1 Box ( 2 PCS )</v>
      </c>
      <c r="H338" s="463" t="str">
        <f>IFERROR(__xludf.DUMMYFUNCTION("""COMPUTED_VALUE"""),"Sampai")</f>
        <v>Sampai</v>
      </c>
      <c r="I338" s="464" t="str">
        <f>IFERROR(__xludf.DUMMYFUNCTION("""COMPUTED_VALUE"""),"KIMME")</f>
        <v>KIMME</v>
      </c>
      <c r="J338" s="279" t="str">
        <f>IFERROR(__xludf.DUMMYFUNCTION("""COMPUTED_VALUE"""),"https://vt.tiktok.com/ZSHHbT5K9/")</f>
        <v>https://vt.tiktok.com/ZSHHbT5K9/</v>
      </c>
      <c r="K338" s="464" t="str">
        <f>IFERROR(__xludf.DUMMYFUNCTION("""COMPUTED_VALUE"""),"KIMME")</f>
        <v>KIMME</v>
      </c>
      <c r="L338" s="279" t="str">
        <f>IFERROR(__xludf.DUMMYFUNCTION("""COMPUTED_VALUE"""),"https://vt.tiktok.com/ZSHpwneh9/")</f>
        <v>https://vt.tiktok.com/ZSHpwneh9/</v>
      </c>
      <c r="M338" s="464" t="str">
        <f>IFERROR(__xludf.DUMMYFUNCTION("""COMPUTED_VALUE"""),"KIMME")</f>
        <v>KIMME</v>
      </c>
      <c r="N338" s="279" t="str">
        <f>IFERROR(__xludf.DUMMYFUNCTION("""COMPUTED_VALUE"""),"https://www.tiktok.com/@mellyshasuryani14/video/7601783342798802196")</f>
        <v>https://www.tiktok.com/@mellyshasuryani14/video/7601783342798802196</v>
      </c>
      <c r="O338" s="464" t="str">
        <f>IFERROR(__xludf.DUMMYFUNCTION("""COMPUTED_VALUE"""),"KIMME")</f>
        <v>KIMME</v>
      </c>
      <c r="P338" s="279" t="str">
        <f>IFERROR(__xludf.DUMMYFUNCTION("""COMPUTED_VALUE"""),"https://www.tiktok.com/@mellyshasuryani14/video/7610198670356614421")</f>
        <v>https://www.tiktok.com/@mellyshasuryani14/video/7610198670356614421</v>
      </c>
    </row>
    <row r="339">
      <c r="A339" s="255" t="str">
        <f>IFERROR(__xludf.DUMMYFUNCTION("""COMPUTED_VALUE"""),"MICRO")</f>
        <v>MICRO</v>
      </c>
      <c r="B339" s="361" t="str">
        <f>IFERROR(__xludf.DUMMYFUNCTION("""COMPUTED_VALUE"""),"zulafa_ita_silmi")</f>
        <v>zulafa_ita_silmi</v>
      </c>
      <c r="C339" s="257" t="str">
        <f>IFERROR(__xludf.DUMMYFUNCTION("""COMPUTED_VALUE"""),"https://www.tiktok.com/@zulafa_ita_silmi")</f>
        <v>https://www.tiktok.com/@zulafa_ita_silmi</v>
      </c>
      <c r="D339" s="270">
        <f>IFERROR(__xludf.DUMMYFUNCTION("""COMPUTED_VALUE"""),8.1271541144E10)</f>
        <v>81271541144</v>
      </c>
      <c r="E339" s="457">
        <f>IFERROR(__xludf.DUMMYFUNCTION("""COMPUTED_VALUE"""),0.0)</f>
        <v>0</v>
      </c>
      <c r="F339" s="270">
        <f>IFERROR(__xludf.DUMMYFUNCTION("""COMPUTED_VALUE"""),4.0)</f>
        <v>4</v>
      </c>
      <c r="G339" s="17" t="str">
        <f>IFERROR(__xludf.DUMMYFUNCTION("""COMPUTED_VALUE"""),"Sabun batang 1 Box ( 2 PCS )")</f>
        <v>Sabun batang 1 Box ( 2 PCS )</v>
      </c>
      <c r="H339" s="463" t="str">
        <f>IFERROR(__xludf.DUMMYFUNCTION("""COMPUTED_VALUE"""),"Sampai")</f>
        <v>Sampai</v>
      </c>
      <c r="I339" s="464" t="str">
        <f>IFERROR(__xludf.DUMMYFUNCTION("""COMPUTED_VALUE"""),"KIMME")</f>
        <v>KIMME</v>
      </c>
      <c r="J339" s="279" t="str">
        <f>IFERROR(__xludf.DUMMYFUNCTION("""COMPUTED_VALUE"""),"https://vt.tiktok.com/ZSHHbT5K9/")</f>
        <v>https://vt.tiktok.com/ZSHHbT5K9/</v>
      </c>
      <c r="K339" s="464" t="str">
        <f>IFERROR(__xludf.DUMMYFUNCTION("""COMPUTED_VALUE"""),"KIMME")</f>
        <v>KIMME</v>
      </c>
      <c r="L339" s="279" t="str">
        <f>IFERROR(__xludf.DUMMYFUNCTION("""COMPUTED_VALUE"""),"https://vt.tiktok.com/ZSHpwneh9/")</f>
        <v>https://vt.tiktok.com/ZSHpwneh9/</v>
      </c>
      <c r="M339" s="464" t="str">
        <f>IFERROR(__xludf.DUMMYFUNCTION("""COMPUTED_VALUE"""),"KIMME")</f>
        <v>KIMME</v>
      </c>
      <c r="N339" s="279" t="str">
        <f>IFERROR(__xludf.DUMMYFUNCTION("""COMPUTED_VALUE"""),"https://www.tiktok.com/@mellyshasuryani14/video/7598737544372620564")</f>
        <v>https://www.tiktok.com/@mellyshasuryani14/video/7598737544372620564</v>
      </c>
      <c r="O339" s="464" t="str">
        <f>IFERROR(__xludf.DUMMYFUNCTION("""COMPUTED_VALUE"""),"KIMME")</f>
        <v>KIMME</v>
      </c>
      <c r="P339" s="279" t="str">
        <f>IFERROR(__xludf.DUMMYFUNCTION("""COMPUTED_VALUE"""),"https://www.tiktok.com/@mellyshasuryani14/video/7595815866827099413")</f>
        <v>https://www.tiktok.com/@mellyshasuryani14/video/7595815866827099413</v>
      </c>
    </row>
    <row r="340">
      <c r="A340" s="255" t="str">
        <f>IFERROR(__xludf.DUMMYFUNCTION("""COMPUTED_VALUE"""),"MICRO")</f>
        <v>MICRO</v>
      </c>
      <c r="B340" s="361" t="str">
        <f>IFERROR(__xludf.DUMMYFUNCTION("""COMPUTED_VALUE"""),"situkangrekomendasi")</f>
        <v>situkangrekomendasi</v>
      </c>
      <c r="C340" s="257" t="str">
        <f>IFERROR(__xludf.DUMMYFUNCTION("""COMPUTED_VALUE"""),"https://www.tiktok.com/@situkangrekomendasi")</f>
        <v>https://www.tiktok.com/@situkangrekomendasi</v>
      </c>
      <c r="D340" s="270">
        <f>IFERROR(__xludf.DUMMYFUNCTION("""COMPUTED_VALUE"""),8.5743966416E10)</f>
        <v>85743966416</v>
      </c>
      <c r="E340" s="457">
        <f>IFERROR(__xludf.DUMMYFUNCTION("""COMPUTED_VALUE"""),0.0)</f>
        <v>0</v>
      </c>
      <c r="F340" s="270">
        <f>IFERROR(__xludf.DUMMYFUNCTION("""COMPUTED_VALUE"""),4.0)</f>
        <v>4</v>
      </c>
      <c r="G340" s="17" t="str">
        <f>IFERROR(__xludf.DUMMYFUNCTION("""COMPUTED_VALUE"""),"Sabun batang 1 Box ( 2 PCS )")</f>
        <v>Sabun batang 1 Box ( 2 PCS )</v>
      </c>
      <c r="H340" s="463" t="str">
        <f>IFERROR(__xludf.DUMMYFUNCTION("""COMPUTED_VALUE"""),"Sampai")</f>
        <v>Sampai</v>
      </c>
      <c r="I340" s="464" t="str">
        <f>IFERROR(__xludf.DUMMYFUNCTION("""COMPUTED_VALUE"""),"KIMME")</f>
        <v>KIMME</v>
      </c>
      <c r="J340" s="279" t="str">
        <f>IFERROR(__xludf.DUMMYFUNCTION("""COMPUTED_VALUE"""),"https://vt.tiktok.com/ZSHHbT5K9/")</f>
        <v>https://vt.tiktok.com/ZSHHbT5K9/</v>
      </c>
      <c r="K340" s="464" t="str">
        <f>IFERROR(__xludf.DUMMYFUNCTION("""COMPUTED_VALUE"""),"KIMME")</f>
        <v>KIMME</v>
      </c>
      <c r="L340" s="279" t="str">
        <f>IFERROR(__xludf.DUMMYFUNCTION("""COMPUTED_VALUE"""),"https://vt.tiktok.com/ZSHpwneh9/")</f>
        <v>https://vt.tiktok.com/ZSHpwneh9/</v>
      </c>
      <c r="M340" s="464" t="str">
        <f>IFERROR(__xludf.DUMMYFUNCTION("""COMPUTED_VALUE"""),"KIMME")</f>
        <v>KIMME</v>
      </c>
      <c r="N340" s="279" t="str">
        <f>IFERROR(__xludf.DUMMYFUNCTION("""COMPUTED_VALUE"""),"https://www.tiktok.com/@mellyshasuryani14/video/7598081830859902229")</f>
        <v>https://www.tiktok.com/@mellyshasuryani14/video/7598081830859902229</v>
      </c>
      <c r="O340" s="464" t="str">
        <f>IFERROR(__xludf.DUMMYFUNCTION("""COMPUTED_VALUE"""),"KIMME")</f>
        <v>KIMME</v>
      </c>
      <c r="P340" s="279" t="str">
        <f>IFERROR(__xludf.DUMMYFUNCTION("""COMPUTED_VALUE"""),"https://www.tiktok.com/@mellyshasuryani14/video/7595556925538913557")</f>
        <v>https://www.tiktok.com/@mellyshasuryani14/video/7595556925538913557</v>
      </c>
    </row>
    <row r="341">
      <c r="A341" s="255" t="str">
        <f>IFERROR(__xludf.DUMMYFUNCTION("""COMPUTED_VALUE"""),"MICRO")</f>
        <v>MICRO</v>
      </c>
      <c r="B341" s="361" t="str">
        <f>IFERROR(__xludf.DUMMYFUNCTION("""COMPUTED_VALUE"""),"zaiputri16")</f>
        <v>zaiputri16</v>
      </c>
      <c r="C341" s="257" t="str">
        <f>IFERROR(__xludf.DUMMYFUNCTION("""COMPUTED_VALUE"""),"https://www.tiktok.com/@zaiputri16")</f>
        <v>https://www.tiktok.com/@zaiputri16</v>
      </c>
      <c r="D341" s="270">
        <f>IFERROR(__xludf.DUMMYFUNCTION("""COMPUTED_VALUE"""),8.5748574168E10)</f>
        <v>85748574168</v>
      </c>
      <c r="E341" s="457">
        <f>IFERROR(__xludf.DUMMYFUNCTION("""COMPUTED_VALUE"""),0.0)</f>
        <v>0</v>
      </c>
      <c r="F341" s="270">
        <f>IFERROR(__xludf.DUMMYFUNCTION("""COMPUTED_VALUE"""),4.0)</f>
        <v>4</v>
      </c>
      <c r="G341" s="17" t="str">
        <f>IFERROR(__xludf.DUMMYFUNCTION("""COMPUTED_VALUE"""),"Sabun batang 1 Box ( 2 PCS )")</f>
        <v>Sabun batang 1 Box ( 2 PCS )</v>
      </c>
      <c r="H341" s="463" t="str">
        <f>IFERROR(__xludf.DUMMYFUNCTION("""COMPUTED_VALUE"""),"Sampai")</f>
        <v>Sampai</v>
      </c>
      <c r="I341" s="464" t="str">
        <f>IFERROR(__xludf.DUMMYFUNCTION("""COMPUTED_VALUE"""),"KIMME")</f>
        <v>KIMME</v>
      </c>
      <c r="J341" s="279" t="str">
        <f>IFERROR(__xludf.DUMMYFUNCTION("""COMPUTED_VALUE"""),"https://vt.tiktok.com/ZSHHbT5K9/")</f>
        <v>https://vt.tiktok.com/ZSHHbT5K9/</v>
      </c>
      <c r="K341" s="464" t="str">
        <f>IFERROR(__xludf.DUMMYFUNCTION("""COMPUTED_VALUE"""),"KIMME")</f>
        <v>KIMME</v>
      </c>
      <c r="L341" s="279" t="str">
        <f>IFERROR(__xludf.DUMMYFUNCTION("""COMPUTED_VALUE"""),"https://vt.tiktok.com/ZSHpwneh9/")</f>
        <v>https://vt.tiktok.com/ZSHpwneh9/</v>
      </c>
      <c r="M341" s="464" t="str">
        <f>IFERROR(__xludf.DUMMYFUNCTION("""COMPUTED_VALUE"""),"KIMME")</f>
        <v>KIMME</v>
      </c>
      <c r="N341" s="279" t="str">
        <f>IFERROR(__xludf.DUMMYFUNCTION("""COMPUTED_VALUE"""),"https://www.tiktok.com/@mellyshasuryani14/video/7598017473228688661")</f>
        <v>https://www.tiktok.com/@mellyshasuryani14/video/7598017473228688661</v>
      </c>
      <c r="O341" s="464" t="str">
        <f>IFERROR(__xludf.DUMMYFUNCTION("""COMPUTED_VALUE"""),"KIMME")</f>
        <v>KIMME</v>
      </c>
      <c r="P341" s="279" t="str">
        <f>IFERROR(__xludf.DUMMYFUNCTION("""COMPUTED_VALUE"""),"https://www.tiktok.com/@mellyshasuryani14/video/7602070493688073493")</f>
        <v>https://www.tiktok.com/@mellyshasuryani14/video/7602070493688073493</v>
      </c>
    </row>
    <row r="342">
      <c r="A342" s="255" t="str">
        <f>IFERROR(__xludf.DUMMYFUNCTION("""COMPUTED_VALUE"""),"MICRO")</f>
        <v>MICRO</v>
      </c>
      <c r="B342" s="361" t="str">
        <f>IFERROR(__xludf.DUMMYFUNCTION("""COMPUTED_VALUE"""),"bundapenguin")</f>
        <v>bundapenguin</v>
      </c>
      <c r="C342" s="257" t="str">
        <f>IFERROR(__xludf.DUMMYFUNCTION("""COMPUTED_VALUE"""),"https://www.tiktok.com/@bundapenguin")</f>
        <v>https://www.tiktok.com/@bundapenguin</v>
      </c>
      <c r="D342" s="270">
        <f>IFERROR(__xludf.DUMMYFUNCTION("""COMPUTED_VALUE"""),8.1379222842E10)</f>
        <v>81379222842</v>
      </c>
      <c r="E342" s="457">
        <f>IFERROR(__xludf.DUMMYFUNCTION("""COMPUTED_VALUE"""),0.0)</f>
        <v>0</v>
      </c>
      <c r="F342" s="270">
        <f>IFERROR(__xludf.DUMMYFUNCTION("""COMPUTED_VALUE"""),4.0)</f>
        <v>4</v>
      </c>
      <c r="G342" s="17" t="str">
        <f>IFERROR(__xludf.DUMMYFUNCTION("""COMPUTED_VALUE"""),"Sabun batang 1 Box ( 2 PCS )")</f>
        <v>Sabun batang 1 Box ( 2 PCS )</v>
      </c>
      <c r="H342" s="463" t="str">
        <f>IFERROR(__xludf.DUMMYFUNCTION("""COMPUTED_VALUE"""),"Sampai")</f>
        <v>Sampai</v>
      </c>
      <c r="I342" s="464" t="str">
        <f>IFERROR(__xludf.DUMMYFUNCTION("""COMPUTED_VALUE"""),"KIMME")</f>
        <v>KIMME</v>
      </c>
      <c r="J342" s="279" t="str">
        <f>IFERROR(__xludf.DUMMYFUNCTION("""COMPUTED_VALUE"""),"https://vt.tiktok.com/ZSHHbT5K9/")</f>
        <v>https://vt.tiktok.com/ZSHHbT5K9/</v>
      </c>
      <c r="K342" s="464" t="str">
        <f>IFERROR(__xludf.DUMMYFUNCTION("""COMPUTED_VALUE"""),"KIMME")</f>
        <v>KIMME</v>
      </c>
      <c r="L342" s="279" t="str">
        <f>IFERROR(__xludf.DUMMYFUNCTION("""COMPUTED_VALUE"""),"https://vt.tiktok.com/ZSHpwneh9/")</f>
        <v>https://vt.tiktok.com/ZSHpwneh9/</v>
      </c>
      <c r="M342" s="464" t="str">
        <f>IFERROR(__xludf.DUMMYFUNCTION("""COMPUTED_VALUE"""),"KIMME")</f>
        <v>KIMME</v>
      </c>
      <c r="N342" s="279" t="str">
        <f>IFERROR(__xludf.DUMMYFUNCTION("""COMPUTED_VALUE"""),"https://www.tiktok.com/@mellyshasuryani14/video/7597621699042921749")</f>
        <v>https://www.tiktok.com/@mellyshasuryani14/video/7597621699042921749</v>
      </c>
      <c r="O342" s="464" t="str">
        <f>IFERROR(__xludf.DUMMYFUNCTION("""COMPUTED_VALUE"""),"KIMME")</f>
        <v>KIMME</v>
      </c>
      <c r="P342" s="279" t="str">
        <f>IFERROR(__xludf.DUMMYFUNCTION("""COMPUTED_VALUE"""),"https://www.tiktok.com/@mellyshasuryani14/video/7595529710763838741")</f>
        <v>https://www.tiktok.com/@mellyshasuryani14/video/7595529710763838741</v>
      </c>
    </row>
    <row r="343">
      <c r="A343" s="255" t="str">
        <f>IFERROR(__xludf.DUMMYFUNCTION("""COMPUTED_VALUE"""),"MICRO")</f>
        <v>MICRO</v>
      </c>
      <c r="B343" s="361" t="str">
        <f>IFERROR(__xludf.DUMMYFUNCTION("""COMPUTED_VALUE"""),"maimmunn")</f>
        <v>maimmunn</v>
      </c>
      <c r="C343" s="257" t="str">
        <f>IFERROR(__xludf.DUMMYFUNCTION("""COMPUTED_VALUE"""),"https://www.tiktok.com/@maimmunn")</f>
        <v>https://www.tiktok.com/@maimmunn</v>
      </c>
      <c r="D343" s="270">
        <f>IFERROR(__xludf.DUMMYFUNCTION("""COMPUTED_VALUE"""),8.2127521718E10)</f>
        <v>82127521718</v>
      </c>
      <c r="E343" s="457">
        <f>IFERROR(__xludf.DUMMYFUNCTION("""COMPUTED_VALUE"""),0.0)</f>
        <v>0</v>
      </c>
      <c r="F343" s="270">
        <f>IFERROR(__xludf.DUMMYFUNCTION("""COMPUTED_VALUE"""),4.0)</f>
        <v>4</v>
      </c>
      <c r="G343" s="17" t="str">
        <f>IFERROR(__xludf.DUMMYFUNCTION("""COMPUTED_VALUE"""),"Sabun batang 1 Box ( 2 PCS )")</f>
        <v>Sabun batang 1 Box ( 2 PCS )</v>
      </c>
      <c r="H343" s="463" t="str">
        <f>IFERROR(__xludf.DUMMYFUNCTION("""COMPUTED_VALUE"""),"Sampai")</f>
        <v>Sampai</v>
      </c>
      <c r="I343" s="464" t="str">
        <f>IFERROR(__xludf.DUMMYFUNCTION("""COMPUTED_VALUE"""),"KIMME")</f>
        <v>KIMME</v>
      </c>
      <c r="J343" s="279" t="str">
        <f>IFERROR(__xludf.DUMMYFUNCTION("""COMPUTED_VALUE"""),"https://vt.tiktok.com/ZSHHbT5K9/")</f>
        <v>https://vt.tiktok.com/ZSHHbT5K9/</v>
      </c>
      <c r="K343" s="464" t="str">
        <f>IFERROR(__xludf.DUMMYFUNCTION("""COMPUTED_VALUE"""),"KIMME")</f>
        <v>KIMME</v>
      </c>
      <c r="L343" s="279" t="str">
        <f>IFERROR(__xludf.DUMMYFUNCTION("""COMPUTED_VALUE"""),"https://vt.tiktok.com/ZSHpwneh9/")</f>
        <v>https://vt.tiktok.com/ZSHpwneh9/</v>
      </c>
      <c r="M343" s="464" t="str">
        <f>IFERROR(__xludf.DUMMYFUNCTION("""COMPUTED_VALUE"""),"KIMME")</f>
        <v>KIMME</v>
      </c>
      <c r="N343" s="279" t="str">
        <f>IFERROR(__xludf.DUMMYFUNCTION("""COMPUTED_VALUE"""),"https://www.tiktok.com/@mellyshasuryani14/video/7597621699042921749")</f>
        <v>https://www.tiktok.com/@mellyshasuryani14/video/7597621699042921749</v>
      </c>
      <c r="O343" s="464" t="str">
        <f>IFERROR(__xludf.DUMMYFUNCTION("""COMPUTED_VALUE"""),"KIMME")</f>
        <v>KIMME</v>
      </c>
      <c r="P343" s="279" t="str">
        <f>IFERROR(__xludf.DUMMYFUNCTION("""COMPUTED_VALUE"""),"https://www.tiktok.com/@mellyshasuryani14/video/7601895285396213012")</f>
        <v>https://www.tiktok.com/@mellyshasuryani14/video/7601895285396213012</v>
      </c>
    </row>
    <row r="344">
      <c r="A344" s="255" t="str">
        <f>IFERROR(__xludf.DUMMYFUNCTION("""COMPUTED_VALUE"""),"MICRO")</f>
        <v>MICRO</v>
      </c>
      <c r="B344" s="361" t="str">
        <f>IFERROR(__xludf.DUMMYFUNCTION("""COMPUTED_VALUE"""),"indiew60")</f>
        <v>indiew60</v>
      </c>
      <c r="C344" s="257" t="str">
        <f>IFERROR(__xludf.DUMMYFUNCTION("""COMPUTED_VALUE"""),"https://www.tiktok.com/@indiew60")</f>
        <v>https://www.tiktok.com/@indiew60</v>
      </c>
      <c r="D344" s="270">
        <f>IFERROR(__xludf.DUMMYFUNCTION("""COMPUTED_VALUE"""),8.5210197612E10)</f>
        <v>85210197612</v>
      </c>
      <c r="E344" s="457">
        <f>IFERROR(__xludf.DUMMYFUNCTION("""COMPUTED_VALUE"""),0.0)</f>
        <v>0</v>
      </c>
      <c r="F344" s="270">
        <f>IFERROR(__xludf.DUMMYFUNCTION("""COMPUTED_VALUE"""),4.0)</f>
        <v>4</v>
      </c>
      <c r="G344" s="17" t="str">
        <f>IFERROR(__xludf.DUMMYFUNCTION("""COMPUTED_VALUE"""),"Sabun batang 1 Box ( 2 PCS )")</f>
        <v>Sabun batang 1 Box ( 2 PCS )</v>
      </c>
      <c r="H344" s="463" t="str">
        <f>IFERROR(__xludf.DUMMYFUNCTION("""COMPUTED_VALUE"""),"Sampai")</f>
        <v>Sampai</v>
      </c>
      <c r="I344" s="464" t="str">
        <f>IFERROR(__xludf.DUMMYFUNCTION("""COMPUTED_VALUE"""),"KIMME")</f>
        <v>KIMME</v>
      </c>
      <c r="J344" s="279" t="str">
        <f>IFERROR(__xludf.DUMMYFUNCTION("""COMPUTED_VALUE"""),"https://vt.tiktok.com/ZSHHbT5K9/")</f>
        <v>https://vt.tiktok.com/ZSHHbT5K9/</v>
      </c>
      <c r="K344" s="464" t="str">
        <f>IFERROR(__xludf.DUMMYFUNCTION("""COMPUTED_VALUE"""),"KIMME")</f>
        <v>KIMME</v>
      </c>
      <c r="L344" s="279" t="str">
        <f>IFERROR(__xludf.DUMMYFUNCTION("""COMPUTED_VALUE"""),"https://vt.tiktok.com/ZSHpwneh9/")</f>
        <v>https://vt.tiktok.com/ZSHpwneh9/</v>
      </c>
      <c r="M344" s="464" t="str">
        <f>IFERROR(__xludf.DUMMYFUNCTION("""COMPUTED_VALUE"""),"KIMME")</f>
        <v>KIMME</v>
      </c>
      <c r="N344" s="279" t="str">
        <f>IFERROR(__xludf.DUMMYFUNCTION("""COMPUTED_VALUE"""),"https://www.tiktok.com/@mellyshasuryani14/video/7596623388857290005")</f>
        <v>https://www.tiktok.com/@mellyshasuryani14/video/7596623388857290005</v>
      </c>
      <c r="O344" s="464" t="str">
        <f>IFERROR(__xludf.DUMMYFUNCTION("""COMPUTED_VALUE"""),"KIMME")</f>
        <v>KIMME</v>
      </c>
      <c r="P344" s="279" t="str">
        <f>IFERROR(__xludf.DUMMYFUNCTION("""COMPUTED_VALUE"""),"https://www.tiktok.com/@mellyshasuryani14/video/7628958183704251668?_r=1&amp;_t=ZS-95Zkx0ALfJB")</f>
        <v>https://www.tiktok.com/@mellyshasuryani14/video/7628958183704251668?_r=1&amp;_t=ZS-95Zkx0ALfJB</v>
      </c>
    </row>
    <row r="345">
      <c r="A345" s="255" t="str">
        <f>IFERROR(__xludf.DUMMYFUNCTION("""COMPUTED_VALUE"""),"MICRO")</f>
        <v>MICRO</v>
      </c>
      <c r="B345" s="361" t="str">
        <f>IFERROR(__xludf.DUMMYFUNCTION("""COMPUTED_VALUE"""),"jimmy.hen
")</f>
        <v>jimmy.hen
</v>
      </c>
      <c r="C345" s="257" t="str">
        <f>IFERROR(__xludf.DUMMYFUNCTION("""COMPUTED_VALUE"""),"https://www.tiktok.com/@jimmy.hen
")</f>
        <v>https://www.tiktok.com/@jimmy.hen
</v>
      </c>
      <c r="D345" s="270">
        <f>IFERROR(__xludf.DUMMYFUNCTION("""COMPUTED_VALUE"""),8.2299774888E10)</f>
        <v>82299774888</v>
      </c>
      <c r="E345" s="457">
        <f>IFERROR(__xludf.DUMMYFUNCTION("""COMPUTED_VALUE"""),0.0)</f>
        <v>0</v>
      </c>
      <c r="F345" s="270">
        <f>IFERROR(__xludf.DUMMYFUNCTION("""COMPUTED_VALUE"""),4.0)</f>
        <v>4</v>
      </c>
      <c r="G345" s="17" t="str">
        <f>IFERROR(__xludf.DUMMYFUNCTION("""COMPUTED_VALUE"""),"Sabun batang 1 Box ( 2 PCS )")</f>
        <v>Sabun batang 1 Box ( 2 PCS )</v>
      </c>
      <c r="H345" s="463" t="str">
        <f>IFERROR(__xludf.DUMMYFUNCTION("""COMPUTED_VALUE"""),"Sampai")</f>
        <v>Sampai</v>
      </c>
      <c r="I345" s="464" t="str">
        <f>IFERROR(__xludf.DUMMYFUNCTION("""COMPUTED_VALUE"""),"KIMME")</f>
        <v>KIMME</v>
      </c>
      <c r="J345" s="279" t="str">
        <f>IFERROR(__xludf.DUMMYFUNCTION("""COMPUTED_VALUE"""),"https://vt.tiktok.com/ZSHHbT5K9/")</f>
        <v>https://vt.tiktok.com/ZSHHbT5K9/</v>
      </c>
      <c r="K345" s="464" t="str">
        <f>IFERROR(__xludf.DUMMYFUNCTION("""COMPUTED_VALUE"""),"KIMME")</f>
        <v>KIMME</v>
      </c>
      <c r="L345" s="279" t="str">
        <f>IFERROR(__xludf.DUMMYFUNCTION("""COMPUTED_VALUE"""),"https://vt.tiktok.com/ZSHpwneh9/")</f>
        <v>https://vt.tiktok.com/ZSHpwneh9/</v>
      </c>
      <c r="M345" s="464" t="str">
        <f>IFERROR(__xludf.DUMMYFUNCTION("""COMPUTED_VALUE"""),"KIMME")</f>
        <v>KIMME</v>
      </c>
      <c r="N345" s="279" t="str">
        <f>IFERROR(__xludf.DUMMYFUNCTION("""COMPUTED_VALUE"""),"https://www.tiktok.com/@elisacollectione/video/7625845524012322056?_r=1&amp;u_code=dkgkc54agaf83g&amp;region=&amp;mid=7625845580006263573&amp;preview_pb=0&amp;sharer_language=&amp;_d=0&amp;ec_shared_reflux_dynamic_params=%7B%22placeholder_material_id%22%3A%227625845524012322056%22%2"&amp;"C%22placeholder_origin_cover%22%3A%22https%253A%252F%252Fp16-common-sign.tiktokcdn.com%252Ftos-alisg-p-0037%252FokfHQkcRAEzHZWDiBNgFg1EMQf5Ap3EB9EFtoA~tplv-tiktokx-origin.jpeg%253Fdr%253D14572%2526refresh_token%253D18d43aa1%2526x-expires%253D1808204400%25"&amp;"26x-signature%253DG28973pf%25252BLuRpoFS9D84NgVrruI%25253D%2526t%253D4d5b0474%2526ps%253D13740610%2526shp%253Dd05b14bd%2526shcp%253D34ff8df6%2526idc%253Dmy3%2526s%253DTIKTOK_AFFILIATE_VIRAL_VIDEO%22%2C%22placeholder_product_id%22%3A%221729427766722726591%"&amp;"22%2C%22placeholder_video_id%22%3A%227625845524012322056%22%7D&amp;ec_shared_reflux_scene=shop_tab_feed&amp;share_item_id=7625845524012322056&amp;source=h5_t")</f>
        <v>https://www.tiktok.com/@elisacollectione/video/7625845524012322056?_r=1&amp;u_code=dkgkc54agaf83g&amp;region=&amp;mid=7625845580006263573&amp;preview_pb=0&amp;sharer_language=&amp;_d=0&amp;ec_shared_reflux_dynamic_params=%7B%22placeholder_material_id%22%3A%227625845524012322056%22%2C%22placeholder_origin_cover%22%3A%22https%253A%252F%252Fp16-common-sign.tiktokcdn.com%252Ftos-alisg-p-0037%252FokfHQkcRAEzHZWDiBNgFg1EMQf5Ap3EB9EFtoA~tplv-tiktokx-origin.jpeg%253Fdr%253D14572%2526refresh_token%253D18d43aa1%2526x-expires%253D1808204400%2526x-signature%253DG28973pf%25252BLuRpoFS9D84NgVrruI%25253D%2526t%253D4d5b0474%2526ps%253D13740610%2526shp%253Dd05b14bd%2526shcp%253D34ff8df6%2526idc%253Dmy3%2526s%253DTIKTOK_AFFILIATE_VIRAL_VIDEO%22%2C%22placeholder_product_id%22%3A%221729427766722726591%22%2C%22placeholder_video_id%22%3A%227625845524012322056%22%7D&amp;ec_shared_reflux_scene=shop_tab_feed&amp;share_item_id=7625845524012322056&amp;source=h5_t</v>
      </c>
      <c r="O345" s="464" t="str">
        <f>IFERROR(__xludf.DUMMYFUNCTION("""COMPUTED_VALUE"""),"KIMME")</f>
        <v>KIMME</v>
      </c>
      <c r="P345" s="279" t="str">
        <f>IFERROR(__xludf.DUMMYFUNCTION("""COMPUTED_VALUE"""),"https://vt.tiktok.com/ZSHvCt3kY/")</f>
        <v>https://vt.tiktok.com/ZSHvCt3kY/</v>
      </c>
    </row>
    <row r="346">
      <c r="A346" s="255" t="str">
        <f>IFERROR(__xludf.DUMMYFUNCTION("""COMPUTED_VALUE"""),"MICRO")</f>
        <v>MICRO</v>
      </c>
      <c r="B346" s="361" t="str">
        <f>IFERROR(__xludf.DUMMYFUNCTION("""COMPUTED_VALUE"""),"ervanramadhan1150")</f>
        <v>ervanramadhan1150</v>
      </c>
      <c r="C346" s="257" t="str">
        <f>IFERROR(__xludf.DUMMYFUNCTION("""COMPUTED_VALUE"""),"https://www.tiktok.com/@ervanramadhan1150")</f>
        <v>https://www.tiktok.com/@ervanramadhan1150</v>
      </c>
      <c r="D346" s="270">
        <f>IFERROR(__xludf.DUMMYFUNCTION("""COMPUTED_VALUE"""),8.5659888137E10)</f>
        <v>85659888137</v>
      </c>
      <c r="E346" s="457">
        <f>IFERROR(__xludf.DUMMYFUNCTION("""COMPUTED_VALUE"""),0.0)</f>
        <v>0</v>
      </c>
      <c r="F346" s="270">
        <f>IFERROR(__xludf.DUMMYFUNCTION("""COMPUTED_VALUE"""),2.0)</f>
        <v>2</v>
      </c>
      <c r="G346" s="17" t="str">
        <f>IFERROR(__xludf.DUMMYFUNCTION("""COMPUTED_VALUE"""),"Sabun batang 1 Box ( 2 PCS )")</f>
        <v>Sabun batang 1 Box ( 2 PCS )</v>
      </c>
      <c r="H346" s="463" t="str">
        <f>IFERROR(__xludf.DUMMYFUNCTION("""COMPUTED_VALUE"""),"Sampai")</f>
        <v>Sampai</v>
      </c>
      <c r="I346" s="464" t="str">
        <f>IFERROR(__xludf.DUMMYFUNCTION("""COMPUTED_VALUE"""),"KIMME")</f>
        <v>KIMME</v>
      </c>
      <c r="J346" s="279" t="str">
        <f>IFERROR(__xludf.DUMMYFUNCTION("""COMPUTED_VALUE"""),"https://www.tiktok.com/@ervanramadhan1150/video/7627386196372557076?is_from_webapp=1&amp;sender_device=pc")</f>
        <v>https://www.tiktok.com/@ervanramadhan1150/video/7627386196372557076?is_from_webapp=1&amp;sender_device=pc</v>
      </c>
      <c r="K346" s="464" t="str">
        <f>IFERROR(__xludf.DUMMYFUNCTION("""COMPUTED_VALUE"""),"KIMME")</f>
        <v>KIMME</v>
      </c>
      <c r="L346" s="279" t="str">
        <f>IFERROR(__xludf.DUMMYFUNCTION("""COMPUTED_VALUE"""),"https://vt.tiktok.com/ZSHGXr4kC/")</f>
        <v>https://vt.tiktok.com/ZSHGXr4kC/</v>
      </c>
      <c r="M346" s="464" t="str">
        <f>IFERROR(__xludf.DUMMYFUNCTION("""COMPUTED_VALUE"""),"KIMME")</f>
        <v>KIMME</v>
      </c>
      <c r="N346" s="279" t="str">
        <f>IFERROR(__xludf.DUMMYFUNCTION("""COMPUTED_VALUE"""),"https://vt.tiktok.com/ZS9GRM1C9/")</f>
        <v>https://vt.tiktok.com/ZS9GRM1C9/</v>
      </c>
      <c r="O346" s="464" t="str">
        <f>IFERROR(__xludf.DUMMYFUNCTION("""COMPUTED_VALUE"""),"KIMME")</f>
        <v>KIMME</v>
      </c>
      <c r="P346" s="279" t="str">
        <f>IFERROR(__xludf.DUMMYFUNCTION("""COMPUTED_VALUE"""),"https://vt.tiktok.com/ZS9GdbVNY/")</f>
        <v>https://vt.tiktok.com/ZS9GdbVNY/</v>
      </c>
    </row>
    <row r="347">
      <c r="A347" s="255" t="str">
        <f>IFERROR(__xludf.DUMMYFUNCTION("""COMPUTED_VALUE"""),"MICRO")</f>
        <v>MICRO</v>
      </c>
      <c r="B347" s="361" t="str">
        <f>IFERROR(__xludf.DUMMYFUNCTION("""COMPUTED_VALUE"""),"bangslam2121")</f>
        <v>bangslam2121</v>
      </c>
      <c r="C347" s="257" t="str">
        <f>IFERROR(__xludf.DUMMYFUNCTION("""COMPUTED_VALUE"""),"https://www.tiktok.com/@bangslam2121")</f>
        <v>https://www.tiktok.com/@bangslam2121</v>
      </c>
      <c r="D347" s="270">
        <f>IFERROR(__xludf.DUMMYFUNCTION("""COMPUTED_VALUE"""),8.2211227828E10)</f>
        <v>82211227828</v>
      </c>
      <c r="E347" s="457">
        <f>IFERROR(__xludf.DUMMYFUNCTION("""COMPUTED_VALUE"""),0.0)</f>
        <v>0</v>
      </c>
      <c r="F347" s="270">
        <f>IFERROR(__xludf.DUMMYFUNCTION("""COMPUTED_VALUE"""),4.0)</f>
        <v>4</v>
      </c>
      <c r="G347" s="17" t="str">
        <f>IFERROR(__xludf.DUMMYFUNCTION("""COMPUTED_VALUE"""),"Sabun batang 1 Box ( 2 PCS )")</f>
        <v>Sabun batang 1 Box ( 2 PCS )</v>
      </c>
      <c r="H347" s="463" t="str">
        <f>IFERROR(__xludf.DUMMYFUNCTION("""COMPUTED_VALUE"""),"Sampai")</f>
        <v>Sampai</v>
      </c>
      <c r="I347" s="464" t="str">
        <f>IFERROR(__xludf.DUMMYFUNCTION("""COMPUTED_VALUE"""),"KIMME")</f>
        <v>KIMME</v>
      </c>
      <c r="J347" s="279" t="str">
        <f>IFERROR(__xludf.DUMMYFUNCTION("""COMPUTED_VALUE"""),"https://vt.tiktok.com/ZSHoMe5Q8/")</f>
        <v>https://vt.tiktok.com/ZSHoMe5Q8/</v>
      </c>
      <c r="K347" s="464" t="str">
        <f>IFERROR(__xludf.DUMMYFUNCTION("""COMPUTED_VALUE"""),"KIMME")</f>
        <v>KIMME</v>
      </c>
      <c r="L347" s="279" t="str">
        <f>IFERROR(__xludf.DUMMYFUNCTION("""COMPUTED_VALUE"""),"https://vt.tiktok.com/ZSHo6dnGG/")</f>
        <v>https://vt.tiktok.com/ZSHo6dnGG/</v>
      </c>
      <c r="M347" s="464" t="str">
        <f>IFERROR(__xludf.DUMMYFUNCTION("""COMPUTED_VALUE"""),"KIMME")</f>
        <v>KIMME</v>
      </c>
      <c r="N347" s="279" t="str">
        <f>IFERROR(__xludf.DUMMYFUNCTION("""COMPUTED_VALUE"""),"https://vt.tiktok.com/ZSHojfF97/")</f>
        <v>https://vt.tiktok.com/ZSHojfF97/</v>
      </c>
      <c r="O347" s="464" t="str">
        <f>IFERROR(__xludf.DUMMYFUNCTION("""COMPUTED_VALUE"""),"KIMME")</f>
        <v>KIMME</v>
      </c>
      <c r="P347" s="279" t="str">
        <f>IFERROR(__xludf.DUMMYFUNCTION("""COMPUTED_VALUE"""),"https://vt.tiktok.com/ZSHojAaKr/")</f>
        <v>https://vt.tiktok.com/ZSHojAaKr/</v>
      </c>
    </row>
    <row r="348">
      <c r="A348" s="255" t="str">
        <f>IFERROR(__xludf.DUMMYFUNCTION("""COMPUTED_VALUE"""),"MICRO")</f>
        <v>MICRO</v>
      </c>
      <c r="B348" s="361" t="str">
        <f>IFERROR(__xludf.DUMMYFUNCTION("""COMPUTED_VALUE"""),"bangiyay1129")</f>
        <v>bangiyay1129</v>
      </c>
      <c r="C348" s="257" t="str">
        <f>IFERROR(__xludf.DUMMYFUNCTION("""COMPUTED_VALUE"""),"https://www.tiktok.com/@bangiyay1129")</f>
        <v>https://www.tiktok.com/@bangiyay1129</v>
      </c>
      <c r="D348" s="270">
        <f>IFERROR(__xludf.DUMMYFUNCTION("""COMPUTED_VALUE"""),8.1585779594E10)</f>
        <v>81585779594</v>
      </c>
      <c r="E348" s="457">
        <f>IFERROR(__xludf.DUMMYFUNCTION("""COMPUTED_VALUE"""),0.0)</f>
        <v>0</v>
      </c>
      <c r="F348" s="270">
        <f>IFERROR(__xludf.DUMMYFUNCTION("""COMPUTED_VALUE"""),2.0)</f>
        <v>2</v>
      </c>
      <c r="G348" s="17" t="str">
        <f>IFERROR(__xludf.DUMMYFUNCTION("""COMPUTED_VALUE"""),"Sabun batang 1 Box ( 2 PCS )")</f>
        <v>Sabun batang 1 Box ( 2 PCS )</v>
      </c>
      <c r="H348" s="463" t="str">
        <f>IFERROR(__xludf.DUMMYFUNCTION("""COMPUTED_VALUE"""),"Sampai")</f>
        <v>Sampai</v>
      </c>
      <c r="I348" s="464" t="str">
        <f>IFERROR(__xludf.DUMMYFUNCTION("""COMPUTED_VALUE"""),"KIMME")</f>
        <v>KIMME</v>
      </c>
      <c r="J348" s="279" t="str">
        <f>IFERROR(__xludf.DUMMYFUNCTION("""COMPUTED_VALUE"""),"https://www.tiktok.com/@bangiyay1129/video/7623399686187126032?_r=1&amp;u_code=e6kf3jcf63db81&amp;region=&amp;mid=6776168821704099842&amp;preview_pb=0&amp;sharer_language=&amp;_d=0&amp;ec_shared_reflux_dynamic_params=%7B%22placeholder_material_id%22%3A%227623399686187126032%22%2C%22"&amp;"placeholder_origin_cover%22%3A%22https%253A%252F%252Fp19-common-sign.tiktokcdn.com%252Ftos-alisg-p-0037%252Fo8PclIBJvzCBpVvBHYAIwiVXlvL5qakEsBcAi~tplv-tiktokx-origin.jpeg%253Fdr%253D14572%2526refresh_token%253Df216d396%2526x-expires%253D1806634800%2526x-s"&amp;"ignature%253DlBIo4Ujmn7xlo0AaIigTZv8F9po%25253D%2526t%253D4d5b0474%2526ps%253D13740610%2526shp%253Dd05b14bd%2526shcp%253D34ff8df6%2526idc%253Dmy2%2526s%253DTIKTOK_AFFILIATE_VIRAL_VIDEO%22%2C%22placeholder_product_id%22%3A%221729427766722726591%22%2C%22pla"&amp;"ceholder_video_id%22%3A%227623399686187126032%22%7D&amp;ec_shared_reflux_scene=shop_tab_feed&amp;share_item_id=7623399686187126032&amp;source=h5_t")</f>
        <v>https://www.tiktok.com/@bangiyay1129/video/7623399686187126032?_r=1&amp;u_code=e6kf3jcf63db81&amp;region=&amp;mid=6776168821704099842&amp;preview_pb=0&amp;sharer_language=&amp;_d=0&amp;ec_shared_reflux_dynamic_params=%7B%22placeholder_material_id%22%3A%227623399686187126032%22%2C%22placeholder_origin_cover%22%3A%22https%253A%252F%252Fp19-common-sign.tiktokcdn.com%252Ftos-alisg-p-0037%252Fo8PclIBJvzCBpVvBHYAIwiVXlvL5qakEsBcAi~tplv-tiktokx-origin.jpeg%253Fdr%253D14572%2526refresh_token%253Df216d396%2526x-expires%253D1806634800%2526x-signature%253DlBIo4Ujmn7xlo0AaIigTZv8F9po%25253D%2526t%253D4d5b0474%2526ps%253D13740610%2526shp%253Dd05b14bd%2526shcp%253D34ff8df6%2526idc%253Dmy2%2526s%253DTIKTOK_AFFILIATE_VIRAL_VIDEO%22%2C%22placeholder_product_id%22%3A%221729427766722726591%22%2C%22placeholder_video_id%22%3A%227623399686187126032%22%7D&amp;ec_shared_reflux_scene=shop_tab_feed&amp;share_item_id=7623399686187126032&amp;source=h5_t</v>
      </c>
      <c r="K348" s="464" t="str">
        <f>IFERROR(__xludf.DUMMYFUNCTION("""COMPUTED_VALUE"""),"KIMME")</f>
        <v>KIMME</v>
      </c>
      <c r="L348" s="279" t="str">
        <f>IFERROR(__xludf.DUMMYFUNCTION("""COMPUTED_VALUE"""),"https://vt.tiktok.com/ZSHPdUpam/")</f>
        <v>https://vt.tiktok.com/ZSHPdUpam/</v>
      </c>
      <c r="M348" s="464"/>
      <c r="N348" s="279" t="str">
        <f>IFERROR(__xludf.DUMMYFUNCTION("""COMPUTED_VALUE"""),"https://vt.tiktok.com/ZS9GRj2pE/")</f>
        <v>https://vt.tiktok.com/ZS9GRj2pE/</v>
      </c>
      <c r="O348" s="464"/>
      <c r="P348" s="279" t="str">
        <f>IFERROR(__xludf.DUMMYFUNCTION("""COMPUTED_VALUE"""),"https://vt.tiktok.com/ZS9GRLrQK/")</f>
        <v>https://vt.tiktok.com/ZS9GRLrQK/</v>
      </c>
    </row>
    <row r="349">
      <c r="A349" s="255" t="str">
        <f>IFERROR(__xludf.DUMMYFUNCTION("""COMPUTED_VALUE"""),"MACRO")</f>
        <v>MACRO</v>
      </c>
      <c r="B349" s="361" t="str">
        <f>IFERROR(__xludf.DUMMYFUNCTION("""COMPUTED_VALUE"""),"aanjutawan05")</f>
        <v>aanjutawan05</v>
      </c>
      <c r="C349" s="257" t="str">
        <f>IFERROR(__xludf.DUMMYFUNCTION("""COMPUTED_VALUE"""),"https://www.tiktok.com/@aanjutawan05")</f>
        <v>https://www.tiktok.com/@aanjutawan05</v>
      </c>
      <c r="D349" s="270">
        <f>IFERROR(__xludf.DUMMYFUNCTION("""COMPUTED_VALUE"""),8.5159809665E10)</f>
        <v>85159809665</v>
      </c>
      <c r="E349" s="457">
        <f>IFERROR(__xludf.DUMMYFUNCTION("""COMPUTED_VALUE"""),0.0)</f>
        <v>0</v>
      </c>
      <c r="F349" s="270">
        <f>IFERROR(__xludf.DUMMYFUNCTION("""COMPUTED_VALUE"""),2.0)</f>
        <v>2</v>
      </c>
      <c r="G349" s="17" t="str">
        <f>IFERROR(__xludf.DUMMYFUNCTION("""COMPUTED_VALUE"""),"Sabun batang 1 Box ( 2 PCS )")</f>
        <v>Sabun batang 1 Box ( 2 PCS )</v>
      </c>
      <c r="H349" s="463" t="str">
        <f>IFERROR(__xludf.DUMMYFUNCTION("""COMPUTED_VALUE"""),"Sampai")</f>
        <v>Sampai</v>
      </c>
      <c r="I349" s="464" t="str">
        <f>IFERROR(__xludf.DUMMYFUNCTION("""COMPUTED_VALUE"""),"KIMME")</f>
        <v>KIMME</v>
      </c>
      <c r="J349" s="279" t="str">
        <f>IFERROR(__xludf.DUMMYFUNCTION("""COMPUTED_VALUE"""),"https://www.tiktok.com/@naura.karisma/video/7624176794328960277?_r=1&amp;u_code=ee97hf50aa8g7e&amp;region=&amp;mid=7505029365265876993&amp;preview_pb=0&amp;sharer_language=&amp;_d=0&amp;ec_shared_reflux_dynamic_params=%7B%22placeholder_material_id%22%3A%227624176794328960277%22%2C%2"&amp;"2placeholder_origin_cover%22%3A%22https%253A%252F%252Fp16-sign-sg.tiktokcdn.com%252Ftos-alisg-p-0037%252Fosyuho0IDIDGxO5RAwFBcFRYfBfqpiBIELg9Ez~tplv-tiktokx-origin.jpeg%253Fdr%253D14572%2526refresh_token%253Dcd4c8bad%2526x-expires%253D1807070400%2526x-sig"&amp;"nature%253DQjyx9e93g1Vzs0jSuCjW32P%25252B2i0%25253D%2526t%253D4d5b0474%2526ps%253D13740610%2526shp%253Dd05b14bd%2526shcp%253D34ff8df6%2526idc%253Dmy2%2526s%253DTIKTOK_AFFILIATE_VIRAL_VIDEO%22%2C%22placeholder_product_id%22%3A%221729427766722726591%22%2C%2"&amp;"2placeholder_video_id%22%3A%227624176794328960277%22%7D&amp;ec_shared_reflux_scene=shop_tab_feed&amp;share_item_id=7624176794328960277&amp;source=h5_t")</f>
        <v>https://www.tiktok.com/@naura.karisma/video/7624176794328960277?_r=1&amp;u_code=ee97hf50aa8g7e&amp;region=&amp;mid=7505029365265876993&amp;preview_pb=0&amp;sharer_language=&amp;_d=0&amp;ec_shared_reflux_dynamic_params=%7B%22placeholder_material_id%22%3A%227624176794328960277%22%2C%22placeholder_origin_cover%22%3A%22https%253A%252F%252Fp16-sign-sg.tiktokcdn.com%252Ftos-alisg-p-0037%252Fosyuho0IDIDGxO5RAwFBcFRYfBfqpiBIELg9Ez~tplv-tiktokx-origin.jpeg%253Fdr%253D14572%2526refresh_token%253Dcd4c8bad%2526x-expires%253D1807070400%2526x-signature%253DQjyx9e93g1Vzs0jSuCjW32P%25252B2i0%25253D%2526t%253D4d5b0474%2526ps%253D13740610%2526shp%253Dd05b14bd%2526shcp%253D34ff8df6%2526idc%253Dmy2%2526s%253DTIKTOK_AFFILIATE_VIRAL_VIDEO%22%2C%22placeholder_product_id%22%3A%221729427766722726591%22%2C%22placeholder_video_id%22%3A%227624176794328960277%22%7D&amp;ec_shared_reflux_scene=shop_tab_feed&amp;share_item_id=7624176794328960277&amp;source=h5_t</v>
      </c>
      <c r="K349" s="464" t="str">
        <f>IFERROR(__xludf.DUMMYFUNCTION("""COMPUTED_VALUE"""),"KIMME")</f>
        <v>KIMME</v>
      </c>
      <c r="L349" s="279" t="str">
        <f>IFERROR(__xludf.DUMMYFUNCTION("""COMPUTED_VALUE"""),"https://www.tiktok.com/@naura.karisma/video/7625169612694424853?_r=1&amp;u_code=ee97hf50aa8g7e&amp;region=&amp;mid=7604078392611146504&amp;preview_pb=0&amp;sharer_language=&amp;_d=0&amp;ec_shared_reflux_dynamic_params=%7B%22placeholder_material_id%22%3A%227625169612694424853%22%2C%2"&amp;"2placeholder_origin_cover%22%3A%22https%253A%252F%252Fp16-sign-sg.tiktokcdn.com%252Ftos-alisg-p-0037%252FowPSJLasvNA6EYXBqIrjKACBiiJAdB2iII3mO~tplv-tiktokx-origin.jpeg%253Fdr%253D14572%2526refresh_token%253D18b3f413%2526x-expires%253D1807070400%2526x-sign"&amp;"ature%253DWUjWXOF4RGrlwhGT15QqCnC3etg%25253D%2526t%253D4d5b0474%2526ps%253D13740610%2526shp%253Dd05b14bd%2526shcp%253D34ff8df6%2526idc%253Dmy2%2526s%253DTIKTOK_AFFILIATE_VIRAL_VIDEO%22%2C%22placeholder_product_id%22%3A%221729427766722726591%22%2C%22placeh"&amp;"older_video_id%22%3A%227625169612694424853%22%7D&amp;ec_shared_reflux_scene=shop_tab_feed&amp;share_item_id=7625169612694424853&amp;source=h5_t")</f>
        <v>https://www.tiktok.com/@naura.karisma/video/7625169612694424853?_r=1&amp;u_code=ee97hf50aa8g7e&amp;region=&amp;mid=7604078392611146504&amp;preview_pb=0&amp;sharer_language=&amp;_d=0&amp;ec_shared_reflux_dynamic_params=%7B%22placeholder_material_id%22%3A%227625169612694424853%22%2C%22placeholder_origin_cover%22%3A%22https%253A%252F%252Fp16-sign-sg.tiktokcdn.com%252Ftos-alisg-p-0037%252FowPSJLasvNA6EYXBqIrjKACBiiJAdB2iII3mO~tplv-tiktokx-origin.jpeg%253Fdr%253D14572%2526refresh_token%253D18b3f413%2526x-expires%253D1807070400%2526x-signature%253DWUjWXOF4RGrlwhGT15QqCnC3etg%25253D%2526t%253D4d5b0474%2526ps%253D13740610%2526shp%253Dd05b14bd%2526shcp%253D34ff8df6%2526idc%253Dmy2%2526s%253DTIKTOK_AFFILIATE_VIRAL_VIDEO%22%2C%22placeholder_product_id%22%3A%221729427766722726591%22%2C%22placeholder_video_id%22%3A%227625169612694424853%22%7D&amp;ec_shared_reflux_scene=shop_tab_feed&amp;share_item_id=7625169612694424853&amp;source=h5_t</v>
      </c>
      <c r="M349" s="464"/>
      <c r="N349" s="17"/>
      <c r="O349" s="464"/>
      <c r="P349" s="17"/>
    </row>
    <row r="350">
      <c r="A350" s="255" t="str">
        <f>IFERROR(__xludf.DUMMYFUNCTION("""COMPUTED_VALUE"""),"MICRO")</f>
        <v>MICRO</v>
      </c>
      <c r="B350" s="361" t="str">
        <f>IFERROR(__xludf.DUMMYFUNCTION("""COMPUTED_VALUE"""),"puspitajasmine26")</f>
        <v>puspitajasmine26</v>
      </c>
      <c r="C350" s="257" t="str">
        <f>IFERROR(__xludf.DUMMYFUNCTION("""COMPUTED_VALUE"""),"https://www.tiktok.com/@puspitajasmine26")</f>
        <v>https://www.tiktok.com/@puspitajasmine26</v>
      </c>
      <c r="D350" s="270">
        <f>IFERROR(__xludf.DUMMYFUNCTION("""COMPUTED_VALUE"""),8.782568825E10)</f>
        <v>87825688250</v>
      </c>
      <c r="E350" s="457">
        <f>IFERROR(__xludf.DUMMYFUNCTION("""COMPUTED_VALUE"""),0.0)</f>
        <v>0</v>
      </c>
      <c r="F350" s="270">
        <f>IFERROR(__xludf.DUMMYFUNCTION("""COMPUTED_VALUE"""),4.0)</f>
        <v>4</v>
      </c>
      <c r="G350" s="17" t="str">
        <f>IFERROR(__xludf.DUMMYFUNCTION("""COMPUTED_VALUE"""),"Sabun batang 1 Box ( 2 PCS )")</f>
        <v>Sabun batang 1 Box ( 2 PCS )</v>
      </c>
      <c r="H350" s="463" t="str">
        <f>IFERROR(__xludf.DUMMYFUNCTION("""COMPUTED_VALUE"""),"Sampai")</f>
        <v>Sampai</v>
      </c>
      <c r="I350" s="464" t="str">
        <f>IFERROR(__xludf.DUMMYFUNCTION("""COMPUTED_VALUE"""),"KIMME")</f>
        <v>KIMME</v>
      </c>
      <c r="J350" s="279" t="str">
        <f>IFERROR(__xludf.DUMMYFUNCTION("""COMPUTED_VALUE"""),"https://www.tiktok.com/@puspitajasmine26/video/7628927503708556562")</f>
        <v>https://www.tiktok.com/@puspitajasmine26/video/7628927503708556562</v>
      </c>
      <c r="K350" s="464" t="str">
        <f>IFERROR(__xludf.DUMMYFUNCTION("""COMPUTED_VALUE"""),"KIMME")</f>
        <v>KIMME</v>
      </c>
      <c r="L350" s="279" t="str">
        <f>IFERROR(__xludf.DUMMYFUNCTION("""COMPUTED_VALUE"""),"https://www.tiktok.com/@puspitajasmine26/video/7630765854828842248?_r=1&amp;u_code=dicfhiec9dj8ch&amp;region=&amp;mid=7505029365265876993&amp;preview_pb=0&amp;sharer_language=&amp;_d=0&amp;ec_shared_reflux_dynamic_params=%7B%22placeholder_material_id%22%3A%227630765854828842248%22%2"&amp;"C%22placeholder_origin_cover%22%3A%22https%253A%252F%252Fp16-common-sign.tiktokcdn.com%252Ftos-alisg-p-0037%252Fo4LnlifTyAMTDfvFIn493j2C4hLeQilDIvwAQG~tplv-tiktokx-origin.jpeg%253Fdr%253D14572%2526refresh_token%253D6b9c47aa%2526x-expires%253D1808301600%25"&amp;"26x-signature%253DenMCWN5vdTRX9opgQUiZM9ngFtc%25253D%2526t%253D4d5b0474%2526ps%253D13740610%2526shp%253Dd05b14bd%2526shcp%253D34ff8df6%2526idc%253Dmy3%2526s%253DTIKTOK_AFFILIATE_VIRAL_VIDEO%22%2C%22placeholder_product_id%22%3A%221729427766722726591%22%2C%"&amp;"22placeholder_video_id%22%3A%227630765854828842248%22%7D&amp;ec_shared_reflux_scene=shop_tab_feed&amp;share_item_id=7630765854828842248&amp;source=h5_t")</f>
        <v>https://www.tiktok.com/@puspitajasmine26/video/7630765854828842248?_r=1&amp;u_code=dicfhiec9dj8ch&amp;region=&amp;mid=7505029365265876993&amp;preview_pb=0&amp;sharer_language=&amp;_d=0&amp;ec_shared_reflux_dynamic_params=%7B%22placeholder_material_id%22%3A%227630765854828842248%22%2C%22placeholder_origin_cover%22%3A%22https%253A%252F%252Fp16-common-sign.tiktokcdn.com%252Ftos-alisg-p-0037%252Fo4LnlifTyAMTDfvFIn493j2C4hLeQilDIvwAQG~tplv-tiktokx-origin.jpeg%253Fdr%253D14572%2526refresh_token%253D6b9c47aa%2526x-expires%253D1808301600%2526x-signature%253DenMCWN5vdTRX9opgQUiZM9ngFtc%25253D%2526t%253D4d5b0474%2526ps%253D13740610%2526shp%253Dd05b14bd%2526shcp%253D34ff8df6%2526idc%253Dmy3%2526s%253DTIKTOK_AFFILIATE_VIRAL_VIDEO%22%2C%22placeholder_product_id%22%3A%221729427766722726591%22%2C%22placeholder_video_id%22%3A%227630765854828842248%22%7D&amp;ec_shared_reflux_scene=shop_tab_feed&amp;share_item_id=7630765854828842248&amp;source=h5_t</v>
      </c>
      <c r="M350" s="464" t="str">
        <f>IFERROR(__xludf.DUMMYFUNCTION("""COMPUTED_VALUE"""),"KIMME")</f>
        <v>KIMME</v>
      </c>
      <c r="N350" s="279" t="str">
        <f>IFERROR(__xludf.DUMMYFUNCTION("""COMPUTED_VALUE"""),"https://www.tiktok.com/@puspitajasmine26/video/7634102562974682386?_r=1&amp;u_code=dicfhiec9dj8ch&amp;region=&amp;mid=7336813606582208514&amp;preview_pb=0&amp;sharer_language=&amp;_d=0&amp;ec_shared_reflux_dynamic_params=%7B%22placeholder_material_id%22%3A%227634102562974682386%22%2"&amp;"C%22placeholder_origin_cover%22%3A%22https%253A%252F%252Fp16-common-sign.tiktokcdn.com%252Ftos-alisg-p-0037%252Fo8dxVsA4fAI51f7gBDjTy9C9xED4FIMz747IOf~tplv-tiktokx-origin.jpeg%253Fdr%253D14572%2526refresh_token%253D7bb04983%2526x-expires%253D1808992800%25"&amp;"26x-signature%253D6i9sdsC3CRBwF2kgt0rSUBIfUkE%25253D%2526t%253D4d5b0474%2526ps%253D13740610%2526shp%253Dd05b14bd%2526shcp%253D34ff8df6%2526idc%253Dmy2%2526s%253DTIKTOK_AFFILIATE_VIRAL_VIDEO%22%2C%22placeholder_product_id%22%3A%221729427766722726591%22%2C%"&amp;"22placeholder_video_id%22%3A%227634102562974682386%22%7D&amp;ec_shared_reflux_scene=shop_tab_feed&amp;share_item_id=7634102562974682386&amp;source=h5_t")</f>
        <v>https://www.tiktok.com/@puspitajasmine26/video/7634102562974682386?_r=1&amp;u_code=dicfhiec9dj8ch&amp;region=&amp;mid=7336813606582208514&amp;preview_pb=0&amp;sharer_language=&amp;_d=0&amp;ec_shared_reflux_dynamic_params=%7B%22placeholder_material_id%22%3A%227634102562974682386%22%2C%22placeholder_origin_cover%22%3A%22https%253A%252F%252Fp16-common-sign.tiktokcdn.com%252Ftos-alisg-p-0037%252Fo8dxVsA4fAI51f7gBDjTy9C9xED4FIMz747IOf~tplv-tiktokx-origin.jpeg%253Fdr%253D14572%2526refresh_token%253D7bb04983%2526x-expires%253D1808992800%2526x-signature%253D6i9sdsC3CRBwF2kgt0rSUBIfUkE%25253D%2526t%253D4d5b0474%2526ps%253D13740610%2526shp%253Dd05b14bd%2526shcp%253D34ff8df6%2526idc%253Dmy2%2526s%253DTIKTOK_AFFILIATE_VIRAL_VIDEO%22%2C%22placeholder_product_id%22%3A%221729427766722726591%22%2C%22placeholder_video_id%22%3A%227634102562974682386%22%7D&amp;ec_shared_reflux_scene=shop_tab_feed&amp;share_item_id=7634102562974682386&amp;source=h5_t</v>
      </c>
      <c r="O350" s="464" t="str">
        <f>IFERROR(__xludf.DUMMYFUNCTION("""COMPUTED_VALUE"""),"KIMME")</f>
        <v>KIMME</v>
      </c>
      <c r="P350" s="279" t="str">
        <f>IFERROR(__xludf.DUMMYFUNCTION("""COMPUTED_VALUE"""),"https://vt.tiktok.com/ZS9GpsXTb/")</f>
        <v>https://vt.tiktok.com/ZS9GpsXTb/</v>
      </c>
    </row>
    <row r="351">
      <c r="A351" s="255" t="str">
        <f>IFERROR(__xludf.DUMMYFUNCTION("""COMPUTED_VALUE"""),"MICRO")</f>
        <v>MICRO</v>
      </c>
      <c r="B351" s="361" t="str">
        <f>IFERROR(__xludf.DUMMYFUNCTION("""COMPUTED_VALUE"""),"febrypramanda")</f>
        <v>febrypramanda</v>
      </c>
      <c r="C351" s="257" t="str">
        <f>IFERROR(__xludf.DUMMYFUNCTION("""COMPUTED_VALUE"""),"https://www.tiktok.com/@febrypramanda")</f>
        <v>https://www.tiktok.com/@febrypramanda</v>
      </c>
      <c r="D351" s="270">
        <f>IFERROR(__xludf.DUMMYFUNCTION("""COMPUTED_VALUE"""),8.1311231361E10)</f>
        <v>81311231361</v>
      </c>
      <c r="E351" s="457">
        <f>IFERROR(__xludf.DUMMYFUNCTION("""COMPUTED_VALUE"""),0.0)</f>
        <v>0</v>
      </c>
      <c r="F351" s="270">
        <f>IFERROR(__xludf.DUMMYFUNCTION("""COMPUTED_VALUE"""),4.0)</f>
        <v>4</v>
      </c>
      <c r="G351" s="17" t="str">
        <f>IFERROR(__xludf.DUMMYFUNCTION("""COMPUTED_VALUE"""),"Sabun batang 1 Box ( 2 PCS )")</f>
        <v>Sabun batang 1 Box ( 2 PCS )</v>
      </c>
      <c r="H351" s="463" t="str">
        <f>IFERROR(__xludf.DUMMYFUNCTION("""COMPUTED_VALUE"""),"Sampai")</f>
        <v>Sampai</v>
      </c>
      <c r="I351" s="464" t="str">
        <f>IFERROR(__xludf.DUMMYFUNCTION("""COMPUTED_VALUE"""),"KIMME")</f>
        <v>KIMME</v>
      </c>
      <c r="J351" s="279" t="str">
        <f>IFERROR(__xludf.DUMMYFUNCTION("""COMPUTED_VALUE"""),"https://vt.tiktok.com/ZSHMWFhnD/")</f>
        <v>https://vt.tiktok.com/ZSHMWFhnD/</v>
      </c>
      <c r="K351" s="464" t="str">
        <f>IFERROR(__xludf.DUMMYFUNCTION("""COMPUTED_VALUE"""),"KIMME")</f>
        <v>KIMME</v>
      </c>
      <c r="L351" s="279" t="str">
        <f>IFERROR(__xludf.DUMMYFUNCTION("""COMPUTED_VALUE"""),"https://www.tiktok.com/@ginafathonah_/video/7624182009308400917?_r=1&amp;u_code=dlhe22ikkib396&amp;region=&amp;mid=7616512443925941010&amp;preview_pb=0&amp;sharer_language=&amp;_d=0&amp;ec_shared_reflux_dynamic_params=%7B%22placeholder_material_id%22%3A%227624182009308400917%22%2C%2"&amp;"2placeholder_origin_cover%22%3A%22https%253A%252F%252Fp16-sign-sg.tiktokcdn.com%252Ftos-alisg-p-0037%252FogHibi3SIr1Cqh5AwOqBfANIR1AiBH0waES0IQ~tplv-tiktokx-origin.jpeg%253Fdr%253D14572%2526refresh_token%253D4b1976ac%2526x-expires%253D1807070400%2526x-sig"&amp;"nature%253Dbi8c5txoAzjRMf1ZG6%25252F%25252FreORvPg%25253D%2526t%253D4d5b0474%2526ps%253D13740610%2526shp%253Dd05b14bd%2526shcp%253D34ff8df6%2526idc%253Dmy2%2526s%253DTIKTOK_AFFILIATE_VIRAL_VIDEO%22%2C%22placeholder_product_id%22%3A%221729427766722726591%2"&amp;"2%2C%22placeholder_video_id%22%3A%227624182009308400917%22%7D&amp;ec_shared_reflux_scene=shop_tab_feed&amp;share_item_id=7624182009308400917&amp;source=h5_t")</f>
        <v>https://www.tiktok.com/@ginafathonah_/video/7624182009308400917?_r=1&amp;u_code=dlhe22ikkib396&amp;region=&amp;mid=7616512443925941010&amp;preview_pb=0&amp;sharer_language=&amp;_d=0&amp;ec_shared_reflux_dynamic_params=%7B%22placeholder_material_id%22%3A%227624182009308400917%22%2C%22placeholder_origin_cover%22%3A%22https%253A%252F%252Fp16-sign-sg.tiktokcdn.com%252Ftos-alisg-p-0037%252FogHibi3SIr1Cqh5AwOqBfANIR1AiBH0waES0IQ~tplv-tiktokx-origin.jpeg%253Fdr%253D14572%2526refresh_token%253D4b1976ac%2526x-expires%253D1807070400%2526x-signature%253Dbi8c5txoAzjRMf1ZG6%25252F%25252FreORvPg%25253D%2526t%253D4d5b0474%2526ps%253D13740610%2526shp%253Dd05b14bd%2526shcp%253D34ff8df6%2526idc%253Dmy2%2526s%253DTIKTOK_AFFILIATE_VIRAL_VIDEO%22%2C%22placeholder_product_id%22%3A%221729427766722726591%22%2C%22placeholder_video_id%22%3A%227624182009308400917%22%7D&amp;ec_shared_reflux_scene=shop_tab_feed&amp;share_item_id=7624182009308400917&amp;source=h5_t</v>
      </c>
      <c r="M351" s="464" t="str">
        <f>IFERROR(__xludf.DUMMYFUNCTION("""COMPUTED_VALUE"""),"KIMME")</f>
        <v>KIMME</v>
      </c>
      <c r="N351" s="279" t="str">
        <f>IFERROR(__xludf.DUMMYFUNCTION("""COMPUTED_VALUE"""),"https://www.tiktok.com/@tyaa0508/video/7625796162527726869?_r=1&amp;u_code=d7k7b9el4hf596&amp;region=&amp;mid=7597435345913317393&amp;preview_pb=0&amp;sharer_language=&amp;_d=0&amp;ec_shared_reflux_dynamic_params=%7B%22placeholder_material_id%22%3A%227625796162527726869%22%2C%22plac"&amp;"eholder_origin_cover%22%3A%22https%253A%252F%252Fp16-common-sign.tiktokcdn.com%252Ftos-alisg-p-0037%252FoI37aUUEEwQV1BUpADFQRRDFiffObMEcBDKBgh~tplv-tiktokx-origin.jpeg%253Fdr%253D14572%2526refresh_token%253D21a711e0%2526x-expires%253D1807070400%2526x-sign"&amp;"ature%253D3TZo5QqyWkj2Bsm5lo%25252FNSaJCsWo%25253D%2526t%253D4d5b0474%2526ps%253D13740610%2526shp%253Dd05b14bd%2526shcp%253D34ff8df6%2526idc%253Dmy2%2526s%253DTIKTOK_AFFILIATE_VIRAL_VIDEO%22%2C%22placeholder_product_id%22%3A%221729427766722726591%22%2C%22"&amp;"placeholder_video_id%22%3A%227625796162527726869%22%7D&amp;ec_shared_reflux_scene=shop_tab_feed&amp;share_item_id=7625796162527726869&amp;source=h5_t")</f>
        <v>https://www.tiktok.com/@tyaa0508/video/7625796162527726869?_r=1&amp;u_code=d7k7b9el4hf596&amp;region=&amp;mid=7597435345913317393&amp;preview_pb=0&amp;sharer_language=&amp;_d=0&amp;ec_shared_reflux_dynamic_params=%7B%22placeholder_material_id%22%3A%227625796162527726869%22%2C%22placeholder_origin_cover%22%3A%22https%253A%252F%252Fp16-common-sign.tiktokcdn.com%252Ftos-alisg-p-0037%252FoI37aUUEEwQV1BUpADFQRRDFiffObMEcBDKBgh~tplv-tiktokx-origin.jpeg%253Fdr%253D14572%2526refresh_token%253D21a711e0%2526x-expires%253D1807070400%2526x-signature%253D3TZo5QqyWkj2Bsm5lo%25252FNSaJCsWo%25253D%2526t%253D4d5b0474%2526ps%253D13740610%2526shp%253Dd05b14bd%2526shcp%253D34ff8df6%2526idc%253Dmy2%2526s%253DTIKTOK_AFFILIATE_VIRAL_VIDEO%22%2C%22placeholder_product_id%22%3A%221729427766722726591%22%2C%22placeholder_video_id%22%3A%227625796162527726869%22%7D&amp;ec_shared_reflux_scene=shop_tab_feed&amp;share_item_id=7625796162527726869&amp;source=h5_t</v>
      </c>
      <c r="O351" s="464" t="str">
        <f>IFERROR(__xludf.DUMMYFUNCTION("""COMPUTED_VALUE"""),"KIMME")</f>
        <v>KIMME</v>
      </c>
      <c r="P351" s="279" t="str">
        <f>IFERROR(__xludf.DUMMYFUNCTION("""COMPUTED_VALUE"""),"https://www.tiktok.com/@yullia008/video/7622508798036430096?_r=1&amp;u_code=de2i6l94lj04fj&amp;region=&amp;mid=7622509015645391617&amp;preview_pb=0&amp;sharer_language=&amp;_d=0&amp;ec_shared_reflux_dynamic_params=%7B%22placeholder_material_id%22%3A%227622508798036430096%22%2C%22pla"&amp;"ceholder_origin_cover%22%3A%22https%253A%252F%252Fp16-common-sign.tiktokcdn.com%252Ftos-alisg-p-0037%252FoAYyDf87EEKcI5lvfApgFBFIIARJAwvZ3BBsbh~tplv-tiktokx-origin.jpeg%253Fdr%253D14572%2526refresh_token%253D2eda0af1%2526x-expires%253D1807070400%2526x-sig"&amp;"nature%253DDbfUYEK7uC0fNegvMK6BLayfs%25252FI%25253D%2526t%253D4d5b0474%2526ps%253D13740610%2526shp%253Dd05b14bd%2526shcp%253D34ff8df6%2526idc%253Dmy2%2526s%253DTIKTOK_AFFILIATE_VIRAL_VIDEO%22%2C%22placeholder_product_id%22%3A%221729427766722726591%22%2C%2"&amp;"2placeholder_video_id%22%3A%227622508798036430096%22%7D&amp;ec_shared_reflux_scene=shop_tab_feed&amp;share_item_id=7622508798036430096&amp;source=h5_t")</f>
        <v>https://www.tiktok.com/@yullia008/video/7622508798036430096?_r=1&amp;u_code=de2i6l94lj04fj&amp;region=&amp;mid=7622509015645391617&amp;preview_pb=0&amp;sharer_language=&amp;_d=0&amp;ec_shared_reflux_dynamic_params=%7B%22placeholder_material_id%22%3A%227622508798036430096%22%2C%22placeholder_origin_cover%22%3A%22https%253A%252F%252Fp16-common-sign.tiktokcdn.com%252Ftos-alisg-p-0037%252FoAYyDf87EEKcI5lvfApgFBFIIARJAwvZ3BBsbh~tplv-tiktokx-origin.jpeg%253Fdr%253D14572%2526refresh_token%253D2eda0af1%2526x-expires%253D1807070400%2526x-signature%253DDbfUYEK7uC0fNegvMK6BLayfs%25252FI%25253D%2526t%253D4d5b0474%2526ps%253D13740610%2526shp%253Dd05b14bd%2526shcp%253D34ff8df6%2526idc%253Dmy2%2526s%253DTIKTOK_AFFILIATE_VIRAL_VIDEO%22%2C%22placeholder_product_id%22%3A%221729427766722726591%22%2C%22placeholder_video_id%22%3A%227622508798036430096%22%7D&amp;ec_shared_reflux_scene=shop_tab_feed&amp;share_item_id=7622508798036430096&amp;source=h5_t</v>
      </c>
    </row>
    <row r="352">
      <c r="A352" s="255" t="str">
        <f>IFERROR(__xludf.DUMMYFUNCTION("""COMPUTED_VALUE"""),"MICRO")</f>
        <v>MICRO</v>
      </c>
      <c r="B352" s="361" t="str">
        <f>IFERROR(__xludf.DUMMYFUNCTION("""COMPUTED_VALUE"""),"rokhim13__")</f>
        <v>rokhim13__</v>
      </c>
      <c r="C352" s="257" t="str">
        <f>IFERROR(__xludf.DUMMYFUNCTION("""COMPUTED_VALUE"""),"https://www.tiktok.com/@rokhim13__")</f>
        <v>https://www.tiktok.com/@rokhim13__</v>
      </c>
      <c r="D352" s="270">
        <f>IFERROR(__xludf.DUMMYFUNCTION("""COMPUTED_VALUE"""),8.572683408E10)</f>
        <v>85726834080</v>
      </c>
      <c r="E352" s="457">
        <f>IFERROR(__xludf.DUMMYFUNCTION("""COMPUTED_VALUE"""),0.0)</f>
        <v>0</v>
      </c>
      <c r="F352" s="270">
        <f>IFERROR(__xludf.DUMMYFUNCTION("""COMPUTED_VALUE"""),4.0)</f>
        <v>4</v>
      </c>
      <c r="G352" s="17" t="str">
        <f>IFERROR(__xludf.DUMMYFUNCTION("""COMPUTED_VALUE"""),"Sabun batang 1 Box ( 2 PCS )")</f>
        <v>Sabun batang 1 Box ( 2 PCS )</v>
      </c>
      <c r="H352" s="463" t="str">
        <f>IFERROR(__xludf.DUMMYFUNCTION("""COMPUTED_VALUE"""),"Sampai")</f>
        <v>Sampai</v>
      </c>
      <c r="I352" s="464" t="str">
        <f>IFERROR(__xludf.DUMMYFUNCTION("""COMPUTED_VALUE"""),"KIMME")</f>
        <v>KIMME</v>
      </c>
      <c r="J352" s="279" t="str">
        <f>IFERROR(__xludf.DUMMYFUNCTION("""COMPUTED_VALUE"""),"https://www.tiktok.com/@yullia008/video/7622845799285771537?_r=1&amp;u_code=de2i6l94lj04fj&amp;region=&amp;mid=7622846102808136456&amp;preview_pb=0&amp;sharer_language=&amp;_d=0&amp;ec_shared_reflux_dynamic_params=%7B%22placeholder_material_id%22%3A%227622845799285771537%22%2C%22pla"&amp;"ceholder_origin_cover%22%3A%22https%253A%252F%252Fp16-common-sign.tiktokcdn.com%252Ftos-alisg-p-0037%252Fo8TpZdEQQBgp2fyfZlFcTJmqIEkbnEAsDBcRBq~tplv-tiktokx-origin.jpeg%253Fdr%253D14572%2526refresh_token%253Db224fb3c%2526x-expires%253D1807070400%2526x-sig"&amp;"nature%253DqFVzN4ooL1hNqwcm%25252B2oO8qPyZKw%25253D%2526t%253D4d5b0474%2526ps%253D13740610%2526shp%253Dd05b14bd%2526shcp%253D34ff8df6%2526idc%253Dmy2%2526s%253DTIKTOK_AFFILIATE_VIRAL_VIDEO%22%2C%22placeholder_product_id%22%3A%221729427766722726591%22%2C%2"&amp;"2placeholder_video_id%22%3A%227622845799285771537%22%7D&amp;ec_shared_reflux_scene=shop_tab_feed&amp;share_item_id=7622845799285771537&amp;source=h5_t")</f>
        <v>https://www.tiktok.com/@yullia008/video/7622845799285771537?_r=1&amp;u_code=de2i6l94lj04fj&amp;region=&amp;mid=7622846102808136456&amp;preview_pb=0&amp;sharer_language=&amp;_d=0&amp;ec_shared_reflux_dynamic_params=%7B%22placeholder_material_id%22%3A%227622845799285771537%22%2C%22placeholder_origin_cover%22%3A%22https%253A%252F%252Fp16-common-sign.tiktokcdn.com%252Ftos-alisg-p-0037%252Fo8TpZdEQQBgp2fyfZlFcTJmqIEkbnEAsDBcRBq~tplv-tiktokx-origin.jpeg%253Fdr%253D14572%2526refresh_token%253Db224fb3c%2526x-expires%253D1807070400%2526x-signature%253DqFVzN4ooL1hNqwcm%25252B2oO8qPyZKw%25253D%2526t%253D4d5b0474%2526ps%253D13740610%2526shp%253Dd05b14bd%2526shcp%253D34ff8df6%2526idc%253Dmy2%2526s%253DTIKTOK_AFFILIATE_VIRAL_VIDEO%22%2C%22placeholder_product_id%22%3A%221729427766722726591%22%2C%22placeholder_video_id%22%3A%227622845799285771537%22%7D&amp;ec_shared_reflux_scene=shop_tab_feed&amp;share_item_id=7622845799285771537&amp;source=h5_t</v>
      </c>
      <c r="K352" s="464" t="str">
        <f>IFERROR(__xludf.DUMMYFUNCTION("""COMPUTED_VALUE"""),"KIMME")</f>
        <v>KIMME</v>
      </c>
      <c r="L352" s="279" t="str">
        <f>IFERROR(__xludf.DUMMYFUNCTION("""COMPUTED_VALUE"""),"https://www.tiktok.com/@yullia008/video/7623343925662715137?_r=1&amp;u_code=de2i6l94lj04fj&amp;region=&amp;mid=7623344237338086145&amp;preview_pb=0&amp;sharer_language=&amp;_d=0&amp;ec_shared_reflux_dynamic_params=%7B%22placeholder_material_id%22%3A%227623343925662715137%22%2C%22pla"&amp;"ceholder_origin_cover%22%3A%22https%253A%252F%252Fp16-common-sign.tiktokcdn.com%252Ftos-alisg-p-0037%252Fo03A5b0ILCrBXAPjw1uycfiIiCAIDA50z2ZGsI~tplv-tiktokx-origin.jpeg%253Fdr%253D14572%2526refresh_token%253D4642eb24%2526x-expires%253D1807070400%2526x-sig"&amp;"nature%253DEFJT00UCW%25252BHMOoAJyQPAZyhTxic%25253D%2526t%253D4d5b0474%2526ps%253D13740610%2526shp%253Dd05b14bd%2526shcp%253D34ff8df6%2526idc%253Dmy2%2526s%253DTIKTOK_AFFILIATE_VIRAL_VIDEO%22%2C%22placeholder_product_id%22%3A%221729427766722726591%22%2C%2"&amp;"2placeholder_video_id%22%3A%227623343925662715137%22%7D&amp;ec_shared_reflux_scene=shop_tab_feed&amp;share_item_id=7623343925662715137&amp;source=h5_t")</f>
        <v>https://www.tiktok.com/@yullia008/video/7623343925662715137?_r=1&amp;u_code=de2i6l94lj04fj&amp;region=&amp;mid=7623344237338086145&amp;preview_pb=0&amp;sharer_language=&amp;_d=0&amp;ec_shared_reflux_dynamic_params=%7B%22placeholder_material_id%22%3A%227623343925662715137%22%2C%22placeholder_origin_cover%22%3A%22https%253A%252F%252Fp16-common-sign.tiktokcdn.com%252Ftos-alisg-p-0037%252Fo03A5b0ILCrBXAPjw1uycfiIiCAIDA50z2ZGsI~tplv-tiktokx-origin.jpeg%253Fdr%253D14572%2526refresh_token%253D4642eb24%2526x-expires%253D1807070400%2526x-signature%253DEFJT00UCW%25252BHMOoAJyQPAZyhTxic%25253D%2526t%253D4d5b0474%2526ps%253D13740610%2526shp%253Dd05b14bd%2526shcp%253D34ff8df6%2526idc%253Dmy2%2526s%253DTIKTOK_AFFILIATE_VIRAL_VIDEO%22%2C%22placeholder_product_id%22%3A%221729427766722726591%22%2C%22placeholder_video_id%22%3A%227623343925662715137%22%7D&amp;ec_shared_reflux_scene=shop_tab_feed&amp;share_item_id=7623343925662715137&amp;source=h5_t</v>
      </c>
      <c r="M352" s="464" t="str">
        <f>IFERROR(__xludf.DUMMYFUNCTION("""COMPUTED_VALUE"""),"KIMME")</f>
        <v>KIMME</v>
      </c>
      <c r="N352" s="279" t="str">
        <f>IFERROR(__xludf.DUMMYFUNCTION("""COMPUTED_VALUE"""),"https://www.tiktok.com/@yullia008/video/7624932326551588112?_r=1&amp;u_code=de2i6l94lj04fj&amp;region=&amp;mid=7624932483129248528&amp;preview_pb=0&amp;sharer_language=&amp;_d=0&amp;ec_shared_reflux_dynamic_params=%7B%22placeholder_material_id%22%3A%227624932326551588112%22%2C%22pla"&amp;"ceholder_origin_cover%22%3A%22https%253A%252F%252Fp16-sign-sg.tiktokcdn.com%252Ftos-alisg-p-0037%252FoEQRKcpATVxqfcOiDBQpq0FmARBBVgf5EZE3C1~tplv-tiktokx-origin.jpeg%253Fdr%253D14572%2526refresh_token%253Dcc5d5388%2526x-expires%253D1807070400%2526x-signatu"&amp;"re%253Dg1G7lZOowLT37hz8HR0efkv61xs%25253D%2526t%253D4d5b0474%2526ps%253D13740610%2526shp%253Dd05b14bd%2526shcp%253D34ff8df6%2526idc%253Dmy2%2526s%253DTIKTOK_AFFILIATE_VIRAL_VIDEO%22%2C%22placeholder_product_id%22%3A%221729427766722726591%22%2C%22placehold"&amp;"er_video_id%22%3A%227624932326551588112%22%7D&amp;ec_shared_reflux_scene=shop_tab_feed&amp;share_item_id=7624932326551588112&amp;source=h5_t")</f>
        <v>https://www.tiktok.com/@yullia008/video/7624932326551588112?_r=1&amp;u_code=de2i6l94lj04fj&amp;region=&amp;mid=7624932483129248528&amp;preview_pb=0&amp;sharer_language=&amp;_d=0&amp;ec_shared_reflux_dynamic_params=%7B%22placeholder_material_id%22%3A%227624932326551588112%22%2C%22placeholder_origin_cover%22%3A%22https%253A%252F%252Fp16-sign-sg.tiktokcdn.com%252Ftos-alisg-p-0037%252FoEQRKcpATVxqfcOiDBQpq0FmARBBVgf5EZE3C1~tplv-tiktokx-origin.jpeg%253Fdr%253D14572%2526refresh_token%253Dcc5d5388%2526x-expires%253D1807070400%2526x-signature%253Dg1G7lZOowLT37hz8HR0efkv61xs%25253D%2526t%253D4d5b0474%2526ps%253D13740610%2526shp%253Dd05b14bd%2526shcp%253D34ff8df6%2526idc%253Dmy2%2526s%253DTIKTOK_AFFILIATE_VIRAL_VIDEO%22%2C%22placeholder_product_id%22%3A%221729427766722726591%22%2C%22placeholder_video_id%22%3A%227624932326551588112%22%7D&amp;ec_shared_reflux_scene=shop_tab_feed&amp;share_item_id=7624932326551588112&amp;source=h5_t</v>
      </c>
      <c r="O352" s="464"/>
      <c r="P352" s="279" t="str">
        <f>IFERROR(__xludf.DUMMYFUNCTION("""COMPUTED_VALUE"""),"https://vt.tiktok.com/ZS9pMS73E/")</f>
        <v>https://vt.tiktok.com/ZS9pMS73E/</v>
      </c>
    </row>
    <row r="353">
      <c r="A353" s="255" t="str">
        <f>IFERROR(__xludf.DUMMYFUNCTION("""COMPUTED_VALUE"""),"MICRO")</f>
        <v>MICRO</v>
      </c>
      <c r="B353" s="361" t="str">
        <f>IFERROR(__xludf.DUMMYFUNCTION("""COMPUTED_VALUE"""),"iky_mubarak")</f>
        <v>iky_mubarak</v>
      </c>
      <c r="C353" s="257" t="str">
        <f>IFERROR(__xludf.DUMMYFUNCTION("""COMPUTED_VALUE"""),"https://www.tiktok.com/@iky_mubarak")</f>
        <v>https://www.tiktok.com/@iky_mubarak</v>
      </c>
      <c r="D353" s="270">
        <f>IFERROR(__xludf.DUMMYFUNCTION("""COMPUTED_VALUE"""),8.95616687507E11)</f>
        <v>895616687507</v>
      </c>
      <c r="E353" s="457">
        <f>IFERROR(__xludf.DUMMYFUNCTION("""COMPUTED_VALUE"""),0.0)</f>
        <v>0</v>
      </c>
      <c r="F353" s="270">
        <f>IFERROR(__xludf.DUMMYFUNCTION("""COMPUTED_VALUE"""),4.0)</f>
        <v>4</v>
      </c>
      <c r="G353" s="17" t="str">
        <f>IFERROR(__xludf.DUMMYFUNCTION("""COMPUTED_VALUE"""),"Sabun batang 1 Box ( 2 PCS )")</f>
        <v>Sabun batang 1 Box ( 2 PCS )</v>
      </c>
      <c r="H353" s="463" t="str">
        <f>IFERROR(__xludf.DUMMYFUNCTION("""COMPUTED_VALUE"""),"Sampai")</f>
        <v>Sampai</v>
      </c>
      <c r="I353" s="464" t="str">
        <f>IFERROR(__xludf.DUMMYFUNCTION("""COMPUTED_VALUE"""),"KIMME")</f>
        <v>KIMME</v>
      </c>
      <c r="J353" s="279" t="str">
        <f>IFERROR(__xludf.DUMMYFUNCTION("""COMPUTED_VALUE"""),"https://vt.tiktok.com/ZSH8UjU7S/")</f>
        <v>https://vt.tiktok.com/ZSH8UjU7S/</v>
      </c>
      <c r="K353" s="464" t="str">
        <f>IFERROR(__xludf.DUMMYFUNCTION("""COMPUTED_VALUE"""),"KIMME")</f>
        <v>KIMME</v>
      </c>
      <c r="L353" s="279" t="str">
        <f>IFERROR(__xludf.DUMMYFUNCTION("""COMPUTED_VALUE"""),"https://vt.tiktok.com/ZSHFAjdfR/")</f>
        <v>https://vt.tiktok.com/ZSHFAjdfR/</v>
      </c>
      <c r="M353" s="464" t="str">
        <f>IFERROR(__xludf.DUMMYFUNCTION("""COMPUTED_VALUE"""),"KIMME")</f>
        <v>KIMME</v>
      </c>
      <c r="N353" s="279" t="str">
        <f>IFERROR(__xludf.DUMMYFUNCTION("""COMPUTED_VALUE"""),"https://vt.tiktok.com/ZSHFANS6L/")</f>
        <v>https://vt.tiktok.com/ZSHFANS6L/</v>
      </c>
      <c r="O353" s="464"/>
      <c r="P353" s="17" t="str">
        <f>IFERROR(__xludf.DUMMYFUNCTION("""COMPUTED_VALUE"""),"⁠https://vt.tiktok.com/ZS9pMD9FX/")</f>
        <v>⁠https://vt.tiktok.com/ZS9pMD9FX/</v>
      </c>
    </row>
    <row r="354">
      <c r="A354" s="255" t="str">
        <f>IFERROR(__xludf.DUMMYFUNCTION("""COMPUTED_VALUE"""),"MICRO")</f>
        <v>MICRO</v>
      </c>
      <c r="B354" s="361" t="str">
        <f>IFERROR(__xludf.DUMMYFUNCTION("""COMPUTED_VALUE"""),"berakal_sempurna")</f>
        <v>berakal_sempurna</v>
      </c>
      <c r="C354" s="257" t="str">
        <f>IFERROR(__xludf.DUMMYFUNCTION("""COMPUTED_VALUE"""),"https://www.tiktok.com/@berakal_sempurna")</f>
        <v>https://www.tiktok.com/@berakal_sempurna</v>
      </c>
      <c r="D354" s="270">
        <f>IFERROR(__xludf.DUMMYFUNCTION("""COMPUTED_VALUE"""),8.2312418054E10)</f>
        <v>82312418054</v>
      </c>
      <c r="E354" s="457">
        <f>IFERROR(__xludf.DUMMYFUNCTION("""COMPUTED_VALUE"""),0.0)</f>
        <v>0</v>
      </c>
      <c r="F354" s="270">
        <f>IFERROR(__xludf.DUMMYFUNCTION("""COMPUTED_VALUE"""),4.0)</f>
        <v>4</v>
      </c>
      <c r="G354" s="17" t="str">
        <f>IFERROR(__xludf.DUMMYFUNCTION("""COMPUTED_VALUE"""),"Sabun batang 1 Box ( 2 PCS )")</f>
        <v>Sabun batang 1 Box ( 2 PCS )</v>
      </c>
      <c r="H354" s="463" t="str">
        <f>IFERROR(__xludf.DUMMYFUNCTION("""COMPUTED_VALUE"""),"Sampai")</f>
        <v>Sampai</v>
      </c>
      <c r="I354" s="464" t="str">
        <f>IFERROR(__xludf.DUMMYFUNCTION("""COMPUTED_VALUE"""),"KIMME")</f>
        <v>KIMME</v>
      </c>
      <c r="J354" s="17" t="str">
        <f>IFERROR(__xludf.DUMMYFUNCTION("""COMPUTED_VALUE"""),"⁠https://vt.tiktok.com/ZS9pMTGmP/")</f>
        <v>⁠https://vt.tiktok.com/ZS9pMTGmP/</v>
      </c>
      <c r="K354" s="464" t="str">
        <f>IFERROR(__xludf.DUMMYFUNCTION("""COMPUTED_VALUE"""),"KIMME")</f>
        <v>KIMME</v>
      </c>
      <c r="L354" s="17" t="str">
        <f>IFERROR(__xludf.DUMMYFUNCTION("""COMPUTED_VALUE"""),"⁠https://vt.tiktok.com/ZS9pM5KNP/")</f>
        <v>⁠https://vt.tiktok.com/ZS9pM5KNP/</v>
      </c>
      <c r="M354" s="464" t="str">
        <f>IFERROR(__xludf.DUMMYFUNCTION("""COMPUTED_VALUE"""),"KIMME")</f>
        <v>KIMME</v>
      </c>
      <c r="N354" s="17" t="str">
        <f>IFERROR(__xludf.DUMMYFUNCTION("""COMPUTED_VALUE"""),"⁠https://vt.tiktok.com/ZS9pMkYWp/")</f>
        <v>⁠https://vt.tiktok.com/ZS9pMkYWp/</v>
      </c>
      <c r="O354" s="464" t="str">
        <f>IFERROR(__xludf.DUMMYFUNCTION("""COMPUTED_VALUE"""),"KIMME")</f>
        <v>KIMME</v>
      </c>
      <c r="P354" s="17" t="str">
        <f>IFERROR(__xludf.DUMMYFUNCTION("""COMPUTED_VALUE"""),"⁠https://vt.tiktok.com/ZS9pMQ6o7/")</f>
        <v>⁠https://vt.tiktok.com/ZS9pMQ6o7/</v>
      </c>
    </row>
    <row r="355">
      <c r="A355" s="255" t="str">
        <f>IFERROR(__xludf.DUMMYFUNCTION("""COMPUTED_VALUE"""),"MICRO")</f>
        <v>MICRO</v>
      </c>
      <c r="B355" s="361" t="str">
        <f>IFERROR(__xludf.DUMMYFUNCTION("""COMPUTED_VALUE"""),"_ajibon")</f>
        <v>_ajibon</v>
      </c>
      <c r="C355" s="257" t="str">
        <f>IFERROR(__xludf.DUMMYFUNCTION("""COMPUTED_VALUE"""),"https://www.tiktok.com/@_ajibon")</f>
        <v>https://www.tiktok.com/@_ajibon</v>
      </c>
      <c r="D355" s="270">
        <f>IFERROR(__xludf.DUMMYFUNCTION("""COMPUTED_VALUE"""),8.9696963484E10)</f>
        <v>89696963484</v>
      </c>
      <c r="E355" s="457">
        <f>IFERROR(__xludf.DUMMYFUNCTION("""COMPUTED_VALUE"""),0.0)</f>
        <v>0</v>
      </c>
      <c r="F355" s="270">
        <f>IFERROR(__xludf.DUMMYFUNCTION("""COMPUTED_VALUE"""),4.0)</f>
        <v>4</v>
      </c>
      <c r="G355" s="17" t="str">
        <f>IFERROR(__xludf.DUMMYFUNCTION("""COMPUTED_VALUE"""),"Sabun batang 1 Box ( 2 PCS )")</f>
        <v>Sabun batang 1 Box ( 2 PCS )</v>
      </c>
      <c r="H355" s="463" t="str">
        <f>IFERROR(__xludf.DUMMYFUNCTION("""COMPUTED_VALUE"""),"Sampai")</f>
        <v>Sampai</v>
      </c>
      <c r="I355" s="464" t="str">
        <f>IFERROR(__xludf.DUMMYFUNCTION("""COMPUTED_VALUE"""),"KIMME")</f>
        <v>KIMME</v>
      </c>
      <c r="J355" s="279" t="str">
        <f>IFERROR(__xludf.DUMMYFUNCTION("""COMPUTED_VALUE"""),"https://www.tiktok.com/@_ajibon/video/7633479919841889556")</f>
        <v>https://www.tiktok.com/@_ajibon/video/7633479919841889556</v>
      </c>
      <c r="K355" s="464" t="str">
        <f>IFERROR(__xludf.DUMMYFUNCTION("""COMPUTED_VALUE"""),"KIMME")</f>
        <v>KIMME</v>
      </c>
      <c r="L355" s="279" t="str">
        <f>IFERROR(__xludf.DUMMYFUNCTION("""COMPUTED_VALUE"""),"https://www.tiktok.com/@_ajibon/video/7633470174607232276")</f>
        <v>https://www.tiktok.com/@_ajibon/video/7633470174607232276</v>
      </c>
      <c r="M355" s="464"/>
      <c r="N355" s="279" t="str">
        <f>IFERROR(__xludf.DUMMYFUNCTION("""COMPUTED_VALUE"""),"https://www.tiktok.com/@_ajibon/video/7633469001099840788")</f>
        <v>https://www.tiktok.com/@_ajibon/video/7633469001099840788</v>
      </c>
      <c r="O355" s="464"/>
      <c r="P355" s="279" t="str">
        <f>IFERROR(__xludf.DUMMYFUNCTION("""COMPUTED_VALUE"""),"https://www.tiktok.com/@_ajibon/video/7633468621875957012")</f>
        <v>https://www.tiktok.com/@_ajibon/video/7633468621875957012</v>
      </c>
    </row>
    <row r="356">
      <c r="A356" s="255" t="str">
        <f>IFERROR(__xludf.DUMMYFUNCTION("""COMPUTED_VALUE"""),"MICRO")</f>
        <v>MICRO</v>
      </c>
      <c r="B356" s="361" t="str">
        <f>IFERROR(__xludf.DUMMYFUNCTION("""COMPUTED_VALUE"""),"meiliani168")</f>
        <v>meiliani168</v>
      </c>
      <c r="C356" s="257" t="str">
        <f>IFERROR(__xludf.DUMMYFUNCTION("""COMPUTED_VALUE"""),"https://www.tiktok.com/@meiliani168")</f>
        <v>https://www.tiktok.com/@meiliani168</v>
      </c>
      <c r="D356" s="270">
        <f>IFERROR(__xludf.DUMMYFUNCTION("""COMPUTED_VALUE"""),8.119744168E9)</f>
        <v>8119744168</v>
      </c>
      <c r="E356" s="457">
        <f>IFERROR(__xludf.DUMMYFUNCTION("""COMPUTED_VALUE"""),0.0)</f>
        <v>0</v>
      </c>
      <c r="F356" s="270">
        <f>IFERROR(__xludf.DUMMYFUNCTION("""COMPUTED_VALUE"""),4.0)</f>
        <v>4</v>
      </c>
      <c r="G356" s="17" t="str">
        <f>IFERROR(__xludf.DUMMYFUNCTION("""COMPUTED_VALUE"""),"Sabun batang 1 Box ( 2 PCS )")</f>
        <v>Sabun batang 1 Box ( 2 PCS )</v>
      </c>
      <c r="H356" s="463" t="str">
        <f>IFERROR(__xludf.DUMMYFUNCTION("""COMPUTED_VALUE"""),"Sampai")</f>
        <v>Sampai</v>
      </c>
      <c r="I356" s="464" t="str">
        <f>IFERROR(__xludf.DUMMYFUNCTION("""COMPUTED_VALUE"""),"KIMME")</f>
        <v>KIMME</v>
      </c>
      <c r="J356" s="17" t="str">
        <f>IFERROR(__xludf.DUMMYFUNCTION("""COMPUTED_VALUE"""),"⁠https://vt.tiktok.com/ZSHAmD91v/ ")</f>
        <v>⁠https://vt.tiktok.com/ZSHAmD91v/ </v>
      </c>
      <c r="K356" s="464" t="str">
        <f>IFERROR(__xludf.DUMMYFUNCTION("""COMPUTED_VALUE"""),"KIMME")</f>
        <v>KIMME</v>
      </c>
      <c r="L356" s="17" t="str">
        <f>IFERROR(__xludf.DUMMYFUNCTION("""COMPUTED_VALUE"""),"⁠https://vt.tiktok.com/ZSHAmkhGP/")</f>
        <v>⁠https://vt.tiktok.com/ZSHAmkhGP/</v>
      </c>
      <c r="M356" s="464" t="str">
        <f>IFERROR(__xludf.DUMMYFUNCTION("""COMPUTED_VALUE"""),"KIMME")</f>
        <v>KIMME</v>
      </c>
      <c r="N356" s="17" t="str">
        <f>IFERROR(__xludf.DUMMYFUNCTION("""COMPUTED_VALUE"""),"⁠https://vt.tiktok.com/ZSHAmDtA8/")</f>
        <v>⁠https://vt.tiktok.com/ZSHAmDtA8/</v>
      </c>
      <c r="O356" s="464" t="str">
        <f>IFERROR(__xludf.DUMMYFUNCTION("""COMPUTED_VALUE"""),"KIMME")</f>
        <v>KIMME</v>
      </c>
      <c r="P356" s="279" t="str">
        <f>IFERROR(__xludf.DUMMYFUNCTION("""COMPUTED_VALUE"""),"https://www.tiktok.com/@outfitce_/video/7624864850732436756?_r=1&amp;u_code=e0898kg4gbb4c7&amp;region=&amp;mid=7608156113497983765&amp;preview_pb=0&amp;sharer_language=&amp;_d=0&amp;ec_shared_reflux_dynamic_params=%7B%22placeholder_material_id%22%3A%227624864850732436756%22%2C%22pla"&amp;"ceholder_origin_cover%22%3A%22https%253A%252F%252Fp16-sign-sg.tiktokcdn.com%252Ftos-alisg-p-0037%252FoYY0Df8bEEfUQH74oCpgFBahQnRPATSEOBipFB~tplv-tiktokx-origin.jpeg%253Fdr%253D14572%2526refresh_token%253Db532ee73%2526x-expires%253D1807070400%2526x-signatu"&amp;"re%253DUjUCSI2skLr5jM20GOpw5dwzLmM%25253D%2526t%253D4d5b0474%2526ps%253D13740610%2526shp%253Dd05b14bd%2526shcp%253D34ff8df6%2526idc%253Dmy2%2526s%253DTIKTOK_AFFILIATE_VIRAL_VIDEO%22%2C%22placeholder_product_id%22%3A%221729427766722726591%22%2C%22placehold"&amp;"er_video_id%22%3A%227624864850732436756%22%7D&amp;ec_shared_reflux_scene=shop_tab_feed&amp;share_item_id=7624864850732436756&amp;source=h5_t")</f>
        <v>https://www.tiktok.com/@outfitce_/video/7624864850732436756?_r=1&amp;u_code=e0898kg4gbb4c7&amp;region=&amp;mid=7608156113497983765&amp;preview_pb=0&amp;sharer_language=&amp;_d=0&amp;ec_shared_reflux_dynamic_params=%7B%22placeholder_material_id%22%3A%227624864850732436756%22%2C%22placeholder_origin_cover%22%3A%22https%253A%252F%252Fp16-sign-sg.tiktokcdn.com%252Ftos-alisg-p-0037%252FoYY0Df8bEEfUQH74oCpgFBahQnRPATSEOBipFB~tplv-tiktokx-origin.jpeg%253Fdr%253D14572%2526refresh_token%253Db532ee73%2526x-expires%253D1807070400%2526x-signature%253DUjUCSI2skLr5jM20GOpw5dwzLmM%25253D%2526t%253D4d5b0474%2526ps%253D13740610%2526shp%253Dd05b14bd%2526shcp%253D34ff8df6%2526idc%253Dmy2%2526s%253DTIKTOK_AFFILIATE_VIRAL_VIDEO%22%2C%22placeholder_product_id%22%3A%221729427766722726591%22%2C%22placeholder_video_id%22%3A%227624864850732436756%22%7D&amp;ec_shared_reflux_scene=shop_tab_feed&amp;share_item_id=7624864850732436756&amp;source=h5_t</v>
      </c>
    </row>
    <row r="357">
      <c r="A357" s="255" t="str">
        <f>IFERROR(__xludf.DUMMYFUNCTION("""COMPUTED_VALUE"""),"MICRO")</f>
        <v>MICRO</v>
      </c>
      <c r="B357" s="361" t="str">
        <f>IFERROR(__xludf.DUMMYFUNCTION("""COMPUTED_VALUE"""),"husnullchm")</f>
        <v>husnullchm</v>
      </c>
      <c r="C357" s="257" t="str">
        <f>IFERROR(__xludf.DUMMYFUNCTION("""COMPUTED_VALUE"""),"https://www.tiktok.com/@husnullchm")</f>
        <v>https://www.tiktok.com/@husnullchm</v>
      </c>
      <c r="D357" s="270">
        <f>IFERROR(__xludf.DUMMYFUNCTION("""COMPUTED_VALUE"""),8.5342150108E10)</f>
        <v>85342150108</v>
      </c>
      <c r="E357" s="457">
        <f>IFERROR(__xludf.DUMMYFUNCTION("""COMPUTED_VALUE"""),0.0)</f>
        <v>0</v>
      </c>
      <c r="F357" s="270">
        <f>IFERROR(__xludf.DUMMYFUNCTION("""COMPUTED_VALUE"""),4.0)</f>
        <v>4</v>
      </c>
      <c r="G357" s="17" t="str">
        <f>IFERROR(__xludf.DUMMYFUNCTION("""COMPUTED_VALUE"""),"Sabun batang 1 Box ( 2 PCS )")</f>
        <v>Sabun batang 1 Box ( 2 PCS )</v>
      </c>
      <c r="H357" s="463" t="str">
        <f>IFERROR(__xludf.DUMMYFUNCTION("""COMPUTED_VALUE"""),"Sampai")</f>
        <v>Sampai</v>
      </c>
      <c r="I357" s="464" t="str">
        <f>IFERROR(__xludf.DUMMYFUNCTION("""COMPUTED_VALUE"""),"KIMME")</f>
        <v>KIMME</v>
      </c>
      <c r="J357" s="279" t="str">
        <f>IFERROR(__xludf.DUMMYFUNCTION("""COMPUTED_VALUE"""),"https://vt.tiktok.com/ZSHnVPE7h/")</f>
        <v>https://vt.tiktok.com/ZSHnVPE7h/</v>
      </c>
      <c r="K357" s="464" t="str">
        <f>IFERROR(__xludf.DUMMYFUNCTION("""COMPUTED_VALUE"""),"KIMME")</f>
        <v>KIMME</v>
      </c>
      <c r="L357" s="279" t="str">
        <f>IFERROR(__xludf.DUMMYFUNCTION("""COMPUTED_VALUE"""),"https://www.tiktok.com/@harumrice/video/7614070157400476949?_r=1&amp;_t=ZS-969xoIa07zV")</f>
        <v>https://www.tiktok.com/@harumrice/video/7614070157400476949?_r=1&amp;_t=ZS-969xoIa07zV</v>
      </c>
      <c r="M357" s="464" t="str">
        <f>IFERROR(__xludf.DUMMYFUNCTION("""COMPUTED_VALUE"""),"KIMME")</f>
        <v>KIMME</v>
      </c>
      <c r="N357" s="279" t="str">
        <f>IFERROR(__xludf.DUMMYFUNCTION("""COMPUTED_VALUE"""),"https://www.tiktok.com/@harumrice/video/7614278882228849940?_r=1&amp;_t=ZS-969xoIa07zV")</f>
        <v>https://www.tiktok.com/@harumrice/video/7614278882228849940?_r=1&amp;_t=ZS-969xoIa07zV</v>
      </c>
      <c r="O357" s="464" t="str">
        <f>IFERROR(__xludf.DUMMYFUNCTION("""COMPUTED_VALUE"""),"KIMME")</f>
        <v>KIMME</v>
      </c>
      <c r="P357" s="17" t="str">
        <f>IFERROR(__xludf.DUMMYFUNCTION("""COMPUTED_VALUE"""),"⁠https://vt.tiktok.com/ZS9GdfseQ/")</f>
        <v>⁠https://vt.tiktok.com/ZS9GdfseQ/</v>
      </c>
    </row>
    <row r="358">
      <c r="A358" s="255" t="str">
        <f>IFERROR(__xludf.DUMMYFUNCTION("""COMPUTED_VALUE"""),"MICRO")</f>
        <v>MICRO</v>
      </c>
      <c r="B358" s="361" t="str">
        <f>IFERROR(__xludf.DUMMYFUNCTION("""COMPUTED_VALUE"""),"ledia.beauty23
")</f>
        <v>ledia.beauty23
</v>
      </c>
      <c r="C358" s="257" t="str">
        <f>IFERROR(__xludf.DUMMYFUNCTION("""COMPUTED_VALUE"""),"https://www.tiktok.com/@ledia.beauty23
")</f>
        <v>https://www.tiktok.com/@ledia.beauty23
</v>
      </c>
      <c r="D358" s="270">
        <f>IFERROR(__xludf.DUMMYFUNCTION("""COMPUTED_VALUE"""),8.2258325496E10)</f>
        <v>82258325496</v>
      </c>
      <c r="E358" s="457">
        <f>IFERROR(__xludf.DUMMYFUNCTION("""COMPUTED_VALUE"""),350000.0)</f>
        <v>350000</v>
      </c>
      <c r="F358" s="270">
        <f>IFERROR(__xludf.DUMMYFUNCTION("""COMPUTED_VALUE"""),4.0)</f>
        <v>4</v>
      </c>
      <c r="G358" s="17" t="str">
        <f>IFERROR(__xludf.DUMMYFUNCTION("""COMPUTED_VALUE"""),"Sabun batang 1 Box ( 2 PCS )")</f>
        <v>Sabun batang 1 Box ( 2 PCS )</v>
      </c>
      <c r="H358" s="463" t="str">
        <f>IFERROR(__xludf.DUMMYFUNCTION("""COMPUTED_VALUE"""),"Sampai")</f>
        <v>Sampai</v>
      </c>
      <c r="I358" s="464" t="str">
        <f>IFERROR(__xludf.DUMMYFUNCTION("""COMPUTED_VALUE"""),"KIMME")</f>
        <v>KIMME</v>
      </c>
      <c r="J358" s="279" t="str">
        <f>IFERROR(__xludf.DUMMYFUNCTION("""COMPUTED_VALUE"""),"https://vt.tiktok.com/ZSHHMTQTW/")</f>
        <v>https://vt.tiktok.com/ZSHHMTQTW/</v>
      </c>
      <c r="K358" s="464" t="str">
        <f>IFERROR(__xludf.DUMMYFUNCTION("""COMPUTED_VALUE"""),"KIMME")</f>
        <v>KIMME</v>
      </c>
      <c r="L358" s="279" t="str">
        <f>IFERROR(__xludf.DUMMYFUNCTION("""COMPUTED_VALUE"""),"https://vt.tiktok.com/ZSHX3WJaj/")</f>
        <v>https://vt.tiktok.com/ZSHX3WJaj/</v>
      </c>
      <c r="M358" s="464" t="str">
        <f>IFERROR(__xludf.DUMMYFUNCTION("""COMPUTED_VALUE"""),"KIMME")</f>
        <v>KIMME</v>
      </c>
      <c r="N358" s="279" t="str">
        <f>IFERROR(__xludf.DUMMYFUNCTION("""COMPUTED_VALUE"""),"https://vt.tiktok.com/ZSHX374kD/")</f>
        <v>https://vt.tiktok.com/ZSHX374kD/</v>
      </c>
      <c r="O358" s="464" t="str">
        <f>IFERROR(__xludf.DUMMYFUNCTION("""COMPUTED_VALUE"""),"KIMME")</f>
        <v>KIMME</v>
      </c>
      <c r="P358" s="279" t="str">
        <f>IFERROR(__xludf.DUMMYFUNCTION("""COMPUTED_VALUE"""),"https://www.tiktok.com/@ledia.beauty23/video/7626689039063584021")</f>
        <v>https://www.tiktok.com/@ledia.beauty23/video/7626689039063584021</v>
      </c>
    </row>
    <row r="359">
      <c r="A359" s="255" t="str">
        <f>IFERROR(__xludf.DUMMYFUNCTION("""COMPUTED_VALUE"""),"MICRO")</f>
        <v>MICRO</v>
      </c>
      <c r="B359" s="361" t="str">
        <f>IFERROR(__xludf.DUMMYFUNCTION("""COMPUTED_VALUE"""),"mepta_jasmine2")</f>
        <v>mepta_jasmine2</v>
      </c>
      <c r="C359" s="257" t="str">
        <f>IFERROR(__xludf.DUMMYFUNCTION("""COMPUTED_VALUE"""),"https://www.tiktok.com/@mepta_jasmine2")</f>
        <v>https://www.tiktok.com/@mepta_jasmine2</v>
      </c>
      <c r="D359" s="270">
        <f>IFERROR(__xludf.DUMMYFUNCTION("""COMPUTED_VALUE"""),8.1336488886E10)</f>
        <v>81336488886</v>
      </c>
      <c r="E359" s="457">
        <f>IFERROR(__xludf.DUMMYFUNCTION("""COMPUTED_VALUE"""),0.0)</f>
        <v>0</v>
      </c>
      <c r="F359" s="270">
        <f>IFERROR(__xludf.DUMMYFUNCTION("""COMPUTED_VALUE"""),2.0)</f>
        <v>2</v>
      </c>
      <c r="G359" s="17" t="str">
        <f>IFERROR(__xludf.DUMMYFUNCTION("""COMPUTED_VALUE"""),"Sabun batang 1 Box ( 2 PCS )")</f>
        <v>Sabun batang 1 Box ( 2 PCS )</v>
      </c>
      <c r="H359" s="463" t="str">
        <f>IFERROR(__xludf.DUMMYFUNCTION("""COMPUTED_VALUE"""),"Sampai")</f>
        <v>Sampai</v>
      </c>
      <c r="I359" s="464" t="str">
        <f>IFERROR(__xludf.DUMMYFUNCTION("""COMPUTED_VALUE"""),"KIMME")</f>
        <v>KIMME</v>
      </c>
      <c r="J359" s="279" t="str">
        <f>IFERROR(__xludf.DUMMYFUNCTION("""COMPUTED_VALUE"""),"https://vt.tiktok.com/ZSuwQctcB/")</f>
        <v>https://vt.tiktok.com/ZSuwQctcB/</v>
      </c>
      <c r="K359" s="464" t="str">
        <f>IFERROR(__xludf.DUMMYFUNCTION("""COMPUTED_VALUE"""),"KIMME")</f>
        <v>KIMME</v>
      </c>
      <c r="L359" s="279" t="str">
        <f>IFERROR(__xludf.DUMMYFUNCTION("""COMPUTED_VALUE"""),"https://vt.tiktok.com/ZSuwCrTPX/")</f>
        <v>https://vt.tiktok.com/ZSuwCrTPX/</v>
      </c>
      <c r="M359" s="464"/>
      <c r="N359" s="279" t="str">
        <f>IFERROR(__xludf.DUMMYFUNCTION("""COMPUTED_VALUE"""),"https://vt.tiktok.com/ZS9WMPxTX/")</f>
        <v>https://vt.tiktok.com/ZS9WMPxTX/</v>
      </c>
      <c r="O359" s="464"/>
      <c r="P359" s="279" t="str">
        <f>IFERROR(__xludf.DUMMYFUNCTION("""COMPUTED_VALUE"""),"https://vt.tiktok.com/ZS9WMxxTJ/")</f>
        <v>https://vt.tiktok.com/ZS9WMxxTJ/</v>
      </c>
    </row>
    <row r="360">
      <c r="A360" s="255" t="str">
        <f>IFERROR(__xludf.DUMMYFUNCTION("""COMPUTED_VALUE"""),"MICRO")</f>
        <v>MICRO</v>
      </c>
      <c r="B360" s="361" t="str">
        <f>IFERROR(__xludf.DUMMYFUNCTION("""COMPUTED_VALUE"""),"meptajasmine1")</f>
        <v>meptajasmine1</v>
      </c>
      <c r="C360" s="257" t="str">
        <f>IFERROR(__xludf.DUMMYFUNCTION("""COMPUTED_VALUE"""),"https://www.tiktok.com/@meptajasmine1")</f>
        <v>https://www.tiktok.com/@meptajasmine1</v>
      </c>
      <c r="D360" s="270">
        <f>IFERROR(__xludf.DUMMYFUNCTION("""COMPUTED_VALUE"""),8.1336488886E10)</f>
        <v>81336488886</v>
      </c>
      <c r="E360" s="457">
        <f>IFERROR(__xludf.DUMMYFUNCTION("""COMPUTED_VALUE"""),0.0)</f>
        <v>0</v>
      </c>
      <c r="F360" s="270">
        <f>IFERROR(__xludf.DUMMYFUNCTION("""COMPUTED_VALUE"""),2.0)</f>
        <v>2</v>
      </c>
      <c r="G360" s="17" t="str">
        <f>IFERROR(__xludf.DUMMYFUNCTION("""COMPUTED_VALUE"""),"Sabun batang 1 Box ( 2 PCS )")</f>
        <v>Sabun batang 1 Box ( 2 PCS )</v>
      </c>
      <c r="H360" s="463" t="str">
        <f>IFERROR(__xludf.DUMMYFUNCTION("""COMPUTED_VALUE"""),"Sampai")</f>
        <v>Sampai</v>
      </c>
      <c r="I360" s="464" t="str">
        <f>IFERROR(__xludf.DUMMYFUNCTION("""COMPUTED_VALUE"""),"KIMME")</f>
        <v>KIMME</v>
      </c>
      <c r="J360" s="279" t="str">
        <f>IFERROR(__xludf.DUMMYFUNCTION("""COMPUTED_VALUE"""),"https://vt.tiktok.com/ZSuwChamg/")</f>
        <v>https://vt.tiktok.com/ZSuwChamg/</v>
      </c>
      <c r="K360" s="464" t="str">
        <f>IFERROR(__xludf.DUMMYFUNCTION("""COMPUTED_VALUE"""),"KIMME")</f>
        <v>KIMME</v>
      </c>
      <c r="L360" s="279" t="str">
        <f>IFERROR(__xludf.DUMMYFUNCTION("""COMPUTED_VALUE"""),"https://vt.tiktok.com/ZSHprMoye/")</f>
        <v>https://vt.tiktok.com/ZSHprMoye/</v>
      </c>
      <c r="M360" s="464"/>
      <c r="N360" s="279" t="str">
        <f>IFERROR(__xludf.DUMMYFUNCTION("""COMPUTED_VALUE"""),"https://vt.tiktok.com/ZS9WMDNke/")</f>
        <v>https://vt.tiktok.com/ZS9WMDNke/</v>
      </c>
      <c r="O360" s="464"/>
      <c r="P360" s="279" t="str">
        <f>IFERROR(__xludf.DUMMYFUNCTION("""COMPUTED_VALUE"""),"https://vt.tiktok.com/ZS9WMpPWa/")</f>
        <v>https://vt.tiktok.com/ZS9WMpPWa/</v>
      </c>
    </row>
    <row r="361">
      <c r="A361" s="255" t="str">
        <f>IFERROR(__xludf.DUMMYFUNCTION("""COMPUTED_VALUE"""),"MACRO")</f>
        <v>MACRO</v>
      </c>
      <c r="B361" s="361" t="str">
        <f>IFERROR(__xludf.DUMMYFUNCTION("""COMPUTED_VALUE"""),"rahma_sya0321
")</f>
        <v>rahma_sya0321
</v>
      </c>
      <c r="C361" s="257" t="str">
        <f>IFERROR(__xludf.DUMMYFUNCTION("""COMPUTED_VALUE"""),"https://www.tiktok.com/@rahma_sya0321
")</f>
        <v>https://www.tiktok.com/@rahma_sya0321
</v>
      </c>
      <c r="D361" s="270">
        <f>IFERROR(__xludf.DUMMYFUNCTION("""COMPUTED_VALUE"""),8.5960229883E10)</f>
        <v>85960229883</v>
      </c>
      <c r="E361" s="457">
        <f>IFERROR(__xludf.DUMMYFUNCTION("""COMPUTED_VALUE"""),0.0)</f>
        <v>0</v>
      </c>
      <c r="F361" s="270">
        <f>IFERROR(__xludf.DUMMYFUNCTION("""COMPUTED_VALUE"""),1.0)</f>
        <v>1</v>
      </c>
      <c r="G361" s="17" t="str">
        <f>IFERROR(__xludf.DUMMYFUNCTION("""COMPUTED_VALUE"""),"Sabun batang 1 Box ( 2 PCS )")</f>
        <v>Sabun batang 1 Box ( 2 PCS )</v>
      </c>
      <c r="H361" s="463" t="str">
        <f>IFERROR(__xludf.DUMMYFUNCTION("""COMPUTED_VALUE"""),"Sampai")</f>
        <v>Sampai</v>
      </c>
      <c r="I361" s="464" t="str">
        <f>IFERROR(__xludf.DUMMYFUNCTION("""COMPUTED_VALUE"""),"KIMME")</f>
        <v>KIMME</v>
      </c>
      <c r="J361" s="17" t="str">
        <f>IFERROR(__xludf.DUMMYFUNCTION("""COMPUTED_VALUE"""),"⁠https://vt.tiktok.com/ZSHAmrjQm/")</f>
        <v>⁠https://vt.tiktok.com/ZSHAmrjQm/</v>
      </c>
      <c r="K361" s="464" t="str">
        <f>IFERROR(__xludf.DUMMYFUNCTION("""COMPUTED_VALUE"""),"KIMME")</f>
        <v>KIMME</v>
      </c>
      <c r="L361" s="279" t="str">
        <f>IFERROR(__xludf.DUMMYFUNCTION("""COMPUTED_VALUE"""),"https://vt.tiktok.com/ZSxQtAx3S/")</f>
        <v>https://vt.tiktok.com/ZSxQtAx3S/</v>
      </c>
      <c r="M361" s="464"/>
      <c r="N361" s="17"/>
      <c r="O361" s="464"/>
      <c r="P361" s="17"/>
    </row>
    <row r="362">
      <c r="A362" s="255" t="str">
        <f>IFERROR(__xludf.DUMMYFUNCTION("""COMPUTED_VALUE"""),"MICRO")</f>
        <v>MICRO</v>
      </c>
      <c r="B362" s="361" t="str">
        <f>IFERROR(__xludf.DUMMYFUNCTION("""COMPUTED_VALUE"""),"ratnaharyono_")</f>
        <v>ratnaharyono_</v>
      </c>
      <c r="C362" s="257" t="str">
        <f>IFERROR(__xludf.DUMMYFUNCTION("""COMPUTED_VALUE"""),"https://www.tiktok.com/@ratnaharyono_")</f>
        <v>https://www.tiktok.com/@ratnaharyono_</v>
      </c>
      <c r="D362" s="270">
        <f>IFERROR(__xludf.DUMMYFUNCTION("""COMPUTED_VALUE"""),8.5779254322E10)</f>
        <v>85779254322</v>
      </c>
      <c r="E362" s="457">
        <f>IFERROR(__xludf.DUMMYFUNCTION("""COMPUTED_VALUE"""),0.0)</f>
        <v>0</v>
      </c>
      <c r="F362" s="270">
        <f>IFERROR(__xludf.DUMMYFUNCTION("""COMPUTED_VALUE"""),1.0)</f>
        <v>1</v>
      </c>
      <c r="G362" s="17" t="str">
        <f>IFERROR(__xludf.DUMMYFUNCTION("""COMPUTED_VALUE"""),"Sabun batang 1 Box ( 2 PCS )")</f>
        <v>Sabun batang 1 Box ( 2 PCS )</v>
      </c>
      <c r="H362" s="463" t="str">
        <f>IFERROR(__xludf.DUMMYFUNCTION("""COMPUTED_VALUE"""),"Sampai")</f>
        <v>Sampai</v>
      </c>
      <c r="I362" s="464" t="str">
        <f>IFERROR(__xludf.DUMMYFUNCTION("""COMPUTED_VALUE"""),"KIMME")</f>
        <v>KIMME</v>
      </c>
      <c r="J362" s="17" t="str">
        <f>IFERROR(__xludf.DUMMYFUNCTION("""COMPUTED_VALUE"""),"⁠https://vt.tiktok.com/ZSHAmxJMf/")</f>
        <v>⁠https://vt.tiktok.com/ZSHAmxJMf/</v>
      </c>
      <c r="K362" s="464" t="str">
        <f>IFERROR(__xludf.DUMMYFUNCTION("""COMPUTED_VALUE"""),"KIMME")</f>
        <v>KIMME</v>
      </c>
      <c r="L362" s="279" t="str">
        <f>IFERROR(__xludf.DUMMYFUNCTION("""COMPUTED_VALUE"""),"https://vt.tiktok.com/ZS9WMAgsk/")</f>
        <v>https://vt.tiktok.com/ZS9WMAgsk/</v>
      </c>
      <c r="M362" s="464"/>
      <c r="N362" s="279" t="str">
        <f>IFERROR(__xludf.DUMMYFUNCTION("""COMPUTED_VALUE"""),"https://vt.tiktok.com/ZS9WMACdD/")</f>
        <v>https://vt.tiktok.com/ZS9WMACdD/</v>
      </c>
      <c r="O362" s="464"/>
      <c r="P362" s="279" t="str">
        <f>IFERROR(__xludf.DUMMYFUNCTION("""COMPUTED_VALUE"""),"https://vt.tiktok.com/ZS9WMPWu7/")</f>
        <v>https://vt.tiktok.com/ZS9WMPWu7/</v>
      </c>
    </row>
    <row r="363">
      <c r="A363" s="255" t="str">
        <f>IFERROR(__xludf.DUMMYFUNCTION("""COMPUTED_VALUE"""),"MICRO")</f>
        <v>MICRO</v>
      </c>
      <c r="B363" s="361" t="str">
        <f>IFERROR(__xludf.DUMMYFUNCTION("""COMPUTED_VALUE"""),"kakput10")</f>
        <v>kakput10</v>
      </c>
      <c r="C363" s="257" t="str">
        <f>IFERROR(__xludf.DUMMYFUNCTION("""COMPUTED_VALUE"""),"https://www.tiktok.com/@kakput10")</f>
        <v>https://www.tiktok.com/@kakput10</v>
      </c>
      <c r="D363" s="270">
        <f>IFERROR(__xludf.DUMMYFUNCTION("""COMPUTED_VALUE"""),8.558368881E9)</f>
        <v>8558368881</v>
      </c>
      <c r="E363" s="457">
        <f>IFERROR(__xludf.DUMMYFUNCTION("""COMPUTED_VALUE"""),0.0)</f>
        <v>0</v>
      </c>
      <c r="F363" s="270">
        <f>IFERROR(__xludf.DUMMYFUNCTION("""COMPUTED_VALUE"""),4.0)</f>
        <v>4</v>
      </c>
      <c r="G363" s="17" t="str">
        <f>IFERROR(__xludf.DUMMYFUNCTION("""COMPUTED_VALUE"""),"Sabun batang 1 Box ( 2 PCS )")</f>
        <v>Sabun batang 1 Box ( 2 PCS )</v>
      </c>
      <c r="H363" s="463" t="str">
        <f>IFERROR(__xludf.DUMMYFUNCTION("""COMPUTED_VALUE"""),"Sampai")</f>
        <v>Sampai</v>
      </c>
      <c r="I363" s="464" t="str">
        <f>IFERROR(__xludf.DUMMYFUNCTION("""COMPUTED_VALUE"""),"KIMME")</f>
        <v>KIMME</v>
      </c>
      <c r="J363" s="279" t="str">
        <f>IFERROR(__xludf.DUMMYFUNCTION("""COMPUTED_VALUE"""),"https://vt.tiktok.com/ZSHd5DdYd/")</f>
        <v>https://vt.tiktok.com/ZSHd5DdYd/</v>
      </c>
      <c r="K363" s="464" t="str">
        <f>IFERROR(__xludf.DUMMYFUNCTION("""COMPUTED_VALUE"""),"KIMME")</f>
        <v>KIMME</v>
      </c>
      <c r="L363" s="279" t="str">
        <f>IFERROR(__xludf.DUMMYFUNCTION("""COMPUTED_VALUE"""),"https://vt.tiktok.com/ZSHd5Uo9T/")</f>
        <v>https://vt.tiktok.com/ZSHd5Uo9T/</v>
      </c>
      <c r="M363" s="464" t="str">
        <f>IFERROR(__xludf.DUMMYFUNCTION("""COMPUTED_VALUE"""),"KIMME")</f>
        <v>KIMME</v>
      </c>
      <c r="N363" s="279" t="str">
        <f>IFERROR(__xludf.DUMMYFUNCTION("""COMPUTED_VALUE"""),"https://vt.tiktok.com/ZSH8mBvaS/")</f>
        <v>https://vt.tiktok.com/ZSH8mBvaS/</v>
      </c>
      <c r="O363" s="464" t="str">
        <f>IFERROR(__xludf.DUMMYFUNCTION("""COMPUTED_VALUE"""),"KIMME")</f>
        <v>KIMME</v>
      </c>
      <c r="P363" s="279" t="str">
        <f>IFERROR(__xludf.DUMMYFUNCTION("""COMPUTED_VALUE"""),"https://vt.tiktok.com/ZSH2L8tq1/")</f>
        <v>https://vt.tiktok.com/ZSH2L8tq1/</v>
      </c>
    </row>
    <row r="364">
      <c r="A364" s="255" t="str">
        <f>IFERROR(__xludf.DUMMYFUNCTION("""COMPUTED_VALUE"""),"MICRO")</f>
        <v>MICRO</v>
      </c>
      <c r="B364" s="361" t="str">
        <f>IFERROR(__xludf.DUMMYFUNCTION("""COMPUTED_VALUE"""),"callme_nadd")</f>
        <v>callme_nadd</v>
      </c>
      <c r="C364" s="257" t="str">
        <f>IFERROR(__xludf.DUMMYFUNCTION("""COMPUTED_VALUE"""),"https://www.tiktok.com/@callme_nadd")</f>
        <v>https://www.tiktok.com/@callme_nadd</v>
      </c>
      <c r="D364" s="270">
        <f>IFERROR(__xludf.DUMMYFUNCTION("""COMPUTED_VALUE"""),8.8706451882E10)</f>
        <v>88706451882</v>
      </c>
      <c r="E364" s="457">
        <f>IFERROR(__xludf.DUMMYFUNCTION("""COMPUTED_VALUE"""),50000.0)</f>
        <v>50000</v>
      </c>
      <c r="F364" s="270">
        <f>IFERROR(__xludf.DUMMYFUNCTION("""COMPUTED_VALUE"""),1.0)</f>
        <v>1</v>
      </c>
      <c r="G364" s="17" t="str">
        <f>IFERROR(__xludf.DUMMYFUNCTION("""COMPUTED_VALUE"""),"Sabun batang 1 Box ( 2 PCS )")</f>
        <v>Sabun batang 1 Box ( 2 PCS )</v>
      </c>
      <c r="H364" s="463" t="str">
        <f>IFERROR(__xludf.DUMMYFUNCTION("""COMPUTED_VALUE"""),"Sampai")</f>
        <v>Sampai</v>
      </c>
      <c r="I364" s="464" t="str">
        <f>IFERROR(__xludf.DUMMYFUNCTION("""COMPUTED_VALUE"""),"KIMME")</f>
        <v>KIMME</v>
      </c>
      <c r="J364" s="279" t="str">
        <f>IFERROR(__xludf.DUMMYFUNCTION("""COMPUTED_VALUE"""),"https://www.tiktok.com/@productskincare/video/7627704738330463506?is_from_webapp=1&amp;sender_device=pc")</f>
        <v>https://www.tiktok.com/@productskincare/video/7627704738330463506?is_from_webapp=1&amp;sender_device=pc</v>
      </c>
      <c r="K364" s="464" t="str">
        <f>IFERROR(__xludf.DUMMYFUNCTION("""COMPUTED_VALUE"""),"KIMME")</f>
        <v>KIMME</v>
      </c>
      <c r="L364" s="279" t="str">
        <f>IFERROR(__xludf.DUMMYFUNCTION("""COMPUTED_VALUE"""),"https://vt.tiktok.com/ZS9WMAtgc/")</f>
        <v>https://vt.tiktok.com/ZS9WMAtgc/</v>
      </c>
      <c r="M364" s="464"/>
      <c r="N364" s="279" t="str">
        <f>IFERROR(__xludf.DUMMYFUNCTION("""COMPUTED_VALUE"""),"https://vt.tiktok.com/ZS9WMQntP/")</f>
        <v>https://vt.tiktok.com/ZS9WMQntP/</v>
      </c>
      <c r="O364" s="464"/>
      <c r="P364" s="279" t="str">
        <f>IFERROR(__xludf.DUMMYFUNCTION("""COMPUTED_VALUE"""),"https://vt.tiktok.com/ZS9WMDuyN/")</f>
        <v>https://vt.tiktok.com/ZS9WMDuyN/</v>
      </c>
    </row>
    <row r="365">
      <c r="A365" s="255" t="str">
        <f>IFERROR(__xludf.DUMMYFUNCTION("""COMPUTED_VALUE"""),"MACRO")</f>
        <v>MACRO</v>
      </c>
      <c r="B365" s="361" t="str">
        <f>IFERROR(__xludf.DUMMYFUNCTION("""COMPUTED_VALUE"""),"angguni.wulandari")</f>
        <v>angguni.wulandari</v>
      </c>
      <c r="C365" s="257" t="str">
        <f>IFERROR(__xludf.DUMMYFUNCTION("""COMPUTED_VALUE"""),"https://www.tiktok.com/@angguni.wulandari")</f>
        <v>https://www.tiktok.com/@angguni.wulandari</v>
      </c>
      <c r="D365" s="270">
        <f>IFERROR(__xludf.DUMMYFUNCTION("""COMPUTED_VALUE"""),8.95361872277E11)</f>
        <v>895361872277</v>
      </c>
      <c r="E365" s="457">
        <f>IFERROR(__xludf.DUMMYFUNCTION("""COMPUTED_VALUE"""),250000.0)</f>
        <v>250000</v>
      </c>
      <c r="F365" s="270">
        <f>IFERROR(__xludf.DUMMYFUNCTION("""COMPUTED_VALUE"""),1.0)</f>
        <v>1</v>
      </c>
      <c r="G365" s="17" t="str">
        <f>IFERROR(__xludf.DUMMYFUNCTION("""COMPUTED_VALUE"""),"Sabun batang 1 Box ( 2 PCS )")</f>
        <v>Sabun batang 1 Box ( 2 PCS )</v>
      </c>
      <c r="H365" s="463" t="str">
        <f>IFERROR(__xludf.DUMMYFUNCTION("""COMPUTED_VALUE"""),"Sampai")</f>
        <v>Sampai</v>
      </c>
      <c r="I365" s="464" t="str">
        <f>IFERROR(__xludf.DUMMYFUNCTION("""COMPUTED_VALUE"""),"KIMME")</f>
        <v>KIMME</v>
      </c>
      <c r="J365" s="279" t="str">
        <f>IFERROR(__xludf.DUMMYFUNCTION("""COMPUTED_VALUE"""),"https://vt.tiktok.com/ZSHaSGvx5/")</f>
        <v>https://vt.tiktok.com/ZSHaSGvx5/</v>
      </c>
      <c r="K365" s="464" t="str">
        <f>IFERROR(__xludf.DUMMYFUNCTION("""COMPUTED_VALUE"""),"KIMME")</f>
        <v>KIMME</v>
      </c>
      <c r="L365" s="17" t="str">
        <f>IFERROR(__xludf.DUMMYFUNCTION("""COMPUTED_VALUE"""),"⁠⁠https://vt.tiktok.com/ZSxXJLWh9/")</f>
        <v>⁠⁠https://vt.tiktok.com/ZSxXJLWh9/</v>
      </c>
      <c r="M365" s="464"/>
      <c r="N365" s="17"/>
      <c r="O365" s="464"/>
      <c r="P365" s="17"/>
    </row>
    <row r="366">
      <c r="A366" s="255" t="str">
        <f>IFERROR(__xludf.DUMMYFUNCTION("""COMPUTED_VALUE"""),"MACRO")</f>
        <v>MACRO</v>
      </c>
      <c r="B366" s="361" t="str">
        <f>IFERROR(__xludf.DUMMYFUNCTION("""COMPUTED_VALUE"""),"tiarasabirin6")</f>
        <v>tiarasabirin6</v>
      </c>
      <c r="C366" s="257" t="str">
        <f>IFERROR(__xludf.DUMMYFUNCTION("""COMPUTED_VALUE"""),"https://www.tiktok.com/@tiarasabirin6")</f>
        <v>https://www.tiktok.com/@tiarasabirin6</v>
      </c>
      <c r="D366" s="270">
        <f>IFERROR(__xludf.DUMMYFUNCTION("""COMPUTED_VALUE"""),8.811411455E9)</f>
        <v>8811411455</v>
      </c>
      <c r="E366" s="457">
        <f>IFERROR(__xludf.DUMMYFUNCTION("""COMPUTED_VALUE"""),350000.0)</f>
        <v>350000</v>
      </c>
      <c r="F366" s="270">
        <f>IFERROR(__xludf.DUMMYFUNCTION("""COMPUTED_VALUE"""),1.0)</f>
        <v>1</v>
      </c>
      <c r="G366" s="17" t="str">
        <f>IFERROR(__xludf.DUMMYFUNCTION("""COMPUTED_VALUE"""),"Sabun batang 1 Box ( 2 PCS )")</f>
        <v>Sabun batang 1 Box ( 2 PCS )</v>
      </c>
      <c r="H366" s="463" t="str">
        <f>IFERROR(__xludf.DUMMYFUNCTION("""COMPUTED_VALUE"""),"Sampai")</f>
        <v>Sampai</v>
      </c>
      <c r="I366" s="464" t="str">
        <f>IFERROR(__xludf.DUMMYFUNCTION("""COMPUTED_VALUE"""),"KIMME")</f>
        <v>KIMME</v>
      </c>
      <c r="J366" s="279" t="str">
        <f>IFERROR(__xludf.DUMMYFUNCTION("""COMPUTED_VALUE"""),"https://vt.tiktok.com/ZSHanfTR9/")</f>
        <v>https://vt.tiktok.com/ZSHanfTR9/</v>
      </c>
      <c r="K366" s="464" t="str">
        <f>IFERROR(__xludf.DUMMYFUNCTION("""COMPUTED_VALUE"""),"KIMME")</f>
        <v>KIMME</v>
      </c>
      <c r="L366" s="279" t="str">
        <f>IFERROR(__xludf.DUMMYFUNCTION("""COMPUTED_VALUE"""),"https://vt.tiktok.com/ZSxQtaNCW/")</f>
        <v>https://vt.tiktok.com/ZSxQtaNCW/</v>
      </c>
      <c r="M366" s="464"/>
      <c r="N366" s="17"/>
      <c r="O366" s="464"/>
      <c r="P366" s="17"/>
    </row>
    <row r="367">
      <c r="A367" s="255" t="str">
        <f>IFERROR(__xludf.DUMMYFUNCTION("""COMPUTED_VALUE"""),"MACRO")</f>
        <v>MACRO</v>
      </c>
      <c r="B367" s="361" t="str">
        <f>IFERROR(__xludf.DUMMYFUNCTION("""COMPUTED_VALUE"""),"lohshindy")</f>
        <v>lohshindy</v>
      </c>
      <c r="C367" s="257" t="str">
        <f>IFERROR(__xludf.DUMMYFUNCTION("""COMPUTED_VALUE"""),"https://www.tiktok.com/@lohshindy")</f>
        <v>https://www.tiktok.com/@lohshindy</v>
      </c>
      <c r="D367" s="270">
        <f>IFERROR(__xludf.DUMMYFUNCTION("""COMPUTED_VALUE"""),8.5379984121E10)</f>
        <v>85379984121</v>
      </c>
      <c r="E367" s="457">
        <f>IFERROR(__xludf.DUMMYFUNCTION("""COMPUTED_VALUE"""),250000.0)</f>
        <v>250000</v>
      </c>
      <c r="F367" s="270">
        <f>IFERROR(__xludf.DUMMYFUNCTION("""COMPUTED_VALUE"""),1.0)</f>
        <v>1</v>
      </c>
      <c r="G367" s="17" t="str">
        <f>IFERROR(__xludf.DUMMYFUNCTION("""COMPUTED_VALUE"""),"Sabun batang 1 Box ( 2 PCS )")</f>
        <v>Sabun batang 1 Box ( 2 PCS )</v>
      </c>
      <c r="H367" s="463" t="str">
        <f>IFERROR(__xludf.DUMMYFUNCTION("""COMPUTED_VALUE"""),"Sampai")</f>
        <v>Sampai</v>
      </c>
      <c r="I367" s="464" t="str">
        <f>IFERROR(__xludf.DUMMYFUNCTION("""COMPUTED_VALUE"""),"KIMME")</f>
        <v>KIMME</v>
      </c>
      <c r="J367" s="279" t="str">
        <f>IFERROR(__xludf.DUMMYFUNCTION("""COMPUTED_VALUE"""),"https://vt.tiktok.com/ZSH2sEc8r/")</f>
        <v>https://vt.tiktok.com/ZSH2sEc8r/</v>
      </c>
      <c r="K367" s="464" t="str">
        <f>IFERROR(__xludf.DUMMYFUNCTION("""COMPUTED_VALUE"""),"KIMME")</f>
        <v>KIMME</v>
      </c>
      <c r="L367" s="279" t="str">
        <f>IFERROR(__xludf.DUMMYFUNCTION("""COMPUTED_VALUE"""),"https://vt.tiktok.com/ZSxXJyx6C/")</f>
        <v>https://vt.tiktok.com/ZSxXJyx6C/</v>
      </c>
      <c r="M367" s="464"/>
      <c r="N367" s="17"/>
      <c r="O367" s="464"/>
      <c r="P367" s="17"/>
    </row>
    <row r="368">
      <c r="A368" s="255" t="str">
        <f>IFERROR(__xludf.DUMMYFUNCTION("""COMPUTED_VALUE"""),"MEGA")</f>
        <v>MEGA</v>
      </c>
      <c r="B368" s="361" t="str">
        <f>IFERROR(__xludf.DUMMYFUNCTION("""COMPUTED_VALUE"""),"io_morhis")</f>
        <v>io_morhis</v>
      </c>
      <c r="C368" s="257" t="str">
        <f>IFERROR(__xludf.DUMMYFUNCTION("""COMPUTED_VALUE"""),"https://www.tiktok.com/@io_morhis")</f>
        <v>https://www.tiktok.com/@io_morhis</v>
      </c>
      <c r="D368" s="270">
        <f>IFERROR(__xludf.DUMMYFUNCTION("""COMPUTED_VALUE"""),8.1275440445E10)</f>
        <v>81275440445</v>
      </c>
      <c r="E368" s="457">
        <f>IFERROR(__xludf.DUMMYFUNCTION("""COMPUTED_VALUE"""),850000.0)</f>
        <v>850000</v>
      </c>
      <c r="F368" s="270">
        <f>IFERROR(__xludf.DUMMYFUNCTION("""COMPUTED_VALUE"""),1.0)</f>
        <v>1</v>
      </c>
      <c r="G368" s="17" t="str">
        <f>IFERROR(__xludf.DUMMYFUNCTION("""COMPUTED_VALUE"""),"Sabun batang 1 Box ( 2 PCS )")</f>
        <v>Sabun batang 1 Box ( 2 PCS )</v>
      </c>
      <c r="H368" s="463" t="str">
        <f>IFERROR(__xludf.DUMMYFUNCTION("""COMPUTED_VALUE"""),"Sampai")</f>
        <v>Sampai</v>
      </c>
      <c r="I368" s="464" t="str">
        <f>IFERROR(__xludf.DUMMYFUNCTION("""COMPUTED_VALUE"""),"KIMME")</f>
        <v>KIMME</v>
      </c>
      <c r="J368" s="279" t="str">
        <f>IFERROR(__xludf.DUMMYFUNCTION("""COMPUTED_VALUE"""),"https://www.tiktok.com/@io_morhis/video/7628465742043778312?is_from_webapp=1&amp;sender_device=pc")</f>
        <v>https://www.tiktok.com/@io_morhis/video/7628465742043778312?is_from_webapp=1&amp;sender_device=pc</v>
      </c>
      <c r="K368" s="464"/>
      <c r="L368" s="17"/>
      <c r="M368" s="464"/>
      <c r="N368" s="17"/>
      <c r="O368" s="464"/>
      <c r="P368" s="17"/>
    </row>
    <row r="369">
      <c r="A369" s="255" t="str">
        <f>IFERROR(__xludf.DUMMYFUNCTION("""COMPUTED_VALUE"""),"MEGA")</f>
        <v>MEGA</v>
      </c>
      <c r="B369" s="361" t="str">
        <f>IFERROR(__xludf.DUMMYFUNCTION("""COMPUTED_VALUE"""),"kania_angelo")</f>
        <v>kania_angelo</v>
      </c>
      <c r="C369" s="257" t="str">
        <f>IFERROR(__xludf.DUMMYFUNCTION("""COMPUTED_VALUE"""),"https://www.tiktok.com/@kania_angelo")</f>
        <v>https://www.tiktok.com/@kania_angelo</v>
      </c>
      <c r="D369" s="270">
        <f>IFERROR(__xludf.DUMMYFUNCTION("""COMPUTED_VALUE"""),8.5738150299E10)</f>
        <v>85738150299</v>
      </c>
      <c r="E369" s="457">
        <f>IFERROR(__xludf.DUMMYFUNCTION("""COMPUTED_VALUE"""),2000000.0)</f>
        <v>2000000</v>
      </c>
      <c r="F369" s="270">
        <f>IFERROR(__xludf.DUMMYFUNCTION("""COMPUTED_VALUE"""),1.0)</f>
        <v>1</v>
      </c>
      <c r="G369" s="17" t="str">
        <f>IFERROR(__xludf.DUMMYFUNCTION("""COMPUTED_VALUE"""),"Sabun batang 1 Box ( 2 PCS )")</f>
        <v>Sabun batang 1 Box ( 2 PCS )</v>
      </c>
      <c r="H369" s="463" t="str">
        <f>IFERROR(__xludf.DUMMYFUNCTION("""COMPUTED_VALUE"""),"Sampai")</f>
        <v>Sampai</v>
      </c>
      <c r="I369" s="464" t="str">
        <f>IFERROR(__xludf.DUMMYFUNCTION("""COMPUTED_VALUE"""),"KIMME")</f>
        <v>KIMME</v>
      </c>
      <c r="J369" s="279" t="str">
        <f>IFERROR(__xludf.DUMMYFUNCTION("""COMPUTED_VALUE"""),"https://www.tiktok.com/@kania_angelo/video/7626726469120560405?is_from_webapp=1&amp;sender_device=pc")</f>
        <v>https://www.tiktok.com/@kania_angelo/video/7626726469120560405?is_from_webapp=1&amp;sender_device=pc</v>
      </c>
      <c r="K369" s="464"/>
      <c r="L369" s="17"/>
      <c r="M369" s="464"/>
      <c r="N369" s="17"/>
      <c r="O369" s="464"/>
      <c r="P369" s="17"/>
    </row>
    <row r="370">
      <c r="A370" s="255" t="str">
        <f>IFERROR(__xludf.DUMMYFUNCTION("""COMPUTED_VALUE"""),"MICRO")</f>
        <v>MICRO</v>
      </c>
      <c r="B370" s="361" t="str">
        <f>IFERROR(__xludf.DUMMYFUNCTION("""COMPUTED_VALUE"""),"yustikaa25")</f>
        <v>yustikaa25</v>
      </c>
      <c r="C370" s="257" t="str">
        <f>IFERROR(__xludf.DUMMYFUNCTION("""COMPUTED_VALUE"""),"https://www.tiktok.com/@yustikaa25")</f>
        <v>https://www.tiktok.com/@yustikaa25</v>
      </c>
      <c r="D370" s="270">
        <f>IFERROR(__xludf.DUMMYFUNCTION("""COMPUTED_VALUE"""),8.131642394E10)</f>
        <v>81316423940</v>
      </c>
      <c r="E370" s="457">
        <f>IFERROR(__xludf.DUMMYFUNCTION("""COMPUTED_VALUE"""),0.0)</f>
        <v>0</v>
      </c>
      <c r="F370" s="270">
        <f>IFERROR(__xludf.DUMMYFUNCTION("""COMPUTED_VALUE"""),2.0)</f>
        <v>2</v>
      </c>
      <c r="G370" s="17" t="str">
        <f>IFERROR(__xludf.DUMMYFUNCTION("""COMPUTED_VALUE"""),"Sabun batang 1 Box ( 2 PCS )")</f>
        <v>Sabun batang 1 Box ( 2 PCS )</v>
      </c>
      <c r="H370" s="463" t="str">
        <f>IFERROR(__xludf.DUMMYFUNCTION("""COMPUTED_VALUE"""),"Sampai")</f>
        <v>Sampai</v>
      </c>
      <c r="I370" s="464" t="str">
        <f>IFERROR(__xludf.DUMMYFUNCTION("""COMPUTED_VALUE"""),"KIMME")</f>
        <v>KIMME</v>
      </c>
      <c r="J370" s="279" t="str">
        <f>IFERROR(__xludf.DUMMYFUNCTION("""COMPUTED_VALUE"""),"https://vt.tiktok.com/ZSHd5b5Su/")</f>
        <v>https://vt.tiktok.com/ZSHd5b5Su/</v>
      </c>
      <c r="K370" s="464" t="str">
        <f>IFERROR(__xludf.DUMMYFUNCTION("""COMPUTED_VALUE"""),"KIMME")</f>
        <v>KIMME</v>
      </c>
      <c r="L370" s="279" t="str">
        <f>IFERROR(__xludf.DUMMYFUNCTION("""COMPUTED_VALUE"""),"https://vt.tiktok.com/ZSHd5bXv6/")</f>
        <v>https://vt.tiktok.com/ZSHd5bXv6/</v>
      </c>
      <c r="M370" s="464"/>
      <c r="N370" s="279" t="str">
        <f>IFERROR(__xludf.DUMMYFUNCTION("""COMPUTED_VALUE"""),"https://vt.tiktok.com/ZS9GdKW5o/")</f>
        <v>https://vt.tiktok.com/ZS9GdKW5o/</v>
      </c>
      <c r="O370" s="464"/>
      <c r="P370" s="279" t="str">
        <f>IFERROR(__xludf.DUMMYFUNCTION("""COMPUTED_VALUE"""),"https://vt.tiktok.com/ZS9GdW4EC/")</f>
        <v>https://vt.tiktok.com/ZS9GdW4EC/</v>
      </c>
    </row>
    <row r="371">
      <c r="A371" s="255" t="str">
        <f>IFERROR(__xludf.DUMMYFUNCTION("""COMPUTED_VALUE"""),"MICRO")</f>
        <v>MICRO</v>
      </c>
      <c r="B371" s="361" t="str">
        <f>IFERROR(__xludf.DUMMYFUNCTION("""COMPUTED_VALUE"""),"cllliyy")</f>
        <v>cllliyy</v>
      </c>
      <c r="C371" s="257" t="str">
        <f>IFERROR(__xludf.DUMMYFUNCTION("""COMPUTED_VALUE"""),"https://www.tiktok.com/@cllliyy")</f>
        <v>https://www.tiktok.com/@cllliyy</v>
      </c>
      <c r="D371" s="270">
        <f>IFERROR(__xludf.DUMMYFUNCTION("""COMPUTED_VALUE"""),8.582355701E10)</f>
        <v>85823557010</v>
      </c>
      <c r="E371" s="457">
        <f>IFERROR(__xludf.DUMMYFUNCTION("""COMPUTED_VALUE"""),0.0)</f>
        <v>0</v>
      </c>
      <c r="F371" s="270">
        <f>IFERROR(__xludf.DUMMYFUNCTION("""COMPUTED_VALUE"""),4.0)</f>
        <v>4</v>
      </c>
      <c r="G371" s="17" t="str">
        <f>IFERROR(__xludf.DUMMYFUNCTION("""COMPUTED_VALUE"""),"Sabun batang 1 Box ( 2 PCS )")</f>
        <v>Sabun batang 1 Box ( 2 PCS )</v>
      </c>
      <c r="H371" s="463" t="str">
        <f>IFERROR(__xludf.DUMMYFUNCTION("""COMPUTED_VALUE"""),"Sampai")</f>
        <v>Sampai</v>
      </c>
      <c r="I371" s="464" t="str">
        <f>IFERROR(__xludf.DUMMYFUNCTION("""COMPUTED_VALUE"""),"KIMME")</f>
        <v>KIMME</v>
      </c>
      <c r="J371" s="279" t="str">
        <f>IFERROR(__xludf.DUMMYFUNCTION("""COMPUTED_VALUE"""),"https://vt.tiktok.com/ZSHaWnd1X/")</f>
        <v>https://vt.tiktok.com/ZSHaWnd1X/</v>
      </c>
      <c r="K371" s="464" t="str">
        <f>IFERROR(__xludf.DUMMYFUNCTION("""COMPUTED_VALUE"""),"KIMME")</f>
        <v>KIMME</v>
      </c>
      <c r="L371" s="279" t="str">
        <f>IFERROR(__xludf.DUMMYFUNCTION("""COMPUTED_VALUE"""),"https://vt.tiktok.com/ZSHaWoHDa/")</f>
        <v>https://vt.tiktok.com/ZSHaWoHDa/</v>
      </c>
      <c r="M371" s="464" t="str">
        <f>IFERROR(__xludf.DUMMYFUNCTION("""COMPUTED_VALUE"""),"KIMME")</f>
        <v>KIMME</v>
      </c>
      <c r="N371" s="279" t="str">
        <f>IFERROR(__xludf.DUMMYFUNCTION("""COMPUTED_VALUE"""),"https://vt.tiktok.com/ZSHXNty3T/")</f>
        <v>https://vt.tiktok.com/ZSHXNty3T/</v>
      </c>
      <c r="O371" s="464" t="str">
        <f>IFERROR(__xludf.DUMMYFUNCTION("""COMPUTED_VALUE"""),"KIMME")</f>
        <v>KIMME</v>
      </c>
      <c r="P371" s="279" t="str">
        <f>IFERROR(__xludf.DUMMYFUNCTION("""COMPUTED_VALUE"""),"https://vt.tiktok.com/ZSHpht7VV/")</f>
        <v>https://vt.tiktok.com/ZSHpht7VV/</v>
      </c>
    </row>
    <row r="372">
      <c r="A372" s="255" t="str">
        <f>IFERROR(__xludf.DUMMYFUNCTION("""COMPUTED_VALUE"""),"MICRO")</f>
        <v>MICRO</v>
      </c>
      <c r="B372" s="361" t="str">
        <f>IFERROR(__xludf.DUMMYFUNCTION("""COMPUTED_VALUE"""),"panjilesmana350")</f>
        <v>panjilesmana350</v>
      </c>
      <c r="C372" s="257" t="str">
        <f>IFERROR(__xludf.DUMMYFUNCTION("""COMPUTED_VALUE"""),"https://www.tiktok.com/@panjilesmana350")</f>
        <v>https://www.tiktok.com/@panjilesmana350</v>
      </c>
      <c r="D372" s="270">
        <f>IFERROR(__xludf.DUMMYFUNCTION("""COMPUTED_VALUE"""),8.572128385E10)</f>
        <v>85721283850</v>
      </c>
      <c r="E372" s="457">
        <f>IFERROR(__xludf.DUMMYFUNCTION("""COMPUTED_VALUE"""),0.0)</f>
        <v>0</v>
      </c>
      <c r="F372" s="270">
        <f>IFERROR(__xludf.DUMMYFUNCTION("""COMPUTED_VALUE"""),2.0)</f>
        <v>2</v>
      </c>
      <c r="G372" s="17" t="str">
        <f>IFERROR(__xludf.DUMMYFUNCTION("""COMPUTED_VALUE"""),"Sabun batang 1 Box ( 2 PCS )")</f>
        <v>Sabun batang 1 Box ( 2 PCS )</v>
      </c>
      <c r="H372" s="463" t="str">
        <f>IFERROR(__xludf.DUMMYFUNCTION("""COMPUTED_VALUE"""),"Sampai")</f>
        <v>Sampai</v>
      </c>
      <c r="I372" s="464" t="str">
        <f>IFERROR(__xludf.DUMMYFUNCTION("""COMPUTED_VALUE"""),"KIMME")</f>
        <v>KIMME</v>
      </c>
      <c r="J372" s="279" t="str">
        <f>IFERROR(__xludf.DUMMYFUNCTION("""COMPUTED_VALUE"""),"https://www.tiktok.com/@panjilesmana350/video/7630715631486176520")</f>
        <v>https://www.tiktok.com/@panjilesmana350/video/7630715631486176520</v>
      </c>
      <c r="K372" s="464" t="str">
        <f>IFERROR(__xludf.DUMMYFUNCTION("""COMPUTED_VALUE"""),"KIMME")</f>
        <v>KIMME</v>
      </c>
      <c r="L372" s="279" t="str">
        <f>IFERROR(__xludf.DUMMYFUNCTION("""COMPUTED_VALUE"""),"https://www.tiktok.com/@panjilesmana350/video/7631751588318563592")</f>
        <v>https://www.tiktok.com/@panjilesmana350/video/7631751588318563592</v>
      </c>
      <c r="M372" s="464"/>
      <c r="N372" s="279" t="str">
        <f>IFERROR(__xludf.DUMMYFUNCTION("""COMPUTED_VALUE"""),"https://vt.tiktok.com/ZS9GdnsmF/")</f>
        <v>https://vt.tiktok.com/ZS9GdnsmF/</v>
      </c>
      <c r="O372" s="464"/>
      <c r="P372" s="279" t="str">
        <f>IFERROR(__xludf.DUMMYFUNCTION("""COMPUTED_VALUE"""),"https://vt.tiktok.com/ZS9WMgRs8/")</f>
        <v>https://vt.tiktok.com/ZS9WMgRs8/</v>
      </c>
    </row>
    <row r="373">
      <c r="A373" s="255" t="str">
        <f>IFERROR(__xludf.DUMMYFUNCTION("""COMPUTED_VALUE"""),"MICRO")</f>
        <v>MICRO</v>
      </c>
      <c r="B373" s="361" t="str">
        <f>IFERROR(__xludf.DUMMYFUNCTION("""COMPUTED_VALUE"""),"produkindonesiayaa")</f>
        <v>produkindonesiayaa</v>
      </c>
      <c r="C373" s="257" t="str">
        <f>IFERROR(__xludf.DUMMYFUNCTION("""COMPUTED_VALUE"""),"https://www.tiktok.com/@produkindonesiayaa")</f>
        <v>https://www.tiktok.com/@produkindonesiayaa</v>
      </c>
      <c r="D373" s="270">
        <f>IFERROR(__xludf.DUMMYFUNCTION("""COMPUTED_VALUE"""),8.1266453848E10)</f>
        <v>81266453848</v>
      </c>
      <c r="E373" s="457">
        <f>IFERROR(__xludf.DUMMYFUNCTION("""COMPUTED_VALUE"""),0.0)</f>
        <v>0</v>
      </c>
      <c r="F373" s="270">
        <f>IFERROR(__xludf.DUMMYFUNCTION("""COMPUTED_VALUE"""),4.0)</f>
        <v>4</v>
      </c>
      <c r="G373" s="17" t="str">
        <f>IFERROR(__xludf.DUMMYFUNCTION("""COMPUTED_VALUE"""),"Sabun batang 1 Box ( 2 PCS )")</f>
        <v>Sabun batang 1 Box ( 2 PCS )</v>
      </c>
      <c r="H373" s="463" t="str">
        <f>IFERROR(__xludf.DUMMYFUNCTION("""COMPUTED_VALUE"""),"Sampai")</f>
        <v>Sampai</v>
      </c>
      <c r="I373" s="464" t="str">
        <f>IFERROR(__xludf.DUMMYFUNCTION("""COMPUTED_VALUE"""),"KIMME")</f>
        <v>KIMME</v>
      </c>
      <c r="J373" s="279" t="str">
        <f>IFERROR(__xludf.DUMMYFUNCTION("""COMPUTED_VALUE"""),"https://www.tiktok.com/@produkindonesiayaa/video/7626061996622073106")</f>
        <v>https://www.tiktok.com/@produkindonesiayaa/video/7626061996622073106</v>
      </c>
      <c r="K373" s="464" t="str">
        <f>IFERROR(__xludf.DUMMYFUNCTION("""COMPUTED_VALUE"""),"KIMME")</f>
        <v>KIMME</v>
      </c>
      <c r="L373" s="279" t="str">
        <f>IFERROR(__xludf.DUMMYFUNCTION("""COMPUTED_VALUE"""),"https://www.tiktok.com/@produkindonesiayaa/video/7626190424499129608")</f>
        <v>https://www.tiktok.com/@produkindonesiayaa/video/7626190424499129608</v>
      </c>
      <c r="M373" s="464" t="str">
        <f>IFERROR(__xludf.DUMMYFUNCTION("""COMPUTED_VALUE"""),"KIMME")</f>
        <v>KIMME</v>
      </c>
      <c r="N373" s="279" t="str">
        <f>IFERROR(__xludf.DUMMYFUNCTION("""COMPUTED_VALUE"""),"https://www.tiktok.com/@produkindonesiayaa/video/7626056127058398471")</f>
        <v>https://www.tiktok.com/@produkindonesiayaa/video/7626056127058398471</v>
      </c>
      <c r="O373" s="464" t="str">
        <f>IFERROR(__xludf.DUMMYFUNCTION("""COMPUTED_VALUE"""),"KIMME")</f>
        <v>KIMME</v>
      </c>
      <c r="P373" s="279" t="str">
        <f>IFERROR(__xludf.DUMMYFUNCTION("""COMPUTED_VALUE"""),"https://www.tiktok.com/@produkindonesiayaa/video/7626048750191922450")</f>
        <v>https://www.tiktok.com/@produkindonesiayaa/video/7626048750191922450</v>
      </c>
    </row>
    <row r="374">
      <c r="A374" s="255" t="str">
        <f>IFERROR(__xludf.DUMMYFUNCTION("""COMPUTED_VALUE"""),"MICRO")</f>
        <v>MICRO</v>
      </c>
      <c r="B374" s="361" t="str">
        <f>IFERROR(__xludf.DUMMYFUNCTION("""COMPUTED_VALUE"""),"sibad_94
")</f>
        <v>sibad_94
</v>
      </c>
      <c r="C374" s="257" t="str">
        <f>IFERROR(__xludf.DUMMYFUNCTION("""COMPUTED_VALUE"""),"https://www.tiktok.com/@sibad_94
")</f>
        <v>https://www.tiktok.com/@sibad_94
</v>
      </c>
      <c r="D374" s="270">
        <f>IFERROR(__xludf.DUMMYFUNCTION("""COMPUTED_VALUE"""),8.1938642883E10)</f>
        <v>81938642883</v>
      </c>
      <c r="E374" s="457">
        <f>IFERROR(__xludf.DUMMYFUNCTION("""COMPUTED_VALUE"""),0.0)</f>
        <v>0</v>
      </c>
      <c r="F374" s="270">
        <f>IFERROR(__xludf.DUMMYFUNCTION("""COMPUTED_VALUE"""),2.0)</f>
        <v>2</v>
      </c>
      <c r="G374" s="17" t="str">
        <f>IFERROR(__xludf.DUMMYFUNCTION("""COMPUTED_VALUE"""),"Sabun batang 1 Box ( 2 PCS )")</f>
        <v>Sabun batang 1 Box ( 2 PCS )</v>
      </c>
      <c r="H374" s="463" t="str">
        <f>IFERROR(__xludf.DUMMYFUNCTION("""COMPUTED_VALUE"""),"Sampai")</f>
        <v>Sampai</v>
      </c>
      <c r="I374" s="464" t="str">
        <f>IFERROR(__xludf.DUMMYFUNCTION("""COMPUTED_VALUE"""),"KIMME")</f>
        <v>KIMME</v>
      </c>
      <c r="J374" s="279" t="str">
        <f>IFERROR(__xludf.DUMMYFUNCTION("""COMPUTED_VALUE"""),"https://www.tiktok.com/@sibad_94/video/7622487073110461717?_r=1&amp;u_code=e10ekgc3ka981i&amp;region=&amp;mid=7622487171547253522&amp;preview_pb=0&amp;sharer_language=&amp;_d=0&amp;ec_shared_reflux_dynamic_params=%7B%22placeholder_material_id%22%3A%227622487073110461717%22%2C%22plac"&amp;"eholder_origin_cover%22%3A%22https%253A%252F%252Fp16-sign-sg.tiktokcdn.com%252Ftos-alisg-p-0037%252FooQBiAw4EC8rhPFIICR7ifC1qg560IAMkAuIw6~tplv-tiktokx-origin.jpeg%253Fdr%253D14572%2526refresh_token%253D3f88b810%2526x-expires%253D1807070400%2526x-signatur"&amp;"e%253Da8q6g0XjQJC0vMY%25252FHi9ZdqfZV%25252Bw%25253D%2526t%253D4d5b0474%2526ps%253D13740610%2526shp%253Dd05b14bd%2526shcp%253D34ff8df6%2526idc%253Dmy2%2526s%253DTIKTOK_AFFILIATE_VIRAL_VIDEO%22%2C%22placeholder_product_id%22%3A%221729427766722726591%22%2C%"&amp;"22placeholder_video_id%22%3A%227622487073110461717%22%7D&amp;ec_shared_reflux_scene=shop_tab_feed&amp;share_item_id=7622487073110461717&amp;source=h5_t")</f>
        <v>https://www.tiktok.com/@sibad_94/video/7622487073110461717?_r=1&amp;u_code=e10ekgc3ka981i&amp;region=&amp;mid=7622487171547253522&amp;preview_pb=0&amp;sharer_language=&amp;_d=0&amp;ec_shared_reflux_dynamic_params=%7B%22placeholder_material_id%22%3A%227622487073110461717%22%2C%22placeholder_origin_cover%22%3A%22https%253A%252F%252Fp16-sign-sg.tiktokcdn.com%252Ftos-alisg-p-0037%252FooQBiAw4EC8rhPFIICR7ifC1qg560IAMkAuIw6~tplv-tiktokx-origin.jpeg%253Fdr%253D14572%2526refresh_token%253D3f88b810%2526x-expires%253D1807070400%2526x-signature%253Da8q6g0XjQJC0vMY%25252FHi9ZdqfZV%25252Bw%25253D%2526t%253D4d5b0474%2526ps%253D13740610%2526shp%253Dd05b14bd%2526shcp%253D34ff8df6%2526idc%253Dmy2%2526s%253DTIKTOK_AFFILIATE_VIRAL_VIDEO%22%2C%22placeholder_product_id%22%3A%221729427766722726591%22%2C%22placeholder_video_id%22%3A%227622487073110461717%22%7D&amp;ec_shared_reflux_scene=shop_tab_feed&amp;share_item_id=7622487073110461717&amp;source=h5_t</v>
      </c>
      <c r="K374" s="464" t="str">
        <f>IFERROR(__xludf.DUMMYFUNCTION("""COMPUTED_VALUE"""),"KIMME")</f>
        <v>KIMME</v>
      </c>
      <c r="L374" s="279" t="str">
        <f>IFERROR(__xludf.DUMMYFUNCTION("""COMPUTED_VALUE"""),"https://vt.tiktok.com/ZSHpDV3Mw/")</f>
        <v>https://vt.tiktok.com/ZSHpDV3Mw/</v>
      </c>
      <c r="M374" s="464"/>
      <c r="N374" s="279" t="str">
        <f>IFERROR(__xludf.DUMMYFUNCTION("""COMPUTED_VALUE"""),"https://vt.tiktok.com/ZS9WrL6yY/")</f>
        <v>https://vt.tiktok.com/ZS9WrL6yY/</v>
      </c>
      <c r="O374" s="464"/>
      <c r="P374" s="279" t="str">
        <f>IFERROR(__xludf.DUMMYFUNCTION("""COMPUTED_VALUE"""),"https://vt.tiktok.com/ZS9WM7yHx/")</f>
        <v>https://vt.tiktok.com/ZS9WM7yHx/</v>
      </c>
    </row>
    <row r="375">
      <c r="A375" s="255" t="str">
        <f>IFERROR(__xludf.DUMMYFUNCTION("""COMPUTED_VALUE"""),"MICRO")</f>
        <v>MICRO</v>
      </c>
      <c r="B375" s="361" t="str">
        <f>IFERROR(__xludf.DUMMYFUNCTION("""COMPUTED_VALUE"""),"adenina.nf")</f>
        <v>adenina.nf</v>
      </c>
      <c r="C375" s="257" t="str">
        <f>IFERROR(__xludf.DUMMYFUNCTION("""COMPUTED_VALUE"""),"https://www.tiktok.com/@adenina.nf")</f>
        <v>https://www.tiktok.com/@adenina.nf</v>
      </c>
      <c r="D375" s="270">
        <f>IFERROR(__xludf.DUMMYFUNCTION("""COMPUTED_VALUE"""),8.5692997135E10)</f>
        <v>85692997135</v>
      </c>
      <c r="E375" s="457">
        <f>IFERROR(__xludf.DUMMYFUNCTION("""COMPUTED_VALUE"""),0.0)</f>
        <v>0</v>
      </c>
      <c r="F375" s="270">
        <f>IFERROR(__xludf.DUMMYFUNCTION("""COMPUTED_VALUE"""),4.0)</f>
        <v>4</v>
      </c>
      <c r="G375" s="17" t="str">
        <f>IFERROR(__xludf.DUMMYFUNCTION("""COMPUTED_VALUE"""),"Sabun batang 1 Box ( 2 PCS )")</f>
        <v>Sabun batang 1 Box ( 2 PCS )</v>
      </c>
      <c r="H375" s="463" t="str">
        <f>IFERROR(__xludf.DUMMYFUNCTION("""COMPUTED_VALUE"""),"Sampai")</f>
        <v>Sampai</v>
      </c>
      <c r="I375" s="464" t="str">
        <f>IFERROR(__xludf.DUMMYFUNCTION("""COMPUTED_VALUE"""),"KIMME")</f>
        <v>KIMME</v>
      </c>
      <c r="J375" s="279" t="str">
        <f>IFERROR(__xludf.DUMMYFUNCTION("""COMPUTED_VALUE"""),"https://www.tiktok.com/@racun.aprillia/video/7618410575109967124?is_from_webapp=1&amp;sender_device=pc")</f>
        <v>https://www.tiktok.com/@racun.aprillia/video/7618410575109967124?is_from_webapp=1&amp;sender_device=pc</v>
      </c>
      <c r="K375" s="464" t="str">
        <f>IFERROR(__xludf.DUMMYFUNCTION("""COMPUTED_VALUE"""),"KIMME")</f>
        <v>KIMME</v>
      </c>
      <c r="L375" s="279" t="str">
        <f>IFERROR(__xludf.DUMMYFUNCTION("""COMPUTED_VALUE"""),"https://www.tiktok.com/@racun.aprillia/video/7618053340529822996?is_from_webapp=1&amp;sender_device=pc")</f>
        <v>https://www.tiktok.com/@racun.aprillia/video/7618053340529822996?is_from_webapp=1&amp;sender_device=pc</v>
      </c>
      <c r="M375" s="464" t="str">
        <f>IFERROR(__xludf.DUMMYFUNCTION("""COMPUTED_VALUE"""),"KIMME")</f>
        <v>KIMME</v>
      </c>
      <c r="N375" s="279" t="str">
        <f>IFERROR(__xludf.DUMMYFUNCTION("""COMPUTED_VALUE"""),"https://vt.tiktok.com/ZSHPRNwTj/")</f>
        <v>https://vt.tiktok.com/ZSHPRNwTj/</v>
      </c>
      <c r="O375" s="464" t="str">
        <f>IFERROR(__xludf.DUMMYFUNCTION("""COMPUTED_VALUE"""),"KIMME")</f>
        <v>KIMME</v>
      </c>
      <c r="P375" s="279" t="str">
        <f>IFERROR(__xludf.DUMMYFUNCTION("""COMPUTED_VALUE"""),"https://vt.tiktok.com/ZSHPR1sfw/")</f>
        <v>https://vt.tiktok.com/ZSHPR1sfw/</v>
      </c>
    </row>
    <row r="376">
      <c r="A376" s="255" t="str">
        <f>IFERROR(__xludf.DUMMYFUNCTION("""COMPUTED_VALUE"""),"MACRO")</f>
        <v>MACRO</v>
      </c>
      <c r="B376" s="361" t="str">
        <f>IFERROR(__xludf.DUMMYFUNCTION("""COMPUTED_VALUE"""),"rybeccary_")</f>
        <v>rybeccary_</v>
      </c>
      <c r="C376" s="257" t="str">
        <f>IFERROR(__xludf.DUMMYFUNCTION("""COMPUTED_VALUE"""),"https://www.tiktok.com/@rybeccary_")</f>
        <v>https://www.tiktok.com/@rybeccary_</v>
      </c>
      <c r="D376" s="270">
        <f>IFERROR(__xludf.DUMMYFUNCTION("""COMPUTED_VALUE"""),8.2197229644E10)</f>
        <v>82197229644</v>
      </c>
      <c r="E376" s="457">
        <f>IFERROR(__xludf.DUMMYFUNCTION("""COMPUTED_VALUE"""),0.0)</f>
        <v>0</v>
      </c>
      <c r="F376" s="270">
        <f>IFERROR(__xludf.DUMMYFUNCTION("""COMPUTED_VALUE"""),4.0)</f>
        <v>4</v>
      </c>
      <c r="G376" s="17" t="str">
        <f>IFERROR(__xludf.DUMMYFUNCTION("""COMPUTED_VALUE"""),"Sabun batang 1 Box ( 2 PCS )")</f>
        <v>Sabun batang 1 Box ( 2 PCS )</v>
      </c>
      <c r="H376" s="463" t="str">
        <f>IFERROR(__xludf.DUMMYFUNCTION("""COMPUTED_VALUE"""),"Sampai")</f>
        <v>Sampai</v>
      </c>
      <c r="I376" s="464" t="str">
        <f>IFERROR(__xludf.DUMMYFUNCTION("""COMPUTED_VALUE"""),"KIMME")</f>
        <v>KIMME</v>
      </c>
      <c r="J376" s="279" t="str">
        <f>IFERROR(__xludf.DUMMYFUNCTION("""COMPUTED_VALUE"""),"https://www.tiktok.com/@racunciwiciwi99/video/7605156651011804436?_r=1&amp;_t=ZS-95kTMo6AaJM")</f>
        <v>https://www.tiktok.com/@racunciwiciwi99/video/7605156651011804436?_r=1&amp;_t=ZS-95kTMo6AaJM</v>
      </c>
      <c r="K376" s="464" t="str">
        <f>IFERROR(__xludf.DUMMYFUNCTION("""COMPUTED_VALUE"""),"KIMME")</f>
        <v>KIMME</v>
      </c>
      <c r="L376" s="279" t="str">
        <f>IFERROR(__xludf.DUMMYFUNCTION("""COMPUTED_VALUE"""),"https://vt.tiktok.com/ZSxQtrDcH/")</f>
        <v>https://vt.tiktok.com/ZSxQtrDcH/</v>
      </c>
      <c r="M376" s="464"/>
      <c r="N376" s="17"/>
      <c r="O376" s="464"/>
      <c r="P376" s="17"/>
    </row>
    <row r="377">
      <c r="A377" s="255" t="str">
        <f>IFERROR(__xludf.DUMMYFUNCTION("""COMPUTED_VALUE"""),"MICRO")</f>
        <v>MICRO</v>
      </c>
      <c r="B377" s="361" t="str">
        <f>IFERROR(__xludf.DUMMYFUNCTION("""COMPUTED_VALUE"""),"mariasianturi4")</f>
        <v>mariasianturi4</v>
      </c>
      <c r="C377" s="257" t="str">
        <f>IFERROR(__xludf.DUMMYFUNCTION("""COMPUTED_VALUE"""),"https://www.tiktok.com/@mariasianturi4")</f>
        <v>https://www.tiktok.com/@mariasianturi4</v>
      </c>
      <c r="D377" s="270">
        <f>IFERROR(__xludf.DUMMYFUNCTION("""COMPUTED_VALUE"""),8.2275101082E10)</f>
        <v>82275101082</v>
      </c>
      <c r="E377" s="457">
        <f>IFERROR(__xludf.DUMMYFUNCTION("""COMPUTED_VALUE"""),0.0)</f>
        <v>0</v>
      </c>
      <c r="F377" s="270">
        <f>IFERROR(__xludf.DUMMYFUNCTION("""COMPUTED_VALUE"""),4.0)</f>
        <v>4</v>
      </c>
      <c r="G377" s="17" t="str">
        <f>IFERROR(__xludf.DUMMYFUNCTION("""COMPUTED_VALUE"""),"Sabun batang 1 Box ( 2 PCS )")</f>
        <v>Sabun batang 1 Box ( 2 PCS )</v>
      </c>
      <c r="H377" s="463" t="str">
        <f>IFERROR(__xludf.DUMMYFUNCTION("""COMPUTED_VALUE"""),"Sampai")</f>
        <v>Sampai</v>
      </c>
      <c r="I377" s="464" t="str">
        <f>IFERROR(__xludf.DUMMYFUNCTION("""COMPUTED_VALUE"""),"KIMME")</f>
        <v>KIMME</v>
      </c>
      <c r="J377" s="279" t="str">
        <f>IFERROR(__xludf.DUMMYFUNCTION("""COMPUTED_VALUE"""),"https://www.tiktok.com/@_stesicahya/video/7628485517620890898?is_from_webapp=1&amp;sender_device=pc&amp;web_id=7611930277489657360")</f>
        <v>https://www.tiktok.com/@_stesicahya/video/7628485517620890898?is_from_webapp=1&amp;sender_device=pc&amp;web_id=7611930277489657360</v>
      </c>
      <c r="K377" s="464" t="str">
        <f>IFERROR(__xludf.DUMMYFUNCTION("""COMPUTED_VALUE"""),"KIMME")</f>
        <v>KIMME</v>
      </c>
      <c r="L377" s="279" t="str">
        <f>IFERROR(__xludf.DUMMYFUNCTION("""COMPUTED_VALUE"""),"https://www.tiktok.com/@snowme.shop/video/7628552434100636948?is_from_webapp=1&amp;sender_device=pc")</f>
        <v>https://www.tiktok.com/@snowme.shop/video/7628552434100636948?is_from_webapp=1&amp;sender_device=pc</v>
      </c>
      <c r="M377" s="464" t="str">
        <f>IFERROR(__xludf.DUMMYFUNCTION("""COMPUTED_VALUE"""),"KIMME")</f>
        <v>KIMME</v>
      </c>
      <c r="N377" s="279" t="str">
        <f>IFERROR(__xludf.DUMMYFUNCTION("""COMPUTED_VALUE"""),"https://www.tiktok.com/@snowme.shop/video/7628597499955072277?is_from_webapp=1&amp;sender_device=pc")</f>
        <v>https://www.tiktok.com/@snowme.shop/video/7628597499955072277?is_from_webapp=1&amp;sender_device=pc</v>
      </c>
      <c r="O377" s="464" t="str">
        <f>IFERROR(__xludf.DUMMYFUNCTION("""COMPUTED_VALUE"""),"KIMME")</f>
        <v>KIMME</v>
      </c>
      <c r="P377" s="279" t="str">
        <f>IFERROR(__xludf.DUMMYFUNCTION("""COMPUTED_VALUE"""),"https://www.tiktok.com/@barokah.collection/video/7627815313295346965")</f>
        <v>https://www.tiktok.com/@barokah.collection/video/7627815313295346965</v>
      </c>
    </row>
    <row r="378">
      <c r="A378" s="255" t="str">
        <f>IFERROR(__xludf.DUMMYFUNCTION("""COMPUTED_VALUE"""),"MICRO")</f>
        <v>MICRO</v>
      </c>
      <c r="B378" s="361" t="str">
        <f>IFERROR(__xludf.DUMMYFUNCTION("""COMPUTED_VALUE"""),"nabunn_vv")</f>
        <v>nabunn_vv</v>
      </c>
      <c r="C378" s="257" t="str">
        <f>IFERROR(__xludf.DUMMYFUNCTION("""COMPUTED_VALUE"""),"https://www.tiktok.com/@nabunn_vv")</f>
        <v>https://www.tiktok.com/@nabunn_vv</v>
      </c>
      <c r="D378" s="270">
        <f>IFERROR(__xludf.DUMMYFUNCTION("""COMPUTED_VALUE"""),8.1285633216E10)</f>
        <v>81285633216</v>
      </c>
      <c r="E378" s="457">
        <f>IFERROR(__xludf.DUMMYFUNCTION("""COMPUTED_VALUE"""),0.0)</f>
        <v>0</v>
      </c>
      <c r="F378" s="270">
        <f>IFERROR(__xludf.DUMMYFUNCTION("""COMPUTED_VALUE"""),4.0)</f>
        <v>4</v>
      </c>
      <c r="G378" s="17" t="str">
        <f>IFERROR(__xludf.DUMMYFUNCTION("""COMPUTED_VALUE"""),"Sabun batang 1 Box ( 2 PCS )")</f>
        <v>Sabun batang 1 Box ( 2 PCS )</v>
      </c>
      <c r="H378" s="463" t="str">
        <f>IFERROR(__xludf.DUMMYFUNCTION("""COMPUTED_VALUE"""),"Sampai")</f>
        <v>Sampai</v>
      </c>
      <c r="I378" s="464" t="str">
        <f>IFERROR(__xludf.DUMMYFUNCTION("""COMPUTED_VALUE"""),"KIMME")</f>
        <v>KIMME</v>
      </c>
      <c r="J378" s="279" t="str">
        <f>IFERROR(__xludf.DUMMYFUNCTION("""COMPUTED_VALUE"""),"https://www.tiktok.com/@its.raraaa13/video/7621741618365828359?is_from_webapp=1&amp;sender_device=pc")</f>
        <v>https://www.tiktok.com/@its.raraaa13/video/7621741618365828359?is_from_webapp=1&amp;sender_device=pc</v>
      </c>
      <c r="K378" s="464" t="str">
        <f>IFERROR(__xludf.DUMMYFUNCTION("""COMPUTED_VALUE"""),"KIMME")</f>
        <v>KIMME</v>
      </c>
      <c r="L378" s="279" t="str">
        <f>IFERROR(__xludf.DUMMYFUNCTION("""COMPUTED_VALUE"""),"https://www.tiktok.com/@rezkyhamdayani277/video/7628627256985865480?is_from_webapp=1&amp;sender_device=pc&amp;web_id=7611930277489657360")</f>
        <v>https://www.tiktok.com/@rezkyhamdayani277/video/7628627256985865480?is_from_webapp=1&amp;sender_device=pc&amp;web_id=7611930277489657360</v>
      </c>
      <c r="M378" s="464" t="str">
        <f>IFERROR(__xludf.DUMMYFUNCTION("""COMPUTED_VALUE"""),"KIMME")</f>
        <v>KIMME</v>
      </c>
      <c r="N378" s="279" t="str">
        <f>IFERROR(__xludf.DUMMYFUNCTION("""COMPUTED_VALUE"""),"https://www.tiktok.com/@intandws_/video/7622620492352064788?is_from_webapp=1&amp;sender_device=pc&amp;web_id=7611930277489657360")</f>
        <v>https://www.tiktok.com/@intandws_/video/7622620492352064788?is_from_webapp=1&amp;sender_device=pc&amp;web_id=7611930277489657360</v>
      </c>
      <c r="O378" s="464" t="str">
        <f>IFERROR(__xludf.DUMMYFUNCTION("""COMPUTED_VALUE"""),"KIMME")</f>
        <v>KIMME</v>
      </c>
      <c r="P378" s="279" t="str">
        <f>IFERROR(__xludf.DUMMYFUNCTION("""COMPUTED_VALUE"""),"https://www.tiktok.com/@intandws_/video/7618784611081964820?is_from_webapp=1&amp;sender_device=pc&amp;web_id=7611930277489657360")</f>
        <v>https://www.tiktok.com/@intandws_/video/7618784611081964820?is_from_webapp=1&amp;sender_device=pc&amp;web_id=7611930277489657360</v>
      </c>
    </row>
    <row r="379">
      <c r="A379" s="255" t="str">
        <f>IFERROR(__xludf.DUMMYFUNCTION("""COMPUTED_VALUE"""),"MICRO")</f>
        <v>MICRO</v>
      </c>
      <c r="B379" s="361" t="str">
        <f>IFERROR(__xludf.DUMMYFUNCTION("""COMPUTED_VALUE"""),"yunnifreya")</f>
        <v>yunnifreya</v>
      </c>
      <c r="C379" s="257" t="str">
        <f>IFERROR(__xludf.DUMMYFUNCTION("""COMPUTED_VALUE"""),"https://www.tiktok.com/@yunnifreya")</f>
        <v>https://www.tiktok.com/@yunnifreya</v>
      </c>
      <c r="D379" s="270">
        <f>IFERROR(__xludf.DUMMYFUNCTION("""COMPUTED_VALUE"""),8.9524421979E10)</f>
        <v>89524421979</v>
      </c>
      <c r="E379" s="457">
        <f>IFERROR(__xludf.DUMMYFUNCTION("""COMPUTED_VALUE"""),0.0)</f>
        <v>0</v>
      </c>
      <c r="F379" s="270">
        <f>IFERROR(__xludf.DUMMYFUNCTION("""COMPUTED_VALUE"""),4.0)</f>
        <v>4</v>
      </c>
      <c r="G379" s="17" t="str">
        <f>IFERROR(__xludf.DUMMYFUNCTION("""COMPUTED_VALUE"""),"Sabun batang 1 Box ( 2 PCS )")</f>
        <v>Sabun batang 1 Box ( 2 PCS )</v>
      </c>
      <c r="H379" s="463" t="str">
        <f>IFERROR(__xludf.DUMMYFUNCTION("""COMPUTED_VALUE"""),"Sampai")</f>
        <v>Sampai</v>
      </c>
      <c r="I379" s="464" t="str">
        <f>IFERROR(__xludf.DUMMYFUNCTION("""COMPUTED_VALUE"""),"KIMME")</f>
        <v>KIMME</v>
      </c>
      <c r="J379" s="279" t="str">
        <f>IFERROR(__xludf.DUMMYFUNCTION("""COMPUTED_VALUE"""),"https://www.tiktok.com/@yunnifreya/video/7612613753426709778?is_from_webapp=1&amp;sender_device=pc")</f>
        <v>https://www.tiktok.com/@yunnifreya/video/7612613753426709778?is_from_webapp=1&amp;sender_device=pc</v>
      </c>
      <c r="K379" s="464" t="str">
        <f>IFERROR(__xludf.DUMMYFUNCTION("""COMPUTED_VALUE"""),"KIMME")</f>
        <v>KIMME</v>
      </c>
      <c r="L379" s="279" t="str">
        <f>IFERROR(__xludf.DUMMYFUNCTION("""COMPUTED_VALUE"""),"https://www.tiktok.com/@yunnifreya/video/7609578161113779463?is_from_webapp=1&amp;sender_device=pc&amp;web_id=7611930277489657360")</f>
        <v>https://www.tiktok.com/@yunnifreya/video/7609578161113779463?is_from_webapp=1&amp;sender_device=pc&amp;web_id=7611930277489657360</v>
      </c>
      <c r="M379" s="464" t="str">
        <f>IFERROR(__xludf.DUMMYFUNCTION("""COMPUTED_VALUE"""),"KIMME")</f>
        <v>KIMME</v>
      </c>
      <c r="N379" s="279" t="str">
        <f>IFERROR(__xludf.DUMMYFUNCTION("""COMPUTED_VALUE"""),"https://www.tiktok.com/@yunnifreya/video/7609288537409588498?is_from_webapp=1&amp;sender_device=pc&amp;web_id=7611930277489657360")</f>
        <v>https://www.tiktok.com/@yunnifreya/video/7609288537409588498?is_from_webapp=1&amp;sender_device=pc&amp;web_id=7611930277489657360</v>
      </c>
      <c r="O379" s="464" t="str">
        <f>IFERROR(__xludf.DUMMYFUNCTION("""COMPUTED_VALUE"""),"KIMME")</f>
        <v>KIMME</v>
      </c>
      <c r="P379" s="279" t="str">
        <f>IFERROR(__xludf.DUMMYFUNCTION("""COMPUTED_VALUE"""),"https://www.tiktok.com/@yunnifreya/video/7608065773994642696?is_from_webapp=1&amp;sender_device=pc&amp;web_id=7611930277489657360")</f>
        <v>https://www.tiktok.com/@yunnifreya/video/7608065773994642696?is_from_webapp=1&amp;sender_device=pc&amp;web_id=7611930277489657360</v>
      </c>
    </row>
    <row r="380">
      <c r="A380" s="255" t="str">
        <f>IFERROR(__xludf.DUMMYFUNCTION("""COMPUTED_VALUE"""),"MICRO")</f>
        <v>MICRO</v>
      </c>
      <c r="B380" s="361" t="str">
        <f>IFERROR(__xludf.DUMMYFUNCTION("""COMPUTED_VALUE"""),"bundajasmine06")</f>
        <v>bundajasmine06</v>
      </c>
      <c r="C380" s="257" t="str">
        <f>IFERROR(__xludf.DUMMYFUNCTION("""COMPUTED_VALUE"""),"https://www.tiktok.com/@bundajasmine06")</f>
        <v>https://www.tiktok.com/@bundajasmine06</v>
      </c>
      <c r="D380" s="270">
        <f>IFERROR(__xludf.DUMMYFUNCTION("""COMPUTED_VALUE"""),8.2321861913E10)</f>
        <v>82321861913</v>
      </c>
      <c r="E380" s="457">
        <f>IFERROR(__xludf.DUMMYFUNCTION("""COMPUTED_VALUE"""),0.0)</f>
        <v>0</v>
      </c>
      <c r="F380" s="270">
        <f>IFERROR(__xludf.DUMMYFUNCTION("""COMPUTED_VALUE"""),4.0)</f>
        <v>4</v>
      </c>
      <c r="G380" s="17" t="str">
        <f>IFERROR(__xludf.DUMMYFUNCTION("""COMPUTED_VALUE"""),"Sabun batang 1 Box ( 2 PCS )")</f>
        <v>Sabun batang 1 Box ( 2 PCS )</v>
      </c>
      <c r="H380" s="463" t="str">
        <f>IFERROR(__xludf.DUMMYFUNCTION("""COMPUTED_VALUE"""),"Sampai")</f>
        <v>Sampai</v>
      </c>
      <c r="I380" s="464" t="str">
        <f>IFERROR(__xludf.DUMMYFUNCTION("""COMPUTED_VALUE"""),"KIMME")</f>
        <v>KIMME</v>
      </c>
      <c r="J380" s="279" t="str">
        <f>IFERROR(__xludf.DUMMYFUNCTION("""COMPUTED_VALUE"""),"https://www.tiktok.com/@intandws_/video/7618179244056677652?is_from_webapp=1&amp;sender_device=pc&amp;web_id=7611930277489657360")</f>
        <v>https://www.tiktok.com/@intandws_/video/7618179244056677652?is_from_webapp=1&amp;sender_device=pc&amp;web_id=7611930277489657360</v>
      </c>
      <c r="K380" s="464" t="str">
        <f>IFERROR(__xludf.DUMMYFUNCTION("""COMPUTED_VALUE"""),"KIMME")</f>
        <v>KIMME</v>
      </c>
      <c r="L380" s="279" t="str">
        <f>IFERROR(__xludf.DUMMYFUNCTION("""COMPUTED_VALUE"""),"https://www.tiktok.com/@intandws_/video/7617797033503804692?is_from_webapp=1&amp;sender_device=pc&amp;web_id=7611930277489657360")</f>
        <v>https://www.tiktok.com/@intandws_/video/7617797033503804692?is_from_webapp=1&amp;sender_device=pc&amp;web_id=7611930277489657360</v>
      </c>
      <c r="M380" s="464" t="str">
        <f>IFERROR(__xludf.DUMMYFUNCTION("""COMPUTED_VALUE"""),"KIMME")</f>
        <v>KIMME</v>
      </c>
      <c r="N380" s="279" t="str">
        <f>IFERROR(__xludf.DUMMYFUNCTION("""COMPUTED_VALUE"""),"https://www.tiktok.com/@intandws_/video/7617453782170897685?is_from_webapp=1&amp;sender_device=pc&amp;web_id=7611930277489657360")</f>
        <v>https://www.tiktok.com/@intandws_/video/7617453782170897685?is_from_webapp=1&amp;sender_device=pc&amp;web_id=7611930277489657360</v>
      </c>
      <c r="O380" s="464" t="str">
        <f>IFERROR(__xludf.DUMMYFUNCTION("""COMPUTED_VALUE"""),"KIMME")</f>
        <v>KIMME</v>
      </c>
      <c r="P380" s="279" t="str">
        <f>IFERROR(__xludf.DUMMYFUNCTION("""COMPUTED_VALUE"""),"https://www.tiktok.com/@intandws_/video/7617139486647979284?is_from_webapp=1&amp;sender_device=pc&amp;web_id=7611930277489657360")</f>
        <v>https://www.tiktok.com/@intandws_/video/7617139486647979284?is_from_webapp=1&amp;sender_device=pc&amp;web_id=7611930277489657360</v>
      </c>
    </row>
    <row r="381">
      <c r="A381" s="255" t="str">
        <f>IFERROR(__xludf.DUMMYFUNCTION("""COMPUTED_VALUE"""),"MICRO")</f>
        <v>MICRO</v>
      </c>
      <c r="B381" s="361" t="str">
        <f>IFERROR(__xludf.DUMMYFUNCTION("""COMPUTED_VALUE"""),"widia_pratiwi2")</f>
        <v>widia_pratiwi2</v>
      </c>
      <c r="C381" s="257" t="str">
        <f>IFERROR(__xludf.DUMMYFUNCTION("""COMPUTED_VALUE"""),"https://www.tiktok.com/@widia_pratiwi2")</f>
        <v>https://www.tiktok.com/@widia_pratiwi2</v>
      </c>
      <c r="D381" s="270">
        <f>IFERROR(__xludf.DUMMYFUNCTION("""COMPUTED_VALUE"""),8.1455046968E10)</f>
        <v>81455046968</v>
      </c>
      <c r="E381" s="457">
        <f>IFERROR(__xludf.DUMMYFUNCTION("""COMPUTED_VALUE"""),0.0)</f>
        <v>0</v>
      </c>
      <c r="F381" s="270">
        <f>IFERROR(__xludf.DUMMYFUNCTION("""COMPUTED_VALUE"""),4.0)</f>
        <v>4</v>
      </c>
      <c r="G381" s="17" t="str">
        <f>IFERROR(__xludf.DUMMYFUNCTION("""COMPUTED_VALUE"""),"Sabun batang 1 Box ( 2 PCS )")</f>
        <v>Sabun batang 1 Box ( 2 PCS )</v>
      </c>
      <c r="H381" s="463" t="str">
        <f>IFERROR(__xludf.DUMMYFUNCTION("""COMPUTED_VALUE"""),"Sampai")</f>
        <v>Sampai</v>
      </c>
      <c r="I381" s="464" t="str">
        <f>IFERROR(__xludf.DUMMYFUNCTION("""COMPUTED_VALUE"""),"KIMME")</f>
        <v>KIMME</v>
      </c>
      <c r="J381" s="279" t="str">
        <f>IFERROR(__xludf.DUMMYFUNCTION("""COMPUTED_VALUE"""),"https://www.tiktok.com/@sonyasinaga_/video/7627085820381433106?is_from_webapp=1&amp;sender_device=pc&amp;web_id=7611930277489657360")</f>
        <v>https://www.tiktok.com/@sonyasinaga_/video/7627085820381433106?is_from_webapp=1&amp;sender_device=pc&amp;web_id=7611930277489657360</v>
      </c>
      <c r="K381" s="464" t="str">
        <f>IFERROR(__xludf.DUMMYFUNCTION("""COMPUTED_VALUE"""),"KIMME")</f>
        <v>KIMME</v>
      </c>
      <c r="L381" s="279" t="str">
        <f>IFERROR(__xludf.DUMMYFUNCTION("""COMPUTED_VALUE"""),"https://www.tiktok.com/@vernikaariani/video/7627754761856552212?is_from_webapp=1&amp;sender_device=pc&amp;web_id=7611930277489657360")</f>
        <v>https://www.tiktok.com/@vernikaariani/video/7627754761856552212?is_from_webapp=1&amp;sender_device=pc&amp;web_id=7611930277489657360</v>
      </c>
      <c r="M381" s="464" t="str">
        <f>IFERROR(__xludf.DUMMYFUNCTION("""COMPUTED_VALUE"""),"KIMME")</f>
        <v>KIMME</v>
      </c>
      <c r="N381" s="279" t="str">
        <f>IFERROR(__xludf.DUMMYFUNCTION("""COMPUTED_VALUE"""),"https://www.tiktok.com/@im.jasmine6/video/7625017124888644885?is_from_webapp=1&amp;sender_device=pc&amp;web_id=7611930277489657360")</f>
        <v>https://www.tiktok.com/@im.jasmine6/video/7625017124888644885?is_from_webapp=1&amp;sender_device=pc&amp;web_id=7611930277489657360</v>
      </c>
      <c r="O381" s="464" t="str">
        <f>IFERROR(__xludf.DUMMYFUNCTION("""COMPUTED_VALUE"""),"KIMME")</f>
        <v>KIMME</v>
      </c>
      <c r="P381" s="279" t="str">
        <f>IFERROR(__xludf.DUMMYFUNCTION("""COMPUTED_VALUE"""),"https://www.tiktok.com/@im.jasmine6/video/7625017317058956565?is_from_webapp=1&amp;sender_device=pc&amp;web_id=7611930277489657360")</f>
        <v>https://www.tiktok.com/@im.jasmine6/video/7625017317058956565?is_from_webapp=1&amp;sender_device=pc&amp;web_id=7611930277489657360</v>
      </c>
    </row>
    <row r="382">
      <c r="A382" s="255" t="str">
        <f>IFERROR(__xludf.DUMMYFUNCTION("""COMPUTED_VALUE"""),"MACRO")</f>
        <v>MACRO</v>
      </c>
      <c r="B382" s="361" t="str">
        <f>IFERROR(__xludf.DUMMYFUNCTION("""COMPUTED_VALUE"""),"finengsya")</f>
        <v>finengsya</v>
      </c>
      <c r="C382" s="257" t="str">
        <f>IFERROR(__xludf.DUMMYFUNCTION("""COMPUTED_VALUE"""),"https://www.tiktok.com/@finengsya")</f>
        <v>https://www.tiktok.com/@finengsya</v>
      </c>
      <c r="D382" s="270">
        <f>IFERROR(__xludf.DUMMYFUNCTION("""COMPUTED_VALUE"""),8.2297341839E10)</f>
        <v>82297341839</v>
      </c>
      <c r="E382" s="457">
        <f>IFERROR(__xludf.DUMMYFUNCTION("""COMPUTED_VALUE"""),0.0)</f>
        <v>0</v>
      </c>
      <c r="F382" s="270">
        <f>IFERROR(__xludf.DUMMYFUNCTION("""COMPUTED_VALUE"""),4.0)</f>
        <v>4</v>
      </c>
      <c r="G382" s="17" t="str">
        <f>IFERROR(__xludf.DUMMYFUNCTION("""COMPUTED_VALUE"""),"Sabun batang 1 Box ( 2 PCS )")</f>
        <v>Sabun batang 1 Box ( 2 PCS )</v>
      </c>
      <c r="H382" s="463" t="str">
        <f>IFERROR(__xludf.DUMMYFUNCTION("""COMPUTED_VALUE"""),"Sampai")</f>
        <v>Sampai</v>
      </c>
      <c r="I382" s="464" t="str">
        <f>IFERROR(__xludf.DUMMYFUNCTION("""COMPUTED_VALUE"""),"KIMME")</f>
        <v>KIMME</v>
      </c>
      <c r="J382" s="279" t="str">
        <f>IFERROR(__xludf.DUMMYFUNCTION("""COMPUTED_VALUE"""),"https://www.tiktok.com/@dinaachmad30/video/7630336203090382098?is_from_webapp=1&amp;sender_device=pc&amp;web_id=7611930277489657360")</f>
        <v>https://www.tiktok.com/@dinaachmad30/video/7630336203090382098?is_from_webapp=1&amp;sender_device=pc&amp;web_id=7611930277489657360</v>
      </c>
      <c r="K382" s="464" t="str">
        <f>IFERROR(__xludf.DUMMYFUNCTION("""COMPUTED_VALUE"""),"KIMME")</f>
        <v>KIMME</v>
      </c>
      <c r="L382" s="279" t="str">
        <f>IFERROR(__xludf.DUMMYFUNCTION("""COMPUTED_VALUE"""),"https://www.tiktok.com/@myname_hana/video/7630738167213067540?is_from_webapp=1&amp;sender_device=pc&amp;web_id=7611930277489657360")</f>
        <v>https://www.tiktok.com/@myname_hana/video/7630738167213067540?is_from_webapp=1&amp;sender_device=pc&amp;web_id=7611930277489657360</v>
      </c>
      <c r="M382" s="464" t="str">
        <f>IFERROR(__xludf.DUMMYFUNCTION("""COMPUTED_VALUE"""),"KIMME")</f>
        <v>KIMME</v>
      </c>
      <c r="N382" s="279" t="str">
        <f>IFERROR(__xludf.DUMMYFUNCTION("""COMPUTED_VALUE"""),"https://www.tiktok.com/@productskincare/video/7629346717724413192?is_from_webapp=1&amp;sender_device=pc&amp;web_id=7611930277489657360")</f>
        <v>https://www.tiktok.com/@productskincare/video/7629346717724413192?is_from_webapp=1&amp;sender_device=pc&amp;web_id=7611930277489657360</v>
      </c>
      <c r="O382" s="464" t="str">
        <f>IFERROR(__xludf.DUMMYFUNCTION("""COMPUTED_VALUE"""),"KIMME")</f>
        <v>KIMME</v>
      </c>
      <c r="P382" s="279" t="str">
        <f>IFERROR(__xludf.DUMMYFUNCTION("""COMPUTED_VALUE"""),"https://www.tiktok.com/@productskincare/video/7629361647370407175?is_from_webapp=1&amp;sender_device=pc&amp;web_id=7611930277489657360")</f>
        <v>https://www.tiktok.com/@productskincare/video/7629361647370407175?is_from_webapp=1&amp;sender_device=pc&amp;web_id=7611930277489657360</v>
      </c>
    </row>
    <row r="383">
      <c r="A383" s="255" t="str">
        <f>IFERROR(__xludf.DUMMYFUNCTION("""COMPUTED_VALUE"""),"MICRO")</f>
        <v>MICRO</v>
      </c>
      <c r="B383" s="361" t="str">
        <f>IFERROR(__xludf.DUMMYFUNCTION("""COMPUTED_VALUE"""),"ontymuy_")</f>
        <v>ontymuy_</v>
      </c>
      <c r="C383" s="257" t="str">
        <f>IFERROR(__xludf.DUMMYFUNCTION("""COMPUTED_VALUE"""),"https://www.tiktok.com/@ontymuy_")</f>
        <v>https://www.tiktok.com/@ontymuy_</v>
      </c>
      <c r="D383" s="270">
        <f>IFERROR(__xludf.DUMMYFUNCTION("""COMPUTED_VALUE"""),8.9672604025E10)</f>
        <v>89672604025</v>
      </c>
      <c r="E383" s="457">
        <f>IFERROR(__xludf.DUMMYFUNCTION("""COMPUTED_VALUE"""),0.0)</f>
        <v>0</v>
      </c>
      <c r="F383" s="270">
        <f>IFERROR(__xludf.DUMMYFUNCTION("""COMPUTED_VALUE"""),4.0)</f>
        <v>4</v>
      </c>
      <c r="G383" s="17" t="str">
        <f>IFERROR(__xludf.DUMMYFUNCTION("""COMPUTED_VALUE"""),"Sabun batang 1 Box ( 2 PCS )")</f>
        <v>Sabun batang 1 Box ( 2 PCS )</v>
      </c>
      <c r="H383" s="463" t="str">
        <f>IFERROR(__xludf.DUMMYFUNCTION("""COMPUTED_VALUE"""),"Sampai")</f>
        <v>Sampai</v>
      </c>
      <c r="I383" s="464" t="str">
        <f>IFERROR(__xludf.DUMMYFUNCTION("""COMPUTED_VALUE"""),"KIMME")</f>
        <v>KIMME</v>
      </c>
      <c r="J383" s="279" t="str">
        <f>IFERROR(__xludf.DUMMYFUNCTION("""COMPUTED_VALUE"""),"https://vt.tiktok.com/ZS9Wr1WH8/")</f>
        <v>https://vt.tiktok.com/ZS9Wr1WH8/</v>
      </c>
      <c r="K383" s="464" t="str">
        <f>IFERROR(__xludf.DUMMYFUNCTION("""COMPUTED_VALUE"""),"KIMME")</f>
        <v>KIMME</v>
      </c>
      <c r="L383" s="279" t="str">
        <f>IFERROR(__xludf.DUMMYFUNCTION("""COMPUTED_VALUE"""),"https://vt.tiktok.com/ZS9WMc7fg/")</f>
        <v>https://vt.tiktok.com/ZS9WMc7fg/</v>
      </c>
      <c r="M383" s="464"/>
      <c r="N383" s="279" t="str">
        <f>IFERROR(__xludf.DUMMYFUNCTION("""COMPUTED_VALUE"""),"https://vt.tiktok.com/ZS9WMW51F/")</f>
        <v>https://vt.tiktok.com/ZS9WMW51F/</v>
      </c>
      <c r="O383" s="464"/>
      <c r="P383" s="279" t="str">
        <f>IFERROR(__xludf.DUMMYFUNCTION("""COMPUTED_VALUE"""),"https://vt.tiktok.com/ZS9Wrex3f/")</f>
        <v>https://vt.tiktok.com/ZS9Wrex3f/</v>
      </c>
    </row>
    <row r="384">
      <c r="A384" s="255" t="str">
        <f>IFERROR(__xludf.DUMMYFUNCTION("""COMPUTED_VALUE"""),"MICRO")</f>
        <v>MICRO</v>
      </c>
      <c r="B384" s="361" t="str">
        <f>IFERROR(__xludf.DUMMYFUNCTION("""COMPUTED_VALUE"""),"caramelatte168")</f>
        <v>caramelatte168</v>
      </c>
      <c r="C384" s="257" t="str">
        <f>IFERROR(__xludf.DUMMYFUNCTION("""COMPUTED_VALUE"""),"https://www.tiktok.com/@caramelatte168")</f>
        <v>https://www.tiktok.com/@caramelatte168</v>
      </c>
      <c r="D384" s="270">
        <f>IFERROR(__xludf.DUMMYFUNCTION("""COMPUTED_VALUE"""),8.5198641446E10)</f>
        <v>85198641446</v>
      </c>
      <c r="E384" s="457">
        <f>IFERROR(__xludf.DUMMYFUNCTION("""COMPUTED_VALUE"""),0.0)</f>
        <v>0</v>
      </c>
      <c r="F384" s="270">
        <f>IFERROR(__xludf.DUMMYFUNCTION("""COMPUTED_VALUE"""),2.0)</f>
        <v>2</v>
      </c>
      <c r="G384" s="17" t="str">
        <f>IFERROR(__xludf.DUMMYFUNCTION("""COMPUTED_VALUE"""),"Sabun batang 1 Box ( 2 PCS )")</f>
        <v>Sabun batang 1 Box ( 2 PCS )</v>
      </c>
      <c r="H384" s="463" t="str">
        <f>IFERROR(__xludf.DUMMYFUNCTION("""COMPUTED_VALUE"""),"Sampai")</f>
        <v>Sampai</v>
      </c>
      <c r="I384" s="464" t="str">
        <f>IFERROR(__xludf.DUMMYFUNCTION("""COMPUTED_VALUE"""),"KIMME")</f>
        <v>KIMME</v>
      </c>
      <c r="J384" s="279" t="str">
        <f>IFERROR(__xludf.DUMMYFUNCTION("""COMPUTED_VALUE"""),"https://vt.tiktok.com/ZS9WMsGGM/")</f>
        <v>https://vt.tiktok.com/ZS9WMsGGM/</v>
      </c>
      <c r="K384" s="464" t="str">
        <f>IFERROR(__xludf.DUMMYFUNCTION("""COMPUTED_VALUE"""),"KIMME")</f>
        <v>KIMME</v>
      </c>
      <c r="L384" s="279" t="str">
        <f>IFERROR(__xludf.DUMMYFUNCTION("""COMPUTED_VALUE"""),"https://vt.tiktok.com/ZS9WMGFep/")</f>
        <v>https://vt.tiktok.com/ZS9WMGFep/</v>
      </c>
      <c r="M384" s="464"/>
      <c r="N384" s="279" t="str">
        <f>IFERROR(__xludf.DUMMYFUNCTION("""COMPUTED_VALUE"""),"https://vt.tiktok.com/ZS9WrdgFx/")</f>
        <v>https://vt.tiktok.com/ZS9WrdgFx/</v>
      </c>
      <c r="O384" s="464"/>
      <c r="P384" s="279" t="str">
        <f>IFERROR(__xludf.DUMMYFUNCTION("""COMPUTED_VALUE"""),"https://vt.tiktok.com/ZS9ttVn87/")</f>
        <v>https://vt.tiktok.com/ZS9ttVn87/</v>
      </c>
    </row>
    <row r="385">
      <c r="A385" s="255" t="str">
        <f>IFERROR(__xludf.DUMMYFUNCTION("""COMPUTED_VALUE"""),"MICRO")</f>
        <v>MICRO</v>
      </c>
      <c r="B385" s="361" t="str">
        <f>IFERROR(__xludf.DUMMYFUNCTION("""COMPUTED_VALUE"""),"naura.karisma")</f>
        <v>naura.karisma</v>
      </c>
      <c r="C385" s="257" t="str">
        <f>IFERROR(__xludf.DUMMYFUNCTION("""COMPUTED_VALUE"""),"https://www.tiktok.com/@naura.karisma")</f>
        <v>https://www.tiktok.com/@naura.karisma</v>
      </c>
      <c r="D385" s="270">
        <f>IFERROR(__xludf.DUMMYFUNCTION("""COMPUTED_VALUE"""),8.7750610621E10)</f>
        <v>87750610621</v>
      </c>
      <c r="E385" s="457">
        <f>IFERROR(__xludf.DUMMYFUNCTION("""COMPUTED_VALUE"""),0.0)</f>
        <v>0</v>
      </c>
      <c r="F385" s="270">
        <f>IFERROR(__xludf.DUMMYFUNCTION("""COMPUTED_VALUE"""),4.0)</f>
        <v>4</v>
      </c>
      <c r="G385" s="17" t="str">
        <f>IFERROR(__xludf.DUMMYFUNCTION("""COMPUTED_VALUE"""),"Sabun batang 1 Box ( 2 PCS )")</f>
        <v>Sabun batang 1 Box ( 2 PCS )</v>
      </c>
      <c r="H385" s="463" t="str">
        <f>IFERROR(__xludf.DUMMYFUNCTION("""COMPUTED_VALUE"""),"Sampai")</f>
        <v>Sampai</v>
      </c>
      <c r="I385" s="464" t="str">
        <f>IFERROR(__xludf.DUMMYFUNCTION("""COMPUTED_VALUE"""),"KIMME")</f>
        <v>KIMME</v>
      </c>
      <c r="J385" s="279" t="str">
        <f>IFERROR(__xludf.DUMMYFUNCTION("""COMPUTED_VALUE"""),"https://www.tiktok.com/@naura.karisma/video/7619195609207016724?_r=1&amp;u_code=ee97hf50aa8g7e&amp;region=&amp;mid=7589650813012658964&amp;preview_pb=0&amp;sharer_language=&amp;_d=0&amp;ec_shared_reflux_dynamic_params=%7B%22placeholder_material_id%22%3A%227619195609207016724%22%2C%2"&amp;"2placeholder_origin_cover%22%3A%22https%253A%252F%252Fp16-sign-sg.tiktokcdn.com%252Ftos-alisg-p-0037%252FocbdOPDMQIfiJ4FGapmR5GCFeQfiwtzeAAkLlG~tplv-tiktokx-origin.jpeg%253Fdr%253D14572%2526refresh_token%253D914347cb%2526x-expires%253D1806051600%2526x-sig"&amp;"nature%253DHZVeXSx76k%25252F1%25252FxP%25252BM1RL7QkLWcs%25253D%2526t%253D4d5b0474%2526ps%253D13740610%2526shp%253Dd05b14bd%2526shcp%253D34ff8df6%2526idc%253Dmy2%2526s%253DTIKTOK_AFFILIATE_VIRAL_VIDEO%22%2C%22placeholder_product_id%22%3A%22172942776672272"&amp;"6591%22%2C%22placeholder_video_id%22%3A%227619195609207016724%22%7D&amp;ec_shared_reflux_scene=shop_tab_feed&amp;share_item_id=7619195609207016724&amp;source=h5_t")</f>
        <v>https://www.tiktok.com/@naura.karisma/video/7619195609207016724?_r=1&amp;u_code=ee97hf50aa8g7e&amp;region=&amp;mid=7589650813012658964&amp;preview_pb=0&amp;sharer_language=&amp;_d=0&amp;ec_shared_reflux_dynamic_params=%7B%22placeholder_material_id%22%3A%227619195609207016724%22%2C%22placeholder_origin_cover%22%3A%22https%253A%252F%252Fp16-sign-sg.tiktokcdn.com%252Ftos-alisg-p-0037%252FocbdOPDMQIfiJ4FGapmR5GCFeQfiwtzeAAkLlG~tplv-tiktokx-origin.jpeg%253Fdr%253D14572%2526refresh_token%253D914347cb%2526x-expires%253D1806051600%2526x-signature%253DHZVeXSx76k%25252F1%25252FxP%25252BM1RL7QkLWcs%25253D%2526t%253D4d5b0474%2526ps%253D13740610%2526shp%253Dd05b14bd%2526shcp%253D34ff8df6%2526idc%253Dmy2%2526s%253DTIKTOK_AFFILIATE_VIRAL_VIDEO%22%2C%22placeholder_product_id%22%3A%221729427766722726591%22%2C%22placeholder_video_id%22%3A%227619195609207016724%22%7D&amp;ec_shared_reflux_scene=shop_tab_feed&amp;share_item_id=7619195609207016724&amp;source=h5_t</v>
      </c>
      <c r="K385" s="464" t="str">
        <f>IFERROR(__xludf.DUMMYFUNCTION("""COMPUTED_VALUE"""),"KIMME")</f>
        <v>KIMME</v>
      </c>
      <c r="L385" s="279" t="str">
        <f>IFERROR(__xludf.DUMMYFUNCTION("""COMPUTED_VALUE"""),"https://www.tiktok.com/@naura.karisma/video/7620123480071130389?_d=0&amp;_r=1&amp;ec_shared_reflux_dynamic_params=%7B%22placeholder_material_id%22%3A%227620123480071130389%22%2C%22placeholder_origin_cover%22%3A%22https%253A%252F%252Fp16-sign-sg.tiktokcdn.com%252F"&amp;"tos-alisg-p-0037%252FosDCI0efGAkTFDArQtfCjONDAEVI4jDZaagTQr~tplv-tiktokx-origin.jpeg%253Fdr%253D14572%2526refresh_token%253D489d9c49%2526x-expires%253D1806051600%2526x-signature%253DQWwob9Y89vkGKv0URD5hAEEwF48%25253D%2526t%253D4d5b0474%2526ps%253D13740610"&amp;"%2526shp%253Dd05b14bd%2526shcp%253D34ff8df6%2526idc%253Dmy2%2526s%253DTIKTOK_AFFILIATE_VIRAL_VIDEO%22%2C%22placeholder_product_id%22%3A%221729427766722726591%22%2C%22placeholder_video_id%22%3A%227620123480071130389%22%7D&amp;ec_shared_reflux_scene=shop_tab_fe"&amp;"ed&amp;mid=7580102470815975425&amp;preview_pb=0&amp;region=&amp;share_item_id=7620123480071130389&amp;sharer_language=&amp;source=h5_t&amp;u_code=ee97hf50aa8g7e")</f>
        <v>https://www.tiktok.com/@naura.karisma/video/7620123480071130389?_d=0&amp;_r=1&amp;ec_shared_reflux_dynamic_params=%7B%22placeholder_material_id%22%3A%227620123480071130389%22%2C%22placeholder_origin_cover%22%3A%22https%253A%252F%252Fp16-sign-sg.tiktokcdn.com%252Ftos-alisg-p-0037%252FosDCI0efGAkTFDArQtfCjONDAEVI4jDZaagTQr~tplv-tiktokx-origin.jpeg%253Fdr%253D14572%2526refresh_token%253D489d9c49%2526x-expires%253D1806051600%2526x-signature%253DQWwob9Y89vkGKv0URD5hAEEwF48%25253D%2526t%253D4d5b0474%2526ps%253D13740610%2526shp%253Dd05b14bd%2526shcp%253D34ff8df6%2526idc%253Dmy2%2526s%253DTIKTOK_AFFILIATE_VIRAL_VIDEO%22%2C%22placeholder_product_id%22%3A%221729427766722726591%22%2C%22placeholder_video_id%22%3A%227620123480071130389%22%7D&amp;ec_shared_reflux_scene=shop_tab_feed&amp;mid=7580102470815975425&amp;preview_pb=0&amp;region=&amp;share_item_id=7620123480071130389&amp;sharer_language=&amp;source=h5_t&amp;u_code=ee97hf50aa8g7e</v>
      </c>
      <c r="M385" s="464" t="str">
        <f>IFERROR(__xludf.DUMMYFUNCTION("""COMPUTED_VALUE"""),"KIMME")</f>
        <v>KIMME</v>
      </c>
      <c r="N385" s="279" t="str">
        <f>IFERROR(__xludf.DUMMYFUNCTION("""COMPUTED_VALUE"""),"https://www.tiktok.com/@naura.karisma/video/7620246230387641620?_r=1&amp;u_code=ee97hf50aa8g7e&amp;region=&amp;mid=7597473893390289682&amp;preview_pb=0&amp;sharer_language=&amp;_d=0&amp;ec_shared_reflux_dynamic_params=%7B%22placeholder_material_id%22%3A%227620246230387641620%22%2C%2"&amp;"2placeholder_origin_cover%22%3A%22https%253A%252F%252Fp16-sign-sg.tiktokcdn.com%252Ftos-alisg-p-0037%252FoYuB2zD3FONLwGBOGRoCABsEm1TQQcDfgpIXfE~tplv-tiktokx-origin.jpeg%253Fdr%253D14572%2526refresh_token%253Df4fceb55%2526x-expires%253D1806051600%2526x-sig"&amp;"nature%253DrHj4KB%25252Fnxrj8ho%25252FsVzJyIamTIeY%25253D%2526t%253D4d5b0474%2526ps%253D13740610%2526shp%253Dd05b14bd%2526shcp%253D34ff8df6%2526idc%253Dmy2%2526s%253DTIKTOK_AFFILIATE_VIRAL_VIDEO%22%2C%22placeholder_product_id%22%3A%221729427766722726591%2"&amp;"2%2C%22placeholder_video_id%22%3A%227620246230387641620%22%7D&amp;ec_shared_reflux_scene=shop_tab_feed&amp;share_item_id=7620246230387641620&amp;source=h5_t")</f>
        <v>https://www.tiktok.com/@naura.karisma/video/7620246230387641620?_r=1&amp;u_code=ee97hf50aa8g7e&amp;region=&amp;mid=7597473893390289682&amp;preview_pb=0&amp;sharer_language=&amp;_d=0&amp;ec_shared_reflux_dynamic_params=%7B%22placeholder_material_id%22%3A%227620246230387641620%22%2C%22placeholder_origin_cover%22%3A%22https%253A%252F%252Fp16-sign-sg.tiktokcdn.com%252Ftos-alisg-p-0037%252FoYuB2zD3FONLwGBOGRoCABsEm1TQQcDfgpIXfE~tplv-tiktokx-origin.jpeg%253Fdr%253D14572%2526refresh_token%253Df4fceb55%2526x-expires%253D1806051600%2526x-signature%253DrHj4KB%25252Fnxrj8ho%25252FsVzJyIamTIeY%25253D%2526t%253D4d5b0474%2526ps%253D13740610%2526shp%253Dd05b14bd%2526shcp%253D34ff8df6%2526idc%253Dmy2%2526s%253DTIKTOK_AFFILIATE_VIRAL_VIDEO%22%2C%22placeholder_product_id%22%3A%221729427766722726591%22%2C%22placeholder_video_id%22%3A%227620246230387641620%22%7D&amp;ec_shared_reflux_scene=shop_tab_feed&amp;share_item_id=7620246230387641620&amp;source=h5_t</v>
      </c>
      <c r="O385" s="464" t="str">
        <f>IFERROR(__xludf.DUMMYFUNCTION("""COMPUTED_VALUE"""),"KIMME")</f>
        <v>KIMME</v>
      </c>
      <c r="P385" s="279" t="str">
        <f>IFERROR(__xludf.DUMMYFUNCTION("""COMPUTED_VALUE"""),"https://www.tiktok.com/@naura.karisma/video/7620432126386736404?_r=1&amp;u_code=ee97hf50aa8g7e&amp;region=&amp;mid=7505029365265876993&amp;preview_pb=0&amp;sharer_language=&amp;_d=0&amp;ec_shared_reflux_dynamic_params=%7B%22placeholder_material_id%22%3A%227620432126386736404%22%2C%2"&amp;"2placeholder_origin_cover%22%3A%22https%253A%252F%252Fp16-sign-sg.tiktokcdn.com%252Ftos-alisg-p-0037%252FoIM0FhssrAp8BIljwIig4NuB8fqXmrJiACAnBI~tplv-tiktokx-origin.jpeg%253Fdr%253D14572%2526refresh_token%253Dae13a2be%2526x-expires%253D1806051600%2526x-sig"&amp;"nature%253D0%25252Fx9KOG4uznapYJDnJywOzsPmoA%25253D%2526t%253D4d5b0474%2526ps%253D13740610%2526shp%253Dd05b14bd%2526shcp%253D34ff8df6%2526idc%253Dmy2%2526s%253DTIKTOK_AFFILIATE_VIRAL_VIDEO%22%2C%22placeholder_product_id%22%3A%221729427766722726591%22%2C%2"&amp;"2placeholder_video_id%22%3A%227620432126386736404%22%7D&amp;ec_shared_reflux_scene=shop_tab_feed&amp;share_item_id=7620432126386736404&amp;source=h5_t")</f>
        <v>https://www.tiktok.com/@naura.karisma/video/7620432126386736404?_r=1&amp;u_code=ee97hf50aa8g7e&amp;region=&amp;mid=7505029365265876993&amp;preview_pb=0&amp;sharer_language=&amp;_d=0&amp;ec_shared_reflux_dynamic_params=%7B%22placeholder_material_id%22%3A%227620432126386736404%22%2C%22placeholder_origin_cover%22%3A%22https%253A%252F%252Fp16-sign-sg.tiktokcdn.com%252Ftos-alisg-p-0037%252FoIM0FhssrAp8BIljwIig4NuB8fqXmrJiACAnBI~tplv-tiktokx-origin.jpeg%253Fdr%253D14572%2526refresh_token%253Dae13a2be%2526x-expires%253D1806051600%2526x-signature%253D0%25252Fx9KOG4uznapYJDnJywOzsPmoA%25253D%2526t%253D4d5b0474%2526ps%253D13740610%2526shp%253Dd05b14bd%2526shcp%253D34ff8df6%2526idc%253Dmy2%2526s%253DTIKTOK_AFFILIATE_VIRAL_VIDEO%22%2C%22placeholder_product_id%22%3A%221729427766722726591%22%2C%22placeholder_video_id%22%3A%227620432126386736404%22%7D&amp;ec_shared_reflux_scene=shop_tab_feed&amp;share_item_id=7620432126386736404&amp;source=h5_t</v>
      </c>
    </row>
    <row r="386">
      <c r="A386" s="255" t="str">
        <f>IFERROR(__xludf.DUMMYFUNCTION("""COMPUTED_VALUE"""),"MICRO")</f>
        <v>MICRO</v>
      </c>
      <c r="B386" s="361" t="str">
        <f>IFERROR(__xludf.DUMMYFUNCTION("""COMPUTED_VALUE"""),"zakiyahla27")</f>
        <v>zakiyahla27</v>
      </c>
      <c r="C386" s="257" t="str">
        <f>IFERROR(__xludf.DUMMYFUNCTION("""COMPUTED_VALUE"""),"https://www.tiktok.com/@zakiyahla27")</f>
        <v>https://www.tiktok.com/@zakiyahla27</v>
      </c>
      <c r="D386" s="270">
        <f>IFERROR(__xludf.DUMMYFUNCTION("""COMPUTED_VALUE"""),8.174908582E9)</f>
        <v>8174908582</v>
      </c>
      <c r="E386" s="457">
        <f>IFERROR(__xludf.DUMMYFUNCTION("""COMPUTED_VALUE"""),0.0)</f>
        <v>0</v>
      </c>
      <c r="F386" s="270">
        <f>IFERROR(__xludf.DUMMYFUNCTION("""COMPUTED_VALUE"""),1.0)</f>
        <v>1</v>
      </c>
      <c r="G386" s="17" t="str">
        <f>IFERROR(__xludf.DUMMYFUNCTION("""COMPUTED_VALUE"""),"Sabun batang 1 Box ( 2 PCS )")</f>
        <v>Sabun batang 1 Box ( 2 PCS )</v>
      </c>
      <c r="H386" s="463" t="str">
        <f>IFERROR(__xludf.DUMMYFUNCTION("""COMPUTED_VALUE"""),"Sampai")</f>
        <v>Sampai</v>
      </c>
      <c r="I386" s="464" t="str">
        <f>IFERROR(__xludf.DUMMYFUNCTION("""COMPUTED_VALUE"""),"KIMME")</f>
        <v>KIMME</v>
      </c>
      <c r="J386" s="279" t="str">
        <f>IFERROR(__xludf.DUMMYFUNCTION("""COMPUTED_VALUE"""),"https://www.tiktok.com/@racun.aprillia/video/7618410575109967124?is_from_webapp=1&amp;sender_device=pc")</f>
        <v>https://www.tiktok.com/@racun.aprillia/video/7618410575109967124?is_from_webapp=1&amp;sender_device=pc</v>
      </c>
      <c r="K386" s="464" t="str">
        <f>IFERROR(__xludf.DUMMYFUNCTION("""COMPUTED_VALUE"""),"KIMME")</f>
        <v>KIMME</v>
      </c>
      <c r="L386" s="279" t="str">
        <f>IFERROR(__xludf.DUMMYFUNCTION("""COMPUTED_VALUE"""),"https://vt.tiktok.com/ZS9tnk6KC/")</f>
        <v>https://vt.tiktok.com/ZS9tnk6KC/</v>
      </c>
      <c r="M386" s="464"/>
      <c r="N386" s="279" t="str">
        <f>IFERROR(__xludf.DUMMYFUNCTION("""COMPUTED_VALUE"""),"https://vt.tiktok.com/ZS9ttqoa2/")</f>
        <v>https://vt.tiktok.com/ZS9ttqoa2/</v>
      </c>
      <c r="O386" s="464"/>
      <c r="P386" s="279" t="str">
        <f>IFERROR(__xludf.DUMMYFUNCTION("""COMPUTED_VALUE"""),"https://vt.tiktok.com/ZS9tn1Hjh/")</f>
        <v>https://vt.tiktok.com/ZS9tn1Hjh/</v>
      </c>
    </row>
    <row r="387">
      <c r="A387" s="255" t="str">
        <f>IFERROR(__xludf.DUMMYFUNCTION("""COMPUTED_VALUE"""),"MICRO")</f>
        <v>MICRO</v>
      </c>
      <c r="B387" s="361" t="str">
        <f>IFERROR(__xludf.DUMMYFUNCTION("""COMPUTED_VALUE"""),"bulbul_802
")</f>
        <v>bulbul_802
</v>
      </c>
      <c r="C387" s="257" t="str">
        <f>IFERROR(__xludf.DUMMYFUNCTION("""COMPUTED_VALUE"""),"https://www.tiktok.com/@bulbul_802
")</f>
        <v>https://www.tiktok.com/@bulbul_802
</v>
      </c>
      <c r="D387" s="270">
        <f>IFERROR(__xludf.DUMMYFUNCTION("""COMPUTED_VALUE"""),8.960353909E10)</f>
        <v>89603539090</v>
      </c>
      <c r="E387" s="457">
        <f>IFERROR(__xludf.DUMMYFUNCTION("""COMPUTED_VALUE"""),0.0)</f>
        <v>0</v>
      </c>
      <c r="F387" s="270">
        <f>IFERROR(__xludf.DUMMYFUNCTION("""COMPUTED_VALUE"""),4.0)</f>
        <v>4</v>
      </c>
      <c r="G387" s="17" t="str">
        <f>IFERROR(__xludf.DUMMYFUNCTION("""COMPUTED_VALUE"""),"Sabun batang 1 Box ( 2 PCS )")</f>
        <v>Sabun batang 1 Box ( 2 PCS )</v>
      </c>
      <c r="H387" s="463" t="str">
        <f>IFERROR(__xludf.DUMMYFUNCTION("""COMPUTED_VALUE"""),"Sampai")</f>
        <v>Sampai</v>
      </c>
      <c r="I387" s="464" t="str">
        <f>IFERROR(__xludf.DUMMYFUNCTION("""COMPUTED_VALUE"""),"KIMME")</f>
        <v>KIMME</v>
      </c>
      <c r="J387" s="279" t="str">
        <f>IFERROR(__xludf.DUMMYFUNCTION("""COMPUTED_VALUE"""),"https://vt.tiktok.com/ZSHpvM1yd/")</f>
        <v>https://vt.tiktok.com/ZSHpvM1yd/</v>
      </c>
      <c r="K387" s="464" t="str">
        <f>IFERROR(__xludf.DUMMYFUNCTION("""COMPUTED_VALUE"""),"KIMME")</f>
        <v>KIMME</v>
      </c>
      <c r="L387" s="279" t="str">
        <f>IFERROR(__xludf.DUMMYFUNCTION("""COMPUTED_VALUE"""),"https://vt.tiktok.com/ZS9NHnexA/")</f>
        <v>https://vt.tiktok.com/ZS9NHnexA/</v>
      </c>
      <c r="M387" s="464" t="str">
        <f>IFERROR(__xludf.DUMMYFUNCTION("""COMPUTED_VALUE"""),"KIMME")</f>
        <v>KIMME</v>
      </c>
      <c r="N387" s="279" t="str">
        <f>IFERROR(__xludf.DUMMYFUNCTION("""COMPUTED_VALUE"""),"https://vt.tiktok.com/ZS9tnyVuf/")</f>
        <v>https://vt.tiktok.com/ZS9tnyVuf/</v>
      </c>
      <c r="O387" s="464"/>
      <c r="P387" s="279" t="str">
        <f>IFERROR(__xludf.DUMMYFUNCTION("""COMPUTED_VALUE"""),"https://vt.tiktok.com/ZS9tnrsw5/")</f>
        <v>https://vt.tiktok.com/ZS9tnrsw5/</v>
      </c>
    </row>
    <row r="388">
      <c r="A388" s="255" t="str">
        <f>IFERROR(__xludf.DUMMYFUNCTION("""COMPUTED_VALUE"""),"MICRO")</f>
        <v>MICRO</v>
      </c>
      <c r="B388" s="361" t="str">
        <f>IFERROR(__xludf.DUMMYFUNCTION("""COMPUTED_VALUE"""),"racunbymas")</f>
        <v>racunbymas</v>
      </c>
      <c r="C388" s="257" t="str">
        <f>IFERROR(__xludf.DUMMYFUNCTION("""COMPUTED_VALUE"""),"https://www.tiktok.com/@racunbymas")</f>
        <v>https://www.tiktok.com/@racunbymas</v>
      </c>
      <c r="D388" s="270">
        <f>IFERROR(__xludf.DUMMYFUNCTION("""COMPUTED_VALUE"""),8.7823330855E10)</f>
        <v>87823330855</v>
      </c>
      <c r="E388" s="457">
        <f>IFERROR(__xludf.DUMMYFUNCTION("""COMPUTED_VALUE"""),0.0)</f>
        <v>0</v>
      </c>
      <c r="F388" s="270">
        <f>IFERROR(__xludf.DUMMYFUNCTION("""COMPUTED_VALUE"""),4.0)</f>
        <v>4</v>
      </c>
      <c r="G388" s="17" t="str">
        <f>IFERROR(__xludf.DUMMYFUNCTION("""COMPUTED_VALUE"""),"Sabun batang 1 Box ( 2 PCS )")</f>
        <v>Sabun batang 1 Box ( 2 PCS )</v>
      </c>
      <c r="H388" s="463" t="str">
        <f>IFERROR(__xludf.DUMMYFUNCTION("""COMPUTED_VALUE"""),"Sampai")</f>
        <v>Sampai</v>
      </c>
      <c r="I388" s="464" t="str">
        <f>IFERROR(__xludf.DUMMYFUNCTION("""COMPUTED_VALUE"""),"KIMME")</f>
        <v>KIMME</v>
      </c>
      <c r="J388" s="279" t="str">
        <f>IFERROR(__xludf.DUMMYFUNCTION("""COMPUTED_VALUE"""),"https://www.tiktok.com/@racunbymas/video/7603671355330022664?is_from_webapp=1&amp;sender_device=pc&amp;web_id=7611930277489657360")</f>
        <v>https://www.tiktok.com/@racunbymas/video/7603671355330022664?is_from_webapp=1&amp;sender_device=pc&amp;web_id=7611930277489657360</v>
      </c>
      <c r="K388" s="464" t="str">
        <f>IFERROR(__xludf.DUMMYFUNCTION("""COMPUTED_VALUE"""),"KIMME")</f>
        <v>KIMME</v>
      </c>
      <c r="L388" s="279" t="str">
        <f>IFERROR(__xludf.DUMMYFUNCTION("""COMPUTED_VALUE"""),"https://www.tiktok.com/@racunbymas/video/7604362138160844050?is_from_webapp=1&amp;sender_device=pc&amp;web_id=7611930277489657360")</f>
        <v>https://www.tiktok.com/@racunbymas/video/7604362138160844050?is_from_webapp=1&amp;sender_device=pc&amp;web_id=7611930277489657360</v>
      </c>
      <c r="M388" s="464" t="str">
        <f>IFERROR(__xludf.DUMMYFUNCTION("""COMPUTED_VALUE"""),"KIMME")</f>
        <v>KIMME</v>
      </c>
      <c r="N388" s="279" t="str">
        <f>IFERROR(__xludf.DUMMYFUNCTION("""COMPUTED_VALUE"""),"https://www.tiktok.com/@racunbymas/video/7604860798636264722?is_from_webapp=1&amp;sender_device=pc&amp;web_id=7611930277489657360")</f>
        <v>https://www.tiktok.com/@racunbymas/video/7604860798636264722?is_from_webapp=1&amp;sender_device=pc&amp;web_id=7611930277489657360</v>
      </c>
      <c r="O388" s="464" t="str">
        <f>IFERROR(__xludf.DUMMYFUNCTION("""COMPUTED_VALUE"""),"KIMME")</f>
        <v>KIMME</v>
      </c>
      <c r="P388" s="279" t="str">
        <f>IFERROR(__xludf.DUMMYFUNCTION("""COMPUTED_VALUE"""),"https://www.tiktok.com/@racunbymas/video/7611099065010441490?is_from_webapp=1&amp;sender_device=pc&amp;web_id=7611930277489657360")</f>
        <v>https://www.tiktok.com/@racunbymas/video/7611099065010441490?is_from_webapp=1&amp;sender_device=pc&amp;web_id=7611930277489657360</v>
      </c>
    </row>
    <row r="389">
      <c r="A389" s="255" t="str">
        <f>IFERROR(__xludf.DUMMYFUNCTION("""COMPUTED_VALUE"""),"MICRO")</f>
        <v>MICRO</v>
      </c>
      <c r="B389" s="361" t="str">
        <f>IFERROR(__xludf.DUMMYFUNCTION("""COMPUTED_VALUE"""),"anasthetixs")</f>
        <v>anasthetixs</v>
      </c>
      <c r="C389" s="257" t="str">
        <f>IFERROR(__xludf.DUMMYFUNCTION("""COMPUTED_VALUE"""),"https://www.tiktok.com/@anasthetixs")</f>
        <v>https://www.tiktok.com/@anasthetixs</v>
      </c>
      <c r="D389" s="270">
        <f>IFERROR(__xludf.DUMMYFUNCTION("""COMPUTED_VALUE"""),8.136157581E10)</f>
        <v>81361575810</v>
      </c>
      <c r="E389" s="457">
        <f>IFERROR(__xludf.DUMMYFUNCTION("""COMPUTED_VALUE"""),0.0)</f>
        <v>0</v>
      </c>
      <c r="F389" s="270">
        <f>IFERROR(__xludf.DUMMYFUNCTION("""COMPUTED_VALUE"""),4.0)</f>
        <v>4</v>
      </c>
      <c r="G389" s="17" t="str">
        <f>IFERROR(__xludf.DUMMYFUNCTION("""COMPUTED_VALUE"""),"Sabun batang 1 Box ( 2 PCS )")</f>
        <v>Sabun batang 1 Box ( 2 PCS )</v>
      </c>
      <c r="H389" s="463" t="str">
        <f>IFERROR(__xludf.DUMMYFUNCTION("""COMPUTED_VALUE"""),"Sampai")</f>
        <v>Sampai</v>
      </c>
      <c r="I389" s="464" t="str">
        <f>IFERROR(__xludf.DUMMYFUNCTION("""COMPUTED_VALUE"""),"KIMME")</f>
        <v>KIMME</v>
      </c>
      <c r="J389" s="279" t="str">
        <f>IFERROR(__xludf.DUMMYFUNCTION("""COMPUTED_VALUE"""),"https://vt.tiktok.com/ZS9tnk1jQ/")</f>
        <v>https://vt.tiktok.com/ZS9tnk1jQ/</v>
      </c>
      <c r="K389" s="464" t="str">
        <f>IFERROR(__xludf.DUMMYFUNCTION("""COMPUTED_VALUE"""),"KIMME")</f>
        <v>KIMME</v>
      </c>
      <c r="L389" s="279" t="str">
        <f>IFERROR(__xludf.DUMMYFUNCTION("""COMPUTED_VALUE"""),"https://vt.tiktok.com/ZS9tnR51p/")</f>
        <v>https://vt.tiktok.com/ZS9tnR51p/</v>
      </c>
      <c r="M389" s="464"/>
      <c r="N389" s="279" t="str">
        <f>IFERROR(__xludf.DUMMYFUNCTION("""COMPUTED_VALUE"""),"https://vt.tiktok.com/ZS9tnAYev/")</f>
        <v>https://vt.tiktok.com/ZS9tnAYev/</v>
      </c>
      <c r="O389" s="464"/>
      <c r="P389" s="279" t="str">
        <f>IFERROR(__xludf.DUMMYFUNCTION("""COMPUTED_VALUE"""),"https://vt.tiktok.com/ZS9QrkXs8/")</f>
        <v>https://vt.tiktok.com/ZS9QrkXs8/</v>
      </c>
    </row>
    <row r="390">
      <c r="A390" s="255" t="str">
        <f>IFERROR(__xludf.DUMMYFUNCTION("""COMPUTED_VALUE"""),"MICRO")</f>
        <v>MICRO</v>
      </c>
      <c r="B390" s="361" t="str">
        <f>IFERROR(__xludf.DUMMYFUNCTION("""COMPUTED_VALUE"""),"Mbokehaydar")</f>
        <v>Mbokehaydar</v>
      </c>
      <c r="C390" s="257" t="str">
        <f>IFERROR(__xludf.DUMMYFUNCTION("""COMPUTED_VALUE"""),"https://www.tiktok.com/@Mbokehaydar")</f>
        <v>https://www.tiktok.com/@Mbokehaydar</v>
      </c>
      <c r="D390" s="270">
        <f>IFERROR(__xludf.DUMMYFUNCTION("""COMPUTED_VALUE"""),8.5119218447E10)</f>
        <v>85119218447</v>
      </c>
      <c r="E390" s="457">
        <f>IFERROR(__xludf.DUMMYFUNCTION("""COMPUTED_VALUE"""),0.0)</f>
        <v>0</v>
      </c>
      <c r="F390" s="270">
        <f>IFERROR(__xludf.DUMMYFUNCTION("""COMPUTED_VALUE"""),2.0)</f>
        <v>2</v>
      </c>
      <c r="G390" s="17" t="str">
        <f>IFERROR(__xludf.DUMMYFUNCTION("""COMPUTED_VALUE"""),"Sabun batang 1 Box ( 2 PCS )")</f>
        <v>Sabun batang 1 Box ( 2 PCS )</v>
      </c>
      <c r="H390" s="463" t="str">
        <f>IFERROR(__xludf.DUMMYFUNCTION("""COMPUTED_VALUE"""),"Sampai")</f>
        <v>Sampai</v>
      </c>
      <c r="I390" s="464" t="str">
        <f>IFERROR(__xludf.DUMMYFUNCTION("""COMPUTED_VALUE"""),"KIMME")</f>
        <v>KIMME</v>
      </c>
      <c r="J390" s="17" t="str">
        <f>IFERROR(__xludf.DUMMYFUNCTION("""COMPUTED_VALUE"""),"⁠https://vt.tiktok.com/ZS9QrmWKR/")</f>
        <v>⁠https://vt.tiktok.com/ZS9QrmWKR/</v>
      </c>
      <c r="K390" s="464" t="str">
        <f>IFERROR(__xludf.DUMMYFUNCTION("""COMPUTED_VALUE"""),"KIMME")</f>
        <v>KIMME</v>
      </c>
      <c r="L390" s="279" t="str">
        <f>IFERROR(__xludf.DUMMYFUNCTION("""COMPUTED_VALUE"""),"https://vt.tiktok.com/ZS9Qru145/")</f>
        <v>https://vt.tiktok.com/ZS9Qru145/</v>
      </c>
      <c r="M390" s="464"/>
      <c r="N390" s="279" t="str">
        <f>IFERROR(__xludf.DUMMYFUNCTION("""COMPUTED_VALUE"""),"https://vt.tiktok.com/ZS9VcGmHn/")</f>
        <v>https://vt.tiktok.com/ZS9VcGmHn/</v>
      </c>
      <c r="O390" s="464"/>
      <c r="P390" s="17" t="str">
        <f>IFERROR(__xludf.DUMMYFUNCTION("""COMPUTED_VALUE"""),"⁠https://vt.tiktok.com/ZS9VcCTWK/")</f>
        <v>⁠https://vt.tiktok.com/ZS9VcCTWK/</v>
      </c>
    </row>
    <row r="391">
      <c r="A391" s="255" t="str">
        <f>IFERROR(__xludf.DUMMYFUNCTION("""COMPUTED_VALUE"""),"MICRO")</f>
        <v>MICRO</v>
      </c>
      <c r="B391" s="361" t="str">
        <f>IFERROR(__xludf.DUMMYFUNCTION("""COMPUTED_VALUE"""),"lidyashop28")</f>
        <v>lidyashop28</v>
      </c>
      <c r="C391" s="257" t="str">
        <f>IFERROR(__xludf.DUMMYFUNCTION("""COMPUTED_VALUE"""),"https://www.tiktok.com/@lidyashop28")</f>
        <v>https://www.tiktok.com/@lidyashop28</v>
      </c>
      <c r="D391" s="270">
        <f>IFERROR(__xludf.DUMMYFUNCTION("""COMPUTED_VALUE"""),8.5270634087E10)</f>
        <v>85270634087</v>
      </c>
      <c r="E391" s="457">
        <f>IFERROR(__xludf.DUMMYFUNCTION("""COMPUTED_VALUE"""),0.0)</f>
        <v>0</v>
      </c>
      <c r="F391" s="270">
        <f>IFERROR(__xludf.DUMMYFUNCTION("""COMPUTED_VALUE"""),4.0)</f>
        <v>4</v>
      </c>
      <c r="G391" s="17" t="str">
        <f>IFERROR(__xludf.DUMMYFUNCTION("""COMPUTED_VALUE"""),"Sabun batang 1 Box ( 2 PCS )")</f>
        <v>Sabun batang 1 Box ( 2 PCS )</v>
      </c>
      <c r="H391" s="463" t="str">
        <f>IFERROR(__xludf.DUMMYFUNCTION("""COMPUTED_VALUE"""),"Sampai")</f>
        <v>Sampai</v>
      </c>
      <c r="I391" s="464" t="str">
        <f>IFERROR(__xludf.DUMMYFUNCTION("""COMPUTED_VALUE"""),"KIMME")</f>
        <v>KIMME</v>
      </c>
      <c r="J391" s="279" t="str">
        <f>IFERROR(__xludf.DUMMYFUNCTION("""COMPUTED_VALUE"""),"https://www.tiktok.com/@productskincare/video/7630375958050163986?is_from_webapp=1&amp;sender_device=pc&amp;web_id=7611930277489657360")</f>
        <v>https://www.tiktok.com/@productskincare/video/7630375958050163986?is_from_webapp=1&amp;sender_device=pc&amp;web_id=7611930277489657360</v>
      </c>
      <c r="K391" s="464" t="str">
        <f>IFERROR(__xludf.DUMMYFUNCTION("""COMPUTED_VALUE"""),"KIMME")</f>
        <v>KIMME</v>
      </c>
      <c r="L391" s="279" t="str">
        <f>IFERROR(__xludf.DUMMYFUNCTION("""COMPUTED_VALUE"""),"https://www.tiktok.com/@productskincare/video/7630623541653671175?is_from_webapp=1&amp;sender_device=pc&amp;web_id=7611930277489657360")</f>
        <v>https://www.tiktok.com/@productskincare/video/7630623541653671175?is_from_webapp=1&amp;sender_device=pc&amp;web_id=7611930277489657360</v>
      </c>
      <c r="M391" s="464" t="str">
        <f>IFERROR(__xludf.DUMMYFUNCTION("""COMPUTED_VALUE"""),"KIMME")</f>
        <v>KIMME</v>
      </c>
      <c r="N391" s="279" t="str">
        <f>IFERROR(__xludf.DUMMYFUNCTION("""COMPUTED_VALUE"""),"https://www.tiktok.com/@productskincare/video/7631737261540838663?is_from_webapp=1&amp;sender_device=pc&amp;web_id=7611930277489657360")</f>
        <v>https://www.tiktok.com/@productskincare/video/7631737261540838663?is_from_webapp=1&amp;sender_device=pc&amp;web_id=7611930277489657360</v>
      </c>
      <c r="O391" s="464" t="str">
        <f>IFERROR(__xludf.DUMMYFUNCTION("""COMPUTED_VALUE"""),"KIMME")</f>
        <v>KIMME</v>
      </c>
      <c r="P391" s="279" t="str">
        <f>IFERROR(__xludf.DUMMYFUNCTION("""COMPUTED_VALUE"""),"https://www.tiktok.com/@productskincare/video/7632145535440293127?is_from_webapp=1&amp;sender_device=pc&amp;web_id=7611930277489657360")</f>
        <v>https://www.tiktok.com/@productskincare/video/7632145535440293127?is_from_webapp=1&amp;sender_device=pc&amp;web_id=7611930277489657360</v>
      </c>
    </row>
    <row r="392">
      <c r="A392" s="255" t="str">
        <f>IFERROR(__xludf.DUMMYFUNCTION("""COMPUTED_VALUE"""),"MICRO")</f>
        <v>MICRO</v>
      </c>
      <c r="B392" s="361" t="str">
        <f>IFERROR(__xludf.DUMMYFUNCTION("""COMPUTED_VALUE"""),"merryayu_98")</f>
        <v>merryayu_98</v>
      </c>
      <c r="C392" s="257" t="str">
        <f>IFERROR(__xludf.DUMMYFUNCTION("""COMPUTED_VALUE"""),"https://www.tiktok.com/@merryayu_98")</f>
        <v>https://www.tiktok.com/@merryayu_98</v>
      </c>
      <c r="D392" s="270">
        <f>IFERROR(__xludf.DUMMYFUNCTION("""COMPUTED_VALUE"""),8.5656108197E10)</f>
        <v>85656108197</v>
      </c>
      <c r="E392" s="457">
        <f>IFERROR(__xludf.DUMMYFUNCTION("""COMPUTED_VALUE"""),50000.0)</f>
        <v>50000</v>
      </c>
      <c r="F392" s="270">
        <f>IFERROR(__xludf.DUMMYFUNCTION("""COMPUTED_VALUE"""),1.0)</f>
        <v>1</v>
      </c>
      <c r="G392" s="17" t="str">
        <f>IFERROR(__xludf.DUMMYFUNCTION("""COMPUTED_VALUE"""),"Sabun batang 1 Box ( 2 PCS )")</f>
        <v>Sabun batang 1 Box ( 2 PCS )</v>
      </c>
      <c r="H392" s="463" t="str">
        <f>IFERROR(__xludf.DUMMYFUNCTION("""COMPUTED_VALUE"""),"Sampai")</f>
        <v>Sampai</v>
      </c>
      <c r="I392" s="464" t="str">
        <f>IFERROR(__xludf.DUMMYFUNCTION("""COMPUTED_VALUE"""),"KIMME")</f>
        <v>KIMME</v>
      </c>
      <c r="J392" s="279" t="str">
        <f>IFERROR(__xludf.DUMMYFUNCTION("""COMPUTED_VALUE"""),"https://vt.tiktok.com/ZSunLTMDD/")</f>
        <v>https://vt.tiktok.com/ZSunLTMDD/</v>
      </c>
      <c r="K392" s="464" t="str">
        <f>IFERROR(__xludf.DUMMYFUNCTION("""COMPUTED_VALUE"""),"KIMME")</f>
        <v>KIMME</v>
      </c>
      <c r="L392" s="279" t="str">
        <f>IFERROR(__xludf.DUMMYFUNCTION("""COMPUTED_VALUE"""),"https://vt.tiktok.com/ZS9bLpGLu/")</f>
        <v>https://vt.tiktok.com/ZS9bLpGLu/</v>
      </c>
      <c r="M392" s="464"/>
      <c r="N392" s="279" t="str">
        <f>IFERROR(__xludf.DUMMYFUNCTION("""COMPUTED_VALUE"""),"https://vt.tiktok.com/ZS9G7gEbq/")</f>
        <v>https://vt.tiktok.com/ZS9G7gEbq/</v>
      </c>
      <c r="O392" s="464"/>
      <c r="P392" s="279" t="str">
        <f>IFERROR(__xludf.DUMMYFUNCTION("""COMPUTED_VALUE"""),"https://vt.tiktok.com/ZS9GvLyW6/")</f>
        <v>https://vt.tiktok.com/ZS9GvLyW6/</v>
      </c>
    </row>
    <row r="393">
      <c r="A393" s="255" t="str">
        <f>IFERROR(__xludf.DUMMYFUNCTION("""COMPUTED_VALUE"""),"MICRO")</f>
        <v>MICRO</v>
      </c>
      <c r="B393" s="361" t="str">
        <f>IFERROR(__xludf.DUMMYFUNCTION("""COMPUTED_VALUE"""),"elvisayman2")</f>
        <v>elvisayman2</v>
      </c>
      <c r="C393" s="257" t="str">
        <f>IFERROR(__xludf.DUMMYFUNCTION("""COMPUTED_VALUE"""),"https://www.tiktok.com/@elvisayman2")</f>
        <v>https://www.tiktok.com/@elvisayman2</v>
      </c>
      <c r="D393" s="270">
        <f>IFERROR(__xludf.DUMMYFUNCTION("""COMPUTED_VALUE"""),8.2147307624E10)</f>
        <v>82147307624</v>
      </c>
      <c r="E393" s="457">
        <f>IFERROR(__xludf.DUMMYFUNCTION("""COMPUTED_VALUE"""),0.0)</f>
        <v>0</v>
      </c>
      <c r="F393" s="270">
        <f>IFERROR(__xludf.DUMMYFUNCTION("""COMPUTED_VALUE"""),4.0)</f>
        <v>4</v>
      </c>
      <c r="G393" s="17" t="str">
        <f>IFERROR(__xludf.DUMMYFUNCTION("""COMPUTED_VALUE"""),"Sabun batang 1 Box ( 2 PCS )")</f>
        <v>Sabun batang 1 Box ( 2 PCS )</v>
      </c>
      <c r="H393" s="463" t="str">
        <f>IFERROR(__xludf.DUMMYFUNCTION("""COMPUTED_VALUE"""),"Sampai")</f>
        <v>Sampai</v>
      </c>
      <c r="I393" s="464" t="str">
        <f>IFERROR(__xludf.DUMMYFUNCTION("""COMPUTED_VALUE"""),"KIMME")</f>
        <v>KIMME</v>
      </c>
      <c r="J393" s="279" t="str">
        <f>IFERROR(__xludf.DUMMYFUNCTION("""COMPUTED_VALUE"""),"https://vt.tiktok.com/ZSHoNsBYU/")</f>
        <v>https://vt.tiktok.com/ZSHoNsBYU/</v>
      </c>
      <c r="K393" s="464" t="str">
        <f>IFERROR(__xludf.DUMMYFUNCTION("""COMPUTED_VALUE"""),"KIMME")</f>
        <v>KIMME</v>
      </c>
      <c r="L393" s="279" t="str">
        <f>IFERROR(__xludf.DUMMYFUNCTION("""COMPUTED_VALUE"""),"https://vt.tiktok.com/ZS9G7typC/")</f>
        <v>https://vt.tiktok.com/ZS9G7typC/</v>
      </c>
      <c r="M393" s="464"/>
      <c r="N393" s="279" t="str">
        <f>IFERROR(__xludf.DUMMYFUNCTION("""COMPUTED_VALUE"""),"https://vt.tiktok.com/ZS9G7tP1G/")</f>
        <v>https://vt.tiktok.com/ZS9G7tP1G/</v>
      </c>
      <c r="O393" s="464"/>
      <c r="P393" s="279" t="str">
        <f>IFERROR(__xludf.DUMMYFUNCTION("""COMPUTED_VALUE"""),"https://vt.tiktok.com/ZS9GvN1Ee/")</f>
        <v>https://vt.tiktok.com/ZS9GvN1Ee/</v>
      </c>
    </row>
    <row r="394">
      <c r="A394" s="255" t="str">
        <f>IFERROR(__xludf.DUMMYFUNCTION("""COMPUTED_VALUE"""),"MICRO")</f>
        <v>MICRO</v>
      </c>
      <c r="B394" s="361" t="str">
        <f>IFERROR(__xludf.DUMMYFUNCTION("""COMPUTED_VALUE"""),"ochacacaaaaa_")</f>
        <v>ochacacaaaaa_</v>
      </c>
      <c r="C394" s="257" t="str">
        <f>IFERROR(__xludf.DUMMYFUNCTION("""COMPUTED_VALUE"""),"https://www.tiktok.com/@ochacacaaaaa_")</f>
        <v>https://www.tiktok.com/@ochacacaaaaa_</v>
      </c>
      <c r="D394" s="270">
        <f>IFERROR(__xludf.DUMMYFUNCTION("""COMPUTED_VALUE"""),8.5855253609E10)</f>
        <v>85855253609</v>
      </c>
      <c r="E394" s="457">
        <f>IFERROR(__xludf.DUMMYFUNCTION("""COMPUTED_VALUE"""),750000.0)</f>
        <v>750000</v>
      </c>
      <c r="F394" s="270">
        <f>IFERROR(__xludf.DUMMYFUNCTION("""COMPUTED_VALUE"""),4.0)</f>
        <v>4</v>
      </c>
      <c r="G394" s="17" t="str">
        <f>IFERROR(__xludf.DUMMYFUNCTION("""COMPUTED_VALUE"""),"Sabun batang 1 Box ( 2 PCS )")</f>
        <v>Sabun batang 1 Box ( 2 PCS )</v>
      </c>
      <c r="H394" s="463" t="str">
        <f>IFERROR(__xludf.DUMMYFUNCTION("""COMPUTED_VALUE"""),"Sampai")</f>
        <v>Sampai</v>
      </c>
      <c r="I394" s="464" t="str">
        <f>IFERROR(__xludf.DUMMYFUNCTION("""COMPUTED_VALUE"""),"KIMME")</f>
        <v>KIMME</v>
      </c>
      <c r="J394" s="279" t="str">
        <f>IFERROR(__xludf.DUMMYFUNCTION("""COMPUTED_VALUE"""),"https://www.tiktok.com/@ochacacaaaaa_/video/7616283950654197012")</f>
        <v>https://www.tiktok.com/@ochacacaaaaa_/video/7616283950654197012</v>
      </c>
      <c r="K394" s="464" t="str">
        <f>IFERROR(__xludf.DUMMYFUNCTION("""COMPUTED_VALUE"""),"KIMME")</f>
        <v>KIMME</v>
      </c>
      <c r="L394" s="279" t="str">
        <f>IFERROR(__xludf.DUMMYFUNCTION("""COMPUTED_VALUE"""),"https://www.tiktok.com/@ochacacaaaaa_/video/7616285456459730197")</f>
        <v>https://www.tiktok.com/@ochacacaaaaa_/video/7616285456459730197</v>
      </c>
      <c r="M394" s="464" t="str">
        <f>IFERROR(__xludf.DUMMYFUNCTION("""COMPUTED_VALUE"""),"KIMME")</f>
        <v>KIMME</v>
      </c>
      <c r="N394" s="279" t="str">
        <f>IFERROR(__xludf.DUMMYFUNCTION("""COMPUTED_VALUE"""),"https://www.tiktok.com/@ochacacaaaaa_/video/7616331240764984584")</f>
        <v>https://www.tiktok.com/@ochacacaaaaa_/video/7616331240764984584</v>
      </c>
      <c r="O394" s="464" t="str">
        <f>IFERROR(__xludf.DUMMYFUNCTION("""COMPUTED_VALUE"""),"KIMME")</f>
        <v>KIMME</v>
      </c>
      <c r="P394" s="279" t="str">
        <f>IFERROR(__xludf.DUMMYFUNCTION("""COMPUTED_VALUE"""),"https://www.tiktok.com/@ochacacaaaaa_/video/7616332630673460487")</f>
        <v>https://www.tiktok.com/@ochacacaaaaa_/video/7616332630673460487</v>
      </c>
    </row>
    <row r="395">
      <c r="A395" s="255" t="str">
        <f>IFERROR(__xludf.DUMMYFUNCTION("""COMPUTED_VALUE"""),"MICRO")</f>
        <v>MICRO</v>
      </c>
      <c r="B395" s="361" t="str">
        <f>IFERROR(__xludf.DUMMYFUNCTION("""COMPUTED_VALUE"""),"arrabeauty.ss")</f>
        <v>arrabeauty.ss</v>
      </c>
      <c r="C395" s="257" t="str">
        <f>IFERROR(__xludf.DUMMYFUNCTION("""COMPUTED_VALUE"""),"https://www.tiktok.com/@arrabeauty.ss")</f>
        <v>https://www.tiktok.com/@arrabeauty.ss</v>
      </c>
      <c r="D395" s="270">
        <f>IFERROR(__xludf.DUMMYFUNCTION("""COMPUTED_VALUE"""),8.15543381E10)</f>
        <v>81554338100</v>
      </c>
      <c r="E395" s="457">
        <f>IFERROR(__xludf.DUMMYFUNCTION("""COMPUTED_VALUE"""),0.0)</f>
        <v>0</v>
      </c>
      <c r="F395" s="270">
        <f>IFERROR(__xludf.DUMMYFUNCTION("""COMPUTED_VALUE"""),1.0)</f>
        <v>1</v>
      </c>
      <c r="G395" s="17" t="str">
        <f>IFERROR(__xludf.DUMMYFUNCTION("""COMPUTED_VALUE"""),"Sabun batang 1 Box ( 2 PCS )")</f>
        <v>Sabun batang 1 Box ( 2 PCS )</v>
      </c>
      <c r="H395" s="463" t="str">
        <f>IFERROR(__xludf.DUMMYFUNCTION("""COMPUTED_VALUE"""),"Sampai")</f>
        <v>Sampai</v>
      </c>
      <c r="I395" s="464" t="str">
        <f>IFERROR(__xludf.DUMMYFUNCTION("""COMPUTED_VALUE"""),"KIMME")</f>
        <v>KIMME</v>
      </c>
      <c r="J395" s="279" t="str">
        <f>IFERROR(__xludf.DUMMYFUNCTION("""COMPUTED_VALUE"""),"https://www.tiktok.com/@arrabeauty.ss/video/7627050070273199367?is_from_webapp=1&amp;sender_device=pc")</f>
        <v>https://www.tiktok.com/@arrabeauty.ss/video/7627050070273199367?is_from_webapp=1&amp;sender_device=pc</v>
      </c>
      <c r="K395" s="464" t="str">
        <f>IFERROR(__xludf.DUMMYFUNCTION("""COMPUTED_VALUE"""),"KIMME")</f>
        <v>KIMME</v>
      </c>
      <c r="L395" s="279" t="str">
        <f>IFERROR(__xludf.DUMMYFUNCTION("""COMPUTED_VALUE"""),"https://vt.tiktok.com/ZSHxGDpPt/")</f>
        <v>https://vt.tiktok.com/ZSHxGDpPt/</v>
      </c>
      <c r="M395" s="464"/>
      <c r="N395" s="279" t="str">
        <f>IFERROR(__xludf.DUMMYFUNCTION("""COMPUTED_VALUE"""),"https://vt.tiktok.com/ZS9G7sKvf/")</f>
        <v>https://vt.tiktok.com/ZS9G7sKvf/</v>
      </c>
      <c r="O395" s="464"/>
      <c r="P395" s="279" t="str">
        <f>IFERROR(__xludf.DUMMYFUNCTION("""COMPUTED_VALUE"""),"https://vt.tiktok.com/ZS9G7TpUS/")</f>
        <v>https://vt.tiktok.com/ZS9G7TpUS/</v>
      </c>
    </row>
    <row r="396">
      <c r="A396" s="255" t="str">
        <f>IFERROR(__xludf.DUMMYFUNCTION("""COMPUTED_VALUE"""),"MICRO")</f>
        <v>MICRO</v>
      </c>
      <c r="B396" s="361" t="str">
        <f>IFERROR(__xludf.DUMMYFUNCTION("""COMPUTED_VALUE"""),"ucenggatoloco")</f>
        <v>ucenggatoloco</v>
      </c>
      <c r="C396" s="257" t="str">
        <f>IFERROR(__xludf.DUMMYFUNCTION("""COMPUTED_VALUE"""),"https://www.tiktok.com/@ucenggatoloco")</f>
        <v>https://www.tiktok.com/@ucenggatoloco</v>
      </c>
      <c r="D396" s="270">
        <f>IFERROR(__xludf.DUMMYFUNCTION("""COMPUTED_VALUE"""),8.2154288854E10)</f>
        <v>82154288854</v>
      </c>
      <c r="E396" s="457">
        <f>IFERROR(__xludf.DUMMYFUNCTION("""COMPUTED_VALUE"""),0.0)</f>
        <v>0</v>
      </c>
      <c r="F396" s="270">
        <f>IFERROR(__xludf.DUMMYFUNCTION("""COMPUTED_VALUE"""),3.0)</f>
        <v>3</v>
      </c>
      <c r="G396" s="17" t="str">
        <f>IFERROR(__xludf.DUMMYFUNCTION("""COMPUTED_VALUE"""),"Sabun batang 1 Box ( 2 PCS )")</f>
        <v>Sabun batang 1 Box ( 2 PCS )</v>
      </c>
      <c r="H396" s="463" t="str">
        <f>IFERROR(__xludf.DUMMYFUNCTION("""COMPUTED_VALUE"""),"Sampai")</f>
        <v>Sampai</v>
      </c>
      <c r="I396" s="464" t="str">
        <f>IFERROR(__xludf.DUMMYFUNCTION("""COMPUTED_VALUE"""),"KIMME")</f>
        <v>KIMME</v>
      </c>
      <c r="J396" s="17" t="str">
        <f>IFERROR(__xludf.DUMMYFUNCTION("""COMPUTED_VALUE"""),"⁠https://vt.tiktok.com/ZSHAmQkNg/")</f>
        <v>⁠https://vt.tiktok.com/ZSHAmQkNg/</v>
      </c>
      <c r="K396" s="464" t="str">
        <f>IFERROR(__xludf.DUMMYFUNCTION("""COMPUTED_VALUE"""),"KIMME")</f>
        <v>KIMME</v>
      </c>
      <c r="L396" s="17" t="str">
        <f>IFERROR(__xludf.DUMMYFUNCTION("""COMPUTED_VALUE"""),"⁠https://vt.tiktok.com/ZSHAmkCRd/")</f>
        <v>⁠https://vt.tiktok.com/ZSHAmkCRd/</v>
      </c>
      <c r="M396" s="464" t="str">
        <f>IFERROR(__xludf.DUMMYFUNCTION("""COMPUTED_VALUE"""),"KIMME")</f>
        <v>KIMME</v>
      </c>
      <c r="N396" s="17" t="str">
        <f>IFERROR(__xludf.DUMMYFUNCTION("""COMPUTED_VALUE"""),"⁠https://vt.tiktok.com/ZSHAmHRbW/")</f>
        <v>⁠https://vt.tiktok.com/ZSHAmHRbW/</v>
      </c>
      <c r="O396" s="464"/>
      <c r="P396" s="279" t="str">
        <f>IFERROR(__xludf.DUMMYFUNCTION("""COMPUTED_VALUE"""),"https://vt.tiktok.com/ZS9G7tpBE/")</f>
        <v>https://vt.tiktok.com/ZS9G7tpBE/</v>
      </c>
    </row>
    <row r="397">
      <c r="A397" s="255" t="str">
        <f>IFERROR(__xludf.DUMMYFUNCTION("""COMPUTED_VALUE"""),"MICRO")</f>
        <v>MICRO</v>
      </c>
      <c r="B397" s="361" t="str">
        <f>IFERROR(__xludf.DUMMYFUNCTION("""COMPUTED_VALUE"""),"fafaaddd")</f>
        <v>fafaaddd</v>
      </c>
      <c r="C397" s="257" t="str">
        <f>IFERROR(__xludf.DUMMYFUNCTION("""COMPUTED_VALUE"""),"https://www.tiktok.com/@fafaaddd")</f>
        <v>https://www.tiktok.com/@fafaaddd</v>
      </c>
      <c r="D397" s="270">
        <f>IFERROR(__xludf.DUMMYFUNCTION("""COMPUTED_VALUE"""),8.3896345805E10)</f>
        <v>83896345805</v>
      </c>
      <c r="E397" s="457">
        <f>IFERROR(__xludf.DUMMYFUNCTION("""COMPUTED_VALUE"""),0.0)</f>
        <v>0</v>
      </c>
      <c r="F397" s="270">
        <f>IFERROR(__xludf.DUMMYFUNCTION("""COMPUTED_VALUE"""),3.0)</f>
        <v>3</v>
      </c>
      <c r="G397" s="17" t="str">
        <f>IFERROR(__xludf.DUMMYFUNCTION("""COMPUTED_VALUE"""),"Sabun batang 1 Box ( 2 PCS )")</f>
        <v>Sabun batang 1 Box ( 2 PCS )</v>
      </c>
      <c r="H397" s="463" t="str">
        <f>IFERROR(__xludf.DUMMYFUNCTION("""COMPUTED_VALUE"""),"Sampai")</f>
        <v>Sampai</v>
      </c>
      <c r="I397" s="464" t="str">
        <f>IFERROR(__xludf.DUMMYFUNCTION("""COMPUTED_VALUE"""),"KIMME")</f>
        <v>KIMME</v>
      </c>
      <c r="J397" s="279" t="str">
        <f>IFERROR(__xludf.DUMMYFUNCTION("""COMPUTED_VALUE"""),"https://www.tiktok.com/@elisacollectione/video/7621434330874793237?_d=0&amp;_r=1&amp;ec_shared_reflux_dynamic_params=%7B%22placeholder_material_id%22%3A%227621434330874793237%22%2C%22placeholder_origin_cover%22%3A%22https%253A%252F%252Fp16-sign-sg.tiktokcdn.com%2"&amp;"52Ftos-alisg-p-0037%252Fow1ejTXm8AC8B0MxIHeJnLQAKXjOYiCDR4QQDe~tplv-tiktokx-origin.jpeg%253Fdr%253D14572%2526refresh_token%253Db2ffffef%2526x-expires%253D1806051600%2526x-signature%253DqBzUTw32lb4bfF7AR0pawbSDaec%25253D%2526t%253D4d5b0474%2526ps%253D13740"&amp;"610%2526shp%253Dd05b14bd%2526shcp%253D34ff8df6%2526idc%253Dmy2%2526s%253DTIKTOK_AFFILIATE_VIRAL_VIDEO%22%2C%22placeholder_product_id%22%3A%221729427766722726591%22%2C%22placeholder_video_id%22%3A%227621434330874793237%22%7D&amp;ec_shared_reflux_scene=shop_tab"&amp;"_feed&amp;mid=7593747801206262535&amp;preview_pb=0&amp;region=&amp;share_item_id=7621434330874793237&amp;sharer_language=&amp;source=h5_t&amp;u_code=dkgkc54agaf83g")</f>
        <v>https://www.tiktok.com/@elisacollectione/video/7621434330874793237?_d=0&amp;_r=1&amp;ec_shared_reflux_dynamic_params=%7B%22placeholder_material_id%22%3A%227621434330874793237%22%2C%22placeholder_origin_cover%22%3A%22https%253A%252F%252Fp16-sign-sg.tiktokcdn.com%252Ftos-alisg-p-0037%252Fow1ejTXm8AC8B0MxIHeJnLQAKXjOYiCDR4QQDe~tplv-tiktokx-origin.jpeg%253Fdr%253D14572%2526refresh_token%253Db2ffffef%2526x-expires%253D1806051600%2526x-signature%253DqBzUTw32lb4bfF7AR0pawbSDaec%25253D%2526t%253D4d5b0474%2526ps%253D13740610%2526shp%253Dd05b14bd%2526shcp%253D34ff8df6%2526idc%253Dmy2%2526s%253DTIKTOK_AFFILIATE_VIRAL_VIDEO%22%2C%22placeholder_product_id%22%3A%221729427766722726591%22%2C%22placeholder_video_id%22%3A%227621434330874793237%22%7D&amp;ec_shared_reflux_scene=shop_tab_feed&amp;mid=7593747801206262535&amp;preview_pb=0&amp;region=&amp;share_item_id=7621434330874793237&amp;sharer_language=&amp;source=h5_t&amp;u_code=dkgkc54agaf83g</v>
      </c>
      <c r="K397" s="464" t="str">
        <f>IFERROR(__xludf.DUMMYFUNCTION("""COMPUTED_VALUE"""),"KIMME")</f>
        <v>KIMME</v>
      </c>
      <c r="L397" s="279" t="str">
        <f>IFERROR(__xludf.DUMMYFUNCTION("""COMPUTED_VALUE"""),"https://www.tiktok.com/@elisacollectione/video/7621469075008539924?_d=0&amp;_r=1&amp;ec_shared_reflux_dynamic_params=%7B%22placeholder_material_id%22%3A%227621469075008539924%22%2C%22placeholder_origin_cover%22%3A%22https%253A%252F%252Fp16-sign-sg.tiktokcdn.com%2"&amp;"52Ftos-alisg-p-0037%252FoUeUQcIKyDA5yZ6CbOFxBRpC2EkgCBuxQWfpJE~tplv-tiktokx-origin.jpeg%253Fdr%253D14572%2526refresh_token%253Db327e4e2%2526x-expires%253D1806051600%2526x-signature%253DfIvjMuQB%25252Bs%25252BZq7dEDt2LAPpk66A%25253D%2526t%253D4d5b0474%2526"&amp;"ps%253D13740610%2526shp%253Dd05b14bd%2526shcp%253D34ff8df6%2526idc%253Dmy2%2526s%253DTIKTOK_AFFILIATE_VIRAL_VIDEO%22%2C%22placeholder_product_id%22%3A%221729427766722726591%22%2C%22placeholder_video_id%22%3A%227621469075008539924%22%7D&amp;ec_shared_reflux_sc"&amp;"ene=shop_tab_feed&amp;mid=7315774734309509894&amp;preview_pb=0&amp;region=&amp;share_item_id=7621469075008539924&amp;sharer_language=&amp;source=h5_t&amp;u_code=dkgkc54agaf83g")</f>
        <v>https://www.tiktok.com/@elisacollectione/video/7621469075008539924?_d=0&amp;_r=1&amp;ec_shared_reflux_dynamic_params=%7B%22placeholder_material_id%22%3A%227621469075008539924%22%2C%22placeholder_origin_cover%22%3A%22https%253A%252F%252Fp16-sign-sg.tiktokcdn.com%252Ftos-alisg-p-0037%252FoUeUQcIKyDA5yZ6CbOFxBRpC2EkgCBuxQWfpJE~tplv-tiktokx-origin.jpeg%253Fdr%253D14572%2526refresh_token%253Db327e4e2%2526x-expires%253D1806051600%2526x-signature%253DfIvjMuQB%25252Bs%25252BZq7dEDt2LAPpk66A%25253D%2526t%253D4d5b0474%2526ps%253D13740610%2526shp%253Dd05b14bd%2526shcp%253D34ff8df6%2526idc%253Dmy2%2526s%253DTIKTOK_AFFILIATE_VIRAL_VIDEO%22%2C%22placeholder_product_id%22%3A%221729427766722726591%22%2C%22placeholder_video_id%22%3A%227621469075008539924%22%7D&amp;ec_shared_reflux_scene=shop_tab_feed&amp;mid=7315774734309509894&amp;preview_pb=0&amp;region=&amp;share_item_id=7621469075008539924&amp;sharer_language=&amp;source=h5_t&amp;u_code=dkgkc54agaf83g</v>
      </c>
      <c r="M397" s="464" t="str">
        <f>IFERROR(__xludf.DUMMYFUNCTION("""COMPUTED_VALUE"""),"KIMME")</f>
        <v>KIMME</v>
      </c>
      <c r="N397" s="279" t="str">
        <f>IFERROR(__xludf.DUMMYFUNCTION("""COMPUTED_VALUE"""),"https://www.tiktok.com/@sans.brey/video/7624873666651753749?_r=1&amp;u_code=ebj3gc8d4d5jb3&amp;region=&amp;mid=7599261910470560520&amp;preview_pb=0&amp;sharer_language=&amp;_d=0&amp;ec_shared_reflux_dynamic_params=%7B%22placeholder_material_id%22%3A%227624873666651753749%22%2C%22pla"&amp;"ceholder_origin_cover%22%3A%22https%253A%252F%252Fp16-common-sign.tiktokcdn.com%252Ftos-alisg-p-0037%252FoANHxn6RQfufAXeaRHQBMAGeYD8QF5MBRAP8GD~tplv-tiktokx-origin.jpeg%253Fdr%253D14572%2526refresh_token%253Da23be85e%2526x-expires%253D1807070400%2526x-sig"&amp;"nature%253D6bLIv0m84H%25252BuekeSVg%25252BYN0NkUWI%25253D%2526t%253D4d5b0474%2526ps%253D13740610%2526shp%253Dd05b14bd%2526shcp%253D34ff8df6%2526idc%253Dmy2%2526s%253DTIKTOK_AFFILIATE_VIRAL_VIDEO%22%2C%22placeholder_product_id%22%3A%221729427766722726591%2"&amp;"2%2C%22placeholder_video_id%22%3A%227624873666651753749%22%7D&amp;ec_shared_reflux_scene=shop_tab_feed&amp;share_item_id=7624873666651753749&amp;source=h5_t")</f>
        <v>https://www.tiktok.com/@sans.brey/video/7624873666651753749?_r=1&amp;u_code=ebj3gc8d4d5jb3&amp;region=&amp;mid=7599261910470560520&amp;preview_pb=0&amp;sharer_language=&amp;_d=0&amp;ec_shared_reflux_dynamic_params=%7B%22placeholder_material_id%22%3A%227624873666651753749%22%2C%22placeholder_origin_cover%22%3A%22https%253A%252F%252Fp16-common-sign.tiktokcdn.com%252Ftos-alisg-p-0037%252FoANHxn6RQfufAXeaRHQBMAGeYD8QF5MBRAP8GD~tplv-tiktokx-origin.jpeg%253Fdr%253D14572%2526refresh_token%253Da23be85e%2526x-expires%253D1807070400%2526x-signature%253D6bLIv0m84H%25252BuekeSVg%25252BYN0NkUWI%25253D%2526t%253D4d5b0474%2526ps%253D13740610%2526shp%253Dd05b14bd%2526shcp%253D34ff8df6%2526idc%253Dmy2%2526s%253DTIKTOK_AFFILIATE_VIRAL_VIDEO%22%2C%22placeholder_product_id%22%3A%221729427766722726591%22%2C%22placeholder_video_id%22%3A%227624873666651753749%22%7D&amp;ec_shared_reflux_scene=shop_tab_feed&amp;share_item_id=7624873666651753749&amp;source=h5_t</v>
      </c>
      <c r="O397" s="464"/>
      <c r="P397" s="279" t="str">
        <f>IFERROR(__xludf.DUMMYFUNCTION("""COMPUTED_VALUE"""),"https://vt.tiktok.com/ZS9GvjFFe/")</f>
        <v>https://vt.tiktok.com/ZS9GvjFFe/</v>
      </c>
    </row>
    <row r="398">
      <c r="A398" s="255" t="str">
        <f>IFERROR(__xludf.DUMMYFUNCTION("""COMPUTED_VALUE"""),"MICRO")</f>
        <v>MICRO</v>
      </c>
      <c r="B398" s="361" t="str">
        <f>IFERROR(__xludf.DUMMYFUNCTION("""COMPUTED_VALUE"""),"baby_aqilla001")</f>
        <v>baby_aqilla001</v>
      </c>
      <c r="C398" s="257" t="str">
        <f>IFERROR(__xludf.DUMMYFUNCTION("""COMPUTED_VALUE"""),"https://www.tiktok.com/@baby_aqilla001")</f>
        <v>https://www.tiktok.com/@baby_aqilla001</v>
      </c>
      <c r="D398" s="270">
        <f>IFERROR(__xludf.DUMMYFUNCTION("""COMPUTED_VALUE"""),8.3871097715E10)</f>
        <v>83871097715</v>
      </c>
      <c r="E398" s="457">
        <f>IFERROR(__xludf.DUMMYFUNCTION("""COMPUTED_VALUE"""),0.0)</f>
        <v>0</v>
      </c>
      <c r="F398" s="270">
        <f>IFERROR(__xludf.DUMMYFUNCTION("""COMPUTED_VALUE"""),3.0)</f>
        <v>3</v>
      </c>
      <c r="G398" s="17" t="str">
        <f>IFERROR(__xludf.DUMMYFUNCTION("""COMPUTED_VALUE"""),"Sabun batang 1 Box ( 2 PCS )")</f>
        <v>Sabun batang 1 Box ( 2 PCS )</v>
      </c>
      <c r="H398" s="463" t="str">
        <f>IFERROR(__xludf.DUMMYFUNCTION("""COMPUTED_VALUE"""),"Sampai")</f>
        <v>Sampai</v>
      </c>
      <c r="I398" s="464" t="str">
        <f>IFERROR(__xludf.DUMMYFUNCTION("""COMPUTED_VALUE"""),"KIMME")</f>
        <v>KIMME</v>
      </c>
      <c r="J398" s="279" t="str">
        <f>IFERROR(__xludf.DUMMYFUNCTION("""COMPUTED_VALUE"""),"https://www.tiktok.com/@sans.brey/video/7624807890095787285?_r=1&amp;u_code=ebj3gc8d4d5jb3&amp;region=&amp;mid=7616816741914168071&amp;preview_pb=0&amp;sharer_language=&amp;_d=0&amp;ec_shared_reflux_dynamic_params=%7B%22placeholder_material_id%22%3A%227624807890095787285%22%2C%22pla"&amp;"ceholder_origin_cover%22%3A%22https%253A%252F%252Fp16-sign-sg.tiktokcdn.com%252Ftos-alisg-p-0037%252FogheGERIjQsANo289WQCuLMTiMeXQDXYCAfQho~tplv-tiktokx-origin.jpeg%253Fdr%253D14572%2526refresh_token%253Dbf7bbb06%2526x-expires%253D1807070400%2526x-signatu"&amp;"re%253D3dmQ3NBTJ%25252Bem3HMoLY%25252FyZdc1vgM%25253D%2526t%253D4d5b0474%2526ps%253D13740610%2526shp%253Dd05b14bd%2526shcp%253D34ff8df6%2526idc%253Dmy2%2526s%253DTIKTOK_AFFILIATE_VIRAL_VIDEO%22%2C%22placeholder_product_id%22%3A%221729427766722726591%22%2C"&amp;"%22placeholder_video_id%22%3A%227624807890095787285%22%7D&amp;ec_shared_reflux_scene=shop_tab_feed&amp;share_item_id=7624807890095787285&amp;source=h5_t")</f>
        <v>https://www.tiktok.com/@sans.brey/video/7624807890095787285?_r=1&amp;u_code=ebj3gc8d4d5jb3&amp;region=&amp;mid=7616816741914168071&amp;preview_pb=0&amp;sharer_language=&amp;_d=0&amp;ec_shared_reflux_dynamic_params=%7B%22placeholder_material_id%22%3A%227624807890095787285%22%2C%22placeholder_origin_cover%22%3A%22https%253A%252F%252Fp16-sign-sg.tiktokcdn.com%252Ftos-alisg-p-0037%252FogheGERIjQsANo289WQCuLMTiMeXQDXYCAfQho~tplv-tiktokx-origin.jpeg%253Fdr%253D14572%2526refresh_token%253Dbf7bbb06%2526x-expires%253D1807070400%2526x-signature%253D3dmQ3NBTJ%25252Bem3HMoLY%25252FyZdc1vgM%25253D%2526t%253D4d5b0474%2526ps%253D13740610%2526shp%253Dd05b14bd%2526shcp%253D34ff8df6%2526idc%253Dmy2%2526s%253DTIKTOK_AFFILIATE_VIRAL_VIDEO%22%2C%22placeholder_product_id%22%3A%221729427766722726591%22%2C%22placeholder_video_id%22%3A%227624807890095787285%22%7D&amp;ec_shared_reflux_scene=shop_tab_feed&amp;share_item_id=7624807890095787285&amp;source=h5_t</v>
      </c>
      <c r="K398" s="464" t="str">
        <f>IFERROR(__xludf.DUMMYFUNCTION("""COMPUTED_VALUE"""),"KIMME")</f>
        <v>KIMME</v>
      </c>
      <c r="L398" s="279" t="str">
        <f>IFERROR(__xludf.DUMMYFUNCTION("""COMPUTED_VALUE"""),"https://www.tiktok.com/@sans.brey/video/7624543088366701845?_r=1&amp;u_code=ebj3gc8d4d5jb3&amp;region=&amp;mid=7493551722586114818&amp;preview_pb=0&amp;sharer_language=&amp;_d=0&amp;ec_shared_reflux_dynamic_params=%7B%22placeholder_material_id%22%3A%227624543088366701845%22%2C%22pla"&amp;"ceholder_origin_cover%22%3A%22https%253A%252F%252Fp16-sign-sg.tiktokcdn.com%252Ftos-alisg-p-0037%252FokaZPAkO6oBUcIQTfnLeDCAuf0LXL0QhjyGAI5~tplv-tiktokx-origin.jpeg%253Fdr%253D14572%2526refresh_token%253Da7327dc3%2526x-expires%253D1807070400%2526x-signatu"&amp;"re%253Dm1w5m76vIuqnScNDLgEKTmIgIec%25253D%2526t%253D4d5b0474%2526ps%253D13740610%2526shp%253Dd05b14bd%2526shcp%253D34ff8df6%2526idc%253Dmy2%2526s%253DTIKTOK_AFFILIATE_VIRAL_VIDEO%22%2C%22placeholder_product_id%22%3A%221729427766722726591%22%2C%22placehold"&amp;"er_video_id%22%3A%227624543088366701845%22%7D&amp;ec_shared_reflux_scene=shop_tab_feed&amp;share_item_id=7624543088366701845&amp;source=h5_t")</f>
        <v>https://www.tiktok.com/@sans.brey/video/7624543088366701845?_r=1&amp;u_code=ebj3gc8d4d5jb3&amp;region=&amp;mid=7493551722586114818&amp;preview_pb=0&amp;sharer_language=&amp;_d=0&amp;ec_shared_reflux_dynamic_params=%7B%22placeholder_material_id%22%3A%227624543088366701845%22%2C%22placeholder_origin_cover%22%3A%22https%253A%252F%252Fp16-sign-sg.tiktokcdn.com%252Ftos-alisg-p-0037%252FokaZPAkO6oBUcIQTfnLeDCAuf0LXL0QhjyGAI5~tplv-tiktokx-origin.jpeg%253Fdr%253D14572%2526refresh_token%253Da7327dc3%2526x-expires%253D1807070400%2526x-signature%253Dm1w5m76vIuqnScNDLgEKTmIgIec%25253D%2526t%253D4d5b0474%2526ps%253D13740610%2526shp%253Dd05b14bd%2526shcp%253D34ff8df6%2526idc%253Dmy2%2526s%253DTIKTOK_AFFILIATE_VIRAL_VIDEO%22%2C%22placeholder_product_id%22%3A%221729427766722726591%22%2C%22placeholder_video_id%22%3A%227624543088366701845%22%7D&amp;ec_shared_reflux_scene=shop_tab_feed&amp;share_item_id=7624543088366701845&amp;source=h5_t</v>
      </c>
      <c r="M398" s="464" t="str">
        <f>IFERROR(__xludf.DUMMYFUNCTION("""COMPUTED_VALUE"""),"KIMME")</f>
        <v>KIMME</v>
      </c>
      <c r="N398" s="279" t="str">
        <f>IFERROR(__xludf.DUMMYFUNCTION("""COMPUTED_VALUE"""),"https://www.tiktok.com/@sans.brey/video/7624414875355254037?_r=1&amp;u_code=ebj3gc8d4d5jb3&amp;region=&amp;mid=7518573381307190072&amp;preview_pb=0&amp;sharer_language=&amp;_d=0&amp;ec_shared_reflux_dynamic_params=%7B%22placeholder_material_id%22%3A%227624414875355254037%22%2C%22pla"&amp;"ceholder_origin_cover%22%3A%22https%253A%252F%252Fp16-common-sign.tiktokcdn.com%252Ftos-alisg-p-0037%252FoQeerLngAPRjrG1YgwXDHFQMf9IInTx4ADCPgi~tplv-tiktokx-origin.jpeg%253Fdr%253D14572%2526refresh_token%253Deced883a%2526x-expires%253D1807070400%2526x-sig"&amp;"nature%253DxZjoduegT%25252FWy0f7ZYlB7XYv81Fk%25253D%2526t%253D4d5b0474%2526ps%253D13740610%2526shp%253Dd05b14bd%2526shcp%253D34ff8df6%2526idc%253Dmy2%2526s%253DTIKTOK_AFFILIATE_VIRAL_VIDEO%22%2C%22placeholder_product_id%22%3A%221729427766722726591%22%2C%2"&amp;"2placeholder_video_id%22%3A%227624414875355254037%22%7D&amp;ec_shared_reflux_scene=shop_tab_feed&amp;share_item_id=7624414875355254037&amp;source=h5_t")</f>
        <v>https://www.tiktok.com/@sans.brey/video/7624414875355254037?_r=1&amp;u_code=ebj3gc8d4d5jb3&amp;region=&amp;mid=7518573381307190072&amp;preview_pb=0&amp;sharer_language=&amp;_d=0&amp;ec_shared_reflux_dynamic_params=%7B%22placeholder_material_id%22%3A%227624414875355254037%22%2C%22placeholder_origin_cover%22%3A%22https%253A%252F%252Fp16-common-sign.tiktokcdn.com%252Ftos-alisg-p-0037%252FoQeerLngAPRjrG1YgwXDHFQMf9IInTx4ADCPgi~tplv-tiktokx-origin.jpeg%253Fdr%253D14572%2526refresh_token%253Deced883a%2526x-expires%253D1807070400%2526x-signature%253DxZjoduegT%25252FWy0f7ZYlB7XYv81Fk%25253D%2526t%253D4d5b0474%2526ps%253D13740610%2526shp%253Dd05b14bd%2526shcp%253D34ff8df6%2526idc%253Dmy2%2526s%253DTIKTOK_AFFILIATE_VIRAL_VIDEO%22%2C%22placeholder_product_id%22%3A%221729427766722726591%22%2C%22placeholder_video_id%22%3A%227624414875355254037%22%7D&amp;ec_shared_reflux_scene=shop_tab_feed&amp;share_item_id=7624414875355254037&amp;source=h5_t</v>
      </c>
      <c r="O398" s="464"/>
      <c r="P398" s="279" t="str">
        <f>IFERROR(__xludf.DUMMYFUNCTION("""COMPUTED_VALUE"""),"https://vt.tiktok.com/ZS9GvhbSw/")</f>
        <v>https://vt.tiktok.com/ZS9GvhbSw/</v>
      </c>
    </row>
    <row r="399">
      <c r="A399" s="255" t="str">
        <f>IFERROR(__xludf.DUMMYFUNCTION("""COMPUTED_VALUE"""),"MICRO")</f>
        <v>MICRO</v>
      </c>
      <c r="B399" s="361" t="str">
        <f>IFERROR(__xludf.DUMMYFUNCTION("""COMPUTED_VALUE"""),"diaanislami")</f>
        <v>diaanislami</v>
      </c>
      <c r="C399" s="257" t="str">
        <f>IFERROR(__xludf.DUMMYFUNCTION("""COMPUTED_VALUE"""),"https://www.tiktok.com/@diaanislami")</f>
        <v>https://www.tiktok.com/@diaanislami</v>
      </c>
      <c r="D399" s="270">
        <f>IFERROR(__xludf.DUMMYFUNCTION("""COMPUTED_VALUE"""),8.2145200101E10)</f>
        <v>82145200101</v>
      </c>
      <c r="E399" s="457">
        <f>IFERROR(__xludf.DUMMYFUNCTION("""COMPUTED_VALUE"""),0.0)</f>
        <v>0</v>
      </c>
      <c r="F399" s="270">
        <f>IFERROR(__xludf.DUMMYFUNCTION("""COMPUTED_VALUE"""),3.0)</f>
        <v>3</v>
      </c>
      <c r="G399" s="17" t="str">
        <f>IFERROR(__xludf.DUMMYFUNCTION("""COMPUTED_VALUE"""),"Sabun batang 1 Box ( 2 PCS )")</f>
        <v>Sabun batang 1 Box ( 2 PCS )</v>
      </c>
      <c r="H399" s="463" t="str">
        <f>IFERROR(__xludf.DUMMYFUNCTION("""COMPUTED_VALUE"""),"Sampai")</f>
        <v>Sampai</v>
      </c>
      <c r="I399" s="464" t="str">
        <f>IFERROR(__xludf.DUMMYFUNCTION("""COMPUTED_VALUE"""),"KIMME")</f>
        <v>KIMME</v>
      </c>
      <c r="J399" s="279" t="str">
        <f>IFERROR(__xludf.DUMMYFUNCTION("""COMPUTED_VALUE"""),"https://www.tiktok.com/@bidanhenny01/video/7623586452797918485?_r=1&amp;u_code=e0agm7bf28f085&amp;region=&amp;mid=7571860912149415952&amp;preview_pb=0&amp;sharer_language=&amp;_d=0&amp;ec_shared_reflux_dynamic_params=%7B%22placeholder_material_id%22%3A%227623586452797918485%22%2C%22"&amp;"placeholder_origin_cover%22%3A%22https%253A%252F%252Fp16-common-sign.tiktokcdn.com%252Ftos-alisg-p-0037%252FoA3eNLZeAwijiGrfQm1DjcTz2XIImT4oABCYQ6~tplv-tiktokx-origin.jpeg%253Fdr%253D14572%2526refresh_token%253Da58abb1d%2526x-expires%253D1807070400%2526x-"&amp;"signature%253Dvzo24QzsbIaSLZb9fjRFSEIrF%25252FI%25253D%2526t%253D4d5b0474%2526ps%253D13740610%2526shp%253Dd05b14bd%2526shcp%253D34ff8df6%2526idc%253Dmy2%2526s%253DTIKTOK_AFFILIATE_VIRAL_VIDEO%22%2C%22placeholder_product_id%22%3A%221729427766722726591%22%2"&amp;"C%22placeholder_video_id%22%3A%227623586452797918485%22%7D&amp;ec_shared_reflux_scene=shop_tab_feed&amp;share_item_id=7623586452797918485&amp;source=h5_t")</f>
        <v>https://www.tiktok.com/@bidanhenny01/video/7623586452797918485?_r=1&amp;u_code=e0agm7bf28f085&amp;region=&amp;mid=7571860912149415952&amp;preview_pb=0&amp;sharer_language=&amp;_d=0&amp;ec_shared_reflux_dynamic_params=%7B%22placeholder_material_id%22%3A%227623586452797918485%22%2C%22placeholder_origin_cover%22%3A%22https%253A%252F%252Fp16-common-sign.tiktokcdn.com%252Ftos-alisg-p-0037%252FoA3eNLZeAwijiGrfQm1DjcTz2XIImT4oABCYQ6~tplv-tiktokx-origin.jpeg%253Fdr%253D14572%2526refresh_token%253Da58abb1d%2526x-expires%253D1807070400%2526x-signature%253Dvzo24QzsbIaSLZb9fjRFSEIrF%25252FI%25253D%2526t%253D4d5b0474%2526ps%253D13740610%2526shp%253Dd05b14bd%2526shcp%253D34ff8df6%2526idc%253Dmy2%2526s%253DTIKTOK_AFFILIATE_VIRAL_VIDEO%22%2C%22placeholder_product_id%22%3A%221729427766722726591%22%2C%22placeholder_video_id%22%3A%227623586452797918485%22%7D&amp;ec_shared_reflux_scene=shop_tab_feed&amp;share_item_id=7623586452797918485&amp;source=h5_t</v>
      </c>
      <c r="K399" s="464" t="str">
        <f>IFERROR(__xludf.DUMMYFUNCTION("""COMPUTED_VALUE"""),"KIMME")</f>
        <v>KIMME</v>
      </c>
      <c r="L399" s="279" t="str">
        <f>IFERROR(__xludf.DUMMYFUNCTION("""COMPUTED_VALUE"""),"https://www.tiktok.com/@bidanhenny01/video/7624408528073018644?_r=1&amp;u_code=e0agm7bf28f085&amp;region=&amp;mid=7507772951459432464&amp;preview_pb=0&amp;sharer_language=&amp;_d=0&amp;ec_shared_reflux_dynamic_params=%7B%22placeholder_material_id%22%3A%227624408528073018644%22%2C%22"&amp;"placeholder_origin_cover%22%3A%22https%253A%252F%252Fp16-sign-sg.tiktokcdn.com%252Ftos-alisg-p-0037%252FoQTsg9GIAGIf8Az38XfCeLMb3DojlgknjqnLUD~tplv-tiktokx-origin.jpeg%253Fdr%253D14572%2526refresh_token%253D50fbd636%2526x-expires%253D1807070400%2526x-sign"&amp;"ature%253DCt%25252FS7F2nfcte5eP%25252FNBbp%25252BGVhRL8%25253D%2526t%253D4d5b0474%2526ps%253D13740610%2526shp%253Dd05b14bd%2526shcp%253D34ff8df6%2526idc%253Dmy2%2526s%253DTIKTOK_AFFILIATE_VIRAL_VIDEO%22%2C%22placeholder_product_id%22%3A%221729427766722726"&amp;"591%22%2C%22placeholder_video_id%22%3A%227624408528073018644%22%7D&amp;ec_shared_reflux_scene=shop_tab_feed&amp;share_item_id=7624408528073018644&amp;source=h5_t")</f>
        <v>https://www.tiktok.com/@bidanhenny01/video/7624408528073018644?_r=1&amp;u_code=e0agm7bf28f085&amp;region=&amp;mid=7507772951459432464&amp;preview_pb=0&amp;sharer_language=&amp;_d=0&amp;ec_shared_reflux_dynamic_params=%7B%22placeholder_material_id%22%3A%227624408528073018644%22%2C%22placeholder_origin_cover%22%3A%22https%253A%252F%252Fp16-sign-sg.tiktokcdn.com%252Ftos-alisg-p-0037%252FoQTsg9GIAGIf8Az38XfCeLMb3DojlgknjqnLUD~tplv-tiktokx-origin.jpeg%253Fdr%253D14572%2526refresh_token%253D50fbd636%2526x-expires%253D1807070400%2526x-signature%253DCt%25252FS7F2nfcte5eP%25252FNBbp%25252BGVhRL8%25253D%2526t%253D4d5b0474%2526ps%253D13740610%2526shp%253Dd05b14bd%2526shcp%253D34ff8df6%2526idc%253Dmy2%2526s%253DTIKTOK_AFFILIATE_VIRAL_VIDEO%22%2C%22placeholder_product_id%22%3A%221729427766722726591%22%2C%22placeholder_video_id%22%3A%227624408528073018644%22%7D&amp;ec_shared_reflux_scene=shop_tab_feed&amp;share_item_id=7624408528073018644&amp;source=h5_t</v>
      </c>
      <c r="M399" s="464" t="str">
        <f>IFERROR(__xludf.DUMMYFUNCTION("""COMPUTED_VALUE"""),"KIMME")</f>
        <v>KIMME</v>
      </c>
      <c r="N399" s="279" t="str">
        <f>IFERROR(__xludf.DUMMYFUNCTION("""COMPUTED_VALUE"""),"https://www.tiktok.com/@sans.brey/video/7624150856048594197?_r=1&amp;u_code=ebj3gc8d4d5jb3&amp;region=&amp;mid=7560998770491263760&amp;preview_pb=0&amp;sharer_language=&amp;_d=0&amp;ec_shared_reflux_dynamic_params=%7B%22placeholder_material_id%22%3A%227624150856048594197%22%2C%22pla"&amp;"ceholder_origin_cover%22%3A%22https%253A%252F%252Fp16-common-sign.tiktokcdn.com%252Ftos-alisg-p-0037%252Fo4JODcAneAgcFmfMEGjTgNCcbID4LIeV0NvguP~tplv-tiktokx-origin.jpeg%253Fdr%253D14572%2526refresh_token%253Df123c073%2526x-expires%253D1807070400%2526x-sig"&amp;"nature%253DVfj6%25252B2F3GFaznKZQQejiICCUZtg%25253D%2526t%253D4d5b0474%2526ps%253D13740610%2526shp%253Dd05b14bd%2526shcp%253D34ff8df6%2526idc%253Dmy2%2526s%253DTIKTOK_AFFILIATE_VIRAL_VIDEO%22%2C%22placeholder_product_id%22%3A%221729427766722726591%22%2C%2"&amp;"2placeholder_video_id%22%3A%227624150856048594197%22%7D&amp;ec_shared_reflux_scene=shop_tab_feed&amp;share_item_id=7624150856048594197&amp;source=h5_t")</f>
        <v>https://www.tiktok.com/@sans.brey/video/7624150856048594197?_r=1&amp;u_code=ebj3gc8d4d5jb3&amp;region=&amp;mid=7560998770491263760&amp;preview_pb=0&amp;sharer_language=&amp;_d=0&amp;ec_shared_reflux_dynamic_params=%7B%22placeholder_material_id%22%3A%227624150856048594197%22%2C%22placeholder_origin_cover%22%3A%22https%253A%252F%252Fp16-common-sign.tiktokcdn.com%252Ftos-alisg-p-0037%252Fo4JODcAneAgcFmfMEGjTgNCcbID4LIeV0NvguP~tplv-tiktokx-origin.jpeg%253Fdr%253D14572%2526refresh_token%253Df123c073%2526x-expires%253D1807070400%2526x-signature%253DVfj6%25252B2F3GFaznKZQQejiICCUZtg%25253D%2526t%253D4d5b0474%2526ps%253D13740610%2526shp%253Dd05b14bd%2526shcp%253D34ff8df6%2526idc%253Dmy2%2526s%253DTIKTOK_AFFILIATE_VIRAL_VIDEO%22%2C%22placeholder_product_id%22%3A%221729427766722726591%22%2C%22placeholder_video_id%22%3A%227624150856048594197%22%7D&amp;ec_shared_reflux_scene=shop_tab_feed&amp;share_item_id=7624150856048594197&amp;source=h5_t</v>
      </c>
      <c r="O399" s="464"/>
      <c r="P399" s="279" t="str">
        <f>IFERROR(__xludf.DUMMYFUNCTION("""COMPUTED_VALUE"""),"https://vt.tiktok.com/ZS9vm5dQs/")</f>
        <v>https://vt.tiktok.com/ZS9vm5dQs/</v>
      </c>
    </row>
    <row r="400">
      <c r="A400" s="255" t="str">
        <f>IFERROR(__xludf.DUMMYFUNCTION("""COMPUTED_VALUE"""),"MICRO")</f>
        <v>MICRO</v>
      </c>
      <c r="B400" s="361" t="str">
        <f>IFERROR(__xludf.DUMMYFUNCTION("""COMPUTED_VALUE"""),"yunuura")</f>
        <v>yunuura</v>
      </c>
      <c r="C400" s="257" t="str">
        <f>IFERROR(__xludf.DUMMYFUNCTION("""COMPUTED_VALUE"""),"https://www.tiktok.com/@yunuura")</f>
        <v>https://www.tiktok.com/@yunuura</v>
      </c>
      <c r="D400" s="270">
        <f>IFERROR(__xludf.DUMMYFUNCTION("""COMPUTED_VALUE"""),8.5864888405E10)</f>
        <v>85864888405</v>
      </c>
      <c r="E400" s="457">
        <f>IFERROR(__xludf.DUMMYFUNCTION("""COMPUTED_VALUE"""),100000.0)</f>
        <v>100000</v>
      </c>
      <c r="F400" s="270">
        <f>IFERROR(__xludf.DUMMYFUNCTION("""COMPUTED_VALUE"""),1.0)</f>
        <v>1</v>
      </c>
      <c r="G400" s="17" t="str">
        <f>IFERROR(__xludf.DUMMYFUNCTION("""COMPUTED_VALUE"""),"Sabun batang 1 Box ( 2 PCS )")</f>
        <v>Sabun batang 1 Box ( 2 PCS )</v>
      </c>
      <c r="H400" s="463" t="str">
        <f>IFERROR(__xludf.DUMMYFUNCTION("""COMPUTED_VALUE"""),"Sampai")</f>
        <v>Sampai</v>
      </c>
      <c r="I400" s="464" t="str">
        <f>IFERROR(__xludf.DUMMYFUNCTION("""COMPUTED_VALUE"""),"KIMME")</f>
        <v>KIMME</v>
      </c>
      <c r="J400" s="279" t="str">
        <f>IFERROR(__xludf.DUMMYFUNCTION("""COMPUTED_VALUE"""),"https://vt.tiktok.com/ZSHUqYfso/")</f>
        <v>https://vt.tiktok.com/ZSHUqYfso/</v>
      </c>
      <c r="K400" s="464" t="str">
        <f>IFERROR(__xludf.DUMMYFUNCTION("""COMPUTED_VALUE"""),"KIMME")</f>
        <v>KIMME</v>
      </c>
      <c r="L400" s="279" t="str">
        <f>IFERROR(__xludf.DUMMYFUNCTION("""COMPUTED_VALUE"""),"https://vt.tiktok.com/ZS9vmkfoF/")</f>
        <v>https://vt.tiktok.com/ZS9vmkfoF/</v>
      </c>
      <c r="M400" s="464"/>
      <c r="N400" s="279" t="str">
        <f>IFERROR(__xludf.DUMMYFUNCTION("""COMPUTED_VALUE"""),"https://vt.tiktok.com/ZS9vmLAq5/")</f>
        <v>https://vt.tiktok.com/ZS9vmLAq5/</v>
      </c>
      <c r="O400" s="464"/>
      <c r="P400" s="279" t="str">
        <f>IFERROR(__xludf.DUMMYFUNCTION("""COMPUTED_VALUE"""),"https://vt.tiktok.com/ZS9vmFoNb/")</f>
        <v>https://vt.tiktok.com/ZS9vmFoNb/</v>
      </c>
    </row>
    <row r="401">
      <c r="A401" s="255" t="str">
        <f>IFERROR(__xludf.DUMMYFUNCTION("""COMPUTED_VALUE"""),"MICRO")</f>
        <v>MICRO</v>
      </c>
      <c r="B401" s="361" t="str">
        <f>IFERROR(__xludf.DUMMYFUNCTION("""COMPUTED_VALUE"""),"widianasaffya7")</f>
        <v>widianasaffya7</v>
      </c>
      <c r="C401" s="257" t="str">
        <f>IFERROR(__xludf.DUMMYFUNCTION("""COMPUTED_VALUE"""),"https://www.tiktok.com/@widianasaffya7")</f>
        <v>https://www.tiktok.com/@widianasaffya7</v>
      </c>
      <c r="D401" s="270">
        <f>IFERROR(__xludf.DUMMYFUNCTION("""COMPUTED_VALUE"""),8.1277966247E10)</f>
        <v>81277966247</v>
      </c>
      <c r="E401" s="457">
        <f>IFERROR(__xludf.DUMMYFUNCTION("""COMPUTED_VALUE"""),0.0)</f>
        <v>0</v>
      </c>
      <c r="F401" s="270">
        <f>IFERROR(__xludf.DUMMYFUNCTION("""COMPUTED_VALUE"""),4.0)</f>
        <v>4</v>
      </c>
      <c r="G401" s="17" t="str">
        <f>IFERROR(__xludf.DUMMYFUNCTION("""COMPUTED_VALUE"""),"Sabun batang 1 Box ( 2 PCS )")</f>
        <v>Sabun batang 1 Box ( 2 PCS )</v>
      </c>
      <c r="H401" s="463" t="str">
        <f>IFERROR(__xludf.DUMMYFUNCTION("""COMPUTED_VALUE"""),"Sampai")</f>
        <v>Sampai</v>
      </c>
      <c r="I401" s="464" t="str">
        <f>IFERROR(__xludf.DUMMYFUNCTION("""COMPUTED_VALUE"""),"KIMME")</f>
        <v>KIMME</v>
      </c>
      <c r="J401" s="279" t="str">
        <f>IFERROR(__xludf.DUMMYFUNCTION("""COMPUTED_VALUE"""),"https://vt.tiktok.com/ZSHojfLJH/")</f>
        <v>https://vt.tiktok.com/ZSHojfLJH/</v>
      </c>
      <c r="K401" s="464" t="str">
        <f>IFERROR(__xludf.DUMMYFUNCTION("""COMPUTED_VALUE"""),"KIMME")</f>
        <v>KIMME</v>
      </c>
      <c r="L401" s="279" t="str">
        <f>IFERROR(__xludf.DUMMYFUNCTION("""COMPUTED_VALUE"""),"https://vt.tiktok.com/ZSHojq8ge/")</f>
        <v>https://vt.tiktok.com/ZSHojq8ge/</v>
      </c>
      <c r="M401" s="464" t="str">
        <f>IFERROR(__xludf.DUMMYFUNCTION("""COMPUTED_VALUE"""),"KIMME")</f>
        <v>KIMME</v>
      </c>
      <c r="N401" s="279" t="str">
        <f>IFERROR(__xludf.DUMMYFUNCTION("""COMPUTED_VALUE"""),"https://vt.tiktok.com/ZSHojyKN6/")</f>
        <v>https://vt.tiktok.com/ZSHojyKN6/</v>
      </c>
      <c r="O401" s="464" t="str">
        <f>IFERROR(__xludf.DUMMYFUNCTION("""COMPUTED_VALUE"""),"KIMME")</f>
        <v>KIMME</v>
      </c>
      <c r="P401" s="279" t="str">
        <f>IFERROR(__xludf.DUMMYFUNCTION("""COMPUTED_VALUE"""),"https://vt.tiktok.com/ZSHojpHLG/")</f>
        <v>https://vt.tiktok.com/ZSHojpHLG/</v>
      </c>
    </row>
    <row r="402">
      <c r="A402" s="255" t="str">
        <f>IFERROR(__xludf.DUMMYFUNCTION("""COMPUTED_VALUE"""),"MICRO")</f>
        <v>MICRO</v>
      </c>
      <c r="B402" s="361" t="str">
        <f>IFERROR(__xludf.DUMMYFUNCTION("""COMPUTED_VALUE"""),"belaasnc")</f>
        <v>belaasnc</v>
      </c>
      <c r="C402" s="257" t="str">
        <f>IFERROR(__xludf.DUMMYFUNCTION("""COMPUTED_VALUE"""),"https://www.tiktok.com/@belaasnc")</f>
        <v>https://www.tiktok.com/@belaasnc</v>
      </c>
      <c r="D402" s="270">
        <f>IFERROR(__xludf.DUMMYFUNCTION("""COMPUTED_VALUE"""),8.5713600776E10)</f>
        <v>85713600776</v>
      </c>
      <c r="E402" s="457">
        <f>IFERROR(__xludf.DUMMYFUNCTION("""COMPUTED_VALUE"""),0.0)</f>
        <v>0</v>
      </c>
      <c r="F402" s="270">
        <f>IFERROR(__xludf.DUMMYFUNCTION("""COMPUTED_VALUE"""),4.0)</f>
        <v>4</v>
      </c>
      <c r="G402" s="17" t="str">
        <f>IFERROR(__xludf.DUMMYFUNCTION("""COMPUTED_VALUE"""),"Sabun batang 1 Box ( 2 PCS )")</f>
        <v>Sabun batang 1 Box ( 2 PCS )</v>
      </c>
      <c r="H402" s="463" t="str">
        <f>IFERROR(__xludf.DUMMYFUNCTION("""COMPUTED_VALUE"""),"Sampai")</f>
        <v>Sampai</v>
      </c>
      <c r="I402" s="464" t="str">
        <f>IFERROR(__xludf.DUMMYFUNCTION("""COMPUTED_VALUE"""),"KIMME")</f>
        <v>KIMME</v>
      </c>
      <c r="J402" s="279" t="str">
        <f>IFERROR(__xludf.DUMMYFUNCTION("""COMPUTED_VALUE"""),"https://www.tiktok.com/@elisacollectione/video/7628809007981317394?_r=1&amp;u_code=dkgkc54agaf83g&amp;region=&amp;mid=7624309771547691796&amp;preview_pb=0&amp;sharer_language=&amp;_d=0&amp;ec_shared_reflux_dynamic_params=%7B%22placeholder_material_id%22%3A%227628809007981317394%22%2"&amp;"C%22placeholder_origin_cover%22%3A%22https%253A%252F%252Fp16-common-sign.tiktokcdn.com%252Ftos-alisg-p-0037%252FoUD6QgCKfDAWeo4nBeFnMNOCOimAOLleQ1fq9E~tplv-tiktokx-origin.jpeg%253Fdr%253D14572%2526refresh_token%253D53162471%2526x-expires%253D1808204400%25"&amp;"26x-signature%253DOTw0RwyJEXRerZpEeRqGTCwN4YI%25253D%2526t%253D4d5b0474%2526ps%253D13740610%2526shp%253Dd05b14bd%2526shcp%253D34ff8df6%2526idc%253Dmy3%2526s%253DTIKTOK_AFFILIATE_VIRAL_VIDEO%22%2C%22placeholder_product_id%22%3A%221729427766722726591%22%2C%"&amp;"22placeholder_video_id%22%3A%227628809007981317394%22%7D&amp;ec_shared_reflux_scene=shop_tab_feed&amp;share_item_id=7628809007981317394&amp;source=h5_t")</f>
        <v>https://www.tiktok.com/@elisacollectione/video/7628809007981317394?_r=1&amp;u_code=dkgkc54agaf83g&amp;region=&amp;mid=7624309771547691796&amp;preview_pb=0&amp;sharer_language=&amp;_d=0&amp;ec_shared_reflux_dynamic_params=%7B%22placeholder_material_id%22%3A%227628809007981317394%22%2C%22placeholder_origin_cover%22%3A%22https%253A%252F%252Fp16-common-sign.tiktokcdn.com%252Ftos-alisg-p-0037%252FoUD6QgCKfDAWeo4nBeFnMNOCOimAOLleQ1fq9E~tplv-tiktokx-origin.jpeg%253Fdr%253D14572%2526refresh_token%253D53162471%2526x-expires%253D1808204400%2526x-signature%253DOTw0RwyJEXRerZpEeRqGTCwN4YI%25253D%2526t%253D4d5b0474%2526ps%253D13740610%2526shp%253Dd05b14bd%2526shcp%253D34ff8df6%2526idc%253Dmy3%2526s%253DTIKTOK_AFFILIATE_VIRAL_VIDEO%22%2C%22placeholder_product_id%22%3A%221729427766722726591%22%2C%22placeholder_video_id%22%3A%227628809007981317394%22%7D&amp;ec_shared_reflux_scene=shop_tab_feed&amp;share_item_id=7628809007981317394&amp;source=h5_t</v>
      </c>
      <c r="K402" s="464" t="str">
        <f>IFERROR(__xludf.DUMMYFUNCTION("""COMPUTED_VALUE"""),"KIMME")</f>
        <v>KIMME</v>
      </c>
      <c r="L402" s="279" t="str">
        <f>IFERROR(__xludf.DUMMYFUNCTION("""COMPUTED_VALUE"""),"https://vt.tiktok.com/ZSHojUhUG/")</f>
        <v>https://vt.tiktok.com/ZSHojUhUG/</v>
      </c>
      <c r="M402" s="464" t="str">
        <f>IFERROR(__xludf.DUMMYFUNCTION("""COMPUTED_VALUE"""),"KIMME")</f>
        <v>KIMME</v>
      </c>
      <c r="N402" s="279" t="str">
        <f>IFERROR(__xludf.DUMMYFUNCTION("""COMPUTED_VALUE"""),"https://vt.tiktok.com/ZSHojfGQn/")</f>
        <v>https://vt.tiktok.com/ZSHojfGQn/</v>
      </c>
      <c r="O402" s="464" t="str">
        <f>IFERROR(__xludf.DUMMYFUNCTION("""COMPUTED_VALUE"""),"KIMME")</f>
        <v>KIMME</v>
      </c>
      <c r="P402" s="279" t="str">
        <f>IFERROR(__xludf.DUMMYFUNCTION("""COMPUTED_VALUE"""),"https://www.tiktok.com/@elisacollectione/video/7623609343035870471?_r=1&amp;u_code=dkgkc54agaf83g&amp;region=&amp;mid=7571860912149415952&amp;preview_pb=0&amp;sharer_language=&amp;_d=0&amp;ec_shared_reflux_dynamic_params=%7B%22placeholder_material_id%22%3A%227623609343035870471%22%2"&amp;"C%22placeholder_origin_cover%22%3A%22https%253A%252F%252Fp16-common-sign.tiktokcdn.com%252Ftos-alisg-p-0037%252Fooepi2B77AZiARQ4gIFBzgUDJfUVoFIEBEBvMI~tplv-tiktokx-origin.jpeg%253Fdr%253D14572%2526refresh_token%253D971521b5%2526x-expires%253D1808204400%25"&amp;"26x-signature%253DfgQRn4xD1pxs5K3qb4hQtOcMH84%25253D%2526t%253D4d5b0474%2526ps%253D13740610%2526shp%253Dd05b14bd%2526shcp%253D34ff8df6%2526idc%253Dmy3%2526s%253DTIKTOK_AFFILIATE_VIRAL_VIDEO%22%2C%22placeholder_product_id%22%3A%221729427766722726591%22%2C%"&amp;"22placeholder_video_id%22%3A%227623609343035870471%22%7D&amp;ec_shared_reflux_scene=shop_tab_feed&amp;share_item_id=7623609343035870471&amp;source=h5_t")</f>
        <v>https://www.tiktok.com/@elisacollectione/video/7623609343035870471?_r=1&amp;u_code=dkgkc54agaf83g&amp;region=&amp;mid=7571860912149415952&amp;preview_pb=0&amp;sharer_language=&amp;_d=0&amp;ec_shared_reflux_dynamic_params=%7B%22placeholder_material_id%22%3A%227623609343035870471%22%2C%22placeholder_origin_cover%22%3A%22https%253A%252F%252Fp16-common-sign.tiktokcdn.com%252Ftos-alisg-p-0037%252Fooepi2B77AZiARQ4gIFBzgUDJfUVoFIEBEBvMI~tplv-tiktokx-origin.jpeg%253Fdr%253D14572%2526refresh_token%253D971521b5%2526x-expires%253D1808204400%2526x-signature%253DfgQRn4xD1pxs5K3qb4hQtOcMH84%25253D%2526t%253D4d5b0474%2526ps%253D13740610%2526shp%253Dd05b14bd%2526shcp%253D34ff8df6%2526idc%253Dmy3%2526s%253DTIKTOK_AFFILIATE_VIRAL_VIDEO%22%2C%22placeholder_product_id%22%3A%221729427766722726591%22%2C%22placeholder_video_id%22%3A%227623609343035870471%22%7D&amp;ec_shared_reflux_scene=shop_tab_feed&amp;share_item_id=7623609343035870471&amp;source=h5_t</v>
      </c>
    </row>
    <row r="403">
      <c r="A403" s="255" t="str">
        <f>IFERROR(__xludf.DUMMYFUNCTION("""COMPUTED_VALUE"""),"MACRO")</f>
        <v>MACRO</v>
      </c>
      <c r="B403" s="361" t="str">
        <f>IFERROR(__xludf.DUMMYFUNCTION("""COMPUTED_VALUE"""),"bintanbukanbintang")</f>
        <v>bintanbukanbintang</v>
      </c>
      <c r="C403" s="257" t="str">
        <f>IFERROR(__xludf.DUMMYFUNCTION("""COMPUTED_VALUE"""),"https://www.tiktok.com/@bintanbukanbintang")</f>
        <v>https://www.tiktok.com/@bintanbukanbintang</v>
      </c>
      <c r="D403" s="270">
        <f>IFERROR(__xludf.DUMMYFUNCTION("""COMPUTED_VALUE"""),8.5727008781E10)</f>
        <v>85727008781</v>
      </c>
      <c r="E403" s="457">
        <f>IFERROR(__xludf.DUMMYFUNCTION("""COMPUTED_VALUE"""),300000.0)</f>
        <v>300000</v>
      </c>
      <c r="F403" s="270">
        <f>IFERROR(__xludf.DUMMYFUNCTION("""COMPUTED_VALUE"""),1.0)</f>
        <v>1</v>
      </c>
      <c r="G403" s="17" t="str">
        <f>IFERROR(__xludf.DUMMYFUNCTION("""COMPUTED_VALUE"""),"Sabun batang 1 Box ( 2 PCS )")</f>
        <v>Sabun batang 1 Box ( 2 PCS )</v>
      </c>
      <c r="H403" s="463" t="str">
        <f>IFERROR(__xludf.DUMMYFUNCTION("""COMPUTED_VALUE"""),"Sampai")</f>
        <v>Sampai</v>
      </c>
      <c r="I403" s="464" t="str">
        <f>IFERROR(__xludf.DUMMYFUNCTION("""COMPUTED_VALUE"""),"KIMME")</f>
        <v>KIMME</v>
      </c>
      <c r="J403" s="279" t="str">
        <f>IFERROR(__xludf.DUMMYFUNCTION("""COMPUTED_VALUE"""),"https://vt.tiktok.com/ZSH2WKRQ8/")</f>
        <v>https://vt.tiktok.com/ZSH2WKRQ8/</v>
      </c>
      <c r="K403" s="464" t="str">
        <f>IFERROR(__xludf.DUMMYFUNCTION("""COMPUTED_VALUE"""),"KIMME")</f>
        <v>KIMME</v>
      </c>
      <c r="L403" s="17" t="str">
        <f>IFERROR(__xludf.DUMMYFUNCTION("""COMPUTED_VALUE"""),"⁠https://vt.tiktok.com/ZSxXJBXoA/")</f>
        <v>⁠https://vt.tiktok.com/ZSxXJBXoA/</v>
      </c>
      <c r="M403" s="464"/>
      <c r="N403" s="17"/>
      <c r="O403" s="464"/>
      <c r="P403" s="17"/>
    </row>
    <row r="404">
      <c r="A404" s="255" t="str">
        <f>IFERROR(__xludf.DUMMYFUNCTION("""COMPUTED_VALUE"""),"MACRO")</f>
        <v>MACRO</v>
      </c>
      <c r="B404" s="361" t="str">
        <f>IFERROR(__xludf.DUMMYFUNCTION("""COMPUTED_VALUE"""),"ghaziiyaa")</f>
        <v>ghaziiyaa</v>
      </c>
      <c r="C404" s="257" t="str">
        <f>IFERROR(__xludf.DUMMYFUNCTION("""COMPUTED_VALUE"""),"https://www.tiktok.com/@ghaziiyaa")</f>
        <v>https://www.tiktok.com/@ghaziiyaa</v>
      </c>
      <c r="D404" s="270">
        <f>IFERROR(__xludf.DUMMYFUNCTION("""COMPUTED_VALUE"""),8.1315492981E10)</f>
        <v>81315492981</v>
      </c>
      <c r="E404" s="457">
        <f>IFERROR(__xludf.DUMMYFUNCTION("""COMPUTED_VALUE"""),0.0)</f>
        <v>0</v>
      </c>
      <c r="F404" s="270">
        <f>IFERROR(__xludf.DUMMYFUNCTION("""COMPUTED_VALUE"""),1.0)</f>
        <v>1</v>
      </c>
      <c r="G404" s="17" t="str">
        <f>IFERROR(__xludf.DUMMYFUNCTION("""COMPUTED_VALUE"""),"Sabun batang 1 Box ( 2 PCS )")</f>
        <v>Sabun batang 1 Box ( 2 PCS )</v>
      </c>
      <c r="H404" s="463" t="str">
        <f>IFERROR(__xludf.DUMMYFUNCTION("""COMPUTED_VALUE"""),"Sampai")</f>
        <v>Sampai</v>
      </c>
      <c r="I404" s="464" t="str">
        <f>IFERROR(__xludf.DUMMYFUNCTION("""COMPUTED_VALUE"""),"KIMME")</f>
        <v>KIMME</v>
      </c>
      <c r="J404" s="279" t="str">
        <f>IFERROR(__xludf.DUMMYFUNCTION("""COMPUTED_VALUE"""),"https://www.tiktok.com/@tyaa0508/video/7625796162527726869?_r=1&amp;u_code=d7k7b9el4hf596&amp;region=&amp;mid=7597435345913317393&amp;preview_pb=0&amp;sharer_language=&amp;_d=0&amp;ec_shared_reflux_dynamic_params=%7B%22placeholder_material_id%22%3A%227625796162527726869%22%2C%22plac"&amp;"eholder_origin_cover%22%3A%22https%253A%252F%252Fp16-common-sign.tiktokcdn.com%252Ftos-alisg-p-0037%252FoI37aUUEEwQV1BUpADFQRRDFiffObMEcBDKBgh~tplv-tiktokx-origin.jpeg%253Fdr%253D14572%2526refresh_token%253D2f016b83%2526x-expires%253D1808208000%2526x-sign"&amp;"ature%253Dzp4l7r7trbpZjVmhsdRy3j%25252BDOKE%25253D%2526t%253D4d5b0474%2526ps%253D13740610%2526shp%253Dd05b14bd%2526shcp%253D34ff8df6%2526idc%253Dmy3%2526s%253DTIKTOK_AFFILIATE_VIRAL_VIDEO%22%2C%22placeholder_product_id%22%3A%221729427766722726591%22%2C%22"&amp;"placeholder_video_id%22%3A%227625796162527726869%22%7D&amp;ec_shared_reflux_scene=shop_tab_feed&amp;share_item_id=7625796162527726869&amp;source=h5_t")</f>
        <v>https://www.tiktok.com/@tyaa0508/video/7625796162527726869?_r=1&amp;u_code=d7k7b9el4hf596&amp;region=&amp;mid=7597435345913317393&amp;preview_pb=0&amp;sharer_language=&amp;_d=0&amp;ec_shared_reflux_dynamic_params=%7B%22placeholder_material_id%22%3A%227625796162527726869%22%2C%22placeholder_origin_cover%22%3A%22https%253A%252F%252Fp16-common-sign.tiktokcdn.com%252Ftos-alisg-p-0037%252FoI37aUUEEwQV1BUpADFQRRDFiffObMEcBDKBgh~tplv-tiktokx-origin.jpeg%253Fdr%253D14572%2526refresh_token%253D2f016b83%2526x-expires%253D1808208000%2526x-signature%253Dzp4l7r7trbpZjVmhsdRy3j%25252BDOKE%25253D%2526t%253D4d5b0474%2526ps%253D13740610%2526shp%253Dd05b14bd%2526shcp%253D34ff8df6%2526idc%253Dmy3%2526s%253DTIKTOK_AFFILIATE_VIRAL_VIDEO%22%2C%22placeholder_product_id%22%3A%221729427766722726591%22%2C%22placeholder_video_id%22%3A%227625796162527726869%22%7D&amp;ec_shared_reflux_scene=shop_tab_feed&amp;share_item_id=7625796162527726869&amp;source=h5_t</v>
      </c>
      <c r="K404" s="464" t="str">
        <f>IFERROR(__xludf.DUMMYFUNCTION("""COMPUTED_VALUE"""),"KIMME")</f>
        <v>KIMME</v>
      </c>
      <c r="L404" s="279" t="str">
        <f>IFERROR(__xludf.DUMMYFUNCTION("""COMPUTED_VALUE"""),"https://vt.tiktok.com/ZSxXJAGj7/")</f>
        <v>https://vt.tiktok.com/ZSxXJAGj7/</v>
      </c>
      <c r="M404" s="464"/>
      <c r="N404" s="17"/>
      <c r="O404" s="464"/>
      <c r="P404" s="17"/>
    </row>
    <row r="405">
      <c r="A405" s="255" t="str">
        <f>IFERROR(__xludf.DUMMYFUNCTION("""COMPUTED_VALUE"""),"MICRO")</f>
        <v>MICRO</v>
      </c>
      <c r="B405" s="361" t="str">
        <f>IFERROR(__xludf.DUMMYFUNCTION("""COMPUTED_VALUE"""),"racunmurahshopping_")</f>
        <v>racunmurahshopping_</v>
      </c>
      <c r="C405" s="257" t="str">
        <f>IFERROR(__xludf.DUMMYFUNCTION("""COMPUTED_VALUE"""),"https://www.tiktok.com/@racunmurahshopping_")</f>
        <v>https://www.tiktok.com/@racunmurahshopping_</v>
      </c>
      <c r="D405" s="270">
        <f>IFERROR(__xludf.DUMMYFUNCTION("""COMPUTED_VALUE"""),8.5755661203E10)</f>
        <v>85755661203</v>
      </c>
      <c r="E405" s="457">
        <f>IFERROR(__xludf.DUMMYFUNCTION("""COMPUTED_VALUE"""),0.0)</f>
        <v>0</v>
      </c>
      <c r="F405" s="270">
        <f>IFERROR(__xludf.DUMMYFUNCTION("""COMPUTED_VALUE"""),4.0)</f>
        <v>4</v>
      </c>
      <c r="G405" s="17" t="str">
        <f>IFERROR(__xludf.DUMMYFUNCTION("""COMPUTED_VALUE"""),"Sabun batang 1 Box ( 2 PCS )")</f>
        <v>Sabun batang 1 Box ( 2 PCS )</v>
      </c>
      <c r="H405" s="463" t="str">
        <f>IFERROR(__xludf.DUMMYFUNCTION("""COMPUTED_VALUE"""),"Sampai")</f>
        <v>Sampai</v>
      </c>
      <c r="I405" s="464" t="str">
        <f>IFERROR(__xludf.DUMMYFUNCTION("""COMPUTED_VALUE"""),"KIMME")</f>
        <v>KIMME</v>
      </c>
      <c r="J405" s="279" t="str">
        <f>IFERROR(__xludf.DUMMYFUNCTION("""COMPUTED_VALUE"""),"https://www.tiktok.com/@yullia008/video/7622508798036430096?_r=1&amp;u_code=de2i6l94lj04fj&amp;region=&amp;mid=7622509015645391617&amp;preview_pb=0&amp;sharer_language=&amp;_d=0&amp;ec_shared_reflux_dynamic_params=%7B%22placeholder_material_id%22%3A%227622508798036430096%22%2C%22pla"&amp;"ceholder_origin_cover%22%3A%22https%253A%252F%252Fp16-common-sign.tiktokcdn.com%252Ftos-alisg-p-0037%252FoAYyDf87EEKcI5lvfApgFBFIIARJAwvZ3BBsbh~tplv-tiktokx-origin.jpeg%253Fdr%253D14572%2526refresh_token%253D69a1687d%2526x-expires%253D1808208000%2526x-sig"&amp;"nature%253DADjshaXy1qYu6N3VmH7sjQcQbZg%25253D%2526t%253D4d5b0474%2526ps%253D13740610%2526shp%253Dd05b14bd%2526shcp%253D34ff8df6%2526idc%253Dmy3%2526s%253DTIKTOK_AFFILIATE_VIRAL_VIDEO%22%2C%22placeholder_product_id%22%3A%221729427766722726591%22%2C%22place"&amp;"holder_video_id%22%3A%227622508798036430096%22%7D&amp;ec_shared_reflux_scene=shop_tab_feed&amp;share_item_id=7622508798036430096&amp;source=h5_t")</f>
        <v>https://www.tiktok.com/@yullia008/video/7622508798036430096?_r=1&amp;u_code=de2i6l94lj04fj&amp;region=&amp;mid=7622509015645391617&amp;preview_pb=0&amp;sharer_language=&amp;_d=0&amp;ec_shared_reflux_dynamic_params=%7B%22placeholder_material_id%22%3A%227622508798036430096%22%2C%22placeholder_origin_cover%22%3A%22https%253A%252F%252Fp16-common-sign.tiktokcdn.com%252Ftos-alisg-p-0037%252FoAYyDf87EEKcI5lvfApgFBFIIARJAwvZ3BBsbh~tplv-tiktokx-origin.jpeg%253Fdr%253D14572%2526refresh_token%253D69a1687d%2526x-expires%253D1808208000%2526x-signature%253DADjshaXy1qYu6N3VmH7sjQcQbZg%25253D%2526t%253D4d5b0474%2526ps%253D13740610%2526shp%253Dd05b14bd%2526shcp%253D34ff8df6%2526idc%253Dmy3%2526s%253DTIKTOK_AFFILIATE_VIRAL_VIDEO%22%2C%22placeholder_product_id%22%3A%221729427766722726591%22%2C%22placeholder_video_id%22%3A%227622508798036430096%22%7D&amp;ec_shared_reflux_scene=shop_tab_feed&amp;share_item_id=7622508798036430096&amp;source=h5_t</v>
      </c>
      <c r="K405" s="464" t="str">
        <f>IFERROR(__xludf.DUMMYFUNCTION("""COMPUTED_VALUE"""),"KIMME")</f>
        <v>KIMME</v>
      </c>
      <c r="L405" s="279" t="str">
        <f>IFERROR(__xludf.DUMMYFUNCTION("""COMPUTED_VALUE"""),"https://www.tiktok.com/@yullia008/video/7622845799285771537?_r=1&amp;u_code=de2i6l94lj04fj&amp;region=&amp;mid=7622846102808136456&amp;preview_pb=0&amp;sharer_language=&amp;_d=0&amp;ec_shared_reflux_dynamic_params=%7B%22placeholder_material_id%22%3A%227622845799285771537%22%2C%22pla"&amp;"ceholder_origin_cover%22%3A%22https%253A%252F%252Fp16-common-sign.tiktokcdn.com%252Ftos-alisg-p-0037%252Fo8TpZdEQQBgp2fyfZlFcTJmqIEkbnEAsDBcRBq~tplv-tiktokx-origin.jpeg%253Fdr%253D14572%2526refresh_token%253D54492c6e%2526x-expires%253D1808208000%2526x-sig"&amp;"nature%253Dv8id9YtnDTmRZsAYE1sorYvc4%25252FQ%25253D%2526t%253D4d5b0474%2526ps%253D13740610%2526shp%253Dd05b14bd%2526shcp%253D34ff8df6%2526idc%253Dmy3%2526s%253DTIKTOK_AFFILIATE_VIRAL_VIDEO%22%2C%22placeholder_product_id%22%3A%221729427766722726591%22%2C%2"&amp;"2placeholder_video_id%22%3A%227622845799285771537%22%7D&amp;ec_shared_reflux_scene=shop_tab_feed&amp;share_item_id=7622845799285771537&amp;source=h5_t")</f>
        <v>https://www.tiktok.com/@yullia008/video/7622845799285771537?_r=1&amp;u_code=de2i6l94lj04fj&amp;region=&amp;mid=7622846102808136456&amp;preview_pb=0&amp;sharer_language=&amp;_d=0&amp;ec_shared_reflux_dynamic_params=%7B%22placeholder_material_id%22%3A%227622845799285771537%22%2C%22placeholder_origin_cover%22%3A%22https%253A%252F%252Fp16-common-sign.tiktokcdn.com%252Ftos-alisg-p-0037%252Fo8TpZdEQQBgp2fyfZlFcTJmqIEkbnEAsDBcRBq~tplv-tiktokx-origin.jpeg%253Fdr%253D14572%2526refresh_token%253D54492c6e%2526x-expires%253D1808208000%2526x-signature%253Dv8id9YtnDTmRZsAYE1sorYvc4%25252FQ%25253D%2526t%253D4d5b0474%2526ps%253D13740610%2526shp%253Dd05b14bd%2526shcp%253D34ff8df6%2526idc%253Dmy3%2526s%253DTIKTOK_AFFILIATE_VIRAL_VIDEO%22%2C%22placeholder_product_id%22%3A%221729427766722726591%22%2C%22placeholder_video_id%22%3A%227622845799285771537%22%7D&amp;ec_shared_reflux_scene=shop_tab_feed&amp;share_item_id=7622845799285771537&amp;source=h5_t</v>
      </c>
      <c r="M405" s="464" t="str">
        <f>IFERROR(__xludf.DUMMYFUNCTION("""COMPUTED_VALUE"""),"KIMME")</f>
        <v>KIMME</v>
      </c>
      <c r="N405" s="279" t="str">
        <f>IFERROR(__xludf.DUMMYFUNCTION("""COMPUTED_VALUE"""),"https://www.tiktok.com/@yullia008/video/7624932326551588112?_r=1&amp;u_code=de2i6l94lj04fj&amp;region=&amp;mid=7624932483129248528&amp;preview_pb=0&amp;sharer_language=&amp;_d=0&amp;ec_shared_reflux_dynamic_params=%7B%22placeholder_material_id%22%3A%227624932326551588112%22%2C%22pla"&amp;"ceholder_origin_cover%22%3A%22https%253A%252F%252Fp16-sign-sg.tiktokcdn.com%252Ftos-alisg-p-0037%252FoEQRKcpATVxqfcOiDBQpq0FmARBBVgf5EZE3C1~tplv-tiktokx-origin.jpeg%253Fdr%253D14572%2526refresh_token%253D626c44a8%2526x-expires%253D1808208000%2526x-signatu"&amp;"re%253DKR5IODbLt2Gei7w05Q1XiOpoV%25252Bk%25253D%2526t%253D4d5b0474%2526ps%253D13740610%2526shp%253Dd05b14bd%2526shcp%253D34ff8df6%2526idc%253Dmy3%2526s%253DTIKTOK_AFFILIATE_VIRAL_VIDEO%22%2C%22placeholder_product_id%22%3A%221729427766722726591%22%2C%22pla"&amp;"ceholder_video_id%22%3A%227624932326551588112%22%7D&amp;ec_shared_reflux_scene=shop_tab_feed&amp;share_item_id=7624932326551588112&amp;source=h5_t")</f>
        <v>https://www.tiktok.com/@yullia008/video/7624932326551588112?_r=1&amp;u_code=de2i6l94lj04fj&amp;region=&amp;mid=7624932483129248528&amp;preview_pb=0&amp;sharer_language=&amp;_d=0&amp;ec_shared_reflux_dynamic_params=%7B%22placeholder_material_id%22%3A%227624932326551588112%22%2C%22placeholder_origin_cover%22%3A%22https%253A%252F%252Fp16-sign-sg.tiktokcdn.com%252Ftos-alisg-p-0037%252FoEQRKcpATVxqfcOiDBQpq0FmARBBVgf5EZE3C1~tplv-tiktokx-origin.jpeg%253Fdr%253D14572%2526refresh_token%253D626c44a8%2526x-expires%253D1808208000%2526x-signature%253DKR5IODbLt2Gei7w05Q1XiOpoV%25252Bk%25253D%2526t%253D4d5b0474%2526ps%253D13740610%2526shp%253Dd05b14bd%2526shcp%253D34ff8df6%2526idc%253Dmy3%2526s%253DTIKTOK_AFFILIATE_VIRAL_VIDEO%22%2C%22placeholder_product_id%22%3A%221729427766722726591%22%2C%22placeholder_video_id%22%3A%227624932326551588112%22%7D&amp;ec_shared_reflux_scene=shop_tab_feed&amp;share_item_id=7624932326551588112&amp;source=h5_t</v>
      </c>
      <c r="O405" s="464" t="str">
        <f>IFERROR(__xludf.DUMMYFUNCTION("""COMPUTED_VALUE"""),"KIMME")</f>
        <v>KIMME</v>
      </c>
      <c r="P405" s="279" t="str">
        <f>IFERROR(__xludf.DUMMYFUNCTION("""COMPUTED_VALUE"""),"https://www.tiktok.com/@yullia008/video/7623343925662715137?_r=1&amp;u_code=de2i6l94lj04fj&amp;region=&amp;mid=7623344237338086145&amp;preview_pb=0&amp;sharer_language=&amp;_d=0&amp;ec_shared_reflux_dynamic_params=%7B%22placeholder_material_id%22%3A%227623343925662715137%22%2C%22pla"&amp;"ceholder_origin_cover%22%3A%22https%253A%252F%252Fp19-common-sign.tiktokcdn.com%252Ftos-alisg-p-0037%252Fo03A5b0ILCrBXAPjw1uycfiIiCAIDA50z2ZGsI~tplv-tiktokx-origin.jpeg%253Fdr%253D14572%2526refresh_token%253D356a2969%2526x-expires%253D1808208000%2526x-sig"&amp;"nature%253DE%25252B%25252BONdj%25252Fqc9f6Sh5opJH2JFQ9rM%25253D%2526t%253D4d5b0474%2526ps%253D13740610%2526shp%253Dd05b14bd%2526shcp%253D34ff8df6%2526idc%253Dmy3%2526s%253DTIKTOK_AFFILIATE_VIRAL_VIDEO%22%2C%22placeholder_product_id%22%3A%22172942776672272"&amp;"6591%22%2C%22placeholder_video_id%22%3A%227623343925662715137%22%7D&amp;ec_shared_reflux_scene=shop_tab_feed&amp;share_item_id=7623343925662715137&amp;source=h5_t")</f>
        <v>https://www.tiktok.com/@yullia008/video/7623343925662715137?_r=1&amp;u_code=de2i6l94lj04fj&amp;region=&amp;mid=7623344237338086145&amp;preview_pb=0&amp;sharer_language=&amp;_d=0&amp;ec_shared_reflux_dynamic_params=%7B%22placeholder_material_id%22%3A%227623343925662715137%22%2C%22placeholder_origin_cover%22%3A%22https%253A%252F%252Fp19-common-sign.tiktokcdn.com%252Ftos-alisg-p-0037%252Fo03A5b0ILCrBXAPjw1uycfiIiCAIDA50z2ZGsI~tplv-tiktokx-origin.jpeg%253Fdr%253D14572%2526refresh_token%253D356a2969%2526x-expires%253D1808208000%2526x-signature%253DE%25252B%25252BONdj%25252Fqc9f6Sh5opJH2JFQ9rM%25253D%2526t%253D4d5b0474%2526ps%253D13740610%2526shp%253Dd05b14bd%2526shcp%253D34ff8df6%2526idc%253Dmy3%2526s%253DTIKTOK_AFFILIATE_VIRAL_VIDEO%22%2C%22placeholder_product_id%22%3A%221729427766722726591%22%2C%22placeholder_video_id%22%3A%227623343925662715137%22%7D&amp;ec_shared_reflux_scene=shop_tab_feed&amp;share_item_id=7623343925662715137&amp;source=h5_t</v>
      </c>
    </row>
    <row r="406">
      <c r="A406" s="255" t="str">
        <f>IFERROR(__xludf.DUMMYFUNCTION("""COMPUTED_VALUE"""),"MICRO")</f>
        <v>MICRO</v>
      </c>
      <c r="B406" s="361" t="str">
        <f>IFERROR(__xludf.DUMMYFUNCTION("""COMPUTED_VALUE"""),"shakashop04")</f>
        <v>shakashop04</v>
      </c>
      <c r="C406" s="257" t="str">
        <f>IFERROR(__xludf.DUMMYFUNCTION("""COMPUTED_VALUE"""),"https://www.tiktok.com/@shakashop04")</f>
        <v>https://www.tiktok.com/@shakashop04</v>
      </c>
      <c r="D406" s="270">
        <f>IFERROR(__xludf.DUMMYFUNCTION("""COMPUTED_VALUE"""),8.2274052694E10)</f>
        <v>82274052694</v>
      </c>
      <c r="E406" s="457">
        <f>IFERROR(__xludf.DUMMYFUNCTION("""COMPUTED_VALUE"""),0.0)</f>
        <v>0</v>
      </c>
      <c r="F406" s="270">
        <f>IFERROR(__xludf.DUMMYFUNCTION("""COMPUTED_VALUE"""),2.0)</f>
        <v>2</v>
      </c>
      <c r="G406" s="17" t="str">
        <f>IFERROR(__xludf.DUMMYFUNCTION("""COMPUTED_VALUE"""),"Sabun batang 1 Box ( 2 PCS )")</f>
        <v>Sabun batang 1 Box ( 2 PCS )</v>
      </c>
      <c r="H406" s="463" t="str">
        <f>IFERROR(__xludf.DUMMYFUNCTION("""COMPUTED_VALUE"""),"Sampai")</f>
        <v>Sampai</v>
      </c>
      <c r="I406" s="464" t="str">
        <f>IFERROR(__xludf.DUMMYFUNCTION("""COMPUTED_VALUE"""),"KIMME")</f>
        <v>KIMME</v>
      </c>
      <c r="J406" s="279" t="str">
        <f>IFERROR(__xludf.DUMMYFUNCTION("""COMPUTED_VALUE"""),"https://www.tiktok.com/@shakashop04/video/7625121849113906453?is_from_webapp=1&amp;sender_device=pc")</f>
        <v>https://www.tiktok.com/@shakashop04/video/7625121849113906453?is_from_webapp=1&amp;sender_device=pc</v>
      </c>
      <c r="K406" s="464" t="str">
        <f>IFERROR(__xludf.DUMMYFUNCTION("""COMPUTED_VALUE"""),"KIMME")</f>
        <v>KIMME</v>
      </c>
      <c r="L406" s="279" t="str">
        <f>IFERROR(__xludf.DUMMYFUNCTION("""COMPUTED_VALUE"""),"https://www.tiktok.com/@shakashop04/video/7624763028545817876?is_from_webapp=1&amp;sender_device=pc")</f>
        <v>https://www.tiktok.com/@shakashop04/video/7624763028545817876?is_from_webapp=1&amp;sender_device=pc</v>
      </c>
      <c r="M406" s="464"/>
      <c r="N406" s="279" t="str">
        <f>IFERROR(__xludf.DUMMYFUNCTION("""COMPUTED_VALUE"""),"https://vt.tiktok.com/ZS9vmkfh8/")</f>
        <v>https://vt.tiktok.com/ZS9vmkfh8/</v>
      </c>
      <c r="O406" s="464"/>
      <c r="P406" s="279" t="str">
        <f>IFERROR(__xludf.DUMMYFUNCTION("""COMPUTED_VALUE"""),"https://vt.tiktok.com/ZS9vmhg6Y/")</f>
        <v>https://vt.tiktok.com/ZS9vmhg6Y/</v>
      </c>
    </row>
    <row r="407">
      <c r="A407" s="255" t="str">
        <f>IFERROR(__xludf.DUMMYFUNCTION("""COMPUTED_VALUE"""),"MICRO")</f>
        <v>MICRO</v>
      </c>
      <c r="B407" s="361" t="str">
        <f>IFERROR(__xludf.DUMMYFUNCTION("""COMPUTED_VALUE"""),"review_ayu1")</f>
        <v>review_ayu1</v>
      </c>
      <c r="C407" s="257" t="str">
        <f>IFERROR(__xludf.DUMMYFUNCTION("""COMPUTED_VALUE"""),"https://www.tiktok.com/@review_ayu1")</f>
        <v>https://www.tiktok.com/@review_ayu1</v>
      </c>
      <c r="D407" s="270">
        <f>IFERROR(__xludf.DUMMYFUNCTION("""COMPUTED_VALUE"""),8.1294917296E10)</f>
        <v>81294917296</v>
      </c>
      <c r="E407" s="457">
        <f>IFERROR(__xludf.DUMMYFUNCTION("""COMPUTED_VALUE"""),0.0)</f>
        <v>0</v>
      </c>
      <c r="F407" s="270">
        <f>IFERROR(__xludf.DUMMYFUNCTION("""COMPUTED_VALUE"""),4.0)</f>
        <v>4</v>
      </c>
      <c r="G407" s="17" t="str">
        <f>IFERROR(__xludf.DUMMYFUNCTION("""COMPUTED_VALUE"""),"Sabun batang 1 Box ( 2 PCS )")</f>
        <v>Sabun batang 1 Box ( 2 PCS )</v>
      </c>
      <c r="H407" s="463" t="str">
        <f>IFERROR(__xludf.DUMMYFUNCTION("""COMPUTED_VALUE"""),"Sampai")</f>
        <v>Sampai</v>
      </c>
      <c r="I407" s="464" t="str">
        <f>IFERROR(__xludf.DUMMYFUNCTION("""COMPUTED_VALUE"""),"KIMME")</f>
        <v>KIMME</v>
      </c>
      <c r="J407" s="279" t="str">
        <f>IFERROR(__xludf.DUMMYFUNCTION("""COMPUTED_VALUE"""),"https://vt.tiktok.com/ZSHEtBhFy/")</f>
        <v>https://vt.tiktok.com/ZSHEtBhFy/</v>
      </c>
      <c r="K407" s="464" t="str">
        <f>IFERROR(__xludf.DUMMYFUNCTION("""COMPUTED_VALUE"""),"KIMME")</f>
        <v>KIMME</v>
      </c>
      <c r="L407" s="279" t="str">
        <f>IFERROR(__xludf.DUMMYFUNCTION("""COMPUTED_VALUE"""),"https://vt.tiktok.com/ZSHEtQRSw/")</f>
        <v>https://vt.tiktok.com/ZSHEtQRSw/</v>
      </c>
      <c r="M407" s="464" t="str">
        <f>IFERROR(__xludf.DUMMYFUNCTION("""COMPUTED_VALUE"""),"KIMME")</f>
        <v>KIMME</v>
      </c>
      <c r="N407" s="279" t="str">
        <f>IFERROR(__xludf.DUMMYFUNCTION("""COMPUTED_VALUE"""),"https://vt.tiktok.com/ZSHEtxyu2/")</f>
        <v>https://vt.tiktok.com/ZSHEtxyu2/</v>
      </c>
      <c r="O407" s="464" t="str">
        <f>IFERROR(__xludf.DUMMYFUNCTION("""COMPUTED_VALUE"""),"KIMME")</f>
        <v>KIMME</v>
      </c>
      <c r="P407" s="279" t="str">
        <f>IFERROR(__xludf.DUMMYFUNCTION("""COMPUTED_VALUE"""),"https://vt.tiktok.com/ZSHEtGUM4/")</f>
        <v>https://vt.tiktok.com/ZSHEtGUM4/</v>
      </c>
    </row>
    <row r="408">
      <c r="A408" s="255" t="str">
        <f>IFERROR(__xludf.DUMMYFUNCTION("""COMPUTED_VALUE"""),"MICRO")</f>
        <v>MICRO</v>
      </c>
      <c r="B408" s="361" t="str">
        <f>IFERROR(__xludf.DUMMYFUNCTION("""COMPUTED_VALUE"""),"hutamipudji2")</f>
        <v>hutamipudji2</v>
      </c>
      <c r="C408" s="257" t="str">
        <f>IFERROR(__xludf.DUMMYFUNCTION("""COMPUTED_VALUE"""),"https://www.tiktok.com/@hutamipudji2")</f>
        <v>https://www.tiktok.com/@hutamipudji2</v>
      </c>
      <c r="D408" s="270">
        <f>IFERROR(__xludf.DUMMYFUNCTION("""COMPUTED_VALUE"""),8.1287375571E10)</f>
        <v>81287375571</v>
      </c>
      <c r="E408" s="457">
        <f>IFERROR(__xludf.DUMMYFUNCTION("""COMPUTED_VALUE"""),0.0)</f>
        <v>0</v>
      </c>
      <c r="F408" s="270">
        <f>IFERROR(__xludf.DUMMYFUNCTION("""COMPUTED_VALUE"""),4.0)</f>
        <v>4</v>
      </c>
      <c r="G408" s="17" t="str">
        <f>IFERROR(__xludf.DUMMYFUNCTION("""COMPUTED_VALUE"""),"Sabun batang 1 Box ( 2 PCS )")</f>
        <v>Sabun batang 1 Box ( 2 PCS )</v>
      </c>
      <c r="H408" s="463" t="str">
        <f>IFERROR(__xludf.DUMMYFUNCTION("""COMPUTED_VALUE"""),"Sampai")</f>
        <v>Sampai</v>
      </c>
      <c r="I408" s="464" t="str">
        <f>IFERROR(__xludf.DUMMYFUNCTION("""COMPUTED_VALUE"""),"KIMME")</f>
        <v>KIMME</v>
      </c>
      <c r="J408" s="279" t="str">
        <f>IFERROR(__xludf.DUMMYFUNCTION("""COMPUTED_VALUE"""),"https://vt.tiktok.com/ZSHEtH44r/")</f>
        <v>https://vt.tiktok.com/ZSHEtH44r/</v>
      </c>
      <c r="K408" s="464" t="str">
        <f>IFERROR(__xludf.DUMMYFUNCTION("""COMPUTED_VALUE"""),"KIMME")</f>
        <v>KIMME</v>
      </c>
      <c r="L408" s="279" t="str">
        <f>IFERROR(__xludf.DUMMYFUNCTION("""COMPUTED_VALUE"""),"https://vt.tiktok.com/ZSHEtpNKo/")</f>
        <v>https://vt.tiktok.com/ZSHEtpNKo/</v>
      </c>
      <c r="M408" s="464" t="str">
        <f>IFERROR(__xludf.DUMMYFUNCTION("""COMPUTED_VALUE"""),"KIMME")</f>
        <v>KIMME</v>
      </c>
      <c r="N408" s="279" t="str">
        <f>IFERROR(__xludf.DUMMYFUNCTION("""COMPUTED_VALUE"""),"https://vt.tiktok.com/ZSHoAtnrK/")</f>
        <v>https://vt.tiktok.com/ZSHoAtnrK/</v>
      </c>
      <c r="O408" s="464" t="str">
        <f>IFERROR(__xludf.DUMMYFUNCTION("""COMPUTED_VALUE"""),"KIMME")</f>
        <v>KIMME</v>
      </c>
      <c r="P408" s="279" t="str">
        <f>IFERROR(__xludf.DUMMYFUNCTION("""COMPUTED_VALUE"""),"https://vt.tiktok.com/ZSHoDYbo7/")</f>
        <v>https://vt.tiktok.com/ZSHoDYbo7/</v>
      </c>
    </row>
    <row r="409">
      <c r="A409" s="255" t="str">
        <f>IFERROR(__xludf.DUMMYFUNCTION("""COMPUTED_VALUE"""),"MACRO")</f>
        <v>MACRO</v>
      </c>
      <c r="B409" s="361" t="str">
        <f>IFERROR(__xludf.DUMMYFUNCTION("""COMPUTED_VALUE"""),"akuiviii")</f>
        <v>akuiviii</v>
      </c>
      <c r="C409" s="257" t="str">
        <f>IFERROR(__xludf.DUMMYFUNCTION("""COMPUTED_VALUE"""),"https://www.tiktok.com/@akuiviii")</f>
        <v>https://www.tiktok.com/@akuiviii</v>
      </c>
      <c r="D409" s="270">
        <f>IFERROR(__xludf.DUMMYFUNCTION("""COMPUTED_VALUE"""),8.5743966416E10)</f>
        <v>85743966416</v>
      </c>
      <c r="E409" s="457">
        <f>IFERROR(__xludf.DUMMYFUNCTION("""COMPUTED_VALUE"""),0.0)</f>
        <v>0</v>
      </c>
      <c r="F409" s="270">
        <f>IFERROR(__xludf.DUMMYFUNCTION("""COMPUTED_VALUE"""),1.0)</f>
        <v>1</v>
      </c>
      <c r="G409" s="17" t="str">
        <f>IFERROR(__xludf.DUMMYFUNCTION("""COMPUTED_VALUE"""),"Sabun batang 1 Box ( 2 PCS )")</f>
        <v>Sabun batang 1 Box ( 2 PCS )</v>
      </c>
      <c r="H409" s="463" t="str">
        <f>IFERROR(__xludf.DUMMYFUNCTION("""COMPUTED_VALUE"""),"Sampai")</f>
        <v>Sampai</v>
      </c>
      <c r="I409" s="464" t="str">
        <f>IFERROR(__xludf.DUMMYFUNCTION("""COMPUTED_VALUE"""),"KIMME")</f>
        <v>KIMME</v>
      </c>
      <c r="J409" s="279" t="str">
        <f>IFERROR(__xludf.DUMMYFUNCTION("""COMPUTED_VALUE"""),"https://www.tiktok.com/@zrly__/video/7627398840076799252")</f>
        <v>https://www.tiktok.com/@zrly__/video/7627398840076799252</v>
      </c>
      <c r="K409" s="464" t="str">
        <f>IFERROR(__xludf.DUMMYFUNCTION("""COMPUTED_VALUE"""),"KIMME")</f>
        <v>KIMME</v>
      </c>
      <c r="L409" s="279" t="str">
        <f>IFERROR(__xludf.DUMMYFUNCTION("""COMPUTED_VALUE"""),"https://vt.tiktok.com/ZSxQtuXYb/")</f>
        <v>https://vt.tiktok.com/ZSxQtuXYb/</v>
      </c>
      <c r="M409" s="464"/>
      <c r="N409" s="17"/>
      <c r="O409" s="464"/>
      <c r="P409" s="17"/>
    </row>
    <row r="410">
      <c r="A410" s="255" t="str">
        <f>IFERROR(__xludf.DUMMYFUNCTION("""COMPUTED_VALUE"""),"MICRO")</f>
        <v>MICRO</v>
      </c>
      <c r="B410" s="361" t="str">
        <f>IFERROR(__xludf.DUMMYFUNCTION("""COMPUTED_VALUE"""),"vhelovey")</f>
        <v>vhelovey</v>
      </c>
      <c r="C410" s="257" t="str">
        <f>IFERROR(__xludf.DUMMYFUNCTION("""COMPUTED_VALUE"""),"https://www.tiktok.com/@vhelovey")</f>
        <v>https://www.tiktok.com/@vhelovey</v>
      </c>
      <c r="D410" s="270">
        <f>IFERROR(__xludf.DUMMYFUNCTION("""COMPUTED_VALUE"""),8.8220248387E10)</f>
        <v>88220248387</v>
      </c>
      <c r="E410" s="457">
        <f>IFERROR(__xludf.DUMMYFUNCTION("""COMPUTED_VALUE"""),50000.0)</f>
        <v>50000</v>
      </c>
      <c r="F410" s="270">
        <f>IFERROR(__xludf.DUMMYFUNCTION("""COMPUTED_VALUE"""),1.0)</f>
        <v>1</v>
      </c>
      <c r="G410" s="17" t="str">
        <f>IFERROR(__xludf.DUMMYFUNCTION("""COMPUTED_VALUE"""),"Sabun batang 1 Box ( 2 PCS )")</f>
        <v>Sabun batang 1 Box ( 2 PCS )</v>
      </c>
      <c r="H410" s="463" t="str">
        <f>IFERROR(__xludf.DUMMYFUNCTION("""COMPUTED_VALUE"""),"Sampai")</f>
        <v>Sampai</v>
      </c>
      <c r="I410" s="464" t="str">
        <f>IFERROR(__xludf.DUMMYFUNCTION("""COMPUTED_VALUE"""),"KIMME")</f>
        <v>KIMME</v>
      </c>
      <c r="J410" s="279" t="str">
        <f>IFERROR(__xludf.DUMMYFUNCTION("""COMPUTED_VALUE"""),"https://www.tiktok.com/@vhelovey/video/7621462070579432725?_r=1&amp;u_code=dei33h1mbk4hhg&amp;region=&amp;mid=7621462144127421205&amp;preview_pb=0&amp;sharer_language=&amp;_d=0&amp;ec_shared_reflux_dynamic_params=%7B%22placeholder_material_id%22%3A%227621462070579432725%22%2C%22plac"&amp;"eholder_origin_cover%22%3A%22https%253A%252F%252Fp16-sign-sg.tiktokcdn.com%252Ftos-alisg-p-0037%252FoQBUAvvxWFGvHENBQpEDosf8Q5eKg6HSBQJqKR~tplv-tiktokx-origin.jpeg%253Fdr%253D14572%2526refresh_token%253D58662423%2526x-expires%253D1806051600%2526x-signatur"&amp;"e%253DJIxcfft%25252FanfFlM6zP6PBbH%25252F7oZ4%25253D%2526t%253D4d5b0474%2526ps%253D13740610%2526shp%253Dd05b14bd%2526shcp%253D34ff8df6%2526idc%253Dmy2%2526s%253DTIKTOK_AFFILIATE_VIRAL_VIDEO%22%2C%22placeholder_product_id%22%3A%221729427766722726591%22%2C%"&amp;"22placeholder_video_id%22%3A%227621462070579432725%22%7D&amp;ec_shared_reflux_scene=shop_tab_feed&amp;share_item_id=7621462070579432725&amp;source=h5_t")</f>
        <v>https://www.tiktok.com/@vhelovey/video/7621462070579432725?_r=1&amp;u_code=dei33h1mbk4hhg&amp;region=&amp;mid=7621462144127421205&amp;preview_pb=0&amp;sharer_language=&amp;_d=0&amp;ec_shared_reflux_dynamic_params=%7B%22placeholder_material_id%22%3A%227621462070579432725%22%2C%22placeholder_origin_cover%22%3A%22https%253A%252F%252Fp16-sign-sg.tiktokcdn.com%252Ftos-alisg-p-0037%252FoQBUAvvxWFGvHENBQpEDosf8Q5eKg6HSBQJqKR~tplv-tiktokx-origin.jpeg%253Fdr%253D14572%2526refresh_token%253D58662423%2526x-expires%253D1806051600%2526x-signature%253DJIxcfft%25252FanfFlM6zP6PBbH%25252F7oZ4%25253D%2526t%253D4d5b0474%2526ps%253D13740610%2526shp%253Dd05b14bd%2526shcp%253D34ff8df6%2526idc%253Dmy2%2526s%253DTIKTOK_AFFILIATE_VIRAL_VIDEO%22%2C%22placeholder_product_id%22%3A%221729427766722726591%22%2C%22placeholder_video_id%22%3A%227621462070579432725%22%7D&amp;ec_shared_reflux_scene=shop_tab_feed&amp;share_item_id=7621462070579432725&amp;source=h5_t</v>
      </c>
      <c r="K410" s="464" t="str">
        <f>IFERROR(__xludf.DUMMYFUNCTION("""COMPUTED_VALUE"""),"KIMME")</f>
        <v>KIMME</v>
      </c>
      <c r="L410" s="279" t="str">
        <f>IFERROR(__xludf.DUMMYFUNCTION("""COMPUTED_VALUE"""),"https://www.tiktok.com/@vhelovey/video/7634118442324479253?_r=1&amp;u_code=dei33h1mbk4hhg&amp;region=&amp;mid=7594513054277126145&amp;preview_pb=0&amp;sharer_language=&amp;_d=0&amp;ec_shared_reflux_dynamic_params=%7B%22placeholder_material_id%22%3A%227634118442324479253%22%2C%22plac"&amp;"eholder_origin_cover%22%3A%22https%253A%252F%252Fp16-sign-sg.tiktokcdn.com%252Ftos-alisg-p-0037%252FoI3hiAAiEI4zzIBwK4CfHVIHbv1tBvIAok70Bx~tplv-tiktokx-origin.jpeg%253Fdr%253D14572%2526refresh_token%253D069fe840%2526x-expires%253D1809507600%2526x-signatur"&amp;"e%253DyQBxQaFzZim9od35qZBCzSOAs6M%25253D%2526t%253D4d5b0474%2526ps%253D13740610%2526shp%253Dd05b14bd%2526shcp%253D34ff8df6%2526idc%253Dmy%2526s%253DTIKTOK_AFFILIATE_VIRAL_VIDEO%22%2C%22placeholder_product_id%22%3A%221729427766722726591%22%2C%22placeholder"&amp;"_video_id%22%3A%227634118442324479253%22%7D&amp;ec_shared_reflux_scene=shop_tab_feed&amp;share_item_id=7634118442324479253&amp;source=h5_t")</f>
        <v>https://www.tiktok.com/@vhelovey/video/7634118442324479253?_r=1&amp;u_code=dei33h1mbk4hhg&amp;region=&amp;mid=7594513054277126145&amp;preview_pb=0&amp;sharer_language=&amp;_d=0&amp;ec_shared_reflux_dynamic_params=%7B%22placeholder_material_id%22%3A%227634118442324479253%22%2C%22placeholder_origin_cover%22%3A%22https%253A%252F%252Fp16-sign-sg.tiktokcdn.com%252Ftos-alisg-p-0037%252FoI3hiAAiEI4zzIBwK4CfHVIHbv1tBvIAok70Bx~tplv-tiktokx-origin.jpeg%253Fdr%253D14572%2526refresh_token%253D069fe840%2526x-expires%253D1809507600%2526x-signature%253DyQBxQaFzZim9od35qZBCzSOAs6M%25253D%2526t%253D4d5b0474%2526ps%253D13740610%2526shp%253Dd05b14bd%2526shcp%253D34ff8df6%2526idc%253Dmy%2526s%253DTIKTOK_AFFILIATE_VIRAL_VIDEO%22%2C%22placeholder_product_id%22%3A%221729427766722726591%22%2C%22placeholder_video_id%22%3A%227634118442324479253%22%7D&amp;ec_shared_reflux_scene=shop_tab_feed&amp;share_item_id=7634118442324479253&amp;source=h5_t</v>
      </c>
      <c r="M410" s="464"/>
      <c r="N410" s="279" t="str">
        <f>IFERROR(__xludf.DUMMYFUNCTION("""COMPUTED_VALUE"""),"https://www.tiktok.com/@vhelovey/video/7635528931264793877?_r=1&amp;u_code=dei33h1mbk4hhg&amp;region=&amp;mid=7591434567065192449&amp;preview_pb=0&amp;sharer_language=&amp;_d=0&amp;ec_shared_reflux_dynamic_params=%7B%22placeholder_material_id%22%3A%227635528931264793877%22%2C%22plac"&amp;"eholder_origin_cover%22%3A%22https%253A%252F%252Fp16-sign-sg.tiktokcdn.com%252Ftos-alisg-p-0037%252Fow9MI0QRvEa2EPBrBjgiMeSgIf2BppiBEBx22A~tplv-tiktokx-origin.jpeg%253Fdr%253D14572%2526refresh_token%253D3d9ca3ff%2526x-expires%253D1809507600%2526x-signatur"&amp;"e%253DRAjFSO0gVERIo3S7%25252FsTFYhvNqOw%25253D%2526t%253D4d5b0474%2526ps%253D13740610%2526shp%253Dd05b14bd%2526shcp%253D34ff8df6%2526idc%253Dmy%2526s%253DTIKTOK_AFFILIATE_VIRAL_VIDEO%22%2C%22placeholder_product_id%22%3A%221729427766722726591%22%2C%22place"&amp;"holder_video_id%22%3A%227635528931264793877%22%7D&amp;ec_shared_reflux_scene=shop_tab_feed&amp;share_item_id=7635528931264793877&amp;source=h5_t")</f>
        <v>https://www.tiktok.com/@vhelovey/video/7635528931264793877?_r=1&amp;u_code=dei33h1mbk4hhg&amp;region=&amp;mid=7591434567065192449&amp;preview_pb=0&amp;sharer_language=&amp;_d=0&amp;ec_shared_reflux_dynamic_params=%7B%22placeholder_material_id%22%3A%227635528931264793877%22%2C%22placeholder_origin_cover%22%3A%22https%253A%252F%252Fp16-sign-sg.tiktokcdn.com%252Ftos-alisg-p-0037%252Fow9MI0QRvEa2EPBrBjgiMeSgIf2BppiBEBx22A~tplv-tiktokx-origin.jpeg%253Fdr%253D14572%2526refresh_token%253D3d9ca3ff%2526x-expires%253D1809507600%2526x-signature%253DRAjFSO0gVERIo3S7%25252FsTFYhvNqOw%25253D%2526t%253D4d5b0474%2526ps%253D13740610%2526shp%253Dd05b14bd%2526shcp%253D34ff8df6%2526idc%253Dmy%2526s%253DTIKTOK_AFFILIATE_VIRAL_VIDEO%22%2C%22placeholder_product_id%22%3A%221729427766722726591%22%2C%22placeholder_video_id%22%3A%227635528931264793877%22%7D&amp;ec_shared_reflux_scene=shop_tab_feed&amp;share_item_id=7635528931264793877&amp;source=h5_t</v>
      </c>
      <c r="O410" s="464"/>
      <c r="P410" s="17" t="str">
        <f>IFERROR(__xludf.DUMMYFUNCTION("""COMPUTED_VALUE"""),"⁠⁠https://vt.tiktok.com/ZS9t9RYJh/")</f>
        <v>⁠⁠https://vt.tiktok.com/ZS9t9RYJh/</v>
      </c>
    </row>
    <row r="411">
      <c r="A411" s="255" t="str">
        <f>IFERROR(__xludf.DUMMYFUNCTION("""COMPUTED_VALUE"""),"MICRO")</f>
        <v>MICRO</v>
      </c>
      <c r="B411" s="361" t="str">
        <f>IFERROR(__xludf.DUMMYFUNCTION("""COMPUTED_VALUE"""),"filianah1998")</f>
        <v>filianah1998</v>
      </c>
      <c r="C411" s="257" t="str">
        <f>IFERROR(__xludf.DUMMYFUNCTION("""COMPUTED_VALUE"""),"https://www.tiktok.com/@filianah1998")</f>
        <v>https://www.tiktok.com/@filianah1998</v>
      </c>
      <c r="D411" s="270">
        <f>IFERROR(__xludf.DUMMYFUNCTION("""COMPUTED_VALUE"""),8.586772026E10)</f>
        <v>85867720260</v>
      </c>
      <c r="E411" s="457">
        <f>IFERROR(__xludf.DUMMYFUNCTION("""COMPUTED_VALUE"""),0.0)</f>
        <v>0</v>
      </c>
      <c r="F411" s="270">
        <f>IFERROR(__xludf.DUMMYFUNCTION("""COMPUTED_VALUE"""),4.0)</f>
        <v>4</v>
      </c>
      <c r="G411" s="17" t="str">
        <f>IFERROR(__xludf.DUMMYFUNCTION("""COMPUTED_VALUE"""),"Sabun batang 1 Box ( 2 PCS )")</f>
        <v>Sabun batang 1 Box ( 2 PCS )</v>
      </c>
      <c r="H411" s="463" t="str">
        <f>IFERROR(__xludf.DUMMYFUNCTION("""COMPUTED_VALUE"""),"Sampai")</f>
        <v>Sampai</v>
      </c>
      <c r="I411" s="464" t="str">
        <f>IFERROR(__xludf.DUMMYFUNCTION("""COMPUTED_VALUE"""),"KIMME")</f>
        <v>KIMME</v>
      </c>
      <c r="J411" s="279" t="str">
        <f>IFERROR(__xludf.DUMMYFUNCTION("""COMPUTED_VALUE"""),"https://vt.tiktok.com/ZSHacQR7w/")</f>
        <v>https://vt.tiktok.com/ZSHacQR7w/</v>
      </c>
      <c r="K411" s="464" t="str">
        <f>IFERROR(__xludf.DUMMYFUNCTION("""COMPUTED_VALUE"""),"KIMME")</f>
        <v>KIMME</v>
      </c>
      <c r="L411" s="279" t="str">
        <f>IFERROR(__xludf.DUMMYFUNCTION("""COMPUTED_VALUE"""),"https://vt.tiktok.com/ZSHoY8DFa/")</f>
        <v>https://vt.tiktok.com/ZSHoY8DFa/</v>
      </c>
      <c r="M411" s="464"/>
      <c r="N411" s="279" t="str">
        <f>IFERROR(__xludf.DUMMYFUNCTION("""COMPUTED_VALUE"""),"https://vt.tiktok.com/ZS9nvrdvp/")</f>
        <v>https://vt.tiktok.com/ZS9nvrdvp/</v>
      </c>
      <c r="O411" s="464"/>
      <c r="P411" s="279" t="str">
        <f>IFERROR(__xludf.DUMMYFUNCTION("""COMPUTED_VALUE"""),"https://vt.tiktok.com/ZS9nvKydP/")</f>
        <v>https://vt.tiktok.com/ZS9nvKydP/</v>
      </c>
    </row>
    <row r="412">
      <c r="A412" s="255" t="str">
        <f>IFERROR(__xludf.DUMMYFUNCTION("""COMPUTED_VALUE"""),"MICRO")</f>
        <v>MICRO</v>
      </c>
      <c r="B412" s="361" t="str">
        <f>IFERROR(__xludf.DUMMYFUNCTION("""COMPUTED_VALUE"""),"ulfadianita")</f>
        <v>ulfadianita</v>
      </c>
      <c r="C412" s="257" t="str">
        <f>IFERROR(__xludf.DUMMYFUNCTION("""COMPUTED_VALUE"""),"https://www.tiktok.com/@ulfadianita")</f>
        <v>https://www.tiktok.com/@ulfadianita</v>
      </c>
      <c r="D412" s="270">
        <f>IFERROR(__xludf.DUMMYFUNCTION("""COMPUTED_VALUE"""),8.2110565563E10)</f>
        <v>82110565563</v>
      </c>
      <c r="E412" s="457">
        <f>IFERROR(__xludf.DUMMYFUNCTION("""COMPUTED_VALUE"""),0.0)</f>
        <v>0</v>
      </c>
      <c r="F412" s="270">
        <f>IFERROR(__xludf.DUMMYFUNCTION("""COMPUTED_VALUE"""),4.0)</f>
        <v>4</v>
      </c>
      <c r="G412" s="17" t="str">
        <f>IFERROR(__xludf.DUMMYFUNCTION("""COMPUTED_VALUE"""),"Sabun batang 1 Box ( 2 PCS )")</f>
        <v>Sabun batang 1 Box ( 2 PCS )</v>
      </c>
      <c r="H412" s="463" t="str">
        <f>IFERROR(__xludf.DUMMYFUNCTION("""COMPUTED_VALUE"""),"Sampai")</f>
        <v>Sampai</v>
      </c>
      <c r="I412" s="464" t="str">
        <f>IFERROR(__xludf.DUMMYFUNCTION("""COMPUTED_VALUE"""),"KIMME")</f>
        <v>KIMME</v>
      </c>
      <c r="J412" s="279" t="str">
        <f>IFERROR(__xludf.DUMMYFUNCTION("""COMPUTED_VALUE"""),"https://www.tiktok.com/@skinbeauty.id/video/7628460453693377812?_r=1&amp;u_code=db2el50hhee557&amp;region=&amp;mid=7628460516763912977&amp;preview_pb=0&amp;sharer_language=&amp;_d=0&amp;ec_shared_reflux_dynamic_params=%7B%22placeholder_material_id%22%3A%227628460453693377812%22%2C%2"&amp;"2placeholder_origin_cover%22%3A%22https%253A%252F%252Fp16-common-sign.tiktokcdn.com%252Ftos-alisg-p-0037%252FoQIi8WIxEiGFAwXzAvB2cY6VTHB2UluaddBPb~tplv-tiktokx-origin.jpeg%253Fdr%253D14572%2526refresh_token%253Db12a224a%2526x-expires%253D1808208000%2526x-"&amp;"signature%253Dlru0WGuj1pd5DCcjAS0ZUHyaHuQ%25253D%2526t%253D4d5b0474%2526ps%253D13740610%2526shp%253Dd05b14bd%2526shcp%253D34ff8df6%2526idc%253Dmy3%2526s%253DTIKTOK_AFFILIATE_VIRAL_VIDEO%22%2C%22placeholder_product_id%22%3A%221729427766722726591%22%2C%22pl"&amp;"aceholder_video_id%22%3A%227628460453693377812%22%7D&amp;ec_shared_reflux_scene=shop_tab_feed&amp;share_item_id=7628460453693377812&amp;source=h5_t")</f>
        <v>https://www.tiktok.com/@skinbeauty.id/video/7628460453693377812?_r=1&amp;u_code=db2el50hhee557&amp;region=&amp;mid=7628460516763912977&amp;preview_pb=0&amp;sharer_language=&amp;_d=0&amp;ec_shared_reflux_dynamic_params=%7B%22placeholder_material_id%22%3A%227628460453693377812%22%2C%22placeholder_origin_cover%22%3A%22https%253A%252F%252Fp16-common-sign.tiktokcdn.com%252Ftos-alisg-p-0037%252FoQIi8WIxEiGFAwXzAvB2cY6VTHB2UluaddBPb~tplv-tiktokx-origin.jpeg%253Fdr%253D14572%2526refresh_token%253Db12a224a%2526x-expires%253D1808208000%2526x-signature%253Dlru0WGuj1pd5DCcjAS0ZUHyaHuQ%25253D%2526t%253D4d5b0474%2526ps%253D13740610%2526shp%253Dd05b14bd%2526shcp%253D34ff8df6%2526idc%253Dmy3%2526s%253DTIKTOK_AFFILIATE_VIRAL_VIDEO%22%2C%22placeholder_product_id%22%3A%221729427766722726591%22%2C%22placeholder_video_id%22%3A%227628460453693377812%22%7D&amp;ec_shared_reflux_scene=shop_tab_feed&amp;share_item_id=7628460453693377812&amp;source=h5_t</v>
      </c>
      <c r="K412" s="464" t="str">
        <f>IFERROR(__xludf.DUMMYFUNCTION("""COMPUTED_VALUE"""),"KIMME")</f>
        <v>KIMME</v>
      </c>
      <c r="L412" s="279" t="str">
        <f>IFERROR(__xludf.DUMMYFUNCTION("""COMPUTED_VALUE"""),"https://www.tiktok.com/@mbk_cantik2309/video/7623645215320001799?_r=1&amp;u_code=d1gjfh028dg736&amp;region=&amp;mid=7514881014267923216&amp;preview_pb=0&amp;sharer_language=&amp;_d=0&amp;ec_shared_reflux_dynamic_params=%7B%22placeholder_material_id%22%3A%227623645215320001799%22%2C%"&amp;"22placeholder_origin_cover%22%3A%22https%253A%252F%252Fp16-common-sign.tiktokcdn.com%252Ftos-alisg-p-0037%252Fok5geKtwT8DexBpyCKLIAGGhImAjUxaggEeioU~tplv-tiktokx-origin.jpeg%253Fdr%253D14572%2526refresh_token%253Deee45406%2526x-expires%253D1808208000%2526"&amp;"x-signature%253DgATyNsiWH%25252B0mw%25252BU5EfPHhdvNqrE%25253D%2526t%253D4d5b0474%2526ps%253D13740610%2526shp%253Dd05b14bd%2526shcp%253D34ff8df6%2526idc%253Dmy3%2526s%253DTIKTOK_AFFILIATE_VIRAL_VIDEO%22%2C%22placeholder_product_id%22%3A%221729427766722726"&amp;"591%22%2C%22placeholder_video_id%22%3A%227623645215320001799%22%7D&amp;ec_shared_reflux_scene=shop_tab_feed&amp;share_item_id=7623645215320001799&amp;source=h5_t")</f>
        <v>https://www.tiktok.com/@mbk_cantik2309/video/7623645215320001799?_r=1&amp;u_code=d1gjfh028dg736&amp;region=&amp;mid=7514881014267923216&amp;preview_pb=0&amp;sharer_language=&amp;_d=0&amp;ec_shared_reflux_dynamic_params=%7B%22placeholder_material_id%22%3A%227623645215320001799%22%2C%22placeholder_origin_cover%22%3A%22https%253A%252F%252Fp16-common-sign.tiktokcdn.com%252Ftos-alisg-p-0037%252Fok5geKtwT8DexBpyCKLIAGGhImAjUxaggEeioU~tplv-tiktokx-origin.jpeg%253Fdr%253D14572%2526refresh_token%253Deee45406%2526x-expires%253D1808208000%2526x-signature%253DgATyNsiWH%25252B0mw%25252BU5EfPHhdvNqrE%25253D%2526t%253D4d5b0474%2526ps%253D13740610%2526shp%253Dd05b14bd%2526shcp%253D34ff8df6%2526idc%253Dmy3%2526s%253DTIKTOK_AFFILIATE_VIRAL_VIDEO%22%2C%22placeholder_product_id%22%3A%221729427766722726591%22%2C%22placeholder_video_id%22%3A%227623645215320001799%22%7D&amp;ec_shared_reflux_scene=shop_tab_feed&amp;share_item_id=7623645215320001799&amp;source=h5_t</v>
      </c>
      <c r="M412" s="464" t="str">
        <f>IFERROR(__xludf.DUMMYFUNCTION("""COMPUTED_VALUE"""),"KIMME")</f>
        <v>KIMME</v>
      </c>
      <c r="N412" s="279" t="str">
        <f>IFERROR(__xludf.DUMMYFUNCTION("""COMPUTED_VALUE"""),"https://www.tiktok.com/@mbk_cantik2309/video/7626950869862468872?_r=1&amp;u_code=d1gjfh028dg736&amp;region=&amp;mid=7594856345195662081&amp;preview_pb=0&amp;sharer_language=&amp;_d=0&amp;ec_shared_reflux_dynamic_params=%7B%22placeholder_material_id%22%3A%227626950869862468872%22%2C%"&amp;"22placeholder_origin_cover%22%3A%22https%253A%252F%252Fp16-common-sign.tiktokcdn.com%252Ftos-alisg-p-0037%252FoEm2UQcQD8e5FBvTgEfvAnFp3FM2zpBEV0kRJw~tplv-tiktokx-origin.jpeg%253Fdr%253D14572%2526refresh_token%253D9d5284b9%2526x-expires%253D1808208000%2526"&amp;"x-signature%253DCSOvTelEnqgO4dgqocLhlhyUKpA%25253D%2526t%253D4d5b0474%2526ps%253D13740610%2526shp%253Dd05b14bd%2526shcp%253D34ff8df6%2526idc%253Dmy3%2526s%253DTIKTOK_AFFILIATE_VIRAL_VIDEO%22%2C%22placeholder_product_id%22%3A%221729427766722726591%22%2C%22"&amp;"placeholder_video_id%22%3A%227626950869862468872%22%7D&amp;ec_shared_reflux_scene=shop_tab_feed&amp;share_item_id=7626950869862468872&amp;source=h5_t")</f>
        <v>https://www.tiktok.com/@mbk_cantik2309/video/7626950869862468872?_r=1&amp;u_code=d1gjfh028dg736&amp;region=&amp;mid=7594856345195662081&amp;preview_pb=0&amp;sharer_language=&amp;_d=0&amp;ec_shared_reflux_dynamic_params=%7B%22placeholder_material_id%22%3A%227626950869862468872%22%2C%22placeholder_origin_cover%22%3A%22https%253A%252F%252Fp16-common-sign.tiktokcdn.com%252Ftos-alisg-p-0037%252FoEm2UQcQD8e5FBvTgEfvAnFp3FM2zpBEV0kRJw~tplv-tiktokx-origin.jpeg%253Fdr%253D14572%2526refresh_token%253D9d5284b9%2526x-expires%253D1808208000%2526x-signature%253DCSOvTelEnqgO4dgqocLhlhyUKpA%25253D%2526t%253D4d5b0474%2526ps%253D13740610%2526shp%253Dd05b14bd%2526shcp%253D34ff8df6%2526idc%253Dmy3%2526s%253DTIKTOK_AFFILIATE_VIRAL_VIDEO%22%2C%22placeholder_product_id%22%3A%221729427766722726591%22%2C%22placeholder_video_id%22%3A%227626950869862468872%22%7D&amp;ec_shared_reflux_scene=shop_tab_feed&amp;share_item_id=7626950869862468872&amp;source=h5_t</v>
      </c>
      <c r="O412" s="464" t="str">
        <f>IFERROR(__xludf.DUMMYFUNCTION("""COMPUTED_VALUE"""),"KIMME")</f>
        <v>KIMME</v>
      </c>
      <c r="P412" s="279" t="str">
        <f>IFERROR(__xludf.DUMMYFUNCTION("""COMPUTED_VALUE"""),"https://www.tiktok.com/@mbk_cantik2309/video/7630361343257857298?_r=1&amp;u_code=d1gjfh028dg736&amp;region=&amp;mid=7616816741914168071&amp;preview_pb=0&amp;sharer_language=&amp;_d=0&amp;ec_shared_reflux_dynamic_params=%7B%22placeholder_material_id%22%3A%227630361343257857298%22%2C%"&amp;"22placeholder_origin_cover%22%3A%22https%253A%252F%252Fp16-sign-sg.tiktokcdn.com%252Ftos-alisg-p-0037%252FoMQvg4e8Po8gyXIjdeyTUMWl479MGuADAeqORC~tplv-tiktokx-origin.jpeg%253Fdr%253D14572%2526refresh_token%253Da9efcd64%2526x-expires%253D1808208000%2526x-si"&amp;"gnature%253DY8v35riX7Fcy9sj3TJfqIL6mANs%25253D%2526t%253D4d5b0474%2526ps%253D13740610%2526shp%253Dd05b14bd%2526shcp%253D34ff8df6%2526idc%253Dmy3%2526s%253DTIKTOK_AFFILIATE_VIRAL_VIDEO%22%2C%22placeholder_product_id%22%3A%221729427766722726591%22%2C%22plac"&amp;"eholder_video_id%22%3A%227630361343257857298%22%7D&amp;ec_shared_reflux_scene=shop_tab_feed&amp;share_item_id=7630361343257857298&amp;source=h5_t")</f>
        <v>https://www.tiktok.com/@mbk_cantik2309/video/7630361343257857298?_r=1&amp;u_code=d1gjfh028dg736&amp;region=&amp;mid=7616816741914168071&amp;preview_pb=0&amp;sharer_language=&amp;_d=0&amp;ec_shared_reflux_dynamic_params=%7B%22placeholder_material_id%22%3A%227630361343257857298%22%2C%22placeholder_origin_cover%22%3A%22https%253A%252F%252Fp16-sign-sg.tiktokcdn.com%252Ftos-alisg-p-0037%252FoMQvg4e8Po8gyXIjdeyTUMWl479MGuADAeqORC~tplv-tiktokx-origin.jpeg%253Fdr%253D14572%2526refresh_token%253Da9efcd64%2526x-expires%253D1808208000%2526x-signature%253DY8v35riX7Fcy9sj3TJfqIL6mANs%25253D%2526t%253D4d5b0474%2526ps%253D13740610%2526shp%253Dd05b14bd%2526shcp%253D34ff8df6%2526idc%253Dmy3%2526s%253DTIKTOK_AFFILIATE_VIRAL_VIDEO%22%2C%22placeholder_product_id%22%3A%221729427766722726591%22%2C%22placeholder_video_id%22%3A%227630361343257857298%22%7D&amp;ec_shared_reflux_scene=shop_tab_feed&amp;share_item_id=7630361343257857298&amp;source=h5_t</v>
      </c>
    </row>
    <row r="413">
      <c r="A413" s="255" t="str">
        <f>IFERROR(__xludf.DUMMYFUNCTION("""COMPUTED_VALUE"""),"MICRO")</f>
        <v>MICRO</v>
      </c>
      <c r="B413" s="361" t="str">
        <f>IFERROR(__xludf.DUMMYFUNCTION("""COMPUTED_VALUE"""),"rindi.afrilia")</f>
        <v>rindi.afrilia</v>
      </c>
      <c r="C413" s="257" t="str">
        <f>IFERROR(__xludf.DUMMYFUNCTION("""COMPUTED_VALUE"""),"https://www.tiktok.com/@rindi.afrilia")</f>
        <v>https://www.tiktok.com/@rindi.afrilia</v>
      </c>
      <c r="D413" s="270">
        <f>IFERROR(__xludf.DUMMYFUNCTION("""COMPUTED_VALUE"""),8.2237584137E10)</f>
        <v>82237584137</v>
      </c>
      <c r="E413" s="457">
        <f>IFERROR(__xludf.DUMMYFUNCTION("""COMPUTED_VALUE"""),750000.0)</f>
        <v>750000</v>
      </c>
      <c r="F413" s="270">
        <f>IFERROR(__xludf.DUMMYFUNCTION("""COMPUTED_VALUE"""),4.0)</f>
        <v>4</v>
      </c>
      <c r="G413" s="17" t="str">
        <f>IFERROR(__xludf.DUMMYFUNCTION("""COMPUTED_VALUE"""),"Sabun batang 1 Box ( 2 PCS )")</f>
        <v>Sabun batang 1 Box ( 2 PCS )</v>
      </c>
      <c r="H413" s="463" t="str">
        <f>IFERROR(__xludf.DUMMYFUNCTION("""COMPUTED_VALUE"""),"Sampai")</f>
        <v>Sampai</v>
      </c>
      <c r="I413" s="464" t="str">
        <f>IFERROR(__xludf.DUMMYFUNCTION("""COMPUTED_VALUE"""),"KIMME")</f>
        <v>KIMME</v>
      </c>
      <c r="J413" s="279" t="str">
        <f>IFERROR(__xludf.DUMMYFUNCTION("""COMPUTED_VALUE"""),"https://vt.tiktok.com/ZSHacjJDG/")</f>
        <v>https://vt.tiktok.com/ZSHacjJDG/</v>
      </c>
      <c r="K413" s="464" t="str">
        <f>IFERROR(__xludf.DUMMYFUNCTION("""COMPUTED_VALUE"""),"KIMME")</f>
        <v>KIMME</v>
      </c>
      <c r="L413" s="279" t="str">
        <f>IFERROR(__xludf.DUMMYFUNCTION("""COMPUTED_VALUE"""),"https://vt.tiktok.com/ZSHac82x2/")</f>
        <v>https://vt.tiktok.com/ZSHac82x2/</v>
      </c>
      <c r="M413" s="464" t="str">
        <f>IFERROR(__xludf.DUMMYFUNCTION("""COMPUTED_VALUE"""),"KIMME")</f>
        <v>KIMME</v>
      </c>
      <c r="N413" s="279" t="str">
        <f>IFERROR(__xludf.DUMMYFUNCTION("""COMPUTED_VALUE"""),"https://www.tiktok.com/@rindi.afrilia/video/7622696374244576533?_r=1&amp;u_code=dja890i3j90f3j&amp;region=&amp;mid=7546238952196212752&amp;preview_pb=0&amp;sharer_language=&amp;_d=0&amp;ec_shared_reflux_dynamic_params=%7B%22placeholder_material_id%22%3A%227622696374244576533%22%2C%2"&amp;"2placeholder_origin_cover%22%3A%22https%253A%252F%252Fp16-sign-sg.tiktokcdn.com%252Ftos-alisg-p-0037%252FoIUBeDMfLJupFBA0QHguRQtDgEjEcbE0odyRQp~tplv-tiktokx-origin.jpeg%253Fdr%253D14572%2526refresh_token%253De29c2294%2526x-expires%253D1807070400%2526x-sig"&amp;"nature%253DoLnoI41vl7X5vT92a3DpCkr7QsM%25253D%2526t%253D4d5b0474%2526ps%253D13740610%2526shp%253Dd05b14bd%2526shcp%253D34ff8df6%2526idc%253Dmy2%2526s%253DTIKTOK_AFFILIATE_VIRAL_VIDEO%22%2C%22placeholder_product_id%22%3A%221729427766722726591%22%2C%22place"&amp;"holder_video_id%22%3A%227622696374244576533%22%7D&amp;ec_shared_reflux_scene=shop_tab_feed&amp;share_item_id=7622696374244576533&amp;source=h5_t")</f>
        <v>https://www.tiktok.com/@rindi.afrilia/video/7622696374244576533?_r=1&amp;u_code=dja890i3j90f3j&amp;region=&amp;mid=7546238952196212752&amp;preview_pb=0&amp;sharer_language=&amp;_d=0&amp;ec_shared_reflux_dynamic_params=%7B%22placeholder_material_id%22%3A%227622696374244576533%22%2C%22placeholder_origin_cover%22%3A%22https%253A%252F%252Fp16-sign-sg.tiktokcdn.com%252Ftos-alisg-p-0037%252FoIUBeDMfLJupFBA0QHguRQtDgEjEcbE0odyRQp~tplv-tiktokx-origin.jpeg%253Fdr%253D14572%2526refresh_token%253De29c2294%2526x-expires%253D1807070400%2526x-signature%253DoLnoI41vl7X5vT92a3DpCkr7QsM%25253D%2526t%253D4d5b0474%2526ps%253D13740610%2526shp%253Dd05b14bd%2526shcp%253D34ff8df6%2526idc%253Dmy2%2526s%253DTIKTOK_AFFILIATE_VIRAL_VIDEO%22%2C%22placeholder_product_id%22%3A%221729427766722726591%22%2C%22placeholder_video_id%22%3A%227622696374244576533%22%7D&amp;ec_shared_reflux_scene=shop_tab_feed&amp;share_item_id=7622696374244576533&amp;source=h5_t</v>
      </c>
      <c r="O413" s="464" t="str">
        <f>IFERROR(__xludf.DUMMYFUNCTION("""COMPUTED_VALUE"""),"KIMME")</f>
        <v>KIMME</v>
      </c>
      <c r="P413" s="279" t="str">
        <f>IFERROR(__xludf.DUMMYFUNCTION("""COMPUTED_VALUE"""),"https://vt.tiktok.com/ZSHacF9hH/")</f>
        <v>https://vt.tiktok.com/ZSHacF9hH/</v>
      </c>
    </row>
    <row r="414">
      <c r="A414" s="255" t="str">
        <f>IFERROR(__xludf.DUMMYFUNCTION("""COMPUTED_VALUE"""),"MICRO")</f>
        <v>MICRO</v>
      </c>
      <c r="B414" s="361" t="str">
        <f>IFERROR(__xludf.DUMMYFUNCTION("""COMPUTED_VALUE"""),"skincare.glowwww
")</f>
        <v>skincare.glowwww
</v>
      </c>
      <c r="C414" s="257" t="str">
        <f>IFERROR(__xludf.DUMMYFUNCTION("""COMPUTED_VALUE"""),"https://www.tiktok.com/@skincare.glowwww
")</f>
        <v>https://www.tiktok.com/@skincare.glowwww
</v>
      </c>
      <c r="D414" s="270">
        <f>IFERROR(__xludf.DUMMYFUNCTION("""COMPUTED_VALUE"""),8.212077664E10)</f>
        <v>82120776640</v>
      </c>
      <c r="E414" s="457">
        <f>IFERROR(__xludf.DUMMYFUNCTION("""COMPUTED_VALUE"""),0.0)</f>
        <v>0</v>
      </c>
      <c r="F414" s="270">
        <f>IFERROR(__xludf.DUMMYFUNCTION("""COMPUTED_VALUE"""),4.0)</f>
        <v>4</v>
      </c>
      <c r="G414" s="17" t="str">
        <f>IFERROR(__xludf.DUMMYFUNCTION("""COMPUTED_VALUE"""),"Sabun batang 1 Box ( 2 PCS )")</f>
        <v>Sabun batang 1 Box ( 2 PCS )</v>
      </c>
      <c r="H414" s="463" t="str">
        <f>IFERROR(__xludf.DUMMYFUNCTION("""COMPUTED_VALUE"""),"Sampai")</f>
        <v>Sampai</v>
      </c>
      <c r="I414" s="464" t="str">
        <f>IFERROR(__xludf.DUMMYFUNCTION("""COMPUTED_VALUE"""),"KIMME")</f>
        <v>KIMME</v>
      </c>
      <c r="J414" s="279" t="str">
        <f>IFERROR(__xludf.DUMMYFUNCTION("""COMPUTED_VALUE"""),"https://www.tiktok.com/@skincare.glowwww/video/7630114996415974672?_r=1&amp;u_code=e6kj1c0bjaf360&amp;region=&amp;mid=7621425028072065810&amp;preview_pb=0&amp;sharer_language=&amp;_d=0&amp;ec_shared_reflux_dynamic_params=%7B%22placeholder_material_id%22%3A%227630114996415974672%22%2"&amp;"C%22placeholder_origin_cover%22%3A%22https%253A%252F%252Fp16-common-sign.tiktokcdn.com%252Ftos-alisg-p-0037%252FoEGH8ofDgCrxFgIlqejOIDGDeqT0zAtMC4A2LT~tplv-tiktokx-origin.jpeg%253Fdr%253D14572%2526refresh_token%253D99a98312%2526x-expires%253D1808204400%25"&amp;"26x-signature%253DLQINxngzlCC35A0PWOlepLeprzE%25253D%2526t%253D4d5b0474%2526ps%253D13740610%2526shp%253Dd05b14bd%2526shcp%253D34ff8df6%2526idc%253Dmy3%2526s%253DTIKTOK_AFFILIATE_VIRAL_VIDEO%22%2C%22placeholder_product_id%22%3A%221729427766722726591%22%2C%"&amp;"22placeholder_video_id%22%3A%227630114996415974672%22%7D&amp;ec_shared_reflux_scene=shop_tab_feed&amp;share_item_id=7630114996415974672&amp;source=h5_t")</f>
        <v>https://www.tiktok.com/@skincare.glowwww/video/7630114996415974672?_r=1&amp;u_code=e6kj1c0bjaf360&amp;region=&amp;mid=7621425028072065810&amp;preview_pb=0&amp;sharer_language=&amp;_d=0&amp;ec_shared_reflux_dynamic_params=%7B%22placeholder_material_id%22%3A%227630114996415974672%22%2C%22placeholder_origin_cover%22%3A%22https%253A%252F%252Fp16-common-sign.tiktokcdn.com%252Ftos-alisg-p-0037%252FoEGH8ofDgCrxFgIlqejOIDGDeqT0zAtMC4A2LT~tplv-tiktokx-origin.jpeg%253Fdr%253D14572%2526refresh_token%253D99a98312%2526x-expires%253D1808204400%2526x-signature%253DLQINxngzlCC35A0PWOlepLeprzE%25253D%2526t%253D4d5b0474%2526ps%253D13740610%2526shp%253Dd05b14bd%2526shcp%253D34ff8df6%2526idc%253Dmy3%2526s%253DTIKTOK_AFFILIATE_VIRAL_VIDEO%22%2C%22placeholder_product_id%22%3A%221729427766722726591%22%2C%22placeholder_video_id%22%3A%227630114996415974672%22%7D&amp;ec_shared_reflux_scene=shop_tab_feed&amp;share_item_id=7630114996415974672&amp;source=h5_t</v>
      </c>
      <c r="K414" s="464" t="str">
        <f>IFERROR(__xludf.DUMMYFUNCTION("""COMPUTED_VALUE"""),"KIMME")</f>
        <v>KIMME</v>
      </c>
      <c r="L414" s="279" t="str">
        <f>IFERROR(__xludf.DUMMYFUNCTION("""COMPUTED_VALUE"""),"https://www.tiktok.com/@skincare.glowwww/video/7629717705192426753?is_from_webapp=1&amp;sender_device=pc&amp;web_id=7611930277489657360")</f>
        <v>https://www.tiktok.com/@skincare.glowwww/video/7629717705192426753?is_from_webapp=1&amp;sender_device=pc&amp;web_id=7611930277489657360</v>
      </c>
      <c r="M414" s="464" t="str">
        <f>IFERROR(__xludf.DUMMYFUNCTION("""COMPUTED_VALUE"""),"KIMME")</f>
        <v>KIMME</v>
      </c>
      <c r="N414" s="279" t="str">
        <f>IFERROR(__xludf.DUMMYFUNCTION("""COMPUTED_VALUE"""),"https://www.tiktok.com/@skincare.glowwww/video/7630114996415974672?is_from_webapp=1&amp;sender_device=pc&amp;web_id=7611930277489657360")</f>
        <v>https://www.tiktok.com/@skincare.glowwww/video/7630114996415974672?is_from_webapp=1&amp;sender_device=pc&amp;web_id=7611930277489657360</v>
      </c>
      <c r="O414" s="464" t="str">
        <f>IFERROR(__xludf.DUMMYFUNCTION("""COMPUTED_VALUE"""),"KIMME")</f>
        <v>KIMME</v>
      </c>
      <c r="P414" s="279" t="str">
        <f>IFERROR(__xludf.DUMMYFUNCTION("""COMPUTED_VALUE"""),"https://www.tiktok.com/@skincare.glowwww/video/7631762742206123280?is_from_webapp=1&amp;sender_device=pc&amp;web_id=7611930277489657360")</f>
        <v>https://www.tiktok.com/@skincare.glowwww/video/7631762742206123280?is_from_webapp=1&amp;sender_device=pc&amp;web_id=7611930277489657360</v>
      </c>
    </row>
    <row r="415">
      <c r="A415" s="255" t="str">
        <f>IFERROR(__xludf.DUMMYFUNCTION("""COMPUTED_VALUE"""),"MICRO")</f>
        <v>MICRO</v>
      </c>
      <c r="B415" s="361" t="str">
        <f>IFERROR(__xludf.DUMMYFUNCTION("""COMPUTED_VALUE"""),"anitamuu")</f>
        <v>anitamuu</v>
      </c>
      <c r="C415" s="257" t="str">
        <f>IFERROR(__xludf.DUMMYFUNCTION("""COMPUTED_VALUE"""),"https://www.tiktok.com/@anitamuu")</f>
        <v>https://www.tiktok.com/@anitamuu</v>
      </c>
      <c r="D415" s="270">
        <f>IFERROR(__xludf.DUMMYFUNCTION("""COMPUTED_VALUE"""),8.7860000153E10)</f>
        <v>87860000153</v>
      </c>
      <c r="E415" s="457">
        <f>IFERROR(__xludf.DUMMYFUNCTION("""COMPUTED_VALUE"""),0.0)</f>
        <v>0</v>
      </c>
      <c r="F415" s="270">
        <f>IFERROR(__xludf.DUMMYFUNCTION("""COMPUTED_VALUE"""),4.0)</f>
        <v>4</v>
      </c>
      <c r="G415" s="17" t="str">
        <f>IFERROR(__xludf.DUMMYFUNCTION("""COMPUTED_VALUE"""),"Sabun batang 1 Box ( 2 PCS )")</f>
        <v>Sabun batang 1 Box ( 2 PCS )</v>
      </c>
      <c r="H415" s="463" t="str">
        <f>IFERROR(__xludf.DUMMYFUNCTION("""COMPUTED_VALUE"""),"Sampai")</f>
        <v>Sampai</v>
      </c>
      <c r="I415" s="464" t="str">
        <f>IFERROR(__xludf.DUMMYFUNCTION("""COMPUTED_VALUE"""),"KIMME")</f>
        <v>KIMME</v>
      </c>
      <c r="J415" s="279" t="str">
        <f>IFERROR(__xludf.DUMMYFUNCTION("""COMPUTED_VALUE"""),"https://www.tiktok.com/@rindi.afrilia/video/7630738677802470677?_d=0&amp;_r=1&amp;ec_shared_reflux_dynamic_params=%7B%22placeholder_material_id%22%3A%227630738677802470677%22%2C%22placeholder_origin_cover%22%3A%22https%253A%252F%252Fp16-common-sign.tiktokcdn.com%"&amp;"252Ftos-alisg-p-0037%252Focge1pFnfABQCaDOEHclMvIgFFRRd5HpBcEIB3~tplv-tiktokx-origin.jpeg%253Fdr%253D14572%2526refresh_token%253D5c0af3b7%2526x-expires%253D1808208000%2526x-signature%253DQ0xR%25252BI1pb7zcXJGblDyze3%25252B%25252F4eo%25253D%2526t%253D4d5b04"&amp;"74%2526ps%253D13740610%2526shp%253Dd05b14bd%2526shcp%253D34ff8df6%2526idc%253Dmy3%2526s%253DTIKTOK_AFFILIATE_VIRAL_VIDEO%22%2C%22placeholder_product_id%22%3A%221729427766722726591%22%2C%22placeholder_video_id%22%3A%227630738677802470677%22%7D&amp;ec_shared_re"&amp;"flux_scene=shop_tab_feed&amp;mid=7609200402369743634&amp;preview_pb=0&amp;region=&amp;share_item_id=7630738677802470677&amp;sharer_language=&amp;source=h5_t&amp;u_code=dja890i3j90f3j")</f>
        <v>https://www.tiktok.com/@rindi.afrilia/video/7630738677802470677?_d=0&amp;_r=1&amp;ec_shared_reflux_dynamic_params=%7B%22placeholder_material_id%22%3A%227630738677802470677%22%2C%22placeholder_origin_cover%22%3A%22https%253A%252F%252Fp16-common-sign.tiktokcdn.com%252Ftos-alisg-p-0037%252Focge1pFnfABQCaDOEHclMvIgFFRRd5HpBcEIB3~tplv-tiktokx-origin.jpeg%253Fdr%253D14572%2526refresh_token%253D5c0af3b7%2526x-expires%253D1808208000%2526x-signature%253DQ0xR%25252BI1pb7zcXJGblDyze3%25252B%25252F4eo%25253D%2526t%253D4d5b0474%2526ps%253D13740610%2526shp%253Dd05b14bd%2526shcp%253D34ff8df6%2526idc%253Dmy3%2526s%253DTIKTOK_AFFILIATE_VIRAL_VIDEO%22%2C%22placeholder_product_id%22%3A%221729427766722726591%22%2C%22placeholder_video_id%22%3A%227630738677802470677%22%7D&amp;ec_shared_reflux_scene=shop_tab_feed&amp;mid=7609200402369743634&amp;preview_pb=0&amp;region=&amp;share_item_id=7630738677802470677&amp;sharer_language=&amp;source=h5_t&amp;u_code=dja890i3j90f3j</v>
      </c>
      <c r="K415" s="464" t="str">
        <f>IFERROR(__xludf.DUMMYFUNCTION("""COMPUTED_VALUE"""),"KIMME")</f>
        <v>KIMME</v>
      </c>
      <c r="L415" s="279" t="str">
        <f>IFERROR(__xludf.DUMMYFUNCTION("""COMPUTED_VALUE"""),"https://www.tiktok.com/@rindi.afrilia/video/7630138331480804628?_r=1&amp;u_code=dja890i3j90f3j&amp;region=&amp;mid=7606071400499628049&amp;preview_pb=0&amp;sharer_language=&amp;_d=0&amp;ec_shared_reflux_dynamic_params=%7B%22placeholder_material_id%22%3A%227630138331480804628%22%2C%2"&amp;"2placeholder_origin_cover%22%3A%22https%253A%252F%252Fp16-common-sign.tiktokcdn.com%252Ftos-alisg-p-0037%252FocwmjAMTOuCu6iI0DeiPAAwkCsGhxjIuIiB8C5~tplv-tiktokx-origin.jpeg%253Fdr%253D14572%2526refresh_token%253Df338629b%2526x-expires%253D1808208000%2526x"&amp;"-signature%253DVHgtcOtbNwti%25252FsmacURLNA90Jvo%25253D%2526t%253D4d5b0474%2526ps%253D13740610%2526shp%253Dd05b14bd%2526shcp%253D34ff8df6%2526idc%253Dmy3%2526s%253DTIKTOK_AFFILIATE_VIRAL_VIDEO%22%2C%22placeholder_product_id%22%3A%221729427766722726591%22%"&amp;"2C%22placeholder_video_id%22%3A%227630138331480804628%22%7D&amp;ec_shared_reflux_scene=shop_tab_feed&amp;share_item_id=7630138331480804628&amp;source=h5_t")</f>
        <v>https://www.tiktok.com/@rindi.afrilia/video/7630138331480804628?_r=1&amp;u_code=dja890i3j90f3j&amp;region=&amp;mid=7606071400499628049&amp;preview_pb=0&amp;sharer_language=&amp;_d=0&amp;ec_shared_reflux_dynamic_params=%7B%22placeholder_material_id%22%3A%227630138331480804628%22%2C%22placeholder_origin_cover%22%3A%22https%253A%252F%252Fp16-common-sign.tiktokcdn.com%252Ftos-alisg-p-0037%252FocwmjAMTOuCu6iI0DeiPAAwkCsGhxjIuIiB8C5~tplv-tiktokx-origin.jpeg%253Fdr%253D14572%2526refresh_token%253Df338629b%2526x-expires%253D1808208000%2526x-signature%253DVHgtcOtbNwti%25252FsmacURLNA90Jvo%25253D%2526t%253D4d5b0474%2526ps%253D13740610%2526shp%253Dd05b14bd%2526shcp%253D34ff8df6%2526idc%253Dmy3%2526s%253DTIKTOK_AFFILIATE_VIRAL_VIDEO%22%2C%22placeholder_product_id%22%3A%221729427766722726591%22%2C%22placeholder_video_id%22%3A%227630138331480804628%22%7D&amp;ec_shared_reflux_scene=shop_tab_feed&amp;share_item_id=7630138331480804628&amp;source=h5_t</v>
      </c>
      <c r="M415" s="464" t="str">
        <f>IFERROR(__xludf.DUMMYFUNCTION("""COMPUTED_VALUE"""),"KIMME")</f>
        <v>KIMME</v>
      </c>
      <c r="N415" s="279" t="str">
        <f>IFERROR(__xludf.DUMMYFUNCTION("""COMPUTED_VALUE"""),"https://www.tiktok.com/@rindi.afrilia/video/7630139085558336788?_r=1&amp;u_code=dja890i3j90f3j&amp;region=&amp;mid=7610763691407509521&amp;preview_pb=0&amp;sharer_language=&amp;_d=0&amp;ec_shared_reflux_dynamic_params=%7B%22placeholder_material_id%22%3A%227630139085558336788%22%2C%2"&amp;"2placeholder_origin_cover%22%3A%22https%253A%252F%252Fp16-common-sign.tiktokcdn.com%252Ftos-alisg-p-0037%252Fo81iWCAiIJIuzlOqXf3CjIdQ0xGsOB5g8CiwAA~tplv-tiktokx-origin.jpeg%253Fdr%253D14572%2526refresh_token%253D35892f7a%2526x-expires%253D1808208000%2526x"&amp;"-signature%253D0ifCEdqWV9u7w0U55fv8uaoZUC4%25253D%2526t%253D4d5b0474%2526ps%253D13740610%2526shp%253Dd05b14bd%2526shcp%253D34ff8df6%2526idc%253Dmy3%2526s%253DTIKTOK_AFFILIATE_VIRAL_VIDEO%22%2C%22placeholder_product_id%22%3A%221729427766722726591%22%2C%22p"&amp;"laceholder_video_id%22%3A%227630139085558336788%22%7D&amp;ec_shared_reflux_scene=shop_tab_feed&amp;share_item_id=7630139085558336788&amp;source=h5_t")</f>
        <v>https://www.tiktok.com/@rindi.afrilia/video/7630139085558336788?_r=1&amp;u_code=dja890i3j90f3j&amp;region=&amp;mid=7610763691407509521&amp;preview_pb=0&amp;sharer_language=&amp;_d=0&amp;ec_shared_reflux_dynamic_params=%7B%22placeholder_material_id%22%3A%227630139085558336788%22%2C%22placeholder_origin_cover%22%3A%22https%253A%252F%252Fp16-common-sign.tiktokcdn.com%252Ftos-alisg-p-0037%252Fo81iWCAiIJIuzlOqXf3CjIdQ0xGsOB5g8CiwAA~tplv-tiktokx-origin.jpeg%253Fdr%253D14572%2526refresh_token%253D35892f7a%2526x-expires%253D1808208000%2526x-signature%253D0ifCEdqWV9u7w0U55fv8uaoZUC4%25253D%2526t%253D4d5b0474%2526ps%253D13740610%2526shp%253Dd05b14bd%2526shcp%253D34ff8df6%2526idc%253Dmy3%2526s%253DTIKTOK_AFFILIATE_VIRAL_VIDEO%22%2C%22placeholder_product_id%22%3A%221729427766722726591%22%2C%22placeholder_video_id%22%3A%227630139085558336788%22%7D&amp;ec_shared_reflux_scene=shop_tab_feed&amp;share_item_id=7630139085558336788&amp;source=h5_t</v>
      </c>
      <c r="O415" s="464" t="str">
        <f>IFERROR(__xludf.DUMMYFUNCTION("""COMPUTED_VALUE"""),"KIMME")</f>
        <v>KIMME</v>
      </c>
      <c r="P415" s="279" t="str">
        <f>IFERROR(__xludf.DUMMYFUNCTION("""COMPUTED_VALUE"""),"https://www.tiktok.com/@rindi.afrilia/video/7630320421728013588?_d=0&amp;_r=1&amp;ec_shared_reflux_dynamic_params=%7B%22placeholder_material_id%22%3A%227630320421728013588%22%2C%22placeholder_origin_cover%22%3A%22https%253A%252F%252Fp16-common-sign.tiktokcdn.com%"&amp;"252Ftos-alisg-p-0037%252FoQAWACA0uiXC0IVIvIkfAiW8zB89niI6q56s2w~tplv-tiktokx-origin.jpeg%253Fdr%253D14572%2526refresh_token%253D19f3d631%2526x-expires%253D1808208000%2526x-signature%253DEwOL2KHtKaZkE%25252BWMHjQLXaiCO1U%25253D%2526t%253D4d5b0474%2526ps%25"&amp;"3D13740610%2526shp%253Dd05b14bd%2526shcp%253D34ff8df6%2526idc%253Dmy3%2526s%253DTIKTOK_AFFILIATE_VIRAL_VIDEO%22%2C%22placeholder_product_id%22%3A%221729427766722726591%22%2C%22placeholder_video_id%22%3A%227630320421728013588%22%7D&amp;ec_shared_reflux_scene=s"&amp;"hop_tab_feed&amp;mid=7606071400499628049&amp;preview_pb=0&amp;region=&amp;share_item_id=7630320421728013588&amp;sharer_language=&amp;source=h5_t&amp;u_code=dja890i3j90f3j")</f>
        <v>https://www.tiktok.com/@rindi.afrilia/video/7630320421728013588?_d=0&amp;_r=1&amp;ec_shared_reflux_dynamic_params=%7B%22placeholder_material_id%22%3A%227630320421728013588%22%2C%22placeholder_origin_cover%22%3A%22https%253A%252F%252Fp16-common-sign.tiktokcdn.com%252Ftos-alisg-p-0037%252FoQAWACA0uiXC0IVIvIkfAiW8zB89niI6q56s2w~tplv-tiktokx-origin.jpeg%253Fdr%253D14572%2526refresh_token%253D19f3d631%2526x-expires%253D1808208000%2526x-signature%253DEwOL2KHtKaZkE%25252BWMHjQLXaiCO1U%25253D%2526t%253D4d5b0474%2526ps%253D13740610%2526shp%253Dd05b14bd%2526shcp%253D34ff8df6%2526idc%253Dmy3%2526s%253DTIKTOK_AFFILIATE_VIRAL_VIDEO%22%2C%22placeholder_product_id%22%3A%221729427766722726591%22%2C%22placeholder_video_id%22%3A%227630320421728013588%22%7D&amp;ec_shared_reflux_scene=shop_tab_feed&amp;mid=7606071400499628049&amp;preview_pb=0&amp;region=&amp;share_item_id=7630320421728013588&amp;sharer_language=&amp;source=h5_t&amp;u_code=dja890i3j90f3j</v>
      </c>
    </row>
    <row r="416">
      <c r="A416" s="255" t="str">
        <f>IFERROR(__xludf.DUMMYFUNCTION("""COMPUTED_VALUE"""),"MICRO")</f>
        <v>MICRO</v>
      </c>
      <c r="B416" s="361" t="str">
        <f>IFERROR(__xludf.DUMMYFUNCTION("""COMPUTED_VALUE"""),"gemini_glowup6")</f>
        <v>gemini_glowup6</v>
      </c>
      <c r="C416" s="257" t="str">
        <f>IFERROR(__xludf.DUMMYFUNCTION("""COMPUTED_VALUE"""),"https://www.tiktok.com/@gemini_glowup6")</f>
        <v>https://www.tiktok.com/@gemini_glowup6</v>
      </c>
      <c r="D416" s="270">
        <f>IFERROR(__xludf.DUMMYFUNCTION("""COMPUTED_VALUE"""),8.7770268166E10)</f>
        <v>87770268166</v>
      </c>
      <c r="E416" s="457">
        <f>IFERROR(__xludf.DUMMYFUNCTION("""COMPUTED_VALUE"""),0.0)</f>
        <v>0</v>
      </c>
      <c r="F416" s="270">
        <f>IFERROR(__xludf.DUMMYFUNCTION("""COMPUTED_VALUE"""),4.0)</f>
        <v>4</v>
      </c>
      <c r="G416" s="17" t="str">
        <f>IFERROR(__xludf.DUMMYFUNCTION("""COMPUTED_VALUE"""),"Sabun batang 1 Box ( 2 PCS )")</f>
        <v>Sabun batang 1 Box ( 2 PCS )</v>
      </c>
      <c r="H416" s="463" t="str">
        <f>IFERROR(__xludf.DUMMYFUNCTION("""COMPUTED_VALUE"""),"Sampai")</f>
        <v>Sampai</v>
      </c>
      <c r="I416" s="464" t="str">
        <f>IFERROR(__xludf.DUMMYFUNCTION("""COMPUTED_VALUE"""),"KIMME")</f>
        <v>KIMME</v>
      </c>
      <c r="J416" s="279" t="str">
        <f>IFERROR(__xludf.DUMMYFUNCTION("""COMPUTED_VALUE"""),"https://www.tiktok.com/@gemini_glowup6/video/7621544516457204999?_r=1&amp;u_code=e6e22e845i6cm1&amp;region=&amp;mid=7621544550056086290&amp;preview_pb=0&amp;sharer_language=&amp;_d=0&amp;ec_shared_reflux_dynamic_params=%7B%22placeholder_material_id%22%3A%227621544516457204999%22%2C%"&amp;"22placeholder_origin_cover%22%3A%22https%253A%252F%252Fp16-sign-sg.tiktokcdn.com%252Ftos-alisg-p-0037%252FoAuoQUEDyYfBT9YCVpSKETiQMbF2qRAxtWBf6g~tplv-tiktokx-origin.jpeg%253Fdr%253D14572%2526refresh_token%253D2e0d0938%2526x-expires%253D1807070400%2526x-si"&amp;"gnature%253Dlz4YoYx3OlhU3A8esOoSxsFauzQ%25253D%2526t%253D4d5b0474%2526ps%253D13740610%2526shp%253Dd05b14bd%2526shcp%253D34ff8df6%2526idc%253Dmy2%2526s%253DTIKTOK_AFFILIATE_VIRAL_VIDEO%22%2C%22placeholder_product_id%22%3A%221729427766722726591%22%2C%22plac"&amp;"eholder_video_id%22%3A%227621544516457204999%22%7D&amp;ec_shared_reflux_scene=shop_tab_feed&amp;share_item_id=7621544516457204999&amp;source=h5_t")</f>
        <v>https://www.tiktok.com/@gemini_glowup6/video/7621544516457204999?_r=1&amp;u_code=e6e22e845i6cm1&amp;region=&amp;mid=7621544550056086290&amp;preview_pb=0&amp;sharer_language=&amp;_d=0&amp;ec_shared_reflux_dynamic_params=%7B%22placeholder_material_id%22%3A%227621544516457204999%22%2C%22placeholder_origin_cover%22%3A%22https%253A%252F%252Fp16-sign-sg.tiktokcdn.com%252Ftos-alisg-p-0037%252FoAuoQUEDyYfBT9YCVpSKETiQMbF2qRAxtWBf6g~tplv-tiktokx-origin.jpeg%253Fdr%253D14572%2526refresh_token%253D2e0d0938%2526x-expires%253D1807070400%2526x-signature%253Dlz4YoYx3OlhU3A8esOoSxsFauzQ%25253D%2526t%253D4d5b0474%2526ps%253D13740610%2526shp%253Dd05b14bd%2526shcp%253D34ff8df6%2526idc%253Dmy2%2526s%253DTIKTOK_AFFILIATE_VIRAL_VIDEO%22%2C%22placeholder_product_id%22%3A%221729427766722726591%22%2C%22placeholder_video_id%22%3A%227621544516457204999%22%7D&amp;ec_shared_reflux_scene=shop_tab_feed&amp;share_item_id=7621544516457204999&amp;source=h5_t</v>
      </c>
      <c r="K416" s="464" t="str">
        <f>IFERROR(__xludf.DUMMYFUNCTION("""COMPUTED_VALUE"""),"KIMME")</f>
        <v>KIMME</v>
      </c>
      <c r="L416" s="279" t="str">
        <f>IFERROR(__xludf.DUMMYFUNCTION("""COMPUTED_VALUE"""),"https://vt.tiktok.com/ZSHCp3kQW/")</f>
        <v>https://vt.tiktok.com/ZSHCp3kQW/</v>
      </c>
      <c r="M416" s="464" t="str">
        <f>IFERROR(__xludf.DUMMYFUNCTION("""COMPUTED_VALUE"""),"KIMME")</f>
        <v>KIMME</v>
      </c>
      <c r="N416" s="279" t="str">
        <f>IFERROR(__xludf.DUMMYFUNCTION("""COMPUTED_VALUE"""),"https://vt.tiktok.com/ZSHCp3kQW/")</f>
        <v>https://vt.tiktok.com/ZSHCp3kQW/</v>
      </c>
      <c r="O416" s="464" t="str">
        <f>IFERROR(__xludf.DUMMYFUNCTION("""COMPUTED_VALUE"""),"KIMME")</f>
        <v>KIMME</v>
      </c>
      <c r="P416" s="279" t="str">
        <f>IFERROR(__xludf.DUMMYFUNCTION("""COMPUTED_VALUE"""),"https://www.tiktok.com/@gemini_glowup6/video/7627017302277459207")</f>
        <v>https://www.tiktok.com/@gemini_glowup6/video/7627017302277459207</v>
      </c>
    </row>
    <row r="417">
      <c r="A417" s="255" t="str">
        <f>IFERROR(__xludf.DUMMYFUNCTION("""COMPUTED_VALUE"""),"MICRO")</f>
        <v>MICRO</v>
      </c>
      <c r="B417" s="361" t="str">
        <f>IFERROR(__xludf.DUMMYFUNCTION("""COMPUTED_VALUE"""),"outfitce_")</f>
        <v>outfitce_</v>
      </c>
      <c r="C417" s="257" t="str">
        <f>IFERROR(__xludf.DUMMYFUNCTION("""COMPUTED_VALUE"""),"https://www.tiktok.com/@outfitce_")</f>
        <v>https://www.tiktok.com/@outfitce_</v>
      </c>
      <c r="D417" s="270">
        <f>IFERROR(__xludf.DUMMYFUNCTION("""COMPUTED_VALUE"""),8.5850394501E10)</f>
        <v>85850394501</v>
      </c>
      <c r="E417" s="457">
        <f>IFERROR(__xludf.DUMMYFUNCTION("""COMPUTED_VALUE"""),750000.0)</f>
        <v>750000</v>
      </c>
      <c r="F417" s="270">
        <f>IFERROR(__xludf.DUMMYFUNCTION("""COMPUTED_VALUE"""),4.0)</f>
        <v>4</v>
      </c>
      <c r="G417" s="17" t="str">
        <f>IFERROR(__xludf.DUMMYFUNCTION("""COMPUTED_VALUE"""),"Sabun batang 1 Box ( 2 PCS )")</f>
        <v>Sabun batang 1 Box ( 2 PCS )</v>
      </c>
      <c r="H417" s="463" t="str">
        <f>IFERROR(__xludf.DUMMYFUNCTION("""COMPUTED_VALUE"""),"Sampai")</f>
        <v>Sampai</v>
      </c>
      <c r="I417" s="464" t="str">
        <f>IFERROR(__xludf.DUMMYFUNCTION("""COMPUTED_VALUE"""),"KIMME")</f>
        <v>KIMME</v>
      </c>
      <c r="J417" s="279" t="str">
        <f>IFERROR(__xludf.DUMMYFUNCTION("""COMPUTED_VALUE"""),"https://vt.tiktok.com/ZSHAmrrEk/")</f>
        <v>https://vt.tiktok.com/ZSHAmrrEk/</v>
      </c>
      <c r="K417" s="464" t="str">
        <f>IFERROR(__xludf.DUMMYFUNCTION("""COMPUTED_VALUE"""),"KIMME")</f>
        <v>KIMME</v>
      </c>
      <c r="L417" s="17" t="str">
        <f>IFERROR(__xludf.DUMMYFUNCTION("""COMPUTED_VALUE"""),"⁠https://vt.tiktok.com/ZSHAaW5o8/")</f>
        <v>⁠https://vt.tiktok.com/ZSHAaW5o8/</v>
      </c>
      <c r="M417" s="464" t="str">
        <f>IFERROR(__xludf.DUMMYFUNCTION("""COMPUTED_VALUE"""),"KIMME")</f>
        <v>KIMME</v>
      </c>
      <c r="N417" s="279" t="str">
        <f>IFERROR(__xludf.DUMMYFUNCTION("""COMPUTED_VALUE"""),"https://vt.tiktok.com/ZSHAmVycW/")</f>
        <v>https://vt.tiktok.com/ZSHAmVycW/</v>
      </c>
      <c r="O417" s="464" t="str">
        <f>IFERROR(__xludf.DUMMYFUNCTION("""COMPUTED_VALUE"""),"KIMME")</f>
        <v>KIMME</v>
      </c>
      <c r="P417" s="17" t="str">
        <f>IFERROR(__xludf.DUMMYFUNCTION("""COMPUTED_VALUE"""),"⁠https://vt.tiktok.com/ZSHAmjGHq/")</f>
        <v>⁠https://vt.tiktok.com/ZSHAmjGHq/</v>
      </c>
    </row>
    <row r="418">
      <c r="A418" s="255" t="str">
        <f>IFERROR(__xludf.DUMMYFUNCTION("""COMPUTED_VALUE"""),"MICRO")</f>
        <v>MICRO</v>
      </c>
      <c r="B418" s="361" t="str">
        <f>IFERROR(__xludf.DUMMYFUNCTION("""COMPUTED_VALUE"""),"sabrenj")</f>
        <v>sabrenj</v>
      </c>
      <c r="C418" s="257" t="str">
        <f>IFERROR(__xludf.DUMMYFUNCTION("""COMPUTED_VALUE"""),"https://www.tiktok.com/@sabrenj")</f>
        <v>https://www.tiktok.com/@sabrenj</v>
      </c>
      <c r="D418" s="270">
        <f>IFERROR(__xludf.DUMMYFUNCTION("""COMPUTED_VALUE"""),8.5777138038E10)</f>
        <v>85777138038</v>
      </c>
      <c r="E418" s="457">
        <f>IFERROR(__xludf.DUMMYFUNCTION("""COMPUTED_VALUE"""),0.0)</f>
        <v>0</v>
      </c>
      <c r="F418" s="270">
        <f>IFERROR(__xludf.DUMMYFUNCTION("""COMPUTED_VALUE"""),4.0)</f>
        <v>4</v>
      </c>
      <c r="G418" s="17" t="str">
        <f>IFERROR(__xludf.DUMMYFUNCTION("""COMPUTED_VALUE"""),"Sabun batang 1 Box ( 2 PCS )")</f>
        <v>Sabun batang 1 Box ( 2 PCS )</v>
      </c>
      <c r="H418" s="463" t="str">
        <f>IFERROR(__xludf.DUMMYFUNCTION("""COMPUTED_VALUE"""),"Sampai")</f>
        <v>Sampai</v>
      </c>
      <c r="I418" s="464" t="str">
        <f>IFERROR(__xludf.DUMMYFUNCTION("""COMPUTED_VALUE"""),"KIMME")</f>
        <v>KIMME</v>
      </c>
      <c r="J418" s="279" t="str">
        <f>IFERROR(__xludf.DUMMYFUNCTION("""COMPUTED_VALUE"""),"https://www.tiktok.com/@rindi.afrilia/video/7629756751226719508?_r=1&amp;u_code=dja890i3j90f3j&amp;region=&amp;mid=7609200402369743634&amp;preview_pb=0&amp;sharer_language=&amp;_d=0&amp;ec_shared_reflux_dynamic_params=%7B%22placeholder_material_id%22%3A%227629756751226719508%22%2C%2"&amp;"2placeholder_origin_cover%22%3A%22https%253A%252F%252Fp16-common-sign.tiktokcdn.com%252Ftos-alisg-p-0037%252Fo4MbhEcDpBV7wnXFEeUlWAQJEBQif4CgLRQ23X~tplv-tiktokx-origin.jpeg%253Fdr%253D14572%2526refresh_token%253D1e84341b%2526x-expires%253D1808208000%2526x"&amp;"-signature%253DMv3Mv%25252F8RNBDsPcHUcFBI%25252F4e2QOQ%25253D%2526t%253D4d5b0474%2526ps%253D13740610%2526shp%253Dd05b14bd%2526shcp%253D34ff8df6%2526idc%253Dmy3%2526s%253DTIKTOK_AFFILIATE_VIRAL_VIDEO%22%2C%22placeholder_product_id%22%3A%2217294277667227265"&amp;"91%22%2C%22placeholder_video_id%22%3A%227629756751226719508%22%7D&amp;ec_shared_reflux_scene=shop_tab_feed&amp;share_item_id=7629756751226719508&amp;source=h5_t")</f>
        <v>https://www.tiktok.com/@rindi.afrilia/video/7629756751226719508?_r=1&amp;u_code=dja890i3j90f3j&amp;region=&amp;mid=7609200402369743634&amp;preview_pb=0&amp;sharer_language=&amp;_d=0&amp;ec_shared_reflux_dynamic_params=%7B%22placeholder_material_id%22%3A%227629756751226719508%22%2C%22placeholder_origin_cover%22%3A%22https%253A%252F%252Fp16-common-sign.tiktokcdn.com%252Ftos-alisg-p-0037%252Fo4MbhEcDpBV7wnXFEeUlWAQJEBQif4CgLRQ23X~tplv-tiktokx-origin.jpeg%253Fdr%253D14572%2526refresh_token%253D1e84341b%2526x-expires%253D1808208000%2526x-signature%253DMv3Mv%25252F8RNBDsPcHUcFBI%25252F4e2QOQ%25253D%2526t%253D4d5b0474%2526ps%253D13740610%2526shp%253Dd05b14bd%2526shcp%253D34ff8df6%2526idc%253Dmy3%2526s%253DTIKTOK_AFFILIATE_VIRAL_VIDEO%22%2C%22placeholder_product_id%22%3A%221729427766722726591%22%2C%22placeholder_video_id%22%3A%227629756751226719508%22%7D&amp;ec_shared_reflux_scene=shop_tab_feed&amp;share_item_id=7629756751226719508&amp;source=h5_t</v>
      </c>
      <c r="K418" s="464" t="str">
        <f>IFERROR(__xludf.DUMMYFUNCTION("""COMPUTED_VALUE"""),"KIMME")</f>
        <v>KIMME</v>
      </c>
      <c r="L418" s="279" t="str">
        <f>IFERROR(__xludf.DUMMYFUNCTION("""COMPUTED_VALUE"""),"https://www.tiktok.com/@rindi.afrilia/video/7629758188191091988?_r=1&amp;u_code=dja890i3j90f3j&amp;region=&amp;mid=7606071400499628049&amp;preview_pb=0&amp;sharer_language=&amp;_d=0&amp;ec_shared_reflux_dynamic_params=%7B%22placeholder_material_id%22%3A%227629758188191091988%22%2C%2"&amp;"2placeholder_origin_cover%22%3A%22https%253A%252F%252Fp16-common-sign.tiktokcdn.com%252Ftos-alisg-p-0037%252FoY7fB5fDcIiqRjpEvWNE74VliBKAzEhxFCHzIg~tplv-tiktokx-origin.jpeg%253Fdr%253D14572%2526refresh_token%253D1c8f3356%2526x-expires%253D1808208000%2526x"&amp;"-signature%253DgmjkEkL3wloI6MGrMKcdgrxisas%25253D%2526t%253D4d5b0474%2526ps%253D13740610%2526shp%253Dd05b14bd%2526shcp%253D34ff8df6%2526idc%253Dmy3%2526s%253DTIKTOK_AFFILIATE_VIRAL_VIDEO%22%2C%22placeholder_product_id%22%3A%221729427766722726591%22%2C%22p"&amp;"laceholder_video_id%22%3A%227629758188191091988%22%7D&amp;ec_shared_reflux_scene=shop_tab_feed&amp;share_item_id=7629758188191091988&amp;source=h5_t")</f>
        <v>https://www.tiktok.com/@rindi.afrilia/video/7629758188191091988?_r=1&amp;u_code=dja890i3j90f3j&amp;region=&amp;mid=7606071400499628049&amp;preview_pb=0&amp;sharer_language=&amp;_d=0&amp;ec_shared_reflux_dynamic_params=%7B%22placeholder_material_id%22%3A%227629758188191091988%22%2C%22placeholder_origin_cover%22%3A%22https%253A%252F%252Fp16-common-sign.tiktokcdn.com%252Ftos-alisg-p-0037%252FoY7fB5fDcIiqRjpEvWNE74VliBKAzEhxFCHzIg~tplv-tiktokx-origin.jpeg%253Fdr%253D14572%2526refresh_token%253D1c8f3356%2526x-expires%253D1808208000%2526x-signature%253DgmjkEkL3wloI6MGrMKcdgrxisas%25253D%2526t%253D4d5b0474%2526ps%253D13740610%2526shp%253Dd05b14bd%2526shcp%253D34ff8df6%2526idc%253Dmy3%2526s%253DTIKTOK_AFFILIATE_VIRAL_VIDEO%22%2C%22placeholder_product_id%22%3A%221729427766722726591%22%2C%22placeholder_video_id%22%3A%227629758188191091988%22%7D&amp;ec_shared_reflux_scene=shop_tab_feed&amp;share_item_id=7629758188191091988&amp;source=h5_t</v>
      </c>
      <c r="M418" s="464" t="str">
        <f>IFERROR(__xludf.DUMMYFUNCTION("""COMPUTED_VALUE"""),"KIMME")</f>
        <v>KIMME</v>
      </c>
      <c r="N418" s="279" t="str">
        <f>IFERROR(__xludf.DUMMYFUNCTION("""COMPUTED_VALUE"""),"https://www.tiktok.com/@rindi.afrilia/video/7630087484524809492?_r=1&amp;u_code=dja890i3j90f3j&amp;region=&amp;mid=7628208877490391815&amp;preview_pb=0&amp;sharer_language=&amp;_d=0&amp;ec_shared_reflux_dynamic_params=%7B%22placeholder_material_id%22%3A%227630087484524809492%22%2C%2"&amp;"2placeholder_origin_cover%22%3A%22https%253A%252F%252Fp16-common-sign.tiktokcdn.com%252Ftos-alisg-p-0037%252FoIwReaE8QIk2uIxGghnRjGCFjQufw7feAAKLbG~tplv-tiktokx-origin.jpeg%253Fdr%253D14572%2526refresh_token%253D04c18184%2526x-expires%253D1808208000%2526x"&amp;"-signature%253DGtSWfkScDpHyETnmDm7smfdLG6Q%25253D%2526t%253D4d5b0474%2526ps%253D13740610%2526shp%253Dd05b14bd%2526shcp%253D34ff8df6%2526idc%253Dmy3%2526s%253DTIKTOK_AFFILIATE_VIRAL_VIDEO%22%2C%22placeholder_product_id%22%3A%221729427766722726591%22%2C%22p"&amp;"laceholder_video_id%22%3A%227630087484524809492%22%7D&amp;ec_shared_reflux_scene=shop_tab_feed&amp;share_item_id=7630087484524809492&amp;source=h5_t")</f>
        <v>https://www.tiktok.com/@rindi.afrilia/video/7630087484524809492?_r=1&amp;u_code=dja890i3j90f3j&amp;region=&amp;mid=7628208877490391815&amp;preview_pb=0&amp;sharer_language=&amp;_d=0&amp;ec_shared_reflux_dynamic_params=%7B%22placeholder_material_id%22%3A%227630087484524809492%22%2C%22placeholder_origin_cover%22%3A%22https%253A%252F%252Fp16-common-sign.tiktokcdn.com%252Ftos-alisg-p-0037%252FoIwReaE8QIk2uIxGghnRjGCFjQufw7feAAKLbG~tplv-tiktokx-origin.jpeg%253Fdr%253D14572%2526refresh_token%253D04c18184%2526x-expires%253D1808208000%2526x-signature%253DGtSWfkScDpHyETnmDm7smfdLG6Q%25253D%2526t%253D4d5b0474%2526ps%253D13740610%2526shp%253Dd05b14bd%2526shcp%253D34ff8df6%2526idc%253Dmy3%2526s%253DTIKTOK_AFFILIATE_VIRAL_VIDEO%22%2C%22placeholder_product_id%22%3A%221729427766722726591%22%2C%22placeholder_video_id%22%3A%227630087484524809492%22%7D&amp;ec_shared_reflux_scene=shop_tab_feed&amp;share_item_id=7630087484524809492&amp;source=h5_t</v>
      </c>
      <c r="O418" s="464" t="str">
        <f>IFERROR(__xludf.DUMMYFUNCTION("""COMPUTED_VALUE"""),"KIMME")</f>
        <v>KIMME</v>
      </c>
      <c r="P418" s="279" t="str">
        <f>IFERROR(__xludf.DUMMYFUNCTION("""COMPUTED_VALUE"""),"https://www.tiktok.com/@rindi.afrilia/video/7630092773823221012?_r=1&amp;u_code=dja890i3j90f3j&amp;region=&amp;mid=7626785194000435989&amp;preview_pb=0&amp;sharer_language=&amp;_d=0&amp;ec_shared_reflux_dynamic_params=%7B%22placeholder_material_id%22%3A%227630092773823221012%22%2C%2"&amp;"2placeholder_origin_cover%22%3A%22https%253A%252F%252Fp16-common-sign.tiktokcdn.com%252Ftos-alisg-p-0037%252FoQgYOTzIwCxMGAjQjngAuLIDEIGfKxLkMew5f4~tplv-tiktokx-origin.jpeg%253Fdr%253D14572%2526refresh_token%253D3e385557%2526x-expires%253D1808208000%2526x"&amp;"-signature%253DIfctEFw4uTA8ewKlPkdYUlavyZ8%25253D%2526t%253D4d5b0474%2526ps%253D13740610%2526shp%253Dd05b14bd%2526shcp%253D34ff8df6%2526idc%253Dmy3%2526s%253DTIKTOK_AFFILIATE_VIRAL_VIDEO%22%2C%22placeholder_product_id%22%3A%221729427766722726591%22%2C%22p"&amp;"laceholder_video_id%22%3A%227630092773823221012%22%7D&amp;ec_shared_reflux_scene=shop_tab_feed&amp;share_item_id=7630092773823221012&amp;source=h5_t")</f>
        <v>https://www.tiktok.com/@rindi.afrilia/video/7630092773823221012?_r=1&amp;u_code=dja890i3j90f3j&amp;region=&amp;mid=7626785194000435989&amp;preview_pb=0&amp;sharer_language=&amp;_d=0&amp;ec_shared_reflux_dynamic_params=%7B%22placeholder_material_id%22%3A%227630092773823221012%22%2C%22placeholder_origin_cover%22%3A%22https%253A%252F%252Fp16-common-sign.tiktokcdn.com%252Ftos-alisg-p-0037%252FoQgYOTzIwCxMGAjQjngAuLIDEIGfKxLkMew5f4~tplv-tiktokx-origin.jpeg%253Fdr%253D14572%2526refresh_token%253D3e385557%2526x-expires%253D1808208000%2526x-signature%253DIfctEFw4uTA8ewKlPkdYUlavyZ8%25253D%2526t%253D4d5b0474%2526ps%253D13740610%2526shp%253Dd05b14bd%2526shcp%253D34ff8df6%2526idc%253Dmy3%2526s%253DTIKTOK_AFFILIATE_VIRAL_VIDEO%22%2C%22placeholder_product_id%22%3A%221729427766722726591%22%2C%22placeholder_video_id%22%3A%227630092773823221012%22%7D&amp;ec_shared_reflux_scene=shop_tab_feed&amp;share_item_id=7630092773823221012&amp;source=h5_t</v>
      </c>
    </row>
    <row r="419">
      <c r="A419" s="255" t="str">
        <f>IFERROR(__xludf.DUMMYFUNCTION("""COMPUTED_VALUE"""),"MACRO")</f>
        <v>MACRO</v>
      </c>
      <c r="B419" s="361" t="str">
        <f>IFERROR(__xludf.DUMMYFUNCTION("""COMPUTED_VALUE"""),"sbrnj")</f>
        <v>sbrnj</v>
      </c>
      <c r="C419" s="257" t="str">
        <f>IFERROR(__xludf.DUMMYFUNCTION("""COMPUTED_VALUE"""),"https://www.tiktok.com/@sbrnj")</f>
        <v>https://www.tiktok.com/@sbrnj</v>
      </c>
      <c r="D419" s="270">
        <f>IFERROR(__xludf.DUMMYFUNCTION("""COMPUTED_VALUE"""),8.5777138039E10)</f>
        <v>85777138039</v>
      </c>
      <c r="E419" s="457">
        <f>IFERROR(__xludf.DUMMYFUNCTION("""COMPUTED_VALUE"""),0.0)</f>
        <v>0</v>
      </c>
      <c r="F419" s="270">
        <f>IFERROR(__xludf.DUMMYFUNCTION("""COMPUTED_VALUE"""),4.0)</f>
        <v>4</v>
      </c>
      <c r="G419" s="17" t="str">
        <f>IFERROR(__xludf.DUMMYFUNCTION("""COMPUTED_VALUE"""),"Sabun batang 1 Box ( 2 PCS )")</f>
        <v>Sabun batang 1 Box ( 2 PCS )</v>
      </c>
      <c r="H419" s="463" t="str">
        <f>IFERROR(__xludf.DUMMYFUNCTION("""COMPUTED_VALUE"""),"Sampai")</f>
        <v>Sampai</v>
      </c>
      <c r="I419" s="464" t="str">
        <f>IFERROR(__xludf.DUMMYFUNCTION("""COMPUTED_VALUE"""),"KIMME")</f>
        <v>KIMME</v>
      </c>
      <c r="J419" s="279" t="str">
        <f>IFERROR(__xludf.DUMMYFUNCTION("""COMPUTED_VALUE"""),"https://www.tiktok.com/@rindi.afrilia/video/7627128631336258836?_r=1&amp;u_code=dja890i3j90f3j&amp;region=&amp;mid=7566193440287918865&amp;preview_pb=0&amp;sharer_language=&amp;_d=0&amp;ec_shared_reflux_dynamic_params=%7B%22placeholder_material_id%22%3A%227627128631336258836%22%2C%2"&amp;"2placeholder_origin_cover%22%3A%22https%253A%252F%252Fp16-common-sign.tiktokcdn.com%252Ftos-alisg-p-0037%252FoUcRZAoSg4CxfIQTLsLeDCAcUAzpG2Q1jeGFIj~tplv-tiktokx-origin.jpeg%253Fdr%253D14572%2526refresh_token%253D27205cb9%2526x-expires%253D1808208000%2526x"&amp;"-signature%253DkUVvP0B0mLt1x9wKg7CXJKmNQ4c%25253D%2526t%253D4d5b0474%2526ps%253D13740610%2526shp%253Dd05b14bd%2526shcp%253D34ff8df6%2526idc%253Dmy3%2526s%253DTIKTOK_AFFILIATE_VIRAL_VIDEO%22%2C%22placeholder_product_id%22%3A%221729427766722726591%22%2C%22p"&amp;"laceholder_video_id%22%3A%227627128631336258836%22%7D&amp;ec_shared_reflux_scene=shop_tab_feed&amp;share_item_id=7627128631336258836&amp;source=h5_t")</f>
        <v>https://www.tiktok.com/@rindi.afrilia/video/7627128631336258836?_r=1&amp;u_code=dja890i3j90f3j&amp;region=&amp;mid=7566193440287918865&amp;preview_pb=0&amp;sharer_language=&amp;_d=0&amp;ec_shared_reflux_dynamic_params=%7B%22placeholder_material_id%22%3A%227627128631336258836%22%2C%22placeholder_origin_cover%22%3A%22https%253A%252F%252Fp16-common-sign.tiktokcdn.com%252Ftos-alisg-p-0037%252FoUcRZAoSg4CxfIQTLsLeDCAcUAzpG2Q1jeGFIj~tplv-tiktokx-origin.jpeg%253Fdr%253D14572%2526refresh_token%253D27205cb9%2526x-expires%253D1808208000%2526x-signature%253DkUVvP0B0mLt1x9wKg7CXJKmNQ4c%25253D%2526t%253D4d5b0474%2526ps%253D13740610%2526shp%253Dd05b14bd%2526shcp%253D34ff8df6%2526idc%253Dmy3%2526s%253DTIKTOK_AFFILIATE_VIRAL_VIDEO%22%2C%22placeholder_product_id%22%3A%221729427766722726591%22%2C%22placeholder_video_id%22%3A%227627128631336258836%22%7D&amp;ec_shared_reflux_scene=shop_tab_feed&amp;share_item_id=7627128631336258836&amp;source=h5_t</v>
      </c>
      <c r="K419" s="464" t="str">
        <f>IFERROR(__xludf.DUMMYFUNCTION("""COMPUTED_VALUE"""),"KIMME")</f>
        <v>KIMME</v>
      </c>
      <c r="L419" s="279" t="str">
        <f>IFERROR(__xludf.DUMMYFUNCTION("""COMPUTED_VALUE"""),"https://vt.tiktok.com/ZSxgQNaxD/")</f>
        <v>https://vt.tiktok.com/ZSxgQNaxD/</v>
      </c>
      <c r="M419" s="464"/>
      <c r="N419" s="17"/>
      <c r="O419" s="464"/>
      <c r="P419" s="17"/>
    </row>
    <row r="420">
      <c r="A420" s="255" t="str">
        <f>IFERROR(__xludf.DUMMYFUNCTION("""COMPUTED_VALUE"""),"MICRO")</f>
        <v>MICRO</v>
      </c>
      <c r="B420" s="361" t="str">
        <f>IFERROR(__xludf.DUMMYFUNCTION("""COMPUTED_VALUE"""),"nanadd0.7")</f>
        <v>nanadd0.7</v>
      </c>
      <c r="C420" s="257" t="str">
        <f>IFERROR(__xludf.DUMMYFUNCTION("""COMPUTED_VALUE"""),"https://www.tiktok.com/@nanadd0.7")</f>
        <v>https://www.tiktok.com/@nanadd0.7</v>
      </c>
      <c r="D420" s="270">
        <f>IFERROR(__xludf.DUMMYFUNCTION("""COMPUTED_VALUE"""),8.2145200101E10)</f>
        <v>82145200101</v>
      </c>
      <c r="E420" s="457">
        <f>IFERROR(__xludf.DUMMYFUNCTION("""COMPUTED_VALUE"""),0.0)</f>
        <v>0</v>
      </c>
      <c r="F420" s="270">
        <f>IFERROR(__xludf.DUMMYFUNCTION("""COMPUTED_VALUE"""),4.0)</f>
        <v>4</v>
      </c>
      <c r="G420" s="17" t="str">
        <f>IFERROR(__xludf.DUMMYFUNCTION("""COMPUTED_VALUE"""),"Sabun batang 1 Box ( 2 PCS )")</f>
        <v>Sabun batang 1 Box ( 2 PCS )</v>
      </c>
      <c r="H420" s="463" t="str">
        <f>IFERROR(__xludf.DUMMYFUNCTION("""COMPUTED_VALUE"""),"Sampai")</f>
        <v>Sampai</v>
      </c>
      <c r="I420" s="464" t="str">
        <f>IFERROR(__xludf.DUMMYFUNCTION("""COMPUTED_VALUE"""),"KIMME")</f>
        <v>KIMME</v>
      </c>
      <c r="J420" s="279" t="str">
        <f>IFERROR(__xludf.DUMMYFUNCTION("""COMPUTED_VALUE"""),"https://www.tiktok.com/@rindi.afrilia/video/7626405447305579797?_r=1&amp;u_code=dja890i3j90f3j&amp;region=&amp;mid=6976878779847297794&amp;preview_pb=0&amp;sharer_language=&amp;_d=0&amp;ec_shared_reflux_dynamic_params=%7B%22placeholder_material_id%22%3A%227626405447305579797%22%2C%2"&amp;"2placeholder_origin_cover%22%3A%22https%253A%252F%252Fp16-sign-sg.tiktokcdn.com%252Ftos-alisg-p-0037%252Fogl0iOdKLA44CIqLwIiV6buB9flwb2ziACALWI~tplv-tiktokx-origin.jpeg%253Fdr%253D14572%2526refresh_token%253D88557f60%2526x-expires%253D1808208000%2526x-sig"&amp;"nature%253D%25252FFZ%25252BaL0AEbVcHC6meaoKc2jZwbA%25253D%2526t%253D4d5b0474%2526ps%253D13740610%2526shp%253Dd05b14bd%2526shcp%253D34ff8df6%2526idc%253Dmy3%2526s%253DTIKTOK_AFFILIATE_VIRAL_VIDEO%22%2C%22placeholder_product_id%22%3A%221729427766722726591%2"&amp;"2%2C%22placeholder_video_id%22%3A%227626405447305579797%22%7D&amp;ec_shared_reflux_scene=shop_tab_feed&amp;share_item_id=7626405447305579797&amp;source=h5_t")</f>
        <v>https://www.tiktok.com/@rindi.afrilia/video/7626405447305579797?_r=1&amp;u_code=dja890i3j90f3j&amp;region=&amp;mid=6976878779847297794&amp;preview_pb=0&amp;sharer_language=&amp;_d=0&amp;ec_shared_reflux_dynamic_params=%7B%22placeholder_material_id%22%3A%227626405447305579797%22%2C%22placeholder_origin_cover%22%3A%22https%253A%252F%252Fp16-sign-sg.tiktokcdn.com%252Ftos-alisg-p-0037%252Fogl0iOdKLA44CIqLwIiV6buB9flwb2ziACALWI~tplv-tiktokx-origin.jpeg%253Fdr%253D14572%2526refresh_token%253D88557f60%2526x-expires%253D1808208000%2526x-signature%253D%25252FFZ%25252BaL0AEbVcHC6meaoKc2jZwbA%25253D%2526t%253D4d5b0474%2526ps%253D13740610%2526shp%253Dd05b14bd%2526shcp%253D34ff8df6%2526idc%253Dmy3%2526s%253DTIKTOK_AFFILIATE_VIRAL_VIDEO%22%2C%22placeholder_product_id%22%3A%221729427766722726591%22%2C%22placeholder_video_id%22%3A%227626405447305579797%22%7D&amp;ec_shared_reflux_scene=shop_tab_feed&amp;share_item_id=7626405447305579797&amp;source=h5_t</v>
      </c>
      <c r="K420" s="464" t="str">
        <f>IFERROR(__xludf.DUMMYFUNCTION("""COMPUTED_VALUE"""),"KIMME")</f>
        <v>KIMME</v>
      </c>
      <c r="L420" s="279" t="str">
        <f>IFERROR(__xludf.DUMMYFUNCTION("""COMPUTED_VALUE"""),"https://www.tiktok.com/@rindi.afrilia/video/7622696374244576533?_r=1&amp;u_code=dja890i3j90f3j&amp;region=&amp;mid=7546238952196212752&amp;preview_pb=0&amp;sharer_language=&amp;_d=0&amp;ec_shared_reflux_dynamic_params=%7B%22placeholder_material_id%22%3A%227622696374244576533%22%2C%2"&amp;"2placeholder_origin_cover%22%3A%22https%253A%252F%252Fp16-sign-sg.tiktokcdn.com%252Ftos-alisg-p-0037%252FoIUBeDMfLJupFBA0QHguRQtDgEjEcbE0odyRQp~tplv-tiktokx-origin.jpeg%253Fdr%253D14572%2526refresh_token%253D6e9351e6%2526x-expires%253D1808208000%2526x-sig"&amp;"nature%253Dly4Y5v88qJZIPYLOYPDj8%25252Bx5a5s%25253D%2526t%253D4d5b0474%2526ps%253D13740610%2526shp%253Dd05b14bd%2526shcp%253D34ff8df6%2526idc%253Dmy3%2526s%253DTIKTOK_AFFILIATE_VIRAL_VIDEO%22%2C%22placeholder_product_id%22%3A%221729427766722726591%22%2C%2"&amp;"2placeholder_video_id%22%3A%227622696374244576533%22%7D&amp;ec_shared_reflux_scene=shop_tab_feed&amp;share_item_id=7622696374244576533&amp;source=h5_t")</f>
        <v>https://www.tiktok.com/@rindi.afrilia/video/7622696374244576533?_r=1&amp;u_code=dja890i3j90f3j&amp;region=&amp;mid=7546238952196212752&amp;preview_pb=0&amp;sharer_language=&amp;_d=0&amp;ec_shared_reflux_dynamic_params=%7B%22placeholder_material_id%22%3A%227622696374244576533%22%2C%22placeholder_origin_cover%22%3A%22https%253A%252F%252Fp16-sign-sg.tiktokcdn.com%252Ftos-alisg-p-0037%252FoIUBeDMfLJupFBA0QHguRQtDgEjEcbE0odyRQp~tplv-tiktokx-origin.jpeg%253Fdr%253D14572%2526refresh_token%253D6e9351e6%2526x-expires%253D1808208000%2526x-signature%253Dly4Y5v88qJZIPYLOYPDj8%25252Bx5a5s%25253D%2526t%253D4d5b0474%2526ps%253D13740610%2526shp%253Dd05b14bd%2526shcp%253D34ff8df6%2526idc%253Dmy3%2526s%253DTIKTOK_AFFILIATE_VIRAL_VIDEO%22%2C%22placeholder_product_id%22%3A%221729427766722726591%22%2C%22placeholder_video_id%22%3A%227622696374244576533%22%7D&amp;ec_shared_reflux_scene=shop_tab_feed&amp;share_item_id=7622696374244576533&amp;source=h5_t</v>
      </c>
      <c r="M420" s="464" t="str">
        <f>IFERROR(__xludf.DUMMYFUNCTION("""COMPUTED_VALUE"""),"KIMME")</f>
        <v>KIMME</v>
      </c>
      <c r="N420" s="279" t="str">
        <f>IFERROR(__xludf.DUMMYFUNCTION("""COMPUTED_VALUE"""),"https://www.tiktok.com/@rindi.afrilia/video/7622256127652269333?_r=1&amp;u_code=dja890i3j90f3j&amp;region=&amp;mid=7573610310028856071&amp;preview_pb=0&amp;sharer_language=&amp;_d=0&amp;ec_shared_reflux_dynamic_params=%7B%22placeholder_material_id%22%3A%227622256127652269333%22%2C%2"&amp;"2placeholder_origin_cover%22%3A%22https%253A%252F%252Fp16-common-sign.tiktokcdn.com%252Ftos-alisg-p-0037%252FoEunspsHfABYC8DgEaSHFwIgRFRF7x8aKcEIBe~tplv-tiktokx-origin.jpeg%253Fdr%253D14572%2526refresh_token%253D245b632e%2526x-expires%253D1808208000%2526x"&amp;"-signature%253DfrqSuPxPd0XEyf4Klqi15ZaWxhY%25253D%2526t%253D4d5b0474%2526ps%253D13740610%2526shp%253Dd05b14bd%2526shcp%253D34ff8df6%2526idc%253Dmy3%2526s%253DTIKTOK_AFFILIATE_VIRAL_VIDEO%22%2C%22placeholder_product_id%22%3A%221729427766722726591%22%2C%22p"&amp;"laceholder_video_id%22%3A%227622256127652269333%22%7D&amp;ec_shared_reflux_scene=shop_tab_feed&amp;share_item_id=7622256127652269333&amp;source=h5_t")</f>
        <v>https://www.tiktok.com/@rindi.afrilia/video/7622256127652269333?_r=1&amp;u_code=dja890i3j90f3j&amp;region=&amp;mid=7573610310028856071&amp;preview_pb=0&amp;sharer_language=&amp;_d=0&amp;ec_shared_reflux_dynamic_params=%7B%22placeholder_material_id%22%3A%227622256127652269333%22%2C%22placeholder_origin_cover%22%3A%22https%253A%252F%252Fp16-common-sign.tiktokcdn.com%252Ftos-alisg-p-0037%252FoEunspsHfABYC8DgEaSHFwIgRFRF7x8aKcEIBe~tplv-tiktokx-origin.jpeg%253Fdr%253D14572%2526refresh_token%253D245b632e%2526x-expires%253D1808208000%2526x-signature%253DfrqSuPxPd0XEyf4Klqi15ZaWxhY%25253D%2526t%253D4d5b0474%2526ps%253D13740610%2526shp%253Dd05b14bd%2526shcp%253D34ff8df6%2526idc%253Dmy3%2526s%253DTIKTOK_AFFILIATE_VIRAL_VIDEO%22%2C%22placeholder_product_id%22%3A%221729427766722726591%22%2C%22placeholder_video_id%22%3A%227622256127652269333%22%7D&amp;ec_shared_reflux_scene=shop_tab_feed&amp;share_item_id=7622256127652269333&amp;source=h5_t</v>
      </c>
      <c r="O420" s="464" t="str">
        <f>IFERROR(__xludf.DUMMYFUNCTION("""COMPUTED_VALUE"""),"KIMME")</f>
        <v>KIMME</v>
      </c>
      <c r="P420" s="279" t="str">
        <f>IFERROR(__xludf.DUMMYFUNCTION("""COMPUTED_VALUE"""),"https://www.tiktok.com/@rindi.afrilia/video/7621723100798913812?_r=1&amp;u_code=dja890i3j90f3j&amp;region=&amp;mid=7455251691459660550&amp;preview_pb=0&amp;sharer_language=&amp;_d=0&amp;ec_shared_reflux_dynamic_params=%7B%22placeholder_material_id%22%3A%227621723100798913812%22%2C%2"&amp;"2placeholder_origin_cover%22%3A%22https%253A%252F%252Fp16-common-sign.tiktokcdn.com%252Ftos-alisg-p-0037%252FoYE5EeFERcCfxuTQzgCcDQmxQAzpQhDPpLOBFB~tplv-tiktokx-origin.jpeg%253Fdr%253D14572%2526refresh_token%253D5d38d811%2526x-expires%253D1808208000%2526x"&amp;"-signature%253DF6Wy%25252FsLEfoaGXq9tRXh8Kr2Jl%25252F0%25253D%2526t%253D4d5b0474%2526ps%253D13740610%2526shp%253Dd05b14bd%2526shcp%253D34ff8df6%2526idc%253Dmy3%2526s%253DTIKTOK_AFFILIATE_VIRAL_VIDEO%22%2C%22placeholder_product_id%22%3A%2217294277667227265"&amp;"91%22%2C%22placeholder_video_id%22%3A%227621723100798913812%22%7D&amp;ec_shared_reflux_scene=shop_tab_feed&amp;share_item_id=7621723100798913812&amp;source=h5_t")</f>
        <v>https://www.tiktok.com/@rindi.afrilia/video/7621723100798913812?_r=1&amp;u_code=dja890i3j90f3j&amp;region=&amp;mid=7455251691459660550&amp;preview_pb=0&amp;sharer_language=&amp;_d=0&amp;ec_shared_reflux_dynamic_params=%7B%22placeholder_material_id%22%3A%227621723100798913812%22%2C%22placeholder_origin_cover%22%3A%22https%253A%252F%252Fp16-common-sign.tiktokcdn.com%252Ftos-alisg-p-0037%252FoYE5EeFERcCfxuTQzgCcDQmxQAzpQhDPpLOBFB~tplv-tiktokx-origin.jpeg%253Fdr%253D14572%2526refresh_token%253D5d38d811%2526x-expires%253D1808208000%2526x-signature%253DF6Wy%25252FsLEfoaGXq9tRXh8Kr2Jl%25252F0%25253D%2526t%253D4d5b0474%2526ps%253D13740610%2526shp%253Dd05b14bd%2526shcp%253D34ff8df6%2526idc%253Dmy3%2526s%253DTIKTOK_AFFILIATE_VIRAL_VIDEO%22%2C%22placeholder_product_id%22%3A%221729427766722726591%22%2C%22placeholder_video_id%22%3A%227621723100798913812%22%7D&amp;ec_shared_reflux_scene=shop_tab_feed&amp;share_item_id=7621723100798913812&amp;source=h5_t</v>
      </c>
    </row>
    <row r="421">
      <c r="A421" s="255" t="str">
        <f>IFERROR(__xludf.DUMMYFUNCTION("""COMPUTED_VALUE"""),"MICRO")</f>
        <v>MICRO</v>
      </c>
      <c r="B421" s="361" t="str">
        <f>IFERROR(__xludf.DUMMYFUNCTION("""COMPUTED_VALUE"""),"lannytjo
")</f>
        <v>lannytjo
</v>
      </c>
      <c r="C421" s="257" t="str">
        <f>IFERROR(__xludf.DUMMYFUNCTION("""COMPUTED_VALUE"""),"https://www.tiktok.com/@lannytjo
")</f>
        <v>https://www.tiktok.com/@lannytjo
</v>
      </c>
      <c r="D421" s="270">
        <f>IFERROR(__xludf.DUMMYFUNCTION("""COMPUTED_VALUE"""),8.7757571888E10)</f>
        <v>87757571888</v>
      </c>
      <c r="E421" s="457">
        <f>IFERROR(__xludf.DUMMYFUNCTION("""COMPUTED_VALUE"""),0.0)</f>
        <v>0</v>
      </c>
      <c r="F421" s="270">
        <f>IFERROR(__xludf.DUMMYFUNCTION("""COMPUTED_VALUE"""),4.0)</f>
        <v>4</v>
      </c>
      <c r="G421" s="17" t="str">
        <f>IFERROR(__xludf.DUMMYFUNCTION("""COMPUTED_VALUE"""),"Sabun batang 1 Box ( 2 PCS )")</f>
        <v>Sabun batang 1 Box ( 2 PCS )</v>
      </c>
      <c r="H421" s="463" t="str">
        <f>IFERROR(__xludf.DUMMYFUNCTION("""COMPUTED_VALUE"""),"Sampai")</f>
        <v>Sampai</v>
      </c>
      <c r="I421" s="464" t="str">
        <f>IFERROR(__xludf.DUMMYFUNCTION("""COMPUTED_VALUE"""),"KIMME")</f>
        <v>KIMME</v>
      </c>
      <c r="J421" s="279" t="str">
        <f>IFERROR(__xludf.DUMMYFUNCTION("""COMPUTED_VALUE"""),"https://www.tiktok.com/@outfitce_/video/7624315207434734868?_r=1&amp;u_code=e0898kg4gbb4c7&amp;region=&amp;mid=7473819705229658935&amp;preview_pb=0&amp;sharer_language=&amp;_d=0&amp;ec_shared_reflux_dynamic_params=%7B%22placeholder_material_id%22%3A%227624315207434734868%22%2C%22pla"&amp;"ceholder_origin_cover%22%3A%22https%253A%252F%252Fp16-common-sign.tiktokcdn.com%252Ftos-alisg-p-0037%252FosA5SQgWTDBeBbrAAMCocDcnWGRgog8jKIeyeE~tplv-tiktokx-origin.jpeg%253Fdr%253D14572%2526refresh_token%253D5f7bbfb2%2526x-expires%253D1808204400%2526x-sig"&amp;"nature%253DfwIHqPrtqzUarsXiPEliVVmudFo%25253D%2526t%253D4d5b0474%2526ps%253D13740610%2526shp%253Dd05b14bd%2526shcp%253D34ff8df6%2526idc%253Dmy3%2526s%253DTIKTOK_AFFILIATE_VIRAL_VIDEO%22%2C%22placeholder_product_id%22%3A%221729427766722726591%22%2C%22place"&amp;"holder_video_id%22%3A%227624315207434734868%22%7D&amp;ec_shared_reflux_scene=shop_tab_feed&amp;share_item_id=7624315207434734868&amp;source=h5_t")</f>
        <v>https://www.tiktok.com/@outfitce_/video/7624315207434734868?_r=1&amp;u_code=e0898kg4gbb4c7&amp;region=&amp;mid=7473819705229658935&amp;preview_pb=0&amp;sharer_language=&amp;_d=0&amp;ec_shared_reflux_dynamic_params=%7B%22placeholder_material_id%22%3A%227624315207434734868%22%2C%22placeholder_origin_cover%22%3A%22https%253A%252F%252Fp16-common-sign.tiktokcdn.com%252Ftos-alisg-p-0037%252FosA5SQgWTDBeBbrAAMCocDcnWGRgog8jKIeyeE~tplv-tiktokx-origin.jpeg%253Fdr%253D14572%2526refresh_token%253D5f7bbfb2%2526x-expires%253D1808204400%2526x-signature%253DfwIHqPrtqzUarsXiPEliVVmudFo%25253D%2526t%253D4d5b0474%2526ps%253D13740610%2526shp%253Dd05b14bd%2526shcp%253D34ff8df6%2526idc%253Dmy3%2526s%253DTIKTOK_AFFILIATE_VIRAL_VIDEO%22%2C%22placeholder_product_id%22%3A%221729427766722726591%22%2C%22placeholder_video_id%22%3A%227624315207434734868%22%7D&amp;ec_shared_reflux_scene=shop_tab_feed&amp;share_item_id=7624315207434734868&amp;source=h5_t</v>
      </c>
      <c r="K421" s="464" t="str">
        <f>IFERROR(__xludf.DUMMYFUNCTION("""COMPUTED_VALUE"""),"KIMME")</f>
        <v>KIMME</v>
      </c>
      <c r="L421" s="279" t="str">
        <f>IFERROR(__xludf.DUMMYFUNCTION("""COMPUTED_VALUE"""),"https://www.tiktok.com/@outfitce_/video/7624426515886902549?_r=1&amp;u_code=e0898kg4gbb4c7&amp;region=&amp;mid=7426331155690080272&amp;preview_pb=0&amp;sharer_language=&amp;_d=0&amp;ec_shared_reflux_dynamic_params=%7B%22placeholder_material_id%22%3A%227624426515886902549%22%2C%22pla"&amp;"ceholder_origin_cover%22%3A%22https%253A%252F%252Fp16-sign-sg.tiktokcdn.com%252Ftos-alisg-p-0037%252FosIaPcZWivVi9ABIA39cAEBjnYlQBQ5Ui5PiV~tplv-tiktokx-origin.jpeg%253Fdr%253D14572%2526refresh_token%253Df0811b98%2526x-expires%253D1808204400%2526x-signatur"&amp;"e%253D3xGMfFUAInvuua7hLP6IJOYe2DA%25253D%2526t%253D4d5b0474%2526ps%253D13740610%2526shp%253Dd05b14bd%2526shcp%253D34ff8df6%2526idc%253Dmy3%2526s%253DTIKTOK_AFFILIATE_VIRAL_VIDEO%22%2C%22placeholder_product_id%22%3A%221729427766722726591%22%2C%22placeholde"&amp;"r_video_id%22%3A%227624426515886902549%22%7D&amp;ec_shared_reflux_scene=shop_tab_feed&amp;share_item_id=7624426515886902549&amp;source=h5_t")</f>
        <v>https://www.tiktok.com/@outfitce_/video/7624426515886902549?_r=1&amp;u_code=e0898kg4gbb4c7&amp;region=&amp;mid=7426331155690080272&amp;preview_pb=0&amp;sharer_language=&amp;_d=0&amp;ec_shared_reflux_dynamic_params=%7B%22placeholder_material_id%22%3A%227624426515886902549%22%2C%22placeholder_origin_cover%22%3A%22https%253A%252F%252Fp16-sign-sg.tiktokcdn.com%252Ftos-alisg-p-0037%252FosIaPcZWivVi9ABIA39cAEBjnYlQBQ5Ui5PiV~tplv-tiktokx-origin.jpeg%253Fdr%253D14572%2526refresh_token%253Df0811b98%2526x-expires%253D1808204400%2526x-signature%253D3xGMfFUAInvuua7hLP6IJOYe2DA%25253D%2526t%253D4d5b0474%2526ps%253D13740610%2526shp%253Dd05b14bd%2526shcp%253D34ff8df6%2526idc%253Dmy3%2526s%253DTIKTOK_AFFILIATE_VIRAL_VIDEO%22%2C%22placeholder_product_id%22%3A%221729427766722726591%22%2C%22placeholder_video_id%22%3A%227624426515886902549%22%7D&amp;ec_shared_reflux_scene=shop_tab_feed&amp;share_item_id=7624426515886902549&amp;source=h5_t</v>
      </c>
      <c r="M421" s="464" t="str">
        <f>IFERROR(__xludf.DUMMYFUNCTION("""COMPUTED_VALUE"""),"KIMME")</f>
        <v>KIMME</v>
      </c>
      <c r="N421" s="279" t="str">
        <f>IFERROR(__xludf.DUMMYFUNCTION("""COMPUTED_VALUE"""),"https://www.tiktok.com/@outfitce_/video/7624464515194801429?_r=1&amp;u_code=e0898kg4gbb4c7&amp;region=&amp;mid=7413639309809780753&amp;preview_pb=0&amp;sharer_language=&amp;_d=0&amp;ec_shared_reflux_dynamic_params=%7B%22placeholder_material_id%22%3A%227624464515194801429%22%2C%22pla"&amp;"ceholder_origin_cover%22%3A%22https%253A%252F%252Fp16-common-sign.tiktokcdn.com%252Ftos-alisg-p-0037%252FogaPR40LpIUTEnB2iBzFMLoEIeDBPDAZPgfQiP~tplv-tiktokx-origin.jpeg%253Fdr%253D14572%2526refresh_token%253D492cae8b%2526x-expires%253D1808204400%2526x-sig"&amp;"nature%253D39QRfQrvhU0qMGJRerx0JigWtWo%25253D%2526t%253D4d5b0474%2526ps%253D13740610%2526shp%253Dd05b14bd%2526shcp%253D34ff8df6%2526idc%253Dmy3%2526s%253DTIKTOK_AFFILIATE_VIRAL_VIDEO%22%2C%22placeholder_product_id%22%3A%221729427766722726591%22%2C%22place"&amp;"holder_video_id%22%3A%227624464515194801429%22%7D&amp;ec_shared_reflux_scene=shop_tab_feed&amp;share_item_id=7624464515194801429&amp;source=h5_t")</f>
        <v>https://www.tiktok.com/@outfitce_/video/7624464515194801429?_r=1&amp;u_code=e0898kg4gbb4c7&amp;region=&amp;mid=7413639309809780753&amp;preview_pb=0&amp;sharer_language=&amp;_d=0&amp;ec_shared_reflux_dynamic_params=%7B%22placeholder_material_id%22%3A%227624464515194801429%22%2C%22placeholder_origin_cover%22%3A%22https%253A%252F%252Fp16-common-sign.tiktokcdn.com%252Ftos-alisg-p-0037%252FogaPR40LpIUTEnB2iBzFMLoEIeDBPDAZPgfQiP~tplv-tiktokx-origin.jpeg%253Fdr%253D14572%2526refresh_token%253D492cae8b%2526x-expires%253D1808204400%2526x-signature%253D39QRfQrvhU0qMGJRerx0JigWtWo%25253D%2526t%253D4d5b0474%2526ps%253D13740610%2526shp%253Dd05b14bd%2526shcp%253D34ff8df6%2526idc%253Dmy3%2526s%253DTIKTOK_AFFILIATE_VIRAL_VIDEO%22%2C%22placeholder_product_id%22%3A%221729427766722726591%22%2C%22placeholder_video_id%22%3A%227624464515194801429%22%7D&amp;ec_shared_reflux_scene=shop_tab_feed&amp;share_item_id=7624464515194801429&amp;source=h5_t</v>
      </c>
      <c r="O421" s="464" t="str">
        <f>IFERROR(__xludf.DUMMYFUNCTION("""COMPUTED_VALUE"""),"KIMME")</f>
        <v>KIMME</v>
      </c>
      <c r="P421" s="279" t="str">
        <f>IFERROR(__xludf.DUMMYFUNCTION("""COMPUTED_VALUE"""),"https://www.tiktok.com/@outfitce_/video/7624876528345566484?_r=1&amp;u_code=e0898kg4gbb4c7&amp;region=&amp;mid=7600640437279984404&amp;preview_pb=0&amp;sharer_language=&amp;_d=0&amp;ec_shared_reflux_dynamic_params=%7B%22placeholder_material_id%22%3A%227624876528345566484%22%2C%22pla"&amp;"ceholder_origin_cover%22%3A%22https%253A%252F%252Fp16-sign-sg.tiktokcdn.com%252Ftos-alisg-p-0037%252FoMxBQCqB0AA0iWQiiHNItAIjCAkRf6pw3IINji~tplv-tiktokx-origin.jpeg%253Fdr%253D14572%2526refresh_token%253Da820e6f1%2526x-expires%253D1808204400%2526x-signatu"&amp;"re%253DCxAHqj9MwjKlFZbon%25252BnruOUKnDI%25253D%2526t%253D4d5b0474%2526ps%253D13740610%2526shp%253Dd05b14bd%2526shcp%253D34ff8df6%2526idc%253Dmy3%2526s%253DTIKTOK_AFFILIATE_VIRAL_VIDEO%22%2C%22placeholder_product_id%22%3A%221729427766722726591%22%2C%22pla"&amp;"ceholder_video_id%22%3A%227624876528345566484%22%7D&amp;ec_shared_reflux_scene=shop_tab_feed&amp;share_item_id=7624876528345566484&amp;source=h5_t")</f>
        <v>https://www.tiktok.com/@outfitce_/video/7624876528345566484?_r=1&amp;u_code=e0898kg4gbb4c7&amp;region=&amp;mid=7600640437279984404&amp;preview_pb=0&amp;sharer_language=&amp;_d=0&amp;ec_shared_reflux_dynamic_params=%7B%22placeholder_material_id%22%3A%227624876528345566484%22%2C%22placeholder_origin_cover%22%3A%22https%253A%252F%252Fp16-sign-sg.tiktokcdn.com%252Ftos-alisg-p-0037%252FoMxBQCqB0AA0iWQiiHNItAIjCAkRf6pw3IINji~tplv-tiktokx-origin.jpeg%253Fdr%253D14572%2526refresh_token%253Da820e6f1%2526x-expires%253D1808204400%2526x-signature%253DCxAHqj9MwjKlFZbon%25252BnruOUKnDI%25253D%2526t%253D4d5b0474%2526ps%253D13740610%2526shp%253Dd05b14bd%2526shcp%253D34ff8df6%2526idc%253Dmy3%2526s%253DTIKTOK_AFFILIATE_VIRAL_VIDEO%22%2C%22placeholder_product_id%22%3A%221729427766722726591%22%2C%22placeholder_video_id%22%3A%227624876528345566484%22%7D&amp;ec_shared_reflux_scene=shop_tab_feed&amp;share_item_id=7624876528345566484&amp;source=h5_t</v>
      </c>
    </row>
    <row r="422">
      <c r="A422" s="255" t="str">
        <f>IFERROR(__xludf.DUMMYFUNCTION("""COMPUTED_VALUE"""),"MICRO")</f>
        <v>MICRO</v>
      </c>
      <c r="B422" s="361" t="str">
        <f>IFERROR(__xludf.DUMMYFUNCTION("""COMPUTED_VALUE"""),"hlzahs
")</f>
        <v>hlzahs
</v>
      </c>
      <c r="C422" s="257" t="str">
        <f>IFERROR(__xludf.DUMMYFUNCTION("""COMPUTED_VALUE"""),"https://www.tiktok.com/@hlzahs
")</f>
        <v>https://www.tiktok.com/@hlzahs
</v>
      </c>
      <c r="D422" s="270">
        <f>IFERROR(__xludf.DUMMYFUNCTION("""COMPUTED_VALUE"""),8.1275693029E10)</f>
        <v>81275693029</v>
      </c>
      <c r="E422" s="457">
        <f>IFERROR(__xludf.DUMMYFUNCTION("""COMPUTED_VALUE"""),150000.0)</f>
        <v>150000</v>
      </c>
      <c r="F422" s="270">
        <f>IFERROR(__xludf.DUMMYFUNCTION("""COMPUTED_VALUE"""),1.0)</f>
        <v>1</v>
      </c>
      <c r="G422" s="17" t="str">
        <f>IFERROR(__xludf.DUMMYFUNCTION("""COMPUTED_VALUE"""),"Sabun batang 1 Box ( 2 PCS )")</f>
        <v>Sabun batang 1 Box ( 2 PCS )</v>
      </c>
      <c r="H422" s="463" t="str">
        <f>IFERROR(__xludf.DUMMYFUNCTION("""COMPUTED_VALUE"""),"Sampai")</f>
        <v>Sampai</v>
      </c>
      <c r="I422" s="464" t="str">
        <f>IFERROR(__xludf.DUMMYFUNCTION("""COMPUTED_VALUE"""),"KIMME")</f>
        <v>KIMME</v>
      </c>
      <c r="J422" s="279" t="str">
        <f>IFERROR(__xludf.DUMMYFUNCTION("""COMPUTED_VALUE"""),"https://www.tiktok.com/@hlzahs/video/7634028177035185426?_d=0&amp;_r=1&amp;ec_shared_reflux_dynamic_params=%7B%22placeholder_material_id%22%3A%227634028177035185426%22%2C%22placeholder_origin_cover%22%3A%22https%253A%252F%252Fp16-sign-sg.tiktokcdn.com%252Ftos-ali"&amp;"sg-p-0037%252FoQDU7APHufIB6hIDCvwvIIiiydHwE0xDBpAGAR~tplv-tiktokx-origin.jpeg%253Fdr%253D14572%2526refresh_token%253D6c3b30a3%2526x-expires%253D1808992800%2526x-signature%253Dhqk%25252FjRjCjzX0SsS8kI8Fht5GJ2E%25253D%2526t%253D4d5b0474%2526ps%253D13740610%"&amp;"2526shp%253Dd05b14bd%2526shcp%253D34ff8df6%2526idc%253Dmy2%2526s%253DTIKTOK_AFFILIATE_VIRAL_VIDEO%22%2C%22placeholder_product_id%22%3A%221729427766722726591%22%2C%22placeholder_video_id%22%3A%227634028177035185426%22%7D&amp;ec_shared_reflux_scene=shop_tab_fee"&amp;"d&amp;mid=7634028209140402965&amp;preview_pb=0&amp;region=&amp;share_item_id=7634028177035185426&amp;sharer_language=&amp;source=h5_t&amp;u_code=dgm9114c7dddh6")</f>
        <v>https://www.tiktok.com/@hlzahs/video/7634028177035185426?_d=0&amp;_r=1&amp;ec_shared_reflux_dynamic_params=%7B%22placeholder_material_id%22%3A%227634028177035185426%22%2C%22placeholder_origin_cover%22%3A%22https%253A%252F%252Fp16-sign-sg.tiktokcdn.com%252Ftos-alisg-p-0037%252FoQDU7APHufIB6hIDCvwvIIiiydHwE0xDBpAGAR~tplv-tiktokx-origin.jpeg%253Fdr%253D14572%2526refresh_token%253D6c3b30a3%2526x-expires%253D1808992800%2526x-signature%253Dhqk%25252FjRjCjzX0SsS8kI8Fht5GJ2E%25253D%2526t%253D4d5b0474%2526ps%253D13740610%2526shp%253Dd05b14bd%2526shcp%253D34ff8df6%2526idc%253Dmy2%2526s%253DTIKTOK_AFFILIATE_VIRAL_VIDEO%22%2C%22placeholder_product_id%22%3A%221729427766722726591%22%2C%22placeholder_video_id%22%3A%227634028177035185426%22%7D&amp;ec_shared_reflux_scene=shop_tab_feed&amp;mid=7634028209140402965&amp;preview_pb=0&amp;region=&amp;share_item_id=7634028177035185426&amp;sharer_language=&amp;source=h5_t&amp;u_code=dgm9114c7dddh6</v>
      </c>
      <c r="K422" s="464" t="str">
        <f>IFERROR(__xludf.DUMMYFUNCTION("""COMPUTED_VALUE"""),"KIMME")</f>
        <v>KIMME</v>
      </c>
      <c r="L422" s="279" t="str">
        <f>IFERROR(__xludf.DUMMYFUNCTION("""COMPUTED_VALUE"""),"https://vt.tiktok.com/ZS9D917q4/")</f>
        <v>https://vt.tiktok.com/ZS9D917q4/</v>
      </c>
      <c r="M422" s="464"/>
      <c r="N422" s="279" t="str">
        <f>IFERROR(__xludf.DUMMYFUNCTION("""COMPUTED_VALUE"""),"https://vt.tiktok.com/ZS9vmya8b/")</f>
        <v>https://vt.tiktok.com/ZS9vmya8b/</v>
      </c>
      <c r="O422" s="464"/>
      <c r="P422" s="279" t="str">
        <f>IFERROR(__xludf.DUMMYFUNCTION("""COMPUTED_VALUE"""),"https://vt.tiktok.com/ZS9cv1tY4/")</f>
        <v>https://vt.tiktok.com/ZS9cv1tY4/</v>
      </c>
    </row>
    <row r="423">
      <c r="A423" s="255" t="str">
        <f>IFERROR(__xludf.DUMMYFUNCTION("""COMPUTED_VALUE"""),"MICRO")</f>
        <v>MICRO</v>
      </c>
      <c r="B423" s="361" t="str">
        <f>IFERROR(__xludf.DUMMYFUNCTION("""COMPUTED_VALUE"""),"ekbardiary
")</f>
        <v>ekbardiary
</v>
      </c>
      <c r="C423" s="257" t="str">
        <f>IFERROR(__xludf.DUMMYFUNCTION("""COMPUTED_VALUE"""),"https://www.tiktok.com/@ekbardiary
")</f>
        <v>https://www.tiktok.com/@ekbardiary
</v>
      </c>
      <c r="D423" s="270">
        <f>IFERROR(__xludf.DUMMYFUNCTION("""COMPUTED_VALUE"""),8.2118716575E10)</f>
        <v>82118716575</v>
      </c>
      <c r="E423" s="457">
        <f>IFERROR(__xludf.DUMMYFUNCTION("""COMPUTED_VALUE"""),0.0)</f>
        <v>0</v>
      </c>
      <c r="F423" s="270">
        <f>IFERROR(__xludf.DUMMYFUNCTION("""COMPUTED_VALUE"""),4.0)</f>
        <v>4</v>
      </c>
      <c r="G423" s="17" t="str">
        <f>IFERROR(__xludf.DUMMYFUNCTION("""COMPUTED_VALUE"""),"Sabun batang 1 Box ( 2 PCS )")</f>
        <v>Sabun batang 1 Box ( 2 PCS )</v>
      </c>
      <c r="H423" s="463" t="str">
        <f>IFERROR(__xludf.DUMMYFUNCTION("""COMPUTED_VALUE"""),"Sampai")</f>
        <v>Sampai</v>
      </c>
      <c r="I423" s="464" t="str">
        <f>IFERROR(__xludf.DUMMYFUNCTION("""COMPUTED_VALUE"""),"KIMME")</f>
        <v>KIMME</v>
      </c>
      <c r="J423" s="279" t="str">
        <f>IFERROR(__xludf.DUMMYFUNCTION("""COMPUTED_VALUE"""),"https://www.tiktok.com/@outfitce_/video/7623991463914835221?_r=1&amp;u_code=e0898kg4gbb4c7&amp;region=&amp;mid=7608156113497983765&amp;preview_pb=0&amp;sharer_language=&amp;_d=0&amp;ec_shared_reflux_dynamic_params=%7B%22placeholder_material_id%22%3A%227623991463914835221%22%2C%22pla"&amp;"ceholder_origin_cover%22%3A%22https%253A%252F%252Fp16-common-sign.tiktokcdn.com%252Ftos-alisg-p-0037%252FoMISLMegc4X2GeR8RA23hQn5bMGeNAeKQgWFHr~tplv-tiktokx-origin.jpeg%253Fdr%253D14572%2526refresh_token%253De555dd88%2526x-expires%253D1808204400%2526x-sig"&amp;"nature%253D4xYhR3vS6M5yjxQcSpuDd5MDlO0%25253D%2526t%253D4d5b0474%2526ps%253D13740610%2526shp%253Dd05b14bd%2526shcp%253D34ff8df6%2526idc%253Dmy3%2526s%253DTIKTOK_AFFILIATE_VIRAL_VIDEO%22%2C%22placeholder_product_id%22%3A%221729427766722726591%22%2C%22place"&amp;"holder_video_id%22%3A%227623991463914835221%22%7D&amp;ec_shared_reflux_scene=shop_tab_feed&amp;share_item_id=7623991463914835221&amp;source=h5_t")</f>
        <v>https://www.tiktok.com/@outfitce_/video/7623991463914835221?_r=1&amp;u_code=e0898kg4gbb4c7&amp;region=&amp;mid=7608156113497983765&amp;preview_pb=0&amp;sharer_language=&amp;_d=0&amp;ec_shared_reflux_dynamic_params=%7B%22placeholder_material_id%22%3A%227623991463914835221%22%2C%22placeholder_origin_cover%22%3A%22https%253A%252F%252Fp16-common-sign.tiktokcdn.com%252Ftos-alisg-p-0037%252FoMISLMegc4X2GeR8RA23hQn5bMGeNAeKQgWFHr~tplv-tiktokx-origin.jpeg%253Fdr%253D14572%2526refresh_token%253De555dd88%2526x-expires%253D1808204400%2526x-signature%253D4xYhR3vS6M5yjxQcSpuDd5MDlO0%25253D%2526t%253D4d5b0474%2526ps%253D13740610%2526shp%253Dd05b14bd%2526shcp%253D34ff8df6%2526idc%253Dmy3%2526s%253DTIKTOK_AFFILIATE_VIRAL_VIDEO%22%2C%22placeholder_product_id%22%3A%221729427766722726591%22%2C%22placeholder_video_id%22%3A%227623991463914835221%22%7D&amp;ec_shared_reflux_scene=shop_tab_feed&amp;share_item_id=7623991463914835221&amp;source=h5_t</v>
      </c>
      <c r="K423" s="464" t="str">
        <f>IFERROR(__xludf.DUMMYFUNCTION("""COMPUTED_VALUE"""),"KIMME")</f>
        <v>KIMME</v>
      </c>
      <c r="L423" s="279" t="str">
        <f>IFERROR(__xludf.DUMMYFUNCTION("""COMPUTED_VALUE"""),"https://www.tiktok.com/@outfitce_/video/7624022829977062676?_r=1&amp;u_code=e0898kg4gbb4c7&amp;region=&amp;mid=7559536816974580497&amp;preview_pb=0&amp;sharer_language=&amp;_d=0&amp;ec_shared_reflux_dynamic_params=%7B%22placeholder_material_id%22%3A%227624022829977062676%22%2C%22pla"&amp;"ceholder_origin_cover%22%3A%22https%253A%252F%252Fp16-common-sign.tiktokcdn.com%252Ftos-alisg-p-0037%252FogEJQoPffG6Q3gIjTemT0EFhmGoDqGADAY3xbC~tplv-tiktokx-origin.jpeg%253Fdr%253D14572%2526refresh_token%253D4e3c5107%2526x-expires%253D1808204400%2526x-sig"&amp;"nature%253DCxYNFVBsoa1kO%25252FBRJ990sNX1yOk%25253D%2526t%253D4d5b0474%2526ps%253D13740610%2526shp%253Dd05b14bd%2526shcp%253D34ff8df6%2526idc%253Dmy3%2526s%253DTIKTOK_AFFILIATE_VIRAL_VIDEO%22%2C%22placeholder_product_id%22%3A%221729427766722726591%22%2C%2"&amp;"2placeholder_video_id%22%3A%227624022829977062676%22%7D&amp;ec_shared_reflux_scene=shop_tab_feed&amp;share_item_id=7624022829977062676&amp;source=h5_t")</f>
        <v>https://www.tiktok.com/@outfitce_/video/7624022829977062676?_r=1&amp;u_code=e0898kg4gbb4c7&amp;region=&amp;mid=7559536816974580497&amp;preview_pb=0&amp;sharer_language=&amp;_d=0&amp;ec_shared_reflux_dynamic_params=%7B%22placeholder_material_id%22%3A%227624022829977062676%22%2C%22placeholder_origin_cover%22%3A%22https%253A%252F%252Fp16-common-sign.tiktokcdn.com%252Ftos-alisg-p-0037%252FogEJQoPffG6Q3gIjTemT0EFhmGoDqGADAY3xbC~tplv-tiktokx-origin.jpeg%253Fdr%253D14572%2526refresh_token%253D4e3c5107%2526x-expires%253D1808204400%2526x-signature%253DCxYNFVBsoa1kO%25252FBRJ990sNX1yOk%25253D%2526t%253D4d5b0474%2526ps%253D13740610%2526shp%253Dd05b14bd%2526shcp%253D34ff8df6%2526idc%253Dmy3%2526s%253DTIKTOK_AFFILIATE_VIRAL_VIDEO%22%2C%22placeholder_product_id%22%3A%221729427766722726591%22%2C%22placeholder_video_id%22%3A%227624022829977062676%22%7D&amp;ec_shared_reflux_scene=shop_tab_feed&amp;share_item_id=7624022829977062676&amp;source=h5_t</v>
      </c>
      <c r="M423" s="464" t="str">
        <f>IFERROR(__xludf.DUMMYFUNCTION("""COMPUTED_VALUE"""),"KIMME")</f>
        <v>KIMME</v>
      </c>
      <c r="N423" s="279" t="str">
        <f>IFERROR(__xludf.DUMMYFUNCTION("""COMPUTED_VALUE"""),"https://www.tiktok.com/@outfitce_/video/7624035229849718036?_r=1&amp;u_code=e0898kg4gbb4c7&amp;region=&amp;mid=7608156113497983765&amp;preview_pb=0&amp;sharer_language=&amp;_d=0&amp;ec_shared_reflux_dynamic_params=%7B%22placeholder_material_id%22%3A%227624035229849718036%22%2C%22pla"&amp;"ceholder_origin_cover%22%3A%22https%253A%252F%252Fp16-common-sign.tiktokcdn.com%252Ftos-alisg-p-0037%252FokOw9FBRUDpnzsEOAgKWAr7GIfqceXBE99IvgB~tplv-tiktokx-origin.jpeg%253Fdr%253D14572%2526refresh_token%253D11382771%2526x-expires%253D1808204400%2526x-sig"&amp;"nature%253DkxmmjRY549m280i4afiywUsDgC0%25253D%2526t%253D4d5b0474%2526ps%253D13740610%2526shp%253Dd05b14bd%2526shcp%253D34ff8df6%2526idc%253Dmy3%2526s%253DTIKTOK_AFFILIATE_VIRAL_VIDEO%22%2C%22placeholder_product_id%22%3A%221729427766722726591%22%2C%22place"&amp;"holder_video_id%22%3A%227624035229849718036%22%7D&amp;ec_shared_reflux_scene=shop_tab_feed&amp;share_item_id=7624035229849718036&amp;source=h5_t")</f>
        <v>https://www.tiktok.com/@outfitce_/video/7624035229849718036?_r=1&amp;u_code=e0898kg4gbb4c7&amp;region=&amp;mid=7608156113497983765&amp;preview_pb=0&amp;sharer_language=&amp;_d=0&amp;ec_shared_reflux_dynamic_params=%7B%22placeholder_material_id%22%3A%227624035229849718036%22%2C%22placeholder_origin_cover%22%3A%22https%253A%252F%252Fp16-common-sign.tiktokcdn.com%252Ftos-alisg-p-0037%252FokOw9FBRUDpnzsEOAgKWAr7GIfqceXBE99IvgB~tplv-tiktokx-origin.jpeg%253Fdr%253D14572%2526refresh_token%253D11382771%2526x-expires%253D1808204400%2526x-signature%253DkxmmjRY549m280i4afiywUsDgC0%25253D%2526t%253D4d5b0474%2526ps%253D13740610%2526shp%253Dd05b14bd%2526shcp%253D34ff8df6%2526idc%253Dmy3%2526s%253DTIKTOK_AFFILIATE_VIRAL_VIDEO%22%2C%22placeholder_product_id%22%3A%221729427766722726591%22%2C%22placeholder_video_id%22%3A%227624035229849718036%22%7D&amp;ec_shared_reflux_scene=shop_tab_feed&amp;share_item_id=7624035229849718036&amp;source=h5_t</v>
      </c>
      <c r="O423" s="464" t="str">
        <f>IFERROR(__xludf.DUMMYFUNCTION("""COMPUTED_VALUE"""),"KIMME")</f>
        <v>KIMME</v>
      </c>
      <c r="P423" s="279" t="str">
        <f>IFERROR(__xludf.DUMMYFUNCTION("""COMPUTED_VALUE"""),"https://www.tiktok.com/@outfitce_/video/7624071767161818389?_r=1&amp;u_code=e0898kg4gbb4c7&amp;region=&amp;mid=7295670080217254661&amp;preview_pb=0&amp;sharer_language=&amp;_d=0&amp;ec_shared_reflux_dynamic_params=%7B%22placeholder_material_id%22%3A%227624071767161818389%22%2C%22pla"&amp;"ceholder_origin_cover%22%3A%22https%253A%252F%252Fp16-common-sign.tiktokcdn.com%252Ftos-alisg-p-0037%252FoIQ3OpoEUBiwtgR37PQAfFEBTJDXSzFvbfMUOU~tplv-tiktokx-origin.jpeg%253Fdr%253D14572%2526refresh_token%253D4250a57f%2526x-expires%253D1808204400%2526x-sig"&amp;"nature%253DW2NSpA%25252F1gQSJG22tDnX%25252FvFSsnKA%25253D%2526t%253D4d5b0474%2526ps%253D13740610%2526shp%253Dd05b14bd%2526shcp%253D34ff8df6%2526idc%253Dmy3%2526s%253DTIKTOK_AFFILIATE_VIRAL_VIDEO%22%2C%22placeholder_product_id%22%3A%221729427766722726591%2"&amp;"2%2C%22placeholder_video_id%22%3A%227624071767161818389%22%7D&amp;ec_shared_reflux_scene=shop_tab_feed&amp;share_item_id=7624071767161818389&amp;source=h5_t")</f>
        <v>https://www.tiktok.com/@outfitce_/video/7624071767161818389?_r=1&amp;u_code=e0898kg4gbb4c7&amp;region=&amp;mid=7295670080217254661&amp;preview_pb=0&amp;sharer_language=&amp;_d=0&amp;ec_shared_reflux_dynamic_params=%7B%22placeholder_material_id%22%3A%227624071767161818389%22%2C%22placeholder_origin_cover%22%3A%22https%253A%252F%252Fp16-common-sign.tiktokcdn.com%252Ftos-alisg-p-0037%252FoIQ3OpoEUBiwtgR37PQAfFEBTJDXSzFvbfMUOU~tplv-tiktokx-origin.jpeg%253Fdr%253D14572%2526refresh_token%253D4250a57f%2526x-expires%253D1808204400%2526x-signature%253DW2NSpA%25252F1gQSJG22tDnX%25252FvFSsnKA%25253D%2526t%253D4d5b0474%2526ps%253D13740610%2526shp%253Dd05b14bd%2526shcp%253D34ff8df6%2526idc%253Dmy3%2526s%253DTIKTOK_AFFILIATE_VIRAL_VIDEO%22%2C%22placeholder_product_id%22%3A%221729427766722726591%22%2C%22placeholder_video_id%22%3A%227624071767161818389%22%7D&amp;ec_shared_reflux_scene=shop_tab_feed&amp;share_item_id=7624071767161818389&amp;source=h5_t</v>
      </c>
    </row>
    <row r="424">
      <c r="A424" s="255" t="str">
        <f>IFERROR(__xludf.DUMMYFUNCTION("""COMPUTED_VALUE"""),"MICRO")</f>
        <v>MICRO</v>
      </c>
      <c r="B424" s="361" t="str">
        <f>IFERROR(__xludf.DUMMYFUNCTION("""COMPUTED_VALUE"""),"dapiww
")</f>
        <v>dapiww
</v>
      </c>
      <c r="C424" s="257" t="str">
        <f>IFERROR(__xludf.DUMMYFUNCTION("""COMPUTED_VALUE"""),"https://www.tiktok.com/@dapiww
")</f>
        <v>https://www.tiktok.com/@dapiww
</v>
      </c>
      <c r="D424" s="270">
        <f>IFERROR(__xludf.DUMMYFUNCTION("""COMPUTED_VALUE"""),8.2120085399E10)</f>
        <v>82120085399</v>
      </c>
      <c r="E424" s="457">
        <f>IFERROR(__xludf.DUMMYFUNCTION("""COMPUTED_VALUE"""),0.0)</f>
        <v>0</v>
      </c>
      <c r="F424" s="270">
        <f>IFERROR(__xludf.DUMMYFUNCTION("""COMPUTED_VALUE"""),4.0)</f>
        <v>4</v>
      </c>
      <c r="G424" s="17" t="str">
        <f>IFERROR(__xludf.DUMMYFUNCTION("""COMPUTED_VALUE"""),"Sabun batang 1 Box ( 2 PCS )")</f>
        <v>Sabun batang 1 Box ( 2 PCS )</v>
      </c>
      <c r="H424" s="463" t="str">
        <f>IFERROR(__xludf.DUMMYFUNCTION("""COMPUTED_VALUE"""),"Sampai")</f>
        <v>Sampai</v>
      </c>
      <c r="I424" s="464" t="str">
        <f>IFERROR(__xludf.DUMMYFUNCTION("""COMPUTED_VALUE"""),"KIMME")</f>
        <v>KIMME</v>
      </c>
      <c r="J424" s="279" t="str">
        <f>IFERROR(__xludf.DUMMYFUNCTION("""COMPUTED_VALUE"""),"https://www.tiktok.com/@outfitce_/video/7623234517871938836?_r=1&amp;u_code=e0898kg4gbb4c7&amp;region=&amp;mid=7608156113497983765&amp;preview_pb=0&amp;sharer_language=&amp;_d=0&amp;ec_shared_reflux_dynamic_params=%7B%22placeholder_material_id%22%3A%227623234517871938836%22%2C%22pla"&amp;"ceholder_origin_cover%22%3A%22https%253A%252F%252Fp16-common-sign.tiktokcdn.com%252Ftos-alisg-p-0037%252FoQ6TlBGeIDCIJ3gKeIAAIUHLxlLzRNyZ3pejoK~tplv-tiktokx-origin.jpeg%253Fdr%253D14572%2526refresh_token%253D5a04e8e3%2526x-expires%253D1808204400%2526x-sig"&amp;"nature%253DWCtRVwT421uZs6I3rlNPfGnNkkM%25253D%2526t%253D4d5b0474%2526ps%253D13740610%2526shp%253Dd05b14bd%2526shcp%253D34ff8df6%2526idc%253Dmy3%2526s%253DTIKTOK_AFFILIATE_VIRAL_VIDEO%22%2C%22placeholder_product_id%22%3A%221729427766722726591%22%2C%22place"&amp;"holder_video_id%22%3A%227623234517871938836%22%7D&amp;ec_shared_reflux_scene=shop_tab_feed&amp;share_item_id=7623234517871938836&amp;source=h5_t")</f>
        <v>https://www.tiktok.com/@outfitce_/video/7623234517871938836?_r=1&amp;u_code=e0898kg4gbb4c7&amp;region=&amp;mid=7608156113497983765&amp;preview_pb=0&amp;sharer_language=&amp;_d=0&amp;ec_shared_reflux_dynamic_params=%7B%22placeholder_material_id%22%3A%227623234517871938836%22%2C%22placeholder_origin_cover%22%3A%22https%253A%252F%252Fp16-common-sign.tiktokcdn.com%252Ftos-alisg-p-0037%252FoQ6TlBGeIDCIJ3gKeIAAIUHLxlLzRNyZ3pejoK~tplv-tiktokx-origin.jpeg%253Fdr%253D14572%2526refresh_token%253D5a04e8e3%2526x-expires%253D1808204400%2526x-signature%253DWCtRVwT421uZs6I3rlNPfGnNkkM%25253D%2526t%253D4d5b0474%2526ps%253D13740610%2526shp%253Dd05b14bd%2526shcp%253D34ff8df6%2526idc%253Dmy3%2526s%253DTIKTOK_AFFILIATE_VIRAL_VIDEO%22%2C%22placeholder_product_id%22%3A%221729427766722726591%22%2C%22placeholder_video_id%22%3A%227623234517871938836%22%7D&amp;ec_shared_reflux_scene=shop_tab_feed&amp;share_item_id=7623234517871938836&amp;source=h5_t</v>
      </c>
      <c r="K424" s="464" t="str">
        <f>IFERROR(__xludf.DUMMYFUNCTION("""COMPUTED_VALUE"""),"KIMME")</f>
        <v>KIMME</v>
      </c>
      <c r="L424" s="279" t="str">
        <f>IFERROR(__xludf.DUMMYFUNCTION("""COMPUTED_VALUE"""),"https://www.tiktok.com/@outfitce_/video/7623386361349066005?_r=1&amp;u_code=e0898kg4gbb4c7&amp;region=&amp;mid=7608156113497983765&amp;preview_pb=0&amp;sharer_language=&amp;_d=0&amp;ec_shared_reflux_dynamic_params=%7B%22placeholder_material_id%22%3A%227623386361349066005%22%2C%22pla"&amp;"ceholder_origin_cover%22%3A%22https%253A%252F%252Fp16-common-sign.tiktokcdn.com%252Ftos-alisg-p-0037%252Fo0QLQGBJRtUyAvDprFfwfLPpgVsEME9gU97YBc~tplv-tiktokx-origin.jpeg%253Fdr%253D14572%2526refresh_token%253Dfa575661%2526x-expires%253D1808204400%2526x-sig"&amp;"nature%253D74gt%25252BOzddwldEGoEKWtHl%25252FEk61I%25253D%2526t%253D4d5b0474%2526ps%253D13740610%2526shp%253Dd05b14bd%2526shcp%253D34ff8df6%2526idc%253Dmy3%2526s%253DTIKTOK_AFFILIATE_VIRAL_VIDEO%22%2C%22placeholder_product_id%22%3A%221729427766722726591%2"&amp;"2%2C%22placeholder_video_id%22%3A%227623386361349066005%22%7D&amp;ec_shared_reflux_scene=shop_tab_feed&amp;share_item_id=7623386361349066005&amp;source=h5_t")</f>
        <v>https://www.tiktok.com/@outfitce_/video/7623386361349066005?_r=1&amp;u_code=e0898kg4gbb4c7&amp;region=&amp;mid=7608156113497983765&amp;preview_pb=0&amp;sharer_language=&amp;_d=0&amp;ec_shared_reflux_dynamic_params=%7B%22placeholder_material_id%22%3A%227623386361349066005%22%2C%22placeholder_origin_cover%22%3A%22https%253A%252F%252Fp16-common-sign.tiktokcdn.com%252Ftos-alisg-p-0037%252Fo0QLQGBJRtUyAvDprFfwfLPpgVsEME9gU97YBc~tplv-tiktokx-origin.jpeg%253Fdr%253D14572%2526refresh_token%253Dfa575661%2526x-expires%253D1808204400%2526x-signature%253D74gt%25252BOzddwldEGoEKWtHl%25252FEk61I%25253D%2526t%253D4d5b0474%2526ps%253D13740610%2526shp%253Dd05b14bd%2526shcp%253D34ff8df6%2526idc%253Dmy3%2526s%253DTIKTOK_AFFILIATE_VIRAL_VIDEO%22%2C%22placeholder_product_id%22%3A%221729427766722726591%22%2C%22placeholder_video_id%22%3A%227623386361349066005%22%7D&amp;ec_shared_reflux_scene=shop_tab_feed&amp;share_item_id=7623386361349066005&amp;source=h5_t</v>
      </c>
      <c r="M424" s="464" t="str">
        <f>IFERROR(__xludf.DUMMYFUNCTION("""COMPUTED_VALUE"""),"KIMME")</f>
        <v>KIMME</v>
      </c>
      <c r="N424" s="279" t="str">
        <f>IFERROR(__xludf.DUMMYFUNCTION("""COMPUTED_VALUE"""),"https://www.tiktok.com/@outfitce_/video/7623582986763504917?_d=0&amp;_r=1&amp;ec_shared_reflux_dynamic_params=%7B%22placeholder_material_id%22%3A%227623582986763504917%22%2C%22placeholder_origin_cover%22%3A%22https%253A%252F%252Fp19-common-sign.tiktokcdn.com%252F"&amp;"tos-alisg-p-0037%252FogAvDIGT4QPDFjSQByM8CXamfM1A2NQH0tUfeA~tplv-tiktokx-origin.jpeg%253Fdr%253D14572%2526refresh_token%253D4728a8a3%2526x-expires%253D1808204400%2526x-signature%253DU2NYy1VpNDSwPPtng6E1QmcMgF0%25253D%2526t%253D4d5b0474%2526ps%253D13740610"&amp;"%2526shp%253Dd05b14bd%2526shcp%253D34ff8df6%2526idc%253Dmy3%2526s%253DTIKTOK_AFFILIATE_VIRAL_VIDEO%22%2C%22placeholder_product_id%22%3A%221729427766722726591%22%2C%22placeholder_video_id%22%3A%227623582986763504917%22%7D&amp;ec_shared_reflux_scene=shop_tab_fe"&amp;"ed&amp;mid=7608156113497983765&amp;preview_pb=0&amp;region=&amp;share_item_id=7623582986763504917&amp;sharer_language=&amp;source=h5_t&amp;u_code=e0898kg4gbb4c7")</f>
        <v>https://www.tiktok.com/@outfitce_/video/7623582986763504917?_d=0&amp;_r=1&amp;ec_shared_reflux_dynamic_params=%7B%22placeholder_material_id%22%3A%227623582986763504917%22%2C%22placeholder_origin_cover%22%3A%22https%253A%252F%252Fp19-common-sign.tiktokcdn.com%252Ftos-alisg-p-0037%252FogAvDIGT4QPDFjSQByM8CXamfM1A2NQH0tUfeA~tplv-tiktokx-origin.jpeg%253Fdr%253D14572%2526refresh_token%253D4728a8a3%2526x-expires%253D1808204400%2526x-signature%253DU2NYy1VpNDSwPPtng6E1QmcMgF0%25253D%2526t%253D4d5b0474%2526ps%253D13740610%2526shp%253Dd05b14bd%2526shcp%253D34ff8df6%2526idc%253Dmy3%2526s%253DTIKTOK_AFFILIATE_VIRAL_VIDEO%22%2C%22placeholder_product_id%22%3A%221729427766722726591%22%2C%22placeholder_video_id%22%3A%227623582986763504917%22%7D&amp;ec_shared_reflux_scene=shop_tab_feed&amp;mid=7608156113497983765&amp;preview_pb=0&amp;region=&amp;share_item_id=7623582986763504917&amp;sharer_language=&amp;source=h5_t&amp;u_code=e0898kg4gbb4c7</v>
      </c>
      <c r="O424" s="464" t="str">
        <f>IFERROR(__xludf.DUMMYFUNCTION("""COMPUTED_VALUE"""),"KIMME")</f>
        <v>KIMME</v>
      </c>
      <c r="P424" s="279" t="str">
        <f>IFERROR(__xludf.DUMMYFUNCTION("""COMPUTED_VALUE"""),"https://www.tiktok.com/@outfitce_/video/7623613966895336724?_d=0&amp;_r=1&amp;ec_shared_reflux_dynamic_params=%7B%22placeholder_material_id%22%3A%227623613966895336724%22%2C%22placeholder_origin_cover%22%3A%22https%253A%252F%252Fp16-common-sign.tiktokcdn.com%252F"&amp;"tos-alisg-p-0037%252FoYIMRp4YzzzEEhMlBAIGf5SfBiygGFIDBTcBNI~tplv-tiktokx-origin.jpeg%253Fdr%253D14572%2526refresh_token%253D49c19529%2526x-expires%253D1808204400%2526x-signature%253DEH%25252FFmgiv0iaxloGwwvarUXqycYA%25253D%2526t%253D4d5b0474%2526ps%253D13"&amp;"740610%2526shp%253Dd05b14bd%2526shcp%253D34ff8df6%2526idc%253Dmy3%2526s%253DTIKTOK_AFFILIATE_VIRAL_VIDEO%22%2C%22placeholder_product_id%22%3A%221729427766722726591%22%2C%22placeholder_video_id%22%3A%227623613966895336724%22%7D&amp;ec_shared_reflux_scene=shop_"&amp;"tab_feed&amp;mid=7588095810769668882&amp;preview_pb=0&amp;region=&amp;share_item_id=7623613966895336724&amp;sharer_language=&amp;source=h5_t&amp;u_code=e0898kg4gbb4c7")</f>
        <v>https://www.tiktok.com/@outfitce_/video/7623613966895336724?_d=0&amp;_r=1&amp;ec_shared_reflux_dynamic_params=%7B%22placeholder_material_id%22%3A%227623613966895336724%22%2C%22placeholder_origin_cover%22%3A%22https%253A%252F%252Fp16-common-sign.tiktokcdn.com%252Ftos-alisg-p-0037%252FoYIMRp4YzzzEEhMlBAIGf5SfBiygGFIDBTcBNI~tplv-tiktokx-origin.jpeg%253Fdr%253D14572%2526refresh_token%253D49c19529%2526x-expires%253D1808204400%2526x-signature%253DEH%25252FFmgiv0iaxloGwwvarUXqycYA%25253D%2526t%253D4d5b0474%2526ps%253D13740610%2526shp%253Dd05b14bd%2526shcp%253D34ff8df6%2526idc%253Dmy3%2526s%253DTIKTOK_AFFILIATE_VIRAL_VIDEO%22%2C%22placeholder_product_id%22%3A%221729427766722726591%22%2C%22placeholder_video_id%22%3A%227623613966895336724%22%7D&amp;ec_shared_reflux_scene=shop_tab_feed&amp;mid=7588095810769668882&amp;preview_pb=0&amp;region=&amp;share_item_id=7623613966895336724&amp;sharer_language=&amp;source=h5_t&amp;u_code=e0898kg4gbb4c7</v>
      </c>
    </row>
    <row r="425">
      <c r="A425" s="255" t="str">
        <f>IFERROR(__xludf.DUMMYFUNCTION("""COMPUTED_VALUE"""),"MICRO")</f>
        <v>MICRO</v>
      </c>
      <c r="B425" s="361" t="str">
        <f>IFERROR(__xludf.DUMMYFUNCTION("""COMPUTED_VALUE"""),"endah_wulandhari
")</f>
        <v>endah_wulandhari
</v>
      </c>
      <c r="C425" s="257" t="str">
        <f>IFERROR(__xludf.DUMMYFUNCTION("""COMPUTED_VALUE"""),"https://www.tiktok.com/@endah_wulandhari
")</f>
        <v>https://www.tiktok.com/@endah_wulandhari
</v>
      </c>
      <c r="D425" s="270">
        <f>IFERROR(__xludf.DUMMYFUNCTION("""COMPUTED_VALUE"""),8.5156484208E10)</f>
        <v>85156484208</v>
      </c>
      <c r="E425" s="457">
        <f>IFERROR(__xludf.DUMMYFUNCTION("""COMPUTED_VALUE"""),0.0)</f>
        <v>0</v>
      </c>
      <c r="F425" s="270">
        <f>IFERROR(__xludf.DUMMYFUNCTION("""COMPUTED_VALUE"""),4.0)</f>
        <v>4</v>
      </c>
      <c r="G425" s="17" t="str">
        <f>IFERROR(__xludf.DUMMYFUNCTION("""COMPUTED_VALUE"""),"Sabun batang 1 Box ( 2 PCS )")</f>
        <v>Sabun batang 1 Box ( 2 PCS )</v>
      </c>
      <c r="H425" s="463" t="str">
        <f>IFERROR(__xludf.DUMMYFUNCTION("""COMPUTED_VALUE"""),"Sampai")</f>
        <v>Sampai</v>
      </c>
      <c r="I425" s="464" t="str">
        <f>IFERROR(__xludf.DUMMYFUNCTION("""COMPUTED_VALUE"""),"KIMME")</f>
        <v>KIMME</v>
      </c>
      <c r="J425" s="279" t="str">
        <f>IFERROR(__xludf.DUMMYFUNCTION("""COMPUTED_VALUE"""),"https://www.tiktok.com/@outfitce_/video/7621923426730593556?_r=1&amp;u_code=e0898kg4gbb4c7&amp;region=&amp;mid=7608156113497983765&amp;preview_pb=0&amp;sharer_language=&amp;_d=0&amp;ec_shared_reflux_dynamic_params=%7B%22placeholder_material_id%22%3A%227621923426730593556%22%2C%22pla"&amp;"ceholder_origin_cover%22%3A%22https%253A%252F%252Fp16-common-sign.tiktokcdn.com%252Ftos-alisg-p-0037%252FosFKwZOpxAVeBhRBE0FojRgBUTGfIgt1E2MgID~tplv-tiktokx-origin.jpeg%253Fdr%253D14572%2526refresh_token%253Dfa173af7%2526x-expires%253D1808204400%2526x-sig"&amp;"nature%253DcRLCnoV3WN9va6eRqfiTdM%25252BDmNk%25253D%2526t%253D4d5b0474%2526ps%253D13740610%2526shp%253Dd05b14bd%2526shcp%253D34ff8df6%2526idc%253Dmy3%2526s%253DTIKTOK_AFFILIATE_VIRAL_VIDEO%22%2C%22placeholder_product_id%22%3A%221729427766722726591%22%2C%2"&amp;"2placeholder_video_id%22%3A%227621923426730593556%22%7D&amp;ec_shared_reflux_scene=shop_tab_feed&amp;share_item_id=7621923426730593556&amp;source=h5_t")</f>
        <v>https://www.tiktok.com/@outfitce_/video/7621923426730593556?_r=1&amp;u_code=e0898kg4gbb4c7&amp;region=&amp;mid=7608156113497983765&amp;preview_pb=0&amp;sharer_language=&amp;_d=0&amp;ec_shared_reflux_dynamic_params=%7B%22placeholder_material_id%22%3A%227621923426730593556%22%2C%22placeholder_origin_cover%22%3A%22https%253A%252F%252Fp16-common-sign.tiktokcdn.com%252Ftos-alisg-p-0037%252FosFKwZOpxAVeBhRBE0FojRgBUTGfIgt1E2MgID~tplv-tiktokx-origin.jpeg%253Fdr%253D14572%2526refresh_token%253Dfa173af7%2526x-expires%253D1808204400%2526x-signature%253DcRLCnoV3WN9va6eRqfiTdM%25252BDmNk%25253D%2526t%253D4d5b0474%2526ps%253D13740610%2526shp%253Dd05b14bd%2526shcp%253D34ff8df6%2526idc%253Dmy3%2526s%253DTIKTOK_AFFILIATE_VIRAL_VIDEO%22%2C%22placeholder_product_id%22%3A%221729427766722726591%22%2C%22placeholder_video_id%22%3A%227621923426730593556%22%7D&amp;ec_shared_reflux_scene=shop_tab_feed&amp;share_item_id=7621923426730593556&amp;source=h5_t</v>
      </c>
      <c r="K425" s="464" t="str">
        <f>IFERROR(__xludf.DUMMYFUNCTION("""COMPUTED_VALUE"""),"KIMME")</f>
        <v>KIMME</v>
      </c>
      <c r="L425" s="279" t="str">
        <f>IFERROR(__xludf.DUMMYFUNCTION("""COMPUTED_VALUE"""),"https://www.tiktok.com/@outfitce_/video/7622888531995675924?_r=1&amp;u_code=e0898kg4gbb4c7&amp;region=&amp;mid=7608156113497983765&amp;preview_pb=0&amp;sharer_language=&amp;_d=0&amp;ec_shared_reflux_dynamic_params=%7B%22placeholder_material_id%22%3A%227622888531995675924%22%2C%22pla"&amp;"ceholder_origin_cover%22%3A%22https%253A%252F%252Fp16-common-sign.tiktokcdn.com%252Ftos-alisg-p-0037%252FoYTkOjw4QZfKC2bIQx9TrDAfCjFZyofjvAQDCE~tplv-tiktokx-origin.jpeg%253Fdr%253D14572%2526refresh_token%253De60cff6a%2526x-expires%253D1808204400%2526x-sig"&amp;"nature%253DRQ9lQ7yoc1Ad5oGvDhQAstwhYak%25253D%2526t%253D4d5b0474%2526ps%253D13740610%2526shp%253Dd05b14bd%2526shcp%253D34ff8df6%2526idc%253Dmy3%2526s%253DTIKTOK_AFFILIATE_VIRAL_VIDEO%22%2C%22placeholder_product_id%22%3A%221729427766722726591%22%2C%22place"&amp;"holder_video_id%22%3A%227622888531995675924%22%7D&amp;ec_shared_reflux_scene=shop_tab_feed&amp;share_item_id=7622888531995675924&amp;source=h5_t")</f>
        <v>https://www.tiktok.com/@outfitce_/video/7622888531995675924?_r=1&amp;u_code=e0898kg4gbb4c7&amp;region=&amp;mid=7608156113497983765&amp;preview_pb=0&amp;sharer_language=&amp;_d=0&amp;ec_shared_reflux_dynamic_params=%7B%22placeholder_material_id%22%3A%227622888531995675924%22%2C%22placeholder_origin_cover%22%3A%22https%253A%252F%252Fp16-common-sign.tiktokcdn.com%252Ftos-alisg-p-0037%252FoYTkOjw4QZfKC2bIQx9TrDAfCjFZyofjvAQDCE~tplv-tiktokx-origin.jpeg%253Fdr%253D14572%2526refresh_token%253De60cff6a%2526x-expires%253D1808204400%2526x-signature%253DRQ9lQ7yoc1Ad5oGvDhQAstwhYak%25253D%2526t%253D4d5b0474%2526ps%253D13740610%2526shp%253Dd05b14bd%2526shcp%253D34ff8df6%2526idc%253Dmy3%2526s%253DTIKTOK_AFFILIATE_VIRAL_VIDEO%22%2C%22placeholder_product_id%22%3A%221729427766722726591%22%2C%22placeholder_video_id%22%3A%227622888531995675924%22%7D&amp;ec_shared_reflux_scene=shop_tab_feed&amp;share_item_id=7622888531995675924&amp;source=h5_t</v>
      </c>
      <c r="M425" s="464" t="str">
        <f>IFERROR(__xludf.DUMMYFUNCTION("""COMPUTED_VALUE"""),"KIMME")</f>
        <v>KIMME</v>
      </c>
      <c r="N425" s="279" t="str">
        <f>IFERROR(__xludf.DUMMYFUNCTION("""COMPUTED_VALUE"""),"https://www.tiktok.com/@outfitce_/video/7622946190480428308?_r=1&amp;u_code=e0898kg4gbb4c7&amp;region=&amp;mid=7608156113497983765&amp;preview_pb=0&amp;sharer_language=&amp;_d=0&amp;ec_shared_reflux_dynamic_params=%7B%22placeholder_material_id%22%3A%227622946190480428308%22%2C%22pla"&amp;"ceholder_origin_cover%22%3A%22https%253A%252F%252Fp16-common-sign.tiktokcdn.com%252Ftos-alisg-p-0037%252FoYD1iIm5wK2IAIwT0zIvauiuCBAKqRfJA0AgBo~tplv-tiktokx-origin.jpeg%253Fdr%253D14572%2526refresh_token%253D09f5158f%2526x-expires%253D1808204400%2526x-sig"&amp;"nature%253DOyomtaCQyZVkJV2cUO%25252F%25252FpPQixWI%25253D%2526t%253D4d5b0474%2526ps%253D13740610%2526shp%253Dd05b14bd%2526shcp%253D34ff8df6%2526idc%253Dmy3%2526s%253DTIKTOK_AFFILIATE_VIRAL_VIDEO%22%2C%22placeholder_product_id%22%3A%221729427766722726591%2"&amp;"2%2C%22placeholder_video_id%22%3A%227622946190480428308%22%7D&amp;ec_shared_reflux_scene=shop_tab_feed&amp;share_item_id=7622946190480428308&amp;source=h5_t")</f>
        <v>https://www.tiktok.com/@outfitce_/video/7622946190480428308?_r=1&amp;u_code=e0898kg4gbb4c7&amp;region=&amp;mid=7608156113497983765&amp;preview_pb=0&amp;sharer_language=&amp;_d=0&amp;ec_shared_reflux_dynamic_params=%7B%22placeholder_material_id%22%3A%227622946190480428308%22%2C%22placeholder_origin_cover%22%3A%22https%253A%252F%252Fp16-common-sign.tiktokcdn.com%252Ftos-alisg-p-0037%252FoYD1iIm5wK2IAIwT0zIvauiuCBAKqRfJA0AgBo~tplv-tiktokx-origin.jpeg%253Fdr%253D14572%2526refresh_token%253D09f5158f%2526x-expires%253D1808204400%2526x-signature%253DOyomtaCQyZVkJV2cUO%25252F%25252FpPQixWI%25253D%2526t%253D4d5b0474%2526ps%253D13740610%2526shp%253Dd05b14bd%2526shcp%253D34ff8df6%2526idc%253Dmy3%2526s%253DTIKTOK_AFFILIATE_VIRAL_VIDEO%22%2C%22placeholder_product_id%22%3A%221729427766722726591%22%2C%22placeholder_video_id%22%3A%227622946190480428308%22%7D&amp;ec_shared_reflux_scene=shop_tab_feed&amp;share_item_id=7622946190480428308&amp;source=h5_t</v>
      </c>
      <c r="O425" s="464" t="str">
        <f>IFERROR(__xludf.DUMMYFUNCTION("""COMPUTED_VALUE"""),"KIMME")</f>
        <v>KIMME</v>
      </c>
      <c r="P425" s="279" t="str">
        <f>IFERROR(__xludf.DUMMYFUNCTION("""COMPUTED_VALUE"""),"https://www.tiktok.com/@outfitce_/video/7623042801193848084?_r=1&amp;u_code=e0898kg4gbb4c7&amp;region=&amp;mid=7608156113497983765&amp;preview_pb=0&amp;sharer_language=&amp;_d=0&amp;ec_shared_reflux_dynamic_params=%7B%22placeholder_material_id%22%3A%227623042801193848084%22%2C%22pla"&amp;"ceholder_origin_cover%22%3A%22https%253A%252F%252Fp16-common-sign.tiktokcdn.com%252Ftos-alisg-p-0037%252FosABDR0UOUpQfB0HmGDnwQEoUyfRExFgBG1EwU~tplv-tiktokx-origin.jpeg%253Fdr%253D14572%2526refresh_token%253D40a7cc67%2526x-expires%253D1808204400%2526x-sig"&amp;"nature%253DI9UO%25252BkrDJyBQFL%25252Fmh9aeqTEqFX8%25253D%2526t%253D4d5b0474%2526ps%253D13740610%2526shp%253Dd05b14bd%2526shcp%253D34ff8df6%2526idc%253Dmy3%2526s%253DTIKTOK_AFFILIATE_VIRAL_VIDEO%22%2C%22placeholder_product_id%22%3A%221729427766722726591%2"&amp;"2%2C%22placeholder_video_id%22%3A%227623042801193848084%22%7D&amp;ec_shared_reflux_scene=shop_tab_feed&amp;share_item_id=7623042801193848084&amp;source=h5_t")</f>
        <v>https://www.tiktok.com/@outfitce_/video/7623042801193848084?_r=1&amp;u_code=e0898kg4gbb4c7&amp;region=&amp;mid=7608156113497983765&amp;preview_pb=0&amp;sharer_language=&amp;_d=0&amp;ec_shared_reflux_dynamic_params=%7B%22placeholder_material_id%22%3A%227623042801193848084%22%2C%22placeholder_origin_cover%22%3A%22https%253A%252F%252Fp16-common-sign.tiktokcdn.com%252Ftos-alisg-p-0037%252FosABDR0UOUpQfB0HmGDnwQEoUyfRExFgBG1EwU~tplv-tiktokx-origin.jpeg%253Fdr%253D14572%2526refresh_token%253D40a7cc67%2526x-expires%253D1808204400%2526x-signature%253DI9UO%25252BkrDJyBQFL%25252Fmh9aeqTEqFX8%25253D%2526t%253D4d5b0474%2526ps%253D13740610%2526shp%253Dd05b14bd%2526shcp%253D34ff8df6%2526idc%253Dmy3%2526s%253DTIKTOK_AFFILIATE_VIRAL_VIDEO%22%2C%22placeholder_product_id%22%3A%221729427766722726591%22%2C%22placeholder_video_id%22%3A%227623042801193848084%22%7D&amp;ec_shared_reflux_scene=shop_tab_feed&amp;share_item_id=7623042801193848084&amp;source=h5_t</v>
      </c>
    </row>
    <row r="426">
      <c r="A426" s="255" t="str">
        <f>IFERROR(__xludf.DUMMYFUNCTION("""COMPUTED_VALUE"""),"MICRO")</f>
        <v>MICRO</v>
      </c>
      <c r="B426" s="361" t="str">
        <f>IFERROR(__xludf.DUMMYFUNCTION("""COMPUTED_VALUE"""),"noiamig
")</f>
        <v>noiamig
</v>
      </c>
      <c r="C426" s="257" t="str">
        <f>IFERROR(__xludf.DUMMYFUNCTION("""COMPUTED_VALUE"""),"https://www.tiktok.com/@noiamig
")</f>
        <v>https://www.tiktok.com/@noiamig
</v>
      </c>
      <c r="D426" s="270">
        <f>IFERROR(__xludf.DUMMYFUNCTION("""COMPUTED_VALUE"""),8.5121021614E10)</f>
        <v>85121021614</v>
      </c>
      <c r="E426" s="457">
        <f>IFERROR(__xludf.DUMMYFUNCTION("""COMPUTED_VALUE"""),0.0)</f>
        <v>0</v>
      </c>
      <c r="F426" s="270">
        <f>IFERROR(__xludf.DUMMYFUNCTION("""COMPUTED_VALUE"""),4.0)</f>
        <v>4</v>
      </c>
      <c r="G426" s="17" t="str">
        <f>IFERROR(__xludf.DUMMYFUNCTION("""COMPUTED_VALUE"""),"Sabun batang 1 Box ( 2 PCS )")</f>
        <v>Sabun batang 1 Box ( 2 PCS )</v>
      </c>
      <c r="H426" s="463" t="str">
        <f>IFERROR(__xludf.DUMMYFUNCTION("""COMPUTED_VALUE"""),"Sampai")</f>
        <v>Sampai</v>
      </c>
      <c r="I426" s="464" t="str">
        <f>IFERROR(__xludf.DUMMYFUNCTION("""COMPUTED_VALUE"""),"KIMME")</f>
        <v>KIMME</v>
      </c>
      <c r="J426" s="279" t="str">
        <f>IFERROR(__xludf.DUMMYFUNCTION("""COMPUTED_VALUE"""),"https://www.tiktok.com/@outfitce_/video/7621065743576091924?_r=1&amp;u_code=e0898kg4gbb4c7&amp;region=&amp;mid=7608156113497983765&amp;preview_pb=0&amp;sharer_language=&amp;_d=0&amp;ec_shared_reflux_dynamic_params=%7B%22placeholder_material_id%22%3A%227621065743576091924%22%2C%22pla"&amp;"ceholder_origin_cover%22%3A%22https%253A%252F%252Fp16-sign-sg.tiktokcdn.com%252Ftos-alisg-p-0037%252FoskIZcLhlgGxxCDA2E3Ae3IOTNghjeZD48eu2C~tplv-tiktokx-origin.jpeg%253Fdr%253D14572%2526refresh_token%253Daf525b3c%2526x-expires%253D1808204400%2526x-signatu"&amp;"re%253DgXavmln8eT8Ho4towRpY5qZb9L8%25253D%2526t%253D4d5b0474%2526ps%253D13740610%2526shp%253Dd05b14bd%2526shcp%253D34ff8df6%2526idc%253Dmy3%2526s%253DTIKTOK_AFFILIATE_VIRAL_VIDEO%22%2C%22placeholder_product_id%22%3A%221729427766722726591%22%2C%22placehold"&amp;"er_video_id%22%3A%227621065743576091924%22%7D&amp;ec_shared_reflux_scene=shop_tab_feed&amp;share_item_id=7621065743576091924&amp;source=h5_t")</f>
        <v>https://www.tiktok.com/@outfitce_/video/7621065743576091924?_r=1&amp;u_code=e0898kg4gbb4c7&amp;region=&amp;mid=7608156113497983765&amp;preview_pb=0&amp;sharer_language=&amp;_d=0&amp;ec_shared_reflux_dynamic_params=%7B%22placeholder_material_id%22%3A%227621065743576091924%22%2C%22placeholder_origin_cover%22%3A%22https%253A%252F%252Fp16-sign-sg.tiktokcdn.com%252Ftos-alisg-p-0037%252FoskIZcLhlgGxxCDA2E3Ae3IOTNghjeZD48eu2C~tplv-tiktokx-origin.jpeg%253Fdr%253D14572%2526refresh_token%253Daf525b3c%2526x-expires%253D1808204400%2526x-signature%253DgXavmln8eT8Ho4towRpY5qZb9L8%25253D%2526t%253D4d5b0474%2526ps%253D13740610%2526shp%253Dd05b14bd%2526shcp%253D34ff8df6%2526idc%253Dmy3%2526s%253DTIKTOK_AFFILIATE_VIRAL_VIDEO%22%2C%22placeholder_product_id%22%3A%221729427766722726591%22%2C%22placeholder_video_id%22%3A%227621065743576091924%22%7D&amp;ec_shared_reflux_scene=shop_tab_feed&amp;share_item_id=7621065743576091924&amp;source=h5_t</v>
      </c>
      <c r="K426" s="464" t="str">
        <f>IFERROR(__xludf.DUMMYFUNCTION("""COMPUTED_VALUE"""),"KIMME")</f>
        <v>KIMME</v>
      </c>
      <c r="L426" s="279" t="str">
        <f>IFERROR(__xludf.DUMMYFUNCTION("""COMPUTED_VALUE"""),"https://www.tiktok.com/@outfitce_/video/7621378061828754709?_r=1&amp;u_code=e0898kg4gbb4c7&amp;region=&amp;mid=7608156113497983765&amp;preview_pb=0&amp;sharer_language=&amp;_d=0&amp;ec_shared_reflux_dynamic_params=%7B%22placeholder_material_id%22%3A%227621378061828754709%22%2C%22pla"&amp;"ceholder_origin_cover%22%3A%22https%253A%252F%252Fp16-sign-sg.tiktokcdn.com%252Ftos-alisg-p-0037%252FosviaBAYB2iJBS7EZKEIIT41ANFokySpw9cVP~tplv-tiktokx-origin.jpeg%253Fdr%253D14572%2526refresh_token%253Dd229a722%2526x-expires%253D1808204400%2526x-signatur"&amp;"e%253DYvaXtyLoCcnbFMJakvrZq2zJHLo%25253D%2526t%253D4d5b0474%2526ps%253D13740610%2526shp%253Dd05b14bd%2526shcp%253D34ff8df6%2526idc%253Dmy3%2526s%253DTIKTOK_AFFILIATE_VIRAL_VIDEO%22%2C%22placeholder_product_id%22%3A%221729427766722726591%22%2C%22placeholde"&amp;"r_video_id%22%3A%227621378061828754709%22%7D&amp;ec_shared_reflux_scene=shop_tab_feed&amp;share_item_id=7621378061828754709&amp;source=h5_t")</f>
        <v>https://www.tiktok.com/@outfitce_/video/7621378061828754709?_r=1&amp;u_code=e0898kg4gbb4c7&amp;region=&amp;mid=7608156113497983765&amp;preview_pb=0&amp;sharer_language=&amp;_d=0&amp;ec_shared_reflux_dynamic_params=%7B%22placeholder_material_id%22%3A%227621378061828754709%22%2C%22placeholder_origin_cover%22%3A%22https%253A%252F%252Fp16-sign-sg.tiktokcdn.com%252Ftos-alisg-p-0037%252FosviaBAYB2iJBS7EZKEIIT41ANFokySpw9cVP~tplv-tiktokx-origin.jpeg%253Fdr%253D14572%2526refresh_token%253Dd229a722%2526x-expires%253D1808204400%2526x-signature%253DYvaXtyLoCcnbFMJakvrZq2zJHLo%25253D%2526t%253D4d5b0474%2526ps%253D13740610%2526shp%253Dd05b14bd%2526shcp%253D34ff8df6%2526idc%253Dmy3%2526s%253DTIKTOK_AFFILIATE_VIRAL_VIDEO%22%2C%22placeholder_product_id%22%3A%221729427766722726591%22%2C%22placeholder_video_id%22%3A%227621378061828754709%22%7D&amp;ec_shared_reflux_scene=shop_tab_feed&amp;share_item_id=7621378061828754709&amp;source=h5_t</v>
      </c>
      <c r="M426" s="464" t="str">
        <f>IFERROR(__xludf.DUMMYFUNCTION("""COMPUTED_VALUE"""),"KIMME")</f>
        <v>KIMME</v>
      </c>
      <c r="N426" s="279" t="str">
        <f>IFERROR(__xludf.DUMMYFUNCTION("""COMPUTED_VALUE"""),"https://www.tiktok.com/@outfitce_/video/7621497388913511701?_r=1&amp;u_code=e0898kg4gbb4c7&amp;region=&amp;mid=7608156113497983765&amp;preview_pb=0&amp;sharer_language=&amp;_d=0&amp;ec_shared_reflux_dynamic_params=%7B%22placeholder_material_id%22%3A%227621497388913511701%22%2C%22pla"&amp;"ceholder_origin_cover%22%3A%22https%253A%252F%252Fp16-sign-sg.tiktokcdn.com%252Ftos-alisg-p-0037%252FoYnegJuRAMQzbACoUfZF8W4P7GQIngfuGfENcG~tplv-tiktokx-origin.jpeg%253Fdr%253D14572%2526refresh_token%253Df156d112%2526x-expires%253D1808204400%2526x-signatu"&amp;"re%253DejD5NfZLbqm3st8kqgj7O9tFBTY%25253D%2526t%253D4d5b0474%2526ps%253D13740610%2526shp%253Dd05b14bd%2526shcp%253D34ff8df6%2526idc%253Dmy3%2526s%253DTIKTOK_AFFILIATE_VIRAL_VIDEO%22%2C%22placeholder_product_id%22%3A%221729427766722726591%22%2C%22placehold"&amp;"er_video_id%22%3A%227621497388913511701%22%7D&amp;ec_shared_reflux_scene=shop_tab_feed&amp;share_item_id=7621497388913511701&amp;source=h5_t")</f>
        <v>https://www.tiktok.com/@outfitce_/video/7621497388913511701?_r=1&amp;u_code=e0898kg4gbb4c7&amp;region=&amp;mid=7608156113497983765&amp;preview_pb=0&amp;sharer_language=&amp;_d=0&amp;ec_shared_reflux_dynamic_params=%7B%22placeholder_material_id%22%3A%227621497388913511701%22%2C%22placeholder_origin_cover%22%3A%22https%253A%252F%252Fp16-sign-sg.tiktokcdn.com%252Ftos-alisg-p-0037%252FoYnegJuRAMQzbACoUfZF8W4P7GQIngfuGfENcG~tplv-tiktokx-origin.jpeg%253Fdr%253D14572%2526refresh_token%253Df156d112%2526x-expires%253D1808204400%2526x-signature%253DejD5NfZLbqm3st8kqgj7O9tFBTY%25253D%2526t%253D4d5b0474%2526ps%253D13740610%2526shp%253Dd05b14bd%2526shcp%253D34ff8df6%2526idc%253Dmy3%2526s%253DTIKTOK_AFFILIATE_VIRAL_VIDEO%22%2C%22placeholder_product_id%22%3A%221729427766722726591%22%2C%22placeholder_video_id%22%3A%227621497388913511701%22%7D&amp;ec_shared_reflux_scene=shop_tab_feed&amp;share_item_id=7621497388913511701&amp;source=h5_t</v>
      </c>
      <c r="O426" s="464" t="str">
        <f>IFERROR(__xludf.DUMMYFUNCTION("""COMPUTED_VALUE"""),"KIMME")</f>
        <v>KIMME</v>
      </c>
      <c r="P426" s="279" t="str">
        <f>IFERROR(__xludf.DUMMYFUNCTION("""COMPUTED_VALUE"""),"https://www.tiktok.com/@outfitce_/video/7621850978186267925?_r=1&amp;u_code=e0898kg4gbb4c7&amp;region=&amp;mid=7608156113497983765&amp;preview_pb=0&amp;sharer_language=&amp;_d=0&amp;ec_shared_reflux_dynamic_params=%7B%22placeholder_material_id%22%3A%227621850978186267925%22%2C%22pla"&amp;"ceholder_origin_cover%22%3A%22https%253A%252F%252Fp16-sign-sg.tiktokcdn.com%252Ftos-alisg-p-0037%252FoQMYIDALoIMyrjBAHEIjfGIIFeQvGejCoSrTVG~tplv-tiktokx-origin.jpeg%253Fdr%253D14572%2526refresh_token%253D160cfcc6%2526x-expires%253D1808204400%2526x-signatu"&amp;"re%253DUToEyh6RFVYsLBNaKayyw6WdadI%25253D%2526t%253D4d5b0474%2526ps%253D13740610%2526shp%253Dd05b14bd%2526shcp%253D34ff8df6%2526idc%253Dmy3%2526s%253DTIKTOK_AFFILIATE_VIRAL_VIDEO%22%2C%22placeholder_product_id%22%3A%221729427766722726591%22%2C%22placehold"&amp;"er_video_id%22%3A%227621850978186267925%22%7D&amp;ec_shared_reflux_scene=shop_tab_feed&amp;share_item_id=7621850978186267925&amp;source=h5_t")</f>
        <v>https://www.tiktok.com/@outfitce_/video/7621850978186267925?_r=1&amp;u_code=e0898kg4gbb4c7&amp;region=&amp;mid=7608156113497983765&amp;preview_pb=0&amp;sharer_language=&amp;_d=0&amp;ec_shared_reflux_dynamic_params=%7B%22placeholder_material_id%22%3A%227621850978186267925%22%2C%22placeholder_origin_cover%22%3A%22https%253A%252F%252Fp16-sign-sg.tiktokcdn.com%252Ftos-alisg-p-0037%252FoQMYIDALoIMyrjBAHEIjfGIIFeQvGejCoSrTVG~tplv-tiktokx-origin.jpeg%253Fdr%253D14572%2526refresh_token%253D160cfcc6%2526x-expires%253D1808204400%2526x-signature%253DUToEyh6RFVYsLBNaKayyw6WdadI%25253D%2526t%253D4d5b0474%2526ps%253D13740610%2526shp%253Dd05b14bd%2526shcp%253D34ff8df6%2526idc%253Dmy3%2526s%253DTIKTOK_AFFILIATE_VIRAL_VIDEO%22%2C%22placeholder_product_id%22%3A%221729427766722726591%22%2C%22placeholder_video_id%22%3A%227621850978186267925%22%7D&amp;ec_shared_reflux_scene=shop_tab_feed&amp;share_item_id=7621850978186267925&amp;source=h5_t</v>
      </c>
    </row>
    <row r="427">
      <c r="A427" s="255" t="str">
        <f>IFERROR(__xludf.DUMMYFUNCTION("""COMPUTED_VALUE"""),"MICRO")</f>
        <v>MICRO</v>
      </c>
      <c r="B427" s="361" t="str">
        <f>IFERROR(__xludf.DUMMYFUNCTION("""COMPUTED_VALUE"""),"valeluwu
")</f>
        <v>valeluwu
</v>
      </c>
      <c r="C427" s="257" t="str">
        <f>IFERROR(__xludf.DUMMYFUNCTION("""COMPUTED_VALUE"""),"https://www.tiktok.com/@valeluwu
")</f>
        <v>https://www.tiktok.com/@valeluwu
</v>
      </c>
      <c r="D427" s="270">
        <f>IFERROR(__xludf.DUMMYFUNCTION("""COMPUTED_VALUE"""),8.7882643648E10)</f>
        <v>87882643648</v>
      </c>
      <c r="E427" s="457">
        <f>IFERROR(__xludf.DUMMYFUNCTION("""COMPUTED_VALUE"""),0.0)</f>
        <v>0</v>
      </c>
      <c r="F427" s="270">
        <f>IFERROR(__xludf.DUMMYFUNCTION("""COMPUTED_VALUE"""),4.0)</f>
        <v>4</v>
      </c>
      <c r="G427" s="17" t="str">
        <f>IFERROR(__xludf.DUMMYFUNCTION("""COMPUTED_VALUE"""),"Sabun batang 1 Box ( 2 PCS )")</f>
        <v>Sabun batang 1 Box ( 2 PCS )</v>
      </c>
      <c r="H427" s="463" t="str">
        <f>IFERROR(__xludf.DUMMYFUNCTION("""COMPUTED_VALUE"""),"Sampai")</f>
        <v>Sampai</v>
      </c>
      <c r="I427" s="464" t="str">
        <f>IFERROR(__xludf.DUMMYFUNCTION("""COMPUTED_VALUE"""),"KIMME")</f>
        <v>KIMME</v>
      </c>
      <c r="J427" s="279" t="str">
        <f>IFERROR(__xludf.DUMMYFUNCTION("""COMPUTED_VALUE"""),"https://vt.tiktok.com/ZSHEtMG3K/")</f>
        <v>https://vt.tiktok.com/ZSHEtMG3K/</v>
      </c>
      <c r="K427" s="464" t="str">
        <f>IFERROR(__xludf.DUMMYFUNCTION("""COMPUTED_VALUE"""),"KIMME")</f>
        <v>KIMME</v>
      </c>
      <c r="L427" s="279" t="str">
        <f>IFERROR(__xludf.DUMMYFUNCTION("""COMPUTED_VALUE"""),"https://vt.tiktok.com/ZSHEGWyoH/")</f>
        <v>https://vt.tiktok.com/ZSHEGWyoH/</v>
      </c>
      <c r="M427" s="464" t="str">
        <f>IFERROR(__xludf.DUMMYFUNCTION("""COMPUTED_VALUE"""),"KIMME")</f>
        <v>KIMME</v>
      </c>
      <c r="N427" s="279" t="str">
        <f>IFERROR(__xludf.DUMMYFUNCTION("""COMPUTED_VALUE"""),"https://www.tiktok.com/@racunbyyola/video/7630065330802494728?_r=1&amp;u_code=did1gld0iebd1c&amp;region=&amp;mid=7630065375694129936&amp;preview_pb=0&amp;sharer_language=&amp;_d=0&amp;ec_shared_reflux_dynamic_params=%7B%22placeholder_material_id%22%3A%227630065330802494728%22%2C%22p"&amp;"laceholder_origin_cover%22%3A%22https%253A%252F%252Fp16-common-sign.tiktokcdn.com%252Ftos-alisg-p-0037%252FocB8ap2BXheiEaiREMIBAiAUGcgfGQ7jYz4IAB~tplv-tiktokx-origin.jpeg%253Fdr%253D14572%2526refresh_token%253Da5f11e16%2526x-expires%253D1808208000%2526x-s"&amp;"ignature%253DcbJbCq3Fpkn2ir2J%25252Bka2oeqz7WI%25253D%2526t%253D4d5b0474%2526ps%253D13740610%2526shp%253Dd05b14bd%2526shcp%253D34ff8df6%2526idc%253Dmy3%2526s%253DTIKTOK_AFFILIATE_VIRAL_VIDEO%22%2C%22placeholder_product_id%22%3A%221729427766722726591%22%2C"&amp;"%22placeholder_video_id%22%3A%227630065330802494728%22%7D&amp;ec_shared_reflux_scene=shop_tab_feed&amp;share_item_id=7630065330802494728&amp;source=h5_t")</f>
        <v>https://www.tiktok.com/@racunbyyola/video/7630065330802494728?_r=1&amp;u_code=did1gld0iebd1c&amp;region=&amp;mid=7630065375694129936&amp;preview_pb=0&amp;sharer_language=&amp;_d=0&amp;ec_shared_reflux_dynamic_params=%7B%22placeholder_material_id%22%3A%227630065330802494728%22%2C%22placeholder_origin_cover%22%3A%22https%253A%252F%252Fp16-common-sign.tiktokcdn.com%252Ftos-alisg-p-0037%252FocB8ap2BXheiEaiREMIBAiAUGcgfGQ7jYz4IAB~tplv-tiktokx-origin.jpeg%253Fdr%253D14572%2526refresh_token%253Da5f11e16%2526x-expires%253D1808208000%2526x-signature%253DcbJbCq3Fpkn2ir2J%25252Bka2oeqz7WI%25253D%2526t%253D4d5b0474%2526ps%253D13740610%2526shp%253Dd05b14bd%2526shcp%253D34ff8df6%2526idc%253Dmy3%2526s%253DTIKTOK_AFFILIATE_VIRAL_VIDEO%22%2C%22placeholder_product_id%22%3A%221729427766722726591%22%2C%22placeholder_video_id%22%3A%227630065330802494728%22%7D&amp;ec_shared_reflux_scene=shop_tab_feed&amp;share_item_id=7630065330802494728&amp;source=h5_t</v>
      </c>
      <c r="O427" s="464" t="str">
        <f>IFERROR(__xludf.DUMMYFUNCTION("""COMPUTED_VALUE"""),"KIMME")</f>
        <v>KIMME</v>
      </c>
      <c r="P427" s="279" t="str">
        <f>IFERROR(__xludf.DUMMYFUNCTION("""COMPUTED_VALUE"""),"https://www.tiktok.com/@racunbyyola/video/7629593891980856583?_r=1&amp;u_code=did1gld0iebd1c&amp;region=&amp;mid=7626785194000435989&amp;preview_pb=0&amp;sharer_language=&amp;_d=0&amp;ec_shared_reflux_dynamic_params=%7B%22placeholder_material_id%22%3A%227629593891980856583%22%2C%22p"&amp;"laceholder_origin_cover%22%3A%22https%253A%252F%252Fp16-common-sign.tiktokcdn.com%252Ftos-alisg-p-0037%252FoUYqgAeW4wgGchjfIvAwgXLIyExVdTDoGfD4C8~tplv-tiktokx-origin.jpeg%253Fdr%253D14572%2526refresh_token%253D9aec367e%2526x-expires%253D1808208000%2526x-s"&amp;"ignature%253D%25252F%25252B%25252BaxY3nN757cy7wOQQiNTbZ%25252Fng%25253D%2526t%253D4d5b0474%2526ps%253D13740610%2526shp%253Dd05b14bd%2526shcp%253D34ff8df6%2526idc%253Dmy3%2526s%253DTIKTOK_AFFILIATE_VIRAL_VIDEO%22%2C%22placeholder_product_id%22%3A%221729427"&amp;"766722726591%22%2C%22placeholder_video_id%22%3A%227629593891980856583%22%7D&amp;ec_shared_reflux_scene=shop_tab_feed&amp;share_item_id=7629593891980856583&amp;source=h5_t")</f>
        <v>https://www.tiktok.com/@racunbyyola/video/7629593891980856583?_r=1&amp;u_code=did1gld0iebd1c&amp;region=&amp;mid=7626785194000435989&amp;preview_pb=0&amp;sharer_language=&amp;_d=0&amp;ec_shared_reflux_dynamic_params=%7B%22placeholder_material_id%22%3A%227629593891980856583%22%2C%22placeholder_origin_cover%22%3A%22https%253A%252F%252Fp16-common-sign.tiktokcdn.com%252Ftos-alisg-p-0037%252FoUYqgAeW4wgGchjfIvAwgXLIyExVdTDoGfD4C8~tplv-tiktokx-origin.jpeg%253Fdr%253D14572%2526refresh_token%253D9aec367e%2526x-expires%253D1808208000%2526x-signature%253D%25252F%25252B%25252BaxY3nN757cy7wOQQiNTbZ%25252Fng%25253D%2526t%253D4d5b0474%2526ps%253D13740610%2526shp%253Dd05b14bd%2526shcp%253D34ff8df6%2526idc%253Dmy3%2526s%253DTIKTOK_AFFILIATE_VIRAL_VIDEO%22%2C%22placeholder_product_id%22%3A%221729427766722726591%22%2C%22placeholder_video_id%22%3A%227629593891980856583%22%7D&amp;ec_shared_reflux_scene=shop_tab_feed&amp;share_item_id=7629593891980856583&amp;source=h5_t</v>
      </c>
    </row>
    <row r="428">
      <c r="A428" s="255" t="str">
        <f>IFERROR(__xludf.DUMMYFUNCTION("""COMPUTED_VALUE"""),"MICRO")</f>
        <v>MICRO</v>
      </c>
      <c r="B428" s="361" t="str">
        <f>IFERROR(__xludf.DUMMYFUNCTION("""COMPUTED_VALUE"""),"Nopikkurnia
")</f>
        <v>Nopikkurnia
</v>
      </c>
      <c r="C428" s="257" t="str">
        <f>IFERROR(__xludf.DUMMYFUNCTION("""COMPUTED_VALUE"""),"https://www.tiktok.com/@Nopikkurnia
")</f>
        <v>https://www.tiktok.com/@Nopikkurnia
</v>
      </c>
      <c r="D428" s="270">
        <f>IFERROR(__xludf.DUMMYFUNCTION("""COMPUTED_VALUE"""),8.5808331203E10)</f>
        <v>85808331203</v>
      </c>
      <c r="E428" s="457">
        <f>IFERROR(__xludf.DUMMYFUNCTION("""COMPUTED_VALUE"""),0.0)</f>
        <v>0</v>
      </c>
      <c r="F428" s="270">
        <f>IFERROR(__xludf.DUMMYFUNCTION("""COMPUTED_VALUE"""),4.0)</f>
        <v>4</v>
      </c>
      <c r="G428" s="17" t="str">
        <f>IFERROR(__xludf.DUMMYFUNCTION("""COMPUTED_VALUE"""),"Sabun batang 1 Box ( 2 PCS )")</f>
        <v>Sabun batang 1 Box ( 2 PCS )</v>
      </c>
      <c r="H428" s="463" t="str">
        <f>IFERROR(__xludf.DUMMYFUNCTION("""COMPUTED_VALUE"""),"Sampai")</f>
        <v>Sampai</v>
      </c>
      <c r="I428" s="464" t="str">
        <f>IFERROR(__xludf.DUMMYFUNCTION("""COMPUTED_VALUE"""),"KIMME")</f>
        <v>KIMME</v>
      </c>
      <c r="J428" s="279" t="str">
        <f>IFERROR(__xludf.DUMMYFUNCTION("""COMPUTED_VALUE"""),"https://www.tiktok.com/@racunbyyola/video/7628975664070216978?_r=1&amp;u_code=did1gld0iebd1c&amp;region=&amp;mid=7624297612665047828&amp;preview_pb=0&amp;sharer_language=&amp;_d=0&amp;ec_shared_reflux_dynamic_params=%7B%22placeholder_material_id%22%3A%227628975664070216978%22%2C%22p"&amp;"laceholder_origin_cover%22%3A%22https%253A%252F%252Fp16-common-sign.tiktokcdn.com%252Ftos-alisg-p-0037%252FoQAfPIyjTDmlkMl4AGCaOo6vLFGgogejPIkafU~tplv-tiktokx-origin.jpeg%253Fdr%253D14572%2526refresh_token%253D46f44c48%2526x-expires%253D1808208000%2526x-s"&amp;"ignature%253DLQxDpBC8guL506bec39mJIOZ5sw%25253D%2526t%253D4d5b0474%2526ps%253D13740610%2526shp%253Dd05b14bd%2526shcp%253D34ff8df6%2526idc%253Dmy3%2526s%253DTIKTOK_AFFILIATE_VIRAL_VIDEO%22%2C%22placeholder_product_id%22%3A%221729427766722726591%22%2C%22pla"&amp;"ceholder_video_id%22%3A%227628975664070216978%22%7D&amp;ec_shared_reflux_scene=shop_tab_feed&amp;share_item_id=7628975664070216978&amp;source=h5_t")</f>
        <v>https://www.tiktok.com/@racunbyyola/video/7628975664070216978?_r=1&amp;u_code=did1gld0iebd1c&amp;region=&amp;mid=7624297612665047828&amp;preview_pb=0&amp;sharer_language=&amp;_d=0&amp;ec_shared_reflux_dynamic_params=%7B%22placeholder_material_id%22%3A%227628975664070216978%22%2C%22placeholder_origin_cover%22%3A%22https%253A%252F%252Fp16-common-sign.tiktokcdn.com%252Ftos-alisg-p-0037%252FoQAfPIyjTDmlkMl4AGCaOo6vLFGgogejPIkafU~tplv-tiktokx-origin.jpeg%253Fdr%253D14572%2526refresh_token%253D46f44c48%2526x-expires%253D1808208000%2526x-signature%253DLQxDpBC8guL506bec39mJIOZ5sw%25253D%2526t%253D4d5b0474%2526ps%253D13740610%2526shp%253Dd05b14bd%2526shcp%253D34ff8df6%2526idc%253Dmy3%2526s%253DTIKTOK_AFFILIATE_VIRAL_VIDEO%22%2C%22placeholder_product_id%22%3A%221729427766722726591%22%2C%22placeholder_video_id%22%3A%227628975664070216978%22%7D&amp;ec_shared_reflux_scene=shop_tab_feed&amp;share_item_id=7628975664070216978&amp;source=h5_t</v>
      </c>
      <c r="K428" s="464" t="str">
        <f>IFERROR(__xludf.DUMMYFUNCTION("""COMPUTED_VALUE"""),"KIMME")</f>
        <v>KIMME</v>
      </c>
      <c r="L428" s="279" t="str">
        <f>IFERROR(__xludf.DUMMYFUNCTION("""COMPUTED_VALUE"""),"https://www.tiktok.com/@racunbyyola/video/7628247348786826503?_r=1&amp;u_code=did1gld0iebd1c&amp;region=&amp;mid=7566193440287918865&amp;preview_pb=0&amp;sharer_language=&amp;_d=0&amp;ec_shared_reflux_dynamic_params=%7B%22placeholder_material_id%22%3A%227628247348786826503%22%2C%22p"&amp;"laceholder_origin_cover%22%3A%22https%253A%252F%252Fp16-common-sign.tiktokcdn.com%252Ftos-alisg-p-0037%252FoscR4OLcyQG69eCASw4AeAIEn5QUGLsGw0pfeF~tplv-tiktokx-origin.jpeg%253Fdr%253D14572%2526refresh_token%253Dde9d333d%2526x-expires%253D1808208000%2526x-s"&amp;"ignature%253DL%25252BPMlNJdRBJSmIbP%25252FkNejZfL7rw%25253D%2526t%253D4d5b0474%2526ps%253D13740610%2526shp%253Dd05b14bd%2526shcp%253D34ff8df6%2526idc%253Dmy3%2526s%253DTIKTOK_AFFILIATE_VIRAL_VIDEO%22%2C%22placeholder_product_id%22%3A%221729427766722726591"&amp;"%22%2C%22placeholder_video_id%22%3A%227628247348786826503%22%7D&amp;ec_shared_reflux_scene=shop_tab_feed&amp;share_item_id=7628247348786826503&amp;source=h5_t")</f>
        <v>https://www.tiktok.com/@racunbyyola/video/7628247348786826503?_r=1&amp;u_code=did1gld0iebd1c&amp;region=&amp;mid=7566193440287918865&amp;preview_pb=0&amp;sharer_language=&amp;_d=0&amp;ec_shared_reflux_dynamic_params=%7B%22placeholder_material_id%22%3A%227628247348786826503%22%2C%22placeholder_origin_cover%22%3A%22https%253A%252F%252Fp16-common-sign.tiktokcdn.com%252Ftos-alisg-p-0037%252FoscR4OLcyQG69eCASw4AeAIEn5QUGLsGw0pfeF~tplv-tiktokx-origin.jpeg%253Fdr%253D14572%2526refresh_token%253Dde9d333d%2526x-expires%253D1808208000%2526x-signature%253DL%25252BPMlNJdRBJSmIbP%25252FkNejZfL7rw%25253D%2526t%253D4d5b0474%2526ps%253D13740610%2526shp%253Dd05b14bd%2526shcp%253D34ff8df6%2526idc%253Dmy3%2526s%253DTIKTOK_AFFILIATE_VIRAL_VIDEO%22%2C%22placeholder_product_id%22%3A%221729427766722726591%22%2C%22placeholder_video_id%22%3A%227628247348786826503%22%7D&amp;ec_shared_reflux_scene=shop_tab_feed&amp;share_item_id=7628247348786826503&amp;source=h5_t</v>
      </c>
      <c r="M428" s="464" t="str">
        <f>IFERROR(__xludf.DUMMYFUNCTION("""COMPUTED_VALUE"""),"KIMME")</f>
        <v>KIMME</v>
      </c>
      <c r="N428" s="279" t="str">
        <f>IFERROR(__xludf.DUMMYFUNCTION("""COMPUTED_VALUE"""),"https://www.tiktok.com/@racunbyyola/video/7627363971904900360?_r=1&amp;u_code=did1gld0iebd1c&amp;region=&amp;mid=7311901948345289478&amp;preview_pb=0&amp;sharer_language=&amp;_d=0&amp;ec_shared_reflux_dynamic_params=%7B%22placeholder_material_id%22%3A%227627363971904900360%22%2C%22p"&amp;"laceholder_origin_cover%22%3A%22https%253A%252F%252Fp16-common-sign.tiktokcdn.com%252Ftos-alisg-p-0037%252Fo8zIcI1ngAcZBIvXRFfldpDBZU2wqEEMyoeKBZ~tplv-tiktokx-origin.jpeg%253Fdr%253D14572%2526refresh_token%253D1fa564d9%2526x-expires%253D1808208000%2526x-s"&amp;"ignature%253DzelRdnLJr2C1Igxl%25252FjxHqmGRb2c%25253D%2526t%253D4d5b0474%2526ps%253D13740610%2526shp%253Dd05b14bd%2526shcp%253D34ff8df6%2526idc%253Dmy3%2526s%253DTIKTOK_AFFILIATE_VIRAL_VIDEO%22%2C%22placeholder_product_id%22%3A%221729427766722726591%22%2C"&amp;"%22placeholder_video_id%22%3A%227627363971904900360%22%7D&amp;ec_shared_reflux_scene=shop_tab_feed&amp;share_item_id=7627363971904900360&amp;source=h5_t")</f>
        <v>https://www.tiktok.com/@racunbyyola/video/7627363971904900360?_r=1&amp;u_code=did1gld0iebd1c&amp;region=&amp;mid=7311901948345289478&amp;preview_pb=0&amp;sharer_language=&amp;_d=0&amp;ec_shared_reflux_dynamic_params=%7B%22placeholder_material_id%22%3A%227627363971904900360%22%2C%22placeholder_origin_cover%22%3A%22https%253A%252F%252Fp16-common-sign.tiktokcdn.com%252Ftos-alisg-p-0037%252Fo8zIcI1ngAcZBIvXRFfldpDBZU2wqEEMyoeKBZ~tplv-tiktokx-origin.jpeg%253Fdr%253D14572%2526refresh_token%253D1fa564d9%2526x-expires%253D1808208000%2526x-signature%253DzelRdnLJr2C1Igxl%25252FjxHqmGRb2c%25253D%2526t%253D4d5b0474%2526ps%253D13740610%2526shp%253Dd05b14bd%2526shcp%253D34ff8df6%2526idc%253Dmy3%2526s%253DTIKTOK_AFFILIATE_VIRAL_VIDEO%22%2C%22placeholder_product_id%22%3A%221729427766722726591%22%2C%22placeholder_video_id%22%3A%227627363971904900360%22%7D&amp;ec_shared_reflux_scene=shop_tab_feed&amp;share_item_id=7627363971904900360&amp;source=h5_t</v>
      </c>
      <c r="O428" s="464" t="str">
        <f>IFERROR(__xludf.DUMMYFUNCTION("""COMPUTED_VALUE"""),"KIMME")</f>
        <v>KIMME</v>
      </c>
      <c r="P428" s="279" t="str">
        <f>IFERROR(__xludf.DUMMYFUNCTION("""COMPUTED_VALUE"""),"https://www.tiktok.com/@hdytl_masruroh/video/7628719093465550098?_r=1&amp;u_code=d8alfgjgak93j5&amp;region=&amp;mid=7204827551238195201&amp;preview_pb=0&amp;sharer_language=&amp;_d=0&amp;ec_shared_reflux_dynamic_params=%7B%22placeholder_material_id%22%3A%227628719093465550098%22%2C%"&amp;"22placeholder_origin_cover%22%3A%22https%253A%252F%252Fp16-common-sign.tiktokcdn.com%252Ftos-alisg-p-0037%252FogevDfpMIEgoQ0TYQDTAFC39QfjUApcIGDyRMo~tplv-tiktokx-origin.jpeg%253Fdr%253D14572%2526refresh_token%253D1643f758%2526x-expires%253D1808208000%2526"&amp;"x-signature%253DKNbGccIetT0XmapqOhD%25252BLFpgX8c%25253D%2526t%253D4d5b0474%2526ps%253D13740610%2526shp%253Dd05b14bd%2526shcp%253D34ff8df6%2526idc%253Dmy3%2526s%253DTIKTOK_AFFILIATE_VIRAL_VIDEO%22%2C%22placeholder_product_id%22%3A%221729427766722726591%22"&amp;"%2C%22placeholder_video_id%22%3A%227628719093465550098%22%7D&amp;ec_shared_reflux_scene=shop_tab_feed&amp;share_item_id=7628719093465550098&amp;source=h5_t")</f>
        <v>https://www.tiktok.com/@hdytl_masruroh/video/7628719093465550098?_r=1&amp;u_code=d8alfgjgak93j5&amp;region=&amp;mid=7204827551238195201&amp;preview_pb=0&amp;sharer_language=&amp;_d=0&amp;ec_shared_reflux_dynamic_params=%7B%22placeholder_material_id%22%3A%227628719093465550098%22%2C%22placeholder_origin_cover%22%3A%22https%253A%252F%252Fp16-common-sign.tiktokcdn.com%252Ftos-alisg-p-0037%252FogevDfpMIEgoQ0TYQDTAFC39QfjUApcIGDyRMo~tplv-tiktokx-origin.jpeg%253Fdr%253D14572%2526refresh_token%253D1643f758%2526x-expires%253D1808208000%2526x-signature%253DKNbGccIetT0XmapqOhD%25252BLFpgX8c%25253D%2526t%253D4d5b0474%2526ps%253D13740610%2526shp%253Dd05b14bd%2526shcp%253D34ff8df6%2526idc%253Dmy3%2526s%253DTIKTOK_AFFILIATE_VIRAL_VIDEO%22%2C%22placeholder_product_id%22%3A%221729427766722726591%22%2C%22placeholder_video_id%22%3A%227628719093465550098%22%7D&amp;ec_shared_reflux_scene=shop_tab_feed&amp;share_item_id=7628719093465550098&amp;source=h5_t</v>
      </c>
    </row>
    <row r="429">
      <c r="A429" s="255" t="str">
        <f>IFERROR(__xludf.DUMMYFUNCTION("""COMPUTED_VALUE"""),"MICRO")</f>
        <v>MICRO</v>
      </c>
      <c r="B429" s="361" t="str">
        <f>IFERROR(__xludf.DUMMYFUNCTION("""COMPUTED_VALUE"""),"afifahwidianti
")</f>
        <v>afifahwidianti
</v>
      </c>
      <c r="C429" s="257" t="str">
        <f>IFERROR(__xludf.DUMMYFUNCTION("""COMPUTED_VALUE"""),"https://www.tiktok.com/@afifahwidianti
")</f>
        <v>https://www.tiktok.com/@afifahwidianti
</v>
      </c>
      <c r="D429" s="270">
        <f>IFERROR(__xludf.DUMMYFUNCTION("""COMPUTED_VALUE"""),8.3819985977E10)</f>
        <v>83819985977</v>
      </c>
      <c r="E429" s="457">
        <f>IFERROR(__xludf.DUMMYFUNCTION("""COMPUTED_VALUE"""),0.0)</f>
        <v>0</v>
      </c>
      <c r="F429" s="270">
        <f>IFERROR(__xludf.DUMMYFUNCTION("""COMPUTED_VALUE"""),4.0)</f>
        <v>4</v>
      </c>
      <c r="G429" s="17" t="str">
        <f>IFERROR(__xludf.DUMMYFUNCTION("""COMPUTED_VALUE"""),"Sabun batang 1 Box ( 2 PCS )")</f>
        <v>Sabun batang 1 Box ( 2 PCS )</v>
      </c>
      <c r="H429" s="463" t="str">
        <f>IFERROR(__xludf.DUMMYFUNCTION("""COMPUTED_VALUE"""),"Sampai")</f>
        <v>Sampai</v>
      </c>
      <c r="I429" s="464" t="str">
        <f>IFERROR(__xludf.DUMMYFUNCTION("""COMPUTED_VALUE"""),"KIMME")</f>
        <v>KIMME</v>
      </c>
      <c r="J429" s="279" t="str">
        <f>IFERROR(__xludf.DUMMYFUNCTION("""COMPUTED_VALUE"""),"https://www.tiktok.com/@dinaachmad30/video/7630336203090382098?_r=1&amp;u_code=clad72314he9jg&amp;region=&amp;mid=7626785194000435989&amp;preview_pb=0&amp;sharer_language=&amp;_d=0&amp;ec_shared_reflux_dynamic_params=%7B%22placeholder_material_id%22%3A%227630336203090382098%22%2C%22"&amp;"placeholder_origin_cover%22%3A%22https%253A%252F%252Fp16-common-sign.tiktokcdn.com%252Ftos-alisg-p-0037%252FogIRZcpAGxMvjYkkDBIGE5F7VRBBHgfiEZEofm~tplv-tiktokx-origin.jpeg%253Fdr%253D14572%2526refresh_token%253Dc46e723b%2526x-expires%253D1808204400%2526x-"&amp;"signature%253DCuJHD0sLI8OagNRlhRaOYj3O2Cc%25253D%2526t%253D4d5b0474%2526ps%253D13740610%2526shp%253Dd05b14bd%2526shcp%253D34ff8df6%2526idc%253Dmy3%2526s%253DTIKTOK_AFFILIATE_VIRAL_VIDEO%22%2C%22placeholder_product_id%22%3A%221729427766722726591%22%2C%22pl"&amp;"aceholder_video_id%22%3A%227630336203090382098%22%7D&amp;ec_shared_reflux_scene=shop_tab_feed&amp;share_item_id=7630336203090382098&amp;source=h5_t")</f>
        <v>https://www.tiktok.com/@dinaachmad30/video/7630336203090382098?_r=1&amp;u_code=clad72314he9jg&amp;region=&amp;mid=7626785194000435989&amp;preview_pb=0&amp;sharer_language=&amp;_d=0&amp;ec_shared_reflux_dynamic_params=%7B%22placeholder_material_id%22%3A%227630336203090382098%22%2C%22placeholder_origin_cover%22%3A%22https%253A%252F%252Fp16-common-sign.tiktokcdn.com%252Ftos-alisg-p-0037%252FogIRZcpAGxMvjYkkDBIGE5F7VRBBHgfiEZEofm~tplv-tiktokx-origin.jpeg%253Fdr%253D14572%2526refresh_token%253Dc46e723b%2526x-expires%253D1808204400%2526x-signature%253DCuJHD0sLI8OagNRlhRaOYj3O2Cc%25253D%2526t%253D4d5b0474%2526ps%253D13740610%2526shp%253Dd05b14bd%2526shcp%253D34ff8df6%2526idc%253Dmy3%2526s%253DTIKTOK_AFFILIATE_VIRAL_VIDEO%22%2C%22placeholder_product_id%22%3A%221729427766722726591%22%2C%22placeholder_video_id%22%3A%227630336203090382098%22%7D&amp;ec_shared_reflux_scene=shop_tab_feed&amp;share_item_id=7630336203090382098&amp;source=h5_t</v>
      </c>
      <c r="K429" s="464" t="str">
        <f>IFERROR(__xludf.DUMMYFUNCTION("""COMPUTED_VALUE"""),"KIMME")</f>
        <v>KIMME</v>
      </c>
      <c r="L429" s="279" t="str">
        <f>IFERROR(__xludf.DUMMYFUNCTION("""COMPUTED_VALUE"""),"https://www.tiktok.com/@bidanhenny01/video/7626363452444970260?_r=1&amp;u_code=e0agm7bf28f085&amp;region=&amp;mid=7576818574246168593&amp;preview_pb=0&amp;sharer_language=&amp;_d=0&amp;ec_shared_reflux_dynamic_params=%7B%22placeholder_material_id%22%3A%227626363452444970260%22%2C%22"&amp;"placeholder_origin_cover%22%3A%22https%253A%252F%252Fp16-common-sign.tiktokcdn.com%252Ftos-alisg-p-0037%252FoQBGLCOMJIiFheGsgDYmIeMv4krfTgA7LDZjAr~tplv-tiktokx-origin.jpeg%253Fdr%253D14572%2526refresh_token%253D85e278ee%2526x-expires%253D1808204400%2526x-"&amp;"signature%253D2vGOFZLrrmFvne1q4DsUubuYyJc%25253D%2526t%253D4d5b0474%2526ps%253D13740610%2526shp%253Dd05b14bd%2526shcp%253D34ff8df6%2526idc%253Dmy3%2526s%253DTIKTOK_AFFILIATE_VIRAL_VIDEO%22%2C%22placeholder_product_id%22%3A%221729427766722726591%22%2C%22pl"&amp;"aceholder_video_id%22%3A%227626363452444970260%22%7D&amp;ec_shared_reflux_scene=shop_tab_feed&amp;share_item_id=7626363452444970260&amp;source=h5_t")</f>
        <v>https://www.tiktok.com/@bidanhenny01/video/7626363452444970260?_r=1&amp;u_code=e0agm7bf28f085&amp;region=&amp;mid=7576818574246168593&amp;preview_pb=0&amp;sharer_language=&amp;_d=0&amp;ec_shared_reflux_dynamic_params=%7B%22placeholder_material_id%22%3A%227626363452444970260%22%2C%22placeholder_origin_cover%22%3A%22https%253A%252F%252Fp16-common-sign.tiktokcdn.com%252Ftos-alisg-p-0037%252FoQBGLCOMJIiFheGsgDYmIeMv4krfTgA7LDZjAr~tplv-tiktokx-origin.jpeg%253Fdr%253D14572%2526refresh_token%253D85e278ee%2526x-expires%253D1808204400%2526x-signature%253D2vGOFZLrrmFvne1q4DsUubuYyJc%25253D%2526t%253D4d5b0474%2526ps%253D13740610%2526shp%253Dd05b14bd%2526shcp%253D34ff8df6%2526idc%253Dmy3%2526s%253DTIKTOK_AFFILIATE_VIRAL_VIDEO%22%2C%22placeholder_product_id%22%3A%221729427766722726591%22%2C%22placeholder_video_id%22%3A%227626363452444970260%22%7D&amp;ec_shared_reflux_scene=shop_tab_feed&amp;share_item_id=7626363452444970260&amp;source=h5_t</v>
      </c>
      <c r="M429" s="464" t="str">
        <f>IFERROR(__xludf.DUMMYFUNCTION("""COMPUTED_VALUE"""),"KIMME")</f>
        <v>KIMME</v>
      </c>
      <c r="N429" s="279" t="str">
        <f>IFERROR(__xludf.DUMMYFUNCTION("""COMPUTED_VALUE"""),"https://www.tiktok.com/@bidanhenny01/video/7627045957355621652?_r=1&amp;u_code=e0agm7bf28f085&amp;region=&amp;mid=7573609115340326929&amp;preview_pb=0&amp;sharer_language=&amp;_d=0&amp;ec_shared_reflux_dynamic_params=%7B%22placeholder_material_id%22%3A%227627045957355621652%22%2C%22"&amp;"placeholder_origin_cover%22%3A%22https%253A%252F%252Fp16-common-sign.tiktokcdn.com%252Ftos-alisg-p-0037%252FoIsJsAeG4sQBAajGILAIQfLIbf7dTTx9GlDWCv~tplv-tiktokx-origin.jpeg%253Fdr%253D14572%2526refresh_token%253D0fccc73f%2526x-expires%253D1808204400%2526x-"&amp;"signature%253D2ae1VHiZ4HOQ56Oga%25252BK76EE10qA%25253D%2526t%253D4d5b0474%2526ps%253D13740610%2526shp%253Dd05b14bd%2526shcp%253D34ff8df6%2526idc%253Dmy3%2526s%253DTIKTOK_AFFILIATE_VIRAL_VIDEO%22%2C%22placeholder_product_id%22%3A%221729427766722726591%22%2"&amp;"C%22placeholder_video_id%22%3A%227627045957355621652%22%7D&amp;ec_shared_reflux_scene=shop_tab_feed&amp;share_item_id=7627045957355621652&amp;source=h5_t")</f>
        <v>https://www.tiktok.com/@bidanhenny01/video/7627045957355621652?_r=1&amp;u_code=e0agm7bf28f085&amp;region=&amp;mid=7573609115340326929&amp;preview_pb=0&amp;sharer_language=&amp;_d=0&amp;ec_shared_reflux_dynamic_params=%7B%22placeholder_material_id%22%3A%227627045957355621652%22%2C%22placeholder_origin_cover%22%3A%22https%253A%252F%252Fp16-common-sign.tiktokcdn.com%252Ftos-alisg-p-0037%252FoIsJsAeG4sQBAajGILAIQfLIbf7dTTx9GlDWCv~tplv-tiktokx-origin.jpeg%253Fdr%253D14572%2526refresh_token%253D0fccc73f%2526x-expires%253D1808204400%2526x-signature%253D2ae1VHiZ4HOQ56Oga%25252BK76EE10qA%25253D%2526t%253D4d5b0474%2526ps%253D13740610%2526shp%253Dd05b14bd%2526shcp%253D34ff8df6%2526idc%253Dmy3%2526s%253DTIKTOK_AFFILIATE_VIRAL_VIDEO%22%2C%22placeholder_product_id%22%3A%221729427766722726591%22%2C%22placeholder_video_id%22%3A%227627045957355621652%22%7D&amp;ec_shared_reflux_scene=shop_tab_feed&amp;share_item_id=7627045957355621652&amp;source=h5_t</v>
      </c>
      <c r="O429" s="464" t="str">
        <f>IFERROR(__xludf.DUMMYFUNCTION("""COMPUTED_VALUE"""),"KIMME")</f>
        <v>KIMME</v>
      </c>
      <c r="P429" s="279" t="str">
        <f>IFERROR(__xludf.DUMMYFUNCTION("""COMPUTED_VALUE"""),"https://www.tiktok.com/@bidanhenny01/video/7624408528073018644?_r=1&amp;u_code=e0agm7bf28f085&amp;region=&amp;mid=7507772951459432464&amp;preview_pb=0&amp;sharer_language=&amp;_d=0&amp;ec_shared_reflux_dynamic_params=%7B%22placeholder_material_id%22%3A%227624408528073018644%22%2C%22"&amp;"placeholder_origin_cover%22%3A%22https%253A%252F%252Fp16-sign-sg.tiktokcdn.com%252Ftos-alisg-p-0037%252FoQTsg9GIAGIf8Az38XfCeLMb3DojlgknjqnLUD~tplv-tiktokx-origin.jpeg%253Fdr%253D14572%2526refresh_token%253D68dbaae9%2526x-expires%253D1808204400%2526x-sign"&amp;"ature%253DULV30aXfQ73hbOx8bq1ykuf1a9A%25253D%2526t%253D4d5b0474%2526ps%253D13740610%2526shp%253Dd05b14bd%2526shcp%253D34ff8df6%2526idc%253Dmy3%2526s%253DTIKTOK_AFFILIATE_VIRAL_VIDEO%22%2C%22placeholder_product_id%22%3A%221729427766722726591%22%2C%22placeh"&amp;"older_video_id%22%3A%227624408528073018644%22%7D&amp;ec_shared_reflux_scene=shop_tab_feed&amp;share_item_id=7624408528073018644&amp;source=h5_t")</f>
        <v>https://www.tiktok.com/@bidanhenny01/video/7624408528073018644?_r=1&amp;u_code=e0agm7bf28f085&amp;region=&amp;mid=7507772951459432464&amp;preview_pb=0&amp;sharer_language=&amp;_d=0&amp;ec_shared_reflux_dynamic_params=%7B%22placeholder_material_id%22%3A%227624408528073018644%22%2C%22placeholder_origin_cover%22%3A%22https%253A%252F%252Fp16-sign-sg.tiktokcdn.com%252Ftos-alisg-p-0037%252FoQTsg9GIAGIf8Az38XfCeLMb3DojlgknjqnLUD~tplv-tiktokx-origin.jpeg%253Fdr%253D14572%2526refresh_token%253D68dbaae9%2526x-expires%253D1808204400%2526x-signature%253DULV30aXfQ73hbOx8bq1ykuf1a9A%25253D%2526t%253D4d5b0474%2526ps%253D13740610%2526shp%253Dd05b14bd%2526shcp%253D34ff8df6%2526idc%253Dmy3%2526s%253DTIKTOK_AFFILIATE_VIRAL_VIDEO%22%2C%22placeholder_product_id%22%3A%221729427766722726591%22%2C%22placeholder_video_id%22%3A%227624408528073018644%22%7D&amp;ec_shared_reflux_scene=shop_tab_feed&amp;share_item_id=7624408528073018644&amp;source=h5_t</v>
      </c>
    </row>
    <row r="430">
      <c r="A430" s="255" t="str">
        <f>IFERROR(__xludf.DUMMYFUNCTION("""COMPUTED_VALUE"""),"MACRO")</f>
        <v>MACRO</v>
      </c>
      <c r="B430" s="361" t="str">
        <f>IFERROR(__xludf.DUMMYFUNCTION("""COMPUTED_VALUE"""),"sriylnt1")</f>
        <v>sriylnt1</v>
      </c>
      <c r="C430" s="257" t="str">
        <f>IFERROR(__xludf.DUMMYFUNCTION("""COMPUTED_VALUE"""),"https://www.tiktok.com/@sriylnt1")</f>
        <v>https://www.tiktok.com/@sriylnt1</v>
      </c>
      <c r="D430" s="270">
        <f>IFERROR(__xludf.DUMMYFUNCTION("""COMPUTED_VALUE"""),8.5700254493E10)</f>
        <v>85700254493</v>
      </c>
      <c r="E430" s="457">
        <f>IFERROR(__xludf.DUMMYFUNCTION("""COMPUTED_VALUE"""),0.0)</f>
        <v>0</v>
      </c>
      <c r="F430" s="270">
        <f>IFERROR(__xludf.DUMMYFUNCTION("""COMPUTED_VALUE"""),1.0)</f>
        <v>1</v>
      </c>
      <c r="G430" s="17" t="str">
        <f>IFERROR(__xludf.DUMMYFUNCTION("""COMPUTED_VALUE"""),"Sabun batang 1 Box ( 2 PCS )")</f>
        <v>Sabun batang 1 Box ( 2 PCS )</v>
      </c>
      <c r="H430" s="463" t="str">
        <f>IFERROR(__xludf.DUMMYFUNCTION("""COMPUTED_VALUE"""),"Sampai")</f>
        <v>Sampai</v>
      </c>
      <c r="I430" s="464" t="str">
        <f>IFERROR(__xludf.DUMMYFUNCTION("""COMPUTED_VALUE"""),"KIMME")</f>
        <v>KIMME</v>
      </c>
      <c r="J430" s="17"/>
      <c r="K430" s="464" t="str">
        <f>IFERROR(__xludf.DUMMYFUNCTION("""COMPUTED_VALUE"""),"KIMME")</f>
        <v>KIMME</v>
      </c>
      <c r="L430" s="17"/>
      <c r="M430" s="464"/>
      <c r="N430" s="17"/>
      <c r="O430" s="464"/>
      <c r="P430" s="17"/>
    </row>
    <row r="431">
      <c r="A431" s="255" t="str">
        <f>IFERROR(__xludf.DUMMYFUNCTION("""COMPUTED_VALUE"""),"MICRO")</f>
        <v>MICRO</v>
      </c>
      <c r="B431" s="361" t="str">
        <f>IFERROR(__xludf.DUMMYFUNCTION("""COMPUTED_VALUE"""),"l0oouii")</f>
        <v>l0oouii</v>
      </c>
      <c r="C431" s="257" t="str">
        <f>IFERROR(__xludf.DUMMYFUNCTION("""COMPUTED_VALUE"""),"https://www.tiktok.com/@l0oouii")</f>
        <v>https://www.tiktok.com/@l0oouii</v>
      </c>
      <c r="D431" s="270">
        <f>IFERROR(__xludf.DUMMYFUNCTION("""COMPUTED_VALUE"""),8.1290897506E10)</f>
        <v>81290897506</v>
      </c>
      <c r="E431" s="457">
        <f>IFERROR(__xludf.DUMMYFUNCTION("""COMPUTED_VALUE"""),0.0)</f>
        <v>0</v>
      </c>
      <c r="F431" s="270">
        <f>IFERROR(__xludf.DUMMYFUNCTION("""COMPUTED_VALUE"""),4.0)</f>
        <v>4</v>
      </c>
      <c r="G431" s="17" t="str">
        <f>IFERROR(__xludf.DUMMYFUNCTION("""COMPUTED_VALUE"""),"Sabun batang 1 Box ( 2 PCS )")</f>
        <v>Sabun batang 1 Box ( 2 PCS )</v>
      </c>
      <c r="H431" s="463" t="str">
        <f>IFERROR(__xludf.DUMMYFUNCTION("""COMPUTED_VALUE"""),"Sampai")</f>
        <v>Sampai</v>
      </c>
      <c r="I431" s="464" t="str">
        <f>IFERROR(__xludf.DUMMYFUNCTION("""COMPUTED_VALUE"""),"KIMME")</f>
        <v>KIMME</v>
      </c>
      <c r="J431" s="279" t="str">
        <f>IFERROR(__xludf.DUMMYFUNCTION("""COMPUTED_VALUE"""),"https://www.tiktok.com/@ginafathonah_/video/7629985391021477140?_r=1&amp;u_code=dlhe22ikkib396&amp;region=&amp;mid=7595070225341614855&amp;preview_pb=0&amp;sharer_language=&amp;_d=0&amp;ec_shared_reflux_dynamic_params=%7B%22placeholder_material_id%22%3A%227629985391021477140%22%2C%2"&amp;"2placeholder_origin_cover%22%3A%22https%253A%252F%252Fp16-common-sign.tiktokcdn.com%252Ftos-alisg-p-0037%252FoYi1jAm1ycAlIEQpf4FfBBgntJgYcaQ7RyD8Eu~tplv-tiktokx-origin.jpeg%253Fdr%253D14572%2526refresh_token%253Dec3b017c%2526x-expires%253D1808204400%2526x"&amp;"-signature%253D1u6DK4oey8egfzCmGA200R3tWNQ%25253D%2526t%253D4d5b0474%2526ps%253D13740610%2526shp%253Dd05b14bd%2526shcp%253D34ff8df6%2526idc%253Dmy3%2526s%253DTIKTOK_AFFILIATE_VIRAL_VIDEO%22%2C%22placeholder_product_id%22%3A%221729427766722726591%22%2C%22p"&amp;"laceholder_video_id%22%3A%227629985391021477140%22%7D&amp;ec_shared_reflux_scene=shop_tab_feed&amp;share_item_id=7629985391021477140&amp;source=h5_t")</f>
        <v>https://www.tiktok.com/@ginafathonah_/video/7629985391021477140?_r=1&amp;u_code=dlhe22ikkib396&amp;region=&amp;mid=7595070225341614855&amp;preview_pb=0&amp;sharer_language=&amp;_d=0&amp;ec_shared_reflux_dynamic_params=%7B%22placeholder_material_id%22%3A%227629985391021477140%22%2C%22placeholder_origin_cover%22%3A%22https%253A%252F%252Fp16-common-sign.tiktokcdn.com%252Ftos-alisg-p-0037%252FoYi1jAm1ycAlIEQpf4FfBBgntJgYcaQ7RyD8Eu~tplv-tiktokx-origin.jpeg%253Fdr%253D14572%2526refresh_token%253Dec3b017c%2526x-expires%253D1808204400%2526x-signature%253D1u6DK4oey8egfzCmGA200R3tWNQ%25253D%2526t%253D4d5b0474%2526ps%253D13740610%2526shp%253Dd05b14bd%2526shcp%253D34ff8df6%2526idc%253Dmy3%2526s%253DTIKTOK_AFFILIATE_VIRAL_VIDEO%22%2C%22placeholder_product_id%22%3A%221729427766722726591%22%2C%22placeholder_video_id%22%3A%227629985391021477140%22%7D&amp;ec_shared_reflux_scene=shop_tab_feed&amp;share_item_id=7629985391021477140&amp;source=h5_t</v>
      </c>
      <c r="K431" s="464" t="str">
        <f>IFERROR(__xludf.DUMMYFUNCTION("""COMPUTED_VALUE"""),"KIMME")</f>
        <v>KIMME</v>
      </c>
      <c r="L431" s="279" t="str">
        <f>IFERROR(__xludf.DUMMYFUNCTION("""COMPUTED_VALUE"""),"https://www.tiktok.com/@ginafathonah_/video/7629984955313048853?_r=1&amp;u_code=dlhe22ikkib396&amp;region=&amp;mid=7475611422276242181&amp;preview_pb=0&amp;sharer_language=&amp;_d=0&amp;ec_shared_reflux_dynamic_params=%7B%22placeholder_material_id%22%3A%227629984955313048853%22%2C%2"&amp;"2placeholder_origin_cover%22%3A%22https%253A%252F%252Fp16-common-sign.tiktokcdn.com%252Ftos-alisg-p-0037%252Fo8fRIEaUoyoRzsgjeIB7IhKJgAFuBpAy4cDcqE~tplv-tiktokx-origin.jpeg%253Fdr%253D14572%2526refresh_token%253D0082f5bd%2526x-expires%253D1808204400%2526x"&amp;"-signature%253DNM%25252Bt8uK8IhNIDVw22yZk1KbInOs%25253D%2526t%253D4d5b0474%2526ps%253D13740610%2526shp%253Dd05b14bd%2526shcp%253D34ff8df6%2526idc%253Dmy3%2526s%253DTIKTOK_AFFILIATE_VIRAL_VIDEO%22%2C%22placeholder_product_id%22%3A%221729427766722726591%22%"&amp;"2C%22placeholder_video_id%22%3A%227629984955313048853%22%7D&amp;ec_shared_reflux_scene=shop_tab_feed&amp;share_item_id=7629984955313048853&amp;source=h5_t")</f>
        <v>https://www.tiktok.com/@ginafathonah_/video/7629984955313048853?_r=1&amp;u_code=dlhe22ikkib396&amp;region=&amp;mid=7475611422276242181&amp;preview_pb=0&amp;sharer_language=&amp;_d=0&amp;ec_shared_reflux_dynamic_params=%7B%22placeholder_material_id%22%3A%227629984955313048853%22%2C%22placeholder_origin_cover%22%3A%22https%253A%252F%252Fp16-common-sign.tiktokcdn.com%252Ftos-alisg-p-0037%252Fo8fRIEaUoyoRzsgjeIB7IhKJgAFuBpAy4cDcqE~tplv-tiktokx-origin.jpeg%253Fdr%253D14572%2526refresh_token%253D0082f5bd%2526x-expires%253D1808204400%2526x-signature%253DNM%25252Bt8uK8IhNIDVw22yZk1KbInOs%25253D%2526t%253D4d5b0474%2526ps%253D13740610%2526shp%253Dd05b14bd%2526shcp%253D34ff8df6%2526idc%253Dmy3%2526s%253DTIKTOK_AFFILIATE_VIRAL_VIDEO%22%2C%22placeholder_product_id%22%3A%221729427766722726591%22%2C%22placeholder_video_id%22%3A%227629984955313048853%22%7D&amp;ec_shared_reflux_scene=shop_tab_feed&amp;share_item_id=7629984955313048853&amp;source=h5_t</v>
      </c>
      <c r="M431" s="464" t="str">
        <f>IFERROR(__xludf.DUMMYFUNCTION("""COMPUTED_VALUE"""),"KIMME")</f>
        <v>KIMME</v>
      </c>
      <c r="N431" s="279" t="str">
        <f>IFERROR(__xludf.DUMMYFUNCTION("""COMPUTED_VALUE"""),"https://www.tiktok.com/@ginafathonah_/video/7629984955313048853?_r=1&amp;u_code=dlhe22ikkib396&amp;region=&amp;mid=7475611422276242181&amp;preview_pb=0&amp;sharer_language=&amp;_d=0&amp;ec_shared_reflux_dynamic_params=%7B%22placeholder_material_id%22%3A%227629984955313048853%22%2C%2"&amp;"2placeholder_origin_cover%22%3A%22https%253A%252F%252Fp16-common-sign.tiktokcdn.com%252Ftos-alisg-p-0037%252Fo8fRIEaUoyoRzsgjeIB7IhKJgAFuBpAy4cDcqE~tplv-tiktokx-origin.jpeg%253Fdr%253D14572%2526refresh_token%253D0082f5bd%2526x-expires%253D1808204400%2526x"&amp;"-signature%253DNM%25252Bt8uK8IhNIDVw22yZk1KbInOs%25253D%2526t%253D4d5b0474%2526ps%253D13740610%2526shp%253Dd05b14bd%2526shcp%253D34ff8df6%2526idc%253Dmy3%2526s%253DTIKTOK_AFFILIATE_VIRAL_VIDEO%22%2C%22placeholder_product_id%22%3A%221729427766722726591%22%"&amp;"2C%22placeholder_video_id%22%3A%227629984955313048853%22%7D&amp;ec_shared_reflux_scene=shop_tab_feed&amp;share_item_id=7629984955313048853&amp;source=h5_t")</f>
        <v>https://www.tiktok.com/@ginafathonah_/video/7629984955313048853?_r=1&amp;u_code=dlhe22ikkib396&amp;region=&amp;mid=7475611422276242181&amp;preview_pb=0&amp;sharer_language=&amp;_d=0&amp;ec_shared_reflux_dynamic_params=%7B%22placeholder_material_id%22%3A%227629984955313048853%22%2C%22placeholder_origin_cover%22%3A%22https%253A%252F%252Fp16-common-sign.tiktokcdn.com%252Ftos-alisg-p-0037%252Fo8fRIEaUoyoRzsgjeIB7IhKJgAFuBpAy4cDcqE~tplv-tiktokx-origin.jpeg%253Fdr%253D14572%2526refresh_token%253D0082f5bd%2526x-expires%253D1808204400%2526x-signature%253DNM%25252Bt8uK8IhNIDVw22yZk1KbInOs%25253D%2526t%253D4d5b0474%2526ps%253D13740610%2526shp%253Dd05b14bd%2526shcp%253D34ff8df6%2526idc%253Dmy3%2526s%253DTIKTOK_AFFILIATE_VIRAL_VIDEO%22%2C%22placeholder_product_id%22%3A%221729427766722726591%22%2C%22placeholder_video_id%22%3A%227629984955313048853%22%7D&amp;ec_shared_reflux_scene=shop_tab_feed&amp;share_item_id=7629984955313048853&amp;source=h5_t</v>
      </c>
      <c r="O431" s="464" t="str">
        <f>IFERROR(__xludf.DUMMYFUNCTION("""COMPUTED_VALUE"""),"KIMME")</f>
        <v>KIMME</v>
      </c>
      <c r="P431" s="279" t="str">
        <f>IFERROR(__xludf.DUMMYFUNCTION("""COMPUTED_VALUE"""),"https://vt.tiktok.com/ZSHcMfydL/")</f>
        <v>https://vt.tiktok.com/ZSHcMfydL/</v>
      </c>
    </row>
    <row r="432">
      <c r="A432" s="255" t="str">
        <f>IFERROR(__xludf.DUMMYFUNCTION("""COMPUTED_VALUE"""),"MICRO")</f>
        <v>MICRO</v>
      </c>
      <c r="B432" s="361" t="str">
        <f>IFERROR(__xludf.DUMMYFUNCTION("""COMPUTED_VALUE"""),"triasverse")</f>
        <v>triasverse</v>
      </c>
      <c r="C432" s="257" t="str">
        <f>IFERROR(__xludf.DUMMYFUNCTION("""COMPUTED_VALUE"""),"https://www.tiktok.com/@triasverse")</f>
        <v>https://www.tiktok.com/@triasverse</v>
      </c>
      <c r="D432" s="270">
        <f>IFERROR(__xludf.DUMMYFUNCTION("""COMPUTED_VALUE"""),8.1385860471E10)</f>
        <v>81385860471</v>
      </c>
      <c r="E432" s="457">
        <f>IFERROR(__xludf.DUMMYFUNCTION("""COMPUTED_VALUE"""),0.0)</f>
        <v>0</v>
      </c>
      <c r="F432" s="270">
        <f>IFERROR(__xludf.DUMMYFUNCTION("""COMPUTED_VALUE"""),4.0)</f>
        <v>4</v>
      </c>
      <c r="G432" s="17" t="str">
        <f>IFERROR(__xludf.DUMMYFUNCTION("""COMPUTED_VALUE"""),"Sabun batang 1 Box ( 2 PCS )")</f>
        <v>Sabun batang 1 Box ( 2 PCS )</v>
      </c>
      <c r="H432" s="463" t="str">
        <f>IFERROR(__xludf.DUMMYFUNCTION("""COMPUTED_VALUE"""),"Sampai")</f>
        <v>Sampai</v>
      </c>
      <c r="I432" s="464" t="str">
        <f>IFERROR(__xludf.DUMMYFUNCTION("""COMPUTED_VALUE"""),"KIMME")</f>
        <v>KIMME</v>
      </c>
      <c r="J432" s="279" t="str">
        <f>IFERROR(__xludf.DUMMYFUNCTION("""COMPUTED_VALUE"""),"https://www.tiktok.com/@hdytl_masruroh/video/7627211897112169735?_r=1&amp;u_code=d8alfgjgak93j5&amp;region=&amp;mid=7516532669053324033&amp;preview_pb=0&amp;sharer_language=&amp;_d=0&amp;ec_shared_reflux_dynamic_params=%7B%22placeholder_material_id%22%3A%227627211897112169735%22%2C%"&amp;"22placeholder_origin_cover%22%3A%22https%253A%252F%252Fp16-common-sign.tiktokcdn.com%252Ftos-alisg-p-0037%252FocngWpT9AbwEUeUpRTSBBz6vNEIUIAFZ23x2fD~tplv-tiktokx-origin.jpeg%253Fdr%253D14572%2526refresh_token%253Da7a62232%2526x-expires%253D1808208000%2526"&amp;"x-signature%253DBFrQXDdlvHO%25252FAp4VzIpaYgnn9R8%25253D%2526t%253D4d5b0474%2526ps%253D13740610%2526shp%253Dd05b14bd%2526shcp%253D34ff8df6%2526idc%253Dmy3%2526s%253DTIKTOK_AFFILIATE_VIRAL_VIDEO%22%2C%22placeholder_product_id%22%3A%221729427766722726591%22"&amp;"%2C%22placeholder_video_id%22%3A%227627211897112169735%22%7D&amp;ec_shared_reflux_scene=shop_tab_feed&amp;share_item_id=7627211897112169735&amp;source=h5_t")</f>
        <v>https://www.tiktok.com/@hdytl_masruroh/video/7627211897112169735?_r=1&amp;u_code=d8alfgjgak93j5&amp;region=&amp;mid=7516532669053324033&amp;preview_pb=0&amp;sharer_language=&amp;_d=0&amp;ec_shared_reflux_dynamic_params=%7B%22placeholder_material_id%22%3A%227627211897112169735%22%2C%22placeholder_origin_cover%22%3A%22https%253A%252F%252Fp16-common-sign.tiktokcdn.com%252Ftos-alisg-p-0037%252FocngWpT9AbwEUeUpRTSBBz6vNEIUIAFZ23x2fD~tplv-tiktokx-origin.jpeg%253Fdr%253D14572%2526refresh_token%253Da7a62232%2526x-expires%253D1808208000%2526x-signature%253DBFrQXDdlvHO%25252FAp4VzIpaYgnn9R8%25253D%2526t%253D4d5b0474%2526ps%253D13740610%2526shp%253Dd05b14bd%2526shcp%253D34ff8df6%2526idc%253Dmy3%2526s%253DTIKTOK_AFFILIATE_VIRAL_VIDEO%22%2C%22placeholder_product_id%22%3A%221729427766722726591%22%2C%22placeholder_video_id%22%3A%227627211897112169735%22%7D&amp;ec_shared_reflux_scene=shop_tab_feed&amp;share_item_id=7627211897112169735&amp;source=h5_t</v>
      </c>
      <c r="K432" s="464" t="str">
        <f>IFERROR(__xludf.DUMMYFUNCTION("""COMPUTED_VALUE"""),"KIMME")</f>
        <v>KIMME</v>
      </c>
      <c r="L432" s="279" t="str">
        <f>IFERROR(__xludf.DUMMYFUNCTION("""COMPUTED_VALUE"""),"tiktok.com/@outfitce_/video/7623665091103214868?_r=1&amp;u_code=e0898kg4gbb4c7&amp;region=&amp;mid=7608156113497983765&amp;preview_pb=0&amp;sharer_language=&amp;_d=0&amp;ec_shared_reflux_dynamic_params=%7B""placeholder_material_id""%3A""7623665091103214868""%2C""placeholder_origin_c"&amp;"over""%3A""https%253A%252F%252Fp16-sign-sg.tiktokcdn.com%252Ftos-alisg-p-0037%252Foc8qfAB5MsDAwiIv0zF7lBqCwICMAmuIa98lic~tplv-tiktokx-origin.jpeg%253Fdr%253D14572%2526refresh_token%253D1cbc2169%2526x-expires%253D1808204400%2526x-signature%253Dj7w2USSQ3ZO0"&amp;"b5AjkjTartC%25252BXv8%25253D%2526t%253D4d5b0474%2526ps%253D13740610%2526shp%253Dd05b14bd%2526shcp%253D34ff8df6%2526idc%253Dmy3%2526s%253DTIKTOK_AFFILIATE_VIRAL_VIDEO""%2C""placeholder_product_id""%3A""1729427766722726591""%2C""placeholder_video_id""%3A""7"&amp;"623665091103214868""%7D&amp;ec_shared_reflux_scene=shop_tab_feed&amp;share_item_id=7623665091103214868&amp;source=h5_t")</f>
        <v>tiktok.com/@outfitce_/video/7623665091103214868?_r=1&amp;u_code=e0898kg4gbb4c7&amp;region=&amp;mid=7608156113497983765&amp;preview_pb=0&amp;sharer_language=&amp;_d=0&amp;ec_shared_reflux_dynamic_params=%7B"placeholder_material_id"%3A"7623665091103214868"%2C"placeholder_origin_cover"%3A"https%253A%252F%252Fp16-sign-sg.tiktokcdn.com%252Ftos-alisg-p-0037%252Foc8qfAB5MsDAwiIv0zF7lBqCwICMAmuIa98lic~tplv-tiktokx-origin.jpeg%253Fdr%253D14572%2526refresh_token%253D1cbc2169%2526x-expires%253D1808204400%2526x-signature%253Dj7w2USSQ3ZO0b5AjkjTartC%25252BXv8%25253D%2526t%253D4d5b0474%2526ps%253D13740610%2526shp%253Dd05b14bd%2526shcp%253D34ff8df6%2526idc%253Dmy3%2526s%253DTIKTOK_AFFILIATE_VIRAL_VIDEO"%2C"placeholder_product_id"%3A"1729427766722726591"%2C"placeholder_video_id"%3A"7623665091103214868"%7D&amp;ec_shared_reflux_scene=shop_tab_feed&amp;share_item_id=7623665091103214868&amp;source=h5_t</v>
      </c>
      <c r="M432" s="464" t="str">
        <f>IFERROR(__xludf.DUMMYFUNCTION("""COMPUTED_VALUE"""),"KIMME")</f>
        <v>KIMME</v>
      </c>
      <c r="N432" s="279" t="str">
        <f>IFERROR(__xludf.DUMMYFUNCTION("""COMPUTED_VALUE"""),"https://www.tiktok.com/@ginafathonah_/video/7624182009308400917?_r=1&amp;u_code=dlhe22ikkib396&amp;region=&amp;mid=7616512443925941010&amp;preview_pb=0&amp;sharer_language=&amp;_d=0&amp;ec_shared_reflux_dynamic_params=%7B%22placeholder_material_id%22%3A%227624182009308400917%22%2C%2"&amp;"2placeholder_origin_cover%22%3A%22https%253A%252F%252Fp19-common-sign.tiktokcdn.com%252Ftos-alisg-p-0037%252FogHibi3SIr1Cqh5AwOqBfANIR1AiBH0waES0IQ~tplv-tiktokx-origin.jpeg%253Fdr%253D14572%2526refresh_token%253D3d65c822%2526x-expires%253D1808204400%2526x"&amp;"-signature%253DiFd2SP2SaEUnP7UcPP5jLD3Cwyk%25253D%2526t%253D4d5b0474%2526ps%253D13740610%2526shp%253Dd05b14bd%2526shcp%253D34ff8df6%2526idc%253Dmy3%2526s%253DTIKTOK_AFFILIATE_VIRAL_VIDEO%22%2C%22placeholder_product_id%22%3A%221729427766722726591%22%2C%22p"&amp;"laceholder_video_id%22%3A%227624182009308400917%22%7D&amp;ec_shared_reflux_scene=shop_tab_feed&amp;share_item_id=7624182009308400917&amp;source=h5_t")</f>
        <v>https://www.tiktok.com/@ginafathonah_/video/7624182009308400917?_r=1&amp;u_code=dlhe22ikkib396&amp;region=&amp;mid=7616512443925941010&amp;preview_pb=0&amp;sharer_language=&amp;_d=0&amp;ec_shared_reflux_dynamic_params=%7B%22placeholder_material_id%22%3A%227624182009308400917%22%2C%22placeholder_origin_cover%22%3A%22https%253A%252F%252Fp19-common-sign.tiktokcdn.com%252Ftos-alisg-p-0037%252FogHibi3SIr1Cqh5AwOqBfANIR1AiBH0waES0IQ~tplv-tiktokx-origin.jpeg%253Fdr%253D14572%2526refresh_token%253D3d65c822%2526x-expires%253D1808204400%2526x-signature%253DiFd2SP2SaEUnP7UcPP5jLD3Cwyk%25253D%2526t%253D4d5b0474%2526ps%253D13740610%2526shp%253Dd05b14bd%2526shcp%253D34ff8df6%2526idc%253Dmy3%2526s%253DTIKTOK_AFFILIATE_VIRAL_VIDEO%22%2C%22placeholder_product_id%22%3A%221729427766722726591%22%2C%22placeholder_video_id%22%3A%227624182009308400917%22%7D&amp;ec_shared_reflux_scene=shop_tab_feed&amp;share_item_id=7624182009308400917&amp;source=h5_t</v>
      </c>
      <c r="O432" s="464" t="str">
        <f>IFERROR(__xludf.DUMMYFUNCTION("""COMPUTED_VALUE"""),"KIMME")</f>
        <v>KIMME</v>
      </c>
      <c r="P432" s="279" t="str">
        <f>IFERROR(__xludf.DUMMYFUNCTION("""COMPUTED_VALUE"""),"https://www.tiktok.com/@ginafathonah_/video/7629981219089861909?_r=1&amp;u_code=dlhe22ikkib396&amp;region=&amp;mid=7624297612665047828&amp;preview_pb=0&amp;sharer_language=&amp;_d=0&amp;ec_shared_reflux_dynamic_params=%7B%22placeholder_material_id%22%3A%227629981219089861909%22%2C%2"&amp;"2placeholder_origin_cover%22%3A%22https%253A%252F%252Fp19-common-sign.tiktokcdn.com%252Ftos-alisg-p-0037%252FoMAxAI8eVi7A0CMBI0iB34vlI4rOwjqqAujQMI~tplv-tiktokx-origin.jpeg%253Fdr%253D14572%2526refresh_token%253De5d5157c%2526x-expires%253D1808204400%2526x"&amp;"-signature%253DK9x8WfO8pbYh1h3mZnoGtcZuIgc%25253D%2526t%253D4d5b0474%2526ps%253D13740610%2526shp%253Dd05b14bd%2526shcp%253D34ff8df6%2526idc%253Dmy3%2526s%253DTIKTOK_AFFILIATE_VIRAL_VIDEO%22%2C%22placeholder_product_id%22%3A%221729427766722726591%22%2C%22p"&amp;"laceholder_video_id%22%3A%227629981219089861909%22%7D&amp;ec_shared_reflux_scene=shop_tab_feed&amp;share_item_id=7629981219089861909&amp;source=h5_t")</f>
        <v>https://www.tiktok.com/@ginafathonah_/video/7629981219089861909?_r=1&amp;u_code=dlhe22ikkib396&amp;region=&amp;mid=7624297612665047828&amp;preview_pb=0&amp;sharer_language=&amp;_d=0&amp;ec_shared_reflux_dynamic_params=%7B%22placeholder_material_id%22%3A%227629981219089861909%22%2C%22placeholder_origin_cover%22%3A%22https%253A%252F%252Fp19-common-sign.tiktokcdn.com%252Ftos-alisg-p-0037%252FoMAxAI8eVi7A0CMBI0iB34vlI4rOwjqqAujQMI~tplv-tiktokx-origin.jpeg%253Fdr%253D14572%2526refresh_token%253De5d5157c%2526x-expires%253D1808204400%2526x-signature%253DK9x8WfO8pbYh1h3mZnoGtcZuIgc%25253D%2526t%253D4d5b0474%2526ps%253D13740610%2526shp%253Dd05b14bd%2526shcp%253D34ff8df6%2526idc%253Dmy3%2526s%253DTIKTOK_AFFILIATE_VIRAL_VIDEO%22%2C%22placeholder_product_id%22%3A%221729427766722726591%22%2C%22placeholder_video_id%22%3A%227629981219089861909%22%7D&amp;ec_shared_reflux_scene=shop_tab_feed&amp;share_item_id=7629981219089861909&amp;source=h5_t</v>
      </c>
    </row>
    <row r="433">
      <c r="A433" s="255" t="str">
        <f>IFERROR(__xludf.DUMMYFUNCTION("""COMPUTED_VALUE"""),"MICRO")</f>
        <v>MICRO</v>
      </c>
      <c r="B433" s="361" t="str">
        <f>IFERROR(__xludf.DUMMYFUNCTION("""COMPUTED_VALUE"""),"beautyfandaaa")</f>
        <v>beautyfandaaa</v>
      </c>
      <c r="C433" s="257" t="str">
        <f>IFERROR(__xludf.DUMMYFUNCTION("""COMPUTED_VALUE"""),"https://www.tiktok.com/@beautyfandaaa")</f>
        <v>https://www.tiktok.com/@beautyfandaaa</v>
      </c>
      <c r="D433" s="270">
        <f>IFERROR(__xludf.DUMMYFUNCTION("""COMPUTED_VALUE"""),8.3893302348E10)</f>
        <v>83893302348</v>
      </c>
      <c r="E433" s="457">
        <f>IFERROR(__xludf.DUMMYFUNCTION("""COMPUTED_VALUE"""),150000.0)</f>
        <v>150000</v>
      </c>
      <c r="F433" s="270">
        <f>IFERROR(__xludf.DUMMYFUNCTION("""COMPUTED_VALUE"""),2.0)</f>
        <v>2</v>
      </c>
      <c r="G433" s="17" t="str">
        <f>IFERROR(__xludf.DUMMYFUNCTION("""COMPUTED_VALUE"""),"Sabun batang 1 Box ( 2 PCS )")</f>
        <v>Sabun batang 1 Box ( 2 PCS )</v>
      </c>
      <c r="H433" s="463" t="str">
        <f>IFERROR(__xludf.DUMMYFUNCTION("""COMPUTED_VALUE"""),"Sampai")</f>
        <v>Sampai</v>
      </c>
      <c r="I433" s="464" t="str">
        <f>IFERROR(__xludf.DUMMYFUNCTION("""COMPUTED_VALUE"""),"KIMME")</f>
        <v>KIMME</v>
      </c>
      <c r="J433" s="279" t="str">
        <f>IFERROR(__xludf.DUMMYFUNCTION("""COMPUTED_VALUE"""),"https://www.tiktok.com/@beautyfandaaa/video/7629289709205753108?_r=1&amp;u_code=d31k4eca35a3ec&amp;region=&amp;mid=7571915099956709377&amp;preview_pb=0&amp;sharer_language=&amp;_d=0&amp;ec_shared_reflux_dynamic_params=%7B%22placeholder_material_id%22%3A%227629289709205753108%22%2C%2"&amp;"2placeholder_origin_cover%22%3A%22https%253A%252F%252Fp16-common-sign.tiktokcdn.com%252Ftos-alisg-p-0037%252FocgwbkrXA7tCC0q0IqIAAslBpiIWIAigzXzePB~tplv-tiktokx-origin.jpeg%253Fdr%253D14572%2526refresh_token%253Dfafd1f12%2526x-expires%253D1808204400%2526x"&amp;"-signature%253Dyl0yDwNfBpeCkzPpwN5TR8KEd0Q%25253D%2526t%253D4d5b0474%2526ps%253D13740610%2526shp%253Dd05b14bd%2526shcp%253D34ff8df6%2526idc%253Dmy3%2526s%253DTIKTOK_AFFILIATE_VIRAL_VIDEO%22%2C%22placeholder_product_id%22%3A%221729427766722726591%22%2C%22p"&amp;"laceholder_video_id%22%3A%227629289709205753108%22%7D&amp;ec_shared_reflux_scene=shop_tab_feed&amp;share_item_id=7629289709205753108&amp;source=h5_t")</f>
        <v>https://www.tiktok.com/@beautyfandaaa/video/7629289709205753108?_r=1&amp;u_code=d31k4eca35a3ec&amp;region=&amp;mid=7571915099956709377&amp;preview_pb=0&amp;sharer_language=&amp;_d=0&amp;ec_shared_reflux_dynamic_params=%7B%22placeholder_material_id%22%3A%227629289709205753108%22%2C%22placeholder_origin_cover%22%3A%22https%253A%252F%252Fp16-common-sign.tiktokcdn.com%252Ftos-alisg-p-0037%252FocgwbkrXA7tCC0q0IqIAAslBpiIWIAigzXzePB~tplv-tiktokx-origin.jpeg%253Fdr%253D14572%2526refresh_token%253Dfafd1f12%2526x-expires%253D1808204400%2526x-signature%253Dyl0yDwNfBpeCkzPpwN5TR8KEd0Q%25253D%2526t%253D4d5b0474%2526ps%253D13740610%2526shp%253Dd05b14bd%2526shcp%253D34ff8df6%2526idc%253Dmy3%2526s%253DTIKTOK_AFFILIATE_VIRAL_VIDEO%22%2C%22placeholder_product_id%22%3A%221729427766722726591%22%2C%22placeholder_video_id%22%3A%227629289709205753108%22%7D&amp;ec_shared_reflux_scene=shop_tab_feed&amp;share_item_id=7629289709205753108&amp;source=h5_t</v>
      </c>
      <c r="K433" s="464" t="str">
        <f>IFERROR(__xludf.DUMMYFUNCTION("""COMPUTED_VALUE"""),"KIMME")</f>
        <v>KIMME</v>
      </c>
      <c r="L433" s="279" t="str">
        <f>IFERROR(__xludf.DUMMYFUNCTION("""COMPUTED_VALUE"""),"https://www.tiktok.com/@beautyfandaaa/video/7629639623139986708?_r=1&amp;u_code=d31k4eca35a3ec&amp;region=&amp;mid=7580087028324616193&amp;preview_pb=0&amp;sharer_language=&amp;_d=0&amp;ec_shared_reflux_dynamic_params=%7B%22placeholder_material_id%22%3A%227629639623139986708%22%2C%2"&amp;"2placeholder_origin_cover%22%3A%22https%253A%252F%252Fp16-common-sign.tiktokcdn.com%252Ftos-alisg-p-0037%252Fo87hZ0lHiEuPAiPHFAuIqwA7AA28AcB1CIOfI1~tplv-tiktokx-origin.jpeg%253Fdr%253D14572%2526refresh_token%253Deae97814%2526x-expires%253D1808204400%2526x"&amp;"-signature%253DduobvdOA0A9KGrJ4Cw8lZ9H%25252FLzE%25253D%2526t%253D4d5b0474%2526ps%253D13740610%2526shp%253Dd05b14bd%2526shcp%253D34ff8df6%2526idc%253Dmy3%2526s%253DTIKTOK_AFFILIATE_VIRAL_VIDEO%22%2C%22placeholder_product_id%22%3A%221729427766722726591%22%"&amp;"2C%22placeholder_video_id%22%3A%227629639623139986708%22%7D&amp;ec_shared_reflux_scene=shop_tab_feed&amp;share_item_id=7629639623139986708&amp;source=h5_t")</f>
        <v>https://www.tiktok.com/@beautyfandaaa/video/7629639623139986708?_r=1&amp;u_code=d31k4eca35a3ec&amp;region=&amp;mid=7580087028324616193&amp;preview_pb=0&amp;sharer_language=&amp;_d=0&amp;ec_shared_reflux_dynamic_params=%7B%22placeholder_material_id%22%3A%227629639623139986708%22%2C%22placeholder_origin_cover%22%3A%22https%253A%252F%252Fp16-common-sign.tiktokcdn.com%252Ftos-alisg-p-0037%252Fo87hZ0lHiEuPAiPHFAuIqwA7AA28AcB1CIOfI1~tplv-tiktokx-origin.jpeg%253Fdr%253D14572%2526refresh_token%253Deae97814%2526x-expires%253D1808204400%2526x-signature%253DduobvdOA0A9KGrJ4Cw8lZ9H%25252FLzE%25253D%2526t%253D4d5b0474%2526ps%253D13740610%2526shp%253Dd05b14bd%2526shcp%253D34ff8df6%2526idc%253Dmy3%2526s%253DTIKTOK_AFFILIATE_VIRAL_VIDEO%22%2C%22placeholder_product_id%22%3A%221729427766722726591%22%2C%22placeholder_video_id%22%3A%227629639623139986708%22%7D&amp;ec_shared_reflux_scene=shop_tab_feed&amp;share_item_id=7629639623139986708&amp;source=h5_t</v>
      </c>
      <c r="M433" s="464"/>
      <c r="N433" s="279" t="str">
        <f>IFERROR(__xludf.DUMMYFUNCTION("""COMPUTED_VALUE"""),"https://vt.tiktok.com/ZS9c7G1Nh/")</f>
        <v>https://vt.tiktok.com/ZS9c7G1Nh/</v>
      </c>
      <c r="O433" s="464"/>
      <c r="P433" s="279" t="str">
        <f>IFERROR(__xludf.DUMMYFUNCTION("""COMPUTED_VALUE"""),"https://vt.tiktok.com/ZS9vmKy3q/")</f>
        <v>https://vt.tiktok.com/ZS9vmKy3q/</v>
      </c>
    </row>
    <row r="434">
      <c r="A434" s="255" t="str">
        <f>IFERROR(__xludf.DUMMYFUNCTION("""COMPUTED_VALUE"""),"MICRO")</f>
        <v>MICRO</v>
      </c>
      <c r="B434" s="361" t="str">
        <f>IFERROR(__xludf.DUMMYFUNCTION("""COMPUTED_VALUE"""),"nda_rizkii
")</f>
        <v>nda_rizkii
</v>
      </c>
      <c r="C434" s="257" t="str">
        <f>IFERROR(__xludf.DUMMYFUNCTION("""COMPUTED_VALUE"""),"https://www.tiktok.com/@nda_rizkii
")</f>
        <v>https://www.tiktok.com/@nda_rizkii
</v>
      </c>
      <c r="D434" s="270">
        <f>IFERROR(__xludf.DUMMYFUNCTION("""COMPUTED_VALUE"""),8.9524943387E10)</f>
        <v>89524943387</v>
      </c>
      <c r="E434" s="457">
        <f>IFERROR(__xludf.DUMMYFUNCTION("""COMPUTED_VALUE"""),0.0)</f>
        <v>0</v>
      </c>
      <c r="F434" s="270">
        <f>IFERROR(__xludf.DUMMYFUNCTION("""COMPUTED_VALUE"""),4.0)</f>
        <v>4</v>
      </c>
      <c r="G434" s="17" t="str">
        <f>IFERROR(__xludf.DUMMYFUNCTION("""COMPUTED_VALUE"""),"Sabun batang 1 Box ( 2 PCS )")</f>
        <v>Sabun batang 1 Box ( 2 PCS )</v>
      </c>
      <c r="H434" s="463" t="str">
        <f>IFERROR(__xludf.DUMMYFUNCTION("""COMPUTED_VALUE"""),"Sampai")</f>
        <v>Sampai</v>
      </c>
      <c r="I434" s="464" t="str">
        <f>IFERROR(__xludf.DUMMYFUNCTION("""COMPUTED_VALUE"""),"KIMME")</f>
        <v>KIMME</v>
      </c>
      <c r="J434" s="279" t="str">
        <f>IFERROR(__xludf.DUMMYFUNCTION("""COMPUTED_VALUE"""),"https://www.tiktok.com/@snowme.shop/video/7629990550870986004?_r=1&amp;u_code=dal30337ieiagk&amp;region=&amp;mid=7623981356443306753&amp;preview_pb=0&amp;sharer_language=&amp;_d=0&amp;ec_shared_reflux_dynamic_params=%7B%22placeholder_material_id%22%3A%227629990550870986004%22%2C%22p"&amp;"laceholder_origin_cover%22%3A%22https%253A%252F%252Fp16-sign-sg.tiktokcdn.com%252Ftos-alisg-p-0037%252FoQSjh1XiQoIUBIMI7Ai0ALjBwruQTAbAfZ8CV2~tplv-tiktokx-origin.jpeg%253Fdr%253D14572%2526refresh_token%253D504c3085%2526x-expires%253D1808204400%2526x-signa"&amp;"ture%253D2jJ1q62yCBjFpsIHfYA5i70wl5A%25253D%2526t%253D4d5b0474%2526ps%253D13740610%2526shp%253Dd05b14bd%2526shcp%253D34ff8df6%2526idc%253Dmy3%2526s%253DTIKTOK_AFFILIATE_VIRAL_VIDEO%22%2C%22placeholder_product_id%22%3A%221729427766722726591%22%2C%22placeho"&amp;"lder_video_id%22%3A%227629990550870986004%22%7D&amp;ec_shared_reflux_scene=shop_tab_feed&amp;share_item_id=7629990550870986004&amp;source=h5_t")</f>
        <v>https://www.tiktok.com/@snowme.shop/video/7629990550870986004?_r=1&amp;u_code=dal30337ieiagk&amp;region=&amp;mid=7623981356443306753&amp;preview_pb=0&amp;sharer_language=&amp;_d=0&amp;ec_shared_reflux_dynamic_params=%7B%22placeholder_material_id%22%3A%227629990550870986004%22%2C%22placeholder_origin_cover%22%3A%22https%253A%252F%252Fp16-sign-sg.tiktokcdn.com%252Ftos-alisg-p-0037%252FoQSjh1XiQoIUBIMI7Ai0ALjBwruQTAbAfZ8CV2~tplv-tiktokx-origin.jpeg%253Fdr%253D14572%2526refresh_token%253D504c3085%2526x-expires%253D1808204400%2526x-signature%253D2jJ1q62yCBjFpsIHfYA5i70wl5A%25253D%2526t%253D4d5b0474%2526ps%253D13740610%2526shp%253Dd05b14bd%2526shcp%253D34ff8df6%2526idc%253Dmy3%2526s%253DTIKTOK_AFFILIATE_VIRAL_VIDEO%22%2C%22placeholder_product_id%22%3A%221729427766722726591%22%2C%22placeholder_video_id%22%3A%227629990550870986004%22%7D&amp;ec_shared_reflux_scene=shop_tab_feed&amp;share_item_id=7629990550870986004&amp;source=h5_t</v>
      </c>
      <c r="K434" s="464" t="str">
        <f>IFERROR(__xludf.DUMMYFUNCTION("""COMPUTED_VALUE"""),"KIMME")</f>
        <v>KIMME</v>
      </c>
      <c r="L434" s="279" t="str">
        <f>IFERROR(__xludf.DUMMYFUNCTION("""COMPUTED_VALUE"""),"https://www.tiktok.com/@snowme.shop/video/7630125936368864532?_r=1&amp;u_code=dal30337ieiagk&amp;region=&amp;mid=7251560934655887361&amp;preview_pb=0&amp;sharer_language=&amp;_d=0&amp;ec_shared_reflux_dynamic_params=%7B%22placeholder_material_id%22%3A%227630125936368864532%22%2C%22p"&amp;"laceholder_origin_cover%22%3A%22https%253A%252F%252Fp16-common-sign.tiktokcdn.com%252Ftos-alisg-p-0037%252Fok22CfphDDjTFesIejEp0QQyxC4QCYjA1dj12A~tplv-tiktokx-origin.jpeg%253Fdr%253D14572%2526refresh_token%253D55ff4990%2526x-expires%253D1808204400%2526x-s"&amp;"ignature%253DuZljd3EKmtnUxq4QjLtZ7g3PQ0A%25253D%2526t%253D4d5b0474%2526ps%253D13740610%2526shp%253Dd05b14bd%2526shcp%253D34ff8df6%2526idc%253Dmy3%2526s%253DTIKTOK_AFFILIATE_VIRAL_VIDEO%22%2C%22placeholder_product_id%22%3A%221729427766722726591%22%2C%22pla"&amp;"ceholder_video_id%22%3A%227630125936368864532%22%7D&amp;ec_shared_reflux_scene=shop_tab_feed&amp;share_item_id=7630125936368864532&amp;source=h5_t")</f>
        <v>https://www.tiktok.com/@snowme.shop/video/7630125936368864532?_r=1&amp;u_code=dal30337ieiagk&amp;region=&amp;mid=7251560934655887361&amp;preview_pb=0&amp;sharer_language=&amp;_d=0&amp;ec_shared_reflux_dynamic_params=%7B%22placeholder_material_id%22%3A%227630125936368864532%22%2C%22placeholder_origin_cover%22%3A%22https%253A%252F%252Fp16-common-sign.tiktokcdn.com%252Ftos-alisg-p-0037%252Fok22CfphDDjTFesIejEp0QQyxC4QCYjA1dj12A~tplv-tiktokx-origin.jpeg%253Fdr%253D14572%2526refresh_token%253D55ff4990%2526x-expires%253D1808204400%2526x-signature%253DuZljd3EKmtnUxq4QjLtZ7g3PQ0A%25253D%2526t%253D4d5b0474%2526ps%253D13740610%2526shp%253Dd05b14bd%2526shcp%253D34ff8df6%2526idc%253Dmy3%2526s%253DTIKTOK_AFFILIATE_VIRAL_VIDEO%22%2C%22placeholder_product_id%22%3A%221729427766722726591%22%2C%22placeholder_video_id%22%3A%227630125936368864532%22%7D&amp;ec_shared_reflux_scene=shop_tab_feed&amp;share_item_id=7630125936368864532&amp;source=h5_t</v>
      </c>
      <c r="M434" s="464" t="str">
        <f>IFERROR(__xludf.DUMMYFUNCTION("""COMPUTED_VALUE"""),"KIMME")</f>
        <v>KIMME</v>
      </c>
      <c r="N434" s="279" t="str">
        <f>IFERROR(__xludf.DUMMYFUNCTION("""COMPUTED_VALUE"""),"https://www.tiktok.com/@snowme.shop/video/7630277174750104852?_r=1&amp;u_code=dal30337ieiagk&amp;region=&amp;mid=7613023919407466497&amp;preview_pb=0&amp;sharer_language=&amp;_d=0&amp;ec_shared_reflux_dynamic_params=%7B%22placeholder_material_id%22%3A%227630277174750104852%22%2C%22p"&amp;"laceholder_origin_cover%22%3A%22https%253A%252F%252Fp19-common-sign.tiktokcdn.com%252Ftos-alisg-p-0037%252Fo4jCFLD9BWXen8y8WTXeAy4IGbQIQclMGGYeIA~tplv-tiktokx-origin.jpeg%253Fdr%253D14572%2526refresh_token%253Da7480e96%2526x-expires%253D1808204400%2526x-s"&amp;"ignature%253DLXJttl9Q1GUksx%25252FAxQvEdmOf3BM%25253D%2526t%253D4d5b0474%2526ps%253D13740610%2526shp%253Dd05b14bd%2526shcp%253D34ff8df6%2526idc%253Dmy3%2526s%253DTIKTOK_AFFILIATE_VIRAL_VIDEO%22%2C%22placeholder_product_id%22%3A%221729427766722726591%22%2C"&amp;"%22placeholder_video_id%22%3A%227630277174750104852%22%7D&amp;ec_shared_reflux_scene=shop_tab_feed&amp;share_item_id=7630277174750104852&amp;source=h5_t")</f>
        <v>https://www.tiktok.com/@snowme.shop/video/7630277174750104852?_r=1&amp;u_code=dal30337ieiagk&amp;region=&amp;mid=7613023919407466497&amp;preview_pb=0&amp;sharer_language=&amp;_d=0&amp;ec_shared_reflux_dynamic_params=%7B%22placeholder_material_id%22%3A%227630277174750104852%22%2C%22placeholder_origin_cover%22%3A%22https%253A%252F%252Fp19-common-sign.tiktokcdn.com%252Ftos-alisg-p-0037%252Fo4jCFLD9BWXen8y8WTXeAy4IGbQIQclMGGYeIA~tplv-tiktokx-origin.jpeg%253Fdr%253D14572%2526refresh_token%253Da7480e96%2526x-expires%253D1808204400%2526x-signature%253DLXJttl9Q1GUksx%25252FAxQvEdmOf3BM%25253D%2526t%253D4d5b0474%2526ps%253D13740610%2526shp%253Dd05b14bd%2526shcp%253D34ff8df6%2526idc%253Dmy3%2526s%253DTIKTOK_AFFILIATE_VIRAL_VIDEO%22%2C%22placeholder_product_id%22%3A%221729427766722726591%22%2C%22placeholder_video_id%22%3A%227630277174750104852%22%7D&amp;ec_shared_reflux_scene=shop_tab_feed&amp;share_item_id=7630277174750104852&amp;source=h5_t</v>
      </c>
      <c r="O434" s="464" t="str">
        <f>IFERROR(__xludf.DUMMYFUNCTION("""COMPUTED_VALUE"""),"KIMME")</f>
        <v>KIMME</v>
      </c>
      <c r="P434" s="279" t="str">
        <f>IFERROR(__xludf.DUMMYFUNCTION("""COMPUTED_VALUE"""),"https://www.tiktok.com/@snowme.shop/video/7630438601528003861?_r=1&amp;u_code=dal30337ieiagk&amp;region=&amp;mid=7589982206799039240&amp;preview_pb=0&amp;sharer_language=&amp;_d=0&amp;ec_shared_reflux_dynamic_params=%7B%22placeholder_material_id%22%3A%227630438601528003861%22%2C%22p"&amp;"laceholder_origin_cover%22%3A%22https%253A%252F%252Fp16-sign-sg.tiktokcdn.com%252Ftos-alisg-p-0037%252Fo0raEWEIIDATfhyfgwF4kT7Hf4b3zIAWDCYjA5~tplv-tiktokx-origin.jpeg%253Fdr%253D14572%2526refresh_token%253D29260af3%2526x-expires%253D1808204400%2526x-signa"&amp;"ture%253D00b8UKFzbT7y2nr7UIpPFQEwKU8%25253D%2526t%253D4d5b0474%2526ps%253D13740610%2526shp%253Dd05b14bd%2526shcp%253D34ff8df6%2526idc%253Dmy3%2526s%253DTIKTOK_AFFILIATE_VIRAL_VIDEO%22%2C%22placeholder_product_id%22%3A%221729427766722726591%22%2C%22placeho"&amp;"lder_video_id%22%3A%227630438601528003861%22%7D&amp;ec_shared_reflux_scene=shop_tab_feed&amp;share_item_id=7630438601528003861&amp;source=h5_t")</f>
        <v>https://www.tiktok.com/@snowme.shop/video/7630438601528003861?_r=1&amp;u_code=dal30337ieiagk&amp;region=&amp;mid=7589982206799039240&amp;preview_pb=0&amp;sharer_language=&amp;_d=0&amp;ec_shared_reflux_dynamic_params=%7B%22placeholder_material_id%22%3A%227630438601528003861%22%2C%22placeholder_origin_cover%22%3A%22https%253A%252F%252Fp16-sign-sg.tiktokcdn.com%252Ftos-alisg-p-0037%252Fo0raEWEIIDATfhyfgwF4kT7Hf4b3zIAWDCYjA5~tplv-tiktokx-origin.jpeg%253Fdr%253D14572%2526refresh_token%253D29260af3%2526x-expires%253D1808204400%2526x-signature%253D00b8UKFzbT7y2nr7UIpPFQEwKU8%25253D%2526t%253D4d5b0474%2526ps%253D13740610%2526shp%253Dd05b14bd%2526shcp%253D34ff8df6%2526idc%253Dmy3%2526s%253DTIKTOK_AFFILIATE_VIRAL_VIDEO%22%2C%22placeholder_product_id%22%3A%221729427766722726591%22%2C%22placeholder_video_id%22%3A%227630438601528003861%22%7D&amp;ec_shared_reflux_scene=shop_tab_feed&amp;share_item_id=7630438601528003861&amp;source=h5_t</v>
      </c>
    </row>
    <row r="435">
      <c r="A435" s="255" t="str">
        <f>IFERROR(__xludf.DUMMYFUNCTION("""COMPUTED_VALUE"""),"MICRO")</f>
        <v>MICRO</v>
      </c>
      <c r="B435" s="361" t="str">
        <f>IFERROR(__xludf.DUMMYFUNCTION("""COMPUTED_VALUE"""),"ayudiafal")</f>
        <v>ayudiafal</v>
      </c>
      <c r="C435" s="257" t="str">
        <f>IFERROR(__xludf.DUMMYFUNCTION("""COMPUTED_VALUE"""),"https://www.tiktok.com/@ayudiafal")</f>
        <v>https://www.tiktok.com/@ayudiafal</v>
      </c>
      <c r="D435" s="270">
        <f>IFERROR(__xludf.DUMMYFUNCTION("""COMPUTED_VALUE"""),8.2142924012E10)</f>
        <v>82142924012</v>
      </c>
      <c r="E435" s="457">
        <f>IFERROR(__xludf.DUMMYFUNCTION("""COMPUTED_VALUE"""),50000.0)</f>
        <v>50000</v>
      </c>
      <c r="F435" s="270">
        <f>IFERROR(__xludf.DUMMYFUNCTION("""COMPUTED_VALUE"""),1.0)</f>
        <v>1</v>
      </c>
      <c r="G435" s="17" t="str">
        <f>IFERROR(__xludf.DUMMYFUNCTION("""COMPUTED_VALUE"""),"Sabun batang 1 Box ( 2 PCS )")</f>
        <v>Sabun batang 1 Box ( 2 PCS )</v>
      </c>
      <c r="H435" s="463" t="str">
        <f>IFERROR(__xludf.DUMMYFUNCTION("""COMPUTED_VALUE"""),"Sampai")</f>
        <v>Sampai</v>
      </c>
      <c r="I435" s="464" t="str">
        <f>IFERROR(__xludf.DUMMYFUNCTION("""COMPUTED_VALUE"""),"KIMME")</f>
        <v>KIMME</v>
      </c>
      <c r="J435" s="279" t="str">
        <f>IFERROR(__xludf.DUMMYFUNCTION("""COMPUTED_VALUE"""),"https://vt.tiktok.com/ZSHF3AYyL/")</f>
        <v>https://vt.tiktok.com/ZSHF3AYyL/</v>
      </c>
      <c r="K435" s="464" t="str">
        <f>IFERROR(__xludf.DUMMYFUNCTION("""COMPUTED_VALUE"""),"KIMME")</f>
        <v>KIMME</v>
      </c>
      <c r="L435" s="279" t="str">
        <f>IFERROR(__xludf.DUMMYFUNCTION("""COMPUTED_VALUE"""),"https://vt.tiktok.com/ZS9vmH6tS/")</f>
        <v>https://vt.tiktok.com/ZS9vmH6tS/</v>
      </c>
      <c r="M435" s="464"/>
      <c r="N435" s="279" t="str">
        <f>IFERROR(__xludf.DUMMYFUNCTION("""COMPUTED_VALUE"""),"https://vt.tiktok.com/ZS9vmbRFP/")</f>
        <v>https://vt.tiktok.com/ZS9vmbRFP/</v>
      </c>
      <c r="O435" s="464"/>
      <c r="P435" s="279" t="str">
        <f>IFERROR(__xludf.DUMMYFUNCTION("""COMPUTED_VALUE"""),"https://vt.tiktok.com/ZS9vmt4Xc/")</f>
        <v>https://vt.tiktok.com/ZS9vmt4Xc/</v>
      </c>
    </row>
    <row r="436">
      <c r="A436" s="255" t="str">
        <f>IFERROR(__xludf.DUMMYFUNCTION("""COMPUTED_VALUE"""),"MACRO")</f>
        <v>MACRO</v>
      </c>
      <c r="B436" s="361" t="str">
        <f>IFERROR(__xludf.DUMMYFUNCTION("""COMPUTED_VALUE"""),"fitrianindy")</f>
        <v>fitrianindy</v>
      </c>
      <c r="C436" s="257" t="str">
        <f>IFERROR(__xludf.DUMMYFUNCTION("""COMPUTED_VALUE"""),"https://www.tiktok.com/@fitrianindy")</f>
        <v>https://www.tiktok.com/@fitrianindy</v>
      </c>
      <c r="D436" s="270">
        <f>IFERROR(__xludf.DUMMYFUNCTION("""COMPUTED_VALUE"""),8.2260903877E10)</f>
        <v>82260903877</v>
      </c>
      <c r="E436" s="457">
        <f>IFERROR(__xludf.DUMMYFUNCTION("""COMPUTED_VALUE"""),0.0)</f>
        <v>0</v>
      </c>
      <c r="F436" s="270">
        <f>IFERROR(__xludf.DUMMYFUNCTION("""COMPUTED_VALUE"""),1.0)</f>
        <v>1</v>
      </c>
      <c r="G436" s="17" t="str">
        <f>IFERROR(__xludf.DUMMYFUNCTION("""COMPUTED_VALUE"""),"Sabun batang 1 Box ( 2 PCS )")</f>
        <v>Sabun batang 1 Box ( 2 PCS )</v>
      </c>
      <c r="H436" s="463" t="str">
        <f>IFERROR(__xludf.DUMMYFUNCTION("""COMPUTED_VALUE"""),"Sampai")</f>
        <v>Sampai</v>
      </c>
      <c r="I436" s="464" t="str">
        <f>IFERROR(__xludf.DUMMYFUNCTION("""COMPUTED_VALUE"""),"KIMME")</f>
        <v>KIMME</v>
      </c>
      <c r="J436" s="279" t="str">
        <f>IFERROR(__xludf.DUMMYFUNCTION("""COMPUTED_VALUE"""),"https://www.tiktok.com/@snowme.shop/video/7630633958824332565?_r=1&amp;u_code=dal30337ieiagk&amp;region=&amp;mid=7186103591168658203&amp;preview_pb=0&amp;sharer_language=&amp;_d=0&amp;ec_shared_reflux_dynamic_params=%7B%22placeholder_material_id%22%3A%227630633958824332565%22%2C%22p"&amp;"laceholder_origin_cover%22%3A%22https%253A%252F%252Fp16-common-sign.tiktokcdn.com%252Ftos-alisg-p-0037%252FoQTeQCWKfP4bEzxlDBMAQpy8jeTAdC3IUuQG8s~tplv-tiktokx-origin.jpeg%253Fdr%253D14572%2526refresh_token%253Dcea6359f%2526x-expires%253D1808204400%2526x-s"&amp;"ignature%253D%25252BDQp4sC17e6qrIvs91njhK3%25252FOOw%25253D%2526t%253D4d5b0474%2526ps%253D13740610%2526shp%253Dd05b14bd%2526shcp%253D34ff8df6%2526idc%253Dmy3%2526s%253DTIKTOK_AFFILIATE_VIRAL_VIDEO%22%2C%22placeholder_product_id%22%3A%221729427766722726591"&amp;"%22%2C%22placeholder_video_id%22%3A%227630633958824332565%22%7D&amp;ec_shared_reflux_scene=shop_tab_feed&amp;share_item_id=7630633958824332565&amp;source=h5_t")</f>
        <v>https://www.tiktok.com/@snowme.shop/video/7630633958824332565?_r=1&amp;u_code=dal30337ieiagk&amp;region=&amp;mid=7186103591168658203&amp;preview_pb=0&amp;sharer_language=&amp;_d=0&amp;ec_shared_reflux_dynamic_params=%7B%22placeholder_material_id%22%3A%227630633958824332565%22%2C%22placeholder_origin_cover%22%3A%22https%253A%252F%252Fp16-common-sign.tiktokcdn.com%252Ftos-alisg-p-0037%252FoQTeQCWKfP4bEzxlDBMAQpy8jeTAdC3IUuQG8s~tplv-tiktokx-origin.jpeg%253Fdr%253D14572%2526refresh_token%253Dcea6359f%2526x-expires%253D1808204400%2526x-signature%253D%25252BDQp4sC17e6qrIvs91njhK3%25252FOOw%25253D%2526t%253D4d5b0474%2526ps%253D13740610%2526shp%253Dd05b14bd%2526shcp%253D34ff8df6%2526idc%253Dmy3%2526s%253DTIKTOK_AFFILIATE_VIRAL_VIDEO%22%2C%22placeholder_product_id%22%3A%221729427766722726591%22%2C%22placeholder_video_id%22%3A%227630633958824332565%22%7D&amp;ec_shared_reflux_scene=shop_tab_feed&amp;share_item_id=7630633958824332565&amp;source=h5_t</v>
      </c>
      <c r="K436" s="464" t="str">
        <f>IFERROR(__xludf.DUMMYFUNCTION("""COMPUTED_VALUE"""),"KIMME")</f>
        <v>KIMME</v>
      </c>
      <c r="L436" s="279" t="str">
        <f>IFERROR(__xludf.DUMMYFUNCTION("""COMPUTED_VALUE"""),"https://vt.tiktok.com/ZSxAaH9Fk/")</f>
        <v>https://vt.tiktok.com/ZSxAaH9Fk/</v>
      </c>
      <c r="M436" s="464"/>
      <c r="N436" s="17"/>
      <c r="O436" s="464"/>
      <c r="P436" s="17"/>
    </row>
    <row r="437">
      <c r="A437" s="255" t="str">
        <f>IFERROR(__xludf.DUMMYFUNCTION("""COMPUTED_VALUE"""),"MICRO")</f>
        <v>MICRO</v>
      </c>
      <c r="B437" s="361" t="str">
        <f>IFERROR(__xludf.DUMMYFUNCTION("""COMPUTED_VALUE"""),"appuccii")</f>
        <v>appuccii</v>
      </c>
      <c r="C437" s="257" t="str">
        <f>IFERROR(__xludf.DUMMYFUNCTION("""COMPUTED_VALUE"""),"https://www.tiktok.com/@appuccii")</f>
        <v>https://www.tiktok.com/@appuccii</v>
      </c>
      <c r="D437" s="270">
        <f>IFERROR(__xludf.DUMMYFUNCTION("""COMPUTED_VALUE"""),8.8214794464E10)</f>
        <v>88214794464</v>
      </c>
      <c r="E437" s="457">
        <f>IFERROR(__xludf.DUMMYFUNCTION("""COMPUTED_VALUE"""),0.0)</f>
        <v>0</v>
      </c>
      <c r="F437" s="270">
        <f>IFERROR(__xludf.DUMMYFUNCTION("""COMPUTED_VALUE"""),4.0)</f>
        <v>4</v>
      </c>
      <c r="G437" s="17" t="str">
        <f>IFERROR(__xludf.DUMMYFUNCTION("""COMPUTED_VALUE"""),"Sabun batang 1 Box ( 2 PCS )")</f>
        <v>Sabun batang 1 Box ( 2 PCS )</v>
      </c>
      <c r="H437" s="463" t="str">
        <f>IFERROR(__xludf.DUMMYFUNCTION("""COMPUTED_VALUE"""),"Sampai")</f>
        <v>Sampai</v>
      </c>
      <c r="I437" s="464" t="str">
        <f>IFERROR(__xludf.DUMMYFUNCTION("""COMPUTED_VALUE"""),"KIMME")</f>
        <v>KIMME</v>
      </c>
      <c r="J437" s="279" t="str">
        <f>IFERROR(__xludf.DUMMYFUNCTION("""COMPUTED_VALUE"""),"https://www.tiktok.com/@snowme.shop/video/7629142041108303125?_r=1&amp;u_code=dal30337ieiagk&amp;region=&amp;mid=7522454204213168918&amp;preview_pb=0&amp;sharer_language=&amp;_d=0&amp;ec_shared_reflux_dynamic_params=%7B%22placeholder_material_id%22%3A%227629142041108303125%22%2C%22p"&amp;"laceholder_origin_cover%22%3A%22https%253A%252F%252Fp16-common-sign.tiktokcdn.com%252Ftos-alisg-p-0037%252FoI85K0U3fAAyAJBdCFUgQ2IwDiIDB8W9XuiIAN~tplv-tiktokx-origin.jpeg%253Fdr%253D14572%2526refresh_token%253D3b6e3d29%2526x-expires%253D1808204400%2526x-s"&amp;"ignature%253DjSzONcVs8VMbRFkwLJjrRhqgc1E%25253D%2526t%253D4d5b0474%2526ps%253D13740610%2526shp%253Dd05b14bd%2526shcp%253D34ff8df6%2526idc%253Dmy3%2526s%253DTIKTOK_AFFILIATE_VIRAL_VIDEO%22%2C%22placeholder_product_id%22%3A%221729427766722726591%22%2C%22pla"&amp;"ceholder_video_id%22%3A%227629142041108303125%22%7D&amp;ec_shared_reflux_scene=shop_tab_feed&amp;share_item_id=7629142041108303125&amp;source=h5_t")</f>
        <v>https://www.tiktok.com/@snowme.shop/video/7629142041108303125?_r=1&amp;u_code=dal30337ieiagk&amp;region=&amp;mid=7522454204213168918&amp;preview_pb=0&amp;sharer_language=&amp;_d=0&amp;ec_shared_reflux_dynamic_params=%7B%22placeholder_material_id%22%3A%227629142041108303125%22%2C%22placeholder_origin_cover%22%3A%22https%253A%252F%252Fp16-common-sign.tiktokcdn.com%252Ftos-alisg-p-0037%252FoI85K0U3fAAyAJBdCFUgQ2IwDiIDB8W9XuiIAN~tplv-tiktokx-origin.jpeg%253Fdr%253D14572%2526refresh_token%253D3b6e3d29%2526x-expires%253D1808204400%2526x-signature%253DjSzONcVs8VMbRFkwLJjrRhqgc1E%25253D%2526t%253D4d5b0474%2526ps%253D13740610%2526shp%253Dd05b14bd%2526shcp%253D34ff8df6%2526idc%253Dmy3%2526s%253DTIKTOK_AFFILIATE_VIRAL_VIDEO%22%2C%22placeholder_product_id%22%3A%221729427766722726591%22%2C%22placeholder_video_id%22%3A%227629142041108303125%22%7D&amp;ec_shared_reflux_scene=shop_tab_feed&amp;share_item_id=7629142041108303125&amp;source=h5_t</v>
      </c>
      <c r="K437" s="464" t="str">
        <f>IFERROR(__xludf.DUMMYFUNCTION("""COMPUTED_VALUE"""),"KIMME")</f>
        <v>KIMME</v>
      </c>
      <c r="L437" s="279" t="str">
        <f>IFERROR(__xludf.DUMMYFUNCTION("""COMPUTED_VALUE"""),"https://www.tiktok.com/@snowme.shop/video/7629143314532453653?_r=1&amp;u_code=dal30337ieiagk&amp;region=&amp;mid=7534219482588302086&amp;preview_pb=0&amp;sharer_language=&amp;_d=0&amp;ec_shared_reflux_dynamic_params=%7B%22placeholder_material_id%22%3A%227629143314532453653%22%2C%22p"&amp;"laceholder_origin_cover%22%3A%22https%253A%252F%252Fp16-common-sign.tiktokcdn.com%252Ftos-alisg-p-0037%252FoYIlg0NC9ABPcwIGxiIAHiiASKBnU8B3pfMtXu~tplv-tiktokx-origin.jpeg%253Fdr%253D14572%2526refresh_token%253D52808c6b%2526x-expires%253D1808204400%2526x-s"&amp;"ignature%253DVa8X5wjqKR4bc%25252BJ%25252FFbcCW4WvcLM%25253D%2526t%253D4d5b0474%2526ps%253D13740610%2526shp%253Dd05b14bd%2526shcp%253D34ff8df6%2526idc%253Dmy3%2526s%253DTIKTOK_AFFILIATE_VIRAL_VIDEO%22%2C%22placeholder_product_id%22%3A%221729427766722726591"&amp;"%22%2C%22placeholder_video_id%22%3A%227629143314532453653%22%7D&amp;ec_shared_reflux_scene=shop_tab_feed&amp;share_item_id=7629143314532453653&amp;source=h5_t")</f>
        <v>https://www.tiktok.com/@snowme.shop/video/7629143314532453653?_r=1&amp;u_code=dal30337ieiagk&amp;region=&amp;mid=7534219482588302086&amp;preview_pb=0&amp;sharer_language=&amp;_d=0&amp;ec_shared_reflux_dynamic_params=%7B%22placeholder_material_id%22%3A%227629143314532453653%22%2C%22placeholder_origin_cover%22%3A%22https%253A%252F%252Fp16-common-sign.tiktokcdn.com%252Ftos-alisg-p-0037%252FoYIlg0NC9ABPcwIGxiIAHiiASKBnU8B3pfMtXu~tplv-tiktokx-origin.jpeg%253Fdr%253D14572%2526refresh_token%253D52808c6b%2526x-expires%253D1808204400%2526x-signature%253DVa8X5wjqKR4bc%25252BJ%25252FFbcCW4WvcLM%25253D%2526t%253D4d5b0474%2526ps%253D13740610%2526shp%253Dd05b14bd%2526shcp%253D34ff8df6%2526idc%253Dmy3%2526s%253DTIKTOK_AFFILIATE_VIRAL_VIDEO%22%2C%22placeholder_product_id%22%3A%221729427766722726591%22%2C%22placeholder_video_id%22%3A%227629143314532453653%22%7D&amp;ec_shared_reflux_scene=shop_tab_feed&amp;share_item_id=7629143314532453653&amp;source=h5_t</v>
      </c>
      <c r="M437" s="464" t="str">
        <f>IFERROR(__xludf.DUMMYFUNCTION("""COMPUTED_VALUE"""),"KIMME")</f>
        <v>KIMME</v>
      </c>
      <c r="N437" s="279" t="str">
        <f>IFERROR(__xludf.DUMMYFUNCTION("""COMPUTED_VALUE"""),"https://www.tiktok.com/@snowme.shop/video/7629259814828330260?_r=1&amp;u_code=dal30337ieiagk&amp;region=&amp;mid=7624394480175287047&amp;preview_pb=0&amp;sharer_language=&amp;_d=0&amp;ec_shared_reflux_dynamic_params=%7B%22placeholder_material_id%22%3A%227629259814828330260%22%2C%22p"&amp;"laceholder_origin_cover%22%3A%22https%253A%252F%252Fp16-common-sign.tiktokcdn.com%252Ftos-alisg-p-0037%252FoEBxg2fmB2DE0iVCRg1AAuuZi8IAkIIwIOTAz8~tplv-tiktokx-origin.jpeg%253Fdr%253D14572%2526refresh_token%253Db9073e0e%2526x-expires%253D1808204400%2526x-s"&amp;"ignature%253DvTsdjXn4wtRQ9Cy4cjRh%25252Flcm0S4%25253D%2526t%253D4d5b0474%2526ps%253D13740610%2526shp%253Dd05b14bd%2526shcp%253D34ff8df6%2526idc%253Dmy3%2526s%253DTIKTOK_AFFILIATE_VIRAL_VIDEO%22%2C%22placeholder_product_id%22%3A%221729427766722726591%22%2C"&amp;"%22placeholder_video_id%22%3A%227629259814828330260%22%7D&amp;ec_shared_reflux_scene=shop_tab_feed&amp;share_item_id=7629259814828330260&amp;source=h5_t")</f>
        <v>https://www.tiktok.com/@snowme.shop/video/7629259814828330260?_r=1&amp;u_code=dal30337ieiagk&amp;region=&amp;mid=7624394480175287047&amp;preview_pb=0&amp;sharer_language=&amp;_d=0&amp;ec_shared_reflux_dynamic_params=%7B%22placeholder_material_id%22%3A%227629259814828330260%22%2C%22placeholder_origin_cover%22%3A%22https%253A%252F%252Fp16-common-sign.tiktokcdn.com%252Ftos-alisg-p-0037%252FoEBxg2fmB2DE0iVCRg1AAuuZi8IAkIIwIOTAz8~tplv-tiktokx-origin.jpeg%253Fdr%253D14572%2526refresh_token%253Db9073e0e%2526x-expires%253D1808204400%2526x-signature%253DvTsdjXn4wtRQ9Cy4cjRh%25252Flcm0S4%25253D%2526t%253D4d5b0474%2526ps%253D13740610%2526shp%253Dd05b14bd%2526shcp%253D34ff8df6%2526idc%253Dmy3%2526s%253DTIKTOK_AFFILIATE_VIRAL_VIDEO%22%2C%22placeholder_product_id%22%3A%221729427766722726591%22%2C%22placeholder_video_id%22%3A%227629259814828330260%22%7D&amp;ec_shared_reflux_scene=shop_tab_feed&amp;share_item_id=7629259814828330260&amp;source=h5_t</v>
      </c>
      <c r="O437" s="464" t="str">
        <f>IFERROR(__xludf.DUMMYFUNCTION("""COMPUTED_VALUE"""),"KIMME")</f>
        <v>KIMME</v>
      </c>
      <c r="P437" s="279" t="str">
        <f>IFERROR(__xludf.DUMMYFUNCTION("""COMPUTED_VALUE"""),"https://www.tiktok.com/@snowme.shop/video/7629331553373457684?_r=1&amp;u_code=dal30337ieiagk&amp;region=&amp;mid=7587297958270454535&amp;preview_pb=0&amp;sharer_language=&amp;_d=0&amp;ec_shared_reflux_dynamic_params=%7B%22placeholder_material_id%22%3A%227629331553373457684%22%2C%22p"&amp;"laceholder_origin_cover%22%3A%22https%253A%252F%252Fp16-common-sign.tiktokcdn.com%252Ftos-alisg-p-0037%252FoUKIDwl4bgAadkGkLB1kgeFigAIYICGfTghjfL~tplv-tiktokx-origin.jpeg%253Fdr%253D14572%2526refresh_token%253Da803c1df%2526x-expires%253D1808204400%2526x-s"&amp;"ignature%253DfLw9RZcVPv2%25252BkhpfL9KkFwoeCCw%25253D%2526t%253D4d5b0474%2526ps%253D13740610%2526shp%253Dd05b14bd%2526shcp%253D34ff8df6%2526idc%253Dmy3%2526s%253DTIKTOK_AFFILIATE_VIRAL_VIDEO%22%2C%22placeholder_product_id%22%3A%221729427766722726591%22%2C"&amp;"%22placeholder_video_id%22%3A%227629331553373457684%22%7D&amp;ec_shared_reflux_scene=shop_tab_feed&amp;share_item_id=7629331553373457684&amp;source=h5_t")</f>
        <v>https://www.tiktok.com/@snowme.shop/video/7629331553373457684?_r=1&amp;u_code=dal30337ieiagk&amp;region=&amp;mid=7587297958270454535&amp;preview_pb=0&amp;sharer_language=&amp;_d=0&amp;ec_shared_reflux_dynamic_params=%7B%22placeholder_material_id%22%3A%227629331553373457684%22%2C%22placeholder_origin_cover%22%3A%22https%253A%252F%252Fp16-common-sign.tiktokcdn.com%252Ftos-alisg-p-0037%252FoUKIDwl4bgAadkGkLB1kgeFigAIYICGfTghjfL~tplv-tiktokx-origin.jpeg%253Fdr%253D14572%2526refresh_token%253Da803c1df%2526x-expires%253D1808204400%2526x-signature%253DfLw9RZcVPv2%25252BkhpfL9KkFwoeCCw%25253D%2526t%253D4d5b0474%2526ps%253D13740610%2526shp%253Dd05b14bd%2526shcp%253D34ff8df6%2526idc%253Dmy3%2526s%253DTIKTOK_AFFILIATE_VIRAL_VIDEO%22%2C%22placeholder_product_id%22%3A%221729427766722726591%22%2C%22placeholder_video_id%22%3A%227629331553373457684%22%7D&amp;ec_shared_reflux_scene=shop_tab_feed&amp;share_item_id=7629331553373457684&amp;source=h5_t</v>
      </c>
    </row>
    <row r="438">
      <c r="A438" s="255" t="str">
        <f>IFERROR(__xludf.DUMMYFUNCTION("""COMPUTED_VALUE"""),"MICRO")</f>
        <v>MICRO</v>
      </c>
      <c r="B438" s="361" t="str">
        <f>IFERROR(__xludf.DUMMYFUNCTION("""COMPUTED_VALUE"""),"hasyaas__")</f>
        <v>hasyaas__</v>
      </c>
      <c r="C438" s="257" t="str">
        <f>IFERROR(__xludf.DUMMYFUNCTION("""COMPUTED_VALUE"""),"https://www.tiktok.com/@hasyaas__")</f>
        <v>https://www.tiktok.com/@hasyaas__</v>
      </c>
      <c r="D438" s="270">
        <f>IFERROR(__xludf.DUMMYFUNCTION("""COMPUTED_VALUE"""),8.8801874573E10)</f>
        <v>88801874573</v>
      </c>
      <c r="E438" s="457">
        <f>IFERROR(__xludf.DUMMYFUNCTION("""COMPUTED_VALUE"""),0.0)</f>
        <v>0</v>
      </c>
      <c r="F438" s="270">
        <f>IFERROR(__xludf.DUMMYFUNCTION("""COMPUTED_VALUE"""),4.0)</f>
        <v>4</v>
      </c>
      <c r="G438" s="17" t="str">
        <f>IFERROR(__xludf.DUMMYFUNCTION("""COMPUTED_VALUE"""),"Sabun batang 1 Box ( 2 PCS )")</f>
        <v>Sabun batang 1 Box ( 2 PCS )</v>
      </c>
      <c r="H438" s="463" t="str">
        <f>IFERROR(__xludf.DUMMYFUNCTION("""COMPUTED_VALUE"""),"Sampai")</f>
        <v>Sampai</v>
      </c>
      <c r="I438" s="464" t="str">
        <f>IFERROR(__xludf.DUMMYFUNCTION("""COMPUTED_VALUE"""),"KIMME")</f>
        <v>KIMME</v>
      </c>
      <c r="J438" s="279" t="str">
        <f>IFERROR(__xludf.DUMMYFUNCTION("""COMPUTED_VALUE"""),"https://www.tiktok.com/@snowme.shop/video/7629345067894918420?_r=1&amp;u_code=dal30337ieiagk&amp;region=&amp;mid=7625116600089266952&amp;preview_pb=0&amp;sharer_language=&amp;_d=0&amp;ec_shared_reflux_dynamic_params=%7B%22placeholder_material_id%22%3A%227629345067894918420%22%2C%22p"&amp;"laceholder_origin_cover%22%3A%22https%253A%252F%252Fp16-common-sign.tiktokcdn.com%252Ftos-alisg-p-0037%252FoAfDQcEDm5fBbzSC4pOgEsiQPsFhMRA4cbBPxg~tplv-tiktokx-origin.jpeg%253Fdr%253D14572%2526refresh_token%253D014f0023%2526x-expires%253D1808204400%2526x-s"&amp;"ignature%253DFELwyxnSW3Ff63EvyRgyprx50sw%25253D%2526t%253D4d5b0474%2526ps%253D13740610%2526shp%253Dd05b14bd%2526shcp%253D34ff8df6%2526idc%253Dmy3%2526s%253DTIKTOK_AFFILIATE_VIRAL_VIDEO%22%2C%22placeholder_product_id%22%3A%221729427766722726591%22%2C%22pla"&amp;"ceholder_video_id%22%3A%227629345067894918420%22%7D&amp;ec_shared_reflux_scene=shop_tab_feed&amp;share_item_id=7629345067894918420&amp;source=h5_t")</f>
        <v>https://www.tiktok.com/@snowme.shop/video/7629345067894918420?_r=1&amp;u_code=dal30337ieiagk&amp;region=&amp;mid=7625116600089266952&amp;preview_pb=0&amp;sharer_language=&amp;_d=0&amp;ec_shared_reflux_dynamic_params=%7B%22placeholder_material_id%22%3A%227629345067894918420%22%2C%22placeholder_origin_cover%22%3A%22https%253A%252F%252Fp16-common-sign.tiktokcdn.com%252Ftos-alisg-p-0037%252FoAfDQcEDm5fBbzSC4pOgEsiQPsFhMRA4cbBPxg~tplv-tiktokx-origin.jpeg%253Fdr%253D14572%2526refresh_token%253D014f0023%2526x-expires%253D1808204400%2526x-signature%253DFELwyxnSW3Ff63EvyRgyprx50sw%25253D%2526t%253D4d5b0474%2526ps%253D13740610%2526shp%253Dd05b14bd%2526shcp%253D34ff8df6%2526idc%253Dmy3%2526s%253DTIKTOK_AFFILIATE_VIRAL_VIDEO%22%2C%22placeholder_product_id%22%3A%221729427766722726591%22%2C%22placeholder_video_id%22%3A%227629345067894918420%22%7D&amp;ec_shared_reflux_scene=shop_tab_feed&amp;share_item_id=7629345067894918420&amp;source=h5_t</v>
      </c>
      <c r="K438" s="464" t="str">
        <f>IFERROR(__xludf.DUMMYFUNCTION("""COMPUTED_VALUE"""),"KIMME")</f>
        <v>KIMME</v>
      </c>
      <c r="L438" s="279" t="str">
        <f>IFERROR(__xludf.DUMMYFUNCTION("""COMPUTED_VALUE"""),"https://www.tiktok.com/@snowme.shop/video/7629622141033401620?_r=1&amp;u_code=dal30337ieiagk&amp;region=&amp;mid=7624962261542603527&amp;preview_pb=0&amp;sharer_language=&amp;_d=0&amp;ec_shared_reflux_dynamic_params=%7B%22placeholder_material_id%22%3A%227629622141033401620%22%2C%22p"&amp;"laceholder_origin_cover%22%3A%22https%253A%252F%252Fp16-common-sign.tiktokcdn.com%252Ftos-alisg-p-0037%252FoQcw9APSueIBX3IjC5wJIyii4JMyp0hPByAHAJ~tplv-tiktokx-origin.jpeg%253Fdr%253D14572%2526refresh_token%253Dbb95357e%2526x-expires%253D1808204400%2526x-s"&amp;"ignature%253DAKDFWoiuqefc2%25252FSA3shXWu6sCnc%25253D%2526t%253D4d5b0474%2526ps%253D13740610%2526shp%253Dd05b14bd%2526shcp%253D34ff8df6%2526idc%253Dmy3%2526s%253DTIKTOK_AFFILIATE_VIRAL_VIDEO%22%2C%22placeholder_product_id%22%3A%221729427766722726591%22%2C"&amp;"%22placeholder_video_id%22%3A%227629622141033401620%22%7D&amp;ec_shared_reflux_scene=shop_tab_feed&amp;share_item_id=7629622141033401620&amp;source=h5_t")</f>
        <v>https://www.tiktok.com/@snowme.shop/video/7629622141033401620?_r=1&amp;u_code=dal30337ieiagk&amp;region=&amp;mid=7624962261542603527&amp;preview_pb=0&amp;sharer_language=&amp;_d=0&amp;ec_shared_reflux_dynamic_params=%7B%22placeholder_material_id%22%3A%227629622141033401620%22%2C%22placeholder_origin_cover%22%3A%22https%253A%252F%252Fp16-common-sign.tiktokcdn.com%252Ftos-alisg-p-0037%252FoQcw9APSueIBX3IjC5wJIyii4JMyp0hPByAHAJ~tplv-tiktokx-origin.jpeg%253Fdr%253D14572%2526refresh_token%253Dbb95357e%2526x-expires%253D1808204400%2526x-signature%253DAKDFWoiuqefc2%25252FSA3shXWu6sCnc%25253D%2526t%253D4d5b0474%2526ps%253D13740610%2526shp%253Dd05b14bd%2526shcp%253D34ff8df6%2526idc%253Dmy3%2526s%253DTIKTOK_AFFILIATE_VIRAL_VIDEO%22%2C%22placeholder_product_id%22%3A%221729427766722726591%22%2C%22placeholder_video_id%22%3A%227629622141033401620%22%7D&amp;ec_shared_reflux_scene=shop_tab_feed&amp;share_item_id=7629622141033401620&amp;source=h5_t</v>
      </c>
      <c r="M438" s="464" t="str">
        <f>IFERROR(__xludf.DUMMYFUNCTION("""COMPUTED_VALUE"""),"KIMME")</f>
        <v>KIMME</v>
      </c>
      <c r="N438" s="279" t="str">
        <f>IFERROR(__xludf.DUMMYFUNCTION("""COMPUTED_VALUE"""),"https://www.tiktok.com/@snowme.shop/video/7629676981843430677?_r=1&amp;u_code=dal30337ieiagk&amp;region=&amp;mid=7587701744642706193&amp;preview_pb=0&amp;sharer_language=&amp;_d=0&amp;ec_shared_reflux_dynamic_params=%7B%22placeholder_material_id%22%3A%227629676981843430677%22%2C%22p"&amp;"laceholder_origin_cover%22%3A%22https%253A%252F%252Fp16-common-sign.tiktokcdn.com%252Ftos-alisg-p-0037%252FoYDeiFXEEIrIgk4tgif6hVnARcFRpDc2BBMtBc~tplv-tiktokx-origin.jpeg%253Fdr%253D14572%2526refresh_token%253D45af2cdd%2526x-expires%253D1808204400%2526x-s"&amp;"ignature%253DZwrEMJIxZkLaxbaWGIjZyMnKkYA%25253D%2526t%253D4d5b0474%2526ps%253D13740610%2526shp%253Dd05b14bd%2526shcp%253D34ff8df6%2526idc%253Dmy3%2526s%253DTIKTOK_AFFILIATE_VIRAL_VIDEO%22%2C%22placeholder_product_id%22%3A%221729427766722726591%22%2C%22pla"&amp;"ceholder_video_id%22%3A%227629676981843430677%22%7D&amp;ec_shared_reflux_scene=shop_tab_feed&amp;share_item_id=7629676981843430677&amp;source=h5_t")</f>
        <v>https://www.tiktok.com/@snowme.shop/video/7629676981843430677?_r=1&amp;u_code=dal30337ieiagk&amp;region=&amp;mid=7587701744642706193&amp;preview_pb=0&amp;sharer_language=&amp;_d=0&amp;ec_shared_reflux_dynamic_params=%7B%22placeholder_material_id%22%3A%227629676981843430677%22%2C%22placeholder_origin_cover%22%3A%22https%253A%252F%252Fp16-common-sign.tiktokcdn.com%252Ftos-alisg-p-0037%252FoYDeiFXEEIrIgk4tgif6hVnARcFRpDc2BBMtBc~tplv-tiktokx-origin.jpeg%253Fdr%253D14572%2526refresh_token%253D45af2cdd%2526x-expires%253D1808204400%2526x-signature%253DZwrEMJIxZkLaxbaWGIjZyMnKkYA%25253D%2526t%253D4d5b0474%2526ps%253D13740610%2526shp%253Dd05b14bd%2526shcp%253D34ff8df6%2526idc%253Dmy3%2526s%253DTIKTOK_AFFILIATE_VIRAL_VIDEO%22%2C%22placeholder_product_id%22%3A%221729427766722726591%22%2C%22placeholder_video_id%22%3A%227629676981843430677%22%7D&amp;ec_shared_reflux_scene=shop_tab_feed&amp;share_item_id=7629676981843430677&amp;source=h5_t</v>
      </c>
      <c r="O438" s="464" t="str">
        <f>IFERROR(__xludf.DUMMYFUNCTION("""COMPUTED_VALUE"""),"KIMME")</f>
        <v>KIMME</v>
      </c>
      <c r="P438" s="279" t="str">
        <f>IFERROR(__xludf.DUMMYFUNCTION("""COMPUTED_VALUE"""),"https://www.tiktok.com/@snowme.shop/video/7629933172213517589?_r=1&amp;u_code=dal30337ieiagk&amp;region=&amp;mid=7556779493556063032&amp;preview_pb=0&amp;sharer_language=&amp;_d=0&amp;ec_shared_reflux_dynamic_params=%7B%22placeholder_material_id%22%3A%227629933172213517589%22%2C%22p"&amp;"laceholder_origin_cover%22%3A%22https%253A%252F%252Fp16-common-sign.tiktokcdn.com%252Ftos-alisg-p-0037%252FosKlRYiEGwUfufPf9ABeVIyiIAmnFzDY0H9GFF~tplv-tiktokx-origin.jpeg%253Fdr%253D14572%2526refresh_token%253Ddefeb802%2526x-expires%253D1808204400%2526x-s"&amp;"ignature%253DKj4iiXp3JpPiKvPucUnyvQtnB%25252Fw%25253D%2526t%253D4d5b0474%2526ps%253D13740610%2526shp%253Dd05b14bd%2526shcp%253D34ff8df6%2526idc%253Dmy3%2526s%253DTIKTOK_AFFILIATE_VIRAL_VIDEO%22%2C%22placeholder_product_id%22%3A%221729427766722726591%22%2C"&amp;"%22placeholder_video_id%22%3A%227629933172213517589%22%7D&amp;ec_shared_reflux_scene=shop_tab_feed&amp;share_item_id=7629933172213517589&amp;source=h5_t")</f>
        <v>https://www.tiktok.com/@snowme.shop/video/7629933172213517589?_r=1&amp;u_code=dal30337ieiagk&amp;region=&amp;mid=7556779493556063032&amp;preview_pb=0&amp;sharer_language=&amp;_d=0&amp;ec_shared_reflux_dynamic_params=%7B%22placeholder_material_id%22%3A%227629933172213517589%22%2C%22placeholder_origin_cover%22%3A%22https%253A%252F%252Fp16-common-sign.tiktokcdn.com%252Ftos-alisg-p-0037%252FosKlRYiEGwUfufPf9ABeVIyiIAmnFzDY0H9GFF~tplv-tiktokx-origin.jpeg%253Fdr%253D14572%2526refresh_token%253Ddefeb802%2526x-expires%253D1808204400%2526x-signature%253DKj4iiXp3JpPiKvPucUnyvQtnB%25252Fw%25253D%2526t%253D4d5b0474%2526ps%253D13740610%2526shp%253Dd05b14bd%2526shcp%253D34ff8df6%2526idc%253Dmy3%2526s%253DTIKTOK_AFFILIATE_VIRAL_VIDEO%22%2C%22placeholder_product_id%22%3A%221729427766722726591%22%2C%22placeholder_video_id%22%3A%227629933172213517589%22%7D&amp;ec_shared_reflux_scene=shop_tab_feed&amp;share_item_id=7629933172213517589&amp;source=h5_t</v>
      </c>
    </row>
    <row r="439">
      <c r="A439" s="255" t="str">
        <f>IFERROR(__xludf.DUMMYFUNCTION("""COMPUTED_VALUE"""),"MICRO")</f>
        <v>MICRO</v>
      </c>
      <c r="B439" s="361" t="str">
        <f>IFERROR(__xludf.DUMMYFUNCTION("""COMPUTED_VALUE"""),"beautecircle")</f>
        <v>beautecircle</v>
      </c>
      <c r="C439" s="257" t="str">
        <f>IFERROR(__xludf.DUMMYFUNCTION("""COMPUTED_VALUE"""),"https://www.tiktok.com/@beautecircle")</f>
        <v>https://www.tiktok.com/@beautecircle</v>
      </c>
      <c r="D439" s="270">
        <f>IFERROR(__xludf.DUMMYFUNCTION("""COMPUTED_VALUE"""),8.7782497801E10)</f>
        <v>87782497801</v>
      </c>
      <c r="E439" s="457">
        <f>IFERROR(__xludf.DUMMYFUNCTION("""COMPUTED_VALUE"""),0.0)</f>
        <v>0</v>
      </c>
      <c r="F439" s="270">
        <f>IFERROR(__xludf.DUMMYFUNCTION("""COMPUTED_VALUE"""),4.0)</f>
        <v>4</v>
      </c>
      <c r="G439" s="17" t="str">
        <f>IFERROR(__xludf.DUMMYFUNCTION("""COMPUTED_VALUE"""),"Sabun batang 1 Box ( 2 PCS )")</f>
        <v>Sabun batang 1 Box ( 2 PCS )</v>
      </c>
      <c r="H439" s="463" t="str">
        <f>IFERROR(__xludf.DUMMYFUNCTION("""COMPUTED_VALUE"""),"Sampai")</f>
        <v>Sampai</v>
      </c>
      <c r="I439" s="464" t="str">
        <f>IFERROR(__xludf.DUMMYFUNCTION("""COMPUTED_VALUE"""),"KIMME")</f>
        <v>KIMME</v>
      </c>
      <c r="J439" s="279" t="str">
        <f>IFERROR(__xludf.DUMMYFUNCTION("""COMPUTED_VALUE"""),"https://www.tiktok.com/@masbahrildaily/video/7630725988426599687?_r=1&amp;u_code=ek6h2252jijmih&amp;region=&amp;mid=6572215486551952130&amp;preview_pb=0&amp;sharer_language=&amp;_d=0&amp;ec_shared_reflux_dynamic_params=%7B%22placeholder_material_id%22%3A%227630725988426599687%22%2C%"&amp;"22placeholder_origin_cover%22%3A%22https%253A%252F%252Fp16-common-sign.tiktokcdn.com%252Ftos-alisg-p-0037%252FoIORI9iP9TqzZnplACBAIIe8IZ0wyALCRXikvg~tplv-tiktokx-origin.jpeg%253Fdr%253D14572%2526refresh_token%253Dbeb9d226%2526x-expires%253D1808204400%2526"&amp;"x-signature%253DvAZQpBrum6znAeNr72laptyuj6A%25253D%2526t%253D4d5b0474%2526ps%253D13740610%2526shp%253Dd05b14bd%2526shcp%253D34ff8df6%2526idc%253Dmy3%2526s%253DTIKTOK_AFFILIATE_VIRAL_VIDEO%22%2C%22placeholder_product_id%22%3A%221729427766722726591%22%2C%22"&amp;"placeholder_video_id%22%3A%227630725988426599687%22%7D&amp;ec_shared_reflux_scene=shop_tab_feed&amp;share_item_id=7630725988426599687&amp;source=h5_t")</f>
        <v>https://www.tiktok.com/@masbahrildaily/video/7630725988426599687?_r=1&amp;u_code=ek6h2252jijmih&amp;region=&amp;mid=6572215486551952130&amp;preview_pb=0&amp;sharer_language=&amp;_d=0&amp;ec_shared_reflux_dynamic_params=%7B%22placeholder_material_id%22%3A%227630725988426599687%22%2C%22placeholder_origin_cover%22%3A%22https%253A%252F%252Fp16-common-sign.tiktokcdn.com%252Ftos-alisg-p-0037%252FoIORI9iP9TqzZnplACBAIIe8IZ0wyALCRXikvg~tplv-tiktokx-origin.jpeg%253Fdr%253D14572%2526refresh_token%253Dbeb9d226%2526x-expires%253D1808204400%2526x-signature%253DvAZQpBrum6znAeNr72laptyuj6A%25253D%2526t%253D4d5b0474%2526ps%253D13740610%2526shp%253Dd05b14bd%2526shcp%253D34ff8df6%2526idc%253Dmy3%2526s%253DTIKTOK_AFFILIATE_VIRAL_VIDEO%22%2C%22placeholder_product_id%22%3A%221729427766722726591%22%2C%22placeholder_video_id%22%3A%227630725988426599687%22%7D&amp;ec_shared_reflux_scene=shop_tab_feed&amp;share_item_id=7630725988426599687&amp;source=h5_t</v>
      </c>
      <c r="K439" s="464" t="str">
        <f>IFERROR(__xludf.DUMMYFUNCTION("""COMPUTED_VALUE"""),"KIMME")</f>
        <v>KIMME</v>
      </c>
      <c r="L439" s="279" t="str">
        <f>IFERROR(__xludf.DUMMYFUNCTION("""COMPUTED_VALUE"""),"https://www.tiktok.com/@masbahrildaily/video/7630671357017083143?_r=1&amp;u_code=ek6h2252jijmih&amp;region=&amp;mid=7623938813691071240&amp;preview_pb=0&amp;sharer_language=&amp;_d=0&amp;ec_shared_reflux_dynamic_params=%7B%22placeholder_material_id%22%3A%227630671357017083143%22%2C%"&amp;"22placeholder_origin_cover%22%3A%22https%253A%252F%252Fp16-common-sign.tiktokcdn.com%252Ftos-alisg-p-0037%252Fowp5bwOlImZTBJeEIXIlcBAiBRFzOUfFgglDbE~tplv-tiktokx-origin.jpeg%253Fdr%253D14572%2526refresh_token%253D82f1d50c%2526x-expires%253D1808204400%2526"&amp;"x-signature%253DNf%25252BdvIhNK%25252FccXoKOYIXlNO9JHIg%25253D%2526t%253D4d5b0474%2526ps%253D13740610%2526shp%253Dd05b14bd%2526shcp%253D34ff8df6%2526idc%253Dmy3%2526s%253DTIKTOK_AFFILIATE_VIRAL_VIDEO%22%2C%22placeholder_product_id%22%3A%221729427766722726"&amp;"591%22%2C%22placeholder_video_id%22%3A%227630671357017083143%22%7D&amp;ec_shared_reflux_scene=shop_tab_feed&amp;share_item_id=7630671357017083143&amp;source=h5_t")</f>
        <v>https://www.tiktok.com/@masbahrildaily/video/7630671357017083143?_r=1&amp;u_code=ek6h2252jijmih&amp;region=&amp;mid=7623938813691071240&amp;preview_pb=0&amp;sharer_language=&amp;_d=0&amp;ec_shared_reflux_dynamic_params=%7B%22placeholder_material_id%22%3A%227630671357017083143%22%2C%22placeholder_origin_cover%22%3A%22https%253A%252F%252Fp16-common-sign.tiktokcdn.com%252Ftos-alisg-p-0037%252Fowp5bwOlImZTBJeEIXIlcBAiBRFzOUfFgglDbE~tplv-tiktokx-origin.jpeg%253Fdr%253D14572%2526refresh_token%253D82f1d50c%2526x-expires%253D1808204400%2526x-signature%253DNf%25252BdvIhNK%25252FccXoKOYIXlNO9JHIg%25253D%2526t%253D4d5b0474%2526ps%253D13740610%2526shp%253Dd05b14bd%2526shcp%253D34ff8df6%2526idc%253Dmy3%2526s%253DTIKTOK_AFFILIATE_VIRAL_VIDEO%22%2C%22placeholder_product_id%22%3A%221729427766722726591%22%2C%22placeholder_video_id%22%3A%227630671357017083143%22%7D&amp;ec_shared_reflux_scene=shop_tab_feed&amp;share_item_id=7630671357017083143&amp;source=h5_t</v>
      </c>
      <c r="M439" s="464" t="str">
        <f>IFERROR(__xludf.DUMMYFUNCTION("""COMPUTED_VALUE"""),"KIMME")</f>
        <v>KIMME</v>
      </c>
      <c r="N439" s="279" t="str">
        <f>IFERROR(__xludf.DUMMYFUNCTION("""COMPUTED_VALUE"""),"https://www.tiktok.com/@masbahrildaily/video/7630645611548675336?_r=1&amp;u_code=ek6h2252jijmih&amp;region=&amp;mid=6954430693141137410&amp;preview_pb=0&amp;sharer_language=&amp;_d=0&amp;ec_shared_reflux_dynamic_params=%7B%22placeholder_material_id%22%3A%227630645611548675336%22%2C%"&amp;"22placeholder_origin_cover%22%3A%22https%253A%252F%252Fp16-common-sign.tiktokcdn.com%252Ftos-alisg-p-0037%252FooFZfTEHeACkGeGHI8GK5cQAMLjsvyU5doIQDA~tplv-tiktokx-origin.jpeg%253Fdr%253D14572%2526refresh_token%253Df976946a%2526x-expires%253D1808204400%2526"&amp;"x-signature%253DD%25252ByPYyCLr%25252FZGjWHcF3jNnBL8Vo8%25253D%2526t%253D4d5b0474%2526ps%253D13740610%2526shp%253Dd05b14bd%2526shcp%253D34ff8df6%2526idc%253Dmy3%2526s%253DTIKTOK_AFFILIATE_VIRAL_VIDEO%22%2C%22placeholder_product_id%22%3A%221729427766722726"&amp;"591%22%2C%22placeholder_video_id%22%3A%227630645611548675336%22%7D&amp;ec_shared_reflux_scene=shop_tab_feed&amp;share_item_id=7630645611548675336&amp;source=h5_t")</f>
        <v>https://www.tiktok.com/@masbahrildaily/video/7630645611548675336?_r=1&amp;u_code=ek6h2252jijmih&amp;region=&amp;mid=6954430693141137410&amp;preview_pb=0&amp;sharer_language=&amp;_d=0&amp;ec_shared_reflux_dynamic_params=%7B%22placeholder_material_id%22%3A%227630645611548675336%22%2C%22placeholder_origin_cover%22%3A%22https%253A%252F%252Fp16-common-sign.tiktokcdn.com%252Ftos-alisg-p-0037%252FooFZfTEHeACkGeGHI8GK5cQAMLjsvyU5doIQDA~tplv-tiktokx-origin.jpeg%253Fdr%253D14572%2526refresh_token%253Df976946a%2526x-expires%253D1808204400%2526x-signature%253DD%25252ByPYyCLr%25252FZGjWHcF3jNnBL8Vo8%25253D%2526t%253D4d5b0474%2526ps%253D13740610%2526shp%253Dd05b14bd%2526shcp%253D34ff8df6%2526idc%253Dmy3%2526s%253DTIKTOK_AFFILIATE_VIRAL_VIDEO%22%2C%22placeholder_product_id%22%3A%221729427766722726591%22%2C%22placeholder_video_id%22%3A%227630645611548675336%22%7D&amp;ec_shared_reflux_scene=shop_tab_feed&amp;share_item_id=7630645611548675336&amp;source=h5_t</v>
      </c>
      <c r="O439" s="464" t="str">
        <f>IFERROR(__xludf.DUMMYFUNCTION("""COMPUTED_VALUE"""),"KIMME")</f>
        <v>KIMME</v>
      </c>
      <c r="P439" s="279" t="str">
        <f>IFERROR(__xludf.DUMMYFUNCTION("""COMPUTED_VALUE"""),"https://www.tiktok.com/@masbahrildaily/video/7630598491827391752?_r=1&amp;u_code=ek6h2252jijmih&amp;region=&amp;mid=7381176581904878342&amp;preview_pb=0&amp;sharer_language=&amp;_d=0&amp;ec_shared_reflux_dynamic_params=%7B%22placeholder_material_id%22%3A%227630598491827391752%22%2C%"&amp;"22placeholder_origin_cover%22%3A%22https%253A%252F%252Fp19-common-sign.tiktokcdn.com%252Ftos-alisg-p-0037%252FoACPlAYVqqCFSiI0n8ifAAwRZV3BpdI4I7B0Ci~tplv-tiktokx-origin.jpeg%253Fdr%253D14572%2526refresh_token%253D782adbc0%2526x-expires%253D1808204400%2526"&amp;"x-signature%253Di8eio8jixSgIBvQhN4g1gwlVF1w%25253D%2526t%253D4d5b0474%2526ps%253D13740610%2526shp%253Dd05b14bd%2526shcp%253D34ff8df6%2526idc%253Dmy3%2526s%253DTIKTOK_AFFILIATE_VIRAL_VIDEO%22%2C%22placeholder_product_id%22%3A%221729427766722726591%22%2C%22"&amp;"placeholder_video_id%22%3A%227630598491827391752%22%7D&amp;ec_shared_reflux_scene=shop_tab_feed&amp;share_item_id=7630598491827391752&amp;source=h5_t")</f>
        <v>https://www.tiktok.com/@masbahrildaily/video/7630598491827391752?_r=1&amp;u_code=ek6h2252jijmih&amp;region=&amp;mid=7381176581904878342&amp;preview_pb=0&amp;sharer_language=&amp;_d=0&amp;ec_shared_reflux_dynamic_params=%7B%22placeholder_material_id%22%3A%227630598491827391752%22%2C%22placeholder_origin_cover%22%3A%22https%253A%252F%252Fp19-common-sign.tiktokcdn.com%252Ftos-alisg-p-0037%252FoACPlAYVqqCFSiI0n8ifAAwRZV3BpdI4I7B0Ci~tplv-tiktokx-origin.jpeg%253Fdr%253D14572%2526refresh_token%253D782adbc0%2526x-expires%253D1808204400%2526x-signature%253Di8eio8jixSgIBvQhN4g1gwlVF1w%25253D%2526t%253D4d5b0474%2526ps%253D13740610%2526shp%253Dd05b14bd%2526shcp%253D34ff8df6%2526idc%253Dmy3%2526s%253DTIKTOK_AFFILIATE_VIRAL_VIDEO%22%2C%22placeholder_product_id%22%3A%221729427766722726591%22%2C%22placeholder_video_id%22%3A%227630598491827391752%22%7D&amp;ec_shared_reflux_scene=shop_tab_feed&amp;share_item_id=7630598491827391752&amp;source=h5_t</v>
      </c>
    </row>
    <row r="440">
      <c r="A440" s="255" t="str">
        <f>IFERROR(__xludf.DUMMYFUNCTION("""COMPUTED_VALUE"""),"MICRO")</f>
        <v>MICRO</v>
      </c>
      <c r="B440" s="361" t="str">
        <f>IFERROR(__xludf.DUMMYFUNCTION("""COMPUTED_VALUE"""),"gallerycantikkk")</f>
        <v>gallerycantikkk</v>
      </c>
      <c r="C440" s="257" t="str">
        <f>IFERROR(__xludf.DUMMYFUNCTION("""COMPUTED_VALUE"""),"https://www.tiktok.com/@gallerycantikkk")</f>
        <v>https://www.tiktok.com/@gallerycantikkk</v>
      </c>
      <c r="D440" s="270">
        <f>IFERROR(__xludf.DUMMYFUNCTION("""COMPUTED_VALUE"""),8.57064071E10)</f>
        <v>85706407100</v>
      </c>
      <c r="E440" s="457">
        <f>IFERROR(__xludf.DUMMYFUNCTION("""COMPUTED_VALUE"""),0.0)</f>
        <v>0</v>
      </c>
      <c r="F440" s="270">
        <f>IFERROR(__xludf.DUMMYFUNCTION("""COMPUTED_VALUE"""),4.0)</f>
        <v>4</v>
      </c>
      <c r="G440" s="17" t="str">
        <f>IFERROR(__xludf.DUMMYFUNCTION("""COMPUTED_VALUE"""),"Sabun batang 1 Box ( 2 PCS )")</f>
        <v>Sabun batang 1 Box ( 2 PCS )</v>
      </c>
      <c r="H440" s="463" t="str">
        <f>IFERROR(__xludf.DUMMYFUNCTION("""COMPUTED_VALUE"""),"Sampai")</f>
        <v>Sampai</v>
      </c>
      <c r="I440" s="464" t="str">
        <f>IFERROR(__xludf.DUMMYFUNCTION("""COMPUTED_VALUE"""),"KIMME")</f>
        <v>KIMME</v>
      </c>
      <c r="J440" s="279" t="str">
        <f>IFERROR(__xludf.DUMMYFUNCTION("""COMPUTED_VALUE"""),"https://www.tiktok.com/@masbahrildaily/video/7630318868501728530?_r=1&amp;u_code=ek6h2252jijmih&amp;region=&amp;mid=7624626297780652808&amp;preview_pb=0&amp;sharer_language=&amp;_d=0&amp;ec_shared_reflux_dynamic_params=%7B%22placeholder_material_id%22%3A%227630318868501728530%22%2C%"&amp;"22placeholder_origin_cover%22%3A%22https%253A%252F%252Fp16-common-sign.tiktokcdn.com%252Ftos-alisg-p-0037%252FokeOVVfQkFGLQs0gKgceaWA4zEnApnO1GRGkIf~tplv-tiktokx-origin.jpeg%253Fdr%253D14572%2526refresh_token%253D6b82a7a0%2526x-expires%253D1808204400%2526"&amp;"x-signature%253DdkzPIH%25252B%25252B%25252B%25252Bfs%25252FpVwKI6FSGbNXaE%25253D%2526t%253D4d5b0474%2526ps%253D13740610%2526shp%253Dd05b14bd%2526shcp%253D34ff8df6%2526idc%253Dmy3%2526s%253DTIKTOK_AFFILIATE_VIRAL_VIDEO%22%2C%22placeholder_product_id%22%3A%"&amp;"221729427766722726591%22%2C%22placeholder_video_id%22%3A%227630318868501728530%22%7D&amp;ec_shared_reflux_scene=shop_tab_feed&amp;share_item_id=7630318868501728530&amp;source=h5_t")</f>
        <v>https://www.tiktok.com/@masbahrildaily/video/7630318868501728530?_r=1&amp;u_code=ek6h2252jijmih&amp;region=&amp;mid=7624626297780652808&amp;preview_pb=0&amp;sharer_language=&amp;_d=0&amp;ec_shared_reflux_dynamic_params=%7B%22placeholder_material_id%22%3A%227630318868501728530%22%2C%22placeholder_origin_cover%22%3A%22https%253A%252F%252Fp16-common-sign.tiktokcdn.com%252Ftos-alisg-p-0037%252FokeOVVfQkFGLQs0gKgceaWA4zEnApnO1GRGkIf~tplv-tiktokx-origin.jpeg%253Fdr%253D14572%2526refresh_token%253D6b82a7a0%2526x-expires%253D1808204400%2526x-signature%253DdkzPIH%25252B%25252B%25252B%25252Bfs%25252FpVwKI6FSGbNXaE%25253D%2526t%253D4d5b0474%2526ps%253D13740610%2526shp%253Dd05b14bd%2526shcp%253D34ff8df6%2526idc%253Dmy3%2526s%253DTIKTOK_AFFILIATE_VIRAL_VIDEO%22%2C%22placeholder_product_id%22%3A%221729427766722726591%22%2C%22placeholder_video_id%22%3A%227630318868501728530%22%7D&amp;ec_shared_reflux_scene=shop_tab_feed&amp;share_item_id=7630318868501728530&amp;source=h5_t</v>
      </c>
      <c r="K440" s="464" t="str">
        <f>IFERROR(__xludf.DUMMYFUNCTION("""COMPUTED_VALUE"""),"KIMME")</f>
        <v>KIMME</v>
      </c>
      <c r="L440" s="279" t="str">
        <f>IFERROR(__xludf.DUMMYFUNCTION("""COMPUTED_VALUE"""),"https://www.tiktok.com/@masbahrildaily/video/7630475688943897874?_d=0&amp;_r=1&amp;ec_shared_reflux_dynamic_params=%7B%22placeholder_material_id%22%3A%227630475688943897874%22%2C%22placeholder_origin_cover%22%3A%22https%253A%252F%252Fp16-common-sign.tiktokcdn.com"&amp;"%252Ftos-alisg-p-0037%252FooTSo4TGxCrBcAXj7DmAGPeS8yI5Ae8eTolMQ5~tplv-tiktokx-origin.jpeg%253Fdr%253D14572%2526refresh_token%253D1f1b6ad0%2526x-expires%253D1808204400%2526x-signature%253DjthKFVU8rhF%25252FrRBq9X%25252FeDp861%25252B4%25253D%2526t%253D4d5b0"&amp;"474%2526ps%253D13740610%2526shp%253Dd05b14bd%2526shcp%253D34ff8df6%2526idc%253Dmy3%2526s%253DTIKTOK_AFFILIATE_VIRAL_VIDEO%22%2C%22placeholder_product_id%22%3A%221729427766722726591%22%2C%22placeholder_video_id%22%3A%227630475688943897874%22%7D&amp;ec_shared_r"&amp;"eflux_scene=shop_tab_feed&amp;mid=7607444503808527121&amp;preview_pb=0&amp;region=&amp;share_item_id=7630475688943897874&amp;sharer_language=&amp;source=h5_t&amp;u_code=ek6h2252jijmih")</f>
        <v>https://www.tiktok.com/@masbahrildaily/video/7630475688943897874?_d=0&amp;_r=1&amp;ec_shared_reflux_dynamic_params=%7B%22placeholder_material_id%22%3A%227630475688943897874%22%2C%22placeholder_origin_cover%22%3A%22https%253A%252F%252Fp16-common-sign.tiktokcdn.com%252Ftos-alisg-p-0037%252FooTSo4TGxCrBcAXj7DmAGPeS8yI5Ae8eTolMQ5~tplv-tiktokx-origin.jpeg%253Fdr%253D14572%2526refresh_token%253D1f1b6ad0%2526x-expires%253D1808204400%2526x-signature%253DjthKFVU8rhF%25252FrRBq9X%25252FeDp861%25252B4%25253D%2526t%253D4d5b0474%2526ps%253D13740610%2526shp%253Dd05b14bd%2526shcp%253D34ff8df6%2526idc%253Dmy3%2526s%253DTIKTOK_AFFILIATE_VIRAL_VIDEO%22%2C%22placeholder_product_id%22%3A%221729427766722726591%22%2C%22placeholder_video_id%22%3A%227630475688943897874%22%7D&amp;ec_shared_reflux_scene=shop_tab_feed&amp;mid=7607444503808527121&amp;preview_pb=0&amp;region=&amp;share_item_id=7630475688943897874&amp;sharer_language=&amp;source=h5_t&amp;u_code=ek6h2252jijmih</v>
      </c>
      <c r="M440" s="464" t="str">
        <f>IFERROR(__xludf.DUMMYFUNCTION("""COMPUTED_VALUE"""),"KIMME")</f>
        <v>KIMME</v>
      </c>
      <c r="N440" s="279" t="str">
        <f>IFERROR(__xludf.DUMMYFUNCTION("""COMPUTED_VALUE"""),"https://www.tiktok.com/@icha7721/video/7623718785811352850?_r=1&amp;u_code=e59fc6bfdb6373&amp;region=&amp;mid=7593347977686599681&amp;preview_pb=0&amp;sharer_language=&amp;_d=0&amp;ec_shared_reflux_dynamic_params=%7B%22placeholder_material_id%22%3A%227623718785811352850%22%2C%22plac"&amp;"eholder_origin_cover%22%3A%22https%253A%252F%252Fp16-common-sign.tiktokcdn.com%252Ftos-alisg-p-0037%252FoYlYI3rmAb1jAggeT8gexBLhItDZ4cexC5EsGp~tplv-tiktokx-origin.jpeg%253Fdr%253D14572%2526refresh_token%253D881124a6%2526x-expires%253D1808208000%2526x-sign"&amp;"ature%253DGB6%25252B%25252F99GUSeyJHt76SbHAjvNXJ0%25253D%2526t%253D4d5b0474%2526ps%253D13740610%2526shp%253Dd05b14bd%2526shcp%253D34ff8df6%2526idc%253Dmy3%2526s%253DTIKTOK_AFFILIATE_VIRAL_VIDEO%22%2C%22placeholder_product_id%22%3A%221729427766722726591%22"&amp;"%2C%22placeholder_video_id%22%3A%227623718785811352850%22%7D&amp;ec_shared_reflux_scene=shop_tab_feed&amp;share_item_id=7623718785811352850&amp;source=h5_t")</f>
        <v>https://www.tiktok.com/@icha7721/video/7623718785811352850?_r=1&amp;u_code=e59fc6bfdb6373&amp;region=&amp;mid=7593347977686599681&amp;preview_pb=0&amp;sharer_language=&amp;_d=0&amp;ec_shared_reflux_dynamic_params=%7B%22placeholder_material_id%22%3A%227623718785811352850%22%2C%22placeholder_origin_cover%22%3A%22https%253A%252F%252Fp16-common-sign.tiktokcdn.com%252Ftos-alisg-p-0037%252FoYlYI3rmAb1jAggeT8gexBLhItDZ4cexC5EsGp~tplv-tiktokx-origin.jpeg%253Fdr%253D14572%2526refresh_token%253D881124a6%2526x-expires%253D1808208000%2526x-signature%253DGB6%25252B%25252F99GUSeyJHt76SbHAjvNXJ0%25253D%2526t%253D4d5b0474%2526ps%253D13740610%2526shp%253Dd05b14bd%2526shcp%253D34ff8df6%2526idc%253Dmy3%2526s%253DTIKTOK_AFFILIATE_VIRAL_VIDEO%22%2C%22placeholder_product_id%22%3A%221729427766722726591%22%2C%22placeholder_video_id%22%3A%227623718785811352850%22%7D&amp;ec_shared_reflux_scene=shop_tab_feed&amp;share_item_id=7623718785811352850&amp;source=h5_t</v>
      </c>
      <c r="O440" s="464" t="str">
        <f>IFERROR(__xludf.DUMMYFUNCTION("""COMPUTED_VALUE"""),"KIMME")</f>
        <v>KIMME</v>
      </c>
      <c r="P440" s="279" t="str">
        <f>IFERROR(__xludf.DUMMYFUNCTION("""COMPUTED_VALUE"""),"https://www.tiktok.com/@icha7721/video/7624111012706405639?_r=1&amp;u_code=e59fc6bfdb6373&amp;region=&amp;mid=7593347977686599681&amp;preview_pb=0&amp;sharer_language=&amp;_d=0&amp;ec_shared_reflux_dynamic_params=%7B%22placeholder_material_id%22%3A%227624111012706405639%22%2C%22plac"&amp;"eholder_origin_cover%22%3A%22https%253A%252F%252Fp16-common-sign.tiktokcdn.com%252Ftos-alisg-p-0037%252FoYJCKfyOjwvIBStICz1iASAuSA5iIWg10HQYkr~tplv-tiktokx-origin.jpeg%253Fdr%253D14572%2526refresh_token%253D422eb177%2526x-expires%253D1808208000%2526x-sign"&amp;"ature%253DuFMMUC8o7KC7ZUS2Y8S%25252BmfPCl%25252F4%25253D%2526t%253D4d5b0474%2526ps%253D13740610%2526shp%253Dd05b14bd%2526shcp%253D34ff8df6%2526idc%253Dmy3%2526s%253DTIKTOK_AFFILIATE_VIRAL_VIDEO%22%2C%22placeholder_product_id%22%3A%221729427766722726591%22"&amp;"%2C%22placeholder_video_id%22%3A%227624111012706405639%22%7D&amp;ec_shared_reflux_scene=shop_tab_feed&amp;share_item_id=7624111012706405639&amp;source=h5_t")</f>
        <v>https://www.tiktok.com/@icha7721/video/7624111012706405639?_r=1&amp;u_code=e59fc6bfdb6373&amp;region=&amp;mid=7593347977686599681&amp;preview_pb=0&amp;sharer_language=&amp;_d=0&amp;ec_shared_reflux_dynamic_params=%7B%22placeholder_material_id%22%3A%227624111012706405639%22%2C%22placeholder_origin_cover%22%3A%22https%253A%252F%252Fp16-common-sign.tiktokcdn.com%252Ftos-alisg-p-0037%252FoYJCKfyOjwvIBStICz1iASAuSA5iIWg10HQYkr~tplv-tiktokx-origin.jpeg%253Fdr%253D14572%2526refresh_token%253D422eb177%2526x-expires%253D1808208000%2526x-signature%253DuFMMUC8o7KC7ZUS2Y8S%25252BmfPCl%25252F4%25253D%2526t%253D4d5b0474%2526ps%253D13740610%2526shp%253Dd05b14bd%2526shcp%253D34ff8df6%2526idc%253Dmy3%2526s%253DTIKTOK_AFFILIATE_VIRAL_VIDEO%22%2C%22placeholder_product_id%22%3A%221729427766722726591%22%2C%22placeholder_video_id%22%3A%227624111012706405639%22%7D&amp;ec_shared_reflux_scene=shop_tab_feed&amp;share_item_id=7624111012706405639&amp;source=h5_t</v>
      </c>
    </row>
    <row r="441">
      <c r="A441" s="255" t="str">
        <f>IFERROR(__xludf.DUMMYFUNCTION("""COMPUTED_VALUE"""),"MICRO")</f>
        <v>MICRO</v>
      </c>
      <c r="B441" s="361" t="str">
        <f>IFERROR(__xludf.DUMMYFUNCTION("""COMPUTED_VALUE"""),"rizkyutami5")</f>
        <v>rizkyutami5</v>
      </c>
      <c r="C441" s="257" t="str">
        <f>IFERROR(__xludf.DUMMYFUNCTION("""COMPUTED_VALUE"""),"https://www.tiktok.com/@rizkyutami5")</f>
        <v>https://www.tiktok.com/@rizkyutami5</v>
      </c>
      <c r="D441" s="270">
        <f>IFERROR(__xludf.DUMMYFUNCTION("""COMPUTED_VALUE"""),8.131378789E10)</f>
        <v>81313787890</v>
      </c>
      <c r="E441" s="457">
        <f>IFERROR(__xludf.DUMMYFUNCTION("""COMPUTED_VALUE"""),0.0)</f>
        <v>0</v>
      </c>
      <c r="F441" s="270">
        <f>IFERROR(__xludf.DUMMYFUNCTION("""COMPUTED_VALUE"""),4.0)</f>
        <v>4</v>
      </c>
      <c r="G441" s="17" t="str">
        <f>IFERROR(__xludf.DUMMYFUNCTION("""COMPUTED_VALUE"""),"Sabun batang 1 Box ( 2 PCS )")</f>
        <v>Sabun batang 1 Box ( 2 PCS )</v>
      </c>
      <c r="H441" s="463" t="str">
        <f>IFERROR(__xludf.DUMMYFUNCTION("""COMPUTED_VALUE"""),"Sampai")</f>
        <v>Sampai</v>
      </c>
      <c r="I441" s="464" t="str">
        <f>IFERROR(__xludf.DUMMYFUNCTION("""COMPUTED_VALUE"""),"KIMME")</f>
        <v>KIMME</v>
      </c>
      <c r="J441" s="279" t="str">
        <f>IFERROR(__xludf.DUMMYFUNCTION("""COMPUTED_VALUE"""),"https://www.tiktok.com/@icha7721/video/7625216277027507474?_d=0&amp;_r=1&amp;ec_shared_reflux_dynamic_params=%7B%22placeholder_material_id%22%3A%227625216277027507474%22%2C%22placeholder_origin_cover%22%3A%22https%253A%252F%252Fp16-common-sign.tiktokcdn.com%252Ft"&amp;"os-alisg-p-0037%252FoMTmQk1IAMQuQA7iMaiC8W6tpD4evQfDjGpfKC~tplv-tiktokx-origin.jpeg%253Fdr%253D14572%2526refresh_token%253Db89532e5%2526x-expires%253D1808208000%2526x-signature%253D75OglEd1OEm1Skmub87XMqLqoTA%25253D%2526t%253D4d5b0474%2526ps%253D13740610%"&amp;"2526shp%253Dd05b14bd%2526shcp%253D34ff8df6%2526idc%253Dmy3%2526s%253DTIKTOK_AFFILIATE_VIRAL_VIDEO%22%2C%22placeholder_product_id%22%3A%221729729730555512511%22%2C%22placeholder_video_id%22%3A%227625216277027507474%22%7D&amp;ec_shared_reflux_scene=shop_tab_fee"&amp;"d&amp;mid=7536222757655350032&amp;preview_pb=0&amp;region=&amp;share_item_id=7625216277027507474&amp;sharer_language=&amp;source=h5_t&amp;u_code=e59fc6bfdb6373")</f>
        <v>https://www.tiktok.com/@icha7721/video/7625216277027507474?_d=0&amp;_r=1&amp;ec_shared_reflux_dynamic_params=%7B%22placeholder_material_id%22%3A%227625216277027507474%22%2C%22placeholder_origin_cover%22%3A%22https%253A%252F%252Fp16-common-sign.tiktokcdn.com%252Ftos-alisg-p-0037%252FoMTmQk1IAMQuQA7iMaiC8W6tpD4evQfDjGpfKC~tplv-tiktokx-origin.jpeg%253Fdr%253D14572%2526refresh_token%253Db89532e5%2526x-expires%253D1808208000%2526x-signature%253D75OglEd1OEm1Skmub87XMqLqoTA%25253D%2526t%253D4d5b0474%2526ps%253D13740610%2526shp%253Dd05b14bd%2526shcp%253D34ff8df6%2526idc%253Dmy3%2526s%253DTIKTOK_AFFILIATE_VIRAL_VIDEO%22%2C%22placeholder_product_id%22%3A%221729729730555512511%22%2C%22placeholder_video_id%22%3A%227625216277027507474%22%7D&amp;ec_shared_reflux_scene=shop_tab_feed&amp;mid=7536222757655350032&amp;preview_pb=0&amp;region=&amp;share_item_id=7625216277027507474&amp;sharer_language=&amp;source=h5_t&amp;u_code=e59fc6bfdb6373</v>
      </c>
      <c r="K441" s="464" t="str">
        <f>IFERROR(__xludf.DUMMYFUNCTION("""COMPUTED_VALUE"""),"KIMME")</f>
        <v>KIMME</v>
      </c>
      <c r="L441" s="279" t="str">
        <f>IFERROR(__xludf.DUMMYFUNCTION("""COMPUTED_VALUE"""),"https://www.tiktok.com/@icha7721/video/7626668846660717832?_r=1&amp;u_code=e59fc6bfdb6373&amp;region=&amp;mid=7567367839414225672&amp;preview_pb=0&amp;sharer_language=&amp;_d=0&amp;ec_shared_reflux_dynamic_params=%7B%22placeholder_material_id%22%3A%227626668846660717832%22%2C%22plac"&amp;"eholder_origin_cover%22%3A%22https%253A%252F%252Fp16-common-sign.tiktokcdn.com%252Ftos-alisg-p-0037%252FoQfIX65u6AAipWLIBIXs6xA5vF8wu0mABCIXir~tplv-tiktokx-origin.jpeg%253Fdr%253D14572%2526refresh_token%253Dae6d5b6a%2526x-expires%253D1808208000%2526x-sign"&amp;"ature%253D4orgek2g2hm4gBgUTbLo047GdFg%25253D%2526t%253D4d5b0474%2526ps%253D13740610%2526shp%253Dd05b14bd%2526shcp%253D34ff8df6%2526idc%253Dmy3%2526s%253DTIKTOK_AFFILIATE_VIRAL_VIDEO%22%2C%22placeholder_product_id%22%3A%221729729730555512511%22%2C%22placeh"&amp;"older_video_id%22%3A%227626668846660717832%22%7D&amp;ec_shared_reflux_scene=shop_tab_feed&amp;share_item_id=7626668846660717832&amp;source=h5_t")</f>
        <v>https://www.tiktok.com/@icha7721/video/7626668846660717832?_r=1&amp;u_code=e59fc6bfdb6373&amp;region=&amp;mid=7567367839414225672&amp;preview_pb=0&amp;sharer_language=&amp;_d=0&amp;ec_shared_reflux_dynamic_params=%7B%22placeholder_material_id%22%3A%227626668846660717832%22%2C%22placeholder_origin_cover%22%3A%22https%253A%252F%252Fp16-common-sign.tiktokcdn.com%252Ftos-alisg-p-0037%252FoQfIX65u6AAipWLIBIXs6xA5vF8wu0mABCIXir~tplv-tiktokx-origin.jpeg%253Fdr%253D14572%2526refresh_token%253Dae6d5b6a%2526x-expires%253D1808208000%2526x-signature%253D4orgek2g2hm4gBgUTbLo047GdFg%25253D%2526t%253D4d5b0474%2526ps%253D13740610%2526shp%253Dd05b14bd%2526shcp%253D34ff8df6%2526idc%253Dmy3%2526s%253DTIKTOK_AFFILIATE_VIRAL_VIDEO%22%2C%22placeholder_product_id%22%3A%221729729730555512511%22%2C%22placeholder_video_id%22%3A%227626668846660717832%22%7D&amp;ec_shared_reflux_scene=shop_tab_feed&amp;share_item_id=7626668846660717832&amp;source=h5_t</v>
      </c>
      <c r="M441" s="464" t="str">
        <f>IFERROR(__xludf.DUMMYFUNCTION("""COMPUTED_VALUE"""),"KIMME")</f>
        <v>KIMME</v>
      </c>
      <c r="N441" s="279" t="str">
        <f>IFERROR(__xludf.DUMMYFUNCTION("""COMPUTED_VALUE"""),"https://www.tiktok.com/@icha7721/video/7627080920062823698?_r=1&amp;u_code=e59fc6bfdb6373&amp;region=&amp;mid=6954430693141137410&amp;preview_pb=0&amp;sharer_language=&amp;_d=0&amp;ec_shared_reflux_dynamic_params=%7B%22placeholder_material_id%22%3A%227627080920062823698%22%2C%22plac"&amp;"eholder_origin_cover%22%3A%22https%253A%252F%252Fp19-common-sign.tiktokcdn.com%252Ftos-alisg-p-0037%252FoAMXCGwYnF1LelltgHe1ZAgMRGfY4YbA4Ggbfv~tplv-tiktokx-origin.jpeg%253Fdr%253D14572%2526refresh_token%253D9cec3d6d%2526x-expires%253D1808208000%2526x-sign"&amp;"ature%253DBRMy%25252BxJdcqfs%25252FzKhjDFKIsiUH2A%25253D%2526t%253D4d5b0474%2526ps%253D13740610%2526shp%253Dd05b14bd%2526shcp%253D34ff8df6%2526idc%253Dmy3%2526s%253DTIKTOK_AFFILIATE_VIRAL_VIDEO%22%2C%22placeholder_product_id%22%3A%221729729730555512511%22"&amp;"%2C%22placeholder_video_id%22%3A%227627080920062823698%22%7D&amp;ec_shared_reflux_scene=shop_tab_feed&amp;share_item_id=7627080920062823698&amp;source=h5_t")</f>
        <v>https://www.tiktok.com/@icha7721/video/7627080920062823698?_r=1&amp;u_code=e59fc6bfdb6373&amp;region=&amp;mid=6954430693141137410&amp;preview_pb=0&amp;sharer_language=&amp;_d=0&amp;ec_shared_reflux_dynamic_params=%7B%22placeholder_material_id%22%3A%227627080920062823698%22%2C%22placeholder_origin_cover%22%3A%22https%253A%252F%252Fp19-common-sign.tiktokcdn.com%252Ftos-alisg-p-0037%252FoAMXCGwYnF1LelltgHe1ZAgMRGfY4YbA4Ggbfv~tplv-tiktokx-origin.jpeg%253Fdr%253D14572%2526refresh_token%253D9cec3d6d%2526x-expires%253D1808208000%2526x-signature%253DBRMy%25252BxJdcqfs%25252FzKhjDFKIsiUH2A%25253D%2526t%253D4d5b0474%2526ps%253D13740610%2526shp%253Dd05b14bd%2526shcp%253D34ff8df6%2526idc%253Dmy3%2526s%253DTIKTOK_AFFILIATE_VIRAL_VIDEO%22%2C%22placeholder_product_id%22%3A%221729729730555512511%22%2C%22placeholder_video_id%22%3A%227627080920062823698%22%7D&amp;ec_shared_reflux_scene=shop_tab_feed&amp;share_item_id=7627080920062823698&amp;source=h5_t</v>
      </c>
      <c r="O441" s="464" t="str">
        <f>IFERROR(__xludf.DUMMYFUNCTION("""COMPUTED_VALUE"""),"KIMME")</f>
        <v>KIMME</v>
      </c>
      <c r="P441" s="279" t="str">
        <f>IFERROR(__xludf.DUMMYFUNCTION("""COMPUTED_VALUE"""),"https://www.tiktok.com/@icha7721/video/7609664424349093138?_r=1&amp;u_code=e59fc6bfdb6373&amp;region=&amp;mid=7147549859652979482&amp;preview_pb=0&amp;sharer_language=&amp;_d=0&amp;ec_shared_reflux_dynamic_params=%7B%22placeholder_material_id%22%3A%227609664424349093138%22%2C%22plac"&amp;"eholder_origin_cover%22%3A%22https%253A%252F%252Fp16-common-sign.tiktokcdn.com%252Ftos-alisg-p-0037%252Focf59vIdDQaYka6TAQFFcPRKWBfjpJBQEQgLEm~tplv-tiktokx-origin.jpeg%253Fdr%253D14572%2526refresh_token%253D9713a78b%2526x-expires%253D1808208000%2526x-sign"&amp;"ature%253DLv%25252BvvcP2CfsGfOHy48hkqlDSazg%25253D%2526t%253D4d5b0474%2526ps%253D13740610%2526shp%253Dd05b14bd%2526shcp%253D34ff8df6%2526idc%253Dmy3%2526s%253DTIKTOK_AFFILIATE_VIRAL_VIDEO%22%2C%22placeholder_product_id%22%3A%221729427766722726591%22%2C%22"&amp;"placeholder_video_id%22%3A%227609664424349093138%22%7D&amp;ec_shared_reflux_scene=shop_tab_feed&amp;share_item_id=7609664424349093138&amp;source=h5_t")</f>
        <v>https://www.tiktok.com/@icha7721/video/7609664424349093138?_r=1&amp;u_code=e59fc6bfdb6373&amp;region=&amp;mid=7147549859652979482&amp;preview_pb=0&amp;sharer_language=&amp;_d=0&amp;ec_shared_reflux_dynamic_params=%7B%22placeholder_material_id%22%3A%227609664424349093138%22%2C%22placeholder_origin_cover%22%3A%22https%253A%252F%252Fp16-common-sign.tiktokcdn.com%252Ftos-alisg-p-0037%252Focf59vIdDQaYka6TAQFFcPRKWBfjpJBQEQgLEm~tplv-tiktokx-origin.jpeg%253Fdr%253D14572%2526refresh_token%253D9713a78b%2526x-expires%253D1808208000%2526x-signature%253DLv%25252BvvcP2CfsGfOHy48hkqlDSazg%25253D%2526t%253D4d5b0474%2526ps%253D13740610%2526shp%253Dd05b14bd%2526shcp%253D34ff8df6%2526idc%253Dmy3%2526s%253DTIKTOK_AFFILIATE_VIRAL_VIDEO%22%2C%22placeholder_product_id%22%3A%221729427766722726591%22%2C%22placeholder_video_id%22%3A%227609664424349093138%22%7D&amp;ec_shared_reflux_scene=shop_tab_feed&amp;share_item_id=7609664424349093138&amp;source=h5_t</v>
      </c>
    </row>
    <row r="442">
      <c r="A442" s="255" t="str">
        <f>IFERROR(__xludf.DUMMYFUNCTION("""COMPUTED_VALUE"""),"MICRO")</f>
        <v>MICRO</v>
      </c>
      <c r="B442" s="361" t="str">
        <f>IFERROR(__xludf.DUMMYFUNCTION("""COMPUTED_VALUE"""),"ananeo25")</f>
        <v>ananeo25</v>
      </c>
      <c r="C442" s="257" t="str">
        <f>IFERROR(__xludf.DUMMYFUNCTION("""COMPUTED_VALUE"""),"https://www.tiktok.com/@ananeo25")</f>
        <v>https://www.tiktok.com/@ananeo25</v>
      </c>
      <c r="D442" s="270">
        <f>IFERROR(__xludf.DUMMYFUNCTION("""COMPUTED_VALUE"""),8.1383009116E10)</f>
        <v>81383009116</v>
      </c>
      <c r="E442" s="457">
        <f>IFERROR(__xludf.DUMMYFUNCTION("""COMPUTED_VALUE"""),0.0)</f>
        <v>0</v>
      </c>
      <c r="F442" s="270">
        <f>IFERROR(__xludf.DUMMYFUNCTION("""COMPUTED_VALUE"""),4.0)</f>
        <v>4</v>
      </c>
      <c r="G442" s="17" t="str">
        <f>IFERROR(__xludf.DUMMYFUNCTION("""COMPUTED_VALUE"""),"Sabun batang 1 Box ( 2 PCS )")</f>
        <v>Sabun batang 1 Box ( 2 PCS )</v>
      </c>
      <c r="H442" s="463" t="str">
        <f>IFERROR(__xludf.DUMMYFUNCTION("""COMPUTED_VALUE"""),"Sampai")</f>
        <v>Sampai</v>
      </c>
      <c r="I442" s="464" t="str">
        <f>IFERROR(__xludf.DUMMYFUNCTION("""COMPUTED_VALUE"""),"KIMME")</f>
        <v>KIMME</v>
      </c>
      <c r="J442" s="279" t="str">
        <f>IFERROR(__xludf.DUMMYFUNCTION("""COMPUTED_VALUE"""),"https://www.tiktok.com/@icha7721/video/7609925746773036306?_r=1&amp;u_code=e59fc6bfdb6373&amp;region=&amp;mid=7147549859652979482&amp;preview_pb=0&amp;sharer_language=&amp;_d=0&amp;ec_shared_reflux_dynamic_params=%7B%22placeholder_material_id%22%3A%227609925746773036306%22%2C%22plac"&amp;"eholder_origin_cover%22%3A%22https%253A%252F%252Fp16-common-sign.tiktokcdn.com%252Ftos-alisg-p-0037%252FogGj1NEUoLTfo34mIcK7xtAQDfA5FDCIZCETeQ~tplv-tiktokx-origin.jpeg%253Fdr%253D14572%2526refresh_token%253D882d1e12%2526x-expires%253D1808208000%2526x-sign"&amp;"ature%253DYDqTKuAmGg5Xg7nTdxfAPoDbHh8%25253D%2526t%253D4d5b0474%2526ps%253D13740610%2526shp%253Dd05b14bd%2526shcp%253D34ff8df6%2526idc%253Dmy3%2526s%253DTIKTOK_AFFILIATE_VIRAL_VIDEO%22%2C%22placeholder_product_id%22%3A%221729427766722726591%22%2C%22placeh"&amp;"older_video_id%22%3A%227609925746773036306%22%7D&amp;ec_shared_reflux_scene=shop_tab_feed&amp;share_item_id=7609925746773036306&amp;source=h5_t")</f>
        <v>https://www.tiktok.com/@icha7721/video/7609925746773036306?_r=1&amp;u_code=e59fc6bfdb6373&amp;region=&amp;mid=7147549859652979482&amp;preview_pb=0&amp;sharer_language=&amp;_d=0&amp;ec_shared_reflux_dynamic_params=%7B%22placeholder_material_id%22%3A%227609925746773036306%22%2C%22placeholder_origin_cover%22%3A%22https%253A%252F%252Fp16-common-sign.tiktokcdn.com%252Ftos-alisg-p-0037%252FogGj1NEUoLTfo34mIcK7xtAQDfA5FDCIZCETeQ~tplv-tiktokx-origin.jpeg%253Fdr%253D14572%2526refresh_token%253D882d1e12%2526x-expires%253D1808208000%2526x-signature%253DYDqTKuAmGg5Xg7nTdxfAPoDbHh8%25253D%2526t%253D4d5b0474%2526ps%253D13740610%2526shp%253Dd05b14bd%2526shcp%253D34ff8df6%2526idc%253Dmy3%2526s%253DTIKTOK_AFFILIATE_VIRAL_VIDEO%22%2C%22placeholder_product_id%22%3A%221729427766722726591%22%2C%22placeholder_video_id%22%3A%227609925746773036306%22%7D&amp;ec_shared_reflux_scene=shop_tab_feed&amp;share_item_id=7609925746773036306&amp;source=h5_t</v>
      </c>
      <c r="K442" s="464" t="str">
        <f>IFERROR(__xludf.DUMMYFUNCTION("""COMPUTED_VALUE"""),"KIMME")</f>
        <v>KIMME</v>
      </c>
      <c r="L442" s="279" t="str">
        <f>IFERROR(__xludf.DUMMYFUNCTION("""COMPUTED_VALUE"""),"https://www.tiktok.com/@icha7721/video/7610365735797263634?_r=1&amp;u_code=e59fc6bfdb6373&amp;region=&amp;mid=7528756224239323905&amp;preview_pb=0&amp;sharer_language=&amp;_d=0&amp;ec_shared_reflux_dynamic_params=%7B%22placeholder_material_id%22%3A%227610365735797263634%22%2C%22plac"&amp;"eholder_origin_cover%22%3A%22https%253A%252F%252Fp16-common-sign.tiktokcdn.com%252Ftos-alisg-p-0037%252Fog69Ub8Ijg9Ar4WerkgH0FGTfewLIDjuCAIU5O~tplv-tiktokx-origin.jpeg%253Fdr%253D14572%2526refresh_token%253D79b0e8c2%2526x-expires%253D1808208000%2526x-sign"&amp;"ature%253Dyp%25252Fwg9%25252B3T02sJa%25252B6RTsvgKsjL4U%25253D%2526t%253D4d5b0474%2526ps%253D13740610%2526shp%253Dd05b14bd%2526shcp%253D34ff8df6%2526idc%253Dmy3%2526s%253DTIKTOK_AFFILIATE_VIRAL_VIDEO%22%2C%22placeholder_product_id%22%3A%221729634177198098"&amp;"769%22%2C%22placeholder_video_id%22%3A%227610365735797263634%22%7D&amp;ec_shared_reflux_scene=shop_tab_feed&amp;share_item_id=7610365735797263634&amp;source=h5_t")</f>
        <v>https://www.tiktok.com/@icha7721/video/7610365735797263634?_r=1&amp;u_code=e59fc6bfdb6373&amp;region=&amp;mid=7528756224239323905&amp;preview_pb=0&amp;sharer_language=&amp;_d=0&amp;ec_shared_reflux_dynamic_params=%7B%22placeholder_material_id%22%3A%227610365735797263634%22%2C%22placeholder_origin_cover%22%3A%22https%253A%252F%252Fp16-common-sign.tiktokcdn.com%252Ftos-alisg-p-0037%252Fog69Ub8Ijg9Ar4WerkgH0FGTfewLIDjuCAIU5O~tplv-tiktokx-origin.jpeg%253Fdr%253D14572%2526refresh_token%253D79b0e8c2%2526x-expires%253D1808208000%2526x-signature%253Dyp%25252Fwg9%25252B3T02sJa%25252B6RTsvgKsjL4U%25253D%2526t%253D4d5b0474%2526ps%253D13740610%2526shp%253Dd05b14bd%2526shcp%253D34ff8df6%2526idc%253Dmy3%2526s%253DTIKTOK_AFFILIATE_VIRAL_VIDEO%22%2C%22placeholder_product_id%22%3A%221729634177198098769%22%2C%22placeholder_video_id%22%3A%227610365735797263634%22%7D&amp;ec_shared_reflux_scene=shop_tab_feed&amp;share_item_id=7610365735797263634&amp;source=h5_t</v>
      </c>
      <c r="M442" s="464" t="str">
        <f>IFERROR(__xludf.DUMMYFUNCTION("""COMPUTED_VALUE"""),"KIMME")</f>
        <v>KIMME</v>
      </c>
      <c r="N442" s="279" t="str">
        <f>IFERROR(__xludf.DUMMYFUNCTION("""COMPUTED_VALUE"""),"https://www.tiktok.com/@icha7721/video/7612990118462360850?_r=1&amp;u_code=e59fc6bfdb6373&amp;region=&amp;mid=7070111883117742081&amp;preview_pb=0&amp;sharer_language=&amp;_d=0&amp;ec_shared_reflux_dynamic_params=%7B%22placeholder_material_id%22%3A%227612990118462360850%22%2C%22plac"&amp;"eholder_origin_cover%22%3A%22https%253A%252F%252Fp16-sign-sg.tiktokcdn.com%252Ftos-alisg-p-0037%252FoQQNQDBJRjVpAyDp0FtffD8UyUsE4EqgcxsGBy~tplv-tiktokx-origin.jpeg%253Fdr%253D14572%2526refresh_token%253D38acae7f%2526x-expires%253D1808208000%2526x-signatur"&amp;"e%253DuzzKCZDoifQ3HygrUWV3r6wPNzA%25253D%2526t%253D4d5b0474%2526ps%253D13740610%2526shp%253Dd05b14bd%2526shcp%253D34ff8df6%2526idc%253Dmy3%2526s%253DTIKTOK_AFFILIATE_VIRAL_VIDEO%22%2C%22placeholder_product_id%22%3A%221729427766722726591%22%2C%22placeholde"&amp;"r_video_id%22%3A%227612990118462360850%22%7D&amp;ec_shared_reflux_scene=shop_tab_feed&amp;share_item_id=7612990118462360850&amp;source=h5_t")</f>
        <v>https://www.tiktok.com/@icha7721/video/7612990118462360850?_r=1&amp;u_code=e59fc6bfdb6373&amp;region=&amp;mid=7070111883117742081&amp;preview_pb=0&amp;sharer_language=&amp;_d=0&amp;ec_shared_reflux_dynamic_params=%7B%22placeholder_material_id%22%3A%227612990118462360850%22%2C%22placeholder_origin_cover%22%3A%22https%253A%252F%252Fp16-sign-sg.tiktokcdn.com%252Ftos-alisg-p-0037%252FoQQNQDBJRjVpAyDp0FtffD8UyUsE4EqgcxsGBy~tplv-tiktokx-origin.jpeg%253Fdr%253D14572%2526refresh_token%253D38acae7f%2526x-expires%253D1808208000%2526x-signature%253DuzzKCZDoifQ3HygrUWV3r6wPNzA%25253D%2526t%253D4d5b0474%2526ps%253D13740610%2526shp%253Dd05b14bd%2526shcp%253D34ff8df6%2526idc%253Dmy3%2526s%253DTIKTOK_AFFILIATE_VIRAL_VIDEO%22%2C%22placeholder_product_id%22%3A%221729427766722726591%22%2C%22placeholder_video_id%22%3A%227612990118462360850%22%7D&amp;ec_shared_reflux_scene=shop_tab_feed&amp;share_item_id=7612990118462360850&amp;source=h5_t</v>
      </c>
      <c r="O442" s="464" t="str">
        <f>IFERROR(__xludf.DUMMYFUNCTION("""COMPUTED_VALUE"""),"KIMME")</f>
        <v>KIMME</v>
      </c>
      <c r="P442" s="279" t="str">
        <f>IFERROR(__xludf.DUMMYFUNCTION("""COMPUTED_VALUE"""),"https://www.tiktok.com/@icha7721/video/7613367505595387143?_r=1&amp;u_code=e59fc6bfdb6373&amp;region=&amp;mid=7613367537566157589&amp;preview_pb=0&amp;sharer_language=&amp;_d=0&amp;ec_shared_reflux_dynamic_params=%7B%22placeholder_material_id%22%3A%227613367505595387143%22%2C%22plac"&amp;"eholder_origin_cover%22%3A%22https%253A%252F%252Fp16-sign-sg.tiktokcdn.com%252Ftos-alisg-p-0037%252FoQDo9cekQB7qgQEsXfRHEK1B4zy8BgwiFZA9Fp~tplv-tiktokx-origin.jpeg%253Fdr%253D14572%2526refresh_token%253D712c46cb%2526x-expires%253D1808208000%2526x-signatur"&amp;"e%253DfCM6oNaB5nNHAwm9YAjOflrdPic%25253D%2526t%253D4d5b0474%2526ps%253D13740610%2526shp%253Dd05b14bd%2526shcp%253D34ff8df6%2526idc%253Dmy3%2526s%253DTIKTOK_AFFILIATE_VIRAL_VIDEO%22%2C%22placeholder_product_id%22%3A%221729427766722726591%22%2C%22placeholde"&amp;"r_video_id%22%3A%227613367505595387143%22%7D&amp;ec_shared_reflux_scene=shop_tab_feed&amp;share_item_id=7613367505595387143&amp;source=h5_t")</f>
        <v>https://www.tiktok.com/@icha7721/video/7613367505595387143?_r=1&amp;u_code=e59fc6bfdb6373&amp;region=&amp;mid=7613367537566157589&amp;preview_pb=0&amp;sharer_language=&amp;_d=0&amp;ec_shared_reflux_dynamic_params=%7B%22placeholder_material_id%22%3A%227613367505595387143%22%2C%22placeholder_origin_cover%22%3A%22https%253A%252F%252Fp16-sign-sg.tiktokcdn.com%252Ftos-alisg-p-0037%252FoQDo9cekQB7qgQEsXfRHEK1B4zy8BgwiFZA9Fp~tplv-tiktokx-origin.jpeg%253Fdr%253D14572%2526refresh_token%253D712c46cb%2526x-expires%253D1808208000%2526x-signature%253DfCM6oNaB5nNHAwm9YAjOflrdPic%25253D%2526t%253D4d5b0474%2526ps%253D13740610%2526shp%253Dd05b14bd%2526shcp%253D34ff8df6%2526idc%253Dmy3%2526s%253DTIKTOK_AFFILIATE_VIRAL_VIDEO%22%2C%22placeholder_product_id%22%3A%221729427766722726591%22%2C%22placeholder_video_id%22%3A%227613367505595387143%22%7D&amp;ec_shared_reflux_scene=shop_tab_feed&amp;share_item_id=7613367505595387143&amp;source=h5_t</v>
      </c>
    </row>
    <row r="443">
      <c r="A443" s="255" t="str">
        <f>IFERROR(__xludf.DUMMYFUNCTION("""COMPUTED_VALUE"""),"MICRO")</f>
        <v>MICRO</v>
      </c>
      <c r="B443" s="361" t="str">
        <f>IFERROR(__xludf.DUMMYFUNCTION("""COMPUTED_VALUE"""),"turtllee97")</f>
        <v>turtllee97</v>
      </c>
      <c r="C443" s="257" t="str">
        <f>IFERROR(__xludf.DUMMYFUNCTION("""COMPUTED_VALUE"""),"https://www.tiktok.com/@turtllee97")</f>
        <v>https://www.tiktok.com/@turtllee97</v>
      </c>
      <c r="D443" s="270">
        <f>IFERROR(__xludf.DUMMYFUNCTION("""COMPUTED_VALUE"""),8.5695843134E10)</f>
        <v>85695843134</v>
      </c>
      <c r="E443" s="457">
        <f>IFERROR(__xludf.DUMMYFUNCTION("""COMPUTED_VALUE"""),0.0)</f>
        <v>0</v>
      </c>
      <c r="F443" s="270">
        <f>IFERROR(__xludf.DUMMYFUNCTION("""COMPUTED_VALUE"""),4.0)</f>
        <v>4</v>
      </c>
      <c r="G443" s="17" t="str">
        <f>IFERROR(__xludf.DUMMYFUNCTION("""COMPUTED_VALUE"""),"Sabun batang 1 Box ( 2 PCS )")</f>
        <v>Sabun batang 1 Box ( 2 PCS )</v>
      </c>
      <c r="H443" s="463" t="str">
        <f>IFERROR(__xludf.DUMMYFUNCTION("""COMPUTED_VALUE"""),"Sampai")</f>
        <v>Sampai</v>
      </c>
      <c r="I443" s="464" t="str">
        <f>IFERROR(__xludf.DUMMYFUNCTION("""COMPUTED_VALUE"""),"KIMME")</f>
        <v>KIMME</v>
      </c>
      <c r="J443" s="279" t="str">
        <f>IFERROR(__xludf.DUMMYFUNCTION("""COMPUTED_VALUE"""),"https://www.tiktok.com/@icha7721/video/7618961640788135188?_r=1&amp;u_code=e59fc6bfdb6373&amp;region=&amp;mid=7332514883958164230&amp;preview_pb=0&amp;sharer_language=&amp;_d=0&amp;ec_shared_reflux_dynamic_params=%7B%22placeholder_material_id%22%3A%227618961640788135188%22%2C%22plac"&amp;"eholder_origin_cover%22%3A%22https%253A%252F%252Fp16-common-sign.tiktokcdn.com%252Ftos-alisg-p-0037%252Fo85fUVAPfQ8if5nmA0C1QfQ38nRdKFGQAMbG7X~tplv-tiktokx-origin.jpeg%253Fdr%253D14572%2526refresh_token%253Dd176c663%2526x-expires%253D1808208000%2526x-sign"&amp;"ature%253D7oWAidMyd8UJshi0SdWXwnidp9w%25253D%2526t%253D4d5b0474%2526ps%253D13740610%2526shp%253Dd05b14bd%2526shcp%253D34ff8df6%2526idc%253Dmy3%2526s%253DTIKTOK_AFFILIATE_VIRAL_VIDEO%22%2C%22placeholder_product_id%22%3A%221729427766722726591%22%2C%22placeh"&amp;"older_video_id%22%3A%227618961640788135188%22%7D&amp;ec_shared_reflux_scene=shop_tab_feed&amp;share_item_id=7618961640788135188&amp;source=h5_t")</f>
        <v>https://www.tiktok.com/@icha7721/video/7618961640788135188?_r=1&amp;u_code=e59fc6bfdb6373&amp;region=&amp;mid=7332514883958164230&amp;preview_pb=0&amp;sharer_language=&amp;_d=0&amp;ec_shared_reflux_dynamic_params=%7B%22placeholder_material_id%22%3A%227618961640788135188%22%2C%22placeholder_origin_cover%22%3A%22https%253A%252F%252Fp16-common-sign.tiktokcdn.com%252Ftos-alisg-p-0037%252Fo85fUVAPfQ8if5nmA0C1QfQ38nRdKFGQAMbG7X~tplv-tiktokx-origin.jpeg%253Fdr%253D14572%2526refresh_token%253Dd176c663%2526x-expires%253D1808208000%2526x-signature%253D7oWAidMyd8UJshi0SdWXwnidp9w%25253D%2526t%253D4d5b0474%2526ps%253D13740610%2526shp%253Dd05b14bd%2526shcp%253D34ff8df6%2526idc%253Dmy3%2526s%253DTIKTOK_AFFILIATE_VIRAL_VIDEO%22%2C%22placeholder_product_id%22%3A%221729427766722726591%22%2C%22placeholder_video_id%22%3A%227618961640788135188%22%7D&amp;ec_shared_reflux_scene=shop_tab_feed&amp;share_item_id=7618961640788135188&amp;source=h5_t</v>
      </c>
      <c r="K443" s="464" t="str">
        <f>IFERROR(__xludf.DUMMYFUNCTION("""COMPUTED_VALUE"""),"KIMME")</f>
        <v>KIMME</v>
      </c>
      <c r="L443" s="279" t="str">
        <f>IFERROR(__xludf.DUMMYFUNCTION("""COMPUTED_VALUE"""),"https://www.tiktok.com/@icha7721/video/7619306411926850837?_r=1&amp;u_code=e59fc6bfdb6373&amp;region=&amp;mid=7475638762669819921&amp;preview_pb=0&amp;sharer_language=&amp;_d=0&amp;ec_shared_reflux_dynamic_params=%7B%22placeholder_material_id%22%3A%227619306411926850837%22%2C%22plac"&amp;"eholder_origin_cover%22%3A%22https%253A%252F%252Fp16-common-sign.tiktokcdn.com%252Ftos-alisg-p-0037%252FoItoIKFgsGcDN4g9BCDAIav6RfpgNBqEQTEvfp~tplv-tiktokx-origin.jpeg%253Fdr%253D14572%2526refresh_token%253D9531192f%2526x-expires%253D1808208000%2526x-sign"&amp;"ature%253DyzXoo430NV8jK2hp0STAJmqbu9w%25253D%2526t%253D4d5b0474%2526ps%253D13740610%2526shp%253Dd05b14bd%2526shcp%253D34ff8df6%2526idc%253Dmy3%2526s%253DTIKTOK_AFFILIATE_VIRAL_VIDEO%22%2C%22placeholder_product_id%22%3A%221729427766722726591%22%2C%22placeh"&amp;"older_video_id%22%3A%227619306411926850837%22%7D&amp;ec_shared_reflux_scene=shop_tab_feed&amp;share_item_id=7619306411926850837&amp;source=h5_t")</f>
        <v>https://www.tiktok.com/@icha7721/video/7619306411926850837?_r=1&amp;u_code=e59fc6bfdb6373&amp;region=&amp;mid=7475638762669819921&amp;preview_pb=0&amp;sharer_language=&amp;_d=0&amp;ec_shared_reflux_dynamic_params=%7B%22placeholder_material_id%22%3A%227619306411926850837%22%2C%22placeholder_origin_cover%22%3A%22https%253A%252F%252Fp16-common-sign.tiktokcdn.com%252Ftos-alisg-p-0037%252FoItoIKFgsGcDN4g9BCDAIav6RfpgNBqEQTEvfp~tplv-tiktokx-origin.jpeg%253Fdr%253D14572%2526refresh_token%253D9531192f%2526x-expires%253D1808208000%2526x-signature%253DyzXoo430NV8jK2hp0STAJmqbu9w%25253D%2526t%253D4d5b0474%2526ps%253D13740610%2526shp%253Dd05b14bd%2526shcp%253D34ff8df6%2526idc%253Dmy3%2526s%253DTIKTOK_AFFILIATE_VIRAL_VIDEO%22%2C%22placeholder_product_id%22%3A%221729427766722726591%22%2C%22placeholder_video_id%22%3A%227619306411926850837%22%7D&amp;ec_shared_reflux_scene=shop_tab_feed&amp;share_item_id=7619306411926850837&amp;source=h5_t</v>
      </c>
      <c r="M443" s="464" t="str">
        <f>IFERROR(__xludf.DUMMYFUNCTION("""COMPUTED_VALUE"""),"KIMME")</f>
        <v>KIMME</v>
      </c>
      <c r="N443" s="279" t="str">
        <f>IFERROR(__xludf.DUMMYFUNCTION("""COMPUTED_VALUE"""),"https://www.tiktok.com/@icha7721/video/7620082754461666581?_r=1&amp;u_code=e59fc6bfdb6373&amp;region=&amp;mid=7549919045177625400&amp;preview_pb=0&amp;sharer_language=&amp;_d=0&amp;ec_shared_reflux_dynamic_params=%7B%22placeholder_material_id%22%3A%227620082754461666581%22%2C%22plac"&amp;"eholder_origin_cover%22%3A%22https%253A%252F%252Fp16-sign-sg.tiktokcdn.com%252Ftos-alisg-p-0037%252Fow0fglXbYA6g17a8YgDO4GeBfrsYftRLeAkewE~tplv-tiktokx-origin.jpeg%253Fdr%253D14572%2526refresh_token%253D248b3849%2526x-expires%253D1808208000%2526x-signatur"&amp;"e%253DKcUyeJ4Tm7W7aZWR9YG4Xh%25252FGXN0%25253D%2526t%253D4d5b0474%2526ps%253D13740610%2526shp%253Dd05b14bd%2526shcp%253D34ff8df6%2526idc%253Dmy3%2526s%253DTIKTOK_AFFILIATE_VIRAL_VIDEO%22%2C%22placeholder_product_id%22%3A%221729427766722726591%22%2C%22plac"&amp;"eholder_video_id%22%3A%227620082754461666581%22%7D&amp;ec_shared_reflux_scene=shop_tab_feed&amp;share_item_id=7620082754461666581&amp;source=h5_t")</f>
        <v>https://www.tiktok.com/@icha7721/video/7620082754461666581?_r=1&amp;u_code=e59fc6bfdb6373&amp;region=&amp;mid=7549919045177625400&amp;preview_pb=0&amp;sharer_language=&amp;_d=0&amp;ec_shared_reflux_dynamic_params=%7B%22placeholder_material_id%22%3A%227620082754461666581%22%2C%22placeholder_origin_cover%22%3A%22https%253A%252F%252Fp16-sign-sg.tiktokcdn.com%252Ftos-alisg-p-0037%252Fow0fglXbYA6g17a8YgDO4GeBfrsYftRLeAkewE~tplv-tiktokx-origin.jpeg%253Fdr%253D14572%2526refresh_token%253D248b3849%2526x-expires%253D1808208000%2526x-signature%253DKcUyeJ4Tm7W7aZWR9YG4Xh%25252FGXN0%25253D%2526t%253D4d5b0474%2526ps%253D13740610%2526shp%253Dd05b14bd%2526shcp%253D34ff8df6%2526idc%253Dmy3%2526s%253DTIKTOK_AFFILIATE_VIRAL_VIDEO%22%2C%22placeholder_product_id%22%3A%221729427766722726591%22%2C%22placeholder_video_id%22%3A%227620082754461666581%22%7D&amp;ec_shared_reflux_scene=shop_tab_feed&amp;share_item_id=7620082754461666581&amp;source=h5_t</v>
      </c>
      <c r="O443" s="464" t="str">
        <f>IFERROR(__xludf.DUMMYFUNCTION("""COMPUTED_VALUE"""),"KIMME")</f>
        <v>KIMME</v>
      </c>
      <c r="P443" s="279" t="str">
        <f>IFERROR(__xludf.DUMMYFUNCTION("""COMPUTED_VALUE"""),"https://www.tiktok.com/@icha7721/video/7621133484911840519?_r=1&amp;u_code=e59fc6bfdb6373&amp;region=&amp;mid=7567367839414225672&amp;preview_pb=0&amp;sharer_language=&amp;_d=0&amp;ec_shared_reflux_dynamic_params=%7B%22placeholder_material_id%22%3A%227621133484911840519%22%2C%22plac"&amp;"eholder_origin_cover%22%3A%22https%253A%252F%252Fp16-common-sign.tiktokcdn.com%252Ftos-alisg-p-0037%252Fo0IABm3v0AAizRpEaWO0cBhDtViImIrYSPal1~tplv-tiktokx-origin.jpeg%253Fdr%253D14572%2526refresh_token%253D242754e8%2526x-expires%253D1808208000%2526x-signa"&amp;"ture%253DYRwiwFyJ0CbqilWlNSgsiZWxaWg%25253D%2526t%253D4d5b0474%2526ps%253D13740610%2526shp%253Dd05b14bd%2526shcp%253D34ff8df6%2526idc%253Dmy3%2526s%253DTIKTOK_AFFILIATE_VIRAL_VIDEO%22%2C%22placeholder_product_id%22%3A%221729427766722726591%22%2C%22placeho"&amp;"lder_video_id%22%3A%227621133484911840519%22%7D&amp;ec_shared_reflux_scene=shop_tab_feed&amp;share_item_id=7621133484911840519&amp;source=h5_t")</f>
        <v>https://www.tiktok.com/@icha7721/video/7621133484911840519?_r=1&amp;u_code=e59fc6bfdb6373&amp;region=&amp;mid=7567367839414225672&amp;preview_pb=0&amp;sharer_language=&amp;_d=0&amp;ec_shared_reflux_dynamic_params=%7B%22placeholder_material_id%22%3A%227621133484911840519%22%2C%22placeholder_origin_cover%22%3A%22https%253A%252F%252Fp16-common-sign.tiktokcdn.com%252Ftos-alisg-p-0037%252Fo0IABm3v0AAizRpEaWO0cBhDtViImIrYSPal1~tplv-tiktokx-origin.jpeg%253Fdr%253D14572%2526refresh_token%253D242754e8%2526x-expires%253D1808208000%2526x-signature%253DYRwiwFyJ0CbqilWlNSgsiZWxaWg%25253D%2526t%253D4d5b0474%2526ps%253D13740610%2526shp%253Dd05b14bd%2526shcp%253D34ff8df6%2526idc%253Dmy3%2526s%253DTIKTOK_AFFILIATE_VIRAL_VIDEO%22%2C%22placeholder_product_id%22%3A%221729427766722726591%22%2C%22placeholder_video_id%22%3A%227621133484911840519%22%7D&amp;ec_shared_reflux_scene=shop_tab_feed&amp;share_item_id=7621133484911840519&amp;source=h5_t</v>
      </c>
    </row>
    <row r="444">
      <c r="A444" s="255" t="str">
        <f>IFERROR(__xludf.DUMMYFUNCTION("""COMPUTED_VALUE"""),"MICRO")</f>
        <v>MICRO</v>
      </c>
      <c r="B444" s="361" t="str">
        <f>IFERROR(__xludf.DUMMYFUNCTION("""COMPUTED_VALUE"""),"yesipebriani26")</f>
        <v>yesipebriani26</v>
      </c>
      <c r="C444" s="257" t="str">
        <f>IFERROR(__xludf.DUMMYFUNCTION("""COMPUTED_VALUE"""),"https://www.tiktok.com/@yesipebriani26")</f>
        <v>https://www.tiktok.com/@yesipebriani26</v>
      </c>
      <c r="D444" s="270">
        <f>IFERROR(__xludf.DUMMYFUNCTION("""COMPUTED_VALUE"""),8.3875215361E10)</f>
        <v>83875215361</v>
      </c>
      <c r="E444" s="457">
        <f>IFERROR(__xludf.DUMMYFUNCTION("""COMPUTED_VALUE"""),0.0)</f>
        <v>0</v>
      </c>
      <c r="F444" s="270">
        <f>IFERROR(__xludf.DUMMYFUNCTION("""COMPUTED_VALUE"""),3.0)</f>
        <v>3</v>
      </c>
      <c r="G444" s="17" t="str">
        <f>IFERROR(__xludf.DUMMYFUNCTION("""COMPUTED_VALUE"""),"Sabun batang 1 Box ( 2 PCS )")</f>
        <v>Sabun batang 1 Box ( 2 PCS )</v>
      </c>
      <c r="H444" s="463" t="str">
        <f>IFERROR(__xludf.DUMMYFUNCTION("""COMPUTED_VALUE"""),"Sampai")</f>
        <v>Sampai</v>
      </c>
      <c r="I444" s="464" t="str">
        <f>IFERROR(__xludf.DUMMYFUNCTION("""COMPUTED_VALUE"""),"KIMME")</f>
        <v>KIMME</v>
      </c>
      <c r="J444" s="279" t="str">
        <f>IFERROR(__xludf.DUMMYFUNCTION("""COMPUTED_VALUE"""),"https://www.tiktok.com/@icha7721/video/7621831662371917074?_r=1&amp;u_code=e59fc6bfdb6373&amp;region=&amp;mid=7415463043465201680&amp;preview_pb=0&amp;sharer_language=&amp;_d=0&amp;ec_shared_reflux_dynamic_params=%7B%22placeholder_material_id%22%3A%227621831662371917074%22%2C%22plac"&amp;"eholder_origin_cover%22%3A%22https%253A%252F%252Fp19-common-sign.tiktokcdn.com%252Ftos-alisg-p-0037%252FoUfT04jzIgDj2GdE9LF2eIY4DMx1IACfFqA4lA~tplv-tiktokx-origin.jpeg%253Fdr%253D14572%2526refresh_token%253Def249277%2526x-expires%253D1808208000%2526x-sign"&amp;"ature%253DZ1yjsTK078GBkTMVtDn0QCEzAKM%25253D%2526t%253D4d5b0474%2526ps%253D13740610%2526shp%253Dd05b14bd%2526shcp%253D34ff8df6%2526idc%253Dmy3%2526s%253DTIKTOK_AFFILIATE_VIRAL_VIDEO%22%2C%22placeholder_product_id%22%3A%221729427766722726591%22%2C%22placeh"&amp;"older_video_id%22%3A%227621831662371917074%22%7D&amp;ec_shared_reflux_scene=shop_tab_feed&amp;share_item_id=7621831662371917074&amp;source=h5_t")</f>
        <v>https://www.tiktok.com/@icha7721/video/7621831662371917074?_r=1&amp;u_code=e59fc6bfdb6373&amp;region=&amp;mid=7415463043465201680&amp;preview_pb=0&amp;sharer_language=&amp;_d=0&amp;ec_shared_reflux_dynamic_params=%7B%22placeholder_material_id%22%3A%227621831662371917074%22%2C%22placeholder_origin_cover%22%3A%22https%253A%252F%252Fp19-common-sign.tiktokcdn.com%252Ftos-alisg-p-0037%252FoUfT04jzIgDj2GdE9LF2eIY4DMx1IACfFqA4lA~tplv-tiktokx-origin.jpeg%253Fdr%253D14572%2526refresh_token%253Def249277%2526x-expires%253D1808208000%2526x-signature%253DZ1yjsTK078GBkTMVtDn0QCEzAKM%25253D%2526t%253D4d5b0474%2526ps%253D13740610%2526shp%253Dd05b14bd%2526shcp%253D34ff8df6%2526idc%253Dmy3%2526s%253DTIKTOK_AFFILIATE_VIRAL_VIDEO%22%2C%22placeholder_product_id%22%3A%221729427766722726591%22%2C%22placeholder_video_id%22%3A%227621831662371917074%22%7D&amp;ec_shared_reflux_scene=shop_tab_feed&amp;share_item_id=7621831662371917074&amp;source=h5_t</v>
      </c>
      <c r="K444" s="464" t="str">
        <f>IFERROR(__xludf.DUMMYFUNCTION("""COMPUTED_VALUE"""),"KIMME")</f>
        <v>KIMME</v>
      </c>
      <c r="L444" s="279" t="str">
        <f>IFERROR(__xludf.DUMMYFUNCTION("""COMPUTED_VALUE"""),"https://www.tiktok.com/@icha7721/video/7622182438436932872?_r=1&amp;u_code=e59fc6bfdb6373&amp;region=&amp;mid=7415463043465201680&amp;preview_pb=0&amp;sharer_language=&amp;_d=0&amp;ec_shared_reflux_dynamic_params=%7B%22placeholder_material_id%22%3A%227622182438436932872%22%2C%22plac"&amp;"eholder_origin_cover%22%3A%22https%253A%252F%252Fp16-common-sign.tiktokcdn.com%252Ftos-alisg-p-0037%252FowzjoIfIDB3xtCbQAEfpANA0bFQQvTDISeyjEH~tplv-tiktokx-origin.jpeg%253Fdr%253D14572%2526refresh_token%253D785de71d%2526x-expires%253D1808208000%2526x-sign"&amp;"ature%253DIf3UZkTTskwkvTYQJREB2hQbjF8%25253D%2526t%253D4d5b0474%2526ps%253D13740610%2526shp%253Dd05b14bd%2526shcp%253D34ff8df6%2526idc%253Dmy3%2526s%253DTIKTOK_AFFILIATE_VIRAL_VIDEO%22%2C%22placeholder_product_id%22%3A%221729427766722726591%22%2C%22placeh"&amp;"older_video_id%22%3A%227622182438436932872%22%7D&amp;ec_shared_reflux_scene=shop_tab_feed&amp;share_item_id=7622182438436932872&amp;source=h5_t")</f>
        <v>https://www.tiktok.com/@icha7721/video/7622182438436932872?_r=1&amp;u_code=e59fc6bfdb6373&amp;region=&amp;mid=7415463043465201680&amp;preview_pb=0&amp;sharer_language=&amp;_d=0&amp;ec_shared_reflux_dynamic_params=%7B%22placeholder_material_id%22%3A%227622182438436932872%22%2C%22placeholder_origin_cover%22%3A%22https%253A%252F%252Fp16-common-sign.tiktokcdn.com%252Ftos-alisg-p-0037%252FowzjoIfIDB3xtCbQAEfpANA0bFQQvTDISeyjEH~tplv-tiktokx-origin.jpeg%253Fdr%253D14572%2526refresh_token%253D785de71d%2526x-expires%253D1808208000%2526x-signature%253DIf3UZkTTskwkvTYQJREB2hQbjF8%25253D%2526t%253D4d5b0474%2526ps%253D13740610%2526shp%253Dd05b14bd%2526shcp%253D34ff8df6%2526idc%253Dmy3%2526s%253DTIKTOK_AFFILIATE_VIRAL_VIDEO%22%2C%22placeholder_product_id%22%3A%221729427766722726591%22%2C%22placeholder_video_id%22%3A%227622182438436932872%22%7D&amp;ec_shared_reflux_scene=shop_tab_feed&amp;share_item_id=7622182438436932872&amp;source=h5_t</v>
      </c>
      <c r="M444" s="464" t="str">
        <f>IFERROR(__xludf.DUMMYFUNCTION("""COMPUTED_VALUE"""),"KIMME")</f>
        <v>KIMME</v>
      </c>
      <c r="N444" s="279" t="str">
        <f>IFERROR(__xludf.DUMMYFUNCTION("""COMPUTED_VALUE"""),"https://www.tiktok.com/@icha7721/video/7622991250437704978?_r=1&amp;u_code=e59fc6bfdb6373&amp;region=&amp;mid=7580257010264886023&amp;preview_pb=0&amp;sharer_language=&amp;_d=0&amp;ec_shared_reflux_dynamic_params=%7B%22placeholder_material_id%22%3A%227622991250437704978%22%2C%22plac"&amp;"eholder_origin_cover%22%3A%22https%253A%252F%252Fp16-common-sign.tiktokcdn.com%252Ftos-alisg-p-0037%252FoEnkpBQl3DDVgnAvQ1uEBfFUYcFFRyDEcsEtfx~tplv-tiktokx-origin.jpeg%253Fdr%253D14572%2526refresh_token%253Dec10c84e%2526x-expires%253D1808208000%2526x-sign"&amp;"ature%253D1vK%25252FfIhvaS3L0xRYFhiNpdw6dy4%25253D%2526t%253D4d5b0474%2526ps%253D13740610%2526shp%253Dd05b14bd%2526shcp%253D34ff8df6%2526idc%253Dmy3%2526s%253DTIKTOK_AFFILIATE_VIRAL_VIDEO%22%2C%22placeholder_product_id%22%3A%221729427766722726591%22%2C%22"&amp;"placeholder_video_id%22%3A%227622991250437704978%22%7D&amp;ec_shared_reflux_scene=shop_tab_feed&amp;share_item_id=7622991250437704978&amp;source=h5_t")</f>
        <v>https://www.tiktok.com/@icha7721/video/7622991250437704978?_r=1&amp;u_code=e59fc6bfdb6373&amp;region=&amp;mid=7580257010264886023&amp;preview_pb=0&amp;sharer_language=&amp;_d=0&amp;ec_shared_reflux_dynamic_params=%7B%22placeholder_material_id%22%3A%227622991250437704978%22%2C%22placeholder_origin_cover%22%3A%22https%253A%252F%252Fp16-common-sign.tiktokcdn.com%252Ftos-alisg-p-0037%252FoEnkpBQl3DDVgnAvQ1uEBfFUYcFFRyDEcsEtfx~tplv-tiktokx-origin.jpeg%253Fdr%253D14572%2526refresh_token%253Dec10c84e%2526x-expires%253D1808208000%2526x-signature%253D1vK%25252FfIhvaS3L0xRYFhiNpdw6dy4%25253D%2526t%253D4d5b0474%2526ps%253D13740610%2526shp%253Dd05b14bd%2526shcp%253D34ff8df6%2526idc%253Dmy3%2526s%253DTIKTOK_AFFILIATE_VIRAL_VIDEO%22%2C%22placeholder_product_id%22%3A%221729427766722726591%22%2C%22placeholder_video_id%22%3A%227622991250437704978%22%7D&amp;ec_shared_reflux_scene=shop_tab_feed&amp;share_item_id=7622991250437704978&amp;source=h5_t</v>
      </c>
      <c r="O444" s="464"/>
      <c r="P444" s="279" t="str">
        <f>IFERROR(__xludf.DUMMYFUNCTION("""COMPUTED_VALUE"""),"https://vt.tiktok.com/ZS9c7GDoy/")</f>
        <v>https://vt.tiktok.com/ZS9c7GDoy/</v>
      </c>
    </row>
    <row r="445">
      <c r="A445" s="255" t="str">
        <f>IFERROR(__xludf.DUMMYFUNCTION("""COMPUTED_VALUE"""),"MICRO")</f>
        <v>MICRO</v>
      </c>
      <c r="B445" s="361" t="str">
        <f>IFERROR(__xludf.DUMMYFUNCTION("""COMPUTED_VALUE"""),"rytlmsyh___")</f>
        <v>rytlmsyh___</v>
      </c>
      <c r="C445" s="257" t="str">
        <f>IFERROR(__xludf.DUMMYFUNCTION("""COMPUTED_VALUE"""),"https://www.tiktok.com/@rytlmsyh___")</f>
        <v>https://www.tiktok.com/@rytlmsyh___</v>
      </c>
      <c r="D445" s="270">
        <f>IFERROR(__xludf.DUMMYFUNCTION("""COMPUTED_VALUE"""),8.78640766E10)</f>
        <v>87864076600</v>
      </c>
      <c r="E445" s="457">
        <f>IFERROR(__xludf.DUMMYFUNCTION("""COMPUTED_VALUE"""),0.0)</f>
        <v>0</v>
      </c>
      <c r="F445" s="270">
        <f>IFERROR(__xludf.DUMMYFUNCTION("""COMPUTED_VALUE"""),4.0)</f>
        <v>4</v>
      </c>
      <c r="G445" s="17" t="str">
        <f>IFERROR(__xludf.DUMMYFUNCTION("""COMPUTED_VALUE"""),"Sabun batang 1 Box ( 2 PCS )")</f>
        <v>Sabun batang 1 Box ( 2 PCS )</v>
      </c>
      <c r="H445" s="463" t="str">
        <f>IFERROR(__xludf.DUMMYFUNCTION("""COMPUTED_VALUE"""),"Sampai")</f>
        <v>Sampai</v>
      </c>
      <c r="I445" s="464" t="str">
        <f>IFERROR(__xludf.DUMMYFUNCTION("""COMPUTED_VALUE"""),"KIMME")</f>
        <v>KIMME</v>
      </c>
      <c r="J445" s="279" t="str">
        <f>IFERROR(__xludf.DUMMYFUNCTION("""COMPUTED_VALUE"""),"https://vt.tiktok.com/ZSuEGDxGB/")</f>
        <v>https://vt.tiktok.com/ZSuEGDxGB/</v>
      </c>
      <c r="K445" s="464" t="str">
        <f>IFERROR(__xludf.DUMMYFUNCTION("""COMPUTED_VALUE"""),"KIMME")</f>
        <v>KIMME</v>
      </c>
      <c r="L445" s="279" t="str">
        <f>IFERROR(__xludf.DUMMYFUNCTION("""COMPUTED_VALUE"""),"https://vt.tiktok.com/ZSuEGDKf8/")</f>
        <v>https://vt.tiktok.com/ZSuEGDKf8/</v>
      </c>
      <c r="M445" s="464" t="str">
        <f>IFERROR(__xludf.DUMMYFUNCTION("""COMPUTED_VALUE"""),"KIMME")</f>
        <v>KIMME</v>
      </c>
      <c r="N445" s="279" t="str">
        <f>IFERROR(__xludf.DUMMYFUNCTION("""COMPUTED_VALUE"""),"https://vt.tiktok.com/ZSHNxtVJE/")</f>
        <v>https://vt.tiktok.com/ZSHNxtVJE/</v>
      </c>
      <c r="O445" s="464" t="str">
        <f>IFERROR(__xludf.DUMMYFUNCTION("""COMPUTED_VALUE"""),"KIMME")</f>
        <v>KIMME</v>
      </c>
      <c r="P445" s="279" t="str">
        <f>IFERROR(__xludf.DUMMYFUNCTION("""COMPUTED_VALUE"""),"https://vt.tiktok.com/ZSHNQJGKj/")</f>
        <v>https://vt.tiktok.com/ZSHNQJGKj/</v>
      </c>
    </row>
    <row r="446">
      <c r="A446" s="255" t="str">
        <f>IFERROR(__xludf.DUMMYFUNCTION("""COMPUTED_VALUE"""),"MICRO")</f>
        <v>MICRO</v>
      </c>
      <c r="B446" s="361" t="str">
        <f>IFERROR(__xludf.DUMMYFUNCTION("""COMPUTED_VALUE"""),"sisisalsabilla")</f>
        <v>sisisalsabilla</v>
      </c>
      <c r="C446" s="257" t="str">
        <f>IFERROR(__xludf.DUMMYFUNCTION("""COMPUTED_VALUE"""),"https://www.tiktok.com/@sisisalsabilla")</f>
        <v>https://www.tiktok.com/@sisisalsabilla</v>
      </c>
      <c r="D446" s="270">
        <f>IFERROR(__xludf.DUMMYFUNCTION("""COMPUTED_VALUE"""),8.380679523E10)</f>
        <v>83806795230</v>
      </c>
      <c r="E446" s="457">
        <f>IFERROR(__xludf.DUMMYFUNCTION("""COMPUTED_VALUE"""),0.0)</f>
        <v>0</v>
      </c>
      <c r="F446" s="270">
        <f>IFERROR(__xludf.DUMMYFUNCTION("""COMPUTED_VALUE"""),1.0)</f>
        <v>1</v>
      </c>
      <c r="G446" s="17" t="str">
        <f>IFERROR(__xludf.DUMMYFUNCTION("""COMPUTED_VALUE"""),"Sabun batang 1 Box ( 2 PCS )")</f>
        <v>Sabun batang 1 Box ( 2 PCS )</v>
      </c>
      <c r="H446" s="463" t="str">
        <f>IFERROR(__xludf.DUMMYFUNCTION("""COMPUTED_VALUE"""),"Sampai")</f>
        <v>Sampai</v>
      </c>
      <c r="I446" s="464" t="str">
        <f>IFERROR(__xludf.DUMMYFUNCTION("""COMPUTED_VALUE"""),"KIMME")</f>
        <v>KIMME</v>
      </c>
      <c r="J446" s="279" t="str">
        <f>IFERROR(__xludf.DUMMYFUNCTION("""COMPUTED_VALUE"""),"https://vt.tiktok.com/ZSHHjNsKa/")</f>
        <v>https://vt.tiktok.com/ZSHHjNsKa/</v>
      </c>
      <c r="K446" s="464" t="str">
        <f>IFERROR(__xludf.DUMMYFUNCTION("""COMPUTED_VALUE"""),"KIMME")</f>
        <v>KIMME</v>
      </c>
      <c r="L446" s="279" t="str">
        <f>IFERROR(__xludf.DUMMYFUNCTION("""COMPUTED_VALUE"""),"https://vt.tiktok.com/ZS9c7GCgT/")</f>
        <v>https://vt.tiktok.com/ZS9c7GCgT/</v>
      </c>
      <c r="M446" s="464"/>
      <c r="N446" s="279" t="str">
        <f>IFERROR(__xludf.DUMMYFUNCTION("""COMPUTED_VALUE"""),"https://vt.tiktok.com/ZS9cvYrTT/")</f>
        <v>https://vt.tiktok.com/ZS9cvYrTT/</v>
      </c>
      <c r="O446" s="464"/>
      <c r="P446" s="279" t="str">
        <f>IFERROR(__xludf.DUMMYFUNCTION("""COMPUTED_VALUE"""),"https://vt.tiktok.com/ZS9cv2458/")</f>
        <v>https://vt.tiktok.com/ZS9cv2458/</v>
      </c>
    </row>
    <row r="447">
      <c r="A447" s="255" t="str">
        <f>IFERROR(__xludf.DUMMYFUNCTION("""COMPUTED_VALUE"""),"MICRO")</f>
        <v>MICRO</v>
      </c>
      <c r="B447" s="361" t="str">
        <f>IFERROR(__xludf.DUMMYFUNCTION("""COMPUTED_VALUE"""),"rin_p1807")</f>
        <v>rin_p1807</v>
      </c>
      <c r="C447" s="257" t="str">
        <f>IFERROR(__xludf.DUMMYFUNCTION("""COMPUTED_VALUE"""),"https://www.tiktok.com/@rin_p1807")</f>
        <v>https://www.tiktok.com/@rin_p1807</v>
      </c>
      <c r="D447" s="270">
        <f>IFERROR(__xludf.DUMMYFUNCTION("""COMPUTED_VALUE"""),8.8211972038E10)</f>
        <v>88211972038</v>
      </c>
      <c r="E447" s="457">
        <f>IFERROR(__xludf.DUMMYFUNCTION("""COMPUTED_VALUE"""),0.0)</f>
        <v>0</v>
      </c>
      <c r="F447" s="270">
        <f>IFERROR(__xludf.DUMMYFUNCTION("""COMPUTED_VALUE"""),4.0)</f>
        <v>4</v>
      </c>
      <c r="G447" s="17" t="str">
        <f>IFERROR(__xludf.DUMMYFUNCTION("""COMPUTED_VALUE"""),"Sabun batang 1 Box ( 2 PCS )")</f>
        <v>Sabun batang 1 Box ( 2 PCS )</v>
      </c>
      <c r="H447" s="463" t="str">
        <f>IFERROR(__xludf.DUMMYFUNCTION("""COMPUTED_VALUE"""),"Sampai")</f>
        <v>Sampai</v>
      </c>
      <c r="I447" s="464" t="str">
        <f>IFERROR(__xludf.DUMMYFUNCTION("""COMPUTED_VALUE"""),"KIMME")</f>
        <v>KIMME</v>
      </c>
      <c r="J447" s="279" t="str">
        <f>IFERROR(__xludf.DUMMYFUNCTION("""COMPUTED_VALUE"""),"https://www.tiktok.com/@ginafathonah_/video/7630243011833679124?_r=1&amp;u_code=dlhe22ikkib396&amp;region=&amp;mid=7582113357336988434&amp;preview_pb=0&amp;sharer_language=&amp;_d=0&amp;ec_shared_reflux_dynamic_params=%7B%22placeholder_material_id%22%3A%227630243011833679124%22%2C%2"&amp;"2placeholder_origin_cover%22%3A%22https%253A%252F%252Fp19-common-sign.tiktokcdn.com%252Ftos-alisg-p-0037%252FocRBGFBTAHPfny5SapXPA0ck2DQEQeKaDBEcEg~tplv-tiktokx-origin.jpeg%253Fdr%253D14572%2526refresh_token%253D04bb54c5%2526x-expires%253D1808301600%2526x"&amp;"-signature%253DEMqN82hpxqF26S6wuB2JAgqTmjg%25253D%2526t%253D4d5b0474%2526ps%253D13740610%2526shp%253Dd05b14bd%2526shcp%253D34ff8df6%2526idc%253Dmy3%2526s%253DTIKTOK_AFFILIATE_VIRAL_VIDEO%22%2C%22placeholder_product_id%22%3A%221729427766722726591%22%2C%22p"&amp;"laceholder_video_id%22%3A%227630243011833679124%22%7D&amp;ec_shared_reflux_scene=shop_tab_feed&amp;share_item_id=7630243011833679124&amp;source=h5_t")</f>
        <v>https://www.tiktok.com/@ginafathonah_/video/7630243011833679124?_r=1&amp;u_code=dlhe22ikkib396&amp;region=&amp;mid=7582113357336988434&amp;preview_pb=0&amp;sharer_language=&amp;_d=0&amp;ec_shared_reflux_dynamic_params=%7B%22placeholder_material_id%22%3A%227630243011833679124%22%2C%22placeholder_origin_cover%22%3A%22https%253A%252F%252Fp19-common-sign.tiktokcdn.com%252Ftos-alisg-p-0037%252FocRBGFBTAHPfny5SapXPA0ck2DQEQeKaDBEcEg~tplv-tiktokx-origin.jpeg%253Fdr%253D14572%2526refresh_token%253D04bb54c5%2526x-expires%253D1808301600%2526x-signature%253DEMqN82hpxqF26S6wuB2JAgqTmjg%25253D%2526t%253D4d5b0474%2526ps%253D13740610%2526shp%253Dd05b14bd%2526shcp%253D34ff8df6%2526idc%253Dmy3%2526s%253DTIKTOK_AFFILIATE_VIRAL_VIDEO%22%2C%22placeholder_product_id%22%3A%221729427766722726591%22%2C%22placeholder_video_id%22%3A%227630243011833679124%22%7D&amp;ec_shared_reflux_scene=shop_tab_feed&amp;share_item_id=7630243011833679124&amp;source=h5_t</v>
      </c>
      <c r="K447" s="464" t="str">
        <f>IFERROR(__xludf.DUMMYFUNCTION("""COMPUTED_VALUE"""),"KIMME")</f>
        <v>KIMME</v>
      </c>
      <c r="L447" s="279" t="str">
        <f>IFERROR(__xludf.DUMMYFUNCTION("""COMPUTED_VALUE"""),"https://www.tiktok.com/@ginafathonah_/video/7629984955313048853?_r=1&amp;u_code=dlhe22ikkib396&amp;region=&amp;mid=7475611422276242181&amp;preview_pb=0&amp;sharer_language=&amp;_d=0&amp;ec_shared_reflux_dynamic_params=%7B%22placeholder_material_id%22%3A%227629984955313048853%22%2C%2"&amp;"2placeholder_origin_cover%22%3A%22https%253A%252F%252Fp16-common-sign.tiktokcdn.com%252Ftos-alisg-p-0037%252Fo8fRIEaUoyoRzsgjeIB7IhKJgAFuBpAy4cDcqE~tplv-tiktokx-origin.jpeg%253Fdr%253D14572%2526refresh_token%253Da4e26c6d%2526x-expires%253D1808301600%2526x"&amp;"-signature%253Dk2HCjTq3R%25252FJ1BETbVe90su1Vh5U%25253D%2526t%253D4d5b0474%2526ps%253D13740610%2526shp%253Dd05b14bd%2526shcp%253D34ff8df6%2526idc%253Dmy3%2526s%253DTIKTOK_AFFILIATE_VIRAL_VIDEO%22%2C%22placeholder_product_id%22%3A%221729427766722726591%22%"&amp;"2C%22placeholder_video_id%22%3A%227629984955313048853%22%7D&amp;ec_shared_reflux_scene=shop_tab_feed&amp;share_item_id=7629984955313048853&amp;source=h5_t")</f>
        <v>https://www.tiktok.com/@ginafathonah_/video/7629984955313048853?_r=1&amp;u_code=dlhe22ikkib396&amp;region=&amp;mid=7475611422276242181&amp;preview_pb=0&amp;sharer_language=&amp;_d=0&amp;ec_shared_reflux_dynamic_params=%7B%22placeholder_material_id%22%3A%227629984955313048853%22%2C%22placeholder_origin_cover%22%3A%22https%253A%252F%252Fp16-common-sign.tiktokcdn.com%252Ftos-alisg-p-0037%252Fo8fRIEaUoyoRzsgjeIB7IhKJgAFuBpAy4cDcqE~tplv-tiktokx-origin.jpeg%253Fdr%253D14572%2526refresh_token%253Da4e26c6d%2526x-expires%253D1808301600%2526x-signature%253Dk2HCjTq3R%25252FJ1BETbVe90su1Vh5U%25253D%2526t%253D4d5b0474%2526ps%253D13740610%2526shp%253Dd05b14bd%2526shcp%253D34ff8df6%2526idc%253Dmy3%2526s%253DTIKTOK_AFFILIATE_VIRAL_VIDEO%22%2C%22placeholder_product_id%22%3A%221729427766722726591%22%2C%22placeholder_video_id%22%3A%227629984955313048853%22%7D&amp;ec_shared_reflux_scene=shop_tab_feed&amp;share_item_id=7629984955313048853&amp;source=h5_t</v>
      </c>
      <c r="M447" s="464" t="str">
        <f>IFERROR(__xludf.DUMMYFUNCTION("""COMPUTED_VALUE"""),"KIMME")</f>
        <v>KIMME</v>
      </c>
      <c r="N447" s="279" t="str">
        <f>IFERROR(__xludf.DUMMYFUNCTION("""COMPUTED_VALUE"""),"https://www.tiktok.com/@ginafathonah_/video/7629985391021477140?_r=1&amp;u_code=dlhe22ikkib396&amp;region=&amp;mid=7595070225341614855&amp;preview_pb=0&amp;sharer_language=&amp;_d=0&amp;ec_shared_reflux_dynamic_params=%7B%22placeholder_material_id%22%3A%227629985391021477140%22%2C%2"&amp;"2placeholder_origin_cover%22%3A%22https%253A%252F%252Fp16-common-sign.tiktokcdn.com%252Ftos-alisg-p-0037%252FoYi1jAm1ycAlIEQpf4FfBBgntJgYcaQ7RyD8Eu~tplv-tiktokx-origin.jpeg%253Fdr%253D14572%2526refresh_token%253D48d0a1fa%2526x-expires%253D1808301600%2526x"&amp;"-signature%253DCfcvtp%25252BL1wxen90PcF6b67djUA0%25253D%2526t%253D4d5b0474%2526ps%253D13740610%2526shp%253Dd05b14bd%2526shcp%253D34ff8df6%2526idc%253Dmy3%2526s%253DTIKTOK_AFFILIATE_VIRAL_VIDEO%22%2C%22placeholder_product_id%22%3A%221729427766722726591%22%"&amp;"2C%22placeholder_video_id%22%3A%227629985391021477140%22%7D&amp;ec_shared_reflux_scene=shop_tab_feed&amp;share_item_id=7629985391021477140&amp;source=h5_t")</f>
        <v>https://www.tiktok.com/@ginafathonah_/video/7629985391021477140?_r=1&amp;u_code=dlhe22ikkib396&amp;region=&amp;mid=7595070225341614855&amp;preview_pb=0&amp;sharer_language=&amp;_d=0&amp;ec_shared_reflux_dynamic_params=%7B%22placeholder_material_id%22%3A%227629985391021477140%22%2C%22placeholder_origin_cover%22%3A%22https%253A%252F%252Fp16-common-sign.tiktokcdn.com%252Ftos-alisg-p-0037%252FoYi1jAm1ycAlIEQpf4FfBBgntJgYcaQ7RyD8Eu~tplv-tiktokx-origin.jpeg%253Fdr%253D14572%2526refresh_token%253D48d0a1fa%2526x-expires%253D1808301600%2526x-signature%253DCfcvtp%25252BL1wxen90PcF6b67djUA0%25253D%2526t%253D4d5b0474%2526ps%253D13740610%2526shp%253Dd05b14bd%2526shcp%253D34ff8df6%2526idc%253Dmy3%2526s%253DTIKTOK_AFFILIATE_VIRAL_VIDEO%22%2C%22placeholder_product_id%22%3A%221729427766722726591%22%2C%22placeholder_video_id%22%3A%227629985391021477140%22%7D&amp;ec_shared_reflux_scene=shop_tab_feed&amp;share_item_id=7629985391021477140&amp;source=h5_t</v>
      </c>
      <c r="O447" s="464" t="str">
        <f>IFERROR(__xludf.DUMMYFUNCTION("""COMPUTED_VALUE"""),"KIMME")</f>
        <v>KIMME</v>
      </c>
      <c r="P447" s="279" t="str">
        <f>IFERROR(__xludf.DUMMYFUNCTION("""COMPUTED_VALUE"""),"https://www.tiktok.com/@ginafathonah_/video/7629981219089861909?_r=1&amp;u_code=dlhe22ikkib396&amp;region=&amp;mid=7624297612665047828&amp;preview_pb=0&amp;sharer_language=&amp;_d=0&amp;ec_shared_reflux_dynamic_params=%7B%22placeholder_material_id%22%3A%227629981219089861909%22%2C%2"&amp;"2placeholder_origin_cover%22%3A%22https%253A%252F%252Fp16-common-sign.tiktokcdn.com%252Ftos-alisg-p-0037%252FoMAxAI8eVi7A0CMBI0iB34vlI4rOwjqqAujQMI~tplv-tiktokx-origin.jpeg%253Fdr%253D14572%2526refresh_token%253Db366c434%2526x-expires%253D1808301600%2526x"&amp;"-signature%253DO7ibd4sec%25252F%25252FvGbHcEPetQNs5PcQ%25253D%2526t%253D4d5b0474%2526ps%253D13740610%2526shp%253Dd05b14bd%2526shcp%253D34ff8df6%2526idc%253Dmy3%2526s%253DTIKTOK_AFFILIATE_VIRAL_VIDEO%22%2C%22placeholder_product_id%22%3A%2217294277667227265"&amp;"91%22%2C%22placeholder_video_id%22%3A%227629981219089861909%22%7D&amp;ec_shared_reflux_scene=shop_tab_feed&amp;share_item_id=7629981219089861909&amp;source=h5_t")</f>
        <v>https://www.tiktok.com/@ginafathonah_/video/7629981219089861909?_r=1&amp;u_code=dlhe22ikkib396&amp;region=&amp;mid=7624297612665047828&amp;preview_pb=0&amp;sharer_language=&amp;_d=0&amp;ec_shared_reflux_dynamic_params=%7B%22placeholder_material_id%22%3A%227629981219089861909%22%2C%22placeholder_origin_cover%22%3A%22https%253A%252F%252Fp16-common-sign.tiktokcdn.com%252Ftos-alisg-p-0037%252FoMAxAI8eVi7A0CMBI0iB34vlI4rOwjqqAujQMI~tplv-tiktokx-origin.jpeg%253Fdr%253D14572%2526refresh_token%253Db366c434%2526x-expires%253D1808301600%2526x-signature%253DO7ibd4sec%25252F%25252FvGbHcEPetQNs5PcQ%25253D%2526t%253D4d5b0474%2526ps%253D13740610%2526shp%253Dd05b14bd%2526shcp%253D34ff8df6%2526idc%253Dmy3%2526s%253DTIKTOK_AFFILIATE_VIRAL_VIDEO%22%2C%22placeholder_product_id%22%3A%221729427766722726591%22%2C%22placeholder_video_id%22%3A%227629981219089861909%22%7D&amp;ec_shared_reflux_scene=shop_tab_feed&amp;share_item_id=7629981219089861909&amp;source=h5_t</v>
      </c>
    </row>
    <row r="448">
      <c r="A448" s="255" t="str">
        <f>IFERROR(__xludf.DUMMYFUNCTION("""COMPUTED_VALUE"""),"MICRO")</f>
        <v>MICRO</v>
      </c>
      <c r="B448" s="361" t="str">
        <f>IFERROR(__xludf.DUMMYFUNCTION("""COMPUTED_VALUE"""),"urgelpen")</f>
        <v>urgelpen</v>
      </c>
      <c r="C448" s="257" t="str">
        <f>IFERROR(__xludf.DUMMYFUNCTION("""COMPUTED_VALUE"""),"https://www.tiktok.com/@urgelpen")</f>
        <v>https://www.tiktok.com/@urgelpen</v>
      </c>
      <c r="D448" s="270">
        <f>IFERROR(__xludf.DUMMYFUNCTION("""COMPUTED_VALUE"""),8.2283492732E10)</f>
        <v>82283492732</v>
      </c>
      <c r="E448" s="457">
        <f>IFERROR(__xludf.DUMMYFUNCTION("""COMPUTED_VALUE"""),0.0)</f>
        <v>0</v>
      </c>
      <c r="F448" s="270">
        <f>IFERROR(__xludf.DUMMYFUNCTION("""COMPUTED_VALUE"""),4.0)</f>
        <v>4</v>
      </c>
      <c r="G448" s="17" t="str">
        <f>IFERROR(__xludf.DUMMYFUNCTION("""COMPUTED_VALUE"""),"Sabun batang 1 Box ( 2 PCS )")</f>
        <v>Sabun batang 1 Box ( 2 PCS )</v>
      </c>
      <c r="H448" s="463" t="str">
        <f>IFERROR(__xludf.DUMMYFUNCTION("""COMPUTED_VALUE"""),"Sampai")</f>
        <v>Sampai</v>
      </c>
      <c r="I448" s="464" t="str">
        <f>IFERROR(__xludf.DUMMYFUNCTION("""COMPUTED_VALUE"""),"KIMME")</f>
        <v>KIMME</v>
      </c>
      <c r="J448" s="279" t="str">
        <f>IFERROR(__xludf.DUMMYFUNCTION("""COMPUTED_VALUE"""),"https://vt.tiktok.com/ZS9cD4vnb/")</f>
        <v>https://vt.tiktok.com/ZS9cD4vnb/</v>
      </c>
      <c r="K448" s="464" t="str">
        <f>IFERROR(__xludf.DUMMYFUNCTION("""COMPUTED_VALUE"""),"KIMME")</f>
        <v>KIMME</v>
      </c>
      <c r="L448" s="17" t="str">
        <f>IFERROR(__xludf.DUMMYFUNCTION("""COMPUTED_VALUE"""),"⁠https://vt.tiktok.com/ZS9tHnCD3/")</f>
        <v>⁠https://vt.tiktok.com/ZS9tHnCD3/</v>
      </c>
      <c r="M448" s="464"/>
      <c r="N448" s="17" t="str">
        <f>IFERROR(__xludf.DUMMYFUNCTION("""COMPUTED_VALUE"""),"⁠https://vt.tiktok.com/ZS9t91WH3/")</f>
        <v>⁠https://vt.tiktok.com/ZS9t91WH3/</v>
      </c>
      <c r="O448" s="464"/>
      <c r="P448" s="17" t="str">
        <f>IFERROR(__xludf.DUMMYFUNCTION("""COMPUTED_VALUE"""),"⁠https://vt.tiktok.com/ZS9tHTHtu/")</f>
        <v>⁠https://vt.tiktok.com/ZS9tHTHtu/</v>
      </c>
    </row>
    <row r="449">
      <c r="A449" s="255" t="str">
        <f>IFERROR(__xludf.DUMMYFUNCTION("""COMPUTED_VALUE"""),"MICRO")</f>
        <v>MICRO</v>
      </c>
      <c r="B449" s="361" t="str">
        <f>IFERROR(__xludf.DUMMYFUNCTION("""COMPUTED_VALUE"""),"www.anareep")</f>
        <v>www.anareep</v>
      </c>
      <c r="C449" s="257" t="str">
        <f>IFERROR(__xludf.DUMMYFUNCTION("""COMPUTED_VALUE"""),"https://www.tiktok.com/@www.anareep")</f>
        <v>https://www.tiktok.com/@www.anareep</v>
      </c>
      <c r="D449" s="270">
        <f>IFERROR(__xludf.DUMMYFUNCTION("""COMPUTED_VALUE"""),8.3163537605E10)</f>
        <v>83163537605</v>
      </c>
      <c r="E449" s="457">
        <f>IFERROR(__xludf.DUMMYFUNCTION("""COMPUTED_VALUE"""),0.0)</f>
        <v>0</v>
      </c>
      <c r="F449" s="270">
        <f>IFERROR(__xludf.DUMMYFUNCTION("""COMPUTED_VALUE"""),4.0)</f>
        <v>4</v>
      </c>
      <c r="G449" s="17" t="str">
        <f>IFERROR(__xludf.DUMMYFUNCTION("""COMPUTED_VALUE"""),"Sabun batang 1 Box ( 2 PCS )")</f>
        <v>Sabun batang 1 Box ( 2 PCS )</v>
      </c>
      <c r="H449" s="463" t="str">
        <f>IFERROR(__xludf.DUMMYFUNCTION("""COMPUTED_VALUE"""),"Sampai")</f>
        <v>Sampai</v>
      </c>
      <c r="I449" s="464" t="str">
        <f>IFERROR(__xludf.DUMMYFUNCTION("""COMPUTED_VALUE"""),"KIMME")</f>
        <v>KIMME</v>
      </c>
      <c r="J449" s="279" t="str">
        <f>IFERROR(__xludf.DUMMYFUNCTION("""COMPUTED_VALUE"""),"https://vt.tiktok.com/ZS9JHvSgW/")</f>
        <v>https://vt.tiktok.com/ZS9JHvSgW/</v>
      </c>
      <c r="K449" s="464" t="str">
        <f>IFERROR(__xludf.DUMMYFUNCTION("""COMPUTED_VALUE"""),"KIMME")</f>
        <v>KIMME</v>
      </c>
      <c r="L449" s="279" t="str">
        <f>IFERROR(__xludf.DUMMYFUNCTION("""COMPUTED_VALUE"""),"https://vt.tiktok.com/ZS9J9JnoY/")</f>
        <v>https://vt.tiktok.com/ZS9J9JnoY/</v>
      </c>
      <c r="M449" s="464" t="str">
        <f>IFERROR(__xludf.DUMMYFUNCTION("""COMPUTED_VALUE"""),"KIMME")</f>
        <v>KIMME</v>
      </c>
      <c r="N449" s="279" t="str">
        <f>IFERROR(__xludf.DUMMYFUNCTION("""COMPUTED_VALUE"""),"https://vt.tiktok.com/ZS9JHVL4c/")</f>
        <v>https://vt.tiktok.com/ZS9JHVL4c/</v>
      </c>
      <c r="O449" s="464" t="str">
        <f>IFERROR(__xludf.DUMMYFUNCTION("""COMPUTED_VALUE"""),"KIMME")</f>
        <v>KIMME</v>
      </c>
      <c r="P449" s="279" t="str">
        <f>IFERROR(__xludf.DUMMYFUNCTION("""COMPUTED_VALUE"""),"https://vt.tiktok.com/ZS9J9db8R/")</f>
        <v>https://vt.tiktok.com/ZS9J9db8R/</v>
      </c>
    </row>
    <row r="450">
      <c r="A450" s="255" t="str">
        <f>IFERROR(__xludf.DUMMYFUNCTION("""COMPUTED_VALUE"""),"MACRO")</f>
        <v>MACRO</v>
      </c>
      <c r="B450" s="361" t="str">
        <f>IFERROR(__xludf.DUMMYFUNCTION("""COMPUTED_VALUE"""),"amaklisaa")</f>
        <v>amaklisaa</v>
      </c>
      <c r="C450" s="257" t="str">
        <f>IFERROR(__xludf.DUMMYFUNCTION("""COMPUTED_VALUE"""),"https://www.tiktok.com/@amaklisaa")</f>
        <v>https://www.tiktok.com/@amaklisaa</v>
      </c>
      <c r="D450" s="270">
        <f>IFERROR(__xludf.DUMMYFUNCTION("""COMPUTED_VALUE"""),8.2112416055E10)</f>
        <v>82112416055</v>
      </c>
      <c r="E450" s="457">
        <f>IFERROR(__xludf.DUMMYFUNCTION("""COMPUTED_VALUE"""),0.0)</f>
        <v>0</v>
      </c>
      <c r="F450" s="270">
        <f>IFERROR(__xludf.DUMMYFUNCTION("""COMPUTED_VALUE"""),1.0)</f>
        <v>1</v>
      </c>
      <c r="G450" s="17" t="str">
        <f>IFERROR(__xludf.DUMMYFUNCTION("""COMPUTED_VALUE"""),"Sabun batang 1 Box ( 2 PCS )")</f>
        <v>Sabun batang 1 Box ( 2 PCS )</v>
      </c>
      <c r="H450" s="463" t="str">
        <f>IFERROR(__xludf.DUMMYFUNCTION("""COMPUTED_VALUE"""),"Sampai")</f>
        <v>Sampai</v>
      </c>
      <c r="I450" s="464" t="str">
        <f>IFERROR(__xludf.DUMMYFUNCTION("""COMPUTED_VALUE"""),"KIMME")</f>
        <v>KIMME</v>
      </c>
      <c r="J450" s="279" t="str">
        <f>IFERROR(__xludf.DUMMYFUNCTION("""COMPUTED_VALUE"""),"https://www.tiktok.com/@outfitce_/video/7631063682247691541?_r=1&amp;u_code=e0898kg4gbb4c7&amp;region=&amp;mid=7283376056051337990&amp;preview_pb=0&amp;sharer_language=&amp;_d=0&amp;ec_shared_reflux_dynamic_params=%7B%22placeholder_material_id%22%3A%227631063682247691541%22%2C%22pla"&amp;"ceholder_origin_cover%22%3A%22https%253A%252F%252Fp16-sign-sg.tiktokcdn.com%252Ftos-alisg-p-0037%252Fow4fbegACMAP79N4U8ugbeeCCB8XSiAsYLeNXN~tplv-tiktokx-origin.jpeg%253Fdr%253D14572%2526refresh_token%253D6455ee1c%2526x-expires%253D1808301600%2526x-signatu"&amp;"re%253DC4wesV0oIoCL7kyzWGiYJL%25252BF5sc%25253D%2526t%253D4d5b0474%2526ps%253D13740610%2526shp%253Dd05b14bd%2526shcp%253D34ff8df6%2526idc%253Dmy3%2526s%253DTIKTOK_AFFILIATE_VIRAL_VIDEO%22%2C%22placeholder_product_id%22%3A%221729427766722726591%22%2C%22pla"&amp;"ceholder_video_id%22%3A%227631063682247691541%22%7D&amp;ec_shared_reflux_scene=shop_tab_feed&amp;share_item_id=7631063682247691541&amp;source=h5_t")</f>
        <v>https://www.tiktok.com/@outfitce_/video/7631063682247691541?_r=1&amp;u_code=e0898kg4gbb4c7&amp;region=&amp;mid=7283376056051337990&amp;preview_pb=0&amp;sharer_language=&amp;_d=0&amp;ec_shared_reflux_dynamic_params=%7B%22placeholder_material_id%22%3A%227631063682247691541%22%2C%22placeholder_origin_cover%22%3A%22https%253A%252F%252Fp16-sign-sg.tiktokcdn.com%252Ftos-alisg-p-0037%252Fow4fbegACMAP79N4U8ugbeeCCB8XSiAsYLeNXN~tplv-tiktokx-origin.jpeg%253Fdr%253D14572%2526refresh_token%253D6455ee1c%2526x-expires%253D1808301600%2526x-signature%253DC4wesV0oIoCL7kyzWGiYJL%25252BF5sc%25253D%2526t%253D4d5b0474%2526ps%253D13740610%2526shp%253Dd05b14bd%2526shcp%253D34ff8df6%2526idc%253Dmy3%2526s%253DTIKTOK_AFFILIATE_VIRAL_VIDEO%22%2C%22placeholder_product_id%22%3A%221729427766722726591%22%2C%22placeholder_video_id%22%3A%227631063682247691541%22%7D&amp;ec_shared_reflux_scene=shop_tab_feed&amp;share_item_id=7631063682247691541&amp;source=h5_t</v>
      </c>
      <c r="K450" s="464" t="str">
        <f>IFERROR(__xludf.DUMMYFUNCTION("""COMPUTED_VALUE"""),"KIMME")</f>
        <v>KIMME</v>
      </c>
      <c r="L450" s="279" t="str">
        <f>IFERROR(__xludf.DUMMYFUNCTION("""COMPUTED_VALUE"""),"https://vt.tiktok.com/ZSxA519vT/")</f>
        <v>https://vt.tiktok.com/ZSxA519vT/</v>
      </c>
      <c r="M450" s="464"/>
      <c r="N450" s="17"/>
      <c r="O450" s="464"/>
      <c r="P450" s="17"/>
    </row>
    <row r="451">
      <c r="A451" s="255" t="str">
        <f>IFERROR(__xludf.DUMMYFUNCTION("""COMPUTED_VALUE"""),"MICRO")</f>
        <v>MICRO</v>
      </c>
      <c r="B451" s="361" t="str">
        <f>IFERROR(__xludf.DUMMYFUNCTION("""COMPUTED_VALUE"""),"willyanha05")</f>
        <v>willyanha05</v>
      </c>
      <c r="C451" s="257" t="str">
        <f>IFERROR(__xludf.DUMMYFUNCTION("""COMPUTED_VALUE"""),"https://www.tiktok.com/@willyanha05")</f>
        <v>https://www.tiktok.com/@willyanha05</v>
      </c>
      <c r="D451" s="270">
        <f>IFERROR(__xludf.DUMMYFUNCTION("""COMPUTED_VALUE"""),8.2191698902E10)</f>
        <v>82191698902</v>
      </c>
      <c r="E451" s="457">
        <f>IFERROR(__xludf.DUMMYFUNCTION("""COMPUTED_VALUE"""),0.0)</f>
        <v>0</v>
      </c>
      <c r="F451" s="270">
        <f>IFERROR(__xludf.DUMMYFUNCTION("""COMPUTED_VALUE"""),4.0)</f>
        <v>4</v>
      </c>
      <c r="G451" s="17" t="str">
        <f>IFERROR(__xludf.DUMMYFUNCTION("""COMPUTED_VALUE"""),"Sabun batang 1 Box ( 2 PCS )")</f>
        <v>Sabun batang 1 Box ( 2 PCS )</v>
      </c>
      <c r="H451" s="463" t="str">
        <f>IFERROR(__xludf.DUMMYFUNCTION("""COMPUTED_VALUE"""),"Sampai")</f>
        <v>Sampai</v>
      </c>
      <c r="I451" s="464" t="str">
        <f>IFERROR(__xludf.DUMMYFUNCTION("""COMPUTED_VALUE"""),"KIMME")</f>
        <v>KIMME</v>
      </c>
      <c r="J451" s="279" t="str">
        <f>IFERROR(__xludf.DUMMYFUNCTION("""COMPUTED_VALUE"""),"https://vt.tiktok.com/ZS9JHvUx6/")</f>
        <v>https://vt.tiktok.com/ZS9JHvUx6/</v>
      </c>
      <c r="K451" s="464" t="str">
        <f>IFERROR(__xludf.DUMMYFUNCTION("""COMPUTED_VALUE"""),"KIMME")</f>
        <v>KIMME</v>
      </c>
      <c r="L451" s="279" t="str">
        <f>IFERROR(__xludf.DUMMYFUNCTION("""COMPUTED_VALUE"""),"https://vt.tiktok.com/ZS9JHnYVa/")</f>
        <v>https://vt.tiktok.com/ZS9JHnYVa/</v>
      </c>
      <c r="M451" s="464" t="str">
        <f>IFERROR(__xludf.DUMMYFUNCTION("""COMPUTED_VALUE"""),"KIMME")</f>
        <v>KIMME</v>
      </c>
      <c r="N451" s="279" t="str">
        <f>IFERROR(__xludf.DUMMYFUNCTION("""COMPUTED_VALUE"""),"https://www.tiktok.com/@outfitce_/video/7631119212450254101?_r=1&amp;u_code=e0898kg4gbb4c7&amp;region=&amp;mid=7606071400499628049&amp;preview_pb=0&amp;sharer_language=&amp;_d=0&amp;ec_shared_reflux_dynamic_params=%7B%22placeholder_material_id%22%3A%227631119212450254101%22%2C%22pla"&amp;"ceholder_origin_cover%22%3A%22https%253A%252F%252Fp16-sign-sg.tiktokcdn.com%252Ftos-alisg-p-0037%252FoYUOudiIIAw0VLev7LiunMb9gouO1CAKBAcIBz~tplv-tiktokx-origin.jpeg%253Fdr%253D14572%2526refresh_token%253Dbbc032c0%2526x-expires%253D1808301600%2526x-signatu"&amp;"re%253D3EhyNPKe8Tz6tqIuXHnInNrqx78%25253D%2526t%253D4d5b0474%2526ps%253D13740610%2526shp%253Dd05b14bd%2526shcp%253D34ff8df6%2526idc%253Dmy3%2526s%253DTIKTOK_AFFILIATE_VIRAL_VIDEO%22%2C%22placeholder_product_id%22%3A%221729427766722726591%22%2C%22placehold"&amp;"er_video_id%22%3A%227631119212450254101%22%7D&amp;ec_shared_reflux_scene=shop_tab_feed&amp;share_item_id=7631119212450254101&amp;source=h5_t")</f>
        <v>https://www.tiktok.com/@outfitce_/video/7631119212450254101?_r=1&amp;u_code=e0898kg4gbb4c7&amp;region=&amp;mid=7606071400499628049&amp;preview_pb=0&amp;sharer_language=&amp;_d=0&amp;ec_shared_reflux_dynamic_params=%7B%22placeholder_material_id%22%3A%227631119212450254101%22%2C%22placeholder_origin_cover%22%3A%22https%253A%252F%252Fp16-sign-sg.tiktokcdn.com%252Ftos-alisg-p-0037%252FoYUOudiIIAw0VLev7LiunMb9gouO1CAKBAcIBz~tplv-tiktokx-origin.jpeg%253Fdr%253D14572%2526refresh_token%253Dbbc032c0%2526x-expires%253D1808301600%2526x-signature%253D3EhyNPKe8Tz6tqIuXHnInNrqx78%25253D%2526t%253D4d5b0474%2526ps%253D13740610%2526shp%253Dd05b14bd%2526shcp%253D34ff8df6%2526idc%253Dmy3%2526s%253DTIKTOK_AFFILIATE_VIRAL_VIDEO%22%2C%22placeholder_product_id%22%3A%221729427766722726591%22%2C%22placeholder_video_id%22%3A%227631119212450254101%22%7D&amp;ec_shared_reflux_scene=shop_tab_feed&amp;share_item_id=7631119212450254101&amp;source=h5_t</v>
      </c>
      <c r="O451" s="464" t="str">
        <f>IFERROR(__xludf.DUMMYFUNCTION("""COMPUTED_VALUE"""),"KIMME")</f>
        <v>KIMME</v>
      </c>
      <c r="P451" s="279" t="str">
        <f>IFERROR(__xludf.DUMMYFUNCTION("""COMPUTED_VALUE"""),"https://www.tiktok.com/@outfitce_/video/7631111481903320340?_r=1&amp;u_code=e0898kg4gbb4c7&amp;region=&amp;mid=7365946809562450721&amp;preview_pb=0&amp;sharer_language=&amp;_d=0&amp;ec_shared_reflux_dynamic_params=%7B%22placeholder_material_id%22%3A%227631111481903320340%22%2C%22pla"&amp;"ceholder_origin_cover%22%3A%22https%253A%252F%252Fp16-common-sign.tiktokcdn.com%252Ftos-alisg-p-0037%252Fo0CoIxIwuMAi9i5JPHI458fLOOBJAAaIPB406n~tplv-tiktokx-origin.jpeg%253Fdr%253D14572%2526refresh_token%253Dc1d4da7e%2526x-expires%253D1808301600%2526x-sig"&amp;"nature%253DzjI02tRH9XmmsmtNX%25252FEMXShNZHQ%25253D%2526t%253D4d5b0474%2526ps%253D13740610%2526shp%253Dd05b14bd%2526shcp%253D34ff8df6%2526idc%253Dmy3%2526s%253DTIKTOK_AFFILIATE_VIRAL_VIDEO%22%2C%22placeholder_product_id%22%3A%221729427766722726591%22%2C%2"&amp;"2placeholder_video_id%22%3A%227631111481903320340%22%7D&amp;ec_shared_reflux_scene=shop_tab_feed&amp;share_item_id=7631111481903320340&amp;source=h5_t")</f>
        <v>https://www.tiktok.com/@outfitce_/video/7631111481903320340?_r=1&amp;u_code=e0898kg4gbb4c7&amp;region=&amp;mid=7365946809562450721&amp;preview_pb=0&amp;sharer_language=&amp;_d=0&amp;ec_shared_reflux_dynamic_params=%7B%22placeholder_material_id%22%3A%227631111481903320340%22%2C%22placeholder_origin_cover%22%3A%22https%253A%252F%252Fp16-common-sign.tiktokcdn.com%252Ftos-alisg-p-0037%252Fo0CoIxIwuMAi9i5JPHI458fLOOBJAAaIPB406n~tplv-tiktokx-origin.jpeg%253Fdr%253D14572%2526refresh_token%253Dc1d4da7e%2526x-expires%253D1808301600%2526x-signature%253DzjI02tRH9XmmsmtNX%25252FEMXShNZHQ%25253D%2526t%253D4d5b0474%2526ps%253D13740610%2526shp%253Dd05b14bd%2526shcp%253D34ff8df6%2526idc%253Dmy3%2526s%253DTIKTOK_AFFILIATE_VIRAL_VIDEO%22%2C%22placeholder_product_id%22%3A%221729427766722726591%22%2C%22placeholder_video_id%22%3A%227631111481903320340%22%7D&amp;ec_shared_reflux_scene=shop_tab_feed&amp;share_item_id=7631111481903320340&amp;source=h5_t</v>
      </c>
    </row>
    <row r="452">
      <c r="A452" s="255" t="str">
        <f>IFERROR(__xludf.DUMMYFUNCTION("""COMPUTED_VALUE"""),"MICRO")</f>
        <v>MICRO</v>
      </c>
      <c r="B452" s="361" t="str">
        <f>IFERROR(__xludf.DUMMYFUNCTION("""COMPUTED_VALUE"""),"yuliaa.ysp")</f>
        <v>yuliaa.ysp</v>
      </c>
      <c r="C452" s="257" t="str">
        <f>IFERROR(__xludf.DUMMYFUNCTION("""COMPUTED_VALUE"""),"https://www.tiktok.com/@yuliaa.ysp")</f>
        <v>https://www.tiktok.com/@yuliaa.ysp</v>
      </c>
      <c r="D452" s="270">
        <f>IFERROR(__xludf.DUMMYFUNCTION("""COMPUTED_VALUE"""),8.2281103113E10)</f>
        <v>82281103113</v>
      </c>
      <c r="E452" s="457">
        <f>IFERROR(__xludf.DUMMYFUNCTION("""COMPUTED_VALUE"""),0.0)</f>
        <v>0</v>
      </c>
      <c r="F452" s="270">
        <f>IFERROR(__xludf.DUMMYFUNCTION("""COMPUTED_VALUE"""),4.0)</f>
        <v>4</v>
      </c>
      <c r="G452" s="17" t="str">
        <f>IFERROR(__xludf.DUMMYFUNCTION("""COMPUTED_VALUE"""),"Sabun batang 1 Box ( 2 PCS )")</f>
        <v>Sabun batang 1 Box ( 2 PCS )</v>
      </c>
      <c r="H452" s="463" t="str">
        <f>IFERROR(__xludf.DUMMYFUNCTION("""COMPUTED_VALUE"""),"Sampai")</f>
        <v>Sampai</v>
      </c>
      <c r="I452" s="464" t="str">
        <f>IFERROR(__xludf.DUMMYFUNCTION("""COMPUTED_VALUE"""),"KIMME")</f>
        <v>KIMME</v>
      </c>
      <c r="J452" s="279" t="str">
        <f>IFERROR(__xludf.DUMMYFUNCTION("""COMPUTED_VALUE"""),"https://vt.tiktok.com/ZS9JHWyfY/")</f>
        <v>https://vt.tiktok.com/ZS9JHWyfY/</v>
      </c>
      <c r="K452" s="464" t="str">
        <f>IFERROR(__xludf.DUMMYFUNCTION("""COMPUTED_VALUE"""),"KIMME")</f>
        <v>KIMME</v>
      </c>
      <c r="L452" s="279" t="str">
        <f>IFERROR(__xludf.DUMMYFUNCTION("""COMPUTED_VALUE"""),"https://vt.tiktok.com/ZS9J9d73L/")</f>
        <v>https://vt.tiktok.com/ZS9J9d73L/</v>
      </c>
      <c r="M452" s="464" t="str">
        <f>IFERROR(__xludf.DUMMYFUNCTION("""COMPUTED_VALUE"""),"KIMME")</f>
        <v>KIMME</v>
      </c>
      <c r="N452" s="279" t="str">
        <f>IFERROR(__xludf.DUMMYFUNCTION("""COMPUTED_VALUE"""),"https://vt.tiktok.com/ZS9JH4MAG/")</f>
        <v>https://vt.tiktok.com/ZS9JH4MAG/</v>
      </c>
      <c r="O452" s="464" t="str">
        <f>IFERROR(__xludf.DUMMYFUNCTION("""COMPUTED_VALUE"""),"KIMME")</f>
        <v>KIMME</v>
      </c>
      <c r="P452" s="279" t="str">
        <f>IFERROR(__xludf.DUMMYFUNCTION("""COMPUTED_VALUE"""),"https://vt.tiktok.com/ZS9JHsxoC/")</f>
        <v>https://vt.tiktok.com/ZS9JHsxoC/</v>
      </c>
    </row>
    <row r="453">
      <c r="A453" s="255" t="str">
        <f>IFERROR(__xludf.DUMMYFUNCTION("""COMPUTED_VALUE"""),"MICRO")</f>
        <v>MICRO</v>
      </c>
      <c r="B453" s="361" t="str">
        <f>IFERROR(__xludf.DUMMYFUNCTION("""COMPUTED_VALUE"""),"dylanstore.01")</f>
        <v>dylanstore.01</v>
      </c>
      <c r="C453" s="257" t="str">
        <f>IFERROR(__xludf.DUMMYFUNCTION("""COMPUTED_VALUE"""),"https://www.tiktok.com/@dylanstore.01")</f>
        <v>https://www.tiktok.com/@dylanstore.01</v>
      </c>
      <c r="D453" s="270">
        <f>IFERROR(__xludf.DUMMYFUNCTION("""COMPUTED_VALUE"""),8.5756199891E10)</f>
        <v>85756199891</v>
      </c>
      <c r="E453" s="457">
        <f>IFERROR(__xludf.DUMMYFUNCTION("""COMPUTED_VALUE"""),0.0)</f>
        <v>0</v>
      </c>
      <c r="F453" s="270">
        <f>IFERROR(__xludf.DUMMYFUNCTION("""COMPUTED_VALUE"""),4.0)</f>
        <v>4</v>
      </c>
      <c r="G453" s="17" t="str">
        <f>IFERROR(__xludf.DUMMYFUNCTION("""COMPUTED_VALUE"""),"Sabun batang 1 Box ( 2 PCS )")</f>
        <v>Sabun batang 1 Box ( 2 PCS )</v>
      </c>
      <c r="H453" s="463" t="str">
        <f>IFERROR(__xludf.DUMMYFUNCTION("""COMPUTED_VALUE"""),"Sampai")</f>
        <v>Sampai</v>
      </c>
      <c r="I453" s="464" t="str">
        <f>IFERROR(__xludf.DUMMYFUNCTION("""COMPUTED_VALUE"""),"KIMME")</f>
        <v>KIMME</v>
      </c>
      <c r="J453" s="279" t="str">
        <f>IFERROR(__xludf.DUMMYFUNCTION("""COMPUTED_VALUE"""),"https://vt.tiktok.com/ZS9J8jN32/")</f>
        <v>https://vt.tiktok.com/ZS9J8jN32/</v>
      </c>
      <c r="K453" s="464" t="str">
        <f>IFERROR(__xludf.DUMMYFUNCTION("""COMPUTED_VALUE"""),"KIMME")</f>
        <v>KIMME</v>
      </c>
      <c r="L453" s="279" t="str">
        <f>IFERROR(__xludf.DUMMYFUNCTION("""COMPUTED_VALUE"""),"https://vt.tiktok.com/ZS9J8jhK8/")</f>
        <v>https://vt.tiktok.com/ZS9J8jhK8/</v>
      </c>
      <c r="M453" s="464" t="str">
        <f>IFERROR(__xludf.DUMMYFUNCTION("""COMPUTED_VALUE"""),"KIMME")</f>
        <v>KIMME</v>
      </c>
      <c r="N453" s="279" t="str">
        <f>IFERROR(__xludf.DUMMYFUNCTION("""COMPUTED_VALUE"""),"https://vt.tiktok.com/ZS9JRcwBK/")</f>
        <v>https://vt.tiktok.com/ZS9JRcwBK/</v>
      </c>
      <c r="O453" s="464" t="str">
        <f>IFERROR(__xludf.DUMMYFUNCTION("""COMPUTED_VALUE"""),"KIMME")</f>
        <v>KIMME</v>
      </c>
      <c r="P453" s="279" t="str">
        <f>IFERROR(__xludf.DUMMYFUNCTION("""COMPUTED_VALUE"""),"https://vt.tiktok.com/ZS9edUq81/")</f>
        <v>https://vt.tiktok.com/ZS9edUq81/</v>
      </c>
    </row>
    <row r="454">
      <c r="A454" s="255" t="str">
        <f>IFERROR(__xludf.DUMMYFUNCTION("""COMPUTED_VALUE"""),"MICRO")</f>
        <v>MICRO</v>
      </c>
      <c r="B454" s="361" t="str">
        <f>IFERROR(__xludf.DUMMYFUNCTION("""COMPUTED_VALUE"""),"ellen.makeup7
")</f>
        <v>ellen.makeup7
</v>
      </c>
      <c r="C454" s="257" t="str">
        <f>IFERROR(__xludf.DUMMYFUNCTION("""COMPUTED_VALUE"""),"https://www.tiktok.com/@ellen.makeup7
")</f>
        <v>https://www.tiktok.com/@ellen.makeup7
</v>
      </c>
      <c r="D454" s="270">
        <f>IFERROR(__xludf.DUMMYFUNCTION("""COMPUTED_VALUE"""),8.2146271355E10)</f>
        <v>82146271355</v>
      </c>
      <c r="E454" s="457">
        <f>IFERROR(__xludf.DUMMYFUNCTION("""COMPUTED_VALUE"""),0.0)</f>
        <v>0</v>
      </c>
      <c r="F454" s="270">
        <f>IFERROR(__xludf.DUMMYFUNCTION("""COMPUTED_VALUE"""),4.0)</f>
        <v>4</v>
      </c>
      <c r="G454" s="17" t="str">
        <f>IFERROR(__xludf.DUMMYFUNCTION("""COMPUTED_VALUE"""),"Sabun batang 1 Box ( 2 PCS )")</f>
        <v>Sabun batang 1 Box ( 2 PCS )</v>
      </c>
      <c r="H454" s="463" t="str">
        <f>IFERROR(__xludf.DUMMYFUNCTION("""COMPUTED_VALUE"""),"Sampai")</f>
        <v>Sampai</v>
      </c>
      <c r="I454" s="464" t="str">
        <f>IFERROR(__xludf.DUMMYFUNCTION("""COMPUTED_VALUE"""),"KIMME")</f>
        <v>KIMME</v>
      </c>
      <c r="J454" s="279" t="str">
        <f>IFERROR(__xludf.DUMMYFUNCTION("""COMPUTED_VALUE"""),"https://vt.tiktok.com/ZS9eL5PDt/")</f>
        <v>https://vt.tiktok.com/ZS9eL5PDt/</v>
      </c>
      <c r="K454" s="464" t="str">
        <f>IFERROR(__xludf.DUMMYFUNCTION("""COMPUTED_VALUE"""),"KIMME")</f>
        <v>KIMME</v>
      </c>
      <c r="L454" s="279" t="str">
        <f>IFERROR(__xludf.DUMMYFUNCTION("""COMPUTED_VALUE"""),"https://vt.tiktok.com/ZSHo77wRy/")</f>
        <v>https://vt.tiktok.com/ZSHo77wRy/</v>
      </c>
      <c r="M454" s="464" t="str">
        <f>IFERROR(__xludf.DUMMYFUNCTION("""COMPUTED_VALUE"""),"KIMME")</f>
        <v>KIMME</v>
      </c>
      <c r="N454" s="279" t="str">
        <f>IFERROR(__xludf.DUMMYFUNCTION("""COMPUTED_VALUE"""),"https://vt.tiktok.com/ZSHo7WxCX/")</f>
        <v>https://vt.tiktok.com/ZSHo7WxCX/</v>
      </c>
      <c r="O454" s="464" t="str">
        <f>IFERROR(__xludf.DUMMYFUNCTION("""COMPUTED_VALUE"""),"KIMME")</f>
        <v>KIMME</v>
      </c>
      <c r="P454" s="279" t="str">
        <f>IFERROR(__xludf.DUMMYFUNCTION("""COMPUTED_VALUE"""),"https://vt.tiktok.com/ZSHo7aAwV/")</f>
        <v>https://vt.tiktok.com/ZSHo7aAwV/</v>
      </c>
    </row>
    <row r="455">
      <c r="A455" s="255" t="str">
        <f>IFERROR(__xludf.DUMMYFUNCTION("""COMPUTED_VALUE"""),"MACRO")</f>
        <v>MACRO</v>
      </c>
      <c r="B455" s="361" t="str">
        <f>IFERROR(__xludf.DUMMYFUNCTION("""COMPUTED_VALUE"""),"eva.fitrya")</f>
        <v>eva.fitrya</v>
      </c>
      <c r="C455" s="257" t="str">
        <f>IFERROR(__xludf.DUMMYFUNCTION("""COMPUTED_VALUE"""),"https://www.tiktok.com/@eva.fitrya")</f>
        <v>https://www.tiktok.com/@eva.fitrya</v>
      </c>
      <c r="D455" s="270">
        <f>IFERROR(__xludf.DUMMYFUNCTION("""COMPUTED_VALUE"""),8.5720436925E10)</f>
        <v>85720436925</v>
      </c>
      <c r="E455" s="457">
        <f>IFERROR(__xludf.DUMMYFUNCTION("""COMPUTED_VALUE"""),0.0)</f>
        <v>0</v>
      </c>
      <c r="F455" s="270">
        <f>IFERROR(__xludf.DUMMYFUNCTION("""COMPUTED_VALUE"""),1.0)</f>
        <v>1</v>
      </c>
      <c r="G455" s="17" t="str">
        <f>IFERROR(__xludf.DUMMYFUNCTION("""COMPUTED_VALUE"""),"Sabun batang 1 Box ( 2 PCS )")</f>
        <v>Sabun batang 1 Box ( 2 PCS )</v>
      </c>
      <c r="H455" s="463" t="str">
        <f>IFERROR(__xludf.DUMMYFUNCTION("""COMPUTED_VALUE"""),"Sampai")</f>
        <v>Sampai</v>
      </c>
      <c r="I455" s="464" t="str">
        <f>IFERROR(__xludf.DUMMYFUNCTION("""COMPUTED_VALUE"""),"KIMME")</f>
        <v>KIMME</v>
      </c>
      <c r="J455" s="279" t="str">
        <f>IFERROR(__xludf.DUMMYFUNCTION("""COMPUTED_VALUE"""),"https://vt.tiktok.com/ZS9edSa6L/")</f>
        <v>https://vt.tiktok.com/ZS9edSa6L/</v>
      </c>
      <c r="K455" s="464" t="str">
        <f>IFERROR(__xludf.DUMMYFUNCTION("""COMPUTED_VALUE"""),"KIMME")</f>
        <v>KIMME</v>
      </c>
      <c r="L455" s="279" t="str">
        <f>IFERROR(__xludf.DUMMYFUNCTION("""COMPUTED_VALUE"""),"https://vt.tiktok.com/ZSxA56pQ4/")</f>
        <v>https://vt.tiktok.com/ZSxA56pQ4/</v>
      </c>
      <c r="M455" s="464"/>
      <c r="N455" s="17"/>
      <c r="O455" s="464"/>
      <c r="P455" s="17"/>
    </row>
    <row r="456">
      <c r="A456" s="255" t="str">
        <f>IFERROR(__xludf.DUMMYFUNCTION("""COMPUTED_VALUE"""),"MICRO")</f>
        <v>MICRO</v>
      </c>
      <c r="B456" s="361" t="str">
        <f>IFERROR(__xludf.DUMMYFUNCTION("""COMPUTED_VALUE"""),"fentics_")</f>
        <v>fentics_</v>
      </c>
      <c r="C456" s="257" t="str">
        <f>IFERROR(__xludf.DUMMYFUNCTION("""COMPUTED_VALUE"""),"https://www.tiktok.com/@fentics_")</f>
        <v>https://www.tiktok.com/@fentics_</v>
      </c>
      <c r="D456" s="270">
        <f>IFERROR(__xludf.DUMMYFUNCTION("""COMPUTED_VALUE"""),8.5641994325E10)</f>
        <v>85641994325</v>
      </c>
      <c r="E456" s="457">
        <f>IFERROR(__xludf.DUMMYFUNCTION("""COMPUTED_VALUE"""),0.0)</f>
        <v>0</v>
      </c>
      <c r="F456" s="270">
        <f>IFERROR(__xludf.DUMMYFUNCTION("""COMPUTED_VALUE"""),4.0)</f>
        <v>4</v>
      </c>
      <c r="G456" s="17" t="str">
        <f>IFERROR(__xludf.DUMMYFUNCTION("""COMPUTED_VALUE"""),"Sabun batang 1 Box ( 2 PCS )")</f>
        <v>Sabun batang 1 Box ( 2 PCS )</v>
      </c>
      <c r="H456" s="463" t="str">
        <f>IFERROR(__xludf.DUMMYFUNCTION("""COMPUTED_VALUE"""),"Sampai")</f>
        <v>Sampai</v>
      </c>
      <c r="I456" s="464" t="str">
        <f>IFERROR(__xludf.DUMMYFUNCTION("""COMPUTED_VALUE"""),"KIMME")</f>
        <v>KIMME</v>
      </c>
      <c r="J456" s="279" t="str">
        <f>IFERROR(__xludf.DUMMYFUNCTION("""COMPUTED_VALUE"""),"https://vt.tiktok.com/ZSHmNeV8S/")</f>
        <v>https://vt.tiktok.com/ZSHmNeV8S/</v>
      </c>
      <c r="K456" s="464" t="str">
        <f>IFERROR(__xludf.DUMMYFUNCTION("""COMPUTED_VALUE"""),"KIMME")</f>
        <v>KIMME</v>
      </c>
      <c r="L456" s="279" t="str">
        <f>IFERROR(__xludf.DUMMYFUNCTION("""COMPUTED_VALUE"""),"https://vt.tiktok.com/ZS9cDc2ry/")</f>
        <v>https://vt.tiktok.com/ZS9cDc2ry/</v>
      </c>
      <c r="M456" s="464"/>
      <c r="N456" s="279" t="str">
        <f>IFERROR(__xludf.DUMMYFUNCTION("""COMPUTED_VALUE"""),"https://vt.tiktok.com/ZS9cDnNSJ/")</f>
        <v>https://vt.tiktok.com/ZS9cDnNSJ/</v>
      </c>
      <c r="O456" s="464"/>
      <c r="P456" s="17" t="str">
        <f>IFERROR(__xludf.DUMMYFUNCTION("""COMPUTED_VALUE"""),"⁠https://vt.tiktok.com/ZS9cDpAJR/")</f>
        <v>⁠https://vt.tiktok.com/ZS9cDpAJR/</v>
      </c>
    </row>
    <row r="457">
      <c r="A457" s="255" t="str">
        <f>IFERROR(__xludf.DUMMYFUNCTION("""COMPUTED_VALUE"""),"MICRO")</f>
        <v>MICRO</v>
      </c>
      <c r="B457" s="361" t="str">
        <f>IFERROR(__xludf.DUMMYFUNCTION("""COMPUTED_VALUE"""),"callmemoiyy")</f>
        <v>callmemoiyy</v>
      </c>
      <c r="C457" s="257" t="str">
        <f>IFERROR(__xludf.DUMMYFUNCTION("""COMPUTED_VALUE"""),"https://www.tiktok.com/@callmemoiyy")</f>
        <v>https://www.tiktok.com/@callmemoiyy</v>
      </c>
      <c r="D457" s="270">
        <f>IFERROR(__xludf.DUMMYFUNCTION("""COMPUTED_VALUE"""),8.9532982528E11)</f>
        <v>895329825280</v>
      </c>
      <c r="E457" s="457">
        <f>IFERROR(__xludf.DUMMYFUNCTION("""COMPUTED_VALUE"""),0.0)</f>
        <v>0</v>
      </c>
      <c r="F457" s="270">
        <f>IFERROR(__xludf.DUMMYFUNCTION("""COMPUTED_VALUE"""),4.0)</f>
        <v>4</v>
      </c>
      <c r="G457" s="17" t="str">
        <f>IFERROR(__xludf.DUMMYFUNCTION("""COMPUTED_VALUE"""),"Sabun batang 1 Box ( 2 PCS )")</f>
        <v>Sabun batang 1 Box ( 2 PCS )</v>
      </c>
      <c r="H457" s="463" t="str">
        <f>IFERROR(__xludf.DUMMYFUNCTION("""COMPUTED_VALUE"""),"Sampai")</f>
        <v>Sampai</v>
      </c>
      <c r="I457" s="464" t="str">
        <f>IFERROR(__xludf.DUMMYFUNCTION("""COMPUTED_VALUE"""),"KIMME")</f>
        <v>KIMME</v>
      </c>
      <c r="J457" s="279" t="str">
        <f>IFERROR(__xludf.DUMMYFUNCTION("""COMPUTED_VALUE"""),"https://vt.tiktok.com/ZSHo7rYYF/")</f>
        <v>https://vt.tiktok.com/ZSHo7rYYF/</v>
      </c>
      <c r="K457" s="464" t="str">
        <f>IFERROR(__xludf.DUMMYFUNCTION("""COMPUTED_VALUE"""),"KIMME")</f>
        <v>KIMME</v>
      </c>
      <c r="L457" s="279" t="str">
        <f>IFERROR(__xludf.DUMMYFUNCTION("""COMPUTED_VALUE"""),"https://vt.tiktok.com/ZSHo7xtoc/")</f>
        <v>https://vt.tiktok.com/ZSHo7xtoc/</v>
      </c>
      <c r="M457" s="464" t="str">
        <f>IFERROR(__xludf.DUMMYFUNCTION("""COMPUTED_VALUE"""),"KIMME")</f>
        <v>KIMME</v>
      </c>
      <c r="N457" s="279" t="str">
        <f>IFERROR(__xludf.DUMMYFUNCTION("""COMPUTED_VALUE"""),"https://vt.tiktok.com/ZSHo7mSJX/")</f>
        <v>https://vt.tiktok.com/ZSHo7mSJX/</v>
      </c>
      <c r="O457" s="464" t="str">
        <f>IFERROR(__xludf.DUMMYFUNCTION("""COMPUTED_VALUE"""),"KIMME")</f>
        <v>KIMME</v>
      </c>
      <c r="P457" s="279" t="str">
        <f>IFERROR(__xludf.DUMMYFUNCTION("""COMPUTED_VALUE"""),"https://www.tiktok.com/@skinbeauty.id/video/7631056711360482580?_r=1&amp;u_code=db2el50hhee557&amp;region=&amp;mid=7515043911153584897&amp;preview_pb=0&amp;sharer_language=&amp;_d=0&amp;ec_shared_reflux_dynamic_params=%7B%22placeholder_material_id%22%3A%227631056711360482580%22%2C%2"&amp;"2placeholder_origin_cover%22%3A%22https%253A%252F%252Fp16-common-sign.tiktokcdn.com%252Ftos-alisg-p-0037%252FooAYmwAGegPCR6GGQneAroMpXl8FAF2xXgeNeb~tplv-tiktokx-origin.jpeg%253Fdr%253D14572%2526refresh_token%253De9402c52%2526x-expires%253D1808301600%2526x"&amp;"-signature%253D7ADnFmAuqpHLGVtdN1AYZ0n8PZc%25253D%2526t%253D4d5b0474%2526ps%253D13740610%2526shp%253Dd05b14bd%2526shcp%253D34ff8df6%2526idc%253Dmy3%2526s%253DTIKTOK_AFFILIATE_VIRAL_VIDEO%22%2C%22placeholder_product_id%22%3A%221729427766722726591%22%2C%22p"&amp;"laceholder_video_id%22%3A%227631056711360482580%22%7D&amp;ec_shared_reflux_scene=shop_tab_feed&amp;share_item_id=7631056711360482580&amp;source=h5_t")</f>
        <v>https://www.tiktok.com/@skinbeauty.id/video/7631056711360482580?_r=1&amp;u_code=db2el50hhee557&amp;region=&amp;mid=7515043911153584897&amp;preview_pb=0&amp;sharer_language=&amp;_d=0&amp;ec_shared_reflux_dynamic_params=%7B%22placeholder_material_id%22%3A%227631056711360482580%22%2C%22placeholder_origin_cover%22%3A%22https%253A%252F%252Fp16-common-sign.tiktokcdn.com%252Ftos-alisg-p-0037%252FooAYmwAGegPCR6GGQneAroMpXl8FAF2xXgeNeb~tplv-tiktokx-origin.jpeg%253Fdr%253D14572%2526refresh_token%253De9402c52%2526x-expires%253D1808301600%2526x-signature%253D7ADnFmAuqpHLGVtdN1AYZ0n8PZc%25253D%2526t%253D4d5b0474%2526ps%253D13740610%2526shp%253Dd05b14bd%2526shcp%253D34ff8df6%2526idc%253Dmy3%2526s%253DTIKTOK_AFFILIATE_VIRAL_VIDEO%22%2C%22placeholder_product_id%22%3A%221729427766722726591%22%2C%22placeholder_video_id%22%3A%227631056711360482580%22%7D&amp;ec_shared_reflux_scene=shop_tab_feed&amp;share_item_id=7631056711360482580&amp;source=h5_t</v>
      </c>
    </row>
    <row r="458">
      <c r="A458" s="255" t="str">
        <f>IFERROR(__xludf.DUMMYFUNCTION("""COMPUTED_VALUE"""),"MICRO")</f>
        <v>MICRO</v>
      </c>
      <c r="B458" s="361" t="str">
        <f>IFERROR(__xludf.DUMMYFUNCTION("""COMPUTED_VALUE"""),"racundiana")</f>
        <v>racundiana</v>
      </c>
      <c r="C458" s="257" t="str">
        <f>IFERROR(__xludf.DUMMYFUNCTION("""COMPUTED_VALUE"""),"https://www.tiktok.com/@racundiana")</f>
        <v>https://www.tiktok.com/@racundiana</v>
      </c>
      <c r="D458" s="270">
        <f>IFERROR(__xludf.DUMMYFUNCTION("""COMPUTED_VALUE"""),8.1231641549E10)</f>
        <v>81231641549</v>
      </c>
      <c r="E458" s="457">
        <f>IFERROR(__xludf.DUMMYFUNCTION("""COMPUTED_VALUE"""),0.0)</f>
        <v>0</v>
      </c>
      <c r="F458" s="270">
        <f>IFERROR(__xludf.DUMMYFUNCTION("""COMPUTED_VALUE"""),4.0)</f>
        <v>4</v>
      </c>
      <c r="G458" s="17" t="str">
        <f>IFERROR(__xludf.DUMMYFUNCTION("""COMPUTED_VALUE"""),"Sabun batang 1 Box ( 2 PCS )")</f>
        <v>Sabun batang 1 Box ( 2 PCS )</v>
      </c>
      <c r="H458" s="463" t="str">
        <f>IFERROR(__xludf.DUMMYFUNCTION("""COMPUTED_VALUE"""),"Sampai")</f>
        <v>Sampai</v>
      </c>
      <c r="I458" s="464" t="str">
        <f>IFERROR(__xludf.DUMMYFUNCTION("""COMPUTED_VALUE"""),"KIMME")</f>
        <v>KIMME</v>
      </c>
      <c r="J458" s="279" t="str">
        <f>IFERROR(__xludf.DUMMYFUNCTION("""COMPUTED_VALUE"""),"https://www.tiktok.com/@skinbeauty.id/video/7630463264421350676?_r=1&amp;u_code=db2el50hhee557&amp;region=&amp;mid=7590285635702885128&amp;preview_pb=0&amp;sharer_language=&amp;_d=0&amp;ec_shared_reflux_dynamic_params=%7B%22placeholder_material_id%22%3A%227630463264421350676%22%2C%2"&amp;"2placeholder_origin_cover%22%3A%22https%253A%252F%252Fp19-common-sign.tiktokcdn.com%252Ftos-alisg-p-0037%252FogdbTDg4OHGZACAngLfICPgLEgLZjytIebQle0~tplv-tiktokx-origin.jpeg%253Fdr%253D14572%2526refresh_token%253D429e1235%2526x-expires%253D1808301600%2526x"&amp;"-signature%253DC6jtrRsjI5rnrBFaOm%25252B%25252FdEpeyoM%25253D%2526t%253D4d5b0474%2526ps%253D13740610%2526shp%253Dd05b14bd%2526shcp%253D34ff8df6%2526idc%253Dmy3%2526s%253DTIKTOK_AFFILIATE_VIRAL_VIDEO%22%2C%22placeholder_product_id%22%3A%2217294277667227265"&amp;"91%22%2C%22placeholder_video_id%22%3A%227630463264421350676%22%7D&amp;ec_shared_reflux_scene=shop_tab_feed&amp;share_item_id=7630463264421350676&amp;source=h5_t")</f>
        <v>https://www.tiktok.com/@skinbeauty.id/video/7630463264421350676?_r=1&amp;u_code=db2el50hhee557&amp;region=&amp;mid=7590285635702885128&amp;preview_pb=0&amp;sharer_language=&amp;_d=0&amp;ec_shared_reflux_dynamic_params=%7B%22placeholder_material_id%22%3A%227630463264421350676%22%2C%22placeholder_origin_cover%22%3A%22https%253A%252F%252Fp19-common-sign.tiktokcdn.com%252Ftos-alisg-p-0037%252FogdbTDg4OHGZACAngLfICPgLEgLZjytIebQle0~tplv-tiktokx-origin.jpeg%253Fdr%253D14572%2526refresh_token%253D429e1235%2526x-expires%253D1808301600%2526x-signature%253DC6jtrRsjI5rnrBFaOm%25252B%25252FdEpeyoM%25253D%2526t%253D4d5b0474%2526ps%253D13740610%2526shp%253Dd05b14bd%2526shcp%253D34ff8df6%2526idc%253Dmy3%2526s%253DTIKTOK_AFFILIATE_VIRAL_VIDEO%22%2C%22placeholder_product_id%22%3A%221729427766722726591%22%2C%22placeholder_video_id%22%3A%227630463264421350676%22%7D&amp;ec_shared_reflux_scene=shop_tab_feed&amp;share_item_id=7630463264421350676&amp;source=h5_t</v>
      </c>
      <c r="K458" s="464" t="str">
        <f>IFERROR(__xludf.DUMMYFUNCTION("""COMPUTED_VALUE"""),"KIMME")</f>
        <v>KIMME</v>
      </c>
      <c r="L458" s="279" t="str">
        <f>IFERROR(__xludf.DUMMYFUNCTION("""COMPUTED_VALUE"""),"https://vt.tiktok.com/ZS9J7BUTH/")</f>
        <v>https://vt.tiktok.com/ZS9J7BUTH/</v>
      </c>
      <c r="M458" s="464" t="str">
        <f>IFERROR(__xludf.DUMMYFUNCTION("""COMPUTED_VALUE"""),"KIMME")</f>
        <v>KIMME</v>
      </c>
      <c r="N458" s="279" t="str">
        <f>IFERROR(__xludf.DUMMYFUNCTION("""COMPUTED_VALUE"""),"https://vt.tiktok.com/ZS9JrNkmS/")</f>
        <v>https://vt.tiktok.com/ZS9JrNkmS/</v>
      </c>
      <c r="O458" s="464" t="str">
        <f>IFERROR(__xludf.DUMMYFUNCTION("""COMPUTED_VALUE"""),"KIMME")</f>
        <v>KIMME</v>
      </c>
      <c r="P458" s="279" t="str">
        <f>IFERROR(__xludf.DUMMYFUNCTION("""COMPUTED_VALUE"""),"https://vt.tiktok.com/ZS9JrrDnr/")</f>
        <v>https://vt.tiktok.com/ZS9JrrDnr/</v>
      </c>
    </row>
    <row r="459">
      <c r="A459" s="255" t="str">
        <f>IFERROR(__xludf.DUMMYFUNCTION("""COMPUTED_VALUE"""),"MACRO")</f>
        <v>MACRO</v>
      </c>
      <c r="B459" s="361" t="str">
        <f>IFERROR(__xludf.DUMMYFUNCTION("""COMPUTED_VALUE"""),"nandaku_99")</f>
        <v>nandaku_99</v>
      </c>
      <c r="C459" s="257" t="str">
        <f>IFERROR(__xludf.DUMMYFUNCTION("""COMPUTED_VALUE"""),"https://www.tiktok.com/@nandaku_99")</f>
        <v>https://www.tiktok.com/@nandaku_99</v>
      </c>
      <c r="D459" s="270">
        <f>IFERROR(__xludf.DUMMYFUNCTION("""COMPUTED_VALUE"""),8.9520408017E10)</f>
        <v>89520408017</v>
      </c>
      <c r="E459" s="457">
        <f>IFERROR(__xludf.DUMMYFUNCTION("""COMPUTED_VALUE"""),0.0)</f>
        <v>0</v>
      </c>
      <c r="F459" s="270">
        <f>IFERROR(__xludf.DUMMYFUNCTION("""COMPUTED_VALUE"""),1.0)</f>
        <v>1</v>
      </c>
      <c r="G459" s="17" t="str">
        <f>IFERROR(__xludf.DUMMYFUNCTION("""COMPUTED_VALUE"""),"Sabun batang 1 Box ( 2 PCS )")</f>
        <v>Sabun batang 1 Box ( 2 PCS )</v>
      </c>
      <c r="H459" s="463" t="str">
        <f>IFERROR(__xludf.DUMMYFUNCTION("""COMPUTED_VALUE"""),"Sampai")</f>
        <v>Sampai</v>
      </c>
      <c r="I459" s="464" t="str">
        <f>IFERROR(__xludf.DUMMYFUNCTION("""COMPUTED_VALUE"""),"KIMME")</f>
        <v>KIMME</v>
      </c>
      <c r="J459" s="279" t="str">
        <f>IFERROR(__xludf.DUMMYFUNCTION("""COMPUTED_VALUE"""),"https://vt.tiktok.com/ZS9JrN4Xe/")</f>
        <v>https://vt.tiktok.com/ZS9JrN4Xe/</v>
      </c>
      <c r="K459" s="464" t="str">
        <f>IFERROR(__xludf.DUMMYFUNCTION("""COMPUTED_VALUE"""),"KIMME")</f>
        <v>KIMME</v>
      </c>
      <c r="L459" s="279" t="str">
        <f>IFERROR(__xludf.DUMMYFUNCTION("""COMPUTED_VALUE"""),"https://vt.tiktok.com/ZSxSQRWrJ/")</f>
        <v>https://vt.tiktok.com/ZSxSQRWrJ/</v>
      </c>
      <c r="M459" s="464"/>
      <c r="N459" s="17"/>
      <c r="O459" s="464"/>
      <c r="P459" s="17"/>
    </row>
    <row r="460">
      <c r="A460" s="255" t="str">
        <f>IFERROR(__xludf.DUMMYFUNCTION("""COMPUTED_VALUE"""),"MICRO")</f>
        <v>MICRO</v>
      </c>
      <c r="B460" s="361" t="str">
        <f>IFERROR(__xludf.DUMMYFUNCTION("""COMPUTED_VALUE"""),"Windyharyani79")</f>
        <v>Windyharyani79</v>
      </c>
      <c r="C460" s="257" t="str">
        <f>IFERROR(__xludf.DUMMYFUNCTION("""COMPUTED_VALUE"""),"https://www.tiktok.com/@Windyharyani79")</f>
        <v>https://www.tiktok.com/@Windyharyani79</v>
      </c>
      <c r="D460" s="270">
        <f>IFERROR(__xludf.DUMMYFUNCTION("""COMPUTED_VALUE"""),8.5215932421E10)</f>
        <v>85215932421</v>
      </c>
      <c r="E460" s="457">
        <f>IFERROR(__xludf.DUMMYFUNCTION("""COMPUTED_VALUE"""),0.0)</f>
        <v>0</v>
      </c>
      <c r="F460" s="270">
        <f>IFERROR(__xludf.DUMMYFUNCTION("""COMPUTED_VALUE"""),4.0)</f>
        <v>4</v>
      </c>
      <c r="G460" s="17" t="str">
        <f>IFERROR(__xludf.DUMMYFUNCTION("""COMPUTED_VALUE"""),"Sabun batang 1 Box ( 2 PCS )")</f>
        <v>Sabun batang 1 Box ( 2 PCS )</v>
      </c>
      <c r="H460" s="463" t="str">
        <f>IFERROR(__xludf.DUMMYFUNCTION("""COMPUTED_VALUE"""),"Sampai")</f>
        <v>Sampai</v>
      </c>
      <c r="I460" s="464" t="str">
        <f>IFERROR(__xludf.DUMMYFUNCTION("""COMPUTED_VALUE"""),"KIMME")</f>
        <v>KIMME</v>
      </c>
      <c r="J460" s="279" t="str">
        <f>IFERROR(__xludf.DUMMYFUNCTION("""COMPUTED_VALUE"""),"https://www.tiktok.com/@windyharyani79/video/7628550131310185736?is_from_webapp=1&amp;sender_device=pc")</f>
        <v>https://www.tiktok.com/@windyharyani79/video/7628550131310185736?is_from_webapp=1&amp;sender_device=pc</v>
      </c>
      <c r="K460" s="464" t="str">
        <f>IFERROR(__xludf.DUMMYFUNCTION("""COMPUTED_VALUE"""),"KIMME")</f>
        <v>KIMME</v>
      </c>
      <c r="L460" s="279" t="str">
        <f>IFERROR(__xludf.DUMMYFUNCTION("""COMPUTED_VALUE"""),"https://vt.tiktok.com/ZSHpWQTbE/ ")</f>
        <v>https://vt.tiktok.com/ZSHpWQTbE/ </v>
      </c>
      <c r="M460" s="464"/>
      <c r="N460" s="17" t="str">
        <f>IFERROR(__xludf.DUMMYFUNCTION("""COMPUTED_VALUE"""),"⁠⁠⁠https://vt.tiktok.com/ZS9cUJa7n/")</f>
        <v>⁠⁠⁠https://vt.tiktok.com/ZS9cUJa7n/</v>
      </c>
      <c r="O460" s="464"/>
      <c r="P460" s="279" t="str">
        <f>IFERROR(__xludf.DUMMYFUNCTION("""COMPUTED_VALUE"""),"https://vt.tiktok.com/ZS9cyh75Q/")</f>
        <v>https://vt.tiktok.com/ZS9cyh75Q/</v>
      </c>
    </row>
    <row r="461">
      <c r="A461" s="255" t="str">
        <f>IFERROR(__xludf.DUMMYFUNCTION("""COMPUTED_VALUE"""),"MICRO")</f>
        <v>MICRO</v>
      </c>
      <c r="B461" s="361" t="str">
        <f>IFERROR(__xludf.DUMMYFUNCTION("""COMPUTED_VALUE"""),"_marzky")</f>
        <v>_marzky</v>
      </c>
      <c r="C461" s="257" t="str">
        <f>IFERROR(__xludf.DUMMYFUNCTION("""COMPUTED_VALUE"""),"https://www.tiktok.com/@_marzky")</f>
        <v>https://www.tiktok.com/@_marzky</v>
      </c>
      <c r="D461" s="270">
        <f>IFERROR(__xludf.DUMMYFUNCTION("""COMPUTED_VALUE"""),8.1358011134E10)</f>
        <v>81358011134</v>
      </c>
      <c r="E461" s="457">
        <f>IFERROR(__xludf.DUMMYFUNCTION("""COMPUTED_VALUE"""),0.0)</f>
        <v>0</v>
      </c>
      <c r="F461" s="270">
        <f>IFERROR(__xludf.DUMMYFUNCTION("""COMPUTED_VALUE"""),4.0)</f>
        <v>4</v>
      </c>
      <c r="G461" s="17" t="str">
        <f>IFERROR(__xludf.DUMMYFUNCTION("""COMPUTED_VALUE"""),"Sabun batang 1 Box ( 2 PCS )")</f>
        <v>Sabun batang 1 Box ( 2 PCS )</v>
      </c>
      <c r="H461" s="463" t="str">
        <f>IFERROR(__xludf.DUMMYFUNCTION("""COMPUTED_VALUE"""),"Sampai")</f>
        <v>Sampai</v>
      </c>
      <c r="I461" s="464" t="str">
        <f>IFERROR(__xludf.DUMMYFUNCTION("""COMPUTED_VALUE"""),"KIMME")</f>
        <v>KIMME</v>
      </c>
      <c r="J461" s="279" t="str">
        <f>IFERROR(__xludf.DUMMYFUNCTION("""COMPUTED_VALUE"""),"https://vt.tiktok.com/ZS9JrdBhH/")</f>
        <v>https://vt.tiktok.com/ZS9JrdBhH/</v>
      </c>
      <c r="K461" s="464" t="str">
        <f>IFERROR(__xludf.DUMMYFUNCTION("""COMPUTED_VALUE"""),"KIMME")</f>
        <v>KIMME</v>
      </c>
      <c r="L461" s="279" t="str">
        <f>IFERROR(__xludf.DUMMYFUNCTION("""COMPUTED_VALUE"""),"https://vt.tiktok.com/ZS9JrvMtG/")</f>
        <v>https://vt.tiktok.com/ZS9JrvMtG/</v>
      </c>
      <c r="M461" s="464" t="str">
        <f>IFERROR(__xludf.DUMMYFUNCTION("""COMPUTED_VALUE"""),"KIMME")</f>
        <v>KIMME</v>
      </c>
      <c r="N461" s="279" t="str">
        <f>IFERROR(__xludf.DUMMYFUNCTION("""COMPUTED_VALUE"""),"https://vt.tiktok.com/ZS9JrsGDk/")</f>
        <v>https://vt.tiktok.com/ZS9JrsGDk/</v>
      </c>
      <c r="O461" s="464" t="str">
        <f>IFERROR(__xludf.DUMMYFUNCTION("""COMPUTED_VALUE"""),"KIMME")</f>
        <v>KIMME</v>
      </c>
      <c r="P461" s="279" t="str">
        <f>IFERROR(__xludf.DUMMYFUNCTION("""COMPUTED_VALUE"""),"https://vt.tiktok.com/ZS9Jrv4GA/")</f>
        <v>https://vt.tiktok.com/ZS9Jrv4GA/</v>
      </c>
    </row>
    <row r="462">
      <c r="A462" s="255" t="str">
        <f>IFERROR(__xludf.DUMMYFUNCTION("""COMPUTED_VALUE"""),"MICRO")</f>
        <v>MICRO</v>
      </c>
      <c r="B462" s="361" t="str">
        <f>IFERROR(__xludf.DUMMYFUNCTION("""COMPUTED_VALUE"""),"mimihgemoy1")</f>
        <v>mimihgemoy1</v>
      </c>
      <c r="C462" s="257" t="str">
        <f>IFERROR(__xludf.DUMMYFUNCTION("""COMPUTED_VALUE"""),"https://www.tiktok.com/@mimihgemoy1")</f>
        <v>https://www.tiktok.com/@mimihgemoy1</v>
      </c>
      <c r="D462" s="270">
        <f>IFERROR(__xludf.DUMMYFUNCTION("""COMPUTED_VALUE"""),8.5171613501E10)</f>
        <v>85171613501</v>
      </c>
      <c r="E462" s="457">
        <f>IFERROR(__xludf.DUMMYFUNCTION("""COMPUTED_VALUE"""),100000.0)</f>
        <v>100000</v>
      </c>
      <c r="F462" s="270">
        <f>IFERROR(__xludf.DUMMYFUNCTION("""COMPUTED_VALUE"""),2.0)</f>
        <v>2</v>
      </c>
      <c r="G462" s="17" t="str">
        <f>IFERROR(__xludf.DUMMYFUNCTION("""COMPUTED_VALUE"""),"Sabun batang 1 Box ( 2 PCS )")</f>
        <v>Sabun batang 1 Box ( 2 PCS )</v>
      </c>
      <c r="H462" s="463" t="str">
        <f>IFERROR(__xludf.DUMMYFUNCTION("""COMPUTED_VALUE"""),"Sampai")</f>
        <v>Sampai</v>
      </c>
      <c r="I462" s="464" t="str">
        <f>IFERROR(__xludf.DUMMYFUNCTION("""COMPUTED_VALUE"""),"KIMME")</f>
        <v>KIMME</v>
      </c>
      <c r="J462" s="279" t="str">
        <f>IFERROR(__xludf.DUMMYFUNCTION("""COMPUTED_VALUE"""),"https://vt.tiktok.com/ZSHMQwQQt/")</f>
        <v>https://vt.tiktok.com/ZSHMQwQQt/</v>
      </c>
      <c r="K462" s="464" t="str">
        <f>IFERROR(__xludf.DUMMYFUNCTION("""COMPUTED_VALUE"""),"KIMME")</f>
        <v>KIMME</v>
      </c>
      <c r="L462" s="279" t="str">
        <f>IFERROR(__xludf.DUMMYFUNCTION("""COMPUTED_VALUE"""),"https://vt.tiktok.com/ZSHy81Y5J/")</f>
        <v>https://vt.tiktok.com/ZSHy81Y5J/</v>
      </c>
      <c r="M462" s="464"/>
      <c r="N462" s="279" t="str">
        <f>IFERROR(__xludf.DUMMYFUNCTION("""COMPUTED_VALUE"""),"https://vt.tiktok.com/ZS9cyJKb8/")</f>
        <v>https://vt.tiktok.com/ZS9cyJKb8/</v>
      </c>
      <c r="O462" s="464"/>
      <c r="P462" s="17" t="str">
        <f>IFERROR(__xludf.DUMMYFUNCTION("""COMPUTED_VALUE"""),"⁠https://vt.tiktok.com/ZS9cyy87Y/")</f>
        <v>⁠https://vt.tiktok.com/ZS9cyy87Y/</v>
      </c>
    </row>
    <row r="463">
      <c r="A463" s="255" t="str">
        <f>IFERROR(__xludf.DUMMYFUNCTION("""COMPUTED_VALUE"""),"MICRO")</f>
        <v>MICRO</v>
      </c>
      <c r="B463" s="361" t="str">
        <f>IFERROR(__xludf.DUMMYFUNCTION("""COMPUTED_VALUE"""),"sahabatcantik_id")</f>
        <v>sahabatcantik_id</v>
      </c>
      <c r="C463" s="257" t="str">
        <f>IFERROR(__xludf.DUMMYFUNCTION("""COMPUTED_VALUE"""),"https://www.tiktok.com/@sahabatcantik_id")</f>
        <v>https://www.tiktok.com/@sahabatcantik_id</v>
      </c>
      <c r="D463" s="270">
        <f>IFERROR(__xludf.DUMMYFUNCTION("""COMPUTED_VALUE"""),8.1390310631E10)</f>
        <v>81390310631</v>
      </c>
      <c r="E463" s="457">
        <f>IFERROR(__xludf.DUMMYFUNCTION("""COMPUTED_VALUE"""),0.0)</f>
        <v>0</v>
      </c>
      <c r="F463" s="270">
        <f>IFERROR(__xludf.DUMMYFUNCTION("""COMPUTED_VALUE"""),4.0)</f>
        <v>4</v>
      </c>
      <c r="G463" s="17" t="str">
        <f>IFERROR(__xludf.DUMMYFUNCTION("""COMPUTED_VALUE"""),"Sabun batang 1 Box ( 2 PCS )")</f>
        <v>Sabun batang 1 Box ( 2 PCS )</v>
      </c>
      <c r="H463" s="463" t="str">
        <f>IFERROR(__xludf.DUMMYFUNCTION("""COMPUTED_VALUE"""),"Sampai")</f>
        <v>Sampai</v>
      </c>
      <c r="I463" s="464" t="str">
        <f>IFERROR(__xludf.DUMMYFUNCTION("""COMPUTED_VALUE"""),"KIMME")</f>
        <v>KIMME</v>
      </c>
      <c r="J463" s="279" t="str">
        <f>IFERROR(__xludf.DUMMYFUNCTION("""COMPUTED_VALUE"""),"https://vt.tiktok.com/ZS9JrgoNM/")</f>
        <v>https://vt.tiktok.com/ZS9JrgoNM/</v>
      </c>
      <c r="K463" s="464" t="str">
        <f>IFERROR(__xludf.DUMMYFUNCTION("""COMPUTED_VALUE"""),"KIMME")</f>
        <v>KIMME</v>
      </c>
      <c r="L463" s="279" t="str">
        <f>IFERROR(__xludf.DUMMYFUNCTION("""COMPUTED_VALUE"""),"https://vt.tiktok.com/ZS9JrTYCd/")</f>
        <v>https://vt.tiktok.com/ZS9JrTYCd/</v>
      </c>
      <c r="M463" s="464" t="str">
        <f>IFERROR(__xludf.DUMMYFUNCTION("""COMPUTED_VALUE"""),"KIMME")</f>
        <v>KIMME</v>
      </c>
      <c r="N463" s="279" t="str">
        <f>IFERROR(__xludf.DUMMYFUNCTION("""COMPUTED_VALUE"""),"https://vt.tiktok.com/ZS9JrwqmT/")</f>
        <v>https://vt.tiktok.com/ZS9JrwqmT/</v>
      </c>
      <c r="O463" s="464" t="str">
        <f>IFERROR(__xludf.DUMMYFUNCTION("""COMPUTED_VALUE"""),"KIMME")</f>
        <v>KIMME</v>
      </c>
      <c r="P463" s="279" t="str">
        <f>IFERROR(__xludf.DUMMYFUNCTION("""COMPUTED_VALUE"""),"https://vt.tiktok.com/ZS9J31U6W/")</f>
        <v>https://vt.tiktok.com/ZS9J31U6W/</v>
      </c>
    </row>
    <row r="464">
      <c r="A464" s="255" t="str">
        <f>IFERROR(__xludf.DUMMYFUNCTION("""COMPUTED_VALUE"""),"MICRO")</f>
        <v>MICRO</v>
      </c>
      <c r="B464" s="361" t="str">
        <f>IFERROR(__xludf.DUMMYFUNCTION("""COMPUTED_VALUE"""),"pejuangghoki")</f>
        <v>pejuangghoki</v>
      </c>
      <c r="C464" s="257" t="str">
        <f>IFERROR(__xludf.DUMMYFUNCTION("""COMPUTED_VALUE"""),"https://www.tiktok.com/@pejuangghoki")</f>
        <v>https://www.tiktok.com/@pejuangghoki</v>
      </c>
      <c r="D464" s="270">
        <f>IFERROR(__xludf.DUMMYFUNCTION("""COMPUTED_VALUE"""),8.1384445102E10)</f>
        <v>81384445102</v>
      </c>
      <c r="E464" s="457">
        <f>IFERROR(__xludf.DUMMYFUNCTION("""COMPUTED_VALUE"""),0.0)</f>
        <v>0</v>
      </c>
      <c r="F464" s="270">
        <f>IFERROR(__xludf.DUMMYFUNCTION("""COMPUTED_VALUE"""),4.0)</f>
        <v>4</v>
      </c>
      <c r="G464" s="17" t="str">
        <f>IFERROR(__xludf.DUMMYFUNCTION("""COMPUTED_VALUE"""),"Sabun batang 1 Box ( 2 PCS )")</f>
        <v>Sabun batang 1 Box ( 2 PCS )</v>
      </c>
      <c r="H464" s="463" t="str">
        <f>IFERROR(__xludf.DUMMYFUNCTION("""COMPUTED_VALUE"""),"Sampai")</f>
        <v>Sampai</v>
      </c>
      <c r="I464" s="464" t="str">
        <f>IFERROR(__xludf.DUMMYFUNCTION("""COMPUTED_VALUE"""),"KIMME")</f>
        <v>KIMME</v>
      </c>
      <c r="J464" s="279" t="str">
        <f>IFERROR(__xludf.DUMMYFUNCTION("""COMPUTED_VALUE"""),"https://www.tiktok.com/@snowme.shop/video/7630794325093272853?_r=1&amp;u_code=dal30337ieiagk&amp;region=&amp;mid=7620330197195295506&amp;preview_pb=0&amp;sharer_language=&amp;_d=0&amp;ec_shared_reflux_dynamic_params=%7B%22placeholder_material_id%22%3A%227630794325093272853%22%2C%22p"&amp;"laceholder_origin_cover%22%3A%22https%253A%252F%252Fp16-sign-sg.tiktokcdn.com%252Ftos-alisg-p-0037%252Fo4Fcwqjp5ABtB5FAEfKgvRBBc2mfIOGlEGagID~tplv-tiktokx-origin.jpeg%253Fdr%253D14572%2526refresh_token%253D51f552c9%2526x-expires%253D1808301600%2526x-signa"&amp;"ture%253D8zi82eXv5RePZkizvUJNvAwIAtY%25253D%2526t%253D4d5b0474%2526ps%253D13740610%2526shp%253Dd05b14bd%2526shcp%253D34ff8df6%2526idc%253Dmy3%2526s%253DTIKTOK_AFFILIATE_VIRAL_VIDEO%22%2C%22placeholder_product_id%22%3A%221729427766722726591%22%2C%22placeho"&amp;"lder_video_id%22%3A%227630794325093272853%22%7D&amp;ec_shared_reflux_scene=shop_tab_feed&amp;share_item_id=7630794325093272853&amp;source=h5_t")</f>
        <v>https://www.tiktok.com/@snowme.shop/video/7630794325093272853?_r=1&amp;u_code=dal30337ieiagk&amp;region=&amp;mid=7620330197195295506&amp;preview_pb=0&amp;sharer_language=&amp;_d=0&amp;ec_shared_reflux_dynamic_params=%7B%22placeholder_material_id%22%3A%227630794325093272853%22%2C%22placeholder_origin_cover%22%3A%22https%253A%252F%252Fp16-sign-sg.tiktokcdn.com%252Ftos-alisg-p-0037%252Fo4Fcwqjp5ABtB5FAEfKgvRBBc2mfIOGlEGagID~tplv-tiktokx-origin.jpeg%253Fdr%253D14572%2526refresh_token%253D51f552c9%2526x-expires%253D1808301600%2526x-signature%253D8zi82eXv5RePZkizvUJNvAwIAtY%25253D%2526t%253D4d5b0474%2526ps%253D13740610%2526shp%253Dd05b14bd%2526shcp%253D34ff8df6%2526idc%253Dmy3%2526s%253DTIKTOK_AFFILIATE_VIRAL_VIDEO%22%2C%22placeholder_product_id%22%3A%221729427766722726591%22%2C%22placeholder_video_id%22%3A%227630794325093272853%22%7D&amp;ec_shared_reflux_scene=shop_tab_feed&amp;share_item_id=7630794325093272853&amp;source=h5_t</v>
      </c>
      <c r="K464" s="464" t="str">
        <f>IFERROR(__xludf.DUMMYFUNCTION("""COMPUTED_VALUE"""),"KIMME")</f>
        <v>KIMME</v>
      </c>
      <c r="L464" s="279" t="str">
        <f>IFERROR(__xludf.DUMMYFUNCTION("""COMPUTED_VALUE"""),"https://www.tiktok.com/@snowme.shop/video/7631031599416478997?_r=1&amp;u_code=dal30337ieiagk&amp;region=&amp;mid=7536222757655350032&amp;preview_pb=0&amp;sharer_language=&amp;_d=0&amp;ec_shared_reflux_dynamic_params=%7B%22placeholder_material_id%22%3A%227631031599416478997%22%2C%22p"&amp;"laceholder_origin_cover%22%3A%22https%253A%252F%252Fp16-common-sign.tiktokcdn.com%252Ftos-alisg-p-0037%252FocfSaMtftpiVQgEo3JRFyEIDBqX85QRm74cABB~tplv-tiktokx-origin.jpeg%253Fdr%253D14572%2526refresh_token%253D0e29f080%2526x-expires%253D1808301600%2526x-s"&amp;"ignature%253Dh0k9TtaXylQxtRPKW8fBJ5N1B%25252Fc%25253D%2526t%253D4d5b0474%2526ps%253D13740610%2526shp%253Dd05b14bd%2526shcp%253D34ff8df6%2526idc%253Dmy3%2526s%253DTIKTOK_AFFILIATE_VIRAL_VIDEO%22%2C%22placeholder_product_id%22%3A%221729427766722726591%22%2C"&amp;"%22placeholder_video_id%22%3A%227631031599416478997%22%7D&amp;ec_shared_reflux_scene=shop_tab_feed&amp;share_item_id=7631031599416478997&amp;source=h5_t")</f>
        <v>https://www.tiktok.com/@snowme.shop/video/7631031599416478997?_r=1&amp;u_code=dal30337ieiagk&amp;region=&amp;mid=7536222757655350032&amp;preview_pb=0&amp;sharer_language=&amp;_d=0&amp;ec_shared_reflux_dynamic_params=%7B%22placeholder_material_id%22%3A%227631031599416478997%22%2C%22placeholder_origin_cover%22%3A%22https%253A%252F%252Fp16-common-sign.tiktokcdn.com%252Ftos-alisg-p-0037%252FocfSaMtftpiVQgEo3JRFyEIDBqX85QRm74cABB~tplv-tiktokx-origin.jpeg%253Fdr%253D14572%2526refresh_token%253D0e29f080%2526x-expires%253D1808301600%2526x-signature%253Dh0k9TtaXylQxtRPKW8fBJ5N1B%25252Fc%25253D%2526t%253D4d5b0474%2526ps%253D13740610%2526shp%253Dd05b14bd%2526shcp%253D34ff8df6%2526idc%253Dmy3%2526s%253DTIKTOK_AFFILIATE_VIRAL_VIDEO%22%2C%22placeholder_product_id%22%3A%221729427766722726591%22%2C%22placeholder_video_id%22%3A%227631031599416478997%22%7D&amp;ec_shared_reflux_scene=shop_tab_feed&amp;share_item_id=7631031599416478997&amp;source=h5_t</v>
      </c>
      <c r="M464" s="464" t="str">
        <f>IFERROR(__xludf.DUMMYFUNCTION("""COMPUTED_VALUE"""),"KIMME")</f>
        <v>KIMME</v>
      </c>
      <c r="N464" s="279" t="str">
        <f>IFERROR(__xludf.DUMMYFUNCTION("""COMPUTED_VALUE"""),"https://www.tiktok.com/@snowme.shop/video/7630633958824332565?_r=1&amp;u_code=dal30337ieiagk&amp;region=&amp;mid=7186103591168658203&amp;preview_pb=0&amp;sharer_language=&amp;_d=0&amp;ec_shared_reflux_dynamic_params=%7B%22placeholder_material_id%22%3A%227630633958824332565%22%2C%22p"&amp;"laceholder_origin_cover%22%3A%22https%253A%252F%252Fp16-common-sign.tiktokcdn.com%252Ftos-alisg-p-0037%252FoQTeQCWKfP4bEzxlDBMAQpy8jeTAdC3IUuQG8s~tplv-tiktokx-origin.jpeg%253Fdr%253D14572%2526refresh_token%253D0ab0d056%2526x-expires%253D1808301600%2526x-s"&amp;"ignature%253DqWYZiUrKVMuiUJenrqRAmHRXqx0%25253D%2526t%253D4d5b0474%2526ps%253D13740610%2526shp%253Dd05b14bd%2526shcp%253D34ff8df6%2526idc%253Dmy3%2526s%253DTIKTOK_AFFILIATE_VIRAL_VIDEO%22%2C%22placeholder_product_id%22%3A%221729427766722726591%22%2C%22pla"&amp;"ceholder_video_id%22%3A%227630633958824332565%22%7D&amp;ec_shared_reflux_scene=shop_tab_feed&amp;share_item_id=7630633958824332565&amp;source=h5_t")</f>
        <v>https://www.tiktok.com/@snowme.shop/video/7630633958824332565?_r=1&amp;u_code=dal30337ieiagk&amp;region=&amp;mid=7186103591168658203&amp;preview_pb=0&amp;sharer_language=&amp;_d=0&amp;ec_shared_reflux_dynamic_params=%7B%22placeholder_material_id%22%3A%227630633958824332565%22%2C%22placeholder_origin_cover%22%3A%22https%253A%252F%252Fp16-common-sign.tiktokcdn.com%252Ftos-alisg-p-0037%252FoQTeQCWKfP4bEzxlDBMAQpy8jeTAdC3IUuQG8s~tplv-tiktokx-origin.jpeg%253Fdr%253D14572%2526refresh_token%253D0ab0d056%2526x-expires%253D1808301600%2526x-signature%253DqWYZiUrKVMuiUJenrqRAmHRXqx0%25253D%2526t%253D4d5b0474%2526ps%253D13740610%2526shp%253Dd05b14bd%2526shcp%253D34ff8df6%2526idc%253Dmy3%2526s%253DTIKTOK_AFFILIATE_VIRAL_VIDEO%22%2C%22placeholder_product_id%22%3A%221729427766722726591%22%2C%22placeholder_video_id%22%3A%227630633958824332565%22%7D&amp;ec_shared_reflux_scene=shop_tab_feed&amp;share_item_id=7630633958824332565&amp;source=h5_t</v>
      </c>
      <c r="O464" s="464" t="str">
        <f>IFERROR(__xludf.DUMMYFUNCTION("""COMPUTED_VALUE"""),"KIMME")</f>
        <v>KIMME</v>
      </c>
      <c r="P464" s="279" t="str">
        <f>IFERROR(__xludf.DUMMYFUNCTION("""COMPUTED_VALUE"""),"https://www.tiktok.com/@snowme.shop/video/7630438601528003861?_r=1&amp;u_code=dal30337ieiagk&amp;region=&amp;mid=7589982206799039240&amp;preview_pb=0&amp;sharer_language=&amp;_d=0&amp;ec_shared_reflux_dynamic_params=%7B%22placeholder_material_id%22%3A%227630438601528003861%22%2C%22p"&amp;"laceholder_origin_cover%22%3A%22https%253A%252F%252Fp16-common-sign.tiktokcdn.com%252Ftos-alisg-p-0037%252Fo0raEWEIIDATfhyfgwF4kT7Hf4b3zIAWDCYjA5~tplv-tiktokx-origin.jpeg%253Fdr%253D14572%2526refresh_token%253D8fdc7341%2526x-expires%253D1808301600%2526x-s"&amp;"ignature%253Dbzrlg3l2qOMg1GJGVdCcD%25252FryNVg%25253D%2526t%253D4d5b0474%2526ps%253D13740610%2526shp%253Dd05b14bd%2526shcp%253D34ff8df6%2526idc%253Dmy3%2526s%253DTIKTOK_AFFILIATE_VIRAL_VIDEO%22%2C%22placeholder_product_id%22%3A%221729427766722726591%22%2C"&amp;"%22placeholder_video_id%22%3A%227630438601528003861%22%7D&amp;ec_shared_reflux_scene=shop_tab_feed&amp;share_item_id=7630438601528003861&amp;source=h5_t")</f>
        <v>https://www.tiktok.com/@snowme.shop/video/7630438601528003861?_r=1&amp;u_code=dal30337ieiagk&amp;region=&amp;mid=7589982206799039240&amp;preview_pb=0&amp;sharer_language=&amp;_d=0&amp;ec_shared_reflux_dynamic_params=%7B%22placeholder_material_id%22%3A%227630438601528003861%22%2C%22placeholder_origin_cover%22%3A%22https%253A%252F%252Fp16-common-sign.tiktokcdn.com%252Ftos-alisg-p-0037%252Fo0raEWEIIDATfhyfgwF4kT7Hf4b3zIAWDCYjA5~tplv-tiktokx-origin.jpeg%253Fdr%253D14572%2526refresh_token%253D8fdc7341%2526x-expires%253D1808301600%2526x-signature%253Dbzrlg3l2qOMg1GJGVdCcD%25252FryNVg%25253D%2526t%253D4d5b0474%2526ps%253D13740610%2526shp%253Dd05b14bd%2526shcp%253D34ff8df6%2526idc%253Dmy3%2526s%253DTIKTOK_AFFILIATE_VIRAL_VIDEO%22%2C%22placeholder_product_id%22%3A%221729427766722726591%22%2C%22placeholder_video_id%22%3A%227630438601528003861%22%7D&amp;ec_shared_reflux_scene=shop_tab_feed&amp;share_item_id=7630438601528003861&amp;source=h5_t</v>
      </c>
    </row>
    <row r="465">
      <c r="A465" s="255" t="str">
        <f>IFERROR(__xludf.DUMMYFUNCTION("""COMPUTED_VALUE"""),"MICRO")</f>
        <v>MICRO</v>
      </c>
      <c r="B465" s="361" t="str">
        <f>IFERROR(__xludf.DUMMYFUNCTION("""COMPUTED_VALUE"""),"harus.laristerus")</f>
        <v>harus.laristerus</v>
      </c>
      <c r="C465" s="257" t="str">
        <f>IFERROR(__xludf.DUMMYFUNCTION("""COMPUTED_VALUE"""),"https://www.tiktok.com/@harus.laristerus")</f>
        <v>https://www.tiktok.com/@harus.laristerus</v>
      </c>
      <c r="D465" s="270">
        <f>IFERROR(__xludf.DUMMYFUNCTION("""COMPUTED_VALUE"""),8.5869207339E10)</f>
        <v>85869207339</v>
      </c>
      <c r="E465" s="457">
        <f>IFERROR(__xludf.DUMMYFUNCTION("""COMPUTED_VALUE"""),0.0)</f>
        <v>0</v>
      </c>
      <c r="F465" s="270">
        <f>IFERROR(__xludf.DUMMYFUNCTION("""COMPUTED_VALUE"""),4.0)</f>
        <v>4</v>
      </c>
      <c r="G465" s="17" t="str">
        <f>IFERROR(__xludf.DUMMYFUNCTION("""COMPUTED_VALUE"""),"Sabun batang 1 Box ( 2 PCS )")</f>
        <v>Sabun batang 1 Box ( 2 PCS )</v>
      </c>
      <c r="H465" s="463" t="str">
        <f>IFERROR(__xludf.DUMMYFUNCTION("""COMPUTED_VALUE"""),"Sampai")</f>
        <v>Sampai</v>
      </c>
      <c r="I465" s="464" t="str">
        <f>IFERROR(__xludf.DUMMYFUNCTION("""COMPUTED_VALUE"""),"KIMME")</f>
        <v>KIMME</v>
      </c>
      <c r="J465" s="279" t="str">
        <f>IFERROR(__xludf.DUMMYFUNCTION("""COMPUTED_VALUE"""),"https://www.tiktok.com/@snowme.shop/video/7630277174750104852?_r=1&amp;u_code=dal30337ieiagk&amp;region=&amp;mid=7613023919407466497&amp;preview_pb=0&amp;sharer_language=&amp;_d=0&amp;ec_shared_reflux_dynamic_params=%7B%22placeholder_material_id%22%3A%227630277174750104852%22%2C%22p"&amp;"laceholder_origin_cover%22%3A%22https%253A%252F%252Fp16-common-sign.tiktokcdn.com%252Ftos-alisg-p-0037%252Fo4jCFLD9BWXen8y8WTXeAy4IGbQIQclMGGYeIA~tplv-tiktokx-origin.jpeg%253Fdr%253D14572%2526refresh_token%253D0716c7ee%2526x-expires%253D1808301600%2526x-s"&amp;"ignature%253DoZAoCDfmq9pb6umc7EAzUxmL18c%25253D%2526t%253D4d5b0474%2526ps%253D13740610%2526shp%253Dd05b14bd%2526shcp%253D34ff8df6%2526idc%253Dmy3%2526s%253DTIKTOK_AFFILIATE_VIRAL_VIDEO%22%2C%22placeholder_product_id%22%3A%221729427766722726591%22%2C%22pla"&amp;"ceholder_video_id%22%3A%227630277174750104852%22%7D&amp;ec_shared_reflux_scene=shop_tab_feed&amp;share_item_id=7630277174750104852&amp;source=h5_t")</f>
        <v>https://www.tiktok.com/@snowme.shop/video/7630277174750104852?_r=1&amp;u_code=dal30337ieiagk&amp;region=&amp;mid=7613023919407466497&amp;preview_pb=0&amp;sharer_language=&amp;_d=0&amp;ec_shared_reflux_dynamic_params=%7B%22placeholder_material_id%22%3A%227630277174750104852%22%2C%22placeholder_origin_cover%22%3A%22https%253A%252F%252Fp16-common-sign.tiktokcdn.com%252Ftos-alisg-p-0037%252Fo4jCFLD9BWXen8y8WTXeAy4IGbQIQclMGGYeIA~tplv-tiktokx-origin.jpeg%253Fdr%253D14572%2526refresh_token%253D0716c7ee%2526x-expires%253D1808301600%2526x-signature%253DoZAoCDfmq9pb6umc7EAzUxmL18c%25253D%2526t%253D4d5b0474%2526ps%253D13740610%2526shp%253Dd05b14bd%2526shcp%253D34ff8df6%2526idc%253Dmy3%2526s%253DTIKTOK_AFFILIATE_VIRAL_VIDEO%22%2C%22placeholder_product_id%22%3A%221729427766722726591%22%2C%22placeholder_video_id%22%3A%227630277174750104852%22%7D&amp;ec_shared_reflux_scene=shop_tab_feed&amp;share_item_id=7630277174750104852&amp;source=h5_t</v>
      </c>
      <c r="K465" s="464" t="str">
        <f>IFERROR(__xludf.DUMMYFUNCTION("""COMPUTED_VALUE"""),"KIMME")</f>
        <v>KIMME</v>
      </c>
      <c r="L465" s="279" t="str">
        <f>IFERROR(__xludf.DUMMYFUNCTION("""COMPUTED_VALUE"""),"https://www.tiktok.com/@snowme.shop/video/7630125936368864532?_r=1&amp;u_code=dal30337ieiagk&amp;region=&amp;mid=7251560934655887361&amp;preview_pb=0&amp;sharer_language=&amp;_d=0&amp;ec_shared_reflux_dynamic_params=%7B%22placeholder_material_id%22%3A%227630125936368864532%22%2C%22p"&amp;"laceholder_origin_cover%22%3A%22https%253A%252F%252Fp16-common-sign.tiktokcdn.com%252Ftos-alisg-p-0037%252Fok22CfphDDjTFesIejEp0QQyxC4QCYjA1dj12A~tplv-tiktokx-origin.jpeg%253Fdr%253D14572%2526refresh_token%253D0e32ba57%2526x-expires%253D1808301600%2526x-s"&amp;"ignature%253DhBzux3%25252BBASrwmblFzMZcbsTIf38%25253D%2526t%253D4d5b0474%2526ps%253D13740610%2526shp%253Dd05b14bd%2526shcp%253D34ff8df6%2526idc%253Dmy3%2526s%253DTIKTOK_AFFILIATE_VIRAL_VIDEO%22%2C%22placeholder_product_id%22%3A%221729427766722726591%22%2C"&amp;"%22placeholder_video_id%22%3A%227630125936368864532%22%7D&amp;ec_shared_reflux_scene=shop_tab_feed&amp;share_item_id=7630125936368864532&amp;source=h5_t")</f>
        <v>https://www.tiktok.com/@snowme.shop/video/7630125936368864532?_r=1&amp;u_code=dal30337ieiagk&amp;region=&amp;mid=7251560934655887361&amp;preview_pb=0&amp;sharer_language=&amp;_d=0&amp;ec_shared_reflux_dynamic_params=%7B%22placeholder_material_id%22%3A%227630125936368864532%22%2C%22placeholder_origin_cover%22%3A%22https%253A%252F%252Fp16-common-sign.tiktokcdn.com%252Ftos-alisg-p-0037%252Fok22CfphDDjTFesIejEp0QQyxC4QCYjA1dj12A~tplv-tiktokx-origin.jpeg%253Fdr%253D14572%2526refresh_token%253D0e32ba57%2526x-expires%253D1808301600%2526x-signature%253DhBzux3%25252BBASrwmblFzMZcbsTIf38%25253D%2526t%253D4d5b0474%2526ps%253D13740610%2526shp%253Dd05b14bd%2526shcp%253D34ff8df6%2526idc%253Dmy3%2526s%253DTIKTOK_AFFILIATE_VIRAL_VIDEO%22%2C%22placeholder_product_id%22%3A%221729427766722726591%22%2C%22placeholder_video_id%22%3A%227630125936368864532%22%7D&amp;ec_shared_reflux_scene=shop_tab_feed&amp;share_item_id=7630125936368864532&amp;source=h5_t</v>
      </c>
      <c r="M465" s="464" t="str">
        <f>IFERROR(__xludf.DUMMYFUNCTION("""COMPUTED_VALUE"""),"KIMME")</f>
        <v>KIMME</v>
      </c>
      <c r="N465" s="279" t="str">
        <f>IFERROR(__xludf.DUMMYFUNCTION("""COMPUTED_VALUE"""),"https://www.tiktok.com/@snowme.shop/video/7629990550870986004?_r=1&amp;u_code=dal30337ieiagk&amp;region=&amp;mid=7623981356443306753&amp;preview_pb=0&amp;sharer_language=&amp;_d=0&amp;ec_shared_reflux_dynamic_params=%7B%22placeholder_material_id%22%3A%227629990550870986004%22%2C%22p"&amp;"laceholder_origin_cover%22%3A%22https%253A%252F%252Fp16-sign-sg.tiktokcdn.com%252Ftos-alisg-p-0037%252FoQSjh1XiQoIUBIMI7Ai0ALjBwruQTAbAfZ8CV2~tplv-tiktokx-origin.jpeg%253Fdr%253D14572%2526refresh_token%253D1cdd386c%2526x-expires%253D1808301600%2526x-signa"&amp;"ture%253DNSmthOu0YtjuFjvFueU3%25252B55DLgA%25253D%2526t%253D4d5b0474%2526ps%253D13740610%2526shp%253Dd05b14bd%2526shcp%253D34ff8df6%2526idc%253Dmy3%2526s%253DTIKTOK_AFFILIATE_VIRAL_VIDEO%22%2C%22placeholder_product_id%22%3A%221729427766722726591%22%2C%22p"&amp;"laceholder_video_id%22%3A%227629990550870986004%22%7D&amp;ec_shared_reflux_scene=shop_tab_feed&amp;share_item_id=7629990550870986004&amp;source=h5_t")</f>
        <v>https://www.tiktok.com/@snowme.shop/video/7629990550870986004?_r=1&amp;u_code=dal30337ieiagk&amp;region=&amp;mid=7623981356443306753&amp;preview_pb=0&amp;sharer_language=&amp;_d=0&amp;ec_shared_reflux_dynamic_params=%7B%22placeholder_material_id%22%3A%227629990550870986004%22%2C%22placeholder_origin_cover%22%3A%22https%253A%252F%252Fp16-sign-sg.tiktokcdn.com%252Ftos-alisg-p-0037%252FoQSjh1XiQoIUBIMI7Ai0ALjBwruQTAbAfZ8CV2~tplv-tiktokx-origin.jpeg%253Fdr%253D14572%2526refresh_token%253D1cdd386c%2526x-expires%253D1808301600%2526x-signature%253DNSmthOu0YtjuFjvFueU3%25252B55DLgA%25253D%2526t%253D4d5b0474%2526ps%253D13740610%2526shp%253Dd05b14bd%2526shcp%253D34ff8df6%2526idc%253Dmy3%2526s%253DTIKTOK_AFFILIATE_VIRAL_VIDEO%22%2C%22placeholder_product_id%22%3A%221729427766722726591%22%2C%22placeholder_video_id%22%3A%227629990550870986004%22%7D&amp;ec_shared_reflux_scene=shop_tab_feed&amp;share_item_id=7629990550870986004&amp;source=h5_t</v>
      </c>
      <c r="O465" s="464" t="str">
        <f>IFERROR(__xludf.DUMMYFUNCTION("""COMPUTED_VALUE"""),"KIMME")</f>
        <v>KIMME</v>
      </c>
      <c r="P465" s="279" t="str">
        <f>IFERROR(__xludf.DUMMYFUNCTION("""COMPUTED_VALUE"""),"https://www.tiktok.com/@snowme.shop/video/7629933172213517589?_r=1&amp;u_code=dal30337ieiagk&amp;region=&amp;mid=7556779493556063032&amp;preview_pb=0&amp;sharer_language=&amp;_d=0&amp;ec_shared_reflux_dynamic_params=%7B%22placeholder_material_id%22%3A%227629933172213517589%22%2C%22p"&amp;"laceholder_origin_cover%22%3A%22https%253A%252F%252Fp16-common-sign.tiktokcdn.com%252Ftos-alisg-p-0037%252FosKlRYiEGwUfufPf9ABeVIyiIAmnFzDY0H9GFF~tplv-tiktokx-origin.jpeg%253Fdr%253D14572%2526refresh_token%253D924f66cf%2526x-expires%253D1808301600%2526x-s"&amp;"ignature%253DMK1GRFIGT%25252BbqaI3X61XKArXnj5M%25253D%2526t%253D4d5b0474%2526ps%253D13740610%2526shp%253Dd05b14bd%2526shcp%253D34ff8df6%2526idc%253Dmy3%2526s%253DTIKTOK_AFFILIATE_VIRAL_VIDEO%22%2C%22placeholder_product_id%22%3A%221729427766722726591%22%2C"&amp;"%22placeholder_video_id%22%3A%227629933172213517589%22%7D&amp;ec_shared_reflux_scene=shop_tab_feed&amp;share_item_id=7629933172213517589&amp;source=h5_t")</f>
        <v>https://www.tiktok.com/@snowme.shop/video/7629933172213517589?_r=1&amp;u_code=dal30337ieiagk&amp;region=&amp;mid=7556779493556063032&amp;preview_pb=0&amp;sharer_language=&amp;_d=0&amp;ec_shared_reflux_dynamic_params=%7B%22placeholder_material_id%22%3A%227629933172213517589%22%2C%22placeholder_origin_cover%22%3A%22https%253A%252F%252Fp16-common-sign.tiktokcdn.com%252Ftos-alisg-p-0037%252FosKlRYiEGwUfufPf9ABeVIyiIAmnFzDY0H9GFF~tplv-tiktokx-origin.jpeg%253Fdr%253D14572%2526refresh_token%253D924f66cf%2526x-expires%253D1808301600%2526x-signature%253DMK1GRFIGT%25252BbqaI3X61XKArXnj5M%25253D%2526t%253D4d5b0474%2526ps%253D13740610%2526shp%253Dd05b14bd%2526shcp%253D34ff8df6%2526idc%253Dmy3%2526s%253DTIKTOK_AFFILIATE_VIRAL_VIDEO%22%2C%22placeholder_product_id%22%3A%221729427766722726591%22%2C%22placeholder_video_id%22%3A%227629933172213517589%22%7D&amp;ec_shared_reflux_scene=shop_tab_feed&amp;share_item_id=7629933172213517589&amp;source=h5_t</v>
      </c>
    </row>
    <row r="466">
      <c r="A466" s="255" t="str">
        <f>IFERROR(__xludf.DUMMYFUNCTION("""COMPUTED_VALUE"""),"MICRO")</f>
        <v>MICRO</v>
      </c>
      <c r="B466" s="361" t="str">
        <f>IFERROR(__xludf.DUMMYFUNCTION("""COMPUTED_VALUE"""),"zombiemanboxing")</f>
        <v>zombiemanboxing</v>
      </c>
      <c r="C466" s="257" t="str">
        <f>IFERROR(__xludf.DUMMYFUNCTION("""COMPUTED_VALUE"""),"https://www.tiktok.com/@zombiemanboxing")</f>
        <v>https://www.tiktok.com/@zombiemanboxing</v>
      </c>
      <c r="D466" s="270">
        <f>IFERROR(__xludf.DUMMYFUNCTION("""COMPUTED_VALUE"""),8.5157755317E10)</f>
        <v>85157755317</v>
      </c>
      <c r="E466" s="457">
        <f>IFERROR(__xludf.DUMMYFUNCTION("""COMPUTED_VALUE"""),0.0)</f>
        <v>0</v>
      </c>
      <c r="F466" s="270">
        <f>IFERROR(__xludf.DUMMYFUNCTION("""COMPUTED_VALUE"""),4.0)</f>
        <v>4</v>
      </c>
      <c r="G466" s="17" t="str">
        <f>IFERROR(__xludf.DUMMYFUNCTION("""COMPUTED_VALUE"""),"Sabun batang 1 Box ( 2 PCS )")</f>
        <v>Sabun batang 1 Box ( 2 PCS )</v>
      </c>
      <c r="H466" s="463" t="str">
        <f>IFERROR(__xludf.DUMMYFUNCTION("""COMPUTED_VALUE"""),"Sampai")</f>
        <v>Sampai</v>
      </c>
      <c r="I466" s="464" t="str">
        <f>IFERROR(__xludf.DUMMYFUNCTION("""COMPUTED_VALUE"""),"KIMME")</f>
        <v>KIMME</v>
      </c>
      <c r="J466" s="279" t="str">
        <f>IFERROR(__xludf.DUMMYFUNCTION("""COMPUTED_VALUE"""),"https://www.tiktok.com/@snowme.shop/video/7629676981843430677?_r=1&amp;u_code=dal30337ieiagk&amp;region=&amp;mid=7587701744642706193&amp;preview_pb=0&amp;sharer_language=&amp;_d=0&amp;ec_shared_reflux_dynamic_params=%7B%22placeholder_material_id%22%3A%227629676981843430677%22%2C%22p"&amp;"laceholder_origin_cover%22%3A%22https%253A%252F%252Fp16-common-sign.tiktokcdn.com%252Ftos-alisg-p-0037%252FoYDeiFXEEIrIgk4tgif6hVnARcFRpDc2BBMtBc~tplv-tiktokx-origin.jpeg%253Fdr%253D14572%2526refresh_token%253D46fdf889%2526x-expires%253D1808301600%2526x-s"&amp;"ignature%253DVwQFoQyocrRoNctxNRhXPwlNQ0I%25253D%2526t%253D4d5b0474%2526ps%253D13740610%2526shp%253Dd05b14bd%2526shcp%253D34ff8df6%2526idc%253Dmy3%2526s%253DTIKTOK_AFFILIATE_VIRAL_VIDEO%22%2C%22placeholder_product_id%22%3A%221729427766722726591%22%2C%22pla"&amp;"ceholder_video_id%22%3A%227629676981843430677%22%7D&amp;ec_shared_reflux_scene=shop_tab_feed&amp;share_item_id=7629676981843430677&amp;source=h5_t")</f>
        <v>https://www.tiktok.com/@snowme.shop/video/7629676981843430677?_r=1&amp;u_code=dal30337ieiagk&amp;region=&amp;mid=7587701744642706193&amp;preview_pb=0&amp;sharer_language=&amp;_d=0&amp;ec_shared_reflux_dynamic_params=%7B%22placeholder_material_id%22%3A%227629676981843430677%22%2C%22placeholder_origin_cover%22%3A%22https%253A%252F%252Fp16-common-sign.tiktokcdn.com%252Ftos-alisg-p-0037%252FoYDeiFXEEIrIgk4tgif6hVnARcFRpDc2BBMtBc~tplv-tiktokx-origin.jpeg%253Fdr%253D14572%2526refresh_token%253D46fdf889%2526x-expires%253D1808301600%2526x-signature%253DVwQFoQyocrRoNctxNRhXPwlNQ0I%25253D%2526t%253D4d5b0474%2526ps%253D13740610%2526shp%253Dd05b14bd%2526shcp%253D34ff8df6%2526idc%253Dmy3%2526s%253DTIKTOK_AFFILIATE_VIRAL_VIDEO%22%2C%22placeholder_product_id%22%3A%221729427766722726591%22%2C%22placeholder_video_id%22%3A%227629676981843430677%22%7D&amp;ec_shared_reflux_scene=shop_tab_feed&amp;share_item_id=7629676981843430677&amp;source=h5_t</v>
      </c>
      <c r="K466" s="464" t="str">
        <f>IFERROR(__xludf.DUMMYFUNCTION("""COMPUTED_VALUE"""),"KIMME")</f>
        <v>KIMME</v>
      </c>
      <c r="L466" s="279" t="str">
        <f>IFERROR(__xludf.DUMMYFUNCTION("""COMPUTED_VALUE"""),"https://www.tiktok.com/@snowme.shop/video/7629622141033401620?_r=1&amp;u_code=dal30337ieiagk&amp;region=&amp;mid=7624962261542603527&amp;preview_pb=0&amp;sharer_language=&amp;_d=0&amp;ec_shared_reflux_dynamic_params=%7B%22placeholder_material_id%22%3A%227629622141033401620%22%2C%22p"&amp;"laceholder_origin_cover%22%3A%22https%253A%252F%252Fp16-common-sign.tiktokcdn.com%252Ftos-alisg-p-0037%252FoQcw9APSueIBX3IjC5wJIyii4JMyp0hPByAHAJ~tplv-tiktokx-origin.jpeg%253Fdr%253D14572%2526refresh_token%253Dca19fcac%2526x-expires%253D1808301600%2526x-s"&amp;"ignature%253DzLed4F27lrHaZj0AV%25252BHHM6Y2l24%25253D%2526t%253D4d5b0474%2526ps%253D13740610%2526shp%253Dd05b14bd%2526shcp%253D34ff8df6%2526idc%253Dmy3%2526s%253DTIKTOK_AFFILIATE_VIRAL_VIDEO%22%2C%22placeholder_product_id%22%3A%221729427766722726591%22%2C"&amp;"%22placeholder_video_id%22%3A%227629622141033401620%22%7D&amp;ec_shared_reflux_scene=shop_tab_feed&amp;share_item_id=7629622141033401620&amp;source=h5_t")</f>
        <v>https://www.tiktok.com/@snowme.shop/video/7629622141033401620?_r=1&amp;u_code=dal30337ieiagk&amp;region=&amp;mid=7624962261542603527&amp;preview_pb=0&amp;sharer_language=&amp;_d=0&amp;ec_shared_reflux_dynamic_params=%7B%22placeholder_material_id%22%3A%227629622141033401620%22%2C%22placeholder_origin_cover%22%3A%22https%253A%252F%252Fp16-common-sign.tiktokcdn.com%252Ftos-alisg-p-0037%252FoQcw9APSueIBX3IjC5wJIyii4JMyp0hPByAHAJ~tplv-tiktokx-origin.jpeg%253Fdr%253D14572%2526refresh_token%253Dca19fcac%2526x-expires%253D1808301600%2526x-signature%253DzLed4F27lrHaZj0AV%25252BHHM6Y2l24%25253D%2526t%253D4d5b0474%2526ps%253D13740610%2526shp%253Dd05b14bd%2526shcp%253D34ff8df6%2526idc%253Dmy3%2526s%253DTIKTOK_AFFILIATE_VIRAL_VIDEO%22%2C%22placeholder_product_id%22%3A%221729427766722726591%22%2C%22placeholder_video_id%22%3A%227629622141033401620%22%7D&amp;ec_shared_reflux_scene=shop_tab_feed&amp;share_item_id=7629622141033401620&amp;source=h5_t</v>
      </c>
      <c r="M466" s="464" t="str">
        <f>IFERROR(__xludf.DUMMYFUNCTION("""COMPUTED_VALUE"""),"KIMME")</f>
        <v>KIMME</v>
      </c>
      <c r="N466" s="279" t="str">
        <f>IFERROR(__xludf.DUMMYFUNCTION("""COMPUTED_VALUE"""),"https://www.tiktok.com/@snowme.shop/video/7629345067894918420?_r=1&amp;u_code=dal30337ieiagk&amp;region=&amp;mid=7625116600089266952&amp;preview_pb=0&amp;sharer_language=&amp;_d=0&amp;ec_shared_reflux_dynamic_params=%7B%22placeholder_material_id%22%3A%227629345067894918420%22%2C%22p"&amp;"laceholder_origin_cover%22%3A%22https%253A%252F%252Fp16-common-sign.tiktokcdn.com%252Ftos-alisg-p-0037%252FoAfDQcEDm5fBbzSC4pOgEsiQPsFhMRA4cbBPxg~tplv-tiktokx-origin.jpeg%253Fdr%253D14572%2526refresh_token%253Deb6ca669%2526x-expires%253D1808301600%2526x-s"&amp;"ignature%253DyOsnaY2f85mvRyLw4wYeVXUvYCc%25253D%2526t%253D4d5b0474%2526ps%253D13740610%2526shp%253Dd05b14bd%2526shcp%253D34ff8df6%2526idc%253Dmy3%2526s%253DTIKTOK_AFFILIATE_VIRAL_VIDEO%22%2C%22placeholder_product_id%22%3A%221729427766722726591%22%2C%22pla"&amp;"ceholder_video_id%22%3A%227629345067894918420%22%7D&amp;ec_shared_reflux_scene=shop_tab_feed&amp;share_item_id=7629345067894918420&amp;source=h5_t")</f>
        <v>https://www.tiktok.com/@snowme.shop/video/7629345067894918420?_r=1&amp;u_code=dal30337ieiagk&amp;region=&amp;mid=7625116600089266952&amp;preview_pb=0&amp;sharer_language=&amp;_d=0&amp;ec_shared_reflux_dynamic_params=%7B%22placeholder_material_id%22%3A%227629345067894918420%22%2C%22placeholder_origin_cover%22%3A%22https%253A%252F%252Fp16-common-sign.tiktokcdn.com%252Ftos-alisg-p-0037%252FoAfDQcEDm5fBbzSC4pOgEsiQPsFhMRA4cbBPxg~tplv-tiktokx-origin.jpeg%253Fdr%253D14572%2526refresh_token%253Deb6ca669%2526x-expires%253D1808301600%2526x-signature%253DyOsnaY2f85mvRyLw4wYeVXUvYCc%25253D%2526t%253D4d5b0474%2526ps%253D13740610%2526shp%253Dd05b14bd%2526shcp%253D34ff8df6%2526idc%253Dmy3%2526s%253DTIKTOK_AFFILIATE_VIRAL_VIDEO%22%2C%22placeholder_product_id%22%3A%221729427766722726591%22%2C%22placeholder_video_id%22%3A%227629345067894918420%22%7D&amp;ec_shared_reflux_scene=shop_tab_feed&amp;share_item_id=7629345067894918420&amp;source=h5_t</v>
      </c>
      <c r="O466" s="464" t="str">
        <f>IFERROR(__xludf.DUMMYFUNCTION("""COMPUTED_VALUE"""),"KIMME")</f>
        <v>KIMME</v>
      </c>
      <c r="P466" s="279" t="str">
        <f>IFERROR(__xludf.DUMMYFUNCTION("""COMPUTED_VALUE"""),"https://www.tiktok.com/@snowme.shop/video/7627461429003603220?_r=1&amp;u_code=dal30337ieiagk&amp;region=&amp;mid=6572215486551952130&amp;preview_pb=0&amp;sharer_language=&amp;_d=0&amp;ec_shared_reflux_dynamic_params=%7B%22placeholder_material_id%22%3A%227627461429003603220%22%2C%22p"&amp;"laceholder_origin_cover%22%3A%22https%253A%252F%252Fp19-common-sign.tiktokcdn.com%252Ftos-alisg-p-0037%252Fo4FTCaZfIh8LK3LA7AnQtijpj9oUGDAeIeoQx4~tplv-tiktokx-origin.jpeg%253Fdr%253D14572%2526refresh_token%253Dfe18dad6%2526x-expires%253D1808301600%2526x-s"&amp;"ignature%253DNEn7%25252FLGdCGjl5MVTkLBJMJ%25252FuVY4%25253D%2526t%253D4d5b0474%2526ps%253D13740610%2526shp%253Dd05b14bd%2526shcp%253D34ff8df6%2526idc%253Dmy3%2526s%253DTIKTOK_AFFILIATE_VIRAL_VIDEO%22%2C%22placeholder_product_id%22%3A%221729427766722726591"&amp;"%22%2C%22placeholder_video_id%22%3A%227627461429003603220%22%7D&amp;ec_shared_reflux_scene=shop_tab_feed&amp;share_item_id=7627461429003603220&amp;source=h5_t")</f>
        <v>https://www.tiktok.com/@snowme.shop/video/7627461429003603220?_r=1&amp;u_code=dal30337ieiagk&amp;region=&amp;mid=6572215486551952130&amp;preview_pb=0&amp;sharer_language=&amp;_d=0&amp;ec_shared_reflux_dynamic_params=%7B%22placeholder_material_id%22%3A%227627461429003603220%22%2C%22placeholder_origin_cover%22%3A%22https%253A%252F%252Fp19-common-sign.tiktokcdn.com%252Ftos-alisg-p-0037%252Fo4FTCaZfIh8LK3LA7AnQtijpj9oUGDAeIeoQx4~tplv-tiktokx-origin.jpeg%253Fdr%253D14572%2526refresh_token%253Dfe18dad6%2526x-expires%253D1808301600%2526x-signature%253DNEn7%25252FLGdCGjl5MVTkLBJMJ%25252FuVY4%25253D%2526t%253D4d5b0474%2526ps%253D13740610%2526shp%253Dd05b14bd%2526shcp%253D34ff8df6%2526idc%253Dmy3%2526s%253DTIKTOK_AFFILIATE_VIRAL_VIDEO%22%2C%22placeholder_product_id%22%3A%221729427766722726591%22%2C%22placeholder_video_id%22%3A%227627461429003603220%22%7D&amp;ec_shared_reflux_scene=shop_tab_feed&amp;share_item_id=7627461429003603220&amp;source=h5_t</v>
      </c>
    </row>
    <row r="467">
      <c r="A467" s="255" t="str">
        <f>IFERROR(__xludf.DUMMYFUNCTION("""COMPUTED_VALUE"""),"MACRO")</f>
        <v>MACRO</v>
      </c>
      <c r="B467" s="361" t="str">
        <f>IFERROR(__xludf.DUMMYFUNCTION("""COMPUTED_VALUE"""),"itzzzjayy2")</f>
        <v>itzzzjayy2</v>
      </c>
      <c r="C467" s="257" t="str">
        <f>IFERROR(__xludf.DUMMYFUNCTION("""COMPUTED_VALUE"""),"https://www.tiktok.com/@itzzzjayy2")</f>
        <v>https://www.tiktok.com/@itzzzjayy2</v>
      </c>
      <c r="D467" s="270">
        <f>IFERROR(__xludf.DUMMYFUNCTION("""COMPUTED_VALUE"""),8.5267097765E10)</f>
        <v>85267097765</v>
      </c>
      <c r="E467" s="457">
        <f>IFERROR(__xludf.DUMMYFUNCTION("""COMPUTED_VALUE"""),0.0)</f>
        <v>0</v>
      </c>
      <c r="F467" s="270">
        <f>IFERROR(__xludf.DUMMYFUNCTION("""COMPUTED_VALUE"""),1.0)</f>
        <v>1</v>
      </c>
      <c r="G467" s="17" t="str">
        <f>IFERROR(__xludf.DUMMYFUNCTION("""COMPUTED_VALUE"""),"Sabun batang 1 Box ( 2 PCS )")</f>
        <v>Sabun batang 1 Box ( 2 PCS )</v>
      </c>
      <c r="H467" s="463" t="str">
        <f>IFERROR(__xludf.DUMMYFUNCTION("""COMPUTED_VALUE"""),"Sampai")</f>
        <v>Sampai</v>
      </c>
      <c r="I467" s="464" t="str">
        <f>IFERROR(__xludf.DUMMYFUNCTION("""COMPUTED_VALUE"""),"KIMME")</f>
        <v>KIMME</v>
      </c>
      <c r="J467" s="279" t="str">
        <f>IFERROR(__xludf.DUMMYFUNCTION("""COMPUTED_VALUE"""),"https://www.tiktok.com/@snowme.shop/video/7629259814828330260?_r=1&amp;u_code=dal30337ieiagk&amp;region=&amp;mid=7624394480175287047&amp;preview_pb=0&amp;sharer_language=&amp;_d=0&amp;ec_shared_reflux_dynamic_params=%7B%22placeholder_material_id%22%3A%227629259814828330260%22%2C%22p"&amp;"laceholder_origin_cover%22%3A%22https%253A%252F%252Fp16-common-sign.tiktokcdn.com%252Ftos-alisg-p-0037%252FoEBxg2fmB2DE0iVCRg1AAuuZi8IAkIIwIOTAz8~tplv-tiktokx-origin.jpeg%253Fdr%253D14572%2526refresh_token%253D9e8d5494%2526x-expires%253D1808301600%2526x-s"&amp;"ignature%253Dgxj7HfnECCm7mXpNZmtgepYLxfY%25253D%2526t%253D4d5b0474%2526ps%253D13740610%2526shp%253Dd05b14bd%2526shcp%253D34ff8df6%2526idc%253Dmy3%2526s%253DTIKTOK_AFFILIATE_VIRAL_VIDEO%22%2C%22placeholder_product_id%22%3A%221729427766722726591%22%2C%22pla"&amp;"ceholder_video_id%22%3A%227629259814828330260%22%7D&amp;ec_shared_reflux_scene=shop_tab_feed&amp;share_item_id=7629259814828330260&amp;source=h5_t")</f>
        <v>https://www.tiktok.com/@snowme.shop/video/7629259814828330260?_r=1&amp;u_code=dal30337ieiagk&amp;region=&amp;mid=7624394480175287047&amp;preview_pb=0&amp;sharer_language=&amp;_d=0&amp;ec_shared_reflux_dynamic_params=%7B%22placeholder_material_id%22%3A%227629259814828330260%22%2C%22placeholder_origin_cover%22%3A%22https%253A%252F%252Fp16-common-sign.tiktokcdn.com%252Ftos-alisg-p-0037%252FoEBxg2fmB2DE0iVCRg1AAuuZi8IAkIIwIOTAz8~tplv-tiktokx-origin.jpeg%253Fdr%253D14572%2526refresh_token%253D9e8d5494%2526x-expires%253D1808301600%2526x-signature%253Dgxj7HfnECCm7mXpNZmtgepYLxfY%25253D%2526t%253D4d5b0474%2526ps%253D13740610%2526shp%253Dd05b14bd%2526shcp%253D34ff8df6%2526idc%253Dmy3%2526s%253DTIKTOK_AFFILIATE_VIRAL_VIDEO%22%2C%22placeholder_product_id%22%3A%221729427766722726591%22%2C%22placeholder_video_id%22%3A%227629259814828330260%22%7D&amp;ec_shared_reflux_scene=shop_tab_feed&amp;share_item_id=7629259814828330260&amp;source=h5_t</v>
      </c>
      <c r="K467" s="464" t="str">
        <f>IFERROR(__xludf.DUMMYFUNCTION("""COMPUTED_VALUE"""),"KIMME")</f>
        <v>KIMME</v>
      </c>
      <c r="L467" s="279" t="str">
        <f>IFERROR(__xludf.DUMMYFUNCTION("""COMPUTED_VALUE"""),"https://vt.tiktok.com/ZSxSxWFGY/")</f>
        <v>https://vt.tiktok.com/ZSxSxWFGY/</v>
      </c>
      <c r="M467" s="464"/>
      <c r="N467" s="17"/>
      <c r="O467" s="464"/>
      <c r="P467" s="17"/>
    </row>
    <row r="468">
      <c r="A468" s="255" t="str">
        <f>IFERROR(__xludf.DUMMYFUNCTION("""COMPUTED_VALUE"""),"MICRO")</f>
        <v>MICRO</v>
      </c>
      <c r="B468" s="361" t="str">
        <f>IFERROR(__xludf.DUMMYFUNCTION("""COMPUTED_VALUE"""),"nikitakimberlyh")</f>
        <v>nikitakimberlyh</v>
      </c>
      <c r="C468" s="257" t="str">
        <f>IFERROR(__xludf.DUMMYFUNCTION("""COMPUTED_VALUE"""),"https://www.tiktok.com/@nikitakimberlyh")</f>
        <v>https://www.tiktok.com/@nikitakimberlyh</v>
      </c>
      <c r="D468" s="270">
        <f>IFERROR(__xludf.DUMMYFUNCTION("""COMPUTED_VALUE"""),8.7855797765E10)</f>
        <v>87855797765</v>
      </c>
      <c r="E468" s="457">
        <f>IFERROR(__xludf.DUMMYFUNCTION("""COMPUTED_VALUE"""),0.0)</f>
        <v>0</v>
      </c>
      <c r="F468" s="270">
        <f>IFERROR(__xludf.DUMMYFUNCTION("""COMPUTED_VALUE"""),4.0)</f>
        <v>4</v>
      </c>
      <c r="G468" s="17" t="str">
        <f>IFERROR(__xludf.DUMMYFUNCTION("""COMPUTED_VALUE"""),"Sabun batang 1 Box ( 2 PCS )")</f>
        <v>Sabun batang 1 Box ( 2 PCS )</v>
      </c>
      <c r="H468" s="463" t="str">
        <f>IFERROR(__xludf.DUMMYFUNCTION("""COMPUTED_VALUE"""),"Sampai")</f>
        <v>Sampai</v>
      </c>
      <c r="I468" s="464" t="str">
        <f>IFERROR(__xludf.DUMMYFUNCTION("""COMPUTED_VALUE"""),"KIMME")</f>
        <v>KIMME</v>
      </c>
      <c r="J468" s="279" t="str">
        <f>IFERROR(__xludf.DUMMYFUNCTION("""COMPUTED_VALUE"""),"https://www.tiktok.com/@snowme.shop/video/7629143314532453653?_r=1&amp;u_code=dal30337ieiagk&amp;region=&amp;mid=7534219482588302086&amp;preview_pb=0&amp;sharer_language=&amp;_d=0&amp;ec_shared_reflux_dynamic_params=%7B%22placeholder_material_id%22%3A%227629143314532453653%22%2C%22p"&amp;"laceholder_origin_cover%22%3A%22https%253A%252F%252Fp16-common-sign.tiktokcdn.com%252Ftos-alisg-p-0037%252FoYIlg0NC9ABPcwIGxiIAHiiASKBnU8B3pfMtXu~tplv-tiktokx-origin.jpeg%253Fdr%253D14572%2526refresh_token%253D75c3e23a%2526x-expires%253D1808301600%2526x-s"&amp;"ignature%253DaUzdfoRSQ3UzKfUqXZioU7Vk2mg%25253D%2526t%253D4d5b0474%2526ps%253D13740610%2526shp%253Dd05b14bd%2526shcp%253D34ff8df6%2526idc%253Dmy3%2526s%253DTIKTOK_AFFILIATE_VIRAL_VIDEO%22%2C%22placeholder_product_id%22%3A%221729427766722726591%22%2C%22pla"&amp;"ceholder_video_id%22%3A%227629143314532453653%22%7D&amp;ec_shared_reflux_scene=shop_tab_feed&amp;share_item_id=7629143314532453653&amp;source=h5_t")</f>
        <v>https://www.tiktok.com/@snowme.shop/video/7629143314532453653?_r=1&amp;u_code=dal30337ieiagk&amp;region=&amp;mid=7534219482588302086&amp;preview_pb=0&amp;sharer_language=&amp;_d=0&amp;ec_shared_reflux_dynamic_params=%7B%22placeholder_material_id%22%3A%227629143314532453653%22%2C%22placeholder_origin_cover%22%3A%22https%253A%252F%252Fp16-common-sign.tiktokcdn.com%252Ftos-alisg-p-0037%252FoYIlg0NC9ABPcwIGxiIAHiiASKBnU8B3pfMtXu~tplv-tiktokx-origin.jpeg%253Fdr%253D14572%2526refresh_token%253D75c3e23a%2526x-expires%253D1808301600%2526x-signature%253DaUzdfoRSQ3UzKfUqXZioU7Vk2mg%25253D%2526t%253D4d5b0474%2526ps%253D13740610%2526shp%253Dd05b14bd%2526shcp%253D34ff8df6%2526idc%253Dmy3%2526s%253DTIKTOK_AFFILIATE_VIRAL_VIDEO%22%2C%22placeholder_product_id%22%3A%221729427766722726591%22%2C%22placeholder_video_id%22%3A%227629143314532453653%22%7D&amp;ec_shared_reflux_scene=shop_tab_feed&amp;share_item_id=7629143314532453653&amp;source=h5_t</v>
      </c>
      <c r="K468" s="464" t="str">
        <f>IFERROR(__xludf.DUMMYFUNCTION("""COMPUTED_VALUE"""),"KIMME")</f>
        <v>KIMME</v>
      </c>
      <c r="L468" s="279" t="str">
        <f>IFERROR(__xludf.DUMMYFUNCTION("""COMPUTED_VALUE"""),"https://www.tiktok.com/@snowme.shop/video/7629142041108303125?_r=1&amp;u_code=dal30337ieiagk&amp;region=&amp;mid=7522454204213168918&amp;preview_pb=0&amp;sharer_language=&amp;_d=0&amp;ec_shared_reflux_dynamic_params=%7B%22placeholder_material_id%22%3A%227629142041108303125%22%2C%22p"&amp;"laceholder_origin_cover%22%3A%22https%253A%252F%252Fp16-common-sign.tiktokcdn.com%252Ftos-alisg-p-0037%252FoI85K0U3fAAyAJBdCFUgQ2IwDiIDB8W9XuiIAN~tplv-tiktokx-origin.jpeg%253Fdr%253D14572%2526refresh_token%253D464e7530%2526x-expires%253D1808301600%2526x-s"&amp;"ignature%253D0M5gJTISReBiaO4mjJ5wINxxxgI%25253D%2526t%253D4d5b0474%2526ps%253D13740610%2526shp%253Dd05b14bd%2526shcp%253D34ff8df6%2526idc%253Dmy3%2526s%253DTIKTOK_AFFILIATE_VIRAL_VIDEO%22%2C%22placeholder_product_id%22%3A%221729427766722726591%22%2C%22pla"&amp;"ceholder_video_id%22%3A%227629142041108303125%22%7D&amp;ec_shared_reflux_scene=shop_tab_feed&amp;share_item_id=7629142041108303125&amp;source=h5_t")</f>
        <v>https://www.tiktok.com/@snowme.shop/video/7629142041108303125?_r=1&amp;u_code=dal30337ieiagk&amp;region=&amp;mid=7522454204213168918&amp;preview_pb=0&amp;sharer_language=&amp;_d=0&amp;ec_shared_reflux_dynamic_params=%7B%22placeholder_material_id%22%3A%227629142041108303125%22%2C%22placeholder_origin_cover%22%3A%22https%253A%252F%252Fp16-common-sign.tiktokcdn.com%252Ftos-alisg-p-0037%252FoI85K0U3fAAyAJBdCFUgQ2IwDiIDB8W9XuiIAN~tplv-tiktokx-origin.jpeg%253Fdr%253D14572%2526refresh_token%253D464e7530%2526x-expires%253D1808301600%2526x-signature%253D0M5gJTISReBiaO4mjJ5wINxxxgI%25253D%2526t%253D4d5b0474%2526ps%253D13740610%2526shp%253Dd05b14bd%2526shcp%253D34ff8df6%2526idc%253Dmy3%2526s%253DTIKTOK_AFFILIATE_VIRAL_VIDEO%22%2C%22placeholder_product_id%22%3A%221729427766722726591%22%2C%22placeholder_video_id%22%3A%227629142041108303125%22%7D&amp;ec_shared_reflux_scene=shop_tab_feed&amp;share_item_id=7629142041108303125&amp;source=h5_t</v>
      </c>
      <c r="M468" s="464" t="str">
        <f>IFERROR(__xludf.DUMMYFUNCTION("""COMPUTED_VALUE"""),"KIMME")</f>
        <v>KIMME</v>
      </c>
      <c r="N468" s="279" t="str">
        <f>IFERROR(__xludf.DUMMYFUNCTION("""COMPUTED_VALUE"""),"https://www.tiktok.com/@snowme.shop/video/7628597499955072277?_r=1&amp;u_code=dal30337ieiagk&amp;region=&amp;mid=7527152043925375760&amp;preview_pb=0&amp;sharer_language=&amp;_d=0&amp;ec_shared_reflux_dynamic_params=%7B%22placeholder_material_id%22%3A%227628597499955072277%22%2C%22p"&amp;"laceholder_origin_cover%22%3A%22https%253A%252F%252Fp16-common-sign.tiktokcdn.com%252Ftos-alisg-p-0037%252FoEQQepUE9BjCsgRAlkQAOFEBjODKQ3Bvjf0vQc~tplv-tiktokx-origin.jpeg%253Fdr%253D14572%2526refresh_token%253Df8b0a810%2526x-expires%253D1808301600%2526x-s"&amp;"ignature%253Dm7SLArbTSLMt3YXyzpQcdwq8h7U%25253D%2526t%253D4d5b0474%2526ps%253D13740610%2526shp%253Dd05b14bd%2526shcp%253D34ff8df6%2526idc%253Dmy3%2526s%253DTIKTOK_AFFILIATE_VIRAL_VIDEO%22%2C%22placeholder_product_id%22%3A%221729427766722726591%22%2C%22pla"&amp;"ceholder_video_id%22%3A%227628597499955072277%22%7D&amp;ec_shared_reflux_scene=shop_tab_feed&amp;share_item_id=7628597499955072277&amp;source=h5_t")</f>
        <v>https://www.tiktok.com/@snowme.shop/video/7628597499955072277?_r=1&amp;u_code=dal30337ieiagk&amp;region=&amp;mid=7527152043925375760&amp;preview_pb=0&amp;sharer_language=&amp;_d=0&amp;ec_shared_reflux_dynamic_params=%7B%22placeholder_material_id%22%3A%227628597499955072277%22%2C%22placeholder_origin_cover%22%3A%22https%253A%252F%252Fp16-common-sign.tiktokcdn.com%252Ftos-alisg-p-0037%252FoEQQepUE9BjCsgRAlkQAOFEBjODKQ3Bvjf0vQc~tplv-tiktokx-origin.jpeg%253Fdr%253D14572%2526refresh_token%253Df8b0a810%2526x-expires%253D1808301600%2526x-signature%253Dm7SLArbTSLMt3YXyzpQcdwq8h7U%25253D%2526t%253D4d5b0474%2526ps%253D13740610%2526shp%253Dd05b14bd%2526shcp%253D34ff8df6%2526idc%253Dmy3%2526s%253DTIKTOK_AFFILIATE_VIRAL_VIDEO%22%2C%22placeholder_product_id%22%3A%221729427766722726591%22%2C%22placeholder_video_id%22%3A%227628597499955072277%22%7D&amp;ec_shared_reflux_scene=shop_tab_feed&amp;share_item_id=7628597499955072277&amp;source=h5_t</v>
      </c>
      <c r="O468" s="464" t="str">
        <f>IFERROR(__xludf.DUMMYFUNCTION("""COMPUTED_VALUE"""),"KIMME")</f>
        <v>KIMME</v>
      </c>
      <c r="P468" s="279" t="str">
        <f>IFERROR(__xludf.DUMMYFUNCTION("""COMPUTED_VALUE"""),"https://www.tiktok.com/@snowme.shop/video/7628552434100636948?_r=1&amp;u_code=dal30337ieiagk&amp;region=&amp;mid=7493528484888365879&amp;preview_pb=0&amp;sharer_language=&amp;_d=0&amp;ec_shared_reflux_dynamic_params=%7B%22placeholder_material_id%22%3A%227628552434100636948%22%2C%22p"&amp;"laceholder_origin_cover%22%3A%22https%253A%252F%252Fp16-common-sign.tiktokcdn.com%252Ftos-alisg-p-0037%252FoUWNGIAHQXOBfKiAQLeHpgLTgeIBEMeD9dA7ex~tplv-tiktokx-origin.jpeg%253Fdr%253D14572%2526refresh_token%253Dc623ce43%2526x-expires%253D1808301600%2526x-s"&amp;"ignature%253Day0SSdQJkYKfAmxarAMDUbrjApE%25253D%2526t%253D4d5b0474%2526ps%253D13740610%2526shp%253Dd05b14bd%2526shcp%253D34ff8df6%2526idc%253Dmy3%2526s%253DTIKTOK_AFFILIATE_VIRAL_VIDEO%22%2C%22placeholder_product_id%22%3A%221729427766722726591%22%2C%22pla"&amp;"ceholder_video_id%22%3A%227628552434100636948%22%7D&amp;ec_shared_reflux_scene=shop_tab_feed&amp;share_item_id=7628552434100636948&amp;source=h5_t")</f>
        <v>https://www.tiktok.com/@snowme.shop/video/7628552434100636948?_r=1&amp;u_code=dal30337ieiagk&amp;region=&amp;mid=7493528484888365879&amp;preview_pb=0&amp;sharer_language=&amp;_d=0&amp;ec_shared_reflux_dynamic_params=%7B%22placeholder_material_id%22%3A%227628552434100636948%22%2C%22placeholder_origin_cover%22%3A%22https%253A%252F%252Fp16-common-sign.tiktokcdn.com%252Ftos-alisg-p-0037%252FoUWNGIAHQXOBfKiAQLeHpgLTgeIBEMeD9dA7ex~tplv-tiktokx-origin.jpeg%253Fdr%253D14572%2526refresh_token%253Dc623ce43%2526x-expires%253D1808301600%2526x-signature%253Day0SSdQJkYKfAmxarAMDUbrjApE%25253D%2526t%253D4d5b0474%2526ps%253D13740610%2526shp%253Dd05b14bd%2526shcp%253D34ff8df6%2526idc%253Dmy3%2526s%253DTIKTOK_AFFILIATE_VIRAL_VIDEO%22%2C%22placeholder_product_id%22%3A%221729427766722726591%22%2C%22placeholder_video_id%22%3A%227628552434100636948%22%7D&amp;ec_shared_reflux_scene=shop_tab_feed&amp;share_item_id=7628552434100636948&amp;source=h5_t</v>
      </c>
    </row>
    <row r="469">
      <c r="A469" s="255" t="str">
        <f>IFERROR(__xludf.DUMMYFUNCTION("""COMPUTED_VALUE"""),"MICRO")</f>
        <v>MICRO</v>
      </c>
      <c r="B469" s="361" t="str">
        <f>IFERROR(__xludf.DUMMYFUNCTION("""COMPUTED_VALUE"""),"lagistasenja17")</f>
        <v>lagistasenja17</v>
      </c>
      <c r="C469" s="257" t="str">
        <f>IFERROR(__xludf.DUMMYFUNCTION("""COMPUTED_VALUE"""),"https://www.tiktok.com/@lagistasenja17")</f>
        <v>https://www.tiktok.com/@lagistasenja17</v>
      </c>
      <c r="D469" s="270">
        <f>IFERROR(__xludf.DUMMYFUNCTION("""COMPUTED_VALUE"""),8.570303607E10)</f>
        <v>85703036070</v>
      </c>
      <c r="E469" s="457">
        <f>IFERROR(__xludf.DUMMYFUNCTION("""COMPUTED_VALUE"""),0.0)</f>
        <v>0</v>
      </c>
      <c r="F469" s="270">
        <f>IFERROR(__xludf.DUMMYFUNCTION("""COMPUTED_VALUE"""),1.0)</f>
        <v>1</v>
      </c>
      <c r="G469" s="17" t="str">
        <f>IFERROR(__xludf.DUMMYFUNCTION("""COMPUTED_VALUE"""),"Sabun batang 1 Box ( 2 PCS )")</f>
        <v>Sabun batang 1 Box ( 2 PCS )</v>
      </c>
      <c r="H469" s="463" t="str">
        <f>IFERROR(__xludf.DUMMYFUNCTION("""COMPUTED_VALUE"""),"Sampai")</f>
        <v>Sampai</v>
      </c>
      <c r="I469" s="464" t="str">
        <f>IFERROR(__xludf.DUMMYFUNCTION("""COMPUTED_VALUE"""),"KIMME")</f>
        <v>KIMME</v>
      </c>
      <c r="J469" s="279" t="str">
        <f>IFERROR(__xludf.DUMMYFUNCTION("""COMPUTED_VALUE"""),"https://www.tiktok.com/@snowme.shop/video/7628065885810461973?_r=1&amp;u_code=dal30337ieiagk&amp;region=&amp;mid=7563551483690601217&amp;preview_pb=0&amp;sharer_language=&amp;_d=0&amp;ec_shared_reflux_dynamic_params=%7B%22placeholder_material_id%22%3A%227628065885810461973%22%2C%22p"&amp;"laceholder_origin_cover%22%3A%22https%253A%252F%252Fp16-common-sign.tiktokcdn.com%252Ftos-alisg-p-0037%252FoUlIy7iH3mhREcuZCyq8VkwIBfAKiAA5QAi0iI~tplv-tiktokx-origin.jpeg%253Fdr%253D14572%2526refresh_token%253D3dad9595%2526x-expires%253D1808301600%2526x-s"&amp;"ignature%253D5Yoc5h17SFjvIYb%25252B5uw0Rievcy0%25253D%2526t%253D4d5b0474%2526ps%253D13740610%2526shp%253Dd05b14bd%2526shcp%253D34ff8df6%2526idc%253Dmy3%2526s%253DTIKTOK_AFFILIATE_VIRAL_VIDEO%22%2C%22placeholder_product_id%22%3A%221729427766722726591%22%2C"&amp;"%22placeholder_video_id%22%3A%227628065885810461973%22%7D&amp;ec_shared_reflux_scene=shop_tab_feed&amp;share_item_id=7628065885810461973&amp;source=h5_t")</f>
        <v>https://www.tiktok.com/@snowme.shop/video/7628065885810461973?_r=1&amp;u_code=dal30337ieiagk&amp;region=&amp;mid=7563551483690601217&amp;preview_pb=0&amp;sharer_language=&amp;_d=0&amp;ec_shared_reflux_dynamic_params=%7B%22placeholder_material_id%22%3A%227628065885810461973%22%2C%22placeholder_origin_cover%22%3A%22https%253A%252F%252Fp16-common-sign.tiktokcdn.com%252Ftos-alisg-p-0037%252FoUlIy7iH3mhREcuZCyq8VkwIBfAKiAA5QAi0iI~tplv-tiktokx-origin.jpeg%253Fdr%253D14572%2526refresh_token%253D3dad9595%2526x-expires%253D1808301600%2526x-signature%253D5Yoc5h17SFjvIYb%25252B5uw0Rievcy0%25253D%2526t%253D4d5b0474%2526ps%253D13740610%2526shp%253Dd05b14bd%2526shcp%253D34ff8df6%2526idc%253Dmy3%2526s%253DTIKTOK_AFFILIATE_VIRAL_VIDEO%22%2C%22placeholder_product_id%22%3A%221729427766722726591%22%2C%22placeholder_video_id%22%3A%227628065885810461973%22%7D&amp;ec_shared_reflux_scene=shop_tab_feed&amp;share_item_id=7628065885810461973&amp;source=h5_t</v>
      </c>
      <c r="K469" s="464" t="str">
        <f>IFERROR(__xludf.DUMMYFUNCTION("""COMPUTED_VALUE"""),"KIMME")</f>
        <v>KIMME</v>
      </c>
      <c r="L469" s="279" t="str">
        <f>IFERROR(__xludf.DUMMYFUNCTION("""COMPUTED_VALUE"""),"https://vt.tiktok.com/ZS9tCUpft/")</f>
        <v>https://vt.tiktok.com/ZS9tCUpft/</v>
      </c>
      <c r="M469" s="464"/>
      <c r="N469" s="279" t="str">
        <f>IFERROR(__xludf.DUMMYFUNCTION("""COMPUTED_VALUE"""),"https://vt.tiktok.com/ZS9tCfEhe/")</f>
        <v>https://vt.tiktok.com/ZS9tCfEhe/</v>
      </c>
      <c r="O469" s="464"/>
      <c r="P469" s="279" t="str">
        <f>IFERROR(__xludf.DUMMYFUNCTION("""COMPUTED_VALUE"""),"https://www.tiktok.com/@berkah.glosir/video/7638071087338769684?_r=1&amp;u_code=e4hbm162fcgeg9&amp;region=&amp;mid=7584561874637867779&amp;preview_pb=0&amp;sharer_language=&amp;_d=0&amp;ec_shared_reflux_dynamic_params=%7B%22placeholder_material_id%22%3A%227638071087338769684%22%2C%2"&amp;"2placeholder_origin_cover%22%3A%22https%253A%252F%252Fp16-common-sign.tiktokcdn.com%252Ftos-alisg-p-0037%252Fo45GdHnUG4GOIdARL8AfoggGfApwfStFY5eOTl~tplv-tiktokx-origin.jpeg%253Fdr%253D14572%2526refresh_token%253D63773cc5%2526x-expires%253D1810116000%2526x"&amp;"-signature%253DBAC2YkhFkW83x8oO9v1xeBLD10M%25253D%2526t%253D4d5b0474%2526ps%253D13740610%2526shp%253Dd05b14bd%2526shcp%253D34ff8df6%2526idc%253Dmy2%2526s%253DTIKTOK_AFFILIATE_VIRAL_VIDEO%22%2C%22placeholder_product_id%22%3A%221729729730555512511%22%2C%22p"&amp;"laceholder_video_id%22%3A%227638071087338769684%22%7D&amp;ec_shared_reflux_scene=shop_tab_feed&amp;share_item_id=7638071087338769684&amp;source=h5_t")</f>
        <v>https://www.tiktok.com/@berkah.glosir/video/7638071087338769684?_r=1&amp;u_code=e4hbm162fcgeg9&amp;region=&amp;mid=7584561874637867779&amp;preview_pb=0&amp;sharer_language=&amp;_d=0&amp;ec_shared_reflux_dynamic_params=%7B%22placeholder_material_id%22%3A%227638071087338769684%22%2C%22placeholder_origin_cover%22%3A%22https%253A%252F%252Fp16-common-sign.tiktokcdn.com%252Ftos-alisg-p-0037%252Fo45GdHnUG4GOIdARL8AfoggGfApwfStFY5eOTl~tplv-tiktokx-origin.jpeg%253Fdr%253D14572%2526refresh_token%253D63773cc5%2526x-expires%253D1810116000%2526x-signature%253DBAC2YkhFkW83x8oO9v1xeBLD10M%25253D%2526t%253D4d5b0474%2526ps%253D13740610%2526shp%253Dd05b14bd%2526shcp%253D34ff8df6%2526idc%253Dmy2%2526s%253DTIKTOK_AFFILIATE_VIRAL_VIDEO%22%2C%22placeholder_product_id%22%3A%221729729730555512511%22%2C%22placeholder_video_id%22%3A%227638071087338769684%22%7D&amp;ec_shared_reflux_scene=shop_tab_feed&amp;share_item_id=7638071087338769684&amp;source=h5_t</v>
      </c>
    </row>
    <row r="470">
      <c r="A470" s="255" t="str">
        <f>IFERROR(__xludf.DUMMYFUNCTION("""COMPUTED_VALUE"""),"MICRO")</f>
        <v>MICRO</v>
      </c>
      <c r="B470" s="361" t="str">
        <f>IFERROR(__xludf.DUMMYFUNCTION("""COMPUTED_VALUE"""),"wles06")</f>
        <v>wles06</v>
      </c>
      <c r="C470" s="257" t="str">
        <f>IFERROR(__xludf.DUMMYFUNCTION("""COMPUTED_VALUE"""),"https://www.tiktok.com/@wles06")</f>
        <v>https://www.tiktok.com/@wles06</v>
      </c>
      <c r="D470" s="270">
        <f>IFERROR(__xludf.DUMMYFUNCTION("""COMPUTED_VALUE"""),8.1378905343E10)</f>
        <v>81378905343</v>
      </c>
      <c r="E470" s="457">
        <f>IFERROR(__xludf.DUMMYFUNCTION("""COMPUTED_VALUE"""),0.0)</f>
        <v>0</v>
      </c>
      <c r="F470" s="270">
        <f>IFERROR(__xludf.DUMMYFUNCTION("""COMPUTED_VALUE"""),4.0)</f>
        <v>4</v>
      </c>
      <c r="G470" s="17" t="str">
        <f>IFERROR(__xludf.DUMMYFUNCTION("""COMPUTED_VALUE"""),"Sabun batang 1 Box ( 2 PCS )")</f>
        <v>Sabun batang 1 Box ( 2 PCS )</v>
      </c>
      <c r="H470" s="463" t="str">
        <f>IFERROR(__xludf.DUMMYFUNCTION("""COMPUTED_VALUE"""),"Sampai")</f>
        <v>Sampai</v>
      </c>
      <c r="I470" s="464" t="str">
        <f>IFERROR(__xludf.DUMMYFUNCTION("""COMPUTED_VALUE"""),"KIMME")</f>
        <v>KIMME</v>
      </c>
      <c r="J470" s="279" t="str">
        <f>IFERROR(__xludf.DUMMYFUNCTION("""COMPUTED_VALUE"""),"https://www.tiktok.com/@snowme.shop/video/7626687165455633685?_r=1&amp;u_code=dal30337ieiagk&amp;region=&amp;mid=7606210481157655304&amp;preview_pb=0&amp;sharer_language=&amp;_d=0&amp;ec_shared_reflux_dynamic_params=%7B%22placeholder_material_id%22%3A%227626687165455633685%22%2C%22p"&amp;"laceholder_origin_cover%22%3A%22https%253A%252F%252Fp16-common-sign.tiktokcdn.com%252Ftos-alisg-p-0037%252FoEYxi0abB3ABviXyd5XtEAiIBqkv18cItdHuA~tplv-tiktokx-origin.jpeg%253Fdr%253D14572%2526refresh_token%253D8562cc8e%2526x-expires%253D1808301600%2526x-si"&amp;"gnature%253DZq5pMTpmI5lzHYYiSRUk8ZntkUU%25253D%2526t%253D4d5b0474%2526ps%253D13740610%2526shp%253Dd05b14bd%2526shcp%253D34ff8df6%2526idc%253Dmy3%2526s%253DTIKTOK_AFFILIATE_VIRAL_VIDEO%22%2C%22placeholder_product_id%22%3A%221729427766722726591%22%2C%22plac"&amp;"eholder_video_id%22%3A%227626687165455633685%22%7D&amp;ec_shared_reflux_scene=shop_tab_feed&amp;share_item_id=7626687165455633685&amp;source=h5_t")</f>
        <v>https://www.tiktok.com/@snowme.shop/video/7626687165455633685?_r=1&amp;u_code=dal30337ieiagk&amp;region=&amp;mid=7606210481157655304&amp;preview_pb=0&amp;sharer_language=&amp;_d=0&amp;ec_shared_reflux_dynamic_params=%7B%22placeholder_material_id%22%3A%227626687165455633685%22%2C%22placeholder_origin_cover%22%3A%22https%253A%252F%252Fp16-common-sign.tiktokcdn.com%252Ftos-alisg-p-0037%252FoEYxi0abB3ABviXyd5XtEAiIBqkv18cItdHuA~tplv-tiktokx-origin.jpeg%253Fdr%253D14572%2526refresh_token%253D8562cc8e%2526x-expires%253D1808301600%2526x-signature%253DZq5pMTpmI5lzHYYiSRUk8ZntkUU%25253D%2526t%253D4d5b0474%2526ps%253D13740610%2526shp%253Dd05b14bd%2526shcp%253D34ff8df6%2526idc%253Dmy3%2526s%253DTIKTOK_AFFILIATE_VIRAL_VIDEO%22%2C%22placeholder_product_id%22%3A%221729427766722726591%22%2C%22placeholder_video_id%22%3A%227626687165455633685%22%7D&amp;ec_shared_reflux_scene=shop_tab_feed&amp;share_item_id=7626687165455633685&amp;source=h5_t</v>
      </c>
      <c r="K470" s="464" t="str">
        <f>IFERROR(__xludf.DUMMYFUNCTION("""COMPUTED_VALUE"""),"KIMME")</f>
        <v>KIMME</v>
      </c>
      <c r="L470" s="279" t="str">
        <f>IFERROR(__xludf.DUMMYFUNCTION("""COMPUTED_VALUE"""),"https://www.tiktok.com/@snowme.shop/video/7626648762852658452?_r=1&amp;u_code=dal30337ieiagk&amp;region=&amp;mid=7524307979127081745&amp;preview_pb=0&amp;sharer_language=&amp;_d=0&amp;ec_shared_reflux_dynamic_params=%7B%22placeholder_material_id%22%3A%227626648762852658452%22%2C%22p"&amp;"laceholder_origin_cover%22%3A%22https%253A%252F%252Fp16-common-sign.tiktokcdn.com%252Ftos-alisg-p-0037%252Fo00du9XKTAFI6AiI4AjIiLOAu6C8wGf3GZTBiK~tplv-tiktokx-origin.jpeg%253Fdr%253D14572%2526refresh_token%253Df1d866c8%2526x-expires%253D1808301600%2526x-s"&amp;"ignature%253DRkHSq%25252B7toj16AnZEMVT39Z6T53w%25253D%2526t%253D4d5b0474%2526ps%253D13740610%2526shp%253Dd05b14bd%2526shcp%253D34ff8df6%2526idc%253Dmy3%2526s%253DTIKTOK_AFFILIATE_VIRAL_VIDEO%22%2C%22placeholder_product_id%22%3A%221729427766722726591%22%2C"&amp;"%22placeholder_video_id%22%3A%227626648762852658452%22%7D&amp;ec_shared_reflux_scene=shop_tab_feed&amp;share_item_id=7626648762852658452&amp;source=h5_t")</f>
        <v>https://www.tiktok.com/@snowme.shop/video/7626648762852658452?_r=1&amp;u_code=dal30337ieiagk&amp;region=&amp;mid=7524307979127081745&amp;preview_pb=0&amp;sharer_language=&amp;_d=0&amp;ec_shared_reflux_dynamic_params=%7B%22placeholder_material_id%22%3A%227626648762852658452%22%2C%22placeholder_origin_cover%22%3A%22https%253A%252F%252Fp16-common-sign.tiktokcdn.com%252Ftos-alisg-p-0037%252Fo00du9XKTAFI6AiI4AjIiLOAu6C8wGf3GZTBiK~tplv-tiktokx-origin.jpeg%253Fdr%253D14572%2526refresh_token%253Df1d866c8%2526x-expires%253D1808301600%2526x-signature%253DRkHSq%25252B7toj16AnZEMVT39Z6T53w%25253D%2526t%253D4d5b0474%2526ps%253D13740610%2526shp%253Dd05b14bd%2526shcp%253D34ff8df6%2526idc%253Dmy3%2526s%253DTIKTOK_AFFILIATE_VIRAL_VIDEO%22%2C%22placeholder_product_id%22%3A%221729427766722726591%22%2C%22placeholder_video_id%22%3A%227626648762852658452%22%7D&amp;ec_shared_reflux_scene=shop_tab_feed&amp;share_item_id=7626648762852658452&amp;source=h5_t</v>
      </c>
      <c r="M470" s="464" t="str">
        <f>IFERROR(__xludf.DUMMYFUNCTION("""COMPUTED_VALUE"""),"KIMME")</f>
        <v>KIMME</v>
      </c>
      <c r="N470" s="279" t="str">
        <f>IFERROR(__xludf.DUMMYFUNCTION("""COMPUTED_VALUE"""),"https://www.tiktok.com/@snowme.shop/video/7627901126972673301?_r=1&amp;u_code=dal30337ieiagk&amp;region=&amp;mid=7612232123436534536&amp;preview_pb=0&amp;sharer_language=&amp;_d=0&amp;ec_shared_reflux_dynamic_params=%7B%22placeholder_material_id%22%3A%227627901126972673301%22%2C%22p"&amp;"laceholder_origin_cover%22%3A%22https%253A%252F%252Fp16-common-sign.tiktokcdn.com%252Ftos-alisg-p-0037%252Focw3ib9i7fIo2n7pAQAIRv4i7fPRZEEcBBqBgz~tplv-tiktokx-origin.jpeg%253Fdr%253D14572%2526refresh_token%253Df93cc16e%2526x-expires%253D1808301600%2526x-s"&amp;"ignature%253DfKJRKaYG0t%25252F4tnVyVNDDYlHTskc%25253D%2526t%253D4d5b0474%2526ps%253D13740610%2526shp%253Dd05b14bd%2526shcp%253D34ff8df6%2526idc%253Dmy3%2526s%253DTIKTOK_AFFILIATE_VIRAL_VIDEO%22%2C%22placeholder_product_id%22%3A%221729427766722726591%22%2C"&amp;"%22placeholder_video_id%22%3A%227627901126972673301%22%7D&amp;ec_shared_reflux_scene=shop_tab_feed&amp;share_item_id=7627901126972673301&amp;source=h5_t")</f>
        <v>https://www.tiktok.com/@snowme.shop/video/7627901126972673301?_r=1&amp;u_code=dal30337ieiagk&amp;region=&amp;mid=7612232123436534536&amp;preview_pb=0&amp;sharer_language=&amp;_d=0&amp;ec_shared_reflux_dynamic_params=%7B%22placeholder_material_id%22%3A%227627901126972673301%22%2C%22placeholder_origin_cover%22%3A%22https%253A%252F%252Fp16-common-sign.tiktokcdn.com%252Ftos-alisg-p-0037%252Focw3ib9i7fIo2n7pAQAIRv4i7fPRZEEcBBqBgz~tplv-tiktokx-origin.jpeg%253Fdr%253D14572%2526refresh_token%253Df93cc16e%2526x-expires%253D1808301600%2526x-signature%253DfKJRKaYG0t%25252F4tnVyVNDDYlHTskc%25253D%2526t%253D4d5b0474%2526ps%253D13740610%2526shp%253Dd05b14bd%2526shcp%253D34ff8df6%2526idc%253Dmy3%2526s%253DTIKTOK_AFFILIATE_VIRAL_VIDEO%22%2C%22placeholder_product_id%22%3A%221729427766722726591%22%2C%22placeholder_video_id%22%3A%227627901126972673301%22%7D&amp;ec_shared_reflux_scene=shop_tab_feed&amp;share_item_id=7627901126972673301&amp;source=h5_t</v>
      </c>
      <c r="O470" s="464" t="str">
        <f>IFERROR(__xludf.DUMMYFUNCTION("""COMPUTED_VALUE"""),"KIMME")</f>
        <v>KIMME</v>
      </c>
      <c r="P470" s="279" t="str">
        <f>IFERROR(__xludf.DUMMYFUNCTION("""COMPUTED_VALUE"""),"https://www.tiktok.com/@snowme.shop/video/7627896267414326548?_r=1&amp;u_code=dal30337ieiagk&amp;region=&amp;mid=7612232123436534536&amp;preview_pb=0&amp;sharer_language=&amp;_d=0&amp;ec_shared_reflux_dynamic_params=%7B%22placeholder_material_id%22%3A%227627896267414326548%22%2C%22p"&amp;"laceholder_origin_cover%22%3A%22https%253A%252F%252Fp16-common-sign.tiktokcdn.com%252Ftos-alisg-p-0037%252Fo0tzoGdnbAkyGsDEgmTueGdFwf34AShfReRABY~tplv-tiktokx-origin.jpeg%253Fdr%253D14572%2526refresh_token%253D070753c6%2526x-expires%253D1808301600%2526x-s"&amp;"ignature%253D7IkbUxxT99uqABhtM6LkpF5wNaY%25253D%2526t%253D4d5b0474%2526ps%253D13740610%2526shp%253Dd05b14bd%2526shcp%253D34ff8df6%2526idc%253Dmy3%2526s%253DTIKTOK_AFFILIATE_VIRAL_VIDEO%22%2C%22placeholder_product_id%22%3A%221729427766722726591%22%2C%22pla"&amp;"ceholder_video_id%22%3A%227627896267414326548%22%7D&amp;ec_shared_reflux_scene=shop_tab_feed&amp;share_item_id=7627896267414326548&amp;source=h5_t")</f>
        <v>https://www.tiktok.com/@snowme.shop/video/7627896267414326548?_r=1&amp;u_code=dal30337ieiagk&amp;region=&amp;mid=7612232123436534536&amp;preview_pb=0&amp;sharer_language=&amp;_d=0&amp;ec_shared_reflux_dynamic_params=%7B%22placeholder_material_id%22%3A%227627896267414326548%22%2C%22placeholder_origin_cover%22%3A%22https%253A%252F%252Fp16-common-sign.tiktokcdn.com%252Ftos-alisg-p-0037%252Fo0tzoGdnbAkyGsDEgmTueGdFwf34AShfReRABY~tplv-tiktokx-origin.jpeg%253Fdr%253D14572%2526refresh_token%253D070753c6%2526x-expires%253D1808301600%2526x-signature%253D7IkbUxxT99uqABhtM6LkpF5wNaY%25253D%2526t%253D4d5b0474%2526ps%253D13740610%2526shp%253Dd05b14bd%2526shcp%253D34ff8df6%2526idc%253Dmy3%2526s%253DTIKTOK_AFFILIATE_VIRAL_VIDEO%22%2C%22placeholder_product_id%22%3A%221729427766722726591%22%2C%22placeholder_video_id%22%3A%227627896267414326548%22%7D&amp;ec_shared_reflux_scene=shop_tab_feed&amp;share_item_id=7627896267414326548&amp;source=h5_t</v>
      </c>
    </row>
    <row r="471">
      <c r="A471" s="255" t="str">
        <f>IFERROR(__xludf.DUMMYFUNCTION("""COMPUTED_VALUE"""),"MACRO")</f>
        <v>MACRO</v>
      </c>
      <c r="B471" s="361" t="str">
        <f>IFERROR(__xludf.DUMMYFUNCTION("""COMPUTED_VALUE"""),"samu3ll6")</f>
        <v>samu3ll6</v>
      </c>
      <c r="C471" s="257" t="str">
        <f>IFERROR(__xludf.DUMMYFUNCTION("""COMPUTED_VALUE"""),"https://www.tiktok.com/@samu3ll6")</f>
        <v>https://www.tiktok.com/@samu3ll6</v>
      </c>
      <c r="D471" s="270">
        <f>IFERROR(__xludf.DUMMYFUNCTION("""COMPUTED_VALUE"""),8.5713037481E10)</f>
        <v>85713037481</v>
      </c>
      <c r="E471" s="457">
        <f>IFERROR(__xludf.DUMMYFUNCTION("""COMPUTED_VALUE"""),0.0)</f>
        <v>0</v>
      </c>
      <c r="F471" s="270">
        <f>IFERROR(__xludf.DUMMYFUNCTION("""COMPUTED_VALUE"""),1.0)</f>
        <v>1</v>
      </c>
      <c r="G471" s="17" t="str">
        <f>IFERROR(__xludf.DUMMYFUNCTION("""COMPUTED_VALUE"""),"Sabun batang 1 Box ( 2 PCS )")</f>
        <v>Sabun batang 1 Box ( 2 PCS )</v>
      </c>
      <c r="H471" s="463" t="str">
        <f>IFERROR(__xludf.DUMMYFUNCTION("""COMPUTED_VALUE"""),"Sampai")</f>
        <v>Sampai</v>
      </c>
      <c r="I471" s="464" t="str">
        <f>IFERROR(__xludf.DUMMYFUNCTION("""COMPUTED_VALUE"""),"KIMME")</f>
        <v>KIMME</v>
      </c>
      <c r="J471" s="279" t="str">
        <f>IFERROR(__xludf.DUMMYFUNCTION("""COMPUTED_VALUE"""),"https://www.tiktok.com/@snowme.shop/video/7627446453018905876?_r=1&amp;u_code=dal30337ieiagk&amp;region=&amp;mid=7311901948345289478&amp;preview_pb=0&amp;sharer_language=&amp;_d=0&amp;ec_shared_reflux_dynamic_params=%7B%22placeholder_material_id%22%3A%227627446453018905876%22%2C%22p"&amp;"laceholder_origin_cover%22%3A%22https%253A%252F%252Fp16-common-sign.tiktokcdn.com%252Ftos-alisg-p-0037%252FogH1sAfMc2IA7IR7E5gTI5FE5Vkf5pa5DUBiBc~tplv-tiktokx-origin.jpeg%253Fdr%253D14572%2526refresh_token%253De4246128%2526x-expires%253D1808301600%2526x-s"&amp;"ignature%253DV1Xpgu1I3GsFbDVBgjwp04CHc8M%25253D%2526t%253D4d5b0474%2526ps%253D13740610%2526shp%253Dd05b14bd%2526shcp%253D34ff8df6%2526idc%253Dmy3%2526s%253DTIKTOK_AFFILIATE_VIRAL_VIDEO%22%2C%22placeholder_product_id%22%3A%221729427766722726591%22%2C%22pla"&amp;"ceholder_video_id%22%3A%227627446453018905876%22%7D&amp;ec_shared_reflux_scene=shop_tab_feed&amp;share_item_id=7627446453018905876&amp;source=h5_t")</f>
        <v>https://www.tiktok.com/@snowme.shop/video/7627446453018905876?_r=1&amp;u_code=dal30337ieiagk&amp;region=&amp;mid=7311901948345289478&amp;preview_pb=0&amp;sharer_language=&amp;_d=0&amp;ec_shared_reflux_dynamic_params=%7B%22placeholder_material_id%22%3A%227627446453018905876%22%2C%22placeholder_origin_cover%22%3A%22https%253A%252F%252Fp16-common-sign.tiktokcdn.com%252Ftos-alisg-p-0037%252FogH1sAfMc2IA7IR7E5gTI5FE5Vkf5pa5DUBiBc~tplv-tiktokx-origin.jpeg%253Fdr%253D14572%2526refresh_token%253De4246128%2526x-expires%253D1808301600%2526x-signature%253DV1Xpgu1I3GsFbDVBgjwp04CHc8M%25253D%2526t%253D4d5b0474%2526ps%253D13740610%2526shp%253Dd05b14bd%2526shcp%253D34ff8df6%2526idc%253Dmy3%2526s%253DTIKTOK_AFFILIATE_VIRAL_VIDEO%22%2C%22placeholder_product_id%22%3A%221729427766722726591%22%2C%22placeholder_video_id%22%3A%227627446453018905876%22%7D&amp;ec_shared_reflux_scene=shop_tab_feed&amp;share_item_id=7627446453018905876&amp;source=h5_t</v>
      </c>
      <c r="K471" s="464" t="str">
        <f>IFERROR(__xludf.DUMMYFUNCTION("""COMPUTED_VALUE"""),"KIMME")</f>
        <v>KIMME</v>
      </c>
      <c r="L471" s="279" t="str">
        <f>IFERROR(__xludf.DUMMYFUNCTION("""COMPUTED_VALUE"""),"https://vt.tiktok.com/ZSxSxn5pU/")</f>
        <v>https://vt.tiktok.com/ZSxSxn5pU/</v>
      </c>
      <c r="M471" s="464"/>
      <c r="N471" s="17"/>
      <c r="O471" s="464"/>
      <c r="P471" s="17"/>
    </row>
    <row r="472">
      <c r="A472" s="255" t="str">
        <f>IFERROR(__xludf.DUMMYFUNCTION("""COMPUTED_VALUE"""),"MICRO")</f>
        <v>MICRO</v>
      </c>
      <c r="B472" s="361" t="str">
        <f>IFERROR(__xludf.DUMMYFUNCTION("""COMPUTED_VALUE"""),"suswati_marlina")</f>
        <v>suswati_marlina</v>
      </c>
      <c r="C472" s="257" t="str">
        <f>IFERROR(__xludf.DUMMYFUNCTION("""COMPUTED_VALUE"""),"https://www.tiktok.com/@suswati_marlina")</f>
        <v>https://www.tiktok.com/@suswati_marlina</v>
      </c>
      <c r="D472" s="270">
        <f>IFERROR(__xludf.DUMMYFUNCTION("""COMPUTED_VALUE"""),8.1363337777E10)</f>
        <v>81363337777</v>
      </c>
      <c r="E472" s="457">
        <f>IFERROR(__xludf.DUMMYFUNCTION("""COMPUTED_VALUE"""),0.0)</f>
        <v>0</v>
      </c>
      <c r="F472" s="270">
        <f>IFERROR(__xludf.DUMMYFUNCTION("""COMPUTED_VALUE"""),4.0)</f>
        <v>4</v>
      </c>
      <c r="G472" s="17" t="str">
        <f>IFERROR(__xludf.DUMMYFUNCTION("""COMPUTED_VALUE"""),"Sabun batang 1 Box ( 2 PCS )")</f>
        <v>Sabun batang 1 Box ( 2 PCS )</v>
      </c>
      <c r="H472" s="463" t="str">
        <f>IFERROR(__xludf.DUMMYFUNCTION("""COMPUTED_VALUE"""),"Sampai")</f>
        <v>Sampai</v>
      </c>
      <c r="I472" s="464" t="str">
        <f>IFERROR(__xludf.DUMMYFUNCTION("""COMPUTED_VALUE"""),"KIMME")</f>
        <v>KIMME</v>
      </c>
      <c r="J472" s="279" t="str">
        <f>IFERROR(__xludf.DUMMYFUNCTION("""COMPUTED_VALUE"""),"https://www.tiktok.com/@suswati_marlina/video/7623284113637641493?is_from_webapp=1&amp;sender_device=pc")</f>
        <v>https://www.tiktok.com/@suswati_marlina/video/7623284113637641493?is_from_webapp=1&amp;sender_device=pc</v>
      </c>
      <c r="K472" s="464" t="str">
        <f>IFERROR(__xludf.DUMMYFUNCTION("""COMPUTED_VALUE"""),"KIMME")</f>
        <v>KIMME</v>
      </c>
      <c r="L472" s="279" t="str">
        <f>IFERROR(__xludf.DUMMYFUNCTION("""COMPUTED_VALUE"""),"https://vt.tiktok.com/ZSHoF5dJo/")</f>
        <v>https://vt.tiktok.com/ZSHoF5dJo/</v>
      </c>
      <c r="M472" s="464"/>
      <c r="N472" s="279" t="str">
        <f>IFERROR(__xludf.DUMMYFUNCTION("""COMPUTED_VALUE"""),"https://www.tiktok.com/@suswati_marlina/video/7632637665745128712")</f>
        <v>https://www.tiktok.com/@suswati_marlina/video/7632637665745128712</v>
      </c>
      <c r="O472" s="464"/>
      <c r="P472" s="279" t="str">
        <f>IFERROR(__xludf.DUMMYFUNCTION("""COMPUTED_VALUE"""),"https://www.tiktok.com/@suswati_marlina/video/7632562971734052103")</f>
        <v>https://www.tiktok.com/@suswati_marlina/video/7632562971734052103</v>
      </c>
    </row>
    <row r="473">
      <c r="A473" s="255" t="str">
        <f>IFERROR(__xludf.DUMMYFUNCTION("""COMPUTED_VALUE"""),"MICRO")</f>
        <v>MICRO</v>
      </c>
      <c r="B473" s="361" t="str">
        <f>IFERROR(__xludf.DUMMYFUNCTION("""COMPUTED_VALUE"""),"_adamhmd")</f>
        <v>_adamhmd</v>
      </c>
      <c r="C473" s="257" t="str">
        <f>IFERROR(__xludf.DUMMYFUNCTION("""COMPUTED_VALUE"""),"https://www.tiktok.com/@_adamhmd")</f>
        <v>https://www.tiktok.com/@_adamhmd</v>
      </c>
      <c r="D473" s="270">
        <f>IFERROR(__xludf.DUMMYFUNCTION("""COMPUTED_VALUE"""),8.9688376188E10)</f>
        <v>89688376188</v>
      </c>
      <c r="E473" s="457">
        <f>IFERROR(__xludf.DUMMYFUNCTION("""COMPUTED_VALUE"""),0.0)</f>
        <v>0</v>
      </c>
      <c r="F473" s="270">
        <f>IFERROR(__xludf.DUMMYFUNCTION("""COMPUTED_VALUE"""),1.0)</f>
        <v>1</v>
      </c>
      <c r="G473" s="17" t="str">
        <f>IFERROR(__xludf.DUMMYFUNCTION("""COMPUTED_VALUE"""),"Sabun batang 1 Box ( 2 PCS )")</f>
        <v>Sabun batang 1 Box ( 2 PCS )</v>
      </c>
      <c r="H473" s="463" t="str">
        <f>IFERROR(__xludf.DUMMYFUNCTION("""COMPUTED_VALUE"""),"Sampai")</f>
        <v>Sampai</v>
      </c>
      <c r="I473" s="464" t="str">
        <f>IFERROR(__xludf.DUMMYFUNCTION("""COMPUTED_VALUE"""),"KIMME")</f>
        <v>KIMME</v>
      </c>
      <c r="J473" s="279" t="str">
        <f>IFERROR(__xludf.DUMMYFUNCTION("""COMPUTED_VALUE"""),"https://vt.tiktok.com/ZSHt6bpB4/")</f>
        <v>https://vt.tiktok.com/ZSHt6bpB4/</v>
      </c>
      <c r="K473" s="464" t="str">
        <f>IFERROR(__xludf.DUMMYFUNCTION("""COMPUTED_VALUE"""),"KIMME")</f>
        <v>KIMME</v>
      </c>
      <c r="L473" s="279" t="str">
        <f>IFERROR(__xludf.DUMMYFUNCTION("""COMPUTED_VALUE"""),"https://vt.tiktok.com/ZS9v3DSf5/")</f>
        <v>https://vt.tiktok.com/ZS9v3DSf5/</v>
      </c>
      <c r="M473" s="464"/>
      <c r="N473" s="17" t="str">
        <f>IFERROR(__xludf.DUMMYFUNCTION("""COMPUTED_VALUE"""),"⁠https://vt.tiktok.com/ZS9vsrheY/")</f>
        <v>⁠https://vt.tiktok.com/ZS9vsrheY/</v>
      </c>
      <c r="O473" s="464"/>
      <c r="P473" s="17" t="str">
        <f>IFERROR(__xludf.DUMMYFUNCTION("""COMPUTED_VALUE"""),"⁠https://vt.tiktok.com/ZS9vsHJTy/")</f>
        <v>⁠https://vt.tiktok.com/ZS9vsHJTy/</v>
      </c>
    </row>
    <row r="474">
      <c r="A474" s="255" t="str">
        <f>IFERROR(__xludf.DUMMYFUNCTION("""COMPUTED_VALUE"""),"MICRO")</f>
        <v>MICRO</v>
      </c>
      <c r="B474" s="361" t="str">
        <f>IFERROR(__xludf.DUMMYFUNCTION("""COMPUTED_VALUE"""),"ceisya_nasya")</f>
        <v>ceisya_nasya</v>
      </c>
      <c r="C474" s="257" t="str">
        <f>IFERROR(__xludf.DUMMYFUNCTION("""COMPUTED_VALUE"""),"https://www.tiktok.com/@ceisya_nasya")</f>
        <v>https://www.tiktok.com/@ceisya_nasya</v>
      </c>
      <c r="D474" s="270">
        <f>IFERROR(__xludf.DUMMYFUNCTION("""COMPUTED_VALUE"""),8.2390940747E10)</f>
        <v>82390940747</v>
      </c>
      <c r="E474" s="457">
        <f>IFERROR(__xludf.DUMMYFUNCTION("""COMPUTED_VALUE"""),0.0)</f>
        <v>0</v>
      </c>
      <c r="F474" s="270">
        <f>IFERROR(__xludf.DUMMYFUNCTION("""COMPUTED_VALUE"""),4.0)</f>
        <v>4</v>
      </c>
      <c r="G474" s="17" t="str">
        <f>IFERROR(__xludf.DUMMYFUNCTION("""COMPUTED_VALUE"""),"Sabun batang 1 Box ( 2 PCS )")</f>
        <v>Sabun batang 1 Box ( 2 PCS )</v>
      </c>
      <c r="H474" s="463" t="str">
        <f>IFERROR(__xludf.DUMMYFUNCTION("""COMPUTED_VALUE"""),"Sampai")</f>
        <v>Sampai</v>
      </c>
      <c r="I474" s="464" t="str">
        <f>IFERROR(__xludf.DUMMYFUNCTION("""COMPUTED_VALUE"""),"KIMME")</f>
        <v>KIMME</v>
      </c>
      <c r="J474" s="279" t="str">
        <f>IFERROR(__xludf.DUMMYFUNCTION("""COMPUTED_VALUE"""),"https://www.tiktok.com/@snowme.shop/video/7627663870852631828?_r=1&amp;u_code=dal30337ieiagk&amp;region=&amp;mid=7606427014548408321&amp;preview_pb=0&amp;sharer_language=&amp;_d=0&amp;ec_shared_reflux_dynamic_params=%7B%22placeholder_material_id%22%3A%227627663870852631828%22%2C%22p"&amp;"laceholder_origin_cover%22%3A%22https%253A%252F%252Fp16-common-sign.tiktokcdn.com%252Ftos-alisg-p-0037%252FowdnzRe8XAQ8CGSHAgLkazwGNeUnXe5IGRFe1g~tplv-tiktokx-origin.jpeg%253Fdr%253D14572%2526refresh_token%253D3379fc5e%2526x-expires%253D1808301600%2526x-s"&amp;"ignature%253DmJRsL7rFJuAPL3gdw6PhlYzuMcw%25253D%2526t%253D4d5b0474%2526ps%253D13740610%2526shp%253Dd05b14bd%2526shcp%253D34ff8df6%2526idc%253Dmy3%2526s%253DTIKTOK_AFFILIATE_VIRAL_VIDEO%22%2C%22placeholder_product_id%22%3A%221729427766722726591%22%2C%22pla"&amp;"ceholder_video_id%22%3A%227627663870852631828%22%7D&amp;ec_shared_reflux_scene=shop_tab_feed&amp;share_item_id=7627663870852631828&amp;source=h5_t")</f>
        <v>https://www.tiktok.com/@snowme.shop/video/7627663870852631828?_r=1&amp;u_code=dal30337ieiagk&amp;region=&amp;mid=7606427014548408321&amp;preview_pb=0&amp;sharer_language=&amp;_d=0&amp;ec_shared_reflux_dynamic_params=%7B%22placeholder_material_id%22%3A%227627663870852631828%22%2C%22placeholder_origin_cover%22%3A%22https%253A%252F%252Fp16-common-sign.tiktokcdn.com%252Ftos-alisg-p-0037%252FowdnzRe8XAQ8CGSHAgLkazwGNeUnXe5IGRFe1g~tplv-tiktokx-origin.jpeg%253Fdr%253D14572%2526refresh_token%253D3379fc5e%2526x-expires%253D1808301600%2526x-signature%253DmJRsL7rFJuAPL3gdw6PhlYzuMcw%25253D%2526t%253D4d5b0474%2526ps%253D13740610%2526shp%253Dd05b14bd%2526shcp%253D34ff8df6%2526idc%253Dmy3%2526s%253DTIKTOK_AFFILIATE_VIRAL_VIDEO%22%2C%22placeholder_product_id%22%3A%221729427766722726591%22%2C%22placeholder_video_id%22%3A%227627663870852631828%22%7D&amp;ec_shared_reflux_scene=shop_tab_feed&amp;share_item_id=7627663870852631828&amp;source=h5_t</v>
      </c>
      <c r="K474" s="464" t="str">
        <f>IFERROR(__xludf.DUMMYFUNCTION("""COMPUTED_VALUE"""),"KIMME")</f>
        <v>KIMME</v>
      </c>
      <c r="L474" s="279" t="str">
        <f>IFERROR(__xludf.DUMMYFUNCTION("""COMPUTED_VALUE"""),"https://www.tiktok.com/@snowme.shop/video/7627506185498807572?_r=1&amp;u_code=dal30337ieiagk&amp;region=&amp;mid=7522454204213168918&amp;preview_pb=0&amp;sharer_language=&amp;_d=0&amp;ec_shared_reflux_dynamic_params=%7B%22placeholder_material_id%22%3A%227627506185498807572%22%2C%22p"&amp;"laceholder_origin_cover%22%3A%22https%253A%252F%252Fp16-sign-sg.tiktokcdn.com%252Ftos-alisg-p-0037%252Fo0AzW0JzfAAdALBqCIRawQIw7iIAS7QmZuiIA6~tplv-tiktokx-origin.jpeg%253Fdr%253D14572%2526refresh_token%253D617f93c1%2526x-expires%253D1808301600%2526x-signa"&amp;"ture%253DPN%25252Brnz%25252B6VilQfaA7RG3mxgOQEh0%25253D%2526t%253D4d5b0474%2526ps%253D13740610%2526shp%253Dd05b14bd%2526shcp%253D34ff8df6%2526idc%253Dmy3%2526s%253DTIKTOK_AFFILIATE_VIRAL_VIDEO%22%2C%22placeholder_product_id%22%3A%221729427766722726591%22%"&amp;"2C%22placeholder_video_id%22%3A%227627506185498807572%22%7D&amp;ec_shared_reflux_scene=shop_tab_feed&amp;share_item_id=7627506185498807572&amp;source=h5_t")</f>
        <v>https://www.tiktok.com/@snowme.shop/video/7627506185498807572?_r=1&amp;u_code=dal30337ieiagk&amp;region=&amp;mid=7522454204213168918&amp;preview_pb=0&amp;sharer_language=&amp;_d=0&amp;ec_shared_reflux_dynamic_params=%7B%22placeholder_material_id%22%3A%227627506185498807572%22%2C%22placeholder_origin_cover%22%3A%22https%253A%252F%252Fp16-sign-sg.tiktokcdn.com%252Ftos-alisg-p-0037%252Fo0AzW0JzfAAdALBqCIRawQIw7iIAS7QmZuiIA6~tplv-tiktokx-origin.jpeg%253Fdr%253D14572%2526refresh_token%253D617f93c1%2526x-expires%253D1808301600%2526x-signature%253DPN%25252Brnz%25252B6VilQfaA7RG3mxgOQEh0%25253D%2526t%253D4d5b0474%2526ps%253D13740610%2526shp%253Dd05b14bd%2526shcp%253D34ff8df6%2526idc%253Dmy3%2526s%253DTIKTOK_AFFILIATE_VIRAL_VIDEO%22%2C%22placeholder_product_id%22%3A%221729427766722726591%22%2C%22placeholder_video_id%22%3A%227627506185498807572%22%7D&amp;ec_shared_reflux_scene=shop_tab_feed&amp;share_item_id=7627506185498807572&amp;source=h5_t</v>
      </c>
      <c r="M474" s="464" t="str">
        <f>IFERROR(__xludf.DUMMYFUNCTION("""COMPUTED_VALUE"""),"KIMME")</f>
        <v>KIMME</v>
      </c>
      <c r="N474" s="279" t="str">
        <f>IFERROR(__xludf.DUMMYFUNCTION("""COMPUTED_VALUE"""),"https://www.tiktok.com/@snowme.shop/video/7627483819351870741?_r=1&amp;u_code=dal30337ieiagk&amp;region=&amp;mid=7616916036557867794&amp;preview_pb=0&amp;sharer_language=&amp;_d=0&amp;ec_shared_reflux_dynamic_params=%7B%22placeholder_material_id%22%3A%227627483819351870741%22%2C%22p"&amp;"laceholder_origin_cover%22%3A%22https%253A%252F%252Fp16-common-sign.tiktokcdn.com%252Ftos-alisg-p-0037%252Fo4RQnGQ3fBGHAfAvQkfRFlNaawLCGaPIANBler~tplv-tiktokx-origin.jpeg%253Fdr%253D14572%2526refresh_token%253Dc7fea0c7%2526x-expires%253D1808301600%2526x-s"&amp;"ignature%253DI7g%25252B94Kfd18GSW6rZCa9t3DWU%25252Fs%25253D%2526t%253D4d5b0474%2526ps%253D13740610%2526shp%253Dd05b14bd%2526shcp%253D34ff8df6%2526idc%253Dmy3%2526s%253DTIKTOK_AFFILIATE_VIRAL_VIDEO%22%2C%22placeholder_product_id%22%3A%221729427766722726591"&amp;"%22%2C%22placeholder_video_id%22%3A%227627483819351870741%22%7D&amp;ec_shared_reflux_scene=shop_tab_feed&amp;share_item_id=7627483819351870741&amp;source=h5_t")</f>
        <v>https://www.tiktok.com/@snowme.shop/video/7627483819351870741?_r=1&amp;u_code=dal30337ieiagk&amp;region=&amp;mid=7616916036557867794&amp;preview_pb=0&amp;sharer_language=&amp;_d=0&amp;ec_shared_reflux_dynamic_params=%7B%22placeholder_material_id%22%3A%227627483819351870741%22%2C%22placeholder_origin_cover%22%3A%22https%253A%252F%252Fp16-common-sign.tiktokcdn.com%252Ftos-alisg-p-0037%252Fo4RQnGQ3fBGHAfAvQkfRFlNaawLCGaPIANBler~tplv-tiktokx-origin.jpeg%253Fdr%253D14572%2526refresh_token%253Dc7fea0c7%2526x-expires%253D1808301600%2526x-signature%253DI7g%25252B94Kfd18GSW6rZCa9t3DWU%25252Fs%25253D%2526t%253D4d5b0474%2526ps%253D13740610%2526shp%253Dd05b14bd%2526shcp%253D34ff8df6%2526idc%253Dmy3%2526s%253DTIKTOK_AFFILIATE_VIRAL_VIDEO%22%2C%22placeholder_product_id%22%3A%221729427766722726591%22%2C%22placeholder_video_id%22%3A%227627483819351870741%22%7D&amp;ec_shared_reflux_scene=shop_tab_feed&amp;share_item_id=7627483819351870741&amp;source=h5_t</v>
      </c>
      <c r="O474" s="464" t="str">
        <f>IFERROR(__xludf.DUMMYFUNCTION("""COMPUTED_VALUE"""),"KIMME")</f>
        <v>KIMME</v>
      </c>
      <c r="P474" s="17" t="str">
        <f>IFERROR(__xludf.DUMMYFUNCTION("""COMPUTED_VALUE"""),"⁠https://vt.tiktok.com/ZS9e4j8ej/")</f>
        <v>⁠https://vt.tiktok.com/ZS9e4j8ej/</v>
      </c>
    </row>
    <row r="475">
      <c r="A475" s="255" t="str">
        <f>IFERROR(__xludf.DUMMYFUNCTION("""COMPUTED_VALUE"""),"MICRO")</f>
        <v>MICRO</v>
      </c>
      <c r="B475" s="361" t="str">
        <f>IFERROR(__xludf.DUMMYFUNCTION("""COMPUTED_VALUE"""),"mamiiimecca")</f>
        <v>mamiiimecca</v>
      </c>
      <c r="C475" s="257" t="str">
        <f>IFERROR(__xludf.DUMMYFUNCTION("""COMPUTED_VALUE"""),"https://www.tiktok.com/@mamiiimecca")</f>
        <v>https://www.tiktok.com/@mamiiimecca</v>
      </c>
      <c r="D475" s="270">
        <f>IFERROR(__xludf.DUMMYFUNCTION("""COMPUTED_VALUE"""),8.9677955858E10)</f>
        <v>89677955858</v>
      </c>
      <c r="E475" s="457">
        <f>IFERROR(__xludf.DUMMYFUNCTION("""COMPUTED_VALUE"""),0.0)</f>
        <v>0</v>
      </c>
      <c r="F475" s="270">
        <f>IFERROR(__xludf.DUMMYFUNCTION("""COMPUTED_VALUE"""),4.0)</f>
        <v>4</v>
      </c>
      <c r="G475" s="17" t="str">
        <f>IFERROR(__xludf.DUMMYFUNCTION("""COMPUTED_VALUE"""),"Sabun batang 1 Box ( 2 PCS )")</f>
        <v>Sabun batang 1 Box ( 2 PCS )</v>
      </c>
      <c r="H475" s="463" t="str">
        <f>IFERROR(__xludf.DUMMYFUNCTION("""COMPUTED_VALUE"""),"Sampai")</f>
        <v>Sampai</v>
      </c>
      <c r="I475" s="464" t="str">
        <f>IFERROR(__xludf.DUMMYFUNCTION("""COMPUTED_VALUE"""),"KIMME")</f>
        <v>KIMME</v>
      </c>
      <c r="J475" s="279" t="str">
        <f>IFERROR(__xludf.DUMMYFUNCTION("""COMPUTED_VALUE"""),"https://vt.tiktok.com/ZSHmteUjs/")</f>
        <v>https://vt.tiktok.com/ZSHmteUjs/</v>
      </c>
      <c r="K475" s="464" t="str">
        <f>IFERROR(__xludf.DUMMYFUNCTION("""COMPUTED_VALUE"""),"KIMME")</f>
        <v>KIMME</v>
      </c>
      <c r="L475" s="279" t="str">
        <f>IFERROR(__xludf.DUMMYFUNCTION("""COMPUTED_VALUE"""),"https://vt.tiktok.com/ZSHs1FfRL/")</f>
        <v>https://vt.tiktok.com/ZSHs1FfRL/</v>
      </c>
      <c r="M475" s="464"/>
      <c r="N475" s="279" t="str">
        <f>IFERROR(__xludf.DUMMYFUNCTION("""COMPUTED_VALUE"""),"https://vt.tiktok.com/ZS9qdcbTk/")</f>
        <v>https://vt.tiktok.com/ZS9qdcbTk/</v>
      </c>
      <c r="O475" s="464"/>
      <c r="P475" s="17" t="str">
        <f>IFERROR(__xludf.DUMMYFUNCTION("""COMPUTED_VALUE"""),"⁠https://vt.tiktok.com/ZS93SLyeB/")</f>
        <v>⁠https://vt.tiktok.com/ZS93SLyeB/</v>
      </c>
    </row>
    <row r="476">
      <c r="A476" s="255" t="str">
        <f>IFERROR(__xludf.DUMMYFUNCTION("""COMPUTED_VALUE"""),"MICRO")</f>
        <v>MICRO</v>
      </c>
      <c r="B476" s="361" t="str">
        <f>IFERROR(__xludf.DUMMYFUNCTION("""COMPUTED_VALUE"""),"chikaa_sm20")</f>
        <v>chikaa_sm20</v>
      </c>
      <c r="C476" s="257" t="str">
        <f>IFERROR(__xludf.DUMMYFUNCTION("""COMPUTED_VALUE"""),"https://www.tiktok.com/@chikaa_sm20")</f>
        <v>https://www.tiktok.com/@chikaa_sm20</v>
      </c>
      <c r="D476" s="270">
        <f>IFERROR(__xludf.DUMMYFUNCTION("""COMPUTED_VALUE"""),8.9635529458E10)</f>
        <v>89635529458</v>
      </c>
      <c r="E476" s="457">
        <f>IFERROR(__xludf.DUMMYFUNCTION("""COMPUTED_VALUE"""),0.0)</f>
        <v>0</v>
      </c>
      <c r="F476" s="270">
        <f>IFERROR(__xludf.DUMMYFUNCTION("""COMPUTED_VALUE"""),2.0)</f>
        <v>2</v>
      </c>
      <c r="G476" s="17" t="str">
        <f>IFERROR(__xludf.DUMMYFUNCTION("""COMPUTED_VALUE"""),"Sabun batang 1 Box ( 2 PCS )")</f>
        <v>Sabun batang 1 Box ( 2 PCS )</v>
      </c>
      <c r="H476" s="463" t="str">
        <f>IFERROR(__xludf.DUMMYFUNCTION("""COMPUTED_VALUE"""),"Sampai")</f>
        <v>Sampai</v>
      </c>
      <c r="I476" s="464" t="str">
        <f>IFERROR(__xludf.DUMMYFUNCTION("""COMPUTED_VALUE"""),"KIMME")</f>
        <v>KIMME</v>
      </c>
      <c r="J476" s="279" t="str">
        <f>IFERROR(__xludf.DUMMYFUNCTION("""COMPUTED_VALUE"""),"https://vt.tiktok.com/ZSHHabavf/")</f>
        <v>https://vt.tiktok.com/ZSHHabavf/</v>
      </c>
      <c r="K476" s="464" t="str">
        <f>IFERROR(__xludf.DUMMYFUNCTION("""COMPUTED_VALUE"""),"KIMME")</f>
        <v>KIMME</v>
      </c>
      <c r="L476" s="279" t="str">
        <f>IFERROR(__xludf.DUMMYFUNCTION("""COMPUTED_VALUE"""),"https://vt.tiktok.com/ZS9erP9aj/")</f>
        <v>https://vt.tiktok.com/ZS9erP9aj/</v>
      </c>
      <c r="M476" s="464"/>
      <c r="N476" s="17" t="str">
        <f>IFERROR(__xludf.DUMMYFUNCTION("""COMPUTED_VALUE"""),"⁠https://vt.tiktok.com/ZS93ShBQM/")</f>
        <v>⁠https://vt.tiktok.com/ZS93ShBQM/</v>
      </c>
      <c r="O476" s="464"/>
      <c r="P476" s="17" t="str">
        <f>IFERROR(__xludf.DUMMYFUNCTION("""COMPUTED_VALUE"""),"⁠https://vt.tiktok.com/ZS93SVWUr/")</f>
        <v>⁠https://vt.tiktok.com/ZS93SVWUr/</v>
      </c>
    </row>
    <row r="477">
      <c r="A477" s="255" t="str">
        <f>IFERROR(__xludf.DUMMYFUNCTION("""COMPUTED_VALUE"""),"MICRO")</f>
        <v>MICRO</v>
      </c>
      <c r="B477" s="361" t="str">
        <f>IFERROR(__xludf.DUMMYFUNCTION("""COMPUTED_VALUE"""),"ditya.dsty")</f>
        <v>ditya.dsty</v>
      </c>
      <c r="C477" s="257" t="str">
        <f>IFERROR(__xludf.DUMMYFUNCTION("""COMPUTED_VALUE"""),"https://www.tiktok.com/@ditya.dsty")</f>
        <v>https://www.tiktok.com/@ditya.dsty</v>
      </c>
      <c r="D477" s="270">
        <f>IFERROR(__xludf.DUMMYFUNCTION("""COMPUTED_VALUE"""),8.2334849864E10)</f>
        <v>82334849864</v>
      </c>
      <c r="E477" s="457">
        <f>IFERROR(__xludf.DUMMYFUNCTION("""COMPUTED_VALUE"""),0.0)</f>
        <v>0</v>
      </c>
      <c r="F477" s="270">
        <f>IFERROR(__xludf.DUMMYFUNCTION("""COMPUTED_VALUE"""),4.0)</f>
        <v>4</v>
      </c>
      <c r="G477" s="17" t="str">
        <f>IFERROR(__xludf.DUMMYFUNCTION("""COMPUTED_VALUE"""),"Sabun batang 1 Box ( 2 PCS )")</f>
        <v>Sabun batang 1 Box ( 2 PCS )</v>
      </c>
      <c r="H477" s="463" t="str">
        <f>IFERROR(__xludf.DUMMYFUNCTION("""COMPUTED_VALUE"""),"Sampai")</f>
        <v>Sampai</v>
      </c>
      <c r="I477" s="464" t="str">
        <f>IFERROR(__xludf.DUMMYFUNCTION("""COMPUTED_VALUE"""),"KIMME")</f>
        <v>KIMME</v>
      </c>
      <c r="J477" s="279" t="str">
        <f>IFERROR(__xludf.DUMMYFUNCTION("""COMPUTED_VALUE"""),"https://vt.tiktok.com/ZS9ejyqSj/")</f>
        <v>https://vt.tiktok.com/ZS9ejyqSj/</v>
      </c>
      <c r="K477" s="464" t="str">
        <f>IFERROR(__xludf.DUMMYFUNCTION("""COMPUTED_VALUE"""),"KIMME")</f>
        <v>KIMME</v>
      </c>
      <c r="L477" s="17" t="str">
        <f>IFERROR(__xludf.DUMMYFUNCTION("""COMPUTED_VALUE"""),"⁠https://vt.tiktok.com/ZS9dX9B3P/")</f>
        <v>⁠https://vt.tiktok.com/ZS9dX9B3P/</v>
      </c>
      <c r="M477" s="464" t="str">
        <f>IFERROR(__xludf.DUMMYFUNCTION("""COMPUTED_VALUE"""),"KIMME")</f>
        <v>KIMME</v>
      </c>
      <c r="N477" s="17" t="str">
        <f>IFERROR(__xludf.DUMMYFUNCTION("""COMPUTED_VALUE"""),"⁠https://vt.tiktok.com/ZS9dXBgku/")</f>
        <v>⁠https://vt.tiktok.com/ZS9dXBgku/</v>
      </c>
      <c r="O477" s="464" t="str">
        <f>IFERROR(__xludf.DUMMYFUNCTION("""COMPUTED_VALUE"""),"KIMME")</f>
        <v>KIMME</v>
      </c>
      <c r="P477" s="279" t="str">
        <f>IFERROR(__xludf.DUMMYFUNCTION("""COMPUTED_VALUE"""),"https://vt.tiktok.com/ZS9dKn3qx/")</f>
        <v>https://vt.tiktok.com/ZS9dKn3qx/</v>
      </c>
    </row>
    <row r="478">
      <c r="A478" s="255" t="str">
        <f>IFERROR(__xludf.DUMMYFUNCTION("""COMPUTED_VALUE"""),"MICRO")</f>
        <v>MICRO</v>
      </c>
      <c r="B478" s="361" t="str">
        <f>IFERROR(__xludf.DUMMYFUNCTION("""COMPUTED_VALUE"""),"anovita07")</f>
        <v>anovita07</v>
      </c>
      <c r="C478" s="257" t="str">
        <f>IFERROR(__xludf.DUMMYFUNCTION("""COMPUTED_VALUE"""),"https://www.tiktok.com/@anovita07")</f>
        <v>https://www.tiktok.com/@anovita07</v>
      </c>
      <c r="D478" s="270">
        <f>IFERROR(__xludf.DUMMYFUNCTION("""COMPUTED_VALUE"""),8.9529177854E10)</f>
        <v>89529177854</v>
      </c>
      <c r="E478" s="457">
        <f>IFERROR(__xludf.DUMMYFUNCTION("""COMPUTED_VALUE"""),250000.0)</f>
        <v>250000</v>
      </c>
      <c r="F478" s="270">
        <f>IFERROR(__xludf.DUMMYFUNCTION("""COMPUTED_VALUE"""),4.0)</f>
        <v>4</v>
      </c>
      <c r="G478" s="17" t="str">
        <f>IFERROR(__xludf.DUMMYFUNCTION("""COMPUTED_VALUE"""),"Sabun batang 1 Box ( 2 PCS )")</f>
        <v>Sabun batang 1 Box ( 2 PCS )</v>
      </c>
      <c r="H478" s="463" t="str">
        <f>IFERROR(__xludf.DUMMYFUNCTION("""COMPUTED_VALUE"""),"Sampai")</f>
        <v>Sampai</v>
      </c>
      <c r="I478" s="464" t="str">
        <f>IFERROR(__xludf.DUMMYFUNCTION("""COMPUTED_VALUE"""),"KIMME")</f>
        <v>KIMME</v>
      </c>
      <c r="J478" s="279" t="str">
        <f>IFERROR(__xludf.DUMMYFUNCTION("""COMPUTED_VALUE"""),"https://www.tiktok.com/@anovita07/video/7625647078210800914?is_from_webapp=1&amp;sender_device=pc")</f>
        <v>https://www.tiktok.com/@anovita07/video/7625647078210800914?is_from_webapp=1&amp;sender_device=pc</v>
      </c>
      <c r="K478" s="464" t="str">
        <f>IFERROR(__xludf.DUMMYFUNCTION("""COMPUTED_VALUE"""),"KIMME")</f>
        <v>KIMME</v>
      </c>
      <c r="L478" s="279" t="str">
        <f>IFERROR(__xludf.DUMMYFUNCTION("""COMPUTED_VALUE"""),"https://vt.tiktok.com/ZSHmeeLyc/")</f>
        <v>https://vt.tiktok.com/ZSHmeeLyc/</v>
      </c>
      <c r="M478" s="464" t="str">
        <f>IFERROR(__xludf.DUMMYFUNCTION("""COMPUTED_VALUE"""),"KIMME")</f>
        <v>KIMME</v>
      </c>
      <c r="N478" s="279" t="str">
        <f>IFERROR(__xludf.DUMMYFUNCTION("""COMPUTED_VALUE"""),"https://vt.tiktok.com/ZSHcMAPFJ/")</f>
        <v>https://vt.tiktok.com/ZSHcMAPFJ/</v>
      </c>
      <c r="O478" s="464" t="str">
        <f>IFERROR(__xludf.DUMMYFUNCTION("""COMPUTED_VALUE"""),"KIMME")</f>
        <v>KIMME</v>
      </c>
      <c r="P478" s="279" t="str">
        <f>IFERROR(__xludf.DUMMYFUNCTION("""COMPUTED_VALUE"""),"https://vt.tiktok.com/ZSHcM9f6W/")</f>
        <v>https://vt.tiktok.com/ZSHcM9f6W/</v>
      </c>
    </row>
    <row r="479">
      <c r="A479" s="255" t="str">
        <f>IFERROR(__xludf.DUMMYFUNCTION("""COMPUTED_VALUE"""),"MICRO")</f>
        <v>MICRO</v>
      </c>
      <c r="B479" s="361" t="str">
        <f>IFERROR(__xludf.DUMMYFUNCTION("""COMPUTED_VALUE"""),"victoriaallysa")</f>
        <v>victoriaallysa</v>
      </c>
      <c r="C479" s="257" t="str">
        <f>IFERROR(__xludf.DUMMYFUNCTION("""COMPUTED_VALUE"""),"https://www.tiktok.com/@victoriaallysa")</f>
        <v>https://www.tiktok.com/@victoriaallysa</v>
      </c>
      <c r="D479" s="270">
        <f>IFERROR(__xludf.DUMMYFUNCTION("""COMPUTED_VALUE"""),8.980099981E9)</f>
        <v>8980099981</v>
      </c>
      <c r="E479" s="457">
        <f>IFERROR(__xludf.DUMMYFUNCTION("""COMPUTED_VALUE"""),0.0)</f>
        <v>0</v>
      </c>
      <c r="F479" s="270">
        <f>IFERROR(__xludf.DUMMYFUNCTION("""COMPUTED_VALUE"""),4.0)</f>
        <v>4</v>
      </c>
      <c r="G479" s="17" t="str">
        <f>IFERROR(__xludf.DUMMYFUNCTION("""COMPUTED_VALUE"""),"Sabun batang 1 Box ( 2 PCS )")</f>
        <v>Sabun batang 1 Box ( 2 PCS )</v>
      </c>
      <c r="H479" s="463" t="str">
        <f>IFERROR(__xludf.DUMMYFUNCTION("""COMPUTED_VALUE"""),"Sampai")</f>
        <v>Sampai</v>
      </c>
      <c r="I479" s="464" t="str">
        <f>IFERROR(__xludf.DUMMYFUNCTION("""COMPUTED_VALUE"""),"KIMME")</f>
        <v>KIMME</v>
      </c>
      <c r="J479" s="279" t="str">
        <f>IFERROR(__xludf.DUMMYFUNCTION("""COMPUTED_VALUE"""),"https://vt.tiktok.com/ZS9dK3CmH/")</f>
        <v>https://vt.tiktok.com/ZS9dK3CmH/</v>
      </c>
      <c r="K479" s="464" t="str">
        <f>IFERROR(__xludf.DUMMYFUNCTION("""COMPUTED_VALUE"""),"KIMME")</f>
        <v>KIMME</v>
      </c>
      <c r="L479" s="279" t="str">
        <f>IFERROR(__xludf.DUMMYFUNCTION("""COMPUTED_VALUE"""),"https://vt.tiktok.com/ZS9JBwNxE/")</f>
        <v>https://vt.tiktok.com/ZS9JBwNxE/</v>
      </c>
      <c r="M479" s="464" t="str">
        <f>IFERROR(__xludf.DUMMYFUNCTION("""COMPUTED_VALUE"""),"KIMME")</f>
        <v>KIMME</v>
      </c>
      <c r="N479" s="279" t="str">
        <f>IFERROR(__xludf.DUMMYFUNCTION("""COMPUTED_VALUE"""),"https://vt.tiktok.com/ZS9JSLRN9/")</f>
        <v>https://vt.tiktok.com/ZS9JSLRN9/</v>
      </c>
      <c r="O479" s="464" t="str">
        <f>IFERROR(__xludf.DUMMYFUNCTION("""COMPUTED_VALUE"""),"KIMME")</f>
        <v>KIMME</v>
      </c>
      <c r="P479" s="279" t="str">
        <f>IFERROR(__xludf.DUMMYFUNCTION("""COMPUTED_VALUE"""),"https://vt.tiktok.com/ZS9JBGmCP/")</f>
        <v>https://vt.tiktok.com/ZS9JBGmCP/</v>
      </c>
    </row>
    <row r="480">
      <c r="A480" s="255" t="str">
        <f>IFERROR(__xludf.DUMMYFUNCTION("""COMPUTED_VALUE"""),"MICRO")</f>
        <v>MICRO</v>
      </c>
      <c r="B480" s="361" t="str">
        <f>IFERROR(__xludf.DUMMYFUNCTION("""COMPUTED_VALUE"""),"ltanih")</f>
        <v>ltanih</v>
      </c>
      <c r="C480" s="257" t="str">
        <f>IFERROR(__xludf.DUMMYFUNCTION("""COMPUTED_VALUE"""),"https://www.tiktok.com/@ltanih")</f>
        <v>https://www.tiktok.com/@ltanih</v>
      </c>
      <c r="D480" s="270">
        <f>IFERROR(__xludf.DUMMYFUNCTION("""COMPUTED_VALUE"""),8.98169265E9)</f>
        <v>8981692650</v>
      </c>
      <c r="E480" s="457">
        <f>IFERROR(__xludf.DUMMYFUNCTION("""COMPUTED_VALUE"""),0.0)</f>
        <v>0</v>
      </c>
      <c r="F480" s="270">
        <f>IFERROR(__xludf.DUMMYFUNCTION("""COMPUTED_VALUE"""),4.0)</f>
        <v>4</v>
      </c>
      <c r="G480" s="17" t="str">
        <f>IFERROR(__xludf.DUMMYFUNCTION("""COMPUTED_VALUE"""),"Sabun batang 1 Box ( 2 PCS )")</f>
        <v>Sabun batang 1 Box ( 2 PCS )</v>
      </c>
      <c r="H480" s="463" t="str">
        <f>IFERROR(__xludf.DUMMYFUNCTION("""COMPUTED_VALUE"""),"Sampai")</f>
        <v>Sampai</v>
      </c>
      <c r="I480" s="464" t="str">
        <f>IFERROR(__xludf.DUMMYFUNCTION("""COMPUTED_VALUE"""),"KIMME")</f>
        <v>KIMME</v>
      </c>
      <c r="J480" s="279" t="str">
        <f>IFERROR(__xludf.DUMMYFUNCTION("""COMPUTED_VALUE"""),"https://vt.tiktok.com/ZS9JPSWq2/")</f>
        <v>https://vt.tiktok.com/ZS9JPSWq2/</v>
      </c>
      <c r="K480" s="464" t="str">
        <f>IFERROR(__xludf.DUMMYFUNCTION("""COMPUTED_VALUE"""),"KIMME")</f>
        <v>KIMME</v>
      </c>
      <c r="L480" s="279" t="str">
        <f>IFERROR(__xludf.DUMMYFUNCTION("""COMPUTED_VALUE"""),"https://vt.tiktok.com/ZS9JPFAvy/")</f>
        <v>https://vt.tiktok.com/ZS9JPFAvy/</v>
      </c>
      <c r="M480" s="464" t="str">
        <f>IFERROR(__xludf.DUMMYFUNCTION("""COMPUTED_VALUE"""),"KIMME")</f>
        <v>KIMME</v>
      </c>
      <c r="N480" s="17" t="str">
        <f>IFERROR(__xludf.DUMMYFUNCTION("""COMPUTED_VALUE"""),"⁠https://vt.tiktok.com/ZS9eXnj5k/")</f>
        <v>⁠https://vt.tiktok.com/ZS9eXnj5k/</v>
      </c>
      <c r="O480" s="464" t="str">
        <f>IFERROR(__xludf.DUMMYFUNCTION("""COMPUTED_VALUE"""),"KIMME")</f>
        <v>KIMME</v>
      </c>
      <c r="P480" s="17" t="str">
        <f>IFERROR(__xludf.DUMMYFUNCTION("""COMPUTED_VALUE"""),"⁠https://vt.tiktok.com/ZS9eXwYBC/")</f>
        <v>⁠https://vt.tiktok.com/ZS9eXwYBC/</v>
      </c>
    </row>
    <row r="481">
      <c r="A481" s="255" t="str">
        <f>IFERROR(__xludf.DUMMYFUNCTION("""COMPUTED_VALUE"""),"MICRO")</f>
        <v>MICRO</v>
      </c>
      <c r="B481" s="361" t="str">
        <f>IFERROR(__xludf.DUMMYFUNCTION("""COMPUTED_VALUE"""),"harmoni._79")</f>
        <v>harmoni._79</v>
      </c>
      <c r="C481" s="257" t="str">
        <f>IFERROR(__xludf.DUMMYFUNCTION("""COMPUTED_VALUE"""),"https://www.tiktok.com/@harmoni._79")</f>
        <v>https://www.tiktok.com/@harmoni._79</v>
      </c>
      <c r="D481" s="270">
        <f>IFERROR(__xludf.DUMMYFUNCTION("""COMPUTED_VALUE"""),8.2226842969E10)</f>
        <v>82226842969</v>
      </c>
      <c r="E481" s="457">
        <f>IFERROR(__xludf.DUMMYFUNCTION("""COMPUTED_VALUE"""),0.0)</f>
        <v>0</v>
      </c>
      <c r="F481" s="270">
        <f>IFERROR(__xludf.DUMMYFUNCTION("""COMPUTED_VALUE"""),3.0)</f>
        <v>3</v>
      </c>
      <c r="G481" s="17" t="str">
        <f>IFERROR(__xludf.DUMMYFUNCTION("""COMPUTED_VALUE"""),"Sabun batang 1 Box ( 2 PCS )")</f>
        <v>Sabun batang 1 Box ( 2 PCS )</v>
      </c>
      <c r="H481" s="463" t="str">
        <f>IFERROR(__xludf.DUMMYFUNCTION("""COMPUTED_VALUE"""),"Sampai")</f>
        <v>Sampai</v>
      </c>
      <c r="I481" s="464" t="str">
        <f>IFERROR(__xludf.DUMMYFUNCTION("""COMPUTED_VALUE"""),"KIMME")</f>
        <v>KIMME</v>
      </c>
      <c r="J481" s="279" t="str">
        <f>IFERROR(__xludf.DUMMYFUNCTION("""COMPUTED_VALUE"""),"https://vt.tiktok.com/ZS9RbXb5N/")</f>
        <v>https://vt.tiktok.com/ZS9RbXb5N/</v>
      </c>
      <c r="K481" s="464" t="str">
        <f>IFERROR(__xludf.DUMMYFUNCTION("""COMPUTED_VALUE"""),"KIMME")</f>
        <v>KIMME</v>
      </c>
      <c r="L481" s="279" t="str">
        <f>IFERROR(__xludf.DUMMYFUNCTION("""COMPUTED_VALUE"""),"https://vt.tiktok.com/ZS9RbbULF/")</f>
        <v>https://vt.tiktok.com/ZS9RbbULF/</v>
      </c>
      <c r="M481" s="464" t="str">
        <f>IFERROR(__xludf.DUMMYFUNCTION("""COMPUTED_VALUE"""),"KIMME")</f>
        <v>KIMME</v>
      </c>
      <c r="N481" s="279" t="str">
        <f>IFERROR(__xludf.DUMMYFUNCTION("""COMPUTED_VALUE"""),"https://vt.tiktok.com/ZS9LLjPtQ/")</f>
        <v>https://vt.tiktok.com/ZS9LLjPtQ/</v>
      </c>
      <c r="O481" s="464"/>
      <c r="P481" s="279" t="str">
        <f>IFERROR(__xludf.DUMMYFUNCTION("""COMPUTED_VALUE"""),"https://vt.tiktok.com/ZS93SM638/")</f>
        <v>https://vt.tiktok.com/ZS93SM638/</v>
      </c>
    </row>
    <row r="482">
      <c r="A482" s="255" t="str">
        <f>IFERROR(__xludf.DUMMYFUNCTION("""COMPUTED_VALUE"""),"MICRO")</f>
        <v>MICRO</v>
      </c>
      <c r="B482" s="361" t="str">
        <f>IFERROR(__xludf.DUMMYFUNCTION("""COMPUTED_VALUE"""),"papaphoki")</f>
        <v>papaphoki</v>
      </c>
      <c r="C482" s="257" t="str">
        <f>IFERROR(__xludf.DUMMYFUNCTION("""COMPUTED_VALUE"""),"https://www.tiktok.com/@papaphoki")</f>
        <v>https://www.tiktok.com/@papaphoki</v>
      </c>
      <c r="D482" s="270">
        <f>IFERROR(__xludf.DUMMYFUNCTION("""COMPUTED_VALUE"""),8.7822823295E10)</f>
        <v>87822823295</v>
      </c>
      <c r="E482" s="457">
        <f>IFERROR(__xludf.DUMMYFUNCTION("""COMPUTED_VALUE"""),150000.0)</f>
        <v>150000</v>
      </c>
      <c r="F482" s="270">
        <f>IFERROR(__xludf.DUMMYFUNCTION("""COMPUTED_VALUE"""),1.0)</f>
        <v>1</v>
      </c>
      <c r="G482" s="17" t="str">
        <f>IFERROR(__xludf.DUMMYFUNCTION("""COMPUTED_VALUE"""),"Sabun batang 1 Box ( 2 PCS )")</f>
        <v>Sabun batang 1 Box ( 2 PCS )</v>
      </c>
      <c r="H482" s="463" t="str">
        <f>IFERROR(__xludf.DUMMYFUNCTION("""COMPUTED_VALUE"""),"Sampai")</f>
        <v>Sampai</v>
      </c>
      <c r="I482" s="464" t="str">
        <f>IFERROR(__xludf.DUMMYFUNCTION("""COMPUTED_VALUE"""),"KIMME")</f>
        <v>KIMME</v>
      </c>
      <c r="J482" s="279" t="str">
        <f>IFERROR(__xludf.DUMMYFUNCTION("""COMPUTED_VALUE"""),"https://www.tiktok.com/@papaphoki/video/7622079523416263943?is_from_webapp=1&amp;sender_device=pc")</f>
        <v>https://www.tiktok.com/@papaphoki/video/7622079523416263943?is_from_webapp=1&amp;sender_device=pc</v>
      </c>
      <c r="K482" s="464" t="str">
        <f>IFERROR(__xludf.DUMMYFUNCTION("""COMPUTED_VALUE"""),"KIMME")</f>
        <v>KIMME</v>
      </c>
      <c r="L482" s="279" t="str">
        <f>IFERROR(__xludf.DUMMYFUNCTION("""COMPUTED_VALUE"""),"https://www.tiktok.com/@papaphoki/video/7623677333609696519?is_from_webapp=1&amp;sender_device=pc")</f>
        <v>https://www.tiktok.com/@papaphoki/video/7623677333609696519?is_from_webapp=1&amp;sender_device=pc</v>
      </c>
      <c r="M482" s="464" t="str">
        <f>IFERROR(__xludf.DUMMYFUNCTION("""COMPUTED_VALUE"""),"KIMME")</f>
        <v>KIMME</v>
      </c>
      <c r="N482" s="279" t="str">
        <f>IFERROR(__xludf.DUMMYFUNCTION("""COMPUTED_VALUE"""),"https://vt.tiktok.com/ZSHUttppd/")</f>
        <v>https://vt.tiktok.com/ZSHUttppd/</v>
      </c>
      <c r="O482" s="464" t="str">
        <f>IFERROR(__xludf.DUMMYFUNCTION("""COMPUTED_VALUE"""),"KIMME")</f>
        <v>KIMME</v>
      </c>
      <c r="P482" s="279" t="str">
        <f>IFERROR(__xludf.DUMMYFUNCTION("""COMPUTED_VALUE"""),"https://www.tiktok.com/@papaphoki/video/7629007153344400658?_r=1&amp;u_code=ebh28g7h5flmf1&amp;region=&amp;mid=7512358213874977537&amp;preview_pb=0&amp;sharer_language=&amp;_d=0&amp;ec_shared_reflux_dynamic_params=%7B%22placeholder_material_id%22%3A%227629007153344400658%22%2C%22pla"&amp;"ceholder_origin_cover%22%3A%22https%253A%252F%252Fp16-common-sign.tiktokcdn.com%252Ftos-alisg-p-0037%252FoEgBBzpCCrRIECjEF6Am6QQDfgcc3kOBC7fTZ8~tplv-tiktokx-origin.jpeg%253Fdr%253D14572%2526refresh_token%253Ddffe843c%2526x-expires%253D1808204400%2526x-sig"&amp;"nature%253DWhaN95tGV11NCgAWfDziTpheUm4%25253D%2526t%253D4d5b0474%2526ps%253D13740610%2526shp%253Dd05b14bd%2526shcp%253D34ff8df6%2526idc%253Dmy3%2526s%253DTIKTOK_AFFILIATE_VIRAL_VIDEO%22%2C%22placeholder_product_id%22%3A%221729427766722726591%22%2C%22place"&amp;"holder_video_id%22%3A%227629007153344400658%22%7D&amp;ec_shared_reflux_scene=shop_tab_feed&amp;share_item_id=7629007153344400658&amp;source=h5_t")</f>
        <v>https://www.tiktok.com/@papaphoki/video/7629007153344400658?_r=1&amp;u_code=ebh28g7h5flmf1&amp;region=&amp;mid=7512358213874977537&amp;preview_pb=0&amp;sharer_language=&amp;_d=0&amp;ec_shared_reflux_dynamic_params=%7B%22placeholder_material_id%22%3A%227629007153344400658%22%2C%22placeholder_origin_cover%22%3A%22https%253A%252F%252Fp16-common-sign.tiktokcdn.com%252Ftos-alisg-p-0037%252FoEgBBzpCCrRIECjEF6Am6QQDfgcc3kOBC7fTZ8~tplv-tiktokx-origin.jpeg%253Fdr%253D14572%2526refresh_token%253Ddffe843c%2526x-expires%253D1808204400%2526x-signature%253DWhaN95tGV11NCgAWfDziTpheUm4%25253D%2526t%253D4d5b0474%2526ps%253D13740610%2526shp%253Dd05b14bd%2526shcp%253D34ff8df6%2526idc%253Dmy3%2526s%253DTIKTOK_AFFILIATE_VIRAL_VIDEO%22%2C%22placeholder_product_id%22%3A%221729427766722726591%22%2C%22placeholder_video_id%22%3A%227629007153344400658%22%7D&amp;ec_shared_reflux_scene=shop_tab_feed&amp;share_item_id=7629007153344400658&amp;source=h5_t</v>
      </c>
    </row>
    <row r="483">
      <c r="A483" s="255" t="str">
        <f>IFERROR(__xludf.DUMMYFUNCTION("""COMPUTED_VALUE"""),"MICRO")</f>
        <v>MICRO</v>
      </c>
      <c r="B483" s="361" t="str">
        <f>IFERROR(__xludf.DUMMYFUNCTION("""COMPUTED_VALUE"""),"d_icollection")</f>
        <v>d_icollection</v>
      </c>
      <c r="C483" s="257" t="str">
        <f>IFERROR(__xludf.DUMMYFUNCTION("""COMPUTED_VALUE"""),"https://www.tiktok.com/@d_icollection")</f>
        <v>https://www.tiktok.com/@d_icollection</v>
      </c>
      <c r="D483" s="270">
        <f>IFERROR(__xludf.DUMMYFUNCTION("""COMPUTED_VALUE"""),8.5811503325E10)</f>
        <v>85811503325</v>
      </c>
      <c r="E483" s="457">
        <f>IFERROR(__xludf.DUMMYFUNCTION("""COMPUTED_VALUE"""),0.0)</f>
        <v>0</v>
      </c>
      <c r="F483" s="270">
        <f>IFERROR(__xludf.DUMMYFUNCTION("""COMPUTED_VALUE"""),4.0)</f>
        <v>4</v>
      </c>
      <c r="G483" s="17" t="str">
        <f>IFERROR(__xludf.DUMMYFUNCTION("""COMPUTED_VALUE"""),"Sabun batang 1 Box ( 2 PCS )")</f>
        <v>Sabun batang 1 Box ( 2 PCS )</v>
      </c>
      <c r="H483" s="463" t="str">
        <f>IFERROR(__xludf.DUMMYFUNCTION("""COMPUTED_VALUE"""),"Sampai")</f>
        <v>Sampai</v>
      </c>
      <c r="I483" s="464" t="str">
        <f>IFERROR(__xludf.DUMMYFUNCTION("""COMPUTED_VALUE"""),"KIMME")</f>
        <v>KIMME</v>
      </c>
      <c r="J483" s="17" t="str">
        <f>IFERROR(__xludf.DUMMYFUNCTION("""COMPUTED_VALUE"""),"⁠https://vt.tiktok.com/ZS9e4Joak/")</f>
        <v>⁠https://vt.tiktok.com/ZS9e4Joak/</v>
      </c>
      <c r="K483" s="464" t="str">
        <f>IFERROR(__xludf.DUMMYFUNCTION("""COMPUTED_VALUE"""),"KIMME")</f>
        <v>KIMME</v>
      </c>
      <c r="L483" s="17" t="str">
        <f>IFERROR(__xludf.DUMMYFUNCTION("""COMPUTED_VALUE"""),"⁠https://vt.tiktok.com/ZS9e4LcDH/")</f>
        <v>⁠https://vt.tiktok.com/ZS9e4LcDH/</v>
      </c>
      <c r="M483" s="464" t="str">
        <f>IFERROR(__xludf.DUMMYFUNCTION("""COMPUTED_VALUE"""),"KIMME")</f>
        <v>KIMME</v>
      </c>
      <c r="N483" s="17" t="str">
        <f>IFERROR(__xludf.DUMMYFUNCTION("""COMPUTED_VALUE"""),"⁠https://vt.tiktok.com/ZS9eXg9Fq/")</f>
        <v>⁠https://vt.tiktok.com/ZS9eXg9Fq/</v>
      </c>
      <c r="O483" s="464" t="str">
        <f>IFERROR(__xludf.DUMMYFUNCTION("""COMPUTED_VALUE"""),"KIMME")</f>
        <v>KIMME</v>
      </c>
      <c r="P483" s="17" t="str">
        <f>IFERROR(__xludf.DUMMYFUNCTION("""COMPUTED_VALUE"""),"⁠https://vt.tiktok.com/ZS9eXtwKn/")</f>
        <v>⁠https://vt.tiktok.com/ZS9eXtwKn/</v>
      </c>
    </row>
    <row r="484">
      <c r="A484" s="255" t="str">
        <f>IFERROR(__xludf.DUMMYFUNCTION("""COMPUTED_VALUE"""),"MICRO")</f>
        <v>MICRO</v>
      </c>
      <c r="B484" s="361" t="str">
        <f>IFERROR(__xludf.DUMMYFUNCTION("""COMPUTED_VALUE"""),"karazuka.id")</f>
        <v>karazuka.id</v>
      </c>
      <c r="C484" s="257" t="str">
        <f>IFERROR(__xludf.DUMMYFUNCTION("""COMPUTED_VALUE"""),"https://www.tiktok.com/@karazuka.id")</f>
        <v>https://www.tiktok.com/@karazuka.id</v>
      </c>
      <c r="D484" s="270">
        <f>IFERROR(__xludf.DUMMYFUNCTION("""COMPUTED_VALUE"""),8.3817795291E10)</f>
        <v>83817795291</v>
      </c>
      <c r="E484" s="457">
        <f>IFERROR(__xludf.DUMMYFUNCTION("""COMPUTED_VALUE"""),0.0)</f>
        <v>0</v>
      </c>
      <c r="F484" s="270">
        <f>IFERROR(__xludf.DUMMYFUNCTION("""COMPUTED_VALUE"""),4.0)</f>
        <v>4</v>
      </c>
      <c r="G484" s="17" t="str">
        <f>IFERROR(__xludf.DUMMYFUNCTION("""COMPUTED_VALUE"""),"Sabun batang 1 Box ( 2 PCS )")</f>
        <v>Sabun batang 1 Box ( 2 PCS )</v>
      </c>
      <c r="H484" s="463" t="str">
        <f>IFERROR(__xludf.DUMMYFUNCTION("""COMPUTED_VALUE"""),"Sampai")</f>
        <v>Sampai</v>
      </c>
      <c r="I484" s="464" t="str">
        <f>IFERROR(__xludf.DUMMYFUNCTION("""COMPUTED_VALUE"""),"KIMME")</f>
        <v>KIMME</v>
      </c>
      <c r="J484" s="17" t="str">
        <f>IFERROR(__xludf.DUMMYFUNCTION("""COMPUTED_VALUE"""),"⁠https://vt.tiktok.com/ZS9eXbLrb/")</f>
        <v>⁠https://vt.tiktok.com/ZS9eXbLrb/</v>
      </c>
      <c r="K484" s="464" t="str">
        <f>IFERROR(__xludf.DUMMYFUNCTION("""COMPUTED_VALUE"""),"KIMME")</f>
        <v>KIMME</v>
      </c>
      <c r="L484" s="17" t="str">
        <f>IFERROR(__xludf.DUMMYFUNCTION("""COMPUTED_VALUE"""),"⁠https://vt.tiktok.com/ZS9eXWcJb/")</f>
        <v>⁠https://vt.tiktok.com/ZS9eXWcJb/</v>
      </c>
      <c r="M484" s="464" t="str">
        <f>IFERROR(__xludf.DUMMYFUNCTION("""COMPUTED_VALUE"""),"KIMME")</f>
        <v>KIMME</v>
      </c>
      <c r="N484" s="17" t="str">
        <f>IFERROR(__xludf.DUMMYFUNCTION("""COMPUTED_VALUE"""),"⁠https://vt.tiktok.com/ZS9eXgNo9/")</f>
        <v>⁠https://vt.tiktok.com/ZS9eXgNo9/</v>
      </c>
      <c r="O484" s="464" t="str">
        <f>IFERROR(__xludf.DUMMYFUNCTION("""COMPUTED_VALUE"""),"KIMME")</f>
        <v>KIMME</v>
      </c>
      <c r="P484" s="279" t="str">
        <f>IFERROR(__xludf.DUMMYFUNCTION("""COMPUTED_VALUE"""),"https://vt.tiktok.com/ZS9eY87Ac/")</f>
        <v>https://vt.tiktok.com/ZS9eY87Ac/</v>
      </c>
    </row>
    <row r="485">
      <c r="A485" s="255" t="str">
        <f>IFERROR(__xludf.DUMMYFUNCTION("""COMPUTED_VALUE"""),"MICRO")</f>
        <v>MICRO</v>
      </c>
      <c r="B485" s="361" t="str">
        <f>IFERROR(__xludf.DUMMYFUNCTION("""COMPUTED_VALUE"""),"ekaa_nw")</f>
        <v>ekaa_nw</v>
      </c>
      <c r="C485" s="257" t="str">
        <f>IFERROR(__xludf.DUMMYFUNCTION("""COMPUTED_VALUE"""),"https://www.tiktok.com/@ekaa_nw")</f>
        <v>https://www.tiktok.com/@ekaa_nw</v>
      </c>
      <c r="D485" s="270">
        <f>IFERROR(__xludf.DUMMYFUNCTION("""COMPUTED_VALUE"""),8.7835702694E10)</f>
        <v>87835702694</v>
      </c>
      <c r="E485" s="457">
        <f>IFERROR(__xludf.DUMMYFUNCTION("""COMPUTED_VALUE"""),0.0)</f>
        <v>0</v>
      </c>
      <c r="F485" s="270">
        <f>IFERROR(__xludf.DUMMYFUNCTION("""COMPUTED_VALUE"""),4.0)</f>
        <v>4</v>
      </c>
      <c r="G485" s="17" t="str">
        <f>IFERROR(__xludf.DUMMYFUNCTION("""COMPUTED_VALUE"""),"Sabun batang 1 Box ( 2 PCS )")</f>
        <v>Sabun batang 1 Box ( 2 PCS )</v>
      </c>
      <c r="H485" s="463" t="str">
        <f>IFERROR(__xludf.DUMMYFUNCTION("""COMPUTED_VALUE"""),"Sampai")</f>
        <v>Sampai</v>
      </c>
      <c r="I485" s="464" t="str">
        <f>IFERROR(__xludf.DUMMYFUNCTION("""COMPUTED_VALUE"""),"KIMME")</f>
        <v>KIMME</v>
      </c>
      <c r="J485" s="279" t="str">
        <f>IFERROR(__xludf.DUMMYFUNCTION("""COMPUTED_VALUE"""),"https://vt.tiktok.com/ZS9eYR6gB/")</f>
        <v>https://vt.tiktok.com/ZS9eYR6gB/</v>
      </c>
      <c r="K485" s="464" t="str">
        <f>IFERROR(__xludf.DUMMYFUNCTION("""COMPUTED_VALUE"""),"KIMME")</f>
        <v>KIMME</v>
      </c>
      <c r="L485" s="279" t="str">
        <f>IFERROR(__xludf.DUMMYFUNCTION("""COMPUTED_VALUE"""),"https://vt.tiktok.com/ZS9eYcru5/")</f>
        <v>https://vt.tiktok.com/ZS9eYcru5/</v>
      </c>
      <c r="M485" s="464" t="str">
        <f>IFERROR(__xludf.DUMMYFUNCTION("""COMPUTED_VALUE"""),"KIMME")</f>
        <v>KIMME</v>
      </c>
      <c r="N485" s="279" t="str">
        <f>IFERROR(__xludf.DUMMYFUNCTION("""COMPUTED_VALUE"""),"https://vt.tiktok.com/ZS9eYcwVV/")</f>
        <v>https://vt.tiktok.com/ZS9eYcwVV/</v>
      </c>
      <c r="O485" s="464" t="str">
        <f>IFERROR(__xludf.DUMMYFUNCTION("""COMPUTED_VALUE"""),"KIMME")</f>
        <v>KIMME</v>
      </c>
      <c r="P485" s="279" t="str">
        <f>IFERROR(__xludf.DUMMYFUNCTION("""COMPUTED_VALUE"""),"https://www.tiktok.com/@andinee__/video/7629202783949933842")</f>
        <v>https://www.tiktok.com/@andinee__/video/7629202783949933842</v>
      </c>
    </row>
    <row r="486">
      <c r="A486" s="255" t="str">
        <f>IFERROR(__xludf.DUMMYFUNCTION("""COMPUTED_VALUE"""),"MICRO")</f>
        <v>MICRO</v>
      </c>
      <c r="B486" s="361" t="str">
        <f>IFERROR(__xludf.DUMMYFUNCTION("""COMPUTED_VALUE"""),"sagitarius_tita")</f>
        <v>sagitarius_tita</v>
      </c>
      <c r="C486" s="257" t="str">
        <f>IFERROR(__xludf.DUMMYFUNCTION("""COMPUTED_VALUE"""),"https://www.tiktok.com/@sagitarius_tita")</f>
        <v>https://www.tiktok.com/@sagitarius_tita</v>
      </c>
      <c r="D486" s="270">
        <f>IFERROR(__xludf.DUMMYFUNCTION("""COMPUTED_VALUE"""),8.1394785576E10)</f>
        <v>81394785576</v>
      </c>
      <c r="E486" s="457">
        <f>IFERROR(__xludf.DUMMYFUNCTION("""COMPUTED_VALUE"""),0.0)</f>
        <v>0</v>
      </c>
      <c r="F486" s="270">
        <f>IFERROR(__xludf.DUMMYFUNCTION("""COMPUTED_VALUE"""),4.0)</f>
        <v>4</v>
      </c>
      <c r="G486" s="17" t="str">
        <f>IFERROR(__xludf.DUMMYFUNCTION("""COMPUTED_VALUE"""),"Sabun batang 1 Box ( 2 PCS )")</f>
        <v>Sabun batang 1 Box ( 2 PCS )</v>
      </c>
      <c r="H486" s="463" t="str">
        <f>IFERROR(__xludf.DUMMYFUNCTION("""COMPUTED_VALUE"""),"Sampai")</f>
        <v>Sampai</v>
      </c>
      <c r="I486" s="464" t="str">
        <f>IFERROR(__xludf.DUMMYFUNCTION("""COMPUTED_VALUE"""),"KIMME")</f>
        <v>KIMME</v>
      </c>
      <c r="J486" s="279" t="str">
        <f>IFERROR(__xludf.DUMMYFUNCTION("""COMPUTED_VALUE"""),"https://www.tiktok.com/@andinee__/video/7629201748367772935")</f>
        <v>https://www.tiktok.com/@andinee__/video/7629201748367772935</v>
      </c>
      <c r="K486" s="464" t="str">
        <f>IFERROR(__xludf.DUMMYFUNCTION("""COMPUTED_VALUE"""),"KIMME")</f>
        <v>KIMME</v>
      </c>
      <c r="L486" s="279" t="str">
        <f>IFERROR(__xludf.DUMMYFUNCTION("""COMPUTED_VALUE"""),"https://www.tiktok.com/@andinee__/video/7617332251910507796")</f>
        <v>https://www.tiktok.com/@andinee__/video/7617332251910507796</v>
      </c>
      <c r="M486" s="464" t="str">
        <f>IFERROR(__xludf.DUMMYFUNCTION("""COMPUTED_VALUE"""),"KIMME")</f>
        <v>KIMME</v>
      </c>
      <c r="N486" s="279" t="str">
        <f>IFERROR(__xludf.DUMMYFUNCTION("""COMPUTED_VALUE"""),"https://www.tiktok.com/@andinee__/video/7617328774555864341")</f>
        <v>https://www.tiktok.com/@andinee__/video/7617328774555864341</v>
      </c>
      <c r="O486" s="464" t="str">
        <f>IFERROR(__xludf.DUMMYFUNCTION("""COMPUTED_VALUE"""),"KIMME")</f>
        <v>KIMME</v>
      </c>
      <c r="P486" s="279" t="str">
        <f>IFERROR(__xludf.DUMMYFUNCTION("""COMPUTED_VALUE"""),"https://www.tiktok.com/@andinee__/video/7612579609149836562")</f>
        <v>https://www.tiktok.com/@andinee__/video/7612579609149836562</v>
      </c>
    </row>
    <row r="487">
      <c r="A487" s="255" t="str">
        <f>IFERROR(__xludf.DUMMYFUNCTION("""COMPUTED_VALUE"""),"MACRO")</f>
        <v>MACRO</v>
      </c>
      <c r="B487" s="361" t="str">
        <f>IFERROR(__xludf.DUMMYFUNCTION("""COMPUTED_VALUE"""),"Tinatimoty3")</f>
        <v>Tinatimoty3</v>
      </c>
      <c r="C487" s="257" t="str">
        <f>IFERROR(__xludf.DUMMYFUNCTION("""COMPUTED_VALUE"""),"https://www.tiktok.com/@Tinatimoty3")</f>
        <v>https://www.tiktok.com/@Tinatimoty3</v>
      </c>
      <c r="D487" s="270">
        <f>IFERROR(__xludf.DUMMYFUNCTION("""COMPUTED_VALUE"""),8.953868221E11)</f>
        <v>895386822100</v>
      </c>
      <c r="E487" s="457">
        <f>IFERROR(__xludf.DUMMYFUNCTION("""COMPUTED_VALUE"""),0.0)</f>
        <v>0</v>
      </c>
      <c r="F487" s="270">
        <f>IFERROR(__xludf.DUMMYFUNCTION("""COMPUTED_VALUE"""),2.0)</f>
        <v>2</v>
      </c>
      <c r="G487" s="17" t="str">
        <f>IFERROR(__xludf.DUMMYFUNCTION("""COMPUTED_VALUE"""),"Sabun batang 1 Box ( 2 PCS )")</f>
        <v>Sabun batang 1 Box ( 2 PCS )</v>
      </c>
      <c r="H487" s="463" t="str">
        <f>IFERROR(__xludf.DUMMYFUNCTION("""COMPUTED_VALUE"""),"Sampai")</f>
        <v>Sampai</v>
      </c>
      <c r="I487" s="464" t="str">
        <f>IFERROR(__xludf.DUMMYFUNCTION("""COMPUTED_VALUE"""),"KIMME")</f>
        <v>KIMME</v>
      </c>
      <c r="J487" s="279" t="str">
        <f>IFERROR(__xludf.DUMMYFUNCTION("""COMPUTED_VALUE"""),"https://vt.tiktok.com/ZSHpXjUwg/")</f>
        <v>https://vt.tiktok.com/ZSHpXjUwg/</v>
      </c>
      <c r="K487" s="464" t="str">
        <f>IFERROR(__xludf.DUMMYFUNCTION("""COMPUTED_VALUE"""),"KIMME")</f>
        <v>KIMME</v>
      </c>
      <c r="L487" s="279" t="str">
        <f>IFERROR(__xludf.DUMMYFUNCTION("""COMPUTED_VALUE"""),"https://vt.tiktok.com/ZSHpXUN8x/")</f>
        <v>https://vt.tiktok.com/ZSHpXUN8x/</v>
      </c>
      <c r="M487" s="464"/>
      <c r="N487" s="17"/>
      <c r="O487" s="464"/>
      <c r="P487" s="17"/>
    </row>
    <row r="488">
      <c r="A488" s="255" t="str">
        <f>IFERROR(__xludf.DUMMYFUNCTION("""COMPUTED_VALUE"""),"MICRO")</f>
        <v>MICRO</v>
      </c>
      <c r="B488" s="361" t="str">
        <f>IFERROR(__xludf.DUMMYFUNCTION("""COMPUTED_VALUE"""),"riesmamaharani")</f>
        <v>riesmamaharani</v>
      </c>
      <c r="C488" s="257" t="str">
        <f>IFERROR(__xludf.DUMMYFUNCTION("""COMPUTED_VALUE"""),"https://www.tiktok.com/@riesmamaharani")</f>
        <v>https://www.tiktok.com/@riesmamaharani</v>
      </c>
      <c r="D488" s="270">
        <f>IFERROR(__xludf.DUMMYFUNCTION("""COMPUTED_VALUE"""),8.1330878157E10)</f>
        <v>81330878157</v>
      </c>
      <c r="E488" s="457">
        <f>IFERROR(__xludf.DUMMYFUNCTION("""COMPUTED_VALUE"""),0.0)</f>
        <v>0</v>
      </c>
      <c r="F488" s="270">
        <f>IFERROR(__xludf.DUMMYFUNCTION("""COMPUTED_VALUE"""),4.0)</f>
        <v>4</v>
      </c>
      <c r="G488" s="17" t="str">
        <f>IFERROR(__xludf.DUMMYFUNCTION("""COMPUTED_VALUE"""),"Sabun batang 1 Box ( 2 PCS )")</f>
        <v>Sabun batang 1 Box ( 2 PCS )</v>
      </c>
      <c r="H488" s="463" t="str">
        <f>IFERROR(__xludf.DUMMYFUNCTION("""COMPUTED_VALUE"""),"Sampai")</f>
        <v>Sampai</v>
      </c>
      <c r="I488" s="464" t="str">
        <f>IFERROR(__xludf.DUMMYFUNCTION("""COMPUTED_VALUE"""),"KIMME")</f>
        <v>KIMME</v>
      </c>
      <c r="J488" s="279" t="str">
        <f>IFERROR(__xludf.DUMMYFUNCTION("""COMPUTED_VALUE"""),"https://www.tiktok.com/@riesmamaharani/video/7620652322334526741?_r=1&amp;u_code=d020l66mf57al4&amp;region=&amp;mid=7620652411971111688&amp;preview_pb=0&amp;sharer_language=&amp;_d=0&amp;ec_shared_reflux_dynamic_params=%7B%22placeholder_material_id%22%3A%227620652322334526741%22%2C%"&amp;"22placeholder_origin_cover%22%3A%22https%253A%252F%252Fp16-sign-sg.tiktokcdn.com%252Ftos-alisg-p-0037%252FoMQRDLnrfFXLGrGzQegmpwEAIGfGABEJeu3AGv~tplv-tiktokx-origin.jpeg%253Fdr%253D14572%2526refresh_token%253Dc286b6f2%2526x-expires%253D1806051600%2526x-si"&amp;"gnature%253DtpmpkLh%25252BFL%25252B70WESnTJhs%25252FOByXk%25253D%2526t%253D4d5b0474%2526ps%253D13740610%2526shp%253Dd05b14bd%2526shcp%253D34ff8df6%2526idc%253Dmy2%2526s%253DTIKTOK_AFFILIATE_VIRAL_VIDEO%22%2C%22placeholder_product_id%22%3A%2217294277667227"&amp;"26591%22%2C%22placeholder_video_id%22%3A%227620652322334526741%22%7D&amp;ec_shared_reflux_scene=shop_tab_feed&amp;share_item_id=7620652322334526741&amp;source=h5_t")</f>
        <v>https://www.tiktok.com/@riesmamaharani/video/7620652322334526741?_r=1&amp;u_code=d020l66mf57al4&amp;region=&amp;mid=7620652411971111688&amp;preview_pb=0&amp;sharer_language=&amp;_d=0&amp;ec_shared_reflux_dynamic_params=%7B%22placeholder_material_id%22%3A%227620652322334526741%22%2C%22placeholder_origin_cover%22%3A%22https%253A%252F%252Fp16-sign-sg.tiktokcdn.com%252Ftos-alisg-p-0037%252FoMQRDLnrfFXLGrGzQegmpwEAIGfGABEJeu3AGv~tplv-tiktokx-origin.jpeg%253Fdr%253D14572%2526refresh_token%253Dc286b6f2%2526x-expires%253D1806051600%2526x-signature%253DtpmpkLh%25252BFL%25252B70WESnTJhs%25252FOByXk%25253D%2526t%253D4d5b0474%2526ps%253D13740610%2526shp%253Dd05b14bd%2526shcp%253D34ff8df6%2526idc%253Dmy2%2526s%253DTIKTOK_AFFILIATE_VIRAL_VIDEO%22%2C%22placeholder_product_id%22%3A%221729427766722726591%22%2C%22placeholder_video_id%22%3A%227620652322334526741%22%7D&amp;ec_shared_reflux_scene=shop_tab_feed&amp;share_item_id=7620652322334526741&amp;source=h5_t</v>
      </c>
      <c r="K488" s="464" t="str">
        <f>IFERROR(__xludf.DUMMYFUNCTION("""COMPUTED_VALUE"""),"KIMME")</f>
        <v>KIMME</v>
      </c>
      <c r="L488" s="279" t="str">
        <f>IFERROR(__xludf.DUMMYFUNCTION("""COMPUTED_VALUE"""),"https://www.tiktok.com/@riesmamaharani/video/7621342823912066325?_r=1&amp;u_code=d020l66mf57al4&amp;region=&amp;mid=7609992945409034256&amp;preview_pb=0&amp;sharer_language=&amp;_d=0&amp;ec_shared_reflux_dynamic_params=%7B%22placeholder_material_id%22%3A%227621342823912066325%22%2C%"&amp;"22placeholder_origin_cover%22%3A%22https%253A%252F%252Fp16-sign-sg.tiktokcdn.com%252Ftos-alisg-p-0037%252Fo0OCCHPejEgTLDAdQXvajcsGAIuIo3FAweiRQe~tplv-tiktokx-origin.jpeg%253Fdr%253D14572%2526refresh_token%253Dc352d93c%2526x-expires%253D1807070400%2526x-si"&amp;"gnature%253DUMPPkkkTcn0lBzJSSU7evu8lny4%25253D%2526t%253D4d5b0474%2526ps%253D13740610%2526shp%253Dd05b14bd%2526shcp%253D34ff8df6%2526idc%253Dmy2%2526s%253DTIKTOK_AFFILIATE_VIRAL_VIDEO%22%2C%22placeholder_product_id%22%3A%221729427766722726591%22%2C%22plac"&amp;"eholder_video_id%22%3A%227621342823912066325%22%7D&amp;ec_shared_reflux_scene=shop_tab_feed&amp;share_item_id=7621342823912066325&amp;source=h5_t")</f>
        <v>https://www.tiktok.com/@riesmamaharani/video/7621342823912066325?_r=1&amp;u_code=d020l66mf57al4&amp;region=&amp;mid=7609992945409034256&amp;preview_pb=0&amp;sharer_language=&amp;_d=0&amp;ec_shared_reflux_dynamic_params=%7B%22placeholder_material_id%22%3A%227621342823912066325%22%2C%22placeholder_origin_cover%22%3A%22https%253A%252F%252Fp16-sign-sg.tiktokcdn.com%252Ftos-alisg-p-0037%252Fo0OCCHPejEgTLDAdQXvajcsGAIuIo3FAweiRQe~tplv-tiktokx-origin.jpeg%253Fdr%253D14572%2526refresh_token%253Dc352d93c%2526x-expires%253D1807070400%2526x-signature%253DUMPPkkkTcn0lBzJSSU7evu8lny4%25253D%2526t%253D4d5b0474%2526ps%253D13740610%2526shp%253Dd05b14bd%2526shcp%253D34ff8df6%2526idc%253Dmy2%2526s%253DTIKTOK_AFFILIATE_VIRAL_VIDEO%22%2C%22placeholder_product_id%22%3A%221729427766722726591%22%2C%22placeholder_video_id%22%3A%227621342823912066325%22%7D&amp;ec_shared_reflux_scene=shop_tab_feed&amp;share_item_id=7621342823912066325&amp;source=h5_t</v>
      </c>
      <c r="M488" s="464"/>
      <c r="N488" s="279" t="str">
        <f>IFERROR(__xludf.DUMMYFUNCTION("""COMPUTED_VALUE"""),"https://vt.tiktok.com/ZS9vpoWu8/")</f>
        <v>https://vt.tiktok.com/ZS9vpoWu8/</v>
      </c>
      <c r="O488" s="464"/>
      <c r="P488" s="17" t="str">
        <f>IFERROR(__xludf.DUMMYFUNCTION("""COMPUTED_VALUE"""),"⁠https://vt.tiktok.com/ZS97u65xr/")</f>
        <v>⁠https://vt.tiktok.com/ZS97u65xr/</v>
      </c>
    </row>
    <row r="489">
      <c r="A489" s="255" t="str">
        <f>IFERROR(__xludf.DUMMYFUNCTION("""COMPUTED_VALUE"""),"MICRO")</f>
        <v>MICRO</v>
      </c>
      <c r="B489" s="361" t="str">
        <f>IFERROR(__xludf.DUMMYFUNCTION("""COMPUTED_VALUE"""),"_nisaftri")</f>
        <v>_nisaftri</v>
      </c>
      <c r="C489" s="257" t="str">
        <f>IFERROR(__xludf.DUMMYFUNCTION("""COMPUTED_VALUE"""),"https://www.tiktok.com/@_nisaftri")</f>
        <v>https://www.tiktok.com/@_nisaftri</v>
      </c>
      <c r="D489" s="270">
        <f>IFERROR(__xludf.DUMMYFUNCTION("""COMPUTED_VALUE"""),8.551185177E9)</f>
        <v>8551185177</v>
      </c>
      <c r="E489" s="457">
        <f>IFERROR(__xludf.DUMMYFUNCTION("""COMPUTED_VALUE"""),0.0)</f>
        <v>0</v>
      </c>
      <c r="F489" s="270">
        <f>IFERROR(__xludf.DUMMYFUNCTION("""COMPUTED_VALUE"""),4.0)</f>
        <v>4</v>
      </c>
      <c r="G489" s="17" t="str">
        <f>IFERROR(__xludf.DUMMYFUNCTION("""COMPUTED_VALUE"""),"Sabun batang 1 Box ( 2 PCS )")</f>
        <v>Sabun batang 1 Box ( 2 PCS )</v>
      </c>
      <c r="H489" s="463" t="str">
        <f>IFERROR(__xludf.DUMMYFUNCTION("""COMPUTED_VALUE"""),"Sampai")</f>
        <v>Sampai</v>
      </c>
      <c r="I489" s="464" t="str">
        <f>IFERROR(__xludf.DUMMYFUNCTION("""COMPUTED_VALUE"""),"KIMME")</f>
        <v>KIMME</v>
      </c>
      <c r="J489" s="279" t="str">
        <f>IFERROR(__xludf.DUMMYFUNCTION("""COMPUTED_VALUE"""),"https://www.tiktok.com/@andinee__/video/7603605642015706375")</f>
        <v>https://www.tiktok.com/@andinee__/video/7603605642015706375</v>
      </c>
      <c r="K489" s="464" t="str">
        <f>IFERROR(__xludf.DUMMYFUNCTION("""COMPUTED_VALUE"""),"KIMME")</f>
        <v>KIMME</v>
      </c>
      <c r="L489" s="279" t="str">
        <f>IFERROR(__xludf.DUMMYFUNCTION("""COMPUTED_VALUE"""),"https://www.tiktok.com/@andinee__/video/7603605642015706375")</f>
        <v>https://www.tiktok.com/@andinee__/video/7603605642015706375</v>
      </c>
      <c r="M489" s="464" t="str">
        <f>IFERROR(__xludf.DUMMYFUNCTION("""COMPUTED_VALUE"""),"KIMME")</f>
        <v>KIMME</v>
      </c>
      <c r="N489" s="279" t="str">
        <f>IFERROR(__xludf.DUMMYFUNCTION("""COMPUTED_VALUE"""),"https://www.tiktok.com/@andinee__/video/7602893227196288264")</f>
        <v>https://www.tiktok.com/@andinee__/video/7602893227196288264</v>
      </c>
      <c r="O489" s="464" t="str">
        <f>IFERROR(__xludf.DUMMYFUNCTION("""COMPUTED_VALUE"""),"KIMME")</f>
        <v>KIMME</v>
      </c>
      <c r="P489" s="279" t="str">
        <f>IFERROR(__xludf.DUMMYFUNCTION("""COMPUTED_VALUE"""),"https://www.tiktok.com/@andinee__/video/7600289210637028616")</f>
        <v>https://www.tiktok.com/@andinee__/video/7600289210637028616</v>
      </c>
    </row>
    <row r="490">
      <c r="A490" s="255" t="str">
        <f>IFERROR(__xludf.DUMMYFUNCTION("""COMPUTED_VALUE"""),"MICRO")</f>
        <v>MICRO</v>
      </c>
      <c r="B490" s="361" t="str">
        <f>IFERROR(__xludf.DUMMYFUNCTION("""COMPUTED_VALUE"""),"rama_agustian24")</f>
        <v>rama_agustian24</v>
      </c>
      <c r="C490" s="257" t="str">
        <f>IFERROR(__xludf.DUMMYFUNCTION("""COMPUTED_VALUE"""),"https://www.tiktok.com/@rama_agustian24")</f>
        <v>https://www.tiktok.com/@rama_agustian24</v>
      </c>
      <c r="D490" s="270">
        <f>IFERROR(__xludf.DUMMYFUNCTION("""COMPUTED_VALUE"""),8.5709731952E10)</f>
        <v>85709731952</v>
      </c>
      <c r="E490" s="457">
        <f>IFERROR(__xludf.DUMMYFUNCTION("""COMPUTED_VALUE"""),0.0)</f>
        <v>0</v>
      </c>
      <c r="F490" s="270">
        <f>IFERROR(__xludf.DUMMYFUNCTION("""COMPUTED_VALUE"""),4.0)</f>
        <v>4</v>
      </c>
      <c r="G490" s="17" t="str">
        <f>IFERROR(__xludf.DUMMYFUNCTION("""COMPUTED_VALUE"""),"Sabun batang 1 Box ( 2 PCS )")</f>
        <v>Sabun batang 1 Box ( 2 PCS )</v>
      </c>
      <c r="H490" s="463" t="str">
        <f>IFERROR(__xludf.DUMMYFUNCTION("""COMPUTED_VALUE"""),"Sampai")</f>
        <v>Sampai</v>
      </c>
      <c r="I490" s="464" t="str">
        <f>IFERROR(__xludf.DUMMYFUNCTION("""COMPUTED_VALUE"""),"KIMME")</f>
        <v>KIMME</v>
      </c>
      <c r="J490" s="279" t="str">
        <f>IFERROR(__xludf.DUMMYFUNCTION("""COMPUTED_VALUE"""),"https://www.tiktok.com/@andinee__/video/7596504744080821512")</f>
        <v>https://www.tiktok.com/@andinee__/video/7596504744080821512</v>
      </c>
      <c r="K490" s="464" t="str">
        <f>IFERROR(__xludf.DUMMYFUNCTION("""COMPUTED_VALUE"""),"KIMME")</f>
        <v>KIMME</v>
      </c>
      <c r="L490" s="279" t="str">
        <f>IFERROR(__xludf.DUMMYFUNCTION("""COMPUTED_VALUE"""),"https://www.tiktok.com/@andinee__/video/7596594455168290055")</f>
        <v>https://www.tiktok.com/@andinee__/video/7596594455168290055</v>
      </c>
      <c r="M490" s="464" t="str">
        <f>IFERROR(__xludf.DUMMYFUNCTION("""COMPUTED_VALUE"""),"KIMME")</f>
        <v>KIMME</v>
      </c>
      <c r="N490" s="279" t="str">
        <f>IFERROR(__xludf.DUMMYFUNCTION("""COMPUTED_VALUE"""),"https://vt.tiktok.com/ZS9LYAHmq/")</f>
        <v>https://vt.tiktok.com/ZS9LYAHmq/</v>
      </c>
      <c r="O490" s="464" t="str">
        <f>IFERROR(__xludf.DUMMYFUNCTION("""COMPUTED_VALUE"""),"KIMME")</f>
        <v>KIMME</v>
      </c>
      <c r="P490" s="17" t="str">
        <f>IFERROR(__xludf.DUMMYFUNCTION("""COMPUTED_VALUE"""),"⁠https://vt.tiktok.com/ZS9LYANuC/")</f>
        <v>⁠https://vt.tiktok.com/ZS9LYANuC/</v>
      </c>
    </row>
    <row r="491">
      <c r="A491" s="255" t="str">
        <f>IFERROR(__xludf.DUMMYFUNCTION("""COMPUTED_VALUE"""),"MICRO")</f>
        <v>MICRO</v>
      </c>
      <c r="B491" s="361" t="str">
        <f>IFERROR(__xludf.DUMMYFUNCTION("""COMPUTED_VALUE"""),"andrehdyt25")</f>
        <v>andrehdyt25</v>
      </c>
      <c r="C491" s="257" t="str">
        <f>IFERROR(__xludf.DUMMYFUNCTION("""COMPUTED_VALUE"""),"https://www.tiktok.com/@andrehdyt25")</f>
        <v>https://www.tiktok.com/@andrehdyt25</v>
      </c>
      <c r="D491" s="270">
        <f>IFERROR(__xludf.DUMMYFUNCTION("""COMPUTED_VALUE"""),8.1515853102E10)</f>
        <v>81515853102</v>
      </c>
      <c r="E491" s="457">
        <f>IFERROR(__xludf.DUMMYFUNCTION("""COMPUTED_VALUE"""),0.0)</f>
        <v>0</v>
      </c>
      <c r="F491" s="270">
        <f>IFERROR(__xludf.DUMMYFUNCTION("""COMPUTED_VALUE"""),4.0)</f>
        <v>4</v>
      </c>
      <c r="G491" s="17" t="str">
        <f>IFERROR(__xludf.DUMMYFUNCTION("""COMPUTED_VALUE"""),"Sabun batang 1 Box ( 2 PCS )")</f>
        <v>Sabun batang 1 Box ( 2 PCS )</v>
      </c>
      <c r="H491" s="463" t="str">
        <f>IFERROR(__xludf.DUMMYFUNCTION("""COMPUTED_VALUE"""),"Sampai")</f>
        <v>Sampai</v>
      </c>
      <c r="I491" s="464" t="str">
        <f>IFERROR(__xludf.DUMMYFUNCTION("""COMPUTED_VALUE"""),"KIMME")</f>
        <v>KIMME</v>
      </c>
      <c r="J491" s="279" t="str">
        <f>IFERROR(__xludf.DUMMYFUNCTION("""COMPUTED_VALUE"""),"https://vt.tiktok.com/ZS9LF2kpx/")</f>
        <v>https://vt.tiktok.com/ZS9LF2kpx/</v>
      </c>
      <c r="K491" s="464" t="str">
        <f>IFERROR(__xludf.DUMMYFUNCTION("""COMPUTED_VALUE"""),"KIMME")</f>
        <v>KIMME</v>
      </c>
      <c r="L491" s="279" t="str">
        <f>IFERROR(__xludf.DUMMYFUNCTION("""COMPUTED_VALUE"""),"https://vt.tiktok.com/ZS9LFYTgA/")</f>
        <v>https://vt.tiktok.com/ZS9LFYTgA/</v>
      </c>
      <c r="M491" s="464" t="str">
        <f>IFERROR(__xludf.DUMMYFUNCTION("""COMPUTED_VALUE"""),"KIMME")</f>
        <v>KIMME</v>
      </c>
      <c r="N491" s="279" t="str">
        <f>IFERROR(__xludf.DUMMYFUNCTION("""COMPUTED_VALUE"""),"https://vt.tiktok.com/ZS9LFJJDD/")</f>
        <v>https://vt.tiktok.com/ZS9LFJJDD/</v>
      </c>
      <c r="O491" s="464" t="str">
        <f>IFERROR(__xludf.DUMMYFUNCTION("""COMPUTED_VALUE"""),"KIMME")</f>
        <v>KIMME</v>
      </c>
      <c r="P491" s="279" t="str">
        <f>IFERROR(__xludf.DUMMYFUNCTION("""COMPUTED_VALUE"""),"https://vt.tiktok.com/ZS9LNo6DN/")</f>
        <v>https://vt.tiktok.com/ZS9LNo6DN/</v>
      </c>
    </row>
    <row r="492">
      <c r="A492" s="255" t="str">
        <f>IFERROR(__xludf.DUMMYFUNCTION("""COMPUTED_VALUE"""),"MACRO")</f>
        <v>MACRO</v>
      </c>
      <c r="B492" s="361" t="str">
        <f>IFERROR(__xludf.DUMMYFUNCTION("""COMPUTED_VALUE"""),"helenaarifani98")</f>
        <v>helenaarifani98</v>
      </c>
      <c r="C492" s="257" t="str">
        <f>IFERROR(__xludf.DUMMYFUNCTION("""COMPUTED_VALUE"""),"https://www.tiktok.com/@helenaarifani98")</f>
        <v>https://www.tiktok.com/@helenaarifani98</v>
      </c>
      <c r="D492" s="270">
        <f>IFERROR(__xludf.DUMMYFUNCTION("""COMPUTED_VALUE"""),8.2141840831E10)</f>
        <v>82141840831</v>
      </c>
      <c r="E492" s="457">
        <f>IFERROR(__xludf.DUMMYFUNCTION("""COMPUTED_VALUE"""),0.0)</f>
        <v>0</v>
      </c>
      <c r="F492" s="270">
        <f>IFERROR(__xludf.DUMMYFUNCTION("""COMPUTED_VALUE"""),1.0)</f>
        <v>1</v>
      </c>
      <c r="G492" s="17" t="str">
        <f>IFERROR(__xludf.DUMMYFUNCTION("""COMPUTED_VALUE"""),"Sabun batang 1 Box ( 2 PCS )")</f>
        <v>Sabun batang 1 Box ( 2 PCS )</v>
      </c>
      <c r="H492" s="463" t="str">
        <f>IFERROR(__xludf.DUMMYFUNCTION("""COMPUTED_VALUE"""),"Sampai")</f>
        <v>Sampai</v>
      </c>
      <c r="I492" s="464" t="str">
        <f>IFERROR(__xludf.DUMMYFUNCTION("""COMPUTED_VALUE"""),"KIMME")</f>
        <v>KIMME</v>
      </c>
      <c r="J492" s="279" t="str">
        <f>IFERROR(__xludf.DUMMYFUNCTION("""COMPUTED_VALUE"""),"https://vt.tiktok.com/ZS9LNTYDL/")</f>
        <v>https://vt.tiktok.com/ZS9LNTYDL/</v>
      </c>
      <c r="K492" s="464" t="str">
        <f>IFERROR(__xludf.DUMMYFUNCTION("""COMPUTED_VALUE"""),"KIMME")</f>
        <v>KIMME</v>
      </c>
      <c r="L492" s="279" t="str">
        <f>IFERROR(__xludf.DUMMYFUNCTION("""COMPUTED_VALUE"""),"https://vt.tiktok.com/ZSxSxvvQT/")</f>
        <v>https://vt.tiktok.com/ZSxSxvvQT/</v>
      </c>
      <c r="M492" s="464"/>
      <c r="N492" s="17"/>
      <c r="O492" s="464"/>
      <c r="P492" s="17"/>
    </row>
    <row r="493">
      <c r="A493" s="255" t="str">
        <f>IFERROR(__xludf.DUMMYFUNCTION("""COMPUTED_VALUE"""),"MICRO")</f>
        <v>MICRO</v>
      </c>
      <c r="B493" s="361" t="str">
        <f>IFERROR(__xludf.DUMMYFUNCTION("""COMPUTED_VALUE"""),"widyawiw")</f>
        <v>widyawiw</v>
      </c>
      <c r="C493" s="257" t="str">
        <f>IFERROR(__xludf.DUMMYFUNCTION("""COMPUTED_VALUE"""),"https://www.tiktok.com/@widyawiw")</f>
        <v>https://www.tiktok.com/@widyawiw</v>
      </c>
      <c r="D493" s="270">
        <f>IFERROR(__xludf.DUMMYFUNCTION("""COMPUTED_VALUE"""),8.2224045863E10)</f>
        <v>82224045863</v>
      </c>
      <c r="E493" s="457">
        <f>IFERROR(__xludf.DUMMYFUNCTION("""COMPUTED_VALUE"""),0.0)</f>
        <v>0</v>
      </c>
      <c r="F493" s="270">
        <f>IFERROR(__xludf.DUMMYFUNCTION("""COMPUTED_VALUE"""),4.0)</f>
        <v>4</v>
      </c>
      <c r="G493" s="17" t="str">
        <f>IFERROR(__xludf.DUMMYFUNCTION("""COMPUTED_VALUE"""),"Sabun batang 1 Box ( 2 PCS )")</f>
        <v>Sabun batang 1 Box ( 2 PCS )</v>
      </c>
      <c r="H493" s="463" t="str">
        <f>IFERROR(__xludf.DUMMYFUNCTION("""COMPUTED_VALUE"""),"Sampai")</f>
        <v>Sampai</v>
      </c>
      <c r="I493" s="464" t="str">
        <f>IFERROR(__xludf.DUMMYFUNCTION("""COMPUTED_VALUE"""),"KIMME")</f>
        <v>KIMME</v>
      </c>
      <c r="J493" s="279" t="str">
        <f>IFERROR(__xludf.DUMMYFUNCTION("""COMPUTED_VALUE"""),"https://www.tiktok.com/@widyawiw/video/7607069552341519637?is_from_webapp=1&amp;sender_device=pc&amp;web_id=7611930277489657360")</f>
        <v>https://www.tiktok.com/@widyawiw/video/7607069552341519637?is_from_webapp=1&amp;sender_device=pc&amp;web_id=7611930277489657360</v>
      </c>
      <c r="K493" s="464" t="str">
        <f>IFERROR(__xludf.DUMMYFUNCTION("""COMPUTED_VALUE"""),"KIMME")</f>
        <v>KIMME</v>
      </c>
      <c r="L493" s="279" t="str">
        <f>IFERROR(__xludf.DUMMYFUNCTION("""COMPUTED_VALUE"""),"https://www.tiktok.com/@widyawiw/video/7607785711047019796?is_from_webapp=1&amp;sender_device=pc&amp;web_id=7611930277489657360")</f>
        <v>https://www.tiktok.com/@widyawiw/video/7607785711047019796?is_from_webapp=1&amp;sender_device=pc&amp;web_id=7611930277489657360</v>
      </c>
      <c r="M493" s="464" t="str">
        <f>IFERROR(__xludf.DUMMYFUNCTION("""COMPUTED_VALUE"""),"KIMME")</f>
        <v>KIMME</v>
      </c>
      <c r="N493" s="279" t="str">
        <f>IFERROR(__xludf.DUMMYFUNCTION("""COMPUTED_VALUE"""),"https://www.tiktok.com/@widyawiw/video/7608566971583483156?is_from_webapp=1&amp;sender_device=pc&amp;web_id=7611930277489657360")</f>
        <v>https://www.tiktok.com/@widyawiw/video/7608566971583483156?is_from_webapp=1&amp;sender_device=pc&amp;web_id=7611930277489657360</v>
      </c>
      <c r="O493" s="464" t="str">
        <f>IFERROR(__xludf.DUMMYFUNCTION("""COMPUTED_VALUE"""),"KIMME")</f>
        <v>KIMME</v>
      </c>
      <c r="P493" s="279" t="str">
        <f>IFERROR(__xludf.DUMMYFUNCTION("""COMPUTED_VALUE"""),"https://www.tiktok.com/@widyawiw/video/7619080587474783509?is_from_webapp=1&amp;sender_device=pc&amp;web_id=7611930277489657360")</f>
        <v>https://www.tiktok.com/@widyawiw/video/7619080587474783509?is_from_webapp=1&amp;sender_device=pc&amp;web_id=7611930277489657360</v>
      </c>
    </row>
    <row r="494">
      <c r="A494" s="255" t="str">
        <f>IFERROR(__xludf.DUMMYFUNCTION("""COMPUTED_VALUE"""),"MICRO")</f>
        <v>MICRO</v>
      </c>
      <c r="B494" s="361" t="str">
        <f>IFERROR(__xludf.DUMMYFUNCTION("""COMPUTED_VALUE"""),"sibad_94")</f>
        <v>sibad_94</v>
      </c>
      <c r="C494" s="257" t="str">
        <f>IFERROR(__xludf.DUMMYFUNCTION("""COMPUTED_VALUE"""),"https://www.tiktok.com/@sibad_94")</f>
        <v>https://www.tiktok.com/@sibad_94</v>
      </c>
      <c r="D494" s="270">
        <f>IFERROR(__xludf.DUMMYFUNCTION("""COMPUTED_VALUE"""),8.1938642883E10)</f>
        <v>81938642883</v>
      </c>
      <c r="E494" s="457">
        <f>IFERROR(__xludf.DUMMYFUNCTION("""COMPUTED_VALUE"""),0.0)</f>
        <v>0</v>
      </c>
      <c r="F494" s="270">
        <f>IFERROR(__xludf.DUMMYFUNCTION("""COMPUTED_VALUE"""),1.0)</f>
        <v>1</v>
      </c>
      <c r="G494" s="17" t="str">
        <f>IFERROR(__xludf.DUMMYFUNCTION("""COMPUTED_VALUE"""),"Sabun batang 1 Box ( 2 PCS )")</f>
        <v>Sabun batang 1 Box ( 2 PCS )</v>
      </c>
      <c r="H494" s="463" t="str">
        <f>IFERROR(__xludf.DUMMYFUNCTION("""COMPUTED_VALUE"""),"Sampai")</f>
        <v>Sampai</v>
      </c>
      <c r="I494" s="464" t="str">
        <f>IFERROR(__xludf.DUMMYFUNCTION("""COMPUTED_VALUE"""),"KIMME")</f>
        <v>KIMME</v>
      </c>
      <c r="J494" s="279" t="str">
        <f>IFERROR(__xludf.DUMMYFUNCTION("""COMPUTED_VALUE"""),"https://www.tiktok.com/@sibad_94/video/7622487073110461717?_r=1&amp;u_code=e10ekgc3ka981i&amp;region=&amp;mid=7622487171547253522&amp;preview_pb=0&amp;sharer_language=&amp;_d=0&amp;ec_shared_reflux_dynamic_params=%7B%22placeholder_material_id%22%3A%227622487073110461717%22%2C%22plac"&amp;"eholder_origin_cover%22%3A%22https%253A%252F%252Fp16-sign-sg.tiktokcdn.com%252Ftos-alisg-p-0037%252FooQBiAw4EC8rhPFIICR7ifC1qg560IAMkAuIw6~tplv-tiktokx-origin.jpeg%253Fdr%253D14572%2526refresh_token%253D3f88b810%2526x-expires%253D1807070400%2526x-signatur"&amp;"e%253Da8q6g0XjQJC0vMY%25252FHi9ZdqfZV%25252Bw%25253D%2526t%253D4d5b0474%2526ps%253D13740610%2526shp%253Dd05b14bd%2526shcp%253D34ff8df6%2526idc%253Dmy2%2526s%253DTIKTOK_AFFILIATE_VIRAL_VIDEO%22%2C%22placeholder_product_id%22%3A%221729427766722726591%22%2C%"&amp;"22placeholder_video_id%22%3A%227622487073110461717%22%7D&amp;ec_shared_reflux_scene=shop_tab_feed&amp;share_item_id=7622487073110461717&amp;source=h5_t")</f>
        <v>https://www.tiktok.com/@sibad_94/video/7622487073110461717?_r=1&amp;u_code=e10ekgc3ka981i&amp;region=&amp;mid=7622487171547253522&amp;preview_pb=0&amp;sharer_language=&amp;_d=0&amp;ec_shared_reflux_dynamic_params=%7B%22placeholder_material_id%22%3A%227622487073110461717%22%2C%22placeholder_origin_cover%22%3A%22https%253A%252F%252Fp16-sign-sg.tiktokcdn.com%252Ftos-alisg-p-0037%252FooQBiAw4EC8rhPFIICR7ifC1qg560IAMkAuIw6~tplv-tiktokx-origin.jpeg%253Fdr%253D14572%2526refresh_token%253D3f88b810%2526x-expires%253D1807070400%2526x-signature%253Da8q6g0XjQJC0vMY%25252FHi9ZdqfZV%25252Bw%25253D%2526t%253D4d5b0474%2526ps%253D13740610%2526shp%253Dd05b14bd%2526shcp%253D34ff8df6%2526idc%253Dmy2%2526s%253DTIKTOK_AFFILIATE_VIRAL_VIDEO%22%2C%22placeholder_product_id%22%3A%221729427766722726591%22%2C%22placeholder_video_id%22%3A%227622487073110461717%22%7D&amp;ec_shared_reflux_scene=shop_tab_feed&amp;share_item_id=7622487073110461717&amp;source=h5_t</v>
      </c>
      <c r="K494" s="464" t="str">
        <f>IFERROR(__xludf.DUMMYFUNCTION("""COMPUTED_VALUE"""),"KIMME")</f>
        <v>KIMME</v>
      </c>
      <c r="L494" s="279" t="str">
        <f>IFERROR(__xludf.DUMMYFUNCTION("""COMPUTED_VALUE"""),"https://vt.tiktok.com/ZS9tbAVny/")</f>
        <v>https://vt.tiktok.com/ZS9tbAVny/</v>
      </c>
      <c r="M494" s="464"/>
      <c r="N494" s="279" t="str">
        <f>IFERROR(__xludf.DUMMYFUNCTION("""COMPUTED_VALUE"""),"https://vt.tiktok.com/ZS9tCHFBo/")</f>
        <v>https://vt.tiktok.com/ZS9tCHFBo/</v>
      </c>
      <c r="O494" s="464"/>
      <c r="P494" s="279" t="str">
        <f>IFERROR(__xludf.DUMMYFUNCTION("""COMPUTED_VALUE"""),"https://vt.tiktok.com/ZS9tC1enH/")</f>
        <v>https://vt.tiktok.com/ZS9tC1enH/</v>
      </c>
    </row>
    <row r="495">
      <c r="A495" s="255" t="str">
        <f>IFERROR(__xludf.DUMMYFUNCTION("""COMPUTED_VALUE"""),"MICRO")</f>
        <v>MICRO</v>
      </c>
      <c r="B495" s="361" t="str">
        <f>IFERROR(__xludf.DUMMYFUNCTION("""COMPUTED_VALUE"""),"rici_af")</f>
        <v>rici_af</v>
      </c>
      <c r="C495" s="257" t="str">
        <f>IFERROR(__xludf.DUMMYFUNCTION("""COMPUTED_VALUE"""),"https://www.tiktok.com/@rici_af")</f>
        <v>https://www.tiktok.com/@rici_af</v>
      </c>
      <c r="D495" s="270">
        <f>IFERROR(__xludf.DUMMYFUNCTION("""COMPUTED_VALUE"""),8.7793252278E10)</f>
        <v>87793252278</v>
      </c>
      <c r="E495" s="457">
        <f>IFERROR(__xludf.DUMMYFUNCTION("""COMPUTED_VALUE"""),50000.0)</f>
        <v>50000</v>
      </c>
      <c r="F495" s="270">
        <f>IFERROR(__xludf.DUMMYFUNCTION("""COMPUTED_VALUE"""),1.0)</f>
        <v>1</v>
      </c>
      <c r="G495" s="17" t="str">
        <f>IFERROR(__xludf.DUMMYFUNCTION("""COMPUTED_VALUE"""),"Sabun batang 3 Box ( 6 PCS )")</f>
        <v>Sabun batang 3 Box ( 6 PCS )</v>
      </c>
      <c r="H495" s="463" t="str">
        <f>IFERROR(__xludf.DUMMYFUNCTION("""COMPUTED_VALUE"""),"Sampai")</f>
        <v>Sampai</v>
      </c>
      <c r="I495" s="464" t="str">
        <f>IFERROR(__xludf.DUMMYFUNCTION("""COMPUTED_VALUE"""),"KIMME")</f>
        <v>KIMME</v>
      </c>
      <c r="J495" s="279" t="str">
        <f>IFERROR(__xludf.DUMMYFUNCTION("""COMPUTED_VALUE"""),"https://www.tiktok.com/@rici_af/video/7628465131298622728?is_from_webapp=1&amp;sender_device=pc")</f>
        <v>https://www.tiktok.com/@rici_af/video/7628465131298622728?is_from_webapp=1&amp;sender_device=pc</v>
      </c>
      <c r="K495" s="464" t="str">
        <f>IFERROR(__xludf.DUMMYFUNCTION("""COMPUTED_VALUE"""),"KIMME")</f>
        <v>KIMME</v>
      </c>
      <c r="L495" s="279" t="str">
        <f>IFERROR(__xludf.DUMMYFUNCTION("""COMPUTED_VALUE"""),"https://vt.tiktok.com/ZS9tCdqvp/")</f>
        <v>https://vt.tiktok.com/ZS9tCdqvp/</v>
      </c>
      <c r="M495" s="464"/>
      <c r="N495" s="279" t="str">
        <f>IFERROR(__xludf.DUMMYFUNCTION("""COMPUTED_VALUE"""),"https://vt.tiktok.com/ZS9tChMAV/")</f>
        <v>https://vt.tiktok.com/ZS9tChMAV/</v>
      </c>
      <c r="O495" s="464"/>
      <c r="P495" s="279" t="str">
        <f>IFERROR(__xludf.DUMMYFUNCTION("""COMPUTED_VALUE"""),"https://vt.tiktok.com/ZS9tCAtL8/")</f>
        <v>https://vt.tiktok.com/ZS9tCAtL8/</v>
      </c>
    </row>
    <row r="496">
      <c r="A496" s="255" t="str">
        <f>IFERROR(__xludf.DUMMYFUNCTION("""COMPUTED_VALUE"""),"MICRO")</f>
        <v>MICRO</v>
      </c>
      <c r="B496" s="361" t="str">
        <f>IFERROR(__xludf.DUMMYFUNCTION("""COMPUTED_VALUE"""),"annisalutfiafifah")</f>
        <v>annisalutfiafifah</v>
      </c>
      <c r="C496" s="257" t="str">
        <f>IFERROR(__xludf.DUMMYFUNCTION("""COMPUTED_VALUE"""),"https://www.tiktok.com/@annisalutfiafifah")</f>
        <v>https://www.tiktok.com/@annisalutfiafifah</v>
      </c>
      <c r="D496" s="270">
        <f>IFERROR(__xludf.DUMMYFUNCTION("""COMPUTED_VALUE"""),8.3170606274E10)</f>
        <v>83170606274</v>
      </c>
      <c r="E496" s="457">
        <f>IFERROR(__xludf.DUMMYFUNCTION("""COMPUTED_VALUE"""),0.0)</f>
        <v>0</v>
      </c>
      <c r="F496" s="270">
        <f>IFERROR(__xludf.DUMMYFUNCTION("""COMPUTED_VALUE"""),3.0)</f>
        <v>3</v>
      </c>
      <c r="G496" s="17" t="str">
        <f>IFERROR(__xludf.DUMMYFUNCTION("""COMPUTED_VALUE"""),"Sabun batang 1 Box ( 2 PCS )")</f>
        <v>Sabun batang 1 Box ( 2 PCS )</v>
      </c>
      <c r="H496" s="463" t="str">
        <f>IFERROR(__xludf.DUMMYFUNCTION("""COMPUTED_VALUE"""),"Sampai")</f>
        <v>Sampai</v>
      </c>
      <c r="I496" s="464" t="str">
        <f>IFERROR(__xludf.DUMMYFUNCTION("""COMPUTED_VALUE"""),"KIMME")</f>
        <v>KIMME</v>
      </c>
      <c r="J496" s="279" t="str">
        <f>IFERROR(__xludf.DUMMYFUNCTION("""COMPUTED_VALUE"""),"https://www.tiktok.com/@carisacimbrut/video/7615649747205983509?is_from_webapp=1&amp;sender_device=pc&amp;web_id=7611930277489657360")</f>
        <v>https://www.tiktok.com/@carisacimbrut/video/7615649747205983509?is_from_webapp=1&amp;sender_device=pc&amp;web_id=7611930277489657360</v>
      </c>
      <c r="K496" s="464" t="str">
        <f>IFERROR(__xludf.DUMMYFUNCTION("""COMPUTED_VALUE"""),"KIMME")</f>
        <v>KIMME</v>
      </c>
      <c r="L496" s="279" t="str">
        <f>IFERROR(__xludf.DUMMYFUNCTION("""COMPUTED_VALUE"""),"https://www.tiktok.com/@carisacimbrut/video/7616082739393006869?is_from_webapp=1&amp;sender_device=pc&amp;web_id=7611930277489657360")</f>
        <v>https://www.tiktok.com/@carisacimbrut/video/7616082739393006869?is_from_webapp=1&amp;sender_device=pc&amp;web_id=7611930277489657360</v>
      </c>
      <c r="M496" s="464" t="str">
        <f>IFERROR(__xludf.DUMMYFUNCTION("""COMPUTED_VALUE"""),"KIMME")</f>
        <v>KIMME</v>
      </c>
      <c r="N496" s="279" t="str">
        <f>IFERROR(__xludf.DUMMYFUNCTION("""COMPUTED_VALUE"""),"https://www.tiktok.com/@carisacimbrut/video/7616472287394532629?is_from_webapp=1&amp;sender_device=pc&amp;web_id=7611930277489657360")</f>
        <v>https://www.tiktok.com/@carisacimbrut/video/7616472287394532629?is_from_webapp=1&amp;sender_device=pc&amp;web_id=7611930277489657360</v>
      </c>
      <c r="O496" s="464"/>
      <c r="P496" s="279" t="str">
        <f>IFERROR(__xludf.DUMMYFUNCTION("""COMPUTED_VALUE"""),"https://vt.tiktok.com/ZS9tC88Kf/")</f>
        <v>https://vt.tiktok.com/ZS9tC88Kf/</v>
      </c>
    </row>
    <row r="497">
      <c r="A497" s="255" t="str">
        <f>IFERROR(__xludf.DUMMYFUNCTION("""COMPUTED_VALUE"""),"MICRO")</f>
        <v>MICRO</v>
      </c>
      <c r="B497" s="361" t="str">
        <f>IFERROR(__xludf.DUMMYFUNCTION("""COMPUTED_VALUE"""),"nanfeb_")</f>
        <v>nanfeb_</v>
      </c>
      <c r="C497" s="257" t="str">
        <f>IFERROR(__xludf.DUMMYFUNCTION("""COMPUTED_VALUE"""),"https://www.tiktok.com/@nanfeb_")</f>
        <v>https://www.tiktok.com/@nanfeb_</v>
      </c>
      <c r="D497" s="270">
        <f>IFERROR(__xludf.DUMMYFUNCTION("""COMPUTED_VALUE"""),8.1334189342E10)</f>
        <v>81334189342</v>
      </c>
      <c r="E497" s="457">
        <f>IFERROR(__xludf.DUMMYFUNCTION("""COMPUTED_VALUE"""),0.0)</f>
        <v>0</v>
      </c>
      <c r="F497" s="270">
        <f>IFERROR(__xludf.DUMMYFUNCTION("""COMPUTED_VALUE"""),4.0)</f>
        <v>4</v>
      </c>
      <c r="G497" s="17" t="str">
        <f>IFERROR(__xludf.DUMMYFUNCTION("""COMPUTED_VALUE"""),"Sabun batang 1 Box ( 2 PCS )")</f>
        <v>Sabun batang 1 Box ( 2 PCS )</v>
      </c>
      <c r="H497" s="463" t="str">
        <f>IFERROR(__xludf.DUMMYFUNCTION("""COMPUTED_VALUE"""),"Sampai")</f>
        <v>Sampai</v>
      </c>
      <c r="I497" s="464" t="str">
        <f>IFERROR(__xludf.DUMMYFUNCTION("""COMPUTED_VALUE"""),"KIMME")</f>
        <v>KIMME</v>
      </c>
      <c r="J497" s="279" t="str">
        <f>IFERROR(__xludf.DUMMYFUNCTION("""COMPUTED_VALUE"""),"https://www.tiktok.com/@nanfeb_/video/7611028883453824274?is_from_webapp=1&amp;sender_device=pc&amp;web_id=7611930277489657360")</f>
        <v>https://www.tiktok.com/@nanfeb_/video/7611028883453824274?is_from_webapp=1&amp;sender_device=pc&amp;web_id=7611930277489657360</v>
      </c>
      <c r="K497" s="464" t="str">
        <f>IFERROR(__xludf.DUMMYFUNCTION("""COMPUTED_VALUE"""),"KIMME")</f>
        <v>KIMME</v>
      </c>
      <c r="L497" s="279" t="str">
        <f>IFERROR(__xludf.DUMMYFUNCTION("""COMPUTED_VALUE"""),"https://www.tiktok.com/@nanfeb_/video/7613237565193243922?is_from_webapp=1&amp;sender_device=pc&amp;web_id=7611930277489657360")</f>
        <v>https://www.tiktok.com/@nanfeb_/video/7613237565193243922?is_from_webapp=1&amp;sender_device=pc&amp;web_id=7611930277489657360</v>
      </c>
      <c r="M497" s="464" t="str">
        <f>IFERROR(__xludf.DUMMYFUNCTION("""COMPUTED_VALUE"""),"KIMME")</f>
        <v>KIMME</v>
      </c>
      <c r="N497" s="279" t="str">
        <f>IFERROR(__xludf.DUMMYFUNCTION("""COMPUTED_VALUE"""),"https://www.tiktok.com/@nanfeb_/video/7613377594410519815?is_from_webapp=1&amp;sender_device=pc&amp;web_id=7611930277489657360")</f>
        <v>https://www.tiktok.com/@nanfeb_/video/7613377594410519815?is_from_webapp=1&amp;sender_device=pc&amp;web_id=7611930277489657360</v>
      </c>
      <c r="O497" s="464" t="str">
        <f>IFERROR(__xludf.DUMMYFUNCTION("""COMPUTED_VALUE"""),"KIMME")</f>
        <v>KIMME</v>
      </c>
      <c r="P497" s="279" t="str">
        <f>IFERROR(__xludf.DUMMYFUNCTION("""COMPUTED_VALUE"""),"https://www.tiktok.com/@nanfeb_/video/7625243167872437522?is_from_webapp=1&amp;sender_device=pc&amp;web_id=7611930277489657360")</f>
        <v>https://www.tiktok.com/@nanfeb_/video/7625243167872437522?is_from_webapp=1&amp;sender_device=pc&amp;web_id=7611930277489657360</v>
      </c>
    </row>
    <row r="498">
      <c r="A498" s="255" t="str">
        <f>IFERROR(__xludf.DUMMYFUNCTION("""COMPUTED_VALUE"""),"MICRO")</f>
        <v>MICRO</v>
      </c>
      <c r="B498" s="361" t="str">
        <f>IFERROR(__xludf.DUMMYFUNCTION("""COMPUTED_VALUE"""),"candaaaa69")</f>
        <v>candaaaa69</v>
      </c>
      <c r="C498" s="257" t="str">
        <f>IFERROR(__xludf.DUMMYFUNCTION("""COMPUTED_VALUE"""),"https://www.tiktok.com/@candaaaa69")</f>
        <v>https://www.tiktok.com/@candaaaa69</v>
      </c>
      <c r="D498" s="270">
        <f>IFERROR(__xludf.DUMMYFUNCTION("""COMPUTED_VALUE"""),8.8220442572E10)</f>
        <v>88220442572</v>
      </c>
      <c r="E498" s="457">
        <f>IFERROR(__xludf.DUMMYFUNCTION("""COMPUTED_VALUE"""),0.0)</f>
        <v>0</v>
      </c>
      <c r="F498" s="270">
        <f>IFERROR(__xludf.DUMMYFUNCTION("""COMPUTED_VALUE"""),4.0)</f>
        <v>4</v>
      </c>
      <c r="G498" s="17" t="str">
        <f>IFERROR(__xludf.DUMMYFUNCTION("""COMPUTED_VALUE"""),"Sabun batang 1 Box ( 2 PCS )")</f>
        <v>Sabun batang 1 Box ( 2 PCS )</v>
      </c>
      <c r="H498" s="463" t="str">
        <f>IFERROR(__xludf.DUMMYFUNCTION("""COMPUTED_VALUE"""),"Sampai")</f>
        <v>Sampai</v>
      </c>
      <c r="I498" s="464" t="str">
        <f>IFERROR(__xludf.DUMMYFUNCTION("""COMPUTED_VALUE"""),"KIMME")</f>
        <v>KIMME</v>
      </c>
      <c r="J498" s="279" t="str">
        <f>IFERROR(__xludf.DUMMYFUNCTION("""COMPUTED_VALUE"""),"https://www.tiktok.com/@candaaaa69/video/7612886696857750791?is_from_webapp=1&amp;sender_device=pc&amp;web_id=7611930277489657360")</f>
        <v>https://www.tiktok.com/@candaaaa69/video/7612886696857750791?is_from_webapp=1&amp;sender_device=pc&amp;web_id=7611930277489657360</v>
      </c>
      <c r="K498" s="464" t="str">
        <f>IFERROR(__xludf.DUMMYFUNCTION("""COMPUTED_VALUE"""),"KIMME")</f>
        <v>KIMME</v>
      </c>
      <c r="L498" s="279" t="str">
        <f>IFERROR(__xludf.DUMMYFUNCTION("""COMPUTED_VALUE"""),"https://www.tiktok.com/@candaaaa69/video/7612892735950949650?is_from_webapp=1&amp;sender_device=pc&amp;web_id=7611930277489657360")</f>
        <v>https://www.tiktok.com/@candaaaa69/video/7612892735950949650?is_from_webapp=1&amp;sender_device=pc&amp;web_id=7611930277489657360</v>
      </c>
      <c r="M498" s="464" t="str">
        <f>IFERROR(__xludf.DUMMYFUNCTION("""COMPUTED_VALUE"""),"KIMME")</f>
        <v>KIMME</v>
      </c>
      <c r="N498" s="279" t="str">
        <f>IFERROR(__xludf.DUMMYFUNCTION("""COMPUTED_VALUE"""),"https://www.tiktok.com/@candaaaa69/video/7626597012493880594?is_from_webapp=1&amp;sender_device=pc&amp;web_id=7611930277489657360")</f>
        <v>https://www.tiktok.com/@candaaaa69/video/7626597012493880594?is_from_webapp=1&amp;sender_device=pc&amp;web_id=7611930277489657360</v>
      </c>
      <c r="O498" s="464" t="str">
        <f>IFERROR(__xludf.DUMMYFUNCTION("""COMPUTED_VALUE"""),"KIMME")</f>
        <v>KIMME</v>
      </c>
      <c r="P498" s="279" t="str">
        <f>IFERROR(__xludf.DUMMYFUNCTION("""COMPUTED_VALUE"""),"https://www.tiktok.com/@candaaaa69/video/7627746039864298759?is_from_webapp=1&amp;sender_device=pc&amp;web_id=7611930277489657360")</f>
        <v>https://www.tiktok.com/@candaaaa69/video/7627746039864298759?is_from_webapp=1&amp;sender_device=pc&amp;web_id=7611930277489657360</v>
      </c>
    </row>
    <row r="499">
      <c r="A499" s="255" t="str">
        <f>IFERROR(__xludf.DUMMYFUNCTION("""COMPUTED_VALUE"""),"MICRO")</f>
        <v>MICRO</v>
      </c>
      <c r="B499" s="361" t="str">
        <f>IFERROR(__xludf.DUMMYFUNCTION("""COMPUTED_VALUE"""),"jennieeljasmin")</f>
        <v>jennieeljasmin</v>
      </c>
      <c r="C499" s="257" t="str">
        <f>IFERROR(__xludf.DUMMYFUNCTION("""COMPUTED_VALUE"""),"https://www.tiktok.com/@jennieeljasmin")</f>
        <v>https://www.tiktok.com/@jennieeljasmin</v>
      </c>
      <c r="D499" s="270">
        <f>IFERROR(__xludf.DUMMYFUNCTION("""COMPUTED_VALUE"""),8.1381118164E10)</f>
        <v>81381118164</v>
      </c>
      <c r="E499" s="457">
        <f>IFERROR(__xludf.DUMMYFUNCTION("""COMPUTED_VALUE"""),0.0)</f>
        <v>0</v>
      </c>
      <c r="F499" s="270">
        <f>IFERROR(__xludf.DUMMYFUNCTION("""COMPUTED_VALUE"""),4.0)</f>
        <v>4</v>
      </c>
      <c r="G499" s="17" t="str">
        <f>IFERROR(__xludf.DUMMYFUNCTION("""COMPUTED_VALUE"""),"Sabun batang 1 Box ( 2 PCS )")</f>
        <v>Sabun batang 1 Box ( 2 PCS )</v>
      </c>
      <c r="H499" s="463" t="str">
        <f>IFERROR(__xludf.DUMMYFUNCTION("""COMPUTED_VALUE"""),"Sampai")</f>
        <v>Sampai</v>
      </c>
      <c r="I499" s="464" t="str">
        <f>IFERROR(__xludf.DUMMYFUNCTION("""COMPUTED_VALUE"""),"KIMME")</f>
        <v>KIMME</v>
      </c>
      <c r="J499" s="279" t="str">
        <f>IFERROR(__xludf.DUMMYFUNCTION("""COMPUTED_VALUE"""),"https://www.tiktok.com/@jennieeljasmin/video/7615150658311703826?is_from_webapp=1&amp;sender_device=pc")</f>
        <v>https://www.tiktok.com/@jennieeljasmin/video/7615150658311703826?is_from_webapp=1&amp;sender_device=pc</v>
      </c>
      <c r="K499" s="464" t="str">
        <f>IFERROR(__xludf.DUMMYFUNCTION("""COMPUTED_VALUE"""),"KIMME")</f>
        <v>KIMME</v>
      </c>
      <c r="L499" s="279" t="str">
        <f>IFERROR(__xludf.DUMMYFUNCTION("""COMPUTED_VALUE"""),"https://www.tiktok.com/@jennieeljasmin/video/7626207640913186055?is_from_webapp=1&amp;sender_device=pc")</f>
        <v>https://www.tiktok.com/@jennieeljasmin/video/7626207640913186055?is_from_webapp=1&amp;sender_device=pc</v>
      </c>
      <c r="M499" s="464" t="str">
        <f>IFERROR(__xludf.DUMMYFUNCTION("""COMPUTED_VALUE"""),"KIMME")</f>
        <v>KIMME</v>
      </c>
      <c r="N499" s="279" t="str">
        <f>IFERROR(__xludf.DUMMYFUNCTION("""COMPUTED_VALUE"""),"https://www.tiktok.com/@jennieeljasmin/video/7631789654508932370?is_from_webapp=1&amp;sender_device=pc&amp;web_id=7611930277489657360")</f>
        <v>https://www.tiktok.com/@jennieeljasmin/video/7631789654508932370?is_from_webapp=1&amp;sender_device=pc&amp;web_id=7611930277489657360</v>
      </c>
      <c r="O499" s="464" t="str">
        <f>IFERROR(__xludf.DUMMYFUNCTION("""COMPUTED_VALUE"""),"KIMME")</f>
        <v>KIMME</v>
      </c>
      <c r="P499" s="279" t="str">
        <f>IFERROR(__xludf.DUMMYFUNCTION("""COMPUTED_VALUE"""),"https://www.tiktok.com/@simas.032/video/7632105872101051666?is_from_webapp=1&amp;sender_device=pc&amp;web_id=7611930277489657360")</f>
        <v>https://www.tiktok.com/@simas.032/video/7632105872101051666?is_from_webapp=1&amp;sender_device=pc&amp;web_id=7611930277489657360</v>
      </c>
    </row>
    <row r="500">
      <c r="A500" s="255" t="str">
        <f>IFERROR(__xludf.DUMMYFUNCTION("""COMPUTED_VALUE"""),"MICRO")</f>
        <v>MICRO</v>
      </c>
      <c r="B500" s="361" t="str">
        <f>IFERROR(__xludf.DUMMYFUNCTION("""COMPUTED_VALUE"""),"i.amfajar ")</f>
        <v>i.amfajar </v>
      </c>
      <c r="C500" s="257" t="str">
        <f>IFERROR(__xludf.DUMMYFUNCTION("""COMPUTED_VALUE"""),"https://www.tiktok.com/@i.amfajar ")</f>
        <v>https://www.tiktok.com/@i.amfajar </v>
      </c>
      <c r="D500" s="270">
        <f>IFERROR(__xludf.DUMMYFUNCTION("""COMPUTED_VALUE"""),8.221707489E10)</f>
        <v>82217074890</v>
      </c>
      <c r="E500" s="457">
        <f>IFERROR(__xludf.DUMMYFUNCTION("""COMPUTED_VALUE"""),0.0)</f>
        <v>0</v>
      </c>
      <c r="F500" s="270">
        <f>IFERROR(__xludf.DUMMYFUNCTION("""COMPUTED_VALUE"""),4.0)</f>
        <v>4</v>
      </c>
      <c r="G500" s="17" t="str">
        <f>IFERROR(__xludf.DUMMYFUNCTION("""COMPUTED_VALUE"""),"Sabun batang 1 Box ( 2 PCS )")</f>
        <v>Sabun batang 1 Box ( 2 PCS )</v>
      </c>
      <c r="H500" s="463" t="str">
        <f>IFERROR(__xludf.DUMMYFUNCTION("""COMPUTED_VALUE"""),"Sampai")</f>
        <v>Sampai</v>
      </c>
      <c r="I500" s="464" t="str">
        <f>IFERROR(__xludf.DUMMYFUNCTION("""COMPUTED_VALUE"""),"KIMME")</f>
        <v>KIMME</v>
      </c>
      <c r="J500" s="17" t="str">
        <f>IFERROR(__xludf.DUMMYFUNCTION("""COMPUTED_VALUE"""),"⁠https://vt.tiktok.com/ZS97uA7cU/")</f>
        <v>⁠https://vt.tiktok.com/ZS97uA7cU/</v>
      </c>
      <c r="K500" s="464" t="str">
        <f>IFERROR(__xludf.DUMMYFUNCTION("""COMPUTED_VALUE"""),"KIMME")</f>
        <v>KIMME</v>
      </c>
      <c r="L500" s="17" t="str">
        <f>IFERROR(__xludf.DUMMYFUNCTION("""COMPUTED_VALUE"""),"⁠https://vt.tiktok.com/ZS97uAkQh/")</f>
        <v>⁠https://vt.tiktok.com/ZS97uAkQh/</v>
      </c>
      <c r="M500" s="464"/>
      <c r="N500" s="17" t="str">
        <f>IFERROR(__xludf.DUMMYFUNCTION("""COMPUTED_VALUE"""),"⁠https://vt.tiktok.com/ZS97m7pw8/")</f>
        <v>⁠https://vt.tiktok.com/ZS97m7pw8/</v>
      </c>
      <c r="O500" s="464"/>
      <c r="P500" s="279" t="str">
        <f>IFERROR(__xludf.DUMMYFUNCTION("""COMPUTED_VALUE"""),"https://vt.tiktok.com/ZS97uLmnt/")</f>
        <v>https://vt.tiktok.com/ZS97uLmnt/</v>
      </c>
    </row>
    <row r="501">
      <c r="A501" s="255" t="str">
        <f>IFERROR(__xludf.DUMMYFUNCTION("""COMPUTED_VALUE"""),"MICRO")</f>
        <v>MICRO</v>
      </c>
      <c r="B501" s="361" t="str">
        <f>IFERROR(__xludf.DUMMYFUNCTION("""COMPUTED_VALUE"""),"delladewintaaa")</f>
        <v>delladewintaaa</v>
      </c>
      <c r="C501" s="257" t="str">
        <f>IFERROR(__xludf.DUMMYFUNCTION("""COMPUTED_VALUE"""),"https://www.tiktok.com/@delladewintaaa")</f>
        <v>https://www.tiktok.com/@delladewintaaa</v>
      </c>
      <c r="D501" s="270">
        <f>IFERROR(__xludf.DUMMYFUNCTION("""COMPUTED_VALUE"""),8.5793590723E10)</f>
        <v>85793590723</v>
      </c>
      <c r="E501" s="457">
        <f>IFERROR(__xludf.DUMMYFUNCTION("""COMPUTED_VALUE"""),0.0)</f>
        <v>0</v>
      </c>
      <c r="F501" s="270">
        <f>IFERROR(__xludf.DUMMYFUNCTION("""COMPUTED_VALUE"""),3.0)</f>
        <v>3</v>
      </c>
      <c r="G501" s="17" t="str">
        <f>IFERROR(__xludf.DUMMYFUNCTION("""COMPUTED_VALUE"""),"Sabun batang 1 Box ( 2 PCS )")</f>
        <v>Sabun batang 1 Box ( 2 PCS )</v>
      </c>
      <c r="H501" s="463" t="str">
        <f>IFERROR(__xludf.DUMMYFUNCTION("""COMPUTED_VALUE"""),"Sampai")</f>
        <v>Sampai</v>
      </c>
      <c r="I501" s="464" t="str">
        <f>IFERROR(__xludf.DUMMYFUNCTION("""COMPUTED_VALUE"""),"KIMME")</f>
        <v>KIMME</v>
      </c>
      <c r="J501" s="279" t="str">
        <f>IFERROR(__xludf.DUMMYFUNCTION("""COMPUTED_VALUE"""),"https://www.tiktok.com/@carisacimbrut/video/7616844504527572244?is_from_webapp=1&amp;sender_device=pc&amp;web_id=7611930277489657360")</f>
        <v>https://www.tiktok.com/@carisacimbrut/video/7616844504527572244?is_from_webapp=1&amp;sender_device=pc&amp;web_id=7611930277489657360</v>
      </c>
      <c r="K501" s="464" t="str">
        <f>IFERROR(__xludf.DUMMYFUNCTION("""COMPUTED_VALUE"""),"KIMME")</f>
        <v>KIMME</v>
      </c>
      <c r="L501" s="279" t="str">
        <f>IFERROR(__xludf.DUMMYFUNCTION("""COMPUTED_VALUE"""),"https://www.tiktok.com/@carisacimbrut/video/7617162772618431764?is_from_webapp=1&amp;sender_device=pc&amp;web_id=7611930277489657360")</f>
        <v>https://www.tiktok.com/@carisacimbrut/video/7617162772618431764?is_from_webapp=1&amp;sender_device=pc&amp;web_id=7611930277489657360</v>
      </c>
      <c r="M501" s="464" t="str">
        <f>IFERROR(__xludf.DUMMYFUNCTION("""COMPUTED_VALUE"""),"KIMME")</f>
        <v>KIMME</v>
      </c>
      <c r="N501" s="279" t="str">
        <f>IFERROR(__xludf.DUMMYFUNCTION("""COMPUTED_VALUE"""),"https://www.tiktok.com/@carisacimbrut/video/7618490263782182165?is_from_webapp=1&amp;sender_device=pc&amp;web_id=7611930277489657360")</f>
        <v>https://www.tiktok.com/@carisacimbrut/video/7618490263782182165?is_from_webapp=1&amp;sender_device=pc&amp;web_id=7611930277489657360</v>
      </c>
      <c r="O501" s="464"/>
      <c r="P501" s="279" t="str">
        <f>IFERROR(__xludf.DUMMYFUNCTION("""COMPUTED_VALUE"""),"https://vt.tiktok.com/ZS9tCveas/")</f>
        <v>https://vt.tiktok.com/ZS9tCveas/</v>
      </c>
    </row>
    <row r="502">
      <c r="A502" s="255" t="str">
        <f>IFERROR(__xludf.DUMMYFUNCTION("""COMPUTED_VALUE"""),"MICRO")</f>
        <v>MICRO</v>
      </c>
      <c r="B502" s="361" t="str">
        <f>IFERROR(__xludf.DUMMYFUNCTION("""COMPUTED_VALUE"""),"_produkk3po")</f>
        <v>_produkk3po</v>
      </c>
      <c r="C502" s="257" t="str">
        <f>IFERROR(__xludf.DUMMYFUNCTION("""COMPUTED_VALUE"""),"https://www.tiktok.com/@_produkk3po")</f>
        <v>https://www.tiktok.com/@_produkk3po</v>
      </c>
      <c r="D502" s="270">
        <f>IFERROR(__xludf.DUMMYFUNCTION("""COMPUTED_VALUE"""),8.2146618086E10)</f>
        <v>82146618086</v>
      </c>
      <c r="E502" s="457">
        <f>IFERROR(__xludf.DUMMYFUNCTION("""COMPUTED_VALUE"""),0.0)</f>
        <v>0</v>
      </c>
      <c r="F502" s="270">
        <f>IFERROR(__xludf.DUMMYFUNCTION("""COMPUTED_VALUE"""),4.0)</f>
        <v>4</v>
      </c>
      <c r="G502" s="17" t="str">
        <f>IFERROR(__xludf.DUMMYFUNCTION("""COMPUTED_VALUE"""),"Sabun batang 1 Box ( 2 PCS )")</f>
        <v>Sabun batang 1 Box ( 2 PCS )</v>
      </c>
      <c r="H502" s="463" t="str">
        <f>IFERROR(__xludf.DUMMYFUNCTION("""COMPUTED_VALUE"""),"Sampai")</f>
        <v>Sampai</v>
      </c>
      <c r="I502" s="464" t="str">
        <f>IFERROR(__xludf.DUMMYFUNCTION("""COMPUTED_VALUE"""),"KIMME")</f>
        <v>KIMME</v>
      </c>
      <c r="J502" s="279" t="str">
        <f>IFERROR(__xludf.DUMMYFUNCTION("""COMPUTED_VALUE"""),"https://www.tiktok.com/@_produkk3po/video/7617108649529396501?is_from_webapp=1&amp;sender_device=pc&amp;web_id=7611930277489657360")</f>
        <v>https://www.tiktok.com/@_produkk3po/video/7617108649529396501?is_from_webapp=1&amp;sender_device=pc&amp;web_id=7611930277489657360</v>
      </c>
      <c r="K502" s="464" t="str">
        <f>IFERROR(__xludf.DUMMYFUNCTION("""COMPUTED_VALUE"""),"KIMME")</f>
        <v>KIMME</v>
      </c>
      <c r="L502" s="279" t="str">
        <f>IFERROR(__xludf.DUMMYFUNCTION("""COMPUTED_VALUE"""),"https://www.tiktok.com/@_produkk3po/video/7614702202065521941?is_from_webapp=1&amp;sender_device=pc&amp;web_id=7611930277489657360")</f>
        <v>https://www.tiktok.com/@_produkk3po/video/7614702202065521941?is_from_webapp=1&amp;sender_device=pc&amp;web_id=7611930277489657360</v>
      </c>
      <c r="M502" s="464" t="str">
        <f>IFERROR(__xludf.DUMMYFUNCTION("""COMPUTED_VALUE"""),"KIMME")</f>
        <v>KIMME</v>
      </c>
      <c r="N502" s="279" t="str">
        <f>IFERROR(__xludf.DUMMYFUNCTION("""COMPUTED_VALUE"""),"https://www.tiktok.com/@_produkk3po/video/7612656415416667412?is_from_webapp=1&amp;sender_device=pc&amp;web_id=7611930277489657360")</f>
        <v>https://www.tiktok.com/@_produkk3po/video/7612656415416667412?is_from_webapp=1&amp;sender_device=pc&amp;web_id=7611930277489657360</v>
      </c>
      <c r="O502" s="464" t="str">
        <f>IFERROR(__xludf.DUMMYFUNCTION("""COMPUTED_VALUE"""),"KIMME")</f>
        <v>KIMME</v>
      </c>
      <c r="P502" s="279" t="str">
        <f>IFERROR(__xludf.DUMMYFUNCTION("""COMPUTED_VALUE"""),"https://www.tiktok.com/@_produkk3po/video/7608768855837560084?is_from_webapp=1&amp;sender_device=pc&amp;web_id=7611930277489657360")</f>
        <v>https://www.tiktok.com/@_produkk3po/video/7608768855837560084?is_from_webapp=1&amp;sender_device=pc&amp;web_id=7611930277489657360</v>
      </c>
    </row>
    <row r="503">
      <c r="A503" s="255" t="str">
        <f>IFERROR(__xludf.DUMMYFUNCTION("""COMPUTED_VALUE"""),"MICRO")</f>
        <v>MICRO</v>
      </c>
      <c r="B503" s="361" t="str">
        <f>IFERROR(__xludf.DUMMYFUNCTION("""COMPUTED_VALUE"""),"glowwithflow_")</f>
        <v>glowwithflow_</v>
      </c>
      <c r="C503" s="257" t="str">
        <f>IFERROR(__xludf.DUMMYFUNCTION("""COMPUTED_VALUE"""),"https://www.tiktok.com/@glowwithflow_")</f>
        <v>https://www.tiktok.com/@glowwithflow_</v>
      </c>
      <c r="D503" s="270">
        <f>IFERROR(__xludf.DUMMYFUNCTION("""COMPUTED_VALUE"""),8.1228908768E10)</f>
        <v>81228908768</v>
      </c>
      <c r="E503" s="457">
        <f>IFERROR(__xludf.DUMMYFUNCTION("""COMPUTED_VALUE"""),0.0)</f>
        <v>0</v>
      </c>
      <c r="F503" s="270">
        <f>IFERROR(__xludf.DUMMYFUNCTION("""COMPUTED_VALUE"""),4.0)</f>
        <v>4</v>
      </c>
      <c r="G503" s="17" t="str">
        <f>IFERROR(__xludf.DUMMYFUNCTION("""COMPUTED_VALUE"""),"Sabun batang 1 Box ( 2 PCS )")</f>
        <v>Sabun batang 1 Box ( 2 PCS )</v>
      </c>
      <c r="H503" s="463" t="str">
        <f>IFERROR(__xludf.DUMMYFUNCTION("""COMPUTED_VALUE"""),"Sampai")</f>
        <v>Sampai</v>
      </c>
      <c r="I503" s="464" t="str">
        <f>IFERROR(__xludf.DUMMYFUNCTION("""COMPUTED_VALUE"""),"KIMME")</f>
        <v>KIMME</v>
      </c>
      <c r="J503" s="279" t="str">
        <f>IFERROR(__xludf.DUMMYFUNCTION("""COMPUTED_VALUE"""),"https://vt.tiktok.com/ZS9tC9E2E/")</f>
        <v>https://vt.tiktok.com/ZS9tC9E2E/</v>
      </c>
      <c r="K503" s="464" t="str">
        <f>IFERROR(__xludf.DUMMYFUNCTION("""COMPUTED_VALUE"""),"KIMME")</f>
        <v>KIMME</v>
      </c>
      <c r="L503" s="279" t="str">
        <f>IFERROR(__xludf.DUMMYFUNCTION("""COMPUTED_VALUE"""),"https://vt.tiktok.com/ZS9tCWKYD/")</f>
        <v>https://vt.tiktok.com/ZS9tCWKYD/</v>
      </c>
      <c r="M503" s="464"/>
      <c r="N503" s="279" t="str">
        <f>IFERROR(__xludf.DUMMYFUNCTION("""COMPUTED_VALUE"""),"https://vt.tiktok.com/ZS9tCqeKC/")</f>
        <v>https://vt.tiktok.com/ZS9tCqeKC/</v>
      </c>
      <c r="O503" s="464"/>
      <c r="P503" s="279" t="str">
        <f>IFERROR(__xludf.DUMMYFUNCTION("""COMPUTED_VALUE"""),"https://vt.tiktok.com/ZS9tCqMkr/")</f>
        <v>https://vt.tiktok.com/ZS9tCqMkr/</v>
      </c>
    </row>
    <row r="504">
      <c r="A504" s="255" t="str">
        <f>IFERROR(__xludf.DUMMYFUNCTION("""COMPUTED_VALUE"""),"MICRO")</f>
        <v>MICRO</v>
      </c>
      <c r="B504" s="361" t="str">
        <f>IFERROR(__xludf.DUMMYFUNCTION("""COMPUTED_VALUE"""),"sofymulkiyahh
")</f>
        <v>sofymulkiyahh
</v>
      </c>
      <c r="C504" s="257" t="str">
        <f>IFERROR(__xludf.DUMMYFUNCTION("""COMPUTED_VALUE"""),"https://www.tiktok.com/@sofymulkiyahh
")</f>
        <v>https://www.tiktok.com/@sofymulkiyahh
</v>
      </c>
      <c r="D504" s="270">
        <f>IFERROR(__xludf.DUMMYFUNCTION("""COMPUTED_VALUE"""),8.3893478261E10)</f>
        <v>83893478261</v>
      </c>
      <c r="E504" s="457">
        <f>IFERROR(__xludf.DUMMYFUNCTION("""COMPUTED_VALUE"""),0.0)</f>
        <v>0</v>
      </c>
      <c r="F504" s="270">
        <f>IFERROR(__xludf.DUMMYFUNCTION("""COMPUTED_VALUE"""),1.0)</f>
        <v>1</v>
      </c>
      <c r="G504" s="17" t="str">
        <f>IFERROR(__xludf.DUMMYFUNCTION("""COMPUTED_VALUE"""),"Sabun batang 1 Box ( 2 PCS )")</f>
        <v>Sabun batang 1 Box ( 2 PCS )</v>
      </c>
      <c r="H504" s="463" t="str">
        <f>IFERROR(__xludf.DUMMYFUNCTION("""COMPUTED_VALUE"""),"Sampai")</f>
        <v>Sampai</v>
      </c>
      <c r="I504" s="464" t="str">
        <f>IFERROR(__xludf.DUMMYFUNCTION("""COMPUTED_VALUE"""),"KIMME")</f>
        <v>KIMME</v>
      </c>
      <c r="J504" s="279" t="str">
        <f>IFERROR(__xludf.DUMMYFUNCTION("""COMPUTED_VALUE"""),"https://www.tiktok.com/@carisacimbrut/video/7620077861298392341?is_from_webapp=1&amp;sender_device=pc&amp;web_id=7611930277489657360")</f>
        <v>https://www.tiktok.com/@carisacimbrut/video/7620077861298392341?is_from_webapp=1&amp;sender_device=pc&amp;web_id=7611930277489657360</v>
      </c>
      <c r="K504" s="464" t="str">
        <f>IFERROR(__xludf.DUMMYFUNCTION("""COMPUTED_VALUE"""),"KIMME")</f>
        <v>KIMME</v>
      </c>
      <c r="L504" s="279" t="str">
        <f>IFERROR(__xludf.DUMMYFUNCTION("""COMPUTED_VALUE"""),"https://vt.tiktok.com/ZS9tbaYcP/")</f>
        <v>https://vt.tiktok.com/ZS9tbaYcP/</v>
      </c>
      <c r="M504" s="464"/>
      <c r="N504" s="279" t="str">
        <f>IFERROR(__xludf.DUMMYFUNCTION("""COMPUTED_VALUE"""),"https://vt.tiktok.com/ZS9tbkd5U/")</f>
        <v>https://vt.tiktok.com/ZS9tbkd5U/</v>
      </c>
      <c r="O504" s="464"/>
      <c r="P504" s="279" t="str">
        <f>IFERROR(__xludf.DUMMYFUNCTION("""COMPUTED_VALUE"""),"https://vt.tiktok.com/ZS9tC7JJm/")</f>
        <v>https://vt.tiktok.com/ZS9tC7JJm/</v>
      </c>
    </row>
    <row r="505">
      <c r="A505" s="255" t="str">
        <f>IFERROR(__xludf.DUMMYFUNCTION("""COMPUTED_VALUE"""),"MICRO")</f>
        <v>MICRO</v>
      </c>
      <c r="B505" s="361" t="str">
        <f>IFERROR(__xludf.DUMMYFUNCTION("""COMPUTED_VALUE"""),"mellyshasuryani14")</f>
        <v>mellyshasuryani14</v>
      </c>
      <c r="C505" s="257" t="str">
        <f>IFERROR(__xludf.DUMMYFUNCTION("""COMPUTED_VALUE"""),"https://www.tiktok.com/@mellyshasuryani14")</f>
        <v>https://www.tiktok.com/@mellyshasuryani14</v>
      </c>
      <c r="D505" s="270">
        <f>IFERROR(__xludf.DUMMYFUNCTION("""COMPUTED_VALUE"""),8.1363736961E10)</f>
        <v>81363736961</v>
      </c>
      <c r="E505" s="457">
        <f>IFERROR(__xludf.DUMMYFUNCTION("""COMPUTED_VALUE"""),0.0)</f>
        <v>0</v>
      </c>
      <c r="F505" s="270">
        <f>IFERROR(__xludf.DUMMYFUNCTION("""COMPUTED_VALUE"""),4.0)</f>
        <v>4</v>
      </c>
      <c r="G505" s="17" t="str">
        <f>IFERROR(__xludf.DUMMYFUNCTION("""COMPUTED_VALUE"""),"Sabun batang 1 Box ( 2 PCS )")</f>
        <v>Sabun batang 1 Box ( 2 PCS )</v>
      </c>
      <c r="H505" s="463" t="str">
        <f>IFERROR(__xludf.DUMMYFUNCTION("""COMPUTED_VALUE"""),"Sampai")</f>
        <v>Sampai</v>
      </c>
      <c r="I505" s="464" t="str">
        <f>IFERROR(__xludf.DUMMYFUNCTION("""COMPUTED_VALUE"""),"KIMME")</f>
        <v>KIMME</v>
      </c>
      <c r="J505" s="279" t="str">
        <f>IFERROR(__xludf.DUMMYFUNCTION("""COMPUTED_VALUE"""),"https://www.tiktok.com/@mellyshasuryani14/video/7628958183704251668")</f>
        <v>https://www.tiktok.com/@mellyshasuryani14/video/7628958183704251668</v>
      </c>
      <c r="K505" s="464" t="str">
        <f>IFERROR(__xludf.DUMMYFUNCTION("""COMPUTED_VALUE"""),"KIMME")</f>
        <v>KIMME</v>
      </c>
      <c r="L505" s="279" t="str">
        <f>IFERROR(__xludf.DUMMYFUNCTION("""COMPUTED_VALUE"""),"https://www.tiktok.com/@mellyshasuryani14/video/7628948219032145173")</f>
        <v>https://www.tiktok.com/@mellyshasuryani14/video/7628948219032145173</v>
      </c>
      <c r="M505" s="464" t="str">
        <f>IFERROR(__xludf.DUMMYFUNCTION("""COMPUTED_VALUE"""),"KIMME")</f>
        <v>KIMME</v>
      </c>
      <c r="N505" s="279" t="str">
        <f>IFERROR(__xludf.DUMMYFUNCTION("""COMPUTED_VALUE"""),"https://www.tiktok.com/@mellyshasuryani14/video/7614050130232200468")</f>
        <v>https://www.tiktok.com/@mellyshasuryani14/video/7614050130232200468</v>
      </c>
      <c r="O505" s="464" t="str">
        <f>IFERROR(__xludf.DUMMYFUNCTION("""COMPUTED_VALUE"""),"KIMME")</f>
        <v>KIMME</v>
      </c>
      <c r="P505" s="279" t="str">
        <f>IFERROR(__xludf.DUMMYFUNCTION("""COMPUTED_VALUE"""),"https://www.tiktok.com/@mellyshasuryani14/video/7611358629794417940")</f>
        <v>https://www.tiktok.com/@mellyshasuryani14/video/7611358629794417940</v>
      </c>
    </row>
    <row r="506">
      <c r="A506" s="255" t="str">
        <f>IFERROR(__xludf.DUMMYFUNCTION("""COMPUTED_VALUE"""),"MICRO")</f>
        <v>MICRO</v>
      </c>
      <c r="B506" s="361" t="str">
        <f>IFERROR(__xludf.DUMMYFUNCTION("""COMPUTED_VALUE"""),"zafarabeauty")</f>
        <v>zafarabeauty</v>
      </c>
      <c r="C506" s="257" t="str">
        <f>IFERROR(__xludf.DUMMYFUNCTION("""COMPUTED_VALUE"""),"https://www.tiktok.com/@zafarabeauty")</f>
        <v>https://www.tiktok.com/@zafarabeauty</v>
      </c>
      <c r="D506" s="270">
        <f>IFERROR(__xludf.DUMMYFUNCTION("""COMPUTED_VALUE"""),8.1233604473E10)</f>
        <v>81233604473</v>
      </c>
      <c r="E506" s="457">
        <f>IFERROR(__xludf.DUMMYFUNCTION("""COMPUTED_VALUE"""),0.0)</f>
        <v>0</v>
      </c>
      <c r="F506" s="270">
        <f>IFERROR(__xludf.DUMMYFUNCTION("""COMPUTED_VALUE"""),4.0)</f>
        <v>4</v>
      </c>
      <c r="G506" s="17" t="str">
        <f>IFERROR(__xludf.DUMMYFUNCTION("""COMPUTED_VALUE"""),"Sabun batang 1 Box ( 2 PCS )")</f>
        <v>Sabun batang 1 Box ( 2 PCS )</v>
      </c>
      <c r="H506" s="463" t="str">
        <f>IFERROR(__xludf.DUMMYFUNCTION("""COMPUTED_VALUE"""),"Sampai")</f>
        <v>Sampai</v>
      </c>
      <c r="I506" s="464" t="str">
        <f>IFERROR(__xludf.DUMMYFUNCTION("""COMPUTED_VALUE"""),"KIMME")</f>
        <v>KIMME</v>
      </c>
      <c r="J506" s="279" t="str">
        <f>IFERROR(__xludf.DUMMYFUNCTION("""COMPUTED_VALUE"""),"https://www.tiktok.com/@zafarabeauty/video/7625443020170693895?is_from_webapp=1&amp;sender_device=pc&amp;web_id=7611930277489657360")</f>
        <v>https://www.tiktok.com/@zafarabeauty/video/7625443020170693895?is_from_webapp=1&amp;sender_device=pc&amp;web_id=7611930277489657360</v>
      </c>
      <c r="K506" s="464" t="str">
        <f>IFERROR(__xludf.DUMMYFUNCTION("""COMPUTED_VALUE"""),"KIMME")</f>
        <v>KIMME</v>
      </c>
      <c r="L506" s="279" t="str">
        <f>IFERROR(__xludf.DUMMYFUNCTION("""COMPUTED_VALUE"""),"https://www.tiktok.com/@zafarabeauty/video/7625446297469848850?is_from_webapp=1&amp;sender_device=pc&amp;web_id=7611930277489657360")</f>
        <v>https://www.tiktok.com/@zafarabeauty/video/7625446297469848850?is_from_webapp=1&amp;sender_device=pc&amp;web_id=7611930277489657360</v>
      </c>
      <c r="M506" s="464" t="str">
        <f>IFERROR(__xludf.DUMMYFUNCTION("""COMPUTED_VALUE"""),"KIMME")</f>
        <v>KIMME</v>
      </c>
      <c r="N506" s="279" t="str">
        <f>IFERROR(__xludf.DUMMYFUNCTION("""COMPUTED_VALUE"""),"https://www.tiktok.com/@zafarabeauty/video/7625572579952151816?is_from_webapp=1&amp;sender_device=pc&amp;web_id=7611930277489657360")</f>
        <v>https://www.tiktok.com/@zafarabeauty/video/7625572579952151816?is_from_webapp=1&amp;sender_device=pc&amp;web_id=7611930277489657360</v>
      </c>
      <c r="O506" s="464" t="str">
        <f>IFERROR(__xludf.DUMMYFUNCTION("""COMPUTED_VALUE"""),"KIMME")</f>
        <v>KIMME</v>
      </c>
      <c r="P506" s="279" t="str">
        <f>IFERROR(__xludf.DUMMYFUNCTION("""COMPUTED_VALUE"""),"https://www.tiktok.com/@zafarabeauty/video/7625573845881179400?is_from_webapp=1&amp;sender_device=pc&amp;web_id=7611930277489657360")</f>
        <v>https://www.tiktok.com/@zafarabeauty/video/7625573845881179400?is_from_webapp=1&amp;sender_device=pc&amp;web_id=7611930277489657360</v>
      </c>
    </row>
    <row r="507">
      <c r="A507" s="255" t="str">
        <f>IFERROR(__xludf.DUMMYFUNCTION("""COMPUTED_VALUE"""),"MICRO")</f>
        <v>MICRO</v>
      </c>
      <c r="B507" s="361" t="str">
        <f>IFERROR(__xludf.DUMMYFUNCTION("""COMPUTED_VALUE"""),"its.raraaa13
")</f>
        <v>its.raraaa13
</v>
      </c>
      <c r="C507" s="257" t="str">
        <f>IFERROR(__xludf.DUMMYFUNCTION("""COMPUTED_VALUE"""),"https://www.tiktok.com/@its.raraaa13
")</f>
        <v>https://www.tiktok.com/@its.raraaa13
</v>
      </c>
      <c r="D507" s="270">
        <f>IFERROR(__xludf.DUMMYFUNCTION("""COMPUTED_VALUE"""),8.3826226382E10)</f>
        <v>83826226382</v>
      </c>
      <c r="E507" s="457">
        <f>IFERROR(__xludf.DUMMYFUNCTION("""COMPUTED_VALUE"""),50000.0)</f>
        <v>50000</v>
      </c>
      <c r="F507" s="270">
        <f>IFERROR(__xludf.DUMMYFUNCTION("""COMPUTED_VALUE"""),1.0)</f>
        <v>1</v>
      </c>
      <c r="G507" s="17" t="str">
        <f>IFERROR(__xludf.DUMMYFUNCTION("""COMPUTED_VALUE"""),"Sabun batang 1 Box ( 2 PCS )")</f>
        <v>Sabun batang 1 Box ( 2 PCS )</v>
      </c>
      <c r="H507" s="463" t="str">
        <f>IFERROR(__xludf.DUMMYFUNCTION("""COMPUTED_VALUE"""),"Sampai")</f>
        <v>Sampai</v>
      </c>
      <c r="I507" s="464" t="str">
        <f>IFERROR(__xludf.DUMMYFUNCTION("""COMPUTED_VALUE"""),"KIMME")</f>
        <v>KIMME</v>
      </c>
      <c r="J507" s="279" t="str">
        <f>IFERROR(__xludf.DUMMYFUNCTION("""COMPUTED_VALUE"""),"https://www.tiktok.com/@its.raraaa13/video/7621739185426287880?is_from_webapp=1&amp;sender_device=pc")</f>
        <v>https://www.tiktok.com/@its.raraaa13/video/7621739185426287880?is_from_webapp=1&amp;sender_device=pc</v>
      </c>
      <c r="K507" s="464" t="str">
        <f>IFERROR(__xludf.DUMMYFUNCTION("""COMPUTED_VALUE"""),"KIMME")</f>
        <v>KIMME</v>
      </c>
      <c r="L507" s="279" t="str">
        <f>IFERROR(__xludf.DUMMYFUNCTION("""COMPUTED_VALUE"""),"https://www.tiktok.com/@its.raraaa13/video/7621741618365828359?_r=1&amp;u_code=df253932a6940l&amp;region=&amp;mid=7618538954354756360&amp;preview_pb=0&amp;sharer_language=&amp;_d=0&amp;ec_shared_reflux_dynamic_params=%7B%22placeholder_material_id%22%3A%227621741618365828359%22%2C%22"&amp;"placeholder_origin_cover%22%3A%22https%253A%252F%252Fp16-sign-sg.tiktokcdn.com%252Ftos-alisg-p-0037%252FogDHjEzB2I3xNFOEeUbfLKgaOMXMBRgRFpIdAB~tplv-tiktokx-origin.jpeg%253Fdr%253D14572%2526refresh_token%253D22d56571%2526x-expires%253D1808204400%2526x-sign"&amp;"ature%253DB2B%25252BvDGQ0wWPPXnvuCFnS%25252FStxAg%25253D%2526t%253D4d5b0474%2526ps%253D13740610%2526shp%253Dd05b14bd%2526shcp%253D34ff8df6%2526idc%253Dmy3%2526s%253DTIKTOK_AFFILIATE_VIRAL_VIDEO%22%2C%22placeholder_product_id%22%3A%221729427766722726591%22"&amp;"%2C%22placeholder_video_id%22%3A%227621741618365828359%22%7D&amp;ec_shared_reflux_scene=shop_tab_feed&amp;share_item_id=7621741618365828359&amp;source=h5_t")</f>
        <v>https://www.tiktok.com/@its.raraaa13/video/7621741618365828359?_r=1&amp;u_code=df253932a6940l&amp;region=&amp;mid=7618538954354756360&amp;preview_pb=0&amp;sharer_language=&amp;_d=0&amp;ec_shared_reflux_dynamic_params=%7B%22placeholder_material_id%22%3A%227621741618365828359%22%2C%22placeholder_origin_cover%22%3A%22https%253A%252F%252Fp16-sign-sg.tiktokcdn.com%252Ftos-alisg-p-0037%252FogDHjEzB2I3xNFOEeUbfLKgaOMXMBRgRFpIdAB~tplv-tiktokx-origin.jpeg%253Fdr%253D14572%2526refresh_token%253D22d56571%2526x-expires%253D1808204400%2526x-signature%253DB2B%25252BvDGQ0wWPPXnvuCFnS%25252FStxAg%25253D%2526t%253D4d5b0474%2526ps%253D13740610%2526shp%253Dd05b14bd%2526shcp%253D34ff8df6%2526idc%253Dmy3%2526s%253DTIKTOK_AFFILIATE_VIRAL_VIDEO%22%2C%22placeholder_product_id%22%3A%221729427766722726591%22%2C%22placeholder_video_id%22%3A%227621741618365828359%22%7D&amp;ec_shared_reflux_scene=shop_tab_feed&amp;share_item_id=7621741618365828359&amp;source=h5_t</v>
      </c>
      <c r="M507" s="464"/>
      <c r="N507" s="279" t="str">
        <f>IFERROR(__xludf.DUMMYFUNCTION("""COMPUTED_VALUE"""),"https://vt.tiktok.com/ZS9tCqJj5/")</f>
        <v>https://vt.tiktok.com/ZS9tCqJj5/</v>
      </c>
      <c r="O507" s="464"/>
      <c r="P507" s="279" t="str">
        <f>IFERROR(__xludf.DUMMYFUNCTION("""COMPUTED_VALUE"""),"https://vt.tiktok.com/ZS9tCsS57/")</f>
        <v>https://vt.tiktok.com/ZS9tCsS57/</v>
      </c>
    </row>
    <row r="508">
      <c r="A508" s="255" t="str">
        <f>IFERROR(__xludf.DUMMYFUNCTION("""COMPUTED_VALUE"""),"MICRO")</f>
        <v>MICRO</v>
      </c>
      <c r="B508" s="361" t="str">
        <f>IFERROR(__xludf.DUMMYFUNCTION("""COMPUTED_VALUE"""),"namonyo.yunii07")</f>
        <v>namonyo.yunii07</v>
      </c>
      <c r="C508" s="257" t="str">
        <f>IFERROR(__xludf.DUMMYFUNCTION("""COMPUTED_VALUE"""),"https://www.tiktok.com/@namonyo.yunii07")</f>
        <v>https://www.tiktok.com/@namonyo.yunii07</v>
      </c>
      <c r="D508" s="270">
        <f>IFERROR(__xludf.DUMMYFUNCTION("""COMPUTED_VALUE"""),8.1271771783E10)</f>
        <v>81271771783</v>
      </c>
      <c r="E508" s="457">
        <f>IFERROR(__xludf.DUMMYFUNCTION("""COMPUTED_VALUE"""),0.0)</f>
        <v>0</v>
      </c>
      <c r="F508" s="270">
        <f>IFERROR(__xludf.DUMMYFUNCTION("""COMPUTED_VALUE"""),2.0)</f>
        <v>2</v>
      </c>
      <c r="G508" s="17" t="str">
        <f>IFERROR(__xludf.DUMMYFUNCTION("""COMPUTED_VALUE"""),"Sabun batang 1 Box ( 2 PCS )")</f>
        <v>Sabun batang 1 Box ( 2 PCS )</v>
      </c>
      <c r="H508" s="463" t="str">
        <f>IFERROR(__xludf.DUMMYFUNCTION("""COMPUTED_VALUE"""),"Sampai")</f>
        <v>Sampai</v>
      </c>
      <c r="I508" s="464" t="str">
        <f>IFERROR(__xludf.DUMMYFUNCTION("""COMPUTED_VALUE"""),"KIMME")</f>
        <v>KIMME</v>
      </c>
      <c r="J508" s="279" t="str">
        <f>IFERROR(__xludf.DUMMYFUNCTION("""COMPUTED_VALUE"""),"https://www.tiktok.com/@snowme.shop/video/7633606622887070997?is_from_webapp=1&amp;sender_device=pc&amp;web_id=7611930277489657360")</f>
        <v>https://www.tiktok.com/@snowme.shop/video/7633606622887070997?is_from_webapp=1&amp;sender_device=pc&amp;web_id=7611930277489657360</v>
      </c>
      <c r="K508" s="464" t="str">
        <f>IFERROR(__xludf.DUMMYFUNCTION("""COMPUTED_VALUE"""),"KIMME")</f>
        <v>KIMME</v>
      </c>
      <c r="L508" s="279" t="str">
        <f>IFERROR(__xludf.DUMMYFUNCTION("""COMPUTED_VALUE"""),"https://www.tiktok.com/@simas.032/video/7625940806234295559?is_from_webapp=1&amp;sender_device=pc&amp;web_id=7611930277489657360")</f>
        <v>https://www.tiktok.com/@simas.032/video/7625940806234295559?is_from_webapp=1&amp;sender_device=pc&amp;web_id=7611930277489657360</v>
      </c>
      <c r="M508" s="464" t="str">
        <f>IFERROR(__xludf.DUMMYFUNCTION("""COMPUTED_VALUE"""),"KIMME")</f>
        <v>KIMME</v>
      </c>
      <c r="N508" s="279" t="str">
        <f>IFERROR(__xludf.DUMMYFUNCTION("""COMPUTED_VALUE"""),"https://vt.tiktok.com/ZS9tCsVge/")</f>
        <v>https://vt.tiktok.com/ZS9tCsVge/</v>
      </c>
      <c r="O508" s="464"/>
      <c r="P508" s="279" t="str">
        <f>IFERROR(__xludf.DUMMYFUNCTION("""COMPUTED_VALUE"""),"https://vt.tiktok.com/ZS9tCgBjg/")</f>
        <v>https://vt.tiktok.com/ZS9tCgBjg/</v>
      </c>
    </row>
    <row r="509">
      <c r="A509" s="255" t="str">
        <f>IFERROR(__xludf.DUMMYFUNCTION("""COMPUTED_VALUE"""),"MICRO")</f>
        <v>MICRO</v>
      </c>
      <c r="B509" s="361" t="str">
        <f>IFERROR(__xludf.DUMMYFUNCTION("""COMPUTED_VALUE"""),"oradanta_02")</f>
        <v>oradanta_02</v>
      </c>
      <c r="C509" s="257" t="str">
        <f>IFERROR(__xludf.DUMMYFUNCTION("""COMPUTED_VALUE"""),"https://www.tiktok.com/@oradanta_02")</f>
        <v>https://www.tiktok.com/@oradanta_02</v>
      </c>
      <c r="D509" s="270">
        <f>IFERROR(__xludf.DUMMYFUNCTION("""COMPUTED_VALUE"""),8.9527606588E10)</f>
        <v>89527606588</v>
      </c>
      <c r="E509" s="457">
        <f>IFERROR(__xludf.DUMMYFUNCTION("""COMPUTED_VALUE"""),0.0)</f>
        <v>0</v>
      </c>
      <c r="F509" s="270">
        <f>IFERROR(__xludf.DUMMYFUNCTION("""COMPUTED_VALUE"""),4.0)</f>
        <v>4</v>
      </c>
      <c r="G509" s="17" t="str">
        <f>IFERROR(__xludf.DUMMYFUNCTION("""COMPUTED_VALUE"""),"Sabun batang 1 Box ( 2 PCS )")</f>
        <v>Sabun batang 1 Box ( 2 PCS )</v>
      </c>
      <c r="H509" s="463" t="str">
        <f>IFERROR(__xludf.DUMMYFUNCTION("""COMPUTED_VALUE"""),"Sampai")</f>
        <v>Sampai</v>
      </c>
      <c r="I509" s="464" t="str">
        <f>IFERROR(__xludf.DUMMYFUNCTION("""COMPUTED_VALUE"""),"KIMME")</f>
        <v>KIMME</v>
      </c>
      <c r="J509" s="279" t="str">
        <f>IFERROR(__xludf.DUMMYFUNCTION("""COMPUTED_VALUE"""),"https://www.tiktok.com/@spallspill_capricorn/video/7619185703586417940?is_from_webapp=1&amp;sender_device=pc&amp;web_id=7611930277489657360")</f>
        <v>https://www.tiktok.com/@spallspill_capricorn/video/7619185703586417940?is_from_webapp=1&amp;sender_device=pc&amp;web_id=7611930277489657360</v>
      </c>
      <c r="K509" s="464" t="str">
        <f>IFERROR(__xludf.DUMMYFUNCTION("""COMPUTED_VALUE"""),"KIMME")</f>
        <v>KIMME</v>
      </c>
      <c r="L509" s="279" t="str">
        <f>IFERROR(__xludf.DUMMYFUNCTION("""COMPUTED_VALUE"""),"https://www.tiktok.com/@spallspill_capricorn/video/7620051204869000468?is_from_webapp=1&amp;sender_device=pc&amp;web_id=7611930277489657360")</f>
        <v>https://www.tiktok.com/@spallspill_capricorn/video/7620051204869000468?is_from_webapp=1&amp;sender_device=pc&amp;web_id=7611930277489657360</v>
      </c>
      <c r="M509" s="464" t="str">
        <f>IFERROR(__xludf.DUMMYFUNCTION("""COMPUTED_VALUE"""),"KIMME")</f>
        <v>KIMME</v>
      </c>
      <c r="N509" s="279" t="str">
        <f>IFERROR(__xludf.DUMMYFUNCTION("""COMPUTED_VALUE"""),"https://www.tiktok.com/@snowme.shop/video/7633391930902138133?is_from_webapp=1&amp;sender_device=pc&amp;web_id=7611930277489657360")</f>
        <v>https://www.tiktok.com/@snowme.shop/video/7633391930902138133?is_from_webapp=1&amp;sender_device=pc&amp;web_id=7611930277489657360</v>
      </c>
      <c r="O509" s="464" t="str">
        <f>IFERROR(__xludf.DUMMYFUNCTION("""COMPUTED_VALUE"""),"KIMME")</f>
        <v>KIMME</v>
      </c>
      <c r="P509" s="279" t="str">
        <f>IFERROR(__xludf.DUMMYFUNCTION("""COMPUTED_VALUE"""),"https://www.tiktok.com/@snowme.shop/video/7633249733569531156?is_from_webapp=1&amp;sender_device=pc&amp;web_id=7611930277489657360")</f>
        <v>https://www.tiktok.com/@snowme.shop/video/7633249733569531156?is_from_webapp=1&amp;sender_device=pc&amp;web_id=7611930277489657360</v>
      </c>
    </row>
    <row r="510">
      <c r="A510" s="255" t="str">
        <f>IFERROR(__xludf.DUMMYFUNCTION("""COMPUTED_VALUE"""),"MICRO")</f>
        <v>MICRO</v>
      </c>
      <c r="B510" s="361" t="str">
        <f>IFERROR(__xludf.DUMMYFUNCTION("""COMPUTED_VALUE"""),"itsdianity")</f>
        <v>itsdianity</v>
      </c>
      <c r="C510" s="257" t="str">
        <f>IFERROR(__xludf.DUMMYFUNCTION("""COMPUTED_VALUE"""),"https://vt.tiktok.com/ZSH5kSWge/")</f>
        <v>https://vt.tiktok.com/ZSH5kSWge/</v>
      </c>
      <c r="D510" s="270">
        <f>IFERROR(__xludf.DUMMYFUNCTION("""COMPUTED_VALUE"""),8.2385502712E10)</f>
        <v>82385502712</v>
      </c>
      <c r="E510" s="457">
        <f>IFERROR(__xludf.DUMMYFUNCTION("""COMPUTED_VALUE"""),0.0)</f>
        <v>0</v>
      </c>
      <c r="F510" s="270">
        <f>IFERROR(__xludf.DUMMYFUNCTION("""COMPUTED_VALUE"""),4.0)</f>
        <v>4</v>
      </c>
      <c r="G510" s="17" t="str">
        <f>IFERROR(__xludf.DUMMYFUNCTION("""COMPUTED_VALUE"""),"Sabun batang 1 Box ( 2 PCS )")</f>
        <v>Sabun batang 1 Box ( 2 PCS )</v>
      </c>
      <c r="H510" s="463" t="str">
        <f>IFERROR(__xludf.DUMMYFUNCTION("""COMPUTED_VALUE"""),"Sampai")</f>
        <v>Sampai</v>
      </c>
      <c r="I510" s="464" t="str">
        <f>IFERROR(__xludf.DUMMYFUNCTION("""COMPUTED_VALUE"""),"KIMME")</f>
        <v>KIMME</v>
      </c>
      <c r="J510" s="279" t="str">
        <f>IFERROR(__xludf.DUMMYFUNCTION("""COMPUTED_VALUE"""),"https://www.tiktok.com/@itsdianity/video/7625851703929359634?_d=0&amp;_r=1&amp;ec_shared_reflux_dynamic_params=%7B%22placeholder_material_id%22%3A%227625851703929359634%22%2C%22placeholder_origin_cover%22%3A%22https%253A%252F%252Fp16-sign-sg.tiktokcdn.com%252Ftos"&amp;"-alisg-p-0037%252FoEZol7g1fAQfLdGpCDRpU3BS7EBUFEYaEHXQdq~tplv-tiktokx-origin.jpeg%253Fdr%253D14572%2526refresh_token%253D38e495c0%2526x-expires%253D1807066800%2526x-signature%253DXc3DjxClEOn8Odn9Uu597zTNACY%25253D%2526t%253D4d5b0474%2526ps%253D13740610%25"&amp;"26shp%253Dd05b14bd%2526shcp%253D34ff8df6%2526idc%253Dmy2%2526s%253DTIKTOK_AFFILIATE_VIRAL_VIDEO%22%2C%22placeholder_product_id%22%3A%221729427766722726591%22%2C%22placeholder_video_id%22%3A%227625851703929359634%22%7D&amp;ec_shared_reflux_scene=shop_tab_feed&amp;"&amp;"mid=7623043849317993224&amp;preview_pb=0&amp;region=&amp;share_item_id=7625851703929359634&amp;sharer_language=&amp;source=h5_t&amp;u_code=ehcgh78f475mdh")</f>
        <v>https://www.tiktok.com/@itsdianity/video/7625851703929359634?_d=0&amp;_r=1&amp;ec_shared_reflux_dynamic_params=%7B%22placeholder_material_id%22%3A%227625851703929359634%22%2C%22placeholder_origin_cover%22%3A%22https%253A%252F%252Fp16-sign-sg.tiktokcdn.com%252Ftos-alisg-p-0037%252FoEZol7g1fAQfLdGpCDRpU3BS7EBUFEYaEHXQdq~tplv-tiktokx-origin.jpeg%253Fdr%253D14572%2526refresh_token%253D38e495c0%2526x-expires%253D1807066800%2526x-signature%253DXc3DjxClEOn8Odn9Uu597zTNACY%25253D%2526t%253D4d5b0474%2526ps%253D13740610%2526shp%253Dd05b14bd%2526shcp%253D34ff8df6%2526idc%253Dmy2%2526s%253DTIKTOK_AFFILIATE_VIRAL_VIDEO%22%2C%22placeholder_product_id%22%3A%221729427766722726591%22%2C%22placeholder_video_id%22%3A%227625851703929359634%22%7D&amp;ec_shared_reflux_scene=shop_tab_feed&amp;mid=7623043849317993224&amp;preview_pb=0&amp;region=&amp;share_item_id=7625851703929359634&amp;sharer_language=&amp;source=h5_t&amp;u_code=ehcgh78f475mdh</v>
      </c>
      <c r="K510" s="464" t="str">
        <f>IFERROR(__xludf.DUMMYFUNCTION("""COMPUTED_VALUE"""),"KIMME")</f>
        <v>KIMME</v>
      </c>
      <c r="L510" s="279" t="str">
        <f>IFERROR(__xludf.DUMMYFUNCTION("""COMPUTED_VALUE"""),"https://vt.tiktok.com/ZSH5kSWge/")</f>
        <v>https://vt.tiktok.com/ZSH5kSWge/</v>
      </c>
      <c r="M510" s="464" t="str">
        <f>IFERROR(__xludf.DUMMYFUNCTION("""COMPUTED_VALUE"""),"KIMME")</f>
        <v>KIMME</v>
      </c>
      <c r="N510" s="17" t="str">
        <f>IFERROR(__xludf.DUMMYFUNCTION("""COMPUTED_VALUE"""),"⁠https://vt.tiktok.com/ZSH5kSE8g/")</f>
        <v>⁠https://vt.tiktok.com/ZSH5kSE8g/</v>
      </c>
      <c r="O510" s="464" t="str">
        <f>IFERROR(__xludf.DUMMYFUNCTION("""COMPUTED_VALUE"""),"KIMME")</f>
        <v>KIMME</v>
      </c>
      <c r="P510" s="279" t="str">
        <f>IFERROR(__xludf.DUMMYFUNCTION("""COMPUTED_VALUE"""),"https://vt.tiktok.com/ZSH5kCY89/")</f>
        <v>https://vt.tiktok.com/ZSH5kCY89/</v>
      </c>
    </row>
    <row r="511">
      <c r="A511" s="255" t="str">
        <f>IFERROR(__xludf.DUMMYFUNCTION("""COMPUTED_VALUE"""),"MICRO")</f>
        <v>MICRO</v>
      </c>
      <c r="B511" s="361" t="str">
        <f>IFERROR(__xludf.DUMMYFUNCTION("""COMPUTED_VALUE"""),"barokah.collection")</f>
        <v>barokah.collection</v>
      </c>
      <c r="C511" s="257" t="str">
        <f>IFERROR(__xludf.DUMMYFUNCTION("""COMPUTED_VALUE"""),"https://www.tiktok.com/@barokah.collection")</f>
        <v>https://www.tiktok.com/@barokah.collection</v>
      </c>
      <c r="D511" s="270">
        <f>IFERROR(__xludf.DUMMYFUNCTION("""COMPUTED_VALUE"""),8.7892490185E10)</f>
        <v>87892490185</v>
      </c>
      <c r="E511" s="457">
        <f>IFERROR(__xludf.DUMMYFUNCTION("""COMPUTED_VALUE"""),0.0)</f>
        <v>0</v>
      </c>
      <c r="F511" s="270">
        <f>IFERROR(__xludf.DUMMYFUNCTION("""COMPUTED_VALUE"""),4.0)</f>
        <v>4</v>
      </c>
      <c r="G511" s="17" t="str">
        <f>IFERROR(__xludf.DUMMYFUNCTION("""COMPUTED_VALUE"""),"Sabun batang 1 Box ( 2 PCS )")</f>
        <v>Sabun batang 1 Box ( 2 PCS )</v>
      </c>
      <c r="H511" s="463" t="str">
        <f>IFERROR(__xludf.DUMMYFUNCTION("""COMPUTED_VALUE"""),"Sampai")</f>
        <v>Sampai</v>
      </c>
      <c r="I511" s="464" t="str">
        <f>IFERROR(__xludf.DUMMYFUNCTION("""COMPUTED_VALUE"""),"KIMME")</f>
        <v>KIMME</v>
      </c>
      <c r="J511" s="279" t="str">
        <f>IFERROR(__xludf.DUMMYFUNCTION("""COMPUTED_VALUE"""),"https://www.tiktok.com/@barokah.collection/video/7625430095251000583?is_from_webapp=1&amp;sender_device=pc")</f>
        <v>https://www.tiktok.com/@barokah.collection/video/7625430095251000583?is_from_webapp=1&amp;sender_device=pc</v>
      </c>
      <c r="K511" s="464" t="str">
        <f>IFERROR(__xludf.DUMMYFUNCTION("""COMPUTED_VALUE"""),"KIMME")</f>
        <v>KIMME</v>
      </c>
      <c r="L511" s="279" t="str">
        <f>IFERROR(__xludf.DUMMYFUNCTION("""COMPUTED_VALUE"""),"https://www.tiktok.com/@barokah.collection/video/7612472273689201938")</f>
        <v>https://www.tiktok.com/@barokah.collection/video/7612472273689201938</v>
      </c>
      <c r="M511" s="464" t="str">
        <f>IFERROR(__xludf.DUMMYFUNCTION("""COMPUTED_VALUE"""),"KIMME")</f>
        <v>KIMME</v>
      </c>
      <c r="N511" s="279" t="str">
        <f>IFERROR(__xludf.DUMMYFUNCTION("""COMPUTED_VALUE"""),"https://www.tiktok.com/@barokah.collection/video/7627815313295346965?is_from_webapp=1&amp;sender_device=pc")</f>
        <v>https://www.tiktok.com/@barokah.collection/video/7627815313295346965?is_from_webapp=1&amp;sender_device=pc</v>
      </c>
      <c r="O511" s="464" t="str">
        <f>IFERROR(__xludf.DUMMYFUNCTION("""COMPUTED_VALUE"""),"KIMME")</f>
        <v>KIMME</v>
      </c>
      <c r="P511" s="279" t="str">
        <f>IFERROR(__xludf.DUMMYFUNCTION("""COMPUTED_VALUE"""),"https://www.tiktok.com/@barokah.collection/video/7606586162475535624")</f>
        <v>https://www.tiktok.com/@barokah.collection/video/7606586162475535624</v>
      </c>
    </row>
    <row r="512">
      <c r="A512" s="255" t="str">
        <f>IFERROR(__xludf.DUMMYFUNCTION("""COMPUTED_VALUE"""),"MICRO")</f>
        <v>MICRO</v>
      </c>
      <c r="B512" s="361" t="str">
        <f>IFERROR(__xludf.DUMMYFUNCTION("""COMPUTED_VALUE"""),"bucinskincare_2")</f>
        <v>bucinskincare_2</v>
      </c>
      <c r="C512" s="257" t="str">
        <f>IFERROR(__xludf.DUMMYFUNCTION("""COMPUTED_VALUE"""),"https://www.tiktok.com/@bucinskincare_2")</f>
        <v>https://www.tiktok.com/@bucinskincare_2</v>
      </c>
      <c r="D512" s="270">
        <f>IFERROR(__xludf.DUMMYFUNCTION("""COMPUTED_VALUE"""),8.7888078631E10)</f>
        <v>87888078631</v>
      </c>
      <c r="E512" s="457">
        <f>IFERROR(__xludf.DUMMYFUNCTION("""COMPUTED_VALUE"""),0.0)</f>
        <v>0</v>
      </c>
      <c r="F512" s="270">
        <f>IFERROR(__xludf.DUMMYFUNCTION("""COMPUTED_VALUE"""),1.0)</f>
        <v>1</v>
      </c>
      <c r="G512" s="17" t="str">
        <f>IFERROR(__xludf.DUMMYFUNCTION("""COMPUTED_VALUE"""),"Sabun batang 1 Box ( 2 PCS )")</f>
        <v>Sabun batang 1 Box ( 2 PCS )</v>
      </c>
      <c r="H512" s="463" t="str">
        <f>IFERROR(__xludf.DUMMYFUNCTION("""COMPUTED_VALUE"""),"Sampai")</f>
        <v>Sampai</v>
      </c>
      <c r="I512" s="464" t="str">
        <f>IFERROR(__xludf.DUMMYFUNCTION("""COMPUTED_VALUE"""),"KIMME")</f>
        <v>KIMME</v>
      </c>
      <c r="J512" s="279" t="str">
        <f>IFERROR(__xludf.DUMMYFUNCTION("""COMPUTED_VALUE"""),"https://vt.tiktok.com/ZS9LFdMdE/")</f>
        <v>https://vt.tiktok.com/ZS9LFdMdE/</v>
      </c>
      <c r="K512" s="464" t="str">
        <f>IFERROR(__xludf.DUMMYFUNCTION("""COMPUTED_VALUE"""),"KIMME")</f>
        <v>KIMME</v>
      </c>
      <c r="L512" s="279" t="str">
        <f>IFERROR(__xludf.DUMMYFUNCTION("""COMPUTED_VALUE"""),"https://vt.tiktok.com/ZS9tHckD1/")</f>
        <v>https://vt.tiktok.com/ZS9tHckD1/</v>
      </c>
      <c r="M512" s="464"/>
      <c r="N512" s="17" t="str">
        <f>IFERROR(__xludf.DUMMYFUNCTION("""COMPUTED_VALUE"""),"⁠https://vt.tiktok.com/ZS9tHKJoC/")</f>
        <v>⁠https://vt.tiktok.com/ZS9tHKJoC/</v>
      </c>
      <c r="O512" s="464"/>
      <c r="P512" s="17" t="str">
        <f>IFERROR(__xludf.DUMMYFUNCTION("""COMPUTED_VALUE"""),"⁠https://vt.tiktok.com/ZS9t98dCa/")</f>
        <v>⁠https://vt.tiktok.com/ZS9t98dCa/</v>
      </c>
    </row>
    <row r="513">
      <c r="A513" s="255" t="str">
        <f>IFERROR(__xludf.DUMMYFUNCTION("""COMPUTED_VALUE"""),"MICRO")</f>
        <v>MICRO</v>
      </c>
      <c r="B513" s="361" t="str">
        <f>IFERROR(__xludf.DUMMYFUNCTION("""COMPUTED_VALUE"""),"rizkaalvnnn")</f>
        <v>rizkaalvnnn</v>
      </c>
      <c r="C513" s="257" t="str">
        <f>IFERROR(__xludf.DUMMYFUNCTION("""COMPUTED_VALUE"""),"https://www.tiktok.com/@rizkaalvnnn")</f>
        <v>https://www.tiktok.com/@rizkaalvnnn</v>
      </c>
      <c r="D513" s="270">
        <f>IFERROR(__xludf.DUMMYFUNCTION("""COMPUTED_VALUE"""),8.1222431189E10)</f>
        <v>81222431189</v>
      </c>
      <c r="E513" s="457">
        <f>IFERROR(__xludf.DUMMYFUNCTION("""COMPUTED_VALUE"""),0.0)</f>
        <v>0</v>
      </c>
      <c r="F513" s="270">
        <f>IFERROR(__xludf.DUMMYFUNCTION("""COMPUTED_VALUE"""),2.0)</f>
        <v>2</v>
      </c>
      <c r="G513" s="17" t="str">
        <f>IFERROR(__xludf.DUMMYFUNCTION("""COMPUTED_VALUE"""),"Sabun batang 1 Box ( 2 PCS )")</f>
        <v>Sabun batang 1 Box ( 2 PCS )</v>
      </c>
      <c r="H513" s="463" t="str">
        <f>IFERROR(__xludf.DUMMYFUNCTION("""COMPUTED_VALUE"""),"Sampai")</f>
        <v>Sampai</v>
      </c>
      <c r="I513" s="464" t="str">
        <f>IFERROR(__xludf.DUMMYFUNCTION("""COMPUTED_VALUE"""),"KIMME")</f>
        <v>KIMME</v>
      </c>
      <c r="J513" s="279" t="str">
        <f>IFERROR(__xludf.DUMMYFUNCTION("""COMPUTED_VALUE"""),"https://vt.tiktok.com/ZSH8WA16m/")</f>
        <v>https://vt.tiktok.com/ZSH8WA16m/</v>
      </c>
      <c r="K513" s="464" t="str">
        <f>IFERROR(__xludf.DUMMYFUNCTION("""COMPUTED_VALUE"""),"KIMME")</f>
        <v>KIMME</v>
      </c>
      <c r="L513" s="279" t="str">
        <f>IFERROR(__xludf.DUMMYFUNCTION("""COMPUTED_VALUE"""),"https://vt.tiktok.com/ZSHpPo6W9/")</f>
        <v>https://vt.tiktok.com/ZSHpPo6W9/</v>
      </c>
      <c r="M513" s="464"/>
      <c r="N513" s="279" t="str">
        <f>IFERROR(__xludf.DUMMYFUNCTION("""COMPUTED_VALUE"""),"https://vt.tiktok.com/ZS9t9NT9T/")</f>
        <v>https://vt.tiktok.com/ZS9t9NT9T/</v>
      </c>
      <c r="O513" s="464"/>
      <c r="P513" s="17" t="str">
        <f>IFERROR(__xludf.DUMMYFUNCTION("""COMPUTED_VALUE"""),"⁠https://vt.tiktok.com/ZS9pHEVQT/")</f>
        <v>⁠https://vt.tiktok.com/ZS9pHEVQT/</v>
      </c>
    </row>
    <row r="514">
      <c r="A514" s="255" t="str">
        <f>IFERROR(__xludf.DUMMYFUNCTION("""COMPUTED_VALUE"""),"MICRO")</f>
        <v>MICRO</v>
      </c>
      <c r="B514" s="361" t="str">
        <f>IFERROR(__xludf.DUMMYFUNCTION("""COMPUTED_VALUE"""),"anasafitri232")</f>
        <v>anasafitri232</v>
      </c>
      <c r="C514" s="257" t="str">
        <f>IFERROR(__xludf.DUMMYFUNCTION("""COMPUTED_VALUE"""),"https://www.tiktok.com/@anasafitri232")</f>
        <v>https://www.tiktok.com/@anasafitri232</v>
      </c>
      <c r="D514" s="270">
        <f>IFERROR(__xludf.DUMMYFUNCTION("""COMPUTED_VALUE"""),8.966954232E10)</f>
        <v>89669542320</v>
      </c>
      <c r="E514" s="457">
        <f>IFERROR(__xludf.DUMMYFUNCTION("""COMPUTED_VALUE"""),0.0)</f>
        <v>0</v>
      </c>
      <c r="F514" s="270">
        <f>IFERROR(__xludf.DUMMYFUNCTION("""COMPUTED_VALUE"""),2.0)</f>
        <v>2</v>
      </c>
      <c r="G514" s="17" t="str">
        <f>IFERROR(__xludf.DUMMYFUNCTION("""COMPUTED_VALUE"""),"Sabun batang 1 Box ( 2 PCS )")</f>
        <v>Sabun batang 1 Box ( 2 PCS )</v>
      </c>
      <c r="H514" s="463" t="str">
        <f>IFERROR(__xludf.DUMMYFUNCTION("""COMPUTED_VALUE"""),"Sampai")</f>
        <v>Sampai</v>
      </c>
      <c r="I514" s="464" t="str">
        <f>IFERROR(__xludf.DUMMYFUNCTION("""COMPUTED_VALUE"""),"KIMME")</f>
        <v>KIMME</v>
      </c>
      <c r="J514" s="279" t="str">
        <f>IFERROR(__xludf.DUMMYFUNCTION("""COMPUTED_VALUE"""),"https://vt.tiktok.com/ZSHFgwWkL/")</f>
        <v>https://vt.tiktok.com/ZSHFgwWkL/</v>
      </c>
      <c r="K514" s="464" t="str">
        <f>IFERROR(__xludf.DUMMYFUNCTION("""COMPUTED_VALUE"""),"KIMME")</f>
        <v>KIMME</v>
      </c>
      <c r="L514" s="279" t="str">
        <f>IFERROR(__xludf.DUMMYFUNCTION("""COMPUTED_VALUE"""),"https://vt.tiktok.com/ZSHpku6rQ/")</f>
        <v>https://vt.tiktok.com/ZSHpku6rQ/</v>
      </c>
      <c r="M514" s="464"/>
      <c r="N514" s="17" t="str">
        <f>IFERROR(__xludf.DUMMYFUNCTION("""COMPUTED_VALUE"""),"⁠https://vt.tiktok.com/ZS9p92cLQ/")</f>
        <v>⁠https://vt.tiktok.com/ZS9p92cLQ/</v>
      </c>
      <c r="O514" s="464"/>
      <c r="P514" s="279" t="str">
        <f>IFERROR(__xludf.DUMMYFUNCTION("""COMPUTED_VALUE"""),"https://vt.tiktok.com/ZS9tbdrm3/")</f>
        <v>https://vt.tiktok.com/ZS9tbdrm3/</v>
      </c>
    </row>
    <row r="515">
      <c r="A515" s="255" t="str">
        <f>IFERROR(__xludf.DUMMYFUNCTION("""COMPUTED_VALUE"""),"MICRO")</f>
        <v>MICRO</v>
      </c>
      <c r="B515" s="361" t="str">
        <f>IFERROR(__xludf.DUMMYFUNCTION("""COMPUTED_VALUE"""),"cubbnaa")</f>
        <v>cubbnaa</v>
      </c>
      <c r="C515" s="257" t="str">
        <f>IFERROR(__xludf.DUMMYFUNCTION("""COMPUTED_VALUE"""),"https://www.tiktok.com/@cubbnaa")</f>
        <v>https://www.tiktok.com/@cubbnaa</v>
      </c>
      <c r="D515" s="270">
        <f>IFERROR(__xludf.DUMMYFUNCTION("""COMPUTED_VALUE"""),8.7834492452E10)</f>
        <v>87834492452</v>
      </c>
      <c r="E515" s="457">
        <f>IFERROR(__xludf.DUMMYFUNCTION("""COMPUTED_VALUE"""),0.0)</f>
        <v>0</v>
      </c>
      <c r="F515" s="270">
        <f>IFERROR(__xludf.DUMMYFUNCTION("""COMPUTED_VALUE"""),4.0)</f>
        <v>4</v>
      </c>
      <c r="G515" s="17" t="str">
        <f>IFERROR(__xludf.DUMMYFUNCTION("""COMPUTED_VALUE"""),"Sabun batang 1 Box ( 2 PCS )")</f>
        <v>Sabun batang 1 Box ( 2 PCS )</v>
      </c>
      <c r="H515" s="463" t="str">
        <f>IFERROR(__xludf.DUMMYFUNCTION("""COMPUTED_VALUE"""),"Sampai")</f>
        <v>Sampai</v>
      </c>
      <c r="I515" s="464" t="str">
        <f>IFERROR(__xludf.DUMMYFUNCTION("""COMPUTED_VALUE"""),"KIMME")</f>
        <v>KIMME</v>
      </c>
      <c r="J515" s="279" t="str">
        <f>IFERROR(__xludf.DUMMYFUNCTION("""COMPUTED_VALUE"""),"https://vt.tiktok.com/ZS9tbNyPF/")</f>
        <v>https://vt.tiktok.com/ZS9tbNyPF/</v>
      </c>
      <c r="K515" s="464" t="str">
        <f>IFERROR(__xludf.DUMMYFUNCTION("""COMPUTED_VALUE"""),"KIMME")</f>
        <v>KIMME</v>
      </c>
      <c r="L515" s="279" t="str">
        <f>IFERROR(__xludf.DUMMYFUNCTION("""COMPUTED_VALUE"""),"https://vt.tiktok.com/ZS9tbFkte/")</f>
        <v>https://vt.tiktok.com/ZS9tbFkte/</v>
      </c>
      <c r="M515" s="464"/>
      <c r="N515" s="279" t="str">
        <f>IFERROR(__xludf.DUMMYFUNCTION("""COMPUTED_VALUE"""),"https://vt.tiktok.com/ZS9tqqf2v/")</f>
        <v>https://vt.tiktok.com/ZS9tqqf2v/</v>
      </c>
      <c r="O515" s="464"/>
      <c r="P515" s="279" t="str">
        <f>IFERROR(__xludf.DUMMYFUNCTION("""COMPUTED_VALUE"""),"https://vt.tiktok.com/ZS9tqnsU4/")</f>
        <v>https://vt.tiktok.com/ZS9tqnsU4/</v>
      </c>
    </row>
    <row r="516">
      <c r="A516" s="255" t="str">
        <f>IFERROR(__xludf.DUMMYFUNCTION("""COMPUTED_VALUE"""),"MICRO")</f>
        <v>MICRO</v>
      </c>
      <c r="B516" s="361" t="str">
        <f>IFERROR(__xludf.DUMMYFUNCTION("""COMPUTED_VALUE"""),"ginafathonah_")</f>
        <v>ginafathonah_</v>
      </c>
      <c r="C516" s="257" t="str">
        <f>IFERROR(__xludf.DUMMYFUNCTION("""COMPUTED_VALUE"""),"https://www.tiktok.com/@ginafathonah_")</f>
        <v>https://www.tiktok.com/@ginafathonah_</v>
      </c>
      <c r="D516" s="270">
        <f>IFERROR(__xludf.DUMMYFUNCTION("""COMPUTED_VALUE"""),8.2119145119E10)</f>
        <v>82119145119</v>
      </c>
      <c r="E516" s="457">
        <f>IFERROR(__xludf.DUMMYFUNCTION("""COMPUTED_VALUE"""),500000.0)</f>
        <v>500000</v>
      </c>
      <c r="F516" s="270">
        <f>IFERROR(__xludf.DUMMYFUNCTION("""COMPUTED_VALUE"""),4.0)</f>
        <v>4</v>
      </c>
      <c r="G516" s="17" t="str">
        <f>IFERROR(__xludf.DUMMYFUNCTION("""COMPUTED_VALUE"""),"Sabun batang 1 Box ( 2 PCS )")</f>
        <v>Sabun batang 1 Box ( 2 PCS )</v>
      </c>
      <c r="H516" s="463" t="str">
        <f>IFERROR(__xludf.DUMMYFUNCTION("""COMPUTED_VALUE"""),"Sampai")</f>
        <v>Sampai</v>
      </c>
      <c r="I516" s="464" t="str">
        <f>IFERROR(__xludf.DUMMYFUNCTION("""COMPUTED_VALUE"""),"KIMME")</f>
        <v>KIMME</v>
      </c>
      <c r="J516" s="279" t="str">
        <f>IFERROR(__xludf.DUMMYFUNCTION("""COMPUTED_VALUE"""),"https://vt.tiktok.com/ZSHdWLe4M/")</f>
        <v>https://vt.tiktok.com/ZSHdWLe4M/</v>
      </c>
      <c r="K516" s="464" t="str">
        <f>IFERROR(__xludf.DUMMYFUNCTION("""COMPUTED_VALUE"""),"KIMME")</f>
        <v>KIMME</v>
      </c>
      <c r="L516" s="279" t="str">
        <f>IFERROR(__xludf.DUMMYFUNCTION("""COMPUTED_VALUE"""),"https://vt.tiktok.com/ZSHdWJHc6/")</f>
        <v>https://vt.tiktok.com/ZSHdWJHc6/</v>
      </c>
      <c r="M516" s="464" t="str">
        <f>IFERROR(__xludf.DUMMYFUNCTION("""COMPUTED_VALUE"""),"KIMME")</f>
        <v>KIMME</v>
      </c>
      <c r="N516" s="279" t="str">
        <f>IFERROR(__xludf.DUMMYFUNCTION("""COMPUTED_VALUE"""),"https://vt.tiktok.com/ZSHdWGjjw/")</f>
        <v>https://vt.tiktok.com/ZSHdWGjjw/</v>
      </c>
      <c r="O516" s="464"/>
      <c r="P516" s="279" t="str">
        <f>IFERROR(__xludf.DUMMYFUNCTION("""COMPUTED_VALUE"""),"https://vt.tiktok.com/ZSH6c2r2g/")</f>
        <v>https://vt.tiktok.com/ZSH6c2r2g/</v>
      </c>
    </row>
    <row r="517">
      <c r="A517" s="255" t="str">
        <f>IFERROR(__xludf.DUMMYFUNCTION("""COMPUTED_VALUE"""),"MICRO")</f>
        <v>MICRO</v>
      </c>
      <c r="B517" s="361" t="str">
        <f>IFERROR(__xludf.DUMMYFUNCTION("""COMPUTED_VALUE"""),"wulanmaulida056")</f>
        <v>wulanmaulida056</v>
      </c>
      <c r="C517" s="257" t="str">
        <f>IFERROR(__xludf.DUMMYFUNCTION("""COMPUTED_VALUE"""),"https://www.tiktok.com/@wulanmaulida056")</f>
        <v>https://www.tiktok.com/@wulanmaulida056</v>
      </c>
      <c r="D517" s="270">
        <f>IFERROR(__xludf.DUMMYFUNCTION("""COMPUTED_VALUE"""),8.5640025088E10)</f>
        <v>85640025088</v>
      </c>
      <c r="E517" s="457">
        <f>IFERROR(__xludf.DUMMYFUNCTION("""COMPUTED_VALUE"""),0.0)</f>
        <v>0</v>
      </c>
      <c r="F517" s="270">
        <f>IFERROR(__xludf.DUMMYFUNCTION("""COMPUTED_VALUE"""),4.0)</f>
        <v>4</v>
      </c>
      <c r="G517" s="17" t="str">
        <f>IFERROR(__xludf.DUMMYFUNCTION("""COMPUTED_VALUE"""),"Sabun batang 1 Box ( 2 PCS )")</f>
        <v>Sabun batang 1 Box ( 2 PCS )</v>
      </c>
      <c r="H517" s="463" t="str">
        <f>IFERROR(__xludf.DUMMYFUNCTION("""COMPUTED_VALUE"""),"Sampai")</f>
        <v>Sampai</v>
      </c>
      <c r="I517" s="464" t="str">
        <f>IFERROR(__xludf.DUMMYFUNCTION("""COMPUTED_VALUE"""),"KIMME")</f>
        <v>KIMME</v>
      </c>
      <c r="J517" s="279" t="str">
        <f>IFERROR(__xludf.DUMMYFUNCTION("""COMPUTED_VALUE"""),"https://vt.tiktok.com/ZS9tqC796/")</f>
        <v>https://vt.tiktok.com/ZS9tqC796/</v>
      </c>
      <c r="K517" s="464" t="str">
        <f>IFERROR(__xludf.DUMMYFUNCTION("""COMPUTED_VALUE"""),"KIMME")</f>
        <v>KIMME</v>
      </c>
      <c r="L517" s="279" t="str">
        <f>IFERROR(__xludf.DUMMYFUNCTION("""COMPUTED_VALUE"""),"https://vt.tiktok.com/ZS9tq4SsW/")</f>
        <v>https://vt.tiktok.com/ZS9tq4SsW/</v>
      </c>
      <c r="M517" s="464"/>
      <c r="N517" s="279" t="str">
        <f>IFERROR(__xludf.DUMMYFUNCTION("""COMPUTED_VALUE"""),"https://vt.tiktok.com/ZS9tqXq6e/")</f>
        <v>https://vt.tiktok.com/ZS9tqXq6e/</v>
      </c>
      <c r="O517" s="464"/>
      <c r="P517" s="279" t="str">
        <f>IFERROR(__xludf.DUMMYFUNCTION("""COMPUTED_VALUE"""),"https://vt.tiktok.com/ZS9tqVrXJ/")</f>
        <v>https://vt.tiktok.com/ZS9tqVrXJ/</v>
      </c>
    </row>
    <row r="518">
      <c r="A518" s="255" t="str">
        <f>IFERROR(__xludf.DUMMYFUNCTION("""COMPUTED_VALUE"""),"MICRO")</f>
        <v>MICRO</v>
      </c>
      <c r="B518" s="361" t="str">
        <f>IFERROR(__xludf.DUMMYFUNCTION("""COMPUTED_VALUE"""),"ujujuhanah12")</f>
        <v>ujujuhanah12</v>
      </c>
      <c r="C518" s="257" t="str">
        <f>IFERROR(__xludf.DUMMYFUNCTION("""COMPUTED_VALUE"""),"https://www.tiktok.com/@ujujuhanah12")</f>
        <v>https://www.tiktok.com/@ujujuhanah12</v>
      </c>
      <c r="D518" s="270">
        <f>IFERROR(__xludf.DUMMYFUNCTION("""COMPUTED_VALUE"""),8.983949029E9)</f>
        <v>8983949029</v>
      </c>
      <c r="E518" s="457">
        <f>IFERROR(__xludf.DUMMYFUNCTION("""COMPUTED_VALUE"""),0.0)</f>
        <v>0</v>
      </c>
      <c r="F518" s="270">
        <f>IFERROR(__xludf.DUMMYFUNCTION("""COMPUTED_VALUE"""),4.0)</f>
        <v>4</v>
      </c>
      <c r="G518" s="17" t="str">
        <f>IFERROR(__xludf.DUMMYFUNCTION("""COMPUTED_VALUE"""),"Sabun batang 1 Box ( 2 PCS )")</f>
        <v>Sabun batang 1 Box ( 2 PCS )</v>
      </c>
      <c r="H518" s="463" t="str">
        <f>IFERROR(__xludf.DUMMYFUNCTION("""COMPUTED_VALUE"""),"Sampai")</f>
        <v>Sampai</v>
      </c>
      <c r="I518" s="464" t="str">
        <f>IFERROR(__xludf.DUMMYFUNCTION("""COMPUTED_VALUE"""),"KIMME")</f>
        <v>KIMME</v>
      </c>
      <c r="J518" s="279" t="str">
        <f>IFERROR(__xludf.DUMMYFUNCTION("""COMPUTED_VALUE"""),"https://vt.tiktok.com/ZS9RpAdbG/")</f>
        <v>https://vt.tiktok.com/ZS9RpAdbG/</v>
      </c>
      <c r="K518" s="464" t="str">
        <f>IFERROR(__xludf.DUMMYFUNCTION("""COMPUTED_VALUE"""),"KIMME")</f>
        <v>KIMME</v>
      </c>
      <c r="L518" s="279" t="str">
        <f>IFERROR(__xludf.DUMMYFUNCTION("""COMPUTED_VALUE"""),"https://vt.tiktok.com/ZS9RnsHAU/")</f>
        <v>https://vt.tiktok.com/ZS9RnsHAU/</v>
      </c>
      <c r="M518" s="464"/>
      <c r="N518" s="279" t="str">
        <f>IFERROR(__xludf.DUMMYFUNCTION("""COMPUTED_VALUE"""),"https://www.tiktok.com/@ujujuhanah12/video/7634099079349341448?_r=1&amp;u_code=dkiljj4h3j2051&amp;region=&amp;mid=7634099129341266695&amp;preview_pb=0&amp;sharer_language=&amp;_d=0&amp;ec_shared_reflux_dynamic_params=%7B%22placeholder_material_id%22%3A%227634099079349341448%22%2C%22"&amp;"placeholder_origin_cover%22%3A%22https%253A%252F%252Fp16-sign-sg.tiktokcdn.com%252Ftos-alisg-p-0037%252FowvtOmCDIEeyyH1BcxpExDMB8I7mcK6fgA3FHR~tplv-tiktokx-origin.jpeg%253Fdr%253D14572%2526refresh_token%253D83855a9a%2526x-expires%253D1808992800%2526x-sign"&amp;"ature%253DUXBEdRSGsThSV51Ar5%25252F2YPnw6aE%25253D%2526t%253D4d5b0474%2526ps%253D13740610%2526shp%253Dd05b14bd%2526shcp%253D34ff8df6%2526idc%253Dmy2%2526s%253DTIKTOK_AFFILIATE_VIRAL_VIDEO%22%2C%22placeholder_product_id%22%3A%221729427766722726591%22%2C%22"&amp;"placeholder_video_id%22%3A%227634099079349341448%22%7D&amp;ec_shared_reflux_scene=shop_tab_feed&amp;share_item_id=7634099079349341448&amp;source=h5_t")</f>
        <v>https://www.tiktok.com/@ujujuhanah12/video/7634099079349341448?_r=1&amp;u_code=dkiljj4h3j2051&amp;region=&amp;mid=7634099129341266695&amp;preview_pb=0&amp;sharer_language=&amp;_d=0&amp;ec_shared_reflux_dynamic_params=%7B%22placeholder_material_id%22%3A%227634099079349341448%22%2C%22placeholder_origin_cover%22%3A%22https%253A%252F%252Fp16-sign-sg.tiktokcdn.com%252Ftos-alisg-p-0037%252FowvtOmCDIEeyyH1BcxpExDMB8I7mcK6fgA3FHR~tplv-tiktokx-origin.jpeg%253Fdr%253D14572%2526refresh_token%253D83855a9a%2526x-expires%253D1808992800%2526x-signature%253DUXBEdRSGsThSV51Ar5%25252F2YPnw6aE%25253D%2526t%253D4d5b0474%2526ps%253D13740610%2526shp%253Dd05b14bd%2526shcp%253D34ff8df6%2526idc%253Dmy2%2526s%253DTIKTOK_AFFILIATE_VIRAL_VIDEO%22%2C%22placeholder_product_id%22%3A%221729427766722726591%22%2C%22placeholder_video_id%22%3A%227634099079349341448%22%7D&amp;ec_shared_reflux_scene=shop_tab_feed&amp;share_item_id=7634099079349341448&amp;source=h5_t</v>
      </c>
      <c r="O518" s="464"/>
      <c r="P518" s="279" t="str">
        <f>IFERROR(__xludf.DUMMYFUNCTION("""COMPUTED_VALUE"""),"https://vt.tiktok.com/ZS9UdaJuG/")</f>
        <v>https://vt.tiktok.com/ZS9UdaJuG/</v>
      </c>
    </row>
    <row r="519">
      <c r="A519" s="255" t="str">
        <f>IFERROR(__xludf.DUMMYFUNCTION("""COMPUTED_VALUE"""),"MICRO")</f>
        <v>MICRO</v>
      </c>
      <c r="B519" s="361" t="str">
        <f>IFERROR(__xludf.DUMMYFUNCTION("""COMPUTED_VALUE"""),"ayuni.wulandarii")</f>
        <v>ayuni.wulandarii</v>
      </c>
      <c r="C519" s="257" t="str">
        <f>IFERROR(__xludf.DUMMYFUNCTION("""COMPUTED_VALUE"""),"https://www.tiktok.com/@ayuni.wulandarii")</f>
        <v>https://www.tiktok.com/@ayuni.wulandarii</v>
      </c>
      <c r="D519" s="270">
        <f>IFERROR(__xludf.DUMMYFUNCTION("""COMPUTED_VALUE"""),8.95361872277E11)</f>
        <v>895361872277</v>
      </c>
      <c r="E519" s="457">
        <f>IFERROR(__xludf.DUMMYFUNCTION("""COMPUTED_VALUE"""),150000.0)</f>
        <v>150000</v>
      </c>
      <c r="F519" s="270">
        <f>IFERROR(__xludf.DUMMYFUNCTION("""COMPUTED_VALUE"""),1.0)</f>
        <v>1</v>
      </c>
      <c r="G519" s="17" t="str">
        <f>IFERROR(__xludf.DUMMYFUNCTION("""COMPUTED_VALUE"""),"Sabun batang 1 Box ( 2 PCS )")</f>
        <v>Sabun batang 1 Box ( 2 PCS )</v>
      </c>
      <c r="H519" s="463" t="str">
        <f>IFERROR(__xludf.DUMMYFUNCTION("""COMPUTED_VALUE"""),"Sampai")</f>
        <v>Sampai</v>
      </c>
      <c r="I519" s="464" t="str">
        <f>IFERROR(__xludf.DUMMYFUNCTION("""COMPUTED_VALUE"""),"KIMME")</f>
        <v>KIMME</v>
      </c>
      <c r="J519" s="279" t="str">
        <f>IFERROR(__xludf.DUMMYFUNCTION("""COMPUTED_VALUE"""),"https://vt.tiktok.com/ZSHaapdE7/")</f>
        <v>https://vt.tiktok.com/ZSHaapdE7/</v>
      </c>
      <c r="K519" s="464" t="str">
        <f>IFERROR(__xludf.DUMMYFUNCTION("""COMPUTED_VALUE"""),"KIMME")</f>
        <v>KIMME</v>
      </c>
      <c r="L519" s="279" t="str">
        <f>IFERROR(__xludf.DUMMYFUNCTION("""COMPUTED_VALUE"""),"https://vt.tiktok.com/ZS9tqX4k1/")</f>
        <v>https://vt.tiktok.com/ZS9tqX4k1/</v>
      </c>
      <c r="M519" s="464"/>
      <c r="N519" s="279" t="str">
        <f>IFERROR(__xludf.DUMMYFUNCTION("""COMPUTED_VALUE"""),"https://vt.tiktok.com/ZS9tqx38s/")</f>
        <v>https://vt.tiktok.com/ZS9tqx38s/</v>
      </c>
      <c r="O519" s="464"/>
      <c r="P519" s="279" t="str">
        <f>IFERROR(__xludf.DUMMYFUNCTION("""COMPUTED_VALUE"""),"https://vt.tiktok.com/ZS9tqc12c/")</f>
        <v>https://vt.tiktok.com/ZS9tqc12c/</v>
      </c>
    </row>
    <row r="520">
      <c r="A520" s="255" t="str">
        <f>IFERROR(__xludf.DUMMYFUNCTION("""COMPUTED_VALUE"""),"MICRO")</f>
        <v>MICRO</v>
      </c>
      <c r="B520" s="361" t="str">
        <f>IFERROR(__xludf.DUMMYFUNCTION("""COMPUTED_VALUE"""),"marselll1_")</f>
        <v>marselll1_</v>
      </c>
      <c r="C520" s="257" t="str">
        <f>IFERROR(__xludf.DUMMYFUNCTION("""COMPUTED_VALUE"""),"https://www.tiktok.com/@marselll1_")</f>
        <v>https://www.tiktok.com/@marselll1_</v>
      </c>
      <c r="D520" s="270">
        <f>IFERROR(__xludf.DUMMYFUNCTION("""COMPUTED_VALUE"""),8.5609196653E10)</f>
        <v>85609196653</v>
      </c>
      <c r="E520" s="457">
        <f>IFERROR(__xludf.DUMMYFUNCTION("""COMPUTED_VALUE"""),100000.0)</f>
        <v>100000</v>
      </c>
      <c r="F520" s="270">
        <f>IFERROR(__xludf.DUMMYFUNCTION("""COMPUTED_VALUE"""),3.0)</f>
        <v>3</v>
      </c>
      <c r="G520" s="17" t="str">
        <f>IFERROR(__xludf.DUMMYFUNCTION("""COMPUTED_VALUE"""),"Sabun batang 1 Box ( 2 PCS )")</f>
        <v>Sabun batang 1 Box ( 2 PCS )</v>
      </c>
      <c r="H520" s="463" t="str">
        <f>IFERROR(__xludf.DUMMYFUNCTION("""COMPUTED_VALUE"""),"Sampai")</f>
        <v>Sampai</v>
      </c>
      <c r="I520" s="464" t="str">
        <f>IFERROR(__xludf.DUMMYFUNCTION("""COMPUTED_VALUE"""),"KIMME")</f>
        <v>KIMME</v>
      </c>
      <c r="J520" s="279" t="str">
        <f>IFERROR(__xludf.DUMMYFUNCTION("""COMPUTED_VALUE"""),"https://vt.tiktok.com/ZSHpqDwpm/")</f>
        <v>https://vt.tiktok.com/ZSHpqDwpm/</v>
      </c>
      <c r="K520" s="464" t="str">
        <f>IFERROR(__xludf.DUMMYFUNCTION("""COMPUTED_VALUE"""),"KIMME")</f>
        <v>KIMME</v>
      </c>
      <c r="L520" s="279" t="str">
        <f>IFERROR(__xludf.DUMMYFUNCTION("""COMPUTED_VALUE"""),"https://vt.tiktok.com/ZSHpT9owB/")</f>
        <v>https://vt.tiktok.com/ZSHpT9owB/</v>
      </c>
      <c r="M520" s="464"/>
      <c r="N520" s="279" t="str">
        <f>IFERROR(__xludf.DUMMYFUNCTION("""COMPUTED_VALUE"""),"https://vt.tiktok.com/ZSHnCxhaX/")</f>
        <v>https://vt.tiktok.com/ZSHnCxhaX/</v>
      </c>
      <c r="O520" s="464"/>
      <c r="P520" s="279" t="str">
        <f>IFERROR(__xludf.DUMMYFUNCTION("""COMPUTED_VALUE"""),"https://vt.tiktok.com/ZS9tqCEuX/")</f>
        <v>https://vt.tiktok.com/ZS9tqCEuX/</v>
      </c>
    </row>
    <row r="521">
      <c r="A521" s="255" t="str">
        <f>IFERROR(__xludf.DUMMYFUNCTION("""COMPUTED_VALUE"""),"MICRO")</f>
        <v>MICRO</v>
      </c>
      <c r="B521" s="361" t="str">
        <f>IFERROR(__xludf.DUMMYFUNCTION("""COMPUTED_VALUE"""),"slviiianggra")</f>
        <v>slviiianggra</v>
      </c>
      <c r="C521" s="257" t="str">
        <f>IFERROR(__xludf.DUMMYFUNCTION("""COMPUTED_VALUE"""),"https://www.tiktok.com/@slviiianggra")</f>
        <v>https://www.tiktok.com/@slviiianggra</v>
      </c>
      <c r="D521" s="270">
        <f>IFERROR(__xludf.DUMMYFUNCTION("""COMPUTED_VALUE"""),8.5724195796E10)</f>
        <v>85724195796</v>
      </c>
      <c r="E521" s="457">
        <f>IFERROR(__xludf.DUMMYFUNCTION("""COMPUTED_VALUE"""),100000.0)</f>
        <v>100000</v>
      </c>
      <c r="F521" s="270">
        <f>IFERROR(__xludf.DUMMYFUNCTION("""COMPUTED_VALUE"""),1.0)</f>
        <v>1</v>
      </c>
      <c r="G521" s="17" t="str">
        <f>IFERROR(__xludf.DUMMYFUNCTION("""COMPUTED_VALUE"""),"Sabun batang 1 Box ( 2 PCS )")</f>
        <v>Sabun batang 1 Box ( 2 PCS )</v>
      </c>
      <c r="H521" s="463" t="str">
        <f>IFERROR(__xludf.DUMMYFUNCTION("""COMPUTED_VALUE"""),"Sampai")</f>
        <v>Sampai</v>
      </c>
      <c r="I521" s="464" t="str">
        <f>IFERROR(__xludf.DUMMYFUNCTION("""COMPUTED_VALUE"""),"KIMME")</f>
        <v>KIMME</v>
      </c>
      <c r="J521" s="279" t="str">
        <f>IFERROR(__xludf.DUMMYFUNCTION("""COMPUTED_VALUE"""),"https://vt.tiktok.com/ZSHx22PQ8/")</f>
        <v>https://vt.tiktok.com/ZSHx22PQ8/</v>
      </c>
      <c r="K521" s="464" t="str">
        <f>IFERROR(__xludf.DUMMYFUNCTION("""COMPUTED_VALUE"""),"KIMME")</f>
        <v>KIMME</v>
      </c>
      <c r="L521" s="279" t="str">
        <f>IFERROR(__xludf.DUMMYFUNCTION("""COMPUTED_VALUE"""),"https://vt.tiktok.com/ZS9tqnuqY/")</f>
        <v>https://vt.tiktok.com/ZS9tqnuqY/</v>
      </c>
      <c r="M521" s="464"/>
      <c r="N521" s="279" t="str">
        <f>IFERROR(__xludf.DUMMYFUNCTION("""COMPUTED_VALUE"""),"https://vt.tiktok.com/ZS9tqpAEL/")</f>
        <v>https://vt.tiktok.com/ZS9tqpAEL/</v>
      </c>
      <c r="O521" s="464"/>
      <c r="P521" s="279" t="str">
        <f>IFERROR(__xludf.DUMMYFUNCTION("""COMPUTED_VALUE"""),"https://vt.tiktok.com/ZS9tqqH2S/")</f>
        <v>https://vt.tiktok.com/ZS9tqqH2S/</v>
      </c>
    </row>
    <row r="522">
      <c r="A522" s="255" t="str">
        <f>IFERROR(__xludf.DUMMYFUNCTION("""COMPUTED_VALUE"""),"MICRO")</f>
        <v>MICRO</v>
      </c>
      <c r="B522" s="361" t="str">
        <f>IFERROR(__xludf.DUMMYFUNCTION("""COMPUTED_VALUE"""),"aputtii")</f>
        <v>aputtii</v>
      </c>
      <c r="C522" s="257" t="str">
        <f>IFERROR(__xludf.DUMMYFUNCTION("""COMPUTED_VALUE"""),"https://www.tiktok.com/@aputtii")</f>
        <v>https://www.tiktok.com/@aputtii</v>
      </c>
      <c r="D522" s="270">
        <f>IFERROR(__xludf.DUMMYFUNCTION("""COMPUTED_VALUE"""),8.1529590712E10)</f>
        <v>81529590712</v>
      </c>
      <c r="E522" s="457">
        <f>IFERROR(__xludf.DUMMYFUNCTION("""COMPUTED_VALUE"""),0.0)</f>
        <v>0</v>
      </c>
      <c r="F522" s="270">
        <f>IFERROR(__xludf.DUMMYFUNCTION("""COMPUTED_VALUE"""),4.0)</f>
        <v>4</v>
      </c>
      <c r="G522" s="17" t="str">
        <f>IFERROR(__xludf.DUMMYFUNCTION("""COMPUTED_VALUE"""),"Sabun batang 1 Box ( 2 PCS )")</f>
        <v>Sabun batang 1 Box ( 2 PCS )</v>
      </c>
      <c r="H522" s="463" t="str">
        <f>IFERROR(__xludf.DUMMYFUNCTION("""COMPUTED_VALUE"""),"Sampai")</f>
        <v>Sampai</v>
      </c>
      <c r="I522" s="464" t="str">
        <f>IFERROR(__xludf.DUMMYFUNCTION("""COMPUTED_VALUE"""),"KIMME")</f>
        <v>KIMME</v>
      </c>
      <c r="J522" s="17" t="str">
        <f>IFERROR(__xludf.DUMMYFUNCTION("""COMPUTED_VALUE"""),"⁠https://vt.tiktok.com/ZS9LNTG1t/")</f>
        <v>⁠https://vt.tiktok.com/ZS9LNTG1t/</v>
      </c>
      <c r="K522" s="464" t="str">
        <f>IFERROR(__xludf.DUMMYFUNCTION("""COMPUTED_VALUE"""),"KIMME")</f>
        <v>KIMME</v>
      </c>
      <c r="L522" s="17" t="str">
        <f>IFERROR(__xludf.DUMMYFUNCTION("""COMPUTED_VALUE"""),"⁠https://vt.tiktok.com/ZS9LNvKfE/")</f>
        <v>⁠https://vt.tiktok.com/ZS9LNvKfE/</v>
      </c>
      <c r="M522" s="464"/>
      <c r="N522" s="17" t="str">
        <f>IFERROR(__xludf.DUMMYFUNCTION("""COMPUTED_VALUE"""),"⁠https://vt.tiktok.com/ZS9LNEFa2/")</f>
        <v>⁠https://vt.tiktok.com/ZS9LNEFa2/</v>
      </c>
      <c r="O522" s="464"/>
      <c r="P522" s="17" t="str">
        <f>IFERROR(__xludf.DUMMYFUNCTION("""COMPUTED_VALUE"""),"⁠https://vt.tiktok.com/ZS9LNVwGb/")</f>
        <v>⁠https://vt.tiktok.com/ZS9LNVwGb/</v>
      </c>
    </row>
    <row r="523">
      <c r="A523" s="255" t="str">
        <f>IFERROR(__xludf.DUMMYFUNCTION("""COMPUTED_VALUE"""),"MICRO")</f>
        <v>MICRO</v>
      </c>
      <c r="B523" s="361" t="str">
        <f>IFERROR(__xludf.DUMMYFUNCTION("""COMPUTED_VALUE"""),"ev.viani7")</f>
        <v>ev.viani7</v>
      </c>
      <c r="C523" s="257" t="str">
        <f>IFERROR(__xludf.DUMMYFUNCTION("""COMPUTED_VALUE"""),"https://www.tiktok.com/@ev.viani7")</f>
        <v>https://www.tiktok.com/@ev.viani7</v>
      </c>
      <c r="D523" s="270">
        <f>IFERROR(__xludf.DUMMYFUNCTION("""COMPUTED_VALUE"""),8.788764782E10)</f>
        <v>87887647820</v>
      </c>
      <c r="E523" s="457">
        <f>IFERROR(__xludf.DUMMYFUNCTION("""COMPUTED_VALUE"""),0.0)</f>
        <v>0</v>
      </c>
      <c r="F523" s="270">
        <f>IFERROR(__xludf.DUMMYFUNCTION("""COMPUTED_VALUE"""),4.0)</f>
        <v>4</v>
      </c>
      <c r="G523" s="17" t="str">
        <f>IFERROR(__xludf.DUMMYFUNCTION("""COMPUTED_VALUE"""),"Sabun batang 1 Box ( 2 PCS )")</f>
        <v>Sabun batang 1 Box ( 2 PCS )</v>
      </c>
      <c r="H523" s="463" t="str">
        <f>IFERROR(__xludf.DUMMYFUNCTION("""COMPUTED_VALUE"""),"Sampai")</f>
        <v>Sampai</v>
      </c>
      <c r="I523" s="464" t="str">
        <f>IFERROR(__xludf.DUMMYFUNCTION("""COMPUTED_VALUE"""),"KIMME")</f>
        <v>KIMME</v>
      </c>
      <c r="J523" s="17" t="str">
        <f>IFERROR(__xludf.DUMMYFUNCTION("""COMPUTED_VALUE"""),"⁠https://vt.tiktok.com/ZS9LFRRwB/")</f>
        <v>⁠https://vt.tiktok.com/ZS9LFRRwB/</v>
      </c>
      <c r="K523" s="464" t="str">
        <f>IFERROR(__xludf.DUMMYFUNCTION("""COMPUTED_VALUE"""),"KIMME")</f>
        <v>KIMME</v>
      </c>
      <c r="L523" s="279" t="str">
        <f>IFERROR(__xludf.DUMMYFUNCTION("""COMPUTED_VALUE"""),"https://vt.tiktok.com/ZS9LFd9uf/")</f>
        <v>https://vt.tiktok.com/ZS9LFd9uf/</v>
      </c>
      <c r="M523" s="464"/>
      <c r="N523" s="17" t="str">
        <f>IFERROR(__xludf.DUMMYFUNCTION("""COMPUTED_VALUE"""),"⁠https://vt.tiktok.com/ZS9LNoRJH/")</f>
        <v>⁠https://vt.tiktok.com/ZS9LNoRJH/</v>
      </c>
      <c r="O523" s="464"/>
      <c r="P523" s="17" t="str">
        <f>IFERROR(__xludf.DUMMYFUNCTION("""COMPUTED_VALUE"""),"⁠https://vt.tiktok.com/ZS9LFeQQd/")</f>
        <v>⁠https://vt.tiktok.com/ZS9LFeQQd/</v>
      </c>
    </row>
    <row r="524">
      <c r="A524" s="255" t="str">
        <f>IFERROR(__xludf.DUMMYFUNCTION("""COMPUTED_VALUE"""),"MICRO")</f>
        <v>MICRO</v>
      </c>
      <c r="B524" s="361" t="str">
        <f>IFERROR(__xludf.DUMMYFUNCTION("""COMPUTED_VALUE"""),"edewsri_")</f>
        <v>edewsri_</v>
      </c>
      <c r="C524" s="257" t="str">
        <f>IFERROR(__xludf.DUMMYFUNCTION("""COMPUTED_VALUE"""),"https://www.tiktok.com/@edewsri_")</f>
        <v>https://www.tiktok.com/@edewsri_</v>
      </c>
      <c r="D524" s="270">
        <f>IFERROR(__xludf.DUMMYFUNCTION("""COMPUTED_VALUE"""),8.9684251112E10)</f>
        <v>89684251112</v>
      </c>
      <c r="E524" s="457">
        <f>IFERROR(__xludf.DUMMYFUNCTION("""COMPUTED_VALUE"""),100000.0)</f>
        <v>100000</v>
      </c>
      <c r="F524" s="270">
        <f>IFERROR(__xludf.DUMMYFUNCTION("""COMPUTED_VALUE"""),1.0)</f>
        <v>1</v>
      </c>
      <c r="G524" s="17" t="str">
        <f>IFERROR(__xludf.DUMMYFUNCTION("""COMPUTED_VALUE"""),"Sabun batang 1 Box ( 2 PCS )")</f>
        <v>Sabun batang 1 Box ( 2 PCS )</v>
      </c>
      <c r="H524" s="463" t="str">
        <f>IFERROR(__xludf.DUMMYFUNCTION("""COMPUTED_VALUE"""),"Sampai")</f>
        <v>Sampai</v>
      </c>
      <c r="I524" s="464" t="str">
        <f>IFERROR(__xludf.DUMMYFUNCTION("""COMPUTED_VALUE"""),"KIMME")</f>
        <v>KIMME</v>
      </c>
      <c r="J524" s="279" t="str">
        <f>IFERROR(__xludf.DUMMYFUNCTION("""COMPUTED_VALUE"""),"https://www.tiktok.com/@edewsri_/video/7628810336438635784?is_from_webapp=1&amp;sender_device=pc")</f>
        <v>https://www.tiktok.com/@edewsri_/video/7628810336438635784?is_from_webapp=1&amp;sender_device=pc</v>
      </c>
      <c r="K524" s="464" t="str">
        <f>IFERROR(__xludf.DUMMYFUNCTION("""COMPUTED_VALUE"""),"KIMME")</f>
        <v>KIMME</v>
      </c>
      <c r="L524" s="279" t="str">
        <f>IFERROR(__xludf.DUMMYFUNCTION("""COMPUTED_VALUE"""),"https://vt.tiktok.com/ZS9tqXqqe/")</f>
        <v>https://vt.tiktok.com/ZS9tqXqqe/</v>
      </c>
      <c r="M524" s="464"/>
      <c r="N524" s="279" t="str">
        <f>IFERROR(__xludf.DUMMYFUNCTION("""COMPUTED_VALUE"""),"https://vt.tiktok.com/ZS9tq7UJe/")</f>
        <v>https://vt.tiktok.com/ZS9tq7UJe/</v>
      </c>
      <c r="O524" s="464"/>
      <c r="P524" s="279" t="str">
        <f>IFERROR(__xludf.DUMMYFUNCTION("""COMPUTED_VALUE"""),"https://vt.tiktok.com/ZS9tqPW4W/")</f>
        <v>https://vt.tiktok.com/ZS9tqPW4W/</v>
      </c>
    </row>
    <row r="525">
      <c r="A525" s="255" t="str">
        <f>IFERROR(__xludf.DUMMYFUNCTION("""COMPUTED_VALUE"""),"MICRO")</f>
        <v>MICRO</v>
      </c>
      <c r="B525" s="361" t="str">
        <f>IFERROR(__xludf.DUMMYFUNCTION("""COMPUTED_VALUE"""),"tatataberry")</f>
        <v>tatataberry</v>
      </c>
      <c r="C525" s="257" t="str">
        <f>IFERROR(__xludf.DUMMYFUNCTION("""COMPUTED_VALUE"""),"https://www.tiktok.com/@tatataberry")</f>
        <v>https://www.tiktok.com/@tatataberry</v>
      </c>
      <c r="D525" s="270">
        <f>IFERROR(__xludf.DUMMYFUNCTION("""COMPUTED_VALUE"""),8.815973913E9)</f>
        <v>8815973913</v>
      </c>
      <c r="E525" s="457">
        <f>IFERROR(__xludf.DUMMYFUNCTION("""COMPUTED_VALUE"""),150000.0)</f>
        <v>150000</v>
      </c>
      <c r="F525" s="270">
        <f>IFERROR(__xludf.DUMMYFUNCTION("""COMPUTED_VALUE"""),1.0)</f>
        <v>1</v>
      </c>
      <c r="G525" s="17" t="str">
        <f>IFERROR(__xludf.DUMMYFUNCTION("""COMPUTED_VALUE"""),"Sabun batang 1 Box ( 2 PCS )")</f>
        <v>Sabun batang 1 Box ( 2 PCS )</v>
      </c>
      <c r="H525" s="463" t="str">
        <f>IFERROR(__xludf.DUMMYFUNCTION("""COMPUTED_VALUE"""),"Sampai")</f>
        <v>Sampai</v>
      </c>
      <c r="I525" s="464" t="str">
        <f>IFERROR(__xludf.DUMMYFUNCTION("""COMPUTED_VALUE"""),"KIMME")</f>
        <v>KIMME</v>
      </c>
      <c r="J525" s="279" t="str">
        <f>IFERROR(__xludf.DUMMYFUNCTION("""COMPUTED_VALUE"""),"https://vt.tiktok.com/ZSHCr2gMH/")</f>
        <v>https://vt.tiktok.com/ZSHCr2gMH/</v>
      </c>
      <c r="K525" s="464" t="str">
        <f>IFERROR(__xludf.DUMMYFUNCTION("""COMPUTED_VALUE"""),"KIMME")</f>
        <v>KIMME</v>
      </c>
      <c r="L525" s="279" t="str">
        <f>IFERROR(__xludf.DUMMYFUNCTION("""COMPUTED_VALUE"""),"https://vt.tiktok.com/ZS9tqLWra/")</f>
        <v>https://vt.tiktok.com/ZS9tqLWra/</v>
      </c>
      <c r="M525" s="464"/>
      <c r="N525" s="279" t="str">
        <f>IFERROR(__xludf.DUMMYFUNCTION("""COMPUTED_VALUE"""),"https://vt.tiktok.com/ZS9tq2KvT/")</f>
        <v>https://vt.tiktok.com/ZS9tq2KvT/</v>
      </c>
      <c r="O525" s="464"/>
      <c r="P525" s="279" t="str">
        <f>IFERROR(__xludf.DUMMYFUNCTION("""COMPUTED_VALUE"""),"https://vt.tiktok.com/ZS9tqfWbH/")</f>
        <v>https://vt.tiktok.com/ZS9tqfWbH/</v>
      </c>
    </row>
    <row r="526">
      <c r="A526" s="255" t="str">
        <f>IFERROR(__xludf.DUMMYFUNCTION("""COMPUTED_VALUE"""),"MICRO")</f>
        <v>MICRO</v>
      </c>
      <c r="B526" s="361" t="str">
        <f>IFERROR(__xludf.DUMMYFUNCTION("""COMPUTED_VALUE"""),"yaniramadhani3")</f>
        <v>yaniramadhani3</v>
      </c>
      <c r="C526" s="257" t="str">
        <f>IFERROR(__xludf.DUMMYFUNCTION("""COMPUTED_VALUE"""),"https://www.tiktok.com/@yaniramadhani3")</f>
        <v>https://www.tiktok.com/@yaniramadhani3</v>
      </c>
      <c r="D526" s="270">
        <f>IFERROR(__xludf.DUMMYFUNCTION("""COMPUTED_VALUE"""),8.2388540328E10)</f>
        <v>82388540328</v>
      </c>
      <c r="E526" s="457">
        <f>IFERROR(__xludf.DUMMYFUNCTION("""COMPUTED_VALUE"""),0.0)</f>
        <v>0</v>
      </c>
      <c r="F526" s="270">
        <f>IFERROR(__xludf.DUMMYFUNCTION("""COMPUTED_VALUE"""),4.0)</f>
        <v>4</v>
      </c>
      <c r="G526" s="17" t="str">
        <f>IFERROR(__xludf.DUMMYFUNCTION("""COMPUTED_VALUE"""),"Sabun batang 1 Box ( 2 PCS )")</f>
        <v>Sabun batang 1 Box ( 2 PCS )</v>
      </c>
      <c r="H526" s="463" t="str">
        <f>IFERROR(__xludf.DUMMYFUNCTION("""COMPUTED_VALUE"""),"Sampai")</f>
        <v>Sampai</v>
      </c>
      <c r="I526" s="464" t="str">
        <f>IFERROR(__xludf.DUMMYFUNCTION("""COMPUTED_VALUE"""),"KIMME")</f>
        <v>KIMME</v>
      </c>
      <c r="J526" s="279" t="str">
        <f>IFERROR(__xludf.DUMMYFUNCTION("""COMPUTED_VALUE"""),"https://www.tiktok.com/@yaniramadhani3/video/7626221765265558802?is_from_webapp=1&amp;sender_device=pc")</f>
        <v>https://www.tiktok.com/@yaniramadhani3/video/7626221765265558802?is_from_webapp=1&amp;sender_device=pc</v>
      </c>
      <c r="K526" s="464" t="str">
        <f>IFERROR(__xludf.DUMMYFUNCTION("""COMPUTED_VALUE"""),"KIMME")</f>
        <v>KIMME</v>
      </c>
      <c r="L526" s="279" t="str">
        <f>IFERROR(__xludf.DUMMYFUNCTION("""COMPUTED_VALUE"""),"https://vt.tiktok.com/ZSHpgPBak/")</f>
        <v>https://vt.tiktok.com/ZSHpgPBak/</v>
      </c>
      <c r="M526" s="464" t="str">
        <f>IFERROR(__xludf.DUMMYFUNCTION("""COMPUTED_VALUE"""),"KIMME")</f>
        <v>KIMME</v>
      </c>
      <c r="N526" s="279" t="str">
        <f>IFERROR(__xludf.DUMMYFUNCTION("""COMPUTED_VALUE"""),"https://vt.tiktok.com/ZSHpgXNT1/")</f>
        <v>https://vt.tiktok.com/ZSHpgXNT1/</v>
      </c>
      <c r="O526" s="464" t="str">
        <f>IFERROR(__xludf.DUMMYFUNCTION("""COMPUTED_VALUE"""),"KIMME")</f>
        <v>KIMME</v>
      </c>
      <c r="P526" s="279" t="str">
        <f>IFERROR(__xludf.DUMMYFUNCTION("""COMPUTED_VALUE"""),"https://vt.tiktok.com/ZSHpgkLAp/")</f>
        <v>https://vt.tiktok.com/ZSHpgkLAp/</v>
      </c>
    </row>
    <row r="527">
      <c r="A527" s="255" t="str">
        <f>IFERROR(__xludf.DUMMYFUNCTION("""COMPUTED_VALUE"""),"MICRO")</f>
        <v>MICRO</v>
      </c>
      <c r="B527" s="361" t="str">
        <f>IFERROR(__xludf.DUMMYFUNCTION("""COMPUTED_VALUE"""),"mrytalk2u")</f>
        <v>mrytalk2u</v>
      </c>
      <c r="C527" s="257" t="str">
        <f>IFERROR(__xludf.DUMMYFUNCTION("""COMPUTED_VALUE"""),"https://www.tiktok.com/@mrytalk2u")</f>
        <v>https://www.tiktok.com/@mrytalk2u</v>
      </c>
      <c r="D527" s="270">
        <f>IFERROR(__xludf.DUMMYFUNCTION("""COMPUTED_VALUE"""),8.176099903E9)</f>
        <v>8176099903</v>
      </c>
      <c r="E527" s="457">
        <f>IFERROR(__xludf.DUMMYFUNCTION("""COMPUTED_VALUE"""),0.0)</f>
        <v>0</v>
      </c>
      <c r="F527" s="270">
        <f>IFERROR(__xludf.DUMMYFUNCTION("""COMPUTED_VALUE"""),4.0)</f>
        <v>4</v>
      </c>
      <c r="G527" s="17" t="str">
        <f>IFERROR(__xludf.DUMMYFUNCTION("""COMPUTED_VALUE"""),"Sabun batang 1 Box ( 2 PCS )")</f>
        <v>Sabun batang 1 Box ( 2 PCS )</v>
      </c>
      <c r="H527" s="463" t="str">
        <f>IFERROR(__xludf.DUMMYFUNCTION("""COMPUTED_VALUE"""),"Sampai")</f>
        <v>Sampai</v>
      </c>
      <c r="I527" s="464" t="str">
        <f>IFERROR(__xludf.DUMMYFUNCTION("""COMPUTED_VALUE"""),"KIMME")</f>
        <v>KIMME</v>
      </c>
      <c r="J527" s="279" t="str">
        <f>IFERROR(__xludf.DUMMYFUNCTION("""COMPUTED_VALUE"""),"https://vt.tiktok.com/ZS98CawuJ/")</f>
        <v>https://vt.tiktok.com/ZS98CawuJ/</v>
      </c>
      <c r="K527" s="464" t="str">
        <f>IFERROR(__xludf.DUMMYFUNCTION("""COMPUTED_VALUE"""),"KIMME")</f>
        <v>KIMME</v>
      </c>
      <c r="L527" s="17" t="str">
        <f>IFERROR(__xludf.DUMMYFUNCTION("""COMPUTED_VALUE"""),"⁠https://vt.tiktok.com/ZS98CVEY9/")</f>
        <v>⁠https://vt.tiktok.com/ZS98CVEY9/</v>
      </c>
      <c r="M527" s="464" t="str">
        <f>IFERROR(__xludf.DUMMYFUNCTION("""COMPUTED_VALUE"""),"KIMME")</f>
        <v>KIMME</v>
      </c>
      <c r="N527" s="17" t="str">
        <f>IFERROR(__xludf.DUMMYFUNCTION("""COMPUTED_VALUE"""),"⁠https://vt.tiktok.com/ZS98CyRAA/")</f>
        <v>⁠https://vt.tiktok.com/ZS98CyRAA/</v>
      </c>
      <c r="O527" s="464" t="str">
        <f>IFERROR(__xludf.DUMMYFUNCTION("""COMPUTED_VALUE"""),"KIMME")</f>
        <v>KIMME</v>
      </c>
      <c r="P527" s="17" t="str">
        <f>IFERROR(__xludf.DUMMYFUNCTION("""COMPUTED_VALUE"""),"⁠https://vt.tiktok.com/ZS98CbnhN/")</f>
        <v>⁠https://vt.tiktok.com/ZS98CbnhN/</v>
      </c>
    </row>
    <row r="528">
      <c r="A528" s="255" t="str">
        <f>IFERROR(__xludf.DUMMYFUNCTION("""COMPUTED_VALUE"""),"MICRO")</f>
        <v>MICRO</v>
      </c>
      <c r="B528" s="361" t="str">
        <f>IFERROR(__xludf.DUMMYFUNCTION("""COMPUTED_VALUE"""),"citrasulis19")</f>
        <v>citrasulis19</v>
      </c>
      <c r="C528" s="257" t="str">
        <f>IFERROR(__xludf.DUMMYFUNCTION("""COMPUTED_VALUE"""),"https://www.tiktok.com/@citrasulis19")</f>
        <v>https://www.tiktok.com/@citrasulis19</v>
      </c>
      <c r="D528" s="270">
        <f>IFERROR(__xludf.DUMMYFUNCTION("""COMPUTED_VALUE"""),8.1320831732E10)</f>
        <v>81320831732</v>
      </c>
      <c r="E528" s="457">
        <f>IFERROR(__xludf.DUMMYFUNCTION("""COMPUTED_VALUE"""),200000.0)</f>
        <v>200000</v>
      </c>
      <c r="F528" s="270">
        <f>IFERROR(__xludf.DUMMYFUNCTION("""COMPUTED_VALUE"""),2.0)</f>
        <v>2</v>
      </c>
      <c r="G528" s="17" t="str">
        <f>IFERROR(__xludf.DUMMYFUNCTION("""COMPUTED_VALUE"""),"Sabun batang 1 Box ( 2 PCS )")</f>
        <v>Sabun batang 1 Box ( 2 PCS )</v>
      </c>
      <c r="H528" s="463" t="str">
        <f>IFERROR(__xludf.DUMMYFUNCTION("""COMPUTED_VALUE"""),"Sampai")</f>
        <v>Sampai</v>
      </c>
      <c r="I528" s="464" t="str">
        <f>IFERROR(__xludf.DUMMYFUNCTION("""COMPUTED_VALUE"""),"KIMME")</f>
        <v>KIMME</v>
      </c>
      <c r="J528" s="279" t="str">
        <f>IFERROR(__xludf.DUMMYFUNCTION("""COMPUTED_VALUE"""),"https://www.tiktok.com/@citrasulis19/video/7623995972044983573?is_from_webapp=1&amp;sender_device=pc")</f>
        <v>https://www.tiktok.com/@citrasulis19/video/7623995972044983573?is_from_webapp=1&amp;sender_device=pc</v>
      </c>
      <c r="K528" s="464" t="str">
        <f>IFERROR(__xludf.DUMMYFUNCTION("""COMPUTED_VALUE"""),"KIMME")</f>
        <v>KIMME</v>
      </c>
      <c r="L528" s="279" t="str">
        <f>IFERROR(__xludf.DUMMYFUNCTION("""COMPUTED_VALUE"""),"https://vt.tiktok.com/ZSHMnW2GU/")</f>
        <v>https://vt.tiktok.com/ZSHMnW2GU/</v>
      </c>
      <c r="M528" s="464" t="str">
        <f>IFERROR(__xludf.DUMMYFUNCTION("""COMPUTED_VALUE"""),"KIMME")</f>
        <v>KIMME</v>
      </c>
      <c r="N528" s="279" t="str">
        <f>IFERROR(__xludf.DUMMYFUNCTION("""COMPUTED_VALUE""")," https://vt.tiktok.com/ZSHMnqWU4/")</f>
        <v> https://vt.tiktok.com/ZSHMnqWU4/</v>
      </c>
      <c r="O528" s="464"/>
      <c r="P528" s="279" t="str">
        <f>IFERROR(__xludf.DUMMYFUNCTION("""COMPUTED_VALUE"""),"https://vt.tiktok.com/ZS9tqDxNW/")</f>
        <v>https://vt.tiktok.com/ZS9tqDxNW/</v>
      </c>
    </row>
    <row r="529">
      <c r="A529" s="255" t="str">
        <f>IFERROR(__xludf.DUMMYFUNCTION("""COMPUTED_VALUE"""),"MICRO")</f>
        <v>MICRO</v>
      </c>
      <c r="B529" s="361" t="str">
        <f>IFERROR(__xludf.DUMMYFUNCTION("""COMPUTED_VALUE"""),"kikioktaviaa_ks")</f>
        <v>kikioktaviaa_ks</v>
      </c>
      <c r="C529" s="257" t="str">
        <f>IFERROR(__xludf.DUMMYFUNCTION("""COMPUTED_VALUE"""),"https://www.tiktok.com/@kikioktaviaa_ks")</f>
        <v>https://www.tiktok.com/@kikioktaviaa_ks</v>
      </c>
      <c r="D529" s="270">
        <f>IFERROR(__xludf.DUMMYFUNCTION("""COMPUTED_VALUE"""),8.2211763127E10)</f>
        <v>82211763127</v>
      </c>
      <c r="E529" s="457">
        <f>IFERROR(__xludf.DUMMYFUNCTION("""COMPUTED_VALUE"""),150000.0)</f>
        <v>150000</v>
      </c>
      <c r="F529" s="270">
        <f>IFERROR(__xludf.DUMMYFUNCTION("""COMPUTED_VALUE"""),1.0)</f>
        <v>1</v>
      </c>
      <c r="G529" s="17" t="str">
        <f>IFERROR(__xludf.DUMMYFUNCTION("""COMPUTED_VALUE"""),"Sabun batang 1 Box ( 2 PCS )")</f>
        <v>Sabun batang 1 Box ( 2 PCS )</v>
      </c>
      <c r="H529" s="463" t="str">
        <f>IFERROR(__xludf.DUMMYFUNCTION("""COMPUTED_VALUE"""),"Sampai")</f>
        <v>Sampai</v>
      </c>
      <c r="I529" s="464" t="str">
        <f>IFERROR(__xludf.DUMMYFUNCTION("""COMPUTED_VALUE"""),"KIMME")</f>
        <v>KIMME</v>
      </c>
      <c r="J529" s="279" t="str">
        <f>IFERROR(__xludf.DUMMYFUNCTION("""COMPUTED_VALUE"""),"https://vt.tiktok.com/ZS9tqUGwu/")</f>
        <v>https://vt.tiktok.com/ZS9tqUGwu/</v>
      </c>
      <c r="K529" s="464" t="str">
        <f>IFERROR(__xludf.DUMMYFUNCTION("""COMPUTED_VALUE"""),"KIMME")</f>
        <v>KIMME</v>
      </c>
      <c r="L529" s="279" t="str">
        <f>IFERROR(__xludf.DUMMYFUNCTION("""COMPUTED_VALUE"""),"https://vt.tiktok.com/ZS9tqAtqw/")</f>
        <v>https://vt.tiktok.com/ZS9tqAtqw/</v>
      </c>
      <c r="M529" s="464"/>
      <c r="N529" s="279" t="str">
        <f>IFERROR(__xludf.DUMMYFUNCTION("""COMPUTED_VALUE"""),"https://vt.tiktok.com/ZS9tqkoaL/")</f>
        <v>https://vt.tiktok.com/ZS9tqkoaL/</v>
      </c>
      <c r="O529" s="464"/>
      <c r="P529" s="279" t="str">
        <f>IFERROR(__xludf.DUMMYFUNCTION("""COMPUTED_VALUE"""),"https://vt.tiktok.com/ZS9tqjqPS/")</f>
        <v>https://vt.tiktok.com/ZS9tqjqPS/</v>
      </c>
    </row>
    <row r="530">
      <c r="A530" s="255" t="str">
        <f>IFERROR(__xludf.DUMMYFUNCTION("""COMPUTED_VALUE"""),"MICRO")</f>
        <v>MICRO</v>
      </c>
      <c r="B530" s="361" t="str">
        <f>IFERROR(__xludf.DUMMYFUNCTION("""COMPUTED_VALUE"""),"gomaworder")</f>
        <v>gomaworder</v>
      </c>
      <c r="C530" s="257" t="str">
        <f>IFERROR(__xludf.DUMMYFUNCTION("""COMPUTED_VALUE"""),"https://www.tiktok.com/@gomaworder")</f>
        <v>https://www.tiktok.com/@gomaworder</v>
      </c>
      <c r="D530" s="270">
        <f>IFERROR(__xludf.DUMMYFUNCTION("""COMPUTED_VALUE"""),8.1312985566E10)</f>
        <v>81312985566</v>
      </c>
      <c r="E530" s="457">
        <f>IFERROR(__xludf.DUMMYFUNCTION("""COMPUTED_VALUE"""),0.0)</f>
        <v>0</v>
      </c>
      <c r="F530" s="270">
        <f>IFERROR(__xludf.DUMMYFUNCTION("""COMPUTED_VALUE"""),2.0)</f>
        <v>2</v>
      </c>
      <c r="G530" s="17" t="str">
        <f>IFERROR(__xludf.DUMMYFUNCTION("""COMPUTED_VALUE"""),"Sabun batang 1 Box ( 2 PCS )")</f>
        <v>Sabun batang 1 Box ( 2 PCS )</v>
      </c>
      <c r="H530" s="463" t="str">
        <f>IFERROR(__xludf.DUMMYFUNCTION("""COMPUTED_VALUE"""),"Sampai")</f>
        <v>Sampai</v>
      </c>
      <c r="I530" s="464" t="str">
        <f>IFERROR(__xludf.DUMMYFUNCTION("""COMPUTED_VALUE"""),"KIMME")</f>
        <v>KIMME</v>
      </c>
      <c r="J530" s="279" t="str">
        <f>IFERROR(__xludf.DUMMYFUNCTION("""COMPUTED_VALUE"""),"https://www.tiktok.com/@gomaworder/video/7630819485540601109?_r=1&amp;u_code=e56gjh2b5mh44b&amp;region=&amp;mid=7630819526849858305&amp;preview_pb=0&amp;sharer_language=&amp;_d=0&amp;ec_shared_reflux_dynamic_params=%7B%22placeholder_material_id%22%3A%227630819485540601109%22%2C%22pl"&amp;"aceholder_origin_cover%22%3A%22https%253A%252F%252Fp16-common-sign.tiktokcdn.com%252Ftos-alisg-p-0037%252Fo4pLMICYgpjofrnnOe5WMgDAT9rO4GfYzIIAAD~tplv-tiktokx-origin.jpeg%253Fdr%253D14572%2526refresh_token%253D0dae3dd4%2526x-expires%253D1808301600%2526x-si"&amp;"gnature%253Dz1UOFAt2KrrECbtdnE0TN%25252FAyb7M%25253D%2526t%253D4d5b0474%2526ps%253D13740610%2526shp%253Dd05b14bd%2526shcp%253D34ff8df6%2526idc%253Dmy3%2526s%253DTIKTOK_AFFILIATE_VIRAL_VIDEO%22%2C%22placeholder_product_id%22%3A%221729427766722726591%22%2C%"&amp;"22placeholder_video_id%22%3A%227630819485540601109%22%7D&amp;ec_shared_reflux_scene=shop_tab_feed&amp;share_item_id=7630819485540601109&amp;source=h5_t")</f>
        <v>https://www.tiktok.com/@gomaworder/video/7630819485540601109?_r=1&amp;u_code=e56gjh2b5mh44b&amp;region=&amp;mid=7630819526849858305&amp;preview_pb=0&amp;sharer_language=&amp;_d=0&amp;ec_shared_reflux_dynamic_params=%7B%22placeholder_material_id%22%3A%227630819485540601109%22%2C%22placeholder_origin_cover%22%3A%22https%253A%252F%252Fp16-common-sign.tiktokcdn.com%252Ftos-alisg-p-0037%252Fo4pLMICYgpjofrnnOe5WMgDAT9rO4GfYzIIAAD~tplv-tiktokx-origin.jpeg%253Fdr%253D14572%2526refresh_token%253D0dae3dd4%2526x-expires%253D1808301600%2526x-signature%253Dz1UOFAt2KrrECbtdnE0TN%25252FAyb7M%25253D%2526t%253D4d5b0474%2526ps%253D13740610%2526shp%253Dd05b14bd%2526shcp%253D34ff8df6%2526idc%253Dmy3%2526s%253DTIKTOK_AFFILIATE_VIRAL_VIDEO%22%2C%22placeholder_product_id%22%3A%221729427766722726591%22%2C%22placeholder_video_id%22%3A%227630819485540601109%22%7D&amp;ec_shared_reflux_scene=shop_tab_feed&amp;share_item_id=7630819485540601109&amp;source=h5_t</v>
      </c>
      <c r="K530" s="464" t="str">
        <f>IFERROR(__xludf.DUMMYFUNCTION("""COMPUTED_VALUE"""),"KIMME")</f>
        <v>KIMME</v>
      </c>
      <c r="L530" s="279" t="str">
        <f>IFERROR(__xludf.DUMMYFUNCTION("""COMPUTED_VALUE"""),"https://www.tiktok.com/@gomaworder/video/7631998461528788244?_r=1&amp;u_code=e56gjh2b5mh44b&amp;region=&amp;mid=7631998489296505607&amp;preview_pb=0&amp;sharer_language=&amp;_d=0&amp;ec_shared_reflux_dynamic_params=%7B%22placeholder_material_id%22%3A%227631998461528788244%22%2C%22pl"&amp;"aceholder_origin_cover%22%3A%22https%253A%252F%252Fp16-common-sign.tiktokcdn.com%252Ftos-alisg-p-0037%252FoEEG8uREIBAfjIvqBpgge4KkcBF2YT6DkOR7P4~tplv-tiktokx-origin.jpeg%253Fdr%253D14572%2526refresh_token%253Db2ba807a%2526x-expires%253D1809507600%2526x-si"&amp;"gnature%253DmvM%25252F0602Wm8d8AAsihCxfI%25252Fgo2k%25253D%2526t%253D4d5b0474%2526ps%253D13740610%2526shp%253Dd05b14bd%2526shcp%253D34ff8df6%2526idc%253Dmy%2526s%253DTIKTOK_AFFILIATE_VIRAL_VIDEO%22%2C%22placeholder_product_id%22%3A%221729427766722726591%2"&amp;"2%2C%22placeholder_video_id%22%3A%227631998461528788244%22%7D&amp;ec_shared_reflux_scene=shop_tab_feed&amp;share_item_id=7631998461528788244&amp;source=h5_t")</f>
        <v>https://www.tiktok.com/@gomaworder/video/7631998461528788244?_r=1&amp;u_code=e56gjh2b5mh44b&amp;region=&amp;mid=7631998489296505607&amp;preview_pb=0&amp;sharer_language=&amp;_d=0&amp;ec_shared_reflux_dynamic_params=%7B%22placeholder_material_id%22%3A%227631998461528788244%22%2C%22placeholder_origin_cover%22%3A%22https%253A%252F%252Fp16-common-sign.tiktokcdn.com%252Ftos-alisg-p-0037%252FoEEG8uREIBAfjIvqBpgge4KkcBF2YT6DkOR7P4~tplv-tiktokx-origin.jpeg%253Fdr%253D14572%2526refresh_token%253Db2ba807a%2526x-expires%253D1809507600%2526x-signature%253DmvM%25252F0602Wm8d8AAsihCxfI%25252Fgo2k%25253D%2526t%253D4d5b0474%2526ps%253D13740610%2526shp%253Dd05b14bd%2526shcp%253D34ff8df6%2526idc%253Dmy%2526s%253DTIKTOK_AFFILIATE_VIRAL_VIDEO%22%2C%22placeholder_product_id%22%3A%221729427766722726591%22%2C%22placeholder_video_id%22%3A%227631998461528788244%22%7D&amp;ec_shared_reflux_scene=shop_tab_feed&amp;share_item_id=7631998461528788244&amp;source=h5_t</v>
      </c>
      <c r="M530" s="464"/>
      <c r="N530" s="279" t="str">
        <f>IFERROR(__xludf.DUMMYFUNCTION("""COMPUTED_VALUE"""),"https://vt.tiktok.com/ZS9tVV9nT/")</f>
        <v>https://vt.tiktok.com/ZS9tVV9nT/</v>
      </c>
      <c r="O530" s="464"/>
      <c r="P530" s="279" t="str">
        <f>IFERROR(__xludf.DUMMYFUNCTION("""COMPUTED_VALUE"""),"https://vt.tiktok.com/ZS9tV3mXQ/")</f>
        <v>https://vt.tiktok.com/ZS9tV3mXQ/</v>
      </c>
    </row>
    <row r="531">
      <c r="A531" s="255" t="str">
        <f>IFERROR(__xludf.DUMMYFUNCTION("""COMPUTED_VALUE"""),"MICRO")</f>
        <v>MICRO</v>
      </c>
      <c r="B531" s="361" t="str">
        <f>IFERROR(__xludf.DUMMYFUNCTION("""COMPUTED_VALUE"""),"hii_puteri")</f>
        <v>hii_puteri</v>
      </c>
      <c r="C531" s="257" t="str">
        <f>IFERROR(__xludf.DUMMYFUNCTION("""COMPUTED_VALUE"""),"https://www.tiktok.com/@hii_puteri")</f>
        <v>https://www.tiktok.com/@hii_puteri</v>
      </c>
      <c r="D531" s="270">
        <f>IFERROR(__xludf.DUMMYFUNCTION("""COMPUTED_VALUE"""),8.1393108484E10)</f>
        <v>81393108484</v>
      </c>
      <c r="E531" s="457">
        <f>IFERROR(__xludf.DUMMYFUNCTION("""COMPUTED_VALUE"""),0.0)</f>
        <v>0</v>
      </c>
      <c r="F531" s="270">
        <f>IFERROR(__xludf.DUMMYFUNCTION("""COMPUTED_VALUE"""),3.0)</f>
        <v>3</v>
      </c>
      <c r="G531" s="17" t="str">
        <f>IFERROR(__xludf.DUMMYFUNCTION("""COMPUTED_VALUE"""),"Sabun batang 1 Box ( 2 PCS )")</f>
        <v>Sabun batang 1 Box ( 2 PCS )</v>
      </c>
      <c r="H531" s="463" t="str">
        <f>IFERROR(__xludf.DUMMYFUNCTION("""COMPUTED_VALUE"""),"Sampai")</f>
        <v>Sampai</v>
      </c>
      <c r="I531" s="464" t="str">
        <f>IFERROR(__xludf.DUMMYFUNCTION("""COMPUTED_VALUE"""),"KIMME")</f>
        <v>KIMME</v>
      </c>
      <c r="J531" s="279" t="str">
        <f>IFERROR(__xludf.DUMMYFUNCTION("""COMPUTED_VALUE"""),"https://www.tiktok.com/@hii_puteri/video/7621176298873900308?is_from_webapp=1&amp;sender_device=pc&amp;web_id=7611930277489657360")</f>
        <v>https://www.tiktok.com/@hii_puteri/video/7621176298873900308?is_from_webapp=1&amp;sender_device=pc&amp;web_id=7611930277489657360</v>
      </c>
      <c r="K531" s="464" t="str">
        <f>IFERROR(__xludf.DUMMYFUNCTION("""COMPUTED_VALUE"""),"KIMME")</f>
        <v>KIMME</v>
      </c>
      <c r="L531" s="279" t="str">
        <f>IFERROR(__xludf.DUMMYFUNCTION("""COMPUTED_VALUE"""),"https://www.tiktok.com/@hii_puteri/video/7621538562701282580?is_from_webapp=1&amp;sender_device=pc&amp;web_id=7611930277489657360")</f>
        <v>https://www.tiktok.com/@hii_puteri/video/7621538562701282580?is_from_webapp=1&amp;sender_device=pc&amp;web_id=7611930277489657360</v>
      </c>
      <c r="M531" s="464" t="str">
        <f>IFERROR(__xludf.DUMMYFUNCTION("""COMPUTED_VALUE"""),"KIMME")</f>
        <v>KIMME</v>
      </c>
      <c r="N531" s="279" t="str">
        <f>IFERROR(__xludf.DUMMYFUNCTION("""COMPUTED_VALUE"""),"https://www.tiktok.com/@hii_puteri/video/7623211519530044693?is_from_webapp=1&amp;sender_device=pc&amp;web_id=7611930277489657360")</f>
        <v>https://www.tiktok.com/@hii_puteri/video/7623211519530044693?is_from_webapp=1&amp;sender_device=pc&amp;web_id=7611930277489657360</v>
      </c>
      <c r="O531" s="464"/>
      <c r="P531" s="279" t="str">
        <f>IFERROR(__xludf.DUMMYFUNCTION("""COMPUTED_VALUE"""),"https://vt.tiktok.com/ZS9tVKLb1/")</f>
        <v>https://vt.tiktok.com/ZS9tVKLb1/</v>
      </c>
    </row>
    <row r="532">
      <c r="A532" s="255" t="str">
        <f>IFERROR(__xludf.DUMMYFUNCTION("""COMPUTED_VALUE"""),"MICRO")</f>
        <v>MICRO</v>
      </c>
      <c r="B532" s="361" t="str">
        <f>IFERROR(__xludf.DUMMYFUNCTION("""COMPUTED_VALUE"""),"bingbang_salonpurwakarta")</f>
        <v>bingbang_salonpurwakarta</v>
      </c>
      <c r="C532" s="257" t="str">
        <f>IFERROR(__xludf.DUMMYFUNCTION("""COMPUTED_VALUE"""),"https://www.tiktok.com/@bingbang_salonpurwakarta")</f>
        <v>https://www.tiktok.com/@bingbang_salonpurwakarta</v>
      </c>
      <c r="D532" s="270">
        <f>IFERROR(__xludf.DUMMYFUNCTION("""COMPUTED_VALUE"""),8.3120971291E10)</f>
        <v>83120971291</v>
      </c>
      <c r="E532" s="457">
        <f>IFERROR(__xludf.DUMMYFUNCTION("""COMPUTED_VALUE"""),0.0)</f>
        <v>0</v>
      </c>
      <c r="F532" s="270">
        <f>IFERROR(__xludf.DUMMYFUNCTION("""COMPUTED_VALUE"""),1.0)</f>
        <v>1</v>
      </c>
      <c r="G532" s="17" t="str">
        <f>IFERROR(__xludf.DUMMYFUNCTION("""COMPUTED_VALUE"""),"Sabun batang 1 Box ( 2 PCS )")</f>
        <v>Sabun batang 1 Box ( 2 PCS )</v>
      </c>
      <c r="H532" s="463" t="str">
        <f>IFERROR(__xludf.DUMMYFUNCTION("""COMPUTED_VALUE"""),"Sampai")</f>
        <v>Sampai</v>
      </c>
      <c r="I532" s="464" t="str">
        <f>IFERROR(__xludf.DUMMYFUNCTION("""COMPUTED_VALUE"""),"KIMME")</f>
        <v>KIMME</v>
      </c>
      <c r="J532" s="279" t="str">
        <f>IFERROR(__xludf.DUMMYFUNCTION("""COMPUTED_VALUE"""),"https://www.tiktok.com/@bingbang_salonpurwakarta/video/7631408841430715655?_r=1&amp;u_code=d8c70i42db39g0&amp;region=&amp;mid=7628279249921329927&amp;preview_pb=0&amp;sharer_language=&amp;_d=0&amp;ec_shared_reflux_dynamic_params=%7B%22placeholder_material_id%22%3A%227631408841430715"&amp;"655%22%2C%22placeholder_origin_cover%22%3A%22https%253A%252F%252Fp16-common-sign.tiktokcdn.com%252Ftos-alisg-p-0037%252FoEQCaKlERQaAec5f1PQD3zDpghuFEB4DBgwWa6~tplv-tiktokx-origin.jpeg%253Fdr%253D14572%2526refresh_token%253Ddf65d971%2526x-expires%253D18084"&amp;"70800%2526x-signature%253D6zDNnuovCiLb1XcMxArfWNkBNr0%25253D%2526t%253D4d5b0474%2526ps%253D13740610%2526shp%253Dd05b14bd%2526shcp%253D34ff8df6%2526idc%253Dmy3%2526s%253DTIKTOK_AFFILIATE_VIRAL_VIDEO%22%2C%22placeholder_product_id%22%3A%22172942776672272659"&amp;"1%22%2C%22placeholder_video_id%22%3A%227631408841430715655%22%7D&amp;ec_shared_reflux_scene=shop_tab_feed&amp;share_item_id=7631408841430715655&amp;source=h5_t")</f>
        <v>https://www.tiktok.com/@bingbang_salonpurwakarta/video/7631408841430715655?_r=1&amp;u_code=d8c70i42db39g0&amp;region=&amp;mid=7628279249921329927&amp;preview_pb=0&amp;sharer_language=&amp;_d=0&amp;ec_shared_reflux_dynamic_params=%7B%22placeholder_material_id%22%3A%227631408841430715655%22%2C%22placeholder_origin_cover%22%3A%22https%253A%252F%252Fp16-common-sign.tiktokcdn.com%252Ftos-alisg-p-0037%252FoEQCaKlERQaAec5f1PQD3zDpghuFEB4DBgwWa6~tplv-tiktokx-origin.jpeg%253Fdr%253D14572%2526refresh_token%253Ddf65d971%2526x-expires%253D1808470800%2526x-signature%253D6zDNnuovCiLb1XcMxArfWNkBNr0%25253D%2526t%253D4d5b0474%2526ps%253D13740610%2526shp%253Dd05b14bd%2526shcp%253D34ff8df6%2526idc%253Dmy3%2526s%253DTIKTOK_AFFILIATE_VIRAL_VIDEO%22%2C%22placeholder_product_id%22%3A%221729427766722726591%22%2C%22placeholder_video_id%22%3A%227631408841430715655%22%7D&amp;ec_shared_reflux_scene=shop_tab_feed&amp;share_item_id=7631408841430715655&amp;source=h5_t</v>
      </c>
      <c r="K532" s="464" t="str">
        <f>IFERROR(__xludf.DUMMYFUNCTION("""COMPUTED_VALUE"""),"KIMME")</f>
        <v>KIMME</v>
      </c>
      <c r="L532" s="279" t="str">
        <f>IFERROR(__xludf.DUMMYFUNCTION("""COMPUTED_VALUE"""),"https://vt.tiktok.com/ZS9tqdLY3/")</f>
        <v>https://vt.tiktok.com/ZS9tqdLY3/</v>
      </c>
      <c r="M532" s="464"/>
      <c r="N532" s="279" t="str">
        <f>IFERROR(__xludf.DUMMYFUNCTION("""COMPUTED_VALUE"""),"https://vt.tiktok.com/ZS9GET4YS/")</f>
        <v>https://vt.tiktok.com/ZS9GET4YS/</v>
      </c>
      <c r="O532" s="464"/>
      <c r="P532" s="279" t="str">
        <f>IFERROR(__xludf.DUMMYFUNCTION("""COMPUTED_VALUE"""),"https://vt.tiktok.com/ZS9Gwdb4J/")</f>
        <v>https://vt.tiktok.com/ZS9Gwdb4J/</v>
      </c>
    </row>
    <row r="533">
      <c r="A533" s="255" t="str">
        <f>IFERROR(__xludf.DUMMYFUNCTION("""COMPUTED_VALUE"""),"MICRO")</f>
        <v>MICRO</v>
      </c>
      <c r="B533" s="361" t="str">
        <f>IFERROR(__xludf.DUMMYFUNCTION("""COMPUTED_VALUE"""),"_nonatidore")</f>
        <v>_nonatidore</v>
      </c>
      <c r="C533" s="257" t="str">
        <f>IFERROR(__xludf.DUMMYFUNCTION("""COMPUTED_VALUE"""),"https://www.tiktok.com/@_nonatidore")</f>
        <v>https://www.tiktok.com/@_nonatidore</v>
      </c>
      <c r="D533" s="270">
        <f>IFERROR(__xludf.DUMMYFUNCTION("""COMPUTED_VALUE"""),8.5145141344E10)</f>
        <v>85145141344</v>
      </c>
      <c r="E533" s="457">
        <f>IFERROR(__xludf.DUMMYFUNCTION("""COMPUTED_VALUE"""),0.0)</f>
        <v>0</v>
      </c>
      <c r="F533" s="270">
        <f>IFERROR(__xludf.DUMMYFUNCTION("""COMPUTED_VALUE"""),2.0)</f>
        <v>2</v>
      </c>
      <c r="G533" s="17" t="str">
        <f>IFERROR(__xludf.DUMMYFUNCTION("""COMPUTED_VALUE"""),"Sabun batang 1 Box ( 2 PCS )")</f>
        <v>Sabun batang 1 Box ( 2 PCS )</v>
      </c>
      <c r="H533" s="463" t="str">
        <f>IFERROR(__xludf.DUMMYFUNCTION("""COMPUTED_VALUE"""),"Sampai")</f>
        <v>Sampai</v>
      </c>
      <c r="I533" s="464" t="str">
        <f>IFERROR(__xludf.DUMMYFUNCTION("""COMPUTED_VALUE"""),"KIMME")</f>
        <v>KIMME</v>
      </c>
      <c r="J533" s="279" t="str">
        <f>IFERROR(__xludf.DUMMYFUNCTION("""COMPUTED_VALUE"""),"https://vt.tiktok.com/ZS9GwE7eP/")</f>
        <v>https://vt.tiktok.com/ZS9GwE7eP/</v>
      </c>
      <c r="K533" s="464" t="str">
        <f>IFERROR(__xludf.DUMMYFUNCTION("""COMPUTED_VALUE"""),"KIMME")</f>
        <v>KIMME</v>
      </c>
      <c r="L533" s="279" t="str">
        <f>IFERROR(__xludf.DUMMYFUNCTION("""COMPUTED_VALUE"""),"https://vt.tiktok.com/ZS9GwW2nU/")</f>
        <v>https://vt.tiktok.com/ZS9GwW2nU/</v>
      </c>
      <c r="M533" s="464"/>
      <c r="N533" s="279" t="str">
        <f>IFERROR(__xludf.DUMMYFUNCTION("""COMPUTED_VALUE"""),"https://vt.tiktok.com/ZS9Gwo7xL/")</f>
        <v>https://vt.tiktok.com/ZS9Gwo7xL/</v>
      </c>
      <c r="O533" s="464"/>
      <c r="P533" s="279" t="str">
        <f>IFERROR(__xludf.DUMMYFUNCTION("""COMPUTED_VALUE"""),"https://vt.tiktok.com/ZS9GT3teU/")</f>
        <v>https://vt.tiktok.com/ZS9GT3teU/</v>
      </c>
    </row>
    <row r="534">
      <c r="A534" s="255" t="str">
        <f>IFERROR(__xludf.DUMMYFUNCTION("""COMPUTED_VALUE"""),"MICRO")</f>
        <v>MICRO</v>
      </c>
      <c r="B534" s="361" t="str">
        <f>IFERROR(__xludf.DUMMYFUNCTION("""COMPUTED_VALUE"""),"iciiiiss_")</f>
        <v>iciiiiss_</v>
      </c>
      <c r="C534" s="257" t="str">
        <f>IFERROR(__xludf.DUMMYFUNCTION("""COMPUTED_VALUE"""),"https://www.tiktok.com/@iciiiiss_")</f>
        <v>https://www.tiktok.com/@iciiiiss_</v>
      </c>
      <c r="D534" s="270">
        <f>IFERROR(__xludf.DUMMYFUNCTION("""COMPUTED_VALUE"""),8.58173675E10)</f>
        <v>85817367500</v>
      </c>
      <c r="E534" s="457">
        <f>IFERROR(__xludf.DUMMYFUNCTION("""COMPUTED_VALUE"""),50000.0)</f>
        <v>50000</v>
      </c>
      <c r="F534" s="270">
        <f>IFERROR(__xludf.DUMMYFUNCTION("""COMPUTED_VALUE"""),3.0)</f>
        <v>3</v>
      </c>
      <c r="G534" s="17" t="str">
        <f>IFERROR(__xludf.DUMMYFUNCTION("""COMPUTED_VALUE"""),"Sabun batang 1 Box ( 2 PCS )")</f>
        <v>Sabun batang 1 Box ( 2 PCS )</v>
      </c>
      <c r="H534" s="463" t="str">
        <f>IFERROR(__xludf.DUMMYFUNCTION("""COMPUTED_VALUE"""),"Sampai")</f>
        <v>Sampai</v>
      </c>
      <c r="I534" s="464" t="str">
        <f>IFERROR(__xludf.DUMMYFUNCTION("""COMPUTED_VALUE"""),"KIMME")</f>
        <v>KIMME</v>
      </c>
      <c r="J534" s="279" t="str">
        <f>IFERROR(__xludf.DUMMYFUNCTION("""COMPUTED_VALUE"""),"https://www.tiktok.com/@iciiiiss_/video/7621513001056881940?is_from_webapp=1&amp;sender_device=pc")</f>
        <v>https://www.tiktok.com/@iciiiiss_/video/7621513001056881940?is_from_webapp=1&amp;sender_device=pc</v>
      </c>
      <c r="K534" s="464" t="str">
        <f>IFERROR(__xludf.DUMMYFUNCTION("""COMPUTED_VALUE"""),"KIMME")</f>
        <v>KIMME</v>
      </c>
      <c r="L534" s="279" t="str">
        <f>IFERROR(__xludf.DUMMYFUNCTION("""COMPUTED_VALUE"""),"https://www.tiktok.com/@iciiiiss_/video/7621522121285520661?is_from_webapp=1&amp;sender_device=pc")</f>
        <v>https://www.tiktok.com/@iciiiiss_/video/7621522121285520661?is_from_webapp=1&amp;sender_device=pc</v>
      </c>
      <c r="M534" s="464" t="str">
        <f>IFERROR(__xludf.DUMMYFUNCTION("""COMPUTED_VALUE"""),"KIMME")</f>
        <v>KIMME</v>
      </c>
      <c r="N534" s="279" t="str">
        <f>IFERROR(__xludf.DUMMYFUNCTION("""COMPUTED_VALUE"""),"https://www.tiktok.com/@iciiiiss_/video/7621528595717967124?is_from_webapp=1&amp;sender_device=pc")</f>
        <v>https://www.tiktok.com/@iciiiiss_/video/7621528595717967124?is_from_webapp=1&amp;sender_device=pc</v>
      </c>
      <c r="O534" s="464"/>
      <c r="P534" s="279" t="str">
        <f>IFERROR(__xludf.DUMMYFUNCTION("""COMPUTED_VALUE"""),"https://vt.tiktok.com/ZS9GTckCP/")</f>
        <v>https://vt.tiktok.com/ZS9GTckCP/</v>
      </c>
    </row>
    <row r="535">
      <c r="A535" s="255" t="str">
        <f>IFERROR(__xludf.DUMMYFUNCTION("""COMPUTED_VALUE"""),"MICRO")</f>
        <v>MICRO</v>
      </c>
      <c r="B535" s="361" t="str">
        <f>IFERROR(__xludf.DUMMYFUNCTION("""COMPUTED_VALUE"""),"tesazakia")</f>
        <v>tesazakia</v>
      </c>
      <c r="C535" s="257" t="str">
        <f>IFERROR(__xludf.DUMMYFUNCTION("""COMPUTED_VALUE"""),"https://www.tiktok.com/@tesazakia")</f>
        <v>https://www.tiktok.com/@tesazakia</v>
      </c>
      <c r="D535" s="270">
        <f>IFERROR(__xludf.DUMMYFUNCTION("""COMPUTED_VALUE"""),8.523051969E10)</f>
        <v>85230519690</v>
      </c>
      <c r="E535" s="457">
        <f>IFERROR(__xludf.DUMMYFUNCTION("""COMPUTED_VALUE"""),250000.0)</f>
        <v>250000</v>
      </c>
      <c r="F535" s="270">
        <f>IFERROR(__xludf.DUMMYFUNCTION("""COMPUTED_VALUE"""),1.0)</f>
        <v>1</v>
      </c>
      <c r="G535" s="17" t="str">
        <f>IFERROR(__xludf.DUMMYFUNCTION("""COMPUTED_VALUE"""),"Sabun batang 1 Box ( 2 PCS )")</f>
        <v>Sabun batang 1 Box ( 2 PCS )</v>
      </c>
      <c r="H535" s="463" t="str">
        <f>IFERROR(__xludf.DUMMYFUNCTION("""COMPUTED_VALUE"""),"Sampai")</f>
        <v>Sampai</v>
      </c>
      <c r="I535" s="464" t="str">
        <f>IFERROR(__xludf.DUMMYFUNCTION("""COMPUTED_VALUE"""),"KIMME")</f>
        <v>KIMME</v>
      </c>
      <c r="J535" s="279" t="str">
        <f>IFERROR(__xludf.DUMMYFUNCTION("""COMPUTED_VALUE"""),"https://vt.tiktok.com/ZSH5ofDBw/")</f>
        <v>https://vt.tiktok.com/ZSH5ofDBw/</v>
      </c>
      <c r="K535" s="464" t="str">
        <f>IFERROR(__xludf.DUMMYFUNCTION("""COMPUTED_VALUE"""),"KIMME")</f>
        <v>KIMME</v>
      </c>
      <c r="L535" s="279" t="str">
        <f>IFERROR(__xludf.DUMMYFUNCTION("""COMPUTED_VALUE"""),"https://vt.tiktok.com/ZS9Gwj1Ks/")</f>
        <v>https://vt.tiktok.com/ZS9Gwj1Ks/</v>
      </c>
      <c r="M535" s="464"/>
      <c r="N535" s="279" t="str">
        <f>IFERROR(__xludf.DUMMYFUNCTION("""COMPUTED_VALUE"""),"https://vt.tiktok.com/ZS9GTTtDL/")</f>
        <v>https://vt.tiktok.com/ZS9GTTtDL/</v>
      </c>
      <c r="O535" s="464"/>
      <c r="P535" s="279" t="str">
        <f>IFERROR(__xludf.DUMMYFUNCTION("""COMPUTED_VALUE"""),"https://vt.tiktok.com/ZS9GTwUrP/")</f>
        <v>https://vt.tiktok.com/ZS9GTwUrP/</v>
      </c>
    </row>
    <row r="536">
      <c r="A536" s="255" t="str">
        <f>IFERROR(__xludf.DUMMYFUNCTION("""COMPUTED_VALUE"""),"MICRO")</f>
        <v>MICRO</v>
      </c>
      <c r="B536" s="361" t="str">
        <f>IFERROR(__xludf.DUMMYFUNCTION("""COMPUTED_VALUE"""),"helensthg")</f>
        <v>helensthg</v>
      </c>
      <c r="C536" s="257" t="str">
        <f>IFERROR(__xludf.DUMMYFUNCTION("""COMPUTED_VALUE"""),"https://www.tiktok.com/@helensthg")</f>
        <v>https://www.tiktok.com/@helensthg</v>
      </c>
      <c r="D536" s="270">
        <f>IFERROR(__xludf.DUMMYFUNCTION("""COMPUTED_VALUE"""),8.5277284498E10)</f>
        <v>85277284498</v>
      </c>
      <c r="E536" s="457">
        <f>IFERROR(__xludf.DUMMYFUNCTION("""COMPUTED_VALUE"""),100000.0)</f>
        <v>100000</v>
      </c>
      <c r="F536" s="270">
        <f>IFERROR(__xludf.DUMMYFUNCTION("""COMPUTED_VALUE"""),2.0)</f>
        <v>2</v>
      </c>
      <c r="G536" s="17" t="str">
        <f>IFERROR(__xludf.DUMMYFUNCTION("""COMPUTED_VALUE"""),"Sabun batang 1 Box ( 2 PCS )")</f>
        <v>Sabun batang 1 Box ( 2 PCS )</v>
      </c>
      <c r="H536" s="463" t="str">
        <f>IFERROR(__xludf.DUMMYFUNCTION("""COMPUTED_VALUE"""),"Sampai")</f>
        <v>Sampai</v>
      </c>
      <c r="I536" s="464" t="str">
        <f>IFERROR(__xludf.DUMMYFUNCTION("""COMPUTED_VALUE"""),"KIMME")</f>
        <v>KIMME</v>
      </c>
      <c r="J536" s="279" t="str">
        <f>IFERROR(__xludf.DUMMYFUNCTION("""COMPUTED_VALUE"""),"https://vt.tiktok.com/ZSHbCvd29/")</f>
        <v>https://vt.tiktok.com/ZSHbCvd29/</v>
      </c>
      <c r="K536" s="464" t="str">
        <f>IFERROR(__xludf.DUMMYFUNCTION("""COMPUTED_VALUE"""),"KIMME")</f>
        <v>KIMME</v>
      </c>
      <c r="L536" s="279" t="str">
        <f>IFERROR(__xludf.DUMMYFUNCTION("""COMPUTED_VALUE"""),"https://vt.tiktok.com/ZSHGLqPxw/")</f>
        <v>https://vt.tiktok.com/ZSHGLqPxw/</v>
      </c>
      <c r="M536" s="464"/>
      <c r="N536" s="279" t="str">
        <f>IFERROR(__xludf.DUMMYFUNCTION("""COMPUTED_VALUE"""),"https://vt.tiktok.com/ZS9GTKeru/")</f>
        <v>https://vt.tiktok.com/ZS9GTKeru/</v>
      </c>
      <c r="O536" s="464"/>
      <c r="P536" s="279" t="str">
        <f>IFERROR(__xludf.DUMMYFUNCTION("""COMPUTED_VALUE"""),"https://vt.tiktok.com/ZS9GTKxXJ/")</f>
        <v>https://vt.tiktok.com/ZS9GTKxXJ/</v>
      </c>
    </row>
    <row r="537">
      <c r="A537" s="255" t="str">
        <f>IFERROR(__xludf.DUMMYFUNCTION("""COMPUTED_VALUE"""),"MICRO")</f>
        <v>MICRO</v>
      </c>
      <c r="B537" s="361" t="str">
        <f>IFERROR(__xludf.DUMMYFUNCTION("""COMPUTED_VALUE"""),"yuniwahdini")</f>
        <v>yuniwahdini</v>
      </c>
      <c r="C537" s="257" t="str">
        <f>IFERROR(__xludf.DUMMYFUNCTION("""COMPUTED_VALUE"""),"https://www.tiktok.com/@yuniwahdini")</f>
        <v>https://www.tiktok.com/@yuniwahdini</v>
      </c>
      <c r="D537" s="270">
        <f>IFERROR(__xludf.DUMMYFUNCTION("""COMPUTED_VALUE"""),8.9516161836E10)</f>
        <v>89516161836</v>
      </c>
      <c r="E537" s="457">
        <f>IFERROR(__xludf.DUMMYFUNCTION("""COMPUTED_VALUE"""),150000.0)</f>
        <v>150000</v>
      </c>
      <c r="F537" s="270">
        <f>IFERROR(__xludf.DUMMYFUNCTION("""COMPUTED_VALUE"""),1.0)</f>
        <v>1</v>
      </c>
      <c r="G537" s="17" t="str">
        <f>IFERROR(__xludf.DUMMYFUNCTION("""COMPUTED_VALUE"""),"Sabun batang 1 Box ( 2 PCS )")</f>
        <v>Sabun batang 1 Box ( 2 PCS )</v>
      </c>
      <c r="H537" s="463" t="str">
        <f>IFERROR(__xludf.DUMMYFUNCTION("""COMPUTED_VALUE"""),"Sampai")</f>
        <v>Sampai</v>
      </c>
      <c r="I537" s="464" t="str">
        <f>IFERROR(__xludf.DUMMYFUNCTION("""COMPUTED_VALUE"""),"KIMME")</f>
        <v>KIMME</v>
      </c>
      <c r="J537" s="279" t="str">
        <f>IFERROR(__xludf.DUMMYFUNCTION("""COMPUTED_VALUE"""),"https://www.tiktok.com/@yuniwahdini/video/7628105372401667349?is_from_webapp=1&amp;sender_device=pc")</f>
        <v>https://www.tiktok.com/@yuniwahdini/video/7628105372401667349?is_from_webapp=1&amp;sender_device=pc</v>
      </c>
      <c r="K537" s="464" t="str">
        <f>IFERROR(__xludf.DUMMYFUNCTION("""COMPUTED_VALUE"""),"KIMME")</f>
        <v>KIMME</v>
      </c>
      <c r="L537" s="279" t="str">
        <f>IFERROR(__xludf.DUMMYFUNCTION("""COMPUTED_VALUE"""),"https://vt.tiktok.com/ZSHbqKcgC/")</f>
        <v>https://vt.tiktok.com/ZSHbqKcgC/</v>
      </c>
      <c r="M537" s="464"/>
      <c r="N537" s="279" t="str">
        <f>IFERROR(__xludf.DUMMYFUNCTION("""COMPUTED_VALUE"""),"https://vt.tiktok.com/ZS9GwBj93/")</f>
        <v>https://vt.tiktok.com/ZS9GwBj93/</v>
      </c>
      <c r="O537" s="464"/>
      <c r="P537" s="279" t="str">
        <f>IFERROR(__xludf.DUMMYFUNCTION("""COMPUTED_VALUE"""),"https://vt.tiktok.com/ZS9GTQ6Lj/")</f>
        <v>https://vt.tiktok.com/ZS9GTQ6Lj/</v>
      </c>
    </row>
    <row r="538">
      <c r="A538" s="255" t="str">
        <f>IFERROR(__xludf.DUMMYFUNCTION("""COMPUTED_VALUE"""),"MICRO")</f>
        <v>MICRO</v>
      </c>
      <c r="B538" s="361" t="str">
        <f>IFERROR(__xludf.DUMMYFUNCTION("""COMPUTED_VALUE"""),"anita11114")</f>
        <v>anita11114</v>
      </c>
      <c r="C538" s="257" t="str">
        <f>IFERROR(__xludf.DUMMYFUNCTION("""COMPUTED_VALUE"""),"https://www.tiktok.com/@anita11114")</f>
        <v>https://www.tiktok.com/@anita11114</v>
      </c>
      <c r="D538" s="270">
        <f>IFERROR(__xludf.DUMMYFUNCTION("""COMPUTED_VALUE"""),8.5640274813E10)</f>
        <v>85640274813</v>
      </c>
      <c r="E538" s="457">
        <f>IFERROR(__xludf.DUMMYFUNCTION("""COMPUTED_VALUE"""),0.0)</f>
        <v>0</v>
      </c>
      <c r="F538" s="270">
        <f>IFERROR(__xludf.DUMMYFUNCTION("""COMPUTED_VALUE"""),1.0)</f>
        <v>1</v>
      </c>
      <c r="G538" s="17" t="str">
        <f>IFERROR(__xludf.DUMMYFUNCTION("""COMPUTED_VALUE"""),"Sabun batang 1 Box ( 2 PCS )")</f>
        <v>Sabun batang 1 Box ( 2 PCS )</v>
      </c>
      <c r="H538" s="463" t="str">
        <f>IFERROR(__xludf.DUMMYFUNCTION("""COMPUTED_VALUE"""),"Sampai")</f>
        <v>Sampai</v>
      </c>
      <c r="I538" s="464" t="str">
        <f>IFERROR(__xludf.DUMMYFUNCTION("""COMPUTED_VALUE"""),"KIMME")</f>
        <v>KIMME</v>
      </c>
      <c r="J538" s="17" t="str">
        <f>IFERROR(__xludf.DUMMYFUNCTION("""COMPUTED_VALUE"""),"⁠https://vt.tiktok.com/ZS98CmsE5/")</f>
        <v>⁠https://vt.tiktok.com/ZS98CmsE5/</v>
      </c>
      <c r="K538" s="464" t="str">
        <f>IFERROR(__xludf.DUMMYFUNCTION("""COMPUTED_VALUE"""),"KIMME")</f>
        <v>KIMME</v>
      </c>
      <c r="L538" s="279" t="str">
        <f>IFERROR(__xludf.DUMMYFUNCTION("""COMPUTED_VALUE"""),"https://vt.tiktok.com/ZS9GT4bjE/")</f>
        <v>https://vt.tiktok.com/ZS9GT4bjE/</v>
      </c>
      <c r="M538" s="464"/>
      <c r="N538" s="279" t="str">
        <f>IFERROR(__xludf.DUMMYFUNCTION("""COMPUTED_VALUE"""),"https://vt.tiktok.com/ZS9GTbTcf/")</f>
        <v>https://vt.tiktok.com/ZS9GTbTcf/</v>
      </c>
      <c r="O538" s="464"/>
      <c r="P538" s="279" t="str">
        <f>IFERROR(__xludf.DUMMYFUNCTION("""COMPUTED_VALUE"""),"https://vt.tiktok.com/ZS9GTajLP/")</f>
        <v>https://vt.tiktok.com/ZS9GTajLP/</v>
      </c>
    </row>
    <row r="539">
      <c r="A539" s="255" t="str">
        <f>IFERROR(__xludf.DUMMYFUNCTION("""COMPUTED_VALUE"""),"MICRO")</f>
        <v>MICRO</v>
      </c>
      <c r="B539" s="361" t="str">
        <f>IFERROR(__xludf.DUMMYFUNCTION("""COMPUTED_VALUE"""),"sdlptr")</f>
        <v>sdlptr</v>
      </c>
      <c r="C539" s="257" t="str">
        <f>IFERROR(__xludf.DUMMYFUNCTION("""COMPUTED_VALUE"""),"https://www.tiktok.com/@sdlptr")</f>
        <v>https://www.tiktok.com/@sdlptr</v>
      </c>
      <c r="D539" s="270">
        <f>IFERROR(__xludf.DUMMYFUNCTION("""COMPUTED_VALUE"""),8.9659321773E10)</f>
        <v>89659321773</v>
      </c>
      <c r="E539" s="457">
        <f>IFERROR(__xludf.DUMMYFUNCTION("""COMPUTED_VALUE"""),0.0)</f>
        <v>0</v>
      </c>
      <c r="F539" s="270">
        <f>IFERROR(__xludf.DUMMYFUNCTION("""COMPUTED_VALUE"""),1.0)</f>
        <v>1</v>
      </c>
      <c r="G539" s="17" t="str">
        <f>IFERROR(__xludf.DUMMYFUNCTION("""COMPUTED_VALUE"""),"Sabun batang 1 Box ( 2 PCS )")</f>
        <v>Sabun batang 1 Box ( 2 PCS )</v>
      </c>
      <c r="H539" s="463" t="str">
        <f>IFERROR(__xludf.DUMMYFUNCTION("""COMPUTED_VALUE"""),"Sampai")</f>
        <v>Sampai</v>
      </c>
      <c r="I539" s="464" t="str">
        <f>IFERROR(__xludf.DUMMYFUNCTION("""COMPUTED_VALUE"""),"KIMME")</f>
        <v>KIMME</v>
      </c>
      <c r="J539" s="279" t="str">
        <f>IFERROR(__xludf.DUMMYFUNCTION("""COMPUTED_VALUE"""),"https://www.tiktok.com/@sdlptr/video/7611627835370818834")</f>
        <v>https://www.tiktok.com/@sdlptr/video/7611627835370818834</v>
      </c>
      <c r="K539" s="464" t="str">
        <f>IFERROR(__xludf.DUMMYFUNCTION("""COMPUTED_VALUE"""),"KIMME")</f>
        <v>KIMME</v>
      </c>
      <c r="L539" s="279" t="str">
        <f>IFERROR(__xludf.DUMMYFUNCTION("""COMPUTED_VALUE"""),"https://vt.tiktok.com/ZS9GT5Ju6/")</f>
        <v>https://vt.tiktok.com/ZS9GT5Ju6/</v>
      </c>
      <c r="M539" s="464"/>
      <c r="N539" s="279" t="str">
        <f>IFERROR(__xludf.DUMMYFUNCTION("""COMPUTED_VALUE"""),"https://vt.tiktok.com/ZS9GTUKxp/")</f>
        <v>https://vt.tiktok.com/ZS9GTUKxp/</v>
      </c>
      <c r="O539" s="464"/>
      <c r="P539" s="279" t="str">
        <f>IFERROR(__xludf.DUMMYFUNCTION("""COMPUTED_VALUE"""),"https://vt.tiktok.com/ZS9GTtatN/")</f>
        <v>https://vt.tiktok.com/ZS9GTtatN/</v>
      </c>
    </row>
    <row r="540">
      <c r="A540" s="255" t="str">
        <f>IFERROR(__xludf.DUMMYFUNCTION("""COMPUTED_VALUE"""),"MICRO")</f>
        <v>MICRO</v>
      </c>
      <c r="B540" s="361" t="str">
        <f>IFERROR(__xludf.DUMMYFUNCTION("""COMPUTED_VALUE"""),"hellogirl.y")</f>
        <v>hellogirl.y</v>
      </c>
      <c r="C540" s="257" t="str">
        <f>IFERROR(__xludf.DUMMYFUNCTION("""COMPUTED_VALUE"""),"https://www.tiktok.com/@hellogirl.y")</f>
        <v>https://www.tiktok.com/@hellogirl.y</v>
      </c>
      <c r="D540" s="270">
        <f>IFERROR(__xludf.DUMMYFUNCTION("""COMPUTED_VALUE"""),8.9659321773E10)</f>
        <v>89659321773</v>
      </c>
      <c r="E540" s="457">
        <f>IFERROR(__xludf.DUMMYFUNCTION("""COMPUTED_VALUE"""),0.0)</f>
        <v>0</v>
      </c>
      <c r="F540" s="270">
        <f>IFERROR(__xludf.DUMMYFUNCTION("""COMPUTED_VALUE"""),4.0)</f>
        <v>4</v>
      </c>
      <c r="G540" s="17" t="str">
        <f>IFERROR(__xludf.DUMMYFUNCTION("""COMPUTED_VALUE"""),"Sabun batang 1 Box ( 2 PCS )")</f>
        <v>Sabun batang 1 Box ( 2 PCS )</v>
      </c>
      <c r="H540" s="463" t="str">
        <f>IFERROR(__xludf.DUMMYFUNCTION("""COMPUTED_VALUE"""),"Sampai")</f>
        <v>Sampai</v>
      </c>
      <c r="I540" s="464" t="str">
        <f>IFERROR(__xludf.DUMMYFUNCTION("""COMPUTED_VALUE"""),"KIMME")</f>
        <v>KIMME</v>
      </c>
      <c r="J540" s="279" t="str">
        <f>IFERROR(__xludf.DUMMYFUNCTION("""COMPUTED_VALUE"""),"https://www.tiktok.com/@hellogirl.y/video/7631617414504992018")</f>
        <v>https://www.tiktok.com/@hellogirl.y/video/7631617414504992018</v>
      </c>
      <c r="K540" s="464" t="str">
        <f>IFERROR(__xludf.DUMMYFUNCTION("""COMPUTED_VALUE"""),"KIMME")</f>
        <v>KIMME</v>
      </c>
      <c r="L540" s="279" t="str">
        <f>IFERROR(__xludf.DUMMYFUNCTION("""COMPUTED_VALUE"""),"https://www.tiktok.com/@hellogirl.y/video/7614441931816373522")</f>
        <v>https://www.tiktok.com/@hellogirl.y/video/7614441931816373522</v>
      </c>
      <c r="M540" s="464"/>
      <c r="N540" s="279" t="str">
        <f>IFERROR(__xludf.DUMMYFUNCTION("""COMPUTED_VALUE"""),"https://www.tiktok.com/@hellogirl.y/video/7613921904625192210")</f>
        <v>https://www.tiktok.com/@hellogirl.y/video/7613921904625192210</v>
      </c>
      <c r="O540" s="464"/>
      <c r="P540" s="279" t="str">
        <f>IFERROR(__xludf.DUMMYFUNCTION("""COMPUTED_VALUE"""),"https://www.tiktok.com/@hellogirl.y/video/7613693000681671944")</f>
        <v>https://www.tiktok.com/@hellogirl.y/video/7613693000681671944</v>
      </c>
    </row>
    <row r="541">
      <c r="A541" s="255" t="str">
        <f>IFERROR(__xludf.DUMMYFUNCTION("""COMPUTED_VALUE"""),"MICRO")</f>
        <v>MICRO</v>
      </c>
      <c r="B541" s="361" t="str">
        <f>IFERROR(__xludf.DUMMYFUNCTION("""COMPUTED_VALUE"""),"_cilme")</f>
        <v>_cilme</v>
      </c>
      <c r="C541" s="257" t="str">
        <f>IFERROR(__xludf.DUMMYFUNCTION("""COMPUTED_VALUE"""),"https://www.tiktok.com/@_cilme")</f>
        <v>https://www.tiktok.com/@_cilme</v>
      </c>
      <c r="D541" s="270">
        <f>IFERROR(__xludf.DUMMYFUNCTION("""COMPUTED_VALUE"""),8.2328099631E10)</f>
        <v>82328099631</v>
      </c>
      <c r="E541" s="457">
        <f>IFERROR(__xludf.DUMMYFUNCTION("""COMPUTED_VALUE"""),0.0)</f>
        <v>0</v>
      </c>
      <c r="F541" s="270">
        <f>IFERROR(__xludf.DUMMYFUNCTION("""COMPUTED_VALUE"""),4.0)</f>
        <v>4</v>
      </c>
      <c r="G541" s="17" t="str">
        <f>IFERROR(__xludf.DUMMYFUNCTION("""COMPUTED_VALUE"""),"Sabun batang 1 Box ( 2 PCS )")</f>
        <v>Sabun batang 1 Box ( 2 PCS )</v>
      </c>
      <c r="H541" s="463" t="str">
        <f>IFERROR(__xludf.DUMMYFUNCTION("""COMPUTED_VALUE"""),"Sampai")</f>
        <v>Sampai</v>
      </c>
      <c r="I541" s="464" t="str">
        <f>IFERROR(__xludf.DUMMYFUNCTION("""COMPUTED_VALUE"""),"KIMME")</f>
        <v>KIMME</v>
      </c>
      <c r="J541" s="279" t="str">
        <f>IFERROR(__xludf.DUMMYFUNCTION("""COMPUTED_VALUE"""),"https://vt.tiktok.com/ZS9GTaxv7/")</f>
        <v>https://vt.tiktok.com/ZS9GTaxv7/</v>
      </c>
      <c r="K541" s="464" t="str">
        <f>IFERROR(__xludf.DUMMYFUNCTION("""COMPUTED_VALUE"""),"KIMME")</f>
        <v>KIMME</v>
      </c>
      <c r="L541" s="279" t="str">
        <f>IFERROR(__xludf.DUMMYFUNCTION("""COMPUTED_VALUE"""),"https://vt.tiktok.com/ZS9GTfUkQ/")</f>
        <v>https://vt.tiktok.com/ZS9GTfUkQ/</v>
      </c>
      <c r="M541" s="464"/>
      <c r="N541" s="279" t="str">
        <f>IFERROR(__xludf.DUMMYFUNCTION("""COMPUTED_VALUE"""),"https://vt.tiktok.com/ZS9GTH9nq/")</f>
        <v>https://vt.tiktok.com/ZS9GTH9nq/</v>
      </c>
      <c r="O541" s="464"/>
      <c r="P541" s="279" t="str">
        <f>IFERROR(__xludf.DUMMYFUNCTION("""COMPUTED_VALUE"""),"https://vt.tiktok.com/ZS9GTXMS3/")</f>
        <v>https://vt.tiktok.com/ZS9GTXMS3/</v>
      </c>
    </row>
    <row r="542">
      <c r="A542" s="255" t="str">
        <f>IFERROR(__xludf.DUMMYFUNCTION("""COMPUTED_VALUE"""),"MICRO")</f>
        <v>MICRO</v>
      </c>
      <c r="B542" s="361" t="str">
        <f>IFERROR(__xludf.DUMMYFUNCTION("""COMPUTED_VALUE"""),"liasarasw")</f>
        <v>liasarasw</v>
      </c>
      <c r="C542" s="257" t="str">
        <f>IFERROR(__xludf.DUMMYFUNCTION("""COMPUTED_VALUE"""),"https://www.tiktok.com/@liasarasw")</f>
        <v>https://www.tiktok.com/@liasarasw</v>
      </c>
      <c r="D542" s="270">
        <f>IFERROR(__xludf.DUMMYFUNCTION("""COMPUTED_VALUE"""),8.1392441651E10)</f>
        <v>81392441651</v>
      </c>
      <c r="E542" s="457">
        <f>IFERROR(__xludf.DUMMYFUNCTION("""COMPUTED_VALUE"""),100000.0)</f>
        <v>100000</v>
      </c>
      <c r="F542" s="270">
        <f>IFERROR(__xludf.DUMMYFUNCTION("""COMPUTED_VALUE"""),1.0)</f>
        <v>1</v>
      </c>
      <c r="G542" s="17" t="str">
        <f>IFERROR(__xludf.DUMMYFUNCTION("""COMPUTED_VALUE"""),"Sabun batang 1 Box ( 2 PCS )")</f>
        <v>Sabun batang 1 Box ( 2 PCS )</v>
      </c>
      <c r="H542" s="463" t="str">
        <f>IFERROR(__xludf.DUMMYFUNCTION("""COMPUTED_VALUE"""),"Sampai")</f>
        <v>Sampai</v>
      </c>
      <c r="I542" s="464" t="str">
        <f>IFERROR(__xludf.DUMMYFUNCTION("""COMPUTED_VALUE"""),"KIMME")</f>
        <v>KIMME</v>
      </c>
      <c r="J542" s="279" t="str">
        <f>IFERROR(__xludf.DUMMYFUNCTION("""COMPUTED_VALUE"""),"https://www.tiktok.com/@liasarasw/video/7624814372870802706?_r=1&amp;u_code=dcbi44hhdi447l&amp;region=&amp;mid=7624814404520987393&amp;preview_pb=0&amp;sharer_language=&amp;_d=0&amp;ec_shared_reflux_dynamic_params=%7B%22placeholder_material_id%22%3A%227624814372870802706%22%2C%22pla"&amp;"ceholder_origin_cover%22%3A%22https%253A%252F%252Fp16-sign-sg.tiktokcdn.com%252Ftos-alisg-p-0037%252Fo4IaQdy8iPCiD5BIA7xVAEB3IYnDAK4M4EIsV~tplv-tiktokx-origin.jpeg%253Fdr%253D14572%2526refresh_token%253Dd51faf3b%2526x-expires%253D1807070400%2526x-signatur"&amp;"e%253D9CyhGcuW%25252BsnLsMQ%25252BO11ZlCU%25252ByUk%25253D%2526t%253D4d5b0474%2526ps%253D13740610%2526shp%253Dd05b14bd%2526shcp%253D34ff8df6%2526idc%253Dmy2%2526s%253DTIKTOK_AFFILIATE_VIRAL_VIDEO%22%2C%22placeholder_product_id%22%3A%221729427766722726591%"&amp;"22%2C%22placeholder_video_id%22%3A%227624814372870802706%22%7D&amp;ec_shared_reflux_scene=shop_tab_feed&amp;share_item_id=7624814372870802706&amp;source=h5_t")</f>
        <v>https://www.tiktok.com/@liasarasw/video/7624814372870802706?_r=1&amp;u_code=dcbi44hhdi447l&amp;region=&amp;mid=7624814404520987393&amp;preview_pb=0&amp;sharer_language=&amp;_d=0&amp;ec_shared_reflux_dynamic_params=%7B%22placeholder_material_id%22%3A%227624814372870802706%22%2C%22placeholder_origin_cover%22%3A%22https%253A%252F%252Fp16-sign-sg.tiktokcdn.com%252Ftos-alisg-p-0037%252Fo4IaQdy8iPCiD5BIA7xVAEB3IYnDAK4M4EIsV~tplv-tiktokx-origin.jpeg%253Fdr%253D14572%2526refresh_token%253Dd51faf3b%2526x-expires%253D1807070400%2526x-signature%253D9CyhGcuW%25252BsnLsMQ%25252BO11ZlCU%25252ByUk%25253D%2526t%253D4d5b0474%2526ps%253D13740610%2526shp%253Dd05b14bd%2526shcp%253D34ff8df6%2526idc%253Dmy2%2526s%253DTIKTOK_AFFILIATE_VIRAL_VIDEO%22%2C%22placeholder_product_id%22%3A%221729427766722726591%22%2C%22placeholder_video_id%22%3A%227624814372870802706%22%7D&amp;ec_shared_reflux_scene=shop_tab_feed&amp;share_item_id=7624814372870802706&amp;source=h5_t</v>
      </c>
      <c r="K542" s="464" t="str">
        <f>IFERROR(__xludf.DUMMYFUNCTION("""COMPUTED_VALUE"""),"KIMME")</f>
        <v>KIMME</v>
      </c>
      <c r="L542" s="279" t="str">
        <f>IFERROR(__xludf.DUMMYFUNCTION("""COMPUTED_VALUE"""),"https://vt.tiktok.com/ZS9GTjn4t/")</f>
        <v>https://vt.tiktok.com/ZS9GTjn4t/</v>
      </c>
      <c r="M542" s="464"/>
      <c r="N542" s="279" t="str">
        <f>IFERROR(__xludf.DUMMYFUNCTION("""COMPUTED_VALUE"""),"https://vt.tiktok.com/ZS9GTjn4t/")</f>
        <v>https://vt.tiktok.com/ZS9GTjn4t/</v>
      </c>
      <c r="O542" s="464"/>
      <c r="P542" s="279" t="str">
        <f>IFERROR(__xludf.DUMMYFUNCTION("""COMPUTED_VALUE"""),"https://vt.tiktok.com/ZS9GTYWP5/")</f>
        <v>https://vt.tiktok.com/ZS9GTYWP5/</v>
      </c>
    </row>
    <row r="543">
      <c r="A543" s="255" t="str">
        <f>IFERROR(__xludf.DUMMYFUNCTION("""COMPUTED_VALUE"""),"MICRO")</f>
        <v>MICRO</v>
      </c>
      <c r="B543" s="361" t="str">
        <f>IFERROR(__xludf.DUMMYFUNCTION("""COMPUTED_VALUE"""),"bnsnyrm")</f>
        <v>bnsnyrm</v>
      </c>
      <c r="C543" s="257" t="str">
        <f>IFERROR(__xludf.DUMMYFUNCTION("""COMPUTED_VALUE"""),"https://www.tiktok.com/@lilis_sfr/video/7628824651287760148")</f>
        <v>https://www.tiktok.com/@lilis_sfr/video/7628824651287760148</v>
      </c>
      <c r="D543" s="270">
        <f>IFERROR(__xludf.DUMMYFUNCTION("""COMPUTED_VALUE"""),8.5700443076E10)</f>
        <v>85700443076</v>
      </c>
      <c r="E543" s="457">
        <f>IFERROR(__xludf.DUMMYFUNCTION("""COMPUTED_VALUE"""),100000.0)</f>
        <v>100000</v>
      </c>
      <c r="F543" s="270">
        <f>IFERROR(__xludf.DUMMYFUNCTION("""COMPUTED_VALUE"""),1.0)</f>
        <v>1</v>
      </c>
      <c r="G543" s="17" t="str">
        <f>IFERROR(__xludf.DUMMYFUNCTION("""COMPUTED_VALUE"""),"Sabun batang 1 Box ( 2 PCS )")</f>
        <v>Sabun batang 1 Box ( 2 PCS )</v>
      </c>
      <c r="H543" s="463" t="str">
        <f>IFERROR(__xludf.DUMMYFUNCTION("""COMPUTED_VALUE"""),"Sampai")</f>
        <v>Sampai</v>
      </c>
      <c r="I543" s="464" t="str">
        <f>IFERROR(__xludf.DUMMYFUNCTION("""COMPUTED_VALUE"""),"KIMME")</f>
        <v>KIMME</v>
      </c>
      <c r="J543" s="279" t="str">
        <f>IFERROR(__xludf.DUMMYFUNCTION("""COMPUTED_VALUE"""),"https://www.tiktok.com/@bnsnyrm/video/7631782635001433365?_r=1&amp;u_code=63kci5e0k22g6&amp;region=&amp;mid=7618195374062652168&amp;preview_pb=0&amp;sharer_language=&amp;_d=0&amp;ec_shared_reflux_dynamic_params=%7B%22placeholder_material_id%22%3A%227631782635001433365%22%2C%22placeh"&amp;"older_origin_cover%22%3A%22https%253A%252F%252Fp16-common-sign.tiktokcdn.com%252Ftos-alisg-p-0037%252FocBfgGAvdCeVfGTAw4RpIdAi4yErY4WFwe9nDT~tplv-tiktokx-origin.jpeg%253Fdr%253D14572%2526refresh_token%253Ddd60047e%2526x-expires%253D1808474400%2526x-signat"&amp;"ure%253DS1VquVxCkERsgm5J5Wu3n84HUTw%25253D%2526t%253D4d5b0474%2526ps%253D13740610%2526shp%253Dd05b14bd%2526shcp%253D34ff8df6%2526idc%253Dmy3%2526s%253DTIKTOK_AFFILIATE_VIRAL_VIDEO%22%2C%22placeholder_product_id%22%3A%221729427766722726591%22%2C%22placehol"&amp;"der_video_id%22%3A%227631782635001433365%22%7D&amp;ec_shared_reflux_scene=shop_tab_feed&amp;share_item_id=7631782635001433365&amp;source=h5_t")</f>
        <v>https://www.tiktok.com/@bnsnyrm/video/7631782635001433365?_r=1&amp;u_code=63kci5e0k22g6&amp;region=&amp;mid=7618195374062652168&amp;preview_pb=0&amp;sharer_language=&amp;_d=0&amp;ec_shared_reflux_dynamic_params=%7B%22placeholder_material_id%22%3A%227631782635001433365%22%2C%22placeholder_origin_cover%22%3A%22https%253A%252F%252Fp16-common-sign.tiktokcdn.com%252Ftos-alisg-p-0037%252FocBfgGAvdCeVfGTAw4RpIdAi4yErY4WFwe9nDT~tplv-tiktokx-origin.jpeg%253Fdr%253D14572%2526refresh_token%253Ddd60047e%2526x-expires%253D1808474400%2526x-signature%253DS1VquVxCkERsgm5J5Wu3n84HUTw%25253D%2526t%253D4d5b0474%2526ps%253D13740610%2526shp%253Dd05b14bd%2526shcp%253D34ff8df6%2526idc%253Dmy3%2526s%253DTIKTOK_AFFILIATE_VIRAL_VIDEO%22%2C%22placeholder_product_id%22%3A%221729427766722726591%22%2C%22placeholder_video_id%22%3A%227631782635001433365%22%7D&amp;ec_shared_reflux_scene=shop_tab_feed&amp;share_item_id=7631782635001433365&amp;source=h5_t</v>
      </c>
      <c r="K543" s="464" t="str">
        <f>IFERROR(__xludf.DUMMYFUNCTION("""COMPUTED_VALUE"""),"KIMME")</f>
        <v>KIMME</v>
      </c>
      <c r="L543" s="279" t="str">
        <f>IFERROR(__xludf.DUMMYFUNCTION("""COMPUTED_VALUE"""),"https://www.tiktok.com/@bnsnyrm/video/7631783715697478933?_r=1&amp;u_code=63kci5e0k22g6&amp;region=&amp;mid=7624067417425152775&amp;preview_pb=0&amp;sharer_language=&amp;_d=0&amp;ec_shared_reflux_dynamic_params=%7B%22placeholder_material_id%22%3A%227631783715697478933%22%2C%22placeh"&amp;"older_origin_cover%22%3A%22https%253A%252F%252Fp16-common-sign.tiktokcdn.com%252Ftos-alisg-p-0037%252FoQCIgEwBRrDIpAifpi56PYuxePBDEBFGcqRBzS~tplv-tiktokx-origin.jpeg%253Fdr%253D14572%2526refresh_token%253D51080f23%2526x-expires%253D1808474400%2526x-signat"&amp;"ure%253DvI9%25252FyxMdNdqeKUDq3TeUi1XKWRE%25253D%2526t%253D4d5b0474%2526ps%253D13740610%2526shp%253Dd05b14bd%2526shcp%253D34ff8df6%2526idc%253Dmy3%2526s%253DTIKTOK_AFFILIATE_VIRAL_VIDEO%22%2C%22placeholder_product_id%22%3A%221729427766722726591%22%2C%22pl"&amp;"aceholder_video_id%22%3A%227631783715697478933%22%7D&amp;ec_shared_reflux_scene=shop_tab_feed&amp;share_item_id=7631783715697478933&amp;source=h5_t")</f>
        <v>https://www.tiktok.com/@bnsnyrm/video/7631783715697478933?_r=1&amp;u_code=63kci5e0k22g6&amp;region=&amp;mid=7624067417425152775&amp;preview_pb=0&amp;sharer_language=&amp;_d=0&amp;ec_shared_reflux_dynamic_params=%7B%22placeholder_material_id%22%3A%227631783715697478933%22%2C%22placeholder_origin_cover%22%3A%22https%253A%252F%252Fp16-common-sign.tiktokcdn.com%252Ftos-alisg-p-0037%252FoQCIgEwBRrDIpAifpi56PYuxePBDEBFGcqRBzS~tplv-tiktokx-origin.jpeg%253Fdr%253D14572%2526refresh_token%253D51080f23%2526x-expires%253D1808474400%2526x-signature%253DvI9%25252FyxMdNdqeKUDq3TeUi1XKWRE%25253D%2526t%253D4d5b0474%2526ps%253D13740610%2526shp%253Dd05b14bd%2526shcp%253D34ff8df6%2526idc%253Dmy3%2526s%253DTIKTOK_AFFILIATE_VIRAL_VIDEO%22%2C%22placeholder_product_id%22%3A%221729427766722726591%22%2C%22placeholder_video_id%22%3A%227631783715697478933%22%7D&amp;ec_shared_reflux_scene=shop_tab_feed&amp;share_item_id=7631783715697478933&amp;source=h5_t</v>
      </c>
      <c r="M543" s="464" t="str">
        <f>IFERROR(__xludf.DUMMYFUNCTION("""COMPUTED_VALUE"""),"KIMME")</f>
        <v>KIMME</v>
      </c>
      <c r="N543" s="279" t="str">
        <f>IFERROR(__xludf.DUMMYFUNCTION("""COMPUTED_VALUE"""),"https://www.tiktok.com/@bnsnyrm/video/7631784212680428821?_r=1&amp;u_code=63kci5e0k22g6&amp;region=&amp;mid=7621630593188743956&amp;preview_pb=0&amp;sharer_language=&amp;_d=0&amp;ec_shared_reflux_dynamic_params=%7B%22placeholder_material_id%22%3A%227631784212680428821%22%2C%22placeh"&amp;"older_origin_cover%22%3A%22https%253A%252F%252Fp16-common-sign.tiktokcdn.com%252Ftos-alisg-p-0037%252Fo4tgQo4j0I0xsfGJDNALN01aQeieTzICWCZhpA~tplv-tiktokx-origin.jpeg%253Fdr%253D14572%2526refresh_token%253D006bebf9%2526x-expires%253D1808474400%2526x-signat"&amp;"ure%253DizZUFh0HUBwxt5dVHPV6gfRuha4%25253D%2526t%253D4d5b0474%2526ps%253D13740610%2526shp%253Dd05b14bd%2526shcp%253D34ff8df6%2526idc%253Dmy3%2526s%253DTIKTOK_AFFILIATE_VIRAL_VIDEO%22%2C%22placeholder_product_id%22%3A%221729427766722726591%22%2C%22placehol"&amp;"der_video_id%22%3A%227631784212680428821%22%7D&amp;ec_shared_reflux_scene=shop_tab_feed&amp;share_item_id=7631784212680428821&amp;source=h5_t")</f>
        <v>https://www.tiktok.com/@bnsnyrm/video/7631784212680428821?_r=1&amp;u_code=63kci5e0k22g6&amp;region=&amp;mid=7621630593188743956&amp;preview_pb=0&amp;sharer_language=&amp;_d=0&amp;ec_shared_reflux_dynamic_params=%7B%22placeholder_material_id%22%3A%227631784212680428821%22%2C%22placeholder_origin_cover%22%3A%22https%253A%252F%252Fp16-common-sign.tiktokcdn.com%252Ftos-alisg-p-0037%252Fo4tgQo4j0I0xsfGJDNALN01aQeieTzICWCZhpA~tplv-tiktokx-origin.jpeg%253Fdr%253D14572%2526refresh_token%253D006bebf9%2526x-expires%253D1808474400%2526x-signature%253DizZUFh0HUBwxt5dVHPV6gfRuha4%25253D%2526t%253D4d5b0474%2526ps%253D13740610%2526shp%253Dd05b14bd%2526shcp%253D34ff8df6%2526idc%253Dmy3%2526s%253DTIKTOK_AFFILIATE_VIRAL_VIDEO%22%2C%22placeholder_product_id%22%3A%221729427766722726591%22%2C%22placeholder_video_id%22%3A%227631784212680428821%22%7D&amp;ec_shared_reflux_scene=shop_tab_feed&amp;share_item_id=7631784212680428821&amp;source=h5_t</v>
      </c>
      <c r="O543" s="464" t="str">
        <f>IFERROR(__xludf.DUMMYFUNCTION("""COMPUTED_VALUE"""),"KIMME")</f>
        <v>KIMME</v>
      </c>
      <c r="P543" s="279" t="str">
        <f>IFERROR(__xludf.DUMMYFUNCTION("""COMPUTED_VALUE"""),"https://www.tiktok.com/@bnsnyrm/video/7631785933179866388?_r=1&amp;u_code=63kci5e0k22g6&amp;region=&amp;mid=7613362568048659217&amp;preview_pb=0&amp;sharer_language=&amp;_d=0&amp;ec_shared_reflux_dynamic_params=%7B%22placeholder_material_id%22%3A%227631785933179866388%22%2C%22placeh"&amp;"older_origin_cover%22%3A%22https%253A%252F%252Fp19-common-sign.tiktokcdn.com%252Ftos-alisg-p-0037%252FoQ2jOBKKTTDNXfepC5LIAkG3I0Ajlv9IIOea4x~tplv-tiktokx-origin.jpeg%253Fdr%253D14572%2526refresh_token%253D41fe6403%2526x-expires%253D1808474400%2526x-signat"&amp;"ure%253DXh6A%25252FXY0cV65edH%25252BTYkyEVZVmn4%25253D%2526t%253D4d5b0474%2526ps%253D13740610%2526shp%253Dd05b14bd%2526shcp%253D34ff8df6%2526idc%253Dmy3%2526s%253DTIKTOK_AFFILIATE_VIRAL_VIDEO%22%2C%22placeholder_product_id%22%3A%221729427766722726591%22%2"&amp;"C%22placeholder_video_id%22%3A%227631785933179866388%22%7D&amp;ec_shared_reflux_scene=shop_tab_feed&amp;share_item_id=7631785933179866388&amp;source=h5_t")</f>
        <v>https://www.tiktok.com/@bnsnyrm/video/7631785933179866388?_r=1&amp;u_code=63kci5e0k22g6&amp;region=&amp;mid=7613362568048659217&amp;preview_pb=0&amp;sharer_language=&amp;_d=0&amp;ec_shared_reflux_dynamic_params=%7B%22placeholder_material_id%22%3A%227631785933179866388%22%2C%22placeholder_origin_cover%22%3A%22https%253A%252F%252Fp19-common-sign.tiktokcdn.com%252Ftos-alisg-p-0037%252FoQ2jOBKKTTDNXfepC5LIAkG3I0Ajlv9IIOea4x~tplv-tiktokx-origin.jpeg%253Fdr%253D14572%2526refresh_token%253D41fe6403%2526x-expires%253D1808474400%2526x-signature%253DXh6A%25252FXY0cV65edH%25252BTYkyEVZVmn4%25253D%2526t%253D4d5b0474%2526ps%253D13740610%2526shp%253Dd05b14bd%2526shcp%253D34ff8df6%2526idc%253Dmy3%2526s%253DTIKTOK_AFFILIATE_VIRAL_VIDEO%22%2C%22placeholder_product_id%22%3A%221729427766722726591%22%2C%22placeholder_video_id%22%3A%227631785933179866388%22%7D&amp;ec_shared_reflux_scene=shop_tab_feed&amp;share_item_id=7631785933179866388&amp;source=h5_t</v>
      </c>
    </row>
    <row r="544">
      <c r="A544" s="255" t="str">
        <f>IFERROR(__xludf.DUMMYFUNCTION("""COMPUTED_VALUE"""),"MICRO")</f>
        <v>MICRO</v>
      </c>
      <c r="B544" s="361" t="str">
        <f>IFERROR(__xludf.DUMMYFUNCTION("""COMPUTED_VALUE"""),"snlaily")</f>
        <v>snlaily</v>
      </c>
      <c r="C544" s="257" t="str">
        <f>IFERROR(__xludf.DUMMYFUNCTION("""COMPUTED_VALUE"""),"https://www.tiktok.com/@snlaily")</f>
        <v>https://www.tiktok.com/@snlaily</v>
      </c>
      <c r="D544" s="270">
        <f>IFERROR(__xludf.DUMMYFUNCTION("""COMPUTED_VALUE"""),8.2264083489E10)</f>
        <v>82264083489</v>
      </c>
      <c r="E544" s="457">
        <f>IFERROR(__xludf.DUMMYFUNCTION("""COMPUTED_VALUE"""),0.0)</f>
        <v>0</v>
      </c>
      <c r="F544" s="270">
        <f>IFERROR(__xludf.DUMMYFUNCTION("""COMPUTED_VALUE"""),4.0)</f>
        <v>4</v>
      </c>
      <c r="G544" s="17" t="str">
        <f>IFERROR(__xludf.DUMMYFUNCTION("""COMPUTED_VALUE"""),"Sabun batang 1 Box ( 2 PCS )")</f>
        <v>Sabun batang 1 Box ( 2 PCS )</v>
      </c>
      <c r="H544" s="463" t="str">
        <f>IFERROR(__xludf.DUMMYFUNCTION("""COMPUTED_VALUE"""),"Sampai")</f>
        <v>Sampai</v>
      </c>
      <c r="I544" s="464" t="str">
        <f>IFERROR(__xludf.DUMMYFUNCTION("""COMPUTED_VALUE"""),"KIMME")</f>
        <v>KIMME</v>
      </c>
      <c r="J544" s="17" t="str">
        <f>IFERROR(__xludf.DUMMYFUNCTION("""COMPUTED_VALUE"""),"⁠https://vt.tiktok.com/ZSHdvPNqs/")</f>
        <v>⁠https://vt.tiktok.com/ZSHdvPNqs/</v>
      </c>
      <c r="K544" s="464" t="str">
        <f>IFERROR(__xludf.DUMMYFUNCTION("""COMPUTED_VALUE"""),"KIMME")</f>
        <v>KIMME</v>
      </c>
      <c r="L544" s="279" t="str">
        <f>IFERROR(__xludf.DUMMYFUNCTION("""COMPUTED_VALUE"""),"https://vt.tiktok.com/ZSHd73rfw/")</f>
        <v>https://vt.tiktok.com/ZSHd73rfw/</v>
      </c>
      <c r="M544" s="464" t="str">
        <f>IFERROR(__xludf.DUMMYFUNCTION("""COMPUTED_VALUE"""),"KIMME")</f>
        <v>KIMME</v>
      </c>
      <c r="N544" s="279" t="str">
        <f>IFERROR(__xludf.DUMMYFUNCTION("""COMPUTED_VALUE"""),"https://vt.tiktok.com/ZSHdv4hWQ/")</f>
        <v>https://vt.tiktok.com/ZSHdv4hWQ/</v>
      </c>
      <c r="O544" s="464" t="str">
        <f>IFERROR(__xludf.DUMMYFUNCTION("""COMPUTED_VALUE"""),"KIMME")</f>
        <v>KIMME</v>
      </c>
      <c r="P544" s="17" t="str">
        <f>IFERROR(__xludf.DUMMYFUNCTION("""COMPUTED_VALUE"""),"⁠https://vt.tiktok.com/ZSHdvmyK6/")</f>
        <v>⁠https://vt.tiktok.com/ZSHdvmyK6/</v>
      </c>
    </row>
    <row r="545">
      <c r="A545" s="255" t="str">
        <f>IFERROR(__xludf.DUMMYFUNCTION("""COMPUTED_VALUE"""),"MICRO")</f>
        <v>MICRO</v>
      </c>
      <c r="B545" s="361" t="str">
        <f>IFERROR(__xludf.DUMMYFUNCTION("""COMPUTED_VALUE"""),"yunisecond")</f>
        <v>yunisecond</v>
      </c>
      <c r="C545" s="257" t="str">
        <f>IFERROR(__xludf.DUMMYFUNCTION("""COMPUTED_VALUE"""),"https://www.tiktok.com/@yunisecond")</f>
        <v>https://www.tiktok.com/@yunisecond</v>
      </c>
      <c r="D545" s="270">
        <f>IFERROR(__xludf.DUMMYFUNCTION("""COMPUTED_VALUE"""),8.124716802E10)</f>
        <v>81247168020</v>
      </c>
      <c r="E545" s="457">
        <f>IFERROR(__xludf.DUMMYFUNCTION("""COMPUTED_VALUE"""),200000.0)</f>
        <v>200000</v>
      </c>
      <c r="F545" s="270">
        <f>IFERROR(__xludf.DUMMYFUNCTION("""COMPUTED_VALUE"""),2.0)</f>
        <v>2</v>
      </c>
      <c r="G545" s="17" t="str">
        <f>IFERROR(__xludf.DUMMYFUNCTION("""COMPUTED_VALUE"""),"Sabun batang 1 Box ( 2 PCS )")</f>
        <v>Sabun batang 1 Box ( 2 PCS )</v>
      </c>
      <c r="H545" s="463" t="str">
        <f>IFERROR(__xludf.DUMMYFUNCTION("""COMPUTED_VALUE"""),"Sampai")</f>
        <v>Sampai</v>
      </c>
      <c r="I545" s="464" t="str">
        <f>IFERROR(__xludf.DUMMYFUNCTION("""COMPUTED_VALUE"""),"KIMME")</f>
        <v>KIMME</v>
      </c>
      <c r="J545" s="279" t="str">
        <f>IFERROR(__xludf.DUMMYFUNCTION("""COMPUTED_VALUE"""),"https://vt.tiktok.com/ZSHx2CATf/")</f>
        <v>https://vt.tiktok.com/ZSHx2CATf/</v>
      </c>
      <c r="K545" s="464" t="str">
        <f>IFERROR(__xludf.DUMMYFUNCTION("""COMPUTED_VALUE"""),"KIMME")</f>
        <v>KIMME</v>
      </c>
      <c r="L545" s="279" t="str">
        <f>IFERROR(__xludf.DUMMYFUNCTION("""COMPUTED_VALUE"""),"https://vt.tiktok.com/ZSHtk1hLa/")</f>
        <v>https://vt.tiktok.com/ZSHtk1hLa/</v>
      </c>
      <c r="M545" s="464"/>
      <c r="N545" s="279" t="str">
        <f>IFERROR(__xludf.DUMMYFUNCTION("""COMPUTED_VALUE"""),"https://vt.tiktok.com/ZS9GTYdsy/")</f>
        <v>https://vt.tiktok.com/ZS9GTYdsy/</v>
      </c>
      <c r="O545" s="464"/>
      <c r="P545" s="279" t="str">
        <f>IFERROR(__xludf.DUMMYFUNCTION("""COMPUTED_VALUE"""),"https://www.tiktok.com/@nolisnurjanah21/video/7636463084164549908?_r=1&amp;u_code=e85madfeelij2j&amp;region=&amp;mid=7626822836711181074&amp;preview_pb=0&amp;sharer_language=&amp;_d=0&amp;ec_shared_reflux_dynamic_params=%7B%22placeholder_material_id%22%3A%227636463084164549908%22%2C"&amp;"%22placeholder_origin_cover%22%3A%22https%253A%252F%252Fp16-common-sign.tiktokcdn.com%252Ftos-alisg-p-0037%252FosDE6sfpB7riTF3Is81CAk4MEeIDKIkAjfLEBY~tplv-tiktokx-origin.jpeg%253Fdr%253D14572%2526refresh_token%253D0703708e%2526x-expires%253D1810119600%252"&amp;"6x-signature%253DsbFnB%25252BMaMGM19xs%25252FqGUIk1MRTvY%25253D%2526t%253D4d5b0474%2526ps%253D13740610%2526shp%253Dd05b14bd%2526shcp%253D34ff8df6%2526idc%253Dmy2%2526s%253DTIKTOK_AFFILIATE_VIRAL_VIDEO%22%2C%22placeholder_product_id%22%3A%22172972973055551"&amp;"2511%22%2C%22placeholder_video_id%22%3A%227636463084164549908%22%7D&amp;ec_shared_reflux_scene=shop_tab_feed&amp;share_item_id=7636463084164549908&amp;source=h5_t")</f>
        <v>https://www.tiktok.com/@nolisnurjanah21/video/7636463084164549908?_r=1&amp;u_code=e85madfeelij2j&amp;region=&amp;mid=7626822836711181074&amp;preview_pb=0&amp;sharer_language=&amp;_d=0&amp;ec_shared_reflux_dynamic_params=%7B%22placeholder_material_id%22%3A%227636463084164549908%22%2C%22placeholder_origin_cover%22%3A%22https%253A%252F%252Fp16-common-sign.tiktokcdn.com%252Ftos-alisg-p-0037%252FosDE6sfpB7riTF3Is81CAk4MEeIDKIkAjfLEBY~tplv-tiktokx-origin.jpeg%253Fdr%253D14572%2526refresh_token%253D0703708e%2526x-expires%253D1810119600%2526x-signature%253DsbFnB%25252BMaMGM19xs%25252FqGUIk1MRTvY%25253D%2526t%253D4d5b0474%2526ps%253D13740610%2526shp%253Dd05b14bd%2526shcp%253D34ff8df6%2526idc%253Dmy2%2526s%253DTIKTOK_AFFILIATE_VIRAL_VIDEO%22%2C%22placeholder_product_id%22%3A%221729729730555512511%22%2C%22placeholder_video_id%22%3A%227636463084164549908%22%7D&amp;ec_shared_reflux_scene=shop_tab_feed&amp;share_item_id=7636463084164549908&amp;source=h5_t</v>
      </c>
    </row>
    <row r="546">
      <c r="A546" s="255" t="str">
        <f>IFERROR(__xludf.DUMMYFUNCTION("""COMPUTED_VALUE"""),"MICRO")</f>
        <v>MICRO</v>
      </c>
      <c r="B546" s="361" t="str">
        <f>IFERROR(__xludf.DUMMYFUNCTION("""COMPUTED_VALUE"""),"nviie_a")</f>
        <v>nviie_a</v>
      </c>
      <c r="C546" s="257" t="str">
        <f>IFERROR(__xludf.DUMMYFUNCTION("""COMPUTED_VALUE"""),"https://www.tiktok.com/@nviie_a")</f>
        <v>https://www.tiktok.com/@nviie_a</v>
      </c>
      <c r="D546" s="270">
        <f>IFERROR(__xludf.DUMMYFUNCTION("""COMPUTED_VALUE"""),8.2273936601E10)</f>
        <v>82273936601</v>
      </c>
      <c r="E546" s="457">
        <f>IFERROR(__xludf.DUMMYFUNCTION("""COMPUTED_VALUE"""),0.0)</f>
        <v>0</v>
      </c>
      <c r="F546" s="270">
        <f>IFERROR(__xludf.DUMMYFUNCTION("""COMPUTED_VALUE"""),4.0)</f>
        <v>4</v>
      </c>
      <c r="G546" s="17" t="str">
        <f>IFERROR(__xludf.DUMMYFUNCTION("""COMPUTED_VALUE"""),"Sabun batang 1 Box ( 2 PCS )")</f>
        <v>Sabun batang 1 Box ( 2 PCS )</v>
      </c>
      <c r="H546" s="463" t="str">
        <f>IFERROR(__xludf.DUMMYFUNCTION("""COMPUTED_VALUE"""),"Sampai")</f>
        <v>Sampai</v>
      </c>
      <c r="I546" s="464" t="str">
        <f>IFERROR(__xludf.DUMMYFUNCTION("""COMPUTED_VALUE"""),"KIMME")</f>
        <v>KIMME</v>
      </c>
      <c r="J546" s="17" t="str">
        <f>IFERROR(__xludf.DUMMYFUNCTION("""COMPUTED_VALUE"""),"⁠https://vt.tiktok.com/ZS98CDEXd/")</f>
        <v>⁠https://vt.tiktok.com/ZS98CDEXd/</v>
      </c>
      <c r="K546" s="464" t="str">
        <f>IFERROR(__xludf.DUMMYFUNCTION("""COMPUTED_VALUE"""),"KIMME")</f>
        <v>KIMME</v>
      </c>
      <c r="L546" s="279" t="str">
        <f>IFERROR(__xludf.DUMMYFUNCTION("""COMPUTED_VALUE"""),"https://vt.tiktok.com/ZS98CVLE8/")</f>
        <v>https://vt.tiktok.com/ZS98CVLE8/</v>
      </c>
      <c r="M546" s="464" t="str">
        <f>IFERROR(__xludf.DUMMYFUNCTION("""COMPUTED_VALUE"""),"KIMME")</f>
        <v>KIMME</v>
      </c>
      <c r="N546" s="17" t="str">
        <f>IFERROR(__xludf.DUMMYFUNCTION("""COMPUTED_VALUE"""),"⁠https://vt.tiktok.com/ZS98Csjcc/")</f>
        <v>⁠https://vt.tiktok.com/ZS98Csjcc/</v>
      </c>
      <c r="O546" s="464" t="str">
        <f>IFERROR(__xludf.DUMMYFUNCTION("""COMPUTED_VALUE"""),"KIMME")</f>
        <v>KIMME</v>
      </c>
      <c r="P546" s="17" t="str">
        <f>IFERROR(__xludf.DUMMYFUNCTION("""COMPUTED_VALUE"""),"⁠https://vt.tiktok.com/ZS98CCYqH/")</f>
        <v>⁠https://vt.tiktok.com/ZS98CCYqH/</v>
      </c>
    </row>
    <row r="547">
      <c r="A547" s="255" t="str">
        <f>IFERROR(__xludf.DUMMYFUNCTION("""COMPUTED_VALUE"""),"MICRO")</f>
        <v>MICRO</v>
      </c>
      <c r="B547" s="361" t="str">
        <f>IFERROR(__xludf.DUMMYFUNCTION("""COMPUTED_VALUE"""),"elisacollectione")</f>
        <v>elisacollectione</v>
      </c>
      <c r="C547" s="257" t="str">
        <f>IFERROR(__xludf.DUMMYFUNCTION("""COMPUTED_VALUE"""),"https://www.tiktok.com/@elisacollectione")</f>
        <v>https://www.tiktok.com/@elisacollectione</v>
      </c>
      <c r="D547" s="270">
        <f>IFERROR(__xludf.DUMMYFUNCTION("""COMPUTED_VALUE"""),8.131800977E10)</f>
        <v>81318009770</v>
      </c>
      <c r="E547" s="457">
        <f>IFERROR(__xludf.DUMMYFUNCTION("""COMPUTED_VALUE"""),150000.0)</f>
        <v>150000</v>
      </c>
      <c r="F547" s="270">
        <f>IFERROR(__xludf.DUMMYFUNCTION("""COMPUTED_VALUE"""),4.0)</f>
        <v>4</v>
      </c>
      <c r="G547" s="17" t="str">
        <f>IFERROR(__xludf.DUMMYFUNCTION("""COMPUTED_VALUE"""),"Sabun batang 1 Box ( 2 PCS )")</f>
        <v>Sabun batang 1 Box ( 2 PCS )</v>
      </c>
      <c r="H547" s="463" t="str">
        <f>IFERROR(__xludf.DUMMYFUNCTION("""COMPUTED_VALUE"""),"Sampai")</f>
        <v>Sampai</v>
      </c>
      <c r="I547" s="464" t="str">
        <f>IFERROR(__xludf.DUMMYFUNCTION("""COMPUTED_VALUE"""),"KIMME")</f>
        <v>KIMME</v>
      </c>
      <c r="J547" s="279" t="str">
        <f>IFERROR(__xludf.DUMMYFUNCTION("""COMPUTED_VALUE"""),"https://www.tiktok.com/@elisacollectione/video/7621780925038333191")</f>
        <v>https://www.tiktok.com/@elisacollectione/video/7621780925038333191</v>
      </c>
      <c r="K547" s="464" t="str">
        <f>IFERROR(__xludf.DUMMYFUNCTION("""COMPUTED_VALUE"""),"KIMME")</f>
        <v>KIMME</v>
      </c>
      <c r="L547" s="279" t="str">
        <f>IFERROR(__xludf.DUMMYFUNCTION("""COMPUTED_VALUE"""),"https://www.tiktok.com/@elisacollectione/video/7621469075008539924")</f>
        <v>https://www.tiktok.com/@elisacollectione/video/7621469075008539924</v>
      </c>
      <c r="M547" s="464" t="str">
        <f>IFERROR(__xludf.DUMMYFUNCTION("""COMPUTED_VALUE"""),"KIMME")</f>
        <v>KIMME</v>
      </c>
      <c r="N547" s="279" t="str">
        <f>IFERROR(__xludf.DUMMYFUNCTION("""COMPUTED_VALUE"""),"https://www.tiktok.com/@elisacollectione/video/7623609343035870471")</f>
        <v>https://www.tiktok.com/@elisacollectione/video/7623609343035870471</v>
      </c>
      <c r="O547" s="464" t="str">
        <f>IFERROR(__xludf.DUMMYFUNCTION("""COMPUTED_VALUE"""),"KIMME")</f>
        <v>KIMME</v>
      </c>
      <c r="P547" s="279" t="str">
        <f>IFERROR(__xludf.DUMMYFUNCTION("""COMPUTED_VALUE"""),"https://www.tiktok.com/@elisacollectione/video/7622528731512327442")</f>
        <v>https://www.tiktok.com/@elisacollectione/video/7622528731512327442</v>
      </c>
    </row>
    <row r="548">
      <c r="A548" s="255" t="str">
        <f>IFERROR(__xludf.DUMMYFUNCTION("""COMPUTED_VALUE"""),"MICRO")</f>
        <v>MICRO</v>
      </c>
      <c r="B548" s="361" t="str">
        <f>IFERROR(__xludf.DUMMYFUNCTION("""COMPUTED_VALUE"""),"intan14.04")</f>
        <v>intan14.04</v>
      </c>
      <c r="C548" s="257" t="str">
        <f>IFERROR(__xludf.DUMMYFUNCTION("""COMPUTED_VALUE"""),"https://www.tiktok.com/@intan14.04")</f>
        <v>https://www.tiktok.com/@intan14.04</v>
      </c>
      <c r="D548" s="270">
        <f>IFERROR(__xludf.DUMMYFUNCTION("""COMPUTED_VALUE"""),8.317006873E10)</f>
        <v>83170068730</v>
      </c>
      <c r="E548" s="457">
        <f>IFERROR(__xludf.DUMMYFUNCTION("""COMPUTED_VALUE"""),150000.0)</f>
        <v>150000</v>
      </c>
      <c r="F548" s="270">
        <f>IFERROR(__xludf.DUMMYFUNCTION("""COMPUTED_VALUE"""),2.0)</f>
        <v>2</v>
      </c>
      <c r="G548" s="17" t="str">
        <f>IFERROR(__xludf.DUMMYFUNCTION("""COMPUTED_VALUE"""),"Sabun batang 1 Box ( 2 PCS )")</f>
        <v>Sabun batang 1 Box ( 2 PCS )</v>
      </c>
      <c r="H548" s="463" t="str">
        <f>IFERROR(__xludf.DUMMYFUNCTION("""COMPUTED_VALUE"""),"Sampai")</f>
        <v>Sampai</v>
      </c>
      <c r="I548" s="464" t="str">
        <f>IFERROR(__xludf.DUMMYFUNCTION("""COMPUTED_VALUE"""),"KIMME")</f>
        <v>KIMME</v>
      </c>
      <c r="J548" s="279" t="str">
        <f>IFERROR(__xludf.DUMMYFUNCTION("""COMPUTED_VALUE"""),"https://vt.tiktok.com/ZSHo2T3ps/")</f>
        <v>https://vt.tiktok.com/ZSHo2T3ps/</v>
      </c>
      <c r="K548" s="464" t="str">
        <f>IFERROR(__xludf.DUMMYFUNCTION("""COMPUTED_VALUE"""),"KIMME")</f>
        <v>KIMME</v>
      </c>
      <c r="L548" s="279" t="str">
        <f>IFERROR(__xludf.DUMMYFUNCTION("""COMPUTED_VALUE"""),"https://vt.tiktok.com/ZS9RuBo6M/")</f>
        <v>https://vt.tiktok.com/ZS9RuBo6M/</v>
      </c>
      <c r="M548" s="464" t="str">
        <f>IFERROR(__xludf.DUMMYFUNCTION("""COMPUTED_VALUE"""),"KIMME")</f>
        <v>KIMME</v>
      </c>
      <c r="N548" s="279" t="str">
        <f>IFERROR(__xludf.DUMMYFUNCTION("""COMPUTED_VALUE"""),"https://www.tiktok.com/@nolisnurjanah21/video/7636549170467179796?_r=1&amp;u_code=e85madfeelij2j&amp;region=&amp;mid=7461409796990798608&amp;preview_pb=0&amp;sharer_language=&amp;_d=0&amp;ec_shared_reflux_dynamic_params=%7B%22placeholder_material_id%22%3A%227636549170467179796%22%2C"&amp;"%22placeholder_origin_cover%22%3A%22https%253A%252F%252Fp16-common-sign.tiktokcdn.com%252Ftos-alisg-p-0037%252FoAeQAJ9Ql39eDaTQKLPPIDIq0GtReOABjDCH34~tplv-tiktokx-origin.jpeg%253Fdr%253D14572%2526refresh_token%253D24d685c8%2526x-expires%253D1810119600%252"&amp;"6x-signature%253DEoEjRTh7Rsa5pZZlElrFHnvTH8U%25253D%2526t%253D4d5b0474%2526ps%253D13740610%2526shp%253Dd05b14bd%2526shcp%253D34ff8df6%2526idc%253Dmy2%2526s%253DTIKTOK_AFFILIATE_VIRAL_VIDEO%22%2C%22placeholder_product_id%22%3A%221729729730555512511%22%2C%2"&amp;"2placeholder_video_id%22%3A%227636549170467179796%22%7D&amp;ec_shared_reflux_scene=shop_tab_feed&amp;share_item_id=7636549170467179796&amp;source=h5_t")</f>
        <v>https://www.tiktok.com/@nolisnurjanah21/video/7636549170467179796?_r=1&amp;u_code=e85madfeelij2j&amp;region=&amp;mid=7461409796990798608&amp;preview_pb=0&amp;sharer_language=&amp;_d=0&amp;ec_shared_reflux_dynamic_params=%7B%22placeholder_material_id%22%3A%227636549170467179796%22%2C%22placeholder_origin_cover%22%3A%22https%253A%252F%252Fp16-common-sign.tiktokcdn.com%252Ftos-alisg-p-0037%252FoAeQAJ9Ql39eDaTQKLPPIDIq0GtReOABjDCH34~tplv-tiktokx-origin.jpeg%253Fdr%253D14572%2526refresh_token%253D24d685c8%2526x-expires%253D1810119600%2526x-signature%253DEoEjRTh7Rsa5pZZlElrFHnvTH8U%25253D%2526t%253D4d5b0474%2526ps%253D13740610%2526shp%253Dd05b14bd%2526shcp%253D34ff8df6%2526idc%253Dmy2%2526s%253DTIKTOK_AFFILIATE_VIRAL_VIDEO%22%2C%22placeholder_product_id%22%3A%221729729730555512511%22%2C%22placeholder_video_id%22%3A%227636549170467179796%22%7D&amp;ec_shared_reflux_scene=shop_tab_feed&amp;share_item_id=7636549170467179796&amp;source=h5_t</v>
      </c>
      <c r="O548" s="464" t="str">
        <f>IFERROR(__xludf.DUMMYFUNCTION("""COMPUTED_VALUE"""),"KIMME")</f>
        <v>KIMME</v>
      </c>
      <c r="P548" s="279" t="str">
        <f>IFERROR(__xludf.DUMMYFUNCTION("""COMPUTED_VALUE"""),"https://www.tiktok.com/@nolisnurjanah21/video/7636548071253429525?_r=1&amp;u_code=e85madfeelij2j&amp;region=&amp;mid=7631905101759875088&amp;preview_pb=0&amp;sharer_language=&amp;_d=0&amp;ec_shared_reflux_dynamic_params=%7B%22placeholder_material_id%22%3A%227636548071253429525%22%2C"&amp;"%22placeholder_origin_cover%22%3A%22https%253A%252F%252Fp16-common-sign.tiktokcdn.com%252Ftos-alisg-p-0037%252FoofTQIjPILD9H0rEReFfAQuBDArEQACkOUD4XA~tplv-tiktokx-origin.jpeg%253Fdr%253D14572%2526refresh_token%253D546371d5%2526x-expires%253D1810119600%252"&amp;"6x-signature%253D4TwW26NfNkAND0WbkNCwdxak%25252F2s%25253D%2526t%253D4d5b0474%2526ps%253D13740610%2526shp%253Dd05b14bd%2526shcp%253D34ff8df6%2526idc%253Dmy2%2526s%253DTIKTOK_AFFILIATE_VIRAL_VIDEO%22%2C%22placeholder_product_id%22%3A%221729729730555512511%2"&amp;"2%2C%22placeholder_video_id%22%3A%227636548071253429525%22%7D&amp;ec_shared_reflux_scene=shop_tab_feed&amp;share_item_id=7636548071253429525&amp;source=h5_t")</f>
        <v>https://www.tiktok.com/@nolisnurjanah21/video/7636548071253429525?_r=1&amp;u_code=e85madfeelij2j&amp;region=&amp;mid=7631905101759875088&amp;preview_pb=0&amp;sharer_language=&amp;_d=0&amp;ec_shared_reflux_dynamic_params=%7B%22placeholder_material_id%22%3A%227636548071253429525%22%2C%22placeholder_origin_cover%22%3A%22https%253A%252F%252Fp16-common-sign.tiktokcdn.com%252Ftos-alisg-p-0037%252FoofTQIjPILD9H0rEReFfAQuBDArEQACkOUD4XA~tplv-tiktokx-origin.jpeg%253Fdr%253D14572%2526refresh_token%253D546371d5%2526x-expires%253D1810119600%2526x-signature%253D4TwW26NfNkAND0WbkNCwdxak%25252F2s%25253D%2526t%253D4d5b0474%2526ps%253D13740610%2526shp%253Dd05b14bd%2526shcp%253D34ff8df6%2526idc%253Dmy2%2526s%253DTIKTOK_AFFILIATE_VIRAL_VIDEO%22%2C%22placeholder_product_id%22%3A%221729729730555512511%22%2C%22placeholder_video_id%22%3A%227636548071253429525%22%7D&amp;ec_shared_reflux_scene=shop_tab_feed&amp;share_item_id=7636548071253429525&amp;source=h5_t</v>
      </c>
    </row>
    <row r="549">
      <c r="A549" s="255" t="str">
        <f>IFERROR(__xludf.DUMMYFUNCTION("""COMPUTED_VALUE"""),"MICRO")</f>
        <v>MICRO</v>
      </c>
      <c r="B549" s="361" t="str">
        <f>IFERROR(__xludf.DUMMYFUNCTION("""COMPUTED_VALUE"""),"ilmaafghoniyah16")</f>
        <v>ilmaafghoniyah16</v>
      </c>
      <c r="C549" s="257" t="str">
        <f>IFERROR(__xludf.DUMMYFUNCTION("""COMPUTED_VALUE"""),"https://www.tiktok.com/@ilmaafghoniyah16")</f>
        <v>https://www.tiktok.com/@ilmaafghoniyah16</v>
      </c>
      <c r="D549" s="270">
        <f>IFERROR(__xludf.DUMMYFUNCTION("""COMPUTED_VALUE"""),8.2269093934E10)</f>
        <v>82269093934</v>
      </c>
      <c r="E549" s="457">
        <f>IFERROR(__xludf.DUMMYFUNCTION("""COMPUTED_VALUE"""),0.0)</f>
        <v>0</v>
      </c>
      <c r="F549" s="270">
        <f>IFERROR(__xludf.DUMMYFUNCTION("""COMPUTED_VALUE"""),1.0)</f>
        <v>1</v>
      </c>
      <c r="G549" s="17" t="str">
        <f>IFERROR(__xludf.DUMMYFUNCTION("""COMPUTED_VALUE"""),"Sabun batang 1 Box ( 2 PCS )")</f>
        <v>Sabun batang 1 Box ( 2 PCS )</v>
      </c>
      <c r="H549" s="463" t="str">
        <f>IFERROR(__xludf.DUMMYFUNCTION("""COMPUTED_VALUE"""),"Sampai")</f>
        <v>Sampai</v>
      </c>
      <c r="I549" s="464" t="str">
        <f>IFERROR(__xludf.DUMMYFUNCTION("""COMPUTED_VALUE"""),"KIMME")</f>
        <v>KIMME</v>
      </c>
      <c r="J549" s="279" t="str">
        <f>IFERROR(__xludf.DUMMYFUNCTION("""COMPUTED_VALUE"""),"https://vt.tiktok.com/ZSH28mewB/")</f>
        <v>https://vt.tiktok.com/ZSH28mewB/</v>
      </c>
      <c r="K549" s="464" t="str">
        <f>IFERROR(__xludf.DUMMYFUNCTION("""COMPUTED_VALUE"""),"KIMME")</f>
        <v>KIMME</v>
      </c>
      <c r="L549" s="279" t="str">
        <f>IFERROR(__xludf.DUMMYFUNCTION("""COMPUTED_VALUE"""),"https://www.tiktok.com/@nolisnurjanah21/video/7636547607841492245?_r=1&amp;u_code=e85madfeelij2j&amp;region=&amp;mid=7450054073216568081&amp;preview_pb=0&amp;sharer_language=&amp;_d=0&amp;ec_shared_reflux_dynamic_params=%7B%22placeholder_material_id%22%3A%227636547607841492245%22%2C"&amp;"%22placeholder_origin_cover%22%3A%22https%253A%252F%252Fp16-common-sign.tiktokcdn.com%252Ftos-alisg-p-0037%252FoYKd6BnXTzDPYfE6CrFEAdDrIeAjxYaII7fQ4n~tplv-tiktokx-origin.jpeg%253Fdr%253D14572%2526refresh_token%253Da1937286%2526x-expires%253D1810119600%252"&amp;"6x-signature%253DwW8yVk25OBYZD5UzzaFVe2l4slw%25253D%2526t%253D4d5b0474%2526ps%253D13740610%2526shp%253Dd05b14bd%2526shcp%253D34ff8df6%2526idc%253Dmy2%2526s%253DTIKTOK_AFFILIATE_VIRAL_VIDEO%22%2C%22placeholder_product_id%22%3A%221729729730555512511%22%2C%2"&amp;"2placeholder_video_id%22%3A%227636547607841492245%22%7D&amp;ec_shared_reflux_scene=shop_tab_feed&amp;share_item_id=7636547607841492245&amp;source=h5_t")</f>
        <v>https://www.tiktok.com/@nolisnurjanah21/video/7636547607841492245?_r=1&amp;u_code=e85madfeelij2j&amp;region=&amp;mid=7450054073216568081&amp;preview_pb=0&amp;sharer_language=&amp;_d=0&amp;ec_shared_reflux_dynamic_params=%7B%22placeholder_material_id%22%3A%227636547607841492245%22%2C%22placeholder_origin_cover%22%3A%22https%253A%252F%252Fp16-common-sign.tiktokcdn.com%252Ftos-alisg-p-0037%252FoYKd6BnXTzDPYfE6CrFEAdDrIeAjxYaII7fQ4n~tplv-tiktokx-origin.jpeg%253Fdr%253D14572%2526refresh_token%253Da1937286%2526x-expires%253D1810119600%2526x-signature%253DwW8yVk25OBYZD5UzzaFVe2l4slw%25253D%2526t%253D4d5b0474%2526ps%253D13740610%2526shp%253Dd05b14bd%2526shcp%253D34ff8df6%2526idc%253Dmy2%2526s%253DTIKTOK_AFFILIATE_VIRAL_VIDEO%22%2C%22placeholder_product_id%22%3A%221729729730555512511%22%2C%22placeholder_video_id%22%3A%227636547607841492245%22%7D&amp;ec_shared_reflux_scene=shop_tab_feed&amp;share_item_id=7636547607841492245&amp;source=h5_t</v>
      </c>
      <c r="M549" s="464"/>
      <c r="N549" s="279" t="str">
        <f>IFERROR(__xludf.DUMMYFUNCTION("""COMPUTED_VALUE"""),"https://www.tiktok.com/@racun_spalspil12/video/7636561304806755604?_r=1&amp;u_code=cllj6j6aidf05b&amp;region=&amp;mid=7497551820198398721&amp;preview_pb=0&amp;sharer_language=&amp;_d=0&amp;ec_shared_reflux_dynamic_params=%7B%22placeholder_material_id%22%3A%227636561304806755604%22%2"&amp;"C%22placeholder_origin_cover%22%3A%22https%253A%252F%252Fp16-common-sign.tiktokcdn.com%252Ftos-alisg-p-0037%252FoM4fehXjkICZIhUDEToAJODyFpfBACB0DIT6yi~tplv-tiktokx-origin.jpeg%253Fdr%253D14572%2526refresh_token%253Dfc9217e7%2526x-expires%253D1810116000%25"&amp;"26x-signature%253DDP4u7yl3UHPeRisGUV1eo9Gn1n0%25253D%2526t%253D4d5b0474%2526ps%253D13740610%2526shp%253Dd05b14bd%2526shcp%253D34ff8df6%2526idc%253Dmy2%2526s%253DTIKTOK_AFFILIATE_VIRAL_VIDEO%22%2C%22placeholder_product_id%22%3A%221729729730555512511%22%2C%"&amp;"22placeholder_video_id%22%3A%227636561304806755604%22%7D&amp;ec_shared_reflux_scene=shop_tab_feed&amp;share_item_id=7636561304806755604&amp;source=h5_t")</f>
        <v>https://www.tiktok.com/@racun_spalspil12/video/7636561304806755604?_r=1&amp;u_code=cllj6j6aidf05b&amp;region=&amp;mid=7497551820198398721&amp;preview_pb=0&amp;sharer_language=&amp;_d=0&amp;ec_shared_reflux_dynamic_params=%7B%22placeholder_material_id%22%3A%227636561304806755604%22%2C%22placeholder_origin_cover%22%3A%22https%253A%252F%252Fp16-common-sign.tiktokcdn.com%252Ftos-alisg-p-0037%252FoM4fehXjkICZIhUDEToAJODyFpfBACB0DIT6yi~tplv-tiktokx-origin.jpeg%253Fdr%253D14572%2526refresh_token%253Dfc9217e7%2526x-expires%253D1810116000%2526x-signature%253DDP4u7yl3UHPeRisGUV1eo9Gn1n0%25253D%2526t%253D4d5b0474%2526ps%253D13740610%2526shp%253Dd05b14bd%2526shcp%253D34ff8df6%2526idc%253Dmy2%2526s%253DTIKTOK_AFFILIATE_VIRAL_VIDEO%22%2C%22placeholder_product_id%22%3A%221729729730555512511%22%2C%22placeholder_video_id%22%3A%227636561304806755604%22%7D&amp;ec_shared_reflux_scene=shop_tab_feed&amp;share_item_id=7636561304806755604&amp;source=h5_t</v>
      </c>
      <c r="O549" s="464"/>
      <c r="P549" s="279" t="str">
        <f>IFERROR(__xludf.DUMMYFUNCTION("""COMPUTED_VALUE"""),"https://www.tiktok.com/@nolisnurjanah21/video/7636546176296242452?_r=1&amp;u_code=e85madfeelij2j&amp;region=&amp;mid=7409002695564053265&amp;preview_pb=0&amp;sharer_language=&amp;_d=0&amp;ec_shared_reflux_dynamic_params=%7B%22placeholder_material_id%22%3A%227636546176296242452%22%2C"&amp;"%22placeholder_origin_cover%22%3A%22https%253A%252F%252Fp16-common-sign.tiktokcdn.com%252Ftos-alisg-p-0037%252FokBIRGBdfDTfsgAI6gMpcVKiBn2iIEpnBIgAlS~tplv-tiktokx-origin.jpeg%253Fdr%253D14572%2526refresh_token%253D82c77f37%2526x-expires%253D1810119600%252"&amp;"6x-signature%253DEHvGF5Sopw8Xp6uEjCFXWlyTQb4%25253D%2526t%253D4d5b0474%2526ps%253D13740610%2526shp%253Dd05b14bd%2526shcp%253D34ff8df6%2526idc%253Dmy2%2526s%253DTIKTOK_AFFILIATE_VIRAL_VIDEO%22%2C%22placeholder_product_id%22%3A%221729729730555512511%22%2C%2"&amp;"2placeholder_video_id%22%3A%227636546176296242452%22%7D&amp;ec_shared_reflux_scene=shop_tab_feed&amp;share_item_id=7636546176296242452&amp;source=h5_t")</f>
        <v>https://www.tiktok.com/@nolisnurjanah21/video/7636546176296242452?_r=1&amp;u_code=e85madfeelij2j&amp;region=&amp;mid=7409002695564053265&amp;preview_pb=0&amp;sharer_language=&amp;_d=0&amp;ec_shared_reflux_dynamic_params=%7B%22placeholder_material_id%22%3A%227636546176296242452%22%2C%22placeholder_origin_cover%22%3A%22https%253A%252F%252Fp16-common-sign.tiktokcdn.com%252Ftos-alisg-p-0037%252FokBIRGBdfDTfsgAI6gMpcVKiBn2iIEpnBIgAlS~tplv-tiktokx-origin.jpeg%253Fdr%253D14572%2526refresh_token%253D82c77f37%2526x-expires%253D1810119600%2526x-signature%253DEHvGF5Sopw8Xp6uEjCFXWlyTQb4%25253D%2526t%253D4d5b0474%2526ps%253D13740610%2526shp%253Dd05b14bd%2526shcp%253D34ff8df6%2526idc%253Dmy2%2526s%253DTIKTOK_AFFILIATE_VIRAL_VIDEO%22%2C%22placeholder_product_id%22%3A%221729729730555512511%22%2C%22placeholder_video_id%22%3A%227636546176296242452%22%7D&amp;ec_shared_reflux_scene=shop_tab_feed&amp;share_item_id=7636546176296242452&amp;source=h5_t</v>
      </c>
    </row>
    <row r="550">
      <c r="A550" s="255" t="str">
        <f>IFERROR(__xludf.DUMMYFUNCTION("""COMPUTED_VALUE"""),"MICRO")</f>
        <v>MICRO</v>
      </c>
      <c r="B550" s="361" t="str">
        <f>IFERROR(__xludf.DUMMYFUNCTION("""COMPUTED_VALUE"""),"widyafajar2")</f>
        <v>widyafajar2</v>
      </c>
      <c r="C550" s="257" t="str">
        <f>IFERROR(__xludf.DUMMYFUNCTION("""COMPUTED_VALUE"""),"https://www.tiktok.com/@widyafajar2")</f>
        <v>https://www.tiktok.com/@widyafajar2</v>
      </c>
      <c r="D550" s="270">
        <f>IFERROR(__xludf.DUMMYFUNCTION("""COMPUTED_VALUE"""),8.819126806E9)</f>
        <v>8819126806</v>
      </c>
      <c r="E550" s="457">
        <f>IFERROR(__xludf.DUMMYFUNCTION("""COMPUTED_VALUE"""),50000.0)</f>
        <v>50000</v>
      </c>
      <c r="F550" s="270">
        <f>IFERROR(__xludf.DUMMYFUNCTION("""COMPUTED_VALUE"""),4.0)</f>
        <v>4</v>
      </c>
      <c r="G550" s="17" t="str">
        <f>IFERROR(__xludf.DUMMYFUNCTION("""COMPUTED_VALUE"""),"Sabun batang 1 Box ( 2 PCS )")</f>
        <v>Sabun batang 1 Box ( 2 PCS )</v>
      </c>
      <c r="H550" s="463" t="str">
        <f>IFERROR(__xludf.DUMMYFUNCTION("""COMPUTED_VALUE"""),"Sampai")</f>
        <v>Sampai</v>
      </c>
      <c r="I550" s="464" t="str">
        <f>IFERROR(__xludf.DUMMYFUNCTION("""COMPUTED_VALUE"""),"KIMME")</f>
        <v>KIMME</v>
      </c>
      <c r="J550" s="279" t="str">
        <f>IFERROR(__xludf.DUMMYFUNCTION("""COMPUTED_VALUE"""),"https://vt.tiktok.com/ZSHNHV525/")</f>
        <v>https://vt.tiktok.com/ZSHNHV525/</v>
      </c>
      <c r="K550" s="464" t="str">
        <f>IFERROR(__xludf.DUMMYFUNCTION("""COMPUTED_VALUE"""),"KIMME")</f>
        <v>KIMME</v>
      </c>
      <c r="L550" s="279" t="str">
        <f>IFERROR(__xludf.DUMMYFUNCTION("""COMPUTED_VALUE"""),"https://vt.tiktok.com/ZSHUfrxYb/")</f>
        <v>https://vt.tiktok.com/ZSHUfrxYb/</v>
      </c>
      <c r="M550" s="464" t="str">
        <f>IFERROR(__xludf.DUMMYFUNCTION("""COMPUTED_VALUE"""),"KIMME")</f>
        <v>KIMME</v>
      </c>
      <c r="N550" s="279" t="str">
        <f>IFERROR(__xludf.DUMMYFUNCTION("""COMPUTED_VALUE"""),"https://vt.tiktok.com/ZSHP19uQM/")</f>
        <v>https://vt.tiktok.com/ZSHP19uQM/</v>
      </c>
      <c r="O550" s="464" t="str">
        <f>IFERROR(__xludf.DUMMYFUNCTION("""COMPUTED_VALUE"""),"KIMME")</f>
        <v>KIMME</v>
      </c>
      <c r="P550" s="279" t="str">
        <f>IFERROR(__xludf.DUMMYFUNCTION("""COMPUTED_VALUE"""),"https://vt.tiktok.com/ZSHnq96wA/")</f>
        <v>https://vt.tiktok.com/ZSHnq96wA/</v>
      </c>
    </row>
    <row r="551">
      <c r="A551" s="255" t="str">
        <f>IFERROR(__xludf.DUMMYFUNCTION("""COMPUTED_VALUE"""),"MICRO")</f>
        <v>MICRO</v>
      </c>
      <c r="B551" s="361" t="str">
        <f>IFERROR(__xludf.DUMMYFUNCTION("""COMPUTED_VALUE"""),"ade_irma52")</f>
        <v>ade_irma52</v>
      </c>
      <c r="C551" s="257" t="str">
        <f>IFERROR(__xludf.DUMMYFUNCTION("""COMPUTED_VALUE"""),"https://www.tiktok.com/@ade_irma52")</f>
        <v>https://www.tiktok.com/@ade_irma52</v>
      </c>
      <c r="D551" s="270">
        <f>IFERROR(__xludf.DUMMYFUNCTION("""COMPUTED_VALUE"""),8.973850547E9)</f>
        <v>8973850547</v>
      </c>
      <c r="E551" s="457">
        <f>IFERROR(__xludf.DUMMYFUNCTION("""COMPUTED_VALUE"""),0.0)</f>
        <v>0</v>
      </c>
      <c r="F551" s="270">
        <f>IFERROR(__xludf.DUMMYFUNCTION("""COMPUTED_VALUE"""),4.0)</f>
        <v>4</v>
      </c>
      <c r="G551" s="17" t="str">
        <f>IFERROR(__xludf.DUMMYFUNCTION("""COMPUTED_VALUE"""),"Sabun batang 1 Box ( 2 PCS )")</f>
        <v>Sabun batang 1 Box ( 2 PCS )</v>
      </c>
      <c r="H551" s="463" t="str">
        <f>IFERROR(__xludf.DUMMYFUNCTION("""COMPUTED_VALUE"""),"Sampai")</f>
        <v>Sampai</v>
      </c>
      <c r="I551" s="464" t="str">
        <f>IFERROR(__xludf.DUMMYFUNCTION("""COMPUTED_VALUE"""),"KIMME")</f>
        <v>KIMME</v>
      </c>
      <c r="J551" s="279" t="str">
        <f>IFERROR(__xludf.DUMMYFUNCTION("""COMPUTED_VALUE"""),"https://vt.tiktok.com/ZS982wYMm/")</f>
        <v>https://vt.tiktok.com/ZS982wYMm/</v>
      </c>
      <c r="K551" s="464" t="str">
        <f>IFERROR(__xludf.DUMMYFUNCTION("""COMPUTED_VALUE"""),"KIMME")</f>
        <v>KIMME</v>
      </c>
      <c r="L551" s="279" t="str">
        <f>IFERROR(__xludf.DUMMYFUNCTION("""COMPUTED_VALUE"""),"https://vt.tiktok.com/ZS9LefAtQ/")</f>
        <v>https://vt.tiktok.com/ZS9LefAtQ/</v>
      </c>
      <c r="M551" s="464" t="str">
        <f>IFERROR(__xludf.DUMMYFUNCTION("""COMPUTED_VALUE"""),"KIMME")</f>
        <v>KIMME</v>
      </c>
      <c r="N551" s="279" t="str">
        <f>IFERROR(__xludf.DUMMYFUNCTION("""COMPUTED_VALUE"""),"https://vt.tiktok.com/ZS9Le5eqM/")</f>
        <v>https://vt.tiktok.com/ZS9Le5eqM/</v>
      </c>
      <c r="O551" s="464" t="str">
        <f>IFERROR(__xludf.DUMMYFUNCTION("""COMPUTED_VALUE"""),"KIMME")</f>
        <v>KIMME</v>
      </c>
      <c r="P551" s="279" t="str">
        <f>IFERROR(__xludf.DUMMYFUNCTION("""COMPUTED_VALUE"""),"https://vt.tiktok.com/ZS9La3ndD/")</f>
        <v>https://vt.tiktok.com/ZS9La3ndD/</v>
      </c>
    </row>
    <row r="552">
      <c r="A552" s="255" t="str">
        <f>IFERROR(__xludf.DUMMYFUNCTION("""COMPUTED_VALUE"""),"MICRO")</f>
        <v>MICRO</v>
      </c>
      <c r="B552" s="361" t="str">
        <f>IFERROR(__xludf.DUMMYFUNCTION("""COMPUTED_VALUE"""),"liayulianty28")</f>
        <v>liayulianty28</v>
      </c>
      <c r="C552" s="257" t="str">
        <f>IFERROR(__xludf.DUMMYFUNCTION("""COMPUTED_VALUE"""),"https://www.tiktok.com/@liayulianty28")</f>
        <v>https://www.tiktok.com/@liayulianty28</v>
      </c>
      <c r="D552" s="270">
        <f>IFERROR(__xludf.DUMMYFUNCTION("""COMPUTED_VALUE"""),8.1284278883E10)</f>
        <v>81284278883</v>
      </c>
      <c r="E552" s="457">
        <f>IFERROR(__xludf.DUMMYFUNCTION("""COMPUTED_VALUE"""),0.0)</f>
        <v>0</v>
      </c>
      <c r="F552" s="270">
        <f>IFERROR(__xludf.DUMMYFUNCTION("""COMPUTED_VALUE"""),4.0)</f>
        <v>4</v>
      </c>
      <c r="G552" s="17" t="str">
        <f>IFERROR(__xludf.DUMMYFUNCTION("""COMPUTED_VALUE"""),"Sabun batang 1 Box ( 2 PCS )")</f>
        <v>Sabun batang 1 Box ( 2 PCS )</v>
      </c>
      <c r="H552" s="463" t="str">
        <f>IFERROR(__xludf.DUMMYFUNCTION("""COMPUTED_VALUE"""),"Sampai")</f>
        <v>Sampai</v>
      </c>
      <c r="I552" s="464" t="str">
        <f>IFERROR(__xludf.DUMMYFUNCTION("""COMPUTED_VALUE"""),"KIMME")</f>
        <v>KIMME</v>
      </c>
      <c r="J552" s="279" t="str">
        <f>IFERROR(__xludf.DUMMYFUNCTION("""COMPUTED_VALUE"""),"https://www.tiktok.com/@nolisnurjanah21/video/7636547339871587604?_r=1&amp;u_code=e85madfeelij2j&amp;region=&amp;mid=7589809453998934802&amp;preview_pb=0&amp;sharer_language=&amp;_d=0&amp;ec_shared_reflux_dynamic_params=%7B%22placeholder_material_id%22%3A%227636547339871587604%22%2C"&amp;"%22placeholder_origin_cover%22%3A%22https%253A%252F%252Fp16-common-sign.tiktokcdn.com%252Ftos-alisg-p-0037%252FosBMWCprOIhlfH40QEltQ885479FTQAeBDvjAe~tplv-tiktokx-origin.jpeg%253Fdr%253D14572%2526refresh_token%253D753877b7%2526x-expires%253D1810119600%252"&amp;"6x-signature%253DZlPJ9r3pcOekXIrAthzlsjHzy7E%25253D%2526t%253D4d5b0474%2526ps%253D13740610%2526shp%253Dd05b14bd%2526shcp%253D34ff8df6%2526idc%253Dmy2%2526s%253DTIKTOK_AFFILIATE_VIRAL_VIDEO%22%2C%22placeholder_product_id%22%3A%221729729730555512511%22%2C%2"&amp;"2placeholder_video_id%22%3A%227636547339871587604%22%7D&amp;ec_shared_reflux_scene=shop_tab_feed&amp;share_item_id=7636547339871587604&amp;source=h5_t")</f>
        <v>https://www.tiktok.com/@nolisnurjanah21/video/7636547339871587604?_r=1&amp;u_code=e85madfeelij2j&amp;region=&amp;mid=7589809453998934802&amp;preview_pb=0&amp;sharer_language=&amp;_d=0&amp;ec_shared_reflux_dynamic_params=%7B%22placeholder_material_id%22%3A%227636547339871587604%22%2C%22placeholder_origin_cover%22%3A%22https%253A%252F%252Fp16-common-sign.tiktokcdn.com%252Ftos-alisg-p-0037%252FosBMWCprOIhlfH40QEltQ885479FTQAeBDvjAe~tplv-tiktokx-origin.jpeg%253Fdr%253D14572%2526refresh_token%253D753877b7%2526x-expires%253D1810119600%2526x-signature%253DZlPJ9r3pcOekXIrAthzlsjHzy7E%25253D%2526t%253D4d5b0474%2526ps%253D13740610%2526shp%253Dd05b14bd%2526shcp%253D34ff8df6%2526idc%253Dmy2%2526s%253DTIKTOK_AFFILIATE_VIRAL_VIDEO%22%2C%22placeholder_product_id%22%3A%221729729730555512511%22%2C%22placeholder_video_id%22%3A%227636547339871587604%22%7D&amp;ec_shared_reflux_scene=shop_tab_feed&amp;share_item_id=7636547339871587604&amp;source=h5_t</v>
      </c>
      <c r="K552" s="464" t="str">
        <f>IFERROR(__xludf.DUMMYFUNCTION("""COMPUTED_VALUE"""),"KIMME")</f>
        <v>KIMME</v>
      </c>
      <c r="L552" s="279" t="str">
        <f>IFERROR(__xludf.DUMMYFUNCTION("""COMPUTED_VALUE"""),"https://www.tiktok.com/@racun_spalspil12/video/7636564695561833749?_r=1&amp;u_code=cllj6j6aidf05b&amp;region=&amp;mid=7507772951459432464&amp;preview_pb=0&amp;sharer_language=&amp;_d=0&amp;ec_shared_reflux_dynamic_params=%7B%22placeholder_material_id%22%3A%227636564695561833749%22%2"&amp;"C%22placeholder_origin_cover%22%3A%22https%253A%252F%252Fp16-common-sign.tiktokcdn.com%252Ftos-alisg-p-0037%252FoEcBfhIA3UMBTL9tBtrRz8fKEaBi6hipgI7IPO~tplv-tiktokx-origin.jpeg%253Fdr%253D14572%2526refresh_token%253Dce5daa25%2526x-expires%253D1810116000%25"&amp;"26x-signature%253DAFQ904XKkFMkTfeSN2eg%25252Fvc3Ras%25253D%2526t%253D4d5b0474%2526ps%253D13740610%2526shp%253Dd05b14bd%2526shcp%253D34ff8df6%2526idc%253Dmy2%2526s%253DTIKTOK_AFFILIATE_VIRAL_VIDEO%22%2C%22placeholder_product_id%22%3A%221729729730555512511%"&amp;"22%2C%22placeholder_video_id%22%3A%227636564695561833749%22%7D&amp;ec_shared_reflux_scene=shop_tab_feed&amp;share_item_id=7636564695561833749&amp;source=h5_t")</f>
        <v>https://www.tiktok.com/@racun_spalspil12/video/7636564695561833749?_r=1&amp;u_code=cllj6j6aidf05b&amp;region=&amp;mid=7507772951459432464&amp;preview_pb=0&amp;sharer_language=&amp;_d=0&amp;ec_shared_reflux_dynamic_params=%7B%22placeholder_material_id%22%3A%227636564695561833749%22%2C%22placeholder_origin_cover%22%3A%22https%253A%252F%252Fp16-common-sign.tiktokcdn.com%252Ftos-alisg-p-0037%252FoEcBfhIA3UMBTL9tBtrRz8fKEaBi6hipgI7IPO~tplv-tiktokx-origin.jpeg%253Fdr%253D14572%2526refresh_token%253Dce5daa25%2526x-expires%253D1810116000%2526x-signature%253DAFQ904XKkFMkTfeSN2eg%25252Fvc3Ras%25253D%2526t%253D4d5b0474%2526ps%253D13740610%2526shp%253Dd05b14bd%2526shcp%253D34ff8df6%2526idc%253Dmy2%2526s%253DTIKTOK_AFFILIATE_VIRAL_VIDEO%22%2C%22placeholder_product_id%22%3A%221729729730555512511%22%2C%22placeholder_video_id%22%3A%227636564695561833749%22%7D&amp;ec_shared_reflux_scene=shop_tab_feed&amp;share_item_id=7636564695561833749&amp;source=h5_t</v>
      </c>
      <c r="M552" s="464"/>
      <c r="N552" s="279" t="str">
        <f>IFERROR(__xludf.DUMMYFUNCTION("""COMPUTED_VALUE"""),"https://www.tiktok.com/@racun_spalspil12/video/7636479614008741141?_r=1&amp;u_code=cllj6j6aidf05b&amp;region=&amp;mid=7514003816174454785&amp;preview_pb=0&amp;sharer_language=&amp;_d=0&amp;ec_shared_reflux_dynamic_params=%7B%22placeholder_material_id%22%3A%227636479614008741141%22%2"&amp;"C%22placeholder_origin_cover%22%3A%22https%253A%252F%252Fp16-common-sign.tiktokcdn.com%252Ftos-alisg-p-0037%252FoII6IBDCjO5eAuDTDFnlfcxwmmfIkEtA4zjcC6~tplv-tiktokx-origin.jpeg%253Fdr%253D14572%2526refresh_token%253Df753a755%2526x-expires%253D1810116000%25"&amp;"26x-signature%253DQCkX54zpS35U0LJAO4bdD0mCz3M%25253D%2526t%253D4d5b0474%2526ps%253D13740610%2526shp%253Dd05b14bd%2526shcp%253D34ff8df6%2526idc%253Dmy2%2526s%253DTIKTOK_AFFILIATE_VIRAL_VIDEO%22%2C%22placeholder_product_id%22%3A%221729729730555512511%22%2C%"&amp;"22placeholder_video_id%22%3A%227636479614008741141%22%7D&amp;ec_shared_reflux_scene=shop_tab_feed&amp;share_item_id=7636479614008741141&amp;source=h5_t")</f>
        <v>https://www.tiktok.com/@racun_spalspil12/video/7636479614008741141?_r=1&amp;u_code=cllj6j6aidf05b&amp;region=&amp;mid=7514003816174454785&amp;preview_pb=0&amp;sharer_language=&amp;_d=0&amp;ec_shared_reflux_dynamic_params=%7B%22placeholder_material_id%22%3A%227636479614008741141%22%2C%22placeholder_origin_cover%22%3A%22https%253A%252F%252Fp16-common-sign.tiktokcdn.com%252Ftos-alisg-p-0037%252FoII6IBDCjO5eAuDTDFnlfcxwmmfIkEtA4zjcC6~tplv-tiktokx-origin.jpeg%253Fdr%253D14572%2526refresh_token%253Df753a755%2526x-expires%253D1810116000%2526x-signature%253DQCkX54zpS35U0LJAO4bdD0mCz3M%25253D%2526t%253D4d5b0474%2526ps%253D13740610%2526shp%253Dd05b14bd%2526shcp%253D34ff8df6%2526idc%253Dmy2%2526s%253DTIKTOK_AFFILIATE_VIRAL_VIDEO%22%2C%22placeholder_product_id%22%3A%221729729730555512511%22%2C%22placeholder_video_id%22%3A%227636479614008741141%22%7D&amp;ec_shared_reflux_scene=shop_tab_feed&amp;share_item_id=7636479614008741141&amp;source=h5_t</v>
      </c>
      <c r="O552" s="464"/>
      <c r="P552" s="279" t="str">
        <f>IFERROR(__xludf.DUMMYFUNCTION("""COMPUTED_VALUE"""),"https://www.tiktok.com/@nolisnurjanah21/video/7636466719954881812?_r=1&amp;u_code=e85madfeelij2j&amp;region=&amp;mid=7628937677475810064&amp;preview_pb=0&amp;sharer_language=&amp;_d=0&amp;ec_shared_reflux_dynamic_params=%7B%22placeholder_material_id%22%3A%227636466719954881812%22%2C"&amp;"%22placeholder_origin_cover%22%3A%22https%253A%252F%252Fp16-common-sign.tiktokcdn.com%252Ftos-alisg-p-0037%252FoQN61Tti90IgCI5ImAi0ALTBwWuGAATgvofC40~tplv-tiktokx-origin.jpeg%253Fdr%253D14572%2526refresh_token%253D057287f0%2526x-expires%253D1810119600%252"&amp;"6x-signature%253DB944t8PNtOq1k1VK%25252BS7jpWQSfn8%25253D%2526t%253D4d5b0474%2526ps%253D13740610%2526shp%253Dd05b14bd%2526shcp%253D34ff8df6%2526idc%253Dmy2%2526s%253DTIKTOK_AFFILIATE_VIRAL_VIDEO%22%2C%22placeholder_product_id%22%3A%221729729730555512511%2"&amp;"2%2C%22placeholder_video_id%22%3A%227636466719954881812%22%7D&amp;ec_shared_reflux_scene=shop_tab_feed&amp;share_item_id=7636466719954881812&amp;source=h5_t")</f>
        <v>https://www.tiktok.com/@nolisnurjanah21/video/7636466719954881812?_r=1&amp;u_code=e85madfeelij2j&amp;region=&amp;mid=7628937677475810064&amp;preview_pb=0&amp;sharer_language=&amp;_d=0&amp;ec_shared_reflux_dynamic_params=%7B%22placeholder_material_id%22%3A%227636466719954881812%22%2C%22placeholder_origin_cover%22%3A%22https%253A%252F%252Fp16-common-sign.tiktokcdn.com%252Ftos-alisg-p-0037%252FoQN61Tti90IgCI5ImAi0ALTBwWuGAATgvofC40~tplv-tiktokx-origin.jpeg%253Fdr%253D14572%2526refresh_token%253D057287f0%2526x-expires%253D1810119600%2526x-signature%253DB944t8PNtOq1k1VK%25252BS7jpWQSfn8%25253D%2526t%253D4d5b0474%2526ps%253D13740610%2526shp%253Dd05b14bd%2526shcp%253D34ff8df6%2526idc%253Dmy2%2526s%253DTIKTOK_AFFILIATE_VIRAL_VIDEO%22%2C%22placeholder_product_id%22%3A%221729729730555512511%22%2C%22placeholder_video_id%22%3A%227636466719954881812%22%7D&amp;ec_shared_reflux_scene=shop_tab_feed&amp;share_item_id=7636466719954881812&amp;source=h5_t</v>
      </c>
    </row>
    <row r="553">
      <c r="A553" s="255" t="str">
        <f>IFERROR(__xludf.DUMMYFUNCTION("""COMPUTED_VALUE"""),"MICRO")</f>
        <v>MICRO</v>
      </c>
      <c r="B553" s="361" t="str">
        <f>IFERROR(__xludf.DUMMYFUNCTION("""COMPUTED_VALUE"""),"theycallmesheryl")</f>
        <v>theycallmesheryl</v>
      </c>
      <c r="C553" s="257" t="str">
        <f>IFERROR(__xludf.DUMMYFUNCTION("""COMPUTED_VALUE"""),"https://www.tiktok.com/@theycallmesheryl")</f>
        <v>https://www.tiktok.com/@theycallmesheryl</v>
      </c>
      <c r="D553" s="270">
        <f>IFERROR(__xludf.DUMMYFUNCTION("""COMPUTED_VALUE"""),8.1298519789E10)</f>
        <v>81298519789</v>
      </c>
      <c r="E553" s="457">
        <f>IFERROR(__xludf.DUMMYFUNCTION("""COMPUTED_VALUE"""),50000.0)</f>
        <v>50000</v>
      </c>
      <c r="F553" s="270">
        <f>IFERROR(__xludf.DUMMYFUNCTION("""COMPUTED_VALUE"""),4.0)</f>
        <v>4</v>
      </c>
      <c r="G553" s="17" t="str">
        <f>IFERROR(__xludf.DUMMYFUNCTION("""COMPUTED_VALUE"""),"Sabun batang 1 Box ( 2 PCS )")</f>
        <v>Sabun batang 1 Box ( 2 PCS )</v>
      </c>
      <c r="H553" s="463" t="str">
        <f>IFERROR(__xludf.DUMMYFUNCTION("""COMPUTED_VALUE"""),"Sampai")</f>
        <v>Sampai</v>
      </c>
      <c r="I553" s="464" t="str">
        <f>IFERROR(__xludf.DUMMYFUNCTION("""COMPUTED_VALUE"""),"KIMME")</f>
        <v>KIMME</v>
      </c>
      <c r="J553" s="279" t="str">
        <f>IFERROR(__xludf.DUMMYFUNCTION("""COMPUTED_VALUE"""),"https://vt.tiktok.com/ZSu7PMj4x/")</f>
        <v>https://vt.tiktok.com/ZSu7PMj4x/</v>
      </c>
      <c r="K553" s="464" t="str">
        <f>IFERROR(__xludf.DUMMYFUNCTION("""COMPUTED_VALUE"""),"KIMME")</f>
        <v>KIMME</v>
      </c>
      <c r="L553" s="279" t="str">
        <f>IFERROR(__xludf.DUMMYFUNCTION("""COMPUTED_VALUE"""),"https://vt.tiktok.com/ZSHJqaU9K/")</f>
        <v>https://vt.tiktok.com/ZSHJqaU9K/</v>
      </c>
      <c r="M553" s="464" t="str">
        <f>IFERROR(__xludf.DUMMYFUNCTION("""COMPUTED_VALUE"""),"KIMME")</f>
        <v>KIMME</v>
      </c>
      <c r="N553" s="279" t="str">
        <f>IFERROR(__xludf.DUMMYFUNCTION("""COMPUTED_VALUE"""),"https://vt.tiktok.com/ZSHkyq5SP/")</f>
        <v>https://vt.tiktok.com/ZSHkyq5SP/</v>
      </c>
      <c r="O553" s="464"/>
      <c r="P553" s="279" t="str">
        <f>IFERROR(__xludf.DUMMYFUNCTION("""COMPUTED_VALUE"""),"https://vt.tiktok.com/ZSHmRgGCG/")</f>
        <v>https://vt.tiktok.com/ZSHmRgGCG/</v>
      </c>
    </row>
    <row r="554">
      <c r="A554" s="255" t="str">
        <f>IFERROR(__xludf.DUMMYFUNCTION("""COMPUTED_VALUE"""),"MICRO")</f>
        <v>MICRO</v>
      </c>
      <c r="B554" s="361" t="str">
        <f>IFERROR(__xludf.DUMMYFUNCTION("""COMPUTED_VALUE"""),"emakiki571")</f>
        <v>emakiki571</v>
      </c>
      <c r="C554" s="257" t="str">
        <f>IFERROR(__xludf.DUMMYFUNCTION("""COMPUTED_VALUE"""),"https://www.tiktok.com/@emakiki571")</f>
        <v>https://www.tiktok.com/@emakiki571</v>
      </c>
      <c r="D554" s="270">
        <f>IFERROR(__xludf.DUMMYFUNCTION("""COMPUTED_VALUE"""),8.3173965689E10)</f>
        <v>83173965689</v>
      </c>
      <c r="E554" s="457">
        <f>IFERROR(__xludf.DUMMYFUNCTION("""COMPUTED_VALUE"""),0.0)</f>
        <v>0</v>
      </c>
      <c r="F554" s="270">
        <f>IFERROR(__xludf.DUMMYFUNCTION("""COMPUTED_VALUE"""),4.0)</f>
        <v>4</v>
      </c>
      <c r="G554" s="17" t="str">
        <f>IFERROR(__xludf.DUMMYFUNCTION("""COMPUTED_VALUE"""),"Sabun batang 1 Box ( 2 PCS )")</f>
        <v>Sabun batang 1 Box ( 2 PCS )</v>
      </c>
      <c r="H554" s="463" t="str">
        <f>IFERROR(__xludf.DUMMYFUNCTION("""COMPUTED_VALUE"""),"Sampai")</f>
        <v>Sampai</v>
      </c>
      <c r="I554" s="464" t="str">
        <f>IFERROR(__xludf.DUMMYFUNCTION("""COMPUTED_VALUE"""),"KIMME")</f>
        <v>KIMME</v>
      </c>
      <c r="J554" s="279" t="str">
        <f>IFERROR(__xludf.DUMMYFUNCTION("""COMPUTED_VALUE"""),"https://vt.tiktok.com/ZS9Ru5eBS/")</f>
        <v>https://vt.tiktok.com/ZS9Ru5eBS/</v>
      </c>
      <c r="K554" s="464" t="str">
        <f>IFERROR(__xludf.DUMMYFUNCTION("""COMPUTED_VALUE"""),"KIMME")</f>
        <v>KIMME</v>
      </c>
      <c r="L554" s="279" t="str">
        <f>IFERROR(__xludf.DUMMYFUNCTION("""COMPUTED_VALUE"""),"https://www.tiktok.com/@nolisnurjanah21/video/7636545868660755733?_r=1&amp;u_code=e85madfeelij2j&amp;region=&amp;mid=7597723882183609104&amp;preview_pb=0&amp;sharer_language=&amp;_d=0&amp;ec_shared_reflux_dynamic_params=%7B%22placeholder_material_id%22%3A%227636545868660755733%22%2C"&amp;"%22placeholder_origin_cover%22%3A%22https%253A%252F%252Fp16-common-sign.tiktokcdn.com%252Ftos-alisg-p-0037%252FowDp2TnCfqXEIUFj0WIBkxA4jdAf1D16UneIgD~tplv-tiktokx-origin.jpeg%253Fdr%253D14572%2526refresh_token%253D79a48800%2526x-expires%253D1810119600%252"&amp;"6x-signature%253DsuERUC0JkRya%25252FP4DfTFN6C4KvF4%25253D%2526t%253D4d5b0474%2526ps%253D13740610%2526shp%253Dd05b14bd%2526shcp%253D34ff8df6%2526idc%253Dmy2%2526s%253DTIKTOK_AFFILIATE_VIRAL_VIDEO%22%2C%22placeholder_product_id%22%3A%221729729730555512511%2"&amp;"2%2C%22placeholder_video_id%22%3A%227636545868660755733%22%7D&amp;ec_shared_reflux_scene=shop_tab_feed&amp;share_item_id=7636545868660755733&amp;source=h5_t")</f>
        <v>https://www.tiktok.com/@nolisnurjanah21/video/7636545868660755733?_r=1&amp;u_code=e85madfeelij2j&amp;region=&amp;mid=7597723882183609104&amp;preview_pb=0&amp;sharer_language=&amp;_d=0&amp;ec_shared_reflux_dynamic_params=%7B%22placeholder_material_id%22%3A%227636545868660755733%22%2C%22placeholder_origin_cover%22%3A%22https%253A%252F%252Fp16-common-sign.tiktokcdn.com%252Ftos-alisg-p-0037%252FowDp2TnCfqXEIUFj0WIBkxA4jdAf1D16UneIgD~tplv-tiktokx-origin.jpeg%253Fdr%253D14572%2526refresh_token%253D79a48800%2526x-expires%253D1810119600%2526x-signature%253DsuERUC0JkRya%25252FP4DfTFN6C4KvF4%25253D%2526t%253D4d5b0474%2526ps%253D13740610%2526shp%253Dd05b14bd%2526shcp%253D34ff8df6%2526idc%253Dmy2%2526s%253DTIKTOK_AFFILIATE_VIRAL_VIDEO%22%2C%22placeholder_product_id%22%3A%221729729730555512511%22%2C%22placeholder_video_id%22%3A%227636545868660755733%22%7D&amp;ec_shared_reflux_scene=shop_tab_feed&amp;share_item_id=7636545868660755733&amp;source=h5_t</v>
      </c>
      <c r="M554" s="464"/>
      <c r="N554" s="279" t="str">
        <f>IFERROR(__xludf.DUMMYFUNCTION("""COMPUTED_VALUE"""),"https://www.tiktok.com/@racun_spalspil12/video/7636480602534858005?_r=1&amp;u_code=cllj6j6aidf05b&amp;region=&amp;mid=7580087028324616193&amp;preview_pb=0&amp;sharer_language=&amp;_d=0&amp;ec_shared_reflux_dynamic_params=%7B%22placeholder_material_id%22%3A%227636480602534858005%22%2"&amp;"C%22placeholder_origin_cover%22%3A%22https%253A%252F%252Fp16-common-sign.tiktokcdn.com%252Ftos-alisg-p-0037%252Fo4fMCWrnRpkyIgiIOOqiuEBBBq3RfIR611cABB~tplv-tiktokx-origin.jpeg%253Fdr%253D14572%2526refresh_token%253Dbb395889%2526x-expires%253D1810116000%25"&amp;"26x-signature%253DVUy3PgppxgKDnNMD8zz20az%25252BiN4%25253D%2526t%253D4d5b0474%2526ps%253D13740610%2526shp%253Dd05b14bd%2526shcp%253D34ff8df6%2526idc%253Dmy2%2526s%253DTIKTOK_AFFILIATE_VIRAL_VIDEO%22%2C%22placeholder_product_id%22%3A%221729729730555512511%"&amp;"22%2C%22placeholder_video_id%22%3A%227636480602534858005%22%7D&amp;ec_shared_reflux_scene=shop_tab_feed&amp;share_item_id=7636480602534858005&amp;source=h5_t")</f>
        <v>https://www.tiktok.com/@racun_spalspil12/video/7636480602534858005?_r=1&amp;u_code=cllj6j6aidf05b&amp;region=&amp;mid=7580087028324616193&amp;preview_pb=0&amp;sharer_language=&amp;_d=0&amp;ec_shared_reflux_dynamic_params=%7B%22placeholder_material_id%22%3A%227636480602534858005%22%2C%22placeholder_origin_cover%22%3A%22https%253A%252F%252Fp16-common-sign.tiktokcdn.com%252Ftos-alisg-p-0037%252Fo4fMCWrnRpkyIgiIOOqiuEBBBq3RfIR611cABB~tplv-tiktokx-origin.jpeg%253Fdr%253D14572%2526refresh_token%253Dbb395889%2526x-expires%253D1810116000%2526x-signature%253DVUy3PgppxgKDnNMD8zz20az%25252BiN4%25253D%2526t%253D4d5b0474%2526ps%253D13740610%2526shp%253Dd05b14bd%2526shcp%253D34ff8df6%2526idc%253Dmy2%2526s%253DTIKTOK_AFFILIATE_VIRAL_VIDEO%22%2C%22placeholder_product_id%22%3A%221729729730555512511%22%2C%22placeholder_video_id%22%3A%227636480602534858005%22%7D&amp;ec_shared_reflux_scene=shop_tab_feed&amp;share_item_id=7636480602534858005&amp;source=h5_t</v>
      </c>
      <c r="O554" s="464"/>
      <c r="P554" s="279" t="str">
        <f>IFERROR(__xludf.DUMMYFUNCTION("""COMPUTED_VALUE"""),"https://www.tiktok.com/@racun_spalspil12/video/7636480028070432021?_r=1&amp;u_code=cllj6j6aidf05b&amp;region=&amp;mid=7592932992264276756&amp;preview_pb=0&amp;sharer_language=&amp;_d=0&amp;ec_shared_reflux_dynamic_params=%7B%22placeholder_material_id%22%3A%227636480028070432021%22%2"&amp;"C%22placeholder_origin_cover%22%3A%22https%253A%252F%252Fp16-common-sign.tiktokcdn.com%252Ftos-alisg-p-0037%252FoQEBuzpXCORdiy1EiRAv3IIB6gocfygB4vfxi6~tplv-tiktokx-origin.jpeg%253Fdr%253D14572%2526refresh_token%253D8740854c%2526x-expires%253D1810116000%25"&amp;"26x-signature%253DFSfSkg7EJbmMogEdpJdLYdLuBP8%25253D%2526t%253D4d5b0474%2526ps%253D13740610%2526shp%253Dd05b14bd%2526shcp%253D34ff8df6%2526idc%253Dmy2%2526s%253DTIKTOK_AFFILIATE_VIRAL_VIDEO%22%2C%22placeholder_product_id%22%3A%221729729730555512511%22%2C%"&amp;"22placeholder_video_id%22%3A%227636480028070432021%22%7D&amp;ec_shared_reflux_scene=shop_tab_feed&amp;share_item_id=7636480028070432021&amp;source=h5_t")</f>
        <v>https://www.tiktok.com/@racun_spalspil12/video/7636480028070432021?_r=1&amp;u_code=cllj6j6aidf05b&amp;region=&amp;mid=7592932992264276756&amp;preview_pb=0&amp;sharer_language=&amp;_d=0&amp;ec_shared_reflux_dynamic_params=%7B%22placeholder_material_id%22%3A%227636480028070432021%22%2C%22placeholder_origin_cover%22%3A%22https%253A%252F%252Fp16-common-sign.tiktokcdn.com%252Ftos-alisg-p-0037%252FoQEBuzpXCORdiy1EiRAv3IIB6gocfygB4vfxi6~tplv-tiktokx-origin.jpeg%253Fdr%253D14572%2526refresh_token%253D8740854c%2526x-expires%253D1810116000%2526x-signature%253DFSfSkg7EJbmMogEdpJdLYdLuBP8%25253D%2526t%253D4d5b0474%2526ps%253D13740610%2526shp%253Dd05b14bd%2526shcp%253D34ff8df6%2526idc%253Dmy2%2526s%253DTIKTOK_AFFILIATE_VIRAL_VIDEO%22%2C%22placeholder_product_id%22%3A%221729729730555512511%22%2C%22placeholder_video_id%22%3A%227636480028070432021%22%7D&amp;ec_shared_reflux_scene=shop_tab_feed&amp;share_item_id=7636480028070432021&amp;source=h5_t</v>
      </c>
    </row>
    <row r="555">
      <c r="A555" s="255" t="str">
        <f>IFERROR(__xludf.DUMMYFUNCTION("""COMPUTED_VALUE"""),"MICRO")</f>
        <v>MICRO</v>
      </c>
      <c r="B555" s="361" t="str">
        <f>IFERROR(__xludf.DUMMYFUNCTION("""COMPUTED_VALUE"""),"dwiolshop05")</f>
        <v>dwiolshop05</v>
      </c>
      <c r="C555" s="257" t="str">
        <f>IFERROR(__xludf.DUMMYFUNCTION("""COMPUTED_VALUE"""),"https://www.tiktok.com/@dwiolshop05")</f>
        <v>https://www.tiktok.com/@dwiolshop05</v>
      </c>
      <c r="D555" s="270">
        <f>IFERROR(__xludf.DUMMYFUNCTION("""COMPUTED_VALUE"""),8.5774019427E10)</f>
        <v>85774019427</v>
      </c>
      <c r="E555" s="457">
        <f>IFERROR(__xludf.DUMMYFUNCTION("""COMPUTED_VALUE"""),0.0)</f>
        <v>0</v>
      </c>
      <c r="F555" s="270">
        <f>IFERROR(__xludf.DUMMYFUNCTION("""COMPUTED_VALUE"""),4.0)</f>
        <v>4</v>
      </c>
      <c r="G555" s="17" t="str">
        <f>IFERROR(__xludf.DUMMYFUNCTION("""COMPUTED_VALUE"""),"Sabun batang 1 Box ( 2 PCS )")</f>
        <v>Sabun batang 1 Box ( 2 PCS )</v>
      </c>
      <c r="H555" s="463" t="str">
        <f>IFERROR(__xludf.DUMMYFUNCTION("""COMPUTED_VALUE"""),"Sampai")</f>
        <v>Sampai</v>
      </c>
      <c r="I555" s="464" t="str">
        <f>IFERROR(__xludf.DUMMYFUNCTION("""COMPUTED_VALUE"""),"KIMME")</f>
        <v>KIMME</v>
      </c>
      <c r="J555" s="279" t="str">
        <f>IFERROR(__xludf.DUMMYFUNCTION("""COMPUTED_VALUE"""),"https://www.tiktok.com/@racun_spalspil12/video/7636573967637318932?_r=1&amp;u_code=cllj6j6aidf05b&amp;region=&amp;mid=7514003816174454785&amp;preview_pb=0&amp;sharer_language=&amp;_d=0&amp;ec_shared_reflux_dynamic_params=%7B%22placeholder_material_id%22%3A%227636573967637318932%22%2"&amp;"C%22placeholder_origin_cover%22%3A%22https%253A%252F%252Fp16-common-sign.tiktokcdn.com%252Ftos-alisg-p-0037%252Fo8301A7sjwHeDIgnf6LeGFAGAHmi4Ig3GxG9Rf~tplv-tiktokx-origin.jpeg%253Fdr%253D14572%2526refresh_token%253D91593a8b%2526x-expires%253D1810116000%25"&amp;"26x-signature%253DIJJS509iMRgCNU3W5%25252F3HXAbH5V8%25253D%2526t%253D4d5b0474%2526ps%253D13740610%2526shp%253Dd05b14bd%2526shcp%253D34ff8df6%2526idc%253Dmy2%2526s%253DTIKTOK_AFFILIATE_VIRAL_VIDEO%22%2C%22placeholder_product_id%22%3A%221729729730555512511%"&amp;"22%2C%22placeholder_video_id%22%3A%227636573967637318932%22%7D&amp;ec_shared_reflux_scene=shop_tab_feed&amp;share_item_id=7636573967637318932&amp;source=h5_t")</f>
        <v>https://www.tiktok.com/@racun_spalspil12/video/7636573967637318932?_r=1&amp;u_code=cllj6j6aidf05b&amp;region=&amp;mid=7514003816174454785&amp;preview_pb=0&amp;sharer_language=&amp;_d=0&amp;ec_shared_reflux_dynamic_params=%7B%22placeholder_material_id%22%3A%227636573967637318932%22%2C%22placeholder_origin_cover%22%3A%22https%253A%252F%252Fp16-common-sign.tiktokcdn.com%252Ftos-alisg-p-0037%252Fo8301A7sjwHeDIgnf6LeGFAGAHmi4Ig3GxG9Rf~tplv-tiktokx-origin.jpeg%253Fdr%253D14572%2526refresh_token%253D91593a8b%2526x-expires%253D1810116000%2526x-signature%253DIJJS509iMRgCNU3W5%25252F3HXAbH5V8%25253D%2526t%253D4d5b0474%2526ps%253D13740610%2526shp%253Dd05b14bd%2526shcp%253D34ff8df6%2526idc%253Dmy2%2526s%253DTIKTOK_AFFILIATE_VIRAL_VIDEO%22%2C%22placeholder_product_id%22%3A%221729729730555512511%22%2C%22placeholder_video_id%22%3A%227636573967637318932%22%7D&amp;ec_shared_reflux_scene=shop_tab_feed&amp;share_item_id=7636573967637318932&amp;source=h5_t</v>
      </c>
      <c r="K555" s="464" t="str">
        <f>IFERROR(__xludf.DUMMYFUNCTION("""COMPUTED_VALUE"""),"KIMME")</f>
        <v>KIMME</v>
      </c>
      <c r="L555" s="279" t="str">
        <f>IFERROR(__xludf.DUMMYFUNCTION("""COMPUTED_VALUE"""),"https://www.tiktok.com/@racun_spalspil12/video/7636565484460133652?_r=1&amp;u_code=cllj6j6aidf05b&amp;region=&amp;mid=7582487626100296456&amp;preview_pb=0&amp;sharer_language=&amp;_d=0&amp;ec_shared_reflux_dynamic_params=%7B%22placeholder_material_id%22%3A%227636565484460133652%22%2"&amp;"C%22placeholder_origin_cover%22%3A%22https%253A%252F%252Fp16-common-sign.tiktokcdn.com%252Ftos-alisg-p-0037%252FoEINBdQA4GAFEEoDXbjmvefXzdDPDCQQJEeT91~tplv-tiktokx-origin.jpeg%253Fdr%253D14572%2526refresh_token%253D7177ace2%2526x-expires%253D1810116000%25"&amp;"26x-signature%253DQ3VJ8fqmp6N%25252BgKLjV0z3XnItFb0%25253D%2526t%253D4d5b0474%2526ps%253D13740610%2526shp%253Dd05b14bd%2526shcp%253D34ff8df6%2526idc%253Dmy2%2526s%253DTIKTOK_AFFILIATE_VIRAL_VIDEO%22%2C%22placeholder_product_id%22%3A%221729427766722726591%"&amp;"22%2C%22placeholder_video_id%22%3A%227636565484460133652%22%7D&amp;ec_shared_reflux_scene=shop_tab_feed&amp;share_item_id=7636565484460133652&amp;source=h5_t")</f>
        <v>https://www.tiktok.com/@racun_spalspil12/video/7636565484460133652?_r=1&amp;u_code=cllj6j6aidf05b&amp;region=&amp;mid=7582487626100296456&amp;preview_pb=0&amp;sharer_language=&amp;_d=0&amp;ec_shared_reflux_dynamic_params=%7B%22placeholder_material_id%22%3A%227636565484460133652%22%2C%22placeholder_origin_cover%22%3A%22https%253A%252F%252Fp16-common-sign.tiktokcdn.com%252Ftos-alisg-p-0037%252FoEINBdQA4GAFEEoDXbjmvefXzdDPDCQQJEeT91~tplv-tiktokx-origin.jpeg%253Fdr%253D14572%2526refresh_token%253D7177ace2%2526x-expires%253D1810116000%2526x-signature%253DQ3VJ8fqmp6N%25252BgKLjV0z3XnItFb0%25253D%2526t%253D4d5b0474%2526ps%253D13740610%2526shp%253Dd05b14bd%2526shcp%253D34ff8df6%2526idc%253Dmy2%2526s%253DTIKTOK_AFFILIATE_VIRAL_VIDEO%22%2C%22placeholder_product_id%22%3A%221729427766722726591%22%2C%22placeholder_video_id%22%3A%227636565484460133652%22%7D&amp;ec_shared_reflux_scene=shop_tab_feed&amp;share_item_id=7636565484460133652&amp;source=h5_t</v>
      </c>
      <c r="M555" s="464"/>
      <c r="N555" s="279" t="str">
        <f>IFERROR(__xludf.DUMMYFUNCTION("""COMPUTED_VALUE"""),"https://www.tiktok.com/@racun_spalspil12/video/7636571087425391893?_r=1&amp;u_code=cllj6j6aidf05b&amp;region=&amp;mid=7604473397582940177&amp;preview_pb=0&amp;sharer_language=&amp;_d=0&amp;ec_shared_reflux_dynamic_params=%7B%22placeholder_material_id%22%3A%227636571087425391893%22%2"&amp;"C%22placeholder_origin_cover%22%3A%22https%253A%252F%252Fp16-common-sign.tiktokcdn.com%252Ftos-alisg-p-0037%252FoUT44g6DtCJIoAFjfDbIwQCCFeI7AjfXkyjDEC~tplv-tiktokx-origin.jpeg%253Fdr%253D14572%2526refresh_token%253D92676746%2526x-expires%253D1810116000%25"&amp;"26x-signature%253DWCAUCViK30hgWtiysrBIyhk22RU%25253D%2526t%253D4d5b0474%2526ps%253D13740610%2526shp%253Dd05b14bd%2526shcp%253D34ff8df6%2526idc%253Dmy2%2526s%253DTIKTOK_AFFILIATE_VIRAL_VIDEO%22%2C%22placeholder_product_id%22%3A%221729729730555512511%22%2C%"&amp;"22placeholder_video_id%22%3A%227636571087425391893%22%7D&amp;ec_shared_reflux_scene=shop_tab_feed&amp;share_item_id=7636571087425391893&amp;source=h5_t")</f>
        <v>https://www.tiktok.com/@racun_spalspil12/video/7636571087425391893?_r=1&amp;u_code=cllj6j6aidf05b&amp;region=&amp;mid=7604473397582940177&amp;preview_pb=0&amp;sharer_language=&amp;_d=0&amp;ec_shared_reflux_dynamic_params=%7B%22placeholder_material_id%22%3A%227636571087425391893%22%2C%22placeholder_origin_cover%22%3A%22https%253A%252F%252Fp16-common-sign.tiktokcdn.com%252Ftos-alisg-p-0037%252FoUT44g6DtCJIoAFjfDbIwQCCFeI7AjfXkyjDEC~tplv-tiktokx-origin.jpeg%253Fdr%253D14572%2526refresh_token%253D92676746%2526x-expires%253D1810116000%2526x-signature%253DWCAUCViK30hgWtiysrBIyhk22RU%25253D%2526t%253D4d5b0474%2526ps%253D13740610%2526shp%253Dd05b14bd%2526shcp%253D34ff8df6%2526idc%253Dmy2%2526s%253DTIKTOK_AFFILIATE_VIRAL_VIDEO%22%2C%22placeholder_product_id%22%3A%221729729730555512511%22%2C%22placeholder_video_id%22%3A%227636571087425391893%22%7D&amp;ec_shared_reflux_scene=shop_tab_feed&amp;share_item_id=7636571087425391893&amp;source=h5_t</v>
      </c>
      <c r="O555" s="464"/>
      <c r="P555" s="279" t="str">
        <f>IFERROR(__xludf.DUMMYFUNCTION("""COMPUTED_VALUE"""),"https://www.tiktok.com/@racun_spalspil12/video/7637215804181777685?_r=1&amp;u_code=cllj6j6aidf05b&amp;region=&amp;mid=7604473397582940177&amp;preview_pb=0&amp;sharer_language=&amp;_d=0&amp;ec_shared_reflux_dynamic_params=%7B%22placeholder_material_id%22%3A%227637215804181777685%22%2"&amp;"C%22placeholder_origin_cover%22%3A%22https%253A%252F%252Fp16-common-sign.tiktokcdn.com%252Ftos-alisg-p-0037%252FoklE1XifyIBMj7BAuw3gf3ihp8IWR0YBc21m1B~tplv-tiktokx-origin.jpeg%253Fdr%253D14572%2526refresh_token%253Da1972b28%2526x-expires%253D1810116000%25"&amp;"26x-signature%253DAb1KtlMWFl6U8RIhuYzClKSg1K8%25253D%2526t%253D4d5b0474%2526ps%253D13740610%2526shp%253Dd05b14bd%2526shcp%253D34ff8df6%2526idc%253Dmy2%2526s%253DTIKTOK_AFFILIATE_VIRAL_VIDEO%22%2C%22placeholder_product_id%22%3A%221729729730555512511%22%2C%"&amp;"22placeholder_video_id%22%3A%227637215804181777685%22%7D&amp;ec_shared_reflux_scene=shop_tab_feed&amp;share_item_id=7637215804181777685&amp;source=h5_t")</f>
        <v>https://www.tiktok.com/@racun_spalspil12/video/7637215804181777685?_r=1&amp;u_code=cllj6j6aidf05b&amp;region=&amp;mid=7604473397582940177&amp;preview_pb=0&amp;sharer_language=&amp;_d=0&amp;ec_shared_reflux_dynamic_params=%7B%22placeholder_material_id%22%3A%227637215804181777685%22%2C%22placeholder_origin_cover%22%3A%22https%253A%252F%252Fp16-common-sign.tiktokcdn.com%252Ftos-alisg-p-0037%252FoklE1XifyIBMj7BAuw3gf3ihp8IWR0YBc21m1B~tplv-tiktokx-origin.jpeg%253Fdr%253D14572%2526refresh_token%253Da1972b28%2526x-expires%253D1810116000%2526x-signature%253DAb1KtlMWFl6U8RIhuYzClKSg1K8%25253D%2526t%253D4d5b0474%2526ps%253D13740610%2526shp%253Dd05b14bd%2526shcp%253D34ff8df6%2526idc%253Dmy2%2526s%253DTIKTOK_AFFILIATE_VIRAL_VIDEO%22%2C%22placeholder_product_id%22%3A%221729729730555512511%22%2C%22placeholder_video_id%22%3A%227637215804181777685%22%7D&amp;ec_shared_reflux_scene=shop_tab_feed&amp;share_item_id=7637215804181777685&amp;source=h5_t</v>
      </c>
    </row>
    <row r="556">
      <c r="A556" s="255" t="str">
        <f>IFERROR(__xludf.DUMMYFUNCTION("""COMPUTED_VALUE"""),"MICRO")</f>
        <v>MICRO</v>
      </c>
      <c r="B556" s="361" t="str">
        <f>IFERROR(__xludf.DUMMYFUNCTION("""COMPUTED_VALUE"""),"sans.brey
")</f>
        <v>sans.brey
</v>
      </c>
      <c r="C556" s="257" t="str">
        <f>IFERROR(__xludf.DUMMYFUNCTION("""COMPUTED_VALUE"""),"https://www.tiktok.com/@sans.brey
")</f>
        <v>https://www.tiktok.com/@sans.brey
</v>
      </c>
      <c r="D556" s="270">
        <f>IFERROR(__xludf.DUMMYFUNCTION("""COMPUTED_VALUE"""),8.95329574361E11)</f>
        <v>895329574361</v>
      </c>
      <c r="E556" s="457">
        <f>IFERROR(__xludf.DUMMYFUNCTION("""COMPUTED_VALUE"""),0.0)</f>
        <v>0</v>
      </c>
      <c r="F556" s="270">
        <f>IFERROR(__xludf.DUMMYFUNCTION("""COMPUTED_VALUE"""),4.0)</f>
        <v>4</v>
      </c>
      <c r="G556" s="17" t="str">
        <f>IFERROR(__xludf.DUMMYFUNCTION("""COMPUTED_VALUE"""),"Sabun batang 1 Box ( 2 PCS )")</f>
        <v>Sabun batang 1 Box ( 2 PCS )</v>
      </c>
      <c r="H556" s="463" t="str">
        <f>IFERROR(__xludf.DUMMYFUNCTION("""COMPUTED_VALUE"""),"Sampai")</f>
        <v>Sampai</v>
      </c>
      <c r="I556" s="464" t="str">
        <f>IFERROR(__xludf.DUMMYFUNCTION("""COMPUTED_VALUE"""),"KIMME")</f>
        <v>KIMME</v>
      </c>
      <c r="J556" s="279" t="str">
        <f>IFERROR(__xludf.DUMMYFUNCTION("""COMPUTED_VALUE"""),"https://www.tiktok.com/@sans.brey/video/7622319807144267029?is_from_webapp=1&amp;sender_device=pc")</f>
        <v>https://www.tiktok.com/@sans.brey/video/7622319807144267029?is_from_webapp=1&amp;sender_device=pc</v>
      </c>
      <c r="K556" s="464" t="str">
        <f>IFERROR(__xludf.DUMMYFUNCTION("""COMPUTED_VALUE"""),"KIMME")</f>
        <v>KIMME</v>
      </c>
      <c r="L556" s="279" t="str">
        <f>IFERROR(__xludf.DUMMYFUNCTION("""COMPUTED_VALUE"""),"https://www.tiktok.com/@sans.brey/video/7622559197825191188?is_from_webapp=1&amp;sender_device=pc")</f>
        <v>https://www.tiktok.com/@sans.brey/video/7622559197825191188?is_from_webapp=1&amp;sender_device=pc</v>
      </c>
      <c r="M556" s="464" t="str">
        <f>IFERROR(__xludf.DUMMYFUNCTION("""COMPUTED_VALUE"""),"KIMME")</f>
        <v>KIMME</v>
      </c>
      <c r="N556" s="279" t="str">
        <f>IFERROR(__xludf.DUMMYFUNCTION("""COMPUTED_VALUE"""),"https://www.tiktok.com/@sans.brey/video/7623369902551829780?is_from_webapp=1&amp;sender_device=pc")</f>
        <v>https://www.tiktok.com/@sans.brey/video/7623369902551829780?is_from_webapp=1&amp;sender_device=pc</v>
      </c>
      <c r="O556" s="464"/>
      <c r="P556" s="279" t="str">
        <f>IFERROR(__xludf.DUMMYFUNCTION("""COMPUTED_VALUE"""),"https://www.tiktok.com/@sans.brey/video/7623971392509283605?is_from_webapp=1&amp;sender_device=pc")</f>
        <v>https://www.tiktok.com/@sans.brey/video/7623971392509283605?is_from_webapp=1&amp;sender_device=pc</v>
      </c>
    </row>
    <row r="557">
      <c r="A557" s="255" t="str">
        <f>IFERROR(__xludf.DUMMYFUNCTION("""COMPUTED_VALUE"""),"MICRO")</f>
        <v>MICRO</v>
      </c>
      <c r="B557" s="361" t="str">
        <f>IFERROR(__xludf.DUMMYFUNCTION("""COMPUTED_VALUE"""),"athaya.nadila.sor
")</f>
        <v>athaya.nadila.sor
</v>
      </c>
      <c r="C557" s="257" t="str">
        <f>IFERROR(__xludf.DUMMYFUNCTION("""COMPUTED_VALUE"""),"https://www.tiktok.com/@athaya.nadila.sor
")</f>
        <v>https://www.tiktok.com/@athaya.nadila.sor
</v>
      </c>
      <c r="D557" s="270">
        <f>IFERROR(__xludf.DUMMYFUNCTION("""COMPUTED_VALUE"""),8.1221026745E10)</f>
        <v>81221026745</v>
      </c>
      <c r="E557" s="457">
        <f>IFERROR(__xludf.DUMMYFUNCTION("""COMPUTED_VALUE"""),0.0)</f>
        <v>0</v>
      </c>
      <c r="F557" s="270">
        <f>IFERROR(__xludf.DUMMYFUNCTION("""COMPUTED_VALUE"""),4.0)</f>
        <v>4</v>
      </c>
      <c r="G557" s="17" t="str">
        <f>IFERROR(__xludf.DUMMYFUNCTION("""COMPUTED_VALUE"""),"Sabun batang 1 Box ( 2 PCS )")</f>
        <v>Sabun batang 1 Box ( 2 PCS )</v>
      </c>
      <c r="H557" s="463" t="str">
        <f>IFERROR(__xludf.DUMMYFUNCTION("""COMPUTED_VALUE"""),"Sampai")</f>
        <v>Sampai</v>
      </c>
      <c r="I557" s="464" t="str">
        <f>IFERROR(__xludf.DUMMYFUNCTION("""COMPUTED_VALUE"""),"KIMME")</f>
        <v>KIMME</v>
      </c>
      <c r="J557" s="279" t="str">
        <f>IFERROR(__xludf.DUMMYFUNCTION("""COMPUTED_VALUE"""),"https://www.tiktok.com/@athaya.nadila.sor/video/7619166568416546069")</f>
        <v>https://www.tiktok.com/@athaya.nadila.sor/video/7619166568416546069</v>
      </c>
      <c r="K557" s="464" t="str">
        <f>IFERROR(__xludf.DUMMYFUNCTION("""COMPUTED_VALUE"""),"KIMME")</f>
        <v>KIMME</v>
      </c>
      <c r="L557" s="279" t="str">
        <f>IFERROR(__xludf.DUMMYFUNCTION("""COMPUTED_VALUE"""),"https://www.tiktok.com/@racun_spalspil12/video/7636576477621832981?_r=1&amp;u_code=cllj6j6aidf05b&amp;region=&amp;mid=7498623449464687415&amp;preview_pb=0&amp;sharer_language=&amp;_d=0&amp;ec_shared_reflux_dynamic_params=%7B%22placeholder_material_id%22%3A%227636576477621832981%22%2"&amp;"C%22placeholder_origin_cover%22%3A%22https%253A%252F%252Fp16-common-sign.tiktokcdn.com%252Ftos-alisg-p-0037%252FoYSTC1ZhI7eLmnIAxAlg9IOejNLmGDHAIekgw4~tplv-tiktokx-origin.jpeg%253Fdr%253D14572%2526refresh_token%253Dfc083f88%2526x-expires%253D1810116000%25"&amp;"26x-signature%253DgjtMTHADETf8MX6NfhrQeSxlWkU%25253D%2526t%253D4d5b0474%2526ps%253D13740610%2526shp%253Dd05b14bd%2526shcp%253D34ff8df6%2526idc%253Dmy2%2526s%253DTIKTOK_AFFILIATE_VIRAL_VIDEO%22%2C%22placeholder_product_id%22%3A%221729729730555512511%22%2C%"&amp;"22placeholder_video_id%22%3A%227636576477621832981%22%7D&amp;ec_shared_reflux_scene=shop_tab_feed&amp;share_item_id=7636576477621832981&amp;source=h5_t")</f>
        <v>https://www.tiktok.com/@racun_spalspil12/video/7636576477621832981?_r=1&amp;u_code=cllj6j6aidf05b&amp;region=&amp;mid=7498623449464687415&amp;preview_pb=0&amp;sharer_language=&amp;_d=0&amp;ec_shared_reflux_dynamic_params=%7B%22placeholder_material_id%22%3A%227636576477621832981%22%2C%22placeholder_origin_cover%22%3A%22https%253A%252F%252Fp16-common-sign.tiktokcdn.com%252Ftos-alisg-p-0037%252FoYSTC1ZhI7eLmnIAxAlg9IOejNLmGDHAIekgw4~tplv-tiktokx-origin.jpeg%253Fdr%253D14572%2526refresh_token%253Dfc083f88%2526x-expires%253D1810116000%2526x-signature%253DgjtMTHADETf8MX6NfhrQeSxlWkU%25253D%2526t%253D4d5b0474%2526ps%253D13740610%2526shp%253Dd05b14bd%2526shcp%253D34ff8df6%2526idc%253Dmy2%2526s%253DTIKTOK_AFFILIATE_VIRAL_VIDEO%22%2C%22placeholder_product_id%22%3A%221729729730555512511%22%2C%22placeholder_video_id%22%3A%227636576477621832981%22%7D&amp;ec_shared_reflux_scene=shop_tab_feed&amp;share_item_id=7636576477621832981&amp;source=h5_t</v>
      </c>
      <c r="M557" s="464"/>
      <c r="N557" s="279" t="str">
        <f>IFERROR(__xludf.DUMMYFUNCTION("""COMPUTED_VALUE"""),"https://www.tiktok.com/@racun_spalspil12/video/7637215330879802645?_r=1&amp;u_code=cllj6j6aidf05b&amp;region=&amp;mid=7585367255886727943&amp;preview_pb=0&amp;sharer_language=&amp;_d=0&amp;ec_shared_reflux_dynamic_params=%7B%22placeholder_material_id%22%3A%227637215330879802645%22%2"&amp;"C%22placeholder_origin_cover%22%3A%22https%253A%252F%252Fp16-common-sign.tiktokcdn.com%252Ftos-alisg-p-0037%252FoQiauzMTfAQtDkfBi8lNTj1C4t8fIEPZIZRAIB~tplv-tiktokx-origin.jpeg%253Fdr%253D14572%2526refresh_token%253Dbf67f03a%2526x-expires%253D1810116000%25"&amp;"26x-signature%253DS%25252FbaXZx93O7a5QvmNkKneiuf9mI%25253D%2526t%253D4d5b0474%2526ps%253D13740610%2526shp%253Dd05b14bd%2526shcp%253D34ff8df6%2526idc%253Dmy2%2526s%253DTIKTOK_AFFILIATE_VIRAL_VIDEO%22%2C%22placeholder_product_id%22%3A%221729729730555512511%"&amp;"22%2C%22placeholder_video_id%22%3A%227637215330879802645%22%7D&amp;ec_shared_reflux_scene=shop_tab_feed&amp;share_item_id=7637215330879802645&amp;source=h5_t")</f>
        <v>https://www.tiktok.com/@racun_spalspil12/video/7637215330879802645?_r=1&amp;u_code=cllj6j6aidf05b&amp;region=&amp;mid=7585367255886727943&amp;preview_pb=0&amp;sharer_language=&amp;_d=0&amp;ec_shared_reflux_dynamic_params=%7B%22placeholder_material_id%22%3A%227637215330879802645%22%2C%22placeholder_origin_cover%22%3A%22https%253A%252F%252Fp16-common-sign.tiktokcdn.com%252Ftos-alisg-p-0037%252FoQiauzMTfAQtDkfBi8lNTj1C4t8fIEPZIZRAIB~tplv-tiktokx-origin.jpeg%253Fdr%253D14572%2526refresh_token%253Dbf67f03a%2526x-expires%253D1810116000%2526x-signature%253DS%25252FbaXZx93O7a5QvmNkKneiuf9mI%25253D%2526t%253D4d5b0474%2526ps%253D13740610%2526shp%253Dd05b14bd%2526shcp%253D34ff8df6%2526idc%253Dmy2%2526s%253DTIKTOK_AFFILIATE_VIRAL_VIDEO%22%2C%22placeholder_product_id%22%3A%221729729730555512511%22%2C%22placeholder_video_id%22%3A%227637215330879802645%22%7D&amp;ec_shared_reflux_scene=shop_tab_feed&amp;share_item_id=7637215330879802645&amp;source=h5_t</v>
      </c>
      <c r="O557" s="464"/>
      <c r="P557" s="279" t="str">
        <f>IFERROR(__xludf.DUMMYFUNCTION("""COMPUTED_VALUE"""),"https://www.tiktok.com/@racun_spalspil12/video/7636601443658501397?_r=1&amp;u_code=cllj6j6aidf05b&amp;region=&amp;mid=7604121927885359105&amp;preview_pb=0&amp;sharer_language=&amp;_d=0&amp;ec_shared_reflux_dynamic_params=%7B%22placeholder_material_id%22%3A%227636601443658501397%22%2"&amp;"C%22placeholder_origin_cover%22%3A%22https%253A%252F%252Fp16-common-sign.tiktokcdn.com%252Ftos-alisg-p-0037%252FoIqCEiZBw40ANoJiPr0IABA8IN6sJfIRqiTPmu~tplv-tiktokx-origin.jpeg%253Fdr%253D14572%2526refresh_token%253Ddac9f6d5%2526x-expires%253D1810116000%25"&amp;"26x-signature%253DKldqwj67zIjJnXVkbhkoFbMciDU%25253D%2526t%253D4d5b0474%2526ps%253D13740610%2526shp%253Dd05b14bd%2526shcp%253D34ff8df6%2526idc%253Dmy2%2526s%253DTIKTOK_AFFILIATE_VIRAL_VIDEO%22%2C%22placeholder_product_id%22%3A%221729729730555512511%22%2C%"&amp;"22placeholder_video_id%22%3A%227636601443658501397%22%7D&amp;ec_shared_reflux_scene=shop_tab_feed&amp;share_item_id=7636601443658501397&amp;source=h5_t")</f>
        <v>https://www.tiktok.com/@racun_spalspil12/video/7636601443658501397?_r=1&amp;u_code=cllj6j6aidf05b&amp;region=&amp;mid=7604121927885359105&amp;preview_pb=0&amp;sharer_language=&amp;_d=0&amp;ec_shared_reflux_dynamic_params=%7B%22placeholder_material_id%22%3A%227636601443658501397%22%2C%22placeholder_origin_cover%22%3A%22https%253A%252F%252Fp16-common-sign.tiktokcdn.com%252Ftos-alisg-p-0037%252FoIqCEiZBw40ANoJiPr0IABA8IN6sJfIRqiTPmu~tplv-tiktokx-origin.jpeg%253Fdr%253D14572%2526refresh_token%253Ddac9f6d5%2526x-expires%253D1810116000%2526x-signature%253DKldqwj67zIjJnXVkbhkoFbMciDU%25253D%2526t%253D4d5b0474%2526ps%253D13740610%2526shp%253Dd05b14bd%2526shcp%253D34ff8df6%2526idc%253Dmy2%2526s%253DTIKTOK_AFFILIATE_VIRAL_VIDEO%22%2C%22placeholder_product_id%22%3A%221729729730555512511%22%2C%22placeholder_video_id%22%3A%227636601443658501397%22%7D&amp;ec_shared_reflux_scene=shop_tab_feed&amp;share_item_id=7636601443658501397&amp;source=h5_t</v>
      </c>
    </row>
    <row r="558">
      <c r="A558" s="255" t="str">
        <f>IFERROR(__xludf.DUMMYFUNCTION("""COMPUTED_VALUE"""),"MICRO")</f>
        <v>MICRO</v>
      </c>
      <c r="B558" s="361" t="str">
        <f>IFERROR(__xludf.DUMMYFUNCTION("""COMPUTED_VALUE"""),"najwashya")</f>
        <v>najwashya</v>
      </c>
      <c r="C558" s="257" t="str">
        <f>IFERROR(__xludf.DUMMYFUNCTION("""COMPUTED_VALUE"""),"https://www.tiktok.com/@najwashya")</f>
        <v>https://www.tiktok.com/@najwashya</v>
      </c>
      <c r="D558" s="270">
        <f>IFERROR(__xludf.DUMMYFUNCTION("""COMPUTED_VALUE"""),8.7723898652E10)</f>
        <v>87723898652</v>
      </c>
      <c r="E558" s="457">
        <f>IFERROR(__xludf.DUMMYFUNCTION("""COMPUTED_VALUE"""),100000.0)</f>
        <v>100000</v>
      </c>
      <c r="F558" s="270">
        <f>IFERROR(__xludf.DUMMYFUNCTION("""COMPUTED_VALUE"""),1.0)</f>
        <v>1</v>
      </c>
      <c r="G558" s="17" t="str">
        <f>IFERROR(__xludf.DUMMYFUNCTION("""COMPUTED_VALUE"""),"Sabun batang 1 Box ( 2 PCS )")</f>
        <v>Sabun batang 1 Box ( 2 PCS )</v>
      </c>
      <c r="H558" s="463" t="str">
        <f>IFERROR(__xludf.DUMMYFUNCTION("""COMPUTED_VALUE"""),"Sampai")</f>
        <v>Sampai</v>
      </c>
      <c r="I558" s="464" t="str">
        <f>IFERROR(__xludf.DUMMYFUNCTION("""COMPUTED_VALUE"""),"KIMME")</f>
        <v>KIMME</v>
      </c>
      <c r="J558" s="279" t="str">
        <f>IFERROR(__xludf.DUMMYFUNCTION("""COMPUTED_VALUE"""),"https://vt.tiktok.com/ZS9ePTGJD/")</f>
        <v>https://vt.tiktok.com/ZS9ePTGJD/</v>
      </c>
      <c r="K558" s="464" t="str">
        <f>IFERROR(__xludf.DUMMYFUNCTION("""COMPUTED_VALUE"""),"KIMME")</f>
        <v>KIMME</v>
      </c>
      <c r="L558" s="279" t="str">
        <f>IFERROR(__xludf.DUMMYFUNCTION("""COMPUTED_VALUE"""),"https://www.tiktok.com/@racun_spalspil12/video/7636585486609370389?_r=1&amp;u_code=cllj6j6aidf05b&amp;region=&amp;mid=7497471422952917815&amp;preview_pb=0&amp;sharer_language=&amp;_d=0&amp;ec_shared_reflux_dynamic_params=%7B%22placeholder_material_id%22%3A%227636585486609370389%22%2"&amp;"C%22placeholder_origin_cover%22%3A%22https%253A%252F%252Fp16-common-sign.tiktokcdn.com%252Ftos-alisg-p-0037%252Fo8mRf6Ezevl0AFwifn2rGRAfdgQ84GlYQ6mhnx~tplv-tiktokx-origin.jpeg%253Fdr%253D14572%2526refresh_token%253Deb33d3e0%2526x-expires%253D1810116000%25"&amp;"26x-signature%253DgDCjOrSfmjKzfzqTnBFENPFiGdQ%25253D%2526t%253D4d5b0474%2526ps%253D13740610%2526shp%253Dd05b14bd%2526shcp%253D34ff8df6%2526idc%253Dmy2%2526s%253DTIKTOK_AFFILIATE_VIRAL_VIDEO%22%2C%22placeholder_product_id%22%3A%221729729730555512511%22%2C%"&amp;"22placeholder_video_id%22%3A%227636585486609370389%22%7D&amp;ec_shared_reflux_scene=shop_tab_feed&amp;share_item_id=7636585486609370389&amp;source=h5_t")</f>
        <v>https://www.tiktok.com/@racun_spalspil12/video/7636585486609370389?_r=1&amp;u_code=cllj6j6aidf05b&amp;region=&amp;mid=7497471422952917815&amp;preview_pb=0&amp;sharer_language=&amp;_d=0&amp;ec_shared_reflux_dynamic_params=%7B%22placeholder_material_id%22%3A%227636585486609370389%22%2C%22placeholder_origin_cover%22%3A%22https%253A%252F%252Fp16-common-sign.tiktokcdn.com%252Ftos-alisg-p-0037%252Fo8mRf6Ezevl0AFwifn2rGRAfdgQ84GlYQ6mhnx~tplv-tiktokx-origin.jpeg%253Fdr%253D14572%2526refresh_token%253Deb33d3e0%2526x-expires%253D1810116000%2526x-signature%253DgDCjOrSfmjKzfzqTnBFENPFiGdQ%25253D%2526t%253D4d5b0474%2526ps%253D13740610%2526shp%253Dd05b14bd%2526shcp%253D34ff8df6%2526idc%253Dmy2%2526s%253DTIKTOK_AFFILIATE_VIRAL_VIDEO%22%2C%22placeholder_product_id%22%3A%221729729730555512511%22%2C%22placeholder_video_id%22%3A%227636585486609370389%22%7D&amp;ec_shared_reflux_scene=shop_tab_feed&amp;share_item_id=7636585486609370389&amp;source=h5_t</v>
      </c>
      <c r="M558" s="464"/>
      <c r="N558" s="279" t="str">
        <f>IFERROR(__xludf.DUMMYFUNCTION("""COMPUTED_VALUE"""),"https://www.tiktok.com/@racun_spalspil12/video/7636589109049314580?_r=1&amp;u_code=cllj6j6aidf05b&amp;region=&amp;mid=7526377439288314641&amp;preview_pb=0&amp;sharer_language=&amp;_d=0&amp;ec_shared_reflux_dynamic_params=%7B%22placeholder_material_id%22%3A%227636589109049314580%22%2"&amp;"C%22placeholder_origin_cover%22%3A%22https%253A%252F%252Fp16-common-sign.tiktokcdn.com%252Ftos-alisg-p-0037%252FoUIX6p4EnBUcIgRl0VIAbiiB6nBYGfBljfzUWc~tplv-tiktokx-origin.jpeg%253Fdr%253D14572%2526refresh_token%253D88d6d167%2526x-expires%253D1810116000%25"&amp;"26x-signature%253DreieU%25252FOl6%25252BojnQNsNGp4fdRiU6w%25253D%2526t%253D4d5b0474%2526ps%253D13740610%2526shp%253Dd05b14bd%2526shcp%253D34ff8df6%2526idc%253Dmy2%2526s%253DTIKTOK_AFFILIATE_VIRAL_VIDEO%22%2C%22placeholder_product_id%22%3A%2217297297305555"&amp;"12511%22%2C%22placeholder_video_id%22%3A%227636589109049314580%22%7D&amp;ec_shared_reflux_scene=shop_tab_feed&amp;share_item_id=7636589109049314580&amp;source=h5_t")</f>
        <v>https://www.tiktok.com/@racun_spalspil12/video/7636589109049314580?_r=1&amp;u_code=cllj6j6aidf05b&amp;region=&amp;mid=7526377439288314641&amp;preview_pb=0&amp;sharer_language=&amp;_d=0&amp;ec_shared_reflux_dynamic_params=%7B%22placeholder_material_id%22%3A%227636589109049314580%22%2C%22placeholder_origin_cover%22%3A%22https%253A%252F%252Fp16-common-sign.tiktokcdn.com%252Ftos-alisg-p-0037%252FoUIX6p4EnBUcIgRl0VIAbiiB6nBYGfBljfzUWc~tplv-tiktokx-origin.jpeg%253Fdr%253D14572%2526refresh_token%253D88d6d167%2526x-expires%253D1810116000%2526x-signature%253DreieU%25252FOl6%25252BojnQNsNGp4fdRiU6w%25253D%2526t%253D4d5b0474%2526ps%253D13740610%2526shp%253Dd05b14bd%2526shcp%253D34ff8df6%2526idc%253Dmy2%2526s%253DTIKTOK_AFFILIATE_VIRAL_VIDEO%22%2C%22placeholder_product_id%22%3A%221729729730555512511%22%2C%22placeholder_video_id%22%3A%227636589109049314580%22%7D&amp;ec_shared_reflux_scene=shop_tab_feed&amp;share_item_id=7636589109049314580&amp;source=h5_t</v>
      </c>
      <c r="O558" s="464"/>
      <c r="P558" s="279" t="str">
        <f>IFERROR(__xludf.DUMMYFUNCTION("""COMPUTED_VALUE"""),"https://www.tiktok.com/@racun_spalspil12/video/7636601222341954836?_r=1&amp;u_code=cllj6j6aidf05b&amp;region=&amp;mid=7579718956010031120&amp;preview_pb=0&amp;sharer_language=&amp;_d=0&amp;ec_shared_reflux_dynamic_params=%7B%22placeholder_material_id%22%3A%227636601222341954836%22%2"&amp;"C%22placeholder_origin_cover%22%3A%22https%253A%252F%252Fp16-common-sign.tiktokcdn.com%252Ftos-alisg-p-0037%252FogVB7xrfn6npiBAzIQGVRq8BgiGEcQB8rxfCIn~tplv-tiktokx-origin.jpeg%253Fdr%253D14572%2526refresh_token%253D03e34efc%2526x-expires%253D1810116000%25"&amp;"26x-signature%253DBqbxpWRBJuc1SzJsqy3dcCt9mfg%25253D%2526t%253D4d5b0474%2526ps%253D13740610%2526shp%253Dd05b14bd%2526shcp%253D34ff8df6%2526idc%253Dmy2%2526s%253DTIKTOK_AFFILIATE_VIRAL_VIDEO%22%2C%22placeholder_product_id%22%3A%221729729730555512511%22%2C%"&amp;"22placeholder_video_id%22%3A%227636601222341954836%22%7D&amp;ec_shared_reflux_scene=shop_tab_feed&amp;share_item_id=7636601222341954836&amp;source=h5_t")</f>
        <v>https://www.tiktok.com/@racun_spalspil12/video/7636601222341954836?_r=1&amp;u_code=cllj6j6aidf05b&amp;region=&amp;mid=7579718956010031120&amp;preview_pb=0&amp;sharer_language=&amp;_d=0&amp;ec_shared_reflux_dynamic_params=%7B%22placeholder_material_id%22%3A%227636601222341954836%22%2C%22placeholder_origin_cover%22%3A%22https%253A%252F%252Fp16-common-sign.tiktokcdn.com%252Ftos-alisg-p-0037%252FogVB7xrfn6npiBAzIQGVRq8BgiGEcQB8rxfCIn~tplv-tiktokx-origin.jpeg%253Fdr%253D14572%2526refresh_token%253D03e34efc%2526x-expires%253D1810116000%2526x-signature%253DBqbxpWRBJuc1SzJsqy3dcCt9mfg%25253D%2526t%253D4d5b0474%2526ps%253D13740610%2526shp%253Dd05b14bd%2526shcp%253D34ff8df6%2526idc%253Dmy2%2526s%253DTIKTOK_AFFILIATE_VIRAL_VIDEO%22%2C%22placeholder_product_id%22%3A%221729729730555512511%22%2C%22placeholder_video_id%22%3A%227636601222341954836%22%7D&amp;ec_shared_reflux_scene=shop_tab_feed&amp;share_item_id=7636601222341954836&amp;source=h5_t</v>
      </c>
    </row>
    <row r="559">
      <c r="A559" s="255" t="str">
        <f>IFERROR(__xludf.DUMMYFUNCTION("""COMPUTED_VALUE"""),"MICRO")</f>
        <v>MICRO</v>
      </c>
      <c r="B559" s="361" t="str">
        <f>IFERROR(__xludf.DUMMYFUNCTION("""COMPUTED_VALUE"""),"3ka9907")</f>
        <v>3ka9907</v>
      </c>
      <c r="C559" s="257" t="str">
        <f>IFERROR(__xludf.DUMMYFUNCTION("""COMPUTED_VALUE"""),"https://www.tiktok.com/@3ka9907")</f>
        <v>https://www.tiktok.com/@3ka9907</v>
      </c>
      <c r="D559" s="270">
        <f>IFERROR(__xludf.DUMMYFUNCTION("""COMPUTED_VALUE"""),8.5213916226E10)</f>
        <v>85213916226</v>
      </c>
      <c r="E559" s="457">
        <f>IFERROR(__xludf.DUMMYFUNCTION("""COMPUTED_VALUE"""),0.0)</f>
        <v>0</v>
      </c>
      <c r="F559" s="270">
        <f>IFERROR(__xludf.DUMMYFUNCTION("""COMPUTED_VALUE"""),4.0)</f>
        <v>4</v>
      </c>
      <c r="G559" s="17" t="str">
        <f>IFERROR(__xludf.DUMMYFUNCTION("""COMPUTED_VALUE"""),"Sabun batang 1 Box ( 2 PCS )")</f>
        <v>Sabun batang 1 Box ( 2 PCS )</v>
      </c>
      <c r="H559" s="463" t="str">
        <f>IFERROR(__xludf.DUMMYFUNCTION("""COMPUTED_VALUE"""),"Sampai")</f>
        <v>Sampai</v>
      </c>
      <c r="I559" s="464" t="str">
        <f>IFERROR(__xludf.DUMMYFUNCTION("""COMPUTED_VALUE"""),"KIMME")</f>
        <v>KIMME</v>
      </c>
      <c r="J559" s="279" t="str">
        <f>IFERROR(__xludf.DUMMYFUNCTION("""COMPUTED_VALUE"""),"https://www.tiktok.com/@nolisnurjanah21/video/7636582535035653397?_r=1&amp;u_code=e85madfeelij2j&amp;region=&amp;mid=7439769114812025655&amp;preview_pb=0&amp;sharer_language=&amp;_d=0&amp;ec_shared_reflux_dynamic_params=%7B%22placeholder_material_id%22%3A%227636582535035653397%22%2C"&amp;"%22placeholder_origin_cover%22%3A%22https%253A%252F%252Fp16-common-sign.tiktokcdn.com%252Ftos-alisg-p-0037%252FoAPGxsGhLBGf6L1SaGeWAFYRm7fQQwEeAnl3dI~tplv-tiktokx-origin.jpeg%253Fdr%253D14572%2526refresh_token%253D78d278e6%2526x-expires%253D1810119600%252"&amp;"6x-signature%253D%25252B695aq8V%25252BxHRUnUC5YM%25252F6ORhqIk%25253D%2526t%253D4d5b0474%2526ps%253D13740610%2526shp%253Dd05b14bd%2526shcp%253D34ff8df6%2526idc%253Dmy2%2526s%253DTIKTOK_AFFILIATE_VIRAL_VIDEO%22%2C%22placeholder_product_id%22%3A%22172972973"&amp;"0555512511%22%2C%22placeholder_video_id%22%3A%227636582535035653397%22%7D&amp;ec_shared_reflux_scene=shop_tab_feed&amp;share_item_id=7636582535035653397&amp;source=h5_t")</f>
        <v>https://www.tiktok.com/@nolisnurjanah21/video/7636582535035653397?_r=1&amp;u_code=e85madfeelij2j&amp;region=&amp;mid=7439769114812025655&amp;preview_pb=0&amp;sharer_language=&amp;_d=0&amp;ec_shared_reflux_dynamic_params=%7B%22placeholder_material_id%22%3A%227636582535035653397%22%2C%22placeholder_origin_cover%22%3A%22https%253A%252F%252Fp16-common-sign.tiktokcdn.com%252Ftos-alisg-p-0037%252FoAPGxsGhLBGf6L1SaGeWAFYRm7fQQwEeAnl3dI~tplv-tiktokx-origin.jpeg%253Fdr%253D14572%2526refresh_token%253D78d278e6%2526x-expires%253D1810119600%2526x-signature%253D%25252B695aq8V%25252BxHRUnUC5YM%25252F6ORhqIk%25253D%2526t%253D4d5b0474%2526ps%253D13740610%2526shp%253Dd05b14bd%2526shcp%253D34ff8df6%2526idc%253Dmy2%2526s%253DTIKTOK_AFFILIATE_VIRAL_VIDEO%22%2C%22placeholder_product_id%22%3A%221729729730555512511%22%2C%22placeholder_video_id%22%3A%227636582535035653397%22%7D&amp;ec_shared_reflux_scene=shop_tab_feed&amp;share_item_id=7636582535035653397&amp;source=h5_t</v>
      </c>
      <c r="K559" s="464" t="str">
        <f>IFERROR(__xludf.DUMMYFUNCTION("""COMPUTED_VALUE"""),"KIMME")</f>
        <v>KIMME</v>
      </c>
      <c r="L559" s="279" t="str">
        <f>IFERROR(__xludf.DUMMYFUNCTION("""COMPUTED_VALUE"""),"https://www.tiktok.com/@nolisnurjanah21/video/7636582109171207444?_r=1&amp;u_code=e85madfeelij2j&amp;region=&amp;mid=7537955668616022801&amp;preview_pb=0&amp;sharer_language=&amp;_d=0&amp;ec_shared_reflux_dynamic_params=%7B%22placeholder_material_id%22%3A%227636582109171207444%22%2C"&amp;"%22placeholder_origin_cover%22%3A%22https%253A%252F%252Fp16-common-sign.tiktokcdn.com%252Ftos-alisg-p-0037%252FoYjC1LDIDRpefR9UwTtuAe46uWQIQ4AvGSlsIA~tplv-tiktokx-origin.jpeg%253Fdr%253D14572%2526refresh_token%253Ddbd8d359%2526x-expires%253D1810119600%252"&amp;"6x-signature%253D6YVPQHy0hljcUd2w7JPl47FL5VM%25253D%2526t%253D4d5b0474%2526ps%253D13740610%2526shp%253Dd05b14bd%2526shcp%253D34ff8df6%2526idc%253Dmy2%2526s%253DTIKTOK_AFFILIATE_VIRAL_VIDEO%22%2C%22placeholder_product_id%22%3A%221729729730555512511%22%2C%2"&amp;"2placeholder_video_id%22%3A%227636582109171207444%22%7D&amp;ec_shared_reflux_scene=shop_tab_feed&amp;share_item_id=7636582109171207444&amp;source=h5_t")</f>
        <v>https://www.tiktok.com/@nolisnurjanah21/video/7636582109171207444?_r=1&amp;u_code=e85madfeelij2j&amp;region=&amp;mid=7537955668616022801&amp;preview_pb=0&amp;sharer_language=&amp;_d=0&amp;ec_shared_reflux_dynamic_params=%7B%22placeholder_material_id%22%3A%227636582109171207444%22%2C%22placeholder_origin_cover%22%3A%22https%253A%252F%252Fp16-common-sign.tiktokcdn.com%252Ftos-alisg-p-0037%252FoYjC1LDIDRpefR9UwTtuAe46uWQIQ4AvGSlsIA~tplv-tiktokx-origin.jpeg%253Fdr%253D14572%2526refresh_token%253Ddbd8d359%2526x-expires%253D1810119600%2526x-signature%253D6YVPQHy0hljcUd2w7JPl47FL5VM%25253D%2526t%253D4d5b0474%2526ps%253D13740610%2526shp%253Dd05b14bd%2526shcp%253D34ff8df6%2526idc%253Dmy2%2526s%253DTIKTOK_AFFILIATE_VIRAL_VIDEO%22%2C%22placeholder_product_id%22%3A%221729729730555512511%22%2C%22placeholder_video_id%22%3A%227636582109171207444%22%7D&amp;ec_shared_reflux_scene=shop_tab_feed&amp;share_item_id=7636582109171207444&amp;source=h5_t</v>
      </c>
      <c r="M559" s="464"/>
      <c r="N559" s="279" t="str">
        <f>IFERROR(__xludf.DUMMYFUNCTION("""COMPUTED_VALUE"""),"https://www.tiktok.com/@racun_spalspil12/video/7636586302984424725?_r=1&amp;u_code=cllj6j6aidf05b&amp;region=&amp;mid=7514003816174454785&amp;preview_pb=0&amp;sharer_language=&amp;_d=0&amp;ec_shared_reflux_dynamic_params=%7B%22placeholder_material_id%22%3A%227636586302984424725%22%2"&amp;"C%22placeholder_origin_cover%22%3A%22https%253A%252F%252Fp16-common-sign.tiktokcdn.com%252Ftos-alisg-p-0037%252FocpTC6oGE3tF1HmAiAxIeUoOjqYLDDCeIfOIq4~tplv-tiktokx-origin.jpeg%253Fdr%253D14572%2526refresh_token%253D1019203d%2526x-expires%253D1810116000%25"&amp;"26x-signature%253D2skfVkjvpa%25252F7dnrLqEv5fIzrjCw%25253D%2526t%253D4d5b0474%2526ps%253D13740610%2526shp%253Dd05b14bd%2526shcp%253D34ff8df6%2526idc%253Dmy2%2526s%253DTIKTOK_AFFILIATE_VIRAL_VIDEO%22%2C%22placeholder_product_id%22%3A%221729729730555512511%"&amp;"22%2C%22placeholder_video_id%22%3A%227636586302984424725%22%7D&amp;ec_shared_reflux_scene=shop_tab_feed&amp;share_item_id=7636586302984424725&amp;source=h5_t")</f>
        <v>https://www.tiktok.com/@racun_spalspil12/video/7636586302984424725?_r=1&amp;u_code=cllj6j6aidf05b&amp;region=&amp;mid=7514003816174454785&amp;preview_pb=0&amp;sharer_language=&amp;_d=0&amp;ec_shared_reflux_dynamic_params=%7B%22placeholder_material_id%22%3A%227636586302984424725%22%2C%22placeholder_origin_cover%22%3A%22https%253A%252F%252Fp16-common-sign.tiktokcdn.com%252Ftos-alisg-p-0037%252FocpTC6oGE3tF1HmAiAxIeUoOjqYLDDCeIfOIq4~tplv-tiktokx-origin.jpeg%253Fdr%253D14572%2526refresh_token%253D1019203d%2526x-expires%253D1810116000%2526x-signature%253D2skfVkjvpa%25252F7dnrLqEv5fIzrjCw%25253D%2526t%253D4d5b0474%2526ps%253D13740610%2526shp%253Dd05b14bd%2526shcp%253D34ff8df6%2526idc%253Dmy2%2526s%253DTIKTOK_AFFILIATE_VIRAL_VIDEO%22%2C%22placeholder_product_id%22%3A%221729729730555512511%22%2C%22placeholder_video_id%22%3A%227636586302984424725%22%7D&amp;ec_shared_reflux_scene=shop_tab_feed&amp;share_item_id=7636586302984424725&amp;source=h5_t</v>
      </c>
      <c r="O559" s="464"/>
      <c r="P559" s="279" t="str">
        <f>IFERROR(__xludf.DUMMYFUNCTION("""COMPUTED_VALUE"""),"https://www.tiktok.com/@racun_spalspil12/video/7636589735493848341?_d=0&amp;_r=1&amp;ec_shared_reflux_dynamic_params=%7B%22placeholder_material_id%22%3A%227636589735493848341%22%2C%22placeholder_origin_cover%22%3A%22https%253A%252F%252Fp16-common-sign.tiktokcdn.c"&amp;"om%252Ftos-alisg-p-0037%252FoQnRn6IfkXeoAFwhKn7fGpAIdQgU8G2Mg1OfGS~tplv-tiktokx-origin.jpeg%253Fdr%253D14572%2526refresh_token%253Dcffd03c8%2526x-expires%253D1810116000%2526x-signature%253Dcne2L6zXBne2G1DK5SGXUY1J4Tk%25253D%2526t%253D4d5b0474%2526ps%253D1"&amp;"3740610%2526shp%253Dd05b14bd%2526shcp%253D34ff8df6%2526idc%253Dmy2%2526s%253DTIKTOK_AFFILIATE_VIRAL_VIDEO%22%2C%22placeholder_product_id%22%3A%221729729730555512511%22%2C%22placeholder_video_id%22%3A%227636589735493848341%22%7D&amp;ec_shared_reflux_scene=shop"&amp;"_tab_feed&amp;mid=7486067442412406801&amp;preview_pb=0&amp;region=&amp;share_item_id=7636589735493848341&amp;sharer_language=&amp;source=h5_t&amp;u_code=cllj6j6aidf05b")</f>
        <v>https://www.tiktok.com/@racun_spalspil12/video/7636589735493848341?_d=0&amp;_r=1&amp;ec_shared_reflux_dynamic_params=%7B%22placeholder_material_id%22%3A%227636589735493848341%22%2C%22placeholder_origin_cover%22%3A%22https%253A%252F%252Fp16-common-sign.tiktokcdn.com%252Ftos-alisg-p-0037%252FoQnRn6IfkXeoAFwhKn7fGpAIdQgU8G2Mg1OfGS~tplv-tiktokx-origin.jpeg%253Fdr%253D14572%2526refresh_token%253Dcffd03c8%2526x-expires%253D1810116000%2526x-signature%253Dcne2L6zXBne2G1DK5SGXUY1J4Tk%25253D%2526t%253D4d5b0474%2526ps%253D13740610%2526shp%253Dd05b14bd%2526shcp%253D34ff8df6%2526idc%253Dmy2%2526s%253DTIKTOK_AFFILIATE_VIRAL_VIDEO%22%2C%22placeholder_product_id%22%3A%221729729730555512511%22%2C%22placeholder_video_id%22%3A%227636589735493848341%22%7D&amp;ec_shared_reflux_scene=shop_tab_feed&amp;mid=7486067442412406801&amp;preview_pb=0&amp;region=&amp;share_item_id=7636589735493848341&amp;sharer_language=&amp;source=h5_t&amp;u_code=cllj6j6aidf05b</v>
      </c>
    </row>
    <row r="560">
      <c r="A560" s="255" t="str">
        <f>IFERROR(__xludf.DUMMYFUNCTION("""COMPUTED_VALUE"""),"MICRO")</f>
        <v>MICRO</v>
      </c>
      <c r="B560" s="361" t="str">
        <f>IFERROR(__xludf.DUMMYFUNCTION("""COMPUTED_VALUE"""),"uusoesd")</f>
        <v>uusoesd</v>
      </c>
      <c r="C560" s="257" t="str">
        <f>IFERROR(__xludf.DUMMYFUNCTION("""COMPUTED_VALUE"""),"https://www.tiktok.com/@uusoesd")</f>
        <v>https://www.tiktok.com/@uusoesd</v>
      </c>
      <c r="D560" s="270">
        <f>IFERROR(__xludf.DUMMYFUNCTION("""COMPUTED_VALUE"""),8.9562257508E11)</f>
        <v>895622575080</v>
      </c>
      <c r="E560" s="457">
        <f>IFERROR(__xludf.DUMMYFUNCTION("""COMPUTED_VALUE"""),0.0)</f>
        <v>0</v>
      </c>
      <c r="F560" s="270">
        <f>IFERROR(__xludf.DUMMYFUNCTION("""COMPUTED_VALUE"""),4.0)</f>
        <v>4</v>
      </c>
      <c r="G560" s="17" t="str">
        <f>IFERROR(__xludf.DUMMYFUNCTION("""COMPUTED_VALUE"""),"Sabun batang 1 Box ( 2 PCS )")</f>
        <v>Sabun batang 1 Box ( 2 PCS )</v>
      </c>
      <c r="H560" s="463" t="str">
        <f>IFERROR(__xludf.DUMMYFUNCTION("""COMPUTED_VALUE"""),"Sampai")</f>
        <v>Sampai</v>
      </c>
      <c r="I560" s="464" t="str">
        <f>IFERROR(__xludf.DUMMYFUNCTION("""COMPUTED_VALUE"""),"KIMME")</f>
        <v>KIMME</v>
      </c>
      <c r="J560" s="279" t="str">
        <f>IFERROR(__xludf.DUMMYFUNCTION("""COMPUTED_VALUE"""),"https://vt.tiktok.com/ZSHo22ne4/")</f>
        <v>https://vt.tiktok.com/ZSHo22ne4/</v>
      </c>
      <c r="K560" s="464" t="str">
        <f>IFERROR(__xludf.DUMMYFUNCTION("""COMPUTED_VALUE"""),"KIMME")</f>
        <v>KIMME</v>
      </c>
      <c r="L560" s="279" t="str">
        <f>IFERROR(__xludf.DUMMYFUNCTION("""COMPUTED_VALUE"""),"https://vt.tiktok.com/ZSHoYw8cF/")</f>
        <v>https://vt.tiktok.com/ZSHoYw8cF/</v>
      </c>
      <c r="M560" s="464" t="str">
        <f>IFERROR(__xludf.DUMMYFUNCTION("""COMPUTED_VALUE"""),"KIMME")</f>
        <v>KIMME</v>
      </c>
      <c r="N560" s="279" t="str">
        <f>IFERROR(__xludf.DUMMYFUNCTION("""COMPUTED_VALUE"""),"https://vt.tiktok.com/ZSHo2Y2e7/")</f>
        <v>https://vt.tiktok.com/ZSHo2Y2e7/</v>
      </c>
      <c r="O560" s="464"/>
      <c r="P560" s="279" t="str">
        <f>IFERROR(__xludf.DUMMYFUNCTION("""COMPUTED_VALUE"""),"https://vt.tiktok.com/ZS9UPNxBE/")</f>
        <v>https://vt.tiktok.com/ZS9UPNxBE/</v>
      </c>
    </row>
    <row r="561">
      <c r="A561" s="255" t="str">
        <f>IFERROR(__xludf.DUMMYFUNCTION("""COMPUTED_VALUE"""),"MICRO")</f>
        <v>MICRO</v>
      </c>
      <c r="B561" s="361" t="str">
        <f>IFERROR(__xludf.DUMMYFUNCTION("""COMPUTED_VALUE"""),"omkafiriview")</f>
        <v>omkafiriview</v>
      </c>
      <c r="C561" s="257" t="str">
        <f>IFERROR(__xludf.DUMMYFUNCTION("""COMPUTED_VALUE"""),"https://www.tiktok.com/@omkafiriview")</f>
        <v>https://www.tiktok.com/@omkafiriview</v>
      </c>
      <c r="D561" s="270">
        <f>IFERROR(__xludf.DUMMYFUNCTION("""COMPUTED_VALUE"""),8.211748175E10)</f>
        <v>82117481750</v>
      </c>
      <c r="E561" s="457">
        <f>IFERROR(__xludf.DUMMYFUNCTION("""COMPUTED_VALUE"""),100000.0)</f>
        <v>100000</v>
      </c>
      <c r="F561" s="270">
        <f>IFERROR(__xludf.DUMMYFUNCTION("""COMPUTED_VALUE"""),1.0)</f>
        <v>1</v>
      </c>
      <c r="G561" s="17" t="str">
        <f>IFERROR(__xludf.DUMMYFUNCTION("""COMPUTED_VALUE"""),"Sabun batang 1 Box ( 2 PCS )")</f>
        <v>Sabun batang 1 Box ( 2 PCS )</v>
      </c>
      <c r="H561" s="463" t="str">
        <f>IFERROR(__xludf.DUMMYFUNCTION("""COMPUTED_VALUE"""),"Sampai")</f>
        <v>Sampai</v>
      </c>
      <c r="I561" s="464" t="str">
        <f>IFERROR(__xludf.DUMMYFUNCTION("""COMPUTED_VALUE"""),"KIMME")</f>
        <v>KIMME</v>
      </c>
      <c r="J561" s="279" t="str">
        <f>IFERROR(__xludf.DUMMYFUNCTION("""COMPUTED_VALUE"""),"https://www.tiktok.com/@omkafiriview/video/7621160532095110420?_r=1&amp;u_code=dgkc301k7ae2b2&amp;region=&amp;mid=7621160594237819655&amp;preview_pb=0&amp;sharer_language=&amp;_d=0&amp;ec_shared_reflux_dynamic_params=%7B%22placeholder_material_id%22%3A%227621160532095110420%22%2C%22"&amp;"placeholder_origin_cover%22%3A%22https%253A%252F%252Fp16-sign-sg.tiktokcdn.com%252Ftos-alisg-p-0037%252Fo8BtDSfaBLhepirEA8wBAGcwiwIBzIXgRA3G5p~tplv-tiktokx-origin.jpeg%253Fdr%253D14572%2526refresh_token%253D6763ea2c%2526x-expires%253D1806051600%2526x-sign"&amp;"ature%253DoeqdE7iaJ71sQvA7DQ8IrZnkyWI%25253D%2526t%253D4d5b0474%2526ps%253D13740610%2526shp%253Dd05b14bd%2526shcp%253D34ff8df6%2526idc%253Dmy2%2526s%253DTIKTOK_AFFILIATE_VIRAL_VIDEO%22%2C%22placeholder_product_id%22%3A%221729427766722726591%22%2C%22placeh"&amp;"older_video_id%22%3A%227621160532095110420%22%7D&amp;ec_shared_reflux_scene=shop_tab_feed&amp;share_item_id=7621160532095110420&amp;source=h5_t")</f>
        <v>https://www.tiktok.com/@omkafiriview/video/7621160532095110420?_r=1&amp;u_code=dgkc301k7ae2b2&amp;region=&amp;mid=7621160594237819655&amp;preview_pb=0&amp;sharer_language=&amp;_d=0&amp;ec_shared_reflux_dynamic_params=%7B%22placeholder_material_id%22%3A%227621160532095110420%22%2C%22placeholder_origin_cover%22%3A%22https%253A%252F%252Fp16-sign-sg.tiktokcdn.com%252Ftos-alisg-p-0037%252Fo8BtDSfaBLhepirEA8wBAGcwiwIBzIXgRA3G5p~tplv-tiktokx-origin.jpeg%253Fdr%253D14572%2526refresh_token%253D6763ea2c%2526x-expires%253D1806051600%2526x-signature%253DoeqdE7iaJ71sQvA7DQ8IrZnkyWI%25253D%2526t%253D4d5b0474%2526ps%253D13740610%2526shp%253Dd05b14bd%2526shcp%253D34ff8df6%2526idc%253Dmy2%2526s%253DTIKTOK_AFFILIATE_VIRAL_VIDEO%22%2C%22placeholder_product_id%22%3A%221729427766722726591%22%2C%22placeholder_video_id%22%3A%227621160532095110420%22%7D&amp;ec_shared_reflux_scene=shop_tab_feed&amp;share_item_id=7621160532095110420&amp;source=h5_t</v>
      </c>
      <c r="K561" s="464" t="str">
        <f>IFERROR(__xludf.DUMMYFUNCTION("""COMPUTED_VALUE"""),"KIMME")</f>
        <v>KIMME</v>
      </c>
      <c r="L561" s="279" t="str">
        <f>IFERROR(__xludf.DUMMYFUNCTION("""COMPUTED_VALUE"""),"https://vt.tiktok.com/ZSuwnWdQB/")</f>
        <v>https://vt.tiktok.com/ZSuwnWdQB/</v>
      </c>
      <c r="M561" s="464" t="str">
        <f>IFERROR(__xludf.DUMMYFUNCTION("""COMPUTED_VALUE"""),"KIMME")</f>
        <v>KIMME</v>
      </c>
      <c r="N561" s="279" t="str">
        <f>IFERROR(__xludf.DUMMYFUNCTION("""COMPUTED_VALUE"""),"https://vt.tiktok.com/ZSH8HNqHd/")</f>
        <v>https://vt.tiktok.com/ZSH8HNqHd/</v>
      </c>
      <c r="O561" s="464"/>
      <c r="P561" s="279" t="str">
        <f>IFERROR(__xludf.DUMMYFUNCTION("""COMPUTED_VALUE"""),"https://www.tiktok.com/@nolisnurjanah21/video/7636583576586276116?_r=1&amp;u_code=e85madfeelij2j&amp;region=&amp;mid=7582487626100296456&amp;preview_pb=0&amp;sharer_language=&amp;_d=0&amp;ec_shared_reflux_dynamic_params=%7B%22placeholder_material_id%22%3A%227636583576586276116%22%2C"&amp;"%22placeholder_origin_cover%22%3A%22https%253A%252F%252Fp16-common-sign.tiktokcdn.com%252Ftos-alisg-p-0037%252FoM9A2CESF0DljNAefpprF76Dfk4CDTIImpIwEO~tplv-tiktokx-origin.jpeg%253Fdr%253D14572%2526refresh_token%253D1eac801d%2526x-expires%253D1810119600%252"&amp;"6x-signature%253DT55WriWF05uvLArQsvKL0OdmR6k%25253D%2526t%253D4d5b0474%2526ps%253D13740610%2526shp%253Dd05b14bd%2526shcp%253D34ff8df6%2526idc%253Dmy2%2526s%253DTIKTOK_AFFILIATE_VIRAL_VIDEO%22%2C%22placeholder_product_id%22%3A%221729729730555512511%22%2C%2"&amp;"2placeholder_video_id%22%3A%227636583576586276116%22%7D&amp;ec_shared_reflux_scene=shop_tab_feed&amp;share_item_id=7636583576586276116&amp;source=h5_t")</f>
        <v>https://www.tiktok.com/@nolisnurjanah21/video/7636583576586276116?_r=1&amp;u_code=e85madfeelij2j&amp;region=&amp;mid=7582487626100296456&amp;preview_pb=0&amp;sharer_language=&amp;_d=0&amp;ec_shared_reflux_dynamic_params=%7B%22placeholder_material_id%22%3A%227636583576586276116%22%2C%22placeholder_origin_cover%22%3A%22https%253A%252F%252Fp16-common-sign.tiktokcdn.com%252Ftos-alisg-p-0037%252FoM9A2CESF0DljNAefpprF76Dfk4CDTIImpIwEO~tplv-tiktokx-origin.jpeg%253Fdr%253D14572%2526refresh_token%253D1eac801d%2526x-expires%253D1810119600%2526x-signature%253DT55WriWF05uvLArQsvKL0OdmR6k%25253D%2526t%253D4d5b0474%2526ps%253D13740610%2526shp%253Dd05b14bd%2526shcp%253D34ff8df6%2526idc%253Dmy2%2526s%253DTIKTOK_AFFILIATE_VIRAL_VIDEO%22%2C%22placeholder_product_id%22%3A%221729729730555512511%22%2C%22placeholder_video_id%22%3A%227636583576586276116%22%7D&amp;ec_shared_reflux_scene=shop_tab_feed&amp;share_item_id=7636583576586276116&amp;source=h5_t</v>
      </c>
    </row>
    <row r="562">
      <c r="A562" s="255" t="str">
        <f>IFERROR(__xludf.DUMMYFUNCTION("""COMPUTED_VALUE"""),"MICRO")</f>
        <v>MICRO</v>
      </c>
      <c r="B562" s="361" t="str">
        <f>IFERROR(__xludf.DUMMYFUNCTION("""COMPUTED_VALUE"""),"rama_katma")</f>
        <v>rama_katma</v>
      </c>
      <c r="C562" s="257" t="str">
        <f>IFERROR(__xludf.DUMMYFUNCTION("""COMPUTED_VALUE"""),"https://www.tiktok.com/@rama_katma")</f>
        <v>https://www.tiktok.com/@rama_katma</v>
      </c>
      <c r="D562" s="270">
        <f>IFERROR(__xludf.DUMMYFUNCTION("""COMPUTED_VALUE"""),8.1372638168E10)</f>
        <v>81372638168</v>
      </c>
      <c r="E562" s="457">
        <f>IFERROR(__xludf.DUMMYFUNCTION("""COMPUTED_VALUE"""),0.0)</f>
        <v>0</v>
      </c>
      <c r="F562" s="270">
        <f>IFERROR(__xludf.DUMMYFUNCTION("""COMPUTED_VALUE"""),4.0)</f>
        <v>4</v>
      </c>
      <c r="G562" s="17" t="str">
        <f>IFERROR(__xludf.DUMMYFUNCTION("""COMPUTED_VALUE"""),"Sabun batang 1 Box ( 2 PCS )")</f>
        <v>Sabun batang 1 Box ( 2 PCS )</v>
      </c>
      <c r="H562" s="463" t="str">
        <f>IFERROR(__xludf.DUMMYFUNCTION("""COMPUTED_VALUE"""),"Sampai")</f>
        <v>Sampai</v>
      </c>
      <c r="I562" s="464" t="str">
        <f>IFERROR(__xludf.DUMMYFUNCTION("""COMPUTED_VALUE"""),"KIMME")</f>
        <v>KIMME</v>
      </c>
      <c r="J562" s="279" t="str">
        <f>IFERROR(__xludf.DUMMYFUNCTION("""COMPUTED_VALUE"""),"https://www.tiktok.com/@rama_katma/video/7626700583520455956?is_from_webapp=1&amp;sender_device=pc")</f>
        <v>https://www.tiktok.com/@rama_katma/video/7626700583520455956?is_from_webapp=1&amp;sender_device=pc</v>
      </c>
      <c r="K562" s="464" t="str">
        <f>IFERROR(__xludf.DUMMYFUNCTION("""COMPUTED_VALUE"""),"KIMME")</f>
        <v>KIMME</v>
      </c>
      <c r="L562" s="279" t="str">
        <f>IFERROR(__xludf.DUMMYFUNCTION("""COMPUTED_VALUE"""),"https://www.tiktok.com/@nolisnurjanah21/video/7638074166477851925?_r=1&amp;u_code=e85madfeelij2j&amp;region=&amp;mid=7358303113360607248&amp;preview_pb=0&amp;sharer_language=&amp;_d=0&amp;ec_shared_reflux_dynamic_params=%7B%22placeholder_material_id%22%3A%227638074166477851925%22%2C"&amp;"%22placeholder_origin_cover%22%3A%22https%253A%252F%252Fp16-common-sign.tiktokcdn.com%252Ftos-alisg-p-0037%252FoIGAcn8FNndIRMLGsRgF0NAw35Ae8F6fWffgAG~tplv-tiktokx-origin.jpeg%253Fdr%253D14572%2526refresh_token%253D3b2430ab%2526x-expires%253D1810119600%252"&amp;"6x-signature%253DfBdglg3L%25252Fenn90dXPpW6f0ZymhE%25253D%2526t%253D4d5b0474%2526ps%253D13740610%2526shp%253Dd05b14bd%2526shcp%253D34ff8df6%2526idc%253Dmy2%2526s%253DTIKTOK_AFFILIATE_VIRAL_VIDEO%22%2C%22placeholder_product_id%22%3A%221729729730555512511%2"&amp;"2%2C%22placeholder_video_id%22%3A%227638074166477851925%22%7D&amp;ec_shared_reflux_scene=shop_tab_feed&amp;share_item_id=7638074166477851925&amp;source=h5_t")</f>
        <v>https://www.tiktok.com/@nolisnurjanah21/video/7638074166477851925?_r=1&amp;u_code=e85madfeelij2j&amp;region=&amp;mid=7358303113360607248&amp;preview_pb=0&amp;sharer_language=&amp;_d=0&amp;ec_shared_reflux_dynamic_params=%7B%22placeholder_material_id%22%3A%227638074166477851925%22%2C%22placeholder_origin_cover%22%3A%22https%253A%252F%252Fp16-common-sign.tiktokcdn.com%252Ftos-alisg-p-0037%252FoIGAcn8FNndIRMLGsRgF0NAw35Ae8F6fWffgAG~tplv-tiktokx-origin.jpeg%253Fdr%253D14572%2526refresh_token%253D3b2430ab%2526x-expires%253D1810119600%2526x-signature%253DfBdglg3L%25252Fenn90dXPpW6f0ZymhE%25253D%2526t%253D4d5b0474%2526ps%253D13740610%2526shp%253Dd05b14bd%2526shcp%253D34ff8df6%2526idc%253Dmy2%2526s%253DTIKTOK_AFFILIATE_VIRAL_VIDEO%22%2C%22placeholder_product_id%22%3A%221729729730555512511%22%2C%22placeholder_video_id%22%3A%227638074166477851925%22%7D&amp;ec_shared_reflux_scene=shop_tab_feed&amp;share_item_id=7638074166477851925&amp;source=h5_t</v>
      </c>
      <c r="M562" s="464"/>
      <c r="N562" s="279" t="str">
        <f>IFERROR(__xludf.DUMMYFUNCTION("""COMPUTED_VALUE"""),"https://www.tiktok.com/@nolisnurjanah21/video/7637840654445366546?_r=1&amp;u_code=e85madfeelij2j&amp;region=&amp;mid=7580102470815975425&amp;preview_pb=0&amp;sharer_language=&amp;_d=0&amp;ec_shared_reflux_dynamic_params=%7B%22placeholder_material_id%22%3A%227637840654445366546%22%2C"&amp;"%22placeholder_origin_cover%22%3A%22https%253A%252F%252Fp16-common-sign.tiktokcdn.com%252Ftos-alisg-p-0037%252FocrG56njLDGJIvDRLhAfrggGfAhwfxGFQQeX6Q~tplv-tiktokx-origin.jpeg%253Fdr%253D14572%2526refresh_token%253D9bf94966%2526x-expires%253D1810119600%252"&amp;"6x-signature%253D7MkYGSbHEo3YG95yqEvRBCKo8J0%25253D%2526t%253D4d5b0474%2526ps%253D13740610%2526shp%253Dd05b14bd%2526shcp%253D34ff8df6%2526idc%253Dmy2%2526s%253DTIKTOK_AFFILIATE_VIRAL_VIDEO%22%2C%22placeholder_product_id%22%3A%221729729730555512511%22%2C%2"&amp;"2placeholder_video_id%22%3A%227637840654445366546%22%7D&amp;ec_shared_reflux_scene=shop_tab_feed&amp;share_item_id=7637840654445366546&amp;source=h5_t")</f>
        <v>https://www.tiktok.com/@nolisnurjanah21/video/7637840654445366546?_r=1&amp;u_code=e85madfeelij2j&amp;region=&amp;mid=7580102470815975425&amp;preview_pb=0&amp;sharer_language=&amp;_d=0&amp;ec_shared_reflux_dynamic_params=%7B%22placeholder_material_id%22%3A%227637840654445366546%22%2C%22placeholder_origin_cover%22%3A%22https%253A%252F%252Fp16-common-sign.tiktokcdn.com%252Ftos-alisg-p-0037%252FocrG56njLDGJIvDRLhAfrggGfAhwfxGFQQeX6Q~tplv-tiktokx-origin.jpeg%253Fdr%253D14572%2526refresh_token%253D9bf94966%2526x-expires%253D1810119600%2526x-signature%253D7MkYGSbHEo3YG95yqEvRBCKo8J0%25253D%2526t%253D4d5b0474%2526ps%253D13740610%2526shp%253Dd05b14bd%2526shcp%253D34ff8df6%2526idc%253Dmy2%2526s%253DTIKTOK_AFFILIATE_VIRAL_VIDEO%22%2C%22placeholder_product_id%22%3A%221729729730555512511%22%2C%22placeholder_video_id%22%3A%227637840654445366546%22%7D&amp;ec_shared_reflux_scene=shop_tab_feed&amp;share_item_id=7637840654445366546&amp;source=h5_t</v>
      </c>
      <c r="O562" s="464"/>
      <c r="P562" s="279" t="str">
        <f>IFERROR(__xludf.DUMMYFUNCTION("""COMPUTED_VALUE"""),"https://www.tiktok.com/@nolisnurjanah21/video/7636582983108922645?_r=1&amp;u_code=e85madfeelij2j&amp;region=&amp;mid=7519476599076178694&amp;preview_pb=0&amp;sharer_language=&amp;_d=0&amp;ec_shared_reflux_dynamic_params=%7B%22placeholder_material_id%22%3A%227636582983108922645%22%2C"&amp;"%22placeholder_origin_cover%22%3A%22https%253A%252F%252Fp16-common-sign.tiktokcdn.com%252Ftos-alisg-p-0037%252FoUfI6v6ABCBiY9gS2IBmcpI8fIDu1lRpUi1EDP~tplv-tiktokx-origin.jpeg%253Fdr%253D14572%2526refresh_token%253D01faf8f4%2526x-expires%253D1810119600%252"&amp;"6x-signature%253DgUavJCjt%25252FDsYx3YHQIB3MZrPh1g%25253D%2526t%253D4d5b0474%2526ps%253D13740610%2526shp%253Dd05b14bd%2526shcp%253D34ff8df6%2526idc%253Dmy2%2526s%253DTIKTOK_AFFILIATE_VIRAL_VIDEO%22%2C%22placeholder_product_id%22%3A%221729729730555512511%2"&amp;"2%2C%22placeholder_video_id%22%3A%227636582983108922645%22%7D&amp;ec_shared_reflux_scene=shop_tab_feed&amp;share_item_id=7636582983108922645&amp;source=h5_t")</f>
        <v>https://www.tiktok.com/@nolisnurjanah21/video/7636582983108922645?_r=1&amp;u_code=e85madfeelij2j&amp;region=&amp;mid=7519476599076178694&amp;preview_pb=0&amp;sharer_language=&amp;_d=0&amp;ec_shared_reflux_dynamic_params=%7B%22placeholder_material_id%22%3A%227636582983108922645%22%2C%22placeholder_origin_cover%22%3A%22https%253A%252F%252Fp16-common-sign.tiktokcdn.com%252Ftos-alisg-p-0037%252FoUfI6v6ABCBiY9gS2IBmcpI8fIDu1lRpUi1EDP~tplv-tiktokx-origin.jpeg%253Fdr%253D14572%2526refresh_token%253D01faf8f4%2526x-expires%253D1810119600%2526x-signature%253DgUavJCjt%25252FDsYx3YHQIB3MZrPh1g%25253D%2526t%253D4d5b0474%2526ps%253D13740610%2526shp%253Dd05b14bd%2526shcp%253D34ff8df6%2526idc%253Dmy2%2526s%253DTIKTOK_AFFILIATE_VIRAL_VIDEO%22%2C%22placeholder_product_id%22%3A%221729729730555512511%22%2C%22placeholder_video_id%22%3A%227636582983108922645%22%7D&amp;ec_shared_reflux_scene=shop_tab_feed&amp;share_item_id=7636582983108922645&amp;source=h5_t</v>
      </c>
    </row>
    <row r="563">
      <c r="A563" s="255" t="str">
        <f>IFERROR(__xludf.DUMMYFUNCTION("""COMPUTED_VALUE"""),"MICRO")</f>
        <v>MICRO</v>
      </c>
      <c r="B563" s="361" t="str">
        <f>IFERROR(__xludf.DUMMYFUNCTION("""COMPUTED_VALUE"""),"dewiisapitrii")</f>
        <v>dewiisapitrii</v>
      </c>
      <c r="C563" s="257" t="str">
        <f>IFERROR(__xludf.DUMMYFUNCTION("""COMPUTED_VALUE"""),"https://www.tiktok.com/@dewiisapitrii")</f>
        <v>https://www.tiktok.com/@dewiisapitrii</v>
      </c>
      <c r="D563" s="270">
        <f>IFERROR(__xludf.DUMMYFUNCTION("""COMPUTED_VALUE"""),8.9654033877E10)</f>
        <v>89654033877</v>
      </c>
      <c r="E563" s="457">
        <f>IFERROR(__xludf.DUMMYFUNCTION("""COMPUTED_VALUE"""),150000.0)</f>
        <v>150000</v>
      </c>
      <c r="F563" s="270">
        <f>IFERROR(__xludf.DUMMYFUNCTION("""COMPUTED_VALUE"""),1.0)</f>
        <v>1</v>
      </c>
      <c r="G563" s="17" t="str">
        <f>IFERROR(__xludf.DUMMYFUNCTION("""COMPUTED_VALUE"""),"Sabun batang 1 Box ( 2 PCS )")</f>
        <v>Sabun batang 1 Box ( 2 PCS )</v>
      </c>
      <c r="H563" s="463" t="str">
        <f>IFERROR(__xludf.DUMMYFUNCTION("""COMPUTED_VALUE"""),"Sampai")</f>
        <v>Sampai</v>
      </c>
      <c r="I563" s="464" t="str">
        <f>IFERROR(__xludf.DUMMYFUNCTION("""COMPUTED_VALUE"""),"KIMME")</f>
        <v>KIMME</v>
      </c>
      <c r="J563" s="279" t="str">
        <f>IFERROR(__xludf.DUMMYFUNCTION("""COMPUTED_VALUE"""),"https://vt.tiktok.com/ZSHabukgW/")</f>
        <v>https://vt.tiktok.com/ZSHabukgW/</v>
      </c>
      <c r="K563" s="464" t="str">
        <f>IFERROR(__xludf.DUMMYFUNCTION("""COMPUTED_VALUE"""),"KIMME")</f>
        <v>KIMME</v>
      </c>
      <c r="L563" s="279" t="str">
        <f>IFERROR(__xludf.DUMMYFUNCTION("""COMPUTED_VALUE"""),"https://www.tiktok.com/@nolisnurjanah21/video/7634340622500924692?_r=1&amp;u_code=e85madfeelij2j&amp;region=&amp;mid=7625554015099849493&amp;preview_pb=0&amp;sharer_language=&amp;_d=0&amp;ec_shared_reflux_dynamic_params=%7B%22placeholder_material_id%22%3A%227634340622500924692%22%2C"&amp;"%22placeholder_origin_cover%22%3A%22https%253A%252F%252Fp16-common-sign.tiktokcdn.com%252Ftos-alisg-p-0037%252FoEGIfeUyKACjGrhIBPHIATC4oD5LIS1pTtBeuP~tplv-tiktokx-origin.jpeg%253Fdr%253D14572%2526refresh_token%253D2493a640%2526x-expires%253D1810119600%252"&amp;"6x-signature%253DRyA2Sw4UxlOEBkc6zeWX%25252F0MbKg8%25253D%2526t%253D4d5b0474%2526ps%253D13740610%2526shp%253Dd05b14bd%2526shcp%253D34ff8df6%2526idc%253Dmy2%2526s%253DTIKTOK_AFFILIATE_VIRAL_VIDEO%22%2C%22placeholder_product_id%22%3A%221729729730555512511%2"&amp;"2%2C%22placeholder_video_id%22%3A%227634340622500924692%22%7D&amp;ec_shared_reflux_scene=shop_tab_feed&amp;share_item_id=7634340622500924692&amp;source=h5_t")</f>
        <v>https://www.tiktok.com/@nolisnurjanah21/video/7634340622500924692?_r=1&amp;u_code=e85madfeelij2j&amp;region=&amp;mid=7625554015099849493&amp;preview_pb=0&amp;sharer_language=&amp;_d=0&amp;ec_shared_reflux_dynamic_params=%7B%22placeholder_material_id%22%3A%227634340622500924692%22%2C%22placeholder_origin_cover%22%3A%22https%253A%252F%252Fp16-common-sign.tiktokcdn.com%252Ftos-alisg-p-0037%252FoEGIfeUyKACjGrhIBPHIATC4oD5LIS1pTtBeuP~tplv-tiktokx-origin.jpeg%253Fdr%253D14572%2526refresh_token%253D2493a640%2526x-expires%253D1810119600%2526x-signature%253DRyA2Sw4UxlOEBkc6zeWX%25252F0MbKg8%25253D%2526t%253D4d5b0474%2526ps%253D13740610%2526shp%253Dd05b14bd%2526shcp%253D34ff8df6%2526idc%253Dmy2%2526s%253DTIKTOK_AFFILIATE_VIRAL_VIDEO%22%2C%22placeholder_product_id%22%3A%221729729730555512511%22%2C%22placeholder_video_id%22%3A%227634340622500924692%22%7D&amp;ec_shared_reflux_scene=shop_tab_feed&amp;share_item_id=7634340622500924692&amp;source=h5_t</v>
      </c>
      <c r="M563" s="464"/>
      <c r="N563" s="279" t="str">
        <f>IFERROR(__xludf.DUMMYFUNCTION("""COMPUTED_VALUE"""),"https://www.tiktok.com/@nolisnurjanah21/video/7634340356942794004?_r=1&amp;u_code=e85madfeelij2j&amp;region=&amp;mid=7604121927885359105&amp;preview_pb=0&amp;sharer_language=&amp;_d=0&amp;ec_shared_reflux_dynamic_params=%7B%22placeholder_material_id%22%3A%227634340356942794004%22%2C"&amp;"%22placeholder_origin_cover%22%3A%22https%253A%252F%252Fp16-common-sign.tiktokcdn.com%252Ftos-alisg-p-0037%252FosLDfCDZF5Y85oy4KjPvACeIE0WII4BfATTkZE~tplv-tiktokx-origin.jpeg%253Fdr%253D14572%2526refresh_token%253D4e547af6%2526x-expires%253D1810119600%252"&amp;"6x-signature%253DYCs6yN9%25252Bt0Yk495JUDzjDFAGvUs%25253D%2526t%253D4d5b0474%2526ps%253D13740610%2526shp%253Dd05b14bd%2526shcp%253D34ff8df6%2526idc%253Dmy2%2526s%253DTIKTOK_AFFILIATE_VIRAL_VIDEO%22%2C%22placeholder_product_id%22%3A%221729729730555512511%2"&amp;"2%2C%22placeholder_video_id%22%3A%227634340356942794004%22%7D&amp;ec_shared_reflux_scene=shop_tab_feed&amp;share_item_id=7634340356942794004&amp;source=h5_t")</f>
        <v>https://www.tiktok.com/@nolisnurjanah21/video/7634340356942794004?_r=1&amp;u_code=e85madfeelij2j&amp;region=&amp;mid=7604121927885359105&amp;preview_pb=0&amp;sharer_language=&amp;_d=0&amp;ec_shared_reflux_dynamic_params=%7B%22placeholder_material_id%22%3A%227634340356942794004%22%2C%22placeholder_origin_cover%22%3A%22https%253A%252F%252Fp16-common-sign.tiktokcdn.com%252Ftos-alisg-p-0037%252FosLDfCDZF5Y85oy4KjPvACeIE0WII4BfATTkZE~tplv-tiktokx-origin.jpeg%253Fdr%253D14572%2526refresh_token%253D4e547af6%2526x-expires%253D1810119600%2526x-signature%253DYCs6yN9%25252Bt0Yk495JUDzjDFAGvUs%25253D%2526t%253D4d5b0474%2526ps%253D13740610%2526shp%253Dd05b14bd%2526shcp%253D34ff8df6%2526idc%253Dmy2%2526s%253DTIKTOK_AFFILIATE_VIRAL_VIDEO%22%2C%22placeholder_product_id%22%3A%221729729730555512511%22%2C%22placeholder_video_id%22%3A%227634340356942794004%22%7D&amp;ec_shared_reflux_scene=shop_tab_feed&amp;share_item_id=7634340356942794004&amp;source=h5_t</v>
      </c>
      <c r="O563" s="464"/>
      <c r="P563" s="279" t="str">
        <f>IFERROR(__xludf.DUMMYFUNCTION("""COMPUTED_VALUE"""),"https://www.tiktok.com/@nolisnurjanah21/video/7634339984572452116?_r=1&amp;u_code=e85madfeelij2j&amp;region=&amp;mid=7494977787456112656&amp;preview_pb=0&amp;sharer_language=&amp;_d=0&amp;ec_shared_reflux_dynamic_params=%7B%22placeholder_material_id%22%3A%227634339984572452116%22%2C"&amp;"%22placeholder_origin_cover%22%3A%22https%253A%252F%252Fp16-common-sign.tiktokcdn.com%252Ftos-alisg-p-0037%252FoEACyFeUe5L8DnkajfXCT7IsA4EXDzTIsTycIs~tplv-tiktokx-origin.jpeg%253Fdr%253D14572%2526refresh_token%253Dff172c7e%2526x-expires%253D1810119600%252"&amp;"6x-signature%253DEgl%25252Frrm5lAz8XMfcKP6HyYCifsY%25253D%2526t%253D4d5b0474%2526ps%253D13740610%2526shp%253Dd05b14bd%2526shcp%253D34ff8df6%2526idc%253Dmy2%2526s%253DTIKTOK_AFFILIATE_VIRAL_VIDEO%22%2C%22placeholder_product_id%22%3A%221729729730555512511%2"&amp;"2%2C%22placeholder_video_id%22%3A%227634339984572452116%22%7D&amp;ec_shared_reflux_scene=shop_tab_feed&amp;share_item_id=7634339984572452116&amp;source=h5_t")</f>
        <v>https://www.tiktok.com/@nolisnurjanah21/video/7634339984572452116?_r=1&amp;u_code=e85madfeelij2j&amp;region=&amp;mid=7494977787456112656&amp;preview_pb=0&amp;sharer_language=&amp;_d=0&amp;ec_shared_reflux_dynamic_params=%7B%22placeholder_material_id%22%3A%227634339984572452116%22%2C%22placeholder_origin_cover%22%3A%22https%253A%252F%252Fp16-common-sign.tiktokcdn.com%252Ftos-alisg-p-0037%252FoEACyFeUe5L8DnkajfXCT7IsA4EXDzTIsTycIs~tplv-tiktokx-origin.jpeg%253Fdr%253D14572%2526refresh_token%253Dff172c7e%2526x-expires%253D1810119600%2526x-signature%253DEgl%25252Frrm5lAz8XMfcKP6HyYCifsY%25253D%2526t%253D4d5b0474%2526ps%253D13740610%2526shp%253Dd05b14bd%2526shcp%253D34ff8df6%2526idc%253Dmy2%2526s%253DTIKTOK_AFFILIATE_VIRAL_VIDEO%22%2C%22placeholder_product_id%22%3A%221729729730555512511%22%2C%22placeholder_video_id%22%3A%227634339984572452116%22%7D&amp;ec_shared_reflux_scene=shop_tab_feed&amp;share_item_id=7634339984572452116&amp;source=h5_t</v>
      </c>
    </row>
    <row r="564">
      <c r="A564" s="255" t="str">
        <f>IFERROR(__xludf.DUMMYFUNCTION("""COMPUTED_VALUE"""),"MICRO")</f>
        <v>MICRO</v>
      </c>
      <c r="B564" s="361" t="str">
        <f>IFERROR(__xludf.DUMMYFUNCTION("""COMPUTED_VALUE"""),"iniiisiintaa")</f>
        <v>iniiisiintaa</v>
      </c>
      <c r="C564" s="257" t="str">
        <f>IFERROR(__xludf.DUMMYFUNCTION("""COMPUTED_VALUE"""),"https://www.tiktok.com/@iniiisiintaa")</f>
        <v>https://www.tiktok.com/@iniiisiintaa</v>
      </c>
      <c r="D564" s="270">
        <f>IFERROR(__xludf.DUMMYFUNCTION("""COMPUTED_VALUE"""),8.5816544714E10)</f>
        <v>85816544714</v>
      </c>
      <c r="E564" s="457">
        <f>IFERROR(__xludf.DUMMYFUNCTION("""COMPUTED_VALUE"""),0.0)</f>
        <v>0</v>
      </c>
      <c r="F564" s="270">
        <f>IFERROR(__xludf.DUMMYFUNCTION("""COMPUTED_VALUE"""),4.0)</f>
        <v>4</v>
      </c>
      <c r="G564" s="17" t="str">
        <f>IFERROR(__xludf.DUMMYFUNCTION("""COMPUTED_VALUE"""),"Sabun batang 1 Box ( 2 PCS )")</f>
        <v>Sabun batang 1 Box ( 2 PCS )</v>
      </c>
      <c r="H564" s="463" t="str">
        <f>IFERROR(__xludf.DUMMYFUNCTION("""COMPUTED_VALUE"""),"Sampai")</f>
        <v>Sampai</v>
      </c>
      <c r="I564" s="464" t="str">
        <f>IFERROR(__xludf.DUMMYFUNCTION("""COMPUTED_VALUE"""),"KIMME")</f>
        <v>KIMME</v>
      </c>
      <c r="J564" s="279" t="str">
        <f>IFERROR(__xludf.DUMMYFUNCTION("""COMPUTED_VALUE"""),"https://vt.tiktok.com/ZSuTCFuSo/")</f>
        <v>https://vt.tiktok.com/ZSuTCFuSo/</v>
      </c>
      <c r="K564" s="464" t="str">
        <f>IFERROR(__xludf.DUMMYFUNCTION("""COMPUTED_VALUE"""),"KIMME")</f>
        <v>KIMME</v>
      </c>
      <c r="L564" s="279" t="str">
        <f>IFERROR(__xludf.DUMMYFUNCTION("""COMPUTED_VALUE"""),"https://vt.tiktok.com/ZSuTTG6fF/")</f>
        <v>https://vt.tiktok.com/ZSuTTG6fF/</v>
      </c>
      <c r="M564" s="464" t="str">
        <f>IFERROR(__xludf.DUMMYFUNCTION("""COMPUTED_VALUE"""),"KIMME")</f>
        <v>KIMME</v>
      </c>
      <c r="N564" s="279" t="str">
        <f>IFERROR(__xludf.DUMMYFUNCTION("""COMPUTED_VALUE"""),"https://vt.tiktok.com/ZSuTw2xVX/")</f>
        <v>https://vt.tiktok.com/ZSuTw2xVX/</v>
      </c>
      <c r="O564" s="464" t="str">
        <f>IFERROR(__xludf.DUMMYFUNCTION("""COMPUTED_VALUE"""),"KIMME")</f>
        <v>KIMME</v>
      </c>
      <c r="P564" s="279" t="str">
        <f>IFERROR(__xludf.DUMMYFUNCTION("""COMPUTED_VALUE"""),"https://vt.tiktok.com/ZSHoy7bjo/")</f>
        <v>https://vt.tiktok.com/ZSHoy7bjo/</v>
      </c>
    </row>
    <row r="565">
      <c r="A565" s="255" t="str">
        <f>IFERROR(__xludf.DUMMYFUNCTION("""COMPUTED_VALUE"""),"MICRO")</f>
        <v>MICRO</v>
      </c>
      <c r="B565" s="361" t="str">
        <f>IFERROR(__xludf.DUMMYFUNCTION("""COMPUTED_VALUE"""),"bidanhenny01")</f>
        <v>bidanhenny01</v>
      </c>
      <c r="C565" s="257" t="str">
        <f>IFERROR(__xludf.DUMMYFUNCTION("""COMPUTED_VALUE"""),"https://www.tiktok.com/@bidanhenny01")</f>
        <v>https://www.tiktok.com/@bidanhenny01</v>
      </c>
      <c r="D565" s="270">
        <f>IFERROR(__xludf.DUMMYFUNCTION("""COMPUTED_VALUE"""),8.2218000844E10)</f>
        <v>82218000844</v>
      </c>
      <c r="E565" s="457">
        <f>IFERROR(__xludf.DUMMYFUNCTION("""COMPUTED_VALUE"""),0.0)</f>
        <v>0</v>
      </c>
      <c r="F565" s="270">
        <f>IFERROR(__xludf.DUMMYFUNCTION("""COMPUTED_VALUE"""),4.0)</f>
        <v>4</v>
      </c>
      <c r="G565" s="17" t="str">
        <f>IFERROR(__xludf.DUMMYFUNCTION("""COMPUTED_VALUE"""),"Sabun batang 1 Box ( 2 PCS )")</f>
        <v>Sabun batang 1 Box ( 2 PCS )</v>
      </c>
      <c r="H565" s="463" t="str">
        <f>IFERROR(__xludf.DUMMYFUNCTION("""COMPUTED_VALUE"""),"Sampai")</f>
        <v>Sampai</v>
      </c>
      <c r="I565" s="464" t="str">
        <f>IFERROR(__xludf.DUMMYFUNCTION("""COMPUTED_VALUE"""),"KIMME")</f>
        <v>KIMME</v>
      </c>
      <c r="J565" s="279" t="str">
        <f>IFERROR(__xludf.DUMMYFUNCTION("""COMPUTED_VALUE"""),"https://www.tiktok.com/@bidanhenny01/video/7621450578513743125?_r=1&amp;u_code=e0agm7bf28f085&amp;region=&amp;mid=7413639309809780753&amp;preview_pb=0&amp;sharer_language=&amp;_d=0&amp;ec_shared_reflux_dynamic_params=%7B%22placeholder_material_id%22%3A%227621450578513743125%22%2C%22"&amp;"placeholder_origin_cover%22%3A%22https%253A%252F%252Fp16-sign-sg.tiktokcdn.com%252Ftos-alisg-p-0037%252FoIebbkecaT64gAIvU8uLNIeGCo9EigjTkZ4ADD~tplv-tiktokx-origin.jpeg%253Fdr%253D14572%2526refresh_token%253D979639fb%2526x-expires%253D1806051600%2526x-sign"&amp;"ature%253DTvwy7XZtYXlkwGlGPYOS23R33iI%25253D%2526t%253D4d5b0474%2526ps%253D13740610%2526shp%253Dd05b14bd%2526shcp%253D34ff8df6%2526idc%253Dmy2%2526s%253DTIKTOK_AFFILIATE_VIRAL_VIDEO%22%2C%22placeholder_product_id%22%3A%221729427766722726591%22%2C%22placeh"&amp;"older_video_id%22%3A%227621450578513743125%22%7D&amp;ec_shared_reflux_scene=shop_tab_feed&amp;share_item_id=7621450578513743125&amp;source=h5_t")</f>
        <v>https://www.tiktok.com/@bidanhenny01/video/7621450578513743125?_r=1&amp;u_code=e0agm7bf28f085&amp;region=&amp;mid=7413639309809780753&amp;preview_pb=0&amp;sharer_language=&amp;_d=0&amp;ec_shared_reflux_dynamic_params=%7B%22placeholder_material_id%22%3A%227621450578513743125%22%2C%22placeholder_origin_cover%22%3A%22https%253A%252F%252Fp16-sign-sg.tiktokcdn.com%252Ftos-alisg-p-0037%252FoIebbkecaT64gAIvU8uLNIeGCo9EigjTkZ4ADD~tplv-tiktokx-origin.jpeg%253Fdr%253D14572%2526refresh_token%253D979639fb%2526x-expires%253D1806051600%2526x-signature%253DTvwy7XZtYXlkwGlGPYOS23R33iI%25253D%2526t%253D4d5b0474%2526ps%253D13740610%2526shp%253Dd05b14bd%2526shcp%253D34ff8df6%2526idc%253Dmy2%2526s%253DTIKTOK_AFFILIATE_VIRAL_VIDEO%22%2C%22placeholder_product_id%22%3A%221729427766722726591%22%2C%22placeholder_video_id%22%3A%227621450578513743125%22%7D&amp;ec_shared_reflux_scene=shop_tab_feed&amp;share_item_id=7621450578513743125&amp;source=h5_t</v>
      </c>
      <c r="K565" s="464" t="str">
        <f>IFERROR(__xludf.DUMMYFUNCTION("""COMPUTED_VALUE"""),"KIMME")</f>
        <v>KIMME</v>
      </c>
      <c r="L565" s="279" t="str">
        <f>IFERROR(__xludf.DUMMYFUNCTION("""COMPUTED_VALUE"""),"https://www.tiktok.com/@bidanhenny01/video/7621736770736098580?_r=1&amp;u_code=e0agm7bf28f085&amp;region=&amp;mid=7571860912149415952&amp;preview_pb=0&amp;sharer_language=&amp;_d=0&amp;ec_shared_reflux_dynamic_params=%7B%22placeholder_material_id%22%3A%227621736770736098580%22%2C%22"&amp;"placeholder_origin_cover%22%3A%22https%253A%252F%252Fp16-sign-sg.tiktokcdn.com%252Ftos-alisg-p-0037%252FoAFkp5tpxAfRBwcBE7VdORsBcvLfQAsXEHIgQD~tplv-tiktokx-origin.jpeg%253Fdr%253D14572%2526refresh_token%253Db02c7da5%2526x-expires%253D1807070400%2526x-sign"&amp;"ature%253D%25252B1qygsAzWl8%25252BaKR35QREpc6pWJA%25253D%2526t%253D4d5b0474%2526ps%253D13740610%2526shp%253Dd05b14bd%2526shcp%253D34ff8df6%2526idc%253Dmy2%2526s%253DTIKTOK_AFFILIATE_VIRAL_VIDEO%22%2C%22placeholder_product_id%22%3A%221729427766722726591%22"&amp;"%2C%22placeholder_video_id%22%3A%227621736770736098580%22%7D&amp;ec_shared_reflux_scene=shop_tab_feed&amp;share_item_id=7621736770736098580&amp;source=h5_t")</f>
        <v>https://www.tiktok.com/@bidanhenny01/video/7621736770736098580?_r=1&amp;u_code=e0agm7bf28f085&amp;region=&amp;mid=7571860912149415952&amp;preview_pb=0&amp;sharer_language=&amp;_d=0&amp;ec_shared_reflux_dynamic_params=%7B%22placeholder_material_id%22%3A%227621736770736098580%22%2C%22placeholder_origin_cover%22%3A%22https%253A%252F%252Fp16-sign-sg.tiktokcdn.com%252Ftos-alisg-p-0037%252FoAFkp5tpxAfRBwcBE7VdORsBcvLfQAsXEHIgQD~tplv-tiktokx-origin.jpeg%253Fdr%253D14572%2526refresh_token%253Db02c7da5%2526x-expires%253D1807070400%2526x-signature%253D%25252B1qygsAzWl8%25252BaKR35QREpc6pWJA%25253D%2526t%253D4d5b0474%2526ps%253D13740610%2526shp%253Dd05b14bd%2526shcp%253D34ff8df6%2526idc%253Dmy2%2526s%253DTIKTOK_AFFILIATE_VIRAL_VIDEO%22%2C%22placeholder_product_id%22%3A%221729427766722726591%22%2C%22placeholder_video_id%22%3A%227621736770736098580%22%7D&amp;ec_shared_reflux_scene=shop_tab_feed&amp;share_item_id=7621736770736098580&amp;source=h5_t</v>
      </c>
      <c r="M565" s="464" t="str">
        <f>IFERROR(__xludf.DUMMYFUNCTION("""COMPUTED_VALUE"""),"KIMME")</f>
        <v>KIMME</v>
      </c>
      <c r="N565" s="279" t="str">
        <f>IFERROR(__xludf.DUMMYFUNCTION("""COMPUTED_VALUE"""),"https://www.tiktok.com/@bidanhenny01/video/7622548575842585876?_r=1&amp;u_code=e0agm7bf28f085&amp;region=&amp;mid=7571860912149415952&amp;preview_pb=0&amp;sharer_language=&amp;_d=0&amp;ec_shared_reflux_dynamic_params=%7B%22placeholder_material_id%22%3A%227622548575842585876%22%2C%22"&amp;"placeholder_origin_cover%22%3A%22https%253A%252F%252Fp16-common-sign.tiktokcdn.com%252Ftos-alisg-p-0037%252FoEuheFzEEInIgFyjLIftS16ARByJpDUkBAO6Bh~tplv-tiktokx-origin.jpeg%253Fdr%253D14572%2526refresh_token%253D69d00e97%2526x-expires%253D1807070400%2526x-"&amp;"signature%253DiskNGet%25252FmW6iV6BdU7TNTUEcGnw%25253D%2526t%253D4d5b0474%2526ps%253D13740610%2526shp%253Dd05b14bd%2526shcp%253D34ff8df6%2526idc%253Dmy2%2526s%253DTIKTOK_AFFILIATE_VIRAL_VIDEO%22%2C%22placeholder_product_id%22%3A%221729427766722726591%22%2"&amp;"C%22placeholder_video_id%22%3A%227622548575842585876%22%7D&amp;ec_shared_reflux_scene=shop_tab_feed&amp;share_item_id=7622548575842585876&amp;source=h5_t")</f>
        <v>https://www.tiktok.com/@bidanhenny01/video/7622548575842585876?_r=1&amp;u_code=e0agm7bf28f085&amp;region=&amp;mid=7571860912149415952&amp;preview_pb=0&amp;sharer_language=&amp;_d=0&amp;ec_shared_reflux_dynamic_params=%7B%22placeholder_material_id%22%3A%227622548575842585876%22%2C%22placeholder_origin_cover%22%3A%22https%253A%252F%252Fp16-common-sign.tiktokcdn.com%252Ftos-alisg-p-0037%252FoEuheFzEEInIgFyjLIftS16ARByJpDUkBAO6Bh~tplv-tiktokx-origin.jpeg%253Fdr%253D14572%2526refresh_token%253D69d00e97%2526x-expires%253D1807070400%2526x-signature%253DiskNGet%25252FmW6iV6BdU7TNTUEcGnw%25253D%2526t%253D4d5b0474%2526ps%253D13740610%2526shp%253Dd05b14bd%2526shcp%253D34ff8df6%2526idc%253Dmy2%2526s%253DTIKTOK_AFFILIATE_VIRAL_VIDEO%22%2C%22placeholder_product_id%22%3A%221729427766722726591%22%2C%22placeholder_video_id%22%3A%227622548575842585876%22%7D&amp;ec_shared_reflux_scene=shop_tab_feed&amp;share_item_id=7622548575842585876&amp;source=h5_t</v>
      </c>
      <c r="O565" s="464" t="str">
        <f>IFERROR(__xludf.DUMMYFUNCTION("""COMPUTED_VALUE"""),"KIMME")</f>
        <v>KIMME</v>
      </c>
      <c r="P565" s="279" t="str">
        <f>IFERROR(__xludf.DUMMYFUNCTION("""COMPUTED_VALUE"""),"https://www.tiktok.com/@bidanhenny01/video/7623235004851604756?_r=1&amp;u_code=e0agm7bf28f085&amp;region=&amp;mid=7571860912149415952&amp;preview_pb=0&amp;sharer_language=&amp;_d=0&amp;ec_shared_reflux_dynamic_params=%7B%22placeholder_material_id%22%3A%227623235004851604756%22%2C%22"&amp;"placeholder_origin_cover%22%3A%22https%253A%252F%252Fp16-sign-sg.tiktokcdn.com%252Ftos-alisg-p-0037%252FowGtEBAF3Qvt2RBgmfEyYuQy5SVbDfZBc8tpuW~tplv-tiktokx-origin.jpeg%253Fdr%253D14572%2526refresh_token%253D23c91ca5%2526x-expires%253D1807070400%2526x-sign"&amp;"ature%253DzmzUw9rsnKBpdCLRIe56GpsIxDY%25253D%2526t%253D4d5b0474%2526ps%253D13740610%2526shp%253Dd05b14bd%2526shcp%253D34ff8df6%2526idc%253Dmy2%2526s%253DTIKTOK_AFFILIATE_VIRAL_VIDEO%22%2C%22placeholder_product_id%22%3A%221729427766722726591%22%2C%22placeh"&amp;"older_video_id%22%3A%227623235004851604756%22%7D&amp;ec_shared_reflux_scene=shop_tab_feed&amp;share_item_id=7623235004851604756&amp;source=h5_t")</f>
        <v>https://www.tiktok.com/@bidanhenny01/video/7623235004851604756?_r=1&amp;u_code=e0agm7bf28f085&amp;region=&amp;mid=7571860912149415952&amp;preview_pb=0&amp;sharer_language=&amp;_d=0&amp;ec_shared_reflux_dynamic_params=%7B%22placeholder_material_id%22%3A%227623235004851604756%22%2C%22placeholder_origin_cover%22%3A%22https%253A%252F%252Fp16-sign-sg.tiktokcdn.com%252Ftos-alisg-p-0037%252FowGtEBAF3Qvt2RBgmfEyYuQy5SVbDfZBc8tpuW~tplv-tiktokx-origin.jpeg%253Fdr%253D14572%2526refresh_token%253D23c91ca5%2526x-expires%253D1807070400%2526x-signature%253DzmzUw9rsnKBpdCLRIe56GpsIxDY%25253D%2526t%253D4d5b0474%2526ps%253D13740610%2526shp%253Dd05b14bd%2526shcp%253D34ff8df6%2526idc%253Dmy2%2526s%253DTIKTOK_AFFILIATE_VIRAL_VIDEO%22%2C%22placeholder_product_id%22%3A%221729427766722726591%22%2C%22placeholder_video_id%22%3A%227623235004851604756%22%7D&amp;ec_shared_reflux_scene=shop_tab_feed&amp;share_item_id=7623235004851604756&amp;source=h5_t</v>
      </c>
    </row>
    <row r="566">
      <c r="A566" s="255" t="str">
        <f>IFERROR(__xludf.DUMMYFUNCTION("""COMPUTED_VALUE"""),"MICRO")</f>
        <v>MICRO</v>
      </c>
      <c r="B566" s="361" t="str">
        <f>IFERROR(__xludf.DUMMYFUNCTION("""COMPUTED_VALUE"""),"tiara__125")</f>
        <v>tiara__125</v>
      </c>
      <c r="C566" s="257" t="str">
        <f>IFERROR(__xludf.DUMMYFUNCTION("""COMPUTED_VALUE"""),"https://www.tiktok.com/@tiara__125")</f>
        <v>https://www.tiktok.com/@tiara__125</v>
      </c>
      <c r="D566" s="270">
        <f>IFERROR(__xludf.DUMMYFUNCTION("""COMPUTED_VALUE"""),8.95363328892E11)</f>
        <v>895363328892</v>
      </c>
      <c r="E566" s="457">
        <f>IFERROR(__xludf.DUMMYFUNCTION("""COMPUTED_VALUE"""),100000.0)</f>
        <v>100000</v>
      </c>
      <c r="F566" s="270">
        <f>IFERROR(__xludf.DUMMYFUNCTION("""COMPUTED_VALUE"""),2.0)</f>
        <v>2</v>
      </c>
      <c r="G566" s="17" t="str">
        <f>IFERROR(__xludf.DUMMYFUNCTION("""COMPUTED_VALUE"""),"Sabun batang 1 Box ( 2 PCS )")</f>
        <v>Sabun batang 1 Box ( 2 PCS )</v>
      </c>
      <c r="H566" s="463" t="str">
        <f>IFERROR(__xludf.DUMMYFUNCTION("""COMPUTED_VALUE"""),"Sampai")</f>
        <v>Sampai</v>
      </c>
      <c r="I566" s="464" t="str">
        <f>IFERROR(__xludf.DUMMYFUNCTION("""COMPUTED_VALUE"""),"KIMME")</f>
        <v>KIMME</v>
      </c>
      <c r="J566" s="279" t="str">
        <f>IFERROR(__xludf.DUMMYFUNCTION("""COMPUTED_VALUE"""),"https://www.tiktok.com/@tiara__125/video/7623732591304264968?is_from_webapp=1&amp;sender_device=pc")</f>
        <v>https://www.tiktok.com/@tiara__125/video/7623732591304264968?is_from_webapp=1&amp;sender_device=pc</v>
      </c>
      <c r="K566" s="464" t="str">
        <f>IFERROR(__xludf.DUMMYFUNCTION("""COMPUTED_VALUE"""),"KIMME")</f>
        <v>KIMME</v>
      </c>
      <c r="L566" s="279" t="str">
        <f>IFERROR(__xludf.DUMMYFUNCTION("""COMPUTED_VALUE"""),"https://www.tiktok.com/@tiara__125/video/7623732591304264968?is_from_webapp=1&amp;sender_device=pc")</f>
        <v>https://www.tiktok.com/@tiara__125/video/7623732591304264968?is_from_webapp=1&amp;sender_device=pc</v>
      </c>
      <c r="M566" s="464"/>
      <c r="N566" s="279" t="str">
        <f>IFERROR(__xludf.DUMMYFUNCTION("""COMPUTED_VALUE"""),"https://www.tiktok.com/@nolisnurjanah21/video/7636462100877004052?_r=1&amp;u_code=e85madfeelij2j&amp;region=&amp;mid=7583521148786739976&amp;preview_pb=0&amp;sharer_language=&amp;_d=0&amp;ec_shared_reflux_dynamic_params=%7B%22placeholder_material_id%22%3A%227636462100877004052%22%2C"&amp;"%22placeholder_origin_cover%22%3A%22https%253A%252F%252Fp16-common-sign.tiktokcdn.com%252Ftos-alisg-p-0037%252FoEN9M8cpIQl4QdKw1ETAWCf6QUjFAzeKfDzcu2~tplv-tiktokx-origin.jpeg%253Fdr%253D14572%2526refresh_token%253D27f3559e%2526x-expires%253D1810119600%252"&amp;"6x-signature%253DZ2M5j9BV2FYOdyVtCN2wm7yg9YE%25253D%2526t%253D4d5b0474%2526ps%253D13740610%2526shp%253Dd05b14bd%2526shcp%253D34ff8df6%2526idc%253Dmy2%2526s%253DTIKTOK_AFFILIATE_VIRAL_VIDEO%22%2C%22placeholder_product_id%22%3A%221729729730555512511%22%2C%2"&amp;"2placeholder_video_id%22%3A%227636462100877004052%22%7D&amp;ec_shared_reflux_scene=shop_tab_feed&amp;share_item_id=7636462100877004052&amp;source=h5_t")</f>
        <v>https://www.tiktok.com/@nolisnurjanah21/video/7636462100877004052?_r=1&amp;u_code=e85madfeelij2j&amp;region=&amp;mid=7583521148786739976&amp;preview_pb=0&amp;sharer_language=&amp;_d=0&amp;ec_shared_reflux_dynamic_params=%7B%22placeholder_material_id%22%3A%227636462100877004052%22%2C%22placeholder_origin_cover%22%3A%22https%253A%252F%252Fp16-common-sign.tiktokcdn.com%252Ftos-alisg-p-0037%252FoEN9M8cpIQl4QdKw1ETAWCf6QUjFAzeKfDzcu2~tplv-tiktokx-origin.jpeg%253Fdr%253D14572%2526refresh_token%253D27f3559e%2526x-expires%253D1810119600%2526x-signature%253DZ2M5j9BV2FYOdyVtCN2wm7yg9YE%25253D%2526t%253D4d5b0474%2526ps%253D13740610%2526shp%253Dd05b14bd%2526shcp%253D34ff8df6%2526idc%253Dmy2%2526s%253DTIKTOK_AFFILIATE_VIRAL_VIDEO%22%2C%22placeholder_product_id%22%3A%221729729730555512511%22%2C%22placeholder_video_id%22%3A%227636462100877004052%22%7D&amp;ec_shared_reflux_scene=shop_tab_feed&amp;share_item_id=7636462100877004052&amp;source=h5_t</v>
      </c>
      <c r="O566" s="464"/>
      <c r="P566" s="279" t="str">
        <f>IFERROR(__xludf.DUMMYFUNCTION("""COMPUTED_VALUE"""),"https://www.tiktok.com/@nolisnurjanah21/video/7636461806432636180?_r=1&amp;u_code=e85madfeelij2j&amp;region=&amp;mid=7481243474944837633&amp;preview_pb=0&amp;sharer_language=&amp;_d=0&amp;ec_shared_reflux_dynamic_params=%7B%22placeholder_material_id%22%3A%227636461806432636180%22%2C"&amp;"%22placeholder_origin_cover%22%3A%22https%253A%252F%252Fp16-common-sign.tiktokcdn.com%252Ftos-alisg-p-0037%252FoMIBmXIA4lAFoEiKbsjZeefDrkDxDC4IPBZTZ6~tplv-tiktokx-origin.jpeg%253Fdr%253D14572%2526refresh_token%253D6b41aee9%2526x-expires%253D1810119600%252"&amp;"6x-signature%253D%25252BliH9RbTTCytMXUhlplanjEeZII%25253D%2526t%253D4d5b0474%2526ps%253D13740610%2526shp%253Dd05b14bd%2526shcp%253D34ff8df6%2526idc%253Dmy2%2526s%253DTIKTOK_AFFILIATE_VIRAL_VIDEO%22%2C%22placeholder_product_id%22%3A%221729729730555512511%2"&amp;"2%2C%22placeholder_video_id%22%3A%227636461806432636180%22%7D&amp;ec_shared_reflux_scene=shop_tab_feed&amp;share_item_id=7636461806432636180&amp;source=h5_t")</f>
        <v>https://www.tiktok.com/@nolisnurjanah21/video/7636461806432636180?_r=1&amp;u_code=e85madfeelij2j&amp;region=&amp;mid=7481243474944837633&amp;preview_pb=0&amp;sharer_language=&amp;_d=0&amp;ec_shared_reflux_dynamic_params=%7B%22placeholder_material_id%22%3A%227636461806432636180%22%2C%22placeholder_origin_cover%22%3A%22https%253A%252F%252Fp16-common-sign.tiktokcdn.com%252Ftos-alisg-p-0037%252FoMIBmXIA4lAFoEiKbsjZeefDrkDxDC4IPBZTZ6~tplv-tiktokx-origin.jpeg%253Fdr%253D14572%2526refresh_token%253D6b41aee9%2526x-expires%253D1810119600%2526x-signature%253D%25252BliH9RbTTCytMXUhlplanjEeZII%25253D%2526t%253D4d5b0474%2526ps%253D13740610%2526shp%253Dd05b14bd%2526shcp%253D34ff8df6%2526idc%253Dmy2%2526s%253DTIKTOK_AFFILIATE_VIRAL_VIDEO%22%2C%22placeholder_product_id%22%3A%221729729730555512511%22%2C%22placeholder_video_id%22%3A%227636461806432636180%22%7D&amp;ec_shared_reflux_scene=shop_tab_feed&amp;share_item_id=7636461806432636180&amp;source=h5_t</v>
      </c>
    </row>
    <row r="567">
      <c r="A567" s="255" t="str">
        <f>IFERROR(__xludf.DUMMYFUNCTION("""COMPUTED_VALUE"""),"MICRO")</f>
        <v>MICRO</v>
      </c>
      <c r="B567" s="361" t="str">
        <f>IFERROR(__xludf.DUMMYFUNCTION("""COMPUTED_VALUE"""),"dst.amel")</f>
        <v>dst.amel</v>
      </c>
      <c r="C567" s="257" t="str">
        <f>IFERROR(__xludf.DUMMYFUNCTION("""COMPUTED_VALUE"""),"https://www.tiktok.com/@dst.amel")</f>
        <v>https://www.tiktok.com/@dst.amel</v>
      </c>
      <c r="D567" s="270">
        <f>IFERROR(__xludf.DUMMYFUNCTION("""COMPUTED_VALUE"""),8.5896610824E10)</f>
        <v>85896610824</v>
      </c>
      <c r="E567" s="457">
        <f>IFERROR(__xludf.DUMMYFUNCTION("""COMPUTED_VALUE"""),0.0)</f>
        <v>0</v>
      </c>
      <c r="F567" s="270">
        <f>IFERROR(__xludf.DUMMYFUNCTION("""COMPUTED_VALUE"""),2.0)</f>
        <v>2</v>
      </c>
      <c r="G567" s="17" t="str">
        <f>IFERROR(__xludf.DUMMYFUNCTION("""COMPUTED_VALUE"""),"Sabun batang 1 Box ( 2 PCS )")</f>
        <v>Sabun batang 1 Box ( 2 PCS )</v>
      </c>
      <c r="H567" s="463" t="str">
        <f>IFERROR(__xludf.DUMMYFUNCTION("""COMPUTED_VALUE"""),"Sampai")</f>
        <v>Sampai</v>
      </c>
      <c r="I567" s="464" t="str">
        <f>IFERROR(__xludf.DUMMYFUNCTION("""COMPUTED_VALUE"""),"KIMME")</f>
        <v>KIMME</v>
      </c>
      <c r="J567" s="279" t="str">
        <f>IFERROR(__xludf.DUMMYFUNCTION("""COMPUTED_VALUE"""),"https://www.tiktok.com/@dst.amel/video/7624849876571917575?is_from_webapp=1&amp;sender_device=pc")</f>
        <v>https://www.tiktok.com/@dst.amel/video/7624849876571917575?is_from_webapp=1&amp;sender_device=pc</v>
      </c>
      <c r="K567" s="464" t="str">
        <f>IFERROR(__xludf.DUMMYFUNCTION("""COMPUTED_VALUE"""),"KIMME")</f>
        <v>KIMME</v>
      </c>
      <c r="L567" s="279" t="str">
        <f>IFERROR(__xludf.DUMMYFUNCTION("""COMPUTED_VALUE"""),"https://www.tiktok.com/@snowme.shop/video/7632985390164528404?is_from_webapp=1&amp;sender_device=pc&amp;web_id=7611930277489657360")</f>
        <v>https://www.tiktok.com/@snowme.shop/video/7632985390164528404?is_from_webapp=1&amp;sender_device=pc&amp;web_id=7611930277489657360</v>
      </c>
      <c r="M567" s="464"/>
      <c r="N567" s="279" t="str">
        <f>IFERROR(__xludf.DUMMYFUNCTION("""COMPUTED_VALUE"""),"https://www.tiktok.com/@nolisnurjanah21/video/7636462605879627029?_r=1&amp;u_code=e85madfeelij2j&amp;region=&amp;mid=7633574674328341269&amp;preview_pb=0&amp;sharer_language=&amp;_d=0&amp;ec_shared_reflux_dynamic_params=%7B%22placeholder_material_id%22%3A%227636462605879627029%22%2C"&amp;"%22placeholder_origin_cover%22%3A%22https%253A%252F%252Fp16-common-sign.tiktokcdn.com%252Ftos-alisg-p-0037%252Fo0CPAKyeMFv69IiBITED8lfqIRZ9Ao0eD46Mij~tplv-tiktokx-origin.jpeg%253Fdr%253D14572%2526refresh_token%253Da3c85797%2526x-expires%253D1810119600%252"&amp;"6x-signature%253DqKxZzYNINbeQXQKOkz%25252BEvwsEz4Q%25253D%2526t%253D4d5b0474%2526ps%253D13740610%2526shp%253Dd05b14bd%2526shcp%253D34ff8df6%2526idc%253Dmy2%2526s%253DTIKTOK_AFFILIATE_VIRAL_VIDEO%22%2C%22placeholder_product_id%22%3A%221729729730555512511%2"&amp;"2%2C%22placeholder_video_id%22%3A%227636462605879627029%22%7D&amp;ec_shared_reflux_scene=shop_tab_feed&amp;share_item_id=7636462605879627029&amp;source=h5_t")</f>
        <v>https://www.tiktok.com/@nolisnurjanah21/video/7636462605879627029?_r=1&amp;u_code=e85madfeelij2j&amp;region=&amp;mid=7633574674328341269&amp;preview_pb=0&amp;sharer_language=&amp;_d=0&amp;ec_shared_reflux_dynamic_params=%7B%22placeholder_material_id%22%3A%227636462605879627029%22%2C%22placeholder_origin_cover%22%3A%22https%253A%252F%252Fp16-common-sign.tiktokcdn.com%252Ftos-alisg-p-0037%252Fo0CPAKyeMFv69IiBITED8lfqIRZ9Ao0eD46Mij~tplv-tiktokx-origin.jpeg%253Fdr%253D14572%2526refresh_token%253Da3c85797%2526x-expires%253D1810119600%2526x-signature%253DqKxZzYNINbeQXQKOkz%25252BEvwsEz4Q%25253D%2526t%253D4d5b0474%2526ps%253D13740610%2526shp%253Dd05b14bd%2526shcp%253D34ff8df6%2526idc%253Dmy2%2526s%253DTIKTOK_AFFILIATE_VIRAL_VIDEO%22%2C%22placeholder_product_id%22%3A%221729729730555512511%22%2C%22placeholder_video_id%22%3A%227636462605879627029%22%7D&amp;ec_shared_reflux_scene=shop_tab_feed&amp;share_item_id=7636462605879627029&amp;source=h5_t</v>
      </c>
      <c r="O567" s="464"/>
      <c r="P567" s="279" t="str">
        <f>IFERROR(__xludf.DUMMYFUNCTION("""COMPUTED_VALUE"""),"https://www.tiktok.com/@nolisnurjanah21/video/7636463967182916885?_r=1&amp;u_code=e85madfeelij2j&amp;region=&amp;mid=7438927360860751888&amp;preview_pb=0&amp;sharer_language=&amp;_d=0&amp;ec_shared_reflux_dynamic_params=%7B%22placeholder_material_id%22%3A%227636463967182916885%22%2C"&amp;"%22placeholder_origin_cover%22%3A%22https%253A%252F%252Fp16-common-sign.tiktokcdn.com%252Ftos-alisg-p-0037%252Fo83tQlCTDAVQfnjeSQWx8EBA0nsM9XfaF4kVNI~tplv-tiktokx-origin.jpeg%253Fdr%253D14572%2526refresh_token%253Dbc62971e%2526x-expires%253D1810119600%252"&amp;"6x-signature%253D6Q6r5mEkPDptVVFtdbqLj3sNTu0%25253D%2526t%253D4d5b0474%2526ps%253D13740610%2526shp%253Dd05b14bd%2526shcp%253D34ff8df6%2526idc%253Dmy2%2526s%253DTIKTOK_AFFILIATE_VIRAL_VIDEO%22%2C%22placeholder_product_id%22%3A%221729729730555512511%22%2C%2"&amp;"2placeholder_video_id%22%3A%227636463967182916885%22%7D&amp;ec_shared_reflux_scene=shop_tab_feed&amp;share_item_id=7636463967182916885&amp;source=h5_t")</f>
        <v>https://www.tiktok.com/@nolisnurjanah21/video/7636463967182916885?_r=1&amp;u_code=e85madfeelij2j&amp;region=&amp;mid=7438927360860751888&amp;preview_pb=0&amp;sharer_language=&amp;_d=0&amp;ec_shared_reflux_dynamic_params=%7B%22placeholder_material_id%22%3A%227636463967182916885%22%2C%22placeholder_origin_cover%22%3A%22https%253A%252F%252Fp16-common-sign.tiktokcdn.com%252Ftos-alisg-p-0037%252Fo83tQlCTDAVQfnjeSQWx8EBA0nsM9XfaF4kVNI~tplv-tiktokx-origin.jpeg%253Fdr%253D14572%2526refresh_token%253Dbc62971e%2526x-expires%253D1810119600%2526x-signature%253D6Q6r5mEkPDptVVFtdbqLj3sNTu0%25253D%2526t%253D4d5b0474%2526ps%253D13740610%2526shp%253Dd05b14bd%2526shcp%253D34ff8df6%2526idc%253Dmy2%2526s%253DTIKTOK_AFFILIATE_VIRAL_VIDEO%22%2C%22placeholder_product_id%22%3A%221729729730555512511%22%2C%22placeholder_video_id%22%3A%227636463967182916885%22%7D&amp;ec_shared_reflux_scene=shop_tab_feed&amp;share_item_id=7636463967182916885&amp;source=h5_t</v>
      </c>
    </row>
    <row r="568">
      <c r="A568" s="255" t="str">
        <f>IFERROR(__xludf.DUMMYFUNCTION("""COMPUTED_VALUE"""),"MICRO")</f>
        <v>MICRO</v>
      </c>
      <c r="B568" s="361" t="str">
        <f>IFERROR(__xludf.DUMMYFUNCTION("""COMPUTED_VALUE"""),"tiya_shope")</f>
        <v>tiya_shope</v>
      </c>
      <c r="C568" s="257" t="str">
        <f>IFERROR(__xludf.DUMMYFUNCTION("""COMPUTED_VALUE"""),"https://www.tiktok.com/@tiya_shope")</f>
        <v>https://www.tiktok.com/@tiya_shope</v>
      </c>
      <c r="D568" s="270">
        <f>IFERROR(__xludf.DUMMYFUNCTION("""COMPUTED_VALUE"""),8.7884991839E10)</f>
        <v>87884991839</v>
      </c>
      <c r="E568" s="457">
        <f>IFERROR(__xludf.DUMMYFUNCTION("""COMPUTED_VALUE"""),0.0)</f>
        <v>0</v>
      </c>
      <c r="F568" s="270">
        <f>IFERROR(__xludf.DUMMYFUNCTION("""COMPUTED_VALUE"""),4.0)</f>
        <v>4</v>
      </c>
      <c r="G568" s="17" t="str">
        <f>IFERROR(__xludf.DUMMYFUNCTION("""COMPUTED_VALUE"""),"Sabun batang 1 Box ( 2 PCS )")</f>
        <v>Sabun batang 1 Box ( 2 PCS )</v>
      </c>
      <c r="H568" s="463" t="str">
        <f>IFERROR(__xludf.DUMMYFUNCTION("""COMPUTED_VALUE"""),"Sampai")</f>
        <v>Sampai</v>
      </c>
      <c r="I568" s="464" t="str">
        <f>IFERROR(__xludf.DUMMYFUNCTION("""COMPUTED_VALUE"""),"KIMME")</f>
        <v>KIMME</v>
      </c>
      <c r="J568" s="279" t="str">
        <f>IFERROR(__xludf.DUMMYFUNCTION("""COMPUTED_VALUE"""),"https://vt.tiktok.com/ZS9LmkEBv/")</f>
        <v>https://vt.tiktok.com/ZS9LmkEBv/</v>
      </c>
      <c r="K568" s="464" t="str">
        <f>IFERROR(__xludf.DUMMYFUNCTION("""COMPUTED_VALUE"""),"KIMME")</f>
        <v>KIMME</v>
      </c>
      <c r="L568" s="279" t="str">
        <f>IFERROR(__xludf.DUMMYFUNCTION("""COMPUTED_VALUE"""),"https://vt.tiktok.com/ZS9LmMCPx/")</f>
        <v>https://vt.tiktok.com/ZS9LmMCPx/</v>
      </c>
      <c r="M568" s="464" t="str">
        <f>IFERROR(__xludf.DUMMYFUNCTION("""COMPUTED_VALUE"""),"KIMME")</f>
        <v>KIMME</v>
      </c>
      <c r="N568" s="279" t="str">
        <f>IFERROR(__xludf.DUMMYFUNCTION("""COMPUTED_VALUE"""),"https://vt.tiktok.com/ZS9Lm6mD6/")</f>
        <v>https://vt.tiktok.com/ZS9Lm6mD6/</v>
      </c>
      <c r="O568" s="464" t="str">
        <f>IFERROR(__xludf.DUMMYFUNCTION("""COMPUTED_VALUE"""),"KIMME")</f>
        <v>KIMME</v>
      </c>
      <c r="P568" s="279" t="str">
        <f>IFERROR(__xludf.DUMMYFUNCTION("""COMPUTED_VALUE"""),"https://vt.tiktok.com/ZS9Lm8qUF/")</f>
        <v>https://vt.tiktok.com/ZS9Lm8qUF/</v>
      </c>
    </row>
    <row r="569">
      <c r="A569" s="255" t="str">
        <f>IFERROR(__xludf.DUMMYFUNCTION("""COMPUTED_VALUE"""),"MICRO")</f>
        <v>MICRO</v>
      </c>
      <c r="B569" s="361" t="str">
        <f>IFERROR(__xludf.DUMMYFUNCTION("""COMPUTED_VALUE"""),"melisadyp")</f>
        <v>melisadyp</v>
      </c>
      <c r="C569" s="257" t="str">
        <f>IFERROR(__xludf.DUMMYFUNCTION("""COMPUTED_VALUE"""),"https://www.tiktok.com/@melisadyp")</f>
        <v>https://www.tiktok.com/@melisadyp</v>
      </c>
      <c r="D569" s="270">
        <f>IFERROR(__xludf.DUMMYFUNCTION("""COMPUTED_VALUE"""),8.5174215253E10)</f>
        <v>85174215253</v>
      </c>
      <c r="E569" s="457">
        <f>IFERROR(__xludf.DUMMYFUNCTION("""COMPUTED_VALUE"""),0.0)</f>
        <v>0</v>
      </c>
      <c r="F569" s="270">
        <f>IFERROR(__xludf.DUMMYFUNCTION("""COMPUTED_VALUE"""),4.0)</f>
        <v>4</v>
      </c>
      <c r="G569" s="17" t="str">
        <f>IFERROR(__xludf.DUMMYFUNCTION("""COMPUTED_VALUE"""),"Sabun batang 1 Box ( 2 PCS )")</f>
        <v>Sabun batang 1 Box ( 2 PCS )</v>
      </c>
      <c r="H569" s="463" t="str">
        <f>IFERROR(__xludf.DUMMYFUNCTION("""COMPUTED_VALUE"""),"Sampai")</f>
        <v>Sampai</v>
      </c>
      <c r="I569" s="464" t="str">
        <f>IFERROR(__xludf.DUMMYFUNCTION("""COMPUTED_VALUE"""),"KIMME")</f>
        <v>KIMME</v>
      </c>
      <c r="J569" s="279" t="str">
        <f>IFERROR(__xludf.DUMMYFUNCTION("""COMPUTED_VALUE"""),"https://vt.tiktok.com/ZS9Lmdt8R/")</f>
        <v>https://vt.tiktok.com/ZS9Lmdt8R/</v>
      </c>
      <c r="K569" s="464" t="str">
        <f>IFERROR(__xludf.DUMMYFUNCTION("""COMPUTED_VALUE"""),"KIMME")</f>
        <v>KIMME</v>
      </c>
      <c r="L569" s="279" t="str">
        <f>IFERROR(__xludf.DUMMYFUNCTION("""COMPUTED_VALUE"""),"https://vt.tiktok.com/ZS9LmhbaG/")</f>
        <v>https://vt.tiktok.com/ZS9LmhbaG/</v>
      </c>
      <c r="M569" s="464" t="str">
        <f>IFERROR(__xludf.DUMMYFUNCTION("""COMPUTED_VALUE"""),"KIMME")</f>
        <v>KIMME</v>
      </c>
      <c r="N569" s="279" t="str">
        <f>IFERROR(__xludf.DUMMYFUNCTION("""COMPUTED_VALUE"""),"https://vt.tiktok.com/ZS9LaTNuC/")</f>
        <v>https://vt.tiktok.com/ZS9LaTNuC/</v>
      </c>
      <c r="O569" s="464" t="str">
        <f>IFERROR(__xludf.DUMMYFUNCTION("""COMPUTED_VALUE"""),"KIMME")</f>
        <v>KIMME</v>
      </c>
      <c r="P569" s="279" t="str">
        <f>IFERROR(__xludf.DUMMYFUNCTION("""COMPUTED_VALUE"""),"https://vt.tiktok.com/ZS9Lm2fbe/")</f>
        <v>https://vt.tiktok.com/ZS9Lm2fbe/</v>
      </c>
    </row>
    <row r="570">
      <c r="A570" s="255" t="str">
        <f>IFERROR(__xludf.DUMMYFUNCTION("""COMPUTED_VALUE"""),"MICRO")</f>
        <v>MICRO</v>
      </c>
      <c r="B570" s="361" t="str">
        <f>IFERROR(__xludf.DUMMYFUNCTION("""COMPUTED_VALUE"""),"tiktokshopp017")</f>
        <v>tiktokshopp017</v>
      </c>
      <c r="C570" s="257" t="str">
        <f>IFERROR(__xludf.DUMMYFUNCTION("""COMPUTED_VALUE"""),"https://www.tiktok.com/@tiktokshopp017")</f>
        <v>https://www.tiktok.com/@tiktokshopp017</v>
      </c>
      <c r="D570" s="270">
        <f>IFERROR(__xludf.DUMMYFUNCTION("""COMPUTED_VALUE"""),8.818239249E9)</f>
        <v>8818239249</v>
      </c>
      <c r="E570" s="457">
        <f>IFERROR(__xludf.DUMMYFUNCTION("""COMPUTED_VALUE"""),0.0)</f>
        <v>0</v>
      </c>
      <c r="F570" s="270">
        <f>IFERROR(__xludf.DUMMYFUNCTION("""COMPUTED_VALUE"""),4.0)</f>
        <v>4</v>
      </c>
      <c r="G570" s="17" t="str">
        <f>IFERROR(__xludf.DUMMYFUNCTION("""COMPUTED_VALUE"""),"Sabun batang 1 Box ( 2 PCS )")</f>
        <v>Sabun batang 1 Box ( 2 PCS )</v>
      </c>
      <c r="H570" s="463" t="str">
        <f>IFERROR(__xludf.DUMMYFUNCTION("""COMPUTED_VALUE"""),"Sampai")</f>
        <v>Sampai</v>
      </c>
      <c r="I570" s="464" t="str">
        <f>IFERROR(__xludf.DUMMYFUNCTION("""COMPUTED_VALUE"""),"KIMME")</f>
        <v>KIMME</v>
      </c>
      <c r="J570" s="279" t="str">
        <f>IFERROR(__xludf.DUMMYFUNCTION("""COMPUTED_VALUE"""),"https://vt.tiktok.com/ZS9LaThWG/")</f>
        <v>https://vt.tiktok.com/ZS9LaThWG/</v>
      </c>
      <c r="K570" s="464" t="str">
        <f>IFERROR(__xludf.DUMMYFUNCTION("""COMPUTED_VALUE"""),"KIMME")</f>
        <v>KIMME</v>
      </c>
      <c r="L570" s="279" t="str">
        <f>IFERROR(__xludf.DUMMYFUNCTION("""COMPUTED_VALUE"""),"https://vt.tiktok.com/ZS9LfpFmL/")</f>
        <v>https://vt.tiktok.com/ZS9LfpFmL/</v>
      </c>
      <c r="M570" s="464" t="str">
        <f>IFERROR(__xludf.DUMMYFUNCTION("""COMPUTED_VALUE"""),"KIMME")</f>
        <v>KIMME</v>
      </c>
      <c r="N570" s="279" t="str">
        <f>IFERROR(__xludf.DUMMYFUNCTION("""COMPUTED_VALUE"""),"https://vt.tiktok.com/ZS9RWR6Yp/")</f>
        <v>https://vt.tiktok.com/ZS9RWR6Yp/</v>
      </c>
      <c r="O570" s="464" t="str">
        <f>IFERROR(__xludf.DUMMYFUNCTION("""COMPUTED_VALUE"""),"KIMME")</f>
        <v>KIMME</v>
      </c>
      <c r="P570" s="279" t="str">
        <f>IFERROR(__xludf.DUMMYFUNCTION("""COMPUTED_VALUE"""),"https://vt.tiktok.com/ZS986cyto/")</f>
        <v>https://vt.tiktok.com/ZS986cyto/</v>
      </c>
    </row>
    <row r="571">
      <c r="A571" s="255" t="str">
        <f>IFERROR(__xludf.DUMMYFUNCTION("""COMPUTED_VALUE"""),"MICRO")</f>
        <v>MICRO</v>
      </c>
      <c r="B571" s="361" t="str">
        <f>IFERROR(__xludf.DUMMYFUNCTION("""COMPUTED_VALUE"""),"malaahbab")</f>
        <v>malaahbab</v>
      </c>
      <c r="C571" s="257" t="str">
        <f>IFERROR(__xludf.DUMMYFUNCTION("""COMPUTED_VALUE"""),"https://www.tiktok.com/@malaahbab")</f>
        <v>https://www.tiktok.com/@malaahbab</v>
      </c>
      <c r="D571" s="270">
        <f>IFERROR(__xludf.DUMMYFUNCTION("""COMPUTED_VALUE"""),8.5219493457E10)</f>
        <v>85219493457</v>
      </c>
      <c r="E571" s="457">
        <f>IFERROR(__xludf.DUMMYFUNCTION("""COMPUTED_VALUE"""),50000.0)</f>
        <v>50000</v>
      </c>
      <c r="F571" s="270">
        <f>IFERROR(__xludf.DUMMYFUNCTION("""COMPUTED_VALUE"""),1.0)</f>
        <v>1</v>
      </c>
      <c r="G571" s="17" t="str">
        <f>IFERROR(__xludf.DUMMYFUNCTION("""COMPUTED_VALUE"""),"Sabun batang 1 Box ( 2 PCS )")</f>
        <v>Sabun batang 1 Box ( 2 PCS )</v>
      </c>
      <c r="H571" s="463" t="str">
        <f>IFERROR(__xludf.DUMMYFUNCTION("""COMPUTED_VALUE"""),"Sampai")</f>
        <v>Sampai</v>
      </c>
      <c r="I571" s="464" t="str">
        <f>IFERROR(__xludf.DUMMYFUNCTION("""COMPUTED_VALUE"""),"KIMME")</f>
        <v>KIMME</v>
      </c>
      <c r="J571" s="279" t="str">
        <f>IFERROR(__xludf.DUMMYFUNCTION("""COMPUTED_VALUE"""),"https://www.tiktok.com/@malaahbab/video/7623277641143176468?_r=1&amp;u_code=db53llkkh86bbd&amp;region=&amp;mid=7384882779466614785&amp;preview_pb=0&amp;sharer_language=&amp;_d=0&amp;ec_shared_reflux_dynamic_params=%7B%22placeholder_material_id%22%3A%227623277641143176468%22%2C%22pla"&amp;"ceholder_origin_cover%22%3A%22https%253A%252F%252Fp19-common-sign.tiktokcdn.com%252Ftos-alisg-p-0037%252FogaLvAW9rIYcvBXoCXiySiTBIEUhBYhAtHxoi~tplv-tiktokx-origin.jpeg%253Fdr%253D14572%2526refresh_token%253D0c312d09%2526x-expires%253D1807070400%2526x-sign"&amp;"ature%253D%25252BnMjsgBb9xGIg2QOK65DAAYzvdU%25253D%2526t%253D4d5b0474%2526ps%253D13740610%2526shp%253Dd05b14bd%2526shcp%253D34ff8df6%2526idc%253Dmy2%2526s%253DTIKTOK_AFFILIATE_VIRAL_VIDEO%22%2C%22placeholder_product_id%22%3A%221729427766722726591%22%2C%22"&amp;"placeholder_video_id%22%3A%227623277641143176468%22%7D&amp;ec_shared_reflux_scene=shop_tab_feed&amp;share_item_id=7623277641143176468&amp;source=h5_t")</f>
        <v>https://www.tiktok.com/@malaahbab/video/7623277641143176468?_r=1&amp;u_code=db53llkkh86bbd&amp;region=&amp;mid=7384882779466614785&amp;preview_pb=0&amp;sharer_language=&amp;_d=0&amp;ec_shared_reflux_dynamic_params=%7B%22placeholder_material_id%22%3A%227623277641143176468%22%2C%22placeholder_origin_cover%22%3A%22https%253A%252F%252Fp19-common-sign.tiktokcdn.com%252Ftos-alisg-p-0037%252FogaLvAW9rIYcvBXoCXiySiTBIEUhBYhAtHxoi~tplv-tiktokx-origin.jpeg%253Fdr%253D14572%2526refresh_token%253D0c312d09%2526x-expires%253D1807070400%2526x-signature%253D%25252BnMjsgBb9xGIg2QOK65DAAYzvdU%25253D%2526t%253D4d5b0474%2526ps%253D13740610%2526shp%253Dd05b14bd%2526shcp%253D34ff8df6%2526idc%253Dmy2%2526s%253DTIKTOK_AFFILIATE_VIRAL_VIDEO%22%2C%22placeholder_product_id%22%3A%221729427766722726591%22%2C%22placeholder_video_id%22%3A%227623277641143176468%22%7D&amp;ec_shared_reflux_scene=shop_tab_feed&amp;share_item_id=7623277641143176468&amp;source=h5_t</v>
      </c>
      <c r="K571" s="464" t="str">
        <f>IFERROR(__xludf.DUMMYFUNCTION("""COMPUTED_VALUE"""),"KIMME")</f>
        <v>KIMME</v>
      </c>
      <c r="L571" s="279" t="str">
        <f>IFERROR(__xludf.DUMMYFUNCTION("""COMPUTED_VALUE"""),"https://www.tiktok.com/@nolisnurjanah21/video/7636465604450389268?_r=1&amp;u_code=e85madfeelij2j&amp;region=&amp;mid=7444485817650662199&amp;preview_pb=0&amp;sharer_language=&amp;_d=0&amp;ec_shared_reflux_dynamic_params=%7B%22placeholder_material_id%22%3A%227636465604450389268%22%2C"&amp;"%22placeholder_origin_cover%22%3A%22https%253A%252F%252Fp19-common-sign.tiktokcdn.com%252Ftos-alisg-p-0037%252FoAABCQb6xApIfBUG9jBROIZpcfLRiZigt4EE62~tplv-tiktokx-origin.jpeg%253Fdr%253D14572%2526refresh_token%253D0ddd4706%2526x-expires%253D1810119600%252"&amp;"6x-signature%253Dvw03N9OC0v1sozmW9nLPKXzIABs%25253D%2526t%253D4d5b0474%2526ps%253D13740610%2526shp%253Dd05b14bd%2526shcp%253D34ff8df6%2526idc%253Dmy2%2526s%253DTIKTOK_AFFILIATE_VIRAL_VIDEO%22%2C%22placeholder_product_id%22%3A%221729729730555512511%22%2C%2"&amp;"2placeholder_video_id%22%3A%227636465604450389268%22%7D&amp;ec_shared_reflux_scene=shop_tab_feed&amp;share_item_id=7636465604450389268&amp;source=h5_t")</f>
        <v>https://www.tiktok.com/@nolisnurjanah21/video/7636465604450389268?_r=1&amp;u_code=e85madfeelij2j&amp;region=&amp;mid=7444485817650662199&amp;preview_pb=0&amp;sharer_language=&amp;_d=0&amp;ec_shared_reflux_dynamic_params=%7B%22placeholder_material_id%22%3A%227636465604450389268%22%2C%22placeholder_origin_cover%22%3A%22https%253A%252F%252Fp19-common-sign.tiktokcdn.com%252Ftos-alisg-p-0037%252FoAABCQb6xApIfBUG9jBROIZpcfLRiZigt4EE62~tplv-tiktokx-origin.jpeg%253Fdr%253D14572%2526refresh_token%253D0ddd4706%2526x-expires%253D1810119600%2526x-signature%253Dvw03N9OC0v1sozmW9nLPKXzIABs%25253D%2526t%253D4d5b0474%2526ps%253D13740610%2526shp%253Dd05b14bd%2526shcp%253D34ff8df6%2526idc%253Dmy2%2526s%253DTIKTOK_AFFILIATE_VIRAL_VIDEO%22%2C%22placeholder_product_id%22%3A%221729729730555512511%22%2C%22placeholder_video_id%22%3A%227636465604450389268%22%7D&amp;ec_shared_reflux_scene=shop_tab_feed&amp;share_item_id=7636465604450389268&amp;source=h5_t</v>
      </c>
      <c r="M571" s="464"/>
      <c r="N571" s="279" t="str">
        <f>IFERROR(__xludf.DUMMYFUNCTION("""COMPUTED_VALUE"""),"https://www.tiktok.com/@nolisnurjanah21/video/7636465221669784852?_r=1&amp;u_code=e85madfeelij2j&amp;region=&amp;mid=7548405609076034360&amp;preview_pb=0&amp;sharer_language=&amp;_d=0&amp;ec_shared_reflux_dynamic_params=%7B%22placeholder_material_id%22%3A%227636465221669784852%22%2C"&amp;"%22placeholder_origin_cover%22%3A%22https%253A%252F%252Fp16-common-sign.tiktokcdn.com%252Ftos-alisg-p-0037%252Fowo6Ypc9iESRAi7DpBcIUgBLM2tfBABxEILfRt~tplv-tiktokx-origin.jpeg%253Fdr%253D14572%2526refresh_token%253Da81aafd8%2526x-expires%253D1810119600%252"&amp;"6x-signature%253D4dbj7XeXhptsGF1ravouLwZzj%25252BM%25253D%2526t%253D4d5b0474%2526ps%253D13740610%2526shp%253Dd05b14bd%2526shcp%253D34ff8df6%2526idc%253Dmy2%2526s%253DTIKTOK_AFFILIATE_VIRAL_VIDEO%22%2C%22placeholder_product_id%22%3A%221729729730555512511%2"&amp;"2%2C%22placeholder_video_id%22%3A%227636465221669784852%22%7D&amp;ec_shared_reflux_scene=shop_tab_feed&amp;share_item_id=7636465221669784852&amp;source=h5_t")</f>
        <v>https://www.tiktok.com/@nolisnurjanah21/video/7636465221669784852?_r=1&amp;u_code=e85madfeelij2j&amp;region=&amp;mid=7548405609076034360&amp;preview_pb=0&amp;sharer_language=&amp;_d=0&amp;ec_shared_reflux_dynamic_params=%7B%22placeholder_material_id%22%3A%227636465221669784852%22%2C%22placeholder_origin_cover%22%3A%22https%253A%252F%252Fp16-common-sign.tiktokcdn.com%252Ftos-alisg-p-0037%252Fowo6Ypc9iESRAi7DpBcIUgBLM2tfBABxEILfRt~tplv-tiktokx-origin.jpeg%253Fdr%253D14572%2526refresh_token%253Da81aafd8%2526x-expires%253D1810119600%2526x-signature%253D4dbj7XeXhptsGF1ravouLwZzj%25252BM%25253D%2526t%253D4d5b0474%2526ps%253D13740610%2526shp%253Dd05b14bd%2526shcp%253D34ff8df6%2526idc%253Dmy2%2526s%253DTIKTOK_AFFILIATE_VIRAL_VIDEO%22%2C%22placeholder_product_id%22%3A%221729729730555512511%22%2C%22placeholder_video_id%22%3A%227636465221669784852%22%7D&amp;ec_shared_reflux_scene=shop_tab_feed&amp;share_item_id=7636465221669784852&amp;source=h5_t</v>
      </c>
      <c r="O571" s="464"/>
      <c r="P571" s="279" t="str">
        <f>IFERROR(__xludf.DUMMYFUNCTION("""COMPUTED_VALUE"""),"https://www.tiktok.com/@nolisnurjanah21/video/7636463619810528532?_d=0&amp;_r=1&amp;ec_shared_reflux_dynamic_params=%7B%22placeholder_material_id%22%3A%227636463619810528532%22%2C%22placeholder_origin_cover%22%3A%22https%253A%252F%252Fp16-common-sign.tiktokcdn.co"&amp;"m%252Ftos-alisg-p-0037%252FowTDwXT7DKj2IxeILFAvFQQG6A149erCgAeE0B~tplv-tiktokx-origin.jpeg%253Fdr%253D14572%2526refresh_token%253Dae7a225b%2526x-expires%253D1810119600%2526x-signature%253Dnf4XtHv5DAWwwf35XzozXzO0Hps%25253D%2526t%253D4d5b0474%2526ps%253D13"&amp;"740610%2526shp%253Dd05b14bd%2526shcp%253D34ff8df6%2526idc%253Dmy2%2526s%253DTIKTOK_AFFILIATE_VIRAL_VIDEO%22%2C%22placeholder_product_id%22%3A%221729729730555512511%22%2C%22placeholder_video_id%22%3A%227636463619810528532%22%7D&amp;ec_shared_reflux_scene=shop_"&amp;"tab_feed&amp;mid=7449668706639644673&amp;preview_pb=0&amp;region=&amp;share_item_id=7636463619810528532&amp;sharer_language=&amp;source=h5_t&amp;u_code=e85madfeelij2j")</f>
        <v>https://www.tiktok.com/@nolisnurjanah21/video/7636463619810528532?_d=0&amp;_r=1&amp;ec_shared_reflux_dynamic_params=%7B%22placeholder_material_id%22%3A%227636463619810528532%22%2C%22placeholder_origin_cover%22%3A%22https%253A%252F%252Fp16-common-sign.tiktokcdn.com%252Ftos-alisg-p-0037%252FowTDwXT7DKj2IxeILFAvFQQG6A149erCgAeE0B~tplv-tiktokx-origin.jpeg%253Fdr%253D14572%2526refresh_token%253Dae7a225b%2526x-expires%253D1810119600%2526x-signature%253Dnf4XtHv5DAWwwf35XzozXzO0Hps%25253D%2526t%253D4d5b0474%2526ps%253D13740610%2526shp%253Dd05b14bd%2526shcp%253D34ff8df6%2526idc%253Dmy2%2526s%253DTIKTOK_AFFILIATE_VIRAL_VIDEO%22%2C%22placeholder_product_id%22%3A%221729729730555512511%22%2C%22placeholder_video_id%22%3A%227636463619810528532%22%7D&amp;ec_shared_reflux_scene=shop_tab_feed&amp;mid=7449668706639644673&amp;preview_pb=0&amp;region=&amp;share_item_id=7636463619810528532&amp;sharer_language=&amp;source=h5_t&amp;u_code=e85madfeelij2j</v>
      </c>
    </row>
    <row r="572">
      <c r="A572" s="255" t="str">
        <f>IFERROR(__xludf.DUMMYFUNCTION("""COMPUTED_VALUE"""),"MACRO")</f>
        <v>MACRO</v>
      </c>
      <c r="B572" s="361" t="str">
        <f>IFERROR(__xludf.DUMMYFUNCTION("""COMPUTED_VALUE"""),"reviewofbeauty")</f>
        <v>reviewofbeauty</v>
      </c>
      <c r="C572" s="257" t="str">
        <f>IFERROR(__xludf.DUMMYFUNCTION("""COMPUTED_VALUE"""),"https://www.tiktok.com/@reviewofbeauty")</f>
        <v>https://www.tiktok.com/@reviewofbeauty</v>
      </c>
      <c r="D572" s="270">
        <f>IFERROR(__xludf.DUMMYFUNCTION("""COMPUTED_VALUE"""),8.9518532655E10)</f>
        <v>89518532655</v>
      </c>
      <c r="E572" s="457">
        <f>IFERROR(__xludf.DUMMYFUNCTION("""COMPUTED_VALUE"""),0.0)</f>
        <v>0</v>
      </c>
      <c r="F572" s="270">
        <f>IFERROR(__xludf.DUMMYFUNCTION("""COMPUTED_VALUE"""),4.0)</f>
        <v>4</v>
      </c>
      <c r="G572" s="17" t="str">
        <f>IFERROR(__xludf.DUMMYFUNCTION("""COMPUTED_VALUE"""),"Sabun batang 1 Box ( 2 PCS )")</f>
        <v>Sabun batang 1 Box ( 2 PCS )</v>
      </c>
      <c r="H572" s="463" t="str">
        <f>IFERROR(__xludf.DUMMYFUNCTION("""COMPUTED_VALUE"""),"Sampai")</f>
        <v>Sampai</v>
      </c>
      <c r="I572" s="464" t="str">
        <f>IFERROR(__xludf.DUMMYFUNCTION("""COMPUTED_VALUE"""),"KIMME")</f>
        <v>KIMME</v>
      </c>
      <c r="J572" s="279" t="str">
        <f>IFERROR(__xludf.DUMMYFUNCTION("""COMPUTED_VALUE"""),"https://vt.tiktok.com/ZS98MdEjE/")</f>
        <v>https://vt.tiktok.com/ZS98MdEjE/</v>
      </c>
      <c r="K572" s="464" t="str">
        <f>IFERROR(__xludf.DUMMYFUNCTION("""COMPUTED_VALUE"""),"KIMME")</f>
        <v>KIMME</v>
      </c>
      <c r="L572" s="279" t="str">
        <f>IFERROR(__xludf.DUMMYFUNCTION("""COMPUTED_VALUE"""),"https://vt.tiktok.com/ZSxSQJF8d/")</f>
        <v>https://vt.tiktok.com/ZSxSQJF8d/</v>
      </c>
      <c r="M572" s="464"/>
      <c r="N572" s="17"/>
      <c r="O572" s="464"/>
      <c r="P572" s="17"/>
    </row>
    <row r="573">
      <c r="A573" s="255" t="str">
        <f>IFERROR(__xludf.DUMMYFUNCTION("""COMPUTED_VALUE"""),"MICRO")</f>
        <v>MICRO</v>
      </c>
      <c r="B573" s="361" t="str">
        <f>IFERROR(__xludf.DUMMYFUNCTION("""COMPUTED_VALUE"""),"andiniekaputri2211")</f>
        <v>andiniekaputri2211</v>
      </c>
      <c r="C573" s="257" t="str">
        <f>IFERROR(__xludf.DUMMYFUNCTION("""COMPUTED_VALUE"""),"https://www.tiktok.com/@andiniekaputri2211")</f>
        <v>https://www.tiktok.com/@andiniekaputri2211</v>
      </c>
      <c r="D573" s="270">
        <f>IFERROR(__xludf.DUMMYFUNCTION("""COMPUTED_VALUE"""),8.95602165368E11)</f>
        <v>895602165368</v>
      </c>
      <c r="E573" s="457">
        <f>IFERROR(__xludf.DUMMYFUNCTION("""COMPUTED_VALUE"""),100000.0)</f>
        <v>100000</v>
      </c>
      <c r="F573" s="270">
        <f>IFERROR(__xludf.DUMMYFUNCTION("""COMPUTED_VALUE"""),1.0)</f>
        <v>1</v>
      </c>
      <c r="G573" s="17" t="str">
        <f>IFERROR(__xludf.DUMMYFUNCTION("""COMPUTED_VALUE"""),"Sabun batang 1 Box ( 2 PCS )")</f>
        <v>Sabun batang 1 Box ( 2 PCS )</v>
      </c>
      <c r="H573" s="463" t="str">
        <f>IFERROR(__xludf.DUMMYFUNCTION("""COMPUTED_VALUE"""),"Sampai")</f>
        <v>Sampai</v>
      </c>
      <c r="I573" s="464" t="str">
        <f>IFERROR(__xludf.DUMMYFUNCTION("""COMPUTED_VALUE"""),"KIMME")</f>
        <v>KIMME</v>
      </c>
      <c r="J573" s="279" t="str">
        <f>IFERROR(__xludf.DUMMYFUNCTION("""COMPUTED_VALUE"""),"https://www.tiktok.com/@andiniekaputri2211/video/7628464384775376148?is_from_webapp=1&amp;sender_device=pc")</f>
        <v>https://www.tiktok.com/@andiniekaputri2211/video/7628464384775376148?is_from_webapp=1&amp;sender_device=pc</v>
      </c>
      <c r="K573" s="464" t="str">
        <f>IFERROR(__xludf.DUMMYFUNCTION("""COMPUTED_VALUE"""),"KIMME")</f>
        <v>KIMME</v>
      </c>
      <c r="L573" s="279" t="str">
        <f>IFERROR(__xludf.DUMMYFUNCTION("""COMPUTED_VALUE"""),"https://www.tiktok.com/@nolisnurjanah21/video/7636466242026589461?_r=1&amp;u_code=e85madfeelij2j&amp;region=&amp;mid=7628927071062493200&amp;preview_pb=0&amp;sharer_language=&amp;_d=0&amp;ec_shared_reflux_dynamic_params=%7B%22placeholder_material_id%22%3A%227636466242026589461%22%2C"&amp;"%22placeholder_origin_cover%22%3A%22https%253A%252F%252Fp16-common-sign.tiktokcdn.com%252Ftos-alisg-p-0037%252Fo0AZBEapciWCHRaIaB6fBiLfnB7O8RI7ozEKzg~tplv-tiktokx-origin.jpeg%253Fdr%253D14572%2526refresh_token%253D3c619584%2526x-expires%253D1810119600%252"&amp;"6x-signature%253DdtJalpFiD9BavlGfhbzg0uLLmLc%25253D%2526t%253D4d5b0474%2526ps%253D13740610%2526shp%253Dd05b14bd%2526shcp%253D34ff8df6%2526idc%253Dmy2%2526s%253DTIKTOK_AFFILIATE_VIRAL_VIDEO%22%2C%22placeholder_product_id%22%3A%221729729730555512511%22%2C%2"&amp;"2placeholder_video_id%22%3A%227636466242026589461%22%7D&amp;ec_shared_reflux_scene=shop_tab_feed&amp;share_item_id=7636466242026589461&amp;source=h5_t")</f>
        <v>https://www.tiktok.com/@nolisnurjanah21/video/7636466242026589461?_r=1&amp;u_code=e85madfeelij2j&amp;region=&amp;mid=7628927071062493200&amp;preview_pb=0&amp;sharer_language=&amp;_d=0&amp;ec_shared_reflux_dynamic_params=%7B%22placeholder_material_id%22%3A%227636466242026589461%22%2C%22placeholder_origin_cover%22%3A%22https%253A%252F%252Fp16-common-sign.tiktokcdn.com%252Ftos-alisg-p-0037%252Fo0AZBEapciWCHRaIaB6fBiLfnB7O8RI7ozEKzg~tplv-tiktokx-origin.jpeg%253Fdr%253D14572%2526refresh_token%253D3c619584%2526x-expires%253D1810119600%2526x-signature%253DdtJalpFiD9BavlGfhbzg0uLLmLc%25253D%2526t%253D4d5b0474%2526ps%253D13740610%2526shp%253Dd05b14bd%2526shcp%253D34ff8df6%2526idc%253Dmy2%2526s%253DTIKTOK_AFFILIATE_VIRAL_VIDEO%22%2C%22placeholder_product_id%22%3A%221729729730555512511%22%2C%22placeholder_video_id%22%3A%227636466242026589461%22%7D&amp;ec_shared_reflux_scene=shop_tab_feed&amp;share_item_id=7636466242026589461&amp;source=h5_t</v>
      </c>
      <c r="M573" s="464"/>
      <c r="N573" s="279" t="str">
        <f>IFERROR(__xludf.DUMMYFUNCTION("""COMPUTED_VALUE"""),"https://vt.tiktok.com/ZS9wq4j2m/")</f>
        <v>https://vt.tiktok.com/ZS9wq4j2m/</v>
      </c>
      <c r="O573" s="464"/>
      <c r="P573" s="279" t="str">
        <f>IFERROR(__xludf.DUMMYFUNCTION("""COMPUTED_VALUE"""),"https://www.tiktok.com/@shiintamiiftaa/video/7636535438458637588?_r=1&amp;u_code=d6i1iij6bihcli&amp;region=&amp;mid=7627775584572541714&amp;preview_pb=0&amp;sharer_language=&amp;_d=0&amp;ec_shared_reflux_dynamic_params=%7B%22placeholder_material_id%22%3A%227636535438458637588%22%2C%"&amp;"22placeholder_origin_cover%22%3A%22https%253A%252F%252Fp16-common-sign.tiktokcdn.com%252Ftos-alisg-p-0037%252Fokp7I6VEABitlgA1obLBfiJ3ZBUuCI2uRTfJcD~tplv-tiktokx-origin.jpeg%253Fdr%253D14572%2526refresh_token%253D1daca344%2526x-expires%253D1810119600%2526"&amp;"x-signature%253DPh5ezWC7ZuiToBygeAsXJQiOAIE%25253D%2526t%253D4d5b0474%2526ps%253D13740610%2526shp%253Dd05b14bd%2526shcp%253D34ff8df6%2526idc%253Dmy2%2526s%253DTIKTOK_AFFILIATE_VIRAL_VIDEO%22%2C%22placeholder_product_id%22%3A%221729427766722726591%22%2C%22"&amp;"placeholder_video_id%22%3A%227636535438458637588%22%7D&amp;ec_shared_reflux_scene=shop_tab_feed&amp;share_item_id=7636535438458637588&amp;source=h5_t")</f>
        <v>https://www.tiktok.com/@shiintamiiftaa/video/7636535438458637588?_r=1&amp;u_code=d6i1iij6bihcli&amp;region=&amp;mid=7627775584572541714&amp;preview_pb=0&amp;sharer_language=&amp;_d=0&amp;ec_shared_reflux_dynamic_params=%7B%22placeholder_material_id%22%3A%227636535438458637588%22%2C%22placeholder_origin_cover%22%3A%22https%253A%252F%252Fp16-common-sign.tiktokcdn.com%252Ftos-alisg-p-0037%252Fokp7I6VEABitlgA1obLBfiJ3ZBUuCI2uRTfJcD~tplv-tiktokx-origin.jpeg%253Fdr%253D14572%2526refresh_token%253D1daca344%2526x-expires%253D1810119600%2526x-signature%253DPh5ezWC7ZuiToBygeAsXJQiOAIE%25253D%2526t%253D4d5b0474%2526ps%253D13740610%2526shp%253Dd05b14bd%2526shcp%253D34ff8df6%2526idc%253Dmy2%2526s%253DTIKTOK_AFFILIATE_VIRAL_VIDEO%22%2C%22placeholder_product_id%22%3A%221729427766722726591%22%2C%22placeholder_video_id%22%3A%227636535438458637588%22%7D&amp;ec_shared_reflux_scene=shop_tab_feed&amp;share_item_id=7636535438458637588&amp;source=h5_t</v>
      </c>
    </row>
    <row r="574">
      <c r="A574" s="255" t="str">
        <f>IFERROR(__xludf.DUMMYFUNCTION("""COMPUTED_VALUE"""),"MICRO")</f>
        <v>MICRO</v>
      </c>
      <c r="B574" s="361" t="str">
        <f>IFERROR(__xludf.DUMMYFUNCTION("""COMPUTED_VALUE"""),"mel_mel8")</f>
        <v>mel_mel8</v>
      </c>
      <c r="C574" s="257" t="str">
        <f>IFERROR(__xludf.DUMMYFUNCTION("""COMPUTED_VALUE"""),"https://www.tiktok.com/@mel_mel8")</f>
        <v>https://www.tiktok.com/@mel_mel8</v>
      </c>
      <c r="D574" s="270">
        <f>IFERROR(__xludf.DUMMYFUNCTION("""COMPUTED_VALUE"""),8.5395028448E10)</f>
        <v>85395028448</v>
      </c>
      <c r="E574" s="457">
        <f>IFERROR(__xludf.DUMMYFUNCTION("""COMPUTED_VALUE"""),0.0)</f>
        <v>0</v>
      </c>
      <c r="F574" s="270">
        <f>IFERROR(__xludf.DUMMYFUNCTION("""COMPUTED_VALUE"""),4.0)</f>
        <v>4</v>
      </c>
      <c r="G574" s="17" t="str">
        <f>IFERROR(__xludf.DUMMYFUNCTION("""COMPUTED_VALUE"""),"Sabun batang 1 Box ( 2 PCS )")</f>
        <v>Sabun batang 1 Box ( 2 PCS )</v>
      </c>
      <c r="H574" s="463" t="str">
        <f>IFERROR(__xludf.DUMMYFUNCTION("""COMPUTED_VALUE"""),"Sampai")</f>
        <v>Sampai</v>
      </c>
      <c r="I574" s="464" t="str">
        <f>IFERROR(__xludf.DUMMYFUNCTION("""COMPUTED_VALUE"""),"KIMME")</f>
        <v>KIMME</v>
      </c>
      <c r="J574" s="279" t="str">
        <f>IFERROR(__xludf.DUMMYFUNCTION("""COMPUTED_VALUE"""),"https://vt.tiktok.com/ZS986wdrA/")</f>
        <v>https://vt.tiktok.com/ZS986wdrA/</v>
      </c>
      <c r="K574" s="464" t="str">
        <f>IFERROR(__xludf.DUMMYFUNCTION("""COMPUTED_VALUE"""),"KIMME")</f>
        <v>KIMME</v>
      </c>
      <c r="L574" s="279" t="str">
        <f>IFERROR(__xludf.DUMMYFUNCTION("""COMPUTED_VALUE"""),"https://vt.tiktok.com/ZS98M8jdC/")</f>
        <v>https://vt.tiktok.com/ZS98M8jdC/</v>
      </c>
      <c r="M574" s="464" t="str">
        <f>IFERROR(__xludf.DUMMYFUNCTION("""COMPUTED_VALUE"""),"KIMME")</f>
        <v>KIMME</v>
      </c>
      <c r="N574" s="279" t="str">
        <f>IFERROR(__xludf.DUMMYFUNCTION("""COMPUTED_VALUE"""),"https://vt.tiktok.com/ZS98MdCpQ/")</f>
        <v>https://vt.tiktok.com/ZS98MdCpQ/</v>
      </c>
      <c r="O574" s="464" t="str">
        <f>IFERROR(__xludf.DUMMYFUNCTION("""COMPUTED_VALUE"""),"KIMME")</f>
        <v>KIMME</v>
      </c>
      <c r="P574" s="279" t="str">
        <f>IFERROR(__xludf.DUMMYFUNCTION("""COMPUTED_VALUE"""),"https://vt.tiktok.com/ZS986o3VF/")</f>
        <v>https://vt.tiktok.com/ZS986o3VF/</v>
      </c>
    </row>
    <row r="575">
      <c r="A575" s="255" t="str">
        <f>IFERROR(__xludf.DUMMYFUNCTION("""COMPUTED_VALUE"""),"MICRO")</f>
        <v>MICRO</v>
      </c>
      <c r="B575" s="361" t="str">
        <f>IFERROR(__xludf.DUMMYFUNCTION("""COMPUTED_VALUE"""),"riska.anikmah")</f>
        <v>riska.anikmah</v>
      </c>
      <c r="C575" s="257" t="str">
        <f>IFERROR(__xludf.DUMMYFUNCTION("""COMPUTED_VALUE"""),"https://www.tiktok.com/@riska.anikmah")</f>
        <v>https://www.tiktok.com/@riska.anikmah</v>
      </c>
      <c r="D575" s="270">
        <f>IFERROR(__xludf.DUMMYFUNCTION("""COMPUTED_VALUE"""),8.2158490941E10)</f>
        <v>82158490941</v>
      </c>
      <c r="E575" s="457">
        <f>IFERROR(__xludf.DUMMYFUNCTION("""COMPUTED_VALUE"""),0.0)</f>
        <v>0</v>
      </c>
      <c r="F575" s="270">
        <f>IFERROR(__xludf.DUMMYFUNCTION("""COMPUTED_VALUE"""),4.0)</f>
        <v>4</v>
      </c>
      <c r="G575" s="17" t="str">
        <f>IFERROR(__xludf.DUMMYFUNCTION("""COMPUTED_VALUE"""),"Sabun batang 1 Box ( 2 PCS )")</f>
        <v>Sabun batang 1 Box ( 2 PCS )</v>
      </c>
      <c r="H575" s="463" t="str">
        <f>IFERROR(__xludf.DUMMYFUNCTION("""COMPUTED_VALUE"""),"Sampai")</f>
        <v>Sampai</v>
      </c>
      <c r="I575" s="464" t="str">
        <f>IFERROR(__xludf.DUMMYFUNCTION("""COMPUTED_VALUE"""),"KIMME")</f>
        <v>KIMME</v>
      </c>
      <c r="J575" s="279" t="str">
        <f>IFERROR(__xludf.DUMMYFUNCTION("""COMPUTED_VALUE"""),"https://vt.tiktok.com/ZS98MLRST/")</f>
        <v>https://vt.tiktok.com/ZS98MLRST/</v>
      </c>
      <c r="K575" s="464" t="str">
        <f>IFERROR(__xludf.DUMMYFUNCTION("""COMPUTED_VALUE"""),"KIMME")</f>
        <v>KIMME</v>
      </c>
      <c r="L575" s="279" t="str">
        <f>IFERROR(__xludf.DUMMYFUNCTION("""COMPUTED_VALUE"""),"https://vt.tiktok.com/ZS98MNVNQ/")</f>
        <v>https://vt.tiktok.com/ZS98MNVNQ/</v>
      </c>
      <c r="M575" s="464" t="str">
        <f>IFERROR(__xludf.DUMMYFUNCTION("""COMPUTED_VALUE"""),"KIMME")</f>
        <v>KIMME</v>
      </c>
      <c r="N575" s="279" t="str">
        <f>IFERROR(__xludf.DUMMYFUNCTION("""COMPUTED_VALUE"""),"https://vt.tiktok.com/ZS98MN5QQ/")</f>
        <v>https://vt.tiktok.com/ZS98MN5QQ/</v>
      </c>
      <c r="O575" s="464" t="str">
        <f>IFERROR(__xludf.DUMMYFUNCTION("""COMPUTED_VALUE"""),"KIMME")</f>
        <v>KIMME</v>
      </c>
      <c r="P575" s="279" t="str">
        <f>IFERROR(__xludf.DUMMYFUNCTION("""COMPUTED_VALUE"""),"https://vt.tiktok.com/ZS9865oET/")</f>
        <v>https://vt.tiktok.com/ZS9865oET/</v>
      </c>
    </row>
    <row r="576">
      <c r="A576" s="255" t="str">
        <f>IFERROR(__xludf.DUMMYFUNCTION("""COMPUTED_VALUE"""),"MICRO")</f>
        <v>MICRO</v>
      </c>
      <c r="B576" s="361" t="str">
        <f>IFERROR(__xludf.DUMMYFUNCTION("""COMPUTED_VALUE"""),"yan111e")</f>
        <v>yan111e</v>
      </c>
      <c r="C576" s="257" t="str">
        <f>IFERROR(__xludf.DUMMYFUNCTION("""COMPUTED_VALUE"""),"https://www.tiktok.com/@yan111e")</f>
        <v>https://www.tiktok.com/@yan111e</v>
      </c>
      <c r="D576" s="270">
        <f>IFERROR(__xludf.DUMMYFUNCTION("""COMPUTED_VALUE"""),8.212788883E10)</f>
        <v>82127888830</v>
      </c>
      <c r="E576" s="457">
        <f>IFERROR(__xludf.DUMMYFUNCTION("""COMPUTED_VALUE"""),0.0)</f>
        <v>0</v>
      </c>
      <c r="F576" s="270">
        <f>IFERROR(__xludf.DUMMYFUNCTION("""COMPUTED_VALUE"""),4.0)</f>
        <v>4</v>
      </c>
      <c r="G576" s="17" t="str">
        <f>IFERROR(__xludf.DUMMYFUNCTION("""COMPUTED_VALUE"""),"Sabun batang 1 Box ( 2 PCS )")</f>
        <v>Sabun batang 1 Box ( 2 PCS )</v>
      </c>
      <c r="H576" s="463" t="str">
        <f>IFERROR(__xludf.DUMMYFUNCTION("""COMPUTED_VALUE"""),"Sampai")</f>
        <v>Sampai</v>
      </c>
      <c r="I576" s="464" t="str">
        <f>IFERROR(__xludf.DUMMYFUNCTION("""COMPUTED_VALUE"""),"KIMME")</f>
        <v>KIMME</v>
      </c>
      <c r="J576" s="279" t="str">
        <f>IFERROR(__xludf.DUMMYFUNCTION("""COMPUTED_VALUE"""),"https://www.tiktok.com/@outfitce_/video/7621065743576091924?_r=1&amp;u_code=e0898kg4gbb4c7&amp;region=&amp;mid=7608156113497983765&amp;preview_pb=0&amp;sharer_language=&amp;_d=0&amp;ec_shared_reflux_dynamic_params=%7B%22placeholder_material_id%22%3A%227621065743576091924%22%2C%22pla"&amp;"ceholder_origin_cover%22%3A%22https%253A%252F%252Fp16-sign-sg.tiktokcdn.com%252Ftos-alisg-p-0037%252FoskIZcLhlgGxxCDA2E3Ae3IOTNghjeZD48eu2C~tplv-tiktokx-origin.jpeg%253Fdr%253D14572%2526refresh_token%253Db23e462f%2526x-expires%253D1808474400%2526x-signatu"&amp;"re%253DhsLsq1AfLpyBuKGcE1QUEpceFNQ%25253D%2526t%253D4d5b0474%2526ps%253D13740610%2526shp%253Dd05b14bd%2526shcp%253D34ff8df6%2526idc%253Dmy3%2526s%253DTIKTOK_AFFILIATE_VIRAL_VIDEO%22%2C%22placeholder_product_id%22%3A%221729427766722726591%22%2C%22placehold"&amp;"er_video_id%22%3A%227621065743576091924%22%7D&amp;ec_shared_reflux_scene=shop_tab_feed&amp;share_item_id=7621065743576091924&amp;source=h5_t")</f>
        <v>https://www.tiktok.com/@outfitce_/video/7621065743576091924?_r=1&amp;u_code=e0898kg4gbb4c7&amp;region=&amp;mid=7608156113497983765&amp;preview_pb=0&amp;sharer_language=&amp;_d=0&amp;ec_shared_reflux_dynamic_params=%7B%22placeholder_material_id%22%3A%227621065743576091924%22%2C%22placeholder_origin_cover%22%3A%22https%253A%252F%252Fp16-sign-sg.tiktokcdn.com%252Ftos-alisg-p-0037%252FoskIZcLhlgGxxCDA2E3Ae3IOTNghjeZD48eu2C~tplv-tiktokx-origin.jpeg%253Fdr%253D14572%2526refresh_token%253Db23e462f%2526x-expires%253D1808474400%2526x-signature%253DhsLsq1AfLpyBuKGcE1QUEpceFNQ%25253D%2526t%253D4d5b0474%2526ps%253D13740610%2526shp%253Dd05b14bd%2526shcp%253D34ff8df6%2526idc%253Dmy3%2526s%253DTIKTOK_AFFILIATE_VIRAL_VIDEO%22%2C%22placeholder_product_id%22%3A%221729427766722726591%22%2C%22placeholder_video_id%22%3A%227621065743576091924%22%7D&amp;ec_shared_reflux_scene=shop_tab_feed&amp;share_item_id=7621065743576091924&amp;source=h5_t</v>
      </c>
      <c r="K576" s="464" t="str">
        <f>IFERROR(__xludf.DUMMYFUNCTION("""COMPUTED_VALUE"""),"KIMME")</f>
        <v>KIMME</v>
      </c>
      <c r="L576" s="279" t="str">
        <f>IFERROR(__xludf.DUMMYFUNCTION("""COMPUTED_VALUE"""),"https://www.tiktok.com/@outfitce_/video/7621378061828754709?_r=1&amp;u_code=e0898kg4gbb4c7&amp;region=&amp;mid=7608156113497983765&amp;preview_pb=0&amp;sharer_language=&amp;_d=0&amp;ec_shared_reflux_dynamic_params=%7B%22placeholder_material_id%22%3A%227621378061828754709%22%2C%22pla"&amp;"ceholder_origin_cover%22%3A%22https%253A%252F%252Fp16-sign-sg.tiktokcdn.com%252Ftos-alisg-p-0037%252FosviaBAYB2iJBS7EZKEIIT41ANFokySpw9cVP~tplv-tiktokx-origin.jpeg%253Fdr%253D14572%2526refresh_token%253D0ed88a06%2526x-expires%253D1808474400%2526x-signatur"&amp;"e%253DAcL%25252BX3c696nh24L2sHMcL3ALa8A%25253D%2526t%253D4d5b0474%2526ps%253D13740610%2526shp%253Dd05b14bd%2526shcp%253D34ff8df6%2526idc%253Dmy3%2526s%253DTIKTOK_AFFILIATE_VIRAL_VIDEO%22%2C%22placeholder_product_id%22%3A%221729427766722726591%22%2C%22plac"&amp;"eholder_video_id%22%3A%227621378061828754709%22%7D&amp;ec_shared_reflux_scene=shop_tab_feed&amp;share_item_id=7621378061828754709&amp;source=h5_t")</f>
        <v>https://www.tiktok.com/@outfitce_/video/7621378061828754709?_r=1&amp;u_code=e0898kg4gbb4c7&amp;region=&amp;mid=7608156113497983765&amp;preview_pb=0&amp;sharer_language=&amp;_d=0&amp;ec_shared_reflux_dynamic_params=%7B%22placeholder_material_id%22%3A%227621378061828754709%22%2C%22placeholder_origin_cover%22%3A%22https%253A%252F%252Fp16-sign-sg.tiktokcdn.com%252Ftos-alisg-p-0037%252FosviaBAYB2iJBS7EZKEIIT41ANFokySpw9cVP~tplv-tiktokx-origin.jpeg%253Fdr%253D14572%2526refresh_token%253D0ed88a06%2526x-expires%253D1808474400%2526x-signature%253DAcL%25252BX3c696nh24L2sHMcL3ALa8A%25253D%2526t%253D4d5b0474%2526ps%253D13740610%2526shp%253Dd05b14bd%2526shcp%253D34ff8df6%2526idc%253Dmy3%2526s%253DTIKTOK_AFFILIATE_VIRAL_VIDEO%22%2C%22placeholder_product_id%22%3A%221729427766722726591%22%2C%22placeholder_video_id%22%3A%227621378061828754709%22%7D&amp;ec_shared_reflux_scene=shop_tab_feed&amp;share_item_id=7621378061828754709&amp;source=h5_t</v>
      </c>
      <c r="M576" s="464" t="str">
        <f>IFERROR(__xludf.DUMMYFUNCTION("""COMPUTED_VALUE"""),"KIMME")</f>
        <v>KIMME</v>
      </c>
      <c r="N576" s="279" t="str">
        <f>IFERROR(__xludf.DUMMYFUNCTION("""COMPUTED_VALUE"""),"https://www.tiktok.com/@outfitce_/video/7621497388913511701?_r=1&amp;u_code=e0898kg4gbb4c7&amp;region=&amp;mid=7608156113497983765&amp;preview_pb=0&amp;sharer_language=&amp;_d=0&amp;ec_shared_reflux_dynamic_params=%7B%22placeholder_material_id%22%3A%227621497388913511701%22%2C%22pla"&amp;"ceholder_origin_cover%22%3A%22https%253A%252F%252Fp16-sign-sg.tiktokcdn.com%252Ftos-alisg-p-0037%252FoYnegJuRAMQzbACoUfZF8W4P7GQIngfuGfENcG~tplv-tiktokx-origin.jpeg%253Fdr%253D14572%2526refresh_token%253Dca099002%2526x-expires%253D1808474400%2526x-signatu"&amp;"re%253Dwy8KKaaNFxF0M78lsx8fJTyxW08%25253D%2526t%253D4d5b0474%2526ps%253D13740610%2526shp%253Dd05b14bd%2526shcp%253D34ff8df6%2526idc%253Dmy3%2526s%253DTIKTOK_AFFILIATE_VIRAL_VIDEO%22%2C%22placeholder_product_id%22%3A%221729427766722726591%22%2C%22placehold"&amp;"er_video_id%22%3A%227621497388913511701%22%7D&amp;ec_shared_reflux_scene=shop_tab_feed&amp;share_item_id=7621497388913511701&amp;source=h5_t")</f>
        <v>https://www.tiktok.com/@outfitce_/video/7621497388913511701?_r=1&amp;u_code=e0898kg4gbb4c7&amp;region=&amp;mid=7608156113497983765&amp;preview_pb=0&amp;sharer_language=&amp;_d=0&amp;ec_shared_reflux_dynamic_params=%7B%22placeholder_material_id%22%3A%227621497388913511701%22%2C%22placeholder_origin_cover%22%3A%22https%253A%252F%252Fp16-sign-sg.tiktokcdn.com%252Ftos-alisg-p-0037%252FoYnegJuRAMQzbACoUfZF8W4P7GQIngfuGfENcG~tplv-tiktokx-origin.jpeg%253Fdr%253D14572%2526refresh_token%253Dca099002%2526x-expires%253D1808474400%2526x-signature%253Dwy8KKaaNFxF0M78lsx8fJTyxW08%25253D%2526t%253D4d5b0474%2526ps%253D13740610%2526shp%253Dd05b14bd%2526shcp%253D34ff8df6%2526idc%253Dmy3%2526s%253DTIKTOK_AFFILIATE_VIRAL_VIDEO%22%2C%22placeholder_product_id%22%3A%221729427766722726591%22%2C%22placeholder_video_id%22%3A%227621497388913511701%22%7D&amp;ec_shared_reflux_scene=shop_tab_feed&amp;share_item_id=7621497388913511701&amp;source=h5_t</v>
      </c>
      <c r="O576" s="464" t="str">
        <f>IFERROR(__xludf.DUMMYFUNCTION("""COMPUTED_VALUE"""),"KIMME")</f>
        <v>KIMME</v>
      </c>
      <c r="P576" s="279" t="str">
        <f>IFERROR(__xludf.DUMMYFUNCTION("""COMPUTED_VALUE"""),"https://www.tiktok.com/@outfitce_/video/7621850978186267925?_r=1&amp;u_code=e0898kg4gbb4c7&amp;region=&amp;mid=7608156113497983765&amp;preview_pb=0&amp;sharer_language=&amp;_d=0&amp;ec_shared_reflux_dynamic_params=%7B%22placeholder_material_id%22%3A%227621850978186267925%22%2C%22pla"&amp;"ceholder_origin_cover%22%3A%22https%253A%252F%252Fp16-sign-sg.tiktokcdn.com%252Ftos-alisg-p-0037%252FoQMYIDALoIMyrjBAHEIjfGIIFeQvGejCoSrTVG~tplv-tiktokx-origin.jpeg%253Fdr%253D14572%2526refresh_token%253D646df901%2526x-expires%253D1808474400%2526x-signatu"&amp;"re%253DD8W5fvozL0yXAeoYpkd2rwguA4Y%25253D%2526t%253D4d5b0474%2526ps%253D13740610%2526shp%253Dd05b14bd%2526shcp%253D34ff8df6%2526idc%253Dmy3%2526s%253DTIKTOK_AFFILIATE_VIRAL_VIDEO%22%2C%22placeholder_product_id%22%3A%221729427766722726591%22%2C%22placehold"&amp;"er_video_id%22%3A%227621850978186267925%22%7D&amp;ec_shared_reflux_scene=shop_tab_feed&amp;share_item_id=7621850978186267925&amp;source=h5_t")</f>
        <v>https://www.tiktok.com/@outfitce_/video/7621850978186267925?_r=1&amp;u_code=e0898kg4gbb4c7&amp;region=&amp;mid=7608156113497983765&amp;preview_pb=0&amp;sharer_language=&amp;_d=0&amp;ec_shared_reflux_dynamic_params=%7B%22placeholder_material_id%22%3A%227621850978186267925%22%2C%22placeholder_origin_cover%22%3A%22https%253A%252F%252Fp16-sign-sg.tiktokcdn.com%252Ftos-alisg-p-0037%252FoQMYIDALoIMyrjBAHEIjfGIIFeQvGejCoSrTVG~tplv-tiktokx-origin.jpeg%253Fdr%253D14572%2526refresh_token%253D646df901%2526x-expires%253D1808474400%2526x-signature%253DD8W5fvozL0yXAeoYpkd2rwguA4Y%25253D%2526t%253D4d5b0474%2526ps%253D13740610%2526shp%253Dd05b14bd%2526shcp%253D34ff8df6%2526idc%253Dmy3%2526s%253DTIKTOK_AFFILIATE_VIRAL_VIDEO%22%2C%22placeholder_product_id%22%3A%221729427766722726591%22%2C%22placeholder_video_id%22%3A%227621850978186267925%22%7D&amp;ec_shared_reflux_scene=shop_tab_feed&amp;share_item_id=7621850978186267925&amp;source=h5_t</v>
      </c>
    </row>
    <row r="577">
      <c r="A577" s="255" t="str">
        <f>IFERROR(__xludf.DUMMYFUNCTION("""COMPUTED_VALUE"""),"MICRO")</f>
        <v>MICRO</v>
      </c>
      <c r="B577" s="361" t="str">
        <f>IFERROR(__xludf.DUMMYFUNCTION("""COMPUTED_VALUE"""),"lm_beautycare")</f>
        <v>lm_beautycare</v>
      </c>
      <c r="C577" s="257" t="str">
        <f>IFERROR(__xludf.DUMMYFUNCTION("""COMPUTED_VALUE"""),"https://www.tiktok.com/@lm_beautycare")</f>
        <v>https://www.tiktok.com/@lm_beautycare</v>
      </c>
      <c r="D577" s="270">
        <f>IFERROR(__xludf.DUMMYFUNCTION("""COMPUTED_VALUE"""),8.3872282119E10)</f>
        <v>83872282119</v>
      </c>
      <c r="E577" s="457">
        <f>IFERROR(__xludf.DUMMYFUNCTION("""COMPUTED_VALUE"""),0.0)</f>
        <v>0</v>
      </c>
      <c r="F577" s="270">
        <f>IFERROR(__xludf.DUMMYFUNCTION("""COMPUTED_VALUE"""),4.0)</f>
        <v>4</v>
      </c>
      <c r="G577" s="17" t="str">
        <f>IFERROR(__xludf.DUMMYFUNCTION("""COMPUTED_VALUE"""),"Sabun batang 1 Box ( 2 PCS )")</f>
        <v>Sabun batang 1 Box ( 2 PCS )</v>
      </c>
      <c r="H577" s="463" t="str">
        <f>IFERROR(__xludf.DUMMYFUNCTION("""COMPUTED_VALUE"""),"Sampai")</f>
        <v>Sampai</v>
      </c>
      <c r="I577" s="464" t="str">
        <f>IFERROR(__xludf.DUMMYFUNCTION("""COMPUTED_VALUE"""),"KIMME")</f>
        <v>KIMME</v>
      </c>
      <c r="J577" s="279" t="str">
        <f>IFERROR(__xludf.DUMMYFUNCTION("""COMPUTED_VALUE"""),"https://www.tiktok.com/@outfitce_/video/7621923426730593556?_r=1&amp;u_code=e0898kg4gbb4c7&amp;region=&amp;mid=7608156113497983765&amp;preview_pb=0&amp;sharer_language=&amp;_d=0&amp;ec_shared_reflux_dynamic_params=%7B%22placeholder_material_id%22%3A%227621923426730593556%22%2C%22pla"&amp;"ceholder_origin_cover%22%3A%22https%253A%252F%252Fp16-common-sign.tiktokcdn.com%252Ftos-alisg-p-0037%252FosFKwZOpxAVeBhRBE0FojRgBUTGfIgt1E2MgID~tplv-tiktokx-origin.jpeg%253Fdr%253D14572%2526refresh_token%253D342c822f%2526x-expires%253D1808474400%2526x-sig"&amp;"nature%253Dd6PqrN2gYNQmcgGK95StwyCECLE%25253D%2526t%253D4d5b0474%2526ps%253D13740610%2526shp%253Dd05b14bd%2526shcp%253D34ff8df6%2526idc%253Dmy3%2526s%253DTIKTOK_AFFILIATE_VIRAL_VIDEO%22%2C%22placeholder_product_id%22%3A%221729427766722726591%22%2C%22place"&amp;"holder_video_id%22%3A%227621923426730593556%22%7D&amp;ec_shared_reflux_scene=shop_tab_feed&amp;share_item_id=7621923426730593556&amp;source=h5_t")</f>
        <v>https://www.tiktok.com/@outfitce_/video/7621923426730593556?_r=1&amp;u_code=e0898kg4gbb4c7&amp;region=&amp;mid=7608156113497983765&amp;preview_pb=0&amp;sharer_language=&amp;_d=0&amp;ec_shared_reflux_dynamic_params=%7B%22placeholder_material_id%22%3A%227621923426730593556%22%2C%22placeholder_origin_cover%22%3A%22https%253A%252F%252Fp16-common-sign.tiktokcdn.com%252Ftos-alisg-p-0037%252FosFKwZOpxAVeBhRBE0FojRgBUTGfIgt1E2MgID~tplv-tiktokx-origin.jpeg%253Fdr%253D14572%2526refresh_token%253D342c822f%2526x-expires%253D1808474400%2526x-signature%253Dd6PqrN2gYNQmcgGK95StwyCECLE%25253D%2526t%253D4d5b0474%2526ps%253D13740610%2526shp%253Dd05b14bd%2526shcp%253D34ff8df6%2526idc%253Dmy3%2526s%253DTIKTOK_AFFILIATE_VIRAL_VIDEO%22%2C%22placeholder_product_id%22%3A%221729427766722726591%22%2C%22placeholder_video_id%22%3A%227621923426730593556%22%7D&amp;ec_shared_reflux_scene=shop_tab_feed&amp;share_item_id=7621923426730593556&amp;source=h5_t</v>
      </c>
      <c r="K577" s="464" t="str">
        <f>IFERROR(__xludf.DUMMYFUNCTION("""COMPUTED_VALUE"""),"KIMME")</f>
        <v>KIMME</v>
      </c>
      <c r="L577" s="279" t="str">
        <f>IFERROR(__xludf.DUMMYFUNCTION("""COMPUTED_VALUE"""),"https://www.tiktok.com/@outfitce_/video/7622888531995675924?_r=1&amp;u_code=e0898kg4gbb4c7&amp;region=&amp;mid=7608156113497983765&amp;preview_pb=0&amp;sharer_language=&amp;_d=0&amp;ec_shared_reflux_dynamic_params=%7B%22placeholder_material_id%22%3A%227622888531995675924%22%2C%22pla"&amp;"ceholder_origin_cover%22%3A%22https%253A%252F%252Fp19-common-sign.tiktokcdn.com%252Ftos-alisg-p-0037%252FoYTkOjw4QZfKC2bIQx9TrDAfCjFZyofjvAQDCE~tplv-tiktokx-origin.jpeg%253Fdr%253D14572%2526refresh_token%253D5ae09fad%2526x-expires%253D1808474400%2526x-sig"&amp;"nature%253D8FDm9PKXWizQNPkQCT7rBXv%25252FjjM%25253D%2526t%253D4d5b0474%2526ps%253D13740610%2526shp%253Dd05b14bd%2526shcp%253D34ff8df6%2526idc%253Dmy3%2526s%253DTIKTOK_AFFILIATE_VIRAL_VIDEO%22%2C%22placeholder_product_id%22%3A%221729427766722726591%22%2C%2"&amp;"2placeholder_video_id%22%3A%227622888531995675924%22%7D&amp;ec_shared_reflux_scene=shop_tab_feed&amp;share_item_id=7622888531995675924&amp;source=h5_t")</f>
        <v>https://www.tiktok.com/@outfitce_/video/7622888531995675924?_r=1&amp;u_code=e0898kg4gbb4c7&amp;region=&amp;mid=7608156113497983765&amp;preview_pb=0&amp;sharer_language=&amp;_d=0&amp;ec_shared_reflux_dynamic_params=%7B%22placeholder_material_id%22%3A%227622888531995675924%22%2C%22placeholder_origin_cover%22%3A%22https%253A%252F%252Fp19-common-sign.tiktokcdn.com%252Ftos-alisg-p-0037%252FoYTkOjw4QZfKC2bIQx9TrDAfCjFZyofjvAQDCE~tplv-tiktokx-origin.jpeg%253Fdr%253D14572%2526refresh_token%253D5ae09fad%2526x-expires%253D1808474400%2526x-signature%253D8FDm9PKXWizQNPkQCT7rBXv%25252FjjM%25253D%2526t%253D4d5b0474%2526ps%253D13740610%2526shp%253Dd05b14bd%2526shcp%253D34ff8df6%2526idc%253Dmy3%2526s%253DTIKTOK_AFFILIATE_VIRAL_VIDEO%22%2C%22placeholder_product_id%22%3A%221729427766722726591%22%2C%22placeholder_video_id%22%3A%227622888531995675924%22%7D&amp;ec_shared_reflux_scene=shop_tab_feed&amp;share_item_id=7622888531995675924&amp;source=h5_t</v>
      </c>
      <c r="M577" s="464" t="str">
        <f>IFERROR(__xludf.DUMMYFUNCTION("""COMPUTED_VALUE"""),"KIMME")</f>
        <v>KIMME</v>
      </c>
      <c r="N577" s="279" t="str">
        <f>IFERROR(__xludf.DUMMYFUNCTION("""COMPUTED_VALUE"""),"https://www.tiktok.com/@outfitce_/video/7622946190480428308?_r=1&amp;u_code=e0898kg4gbb4c7&amp;region=&amp;mid=7608156113497983765&amp;preview_pb=0&amp;sharer_language=&amp;_d=0&amp;ec_shared_reflux_dynamic_params=%7B%22placeholder_material_id%22%3A%227622946190480428308%22%2C%22pla"&amp;"ceholder_origin_cover%22%3A%22https%253A%252F%252Fp16-common-sign.tiktokcdn.com%252Ftos-alisg-p-0037%252FoYD1iIm5wK2IAIwT0zIvauiuCBAKqRfJA0AgBo~tplv-tiktokx-origin.jpeg%253Fdr%253D14572%2526refresh_token%253Dcb06479d%2526x-expires%253D1808474400%2526x-sig"&amp;"nature%253DasE5m0uyewOTJmGKXWxytG5Kp9k%25253D%2526t%253D4d5b0474%2526ps%253D13740610%2526shp%253Dd05b14bd%2526shcp%253D34ff8df6%2526idc%253Dmy3%2526s%253DTIKTOK_AFFILIATE_VIRAL_VIDEO%22%2C%22placeholder_product_id%22%3A%221729427766722726591%22%2C%22place"&amp;"holder_video_id%22%3A%227622946190480428308%22%7D&amp;ec_shared_reflux_scene=shop_tab_feed&amp;share_item_id=7622946190480428308&amp;source=h5_t")</f>
        <v>https://www.tiktok.com/@outfitce_/video/7622946190480428308?_r=1&amp;u_code=e0898kg4gbb4c7&amp;region=&amp;mid=7608156113497983765&amp;preview_pb=0&amp;sharer_language=&amp;_d=0&amp;ec_shared_reflux_dynamic_params=%7B%22placeholder_material_id%22%3A%227622946190480428308%22%2C%22placeholder_origin_cover%22%3A%22https%253A%252F%252Fp16-common-sign.tiktokcdn.com%252Ftos-alisg-p-0037%252FoYD1iIm5wK2IAIwT0zIvauiuCBAKqRfJA0AgBo~tplv-tiktokx-origin.jpeg%253Fdr%253D14572%2526refresh_token%253Dcb06479d%2526x-expires%253D1808474400%2526x-signature%253DasE5m0uyewOTJmGKXWxytG5Kp9k%25253D%2526t%253D4d5b0474%2526ps%253D13740610%2526shp%253Dd05b14bd%2526shcp%253D34ff8df6%2526idc%253Dmy3%2526s%253DTIKTOK_AFFILIATE_VIRAL_VIDEO%22%2C%22placeholder_product_id%22%3A%221729427766722726591%22%2C%22placeholder_video_id%22%3A%227622946190480428308%22%7D&amp;ec_shared_reflux_scene=shop_tab_feed&amp;share_item_id=7622946190480428308&amp;source=h5_t</v>
      </c>
      <c r="O577" s="464" t="str">
        <f>IFERROR(__xludf.DUMMYFUNCTION("""COMPUTED_VALUE"""),"KIMME")</f>
        <v>KIMME</v>
      </c>
      <c r="P577" s="279" t="str">
        <f>IFERROR(__xludf.DUMMYFUNCTION("""COMPUTED_VALUE"""),"https://www.tiktok.com/@outfitce_/video/7623042801193848084?_r=1&amp;u_code=e0898kg4gbb4c7&amp;region=&amp;mid=7608156113497983765&amp;preview_pb=0&amp;sharer_language=&amp;_d=0&amp;ec_shared_reflux_dynamic_params=%7B%22placeholder_material_id%22%3A%227623042801193848084%22%2C%22pla"&amp;"ceholder_origin_cover%22%3A%22https%253A%252F%252Fp16-common-sign.tiktokcdn.com%252Ftos-alisg-p-0037%252FosABDR0UOUpQfB0HmGDnwQEoUyfRExFgBG1EwU~tplv-tiktokx-origin.jpeg%253Fdr%253D14572%2526refresh_token%253D155dc504%2526x-expires%253D1808474400%2526x-sig"&amp;"nature%253DCmLUWKvuuF5LXjJTjMgDlBAN%25252Fxg%25253D%2526t%253D4d5b0474%2526ps%253D13740610%2526shp%253Dd05b14bd%2526shcp%253D34ff8df6%2526idc%253Dmy3%2526s%253DTIKTOK_AFFILIATE_VIRAL_VIDEO%22%2C%22placeholder_product_id%22%3A%221729427766722726591%22%2C%2"&amp;"2placeholder_video_id%22%3A%227623042801193848084%22%7D&amp;ec_shared_reflux_scene=shop_tab_feed&amp;share_item_id=7623042801193848084&amp;source=h5_t")</f>
        <v>https://www.tiktok.com/@outfitce_/video/7623042801193848084?_r=1&amp;u_code=e0898kg4gbb4c7&amp;region=&amp;mid=7608156113497983765&amp;preview_pb=0&amp;sharer_language=&amp;_d=0&amp;ec_shared_reflux_dynamic_params=%7B%22placeholder_material_id%22%3A%227623042801193848084%22%2C%22placeholder_origin_cover%22%3A%22https%253A%252F%252Fp16-common-sign.tiktokcdn.com%252Ftos-alisg-p-0037%252FosABDR0UOUpQfB0HmGDnwQEoUyfRExFgBG1EwU~tplv-tiktokx-origin.jpeg%253Fdr%253D14572%2526refresh_token%253D155dc504%2526x-expires%253D1808474400%2526x-signature%253DCmLUWKvuuF5LXjJTjMgDlBAN%25252Fxg%25253D%2526t%253D4d5b0474%2526ps%253D13740610%2526shp%253Dd05b14bd%2526shcp%253D34ff8df6%2526idc%253Dmy3%2526s%253DTIKTOK_AFFILIATE_VIRAL_VIDEO%22%2C%22placeholder_product_id%22%3A%221729427766722726591%22%2C%22placeholder_video_id%22%3A%227623042801193848084%22%7D&amp;ec_shared_reflux_scene=shop_tab_feed&amp;share_item_id=7623042801193848084&amp;source=h5_t</v>
      </c>
    </row>
    <row r="578">
      <c r="A578" s="255" t="str">
        <f>IFERROR(__xludf.DUMMYFUNCTION("""COMPUTED_VALUE"""),"MICRO")</f>
        <v>MICRO</v>
      </c>
      <c r="B578" s="361" t="str">
        <f>IFERROR(__xludf.DUMMYFUNCTION("""COMPUTED_VALUE"""),"azqiarabahira21")</f>
        <v>azqiarabahira21</v>
      </c>
      <c r="C578" s="257" t="str">
        <f>IFERROR(__xludf.DUMMYFUNCTION("""COMPUTED_VALUE"""),"https://www.tiktok.com/@azqiarabahira21")</f>
        <v>https://www.tiktok.com/@azqiarabahira21</v>
      </c>
      <c r="D578" s="270">
        <f>IFERROR(__xludf.DUMMYFUNCTION("""COMPUTED_VALUE"""),8.7781557771E10)</f>
        <v>87781557771</v>
      </c>
      <c r="E578" s="457">
        <f>IFERROR(__xludf.DUMMYFUNCTION("""COMPUTED_VALUE"""),0.0)</f>
        <v>0</v>
      </c>
      <c r="F578" s="270">
        <f>IFERROR(__xludf.DUMMYFUNCTION("""COMPUTED_VALUE"""),4.0)</f>
        <v>4</v>
      </c>
      <c r="G578" s="17" t="str">
        <f>IFERROR(__xludf.DUMMYFUNCTION("""COMPUTED_VALUE"""),"Sabun batang 1 Box ( 2 PCS )")</f>
        <v>Sabun batang 1 Box ( 2 PCS )</v>
      </c>
      <c r="H578" s="463" t="str">
        <f>IFERROR(__xludf.DUMMYFUNCTION("""COMPUTED_VALUE"""),"Sampai")</f>
        <v>Sampai</v>
      </c>
      <c r="I578" s="464" t="str">
        <f>IFERROR(__xludf.DUMMYFUNCTION("""COMPUTED_VALUE"""),"KIMME")</f>
        <v>KIMME</v>
      </c>
      <c r="J578" s="279" t="str">
        <f>IFERROR(__xludf.DUMMYFUNCTION("""COMPUTED_VALUE"""),"https://www.tiktok.com/@outfitce_/video/7623234517871938836?_d=0&amp;_r=1&amp;ec_shared_reflux_dynamic_params=%7B%22placeholder_material_id%22%3A%227623234517871938836%22%2C%22placeholder_origin_cover%22%3A%22https%253A%252F%252Fp16-common-sign.tiktokcdn.com%252F"&amp;"tos-alisg-p-0037%252FoQ6TlBGeIDCIJ3gKeIAAIUHLxlLzRNyZ3pejoK~tplv-tiktokx-origin.jpeg%253Fdr%253D14572%2526refresh_token%253Dda9f544b%2526x-expires%253D1808474400%2526x-signature%253DxwOtGkAh83HUlWYgPMzKYkuD%25252B9g%25253D%2526t%253D4d5b0474%2526ps%253D13"&amp;"740610%2526shp%253Dd05b14bd%2526shcp%253D34ff8df6%2526idc%253Dmy3%2526s%253DTIKTOK_AFFILIATE_VIRAL_VIDEO%22%2C%22placeholder_product_id%22%3A%221729427766722726591%22%2C%22placeholder_video_id%22%3A%227623234517871938836%22%7D&amp;ec_shared_reflux_scene=shop_"&amp;"tab_feed&amp;mid=7608156113497983765&amp;preview_pb=0&amp;region=&amp;share_item_id=7623234517871938836&amp;sharer_language=&amp;source=h5_t&amp;u_code=e0898kg4gbb4c7")</f>
        <v>https://www.tiktok.com/@outfitce_/video/7623234517871938836?_d=0&amp;_r=1&amp;ec_shared_reflux_dynamic_params=%7B%22placeholder_material_id%22%3A%227623234517871938836%22%2C%22placeholder_origin_cover%22%3A%22https%253A%252F%252Fp16-common-sign.tiktokcdn.com%252Ftos-alisg-p-0037%252FoQ6TlBGeIDCIJ3gKeIAAIUHLxlLzRNyZ3pejoK~tplv-tiktokx-origin.jpeg%253Fdr%253D14572%2526refresh_token%253Dda9f544b%2526x-expires%253D1808474400%2526x-signature%253DxwOtGkAh83HUlWYgPMzKYkuD%25252B9g%25253D%2526t%253D4d5b0474%2526ps%253D13740610%2526shp%253Dd05b14bd%2526shcp%253D34ff8df6%2526idc%253Dmy3%2526s%253DTIKTOK_AFFILIATE_VIRAL_VIDEO%22%2C%22placeholder_product_id%22%3A%221729427766722726591%22%2C%22placeholder_video_id%22%3A%227623234517871938836%22%7D&amp;ec_shared_reflux_scene=shop_tab_feed&amp;mid=7608156113497983765&amp;preview_pb=0&amp;region=&amp;share_item_id=7623234517871938836&amp;sharer_language=&amp;source=h5_t&amp;u_code=e0898kg4gbb4c7</v>
      </c>
      <c r="K578" s="464" t="str">
        <f>IFERROR(__xludf.DUMMYFUNCTION("""COMPUTED_VALUE"""),"KIMME")</f>
        <v>KIMME</v>
      </c>
      <c r="L578" s="279" t="str">
        <f>IFERROR(__xludf.DUMMYFUNCTION("""COMPUTED_VALUE"""),"https://www.tiktok.com/@outfitce_/video/7623386361349066005?_r=1&amp;u_code=e0898kg4gbb4c7&amp;region=&amp;mid=7608156113497983765&amp;preview_pb=0&amp;sharer_language=&amp;_d=0&amp;ec_shared_reflux_dynamic_params=%7B%22placeholder_material_id%22%3A%227623386361349066005%22%2C%22pla"&amp;"ceholder_origin_cover%22%3A%22https%253A%252F%252Fp16-common-sign.tiktokcdn.com%252Ftos-alisg-p-0037%252Fo0QLQGBJRtUyAvDprFfwfLPpgVsEME9gU97YBc~tplv-tiktokx-origin.jpeg%253Fdr%253D14572%2526refresh_token%253Dfa9577da%2526x-expires%253D1808474400%2526x-sig"&amp;"nature%253D%25252F56Em%25252F6F%25252Ftklj6kizh2SpnBN4Ns%25253D%2526t%253D4d5b0474%2526ps%253D13740610%2526shp%253Dd05b14bd%2526shcp%253D34ff8df6%2526idc%253Dmy3%2526s%253DTIKTOK_AFFILIATE_VIRAL_VIDEO%22%2C%22placeholder_product_id%22%3A%22172942776672272"&amp;"6591%22%2C%22placeholder_video_id%22%3A%227623386361349066005%22%7D&amp;ec_shared_reflux_scene=shop_tab_feed&amp;share_item_id=7623386361349066005&amp;source=h5_t")</f>
        <v>https://www.tiktok.com/@outfitce_/video/7623386361349066005?_r=1&amp;u_code=e0898kg4gbb4c7&amp;region=&amp;mid=7608156113497983765&amp;preview_pb=0&amp;sharer_language=&amp;_d=0&amp;ec_shared_reflux_dynamic_params=%7B%22placeholder_material_id%22%3A%227623386361349066005%22%2C%22placeholder_origin_cover%22%3A%22https%253A%252F%252Fp16-common-sign.tiktokcdn.com%252Ftos-alisg-p-0037%252Fo0QLQGBJRtUyAvDprFfwfLPpgVsEME9gU97YBc~tplv-tiktokx-origin.jpeg%253Fdr%253D14572%2526refresh_token%253Dfa9577da%2526x-expires%253D1808474400%2526x-signature%253D%25252F56Em%25252F6F%25252Ftklj6kizh2SpnBN4Ns%25253D%2526t%253D4d5b0474%2526ps%253D13740610%2526shp%253Dd05b14bd%2526shcp%253D34ff8df6%2526idc%253Dmy3%2526s%253DTIKTOK_AFFILIATE_VIRAL_VIDEO%22%2C%22placeholder_product_id%22%3A%221729427766722726591%22%2C%22placeholder_video_id%22%3A%227623386361349066005%22%7D&amp;ec_shared_reflux_scene=shop_tab_feed&amp;share_item_id=7623386361349066005&amp;source=h5_t</v>
      </c>
      <c r="M578" s="464" t="str">
        <f>IFERROR(__xludf.DUMMYFUNCTION("""COMPUTED_VALUE"""),"KIMME")</f>
        <v>KIMME</v>
      </c>
      <c r="N578" s="279" t="str">
        <f>IFERROR(__xludf.DUMMYFUNCTION("""COMPUTED_VALUE"""),"https://www.tiktok.com/@outfitce_/video/7623582986763504917?_r=1&amp;u_code=e0898kg4gbb4c7&amp;region=&amp;mid=7608156113497983765&amp;preview_pb=0&amp;sharer_language=&amp;_d=0&amp;ec_shared_reflux_dynamic_params=%7B%22placeholder_material_id%22%3A%227623582986763504917%22%2C%22pla"&amp;"ceholder_origin_cover%22%3A%22https%253A%252F%252Fp16-common-sign.tiktokcdn.com%252Ftos-alisg-p-0037%252FogAvDIGT4QPDFjSQByM8CXamfM1A2NQH0tUfeA~tplv-tiktokx-origin.jpeg%253Fdr%253D14572%2526refresh_token%253D758247cf%2526x-expires%253D1808474400%2526x-sig"&amp;"nature%253DzaPw7xkTopjclENayRQXVpNlxik%25253D%2526t%253D4d5b0474%2526ps%253D13740610%2526shp%253Dd05b14bd%2526shcp%253D34ff8df6%2526idc%253Dmy3%2526s%253DTIKTOK_AFFILIATE_VIRAL_VIDEO%22%2C%22placeholder_product_id%22%3A%221729427766722726591%22%2C%22place"&amp;"holder_video_id%22%3A%227623582986763504917%22%7D&amp;ec_shared_reflux_scene=shop_tab_feed&amp;share_item_id=7623582986763504917&amp;source=h5_t")</f>
        <v>https://www.tiktok.com/@outfitce_/video/7623582986763504917?_r=1&amp;u_code=e0898kg4gbb4c7&amp;region=&amp;mid=7608156113497983765&amp;preview_pb=0&amp;sharer_language=&amp;_d=0&amp;ec_shared_reflux_dynamic_params=%7B%22placeholder_material_id%22%3A%227623582986763504917%22%2C%22placeholder_origin_cover%22%3A%22https%253A%252F%252Fp16-common-sign.tiktokcdn.com%252Ftos-alisg-p-0037%252FogAvDIGT4QPDFjSQByM8CXamfM1A2NQH0tUfeA~tplv-tiktokx-origin.jpeg%253Fdr%253D14572%2526refresh_token%253D758247cf%2526x-expires%253D1808474400%2526x-signature%253DzaPw7xkTopjclENayRQXVpNlxik%25253D%2526t%253D4d5b0474%2526ps%253D13740610%2526shp%253Dd05b14bd%2526shcp%253D34ff8df6%2526idc%253Dmy3%2526s%253DTIKTOK_AFFILIATE_VIRAL_VIDEO%22%2C%22placeholder_product_id%22%3A%221729427766722726591%22%2C%22placeholder_video_id%22%3A%227623582986763504917%22%7D&amp;ec_shared_reflux_scene=shop_tab_feed&amp;share_item_id=7623582986763504917&amp;source=h5_t</v>
      </c>
      <c r="O578" s="464" t="str">
        <f>IFERROR(__xludf.DUMMYFUNCTION("""COMPUTED_VALUE"""),"KIMME")</f>
        <v>KIMME</v>
      </c>
      <c r="P578" s="279" t="str">
        <f>IFERROR(__xludf.DUMMYFUNCTION("""COMPUTED_VALUE"""),"https://www.tiktok.com/@outfitce_/video/7623613966895336724?_r=1&amp;u_code=e0898kg4gbb4c7&amp;region=&amp;mid=7588095810769668882&amp;preview_pb=0&amp;sharer_language=&amp;_d=0&amp;ec_shared_reflux_dynamic_params=%7B%22placeholder_material_id%22%3A%227623613966895336724%22%2C%22pla"&amp;"ceholder_origin_cover%22%3A%22https%253A%252F%252Fp16-common-sign.tiktokcdn.com%252Ftos-alisg-p-0037%252FoYIMRp4YzzzEEhMlBAIGf5SfBiygGFIDBTcBNI~tplv-tiktokx-origin.jpeg%253Fdr%253D14572%2526refresh_token%253Df44a1251%2526x-expires%253D1808474400%2526x-sig"&amp;"nature%253DyfoqtfSbNpNfI8cCLAKbgG3Nhn4%25253D%2526t%253D4d5b0474%2526ps%253D13740610%2526shp%253Dd05b14bd%2526shcp%253D34ff8df6%2526idc%253Dmy3%2526s%253DTIKTOK_AFFILIATE_VIRAL_VIDEO%22%2C%22placeholder_product_id%22%3A%221729427766722726591%22%2C%22place"&amp;"holder_video_id%22%3A%227623613966895336724%22%7D&amp;ec_shared_reflux_scene=shop_tab_feed&amp;share_item_id=7623613966895336724&amp;source=h5_t")</f>
        <v>https://www.tiktok.com/@outfitce_/video/7623613966895336724?_r=1&amp;u_code=e0898kg4gbb4c7&amp;region=&amp;mid=7588095810769668882&amp;preview_pb=0&amp;sharer_language=&amp;_d=0&amp;ec_shared_reflux_dynamic_params=%7B%22placeholder_material_id%22%3A%227623613966895336724%22%2C%22placeholder_origin_cover%22%3A%22https%253A%252F%252Fp16-common-sign.tiktokcdn.com%252Ftos-alisg-p-0037%252FoYIMRp4YzzzEEhMlBAIGf5SfBiygGFIDBTcBNI~tplv-tiktokx-origin.jpeg%253Fdr%253D14572%2526refresh_token%253Df44a1251%2526x-expires%253D1808474400%2526x-signature%253DyfoqtfSbNpNfI8cCLAKbgG3Nhn4%25253D%2526t%253D4d5b0474%2526ps%253D13740610%2526shp%253Dd05b14bd%2526shcp%253D34ff8df6%2526idc%253Dmy3%2526s%253DTIKTOK_AFFILIATE_VIRAL_VIDEO%22%2C%22placeholder_product_id%22%3A%221729427766722726591%22%2C%22placeholder_video_id%22%3A%227623613966895336724%22%7D&amp;ec_shared_reflux_scene=shop_tab_feed&amp;share_item_id=7623613966895336724&amp;source=h5_t</v>
      </c>
    </row>
    <row r="579">
      <c r="A579" s="255" t="str">
        <f>IFERROR(__xludf.DUMMYFUNCTION("""COMPUTED_VALUE"""),"MICRO")</f>
        <v>MICRO</v>
      </c>
      <c r="B579" s="361" t="str">
        <f>IFERROR(__xludf.DUMMYFUNCTION("""COMPUTED_VALUE"""),"rezarama142")</f>
        <v>rezarama142</v>
      </c>
      <c r="C579" s="257" t="str">
        <f>IFERROR(__xludf.DUMMYFUNCTION("""COMPUTED_VALUE"""),"https://www.tiktok.com/@rezarama142")</f>
        <v>https://www.tiktok.com/@rezarama142</v>
      </c>
      <c r="D579" s="270">
        <f>IFERROR(__xludf.DUMMYFUNCTION("""COMPUTED_VALUE"""),8.1392322921E10)</f>
        <v>81392322921</v>
      </c>
      <c r="E579" s="457">
        <f>IFERROR(__xludf.DUMMYFUNCTION("""COMPUTED_VALUE"""),0.0)</f>
        <v>0</v>
      </c>
      <c r="F579" s="270">
        <f>IFERROR(__xludf.DUMMYFUNCTION("""COMPUTED_VALUE"""),4.0)</f>
        <v>4</v>
      </c>
      <c r="G579" s="17" t="str">
        <f>IFERROR(__xludf.DUMMYFUNCTION("""COMPUTED_VALUE"""),"Sabun batang 1 Box ( 2 PCS )")</f>
        <v>Sabun batang 1 Box ( 2 PCS )</v>
      </c>
      <c r="H579" s="463" t="str">
        <f>IFERROR(__xludf.DUMMYFUNCTION("""COMPUTED_VALUE"""),"Sampai")</f>
        <v>Sampai</v>
      </c>
      <c r="I579" s="464" t="str">
        <f>IFERROR(__xludf.DUMMYFUNCTION("""COMPUTED_VALUE"""),"KIMME")</f>
        <v>KIMME</v>
      </c>
      <c r="J579" s="279" t="str">
        <f>IFERROR(__xludf.DUMMYFUNCTION("""COMPUTED_VALUE"""),"https://www.tiktok.com/@outfitce_/video/7623665091103214868?_r=1&amp;u_code=e0898kg4gbb4c7&amp;region=&amp;mid=7608156113497983765&amp;preview_pb=0&amp;sharer_language=&amp;_d=0&amp;ec_shared_reflux_dynamic_params=%7B%22placeholder_material_id%22%3A%227623665091103214868%22%2C%22pla"&amp;"ceholder_origin_cover%22%3A%22https%253A%252F%252Fp16-sign-sg.tiktokcdn.com%252Ftos-alisg-p-0037%252Foc8qfAB5MsDAwiIv0zF7lBqCwICMAmuIa98lic~tplv-tiktokx-origin.jpeg%253Fdr%253D14572%2526refresh_token%253D0731f756%2526x-expires%253D1808474400%2526x-signatu"&amp;"re%253DzTNiwjiItwIaZCy7xuzKGfc8mL8%25253D%2526t%253D4d5b0474%2526ps%253D13740610%2526shp%253Dd05b14bd%2526shcp%253D34ff8df6%2526idc%253Dmy3%2526s%253DTIKTOK_AFFILIATE_VIRAL_VIDEO%22%2C%22placeholder_product_id%22%3A%221729427766722726591%22%2C%22placehold"&amp;"er_video_id%22%3A%227623665091103214868%22%7D&amp;ec_shared_reflux_scene=shop_tab_feed&amp;share_item_id=7623665091103214868&amp;source=h5_t")</f>
        <v>https://www.tiktok.com/@outfitce_/video/7623665091103214868?_r=1&amp;u_code=e0898kg4gbb4c7&amp;region=&amp;mid=7608156113497983765&amp;preview_pb=0&amp;sharer_language=&amp;_d=0&amp;ec_shared_reflux_dynamic_params=%7B%22placeholder_material_id%22%3A%227623665091103214868%22%2C%22placeholder_origin_cover%22%3A%22https%253A%252F%252Fp16-sign-sg.tiktokcdn.com%252Ftos-alisg-p-0037%252Foc8qfAB5MsDAwiIv0zF7lBqCwICMAmuIa98lic~tplv-tiktokx-origin.jpeg%253Fdr%253D14572%2526refresh_token%253D0731f756%2526x-expires%253D1808474400%2526x-signature%253DzTNiwjiItwIaZCy7xuzKGfc8mL8%25253D%2526t%253D4d5b0474%2526ps%253D13740610%2526shp%253Dd05b14bd%2526shcp%253D34ff8df6%2526idc%253Dmy3%2526s%253DTIKTOK_AFFILIATE_VIRAL_VIDEO%22%2C%22placeholder_product_id%22%3A%221729427766722726591%22%2C%22placeholder_video_id%22%3A%227623665091103214868%22%7D&amp;ec_shared_reflux_scene=shop_tab_feed&amp;share_item_id=7623665091103214868&amp;source=h5_t</v>
      </c>
      <c r="K579" s="464" t="str">
        <f>IFERROR(__xludf.DUMMYFUNCTION("""COMPUTED_VALUE"""),"KIMME")</f>
        <v>KIMME</v>
      </c>
      <c r="L579" s="279" t="str">
        <f>IFERROR(__xludf.DUMMYFUNCTION("""COMPUTED_VALUE"""),"https://www.tiktok.com/@outfitce_/video/7623991463914835221?_r=1&amp;u_code=e0898kg4gbb4c7&amp;region=&amp;mid=7608156113497983765&amp;preview_pb=0&amp;sharer_language=&amp;_d=0&amp;ec_shared_reflux_dynamic_params=%7B%22placeholder_material_id%22%3A%227623991463914835221%22%2C%22pla"&amp;"ceholder_origin_cover%22%3A%22https%253A%252F%252Fp16-common-sign.tiktokcdn.com%252Ftos-alisg-p-0037%252FoMISLMegc4X2GeR8RA23hQn5bMGeNAeKQgWFHr~tplv-tiktokx-origin.jpeg%253Fdr%253D14572%2526refresh_token%253D6d2a3c2a%2526x-expires%253D1808474400%2526x-sig"&amp;"nature%253DQHbz2MBWPwobEFX5g8SamQkqyYs%25253D%2526t%253D4d5b0474%2526ps%253D13740610%2526shp%253Dd05b14bd%2526shcp%253D34ff8df6%2526idc%253Dmy3%2526s%253DTIKTOK_AFFILIATE_VIRAL_VIDEO%22%2C%22placeholder_product_id%22%3A%221729427766722726591%22%2C%22place"&amp;"holder_video_id%22%3A%227623991463914835221%22%7D&amp;ec_shared_reflux_scene=shop_tab_feed&amp;share_item_id=7623991463914835221&amp;source=h5_t")</f>
        <v>https://www.tiktok.com/@outfitce_/video/7623991463914835221?_r=1&amp;u_code=e0898kg4gbb4c7&amp;region=&amp;mid=7608156113497983765&amp;preview_pb=0&amp;sharer_language=&amp;_d=0&amp;ec_shared_reflux_dynamic_params=%7B%22placeholder_material_id%22%3A%227623991463914835221%22%2C%22placeholder_origin_cover%22%3A%22https%253A%252F%252Fp16-common-sign.tiktokcdn.com%252Ftos-alisg-p-0037%252FoMISLMegc4X2GeR8RA23hQn5bMGeNAeKQgWFHr~tplv-tiktokx-origin.jpeg%253Fdr%253D14572%2526refresh_token%253D6d2a3c2a%2526x-expires%253D1808474400%2526x-signature%253DQHbz2MBWPwobEFX5g8SamQkqyYs%25253D%2526t%253D4d5b0474%2526ps%253D13740610%2526shp%253Dd05b14bd%2526shcp%253D34ff8df6%2526idc%253Dmy3%2526s%253DTIKTOK_AFFILIATE_VIRAL_VIDEO%22%2C%22placeholder_product_id%22%3A%221729427766722726591%22%2C%22placeholder_video_id%22%3A%227623991463914835221%22%7D&amp;ec_shared_reflux_scene=shop_tab_feed&amp;share_item_id=7623991463914835221&amp;source=h5_t</v>
      </c>
      <c r="M579" s="464" t="str">
        <f>IFERROR(__xludf.DUMMYFUNCTION("""COMPUTED_VALUE"""),"KIMME")</f>
        <v>KIMME</v>
      </c>
      <c r="N579" s="279" t="str">
        <f>IFERROR(__xludf.DUMMYFUNCTION("""COMPUTED_VALUE"""),"https://www.tiktok.com/@outfitce_/video/7624022829977062676?_r=1&amp;u_code=e0898kg4gbb4c7&amp;region=&amp;mid=7559536816974580497&amp;preview_pb=0&amp;sharer_language=&amp;_d=0&amp;ec_shared_reflux_dynamic_params=%7B%22placeholder_material_id%22%3A%227624022829977062676%22%2C%22pla"&amp;"ceholder_origin_cover%22%3A%22https%253A%252F%252Fp16-common-sign.tiktokcdn.com%252Ftos-alisg-p-0037%252FogEJQoPffG6Q3gIjTemT0EFhmGoDqGADAY3xbC~tplv-tiktokx-origin.jpeg%253Fdr%253D14572%2526refresh_token%253D1467c457%2526x-expires%253D1808474400%2526x-sig"&amp;"nature%253DDtDTFnjN5KiqjY7unuNmgSMmH94%25253D%2526t%253D4d5b0474%2526ps%253D13740610%2526shp%253Dd05b14bd%2526shcp%253D34ff8df6%2526idc%253Dmy3%2526s%253DTIKTOK_AFFILIATE_VIRAL_VIDEO%22%2C%22placeholder_product_id%22%3A%221729427766722726591%22%2C%22place"&amp;"holder_video_id%22%3A%227624022829977062676%22%7D&amp;ec_shared_reflux_scene=shop_tab_feed&amp;share_item_id=7624022829977062676&amp;source=h5_t")</f>
        <v>https://www.tiktok.com/@outfitce_/video/7624022829977062676?_r=1&amp;u_code=e0898kg4gbb4c7&amp;region=&amp;mid=7559536816974580497&amp;preview_pb=0&amp;sharer_language=&amp;_d=0&amp;ec_shared_reflux_dynamic_params=%7B%22placeholder_material_id%22%3A%227624022829977062676%22%2C%22placeholder_origin_cover%22%3A%22https%253A%252F%252Fp16-common-sign.tiktokcdn.com%252Ftos-alisg-p-0037%252FogEJQoPffG6Q3gIjTemT0EFhmGoDqGADAY3xbC~tplv-tiktokx-origin.jpeg%253Fdr%253D14572%2526refresh_token%253D1467c457%2526x-expires%253D1808474400%2526x-signature%253DDtDTFnjN5KiqjY7unuNmgSMmH94%25253D%2526t%253D4d5b0474%2526ps%253D13740610%2526shp%253Dd05b14bd%2526shcp%253D34ff8df6%2526idc%253Dmy3%2526s%253DTIKTOK_AFFILIATE_VIRAL_VIDEO%22%2C%22placeholder_product_id%22%3A%221729427766722726591%22%2C%22placeholder_video_id%22%3A%227624022829977062676%22%7D&amp;ec_shared_reflux_scene=shop_tab_feed&amp;share_item_id=7624022829977062676&amp;source=h5_t</v>
      </c>
      <c r="O579" s="464" t="str">
        <f>IFERROR(__xludf.DUMMYFUNCTION("""COMPUTED_VALUE"""),"KIMME")</f>
        <v>KIMME</v>
      </c>
      <c r="P579" s="279" t="str">
        <f>IFERROR(__xludf.DUMMYFUNCTION("""COMPUTED_VALUE"""),"https://www.tiktok.com/@outfitce_/video/7624035229849718036?_r=1&amp;u_code=e0898kg4gbb4c7&amp;region=&amp;mid=7608156113497983765&amp;preview_pb=0&amp;sharer_language=&amp;_d=0&amp;ec_shared_reflux_dynamic_params=%7B%22placeholder_material_id%22%3A%227624035229849718036%22%2C%22pla"&amp;"ceholder_origin_cover%22%3A%22https%253A%252F%252Fp16-common-sign.tiktokcdn.com%252Ftos-alisg-p-0037%252FokOw9FBRUDpnzsEOAgKWAr7GIfqceXBE99IvgB~tplv-tiktokx-origin.jpeg%253Fdr%253D14572%2526refresh_token%253D7b425933%2526x-expires%253D1808474400%2526x-sig"&amp;"nature%253DMqlhu2PUwEYHtB3rAztigowCXkI%25253D%2526t%253D4d5b0474%2526ps%253D13740610%2526shp%253Dd05b14bd%2526shcp%253D34ff8df6%2526idc%253Dmy3%2526s%253DTIKTOK_AFFILIATE_VIRAL_VIDEO%22%2C%22placeholder_product_id%22%3A%221729427766722726591%22%2C%22place"&amp;"holder_video_id%22%3A%227624035229849718036%22%7D&amp;ec_shared_reflux_scene=shop_tab_feed&amp;share_item_id=7624035229849718036&amp;source=h5_t")</f>
        <v>https://www.tiktok.com/@outfitce_/video/7624035229849718036?_r=1&amp;u_code=e0898kg4gbb4c7&amp;region=&amp;mid=7608156113497983765&amp;preview_pb=0&amp;sharer_language=&amp;_d=0&amp;ec_shared_reflux_dynamic_params=%7B%22placeholder_material_id%22%3A%227624035229849718036%22%2C%22placeholder_origin_cover%22%3A%22https%253A%252F%252Fp16-common-sign.tiktokcdn.com%252Ftos-alisg-p-0037%252FokOw9FBRUDpnzsEOAgKWAr7GIfqceXBE99IvgB~tplv-tiktokx-origin.jpeg%253Fdr%253D14572%2526refresh_token%253D7b425933%2526x-expires%253D1808474400%2526x-signature%253DMqlhu2PUwEYHtB3rAztigowCXkI%25253D%2526t%253D4d5b0474%2526ps%253D13740610%2526shp%253Dd05b14bd%2526shcp%253D34ff8df6%2526idc%253Dmy3%2526s%253DTIKTOK_AFFILIATE_VIRAL_VIDEO%22%2C%22placeholder_product_id%22%3A%221729427766722726591%22%2C%22placeholder_video_id%22%3A%227624035229849718036%22%7D&amp;ec_shared_reflux_scene=shop_tab_feed&amp;share_item_id=7624035229849718036&amp;source=h5_t</v>
      </c>
    </row>
    <row r="580">
      <c r="A580" s="255" t="str">
        <f>IFERROR(__xludf.DUMMYFUNCTION("""COMPUTED_VALUE"""),"MICRO")</f>
        <v>MICRO</v>
      </c>
      <c r="B580" s="361" t="str">
        <f>IFERROR(__xludf.DUMMYFUNCTION("""COMPUTED_VALUE"""),"deppiao")</f>
        <v>deppiao</v>
      </c>
      <c r="C580" s="257" t="str">
        <f>IFERROR(__xludf.DUMMYFUNCTION("""COMPUTED_VALUE"""),"https://www.tiktok.com/@deppiao")</f>
        <v>https://www.tiktok.com/@deppiao</v>
      </c>
      <c r="D580" s="270">
        <f>IFERROR(__xludf.DUMMYFUNCTION("""COMPUTED_VALUE"""),8.9663008855E10)</f>
        <v>89663008855</v>
      </c>
      <c r="E580" s="457">
        <f>IFERROR(__xludf.DUMMYFUNCTION("""COMPUTED_VALUE"""),0.0)</f>
        <v>0</v>
      </c>
      <c r="F580" s="270">
        <f>IFERROR(__xludf.DUMMYFUNCTION("""COMPUTED_VALUE"""),4.0)</f>
        <v>4</v>
      </c>
      <c r="G580" s="17" t="str">
        <f>IFERROR(__xludf.DUMMYFUNCTION("""COMPUTED_VALUE"""),"Sabun batang 1 Box ( 2 PCS )")</f>
        <v>Sabun batang 1 Box ( 2 PCS )</v>
      </c>
      <c r="H580" s="463" t="str">
        <f>IFERROR(__xludf.DUMMYFUNCTION("""COMPUTED_VALUE"""),"Sampai")</f>
        <v>Sampai</v>
      </c>
      <c r="I580" s="464" t="str">
        <f>IFERROR(__xludf.DUMMYFUNCTION("""COMPUTED_VALUE"""),"KIMME")</f>
        <v>KIMME</v>
      </c>
      <c r="J580" s="279" t="str">
        <f>IFERROR(__xludf.DUMMYFUNCTION("""COMPUTED_VALUE"""),"https://vt.tiktok.com/ZS94mbcam/")</f>
        <v>https://vt.tiktok.com/ZS94mbcam/</v>
      </c>
      <c r="K580" s="464" t="str">
        <f>IFERROR(__xludf.DUMMYFUNCTION("""COMPUTED_VALUE"""),"KIMME")</f>
        <v>KIMME</v>
      </c>
      <c r="L580" s="279" t="str">
        <f>IFERROR(__xludf.DUMMYFUNCTION("""COMPUTED_VALUE"""),"https://www.tiktok.com/@harumrice/video/7637407823839644949?_r=1&amp;u_code=d6j7255963058c&amp;region=&amp;mid=7620649004196154119&amp;preview_pb=0&amp;sharer_language=&amp;_d=0&amp;ec_shared_reflux_dynamic_params=%7B%22placeholder_material_id%22%3A%227637407823839644949%22%2C%22pla"&amp;"ceholder_origin_cover%22%3A%22https%253A%252F%252Fp16-common-sign.tiktokcdn.com%252Ftos-alisg-p-0037%252FokpfsiLYAgLRCBxyI7hBnL0d36iEfpBUgDB9Il~tplv-tiktokx-origin.jpeg%253Fdr%253D14572%2526refresh_token%253Dedbbffe3%2526x-expires%253D1810116000%2526x-sig"&amp;"nature%253DCZ%25252BAafCLr5P%25252BD3lnBEOKKQoJDuo%25253D%2526t%253D4d5b0474%2526ps%253D13740610%2526shp%253Dd05b14bd%2526shcp%253D34ff8df6%2526idc%253Dmy2%2526s%253DTIKTOK_AFFILIATE_VIRAL_VIDEO%22%2C%22placeholder_product_id%22%3A%221729427766722726591%2"&amp;"2%2C%22placeholder_video_id%22%3A%227637407823839644949%22%7D&amp;ec_shared_reflux_scene=shop_tab_feed&amp;share_item_id=7637407823839644949&amp;source=h5_t")</f>
        <v>https://www.tiktok.com/@harumrice/video/7637407823839644949?_r=1&amp;u_code=d6j7255963058c&amp;region=&amp;mid=7620649004196154119&amp;preview_pb=0&amp;sharer_language=&amp;_d=0&amp;ec_shared_reflux_dynamic_params=%7B%22placeholder_material_id%22%3A%227637407823839644949%22%2C%22placeholder_origin_cover%22%3A%22https%253A%252F%252Fp16-common-sign.tiktokcdn.com%252Ftos-alisg-p-0037%252FokpfsiLYAgLRCBxyI7hBnL0d36iEfpBUgDB9Il~tplv-tiktokx-origin.jpeg%253Fdr%253D14572%2526refresh_token%253Dedbbffe3%2526x-expires%253D1810116000%2526x-signature%253DCZ%25252BAafCLr5P%25252BD3lnBEOKKQoJDuo%25253D%2526t%253D4d5b0474%2526ps%253D13740610%2526shp%253Dd05b14bd%2526shcp%253D34ff8df6%2526idc%253Dmy2%2526s%253DTIKTOK_AFFILIATE_VIRAL_VIDEO%22%2C%22placeholder_product_id%22%3A%221729427766722726591%22%2C%22placeholder_video_id%22%3A%227637407823839644949%22%7D&amp;ec_shared_reflux_scene=shop_tab_feed&amp;share_item_id=7637407823839644949&amp;source=h5_t</v>
      </c>
      <c r="M580" s="464"/>
      <c r="N580" s="279" t="str">
        <f>IFERROR(__xludf.DUMMYFUNCTION("""COMPUTED_VALUE"""),"https://www.tiktok.com/@harumrice/video/7637408193106152724?_r=1&amp;u_code=d6j7255963058c&amp;region=&amp;mid=7632653181927525140&amp;preview_pb=0&amp;sharer_language=&amp;_d=0&amp;ec_shared_reflux_dynamic_params=%7B%22placeholder_material_id%22%3A%227637408193106152724%22%2C%22pla"&amp;"ceholder_origin_cover%22%3A%22https%253A%252F%252Fp19-common-sign.tiktokcdn.com%252Ftos-alisg-p-0037%252FoYvQ9GAUg4fRQfeF32fM8GcGwVAWJGwAClzngQ~tplv-tiktokx-origin.jpeg%253Fdr%253D14572%2526refresh_token%253D80db6094%2526x-expires%253D1810116000%2526x-sig"&amp;"nature%253DanelFcfXT1U8kC%25252FpOSREjSjF6FA%25253D%2526t%253D4d5b0474%2526ps%253D13740610%2526shp%253Dd05b14bd%2526shcp%253D34ff8df6%2526idc%253Dmy2%2526s%253DTIKTOK_AFFILIATE_VIRAL_VIDEO%22%2C%22placeholder_product_id%22%3A%221729427766722726591%22%2C%2"&amp;"2placeholder_video_id%22%3A%227637408193106152724%22%7D&amp;ec_shared_reflux_scene=shop_tab_feed&amp;share_item_id=7637408193106152724&amp;source=h5_t")</f>
        <v>https://www.tiktok.com/@harumrice/video/7637408193106152724?_r=1&amp;u_code=d6j7255963058c&amp;region=&amp;mid=7632653181927525140&amp;preview_pb=0&amp;sharer_language=&amp;_d=0&amp;ec_shared_reflux_dynamic_params=%7B%22placeholder_material_id%22%3A%227637408193106152724%22%2C%22placeholder_origin_cover%22%3A%22https%253A%252F%252Fp19-common-sign.tiktokcdn.com%252Ftos-alisg-p-0037%252FoYvQ9GAUg4fRQfeF32fM8GcGwVAWJGwAClzngQ~tplv-tiktokx-origin.jpeg%253Fdr%253D14572%2526refresh_token%253D80db6094%2526x-expires%253D1810116000%2526x-signature%253DanelFcfXT1U8kC%25252FpOSREjSjF6FA%25253D%2526t%253D4d5b0474%2526ps%253D13740610%2526shp%253Dd05b14bd%2526shcp%253D34ff8df6%2526idc%253Dmy2%2526s%253DTIKTOK_AFFILIATE_VIRAL_VIDEO%22%2C%22placeholder_product_id%22%3A%221729427766722726591%22%2C%22placeholder_video_id%22%3A%227637408193106152724%22%7D&amp;ec_shared_reflux_scene=shop_tab_feed&amp;share_item_id=7637408193106152724&amp;source=h5_t</v>
      </c>
      <c r="O580" s="464"/>
      <c r="P580" s="279" t="str">
        <f>IFERROR(__xludf.DUMMYFUNCTION("""COMPUTED_VALUE"""),"https://www.tiktok.com/@harumrice/video/7637409311014145300?_r=1&amp;u_code=d6j7255963058c&amp;region=&amp;mid=7629035336619117320&amp;preview_pb=0&amp;sharer_language=&amp;_d=0&amp;ec_shared_reflux_dynamic_params=%7B%22placeholder_material_id%22%3A%227637409311014145300%22%2C%22pla"&amp;"ceholder_origin_cover%22%3A%22https%253A%252F%252Fp16-common-sign.tiktokcdn.com%252Ftos-alisg-p-0037%252FoYiG1hN0fAJZA73Bi8I2vIhAqk9PIsO5CpJwIB~tplv-tiktokx-origin.jpeg%253Fdr%253D14572%2526refresh_token%253Ddf7342eb%2526x-expires%253D1810116000%2526x-sig"&amp;"nature%253Djb39CGayVrkoQS%25252FNX1y63hwsMU4%25253D%2526t%253D4d5b0474%2526ps%253D13740610%2526shp%253Dd05b14bd%2526shcp%253D34ff8df6%2526idc%253Dmy2%2526s%253DTIKTOK_AFFILIATE_VIRAL_VIDEO%22%2C%22placeholder_product_id%22%3A%221729427766722726591%22%2C%2"&amp;"2placeholder_video_id%22%3A%227637409311014145300%22%7D&amp;ec_shared_reflux_scene=shop_tab_feed&amp;share_item_id=7637409311014145300&amp;source=h5_t")</f>
        <v>https://www.tiktok.com/@harumrice/video/7637409311014145300?_r=1&amp;u_code=d6j7255963058c&amp;region=&amp;mid=7629035336619117320&amp;preview_pb=0&amp;sharer_language=&amp;_d=0&amp;ec_shared_reflux_dynamic_params=%7B%22placeholder_material_id%22%3A%227637409311014145300%22%2C%22placeholder_origin_cover%22%3A%22https%253A%252F%252Fp16-common-sign.tiktokcdn.com%252Ftos-alisg-p-0037%252FoYiG1hN0fAJZA73Bi8I2vIhAqk9PIsO5CpJwIB~tplv-tiktokx-origin.jpeg%253Fdr%253D14572%2526refresh_token%253Ddf7342eb%2526x-expires%253D1810116000%2526x-signature%253Djb39CGayVrkoQS%25252FNX1y63hwsMU4%25253D%2526t%253D4d5b0474%2526ps%253D13740610%2526shp%253Dd05b14bd%2526shcp%253D34ff8df6%2526idc%253Dmy2%2526s%253DTIKTOK_AFFILIATE_VIRAL_VIDEO%22%2C%22placeholder_product_id%22%3A%221729427766722726591%22%2C%22placeholder_video_id%22%3A%227637409311014145300%22%7D&amp;ec_shared_reflux_scene=shop_tab_feed&amp;share_item_id=7637409311014145300&amp;source=h5_t</v>
      </c>
    </row>
    <row r="581">
      <c r="A581" s="255" t="str">
        <f>IFERROR(__xludf.DUMMYFUNCTION("""COMPUTED_VALUE"""),"MICRO")</f>
        <v>MICRO</v>
      </c>
      <c r="B581" s="361" t="str">
        <f>IFERROR(__xludf.DUMMYFUNCTION("""COMPUTED_VALUE"""),"sakinahsm5")</f>
        <v>sakinahsm5</v>
      </c>
      <c r="C581" s="257" t="str">
        <f>IFERROR(__xludf.DUMMYFUNCTION("""COMPUTED_VALUE"""),"https://www.tiktok.com/@sakinahsm5")</f>
        <v>https://www.tiktok.com/@sakinahsm5</v>
      </c>
      <c r="D581" s="270">
        <f>IFERROR(__xludf.DUMMYFUNCTION("""COMPUTED_VALUE"""),8.7863443228E10)</f>
        <v>87863443228</v>
      </c>
      <c r="E581" s="457">
        <f>IFERROR(__xludf.DUMMYFUNCTION("""COMPUTED_VALUE"""),0.0)</f>
        <v>0</v>
      </c>
      <c r="F581" s="270">
        <f>IFERROR(__xludf.DUMMYFUNCTION("""COMPUTED_VALUE"""),4.0)</f>
        <v>4</v>
      </c>
      <c r="G581" s="17" t="str">
        <f>IFERROR(__xludf.DUMMYFUNCTION("""COMPUTED_VALUE"""),"Sabun batang 1 Box ( 2 PCS )")</f>
        <v>Sabun batang 1 Box ( 2 PCS )</v>
      </c>
      <c r="H581" s="463" t="str">
        <f>IFERROR(__xludf.DUMMYFUNCTION("""COMPUTED_VALUE"""),"Sampai")</f>
        <v>Sampai</v>
      </c>
      <c r="I581" s="464" t="str">
        <f>IFERROR(__xludf.DUMMYFUNCTION("""COMPUTED_VALUE"""),"KIMME")</f>
        <v>KIMME</v>
      </c>
      <c r="J581" s="279" t="str">
        <f>IFERROR(__xludf.DUMMYFUNCTION("""COMPUTED_VALUE"""),"https://www.tiktok.com/@outfitce_/video/7624071767161818389?_r=1&amp;u_code=e0898kg4gbb4c7&amp;region=&amp;mid=7295670080217254661&amp;preview_pb=0&amp;sharer_language=&amp;_d=0&amp;ec_shared_reflux_dynamic_params=%7B%22placeholder_material_id%22%3A%227624071767161818389%22%2C%22pla"&amp;"ceholder_origin_cover%22%3A%22https%253A%252F%252Fp16-common-sign.tiktokcdn.com%252Ftos-alisg-p-0037%252FoIQ3OpoEUBiwtgR37PQAfFEBTJDXSzFvbfMUOU~tplv-tiktokx-origin.jpeg%253Fdr%253D14572%2526refresh_token%253D0d199a74%2526x-expires%253D1808474400%2526x-sig"&amp;"nature%253DybVaXWxmp3nnL3pE375WE1Zx048%25253D%2526t%253D4d5b0474%2526ps%253D13740610%2526shp%253Dd05b14bd%2526shcp%253D34ff8df6%2526idc%253Dmy3%2526s%253DTIKTOK_AFFILIATE_VIRAL_VIDEO%22%2C%22placeholder_product_id%22%3A%221729427766722726591%22%2C%22place"&amp;"holder_video_id%22%3A%227624071767161818389%22%7D&amp;ec_shared_reflux_scene=shop_tab_feed&amp;share_item_id=7624071767161818389&amp;source=h5_t")</f>
        <v>https://www.tiktok.com/@outfitce_/video/7624071767161818389?_r=1&amp;u_code=e0898kg4gbb4c7&amp;region=&amp;mid=7295670080217254661&amp;preview_pb=0&amp;sharer_language=&amp;_d=0&amp;ec_shared_reflux_dynamic_params=%7B%22placeholder_material_id%22%3A%227624071767161818389%22%2C%22placeholder_origin_cover%22%3A%22https%253A%252F%252Fp16-common-sign.tiktokcdn.com%252Ftos-alisg-p-0037%252FoIQ3OpoEUBiwtgR37PQAfFEBTJDXSzFvbfMUOU~tplv-tiktokx-origin.jpeg%253Fdr%253D14572%2526refresh_token%253D0d199a74%2526x-expires%253D1808474400%2526x-signature%253DybVaXWxmp3nnL3pE375WE1Zx048%25253D%2526t%253D4d5b0474%2526ps%253D13740610%2526shp%253Dd05b14bd%2526shcp%253D34ff8df6%2526idc%253Dmy3%2526s%253DTIKTOK_AFFILIATE_VIRAL_VIDEO%22%2C%22placeholder_product_id%22%3A%221729427766722726591%22%2C%22placeholder_video_id%22%3A%227624071767161818389%22%7D&amp;ec_shared_reflux_scene=shop_tab_feed&amp;share_item_id=7624071767161818389&amp;source=h5_t</v>
      </c>
      <c r="K581" s="464" t="str">
        <f>IFERROR(__xludf.DUMMYFUNCTION("""COMPUTED_VALUE"""),"KIMME")</f>
        <v>KIMME</v>
      </c>
      <c r="L581" s="279" t="str">
        <f>IFERROR(__xludf.DUMMYFUNCTION("""COMPUTED_VALUE"""),"https://www.tiktok.com/@outfitce_/video/7624315207434734868?_r=1&amp;u_code=e0898kg4gbb4c7&amp;region=&amp;mid=7473819705229658935&amp;preview_pb=0&amp;sharer_language=&amp;_d=0&amp;ec_shared_reflux_dynamic_params=%7B%22placeholder_material_id%22%3A%227624315207434734868%22%2C%22pla"&amp;"ceholder_origin_cover%22%3A%22https%253A%252F%252Fp16-common-sign.tiktokcdn.com%252Ftos-alisg-p-0037%252FosA5SQgWTDBeBbrAAMCocDcnWGRgog8jKIeyeE~tplv-tiktokx-origin.jpeg%253Fdr%253D14572%2526refresh_token%253Dd3f3ea1b%2526x-expires%253D1808474400%2526x-sig"&amp;"nature%253DIh243rSsJzdcU3H7a%25252BFjJVS2EsQ%25253D%2526t%253D4d5b0474%2526ps%253D13740610%2526shp%253Dd05b14bd%2526shcp%253D34ff8df6%2526idc%253Dmy3%2526s%253DTIKTOK_AFFILIATE_VIRAL_VIDEO%22%2C%22placeholder_product_id%22%3A%221729427766722726591%22%2C%2"&amp;"2placeholder_video_id%22%3A%227624315207434734868%22%7D&amp;ec_shared_reflux_scene=shop_tab_feed&amp;share_item_id=7624315207434734868&amp;source=h5_t")</f>
        <v>https://www.tiktok.com/@outfitce_/video/7624315207434734868?_r=1&amp;u_code=e0898kg4gbb4c7&amp;region=&amp;mid=7473819705229658935&amp;preview_pb=0&amp;sharer_language=&amp;_d=0&amp;ec_shared_reflux_dynamic_params=%7B%22placeholder_material_id%22%3A%227624315207434734868%22%2C%22placeholder_origin_cover%22%3A%22https%253A%252F%252Fp16-common-sign.tiktokcdn.com%252Ftos-alisg-p-0037%252FosA5SQgWTDBeBbrAAMCocDcnWGRgog8jKIeyeE~tplv-tiktokx-origin.jpeg%253Fdr%253D14572%2526refresh_token%253Dd3f3ea1b%2526x-expires%253D1808474400%2526x-signature%253DIh243rSsJzdcU3H7a%25252BFjJVS2EsQ%25253D%2526t%253D4d5b0474%2526ps%253D13740610%2526shp%253Dd05b14bd%2526shcp%253D34ff8df6%2526idc%253Dmy3%2526s%253DTIKTOK_AFFILIATE_VIRAL_VIDEO%22%2C%22placeholder_product_id%22%3A%221729427766722726591%22%2C%22placeholder_video_id%22%3A%227624315207434734868%22%7D&amp;ec_shared_reflux_scene=shop_tab_feed&amp;share_item_id=7624315207434734868&amp;source=h5_t</v>
      </c>
      <c r="M581" s="464" t="str">
        <f>IFERROR(__xludf.DUMMYFUNCTION("""COMPUTED_VALUE"""),"KIMME")</f>
        <v>KIMME</v>
      </c>
      <c r="N581" s="279" t="str">
        <f>IFERROR(__xludf.DUMMYFUNCTION("""COMPUTED_VALUE"""),"https://www.tiktok.com/@outfitce_/video/7624426515886902549?_r=1&amp;u_code=e0898kg4gbb4c7&amp;region=&amp;mid=7426331155690080272&amp;preview_pb=0&amp;sharer_language=&amp;_d=0&amp;ec_shared_reflux_dynamic_params=%7B%22placeholder_material_id%22%3A%227624426515886902549%22%2C%22pla"&amp;"ceholder_origin_cover%22%3A%22https%253A%252F%252Fp16-sign-sg.tiktokcdn.com%252Ftos-alisg-p-0037%252FosIaPcZWivVi9ABIA39cAEBjnYlQBQ5Ui5PiV~tplv-tiktokx-origin.jpeg%253Fdr%253D14572%2526refresh_token%253D7e9bd83b%2526x-expires%253D1808474400%2526x-signatur"&amp;"e%253DKO5E8baWl7chnNW9pkqCi1ib2MA%25253D%2526t%253D4d5b0474%2526ps%253D13740610%2526shp%253Dd05b14bd%2526shcp%253D34ff8df6%2526idc%253Dmy3%2526s%253DTIKTOK_AFFILIATE_VIRAL_VIDEO%22%2C%22placeholder_product_id%22%3A%221729427766722726591%22%2C%22placeholde"&amp;"r_video_id%22%3A%227624426515886902549%22%7D&amp;ec_shared_reflux_scene=shop_tab_feed&amp;share_item_id=7624426515886902549&amp;source=h5_t")</f>
        <v>https://www.tiktok.com/@outfitce_/video/7624426515886902549?_r=1&amp;u_code=e0898kg4gbb4c7&amp;region=&amp;mid=7426331155690080272&amp;preview_pb=0&amp;sharer_language=&amp;_d=0&amp;ec_shared_reflux_dynamic_params=%7B%22placeholder_material_id%22%3A%227624426515886902549%22%2C%22placeholder_origin_cover%22%3A%22https%253A%252F%252Fp16-sign-sg.tiktokcdn.com%252Ftos-alisg-p-0037%252FosIaPcZWivVi9ABIA39cAEBjnYlQBQ5Ui5PiV~tplv-tiktokx-origin.jpeg%253Fdr%253D14572%2526refresh_token%253D7e9bd83b%2526x-expires%253D1808474400%2526x-signature%253DKO5E8baWl7chnNW9pkqCi1ib2MA%25253D%2526t%253D4d5b0474%2526ps%253D13740610%2526shp%253Dd05b14bd%2526shcp%253D34ff8df6%2526idc%253Dmy3%2526s%253DTIKTOK_AFFILIATE_VIRAL_VIDEO%22%2C%22placeholder_product_id%22%3A%221729427766722726591%22%2C%22placeholder_video_id%22%3A%227624426515886902549%22%7D&amp;ec_shared_reflux_scene=shop_tab_feed&amp;share_item_id=7624426515886902549&amp;source=h5_t</v>
      </c>
      <c r="O581" s="464" t="str">
        <f>IFERROR(__xludf.DUMMYFUNCTION("""COMPUTED_VALUE"""),"KIMME")</f>
        <v>KIMME</v>
      </c>
      <c r="P581" s="279" t="str">
        <f>IFERROR(__xludf.DUMMYFUNCTION("""COMPUTED_VALUE"""),"https://www.tiktok.com/@outfitce_/video/7624464515194801429?_d=0&amp;_r=1&amp;ec_shared_reflux_dynamic_params=%7B%22placeholder_material_id%22%3A%227624464515194801429%22%2C%22placeholder_origin_cover%22%3A%22https%253A%252F%252Fp16-common-sign.tiktokcdn.com%252F"&amp;"tos-alisg-p-0037%252FogaPR40LpIUTEnB2iBzFMLoEIeDBPDAZPgfQiP~tplv-tiktokx-origin.jpeg%253Fdr%253D14572%2526refresh_token%253D1024c137%2526x-expires%253D1808474400%2526x-signature%253DQw8%25252FdvAep2TtQtO1xpdofKtg8Vs%25253D%2526t%253D4d5b0474%2526ps%253D13"&amp;"740610%2526shp%253Dd05b14bd%2526shcp%253D34ff8df6%2526idc%253Dmy3%2526s%253DTIKTOK_AFFILIATE_VIRAL_VIDEO%22%2C%22placeholder_product_id%22%3A%221729427766722726591%22%2C%22placeholder_video_id%22%3A%227624464515194801429%22%7D&amp;ec_shared_reflux_scene=shop_"&amp;"tab_feed&amp;mid=7413639309809780753&amp;preview_pb=0&amp;region=&amp;share_item_id=7624464515194801429&amp;sharer_language=&amp;source=h5_t&amp;u_code=e0898kg4gbb4c7")</f>
        <v>https://www.tiktok.com/@outfitce_/video/7624464515194801429?_d=0&amp;_r=1&amp;ec_shared_reflux_dynamic_params=%7B%22placeholder_material_id%22%3A%227624464515194801429%22%2C%22placeholder_origin_cover%22%3A%22https%253A%252F%252Fp16-common-sign.tiktokcdn.com%252Ftos-alisg-p-0037%252FogaPR40LpIUTEnB2iBzFMLoEIeDBPDAZPgfQiP~tplv-tiktokx-origin.jpeg%253Fdr%253D14572%2526refresh_token%253D1024c137%2526x-expires%253D1808474400%2526x-signature%253DQw8%25252FdvAep2TtQtO1xpdofKtg8Vs%25253D%2526t%253D4d5b0474%2526ps%253D13740610%2526shp%253Dd05b14bd%2526shcp%253D34ff8df6%2526idc%253Dmy3%2526s%253DTIKTOK_AFFILIATE_VIRAL_VIDEO%22%2C%22placeholder_product_id%22%3A%221729427766722726591%22%2C%22placeholder_video_id%22%3A%227624464515194801429%22%7D&amp;ec_shared_reflux_scene=shop_tab_feed&amp;mid=7413639309809780753&amp;preview_pb=0&amp;region=&amp;share_item_id=7624464515194801429&amp;sharer_language=&amp;source=h5_t&amp;u_code=e0898kg4gbb4c7</v>
      </c>
    </row>
    <row r="582">
      <c r="A582" s="255" t="str">
        <f>IFERROR(__xludf.DUMMYFUNCTION("""COMPUTED_VALUE"""),"MICRO")</f>
        <v>MICRO</v>
      </c>
      <c r="B582" s="361" t="str">
        <f>IFERROR(__xludf.DUMMYFUNCTION("""COMPUTED_VALUE"""),"ahnayseop")</f>
        <v>ahnayseop</v>
      </c>
      <c r="C582" s="257" t="str">
        <f>IFERROR(__xludf.DUMMYFUNCTION("""COMPUTED_VALUE"""),"https://www.tiktok.com/@ahnayseop")</f>
        <v>https://www.tiktok.com/@ahnayseop</v>
      </c>
      <c r="D582" s="270">
        <f>IFERROR(__xludf.DUMMYFUNCTION("""COMPUTED_VALUE"""),8.8992817463E10)</f>
        <v>88992817463</v>
      </c>
      <c r="E582" s="457">
        <f>IFERROR(__xludf.DUMMYFUNCTION("""COMPUTED_VALUE"""),0.0)</f>
        <v>0</v>
      </c>
      <c r="F582" s="270">
        <f>IFERROR(__xludf.DUMMYFUNCTION("""COMPUTED_VALUE"""),4.0)</f>
        <v>4</v>
      </c>
      <c r="G582" s="17" t="str">
        <f>IFERROR(__xludf.DUMMYFUNCTION("""COMPUTED_VALUE"""),"Sabun batang 1 Box ( 2 PCS )")</f>
        <v>Sabun batang 1 Box ( 2 PCS )</v>
      </c>
      <c r="H582" s="463" t="str">
        <f>IFERROR(__xludf.DUMMYFUNCTION("""COMPUTED_VALUE"""),"Sampai")</f>
        <v>Sampai</v>
      </c>
      <c r="I582" s="464" t="str">
        <f>IFERROR(__xludf.DUMMYFUNCTION("""COMPUTED_VALUE"""),"KIMME")</f>
        <v>KIMME</v>
      </c>
      <c r="J582" s="279" t="str">
        <f>IFERROR(__xludf.DUMMYFUNCTION("""COMPUTED_VALUE"""),"https://www.tiktok.com/@outfitce_/video/7624864850732436756?_r=1&amp;u_code=e0898kg4gbb4c7&amp;region=&amp;mid=7608156113497983765&amp;preview_pb=0&amp;sharer_language=&amp;_d=0&amp;ec_shared_reflux_dynamic_params=%7B%22placeholder_material_id%22%3A%227624864850732436756%22%2C%22pla"&amp;"ceholder_origin_cover%22%3A%22https%253A%252F%252Fp16-sign-sg.tiktokcdn.com%252Ftos-alisg-p-0037%252FoYY0Df8bEEfUQH74oCpgFBahQnRPATSEOBipFB~tplv-tiktokx-origin.jpeg%253Fdr%253D14572%2526refresh_token%253D8eb65397%2526x-expires%253D1808474400%2526x-signatu"&amp;"re%253DZig6d10bQQBdvTp%25252FBAtnwGDMrko%25253D%2526t%253D4d5b0474%2526ps%253D13740610%2526shp%253Dd05b14bd%2526shcp%253D34ff8df6%2526idc%253Dmy3%2526s%253DTIKTOK_AFFILIATE_VIRAL_VIDEO%22%2C%22placeholder_product_id%22%3A%221729427766722726591%22%2C%22pla"&amp;"ceholder_video_id%22%3A%227624864850732436756%22%7D&amp;ec_shared_reflux_scene=shop_tab_feed&amp;share_item_id=7624864850732436756&amp;source=h5_t")</f>
        <v>https://www.tiktok.com/@outfitce_/video/7624864850732436756?_r=1&amp;u_code=e0898kg4gbb4c7&amp;region=&amp;mid=7608156113497983765&amp;preview_pb=0&amp;sharer_language=&amp;_d=0&amp;ec_shared_reflux_dynamic_params=%7B%22placeholder_material_id%22%3A%227624864850732436756%22%2C%22placeholder_origin_cover%22%3A%22https%253A%252F%252Fp16-sign-sg.tiktokcdn.com%252Ftos-alisg-p-0037%252FoYY0Df8bEEfUQH74oCpgFBahQnRPATSEOBipFB~tplv-tiktokx-origin.jpeg%253Fdr%253D14572%2526refresh_token%253D8eb65397%2526x-expires%253D1808474400%2526x-signature%253DZig6d10bQQBdvTp%25252FBAtnwGDMrko%25253D%2526t%253D4d5b0474%2526ps%253D13740610%2526shp%253Dd05b14bd%2526shcp%253D34ff8df6%2526idc%253Dmy3%2526s%253DTIKTOK_AFFILIATE_VIRAL_VIDEO%22%2C%22placeholder_product_id%22%3A%221729427766722726591%22%2C%22placeholder_video_id%22%3A%227624864850732436756%22%7D&amp;ec_shared_reflux_scene=shop_tab_feed&amp;share_item_id=7624864850732436756&amp;source=h5_t</v>
      </c>
      <c r="K582" s="464" t="str">
        <f>IFERROR(__xludf.DUMMYFUNCTION("""COMPUTED_VALUE"""),"KIMME")</f>
        <v>KIMME</v>
      </c>
      <c r="L582" s="279" t="str">
        <f>IFERROR(__xludf.DUMMYFUNCTION("""COMPUTED_VALUE"""),"https://www.tiktok.com/@outfitce_/video/7624876528345566484?_r=1&amp;u_code=e0898kg4gbb4c7&amp;region=&amp;mid=7600640437279984404&amp;preview_pb=0&amp;sharer_language=&amp;_d=0&amp;ec_shared_reflux_dynamic_params=%7B%22placeholder_material_id%22%3A%227624876528345566484%22%2C%22pla"&amp;"ceholder_origin_cover%22%3A%22https%253A%252F%252Fp16-sign-sg.tiktokcdn.com%252Ftos-alisg-p-0037%252FoMxBQCqB0AA0iWQiiHNItAIjCAkRf6pw3IINji~tplv-tiktokx-origin.jpeg%253Fdr%253D14572%2526refresh_token%253Dcad40c48%2526x-expires%253D1808474400%2526x-signatu"&amp;"re%253DQKVK75rLKQXf8WDgc9WA6REsjUs%25253D%2526t%253D4d5b0474%2526ps%253D13740610%2526shp%253Dd05b14bd%2526shcp%253D34ff8df6%2526idc%253Dmy3%2526s%253DTIKTOK_AFFILIATE_VIRAL_VIDEO%22%2C%22placeholder_product_id%22%3A%221729427766722726591%22%2C%22placehold"&amp;"er_video_id%22%3A%227624876528345566484%22%7D&amp;ec_shared_reflux_scene=shop_tab_feed&amp;share_item_id=7624876528345566484&amp;source=h5_t")</f>
        <v>https://www.tiktok.com/@outfitce_/video/7624876528345566484?_r=1&amp;u_code=e0898kg4gbb4c7&amp;region=&amp;mid=7600640437279984404&amp;preview_pb=0&amp;sharer_language=&amp;_d=0&amp;ec_shared_reflux_dynamic_params=%7B%22placeholder_material_id%22%3A%227624876528345566484%22%2C%22placeholder_origin_cover%22%3A%22https%253A%252F%252Fp16-sign-sg.tiktokcdn.com%252Ftos-alisg-p-0037%252FoMxBQCqB0AA0iWQiiHNItAIjCAkRf6pw3IINji~tplv-tiktokx-origin.jpeg%253Fdr%253D14572%2526refresh_token%253Dcad40c48%2526x-expires%253D1808474400%2526x-signature%253DQKVK75rLKQXf8WDgc9WA6REsjUs%25253D%2526t%253D4d5b0474%2526ps%253D13740610%2526shp%253Dd05b14bd%2526shcp%253D34ff8df6%2526idc%253Dmy3%2526s%253DTIKTOK_AFFILIATE_VIRAL_VIDEO%22%2C%22placeholder_product_id%22%3A%221729427766722726591%22%2C%22placeholder_video_id%22%3A%227624876528345566484%22%7D&amp;ec_shared_reflux_scene=shop_tab_feed&amp;share_item_id=7624876528345566484&amp;source=h5_t</v>
      </c>
      <c r="M582" s="464" t="str">
        <f>IFERROR(__xludf.DUMMYFUNCTION("""COMPUTED_VALUE"""),"KIMME")</f>
        <v>KIMME</v>
      </c>
      <c r="N582" s="279" t="str">
        <f>IFERROR(__xludf.DUMMYFUNCTION("""COMPUTED_VALUE"""),"https://www.tiktok.com/@outfitce_/video/7631042205284617492?_r=1&amp;u_code=e0898kg4gbb4c7&amp;region=&amp;mid=7606071400499628049&amp;preview_pb=0&amp;sharer_language=&amp;_d=0&amp;ec_shared_reflux_dynamic_params=%7B%22placeholder_material_id%22%3A%227631042205284617492%22%2C%22pla"&amp;"ceholder_origin_cover%22%3A%22https%253A%252F%252Fp16-common-sign.tiktokcdn.com%252Ftos-alisg-p-0037%252FoALHmAkgucB09EIpX5FfBBgO56TPheIlRND1EZ~tplv-tiktokx-origin.jpeg%253Fdr%253D14572%2526refresh_token%253D0f3720af%2526x-expires%253D1808474400%2526x-sig"&amp;"nature%253DSK8K%25252Bxfu%25252F2FpKIDZCx1oM6H14fY%25253D%2526t%253D4d5b0474%2526ps%253D13740610%2526shp%253Dd05b14bd%2526shcp%253D34ff8df6%2526idc%253Dmy3%2526s%253DTIKTOK_AFFILIATE_VIRAL_VIDEO%22%2C%22placeholder_product_id%22%3A%221729427766722726591%2"&amp;"2%2C%22placeholder_video_id%22%3A%227631042205284617492%22%7D&amp;ec_shared_reflux_scene=shop_tab_feed&amp;share_item_id=7631042205284617492&amp;source=h5_t")</f>
        <v>https://www.tiktok.com/@outfitce_/video/7631042205284617492?_r=1&amp;u_code=e0898kg4gbb4c7&amp;region=&amp;mid=7606071400499628049&amp;preview_pb=0&amp;sharer_language=&amp;_d=0&amp;ec_shared_reflux_dynamic_params=%7B%22placeholder_material_id%22%3A%227631042205284617492%22%2C%22placeholder_origin_cover%22%3A%22https%253A%252F%252Fp16-common-sign.tiktokcdn.com%252Ftos-alisg-p-0037%252FoALHmAkgucB09EIpX5FfBBgO56TPheIlRND1EZ~tplv-tiktokx-origin.jpeg%253Fdr%253D14572%2526refresh_token%253D0f3720af%2526x-expires%253D1808474400%2526x-signature%253DSK8K%25252Bxfu%25252F2FpKIDZCx1oM6H14fY%25253D%2526t%253D4d5b0474%2526ps%253D13740610%2526shp%253Dd05b14bd%2526shcp%253D34ff8df6%2526idc%253Dmy3%2526s%253DTIKTOK_AFFILIATE_VIRAL_VIDEO%22%2C%22placeholder_product_id%22%3A%221729427766722726591%22%2C%22placeholder_video_id%22%3A%227631042205284617492%22%7D&amp;ec_shared_reflux_scene=shop_tab_feed&amp;share_item_id=7631042205284617492&amp;source=h5_t</v>
      </c>
      <c r="O582" s="464" t="str">
        <f>IFERROR(__xludf.DUMMYFUNCTION("""COMPUTED_VALUE"""),"KIMME")</f>
        <v>KIMME</v>
      </c>
      <c r="P582" s="279" t="str">
        <f>IFERROR(__xludf.DUMMYFUNCTION("""COMPUTED_VALUE"""),"https://www.tiktok.com/@outfitce_/video/7631063682247691541?_r=1&amp;u_code=e0898kg4gbb4c7&amp;region=&amp;mid=7283376056051337990&amp;preview_pb=0&amp;sharer_language=&amp;_d=0&amp;ec_shared_reflux_dynamic_params=%7B%22placeholder_material_id%22%3A%227631063682247691541%22%2C%22pla"&amp;"ceholder_origin_cover%22%3A%22https%253A%252F%252Fp16-sign-sg.tiktokcdn.com%252Ftos-alisg-p-0037%252Fow4fbegACMAP79N4U8ugbeeCCB8XSiAsYLeNXN~tplv-tiktokx-origin.jpeg%253Fdr%253D14572%2526refresh_token%253D35ea5893%2526x-expires%253D1808474400%2526x-signatu"&amp;"re%253DYw9WEVenVsnCvMXcCQSLVNokfrI%25253D%2526t%253D4d5b0474%2526ps%253D13740610%2526shp%253Dd05b14bd%2526shcp%253D34ff8df6%2526idc%253Dmy3%2526s%253DTIKTOK_AFFILIATE_VIRAL_VIDEO%22%2C%22placeholder_product_id%22%3A%221729427766722726591%22%2C%22placehold"&amp;"er_video_id%22%3A%227631063682247691541%22%7D&amp;ec_shared_reflux_scene=shop_tab_feed&amp;share_item_id=7631063682247691541&amp;source=h5_t")</f>
        <v>https://www.tiktok.com/@outfitce_/video/7631063682247691541?_r=1&amp;u_code=e0898kg4gbb4c7&amp;region=&amp;mid=7283376056051337990&amp;preview_pb=0&amp;sharer_language=&amp;_d=0&amp;ec_shared_reflux_dynamic_params=%7B%22placeholder_material_id%22%3A%227631063682247691541%22%2C%22placeholder_origin_cover%22%3A%22https%253A%252F%252Fp16-sign-sg.tiktokcdn.com%252Ftos-alisg-p-0037%252Fow4fbegACMAP79N4U8ugbeeCCB8XSiAsYLeNXN~tplv-tiktokx-origin.jpeg%253Fdr%253D14572%2526refresh_token%253D35ea5893%2526x-expires%253D1808474400%2526x-signature%253DYw9WEVenVsnCvMXcCQSLVNokfrI%25253D%2526t%253D4d5b0474%2526ps%253D13740610%2526shp%253Dd05b14bd%2526shcp%253D34ff8df6%2526idc%253Dmy3%2526s%253DTIKTOK_AFFILIATE_VIRAL_VIDEO%22%2C%22placeholder_product_id%22%3A%221729427766722726591%22%2C%22placeholder_video_id%22%3A%227631063682247691541%22%7D&amp;ec_shared_reflux_scene=shop_tab_feed&amp;share_item_id=7631063682247691541&amp;source=h5_t</v>
      </c>
    </row>
    <row r="583">
      <c r="A583" s="255" t="str">
        <f>IFERROR(__xludf.DUMMYFUNCTION("""COMPUTED_VALUE"""),"MICRO")</f>
        <v>MICRO</v>
      </c>
      <c r="B583" s="361" t="str">
        <f>IFERROR(__xludf.DUMMYFUNCTION("""COMPUTED_VALUE"""),"callmerosee2")</f>
        <v>callmerosee2</v>
      </c>
      <c r="C583" s="257" t="str">
        <f>IFERROR(__xludf.DUMMYFUNCTION("""COMPUTED_VALUE"""),"https://www.tiktok.com/@callmerosee2")</f>
        <v>https://www.tiktok.com/@callmerosee2</v>
      </c>
      <c r="D583" s="270">
        <f>IFERROR(__xludf.DUMMYFUNCTION("""COMPUTED_VALUE"""),8.5722319309E10)</f>
        <v>85722319309</v>
      </c>
      <c r="E583" s="457">
        <f>IFERROR(__xludf.DUMMYFUNCTION("""COMPUTED_VALUE"""),0.0)</f>
        <v>0</v>
      </c>
      <c r="F583" s="270">
        <f>IFERROR(__xludf.DUMMYFUNCTION("""COMPUTED_VALUE"""),2.0)</f>
        <v>2</v>
      </c>
      <c r="G583" s="17" t="str">
        <f>IFERROR(__xludf.DUMMYFUNCTION("""COMPUTED_VALUE"""),"Sabun batang 1 Box ( 2 PCS )")</f>
        <v>Sabun batang 1 Box ( 2 PCS )</v>
      </c>
      <c r="H583" s="463" t="str">
        <f>IFERROR(__xludf.DUMMYFUNCTION("""COMPUTED_VALUE"""),"Sampai")</f>
        <v>Sampai</v>
      </c>
      <c r="I583" s="464" t="str">
        <f>IFERROR(__xludf.DUMMYFUNCTION("""COMPUTED_VALUE"""),"KIMME")</f>
        <v>KIMME</v>
      </c>
      <c r="J583" s="279" t="str">
        <f>IFERROR(__xludf.DUMMYFUNCTION("""COMPUTED_VALUE"""),"https://www.tiktok.com/@harumrice/video/7637406059769957652?_r=1&amp;u_code=d6j7255963058c&amp;region=&amp;mid=7631435628520950536&amp;preview_pb=0&amp;sharer_language=&amp;_d=0&amp;ec_shared_reflux_dynamic_params=%7B%22placeholder_material_id%22%3A%227637406059769957652%22%2C%22pla"&amp;"ceholder_origin_cover%22%3A%22https%253A%252F%252Fp16-common-sign.tiktokcdn.com%252Ftos-alisg-p-0037%252FoAneXQphIbwGFE1RIX69yGADCGLGUwefGAeGdI~tplv-tiktokx-origin.jpeg%253Fdr%253D14572%2526refresh_token%253Dfaf4a80f%2526x-expires%253D1810116000%2526x-sig"&amp;"nature%253DMqcNPXcGvmsqxDc9uWxieGd4MEM%25253D%2526t%253D4d5b0474%2526ps%253D13740610%2526shp%253Dd05b14bd%2526shcp%253D34ff8df6%2526idc%253Dmy2%2526s%253DTIKTOK_AFFILIATE_VIRAL_VIDEO%22%2C%22placeholder_product_id%22%3A%221729427766722726591%22%2C%22place"&amp;"holder_video_id%22%3A%227637406059769957652%22%7D&amp;ec_shared_reflux_scene=shop_tab_feed&amp;share_item_id=7637406059769957652&amp;source=h5_t")</f>
        <v>https://www.tiktok.com/@harumrice/video/7637406059769957652?_r=1&amp;u_code=d6j7255963058c&amp;region=&amp;mid=7631435628520950536&amp;preview_pb=0&amp;sharer_language=&amp;_d=0&amp;ec_shared_reflux_dynamic_params=%7B%22placeholder_material_id%22%3A%227637406059769957652%22%2C%22placeholder_origin_cover%22%3A%22https%253A%252F%252Fp16-common-sign.tiktokcdn.com%252Ftos-alisg-p-0037%252FoAneXQphIbwGFE1RIX69yGADCGLGUwefGAeGdI~tplv-tiktokx-origin.jpeg%253Fdr%253D14572%2526refresh_token%253Dfaf4a80f%2526x-expires%253D1810116000%2526x-signature%253DMqcNPXcGvmsqxDc9uWxieGd4MEM%25253D%2526t%253D4d5b0474%2526ps%253D13740610%2526shp%253Dd05b14bd%2526shcp%253D34ff8df6%2526idc%253Dmy2%2526s%253DTIKTOK_AFFILIATE_VIRAL_VIDEO%22%2C%22placeholder_product_id%22%3A%221729427766722726591%22%2C%22placeholder_video_id%22%3A%227637406059769957652%22%7D&amp;ec_shared_reflux_scene=shop_tab_feed&amp;share_item_id=7637406059769957652&amp;source=h5_t</v>
      </c>
      <c r="K583" s="464" t="str">
        <f>IFERROR(__xludf.DUMMYFUNCTION("""COMPUTED_VALUE"""),"KIMME")</f>
        <v>KIMME</v>
      </c>
      <c r="L583" s="279" t="str">
        <f>IFERROR(__xludf.DUMMYFUNCTION("""COMPUTED_VALUE"""),"https://www.tiktok.com/@shiintamiiftaa/video/7635816713296170258?_r=1&amp;u_code=d6i1iij6bihcli&amp;region=&amp;mid=7170634321794059034&amp;preview_pb=0&amp;sharer_language=&amp;_d=0&amp;ec_shared_reflux_dynamic_params=%7B%22placeholder_material_id%22%3A%227635816713296170258%22%2C%"&amp;"22placeholder_origin_cover%22%3A%22https%253A%252F%252Fp16-common-sign.tiktokcdn.com%252Ftos-alisg-p-0037%252Fo0ek37no7CDL74KQEQWfejAVx62AuTDKGIj3ID~tplv-tiktokx-origin.jpeg%253Fdr%253D14572%2526refresh_token%253D6d9a7bc0%2526x-expires%253D1810119600%2526"&amp;"x-signature%253DpUQUQg1FBV5B2lr%25252Bt1iWBpQpeyo%25253D%2526t%253D4d5b0474%2526ps%253D13740610%2526shp%253Dd05b14bd%2526shcp%253D34ff8df6%2526idc%253Dmy2%2526s%253DTIKTOK_AFFILIATE_VIRAL_VIDEO%22%2C%22placeholder_product_id%22%3A%221729427766722726591%22"&amp;"%2C%22placeholder_video_id%22%3A%227635816713296170258%22%7D&amp;ec_shared_reflux_scene=shop_tab_feed&amp;share_item_id=7635816713296170258&amp;source=h5_t")</f>
        <v>https://www.tiktok.com/@shiintamiiftaa/video/7635816713296170258?_r=1&amp;u_code=d6i1iij6bihcli&amp;region=&amp;mid=7170634321794059034&amp;preview_pb=0&amp;sharer_language=&amp;_d=0&amp;ec_shared_reflux_dynamic_params=%7B%22placeholder_material_id%22%3A%227635816713296170258%22%2C%22placeholder_origin_cover%22%3A%22https%253A%252F%252Fp16-common-sign.tiktokcdn.com%252Ftos-alisg-p-0037%252Fo0ek37no7CDL74KQEQWfejAVx62AuTDKGIj3ID~tplv-tiktokx-origin.jpeg%253Fdr%253D14572%2526refresh_token%253D6d9a7bc0%2526x-expires%253D1810119600%2526x-signature%253DpUQUQg1FBV5B2lr%25252Bt1iWBpQpeyo%25253D%2526t%253D4d5b0474%2526ps%253D13740610%2526shp%253Dd05b14bd%2526shcp%253D34ff8df6%2526idc%253Dmy2%2526s%253DTIKTOK_AFFILIATE_VIRAL_VIDEO%22%2C%22placeholder_product_id%22%3A%221729427766722726591%22%2C%22placeholder_video_id%22%3A%227635816713296170258%22%7D&amp;ec_shared_reflux_scene=shop_tab_feed&amp;share_item_id=7635816713296170258&amp;source=h5_t</v>
      </c>
      <c r="M583" s="464" t="str">
        <f>IFERROR(__xludf.DUMMYFUNCTION("""COMPUTED_VALUE"""),"KIMME")</f>
        <v>KIMME</v>
      </c>
      <c r="N583" s="279" t="str">
        <f>IFERROR(__xludf.DUMMYFUNCTION("""COMPUTED_VALUE"""),"https://www.tiktok.com/@harumrice/video/7637407332929948948?_r=1&amp;u_code=d6j7255963058c&amp;region=&amp;mid=7632653181927525140&amp;preview_pb=0&amp;sharer_language=&amp;_d=0&amp;ec_shared_reflux_dynamic_params=%7B%22placeholder_material_id%22%3A%227637407332929948948%22%2C%22pla"&amp;"ceholder_origin_cover%22%3A%22https%253A%252F%252Fp16-common-sign.tiktokcdn.com%252Ftos-alisg-p-0037%252FoI4IpPFfEIDz7zCARAYAffE9T9ImjqCD4bYYhC~tplv-tiktokx-origin.jpeg%253Fdr%253D14572%2526refresh_token%253Ddb286d39%2526x-expires%253D1810116000%2526x-sig"&amp;"nature%253DZhZLUFD5Eg%25252BYgMFY3zz9n%25252FGxwkE%25253D%2526t%253D4d5b0474%2526ps%253D13740610%2526shp%253Dd05b14bd%2526shcp%253D34ff8df6%2526idc%253Dmy2%2526s%253DTIKTOK_AFFILIATE_VIRAL_VIDEO%22%2C%22placeholder_product_id%22%3A%221729427766722726591%2"&amp;"2%2C%22placeholder_video_id%22%3A%227637407332929948948%22%7D&amp;ec_shared_reflux_scene=shop_tab_feed&amp;share_item_id=7637407332929948948&amp;source=h5_t")</f>
        <v>https://www.tiktok.com/@harumrice/video/7637407332929948948?_r=1&amp;u_code=d6j7255963058c&amp;region=&amp;mid=7632653181927525140&amp;preview_pb=0&amp;sharer_language=&amp;_d=0&amp;ec_shared_reflux_dynamic_params=%7B%22placeholder_material_id%22%3A%227637407332929948948%22%2C%22placeholder_origin_cover%22%3A%22https%253A%252F%252Fp16-common-sign.tiktokcdn.com%252Ftos-alisg-p-0037%252FoI4IpPFfEIDz7zCARAYAffE9T9ImjqCD4bYYhC~tplv-tiktokx-origin.jpeg%253Fdr%253D14572%2526refresh_token%253Ddb286d39%2526x-expires%253D1810116000%2526x-signature%253DZhZLUFD5Eg%25252BYgMFY3zz9n%25252FGxwkE%25253D%2526t%253D4d5b0474%2526ps%253D13740610%2526shp%253Dd05b14bd%2526shcp%253D34ff8df6%2526idc%253Dmy2%2526s%253DTIKTOK_AFFILIATE_VIRAL_VIDEO%22%2C%22placeholder_product_id%22%3A%221729427766722726591%22%2C%22placeholder_video_id%22%3A%227637407332929948948%22%7D&amp;ec_shared_reflux_scene=shop_tab_feed&amp;share_item_id=7637407332929948948&amp;source=h5_t</v>
      </c>
      <c r="O583" s="464" t="str">
        <f>IFERROR(__xludf.DUMMYFUNCTION("""COMPUTED_VALUE"""),"KIMME")</f>
        <v>KIMME</v>
      </c>
      <c r="P583" s="279" t="str">
        <f>IFERROR(__xludf.DUMMYFUNCTION("""COMPUTED_VALUE"""),"https://www.tiktok.com/@harumrice/video/7637408679121128724?_r=1&amp;u_code=d6j7255963058c&amp;region=&amp;mid=7635168690876042004&amp;preview_pb=0&amp;sharer_language=&amp;_d=0&amp;ec_shared_reflux_dynamic_params=%7B%22placeholder_material_id%22%3A%227637408679121128724%22%2C%22pla"&amp;"ceholder_origin_cover%22%3A%22https%253A%252F%252Fp16-common-sign.tiktokcdn.com%252Ftos-alisg-p-0037%252FoMTfPiDhI2YBCWSIIiW9QDA8EjFsToffTAkDZE~tplv-tiktokx-origin.jpeg%253Fdr%253D14572%2526refresh_token%253D7b9a90d6%2526x-expires%253D1810116000%2526x-sig"&amp;"nature%253DJibGRlrTitbAbM6La5HgP1%25252Fun3E%25253D%2526t%253D4d5b0474%2526ps%253D13740610%2526shp%253Dd05b14bd%2526shcp%253D34ff8df6%2526idc%253Dmy2%2526s%253DTIKTOK_AFFILIATE_VIRAL_VIDEO%22%2C%22placeholder_product_id%22%3A%221729427766722726591%22%2C%2"&amp;"2placeholder_video_id%22%3A%227637408679121128724%22%7D&amp;ec_shared_reflux_scene=shop_tab_feed&amp;share_item_id=7637408679121128724&amp;source=h5_t")</f>
        <v>https://www.tiktok.com/@harumrice/video/7637408679121128724?_r=1&amp;u_code=d6j7255963058c&amp;region=&amp;mid=7635168690876042004&amp;preview_pb=0&amp;sharer_language=&amp;_d=0&amp;ec_shared_reflux_dynamic_params=%7B%22placeholder_material_id%22%3A%227637408679121128724%22%2C%22placeholder_origin_cover%22%3A%22https%253A%252F%252Fp16-common-sign.tiktokcdn.com%252Ftos-alisg-p-0037%252FoMTfPiDhI2YBCWSIIiW9QDA8EjFsToffTAkDZE~tplv-tiktokx-origin.jpeg%253Fdr%253D14572%2526refresh_token%253D7b9a90d6%2526x-expires%253D1810116000%2526x-signature%253DJibGRlrTitbAbM6La5HgP1%25252Fun3E%25253D%2526t%253D4d5b0474%2526ps%253D13740610%2526shp%253Dd05b14bd%2526shcp%253D34ff8df6%2526idc%253Dmy2%2526s%253DTIKTOK_AFFILIATE_VIRAL_VIDEO%22%2C%22placeholder_product_id%22%3A%221729427766722726591%22%2C%22placeholder_video_id%22%3A%227637408679121128724%22%7D&amp;ec_shared_reflux_scene=shop_tab_feed&amp;share_item_id=7637408679121128724&amp;source=h5_t</v>
      </c>
    </row>
    <row r="584">
      <c r="A584" s="255" t="str">
        <f>IFERROR(__xludf.DUMMYFUNCTION("""COMPUTED_VALUE"""),"MICRO")</f>
        <v>MICRO</v>
      </c>
      <c r="B584" s="361" t="str">
        <f>IFERROR(__xludf.DUMMYFUNCTION("""COMPUTED_VALUE"""),"beautycaa2")</f>
        <v>beautycaa2</v>
      </c>
      <c r="C584" s="257" t="str">
        <f>IFERROR(__xludf.DUMMYFUNCTION("""COMPUTED_VALUE"""),"https://www.tiktok.com/@beautycaa2")</f>
        <v>https://www.tiktok.com/@beautycaa2</v>
      </c>
      <c r="D584" s="270"/>
      <c r="E584" s="457">
        <f>IFERROR(__xludf.DUMMYFUNCTION("""COMPUTED_VALUE"""),0.0)</f>
        <v>0</v>
      </c>
      <c r="F584" s="270">
        <f>IFERROR(__xludf.DUMMYFUNCTION("""COMPUTED_VALUE"""),4.0)</f>
        <v>4</v>
      </c>
      <c r="G584" s="17" t="str">
        <f>IFERROR(__xludf.DUMMYFUNCTION("""COMPUTED_VALUE"""),"Sabun batang 1 Box ( 2 PCS )")</f>
        <v>Sabun batang 1 Box ( 2 PCS )</v>
      </c>
      <c r="H584" s="463" t="str">
        <f>IFERROR(__xludf.DUMMYFUNCTION("""COMPUTED_VALUE"""),"Sampai")</f>
        <v>Sampai</v>
      </c>
      <c r="I584" s="464" t="str">
        <f>IFERROR(__xludf.DUMMYFUNCTION("""COMPUTED_VALUE"""),"KIMME")</f>
        <v>KIMME</v>
      </c>
      <c r="J584" s="279" t="str">
        <f>IFERROR(__xludf.DUMMYFUNCTION("""COMPUTED_VALUE"""),"https://www.tiktok.com/@outfitce_/video/7631111481903320340?_r=1&amp;u_code=e0898kg4gbb4c7&amp;region=&amp;mid=7365946809562450721&amp;preview_pb=0&amp;sharer_language=&amp;_d=0&amp;ec_shared_reflux_dynamic_params=%7B%22placeholder_material_id%22%3A%227631111481903320340%22%2C%22pla"&amp;"ceholder_origin_cover%22%3A%22https%253A%252F%252Fp16-common-sign.tiktokcdn.com%252Ftos-alisg-p-0037%252Fo0CoIxIwuMAi9i5JPHI458fLOOBJAAaIPB406n~tplv-tiktokx-origin.jpeg%253Fdr%253D14572%2526refresh_token%253D97470b33%2526x-expires%253D1808474400%2526x-sig"&amp;"nature%253D42XSWpwdE0eyz%25252FZwSbpHeTwQv3k%25253D%2526t%253D4d5b0474%2526ps%253D13740610%2526shp%253Dd05b14bd%2526shcp%253D34ff8df6%2526idc%253Dmy3%2526s%253DTIKTOK_AFFILIATE_VIRAL_VIDEO%22%2C%22placeholder_product_id%22%3A%221729427766722726591%22%2C%2"&amp;"2placeholder_video_id%22%3A%227631111481903320340%22%7D&amp;ec_shared_reflux_scene=shop_tab_feed&amp;share_item_id=7631111481903320340&amp;source=h5_t")</f>
        <v>https://www.tiktok.com/@outfitce_/video/7631111481903320340?_r=1&amp;u_code=e0898kg4gbb4c7&amp;region=&amp;mid=7365946809562450721&amp;preview_pb=0&amp;sharer_language=&amp;_d=0&amp;ec_shared_reflux_dynamic_params=%7B%22placeholder_material_id%22%3A%227631111481903320340%22%2C%22placeholder_origin_cover%22%3A%22https%253A%252F%252Fp16-common-sign.tiktokcdn.com%252Ftos-alisg-p-0037%252Fo0CoIxIwuMAi9i5JPHI458fLOOBJAAaIPB406n~tplv-tiktokx-origin.jpeg%253Fdr%253D14572%2526refresh_token%253D97470b33%2526x-expires%253D1808474400%2526x-signature%253D42XSWpwdE0eyz%25252FZwSbpHeTwQv3k%25253D%2526t%253D4d5b0474%2526ps%253D13740610%2526shp%253Dd05b14bd%2526shcp%253D34ff8df6%2526idc%253Dmy3%2526s%253DTIKTOK_AFFILIATE_VIRAL_VIDEO%22%2C%22placeholder_product_id%22%3A%221729427766722726591%22%2C%22placeholder_video_id%22%3A%227631111481903320340%22%7D&amp;ec_shared_reflux_scene=shop_tab_feed&amp;share_item_id=7631111481903320340&amp;source=h5_t</v>
      </c>
      <c r="K584" s="464" t="str">
        <f>IFERROR(__xludf.DUMMYFUNCTION("""COMPUTED_VALUE"""),"KIMME")</f>
        <v>KIMME</v>
      </c>
      <c r="L584" s="279" t="str">
        <f>IFERROR(__xludf.DUMMYFUNCTION("""COMPUTED_VALUE"""),"https://www.tiktok.com/@outfitce_/video/7631119212450254101?_r=1&amp;u_code=e0898kg4gbb4c7&amp;region=&amp;mid=7606071400499628049&amp;preview_pb=0&amp;sharer_language=&amp;_d=0&amp;ec_shared_reflux_dynamic_params=%7B%22placeholder_material_id%22%3A%227631119212450254101%22%2C%22pla"&amp;"ceholder_origin_cover%22%3A%22https%253A%252F%252Fp16-sign-sg.tiktokcdn.com%252Ftos-alisg-p-0037%252FoYUOudiIIAw0VLev7LiunMb9gouO1CAKBAcIBz~tplv-tiktokx-origin.jpeg%253Fdr%253D14572%2526refresh_token%253D1f6184d4%2526x-expires%253D1808474400%2526x-signatu"&amp;"re%253DBtMIpSv7%25252BA7SYVaFUTK%25252FqSnkFtk%25253D%2526t%253D4d5b0474%2526ps%253D13740610%2526shp%253Dd05b14bd%2526shcp%253D34ff8df6%2526idc%253Dmy3%2526s%253DTIKTOK_AFFILIATE_VIRAL_VIDEO%22%2C%22placeholder_product_id%22%3A%221729427766722726591%22%2C"&amp;"%22placeholder_video_id%22%3A%227631119212450254101%22%7D&amp;ec_shared_reflux_scene=shop_tab_feed&amp;share_item_id=7631119212450254101&amp;source=h5_t")</f>
        <v>https://www.tiktok.com/@outfitce_/video/7631119212450254101?_r=1&amp;u_code=e0898kg4gbb4c7&amp;region=&amp;mid=7606071400499628049&amp;preview_pb=0&amp;sharer_language=&amp;_d=0&amp;ec_shared_reflux_dynamic_params=%7B%22placeholder_material_id%22%3A%227631119212450254101%22%2C%22placeholder_origin_cover%22%3A%22https%253A%252F%252Fp16-sign-sg.tiktokcdn.com%252Ftos-alisg-p-0037%252FoYUOudiIIAw0VLev7LiunMb9gouO1CAKBAcIBz~tplv-tiktokx-origin.jpeg%253Fdr%253D14572%2526refresh_token%253D1f6184d4%2526x-expires%253D1808474400%2526x-signature%253DBtMIpSv7%25252BA7SYVaFUTK%25252FqSnkFtk%25253D%2526t%253D4d5b0474%2526ps%253D13740610%2526shp%253Dd05b14bd%2526shcp%253D34ff8df6%2526idc%253Dmy3%2526s%253DTIKTOK_AFFILIATE_VIRAL_VIDEO%22%2C%22placeholder_product_id%22%3A%221729427766722726591%22%2C%22placeholder_video_id%22%3A%227631119212450254101%22%7D&amp;ec_shared_reflux_scene=shop_tab_feed&amp;share_item_id=7631119212450254101&amp;source=h5_t</v>
      </c>
      <c r="M584" s="464" t="str">
        <f>IFERROR(__xludf.DUMMYFUNCTION("""COMPUTED_VALUE"""),"KIMME")</f>
        <v>KIMME</v>
      </c>
      <c r="N584" s="279" t="str">
        <f>IFERROR(__xludf.DUMMYFUNCTION("""COMPUTED_VALUE"""),"https://www.tiktok.com/@outfitce_/video/7631162074869009684?_r=1&amp;u_code=e0898kg4gbb4c7&amp;region=&amp;mid=7234217459228985345&amp;preview_pb=0&amp;sharer_language=&amp;_d=0&amp;ec_shared_reflux_dynamic_params=%7B%22placeholder_material_id%22%3A%227631162074869009684%22%2C%22pla"&amp;"ceholder_origin_cover%22%3A%22https%253A%252F%252Fp16-common-sign.tiktokcdn.com%252Ftos-alisg-p-0037%252Fo0zYnAak6qBG7iI0z8ifAAw8RVxqq7IIIVByCi~tplv-tiktokx-origin.jpeg%253Fdr%253D14572%2526refresh_token%253Da9205cd0%2526x-expires%253D1808474400%2526x-sig"&amp;"nature%253DN1w4uVhBm%25252F8znT%25252FWZVlEeE9Qx14%25253D%2526t%253D4d5b0474%2526ps%253D13740610%2526shp%253Dd05b14bd%2526shcp%253D34ff8df6%2526idc%253Dmy3%2526s%253DTIKTOK_AFFILIATE_VIRAL_VIDEO%22%2C%22placeholder_product_id%22%3A%221729427766722726591%2"&amp;"2%2C%22placeholder_video_id%22%3A%227631162074869009684%22%7D&amp;ec_shared_reflux_scene=shop_tab_feed&amp;share_item_id=7631162074869009684&amp;source=h5_t")</f>
        <v>https://www.tiktok.com/@outfitce_/video/7631162074869009684?_r=1&amp;u_code=e0898kg4gbb4c7&amp;region=&amp;mid=7234217459228985345&amp;preview_pb=0&amp;sharer_language=&amp;_d=0&amp;ec_shared_reflux_dynamic_params=%7B%22placeholder_material_id%22%3A%227631162074869009684%22%2C%22placeholder_origin_cover%22%3A%22https%253A%252F%252Fp16-common-sign.tiktokcdn.com%252Ftos-alisg-p-0037%252Fo0zYnAak6qBG7iI0z8ifAAw8RVxqq7IIIVByCi~tplv-tiktokx-origin.jpeg%253Fdr%253D14572%2526refresh_token%253Da9205cd0%2526x-expires%253D1808474400%2526x-signature%253DN1w4uVhBm%25252F8znT%25252FWZVlEeE9Qx14%25253D%2526t%253D4d5b0474%2526ps%253D13740610%2526shp%253Dd05b14bd%2526shcp%253D34ff8df6%2526idc%253Dmy3%2526s%253DTIKTOK_AFFILIATE_VIRAL_VIDEO%22%2C%22placeholder_product_id%22%3A%221729427766722726591%22%2C%22placeholder_video_id%22%3A%227631162074869009684%22%7D&amp;ec_shared_reflux_scene=shop_tab_feed&amp;share_item_id=7631162074869009684&amp;source=h5_t</v>
      </c>
      <c r="O584" s="464" t="str">
        <f>IFERROR(__xludf.DUMMYFUNCTION("""COMPUTED_VALUE"""),"KIMME")</f>
        <v>KIMME</v>
      </c>
      <c r="P584" s="279" t="str">
        <f>IFERROR(__xludf.DUMMYFUNCTION("""COMPUTED_VALUE"""),"https://www.tiktok.com/@outfitce_/video/7631187083704438037?_d=0&amp;_r=1&amp;ec_shared_reflux_dynamic_params=%7B%22placeholder_material_id%22%3A%227631187083704438037%22%2C%22placeholder_origin_cover%22%3A%22https%253A%252F%252Fp16-common-sign.tiktokcdn.com%252F"&amp;"tos-alisg-p-0037%252Fokw5DfquEEYUIEbKiBpgFBonI7R2AlebTBWR9x~tplv-tiktokx-origin.jpeg%253Fdr%253D14572%2526refresh_token%253D63ddc412%2526x-expires%253D1808474400%2526x-signature%253DzHh8ZjguOAuZsPqE95wHV2Ee3a0%25253D%2526t%253D4d5b0474%2526ps%253D13740610"&amp;"%2526shp%253Dd05b14bd%2526shcp%253D34ff8df6%2526idc%253Dmy3%2526s%253DTIKTOK_AFFILIATE_VIRAL_VIDEO%22%2C%22placeholder_product_id%22%3A%221729427766722726591%22%2C%22placeholder_video_id%22%3A%227631187083704438037%22%7D&amp;ec_shared_reflux_scene=shop_tab_fe"&amp;"ed&amp;mid=7597435345913317393&amp;preview_pb=0&amp;region=&amp;share_item_id=7631187083704438037&amp;sharer_language=&amp;source=h5_t&amp;u_code=e0898kg4gbb4c7")</f>
        <v>https://www.tiktok.com/@outfitce_/video/7631187083704438037?_d=0&amp;_r=1&amp;ec_shared_reflux_dynamic_params=%7B%22placeholder_material_id%22%3A%227631187083704438037%22%2C%22placeholder_origin_cover%22%3A%22https%253A%252F%252Fp16-common-sign.tiktokcdn.com%252Ftos-alisg-p-0037%252Fokw5DfquEEYUIEbKiBpgFBonI7R2AlebTBWR9x~tplv-tiktokx-origin.jpeg%253Fdr%253D14572%2526refresh_token%253D63ddc412%2526x-expires%253D1808474400%2526x-signature%253DzHh8ZjguOAuZsPqE95wHV2Ee3a0%25253D%2526t%253D4d5b0474%2526ps%253D13740610%2526shp%253Dd05b14bd%2526shcp%253D34ff8df6%2526idc%253Dmy3%2526s%253DTIKTOK_AFFILIATE_VIRAL_VIDEO%22%2C%22placeholder_product_id%22%3A%221729427766722726591%22%2C%22placeholder_video_id%22%3A%227631187083704438037%22%7D&amp;ec_shared_reflux_scene=shop_tab_feed&amp;mid=7597435345913317393&amp;preview_pb=0&amp;region=&amp;share_item_id=7631187083704438037&amp;sharer_language=&amp;source=h5_t&amp;u_code=e0898kg4gbb4c7</v>
      </c>
    </row>
    <row r="585">
      <c r="A585" s="255" t="str">
        <f>IFERROR(__xludf.DUMMYFUNCTION("""COMPUTED_VALUE"""),"MICRO")</f>
        <v>MICRO</v>
      </c>
      <c r="B585" s="361" t="str">
        <f>IFERROR(__xludf.DUMMYFUNCTION("""COMPUTED_VALUE"""),"roseriyanto5")</f>
        <v>roseriyanto5</v>
      </c>
      <c r="C585" s="257" t="str">
        <f>IFERROR(__xludf.DUMMYFUNCTION("""COMPUTED_VALUE"""),"https://www.tiktok.com/@roseriyanto5")</f>
        <v>https://www.tiktok.com/@roseriyanto5</v>
      </c>
      <c r="D585" s="270">
        <f>IFERROR(__xludf.DUMMYFUNCTION("""COMPUTED_VALUE"""),8.2311611388E10)</f>
        <v>82311611388</v>
      </c>
      <c r="E585" s="457">
        <f>IFERROR(__xludf.DUMMYFUNCTION("""COMPUTED_VALUE"""),0.0)</f>
        <v>0</v>
      </c>
      <c r="F585" s="270">
        <f>IFERROR(__xludf.DUMMYFUNCTION("""COMPUTED_VALUE"""),4.0)</f>
        <v>4</v>
      </c>
      <c r="G585" s="17" t="str">
        <f>IFERROR(__xludf.DUMMYFUNCTION("""COMPUTED_VALUE"""),"Sabun batang 1 Box ( 2 PCS )")</f>
        <v>Sabun batang 1 Box ( 2 PCS )</v>
      </c>
      <c r="H585" s="463" t="str">
        <f>IFERROR(__xludf.DUMMYFUNCTION("""COMPUTED_VALUE"""),"Sampai")</f>
        <v>Sampai</v>
      </c>
      <c r="I585" s="464" t="str">
        <f>IFERROR(__xludf.DUMMYFUNCTION("""COMPUTED_VALUE"""),"KIMME")</f>
        <v>KIMME</v>
      </c>
      <c r="J585" s="279" t="str">
        <f>IFERROR(__xludf.DUMMYFUNCTION("""COMPUTED_VALUE"""),"https://www.tiktok.com/@outfitce_/video/7631204412303609108?_r=1&amp;u_code=e0898kg4gbb4c7&amp;region=&amp;mid=7365946809562450721&amp;preview_pb=0&amp;sharer_language=&amp;_d=0&amp;ec_shared_reflux_dynamic_params=%7B%22placeholder_material_id%22%3A%227631204412303609108%22%2C%22pla"&amp;"ceholder_origin_cover%22%3A%22https%253A%252F%252Fp16-common-sign.tiktokcdn.com%252Ftos-alisg-p-0037%252FosBiMO7geAA95p8eCf8ed4MSZAgy4KYePB2Ncv~tplv-tiktokx-origin.jpeg%253Fdr%253D14572%2526refresh_token%253D37f16ae0%2526x-expires%253D1808474400%2526x-sig"&amp;"nature%253D0orBnS8LMdON88ZZmxB9SKt6KsE%25253D%2526t%253D4d5b0474%2526ps%253D13740610%2526shp%253Dd05b14bd%2526shcp%253D34ff8df6%2526idc%253Dmy3%2526s%253DTIKTOK_AFFILIATE_VIRAL_VIDEO%22%2C%22placeholder_product_id%22%3A%221729427766722726591%22%2C%22place"&amp;"holder_video_id%22%3A%227631204412303609108%22%7D&amp;ec_shared_reflux_scene=shop_tab_feed&amp;share_item_id=7631204412303609108&amp;source=h5_t")</f>
        <v>https://www.tiktok.com/@outfitce_/video/7631204412303609108?_r=1&amp;u_code=e0898kg4gbb4c7&amp;region=&amp;mid=7365946809562450721&amp;preview_pb=0&amp;sharer_language=&amp;_d=0&amp;ec_shared_reflux_dynamic_params=%7B%22placeholder_material_id%22%3A%227631204412303609108%22%2C%22placeholder_origin_cover%22%3A%22https%253A%252F%252Fp16-common-sign.tiktokcdn.com%252Ftos-alisg-p-0037%252FosBiMO7geAA95p8eCf8ed4MSZAgy4KYePB2Ncv~tplv-tiktokx-origin.jpeg%253Fdr%253D14572%2526refresh_token%253D37f16ae0%2526x-expires%253D1808474400%2526x-signature%253D0orBnS8LMdON88ZZmxB9SKt6KsE%25253D%2526t%253D4d5b0474%2526ps%253D13740610%2526shp%253Dd05b14bd%2526shcp%253D34ff8df6%2526idc%253Dmy3%2526s%253DTIKTOK_AFFILIATE_VIRAL_VIDEO%22%2C%22placeholder_product_id%22%3A%221729427766722726591%22%2C%22placeholder_video_id%22%3A%227631204412303609108%22%7D&amp;ec_shared_reflux_scene=shop_tab_feed&amp;share_item_id=7631204412303609108&amp;source=h5_t</v>
      </c>
      <c r="K585" s="464" t="str">
        <f>IFERROR(__xludf.DUMMYFUNCTION("""COMPUTED_VALUE"""),"KIMME")</f>
        <v>KIMME</v>
      </c>
      <c r="L585" s="279" t="str">
        <f>IFERROR(__xludf.DUMMYFUNCTION("""COMPUTED_VALUE"""),"https://www.tiktok.com/@outfitce_/video/7631401108853820693?_r=1&amp;u_code=e0898kg4gbb4c7&amp;region=&amp;mid=7186103591168658203&amp;preview_pb=0&amp;sharer_language=&amp;_d=0&amp;ec_shared_reflux_dynamic_params=%7B%22placeholder_material_id%22%3A%227631401108853820693%22%2C%22pla"&amp;"ceholder_origin_cover%22%3A%22https%253A%252F%252Fp16-sign-sg.tiktokcdn.com%252Ftos-alisg-p-0037%252FogACkDeIpA0uThCo0QC2jeASSoQtL4IMGdfFLo~tplv-tiktokx-origin.jpeg%253Fdr%253D14572%2526refresh_token%253D9e6110b2%2526x-expires%253D1808474400%2526x-signatu"&amp;"re%253Drq5wWuWGZg2ZT4zBHrAuW%25252BcSqEI%25253D%2526t%253D4d5b0474%2526ps%253D13740610%2526shp%253Dd05b14bd%2526shcp%253D34ff8df6%2526idc%253Dmy3%2526s%253DTIKTOK_AFFILIATE_VIRAL_VIDEO%22%2C%22placeholder_product_id%22%3A%221729427766722726591%22%2C%22pla"&amp;"ceholder_video_id%22%3A%227631401108853820693%22%7D&amp;ec_shared_reflux_scene=shop_tab_feed&amp;share_item_id=7631401108853820693&amp;source=h5_t")</f>
        <v>https://www.tiktok.com/@outfitce_/video/7631401108853820693?_r=1&amp;u_code=e0898kg4gbb4c7&amp;region=&amp;mid=7186103591168658203&amp;preview_pb=0&amp;sharer_language=&amp;_d=0&amp;ec_shared_reflux_dynamic_params=%7B%22placeholder_material_id%22%3A%227631401108853820693%22%2C%22placeholder_origin_cover%22%3A%22https%253A%252F%252Fp16-sign-sg.tiktokcdn.com%252Ftos-alisg-p-0037%252FogACkDeIpA0uThCo0QC2jeASSoQtL4IMGdfFLo~tplv-tiktokx-origin.jpeg%253Fdr%253D14572%2526refresh_token%253D9e6110b2%2526x-expires%253D1808474400%2526x-signature%253Drq5wWuWGZg2ZT4zBHrAuW%25252BcSqEI%25253D%2526t%253D4d5b0474%2526ps%253D13740610%2526shp%253Dd05b14bd%2526shcp%253D34ff8df6%2526idc%253Dmy3%2526s%253DTIKTOK_AFFILIATE_VIRAL_VIDEO%22%2C%22placeholder_product_id%22%3A%221729427766722726591%22%2C%22placeholder_video_id%22%3A%227631401108853820693%22%7D&amp;ec_shared_reflux_scene=shop_tab_feed&amp;share_item_id=7631401108853820693&amp;source=h5_t</v>
      </c>
      <c r="M585" s="464" t="str">
        <f>IFERROR(__xludf.DUMMYFUNCTION("""COMPUTED_VALUE"""),"KIMME")</f>
        <v>KIMME</v>
      </c>
      <c r="N585" s="279" t="str">
        <f>IFERROR(__xludf.DUMMYFUNCTION("""COMPUTED_VALUE"""),"https://www.tiktok.com/@outfitce_/video/7631410281234795796?_r=1&amp;u_code=e0898kg4gbb4c7&amp;region=&amp;mid=7626624902267439888&amp;preview_pb=0&amp;sharer_language=&amp;_d=0&amp;ec_shared_reflux_dynamic_params=%7B%22placeholder_material_id%22%3A%227631410281234795796%22%2C%22pla"&amp;"ceholder_origin_cover%22%3A%22https%253A%252F%252Fp16-common-sign.tiktokcdn.com%252Ftos-alisg-p-0037%252FogAAB0noLE0IvAPR4XBgyIKxqeNIi3iw0YjCDw~tplv-tiktokx-origin.jpeg%253Fdr%253D14572%2526refresh_token%253D97e0a2c3%2526x-expires%253D1808474400%2526x-sig"&amp;"nature%253DukugLDOX%25252BWKv5M4uuZQ8VkmT%25252Bko%25253D%2526t%253D4d5b0474%2526ps%253D13740610%2526shp%253Dd05b14bd%2526shcp%253D34ff8df6%2526idc%253Dmy3%2526s%253DTIKTOK_AFFILIATE_VIRAL_VIDEO%22%2C%22placeholder_product_id%22%3A%221729427766722726591%2"&amp;"2%2C%22placeholder_video_id%22%3A%227631410281234795796%22%7D&amp;ec_shared_reflux_scene=shop_tab_feed&amp;share_item_id=7631410281234795796&amp;source=h5_t")</f>
        <v>https://www.tiktok.com/@outfitce_/video/7631410281234795796?_r=1&amp;u_code=e0898kg4gbb4c7&amp;region=&amp;mid=7626624902267439888&amp;preview_pb=0&amp;sharer_language=&amp;_d=0&amp;ec_shared_reflux_dynamic_params=%7B%22placeholder_material_id%22%3A%227631410281234795796%22%2C%22placeholder_origin_cover%22%3A%22https%253A%252F%252Fp16-common-sign.tiktokcdn.com%252Ftos-alisg-p-0037%252FogAAB0noLE0IvAPR4XBgyIKxqeNIi3iw0YjCDw~tplv-tiktokx-origin.jpeg%253Fdr%253D14572%2526refresh_token%253D97e0a2c3%2526x-expires%253D1808474400%2526x-signature%253DukugLDOX%25252BWKv5M4uuZQ8VkmT%25252Bko%25253D%2526t%253D4d5b0474%2526ps%253D13740610%2526shp%253Dd05b14bd%2526shcp%253D34ff8df6%2526idc%253Dmy3%2526s%253DTIKTOK_AFFILIATE_VIRAL_VIDEO%22%2C%22placeholder_product_id%22%3A%221729427766722726591%22%2C%22placeholder_video_id%22%3A%227631410281234795796%22%7D&amp;ec_shared_reflux_scene=shop_tab_feed&amp;share_item_id=7631410281234795796&amp;source=h5_t</v>
      </c>
      <c r="O585" s="464" t="str">
        <f>IFERROR(__xludf.DUMMYFUNCTION("""COMPUTED_VALUE"""),"KIMME")</f>
        <v>KIMME</v>
      </c>
      <c r="P585" s="279" t="str">
        <f>IFERROR(__xludf.DUMMYFUNCTION("""COMPUTED_VALUE"""),"https://www.tiktok.com/@outfitce_/video/7631437887959043349?_r=1&amp;u_code=e0898kg4gbb4c7&amp;region=&amp;mid=7608156113497983765&amp;preview_pb=0&amp;sharer_language=&amp;_d=0&amp;ec_shared_reflux_dynamic_params=%7B%22placeholder_material_id%22%3A%227631437887959043349%22%2C%22pla"&amp;"ceholder_origin_cover%22%3A%22https%253A%252F%252Fp16-common-sign.tiktokcdn.com%252Ftos-alisg-p-0037%252FoQUC0AIygCBxwZAkI7bCAI8o2qiFI9gizEM0fu~tplv-tiktokx-origin.jpeg%253Fdr%253D14572%2526refresh_token%253D677c005f%2526x-expires%253D1808474400%2526x-sig"&amp;"nature%253D9nOL%25252F8muxBxaCZ4b9%25252BVUH9AhQXI%25253D%2526t%253D4d5b0474%2526ps%253D13740610%2526shp%253Dd05b14bd%2526shcp%253D34ff8df6%2526idc%253Dmy3%2526s%253DTIKTOK_AFFILIATE_VIRAL_VIDEO%22%2C%22placeholder_product_id%22%3A%221729427766722726591%2"&amp;"2%2C%22placeholder_video_id%22%3A%227631437887959043349%22%7D&amp;ec_shared_reflux_scene=shop_tab_feed&amp;share_item_id=7631437887959043349&amp;source=h5_t")</f>
        <v>https://www.tiktok.com/@outfitce_/video/7631437887959043349?_r=1&amp;u_code=e0898kg4gbb4c7&amp;region=&amp;mid=7608156113497983765&amp;preview_pb=0&amp;sharer_language=&amp;_d=0&amp;ec_shared_reflux_dynamic_params=%7B%22placeholder_material_id%22%3A%227631437887959043349%22%2C%22placeholder_origin_cover%22%3A%22https%253A%252F%252Fp16-common-sign.tiktokcdn.com%252Ftos-alisg-p-0037%252FoQUC0AIygCBxwZAkI7bCAI8o2qiFI9gizEM0fu~tplv-tiktokx-origin.jpeg%253Fdr%253D14572%2526refresh_token%253D677c005f%2526x-expires%253D1808474400%2526x-signature%253D9nOL%25252F8muxBxaCZ4b9%25252BVUH9AhQXI%25253D%2526t%253D4d5b0474%2526ps%253D13740610%2526shp%253Dd05b14bd%2526shcp%253D34ff8df6%2526idc%253Dmy3%2526s%253DTIKTOK_AFFILIATE_VIRAL_VIDEO%22%2C%22placeholder_product_id%22%3A%221729427766722726591%22%2C%22placeholder_video_id%22%3A%227631437887959043349%22%7D&amp;ec_shared_reflux_scene=shop_tab_feed&amp;share_item_id=7631437887959043349&amp;source=h5_t</v>
      </c>
    </row>
    <row r="586">
      <c r="A586" s="255" t="str">
        <f>IFERROR(__xludf.DUMMYFUNCTION("""COMPUTED_VALUE"""),"MICRO")</f>
        <v>MICRO</v>
      </c>
      <c r="B586" s="361" t="str">
        <f>IFERROR(__xludf.DUMMYFUNCTION("""COMPUTED_VALUE"""),"bunnybel_w")</f>
        <v>bunnybel_w</v>
      </c>
      <c r="C586" s="257" t="str">
        <f>IFERROR(__xludf.DUMMYFUNCTION("""COMPUTED_VALUE"""),"https://www.tiktok.com/@bunnybel_w")</f>
        <v>https://www.tiktok.com/@bunnybel_w</v>
      </c>
      <c r="D586" s="270">
        <f>IFERROR(__xludf.DUMMYFUNCTION("""COMPUTED_VALUE"""),8.5452317854E10)</f>
        <v>85452317854</v>
      </c>
      <c r="E586" s="457">
        <f>IFERROR(__xludf.DUMMYFUNCTION("""COMPUTED_VALUE"""),0.0)</f>
        <v>0</v>
      </c>
      <c r="F586" s="270">
        <f>IFERROR(__xludf.DUMMYFUNCTION("""COMPUTED_VALUE"""),4.0)</f>
        <v>4</v>
      </c>
      <c r="G586" s="17" t="str">
        <f>IFERROR(__xludf.DUMMYFUNCTION("""COMPUTED_VALUE"""),"Sabun batang 1 Box ( 2 PCS )")</f>
        <v>Sabun batang 1 Box ( 2 PCS )</v>
      </c>
      <c r="H586" s="463" t="str">
        <f>IFERROR(__xludf.DUMMYFUNCTION("""COMPUTED_VALUE"""),"Sampai")</f>
        <v>Sampai</v>
      </c>
      <c r="I586" s="464" t="str">
        <f>IFERROR(__xludf.DUMMYFUNCTION("""COMPUTED_VALUE"""),"KIMME")</f>
        <v>KIMME</v>
      </c>
      <c r="J586" s="279" t="str">
        <f>IFERROR(__xludf.DUMMYFUNCTION("""COMPUTED_VALUE"""),"https://www.tiktok.com/@outfitce_/video/7631489020299709717?_r=1&amp;u_code=e0898kg4gbb4c7&amp;region=&amp;mid=7234217459228985345&amp;preview_pb=0&amp;sharer_language=&amp;_d=0&amp;ec_shared_reflux_dynamic_params=%7B%22placeholder_material_id%22%3A%227631489020299709717%22%2C%22pla"&amp;"ceholder_origin_cover%22%3A%22https%253A%252F%252Fp16-common-sign.tiktokcdn.com%252Ftos-alisg-p-0037%252FoQea8pGfQLAsQ0KQECIgYfihMLfNeNmQP8tnAP~tplv-tiktokx-origin.jpeg%253Fdr%253D14572%2526refresh_token%253De72f6a6f%2526x-expires%253D1808474400%2526x-sig"&amp;"nature%253DJQuoOiOu9OqUC%25252B4TEzr%25252BN791X80%25253D%2526t%253D4d5b0474%2526ps%253D13740610%2526shp%253Dd05b14bd%2526shcp%253D34ff8df6%2526idc%253Dmy3%2526s%253DTIKTOK_AFFILIATE_VIRAL_VIDEO%22%2C%22placeholder_product_id%22%3A%221729427766722726591%2"&amp;"2%2C%22placeholder_video_id%22%3A%227631489020299709717%22%7D&amp;ec_shared_reflux_scene=shop_tab_feed&amp;share_item_id=7631489020299709717&amp;source=h5_t")</f>
        <v>https://www.tiktok.com/@outfitce_/video/7631489020299709717?_r=1&amp;u_code=e0898kg4gbb4c7&amp;region=&amp;mid=7234217459228985345&amp;preview_pb=0&amp;sharer_language=&amp;_d=0&amp;ec_shared_reflux_dynamic_params=%7B%22placeholder_material_id%22%3A%227631489020299709717%22%2C%22placeholder_origin_cover%22%3A%22https%253A%252F%252Fp16-common-sign.tiktokcdn.com%252Ftos-alisg-p-0037%252FoQea8pGfQLAsQ0KQECIgYfihMLfNeNmQP8tnAP~tplv-tiktokx-origin.jpeg%253Fdr%253D14572%2526refresh_token%253De72f6a6f%2526x-expires%253D1808474400%2526x-signature%253DJQuoOiOu9OqUC%25252B4TEzr%25252BN791X80%25253D%2526t%253D4d5b0474%2526ps%253D13740610%2526shp%253Dd05b14bd%2526shcp%253D34ff8df6%2526idc%253Dmy3%2526s%253DTIKTOK_AFFILIATE_VIRAL_VIDEO%22%2C%22placeholder_product_id%22%3A%221729427766722726591%22%2C%22placeholder_video_id%22%3A%227631489020299709717%22%7D&amp;ec_shared_reflux_scene=shop_tab_feed&amp;share_item_id=7631489020299709717&amp;source=h5_t</v>
      </c>
      <c r="K586" s="464" t="str">
        <f>IFERROR(__xludf.DUMMYFUNCTION("""COMPUTED_VALUE"""),"KIMME")</f>
        <v>KIMME</v>
      </c>
      <c r="L586" s="279" t="str">
        <f>IFERROR(__xludf.DUMMYFUNCTION("""COMPUTED_VALUE"""),"https://www.tiktok.com/@outfitce_/video/7631496964684811541?_r=1&amp;u_code=e0898kg4gbb4c7&amp;region=&amp;mid=7623640076148722440&amp;preview_pb=0&amp;sharer_language=&amp;_d=0&amp;ec_shared_reflux_dynamic_params=%7B%22placeholder_material_id%22%3A%227631496964684811541%22%2C%22pla"&amp;"ceholder_origin_cover%22%3A%22https%253A%252F%252Fp16-common-sign.tiktokcdn.com%252Ftos-alisg-p-0037%252FoAveQLw8ACTjeGmzgkDDJAfD3ZII0TYoAECRgX~tplv-tiktokx-origin.jpeg%253Fdr%253D14572%2526refresh_token%253Dbe7603b7%2526x-expires%253D1808474400%2526x-sig"&amp;"nature%253DbAwAIBz7Q%25252BHjZkkIYoGFPCU%25252FhSE%25253D%2526t%253D4d5b0474%2526ps%253D13740610%2526shp%253Dd05b14bd%2526shcp%253D34ff8df6%2526idc%253Dmy3%2526s%253DTIKTOK_AFFILIATE_VIRAL_VIDEO%22%2C%22placeholder_product_id%22%3A%221729427766722726591%2"&amp;"2%2C%22placeholder_video_id%22%3A%227631496964684811541%22%7D&amp;ec_shared_reflux_scene=shop_tab_feed&amp;share_item_id=7631496964684811541&amp;source=h5_t")</f>
        <v>https://www.tiktok.com/@outfitce_/video/7631496964684811541?_r=1&amp;u_code=e0898kg4gbb4c7&amp;region=&amp;mid=7623640076148722440&amp;preview_pb=0&amp;sharer_language=&amp;_d=0&amp;ec_shared_reflux_dynamic_params=%7B%22placeholder_material_id%22%3A%227631496964684811541%22%2C%22placeholder_origin_cover%22%3A%22https%253A%252F%252Fp16-common-sign.tiktokcdn.com%252Ftos-alisg-p-0037%252FoAveQLw8ACTjeGmzgkDDJAfD3ZII0TYoAECRgX~tplv-tiktokx-origin.jpeg%253Fdr%253D14572%2526refresh_token%253Dbe7603b7%2526x-expires%253D1808474400%2526x-signature%253DbAwAIBz7Q%25252BHjZkkIYoGFPCU%25252FhSE%25253D%2526t%253D4d5b0474%2526ps%253D13740610%2526shp%253Dd05b14bd%2526shcp%253D34ff8df6%2526idc%253Dmy3%2526s%253DTIKTOK_AFFILIATE_VIRAL_VIDEO%22%2C%22placeholder_product_id%22%3A%221729427766722726591%22%2C%22placeholder_video_id%22%3A%227631496964684811541%22%7D&amp;ec_shared_reflux_scene=shop_tab_feed&amp;share_item_id=7631496964684811541&amp;source=h5_t</v>
      </c>
      <c r="M586" s="464" t="str">
        <f>IFERROR(__xludf.DUMMYFUNCTION("""COMPUTED_VALUE"""),"KIMME")</f>
        <v>KIMME</v>
      </c>
      <c r="N586" s="279" t="str">
        <f>IFERROR(__xludf.DUMMYFUNCTION("""COMPUTED_VALUE"""),"https://www.tiktok.com/@outfitce_/video/7631536159864261909?_r=1&amp;u_code=e0898kg4gbb4c7&amp;region=&amp;mid=7597435345913317393&amp;preview_pb=0&amp;sharer_language=&amp;_d=0&amp;ec_shared_reflux_dynamic_params=%7B%22placeholder_material_id%22%3A%227631536159864261909%22%2C%22pla"&amp;"ceholder_origin_cover%22%3A%22https%253A%252F%252Fp16-common-sign.tiktokcdn.com%252Ftos-alisg-p-0037%252FoYvqDTbTi0z6Iwi3qVsihCNBABmveIIopxqABA~tplv-tiktokx-origin.jpeg%253Fdr%253D14572%2526refresh_token%253Df5911310%2526x-expires%253D1808474400%2526x-sig"&amp;"nature%253DLCNghF8r3nDdmwHu%25252B%25252FsYQyZl4A0%25253D%2526t%253D4d5b0474%2526ps%253D13740610%2526shp%253Dd05b14bd%2526shcp%253D34ff8df6%2526idc%253Dmy3%2526s%253DTIKTOK_AFFILIATE_VIRAL_VIDEO%22%2C%22placeholder_product_id%22%3A%221729427766722726591%2"&amp;"2%2C%22placeholder_video_id%22%3A%227631536159864261909%22%7D&amp;ec_shared_reflux_scene=shop_tab_feed&amp;share_item_id=7631536159864261909&amp;source=h5_t")</f>
        <v>https://www.tiktok.com/@outfitce_/video/7631536159864261909?_r=1&amp;u_code=e0898kg4gbb4c7&amp;region=&amp;mid=7597435345913317393&amp;preview_pb=0&amp;sharer_language=&amp;_d=0&amp;ec_shared_reflux_dynamic_params=%7B%22placeholder_material_id%22%3A%227631536159864261909%22%2C%22placeholder_origin_cover%22%3A%22https%253A%252F%252Fp16-common-sign.tiktokcdn.com%252Ftos-alisg-p-0037%252FoYvqDTbTi0z6Iwi3qVsihCNBABmveIIopxqABA~tplv-tiktokx-origin.jpeg%253Fdr%253D14572%2526refresh_token%253Df5911310%2526x-expires%253D1808474400%2526x-signature%253DLCNghF8r3nDdmwHu%25252B%25252FsYQyZl4A0%25253D%2526t%253D4d5b0474%2526ps%253D13740610%2526shp%253Dd05b14bd%2526shcp%253D34ff8df6%2526idc%253Dmy3%2526s%253DTIKTOK_AFFILIATE_VIRAL_VIDEO%22%2C%22placeholder_product_id%22%3A%221729427766722726591%22%2C%22placeholder_video_id%22%3A%227631536159864261909%22%7D&amp;ec_shared_reflux_scene=shop_tab_feed&amp;share_item_id=7631536159864261909&amp;source=h5_t</v>
      </c>
      <c r="O586" s="464" t="str">
        <f>IFERROR(__xludf.DUMMYFUNCTION("""COMPUTED_VALUE"""),"KIMME")</f>
        <v>KIMME</v>
      </c>
      <c r="P586" s="279" t="str">
        <f>IFERROR(__xludf.DUMMYFUNCTION("""COMPUTED_VALUE"""),"https://www.tiktok.com/@outfitce_/video/7631565441705512213?_r=1&amp;u_code=e0898kg4gbb4c7&amp;region=&amp;mid=7606071400499628049&amp;preview_pb=0&amp;sharer_language=&amp;_d=0&amp;ec_shared_reflux_dynamic_params=%7B%22placeholder_material_id%22%3A%227631565441705512213%22%2C%22pla"&amp;"ceholder_origin_cover%22%3A%22https%253A%252F%252Fp16-sign-sg.tiktokcdn.com%252Ftos-alisg-p-0037%252FoIARBEFpUE6BZRQIQ4ofBFx6LDGzVMIeLBzytg~tplv-tiktokx-origin.jpeg%253Fdr%253D14572%2526refresh_token%253Db409ba30%2526x-expires%253D1808474400%2526x-signatu"&amp;"re%253DhyKYO%25252FpVm2ACV31PO7r8JrqPlOo%25253D%2526t%253D4d5b0474%2526ps%253D13740610%2526shp%253Dd05b14bd%2526shcp%253D34ff8df6%2526idc%253Dmy3%2526s%253DTIKTOK_AFFILIATE_VIRAL_VIDEO%22%2C%22placeholder_product_id%22%3A%221729427766722726591%22%2C%22pla"&amp;"ceholder_video_id%22%3A%227631565441705512213%22%7D&amp;ec_shared_reflux_scene=shop_tab_feed&amp;share_item_id=7631565441705512213&amp;source=h5_t")</f>
        <v>https://www.tiktok.com/@outfitce_/video/7631565441705512213?_r=1&amp;u_code=e0898kg4gbb4c7&amp;region=&amp;mid=7606071400499628049&amp;preview_pb=0&amp;sharer_language=&amp;_d=0&amp;ec_shared_reflux_dynamic_params=%7B%22placeholder_material_id%22%3A%227631565441705512213%22%2C%22placeholder_origin_cover%22%3A%22https%253A%252F%252Fp16-sign-sg.tiktokcdn.com%252Ftos-alisg-p-0037%252FoIARBEFpUE6BZRQIQ4ofBFx6LDGzVMIeLBzytg~tplv-tiktokx-origin.jpeg%253Fdr%253D14572%2526refresh_token%253Db409ba30%2526x-expires%253D1808474400%2526x-signature%253DhyKYO%25252FpVm2ACV31PO7r8JrqPlOo%25253D%2526t%253D4d5b0474%2526ps%253D13740610%2526shp%253Dd05b14bd%2526shcp%253D34ff8df6%2526idc%253Dmy3%2526s%253DTIKTOK_AFFILIATE_VIRAL_VIDEO%22%2C%22placeholder_product_id%22%3A%221729427766722726591%22%2C%22placeholder_video_id%22%3A%227631565441705512213%22%7D&amp;ec_shared_reflux_scene=shop_tab_feed&amp;share_item_id=7631565441705512213&amp;source=h5_t</v>
      </c>
    </row>
    <row r="587">
      <c r="A587" s="255" t="str">
        <f>IFERROR(__xludf.DUMMYFUNCTION("""COMPUTED_VALUE"""),"MICRO")</f>
        <v>MICRO</v>
      </c>
      <c r="B587" s="361" t="str">
        <f>IFERROR(__xludf.DUMMYFUNCTION("""COMPUTED_VALUE"""),"edogawa866")</f>
        <v>edogawa866</v>
      </c>
      <c r="C587" s="257" t="str">
        <f>IFERROR(__xludf.DUMMYFUNCTION("""COMPUTED_VALUE"""),"https://www.tiktok.com/@edogawa866")</f>
        <v>https://www.tiktok.com/@edogawa866</v>
      </c>
      <c r="D587" s="270">
        <f>IFERROR(__xludf.DUMMYFUNCTION("""COMPUTED_VALUE"""),8.2183871705E10)</f>
        <v>82183871705</v>
      </c>
      <c r="E587" s="457">
        <f>IFERROR(__xludf.DUMMYFUNCTION("""COMPUTED_VALUE"""),0.0)</f>
        <v>0</v>
      </c>
      <c r="F587" s="270">
        <f>IFERROR(__xludf.DUMMYFUNCTION("""COMPUTED_VALUE"""),4.0)</f>
        <v>4</v>
      </c>
      <c r="G587" s="17" t="str">
        <f>IFERROR(__xludf.DUMMYFUNCTION("""COMPUTED_VALUE"""),"Sabun batang 1 Box ( 2 PCS )")</f>
        <v>Sabun batang 1 Box ( 2 PCS )</v>
      </c>
      <c r="H587" s="463" t="str">
        <f>IFERROR(__xludf.DUMMYFUNCTION("""COMPUTED_VALUE"""),"Sampai")</f>
        <v>Sampai</v>
      </c>
      <c r="I587" s="464" t="str">
        <f>IFERROR(__xludf.DUMMYFUNCTION("""COMPUTED_VALUE"""),"KIMME")</f>
        <v>KIMME</v>
      </c>
      <c r="J587" s="279" t="str">
        <f>IFERROR(__xludf.DUMMYFUNCTION("""COMPUTED_VALUE"""),"https://www.tiktok.com/@outfitce_/video/7631591434138946837?_r=1&amp;u_code=e0898kg4gbb4c7&amp;region=&amp;mid=7606071400499628049&amp;preview_pb=0&amp;sharer_language=&amp;_d=0&amp;ec_shared_reflux_dynamic_params=%7B%22placeholder_material_id%22%3A%227631591434138946837%22%2C%22pla"&amp;"ceholder_origin_cover%22%3A%22https%253A%252F%252Fp16-common-sign.tiktokcdn.com%252Ftos-alisg-p-0037%252FoYICoi0TjAOjAuBKIPcH3qBwiy30De805HbAIA~tplv-tiktokx-origin.jpeg%253Fdr%253D14572%2526refresh_token%253D499ace7f%2526x-expires%253D1808474400%2526x-sig"&amp;"nature%253DMdlWwmHLtJeLVf5RdWO6Xy8zLDQ%25253D%2526t%253D4d5b0474%2526ps%253D13740610%2526shp%253Dd05b14bd%2526shcp%253D34ff8df6%2526idc%253Dmy3%2526s%253DTIKTOK_AFFILIATE_VIRAL_VIDEO%22%2C%22placeholder_product_id%22%3A%221729427766722726591%22%2C%22place"&amp;"holder_video_id%22%3A%227631591434138946837%22%7D&amp;ec_shared_reflux_scene=shop_tab_feed&amp;share_item_id=7631591434138946837&amp;source=h5_t")</f>
        <v>https://www.tiktok.com/@outfitce_/video/7631591434138946837?_r=1&amp;u_code=e0898kg4gbb4c7&amp;region=&amp;mid=7606071400499628049&amp;preview_pb=0&amp;sharer_language=&amp;_d=0&amp;ec_shared_reflux_dynamic_params=%7B%22placeholder_material_id%22%3A%227631591434138946837%22%2C%22placeholder_origin_cover%22%3A%22https%253A%252F%252Fp16-common-sign.tiktokcdn.com%252Ftos-alisg-p-0037%252FoYICoi0TjAOjAuBKIPcH3qBwiy30De805HbAIA~tplv-tiktokx-origin.jpeg%253Fdr%253D14572%2526refresh_token%253D499ace7f%2526x-expires%253D1808474400%2526x-signature%253DMdlWwmHLtJeLVf5RdWO6Xy8zLDQ%25253D%2526t%253D4d5b0474%2526ps%253D13740610%2526shp%253Dd05b14bd%2526shcp%253D34ff8df6%2526idc%253Dmy3%2526s%253DTIKTOK_AFFILIATE_VIRAL_VIDEO%22%2C%22placeholder_product_id%22%3A%221729427766722726591%22%2C%22placeholder_video_id%22%3A%227631591434138946837%22%7D&amp;ec_shared_reflux_scene=shop_tab_feed&amp;share_item_id=7631591434138946837&amp;source=h5_t</v>
      </c>
      <c r="K587" s="464" t="str">
        <f>IFERROR(__xludf.DUMMYFUNCTION("""COMPUTED_VALUE"""),"KIMME")</f>
        <v>KIMME</v>
      </c>
      <c r="L587" s="279" t="str">
        <f>IFERROR(__xludf.DUMMYFUNCTION("""COMPUTED_VALUE"""),"https://www.tiktok.com/@outfitce_/video/7631697734113725716?_r=1&amp;u_code=e0898kg4gbb4c7&amp;region=&amp;mid=7591457071271463688&amp;preview_pb=0&amp;sharer_language=&amp;_d=0&amp;ec_shared_reflux_dynamic_params=%7B%22placeholder_material_id%22%3A%227631697734113725716%22%2C%22pla"&amp;"ceholder_origin_cover%22%3A%22https%253A%252F%252Fp16-sign-sg.tiktokcdn.com%252Ftos-alisg-p-0037%252FoIAiBffDUItsRTpELPEwT6YTpBLAKEyuFBOTIg~tplv-tiktokx-origin.jpeg%253Fdr%253D14572%2526refresh_token%253D2246c921%2526x-expires%253D1808474400%2526x-signatu"&amp;"re%253DITy3b1iee%25252BRfXh9OwLICS45C8Ic%25253D%2526t%253D4d5b0474%2526ps%253D13740610%2526shp%253Dd05b14bd%2526shcp%253D34ff8df6%2526idc%253Dmy3%2526s%253DTIKTOK_AFFILIATE_VIRAL_VIDEO%22%2C%22placeholder_product_id%22%3A%221729427766722726591%22%2C%22pla"&amp;"ceholder_video_id%22%3A%227631697734113725716%22%7D&amp;ec_shared_reflux_scene=shop_tab_feed&amp;share_item_id=7631697734113725716&amp;source=h5_t")</f>
        <v>https://www.tiktok.com/@outfitce_/video/7631697734113725716?_r=1&amp;u_code=e0898kg4gbb4c7&amp;region=&amp;mid=7591457071271463688&amp;preview_pb=0&amp;sharer_language=&amp;_d=0&amp;ec_shared_reflux_dynamic_params=%7B%22placeholder_material_id%22%3A%227631697734113725716%22%2C%22placeholder_origin_cover%22%3A%22https%253A%252F%252Fp16-sign-sg.tiktokcdn.com%252Ftos-alisg-p-0037%252FoIAiBffDUItsRTpELPEwT6YTpBLAKEyuFBOTIg~tplv-tiktokx-origin.jpeg%253Fdr%253D14572%2526refresh_token%253D2246c921%2526x-expires%253D1808474400%2526x-signature%253DITy3b1iee%25252BRfXh9OwLICS45C8Ic%25253D%2526t%253D4d5b0474%2526ps%253D13740610%2526shp%253Dd05b14bd%2526shcp%253D34ff8df6%2526idc%253Dmy3%2526s%253DTIKTOK_AFFILIATE_VIRAL_VIDEO%22%2C%22placeholder_product_id%22%3A%221729427766722726591%22%2C%22placeholder_video_id%22%3A%227631697734113725716%22%7D&amp;ec_shared_reflux_scene=shop_tab_feed&amp;share_item_id=7631697734113725716&amp;source=h5_t</v>
      </c>
      <c r="M587" s="464" t="str">
        <f>IFERROR(__xludf.DUMMYFUNCTION("""COMPUTED_VALUE"""),"KIMME")</f>
        <v>KIMME</v>
      </c>
      <c r="N587" s="279" t="str">
        <f>IFERROR(__xludf.DUMMYFUNCTION("""COMPUTED_VALUE"""),"https://www.tiktok.com/@outfitce_/video/7631735896873766164?_r=1&amp;u_code=e0898kg4gbb4c7&amp;region=&amp;mid=7627687221567310593&amp;preview_pb=0&amp;sharer_language=&amp;_d=0&amp;ec_shared_reflux_dynamic_params=%7B%22placeholder_material_id%22%3A%227631735896873766164%22%2C%22pla"&amp;"ceholder_origin_cover%22%3A%22https%253A%252F%252Fp16-common-sign.tiktokcdn.com%252Ftos-alisg-p-0037%252FoYGShs6IUkj8EQeQWCLTAvnGAioQuDxser0ICe~tplv-tiktokx-origin.jpeg%253Fdr%253D14572%2526refresh_token%253De33440b5%2526x-expires%253D1808474400%2526x-sig"&amp;"nature%253D%25252BAeUXOQAXR0eb4JjcS%25252BRgSPpw68%25253D%2526t%253D4d5b0474%2526ps%253D13740610%2526shp%253Dd05b14bd%2526shcp%253D34ff8df6%2526idc%253Dmy3%2526s%253DTIKTOK_AFFILIATE_VIRAL_VIDEO%22%2C%22placeholder_product_id%22%3A%221729427766722726591%2"&amp;"2%2C%22placeholder_video_id%22%3A%227631735896873766164%22%7D&amp;ec_shared_reflux_scene=shop_tab_feed&amp;share_item_id=7631735896873766164&amp;source=h5_t")</f>
        <v>https://www.tiktok.com/@outfitce_/video/7631735896873766164?_r=1&amp;u_code=e0898kg4gbb4c7&amp;region=&amp;mid=7627687221567310593&amp;preview_pb=0&amp;sharer_language=&amp;_d=0&amp;ec_shared_reflux_dynamic_params=%7B%22placeholder_material_id%22%3A%227631735896873766164%22%2C%22placeholder_origin_cover%22%3A%22https%253A%252F%252Fp16-common-sign.tiktokcdn.com%252Ftos-alisg-p-0037%252FoYGShs6IUkj8EQeQWCLTAvnGAioQuDxser0ICe~tplv-tiktokx-origin.jpeg%253Fdr%253D14572%2526refresh_token%253De33440b5%2526x-expires%253D1808474400%2526x-signature%253D%25252BAeUXOQAXR0eb4JjcS%25252BRgSPpw68%25253D%2526t%253D4d5b0474%2526ps%253D13740610%2526shp%253Dd05b14bd%2526shcp%253D34ff8df6%2526idc%253Dmy3%2526s%253DTIKTOK_AFFILIATE_VIRAL_VIDEO%22%2C%22placeholder_product_id%22%3A%221729427766722726591%22%2C%22placeholder_video_id%22%3A%227631735896873766164%22%7D&amp;ec_shared_reflux_scene=shop_tab_feed&amp;share_item_id=7631735896873766164&amp;source=h5_t</v>
      </c>
      <c r="O587" s="464" t="str">
        <f>IFERROR(__xludf.DUMMYFUNCTION("""COMPUTED_VALUE"""),"KIMME")</f>
        <v>KIMME</v>
      </c>
      <c r="P587" s="279" t="str">
        <f>IFERROR(__xludf.DUMMYFUNCTION("""COMPUTED_VALUE"""),"https://www.tiktok.com/@outfitce_/video/7631790916533243156?_r=1&amp;u_code=e0898kg4gbb4c7&amp;region=&amp;mid=7283376056051337990&amp;preview_pb=0&amp;sharer_language=&amp;_d=0&amp;ec_shared_reflux_dynamic_params=%7B%22placeholder_material_id%22%3A%227631790916533243156%22%2C%22pla"&amp;"ceholder_origin_cover%22%3A%22https%253A%252F%252Fp16-sign-sg.tiktokcdn.com%252Ftos-alisg-p-0037%252FoQoRPDFI9RFZBtMfEgfpMUpXkXRX6AJkEIIBBS~tplv-tiktokx-origin.jpeg%253Fdr%253D14572%2526refresh_token%253D9e04a219%2526x-expires%253D1808474400%2526x-signatu"&amp;"re%253D%25252BCj6pNwXYJvGmfVw6QZkR6LMP9c%25253D%2526t%253D4d5b0474%2526ps%253D13740610%2526shp%253Dd05b14bd%2526shcp%253D34ff8df6%2526idc%253Dmy3%2526s%253DTIKTOK_AFFILIATE_VIRAL_VIDEO%22%2C%22placeholder_product_id%22%3A%221729427766722726591%22%2C%22pla"&amp;"ceholder_video_id%22%3A%227631790916533243156%22%7D&amp;ec_shared_reflux_scene=shop_tab_feed&amp;share_item_id=7631790916533243156&amp;source=h5_t")</f>
        <v>https://www.tiktok.com/@outfitce_/video/7631790916533243156?_r=1&amp;u_code=e0898kg4gbb4c7&amp;region=&amp;mid=7283376056051337990&amp;preview_pb=0&amp;sharer_language=&amp;_d=0&amp;ec_shared_reflux_dynamic_params=%7B%22placeholder_material_id%22%3A%227631790916533243156%22%2C%22placeholder_origin_cover%22%3A%22https%253A%252F%252Fp16-sign-sg.tiktokcdn.com%252Ftos-alisg-p-0037%252FoQoRPDFI9RFZBtMfEgfpMUpXkXRX6AJkEIIBBS~tplv-tiktokx-origin.jpeg%253Fdr%253D14572%2526refresh_token%253D9e04a219%2526x-expires%253D1808474400%2526x-signature%253D%25252BCj6pNwXYJvGmfVw6QZkR6LMP9c%25253D%2526t%253D4d5b0474%2526ps%253D13740610%2526shp%253Dd05b14bd%2526shcp%253D34ff8df6%2526idc%253Dmy3%2526s%253DTIKTOK_AFFILIATE_VIRAL_VIDEO%22%2C%22placeholder_product_id%22%3A%221729427766722726591%22%2C%22placeholder_video_id%22%3A%227631790916533243156%22%7D&amp;ec_shared_reflux_scene=shop_tab_feed&amp;share_item_id=7631790916533243156&amp;source=h5_t</v>
      </c>
    </row>
    <row r="588">
      <c r="A588" s="255" t="str">
        <f>IFERROR(__xludf.DUMMYFUNCTION("""COMPUTED_VALUE"""),"MICRO")</f>
        <v>MICRO</v>
      </c>
      <c r="B588" s="361" t="str">
        <f>IFERROR(__xludf.DUMMYFUNCTION("""COMPUTED_VALUE"""),"kak_indah112")</f>
        <v>kak_indah112</v>
      </c>
      <c r="C588" s="257" t="str">
        <f>IFERROR(__xludf.DUMMYFUNCTION("""COMPUTED_VALUE"""),"https://www.tiktok.com/@kak_indah112")</f>
        <v>https://www.tiktok.com/@kak_indah112</v>
      </c>
      <c r="D588" s="270">
        <f>IFERROR(__xludf.DUMMYFUNCTION("""COMPUTED_VALUE"""),8.2280242497E10)</f>
        <v>82280242497</v>
      </c>
      <c r="E588" s="457">
        <f>IFERROR(__xludf.DUMMYFUNCTION("""COMPUTED_VALUE"""),50000.0)</f>
        <v>50000</v>
      </c>
      <c r="F588" s="270">
        <f>IFERROR(__xludf.DUMMYFUNCTION("""COMPUTED_VALUE"""),1.0)</f>
        <v>1</v>
      </c>
      <c r="G588" s="17" t="str">
        <f>IFERROR(__xludf.DUMMYFUNCTION("""COMPUTED_VALUE"""),"Sabun batang 1 Box ( 2 PCS )")</f>
        <v>Sabun batang 1 Box ( 2 PCS )</v>
      </c>
      <c r="H588" s="463" t="str">
        <f>IFERROR(__xludf.DUMMYFUNCTION("""COMPUTED_VALUE"""),"Sampai")</f>
        <v>Sampai</v>
      </c>
      <c r="I588" s="464" t="str">
        <f>IFERROR(__xludf.DUMMYFUNCTION("""COMPUTED_VALUE"""),"KIMME")</f>
        <v>KIMME</v>
      </c>
      <c r="J588" s="279" t="str">
        <f>IFERROR(__xludf.DUMMYFUNCTION("""COMPUTED_VALUE"""),"https://vt.tiktok.com/ZSHovQFPg/")</f>
        <v>https://vt.tiktok.com/ZSHovQFPg/</v>
      </c>
      <c r="K588" s="464" t="str">
        <f>IFERROR(__xludf.DUMMYFUNCTION("""COMPUTED_VALUE"""),"KIMME")</f>
        <v>KIMME</v>
      </c>
      <c r="L588" s="279" t="str">
        <f>IFERROR(__xludf.DUMMYFUNCTION("""COMPUTED_VALUE"""),"https://www.tiktok.com/@racun_spalspil12/video/7636572246085012756?_r=1&amp;u_code=cllj6j6aidf05b&amp;region=&amp;mid=7577300307509299989&amp;preview_pb=0&amp;sharer_language=&amp;_d=0&amp;ec_shared_reflux_dynamic_params=%7B%22placeholder_material_id%22%3A%227636572246085012756%22%2"&amp;"C%22placeholder_origin_cover%22%3A%22https%253A%252F%252Fp16-common-sign.tiktokcdn.com%252Ftos-alisg-p-0037%252FogRe4LGHjIDvoQmDl6IQktCAjDrAgz2V9TeiUf~tplv-tiktokx-origin.jpeg%253Fdr%253D14572%2526refresh_token%253D222fdc54%2526x-expires%253D1810116000%25"&amp;"26x-signature%253D4jaAuaw6v9aij76FiiM%25252ByTLJccY%25253D%2526t%253D4d5b0474%2526ps%253D13740610%2526shp%253Dd05b14bd%2526shcp%253D34ff8df6%2526idc%253Dmy2%2526s%253DTIKTOK_AFFILIATE_VIRAL_VIDEO%22%2C%22placeholder_product_id%22%3A%221729729730555512511%"&amp;"22%2C%22placeholder_video_id%22%3A%227636572246085012756%22%7D&amp;ec_shared_reflux_scene=shop_tab_feed&amp;share_item_id=7636572246085012756&amp;source=h5_t")</f>
        <v>https://www.tiktok.com/@racun_spalspil12/video/7636572246085012756?_r=1&amp;u_code=cllj6j6aidf05b&amp;region=&amp;mid=7577300307509299989&amp;preview_pb=0&amp;sharer_language=&amp;_d=0&amp;ec_shared_reflux_dynamic_params=%7B%22placeholder_material_id%22%3A%227636572246085012756%22%2C%22placeholder_origin_cover%22%3A%22https%253A%252F%252Fp16-common-sign.tiktokcdn.com%252Ftos-alisg-p-0037%252FogRe4LGHjIDvoQmDl6IQktCAjDrAgz2V9TeiUf~tplv-tiktokx-origin.jpeg%253Fdr%253D14572%2526refresh_token%253D222fdc54%2526x-expires%253D1810116000%2526x-signature%253D4jaAuaw6v9aij76FiiM%25252ByTLJccY%25253D%2526t%253D4d5b0474%2526ps%253D13740610%2526shp%253Dd05b14bd%2526shcp%253D34ff8df6%2526idc%253Dmy2%2526s%253DTIKTOK_AFFILIATE_VIRAL_VIDEO%22%2C%22placeholder_product_id%22%3A%221729729730555512511%22%2C%22placeholder_video_id%22%3A%227636572246085012756%22%7D&amp;ec_shared_reflux_scene=shop_tab_feed&amp;share_item_id=7636572246085012756&amp;source=h5_t</v>
      </c>
      <c r="M588" s="464"/>
      <c r="N588" s="279" t="str">
        <f>IFERROR(__xludf.DUMMYFUNCTION("""COMPUTED_VALUE"""),"https://www.tiktok.com/@racun_spalspil12/video/7636572800261606676?_r=1&amp;u_code=cllj6j6aidf05b&amp;region=&amp;mid=7611414933255670546&amp;preview_pb=0&amp;sharer_language=&amp;_d=0&amp;ec_shared_reflux_dynamic_params=%7B%22placeholder_material_id%22%3A%227636572800261606676%22%2"&amp;"C%22placeholder_origin_cover%22%3A%22https%253A%252F%252Fp16-common-sign.tiktokcdn.com%252Ftos-alisg-p-0037%252Fo4HIEIeGANLCswbLeFTjDEA1QA1nR9QsR5f3r4~tplv-tiktokx-origin.jpeg%253Fdr%253D14572%2526refresh_token%253D7e6c9453%2526x-expires%253D1810116000%25"&amp;"26x-signature%253Dz2FYFqHTxxh2FksdXzj5K7k4poE%25253D%2526t%253D4d5b0474%2526ps%253D13740610%2526shp%253Dd05b14bd%2526shcp%253D34ff8df6%2526idc%253Dmy2%2526s%253DTIKTOK_AFFILIATE_VIRAL_VIDEO%22%2C%22placeholder_product_id%22%3A%221729729730555512511%22%2C%"&amp;"22placeholder_video_id%22%3A%227636572800261606676%22%7D&amp;ec_shared_reflux_scene=shop_tab_feed&amp;share_item_id=7636572800261606676&amp;source=h5_t")</f>
        <v>https://www.tiktok.com/@racun_spalspil12/video/7636572800261606676?_r=1&amp;u_code=cllj6j6aidf05b&amp;region=&amp;mid=7611414933255670546&amp;preview_pb=0&amp;sharer_language=&amp;_d=0&amp;ec_shared_reflux_dynamic_params=%7B%22placeholder_material_id%22%3A%227636572800261606676%22%2C%22placeholder_origin_cover%22%3A%22https%253A%252F%252Fp16-common-sign.tiktokcdn.com%252Ftos-alisg-p-0037%252Fo4HIEIeGANLCswbLeFTjDEA1QA1nR9QsR5f3r4~tplv-tiktokx-origin.jpeg%253Fdr%253D14572%2526refresh_token%253D7e6c9453%2526x-expires%253D1810116000%2526x-signature%253Dz2FYFqHTxxh2FksdXzj5K7k4poE%25253D%2526t%253D4d5b0474%2526ps%253D13740610%2526shp%253Dd05b14bd%2526shcp%253D34ff8df6%2526idc%253Dmy2%2526s%253DTIKTOK_AFFILIATE_VIRAL_VIDEO%22%2C%22placeholder_product_id%22%3A%221729729730555512511%22%2C%22placeholder_video_id%22%3A%227636572800261606676%22%7D&amp;ec_shared_reflux_scene=shop_tab_feed&amp;share_item_id=7636572800261606676&amp;source=h5_t</v>
      </c>
      <c r="O588" s="464"/>
      <c r="P588" s="279" t="str">
        <f>IFERROR(__xludf.DUMMYFUNCTION("""COMPUTED_VALUE"""),"https://www.tiktok.com/@racun_spalspil12/video/7636572800261606676?_d=0&amp;_r=1&amp;ec_shared_reflux_dynamic_params=%7B%22placeholder_material_id%22%3A%227636572800261606676%22%2C%22placeholder_origin_cover%22%3A%22https%253A%252F%252Fp16-common-sign.tiktokcdn.c"&amp;"om%252Ftos-alisg-p-0037%252Fo4HIEIeGANLCswbLeFTjDEA1QA1nR9QsR5f3r4~tplv-tiktokx-origin.jpeg%253Fdr%253D14572%2526refresh_token%253D7e6c9453%2526x-expires%253D1810116000%2526x-signature%253Dz2FYFqHTxxh2FksdXzj5K7k4poE%25253D%2526t%253D4d5b0474%2526ps%253D1"&amp;"3740610%2526shp%253Dd05b14bd%2526shcp%253D34ff8df6%2526idc%253Dmy2%2526s%253DTIKTOK_AFFILIATE_VIRAL_VIDEO%22%2C%22placeholder_product_id%22%3A%221729729730555512511%22%2C%22placeholder_video_id%22%3A%227636572800261606676%22%7D&amp;ec_shared_reflux_scene=shop"&amp;"_tab_feed&amp;mid=7611414933255670546&amp;preview_pb=0&amp;region=&amp;share_item_id=7636572800261606676&amp;sharer_language=&amp;source=h5_t&amp;u_code=cllj6j6aidf05b")</f>
        <v>https://www.tiktok.com/@racun_spalspil12/video/7636572800261606676?_d=0&amp;_r=1&amp;ec_shared_reflux_dynamic_params=%7B%22placeholder_material_id%22%3A%227636572800261606676%22%2C%22placeholder_origin_cover%22%3A%22https%253A%252F%252Fp16-common-sign.tiktokcdn.com%252Ftos-alisg-p-0037%252Fo4HIEIeGANLCswbLeFTjDEA1QA1nR9QsR5f3r4~tplv-tiktokx-origin.jpeg%253Fdr%253D14572%2526refresh_token%253D7e6c9453%2526x-expires%253D1810116000%2526x-signature%253Dz2FYFqHTxxh2FksdXzj5K7k4poE%25253D%2526t%253D4d5b0474%2526ps%253D13740610%2526shp%253Dd05b14bd%2526shcp%253D34ff8df6%2526idc%253Dmy2%2526s%253DTIKTOK_AFFILIATE_VIRAL_VIDEO%22%2C%22placeholder_product_id%22%3A%221729729730555512511%22%2C%22placeholder_video_id%22%3A%227636572800261606676%22%7D&amp;ec_shared_reflux_scene=shop_tab_feed&amp;mid=7611414933255670546&amp;preview_pb=0&amp;region=&amp;share_item_id=7636572800261606676&amp;sharer_language=&amp;source=h5_t&amp;u_code=cllj6j6aidf05b</v>
      </c>
    </row>
    <row r="589">
      <c r="A589" s="255" t="str">
        <f>IFERROR(__xludf.DUMMYFUNCTION("""COMPUTED_VALUE"""),"MICRO")</f>
        <v>MICRO</v>
      </c>
      <c r="B589" s="361" t="str">
        <f>IFERROR(__xludf.DUMMYFUNCTION("""COMPUTED_VALUE"""),"daniharni
")</f>
        <v>daniharni
</v>
      </c>
      <c r="C589" s="257" t="str">
        <f>IFERROR(__xludf.DUMMYFUNCTION("""COMPUTED_VALUE"""),"https://www.tiktok.com/@daniharni
")</f>
        <v>https://www.tiktok.com/@daniharni
</v>
      </c>
      <c r="D589" s="270">
        <f>IFERROR(__xludf.DUMMYFUNCTION("""COMPUTED_VALUE"""),8.81024707159E11)</f>
        <v>881024707159</v>
      </c>
      <c r="E589" s="457">
        <f>IFERROR(__xludf.DUMMYFUNCTION("""COMPUTED_VALUE"""),0.0)</f>
        <v>0</v>
      </c>
      <c r="F589" s="270">
        <f>IFERROR(__xludf.DUMMYFUNCTION("""COMPUTED_VALUE"""),4.0)</f>
        <v>4</v>
      </c>
      <c r="G589" s="17" t="str">
        <f>IFERROR(__xludf.DUMMYFUNCTION("""COMPUTED_VALUE"""),"Sabun batang 1 Box ( 2 PCS )")</f>
        <v>Sabun batang 1 Box ( 2 PCS )</v>
      </c>
      <c r="H589" s="463" t="str">
        <f>IFERROR(__xludf.DUMMYFUNCTION("""COMPUTED_VALUE"""),"Sampai")</f>
        <v>Sampai</v>
      </c>
      <c r="I589" s="464" t="str">
        <f>IFERROR(__xludf.DUMMYFUNCTION("""COMPUTED_VALUE"""),"KIMME")</f>
        <v>KIMME</v>
      </c>
      <c r="J589" s="279" t="str">
        <f>IFERROR(__xludf.DUMMYFUNCTION("""COMPUTED_VALUE"""),"https://www.tiktok.com/@daniharni/video/7620587189990133013?is_from_webapp=1&amp;sender_device=pc")</f>
        <v>https://www.tiktok.com/@daniharni/video/7620587189990133013?is_from_webapp=1&amp;sender_device=pc</v>
      </c>
      <c r="K589" s="464" t="str">
        <f>IFERROR(__xludf.DUMMYFUNCTION("""COMPUTED_VALUE"""),"KIMME")</f>
        <v>KIMME</v>
      </c>
      <c r="L589" s="279" t="str">
        <f>IFERROR(__xludf.DUMMYFUNCTION("""COMPUTED_VALUE"""),"https://www.tiktok.com/@daniharni/video/7621722500774317332?is_from_webapp=1&amp;sender_device=pc")</f>
        <v>https://www.tiktok.com/@daniharni/video/7621722500774317332?is_from_webapp=1&amp;sender_device=pc</v>
      </c>
      <c r="M589" s="464" t="str">
        <f>IFERROR(__xludf.DUMMYFUNCTION("""COMPUTED_VALUE"""),"KIMME")</f>
        <v>KIMME</v>
      </c>
      <c r="N589" s="17" t="str">
        <f>IFERROR(__xludf.DUMMYFUNCTION("""COMPUTED_VALUE"""),"kakhttps://vt.tiktok.com/ZS9Xbu3oJ/")</f>
        <v>kakhttps://vt.tiktok.com/ZS9Xbu3oJ/</v>
      </c>
      <c r="O589" s="464" t="str">
        <f>IFERROR(__xludf.DUMMYFUNCTION("""COMPUTED_VALUE"""),"KIMME")</f>
        <v>KIMME</v>
      </c>
      <c r="P589" s="279" t="str">
        <f>IFERROR(__xludf.DUMMYFUNCTION("""COMPUTED_VALUE"""),"https://www.tiktok.com/@nolisnurjanah21/video/7636463292071922964?_r=1&amp;u_code=e85madfeelij2j&amp;region=&amp;mid=7611130127291779856&amp;preview_pb=0&amp;sharer_language=&amp;_d=0&amp;ec_shared_reflux_dynamic_params=%7B%22placeholder_material_id%22%3A%227636463292071922964%22%2C"&amp;"%22placeholder_origin_cover%22%3A%22https%253A%252F%252Fp16-common-sign.tiktokcdn.com%252Ftos-alisg-p-0037%252FoEQ6QFDVjKqeAbDTxFXlfL8hUrlIBEfA4qivCi~tplv-tiktokx-origin.jpeg%253Fdr%253D14572%2526refresh_token%253D4104f3bf%2526x-expires%253D1810119600%252"&amp;"6x-signature%253D2Y7qNm4HjjY5vDtpiWBtoyJIbdU%25253D%2526t%253D4d5b0474%2526ps%253D13740610%2526shp%253Dd05b14bd%2526shcp%253D34ff8df6%2526idc%253Dmy2%2526s%253DTIKTOK_AFFILIATE_VIRAL_VIDEO%22%2C%22placeholder_product_id%22%3A%221729729730555512511%22%2C%2"&amp;"2placeholder_video_id%22%3A%227636463292071922964%22%7D&amp;ec_shared_reflux_scene=shop_tab_feed&amp;share_item_id=7636463292071922964&amp;source=h5_t")</f>
        <v>https://www.tiktok.com/@nolisnurjanah21/video/7636463292071922964?_r=1&amp;u_code=e85madfeelij2j&amp;region=&amp;mid=7611130127291779856&amp;preview_pb=0&amp;sharer_language=&amp;_d=0&amp;ec_shared_reflux_dynamic_params=%7B%22placeholder_material_id%22%3A%227636463292071922964%22%2C%22placeholder_origin_cover%22%3A%22https%253A%252F%252Fp16-common-sign.tiktokcdn.com%252Ftos-alisg-p-0037%252FoEQ6QFDVjKqeAbDTxFXlfL8hUrlIBEfA4qivCi~tplv-tiktokx-origin.jpeg%253Fdr%253D14572%2526refresh_token%253D4104f3bf%2526x-expires%253D1810119600%2526x-signature%253D2Y7qNm4HjjY5vDtpiWBtoyJIbdU%25253D%2526t%253D4d5b0474%2526ps%253D13740610%2526shp%253Dd05b14bd%2526shcp%253D34ff8df6%2526idc%253Dmy2%2526s%253DTIKTOK_AFFILIATE_VIRAL_VIDEO%22%2C%22placeholder_product_id%22%3A%221729729730555512511%22%2C%22placeholder_video_id%22%3A%227636463292071922964%22%7D&amp;ec_shared_reflux_scene=shop_tab_feed&amp;share_item_id=7636463292071922964&amp;source=h5_t</v>
      </c>
    </row>
    <row r="590">
      <c r="A590" s="255" t="str">
        <f>IFERROR(__xludf.DUMMYFUNCTION("""COMPUTED_VALUE"""),"MICRO")</f>
        <v>MICRO</v>
      </c>
      <c r="B590" s="361" t="str">
        <f>IFERROR(__xludf.DUMMYFUNCTION("""COMPUTED_VALUE"""),"eviyuli__")</f>
        <v>eviyuli__</v>
      </c>
      <c r="C590" s="257" t="str">
        <f>IFERROR(__xludf.DUMMYFUNCTION("""COMPUTED_VALUE"""),"https://www.tiktok.com/@eviyuli__")</f>
        <v>https://www.tiktok.com/@eviyuli__</v>
      </c>
      <c r="D590" s="270">
        <f>IFERROR(__xludf.DUMMYFUNCTION("""COMPUTED_VALUE"""),8.5718153664E10)</f>
        <v>85718153664</v>
      </c>
      <c r="E590" s="457">
        <f>IFERROR(__xludf.DUMMYFUNCTION("""COMPUTED_VALUE"""),0.0)</f>
        <v>0</v>
      </c>
      <c r="F590" s="270">
        <f>IFERROR(__xludf.DUMMYFUNCTION("""COMPUTED_VALUE"""),4.0)</f>
        <v>4</v>
      </c>
      <c r="G590" s="17" t="str">
        <f>IFERROR(__xludf.DUMMYFUNCTION("""COMPUTED_VALUE"""),"Sabun batang 1 Box ( 2 PCS )")</f>
        <v>Sabun batang 1 Box ( 2 PCS )</v>
      </c>
      <c r="H590" s="463" t="str">
        <f>IFERROR(__xludf.DUMMYFUNCTION("""COMPUTED_VALUE"""),"Sampai")</f>
        <v>Sampai</v>
      </c>
      <c r="I590" s="464" t="str">
        <f>IFERROR(__xludf.DUMMYFUNCTION("""COMPUTED_VALUE"""),"KIMME")</f>
        <v>KIMME</v>
      </c>
      <c r="J590" s="279" t="str">
        <f>IFERROR(__xludf.DUMMYFUNCTION("""COMPUTED_VALUE"""),"https://www.tiktok.com/@outfitce_/video/7631853327004814612?_r=1&amp;u_code=e0898kg4gbb4c7&amp;region=&amp;mid=7367338564638837521&amp;preview_pb=0&amp;sharer_language=&amp;_d=0&amp;ec_shared_reflux_dynamic_params=%7B%22placeholder_material_id%22%3A%227631853327004814612%22%2C%22pla"&amp;"ceholder_origin_cover%22%3A%22https%253A%252F%252Fp16-sign-sg.tiktokcdn.com%252Ftos-alisg-p-0037%252FoECy0IIwqrAisiny7WI0xevVYKBqAAHIZBj0Lp~tplv-tiktokx-origin.jpeg%253Fdr%253D14572%2526refresh_token%253D25a9b7cf%2526x-expires%253D1808474400%2526x-signatu"&amp;"re%253D99f2lJb73lU8ZlxcpFFlDAKF49s%25253D%2526t%253D4d5b0474%2526ps%253D13740610%2526shp%253Dd05b14bd%2526shcp%253D34ff8df6%2526idc%253Dmy3%2526s%253DTIKTOK_AFFILIATE_VIRAL_VIDEO%22%2C%22placeholder_product_id%22%3A%221729427766722726591%22%2C%22placehold"&amp;"er_video_id%22%3A%227631853327004814612%22%7D&amp;ec_shared_reflux_scene=shop_tab_feed&amp;share_item_id=7631853327004814612&amp;source=h5_t")</f>
        <v>https://www.tiktok.com/@outfitce_/video/7631853327004814612?_r=1&amp;u_code=e0898kg4gbb4c7&amp;region=&amp;mid=7367338564638837521&amp;preview_pb=0&amp;sharer_language=&amp;_d=0&amp;ec_shared_reflux_dynamic_params=%7B%22placeholder_material_id%22%3A%227631853327004814612%22%2C%22placeholder_origin_cover%22%3A%22https%253A%252F%252Fp16-sign-sg.tiktokcdn.com%252Ftos-alisg-p-0037%252FoECy0IIwqrAisiny7WI0xevVYKBqAAHIZBj0Lp~tplv-tiktokx-origin.jpeg%253Fdr%253D14572%2526refresh_token%253D25a9b7cf%2526x-expires%253D1808474400%2526x-signature%253D99f2lJb73lU8ZlxcpFFlDAKF49s%25253D%2526t%253D4d5b0474%2526ps%253D13740610%2526shp%253Dd05b14bd%2526shcp%253D34ff8df6%2526idc%253Dmy3%2526s%253DTIKTOK_AFFILIATE_VIRAL_VIDEO%22%2C%22placeholder_product_id%22%3A%221729427766722726591%22%2C%22placeholder_video_id%22%3A%227631853327004814612%22%7D&amp;ec_shared_reflux_scene=shop_tab_feed&amp;share_item_id=7631853327004814612&amp;source=h5_t</v>
      </c>
      <c r="K590" s="464" t="str">
        <f>IFERROR(__xludf.DUMMYFUNCTION("""COMPUTED_VALUE"""),"KIMME")</f>
        <v>KIMME</v>
      </c>
      <c r="L590" s="279" t="str">
        <f>IFERROR(__xludf.DUMMYFUNCTION("""COMPUTED_VALUE"""),"https://www.tiktok.com/@outfitce_/video/7631866658575060245?_r=1&amp;u_code=e0898kg4gbb4c7&amp;region=&amp;mid=7186103591168658203&amp;preview_pb=0&amp;sharer_language=&amp;_d=0&amp;ec_shared_reflux_dynamic_params=%7B%22placeholder_material_id%22%3A%227631866658575060245%22%2C%22pla"&amp;"ceholder_origin_cover%22%3A%22https%253A%252F%252Fp16-common-sign.tiktokcdn.com%252Ftos-alisg-p-0037%252FowldzB60IAceQwBE5B1iNEY4WI3RgbiyppBE3f~tplv-tiktokx-origin.jpeg%253Fdr%253D14572%2526refresh_token%253D09f70c03%2526x-expires%253D1808474400%2526x-sig"&amp;"nature%253DIJgtQgi%25252Fxkojt8CDLqxvWz1lyRU%25253D%2526t%253D4d5b0474%2526ps%253D13740610%2526shp%253Dd05b14bd%2526shcp%253D34ff8df6%2526idc%253Dmy3%2526s%253DTIKTOK_AFFILIATE_VIRAL_VIDEO%22%2C%22placeholder_product_id%22%3A%221729427766722726591%22%2C%2"&amp;"2placeholder_video_id%22%3A%227631866658575060245%22%7D&amp;ec_shared_reflux_scene=shop_tab_feed&amp;share_item_id=7631866658575060245&amp;source=h5_t")</f>
        <v>https://www.tiktok.com/@outfitce_/video/7631866658575060245?_r=1&amp;u_code=e0898kg4gbb4c7&amp;region=&amp;mid=7186103591168658203&amp;preview_pb=0&amp;sharer_language=&amp;_d=0&amp;ec_shared_reflux_dynamic_params=%7B%22placeholder_material_id%22%3A%227631866658575060245%22%2C%22placeholder_origin_cover%22%3A%22https%253A%252F%252Fp16-common-sign.tiktokcdn.com%252Ftos-alisg-p-0037%252FowldzB60IAceQwBE5B1iNEY4WI3RgbiyppBE3f~tplv-tiktokx-origin.jpeg%253Fdr%253D14572%2526refresh_token%253D09f70c03%2526x-expires%253D1808474400%2526x-signature%253DIJgtQgi%25252Fxkojt8CDLqxvWz1lyRU%25253D%2526t%253D4d5b0474%2526ps%253D13740610%2526shp%253Dd05b14bd%2526shcp%253D34ff8df6%2526idc%253Dmy3%2526s%253DTIKTOK_AFFILIATE_VIRAL_VIDEO%22%2C%22placeholder_product_id%22%3A%221729427766722726591%22%2C%22placeholder_video_id%22%3A%227631866658575060245%22%7D&amp;ec_shared_reflux_scene=shop_tab_feed&amp;share_item_id=7631866658575060245&amp;source=h5_t</v>
      </c>
      <c r="M590" s="464" t="str">
        <f>IFERROR(__xludf.DUMMYFUNCTION("""COMPUTED_VALUE"""),"KIMME")</f>
        <v>KIMME</v>
      </c>
      <c r="N590" s="279" t="str">
        <f>IFERROR(__xludf.DUMMYFUNCTION("""COMPUTED_VALUE"""),"https://www.tiktok.com/@outfitce_/video/7631884537383128341?_r=1&amp;u_code=e0898kg4gbb4c7&amp;region=&amp;mid=7234217459228985345&amp;preview_pb=0&amp;sharer_language=&amp;_d=0&amp;ec_shared_reflux_dynamic_params=%7B%22placeholder_material_id%22%3A%227631884537383128341%22%2C%22pla"&amp;"ceholder_origin_cover%22%3A%22https%253A%252F%252Fp16-common-sign.tiktokcdn.com%252Ftos-alisg-p-0037%252FoopCyvPppwXIBcKICP5iAfAq5A9iI4gC0dMRqP~tplv-tiktokx-origin.jpeg%253Fdr%253D14572%2526refresh_token%253Dd7c00fb4%2526x-expires%253D1808474400%2526x-sig"&amp;"nature%253DTdLNdkG5U6GxzEHfYAj2XmYl764%25253D%2526t%253D4d5b0474%2526ps%253D13740610%2526shp%253Dd05b14bd%2526shcp%253D34ff8df6%2526idc%253Dmy3%2526s%253DTIKTOK_AFFILIATE_VIRAL_VIDEO%22%2C%22placeholder_product_id%22%3A%221729427766722726591%22%2C%22place"&amp;"holder_video_id%22%3A%227631884537383128341%22%7D&amp;ec_shared_reflux_scene=shop_tab_feed&amp;share_item_id=7631884537383128341&amp;source=h5_t")</f>
        <v>https://www.tiktok.com/@outfitce_/video/7631884537383128341?_r=1&amp;u_code=e0898kg4gbb4c7&amp;region=&amp;mid=7234217459228985345&amp;preview_pb=0&amp;sharer_language=&amp;_d=0&amp;ec_shared_reflux_dynamic_params=%7B%22placeholder_material_id%22%3A%227631884537383128341%22%2C%22placeholder_origin_cover%22%3A%22https%253A%252F%252Fp16-common-sign.tiktokcdn.com%252Ftos-alisg-p-0037%252FoopCyvPppwXIBcKICP5iAfAq5A9iI4gC0dMRqP~tplv-tiktokx-origin.jpeg%253Fdr%253D14572%2526refresh_token%253Dd7c00fb4%2526x-expires%253D1808474400%2526x-signature%253DTdLNdkG5U6GxzEHfYAj2XmYl764%25253D%2526t%253D4d5b0474%2526ps%253D13740610%2526shp%253Dd05b14bd%2526shcp%253D34ff8df6%2526idc%253Dmy3%2526s%253DTIKTOK_AFFILIATE_VIRAL_VIDEO%22%2C%22placeholder_product_id%22%3A%221729427766722726591%22%2C%22placeholder_video_id%22%3A%227631884537383128341%22%7D&amp;ec_shared_reflux_scene=shop_tab_feed&amp;share_item_id=7631884537383128341&amp;source=h5_t</v>
      </c>
      <c r="O590" s="464"/>
      <c r="P590" s="279" t="str">
        <f>IFERROR(__xludf.DUMMYFUNCTION("""COMPUTED_VALUE"""),"https://www.tiktok.com/@outfitce_/video/7631894940804533524?_r=1&amp;u_code=e0898kg4gbb4c7&amp;region=&amp;mid=7606071400499628049&amp;preview_pb=0&amp;sharer_language=&amp;_d=0&amp;ec_shared_reflux_dynamic_params=%7B%22placeholder_material_id%22%3A%227631894940804533524%22%2C%22pla"&amp;"ceholder_origin_cover%22%3A%22https%253A%252F%252Fp16-sign-sg.tiktokcdn.com%252Ftos-alisg-p-0037%252FoYMefKQGnF4NPg7LIeL7HAgcRG1TepqAYGgBHZ~tplv-tiktokx-origin.jpeg%253Fdr%253D14572%2526refresh_token%253De011310a%2526x-expires%253D1808474400%2526x-signatu"&amp;"re%253DVKdQzRYCB9WaYYhZuZ7R%25252B0lY2EI%25253D%2526t%253D4d5b0474%2526ps%253D13740610%2526shp%253Dd05b14bd%2526shcp%253D34ff8df6%2526idc%253Dmy3%2526s%253DTIKTOK_AFFILIATE_VIRAL_VIDEO%22%2C%22placeholder_product_id%22%3A%221729427766722726591%22%2C%22pla"&amp;"ceholder_video_id%22%3A%227631894940804533524%22%7D&amp;ec_shared_reflux_scene=shop_tab_feed&amp;share_item_id=7631894940804533524&amp;source=h5_t")</f>
        <v>https://www.tiktok.com/@outfitce_/video/7631894940804533524?_r=1&amp;u_code=e0898kg4gbb4c7&amp;region=&amp;mid=7606071400499628049&amp;preview_pb=0&amp;sharer_language=&amp;_d=0&amp;ec_shared_reflux_dynamic_params=%7B%22placeholder_material_id%22%3A%227631894940804533524%22%2C%22placeholder_origin_cover%22%3A%22https%253A%252F%252Fp16-sign-sg.tiktokcdn.com%252Ftos-alisg-p-0037%252FoYMefKQGnF4NPg7LIeL7HAgcRG1TepqAYGgBHZ~tplv-tiktokx-origin.jpeg%253Fdr%253D14572%2526refresh_token%253De011310a%2526x-expires%253D1808474400%2526x-signature%253DVKdQzRYCB9WaYYhZuZ7R%25252B0lY2EI%25253D%2526t%253D4d5b0474%2526ps%253D13740610%2526shp%253Dd05b14bd%2526shcp%253D34ff8df6%2526idc%253Dmy3%2526s%253DTIKTOK_AFFILIATE_VIRAL_VIDEO%22%2C%22placeholder_product_id%22%3A%221729427766722726591%22%2C%22placeholder_video_id%22%3A%227631894940804533524%22%7D&amp;ec_shared_reflux_scene=shop_tab_feed&amp;share_item_id=7631894940804533524&amp;source=h5_t</v>
      </c>
    </row>
    <row r="591">
      <c r="A591" s="255" t="str">
        <f>IFERROR(__xludf.DUMMYFUNCTION("""COMPUTED_VALUE"""),"MACRO")</f>
        <v>MACRO</v>
      </c>
      <c r="B591" s="361" t="str">
        <f>IFERROR(__xludf.DUMMYFUNCTION("""COMPUTED_VALUE"""),"auliaditap")</f>
        <v>auliaditap</v>
      </c>
      <c r="C591" s="257" t="str">
        <f>IFERROR(__xludf.DUMMYFUNCTION("""COMPUTED_VALUE"""),"https://www.tiktok.com/@auliaditap")</f>
        <v>https://www.tiktok.com/@auliaditap</v>
      </c>
      <c r="D591" s="270">
        <f>IFERROR(__xludf.DUMMYFUNCTION("""COMPUTED_VALUE"""),8.5770162626E10)</f>
        <v>85770162626</v>
      </c>
      <c r="E591" s="457">
        <f>IFERROR(__xludf.DUMMYFUNCTION("""COMPUTED_VALUE"""),0.0)</f>
        <v>0</v>
      </c>
      <c r="F591" s="270">
        <f>IFERROR(__xludf.DUMMYFUNCTION("""COMPUTED_VALUE"""),1.0)</f>
        <v>1</v>
      </c>
      <c r="G591" s="17" t="str">
        <f>IFERROR(__xludf.DUMMYFUNCTION("""COMPUTED_VALUE"""),"Sabun batang 1 Box ( 2 PCS )")</f>
        <v>Sabun batang 1 Box ( 2 PCS )</v>
      </c>
      <c r="H591" s="463" t="str">
        <f>IFERROR(__xludf.DUMMYFUNCTION("""COMPUTED_VALUE"""),"Sampai")</f>
        <v>Sampai</v>
      </c>
      <c r="I591" s="464" t="str">
        <f>IFERROR(__xludf.DUMMYFUNCTION("""COMPUTED_VALUE"""),"KIMME")</f>
        <v>KIMME</v>
      </c>
      <c r="J591" s="17" t="str">
        <f>IFERROR(__xludf.DUMMYFUNCTION("""COMPUTED_VALUE"""),"⁠https://vt.tiktok.com/ZS9FDTkUy/")</f>
        <v>⁠https://vt.tiktok.com/ZS9FDTkUy/</v>
      </c>
      <c r="K591" s="464" t="str">
        <f>IFERROR(__xludf.DUMMYFUNCTION("""COMPUTED_VALUE"""),"KIMME")</f>
        <v>KIMME</v>
      </c>
      <c r="L591" s="279" t="str">
        <f>IFERROR(__xludf.DUMMYFUNCTION("""COMPUTED_VALUE"""),"https://vt.tiktok.com/ZSxSQ19rq/")</f>
        <v>https://vt.tiktok.com/ZSxSQ19rq/</v>
      </c>
      <c r="M591" s="464" t="str">
        <f>IFERROR(__xludf.DUMMYFUNCTION("""COMPUTED_VALUE"""),"KIMME")</f>
        <v>KIMME</v>
      </c>
      <c r="N591" s="17"/>
      <c r="O591" s="464"/>
      <c r="P591" s="17"/>
    </row>
    <row r="592">
      <c r="A592" s="255" t="str">
        <f>IFERROR(__xludf.DUMMYFUNCTION("""COMPUTED_VALUE"""),"MICRO")</f>
        <v>MICRO</v>
      </c>
      <c r="B592" s="361" t="str">
        <f>IFERROR(__xludf.DUMMYFUNCTION("""COMPUTED_VALUE"""),"barbieenuria")</f>
        <v>barbieenuria</v>
      </c>
      <c r="C592" s="257" t="str">
        <f>IFERROR(__xludf.DUMMYFUNCTION("""COMPUTED_VALUE"""),"https://www.tiktok.com/@barbieenuria")</f>
        <v>https://www.tiktok.com/@barbieenuria</v>
      </c>
      <c r="D592" s="270">
        <f>IFERROR(__xludf.DUMMYFUNCTION("""COMPUTED_VALUE"""),8.520666606E10)</f>
        <v>85206666060</v>
      </c>
      <c r="E592" s="457">
        <f>IFERROR(__xludf.DUMMYFUNCTION("""COMPUTED_VALUE"""),0.0)</f>
        <v>0</v>
      </c>
      <c r="F592" s="270">
        <f>IFERROR(__xludf.DUMMYFUNCTION("""COMPUTED_VALUE"""),4.0)</f>
        <v>4</v>
      </c>
      <c r="G592" s="17" t="str">
        <f>IFERROR(__xludf.DUMMYFUNCTION("""COMPUTED_VALUE"""),"Sabun batang 1 Box ( 2 PCS )")</f>
        <v>Sabun batang 1 Box ( 2 PCS )</v>
      </c>
      <c r="H592" s="463" t="str">
        <f>IFERROR(__xludf.DUMMYFUNCTION("""COMPUTED_VALUE"""),"Sampai")</f>
        <v>Sampai</v>
      </c>
      <c r="I592" s="464" t="str">
        <f>IFERROR(__xludf.DUMMYFUNCTION("""COMPUTED_VALUE"""),"KIMME")</f>
        <v>KIMME</v>
      </c>
      <c r="J592" s="279" t="str">
        <f>IFERROR(__xludf.DUMMYFUNCTION("""COMPUTED_VALUE"""),"https://www.tiktok.com/@productskincare/video/7631737261540838663?_r=1&amp;u_code=dkcmglg7ehgljg&amp;region=&amp;mid=7562155499223796481&amp;preview_pb=0&amp;sharer_language=&amp;_d=0&amp;ec_shared_reflux_dynamic_params=%7B%22placeholder_material_id%22%3A%227631737261540838663%22%2C"&amp;"%22placeholder_origin_cover%22%3A%22https%253A%252F%252Fp16-sign-sg.tiktokcdn.com%252Ftos-alisg-p-0037%252Fooo40sPjkIfJIYfDITsADEGALPeBACK0jIApPh~tplv-tiktokx-origin.jpeg%253Fdr%253D14572%2526refresh_token%253D223be616%2526x-expires%253D1808474400%2526x-s"&amp;"ignature%253DyGyjRQZqZt%25252F5c%25252BRnjiBxgUuYW9Y%25253D%2526t%253D4d5b0474%2526ps%253D13740610%2526shp%253Dd05b14bd%2526shcp%253D34ff8df6%2526idc%253Dmy3%2526s%253DTIKTOK_AFFILIATE_VIRAL_VIDEO%22%2C%22placeholder_product_id%22%3A%221729427766722726591"&amp;"%22%2C%22placeholder_video_id%22%3A%227631737261540838663%22%7D&amp;ec_shared_reflux_scene=shop_tab_feed&amp;share_item_id=7631737261540838663&amp;source=h5_t")</f>
        <v>https://www.tiktok.com/@productskincare/video/7631737261540838663?_r=1&amp;u_code=dkcmglg7ehgljg&amp;region=&amp;mid=7562155499223796481&amp;preview_pb=0&amp;sharer_language=&amp;_d=0&amp;ec_shared_reflux_dynamic_params=%7B%22placeholder_material_id%22%3A%227631737261540838663%22%2C%22placeholder_origin_cover%22%3A%22https%253A%252F%252Fp16-sign-sg.tiktokcdn.com%252Ftos-alisg-p-0037%252Fooo40sPjkIfJIYfDITsADEGALPeBACK0jIApPh~tplv-tiktokx-origin.jpeg%253Fdr%253D14572%2526refresh_token%253D223be616%2526x-expires%253D1808474400%2526x-signature%253DyGyjRQZqZt%25252F5c%25252BRnjiBxgUuYW9Y%25253D%2526t%253D4d5b0474%2526ps%253D13740610%2526shp%253Dd05b14bd%2526shcp%253D34ff8df6%2526idc%253Dmy3%2526s%253DTIKTOK_AFFILIATE_VIRAL_VIDEO%22%2C%22placeholder_product_id%22%3A%221729427766722726591%22%2C%22placeholder_video_id%22%3A%227631737261540838663%22%7D&amp;ec_shared_reflux_scene=shop_tab_feed&amp;share_item_id=7631737261540838663&amp;source=h5_t</v>
      </c>
      <c r="K592" s="464" t="str">
        <f>IFERROR(__xludf.DUMMYFUNCTION("""COMPUTED_VALUE"""),"KIMME")</f>
        <v>KIMME</v>
      </c>
      <c r="L592" s="279" t="str">
        <f>IFERROR(__xludf.DUMMYFUNCTION("""COMPUTED_VALUE"""),"https://vt.tiktok.com/ZS9N18tYq/")</f>
        <v>https://vt.tiktok.com/ZS9N18tYq/</v>
      </c>
      <c r="M592" s="464" t="str">
        <f>IFERROR(__xludf.DUMMYFUNCTION("""COMPUTED_VALUE"""),"KIMME")</f>
        <v>KIMME</v>
      </c>
      <c r="N592" s="17" t="str">
        <f>IFERROR(__xludf.DUMMYFUNCTION("""COMPUTED_VALUE"""),"⁠https://vt.tiktok.com/ZS9LoTc1Y/")</f>
        <v>⁠https://vt.tiktok.com/ZS9LoTc1Y/</v>
      </c>
      <c r="O592" s="464" t="str">
        <f>IFERROR(__xludf.DUMMYFUNCTION("""COMPUTED_VALUE"""),"KIMME")</f>
        <v>KIMME</v>
      </c>
      <c r="P592" s="279" t="str">
        <f>IFERROR(__xludf.DUMMYFUNCTION("""COMPUTED_VALUE"""),"https://vt.tiktok.com/ZS9LoK5Xn/")</f>
        <v>https://vt.tiktok.com/ZS9LoK5Xn/</v>
      </c>
    </row>
    <row r="593">
      <c r="A593" s="255" t="str">
        <f>IFERROR(__xludf.DUMMYFUNCTION("""COMPUTED_VALUE"""),"MICRO")</f>
        <v>MICRO</v>
      </c>
      <c r="B593" s="361" t="str">
        <f>IFERROR(__xludf.DUMMYFUNCTION("""COMPUTED_VALUE"""),"by.yulia_")</f>
        <v>by.yulia_</v>
      </c>
      <c r="C593" s="257" t="str">
        <f>IFERROR(__xludf.DUMMYFUNCTION("""COMPUTED_VALUE"""),"https://www.tiktok.com/@by.yulia_")</f>
        <v>https://www.tiktok.com/@by.yulia_</v>
      </c>
      <c r="D593" s="270">
        <f>IFERROR(__xludf.DUMMYFUNCTION("""COMPUTED_VALUE"""),8.1383484912E10)</f>
        <v>81383484912</v>
      </c>
      <c r="E593" s="457">
        <f>IFERROR(__xludf.DUMMYFUNCTION("""COMPUTED_VALUE"""),0.0)</f>
        <v>0</v>
      </c>
      <c r="F593" s="270">
        <f>IFERROR(__xludf.DUMMYFUNCTION("""COMPUTED_VALUE"""),4.0)</f>
        <v>4</v>
      </c>
      <c r="G593" s="17" t="str">
        <f>IFERROR(__xludf.DUMMYFUNCTION("""COMPUTED_VALUE"""),"Sabun batang 1 Box ( 2 PCS )")</f>
        <v>Sabun batang 1 Box ( 2 PCS )</v>
      </c>
      <c r="H593" s="463" t="str">
        <f>IFERROR(__xludf.DUMMYFUNCTION("""COMPUTED_VALUE"""),"Sampai")</f>
        <v>Sampai</v>
      </c>
      <c r="I593" s="464" t="str">
        <f>IFERROR(__xludf.DUMMYFUNCTION("""COMPUTED_VALUE"""),"KIMME")</f>
        <v>KIMME</v>
      </c>
      <c r="J593" s="17" t="str">
        <f>IFERROR(__xludf.DUMMYFUNCTION("""COMPUTED_VALUE"""),"⁠https://vt.tiktok.com/ZS9FD7VQ7/")</f>
        <v>⁠https://vt.tiktok.com/ZS9FD7VQ7/</v>
      </c>
      <c r="K593" s="464" t="str">
        <f>IFERROR(__xludf.DUMMYFUNCTION("""COMPUTED_VALUE"""),"KIMME")</f>
        <v>KIMME</v>
      </c>
      <c r="L593" s="17" t="str">
        <f>IFERROR(__xludf.DUMMYFUNCTION("""COMPUTED_VALUE"""),"⁠https://vt.tiktok.com/ZS9FD9vUd/")</f>
        <v>⁠https://vt.tiktok.com/ZS9FD9vUd/</v>
      </c>
      <c r="M593" s="464" t="str">
        <f>IFERROR(__xludf.DUMMYFUNCTION("""COMPUTED_VALUE"""),"KIMME")</f>
        <v>KIMME</v>
      </c>
      <c r="N593" s="17" t="str">
        <f>IFERROR(__xludf.DUMMYFUNCTION("""COMPUTED_VALUE"""),"⁠https://vt.tiktok.com/ZS9NG7nqs/")</f>
        <v>⁠https://vt.tiktok.com/ZS9NG7nqs/</v>
      </c>
      <c r="O593" s="464" t="str">
        <f>IFERROR(__xludf.DUMMYFUNCTION("""COMPUTED_VALUE"""),"KIMME")</f>
        <v>KIMME</v>
      </c>
      <c r="P593" s="17" t="str">
        <f>IFERROR(__xludf.DUMMYFUNCTION("""COMPUTED_VALUE"""),"⁠https://vt.tiktok.com/ZS9NGGc45/")</f>
        <v>⁠https://vt.tiktok.com/ZS9NGGc45/</v>
      </c>
    </row>
    <row r="594">
      <c r="A594" s="255" t="str">
        <f>IFERROR(__xludf.DUMMYFUNCTION("""COMPUTED_VALUE"""),"MICRO")</f>
        <v>MICRO</v>
      </c>
      <c r="B594" s="361" t="str">
        <f>IFERROR(__xludf.DUMMYFUNCTION("""COMPUTED_VALUE"""),"indripwh")</f>
        <v>indripwh</v>
      </c>
      <c r="C594" s="257" t="str">
        <f>IFERROR(__xludf.DUMMYFUNCTION("""COMPUTED_VALUE"""),"https://www.tiktok.com/@indripwh")</f>
        <v>https://www.tiktok.com/@indripwh</v>
      </c>
      <c r="D594" s="270">
        <f>IFERROR(__xludf.DUMMYFUNCTION("""COMPUTED_VALUE"""),8.7837263035E10)</f>
        <v>87837263035</v>
      </c>
      <c r="E594" s="457">
        <f>IFERROR(__xludf.DUMMYFUNCTION("""COMPUTED_VALUE"""),0.0)</f>
        <v>0</v>
      </c>
      <c r="F594" s="270">
        <f>IFERROR(__xludf.DUMMYFUNCTION("""COMPUTED_VALUE"""),1.0)</f>
        <v>1</v>
      </c>
      <c r="G594" s="17" t="str">
        <f>IFERROR(__xludf.DUMMYFUNCTION("""COMPUTED_VALUE"""),"Sabun batang 1 Box ( 2 PCS )")</f>
        <v>Sabun batang 1 Box ( 2 PCS )</v>
      </c>
      <c r="H594" s="463" t="str">
        <f>IFERROR(__xludf.DUMMYFUNCTION("""COMPUTED_VALUE"""),"Sampai")</f>
        <v>Sampai</v>
      </c>
      <c r="I594" s="464" t="str">
        <f>IFERROR(__xludf.DUMMYFUNCTION("""COMPUTED_VALUE"""),"KIMME")</f>
        <v>KIMME</v>
      </c>
      <c r="J594" s="17" t="str">
        <f>IFERROR(__xludf.DUMMYFUNCTION("""COMPUTED_VALUE"""),"⁠https://vt.tiktok.com/ZS9NGXkUj/")</f>
        <v>⁠https://vt.tiktok.com/ZS9NGXkUj/</v>
      </c>
      <c r="K594" s="464" t="str">
        <f>IFERROR(__xludf.DUMMYFUNCTION("""COMPUTED_VALUE"""),"KIMME")</f>
        <v>KIMME</v>
      </c>
      <c r="L594" s="17" t="str">
        <f>IFERROR(__xludf.DUMMYFUNCTION("""COMPUTED_VALUE"""),"⁠https://vt.tiktok.com/ZS9NGXD8g/")</f>
        <v>⁠https://vt.tiktok.com/ZS9NGXD8g/</v>
      </c>
      <c r="M594" s="464" t="str">
        <f>IFERROR(__xludf.DUMMYFUNCTION("""COMPUTED_VALUE"""),"KIMME")</f>
        <v>KIMME</v>
      </c>
      <c r="N594" s="17" t="str">
        <f>IFERROR(__xludf.DUMMYFUNCTION("""COMPUTED_VALUE"""),"⁠https://vt.tiktok.com/ZS9NGGXuK/")</f>
        <v>⁠https://vt.tiktok.com/ZS9NGGXuK/</v>
      </c>
      <c r="O594" s="464" t="str">
        <f>IFERROR(__xludf.DUMMYFUNCTION("""COMPUTED_VALUE"""),"KIMME")</f>
        <v>KIMME</v>
      </c>
      <c r="P594" s="279" t="str">
        <f>IFERROR(__xludf.DUMMYFUNCTION("""COMPUTED_VALUE"""),"https://vt.tiktok.com/ZS9NGXQoc/")</f>
        <v>https://vt.tiktok.com/ZS9NGXQoc/</v>
      </c>
    </row>
    <row r="595">
      <c r="A595" s="255" t="str">
        <f>IFERROR(__xludf.DUMMYFUNCTION("""COMPUTED_VALUE"""),"MICRO")</f>
        <v>MICRO</v>
      </c>
      <c r="B595" s="361" t="str">
        <f>IFERROR(__xludf.DUMMYFUNCTION("""COMPUTED_VALUE"""),"tetehnuyy0")</f>
        <v>tetehnuyy0</v>
      </c>
      <c r="C595" s="257" t="str">
        <f>IFERROR(__xludf.DUMMYFUNCTION("""COMPUTED_VALUE"""),"https://www.tiktok.com/@tetehnuyy0")</f>
        <v>https://www.tiktok.com/@tetehnuyy0</v>
      </c>
      <c r="D595" s="270">
        <f>IFERROR(__xludf.DUMMYFUNCTION("""COMPUTED_VALUE"""),8.5921129998E10)</f>
        <v>85921129998</v>
      </c>
      <c r="E595" s="457">
        <f>IFERROR(__xludf.DUMMYFUNCTION("""COMPUTED_VALUE"""),0.0)</f>
        <v>0</v>
      </c>
      <c r="F595" s="270">
        <f>IFERROR(__xludf.DUMMYFUNCTION("""COMPUTED_VALUE"""),4.0)</f>
        <v>4</v>
      </c>
      <c r="G595" s="17" t="str">
        <f>IFERROR(__xludf.DUMMYFUNCTION("""COMPUTED_VALUE"""),"Sabun batang 1 Box ( 2 PCS )")</f>
        <v>Sabun batang 1 Box ( 2 PCS )</v>
      </c>
      <c r="H595" s="463" t="str">
        <f>IFERROR(__xludf.DUMMYFUNCTION("""COMPUTED_VALUE"""),"Sampai")</f>
        <v>Sampai</v>
      </c>
      <c r="I595" s="464" t="str">
        <f>IFERROR(__xludf.DUMMYFUNCTION("""COMPUTED_VALUE"""),"KIMME")</f>
        <v>KIMME</v>
      </c>
      <c r="J595" s="279" t="str">
        <f>IFERROR(__xludf.DUMMYFUNCTION("""COMPUTED_VALUE"""),"https://www.tiktok.com/@racun_spalspil12/video/7636478890784984340?_r=1&amp;u_code=cllj6j6aidf05b&amp;region=&amp;mid=7631490590651468565&amp;preview_pb=0&amp;sharer_language=&amp;_d=0&amp;ec_shared_reflux_dynamic_params=%7B%22placeholder_material_id%22%3A%227636478890784984340%22%2"&amp;"C%22placeholder_origin_cover%22%3A%22https%253A%252F%252Fp16-common-sign.tiktokcdn.com%252Ftos-alisg-p-0037%252FoEpmIZA0AwoIFjI3xiUSPBhA6ujBfiy4ourOPC~tplv-tiktokx-origin.jpeg%253Fdr%253D14572%2526refresh_token%253Dbf48b906%2526x-expires%253D1810116000%25"&amp;"26x-signature%253DwQn01jgIohJpx5i%25252Bdnj2seCSKVY%25253D%2526t%253D4d5b0474%2526ps%253D13740610%2526shp%253Dd05b14bd%2526shcp%253D34ff8df6%2526idc%253Dmy2%2526s%253DTIKTOK_AFFILIATE_VIRAL_VIDEO%22%2C%22placeholder_product_id%22%3A%221729729730555512511%"&amp;"22%2C%22placeholder_video_id%22%3A%227636478890784984340%22%7D&amp;ec_shared_reflux_scene=shop_tab_feed&amp;share_item_id=7636478890784984340&amp;source=h5_t")</f>
        <v>https://www.tiktok.com/@racun_spalspil12/video/7636478890784984340?_r=1&amp;u_code=cllj6j6aidf05b&amp;region=&amp;mid=7631490590651468565&amp;preview_pb=0&amp;sharer_language=&amp;_d=0&amp;ec_shared_reflux_dynamic_params=%7B%22placeholder_material_id%22%3A%227636478890784984340%22%2C%22placeholder_origin_cover%22%3A%22https%253A%252F%252Fp16-common-sign.tiktokcdn.com%252Ftos-alisg-p-0037%252FoEpmIZA0AwoIFjI3xiUSPBhA6ujBfiy4ourOPC~tplv-tiktokx-origin.jpeg%253Fdr%253D14572%2526refresh_token%253Dbf48b906%2526x-expires%253D1810116000%2526x-signature%253DwQn01jgIohJpx5i%25252Bdnj2seCSKVY%25253D%2526t%253D4d5b0474%2526ps%253D13740610%2526shp%253Dd05b14bd%2526shcp%253D34ff8df6%2526idc%253Dmy2%2526s%253DTIKTOK_AFFILIATE_VIRAL_VIDEO%22%2C%22placeholder_product_id%22%3A%221729729730555512511%22%2C%22placeholder_video_id%22%3A%227636478890784984340%22%7D&amp;ec_shared_reflux_scene=shop_tab_feed&amp;share_item_id=7636478890784984340&amp;source=h5_t</v>
      </c>
      <c r="K595" s="464" t="str">
        <f>IFERROR(__xludf.DUMMYFUNCTION("""COMPUTED_VALUE"""),"KIMME")</f>
        <v>KIMME</v>
      </c>
      <c r="L595" s="279" t="str">
        <f>IFERROR(__xludf.DUMMYFUNCTION("""COMPUTED_VALUE"""),"https://www.tiktok.com/@racun_spalspil12/video/7636478333856845077?_r=1&amp;u_code=cllj6j6aidf05b&amp;region=&amp;mid=7615505674093234177&amp;preview_pb=0&amp;sharer_language=&amp;_d=0&amp;ec_shared_reflux_dynamic_params=%7B%22placeholder_material_id%22%3A%227636478333856845077%22%2"&amp;"C%22placeholder_origin_cover%22%3A%22https%253A%252F%252Fp16-common-sign.tiktokcdn.com%252Ftos-alisg-p-0037%252FoojrPDBfA8OIZBJTEj4FEi7eIC9fD3x65ADOIi~tplv-tiktokx-origin.jpeg%253Fdr%253D14572%2526refresh_token%253Dbbbe649f%2526x-expires%253D1810116000%25"&amp;"26x-signature%253DjwiPgO06OkOkQ72NRDGsubzO7Vc%25253D%2526t%253D4d5b0474%2526ps%253D13740610%2526shp%253Dd05b14bd%2526shcp%253D34ff8df6%2526idc%253Dmy2%2526s%253DTIKTOK_AFFILIATE_VIRAL_VIDEO%22%2C%22placeholder_product_id%22%3A%221729729730555512511%22%2C%"&amp;"22placeholder_video_id%22%3A%227636478333856845077%22%7D&amp;ec_shared_reflux_scene=shop_tab_feed&amp;share_item_id=7636478333856845077&amp;source=h5_t")</f>
        <v>https://www.tiktok.com/@racun_spalspil12/video/7636478333856845077?_r=1&amp;u_code=cllj6j6aidf05b&amp;region=&amp;mid=7615505674093234177&amp;preview_pb=0&amp;sharer_language=&amp;_d=0&amp;ec_shared_reflux_dynamic_params=%7B%22placeholder_material_id%22%3A%227636478333856845077%22%2C%22placeholder_origin_cover%22%3A%22https%253A%252F%252Fp16-common-sign.tiktokcdn.com%252Ftos-alisg-p-0037%252FoojrPDBfA8OIZBJTEj4FEi7eIC9fD3x65ADOIi~tplv-tiktokx-origin.jpeg%253Fdr%253D14572%2526refresh_token%253Dbbbe649f%2526x-expires%253D1810116000%2526x-signature%253DjwiPgO06OkOkQ72NRDGsubzO7Vc%25253D%2526t%253D4d5b0474%2526ps%253D13740610%2526shp%253Dd05b14bd%2526shcp%253D34ff8df6%2526idc%253Dmy2%2526s%253DTIKTOK_AFFILIATE_VIRAL_VIDEO%22%2C%22placeholder_product_id%22%3A%221729729730555512511%22%2C%22placeholder_video_id%22%3A%227636478333856845077%22%7D&amp;ec_shared_reflux_scene=shop_tab_feed&amp;share_item_id=7636478333856845077&amp;source=h5_t</v>
      </c>
      <c r="M595" s="464"/>
      <c r="N595" s="279" t="str">
        <f>IFERROR(__xludf.DUMMYFUNCTION("""COMPUTED_VALUE"""),"https://www.tiktok.com/@racun_spalspil12/video/7636477701569711381?_r=1&amp;u_code=cllj6j6aidf05b&amp;region=&amp;mid=7514003816174454785&amp;preview_pb=0&amp;sharer_language=&amp;_d=0&amp;ec_shared_reflux_dynamic_params=%7B%22placeholder_material_id%22%3A%227636477701569711381%22%2"&amp;"C%22placeholder_origin_cover%22%3A%22https%253A%252F%252Fp19-common-sign.tiktokcdn.com%252Ftos-alisg-p-0037%252FoYnDfADpFFQu9O6FMj15ACRIrenII4CfATGJJE~tplv-tiktokx-origin.jpeg%253Fdr%253D14572%2526refresh_token%253D383cc9aa%2526x-expires%253D1810116000%25"&amp;"26x-signature%253Dj0oFmtz4JrZTBnYGtvnSdLgiM2c%25253D%2526t%253D4d5b0474%2526ps%253D13740610%2526shp%253Dd05b14bd%2526shcp%253D34ff8df6%2526idc%253Dmy2%2526s%253DTIKTOK_AFFILIATE_VIRAL_VIDEO%22%2C%22placeholder_product_id%22%3A%221729729730555512511%22%2C%"&amp;"22placeholder_video_id%22%3A%227636477701569711381%22%7D&amp;ec_shared_reflux_scene=shop_tab_feed&amp;share_item_id=7636477701569711381&amp;source=h5_t")</f>
        <v>https://www.tiktok.com/@racun_spalspil12/video/7636477701569711381?_r=1&amp;u_code=cllj6j6aidf05b&amp;region=&amp;mid=7514003816174454785&amp;preview_pb=0&amp;sharer_language=&amp;_d=0&amp;ec_shared_reflux_dynamic_params=%7B%22placeholder_material_id%22%3A%227636477701569711381%22%2C%22placeholder_origin_cover%22%3A%22https%253A%252F%252Fp19-common-sign.tiktokcdn.com%252Ftos-alisg-p-0037%252FoYnDfADpFFQu9O6FMj15ACRIrenII4CfATGJJE~tplv-tiktokx-origin.jpeg%253Fdr%253D14572%2526refresh_token%253D383cc9aa%2526x-expires%253D1810116000%2526x-signature%253Dj0oFmtz4JrZTBnYGtvnSdLgiM2c%25253D%2526t%253D4d5b0474%2526ps%253D13740610%2526shp%253Dd05b14bd%2526shcp%253D34ff8df6%2526idc%253Dmy2%2526s%253DTIKTOK_AFFILIATE_VIRAL_VIDEO%22%2C%22placeholder_product_id%22%3A%221729729730555512511%22%2C%22placeholder_video_id%22%3A%227636477701569711381%22%7D&amp;ec_shared_reflux_scene=shop_tab_feed&amp;share_item_id=7636477701569711381&amp;source=h5_t</v>
      </c>
      <c r="O595" s="464"/>
      <c r="P595" s="279" t="str">
        <f>IFERROR(__xludf.DUMMYFUNCTION("""COMPUTED_VALUE"""),"https://www.tiktok.com/@racun_spalspil12/video/7634539515155107093?_r=1&amp;u_code=cllj6j6aidf05b&amp;region=&amp;mid=7604473397582940177&amp;preview_pb=0&amp;sharer_language=&amp;_d=0&amp;ec_shared_reflux_dynamic_params=%7B%22placeholder_material_id%22%3A%227634539515155107093%22%2"&amp;"C%22placeholder_origin_cover%22%3A%22https%253A%252F%252Fp19-common-sign.tiktokcdn.com%252Ftos-alisg-p-0037%252FowuWASvBuI83Ix0CmVKI3fXNzAUAjiVriCMKIw~tplv-tiktokx-origin.jpeg%253Fdr%253D14572%2526refresh_token%253D918f0683%2526x-expires%253D1810116000%25"&amp;"26x-signature%253D%25252BqaB%25252F%25252FqQD%25252B%25252FubfFh4VB7cTo9RWM%25253D%2526t%253D4d5b0474%2526ps%253D13740610%2526shp%253Dd05b14bd%2526shcp%253D34ff8df6%2526idc%253Dmy2%2526s%253DTIKTOK_AFFILIATE_VIRAL_VIDEO%22%2C%22placeholder_product_id%22%3"&amp;"A%221729729730555512511%22%2C%22placeholder_video_id%22%3A%227634539515155107093%22%7D&amp;ec_shared_reflux_scene=shop_tab_feed&amp;share_item_id=7634539515155107093&amp;source=h5_t")</f>
        <v>https://www.tiktok.com/@racun_spalspil12/video/7634539515155107093?_r=1&amp;u_code=cllj6j6aidf05b&amp;region=&amp;mid=7604473397582940177&amp;preview_pb=0&amp;sharer_language=&amp;_d=0&amp;ec_shared_reflux_dynamic_params=%7B%22placeholder_material_id%22%3A%227634539515155107093%22%2C%22placeholder_origin_cover%22%3A%22https%253A%252F%252Fp19-common-sign.tiktokcdn.com%252Ftos-alisg-p-0037%252FowuWASvBuI83Ix0CmVKI3fXNzAUAjiVriCMKIw~tplv-tiktokx-origin.jpeg%253Fdr%253D14572%2526refresh_token%253D918f0683%2526x-expires%253D1810116000%2526x-signature%253D%25252BqaB%25252F%25252FqQD%25252B%25252FubfFh4VB7cTo9RWM%25253D%2526t%253D4d5b0474%2526ps%253D13740610%2526shp%253Dd05b14bd%2526shcp%253D34ff8df6%2526idc%253Dmy2%2526s%253DTIKTOK_AFFILIATE_VIRAL_VIDEO%22%2C%22placeholder_product_id%22%3A%221729729730555512511%22%2C%22placeholder_video_id%22%3A%227634539515155107093%22%7D&amp;ec_shared_reflux_scene=shop_tab_feed&amp;share_item_id=7634539515155107093&amp;source=h5_t</v>
      </c>
    </row>
    <row r="596">
      <c r="A596" s="255" t="str">
        <f>IFERROR(__xludf.DUMMYFUNCTION("""COMPUTED_VALUE"""),"MACRO")</f>
        <v>MACRO</v>
      </c>
      <c r="B596" s="361" t="str">
        <f>IFERROR(__xludf.DUMMYFUNCTION("""COMPUTED_VALUE"""),"iissofyatun")</f>
        <v>iissofyatun</v>
      </c>
      <c r="C596" s="257" t="str">
        <f>IFERROR(__xludf.DUMMYFUNCTION("""COMPUTED_VALUE"""),"https://www.tiktok.com/@iissofyatun")</f>
        <v>https://www.tiktok.com/@iissofyatun</v>
      </c>
      <c r="D596" s="270">
        <f>IFERROR(__xludf.DUMMYFUNCTION("""COMPUTED_VALUE"""),8.1510852209E10)</f>
        <v>81510852209</v>
      </c>
      <c r="E596" s="457">
        <f>IFERROR(__xludf.DUMMYFUNCTION("""COMPUTED_VALUE"""),0.0)</f>
        <v>0</v>
      </c>
      <c r="F596" s="270">
        <f>IFERROR(__xludf.DUMMYFUNCTION("""COMPUTED_VALUE"""),2.0)</f>
        <v>2</v>
      </c>
      <c r="G596" s="17" t="str">
        <f>IFERROR(__xludf.DUMMYFUNCTION("""COMPUTED_VALUE"""),"Sabun batang 1 Box ( 2 PCS )")</f>
        <v>Sabun batang 1 Box ( 2 PCS )</v>
      </c>
      <c r="H596" s="463" t="str">
        <f>IFERROR(__xludf.DUMMYFUNCTION("""COMPUTED_VALUE"""),"Sampai")</f>
        <v>Sampai</v>
      </c>
      <c r="I596" s="464" t="str">
        <f>IFERROR(__xludf.DUMMYFUNCTION("""COMPUTED_VALUE"""),"KIMME")</f>
        <v>KIMME</v>
      </c>
      <c r="J596" s="279" t="str">
        <f>IFERROR(__xludf.DUMMYFUNCTION("""COMPUTED_VALUE"""),"https://vt.tiktok.com/ZS9eVvagu/")</f>
        <v>https://vt.tiktok.com/ZS9eVvagu/</v>
      </c>
      <c r="K596" s="464" t="str">
        <f>IFERROR(__xludf.DUMMYFUNCTION("""COMPUTED_VALUE"""),"KIMME")</f>
        <v>KIMME</v>
      </c>
      <c r="L596" s="279" t="str">
        <f>IFERROR(__xludf.DUMMYFUNCTION("""COMPUTED_VALUE"""),"https://vt.tiktok.com/ZS9eVKoAW/")</f>
        <v>https://vt.tiktok.com/ZS9eVKoAW/</v>
      </c>
      <c r="M596" s="464"/>
      <c r="N596" s="17"/>
      <c r="O596" s="464"/>
      <c r="P596" s="17"/>
    </row>
    <row r="597">
      <c r="A597" s="255" t="str">
        <f>IFERROR(__xludf.DUMMYFUNCTION("""COMPUTED_VALUE"""),"MACRO")</f>
        <v>MACRO</v>
      </c>
      <c r="B597" s="361" t="str">
        <f>IFERROR(__xludf.DUMMYFUNCTION("""COMPUTED_VALUE"""),"y.ameliyaa2")</f>
        <v>y.ameliyaa2</v>
      </c>
      <c r="C597" s="257" t="str">
        <f>IFERROR(__xludf.DUMMYFUNCTION("""COMPUTED_VALUE"""),"https://www.tiktok.com/@y.ameliyaa2")</f>
        <v>https://www.tiktok.com/@y.ameliyaa2</v>
      </c>
      <c r="D597" s="270">
        <f>IFERROR(__xludf.DUMMYFUNCTION("""COMPUTED_VALUE"""),8.1387586782E10)</f>
        <v>81387586782</v>
      </c>
      <c r="E597" s="457">
        <f>IFERROR(__xludf.DUMMYFUNCTION("""COMPUTED_VALUE"""),0.0)</f>
        <v>0</v>
      </c>
      <c r="F597" s="270">
        <f>IFERROR(__xludf.DUMMYFUNCTION("""COMPUTED_VALUE"""),2.0)</f>
        <v>2</v>
      </c>
      <c r="G597" s="17" t="str">
        <f>IFERROR(__xludf.DUMMYFUNCTION("""COMPUTED_VALUE"""),"Sabun batang 1 Box ( 2 PCS )")</f>
        <v>Sabun batang 1 Box ( 2 PCS )</v>
      </c>
      <c r="H597" s="463" t="str">
        <f>IFERROR(__xludf.DUMMYFUNCTION("""COMPUTED_VALUE"""),"Sampai")</f>
        <v>Sampai</v>
      </c>
      <c r="I597" s="464" t="str">
        <f>IFERROR(__xludf.DUMMYFUNCTION("""COMPUTED_VALUE"""),"KIMME")</f>
        <v>KIMME</v>
      </c>
      <c r="J597" s="279" t="str">
        <f>IFERROR(__xludf.DUMMYFUNCTION("""COMPUTED_VALUE"""),"https://vt.tiktok.com/ZS9eVt2wQ/")</f>
        <v>https://vt.tiktok.com/ZS9eVt2wQ/</v>
      </c>
      <c r="K597" s="464" t="str">
        <f>IFERROR(__xludf.DUMMYFUNCTION("""COMPUTED_VALUE"""),"KIMME")</f>
        <v>KIMME</v>
      </c>
      <c r="L597" s="279" t="str">
        <f>IFERROR(__xludf.DUMMYFUNCTION("""COMPUTED_VALUE"""),"https://vt.tiktok.com/ZS9d6rAcw/")</f>
        <v>https://vt.tiktok.com/ZS9d6rAcw/</v>
      </c>
      <c r="M597" s="464"/>
      <c r="N597" s="17"/>
      <c r="O597" s="464"/>
      <c r="P597" s="17"/>
    </row>
    <row r="598">
      <c r="A598" s="255" t="str">
        <f>IFERROR(__xludf.DUMMYFUNCTION("""COMPUTED_VALUE"""),"MACRO")</f>
        <v>MACRO</v>
      </c>
      <c r="B598" s="361" t="str">
        <f>IFERROR(__xludf.DUMMYFUNCTION("""COMPUTED_VALUE"""),"__strhyr")</f>
        <v>__strhyr</v>
      </c>
      <c r="C598" s="257" t="str">
        <f>IFERROR(__xludf.DUMMYFUNCTION("""COMPUTED_VALUE"""),"https://www.tiktok.com/@__strhyr")</f>
        <v>https://www.tiktok.com/@__strhyr</v>
      </c>
      <c r="D598" s="270">
        <f>IFERROR(__xludf.DUMMYFUNCTION("""COMPUTED_VALUE"""),8.1216249696E10)</f>
        <v>81216249696</v>
      </c>
      <c r="E598" s="457">
        <f>IFERROR(__xludf.DUMMYFUNCTION("""COMPUTED_VALUE"""),0.0)</f>
        <v>0</v>
      </c>
      <c r="F598" s="270">
        <f>IFERROR(__xludf.DUMMYFUNCTION("""COMPUTED_VALUE"""),2.0)</f>
        <v>2</v>
      </c>
      <c r="G598" s="17" t="str">
        <f>IFERROR(__xludf.DUMMYFUNCTION("""COMPUTED_VALUE"""),"Sabun batang 1 Box ( 2 PCS )")</f>
        <v>Sabun batang 1 Box ( 2 PCS )</v>
      </c>
      <c r="H598" s="463" t="str">
        <f>IFERROR(__xludf.DUMMYFUNCTION("""COMPUTED_VALUE"""),"Sampai")</f>
        <v>Sampai</v>
      </c>
      <c r="I598" s="464" t="str">
        <f>IFERROR(__xludf.DUMMYFUNCTION("""COMPUTED_VALUE"""),"KIMME")</f>
        <v>KIMME</v>
      </c>
      <c r="J598" s="279" t="str">
        <f>IFERROR(__xludf.DUMMYFUNCTION("""COMPUTED_VALUE"""),"https://vt.tiktok.com/ZS9d6Txuk/")</f>
        <v>https://vt.tiktok.com/ZS9d6Txuk/</v>
      </c>
      <c r="K598" s="464" t="str">
        <f>IFERROR(__xludf.DUMMYFUNCTION("""COMPUTED_VALUE"""),"KIMME")</f>
        <v>KIMME</v>
      </c>
      <c r="L598" s="279" t="str">
        <f>IFERROR(__xludf.DUMMYFUNCTION("""COMPUTED_VALUE"""),"https://vt.tiktok.com/ZS9dMeycu/")</f>
        <v>https://vt.tiktok.com/ZS9dMeycu/</v>
      </c>
      <c r="M598" s="464"/>
      <c r="N598" s="17"/>
      <c r="O598" s="464"/>
      <c r="P598" s="17"/>
    </row>
    <row r="599">
      <c r="A599" s="255" t="str">
        <f>IFERROR(__xludf.DUMMYFUNCTION("""COMPUTED_VALUE"""),"MICRO")</f>
        <v>MICRO</v>
      </c>
      <c r="B599" s="361" t="str">
        <f>IFERROR(__xludf.DUMMYFUNCTION("""COMPUTED_VALUE"""),"vernikaariani")</f>
        <v>vernikaariani</v>
      </c>
      <c r="C599" s="257" t="str">
        <f>IFERROR(__xludf.DUMMYFUNCTION("""COMPUTED_VALUE"""),"https://www.tiktok.com/@vernikaariani")</f>
        <v>https://www.tiktok.com/@vernikaariani</v>
      </c>
      <c r="D599" s="270">
        <f>IFERROR(__xludf.DUMMYFUNCTION("""COMPUTED_VALUE"""),8.5326728022E10)</f>
        <v>85326728022</v>
      </c>
      <c r="E599" s="457">
        <f>IFERROR(__xludf.DUMMYFUNCTION("""COMPUTED_VALUE"""),0.0)</f>
        <v>0</v>
      </c>
      <c r="F599" s="270">
        <f>IFERROR(__xludf.DUMMYFUNCTION("""COMPUTED_VALUE"""),3.0)</f>
        <v>3</v>
      </c>
      <c r="G599" s="17" t="str">
        <f>IFERROR(__xludf.DUMMYFUNCTION("""COMPUTED_VALUE"""),"Sabun batang 1 Box ( 2 PCS )")</f>
        <v>Sabun batang 1 Box ( 2 PCS )</v>
      </c>
      <c r="H599" s="463" t="str">
        <f>IFERROR(__xludf.DUMMYFUNCTION("""COMPUTED_VALUE"""),"Sampai")</f>
        <v>Sampai</v>
      </c>
      <c r="I599" s="464" t="str">
        <f>IFERROR(__xludf.DUMMYFUNCTION("""COMPUTED_VALUE"""),"KIMME")</f>
        <v>KIMME</v>
      </c>
      <c r="J599" s="279" t="str">
        <f>IFERROR(__xludf.DUMMYFUNCTION("""COMPUTED_VALUE"""),"https://www.tiktok.com/@vernikaariani/video/7622626378613001492?is_from_webapp=1&amp;sender_device=pc")</f>
        <v>https://www.tiktok.com/@vernikaariani/video/7622626378613001492?is_from_webapp=1&amp;sender_device=pc</v>
      </c>
      <c r="K599" s="464" t="str">
        <f>IFERROR(__xludf.DUMMYFUNCTION("""COMPUTED_VALUE"""),"KIMME")</f>
        <v>KIMME</v>
      </c>
      <c r="L599" s="279" t="str">
        <f>IFERROR(__xludf.DUMMYFUNCTION("""COMPUTED_VALUE"""),"https://www.tiktok.com/@vernikaariani/video/7622210993728376085?_d=0&amp;_r=1&amp;ec_shared_reflux_dynamic_params=%7B%22placeholder_material_id%22%3A%227622210993728376085%22%2C%22placeholder_origin_cover%22%3A%22https%253A%252F%252Fp16-common-sign.tiktokcdn.com%"&amp;"252Ftos-alisg-p-0037%252FoAU0grPwEAt2BIzTwIiu4iqBmflXMJ8iACAjHI~tplv-tiktokx-origin.jpeg%253Fdr%253D14572%2526refresh_token%253D3586e23a%2526x-expires%253D1807070400%2526x-signature%253DuyzMlAKwyCKa3QIYi6uOnCNmiHs%25253D%2526t%253D4d5b0474%2526ps%253D1374"&amp;"0610%2526shp%253Dd05b14bd%2526shcp%253D34ff8df6%2526idc%253Dmy2%2526s%253DTIKTOK_AFFILIATE_VIRAL_VIDEO%22%2C%22placeholder_product_id%22%3A%221729427766722726591%22%2C%22placeholder_video_id%22%3A%227622210993728376085%22%7D&amp;ec_shared_reflux_scene=shop_ta"&amp;"b_feed&amp;mid=7406153125789157393&amp;preview_pb=0&amp;region=&amp;share_item_id=7622210993728376085&amp;sharer_language=&amp;source=h5_t&amp;u_code=dbl1j1l79c2ag5")</f>
        <v>https://www.tiktok.com/@vernikaariani/video/7622210993728376085?_d=0&amp;_r=1&amp;ec_shared_reflux_dynamic_params=%7B%22placeholder_material_id%22%3A%227622210993728376085%22%2C%22placeholder_origin_cover%22%3A%22https%253A%252F%252Fp16-common-sign.tiktokcdn.com%252Ftos-alisg-p-0037%252FoAU0grPwEAt2BIzTwIiu4iqBmflXMJ8iACAjHI~tplv-tiktokx-origin.jpeg%253Fdr%253D14572%2526refresh_token%253D3586e23a%2526x-expires%253D1807070400%2526x-signature%253DuyzMlAKwyCKa3QIYi6uOnCNmiHs%25253D%2526t%253D4d5b0474%2526ps%253D13740610%2526shp%253Dd05b14bd%2526shcp%253D34ff8df6%2526idc%253Dmy2%2526s%253DTIKTOK_AFFILIATE_VIRAL_VIDEO%22%2C%22placeholder_product_id%22%3A%221729427766722726591%22%2C%22placeholder_video_id%22%3A%227622210993728376085%22%7D&amp;ec_shared_reflux_scene=shop_tab_feed&amp;mid=7406153125789157393&amp;preview_pb=0&amp;region=&amp;share_item_id=7622210993728376085&amp;sharer_language=&amp;source=h5_t&amp;u_code=dbl1j1l79c2ag5</v>
      </c>
      <c r="M599" s="464" t="str">
        <f>IFERROR(__xludf.DUMMYFUNCTION("""COMPUTED_VALUE"""),"KIMME")</f>
        <v>KIMME</v>
      </c>
      <c r="N599" s="279" t="str">
        <f>IFERROR(__xludf.DUMMYFUNCTION("""COMPUTED_VALUE"""),"tiktok.com/@vernikaariani/video/7625236769583271188?_r=1&amp;u_code=dbl1j1l79c2ag5&amp;region=&amp;mid=7605074065766696961&amp;preview_pb=0&amp;sharer_language=&amp;_d=0&amp;ec_shared_reflux_dynamic_params=%7B""placeholder_material_id""%3A""7625236769583271188""%2C""placeholder_orig"&amp;"in_cover""%3A""https%253A%252F%252Fp16-common-sign.tiktokcdn.com%252Ftos-alisg-p-0037%252FogABSFAgh0UHDSRERfNBk4EegUEFBLXIGpzKIz~tplv-tiktokx-origin.jpeg%253Fdr%253D14572%2526refresh_token%253Dd2c9a1a0%2526x-expires%253D1807070400%2526x-signature%253DiS1l"&amp;"EZB%25252FN%25252FYxVHWHizPIhgZemEA%25253D%2526t%253D4d5b0474%2526ps%253D13740610%2526shp%253Dd05b14bd%2526shcp%253D34ff8df6%2526idc%253Dmy2%2526s%253DTIKTOK_AFFILIATE_VIRAL_VIDEO""%2C""placeholder_product_id""%3A""1729427766722726591""%2C""placeholder_vi"&amp;"deo_id""%3A""7625236769583271188""%7D&amp;ec_shared_reflux_scene=shop_tab_feed&amp;share_item_id=7625236769583271188&amp;source=h5_t")</f>
        <v>tiktok.com/@vernikaariani/video/7625236769583271188?_r=1&amp;u_code=dbl1j1l79c2ag5&amp;region=&amp;mid=7605074065766696961&amp;preview_pb=0&amp;sharer_language=&amp;_d=0&amp;ec_shared_reflux_dynamic_params=%7B"placeholder_material_id"%3A"7625236769583271188"%2C"placeholder_origin_cover"%3A"https%253A%252F%252Fp16-common-sign.tiktokcdn.com%252Ftos-alisg-p-0037%252FogABSFAgh0UHDSRERfNBk4EegUEFBLXIGpzKIz~tplv-tiktokx-origin.jpeg%253Fdr%253D14572%2526refresh_token%253Dd2c9a1a0%2526x-expires%253D1807070400%2526x-signature%253DiS1lEZB%25252FN%25252FYxVHWHizPIhgZemEA%25253D%2526t%253D4d5b0474%2526ps%253D13740610%2526shp%253Dd05b14bd%2526shcp%253D34ff8df6%2526idc%253Dmy2%2526s%253DTIKTOK_AFFILIATE_VIRAL_VIDEO"%2C"placeholder_product_id"%3A"1729427766722726591"%2C"placeholder_video_id"%3A"7625236769583271188"%7D&amp;ec_shared_reflux_scene=shop_tab_feed&amp;share_item_id=7625236769583271188&amp;source=h5_t</v>
      </c>
      <c r="O599" s="464" t="str">
        <f>IFERROR(__xludf.DUMMYFUNCTION("""COMPUTED_VALUE"""),"KIMME")</f>
        <v>KIMME</v>
      </c>
      <c r="P599" s="279" t="str">
        <f>IFERROR(__xludf.DUMMYFUNCTION("""COMPUTED_VALUE"""),"https://vt.tiktok.com/ZSHo2bAnS/")</f>
        <v>https://vt.tiktok.com/ZSHo2bAnS/</v>
      </c>
    </row>
    <row r="600">
      <c r="A600" s="255" t="str">
        <f>IFERROR(__xludf.DUMMYFUNCTION("""COMPUTED_VALUE"""),"MICRO")</f>
        <v>MICRO</v>
      </c>
      <c r="B600" s="361" t="str">
        <f>IFERROR(__xludf.DUMMYFUNCTION("""COMPUTED_VALUE"""),"reginamaliaa")</f>
        <v>reginamaliaa</v>
      </c>
      <c r="C600" s="257" t="str">
        <f>IFERROR(__xludf.DUMMYFUNCTION("""COMPUTED_VALUE"""),"https://www.tiktok.com/@reginamaliaa")</f>
        <v>https://www.tiktok.com/@reginamaliaa</v>
      </c>
      <c r="D600" s="270">
        <f>IFERROR(__xludf.DUMMYFUNCTION("""COMPUTED_VALUE"""),8.5936152879E10)</f>
        <v>85936152879</v>
      </c>
      <c r="E600" s="457">
        <f>IFERROR(__xludf.DUMMYFUNCTION("""COMPUTED_VALUE"""),0.0)</f>
        <v>0</v>
      </c>
      <c r="F600" s="270">
        <f>IFERROR(__xludf.DUMMYFUNCTION("""COMPUTED_VALUE"""),4.0)</f>
        <v>4</v>
      </c>
      <c r="G600" s="17" t="str">
        <f>IFERROR(__xludf.DUMMYFUNCTION("""COMPUTED_VALUE"""),"Sabun batang 1 Box ( 2 PCS )")</f>
        <v>Sabun batang 1 Box ( 2 PCS )</v>
      </c>
      <c r="H600" s="463" t="str">
        <f>IFERROR(__xludf.DUMMYFUNCTION("""COMPUTED_VALUE"""),"Sampai")</f>
        <v>Sampai</v>
      </c>
      <c r="I600" s="464" t="str">
        <f>IFERROR(__xludf.DUMMYFUNCTION("""COMPUTED_VALUE"""),"KIMME")</f>
        <v>KIMME</v>
      </c>
      <c r="J600" s="279" t="str">
        <f>IFERROR(__xludf.DUMMYFUNCTION("""COMPUTED_VALUE"""),"https://vt.tiktok.com/ZS9NGxKaE/")</f>
        <v>https://vt.tiktok.com/ZS9NGxKaE/</v>
      </c>
      <c r="K600" s="464" t="str">
        <f>IFERROR(__xludf.DUMMYFUNCTION("""COMPUTED_VALUE"""),"KIMME")</f>
        <v>KIMME</v>
      </c>
      <c r="L600" s="17" t="str">
        <f>IFERROR(__xludf.DUMMYFUNCTION("""COMPUTED_VALUE"""),"⁠https://vt.tiktok.com/ZS9FDgtGG/")</f>
        <v>⁠https://vt.tiktok.com/ZS9FDgtGG/</v>
      </c>
      <c r="M600" s="464" t="str">
        <f>IFERROR(__xludf.DUMMYFUNCTION("""COMPUTED_VALUE"""),"KIMME")</f>
        <v>KIMME</v>
      </c>
      <c r="N600" s="17" t="str">
        <f>IFERROR(__xludf.DUMMYFUNCTION("""COMPUTED_VALUE"""),"⁠https://vt.tiktok.com/ZS9FD9Jad/")</f>
        <v>⁠https://vt.tiktok.com/ZS9FD9Jad/</v>
      </c>
      <c r="O600" s="464"/>
      <c r="P600" s="279" t="str">
        <f>IFERROR(__xludf.DUMMYFUNCTION("""COMPUTED_VALUE"""),"https://www.tiktok.com/@racun_spalspil12/video/7634538432206834965?_r=1&amp;u_code=cllj6j6aidf05b&amp;region=&amp;mid=7622900823151889172&amp;preview_pb=0&amp;sharer_language=&amp;_d=0&amp;ec_shared_reflux_dynamic_params=%7B%22placeholder_material_id%22%3A%227634538432206834965%22%2"&amp;"C%22placeholder_origin_cover%22%3A%22https%253A%252F%252Fp16-common-sign.tiktokcdn.com%252Ftos-alisg-p-0037%252FowGQCDcDpBVnDiEFExo1nAQMEB9zf8kgURQEfX~tplv-tiktokx-origin.jpeg%253Fdr%253D14572%2526refresh_token%253D8fed67b0%2526x-expires%253D1810116000%25"&amp;"26x-signature%253D3jra3d%25252F3KBrKytTZ2nBWHOSaB4Y%25253D%2526t%253D4d5b0474%2526ps%253D13740610%2526shp%253Dd05b14bd%2526shcp%253D34ff8df6%2526idc%253Dmy2%2526s%253DTIKTOK_AFFILIATE_VIRAL_VIDEO%22%2C%22placeholder_product_id%22%3A%221729729730555512511%"&amp;"22%2C%22placeholder_video_id%22%3A%227634538432206834965%22%7D&amp;ec_shared_reflux_scene=shop_tab_feed&amp;share_item_id=7634538432206834965&amp;source=h5_t")</f>
        <v>https://www.tiktok.com/@racun_spalspil12/video/7634538432206834965?_r=1&amp;u_code=cllj6j6aidf05b&amp;region=&amp;mid=7622900823151889172&amp;preview_pb=0&amp;sharer_language=&amp;_d=0&amp;ec_shared_reflux_dynamic_params=%7B%22placeholder_material_id%22%3A%227634538432206834965%22%2C%22placeholder_origin_cover%22%3A%22https%253A%252F%252Fp16-common-sign.tiktokcdn.com%252Ftos-alisg-p-0037%252FowGQCDcDpBVnDiEFExo1nAQMEB9zf8kgURQEfX~tplv-tiktokx-origin.jpeg%253Fdr%253D14572%2526refresh_token%253D8fed67b0%2526x-expires%253D1810116000%2526x-signature%253D3jra3d%25252F3KBrKytTZ2nBWHOSaB4Y%25253D%2526t%253D4d5b0474%2526ps%253D13740610%2526shp%253Dd05b14bd%2526shcp%253D34ff8df6%2526idc%253Dmy2%2526s%253DTIKTOK_AFFILIATE_VIRAL_VIDEO%22%2C%22placeholder_product_id%22%3A%221729729730555512511%22%2C%22placeholder_video_id%22%3A%227634538432206834965%22%7D&amp;ec_shared_reflux_scene=shop_tab_feed&amp;share_item_id=7634538432206834965&amp;source=h5_t</v>
      </c>
    </row>
    <row r="601">
      <c r="A601" s="255" t="str">
        <f>IFERROR(__xludf.DUMMYFUNCTION("""COMPUTED_VALUE"""),"MICRO")</f>
        <v>MICRO</v>
      </c>
      <c r="B601" s="361" t="str">
        <f>IFERROR(__xludf.DUMMYFUNCTION("""COMPUTED_VALUE"""),"sonyasinaga_")</f>
        <v>sonyasinaga_</v>
      </c>
      <c r="C601" s="257" t="str">
        <f>IFERROR(__xludf.DUMMYFUNCTION("""COMPUTED_VALUE"""),"https://www.tiktok.com/@sonyasinaga_")</f>
        <v>https://www.tiktok.com/@sonyasinaga_</v>
      </c>
      <c r="D601" s="270">
        <f>IFERROR(__xludf.DUMMYFUNCTION("""COMPUTED_VALUE"""),8.2276692229E10)</f>
        <v>82276692229</v>
      </c>
      <c r="E601" s="457">
        <f>IFERROR(__xludf.DUMMYFUNCTION("""COMPUTED_VALUE"""),100000.0)</f>
        <v>100000</v>
      </c>
      <c r="F601" s="270">
        <f>IFERROR(__xludf.DUMMYFUNCTION("""COMPUTED_VALUE"""),2.0)</f>
        <v>2</v>
      </c>
      <c r="G601" s="17" t="str">
        <f>IFERROR(__xludf.DUMMYFUNCTION("""COMPUTED_VALUE"""),"Sabun batang 1 Box ( 2 PCS )")</f>
        <v>Sabun batang 1 Box ( 2 PCS )</v>
      </c>
      <c r="H601" s="463" t="str">
        <f>IFERROR(__xludf.DUMMYFUNCTION("""COMPUTED_VALUE"""),"Sampai")</f>
        <v>Sampai</v>
      </c>
      <c r="I601" s="464" t="str">
        <f>IFERROR(__xludf.DUMMYFUNCTION("""COMPUTED_VALUE"""),"KIMME")</f>
        <v>KIMME</v>
      </c>
      <c r="J601" s="279" t="str">
        <f>IFERROR(__xludf.DUMMYFUNCTION("""COMPUTED_VALUE"""),"https://www.tiktok.com/@sonyasinaga_/video/7622928117266500872?is_from_webapp=1&amp;sender_device=pc")</f>
        <v>https://www.tiktok.com/@sonyasinaga_/video/7622928117266500872?is_from_webapp=1&amp;sender_device=pc</v>
      </c>
      <c r="K601" s="464" t="str">
        <f>IFERROR(__xludf.DUMMYFUNCTION("""COMPUTED_VALUE"""),"KIMME")</f>
        <v>KIMME</v>
      </c>
      <c r="L601" s="279" t="str">
        <f>IFERROR(__xludf.DUMMYFUNCTION("""COMPUTED_VALUE"""),"https://vt.tiktok.com/ZSHQL9YkV/")</f>
        <v>https://vt.tiktok.com/ZSHQL9YkV/</v>
      </c>
      <c r="M601" s="464" t="str">
        <f>IFERROR(__xludf.DUMMYFUNCTION("""COMPUTED_VALUE"""),"KIMME")</f>
        <v>KIMME</v>
      </c>
      <c r="N601" s="279" t="str">
        <f>IFERROR(__xludf.DUMMYFUNCTION("""COMPUTED_VALUE"""),"https://vt.tiktok.com/ZSHvQbq93/")</f>
        <v>https://vt.tiktok.com/ZSHvQbq93/</v>
      </c>
      <c r="O601" s="464" t="str">
        <f>IFERROR(__xludf.DUMMYFUNCTION("""COMPUTED_VALUE"""),"KIMME")</f>
        <v>KIMME</v>
      </c>
      <c r="P601" s="279" t="str">
        <f>IFERROR(__xludf.DUMMYFUNCTION("""COMPUTED_VALUE"""),"https://vt.tiktok.com/ZS9NWPaSW/")</f>
        <v>https://vt.tiktok.com/ZS9NWPaSW/</v>
      </c>
    </row>
    <row r="602">
      <c r="A602" s="255" t="str">
        <f>IFERROR(__xludf.DUMMYFUNCTION("""COMPUTED_VALUE"""),"MICRO")</f>
        <v>MICRO</v>
      </c>
      <c r="B602" s="361" t="str">
        <f>IFERROR(__xludf.DUMMYFUNCTION("""COMPUTED_VALUE"""),"intandws_")</f>
        <v>intandws_</v>
      </c>
      <c r="C602" s="257" t="str">
        <f>IFERROR(__xludf.DUMMYFUNCTION("""COMPUTED_VALUE"""),"https://www.tiktok.com/@intandws_")</f>
        <v>https://www.tiktok.com/@intandws_</v>
      </c>
      <c r="D602" s="270">
        <f>IFERROR(__xludf.DUMMYFUNCTION("""COMPUTED_VALUE"""),8.2256116379E10)</f>
        <v>82256116379</v>
      </c>
      <c r="E602" s="457">
        <f>IFERROR(__xludf.DUMMYFUNCTION("""COMPUTED_VALUE"""),0.0)</f>
        <v>0</v>
      </c>
      <c r="F602" s="270">
        <f>IFERROR(__xludf.DUMMYFUNCTION("""COMPUTED_VALUE"""),4.0)</f>
        <v>4</v>
      </c>
      <c r="G602" s="17" t="str">
        <f>IFERROR(__xludf.DUMMYFUNCTION("""COMPUTED_VALUE"""),"Sabun batang 1 Box ( 2 PCS )")</f>
        <v>Sabun batang 1 Box ( 2 PCS )</v>
      </c>
      <c r="H602" s="463" t="str">
        <f>IFERROR(__xludf.DUMMYFUNCTION("""COMPUTED_VALUE"""),"Sampai")</f>
        <v>Sampai</v>
      </c>
      <c r="I602" s="464" t="str">
        <f>IFERROR(__xludf.DUMMYFUNCTION("""COMPUTED_VALUE"""),"KIMME")</f>
        <v>KIMME</v>
      </c>
      <c r="J602" s="279" t="str">
        <f>IFERROR(__xludf.DUMMYFUNCTION("""COMPUTED_VALUE"""),"https://www.tiktok.com/@intandws_/video/7622670031272348949?is_from_webapp=1&amp;sender_device=pc&amp;web_id=7611930277489657360")</f>
        <v>https://www.tiktok.com/@intandws_/video/7622670031272348949?is_from_webapp=1&amp;sender_device=pc&amp;web_id=7611930277489657360</v>
      </c>
      <c r="K602" s="464" t="str">
        <f>IFERROR(__xludf.DUMMYFUNCTION("""COMPUTED_VALUE"""),"KIMME")</f>
        <v>KIMME</v>
      </c>
      <c r="L602" s="279" t="str">
        <f>IFERROR(__xludf.DUMMYFUNCTION("""COMPUTED_VALUE"""),"https://www.tiktok.com/@intandws_/video/7622973710789578005?is_from_webapp=1&amp;sender_device=pc&amp;web_id=7611930277489657360")</f>
        <v>https://www.tiktok.com/@intandws_/video/7622973710789578005?is_from_webapp=1&amp;sender_device=pc&amp;web_id=7611930277489657360</v>
      </c>
      <c r="M602" s="464" t="str">
        <f>IFERROR(__xludf.DUMMYFUNCTION("""COMPUTED_VALUE"""),"KIMME")</f>
        <v>KIMME</v>
      </c>
      <c r="N602" s="279" t="str">
        <f>IFERROR(__xludf.DUMMYFUNCTION("""COMPUTED_VALUE"""),"https://www.tiktok.com/@intandws_/video/7625195832924638485?is_from_webapp=1&amp;sender_device=pc&amp;web_id=7611930277489657360")</f>
        <v>https://www.tiktok.com/@intandws_/video/7625195832924638485?is_from_webapp=1&amp;sender_device=pc&amp;web_id=7611930277489657360</v>
      </c>
      <c r="O602" s="464" t="str">
        <f>IFERROR(__xludf.DUMMYFUNCTION("""COMPUTED_VALUE"""),"KIMME")</f>
        <v>KIMME</v>
      </c>
      <c r="P602" s="279" t="str">
        <f>IFERROR(__xludf.DUMMYFUNCTION("""COMPUTED_VALUE"""),"https://www.tiktok.com/@intandws_/video/7626194700315135252?is_from_webapp=1&amp;sender_device=pc&amp;web_id=7611930277489657360")</f>
        <v>https://www.tiktok.com/@intandws_/video/7626194700315135252?is_from_webapp=1&amp;sender_device=pc&amp;web_id=7611930277489657360</v>
      </c>
    </row>
    <row r="603">
      <c r="A603" s="255" t="str">
        <f>IFERROR(__xludf.DUMMYFUNCTION("""COMPUTED_VALUE"""),"MICRO")</f>
        <v>MICRO</v>
      </c>
      <c r="B603" s="361" t="str">
        <f>IFERROR(__xludf.DUMMYFUNCTION("""COMPUTED_VALUE"""),"koblaha6")</f>
        <v>koblaha6</v>
      </c>
      <c r="C603" s="257" t="str">
        <f>IFERROR(__xludf.DUMMYFUNCTION("""COMPUTED_VALUE"""),"https://www.tiktok.com/@koblaha6")</f>
        <v>https://www.tiktok.com/@koblaha6</v>
      </c>
      <c r="D603" s="270">
        <f>IFERROR(__xludf.DUMMYFUNCTION("""COMPUTED_VALUE"""),8.3132295414E10)</f>
        <v>83132295414</v>
      </c>
      <c r="E603" s="457">
        <f>IFERROR(__xludf.DUMMYFUNCTION("""COMPUTED_VALUE"""),0.0)</f>
        <v>0</v>
      </c>
      <c r="F603" s="270">
        <f>IFERROR(__xludf.DUMMYFUNCTION("""COMPUTED_VALUE"""),4.0)</f>
        <v>4</v>
      </c>
      <c r="G603" s="17" t="str">
        <f>IFERROR(__xludf.DUMMYFUNCTION("""COMPUTED_VALUE"""),"Sabun batang 1 Box ( 2 PCS )")</f>
        <v>Sabun batang 1 Box ( 2 PCS )</v>
      </c>
      <c r="H603" s="463" t="str">
        <f>IFERROR(__xludf.DUMMYFUNCTION("""COMPUTED_VALUE"""),"Sampai")</f>
        <v>Sampai</v>
      </c>
      <c r="I603" s="464" t="str">
        <f>IFERROR(__xludf.DUMMYFUNCTION("""COMPUTED_VALUE"""),"KIMME")</f>
        <v>KIMME</v>
      </c>
      <c r="J603" s="279" t="str">
        <f>IFERROR(__xludf.DUMMYFUNCTION("""COMPUTED_VALUE"""),"https://www.tiktok.com/@intandws_/video/7622670031272348949?is_from_webapp=1&amp;sender_device=pc&amp;web_id=7611930277489657361")</f>
        <v>https://www.tiktok.com/@intandws_/video/7622670031272348949?is_from_webapp=1&amp;sender_device=pc&amp;web_id=7611930277489657361</v>
      </c>
      <c r="K603" s="464" t="str">
        <f>IFERROR(__xludf.DUMMYFUNCTION("""COMPUTED_VALUE"""),"KIMME")</f>
        <v>KIMME</v>
      </c>
      <c r="L603" s="279" t="str">
        <f>IFERROR(__xludf.DUMMYFUNCTION("""COMPUTED_VALUE"""),"https://www.tiktok.com/@intandws_/video/7622973710789578005?is_from_webapp=1&amp;sender_device=pc&amp;web_id=7611930277489657361")</f>
        <v>https://www.tiktok.com/@intandws_/video/7622973710789578005?is_from_webapp=1&amp;sender_device=pc&amp;web_id=7611930277489657361</v>
      </c>
      <c r="M603" s="464" t="str">
        <f>IFERROR(__xludf.DUMMYFUNCTION("""COMPUTED_VALUE"""),"KIMME")</f>
        <v>KIMME</v>
      </c>
      <c r="N603" s="279" t="str">
        <f>IFERROR(__xludf.DUMMYFUNCTION("""COMPUTED_VALUE"""),"https://www.tiktok.com/@intandws_/video/7625195832924638485?is_from_webapp=1&amp;sender_device=pc&amp;web_id=7611930277489657361")</f>
        <v>https://www.tiktok.com/@intandws_/video/7625195832924638485?is_from_webapp=1&amp;sender_device=pc&amp;web_id=7611930277489657361</v>
      </c>
      <c r="O603" s="464" t="str">
        <f>IFERROR(__xludf.DUMMYFUNCTION("""COMPUTED_VALUE"""),"KIMME")</f>
        <v>KIMME</v>
      </c>
      <c r="P603" s="279" t="str">
        <f>IFERROR(__xludf.DUMMYFUNCTION("""COMPUTED_VALUE"""),"https://www.tiktok.com/@intandws_/video/7626194700315135252?is_from_webapp=1&amp;sender_device=pc&amp;web_id=7611930277489657361")</f>
        <v>https://www.tiktok.com/@intandws_/video/7626194700315135252?is_from_webapp=1&amp;sender_device=pc&amp;web_id=7611930277489657361</v>
      </c>
    </row>
    <row r="604">
      <c r="A604" s="255" t="str">
        <f>IFERROR(__xludf.DUMMYFUNCTION("""COMPUTED_VALUE"""),"MICRO")</f>
        <v>MICRO</v>
      </c>
      <c r="B604" s="361" t="str">
        <f>IFERROR(__xludf.DUMMYFUNCTION("""COMPUTED_VALUE"""),"ade.luvss")</f>
        <v>ade.luvss</v>
      </c>
      <c r="C604" s="257" t="str">
        <f>IFERROR(__xludf.DUMMYFUNCTION("""COMPUTED_VALUE"""),"https://www.tiktok.com/@ade.luvss")</f>
        <v>https://www.tiktok.com/@ade.luvss</v>
      </c>
      <c r="D604" s="270">
        <f>IFERROR(__xludf.DUMMYFUNCTION("""COMPUTED_VALUE"""),8.3170595243E10)</f>
        <v>83170595243</v>
      </c>
      <c r="E604" s="457">
        <f>IFERROR(__xludf.DUMMYFUNCTION("""COMPUTED_VALUE"""),0.0)</f>
        <v>0</v>
      </c>
      <c r="F604" s="270">
        <f>IFERROR(__xludf.DUMMYFUNCTION("""COMPUTED_VALUE"""),4.0)</f>
        <v>4</v>
      </c>
      <c r="G604" s="17" t="str">
        <f>IFERROR(__xludf.DUMMYFUNCTION("""COMPUTED_VALUE"""),"Sabun batang 1 Box ( 2 PCS )")</f>
        <v>Sabun batang 1 Box ( 2 PCS )</v>
      </c>
      <c r="H604" s="463" t="str">
        <f>IFERROR(__xludf.DUMMYFUNCTION("""COMPUTED_VALUE"""),"Sampai")</f>
        <v>Sampai</v>
      </c>
      <c r="I604" s="464" t="str">
        <f>IFERROR(__xludf.DUMMYFUNCTION("""COMPUTED_VALUE"""),"KIMME")</f>
        <v>KIMME</v>
      </c>
      <c r="J604" s="279" t="str">
        <f>IFERROR(__xludf.DUMMYFUNCTION("""COMPUTED_VALUE"""),"https://www.tiktok.com/@intandws_/video/7622670031272348949?is_from_webapp=1&amp;sender_device=pc&amp;web_id=7611930277489657362")</f>
        <v>https://www.tiktok.com/@intandws_/video/7622670031272348949?is_from_webapp=1&amp;sender_device=pc&amp;web_id=7611930277489657362</v>
      </c>
      <c r="K604" s="464" t="str">
        <f>IFERROR(__xludf.DUMMYFUNCTION("""COMPUTED_VALUE"""),"KIMME")</f>
        <v>KIMME</v>
      </c>
      <c r="L604" s="279" t="str">
        <f>IFERROR(__xludf.DUMMYFUNCTION("""COMPUTED_VALUE"""),"https://www.tiktok.com/@intandws_/video/7622973710789578005?is_from_webapp=1&amp;sender_device=pc&amp;web_id=7611930277489657362")</f>
        <v>https://www.tiktok.com/@intandws_/video/7622973710789578005?is_from_webapp=1&amp;sender_device=pc&amp;web_id=7611930277489657362</v>
      </c>
      <c r="M604" s="464" t="str">
        <f>IFERROR(__xludf.DUMMYFUNCTION("""COMPUTED_VALUE"""),"KIMME")</f>
        <v>KIMME</v>
      </c>
      <c r="N604" s="279" t="str">
        <f>IFERROR(__xludf.DUMMYFUNCTION("""COMPUTED_VALUE"""),"https://www.tiktok.com/@intandws_/video/7625195832924638485?is_from_webapp=1&amp;sender_device=pc&amp;web_id=7611930277489657362")</f>
        <v>https://www.tiktok.com/@intandws_/video/7625195832924638485?is_from_webapp=1&amp;sender_device=pc&amp;web_id=7611930277489657362</v>
      </c>
      <c r="O604" s="464" t="str">
        <f>IFERROR(__xludf.DUMMYFUNCTION("""COMPUTED_VALUE"""),"KIMME")</f>
        <v>KIMME</v>
      </c>
      <c r="P604" s="279" t="str">
        <f>IFERROR(__xludf.DUMMYFUNCTION("""COMPUTED_VALUE"""),"https://www.tiktok.com/@intandws_/video/7626194700315135252?is_from_webapp=1&amp;sender_device=pc&amp;web_id=7611930277489657362")</f>
        <v>https://www.tiktok.com/@intandws_/video/7626194700315135252?is_from_webapp=1&amp;sender_device=pc&amp;web_id=7611930277489657362</v>
      </c>
    </row>
    <row r="605">
      <c r="A605" s="255" t="str">
        <f>IFERROR(__xludf.DUMMYFUNCTION("""COMPUTED_VALUE"""),"MICRO")</f>
        <v>MICRO</v>
      </c>
      <c r="B605" s="361" t="str">
        <f>IFERROR(__xludf.DUMMYFUNCTION("""COMPUTED_VALUE"""),"mariavvania_")</f>
        <v>mariavvania_</v>
      </c>
      <c r="C605" s="257" t="str">
        <f>IFERROR(__xludf.DUMMYFUNCTION("""COMPUTED_VALUE"""),"https://www.tiktok.com/@mariavvania_")</f>
        <v>https://www.tiktok.com/@mariavvania_</v>
      </c>
      <c r="D605" s="270">
        <f>IFERROR(__xludf.DUMMYFUNCTION("""COMPUTED_VALUE"""),8.778240617E10)</f>
        <v>87782406170</v>
      </c>
      <c r="E605" s="457">
        <f>IFERROR(__xludf.DUMMYFUNCTION("""COMPUTED_VALUE"""),0.0)</f>
        <v>0</v>
      </c>
      <c r="F605" s="270">
        <f>IFERROR(__xludf.DUMMYFUNCTION("""COMPUTED_VALUE"""),4.0)</f>
        <v>4</v>
      </c>
      <c r="G605" s="17" t="str">
        <f>IFERROR(__xludf.DUMMYFUNCTION("""COMPUTED_VALUE"""),"Sabun batang 1 Box ( 2 PCS )")</f>
        <v>Sabun batang 1 Box ( 2 PCS )</v>
      </c>
      <c r="H605" s="463" t="str">
        <f>IFERROR(__xludf.DUMMYFUNCTION("""COMPUTED_VALUE"""),"Sampai")</f>
        <v>Sampai</v>
      </c>
      <c r="I605" s="464" t="str">
        <f>IFERROR(__xludf.DUMMYFUNCTION("""COMPUTED_VALUE"""),"KIMME")</f>
        <v>KIMME</v>
      </c>
      <c r="J605" s="279" t="str">
        <f>IFERROR(__xludf.DUMMYFUNCTION("""COMPUTED_VALUE"""),"https://www.tiktok.com/@intandws_/video/7622670031272348949?is_from_webapp=1&amp;sender_device=pc&amp;web_id=7611930277489657363")</f>
        <v>https://www.tiktok.com/@intandws_/video/7622670031272348949?is_from_webapp=1&amp;sender_device=pc&amp;web_id=7611930277489657363</v>
      </c>
      <c r="K605" s="464" t="str">
        <f>IFERROR(__xludf.DUMMYFUNCTION("""COMPUTED_VALUE"""),"KIMME")</f>
        <v>KIMME</v>
      </c>
      <c r="L605" s="279" t="str">
        <f>IFERROR(__xludf.DUMMYFUNCTION("""COMPUTED_VALUE"""),"https://www.tiktok.com/@intandws_/video/7622973710789578005?is_from_webapp=1&amp;sender_device=pc&amp;web_id=7611930277489657363")</f>
        <v>https://www.tiktok.com/@intandws_/video/7622973710789578005?is_from_webapp=1&amp;sender_device=pc&amp;web_id=7611930277489657363</v>
      </c>
      <c r="M605" s="464" t="str">
        <f>IFERROR(__xludf.DUMMYFUNCTION("""COMPUTED_VALUE"""),"KIMME")</f>
        <v>KIMME</v>
      </c>
      <c r="N605" s="279" t="str">
        <f>IFERROR(__xludf.DUMMYFUNCTION("""COMPUTED_VALUE"""),"https://www.tiktok.com/@intandws_/video/7625195832924638485?is_from_webapp=1&amp;sender_device=pc&amp;web_id=7611930277489657363")</f>
        <v>https://www.tiktok.com/@intandws_/video/7625195832924638485?is_from_webapp=1&amp;sender_device=pc&amp;web_id=7611930277489657363</v>
      </c>
      <c r="O605" s="464" t="str">
        <f>IFERROR(__xludf.DUMMYFUNCTION("""COMPUTED_VALUE"""),"KIMME")</f>
        <v>KIMME</v>
      </c>
      <c r="P605" s="279" t="str">
        <f>IFERROR(__xludf.DUMMYFUNCTION("""COMPUTED_VALUE"""),"https://www.tiktok.com/@intandws_/video/7626194700315135252?is_from_webapp=1&amp;sender_device=pc&amp;web_id=7611930277489657363")</f>
        <v>https://www.tiktok.com/@intandws_/video/7626194700315135252?is_from_webapp=1&amp;sender_device=pc&amp;web_id=7611930277489657363</v>
      </c>
    </row>
    <row r="606">
      <c r="A606" s="255" t="str">
        <f>IFERROR(__xludf.DUMMYFUNCTION("""COMPUTED_VALUE"""),"MICRO")</f>
        <v>MICRO</v>
      </c>
      <c r="B606" s="361" t="str">
        <f>IFERROR(__xludf.DUMMYFUNCTION("""COMPUTED_VALUE"""),"acikuy")</f>
        <v>acikuy</v>
      </c>
      <c r="C606" s="257" t="str">
        <f>IFERROR(__xludf.DUMMYFUNCTION("""COMPUTED_VALUE"""),"https://www.tiktok.com/@acikuy")</f>
        <v>https://www.tiktok.com/@acikuy</v>
      </c>
      <c r="D606" s="270">
        <f>IFERROR(__xludf.DUMMYFUNCTION("""COMPUTED_VALUE"""),8.5261162097E10)</f>
        <v>85261162097</v>
      </c>
      <c r="E606" s="457">
        <f>IFERROR(__xludf.DUMMYFUNCTION("""COMPUTED_VALUE"""),0.0)</f>
        <v>0</v>
      </c>
      <c r="F606" s="270">
        <f>IFERROR(__xludf.DUMMYFUNCTION("""COMPUTED_VALUE"""),1.0)</f>
        <v>1</v>
      </c>
      <c r="G606" s="17" t="str">
        <f>IFERROR(__xludf.DUMMYFUNCTION("""COMPUTED_VALUE"""),"Sabun batang 1 Box ( 2 PCS )")</f>
        <v>Sabun batang 1 Box ( 2 PCS )</v>
      </c>
      <c r="H606" s="463" t="str">
        <f>IFERROR(__xludf.DUMMYFUNCTION("""COMPUTED_VALUE"""),"Sampai")</f>
        <v>Sampai</v>
      </c>
      <c r="I606" s="464" t="str">
        <f>IFERROR(__xludf.DUMMYFUNCTION("""COMPUTED_VALUE"""),"KIMME")</f>
        <v>KIMME</v>
      </c>
      <c r="J606" s="279" t="str">
        <f>IFERROR(__xludf.DUMMYFUNCTION("""COMPUTED_VALUE"""),"https://www.tiktok.com/@intandws_/video/7622670031272348949?is_from_webapp=1&amp;sender_device=pc&amp;web_id=7611930277489657364")</f>
        <v>https://www.tiktok.com/@intandws_/video/7622670031272348949?is_from_webapp=1&amp;sender_device=pc&amp;web_id=7611930277489657364</v>
      </c>
      <c r="K606" s="464" t="str">
        <f>IFERROR(__xludf.DUMMYFUNCTION("""COMPUTED_VALUE"""),"KIMME")</f>
        <v>KIMME</v>
      </c>
      <c r="L606" s="279" t="str">
        <f>IFERROR(__xludf.DUMMYFUNCTION("""COMPUTED_VALUE"""),"https://www.tiktok.com/@intandws_/video/7622973710789578005?is_from_webapp=1&amp;sender_device=pc&amp;web_id=7611930277489657364")</f>
        <v>https://www.tiktok.com/@intandws_/video/7622973710789578005?is_from_webapp=1&amp;sender_device=pc&amp;web_id=7611930277489657364</v>
      </c>
      <c r="M606" s="464" t="str">
        <f>IFERROR(__xludf.DUMMYFUNCTION("""COMPUTED_VALUE"""),"KIMME")</f>
        <v>KIMME</v>
      </c>
      <c r="N606" s="279" t="str">
        <f>IFERROR(__xludf.DUMMYFUNCTION("""COMPUTED_VALUE"""),"https://www.tiktok.com/@intandws_/video/7625195832924638485?is_from_webapp=1&amp;sender_device=pc&amp;web_id=7611930277489657364")</f>
        <v>https://www.tiktok.com/@intandws_/video/7625195832924638485?is_from_webapp=1&amp;sender_device=pc&amp;web_id=7611930277489657364</v>
      </c>
      <c r="O606" s="464" t="str">
        <f>IFERROR(__xludf.DUMMYFUNCTION("""COMPUTED_VALUE"""),"KIMME")</f>
        <v>KIMME</v>
      </c>
      <c r="P606" s="279" t="str">
        <f>IFERROR(__xludf.DUMMYFUNCTION("""COMPUTED_VALUE"""),"https://www.tiktok.com/@intandws_/video/7626194700315135252?is_from_webapp=1&amp;sender_device=pc&amp;web_id=7611930277489657364")</f>
        <v>https://www.tiktok.com/@intandws_/video/7626194700315135252?is_from_webapp=1&amp;sender_device=pc&amp;web_id=7611930277489657364</v>
      </c>
    </row>
    <row r="607">
      <c r="A607" s="255" t="str">
        <f>IFERROR(__xludf.DUMMYFUNCTION("""COMPUTED_VALUE"""),"MICRO")</f>
        <v>MICRO</v>
      </c>
      <c r="B607" s="361" t="str">
        <f>IFERROR(__xludf.DUMMYFUNCTION("""COMPUTED_VALUE"""),"pilinskiii")</f>
        <v>pilinskiii</v>
      </c>
      <c r="C607" s="257" t="str">
        <f>IFERROR(__xludf.DUMMYFUNCTION("""COMPUTED_VALUE"""),"https://www.tiktok.com/@pilinskiii")</f>
        <v>https://www.tiktok.com/@pilinskiii</v>
      </c>
      <c r="D607" s="270">
        <f>IFERROR(__xludf.DUMMYFUNCTION("""COMPUTED_VALUE"""),8.1395892186E10)</f>
        <v>81395892186</v>
      </c>
      <c r="E607" s="457">
        <f>IFERROR(__xludf.DUMMYFUNCTION("""COMPUTED_VALUE"""),0.0)</f>
        <v>0</v>
      </c>
      <c r="F607" s="270">
        <f>IFERROR(__xludf.DUMMYFUNCTION("""COMPUTED_VALUE"""),4.0)</f>
        <v>4</v>
      </c>
      <c r="G607" s="17" t="str">
        <f>IFERROR(__xludf.DUMMYFUNCTION("""COMPUTED_VALUE"""),"Sabun batang 1 Box ( 2 PCS )")</f>
        <v>Sabun batang 1 Box ( 2 PCS )</v>
      </c>
      <c r="H607" s="463" t="str">
        <f>IFERROR(__xludf.DUMMYFUNCTION("""COMPUTED_VALUE"""),"Sampai")</f>
        <v>Sampai</v>
      </c>
      <c r="I607" s="464" t="str">
        <f>IFERROR(__xludf.DUMMYFUNCTION("""COMPUTED_VALUE"""),"KIMME")</f>
        <v>KIMME</v>
      </c>
      <c r="J607" s="279" t="str">
        <f>IFERROR(__xludf.DUMMYFUNCTION("""COMPUTED_VALUE"""),"https://www.tiktok.com/@intandws_/video/7622670031272348949?is_from_webapp=1&amp;sender_device=pc&amp;web_id=7611930277489657365")</f>
        <v>https://www.tiktok.com/@intandws_/video/7622670031272348949?is_from_webapp=1&amp;sender_device=pc&amp;web_id=7611930277489657365</v>
      </c>
      <c r="K607" s="464" t="str">
        <f>IFERROR(__xludf.DUMMYFUNCTION("""COMPUTED_VALUE"""),"KIMME")</f>
        <v>KIMME</v>
      </c>
      <c r="L607" s="279" t="str">
        <f>IFERROR(__xludf.DUMMYFUNCTION("""COMPUTED_VALUE"""),"https://www.tiktok.com/@intandws_/video/7622973710789578005?is_from_webapp=1&amp;sender_device=pc&amp;web_id=7611930277489657365")</f>
        <v>https://www.tiktok.com/@intandws_/video/7622973710789578005?is_from_webapp=1&amp;sender_device=pc&amp;web_id=7611930277489657365</v>
      </c>
      <c r="M607" s="464" t="str">
        <f>IFERROR(__xludf.DUMMYFUNCTION("""COMPUTED_VALUE"""),"KIMME")</f>
        <v>KIMME</v>
      </c>
      <c r="N607" s="279" t="str">
        <f>IFERROR(__xludf.DUMMYFUNCTION("""COMPUTED_VALUE"""),"https://www.tiktok.com/@intandws_/video/7625195832924638485?is_from_webapp=1&amp;sender_device=pc&amp;web_id=7611930277489657365")</f>
        <v>https://www.tiktok.com/@intandws_/video/7625195832924638485?is_from_webapp=1&amp;sender_device=pc&amp;web_id=7611930277489657365</v>
      </c>
      <c r="O607" s="464" t="str">
        <f>IFERROR(__xludf.DUMMYFUNCTION("""COMPUTED_VALUE"""),"KIMME")</f>
        <v>KIMME</v>
      </c>
      <c r="P607" s="279" t="str">
        <f>IFERROR(__xludf.DUMMYFUNCTION("""COMPUTED_VALUE"""),"https://www.tiktok.com/@intandws_/video/7626194700315135252?is_from_webapp=1&amp;sender_device=pc&amp;web_id=7611930277489657365")</f>
        <v>https://www.tiktok.com/@intandws_/video/7626194700315135252?is_from_webapp=1&amp;sender_device=pc&amp;web_id=7611930277489657365</v>
      </c>
    </row>
    <row r="608">
      <c r="A608" s="255" t="str">
        <f>IFERROR(__xludf.DUMMYFUNCTION("""COMPUTED_VALUE"""),"MICRO")</f>
        <v>MICRO</v>
      </c>
      <c r="B608" s="361" t="str">
        <f>IFERROR(__xludf.DUMMYFUNCTION("""COMPUTED_VALUE"""),"crazyvibes314")</f>
        <v>crazyvibes314</v>
      </c>
      <c r="C608" s="257" t="str">
        <f>IFERROR(__xludf.DUMMYFUNCTION("""COMPUTED_VALUE"""),"https://www.tiktok.com/@crazyvibes314")</f>
        <v>https://www.tiktok.com/@crazyvibes314</v>
      </c>
      <c r="D608" s="270">
        <f>IFERROR(__xludf.DUMMYFUNCTION("""COMPUTED_VALUE"""),8.994900607E9)</f>
        <v>8994900607</v>
      </c>
      <c r="E608" s="457">
        <f>IFERROR(__xludf.DUMMYFUNCTION("""COMPUTED_VALUE"""),0.0)</f>
        <v>0</v>
      </c>
      <c r="F608" s="270">
        <f>IFERROR(__xludf.DUMMYFUNCTION("""COMPUTED_VALUE"""),4.0)</f>
        <v>4</v>
      </c>
      <c r="G608" s="17" t="str">
        <f>IFERROR(__xludf.DUMMYFUNCTION("""COMPUTED_VALUE"""),"Sabun batang 1 Box ( 2 PCS )")</f>
        <v>Sabun batang 1 Box ( 2 PCS )</v>
      </c>
      <c r="H608" s="463" t="str">
        <f>IFERROR(__xludf.DUMMYFUNCTION("""COMPUTED_VALUE"""),"Sampai")</f>
        <v>Sampai</v>
      </c>
      <c r="I608" s="464" t="str">
        <f>IFERROR(__xludf.DUMMYFUNCTION("""COMPUTED_VALUE"""),"KIMME")</f>
        <v>KIMME</v>
      </c>
      <c r="J608" s="279" t="str">
        <f>IFERROR(__xludf.DUMMYFUNCTION("""COMPUTED_VALUE"""),"https://www.tiktok.com/@intandws_/video/7622670031272348949?is_from_webapp=1&amp;sender_device=pc&amp;web_id=7611930277489657366")</f>
        <v>https://www.tiktok.com/@intandws_/video/7622670031272348949?is_from_webapp=1&amp;sender_device=pc&amp;web_id=7611930277489657366</v>
      </c>
      <c r="K608" s="464" t="str">
        <f>IFERROR(__xludf.DUMMYFUNCTION("""COMPUTED_VALUE"""),"KIMME")</f>
        <v>KIMME</v>
      </c>
      <c r="L608" s="279" t="str">
        <f>IFERROR(__xludf.DUMMYFUNCTION("""COMPUTED_VALUE"""),"https://www.tiktok.com/@intandws_/video/7622973710789578005?is_from_webapp=1&amp;sender_device=pc&amp;web_id=7611930277489657366")</f>
        <v>https://www.tiktok.com/@intandws_/video/7622973710789578005?is_from_webapp=1&amp;sender_device=pc&amp;web_id=7611930277489657366</v>
      </c>
      <c r="M608" s="464" t="str">
        <f>IFERROR(__xludf.DUMMYFUNCTION("""COMPUTED_VALUE"""),"KIMME")</f>
        <v>KIMME</v>
      </c>
      <c r="N608" s="279" t="str">
        <f>IFERROR(__xludf.DUMMYFUNCTION("""COMPUTED_VALUE"""),"https://www.tiktok.com/@intandws_/video/7625195832924638485?is_from_webapp=1&amp;sender_device=pc&amp;web_id=7611930277489657366")</f>
        <v>https://www.tiktok.com/@intandws_/video/7625195832924638485?is_from_webapp=1&amp;sender_device=pc&amp;web_id=7611930277489657366</v>
      </c>
      <c r="O608" s="464" t="str">
        <f>IFERROR(__xludf.DUMMYFUNCTION("""COMPUTED_VALUE"""),"KIMME")</f>
        <v>KIMME</v>
      </c>
      <c r="P608" s="279" t="str">
        <f>IFERROR(__xludf.DUMMYFUNCTION("""COMPUTED_VALUE"""),"https://www.tiktok.com/@intandws_/video/7626194700315135252?is_from_webapp=1&amp;sender_device=pc&amp;web_id=7611930277489657366")</f>
        <v>https://www.tiktok.com/@intandws_/video/7626194700315135252?is_from_webapp=1&amp;sender_device=pc&amp;web_id=7611930277489657366</v>
      </c>
    </row>
    <row r="609">
      <c r="A609" s="255" t="str">
        <f>IFERROR(__xludf.DUMMYFUNCTION("""COMPUTED_VALUE"""),"MICRO")</f>
        <v>MICRO</v>
      </c>
      <c r="B609" s="361" t="str">
        <f>IFERROR(__xludf.DUMMYFUNCTION("""COMPUTED_VALUE"""),"acilbeneran")</f>
        <v>acilbeneran</v>
      </c>
      <c r="C609" s="257" t="str">
        <f>IFERROR(__xludf.DUMMYFUNCTION("""COMPUTED_VALUE"""),"https://www.tiktok.com/@acilbeneran")</f>
        <v>https://www.tiktok.com/@acilbeneran</v>
      </c>
      <c r="D609" s="270">
        <f>IFERROR(__xludf.DUMMYFUNCTION("""COMPUTED_VALUE"""),8.1393451976E10)</f>
        <v>81393451976</v>
      </c>
      <c r="E609" s="457">
        <f>IFERROR(__xludf.DUMMYFUNCTION("""COMPUTED_VALUE"""),0.0)</f>
        <v>0</v>
      </c>
      <c r="F609" s="270">
        <f>IFERROR(__xludf.DUMMYFUNCTION("""COMPUTED_VALUE"""),4.0)</f>
        <v>4</v>
      </c>
      <c r="G609" s="17" t="str">
        <f>IFERROR(__xludf.DUMMYFUNCTION("""COMPUTED_VALUE"""),"Sabun batang 1 Box ( 2 PCS )")</f>
        <v>Sabun batang 1 Box ( 2 PCS )</v>
      </c>
      <c r="H609" s="463" t="str">
        <f>IFERROR(__xludf.DUMMYFUNCTION("""COMPUTED_VALUE"""),"Sampai")</f>
        <v>Sampai</v>
      </c>
      <c r="I609" s="464" t="str">
        <f>IFERROR(__xludf.DUMMYFUNCTION("""COMPUTED_VALUE"""),"KIMME")</f>
        <v>KIMME</v>
      </c>
      <c r="J609" s="279" t="str">
        <f>IFERROR(__xludf.DUMMYFUNCTION("""COMPUTED_VALUE"""),"https://www.tiktok.com/@intandws_/video/7622670031272348949?is_from_webapp=1&amp;sender_device=pc&amp;web_id=7611930277489657367")</f>
        <v>https://www.tiktok.com/@intandws_/video/7622670031272348949?is_from_webapp=1&amp;sender_device=pc&amp;web_id=7611930277489657367</v>
      </c>
      <c r="K609" s="464" t="str">
        <f>IFERROR(__xludf.DUMMYFUNCTION("""COMPUTED_VALUE"""),"KIMME")</f>
        <v>KIMME</v>
      </c>
      <c r="L609" s="279" t="str">
        <f>IFERROR(__xludf.DUMMYFUNCTION("""COMPUTED_VALUE"""),"https://www.tiktok.com/@intandws_/video/7622973710789578005?is_from_webapp=1&amp;sender_device=pc&amp;web_id=7611930277489657367")</f>
        <v>https://www.tiktok.com/@intandws_/video/7622973710789578005?is_from_webapp=1&amp;sender_device=pc&amp;web_id=7611930277489657367</v>
      </c>
      <c r="M609" s="464" t="str">
        <f>IFERROR(__xludf.DUMMYFUNCTION("""COMPUTED_VALUE"""),"KIMME")</f>
        <v>KIMME</v>
      </c>
      <c r="N609" s="279" t="str">
        <f>IFERROR(__xludf.DUMMYFUNCTION("""COMPUTED_VALUE"""),"https://www.tiktok.com/@intandws_/video/7625195832924638485?is_from_webapp=1&amp;sender_device=pc&amp;web_id=7611930277489657367")</f>
        <v>https://www.tiktok.com/@intandws_/video/7625195832924638485?is_from_webapp=1&amp;sender_device=pc&amp;web_id=7611930277489657367</v>
      </c>
      <c r="O609" s="464" t="str">
        <f>IFERROR(__xludf.DUMMYFUNCTION("""COMPUTED_VALUE"""),"KIMME")</f>
        <v>KIMME</v>
      </c>
      <c r="P609" s="279" t="str">
        <f>IFERROR(__xludf.DUMMYFUNCTION("""COMPUTED_VALUE"""),"https://www.tiktok.com/@intandws_/video/7626194700315135252?is_from_webapp=1&amp;sender_device=pc&amp;web_id=7611930277489657367")</f>
        <v>https://www.tiktok.com/@intandws_/video/7626194700315135252?is_from_webapp=1&amp;sender_device=pc&amp;web_id=7611930277489657367</v>
      </c>
    </row>
    <row r="610">
      <c r="A610" s="255" t="str">
        <f>IFERROR(__xludf.DUMMYFUNCTION("""COMPUTED_VALUE"""),"MICRO")</f>
        <v>MICRO</v>
      </c>
      <c r="B610" s="361" t="str">
        <f>IFERROR(__xludf.DUMMYFUNCTION("""COMPUTED_VALUE"""),"mbakadeklaris17")</f>
        <v>mbakadeklaris17</v>
      </c>
      <c r="C610" s="257" t="str">
        <f>IFERROR(__xludf.DUMMYFUNCTION("""COMPUTED_VALUE"""),"https://www.tiktok.com/@mbakadeklaris17")</f>
        <v>https://www.tiktok.com/@mbakadeklaris17</v>
      </c>
      <c r="D610" s="270">
        <f>IFERROR(__xludf.DUMMYFUNCTION("""COMPUTED_VALUE"""),8.1219774777E10)</f>
        <v>81219774777</v>
      </c>
      <c r="E610" s="457">
        <f>IFERROR(__xludf.DUMMYFUNCTION("""COMPUTED_VALUE"""),0.0)</f>
        <v>0</v>
      </c>
      <c r="F610" s="270">
        <f>IFERROR(__xludf.DUMMYFUNCTION("""COMPUTED_VALUE"""),4.0)</f>
        <v>4</v>
      </c>
      <c r="G610" s="17" t="str">
        <f>IFERROR(__xludf.DUMMYFUNCTION("""COMPUTED_VALUE"""),"Sabun batang 1 Box ( 2 PCS )")</f>
        <v>Sabun batang 1 Box ( 2 PCS )</v>
      </c>
      <c r="H610" s="463" t="str">
        <f>IFERROR(__xludf.DUMMYFUNCTION("""COMPUTED_VALUE"""),"Sampai")</f>
        <v>Sampai</v>
      </c>
      <c r="I610" s="464" t="str">
        <f>IFERROR(__xludf.DUMMYFUNCTION("""COMPUTED_VALUE"""),"KIMME")</f>
        <v>KIMME</v>
      </c>
      <c r="J610" s="279" t="str">
        <f>IFERROR(__xludf.DUMMYFUNCTION("""COMPUTED_VALUE"""),"https://www.tiktok.com/@intandws_/video/7622670031272348949?is_from_webapp=1&amp;sender_device=pc&amp;web_id=7611930277489657368")</f>
        <v>https://www.tiktok.com/@intandws_/video/7622670031272348949?is_from_webapp=1&amp;sender_device=pc&amp;web_id=7611930277489657368</v>
      </c>
      <c r="K610" s="464" t="str">
        <f>IFERROR(__xludf.DUMMYFUNCTION("""COMPUTED_VALUE"""),"KIMME")</f>
        <v>KIMME</v>
      </c>
      <c r="L610" s="279" t="str">
        <f>IFERROR(__xludf.DUMMYFUNCTION("""COMPUTED_VALUE"""),"https://www.tiktok.com/@intandws_/video/7622973710789578005?is_from_webapp=1&amp;sender_device=pc&amp;web_id=7611930277489657368")</f>
        <v>https://www.tiktok.com/@intandws_/video/7622973710789578005?is_from_webapp=1&amp;sender_device=pc&amp;web_id=7611930277489657368</v>
      </c>
      <c r="M610" s="464" t="str">
        <f>IFERROR(__xludf.DUMMYFUNCTION("""COMPUTED_VALUE"""),"KIMME")</f>
        <v>KIMME</v>
      </c>
      <c r="N610" s="279" t="str">
        <f>IFERROR(__xludf.DUMMYFUNCTION("""COMPUTED_VALUE"""),"https://www.tiktok.com/@intandws_/video/7625195832924638485?is_from_webapp=1&amp;sender_device=pc&amp;web_id=7611930277489657368")</f>
        <v>https://www.tiktok.com/@intandws_/video/7625195832924638485?is_from_webapp=1&amp;sender_device=pc&amp;web_id=7611930277489657368</v>
      </c>
      <c r="O610" s="464" t="str">
        <f>IFERROR(__xludf.DUMMYFUNCTION("""COMPUTED_VALUE"""),"KIMME")</f>
        <v>KIMME</v>
      </c>
      <c r="P610" s="279" t="str">
        <f>IFERROR(__xludf.DUMMYFUNCTION("""COMPUTED_VALUE"""),"https://www.tiktok.com/@intandws_/video/7626194700315135252?is_from_webapp=1&amp;sender_device=pc&amp;web_id=7611930277489657368")</f>
        <v>https://www.tiktok.com/@intandws_/video/7626194700315135252?is_from_webapp=1&amp;sender_device=pc&amp;web_id=7611930277489657368</v>
      </c>
    </row>
    <row r="611">
      <c r="A611" s="255" t="str">
        <f>IFERROR(__xludf.DUMMYFUNCTION("""COMPUTED_VALUE"""),"MICRO")</f>
        <v>MICRO</v>
      </c>
      <c r="B611" s="361" t="str">
        <f>IFERROR(__xludf.DUMMYFUNCTION("""COMPUTED_VALUE"""),"wulansipalingmakeup")</f>
        <v>wulansipalingmakeup</v>
      </c>
      <c r="C611" s="257" t="str">
        <f>IFERROR(__xludf.DUMMYFUNCTION("""COMPUTED_VALUE"""),"https://www.tiktok.com/@wulansipalingmakeup")</f>
        <v>https://www.tiktok.com/@wulansipalingmakeup</v>
      </c>
      <c r="D611" s="270">
        <f>IFERROR(__xludf.DUMMYFUNCTION("""COMPUTED_VALUE"""),8.5394426156E10)</f>
        <v>85394426156</v>
      </c>
      <c r="E611" s="457">
        <f>IFERROR(__xludf.DUMMYFUNCTION("""COMPUTED_VALUE"""),0.0)</f>
        <v>0</v>
      </c>
      <c r="F611" s="270">
        <f>IFERROR(__xludf.DUMMYFUNCTION("""COMPUTED_VALUE"""),4.0)</f>
        <v>4</v>
      </c>
      <c r="G611" s="17" t="str">
        <f>IFERROR(__xludf.DUMMYFUNCTION("""COMPUTED_VALUE"""),"Sabun batang 1 Box ( 2 PCS )")</f>
        <v>Sabun batang 1 Box ( 2 PCS )</v>
      </c>
      <c r="H611" s="463" t="str">
        <f>IFERROR(__xludf.DUMMYFUNCTION("""COMPUTED_VALUE"""),"Sampai")</f>
        <v>Sampai</v>
      </c>
      <c r="I611" s="464" t="str">
        <f>IFERROR(__xludf.DUMMYFUNCTION("""COMPUTED_VALUE"""),"KIMME")</f>
        <v>KIMME</v>
      </c>
      <c r="J611" s="279" t="str">
        <f>IFERROR(__xludf.DUMMYFUNCTION("""COMPUTED_VALUE"""),"https://www.tiktok.com/@wulansipalingmakeup/video/7628583406510591252?is_from_webapp=1&amp;sender_device=pc&amp;web_id=7611930277489657360")</f>
        <v>https://www.tiktok.com/@wulansipalingmakeup/video/7628583406510591252?is_from_webapp=1&amp;sender_device=pc&amp;web_id=7611930277489657360</v>
      </c>
      <c r="K611" s="464" t="str">
        <f>IFERROR(__xludf.DUMMYFUNCTION("""COMPUTED_VALUE"""),"KIMME")</f>
        <v>KIMME</v>
      </c>
      <c r="L611" s="279" t="str">
        <f>IFERROR(__xludf.DUMMYFUNCTION("""COMPUTED_VALUE"""),"https://www.tiktok.com/@racun_spalspil12/video/7634538878317251861?_r=1&amp;u_code=cllj6j6aidf05b&amp;region=&amp;mid=7622622325444545300&amp;preview_pb=0&amp;sharer_language=&amp;_d=0&amp;ec_shared_reflux_dynamic_params=%7B%22placeholder_material_id%22%3A%227634538878317251861%22%2"&amp;"C%22placeholder_origin_cover%22%3A%22https%253A%252F%252Fp16-common-sign.tiktokcdn.com%252Ftos-alisg-p-0037%252FogxRBBcDpBV3klsFEqh1RAIfEBvzf8XggRILD2~tplv-tiktokx-origin.jpeg%253Fdr%253D14572%2526refresh_token%253Dd3f1925c%2526x-expires%253D1810116000%25"&amp;"26x-signature%253D3MvcVHX%25252BmkUYUX1I4%25252FT4LpIA9b8%25253D%2526t%253D4d5b0474%2526ps%253D13740610%2526shp%253Dd05b14bd%2526shcp%253D34ff8df6%2526idc%253Dmy2%2526s%253DTIKTOK_AFFILIATE_VIRAL_VIDEO%22%2C%22placeholder_product_id%22%3A%2217297297305555"&amp;"12511%22%2C%22placeholder_video_id%22%3A%227634538878317251861%22%7D&amp;ec_shared_reflux_scene=shop_tab_feed&amp;share_item_id=7634538878317251861&amp;source=h5_t")</f>
        <v>https://www.tiktok.com/@racun_spalspil12/video/7634538878317251861?_r=1&amp;u_code=cllj6j6aidf05b&amp;region=&amp;mid=7622622325444545300&amp;preview_pb=0&amp;sharer_language=&amp;_d=0&amp;ec_shared_reflux_dynamic_params=%7B%22placeholder_material_id%22%3A%227634538878317251861%22%2C%22placeholder_origin_cover%22%3A%22https%253A%252F%252Fp16-common-sign.tiktokcdn.com%252Ftos-alisg-p-0037%252FogxRBBcDpBV3klsFEqh1RAIfEBvzf8XggRILD2~tplv-tiktokx-origin.jpeg%253Fdr%253D14572%2526refresh_token%253Dd3f1925c%2526x-expires%253D1810116000%2526x-signature%253D3MvcVHX%25252BmkUYUX1I4%25252FT4LpIA9b8%25253D%2526t%253D4d5b0474%2526ps%253D13740610%2526shp%253Dd05b14bd%2526shcp%253D34ff8df6%2526idc%253Dmy2%2526s%253DTIKTOK_AFFILIATE_VIRAL_VIDEO%22%2C%22placeholder_product_id%22%3A%221729729730555512511%22%2C%22placeholder_video_id%22%3A%227634538878317251861%22%7D&amp;ec_shared_reflux_scene=shop_tab_feed&amp;share_item_id=7634538878317251861&amp;source=h5_t</v>
      </c>
      <c r="M611" s="464"/>
      <c r="N611" s="279" t="str">
        <f>IFERROR(__xludf.DUMMYFUNCTION("""COMPUTED_VALUE"""),"https://www.tiktok.com/@racun_spalspil12/video/7634538057345027349?_r=1&amp;u_code=cllj6j6aidf05b&amp;region=&amp;mid=7626899689086520072&amp;preview_pb=0&amp;sharer_language=&amp;_d=0&amp;ec_shared_reflux_dynamic_params=%7B%22placeholder_material_id%22%3A%227634538057345027349%22%2"&amp;"C%22placeholder_origin_cover%22%3A%22https%253A%252F%252Fp16-common-sign.tiktokcdn.com%252Ftos-alisg-p-0037%252FocPISpWfQrzI4r5CemTGeDWjdnALF0qAHcbTQU~tplv-tiktokx-origin.jpeg%253Fdr%253D14572%2526refresh_token%253Dd88dbf84%2526x-expires%253D1810116000%25"&amp;"26x-signature%253Dj9wbf6A9oKA4MiCx%25252F6bx0Zy22nc%25253D%2526t%253D4d5b0474%2526ps%253D13740610%2526shp%253Dd05b14bd%2526shcp%253D34ff8df6%2526idc%253Dmy2%2526s%253DTIKTOK_AFFILIATE_VIRAL_VIDEO%22%2C%22placeholder_product_id%22%3A%221729729730555512511%"&amp;"22%2C%22placeholder_video_id%22%3A%227634538057345027349%22%7D&amp;ec_shared_reflux_scene=shop_tab_feed&amp;share_item_id=7634538057345027349&amp;source=h5_t")</f>
        <v>https://www.tiktok.com/@racun_spalspil12/video/7634538057345027349?_r=1&amp;u_code=cllj6j6aidf05b&amp;region=&amp;mid=7626899689086520072&amp;preview_pb=0&amp;sharer_language=&amp;_d=0&amp;ec_shared_reflux_dynamic_params=%7B%22placeholder_material_id%22%3A%227634538057345027349%22%2C%22placeholder_origin_cover%22%3A%22https%253A%252F%252Fp16-common-sign.tiktokcdn.com%252Ftos-alisg-p-0037%252FocPISpWfQrzI4r5CemTGeDWjdnALF0qAHcbTQU~tplv-tiktokx-origin.jpeg%253Fdr%253D14572%2526refresh_token%253Dd88dbf84%2526x-expires%253D1810116000%2526x-signature%253Dj9wbf6A9oKA4MiCx%25252F6bx0Zy22nc%25253D%2526t%253D4d5b0474%2526ps%253D13740610%2526shp%253Dd05b14bd%2526shcp%253D34ff8df6%2526idc%253Dmy2%2526s%253DTIKTOK_AFFILIATE_VIRAL_VIDEO%22%2C%22placeholder_product_id%22%3A%221729729730555512511%22%2C%22placeholder_video_id%22%3A%227634538057345027349%22%7D&amp;ec_shared_reflux_scene=shop_tab_feed&amp;share_item_id=7634538057345027349&amp;source=h5_t</v>
      </c>
      <c r="O611" s="464"/>
      <c r="P611" s="279" t="str">
        <f>IFERROR(__xludf.DUMMYFUNCTION("""COMPUTED_VALUE"""),"https://www.tiktok.com/@racun_spalspil12/video/7634537710018907413?_r=1&amp;u_code=cllj6j6aidf05b&amp;region=&amp;mid=7624353502927604487&amp;preview_pb=0&amp;sharer_language=&amp;_d=0&amp;ec_shared_reflux_dynamic_params=%7B%22placeholder_material_id%22%3A%227634537710018907413%22%2"&amp;"C%22placeholder_origin_cover%22%3A%22https%253A%252F%252Fp16-common-sign.tiktokcdn.com%252Ftos-alisg-p-0037%252FoEfVg4IGfqeDyhAGUTqzIJEg6KLYJjA5TxCuhA~tplv-tiktokx-origin.jpeg%253Fdr%253D14572%2526refresh_token%253D84212f78%2526x-expires%253D1810116000%25"&amp;"26x-signature%253DVBWpqsmkganwGYndVzrz7UT8S80%25253D%2526t%253D4d5b0474%2526ps%253D13740610%2526shp%253Dd05b14bd%2526shcp%253D34ff8df6%2526idc%253Dmy2%2526s%253DTIKTOK_AFFILIATE_VIRAL_VIDEO%22%2C%22placeholder_product_id%22%3A%221729729730555512511%22%2C%"&amp;"22placeholder_video_id%22%3A%227634537710018907413%22%7D&amp;ec_shared_reflux_scene=shop_tab_feed&amp;share_item_id=7634537710018907413&amp;source=h5_t")</f>
        <v>https://www.tiktok.com/@racun_spalspil12/video/7634537710018907413?_r=1&amp;u_code=cllj6j6aidf05b&amp;region=&amp;mid=7624353502927604487&amp;preview_pb=0&amp;sharer_language=&amp;_d=0&amp;ec_shared_reflux_dynamic_params=%7B%22placeholder_material_id%22%3A%227634537710018907413%22%2C%22placeholder_origin_cover%22%3A%22https%253A%252F%252Fp16-common-sign.tiktokcdn.com%252Ftos-alisg-p-0037%252FoEfVg4IGfqeDyhAGUTqzIJEg6KLYJjA5TxCuhA~tplv-tiktokx-origin.jpeg%253Fdr%253D14572%2526refresh_token%253D84212f78%2526x-expires%253D1810116000%2526x-signature%253DVBWpqsmkganwGYndVzrz7UT8S80%25253D%2526t%253D4d5b0474%2526ps%253D13740610%2526shp%253Dd05b14bd%2526shcp%253D34ff8df6%2526idc%253Dmy2%2526s%253DTIKTOK_AFFILIATE_VIRAL_VIDEO%22%2C%22placeholder_product_id%22%3A%221729729730555512511%22%2C%22placeholder_video_id%22%3A%227634537710018907413%22%7D&amp;ec_shared_reflux_scene=shop_tab_feed&amp;share_item_id=7634537710018907413&amp;source=h5_t</v>
      </c>
    </row>
    <row r="612">
      <c r="A612" s="255" t="str">
        <f>IFERROR(__xludf.DUMMYFUNCTION("""COMPUTED_VALUE"""),"MICRO")</f>
        <v>MICRO</v>
      </c>
      <c r="B612" s="361" t="str">
        <f>IFERROR(__xludf.DUMMYFUNCTION("""COMPUTED_VALUE"""),"mom.of.jingga")</f>
        <v>mom.of.jingga</v>
      </c>
      <c r="C612" s="257" t="str">
        <f>IFERROR(__xludf.DUMMYFUNCTION("""COMPUTED_VALUE"""),"https://www.tiktok.com/@mom.of.jingga")</f>
        <v>https://www.tiktok.com/@mom.of.jingga</v>
      </c>
      <c r="D612" s="270">
        <f>IFERROR(__xludf.DUMMYFUNCTION("""COMPUTED_VALUE"""),8.224977981E9)</f>
        <v>8224977981</v>
      </c>
      <c r="E612" s="457">
        <f>IFERROR(__xludf.DUMMYFUNCTION("""COMPUTED_VALUE"""),0.0)</f>
        <v>0</v>
      </c>
      <c r="F612" s="270">
        <f>IFERROR(__xludf.DUMMYFUNCTION("""COMPUTED_VALUE"""),4.0)</f>
        <v>4</v>
      </c>
      <c r="G612" s="17" t="str">
        <f>IFERROR(__xludf.DUMMYFUNCTION("""COMPUTED_VALUE"""),"Sabun batang 1 Box ( 2 PCS )")</f>
        <v>Sabun batang 1 Box ( 2 PCS )</v>
      </c>
      <c r="H612" s="463" t="str">
        <f>IFERROR(__xludf.DUMMYFUNCTION("""COMPUTED_VALUE"""),"Sampai")</f>
        <v>Sampai</v>
      </c>
      <c r="I612" s="464" t="str">
        <f>IFERROR(__xludf.DUMMYFUNCTION("""COMPUTED_VALUE"""),"KIMME")</f>
        <v>KIMME</v>
      </c>
      <c r="J612" s="279" t="str">
        <f>IFERROR(__xludf.DUMMYFUNCTION("""COMPUTED_VALUE"""),"https://www.tiktok.com/@intandws_/video/7622670031272348949?is_from_webapp=1&amp;sender_device=pc&amp;web_id=7611930277489657367")</f>
        <v>https://www.tiktok.com/@intandws_/video/7622670031272348949?is_from_webapp=1&amp;sender_device=pc&amp;web_id=7611930277489657367</v>
      </c>
      <c r="K612" s="464" t="str">
        <f>IFERROR(__xludf.DUMMYFUNCTION("""COMPUTED_VALUE"""),"KIMME")</f>
        <v>KIMME</v>
      </c>
      <c r="L612" s="279" t="str">
        <f>IFERROR(__xludf.DUMMYFUNCTION("""COMPUTED_VALUE"""),"https://www.tiktok.com/@intandws_/video/7622973710789578005?is_from_webapp=1&amp;sender_device=pc&amp;web_id=7611930277489657367")</f>
        <v>https://www.tiktok.com/@intandws_/video/7622973710789578005?is_from_webapp=1&amp;sender_device=pc&amp;web_id=7611930277489657367</v>
      </c>
      <c r="M612" s="464" t="str">
        <f>IFERROR(__xludf.DUMMYFUNCTION("""COMPUTED_VALUE"""),"KIMME")</f>
        <v>KIMME</v>
      </c>
      <c r="N612" s="279" t="str">
        <f>IFERROR(__xludf.DUMMYFUNCTION("""COMPUTED_VALUE"""),"https://www.tiktok.com/@intandws_/video/7625195832924638485?is_from_webapp=1&amp;sender_device=pc&amp;web_id=7611930277489657367")</f>
        <v>https://www.tiktok.com/@intandws_/video/7625195832924638485?is_from_webapp=1&amp;sender_device=pc&amp;web_id=7611930277489657367</v>
      </c>
      <c r="O612" s="464" t="str">
        <f>IFERROR(__xludf.DUMMYFUNCTION("""COMPUTED_VALUE"""),"KIMME")</f>
        <v>KIMME</v>
      </c>
      <c r="P612" s="279" t="str">
        <f>IFERROR(__xludf.DUMMYFUNCTION("""COMPUTED_VALUE"""),"https://www.tiktok.com/@intandws_/video/7626194700315135252?is_from_webapp=1&amp;sender_device=pc&amp;web_id=7611930277489657367")</f>
        <v>https://www.tiktok.com/@intandws_/video/7626194700315135252?is_from_webapp=1&amp;sender_device=pc&amp;web_id=7611930277489657367</v>
      </c>
    </row>
    <row r="613">
      <c r="A613" s="255" t="str">
        <f>IFERROR(__xludf.DUMMYFUNCTION("""COMPUTED_VALUE"""),"MICRO")</f>
        <v>MICRO</v>
      </c>
      <c r="B613" s="361" t="str">
        <f>IFERROR(__xludf.DUMMYFUNCTION("""COMPUTED_VALUE"""),"tata81692")</f>
        <v>tata81692</v>
      </c>
      <c r="C613" s="257" t="str">
        <f>IFERROR(__xludf.DUMMYFUNCTION("""COMPUTED_VALUE"""),"https://www.tiktok.com/@tata81692")</f>
        <v>https://www.tiktok.com/@tata81692</v>
      </c>
      <c r="D613" s="270">
        <f>IFERROR(__xludf.DUMMYFUNCTION("""COMPUTED_VALUE"""),8.7823234496E10)</f>
        <v>87823234496</v>
      </c>
      <c r="E613" s="457">
        <f>IFERROR(__xludf.DUMMYFUNCTION("""COMPUTED_VALUE"""),0.0)</f>
        <v>0</v>
      </c>
      <c r="F613" s="270">
        <f>IFERROR(__xludf.DUMMYFUNCTION("""COMPUTED_VALUE"""),4.0)</f>
        <v>4</v>
      </c>
      <c r="G613" s="17" t="str">
        <f>IFERROR(__xludf.DUMMYFUNCTION("""COMPUTED_VALUE"""),"Sabun batang 1 Box ( 2 PCS )")</f>
        <v>Sabun batang 1 Box ( 2 PCS )</v>
      </c>
      <c r="H613" s="463" t="str">
        <f>IFERROR(__xludf.DUMMYFUNCTION("""COMPUTED_VALUE"""),"Sampai")</f>
        <v>Sampai</v>
      </c>
      <c r="I613" s="464" t="str">
        <f>IFERROR(__xludf.DUMMYFUNCTION("""COMPUTED_VALUE"""),"KIMME")</f>
        <v>KIMME</v>
      </c>
      <c r="J613" s="279" t="str">
        <f>IFERROR(__xludf.DUMMYFUNCTION("""COMPUTED_VALUE"""),"https://www.tiktok.com/@intandws_/video/7622670031272348949?is_from_webapp=1&amp;sender_device=pc&amp;web_id=7611930277489657368")</f>
        <v>https://www.tiktok.com/@intandws_/video/7622670031272348949?is_from_webapp=1&amp;sender_device=pc&amp;web_id=7611930277489657368</v>
      </c>
      <c r="K613" s="464" t="str">
        <f>IFERROR(__xludf.DUMMYFUNCTION("""COMPUTED_VALUE"""),"KIMME")</f>
        <v>KIMME</v>
      </c>
      <c r="L613" s="279" t="str">
        <f>IFERROR(__xludf.DUMMYFUNCTION("""COMPUTED_VALUE"""),"https://www.tiktok.com/@intandws_/video/7622973710789578005?is_from_webapp=1&amp;sender_device=pc&amp;web_id=7611930277489657368")</f>
        <v>https://www.tiktok.com/@intandws_/video/7622973710789578005?is_from_webapp=1&amp;sender_device=pc&amp;web_id=7611930277489657368</v>
      </c>
      <c r="M613" s="464" t="str">
        <f>IFERROR(__xludf.DUMMYFUNCTION("""COMPUTED_VALUE"""),"KIMME")</f>
        <v>KIMME</v>
      </c>
      <c r="N613" s="279" t="str">
        <f>IFERROR(__xludf.DUMMYFUNCTION("""COMPUTED_VALUE"""),"https://www.tiktok.com/@intandws_/video/7625195832924638485?is_from_webapp=1&amp;sender_device=pc&amp;web_id=7611930277489657368")</f>
        <v>https://www.tiktok.com/@intandws_/video/7625195832924638485?is_from_webapp=1&amp;sender_device=pc&amp;web_id=7611930277489657368</v>
      </c>
      <c r="O613" s="464" t="str">
        <f>IFERROR(__xludf.DUMMYFUNCTION("""COMPUTED_VALUE"""),"KIMME")</f>
        <v>KIMME</v>
      </c>
      <c r="P613" s="279" t="str">
        <f>IFERROR(__xludf.DUMMYFUNCTION("""COMPUTED_VALUE"""),"https://www.tiktok.com/@intandws_/video/7626194700315135252?is_from_webapp=1&amp;sender_device=pc&amp;web_id=7611930277489657368")</f>
        <v>https://www.tiktok.com/@intandws_/video/7626194700315135252?is_from_webapp=1&amp;sender_device=pc&amp;web_id=7611930277489657368</v>
      </c>
    </row>
    <row r="614">
      <c r="A614" s="255" t="str">
        <f>IFERROR(__xludf.DUMMYFUNCTION("""COMPUTED_VALUE"""),"MICRO")</f>
        <v>MICRO</v>
      </c>
      <c r="B614" s="361" t="str">
        <f>IFERROR(__xludf.DUMMYFUNCTION("""COMPUTED_VALUE"""),"mey_akina05")</f>
        <v>mey_akina05</v>
      </c>
      <c r="C614" s="257" t="str">
        <f>IFERROR(__xludf.DUMMYFUNCTION("""COMPUTED_VALUE"""),"https://www.tiktok.com/@mey_akina05")</f>
        <v>https://www.tiktok.com/@mey_akina05</v>
      </c>
      <c r="D614" s="270">
        <f>IFERROR(__xludf.DUMMYFUNCTION("""COMPUTED_VALUE"""),8.5340179418E10)</f>
        <v>85340179418</v>
      </c>
      <c r="E614" s="457">
        <f>IFERROR(__xludf.DUMMYFUNCTION("""COMPUTED_VALUE"""),0.0)</f>
        <v>0</v>
      </c>
      <c r="F614" s="270">
        <f>IFERROR(__xludf.DUMMYFUNCTION("""COMPUTED_VALUE"""),4.0)</f>
        <v>4</v>
      </c>
      <c r="G614" s="17" t="str">
        <f>IFERROR(__xludf.DUMMYFUNCTION("""COMPUTED_VALUE"""),"Sabun batang 1 Box ( 2 PCS )")</f>
        <v>Sabun batang 1 Box ( 2 PCS )</v>
      </c>
      <c r="H614" s="463" t="str">
        <f>IFERROR(__xludf.DUMMYFUNCTION("""COMPUTED_VALUE"""),"Sampai")</f>
        <v>Sampai</v>
      </c>
      <c r="I614" s="464" t="str">
        <f>IFERROR(__xludf.DUMMYFUNCTION("""COMPUTED_VALUE"""),"KIMME")</f>
        <v>KIMME</v>
      </c>
      <c r="J614" s="279" t="str">
        <f>IFERROR(__xludf.DUMMYFUNCTION("""COMPUTED_VALUE"""),"https://vt.tiktok.com/ZS9NW91ty/")</f>
        <v>https://vt.tiktok.com/ZS9NW91ty/</v>
      </c>
      <c r="K614" s="464" t="str">
        <f>IFERROR(__xludf.DUMMYFUNCTION("""COMPUTED_VALUE"""),"KIMME")</f>
        <v>KIMME</v>
      </c>
      <c r="L614" s="279" t="str">
        <f>IFERROR(__xludf.DUMMYFUNCTION("""COMPUTED_VALUE"""),"https://vt.tiktok.com/ZS9NWAt54/")</f>
        <v>https://vt.tiktok.com/ZS9NWAt54/</v>
      </c>
      <c r="M614" s="464" t="str">
        <f>IFERROR(__xludf.DUMMYFUNCTION("""COMPUTED_VALUE"""),"KIMME")</f>
        <v>KIMME</v>
      </c>
      <c r="N614" s="279" t="str">
        <f>IFERROR(__xludf.DUMMYFUNCTION("""COMPUTED_VALUE"""),"https://vt.tiktok.com/ZS9NWAAwM/")</f>
        <v>https://vt.tiktok.com/ZS9NWAAwM/</v>
      </c>
      <c r="O614" s="464" t="str">
        <f>IFERROR(__xludf.DUMMYFUNCTION("""COMPUTED_VALUE"""),"KIMME")</f>
        <v>KIMME</v>
      </c>
      <c r="P614" s="279" t="str">
        <f>IFERROR(__xludf.DUMMYFUNCTION("""COMPUTED_VALUE"""),"https://vt.tiktok.com/ZS9NWuYuW/")</f>
        <v>https://vt.tiktok.com/ZS9NWuYuW/</v>
      </c>
    </row>
    <row r="615">
      <c r="A615" s="255" t="str">
        <f>IFERROR(__xludf.DUMMYFUNCTION("""COMPUTED_VALUE"""),"MICRO")</f>
        <v>MICRO</v>
      </c>
      <c r="B615" s="361" t="str">
        <f>IFERROR(__xludf.DUMMYFUNCTION("""COMPUTED_VALUE"""),"dpujianzari")</f>
        <v>dpujianzari</v>
      </c>
      <c r="C615" s="257" t="str">
        <f>IFERROR(__xludf.DUMMYFUNCTION("""COMPUTED_VALUE"""),"https://www.tiktok.com/@dpujianzari")</f>
        <v>https://www.tiktok.com/@dpujianzari</v>
      </c>
      <c r="D615" s="270">
        <f>IFERROR(__xludf.DUMMYFUNCTION("""COMPUTED_VALUE"""),8.823712399E10)</f>
        <v>88237123990</v>
      </c>
      <c r="E615" s="457">
        <f>IFERROR(__xludf.DUMMYFUNCTION("""COMPUTED_VALUE"""),0.0)</f>
        <v>0</v>
      </c>
      <c r="F615" s="270">
        <f>IFERROR(__xludf.DUMMYFUNCTION("""COMPUTED_VALUE"""),4.0)</f>
        <v>4</v>
      </c>
      <c r="G615" s="17" t="str">
        <f>IFERROR(__xludf.DUMMYFUNCTION("""COMPUTED_VALUE"""),"Sabun batang 1 Box ( 2 PCS )")</f>
        <v>Sabun batang 1 Box ( 2 PCS )</v>
      </c>
      <c r="H615" s="463" t="str">
        <f>IFERROR(__xludf.DUMMYFUNCTION("""COMPUTED_VALUE"""),"Sampai")</f>
        <v>Sampai</v>
      </c>
      <c r="I615" s="464" t="str">
        <f>IFERROR(__xludf.DUMMYFUNCTION("""COMPUTED_VALUE"""),"KIMME")</f>
        <v>KIMME</v>
      </c>
      <c r="J615" s="279" t="str">
        <f>IFERROR(__xludf.DUMMYFUNCTION("""COMPUTED_VALUE"""),"https://vt.tiktok.com/ZS9NWMmbo/")</f>
        <v>https://vt.tiktok.com/ZS9NWMmbo/</v>
      </c>
      <c r="K615" s="464" t="str">
        <f>IFERROR(__xludf.DUMMYFUNCTION("""COMPUTED_VALUE"""),"KIMME")</f>
        <v>KIMME</v>
      </c>
      <c r="L615" s="279" t="str">
        <f>IFERROR(__xludf.DUMMYFUNCTION("""COMPUTED_VALUE"""),"https://vt.tiktok.com/ZS9NWyGXR/")</f>
        <v>https://vt.tiktok.com/ZS9NWyGXR/</v>
      </c>
      <c r="M615" s="464" t="str">
        <f>IFERROR(__xludf.DUMMYFUNCTION("""COMPUTED_VALUE"""),"KIMME")</f>
        <v>KIMME</v>
      </c>
      <c r="N615" s="279" t="str">
        <f>IFERROR(__xludf.DUMMYFUNCTION("""COMPUTED_VALUE"""),"https://vt.tiktok.com/ZS9NWqAkT/")</f>
        <v>https://vt.tiktok.com/ZS9NWqAkT/</v>
      </c>
      <c r="O615" s="464" t="str">
        <f>IFERROR(__xludf.DUMMYFUNCTION("""COMPUTED_VALUE"""),"KIMME")</f>
        <v>KIMME</v>
      </c>
      <c r="P615" s="279" t="str">
        <f>IFERROR(__xludf.DUMMYFUNCTION("""COMPUTED_VALUE"""),"https://vt.tiktok.com/ZS98F4uhG/")</f>
        <v>https://vt.tiktok.com/ZS98F4uhG/</v>
      </c>
    </row>
    <row r="616">
      <c r="A616" s="255" t="str">
        <f>IFERROR(__xludf.DUMMYFUNCTION("""COMPUTED_VALUE"""),"MICRO")</f>
        <v>MICRO</v>
      </c>
      <c r="B616" s="361" t="str">
        <f>IFERROR(__xludf.DUMMYFUNCTION("""COMPUTED_VALUE"""),"annnaaa3101")</f>
        <v>annnaaa3101</v>
      </c>
      <c r="C616" s="257" t="str">
        <f>IFERROR(__xludf.DUMMYFUNCTION("""COMPUTED_VALUE"""),"https://www.tiktok.com/@annnaaa3101")</f>
        <v>https://www.tiktok.com/@annnaaa3101</v>
      </c>
      <c r="D616" s="270">
        <f>IFERROR(__xludf.DUMMYFUNCTION("""COMPUTED_VALUE"""),8.95603770368E11)</f>
        <v>895603770368</v>
      </c>
      <c r="E616" s="457">
        <f>IFERROR(__xludf.DUMMYFUNCTION("""COMPUTED_VALUE"""),0.0)</f>
        <v>0</v>
      </c>
      <c r="F616" s="270">
        <f>IFERROR(__xludf.DUMMYFUNCTION("""COMPUTED_VALUE"""),4.0)</f>
        <v>4</v>
      </c>
      <c r="G616" s="17" t="str">
        <f>IFERROR(__xludf.DUMMYFUNCTION("""COMPUTED_VALUE"""),"Sabun batang 1 Box ( 2 PCS )")</f>
        <v>Sabun batang 1 Box ( 2 PCS )</v>
      </c>
      <c r="H616" s="463" t="str">
        <f>IFERROR(__xludf.DUMMYFUNCTION("""COMPUTED_VALUE"""),"Sampai")</f>
        <v>Sampai</v>
      </c>
      <c r="I616" s="464" t="str">
        <f>IFERROR(__xludf.DUMMYFUNCTION("""COMPUTED_VALUE"""),"KIMME")</f>
        <v>KIMME</v>
      </c>
      <c r="J616" s="279" t="str">
        <f>IFERROR(__xludf.DUMMYFUNCTION("""COMPUTED_VALUE"""),"https://vt.tiktok.com/ZS98F76ce/")</f>
        <v>https://vt.tiktok.com/ZS98F76ce/</v>
      </c>
      <c r="K616" s="464" t="str">
        <f>IFERROR(__xludf.DUMMYFUNCTION("""COMPUTED_VALUE"""),"KIMME")</f>
        <v>KIMME</v>
      </c>
      <c r="L616" s="279" t="str">
        <f>IFERROR(__xludf.DUMMYFUNCTION("""COMPUTED_VALUE"""),"https://vt.tiktok.com/ZS98FTGdn/")</f>
        <v>https://vt.tiktok.com/ZS98FTGdn/</v>
      </c>
      <c r="M616" s="464" t="str">
        <f>IFERROR(__xludf.DUMMYFUNCTION("""COMPUTED_VALUE"""),"KIMME")</f>
        <v>KIMME</v>
      </c>
      <c r="N616" s="279" t="str">
        <f>IFERROR(__xludf.DUMMYFUNCTION("""COMPUTED_VALUE"""),"https://vt.tiktok.com/ZS98FeWx7/")</f>
        <v>https://vt.tiktok.com/ZS98FeWx7/</v>
      </c>
      <c r="O616" s="464" t="str">
        <f>IFERROR(__xludf.DUMMYFUNCTION("""COMPUTED_VALUE"""),"KIMME")</f>
        <v>KIMME</v>
      </c>
      <c r="P616" s="279" t="str">
        <f>IFERROR(__xludf.DUMMYFUNCTION("""COMPUTED_VALUE"""),"https://vt.tiktok.com/ZS98FRQx9/")</f>
        <v>https://vt.tiktok.com/ZS98FRQx9/</v>
      </c>
    </row>
    <row r="617">
      <c r="A617" s="255" t="str">
        <f>IFERROR(__xludf.DUMMYFUNCTION("""COMPUTED_VALUE"""),"MICRO")</f>
        <v>MICRO</v>
      </c>
      <c r="B617" s="361" t="str">
        <f>IFERROR(__xludf.DUMMYFUNCTION("""COMPUTED_VALUE"""),"mamarey13")</f>
        <v>mamarey13</v>
      </c>
      <c r="C617" s="257" t="str">
        <f>IFERROR(__xludf.DUMMYFUNCTION("""COMPUTED_VALUE"""),"https://www.tiktok.com/@mamarey13")</f>
        <v>https://www.tiktok.com/@mamarey13</v>
      </c>
      <c r="D617" s="270">
        <f>IFERROR(__xludf.DUMMYFUNCTION("""COMPUTED_VALUE"""),8.871229798E9)</f>
        <v>8871229798</v>
      </c>
      <c r="E617" s="457">
        <f>IFERROR(__xludf.DUMMYFUNCTION("""COMPUTED_VALUE"""),150000.0)</f>
        <v>150000</v>
      </c>
      <c r="F617" s="270">
        <f>IFERROR(__xludf.DUMMYFUNCTION("""COMPUTED_VALUE"""),1.0)</f>
        <v>1</v>
      </c>
      <c r="G617" s="17" t="str">
        <f>IFERROR(__xludf.DUMMYFUNCTION("""COMPUTED_VALUE"""),"Sabun batang 1 Box ( 2 PCS )")</f>
        <v>Sabun batang 1 Box ( 2 PCS )</v>
      </c>
      <c r="H617" s="463" t="str">
        <f>IFERROR(__xludf.DUMMYFUNCTION("""COMPUTED_VALUE"""),"Sampai")</f>
        <v>Sampai</v>
      </c>
      <c r="I617" s="464" t="str">
        <f>IFERROR(__xludf.DUMMYFUNCTION("""COMPUTED_VALUE"""),"KIMME")</f>
        <v>KIMME</v>
      </c>
      <c r="J617" s="279" t="str">
        <f>IFERROR(__xludf.DUMMYFUNCTION("""COMPUTED_VALUE"""),"https://www.tiktok.com/@mamarey13/video/7623028898749500693?is_from_webapp=1&amp;sender_device=pc")</f>
        <v>https://www.tiktok.com/@mamarey13/video/7623028898749500693?is_from_webapp=1&amp;sender_device=pc</v>
      </c>
      <c r="K617" s="464" t="str">
        <f>IFERROR(__xludf.DUMMYFUNCTION("""COMPUTED_VALUE"""),"KIMME")</f>
        <v>KIMME</v>
      </c>
      <c r="L617" s="279" t="str">
        <f>IFERROR(__xludf.DUMMYFUNCTION("""COMPUTED_VALUE"""),"https://www.tiktok.com/@racun_spalspil12/video/7634537710018907413?_r=1&amp;u_code=cllj6j6aidf05b&amp;region=&amp;mid=7624353502927604487&amp;preview_pb=0&amp;sharer_language=&amp;_d=0&amp;ec_shared_reflux_dynamic_params=%7B%22placeholder_material_id%22%3A%227634537710018907413%22%2"&amp;"C%22placeholder_origin_cover%22%3A%22https%253A%252F%252Fp16-common-sign.tiktokcdn.com%252Ftos-alisg-p-0037%252FoEfVg4IGfqeDyhAGUTqzIJEg6KLYJjA5TxCuhA~tplv-tiktokx-origin.jpeg%253Fdr%253D14572%2526refresh_token%253D84212f78%2526x-expires%253D1810116000%25"&amp;"26x-signature%253DVBWpqsmkganwGYndVzrz7UT8S80%25253D%2526t%253D4d5b0474%2526ps%253D13740610%2526shp%253Dd05b14bd%2526shcp%253D34ff8df6%2526idc%253Dmy2%2526s%253DTIKTOK_AFFILIATE_VIRAL_VIDEO%22%2C%22placeholder_product_id%22%3A%221729729730555512511%22%2C%"&amp;"22placeholder_video_id%22%3A%227634537710018907413%22%7D&amp;ec_shared_reflux_scene=shop_tab_feed&amp;share_item_id=7634537710018907413&amp;source=h5_t")</f>
        <v>https://www.tiktok.com/@racun_spalspil12/video/7634537710018907413?_r=1&amp;u_code=cllj6j6aidf05b&amp;region=&amp;mid=7624353502927604487&amp;preview_pb=0&amp;sharer_language=&amp;_d=0&amp;ec_shared_reflux_dynamic_params=%7B%22placeholder_material_id%22%3A%227634537710018907413%22%2C%22placeholder_origin_cover%22%3A%22https%253A%252F%252Fp16-common-sign.tiktokcdn.com%252Ftos-alisg-p-0037%252FoEfVg4IGfqeDyhAGUTqzIJEg6KLYJjA5TxCuhA~tplv-tiktokx-origin.jpeg%253Fdr%253D14572%2526refresh_token%253D84212f78%2526x-expires%253D1810116000%2526x-signature%253DVBWpqsmkganwGYndVzrz7UT8S80%25253D%2526t%253D4d5b0474%2526ps%253D13740610%2526shp%253Dd05b14bd%2526shcp%253D34ff8df6%2526idc%253Dmy2%2526s%253DTIKTOK_AFFILIATE_VIRAL_VIDEO%22%2C%22placeholder_product_id%22%3A%221729729730555512511%22%2C%22placeholder_video_id%22%3A%227634537710018907413%22%7D&amp;ec_shared_reflux_scene=shop_tab_feed&amp;share_item_id=7634537710018907413&amp;source=h5_t</v>
      </c>
      <c r="M617" s="464"/>
      <c r="N617" s="279" t="str">
        <f>IFERROR(__xludf.DUMMYFUNCTION("""COMPUTED_VALUE"""),"https://www.tiktok.com/@racun_spalspil12/video/7634536641243221268?_r=1&amp;u_code=cllj6j6aidf05b&amp;region=&amp;mid=7538747777314785296&amp;preview_pb=0&amp;sharer_language=&amp;_d=0&amp;ec_shared_reflux_dynamic_params=%7B%22placeholder_material_id%22%3A%227634536641243221268%22%2"&amp;"C%22placeholder_origin_cover%22%3A%22https%253A%252F%252Fp16-common-sign.tiktokcdn.com%252Ftos-alisg-p-0037%252FocDLzqfJBuf1pF5EX4hBAMcnE8IBUIRgRFTHgK~tplv-tiktokx-origin.jpeg%253Fdr%253D14572%2526refresh_token%253D1b8a2431%2526x-expires%253D1810116000%25"&amp;"26x-signature%253DJXn0ySSwwWI8Gt4uRKcq3XF%25252B%25252B58%25253D%2526t%253D4d5b0474%2526ps%253D13740610%2526shp%253Dd05b14bd%2526shcp%253D34ff8df6%2526idc%253Dmy2%2526s%253DTIKTOK_AFFILIATE_VIRAL_VIDEO%22%2C%22placeholder_product_id%22%3A%2217297297305555"&amp;"12511%22%2C%22placeholder_video_id%22%3A%227634536641243221268%22%7D&amp;ec_shared_reflux_scene=shop_tab_feed&amp;share_item_id=7634536641243221268&amp;source=h5_t")</f>
        <v>https://www.tiktok.com/@racun_spalspil12/video/7634536641243221268?_r=1&amp;u_code=cllj6j6aidf05b&amp;region=&amp;mid=7538747777314785296&amp;preview_pb=0&amp;sharer_language=&amp;_d=0&amp;ec_shared_reflux_dynamic_params=%7B%22placeholder_material_id%22%3A%227634536641243221268%22%2C%22placeholder_origin_cover%22%3A%22https%253A%252F%252Fp16-common-sign.tiktokcdn.com%252Ftos-alisg-p-0037%252FocDLzqfJBuf1pF5EX4hBAMcnE8IBUIRgRFTHgK~tplv-tiktokx-origin.jpeg%253Fdr%253D14572%2526refresh_token%253D1b8a2431%2526x-expires%253D1810116000%2526x-signature%253DJXn0ySSwwWI8Gt4uRKcq3XF%25252B%25252B58%25253D%2526t%253D4d5b0474%2526ps%253D13740610%2526shp%253Dd05b14bd%2526shcp%253D34ff8df6%2526idc%253Dmy2%2526s%253DTIKTOK_AFFILIATE_VIRAL_VIDEO%22%2C%22placeholder_product_id%22%3A%221729729730555512511%22%2C%22placeholder_video_id%22%3A%227634536641243221268%22%7D&amp;ec_shared_reflux_scene=shop_tab_feed&amp;share_item_id=7634536641243221268&amp;source=h5_t</v>
      </c>
      <c r="O617" s="464"/>
      <c r="P617" s="279" t="str">
        <f>IFERROR(__xludf.DUMMYFUNCTION("""COMPUTED_VALUE"""),"https://www.tiktok.com/@racun_spalspil12/video/7634525331176639764?_r=1&amp;u_code=cllj6j6aidf05b&amp;region=&amp;mid=7623706568667712273&amp;preview_pb=0&amp;sharer_language=&amp;_d=0&amp;ec_shared_reflux_dynamic_params=%7B%22placeholder_material_id%22%3A%227634525331176639764%22%2"&amp;"C%22placeholder_origin_cover%22%3A%22https%253A%252F%252Fp16-common-sign.tiktokcdn.com%252Ftos-alisg-p-0037%252FocFifAD8SSbBGFRfppYVhCcEgI1zBrLIXZr0E4~tplv-tiktokx-origin.jpeg%253Fdr%253D14572%2526refresh_token%253Dbe037d75%2526x-expires%253D1810116000%25"&amp;"26x-signature%253DeRiCcrABI9baASzBZhW64w0nF9I%25253D%2526t%253D4d5b0474%2526ps%253D13740610%2526shp%253Dd05b14bd%2526shcp%253D34ff8df6%2526idc%253Dmy2%2526s%253DTIKTOK_AFFILIATE_VIRAL_VIDEO%22%2C%22placeholder_product_id%22%3A%221729729730555512511%22%2C%"&amp;"22placeholder_video_id%22%3A%227634525331176639764%22%7D&amp;ec_shared_reflux_scene=shop_tab_feed&amp;share_item_id=7634525331176639764&amp;source=h5_t")</f>
        <v>https://www.tiktok.com/@racun_spalspil12/video/7634525331176639764?_r=1&amp;u_code=cllj6j6aidf05b&amp;region=&amp;mid=7623706568667712273&amp;preview_pb=0&amp;sharer_language=&amp;_d=0&amp;ec_shared_reflux_dynamic_params=%7B%22placeholder_material_id%22%3A%227634525331176639764%22%2C%22placeholder_origin_cover%22%3A%22https%253A%252F%252Fp16-common-sign.tiktokcdn.com%252Ftos-alisg-p-0037%252FocFifAD8SSbBGFRfppYVhCcEgI1zBrLIXZr0E4~tplv-tiktokx-origin.jpeg%253Fdr%253D14572%2526refresh_token%253Dbe037d75%2526x-expires%253D1810116000%2526x-signature%253DeRiCcrABI9baASzBZhW64w0nF9I%25253D%2526t%253D4d5b0474%2526ps%253D13740610%2526shp%253Dd05b14bd%2526shcp%253D34ff8df6%2526idc%253Dmy2%2526s%253DTIKTOK_AFFILIATE_VIRAL_VIDEO%22%2C%22placeholder_product_id%22%3A%221729729730555512511%22%2C%22placeholder_video_id%22%3A%227634525331176639764%22%7D&amp;ec_shared_reflux_scene=shop_tab_feed&amp;share_item_id=7634525331176639764&amp;source=h5_t</v>
      </c>
    </row>
    <row r="618">
      <c r="A618" s="255" t="str">
        <f>IFERROR(__xludf.DUMMYFUNCTION("""COMPUTED_VALUE"""),"MICRO")</f>
        <v>MICRO</v>
      </c>
      <c r="B618" s="361" t="str">
        <f>IFERROR(__xludf.DUMMYFUNCTION("""COMPUTED_VALUE"""),"sunja.96")</f>
        <v>sunja.96</v>
      </c>
      <c r="C618" s="257" t="str">
        <f>IFERROR(__xludf.DUMMYFUNCTION("""COMPUTED_VALUE"""),"https://www.tiktok.com/@sunja.96")</f>
        <v>https://www.tiktok.com/@sunja.96</v>
      </c>
      <c r="D618" s="270">
        <f>IFERROR(__xludf.DUMMYFUNCTION("""COMPUTED_VALUE"""),8.2224052589E10)</f>
        <v>82224052589</v>
      </c>
      <c r="E618" s="457">
        <f>IFERROR(__xludf.DUMMYFUNCTION("""COMPUTED_VALUE"""),0.0)</f>
        <v>0</v>
      </c>
      <c r="F618" s="270">
        <f>IFERROR(__xludf.DUMMYFUNCTION("""COMPUTED_VALUE"""),4.0)</f>
        <v>4</v>
      </c>
      <c r="G618" s="17" t="str">
        <f>IFERROR(__xludf.DUMMYFUNCTION("""COMPUTED_VALUE"""),"Sabun batang 1 Box ( 2 PCS )")</f>
        <v>Sabun batang 1 Box ( 2 PCS )</v>
      </c>
      <c r="H618" s="463" t="str">
        <f>IFERROR(__xludf.DUMMYFUNCTION("""COMPUTED_VALUE"""),"Sampai")</f>
        <v>Sampai</v>
      </c>
      <c r="I618" s="464" t="str">
        <f>IFERROR(__xludf.DUMMYFUNCTION("""COMPUTED_VALUE"""),"KIMME")</f>
        <v>KIMME</v>
      </c>
      <c r="J618" s="279" t="str">
        <f>IFERROR(__xludf.DUMMYFUNCTION("""COMPUTED_VALUE"""),"https://vt.tiktok.com/ZS9yTYSwj/")</f>
        <v>https://vt.tiktok.com/ZS9yTYSwj/</v>
      </c>
      <c r="K618" s="464" t="str">
        <f>IFERROR(__xludf.DUMMYFUNCTION("""COMPUTED_VALUE"""),"KIMME")</f>
        <v>KIMME</v>
      </c>
      <c r="L618" s="279" t="str">
        <f>IFERROR(__xludf.DUMMYFUNCTION("""COMPUTED_VALUE"""),"https://vt.tiktok.com/ZS9yT1Arc/")</f>
        <v>https://vt.tiktok.com/ZS9yT1Arc/</v>
      </c>
      <c r="M618" s="464"/>
      <c r="N618" s="279" t="str">
        <f>IFERROR(__xludf.DUMMYFUNCTION("""COMPUTED_VALUE"""),"https://vt.tiktok.com/ZS95J8DsR/")</f>
        <v>https://vt.tiktok.com/ZS95J8DsR/</v>
      </c>
      <c r="O618" s="464"/>
      <c r="P618" s="279" t="str">
        <f>IFERROR(__xludf.DUMMYFUNCTION("""COMPUTED_VALUE"""),"https://vt.tiktok.com/ZS9QgLAs7/")</f>
        <v>https://vt.tiktok.com/ZS9QgLAs7/</v>
      </c>
    </row>
    <row r="619">
      <c r="A619" s="255" t="str">
        <f>IFERROR(__xludf.DUMMYFUNCTION("""COMPUTED_VALUE"""),"MICRO")</f>
        <v>MICRO</v>
      </c>
      <c r="B619" s="361" t="str">
        <f>IFERROR(__xludf.DUMMYFUNCTION("""COMPUTED_VALUE"""),"vika_deanda")</f>
        <v>vika_deanda</v>
      </c>
      <c r="C619" s="257" t="str">
        <f>IFERROR(__xludf.DUMMYFUNCTION("""COMPUTED_VALUE"""),"https://www.tiktok.com/@vika_deanda")</f>
        <v>https://www.tiktok.com/@vika_deanda</v>
      </c>
      <c r="D619" s="270">
        <f>IFERROR(__xludf.DUMMYFUNCTION("""COMPUTED_VALUE"""),8.582979312E10)</f>
        <v>85829793120</v>
      </c>
      <c r="E619" s="457">
        <f>IFERROR(__xludf.DUMMYFUNCTION("""COMPUTED_VALUE"""),0.0)</f>
        <v>0</v>
      </c>
      <c r="F619" s="270">
        <f>IFERROR(__xludf.DUMMYFUNCTION("""COMPUTED_VALUE"""),2.0)</f>
        <v>2</v>
      </c>
      <c r="G619" s="17" t="str">
        <f>IFERROR(__xludf.DUMMYFUNCTION("""COMPUTED_VALUE"""),"Sabun batang 1 Box ( 2 PCS )")</f>
        <v>Sabun batang 1 Box ( 2 PCS )</v>
      </c>
      <c r="H619" s="463" t="str">
        <f>IFERROR(__xludf.DUMMYFUNCTION("""COMPUTED_VALUE"""),"Sampai")</f>
        <v>Sampai</v>
      </c>
      <c r="I619" s="464" t="str">
        <f>IFERROR(__xludf.DUMMYFUNCTION("""COMPUTED_VALUE"""),"KIMME")</f>
        <v>KIMME</v>
      </c>
      <c r="J619" s="279" t="str">
        <f>IFERROR(__xludf.DUMMYFUNCTION("""COMPUTED_VALUE"""),"https://www.tiktok.com/@vika_deanda/video/7625138438009851144?_r=1&amp;u_code=daj3hm0m0lblj5&amp;region=&amp;mid=6636211004302691073&amp;preview_pb=0&amp;sharer_language=&amp;_d=0&amp;ec_shared_reflux_dynamic_params=%7B%22placeholder_material_id%22%3A%227625138438009851144%22%2C%22p"&amp;"laceholder_origin_cover%22%3A%22https%253A%252F%252Fp19-common-sign.tiktokcdn.com%252Ftos-alisg-p-0037%252Fo0ToGhp3Q6eqCMGIQrTjyDAeBjFha4fBRAaD6E~tplv-tiktokx-origin.jpeg%253Fdr%253D14572%2526refresh_token%253D96db7bb7%2526x-expires%253D1807070400%2526x-s"&amp;"ignature%253D%25252F%25252BS%25252B1cr9HxsdFYRGuEa8Mf38Sqc%25253D%2526t%253D4d5b0474%2526ps%253D13740610%2526shp%253Dd05b14bd%2526shcp%253D34ff8df6%2526idc%253Dmy2%2526s%253DTIKTOK_AFFILIATE_VIRAL_VIDEO%22%2C%22placeholder_product_id%22%3A%221729427766722"&amp;"726591%22%2C%22placeholder_video_id%22%3A%227625138438009851144%22%7D&amp;ec_shared_reflux_scene=shop_tab_feed&amp;share_item_id=7625138438009851144&amp;source=h5_t")</f>
        <v>https://www.tiktok.com/@vika_deanda/video/7625138438009851144?_r=1&amp;u_code=daj3hm0m0lblj5&amp;region=&amp;mid=6636211004302691073&amp;preview_pb=0&amp;sharer_language=&amp;_d=0&amp;ec_shared_reflux_dynamic_params=%7B%22placeholder_material_id%22%3A%227625138438009851144%22%2C%22placeholder_origin_cover%22%3A%22https%253A%252F%252Fp19-common-sign.tiktokcdn.com%252Ftos-alisg-p-0037%252Fo0ToGhp3Q6eqCMGIQrTjyDAeBjFha4fBRAaD6E~tplv-tiktokx-origin.jpeg%253Fdr%253D14572%2526refresh_token%253D96db7bb7%2526x-expires%253D1807070400%2526x-signature%253D%25252F%25252BS%25252B1cr9HxsdFYRGuEa8Mf38Sqc%25253D%2526t%253D4d5b0474%2526ps%253D13740610%2526shp%253Dd05b14bd%2526shcp%253D34ff8df6%2526idc%253Dmy2%2526s%253DTIKTOK_AFFILIATE_VIRAL_VIDEO%22%2C%22placeholder_product_id%22%3A%221729427766722726591%22%2C%22placeholder_video_id%22%3A%227625138438009851144%22%7D&amp;ec_shared_reflux_scene=shop_tab_feed&amp;share_item_id=7625138438009851144&amp;source=h5_t</v>
      </c>
      <c r="K619" s="464" t="str">
        <f>IFERROR(__xludf.DUMMYFUNCTION("""COMPUTED_VALUE"""),"KIMME")</f>
        <v>KIMME</v>
      </c>
      <c r="L619" s="279" t="str">
        <f>IFERROR(__xludf.DUMMYFUNCTION("""COMPUTED_VALUE"""),"https://vt.tiktok.com/ZSHojNfjP/")</f>
        <v>https://vt.tiktok.com/ZSHojNfjP/</v>
      </c>
      <c r="M619" s="464"/>
      <c r="N619" s="279" t="str">
        <f>IFERROR(__xludf.DUMMYFUNCTION("""COMPUTED_VALUE"""),"https://www.tiktok.com/@racun_spalspil12/video/7634524063255285013?_r=1&amp;u_code=cllj6j6aidf05b&amp;region=&amp;mid=7591327568393980693&amp;preview_pb=0&amp;sharer_language=&amp;_d=0&amp;ec_shared_reflux_dynamic_params=%7B%22placeholder_material_id%22%3A%227634524063255285013%22%2"&amp;"C%22placeholder_origin_cover%22%3A%22https%253A%252F%252Fp16-common-sign.tiktokcdn.com%252Ftos-alisg-p-0037%252Fo8zgBTTERIeAzclflDICkUDpm38FEBH0BggcR8~tplv-tiktokx-origin.jpeg%253Fdr%253D14572%2526refresh_token%253D04861cd2%2526x-expires%253D1810116000%25"&amp;"26x-signature%253DMJQkKmxx3X47u4WOICP%25252BOwPCljA%25253D%2526t%253D4d5b0474%2526ps%253D13740610%2526shp%253Dd05b14bd%2526shcp%253D34ff8df6%2526idc%253Dmy2%2526s%253DTIKTOK_AFFILIATE_VIRAL_VIDEO%22%2C%22placeholder_product_id%22%3A%221729729730555512511%"&amp;"22%2C%22placeholder_video_id%22%3A%227634524063255285013%22%7D&amp;ec_shared_reflux_scene=shop_tab_feed&amp;share_item_id=7634524063255285013&amp;source=h5_t")</f>
        <v>https://www.tiktok.com/@racun_spalspil12/video/7634524063255285013?_r=1&amp;u_code=cllj6j6aidf05b&amp;region=&amp;mid=7591327568393980693&amp;preview_pb=0&amp;sharer_language=&amp;_d=0&amp;ec_shared_reflux_dynamic_params=%7B%22placeholder_material_id%22%3A%227634524063255285013%22%2C%22placeholder_origin_cover%22%3A%22https%253A%252F%252Fp16-common-sign.tiktokcdn.com%252Ftos-alisg-p-0037%252Fo8zgBTTERIeAzclflDICkUDpm38FEBH0BggcR8~tplv-tiktokx-origin.jpeg%253Fdr%253D14572%2526refresh_token%253D04861cd2%2526x-expires%253D1810116000%2526x-signature%253DMJQkKmxx3X47u4WOICP%25252BOwPCljA%25253D%2526t%253D4d5b0474%2526ps%253D13740610%2526shp%253Dd05b14bd%2526shcp%253D34ff8df6%2526idc%253Dmy2%2526s%253DTIKTOK_AFFILIATE_VIRAL_VIDEO%22%2C%22placeholder_product_id%22%3A%221729729730555512511%22%2C%22placeholder_video_id%22%3A%227634524063255285013%22%7D&amp;ec_shared_reflux_scene=shop_tab_feed&amp;share_item_id=7634524063255285013&amp;source=h5_t</v>
      </c>
      <c r="O619" s="464"/>
      <c r="P619" s="279" t="str">
        <f>IFERROR(__xludf.DUMMYFUNCTION("""COMPUTED_VALUE"""),"https://www.tiktok.com/@racun_spalspil12/video/7634523520482987284?_r=1&amp;u_code=cllj6j6aidf05b&amp;region=&amp;mid=7552778804263996172&amp;preview_pb=0&amp;sharer_language=&amp;_d=0&amp;ec_shared_reflux_dynamic_params=%7B%22placeholder_material_id%22%3A%227634523520482987284%22%2"&amp;"C%22placeholder_origin_cover%22%3A%22https%253A%252F%252Fp16-common-sign.tiktokcdn.com%252Ftos-alisg-p-0037%252FoIjEjEiDgVABLZkFfOpRBEA2QBm9W8Qg0Je3lc~tplv-tiktokx-origin.jpeg%253Fdr%253D14572%2526refresh_token%253Dd52f6c2b%2526x-expires%253D1810116000%25"&amp;"26x-signature%253DtqcvkxrhRV9WN9eCtLTo5sd%25252BgPA%25253D%2526t%253D4d5b0474%2526ps%253D13740610%2526shp%253Dd05b14bd%2526shcp%253D34ff8df6%2526idc%253Dmy2%2526s%253DTIKTOK_AFFILIATE_VIRAL_VIDEO%22%2C%22placeholder_product_id%22%3A%221729729730555512511%"&amp;"22%2C%22placeholder_video_id%22%3A%227634523520482987284%22%7D&amp;ec_shared_reflux_scene=shop_tab_feed&amp;share_item_id=7634523520482987284&amp;source=h5_t")</f>
        <v>https://www.tiktok.com/@racun_spalspil12/video/7634523520482987284?_r=1&amp;u_code=cllj6j6aidf05b&amp;region=&amp;mid=7552778804263996172&amp;preview_pb=0&amp;sharer_language=&amp;_d=0&amp;ec_shared_reflux_dynamic_params=%7B%22placeholder_material_id%22%3A%227634523520482987284%22%2C%22placeholder_origin_cover%22%3A%22https%253A%252F%252Fp16-common-sign.tiktokcdn.com%252Ftos-alisg-p-0037%252FoIjEjEiDgVABLZkFfOpRBEA2QBm9W8Qg0Je3lc~tplv-tiktokx-origin.jpeg%253Fdr%253D14572%2526refresh_token%253Dd52f6c2b%2526x-expires%253D1810116000%2526x-signature%253DtqcvkxrhRV9WN9eCtLTo5sd%25252BgPA%25253D%2526t%253D4d5b0474%2526ps%253D13740610%2526shp%253Dd05b14bd%2526shcp%253D34ff8df6%2526idc%253Dmy2%2526s%253DTIKTOK_AFFILIATE_VIRAL_VIDEO%22%2C%22placeholder_product_id%22%3A%221729729730555512511%22%2C%22placeholder_video_id%22%3A%227634523520482987284%22%7D&amp;ec_shared_reflux_scene=shop_tab_feed&amp;share_item_id=7634523520482987284&amp;source=h5_t</v>
      </c>
    </row>
    <row r="620">
      <c r="A620" s="255" t="str">
        <f>IFERROR(__xludf.DUMMYFUNCTION("""COMPUTED_VALUE"""),"MICRO")</f>
        <v>MICRO</v>
      </c>
      <c r="B620" s="361" t="str">
        <f>IFERROR(__xludf.DUMMYFUNCTION("""COMPUTED_VALUE"""),"wikameiastuti")</f>
        <v>wikameiastuti</v>
      </c>
      <c r="C620" s="257" t="str">
        <f>IFERROR(__xludf.DUMMYFUNCTION("""COMPUTED_VALUE"""),"https://www.tiktok.com/@wikameiastuti")</f>
        <v>https://www.tiktok.com/@wikameiastuti</v>
      </c>
      <c r="D620" s="270">
        <f>IFERROR(__xludf.DUMMYFUNCTION("""COMPUTED_VALUE"""),8.1776939851E10)</f>
        <v>81776939851</v>
      </c>
      <c r="E620" s="457">
        <f>IFERROR(__xludf.DUMMYFUNCTION("""COMPUTED_VALUE"""),100000.0)</f>
        <v>100000</v>
      </c>
      <c r="F620" s="270">
        <f>IFERROR(__xludf.DUMMYFUNCTION("""COMPUTED_VALUE"""),1.0)</f>
        <v>1</v>
      </c>
      <c r="G620" s="17" t="str">
        <f>IFERROR(__xludf.DUMMYFUNCTION("""COMPUTED_VALUE"""),"Sabun batang 1 Box ( 2 PCS )")</f>
        <v>Sabun batang 1 Box ( 2 PCS )</v>
      </c>
      <c r="H620" s="463" t="str">
        <f>IFERROR(__xludf.DUMMYFUNCTION("""COMPUTED_VALUE"""),"Sampai")</f>
        <v>Sampai</v>
      </c>
      <c r="I620" s="464" t="str">
        <f>IFERROR(__xludf.DUMMYFUNCTION("""COMPUTED_VALUE"""),"KIMME")</f>
        <v>KIMME</v>
      </c>
      <c r="J620" s="279" t="str">
        <f>IFERROR(__xludf.DUMMYFUNCTION("""COMPUTED_VALUE"""),"https://www.tiktok.com/@wikameiastuti/video/7623341007844723986?_r=1&amp;u_code=dgb3lm47dcjhdi&amp;region=&amp;mid=7246862388833781761&amp;preview_pb=0&amp;sharer_language=&amp;_d=0&amp;ec_shared_reflux_dynamic_params=%7B%22placeholder_material_id%22%3A%227623341007844723986%22%2C%2"&amp;"2placeholder_origin_cover%22%3A%22https%253A%252F%252Fp16-common-sign.tiktokcdn.com%252Ftos-alisg-p-0037%252FokBVIDvXjIJji6IELw6wcaYinBu6BAEP6LAPy~tplv-tiktokx-origin.jpeg%253Fdr%253D14572%2526refresh_token%253D6ec7a82e%2526x-expires%253D1806634800%2526x-"&amp;"signature%253DO8sY6V56Y2Qvla1yFRF%25252B0%25252BPlYNk%25253D%2526t%253D4d5b0474%2526ps%253D13740610%2526shp%253Dd05b14bd%2526shcp%253D34ff8df6%2526idc%253Dmy2%2526s%253DTIKTOK_AFFILIATE_VIRAL_VIDEO%22%2C%22placeholder_product_id%22%3A%22172942776672272659"&amp;"1%22%2C%22placeholder_video_id%22%3A%227623341007844723986%22%7D&amp;ec_shared_reflux_scene=shop_tab_feed&amp;share_item_id=7623341007844723986&amp;source=h5_t")</f>
        <v>https://www.tiktok.com/@wikameiastuti/video/7623341007844723986?_r=1&amp;u_code=dgb3lm47dcjhdi&amp;region=&amp;mid=7246862388833781761&amp;preview_pb=0&amp;sharer_language=&amp;_d=0&amp;ec_shared_reflux_dynamic_params=%7B%22placeholder_material_id%22%3A%227623341007844723986%22%2C%22placeholder_origin_cover%22%3A%22https%253A%252F%252Fp16-common-sign.tiktokcdn.com%252Ftos-alisg-p-0037%252FokBVIDvXjIJji6IELw6wcaYinBu6BAEP6LAPy~tplv-tiktokx-origin.jpeg%253Fdr%253D14572%2526refresh_token%253D6ec7a82e%2526x-expires%253D1806634800%2526x-signature%253DO8sY6V56Y2Qvla1yFRF%25252B0%25252BPlYNk%25253D%2526t%253D4d5b0474%2526ps%253D13740610%2526shp%253Dd05b14bd%2526shcp%253D34ff8df6%2526idc%253Dmy2%2526s%253DTIKTOK_AFFILIATE_VIRAL_VIDEO%22%2C%22placeholder_product_id%22%3A%221729427766722726591%22%2C%22placeholder_video_id%22%3A%227623341007844723986%22%7D&amp;ec_shared_reflux_scene=shop_tab_feed&amp;share_item_id=7623341007844723986&amp;source=h5_t</v>
      </c>
      <c r="K620" s="464" t="str">
        <f>IFERROR(__xludf.DUMMYFUNCTION("""COMPUTED_VALUE"""),"KIMME")</f>
        <v>KIMME</v>
      </c>
      <c r="L620" s="279" t="str">
        <f>IFERROR(__xludf.DUMMYFUNCTION("""COMPUTED_VALUE"""),"https://www.tiktok.com/@racun_spalspil12/video/7634522661166517525?_r=1&amp;u_code=cllj6j6aidf05b&amp;region=&amp;mid=7626770428661401601&amp;preview_pb=0&amp;sharer_language=&amp;_d=0&amp;ec_shared_reflux_dynamic_params=%7B%22placeholder_material_id%22%3A%227634522661166517525%22%2"&amp;"C%22placeholder_origin_cover%22%3A%22https%253A%252F%252Fp16-common-sign.tiktokcdn.com%252Ftos-alisg-p-0037%252FoU0BKEzfHm9pFBA4QWfgRiMDgEkEcQE9Kz8SQ6~tplv-tiktokx-origin.jpeg%253Fdr%253D14572%2526refresh_token%253Dc20a0753%2526x-expires%253D1810116000%25"&amp;"26x-signature%253DRwfXDvjFNXZNVcWbVmjDFizs2OE%25253D%2526t%253D4d5b0474%2526ps%253D13740610%2526shp%253Dd05b14bd%2526shcp%253D34ff8df6%2526idc%253Dmy2%2526s%253DTIKTOK_AFFILIATE_VIRAL_VIDEO%22%2C%22placeholder_product_id%22%3A%221729729730555512511%22%2C%"&amp;"22placeholder_video_id%22%3A%227634522661166517525%22%7D&amp;ec_shared_reflux_scene=shop_tab_feed&amp;share_item_id=7634522661166517525&amp;source=h5_t")</f>
        <v>https://www.tiktok.com/@racun_spalspil12/video/7634522661166517525?_r=1&amp;u_code=cllj6j6aidf05b&amp;region=&amp;mid=7626770428661401601&amp;preview_pb=0&amp;sharer_language=&amp;_d=0&amp;ec_shared_reflux_dynamic_params=%7B%22placeholder_material_id%22%3A%227634522661166517525%22%2C%22placeholder_origin_cover%22%3A%22https%253A%252F%252Fp16-common-sign.tiktokcdn.com%252Ftos-alisg-p-0037%252FoU0BKEzfHm9pFBA4QWfgRiMDgEkEcQE9Kz8SQ6~tplv-tiktokx-origin.jpeg%253Fdr%253D14572%2526refresh_token%253Dc20a0753%2526x-expires%253D1810116000%2526x-signature%253DRwfXDvjFNXZNVcWbVmjDFizs2OE%25253D%2526t%253D4d5b0474%2526ps%253D13740610%2526shp%253Dd05b14bd%2526shcp%253D34ff8df6%2526idc%253Dmy2%2526s%253DTIKTOK_AFFILIATE_VIRAL_VIDEO%22%2C%22placeholder_product_id%22%3A%221729729730555512511%22%2C%22placeholder_video_id%22%3A%227634522661166517525%22%7D&amp;ec_shared_reflux_scene=shop_tab_feed&amp;share_item_id=7634522661166517525&amp;source=h5_t</v>
      </c>
      <c r="M620" s="464"/>
      <c r="N620" s="279" t="str">
        <f>IFERROR(__xludf.DUMMYFUNCTION("""COMPUTED_VALUE"""),"https://www.tiktok.com/@racun_spalspil12/video/7634522225978297621?_r=1&amp;u_code=cllj6j6aidf05b&amp;region=&amp;mid=7628551529238842132&amp;preview_pb=0&amp;sharer_language=&amp;_d=0&amp;ec_shared_reflux_dynamic_params=%7B%22placeholder_material_id%22%3A%227634522225978297621%22%2"&amp;"C%22placeholder_origin_cover%22%3A%22https%253A%252F%252Fp16-common-sign.tiktokcdn.com%252Ftos-alisg-p-0037%252FoompeBB5IBBi9j3NfEAgIoFiAazwovOKYIORcR~tplv-tiktokx-origin.jpeg%253Fdr%253D14572%2526refresh_token%253D8f906dc2%2526x-expires%253D1810116000%25"&amp;"26x-signature%253DXvzLX4DEzLRIifAdcMU9GlpI5yM%25253D%2526t%253D4d5b0474%2526ps%253D13740610%2526shp%253Dd05b14bd%2526shcp%253D34ff8df6%2526idc%253Dmy2%2526s%253DTIKTOK_AFFILIATE_VIRAL_VIDEO%22%2C%22placeholder_product_id%22%3A%221729729730555512511%22%2C%"&amp;"22placeholder_video_id%22%3A%227634522225978297621%22%7D&amp;ec_shared_reflux_scene=shop_tab_feed&amp;share_item_id=7634522225978297621&amp;source=h5_t")</f>
        <v>https://www.tiktok.com/@racun_spalspil12/video/7634522225978297621?_r=1&amp;u_code=cllj6j6aidf05b&amp;region=&amp;mid=7628551529238842132&amp;preview_pb=0&amp;sharer_language=&amp;_d=0&amp;ec_shared_reflux_dynamic_params=%7B%22placeholder_material_id%22%3A%227634522225978297621%22%2C%22placeholder_origin_cover%22%3A%22https%253A%252F%252Fp16-common-sign.tiktokcdn.com%252Ftos-alisg-p-0037%252FoompeBB5IBBi9j3NfEAgIoFiAazwovOKYIORcR~tplv-tiktokx-origin.jpeg%253Fdr%253D14572%2526refresh_token%253D8f906dc2%2526x-expires%253D1810116000%2526x-signature%253DXvzLX4DEzLRIifAdcMU9GlpI5yM%25253D%2526t%253D4d5b0474%2526ps%253D13740610%2526shp%253Dd05b14bd%2526shcp%253D34ff8df6%2526idc%253Dmy2%2526s%253DTIKTOK_AFFILIATE_VIRAL_VIDEO%22%2C%22placeholder_product_id%22%3A%221729729730555512511%22%2C%22placeholder_video_id%22%3A%227634522225978297621%22%7D&amp;ec_shared_reflux_scene=shop_tab_feed&amp;share_item_id=7634522225978297621&amp;source=h5_t</v>
      </c>
      <c r="O620" s="464"/>
      <c r="P620" s="279" t="str">
        <f>IFERROR(__xludf.DUMMYFUNCTION("""COMPUTED_VALUE"""),"https://www.tiktok.com/@racun_spalspil12/video/7634521796007562516?_r=1&amp;u_code=cllj6j6aidf05b&amp;region=&amp;mid=7607841103888304145&amp;preview_pb=0&amp;sharer_language=&amp;_d=0&amp;ec_shared_reflux_dynamic_params=%7B%22placeholder_material_id%22%3A%227634521796007562516%22%2"&amp;"C%22placeholder_origin_cover%22%3A%22https%253A%252F%252Fp16-common-sign.tiktokcdn.com%252Ftos-alisg-p-0037%252FoMgB3JpBCRRJieSEiaAv4IIBzgicelRB3sP1S3~tplv-tiktokx-origin.jpeg%253Fdr%253D14572%2526refresh_token%253De9ed75cc%2526x-expires%253D1810116000%25"&amp;"26x-signature%253DBFI1u9VavFrY28kIXi09q8IdNjs%25253D%2526t%253D4d5b0474%2526ps%253D13740610%2526shp%253Dd05b14bd%2526shcp%253D34ff8df6%2526idc%253Dmy2%2526s%253DTIKTOK_AFFILIATE_VIRAL_VIDEO%22%2C%22placeholder_product_id%22%3A%221729729730555512511%22%2C%"&amp;"22placeholder_video_id%22%3A%227634521796007562516%22%7D&amp;ec_shared_reflux_scene=shop_tab_feed&amp;share_item_id=7634521796007562516&amp;source=h5_t")</f>
        <v>https://www.tiktok.com/@racun_spalspil12/video/7634521796007562516?_r=1&amp;u_code=cllj6j6aidf05b&amp;region=&amp;mid=7607841103888304145&amp;preview_pb=0&amp;sharer_language=&amp;_d=0&amp;ec_shared_reflux_dynamic_params=%7B%22placeholder_material_id%22%3A%227634521796007562516%22%2C%22placeholder_origin_cover%22%3A%22https%253A%252F%252Fp16-common-sign.tiktokcdn.com%252Ftos-alisg-p-0037%252FoMgB3JpBCRRJieSEiaAv4IIBzgicelRB3sP1S3~tplv-tiktokx-origin.jpeg%253Fdr%253D14572%2526refresh_token%253De9ed75cc%2526x-expires%253D1810116000%2526x-signature%253DBFI1u9VavFrY28kIXi09q8IdNjs%25253D%2526t%253D4d5b0474%2526ps%253D13740610%2526shp%253Dd05b14bd%2526shcp%253D34ff8df6%2526idc%253Dmy2%2526s%253DTIKTOK_AFFILIATE_VIRAL_VIDEO%22%2C%22placeholder_product_id%22%3A%221729729730555512511%22%2C%22placeholder_video_id%22%3A%227634521796007562516%22%7D&amp;ec_shared_reflux_scene=shop_tab_feed&amp;share_item_id=7634521796007562516&amp;source=h5_t</v>
      </c>
    </row>
    <row r="621">
      <c r="A621" s="255" t="str">
        <f>IFERROR(__xludf.DUMMYFUNCTION("""COMPUTED_VALUE"""),"MICRO")</f>
        <v>MICRO</v>
      </c>
      <c r="B621" s="361" t="str">
        <f>IFERROR(__xludf.DUMMYFUNCTION("""COMPUTED_VALUE"""),"dinaachmad30")</f>
        <v>dinaachmad30</v>
      </c>
      <c r="C621" s="257" t="str">
        <f>IFERROR(__xludf.DUMMYFUNCTION("""COMPUTED_VALUE"""),"https://www.tiktok.com/@dinaachmad30")</f>
        <v>https://www.tiktok.com/@dinaachmad30</v>
      </c>
      <c r="D621" s="270">
        <f>IFERROR(__xludf.DUMMYFUNCTION("""COMPUTED_VALUE"""),8.5295946444E10)</f>
        <v>85295946444</v>
      </c>
      <c r="E621" s="457">
        <f>IFERROR(__xludf.DUMMYFUNCTION("""COMPUTED_VALUE"""),0.0)</f>
        <v>0</v>
      </c>
      <c r="F621" s="270">
        <f>IFERROR(__xludf.DUMMYFUNCTION("""COMPUTED_VALUE"""),4.0)</f>
        <v>4</v>
      </c>
      <c r="G621" s="17" t="str">
        <f>IFERROR(__xludf.DUMMYFUNCTION("""COMPUTED_VALUE"""),"Sabun batang 1 Box ( 2 PCS )")</f>
        <v>Sabun batang 1 Box ( 2 PCS )</v>
      </c>
      <c r="H621" s="463" t="str">
        <f>IFERROR(__xludf.DUMMYFUNCTION("""COMPUTED_VALUE"""),"Sampai")</f>
        <v>Sampai</v>
      </c>
      <c r="I621" s="464" t="str">
        <f>IFERROR(__xludf.DUMMYFUNCTION("""COMPUTED_VALUE"""),"KIMME")</f>
        <v>KIMME</v>
      </c>
      <c r="J621" s="279" t="str">
        <f>IFERROR(__xludf.DUMMYFUNCTION("""COMPUTED_VALUE"""),"https://www.tiktok.com/@dinaachmad30/video/7622976890508184839?is_from_webapp=1&amp;sender_device=pc")</f>
        <v>https://www.tiktok.com/@dinaachmad30/video/7622976890508184839?is_from_webapp=1&amp;sender_device=pc</v>
      </c>
      <c r="K621" s="464" t="str">
        <f>IFERROR(__xludf.DUMMYFUNCTION("""COMPUTED_VALUE"""),"KIMME")</f>
        <v>KIMME</v>
      </c>
      <c r="L621" s="279" t="str">
        <f>IFERROR(__xludf.DUMMYFUNCTION("""COMPUTED_VALUE"""),"https://www.tiktok.com/@dinaachmad30/video/7627858282794863880?is_from_webapp=1&amp;sender_device=pc")</f>
        <v>https://www.tiktok.com/@dinaachmad30/video/7627858282794863880?is_from_webapp=1&amp;sender_device=pc</v>
      </c>
      <c r="M621" s="464" t="str">
        <f>IFERROR(__xludf.DUMMYFUNCTION("""COMPUTED_VALUE"""),"KIMME")</f>
        <v>KIMME</v>
      </c>
      <c r="N621" s="279" t="str">
        <f>IFERROR(__xludf.DUMMYFUNCTION("""COMPUTED_VALUE"""),"https://www.tiktok.com/@dinaachmad30/video/7628454815403691272?is_from_webapp=1&amp;sender_device=pc")</f>
        <v>https://www.tiktok.com/@dinaachmad30/video/7628454815403691272?is_from_webapp=1&amp;sender_device=pc</v>
      </c>
      <c r="O621" s="464" t="str">
        <f>IFERROR(__xludf.DUMMYFUNCTION("""COMPUTED_VALUE"""),"KIMME")</f>
        <v>KIMME</v>
      </c>
      <c r="P621" s="279" t="str">
        <f>IFERROR(__xludf.DUMMYFUNCTION("""COMPUTED_VALUE"""),"https://www.tiktok.com/@dinaachmad30/video/7629549514340289810?_r=1&amp;u_code=clad72314he9jg&amp;region=&amp;mid=7623795076212329223&amp;preview_pb=0&amp;sharer_language=&amp;_d=0&amp;ec_shared_reflux_dynamic_params=%7B%22placeholder_material_id%22%3A%227629549514340289810%22%2C%22"&amp;"placeholder_origin_cover%22%3A%22https%253A%252F%252Fp16-common-sign.tiktokcdn.com%252Ftos-alisg-p-0037%252Fok1C4Afgu8IBOmIPCXw0IViiAjw2w0huB1AMAD~tplv-tiktokx-origin.jpeg%253Fdr%253D14572%2526refresh_token%253Dca85dd56%2526x-expires%253D1808204400%2526x-"&amp;"signature%253Dmk%25252B56Ep2qR20oJ1A9VMQOWYi4M8%25253D%2526t%253D4d5b0474%2526ps%253D13740610%2526shp%253Dd05b14bd%2526shcp%253D34ff8df6%2526idc%253Dmy3%2526s%253DTIKTOK_AFFILIATE_VIRAL_VIDEO%22%2C%22placeholder_product_id%22%3A%221729427766722726591%22%2"&amp;"C%22placeholder_video_id%22%3A%227629549514340289810%22%7D&amp;ec_shared_reflux_scene=shop_tab_feed&amp;share_item_id=7629549514340289810&amp;source=h5_t")</f>
        <v>https://www.tiktok.com/@dinaachmad30/video/7629549514340289810?_r=1&amp;u_code=clad72314he9jg&amp;region=&amp;mid=7623795076212329223&amp;preview_pb=0&amp;sharer_language=&amp;_d=0&amp;ec_shared_reflux_dynamic_params=%7B%22placeholder_material_id%22%3A%227629549514340289810%22%2C%22placeholder_origin_cover%22%3A%22https%253A%252F%252Fp16-common-sign.tiktokcdn.com%252Ftos-alisg-p-0037%252Fok1C4Afgu8IBOmIPCXw0IViiAjw2w0huB1AMAD~tplv-tiktokx-origin.jpeg%253Fdr%253D14572%2526refresh_token%253Dca85dd56%2526x-expires%253D1808204400%2526x-signature%253Dmk%25252B56Ep2qR20oJ1A9VMQOWYi4M8%25253D%2526t%253D4d5b0474%2526ps%253D13740610%2526shp%253Dd05b14bd%2526shcp%253D34ff8df6%2526idc%253Dmy3%2526s%253DTIKTOK_AFFILIATE_VIRAL_VIDEO%22%2C%22placeholder_product_id%22%3A%221729427766722726591%22%2C%22placeholder_video_id%22%3A%227629549514340289810%22%7D&amp;ec_shared_reflux_scene=shop_tab_feed&amp;share_item_id=7629549514340289810&amp;source=h5_t</v>
      </c>
    </row>
    <row r="622">
      <c r="A622" s="255" t="str">
        <f>IFERROR(__xludf.DUMMYFUNCTION("""COMPUTED_VALUE"""),"MICRO")</f>
        <v>MICRO</v>
      </c>
      <c r="B622" s="361" t="str">
        <f>IFERROR(__xludf.DUMMYFUNCTION("""COMPUTED_VALUE"""),"productskincare")</f>
        <v>productskincare</v>
      </c>
      <c r="C622" s="257" t="str">
        <f>IFERROR(__xludf.DUMMYFUNCTION("""COMPUTED_VALUE"""),"https://www.tiktok.com/@productskincare")</f>
        <v>https://www.tiktok.com/@productskincare</v>
      </c>
      <c r="D622" s="270">
        <f>IFERROR(__xludf.DUMMYFUNCTION("""COMPUTED_VALUE"""),8.38592555E9)</f>
        <v>8385925550</v>
      </c>
      <c r="E622" s="457">
        <f>IFERROR(__xludf.DUMMYFUNCTION("""COMPUTED_VALUE"""),0.0)</f>
        <v>0</v>
      </c>
      <c r="F622" s="270">
        <f>IFERROR(__xludf.DUMMYFUNCTION("""COMPUTED_VALUE"""),4.0)</f>
        <v>4</v>
      </c>
      <c r="G622" s="17" t="str">
        <f>IFERROR(__xludf.DUMMYFUNCTION("""COMPUTED_VALUE"""),"Sabun batang 1 Box ( 2 PCS )")</f>
        <v>Sabun batang 1 Box ( 2 PCS )</v>
      </c>
      <c r="H622" s="463" t="str">
        <f>IFERROR(__xludf.DUMMYFUNCTION("""COMPUTED_VALUE"""),"Sampai")</f>
        <v>Sampai</v>
      </c>
      <c r="I622" s="464" t="str">
        <f>IFERROR(__xludf.DUMMYFUNCTION("""COMPUTED_VALUE"""),"KIMME")</f>
        <v>KIMME</v>
      </c>
      <c r="J622" s="279" t="str">
        <f>IFERROR(__xludf.DUMMYFUNCTION("""COMPUTED_VALUE"""),"https://www.tiktok.com/@productskincare/video/7624513880261283090?is_from_webapp=1&amp;sender_device=pc")</f>
        <v>https://www.tiktok.com/@productskincare/video/7624513880261283090?is_from_webapp=1&amp;sender_device=pc</v>
      </c>
      <c r="K622" s="464" t="str">
        <f>IFERROR(__xludf.DUMMYFUNCTION("""COMPUTED_VALUE"""),"KIMME")</f>
        <v>KIMME</v>
      </c>
      <c r="L622" s="279" t="str">
        <f>IFERROR(__xludf.DUMMYFUNCTION("""COMPUTED_VALUE"""),"https://www.tiktok.com/@productskincare/video/7624692260227140882?is_from_webapp=1&amp;sender_device=pc")</f>
        <v>https://www.tiktok.com/@productskincare/video/7624692260227140882?is_from_webapp=1&amp;sender_device=pc</v>
      </c>
      <c r="M622" s="464" t="str">
        <f>IFERROR(__xludf.DUMMYFUNCTION("""COMPUTED_VALUE"""),"KIMME")</f>
        <v>KIMME</v>
      </c>
      <c r="N622" s="279" t="str">
        <f>IFERROR(__xludf.DUMMYFUNCTION("""COMPUTED_VALUE"""),"https://www.tiktok.com/@productskincare/video/7624898147206073608?is_from_webapp=1&amp;sender_device=pc")</f>
        <v>https://www.tiktok.com/@productskincare/video/7624898147206073608?is_from_webapp=1&amp;sender_device=pc</v>
      </c>
      <c r="O622" s="464" t="str">
        <f>IFERROR(__xludf.DUMMYFUNCTION("""COMPUTED_VALUE"""),"KIMME")</f>
        <v>KIMME</v>
      </c>
      <c r="P622" s="279" t="str">
        <f>IFERROR(__xludf.DUMMYFUNCTION("""COMPUTED_VALUE"""),"https://www.tiktok.com/@productskincare/video/7625596986028363015?is_from_webapp=1&amp;sender_device=pc")</f>
        <v>https://www.tiktok.com/@productskincare/video/7625596986028363015?is_from_webapp=1&amp;sender_device=pc</v>
      </c>
    </row>
    <row r="623">
      <c r="A623" s="255" t="str">
        <f>IFERROR(__xludf.DUMMYFUNCTION("""COMPUTED_VALUE"""),"MICRO")</f>
        <v>MICRO</v>
      </c>
      <c r="B623" s="361" t="str">
        <f>IFERROR(__xludf.DUMMYFUNCTION("""COMPUTED_VALUE"""),"linaherlinashopp")</f>
        <v>linaherlinashopp</v>
      </c>
      <c r="C623" s="257" t="str">
        <f>IFERROR(__xludf.DUMMYFUNCTION("""COMPUTED_VALUE"""),"https://www.tiktok.com/@linaherlinashopp")</f>
        <v>https://www.tiktok.com/@linaherlinashopp</v>
      </c>
      <c r="D623" s="270">
        <f>IFERROR(__xludf.DUMMYFUNCTION("""COMPUTED_VALUE"""),8.1322140952E10)</f>
        <v>81322140952</v>
      </c>
      <c r="E623" s="457">
        <f>IFERROR(__xludf.DUMMYFUNCTION("""COMPUTED_VALUE"""),0.0)</f>
        <v>0</v>
      </c>
      <c r="F623" s="270">
        <f>IFERROR(__xludf.DUMMYFUNCTION("""COMPUTED_VALUE"""),4.0)</f>
        <v>4</v>
      </c>
      <c r="G623" s="17" t="str">
        <f>IFERROR(__xludf.DUMMYFUNCTION("""COMPUTED_VALUE"""),"Sabun batang 1 Box ( 2 PCS )")</f>
        <v>Sabun batang 1 Box ( 2 PCS )</v>
      </c>
      <c r="H623" s="463" t="str">
        <f>IFERROR(__xludf.DUMMYFUNCTION("""COMPUTED_VALUE"""),"Sampai")</f>
        <v>Sampai</v>
      </c>
      <c r="I623" s="464" t="str">
        <f>IFERROR(__xludf.DUMMYFUNCTION("""COMPUTED_VALUE"""),"KIMME")</f>
        <v>KIMME</v>
      </c>
      <c r="J623" s="279" t="str">
        <f>IFERROR(__xludf.DUMMYFUNCTION("""COMPUTED_VALUE"""),"https://vt.tiktok.com/ZS98No1g5/")</f>
        <v>https://vt.tiktok.com/ZS98No1g5/</v>
      </c>
      <c r="K623" s="464" t="str">
        <f>IFERROR(__xludf.DUMMYFUNCTION("""COMPUTED_VALUE"""),"KIMME")</f>
        <v>KIMME</v>
      </c>
      <c r="L623" s="279" t="str">
        <f>IFERROR(__xludf.DUMMYFUNCTION("""COMPUTED_VALUE"""),"https://vt.tiktok.com/ZS989wGDf/")</f>
        <v>https://vt.tiktok.com/ZS989wGDf/</v>
      </c>
      <c r="M623" s="464" t="str">
        <f>IFERROR(__xludf.DUMMYFUNCTION("""COMPUTED_VALUE"""),"KIMME")</f>
        <v>KIMME</v>
      </c>
      <c r="N623" s="279" t="str">
        <f>IFERROR(__xludf.DUMMYFUNCTION("""COMPUTED_VALUE"""),"https://vt.tiktok.com/ZS9897G14/")</f>
        <v>https://vt.tiktok.com/ZS9897G14/</v>
      </c>
      <c r="O623" s="464" t="str">
        <f>IFERROR(__xludf.DUMMYFUNCTION("""COMPUTED_VALUE"""),"KIMME")</f>
        <v>KIMME</v>
      </c>
      <c r="P623" s="279" t="str">
        <f>IFERROR(__xludf.DUMMYFUNCTION("""COMPUTED_VALUE"""),"https://vt.tiktok.com/ZS989s856/")</f>
        <v>https://vt.tiktok.com/ZS989s856/</v>
      </c>
    </row>
    <row r="624">
      <c r="A624" s="255" t="str">
        <f>IFERROR(__xludf.DUMMYFUNCTION("""COMPUTED_VALUE"""),"MICRO")</f>
        <v>MICRO</v>
      </c>
      <c r="B624" s="361" t="str">
        <f>IFERROR(__xludf.DUMMYFUNCTION("""COMPUTED_VALUE"""),"ayyulestarii27")</f>
        <v>ayyulestarii27</v>
      </c>
      <c r="C624" s="257" t="str">
        <f>IFERROR(__xludf.DUMMYFUNCTION("""COMPUTED_VALUE"""),"https://www.tiktok.com/@ayyulestarii27")</f>
        <v>https://www.tiktok.com/@ayyulestarii27</v>
      </c>
      <c r="D624" s="270">
        <f>IFERROR(__xludf.DUMMYFUNCTION("""COMPUTED_VALUE"""),8.9655639639E10)</f>
        <v>89655639639</v>
      </c>
      <c r="E624" s="457">
        <f>IFERROR(__xludf.DUMMYFUNCTION("""COMPUTED_VALUE"""),0.0)</f>
        <v>0</v>
      </c>
      <c r="F624" s="270">
        <f>IFERROR(__xludf.DUMMYFUNCTION("""COMPUTED_VALUE"""),4.0)</f>
        <v>4</v>
      </c>
      <c r="G624" s="17" t="str">
        <f>IFERROR(__xludf.DUMMYFUNCTION("""COMPUTED_VALUE"""),"Sabun batang 1 Box ( 2 PCS )")</f>
        <v>Sabun batang 1 Box ( 2 PCS )</v>
      </c>
      <c r="H624" s="463" t="str">
        <f>IFERROR(__xludf.DUMMYFUNCTION("""COMPUTED_VALUE"""),"Sampai")</f>
        <v>Sampai</v>
      </c>
      <c r="I624" s="464" t="str">
        <f>IFERROR(__xludf.DUMMYFUNCTION("""COMPUTED_VALUE"""),"KIMME")</f>
        <v>KIMME</v>
      </c>
      <c r="J624" s="279" t="str">
        <f>IFERROR(__xludf.DUMMYFUNCTION("""COMPUTED_VALUE"""),"https://vt.tiktok.com/ZS989v6qd/")</f>
        <v>https://vt.tiktok.com/ZS989v6qd/</v>
      </c>
      <c r="K624" s="464" t="str">
        <f>IFERROR(__xludf.DUMMYFUNCTION("""COMPUTED_VALUE"""),"KIMME")</f>
        <v>KIMME</v>
      </c>
      <c r="L624" s="279" t="str">
        <f>IFERROR(__xludf.DUMMYFUNCTION("""COMPUTED_VALUE"""),"https://vt.tiktok.com/ZS989w2jx/")</f>
        <v>https://vt.tiktok.com/ZS989w2jx/</v>
      </c>
      <c r="M624" s="464" t="str">
        <f>IFERROR(__xludf.DUMMYFUNCTION("""COMPUTED_VALUE"""),"KIMME")</f>
        <v>KIMME</v>
      </c>
      <c r="N624" s="279" t="str">
        <f>IFERROR(__xludf.DUMMYFUNCTION("""COMPUTED_VALUE"""),"https://vt.tiktok.com/ZS989covu/")</f>
        <v>https://vt.tiktok.com/ZS989covu/</v>
      </c>
      <c r="O624" s="464" t="str">
        <f>IFERROR(__xludf.DUMMYFUNCTION("""COMPUTED_VALUE"""),"KIMME")</f>
        <v>KIMME</v>
      </c>
      <c r="P624" s="17" t="str">
        <f>IFERROR(__xludf.DUMMYFUNCTION("""COMPUTED_VALUE"""),"⁠https://vt.tiktok.com/ZS989VnQL/")</f>
        <v>⁠https://vt.tiktok.com/ZS989VnQL/</v>
      </c>
    </row>
    <row r="625">
      <c r="A625" s="255" t="str">
        <f>IFERROR(__xludf.DUMMYFUNCTION("""COMPUTED_VALUE"""),"MICRO")</f>
        <v>MICRO</v>
      </c>
      <c r="B625" s="361" t="str">
        <f>IFERROR(__xludf.DUMMYFUNCTION("""COMPUTED_VALUE"""),"wwzn13")</f>
        <v>wwzn13</v>
      </c>
      <c r="C625" s="257" t="str">
        <f>IFERROR(__xludf.DUMMYFUNCTION("""COMPUTED_VALUE"""),"https://www.tiktok.com/@wwzn13")</f>
        <v>https://www.tiktok.com/@wwzn13</v>
      </c>
      <c r="D625" s="270">
        <f>IFERROR(__xludf.DUMMYFUNCTION("""COMPUTED_VALUE"""),8.5213302833E10)</f>
        <v>85213302833</v>
      </c>
      <c r="E625" s="457">
        <f>IFERROR(__xludf.DUMMYFUNCTION("""COMPUTED_VALUE"""),0.0)</f>
        <v>0</v>
      </c>
      <c r="F625" s="270">
        <f>IFERROR(__xludf.DUMMYFUNCTION("""COMPUTED_VALUE"""),2.0)</f>
        <v>2</v>
      </c>
      <c r="G625" s="17" t="str">
        <f>IFERROR(__xludf.DUMMYFUNCTION("""COMPUTED_VALUE"""),"Sabun batang 1 Box ( 2 PCS )")</f>
        <v>Sabun batang 1 Box ( 2 PCS )</v>
      </c>
      <c r="H625" s="463" t="str">
        <f>IFERROR(__xludf.DUMMYFUNCTION("""COMPUTED_VALUE"""),"Sampai")</f>
        <v>Sampai</v>
      </c>
      <c r="I625" s="464" t="str">
        <f>IFERROR(__xludf.DUMMYFUNCTION("""COMPUTED_VALUE"""),"KIMME")</f>
        <v>KIMME</v>
      </c>
      <c r="J625" s="279" t="str">
        <f>IFERROR(__xludf.DUMMYFUNCTION("""COMPUTED_VALUE"""),"https://vt.tiktok.com/ZSHoCHcVQ/")</f>
        <v>https://vt.tiktok.com/ZSHoCHcVQ/</v>
      </c>
      <c r="K625" s="464" t="str">
        <f>IFERROR(__xludf.DUMMYFUNCTION("""COMPUTED_VALUE"""),"KIMME")</f>
        <v>KIMME</v>
      </c>
      <c r="L625" s="279" t="str">
        <f>IFERROR(__xludf.DUMMYFUNCTION("""COMPUTED_VALUE"""),"https://vt.tiktok.com/ZSHoXYttP/")</f>
        <v>https://vt.tiktok.com/ZSHoXYttP/</v>
      </c>
      <c r="M625" s="464"/>
      <c r="N625" s="279" t="str">
        <f>IFERROR(__xludf.DUMMYFUNCTION("""COMPUTED_VALUE"""),"https://www.tiktok.com/@berkah.glosir/video/7638070764679204116?_r=1&amp;u_code=e4hbm162fcgeg9&amp;region=&amp;mid=7606071400499628049&amp;preview_pb=0&amp;sharer_language=&amp;_d=0&amp;ec_shared_reflux_dynamic_params=%7B%22placeholder_material_id%22%3A%227638070764679204116%22%2C%2"&amp;"2placeholder_origin_cover%22%3A%22https%253A%252F%252Fp16-common-sign.tiktokcdn.com%252Ftos-alisg-p-0037%252FokB4ODa4nHGh3qUfF9FEADDHRfAG709QQBfnwe~tplv-tiktokx-origin.jpeg%253Fdr%253D14572%2526refresh_token%253Dbfdf63af%2526x-expires%253D1810116000%2526x"&amp;"-signature%253DtXwg9Q%25252BQmqgUtVhaPeEh2f9kLO0%25253D%2526t%253D4d5b0474%2526ps%253D13740610%2526shp%253Dd05b14bd%2526shcp%253D34ff8df6%2526idc%253Dmy2%2526s%253DTIKTOK_AFFILIATE_VIRAL_VIDEO%22%2C%22placeholder_product_id%22%3A%221729729730555512511%22%"&amp;"2C%22placeholder_video_id%22%3A%227638070764679204116%22%7D&amp;ec_shared_reflux_scene=shop_tab_feed&amp;share_item_id=7638070764679204116&amp;source=h5_t")</f>
        <v>https://www.tiktok.com/@berkah.glosir/video/7638070764679204116?_r=1&amp;u_code=e4hbm162fcgeg9&amp;region=&amp;mid=7606071400499628049&amp;preview_pb=0&amp;sharer_language=&amp;_d=0&amp;ec_shared_reflux_dynamic_params=%7B%22placeholder_material_id%22%3A%227638070764679204116%22%2C%22placeholder_origin_cover%22%3A%22https%253A%252F%252Fp16-common-sign.tiktokcdn.com%252Ftos-alisg-p-0037%252FokB4ODa4nHGh3qUfF9FEADDHRfAG709QQBfnwe~tplv-tiktokx-origin.jpeg%253Fdr%253D14572%2526refresh_token%253Dbfdf63af%2526x-expires%253D1810116000%2526x-signature%253DtXwg9Q%25252BQmqgUtVhaPeEh2f9kLO0%25253D%2526t%253D4d5b0474%2526ps%253D13740610%2526shp%253Dd05b14bd%2526shcp%253D34ff8df6%2526idc%253Dmy2%2526s%253DTIKTOK_AFFILIATE_VIRAL_VIDEO%22%2C%22placeholder_product_id%22%3A%221729729730555512511%22%2C%22placeholder_video_id%22%3A%227638070764679204116%22%7D&amp;ec_shared_reflux_scene=shop_tab_feed&amp;share_item_id=7638070764679204116&amp;source=h5_t</v>
      </c>
      <c r="O625" s="464"/>
      <c r="P625" s="279" t="str">
        <f>IFERROR(__xludf.DUMMYFUNCTION("""COMPUTED_VALUE"""),"https://www.tiktok.com/@berkah.glosir/video/7638070250688236821?_r=1&amp;u_code=e4hbm162fcgeg9&amp;region=&amp;mid=7606071400499628049&amp;preview_pb=0&amp;sharer_language=&amp;_d=0&amp;ec_shared_reflux_dynamic_params=%7B%22placeholder_material_id%22%3A%227638070250688236821%22%2C%2"&amp;"2placeholder_origin_cover%22%3A%22https%253A%252F%252Fp16-common-sign.tiktokcdn.com%252Ftos-alisg-p-0037%252FoENpRffQGw88qCfR4AQ8nAIfBAXnG6MmihHGWF~tplv-tiktokx-origin.jpeg%253Fdr%253D14572%2526refresh_token%253D45f77be1%2526x-expires%253D1810116000%2526x"&amp;"-signature%253Dv%25252Fvr7pXcji%25252FLvwR%25252BV61NzeETDv8%25253D%2526t%253D4d5b0474%2526ps%253D13740610%2526shp%253Dd05b14bd%2526shcp%253D34ff8df6%2526idc%253Dmy2%2526s%253DTIKTOK_AFFILIATE_VIRAL_VIDEO%22%2C%22placeholder_product_id%22%3A%2217297297305"&amp;"55512511%22%2C%22placeholder_video_id%22%3A%227638070250688236821%22%7D&amp;ec_shared_reflux_scene=shop_tab_feed&amp;share_item_id=7638070250688236821&amp;source=h5_t")</f>
        <v>https://www.tiktok.com/@berkah.glosir/video/7638070250688236821?_r=1&amp;u_code=e4hbm162fcgeg9&amp;region=&amp;mid=7606071400499628049&amp;preview_pb=0&amp;sharer_language=&amp;_d=0&amp;ec_shared_reflux_dynamic_params=%7B%22placeholder_material_id%22%3A%227638070250688236821%22%2C%22placeholder_origin_cover%22%3A%22https%253A%252F%252Fp16-common-sign.tiktokcdn.com%252Ftos-alisg-p-0037%252FoENpRffQGw88qCfR4AQ8nAIfBAXnG6MmihHGWF~tplv-tiktokx-origin.jpeg%253Fdr%253D14572%2526refresh_token%253D45f77be1%2526x-expires%253D1810116000%2526x-signature%253Dv%25252Fvr7pXcji%25252FLvwR%25252BV61NzeETDv8%25253D%2526t%253D4d5b0474%2526ps%253D13740610%2526shp%253Dd05b14bd%2526shcp%253D34ff8df6%2526idc%253Dmy2%2526s%253DTIKTOK_AFFILIATE_VIRAL_VIDEO%22%2C%22placeholder_product_id%22%3A%221729729730555512511%22%2C%22placeholder_video_id%22%3A%227638070250688236821%22%7D&amp;ec_shared_reflux_scene=shop_tab_feed&amp;share_item_id=7638070250688236821&amp;source=h5_t</v>
      </c>
    </row>
    <row r="626">
      <c r="A626" s="255" t="str">
        <f>IFERROR(__xludf.DUMMYFUNCTION("""COMPUTED_VALUE"""),"MICRO")</f>
        <v>MICRO</v>
      </c>
      <c r="B626" s="361" t="str">
        <f>IFERROR(__xludf.DUMMYFUNCTION("""COMPUTED_VALUE"""),"tokomurah_nini")</f>
        <v>tokomurah_nini</v>
      </c>
      <c r="C626" s="257" t="str">
        <f>IFERROR(__xludf.DUMMYFUNCTION("""COMPUTED_VALUE"""),"https://www.tiktok.com/@tokomurah_nini")</f>
        <v>https://www.tiktok.com/@tokomurah_nini</v>
      </c>
      <c r="D626" s="270">
        <f>IFERROR(__xludf.DUMMYFUNCTION("""COMPUTED_VALUE"""),8.815062718E9)</f>
        <v>8815062718</v>
      </c>
      <c r="E626" s="457">
        <f>IFERROR(__xludf.DUMMYFUNCTION("""COMPUTED_VALUE"""),0.0)</f>
        <v>0</v>
      </c>
      <c r="F626" s="270">
        <f>IFERROR(__xludf.DUMMYFUNCTION("""COMPUTED_VALUE"""),4.0)</f>
        <v>4</v>
      </c>
      <c r="G626" s="17" t="str">
        <f>IFERROR(__xludf.DUMMYFUNCTION("""COMPUTED_VALUE"""),"Sabun batang 1 Box ( 2 PCS )")</f>
        <v>Sabun batang 1 Box ( 2 PCS )</v>
      </c>
      <c r="H626" s="463" t="str">
        <f>IFERROR(__xludf.DUMMYFUNCTION("""COMPUTED_VALUE"""),"Sampai")</f>
        <v>Sampai</v>
      </c>
      <c r="I626" s="464" t="str">
        <f>IFERROR(__xludf.DUMMYFUNCTION("""COMPUTED_VALUE"""),"KIMME")</f>
        <v>KIMME</v>
      </c>
      <c r="J626" s="17" t="str">
        <f>IFERROR(__xludf.DUMMYFUNCTION("""COMPUTED_VALUE"""),"⁠https://vt.tiktok.com/ZS989nbWU/")</f>
        <v>⁠https://vt.tiktok.com/ZS989nbWU/</v>
      </c>
      <c r="K626" s="464" t="str">
        <f>IFERROR(__xludf.DUMMYFUNCTION("""COMPUTED_VALUE"""),"KIMME")</f>
        <v>KIMME</v>
      </c>
      <c r="L626" s="279" t="str">
        <f>IFERROR(__xludf.DUMMYFUNCTION("""COMPUTED_VALUE"""),"https://www.tiktok.com/@masbahrildaily/video/7631752586160344327?_r=1&amp;u_code=ek6h2252jijmih&amp;region=&amp;mid=7581457052558707472&amp;preview_pb=0&amp;sharer_language=&amp;_d=0&amp;ec_shared_reflux_dynamic_params=%7B%22placeholder_material_id%22%3A%227631752586160344327%22%2C%"&amp;"22placeholder_origin_cover%22%3A%22https%253A%252F%252Fp16-common-sign.tiktokcdn.com%252Ftos-alisg-p-0037%252FoEqSc5g6fAQVe432CDRpvTBo3EBUFETQDWsQS4~tplv-tiktokx-origin.jpeg%253Fdr%253D14572%2526refresh_token%253D499c152d%2526x-expires%253D1808470800%2526"&amp;"x-signature%253DJ20%25252B1QYdr88GSt7gyhNF1rEZ86U%25253D%2526t%253D4d5b0474%2526ps%253D13740610%2526shp%253Dd05b14bd%2526shcp%253D34ff8df6%2526idc%253Dmy3%2526s%253DTIKTOK_AFFILIATE_VIRAL_VIDEO%22%2C%22placeholder_product_id%22%3A%221729427766722726591%22"&amp;"%2C%22placeholder_video_id%22%3A%227631752586160344327%22%7D&amp;ec_shared_reflux_scene=shop_tab_feed&amp;share_item_id=7631752586160344327&amp;source=h5_t")</f>
        <v>https://www.tiktok.com/@masbahrildaily/video/7631752586160344327?_r=1&amp;u_code=ek6h2252jijmih&amp;region=&amp;mid=7581457052558707472&amp;preview_pb=0&amp;sharer_language=&amp;_d=0&amp;ec_shared_reflux_dynamic_params=%7B%22placeholder_material_id%22%3A%227631752586160344327%22%2C%22placeholder_origin_cover%22%3A%22https%253A%252F%252Fp16-common-sign.tiktokcdn.com%252Ftos-alisg-p-0037%252FoEqSc5g6fAQVe432CDRpvTBo3EBUFETQDWsQS4~tplv-tiktokx-origin.jpeg%253Fdr%253D14572%2526refresh_token%253D499c152d%2526x-expires%253D1808470800%2526x-signature%253DJ20%25252B1QYdr88GSt7gyhNF1rEZ86U%25253D%2526t%253D4d5b0474%2526ps%253D13740610%2526shp%253Dd05b14bd%2526shcp%253D34ff8df6%2526idc%253Dmy3%2526s%253DTIKTOK_AFFILIATE_VIRAL_VIDEO%22%2C%22placeholder_product_id%22%3A%221729427766722726591%22%2C%22placeholder_video_id%22%3A%227631752586160344327%22%7D&amp;ec_shared_reflux_scene=shop_tab_feed&amp;share_item_id=7631752586160344327&amp;source=h5_t</v>
      </c>
      <c r="M626" s="464" t="str">
        <f>IFERROR(__xludf.DUMMYFUNCTION("""COMPUTED_VALUE"""),"KIMME")</f>
        <v>KIMME</v>
      </c>
      <c r="N626" s="279" t="str">
        <f>IFERROR(__xludf.DUMMYFUNCTION("""COMPUTED_VALUE"""),"https://www.tiktok.com/@masbahrildaily/video/7631188690487741704?_r=1&amp;u_code=ek6h2252jijmih&amp;region=&amp;mid=7450898774555872001&amp;preview_pb=0&amp;sharer_language=&amp;_d=0&amp;ec_shared_reflux_dynamic_params=%7B%22placeholder_material_id%22%3A%227631188690487741704%22%2C%"&amp;"22placeholder_origin_cover%22%3A%22https%253A%252F%252Fp16-sign-sg.tiktokcdn.com%252Ftos-alisg-p-0037%252Fo4IEnFpS2BB9BfDXIfF1qUDgETb1w5mSkb2ARb~tplv-tiktokx-origin.jpeg%253Fdr%253D14572%2526refresh_token%253D84665cca%2526x-expires%253D1808470800%2526x-si"&amp;"gnature%253D60b2OZXApG1cHJumtXzpv%25252Fm1B0o%25253D%2526t%253D4d5b0474%2526ps%253D13740610%2526shp%253Dd05b14bd%2526shcp%253D34ff8df6%2526idc%253Dmy3%2526s%253DTIKTOK_AFFILIATE_VIRAL_VIDEO%22%2C%22placeholder_product_id%22%3A%221729427766722726591%22%2C%"&amp;"22placeholder_video_id%22%3A%227631188690487741704%22%7D&amp;ec_shared_reflux_scene=shop_tab_feed&amp;share_item_id=7631188690487741704&amp;source=h5_t")</f>
        <v>https://www.tiktok.com/@masbahrildaily/video/7631188690487741704?_r=1&amp;u_code=ek6h2252jijmih&amp;region=&amp;mid=7450898774555872001&amp;preview_pb=0&amp;sharer_language=&amp;_d=0&amp;ec_shared_reflux_dynamic_params=%7B%22placeholder_material_id%22%3A%227631188690487741704%22%2C%22placeholder_origin_cover%22%3A%22https%253A%252F%252Fp16-sign-sg.tiktokcdn.com%252Ftos-alisg-p-0037%252Fo4IEnFpS2BB9BfDXIfF1qUDgETb1w5mSkb2ARb~tplv-tiktokx-origin.jpeg%253Fdr%253D14572%2526refresh_token%253D84665cca%2526x-expires%253D1808470800%2526x-signature%253D60b2OZXApG1cHJumtXzpv%25252Fm1B0o%25253D%2526t%253D4d5b0474%2526ps%253D13740610%2526shp%253Dd05b14bd%2526shcp%253D34ff8df6%2526idc%253Dmy3%2526s%253DTIKTOK_AFFILIATE_VIRAL_VIDEO%22%2C%22placeholder_product_id%22%3A%221729427766722726591%22%2C%22placeholder_video_id%22%3A%227631188690487741704%22%7D&amp;ec_shared_reflux_scene=shop_tab_feed&amp;share_item_id=7631188690487741704&amp;source=h5_t</v>
      </c>
      <c r="O626" s="464" t="str">
        <f>IFERROR(__xludf.DUMMYFUNCTION("""COMPUTED_VALUE"""),"KIMME")</f>
        <v>KIMME</v>
      </c>
      <c r="P626" s="279" t="str">
        <f>IFERROR(__xludf.DUMMYFUNCTION("""COMPUTED_VALUE"""),"https://www.tiktok.com/@masbahrildaily/video/7631124736218615048?_r=1&amp;u_code=ek6h2252jijmih&amp;region=&amp;mid=7620387415362538256&amp;preview_pb=0&amp;sharer_language=&amp;_d=0&amp;ec_shared_reflux_dynamic_params=%7B%22placeholder_material_id%22%3A%227631124736218615048%22%2C%"&amp;"22placeholder_origin_cover%22%3A%22https%253A%252F%252Fp16-sign-sg.tiktokcdn.com%252Ftos-alisg-p-0037%252FooUDKPLeE7FFQ4Fgp1AAcMzf6NyRBtE5nQBXqx~tplv-tiktokx-origin.jpeg%253Fdr%253D14572%2526refresh_token%253Da9f74b71%2526x-expires%253D1808470800%2526x-si"&amp;"gnature%253Dr%25252BBC8mPXhRrmlkPamg2YoJOxxnY%25253D%2526t%253D4d5b0474%2526ps%253D13740610%2526shp%253Dd05b14bd%2526shcp%253D34ff8df6%2526idc%253Dmy3%2526s%253DTIKTOK_AFFILIATE_VIRAL_VIDEO%22%2C%22placeholder_product_id%22%3A%221729427766722726591%22%2C%"&amp;"22placeholder_video_id%22%3A%227631124736218615048%22%7D&amp;ec_shared_reflux_scene=shop_tab_feed&amp;share_item_id=7631124736218615048&amp;source=h5_t")</f>
        <v>https://www.tiktok.com/@masbahrildaily/video/7631124736218615048?_r=1&amp;u_code=ek6h2252jijmih&amp;region=&amp;mid=7620387415362538256&amp;preview_pb=0&amp;sharer_language=&amp;_d=0&amp;ec_shared_reflux_dynamic_params=%7B%22placeholder_material_id%22%3A%227631124736218615048%22%2C%22placeholder_origin_cover%22%3A%22https%253A%252F%252Fp16-sign-sg.tiktokcdn.com%252Ftos-alisg-p-0037%252FooUDKPLeE7FFQ4Fgp1AAcMzf6NyRBtE5nQBXqx~tplv-tiktokx-origin.jpeg%253Fdr%253D14572%2526refresh_token%253Da9f74b71%2526x-expires%253D1808470800%2526x-signature%253Dr%25252BBC8mPXhRrmlkPamg2YoJOxxnY%25253D%2526t%253D4d5b0474%2526ps%253D13740610%2526shp%253Dd05b14bd%2526shcp%253D34ff8df6%2526idc%253Dmy3%2526s%253DTIKTOK_AFFILIATE_VIRAL_VIDEO%22%2C%22placeholder_product_id%22%3A%221729427766722726591%22%2C%22placeholder_video_id%22%3A%227631124736218615048%22%7D&amp;ec_shared_reflux_scene=shop_tab_feed&amp;share_item_id=7631124736218615048&amp;source=h5_t</v>
      </c>
    </row>
    <row r="627">
      <c r="A627" s="255" t="str">
        <f>IFERROR(__xludf.DUMMYFUNCTION("""COMPUTED_VALUE"""),"MACRO")</f>
        <v>MACRO</v>
      </c>
      <c r="B627" s="361" t="str">
        <f>IFERROR(__xludf.DUMMYFUNCTION("""COMPUTED_VALUE"""),"omalidirumah")</f>
        <v>omalidirumah</v>
      </c>
      <c r="C627" s="257" t="str">
        <f>IFERROR(__xludf.DUMMYFUNCTION("""COMPUTED_VALUE"""),"https://www.tiktok.com/@omalidirumah")</f>
        <v>https://www.tiktok.com/@omalidirumah</v>
      </c>
      <c r="D627" s="270">
        <f>IFERROR(__xludf.DUMMYFUNCTION("""COMPUTED_VALUE"""),8.225874891E10)</f>
        <v>82258748910</v>
      </c>
      <c r="E627" s="457">
        <f>IFERROR(__xludf.DUMMYFUNCTION("""COMPUTED_VALUE"""),0.0)</f>
        <v>0</v>
      </c>
      <c r="F627" s="270">
        <f>IFERROR(__xludf.DUMMYFUNCTION("""COMPUTED_VALUE"""),1.0)</f>
        <v>1</v>
      </c>
      <c r="G627" s="17" t="str">
        <f>IFERROR(__xludf.DUMMYFUNCTION("""COMPUTED_VALUE"""),"Sabun batang 1 Box ( 2 PCS )")</f>
        <v>Sabun batang 1 Box ( 2 PCS )</v>
      </c>
      <c r="H627" s="463" t="str">
        <f>IFERROR(__xludf.DUMMYFUNCTION("""COMPUTED_VALUE"""),"Sampai")</f>
        <v>Sampai</v>
      </c>
      <c r="I627" s="464" t="str">
        <f>IFERROR(__xludf.DUMMYFUNCTION("""COMPUTED_VALUE"""),"KIMME")</f>
        <v>KIMME</v>
      </c>
      <c r="J627" s="17" t="str">
        <f>IFERROR(__xludf.DUMMYFUNCTION("""COMPUTED_VALUE"""),"⁠https://vt.tiktok.com/ZS989vcEa/")</f>
        <v>⁠https://vt.tiktok.com/ZS989vcEa/</v>
      </c>
      <c r="K627" s="464" t="str">
        <f>IFERROR(__xludf.DUMMYFUNCTION("""COMPUTED_VALUE"""),"KIMME")</f>
        <v>KIMME</v>
      </c>
      <c r="L627" s="279" t="str">
        <f>IFERROR(__xludf.DUMMYFUNCTION("""COMPUTED_VALUE"""),"https://vt.tiktok.com/ZSxSQ1e65/")</f>
        <v>https://vt.tiktok.com/ZSxSQ1e65/</v>
      </c>
      <c r="M627" s="464"/>
      <c r="N627" s="17"/>
      <c r="O627" s="464"/>
      <c r="P627" s="17"/>
    </row>
    <row r="628">
      <c r="A628" s="255" t="str">
        <f>IFERROR(__xludf.DUMMYFUNCTION("""COMPUTED_VALUE"""),"MICRO")</f>
        <v>MICRO</v>
      </c>
      <c r="B628" s="361" t="str">
        <f>IFERROR(__xludf.DUMMYFUNCTION("""COMPUTED_VALUE"""),"s.isnaini")</f>
        <v>s.isnaini</v>
      </c>
      <c r="C628" s="257" t="str">
        <f>IFERROR(__xludf.DUMMYFUNCTION("""COMPUTED_VALUE"""),"https://www.tiktok.com/@s.isnaini")</f>
        <v>https://www.tiktok.com/@s.isnaini</v>
      </c>
      <c r="D628" s="270">
        <f>IFERROR(__xludf.DUMMYFUNCTION("""COMPUTED_VALUE"""),8.1395818698E10)</f>
        <v>81395818698</v>
      </c>
      <c r="E628" s="457">
        <f>IFERROR(__xludf.DUMMYFUNCTION("""COMPUTED_VALUE"""),0.0)</f>
        <v>0</v>
      </c>
      <c r="F628" s="270">
        <f>IFERROR(__xludf.DUMMYFUNCTION("""COMPUTED_VALUE"""),1.0)</f>
        <v>1</v>
      </c>
      <c r="G628" s="17" t="str">
        <f>IFERROR(__xludf.DUMMYFUNCTION("""COMPUTED_VALUE"""),"Sabun batang 1 Box ( 2 PCS )")</f>
        <v>Sabun batang 1 Box ( 2 PCS )</v>
      </c>
      <c r="H628" s="463" t="str">
        <f>IFERROR(__xludf.DUMMYFUNCTION("""COMPUTED_VALUE"""),"Sampai")</f>
        <v>Sampai</v>
      </c>
      <c r="I628" s="464" t="str">
        <f>IFERROR(__xludf.DUMMYFUNCTION("""COMPUTED_VALUE"""),"KIMME")</f>
        <v>KIMME</v>
      </c>
      <c r="J628" s="279" t="str">
        <f>IFERROR(__xludf.DUMMYFUNCTION("""COMPUTED_VALUE"""),"https://vt.tiktok.com/ZS989Wtnu/")</f>
        <v>https://vt.tiktok.com/ZS989Wtnu/</v>
      </c>
      <c r="K628" s="464" t="str">
        <f>IFERROR(__xludf.DUMMYFUNCTION("""COMPUTED_VALUE"""),"KIMME")</f>
        <v>KIMME</v>
      </c>
      <c r="L628" s="279" t="str">
        <f>IFERROR(__xludf.DUMMYFUNCTION("""COMPUTED_VALUE"""),"https://www.tiktok.com/@racun_spalspil12/video/7634520862712057108?_r=1&amp;u_code=cllj6j6aidf05b&amp;region=&amp;mid=7615505674093234177&amp;preview_pb=0&amp;sharer_language=&amp;_d=0&amp;ec_shared_reflux_dynamic_params=%7B%22placeholder_material_id%22%3A%227634520862712057108%22%2"&amp;"C%22placeholder_origin_cover%22%3A%22https%253A%252F%252Fp16-common-sign.tiktokcdn.com%252Ftos-alisg-p-0037%252FoIEzRpb7e71iEROyBAIHtyIfIK6gqiIBCMcBGa~tplv-tiktokx-origin.jpeg%253Fdr%253D14572%2526refresh_token%253De70a65fc%2526x-expires%253D1810116000%25"&amp;"26x-signature%253DjcoNSvAQmqV9321UenX0YfG75dg%25253D%2526t%253D4d5b0474%2526ps%253D13740610%2526shp%253Dd05b14bd%2526shcp%253D34ff8df6%2526idc%253Dmy2%2526s%253DTIKTOK_AFFILIATE_VIRAL_VIDEO%22%2C%22placeholder_product_id%22%3A%221729729730555512511%22%2C%"&amp;"22placeholder_video_id%22%3A%227634520862712057108%22%7D&amp;ec_shared_reflux_scene=shop_tab_feed&amp;share_item_id=7634520862712057108&amp;source=h5_t")</f>
        <v>https://www.tiktok.com/@racun_spalspil12/video/7634520862712057108?_r=1&amp;u_code=cllj6j6aidf05b&amp;region=&amp;mid=7615505674093234177&amp;preview_pb=0&amp;sharer_language=&amp;_d=0&amp;ec_shared_reflux_dynamic_params=%7B%22placeholder_material_id%22%3A%227634520862712057108%22%2C%22placeholder_origin_cover%22%3A%22https%253A%252F%252Fp16-common-sign.tiktokcdn.com%252Ftos-alisg-p-0037%252FoIEzRpb7e71iEROyBAIHtyIfIK6gqiIBCMcBGa~tplv-tiktokx-origin.jpeg%253Fdr%253D14572%2526refresh_token%253De70a65fc%2526x-expires%253D1810116000%2526x-signature%253DjcoNSvAQmqV9321UenX0YfG75dg%25253D%2526t%253D4d5b0474%2526ps%253D13740610%2526shp%253Dd05b14bd%2526shcp%253D34ff8df6%2526idc%253Dmy2%2526s%253DTIKTOK_AFFILIATE_VIRAL_VIDEO%22%2C%22placeholder_product_id%22%3A%221729729730555512511%22%2C%22placeholder_video_id%22%3A%227634520862712057108%22%7D&amp;ec_shared_reflux_scene=shop_tab_feed&amp;share_item_id=7634520862712057108&amp;source=h5_t</v>
      </c>
      <c r="M628" s="464"/>
      <c r="N628" s="279" t="str">
        <f>IFERROR(__xludf.DUMMYFUNCTION("""COMPUTED_VALUE"""),"https://www.tiktok.com/@racun_spalspil12/video/7634521028357590292?_r=1&amp;u_code=cllj6j6aidf05b&amp;region=&amp;mid=7617088734676552456&amp;preview_pb=0&amp;sharer_language=&amp;_d=0&amp;ec_shared_reflux_dynamic_params=%7B%22placeholder_material_id%22%3A%227634521028357590292%22%2"&amp;"C%22placeholder_origin_cover%22%3A%22https%253A%252F%252Fp16-common-sign.tiktokcdn.com%252Ftos-alisg-p-0037%252FoEIzIBBbRRieANBpViHjf51YMIxExi1gcPaHBo~tplv-tiktokx-origin.jpeg%253Fdr%253D14572%2526refresh_token%253De710f6f0%2526x-expires%253D1810116000%25"&amp;"26x-signature%253DmEFfan8M3AabRKim6fSkg6M3%25252B8A%25253D%2526t%253D4d5b0474%2526ps%253D13740610%2526shp%253Dd05b14bd%2526shcp%253D34ff8df6%2526idc%253Dmy2%2526s%253DTIKTOK_AFFILIATE_VIRAL_VIDEO%22%2C%22placeholder_product_id%22%3A%221729729730555512511%"&amp;"22%2C%22placeholder_video_id%22%3A%227634521028357590292%22%7D&amp;ec_shared_reflux_scene=shop_tab_feed&amp;share_item_id=7634521028357590292&amp;source=h5_t")</f>
        <v>https://www.tiktok.com/@racun_spalspil12/video/7634521028357590292?_r=1&amp;u_code=cllj6j6aidf05b&amp;region=&amp;mid=7617088734676552456&amp;preview_pb=0&amp;sharer_language=&amp;_d=0&amp;ec_shared_reflux_dynamic_params=%7B%22placeholder_material_id%22%3A%227634521028357590292%22%2C%22placeholder_origin_cover%22%3A%22https%253A%252F%252Fp16-common-sign.tiktokcdn.com%252Ftos-alisg-p-0037%252FoEIzIBBbRRieANBpViHjf51YMIxExi1gcPaHBo~tplv-tiktokx-origin.jpeg%253Fdr%253D14572%2526refresh_token%253De710f6f0%2526x-expires%253D1810116000%2526x-signature%253DmEFfan8M3AabRKim6fSkg6M3%25252B8A%25253D%2526t%253D4d5b0474%2526ps%253D13740610%2526shp%253Dd05b14bd%2526shcp%253D34ff8df6%2526idc%253Dmy2%2526s%253DTIKTOK_AFFILIATE_VIRAL_VIDEO%22%2C%22placeholder_product_id%22%3A%221729729730555512511%22%2C%22placeholder_video_id%22%3A%227634521028357590292%22%7D&amp;ec_shared_reflux_scene=shop_tab_feed&amp;share_item_id=7634521028357590292&amp;source=h5_t</v>
      </c>
      <c r="O628" s="464"/>
      <c r="P628" s="279" t="str">
        <f>IFERROR(__xludf.DUMMYFUNCTION("""COMPUTED_VALUE"""),"https://www.tiktok.com/@racun_spalspil12/video/7634520493923536148?_r=1&amp;u_code=cllj6j6aidf05b&amp;region=&amp;mid=7634520514316471048&amp;preview_pb=0&amp;sharer_language=&amp;_d=0&amp;ec_shared_reflux_dynamic_params=%7B%22placeholder_material_id%22%3A%227634520493923536148%22%2"&amp;"C%22placeholder_origin_cover%22%3A%22https%253A%252F%252Fp16-common-sign.tiktokcdn.com%252Ftos-alisg-p-0037%252FoofI9htfgv4RwCzFmmcGeGsGeHALJjQAiQ7ngO~tplv-tiktokx-origin.jpeg%253Fdr%253D14572%2526refresh_token%253Daf53671b%2526x-expires%253D1810116000%25"&amp;"26x-signature%253DJARPHu3yZozs6tZvzy6RYcZTfpk%25253D%2526t%253D4d5b0474%2526ps%253D13740610%2526shp%253Dd05b14bd%2526shcp%253D34ff8df6%2526idc%253Dmy2%2526s%253DTIKTOK_AFFILIATE_VIRAL_VIDEO%22%2C%22placeholder_product_id%22%3A%221729729730555512511%22%2C%"&amp;"22placeholder_video_id%22%3A%227634520493923536148%22%7D&amp;ec_shared_reflux_scene=shop_tab_feed&amp;share_item_id=7634520493923536148&amp;source=h5_t")</f>
        <v>https://www.tiktok.com/@racun_spalspil12/video/7634520493923536148?_r=1&amp;u_code=cllj6j6aidf05b&amp;region=&amp;mid=7634520514316471048&amp;preview_pb=0&amp;sharer_language=&amp;_d=0&amp;ec_shared_reflux_dynamic_params=%7B%22placeholder_material_id%22%3A%227634520493923536148%22%2C%22placeholder_origin_cover%22%3A%22https%253A%252F%252Fp16-common-sign.tiktokcdn.com%252Ftos-alisg-p-0037%252FoofI9htfgv4RwCzFmmcGeGsGeHALJjQAiQ7ngO~tplv-tiktokx-origin.jpeg%253Fdr%253D14572%2526refresh_token%253Daf53671b%2526x-expires%253D1810116000%2526x-signature%253DJARPHu3yZozs6tZvzy6RYcZTfpk%25253D%2526t%253D4d5b0474%2526ps%253D13740610%2526shp%253Dd05b14bd%2526shcp%253D34ff8df6%2526idc%253Dmy2%2526s%253DTIKTOK_AFFILIATE_VIRAL_VIDEO%22%2C%22placeholder_product_id%22%3A%221729729730555512511%22%2C%22placeholder_video_id%22%3A%227634520493923536148%22%7D&amp;ec_shared_reflux_scene=shop_tab_feed&amp;share_item_id=7634520493923536148&amp;source=h5_t</v>
      </c>
    </row>
    <row r="629">
      <c r="A629" s="255" t="str">
        <f>IFERROR(__xludf.DUMMYFUNCTION("""COMPUTED_VALUE"""),"MICRO")</f>
        <v>MICRO</v>
      </c>
      <c r="B629" s="361" t="str">
        <f>IFERROR(__xludf.DUMMYFUNCTION("""COMPUTED_VALUE"""),"_asaaa84")</f>
        <v>_asaaa84</v>
      </c>
      <c r="C629" s="257" t="str">
        <f>IFERROR(__xludf.DUMMYFUNCTION("""COMPUTED_VALUE"""),"https://www.tiktok.com/@_asaaa84")</f>
        <v>https://www.tiktok.com/@_asaaa84</v>
      </c>
      <c r="D629" s="270">
        <f>IFERROR(__xludf.DUMMYFUNCTION("""COMPUTED_VALUE"""),8.3127723341E10)</f>
        <v>83127723341</v>
      </c>
      <c r="E629" s="457">
        <f>IFERROR(__xludf.DUMMYFUNCTION("""COMPUTED_VALUE"""),100000.0)</f>
        <v>100000</v>
      </c>
      <c r="F629" s="270">
        <f>IFERROR(__xludf.DUMMYFUNCTION("""COMPUTED_VALUE"""),1.0)</f>
        <v>1</v>
      </c>
      <c r="G629" s="17" t="str">
        <f>IFERROR(__xludf.DUMMYFUNCTION("""COMPUTED_VALUE"""),"Sabun batang 1 Box ( 2 PCS )")</f>
        <v>Sabun batang 1 Box ( 2 PCS )</v>
      </c>
      <c r="H629" s="463" t="str">
        <f>IFERROR(__xludf.DUMMYFUNCTION("""COMPUTED_VALUE"""),"Sampai")</f>
        <v>Sampai</v>
      </c>
      <c r="I629" s="464" t="str">
        <f>IFERROR(__xludf.DUMMYFUNCTION("""COMPUTED_VALUE"""),"KIMME")</f>
        <v>KIMME</v>
      </c>
      <c r="J629" s="279" t="str">
        <f>IFERROR(__xludf.DUMMYFUNCTION("""COMPUTED_VALUE"""),"https://www.tiktok.com/@_asaaa84/video/7623388726152006933?is_from_webapp=1&amp;sender_device=pc")</f>
        <v>https://www.tiktok.com/@_asaaa84/video/7623388726152006933?is_from_webapp=1&amp;sender_device=pc</v>
      </c>
      <c r="K629" s="464" t="str">
        <f>IFERROR(__xludf.DUMMYFUNCTION("""COMPUTED_VALUE"""),"KIMME")</f>
        <v>KIMME</v>
      </c>
      <c r="L629" s="279" t="str">
        <f>IFERROR(__xludf.DUMMYFUNCTION("""COMPUTED_VALUE"""),"https://www.tiktok.com/@nabillmusthafa/video/7637093164968348946?_r=1&amp;u_code=deal88a6gjlm74&amp;region=&amp;mid=7613789554936416273&amp;preview_pb=0&amp;sharer_language=&amp;_d=0&amp;ec_shared_reflux_dynamic_params=%7B%22placeholder_material_id%22%3A%227637093164968348946%22%2C%"&amp;"22placeholder_origin_cover%22%3A%22https%253A%252F%252Fp16-common-sign.tiktokcdn.com%252Ftos-alisg-p-0037%252FoETfZMwEDIz8H8r8AEFCQkGfLFfWnNGIEDAURe~tplv-tiktokx-origin.jpeg%253Fdr%253D14572%2526refresh_token%253D97666d0e%2526x-expires%253D1810119600%2526"&amp;"x-signature%253DnNKFe9PhzXAIjS0o%25252F2bD3pM0llg%25253D%2526t%253D4d5b0474%2526ps%253D13740610%2526shp%253Dd05b14bd%2526shcp%253D34ff8df6%2526idc%253Dmy2%2526s%253DTIKTOK_AFFILIATE_VIRAL_VIDEO%22%2C%22placeholder_product_id%22%3A%221729427766722726591%22"&amp;"%2C%22placeholder_video_id%22%3A%227637093164968348946%22%7D&amp;ec_shared_reflux_scene=shop_tab_feed&amp;share_item_id=7637093164968348946&amp;source=h5_t")</f>
        <v>https://www.tiktok.com/@nabillmusthafa/video/7637093164968348946?_r=1&amp;u_code=deal88a6gjlm74&amp;region=&amp;mid=7613789554936416273&amp;preview_pb=0&amp;sharer_language=&amp;_d=0&amp;ec_shared_reflux_dynamic_params=%7B%22placeholder_material_id%22%3A%227637093164968348946%22%2C%22placeholder_origin_cover%22%3A%22https%253A%252F%252Fp16-common-sign.tiktokcdn.com%252Ftos-alisg-p-0037%252FoETfZMwEDIz8H8r8AEFCQkGfLFfWnNGIEDAURe~tplv-tiktokx-origin.jpeg%253Fdr%253D14572%2526refresh_token%253D97666d0e%2526x-expires%253D1810119600%2526x-signature%253DnNKFe9PhzXAIjS0o%25252F2bD3pM0llg%25253D%2526t%253D4d5b0474%2526ps%253D13740610%2526shp%253Dd05b14bd%2526shcp%253D34ff8df6%2526idc%253Dmy2%2526s%253DTIKTOK_AFFILIATE_VIRAL_VIDEO%22%2C%22placeholder_product_id%22%3A%221729427766722726591%22%2C%22placeholder_video_id%22%3A%227637093164968348946%22%7D&amp;ec_shared_reflux_scene=shop_tab_feed&amp;share_item_id=7637093164968348946&amp;source=h5_t</v>
      </c>
      <c r="M629" s="464"/>
      <c r="N629" s="279" t="str">
        <f>IFERROR(__xludf.DUMMYFUNCTION("""COMPUTED_VALUE"""),"https://www.tiktok.com/@nabillmusthafa/video/7636684784172895496?_r=1&amp;u_code=deal88a6gjlm74&amp;region=&amp;mid=7630865255543081736&amp;preview_pb=0&amp;sharer_language=&amp;_d=0&amp;ec_shared_reflux_dynamic_params=%7B%22placeholder_material_id%22%3A%227636684784172895496%22%2C%"&amp;"22placeholder_origin_cover%22%3A%22https%253A%252F%252Fp19-common-sign.tiktokcdn.com%252Ftos-alisg-p-0037%252FosI6ICG5G9Q6AEGnQL3beyzHfifRNIHAQteGFU~tplv-tiktokx-origin.jpeg%253Fdr%253D14572%2526refresh_token%253Df11d31d4%2526x-expires%253D1810119600%2526"&amp;"x-signature%253Dd8241%25252FodjK6NRV1bW%25252BjQ3taumVA%25253D%2526t%253D4d5b0474%2526ps%253D13740610%2526shp%253Dd05b14bd%2526shcp%253D34ff8df6%2526idc%253Dmy2%2526s%253DTIKTOK_AFFILIATE_VIRAL_VIDEO%22%2C%22placeholder_product_id%22%3A%221729427766722726"&amp;"591%22%2C%22placeholder_video_id%22%3A%227636684784172895496%22%7D&amp;ec_shared_reflux_scene=shop_tab_feed&amp;share_item_id=7636684784172895496&amp;source=h5_t")</f>
        <v>https://www.tiktok.com/@nabillmusthafa/video/7636684784172895496?_r=1&amp;u_code=deal88a6gjlm74&amp;region=&amp;mid=7630865255543081736&amp;preview_pb=0&amp;sharer_language=&amp;_d=0&amp;ec_shared_reflux_dynamic_params=%7B%22placeholder_material_id%22%3A%227636684784172895496%22%2C%22placeholder_origin_cover%22%3A%22https%253A%252F%252Fp19-common-sign.tiktokcdn.com%252Ftos-alisg-p-0037%252FosI6ICG5G9Q6AEGnQL3beyzHfifRNIHAQteGFU~tplv-tiktokx-origin.jpeg%253Fdr%253D14572%2526refresh_token%253Df11d31d4%2526x-expires%253D1810119600%2526x-signature%253Dd8241%25252FodjK6NRV1bW%25252BjQ3taumVA%25253D%2526t%253D4d5b0474%2526ps%253D13740610%2526shp%253Dd05b14bd%2526shcp%253D34ff8df6%2526idc%253Dmy2%2526s%253DTIKTOK_AFFILIATE_VIRAL_VIDEO%22%2C%22placeholder_product_id%22%3A%221729427766722726591%22%2C%22placeholder_video_id%22%3A%227636684784172895496%22%7D&amp;ec_shared_reflux_scene=shop_tab_feed&amp;share_item_id=7636684784172895496&amp;source=h5_t</v>
      </c>
      <c r="O629" s="464"/>
      <c r="P629" s="279" t="str">
        <f>IFERROR(__xludf.DUMMYFUNCTION("""COMPUTED_VALUE"""),"https://www.tiktok.com/@nabillmusthafa/video/7636547118815071506?_r=1&amp;u_code=deal88a6gjlm74&amp;region=&amp;mid=7529532897955416848&amp;preview_pb=0&amp;sharer_language=&amp;_d=0&amp;ec_shared_reflux_dynamic_params=%7B%22placeholder_material_id%22%3A%227636547118815071506%22%2C%"&amp;"22placeholder_origin_cover%22%3A%22https%253A%252F%252Fp16-common-sign.tiktokcdn.com%252Ftos-alisg-p-0037%252Fo0FAA7A6eWfZeRdGgnQMLl8wgz1iAxMaGQ0fpG~tplv-tiktokx-origin.jpeg%253Fdr%253D14572%2526refresh_token%253D613556fc%2526x-expires%253D1810119600%2526"&amp;"x-signature%253DSPdzL6VraWXCdP7flblFE9EpU1k%25253D%2526t%253D4d5b0474%2526ps%253D13740610%2526shp%253Dd05b14bd%2526shcp%253D34ff8df6%2526idc%253Dmy2%2526s%253DTIKTOK_AFFILIATE_VIRAL_VIDEO%22%2C%22placeholder_product_id%22%3A%221729427766722726591%22%2C%22"&amp;"placeholder_video_id%22%3A%227636547118815071506%22%7D&amp;ec_shared_reflux_scene=shop_tab_feed&amp;share_item_id=7636547118815071506&amp;source=h5_t")</f>
        <v>https://www.tiktok.com/@nabillmusthafa/video/7636547118815071506?_r=1&amp;u_code=deal88a6gjlm74&amp;region=&amp;mid=7529532897955416848&amp;preview_pb=0&amp;sharer_language=&amp;_d=0&amp;ec_shared_reflux_dynamic_params=%7B%22placeholder_material_id%22%3A%227636547118815071506%22%2C%22placeholder_origin_cover%22%3A%22https%253A%252F%252Fp16-common-sign.tiktokcdn.com%252Ftos-alisg-p-0037%252Fo0FAA7A6eWfZeRdGgnQMLl8wgz1iAxMaGQ0fpG~tplv-tiktokx-origin.jpeg%253Fdr%253D14572%2526refresh_token%253D613556fc%2526x-expires%253D1810119600%2526x-signature%253DSPdzL6VraWXCdP7flblFE9EpU1k%25253D%2526t%253D4d5b0474%2526ps%253D13740610%2526shp%253Dd05b14bd%2526shcp%253D34ff8df6%2526idc%253Dmy2%2526s%253DTIKTOK_AFFILIATE_VIRAL_VIDEO%22%2C%22placeholder_product_id%22%3A%221729427766722726591%22%2C%22placeholder_video_id%22%3A%227636547118815071506%22%7D&amp;ec_shared_reflux_scene=shop_tab_feed&amp;share_item_id=7636547118815071506&amp;source=h5_t</v>
      </c>
    </row>
    <row r="630">
      <c r="A630" s="255" t="str">
        <f>IFERROR(__xludf.DUMMYFUNCTION("""COMPUTED_VALUE"""),"MICRO")</f>
        <v>MICRO</v>
      </c>
      <c r="B630" s="361" t="str">
        <f>IFERROR(__xludf.DUMMYFUNCTION("""COMPUTED_VALUE"""),"myname_hana")</f>
        <v>myname_hana</v>
      </c>
      <c r="C630" s="257" t="str">
        <f>IFERROR(__xludf.DUMMYFUNCTION("""COMPUTED_VALUE"""),"https://www.tiktok.com/@myname_hana")</f>
        <v>https://www.tiktok.com/@myname_hana</v>
      </c>
      <c r="D630" s="270">
        <f>IFERROR(__xludf.DUMMYFUNCTION("""COMPUTED_VALUE"""),8.9522021147E10)</f>
        <v>89522021147</v>
      </c>
      <c r="E630" s="457">
        <f>IFERROR(__xludf.DUMMYFUNCTION("""COMPUTED_VALUE"""),0.0)</f>
        <v>0</v>
      </c>
      <c r="F630" s="270">
        <f>IFERROR(__xludf.DUMMYFUNCTION("""COMPUTED_VALUE"""),4.0)</f>
        <v>4</v>
      </c>
      <c r="G630" s="17" t="str">
        <f>IFERROR(__xludf.DUMMYFUNCTION("""COMPUTED_VALUE"""),"Sabun batang 1 Box ( 2 PCS )")</f>
        <v>Sabun batang 1 Box ( 2 PCS )</v>
      </c>
      <c r="H630" s="463" t="str">
        <f>IFERROR(__xludf.DUMMYFUNCTION("""COMPUTED_VALUE"""),"Sampai")</f>
        <v>Sampai</v>
      </c>
      <c r="I630" s="464" t="str">
        <f>IFERROR(__xludf.DUMMYFUNCTION("""COMPUTED_VALUE"""),"KIMME")</f>
        <v>KIMME</v>
      </c>
      <c r="J630" s="279" t="str">
        <f>IFERROR(__xludf.DUMMYFUNCTION("""COMPUTED_VALUE"""),"https://www.tiktok.com/@myname_hana/video/7620267652384099604?is_from_webapp=1&amp;sender_device=pc")</f>
        <v>https://www.tiktok.com/@myname_hana/video/7620267652384099604?is_from_webapp=1&amp;sender_device=pc</v>
      </c>
      <c r="K630" s="464" t="str">
        <f>IFERROR(__xludf.DUMMYFUNCTION("""COMPUTED_VALUE"""),"KIMME")</f>
        <v>KIMME</v>
      </c>
      <c r="L630" s="279" t="str">
        <f>IFERROR(__xludf.DUMMYFUNCTION("""COMPUTED_VALUE"""),"https://www.tiktok.com/@myname_hana/video/7620767309891702036?is_from_webapp=1&amp;sender_device=pc")</f>
        <v>https://www.tiktok.com/@myname_hana/video/7620767309891702036?is_from_webapp=1&amp;sender_device=pc</v>
      </c>
      <c r="M630" s="464" t="str">
        <f>IFERROR(__xludf.DUMMYFUNCTION("""COMPUTED_VALUE"""),"KIMME")</f>
        <v>KIMME</v>
      </c>
      <c r="N630" s="279" t="str">
        <f>IFERROR(__xludf.DUMMYFUNCTION("""COMPUTED_VALUE"""),"https://www.tiktok.com/@myname_hana/video/7621856683232382229?is_from_webapp=1&amp;sender_device=pc")</f>
        <v>https://www.tiktok.com/@myname_hana/video/7621856683232382229?is_from_webapp=1&amp;sender_device=pc</v>
      </c>
      <c r="O630" s="464" t="str">
        <f>IFERROR(__xludf.DUMMYFUNCTION("""COMPUTED_VALUE"""),"KIMME")</f>
        <v>KIMME</v>
      </c>
      <c r="P630" s="279" t="str">
        <f>IFERROR(__xludf.DUMMYFUNCTION("""COMPUTED_VALUE"""),"https://www.tiktok.com/@myname_hana/video/7622206592309579028?is_from_webapp=1&amp;sender_device=pc")</f>
        <v>https://www.tiktok.com/@myname_hana/video/7622206592309579028?is_from_webapp=1&amp;sender_device=pc</v>
      </c>
    </row>
    <row r="631">
      <c r="A631" s="255" t="str">
        <f>IFERROR(__xludf.DUMMYFUNCTION("""COMPUTED_VALUE"""),"MACRO")</f>
        <v>MACRO</v>
      </c>
      <c r="B631" s="361" t="str">
        <f>IFERROR(__xludf.DUMMYFUNCTION("""COMPUTED_VALUE"""),"reinn057")</f>
        <v>reinn057</v>
      </c>
      <c r="C631" s="257" t="str">
        <f>IFERROR(__xludf.DUMMYFUNCTION("""COMPUTED_VALUE"""),"https://www.tiktok.com/@reinn057")</f>
        <v>https://www.tiktok.com/@reinn057</v>
      </c>
      <c r="D631" s="270">
        <f>IFERROR(__xludf.DUMMYFUNCTION("""COMPUTED_VALUE"""),8.588578278E10)</f>
        <v>85885782780</v>
      </c>
      <c r="E631" s="457">
        <f>IFERROR(__xludf.DUMMYFUNCTION("""COMPUTED_VALUE"""),0.0)</f>
        <v>0</v>
      </c>
      <c r="F631" s="270">
        <f>IFERROR(__xludf.DUMMYFUNCTION("""COMPUTED_VALUE"""),4.0)</f>
        <v>4</v>
      </c>
      <c r="G631" s="17" t="str">
        <f>IFERROR(__xludf.DUMMYFUNCTION("""COMPUTED_VALUE"""),"Sabun batang 1 Box ( 2 PCS )")</f>
        <v>Sabun batang 1 Box ( 2 PCS )</v>
      </c>
      <c r="H631" s="463" t="str">
        <f>IFERROR(__xludf.DUMMYFUNCTION("""COMPUTED_VALUE"""),"Sampai")</f>
        <v>Sampai</v>
      </c>
      <c r="I631" s="464" t="str">
        <f>IFERROR(__xludf.DUMMYFUNCTION("""COMPUTED_VALUE"""),"KIMME")</f>
        <v>KIMME</v>
      </c>
      <c r="J631" s="279" t="str">
        <f>IFERROR(__xludf.DUMMYFUNCTION("""COMPUTED_VALUE"""),"https://www.tiktok.com/@snowme.shop/video/7632873291379707156?is_from_webapp=1&amp;sender_device=pc&amp;web_id=7611930277489657360")</f>
        <v>https://www.tiktok.com/@snowme.shop/video/7632873291379707156?is_from_webapp=1&amp;sender_device=pc&amp;web_id=7611930277489657360</v>
      </c>
      <c r="K631" s="464" t="str">
        <f>IFERROR(__xludf.DUMMYFUNCTION("""COMPUTED_VALUE"""),"KIMME")</f>
        <v>KIMME</v>
      </c>
      <c r="L631" s="279" t="str">
        <f>IFERROR(__xludf.DUMMYFUNCTION("""COMPUTED_VALUE"""),"https://www.tiktok.com/@snowme.shop/video/7632505256458358037?is_from_webapp=1&amp;sender_device=pc&amp;web_id=7611930277489657360")</f>
        <v>https://www.tiktok.com/@snowme.shop/video/7632505256458358037?is_from_webapp=1&amp;sender_device=pc&amp;web_id=7611930277489657360</v>
      </c>
      <c r="M631" s="464" t="str">
        <f>IFERROR(__xludf.DUMMYFUNCTION("""COMPUTED_VALUE"""),"KIMME")</f>
        <v>KIMME</v>
      </c>
      <c r="N631" s="279" t="str">
        <f>IFERROR(__xludf.DUMMYFUNCTION("""COMPUTED_VALUE"""),"https://www.tiktok.com/@snowme.shop/video/7632471921988275477?is_from_webapp=1&amp;sender_device=pc&amp;web_id=7611930277489657360")</f>
        <v>https://www.tiktok.com/@snowme.shop/video/7632471921988275477?is_from_webapp=1&amp;sender_device=pc&amp;web_id=7611930277489657360</v>
      </c>
      <c r="O631" s="464" t="str">
        <f>IFERROR(__xludf.DUMMYFUNCTION("""COMPUTED_VALUE"""),"KIMME")</f>
        <v>KIMME</v>
      </c>
      <c r="P631" s="279" t="str">
        <f>IFERROR(__xludf.DUMMYFUNCTION("""COMPUTED_VALUE"""),"https://www.tiktok.com/@snowme.shop/video/7632187413174996244?is_from_webapp=1&amp;sender_device=pc&amp;web_id=7611930277489657360")</f>
        <v>https://www.tiktok.com/@snowme.shop/video/7632187413174996244?is_from_webapp=1&amp;sender_device=pc&amp;web_id=7611930277489657360</v>
      </c>
    </row>
    <row r="632">
      <c r="A632" s="255" t="str">
        <f>IFERROR(__xludf.DUMMYFUNCTION("""COMPUTED_VALUE"""),"MICRO")</f>
        <v>MICRO</v>
      </c>
      <c r="B632" s="361" t="str">
        <f>IFERROR(__xludf.DUMMYFUNCTION("""COMPUTED_VALUE"""),"snowme.shop")</f>
        <v>snowme.shop</v>
      </c>
      <c r="C632" s="257" t="str">
        <f>IFERROR(__xludf.DUMMYFUNCTION("""COMPUTED_VALUE"""),"https://www.tiktok.com/@snowme.shop")</f>
        <v>https://www.tiktok.com/@snowme.shop</v>
      </c>
      <c r="D632" s="270">
        <f>IFERROR(__xludf.DUMMYFUNCTION("""COMPUTED_VALUE"""),8.8245200706E10)</f>
        <v>88245200706</v>
      </c>
      <c r="E632" s="457">
        <f>IFERROR(__xludf.DUMMYFUNCTION("""COMPUTED_VALUE"""),0.0)</f>
        <v>0</v>
      </c>
      <c r="F632" s="270">
        <f>IFERROR(__xludf.DUMMYFUNCTION("""COMPUTED_VALUE"""),4.0)</f>
        <v>4</v>
      </c>
      <c r="G632" s="17" t="str">
        <f>IFERROR(__xludf.DUMMYFUNCTION("""COMPUTED_VALUE"""),"Sabun batang 1 Box ( 2 PCS )")</f>
        <v>Sabun batang 1 Box ( 2 PCS )</v>
      </c>
      <c r="H632" s="463" t="str">
        <f>IFERROR(__xludf.DUMMYFUNCTION("""COMPUTED_VALUE"""),"Sampai")</f>
        <v>Sampai</v>
      </c>
      <c r="I632" s="464" t="str">
        <f>IFERROR(__xludf.DUMMYFUNCTION("""COMPUTED_VALUE"""),"KIMME")</f>
        <v>KIMME</v>
      </c>
      <c r="J632" s="279" t="str">
        <f>IFERROR(__xludf.DUMMYFUNCTION("""COMPUTED_VALUE"""),"https://www.tiktok.com/@snowme.shop/video/7626648762852658452?is_from_webapp=1&amp;sender_device=pc")</f>
        <v>https://www.tiktok.com/@snowme.shop/video/7626648762852658452?is_from_webapp=1&amp;sender_device=pc</v>
      </c>
      <c r="K632" s="464" t="str">
        <f>IFERROR(__xludf.DUMMYFUNCTION("""COMPUTED_VALUE"""),"KIMME")</f>
        <v>KIMME</v>
      </c>
      <c r="L632" s="279" t="str">
        <f>IFERROR(__xludf.DUMMYFUNCTION("""COMPUTED_VALUE"""),"https://www.tiktok.com/@snowme.shop/video/7626687165455633685?is_from_webapp=1&amp;sender_device=pc")</f>
        <v>https://www.tiktok.com/@snowme.shop/video/7626687165455633685?is_from_webapp=1&amp;sender_device=pc</v>
      </c>
      <c r="M632" s="464" t="str">
        <f>IFERROR(__xludf.DUMMYFUNCTION("""COMPUTED_VALUE"""),"KIMME")</f>
        <v>KIMME</v>
      </c>
      <c r="N632" s="279" t="str">
        <f>IFERROR(__xludf.DUMMYFUNCTION("""COMPUTED_VALUE"""),"https://www.tiktok.com/@snowme.shop/video/7627446453018905876?is_from_webapp=1&amp;sender_device=pc")</f>
        <v>https://www.tiktok.com/@snowme.shop/video/7627446453018905876?is_from_webapp=1&amp;sender_device=pc</v>
      </c>
      <c r="O632" s="464" t="str">
        <f>IFERROR(__xludf.DUMMYFUNCTION("""COMPUTED_VALUE"""),"KIMME")</f>
        <v>KIMME</v>
      </c>
      <c r="P632" s="279" t="str">
        <f>IFERROR(__xludf.DUMMYFUNCTION("""COMPUTED_VALUE"""),"https://www.tiktok.com/@snowme.shop/video/7627461429003603220?is_from_webapp=1&amp;sender_device=pc")</f>
        <v>https://www.tiktok.com/@snowme.shop/video/7627461429003603220?is_from_webapp=1&amp;sender_device=pc</v>
      </c>
    </row>
    <row r="633">
      <c r="A633" s="255" t="str">
        <f>IFERROR(__xludf.DUMMYFUNCTION("""COMPUTED_VALUE"""),"MICRO")</f>
        <v>MICRO</v>
      </c>
      <c r="B633" s="361" t="str">
        <f>IFERROR(__xludf.DUMMYFUNCTION("""COMPUTED_VALUE"""),"mycandyystuff")</f>
        <v>mycandyystuff</v>
      </c>
      <c r="C633" s="257" t="str">
        <f>IFERROR(__xludf.DUMMYFUNCTION("""COMPUTED_VALUE"""),"https://www.tiktok.com/@mycandyystuff")</f>
        <v>https://www.tiktok.com/@mycandyystuff</v>
      </c>
      <c r="D633" s="270">
        <f>IFERROR(__xludf.DUMMYFUNCTION("""COMPUTED_VALUE"""),8.9531410206E10)</f>
        <v>89531410206</v>
      </c>
      <c r="E633" s="457">
        <f>IFERROR(__xludf.DUMMYFUNCTION("""COMPUTED_VALUE"""),0.0)</f>
        <v>0</v>
      </c>
      <c r="F633" s="270">
        <f>IFERROR(__xludf.DUMMYFUNCTION("""COMPUTED_VALUE"""),2.0)</f>
        <v>2</v>
      </c>
      <c r="G633" s="17" t="str">
        <f>IFERROR(__xludf.DUMMYFUNCTION("""COMPUTED_VALUE"""),"Sabun batang 1 Box ( 2 PCS )")</f>
        <v>Sabun batang 1 Box ( 2 PCS )</v>
      </c>
      <c r="H633" s="463" t="str">
        <f>IFERROR(__xludf.DUMMYFUNCTION("""COMPUTED_VALUE"""),"Sampai")</f>
        <v>Sampai</v>
      </c>
      <c r="I633" s="464" t="str">
        <f>IFERROR(__xludf.DUMMYFUNCTION("""COMPUTED_VALUE"""),"KIMME")</f>
        <v>KIMME</v>
      </c>
      <c r="J633" s="17" t="str">
        <f>IFERROR(__xludf.DUMMYFUNCTION("""COMPUTED_VALUE"""),"⁠https://vt.tiktok.com/ZS9NEbLvG/")</f>
        <v>⁠https://vt.tiktok.com/ZS9NEbLvG/</v>
      </c>
      <c r="K633" s="464" t="str">
        <f>IFERROR(__xludf.DUMMYFUNCTION("""COMPUTED_VALUE"""),"KIMME")</f>
        <v>KIMME</v>
      </c>
      <c r="L633" s="279" t="str">
        <f>IFERROR(__xludf.DUMMYFUNCTION("""COMPUTED_VALUE"""),"https://vt.tiktok.com/ZS9NEqRT7/")</f>
        <v>https://vt.tiktok.com/ZS9NEqRT7/</v>
      </c>
      <c r="M633" s="464"/>
      <c r="N633" s="279" t="str">
        <f>IFERROR(__xludf.DUMMYFUNCTION("""COMPUTED_VALUE"""),"https://www.tiktok.com/@nabillmusthafa/video/7636322477056003336?_r=1&amp;u_code=deal88a6gjlm74&amp;region=&amp;mid=7433734977033947152&amp;preview_pb=0&amp;sharer_language=&amp;_d=0&amp;ec_shared_reflux_dynamic_params=%7B%22placeholder_material_id%22%3A%227636322477056003336%22%2C%"&amp;"22placeholder_origin_cover%22%3A%22https%253A%252F%252Fp16-common-sign.tiktokcdn.com%252Ftos-alisg-p-0037%252FogI5IBDhjqzeA6DTxFrFfQykfqnIkEpAohatCi~tplv-tiktokx-origin.jpeg%253Fdr%253D14572%2526refresh_token%253Dcc708953%2526x-expires%253D1810119600%2526"&amp;"x-signature%253DBWHWuTj1Vj8wQnyFTxxVZyle64U%25253D%2526t%253D4d5b0474%2526ps%253D13740610%2526shp%253Dd05b14bd%2526shcp%253D34ff8df6%2526idc%253Dmy2%2526s%253DTIKTOK_AFFILIATE_VIRAL_VIDEO%22%2C%22placeholder_product_id%22%3A%221729427766722726591%22%2C%22"&amp;"placeholder_video_id%22%3A%227636322477056003336%22%7D&amp;ec_shared_reflux_scene=shop_tab_feed&amp;share_item_id=7636322477056003336&amp;source=h5_t")</f>
        <v>https://www.tiktok.com/@nabillmusthafa/video/7636322477056003336?_r=1&amp;u_code=deal88a6gjlm74&amp;region=&amp;mid=7433734977033947152&amp;preview_pb=0&amp;sharer_language=&amp;_d=0&amp;ec_shared_reflux_dynamic_params=%7B%22placeholder_material_id%22%3A%227636322477056003336%22%2C%22placeholder_origin_cover%22%3A%22https%253A%252F%252Fp16-common-sign.tiktokcdn.com%252Ftos-alisg-p-0037%252FogI5IBDhjqzeA6DTxFrFfQykfqnIkEpAohatCi~tplv-tiktokx-origin.jpeg%253Fdr%253D14572%2526refresh_token%253Dcc708953%2526x-expires%253D1810119600%2526x-signature%253DBWHWuTj1Vj8wQnyFTxxVZyle64U%25253D%2526t%253D4d5b0474%2526ps%253D13740610%2526shp%253Dd05b14bd%2526shcp%253D34ff8df6%2526idc%253Dmy2%2526s%253DTIKTOK_AFFILIATE_VIRAL_VIDEO%22%2C%22placeholder_product_id%22%3A%221729427766722726591%22%2C%22placeholder_video_id%22%3A%227636322477056003336%22%7D&amp;ec_shared_reflux_scene=shop_tab_feed&amp;share_item_id=7636322477056003336&amp;source=h5_t</v>
      </c>
      <c r="O633" s="464"/>
      <c r="P633" s="279" t="str">
        <f>IFERROR(__xludf.DUMMYFUNCTION("""COMPUTED_VALUE"""),"https://www.tiktok.com/@nabillmusthafa/video/7636314111374019847?_r=1&amp;u_code=deal88a6gjlm74&amp;region=&amp;mid=7633020487571901185&amp;preview_pb=0&amp;sharer_language=&amp;_d=0&amp;ec_shared_reflux_dynamic_params=%7B%22placeholder_material_id%22%3A%227636314111374019847%22%2C%"&amp;"22placeholder_origin_cover%22%3A%22https%253A%252F%252Fp19-common-sign.tiktokcdn.com%252Ftos-alisg-p-0037%252FocBi50fGBmgNpi4Et88BAWUpifIBoI2gRsbjGH~tplv-tiktokx-origin.jpeg%253Fdr%253D14572%2526refresh_token%253D6821cf2d%2526x-expires%253D1810119600%2526"&amp;"x-signature%253D4GuXOg1AYZVbV5PqNRUg6NX30IQ%25253D%2526t%253D4d5b0474%2526ps%253D13740610%2526shp%253Dd05b14bd%2526shcp%253D34ff8df6%2526idc%253Dmy2%2526s%253DTIKTOK_AFFILIATE_VIRAL_VIDEO%22%2C%22placeholder_product_id%22%3A%221729427766722726591%22%2C%22"&amp;"placeholder_video_id%22%3A%227636314111374019847%22%7D&amp;ec_shared_reflux_scene=shop_tab_feed&amp;share_item_id=7636314111374019847&amp;source=h5_t")</f>
        <v>https://www.tiktok.com/@nabillmusthafa/video/7636314111374019847?_r=1&amp;u_code=deal88a6gjlm74&amp;region=&amp;mid=7633020487571901185&amp;preview_pb=0&amp;sharer_language=&amp;_d=0&amp;ec_shared_reflux_dynamic_params=%7B%22placeholder_material_id%22%3A%227636314111374019847%22%2C%22placeholder_origin_cover%22%3A%22https%253A%252F%252Fp19-common-sign.tiktokcdn.com%252Ftos-alisg-p-0037%252FocBi50fGBmgNpi4Et88BAWUpifIBoI2gRsbjGH~tplv-tiktokx-origin.jpeg%253Fdr%253D14572%2526refresh_token%253D6821cf2d%2526x-expires%253D1810119600%2526x-signature%253D4GuXOg1AYZVbV5PqNRUg6NX30IQ%25253D%2526t%253D4d5b0474%2526ps%253D13740610%2526shp%253Dd05b14bd%2526shcp%253D34ff8df6%2526idc%253Dmy2%2526s%253DTIKTOK_AFFILIATE_VIRAL_VIDEO%22%2C%22placeholder_product_id%22%3A%221729427766722726591%22%2C%22placeholder_video_id%22%3A%227636314111374019847%22%7D&amp;ec_shared_reflux_scene=shop_tab_feed&amp;share_item_id=7636314111374019847&amp;source=h5_t</v>
      </c>
    </row>
    <row r="634">
      <c r="A634" s="255" t="str">
        <f>IFERROR(__xludf.DUMMYFUNCTION("""COMPUTED_VALUE"""),"MACRO")</f>
        <v>MACRO</v>
      </c>
      <c r="B634" s="361" t="str">
        <f>IFERROR(__xludf.DUMMYFUNCTION("""COMPUTED_VALUE"""),"aleena_balqis
")</f>
        <v>aleena_balqis
</v>
      </c>
      <c r="C634" s="257" t="str">
        <f>IFERROR(__xludf.DUMMYFUNCTION("""COMPUTED_VALUE"""),"https://www.tiktok.com/@aleena_balqis
")</f>
        <v>https://www.tiktok.com/@aleena_balqis
</v>
      </c>
      <c r="D634" s="270">
        <f>IFERROR(__xludf.DUMMYFUNCTION("""COMPUTED_VALUE"""),8.881814602E9)</f>
        <v>8881814602</v>
      </c>
      <c r="E634" s="457">
        <f>IFERROR(__xludf.DUMMYFUNCTION("""COMPUTED_VALUE"""),250000.0)</f>
        <v>250000</v>
      </c>
      <c r="F634" s="270">
        <f>IFERROR(__xludf.DUMMYFUNCTION("""COMPUTED_VALUE"""),1.0)</f>
        <v>1</v>
      </c>
      <c r="G634" s="17" t="str">
        <f>IFERROR(__xludf.DUMMYFUNCTION("""COMPUTED_VALUE"""),"Sabun batang 1 Box ( 2 PCS )")</f>
        <v>Sabun batang 1 Box ( 2 PCS )</v>
      </c>
      <c r="H634" s="463" t="str">
        <f>IFERROR(__xludf.DUMMYFUNCTION("""COMPUTED_VALUE"""),"Sampai")</f>
        <v>Sampai</v>
      </c>
      <c r="I634" s="464" t="str">
        <f>IFERROR(__xludf.DUMMYFUNCTION("""COMPUTED_VALUE"""),"KIMME")</f>
        <v>KIMME</v>
      </c>
      <c r="J634" s="279" t="str">
        <f>IFERROR(__xludf.DUMMYFUNCTION("""COMPUTED_VALUE"""),"https://vt.tiktok.com/ZSHnVrkYR/")</f>
        <v>https://vt.tiktok.com/ZSHnVrkYR/</v>
      </c>
      <c r="K634" s="464" t="str">
        <f>IFERROR(__xludf.DUMMYFUNCTION("""COMPUTED_VALUE"""),"KIMME")</f>
        <v>KIMME</v>
      </c>
      <c r="L634" s="279" t="str">
        <f>IFERROR(__xludf.DUMMYFUNCTION("""COMPUTED_VALUE"""),"https://vt.tiktok.com/ZSxAa4q1w/")</f>
        <v>https://vt.tiktok.com/ZSxAa4q1w/</v>
      </c>
      <c r="M634" s="464"/>
      <c r="N634" s="17"/>
      <c r="O634" s="464"/>
      <c r="P634" s="17"/>
    </row>
    <row r="635">
      <c r="A635" s="255" t="str">
        <f>IFERROR(__xludf.DUMMYFUNCTION("""COMPUTED_VALUE"""),"MACRO")</f>
        <v>MACRO</v>
      </c>
      <c r="B635" s="361" t="str">
        <f>IFERROR(__xludf.DUMMYFUNCTION("""COMPUTED_VALUE"""),"ismifazaaaa")</f>
        <v>ismifazaaaa</v>
      </c>
      <c r="C635" s="257" t="str">
        <f>IFERROR(__xludf.DUMMYFUNCTION("""COMPUTED_VALUE"""),"https://www.tiktok.com/@ismifazaaaa")</f>
        <v>https://www.tiktok.com/@ismifazaaaa</v>
      </c>
      <c r="D635" s="270">
        <f>IFERROR(__xludf.DUMMYFUNCTION("""COMPUTED_VALUE"""),8.5648070982E10)</f>
        <v>85648070982</v>
      </c>
      <c r="E635" s="457">
        <f>IFERROR(__xludf.DUMMYFUNCTION("""COMPUTED_VALUE"""),0.0)</f>
        <v>0</v>
      </c>
      <c r="F635" s="270">
        <f>IFERROR(__xludf.DUMMYFUNCTION("""COMPUTED_VALUE"""),4.0)</f>
        <v>4</v>
      </c>
      <c r="G635" s="17" t="str">
        <f>IFERROR(__xludf.DUMMYFUNCTION("""COMPUTED_VALUE"""),"Sabun batang 1 Box ( 2 PCS )")</f>
        <v>Sabun batang 1 Box ( 2 PCS )</v>
      </c>
      <c r="H635" s="463" t="str">
        <f>IFERROR(__xludf.DUMMYFUNCTION("""COMPUTED_VALUE"""),"Sampai")</f>
        <v>Sampai</v>
      </c>
      <c r="I635" s="464" t="str">
        <f>IFERROR(__xludf.DUMMYFUNCTION("""COMPUTED_VALUE"""),"KIMME")</f>
        <v>KIMME</v>
      </c>
      <c r="J635" s="279" t="str">
        <f>IFERROR(__xludf.DUMMYFUNCTION("""COMPUTED_VALUE"""),"https://www.tiktok.com/@snowme.shop/video/7631947506208804117?is_from_webapp=1&amp;sender_device=pc&amp;web_id=7611930277489657360")</f>
        <v>https://www.tiktok.com/@snowme.shop/video/7631947506208804117?is_from_webapp=1&amp;sender_device=pc&amp;web_id=7611930277489657360</v>
      </c>
      <c r="K635" s="464" t="str">
        <f>IFERROR(__xludf.DUMMYFUNCTION("""COMPUTED_VALUE"""),"KIMME")</f>
        <v>KIMME</v>
      </c>
      <c r="L635" s="279" t="str">
        <f>IFERROR(__xludf.DUMMYFUNCTION("""COMPUTED_VALUE"""),"https://www.tiktok.com/@racun.outfitbymey/video/7633356040456752391?is_from_webapp=1&amp;sender_device=pc&amp;web_id=7611930277489657360")</f>
        <v>https://www.tiktok.com/@racun.outfitbymey/video/7633356040456752391?is_from_webapp=1&amp;sender_device=pc&amp;web_id=7611930277489657360</v>
      </c>
      <c r="M635" s="464" t="str">
        <f>IFERROR(__xludf.DUMMYFUNCTION("""COMPUTED_VALUE"""),"KIMME")</f>
        <v>KIMME</v>
      </c>
      <c r="N635" s="17"/>
      <c r="O635" s="464" t="str">
        <f>IFERROR(__xludf.DUMMYFUNCTION("""COMPUTED_VALUE"""),"KIMME")</f>
        <v>KIMME</v>
      </c>
      <c r="P635" s="17"/>
    </row>
    <row r="636">
      <c r="A636" s="255" t="str">
        <f>IFERROR(__xludf.DUMMYFUNCTION("""COMPUTED_VALUE"""),"MACRO")</f>
        <v>MACRO</v>
      </c>
      <c r="B636" s="361" t="str">
        <f>IFERROR(__xludf.DUMMYFUNCTION("""COMPUTED_VALUE"""),"astiti77")</f>
        <v>astiti77</v>
      </c>
      <c r="C636" s="257" t="str">
        <f>IFERROR(__xludf.DUMMYFUNCTION("""COMPUTED_VALUE"""),"https://www.tiktok.com/@astiti77")</f>
        <v>https://www.tiktok.com/@astiti77</v>
      </c>
      <c r="D636" s="270">
        <f>IFERROR(__xludf.DUMMYFUNCTION("""COMPUTED_VALUE"""),8.5888666222E10)</f>
        <v>85888666222</v>
      </c>
      <c r="E636" s="457">
        <f>IFERROR(__xludf.DUMMYFUNCTION("""COMPUTED_VALUE"""),0.0)</f>
        <v>0</v>
      </c>
      <c r="F636" s="270">
        <f>IFERROR(__xludf.DUMMYFUNCTION("""COMPUTED_VALUE"""),4.0)</f>
        <v>4</v>
      </c>
      <c r="G636" s="17" t="str">
        <f>IFERROR(__xludf.DUMMYFUNCTION("""COMPUTED_VALUE"""),"Sabun batang 1 Box ( 2 PCS )")</f>
        <v>Sabun batang 1 Box ( 2 PCS )</v>
      </c>
      <c r="H636" s="463" t="str">
        <f>IFERROR(__xludf.DUMMYFUNCTION("""COMPUTED_VALUE"""),"Sampai")</f>
        <v>Sampai</v>
      </c>
      <c r="I636" s="464" t="str">
        <f>IFERROR(__xludf.DUMMYFUNCTION("""COMPUTED_VALUE"""),"KIMME")</f>
        <v>KIMME</v>
      </c>
      <c r="J636" s="279" t="str">
        <f>IFERROR(__xludf.DUMMYFUNCTION("""COMPUTED_VALUE"""),"https://www.tiktok.com/@astiti77/video/7620033751757917460?is_from_webapp=1&amp;sender_device=pc&amp;web_id=7611930277489657360")</f>
        <v>https://www.tiktok.com/@astiti77/video/7620033751757917460?is_from_webapp=1&amp;sender_device=pc&amp;web_id=7611930277489657360</v>
      </c>
      <c r="K636" s="464" t="str">
        <f>IFERROR(__xludf.DUMMYFUNCTION("""COMPUTED_VALUE"""),"KIMME")</f>
        <v>KIMME</v>
      </c>
      <c r="L636" s="279" t="str">
        <f>IFERROR(__xludf.DUMMYFUNCTION("""COMPUTED_VALUE"""),"https://www.tiktok.com/@astiti77/video/7622997792490867989?is_from_webapp=1&amp;sender_device=pc&amp;web_id=7611930277489657360")</f>
        <v>https://www.tiktok.com/@astiti77/video/7622997792490867989?is_from_webapp=1&amp;sender_device=pc&amp;web_id=7611930277489657360</v>
      </c>
      <c r="M636" s="464" t="str">
        <f>IFERROR(__xludf.DUMMYFUNCTION("""COMPUTED_VALUE"""),"KIMME")</f>
        <v>KIMME</v>
      </c>
      <c r="N636" s="279" t="str">
        <f>IFERROR(__xludf.DUMMYFUNCTION("""COMPUTED_VALUE"""),"https://www.tiktok.com/@astiti77/video/7628832044411505941")</f>
        <v>https://www.tiktok.com/@astiti77/video/7628832044411505941</v>
      </c>
      <c r="O636" s="464" t="str">
        <f>IFERROR(__xludf.DUMMYFUNCTION("""COMPUTED_VALUE"""),"KIMME")</f>
        <v>KIMME</v>
      </c>
      <c r="P636" s="279" t="str">
        <f>IFERROR(__xludf.DUMMYFUNCTION("""COMPUTED_VALUE"""),"https://www.tiktok.com/@astiti77/video/7620033751757917460")</f>
        <v>https://www.tiktok.com/@astiti77/video/7620033751757917460</v>
      </c>
    </row>
    <row r="637">
      <c r="A637" s="255" t="str">
        <f>IFERROR(__xludf.DUMMYFUNCTION("""COMPUTED_VALUE"""),"MICRO")</f>
        <v>MICRO</v>
      </c>
      <c r="B637" s="361" t="str">
        <f>IFERROR(__xludf.DUMMYFUNCTION("""COMPUTED_VALUE"""),"dindaadnv")</f>
        <v>dindaadnv</v>
      </c>
      <c r="C637" s="257" t="str">
        <f>IFERROR(__xludf.DUMMYFUNCTION("""COMPUTED_VALUE"""),"https://www.tiktok.com/@dindaadnv")</f>
        <v>https://www.tiktok.com/@dindaadnv</v>
      </c>
      <c r="D637" s="270">
        <f>IFERROR(__xludf.DUMMYFUNCTION("""COMPUTED_VALUE"""),8.5646123018E10)</f>
        <v>85646123018</v>
      </c>
      <c r="E637" s="457">
        <f>IFERROR(__xludf.DUMMYFUNCTION("""COMPUTED_VALUE"""),0.0)</f>
        <v>0</v>
      </c>
      <c r="F637" s="270">
        <f>IFERROR(__xludf.DUMMYFUNCTION("""COMPUTED_VALUE"""),2.0)</f>
        <v>2</v>
      </c>
      <c r="G637" s="17" t="str">
        <f>IFERROR(__xludf.DUMMYFUNCTION("""COMPUTED_VALUE"""),"Sabun batang 1 Box ( 2 PCS )")</f>
        <v>Sabun batang 1 Box ( 2 PCS )</v>
      </c>
      <c r="H637" s="463" t="str">
        <f>IFERROR(__xludf.DUMMYFUNCTION("""COMPUTED_VALUE"""),"Sampai")</f>
        <v>Sampai</v>
      </c>
      <c r="I637" s="464" t="str">
        <f>IFERROR(__xludf.DUMMYFUNCTION("""COMPUTED_VALUE"""),"KIMME")</f>
        <v>KIMME</v>
      </c>
      <c r="J637" s="17" t="str">
        <f>IFERROR(__xludf.DUMMYFUNCTION("""COMPUTED_VALUE"""),"⁠https://vt.tiktok.com/ZS9NECgDW/")</f>
        <v>⁠https://vt.tiktok.com/ZS9NECgDW/</v>
      </c>
      <c r="K637" s="464" t="str">
        <f>IFERROR(__xludf.DUMMYFUNCTION("""COMPUTED_VALUE"""),"KIMME")</f>
        <v>KIMME</v>
      </c>
      <c r="L637" s="17" t="str">
        <f>IFERROR(__xludf.DUMMYFUNCTION("""COMPUTED_VALUE"""),"⁠https://vt.tiktok.com/ZS9NGKehS/")</f>
        <v>⁠https://vt.tiktok.com/ZS9NGKehS/</v>
      </c>
      <c r="M637" s="464"/>
      <c r="N637" s="279" t="str">
        <f>IFERROR(__xludf.DUMMYFUNCTION("""COMPUTED_VALUE"""),"https://www.tiktok.com/@nabillmusthafa/video/7636000991401331976?_r=1&amp;u_code=deal88a6gjlm74&amp;region=&amp;mid=7626899689086520072&amp;preview_pb=0&amp;sharer_language=&amp;_d=0&amp;ec_shared_reflux_dynamic_params=%7B%22placeholder_material_id%22%3A%227636000991401331976%22%2C%"&amp;"22placeholder_origin_cover%22%3A%22https%253A%252F%252Fp19-common-sign.tiktokcdn.com%252Ftos-alisg-p-0037%252Fos5IiDFe7IDyMeCAY4vAf0EOT4IhjsDDoCnIhC~tplv-tiktokx-origin.jpeg%253Fdr%253D14572%2526refresh_token%253D36c68c2b%2526x-expires%253D1810119600%2526"&amp;"x-signature%253DH6P%25252BqscTagzFufL9vJEBQIDnhVM%25253D%2526t%253D4d5b0474%2526ps%253D13740610%2526shp%253Dd05b14bd%2526shcp%253D34ff8df6%2526idc%253Dmy2%2526s%253DTIKTOK_AFFILIATE_VIRAL_VIDEO%22%2C%22placeholder_product_id%22%3A%221729427766722726591%22"&amp;"%2C%22placeholder_video_id%22%3A%227636000991401331976%22%7D&amp;ec_shared_reflux_scene=shop_tab_feed&amp;share_item_id=7636000991401331976&amp;source=h5_t")</f>
        <v>https://www.tiktok.com/@nabillmusthafa/video/7636000991401331976?_r=1&amp;u_code=deal88a6gjlm74&amp;region=&amp;mid=7626899689086520072&amp;preview_pb=0&amp;sharer_language=&amp;_d=0&amp;ec_shared_reflux_dynamic_params=%7B%22placeholder_material_id%22%3A%227636000991401331976%22%2C%22placeholder_origin_cover%22%3A%22https%253A%252F%252Fp19-common-sign.tiktokcdn.com%252Ftos-alisg-p-0037%252Fos5IiDFe7IDyMeCAY4vAf0EOT4IhjsDDoCnIhC~tplv-tiktokx-origin.jpeg%253Fdr%253D14572%2526refresh_token%253D36c68c2b%2526x-expires%253D1810119600%2526x-signature%253DH6P%25252BqscTagzFufL9vJEBQIDnhVM%25253D%2526t%253D4d5b0474%2526ps%253D13740610%2526shp%253Dd05b14bd%2526shcp%253D34ff8df6%2526idc%253Dmy2%2526s%253DTIKTOK_AFFILIATE_VIRAL_VIDEO%22%2C%22placeholder_product_id%22%3A%221729427766722726591%22%2C%22placeholder_video_id%22%3A%227636000991401331976%22%7D&amp;ec_shared_reflux_scene=shop_tab_feed&amp;share_item_id=7636000991401331976&amp;source=h5_t</v>
      </c>
      <c r="O637" s="464"/>
      <c r="P637" s="279" t="str">
        <f>IFERROR(__xludf.DUMMYFUNCTION("""COMPUTED_VALUE"""),"https://www.tiktok.com/@nabillmusthafa/video/7637306888480247047?_r=1&amp;u_code=deal88a6gjlm74&amp;region=&amp;mid=7633305049822251796&amp;preview_pb=0&amp;sharer_language=&amp;_d=0&amp;ec_shared_reflux_dynamic_params=%7B%22placeholder_material_id%22%3A%227637306888480247047%22%2C%"&amp;"22placeholder_origin_cover%22%3A%22https%253A%252F%252Fp16-common-sign.tiktokcdn.com%252Ftos-alisg-p-0037%252FowQI2fizFHW7h9qjCsqFKqwIBvAoiACkPAT00I~tplv-tiktokx-origin.jpeg%253Fdr%253D14572%2526refresh_token%253Ddfe15a4e%2526x-expires%253D1810119600%2526"&amp;"x-signature%253D2hGHaGkhyIbgasle%25252FT2AI7UQbW4%25253D%2526t%253D4d5b0474%2526ps%253D13740610%2526shp%253Dd05b14bd%2526shcp%253D34ff8df6%2526idc%253Dmy2%2526s%253DTIKTOK_AFFILIATE_VIRAL_VIDEO%22%2C%22placeholder_product_id%22%3A%221729427766722726591%22"&amp;"%2C%22placeholder_video_id%22%3A%227637306888480247047%22%7D&amp;ec_shared_reflux_scene=shop_tab_feed&amp;share_item_id=7637306888480247047&amp;source=h5_t")</f>
        <v>https://www.tiktok.com/@nabillmusthafa/video/7637306888480247047?_r=1&amp;u_code=deal88a6gjlm74&amp;region=&amp;mid=7633305049822251796&amp;preview_pb=0&amp;sharer_language=&amp;_d=0&amp;ec_shared_reflux_dynamic_params=%7B%22placeholder_material_id%22%3A%227637306888480247047%22%2C%22placeholder_origin_cover%22%3A%22https%253A%252F%252Fp16-common-sign.tiktokcdn.com%252Ftos-alisg-p-0037%252FowQI2fizFHW7h9qjCsqFKqwIBvAoiACkPAT00I~tplv-tiktokx-origin.jpeg%253Fdr%253D14572%2526refresh_token%253Ddfe15a4e%2526x-expires%253D1810119600%2526x-signature%253D2hGHaGkhyIbgasle%25252FT2AI7UQbW4%25253D%2526t%253D4d5b0474%2526ps%253D13740610%2526shp%253Dd05b14bd%2526shcp%253D34ff8df6%2526idc%253Dmy2%2526s%253DTIKTOK_AFFILIATE_VIRAL_VIDEO%22%2C%22placeholder_product_id%22%3A%221729427766722726591%22%2C%22placeholder_video_id%22%3A%227637306888480247047%22%7D&amp;ec_shared_reflux_scene=shop_tab_feed&amp;share_item_id=7637306888480247047&amp;source=h5_t</v>
      </c>
    </row>
    <row r="638">
      <c r="A638" s="255" t="str">
        <f>IFERROR(__xludf.DUMMYFUNCTION("""COMPUTED_VALUE"""),"MICRO")</f>
        <v>MICRO</v>
      </c>
      <c r="B638" s="361" t="str">
        <f>IFERROR(__xludf.DUMMYFUNCTION("""COMPUTED_VALUE"""),"smaula.ni")</f>
        <v>smaula.ni</v>
      </c>
      <c r="C638" s="257" t="str">
        <f>IFERROR(__xludf.DUMMYFUNCTION("""COMPUTED_VALUE"""),"https://www.tiktok.com/@smaula.ni")</f>
        <v>https://www.tiktok.com/@smaula.ni</v>
      </c>
      <c r="D638" s="270">
        <f>IFERROR(__xludf.DUMMYFUNCTION("""COMPUTED_VALUE"""),8.131100887E10)</f>
        <v>81311008870</v>
      </c>
      <c r="E638" s="457">
        <f>IFERROR(__xludf.DUMMYFUNCTION("""COMPUTED_VALUE"""),100000.0)</f>
        <v>100000</v>
      </c>
      <c r="F638" s="270">
        <f>IFERROR(__xludf.DUMMYFUNCTION("""COMPUTED_VALUE"""),1.0)</f>
        <v>1</v>
      </c>
      <c r="G638" s="17" t="str">
        <f>IFERROR(__xludf.DUMMYFUNCTION("""COMPUTED_VALUE"""),"Sabun batang 1 Box ( 2 PCS )")</f>
        <v>Sabun batang 1 Box ( 2 PCS )</v>
      </c>
      <c r="H638" s="463" t="str">
        <f>IFERROR(__xludf.DUMMYFUNCTION("""COMPUTED_VALUE"""),"Sampai")</f>
        <v>Sampai</v>
      </c>
      <c r="I638" s="464" t="str">
        <f>IFERROR(__xludf.DUMMYFUNCTION("""COMPUTED_VALUE"""),"KIMME")</f>
        <v>KIMME</v>
      </c>
      <c r="J638" s="279" t="str">
        <f>IFERROR(__xludf.DUMMYFUNCTION("""COMPUTED_VALUE"""),"https://www.tiktok.com/@smaula.ni/video/7623673791503289608?is_from_webapp=1&amp;sender_device=pc")</f>
        <v>https://www.tiktok.com/@smaula.ni/video/7623673791503289608?is_from_webapp=1&amp;sender_device=pc</v>
      </c>
      <c r="K638" s="464" t="str">
        <f>IFERROR(__xludf.DUMMYFUNCTION("""COMPUTED_VALUE"""),"KIMME")</f>
        <v>KIMME</v>
      </c>
      <c r="L638" s="279" t="str">
        <f>IFERROR(__xludf.DUMMYFUNCTION("""COMPUTED_VALUE"""),"https://www.tiktok.com/@nabillmusthafa/video/7638238714044452103?_r=1&amp;u_code=deal88a6gjlm74&amp;region=&amp;mid=7605117102123092757&amp;preview_pb=0&amp;sharer_language=&amp;_d=0&amp;ec_shared_reflux_dynamic_params=%7B%22placeholder_material_id%22%3A%227638238714044452103%22%2C%"&amp;"22placeholder_origin_cover%22%3A%22https%253A%252F%252Fp16-common-sign.tiktokcdn.com%252Ftos-alisg-p-0037%252Fo0QRAq9E4BHxogRTwGQAwFEBmeDyqAEqWfWJaU~tplv-tiktokx-origin.jpeg%253Fdr%253D14572%2526refresh_token%253D900b04c9%2526x-expires%253D1810119600%2526"&amp;"x-signature%253DRmbZ%25252BqbtdsX3027Ce7LnqSs7BHk%25253D%2526t%253D4d5b0474%2526ps%253D13740610%2526shp%253Dd05b14bd%2526shcp%253D34ff8df6%2526idc%253Dmy2%2526s%253DTIKTOK_AFFILIATE_VIRAL_VIDEO%22%2C%22placeholder_product_id%22%3A%221729427766722726591%22"&amp;"%2C%22placeholder_video_id%22%3A%227638238714044452103%22%7D&amp;ec_shared_reflux_scene=shop_tab_feed&amp;share_item_id=7638238714044452103&amp;source=h5_t")</f>
        <v>https://www.tiktok.com/@nabillmusthafa/video/7638238714044452103?_r=1&amp;u_code=deal88a6gjlm74&amp;region=&amp;mid=7605117102123092757&amp;preview_pb=0&amp;sharer_language=&amp;_d=0&amp;ec_shared_reflux_dynamic_params=%7B%22placeholder_material_id%22%3A%227638238714044452103%22%2C%22placeholder_origin_cover%22%3A%22https%253A%252F%252Fp16-common-sign.tiktokcdn.com%252Ftos-alisg-p-0037%252Fo0QRAq9E4BHxogRTwGQAwFEBmeDyqAEqWfWJaU~tplv-tiktokx-origin.jpeg%253Fdr%253D14572%2526refresh_token%253D900b04c9%2526x-expires%253D1810119600%2526x-signature%253DRmbZ%25252BqbtdsX3027Ce7LnqSs7BHk%25253D%2526t%253D4d5b0474%2526ps%253D13740610%2526shp%253Dd05b14bd%2526shcp%253D34ff8df6%2526idc%253Dmy2%2526s%253DTIKTOK_AFFILIATE_VIRAL_VIDEO%22%2C%22placeholder_product_id%22%3A%221729427766722726591%22%2C%22placeholder_video_id%22%3A%227638238714044452103%22%7D&amp;ec_shared_reflux_scene=shop_tab_feed&amp;share_item_id=7638238714044452103&amp;source=h5_t</v>
      </c>
      <c r="M638" s="464"/>
      <c r="N638" s="279" t="str">
        <f>IFERROR(__xludf.DUMMYFUNCTION("""COMPUTED_VALUE"""),"https://www.tiktok.com/@nabillmusthafa/video/7638509000148978951?_r=1&amp;u_code=deal88a6gjlm74&amp;region=&amp;mid=7607259616213486343&amp;preview_pb=0&amp;sharer_language=&amp;_d=0&amp;ec_shared_reflux_dynamic_params=%7B%22placeholder_material_id%22%3A%227638509000148978951%22%2C%"&amp;"22placeholder_origin_cover%22%3A%22https%253A%252F%252Fp16-common-sign.tiktokcdn.com%252Ftos-alisg-p-0037%252FoEIjfbQCaIf7JsGcCAesL9AoE4Q4wIIXDtAU3I~tplv-tiktokx-origin.jpeg%253Fdr%253D14572%2526refresh_token%253Df6c83883%2526x-expires%253D1810119600%2526"&amp;"x-signature%253D%25252FAXfZXa1uKi4RX%25252F8GbERpiIhjEo%25253D%2526t%253D4d5b0474%2526ps%253D13740610%2526shp%253Dd05b14bd%2526shcp%253D34ff8df6%2526idc%253Dmy2%2526s%253DTIKTOK_AFFILIATE_VIRAL_VIDEO%22%2C%22placeholder_product_id%22%3A%221729427766722726"&amp;"591%22%2C%22placeholder_video_id%22%3A%227638509000148978951%22%7D&amp;ec_shared_reflux_scene=shop_tab_feed&amp;share_item_id=7638509000148978951&amp;source=h5_t")</f>
        <v>https://www.tiktok.com/@nabillmusthafa/video/7638509000148978951?_r=1&amp;u_code=deal88a6gjlm74&amp;region=&amp;mid=7607259616213486343&amp;preview_pb=0&amp;sharer_language=&amp;_d=0&amp;ec_shared_reflux_dynamic_params=%7B%22placeholder_material_id%22%3A%227638509000148978951%22%2C%22placeholder_origin_cover%22%3A%22https%253A%252F%252Fp16-common-sign.tiktokcdn.com%252Ftos-alisg-p-0037%252FoEIjfbQCaIf7JsGcCAesL9AoE4Q4wIIXDtAU3I~tplv-tiktokx-origin.jpeg%253Fdr%253D14572%2526refresh_token%253Df6c83883%2526x-expires%253D1810119600%2526x-signature%253D%25252FAXfZXa1uKi4RX%25252F8GbERpiIhjEo%25253D%2526t%253D4d5b0474%2526ps%253D13740610%2526shp%253Dd05b14bd%2526shcp%253D34ff8df6%2526idc%253Dmy2%2526s%253DTIKTOK_AFFILIATE_VIRAL_VIDEO%22%2C%22placeholder_product_id%22%3A%221729427766722726591%22%2C%22placeholder_video_id%22%3A%227638509000148978951%22%7D&amp;ec_shared_reflux_scene=shop_tab_feed&amp;share_item_id=7638509000148978951&amp;source=h5_t</v>
      </c>
      <c r="O638" s="464"/>
      <c r="P638" s="279" t="str">
        <f>IFERROR(__xludf.DUMMYFUNCTION("""COMPUTED_VALUE"""),"https://www.tiktok.com/@nabillmusthafa/video/7638760943509605650?_r=1&amp;u_code=deal88a6gjlm74&amp;region=&amp;mid=7200065594014731054&amp;preview_pb=0&amp;sharer_language=&amp;_d=0&amp;ec_shared_reflux_dynamic_params=%7B%22placeholder_material_id%22%3A%227638760943509605650%22%2C%"&amp;"22placeholder_origin_cover%22%3A%22https%253A%252F%252Fp16-common-sign.tiktokcdn.com%252Ftos-alisg-p-0037%252FoUCOWmIwqCAiAiSVQWIn0AfrRnBjAAmIpBK1qC~tplv-tiktokx-origin.jpeg%253Fdr%253D14572%2526refresh_token%253D12aa611d%2526x-expires%253D1810119600%2526"&amp;"x-signature%253DV44DJPNes0MiONGM4lh1WkDuzLs%25253D%2526t%253D4d5b0474%2526ps%253D13740610%2526shp%253Dd05b14bd%2526shcp%253D34ff8df6%2526idc%253Dmy2%2526s%253DTIKTOK_AFFILIATE_VIRAL_VIDEO%22%2C%22placeholder_product_id%22%3A%221729427766722726591%22%2C%22"&amp;"placeholder_video_id%22%3A%227638760943509605650%22%7D&amp;ec_shared_reflux_scene=shop_tab_feed&amp;share_item_id=7638760943509605650&amp;source=h5_t")</f>
        <v>https://www.tiktok.com/@nabillmusthafa/video/7638760943509605650?_r=1&amp;u_code=deal88a6gjlm74&amp;region=&amp;mid=7200065594014731054&amp;preview_pb=0&amp;sharer_language=&amp;_d=0&amp;ec_shared_reflux_dynamic_params=%7B%22placeholder_material_id%22%3A%227638760943509605650%22%2C%22placeholder_origin_cover%22%3A%22https%253A%252F%252Fp16-common-sign.tiktokcdn.com%252Ftos-alisg-p-0037%252FoUCOWmIwqCAiAiSVQWIn0AfrRnBjAAmIpBK1qC~tplv-tiktokx-origin.jpeg%253Fdr%253D14572%2526refresh_token%253D12aa611d%2526x-expires%253D1810119600%2526x-signature%253DV44DJPNes0MiONGM4lh1WkDuzLs%25253D%2526t%253D4d5b0474%2526ps%253D13740610%2526shp%253Dd05b14bd%2526shcp%253D34ff8df6%2526idc%253Dmy2%2526s%253DTIKTOK_AFFILIATE_VIRAL_VIDEO%22%2C%22placeholder_product_id%22%3A%221729427766722726591%22%2C%22placeholder_video_id%22%3A%227638760943509605650%22%7D&amp;ec_shared_reflux_scene=shop_tab_feed&amp;share_item_id=7638760943509605650&amp;source=h5_t</v>
      </c>
    </row>
    <row r="639">
      <c r="A639" s="255" t="str">
        <f>IFERROR(__xludf.DUMMYFUNCTION("""COMPUTED_VALUE"""),"MICRO")</f>
        <v>MICRO</v>
      </c>
      <c r="B639" s="361" t="str">
        <f>IFERROR(__xludf.DUMMYFUNCTION("""COMPUTED_VALUE"""),"vareva1")</f>
        <v>vareva1</v>
      </c>
      <c r="C639" s="257" t="str">
        <f>IFERROR(__xludf.DUMMYFUNCTION("""COMPUTED_VALUE"""),"https://www.tiktok.com/@vareva1")</f>
        <v>https://www.tiktok.com/@vareva1</v>
      </c>
      <c r="D639" s="270">
        <f>IFERROR(__xludf.DUMMYFUNCTION("""COMPUTED_VALUE"""),8.23406575E10)</f>
        <v>82340657500</v>
      </c>
      <c r="E639" s="457">
        <f>IFERROR(__xludf.DUMMYFUNCTION("""COMPUTED_VALUE"""),0.0)</f>
        <v>0</v>
      </c>
      <c r="F639" s="270">
        <f>IFERROR(__xludf.DUMMYFUNCTION("""COMPUTED_VALUE"""),1.0)</f>
        <v>1</v>
      </c>
      <c r="G639" s="17" t="str">
        <f>IFERROR(__xludf.DUMMYFUNCTION("""COMPUTED_VALUE"""),"Sabun batang 1 Box ( 2 PCS )")</f>
        <v>Sabun batang 1 Box ( 2 PCS )</v>
      </c>
      <c r="H639" s="463" t="str">
        <f>IFERROR(__xludf.DUMMYFUNCTION("""COMPUTED_VALUE"""),"Sampai")</f>
        <v>Sampai</v>
      </c>
      <c r="I639" s="464" t="str">
        <f>IFERROR(__xludf.DUMMYFUNCTION("""COMPUTED_VALUE"""),"KIMME")</f>
        <v>KIMME</v>
      </c>
      <c r="J639" s="279" t="str">
        <f>IFERROR(__xludf.DUMMYFUNCTION("""COMPUTED_VALUE"""),"https://www.tiktok.com/@.beauty_sshop/video/7629700505824021776?is_from_webapp=1&amp;sender_device=pc&amp;web_id=7611930277489657360")</f>
        <v>https://www.tiktok.com/@.beauty_sshop/video/7629700505824021776?is_from_webapp=1&amp;sender_device=pc&amp;web_id=7611930277489657360</v>
      </c>
      <c r="K639" s="464" t="str">
        <f>IFERROR(__xludf.DUMMYFUNCTION("""COMPUTED_VALUE"""),"KIMME")</f>
        <v>KIMME</v>
      </c>
      <c r="L639" s="279" t="str">
        <f>IFERROR(__xludf.DUMMYFUNCTION("""COMPUTED_VALUE"""),"https://www.tiktok.com/@nabillmusthafa/video/7634473749303037192?_r=1&amp;u_code=deal88a6gjlm74&amp;region=&amp;mid=7608559003840400145&amp;preview_pb=0&amp;sharer_language=&amp;_d=0&amp;ec_shared_reflux_dynamic_params=%7B%22placeholder_material_id%22%3A%227634473749303037192%22%2C%"&amp;"22placeholder_origin_cover%22%3A%22https%253A%252F%252Fp16-common-sign.tiktokcdn.com%252Ftos-alisg-p-0037%252Fo0GM0AI2ZCB6wBAZIUDCA6wz3qiXIfPiII8zP9~tplv-tiktokx-origin.jpeg%253Fdr%253D14572%2526refresh_token%253Df9e478ba%2526x-expires%253D1810119600%2526"&amp;"x-signature%253Di7lWs3YfEUaxEFXVpHOGloUXWCA%25253D%2526t%253D4d5b0474%2526ps%253D13740610%2526shp%253Dd05b14bd%2526shcp%253D34ff8df6%2526idc%253Dmy2%2526s%253DTIKTOK_AFFILIATE_VIRAL_VIDEO%22%2C%22placeholder_product_id%22%3A%221729427766722726591%22%2C%22"&amp;"placeholder_video_id%22%3A%227634473749303037192%22%7D&amp;ec_shared_reflux_scene=shop_tab_feed&amp;share_item_id=7634473749303037192&amp;source=h5_t")</f>
        <v>https://www.tiktok.com/@nabillmusthafa/video/7634473749303037192?_r=1&amp;u_code=deal88a6gjlm74&amp;region=&amp;mid=7608559003840400145&amp;preview_pb=0&amp;sharer_language=&amp;_d=0&amp;ec_shared_reflux_dynamic_params=%7B%22placeholder_material_id%22%3A%227634473749303037192%22%2C%22placeholder_origin_cover%22%3A%22https%253A%252F%252Fp16-common-sign.tiktokcdn.com%252Ftos-alisg-p-0037%252Fo0GM0AI2ZCB6wBAZIUDCA6wz3qiXIfPiII8zP9~tplv-tiktokx-origin.jpeg%253Fdr%253D14572%2526refresh_token%253Df9e478ba%2526x-expires%253D1810119600%2526x-signature%253Di7lWs3YfEUaxEFXVpHOGloUXWCA%25253D%2526t%253D4d5b0474%2526ps%253D13740610%2526shp%253Dd05b14bd%2526shcp%253D34ff8df6%2526idc%253Dmy2%2526s%253DTIKTOK_AFFILIATE_VIRAL_VIDEO%22%2C%22placeholder_product_id%22%3A%221729427766722726591%22%2C%22placeholder_video_id%22%3A%227634473749303037192%22%7D&amp;ec_shared_reflux_scene=shop_tab_feed&amp;share_item_id=7634473749303037192&amp;source=h5_t</v>
      </c>
      <c r="M639" s="464"/>
      <c r="N639" s="279" t="str">
        <f>IFERROR(__xludf.DUMMYFUNCTION("""COMPUTED_VALUE"""),"https://www.tiktok.com/@nabillmusthafa/video/7635074462672620807?_r=1&amp;u_code=deal88a6gjlm74&amp;region=&amp;mid=7628933306519816967&amp;preview_pb=0&amp;sharer_language=&amp;_d=0&amp;ec_shared_reflux_dynamic_params=%7B%22placeholder_material_id%22%3A%227635074462672620807%22%2C%"&amp;"22placeholder_origin_cover%22%3A%22https%253A%252F%252Fp19-common-sign.tiktokcdn.com%252Ftos-alisg-p-0037%252Fow9CQvU1FwDIBDDICTziAvAqOAfiIOW8007DDH~tplv-tiktokx-origin.jpeg%253Fdr%253D14572%2526refresh_token%253Da728c590%2526x-expires%253D1810119600%2526"&amp;"x-signature%253DG%25252FuPWK%25252FPFsUduDl00EhAkCNdjmM%25253D%2526t%253D4d5b0474%2526ps%253D13740610%2526shp%253Dd05b14bd%2526shcp%253D34ff8df6%2526idc%253Dmy2%2526s%253DTIKTOK_AFFILIATE_VIRAL_VIDEO%22%2C%22placeholder_product_id%22%3A%221729427766722726"&amp;"591%22%2C%22placeholder_video_id%22%3A%227635074462672620807%22%7D&amp;ec_shared_reflux_scene=shop_tab_feed&amp;share_item_id=7635074462672620807&amp;source=h5_t")</f>
        <v>https://www.tiktok.com/@nabillmusthafa/video/7635074462672620807?_r=1&amp;u_code=deal88a6gjlm74&amp;region=&amp;mid=7628933306519816967&amp;preview_pb=0&amp;sharer_language=&amp;_d=0&amp;ec_shared_reflux_dynamic_params=%7B%22placeholder_material_id%22%3A%227635074462672620807%22%2C%22placeholder_origin_cover%22%3A%22https%253A%252F%252Fp19-common-sign.tiktokcdn.com%252Ftos-alisg-p-0037%252Fow9CQvU1FwDIBDDICTziAvAqOAfiIOW8007DDH~tplv-tiktokx-origin.jpeg%253Fdr%253D14572%2526refresh_token%253Da728c590%2526x-expires%253D1810119600%2526x-signature%253DG%25252FuPWK%25252FPFsUduDl00EhAkCNdjmM%25253D%2526t%253D4d5b0474%2526ps%253D13740610%2526shp%253Dd05b14bd%2526shcp%253D34ff8df6%2526idc%253Dmy2%2526s%253DTIKTOK_AFFILIATE_VIRAL_VIDEO%22%2C%22placeholder_product_id%22%3A%221729427766722726591%22%2C%22placeholder_video_id%22%3A%227635074462672620807%22%7D&amp;ec_shared_reflux_scene=shop_tab_feed&amp;share_item_id=7635074462672620807&amp;source=h5_t</v>
      </c>
      <c r="O639" s="464"/>
      <c r="P639" s="279" t="str">
        <f>IFERROR(__xludf.DUMMYFUNCTION("""COMPUTED_VALUE"""),"https://www.tiktok.com/@nabillmusthafa/video/7634156681437531410?_r=1&amp;u_code=deal88a6gjlm74&amp;region=&amp;mid=7485063742394125072&amp;preview_pb=0&amp;sharer_language=&amp;_d=0&amp;ec_shared_reflux_dynamic_params=%7B%22placeholder_material_id%22%3A%227634156681437531410%22%2C%"&amp;"22placeholder_origin_cover%22%3A%22https%253A%252F%252Fp16-common-sign.tiktokcdn.com%252Ftos-alisg-p-0037%252FowDeHyEYQENrUbJGfenRjDRFxQ48QsNfAAcFHG~tplv-tiktokx-origin.jpeg%253Fdr%253D14572%2526refresh_token%253D24de7426%2526x-expires%253D1810119600%2526"&amp;"x-signature%253DFGOxVvyaVL3itQMAdR1Blas7BT8%25253D%2526t%253D4d5b0474%2526ps%253D13740610%2526shp%253Dd05b14bd%2526shcp%253D34ff8df6%2526idc%253Dmy2%2526s%253DTIKTOK_AFFILIATE_VIRAL_VIDEO%22%2C%22placeholder_product_id%22%3A%221729427766722726591%22%2C%22"&amp;"placeholder_video_id%22%3A%227634156681437531410%22%7D&amp;ec_shared_reflux_scene=shop_tab_feed&amp;share_item_id=7634156681437531410&amp;source=h5_t")</f>
        <v>https://www.tiktok.com/@nabillmusthafa/video/7634156681437531410?_r=1&amp;u_code=deal88a6gjlm74&amp;region=&amp;mid=7485063742394125072&amp;preview_pb=0&amp;sharer_language=&amp;_d=0&amp;ec_shared_reflux_dynamic_params=%7B%22placeholder_material_id%22%3A%227634156681437531410%22%2C%22placeholder_origin_cover%22%3A%22https%253A%252F%252Fp16-common-sign.tiktokcdn.com%252Ftos-alisg-p-0037%252FowDeHyEYQENrUbJGfenRjDRFxQ48QsNfAAcFHG~tplv-tiktokx-origin.jpeg%253Fdr%253D14572%2526refresh_token%253D24de7426%2526x-expires%253D1810119600%2526x-signature%253DFGOxVvyaVL3itQMAdR1Blas7BT8%25253D%2526t%253D4d5b0474%2526ps%253D13740610%2526shp%253Dd05b14bd%2526shcp%253D34ff8df6%2526idc%253Dmy2%2526s%253DTIKTOK_AFFILIATE_VIRAL_VIDEO%22%2C%22placeholder_product_id%22%3A%221729427766722726591%22%2C%22placeholder_video_id%22%3A%227634156681437531410%22%7D&amp;ec_shared_reflux_scene=shop_tab_feed&amp;share_item_id=7634156681437531410&amp;source=h5_t</v>
      </c>
    </row>
    <row r="640">
      <c r="A640" s="255" t="str">
        <f>IFERROR(__xludf.DUMMYFUNCTION("""COMPUTED_VALUE"""),"MICRO")</f>
        <v>MICRO</v>
      </c>
      <c r="B640" s="361" t="str">
        <f>IFERROR(__xludf.DUMMYFUNCTION("""COMPUTED_VALUE"""),".beauty_sshop
")</f>
        <v>.beauty_sshop
</v>
      </c>
      <c r="C640" s="257" t="str">
        <f>IFERROR(__xludf.DUMMYFUNCTION("""COMPUTED_VALUE"""),"https://www.tiktok.com/@.beauty_sshop
")</f>
        <v>https://www.tiktok.com/@.beauty_sshop
</v>
      </c>
      <c r="D640" s="270">
        <f>IFERROR(__xludf.DUMMYFUNCTION("""COMPUTED_VALUE"""),8.3849423081E10)</f>
        <v>83849423081</v>
      </c>
      <c r="E640" s="457">
        <f>IFERROR(__xludf.DUMMYFUNCTION("""COMPUTED_VALUE"""),0.0)</f>
        <v>0</v>
      </c>
      <c r="F640" s="270">
        <f>IFERROR(__xludf.DUMMYFUNCTION("""COMPUTED_VALUE"""),3.0)</f>
        <v>3</v>
      </c>
      <c r="G640" s="17" t="str">
        <f>IFERROR(__xludf.DUMMYFUNCTION("""COMPUTED_VALUE"""),"Sabun batang 1 Box ( 2 PCS )")</f>
        <v>Sabun batang 1 Box ( 2 PCS )</v>
      </c>
      <c r="H640" s="463" t="str">
        <f>IFERROR(__xludf.DUMMYFUNCTION("""COMPUTED_VALUE"""),"Sampai")</f>
        <v>Sampai</v>
      </c>
      <c r="I640" s="464" t="str">
        <f>IFERROR(__xludf.DUMMYFUNCTION("""COMPUTED_VALUE"""),"KIMME")</f>
        <v>KIMME</v>
      </c>
      <c r="J640" s="279" t="str">
        <f>IFERROR(__xludf.DUMMYFUNCTION("""COMPUTED_VALUE"""),"https://www.tiktok.com/@.beauty_sshop/video/7629157877910965521?is_from_webapp=1&amp;sender_device=pc&amp;web_id=7611930277489657360")</f>
        <v>https://www.tiktok.com/@.beauty_sshop/video/7629157877910965521?is_from_webapp=1&amp;sender_device=pc&amp;web_id=7611930277489657360</v>
      </c>
      <c r="K640" s="464" t="str">
        <f>IFERROR(__xludf.DUMMYFUNCTION("""COMPUTED_VALUE"""),"KIMME")</f>
        <v>KIMME</v>
      </c>
      <c r="L640" s="279" t="str">
        <f>IFERROR(__xludf.DUMMYFUNCTION("""COMPUTED_VALUE"""),"https://www.tiktok.com/@.beauty_sshop/video/7629176886853176577?is_from_webapp=1&amp;sender_device=pc&amp;web_id=7611930277489657360")</f>
        <v>https://www.tiktok.com/@.beauty_sshop/video/7629176886853176577?is_from_webapp=1&amp;sender_device=pc&amp;web_id=7611930277489657360</v>
      </c>
      <c r="M640" s="464" t="str">
        <f>IFERROR(__xludf.DUMMYFUNCTION("""COMPUTED_VALUE"""),"KIMME")</f>
        <v>KIMME</v>
      </c>
      <c r="N640" s="279" t="str">
        <f>IFERROR(__xludf.DUMMYFUNCTION("""COMPUTED_VALUE"""),"https://www.tiktok.com/@.beauty_sshop/video/7629640143825095953?is_from_webapp=1&amp;sender_device=pc&amp;web_id=7611930277489657360")</f>
        <v>https://www.tiktok.com/@.beauty_sshop/video/7629640143825095953?is_from_webapp=1&amp;sender_device=pc&amp;web_id=7611930277489657360</v>
      </c>
      <c r="O640" s="464"/>
      <c r="P640" s="279" t="str">
        <f>IFERROR(__xludf.DUMMYFUNCTION("""COMPUTED_VALUE"""),"https://vt.tiktok.com/ZS9t5PoEV/")</f>
        <v>https://vt.tiktok.com/ZS9t5PoEV/</v>
      </c>
    </row>
    <row r="641">
      <c r="A641" s="255" t="str">
        <f>IFERROR(__xludf.DUMMYFUNCTION("""COMPUTED_VALUE"""),"MICRO")</f>
        <v>MICRO</v>
      </c>
      <c r="B641" s="361" t="str">
        <f>IFERROR(__xludf.DUMMYFUNCTION("""COMPUTED_VALUE"""),"ekatiwisuwardi")</f>
        <v>ekatiwisuwardi</v>
      </c>
      <c r="C641" s="257" t="str">
        <f>IFERROR(__xludf.DUMMYFUNCTION("""COMPUTED_VALUE"""),"https://www.tiktok.com/@ekatiwisuwardi")</f>
        <v>https://www.tiktok.com/@ekatiwisuwardi</v>
      </c>
      <c r="D641" s="270">
        <f>IFERROR(__xludf.DUMMYFUNCTION("""COMPUTED_VALUE"""),8.5881288468E10)</f>
        <v>85881288468</v>
      </c>
      <c r="E641" s="457">
        <f>IFERROR(__xludf.DUMMYFUNCTION("""COMPUTED_VALUE"""),0.0)</f>
        <v>0</v>
      </c>
      <c r="F641" s="270">
        <f>IFERROR(__xludf.DUMMYFUNCTION("""COMPUTED_VALUE"""),4.0)</f>
        <v>4</v>
      </c>
      <c r="G641" s="17" t="str">
        <f>IFERROR(__xludf.DUMMYFUNCTION("""COMPUTED_VALUE"""),"Sabun batang 1 Box ( 2 PCS )")</f>
        <v>Sabun batang 1 Box ( 2 PCS )</v>
      </c>
      <c r="H641" s="463" t="str">
        <f>IFERROR(__xludf.DUMMYFUNCTION("""COMPUTED_VALUE"""),"Sampai")</f>
        <v>Sampai</v>
      </c>
      <c r="I641" s="464" t="str">
        <f>IFERROR(__xludf.DUMMYFUNCTION("""COMPUTED_VALUE"""),"KIMME")</f>
        <v>KIMME</v>
      </c>
      <c r="J641" s="17" t="str">
        <f>IFERROR(__xludf.DUMMYFUNCTION("""COMPUTED_VALUE"""),"⁠https://vt.tiktok.com/ZS9NtJg3W/")</f>
        <v>⁠https://vt.tiktok.com/ZS9NtJg3W/</v>
      </c>
      <c r="K641" s="464" t="str">
        <f>IFERROR(__xludf.DUMMYFUNCTION("""COMPUTED_VALUE"""),"KIMME")</f>
        <v>KIMME</v>
      </c>
      <c r="L641" s="17" t="str">
        <f>IFERROR(__xludf.DUMMYFUNCTION("""COMPUTED_VALUE"""),"⁠https://vt.tiktok.com/ZS9NtrFDn/")</f>
        <v>⁠https://vt.tiktok.com/ZS9NtrFDn/</v>
      </c>
      <c r="M641" s="464" t="str">
        <f>IFERROR(__xludf.DUMMYFUNCTION("""COMPUTED_VALUE"""),"KIMME")</f>
        <v>KIMME</v>
      </c>
      <c r="N641" s="17" t="str">
        <f>IFERROR(__xludf.DUMMYFUNCTION("""COMPUTED_VALUE"""),"⁠https://vt.tiktok.com/ZS9NGETYg/")</f>
        <v>⁠https://vt.tiktok.com/ZS9NGETYg/</v>
      </c>
      <c r="O641" s="464" t="str">
        <f>IFERROR(__xludf.DUMMYFUNCTION("""COMPUTED_VALUE"""),"KIMME")</f>
        <v>KIMME</v>
      </c>
      <c r="P641" s="17" t="str">
        <f>IFERROR(__xludf.DUMMYFUNCTION("""COMPUTED_VALUE"""),"⁠https://vt.tiktok.com/ZS9NtRNSW/")</f>
        <v>⁠https://vt.tiktok.com/ZS9NtRNSW/</v>
      </c>
    </row>
    <row r="642">
      <c r="A642" s="255" t="str">
        <f>IFERROR(__xludf.DUMMYFUNCTION("""COMPUTED_VALUE"""),"MICRO")</f>
        <v>MICRO</v>
      </c>
      <c r="B642" s="361" t="str">
        <f>IFERROR(__xludf.DUMMYFUNCTION("""COMPUTED_VALUE"""),"stumfd
")</f>
        <v>stumfd
</v>
      </c>
      <c r="C642" s="257" t="str">
        <f>IFERROR(__xludf.DUMMYFUNCTION("""COMPUTED_VALUE"""),"https://www.tiktok.com/@stumfd
")</f>
        <v>https://www.tiktok.com/@stumfd
</v>
      </c>
      <c r="D642" s="270">
        <f>IFERROR(__xludf.DUMMYFUNCTION("""COMPUTED_VALUE"""),8.9503568465E10)</f>
        <v>89503568465</v>
      </c>
      <c r="E642" s="457">
        <f>IFERROR(__xludf.DUMMYFUNCTION("""COMPUTED_VALUE"""),200000.0)</f>
        <v>200000</v>
      </c>
      <c r="F642" s="270">
        <f>IFERROR(__xludf.DUMMYFUNCTION("""COMPUTED_VALUE"""),2.0)</f>
        <v>2</v>
      </c>
      <c r="G642" s="17" t="str">
        <f>IFERROR(__xludf.DUMMYFUNCTION("""COMPUTED_VALUE"""),"Sabun batang 1 Box ( 2 PCS )")</f>
        <v>Sabun batang 1 Box ( 2 PCS )</v>
      </c>
      <c r="H642" s="463" t="str">
        <f>IFERROR(__xludf.DUMMYFUNCTION("""COMPUTED_VALUE"""),"Sampai")</f>
        <v>Sampai</v>
      </c>
      <c r="I642" s="464" t="str">
        <f>IFERROR(__xludf.DUMMYFUNCTION("""COMPUTED_VALUE"""),"KIMME")</f>
        <v>KIMME</v>
      </c>
      <c r="J642" s="279" t="str">
        <f>IFERROR(__xludf.DUMMYFUNCTION("""COMPUTED_VALUE"""),"https://www.tiktok.com/@stumfd/video/7628109510162386196?is_from_webapp=1&amp;sender_device=pc")</f>
        <v>https://www.tiktok.com/@stumfd/video/7628109510162386196?is_from_webapp=1&amp;sender_device=pc</v>
      </c>
      <c r="K642" s="464" t="str">
        <f>IFERROR(__xludf.DUMMYFUNCTION("""COMPUTED_VALUE"""),"KIMME")</f>
        <v>KIMME</v>
      </c>
      <c r="L642" s="279" t="str">
        <f>IFERROR(__xludf.DUMMYFUNCTION("""COMPUTED_VALUE"""),"https://www.tiktok.com/@stumfd/video/7628111775057120532?is_from_webapp=1&amp;sender_device=pc&amp;web_id=7611930277489657360")</f>
        <v>https://www.tiktok.com/@stumfd/video/7628111775057120532?is_from_webapp=1&amp;sender_device=pc&amp;web_id=7611930277489657360</v>
      </c>
      <c r="M642" s="464"/>
      <c r="N642" s="279" t="str">
        <f>IFERROR(__xludf.DUMMYFUNCTION("""COMPUTED_VALUE"""),"https://www.tiktok.com/@berkah.glosir/video/7638069844910296341?_r=1&amp;u_code=e4hbm162fcgeg9&amp;region=&amp;mid=7490601688006150160&amp;preview_pb=0&amp;sharer_language=&amp;_d=0&amp;ec_shared_reflux_dynamic_params=%7B%22placeholder_material_id%22%3A%227638069844910296341%22%2C%2"&amp;"2placeholder_origin_cover%22%3A%22https%253A%252F%252Fp16-common-sign.tiktokcdn.com%252Ftos-alisg-p-0037%252FowXl4GeQSxL3M1neiA0fxgPB4XNCfA9iIQeLDW~tplv-tiktokx-origin.jpeg%253Fdr%253D14572%2526refresh_token%253D93ea6fd8%2526x-expires%253D1810116000%2526x"&amp;"-signature%253DQIwa1quz63axkcxVUUz6IjP5w2g%25253D%2526t%253D4d5b0474%2526ps%253D13740610%2526shp%253Dd05b14bd%2526shcp%253D34ff8df6%2526idc%253Dmy2%2526s%253DTIKTOK_AFFILIATE_VIRAL_VIDEO%22%2C%22placeholder_product_id%22%3A%221729729730555512511%22%2C%22p"&amp;"laceholder_video_id%22%3A%227638069844910296341%22%7D&amp;ec_shared_reflux_scene=shop_tab_feed&amp;share_item_id=7638069844910296341&amp;source=h5_t")</f>
        <v>https://www.tiktok.com/@berkah.glosir/video/7638069844910296341?_r=1&amp;u_code=e4hbm162fcgeg9&amp;region=&amp;mid=7490601688006150160&amp;preview_pb=0&amp;sharer_language=&amp;_d=0&amp;ec_shared_reflux_dynamic_params=%7B%22placeholder_material_id%22%3A%227638069844910296341%22%2C%22placeholder_origin_cover%22%3A%22https%253A%252F%252Fp16-common-sign.tiktokcdn.com%252Ftos-alisg-p-0037%252FowXl4GeQSxL3M1neiA0fxgPB4XNCfA9iIQeLDW~tplv-tiktokx-origin.jpeg%253Fdr%253D14572%2526refresh_token%253D93ea6fd8%2526x-expires%253D1810116000%2526x-signature%253DQIwa1quz63axkcxVUUz6IjP5w2g%25253D%2526t%253D4d5b0474%2526ps%253D13740610%2526shp%253Dd05b14bd%2526shcp%253D34ff8df6%2526idc%253Dmy2%2526s%253DTIKTOK_AFFILIATE_VIRAL_VIDEO%22%2C%22placeholder_product_id%22%3A%221729729730555512511%22%2C%22placeholder_video_id%22%3A%227638069844910296341%22%7D&amp;ec_shared_reflux_scene=shop_tab_feed&amp;share_item_id=7638069844910296341&amp;source=h5_t</v>
      </c>
      <c r="O642" s="464"/>
      <c r="P642" s="279" t="str">
        <f>IFERROR(__xludf.DUMMYFUNCTION("""COMPUTED_VALUE"""),"https://www.tiktok.com/@berkah.glosir/video/7638069504320294165?_r=1&amp;u_code=e4hbm162fcgeg9&amp;region=&amp;mid=7631490590651468565&amp;preview_pb=0&amp;sharer_language=&amp;_d=0&amp;ec_shared_reflux_dynamic_params=%7B%22placeholder_material_id%22%3A%227638069504320294165%22%2C%2"&amp;"2placeholder_origin_cover%22%3A%22https%253A%252F%252Fp16-common-sign.tiktokcdn.com%252Ftos-alisg-p-0037%252FoMeQ8F0jGG3fAw5fA4LvA8QIGAL0E3NeRTFn27~tplv-tiktokx-origin.jpeg%253Fdr%253D14572%2526refresh_token%253D1b213302%2526x-expires%253D1810116000%2526x"&amp;"-signature%253DFiAuxrxdloxDT3MFOyIDq%25252BTO3EU%25253D%2526t%253D4d5b0474%2526ps%253D13740610%2526shp%253Dd05b14bd%2526shcp%253D34ff8df6%2526idc%253Dmy2%2526s%253DTIKTOK_AFFILIATE_VIRAL_VIDEO%22%2C%22placeholder_product_id%22%3A%221729729730555512511%22%"&amp;"2C%22placeholder_video_id%22%3A%227638069504320294165%22%7D&amp;ec_shared_reflux_scene=shop_tab_feed&amp;share_item_id=7638069504320294165&amp;source=h5_t")</f>
        <v>https://www.tiktok.com/@berkah.glosir/video/7638069504320294165?_r=1&amp;u_code=e4hbm162fcgeg9&amp;region=&amp;mid=7631490590651468565&amp;preview_pb=0&amp;sharer_language=&amp;_d=0&amp;ec_shared_reflux_dynamic_params=%7B%22placeholder_material_id%22%3A%227638069504320294165%22%2C%22placeholder_origin_cover%22%3A%22https%253A%252F%252Fp16-common-sign.tiktokcdn.com%252Ftos-alisg-p-0037%252FoMeQ8F0jGG3fAw5fA4LvA8QIGAL0E3NeRTFn27~tplv-tiktokx-origin.jpeg%253Fdr%253D14572%2526refresh_token%253D1b213302%2526x-expires%253D1810116000%2526x-signature%253DFiAuxrxdloxDT3MFOyIDq%25252BTO3EU%25253D%2526t%253D4d5b0474%2526ps%253D13740610%2526shp%253Dd05b14bd%2526shcp%253D34ff8df6%2526idc%253Dmy2%2526s%253DTIKTOK_AFFILIATE_VIRAL_VIDEO%22%2C%22placeholder_product_id%22%3A%221729729730555512511%22%2C%22placeholder_video_id%22%3A%227638069504320294165%22%7D&amp;ec_shared_reflux_scene=shop_tab_feed&amp;share_item_id=7638069504320294165&amp;source=h5_t</v>
      </c>
    </row>
    <row r="643">
      <c r="A643" s="255" t="str">
        <f>IFERROR(__xludf.DUMMYFUNCTION("""COMPUTED_VALUE"""),"MACRO")</f>
        <v>MACRO</v>
      </c>
      <c r="B643" s="361" t="str">
        <f>IFERROR(__xludf.DUMMYFUNCTION("""COMPUTED_VALUE"""),"lannytjo")</f>
        <v>lannytjo</v>
      </c>
      <c r="C643" s="257" t="str">
        <f>IFERROR(__xludf.DUMMYFUNCTION("""COMPUTED_VALUE"""),"https://www.tiktok.com/@lannytjo")</f>
        <v>https://www.tiktok.com/@lannytjo</v>
      </c>
      <c r="D643" s="270">
        <f>IFERROR(__xludf.DUMMYFUNCTION("""COMPUTED_VALUE"""),8.7757571888E10)</f>
        <v>87757571888</v>
      </c>
      <c r="E643" s="457">
        <f>IFERROR(__xludf.DUMMYFUNCTION("""COMPUTED_VALUE"""),0.0)</f>
        <v>0</v>
      </c>
      <c r="F643" s="270">
        <f>IFERROR(__xludf.DUMMYFUNCTION("""COMPUTED_VALUE"""),2.0)</f>
        <v>2</v>
      </c>
      <c r="G643" s="17" t="str">
        <f>IFERROR(__xludf.DUMMYFUNCTION("""COMPUTED_VALUE"""),"Sabun batang 1 Box ( 2 PCS )")</f>
        <v>Sabun batang 1 Box ( 2 PCS )</v>
      </c>
      <c r="H643" s="463" t="str">
        <f>IFERROR(__xludf.DUMMYFUNCTION("""COMPUTED_VALUE"""),"Sampai")</f>
        <v>Sampai</v>
      </c>
      <c r="I643" s="464" t="str">
        <f>IFERROR(__xludf.DUMMYFUNCTION("""COMPUTED_VALUE"""),"KIMME")</f>
        <v>KIMME</v>
      </c>
      <c r="J643" s="17" t="str">
        <f>IFERROR(__xludf.DUMMYFUNCTION("""COMPUTED_VALUE"""),"⁠https://vt.tiktok.com/ZS9NtjyTH/")</f>
        <v>⁠https://vt.tiktok.com/ZS9NtjyTH/</v>
      </c>
      <c r="K643" s="464" t="str">
        <f>IFERROR(__xludf.DUMMYFUNCTION("""COMPUTED_VALUE"""),"KIMME")</f>
        <v>KIMME</v>
      </c>
      <c r="L643" s="17" t="str">
        <f>IFERROR(__xludf.DUMMYFUNCTION("""COMPUTED_VALUE"""),"⁠https://vt.tiktok.com/ZS9Nt2ULB/")</f>
        <v>⁠https://vt.tiktok.com/ZS9Nt2ULB/</v>
      </c>
      <c r="M643" s="464"/>
      <c r="N643" s="17"/>
      <c r="O643" s="464"/>
      <c r="P643" s="17"/>
    </row>
    <row r="644">
      <c r="A644" s="255" t="str">
        <f>IFERROR(__xludf.DUMMYFUNCTION("""COMPUTED_VALUE"""),"MICRO")</f>
        <v>MICRO</v>
      </c>
      <c r="B644" s="361" t="str">
        <f>IFERROR(__xludf.DUMMYFUNCTION("""COMPUTED_VALUE"""),"anjunss_")</f>
        <v>anjunss_</v>
      </c>
      <c r="C644" s="257" t="str">
        <f>IFERROR(__xludf.DUMMYFUNCTION("""COMPUTED_VALUE"""),"https://www.tiktok.com/@anjunss_")</f>
        <v>https://www.tiktok.com/@anjunss_</v>
      </c>
      <c r="D644" s="270">
        <f>IFERROR(__xludf.DUMMYFUNCTION("""COMPUTED_VALUE"""),8.1224969002E10)</f>
        <v>81224969002</v>
      </c>
      <c r="E644" s="457">
        <f>IFERROR(__xludf.DUMMYFUNCTION("""COMPUTED_VALUE"""),0.0)</f>
        <v>0</v>
      </c>
      <c r="F644" s="270">
        <f>IFERROR(__xludf.DUMMYFUNCTION("""COMPUTED_VALUE"""),4.0)</f>
        <v>4</v>
      </c>
      <c r="G644" s="17" t="str">
        <f>IFERROR(__xludf.DUMMYFUNCTION("""COMPUTED_VALUE"""),"Sabun batang 1 Box ( 2 PCS )")</f>
        <v>Sabun batang 1 Box ( 2 PCS )</v>
      </c>
      <c r="H644" s="463" t="str">
        <f>IFERROR(__xludf.DUMMYFUNCTION("""COMPUTED_VALUE"""),"Sampai")</f>
        <v>Sampai</v>
      </c>
      <c r="I644" s="464" t="str">
        <f>IFERROR(__xludf.DUMMYFUNCTION("""COMPUTED_VALUE"""),"KIMME")</f>
        <v>KIMME</v>
      </c>
      <c r="J644" s="279" t="str">
        <f>IFERROR(__xludf.DUMMYFUNCTION("""COMPUTED_VALUE"""),"https://vt.tiktok.com/ZS9Fyq6ro/")</f>
        <v>https://vt.tiktok.com/ZS9Fyq6ro/</v>
      </c>
      <c r="K644" s="464" t="str">
        <f>IFERROR(__xludf.DUMMYFUNCTION("""COMPUTED_VALUE"""),"KIMME")</f>
        <v>KIMME</v>
      </c>
      <c r="L644" s="279" t="str">
        <f>IFERROR(__xludf.DUMMYFUNCTION("""COMPUTED_VALUE"""),"https://vt.tiktok.com/ZS9FySfMN/")</f>
        <v>https://vt.tiktok.com/ZS9FySfMN/</v>
      </c>
      <c r="M644" s="464" t="str">
        <f>IFERROR(__xludf.DUMMYFUNCTION("""COMPUTED_VALUE"""),"KIMME")</f>
        <v>KIMME</v>
      </c>
      <c r="N644" s="279" t="str">
        <f>IFERROR(__xludf.DUMMYFUNCTION("""COMPUTED_VALUE"""),"https://vt.tiktok.com/ZS9Fyx72G/")</f>
        <v>https://vt.tiktok.com/ZS9Fyx72G/</v>
      </c>
      <c r="O644" s="464" t="str">
        <f>IFERROR(__xludf.DUMMYFUNCTION("""COMPUTED_VALUE"""),"KIMME")</f>
        <v>KIMME</v>
      </c>
      <c r="P644" s="279" t="str">
        <f>IFERROR(__xludf.DUMMYFUNCTION("""COMPUTED_VALUE"""),"https://vt.tiktok.com/ZS9FyqFue/")</f>
        <v>https://vt.tiktok.com/ZS9FyqFue/</v>
      </c>
    </row>
    <row r="645">
      <c r="A645" s="255" t="str">
        <f>IFERROR(__xludf.DUMMYFUNCTION("""COMPUTED_VALUE"""),"MICRO")</f>
        <v>MICRO</v>
      </c>
      <c r="B645" s="361" t="str">
        <f>IFERROR(__xludf.DUMMYFUNCTION("""COMPUTED_VALUE"""),"itscendi")</f>
        <v>itscendi</v>
      </c>
      <c r="C645" s="257" t="str">
        <f>IFERROR(__xludf.DUMMYFUNCTION("""COMPUTED_VALUE"""),"https://www.tiktok.com/@itscendi")</f>
        <v>https://www.tiktok.com/@itscendi</v>
      </c>
      <c r="D645" s="270">
        <f>IFERROR(__xludf.DUMMYFUNCTION("""COMPUTED_VALUE"""),8.7746514165E10)</f>
        <v>87746514165</v>
      </c>
      <c r="E645" s="457">
        <f>IFERROR(__xludf.DUMMYFUNCTION("""COMPUTED_VALUE"""),0.0)</f>
        <v>0</v>
      </c>
      <c r="F645" s="270">
        <f>IFERROR(__xludf.DUMMYFUNCTION("""COMPUTED_VALUE"""),2.0)</f>
        <v>2</v>
      </c>
      <c r="G645" s="17" t="str">
        <f>IFERROR(__xludf.DUMMYFUNCTION("""COMPUTED_VALUE"""),"Sabun batang 1 Box ( 2 PCS )")</f>
        <v>Sabun batang 1 Box ( 2 PCS )</v>
      </c>
      <c r="H645" s="463" t="str">
        <f>IFERROR(__xludf.DUMMYFUNCTION("""COMPUTED_VALUE"""),"Sampai")</f>
        <v>Sampai</v>
      </c>
      <c r="I645" s="464" t="str">
        <f>IFERROR(__xludf.DUMMYFUNCTION("""COMPUTED_VALUE"""),"KIMME")</f>
        <v>KIMME</v>
      </c>
      <c r="J645" s="279" t="str">
        <f>IFERROR(__xludf.DUMMYFUNCTION("""COMPUTED_VALUE"""),"https://vt.tiktok.com/ZS9FyCVGb/")</f>
        <v>https://vt.tiktok.com/ZS9FyCVGb/</v>
      </c>
      <c r="K645" s="464" t="str">
        <f>IFERROR(__xludf.DUMMYFUNCTION("""COMPUTED_VALUE"""),"KIMME")</f>
        <v>KIMME</v>
      </c>
      <c r="L645" s="279" t="str">
        <f>IFERROR(__xludf.DUMMYFUNCTION("""COMPUTED_VALUE"""),"https://vt.tiktok.com/ZS9Fy4La1/")</f>
        <v>https://vt.tiktok.com/ZS9Fy4La1/</v>
      </c>
      <c r="M645" s="464"/>
      <c r="N645" s="279" t="str">
        <f>IFERROR(__xludf.DUMMYFUNCTION("""COMPUTED_VALUE"""),"https://www.tiktok.com/@berkah.glosir/video/7638068397930056981?_r=1&amp;u_code=e4hbm162fcgeg9&amp;region=&amp;mid=7486487774301653761&amp;preview_pb=0&amp;sharer_language=&amp;_d=0&amp;ec_shared_reflux_dynamic_params=%7B%22placeholder_material_id%22%3A%227638068397930056981%22%2C%2"&amp;"2placeholder_origin_cover%22%3A%22https%253A%252F%252Fp16-common-sign.tiktokcdn.com%252Ftos-alisg-p-0037%252FogfsfAei3gJuHggPfft4MLAJN3vansgYNsYBir~tplv-tiktokx-origin.jpeg%253Fdr%253D14572%2526refresh_token%253D3e61f379%2526x-expires%253D1810116000%2526x"&amp;"-signature%253DadDCdj98EIayj0jqgHYKZjY32NU%25253D%2526t%253D4d5b0474%2526ps%253D13740610%2526shp%253Dd05b14bd%2526shcp%253D34ff8df6%2526idc%253Dmy2%2526s%253DTIKTOK_AFFILIATE_VIRAL_VIDEO%22%2C%22placeholder_product_id%22%3A%221729729730555512511%22%2C%22p"&amp;"laceholder_video_id%22%3A%227638068397930056981%22%7D&amp;ec_shared_reflux_scene=shop_tab_feed&amp;share_item_id=7638068397930056981&amp;source=h5_t")</f>
        <v>https://www.tiktok.com/@berkah.glosir/video/7638068397930056981?_r=1&amp;u_code=e4hbm162fcgeg9&amp;region=&amp;mid=7486487774301653761&amp;preview_pb=0&amp;sharer_language=&amp;_d=0&amp;ec_shared_reflux_dynamic_params=%7B%22placeholder_material_id%22%3A%227638068397930056981%22%2C%22placeholder_origin_cover%22%3A%22https%253A%252F%252Fp16-common-sign.tiktokcdn.com%252Ftos-alisg-p-0037%252FogfsfAei3gJuHggPfft4MLAJN3vansgYNsYBir~tplv-tiktokx-origin.jpeg%253Fdr%253D14572%2526refresh_token%253D3e61f379%2526x-expires%253D1810116000%2526x-signature%253DadDCdj98EIayj0jqgHYKZjY32NU%25253D%2526t%253D4d5b0474%2526ps%253D13740610%2526shp%253Dd05b14bd%2526shcp%253D34ff8df6%2526idc%253Dmy2%2526s%253DTIKTOK_AFFILIATE_VIRAL_VIDEO%22%2C%22placeholder_product_id%22%3A%221729729730555512511%22%2C%22placeholder_video_id%22%3A%227638068397930056981%22%7D&amp;ec_shared_reflux_scene=shop_tab_feed&amp;share_item_id=7638068397930056981&amp;source=h5_t</v>
      </c>
      <c r="O645" s="464"/>
      <c r="P645" s="279" t="str">
        <f>IFERROR(__xludf.DUMMYFUNCTION("""COMPUTED_VALUE"""),"https://www.tiktok.com/@berkah.glosir/video/7638068894422371605?_r=1&amp;u_code=e4hbm162fcgeg9&amp;region=&amp;mid=7607064407760456464&amp;preview_pb=0&amp;sharer_language=&amp;_d=0&amp;ec_shared_reflux_dynamic_params=%7B%22placeholder_material_id%22%3A%227638068894422371605%22%2C%2"&amp;"2placeholder_origin_cover%22%3A%22https%253A%252F%252Fp16-common-sign.tiktokcdn.com%252Ftos-alisg-p-0037%252FoIzRGfewcQA7Gct5wE32ffEoyAEkBFDXnQSGLF~tplv-tiktokx-origin.jpeg%253Fdr%253D14572%2526refresh_token%253Dbbd458ef%2526x-expires%253D1810116000%2526x"&amp;"-signature%253DYVNMt3mvhP6H4b2lYUZWa0xmggs%25253D%2526t%253D4d5b0474%2526ps%253D13740610%2526shp%253Dd05b14bd%2526shcp%253D34ff8df6%2526idc%253Dmy2%2526s%253DTIKTOK_AFFILIATE_VIRAL_VIDEO%22%2C%22placeholder_product_id%22%3A%221729729730555512511%22%2C%22p"&amp;"laceholder_video_id%22%3A%227638068894422371605%22%7D&amp;ec_shared_reflux_scene=shop_tab_feed&amp;share_item_id=7638068894422371605&amp;source=h5_t")</f>
        <v>https://www.tiktok.com/@berkah.glosir/video/7638068894422371605?_r=1&amp;u_code=e4hbm162fcgeg9&amp;region=&amp;mid=7607064407760456464&amp;preview_pb=0&amp;sharer_language=&amp;_d=0&amp;ec_shared_reflux_dynamic_params=%7B%22placeholder_material_id%22%3A%227638068894422371605%22%2C%22placeholder_origin_cover%22%3A%22https%253A%252F%252Fp16-common-sign.tiktokcdn.com%252Ftos-alisg-p-0037%252FoIzRGfewcQA7Gct5wE32ffEoyAEkBFDXnQSGLF~tplv-tiktokx-origin.jpeg%253Fdr%253D14572%2526refresh_token%253Dbbd458ef%2526x-expires%253D1810116000%2526x-signature%253DYVNMt3mvhP6H4b2lYUZWa0xmggs%25253D%2526t%253D4d5b0474%2526ps%253D13740610%2526shp%253Dd05b14bd%2526shcp%253D34ff8df6%2526idc%253Dmy2%2526s%253DTIKTOK_AFFILIATE_VIRAL_VIDEO%22%2C%22placeholder_product_id%22%3A%221729729730555512511%22%2C%22placeholder_video_id%22%3A%227638068894422371605%22%7D&amp;ec_shared_reflux_scene=shop_tab_feed&amp;share_item_id=7638068894422371605&amp;source=h5_t</v>
      </c>
    </row>
    <row r="646">
      <c r="A646" s="255" t="str">
        <f>IFERROR(__xludf.DUMMYFUNCTION("""COMPUTED_VALUE"""),"MICRO")</f>
        <v>MICRO</v>
      </c>
      <c r="B646" s="361" t="str">
        <f>IFERROR(__xludf.DUMMYFUNCTION("""COMPUTED_VALUE"""),"alyaalathifahh")</f>
        <v>alyaalathifahh</v>
      </c>
      <c r="C646" s="257" t="str">
        <f>IFERROR(__xludf.DUMMYFUNCTION("""COMPUTED_VALUE"""),"https://www.tiktok.com/@alyaalathifahh")</f>
        <v>https://www.tiktok.com/@alyaalathifahh</v>
      </c>
      <c r="D646" s="270">
        <f>IFERROR(__xludf.DUMMYFUNCTION("""COMPUTED_VALUE"""),8.2338585405E10)</f>
        <v>82338585405</v>
      </c>
      <c r="E646" s="457">
        <f>IFERROR(__xludf.DUMMYFUNCTION("""COMPUTED_VALUE"""),0.0)</f>
        <v>0</v>
      </c>
      <c r="F646" s="270">
        <f>IFERROR(__xludf.DUMMYFUNCTION("""COMPUTED_VALUE"""),3.0)</f>
        <v>3</v>
      </c>
      <c r="G646" s="17" t="str">
        <f>IFERROR(__xludf.DUMMYFUNCTION("""COMPUTED_VALUE"""),"Sabun batang 1 Box ( 2 PCS )")</f>
        <v>Sabun batang 1 Box ( 2 PCS )</v>
      </c>
      <c r="H646" s="463" t="str">
        <f>IFERROR(__xludf.DUMMYFUNCTION("""COMPUTED_VALUE"""),"Sampai")</f>
        <v>Sampai</v>
      </c>
      <c r="I646" s="464" t="str">
        <f>IFERROR(__xludf.DUMMYFUNCTION("""COMPUTED_VALUE"""),"KIMME")</f>
        <v>KIMME</v>
      </c>
      <c r="J646" s="279" t="str">
        <f>IFERROR(__xludf.DUMMYFUNCTION("""COMPUTED_VALUE"""),"https://vt.tiktok.com/ZS9Fyft3b/")</f>
        <v>https://vt.tiktok.com/ZS9Fyft3b/</v>
      </c>
      <c r="K646" s="464" t="str">
        <f>IFERROR(__xludf.DUMMYFUNCTION("""COMPUTED_VALUE"""),"KIMME")</f>
        <v>KIMME</v>
      </c>
      <c r="L646" s="279" t="str">
        <f>IFERROR(__xludf.DUMMYFUNCTION("""COMPUTED_VALUE"""),"https://vt.tiktok.com/ZS9FyGqeP/")</f>
        <v>https://vt.tiktok.com/ZS9FyGqeP/</v>
      </c>
      <c r="M646" s="464" t="str">
        <f>IFERROR(__xludf.DUMMYFUNCTION("""COMPUTED_VALUE"""),"KIMME")</f>
        <v>KIMME</v>
      </c>
      <c r="N646" s="279" t="str">
        <f>IFERROR(__xludf.DUMMYFUNCTION("""COMPUTED_VALUE"""),"https://vt.tiktok.com/ZS9FyyGcq/")</f>
        <v>https://vt.tiktok.com/ZS9FyyGcq/</v>
      </c>
      <c r="O646" s="464"/>
      <c r="P646" s="279" t="str">
        <f>IFERROR(__xludf.DUMMYFUNCTION("""COMPUTED_VALUE"""),"https://www.tiktok.com/@berkah.glosir/video/7638067862837398805?_r=1&amp;u_code=e4hbm162fcgeg9&amp;region=&amp;mid=7588521422970407687&amp;preview_pb=0&amp;sharer_language=&amp;_d=0&amp;ec_shared_reflux_dynamic_params=%7B%22placeholder_material_id%22%3A%227638067862837398805%22%2C%2"&amp;"2placeholder_origin_cover%22%3A%22https%253A%252F%252Fp16-common-sign.tiktokcdn.com%252Ftos-alisg-p-0037%252FoYQ7pGFnAff3vLLAg2XGkAERwYGeA1rnBQJfI7~tplv-tiktokx-origin.jpeg%253Fdr%253D14572%2526refresh_token%253D6eaa506e%2526x-expires%253D1810116000%2526x"&amp;"-signature%253DMPiiYyG%25252BRKYt1m0WBI8m5duNqWQ%25253D%2526t%253D4d5b0474%2526ps%253D13740610%2526shp%253Dd05b14bd%2526shcp%253D34ff8df6%2526idc%253Dmy2%2526s%253DTIKTOK_AFFILIATE_VIRAL_VIDEO%22%2C%22placeholder_product_id%22%3A%221729729730555512511%22%"&amp;"2C%22placeholder_video_id%22%3A%227638067862837398805%22%7D&amp;ec_shared_reflux_scene=shop_tab_feed&amp;share_item_id=7638067862837398805&amp;source=h5_t")</f>
        <v>https://www.tiktok.com/@berkah.glosir/video/7638067862837398805?_r=1&amp;u_code=e4hbm162fcgeg9&amp;region=&amp;mid=7588521422970407687&amp;preview_pb=0&amp;sharer_language=&amp;_d=0&amp;ec_shared_reflux_dynamic_params=%7B%22placeholder_material_id%22%3A%227638067862837398805%22%2C%22placeholder_origin_cover%22%3A%22https%253A%252F%252Fp16-common-sign.tiktokcdn.com%252Ftos-alisg-p-0037%252FoYQ7pGFnAff3vLLAg2XGkAERwYGeA1rnBQJfI7~tplv-tiktokx-origin.jpeg%253Fdr%253D14572%2526refresh_token%253D6eaa506e%2526x-expires%253D1810116000%2526x-signature%253DMPiiYyG%25252BRKYt1m0WBI8m5duNqWQ%25253D%2526t%253D4d5b0474%2526ps%253D13740610%2526shp%253Dd05b14bd%2526shcp%253D34ff8df6%2526idc%253Dmy2%2526s%253DTIKTOK_AFFILIATE_VIRAL_VIDEO%22%2C%22placeholder_product_id%22%3A%221729729730555512511%22%2C%22placeholder_video_id%22%3A%227638067862837398805%22%7D&amp;ec_shared_reflux_scene=shop_tab_feed&amp;share_item_id=7638067862837398805&amp;source=h5_t</v>
      </c>
    </row>
    <row r="647">
      <c r="A647" s="255" t="str">
        <f>IFERROR(__xludf.DUMMYFUNCTION("""COMPUTED_VALUE"""),"MICRO")</f>
        <v>MICRO</v>
      </c>
      <c r="B647" s="361" t="str">
        <f>IFERROR(__xludf.DUMMYFUNCTION("""COMPUTED_VALUE"""),"erikanurdiani")</f>
        <v>erikanurdiani</v>
      </c>
      <c r="C647" s="257" t="str">
        <f>IFERROR(__xludf.DUMMYFUNCTION("""COMPUTED_VALUE"""),"https://www.tiktok.com/@erikanurdiani")</f>
        <v>https://www.tiktok.com/@erikanurdiani</v>
      </c>
      <c r="D647" s="270">
        <f>IFERROR(__xludf.DUMMYFUNCTION("""COMPUTED_VALUE"""),8.224033712E10)</f>
        <v>82240337120</v>
      </c>
      <c r="E647" s="457">
        <f>IFERROR(__xludf.DUMMYFUNCTION("""COMPUTED_VALUE"""),0.0)</f>
        <v>0</v>
      </c>
      <c r="F647" s="270">
        <f>IFERROR(__xludf.DUMMYFUNCTION("""COMPUTED_VALUE"""),2.0)</f>
        <v>2</v>
      </c>
      <c r="G647" s="17" t="str">
        <f>IFERROR(__xludf.DUMMYFUNCTION("""COMPUTED_VALUE"""),"Sabun batang 1 Box ( 2 PCS )")</f>
        <v>Sabun batang 1 Box ( 2 PCS )</v>
      </c>
      <c r="H647" s="463" t="str">
        <f>IFERROR(__xludf.DUMMYFUNCTION("""COMPUTED_VALUE"""),"Sampai")</f>
        <v>Sampai</v>
      </c>
      <c r="I647" s="464" t="str">
        <f>IFERROR(__xludf.DUMMYFUNCTION("""COMPUTED_VALUE"""),"KIMME")</f>
        <v>KIMME</v>
      </c>
      <c r="J647" s="279" t="str">
        <f>IFERROR(__xludf.DUMMYFUNCTION("""COMPUTED_VALUE"""),"https://vt.tiktok.com/ZS9FyCdDN/")</f>
        <v>https://vt.tiktok.com/ZS9FyCdDN/</v>
      </c>
      <c r="K647" s="464" t="str">
        <f>IFERROR(__xludf.DUMMYFUNCTION("""COMPUTED_VALUE"""),"KIMME")</f>
        <v>KIMME</v>
      </c>
      <c r="L647" s="279" t="str">
        <f>IFERROR(__xludf.DUMMYFUNCTION("""COMPUTED_VALUE"""),"https://vt.tiktok.com/ZS9Nxs3rj/")</f>
        <v>https://vt.tiktok.com/ZS9Nxs3rj/</v>
      </c>
      <c r="M647" s="464"/>
      <c r="N647" s="279" t="str">
        <f>IFERROR(__xludf.DUMMYFUNCTION("""COMPUTED_VALUE"""),"https://www.tiktok.com/@berkah.glosir/video/7638067231758322964?_r=1&amp;u_code=e4hbm162fcgeg9&amp;region=&amp;mid=7604469021722200065&amp;preview_pb=0&amp;sharer_language=&amp;_d=0&amp;ec_shared_reflux_dynamic_params=%7B%22placeholder_material_id%22%3A%227638067231758322964%22%2C%2"&amp;"2placeholder_origin_cover%22%3A%22https%253A%252F%252Fp16-common-sign.tiktokcdn.com%252Ftos-alisg-p-0037%252Fo46IxHFfhQDRuwEA1ctAftE8TfQmjVnD4kb93C~tplv-tiktokx-origin.jpeg%253Fdr%253D14572%2526refresh_token%253D5aa24f5d%2526x-expires%253D1810116000%2526x"&amp;"-signature%253DSOeFkvQSRDfn86lpyrHfPKc2V0I%25253D%2526t%253D4d5b0474%2526ps%253D13740610%2526shp%253Dd05b14bd%2526shcp%253D34ff8df6%2526idc%253Dmy2%2526s%253DTIKTOK_AFFILIATE_VIRAL_VIDEO%22%2C%22placeholder_product_id%22%3A%221729729730555512511%22%2C%22p"&amp;"laceholder_video_id%22%3A%227638067231758322964%22%7D&amp;ec_shared_reflux_scene=shop_tab_feed&amp;share_item_id=7638067231758322964&amp;source=h5_t")</f>
        <v>https://www.tiktok.com/@berkah.glosir/video/7638067231758322964?_r=1&amp;u_code=e4hbm162fcgeg9&amp;region=&amp;mid=7604469021722200065&amp;preview_pb=0&amp;sharer_language=&amp;_d=0&amp;ec_shared_reflux_dynamic_params=%7B%22placeholder_material_id%22%3A%227638067231758322964%22%2C%22placeholder_origin_cover%22%3A%22https%253A%252F%252Fp16-common-sign.tiktokcdn.com%252Ftos-alisg-p-0037%252Fo46IxHFfhQDRuwEA1ctAftE8TfQmjVnD4kb93C~tplv-tiktokx-origin.jpeg%253Fdr%253D14572%2526refresh_token%253D5aa24f5d%2526x-expires%253D1810116000%2526x-signature%253DSOeFkvQSRDfn86lpyrHfPKc2V0I%25253D%2526t%253D4d5b0474%2526ps%253D13740610%2526shp%253Dd05b14bd%2526shcp%253D34ff8df6%2526idc%253Dmy2%2526s%253DTIKTOK_AFFILIATE_VIRAL_VIDEO%22%2C%22placeholder_product_id%22%3A%221729729730555512511%22%2C%22placeholder_video_id%22%3A%227638067231758322964%22%7D&amp;ec_shared_reflux_scene=shop_tab_feed&amp;share_item_id=7638067231758322964&amp;source=h5_t</v>
      </c>
      <c r="O647" s="464"/>
      <c r="P647" s="279" t="str">
        <f>IFERROR(__xludf.DUMMYFUNCTION("""COMPUTED_VALUE"""),"https://www.tiktok.com/@berkah.glosir/video/7638066776823139604?_r=1&amp;u_code=e4hbm162fcgeg9&amp;region=&amp;mid=7596979553374587655&amp;preview_pb=0&amp;sharer_language=&amp;_d=0&amp;ec_shared_reflux_dynamic_params=%7B%22placeholder_material_id%22%3A%227638066776823139604%22%2C%2"&amp;"2placeholder_origin_cover%22%3A%22https%253A%252F%252Fp16-common-sign.tiktokcdn.com%252Ftos-alisg-p-0037%252FoYB0XuuvgAfjuAewZgYdIvgCfeAg46qfHA8uffx~tplv-tiktokx-origin.jpeg%253Fdr%253D14572%2526refresh_token%253D93fc10fc%2526x-expires%253D1810116000%2526"&amp;"x-signature%253DOjMXkNtl8PUpd30r24tpZKF1DYE%25253D%2526t%253D4d5b0474%2526ps%253D13740610%2526shp%253Dd05b14bd%2526shcp%253D34ff8df6%2526idc%253Dmy2%2526s%253DTIKTOK_AFFILIATE_VIRAL_VIDEO%22%2C%22placeholder_product_id%22%3A%221729729730555512511%22%2C%22"&amp;"placeholder_video_id%22%3A%227638066776823139604%22%7D&amp;ec_shared_reflux_scene=shop_tab_feed&amp;share_item_id=7638066776823139604&amp;source=h5_t")</f>
        <v>https://www.tiktok.com/@berkah.glosir/video/7638066776823139604?_r=1&amp;u_code=e4hbm162fcgeg9&amp;region=&amp;mid=7596979553374587655&amp;preview_pb=0&amp;sharer_language=&amp;_d=0&amp;ec_shared_reflux_dynamic_params=%7B%22placeholder_material_id%22%3A%227638066776823139604%22%2C%22placeholder_origin_cover%22%3A%22https%253A%252F%252Fp16-common-sign.tiktokcdn.com%252Ftos-alisg-p-0037%252FoYB0XuuvgAfjuAewZgYdIvgCfeAg46qfHA8uffx~tplv-tiktokx-origin.jpeg%253Fdr%253D14572%2526refresh_token%253D93fc10fc%2526x-expires%253D1810116000%2526x-signature%253DOjMXkNtl8PUpd30r24tpZKF1DYE%25253D%2526t%253D4d5b0474%2526ps%253D13740610%2526shp%253Dd05b14bd%2526shcp%253D34ff8df6%2526idc%253Dmy2%2526s%253DTIKTOK_AFFILIATE_VIRAL_VIDEO%22%2C%22placeholder_product_id%22%3A%221729729730555512511%22%2C%22placeholder_video_id%22%3A%227638066776823139604%22%7D&amp;ec_shared_reflux_scene=shop_tab_feed&amp;share_item_id=7638066776823139604&amp;source=h5_t</v>
      </c>
    </row>
    <row r="648">
      <c r="A648" s="255" t="str">
        <f>IFERROR(__xludf.DUMMYFUNCTION("""COMPUTED_VALUE"""),"MICRO")</f>
        <v>MICRO</v>
      </c>
      <c r="B648" s="361" t="str">
        <f>IFERROR(__xludf.DUMMYFUNCTION("""COMPUTED_VALUE"""),"sillviaaagr")</f>
        <v>sillviaaagr</v>
      </c>
      <c r="C648" s="257" t="str">
        <f>IFERROR(__xludf.DUMMYFUNCTION("""COMPUTED_VALUE"""),"https://www.tiktok.com/@sillviaaagr")</f>
        <v>https://www.tiktok.com/@sillviaaagr</v>
      </c>
      <c r="D648" s="270">
        <f>IFERROR(__xludf.DUMMYFUNCTION("""COMPUTED_VALUE"""),8.7773913702E10)</f>
        <v>87773913702</v>
      </c>
      <c r="E648" s="457">
        <f>IFERROR(__xludf.DUMMYFUNCTION("""COMPUTED_VALUE"""),0.0)</f>
        <v>0</v>
      </c>
      <c r="F648" s="270">
        <f>IFERROR(__xludf.DUMMYFUNCTION("""COMPUTED_VALUE"""),2.0)</f>
        <v>2</v>
      </c>
      <c r="G648" s="17" t="str">
        <f>IFERROR(__xludf.DUMMYFUNCTION("""COMPUTED_VALUE"""),"Sabun batang 1 Box ( 2 PCS )")</f>
        <v>Sabun batang 1 Box ( 2 PCS )</v>
      </c>
      <c r="H648" s="463" t="str">
        <f>IFERROR(__xludf.DUMMYFUNCTION("""COMPUTED_VALUE"""),"Sampai")</f>
        <v>Sampai</v>
      </c>
      <c r="I648" s="464" t="str">
        <f>IFERROR(__xludf.DUMMYFUNCTION("""COMPUTED_VALUE"""),"KIMME")</f>
        <v>KIMME</v>
      </c>
      <c r="J648" s="279" t="str">
        <f>IFERROR(__xludf.DUMMYFUNCTION("""COMPUTED_VALUE"""),"https://vt.tiktok.com/ZS9Nxtb1S/")</f>
        <v>https://vt.tiktok.com/ZS9Nxtb1S/</v>
      </c>
      <c r="K648" s="464" t="str">
        <f>IFERROR(__xludf.DUMMYFUNCTION("""COMPUTED_VALUE"""),"KIMME")</f>
        <v>KIMME</v>
      </c>
      <c r="L648" s="279" t="str">
        <f>IFERROR(__xludf.DUMMYFUNCTION("""COMPUTED_VALUE"""),"https://vt.tiktok.com/ZS9Yj8DLQ/")</f>
        <v>https://vt.tiktok.com/ZS9Yj8DLQ/</v>
      </c>
      <c r="M648" s="464"/>
      <c r="N648" s="279" t="str">
        <f>IFERROR(__xludf.DUMMYFUNCTION("""COMPUTED_VALUE"""),"https://www.tiktok.com/@berkah.glosir/video/7638066451676400916?_r=1&amp;u_code=e4hbm162fcgeg9&amp;region=&amp;mid=7606071400499628049&amp;preview_pb=0&amp;sharer_language=&amp;_d=0&amp;ec_shared_reflux_dynamic_params=%7B%22placeholder_material_id%22%3A%227638066451676400916%22%2C%2"&amp;"2placeholder_origin_cover%22%3A%22https%253A%252F%252Fp16-common-sign.tiktokcdn.com%252Ftos-alisg-p-0037%252FoE65J88fMGPnXMyRjfQu7fggfFwgxwkA3AGbnA~tplv-tiktokx-origin.jpeg%253Fdr%253D14572%2526refresh_token%253D48c6b8dc%2526x-expires%253D1810116000%2526x"&amp;"-signature%253DvNLrCU3r10Z2Nyq29W9h6AXe8wk%25253D%2526t%253D4d5b0474%2526ps%253D13740610%2526shp%253Dd05b14bd%2526shcp%253D34ff8df6%2526idc%253Dmy2%2526s%253DTIKTOK_AFFILIATE_VIRAL_VIDEO%22%2C%22placeholder_product_id%22%3A%221729729730555512511%22%2C%22p"&amp;"laceholder_video_id%22%3A%227638066451676400916%22%7D&amp;ec_shared_reflux_scene=shop_tab_feed&amp;share_item_id=7638066451676400916&amp;source=h5_t")</f>
        <v>https://www.tiktok.com/@berkah.glosir/video/7638066451676400916?_r=1&amp;u_code=e4hbm162fcgeg9&amp;region=&amp;mid=7606071400499628049&amp;preview_pb=0&amp;sharer_language=&amp;_d=0&amp;ec_shared_reflux_dynamic_params=%7B%22placeholder_material_id%22%3A%227638066451676400916%22%2C%22placeholder_origin_cover%22%3A%22https%253A%252F%252Fp16-common-sign.tiktokcdn.com%252Ftos-alisg-p-0037%252FoE65J88fMGPnXMyRjfQu7fggfFwgxwkA3AGbnA~tplv-tiktokx-origin.jpeg%253Fdr%253D14572%2526refresh_token%253D48c6b8dc%2526x-expires%253D1810116000%2526x-signature%253DvNLrCU3r10Z2Nyq29W9h6AXe8wk%25253D%2526t%253D4d5b0474%2526ps%253D13740610%2526shp%253Dd05b14bd%2526shcp%253D34ff8df6%2526idc%253Dmy2%2526s%253DTIKTOK_AFFILIATE_VIRAL_VIDEO%22%2C%22placeholder_product_id%22%3A%221729729730555512511%22%2C%22placeholder_video_id%22%3A%227638066451676400916%22%7D&amp;ec_shared_reflux_scene=shop_tab_feed&amp;share_item_id=7638066451676400916&amp;source=h5_t</v>
      </c>
      <c r="O648" s="464"/>
      <c r="P648" s="279" t="str">
        <f>IFERROR(__xludf.DUMMYFUNCTION("""COMPUTED_VALUE"""),"https://www.tiktok.com/@berkah.glosir/video/7638064772847750421?_r=1&amp;u_code=e4hbm162fcgeg9&amp;region=&amp;mid=7606071400499628049&amp;preview_pb=0&amp;sharer_language=&amp;_d=0&amp;ec_shared_reflux_dynamic_params=%7B%22placeholder_material_id%22%3A%227638064772847750421%22%2C%2"&amp;"2placeholder_origin_cover%22%3A%22https%253A%252F%252Fp16-common-sign.tiktokcdn.com%252Ftos-alisg-p-0037%252FocFRA27f7XfCrR7JgnQMd38ggkugAa0eGwf5aG~tplv-tiktokx-origin.jpeg%253Fdr%253D14572%2526refresh_token%253Dedc7b8be%2526x-expires%253D1810116000%2526x"&amp;"-signature%253DzZN2u4J%25252FZz%25252FE5tWuHRLH550mqSo%25253D%2526t%253D4d5b0474%2526ps%253D13740610%2526shp%253Dd05b14bd%2526shcp%253D34ff8df6%2526idc%253Dmy2%2526s%253DTIKTOK_AFFILIATE_VIRAL_VIDEO%22%2C%22placeholder_product_id%22%3A%2217297297305555125"&amp;"11%22%2C%22placeholder_video_id%22%3A%227638064772847750421%22%7D&amp;ec_shared_reflux_scene=shop_tab_feed&amp;share_item_id=7638064772847750421&amp;source=h5_t")</f>
        <v>https://www.tiktok.com/@berkah.glosir/video/7638064772847750421?_r=1&amp;u_code=e4hbm162fcgeg9&amp;region=&amp;mid=7606071400499628049&amp;preview_pb=0&amp;sharer_language=&amp;_d=0&amp;ec_shared_reflux_dynamic_params=%7B%22placeholder_material_id%22%3A%227638064772847750421%22%2C%22placeholder_origin_cover%22%3A%22https%253A%252F%252Fp16-common-sign.tiktokcdn.com%252Ftos-alisg-p-0037%252FocFRA27f7XfCrR7JgnQMd38ggkugAa0eGwf5aG~tplv-tiktokx-origin.jpeg%253Fdr%253D14572%2526refresh_token%253Dedc7b8be%2526x-expires%253D1810116000%2526x-signature%253DzZN2u4J%25252FZz%25252FE5tWuHRLH550mqSo%25253D%2526t%253D4d5b0474%2526ps%253D13740610%2526shp%253Dd05b14bd%2526shcp%253D34ff8df6%2526idc%253Dmy2%2526s%253DTIKTOK_AFFILIATE_VIRAL_VIDEO%22%2C%22placeholder_product_id%22%3A%221729729730555512511%22%2C%22placeholder_video_id%22%3A%227638064772847750421%22%7D&amp;ec_shared_reflux_scene=shop_tab_feed&amp;share_item_id=7638064772847750421&amp;source=h5_t</v>
      </c>
    </row>
    <row r="649">
      <c r="A649" s="255" t="str">
        <f>IFERROR(__xludf.DUMMYFUNCTION("""COMPUTED_VALUE"""),"MICRO")</f>
        <v>MICRO</v>
      </c>
      <c r="B649" s="361" t="str">
        <f>IFERROR(__xludf.DUMMYFUNCTION("""COMPUTED_VALUE"""),"araanrml")</f>
        <v>araanrml</v>
      </c>
      <c r="C649" s="257" t="str">
        <f>IFERROR(__xludf.DUMMYFUNCTION("""COMPUTED_VALUE"""),"https://www.tiktok.com/@araanrml")</f>
        <v>https://www.tiktok.com/@araanrml</v>
      </c>
      <c r="D649" s="270">
        <f>IFERROR(__xludf.DUMMYFUNCTION("""COMPUTED_VALUE"""),8.1224839996E10)</f>
        <v>81224839996</v>
      </c>
      <c r="E649" s="457">
        <f>IFERROR(__xludf.DUMMYFUNCTION("""COMPUTED_VALUE"""),0.0)</f>
        <v>0</v>
      </c>
      <c r="F649" s="270">
        <f>IFERROR(__xludf.DUMMYFUNCTION("""COMPUTED_VALUE"""),4.0)</f>
        <v>4</v>
      </c>
      <c r="G649" s="17" t="str">
        <f>IFERROR(__xludf.DUMMYFUNCTION("""COMPUTED_VALUE"""),"Sabun batang 1 Box ( 2 PCS )")</f>
        <v>Sabun batang 1 Box ( 2 PCS )</v>
      </c>
      <c r="H649" s="463" t="str">
        <f>IFERROR(__xludf.DUMMYFUNCTION("""COMPUTED_VALUE"""),"Sampai")</f>
        <v>Sampai</v>
      </c>
      <c r="I649" s="464" t="str">
        <f>IFERROR(__xludf.DUMMYFUNCTION("""COMPUTED_VALUE"""),"KIMME")</f>
        <v>KIMME</v>
      </c>
      <c r="J649" s="279" t="str">
        <f>IFERROR(__xludf.DUMMYFUNCTION("""COMPUTED_VALUE"""),"https://vt.tiktok.com/ZS9NBujgj/")</f>
        <v>https://vt.tiktok.com/ZS9NBujgj/</v>
      </c>
      <c r="K649" s="464" t="str">
        <f>IFERROR(__xludf.DUMMYFUNCTION("""COMPUTED_VALUE"""),"KIMME")</f>
        <v>KIMME</v>
      </c>
      <c r="L649" s="279" t="str">
        <f>IFERROR(__xludf.DUMMYFUNCTION("""COMPUTED_VALUE"""),"https://vt.tiktok.com/ZS9NkUUUq/")</f>
        <v>https://vt.tiktok.com/ZS9NkUUUq/</v>
      </c>
      <c r="M649" s="464" t="str">
        <f>IFERROR(__xludf.DUMMYFUNCTION("""COMPUTED_VALUE"""),"KIMME")</f>
        <v>KIMME</v>
      </c>
      <c r="N649" s="279" t="str">
        <f>IFERROR(__xludf.DUMMYFUNCTION("""COMPUTED_VALUE"""),"https://vt.tiktok.com/ZS9NkaAf2/")</f>
        <v>https://vt.tiktok.com/ZS9NkaAf2/</v>
      </c>
      <c r="O649" s="464" t="str">
        <f>IFERROR(__xludf.DUMMYFUNCTION("""COMPUTED_VALUE"""),"KIMME")</f>
        <v>KIMME</v>
      </c>
      <c r="P649" s="279" t="str">
        <f>IFERROR(__xludf.DUMMYFUNCTION("""COMPUTED_VALUE"""),"https://vt.tiktok.com/ZS9NJaKkq/")</f>
        <v>https://vt.tiktok.com/ZS9NJaKkq/</v>
      </c>
    </row>
    <row r="650">
      <c r="A650" s="255" t="str">
        <f>IFERROR(__xludf.DUMMYFUNCTION("""COMPUTED_VALUE"""),"MICRO")</f>
        <v>MICRO</v>
      </c>
      <c r="B650" s="361" t="str">
        <f>IFERROR(__xludf.DUMMYFUNCTION("""COMPUTED_VALUE"""),"ade.imavid")</f>
        <v>ade.imavid</v>
      </c>
      <c r="C650" s="257" t="str">
        <f>IFERROR(__xludf.DUMMYFUNCTION("""COMPUTED_VALUE"""),"https://www.tiktok.com/@ade.imavid")</f>
        <v>https://www.tiktok.com/@ade.imavid</v>
      </c>
      <c r="D650" s="270">
        <f>IFERROR(__xludf.DUMMYFUNCTION("""COMPUTED_VALUE"""),8.5755184624E10)</f>
        <v>85755184624</v>
      </c>
      <c r="E650" s="457">
        <f>IFERROR(__xludf.DUMMYFUNCTION("""COMPUTED_VALUE"""),0.0)</f>
        <v>0</v>
      </c>
      <c r="F650" s="270">
        <f>IFERROR(__xludf.DUMMYFUNCTION("""COMPUTED_VALUE"""),2.0)</f>
        <v>2</v>
      </c>
      <c r="G650" s="17" t="str">
        <f>IFERROR(__xludf.DUMMYFUNCTION("""COMPUTED_VALUE"""),"Sabun batang 1 Box ( 2 PCS )")</f>
        <v>Sabun batang 1 Box ( 2 PCS )</v>
      </c>
      <c r="H650" s="463" t="str">
        <f>IFERROR(__xludf.DUMMYFUNCTION("""COMPUTED_VALUE"""),"Sampai")</f>
        <v>Sampai</v>
      </c>
      <c r="I650" s="464" t="str">
        <f>IFERROR(__xludf.DUMMYFUNCTION("""COMPUTED_VALUE"""),"KIMME")</f>
        <v>KIMME</v>
      </c>
      <c r="J650" s="279" t="str">
        <f>IFERROR(__xludf.DUMMYFUNCTION("""COMPUTED_VALUE"""),"https://vt.tiktok.com/ZS9RoJAda/")</f>
        <v>https://vt.tiktok.com/ZS9RoJAda/</v>
      </c>
      <c r="K650" s="464" t="str">
        <f>IFERROR(__xludf.DUMMYFUNCTION("""COMPUTED_VALUE"""),"KIMME")</f>
        <v>KIMME</v>
      </c>
      <c r="L650" s="279" t="str">
        <f>IFERROR(__xludf.DUMMYFUNCTION("""COMPUTED_VALUE"""),"https://vt.tiktok.com/ZS9RwQ5Jp/")</f>
        <v>https://vt.tiktok.com/ZS9RwQ5Jp/</v>
      </c>
      <c r="M650" s="464"/>
      <c r="N650" s="279" t="str">
        <f>IFERROR(__xludf.DUMMYFUNCTION("""COMPUTED_VALUE"""),"https://www.tiktok.com/@berkah.glosir/video/7638065258686434580?_r=1&amp;u_code=e4hbm162fcgeg9&amp;region=&amp;mid=7484220141312412433&amp;preview_pb=0&amp;sharer_language=&amp;_d=0&amp;ec_shared_reflux_dynamic_params=%7B%22placeholder_material_id%22%3A%227638065258686434580%22%2C%2"&amp;"2placeholder_origin_cover%22%3A%22https%253A%252F%252Fp16-common-sign.tiktokcdn.com%252Ftos-alisg-p-0037%252FoUr2eeAGVg8tf3WPAIHKgtgf44ivULMgjYENfs~tplv-tiktokx-origin.jpeg%253Fdr%253D14572%2526refresh_token%253D28b8ab1a%2526x-expires%253D1810116000%2526x"&amp;"-signature%253DmEEdj1S2t0kR5UgqxCn25Xs9oX4%25253D%2526t%253D4d5b0474%2526ps%253D13740610%2526shp%253Dd05b14bd%2526shcp%253D34ff8df6%2526idc%253Dmy2%2526s%253DTIKTOK_AFFILIATE_VIRAL_VIDEO%22%2C%22placeholder_product_id%22%3A%221729729730555512511%22%2C%22p"&amp;"laceholder_video_id%22%3A%227638065258686434580%22%7D&amp;ec_shared_reflux_scene=shop_tab_feed&amp;share_item_id=7638065258686434580&amp;source=h5_t")</f>
        <v>https://www.tiktok.com/@berkah.glosir/video/7638065258686434580?_r=1&amp;u_code=e4hbm162fcgeg9&amp;region=&amp;mid=7484220141312412433&amp;preview_pb=0&amp;sharer_language=&amp;_d=0&amp;ec_shared_reflux_dynamic_params=%7B%22placeholder_material_id%22%3A%227638065258686434580%22%2C%22placeholder_origin_cover%22%3A%22https%253A%252F%252Fp16-common-sign.tiktokcdn.com%252Ftos-alisg-p-0037%252FoUr2eeAGVg8tf3WPAIHKgtgf44ivULMgjYENfs~tplv-tiktokx-origin.jpeg%253Fdr%253D14572%2526refresh_token%253D28b8ab1a%2526x-expires%253D1810116000%2526x-signature%253DmEEdj1S2t0kR5UgqxCn25Xs9oX4%25253D%2526t%253D4d5b0474%2526ps%253D13740610%2526shp%253Dd05b14bd%2526shcp%253D34ff8df6%2526idc%253Dmy2%2526s%253DTIKTOK_AFFILIATE_VIRAL_VIDEO%22%2C%22placeholder_product_id%22%3A%221729729730555512511%22%2C%22placeholder_video_id%22%3A%227638065258686434580%22%7D&amp;ec_shared_reflux_scene=shop_tab_feed&amp;share_item_id=7638065258686434580&amp;source=h5_t</v>
      </c>
      <c r="O650" s="464"/>
      <c r="P650" s="279" t="str">
        <f>IFERROR(__xludf.DUMMYFUNCTION("""COMPUTED_VALUE"""),"https://www.tiktok.com/@berkah.glosir/video/7636990117978197269?_r=1&amp;u_code=e4hbm162fcgeg9&amp;region=&amp;mid=7507772951459432464&amp;preview_pb=0&amp;sharer_language=&amp;_d=0&amp;ec_shared_reflux_dynamic_params=%7B%22placeholder_material_id%22%3A%227636990117978197269%22%2C%2"&amp;"2placeholder_origin_cover%22%3A%22https%253A%252F%252Fp16-common-sign.tiktokcdn.com%252Ftos-alisg-p-0037%252FoQIE80LCTAw7rwIC67IAbiiAKCBi7fBLyPKDiu~tplv-tiktokx-origin.jpeg%253Fdr%253D14572%2526refresh_token%253Dcfc67bb2%2526x-expires%253D1810116000%2526x"&amp;"-signature%253D0NAPwS2LlqJ3KEh%25252FsR64AKgWToQ%25253D%2526t%253D4d5b0474%2526ps%253D13740610%2526shp%253Dd05b14bd%2526shcp%253D34ff8df6%2526idc%253Dmy2%2526s%253DTIKTOK_AFFILIATE_VIRAL_VIDEO%22%2C%22placeholder_product_id%22%3A%221729729730555512511%22%"&amp;"2C%22placeholder_video_id%22%3A%227636990117978197269%22%7D&amp;ec_shared_reflux_scene=shop_tab_feed&amp;share_item_id=7636990117978197269&amp;source=h5_t")</f>
        <v>https://www.tiktok.com/@berkah.glosir/video/7636990117978197269?_r=1&amp;u_code=e4hbm162fcgeg9&amp;region=&amp;mid=7507772951459432464&amp;preview_pb=0&amp;sharer_language=&amp;_d=0&amp;ec_shared_reflux_dynamic_params=%7B%22placeholder_material_id%22%3A%227636990117978197269%22%2C%22placeholder_origin_cover%22%3A%22https%253A%252F%252Fp16-common-sign.tiktokcdn.com%252Ftos-alisg-p-0037%252FoQIE80LCTAw7rwIC67IAbiiAKCBi7fBLyPKDiu~tplv-tiktokx-origin.jpeg%253Fdr%253D14572%2526refresh_token%253Dcfc67bb2%2526x-expires%253D1810116000%2526x-signature%253D0NAPwS2LlqJ3KEh%25252FsR64AKgWToQ%25253D%2526t%253D4d5b0474%2526ps%253D13740610%2526shp%253Dd05b14bd%2526shcp%253D34ff8df6%2526idc%253Dmy2%2526s%253DTIKTOK_AFFILIATE_VIRAL_VIDEO%22%2C%22placeholder_product_id%22%3A%221729729730555512511%22%2C%22placeholder_video_id%22%3A%227636990117978197269%22%7D&amp;ec_shared_reflux_scene=shop_tab_feed&amp;share_item_id=7636990117978197269&amp;source=h5_t</v>
      </c>
    </row>
    <row r="651">
      <c r="A651" s="255" t="str">
        <f>IFERROR(__xludf.DUMMYFUNCTION("""COMPUTED_VALUE"""),"MICRO")</f>
        <v>MICRO</v>
      </c>
      <c r="B651" s="361" t="str">
        <f>IFERROR(__xludf.DUMMYFUNCTION("""COMPUTED_VALUE"""),"elliemarcell")</f>
        <v>elliemarcell</v>
      </c>
      <c r="C651" s="257" t="str">
        <f>IFERROR(__xludf.DUMMYFUNCTION("""COMPUTED_VALUE"""),"https://www.tiktok.com/@elliemarcell")</f>
        <v>https://www.tiktok.com/@elliemarcell</v>
      </c>
      <c r="D651" s="270">
        <f>IFERROR(__xludf.DUMMYFUNCTION("""COMPUTED_VALUE"""),8.1219236644E10)</f>
        <v>81219236644</v>
      </c>
      <c r="E651" s="457">
        <f>IFERROR(__xludf.DUMMYFUNCTION("""COMPUTED_VALUE"""),0.0)</f>
        <v>0</v>
      </c>
      <c r="F651" s="270">
        <f>IFERROR(__xludf.DUMMYFUNCTION("""COMPUTED_VALUE"""),4.0)</f>
        <v>4</v>
      </c>
      <c r="G651" s="17" t="str">
        <f>IFERROR(__xludf.DUMMYFUNCTION("""COMPUTED_VALUE"""),"Sabun batang 1 Box ( 2 PCS )")</f>
        <v>Sabun batang 1 Box ( 2 PCS )</v>
      </c>
      <c r="H651" s="463" t="str">
        <f>IFERROR(__xludf.DUMMYFUNCTION("""COMPUTED_VALUE"""),"Sampai")</f>
        <v>Sampai</v>
      </c>
      <c r="I651" s="464" t="str">
        <f>IFERROR(__xludf.DUMMYFUNCTION("""COMPUTED_VALUE"""),"KIMME")</f>
        <v>KIMME</v>
      </c>
      <c r="J651" s="279" t="str">
        <f>IFERROR(__xludf.DUMMYFUNCTION("""COMPUTED_VALUE"""),"https://www.tiktok.com/@berkah.glosir/video/7636989671297404180?_r=1&amp;u_code=e4hbm162fcgeg9&amp;region=&amp;mid=7624040809125464840&amp;preview_pb=0&amp;sharer_language=&amp;_d=0&amp;ec_shared_reflux_dynamic_params=%7B%22placeholder_material_id%22%3A%227636989671297404180%22%2C%2"&amp;"2placeholder_origin_cover%22%3A%22https%253A%252F%252Fp16-common-sign.tiktokcdn.com%252Ftos-alisg-p-0037%252FoEAIvfEvCFtsAC41kThkjtACjEQWfDYDQ4E26e~tplv-tiktokx-origin.jpeg%253Fdr%253D14572%2526refresh_token%253D1d4481af%2526x-expires%253D1810116000%2526x"&amp;"-signature%253DALxuNuxYwiasUSEVWbDHExhkpMY%25253D%2526t%253D4d5b0474%2526ps%253D13740610%2526shp%253Dd05b14bd%2526shcp%253D34ff8df6%2526idc%253Dmy2%2526s%253DTIKTOK_AFFILIATE_VIRAL_VIDEO%22%2C%22placeholder_product_id%22%3A%221729729730555512511%22%2C%22p"&amp;"laceholder_video_id%22%3A%227636989671297404180%22%7D&amp;ec_shared_reflux_scene=shop_tab_feed&amp;share_item_id=7636989671297404180&amp;source=h5_t")</f>
        <v>https://www.tiktok.com/@berkah.glosir/video/7636989671297404180?_r=1&amp;u_code=e4hbm162fcgeg9&amp;region=&amp;mid=7624040809125464840&amp;preview_pb=0&amp;sharer_language=&amp;_d=0&amp;ec_shared_reflux_dynamic_params=%7B%22placeholder_material_id%22%3A%227636989671297404180%22%2C%22placeholder_origin_cover%22%3A%22https%253A%252F%252Fp16-common-sign.tiktokcdn.com%252Ftos-alisg-p-0037%252FoEAIvfEvCFtsAC41kThkjtACjEQWfDYDQ4E26e~tplv-tiktokx-origin.jpeg%253Fdr%253D14572%2526refresh_token%253D1d4481af%2526x-expires%253D1810116000%2526x-signature%253DALxuNuxYwiasUSEVWbDHExhkpMY%25253D%2526t%253D4d5b0474%2526ps%253D13740610%2526shp%253Dd05b14bd%2526shcp%253D34ff8df6%2526idc%253Dmy2%2526s%253DTIKTOK_AFFILIATE_VIRAL_VIDEO%22%2C%22placeholder_product_id%22%3A%221729729730555512511%22%2C%22placeholder_video_id%22%3A%227636989671297404180%22%7D&amp;ec_shared_reflux_scene=shop_tab_feed&amp;share_item_id=7636989671297404180&amp;source=h5_t</v>
      </c>
      <c r="K651" s="464" t="str">
        <f>IFERROR(__xludf.DUMMYFUNCTION("""COMPUTED_VALUE"""),"KIMME")</f>
        <v>KIMME</v>
      </c>
      <c r="L651" s="279" t="str">
        <f>IFERROR(__xludf.DUMMYFUNCTION("""COMPUTED_VALUE"""),"https://www.tiktok.com/@berkah.glosir/video/7636986505168243988?_r=1&amp;u_code=e4hbm162fcgeg9&amp;region=&amp;mid=7631905035121395728&amp;preview_pb=0&amp;sharer_language=&amp;_d=0&amp;ec_shared_reflux_dynamic_params=%7B%22placeholder_material_id%22%3A%227636986505168243988%22%2C%2"&amp;"2placeholder_origin_cover%22%3A%22https%253A%252F%252Fp16-common-sign.tiktokcdn.com%252Ftos-alisg-p-0037%252Fo8f8jA42TI46IqDmBCfFBPaEIHDBNFAwqAfotU~tplv-tiktokx-origin.jpeg%253Fdr%253D14572%2526refresh_token%253D93bcaca2%2526x-expires%253D1810116000%2526x"&amp;"-signature%253DTDih0cUvx7Rfl5dj3CYNZYJunA0%25253D%2526t%253D4d5b0474%2526ps%253D13740610%2526shp%253Dd05b14bd%2526shcp%253D34ff8df6%2526idc%253Dmy2%2526s%253DTIKTOK_AFFILIATE_VIRAL_VIDEO%22%2C%22placeholder_product_id%22%3A%221729729730555512511%22%2C%22p"&amp;"laceholder_video_id%22%3A%227636986505168243988%22%7D&amp;ec_shared_reflux_scene=shop_tab_feed&amp;share_item_id=7636986505168243988&amp;source=h5_t")</f>
        <v>https://www.tiktok.com/@berkah.glosir/video/7636986505168243988?_r=1&amp;u_code=e4hbm162fcgeg9&amp;region=&amp;mid=7631905035121395728&amp;preview_pb=0&amp;sharer_language=&amp;_d=0&amp;ec_shared_reflux_dynamic_params=%7B%22placeholder_material_id%22%3A%227636986505168243988%22%2C%22placeholder_origin_cover%22%3A%22https%253A%252F%252Fp16-common-sign.tiktokcdn.com%252Ftos-alisg-p-0037%252Fo8f8jA42TI46IqDmBCfFBPaEIHDBNFAwqAfotU~tplv-tiktokx-origin.jpeg%253Fdr%253D14572%2526refresh_token%253D93bcaca2%2526x-expires%253D1810116000%2526x-signature%253DTDih0cUvx7Rfl5dj3CYNZYJunA0%25253D%2526t%253D4d5b0474%2526ps%253D13740610%2526shp%253Dd05b14bd%2526shcp%253D34ff8df6%2526idc%253Dmy2%2526s%253DTIKTOK_AFFILIATE_VIRAL_VIDEO%22%2C%22placeholder_product_id%22%3A%221729729730555512511%22%2C%22placeholder_video_id%22%3A%227636986505168243988%22%7D&amp;ec_shared_reflux_scene=shop_tab_feed&amp;share_item_id=7636986505168243988&amp;source=h5_t</v>
      </c>
      <c r="M651" s="464"/>
      <c r="N651" s="279" t="str">
        <f>IFERROR(__xludf.DUMMYFUNCTION("""COMPUTED_VALUE"""),"https://www.tiktok.com/@berkah.glosir/video/7636985629804432661?_r=1&amp;u_code=e4hbm162fcgeg9&amp;region=&amp;mid=7611130127291779856&amp;preview_pb=0&amp;sharer_language=&amp;_d=0&amp;ec_shared_reflux_dynamic_params=%7B%22placeholder_material_id%22%3A%227636985629804432661%22%2C%2"&amp;"2placeholder_origin_cover%22%3A%22https%253A%252F%252Fp16-common-sign.tiktokcdn.com%252Ftos-alisg-p-0037%252FoQbDUgDVFDNEfB828jtNACeIIvuII4CfATAN5E~tplv-tiktokx-origin.jpeg%253Fdr%253D14572%2526refresh_token%253De9ffae9d%2526x-expires%253D1810116000%2526x"&amp;"-signature%253DpM0KvoPUHZr1cewsPyq6imytbQs%25253D%2526t%253D4d5b0474%2526ps%253D13740610%2526shp%253Dd05b14bd%2526shcp%253D34ff8df6%2526idc%253Dmy2%2526s%253DTIKTOK_AFFILIATE_VIRAL_VIDEO%22%2C%22placeholder_product_id%22%3A%221729729730555512511%22%2C%22p"&amp;"laceholder_video_id%22%3A%227636985629804432661%22%7D&amp;ec_shared_reflux_scene=shop_tab_feed&amp;share_item_id=7636985629804432661&amp;source=h5_t")</f>
        <v>https://www.tiktok.com/@berkah.glosir/video/7636985629804432661?_r=1&amp;u_code=e4hbm162fcgeg9&amp;region=&amp;mid=7611130127291779856&amp;preview_pb=0&amp;sharer_language=&amp;_d=0&amp;ec_shared_reflux_dynamic_params=%7B%22placeholder_material_id%22%3A%227636985629804432661%22%2C%22placeholder_origin_cover%22%3A%22https%253A%252F%252Fp16-common-sign.tiktokcdn.com%252Ftos-alisg-p-0037%252FoQbDUgDVFDNEfB828jtNACeIIvuII4CfATAN5E~tplv-tiktokx-origin.jpeg%253Fdr%253D14572%2526refresh_token%253De9ffae9d%2526x-expires%253D1810116000%2526x-signature%253DpM0KvoPUHZr1cewsPyq6imytbQs%25253D%2526t%253D4d5b0474%2526ps%253D13740610%2526shp%253Dd05b14bd%2526shcp%253D34ff8df6%2526idc%253Dmy2%2526s%253DTIKTOK_AFFILIATE_VIRAL_VIDEO%22%2C%22placeholder_product_id%22%3A%221729729730555512511%22%2C%22placeholder_video_id%22%3A%227636985629804432661%22%7D&amp;ec_shared_reflux_scene=shop_tab_feed&amp;share_item_id=7636985629804432661&amp;source=h5_t</v>
      </c>
      <c r="O651" s="464"/>
      <c r="P651" s="279" t="str">
        <f>IFERROR(__xludf.DUMMYFUNCTION("""COMPUTED_VALUE"""),"https://www.tiktok.com/@berkah.glosir/video/7636985629804432661?_d=0&amp;_r=1&amp;ec_shared_reflux_dynamic_params=%7B%22placeholder_material_id%22%3A%227636985629804432661%22%2C%22placeholder_origin_cover%22%3A%22https%253A%252F%252Fp16-common-sign.tiktokcdn.com%"&amp;"252Ftos-alisg-p-0037%252FoQbDUgDVFDNEfB828jtNACeIIvuII4CfATAN5E~tplv-tiktokx-origin.jpeg%253Fdr%253D14572%2526refresh_token%253De9ffae9d%2526x-expires%253D1810116000%2526x-signature%253DpM0KvoPUHZr1cewsPyq6imytbQs%25253D%2526t%253D4d5b0474%2526ps%253D1374"&amp;"0610%2526shp%253Dd05b14bd%2526shcp%253D34ff8df6%2526idc%253Dmy2%2526s%253DTIKTOK_AFFILIATE_VIRAL_VIDEO%22%2C%22placeholder_product_id%22%3A%221729729730555512511%22%2C%22placeholder_video_id%22%3A%227636985629804432661%22%7D&amp;ec_shared_reflux_scene=shop_ta"&amp;"b_feed&amp;mid=7611130127291779856&amp;preview_pb=0&amp;region=&amp;share_item_id=7636985629804432661&amp;sharer_language=&amp;source=h5_t&amp;u_code=e4hbm162fcgeg9")</f>
        <v>https://www.tiktok.com/@berkah.glosir/video/7636985629804432661?_d=0&amp;_r=1&amp;ec_shared_reflux_dynamic_params=%7B%22placeholder_material_id%22%3A%227636985629804432661%22%2C%22placeholder_origin_cover%22%3A%22https%253A%252F%252Fp16-common-sign.tiktokcdn.com%252Ftos-alisg-p-0037%252FoQbDUgDVFDNEfB828jtNACeIIvuII4CfATAN5E~tplv-tiktokx-origin.jpeg%253Fdr%253D14572%2526refresh_token%253De9ffae9d%2526x-expires%253D1810116000%2526x-signature%253DpM0KvoPUHZr1cewsPyq6imytbQs%25253D%2526t%253D4d5b0474%2526ps%253D13740610%2526shp%253Dd05b14bd%2526shcp%253D34ff8df6%2526idc%253Dmy2%2526s%253DTIKTOK_AFFILIATE_VIRAL_VIDEO%22%2C%22placeholder_product_id%22%3A%221729729730555512511%22%2C%22placeholder_video_id%22%3A%227636985629804432661%22%7D&amp;ec_shared_reflux_scene=shop_tab_feed&amp;mid=7611130127291779856&amp;preview_pb=0&amp;region=&amp;share_item_id=7636985629804432661&amp;sharer_language=&amp;source=h5_t&amp;u_code=e4hbm162fcgeg9</v>
      </c>
    </row>
    <row r="652">
      <c r="A652" s="255" t="str">
        <f>IFERROR(__xludf.DUMMYFUNCTION("""COMPUTED_VALUE"""),"MICRO")</f>
        <v>MICRO</v>
      </c>
      <c r="B652" s="361" t="str">
        <f>IFERROR(__xludf.DUMMYFUNCTION("""COMPUTED_VALUE"""),"azrfscs")</f>
        <v>azrfscs</v>
      </c>
      <c r="C652" s="257" t="str">
        <f>IFERROR(__xludf.DUMMYFUNCTION("""COMPUTED_VALUE"""),"https://www.tiktok.com/@azrfscs")</f>
        <v>https://www.tiktok.com/@azrfscs</v>
      </c>
      <c r="D652" s="270">
        <f>IFERROR(__xludf.DUMMYFUNCTION("""COMPUTED_VALUE"""),8.5609382793E10)</f>
        <v>85609382793</v>
      </c>
      <c r="E652" s="457">
        <f>IFERROR(__xludf.DUMMYFUNCTION("""COMPUTED_VALUE"""),0.0)</f>
        <v>0</v>
      </c>
      <c r="F652" s="270">
        <f>IFERROR(__xludf.DUMMYFUNCTION("""COMPUTED_VALUE"""),2.0)</f>
        <v>2</v>
      </c>
      <c r="G652" s="17" t="str">
        <f>IFERROR(__xludf.DUMMYFUNCTION("""COMPUTED_VALUE"""),"Sabun batang 1 Box ( 2 PCS )")</f>
        <v>Sabun batang 1 Box ( 2 PCS )</v>
      </c>
      <c r="H652" s="463" t="str">
        <f>IFERROR(__xludf.DUMMYFUNCTION("""COMPUTED_VALUE"""),"Sampai")</f>
        <v>Sampai</v>
      </c>
      <c r="I652" s="464" t="str">
        <f>IFERROR(__xludf.DUMMYFUNCTION("""COMPUTED_VALUE"""),"KIMME")</f>
        <v>KIMME</v>
      </c>
      <c r="J652" s="279" t="str">
        <f>IFERROR(__xludf.DUMMYFUNCTION("""COMPUTED_VALUE"""),"https://vt.tiktok.com/ZS9NmD8yb/")</f>
        <v>https://vt.tiktok.com/ZS9NmD8yb/</v>
      </c>
      <c r="K652" s="464" t="str">
        <f>IFERROR(__xludf.DUMMYFUNCTION("""COMPUTED_VALUE"""),"KIMME")</f>
        <v>KIMME</v>
      </c>
      <c r="L652" s="279" t="str">
        <f>IFERROR(__xludf.DUMMYFUNCTION("""COMPUTED_VALUE"""),"https://www.tiktok.com/@berkah.glosir/video/7636983305170193684?_r=1&amp;u_code=e4hbm162fcgeg9&amp;region=&amp;mid=7604121927885359105&amp;preview_pb=0&amp;sharer_language=&amp;_d=0&amp;ec_shared_reflux_dynamic_params=%7B%22placeholder_material_id%22%3A%227636983305170193684%22%2C%2"&amp;"2placeholder_origin_cover%22%3A%22https%253A%252F%252Fp16-common-sign.tiktokcdn.com%252Ftos-alisg-p-0037%252FoYQ4QDD3jBpfA8DTIFPrfRzmgPpIbEqA4iAeCC~tplv-tiktokx-origin.jpeg%253Fdr%253D14572%2526refresh_token%253D5827fd7a%2526x-expires%253D1810116000%2526x"&amp;"-signature%253DZzA%25252BIhudE%25252B%25252FRtZEi7lCRfRoleKo%25253D%2526t%253D4d5b0474%2526ps%253D13740610%2526shp%253Dd05b14bd%2526shcp%253D34ff8df6%2526idc%253Dmy2%2526s%253DTIKTOK_AFFILIATE_VIRAL_VIDEO%22%2C%22placeholder_product_id%22%3A%2217297297305"&amp;"55512511%22%2C%22placeholder_video_id%22%3A%227636983305170193684%22%7D&amp;ec_shared_reflux_scene=shop_tab_feed&amp;share_item_id=7636983305170193684&amp;source=h5_t")</f>
        <v>https://www.tiktok.com/@berkah.glosir/video/7636983305170193684?_r=1&amp;u_code=e4hbm162fcgeg9&amp;region=&amp;mid=7604121927885359105&amp;preview_pb=0&amp;sharer_language=&amp;_d=0&amp;ec_shared_reflux_dynamic_params=%7B%22placeholder_material_id%22%3A%227636983305170193684%22%2C%22placeholder_origin_cover%22%3A%22https%253A%252F%252Fp16-common-sign.tiktokcdn.com%252Ftos-alisg-p-0037%252FoYQ4QDD3jBpfA8DTIFPrfRzmgPpIbEqA4iAeCC~tplv-tiktokx-origin.jpeg%253Fdr%253D14572%2526refresh_token%253D5827fd7a%2526x-expires%253D1810116000%2526x-signature%253DZzA%25252BIhudE%25252B%25252FRtZEi7lCRfRoleKo%25253D%2526t%253D4d5b0474%2526ps%253D13740610%2526shp%253Dd05b14bd%2526shcp%253D34ff8df6%2526idc%253Dmy2%2526s%253DTIKTOK_AFFILIATE_VIRAL_VIDEO%22%2C%22placeholder_product_id%22%3A%221729729730555512511%22%2C%22placeholder_video_id%22%3A%227636983305170193684%22%7D&amp;ec_shared_reflux_scene=shop_tab_feed&amp;share_item_id=7636983305170193684&amp;source=h5_t</v>
      </c>
      <c r="M652" s="464"/>
      <c r="N652" s="279" t="str">
        <f>IFERROR(__xludf.DUMMYFUNCTION("""COMPUTED_VALUE"""),"https://www.tiktok.com/@berkah.glosir/video/7636568884195134741?_d=0&amp;_r=1&amp;ec_shared_reflux_dynamic_params=%7B%22placeholder_material_id%22%3A%227636568884195134741%22%2C%22placeholder_origin_cover%22%3A%22https%253A%252F%252Fp16-common-sign.tiktokcdn.com%"&amp;"252Ftos-alisg-p-0037%252FoIBIRTF9bIDLexCASmlAfeEcT6I7j3WD4KvRiC~tplv-tiktokx-origin.jpeg%253Fdr%253D14572%2526refresh_token%253D95cf9328%2526x-expires%253D1810116000%2526x-signature%253DKZi3k06J3wCq1WFoSjmucOy739c%25253D%2526t%253D4d5b0474%2526ps%253D1374"&amp;"0610%2526shp%253Dd05b14bd%2526shcp%253D34ff8df6%2526idc%253Dmy2%2526s%253DTIKTOK_AFFILIATE_VIRAL_VIDEO%22%2C%22placeholder_product_id%22%3A%221729729730555512511%22%2C%22placeholder_video_id%22%3A%227636568884195134741%22%7D&amp;ec_shared_reflux_scene=shop_ta"&amp;"b_feed&amp;mid=7592932992264276756&amp;preview_pb=0&amp;region=&amp;share_item_id=7636568884195134741&amp;sharer_language=&amp;source=h5_t&amp;u_code=e4hbm162fcgeg9")</f>
        <v>https://www.tiktok.com/@berkah.glosir/video/7636568884195134741?_d=0&amp;_r=1&amp;ec_shared_reflux_dynamic_params=%7B%22placeholder_material_id%22%3A%227636568884195134741%22%2C%22placeholder_origin_cover%22%3A%22https%253A%252F%252Fp16-common-sign.tiktokcdn.com%252Ftos-alisg-p-0037%252FoIBIRTF9bIDLexCASmlAfeEcT6I7j3WD4KvRiC~tplv-tiktokx-origin.jpeg%253Fdr%253D14572%2526refresh_token%253D95cf9328%2526x-expires%253D1810116000%2526x-signature%253DKZi3k06J3wCq1WFoSjmucOy739c%25253D%2526t%253D4d5b0474%2526ps%253D13740610%2526shp%253Dd05b14bd%2526shcp%253D34ff8df6%2526idc%253Dmy2%2526s%253DTIKTOK_AFFILIATE_VIRAL_VIDEO%22%2C%22placeholder_product_id%22%3A%221729729730555512511%22%2C%22placeholder_video_id%22%3A%227636568884195134741%22%7D&amp;ec_shared_reflux_scene=shop_tab_feed&amp;mid=7592932992264276756&amp;preview_pb=0&amp;region=&amp;share_item_id=7636568884195134741&amp;sharer_language=&amp;source=h5_t&amp;u_code=e4hbm162fcgeg9</v>
      </c>
      <c r="O652" s="464"/>
      <c r="P652" s="279" t="str">
        <f>IFERROR(__xludf.DUMMYFUNCTION("""COMPUTED_VALUE"""),"https://www.tiktok.com/@berkah.glosir/video/7636558990322814229?_r=1&amp;u_code=e4hbm162fcgeg9&amp;region=&amp;mid=7617088734676552456&amp;preview_pb=0&amp;sharer_language=&amp;_d=0&amp;ec_shared_reflux_dynamic_params=%7B%22placeholder_material_id%22%3A%227636558990322814229%22%2C%2"&amp;"2placeholder_origin_cover%22%3A%22https%253A%252F%252Fp16-common-sign.tiktokcdn.com%252Ftos-alisg-p-0037%252FoE0SQ8urMDfTXrkIZqQBQBBf9C4AWZLAzejuNA~tplv-tiktokx-origin.jpeg%253Fdr%253D14572%2526refresh_token%253D6783a032%2526x-expires%253D1810116000%2526x"&amp;"-signature%253DBqtLZqU0jn52Jn9V6C0AaxoJt9I%25253D%2526t%253D4d5b0474%2526ps%253D13740610%2526shp%253Dd05b14bd%2526shcp%253D34ff8df6%2526idc%253Dmy2%2526s%253DTIKTOK_AFFILIATE_VIRAL_VIDEO%22%2C%22placeholder_product_id%22%3A%221729729730555512511%22%2C%22p"&amp;"laceholder_video_id%22%3A%227636558990322814229%22%7D&amp;ec_shared_reflux_scene=shop_tab_feed&amp;share_item_id=7636558990322814229&amp;source=h5_t")</f>
        <v>https://www.tiktok.com/@berkah.glosir/video/7636558990322814229?_r=1&amp;u_code=e4hbm162fcgeg9&amp;region=&amp;mid=7617088734676552456&amp;preview_pb=0&amp;sharer_language=&amp;_d=0&amp;ec_shared_reflux_dynamic_params=%7B%22placeholder_material_id%22%3A%227636558990322814229%22%2C%22placeholder_origin_cover%22%3A%22https%253A%252F%252Fp16-common-sign.tiktokcdn.com%252Ftos-alisg-p-0037%252FoE0SQ8urMDfTXrkIZqQBQBBf9C4AWZLAzejuNA~tplv-tiktokx-origin.jpeg%253Fdr%253D14572%2526refresh_token%253D6783a032%2526x-expires%253D1810116000%2526x-signature%253DBqtLZqU0jn52Jn9V6C0AaxoJt9I%25253D%2526t%253D4d5b0474%2526ps%253D13740610%2526shp%253Dd05b14bd%2526shcp%253D34ff8df6%2526idc%253Dmy2%2526s%253DTIKTOK_AFFILIATE_VIRAL_VIDEO%22%2C%22placeholder_product_id%22%3A%221729729730555512511%22%2C%22placeholder_video_id%22%3A%227636558990322814229%22%7D&amp;ec_shared_reflux_scene=shop_tab_feed&amp;share_item_id=7636558990322814229&amp;source=h5_t</v>
      </c>
    </row>
    <row r="653">
      <c r="A653" s="255" t="str">
        <f>IFERROR(__xludf.DUMMYFUNCTION("""COMPUTED_VALUE"""),"MICRO")</f>
        <v>MICRO</v>
      </c>
      <c r="B653" s="361" t="str">
        <f>IFERROR(__xludf.DUMMYFUNCTION("""COMPUTED_VALUE"""),"mia07024")</f>
        <v>mia07024</v>
      </c>
      <c r="C653" s="257" t="str">
        <f>IFERROR(__xludf.DUMMYFUNCTION("""COMPUTED_VALUE"""),"https://www.tiktok.com/@mia07024")</f>
        <v>https://www.tiktok.com/@mia07024</v>
      </c>
      <c r="D653" s="270">
        <f>IFERROR(__xludf.DUMMYFUNCTION("""COMPUTED_VALUE"""),8.975015E9)</f>
        <v>8975015000</v>
      </c>
      <c r="E653" s="457">
        <f>IFERROR(__xludf.DUMMYFUNCTION("""COMPUTED_VALUE"""),0.0)</f>
        <v>0</v>
      </c>
      <c r="F653" s="270">
        <f>IFERROR(__xludf.DUMMYFUNCTION("""COMPUTED_VALUE"""),2.0)</f>
        <v>2</v>
      </c>
      <c r="G653" s="17" t="str">
        <f>IFERROR(__xludf.DUMMYFUNCTION("""COMPUTED_VALUE"""),"Sabun batang 1 Box ( 2 PCS )")</f>
        <v>Sabun batang 1 Box ( 2 PCS )</v>
      </c>
      <c r="H653" s="463" t="str">
        <f>IFERROR(__xludf.DUMMYFUNCTION("""COMPUTED_VALUE"""),"Sampai")</f>
        <v>Sampai</v>
      </c>
      <c r="I653" s="464" t="str">
        <f>IFERROR(__xludf.DUMMYFUNCTION("""COMPUTED_VALUE"""),"KIMME")</f>
        <v>KIMME</v>
      </c>
      <c r="J653" s="279" t="str">
        <f>IFERROR(__xludf.DUMMYFUNCTION("""COMPUTED_VALUE"""),"https://vt.tiktok.com/ZS9FpB5P4/")</f>
        <v>https://vt.tiktok.com/ZS9FpB5P4/</v>
      </c>
      <c r="K653" s="464" t="str">
        <f>IFERROR(__xludf.DUMMYFUNCTION("""COMPUTED_VALUE"""),"KIMME")</f>
        <v>KIMME</v>
      </c>
      <c r="L653" s="279" t="str">
        <f>IFERROR(__xludf.DUMMYFUNCTION("""COMPUTED_VALUE"""),"https://www.tiktok.com/@berkah.glosir/video/7636558446883622164?_r=1&amp;u_code=e4hbm162fcgeg9&amp;region=&amp;mid=7588521422970407687&amp;preview_pb=0&amp;sharer_language=&amp;_d=0&amp;ec_shared_reflux_dynamic_params=%7B%22placeholder_material_id%22%3A%227636558446883622164%22%2C%2"&amp;"2placeholder_origin_cover%22%3A%22https%253A%252F%252Fp16-common-sign.tiktokcdn.com%252Ftos-alisg-p-0037%252FoYpwcC61vBWIUAiR6B2InX9BrfEkggfDJBgBiy~tplv-tiktokx-origin.jpeg%253Fdr%253D14572%2526refresh_token%253D7ec8d760%2526x-expires%253D1810116000%2526x"&amp;"-signature%253DH%25252FrHgciqDh9pw5uFPHbBrvXXkzM%25253D%2526t%253D4d5b0474%2526ps%253D13740610%2526shp%253Dd05b14bd%2526shcp%253D34ff8df6%2526idc%253Dmy2%2526s%253DTIKTOK_AFFILIATE_VIRAL_VIDEO%22%2C%22placeholder_product_id%22%3A%221729729730555512511%22%"&amp;"2C%22placeholder_video_id%22%3A%227636558446883622164%22%7D&amp;ec_shared_reflux_scene=shop_tab_feed&amp;share_item_id=7636558446883622164&amp;source=h5_t")</f>
        <v>https://www.tiktok.com/@berkah.glosir/video/7636558446883622164?_r=1&amp;u_code=e4hbm162fcgeg9&amp;region=&amp;mid=7588521422970407687&amp;preview_pb=0&amp;sharer_language=&amp;_d=0&amp;ec_shared_reflux_dynamic_params=%7B%22placeholder_material_id%22%3A%227636558446883622164%22%2C%22placeholder_origin_cover%22%3A%22https%253A%252F%252Fp16-common-sign.tiktokcdn.com%252Ftos-alisg-p-0037%252FoYpwcC61vBWIUAiR6B2InX9BrfEkggfDJBgBiy~tplv-tiktokx-origin.jpeg%253Fdr%253D14572%2526refresh_token%253D7ec8d760%2526x-expires%253D1810116000%2526x-signature%253DH%25252FrHgciqDh9pw5uFPHbBrvXXkzM%25253D%2526t%253D4d5b0474%2526ps%253D13740610%2526shp%253Dd05b14bd%2526shcp%253D34ff8df6%2526idc%253Dmy2%2526s%253DTIKTOK_AFFILIATE_VIRAL_VIDEO%22%2C%22placeholder_product_id%22%3A%221729729730555512511%22%2C%22placeholder_video_id%22%3A%227636558446883622164%22%7D&amp;ec_shared_reflux_scene=shop_tab_feed&amp;share_item_id=7636558446883622164&amp;source=h5_t</v>
      </c>
      <c r="M653" s="464"/>
      <c r="N653" s="279" t="str">
        <f>IFERROR(__xludf.DUMMYFUNCTION("""COMPUTED_VALUE"""),"https://www.tiktok.com/@berkah.glosir/video/7636557716361678101?_r=1&amp;u_code=e4hbm162fcgeg9&amp;region=&amp;mid=7580025157356570625&amp;preview_pb=0&amp;sharer_language=&amp;_d=0&amp;ec_shared_reflux_dynamic_params=%7B%22placeholder_material_id%22%3A%227636557716361678101%22%2C%2"&amp;"2placeholder_origin_cover%22%3A%22https%253A%252F%252Fp16-common-sign.tiktokcdn.com%252Ftos-alisg-p-0037%252Fo4QZ1T8IDCoEqAjgr0QAnFEDBADUIeEfBfEaa4~tplv-tiktokx-origin.jpeg%253Fdr%253D14572%2526refresh_token%253Dd899e96a%2526x-expires%253D1810116000%2526x"&amp;"-signature%253DSDuiCOxFn9l%25252BOyDC9etSZJGnJps%25253D%2526t%253D4d5b0474%2526ps%253D13740610%2526shp%253Dd05b14bd%2526shcp%253D34ff8df6%2526idc%253Dmy2%2526s%253DTIKTOK_AFFILIATE_VIRAL_VIDEO%22%2C%22placeholder_product_id%22%3A%221729729730555512511%22%"&amp;"2C%22placeholder_video_id%22%3A%227636557716361678101%22%7D&amp;ec_shared_reflux_scene=shop_tab_feed&amp;share_item_id=7636557716361678101&amp;source=h5_t")</f>
        <v>https://www.tiktok.com/@berkah.glosir/video/7636557716361678101?_r=1&amp;u_code=e4hbm162fcgeg9&amp;region=&amp;mid=7580025157356570625&amp;preview_pb=0&amp;sharer_language=&amp;_d=0&amp;ec_shared_reflux_dynamic_params=%7B%22placeholder_material_id%22%3A%227636557716361678101%22%2C%22placeholder_origin_cover%22%3A%22https%253A%252F%252Fp16-common-sign.tiktokcdn.com%252Ftos-alisg-p-0037%252Fo4QZ1T8IDCoEqAjgr0QAnFEDBADUIeEfBfEaa4~tplv-tiktokx-origin.jpeg%253Fdr%253D14572%2526refresh_token%253Dd899e96a%2526x-expires%253D1810116000%2526x-signature%253DSDuiCOxFn9l%25252BOyDC9etSZJGnJps%25253D%2526t%253D4d5b0474%2526ps%253D13740610%2526shp%253Dd05b14bd%2526shcp%253D34ff8df6%2526idc%253Dmy2%2526s%253DTIKTOK_AFFILIATE_VIRAL_VIDEO%22%2C%22placeholder_product_id%22%3A%221729729730555512511%22%2C%22placeholder_video_id%22%3A%227636557716361678101%22%7D&amp;ec_shared_reflux_scene=shop_tab_feed&amp;share_item_id=7636557716361678101&amp;source=h5_t</v>
      </c>
      <c r="O653" s="464"/>
      <c r="P653" s="279" t="str">
        <f>IFERROR(__xludf.DUMMYFUNCTION("""COMPUTED_VALUE"""),"https://www.tiktok.com/@berkah.glosir/video/7636557123224194325?_r=1&amp;u_code=e4hbm162fcgeg9&amp;region=&amp;mid=7606071400499628049&amp;preview_pb=0&amp;sharer_language=&amp;_d=0&amp;ec_shared_reflux_dynamic_params=%7B%22placeholder_material_id%22%3A%227636557123224194325%22%2C%2"&amp;"2placeholder_origin_cover%22%3A%22https%253A%252F%252Fp16-common-sign.tiktokcdn.com%252Ftos-alisg-p-0037%252Fo0EDKATQ1cYDLC0AAg4IofEeFIAjPDe0wkk4XQ~tplv-tiktokx-origin.jpeg%253Fdr%253D14572%2526refresh_token%253De722bfd5%2526x-expires%253D1810116000%2526x"&amp;"-signature%253DqGQk8cglQEQPdSB%25252BKhj5qRJqLO0%25253D%2526t%253D4d5b0474%2526ps%253D13740610%2526shp%253Dd05b14bd%2526shcp%253D34ff8df6%2526idc%253Dmy2%2526s%253DTIKTOK_AFFILIATE_VIRAL_VIDEO%22%2C%22placeholder_product_id%22%3A%221729729730555512511%22%"&amp;"2C%22placeholder_video_id%22%3A%227636557123224194325%22%7D&amp;ec_shared_reflux_scene=shop_tab_feed&amp;share_item_id=7636557123224194325&amp;source=h5_t")</f>
        <v>https://www.tiktok.com/@berkah.glosir/video/7636557123224194325?_r=1&amp;u_code=e4hbm162fcgeg9&amp;region=&amp;mid=7606071400499628049&amp;preview_pb=0&amp;sharer_language=&amp;_d=0&amp;ec_shared_reflux_dynamic_params=%7B%22placeholder_material_id%22%3A%227636557123224194325%22%2C%22placeholder_origin_cover%22%3A%22https%253A%252F%252Fp16-common-sign.tiktokcdn.com%252Ftos-alisg-p-0037%252Fo0EDKATQ1cYDLC0AAg4IofEeFIAjPDe0wkk4XQ~tplv-tiktokx-origin.jpeg%253Fdr%253D14572%2526refresh_token%253De722bfd5%2526x-expires%253D1810116000%2526x-signature%253DqGQk8cglQEQPdSB%25252BKhj5qRJqLO0%25253D%2526t%253D4d5b0474%2526ps%253D13740610%2526shp%253Dd05b14bd%2526shcp%253D34ff8df6%2526idc%253Dmy2%2526s%253DTIKTOK_AFFILIATE_VIRAL_VIDEO%22%2C%22placeholder_product_id%22%3A%221729729730555512511%22%2C%22placeholder_video_id%22%3A%227636557123224194325%22%7D&amp;ec_shared_reflux_scene=shop_tab_feed&amp;share_item_id=7636557123224194325&amp;source=h5_t</v>
      </c>
    </row>
    <row r="654">
      <c r="A654" s="255" t="str">
        <f>IFERROR(__xludf.DUMMYFUNCTION("""COMPUTED_VALUE"""),"MICRO")</f>
        <v>MICRO</v>
      </c>
      <c r="B654" s="361" t="str">
        <f>IFERROR(__xludf.DUMMYFUNCTION("""COMPUTED_VALUE"""),"chelshopp")</f>
        <v>chelshopp</v>
      </c>
      <c r="C654" s="257" t="str">
        <f>IFERROR(__xludf.DUMMYFUNCTION("""COMPUTED_VALUE"""),"https://www.tiktok.com/@chelshopp")</f>
        <v>https://www.tiktok.com/@chelshopp</v>
      </c>
      <c r="D654" s="270">
        <f>IFERROR(__xludf.DUMMYFUNCTION("""COMPUTED_VALUE"""),8.1639444E8)</f>
        <v>816394440</v>
      </c>
      <c r="E654" s="457">
        <f>IFERROR(__xludf.DUMMYFUNCTION("""COMPUTED_VALUE"""),0.0)</f>
        <v>0</v>
      </c>
      <c r="F654" s="270">
        <f>IFERROR(__xludf.DUMMYFUNCTION("""COMPUTED_VALUE"""),2.0)</f>
        <v>2</v>
      </c>
      <c r="G654" s="17" t="str">
        <f>IFERROR(__xludf.DUMMYFUNCTION("""COMPUTED_VALUE"""),"Sabun batang 1 Box ( 2 PCS )")</f>
        <v>Sabun batang 1 Box ( 2 PCS )</v>
      </c>
      <c r="H654" s="463" t="str">
        <f>IFERROR(__xludf.DUMMYFUNCTION("""COMPUTED_VALUE"""),"Sampai")</f>
        <v>Sampai</v>
      </c>
      <c r="I654" s="464" t="str">
        <f>IFERROR(__xludf.DUMMYFUNCTION("""COMPUTED_VALUE"""),"KIMME")</f>
        <v>KIMME</v>
      </c>
      <c r="J654" s="279" t="str">
        <f>IFERROR(__xludf.DUMMYFUNCTION("""COMPUTED_VALUE"""),"https://vt.tiktok.com/ZS9Fd8Y1u/")</f>
        <v>https://vt.tiktok.com/ZS9Fd8Y1u/</v>
      </c>
      <c r="K654" s="464" t="str">
        <f>IFERROR(__xludf.DUMMYFUNCTION("""COMPUTED_VALUE"""),"KIMME")</f>
        <v>KIMME</v>
      </c>
      <c r="L654" s="279" t="str">
        <f>IFERROR(__xludf.DUMMYFUNCTION("""COMPUTED_VALUE"""),"https://www.tiktok.com/@berkah.glosir/video/7636556382728146197?_r=1&amp;u_code=e4hbm162fcgeg9&amp;region=&amp;mid=7507772951459383312&amp;preview_pb=0&amp;sharer_language=&amp;_d=0&amp;ec_shared_reflux_dynamic_params=%7B%22placeholder_material_id%22%3A%227636556382728146197%22%2C%2"&amp;"2placeholder_origin_cover%22%3A%22https%253A%252F%252Fp16-common-sign.tiktokcdn.com%252Ftos-alisg-p-0037%252Fo4PfBpOiAYgmNA3UZf4L4u0e0MgLnAAjNf0ieS~tplv-tiktokx-origin.jpeg%253Fdr%253D14572%2526refresh_token%253De41f6a02%2526x-expires%253D1810116000%2526x"&amp;"-signature%253Dp%25252B8DO5q9Ize%25252B1ue5ttdM1cq0IP8%25253D%2526t%253D4d5b0474%2526ps%253D13740610%2526shp%253Dd05b14bd%2526shcp%253D34ff8df6%2526idc%253Dmy2%2526s%253DTIKTOK_AFFILIATE_VIRAL_VIDEO%22%2C%22placeholder_product_id%22%3A%2217297297305555125"&amp;"11%22%2C%22placeholder_video_id%22%3A%227636556382728146197%22%7D&amp;ec_shared_reflux_scene=shop_tab_feed&amp;share_item_id=7636556382728146197&amp;source=h5_t")</f>
        <v>https://www.tiktok.com/@berkah.glosir/video/7636556382728146197?_r=1&amp;u_code=e4hbm162fcgeg9&amp;region=&amp;mid=7507772951459383312&amp;preview_pb=0&amp;sharer_language=&amp;_d=0&amp;ec_shared_reflux_dynamic_params=%7B%22placeholder_material_id%22%3A%227636556382728146197%22%2C%22placeholder_origin_cover%22%3A%22https%253A%252F%252Fp16-common-sign.tiktokcdn.com%252Ftos-alisg-p-0037%252Fo4PfBpOiAYgmNA3UZf4L4u0e0MgLnAAjNf0ieS~tplv-tiktokx-origin.jpeg%253Fdr%253D14572%2526refresh_token%253De41f6a02%2526x-expires%253D1810116000%2526x-signature%253Dp%25252B8DO5q9Ize%25252B1ue5ttdM1cq0IP8%25253D%2526t%253D4d5b0474%2526ps%253D13740610%2526shp%253Dd05b14bd%2526shcp%253D34ff8df6%2526idc%253Dmy2%2526s%253DTIKTOK_AFFILIATE_VIRAL_VIDEO%22%2C%22placeholder_product_id%22%3A%221729729730555512511%22%2C%22placeholder_video_id%22%3A%227636556382728146197%22%7D&amp;ec_shared_reflux_scene=shop_tab_feed&amp;share_item_id=7636556382728146197&amp;source=h5_t</v>
      </c>
      <c r="M654" s="464"/>
      <c r="N654" s="279" t="str">
        <f>IFERROR(__xludf.DUMMYFUNCTION("""COMPUTED_VALUE"""),"https://www.tiktok.com/@berkah.glosir/video/7636555669684047124?_r=1&amp;u_code=e4hbm162fcgeg9&amp;region=&amp;mid=7597435345913317393&amp;preview_pb=0&amp;sharer_language=&amp;_d=0&amp;ec_shared_reflux_dynamic_params=%7B%22placeholder_material_id%22%3A%227636555669684047124%22%2C%2"&amp;"2placeholder_origin_cover%22%3A%22https%253A%252F%252Fp16-common-sign.tiktokcdn.com%252Ftos-alisg-p-0037%252FoY1nQU4jzIpnIvD0DsAFTevYQffOTSEC4D7q0A~tplv-tiktokx-origin.jpeg%253Fdr%253D14572%2526refresh_token%253Dd699b190%2526x-expires%253D1810116000%2526x"&amp;"-signature%253DhDwHV0Wd1ELqTkPg6AAI4pHEzyw%25253D%2526t%253D4d5b0474%2526ps%253D13740610%2526shp%253Dd05b14bd%2526shcp%253D34ff8df6%2526idc%253Dmy2%2526s%253DTIKTOK_AFFILIATE_VIRAL_VIDEO%22%2C%22placeholder_product_id%22%3A%221729729730555512511%22%2C%22p"&amp;"laceholder_video_id%22%3A%227636555669684047124%22%7D&amp;ec_shared_reflux_scene=shop_tab_feed&amp;share_item_id=7636555669684047124&amp;source=h5_t")</f>
        <v>https://www.tiktok.com/@berkah.glosir/video/7636555669684047124?_r=1&amp;u_code=e4hbm162fcgeg9&amp;region=&amp;mid=7597435345913317393&amp;preview_pb=0&amp;sharer_language=&amp;_d=0&amp;ec_shared_reflux_dynamic_params=%7B%22placeholder_material_id%22%3A%227636555669684047124%22%2C%22placeholder_origin_cover%22%3A%22https%253A%252F%252Fp16-common-sign.tiktokcdn.com%252Ftos-alisg-p-0037%252FoY1nQU4jzIpnIvD0DsAFTevYQffOTSEC4D7q0A~tplv-tiktokx-origin.jpeg%253Fdr%253D14572%2526refresh_token%253Dd699b190%2526x-expires%253D1810116000%2526x-signature%253DhDwHV0Wd1ELqTkPg6AAI4pHEzyw%25253D%2526t%253D4d5b0474%2526ps%253D13740610%2526shp%253Dd05b14bd%2526shcp%253D34ff8df6%2526idc%253Dmy2%2526s%253DTIKTOK_AFFILIATE_VIRAL_VIDEO%22%2C%22placeholder_product_id%22%3A%221729729730555512511%22%2C%22placeholder_video_id%22%3A%227636555669684047124%22%7D&amp;ec_shared_reflux_scene=shop_tab_feed&amp;share_item_id=7636555669684047124&amp;source=h5_t</v>
      </c>
      <c r="O654" s="464"/>
      <c r="P654" s="279" t="str">
        <f>IFERROR(__xludf.DUMMYFUNCTION("""COMPUTED_VALUE"""),"https://www.tiktok.com/@berkah.glosir/video/7636472954167069973?_r=1&amp;u_code=e4hbm162fcgeg9&amp;region=&amp;mid=7620330197195295506&amp;preview_pb=0&amp;sharer_language=&amp;_d=0&amp;ec_shared_reflux_dynamic_params=%7B%22placeholder_material_id%22%3A%227636472954167069973%22%2C%2"&amp;"2placeholder_origin_cover%22%3A%22https%253A%252F%252Fp16-common-sign.tiktokcdn.com%252Ftos-alisg-p-0037%252FokEjQ42fj4GQD9IjEZeTLDFM4zeDb3ADA0tA0C~tplv-tiktokx-origin.jpeg%253Fdr%253D14572%2526refresh_token%253Dbef52cbb%2526x-expires%253D1810116000%2526x"&amp;"-signature%253DSjsML%25252FP3Sf2uRjdLfBgy27r7nDg%25253D%2526t%253D4d5b0474%2526ps%253D13740610%2526shp%253Dd05b14bd%2526shcp%253D34ff8df6%2526idc%253Dmy2%2526s%253DTIKTOK_AFFILIATE_VIRAL_VIDEO%22%2C%22placeholder_product_id%22%3A%221729729730555512511%22%"&amp;"2C%22placeholder_video_id%22%3A%227636472954167069973%22%7D&amp;ec_shared_reflux_scene=shop_tab_feed&amp;share_item_id=7636472954167069973&amp;source=h5_t")</f>
        <v>https://www.tiktok.com/@berkah.glosir/video/7636472954167069973?_r=1&amp;u_code=e4hbm162fcgeg9&amp;region=&amp;mid=7620330197195295506&amp;preview_pb=0&amp;sharer_language=&amp;_d=0&amp;ec_shared_reflux_dynamic_params=%7B%22placeholder_material_id%22%3A%227636472954167069973%22%2C%22placeholder_origin_cover%22%3A%22https%253A%252F%252Fp16-common-sign.tiktokcdn.com%252Ftos-alisg-p-0037%252FokEjQ42fj4GQD9IjEZeTLDFM4zeDb3ADA0tA0C~tplv-tiktokx-origin.jpeg%253Fdr%253D14572%2526refresh_token%253Dbef52cbb%2526x-expires%253D1810116000%2526x-signature%253DSjsML%25252FP3Sf2uRjdLfBgy27r7nDg%25253D%2526t%253D4d5b0474%2526ps%253D13740610%2526shp%253Dd05b14bd%2526shcp%253D34ff8df6%2526idc%253Dmy2%2526s%253DTIKTOK_AFFILIATE_VIRAL_VIDEO%22%2C%22placeholder_product_id%22%3A%221729729730555512511%22%2C%22placeholder_video_id%22%3A%227636472954167069973%22%7D&amp;ec_shared_reflux_scene=shop_tab_feed&amp;share_item_id=7636472954167069973&amp;source=h5_t</v>
      </c>
    </row>
    <row r="655">
      <c r="A655" s="255" t="str">
        <f>IFERROR(__xludf.DUMMYFUNCTION("""COMPUTED_VALUE"""),"MICRO")</f>
        <v>MICRO</v>
      </c>
      <c r="B655" s="361" t="str">
        <f>IFERROR(__xludf.DUMMYFUNCTION("""COMPUTED_VALUE"""),"firamissuu")</f>
        <v>firamissuu</v>
      </c>
      <c r="C655" s="257" t="str">
        <f>IFERROR(__xludf.DUMMYFUNCTION("""COMPUTED_VALUE"""),"https://www.tiktok.com/@firamissuu")</f>
        <v>https://www.tiktok.com/@firamissuu</v>
      </c>
      <c r="D655" s="270">
        <f>IFERROR(__xludf.DUMMYFUNCTION("""COMPUTED_VALUE"""),8.2165242365E10)</f>
        <v>82165242365</v>
      </c>
      <c r="E655" s="457">
        <f>IFERROR(__xludf.DUMMYFUNCTION("""COMPUTED_VALUE"""),0.0)</f>
        <v>0</v>
      </c>
      <c r="F655" s="270">
        <f>IFERROR(__xludf.DUMMYFUNCTION("""COMPUTED_VALUE"""),4.0)</f>
        <v>4</v>
      </c>
      <c r="G655" s="17" t="str">
        <f>IFERROR(__xludf.DUMMYFUNCTION("""COMPUTED_VALUE"""),"Sabun batang 1 Box ( 2 PCS )")</f>
        <v>Sabun batang 1 Box ( 2 PCS )</v>
      </c>
      <c r="H655" s="463" t="str">
        <f>IFERROR(__xludf.DUMMYFUNCTION("""COMPUTED_VALUE"""),"Sampai")</f>
        <v>Sampai</v>
      </c>
      <c r="I655" s="464" t="str">
        <f>IFERROR(__xludf.DUMMYFUNCTION("""COMPUTED_VALUE"""),"KIMME")</f>
        <v>KIMME</v>
      </c>
      <c r="J655" s="279" t="str">
        <f>IFERROR(__xludf.DUMMYFUNCTION("""COMPUTED_VALUE"""),"https://vt.tiktok.com/ZS9FdrWKu/")</f>
        <v>https://vt.tiktok.com/ZS9FdrWKu/</v>
      </c>
      <c r="K655" s="464" t="str">
        <f>IFERROR(__xludf.DUMMYFUNCTION("""COMPUTED_VALUE"""),"KIMME")</f>
        <v>KIMME</v>
      </c>
      <c r="L655" s="279" t="str">
        <f>IFERROR(__xludf.DUMMYFUNCTION("""COMPUTED_VALUE"""),"https://www.tiktok.com/@berkah.glosir/video/7636469404649164052?_r=1&amp;u_code=e4hbm162fcgeg9&amp;region=&amp;mid=7526377439288314641&amp;preview_pb=0&amp;sharer_language=&amp;_d=0&amp;ec_shared_reflux_dynamic_params=%7B%22placeholder_material_id%22%3A%227636469404649164052%22%2C%2"&amp;"2placeholder_origin_cover%22%3A%22https%253A%252F%252Fp16-common-sign.tiktokcdn.com%252Ftos-alisg-p-0037%252FogSAkC4DTCMpfXdFERCjKAIIIDK6fe4AtjIHHp~tplv-tiktokx-origin.jpeg%253Fdr%253D14572%2526refresh_token%253Daa176d38%2526x-expires%253D1810116000%2526x"&amp;"-signature%253D9EzjtqjaeZoPkCYzlyrCWJ2bBE8%25253D%2526t%253D4d5b0474%2526ps%253D13740610%2526shp%253Dd05b14bd%2526shcp%253D34ff8df6%2526idc%253Dmy2%2526s%253DTIKTOK_AFFILIATE_VIRAL_VIDEO%22%2C%22placeholder_product_id%22%3A%221729729730555512511%22%2C%22p"&amp;"laceholder_video_id%22%3A%227636469404649164052%22%7D&amp;ec_shared_reflux_scene=shop_tab_feed&amp;share_item_id=7636469404649164052&amp;source=h5_t")</f>
        <v>https://www.tiktok.com/@berkah.glosir/video/7636469404649164052?_r=1&amp;u_code=e4hbm162fcgeg9&amp;region=&amp;mid=7526377439288314641&amp;preview_pb=0&amp;sharer_language=&amp;_d=0&amp;ec_shared_reflux_dynamic_params=%7B%22placeholder_material_id%22%3A%227636469404649164052%22%2C%22placeholder_origin_cover%22%3A%22https%253A%252F%252Fp16-common-sign.tiktokcdn.com%252Ftos-alisg-p-0037%252FogSAkC4DTCMpfXdFERCjKAIIIDK6fe4AtjIHHp~tplv-tiktokx-origin.jpeg%253Fdr%253D14572%2526refresh_token%253Daa176d38%2526x-expires%253D1810116000%2526x-signature%253D9EzjtqjaeZoPkCYzlyrCWJ2bBE8%25253D%2526t%253D4d5b0474%2526ps%253D13740610%2526shp%253Dd05b14bd%2526shcp%253D34ff8df6%2526idc%253Dmy2%2526s%253DTIKTOK_AFFILIATE_VIRAL_VIDEO%22%2C%22placeholder_product_id%22%3A%221729729730555512511%22%2C%22placeholder_video_id%22%3A%227636469404649164052%22%7D&amp;ec_shared_reflux_scene=shop_tab_feed&amp;share_item_id=7636469404649164052&amp;source=h5_t</v>
      </c>
      <c r="M655" s="464" t="str">
        <f>IFERROR(__xludf.DUMMYFUNCTION("""COMPUTED_VALUE"""),"KIMME")</f>
        <v>KIMME</v>
      </c>
      <c r="N655" s="279" t="str">
        <f>IFERROR(__xludf.DUMMYFUNCTION("""COMPUTED_VALUE"""),"https://vt.tiktok.com/ZS9NRasbY/")</f>
        <v>https://vt.tiktok.com/ZS9NRasbY/</v>
      </c>
      <c r="O655" s="464" t="str">
        <f>IFERROR(__xludf.DUMMYFUNCTION("""COMPUTED_VALUE"""),"KIMME")</f>
        <v>KIMME</v>
      </c>
      <c r="P655" s="279" t="str">
        <f>IFERROR(__xludf.DUMMYFUNCTION("""COMPUTED_VALUE"""),"https://vt.tiktok.com/ZS9Ndjhyu/")</f>
        <v>https://vt.tiktok.com/ZS9Ndjhyu/</v>
      </c>
    </row>
    <row r="656">
      <c r="A656" s="255" t="str">
        <f>IFERROR(__xludf.DUMMYFUNCTION("""COMPUTED_VALUE"""),"MICRO")</f>
        <v>MICRO</v>
      </c>
      <c r="B656" s="361" t="str">
        <f>IFERROR(__xludf.DUMMYFUNCTION("""COMPUTED_VALUE"""),"taa0205")</f>
        <v>taa0205</v>
      </c>
      <c r="C656" s="257" t="str">
        <f>IFERROR(__xludf.DUMMYFUNCTION("""COMPUTED_VALUE"""),"https://www.tiktok.com/@taa0205")</f>
        <v>https://www.tiktok.com/@taa0205</v>
      </c>
      <c r="D656" s="270">
        <f>IFERROR(__xludf.DUMMYFUNCTION("""COMPUTED_VALUE"""),8.5334081345E10)</f>
        <v>85334081345</v>
      </c>
      <c r="E656" s="457">
        <f>IFERROR(__xludf.DUMMYFUNCTION("""COMPUTED_VALUE"""),0.0)</f>
        <v>0</v>
      </c>
      <c r="F656" s="270">
        <f>IFERROR(__xludf.DUMMYFUNCTION("""COMPUTED_VALUE"""),4.0)</f>
        <v>4</v>
      </c>
      <c r="G656" s="17" t="str">
        <f>IFERROR(__xludf.DUMMYFUNCTION("""COMPUTED_VALUE"""),"Sabun batang 1 Box ( 2 PCS )")</f>
        <v>Sabun batang 1 Box ( 2 PCS )</v>
      </c>
      <c r="H656" s="463" t="str">
        <f>IFERROR(__xludf.DUMMYFUNCTION("""COMPUTED_VALUE"""),"Sampai")</f>
        <v>Sampai</v>
      </c>
      <c r="I656" s="464" t="str">
        <f>IFERROR(__xludf.DUMMYFUNCTION("""COMPUTED_VALUE"""),"KIMME")</f>
        <v>KIMME</v>
      </c>
      <c r="J656" s="279" t="str">
        <f>IFERROR(__xludf.DUMMYFUNCTION("""COMPUTED_VALUE"""),"https://vt.tiktok.com/ZS9NJEmB9/")</f>
        <v>https://vt.tiktok.com/ZS9NJEmB9/</v>
      </c>
      <c r="K656" s="464" t="str">
        <f>IFERROR(__xludf.DUMMYFUNCTION("""COMPUTED_VALUE"""),"KIMME")</f>
        <v>KIMME</v>
      </c>
      <c r="L656" s="279" t="str">
        <f>IFERROR(__xludf.DUMMYFUNCTION("""COMPUTED_VALUE"""),"https://www.tiktok.com/@berkah.glosir/video/7636470323394694420?_r=1&amp;u_code=e4hbm162fcgeg9&amp;region=&amp;mid=7626899689086520072&amp;preview_pb=0&amp;sharer_language=&amp;_d=0&amp;ec_shared_reflux_dynamic_params=%7B%22placeholder_material_id%22%3A%227636470323394694420%22%2C%2"&amp;"2placeholder_origin_cover%22%3A%22https%253A%252F%252Fp16-common-sign.tiktokcdn.com%252Ftos-alisg-p-0037%252FosuDSFTQ0PnGoCUYAV4qGeINLIAjHC9eeclh4Q~tplv-tiktokx-origin.jpeg%253Fdr%253D14572%2526refresh_token%253D3614de57%2526x-expires%253D1810116000%2526x"&amp;"-signature%253DGb7KUJrfsuLXBEQ2QOFnMdtykvU%25253D%2526t%253D4d5b0474%2526ps%253D13740610%2526shp%253Dd05b14bd%2526shcp%253D34ff8df6%2526idc%253Dmy2%2526s%253DTIKTOK_AFFILIATE_VIRAL_VIDEO%22%2C%22placeholder_product_id%22%3A%221729729730555512511%22%2C%22p"&amp;"laceholder_video_id%22%3A%227636470323394694420%22%7D&amp;ec_shared_reflux_scene=shop_tab_feed&amp;share_item_id=7636470323394694420&amp;source=h5_t")</f>
        <v>https://www.tiktok.com/@berkah.glosir/video/7636470323394694420?_r=1&amp;u_code=e4hbm162fcgeg9&amp;region=&amp;mid=7626899689086520072&amp;preview_pb=0&amp;sharer_language=&amp;_d=0&amp;ec_shared_reflux_dynamic_params=%7B%22placeholder_material_id%22%3A%227636470323394694420%22%2C%22placeholder_origin_cover%22%3A%22https%253A%252F%252Fp16-common-sign.tiktokcdn.com%252Ftos-alisg-p-0037%252FosuDSFTQ0PnGoCUYAV4qGeINLIAjHC9eeclh4Q~tplv-tiktokx-origin.jpeg%253Fdr%253D14572%2526refresh_token%253D3614de57%2526x-expires%253D1810116000%2526x-signature%253DGb7KUJrfsuLXBEQ2QOFnMdtykvU%25253D%2526t%253D4d5b0474%2526ps%253D13740610%2526shp%253Dd05b14bd%2526shcp%253D34ff8df6%2526idc%253Dmy2%2526s%253DTIKTOK_AFFILIATE_VIRAL_VIDEO%22%2C%22placeholder_product_id%22%3A%221729729730555512511%22%2C%22placeholder_video_id%22%3A%227636470323394694420%22%7D&amp;ec_shared_reflux_scene=shop_tab_feed&amp;share_item_id=7636470323394694420&amp;source=h5_t</v>
      </c>
      <c r="M656" s="464" t="str">
        <f>IFERROR(__xludf.DUMMYFUNCTION("""COMPUTED_VALUE"""),"KIMME")</f>
        <v>KIMME</v>
      </c>
      <c r="N656" s="17" t="str">
        <f>IFERROR(__xludf.DUMMYFUNCTION("""COMPUTED_VALUE"""),"⁠https://vt.tiktok.com/ZS9LoK5Xn/")</f>
        <v>⁠https://vt.tiktok.com/ZS9LoK5Xn/</v>
      </c>
      <c r="O656" s="464" t="str">
        <f>IFERROR(__xludf.DUMMYFUNCTION("""COMPUTED_VALUE"""),"KIMME")</f>
        <v>KIMME</v>
      </c>
      <c r="P656" s="17" t="str">
        <f>IFERROR(__xludf.DUMMYFUNCTION("""COMPUTED_VALUE"""),"⁠https://vt.tiktok.com/ZS9YrHGyL/")</f>
        <v>⁠https://vt.tiktok.com/ZS9YrHGyL/</v>
      </c>
    </row>
    <row r="657">
      <c r="A657" s="255" t="str">
        <f>IFERROR(__xludf.DUMMYFUNCTION("""COMPUTED_VALUE"""),"MICRO")</f>
        <v>MICRO</v>
      </c>
      <c r="B657" s="361" t="str">
        <f>IFERROR(__xludf.DUMMYFUNCTION("""COMPUTED_VALUE"""),"missikkarusyani")</f>
        <v>missikkarusyani</v>
      </c>
      <c r="C657" s="257" t="str">
        <f>IFERROR(__xludf.DUMMYFUNCTION("""COMPUTED_VALUE"""),"https://www.tiktok.com/@missikkarusyani")</f>
        <v>https://www.tiktok.com/@missikkarusyani</v>
      </c>
      <c r="D657" s="270">
        <f>IFERROR(__xludf.DUMMYFUNCTION("""COMPUTED_VALUE"""),8.5715032391E10)</f>
        <v>85715032391</v>
      </c>
      <c r="E657" s="457">
        <f>IFERROR(__xludf.DUMMYFUNCTION("""COMPUTED_VALUE"""),0.0)</f>
        <v>0</v>
      </c>
      <c r="F657" s="270">
        <f>IFERROR(__xludf.DUMMYFUNCTION("""COMPUTED_VALUE"""),4.0)</f>
        <v>4</v>
      </c>
      <c r="G657" s="17" t="str">
        <f>IFERROR(__xludf.DUMMYFUNCTION("""COMPUTED_VALUE"""),"Sabun batang 1 Box ( 2 PCS )")</f>
        <v>Sabun batang 1 Box ( 2 PCS )</v>
      </c>
      <c r="H657" s="463" t="str">
        <f>IFERROR(__xludf.DUMMYFUNCTION("""COMPUTED_VALUE"""),"Sampai")</f>
        <v>Sampai</v>
      </c>
      <c r="I657" s="464" t="str">
        <f>IFERROR(__xludf.DUMMYFUNCTION("""COMPUTED_VALUE"""),"KIMME")</f>
        <v>KIMME</v>
      </c>
      <c r="J657" s="17" t="str">
        <f>IFERROR(__xludf.DUMMYFUNCTION("""COMPUTED_VALUE"""),"⁠https://vt.tiktok.com/ZS9YrEd6t/")</f>
        <v>⁠https://vt.tiktok.com/ZS9YrEd6t/</v>
      </c>
      <c r="K657" s="464" t="str">
        <f>IFERROR(__xludf.DUMMYFUNCTION("""COMPUTED_VALUE"""),"KIMME")</f>
        <v>KIMME</v>
      </c>
      <c r="L657" s="279" t="str">
        <f>IFERROR(__xludf.DUMMYFUNCTION("""COMPUTED_VALUE"""),"https://www.tiktok.com/@berkah.glosir/video/7636468767261871381?_r=1&amp;u_code=e4hbm162fcgeg9&amp;region=&amp;mid=7632577313817447189&amp;preview_pb=0&amp;sharer_language=&amp;_d=0&amp;ec_shared_reflux_dynamic_params=%7B%22placeholder_material_id%22%3A%227636468767261871381%22%2C%2"&amp;"2placeholder_origin_cover%22%3A%22https%253A%252F%252Fp16-common-sign.tiktokcdn.com%252Ftos-alisg-p-0037%252FoIn94QiQDOAeFCXXAEfeA3DI2FiBZTDItoKjC0~tplv-tiktokx-origin.jpeg%253Fdr%253D14572%2526refresh_token%253Dfae1e184%2526x-expires%253D1810116000%2526x"&amp;"-signature%253DMn0NLomfqXKjTdxTKFsBLHa0Cao%25253D%2526t%253D4d5b0474%2526ps%253D13740610%2526shp%253Dd05b14bd%2526shcp%253D34ff8df6%2526idc%253Dmy2%2526s%253DTIKTOK_AFFILIATE_VIRAL_VIDEO%22%2C%22placeholder_product_id%22%3A%221729729730555512511%22%2C%22p"&amp;"laceholder_video_id%22%3A%227636468767261871381%22%7D&amp;ec_shared_reflux_scene=shop_tab_feed&amp;share_item_id=7636468767261871381&amp;source=h5_t")</f>
        <v>https://www.tiktok.com/@berkah.glosir/video/7636468767261871381?_r=1&amp;u_code=e4hbm162fcgeg9&amp;region=&amp;mid=7632577313817447189&amp;preview_pb=0&amp;sharer_language=&amp;_d=0&amp;ec_shared_reflux_dynamic_params=%7B%22placeholder_material_id%22%3A%227636468767261871381%22%2C%22placeholder_origin_cover%22%3A%22https%253A%252F%252Fp16-common-sign.tiktokcdn.com%252Ftos-alisg-p-0037%252FoIn94QiQDOAeFCXXAEfeA3DI2FiBZTDItoKjC0~tplv-tiktokx-origin.jpeg%253Fdr%253D14572%2526refresh_token%253Dfae1e184%2526x-expires%253D1810116000%2526x-signature%253DMn0NLomfqXKjTdxTKFsBLHa0Cao%25253D%2526t%253D4d5b0474%2526ps%253D13740610%2526shp%253Dd05b14bd%2526shcp%253D34ff8df6%2526idc%253Dmy2%2526s%253DTIKTOK_AFFILIATE_VIRAL_VIDEO%22%2C%22placeholder_product_id%22%3A%221729729730555512511%22%2C%22placeholder_video_id%22%3A%227636468767261871381%22%7D&amp;ec_shared_reflux_scene=shop_tab_feed&amp;share_item_id=7636468767261871381&amp;source=h5_t</v>
      </c>
      <c r="M657" s="464" t="str">
        <f>IFERROR(__xludf.DUMMYFUNCTION("""COMPUTED_VALUE"""),"KIMME")</f>
        <v>KIMME</v>
      </c>
      <c r="N657" s="279" t="str">
        <f>IFERROR(__xludf.DUMMYFUNCTION("""COMPUTED_VALUE"""),"https://vt.tiktok.com/ZS9MefkSm/")</f>
        <v>https://vt.tiktok.com/ZS9MefkSm/</v>
      </c>
      <c r="O657" s="464" t="str">
        <f>IFERROR(__xludf.DUMMYFUNCTION("""COMPUTED_VALUE"""),"KIMME")</f>
        <v>KIMME</v>
      </c>
      <c r="P657" s="279" t="str">
        <f>IFERROR(__xludf.DUMMYFUNCTION("""COMPUTED_VALUE"""),"https://vt.tiktok.com/ZS9MeyeRS/")</f>
        <v>https://vt.tiktok.com/ZS9MeyeRS/</v>
      </c>
    </row>
    <row r="658">
      <c r="A658" s="255" t="str">
        <f>IFERROR(__xludf.DUMMYFUNCTION("""COMPUTED_VALUE"""),"MICRO")</f>
        <v>MICRO</v>
      </c>
      <c r="B658" s="361" t="str">
        <f>IFERROR(__xludf.DUMMYFUNCTION("""COMPUTED_VALUE"""),"racuntiktokshop_8")</f>
        <v>racuntiktokshop_8</v>
      </c>
      <c r="C658" s="257" t="str">
        <f>IFERROR(__xludf.DUMMYFUNCTION("""COMPUTED_VALUE"""),"https://www.tiktok.com/@racuntiktokshop_8")</f>
        <v>https://www.tiktok.com/@racuntiktokshop_8</v>
      </c>
      <c r="D658" s="270">
        <f>IFERROR(__xludf.DUMMYFUNCTION("""COMPUTED_VALUE"""),8.8806791158E10)</f>
        <v>88806791158</v>
      </c>
      <c r="E658" s="457">
        <f>IFERROR(__xludf.DUMMYFUNCTION("""COMPUTED_VALUE"""),0.0)</f>
        <v>0</v>
      </c>
      <c r="F658" s="270">
        <f>IFERROR(__xludf.DUMMYFUNCTION("""COMPUTED_VALUE"""),3.0)</f>
        <v>3</v>
      </c>
      <c r="G658" s="17" t="str">
        <f>IFERROR(__xludf.DUMMYFUNCTION("""COMPUTED_VALUE"""),"Sabun batang 1 Box ( 2 PCS )")</f>
        <v>Sabun batang 1 Box ( 2 PCS )</v>
      </c>
      <c r="H658" s="463" t="str">
        <f>IFERROR(__xludf.DUMMYFUNCTION("""COMPUTED_VALUE"""),"Sampai")</f>
        <v>Sampai</v>
      </c>
      <c r="I658" s="464" t="str">
        <f>IFERROR(__xludf.DUMMYFUNCTION("""COMPUTED_VALUE"""),"KIMME")</f>
        <v>KIMME</v>
      </c>
      <c r="J658" s="279" t="str">
        <f>IFERROR(__xludf.DUMMYFUNCTION("""COMPUTED_VALUE"""),"https://vt.tiktok.com/ZS9Me9YS5/")</f>
        <v>https://vt.tiktok.com/ZS9Me9YS5/</v>
      </c>
      <c r="K658" s="464" t="str">
        <f>IFERROR(__xludf.DUMMYFUNCTION("""COMPUTED_VALUE"""),"KIMME")</f>
        <v>KIMME</v>
      </c>
      <c r="L658" s="279" t="str">
        <f>IFERROR(__xludf.DUMMYFUNCTION("""COMPUTED_VALUE"""),"https://vt.tiktok.com/ZS9MeQxT3/")</f>
        <v>https://vt.tiktok.com/ZS9MeQxT3/</v>
      </c>
      <c r="M658" s="464" t="str">
        <f>IFERROR(__xludf.DUMMYFUNCTION("""COMPUTED_VALUE"""),"KIMME")</f>
        <v>KIMME</v>
      </c>
      <c r="N658" s="279" t="str">
        <f>IFERROR(__xludf.DUMMYFUNCTION("""COMPUTED_VALUE"""),"https://vt.tiktok.com/ZS9Me2mxR/")</f>
        <v>https://vt.tiktok.com/ZS9Me2mxR/</v>
      </c>
      <c r="O658" s="464" t="str">
        <f>IFERROR(__xludf.DUMMYFUNCTION("""COMPUTED_VALUE"""),"KIMME")</f>
        <v>KIMME</v>
      </c>
      <c r="P658" s="279" t="str">
        <f>IFERROR(__xludf.DUMMYFUNCTION("""COMPUTED_VALUE"""),"https://vt.tiktok.com/ZS9MeCa18/")</f>
        <v>https://vt.tiktok.com/ZS9MeCa18/</v>
      </c>
    </row>
    <row r="659">
      <c r="A659" s="255" t="str">
        <f>IFERROR(__xludf.DUMMYFUNCTION("""COMPUTED_VALUE"""),"MICRO")</f>
        <v>MICRO</v>
      </c>
      <c r="B659" s="361" t="str">
        <f>IFERROR(__xludf.DUMMYFUNCTION("""COMPUTED_VALUE"""),"fithriiiiiiiiii")</f>
        <v>fithriiiiiiiiii</v>
      </c>
      <c r="C659" s="257" t="str">
        <f>IFERROR(__xludf.DUMMYFUNCTION("""COMPUTED_VALUE"""),"https://www.tiktok.com/@fithriiiiiiiiii")</f>
        <v>https://www.tiktok.com/@fithriiiiiiiiii</v>
      </c>
      <c r="D659" s="270">
        <f>IFERROR(__xludf.DUMMYFUNCTION("""COMPUTED_VALUE"""),8.5224876499E10)</f>
        <v>85224876499</v>
      </c>
      <c r="E659" s="457">
        <f>IFERROR(__xludf.DUMMYFUNCTION("""COMPUTED_VALUE"""),0.0)</f>
        <v>0</v>
      </c>
      <c r="F659" s="270">
        <f>IFERROR(__xludf.DUMMYFUNCTION("""COMPUTED_VALUE"""),4.0)</f>
        <v>4</v>
      </c>
      <c r="G659" s="17" t="str">
        <f>IFERROR(__xludf.DUMMYFUNCTION("""COMPUTED_VALUE"""),"Sabun batang 1 Box ( 2 PCS )")</f>
        <v>Sabun batang 1 Box ( 2 PCS )</v>
      </c>
      <c r="H659" s="463" t="str">
        <f>IFERROR(__xludf.DUMMYFUNCTION("""COMPUTED_VALUE"""),"Sampai")</f>
        <v>Sampai</v>
      </c>
      <c r="I659" s="464" t="str">
        <f>IFERROR(__xludf.DUMMYFUNCTION("""COMPUTED_VALUE"""),"KIMME")</f>
        <v>KIMME</v>
      </c>
      <c r="J659" s="279" t="str">
        <f>IFERROR(__xludf.DUMMYFUNCTION("""COMPUTED_VALUE"""),"https://vt.tiktok.com/ZS9NmDFVU/")</f>
        <v>https://vt.tiktok.com/ZS9NmDFVU/</v>
      </c>
      <c r="K659" s="464" t="str">
        <f>IFERROR(__xludf.DUMMYFUNCTION("""COMPUTED_VALUE"""),"KIMME")</f>
        <v>KIMME</v>
      </c>
      <c r="L659" s="279" t="str">
        <f>IFERROR(__xludf.DUMMYFUNCTION("""COMPUTED_VALUE"""),"https://vt.tiktok.com/ZS9NmCJMS/")</f>
        <v>https://vt.tiktok.com/ZS9NmCJMS/</v>
      </c>
      <c r="M659" s="464" t="str">
        <f>IFERROR(__xludf.DUMMYFUNCTION("""COMPUTED_VALUE"""),"KIMME")</f>
        <v>KIMME</v>
      </c>
      <c r="N659" s="279" t="str">
        <f>IFERROR(__xludf.DUMMYFUNCTION("""COMPUTED_VALUE"""),"https://vt.tiktok.com/ZS9NmVrxe/")</f>
        <v>https://vt.tiktok.com/ZS9NmVrxe/</v>
      </c>
      <c r="O659" s="464" t="str">
        <f>IFERROR(__xludf.DUMMYFUNCTION("""COMPUTED_VALUE"""),"KIMME")</f>
        <v>KIMME</v>
      </c>
      <c r="P659" s="279" t="str">
        <f>IFERROR(__xludf.DUMMYFUNCTION("""COMPUTED_VALUE"""),"https://vt.tiktok.com/ZS9NmynaC/")</f>
        <v>https://vt.tiktok.com/ZS9NmynaC/</v>
      </c>
    </row>
    <row r="660">
      <c r="A660" s="255" t="str">
        <f>IFERROR(__xludf.DUMMYFUNCTION("""COMPUTED_VALUE"""),"MICRO")</f>
        <v>MICRO</v>
      </c>
      <c r="B660" s="361" t="str">
        <f>IFERROR(__xludf.DUMMYFUNCTION("""COMPUTED_VALUE"""),"roslindaadvocate")</f>
        <v>roslindaadvocate</v>
      </c>
      <c r="C660" s="257" t="str">
        <f>IFERROR(__xludf.DUMMYFUNCTION("""COMPUTED_VALUE"""),"https://www.tiktok.com/@roslindaadvocate")</f>
        <v>https://www.tiktok.com/@roslindaadvocate</v>
      </c>
      <c r="D660" s="270">
        <f>IFERROR(__xludf.DUMMYFUNCTION("""COMPUTED_VALUE"""),8.5849443291E10)</f>
        <v>85849443291</v>
      </c>
      <c r="E660" s="457">
        <f>IFERROR(__xludf.DUMMYFUNCTION("""COMPUTED_VALUE"""),0.0)</f>
        <v>0</v>
      </c>
      <c r="F660" s="270">
        <f>IFERROR(__xludf.DUMMYFUNCTION("""COMPUTED_VALUE"""),4.0)</f>
        <v>4</v>
      </c>
      <c r="G660" s="17" t="str">
        <f>IFERROR(__xludf.DUMMYFUNCTION("""COMPUTED_VALUE"""),"Sabun batang 1 Box ( 2 PCS )")</f>
        <v>Sabun batang 1 Box ( 2 PCS )</v>
      </c>
      <c r="H660" s="463" t="str">
        <f>IFERROR(__xludf.DUMMYFUNCTION("""COMPUTED_VALUE"""),"Sampai")</f>
        <v>Sampai</v>
      </c>
      <c r="I660" s="464" t="str">
        <f>IFERROR(__xludf.DUMMYFUNCTION("""COMPUTED_VALUE"""),"KIMME")</f>
        <v>KIMME</v>
      </c>
      <c r="J660" s="279" t="str">
        <f>IFERROR(__xludf.DUMMYFUNCTION("""COMPUTED_VALUE"""),"https://www.tiktok.com/@berkah.glosir/video/7636468767261871381?_r=1&amp;u_code=e4hbm162fcgeg9&amp;region=&amp;mid=7632577313817447189&amp;preview_pb=0&amp;sharer_language=&amp;_d=0&amp;ec_shared_reflux_dynamic_params=%7B%22placeholder_material_id%22%3A%227636468767261871381%22%2C%2"&amp;"2placeholder_origin_cover%22%3A%22https%253A%252F%252Fp16-common-sign.tiktokcdn.com%252Ftos-alisg-p-0037%252FoIn94QiQDOAeFCXXAEfeA3DI2FiBZTDItoKjC0~tplv-tiktokx-origin.jpeg%253Fdr%253D14572%2526refresh_token%253Dfae1e184%2526x-expires%253D1810116000%2526x"&amp;"-signature%253DMn0NLomfqXKjTdxTKFsBLHa0Cao%25253D%2526t%253D4d5b0474%2526ps%253D13740610%2526shp%253Dd05b14bd%2526shcp%253D34ff8df6%2526idc%253Dmy2%2526s%253DTIKTOK_AFFILIATE_VIRAL_VIDEO%22%2C%22placeholder_product_id%22%3A%221729729730555512511%22%2C%22p"&amp;"laceholder_video_id%22%3A%227636468767261871381%22%7D&amp;ec_shared_reflux_scene=shop_tab_feed&amp;share_item_id=7636468767261871381&amp;source=h5_t")</f>
        <v>https://www.tiktok.com/@berkah.glosir/video/7636468767261871381?_r=1&amp;u_code=e4hbm162fcgeg9&amp;region=&amp;mid=7632577313817447189&amp;preview_pb=0&amp;sharer_language=&amp;_d=0&amp;ec_shared_reflux_dynamic_params=%7B%22placeholder_material_id%22%3A%227636468767261871381%22%2C%22placeholder_origin_cover%22%3A%22https%253A%252F%252Fp16-common-sign.tiktokcdn.com%252Ftos-alisg-p-0037%252FoIn94QiQDOAeFCXXAEfeA3DI2FiBZTDItoKjC0~tplv-tiktokx-origin.jpeg%253Fdr%253D14572%2526refresh_token%253Dfae1e184%2526x-expires%253D1810116000%2526x-signature%253DMn0NLomfqXKjTdxTKFsBLHa0Cao%25253D%2526t%253D4d5b0474%2526ps%253D13740610%2526shp%253Dd05b14bd%2526shcp%253D34ff8df6%2526idc%253Dmy2%2526s%253DTIKTOK_AFFILIATE_VIRAL_VIDEO%22%2C%22placeholder_product_id%22%3A%221729729730555512511%22%2C%22placeholder_video_id%22%3A%227636468767261871381%22%7D&amp;ec_shared_reflux_scene=shop_tab_feed&amp;share_item_id=7636468767261871381&amp;source=h5_t</v>
      </c>
      <c r="K660" s="464" t="str">
        <f>IFERROR(__xludf.DUMMYFUNCTION("""COMPUTED_VALUE"""),"KIMME")</f>
        <v>KIMME</v>
      </c>
      <c r="L660" s="279" t="str">
        <f>IFERROR(__xludf.DUMMYFUNCTION("""COMPUTED_VALUE"""),"https://www.tiktok.com/@berkah.glosir/video/7636451859254775060?_r=1&amp;u_code=e4hbm162fcgeg9&amp;region=&amp;mid=7597435345913317393&amp;preview_pb=0&amp;sharer_language=&amp;_d=0&amp;ec_shared_reflux_dynamic_params=%7B%22placeholder_material_id%22%3A%227636451859254775060%22%2C%2"&amp;"2placeholder_origin_cover%22%3A%22https%253A%252F%252Fp19-common-sign.tiktokcdn.com%252Ftos-alisg-p-0037%252FoU76g0mDikHoAiRvBCuIwwAIqcEfAAB0CIIvIR~tplv-tiktokx-origin.jpeg%253Fdr%253D14572%2526refresh_token%253D5648ec95%2526x-expires%253D1810116000%2526x"&amp;"-signature%253DK0CCK08BLRzMblD83y%25252B16TT4QwM%25253D%2526t%253D4d5b0474%2526ps%253D13740610%2526shp%253Dd05b14bd%2526shcp%253D34ff8df6%2526idc%253Dmy2%2526s%253DTIKTOK_AFFILIATE_VIRAL_VIDEO%22%2C%22placeholder_product_id%22%3A%221729729730555512511%22%"&amp;"2C%22placeholder_video_id%22%3A%227636451859254775060%22%7D&amp;ec_shared_reflux_scene=shop_tab_feed&amp;share_item_id=7636451859254775060&amp;source=h5_t")</f>
        <v>https://www.tiktok.com/@berkah.glosir/video/7636451859254775060?_r=1&amp;u_code=e4hbm162fcgeg9&amp;region=&amp;mid=7597435345913317393&amp;preview_pb=0&amp;sharer_language=&amp;_d=0&amp;ec_shared_reflux_dynamic_params=%7B%22placeholder_material_id%22%3A%227636451859254775060%22%2C%22placeholder_origin_cover%22%3A%22https%253A%252F%252Fp19-common-sign.tiktokcdn.com%252Ftos-alisg-p-0037%252FoU76g0mDikHoAiRvBCuIwwAIqcEfAAB0CIIvIR~tplv-tiktokx-origin.jpeg%253Fdr%253D14572%2526refresh_token%253D5648ec95%2526x-expires%253D1810116000%2526x-signature%253DK0CCK08BLRzMblD83y%25252B16TT4QwM%25253D%2526t%253D4d5b0474%2526ps%253D13740610%2526shp%253Dd05b14bd%2526shcp%253D34ff8df6%2526idc%253Dmy2%2526s%253DTIKTOK_AFFILIATE_VIRAL_VIDEO%22%2C%22placeholder_product_id%22%3A%221729729730555512511%22%2C%22placeholder_video_id%22%3A%227636451859254775060%22%7D&amp;ec_shared_reflux_scene=shop_tab_feed&amp;share_item_id=7636451859254775060&amp;source=h5_t</v>
      </c>
      <c r="M660" s="464"/>
      <c r="N660" s="279" t="str">
        <f>IFERROR(__xludf.DUMMYFUNCTION("""COMPUTED_VALUE"""),"https://www.tiktok.com/@berkah.glosir/video/7636451083144989973?_d=0&amp;_r=1&amp;ec_shared_reflux_dynamic_params=%7B%22placeholder_material_id%22%3A%227636451083144989973%22%2C%22placeholder_origin_cover%22%3A%22https%253A%252F%252Fp16-common-sign.tiktokcdn.com%"&amp;"252Ftos-alisg-p-0037%252Fog99IJidHPcpTM46BBBAIff0RPpgHBrEpQi3Pu~tplv-tiktokx-origin.jpeg%253Fdr%253D14572%2526refresh_token%253D58ef6cd3%2526x-expires%253D1810116000%2526x-signature%253DOOyu4e%25252FUF5HI4P1TMOXLOD5WvFk%25253D%2526t%253D4d5b0474%2526ps%25"&amp;"3D13740610%2526shp%253Dd05b14bd%2526shcp%253D34ff8df6%2526idc%253Dmy2%2526s%253DTIKTOK_AFFILIATE_VIRAL_VIDEO%22%2C%22placeholder_product_id%22%3A%221729729730555512511%22%2C%22placeholder_video_id%22%3A%227636451083144989973%22%7D&amp;ec_shared_reflux_scene=s"&amp;"hop_tab_feed&amp;mid=7606071400499628049&amp;preview_pb=0&amp;region=&amp;share_item_id=7636451083144989973&amp;sharer_language=&amp;source=h5_t&amp;u_code=e4hbm162fcgeg9")</f>
        <v>https://www.tiktok.com/@berkah.glosir/video/7636451083144989973?_d=0&amp;_r=1&amp;ec_shared_reflux_dynamic_params=%7B%22placeholder_material_id%22%3A%227636451083144989973%22%2C%22placeholder_origin_cover%22%3A%22https%253A%252F%252Fp16-common-sign.tiktokcdn.com%252Ftos-alisg-p-0037%252Fog99IJidHPcpTM46BBBAIff0RPpgHBrEpQi3Pu~tplv-tiktokx-origin.jpeg%253Fdr%253D14572%2526refresh_token%253D58ef6cd3%2526x-expires%253D1810116000%2526x-signature%253DOOyu4e%25252FUF5HI4P1TMOXLOD5WvFk%25253D%2526t%253D4d5b0474%2526ps%253D13740610%2526shp%253Dd05b14bd%2526shcp%253D34ff8df6%2526idc%253Dmy2%2526s%253DTIKTOK_AFFILIATE_VIRAL_VIDEO%22%2C%22placeholder_product_id%22%3A%221729729730555512511%22%2C%22placeholder_video_id%22%3A%227636451083144989973%22%7D&amp;ec_shared_reflux_scene=shop_tab_feed&amp;mid=7606071400499628049&amp;preview_pb=0&amp;region=&amp;share_item_id=7636451083144989973&amp;sharer_language=&amp;source=h5_t&amp;u_code=e4hbm162fcgeg9</v>
      </c>
      <c r="O660" s="464" t="str">
        <f>IFERROR(__xludf.DUMMYFUNCTION("""COMPUTED_VALUE"""),"KIMME")</f>
        <v>KIMME</v>
      </c>
      <c r="P660" s="279" t="str">
        <f>IFERROR(__xludf.DUMMYFUNCTION("""COMPUTED_VALUE"""),"https://www.tiktok.com/@berkah.glosir/video/7636450792609778965?_r=1&amp;u_code=e4hbm162fcgeg9&amp;region=&amp;mid=7507772951459432464&amp;preview_pb=0&amp;sharer_language=&amp;_d=0&amp;ec_shared_reflux_dynamic_params=%7B%22placeholder_material_id%22%3A%227636450792609778965%22%2C%2"&amp;"2placeholder_origin_cover%22%3A%22https%253A%252F%252Fp16-common-sign.tiktokcdn.com%252Ftos-alisg-p-0037%252FoACDjmDH9PDf7rBk6BoR4XfEBkeFIIT5DIAA5l~tplv-tiktokx-origin.jpeg%253Fdr%253D14572%2526refresh_token%253D6d8149f0%2526x-expires%253D1810116000%2526x"&amp;"-signature%253Dj3zLKDMwb%25252BRnk3NYQDCB%25252BfM8jxU%25253D%2526t%253D4d5b0474%2526ps%253D13740610%2526shp%253Dd05b14bd%2526shcp%253D34ff8df6%2526idc%253Dmy2%2526s%253DTIKTOK_AFFILIATE_VIRAL_VIDEO%22%2C%22placeholder_product_id%22%3A%2217297297305555125"&amp;"11%22%2C%22placeholder_video_id%22%3A%227636450792609778965%22%7D&amp;ec_shared_reflux_scene=shop_tab_feed&amp;share_item_id=7636450792609778965&amp;source=h5_t")</f>
        <v>https://www.tiktok.com/@berkah.glosir/video/7636450792609778965?_r=1&amp;u_code=e4hbm162fcgeg9&amp;region=&amp;mid=7507772951459432464&amp;preview_pb=0&amp;sharer_language=&amp;_d=0&amp;ec_shared_reflux_dynamic_params=%7B%22placeholder_material_id%22%3A%227636450792609778965%22%2C%22placeholder_origin_cover%22%3A%22https%253A%252F%252Fp16-common-sign.tiktokcdn.com%252Ftos-alisg-p-0037%252FoACDjmDH9PDf7rBk6BoR4XfEBkeFIIT5DIAA5l~tplv-tiktokx-origin.jpeg%253Fdr%253D14572%2526refresh_token%253D6d8149f0%2526x-expires%253D1810116000%2526x-signature%253Dj3zLKDMwb%25252BRnk3NYQDCB%25252BfM8jxU%25253D%2526t%253D4d5b0474%2526ps%253D13740610%2526shp%253Dd05b14bd%2526shcp%253D34ff8df6%2526idc%253Dmy2%2526s%253DTIKTOK_AFFILIATE_VIRAL_VIDEO%22%2C%22placeholder_product_id%22%3A%221729729730555512511%22%2C%22placeholder_video_id%22%3A%227636450792609778965%22%7D&amp;ec_shared_reflux_scene=shop_tab_feed&amp;share_item_id=7636450792609778965&amp;source=h5_t</v>
      </c>
    </row>
    <row r="661">
      <c r="A661" s="255" t="str">
        <f>IFERROR(__xludf.DUMMYFUNCTION("""COMPUTED_VALUE"""),"MICRO")</f>
        <v>MICRO</v>
      </c>
      <c r="B661" s="361" t="str">
        <f>IFERROR(__xludf.DUMMYFUNCTION("""COMPUTED_VALUE"""),"astriyuspita")</f>
        <v>astriyuspita</v>
      </c>
      <c r="C661" s="257" t="str">
        <f>IFERROR(__xludf.DUMMYFUNCTION("""COMPUTED_VALUE"""),"https://www.tiktok.com/@astriyuspita")</f>
        <v>https://www.tiktok.com/@astriyuspita</v>
      </c>
      <c r="D661" s="270">
        <f>IFERROR(__xludf.DUMMYFUNCTION("""COMPUTED_VALUE"""),8.5365401227E10)</f>
        <v>85365401227</v>
      </c>
      <c r="E661" s="457">
        <f>IFERROR(__xludf.DUMMYFUNCTION("""COMPUTED_VALUE"""),0.0)</f>
        <v>0</v>
      </c>
      <c r="F661" s="270">
        <f>IFERROR(__xludf.DUMMYFUNCTION("""COMPUTED_VALUE"""),2.0)</f>
        <v>2</v>
      </c>
      <c r="G661" s="17" t="str">
        <f>IFERROR(__xludf.DUMMYFUNCTION("""COMPUTED_VALUE"""),"Sabun batang 1 Box ( 2 PCS )")</f>
        <v>Sabun batang 1 Box ( 2 PCS )</v>
      </c>
      <c r="H661" s="463" t="str">
        <f>IFERROR(__xludf.DUMMYFUNCTION("""COMPUTED_VALUE"""),"Sampai")</f>
        <v>Sampai</v>
      </c>
      <c r="I661" s="464" t="str">
        <f>IFERROR(__xludf.DUMMYFUNCTION("""COMPUTED_VALUE"""),"KIMME")</f>
        <v>KIMME</v>
      </c>
      <c r="J661" s="279" t="str">
        <f>IFERROR(__xludf.DUMMYFUNCTION("""COMPUTED_VALUE"""),"https://vt.tiktok.com/ZS9MeSUh2/")</f>
        <v>https://vt.tiktok.com/ZS9MeSUh2/</v>
      </c>
      <c r="K661" s="464" t="str">
        <f>IFERROR(__xludf.DUMMYFUNCTION("""COMPUTED_VALUE"""),"KIMME")</f>
        <v>KIMME</v>
      </c>
      <c r="L661" s="279" t="str">
        <f>IFERROR(__xludf.DUMMYFUNCTION("""COMPUTED_VALUE"""),"https://vt.tiktok.com/ZS9MeS4Jm/")</f>
        <v>https://vt.tiktok.com/ZS9MeS4Jm/</v>
      </c>
      <c r="M661" s="464"/>
      <c r="N661" s="279" t="str">
        <f>IFERROR(__xludf.DUMMYFUNCTION("""COMPUTED_VALUE"""),"https://www.tiktok.com/@berkah.glosir/video/7636450536123829524?_r=1&amp;u_code=e4hbm162fcgeg9&amp;region=&amp;mid=7602095680596806421&amp;preview_pb=0&amp;sharer_language=&amp;_d=0&amp;ec_shared_reflux_dynamic_params=%7B%22placeholder_material_id%22%3A%227636450536123829524%22%2C%2"&amp;"2placeholder_origin_cover%22%3A%22https%253A%252F%252Fp16-common-sign.tiktokcdn.com%252Ftos-alisg-p-0037%252FoEg0nhA9fAQoNfX1DDrTjeC8PEDgFE10VD0Q8v~tplv-tiktokx-origin.jpeg%253Fdr%253D14572%2526refresh_token%253Deb021147%2526x-expires%253D1810116000%2526x"&amp;"-signature%253D8CL3jc1ahbt%25252B5%25252FrALD6a1Nm3HZg%25253D%2526t%253D4d5b0474%2526ps%253D13740610%2526shp%253Dd05b14bd%2526shcp%253D34ff8df6%2526idc%253Dmy2%2526s%253DTIKTOK_AFFILIATE_VIRAL_VIDEO%22%2C%22placeholder_product_id%22%3A%2217297297305555125"&amp;"11%22%2C%22placeholder_video_id%22%3A%227636450536123829524%22%7D&amp;ec_shared_reflux_scene=shop_tab_feed&amp;share_item_id=7636450536123829524&amp;source=h5_t")</f>
        <v>https://www.tiktok.com/@berkah.glosir/video/7636450536123829524?_r=1&amp;u_code=e4hbm162fcgeg9&amp;region=&amp;mid=7602095680596806421&amp;preview_pb=0&amp;sharer_language=&amp;_d=0&amp;ec_shared_reflux_dynamic_params=%7B%22placeholder_material_id%22%3A%227636450536123829524%22%2C%22placeholder_origin_cover%22%3A%22https%253A%252F%252Fp16-common-sign.tiktokcdn.com%252Ftos-alisg-p-0037%252FoEg0nhA9fAQoNfX1DDrTjeC8PEDgFE10VD0Q8v~tplv-tiktokx-origin.jpeg%253Fdr%253D14572%2526refresh_token%253Deb021147%2526x-expires%253D1810116000%2526x-signature%253D8CL3jc1ahbt%25252B5%25252FrALD6a1Nm3HZg%25253D%2526t%253D4d5b0474%2526ps%253D13740610%2526shp%253Dd05b14bd%2526shcp%253D34ff8df6%2526idc%253Dmy2%2526s%253DTIKTOK_AFFILIATE_VIRAL_VIDEO%22%2C%22placeholder_product_id%22%3A%221729729730555512511%22%2C%22placeholder_video_id%22%3A%227636450536123829524%22%7D&amp;ec_shared_reflux_scene=shop_tab_feed&amp;share_item_id=7636450536123829524&amp;source=h5_t</v>
      </c>
      <c r="O661" s="464" t="str">
        <f>IFERROR(__xludf.DUMMYFUNCTION("""COMPUTED_VALUE"""),"KIMME")</f>
        <v>KIMME</v>
      </c>
      <c r="P661" s="279" t="str">
        <f>IFERROR(__xludf.DUMMYFUNCTION("""COMPUTED_VALUE"""),"https://www.tiktok.com/@berkah.glosir/video/7636449215706680596?_r=1&amp;u_code=e4hbm162fcgeg9&amp;region=&amp;mid=7606071400499628049&amp;preview_pb=0&amp;sharer_language=&amp;_d=0&amp;ec_shared_reflux_dynamic_params=%7B%22placeholder_material_id%22%3A%227636449215706680596%22%2C%2"&amp;"2placeholder_origin_cover%22%3A%22https%253A%252F%252Fp16-common-sign.tiktokcdn.com%252Ftos-alisg-p-0037%252FoAdNOMDkIFA3IMCeQBE41HIiDehFfjh6T7ibAu~tplv-tiktokx-origin.jpeg%253Fdr%253D14572%2526refresh_token%253D6a97a410%2526x-expires%253D1810116000%2526x"&amp;"-signature%253DqhKtYxBaBTF6pXy5mnResxACyrQ%25253D%2526t%253D4d5b0474%2526ps%253D13740610%2526shp%253Dd05b14bd%2526shcp%253D34ff8df6%2526idc%253Dmy2%2526s%253DTIKTOK_AFFILIATE_VIRAL_VIDEO%22%2C%22placeholder_product_id%22%3A%221729729730555512511%22%2C%22p"&amp;"laceholder_video_id%22%3A%227636449215706680596%22%7D&amp;ec_shared_reflux_scene=shop_tab_feed&amp;share_item_id=7636449215706680596&amp;source=h5_t")</f>
        <v>https://www.tiktok.com/@berkah.glosir/video/7636449215706680596?_r=1&amp;u_code=e4hbm162fcgeg9&amp;region=&amp;mid=7606071400499628049&amp;preview_pb=0&amp;sharer_language=&amp;_d=0&amp;ec_shared_reflux_dynamic_params=%7B%22placeholder_material_id%22%3A%227636449215706680596%22%2C%22placeholder_origin_cover%22%3A%22https%253A%252F%252Fp16-common-sign.tiktokcdn.com%252Ftos-alisg-p-0037%252FoAdNOMDkIFA3IMCeQBE41HIiDehFfjh6T7ibAu~tplv-tiktokx-origin.jpeg%253Fdr%253D14572%2526refresh_token%253D6a97a410%2526x-expires%253D1810116000%2526x-signature%253DqhKtYxBaBTF6pXy5mnResxACyrQ%25253D%2526t%253D4d5b0474%2526ps%253D13740610%2526shp%253Dd05b14bd%2526shcp%253D34ff8df6%2526idc%253Dmy2%2526s%253DTIKTOK_AFFILIATE_VIRAL_VIDEO%22%2C%22placeholder_product_id%22%3A%221729729730555512511%22%2C%22placeholder_video_id%22%3A%227636449215706680596%22%7D&amp;ec_shared_reflux_scene=shop_tab_feed&amp;share_item_id=7636449215706680596&amp;source=h5_t</v>
      </c>
    </row>
    <row r="662">
      <c r="A662" s="255" t="str">
        <f>IFERROR(__xludf.DUMMYFUNCTION("""COMPUTED_VALUE"""),"MICRO")</f>
        <v>MICRO</v>
      </c>
      <c r="B662" s="361" t="str">
        <f>IFERROR(__xludf.DUMMYFUNCTION("""COMPUTED_VALUE"""),"rna.shaaaa")</f>
        <v>rna.shaaaa</v>
      </c>
      <c r="C662" s="257" t="str">
        <f>IFERROR(__xludf.DUMMYFUNCTION("""COMPUTED_VALUE"""),"https://www.tiktok.com/@rna.shaaaa")</f>
        <v>https://www.tiktok.com/@rna.shaaaa</v>
      </c>
      <c r="D662" s="270">
        <f>IFERROR(__xludf.DUMMYFUNCTION("""COMPUTED_VALUE"""),8.2274190658E10)</f>
        <v>82274190658</v>
      </c>
      <c r="E662" s="457">
        <f>IFERROR(__xludf.DUMMYFUNCTION("""COMPUTED_VALUE"""),0.0)</f>
        <v>0</v>
      </c>
      <c r="F662" s="270">
        <f>IFERROR(__xludf.DUMMYFUNCTION("""COMPUTED_VALUE"""),1.0)</f>
        <v>1</v>
      </c>
      <c r="G662" s="17" t="str">
        <f>IFERROR(__xludf.DUMMYFUNCTION("""COMPUTED_VALUE"""),"Sabun batang 1 Box ( 2 PCS )")</f>
        <v>Sabun batang 1 Box ( 2 PCS )</v>
      </c>
      <c r="H662" s="463" t="str">
        <f>IFERROR(__xludf.DUMMYFUNCTION("""COMPUTED_VALUE"""),"Sampai")</f>
        <v>Sampai</v>
      </c>
      <c r="I662" s="464" t="str">
        <f>IFERROR(__xludf.DUMMYFUNCTION("""COMPUTED_VALUE"""),"KIMME")</f>
        <v>KIMME</v>
      </c>
      <c r="J662" s="279" t="str">
        <f>IFERROR(__xludf.DUMMYFUNCTION("""COMPUTED_VALUE"""),"https://www.tiktok.com/@berkah.glosir/video/7633017502989143316")</f>
        <v>https://www.tiktok.com/@berkah.glosir/video/7633017502989143316</v>
      </c>
      <c r="K662" s="464" t="str">
        <f>IFERROR(__xludf.DUMMYFUNCTION("""COMPUTED_VALUE"""),"KIMME")</f>
        <v>KIMME</v>
      </c>
      <c r="L662" s="279" t="str">
        <f>IFERROR(__xludf.DUMMYFUNCTION("""COMPUTED_VALUE"""),"https://www.tiktok.com/@berkah.glosir/video/7636417086486498580?_r=1&amp;u_code=e4hbm162fcgeg9&amp;region=&amp;mid=7552778804263996172&amp;preview_pb=0&amp;sharer_language=&amp;_d=0&amp;ec_shared_reflux_dynamic_params=%7B%22placeholder_material_id%22%3A%227636417086486498580%22%2C%2"&amp;"2placeholder_origin_cover%22%3A%22https%253A%252F%252Fp16-common-sign.tiktokcdn.com%252Ftos-alisg-p-0037%252FosQT6TnIACAfIAjqeMQAnLIDFAGrq9DnoesHO4~tplv-tiktokx-origin.jpeg%253Fdr%253D14572%2526refresh_token%253D9265ccb3%2526x-expires%253D1810116000%2526x"&amp;"-signature%253Dn0oQvPUz%25252BRkOTSG1DiNLq1Gxyec%25253D%2526t%253D4d5b0474%2526ps%253D13740610%2526shp%253Dd05b14bd%2526shcp%253D34ff8df6%2526idc%253Dmy2%2526s%253DTIKTOK_AFFILIATE_VIRAL_VIDEO%22%2C%22placeholder_product_id%22%3A%221729729730555512511%22%"&amp;"2C%22placeholder_video_id%22%3A%227636417086486498580%22%7D&amp;ec_shared_reflux_scene=shop_tab_feed&amp;share_item_id=7636417086486498580&amp;source=h5_t")</f>
        <v>https://www.tiktok.com/@berkah.glosir/video/7636417086486498580?_r=1&amp;u_code=e4hbm162fcgeg9&amp;region=&amp;mid=7552778804263996172&amp;preview_pb=0&amp;sharer_language=&amp;_d=0&amp;ec_shared_reflux_dynamic_params=%7B%22placeholder_material_id%22%3A%227636417086486498580%22%2C%22placeholder_origin_cover%22%3A%22https%253A%252F%252Fp16-common-sign.tiktokcdn.com%252Ftos-alisg-p-0037%252FosQT6TnIACAfIAjqeMQAnLIDFAGrq9DnoesHO4~tplv-tiktokx-origin.jpeg%253Fdr%253D14572%2526refresh_token%253D9265ccb3%2526x-expires%253D1810116000%2526x-signature%253Dn0oQvPUz%25252BRkOTSG1DiNLq1Gxyec%25253D%2526t%253D4d5b0474%2526ps%253D13740610%2526shp%253Dd05b14bd%2526shcp%253D34ff8df6%2526idc%253Dmy2%2526s%253DTIKTOK_AFFILIATE_VIRAL_VIDEO%22%2C%22placeholder_product_id%22%3A%221729729730555512511%22%2C%22placeholder_video_id%22%3A%227636417086486498580%22%7D&amp;ec_shared_reflux_scene=shop_tab_feed&amp;share_item_id=7636417086486498580&amp;source=h5_t</v>
      </c>
      <c r="M662" s="464"/>
      <c r="N662" s="279" t="str">
        <f>IFERROR(__xludf.DUMMYFUNCTION("""COMPUTED_VALUE"""),"https://www.tiktok.com/@berkah.glosir/video/7636413125150936341?_r=1&amp;u_code=e4hbm162fcgeg9&amp;region=&amp;mid=7594458609477388289&amp;preview_pb=0&amp;sharer_language=&amp;_d=0&amp;ec_shared_reflux_dynamic_params=%7B%22placeholder_material_id%22%3A%227636413125150936341%22%2C%2"&amp;"2placeholder_origin_cover%22%3A%22https%253A%252F%252Fp16-common-sign.tiktokcdn.com%252Ftos-alisg-p-0037%252FoMTB3A4QgzAOhfNfiDA7Bztgj0ee4PzWYHMfLq~tplv-tiktokx-origin.jpeg%253Fdr%253D14572%2526refresh_token%253De0fb2677%2526x-expires%253D1810116000%2526x"&amp;"-signature%253Dviq5f7NZVWmHfPBShJvfMe5BruA%25253D%2526t%253D4d5b0474%2526ps%253D13740610%2526shp%253Dd05b14bd%2526shcp%253D34ff8df6%2526idc%253Dmy2%2526s%253DTIKTOK_AFFILIATE_VIRAL_VIDEO%22%2C%22placeholder_product_id%22%3A%221729729730555512511%22%2C%22p"&amp;"laceholder_video_id%22%3A%227636413125150936341%22%7D&amp;ec_shared_reflux_scene=shop_tab_feed&amp;share_item_id=7636413125150936341&amp;source=h5_t")</f>
        <v>https://www.tiktok.com/@berkah.glosir/video/7636413125150936341?_r=1&amp;u_code=e4hbm162fcgeg9&amp;region=&amp;mid=7594458609477388289&amp;preview_pb=0&amp;sharer_language=&amp;_d=0&amp;ec_shared_reflux_dynamic_params=%7B%22placeholder_material_id%22%3A%227636413125150936341%22%2C%22placeholder_origin_cover%22%3A%22https%253A%252F%252Fp16-common-sign.tiktokcdn.com%252Ftos-alisg-p-0037%252FoMTB3A4QgzAOhfNfiDA7Bztgj0ee4PzWYHMfLq~tplv-tiktokx-origin.jpeg%253Fdr%253D14572%2526refresh_token%253De0fb2677%2526x-expires%253D1810116000%2526x-signature%253Dviq5f7NZVWmHfPBShJvfMe5BruA%25253D%2526t%253D4d5b0474%2526ps%253D13740610%2526shp%253Dd05b14bd%2526shcp%253D34ff8df6%2526idc%253Dmy2%2526s%253DTIKTOK_AFFILIATE_VIRAL_VIDEO%22%2C%22placeholder_product_id%22%3A%221729729730555512511%22%2C%22placeholder_video_id%22%3A%227636413125150936341%22%7D&amp;ec_shared_reflux_scene=shop_tab_feed&amp;share_item_id=7636413125150936341&amp;source=h5_t</v>
      </c>
      <c r="O662" s="464" t="str">
        <f>IFERROR(__xludf.DUMMYFUNCTION("""COMPUTED_VALUE"""),"KIMME")</f>
        <v>KIMME</v>
      </c>
      <c r="P662" s="279" t="str">
        <f>IFERROR(__xludf.DUMMYFUNCTION("""COMPUTED_VALUE"""),"https://www.tiktok.com/@berkah.glosir/video/7636412685579455764?_r=1&amp;u_code=e4hbm162fcgeg9&amp;region=&amp;mid=7631490590651468565&amp;preview_pb=0&amp;sharer_language=&amp;_d=0&amp;ec_shared_reflux_dynamic_params=%7B%22placeholder_material_id%22%3A%227636412685579455764%22%2C%2"&amp;"2placeholder_origin_cover%22%3A%22https%253A%252F%252Fp16-common-sign.tiktokcdn.com%252Ftos-alisg-p-0037%252FoM3Wef5RYAfcBnzIAnsNgINT9L4ePDMBgkAfiz~tplv-tiktokx-origin.jpeg%253Fdr%253D14572%2526refresh_token%253D0b3bdf62%2526x-expires%253D1810116000%2526x"&amp;"-signature%253DMHLUg4YQk93PdFT2vBGhZT%25252BGr5M%25253D%2526t%253D4d5b0474%2526ps%253D13740610%2526shp%253Dd05b14bd%2526shcp%253D34ff8df6%2526idc%253Dmy2%2526s%253DTIKTOK_AFFILIATE_VIRAL_VIDEO%22%2C%22placeholder_product_id%22%3A%221729729730555512511%22%"&amp;"2C%22placeholder_video_id%22%3A%227636412685579455764%22%7D&amp;ec_shared_reflux_scene=shop_tab_feed&amp;share_item_id=7636412685579455764&amp;source=h5_t")</f>
        <v>https://www.tiktok.com/@berkah.glosir/video/7636412685579455764?_r=1&amp;u_code=e4hbm162fcgeg9&amp;region=&amp;mid=7631490590651468565&amp;preview_pb=0&amp;sharer_language=&amp;_d=0&amp;ec_shared_reflux_dynamic_params=%7B%22placeholder_material_id%22%3A%227636412685579455764%22%2C%22placeholder_origin_cover%22%3A%22https%253A%252F%252Fp16-common-sign.tiktokcdn.com%252Ftos-alisg-p-0037%252FoM3Wef5RYAfcBnzIAnsNgINT9L4ePDMBgkAfiz~tplv-tiktokx-origin.jpeg%253Fdr%253D14572%2526refresh_token%253D0b3bdf62%2526x-expires%253D1810116000%2526x-signature%253DMHLUg4YQk93PdFT2vBGhZT%25252BGr5M%25253D%2526t%253D4d5b0474%2526ps%253D13740610%2526shp%253Dd05b14bd%2526shcp%253D34ff8df6%2526idc%253Dmy2%2526s%253DTIKTOK_AFFILIATE_VIRAL_VIDEO%22%2C%22placeholder_product_id%22%3A%221729729730555512511%22%2C%22placeholder_video_id%22%3A%227636412685579455764%22%7D&amp;ec_shared_reflux_scene=shop_tab_feed&amp;share_item_id=7636412685579455764&amp;source=h5_t</v>
      </c>
    </row>
    <row r="663">
      <c r="A663" s="255" t="str">
        <f>IFERROR(__xludf.DUMMYFUNCTION("""COMPUTED_VALUE"""),"MICRO")</f>
        <v>MICRO</v>
      </c>
      <c r="B663" s="361" t="str">
        <f>IFERROR(__xludf.DUMMYFUNCTION("""COMPUTED_VALUE"""),"_viona.na")</f>
        <v>_viona.na</v>
      </c>
      <c r="C663" s="257" t="str">
        <f>IFERROR(__xludf.DUMMYFUNCTION("""COMPUTED_VALUE"""),"https://www.tiktok.com/@_viona.na")</f>
        <v>https://www.tiktok.com/@_viona.na</v>
      </c>
      <c r="D663" s="270">
        <f>IFERROR(__xludf.DUMMYFUNCTION("""COMPUTED_VALUE"""),8.1331238855E10)</f>
        <v>81331238855</v>
      </c>
      <c r="E663" s="457">
        <f>IFERROR(__xludf.DUMMYFUNCTION("""COMPUTED_VALUE"""),0.0)</f>
        <v>0</v>
      </c>
      <c r="F663" s="270">
        <f>IFERROR(__xludf.DUMMYFUNCTION("""COMPUTED_VALUE"""),1.0)</f>
        <v>1</v>
      </c>
      <c r="G663" s="17" t="str">
        <f>IFERROR(__xludf.DUMMYFUNCTION("""COMPUTED_VALUE"""),"Sabun batang 1 Box ( 2 PCS )")</f>
        <v>Sabun batang 1 Box ( 2 PCS )</v>
      </c>
      <c r="H663" s="463" t="str">
        <f>IFERROR(__xludf.DUMMYFUNCTION("""COMPUTED_VALUE"""),"Sampai")</f>
        <v>Sampai</v>
      </c>
      <c r="I663" s="464" t="str">
        <f>IFERROR(__xludf.DUMMYFUNCTION("""COMPUTED_VALUE"""),"KIMME")</f>
        <v>KIMME</v>
      </c>
      <c r="J663" s="279" t="str">
        <f>IFERROR(__xludf.DUMMYFUNCTION("""COMPUTED_VALUE"""),"https://www.tiktok.com/@berkah.glosir/video/7633018506686041365")</f>
        <v>https://www.tiktok.com/@berkah.glosir/video/7633018506686041365</v>
      </c>
      <c r="K663" s="464" t="str">
        <f>IFERROR(__xludf.DUMMYFUNCTION("""COMPUTED_VALUE"""),"KIMME")</f>
        <v>KIMME</v>
      </c>
      <c r="L663" s="279" t="str">
        <f>IFERROR(__xludf.DUMMYFUNCTION("""COMPUTED_VALUE"""),"https://www.tiktok.com/@berkah.glosir/video/7636411683291909396?_r=1&amp;u_code=e4hbm162fcgeg9&amp;region=&amp;mid=7211190087604914949&amp;preview_pb=0&amp;sharer_language=&amp;_d=0&amp;ec_shared_reflux_dynamic_params=%7B%22placeholder_material_id%22%3A%227636411683291909396%22%2C%2"&amp;"2placeholder_origin_cover%22%3A%22https%253A%252F%252Fp16-common-sign.tiktokcdn.com%252Ftos-alisg-p-0037%252FoUgzgFGHGfM5ARMniXHw8foEIaFRtQfAwWfAFm~tplv-tiktokx-origin.jpeg%253Fdr%253D14572%2526refresh_token%253D0a53b323%2526x-expires%253D1810116000%2526x"&amp;"-signature%253D9J31jdDq4GGVy4A3FS1G%25252F55jgak%25253D%2526t%253D4d5b0474%2526ps%253D13740610%2526shp%253Dd05b14bd%2526shcp%253D34ff8df6%2526idc%253Dmy2%2526s%253DTIKTOK_AFFILIATE_VIRAL_VIDEO%22%2C%22placeholder_product_id%22%3A%221729729730555512511%22%"&amp;"2C%22placeholder_video_id%22%3A%227636411683291909396%22%7D&amp;ec_shared_reflux_scene=shop_tab_feed&amp;share_item_id=7636411683291909396&amp;source=h5_t")</f>
        <v>https://www.tiktok.com/@berkah.glosir/video/7636411683291909396?_r=1&amp;u_code=e4hbm162fcgeg9&amp;region=&amp;mid=7211190087604914949&amp;preview_pb=0&amp;sharer_language=&amp;_d=0&amp;ec_shared_reflux_dynamic_params=%7B%22placeholder_material_id%22%3A%227636411683291909396%22%2C%22placeholder_origin_cover%22%3A%22https%253A%252F%252Fp16-common-sign.tiktokcdn.com%252Ftos-alisg-p-0037%252FoUgzgFGHGfM5ARMniXHw8foEIaFRtQfAwWfAFm~tplv-tiktokx-origin.jpeg%253Fdr%253D14572%2526refresh_token%253D0a53b323%2526x-expires%253D1810116000%2526x-signature%253D9J31jdDq4GGVy4A3FS1G%25252F55jgak%25253D%2526t%253D4d5b0474%2526ps%253D13740610%2526shp%253Dd05b14bd%2526shcp%253D34ff8df6%2526idc%253Dmy2%2526s%253DTIKTOK_AFFILIATE_VIRAL_VIDEO%22%2C%22placeholder_product_id%22%3A%221729729730555512511%22%2C%22placeholder_video_id%22%3A%227636411683291909396%22%7D&amp;ec_shared_reflux_scene=shop_tab_feed&amp;share_item_id=7636411683291909396&amp;source=h5_t</v>
      </c>
      <c r="M663" s="464"/>
      <c r="N663" s="279" t="str">
        <f>IFERROR(__xludf.DUMMYFUNCTION("""COMPUTED_VALUE"""),"https://www.tiktok.com/@berkah.glosir/video/7636409880567532821?_r=1&amp;u_code=e4hbm162fcgeg9&amp;region=&amp;mid=7636409920023366418&amp;preview_pb=0&amp;sharer_language=&amp;_d=0&amp;ec_shared_reflux_dynamic_params=%7B%22placeholder_material_id%22%3A%227636409880567532821%22%2C%2"&amp;"2placeholder_origin_cover%22%3A%22https%253A%252F%252Fp16-common-sign.tiktokcdn.com%252Ftos-alisg-p-0037%252FoUfGefQ48CDF6NyQDQTArdA5kPoAlTo1DIjzEX~tplv-tiktokx-origin.jpeg%253Fdr%253D14572%2526refresh_token%253D9f33d7d8%2526x-expires%253D1810116000%2526x"&amp;"-signature%253DAt7px8vzcuU7h7tUqHK8Unv4n%25252BE%25253D%2526t%253D4d5b0474%2526ps%253D13740610%2526shp%253Dd05b14bd%2526shcp%253D34ff8df6%2526idc%253Dmy2%2526s%253DTIKTOK_AFFILIATE_VIRAL_VIDEO%22%2C%22placeholder_product_id%22%3A%221729729730555512511%22%"&amp;"2C%22placeholder_video_id%22%3A%227636409880567532821%22%7D&amp;ec_shared_reflux_scene=shop_tab_feed&amp;share_item_id=7636409880567532821&amp;source=h5_t")</f>
        <v>https://www.tiktok.com/@berkah.glosir/video/7636409880567532821?_r=1&amp;u_code=e4hbm162fcgeg9&amp;region=&amp;mid=7636409920023366418&amp;preview_pb=0&amp;sharer_language=&amp;_d=0&amp;ec_shared_reflux_dynamic_params=%7B%22placeholder_material_id%22%3A%227636409880567532821%22%2C%22placeholder_origin_cover%22%3A%22https%253A%252F%252Fp16-common-sign.tiktokcdn.com%252Ftos-alisg-p-0037%252FoUfGefQ48CDF6NyQDQTArdA5kPoAlTo1DIjzEX~tplv-tiktokx-origin.jpeg%253Fdr%253D14572%2526refresh_token%253D9f33d7d8%2526x-expires%253D1810116000%2526x-signature%253DAt7px8vzcuU7h7tUqHK8Unv4n%25252BE%25253D%2526t%253D4d5b0474%2526ps%253D13740610%2526shp%253Dd05b14bd%2526shcp%253D34ff8df6%2526idc%253Dmy2%2526s%253DTIKTOK_AFFILIATE_VIRAL_VIDEO%22%2C%22placeholder_product_id%22%3A%221729729730555512511%22%2C%22placeholder_video_id%22%3A%227636409880567532821%22%7D&amp;ec_shared_reflux_scene=shop_tab_feed&amp;share_item_id=7636409880567532821&amp;source=h5_t</v>
      </c>
      <c r="O663" s="464" t="str">
        <f>IFERROR(__xludf.DUMMYFUNCTION("""COMPUTED_VALUE"""),"KIMME")</f>
        <v>KIMME</v>
      </c>
      <c r="P663" s="279" t="str">
        <f>IFERROR(__xludf.DUMMYFUNCTION("""COMPUTED_VALUE"""),"https://www.tiktok.com/@berkah.glosir/video/7636410470756404501?_r=1&amp;u_code=e4hbm162fcgeg9&amp;region=&amp;mid=7636410531414412053&amp;preview_pb=0&amp;sharer_language=&amp;_d=0&amp;ec_shared_reflux_dynamic_params=%7B%22placeholder_material_id%22%3A%227636410470756404501%22%2C%2"&amp;"2placeholder_origin_cover%22%3A%22https%253A%252F%252Fp16-common-sign.tiktokcdn.com%252Ftos-alisg-p-0037%252Fo4fFfplenz6nLGApgUuAGegGAI1RwYFjTx5ZgV~tplv-tiktokx-origin.jpeg%253Fdr%253D14572%2526refresh_token%253D352f2507%2526x-expires%253D1810116000%2526x"&amp;"-signature%253DXZZsQZnLKZtHf6G3hyHUIcAvlcQ%25253D%2526t%253D4d5b0474%2526ps%253D13740610%2526shp%253Dd05b14bd%2526shcp%253D34ff8df6%2526idc%253Dmy2%2526s%253DTIKTOK_AFFILIATE_VIRAL_VIDEO%22%2C%22placeholder_product_id%22%3A%221729729730555512511%22%2C%22p"&amp;"laceholder_video_id%22%3A%227636410470756404501%22%7D&amp;ec_shared_reflux_scene=shop_tab_feed&amp;share_item_id=7636410470756404501&amp;source=h5_t")</f>
        <v>https://www.tiktok.com/@berkah.glosir/video/7636410470756404501?_r=1&amp;u_code=e4hbm162fcgeg9&amp;region=&amp;mid=7636410531414412053&amp;preview_pb=0&amp;sharer_language=&amp;_d=0&amp;ec_shared_reflux_dynamic_params=%7B%22placeholder_material_id%22%3A%227636410470756404501%22%2C%22placeholder_origin_cover%22%3A%22https%253A%252F%252Fp16-common-sign.tiktokcdn.com%252Ftos-alisg-p-0037%252Fo4fFfplenz6nLGApgUuAGegGAI1RwYFjTx5ZgV~tplv-tiktokx-origin.jpeg%253Fdr%253D14572%2526refresh_token%253D352f2507%2526x-expires%253D1810116000%2526x-signature%253DXZZsQZnLKZtHf6G3hyHUIcAvlcQ%25253D%2526t%253D4d5b0474%2526ps%253D13740610%2526shp%253Dd05b14bd%2526shcp%253D34ff8df6%2526idc%253Dmy2%2526s%253DTIKTOK_AFFILIATE_VIRAL_VIDEO%22%2C%22placeholder_product_id%22%3A%221729729730555512511%22%2C%22placeholder_video_id%22%3A%227636410470756404501%22%7D&amp;ec_shared_reflux_scene=shop_tab_feed&amp;share_item_id=7636410470756404501&amp;source=h5_t</v>
      </c>
    </row>
    <row r="664">
      <c r="A664" s="255" t="str">
        <f>IFERROR(__xludf.DUMMYFUNCTION("""COMPUTED_VALUE"""),"MICRO")</f>
        <v>MICRO</v>
      </c>
      <c r="B664" s="361" t="str">
        <f>IFERROR(__xludf.DUMMYFUNCTION("""COMPUTED_VALUE"""),"niakurniawati")</f>
        <v>niakurniawati</v>
      </c>
      <c r="C664" s="257" t="str">
        <f>IFERROR(__xludf.DUMMYFUNCTION("""COMPUTED_VALUE"""),"https://www.tiktok.com/@niakurniawati")</f>
        <v>https://www.tiktok.com/@niakurniawati</v>
      </c>
      <c r="D664" s="270">
        <f>IFERROR(__xludf.DUMMYFUNCTION("""COMPUTED_VALUE"""),8.2228813538E10)</f>
        <v>82228813538</v>
      </c>
      <c r="E664" s="457">
        <f>IFERROR(__xludf.DUMMYFUNCTION("""COMPUTED_VALUE"""),0.0)</f>
        <v>0</v>
      </c>
      <c r="F664" s="270">
        <f>IFERROR(__xludf.DUMMYFUNCTION("""COMPUTED_VALUE"""),1.0)</f>
        <v>1</v>
      </c>
      <c r="G664" s="17" t="str">
        <f>IFERROR(__xludf.DUMMYFUNCTION("""COMPUTED_VALUE"""),"Sabun batang 1 Box ( 2 PCS )")</f>
        <v>Sabun batang 1 Box ( 2 PCS )</v>
      </c>
      <c r="H664" s="463" t="str">
        <f>IFERROR(__xludf.DUMMYFUNCTION("""COMPUTED_VALUE"""),"Sampai")</f>
        <v>Sampai</v>
      </c>
      <c r="I664" s="464" t="str">
        <f>IFERROR(__xludf.DUMMYFUNCTION("""COMPUTED_VALUE"""),"KIMME")</f>
        <v>KIMME</v>
      </c>
      <c r="J664" s="279" t="str">
        <f>IFERROR(__xludf.DUMMYFUNCTION("""COMPUTED_VALUE"""),"https://vt.tiktok.com/ZS94v4usy/")</f>
        <v>https://vt.tiktok.com/ZS94v4usy/</v>
      </c>
      <c r="K664" s="464" t="str">
        <f>IFERROR(__xludf.DUMMYFUNCTION("""COMPUTED_VALUE"""),"KIMME")</f>
        <v>KIMME</v>
      </c>
      <c r="L664" s="279" t="str">
        <f>IFERROR(__xludf.DUMMYFUNCTION("""COMPUTED_VALUE"""),"https://www.tiktok.com/@berkah.glosir/video/7634428733729934613?_r=1&amp;u_code=e4hbm162fcgeg9&amp;region=&amp;mid=7622622325444545300&amp;preview_pb=0&amp;sharer_language=&amp;_d=0&amp;ec_shared_reflux_dynamic_params=%7B%22placeholder_material_id%22%3A%227634428733729934613%22%2C%2"&amp;"2placeholder_origin_cover%22%3A%22https%253A%252F%252Fp16-common-sign.tiktokcdn.com%252Ftos-alisg-p-0037%252FoURR27QAwzALUI78HWGePyeKCeGQGFeQyEInjy~tplv-tiktokx-origin.jpeg%253Fdr%253D14572%2526refresh_token%253D5f072b78%2526x-expires%253D1810116000%2526x"&amp;"-signature%253DKL0Heoe0S%25252Btvnc5M7a%25252FMjj0Iu9c%25253D%2526t%253D4d5b0474%2526ps%253D13740610%2526shp%253Dd05b14bd%2526shcp%253D34ff8df6%2526idc%253Dmy2%2526s%253DTIKTOK_AFFILIATE_VIRAL_VIDEO%22%2C%22placeholder_product_id%22%3A%2217297297305555125"&amp;"11%22%2C%22placeholder_video_id%22%3A%227634428733729934613%22%7D&amp;ec_shared_reflux_scene=shop_tab_feed&amp;share_item_id=7634428733729934613&amp;source=h5_t")</f>
        <v>https://www.tiktok.com/@berkah.glosir/video/7634428733729934613?_r=1&amp;u_code=e4hbm162fcgeg9&amp;region=&amp;mid=7622622325444545300&amp;preview_pb=0&amp;sharer_language=&amp;_d=0&amp;ec_shared_reflux_dynamic_params=%7B%22placeholder_material_id%22%3A%227634428733729934613%22%2C%22placeholder_origin_cover%22%3A%22https%253A%252F%252Fp16-common-sign.tiktokcdn.com%252Ftos-alisg-p-0037%252FoURR27QAwzALUI78HWGePyeKCeGQGFeQyEInjy~tplv-tiktokx-origin.jpeg%253Fdr%253D14572%2526refresh_token%253D5f072b78%2526x-expires%253D1810116000%2526x-signature%253DKL0Heoe0S%25252Btvnc5M7a%25252FMjj0Iu9c%25253D%2526t%253D4d5b0474%2526ps%253D13740610%2526shp%253Dd05b14bd%2526shcp%253D34ff8df6%2526idc%253Dmy2%2526s%253DTIKTOK_AFFILIATE_VIRAL_VIDEO%22%2C%22placeholder_product_id%22%3A%221729729730555512511%22%2C%22placeholder_video_id%22%3A%227634428733729934613%22%7D&amp;ec_shared_reflux_scene=shop_tab_feed&amp;share_item_id=7634428733729934613&amp;source=h5_t</v>
      </c>
      <c r="M664" s="464"/>
      <c r="N664" s="279" t="str">
        <f>IFERROR(__xludf.DUMMYFUNCTION("""COMPUTED_VALUE"""),"https://www.tiktok.com/@berkah.glosir/video/7634427496120798485?_r=1&amp;u_code=e4hbm162fcgeg9&amp;region=&amp;mid=7549748664756603704&amp;preview_pb=0&amp;sharer_language=&amp;_d=0&amp;ec_shared_reflux_dynamic_params=%7B%22placeholder_material_id%22%3A%227634427496120798485%22%2C%2"&amp;"2placeholder_origin_cover%22%3A%22https%253A%252F%252Fp16-common-sign.tiktokcdn.com%252Ftos-alisg-p-0037%252Fog2yjT9t5fwII7K1DAQNK52eTRSAhLQGES4Ced~tplv-tiktokx-origin.jpeg%253Fdr%253D14572%2526refresh_token%253Dad91df6f%2526x-expires%253D1810116000%2526x"&amp;"-signature%253DeKl12Fl9FNBNNImX8vwVOFjp07Q%25253D%2526t%253D4d5b0474%2526ps%253D13740610%2526shp%253Dd05b14bd%2526shcp%253D34ff8df6%2526idc%253Dmy2%2526s%253DTIKTOK_AFFILIATE_VIRAL_VIDEO%22%2C%22placeholder_product_id%22%3A%221729729730555512511%22%2C%22p"&amp;"laceholder_video_id%22%3A%227634427496120798485%22%7D&amp;ec_shared_reflux_scene=shop_tab_feed&amp;share_item_id=7634427496120798485&amp;source=h5_t")</f>
        <v>https://www.tiktok.com/@berkah.glosir/video/7634427496120798485?_r=1&amp;u_code=e4hbm162fcgeg9&amp;region=&amp;mid=7549748664756603704&amp;preview_pb=0&amp;sharer_language=&amp;_d=0&amp;ec_shared_reflux_dynamic_params=%7B%22placeholder_material_id%22%3A%227634427496120798485%22%2C%22placeholder_origin_cover%22%3A%22https%253A%252F%252Fp16-common-sign.tiktokcdn.com%252Ftos-alisg-p-0037%252Fog2yjT9t5fwII7K1DAQNK52eTRSAhLQGES4Ced~tplv-tiktokx-origin.jpeg%253Fdr%253D14572%2526refresh_token%253Dad91df6f%2526x-expires%253D1810116000%2526x-signature%253DeKl12Fl9FNBNNImX8vwVOFjp07Q%25253D%2526t%253D4d5b0474%2526ps%253D13740610%2526shp%253Dd05b14bd%2526shcp%253D34ff8df6%2526idc%253Dmy2%2526s%253DTIKTOK_AFFILIATE_VIRAL_VIDEO%22%2C%22placeholder_product_id%22%3A%221729729730555512511%22%2C%22placeholder_video_id%22%3A%227634427496120798485%22%7D&amp;ec_shared_reflux_scene=shop_tab_feed&amp;share_item_id=7634427496120798485&amp;source=h5_t</v>
      </c>
      <c r="O664" s="464" t="str">
        <f>IFERROR(__xludf.DUMMYFUNCTION("""COMPUTED_VALUE"""),"KIMME")</f>
        <v>KIMME</v>
      </c>
      <c r="P664" s="279" t="str">
        <f>IFERROR(__xludf.DUMMYFUNCTION("""COMPUTED_VALUE"""),"https://www.tiktok.com/@berkah.glosir/video/7634426740927991060?_r=1&amp;u_code=e4hbm162fcgeg9&amp;region=&amp;mid=7386212389651695617&amp;preview_pb=0&amp;sharer_language=&amp;_d=0&amp;ec_shared_reflux_dynamic_params=%7B%22placeholder_material_id%22%3A%227634426740927991060%22%2C%2"&amp;"2placeholder_origin_cover%22%3A%22https%253A%252F%252Fp16-common-sign.tiktokcdn.com%252Ftos-alisg-p-0037%252FoIeA8BiXrnBWRYgncwKmiVyBf2cC3pIE7jI5m4~tplv-tiktokx-origin.jpeg%253Fdr%253D14572%2526refresh_token%253Dbb7f8473%2526x-expires%253D1810116000%2526x"&amp;"-signature%253DE%25252BJAg219PvQqQYx8a4qqTUpoF0g%25253D%2526t%253D4d5b0474%2526ps%253D13740610%2526shp%253Dd05b14bd%2526shcp%253D34ff8df6%2526idc%253Dmy2%2526s%253DTIKTOK_AFFILIATE_VIRAL_VIDEO%22%2C%22placeholder_product_id%22%3A%221729729730555512511%22%"&amp;"2C%22placeholder_video_id%22%3A%227634426740927991060%22%7D&amp;ec_shared_reflux_scene=shop_tab_feed&amp;share_item_id=7634426740927991060&amp;source=h5_t")</f>
        <v>https://www.tiktok.com/@berkah.glosir/video/7634426740927991060?_r=1&amp;u_code=e4hbm162fcgeg9&amp;region=&amp;mid=7386212389651695617&amp;preview_pb=0&amp;sharer_language=&amp;_d=0&amp;ec_shared_reflux_dynamic_params=%7B%22placeholder_material_id%22%3A%227634426740927991060%22%2C%22placeholder_origin_cover%22%3A%22https%253A%252F%252Fp16-common-sign.tiktokcdn.com%252Ftos-alisg-p-0037%252FoIeA8BiXrnBWRYgncwKmiVyBf2cC3pIE7jI5m4~tplv-tiktokx-origin.jpeg%253Fdr%253D14572%2526refresh_token%253Dbb7f8473%2526x-expires%253D1810116000%2526x-signature%253DE%25252BJAg219PvQqQYx8a4qqTUpoF0g%25253D%2526t%253D4d5b0474%2526ps%253D13740610%2526shp%253Dd05b14bd%2526shcp%253D34ff8df6%2526idc%253Dmy2%2526s%253DTIKTOK_AFFILIATE_VIRAL_VIDEO%22%2C%22placeholder_product_id%22%3A%221729729730555512511%22%2C%22placeholder_video_id%22%3A%227634426740927991060%22%7D&amp;ec_shared_reflux_scene=shop_tab_feed&amp;share_item_id=7634426740927991060&amp;source=h5_t</v>
      </c>
    </row>
    <row r="665">
      <c r="A665" s="255" t="str">
        <f>IFERROR(__xludf.DUMMYFUNCTION("""COMPUTED_VALUE"""),"MICRO")</f>
        <v>MICRO</v>
      </c>
      <c r="B665" s="361" t="str">
        <f>IFERROR(__xludf.DUMMYFUNCTION("""COMPUTED_VALUE"""),"ajenggabutterus1")</f>
        <v>ajenggabutterus1</v>
      </c>
      <c r="C665" s="257" t="str">
        <f>IFERROR(__xludf.DUMMYFUNCTION("""COMPUTED_VALUE"""),"https://www.tiktok.com/@ajenggabutterus1")</f>
        <v>https://www.tiktok.com/@ajenggabutterus1</v>
      </c>
      <c r="D665" s="270">
        <f>IFERROR(__xludf.DUMMYFUNCTION("""COMPUTED_VALUE"""),8.988407234E9)</f>
        <v>8988407234</v>
      </c>
      <c r="E665" s="457">
        <f>IFERROR(__xludf.DUMMYFUNCTION("""COMPUTED_VALUE"""),0.0)</f>
        <v>0</v>
      </c>
      <c r="F665" s="270">
        <f>IFERROR(__xludf.DUMMYFUNCTION("""COMPUTED_VALUE"""),2.0)</f>
        <v>2</v>
      </c>
      <c r="G665" s="17" t="str">
        <f>IFERROR(__xludf.DUMMYFUNCTION("""COMPUTED_VALUE"""),"Sabun batang 1 Box ( 2 PCS )")</f>
        <v>Sabun batang 1 Box ( 2 PCS )</v>
      </c>
      <c r="H665" s="463" t="str">
        <f>IFERROR(__xludf.DUMMYFUNCTION("""COMPUTED_VALUE"""),"Sampai")</f>
        <v>Sampai</v>
      </c>
      <c r="I665" s="464" t="str">
        <f>IFERROR(__xludf.DUMMYFUNCTION("""COMPUTED_VALUE"""),"KIMME")</f>
        <v>KIMME</v>
      </c>
      <c r="J665" s="279" t="str">
        <f>IFERROR(__xludf.DUMMYFUNCTION("""COMPUTED_VALUE"""),"https://www.tiktok.com/@berkah.glosir/video/7634360057269849365?_r=1&amp;u_code=e4hbm162fcgeg9&amp;region=&amp;mid=7615235409880221697&amp;preview_pb=0&amp;sharer_language=&amp;_d=0&amp;ec_shared_reflux_dynamic_params=%7B%22placeholder_material_id%22%3A%227634360057269849365%22%2C%2"&amp;"2placeholder_origin_cover%22%3A%22https%253A%252F%252Fp16-common-sign.tiktokcdn.com%252Ftos-alisg-p-0037%252FoggCQuF8INcKo42yBDDAQG87RVpgsBDEerE9fg~tplv-tiktokx-origin.jpeg%253Fdr%253D14572%2526refresh_token%253D122cb9cf%2526x-expires%253D1810116000%2526x"&amp;"-signature%253D9EM0CMQv68lUaLP3oO7EQwEL%25252FO8%25253D%2526t%253D4d5b0474%2526ps%253D13740610%2526shp%253Dd05b14bd%2526shcp%253D34ff8df6%2526idc%253Dmy2%2526s%253DTIKTOK_AFFILIATE_VIRAL_VIDEO%22%2C%22placeholder_product_id%22%3A%221729729730555512511%22%"&amp;"2C%22placeholder_video_id%22%3A%227634360057269849365%22%7D&amp;ec_shared_reflux_scene=shop_tab_feed&amp;share_item_id=7634360057269849365&amp;source=h5_t")</f>
        <v>https://www.tiktok.com/@berkah.glosir/video/7634360057269849365?_r=1&amp;u_code=e4hbm162fcgeg9&amp;region=&amp;mid=7615235409880221697&amp;preview_pb=0&amp;sharer_language=&amp;_d=0&amp;ec_shared_reflux_dynamic_params=%7B%22placeholder_material_id%22%3A%227634360057269849365%22%2C%22placeholder_origin_cover%22%3A%22https%253A%252F%252Fp16-common-sign.tiktokcdn.com%252Ftos-alisg-p-0037%252FoggCQuF8INcKo42yBDDAQG87RVpgsBDEerE9fg~tplv-tiktokx-origin.jpeg%253Fdr%253D14572%2526refresh_token%253D122cb9cf%2526x-expires%253D1810116000%2526x-signature%253D9EM0CMQv68lUaLP3oO7EQwEL%25252FO8%25253D%2526t%253D4d5b0474%2526ps%253D13740610%2526shp%253Dd05b14bd%2526shcp%253D34ff8df6%2526idc%253Dmy2%2526s%253DTIKTOK_AFFILIATE_VIRAL_VIDEO%22%2C%22placeholder_product_id%22%3A%221729729730555512511%22%2C%22placeholder_video_id%22%3A%227634360057269849365%22%7D&amp;ec_shared_reflux_scene=shop_tab_feed&amp;share_item_id=7634360057269849365&amp;source=h5_t</v>
      </c>
      <c r="K665" s="464" t="str">
        <f>IFERROR(__xludf.DUMMYFUNCTION("""COMPUTED_VALUE"""),"KIMME")</f>
        <v>KIMME</v>
      </c>
      <c r="L665" s="279" t="str">
        <f>IFERROR(__xludf.DUMMYFUNCTION("""COMPUTED_VALUE"""),"https://www.tiktok.com/@berkah.glosir/video/7634361410234928404?_r=1&amp;u_code=e4hbm162fcgeg9&amp;region=&amp;mid=7619384810863758097&amp;preview_pb=0&amp;sharer_language=&amp;_d=0&amp;ec_shared_reflux_dynamic_params=%7B%22placeholder_material_id%22%3A%227634361410234928404%22%2C%2"&amp;"2placeholder_origin_cover%22%3A%22https%253A%252F%252Fp16-common-sign.tiktokcdn.com%252Ftos-alisg-p-0037%252FoM4yIK740Iu4C5A3sAfigXziIbBBtoAHCwvm0y~tplv-tiktokx-origin.jpeg%253Fdr%253D14572%2526refresh_token%253D2256f2be%2526x-expires%253D1810116000%2526x"&amp;"-signature%253DqtopBXyRzPrDNej1IQ2y51Kh5RI%25253D%2526t%253D4d5b0474%2526ps%253D13740610%2526shp%253Dd05b14bd%2526shcp%253D34ff8df6%2526idc%253Dmy2%2526s%253DTIKTOK_AFFILIATE_VIRAL_VIDEO%22%2C%22placeholder_product_id%22%3A%221729427766722726591%22%2C%22p"&amp;"laceholder_video_id%22%3A%227634361410234928404%22%7D&amp;ec_shared_reflux_scene=shop_tab_feed&amp;share_item_id=7634361410234928404&amp;source=h5_t")</f>
        <v>https://www.tiktok.com/@berkah.glosir/video/7634361410234928404?_r=1&amp;u_code=e4hbm162fcgeg9&amp;region=&amp;mid=7619384810863758097&amp;preview_pb=0&amp;sharer_language=&amp;_d=0&amp;ec_shared_reflux_dynamic_params=%7B%22placeholder_material_id%22%3A%227634361410234928404%22%2C%22placeholder_origin_cover%22%3A%22https%253A%252F%252Fp16-common-sign.tiktokcdn.com%252Ftos-alisg-p-0037%252FoM4yIK740Iu4C5A3sAfigXziIbBBtoAHCwvm0y~tplv-tiktokx-origin.jpeg%253Fdr%253D14572%2526refresh_token%253D2256f2be%2526x-expires%253D1810116000%2526x-signature%253DqtopBXyRzPrDNej1IQ2y51Kh5RI%25253D%2526t%253D4d5b0474%2526ps%253D13740610%2526shp%253Dd05b14bd%2526shcp%253D34ff8df6%2526idc%253Dmy2%2526s%253DTIKTOK_AFFILIATE_VIRAL_VIDEO%22%2C%22placeholder_product_id%22%3A%221729427766722726591%22%2C%22placeholder_video_id%22%3A%227634361410234928404%22%7D&amp;ec_shared_reflux_scene=shop_tab_feed&amp;share_item_id=7634361410234928404&amp;source=h5_t</v>
      </c>
      <c r="M665" s="464"/>
      <c r="N665" s="279" t="str">
        <f>IFERROR(__xludf.DUMMYFUNCTION("""COMPUTED_VALUE"""),"https://www.tiktok.com/@berkah.glosir/video/7634422595030355221?_r=1&amp;u_code=e4hbm162fcgeg9&amp;region=&amp;mid=7608559003840400145&amp;preview_pb=0&amp;sharer_language=&amp;_d=0&amp;ec_shared_reflux_dynamic_params=%7B%22placeholder_material_id%22%3A%227634422595030355221%22%2C%2"&amp;"2placeholder_origin_cover%22%3A%22https%253A%252F%252Fp16-common-sign.tiktokcdn.com%252Ftos-alisg-p-0037%252Foo8rwfundTLSIAQ56EeWDIvMCSgf5IjyTy4ACD~tplv-tiktokx-origin.jpeg%253Fdr%253D14572%2526refresh_token%253D02a5d99c%2526x-expires%253D1810116000%2526x"&amp;"-signature%253DTOaekVshbHWGXyxFYOu8iyZQUj4%25253D%2526t%253D4d5b0474%2526ps%253D13740610%2526shp%253Dd05b14bd%2526shcp%253D34ff8df6%2526idc%253Dmy2%2526s%253DTIKTOK_AFFILIATE_VIRAL_VIDEO%22%2C%22placeholder_product_id%22%3A%221729729730555512511%22%2C%22p"&amp;"laceholder_video_id%22%3A%227634422595030355221%22%7D&amp;ec_shared_reflux_scene=shop_tab_feed&amp;share_item_id=7634422595030355221&amp;source=h5_t")</f>
        <v>https://www.tiktok.com/@berkah.glosir/video/7634422595030355221?_r=1&amp;u_code=e4hbm162fcgeg9&amp;region=&amp;mid=7608559003840400145&amp;preview_pb=0&amp;sharer_language=&amp;_d=0&amp;ec_shared_reflux_dynamic_params=%7B%22placeholder_material_id%22%3A%227634422595030355221%22%2C%22placeholder_origin_cover%22%3A%22https%253A%252F%252Fp16-common-sign.tiktokcdn.com%252Ftos-alisg-p-0037%252Foo8rwfundTLSIAQ56EeWDIvMCSgf5IjyTy4ACD~tplv-tiktokx-origin.jpeg%253Fdr%253D14572%2526refresh_token%253D02a5d99c%2526x-expires%253D1810116000%2526x-signature%253DTOaekVshbHWGXyxFYOu8iyZQUj4%25253D%2526t%253D4d5b0474%2526ps%253D13740610%2526shp%253Dd05b14bd%2526shcp%253D34ff8df6%2526idc%253Dmy2%2526s%253DTIKTOK_AFFILIATE_VIRAL_VIDEO%22%2C%22placeholder_product_id%22%3A%221729729730555512511%22%2C%22placeholder_video_id%22%3A%227634422595030355221%22%7D&amp;ec_shared_reflux_scene=shop_tab_feed&amp;share_item_id=7634422595030355221&amp;source=h5_t</v>
      </c>
      <c r="O665" s="464" t="str">
        <f>IFERROR(__xludf.DUMMYFUNCTION("""COMPUTED_VALUE"""),"KIMME")</f>
        <v>KIMME</v>
      </c>
      <c r="P665" s="279" t="str">
        <f>IFERROR(__xludf.DUMMYFUNCTION("""COMPUTED_VALUE"""),"https://www.tiktok.com/@berkah.glosir/video/7634426358956821781?_r=1&amp;u_code=e4hbm162fcgeg9&amp;region=&amp;mid=7544617105761536773&amp;preview_pb=0&amp;sharer_language=&amp;_d=0&amp;ec_shared_reflux_dynamic_params=%7B%22placeholder_material_id%22%3A%227634426358956821781%22%2C%2"&amp;"2placeholder_origin_cover%22%3A%22https%253A%252F%252Fp16-common-sign.tiktokcdn.com%252Ftos-alisg-p-0037%252FoQIyICBgR7I8AzDpbFzhfHB3O4fEVE2gc2ulBO~tplv-tiktokx-origin.jpeg%253Fdr%253D14572%2526refresh_token%253D3c03d259%2526x-expires%253D1810116000%2526x"&amp;"-signature%253D6SOuwKKhNEVWixwu%25252BczZ4y%25252B9ZQg%25253D%2526t%253D4d5b0474%2526ps%253D13740610%2526shp%253Dd05b14bd%2526shcp%253D34ff8df6%2526idc%253Dmy2%2526s%253DTIKTOK_AFFILIATE_VIRAL_VIDEO%22%2C%22placeholder_product_id%22%3A%2217297297305555125"&amp;"11%22%2C%22placeholder_video_id%22%3A%227634426358956821781%22%7D&amp;ec_shared_reflux_scene=shop_tab_feed&amp;share_item_id=7634426358956821781&amp;source=h5_t")</f>
        <v>https://www.tiktok.com/@berkah.glosir/video/7634426358956821781?_r=1&amp;u_code=e4hbm162fcgeg9&amp;region=&amp;mid=7544617105761536773&amp;preview_pb=0&amp;sharer_language=&amp;_d=0&amp;ec_shared_reflux_dynamic_params=%7B%22placeholder_material_id%22%3A%227634426358956821781%22%2C%22placeholder_origin_cover%22%3A%22https%253A%252F%252Fp16-common-sign.tiktokcdn.com%252Ftos-alisg-p-0037%252FoQIyICBgR7I8AzDpbFzhfHB3O4fEVE2gc2ulBO~tplv-tiktokx-origin.jpeg%253Fdr%253D14572%2526refresh_token%253D3c03d259%2526x-expires%253D1810116000%2526x-signature%253D6SOuwKKhNEVWixwu%25252BczZ4y%25252B9ZQg%25253D%2526t%253D4d5b0474%2526ps%253D13740610%2526shp%253Dd05b14bd%2526shcp%253D34ff8df6%2526idc%253Dmy2%2526s%253DTIKTOK_AFFILIATE_VIRAL_VIDEO%22%2C%22placeholder_product_id%22%3A%221729729730555512511%22%2C%22placeholder_video_id%22%3A%227634426358956821781%22%7D&amp;ec_shared_reflux_scene=shop_tab_feed&amp;share_item_id=7634426358956821781&amp;source=h5_t</v>
      </c>
    </row>
    <row r="666">
      <c r="A666" s="255" t="str">
        <f>IFERROR(__xludf.DUMMYFUNCTION("""COMPUTED_VALUE"""),"MICRO")</f>
        <v>MICRO</v>
      </c>
      <c r="B666" s="361" t="str">
        <f>IFERROR(__xludf.DUMMYFUNCTION("""COMPUTED_VALUE"""),"celinestyles")</f>
        <v>celinestyles</v>
      </c>
      <c r="C666" s="257" t="str">
        <f>IFERROR(__xludf.DUMMYFUNCTION("""COMPUTED_VALUE"""),"https://www.tiktok.com/@celinestyles")</f>
        <v>https://www.tiktok.com/@celinestyles</v>
      </c>
      <c r="D666" s="270">
        <f>IFERROR(__xludf.DUMMYFUNCTION("""COMPUTED_VALUE"""),8.999304868E9)</f>
        <v>8999304868</v>
      </c>
      <c r="E666" s="457">
        <f>IFERROR(__xludf.DUMMYFUNCTION("""COMPUTED_VALUE"""),0.0)</f>
        <v>0</v>
      </c>
      <c r="F666" s="270">
        <f>IFERROR(__xludf.DUMMYFUNCTION("""COMPUTED_VALUE"""),3.0)</f>
        <v>3</v>
      </c>
      <c r="G666" s="17" t="str">
        <f>IFERROR(__xludf.DUMMYFUNCTION("""COMPUTED_VALUE"""),"Sabun batang 1 Box ( 2 PCS )")</f>
        <v>Sabun batang 1 Box ( 2 PCS )</v>
      </c>
      <c r="H666" s="463" t="str">
        <f>IFERROR(__xludf.DUMMYFUNCTION("""COMPUTED_VALUE"""),"Sampai")</f>
        <v>Sampai</v>
      </c>
      <c r="I666" s="464" t="str">
        <f>IFERROR(__xludf.DUMMYFUNCTION("""COMPUTED_VALUE"""),"KIMME")</f>
        <v>KIMME</v>
      </c>
      <c r="J666" s="279" t="str">
        <f>IFERROR(__xludf.DUMMYFUNCTION("""COMPUTED_VALUE"""),"https://vt.tiktok.com/ZS9jj2Fh7/")</f>
        <v>https://vt.tiktok.com/ZS9jj2Fh7/</v>
      </c>
      <c r="K666" s="464" t="str">
        <f>IFERROR(__xludf.DUMMYFUNCTION("""COMPUTED_VALUE"""),"KIMME")</f>
        <v>KIMME</v>
      </c>
      <c r="L666" s="279" t="str">
        <f>IFERROR(__xludf.DUMMYFUNCTION("""COMPUTED_VALUE"""),"https://vt.tiktok.com/ZS9jjkhfY/")</f>
        <v>https://vt.tiktok.com/ZS9jjkhfY/</v>
      </c>
      <c r="M666" s="464"/>
      <c r="N666" s="279" t="str">
        <f>IFERROR(__xludf.DUMMYFUNCTION("""COMPUTED_VALUE"""),"https://vt.tiktok.com/ZS9jjkeHn/")</f>
        <v>https://vt.tiktok.com/ZS9jjkeHn/</v>
      </c>
      <c r="O666" s="464" t="str">
        <f>IFERROR(__xludf.DUMMYFUNCTION("""COMPUTED_VALUE"""),"KIMME")</f>
        <v>KIMME</v>
      </c>
      <c r="P666" s="279" t="str">
        <f>IFERROR(__xludf.DUMMYFUNCTION("""COMPUTED_VALUE"""),"https://www.tiktok.com/@berkah.glosir/video/7634358900485098773?_r=1&amp;u_code=e4hbm162fcgeg9&amp;region=&amp;mid=7576314167990585361&amp;preview_pb=0&amp;sharer_language=&amp;_d=0&amp;ec_shared_reflux_dynamic_params=%7B%22placeholder_material_id%22%3A%227634358900485098773%22%2C%2"&amp;"2placeholder_origin_cover%22%3A%22https%253A%252F%252Fp19-common-sign.tiktokcdn.com%252Ftos-alisg-p-0037%252FoYCnffOfjTEbr4DsCLDyVFFWvQb5AArIvKsCII~tplv-tiktokx-origin.jpeg%253Fdr%253D14572%2526refresh_token%253Df95caf52%2526x-expires%253D1810116000%2526x"&amp;"-signature%253D9qX3QDDnF8MKv6sAxyUSPBDWMIg%25253D%2526t%253D4d5b0474%2526ps%253D13740610%2526shp%253Dd05b14bd%2526shcp%253D34ff8df6%2526idc%253Dmy2%2526s%253DTIKTOK_AFFILIATE_VIRAL_VIDEO%22%2C%22placeholder_product_id%22%3A%221729729730555512511%22%2C%22p"&amp;"laceholder_video_id%22%3A%227634358900485098773%22%7D&amp;ec_shared_reflux_scene=shop_tab_feed&amp;share_item_id=7634358900485098773&amp;source=h5_t")</f>
        <v>https://www.tiktok.com/@berkah.glosir/video/7634358900485098773?_r=1&amp;u_code=e4hbm162fcgeg9&amp;region=&amp;mid=7576314167990585361&amp;preview_pb=0&amp;sharer_language=&amp;_d=0&amp;ec_shared_reflux_dynamic_params=%7B%22placeholder_material_id%22%3A%227634358900485098773%22%2C%22placeholder_origin_cover%22%3A%22https%253A%252F%252Fp19-common-sign.tiktokcdn.com%252Ftos-alisg-p-0037%252FoYCnffOfjTEbr4DsCLDyVFFWvQb5AArIvKsCII~tplv-tiktokx-origin.jpeg%253Fdr%253D14572%2526refresh_token%253Df95caf52%2526x-expires%253D1810116000%2526x-signature%253D9qX3QDDnF8MKv6sAxyUSPBDWMIg%25253D%2526t%253D4d5b0474%2526ps%253D13740610%2526shp%253Dd05b14bd%2526shcp%253D34ff8df6%2526idc%253Dmy2%2526s%253DTIKTOK_AFFILIATE_VIRAL_VIDEO%22%2C%22placeholder_product_id%22%3A%221729729730555512511%22%2C%22placeholder_video_id%22%3A%227634358900485098773%22%7D&amp;ec_shared_reflux_scene=shop_tab_feed&amp;share_item_id=7634358900485098773&amp;source=h5_t</v>
      </c>
    </row>
    <row r="667">
      <c r="A667" s="255" t="str">
        <f>IFERROR(__xludf.DUMMYFUNCTION("""COMPUTED_VALUE"""),"MICRO")</f>
        <v>MICRO</v>
      </c>
      <c r="B667" s="361" t="str">
        <f>IFERROR(__xludf.DUMMYFUNCTION("""COMPUTED_VALUE"""),"nilaqueen_")</f>
        <v>nilaqueen_</v>
      </c>
      <c r="C667" s="257" t="str">
        <f>IFERROR(__xludf.DUMMYFUNCTION("""COMPUTED_VALUE"""),"https://www.tiktok.com/@nilaqueen_")</f>
        <v>https://www.tiktok.com/@nilaqueen_</v>
      </c>
      <c r="D667" s="270">
        <f>IFERROR(__xludf.DUMMYFUNCTION("""COMPUTED_VALUE"""),8.3125368906E10)</f>
        <v>83125368906</v>
      </c>
      <c r="E667" s="457">
        <f>IFERROR(__xludf.DUMMYFUNCTION("""COMPUTED_VALUE"""),0.0)</f>
        <v>0</v>
      </c>
      <c r="F667" s="270">
        <f>IFERROR(__xludf.DUMMYFUNCTION("""COMPUTED_VALUE"""),2.0)</f>
        <v>2</v>
      </c>
      <c r="G667" s="17" t="str">
        <f>IFERROR(__xludf.DUMMYFUNCTION("""COMPUTED_VALUE"""),"Sabun batang 1 Box ( 2 PCS )")</f>
        <v>Sabun batang 1 Box ( 2 PCS )</v>
      </c>
      <c r="H667" s="463" t="str">
        <f>IFERROR(__xludf.DUMMYFUNCTION("""COMPUTED_VALUE"""),"Sampai")</f>
        <v>Sampai</v>
      </c>
      <c r="I667" s="464" t="str">
        <f>IFERROR(__xludf.DUMMYFUNCTION("""COMPUTED_VALUE"""),"KIMME")</f>
        <v>KIMME</v>
      </c>
      <c r="J667" s="279" t="str">
        <f>IFERROR(__xludf.DUMMYFUNCTION("""COMPUTED_VALUE"""),"https://vt.tiktok.com/ZS9jj4yHR/")</f>
        <v>https://vt.tiktok.com/ZS9jj4yHR/</v>
      </c>
      <c r="K667" s="464" t="str">
        <f>IFERROR(__xludf.DUMMYFUNCTION("""COMPUTED_VALUE"""),"KIMME")</f>
        <v>KIMME</v>
      </c>
      <c r="L667" s="279" t="str">
        <f>IFERROR(__xludf.DUMMYFUNCTION("""COMPUTED_VALUE"""),"https://vt.tiktok.com/ZS9jjHHyc/")</f>
        <v>https://vt.tiktok.com/ZS9jjHHyc/</v>
      </c>
      <c r="M667" s="464"/>
      <c r="N667" s="279" t="str">
        <f>IFERROR(__xludf.DUMMYFUNCTION("""COMPUTED_VALUE"""),"https://www.tiktok.com/@berkah.glosir/video/7634359414669184276?_r=1&amp;u_code=e4hbm162fcgeg9&amp;region=&amp;mid=7587385617824353045&amp;preview_pb=0&amp;sharer_language=&amp;_d=0&amp;ec_shared_reflux_dynamic_params=%7B%22placeholder_material_id%22%3A%227634359414669184276%22%2C%2"&amp;"2placeholder_origin_cover%22%3A%22https%253A%252F%252Fp16-common-sign.tiktokcdn.com%252Ftos-alisg-p-0037%252FogFEXrUp8A5TBgSEEg1rfRsBcjyfQDHhEqGgQD~tplv-tiktokx-origin.jpeg%253Fdr%253D14572%2526refresh_token%253Dbbab9a0f%2526x-expires%253D1810116000%2526x"&amp;"-signature%253D8ipxVK7mCsf2Ao0vynNd8moVa%25252Bk%25253D%2526t%253D4d5b0474%2526ps%253D13740610%2526shp%253Dd05b14bd%2526shcp%253D34ff8df6%2526idc%253Dmy2%2526s%253DTIKTOK_AFFILIATE_VIRAL_VIDEO%22%2C%22placeholder_product_id%22%3A%221729729730555512511%22%"&amp;"2C%22placeholder_video_id%22%3A%227634359414669184276%22%7D&amp;ec_shared_reflux_scene=shop_tab_feed&amp;share_item_id=7634359414669184276&amp;source=h5_t")</f>
        <v>https://www.tiktok.com/@berkah.glosir/video/7634359414669184276?_r=1&amp;u_code=e4hbm162fcgeg9&amp;region=&amp;mid=7587385617824353045&amp;preview_pb=0&amp;sharer_language=&amp;_d=0&amp;ec_shared_reflux_dynamic_params=%7B%22placeholder_material_id%22%3A%227634359414669184276%22%2C%22placeholder_origin_cover%22%3A%22https%253A%252F%252Fp16-common-sign.tiktokcdn.com%252Ftos-alisg-p-0037%252FogFEXrUp8A5TBgSEEg1rfRsBcjyfQDHhEqGgQD~tplv-tiktokx-origin.jpeg%253Fdr%253D14572%2526refresh_token%253Dbbab9a0f%2526x-expires%253D1810116000%2526x-signature%253D8ipxVK7mCsf2Ao0vynNd8moVa%25252Bk%25253D%2526t%253D4d5b0474%2526ps%253D13740610%2526shp%253Dd05b14bd%2526shcp%253D34ff8df6%2526idc%253Dmy2%2526s%253DTIKTOK_AFFILIATE_VIRAL_VIDEO%22%2C%22placeholder_product_id%22%3A%221729729730555512511%22%2C%22placeholder_video_id%22%3A%227634359414669184276%22%7D&amp;ec_shared_reflux_scene=shop_tab_feed&amp;share_item_id=7634359414669184276&amp;source=h5_t</v>
      </c>
      <c r="O667" s="464" t="str">
        <f>IFERROR(__xludf.DUMMYFUNCTION("""COMPUTED_VALUE"""),"KIMME")</f>
        <v>KIMME</v>
      </c>
      <c r="P667" s="279" t="str">
        <f>IFERROR(__xludf.DUMMYFUNCTION("""COMPUTED_VALUE"""),"https://www.tiktok.com/@berkah.glosir/video/7634357151317626132?_r=1&amp;u_code=e4hbm162fcgeg9&amp;region=&amp;mid=7617088734676552456&amp;preview_pb=0&amp;sharer_language=&amp;_d=0&amp;ec_shared_reflux_dynamic_params=%7B%22placeholder_material_id%22%3A%227634357151317626132%22%2C%2"&amp;"2placeholder_origin_cover%22%3A%22https%253A%252F%252Fp16-common-sign.tiktokcdn.com%252Ftos-alisg-p-0037%252Fo8EoYeREQBAf2QnyEp4g82cAcBF84r8DqhJmAt~tplv-tiktokx-origin.jpeg%253Fdr%253D14572%2526refresh_token%253Dc64e1d00%2526x-expires%253D1810116000%2526x"&amp;"-signature%253DYkdrjNiA8Xz57ZbQlwOiLTcP3lU%25253D%2526t%253D4d5b0474%2526ps%253D13740610%2526shp%253Dd05b14bd%2526shcp%253D34ff8df6%2526idc%253Dmy2%2526s%253DTIKTOK_AFFILIATE_VIRAL_VIDEO%22%2C%22placeholder_product_id%22%3A%221729729730555512511%22%2C%22p"&amp;"laceholder_video_id%22%3A%227634357151317626132%22%7D&amp;ec_shared_reflux_scene=shop_tab_feed&amp;share_item_id=7634357151317626132&amp;source=h5_t")</f>
        <v>https://www.tiktok.com/@berkah.glosir/video/7634357151317626132?_r=1&amp;u_code=e4hbm162fcgeg9&amp;region=&amp;mid=7617088734676552456&amp;preview_pb=0&amp;sharer_language=&amp;_d=0&amp;ec_shared_reflux_dynamic_params=%7B%22placeholder_material_id%22%3A%227634357151317626132%22%2C%22placeholder_origin_cover%22%3A%22https%253A%252F%252Fp16-common-sign.tiktokcdn.com%252Ftos-alisg-p-0037%252Fo8EoYeREQBAf2QnyEp4g82cAcBF84r8DqhJmAt~tplv-tiktokx-origin.jpeg%253Fdr%253D14572%2526refresh_token%253Dc64e1d00%2526x-expires%253D1810116000%2526x-signature%253DYkdrjNiA8Xz57ZbQlwOiLTcP3lU%25253D%2526t%253D4d5b0474%2526ps%253D13740610%2526shp%253Dd05b14bd%2526shcp%253D34ff8df6%2526idc%253Dmy2%2526s%253DTIKTOK_AFFILIATE_VIRAL_VIDEO%22%2C%22placeholder_product_id%22%3A%221729729730555512511%22%2C%22placeholder_video_id%22%3A%227634357151317626132%22%7D&amp;ec_shared_reflux_scene=shop_tab_feed&amp;share_item_id=7634357151317626132&amp;source=h5_t</v>
      </c>
    </row>
    <row r="668">
      <c r="A668" s="255" t="str">
        <f>IFERROR(__xludf.DUMMYFUNCTION("""COMPUTED_VALUE"""),"MICRO")</f>
        <v>MICRO</v>
      </c>
      <c r="B668" s="361" t="str">
        <f>IFERROR(__xludf.DUMMYFUNCTION("""COMPUTED_VALUE"""),"fidyaashacc")</f>
        <v>fidyaashacc</v>
      </c>
      <c r="C668" s="257" t="str">
        <f>IFERROR(__xludf.DUMMYFUNCTION("""COMPUTED_VALUE"""),"https://www.tiktok.com/@fidyaashacc")</f>
        <v>https://www.tiktok.com/@fidyaashacc</v>
      </c>
      <c r="D668" s="270">
        <f>IFERROR(__xludf.DUMMYFUNCTION("""COMPUTED_VALUE"""),8.5249159957E10)</f>
        <v>85249159957</v>
      </c>
      <c r="E668" s="457">
        <f>IFERROR(__xludf.DUMMYFUNCTION("""COMPUTED_VALUE"""),0.0)</f>
        <v>0</v>
      </c>
      <c r="F668" s="270">
        <f>IFERROR(__xludf.DUMMYFUNCTION("""COMPUTED_VALUE"""),4.0)</f>
        <v>4</v>
      </c>
      <c r="G668" s="17" t="str">
        <f>IFERROR(__xludf.DUMMYFUNCTION("""COMPUTED_VALUE"""),"Sabun batang 1 Box ( 2 PCS )")</f>
        <v>Sabun batang 1 Box ( 2 PCS )</v>
      </c>
      <c r="H668" s="463" t="str">
        <f>IFERROR(__xludf.DUMMYFUNCTION("""COMPUTED_VALUE"""),"Sampai")</f>
        <v>Sampai</v>
      </c>
      <c r="I668" s="464" t="str">
        <f>IFERROR(__xludf.DUMMYFUNCTION("""COMPUTED_VALUE"""),"KIMME")</f>
        <v>KIMME</v>
      </c>
      <c r="J668" s="279" t="str">
        <f>IFERROR(__xludf.DUMMYFUNCTION("""COMPUTED_VALUE"""),"https://vt.tiktok.com/ZS9jjPmBu/")</f>
        <v>https://vt.tiktok.com/ZS9jjPmBu/</v>
      </c>
      <c r="K668" s="464" t="str">
        <f>IFERROR(__xludf.DUMMYFUNCTION("""COMPUTED_VALUE"""),"KIMME")</f>
        <v>KIMME</v>
      </c>
      <c r="L668" s="279" t="str">
        <f>IFERROR(__xludf.DUMMYFUNCTION("""COMPUTED_VALUE"""),"https://vt.tiktok.com/ZS9jjQQay/")</f>
        <v>https://vt.tiktok.com/ZS9jjQQay/</v>
      </c>
      <c r="M668" s="464"/>
      <c r="N668" s="279" t="str">
        <f>IFERROR(__xludf.DUMMYFUNCTION("""COMPUTED_VALUE"""),"https://vt.tiktok.com/ZS9rX15mL/")</f>
        <v>https://vt.tiktok.com/ZS9rX15mL/</v>
      </c>
      <c r="O668" s="464"/>
      <c r="P668" s="279" t="str">
        <f>IFERROR(__xludf.DUMMYFUNCTION("""COMPUTED_VALUE"""),"https://vt.tiktok.com/ZS9rXYdVJ/")</f>
        <v>https://vt.tiktok.com/ZS9rXYdVJ/</v>
      </c>
    </row>
    <row r="669">
      <c r="A669" s="255" t="str">
        <f>IFERROR(__xludf.DUMMYFUNCTION("""COMPUTED_VALUE"""),"MICRO")</f>
        <v>MICRO</v>
      </c>
      <c r="B669" s="361" t="str">
        <f>IFERROR(__xludf.DUMMYFUNCTION("""COMPUTED_VALUE"""),"siti_beauty")</f>
        <v>siti_beauty</v>
      </c>
      <c r="C669" s="257" t="str">
        <f>IFERROR(__xludf.DUMMYFUNCTION("""COMPUTED_VALUE"""),"https://www.tiktok.com/@siti_beauty")</f>
        <v>https://www.tiktok.com/@siti_beauty</v>
      </c>
      <c r="D669" s="270">
        <f>IFERROR(__xludf.DUMMYFUNCTION("""COMPUTED_VALUE"""),8.5711813644E10)</f>
        <v>85711813644</v>
      </c>
      <c r="E669" s="457">
        <f>IFERROR(__xludf.DUMMYFUNCTION("""COMPUTED_VALUE"""),0.0)</f>
        <v>0</v>
      </c>
      <c r="F669" s="270">
        <f>IFERROR(__xludf.DUMMYFUNCTION("""COMPUTED_VALUE"""),4.0)</f>
        <v>4</v>
      </c>
      <c r="G669" s="17" t="str">
        <f>IFERROR(__xludf.DUMMYFUNCTION("""COMPUTED_VALUE"""),"Sabun batang 1 Box ( 2 PCS )")</f>
        <v>Sabun batang 1 Box ( 2 PCS )</v>
      </c>
      <c r="H669" s="463" t="str">
        <f>IFERROR(__xludf.DUMMYFUNCTION("""COMPUTED_VALUE"""),"Sampai")</f>
        <v>Sampai</v>
      </c>
      <c r="I669" s="464" t="str">
        <f>IFERROR(__xludf.DUMMYFUNCTION("""COMPUTED_VALUE"""),"KIMME")</f>
        <v>KIMME</v>
      </c>
      <c r="J669" s="279" t="str">
        <f>IFERROR(__xludf.DUMMYFUNCTION("""COMPUTED_VALUE"""),"https://vt.tiktok.com/ZS9rCEkTh/")</f>
        <v>https://vt.tiktok.com/ZS9rCEkTh/</v>
      </c>
      <c r="K669" s="464" t="str">
        <f>IFERROR(__xludf.DUMMYFUNCTION("""COMPUTED_VALUE"""),"KIMME")</f>
        <v>KIMME</v>
      </c>
      <c r="L669" s="279" t="str">
        <f>IFERROR(__xludf.DUMMYFUNCTION("""COMPUTED_VALUE"""),"https://vt.tiktok.com/ZS9rCnHt2/")</f>
        <v>https://vt.tiktok.com/ZS9rCnHt2/</v>
      </c>
      <c r="M669" s="464"/>
      <c r="N669" s="279" t="str">
        <f>IFERROR(__xludf.DUMMYFUNCTION("""COMPUTED_VALUE"""),"https://vt.tiktok.com/ZS9rXFmWU/")</f>
        <v>https://vt.tiktok.com/ZS9rXFmWU/</v>
      </c>
      <c r="O669" s="464"/>
      <c r="P669" s="279" t="str">
        <f>IFERROR(__xludf.DUMMYFUNCTION("""COMPUTED_VALUE"""),"https://vt.tiktok.com/ZS9rX25kn/")</f>
        <v>https://vt.tiktok.com/ZS9rX25kn/</v>
      </c>
    </row>
    <row r="670">
      <c r="A670" s="255" t="str">
        <f>IFERROR(__xludf.DUMMYFUNCTION("""COMPUTED_VALUE"""),"MACRO")</f>
        <v>MACRO</v>
      </c>
      <c r="B670" s="361" t="str">
        <f>IFERROR(__xludf.DUMMYFUNCTION("""COMPUTED_VALUE"""),"alyssacacaaz")</f>
        <v>alyssacacaaz</v>
      </c>
      <c r="C670" s="257" t="str">
        <f>IFERROR(__xludf.DUMMYFUNCTION("""COMPUTED_VALUE"""),"https://www.tiktok.com/@alyssacacaaz")</f>
        <v>https://www.tiktok.com/@alyssacacaaz</v>
      </c>
      <c r="D670" s="270">
        <f>IFERROR(__xludf.DUMMYFUNCTION("""COMPUTED_VALUE"""),8.1273225011E10)</f>
        <v>81273225011</v>
      </c>
      <c r="E670" s="457">
        <f>IFERROR(__xludf.DUMMYFUNCTION("""COMPUTED_VALUE"""),0.0)</f>
        <v>0</v>
      </c>
      <c r="F670" s="270">
        <f>IFERROR(__xludf.DUMMYFUNCTION("""COMPUTED_VALUE"""),1.0)</f>
        <v>1</v>
      </c>
      <c r="G670" s="17" t="str">
        <f>IFERROR(__xludf.DUMMYFUNCTION("""COMPUTED_VALUE"""),"Sabun batang 1 Box ( 2 PCS )")</f>
        <v>Sabun batang 1 Box ( 2 PCS )</v>
      </c>
      <c r="H670" s="463" t="str">
        <f>IFERROR(__xludf.DUMMYFUNCTION("""COMPUTED_VALUE"""),"Sampai")</f>
        <v>Sampai</v>
      </c>
      <c r="I670" s="464" t="str">
        <f>IFERROR(__xludf.DUMMYFUNCTION("""COMPUTED_VALUE"""),"KIMME")</f>
        <v>KIMME</v>
      </c>
      <c r="J670" s="279" t="str">
        <f>IFERROR(__xludf.DUMMYFUNCTION("""COMPUTED_VALUE"""),"https://vt.tiktok.com/ZS9MeAkyR/")</f>
        <v>https://vt.tiktok.com/ZS9MeAkyR/</v>
      </c>
      <c r="K670" s="464" t="str">
        <f>IFERROR(__xludf.DUMMYFUNCTION("""COMPUTED_VALUE"""),"KIMME")</f>
        <v>KIMME</v>
      </c>
      <c r="L670" s="279" t="str">
        <f>IFERROR(__xludf.DUMMYFUNCTION("""COMPUTED_VALUE"""),"https://www.tiktok.com/@rindi.afrilia/video/7631507349915716884?_r=1&amp;u_code=dja890i3j90f3j&amp;region=&amp;mid=7610763691407509521&amp;preview_pb=0&amp;sharer_language=&amp;_d=0&amp;ec_shared_reflux_dynamic_params=%7B%22placeholder_material_id%22%3A%227631507349915716884%22%2C%2"&amp;"2placeholder_origin_cover%22%3A%22https%253A%252F%252Fp16-common-sign.tiktokcdn.com%252Ftos-alisg-p-0037%252FoEkon78EXCRECQkQIBFpAjfDguc5zBt4fI6E60~tplv-tiktokx-origin.jpeg%253Fdr%253D14572%2526refresh_token%253D2e874fd2%2526x-expires%253D1810202400%2526x"&amp;"-signature%253Dv3SJoYARXP2eMbP%25252FQgF7QKiwRqg%25253D%2526t%253D4d5b0474%2526ps%253D13740610%2526shp%253Dd05b14bd%2526shcp%253D34ff8df6%2526idc%253Dmy2%2526s%253DTIKTOK_AFFILIATE_VIRAL_VIDEO%22%2C%22placeholder_product_id%22%3A%221729427766722726591%22%"&amp;"2C%22placeholder_video_id%22%3A%227631507349915716884%22%7D&amp;ec_shared_reflux_scene=shop_tab_feed&amp;share_item_id=7631507349915716884&amp;source=h5_t")</f>
        <v>https://www.tiktok.com/@rindi.afrilia/video/7631507349915716884?_r=1&amp;u_code=dja890i3j90f3j&amp;region=&amp;mid=7610763691407509521&amp;preview_pb=0&amp;sharer_language=&amp;_d=0&amp;ec_shared_reflux_dynamic_params=%7B%22placeholder_material_id%22%3A%227631507349915716884%22%2C%22placeholder_origin_cover%22%3A%22https%253A%252F%252Fp16-common-sign.tiktokcdn.com%252Ftos-alisg-p-0037%252FoEkon78EXCRECQkQIBFpAjfDguc5zBt4fI6E60~tplv-tiktokx-origin.jpeg%253Fdr%253D14572%2526refresh_token%253D2e874fd2%2526x-expires%253D1810202400%2526x-signature%253Dv3SJoYARXP2eMbP%25252FQgF7QKiwRqg%25253D%2526t%253D4d5b0474%2526ps%253D13740610%2526shp%253Dd05b14bd%2526shcp%253D34ff8df6%2526idc%253Dmy2%2526s%253DTIKTOK_AFFILIATE_VIRAL_VIDEO%22%2C%22placeholder_product_id%22%3A%221729427766722726591%22%2C%22placeholder_video_id%22%3A%227631507349915716884%22%7D&amp;ec_shared_reflux_scene=shop_tab_feed&amp;share_item_id=7631507349915716884&amp;source=h5_t</v>
      </c>
      <c r="M670" s="464"/>
      <c r="N670" s="17"/>
      <c r="O670" s="464"/>
      <c r="P670" s="17"/>
    </row>
    <row r="671">
      <c r="A671" s="255" t="str">
        <f>IFERROR(__xludf.DUMMYFUNCTION("""COMPUTED_VALUE"""),"MICRO")</f>
        <v>MICRO</v>
      </c>
      <c r="B671" s="361" t="str">
        <f>IFERROR(__xludf.DUMMYFUNCTION("""COMPUTED_VALUE"""),"intanayulaksmi")</f>
        <v>intanayulaksmi</v>
      </c>
      <c r="C671" s="257" t="str">
        <f>IFERROR(__xludf.DUMMYFUNCTION("""COMPUTED_VALUE"""),"https://www.tiktok.com/@intanayulaksmi")</f>
        <v>https://www.tiktok.com/@intanayulaksmi</v>
      </c>
      <c r="D671" s="270">
        <f>IFERROR(__xludf.DUMMYFUNCTION("""COMPUTED_VALUE"""),8.2214548809E10)</f>
        <v>82214548809</v>
      </c>
      <c r="E671" s="457">
        <f>IFERROR(__xludf.DUMMYFUNCTION("""COMPUTED_VALUE"""),0.0)</f>
        <v>0</v>
      </c>
      <c r="F671" s="270">
        <f>IFERROR(__xludf.DUMMYFUNCTION("""COMPUTED_VALUE"""),2.0)</f>
        <v>2</v>
      </c>
      <c r="G671" s="17" t="str">
        <f>IFERROR(__xludf.DUMMYFUNCTION("""COMPUTED_VALUE"""),"Sabun batang 1 Box ( 2 PCS )")</f>
        <v>Sabun batang 1 Box ( 2 PCS )</v>
      </c>
      <c r="H671" s="463" t="str">
        <f>IFERROR(__xludf.DUMMYFUNCTION("""COMPUTED_VALUE"""),"Sampai")</f>
        <v>Sampai</v>
      </c>
      <c r="I671" s="464" t="str">
        <f>IFERROR(__xludf.DUMMYFUNCTION("""COMPUTED_VALUE"""),"KIMME")</f>
        <v>KIMME</v>
      </c>
      <c r="J671" s="279" t="str">
        <f>IFERROR(__xludf.DUMMYFUNCTION("""COMPUTED_VALUE"""),"https://vt.tiktok.com/ZS9jj2Yg5/")</f>
        <v>https://vt.tiktok.com/ZS9jj2Yg5/</v>
      </c>
      <c r="K671" s="464" t="str">
        <f>IFERROR(__xludf.DUMMYFUNCTION("""COMPUTED_VALUE"""),"KIMME")</f>
        <v>KIMME</v>
      </c>
      <c r="L671" s="279" t="str">
        <f>IFERROR(__xludf.DUMMYFUNCTION("""COMPUTED_VALUE"""),"https://www.tiktok.com/@berkah.glosir/video/7633017214915939604")</f>
        <v>https://www.tiktok.com/@berkah.glosir/video/7633017214915939604</v>
      </c>
      <c r="M671" s="464"/>
      <c r="N671" s="279" t="str">
        <f>IFERROR(__xludf.DUMMYFUNCTION("""COMPUTED_VALUE"""),"https://vt.tiktok.com/ZSxdTFSoj/")</f>
        <v>https://vt.tiktok.com/ZSxdTFSoj/</v>
      </c>
      <c r="O671" s="464"/>
      <c r="P671" s="279" t="str">
        <f>IFERROR(__xludf.DUMMYFUNCTION("""COMPUTED_VALUE"""),"https://vt.tiktok.com/ZSxdTkkmL/")</f>
        <v>https://vt.tiktok.com/ZSxdTkkmL/</v>
      </c>
    </row>
    <row r="672">
      <c r="A672" s="255" t="str">
        <f>IFERROR(__xludf.DUMMYFUNCTION("""COMPUTED_VALUE"""),"MACRO")</f>
        <v>MACRO</v>
      </c>
      <c r="B672" s="361" t="str">
        <f>IFERROR(__xludf.DUMMYFUNCTION("""COMPUTED_VALUE"""),"shusiie_limbong")</f>
        <v>shusiie_limbong</v>
      </c>
      <c r="C672" s="257" t="str">
        <f>IFERROR(__xludf.DUMMYFUNCTION("""COMPUTED_VALUE"""),"https://www.tiktok.com/@shusiie_limbong")</f>
        <v>https://www.tiktok.com/@shusiie_limbong</v>
      </c>
      <c r="D672" s="270">
        <f>IFERROR(__xludf.DUMMYFUNCTION("""COMPUTED_VALUE"""),8.2272390013E10)</f>
        <v>82272390013</v>
      </c>
      <c r="E672" s="457">
        <f>IFERROR(__xludf.DUMMYFUNCTION("""COMPUTED_VALUE"""),0.0)</f>
        <v>0</v>
      </c>
      <c r="F672" s="270">
        <f>IFERROR(__xludf.DUMMYFUNCTION("""COMPUTED_VALUE"""),2.0)</f>
        <v>2</v>
      </c>
      <c r="G672" s="17" t="str">
        <f>IFERROR(__xludf.DUMMYFUNCTION("""COMPUTED_VALUE"""),"Sabun batang 1 Box ( 2 PCS )")</f>
        <v>Sabun batang 1 Box ( 2 PCS )</v>
      </c>
      <c r="H672" s="463" t="str">
        <f>IFERROR(__xludf.DUMMYFUNCTION("""COMPUTED_VALUE"""),"Sampai")</f>
        <v>Sampai</v>
      </c>
      <c r="I672" s="464" t="str">
        <f>IFERROR(__xludf.DUMMYFUNCTION("""COMPUTED_VALUE"""),"KIMME")</f>
        <v>KIMME</v>
      </c>
      <c r="J672" s="279" t="str">
        <f>IFERROR(__xludf.DUMMYFUNCTION("""COMPUTED_VALUE"""),"https://www.tiktok.com/@berkah.glosir/video/7633018050425408788")</f>
        <v>https://www.tiktok.com/@berkah.glosir/video/7633018050425408788</v>
      </c>
      <c r="K672" s="464" t="str">
        <f>IFERROR(__xludf.DUMMYFUNCTION("""COMPUTED_VALUE"""),"KIMME")</f>
        <v>KIMME</v>
      </c>
      <c r="L672" s="279" t="str">
        <f>IFERROR(__xludf.DUMMYFUNCTION("""COMPUTED_VALUE"""),"https://www.tiktok.com/@berkah.glosir/video/7633017804874124565")</f>
        <v>https://www.tiktok.com/@berkah.glosir/video/7633017804874124565</v>
      </c>
      <c r="M672" s="464"/>
      <c r="N672" s="17"/>
      <c r="O672" s="464"/>
      <c r="P672" s="17"/>
    </row>
    <row r="673">
      <c r="A673" s="255" t="str">
        <f>IFERROR(__xludf.DUMMYFUNCTION("""COMPUTED_VALUE"""),"MICRO")</f>
        <v>MICRO</v>
      </c>
      <c r="B673" s="361" t="str">
        <f>IFERROR(__xludf.DUMMYFUNCTION("""COMPUTED_VALUE"""),"pasutribarukocak")</f>
        <v>pasutribarukocak</v>
      </c>
      <c r="C673" s="257" t="str">
        <f>IFERROR(__xludf.DUMMYFUNCTION("""COMPUTED_VALUE"""),"https://www.tiktok.com/@pasutribarukocak")</f>
        <v>https://www.tiktok.com/@pasutribarukocak</v>
      </c>
      <c r="D673" s="270">
        <f>IFERROR(__xludf.DUMMYFUNCTION("""COMPUTED_VALUE"""),8.2262623476E10)</f>
        <v>82262623476</v>
      </c>
      <c r="E673" s="457">
        <f>IFERROR(__xludf.DUMMYFUNCTION("""COMPUTED_VALUE"""),0.0)</f>
        <v>0</v>
      </c>
      <c r="F673" s="270">
        <f>IFERROR(__xludf.DUMMYFUNCTION("""COMPUTED_VALUE"""),2.0)</f>
        <v>2</v>
      </c>
      <c r="G673" s="17" t="str">
        <f>IFERROR(__xludf.DUMMYFUNCTION("""COMPUTED_VALUE"""),"Sabun batang 1 Box ( 2 PCS )")</f>
        <v>Sabun batang 1 Box ( 2 PCS )</v>
      </c>
      <c r="H673" s="463" t="str">
        <f>IFERROR(__xludf.DUMMYFUNCTION("""COMPUTED_VALUE"""),"Sampai")</f>
        <v>Sampai</v>
      </c>
      <c r="I673" s="464" t="str">
        <f>IFERROR(__xludf.DUMMYFUNCTION("""COMPUTED_VALUE"""),"KIMME")</f>
        <v>KIMME</v>
      </c>
      <c r="J673" s="279" t="str">
        <f>IFERROR(__xludf.DUMMYFUNCTION("""COMPUTED_VALUE"""),"https://www.tiktok.com/@berkah.glosir/video/7633250900991085845")</f>
        <v>https://www.tiktok.com/@berkah.glosir/video/7633250900991085845</v>
      </c>
      <c r="K673" s="464" t="str">
        <f>IFERROR(__xludf.DUMMYFUNCTION("""COMPUTED_VALUE"""),"KIMME")</f>
        <v>KIMME</v>
      </c>
      <c r="L673" s="279" t="str">
        <f>IFERROR(__xludf.DUMMYFUNCTION("""COMPUTED_VALUE"""),"https://www.tiktok.com/@berkah.glosir/video/7633250685856861461")</f>
        <v>https://www.tiktok.com/@berkah.glosir/video/7633250685856861461</v>
      </c>
      <c r="M673" s="464"/>
      <c r="N673" s="279" t="str">
        <f>IFERROR(__xludf.DUMMYFUNCTION("""COMPUTED_VALUE"""),"https://vt.tiktok.com/ZSxdTfw6M/")</f>
        <v>https://vt.tiktok.com/ZSxdTfw6M/</v>
      </c>
      <c r="O673" s="464"/>
      <c r="P673" s="279" t="str">
        <f>IFERROR(__xludf.DUMMYFUNCTION("""COMPUTED_VALUE"""),"https://vt.tiktok.com/ZSxdTLptp/")</f>
        <v>https://vt.tiktok.com/ZSxdTLptp/</v>
      </c>
    </row>
    <row r="674">
      <c r="A674" s="255" t="str">
        <f>IFERROR(__xludf.DUMMYFUNCTION("""COMPUTED_VALUE"""),"MICRO")</f>
        <v>MICRO</v>
      </c>
      <c r="B674" s="361" t="str">
        <f>IFERROR(__xludf.DUMMYFUNCTION("""COMPUTED_VALUE"""),"awitya_rara")</f>
        <v>awitya_rara</v>
      </c>
      <c r="C674" s="257" t="str">
        <f>IFERROR(__xludf.DUMMYFUNCTION("""COMPUTED_VALUE"""),"https://www.tiktok.com/@awitya_rara")</f>
        <v>https://www.tiktok.com/@awitya_rara</v>
      </c>
      <c r="D674" s="270">
        <f>IFERROR(__xludf.DUMMYFUNCTION("""COMPUTED_VALUE"""),8.1335574828E10)</f>
        <v>81335574828</v>
      </c>
      <c r="E674" s="457">
        <f>IFERROR(__xludf.DUMMYFUNCTION("""COMPUTED_VALUE"""),0.0)</f>
        <v>0</v>
      </c>
      <c r="F674" s="270">
        <f>IFERROR(__xludf.DUMMYFUNCTION("""COMPUTED_VALUE"""),4.0)</f>
        <v>4</v>
      </c>
      <c r="G674" s="17" t="str">
        <f>IFERROR(__xludf.DUMMYFUNCTION("""COMPUTED_VALUE"""),"Sabun batang 1 Box ( 2 PCS )")</f>
        <v>Sabun batang 1 Box ( 2 PCS )</v>
      </c>
      <c r="H674" s="463" t="str">
        <f>IFERROR(__xludf.DUMMYFUNCTION("""COMPUTED_VALUE"""),"Sampai")</f>
        <v>Sampai</v>
      </c>
      <c r="I674" s="464" t="str">
        <f>IFERROR(__xludf.DUMMYFUNCTION("""COMPUTED_VALUE"""),"KIMME")</f>
        <v>KIMME</v>
      </c>
      <c r="J674" s="279" t="str">
        <f>IFERROR(__xludf.DUMMYFUNCTION("""COMPUTED_VALUE"""),"https://www.tiktok.com/@berkah.glosir/video/7633018289391783189")</f>
        <v>https://www.tiktok.com/@berkah.glosir/video/7633018289391783189</v>
      </c>
      <c r="K674" s="464" t="str">
        <f>IFERROR(__xludf.DUMMYFUNCTION("""COMPUTED_VALUE"""),"KIMME")</f>
        <v>KIMME</v>
      </c>
      <c r="L674" s="279" t="str">
        <f>IFERROR(__xludf.DUMMYFUNCTION("""COMPUTED_VALUE"""),"https://www.tiktok.com/@berkah.glosir/video/7633252120455613716")</f>
        <v>https://www.tiktok.com/@berkah.glosir/video/7633252120455613716</v>
      </c>
      <c r="M674" s="464"/>
      <c r="N674" s="279" t="str">
        <f>IFERROR(__xludf.DUMMYFUNCTION("""COMPUTED_VALUE"""),"https://vt.tiktok.com/ZS9jjpt1j/")</f>
        <v>https://vt.tiktok.com/ZS9jjpt1j/</v>
      </c>
      <c r="O674" s="464"/>
      <c r="P674" s="279" t="str">
        <f>IFERROR(__xludf.DUMMYFUNCTION("""COMPUTED_VALUE"""),"https://vt.tiktok.com/ZS9jj4XsQ/")</f>
        <v>https://vt.tiktok.com/ZS9jj4XsQ/</v>
      </c>
    </row>
    <row r="675">
      <c r="A675" s="255" t="str">
        <f>IFERROR(__xludf.DUMMYFUNCTION("""COMPUTED_VALUE"""),"MICRO")</f>
        <v>MICRO</v>
      </c>
      <c r="B675" s="361" t="str">
        <f>IFERROR(__xludf.DUMMYFUNCTION("""COMPUTED_VALUE"""),"ini_aizee")</f>
        <v>ini_aizee</v>
      </c>
      <c r="C675" s="257" t="str">
        <f>IFERROR(__xludf.DUMMYFUNCTION("""COMPUTED_VALUE"""),"https://www.tiktok.com/@ini_aizee")</f>
        <v>https://www.tiktok.com/@ini_aizee</v>
      </c>
      <c r="D675" s="270">
        <f>IFERROR(__xludf.DUMMYFUNCTION("""COMPUTED_VALUE"""),8.3114444745E10)</f>
        <v>83114444745</v>
      </c>
      <c r="E675" s="457">
        <f>IFERROR(__xludf.DUMMYFUNCTION("""COMPUTED_VALUE"""),0.0)</f>
        <v>0</v>
      </c>
      <c r="F675" s="270">
        <f>IFERROR(__xludf.DUMMYFUNCTION("""COMPUTED_VALUE"""),4.0)</f>
        <v>4</v>
      </c>
      <c r="G675" s="17" t="str">
        <f>IFERROR(__xludf.DUMMYFUNCTION("""COMPUTED_VALUE"""),"Sabun batang 1 Box ( 2 PCS )")</f>
        <v>Sabun batang 1 Box ( 2 PCS )</v>
      </c>
      <c r="H675" s="463" t="str">
        <f>IFERROR(__xludf.DUMMYFUNCTION("""COMPUTED_VALUE"""),"Sampai")</f>
        <v>Sampai</v>
      </c>
      <c r="I675" s="464" t="str">
        <f>IFERROR(__xludf.DUMMYFUNCTION("""COMPUTED_VALUE"""),"KIMME")</f>
        <v>KIMME</v>
      </c>
      <c r="J675" s="279" t="str">
        <f>IFERROR(__xludf.DUMMYFUNCTION("""COMPUTED_VALUE"""),"https://vt.tiktok.com/ZS9rXJP8h/")</f>
        <v>https://vt.tiktok.com/ZS9rXJP8h/</v>
      </c>
      <c r="K675" s="464" t="str">
        <f>IFERROR(__xludf.DUMMYFUNCTION("""COMPUTED_VALUE"""),"KIMME")</f>
        <v>KIMME</v>
      </c>
      <c r="L675" s="279" t="str">
        <f>IFERROR(__xludf.DUMMYFUNCTION("""COMPUTED_VALUE"""),"https://vt.tiktok.com/ZS9rCEMcX/")</f>
        <v>https://vt.tiktok.com/ZS9rCEMcX/</v>
      </c>
      <c r="M675" s="464"/>
      <c r="N675" s="279" t="str">
        <f>IFERROR(__xludf.DUMMYFUNCTION("""COMPUTED_VALUE"""),"https://vt.tiktok.com/ZS9rCo7bP/")</f>
        <v>https://vt.tiktok.com/ZS9rCo7bP/</v>
      </c>
      <c r="O675" s="464"/>
      <c r="P675" s="279" t="str">
        <f>IFERROR(__xludf.DUMMYFUNCTION("""COMPUTED_VALUE"""),"https://vt.tiktok.com/ZS9rXRtkT/")</f>
        <v>https://vt.tiktok.com/ZS9rXRtkT/</v>
      </c>
    </row>
    <row r="676">
      <c r="A676" s="255" t="str">
        <f>IFERROR(__xludf.DUMMYFUNCTION("""COMPUTED_VALUE"""),"MACRO")</f>
        <v>MACRO</v>
      </c>
      <c r="B676" s="361" t="str">
        <f>IFERROR(__xludf.DUMMYFUNCTION("""COMPUTED_VALUE"""),"atikwindharti ")</f>
        <v>atikwindharti </v>
      </c>
      <c r="C676" s="257" t="str">
        <f>IFERROR(__xludf.DUMMYFUNCTION("""COMPUTED_VALUE"""),"https://www.tiktok.com/@atikwindharti ")</f>
        <v>https://www.tiktok.com/@atikwindharti </v>
      </c>
      <c r="D676" s="270">
        <f>IFERROR(__xludf.DUMMYFUNCTION("""COMPUTED_VALUE"""),8.5853794022E10)</f>
        <v>85853794022</v>
      </c>
      <c r="E676" s="457">
        <f>IFERROR(__xludf.DUMMYFUNCTION("""COMPUTED_VALUE"""),0.0)</f>
        <v>0</v>
      </c>
      <c r="F676" s="270">
        <f>IFERROR(__xludf.DUMMYFUNCTION("""COMPUTED_VALUE"""),4.0)</f>
        <v>4</v>
      </c>
      <c r="G676" s="17" t="str">
        <f>IFERROR(__xludf.DUMMYFUNCTION("""COMPUTED_VALUE"""),"Sabun batang 1 Box ( 2 PCS )")</f>
        <v>Sabun batang 1 Box ( 2 PCS )</v>
      </c>
      <c r="H676" s="463" t="str">
        <f>IFERROR(__xludf.DUMMYFUNCTION("""COMPUTED_VALUE"""),"Sampai")</f>
        <v>Sampai</v>
      </c>
      <c r="I676" s="464" t="str">
        <f>IFERROR(__xludf.DUMMYFUNCTION("""COMPUTED_VALUE"""),"KIMME")</f>
        <v>KIMME</v>
      </c>
      <c r="J676" s="279" t="str">
        <f>IFERROR(__xludf.DUMMYFUNCTION("""COMPUTED_VALUE"""),"https://vt.tiktok.com/ZS9rXM5J2/")</f>
        <v>https://vt.tiktok.com/ZS9rXM5J2/</v>
      </c>
      <c r="K676" s="464" t="str">
        <f>IFERROR(__xludf.DUMMYFUNCTION("""COMPUTED_VALUE"""),"KIMME")</f>
        <v>KIMME</v>
      </c>
      <c r="L676" s="279" t="str">
        <f>IFERROR(__xludf.DUMMYFUNCTION("""COMPUTED_VALUE"""),"https://vt.tiktok.com/ZS9rCcjeE/")</f>
        <v>https://vt.tiktok.com/ZS9rCcjeE/</v>
      </c>
      <c r="M676" s="464"/>
      <c r="N676" s="279" t="str">
        <f>IFERROR(__xludf.DUMMYFUNCTION("""COMPUTED_VALUE"""),"https://vt.tiktok.com/ZS9rCnJBX/")</f>
        <v>https://vt.tiktok.com/ZS9rCnJBX/</v>
      </c>
      <c r="O676" s="464"/>
      <c r="P676" s="279" t="str">
        <f>IFERROR(__xludf.DUMMYFUNCTION("""COMPUTED_VALUE"""),"https://vt.tiktok.com/ZS9rX6Yee/")</f>
        <v>https://vt.tiktok.com/ZS9rX6Yee/</v>
      </c>
    </row>
    <row r="677">
      <c r="A677" s="255" t="str">
        <f>IFERROR(__xludf.DUMMYFUNCTION("""COMPUTED_VALUE"""),"MICRO")</f>
        <v>MICRO</v>
      </c>
      <c r="B677" s="361" t="str">
        <f>IFERROR(__xludf.DUMMYFUNCTION("""COMPUTED_VALUE"""),"elaamira")</f>
        <v>elaamira</v>
      </c>
      <c r="C677" s="257" t="str">
        <f>IFERROR(__xludf.DUMMYFUNCTION("""COMPUTED_VALUE"""),"https://www.tiktok.com/@elaamira")</f>
        <v>https://www.tiktok.com/@elaamira</v>
      </c>
      <c r="D677" s="270">
        <f>IFERROR(__xludf.DUMMYFUNCTION("""COMPUTED_VALUE"""),8.5379156969E10)</f>
        <v>85379156969</v>
      </c>
      <c r="E677" s="457">
        <f>IFERROR(__xludf.DUMMYFUNCTION("""COMPUTED_VALUE"""),0.0)</f>
        <v>0</v>
      </c>
      <c r="F677" s="270">
        <f>IFERROR(__xludf.DUMMYFUNCTION("""COMPUTED_VALUE"""),2.0)</f>
        <v>2</v>
      </c>
      <c r="G677" s="17" t="str">
        <f>IFERROR(__xludf.DUMMYFUNCTION("""COMPUTED_VALUE"""),"Sabun batang 1 Box ( 2 PCS )")</f>
        <v>Sabun batang 1 Box ( 2 PCS )</v>
      </c>
      <c r="H677" s="463" t="str">
        <f>IFERROR(__xludf.DUMMYFUNCTION("""COMPUTED_VALUE"""),"Sampai")</f>
        <v>Sampai</v>
      </c>
      <c r="I677" s="464" t="str">
        <f>IFERROR(__xludf.DUMMYFUNCTION("""COMPUTED_VALUE"""),"KIMME")</f>
        <v>KIMME</v>
      </c>
      <c r="J677" s="279" t="str">
        <f>IFERROR(__xludf.DUMMYFUNCTION("""COMPUTED_VALUE"""),"https://vt.tiktok.com/ZS9rXHwMq/")</f>
        <v>https://vt.tiktok.com/ZS9rXHwMq/</v>
      </c>
      <c r="K677" s="464" t="str">
        <f>IFERROR(__xludf.DUMMYFUNCTION("""COMPUTED_VALUE"""),"KIMME")</f>
        <v>KIMME</v>
      </c>
      <c r="L677" s="279" t="str">
        <f>IFERROR(__xludf.DUMMYFUNCTION("""COMPUTED_VALUE"""),"https://vt.tiktok.com/ZS9rXPGXo/")</f>
        <v>https://vt.tiktok.com/ZS9rXPGXo/</v>
      </c>
      <c r="M677" s="464"/>
      <c r="N677" s="279" t="str">
        <f>IFERROR(__xludf.DUMMYFUNCTION("""COMPUTED_VALUE"""),"https://www.tiktok.com/@berkah.glosir/video/7634357560673438996?_r=1&amp;u_code=e4hbm162fcgeg9&amp;region=&amp;mid=7606071400499628049&amp;preview_pb=0&amp;sharer_language=&amp;_d=0&amp;ec_shared_reflux_dynamic_params=%7B%22placeholder_material_id%22%3A%227634357560673438996%22%2C%2"&amp;"2placeholder_origin_cover%22%3A%22https%253A%252F%252Fp19-common-sign.tiktokcdn.com%252Ftos-alisg-p-0037%252FowYIeDF5GIDdB9BAelZAf2E0TyIwj0xD448VrC~tplv-tiktokx-origin.jpeg%253Fdr%253D14572%2526refresh_token%253Dfd743d03%2526x-expires%253D1810116000%2526x"&amp;"-signature%253DPYyhIChfuNE9bYwR10goQSkFaB0%25253D%2526t%253D4d5b0474%2526ps%253D13740610%2526shp%253Dd05b14bd%2526shcp%253D34ff8df6%2526idc%253Dmy2%2526s%253DTIKTOK_AFFILIATE_VIRAL_VIDEO%22%2C%22placeholder_product_id%22%3A%221729729730555512511%22%2C%22p"&amp;"laceholder_video_id%22%3A%227634357560673438996%22%7D&amp;ec_shared_reflux_scene=shop_tab_feed&amp;share_item_id=7634357560673438996&amp;source=h5_t")</f>
        <v>https://www.tiktok.com/@berkah.glosir/video/7634357560673438996?_r=1&amp;u_code=e4hbm162fcgeg9&amp;region=&amp;mid=7606071400499628049&amp;preview_pb=0&amp;sharer_language=&amp;_d=0&amp;ec_shared_reflux_dynamic_params=%7B%22placeholder_material_id%22%3A%227634357560673438996%22%2C%22placeholder_origin_cover%22%3A%22https%253A%252F%252Fp19-common-sign.tiktokcdn.com%252Ftos-alisg-p-0037%252FowYIeDF5GIDdB9BAelZAf2E0TyIwj0xD448VrC~tplv-tiktokx-origin.jpeg%253Fdr%253D14572%2526refresh_token%253Dfd743d03%2526x-expires%253D1810116000%2526x-signature%253DPYyhIChfuNE9bYwR10goQSkFaB0%25253D%2526t%253D4d5b0474%2526ps%253D13740610%2526shp%253Dd05b14bd%2526shcp%253D34ff8df6%2526idc%253Dmy2%2526s%253DTIKTOK_AFFILIATE_VIRAL_VIDEO%22%2C%22placeholder_product_id%22%3A%221729729730555512511%22%2C%22placeholder_video_id%22%3A%227634357560673438996%22%7D&amp;ec_shared_reflux_scene=shop_tab_feed&amp;share_item_id=7634357560673438996&amp;source=h5_t</v>
      </c>
      <c r="O677" s="464"/>
      <c r="P677" s="279" t="str">
        <f>IFERROR(__xludf.DUMMYFUNCTION("""COMPUTED_VALUE"""),"https://www.tiktok.com/@berkah.glosir/video/7634356751751564565?_r=1&amp;u_code=e4hbm162fcgeg9&amp;region=&amp;mid=7621834639526791943&amp;preview_pb=0&amp;sharer_language=&amp;_d=0&amp;ec_shared_reflux_dynamic_params=%7B%22placeholder_material_id%22%3A%227634356751751564565%22%2C%2"&amp;"2placeholder_origin_cover%22%3A%22https%253A%252F%252Fp16-common-sign.tiktokcdn.com%252Ftos-alisg-p-0037%252FoAVptZel2AN1BRAmgIiU8rcBBfIGywqiBEBXyI~tplv-tiktokx-origin.jpeg%253Fdr%253D14572%2526refresh_token%253D8f41b30f%2526x-expires%253D1810116000%2526x"&amp;"-signature%253DBT0WilnqkFWuyg2QvNPwiBwam%25252FQ%25253D%2526t%253D4d5b0474%2526ps%253D13740610%2526shp%253Dd05b14bd%2526shcp%253D34ff8df6%2526idc%253Dmy2%2526s%253DTIKTOK_AFFILIATE_VIRAL_VIDEO%22%2C%22placeholder_product_id%22%3A%221729729730555512511%22%"&amp;"2C%22placeholder_video_id%22%3A%227634356751751564565%22%7D&amp;ec_shared_reflux_scene=shop_tab_feed&amp;share_item_id=7634356751751564565&amp;source=h5_t")</f>
        <v>https://www.tiktok.com/@berkah.glosir/video/7634356751751564565?_r=1&amp;u_code=e4hbm162fcgeg9&amp;region=&amp;mid=7621834639526791943&amp;preview_pb=0&amp;sharer_language=&amp;_d=0&amp;ec_shared_reflux_dynamic_params=%7B%22placeholder_material_id%22%3A%227634356751751564565%22%2C%22placeholder_origin_cover%22%3A%22https%253A%252F%252Fp16-common-sign.tiktokcdn.com%252Ftos-alisg-p-0037%252FoAVptZel2AN1BRAmgIiU8rcBBfIGywqiBEBXyI~tplv-tiktokx-origin.jpeg%253Fdr%253D14572%2526refresh_token%253D8f41b30f%2526x-expires%253D1810116000%2526x-signature%253DBT0WilnqkFWuyg2QvNPwiBwam%25252FQ%25253D%2526t%253D4d5b0474%2526ps%253D13740610%2526shp%253Dd05b14bd%2526shcp%253D34ff8df6%2526idc%253Dmy2%2526s%253DTIKTOK_AFFILIATE_VIRAL_VIDEO%22%2C%22placeholder_product_id%22%3A%221729729730555512511%22%2C%22placeholder_video_id%22%3A%227634356751751564565%22%7D&amp;ec_shared_reflux_scene=shop_tab_feed&amp;share_item_id=7634356751751564565&amp;source=h5_t</v>
      </c>
    </row>
    <row r="678">
      <c r="A678" s="255" t="str">
        <f>IFERROR(__xludf.DUMMYFUNCTION("""COMPUTED_VALUE"""),"MICRO")</f>
        <v>MICRO</v>
      </c>
      <c r="B678" s="361" t="str">
        <f>IFERROR(__xludf.DUMMYFUNCTION("""COMPUTED_VALUE"""),"alvy_macan")</f>
        <v>alvy_macan</v>
      </c>
      <c r="C678" s="257" t="str">
        <f>IFERROR(__xludf.DUMMYFUNCTION("""COMPUTED_VALUE"""),"https://www.tiktok.com/@alvy_macan")</f>
        <v>https://www.tiktok.com/@alvy_macan</v>
      </c>
      <c r="D678" s="270">
        <f>IFERROR(__xludf.DUMMYFUNCTION("""COMPUTED_VALUE"""),8.5701785332E10)</f>
        <v>85701785332</v>
      </c>
      <c r="E678" s="457">
        <f>IFERROR(__xludf.DUMMYFUNCTION("""COMPUTED_VALUE"""),0.0)</f>
        <v>0</v>
      </c>
      <c r="F678" s="270">
        <f>IFERROR(__xludf.DUMMYFUNCTION("""COMPUTED_VALUE"""),4.0)</f>
        <v>4</v>
      </c>
      <c r="G678" s="17" t="str">
        <f>IFERROR(__xludf.DUMMYFUNCTION("""COMPUTED_VALUE"""),"Sabun batang 1 Box ( 2 PCS )")</f>
        <v>Sabun batang 1 Box ( 2 PCS )</v>
      </c>
      <c r="H678" s="463" t="str">
        <f>IFERROR(__xludf.DUMMYFUNCTION("""COMPUTED_VALUE"""),"Sampai")</f>
        <v>Sampai</v>
      </c>
      <c r="I678" s="464" t="str">
        <f>IFERROR(__xludf.DUMMYFUNCTION("""COMPUTED_VALUE"""),"KIMME")</f>
        <v>KIMME</v>
      </c>
      <c r="J678" s="279" t="str">
        <f>IFERROR(__xludf.DUMMYFUNCTION("""COMPUTED_VALUE"""),"https://vt.tiktok.com/ZS9rXfDRB/")</f>
        <v>https://vt.tiktok.com/ZS9rXfDRB/</v>
      </c>
      <c r="K678" s="464" t="str">
        <f>IFERROR(__xludf.DUMMYFUNCTION("""COMPUTED_VALUE"""),"KIMME")</f>
        <v>KIMME</v>
      </c>
      <c r="L678" s="279" t="str">
        <f>IFERROR(__xludf.DUMMYFUNCTION("""COMPUTED_VALUE"""),"https://vt.tiktok.com/ZS9rXbSJH/")</f>
        <v>https://vt.tiktok.com/ZS9rXbSJH/</v>
      </c>
      <c r="M678" s="464"/>
      <c r="N678" s="279" t="str">
        <f>IFERROR(__xludf.DUMMYFUNCTION("""COMPUTED_VALUE"""),"https://vt.tiktok.com/ZS9rXu7Hm/")</f>
        <v>https://vt.tiktok.com/ZS9rXu7Hm/</v>
      </c>
      <c r="O678" s="464"/>
      <c r="P678" s="279" t="str">
        <f>IFERROR(__xludf.DUMMYFUNCTION("""COMPUTED_VALUE"""),"https://vt.tiktok.com/ZS9jyawCd/")</f>
        <v>https://vt.tiktok.com/ZS9jyawCd/</v>
      </c>
    </row>
    <row r="679">
      <c r="A679" s="255" t="str">
        <f>IFERROR(__xludf.DUMMYFUNCTION("""COMPUTED_VALUE"""),"MICRO")</f>
        <v>MICRO</v>
      </c>
      <c r="B679" s="361" t="str">
        <f>IFERROR(__xludf.DUMMYFUNCTION("""COMPUTED_VALUE"""),"beautymall_")</f>
        <v>beautymall_</v>
      </c>
      <c r="C679" s="257" t="str">
        <f>IFERROR(__xludf.DUMMYFUNCTION("""COMPUTED_VALUE"""),"https://www.tiktok.com/@beautymall_")</f>
        <v>https://www.tiktok.com/@beautymall_</v>
      </c>
      <c r="D679" s="270">
        <f>IFERROR(__xludf.DUMMYFUNCTION("""COMPUTED_VALUE"""),8.95379158E11)</f>
        <v>895379158000</v>
      </c>
      <c r="E679" s="457">
        <f>IFERROR(__xludf.DUMMYFUNCTION("""COMPUTED_VALUE"""),0.0)</f>
        <v>0</v>
      </c>
      <c r="F679" s="270">
        <f>IFERROR(__xludf.DUMMYFUNCTION("""COMPUTED_VALUE"""),4.0)</f>
        <v>4</v>
      </c>
      <c r="G679" s="17" t="str">
        <f>IFERROR(__xludf.DUMMYFUNCTION("""COMPUTED_VALUE"""),"Sabun batang 1 Box ( 2 PCS )")</f>
        <v>Sabun batang 1 Box ( 2 PCS )</v>
      </c>
      <c r="H679" s="463" t="str">
        <f>IFERROR(__xludf.DUMMYFUNCTION("""COMPUTED_VALUE"""),"Sampai")</f>
        <v>Sampai</v>
      </c>
      <c r="I679" s="464" t="str">
        <f>IFERROR(__xludf.DUMMYFUNCTION("""COMPUTED_VALUE"""),"KIMME")</f>
        <v>KIMME</v>
      </c>
      <c r="J679" s="279" t="str">
        <f>IFERROR(__xludf.DUMMYFUNCTION("""COMPUTED_VALUE"""),"https://vt.tiktok.com/ZS9jyCHJc/")</f>
        <v>https://vt.tiktok.com/ZS9jyCHJc/</v>
      </c>
      <c r="K679" s="464" t="str">
        <f>IFERROR(__xludf.DUMMYFUNCTION("""COMPUTED_VALUE"""),"KIMME")</f>
        <v>KIMME</v>
      </c>
      <c r="L679" s="279" t="str">
        <f>IFERROR(__xludf.DUMMYFUNCTION("""COMPUTED_VALUE"""),"https://vt.tiktok.com/ZS9jy4NC9/")</f>
        <v>https://vt.tiktok.com/ZS9jy4NC9/</v>
      </c>
      <c r="M679" s="464"/>
      <c r="N679" s="279" t="str">
        <f>IFERROR(__xludf.DUMMYFUNCTION("""COMPUTED_VALUE"""),"https://vt.tiktok.com/ZS9rNXKcX/")</f>
        <v>https://vt.tiktok.com/ZS9rNXKcX/</v>
      </c>
      <c r="O679" s="464"/>
      <c r="P679" s="279" t="str">
        <f>IFERROR(__xludf.DUMMYFUNCTION("""COMPUTED_VALUE"""),"https://vt.tiktok.com/ZS92wVqJr/")</f>
        <v>https://vt.tiktok.com/ZS92wVqJr/</v>
      </c>
    </row>
    <row r="680">
      <c r="A680" s="255" t="str">
        <f>IFERROR(__xludf.DUMMYFUNCTION("""COMPUTED_VALUE"""),"MACRO")</f>
        <v>MACRO</v>
      </c>
      <c r="B680" s="361" t="str">
        <f>IFERROR(__xludf.DUMMYFUNCTION("""COMPUTED_VALUE"""),"friestaisya")</f>
        <v>friestaisya</v>
      </c>
      <c r="C680" s="257" t="str">
        <f>IFERROR(__xludf.DUMMYFUNCTION("""COMPUTED_VALUE"""),"https://www.tiktok.com/@friestaisya")</f>
        <v>https://www.tiktok.com/@friestaisya</v>
      </c>
      <c r="D680" s="270">
        <f>IFERROR(__xludf.DUMMYFUNCTION("""COMPUTED_VALUE"""),8.563277474E9)</f>
        <v>8563277474</v>
      </c>
      <c r="E680" s="457">
        <f>IFERROR(__xludf.DUMMYFUNCTION("""COMPUTED_VALUE"""),0.0)</f>
        <v>0</v>
      </c>
      <c r="F680" s="270">
        <f>IFERROR(__xludf.DUMMYFUNCTION("""COMPUTED_VALUE"""),2.0)</f>
        <v>2</v>
      </c>
      <c r="G680" s="17" t="str">
        <f>IFERROR(__xludf.DUMMYFUNCTION("""COMPUTED_VALUE"""),"Sabun batang 1 Box ( 2 PCS )")</f>
        <v>Sabun batang 1 Box ( 2 PCS )</v>
      </c>
      <c r="H680" s="463" t="str">
        <f>IFERROR(__xludf.DUMMYFUNCTION("""COMPUTED_VALUE"""),"Sampai")</f>
        <v>Sampai</v>
      </c>
      <c r="I680" s="464" t="str">
        <f>IFERROR(__xludf.DUMMYFUNCTION("""COMPUTED_VALUE"""),"KIMME")</f>
        <v>KIMME</v>
      </c>
      <c r="J680" s="279" t="str">
        <f>IFERROR(__xludf.DUMMYFUNCTION("""COMPUTED_VALUE"""),"https://vt.tiktok.com/ZS92K1fHw/")</f>
        <v>https://vt.tiktok.com/ZS92K1fHw/</v>
      </c>
      <c r="K680" s="464" t="str">
        <f>IFERROR(__xludf.DUMMYFUNCTION("""COMPUTED_VALUE"""),"KIMME")</f>
        <v>KIMME</v>
      </c>
      <c r="L680" s="279" t="str">
        <f>IFERROR(__xludf.DUMMYFUNCTION("""COMPUTED_VALUE"""),"https://vt.tiktok.com/ZS92wKwwe/")</f>
        <v>https://vt.tiktok.com/ZS92wKwwe/</v>
      </c>
      <c r="M680" s="464"/>
      <c r="N680" s="17"/>
      <c r="O680" s="464"/>
      <c r="P680" s="17"/>
    </row>
    <row r="681">
      <c r="A681" s="255" t="str">
        <f>IFERROR(__xludf.DUMMYFUNCTION("""COMPUTED_VALUE"""),"MICRO")</f>
        <v>MICRO</v>
      </c>
      <c r="B681" s="361" t="str">
        <f>IFERROR(__xludf.DUMMYFUNCTION("""COMPUTED_VALUE"""),"windabilqist")</f>
        <v>windabilqist</v>
      </c>
      <c r="C681" s="257" t="str">
        <f>IFERROR(__xludf.DUMMYFUNCTION("""COMPUTED_VALUE"""),"https://www.tiktok.com/@windabilqist")</f>
        <v>https://www.tiktok.com/@windabilqist</v>
      </c>
      <c r="D681" s="270">
        <f>IFERROR(__xludf.DUMMYFUNCTION("""COMPUTED_VALUE"""),8.2149366262E10)</f>
        <v>82149366262</v>
      </c>
      <c r="E681" s="457">
        <f>IFERROR(__xludf.DUMMYFUNCTION("""COMPUTED_VALUE"""),0.0)</f>
        <v>0</v>
      </c>
      <c r="F681" s="270">
        <f>IFERROR(__xludf.DUMMYFUNCTION("""COMPUTED_VALUE"""),4.0)</f>
        <v>4</v>
      </c>
      <c r="G681" s="17" t="str">
        <f>IFERROR(__xludf.DUMMYFUNCTION("""COMPUTED_VALUE"""),"Sabun batang 1 Box ( 2 PCS )")</f>
        <v>Sabun batang 1 Box ( 2 PCS )</v>
      </c>
      <c r="H681" s="463" t="str">
        <f>IFERROR(__xludf.DUMMYFUNCTION("""COMPUTED_VALUE"""),"Sampai")</f>
        <v>Sampai</v>
      </c>
      <c r="I681" s="464" t="str">
        <f>IFERROR(__xludf.DUMMYFUNCTION("""COMPUTED_VALUE"""),"KIMME")</f>
        <v>KIMME</v>
      </c>
      <c r="J681" s="279" t="str">
        <f>IFERROR(__xludf.DUMMYFUNCTION("""COMPUTED_VALUE"""),"https://vt.tiktok.com/ZS92wcP9e/")</f>
        <v>https://vt.tiktok.com/ZS92wcP9e/</v>
      </c>
      <c r="K681" s="464" t="str">
        <f>IFERROR(__xludf.DUMMYFUNCTION("""COMPUTED_VALUE"""),"KIMME")</f>
        <v>KIMME</v>
      </c>
      <c r="L681" s="279" t="str">
        <f>IFERROR(__xludf.DUMMYFUNCTION("""COMPUTED_VALUE"""),"https://vt.tiktok.com/ZS9havt8u/")</f>
        <v>https://vt.tiktok.com/ZS9havt8u/</v>
      </c>
      <c r="M681" s="464"/>
      <c r="N681" s="279" t="str">
        <f>IFERROR(__xludf.DUMMYFUNCTION("""COMPUTED_VALUE"""),"https://vt.tiktok.com/ZS9jSwv7s/")</f>
        <v>https://vt.tiktok.com/ZS9jSwv7s/</v>
      </c>
      <c r="O681" s="464"/>
      <c r="P681" s="279" t="str">
        <f>IFERROR(__xludf.DUMMYFUNCTION("""COMPUTED_VALUE"""),"https://vt.tiktok.com/ZS9jSsaYU/")</f>
        <v>https://vt.tiktok.com/ZS9jSsaYU/</v>
      </c>
    </row>
    <row r="682">
      <c r="A682" s="255" t="str">
        <f>IFERROR(__xludf.DUMMYFUNCTION("""COMPUTED_VALUE"""),"MICRO")</f>
        <v>MICRO</v>
      </c>
      <c r="B682" s="361" t="str">
        <f>IFERROR(__xludf.DUMMYFUNCTION("""COMPUTED_VALUE"""),"naberkah")</f>
        <v>naberkah</v>
      </c>
      <c r="C682" s="257" t="str">
        <f>IFERROR(__xludf.DUMMYFUNCTION("""COMPUTED_VALUE"""),"https://www.tiktok.com/@naberkah")</f>
        <v>https://www.tiktok.com/@naberkah</v>
      </c>
      <c r="D682" s="270">
        <f>IFERROR(__xludf.DUMMYFUNCTION("""COMPUTED_VALUE"""),8.561918255E9)</f>
        <v>8561918255</v>
      </c>
      <c r="E682" s="457">
        <f>IFERROR(__xludf.DUMMYFUNCTION("""COMPUTED_VALUE"""),0.0)</f>
        <v>0</v>
      </c>
      <c r="F682" s="270">
        <f>IFERROR(__xludf.DUMMYFUNCTION("""COMPUTED_VALUE"""),4.0)</f>
        <v>4</v>
      </c>
      <c r="G682" s="17" t="str">
        <f>IFERROR(__xludf.DUMMYFUNCTION("""COMPUTED_VALUE"""),"Sabun batang 1 Box ( 2 PCS )")</f>
        <v>Sabun batang 1 Box ( 2 PCS )</v>
      </c>
      <c r="H682" s="463" t="str">
        <f>IFERROR(__xludf.DUMMYFUNCTION("""COMPUTED_VALUE"""),"Sampai")</f>
        <v>Sampai</v>
      </c>
      <c r="I682" s="464" t="str">
        <f>IFERROR(__xludf.DUMMYFUNCTION("""COMPUTED_VALUE"""),"KIMME")</f>
        <v>KIMME</v>
      </c>
      <c r="J682" s="279" t="str">
        <f>IFERROR(__xludf.DUMMYFUNCTION("""COMPUTED_VALUE"""),"https://vt.tiktok.com/ZS9jARdhR/")</f>
        <v>https://vt.tiktok.com/ZS9jARdhR/</v>
      </c>
      <c r="K682" s="464" t="str">
        <f>IFERROR(__xludf.DUMMYFUNCTION("""COMPUTED_VALUE"""),"KIMME")</f>
        <v>KIMME</v>
      </c>
      <c r="L682" s="279" t="str">
        <f>IFERROR(__xludf.DUMMYFUNCTION("""COMPUTED_VALUE"""),"https://vt.tiktok.com/ZS9jSKojX/")</f>
        <v>https://vt.tiktok.com/ZS9jSKojX/</v>
      </c>
      <c r="M682" s="464"/>
      <c r="N682" s="279" t="str">
        <f>IFERROR(__xludf.DUMMYFUNCTION("""COMPUTED_VALUE"""),"https://vt.tiktok.com/ZS9jSGXnP/")</f>
        <v>https://vt.tiktok.com/ZS9jSGXnP/</v>
      </c>
      <c r="O682" s="464"/>
      <c r="P682" s="279" t="str">
        <f>IFERROR(__xludf.DUMMYFUNCTION("""COMPUTED_VALUE"""),"https://vt.tiktok.com/ZS9jALFAn/")</f>
        <v>https://vt.tiktok.com/ZS9jALFAn/</v>
      </c>
    </row>
    <row r="683">
      <c r="A683" s="255" t="str">
        <f>IFERROR(__xludf.DUMMYFUNCTION("""COMPUTED_VALUE"""),"MICRO")</f>
        <v>MICRO</v>
      </c>
      <c r="B683" s="361" t="str">
        <f>IFERROR(__xludf.DUMMYFUNCTION("""COMPUTED_VALUE"""),"nenti_naryanti")</f>
        <v>nenti_naryanti</v>
      </c>
      <c r="C683" s="257" t="str">
        <f>IFERROR(__xludf.DUMMYFUNCTION("""COMPUTED_VALUE"""),"https://www.tiktok.com/@nenti_naryanti")</f>
        <v>https://www.tiktok.com/@nenti_naryanti</v>
      </c>
      <c r="D683" s="270">
        <f>IFERROR(__xludf.DUMMYFUNCTION("""COMPUTED_VALUE"""),8.1321523949E10)</f>
        <v>81321523949</v>
      </c>
      <c r="E683" s="457">
        <f>IFERROR(__xludf.DUMMYFUNCTION("""COMPUTED_VALUE"""),0.0)</f>
        <v>0</v>
      </c>
      <c r="F683" s="270">
        <f>IFERROR(__xludf.DUMMYFUNCTION("""COMPUTED_VALUE"""),4.0)</f>
        <v>4</v>
      </c>
      <c r="G683" s="17" t="str">
        <f>IFERROR(__xludf.DUMMYFUNCTION("""COMPUTED_VALUE"""),"Sabun batang 1 Box ( 2 PCS )")</f>
        <v>Sabun batang 1 Box ( 2 PCS )</v>
      </c>
      <c r="H683" s="463" t="str">
        <f>IFERROR(__xludf.DUMMYFUNCTION("""COMPUTED_VALUE"""),"Sampai")</f>
        <v>Sampai</v>
      </c>
      <c r="I683" s="464" t="str">
        <f>IFERROR(__xludf.DUMMYFUNCTION("""COMPUTED_VALUE"""),"KIMME")</f>
        <v>KIMME</v>
      </c>
      <c r="J683" s="279" t="str">
        <f>IFERROR(__xludf.DUMMYFUNCTION("""COMPUTED_VALUE"""),"https://vt.tiktok.com/ZS9jStQBc/")</f>
        <v>https://vt.tiktok.com/ZS9jStQBc/</v>
      </c>
      <c r="K683" s="464" t="str">
        <f>IFERROR(__xludf.DUMMYFUNCTION("""COMPUTED_VALUE"""),"KIMME")</f>
        <v>KIMME</v>
      </c>
      <c r="L683" s="279" t="str">
        <f>IFERROR(__xludf.DUMMYFUNCTION("""COMPUTED_VALUE"""),"https://vt.tiktok.com/ZS9jA86Xr/")</f>
        <v>https://vt.tiktok.com/ZS9jA86Xr/</v>
      </c>
      <c r="M683" s="464"/>
      <c r="N683" s="279" t="str">
        <f>IFERROR(__xludf.DUMMYFUNCTION("""COMPUTED_VALUE"""),"https://vt.tiktok.com/ZS9jSqf2u/")</f>
        <v>https://vt.tiktok.com/ZS9jSqf2u/</v>
      </c>
      <c r="O683" s="464"/>
      <c r="P683" s="279" t="str">
        <f>IFERROR(__xludf.DUMMYFUNCTION("""COMPUTED_VALUE"""),"https://vt.tiktok.com/ZS9jA1gGX/")</f>
        <v>https://vt.tiktok.com/ZS9jA1gGX/</v>
      </c>
    </row>
    <row r="684">
      <c r="A684" s="255" t="str">
        <f>IFERROR(__xludf.DUMMYFUNCTION("""COMPUTED_VALUE"""),"MACRO")</f>
        <v>MACRO</v>
      </c>
      <c r="B684" s="361" t="str">
        <f>IFERROR(__xludf.DUMMYFUNCTION("""COMPUTED_VALUE"""),"millaashter1922")</f>
        <v>millaashter1922</v>
      </c>
      <c r="C684" s="257" t="str">
        <f>IFERROR(__xludf.DUMMYFUNCTION("""COMPUTED_VALUE"""),"https://www.tiktok.com/@millaashter1922")</f>
        <v>https://www.tiktok.com/@millaashter1922</v>
      </c>
      <c r="D684" s="270">
        <f>IFERROR(__xludf.DUMMYFUNCTION("""COMPUTED_VALUE"""),8.5785161534E10)</f>
        <v>85785161534</v>
      </c>
      <c r="E684" s="457">
        <f>IFERROR(__xludf.DUMMYFUNCTION("""COMPUTED_VALUE"""),0.0)</f>
        <v>0</v>
      </c>
      <c r="F684" s="270">
        <f>IFERROR(__xludf.DUMMYFUNCTION("""COMPUTED_VALUE"""),1.0)</f>
        <v>1</v>
      </c>
      <c r="G684" s="17" t="str">
        <f>IFERROR(__xludf.DUMMYFUNCTION("""COMPUTED_VALUE"""),"Sabun batang 1 Box ( 2 PCS )")</f>
        <v>Sabun batang 1 Box ( 2 PCS )</v>
      </c>
      <c r="H684" s="463" t="str">
        <f>IFERROR(__xludf.DUMMYFUNCTION("""COMPUTED_VALUE"""),"Sampai")</f>
        <v>Sampai</v>
      </c>
      <c r="I684" s="464" t="str">
        <f>IFERROR(__xludf.DUMMYFUNCTION("""COMPUTED_VALUE"""),"KIMME")</f>
        <v>KIMME</v>
      </c>
      <c r="J684" s="279" t="str">
        <f>IFERROR(__xludf.DUMMYFUNCTION("""COMPUTED_VALUE"""),"https://vt.tiktok.com/ZS9jS3rof/")</f>
        <v>https://vt.tiktok.com/ZS9jS3rof/</v>
      </c>
      <c r="K684" s="464" t="str">
        <f>IFERROR(__xludf.DUMMYFUNCTION("""COMPUTED_VALUE"""),"KIMME")</f>
        <v>KIMME</v>
      </c>
      <c r="L684" s="279" t="str">
        <f>IFERROR(__xludf.DUMMYFUNCTION("""COMPUTED_VALUE"""),"https://www.tiktok.com/@rindi.afrilia/video/7631505316294921493?_r=1&amp;u_code=dja890i3j90f3j&amp;region=&amp;mid=7381176581904878342&amp;preview_pb=0&amp;sharer_language=&amp;_d=0&amp;ec_shared_reflux_dynamic_params=%7B%22placeholder_material_id%22%3A%227631505316294921493%22%2C%2"&amp;"2placeholder_origin_cover%22%3A%22https%253A%252F%252Fp16-common-sign.tiktokcdn.com%252Ftos-alisg-p-0037%252FowfaoAuOjwF6gQQnfoW8GFATVjUsVoQuGVMeRf~tplv-tiktokx-origin.jpeg%253Fdr%253D14572%2526refresh_token%253D3a3d8116%2526x-expires%253D1810202400%2526x"&amp;"-signature%253DG2o2pRcepD6uoQXjlMbW6oH6QIQ%25253D%2526t%253D4d5b0474%2526ps%253D13740610%2526shp%253Dd05b14bd%2526shcp%253D34ff8df6%2526idc%253Dmy2%2526s%253DTIKTOK_AFFILIATE_VIRAL_VIDEO%22%2C%22placeholder_product_id%22%3A%221729427766722726591%22%2C%22p"&amp;"laceholder_video_id%22%3A%227631505316294921493%22%7D&amp;ec_shared_reflux_scene=shop_tab_feed&amp;share_item_id=7631505316294921493&amp;source=h5_t")</f>
        <v>https://www.tiktok.com/@rindi.afrilia/video/7631505316294921493?_r=1&amp;u_code=dja890i3j90f3j&amp;region=&amp;mid=7381176581904878342&amp;preview_pb=0&amp;sharer_language=&amp;_d=0&amp;ec_shared_reflux_dynamic_params=%7B%22placeholder_material_id%22%3A%227631505316294921493%22%2C%22placeholder_origin_cover%22%3A%22https%253A%252F%252Fp16-common-sign.tiktokcdn.com%252Ftos-alisg-p-0037%252FowfaoAuOjwF6gQQnfoW8GFATVjUsVoQuGVMeRf~tplv-tiktokx-origin.jpeg%253Fdr%253D14572%2526refresh_token%253D3a3d8116%2526x-expires%253D1810202400%2526x-signature%253DG2o2pRcepD6uoQXjlMbW6oH6QIQ%25253D%2526t%253D4d5b0474%2526ps%253D13740610%2526shp%253Dd05b14bd%2526shcp%253D34ff8df6%2526idc%253Dmy2%2526s%253DTIKTOK_AFFILIATE_VIRAL_VIDEO%22%2C%22placeholder_product_id%22%3A%221729427766722726591%22%2C%22placeholder_video_id%22%3A%227631505316294921493%22%7D&amp;ec_shared_reflux_scene=shop_tab_feed&amp;share_item_id=7631505316294921493&amp;source=h5_t</v>
      </c>
      <c r="M684" s="464"/>
      <c r="N684" s="17"/>
      <c r="O684" s="464"/>
      <c r="P684" s="17"/>
    </row>
    <row r="685">
      <c r="A685" s="255" t="str">
        <f>IFERROR(__xludf.DUMMYFUNCTION("""COMPUTED_VALUE"""),"MICRO")</f>
        <v>MICRO</v>
      </c>
      <c r="B685" s="361" t="str">
        <f>IFERROR(__xludf.DUMMYFUNCTION("""COMPUTED_VALUE"""),"riarinjani78")</f>
        <v>riarinjani78</v>
      </c>
      <c r="C685" s="257" t="str">
        <f>IFERROR(__xludf.DUMMYFUNCTION("""COMPUTED_VALUE"""),"https://www.tiktok.com/@riarinjani78")</f>
        <v>https://www.tiktok.com/@riarinjani78</v>
      </c>
      <c r="D685" s="270">
        <f>IFERROR(__xludf.DUMMYFUNCTION("""COMPUTED_VALUE"""),8.5324820336E10)</f>
        <v>85324820336</v>
      </c>
      <c r="E685" s="457">
        <f>IFERROR(__xludf.DUMMYFUNCTION("""COMPUTED_VALUE"""),0.0)</f>
        <v>0</v>
      </c>
      <c r="F685" s="270">
        <f>IFERROR(__xludf.DUMMYFUNCTION("""COMPUTED_VALUE"""),4.0)</f>
        <v>4</v>
      </c>
      <c r="G685" s="17" t="str">
        <f>IFERROR(__xludf.DUMMYFUNCTION("""COMPUTED_VALUE"""),"Sabun batang 1 Box ( 2 PCS )")</f>
        <v>Sabun batang 1 Box ( 2 PCS )</v>
      </c>
      <c r="H685" s="463" t="str">
        <f>IFERROR(__xludf.DUMMYFUNCTION("""COMPUTED_VALUE"""),"Sampai")</f>
        <v>Sampai</v>
      </c>
      <c r="I685" s="464" t="str">
        <f>IFERROR(__xludf.DUMMYFUNCTION("""COMPUTED_VALUE"""),"KIMME")</f>
        <v>KIMME</v>
      </c>
      <c r="J685" s="279" t="str">
        <f>IFERROR(__xludf.DUMMYFUNCTION("""COMPUTED_VALUE"""),"https://vt.tiktok.com/ZS9jSbbGc/")</f>
        <v>https://vt.tiktok.com/ZS9jSbbGc/</v>
      </c>
      <c r="K685" s="464" t="str">
        <f>IFERROR(__xludf.DUMMYFUNCTION("""COMPUTED_VALUE"""),"KIMME")</f>
        <v>KIMME</v>
      </c>
      <c r="L685" s="279" t="str">
        <f>IFERROR(__xludf.DUMMYFUNCTION("""COMPUTED_VALUE"""),"https://vt.tiktok.com/ZS9jSbrV2/")</f>
        <v>https://vt.tiktok.com/ZS9jSbrV2/</v>
      </c>
      <c r="M685" s="464"/>
      <c r="N685" s="279" t="str">
        <f>IFERROR(__xludf.DUMMYFUNCTION("""COMPUTED_VALUE"""),"https://vt.tiktok.com/ZS9jS7uG2/")</f>
        <v>https://vt.tiktok.com/ZS9jS7uG2/</v>
      </c>
      <c r="O685" s="464"/>
      <c r="P685" s="17" t="str">
        <f>IFERROR(__xludf.DUMMYFUNCTION("""COMPUTED_VALUE"""),"⁠https://vt.tiktok.com/ZS926oFqa/")</f>
        <v>⁠https://vt.tiktok.com/ZS926oFqa/</v>
      </c>
    </row>
    <row r="686">
      <c r="A686" s="255" t="str">
        <f>IFERROR(__xludf.DUMMYFUNCTION("""COMPUTED_VALUE"""),"MICRO")</f>
        <v>MICRO</v>
      </c>
      <c r="B686" s="361" t="str">
        <f>IFERROR(__xludf.DUMMYFUNCTION("""COMPUTED_VALUE"""),"mamaceo21")</f>
        <v>mamaceo21</v>
      </c>
      <c r="C686" s="257" t="str">
        <f>IFERROR(__xludf.DUMMYFUNCTION("""COMPUTED_VALUE"""),"https://www.tiktok.com/@mamaceo21")</f>
        <v>https://www.tiktok.com/@mamaceo21</v>
      </c>
      <c r="D686" s="270">
        <f>IFERROR(__xludf.DUMMYFUNCTION("""COMPUTED_VALUE"""),8.95703960674E11)</f>
        <v>895703960674</v>
      </c>
      <c r="E686" s="457">
        <f>IFERROR(__xludf.DUMMYFUNCTION("""COMPUTED_VALUE"""),0.0)</f>
        <v>0</v>
      </c>
      <c r="F686" s="270">
        <f>IFERROR(__xludf.DUMMYFUNCTION("""COMPUTED_VALUE"""),4.0)</f>
        <v>4</v>
      </c>
      <c r="G686" s="17" t="str">
        <f>IFERROR(__xludf.DUMMYFUNCTION("""COMPUTED_VALUE"""),"Sabun batang 1 Box ( 2 PCS )")</f>
        <v>Sabun batang 1 Box ( 2 PCS )</v>
      </c>
      <c r="H686" s="463" t="str">
        <f>IFERROR(__xludf.DUMMYFUNCTION("""COMPUTED_VALUE"""),"Sampai")</f>
        <v>Sampai</v>
      </c>
      <c r="I686" s="464" t="str">
        <f>IFERROR(__xludf.DUMMYFUNCTION("""COMPUTED_VALUE"""),"KIMME")</f>
        <v>KIMME</v>
      </c>
      <c r="J686" s="17" t="str">
        <f>IFERROR(__xludf.DUMMYFUNCTION("""COMPUTED_VALUE"""),"⁠https://vt.tiktok.com/ZS92MxSjv/")</f>
        <v>⁠https://vt.tiktok.com/ZS92MxSjv/</v>
      </c>
      <c r="K686" s="464" t="str">
        <f>IFERROR(__xludf.DUMMYFUNCTION("""COMPUTED_VALUE"""),"KIMME")</f>
        <v>KIMME</v>
      </c>
      <c r="L686" s="17" t="str">
        <f>IFERROR(__xludf.DUMMYFUNCTION("""COMPUTED_VALUE"""),"⁠https://vt.tiktok.com/ZS92MUN5o/")</f>
        <v>⁠https://vt.tiktok.com/ZS92MUN5o/</v>
      </c>
      <c r="M686" s="464"/>
      <c r="N686" s="17" t="str">
        <f>IFERROR(__xludf.DUMMYFUNCTION("""COMPUTED_VALUE"""),"⁠https://vt.tiktok.com/ZS92MYqmL/")</f>
        <v>⁠https://vt.tiktok.com/ZS92MYqmL/</v>
      </c>
      <c r="O686" s="464"/>
      <c r="P686" s="17" t="str">
        <f>IFERROR(__xludf.DUMMYFUNCTION("""COMPUTED_VALUE"""),"⁠https://vt.tiktok.com/ZS92MPcTB/")</f>
        <v>⁠https://vt.tiktok.com/ZS92MPcTB/</v>
      </c>
    </row>
    <row r="687">
      <c r="A687" s="255" t="str">
        <f>IFERROR(__xludf.DUMMYFUNCTION("""COMPUTED_VALUE"""),"MICRO")</f>
        <v>MICRO</v>
      </c>
      <c r="B687" s="361" t="str">
        <f>IFERROR(__xludf.DUMMYFUNCTION("""COMPUTED_VALUE"""),"rizkiafiana")</f>
        <v>rizkiafiana</v>
      </c>
      <c r="C687" s="257" t="str">
        <f>IFERROR(__xludf.DUMMYFUNCTION("""COMPUTED_VALUE"""),"https://www.tiktok.com/@rizkiafiana")</f>
        <v>https://www.tiktok.com/@rizkiafiana</v>
      </c>
      <c r="D687" s="270">
        <f>IFERROR(__xludf.DUMMYFUNCTION("""COMPUTED_VALUE"""),8.522100136E10)</f>
        <v>85221001360</v>
      </c>
      <c r="E687" s="457">
        <f>IFERROR(__xludf.DUMMYFUNCTION("""COMPUTED_VALUE"""),0.0)</f>
        <v>0</v>
      </c>
      <c r="F687" s="270">
        <f>IFERROR(__xludf.DUMMYFUNCTION("""COMPUTED_VALUE"""),4.0)</f>
        <v>4</v>
      </c>
      <c r="G687" s="17" t="str">
        <f>IFERROR(__xludf.DUMMYFUNCTION("""COMPUTED_VALUE"""),"Sabun batang 1 Box ( 2 PCS )")</f>
        <v>Sabun batang 1 Box ( 2 PCS )</v>
      </c>
      <c r="H687" s="463" t="str">
        <f>IFERROR(__xludf.DUMMYFUNCTION("""COMPUTED_VALUE"""),"Sampai")</f>
        <v>Sampai</v>
      </c>
      <c r="I687" s="464" t="str">
        <f>IFERROR(__xludf.DUMMYFUNCTION("""COMPUTED_VALUE"""),"KIMME")</f>
        <v>KIMME</v>
      </c>
      <c r="J687" s="279" t="str">
        <f>IFERROR(__xludf.DUMMYFUNCTION("""COMPUTED_VALUE"""),"https://vt.tiktok.com/ZS92MA2QV/")</f>
        <v>https://vt.tiktok.com/ZS92MA2QV/</v>
      </c>
      <c r="K687" s="464" t="str">
        <f>IFERROR(__xludf.DUMMYFUNCTION("""COMPUTED_VALUE"""),"KIMME")</f>
        <v>KIMME</v>
      </c>
      <c r="L687" s="279" t="str">
        <f>IFERROR(__xludf.DUMMYFUNCTION("""COMPUTED_VALUE"""),"https://vt.tiktok.com/ZS92MYwBX/")</f>
        <v>https://vt.tiktok.com/ZS92MYwBX/</v>
      </c>
      <c r="M687" s="464"/>
      <c r="N687" s="279" t="str">
        <f>IFERROR(__xludf.DUMMYFUNCTION("""COMPUTED_VALUE"""),"https://vt.tiktok.com/ZS92MAWTj/")</f>
        <v>https://vt.tiktok.com/ZS92MAWTj/</v>
      </c>
      <c r="O687" s="464"/>
      <c r="P687" s="17" t="str">
        <f>IFERROR(__xludf.DUMMYFUNCTION("""COMPUTED_VALUE"""),"⁠⁠⁠⁠https://vt.tiktok.com/ZS92M2v3U/")</f>
        <v>⁠⁠⁠⁠https://vt.tiktok.com/ZS92M2v3U/</v>
      </c>
    </row>
    <row r="688">
      <c r="A688" s="255" t="str">
        <f>IFERROR(__xludf.DUMMYFUNCTION("""COMPUTED_VALUE"""),"MACRO")</f>
        <v>MACRO</v>
      </c>
      <c r="B688" s="361" t="str">
        <f>IFERROR(__xludf.DUMMYFUNCTION("""COMPUTED_VALUE"""),"ismagaluh97")</f>
        <v>ismagaluh97</v>
      </c>
      <c r="C688" s="257" t="str">
        <f>IFERROR(__xludf.DUMMYFUNCTION("""COMPUTED_VALUE"""),"https://www.tiktok.com/@ismagaluh97")</f>
        <v>https://www.tiktok.com/@ismagaluh97</v>
      </c>
      <c r="D688" s="270">
        <f>IFERROR(__xludf.DUMMYFUNCTION("""COMPUTED_VALUE"""),8.1283871725E10)</f>
        <v>81283871725</v>
      </c>
      <c r="E688" s="457">
        <f>IFERROR(__xludf.DUMMYFUNCTION("""COMPUTED_VALUE"""),0.0)</f>
        <v>0</v>
      </c>
      <c r="F688" s="270">
        <f>IFERROR(__xludf.DUMMYFUNCTION("""COMPUTED_VALUE"""),1.0)</f>
        <v>1</v>
      </c>
      <c r="G688" s="17" t="str">
        <f>IFERROR(__xludf.DUMMYFUNCTION("""COMPUTED_VALUE"""),"Sabun batang 1 Box ( 2 PCS )")</f>
        <v>Sabun batang 1 Box ( 2 PCS )</v>
      </c>
      <c r="H688" s="463" t="str">
        <f>IFERROR(__xludf.DUMMYFUNCTION("""COMPUTED_VALUE"""),"Sampai")</f>
        <v>Sampai</v>
      </c>
      <c r="I688" s="464" t="str">
        <f>IFERROR(__xludf.DUMMYFUNCTION("""COMPUTED_VALUE"""),"KIMME")</f>
        <v>KIMME</v>
      </c>
      <c r="J688" s="279" t="str">
        <f>IFERROR(__xludf.DUMMYFUNCTION("""COMPUTED_VALUE"""),"https://vt.tiktok.com/ZS92MfrqQ/")</f>
        <v>https://vt.tiktok.com/ZS92MfrqQ/</v>
      </c>
      <c r="K688" s="464" t="str">
        <f>IFERROR(__xludf.DUMMYFUNCTION("""COMPUTED_VALUE"""),"KIMME")</f>
        <v>KIMME</v>
      </c>
      <c r="L688" s="279" t="str">
        <f>IFERROR(__xludf.DUMMYFUNCTION("""COMPUTED_VALUE"""),"https://www.tiktok.com/@rindi.afrilia/video/7631724473405738260?_r=1&amp;u_code=dja890i3j90f3j&amp;region=&amp;mid=7564035816721304321&amp;preview_pb=0&amp;sharer_language=&amp;_d=0&amp;ec_shared_reflux_dynamic_params=%7B%22placeholder_material_id%22%3A%227631724473405738260%22%2C%2"&amp;"2placeholder_origin_cover%22%3A%22https%253A%252F%252Fp19-common-sign.tiktokcdn.com%252Ftos-alisg-p-0037%252FoIAp0vwIisBAeuvil4Ay70VU9XuAICCrIjQ3vj~tplv-tiktokx-origin.jpeg%253Fdr%253D14572%2526refresh_token%253D04523340%2526x-expires%253D1810202400%2526x"&amp;"-signature%253DIaQ16Aq1Nmu%25252FvWtI%25252F6w0pRQKuEI%25253D%2526t%253D4d5b0474%2526ps%253D13740610%2526shp%253Dd05b14bd%2526shcp%253D34ff8df6%2526idc%253Dmy2%2526s%253DTIKTOK_AFFILIATE_VIRAL_VIDEO%22%2C%22placeholder_product_id%22%3A%2217294277667227265"&amp;"91%22%2C%22placeholder_video_id%22%3A%227631724473405738260%22%7D&amp;ec_shared_reflux_scene=shop_tab_feed&amp;share_item_id=7631724473405738260&amp;source=h5_t")</f>
        <v>https://www.tiktok.com/@rindi.afrilia/video/7631724473405738260?_r=1&amp;u_code=dja890i3j90f3j&amp;region=&amp;mid=7564035816721304321&amp;preview_pb=0&amp;sharer_language=&amp;_d=0&amp;ec_shared_reflux_dynamic_params=%7B%22placeholder_material_id%22%3A%227631724473405738260%22%2C%22placeholder_origin_cover%22%3A%22https%253A%252F%252Fp19-common-sign.tiktokcdn.com%252Ftos-alisg-p-0037%252FoIAp0vwIisBAeuvil4Ay70VU9XuAICCrIjQ3vj~tplv-tiktokx-origin.jpeg%253Fdr%253D14572%2526refresh_token%253D04523340%2526x-expires%253D1810202400%2526x-signature%253DIaQ16Aq1Nmu%25252FvWtI%25252F6w0pRQKuEI%25253D%2526t%253D4d5b0474%2526ps%253D13740610%2526shp%253Dd05b14bd%2526shcp%253D34ff8df6%2526idc%253Dmy2%2526s%253DTIKTOK_AFFILIATE_VIRAL_VIDEO%22%2C%22placeholder_product_id%22%3A%221729427766722726591%22%2C%22placeholder_video_id%22%3A%227631724473405738260%22%7D&amp;ec_shared_reflux_scene=shop_tab_feed&amp;share_item_id=7631724473405738260&amp;source=h5_t</v>
      </c>
      <c r="M688" s="464"/>
      <c r="N688" s="17"/>
      <c r="O688" s="464"/>
      <c r="P688" s="17"/>
    </row>
    <row r="689">
      <c r="A689" s="255" t="str">
        <f>IFERROR(__xludf.DUMMYFUNCTION("""COMPUTED_VALUE"""),"MICRO")</f>
        <v>MICRO</v>
      </c>
      <c r="B689" s="361" t="str">
        <f>IFERROR(__xludf.DUMMYFUNCTION("""COMPUTED_VALUE"""),"slvdew_")</f>
        <v>slvdew_</v>
      </c>
      <c r="C689" s="257" t="str">
        <f>IFERROR(__xludf.DUMMYFUNCTION("""COMPUTED_VALUE"""),"https://www.tiktok.com/@slvdew_")</f>
        <v>https://www.tiktok.com/@slvdew_</v>
      </c>
      <c r="D689" s="270">
        <f>IFERROR(__xludf.DUMMYFUNCTION("""COMPUTED_VALUE"""),8.3877700834E10)</f>
        <v>83877700834</v>
      </c>
      <c r="E689" s="457">
        <f>IFERROR(__xludf.DUMMYFUNCTION("""COMPUTED_VALUE"""),0.0)</f>
        <v>0</v>
      </c>
      <c r="F689" s="270">
        <f>IFERROR(__xludf.DUMMYFUNCTION("""COMPUTED_VALUE"""),4.0)</f>
        <v>4</v>
      </c>
      <c r="G689" s="17" t="str">
        <f>IFERROR(__xludf.DUMMYFUNCTION("""COMPUTED_VALUE"""),"Sabun batang 1 Box ( 2 PCS )")</f>
        <v>Sabun batang 1 Box ( 2 PCS )</v>
      </c>
      <c r="H689" s="463" t="str">
        <f>IFERROR(__xludf.DUMMYFUNCTION("""COMPUTED_VALUE"""),"Sampai")</f>
        <v>Sampai</v>
      </c>
      <c r="I689" s="464" t="str">
        <f>IFERROR(__xludf.DUMMYFUNCTION("""COMPUTED_VALUE"""),"KIMME")</f>
        <v>KIMME</v>
      </c>
      <c r="J689" s="279" t="str">
        <f>IFERROR(__xludf.DUMMYFUNCTION("""COMPUTED_VALUE"""),"https://vt.tiktok.com/ZS92jjTdt/")</f>
        <v>https://vt.tiktok.com/ZS92jjTdt/</v>
      </c>
      <c r="K689" s="464" t="str">
        <f>IFERROR(__xludf.DUMMYFUNCTION("""COMPUTED_VALUE"""),"KIMME")</f>
        <v>KIMME</v>
      </c>
      <c r="L689" s="279" t="str">
        <f>IFERROR(__xludf.DUMMYFUNCTION("""COMPUTED_VALUE"""),"https://vt.tiktok.com/ZS922oxDL/")</f>
        <v>https://vt.tiktok.com/ZS922oxDL/</v>
      </c>
      <c r="M689" s="464"/>
      <c r="N689" s="279" t="str">
        <f>IFERROR(__xludf.DUMMYFUNCTION("""COMPUTED_VALUE"""),"https://vt.tiktok.com/ZS922wpHd/")</f>
        <v>https://vt.tiktok.com/ZS922wpHd/</v>
      </c>
      <c r="O689" s="464"/>
      <c r="P689" s="279" t="str">
        <f>IFERROR(__xludf.DUMMYFUNCTION("""COMPUTED_VALUE"""),"https://vt.tiktok.com/ZS92jdsDn/")</f>
        <v>https://vt.tiktok.com/ZS92jdsDn/</v>
      </c>
    </row>
    <row r="690">
      <c r="A690" s="255" t="str">
        <f>IFERROR(__xludf.DUMMYFUNCTION("""COMPUTED_VALUE"""),"MICRO")</f>
        <v>MICRO</v>
      </c>
      <c r="B690" s="361" t="str">
        <f>IFERROR(__xludf.DUMMYFUNCTION("""COMPUTED_VALUE"""),"hatim.id")</f>
        <v>hatim.id</v>
      </c>
      <c r="C690" s="257" t="str">
        <f>IFERROR(__xludf.DUMMYFUNCTION("""COMPUTED_VALUE"""),"https://www.tiktok.com/@hatim.id")</f>
        <v>https://www.tiktok.com/@hatim.id</v>
      </c>
      <c r="D690" s="270">
        <f>IFERROR(__xludf.DUMMYFUNCTION("""COMPUTED_VALUE"""),8.7782497814E10)</f>
        <v>87782497814</v>
      </c>
      <c r="E690" s="457">
        <f>IFERROR(__xludf.DUMMYFUNCTION("""COMPUTED_VALUE"""),0.0)</f>
        <v>0</v>
      </c>
      <c r="F690" s="270">
        <f>IFERROR(__xludf.DUMMYFUNCTION("""COMPUTED_VALUE"""),4.0)</f>
        <v>4</v>
      </c>
      <c r="G690" s="17" t="str">
        <f>IFERROR(__xludf.DUMMYFUNCTION("""COMPUTED_VALUE"""),"Sabun batang 1 Box ( 2 PCS )")</f>
        <v>Sabun batang 1 Box ( 2 PCS )</v>
      </c>
      <c r="H690" s="463" t="str">
        <f>IFERROR(__xludf.DUMMYFUNCTION("""COMPUTED_VALUE"""),"Sampai")</f>
        <v>Sampai</v>
      </c>
      <c r="I690" s="464" t="str">
        <f>IFERROR(__xludf.DUMMYFUNCTION("""COMPUTED_VALUE"""),"KIMME")</f>
        <v>KIMME</v>
      </c>
      <c r="J690" s="279" t="str">
        <f>IFERROR(__xludf.DUMMYFUNCTION("""COMPUTED_VALUE"""),"https://vt.tiktok.com/ZS92jkKQe/")</f>
        <v>https://vt.tiktok.com/ZS92jkKQe/</v>
      </c>
      <c r="K690" s="464" t="str">
        <f>IFERROR(__xludf.DUMMYFUNCTION("""COMPUTED_VALUE"""),"KIMME")</f>
        <v>KIMME</v>
      </c>
      <c r="L690" s="279" t="str">
        <f>IFERROR(__xludf.DUMMYFUNCTION("""COMPUTED_VALUE"""),"https://vt.tiktok.com/ZS922copY/")</f>
        <v>https://vt.tiktok.com/ZS922copY/</v>
      </c>
      <c r="M690" s="464"/>
      <c r="N690" s="279" t="str">
        <f>IFERROR(__xludf.DUMMYFUNCTION("""COMPUTED_VALUE"""),"https://vt.tiktok.com/ZS92jdrsu/")</f>
        <v>https://vt.tiktok.com/ZS92jdrsu/</v>
      </c>
      <c r="O690" s="464"/>
      <c r="P690" s="279" t="str">
        <f>IFERROR(__xludf.DUMMYFUNCTION("""COMPUTED_VALUE"""),"https://vt.tiktok.com/ZS92jhhyT/")</f>
        <v>https://vt.tiktok.com/ZS92jhhyT/</v>
      </c>
    </row>
    <row r="691">
      <c r="A691" s="255" t="str">
        <f>IFERROR(__xludf.DUMMYFUNCTION("""COMPUTED_VALUE"""),"MICRO")</f>
        <v>MICRO</v>
      </c>
      <c r="B691" s="361" t="str">
        <f>IFERROR(__xludf.DUMMYFUNCTION("""COMPUTED_VALUE"""),"ritajuwita.48")</f>
        <v>ritajuwita.48</v>
      </c>
      <c r="C691" s="257" t="str">
        <f>IFERROR(__xludf.DUMMYFUNCTION("""COMPUTED_VALUE"""),"https://www.tiktok.com/@ritajuwita.48")</f>
        <v>https://www.tiktok.com/@ritajuwita.48</v>
      </c>
      <c r="D691" s="270">
        <f>IFERROR(__xludf.DUMMYFUNCTION("""COMPUTED_VALUE"""),8.1288293152E10)</f>
        <v>81288293152</v>
      </c>
      <c r="E691" s="457">
        <f>IFERROR(__xludf.DUMMYFUNCTION("""COMPUTED_VALUE"""),0.0)</f>
        <v>0</v>
      </c>
      <c r="F691" s="270">
        <f>IFERROR(__xludf.DUMMYFUNCTION("""COMPUTED_VALUE"""),4.0)</f>
        <v>4</v>
      </c>
      <c r="G691" s="17" t="str">
        <f>IFERROR(__xludf.DUMMYFUNCTION("""COMPUTED_VALUE"""),"Sabun batang 1 Box ( 2 PCS )")</f>
        <v>Sabun batang 1 Box ( 2 PCS )</v>
      </c>
      <c r="H691" s="463" t="str">
        <f>IFERROR(__xludf.DUMMYFUNCTION("""COMPUTED_VALUE"""),"Sampai")</f>
        <v>Sampai</v>
      </c>
      <c r="I691" s="464" t="str">
        <f>IFERROR(__xludf.DUMMYFUNCTION("""COMPUTED_VALUE"""),"KIMME")</f>
        <v>KIMME</v>
      </c>
      <c r="J691" s="279" t="str">
        <f>IFERROR(__xludf.DUMMYFUNCTION("""COMPUTED_VALUE"""),"https://vt.tiktok.com/ZS9223tgT/")</f>
        <v>https://vt.tiktok.com/ZS9223tgT/</v>
      </c>
      <c r="K691" s="464" t="str">
        <f>IFERROR(__xludf.DUMMYFUNCTION("""COMPUTED_VALUE"""),"KIMME")</f>
        <v>KIMME</v>
      </c>
      <c r="L691" s="279" t="str">
        <f>IFERROR(__xludf.DUMMYFUNCTION("""COMPUTED_VALUE"""),"https://vt.tiktok.com/ZS92jYJMC/")</f>
        <v>https://vt.tiktok.com/ZS92jYJMC/</v>
      </c>
      <c r="M691" s="464"/>
      <c r="N691" s="279" t="str">
        <f>IFERROR(__xludf.DUMMYFUNCTION("""COMPUTED_VALUE"""),"https://vt.tiktok.com/ZS969vxn9/")</f>
        <v>https://vt.tiktok.com/ZS969vxn9/</v>
      </c>
      <c r="O691" s="464"/>
      <c r="P691" s="279" t="str">
        <f>IFERROR(__xludf.DUMMYFUNCTION("""COMPUTED_VALUE"""),"https://vt.tiktok.com/ZS96939ed/")</f>
        <v>https://vt.tiktok.com/ZS96939ed/</v>
      </c>
    </row>
    <row r="692">
      <c r="A692" s="255" t="str">
        <f>IFERROR(__xludf.DUMMYFUNCTION("""COMPUTED_VALUE"""),"MACRO")</f>
        <v>MACRO</v>
      </c>
      <c r="B692" s="361" t="str">
        <f>IFERROR(__xludf.DUMMYFUNCTION("""COMPUTED_VALUE"""),"s_agrecia1")</f>
        <v>s_agrecia1</v>
      </c>
      <c r="C692" s="257" t="str">
        <f>IFERROR(__xludf.DUMMYFUNCTION("""COMPUTED_VALUE"""),"https://www.tiktok.com/@s_agrecia1")</f>
        <v>https://www.tiktok.com/@s_agrecia1</v>
      </c>
      <c r="D692" s="270">
        <f>IFERROR(__xludf.DUMMYFUNCTION("""COMPUTED_VALUE"""),8.5250299079E10)</f>
        <v>85250299079</v>
      </c>
      <c r="E692" s="457">
        <f>IFERROR(__xludf.DUMMYFUNCTION("""COMPUTED_VALUE"""),0.0)</f>
        <v>0</v>
      </c>
      <c r="F692" s="270">
        <f>IFERROR(__xludf.DUMMYFUNCTION("""COMPUTED_VALUE"""),1.0)</f>
        <v>1</v>
      </c>
      <c r="G692" s="17" t="str">
        <f>IFERROR(__xludf.DUMMYFUNCTION("""COMPUTED_VALUE"""),"Sabun batang 1 Box ( 2 PCS )")</f>
        <v>Sabun batang 1 Box ( 2 PCS )</v>
      </c>
      <c r="H692" s="463" t="str">
        <f>IFERROR(__xludf.DUMMYFUNCTION("""COMPUTED_VALUE"""),"Sampai")</f>
        <v>Sampai</v>
      </c>
      <c r="I692" s="464" t="str">
        <f>IFERROR(__xludf.DUMMYFUNCTION("""COMPUTED_VALUE"""),"KIMME")</f>
        <v>KIMME</v>
      </c>
      <c r="J692" s="279" t="str">
        <f>IFERROR(__xludf.DUMMYFUNCTION("""COMPUTED_VALUE"""),"https://www.tiktok.com/@s_agrecia1/video/7623315981133171985?is_from_webapp=1&amp;sender_device=pc&amp;web_id=7611930277489657360")</f>
        <v>https://www.tiktok.com/@s_agrecia1/video/7623315981133171985?is_from_webapp=1&amp;sender_device=pc&amp;web_id=7611930277489657360</v>
      </c>
      <c r="K692" s="464" t="str">
        <f>IFERROR(__xludf.DUMMYFUNCTION("""COMPUTED_VALUE"""),"KIMME")</f>
        <v>KIMME</v>
      </c>
      <c r="L692" s="279" t="str">
        <f>IFERROR(__xludf.DUMMYFUNCTION("""COMPUTED_VALUE"""),"https://www.tiktok.com/@rindi.afrilia/video/7631725805579635989?_r=1&amp;u_code=dja890i3j90f3j&amp;region=&amp;mid=7401356337810066177&amp;preview_pb=0&amp;sharer_language=&amp;_d=0&amp;ec_shared_reflux_dynamic_params=%7B%22placeholder_material_id%22%3A%227631725805579635989%22%2C%2"&amp;"2placeholder_origin_cover%22%3A%22https%253A%252F%252Fp16-common-sign.tiktokcdn.com%252Ftos-alisg-p-0037%252FoUkOIVFcolcmmdwpBCDAIX6fRVpgVB3EkVEDf7~tplv-tiktokx-origin.jpeg%253Fdr%253D14572%2526refresh_token%253Ddf34253f%2526x-expires%253D1810202400%2526x"&amp;"-signature%253DVW%25252BwMwo0nC2ujpGJpHqNbNpfxuM%25253D%2526t%253D4d5b0474%2526ps%253D13740610%2526shp%253Dd05b14bd%2526shcp%253D34ff8df6%2526idc%253Dmy2%2526s%253DTIKTOK_AFFILIATE_VIRAL_VIDEO%22%2C%22placeholder_product_id%22%3A%221729427766722726591%22%"&amp;"2C%22placeholder_video_id%22%3A%227631725805579635989%22%7D&amp;ec_shared_reflux_scene=shop_tab_feed&amp;share_item_id=7631725805579635989&amp;source=h5_t")</f>
        <v>https://www.tiktok.com/@rindi.afrilia/video/7631725805579635989?_r=1&amp;u_code=dja890i3j90f3j&amp;region=&amp;mid=7401356337810066177&amp;preview_pb=0&amp;sharer_language=&amp;_d=0&amp;ec_shared_reflux_dynamic_params=%7B%22placeholder_material_id%22%3A%227631725805579635989%22%2C%22placeholder_origin_cover%22%3A%22https%253A%252F%252Fp16-common-sign.tiktokcdn.com%252Ftos-alisg-p-0037%252FoUkOIVFcolcmmdwpBCDAIX6fRVpgVB3EkVEDf7~tplv-tiktokx-origin.jpeg%253Fdr%253D14572%2526refresh_token%253Ddf34253f%2526x-expires%253D1810202400%2526x-signature%253DVW%25252BwMwo0nC2ujpGJpHqNbNpfxuM%25253D%2526t%253D4d5b0474%2526ps%253D13740610%2526shp%253Dd05b14bd%2526shcp%253D34ff8df6%2526idc%253Dmy2%2526s%253DTIKTOK_AFFILIATE_VIRAL_VIDEO%22%2C%22placeholder_product_id%22%3A%221729427766722726591%22%2C%22placeholder_video_id%22%3A%227631725805579635989%22%7D&amp;ec_shared_reflux_scene=shop_tab_feed&amp;share_item_id=7631725805579635989&amp;source=h5_t</v>
      </c>
      <c r="M692" s="464"/>
      <c r="N692" s="17"/>
      <c r="O692" s="464"/>
      <c r="P692" s="17"/>
    </row>
    <row r="693">
      <c r="A693" s="255" t="str">
        <f>IFERROR(__xludf.DUMMYFUNCTION("""COMPUTED_VALUE"""),"MICRO")</f>
        <v>MICRO</v>
      </c>
      <c r="B693" s="361" t="str">
        <f>IFERROR(__xludf.DUMMYFUNCTION("""COMPUTED_VALUE"""),"dyanamaliah")</f>
        <v>dyanamaliah</v>
      </c>
      <c r="C693" s="257" t="str">
        <f>IFERROR(__xludf.DUMMYFUNCTION("""COMPUTED_VALUE"""),"https://www.tiktok.com/@dyanamaliah")</f>
        <v>https://www.tiktok.com/@dyanamaliah</v>
      </c>
      <c r="D693" s="270">
        <f>IFERROR(__xludf.DUMMYFUNCTION("""COMPUTED_VALUE"""),8.2132787821E10)</f>
        <v>82132787821</v>
      </c>
      <c r="E693" s="457">
        <f>IFERROR(__xludf.DUMMYFUNCTION("""COMPUTED_VALUE"""),0.0)</f>
        <v>0</v>
      </c>
      <c r="F693" s="270">
        <f>IFERROR(__xludf.DUMMYFUNCTION("""COMPUTED_VALUE"""),4.0)</f>
        <v>4</v>
      </c>
      <c r="G693" s="17" t="str">
        <f>IFERROR(__xludf.DUMMYFUNCTION("""COMPUTED_VALUE"""),"Sabun batang 1 Box ( 2 PCS )")</f>
        <v>Sabun batang 1 Box ( 2 PCS )</v>
      </c>
      <c r="H693" s="463" t="str">
        <f>IFERROR(__xludf.DUMMYFUNCTION("""COMPUTED_VALUE"""),"Sampai")</f>
        <v>Sampai</v>
      </c>
      <c r="I693" s="464" t="str">
        <f>IFERROR(__xludf.DUMMYFUNCTION("""COMPUTED_VALUE"""),"KIMME")</f>
        <v>KIMME</v>
      </c>
      <c r="J693" s="279" t="str">
        <f>IFERROR(__xludf.DUMMYFUNCTION("""COMPUTED_VALUE"""),"https://vt.tiktok.com/ZS969GD6P/")</f>
        <v>https://vt.tiktok.com/ZS969GD6P/</v>
      </c>
      <c r="K693" s="464" t="str">
        <f>IFERROR(__xludf.DUMMYFUNCTION("""COMPUTED_VALUE"""),"KIMME")</f>
        <v>KIMME</v>
      </c>
      <c r="L693" s="279" t="str">
        <f>IFERROR(__xludf.DUMMYFUNCTION("""COMPUTED_VALUE"""),"https://vt.tiktok.com/ZS969wDHT/")</f>
        <v>https://vt.tiktok.com/ZS969wDHT/</v>
      </c>
      <c r="M693" s="464"/>
      <c r="N693" s="279" t="str">
        <f>IFERROR(__xludf.DUMMYFUNCTION("""COMPUTED_VALUE"""),"https://vt.tiktok.com/ZS969E3AE/")</f>
        <v>https://vt.tiktok.com/ZS969E3AE/</v>
      </c>
      <c r="O693" s="464"/>
      <c r="P693" s="279" t="str">
        <f>IFERROR(__xludf.DUMMYFUNCTION("""COMPUTED_VALUE"""),"https://vt.tiktok.com/ZS969qN61/")</f>
        <v>https://vt.tiktok.com/ZS969qN61/</v>
      </c>
    </row>
    <row r="694">
      <c r="A694" s="255" t="str">
        <f>IFERROR(__xludf.DUMMYFUNCTION("""COMPUTED_VALUE"""),"MICRO")</f>
        <v>MICRO</v>
      </c>
      <c r="B694" s="361" t="str">
        <f>IFERROR(__xludf.DUMMYFUNCTION("""COMPUTED_VALUE"""),"ipi109")</f>
        <v>ipi109</v>
      </c>
      <c r="C694" s="257" t="str">
        <f>IFERROR(__xludf.DUMMYFUNCTION("""COMPUTED_VALUE"""),"https://www.tiktok.com/@ipi109")</f>
        <v>https://www.tiktok.com/@ipi109</v>
      </c>
      <c r="D694" s="270">
        <f>IFERROR(__xludf.DUMMYFUNCTION("""COMPUTED_VALUE"""),8.988051924E9)</f>
        <v>8988051924</v>
      </c>
      <c r="E694" s="457">
        <f>IFERROR(__xludf.DUMMYFUNCTION("""COMPUTED_VALUE"""),0.0)</f>
        <v>0</v>
      </c>
      <c r="F694" s="270">
        <f>IFERROR(__xludf.DUMMYFUNCTION("""COMPUTED_VALUE"""),4.0)</f>
        <v>4</v>
      </c>
      <c r="G694" s="17" t="str">
        <f>IFERROR(__xludf.DUMMYFUNCTION("""COMPUTED_VALUE"""),"Sabun batang 1 Box ( 2 PCS )")</f>
        <v>Sabun batang 1 Box ( 2 PCS )</v>
      </c>
      <c r="H694" s="463" t="str">
        <f>IFERROR(__xludf.DUMMYFUNCTION("""COMPUTED_VALUE"""),"Sampai")</f>
        <v>Sampai</v>
      </c>
      <c r="I694" s="464" t="str">
        <f>IFERROR(__xludf.DUMMYFUNCTION("""COMPUTED_VALUE"""),"KIMME")</f>
        <v>KIMME</v>
      </c>
      <c r="J694" s="279" t="str">
        <f>IFERROR(__xludf.DUMMYFUNCTION("""COMPUTED_VALUE"""),"https://vt.tiktok.com/ZS969VFg6/")</f>
        <v>https://vt.tiktok.com/ZS969VFg6/</v>
      </c>
      <c r="K694" s="464" t="str">
        <f>IFERROR(__xludf.DUMMYFUNCTION("""COMPUTED_VALUE"""),"KIMME")</f>
        <v>KIMME</v>
      </c>
      <c r="L694" s="279" t="str">
        <f>IFERROR(__xludf.DUMMYFUNCTION("""COMPUTED_VALUE"""),"https://vt.tiktok.com/ZS969TGWL/")</f>
        <v>https://vt.tiktok.com/ZS969TGWL/</v>
      </c>
      <c r="M694" s="464"/>
      <c r="N694" s="279" t="str">
        <f>IFERROR(__xludf.DUMMYFUNCTION("""COMPUTED_VALUE"""),"https://vt.tiktok.com/ZS969swMD/")</f>
        <v>https://vt.tiktok.com/ZS969swMD/</v>
      </c>
      <c r="O694" s="464"/>
      <c r="P694" s="279" t="str">
        <f>IFERROR(__xludf.DUMMYFUNCTION("""COMPUTED_VALUE"""),"https://vt.tiktok.com/ZS969paLM/")</f>
        <v>https://vt.tiktok.com/ZS969paLM/</v>
      </c>
    </row>
    <row r="695">
      <c r="A695" s="255" t="str">
        <f>IFERROR(__xludf.DUMMYFUNCTION("""COMPUTED_VALUE"""),"MICRO")</f>
        <v>MICRO</v>
      </c>
      <c r="B695" s="361" t="str">
        <f>IFERROR(__xludf.DUMMYFUNCTION("""COMPUTED_VALUE"""),"prettydol208")</f>
        <v>prettydol208</v>
      </c>
      <c r="C695" s="257" t="str">
        <f>IFERROR(__xludf.DUMMYFUNCTION("""COMPUTED_VALUE"""),"https://www.tiktok.com/@prettydol208")</f>
        <v>https://www.tiktok.com/@prettydol208</v>
      </c>
      <c r="D695" s="270">
        <f>IFERROR(__xludf.DUMMYFUNCTION("""COMPUTED_VALUE"""),8.9516885642E10)</f>
        <v>89516885642</v>
      </c>
      <c r="E695" s="457">
        <f>IFERROR(__xludf.DUMMYFUNCTION("""COMPUTED_VALUE"""),0.0)</f>
        <v>0</v>
      </c>
      <c r="F695" s="270">
        <f>IFERROR(__xludf.DUMMYFUNCTION("""COMPUTED_VALUE"""),2.0)</f>
        <v>2</v>
      </c>
      <c r="G695" s="17" t="str">
        <f>IFERROR(__xludf.DUMMYFUNCTION("""COMPUTED_VALUE"""),"Sabun batang 1 Box ( 2 PCS )")</f>
        <v>Sabun batang 1 Box ( 2 PCS )</v>
      </c>
      <c r="H695" s="463" t="str">
        <f>IFERROR(__xludf.DUMMYFUNCTION("""COMPUTED_VALUE"""),"Sampai")</f>
        <v>Sampai</v>
      </c>
      <c r="I695" s="464" t="str">
        <f>IFERROR(__xludf.DUMMYFUNCTION("""COMPUTED_VALUE"""),"KIMME")</f>
        <v>KIMME</v>
      </c>
      <c r="J695" s="279" t="str">
        <f>IFERROR(__xludf.DUMMYFUNCTION("""COMPUTED_VALUE"""),"https://vt.tiktok.com/ZS9NMBkL6/")</f>
        <v>https://vt.tiktok.com/ZS9NMBkL6/</v>
      </c>
      <c r="K695" s="464" t="str">
        <f>IFERROR(__xludf.DUMMYFUNCTION("""COMPUTED_VALUE"""),"KIMME")</f>
        <v>KIMME</v>
      </c>
      <c r="L695" s="17" t="str">
        <f>IFERROR(__xludf.DUMMYFUNCTION("""COMPUTED_VALUE"""),"⁠https://vt.tiktok.com/ZS9NMaVSC/")</f>
        <v>⁠https://vt.tiktok.com/ZS9NMaVSC/</v>
      </c>
      <c r="M695" s="464"/>
      <c r="N695" s="279" t="str">
        <f>IFERROR(__xludf.DUMMYFUNCTION("""COMPUTED_VALUE"""),"https://www.tiktok.com/@berkah.glosir/video/7634356571769818388?_r=1&amp;u_code=e4hbm162fcgeg9&amp;region=&amp;mid=7620594630568037140&amp;preview_pb=0&amp;sharer_language=&amp;_d=0&amp;ec_shared_reflux_dynamic_params=%7B%22placeholder_material_id%22%3A%227634356571769818388%22%2C%2"&amp;"2placeholder_origin_cover%22%3A%22https%253A%252F%252Fp16-common-sign.tiktokcdn.com%252Ftos-alisg-p-0037%252FocuK1BfYIAuoERCC3ArimPuRPIXIwvid0yAvRP~tplv-tiktokx-origin.jpeg%253Fdr%253D14572%2526refresh_token%253D395ba69e%2526x-expires%253D1810116000%2526x"&amp;"-signature%253DzlMKkxvpm3PZ5nSctbvrJG7ffhM%25253D%2526t%253D4d5b0474%2526ps%253D13740610%2526shp%253Dd05b14bd%2526shcp%253D34ff8df6%2526idc%253Dmy2%2526s%253DTIKTOK_AFFILIATE_VIRAL_VIDEO%22%2C%22placeholder_product_id%22%3A%221729427766722726591%22%2C%22p"&amp;"laceholder_video_id%22%3A%227634356571769818388%22%7D&amp;ec_shared_reflux_scene=shop_tab_feed&amp;share_item_id=7634356571769818388&amp;source=h5_t")</f>
        <v>https://www.tiktok.com/@berkah.glosir/video/7634356571769818388?_r=1&amp;u_code=e4hbm162fcgeg9&amp;region=&amp;mid=7620594630568037140&amp;preview_pb=0&amp;sharer_language=&amp;_d=0&amp;ec_shared_reflux_dynamic_params=%7B%22placeholder_material_id%22%3A%227634356571769818388%22%2C%22placeholder_origin_cover%22%3A%22https%253A%252F%252Fp16-common-sign.tiktokcdn.com%252Ftos-alisg-p-0037%252FocuK1BfYIAuoERCC3ArimPuRPIXIwvid0yAvRP~tplv-tiktokx-origin.jpeg%253Fdr%253D14572%2526refresh_token%253D395ba69e%2526x-expires%253D1810116000%2526x-signature%253DzlMKkxvpm3PZ5nSctbvrJG7ffhM%25253D%2526t%253D4d5b0474%2526ps%253D13740610%2526shp%253Dd05b14bd%2526shcp%253D34ff8df6%2526idc%253Dmy2%2526s%253DTIKTOK_AFFILIATE_VIRAL_VIDEO%22%2C%22placeholder_product_id%22%3A%221729427766722726591%22%2C%22placeholder_video_id%22%3A%227634356571769818388%22%7D&amp;ec_shared_reflux_scene=shop_tab_feed&amp;share_item_id=7634356571769818388&amp;source=h5_t</v>
      </c>
      <c r="O695" s="464"/>
      <c r="P695" s="279" t="str">
        <f>IFERROR(__xludf.DUMMYFUNCTION("""COMPUTED_VALUE"""),"https://www.tiktok.com/@berkah.glosir/video/7634356185231199509?_r=1&amp;u_code=e4hbm162fcgeg9&amp;region=&amp;mid=7613023919407466497&amp;preview_pb=0&amp;sharer_language=&amp;_d=0&amp;ec_shared_reflux_dynamic_params=%7B%22placeholder_material_id%22%3A%227634356185231199509%22%2C%2"&amp;"2placeholder_origin_cover%22%3A%22https%253A%252F%252Fp19-common-sign.tiktokcdn.com%252Ftos-alisg-p-0037%252Fos4GeugxIPGBIoLATseAgrVe8yujCrI5yIDLCE~tplv-tiktokx-origin.jpeg%253Fdr%253D14572%2526refresh_token%253D6dff1204%2526x-expires%253D1810116000%2526x"&amp;"-signature%253D84ZXak4xaMpAU2YMfwLOQtHBcw4%25253D%2526t%253D4d5b0474%2526ps%253D13740610%2526shp%253Dd05b14bd%2526shcp%253D34ff8df6%2526idc%253Dmy2%2526s%253DTIKTOK_AFFILIATE_VIRAL_VIDEO%22%2C%22placeholder_product_id%22%3A%221729729730555512511%22%2C%22p"&amp;"laceholder_video_id%22%3A%227634356185231199509%22%7D&amp;ec_shared_reflux_scene=shop_tab_feed&amp;share_item_id=7634356185231199509&amp;source=h5_t")</f>
        <v>https://www.tiktok.com/@berkah.glosir/video/7634356185231199509?_r=1&amp;u_code=e4hbm162fcgeg9&amp;region=&amp;mid=7613023919407466497&amp;preview_pb=0&amp;sharer_language=&amp;_d=0&amp;ec_shared_reflux_dynamic_params=%7B%22placeholder_material_id%22%3A%227634356185231199509%22%2C%22placeholder_origin_cover%22%3A%22https%253A%252F%252Fp19-common-sign.tiktokcdn.com%252Ftos-alisg-p-0037%252Fos4GeugxIPGBIoLATseAgrVe8yujCrI5yIDLCE~tplv-tiktokx-origin.jpeg%253Fdr%253D14572%2526refresh_token%253D6dff1204%2526x-expires%253D1810116000%2526x-signature%253D84ZXak4xaMpAU2YMfwLOQtHBcw4%25253D%2526t%253D4d5b0474%2526ps%253D13740610%2526shp%253Dd05b14bd%2526shcp%253D34ff8df6%2526idc%253Dmy2%2526s%253DTIKTOK_AFFILIATE_VIRAL_VIDEO%22%2C%22placeholder_product_id%22%3A%221729729730555512511%22%2C%22placeholder_video_id%22%3A%227634356185231199509%22%7D&amp;ec_shared_reflux_scene=shop_tab_feed&amp;share_item_id=7634356185231199509&amp;source=h5_t</v>
      </c>
    </row>
    <row r="696">
      <c r="A696" s="255" t="str">
        <f>IFERROR(__xludf.DUMMYFUNCTION("""COMPUTED_VALUE"""),"MACRO")</f>
        <v>MACRO</v>
      </c>
      <c r="B696" s="361" t="str">
        <f>IFERROR(__xludf.DUMMYFUNCTION("""COMPUTED_VALUE"""),"egi_kinara")</f>
        <v>egi_kinara</v>
      </c>
      <c r="C696" s="257" t="str">
        <f>IFERROR(__xludf.DUMMYFUNCTION("""COMPUTED_VALUE"""),"https://www.tiktok.com/@egi_kinara")</f>
        <v>https://www.tiktok.com/@egi_kinara</v>
      </c>
      <c r="D696" s="270">
        <f>IFERROR(__xludf.DUMMYFUNCTION("""COMPUTED_VALUE"""),8.2377337111E10)</f>
        <v>82377337111</v>
      </c>
      <c r="E696" s="457">
        <f>IFERROR(__xludf.DUMMYFUNCTION("""COMPUTED_VALUE"""),0.0)</f>
        <v>0</v>
      </c>
      <c r="F696" s="270">
        <f>IFERROR(__xludf.DUMMYFUNCTION("""COMPUTED_VALUE"""),2.0)</f>
        <v>2</v>
      </c>
      <c r="G696" s="17" t="str">
        <f>IFERROR(__xludf.DUMMYFUNCTION("""COMPUTED_VALUE"""),"Sabun batang 1 Box ( 2 PCS )")</f>
        <v>Sabun batang 1 Box ( 2 PCS )</v>
      </c>
      <c r="H696" s="463" t="str">
        <f>IFERROR(__xludf.DUMMYFUNCTION("""COMPUTED_VALUE"""),"Sampai")</f>
        <v>Sampai</v>
      </c>
      <c r="I696" s="464" t="str">
        <f>IFERROR(__xludf.DUMMYFUNCTION("""COMPUTED_VALUE"""),"KIMME")</f>
        <v>KIMME</v>
      </c>
      <c r="J696" s="17" t="str">
        <f>IFERROR(__xludf.DUMMYFUNCTION("""COMPUTED_VALUE"""),"⁠https://vt.tiktok.com/ZS9NMksrr/")</f>
        <v>⁠https://vt.tiktok.com/ZS9NMksrr/</v>
      </c>
      <c r="K696" s="464" t="str">
        <f>IFERROR(__xludf.DUMMYFUNCTION("""COMPUTED_VALUE"""),"KIMME")</f>
        <v>KIMME</v>
      </c>
      <c r="L696" s="17" t="str">
        <f>IFERROR(__xludf.DUMMYFUNCTION("""COMPUTED_VALUE"""),"⁠https://vt.tiktok.com/ZS9NMfJ2s/")</f>
        <v>⁠https://vt.tiktok.com/ZS9NMfJ2s/</v>
      </c>
      <c r="M696" s="464"/>
      <c r="N696" s="17"/>
      <c r="O696" s="464"/>
      <c r="P696" s="17"/>
    </row>
    <row r="697">
      <c r="A697" s="255" t="str">
        <f>IFERROR(__xludf.DUMMYFUNCTION("""COMPUTED_VALUE"""),"MICRO")</f>
        <v>MICRO</v>
      </c>
      <c r="B697" s="361" t="str">
        <f>IFERROR(__xludf.DUMMYFUNCTION("""COMPUTED_VALUE"""),"ay.cloth")</f>
        <v>ay.cloth</v>
      </c>
      <c r="C697" s="257" t="str">
        <f>IFERROR(__xludf.DUMMYFUNCTION("""COMPUTED_VALUE"""),"https://www.tiktok.com/@ay.cloth")</f>
        <v>https://www.tiktok.com/@ay.cloth</v>
      </c>
      <c r="D697" s="270">
        <f>IFERROR(__xludf.DUMMYFUNCTION("""COMPUTED_VALUE"""),8.5225518296E10)</f>
        <v>85225518296</v>
      </c>
      <c r="E697" s="457">
        <f>IFERROR(__xludf.DUMMYFUNCTION("""COMPUTED_VALUE"""),0.0)</f>
        <v>0</v>
      </c>
      <c r="F697" s="270">
        <f>IFERROR(__xludf.DUMMYFUNCTION("""COMPUTED_VALUE"""),3.0)</f>
        <v>3</v>
      </c>
      <c r="G697" s="17" t="str">
        <f>IFERROR(__xludf.DUMMYFUNCTION("""COMPUTED_VALUE"""),"Sabun batang 1 Box ( 2 PCS )")</f>
        <v>Sabun batang 1 Box ( 2 PCS )</v>
      </c>
      <c r="H697" s="463" t="str">
        <f>IFERROR(__xludf.DUMMYFUNCTION("""COMPUTED_VALUE"""),"Sampai")</f>
        <v>Sampai</v>
      </c>
      <c r="I697" s="464" t="str">
        <f>IFERROR(__xludf.DUMMYFUNCTION("""COMPUTED_VALUE"""),"KIMME")</f>
        <v>KIMME</v>
      </c>
      <c r="J697" s="17" t="str">
        <f>IFERROR(__xludf.DUMMYFUNCTION("""COMPUTED_VALUE"""),"⁠https://vt.tiktok.com/ZS9NMyM2G/")</f>
        <v>⁠https://vt.tiktok.com/ZS9NMyM2G/</v>
      </c>
      <c r="K697" s="464" t="str">
        <f>IFERROR(__xludf.DUMMYFUNCTION("""COMPUTED_VALUE"""),"KIMME")</f>
        <v>KIMME</v>
      </c>
      <c r="L697" s="17" t="str">
        <f>IFERROR(__xludf.DUMMYFUNCTION("""COMPUTED_VALUE"""),"⁠https://vt.tiktok.com/ZS9NM6sny/")</f>
        <v>⁠https://vt.tiktok.com/ZS9NM6sny/</v>
      </c>
      <c r="M697" s="464"/>
      <c r="N697" s="17" t="str">
        <f>IFERROR(__xludf.DUMMYFUNCTION("""COMPUTED_VALUE"""),"⁠https://vt.tiktok.com/ZS9NM6Ae2/")</f>
        <v>⁠https://vt.tiktok.com/ZS9NM6Ae2/</v>
      </c>
      <c r="O697" s="464"/>
      <c r="P697" s="279" t="str">
        <f>IFERROR(__xludf.DUMMYFUNCTION("""COMPUTED_VALUE"""),"https://www.tiktok.com/@berkah.glosir/video/7633875249427205397?_r=1&amp;u_code=e4hbm162fcgeg9&amp;region=&amp;mid=7606071400499628049&amp;preview_pb=0&amp;sharer_language=&amp;_d=0&amp;ec_shared_reflux_dynamic_params=%7B%22placeholder_material_id%22%3A%227633875249427205397%22%2C%2"&amp;"2placeholder_origin_cover%22%3A%22https%253A%252F%252Fp16-common-sign.tiktokcdn.com%252Ftos-alisg-p-0037%252Fos5R1QoMA3BFnIsW8rnGGJA0glDfIwgffJfvNw~tplv-tiktokx-origin.jpeg%253Fdr%253D14572%2526refresh_token%253D7548a406%2526x-expires%253D1810116000%2526x"&amp;"-signature%253D8oJQOv2TuUwHsgj%25252F%25252BKw7t70in48%25253D%2526t%253D4d5b0474%2526ps%253D13740610%2526shp%253Dd05b14bd%2526shcp%253D34ff8df6%2526idc%253Dmy2%2526s%253DTIKTOK_AFFILIATE_VIRAL_VIDEO%22%2C%22placeholder_product_id%22%3A%2217297297305555125"&amp;"11%22%2C%22placeholder_video_id%22%3A%227633875249427205397%22%7D&amp;ec_shared_reflux_scene=shop_tab_feed&amp;share_item_id=7633875249427205397&amp;source=h5_t")</f>
        <v>https://www.tiktok.com/@berkah.glosir/video/7633875249427205397?_r=1&amp;u_code=e4hbm162fcgeg9&amp;region=&amp;mid=7606071400499628049&amp;preview_pb=0&amp;sharer_language=&amp;_d=0&amp;ec_shared_reflux_dynamic_params=%7B%22placeholder_material_id%22%3A%227633875249427205397%22%2C%22placeholder_origin_cover%22%3A%22https%253A%252F%252Fp16-common-sign.tiktokcdn.com%252Ftos-alisg-p-0037%252Fos5R1QoMA3BFnIsW8rnGGJA0glDfIwgffJfvNw~tplv-tiktokx-origin.jpeg%253Fdr%253D14572%2526refresh_token%253D7548a406%2526x-expires%253D1810116000%2526x-signature%253D8oJQOv2TuUwHsgj%25252F%25252BKw7t70in48%25253D%2526t%253D4d5b0474%2526ps%253D13740610%2526shp%253Dd05b14bd%2526shcp%253D34ff8df6%2526idc%253Dmy2%2526s%253DTIKTOK_AFFILIATE_VIRAL_VIDEO%22%2C%22placeholder_product_id%22%3A%221729729730555512511%22%2C%22placeholder_video_id%22%3A%227633875249427205397%22%7D&amp;ec_shared_reflux_scene=shop_tab_feed&amp;share_item_id=7633875249427205397&amp;source=h5_t</v>
      </c>
    </row>
    <row r="698">
      <c r="A698" s="255" t="str">
        <f>IFERROR(__xludf.DUMMYFUNCTION("""COMPUTED_VALUE"""),"MICRO")</f>
        <v>MICRO</v>
      </c>
      <c r="B698" s="361" t="str">
        <f>IFERROR(__xludf.DUMMYFUNCTION("""COMPUTED_VALUE"""),"razfaths")</f>
        <v>razfaths</v>
      </c>
      <c r="C698" s="257" t="str">
        <f>IFERROR(__xludf.DUMMYFUNCTION("""COMPUTED_VALUE"""),"https://www.tiktok.com/@razfaths")</f>
        <v>https://www.tiktok.com/@razfaths</v>
      </c>
      <c r="D698" s="270">
        <f>IFERROR(__xludf.DUMMYFUNCTION("""COMPUTED_VALUE"""),8.9636755058E10)</f>
        <v>89636755058</v>
      </c>
      <c r="E698" s="457">
        <f>IFERROR(__xludf.DUMMYFUNCTION("""COMPUTED_VALUE"""),0.0)</f>
        <v>0</v>
      </c>
      <c r="F698" s="270">
        <f>IFERROR(__xludf.DUMMYFUNCTION("""COMPUTED_VALUE"""),4.0)</f>
        <v>4</v>
      </c>
      <c r="G698" s="17" t="str">
        <f>IFERROR(__xludf.DUMMYFUNCTION("""COMPUTED_VALUE"""),"Sabun batang 1 Box ( 2 PCS )")</f>
        <v>Sabun batang 1 Box ( 2 PCS )</v>
      </c>
      <c r="H698" s="463" t="str">
        <f>IFERROR(__xludf.DUMMYFUNCTION("""COMPUTED_VALUE"""),"Sampai")</f>
        <v>Sampai</v>
      </c>
      <c r="I698" s="464" t="str">
        <f>IFERROR(__xludf.DUMMYFUNCTION("""COMPUTED_VALUE"""),"KIMME")</f>
        <v>KIMME</v>
      </c>
      <c r="J698" s="17" t="str">
        <f>IFERROR(__xludf.DUMMYFUNCTION("""COMPUTED_VALUE"""),"⁠https://vt.tiktok.com/ZS9NMkbBT/")</f>
        <v>⁠https://vt.tiktok.com/ZS9NMkbBT/</v>
      </c>
      <c r="K698" s="464" t="str">
        <f>IFERROR(__xludf.DUMMYFUNCTION("""COMPUTED_VALUE"""),"KIMME")</f>
        <v>KIMME</v>
      </c>
      <c r="L698" s="17" t="str">
        <f>IFERROR(__xludf.DUMMYFUNCTION("""COMPUTED_VALUE"""),"⁠https://vt.tiktok.com/ZS9NMhhVj/")</f>
        <v>⁠https://vt.tiktok.com/ZS9NMhhVj/</v>
      </c>
      <c r="M698" s="464"/>
      <c r="N698" s="17" t="str">
        <f>IFERROR(__xludf.DUMMYFUNCTION("""COMPUTED_VALUE"""),"⁠https://vt.tiktok.com/ZS9NMfxcj/")</f>
        <v>⁠https://vt.tiktok.com/ZS9NMfxcj/</v>
      </c>
      <c r="O698" s="464"/>
      <c r="P698" s="17" t="str">
        <f>IFERROR(__xludf.DUMMYFUNCTION("""COMPUTED_VALUE"""),"⁠https://vt.tiktok.com/ZS9NMh7vw/")</f>
        <v>⁠https://vt.tiktok.com/ZS9NMh7vw/</v>
      </c>
    </row>
    <row r="699">
      <c r="A699" s="255" t="str">
        <f>IFERROR(__xludf.DUMMYFUNCTION("""COMPUTED_VALUE"""),"MICRO")</f>
        <v>MICRO</v>
      </c>
      <c r="B699" s="361" t="str">
        <f>IFERROR(__xludf.DUMMYFUNCTION("""COMPUTED_VALUE"""),"mella_beauty24")</f>
        <v>mella_beauty24</v>
      </c>
      <c r="C699" s="257" t="str">
        <f>IFERROR(__xludf.DUMMYFUNCTION("""COMPUTED_VALUE"""),"https://www.tiktok.com/@mella_beauty24")</f>
        <v>https://www.tiktok.com/@mella_beauty24</v>
      </c>
      <c r="D699" s="270">
        <f>IFERROR(__xludf.DUMMYFUNCTION("""COMPUTED_VALUE"""),8.95809866667E11)</f>
        <v>895809866667</v>
      </c>
      <c r="E699" s="457">
        <f>IFERROR(__xludf.DUMMYFUNCTION("""COMPUTED_VALUE"""),0.0)</f>
        <v>0</v>
      </c>
      <c r="F699" s="270">
        <f>IFERROR(__xludf.DUMMYFUNCTION("""COMPUTED_VALUE"""),4.0)</f>
        <v>4</v>
      </c>
      <c r="G699" s="17" t="str">
        <f>IFERROR(__xludf.DUMMYFUNCTION("""COMPUTED_VALUE"""),"Sabun batang 1 Box ( 2 PCS )")</f>
        <v>Sabun batang 1 Box ( 2 PCS )</v>
      </c>
      <c r="H699" s="463" t="str">
        <f>IFERROR(__xludf.DUMMYFUNCTION("""COMPUTED_VALUE"""),"Sampai")</f>
        <v>Sampai</v>
      </c>
      <c r="I699" s="464" t="str">
        <f>IFERROR(__xludf.DUMMYFUNCTION("""COMPUTED_VALUE"""),"KIMME")</f>
        <v>KIMME</v>
      </c>
      <c r="J699" s="17" t="str">
        <f>IFERROR(__xludf.DUMMYFUNCTION("""COMPUTED_VALUE"""),"⁠https://vt.tiktok.com/ZS9NM38nK/")</f>
        <v>⁠https://vt.tiktok.com/ZS9NM38nK/</v>
      </c>
      <c r="K699" s="464" t="str">
        <f>IFERROR(__xludf.DUMMYFUNCTION("""COMPUTED_VALUE"""),"KIMME")</f>
        <v>KIMME</v>
      </c>
      <c r="L699" s="17" t="str">
        <f>IFERROR(__xludf.DUMMYFUNCTION("""COMPUTED_VALUE"""),"⁠https://vt.tiktok.com/ZS9NMv1aE/")</f>
        <v>⁠https://vt.tiktok.com/ZS9NMv1aE/</v>
      </c>
      <c r="M699" s="464"/>
      <c r="N699" s="17" t="str">
        <f>IFERROR(__xludf.DUMMYFUNCTION("""COMPUTED_VALUE"""),"⁠https://vt.tiktok.com/ZS9NMt6Q4/")</f>
        <v>⁠https://vt.tiktok.com/ZS9NMt6Q4/</v>
      </c>
      <c r="O699" s="464"/>
      <c r="P699" s="17" t="str">
        <f>IFERROR(__xludf.DUMMYFUNCTION("""COMPUTED_VALUE"""),"⁠https://vt.tiktok.com/ZS9NMKAVC/")</f>
        <v>⁠https://vt.tiktok.com/ZS9NMKAVC/</v>
      </c>
    </row>
    <row r="700">
      <c r="A700" s="255" t="str">
        <f>IFERROR(__xludf.DUMMYFUNCTION("""COMPUTED_VALUE"""),"MACRO")</f>
        <v>MACRO</v>
      </c>
      <c r="B700" s="361" t="str">
        <f>IFERROR(__xludf.DUMMYFUNCTION("""COMPUTED_VALUE"""),"nonanana55")</f>
        <v>nonanana55</v>
      </c>
      <c r="C700" s="257" t="str">
        <f>IFERROR(__xludf.DUMMYFUNCTION("""COMPUTED_VALUE"""),"https://www.tiktok.com/@nonanana55")</f>
        <v>https://www.tiktok.com/@nonanana55</v>
      </c>
      <c r="D700" s="270">
        <f>IFERROR(__xludf.DUMMYFUNCTION("""COMPUTED_VALUE"""),8.574548683E10)</f>
        <v>85745486830</v>
      </c>
      <c r="E700" s="457">
        <f>IFERROR(__xludf.DUMMYFUNCTION("""COMPUTED_VALUE"""),0.0)</f>
        <v>0</v>
      </c>
      <c r="F700" s="270">
        <f>IFERROR(__xludf.DUMMYFUNCTION("""COMPUTED_VALUE"""),1.0)</f>
        <v>1</v>
      </c>
      <c r="G700" s="17" t="str">
        <f>IFERROR(__xludf.DUMMYFUNCTION("""COMPUTED_VALUE"""),"Sabun batang 1 Box ( 2 PCS )")</f>
        <v>Sabun batang 1 Box ( 2 PCS )</v>
      </c>
      <c r="H700" s="463" t="str">
        <f>IFERROR(__xludf.DUMMYFUNCTION("""COMPUTED_VALUE"""),"Sampai")</f>
        <v>Sampai</v>
      </c>
      <c r="I700" s="464" t="str">
        <f>IFERROR(__xludf.DUMMYFUNCTION("""COMPUTED_VALUE"""),"KIMME")</f>
        <v>KIMME</v>
      </c>
      <c r="J700" s="17" t="str">
        <f>IFERROR(__xludf.DUMMYFUNCTION("""COMPUTED_VALUE"""),"⁠https://vt.tiktok.com/ZS9Nr1kER/")</f>
        <v>⁠https://vt.tiktok.com/ZS9Nr1kER/</v>
      </c>
      <c r="K700" s="464" t="str">
        <f>IFERROR(__xludf.DUMMYFUNCTION("""COMPUTED_VALUE"""),"KIMME")</f>
        <v>KIMME</v>
      </c>
      <c r="L700" s="279" t="str">
        <f>IFERROR(__xludf.DUMMYFUNCTION("""COMPUTED_VALUE"""),"https://www.tiktok.com/@rindi.afrilia/video/7631344136540441876?_r=1&amp;u_code=dja890i3j90f3j&amp;region=&amp;mid=7625671794292247317&amp;preview_pb=0&amp;sharer_language=&amp;_d=0&amp;ec_shared_reflux_dynamic_params=%7B%22placeholder_material_id%22%3A%227631344136540441876%22%2C%2"&amp;"2placeholder_origin_cover%22%3A%22https%253A%252F%252Fp16-common-sign.tiktokcdn.com%252Ftos-alisg-p-0037%252FokQ7fbGRQGA8jQHPCn0ArAfUwFWTB9nMfeyB43~tplv-tiktokx-origin.jpeg%253Fdr%253D14572%2526refresh_token%253D1085ef16%2526x-expires%253D1810202400%2526x"&amp;"-signature%253DsXeywS8WjmAa7iV8szE2Y7QcaHc%25253D%2526t%253D4d5b0474%2526ps%253D13740610%2526shp%253Dd05b14bd%2526shcp%253D34ff8df6%2526idc%253Dmy2%2526s%253DTIKTOK_AFFILIATE_VIRAL_VIDEO%22%2C%22placeholder_product_id%22%3A%221729427766722726591%22%2C%22p"&amp;"laceholder_video_id%22%3A%227631344136540441876%22%7D&amp;ec_shared_reflux_scene=shop_tab_feed&amp;share_item_id=7631344136540441876&amp;source=h5_t")</f>
        <v>https://www.tiktok.com/@rindi.afrilia/video/7631344136540441876?_r=1&amp;u_code=dja890i3j90f3j&amp;region=&amp;mid=7625671794292247317&amp;preview_pb=0&amp;sharer_language=&amp;_d=0&amp;ec_shared_reflux_dynamic_params=%7B%22placeholder_material_id%22%3A%227631344136540441876%22%2C%22placeholder_origin_cover%22%3A%22https%253A%252F%252Fp16-common-sign.tiktokcdn.com%252Ftos-alisg-p-0037%252FokQ7fbGRQGA8jQHPCn0ArAfUwFWTB9nMfeyB43~tplv-tiktokx-origin.jpeg%253Fdr%253D14572%2526refresh_token%253D1085ef16%2526x-expires%253D1810202400%2526x-signature%253DsXeywS8WjmAa7iV8szE2Y7QcaHc%25253D%2526t%253D4d5b0474%2526ps%253D13740610%2526shp%253Dd05b14bd%2526shcp%253D34ff8df6%2526idc%253Dmy2%2526s%253DTIKTOK_AFFILIATE_VIRAL_VIDEO%22%2C%22placeholder_product_id%22%3A%221729427766722726591%22%2C%22placeholder_video_id%22%3A%227631344136540441876%22%7D&amp;ec_shared_reflux_scene=shop_tab_feed&amp;share_item_id=7631344136540441876&amp;source=h5_t</v>
      </c>
      <c r="M700" s="464"/>
      <c r="N700" s="17"/>
      <c r="O700" s="464"/>
      <c r="P700" s="17"/>
    </row>
    <row r="701">
      <c r="A701" s="255" t="str">
        <f>IFERROR(__xludf.DUMMYFUNCTION("""COMPUTED_VALUE"""),"MICRO")</f>
        <v>MICRO</v>
      </c>
      <c r="B701" s="361" t="str">
        <f>IFERROR(__xludf.DUMMYFUNCTION("""COMPUTED_VALUE"""),"milawatiiiiiiiiii")</f>
        <v>milawatiiiiiiiiii</v>
      </c>
      <c r="C701" s="257" t="str">
        <f>IFERROR(__xludf.DUMMYFUNCTION("""COMPUTED_VALUE"""),"https://www.tiktok.com/@milawatiiiiiiiiii")</f>
        <v>https://www.tiktok.com/@milawatiiiiiiiiii</v>
      </c>
      <c r="D701" s="270">
        <f>IFERROR(__xludf.DUMMYFUNCTION("""COMPUTED_VALUE"""),8.5794723878E10)</f>
        <v>85794723878</v>
      </c>
      <c r="E701" s="457">
        <f>IFERROR(__xludf.DUMMYFUNCTION("""COMPUTED_VALUE"""),0.0)</f>
        <v>0</v>
      </c>
      <c r="F701" s="270">
        <f>IFERROR(__xludf.DUMMYFUNCTION("""COMPUTED_VALUE"""),4.0)</f>
        <v>4</v>
      </c>
      <c r="G701" s="17" t="str">
        <f>IFERROR(__xludf.DUMMYFUNCTION("""COMPUTED_VALUE"""),"Sabun batang 1 Box ( 2 PCS )")</f>
        <v>Sabun batang 1 Box ( 2 PCS )</v>
      </c>
      <c r="H701" s="463" t="str">
        <f>IFERROR(__xludf.DUMMYFUNCTION("""COMPUTED_VALUE"""),"Sampai")</f>
        <v>Sampai</v>
      </c>
      <c r="I701" s="464" t="str">
        <f>IFERROR(__xludf.DUMMYFUNCTION("""COMPUTED_VALUE"""),"KIMME")</f>
        <v>KIMME</v>
      </c>
      <c r="J701" s="17" t="str">
        <f>IFERROR(__xludf.DUMMYFUNCTION("""COMPUTED_VALUE"""),"⁠https://vt.tiktok.com/ZS9NMnSDy/")</f>
        <v>⁠https://vt.tiktok.com/ZS9NMnSDy/</v>
      </c>
      <c r="K701" s="464" t="str">
        <f>IFERROR(__xludf.DUMMYFUNCTION("""COMPUTED_VALUE"""),"KIMME")</f>
        <v>KIMME</v>
      </c>
      <c r="L701" s="17" t="str">
        <f>IFERROR(__xludf.DUMMYFUNCTION("""COMPUTED_VALUE"""),"⁠https://vt.tiktok.com/ZS9NMcUGM/")</f>
        <v>⁠https://vt.tiktok.com/ZS9NMcUGM/</v>
      </c>
      <c r="M701" s="464"/>
      <c r="N701" s="17" t="str">
        <f>IFERROR(__xludf.DUMMYFUNCTION("""COMPUTED_VALUE"""),"⁠https://vt.tiktok.com/ZS9NMVbey/")</f>
        <v>⁠https://vt.tiktok.com/ZS9NMVbey/</v>
      </c>
      <c r="O701" s="464"/>
      <c r="P701" s="17" t="str">
        <f>IFERROR(__xludf.DUMMYFUNCTION("""COMPUTED_VALUE"""),"⁠https://vt.tiktok.com/ZS9NMEHn2/")</f>
        <v>⁠https://vt.tiktok.com/ZS9NMEHn2/</v>
      </c>
    </row>
    <row r="702">
      <c r="A702" s="255" t="str">
        <f>IFERROR(__xludf.DUMMYFUNCTION("""COMPUTED_VALUE"""),"MICRO")</f>
        <v>MICRO</v>
      </c>
      <c r="B702" s="361" t="str">
        <f>IFERROR(__xludf.DUMMYFUNCTION("""COMPUTED_VALUE"""),"magerdong")</f>
        <v>magerdong</v>
      </c>
      <c r="C702" s="257" t="str">
        <f>IFERROR(__xludf.DUMMYFUNCTION("""COMPUTED_VALUE"""),"https://www.tiktok.com/@magerdong")</f>
        <v>https://www.tiktok.com/@magerdong</v>
      </c>
      <c r="D702" s="270">
        <f>IFERROR(__xludf.DUMMYFUNCTION("""COMPUTED_VALUE"""),8.5643569651E10)</f>
        <v>85643569651</v>
      </c>
      <c r="E702" s="457">
        <f>IFERROR(__xludf.DUMMYFUNCTION("""COMPUTED_VALUE"""),0.0)</f>
        <v>0</v>
      </c>
      <c r="F702" s="270">
        <f>IFERROR(__xludf.DUMMYFUNCTION("""COMPUTED_VALUE"""),4.0)</f>
        <v>4</v>
      </c>
      <c r="G702" s="17" t="str">
        <f>IFERROR(__xludf.DUMMYFUNCTION("""COMPUTED_VALUE"""),"Sabun batang 1 Box ( 2 PCS )")</f>
        <v>Sabun batang 1 Box ( 2 PCS )</v>
      </c>
      <c r="H702" s="463" t="str">
        <f>IFERROR(__xludf.DUMMYFUNCTION("""COMPUTED_VALUE"""),"Sampai")</f>
        <v>Sampai</v>
      </c>
      <c r="I702" s="464" t="str">
        <f>IFERROR(__xludf.DUMMYFUNCTION("""COMPUTED_VALUE"""),"KIMME")</f>
        <v>KIMME</v>
      </c>
      <c r="J702" s="279" t="str">
        <f>IFERROR(__xludf.DUMMYFUNCTION("""COMPUTED_VALUE"""),"https://vt.tiktok.com/ZS9RXmxBd/")</f>
        <v>https://vt.tiktok.com/ZS9RXmxBd/</v>
      </c>
      <c r="K702" s="464" t="str">
        <f>IFERROR(__xludf.DUMMYFUNCTION("""COMPUTED_VALUE"""),"KIMME")</f>
        <v>KIMME</v>
      </c>
      <c r="L702" s="279" t="str">
        <f>IFERROR(__xludf.DUMMYFUNCTION("""COMPUTED_VALUE"""),"https://vt.tiktok.com/ZS9RXA3KV/")</f>
        <v>https://vt.tiktok.com/ZS9RXA3KV/</v>
      </c>
      <c r="M702" s="464"/>
      <c r="N702" s="279" t="str">
        <f>IFERROR(__xludf.DUMMYFUNCTION("""COMPUTED_VALUE"""),"https://vt.tiktok.com/ZS9XgQgSe/")</f>
        <v>https://vt.tiktok.com/ZS9XgQgSe/</v>
      </c>
      <c r="O702" s="464"/>
      <c r="P702" s="279" t="str">
        <f>IFERROR(__xludf.DUMMYFUNCTION("""COMPUTED_VALUE"""),"https://vt.tiktok.com/ZS9XgQrqM/")</f>
        <v>https://vt.tiktok.com/ZS9XgQrqM/</v>
      </c>
    </row>
    <row r="703">
      <c r="A703" s="255" t="str">
        <f>IFERROR(__xludf.DUMMYFUNCTION("""COMPUTED_VALUE"""),"MICRO")</f>
        <v>MICRO</v>
      </c>
      <c r="B703" s="361" t="str">
        <f>IFERROR(__xludf.DUMMYFUNCTION("""COMPUTED_VALUE"""),"margaretaiyel")</f>
        <v>margaretaiyel</v>
      </c>
      <c r="C703" s="257" t="str">
        <f>IFERROR(__xludf.DUMMYFUNCTION("""COMPUTED_VALUE"""),"https://www.tiktok.com/@margaretaiyel")</f>
        <v>https://www.tiktok.com/@margaretaiyel</v>
      </c>
      <c r="D703" s="270">
        <f>IFERROR(__xludf.DUMMYFUNCTION("""COMPUTED_VALUE"""),8.1256548731E10)</f>
        <v>81256548731</v>
      </c>
      <c r="E703" s="457">
        <f>IFERROR(__xludf.DUMMYFUNCTION("""COMPUTED_VALUE"""),0.0)</f>
        <v>0</v>
      </c>
      <c r="F703" s="270">
        <f>IFERROR(__xludf.DUMMYFUNCTION("""COMPUTED_VALUE"""),4.0)</f>
        <v>4</v>
      </c>
      <c r="G703" s="17" t="str">
        <f>IFERROR(__xludf.DUMMYFUNCTION("""COMPUTED_VALUE"""),"Sabun batang 1 Box ( 2 PCS )")</f>
        <v>Sabun batang 1 Box ( 2 PCS )</v>
      </c>
      <c r="H703" s="463" t="str">
        <f>IFERROR(__xludf.DUMMYFUNCTION("""COMPUTED_VALUE"""),"Sampai")</f>
        <v>Sampai</v>
      </c>
      <c r="I703" s="464" t="str">
        <f>IFERROR(__xludf.DUMMYFUNCTION("""COMPUTED_VALUE"""),"KIMME")</f>
        <v>KIMME</v>
      </c>
      <c r="J703" s="279" t="str">
        <f>IFERROR(__xludf.DUMMYFUNCTION("""COMPUTED_VALUE"""),"https://www.tiktok.com/@berkah.glosir/video/7633878307204779285?_r=1&amp;u_code=e4hbm162fcgeg9&amp;region=&amp;mid=7587385617824353045&amp;preview_pb=0&amp;sharer_language=&amp;_d=0&amp;ec_shared_reflux_dynamic_params=%7B%22placeholder_material_id%22%3A%227633878307204779285%22%2C%2"&amp;"2placeholder_origin_cover%22%3A%22https%253A%252F%252Fp16-common-sign.tiktokcdn.com%252Ftos-alisg-p-0037%252FosZEQBfExg8epb8cCQBtRFAY92QkFvE3DqvP9h~tplv-tiktokx-origin.jpeg%253Fdr%253D14572%2526refresh_token%253Da9671ca5%2526x-expires%253D1810116000%2526x"&amp;"-signature%253DUv6xWNm6tjNHYgSxHAwU3W7x%25252FNE%25253D%2526t%253D4d5b0474%2526ps%253D13740610%2526shp%253Dd05b14bd%2526shcp%253D34ff8df6%2526idc%253Dmy2%2526s%253DTIKTOK_AFFILIATE_VIRAL_VIDEO%22%2C%22placeholder_product_id%22%3A%221729427766722726591%22%"&amp;"2C%22placeholder_video_id%22%3A%227633878307204779285%22%7D&amp;ec_shared_reflux_scene=shop_tab_feed&amp;share_item_id=7633878307204779285&amp;source=h5_t")</f>
        <v>https://www.tiktok.com/@berkah.glosir/video/7633878307204779285?_r=1&amp;u_code=e4hbm162fcgeg9&amp;region=&amp;mid=7587385617824353045&amp;preview_pb=0&amp;sharer_language=&amp;_d=0&amp;ec_shared_reflux_dynamic_params=%7B%22placeholder_material_id%22%3A%227633878307204779285%22%2C%22placeholder_origin_cover%22%3A%22https%253A%252F%252Fp16-common-sign.tiktokcdn.com%252Ftos-alisg-p-0037%252FosZEQBfExg8epb8cCQBtRFAY92QkFvE3DqvP9h~tplv-tiktokx-origin.jpeg%253Fdr%253D14572%2526refresh_token%253Da9671ca5%2526x-expires%253D1810116000%2526x-signature%253DUv6xWNm6tjNHYgSxHAwU3W7x%25252FNE%25253D%2526t%253D4d5b0474%2526ps%253D13740610%2526shp%253Dd05b14bd%2526shcp%253D34ff8df6%2526idc%253Dmy2%2526s%253DTIKTOK_AFFILIATE_VIRAL_VIDEO%22%2C%22placeholder_product_id%22%3A%221729427766722726591%22%2C%22placeholder_video_id%22%3A%227633878307204779285%22%7D&amp;ec_shared_reflux_scene=shop_tab_feed&amp;share_item_id=7633878307204779285&amp;source=h5_t</v>
      </c>
      <c r="K703" s="464" t="str">
        <f>IFERROR(__xludf.DUMMYFUNCTION("""COMPUTED_VALUE"""),"KIMME")</f>
        <v>KIMME</v>
      </c>
      <c r="L703" s="279" t="str">
        <f>IFERROR(__xludf.DUMMYFUNCTION("""COMPUTED_VALUE"""),"https://www.tiktok.com/@berkah.glosir/video/7633877486954384661?_r=1&amp;u_code=e4hbm162fcgeg9&amp;region=&amp;mid=7604121927885359105&amp;preview_pb=0&amp;sharer_language=&amp;_d=0&amp;ec_shared_reflux_dynamic_params=%7B%22placeholder_material_id%22%3A%227633877486954384661%22%2C%2"&amp;"2placeholder_origin_cover%22%3A%22https%253A%252F%252Fp16-common-sign.tiktokcdn.com%252Ftos-alisg-p-0037%252Fo8yhGnocwHXEReqSGAQuanNfeM8ABFQDFuwFYf~tplv-tiktokx-origin.jpeg%253Fdr%253D14572%2526refresh_token%253Dda211ade%2526x-expires%253D1810116000%2526x"&amp;"-signature%253DhOi3DtxzCBXWEKKCLALg34vHOkw%25253D%2526t%253D4d5b0474%2526ps%253D13740610%2526shp%253Dd05b14bd%2526shcp%253D34ff8df6%2526idc%253Dmy2%2526s%253DTIKTOK_AFFILIATE_VIRAL_VIDEO%22%2C%22placeholder_product_id%22%3A%221729729730555512511%22%2C%22p"&amp;"laceholder_video_id%22%3A%227633877486954384661%22%7D&amp;ec_shared_reflux_scene=shop_tab_feed&amp;share_item_id=7633877486954384661&amp;source=h5_t")</f>
        <v>https://www.tiktok.com/@berkah.glosir/video/7633877486954384661?_r=1&amp;u_code=e4hbm162fcgeg9&amp;region=&amp;mid=7604121927885359105&amp;preview_pb=0&amp;sharer_language=&amp;_d=0&amp;ec_shared_reflux_dynamic_params=%7B%22placeholder_material_id%22%3A%227633877486954384661%22%2C%22placeholder_origin_cover%22%3A%22https%253A%252F%252Fp16-common-sign.tiktokcdn.com%252Ftos-alisg-p-0037%252Fo8yhGnocwHXEReqSGAQuanNfeM8ABFQDFuwFYf~tplv-tiktokx-origin.jpeg%253Fdr%253D14572%2526refresh_token%253Dda211ade%2526x-expires%253D1810116000%2526x-signature%253DhOi3DtxzCBXWEKKCLALg34vHOkw%25253D%2526t%253D4d5b0474%2526ps%253D13740610%2526shp%253Dd05b14bd%2526shcp%253D34ff8df6%2526idc%253Dmy2%2526s%253DTIKTOK_AFFILIATE_VIRAL_VIDEO%22%2C%22placeholder_product_id%22%3A%221729729730555512511%22%2C%22placeholder_video_id%22%3A%227633877486954384661%22%7D&amp;ec_shared_reflux_scene=shop_tab_feed&amp;share_item_id=7633877486954384661&amp;source=h5_t</v>
      </c>
      <c r="M703" s="464"/>
      <c r="N703" s="279" t="str">
        <f>IFERROR(__xludf.DUMMYFUNCTION("""COMPUTED_VALUE"""),"https://www.tiktok.com/@berkah.glosir/video/7633975423747099925?_r=1&amp;u_code=e4hbm162fcgeg9&amp;region=&amp;mid=7606071400499628049&amp;preview_pb=0&amp;sharer_language=&amp;_d=0&amp;ec_shared_reflux_dynamic_params=%7B%22placeholder_material_id%22%3A%227633975423747099925%22%2C%2"&amp;"2placeholder_origin_cover%22%3A%22https%253A%252F%252Fp16-common-sign.tiktokcdn.com%252Ftos-alisg-p-0037%252FoUCmB7fDUQl1RWpEcVt2f8dVxBEAaEQOFEboQg~tplv-tiktokx-origin.jpeg%253Fdr%253D14572%2526refresh_token%253D8f46b42f%2526x-expires%253D1810116000%2526x"&amp;"-signature%253Dd5yh5lmDCO8ziSG%25252BUxgiXdxIqVY%25253D%2526t%253D4d5b0474%2526ps%253D13740610%2526shp%253Dd05b14bd%2526shcp%253D34ff8df6%2526idc%253Dmy2%2526s%253DTIKTOK_AFFILIATE_VIRAL_VIDEO%22%2C%22placeholder_product_id%22%3A%221729729730555512511%22%"&amp;"2C%22placeholder_video_id%22%3A%227633975423747099925%22%7D&amp;ec_shared_reflux_scene=shop_tab_feed&amp;share_item_id=7633975423747099925&amp;source=h5_t")</f>
        <v>https://www.tiktok.com/@berkah.glosir/video/7633975423747099925?_r=1&amp;u_code=e4hbm162fcgeg9&amp;region=&amp;mid=7606071400499628049&amp;preview_pb=0&amp;sharer_language=&amp;_d=0&amp;ec_shared_reflux_dynamic_params=%7B%22placeholder_material_id%22%3A%227633975423747099925%22%2C%22placeholder_origin_cover%22%3A%22https%253A%252F%252Fp16-common-sign.tiktokcdn.com%252Ftos-alisg-p-0037%252FoUCmB7fDUQl1RWpEcVt2f8dVxBEAaEQOFEboQg~tplv-tiktokx-origin.jpeg%253Fdr%253D14572%2526refresh_token%253D8f46b42f%2526x-expires%253D1810116000%2526x-signature%253Dd5yh5lmDCO8ziSG%25252BUxgiXdxIqVY%25253D%2526t%253D4d5b0474%2526ps%253D13740610%2526shp%253Dd05b14bd%2526shcp%253D34ff8df6%2526idc%253Dmy2%2526s%253DTIKTOK_AFFILIATE_VIRAL_VIDEO%22%2C%22placeholder_product_id%22%3A%221729729730555512511%22%2C%22placeholder_video_id%22%3A%227633975423747099925%22%7D&amp;ec_shared_reflux_scene=shop_tab_feed&amp;share_item_id=7633975423747099925&amp;source=h5_t</v>
      </c>
      <c r="O703" s="464"/>
      <c r="P703" s="279" t="str">
        <f>IFERROR(__xludf.DUMMYFUNCTION("""COMPUTED_VALUE"""),"https://www.tiktok.com/@berkah.glosir/video/7633975256461561108?_r=1&amp;u_code=e4hbm162fcgeg9&amp;region=&amp;mid=7614079490641120021&amp;preview_pb=0&amp;sharer_language=&amp;_d=0&amp;ec_shared_reflux_dynamic_params=%7B%22placeholder_material_id%22%3A%227633975256461561108%22%2C%2"&amp;"2placeholder_origin_cover%22%3A%22https%253A%252F%252Fp19-common-sign.tiktokcdn.com%252Ftos-alisg-p-0037%252FooSx9oAx8AgUHffoHMGn1BFgVQGQXRf9tUtgEe~tplv-tiktokx-origin.jpeg%253Fdr%253D14572%2526refresh_token%253D23c858bb%2526x-expires%253D1810116000%2526x"&amp;"-signature%253DRvGbQjMnRar9kHgpa0KJU6YQmno%25253D%2526t%253D4d5b0474%2526ps%253D13740610%2526shp%253Dd05b14bd%2526shcp%253D34ff8df6%2526idc%253Dmy2%2526s%253DTIKTOK_AFFILIATE_VIRAL_VIDEO%22%2C%22placeholder_product_id%22%3A%221729729730555512511%22%2C%22p"&amp;"laceholder_video_id%22%3A%227633975256461561108%22%7D&amp;ec_shared_reflux_scene=shop_tab_feed&amp;share_item_id=7633975256461561108&amp;source=h5_t")</f>
        <v>https://www.tiktok.com/@berkah.glosir/video/7633975256461561108?_r=1&amp;u_code=e4hbm162fcgeg9&amp;region=&amp;mid=7614079490641120021&amp;preview_pb=0&amp;sharer_language=&amp;_d=0&amp;ec_shared_reflux_dynamic_params=%7B%22placeholder_material_id%22%3A%227633975256461561108%22%2C%22placeholder_origin_cover%22%3A%22https%253A%252F%252Fp19-common-sign.tiktokcdn.com%252Ftos-alisg-p-0037%252FooSx9oAx8AgUHffoHMGn1BFgVQGQXRf9tUtgEe~tplv-tiktokx-origin.jpeg%253Fdr%253D14572%2526refresh_token%253D23c858bb%2526x-expires%253D1810116000%2526x-signature%253DRvGbQjMnRar9kHgpa0KJU6YQmno%25253D%2526t%253D4d5b0474%2526ps%253D13740610%2526shp%253Dd05b14bd%2526shcp%253D34ff8df6%2526idc%253Dmy2%2526s%253DTIKTOK_AFFILIATE_VIRAL_VIDEO%22%2C%22placeholder_product_id%22%3A%221729729730555512511%22%2C%22placeholder_video_id%22%3A%227633975256461561108%22%7D&amp;ec_shared_reflux_scene=shop_tab_feed&amp;share_item_id=7633975256461561108&amp;source=h5_t</v>
      </c>
    </row>
    <row r="704">
      <c r="A704" s="255" t="str">
        <f>IFERROR(__xludf.DUMMYFUNCTION("""COMPUTED_VALUE"""),"MACRO")</f>
        <v>MACRO</v>
      </c>
      <c r="B704" s="361" t="str">
        <f>IFERROR(__xludf.DUMMYFUNCTION("""COMPUTED_VALUE"""),"nengimel5758")</f>
        <v>nengimel5758</v>
      </c>
      <c r="C704" s="257" t="str">
        <f>IFERROR(__xludf.DUMMYFUNCTION("""COMPUTED_VALUE"""),"https://www.tiktok.com/@nengimel5758")</f>
        <v>https://www.tiktok.com/@nengimel5758</v>
      </c>
      <c r="D704" s="270">
        <f>IFERROR(__xludf.DUMMYFUNCTION("""COMPUTED_VALUE"""),8.2132598204E10)</f>
        <v>82132598204</v>
      </c>
      <c r="E704" s="457">
        <f>IFERROR(__xludf.DUMMYFUNCTION("""COMPUTED_VALUE"""),0.0)</f>
        <v>0</v>
      </c>
      <c r="F704" s="270">
        <f>IFERROR(__xludf.DUMMYFUNCTION("""COMPUTED_VALUE"""),1.0)</f>
        <v>1</v>
      </c>
      <c r="G704" s="17" t="str">
        <f>IFERROR(__xludf.DUMMYFUNCTION("""COMPUTED_VALUE"""),"Sabun batang 1 Box ( 2 PCS )")</f>
        <v>Sabun batang 1 Box ( 2 PCS )</v>
      </c>
      <c r="H704" s="463" t="str">
        <f>IFERROR(__xludf.DUMMYFUNCTION("""COMPUTED_VALUE"""),"Sampai")</f>
        <v>Sampai</v>
      </c>
      <c r="I704" s="464" t="str">
        <f>IFERROR(__xludf.DUMMYFUNCTION("""COMPUTED_VALUE"""),"KIMME")</f>
        <v>KIMME</v>
      </c>
      <c r="J704" s="17" t="str">
        <f>IFERROR(__xludf.DUMMYFUNCTION("""COMPUTED_VALUE"""),"⁠https://vt.tiktok.com/ZS9NMo1V1/")</f>
        <v>⁠https://vt.tiktok.com/ZS9NMo1V1/</v>
      </c>
      <c r="K704" s="464" t="str">
        <f>IFERROR(__xludf.DUMMYFUNCTION("""COMPUTED_VALUE"""),"KIMME")</f>
        <v>KIMME</v>
      </c>
      <c r="L704" s="279" t="str">
        <f>IFERROR(__xludf.DUMMYFUNCTION("""COMPUTED_VALUE"""),"https://www.tiktok.com/@rindi.afrilia/video/7631344136540441876?_d=0&amp;_r=1&amp;ec_shared_reflux_dynamic_params=%7B%22placeholder_material_id%22%3A%227631344136540441876%22%2C%22placeholder_origin_cover%22%3A%22https%253A%252F%252Fp16-common-sign.tiktokcdn.com%"&amp;"252Ftos-alisg-p-0037%252FokQ7fbGRQGA8jQHPCn0ArAfUwFWTB9nMfeyB43~tplv-tiktokx-origin.jpeg%253Fdr%253D14572%2526refresh_token%253D1085ef16%2526x-expires%253D1810202400%2526x-signature%253DsXeywS8WjmAa7iV8szE2Y7QcaHc%25253D%2526t%253D4d5b0474%2526ps%253D1374"&amp;"0610%2526shp%253Dd05b14bd%2526shcp%253D34ff8df6%2526idc%253Dmy2%2526s%253DTIKTOK_AFFILIATE_VIRAL_VIDEO%22%2C%22placeholder_product_id%22%3A%221729427766722726591%22%2C%22placeholder_video_id%22%3A%227631344136540441876%22%7D&amp;ec_shared_reflux_scene=shop_ta"&amp;"b_feed&amp;mid=7625671794292247317&amp;preview_pb=0&amp;region=&amp;share_item_id=7631344136540441876&amp;sharer_language=&amp;source=h5_t&amp;u_code=dja890i3j90f3j")</f>
        <v>https://www.tiktok.com/@rindi.afrilia/video/7631344136540441876?_d=0&amp;_r=1&amp;ec_shared_reflux_dynamic_params=%7B%22placeholder_material_id%22%3A%227631344136540441876%22%2C%22placeholder_origin_cover%22%3A%22https%253A%252F%252Fp16-common-sign.tiktokcdn.com%252Ftos-alisg-p-0037%252FokQ7fbGRQGA8jQHPCn0ArAfUwFWTB9nMfeyB43~tplv-tiktokx-origin.jpeg%253Fdr%253D14572%2526refresh_token%253D1085ef16%2526x-expires%253D1810202400%2526x-signature%253DsXeywS8WjmAa7iV8szE2Y7QcaHc%25253D%2526t%253D4d5b0474%2526ps%253D13740610%2526shp%253Dd05b14bd%2526shcp%253D34ff8df6%2526idc%253Dmy2%2526s%253DTIKTOK_AFFILIATE_VIRAL_VIDEO%22%2C%22placeholder_product_id%22%3A%221729427766722726591%22%2C%22placeholder_video_id%22%3A%227631344136540441876%22%7D&amp;ec_shared_reflux_scene=shop_tab_feed&amp;mid=7625671794292247317&amp;preview_pb=0&amp;region=&amp;share_item_id=7631344136540441876&amp;sharer_language=&amp;source=h5_t&amp;u_code=dja890i3j90f3j</v>
      </c>
      <c r="M704" s="464"/>
      <c r="N704" s="17"/>
      <c r="O704" s="464"/>
      <c r="P704" s="17"/>
    </row>
    <row r="705">
      <c r="A705" s="255" t="str">
        <f>IFERROR(__xludf.DUMMYFUNCTION("""COMPUTED_VALUE"""),"MACRO")</f>
        <v>MACRO</v>
      </c>
      <c r="B705" s="361" t="str">
        <f>IFERROR(__xludf.DUMMYFUNCTION("""COMPUTED_VALUE"""),"glamorousss__")</f>
        <v>glamorousss__</v>
      </c>
      <c r="C705" s="257" t="str">
        <f>IFERROR(__xludf.DUMMYFUNCTION("""COMPUTED_VALUE"""),"https://www.tiktok.com/@glamorousss__")</f>
        <v>https://www.tiktok.com/@glamorousss__</v>
      </c>
      <c r="D705" s="270">
        <f>IFERROR(__xludf.DUMMYFUNCTION("""COMPUTED_VALUE"""),8.813982495E9)</f>
        <v>8813982495</v>
      </c>
      <c r="E705" s="457">
        <f>IFERROR(__xludf.DUMMYFUNCTION("""COMPUTED_VALUE"""),100000.0)</f>
        <v>100000</v>
      </c>
      <c r="F705" s="270">
        <f>IFERROR(__xludf.DUMMYFUNCTION("""COMPUTED_VALUE"""),1.0)</f>
        <v>1</v>
      </c>
      <c r="G705" s="17" t="str">
        <f>IFERROR(__xludf.DUMMYFUNCTION("""COMPUTED_VALUE"""),"Sabun batang 1 Box ( 2 PCS )")</f>
        <v>Sabun batang 1 Box ( 2 PCS )</v>
      </c>
      <c r="H705" s="463" t="str">
        <f>IFERROR(__xludf.DUMMYFUNCTION("""COMPUTED_VALUE"""),"Sampai")</f>
        <v>Sampai</v>
      </c>
      <c r="I705" s="464" t="str">
        <f>IFERROR(__xludf.DUMMYFUNCTION("""COMPUTED_VALUE"""),"KIMME")</f>
        <v>KIMME</v>
      </c>
      <c r="J705" s="279" t="str">
        <f>IFERROR(__xludf.DUMMYFUNCTION("""COMPUTED_VALUE"""),"https://www.tiktok.com/@glamorousss__/video/7628806374184471828?is_from_webapp=1&amp;sender_device=pc")</f>
        <v>https://www.tiktok.com/@glamorousss__/video/7628806374184471828?is_from_webapp=1&amp;sender_device=pc</v>
      </c>
      <c r="K705" s="464" t="str">
        <f>IFERROR(__xludf.DUMMYFUNCTION("""COMPUTED_VALUE"""),"KIMME")</f>
        <v>KIMME</v>
      </c>
      <c r="L705" s="279" t="str">
        <f>IFERROR(__xludf.DUMMYFUNCTION("""COMPUTED_VALUE"""),"https://www.tiktok.com/@rindi.afrilia/video/7631192970619784469?_d=0&amp;_r=1&amp;ec_shared_reflux_dynamic_params=%7B%22placeholder_material_id%22%3A%227631192970619784469%22%2C%22placeholder_origin_cover%22%3A%22https%253A%252F%252Fp16-common-sign.tiktokcdn.com%"&amp;"252Ftos-alisg-p-0037%252FoMRnCBImAmyItCZpf3cFEFb5IBxfG1unggDcEE~tplv-tiktokx-origin.jpeg%253Fdr%253D14572%2526refresh_token%253D2ac0a793%2526x-expires%253D1810202400%2526x-signature%253DISCskG1154luFLpa7A0Hufgz%25252FUg%25253D%2526t%253D4d5b0474%2526ps%25"&amp;"3D13740610%2526shp%253Dd05b14bd%2526shcp%253D34ff8df6%2526idc%253Dmy2%2526s%253DTIKTOK_AFFILIATE_VIRAL_VIDEO%22%2C%22placeholder_product_id%22%3A%221729427766722726591%22%2C%22placeholder_video_id%22%3A%227631192970619784469%22%7D&amp;ec_shared_reflux_scene=s"&amp;"hop_tab_feed&amp;mid=7611086714324536084&amp;preview_pb=0&amp;region=&amp;share_item_id=7631192970619784469&amp;sharer_language=&amp;source=h5_t&amp;u_code=dja890i3j90f3j")</f>
        <v>https://www.tiktok.com/@rindi.afrilia/video/7631192970619784469?_d=0&amp;_r=1&amp;ec_shared_reflux_dynamic_params=%7B%22placeholder_material_id%22%3A%227631192970619784469%22%2C%22placeholder_origin_cover%22%3A%22https%253A%252F%252Fp16-common-sign.tiktokcdn.com%252Ftos-alisg-p-0037%252FoMRnCBImAmyItCZpf3cFEFb5IBxfG1unggDcEE~tplv-tiktokx-origin.jpeg%253Fdr%253D14572%2526refresh_token%253D2ac0a793%2526x-expires%253D1810202400%2526x-signature%253DISCskG1154luFLpa7A0Hufgz%25252FUg%25253D%2526t%253D4d5b0474%2526ps%253D13740610%2526shp%253Dd05b14bd%2526shcp%253D34ff8df6%2526idc%253Dmy2%2526s%253DTIKTOK_AFFILIATE_VIRAL_VIDEO%22%2C%22placeholder_product_id%22%3A%221729427766722726591%22%2C%22placeholder_video_id%22%3A%227631192970619784469%22%7D&amp;ec_shared_reflux_scene=shop_tab_feed&amp;mid=7611086714324536084&amp;preview_pb=0&amp;region=&amp;share_item_id=7631192970619784469&amp;sharer_language=&amp;source=h5_t&amp;u_code=dja890i3j90f3j</v>
      </c>
      <c r="M705" s="464"/>
      <c r="N705" s="17"/>
      <c r="O705" s="464"/>
      <c r="P705" s="17"/>
    </row>
    <row r="706">
      <c r="A706" s="255" t="str">
        <f>IFERROR(__xludf.DUMMYFUNCTION("""COMPUTED_VALUE"""),"MICRO")</f>
        <v>MICRO</v>
      </c>
      <c r="B706" s="361" t="str">
        <f>IFERROR(__xludf.DUMMYFUNCTION("""COMPUTED_VALUE"""),"nianitisa")</f>
        <v>nianitisa</v>
      </c>
      <c r="C706" s="257" t="str">
        <f>IFERROR(__xludf.DUMMYFUNCTION("""COMPUTED_VALUE"""),"https://www.tiktok.com/@nianitisa")</f>
        <v>https://www.tiktok.com/@nianitisa</v>
      </c>
      <c r="D706" s="270">
        <f>IFERROR(__xludf.DUMMYFUNCTION("""COMPUTED_VALUE"""),8.8101051771E11)</f>
        <v>881010517710</v>
      </c>
      <c r="E706" s="457">
        <f>IFERROR(__xludf.DUMMYFUNCTION("""COMPUTED_VALUE"""),50000.0)</f>
        <v>50000</v>
      </c>
      <c r="F706" s="270">
        <f>IFERROR(__xludf.DUMMYFUNCTION("""COMPUTED_VALUE"""),1.0)</f>
        <v>1</v>
      </c>
      <c r="G706" s="17" t="str">
        <f>IFERROR(__xludf.DUMMYFUNCTION("""COMPUTED_VALUE"""),"Sabun batang 1 Box ( 2 PCS )")</f>
        <v>Sabun batang 1 Box ( 2 PCS )</v>
      </c>
      <c r="H706" s="463" t="str">
        <f>IFERROR(__xludf.DUMMYFUNCTION("""COMPUTED_VALUE"""),"Sampai")</f>
        <v>Sampai</v>
      </c>
      <c r="I706" s="464" t="str">
        <f>IFERROR(__xludf.DUMMYFUNCTION("""COMPUTED_VALUE"""),"KIMME")</f>
        <v>KIMME</v>
      </c>
      <c r="J706" s="279" t="str">
        <f>IFERROR(__xludf.DUMMYFUNCTION("""COMPUTED_VALUE"""),"https://www.tiktok.com/@nianitisa/video/7630853416855653652?is_from_webapp=1&amp;sender_device=pc&amp;web_id=7611930277489657360")</f>
        <v>https://www.tiktok.com/@nianitisa/video/7630853416855653652?is_from_webapp=1&amp;sender_device=pc&amp;web_id=7611930277489657360</v>
      </c>
      <c r="K706" s="464" t="str">
        <f>IFERROR(__xludf.DUMMYFUNCTION("""COMPUTED_VALUE"""),"KIMME")</f>
        <v>KIMME</v>
      </c>
      <c r="L706" s="279" t="str">
        <f>IFERROR(__xludf.DUMMYFUNCTION("""COMPUTED_VALUE"""),"https://www.tiktok.com/@berkah.glosir/video/7633975854292471061?_r=1&amp;u_code=e4hbm162fcgeg9&amp;region=&amp;mid=7606071400499628049&amp;preview_pb=0&amp;sharer_language=&amp;_d=0&amp;ec_shared_reflux_dynamic_params=%7B%22placeholder_material_id%22%3A%227633975854292471061%22%2C%2"&amp;"2placeholder_origin_cover%22%3A%22https%253A%252F%252Fp16-common-sign.tiktokcdn.com%252Ftos-alisg-p-0037%252FooV4Ji1EiIPIg9eVKxfoiA2ARSSApBU3BCrKBt~tplv-tiktokx-origin.jpeg%253Fdr%253D14572%2526refresh_token%253D1f0bc064%2526x-expires%253D1810116000%2526x"&amp;"-signature%253D%25252BJmZm%25252BvPrDsX43SrCZYqu5SGbtI%25253D%2526t%253D4d5b0474%2526ps%253D13740610%2526shp%253Dd05b14bd%2526shcp%253D34ff8df6%2526idc%253Dmy2%2526s%253DTIKTOK_AFFILIATE_VIRAL_VIDEO%22%2C%22placeholder_product_id%22%3A%2217297297305555125"&amp;"11%22%2C%22placeholder_video_id%22%3A%227633975854292471061%22%7D&amp;ec_shared_reflux_scene=shop_tab_feed&amp;share_item_id=7633975854292471061&amp;source=h5_t")</f>
        <v>https://www.tiktok.com/@berkah.glosir/video/7633975854292471061?_r=1&amp;u_code=e4hbm162fcgeg9&amp;region=&amp;mid=7606071400499628049&amp;preview_pb=0&amp;sharer_language=&amp;_d=0&amp;ec_shared_reflux_dynamic_params=%7B%22placeholder_material_id%22%3A%227633975854292471061%22%2C%22placeholder_origin_cover%22%3A%22https%253A%252F%252Fp16-common-sign.tiktokcdn.com%252Ftos-alisg-p-0037%252FooV4Ji1EiIPIg9eVKxfoiA2ARSSApBU3BCrKBt~tplv-tiktokx-origin.jpeg%253Fdr%253D14572%2526refresh_token%253D1f0bc064%2526x-expires%253D1810116000%2526x-signature%253D%25252BJmZm%25252BvPrDsX43SrCZYqu5SGbtI%25253D%2526t%253D4d5b0474%2526ps%253D13740610%2526shp%253Dd05b14bd%2526shcp%253D34ff8df6%2526idc%253Dmy2%2526s%253DTIKTOK_AFFILIATE_VIRAL_VIDEO%22%2C%22placeholder_product_id%22%3A%221729729730555512511%22%2C%22placeholder_video_id%22%3A%227633975854292471061%22%7D&amp;ec_shared_reflux_scene=shop_tab_feed&amp;share_item_id=7633975854292471061&amp;source=h5_t</v>
      </c>
      <c r="M706" s="464"/>
      <c r="N706" s="279" t="str">
        <f>IFERROR(__xludf.DUMMYFUNCTION("""COMPUTED_VALUE"""),"https://www.tiktok.com/@berkah.glosir/video/7634066470116379925?_r=1&amp;u_code=e4hbm162fcgeg9&amp;region=&amp;mid=7628927071062493200&amp;preview_pb=0&amp;sharer_language=&amp;_d=0&amp;ec_shared_reflux_dynamic_params=%7B%22placeholder_material_id%22%3A%227634066470116379925%22%2C%2"&amp;"2placeholder_origin_cover%22%3A%22https%253A%252F%252Fp16-common-sign.tiktokcdn.com%252Ftos-alisg-p-0037%252FoMA1BEhpUEEFoRfQbIjfBFT83D3W8aQ107z4Ug~tplv-tiktokx-origin.jpeg%253Fdr%253D14572%2526refresh_token%253Dd16ae06b%2526x-expires%253D1810116000%2526x"&amp;"-signature%253DR8Lsp4cxz%25252BkR2kDpEF2i1EFJzbI%25253D%2526t%253D4d5b0474%2526ps%253D13740610%2526shp%253Dd05b14bd%2526shcp%253D34ff8df6%2526idc%253Dmy2%2526s%253DTIKTOK_AFFILIATE_VIRAL_VIDEO%22%2C%22placeholder_product_id%22%3A%221729729730555512511%22%"&amp;"2C%22placeholder_video_id%22%3A%227634066470116379925%22%7D&amp;ec_shared_reflux_scene=shop_tab_feed&amp;share_item_id=7634066470116379925&amp;source=h5_t")</f>
        <v>https://www.tiktok.com/@berkah.glosir/video/7634066470116379925?_r=1&amp;u_code=e4hbm162fcgeg9&amp;region=&amp;mid=7628927071062493200&amp;preview_pb=0&amp;sharer_language=&amp;_d=0&amp;ec_shared_reflux_dynamic_params=%7B%22placeholder_material_id%22%3A%227634066470116379925%22%2C%22placeholder_origin_cover%22%3A%22https%253A%252F%252Fp16-common-sign.tiktokcdn.com%252Ftos-alisg-p-0037%252FoMA1BEhpUEEFoRfQbIjfBFT83D3W8aQ107z4Ug~tplv-tiktokx-origin.jpeg%253Fdr%253D14572%2526refresh_token%253Dd16ae06b%2526x-expires%253D1810116000%2526x-signature%253DR8Lsp4cxz%25252BkR2kDpEF2i1EFJzbI%25253D%2526t%253D4d5b0474%2526ps%253D13740610%2526shp%253Dd05b14bd%2526shcp%253D34ff8df6%2526idc%253Dmy2%2526s%253DTIKTOK_AFFILIATE_VIRAL_VIDEO%22%2C%22placeholder_product_id%22%3A%221729729730555512511%22%2C%22placeholder_video_id%22%3A%227634066470116379925%22%7D&amp;ec_shared_reflux_scene=shop_tab_feed&amp;share_item_id=7634066470116379925&amp;source=h5_t</v>
      </c>
      <c r="O706" s="464"/>
      <c r="P706" s="279" t="str">
        <f>IFERROR(__xludf.DUMMYFUNCTION("""COMPUTED_VALUE"""),"https://www.tiktok.com/@berkah.glosir/video/7634066840045538581?_r=1&amp;u_code=e4hbm162fcgeg9&amp;region=&amp;mid=7578896629148404500&amp;preview_pb=0&amp;sharer_language=&amp;_d=0&amp;ec_shared_reflux_dynamic_params=%7B%22placeholder_material_id%22%3A%227634066840045538581%22%2C%2"&amp;"2placeholder_origin_cover%22%3A%22https%253A%252F%252Fp16-common-sign.tiktokcdn.com%252Ftos-alisg-p-0037%252FoYNWfAD8cpXB2FRvpJ8WcEUEgQjxBsAQfYoaE1~tplv-tiktokx-origin.jpeg%253Fdr%253D14572%2526refresh_token%253D813cc52b%2526x-expires%253D1810116000%2526x"&amp;"-signature%253DZkFpdk2pCAMgmmUkMnyRBKxQJuI%25253D%2526t%253D4d5b0474%2526ps%253D13740610%2526shp%253Dd05b14bd%2526shcp%253D34ff8df6%2526idc%253Dmy2%2526s%253DTIKTOK_AFFILIATE_VIRAL_VIDEO%22%2C%22placeholder_product_id%22%3A%221729729730555512511%22%2C%22p"&amp;"laceholder_video_id%22%3A%227634066840045538581%22%7D&amp;ec_shared_reflux_scene=shop_tab_feed&amp;share_item_id=7634066840045538581&amp;source=h5_t")</f>
        <v>https://www.tiktok.com/@berkah.glosir/video/7634066840045538581?_r=1&amp;u_code=e4hbm162fcgeg9&amp;region=&amp;mid=7578896629148404500&amp;preview_pb=0&amp;sharer_language=&amp;_d=0&amp;ec_shared_reflux_dynamic_params=%7B%22placeholder_material_id%22%3A%227634066840045538581%22%2C%22placeholder_origin_cover%22%3A%22https%253A%252F%252Fp16-common-sign.tiktokcdn.com%252Ftos-alisg-p-0037%252FoYNWfAD8cpXB2FRvpJ8WcEUEgQjxBsAQfYoaE1~tplv-tiktokx-origin.jpeg%253Fdr%253D14572%2526refresh_token%253D813cc52b%2526x-expires%253D1810116000%2526x-signature%253DZkFpdk2pCAMgmmUkMnyRBKxQJuI%25253D%2526t%253D4d5b0474%2526ps%253D13740610%2526shp%253Dd05b14bd%2526shcp%253D34ff8df6%2526idc%253Dmy2%2526s%253DTIKTOK_AFFILIATE_VIRAL_VIDEO%22%2C%22placeholder_product_id%22%3A%221729729730555512511%22%2C%22placeholder_video_id%22%3A%227634066840045538581%22%7D&amp;ec_shared_reflux_scene=shop_tab_feed&amp;share_item_id=7634066840045538581&amp;source=h5_t</v>
      </c>
    </row>
    <row r="707">
      <c r="A707" s="255" t="str">
        <f>IFERROR(__xludf.DUMMYFUNCTION("""COMPUTED_VALUE"""),"MICRO")</f>
        <v>MICRO</v>
      </c>
      <c r="B707" s="361" t="str">
        <f>IFERROR(__xludf.DUMMYFUNCTION("""COMPUTED_VALUE"""),"missmerightnow")</f>
        <v>missmerightnow</v>
      </c>
      <c r="C707" s="257" t="str">
        <f>IFERROR(__xludf.DUMMYFUNCTION("""COMPUTED_VALUE"""),"https://www.tiktok.com/@missmerightnow")</f>
        <v>https://www.tiktok.com/@missmerightnow</v>
      </c>
      <c r="D707" s="270">
        <f>IFERROR(__xludf.DUMMYFUNCTION("""COMPUTED_VALUE"""),8.2120746939E10)</f>
        <v>82120746939</v>
      </c>
      <c r="E707" s="457">
        <f>IFERROR(__xludf.DUMMYFUNCTION("""COMPUTED_VALUE"""),0.0)</f>
        <v>0</v>
      </c>
      <c r="F707" s="270">
        <f>IFERROR(__xludf.DUMMYFUNCTION("""COMPUTED_VALUE"""),4.0)</f>
        <v>4</v>
      </c>
      <c r="G707" s="17" t="str">
        <f>IFERROR(__xludf.DUMMYFUNCTION("""COMPUTED_VALUE"""),"Sabun batang 1 Box ( 2 PCS )")</f>
        <v>Sabun batang 1 Box ( 2 PCS )</v>
      </c>
      <c r="H707" s="463" t="str">
        <f>IFERROR(__xludf.DUMMYFUNCTION("""COMPUTED_VALUE"""),"Sampai")</f>
        <v>Sampai</v>
      </c>
      <c r="I707" s="464" t="str">
        <f>IFERROR(__xludf.DUMMYFUNCTION("""COMPUTED_VALUE"""),"KIMME")</f>
        <v>KIMME</v>
      </c>
      <c r="J707" s="279" t="str">
        <f>IFERROR(__xludf.DUMMYFUNCTION("""COMPUTED_VALUE"""),"https://www.tiktok.com/@berkah.glosir/video/7633976427024616724?_r=1&amp;u_code=e4hbm162fcgeg9&amp;region=&amp;mid=7566951120011676417&amp;preview_pb=0&amp;sharer_language=&amp;_d=0&amp;ec_shared_reflux_dynamic_params=%7B%22placeholder_material_id%22%3A%227633976427024616724%22%2C%2"&amp;"2placeholder_origin_cover%22%3A%22https%253A%252F%252Fp16-common-sign.tiktokcdn.com%252Ftos-alisg-p-0037%252Fow3Esq0kQmzEUG8B7i2DfBqRTyAFD3VgneTpQu~tplv-tiktokx-origin.jpeg%253Fdr%253D14572%2526refresh_token%253Dedea07ba%2526x-expires%253D1810116000%2526x"&amp;"-signature%253DbMeUsHz1NoAPWbTB0aXb%25252FyxR484%25253D%2526t%253D4d5b0474%2526ps%253D13740610%2526shp%253Dd05b14bd%2526shcp%253D34ff8df6%2526idc%253Dmy2%2526s%253DTIKTOK_AFFILIATE_VIRAL_VIDEO%22%2C%22placeholder_product_id%22%3A%221729729730555512511%22%"&amp;"2C%22placeholder_video_id%22%3A%227633976427024616724%22%7D&amp;ec_shared_reflux_scene=shop_tab_feed&amp;share_item_id=7633976427024616724&amp;source=h5_t")</f>
        <v>https://www.tiktok.com/@berkah.glosir/video/7633976427024616724?_r=1&amp;u_code=e4hbm162fcgeg9&amp;region=&amp;mid=7566951120011676417&amp;preview_pb=0&amp;sharer_language=&amp;_d=0&amp;ec_shared_reflux_dynamic_params=%7B%22placeholder_material_id%22%3A%227633976427024616724%22%2C%22placeholder_origin_cover%22%3A%22https%253A%252F%252Fp16-common-sign.tiktokcdn.com%252Ftos-alisg-p-0037%252Fow3Esq0kQmzEUG8B7i2DfBqRTyAFD3VgneTpQu~tplv-tiktokx-origin.jpeg%253Fdr%253D14572%2526refresh_token%253Dedea07ba%2526x-expires%253D1810116000%2526x-signature%253DbMeUsHz1NoAPWbTB0aXb%25252FyxR484%25253D%2526t%253D4d5b0474%2526ps%253D13740610%2526shp%253Dd05b14bd%2526shcp%253D34ff8df6%2526idc%253Dmy2%2526s%253DTIKTOK_AFFILIATE_VIRAL_VIDEO%22%2C%22placeholder_product_id%22%3A%221729729730555512511%22%2C%22placeholder_video_id%22%3A%227633976427024616724%22%7D&amp;ec_shared_reflux_scene=shop_tab_feed&amp;share_item_id=7633976427024616724&amp;source=h5_t</v>
      </c>
      <c r="K707" s="464" t="str">
        <f>IFERROR(__xludf.DUMMYFUNCTION("""COMPUTED_VALUE"""),"KIMME")</f>
        <v>KIMME</v>
      </c>
      <c r="L707" s="279" t="str">
        <f>IFERROR(__xludf.DUMMYFUNCTION("""COMPUTED_VALUE"""),"https://vt.tiktok.com/ZS9KJo9Th/")</f>
        <v>https://vt.tiktok.com/ZS9KJo9Th/</v>
      </c>
      <c r="M707" s="464"/>
      <c r="N707" s="279" t="str">
        <f>IFERROR(__xludf.DUMMYFUNCTION("""COMPUTED_VALUE"""),"https://vt.tiktok.com/ZS9KejXym/")</f>
        <v>https://vt.tiktok.com/ZS9KejXym/</v>
      </c>
      <c r="O707" s="464"/>
      <c r="P707" s="279" t="str">
        <f>IFERROR(__xludf.DUMMYFUNCTION("""COMPUTED_VALUE"""),"https://vt.tiktok.com/ZS9KejXym/")</f>
        <v>https://vt.tiktok.com/ZS9KejXym/</v>
      </c>
    </row>
    <row r="708">
      <c r="A708" s="255" t="str">
        <f>IFERROR(__xludf.DUMMYFUNCTION("""COMPUTED_VALUE"""),"MACRO")</f>
        <v>MACRO</v>
      </c>
      <c r="B708" s="361" t="str">
        <f>IFERROR(__xludf.DUMMYFUNCTION("""COMPUTED_VALUE"""),"diahagustina297")</f>
        <v>diahagustina297</v>
      </c>
      <c r="C708" s="257" t="str">
        <f>IFERROR(__xludf.DUMMYFUNCTION("""COMPUTED_VALUE"""),"https://www.tiktok.com/@diahagustina297")</f>
        <v>https://www.tiktok.com/@diahagustina297</v>
      </c>
      <c r="D708" s="270">
        <f>IFERROR(__xludf.DUMMYFUNCTION("""COMPUTED_VALUE"""),8.5765411302E10)</f>
        <v>85765411302</v>
      </c>
      <c r="E708" s="457">
        <f>IFERROR(__xludf.DUMMYFUNCTION("""COMPUTED_VALUE"""),150000.0)</f>
        <v>150000</v>
      </c>
      <c r="F708" s="270">
        <f>IFERROR(__xludf.DUMMYFUNCTION("""COMPUTED_VALUE"""),1.0)</f>
        <v>1</v>
      </c>
      <c r="G708" s="17" t="str">
        <f>IFERROR(__xludf.DUMMYFUNCTION("""COMPUTED_VALUE"""),"Sabun batang 1 Box ( 2 PCS )")</f>
        <v>Sabun batang 1 Box ( 2 PCS )</v>
      </c>
      <c r="H708" s="463" t="str">
        <f>IFERROR(__xludf.DUMMYFUNCTION("""COMPUTED_VALUE"""),"Sampai")</f>
        <v>Sampai</v>
      </c>
      <c r="I708" s="464" t="str">
        <f>IFERROR(__xludf.DUMMYFUNCTION("""COMPUTED_VALUE"""),"KIMME")</f>
        <v>KIMME</v>
      </c>
      <c r="J708" s="279" t="str">
        <f>IFERROR(__xludf.DUMMYFUNCTION("""COMPUTED_VALUE"""),"https://vt.tiktok.com/ZSHtAActU/")</f>
        <v>https://vt.tiktok.com/ZSHtAActU/</v>
      </c>
      <c r="K708" s="464" t="str">
        <f>IFERROR(__xludf.DUMMYFUNCTION("""COMPUTED_VALUE"""),"KIMME")</f>
        <v>KIMME</v>
      </c>
      <c r="L708" s="279" t="str">
        <f>IFERROR(__xludf.DUMMYFUNCTION("""COMPUTED_VALUE"""),"https://www.tiktok.com/@rindi.afrilia/video/7631192970619784469?_r=1&amp;u_code=dja890i3j90f3j&amp;region=&amp;mid=7611086714324536084&amp;preview_pb=0&amp;sharer_language=&amp;_d=0&amp;ec_shared_reflux_dynamic_params=%7B%22placeholder_material_id%22%3A%227631192970619784469%22%2C%2"&amp;"2placeholder_origin_cover%22%3A%22https%253A%252F%252Fp16-common-sign.tiktokcdn.com%252Ftos-alisg-p-0037%252FoMRnCBImAmyItCZpf3cFEFb5IBxfG1unggDcEE~tplv-tiktokx-origin.jpeg%253Fdr%253D14572%2526refresh_token%253D2ac0a793%2526x-expires%253D1810202400%2526x"&amp;"-signature%253DISCskG1154luFLpa7A0Hufgz%25252FUg%25253D%2526t%253D4d5b0474%2526ps%253D13740610%2526shp%253Dd05b14bd%2526shcp%253D34ff8df6%2526idc%253Dmy2%2526s%253DTIKTOK_AFFILIATE_VIRAL_VIDEO%22%2C%22placeholder_product_id%22%3A%221729427766722726591%22%"&amp;"2C%22placeholder_video_id%22%3A%227631192970619784469%22%7D&amp;ec_shared_reflux_scene=shop_tab_feed&amp;share_item_id=7631192970619784469&amp;source=h5_t")</f>
        <v>https://www.tiktok.com/@rindi.afrilia/video/7631192970619784469?_r=1&amp;u_code=dja890i3j90f3j&amp;region=&amp;mid=7611086714324536084&amp;preview_pb=0&amp;sharer_language=&amp;_d=0&amp;ec_shared_reflux_dynamic_params=%7B%22placeholder_material_id%22%3A%227631192970619784469%22%2C%22placeholder_origin_cover%22%3A%22https%253A%252F%252Fp16-common-sign.tiktokcdn.com%252Ftos-alisg-p-0037%252FoMRnCBImAmyItCZpf3cFEFb5IBxfG1unggDcEE~tplv-tiktokx-origin.jpeg%253Fdr%253D14572%2526refresh_token%253D2ac0a793%2526x-expires%253D1810202400%2526x-signature%253DISCskG1154luFLpa7A0Hufgz%25252FUg%25253D%2526t%253D4d5b0474%2526ps%253D13740610%2526shp%253Dd05b14bd%2526shcp%253D34ff8df6%2526idc%253Dmy2%2526s%253DTIKTOK_AFFILIATE_VIRAL_VIDEO%22%2C%22placeholder_product_id%22%3A%221729427766722726591%22%2C%22placeholder_video_id%22%3A%227631192970619784469%22%7D&amp;ec_shared_reflux_scene=shop_tab_feed&amp;share_item_id=7631192970619784469&amp;source=h5_t</v>
      </c>
      <c r="M708" s="464"/>
      <c r="N708" s="17"/>
      <c r="O708" s="464"/>
      <c r="P708" s="17"/>
    </row>
    <row r="709">
      <c r="A709" s="255" t="str">
        <f>IFERROR(__xludf.DUMMYFUNCTION("""COMPUTED_VALUE"""),"MICRO")</f>
        <v>MICRO</v>
      </c>
      <c r="B709" s="361" t="str">
        <f>IFERROR(__xludf.DUMMYFUNCTION("""COMPUTED_VALUE"""),"sinday2802")</f>
        <v>sinday2802</v>
      </c>
      <c r="C709" s="257" t="str">
        <f>IFERROR(__xludf.DUMMYFUNCTION("""COMPUTED_VALUE"""),"https://www.tiktok.com/@sinday2802")</f>
        <v>https://www.tiktok.com/@sinday2802</v>
      </c>
      <c r="D709" s="270">
        <f>IFERROR(__xludf.DUMMYFUNCTION("""COMPUTED_VALUE"""),8.5379984121E10)</f>
        <v>85379984121</v>
      </c>
      <c r="E709" s="457">
        <f>IFERROR(__xludf.DUMMYFUNCTION("""COMPUTED_VALUE"""),200000.0)</f>
        <v>200000</v>
      </c>
      <c r="F709" s="270">
        <f>IFERROR(__xludf.DUMMYFUNCTION("""COMPUTED_VALUE"""),1.0)</f>
        <v>1</v>
      </c>
      <c r="G709" s="17" t="str">
        <f>IFERROR(__xludf.DUMMYFUNCTION("""COMPUTED_VALUE"""),"Sabun batang 1 Box ( 2 PCS )")</f>
        <v>Sabun batang 1 Box ( 2 PCS )</v>
      </c>
      <c r="H709" s="463" t="str">
        <f>IFERROR(__xludf.DUMMYFUNCTION("""COMPUTED_VALUE"""),"Sampai")</f>
        <v>Sampai</v>
      </c>
      <c r="I709" s="464" t="str">
        <f>IFERROR(__xludf.DUMMYFUNCTION("""COMPUTED_VALUE"""),"KIMME")</f>
        <v>KIMME</v>
      </c>
      <c r="J709" s="279" t="str">
        <f>IFERROR(__xludf.DUMMYFUNCTION("""COMPUTED_VALUE"""),"https://vt.tiktok.com/ZSHGUQQS9/")</f>
        <v>https://vt.tiktok.com/ZSHGUQQS9/</v>
      </c>
      <c r="K709" s="464" t="str">
        <f>IFERROR(__xludf.DUMMYFUNCTION("""COMPUTED_VALUE"""),"KIMME")</f>
        <v>KIMME</v>
      </c>
      <c r="L709" s="279" t="str">
        <f>IFERROR(__xludf.DUMMYFUNCTION("""COMPUTED_VALUE"""),"https://vt.tiktok.com/ZS9KQfPSd/")</f>
        <v>https://vt.tiktok.com/ZS9KQfPSd/</v>
      </c>
      <c r="M709" s="464"/>
      <c r="N709" s="279" t="str">
        <f>IFERROR(__xludf.DUMMYFUNCTION("""COMPUTED_VALUE"""),"https://vt.tiktok.com/ZS9E21fTK/")</f>
        <v>https://vt.tiktok.com/ZS9E21fTK/</v>
      </c>
      <c r="O709" s="464"/>
      <c r="P709" s="279" t="str">
        <f>IFERROR(__xludf.DUMMYFUNCTION("""COMPUTED_VALUE"""),"https://vt.tiktok.com/ZS9KJgTmX/")</f>
        <v>https://vt.tiktok.com/ZS9KJgTmX/</v>
      </c>
    </row>
    <row r="710">
      <c r="A710" s="255" t="str">
        <f>IFERROR(__xludf.DUMMYFUNCTION("""COMPUTED_VALUE"""),"MICRO")</f>
        <v>MICRO</v>
      </c>
      <c r="B710" s="361" t="str">
        <f>IFERROR(__xludf.DUMMYFUNCTION("""COMPUTED_VALUE"""),"muhannah.fitria")</f>
        <v>muhannah.fitria</v>
      </c>
      <c r="C710" s="257" t="str">
        <f>IFERROR(__xludf.DUMMYFUNCTION("""COMPUTED_VALUE"""),"https://www.tiktok.com/@muhannah.fitria")</f>
        <v>https://www.tiktok.com/@muhannah.fitria</v>
      </c>
      <c r="D710" s="270">
        <f>IFERROR(__xludf.DUMMYFUNCTION("""COMPUTED_VALUE"""),8.5815210795E10)</f>
        <v>85815210795</v>
      </c>
      <c r="E710" s="457">
        <f>IFERROR(__xludf.DUMMYFUNCTION("""COMPUTED_VALUE"""),200000.0)</f>
        <v>200000</v>
      </c>
      <c r="F710" s="270">
        <f>IFERROR(__xludf.DUMMYFUNCTION("""COMPUTED_VALUE"""),1.0)</f>
        <v>1</v>
      </c>
      <c r="G710" s="17" t="str">
        <f>IFERROR(__xludf.DUMMYFUNCTION("""COMPUTED_VALUE"""),"Sabun batang 1 Box ( 2 PCS )")</f>
        <v>Sabun batang 1 Box ( 2 PCS )</v>
      </c>
      <c r="H710" s="463" t="str">
        <f>IFERROR(__xludf.DUMMYFUNCTION("""COMPUTED_VALUE"""),"Sampai")</f>
        <v>Sampai</v>
      </c>
      <c r="I710" s="464" t="str">
        <f>IFERROR(__xludf.DUMMYFUNCTION("""COMPUTED_VALUE"""),"KIMME")</f>
        <v>KIMME</v>
      </c>
      <c r="J710" s="279" t="str">
        <f>IFERROR(__xludf.DUMMYFUNCTION("""COMPUTED_VALUE"""),"https://vt.tiktok.com/ZSH34dg4W/")</f>
        <v>https://vt.tiktok.com/ZSH34dg4W/</v>
      </c>
      <c r="K710" s="464" t="str">
        <f>IFERROR(__xludf.DUMMYFUNCTION("""COMPUTED_VALUE"""),"KIMME")</f>
        <v>KIMME</v>
      </c>
      <c r="L710" s="279" t="str">
        <f>IFERROR(__xludf.DUMMYFUNCTION("""COMPUTED_VALUE"""),"https://vt.tiktok.com/ZS9KJQc5C/")</f>
        <v>https://vt.tiktok.com/ZS9KJQc5C/</v>
      </c>
      <c r="M710" s="464"/>
      <c r="N710" s="279" t="str">
        <f>IFERROR(__xludf.DUMMYFUNCTION("""COMPUTED_VALUE"""),"https://vt.tiktok.com/ZS9KJ9tKd/")</f>
        <v>https://vt.tiktok.com/ZS9KJ9tKd/</v>
      </c>
      <c r="O710" s="464"/>
      <c r="P710" s="279" t="str">
        <f>IFERROR(__xludf.DUMMYFUNCTION("""COMPUTED_VALUE"""),"https://vt.tiktok.com/ZS9KJyLvj/")</f>
        <v>https://vt.tiktok.com/ZS9KJyLvj/</v>
      </c>
    </row>
    <row r="711">
      <c r="A711" s="255" t="str">
        <f>IFERROR(__xludf.DUMMYFUNCTION("""COMPUTED_VALUE"""),"MACRO")</f>
        <v>MACRO</v>
      </c>
      <c r="B711" s="361" t="str">
        <f>IFERROR(__xludf.DUMMYFUNCTION("""COMPUTED_VALUE"""),"thisreli_")</f>
        <v>thisreli_</v>
      </c>
      <c r="C711" s="257" t="str">
        <f>IFERROR(__xludf.DUMMYFUNCTION("""COMPUTED_VALUE"""),"https://www.tiktok.com/@thisreli_")</f>
        <v>https://www.tiktok.com/@thisreli_</v>
      </c>
      <c r="D711" s="270">
        <f>IFERROR(__xludf.DUMMYFUNCTION("""COMPUTED_VALUE"""),8.5694068112E10)</f>
        <v>85694068112</v>
      </c>
      <c r="E711" s="457">
        <f>IFERROR(__xludf.DUMMYFUNCTION("""COMPUTED_VALUE"""),150000.0)</f>
        <v>150000</v>
      </c>
      <c r="F711" s="270">
        <f>IFERROR(__xludf.DUMMYFUNCTION("""COMPUTED_VALUE"""),1.0)</f>
        <v>1</v>
      </c>
      <c r="G711" s="17" t="str">
        <f>IFERROR(__xludf.DUMMYFUNCTION("""COMPUTED_VALUE"""),"Sabun batang 1 Box ( 2 PCS )")</f>
        <v>Sabun batang 1 Box ( 2 PCS )</v>
      </c>
      <c r="H711" s="463" t="str">
        <f>IFERROR(__xludf.DUMMYFUNCTION("""COMPUTED_VALUE"""),"Sampai")</f>
        <v>Sampai</v>
      </c>
      <c r="I711" s="464" t="str">
        <f>IFERROR(__xludf.DUMMYFUNCTION("""COMPUTED_VALUE"""),"KIMME")</f>
        <v>KIMME</v>
      </c>
      <c r="J711" s="279" t="str">
        <f>IFERROR(__xludf.DUMMYFUNCTION("""COMPUTED_VALUE"""),"https://www.tiktok.com/@produkindonesiayaa/video/7635132196033924360?_r=1&amp;u_code=e8ciej6cg6bd8j&amp;region=&amp;mid=7415463043465201680&amp;preview_pb=0&amp;sharer_language=&amp;_d=0&amp;ec_shared_reflux_dynamic_params=%7B%22placeholder_material_id%22%3A%227635132196033924360%22"&amp;"%2C%22placeholder_origin_cover%22%3A%22https%253A%252F%252Fp16-common-sign.tiktokcdn.com%252Ftos-alisg-p-0037%252Fo0nBk1pI1qADgBdcgUUFWfEqFEARjB9qHfJrAI~tplv-tiktokx-origin.jpeg%253Fdr%253D14572%2526refresh_token%253D26b14f79%2526x-expires%253D1810195200%"&amp;"2526x-signature%253DN7dZmNjzzoLE4vGJIBX%25252F26uEzLA%25253D%2526t%253D4d5b0474%2526ps%253D13740610%2526shp%253Dd05b14bd%2526shcp%253D34ff8df6%2526idc%253Dmy2%2526s%253DTIKTOK_AFFILIATE_VIRAL_VIDEO%22%2C%22placeholder_product_id%22%3A%22172942776672272659"&amp;"1%22%2C%22placeholder_video_id%22%3A%227635132196033924360%22%7D&amp;ec_shared_reflux_scene=shop_tab_feed&amp;share_item_id=7635132196033924360&amp;source=h5_t")</f>
        <v>https://www.tiktok.com/@produkindonesiayaa/video/7635132196033924360?_r=1&amp;u_code=e8ciej6cg6bd8j&amp;region=&amp;mid=7415463043465201680&amp;preview_pb=0&amp;sharer_language=&amp;_d=0&amp;ec_shared_reflux_dynamic_params=%7B%22placeholder_material_id%22%3A%227635132196033924360%22%2C%22placeholder_origin_cover%22%3A%22https%253A%252F%252Fp16-common-sign.tiktokcdn.com%252Ftos-alisg-p-0037%252Fo0nBk1pI1qADgBdcgUUFWfEqFEARjB9qHfJrAI~tplv-tiktokx-origin.jpeg%253Fdr%253D14572%2526refresh_token%253D26b14f79%2526x-expires%253D1810195200%2526x-signature%253DN7dZmNjzzoLE4vGJIBX%25252F26uEzLA%25253D%2526t%253D4d5b0474%2526ps%253D13740610%2526shp%253Dd05b14bd%2526shcp%253D34ff8df6%2526idc%253Dmy2%2526s%253DTIKTOK_AFFILIATE_VIRAL_VIDEO%22%2C%22placeholder_product_id%22%3A%221729427766722726591%22%2C%22placeholder_video_id%22%3A%227635132196033924360%22%7D&amp;ec_shared_reflux_scene=shop_tab_feed&amp;share_item_id=7635132196033924360&amp;source=h5_t</v>
      </c>
      <c r="K711" s="464" t="str">
        <f>IFERROR(__xludf.DUMMYFUNCTION("""COMPUTED_VALUE"""),"KIMME")</f>
        <v>KIMME</v>
      </c>
      <c r="L711" s="279" t="str">
        <f>IFERROR(__xludf.DUMMYFUNCTION("""COMPUTED_VALUE"""),"https://www.tiktok.com/@rindi.afrilia/video/7631184176879897877?_r=1&amp;u_code=dja890i3j90f3j&amp;region=&amp;mid=7581841216234097426&amp;preview_pb=0&amp;sharer_language=&amp;_d=0&amp;ec_shared_reflux_dynamic_params=%7B%22placeholder_material_id%22%3A%227631184176879897877%22%2C%2"&amp;"2placeholder_origin_cover%22%3A%22https%253A%252F%252Fp16-common-sign.tiktokcdn.com%252Ftos-alisg-p-0037%252FooNf7iSvAZEI7B4hIRaAbUlmXViC80xuwCAnIA~tplv-tiktokx-origin.jpeg%253Fdr%253D14572%2526refresh_token%253D81631339%2526x-expires%253D1810202400%2526x"&amp;"-signature%253DNjGhlhyiTJBNxSeznxSHZd2%25252BYCg%25253D%2526t%253D4d5b0474%2526ps%253D13740610%2526shp%253Dd05b14bd%2526shcp%253D34ff8df6%2526idc%253Dmy2%2526s%253DTIKTOK_AFFILIATE_VIRAL_VIDEO%22%2C%22placeholder_product_id%22%3A%221729427766722726591%22%"&amp;"2C%22placeholder_video_id%22%3A%227631184176879897877%22%7D&amp;ec_shared_reflux_scene=shop_tab_feed&amp;share_item_id=7631184176879897877&amp;source=h5_t")</f>
        <v>https://www.tiktok.com/@rindi.afrilia/video/7631184176879897877?_r=1&amp;u_code=dja890i3j90f3j&amp;region=&amp;mid=7581841216234097426&amp;preview_pb=0&amp;sharer_language=&amp;_d=0&amp;ec_shared_reflux_dynamic_params=%7B%22placeholder_material_id%22%3A%227631184176879897877%22%2C%22placeholder_origin_cover%22%3A%22https%253A%252F%252Fp16-common-sign.tiktokcdn.com%252Ftos-alisg-p-0037%252FooNf7iSvAZEI7B4hIRaAbUlmXViC80xuwCAnIA~tplv-tiktokx-origin.jpeg%253Fdr%253D14572%2526refresh_token%253D81631339%2526x-expires%253D1810202400%2526x-signature%253DNjGhlhyiTJBNxSeznxSHZd2%25252BYCg%25253D%2526t%253D4d5b0474%2526ps%253D13740610%2526shp%253Dd05b14bd%2526shcp%253D34ff8df6%2526idc%253Dmy2%2526s%253DTIKTOK_AFFILIATE_VIRAL_VIDEO%22%2C%22placeholder_product_id%22%3A%221729427766722726591%22%2C%22placeholder_video_id%22%3A%227631184176879897877%22%7D&amp;ec_shared_reflux_scene=shop_tab_feed&amp;share_item_id=7631184176879897877&amp;source=h5_t</v>
      </c>
      <c r="M711" s="464"/>
      <c r="N711" s="17"/>
      <c r="O711" s="464"/>
      <c r="P711" s="17"/>
    </row>
    <row r="712">
      <c r="A712" s="255" t="str">
        <f>IFERROR(__xludf.DUMMYFUNCTION("""COMPUTED_VALUE"""),"MICRO")</f>
        <v>MICRO</v>
      </c>
      <c r="B712" s="361" t="str">
        <f>IFERROR(__xludf.DUMMYFUNCTION("""COMPUTED_VALUE"""),"aricanadya")</f>
        <v>aricanadya</v>
      </c>
      <c r="C712" s="257" t="str">
        <f>IFERROR(__xludf.DUMMYFUNCTION("""COMPUTED_VALUE"""),"https://www.tiktok.com/@aricanadya")</f>
        <v>https://www.tiktok.com/@aricanadya</v>
      </c>
      <c r="D712" s="270">
        <f>IFERROR(__xludf.DUMMYFUNCTION("""COMPUTED_VALUE"""),8.13273307E10)</f>
        <v>81327330700</v>
      </c>
      <c r="E712" s="457">
        <f>IFERROR(__xludf.DUMMYFUNCTION("""COMPUTED_VALUE"""),100000.0)</f>
        <v>100000</v>
      </c>
      <c r="F712" s="270">
        <f>IFERROR(__xludf.DUMMYFUNCTION("""COMPUTED_VALUE"""),1.0)</f>
        <v>1</v>
      </c>
      <c r="G712" s="17" t="str">
        <f>IFERROR(__xludf.DUMMYFUNCTION("""COMPUTED_VALUE"""),"Sabun batang 1 Box ( 2 PCS )")</f>
        <v>Sabun batang 1 Box ( 2 PCS )</v>
      </c>
      <c r="H712" s="463" t="str">
        <f>IFERROR(__xludf.DUMMYFUNCTION("""COMPUTED_VALUE"""),"Sampai")</f>
        <v>Sampai</v>
      </c>
      <c r="I712" s="464" t="str">
        <f>IFERROR(__xludf.DUMMYFUNCTION("""COMPUTED_VALUE"""),"KIMME")</f>
        <v>KIMME</v>
      </c>
      <c r="J712" s="279" t="str">
        <f>IFERROR(__xludf.DUMMYFUNCTION("""COMPUTED_VALUE"""),"https://www.tiktok.com/@aricanadya/video/7628292887767387412?is_from_webapp=1&amp;sender_device=pc")</f>
        <v>https://www.tiktok.com/@aricanadya/video/7628292887767387412?is_from_webapp=1&amp;sender_device=pc</v>
      </c>
      <c r="K712" s="464" t="str">
        <f>IFERROR(__xludf.DUMMYFUNCTION("""COMPUTED_VALUE"""),"KIMME")</f>
        <v>KIMME</v>
      </c>
      <c r="L712" s="279" t="str">
        <f>IFERROR(__xludf.DUMMYFUNCTION("""COMPUTED_VALUE"""),"https://vt.tiktok.com/ZS9KJcxHv/")</f>
        <v>https://vt.tiktok.com/ZS9KJcxHv/</v>
      </c>
      <c r="M712" s="464"/>
      <c r="N712" s="279" t="str">
        <f>IFERROR(__xludf.DUMMYFUNCTION("""COMPUTED_VALUE"""),"https://vt.tiktok.com/ZS9KeYT94/")</f>
        <v>https://vt.tiktok.com/ZS9KeYT94/</v>
      </c>
      <c r="O712" s="464"/>
      <c r="P712" s="279" t="str">
        <f>IFERROR(__xludf.DUMMYFUNCTION("""COMPUTED_VALUE"""),"https://vt.tiktok.com/ZS9KejYs5/")</f>
        <v>https://vt.tiktok.com/ZS9KejYs5/</v>
      </c>
    </row>
    <row r="713">
      <c r="A713" s="255" t="str">
        <f>IFERROR(__xludf.DUMMYFUNCTION("""COMPUTED_VALUE"""),"MICRO")</f>
        <v>MICRO</v>
      </c>
      <c r="B713" s="361" t="str">
        <f>IFERROR(__xludf.DUMMYFUNCTION("""COMPUTED_VALUE"""),"andinishidqin05")</f>
        <v>andinishidqin05</v>
      </c>
      <c r="C713" s="257" t="str">
        <f>IFERROR(__xludf.DUMMYFUNCTION("""COMPUTED_VALUE"""),"https://www.tiktok.com/@andinishidqin05")</f>
        <v>https://www.tiktok.com/@andinishidqin05</v>
      </c>
      <c r="D713" s="270">
        <f>IFERROR(__xludf.DUMMYFUNCTION("""COMPUTED_VALUE"""),8.95149031E10)</f>
        <v>89514903100</v>
      </c>
      <c r="E713" s="457">
        <f>IFERROR(__xludf.DUMMYFUNCTION("""COMPUTED_VALUE"""),250000.0)</f>
        <v>250000</v>
      </c>
      <c r="F713" s="270">
        <f>IFERROR(__xludf.DUMMYFUNCTION("""COMPUTED_VALUE"""),1.0)</f>
        <v>1</v>
      </c>
      <c r="G713" s="17" t="str">
        <f>IFERROR(__xludf.DUMMYFUNCTION("""COMPUTED_VALUE"""),"Sabun batang 1 Box ( 2 PCS )")</f>
        <v>Sabun batang 1 Box ( 2 PCS )</v>
      </c>
      <c r="H713" s="463" t="str">
        <f>IFERROR(__xludf.DUMMYFUNCTION("""COMPUTED_VALUE"""),"Sampai")</f>
        <v>Sampai</v>
      </c>
      <c r="I713" s="464" t="str">
        <f>IFERROR(__xludf.DUMMYFUNCTION("""COMPUTED_VALUE"""),"KIMME")</f>
        <v>KIMME</v>
      </c>
      <c r="J713" s="279" t="str">
        <f>IFERROR(__xludf.DUMMYFUNCTION("""COMPUTED_VALUE"""),"https://vt.tiktok.com/ZSHvCU31n/")</f>
        <v>https://vt.tiktok.com/ZSHvCU31n/</v>
      </c>
      <c r="K713" s="464" t="str">
        <f>IFERROR(__xludf.DUMMYFUNCTION("""COMPUTED_VALUE"""),"KIMME")</f>
        <v>KIMME</v>
      </c>
      <c r="L713" s="279" t="str">
        <f>IFERROR(__xludf.DUMMYFUNCTION("""COMPUTED_VALUE"""),"https://www.tiktok.com/@sinabilla/video/7637534779289783559?_r=1&amp;u_code=d8ce4h27fdmff3&amp;region=&amp;mid=7490821642680093446&amp;preview_pb=0&amp;sharer_language=&amp;_d=0&amp;ec_shared_reflux_dynamic_params=%7B%22placeholder_material_id%22%3A%227637534779289783559%22%2C%22pla"&amp;"ceholder_origin_cover%22%3A%22https%253A%252F%252Fp19-common-sign.tiktokcdn.com%252Ftos-alisg-p-0037%252FosefFWeRQQnQAs9Mf78HgjjAGkxEnMwoGETXFl~tplv-tiktokx-origin.jpeg%253Fdr%253D14572%2526refresh_token%253D23496c74%2526x-expires%253D1810202400%2526x-sig"&amp;"nature%253DrBahmAnydquki%25252B6jRJpOYlsNQ7A%25253D%2526t%253D4d5b0474%2526ps%253D13740610%2526shp%253Dd05b14bd%2526shcp%253D34ff8df6%2526idc%253Dmy2%2526s%253DTIKTOK_AFFILIATE_VIRAL_VIDEO%22%2C%22placeholder_product_id%22%3A%221729427766722726591%22%2C%2"&amp;"2placeholder_video_id%22%3A%227637534779289783559%22%7D&amp;ec_shared_reflux_scene=shop_tab_feed&amp;share_item_id=7637534779289783559&amp;source=h5_t")</f>
        <v>https://www.tiktok.com/@sinabilla/video/7637534779289783559?_r=1&amp;u_code=d8ce4h27fdmff3&amp;region=&amp;mid=7490821642680093446&amp;preview_pb=0&amp;sharer_language=&amp;_d=0&amp;ec_shared_reflux_dynamic_params=%7B%22placeholder_material_id%22%3A%227637534779289783559%22%2C%22placeholder_origin_cover%22%3A%22https%253A%252F%252Fp19-common-sign.tiktokcdn.com%252Ftos-alisg-p-0037%252FosefFWeRQQnQAs9Mf78HgjjAGkxEnMwoGETXFl~tplv-tiktokx-origin.jpeg%253Fdr%253D14572%2526refresh_token%253D23496c74%2526x-expires%253D1810202400%2526x-signature%253DrBahmAnydquki%25252B6jRJpOYlsNQ7A%25253D%2526t%253D4d5b0474%2526ps%253D13740610%2526shp%253Dd05b14bd%2526shcp%253D34ff8df6%2526idc%253Dmy2%2526s%253DTIKTOK_AFFILIATE_VIRAL_VIDEO%22%2C%22placeholder_product_id%22%3A%221729427766722726591%22%2C%22placeholder_video_id%22%3A%227637534779289783559%22%7D&amp;ec_shared_reflux_scene=shop_tab_feed&amp;share_item_id=7637534779289783559&amp;source=h5_t</v>
      </c>
      <c r="M713" s="464"/>
      <c r="N713" s="279" t="str">
        <f>IFERROR(__xludf.DUMMYFUNCTION("""COMPUTED_VALUE"""),"https://www.tiktok.com/@sinabilla/video/7633465175101754642?_r=1&amp;u_code=d8ce4h27fdmff3&amp;region=&amp;mid=7608547172799236881&amp;preview_pb=0&amp;sharer_language=&amp;_d=0&amp;ec_shared_reflux_dynamic_params=%7B%22placeholder_material_id%22%3A%227633465175101754642%22%2C%22pla"&amp;"ceholder_origin_cover%22%3A%22https%253A%252F%252Fp16-common-sign.tiktokcdn.com%252Ftos-alisg-p-0037%252FogfpX6RDE8D7AvnEohFPMQeCBOvPQgB34lEcbA~tplv-tiktokx-origin.jpeg%253Fdr%253D14572%2526refresh_token%253Dce5928f0%2526x-expires%253D1810202400%2526x-sig"&amp;"nature%253Dvgt4kz%25252F5SEj2XMXmTghqTXTATww%25253D%2526t%253D4d5b0474%2526ps%253D13740610%2526shp%253Dd05b14bd%2526shcp%253D34ff8df6%2526idc%253Dmy2%2526s%253DTIKTOK_AFFILIATE_VIRAL_VIDEO%22%2C%22placeholder_product_id%22%3A%221729427766722726591%22%2C%2"&amp;"2placeholder_video_id%22%3A%227633465175101754642%22%7D&amp;ec_shared_reflux_scene=shop_tab_feed&amp;share_item_id=7633465175101754642&amp;source=h5_t")</f>
        <v>https://www.tiktok.com/@sinabilla/video/7633465175101754642?_r=1&amp;u_code=d8ce4h27fdmff3&amp;region=&amp;mid=7608547172799236881&amp;preview_pb=0&amp;sharer_language=&amp;_d=0&amp;ec_shared_reflux_dynamic_params=%7B%22placeholder_material_id%22%3A%227633465175101754642%22%2C%22placeholder_origin_cover%22%3A%22https%253A%252F%252Fp16-common-sign.tiktokcdn.com%252Ftos-alisg-p-0037%252FogfpX6RDE8D7AvnEohFPMQeCBOvPQgB34lEcbA~tplv-tiktokx-origin.jpeg%253Fdr%253D14572%2526refresh_token%253Dce5928f0%2526x-expires%253D1810202400%2526x-signature%253Dvgt4kz%25252F5SEj2XMXmTghqTXTATww%25253D%2526t%253D4d5b0474%2526ps%253D13740610%2526shp%253Dd05b14bd%2526shcp%253D34ff8df6%2526idc%253Dmy2%2526s%253DTIKTOK_AFFILIATE_VIRAL_VIDEO%22%2C%22placeholder_product_id%22%3A%221729427766722726591%22%2C%22placeholder_video_id%22%3A%227633465175101754642%22%7D&amp;ec_shared_reflux_scene=shop_tab_feed&amp;share_item_id=7633465175101754642&amp;source=h5_t</v>
      </c>
      <c r="O713" s="464"/>
      <c r="P713" s="279" t="str">
        <f>IFERROR(__xludf.DUMMYFUNCTION("""COMPUTED_VALUE"""),"https://www.tiktok.com/@sinabilla/video/7633023150787235080?_r=1&amp;u_code=d8ce4h27fdmff3&amp;region=&amp;mid=7629352910916897543&amp;preview_pb=0&amp;sharer_language=&amp;_d=0&amp;ec_shared_reflux_dynamic_params=%7B%22placeholder_material_id%22%3A%227633023150787235080%22%2C%22pla"&amp;"ceholder_origin_cover%22%3A%22https%253A%252F%252Fp16-common-sign.tiktokcdn.com%252Ftos-alisg-p-0037%252Fo4LI4I8KAAHyDoqkjFfPfTDCb22NDEIeiOPLAt~tplv-tiktokx-origin.jpeg%253Fdr%253D14572%2526refresh_token%253D7480ccad%2526x-expires%253D1810202400%2526x-sig"&amp;"nature%253DGSPQ%25252BrmYhlKHxlCBmYj%25252Ff1Yfggo%25253D%2526t%253D4d5b0474%2526ps%253D13740610%2526shp%253Dd05b14bd%2526shcp%253D34ff8df6%2526idc%253Dmy2%2526s%253DTIKTOK_AFFILIATE_VIRAL_VIDEO%22%2C%22placeholder_product_id%22%3A%221729427766722726591%2"&amp;"2%2C%22placeholder_video_id%22%3A%227633023150787235080%22%7D&amp;ec_shared_reflux_scene=shop_tab_feed&amp;share_item_id=7633023150787235080&amp;source=h5_t")</f>
        <v>https://www.tiktok.com/@sinabilla/video/7633023150787235080?_r=1&amp;u_code=d8ce4h27fdmff3&amp;region=&amp;mid=7629352910916897543&amp;preview_pb=0&amp;sharer_language=&amp;_d=0&amp;ec_shared_reflux_dynamic_params=%7B%22placeholder_material_id%22%3A%227633023150787235080%22%2C%22placeholder_origin_cover%22%3A%22https%253A%252F%252Fp16-common-sign.tiktokcdn.com%252Ftos-alisg-p-0037%252Fo4LI4I8KAAHyDoqkjFfPfTDCb22NDEIeiOPLAt~tplv-tiktokx-origin.jpeg%253Fdr%253D14572%2526refresh_token%253D7480ccad%2526x-expires%253D1810202400%2526x-signature%253DGSPQ%25252BrmYhlKHxlCBmYj%25252Ff1Yfggo%25253D%2526t%253D4d5b0474%2526ps%253D13740610%2526shp%253Dd05b14bd%2526shcp%253D34ff8df6%2526idc%253Dmy2%2526s%253DTIKTOK_AFFILIATE_VIRAL_VIDEO%22%2C%22placeholder_product_id%22%3A%221729427766722726591%22%2C%22placeholder_video_id%22%3A%227633023150787235080%22%7D&amp;ec_shared_reflux_scene=shop_tab_feed&amp;share_item_id=7633023150787235080&amp;source=h5_t</v>
      </c>
    </row>
    <row r="714">
      <c r="A714" s="255" t="str">
        <f>IFERROR(__xludf.DUMMYFUNCTION("""COMPUTED_VALUE"""),"MICRO")</f>
        <v>MICRO</v>
      </c>
      <c r="B714" s="361" t="str">
        <f>IFERROR(__xludf.DUMMYFUNCTION("""COMPUTED_VALUE"""),"rezkyhamdayani277")</f>
        <v>rezkyhamdayani277</v>
      </c>
      <c r="C714" s="257" t="str">
        <f>IFERROR(__xludf.DUMMYFUNCTION("""COMPUTED_VALUE"""),"https://www.tiktok.com/@rezkyhamdayani277")</f>
        <v>https://www.tiktok.com/@rezkyhamdayani277</v>
      </c>
      <c r="D714" s="270">
        <f>IFERROR(__xludf.DUMMYFUNCTION("""COMPUTED_VALUE"""),8.2193823977E10)</f>
        <v>82193823977</v>
      </c>
      <c r="E714" s="457">
        <f>IFERROR(__xludf.DUMMYFUNCTION("""COMPUTED_VALUE"""),550000.0)</f>
        <v>550000</v>
      </c>
      <c r="F714" s="270">
        <f>IFERROR(__xludf.DUMMYFUNCTION("""COMPUTED_VALUE"""),4.0)</f>
        <v>4</v>
      </c>
      <c r="G714" s="17" t="str">
        <f>IFERROR(__xludf.DUMMYFUNCTION("""COMPUTED_VALUE"""),"Sabun batang 1 Box ( 2 PCS )")</f>
        <v>Sabun batang 1 Box ( 2 PCS )</v>
      </c>
      <c r="H714" s="463" t="str">
        <f>IFERROR(__xludf.DUMMYFUNCTION("""COMPUTED_VALUE"""),"Sampai")</f>
        <v>Sampai</v>
      </c>
      <c r="I714" s="464" t="str">
        <f>IFERROR(__xludf.DUMMYFUNCTION("""COMPUTED_VALUE"""),"KIMME")</f>
        <v>KIMME</v>
      </c>
      <c r="J714" s="279" t="str">
        <f>IFERROR(__xludf.DUMMYFUNCTION("""COMPUTED_VALUE"""),"https://www.tiktok.com/@rezkyhamdayani277/video/7622236374191590664?is_from_webapp=1&amp;sender_device=pc&amp;web_id=7611930277489657360")</f>
        <v>https://www.tiktok.com/@rezkyhamdayani277/video/7622236374191590664?is_from_webapp=1&amp;sender_device=pc&amp;web_id=7611930277489657360</v>
      </c>
      <c r="K714" s="464" t="str">
        <f>IFERROR(__xludf.DUMMYFUNCTION("""COMPUTED_VALUE"""),"KIMME")</f>
        <v>KIMME</v>
      </c>
      <c r="L714" s="279" t="str">
        <f>IFERROR(__xludf.DUMMYFUNCTION("""COMPUTED_VALUE"""),"https://www.tiktok.com/@rezkyhamdayani277/video/7623810661956537608?is_from_webapp=1&amp;sender_device=pc&amp;web_id=7611930277489657360")</f>
        <v>https://www.tiktok.com/@rezkyhamdayani277/video/7623810661956537608?is_from_webapp=1&amp;sender_device=pc&amp;web_id=7611930277489657360</v>
      </c>
      <c r="M714" s="464" t="str">
        <f>IFERROR(__xludf.DUMMYFUNCTION("""COMPUTED_VALUE"""),"KIMME")</f>
        <v>KIMME</v>
      </c>
      <c r="N714" s="279" t="str">
        <f>IFERROR(__xludf.DUMMYFUNCTION("""COMPUTED_VALUE"""),"https://www.tiktok.com/@rezkyhamdayani277/video/7624701550027476242?is_from_webapp=1&amp;sender_device=pc&amp;web_id=7611930277489657360")</f>
        <v>https://www.tiktok.com/@rezkyhamdayani277/video/7624701550027476242?is_from_webapp=1&amp;sender_device=pc&amp;web_id=7611930277489657360</v>
      </c>
      <c r="O714" s="464" t="str">
        <f>IFERROR(__xludf.DUMMYFUNCTION("""COMPUTED_VALUE"""),"KIMME")</f>
        <v>KIMME</v>
      </c>
      <c r="P714" s="279" t="str">
        <f>IFERROR(__xludf.DUMMYFUNCTION("""COMPUTED_VALUE"""),"https://www.tiktok.com/@rezkyhamdayani277/video/7625309404467907848?is_from_webapp=1&amp;sender_device=pc&amp;web_id=7611930277489657360")</f>
        <v>https://www.tiktok.com/@rezkyhamdayani277/video/7625309404467907848?is_from_webapp=1&amp;sender_device=pc&amp;web_id=7611930277489657360</v>
      </c>
    </row>
    <row r="715">
      <c r="A715" s="255" t="str">
        <f>IFERROR(__xludf.DUMMYFUNCTION("""COMPUTED_VALUE"""),"MICRO")</f>
        <v>MICRO</v>
      </c>
      <c r="B715" s="361" t="str">
        <f>IFERROR(__xludf.DUMMYFUNCTION("""COMPUTED_VALUE"""),"rulleryu")</f>
        <v>rulleryu</v>
      </c>
      <c r="C715" s="257" t="str">
        <f>IFERROR(__xludf.DUMMYFUNCTION("""COMPUTED_VALUE"""),"https://www.tiktok.com/@rulleryu")</f>
        <v>https://www.tiktok.com/@rulleryu</v>
      </c>
      <c r="D715" s="270">
        <f>IFERROR(__xludf.DUMMYFUNCTION("""COMPUTED_VALUE"""),8.5658633826E10)</f>
        <v>85658633826</v>
      </c>
      <c r="E715" s="457">
        <f>IFERROR(__xludf.DUMMYFUNCTION("""COMPUTED_VALUE"""),200000.0)</f>
        <v>200000</v>
      </c>
      <c r="F715" s="270">
        <f>IFERROR(__xludf.DUMMYFUNCTION("""COMPUTED_VALUE"""),1.0)</f>
        <v>1</v>
      </c>
      <c r="G715" s="17" t="str">
        <f>IFERROR(__xludf.DUMMYFUNCTION("""COMPUTED_VALUE"""),"Sabun batang 1 Box ( 2 PCS )")</f>
        <v>Sabun batang 1 Box ( 2 PCS )</v>
      </c>
      <c r="H715" s="463" t="str">
        <f>IFERROR(__xludf.DUMMYFUNCTION("""COMPUTED_VALUE"""),"Sampai")</f>
        <v>Sampai</v>
      </c>
      <c r="I715" s="464" t="str">
        <f>IFERROR(__xludf.DUMMYFUNCTION("""COMPUTED_VALUE"""),"KIMME")</f>
        <v>KIMME</v>
      </c>
      <c r="J715" s="279" t="str">
        <f>IFERROR(__xludf.DUMMYFUNCTION("""COMPUTED_VALUE"""),"https://www.tiktok.com/@rulleryu/video/7628530720478072072?is_from_webapp=1&amp;sender_device=pc")</f>
        <v>https://www.tiktok.com/@rulleryu/video/7628530720478072072?is_from_webapp=1&amp;sender_device=pc</v>
      </c>
      <c r="K715" s="464" t="str">
        <f>IFERROR(__xludf.DUMMYFUNCTION("""COMPUTED_VALUE"""),"KIMME")</f>
        <v>KIMME</v>
      </c>
      <c r="L715" s="279" t="str">
        <f>IFERROR(__xludf.DUMMYFUNCTION("""COMPUTED_VALUE"""),"https://www.tiktok.com/@yullia008/video/7636660407943433488?_r=1&amp;u_code=de2i6l94lj04fj&amp;region=&amp;mid=7636660647123634965&amp;preview_pb=0&amp;sharer_language=&amp;_d=0&amp;ec_shared_reflux_dynamic_params=%7B%22placeholder_material_id%22%3A%227636660407943433488%22%2C%22pla"&amp;"ceholder_origin_cover%22%3A%22https%253A%252F%252Fp16-common-sign.tiktokcdn.com%252Ftos-alisg-p-0037%252Fo07m6AbGb4BYzIQTf9LeDCADf33tuGQ4jNGnIN~tplv-tiktokx-origin.jpeg%253Fdr%253D14572%2526refresh_token%253D85571313%2526x-expires%253D1810202400%2526x-sig"&amp;"nature%253DFLrU6HTwgo08BmyKRXZ3nskMDXE%25253D%2526t%253D4d5b0474%2526ps%253D13740610%2526shp%253Dd05b14bd%2526shcp%253D34ff8df6%2526idc%253Dmy2%2526s%253DTIKTOK_AFFILIATE_VIRAL_VIDEO%22%2C%22placeholder_product_id%22%3A%221729427766722726591%22%2C%22place"&amp;"holder_video_id%22%3A%227636660407943433488%22%7D&amp;ec_shared_reflux_scene=shop_tab_feed&amp;share_item_id=7636660407943433488&amp;source=h5_t")</f>
        <v>https://www.tiktok.com/@yullia008/video/7636660407943433488?_r=1&amp;u_code=de2i6l94lj04fj&amp;region=&amp;mid=7636660647123634965&amp;preview_pb=0&amp;sharer_language=&amp;_d=0&amp;ec_shared_reflux_dynamic_params=%7B%22placeholder_material_id%22%3A%227636660407943433488%22%2C%22placeholder_origin_cover%22%3A%22https%253A%252F%252Fp16-common-sign.tiktokcdn.com%252Ftos-alisg-p-0037%252Fo07m6AbGb4BYzIQTf9LeDCADf33tuGQ4jNGnIN~tplv-tiktokx-origin.jpeg%253Fdr%253D14572%2526refresh_token%253D85571313%2526x-expires%253D1810202400%2526x-signature%253DFLrU6HTwgo08BmyKRXZ3nskMDXE%25253D%2526t%253D4d5b0474%2526ps%253D13740610%2526shp%253Dd05b14bd%2526shcp%253D34ff8df6%2526idc%253Dmy2%2526s%253DTIKTOK_AFFILIATE_VIRAL_VIDEO%22%2C%22placeholder_product_id%22%3A%221729427766722726591%22%2C%22placeholder_video_id%22%3A%227636660407943433488%22%7D&amp;ec_shared_reflux_scene=shop_tab_feed&amp;share_item_id=7636660407943433488&amp;source=h5_t</v>
      </c>
      <c r="M715" s="464"/>
      <c r="N715" s="279" t="str">
        <f>IFERROR(__xludf.DUMMYFUNCTION("""COMPUTED_VALUE"""),"https://www.tiktok.com/@yullia008/video/7636233951220108560?_r=1&amp;u_code=de2i6l94lj04fj&amp;region=&amp;mid=7636234124121967378&amp;preview_pb=0&amp;sharer_language=&amp;_d=0&amp;ec_shared_reflux_dynamic_params=%7B%22placeholder_material_id%22%3A%227636233951220108560%22%2C%22pla"&amp;"ceholder_origin_cover%22%3A%22https%253A%252F%252Fp16-common-sign.tiktokcdn.com%252Ftos-alisg-p-0037%252FoI5G2iBRcBpzfjEvWgriANnjIf7DisBic0ImKA~tplv-tiktokx-origin.jpeg%253Fdr%253D14572%2526refresh_token%253D8665797e%2526x-expires%253D1810202400%2526x-sig"&amp;"nature%253Dq3dIM3xkRp1hzH3kvgvUZY%25252F6us8%25253D%2526t%253D4d5b0474%2526ps%253D13740610%2526shp%253Dd05b14bd%2526shcp%253D34ff8df6%2526idc%253Dmy2%2526s%253DTIKTOK_AFFILIATE_VIRAL_VIDEO%22%2C%22placeholder_product_id%22%3A%221729427766722726591%22%2C%2"&amp;"2placeholder_video_id%22%3A%227636233951220108560%22%7D&amp;ec_shared_reflux_scene=shop_tab_feed&amp;share_item_id=7636233951220108560&amp;source=h5_t")</f>
        <v>https://www.tiktok.com/@yullia008/video/7636233951220108560?_r=1&amp;u_code=de2i6l94lj04fj&amp;region=&amp;mid=7636234124121967378&amp;preview_pb=0&amp;sharer_language=&amp;_d=0&amp;ec_shared_reflux_dynamic_params=%7B%22placeholder_material_id%22%3A%227636233951220108560%22%2C%22placeholder_origin_cover%22%3A%22https%253A%252F%252Fp16-common-sign.tiktokcdn.com%252Ftos-alisg-p-0037%252FoI5G2iBRcBpzfjEvWgriANnjIf7DisBic0ImKA~tplv-tiktokx-origin.jpeg%253Fdr%253D14572%2526refresh_token%253D8665797e%2526x-expires%253D1810202400%2526x-signature%253Dq3dIM3xkRp1hzH3kvgvUZY%25252F6us8%25253D%2526t%253D4d5b0474%2526ps%253D13740610%2526shp%253Dd05b14bd%2526shcp%253D34ff8df6%2526idc%253Dmy2%2526s%253DTIKTOK_AFFILIATE_VIRAL_VIDEO%22%2C%22placeholder_product_id%22%3A%221729427766722726591%22%2C%22placeholder_video_id%22%3A%227636233951220108560%22%7D&amp;ec_shared_reflux_scene=shop_tab_feed&amp;share_item_id=7636233951220108560&amp;source=h5_t</v>
      </c>
      <c r="O715" s="464"/>
      <c r="P715" s="279" t="str">
        <f>IFERROR(__xludf.DUMMYFUNCTION("""COMPUTED_VALUE"""),"https://www.tiktok.com/@yullia008/video/7632678809849941265?_r=1&amp;u_code=de2i6l94lj04fj&amp;region=&amp;mid=7632678998263597841&amp;preview_pb=0&amp;sharer_language=&amp;_d=0&amp;ec_shared_reflux_dynamic_params=%7B%22placeholder_material_id%22%3A%227632678809849941265%22%2C%22pla"&amp;"ceholder_origin_cover%22%3A%22https%253A%252F%252Fp16-common-sign.tiktokcdn.com%252Ftos-alisg-p-0037%252FoQQfGRBpr7ZcbFjSxcXDjgBEcyBfAVcHJQZTEL~tplv-tiktokx-origin.jpeg%253Fdr%253D14572%2526refresh_token%253De505488a%2526x-expires%253D1810202400%2526x-sig"&amp;"nature%253DxiaNQNMP3CO5d9xJqvgJBdXzRQU%25253D%2526t%253D4d5b0474%2526ps%253D13740610%2526shp%253Dd05b14bd%2526shcp%253D34ff8df6%2526idc%253Dmy2%2526s%253DTIKTOK_AFFILIATE_VIRAL_VIDEO%22%2C%22placeholder_product_id%22%3A%221729427766722726591%22%2C%22place"&amp;"holder_video_id%22%3A%227632678809849941265%22%7D&amp;ec_shared_reflux_scene=shop_tab_feed&amp;share_item_id=7632678809849941265&amp;source=h5_t")</f>
        <v>https://www.tiktok.com/@yullia008/video/7632678809849941265?_r=1&amp;u_code=de2i6l94lj04fj&amp;region=&amp;mid=7632678998263597841&amp;preview_pb=0&amp;sharer_language=&amp;_d=0&amp;ec_shared_reflux_dynamic_params=%7B%22placeholder_material_id%22%3A%227632678809849941265%22%2C%22placeholder_origin_cover%22%3A%22https%253A%252F%252Fp16-common-sign.tiktokcdn.com%252Ftos-alisg-p-0037%252FoQQfGRBpr7ZcbFjSxcXDjgBEcyBfAVcHJQZTEL~tplv-tiktokx-origin.jpeg%253Fdr%253D14572%2526refresh_token%253De505488a%2526x-expires%253D1810202400%2526x-signature%253DxiaNQNMP3CO5d9xJqvgJBdXzRQU%25253D%2526t%253D4d5b0474%2526ps%253D13740610%2526shp%253Dd05b14bd%2526shcp%253D34ff8df6%2526idc%253Dmy2%2526s%253DTIKTOK_AFFILIATE_VIRAL_VIDEO%22%2C%22placeholder_product_id%22%3A%221729427766722726591%22%2C%22placeholder_video_id%22%3A%227632678809849941265%22%7D&amp;ec_shared_reflux_scene=shop_tab_feed&amp;share_item_id=7632678809849941265&amp;source=h5_t</v>
      </c>
    </row>
    <row r="716">
      <c r="A716" s="255" t="str">
        <f>IFERROR(__xludf.DUMMYFUNCTION("""COMPUTED_VALUE"""),"MICRO")</f>
        <v>MICRO</v>
      </c>
      <c r="B716" s="361" t="str">
        <f>IFERROR(__xludf.DUMMYFUNCTION("""COMPUTED_VALUE"""),"nestlieshop")</f>
        <v>nestlieshop</v>
      </c>
      <c r="C716" s="257" t="str">
        <f>IFERROR(__xludf.DUMMYFUNCTION("""COMPUTED_VALUE"""),"https://www.tiktok.com/@nestlieshop")</f>
        <v>https://www.tiktok.com/@nestlieshop</v>
      </c>
      <c r="D716" s="270">
        <f>IFERROR(__xludf.DUMMYFUNCTION("""COMPUTED_VALUE"""),8.5782472112E10)</f>
        <v>85782472112</v>
      </c>
      <c r="E716" s="457">
        <f>IFERROR(__xludf.DUMMYFUNCTION("""COMPUTED_VALUE"""),0.0)</f>
        <v>0</v>
      </c>
      <c r="F716" s="270">
        <f>IFERROR(__xludf.DUMMYFUNCTION("""COMPUTED_VALUE"""),4.0)</f>
        <v>4</v>
      </c>
      <c r="G716" s="17" t="str">
        <f>IFERROR(__xludf.DUMMYFUNCTION("""COMPUTED_VALUE"""),"Sabun batang 1 Box ( 2 PCS )")</f>
        <v>Sabun batang 1 Box ( 2 PCS )</v>
      </c>
      <c r="H716" s="463" t="str">
        <f>IFERROR(__xludf.DUMMYFUNCTION("""COMPUTED_VALUE"""),"Sampai")</f>
        <v>Sampai</v>
      </c>
      <c r="I716" s="464" t="str">
        <f>IFERROR(__xludf.DUMMYFUNCTION("""COMPUTED_VALUE"""),"KIMME")</f>
        <v>KIMME</v>
      </c>
      <c r="J716" s="279" t="str">
        <f>IFERROR(__xludf.DUMMYFUNCTION("""COMPUTED_VALUE"""),"https://www.tiktok.com/@produkindonesiayaa/video/7637012713817869576?_r=1&amp;u_code=e8ciej6cg6bd8j&amp;region=&amp;mid=7572717667921038088&amp;preview_pb=0&amp;sharer_language=&amp;_d=0&amp;ec_shared_reflux_dynamic_params=%7B%22placeholder_material_id%22%3A%227637012713817869576%22"&amp;"%2C%22placeholder_origin_cover%22%3A%22https%253A%252F%252Fp16-common-sign.tiktokcdn.com%252Ftos-alisg-p-0037%252Fo8R85rgAQfALoIDPfcGiNeeWA0GPGFggNDUnk4~tplv-tiktokx-origin.jpeg%253Fdr%253D14572%2526refresh_token%253Dcb470e52%2526x-expires%253D1810195200%"&amp;"2526x-signature%253DZdElE2q%25252BjFZg3Cy7fw6SZgKLjP0%25253D%2526t%253D4d5b0474%2526ps%253D13740610%2526shp%253Dd05b14bd%2526shcp%253D34ff8df6%2526idc%253Dmy2%2526s%253DTIKTOK_AFFILIATE_VIRAL_VIDEO%22%2C%22placeholder_product_id%22%3A%22172942776672272659"&amp;"1%22%2C%22placeholder_video_id%22%3A%227637012713817869576%22%7D&amp;ec_shared_reflux_scene=shop_tab_feed&amp;share_item_id=7637012713817869576&amp;source=h5_t")</f>
        <v>https://www.tiktok.com/@produkindonesiayaa/video/7637012713817869576?_r=1&amp;u_code=e8ciej6cg6bd8j&amp;region=&amp;mid=7572717667921038088&amp;preview_pb=0&amp;sharer_language=&amp;_d=0&amp;ec_shared_reflux_dynamic_params=%7B%22placeholder_material_id%22%3A%227637012713817869576%22%2C%22placeholder_origin_cover%22%3A%22https%253A%252F%252Fp16-common-sign.tiktokcdn.com%252Ftos-alisg-p-0037%252Fo8R85rgAQfALoIDPfcGiNeeWA0GPGFggNDUnk4~tplv-tiktokx-origin.jpeg%253Fdr%253D14572%2526refresh_token%253Dcb470e52%2526x-expires%253D1810195200%2526x-signature%253DZdElE2q%25252BjFZg3Cy7fw6SZgKLjP0%25253D%2526t%253D4d5b0474%2526ps%253D13740610%2526shp%253Dd05b14bd%2526shcp%253D34ff8df6%2526idc%253Dmy2%2526s%253DTIKTOK_AFFILIATE_VIRAL_VIDEO%22%2C%22placeholder_product_id%22%3A%221729427766722726591%22%2C%22placeholder_video_id%22%3A%227637012713817869576%22%7D&amp;ec_shared_reflux_scene=shop_tab_feed&amp;share_item_id=7637012713817869576&amp;source=h5_t</v>
      </c>
      <c r="K716" s="464" t="str">
        <f>IFERROR(__xludf.DUMMYFUNCTION("""COMPUTED_VALUE"""),"KIMME")</f>
        <v>KIMME</v>
      </c>
      <c r="L716" s="279" t="str">
        <f>IFERROR(__xludf.DUMMYFUNCTION("""COMPUTED_VALUE"""),"https://www.tiktok.com/@produkindonesiayaa/video/7637013340362984722?_r=1&amp;u_code=e8ciej6cg6bd8j&amp;region=&amp;mid=7415463043465201680&amp;preview_pb=0&amp;sharer_language=&amp;_d=0&amp;ec_shared_reflux_dynamic_params=%7B%22placeholder_material_id%22%3A%227637013340362984722%22"&amp;"%2C%22placeholder_origin_cover%22%3A%22https%253A%252F%252Fp16-common-sign.tiktokcdn.com%252Ftos-alisg-p-0037%252FoQzIDfhoiIAB595DZhH88fAShAEtPCDzTIfj0F~tplv-tiktokx-origin.jpeg%253Fdr%253D14572%2526refresh_token%253Dff05c713%2526x-expires%253D1810195200%"&amp;"2526x-signature%253DAS684qb5kLRtJeH4Hxxm3rIL7Qc%25253D%2526t%253D4d5b0474%2526ps%253D13740610%2526shp%253Dd05b14bd%2526shcp%253D34ff8df6%2526idc%253Dmy2%2526s%253DTIKTOK_AFFILIATE_VIRAL_VIDEO%22%2C%22placeholder_product_id%22%3A%221729427766722726591%22%2"&amp;"C%22placeholder_video_id%22%3A%227637013340362984722%22%7D&amp;ec_shared_reflux_scene=shop_tab_feed&amp;share_item_id=7637013340362984722&amp;source=h5_t")</f>
        <v>https://www.tiktok.com/@produkindonesiayaa/video/7637013340362984722?_r=1&amp;u_code=e8ciej6cg6bd8j&amp;region=&amp;mid=7415463043465201680&amp;preview_pb=0&amp;sharer_language=&amp;_d=0&amp;ec_shared_reflux_dynamic_params=%7B%22placeholder_material_id%22%3A%227637013340362984722%22%2C%22placeholder_origin_cover%22%3A%22https%253A%252F%252Fp16-common-sign.tiktokcdn.com%252Ftos-alisg-p-0037%252FoQzIDfhoiIAB595DZhH88fAShAEtPCDzTIfj0F~tplv-tiktokx-origin.jpeg%253Fdr%253D14572%2526refresh_token%253Dff05c713%2526x-expires%253D1810195200%2526x-signature%253DAS684qb5kLRtJeH4Hxxm3rIL7Qc%25253D%2526t%253D4d5b0474%2526ps%253D13740610%2526shp%253Dd05b14bd%2526shcp%253D34ff8df6%2526idc%253Dmy2%2526s%253DTIKTOK_AFFILIATE_VIRAL_VIDEO%22%2C%22placeholder_product_id%22%3A%221729427766722726591%22%2C%22placeholder_video_id%22%3A%227637013340362984722%22%7D&amp;ec_shared_reflux_scene=shop_tab_feed&amp;share_item_id=7637013340362984722&amp;source=h5_t</v>
      </c>
      <c r="M716" s="464"/>
      <c r="N716" s="279" t="str">
        <f>IFERROR(__xludf.DUMMYFUNCTION("""COMPUTED_VALUE"""),"https://www.tiktok.com/@produkindonesiayaa/video/7635922203099319570?_r=1&amp;u_code=e8ciej6cg6bd8j&amp;region=&amp;mid=7635922238830873362&amp;preview_pb=0&amp;sharer_language=&amp;_d=0&amp;ec_shared_reflux_dynamic_params=%7B%22placeholder_material_id%22%3A%227635922203099319570%22"&amp;"%2C%22placeholder_origin_cover%22%3A%22https%253A%252F%252Fp16-common-sign.tiktokcdn.com%252Ftos-alisg-p-0037%252FocfgCMv0AfeeEbxmkZBAwf0ABfNnOugOeII3LAx~tplv-tiktokx-origin.jpeg%253Fdr%253D14572%2526refresh_token%253D56c5056d%2526x-expires%253D1810195200"&amp;"%2526x-signature%253Dsm%25252F0huJXUlT%25252BCwB4CdJ0D1IjTK4%25253D%2526t%253D4d5b0474%2526ps%253D13740610%2526shp%253Dd05b14bd%2526shcp%253D34ff8df6%2526idc%253Dmy2%2526s%253DTIKTOK_AFFILIATE_VIRAL_VIDEO%22%2C%22placeholder_product_id%22%3A%2217294277667"&amp;"22726591%22%2C%22placeholder_video_id%22%3A%227635922203099319570%22%7D&amp;ec_shared_reflux_scene=shop_tab_feed&amp;share_item_id=7635922203099319570&amp;source=h5_t")</f>
        <v>https://www.tiktok.com/@produkindonesiayaa/video/7635922203099319570?_r=1&amp;u_code=e8ciej6cg6bd8j&amp;region=&amp;mid=7635922238830873362&amp;preview_pb=0&amp;sharer_language=&amp;_d=0&amp;ec_shared_reflux_dynamic_params=%7B%22placeholder_material_id%22%3A%227635922203099319570%22%2C%22placeholder_origin_cover%22%3A%22https%253A%252F%252Fp16-common-sign.tiktokcdn.com%252Ftos-alisg-p-0037%252FocfgCMv0AfeeEbxmkZBAwf0ABfNnOugOeII3LAx~tplv-tiktokx-origin.jpeg%253Fdr%253D14572%2526refresh_token%253D56c5056d%2526x-expires%253D1810195200%2526x-signature%253Dsm%25252F0huJXUlT%25252BCwB4CdJ0D1IjTK4%25253D%2526t%253D4d5b0474%2526ps%253D13740610%2526shp%253Dd05b14bd%2526shcp%253D34ff8df6%2526idc%253Dmy2%2526s%253DTIKTOK_AFFILIATE_VIRAL_VIDEO%22%2C%22placeholder_product_id%22%3A%221729427766722726591%22%2C%22placeholder_video_id%22%3A%227635922203099319570%22%7D&amp;ec_shared_reflux_scene=shop_tab_feed&amp;share_item_id=7635922203099319570&amp;source=h5_t</v>
      </c>
      <c r="O716" s="464"/>
      <c r="P716" s="279" t="str">
        <f>IFERROR(__xludf.DUMMYFUNCTION("""COMPUTED_VALUE"""),"https://www.tiktok.com/@produkindonesiayaa/video/7635911886793428231?_r=1&amp;u_code=e8ciej6cg6bd8j&amp;region=&amp;mid=7635911937184434952&amp;preview_pb=0&amp;sharer_language=&amp;_d=0&amp;ec_shared_reflux_dynamic_params=%7B%22placeholder_material_id%22%3A%227635911886793428231%22"&amp;"%2C%22placeholder_origin_cover%22%3A%22https%253A%252F%252Fp16-common-sign.tiktokcdn.com%252Ftos-alisg-p-0037%252FowXUQoLKCe4L6944DCGAQp8yj1TANCfIqGI7eG~tplv-tiktokx-origin.jpeg%253Fdr%253D14572%2526refresh_token%253D1f48fb16%2526x-expires%253D1810195200%"&amp;"2526x-signature%253DhE6QXUAxAleNczoVyL9tQj474Pc%25253D%2526t%253D4d5b0474%2526ps%253D13740610%2526shp%253Dd05b14bd%2526shcp%253D34ff8df6%2526idc%253Dmy2%2526s%253DTIKTOK_AFFILIATE_VIRAL_VIDEO%22%2C%22placeholder_product_id%22%3A%221729427766722726591%22%2"&amp;"C%22placeholder_video_id%22%3A%227635911886793428231%22%7D&amp;ec_shared_reflux_scene=shop_tab_feed&amp;share_item_id=7635911886793428231&amp;source=h5_t")</f>
        <v>https://www.tiktok.com/@produkindonesiayaa/video/7635911886793428231?_r=1&amp;u_code=e8ciej6cg6bd8j&amp;region=&amp;mid=7635911937184434952&amp;preview_pb=0&amp;sharer_language=&amp;_d=0&amp;ec_shared_reflux_dynamic_params=%7B%22placeholder_material_id%22%3A%227635911886793428231%22%2C%22placeholder_origin_cover%22%3A%22https%253A%252F%252Fp16-common-sign.tiktokcdn.com%252Ftos-alisg-p-0037%252FowXUQoLKCe4L6944DCGAQp8yj1TANCfIqGI7eG~tplv-tiktokx-origin.jpeg%253Fdr%253D14572%2526refresh_token%253D1f48fb16%2526x-expires%253D1810195200%2526x-signature%253DhE6QXUAxAleNczoVyL9tQj474Pc%25253D%2526t%253D4d5b0474%2526ps%253D13740610%2526shp%253Dd05b14bd%2526shcp%253D34ff8df6%2526idc%253Dmy2%2526s%253DTIKTOK_AFFILIATE_VIRAL_VIDEO%22%2C%22placeholder_product_id%22%3A%221729427766722726591%22%2C%22placeholder_video_id%22%3A%227635911886793428231%22%7D&amp;ec_shared_reflux_scene=shop_tab_feed&amp;share_item_id=7635911886793428231&amp;source=h5_t</v>
      </c>
    </row>
    <row r="717">
      <c r="A717" s="255" t="str">
        <f>IFERROR(__xludf.DUMMYFUNCTION("""COMPUTED_VALUE"""),"MICRO")</f>
        <v>MICRO</v>
      </c>
      <c r="B717" s="361" t="str">
        <f>IFERROR(__xludf.DUMMYFUNCTION("""COMPUTED_VALUE"""),"_indhvnzt")</f>
        <v>_indhvnzt</v>
      </c>
      <c r="C717" s="257" t="str">
        <f>IFERROR(__xludf.DUMMYFUNCTION("""COMPUTED_VALUE"""),"https://www.tiktok.com/@_indhvnzt")</f>
        <v>https://www.tiktok.com/@_indhvnzt</v>
      </c>
      <c r="D717" s="270">
        <f>IFERROR(__xludf.DUMMYFUNCTION("""COMPUTED_VALUE"""),8.5607511322E10)</f>
        <v>85607511322</v>
      </c>
      <c r="E717" s="457">
        <f>IFERROR(__xludf.DUMMYFUNCTION("""COMPUTED_VALUE"""),0.0)</f>
        <v>0</v>
      </c>
      <c r="F717" s="270">
        <f>IFERROR(__xludf.DUMMYFUNCTION("""COMPUTED_VALUE"""),4.0)</f>
        <v>4</v>
      </c>
      <c r="G717" s="17" t="str">
        <f>IFERROR(__xludf.DUMMYFUNCTION("""COMPUTED_VALUE"""),"Sabun batang 1 Box ( 2 PCS )")</f>
        <v>Sabun batang 1 Box ( 2 PCS )</v>
      </c>
      <c r="H717" s="463" t="str">
        <f>IFERROR(__xludf.DUMMYFUNCTION("""COMPUTED_VALUE"""),"Sampai")</f>
        <v>Sampai</v>
      </c>
      <c r="I717" s="464" t="str">
        <f>IFERROR(__xludf.DUMMYFUNCTION("""COMPUTED_VALUE"""),"KIMME")</f>
        <v>KIMME</v>
      </c>
      <c r="J717" s="17" t="str">
        <f>IFERROR(__xludf.DUMMYFUNCTION("""COMPUTED_VALUE"""),"⁠https://vt.tiktok.com/ZS9NreVrs/")</f>
        <v>⁠https://vt.tiktok.com/ZS9NreVrs/</v>
      </c>
      <c r="K717" s="464" t="str">
        <f>IFERROR(__xludf.DUMMYFUNCTION("""COMPUTED_VALUE"""),"KIMME")</f>
        <v>KIMME</v>
      </c>
      <c r="L717" s="17" t="str">
        <f>IFERROR(__xludf.DUMMYFUNCTION("""COMPUTED_VALUE"""),"⁠https://vt.tiktok.com/ZS9NMWGxk/")</f>
        <v>⁠https://vt.tiktok.com/ZS9NMWGxk/</v>
      </c>
      <c r="M717" s="464"/>
      <c r="N717" s="17" t="str">
        <f>IFERROR(__xludf.DUMMYFUNCTION("""COMPUTED_VALUE"""),"⁠https://vt.tiktok.com/ZS9Yu1GAm/")</f>
        <v>⁠https://vt.tiktok.com/ZS9Yu1GAm/</v>
      </c>
      <c r="O717" s="464"/>
      <c r="P717" s="17" t="str">
        <f>IFERROR(__xludf.DUMMYFUNCTION("""COMPUTED_VALUE"""),"⁠https://vt.tiktok.com/ZS9YuPtVn/")</f>
        <v>⁠https://vt.tiktok.com/ZS9YuPtVn/</v>
      </c>
    </row>
    <row r="718">
      <c r="A718" s="255" t="str">
        <f>IFERROR(__xludf.DUMMYFUNCTION("""COMPUTED_VALUE"""),"MICRO")</f>
        <v>MICRO</v>
      </c>
      <c r="B718" s="361" t="str">
        <f>IFERROR(__xludf.DUMMYFUNCTION("""COMPUTED_VALUE"""),"racun.outfitbymey")</f>
        <v>racun.outfitbymey</v>
      </c>
      <c r="C718" s="257" t="str">
        <f>IFERROR(__xludf.DUMMYFUNCTION("""COMPUTED_VALUE"""),"https://www.tiktok.com/@racun.outfitbymey")</f>
        <v>https://www.tiktok.com/@racun.outfitbymey</v>
      </c>
      <c r="D718" s="270">
        <f>IFERROR(__xludf.DUMMYFUNCTION("""COMPUTED_VALUE"""),8.1213302609E10)</f>
        <v>81213302609</v>
      </c>
      <c r="E718" s="457">
        <f>IFERROR(__xludf.DUMMYFUNCTION("""COMPUTED_VALUE"""),0.0)</f>
        <v>0</v>
      </c>
      <c r="F718" s="270">
        <f>IFERROR(__xludf.DUMMYFUNCTION("""COMPUTED_VALUE"""),4.0)</f>
        <v>4</v>
      </c>
      <c r="G718" s="17" t="str">
        <f>IFERROR(__xludf.DUMMYFUNCTION("""COMPUTED_VALUE"""),"Sabun batang 1 Box ( 2 PCS )")</f>
        <v>Sabun batang 1 Box ( 2 PCS )</v>
      </c>
      <c r="H718" s="463" t="str">
        <f>IFERROR(__xludf.DUMMYFUNCTION("""COMPUTED_VALUE"""),"Sampai")</f>
        <v>Sampai</v>
      </c>
      <c r="I718" s="464" t="str">
        <f>IFERROR(__xludf.DUMMYFUNCTION("""COMPUTED_VALUE"""),"KIMME")</f>
        <v>KIMME</v>
      </c>
      <c r="J718" s="279" t="str">
        <f>IFERROR(__xludf.DUMMYFUNCTION("""COMPUTED_VALUE"""),"https://www.tiktok.com/@racun.outfitbymey/video/7629582423197633800?_r=1&amp;u_code=e7l2927dhlabgg&amp;region=&amp;mid=7532813974639889169&amp;preview_pb=0&amp;sharer_language=&amp;_d=0&amp;ec_shared_reflux_dynamic_params=%7B%22placeholder_material_id%22%3A%227629582423197633800%22%"&amp;"2C%22placeholder_origin_cover%22%3A%22https%253A%252F%252Fp16-common-sign.tiktokcdn.com%252Ftos-alisg-p-0037%252Fok1hX1g4fAIM1hXBBDRpENB9uEBUFEmfjbJIjy~tplv-tiktokx-origin.jpeg%253Fdr%253D14572%2526refresh_token%253Ddfa3e821%2526x-expires%253D1808204400%2"&amp;"526x-signature%253DqtDHG7qGfqJQTHdV1uEW%25252BF2qTRo%25253D%2526t%253D4d5b0474%2526ps%253D13740610%2526shp%253Dd05b14bd%2526shcp%253D34ff8df6%2526idc%253Dmy3%2526s%253DTIKTOK_AFFILIATE_VIRAL_VIDEO%22%2C%22placeholder_product_id%22%3A%221729427766722726591"&amp;"%22%2C%22placeholder_video_id%22%3A%227629582423197633800%22%7D&amp;ec_shared_reflux_scene=shop_tab_feed&amp;share_item_id=7629582423197633800&amp;source=h5_t")</f>
        <v>https://www.tiktok.com/@racun.outfitbymey/video/7629582423197633800?_r=1&amp;u_code=e7l2927dhlabgg&amp;region=&amp;mid=7532813974639889169&amp;preview_pb=0&amp;sharer_language=&amp;_d=0&amp;ec_shared_reflux_dynamic_params=%7B%22placeholder_material_id%22%3A%227629582423197633800%22%2C%22placeholder_origin_cover%22%3A%22https%253A%252F%252Fp16-common-sign.tiktokcdn.com%252Ftos-alisg-p-0037%252Fok1hX1g4fAIM1hXBBDRpENB9uEBUFEmfjbJIjy~tplv-tiktokx-origin.jpeg%253Fdr%253D14572%2526refresh_token%253Ddfa3e821%2526x-expires%253D1808204400%2526x-signature%253DqtDHG7qGfqJQTHdV1uEW%25252BF2qTRo%25253D%2526t%253D4d5b0474%2526ps%253D13740610%2526shp%253Dd05b14bd%2526shcp%253D34ff8df6%2526idc%253Dmy3%2526s%253DTIKTOK_AFFILIATE_VIRAL_VIDEO%22%2C%22placeholder_product_id%22%3A%221729427766722726591%22%2C%22placeholder_video_id%22%3A%227629582423197633800%22%7D&amp;ec_shared_reflux_scene=shop_tab_feed&amp;share_item_id=7629582423197633800&amp;source=h5_t</v>
      </c>
      <c r="K718" s="464" t="str">
        <f>IFERROR(__xludf.DUMMYFUNCTION("""COMPUTED_VALUE"""),"KIMME")</f>
        <v>KIMME</v>
      </c>
      <c r="L718" s="279" t="str">
        <f>IFERROR(__xludf.DUMMYFUNCTION("""COMPUTED_VALUE"""),"https://www.tiktok.com/@racun.outfitbymey/video/7629954641433824519?_r=1&amp;u_code=e7l2927dhlabgg&amp;region=&amp;mid=7577387688165116690&amp;preview_pb=0&amp;sharer_language=&amp;_d=0&amp;ec_shared_reflux_dynamic_params=%7B%22placeholder_material_id%22%3A%227629954641433824519%22%"&amp;"2C%22placeholder_origin_cover%22%3A%22https%253A%252F%252Fp16-common-sign.tiktokcdn.com%252Ftos-alisg-p-0037%252Foc4GZuSgIDLBIZLATHCAfEheOY4jC7IxjIDove~tplv-tiktokx-origin.jpeg%253Fdr%253D14572%2526refresh_token%253D5e03c8b4%2526x-expires%253D1808204400%2"&amp;"526x-signature%253Dg7CsDzZzxs%25252Fm%25252FRuiulaQzyVTaQs%25253D%2526t%253D4d5b0474%2526ps%253D13740610%2526shp%253Dd05b14bd%2526shcp%253D34ff8df6%2526idc%253Dmy3%2526s%253DTIKTOK_AFFILIATE_VIRAL_VIDEO%22%2C%22placeholder_product_id%22%3A%221729427766722"&amp;"726591%22%2C%22placeholder_video_id%22%3A%227629954641433824519%22%7D&amp;ec_shared_reflux_scene=shop_tab_feed&amp;share_item_id=7629954641433824519&amp;source=h5_t")</f>
        <v>https://www.tiktok.com/@racun.outfitbymey/video/7629954641433824519?_r=1&amp;u_code=e7l2927dhlabgg&amp;region=&amp;mid=7577387688165116690&amp;preview_pb=0&amp;sharer_language=&amp;_d=0&amp;ec_shared_reflux_dynamic_params=%7B%22placeholder_material_id%22%3A%227629954641433824519%22%2C%22placeholder_origin_cover%22%3A%22https%253A%252F%252Fp16-common-sign.tiktokcdn.com%252Ftos-alisg-p-0037%252Foc4GZuSgIDLBIZLATHCAfEheOY4jC7IxjIDove~tplv-tiktokx-origin.jpeg%253Fdr%253D14572%2526refresh_token%253D5e03c8b4%2526x-expires%253D1808204400%2526x-signature%253Dg7CsDzZzxs%25252Fm%25252FRuiulaQzyVTaQs%25253D%2526t%253D4d5b0474%2526ps%253D13740610%2526shp%253Dd05b14bd%2526shcp%253D34ff8df6%2526idc%253Dmy3%2526s%253DTIKTOK_AFFILIATE_VIRAL_VIDEO%22%2C%22placeholder_product_id%22%3A%221729427766722726591%22%2C%22placeholder_video_id%22%3A%227629954641433824519%22%7D&amp;ec_shared_reflux_scene=shop_tab_feed&amp;share_item_id=7629954641433824519&amp;source=h5_t</v>
      </c>
      <c r="M718" s="464" t="str">
        <f>IFERROR(__xludf.DUMMYFUNCTION("""COMPUTED_VALUE"""),"KIMME")</f>
        <v>KIMME</v>
      </c>
      <c r="N718" s="279" t="str">
        <f>IFERROR(__xludf.DUMMYFUNCTION("""COMPUTED_VALUE"""),"tiktok.com/@racun.outfitbymey/video/7630695410553621767?_r=1&amp;u_code=e7l2927dhlabgg&amp;region=&amp;mid=7628570940951776008&amp;preview_pb=0&amp;sharer_language=&amp;_d=0&amp;ec_shared_reflux_dynamic_params=%7B""placeholder_material_id""%3A""7630695410553621767""%2C""placeholder_"&amp;"origin_cover""%3A""https%253A%252F%252Fp16-common-sign.tiktokcdn.com%252Ftos-alisg-p-0037%252FoYU9fAB8HrTARiIi0Ro3ZBuCwIYlAjgI0Nxti8~tplv-tiktokx-origin.jpeg%253Fdr%253D14572%2526refresh_token%253D20282cb8%2526x-expires%253D1808204400%2526x-signature%253D"&amp;"cUsYw2TJtrFHFWZXY6w6gXtYAx0%25253D%2526t%253D4d5b0474%2526ps%253D13740610%2526shp%253Dd05b14bd%2526shcp%253D34ff8df6%2526idc%253Dmy3%2526s%253DTIKTOK_AFFILIATE_VIRAL_VIDEO""%2C""placeholder_product_id""%3A""1729427766722726591""%2C""placeholder_video_id"""&amp;"%3A""7630695410553621767""%7D&amp;ec_shared_reflux_scene=shop_tab_feed&amp;share_item_id=7630695410553621767&amp;source=h5_t")</f>
        <v>tiktok.com/@racun.outfitbymey/video/7630695410553621767?_r=1&amp;u_code=e7l2927dhlabgg&amp;region=&amp;mid=7628570940951776008&amp;preview_pb=0&amp;sharer_language=&amp;_d=0&amp;ec_shared_reflux_dynamic_params=%7B"placeholder_material_id"%3A"7630695410553621767"%2C"placeholder_origin_cover"%3A"https%253A%252F%252Fp16-common-sign.tiktokcdn.com%252Ftos-alisg-p-0037%252FoYU9fAB8HrTARiIi0Ro3ZBuCwIYlAjgI0Nxti8~tplv-tiktokx-origin.jpeg%253Fdr%253D14572%2526refresh_token%253D20282cb8%2526x-expires%253D1808204400%2526x-signature%253DcUsYw2TJtrFHFWZXY6w6gXtYAx0%25253D%2526t%253D4d5b0474%2526ps%253D13740610%2526shp%253Dd05b14bd%2526shcp%253D34ff8df6%2526idc%253Dmy3%2526s%253DTIKTOK_AFFILIATE_VIRAL_VIDEO"%2C"placeholder_product_id"%3A"1729427766722726591"%2C"placeholder_video_id"%3A"7630695410553621767"%7D&amp;ec_shared_reflux_scene=shop_tab_feed&amp;share_item_id=7630695410553621767&amp;source=h5_t</v>
      </c>
      <c r="O718" s="464" t="str">
        <f>IFERROR(__xludf.DUMMYFUNCTION("""COMPUTED_VALUE"""),"KIMME")</f>
        <v>KIMME</v>
      </c>
      <c r="P718" s="279" t="str">
        <f>IFERROR(__xludf.DUMMYFUNCTION("""COMPUTED_VALUE"""),"https://www.tiktok.com/@racun.outfitbymey/video/7631592098449460498?_r=1&amp;u_code=e7l2927dhlabgg&amp;region=&amp;mid=7628898275605334791&amp;preview_pb=0&amp;sharer_language=&amp;_d=0&amp;ec_shared_reflux_dynamic_params=%7B%22placeholder_material_id%22%3A%227631592098449460498%22%"&amp;"2C%22placeholder_origin_cover%22%3A%22https%253A%252F%252Fp16-sign-sg.tiktokcdn.com%252Ftos-alisg-p-0037%252FoouBWRQkibdBIJiw03xAw3GfZ42IA0C9oIAYVN~tplv-tiktokx-origin.jpeg%253Fdr%253D14572%2526refresh_token%253D5b21247c%2526x-expires%253D1808474400%2526x"&amp;"-signature%253DVr1LoyvEuj6LGHdBdqtKYzPD25Y%25253D%2526t%253D4d5b0474%2526ps%253D13740610%2526shp%253Dd05b14bd%2526shcp%253D34ff8df6%2526idc%253Dmy3%2526s%253DTIKTOK_AFFILIATE_VIRAL_VIDEO%22%2C%22placeholder_product_id%22%3A%221729427766722726591%22%2C%22p"&amp;"laceholder_video_id%22%3A%227631592098449460498%22%7D&amp;ec_shared_reflux_scene=shop_tab_feed&amp;share_item_id=7631592098449460498&amp;source=h5_t")</f>
        <v>https://www.tiktok.com/@racun.outfitbymey/video/7631592098449460498?_r=1&amp;u_code=e7l2927dhlabgg&amp;region=&amp;mid=7628898275605334791&amp;preview_pb=0&amp;sharer_language=&amp;_d=0&amp;ec_shared_reflux_dynamic_params=%7B%22placeholder_material_id%22%3A%227631592098449460498%22%2C%22placeholder_origin_cover%22%3A%22https%253A%252F%252Fp16-sign-sg.tiktokcdn.com%252Ftos-alisg-p-0037%252FoouBWRQkibdBIJiw03xAw3GfZ42IA0C9oIAYVN~tplv-tiktokx-origin.jpeg%253Fdr%253D14572%2526refresh_token%253D5b21247c%2526x-expires%253D1808474400%2526x-signature%253DVr1LoyvEuj6LGHdBdqtKYzPD25Y%25253D%2526t%253D4d5b0474%2526ps%253D13740610%2526shp%253Dd05b14bd%2526shcp%253D34ff8df6%2526idc%253Dmy3%2526s%253DTIKTOK_AFFILIATE_VIRAL_VIDEO%22%2C%22placeholder_product_id%22%3A%221729427766722726591%22%2C%22placeholder_video_id%22%3A%227631592098449460498%22%7D&amp;ec_shared_reflux_scene=shop_tab_feed&amp;share_item_id=7631592098449460498&amp;source=h5_t</v>
      </c>
    </row>
    <row r="719">
      <c r="A719" s="255" t="str">
        <f>IFERROR(__xludf.DUMMYFUNCTION("""COMPUTED_VALUE"""),"MICRO")</f>
        <v>MICRO</v>
      </c>
      <c r="B719" s="361" t="str">
        <f>IFERROR(__xludf.DUMMYFUNCTION("""COMPUTED_VALUE"""),"izza___26")</f>
        <v>izza___26</v>
      </c>
      <c r="C719" s="257" t="str">
        <f>IFERROR(__xludf.DUMMYFUNCTION("""COMPUTED_VALUE"""),"https://www.tiktok.com/@izza___26")</f>
        <v>https://www.tiktok.com/@izza___26</v>
      </c>
      <c r="D719" s="270">
        <f>IFERROR(__xludf.DUMMYFUNCTION("""COMPUTED_VALUE"""),8.2250639355E10)</f>
        <v>82250639355</v>
      </c>
      <c r="E719" s="457">
        <f>IFERROR(__xludf.DUMMYFUNCTION("""COMPUTED_VALUE"""),0.0)</f>
        <v>0</v>
      </c>
      <c r="F719" s="270">
        <f>IFERROR(__xludf.DUMMYFUNCTION("""COMPUTED_VALUE"""),4.0)</f>
        <v>4</v>
      </c>
      <c r="G719" s="17" t="str">
        <f>IFERROR(__xludf.DUMMYFUNCTION("""COMPUTED_VALUE"""),"Sabun batang 1 Box ( 2 PCS )")</f>
        <v>Sabun batang 1 Box ( 2 PCS )</v>
      </c>
      <c r="H719" s="463" t="str">
        <f>IFERROR(__xludf.DUMMYFUNCTION("""COMPUTED_VALUE"""),"Sampai")</f>
        <v>Sampai</v>
      </c>
      <c r="I719" s="464" t="str">
        <f>IFERROR(__xludf.DUMMYFUNCTION("""COMPUTED_VALUE"""),"KIMME")</f>
        <v>KIMME</v>
      </c>
      <c r="J719" s="279" t="str">
        <f>IFERROR(__xludf.DUMMYFUNCTION("""COMPUTED_VALUE"""),"https://vt.tiktok.com/ZS98w6a88/")</f>
        <v>https://vt.tiktok.com/ZS98w6a88/</v>
      </c>
      <c r="K719" s="464" t="str">
        <f>IFERROR(__xludf.DUMMYFUNCTION("""COMPUTED_VALUE"""),"KIMME")</f>
        <v>KIMME</v>
      </c>
      <c r="L719" s="279" t="str">
        <f>IFERROR(__xludf.DUMMYFUNCTION("""COMPUTED_VALUE"""),"https://vt.tiktok.com/ZS9Fu8oqB/")</f>
        <v>https://vt.tiktok.com/ZS9Fu8oqB/</v>
      </c>
      <c r="M719" s="464"/>
      <c r="N719" s="279" t="str">
        <f>IFERROR(__xludf.DUMMYFUNCTION("""COMPUTED_VALUE"""),"https://vt.tiktok.com/ZS92orLSE/")</f>
        <v>https://vt.tiktok.com/ZS92orLSE/</v>
      </c>
      <c r="O719" s="464"/>
      <c r="P719" s="279" t="str">
        <f>IFERROR(__xludf.DUMMYFUNCTION("""COMPUTED_VALUE"""),"https://www.tiktok.com/@produkindonesiayaa/video/7635904363734650120?_r=1&amp;u_code=e8ciej6cg6bd8j&amp;region=&amp;mid=7635904405212728071&amp;preview_pb=0&amp;sharer_language=&amp;_d=0&amp;ec_shared_reflux_dynamic_params=%7B%22placeholder_material_id%22%3A%227635904363734650120%22"&amp;"%2C%22placeholder_origin_cover%22%3A%22https%253A%252F%252Fp16-common-sign.tiktokcdn.com%252Ftos-alisg-p-0037%252FoEAzY0gA35uiC9iIHIICLpAuWLwPnX64BrfIpB~tplv-tiktokx-origin.jpeg%253Fdr%253D14572%2526refresh_token%253D28062e0b%2526x-expires%253D1810195200%"&amp;"2526x-signature%253D3wtXpaCwJ9Dya9Ek2mtihnRNNC0%25253D%2526t%253D4d5b0474%2526ps%253D13740610%2526shp%253Dd05b14bd%2526shcp%253D34ff8df6%2526idc%253Dmy2%2526s%253DTIKTOK_AFFILIATE_VIRAL_VIDEO%22%2C%22placeholder_product_id%22%3A%221729427766722726591%22%2"&amp;"C%22placeholder_video_id%22%3A%227635904363734650120%22%7D&amp;ec_shared_reflux_scene=shop_tab_feed&amp;share_item_id=7635904363734650120&amp;source=h5_t")</f>
        <v>https://www.tiktok.com/@produkindonesiayaa/video/7635904363734650120?_r=1&amp;u_code=e8ciej6cg6bd8j&amp;region=&amp;mid=7635904405212728071&amp;preview_pb=0&amp;sharer_language=&amp;_d=0&amp;ec_shared_reflux_dynamic_params=%7B%22placeholder_material_id%22%3A%227635904363734650120%22%2C%22placeholder_origin_cover%22%3A%22https%253A%252F%252Fp16-common-sign.tiktokcdn.com%252Ftos-alisg-p-0037%252FoEAzY0gA35uiC9iIHIICLpAuWLwPnX64BrfIpB~tplv-tiktokx-origin.jpeg%253Fdr%253D14572%2526refresh_token%253D28062e0b%2526x-expires%253D1810195200%2526x-signature%253D3wtXpaCwJ9Dya9Ek2mtihnRNNC0%25253D%2526t%253D4d5b0474%2526ps%253D13740610%2526shp%253Dd05b14bd%2526shcp%253D34ff8df6%2526idc%253Dmy2%2526s%253DTIKTOK_AFFILIATE_VIRAL_VIDEO%22%2C%22placeholder_product_id%22%3A%221729427766722726591%22%2C%22placeholder_video_id%22%3A%227635904363734650120%22%7D&amp;ec_shared_reflux_scene=shop_tab_feed&amp;share_item_id=7635904363734650120&amp;source=h5_t</v>
      </c>
    </row>
    <row r="720">
      <c r="A720" s="255" t="str">
        <f>IFERROR(__xludf.DUMMYFUNCTION("""COMPUTED_VALUE"""),"MACRO")</f>
        <v>MACRO</v>
      </c>
      <c r="B720" s="361" t="str">
        <f>IFERROR(__xludf.DUMMYFUNCTION("""COMPUTED_VALUE"""),"seeputriaqnhania")</f>
        <v>seeputriaqnhania</v>
      </c>
      <c r="C720" s="257" t="str">
        <f>IFERROR(__xludf.DUMMYFUNCTION("""COMPUTED_VALUE"""),"https://www.tiktok.com/@seeputriaqnhania")</f>
        <v>https://www.tiktok.com/@seeputriaqnhania</v>
      </c>
      <c r="D720" s="270">
        <f>IFERROR(__xludf.DUMMYFUNCTION("""COMPUTED_VALUE"""),8.5783508172E10)</f>
        <v>85783508172</v>
      </c>
      <c r="E720" s="457">
        <f>IFERROR(__xludf.DUMMYFUNCTION("""COMPUTED_VALUE"""),200000.0)</f>
        <v>200000</v>
      </c>
      <c r="F720" s="270">
        <f>IFERROR(__xludf.DUMMYFUNCTION("""COMPUTED_VALUE"""),1.0)</f>
        <v>1</v>
      </c>
      <c r="G720" s="17" t="str">
        <f>IFERROR(__xludf.DUMMYFUNCTION("""COMPUTED_VALUE"""),"Sabun batang 1 Box ( 2 PCS )")</f>
        <v>Sabun batang 1 Box ( 2 PCS )</v>
      </c>
      <c r="H720" s="463" t="str">
        <f>IFERROR(__xludf.DUMMYFUNCTION("""COMPUTED_VALUE"""),"Sampai")</f>
        <v>Sampai</v>
      </c>
      <c r="I720" s="464" t="str">
        <f>IFERROR(__xludf.DUMMYFUNCTION("""COMPUTED_VALUE"""),"KIMME")</f>
        <v>KIMME</v>
      </c>
      <c r="J720" s="279" t="str">
        <f>IFERROR(__xludf.DUMMYFUNCTION("""COMPUTED_VALUE"""),"https://vt.tiktok.com/ZS9hBhnja/")</f>
        <v>https://vt.tiktok.com/ZS9hBhnja/</v>
      </c>
      <c r="K720" s="464" t="str">
        <f>IFERROR(__xludf.DUMMYFUNCTION("""COMPUTED_VALUE"""),"KIMME")</f>
        <v>KIMME</v>
      </c>
      <c r="L720" s="279" t="str">
        <f>IFERROR(__xludf.DUMMYFUNCTION("""COMPUTED_VALUE"""),"https://www.tiktok.com/@rindi.afrilia/video/7631728911600160021?_r=1&amp;u_code=dja890i3j90f3j&amp;region=&amp;mid=7593759807337810706&amp;preview_pb=0&amp;sharer_language=&amp;_d=0&amp;ec_shared_reflux_dynamic_params=%7B%22placeholder_material_id%22%3A%227631728911600160021%22%2C%2"&amp;"2placeholder_origin_cover%22%3A%22https%253A%252F%252Fp16-common-sign.tiktokcdn.com%252Ftos-alisg-p-0037%252FoACAqY0IpJCBEA5WwvuQlPiCiCAIHCezuz0X6I~tplv-tiktokx-origin.jpeg%253Fdr%253D14572%2526refresh_token%253D07cee0e2%2526x-expires%253D1810202400%2526x"&amp;"-signature%253D9fo%25252FQg%25252BcQwUX8JfZJTyt0MHqrUM%25253D%2526t%253D4d5b0474%2526ps%253D13740610%2526shp%253Dd05b14bd%2526shcp%253D34ff8df6%2526idc%253Dmy2%2526s%253DTIKTOK_AFFILIATE_VIRAL_VIDEO%22%2C%22placeholder_product_id%22%3A%2217294277667227265"&amp;"91%22%2C%22placeholder_video_id%22%3A%227631728911600160021%22%7D&amp;ec_shared_reflux_scene=shop_tab_feed&amp;share_item_id=7631728911600160021&amp;source=h5_t")</f>
        <v>https://www.tiktok.com/@rindi.afrilia/video/7631728911600160021?_r=1&amp;u_code=dja890i3j90f3j&amp;region=&amp;mid=7593759807337810706&amp;preview_pb=0&amp;sharer_language=&amp;_d=0&amp;ec_shared_reflux_dynamic_params=%7B%22placeholder_material_id%22%3A%227631728911600160021%22%2C%22placeholder_origin_cover%22%3A%22https%253A%252F%252Fp16-common-sign.tiktokcdn.com%252Ftos-alisg-p-0037%252FoACAqY0IpJCBEA5WwvuQlPiCiCAIHCezuz0X6I~tplv-tiktokx-origin.jpeg%253Fdr%253D14572%2526refresh_token%253D07cee0e2%2526x-expires%253D1810202400%2526x-signature%253D9fo%25252FQg%25252BcQwUX8JfZJTyt0MHqrUM%25253D%2526t%253D4d5b0474%2526ps%253D13740610%2526shp%253Dd05b14bd%2526shcp%253D34ff8df6%2526idc%253Dmy2%2526s%253DTIKTOK_AFFILIATE_VIRAL_VIDEO%22%2C%22placeholder_product_id%22%3A%221729427766722726591%22%2C%22placeholder_video_id%22%3A%227631728911600160021%22%7D&amp;ec_shared_reflux_scene=shop_tab_feed&amp;share_item_id=7631728911600160021&amp;source=h5_t</v>
      </c>
      <c r="M720" s="464"/>
      <c r="N720" s="17"/>
      <c r="O720" s="464"/>
      <c r="P720" s="17"/>
    </row>
    <row r="721">
      <c r="A721" s="255" t="str">
        <f>IFERROR(__xludf.DUMMYFUNCTION("""COMPUTED_VALUE"""),"MICRO")</f>
        <v>MICRO</v>
      </c>
      <c r="B721" s="361" t="str">
        <f>IFERROR(__xludf.DUMMYFUNCTION("""COMPUTED_VALUE"""),"vera.bauty")</f>
        <v>vera.bauty</v>
      </c>
      <c r="C721" s="257" t="str">
        <f>IFERROR(__xludf.DUMMYFUNCTION("""COMPUTED_VALUE"""),"https://www.tiktok.com/@vera.bauty")</f>
        <v>https://www.tiktok.com/@vera.bauty</v>
      </c>
      <c r="D721" s="270">
        <f>IFERROR(__xludf.DUMMYFUNCTION("""COMPUTED_VALUE"""),8.9631288888E10)</f>
        <v>89631288888</v>
      </c>
      <c r="E721" s="457">
        <f>IFERROR(__xludf.DUMMYFUNCTION("""COMPUTED_VALUE"""),0.0)</f>
        <v>0</v>
      </c>
      <c r="F721" s="270">
        <f>IFERROR(__xludf.DUMMYFUNCTION("""COMPUTED_VALUE"""),1.0)</f>
        <v>1</v>
      </c>
      <c r="G721" s="17" t="str">
        <f>IFERROR(__xludf.DUMMYFUNCTION("""COMPUTED_VALUE"""),"Sabun batang 1 Box ( 2 PCS )")</f>
        <v>Sabun batang 1 Box ( 2 PCS )</v>
      </c>
      <c r="H721" s="463" t="str">
        <f>IFERROR(__xludf.DUMMYFUNCTION("""COMPUTED_VALUE"""),"Sampai")</f>
        <v>Sampai</v>
      </c>
      <c r="I721" s="464" t="str">
        <f>IFERROR(__xludf.DUMMYFUNCTION("""COMPUTED_VALUE"""),"KIMME")</f>
        <v>KIMME</v>
      </c>
      <c r="J721" s="17" t="str">
        <f>IFERROR(__xludf.DUMMYFUNCTION("""COMPUTED_VALUE"""),"⁠https://vt.tiktok.com/ZS9YuaHJh/")</f>
        <v>⁠https://vt.tiktok.com/ZS9YuaHJh/</v>
      </c>
      <c r="K721" s="464" t="str">
        <f>IFERROR(__xludf.DUMMYFUNCTION("""COMPUTED_VALUE"""),"KIMME")</f>
        <v>KIMME</v>
      </c>
      <c r="L721" s="279" t="str">
        <f>IFERROR(__xludf.DUMMYFUNCTION("""COMPUTED_VALUE"""),"https://www.tiktok.com/@rindi.afrilia/video/7631727110788369684?_r=1&amp;u_code=dja890i3j90f3j&amp;region=&amp;mid=7627393047289989909&amp;preview_pb=0&amp;sharer_language=&amp;_d=0&amp;ec_shared_reflux_dynamic_params=%7B%22placeholder_material_id%22%3A%227631727110788369684%22%2C%2"&amp;"2placeholder_origin_cover%22%3A%22https%253A%252F%252Fp16-common-sign.tiktokcdn.com%252Ftos-alisg-p-0037%252Fowc4fAfEc6IBqVRvEngWIzFEEzooOpp2DhBVBw~tplv-tiktokx-origin.jpeg%253Fdr%253D14572%2526refresh_token%253D853c1982%2526x-expires%253D1810202400%2526x"&amp;"-signature%253DOUg3og5%25252FQLVLLUFg6c9GdmjMrI8%25253D%2526t%253D4d5b0474%2526ps%253D13740610%2526shp%253Dd05b14bd%2526shcp%253D34ff8df6%2526idc%253Dmy2%2526s%253DTIKTOK_AFFILIATE_VIRAL_VIDEO%22%2C%22placeholder_product_id%22%3A%221729427766722726591%22%"&amp;"2C%22placeholder_video_id%22%3A%227631727110788369684%22%7D&amp;ec_shared_reflux_scene=shop_tab_feed&amp;share_item_id=7631727110788369684&amp;source=h5_t")</f>
        <v>https://www.tiktok.com/@rindi.afrilia/video/7631727110788369684?_r=1&amp;u_code=dja890i3j90f3j&amp;region=&amp;mid=7627393047289989909&amp;preview_pb=0&amp;sharer_language=&amp;_d=0&amp;ec_shared_reflux_dynamic_params=%7B%22placeholder_material_id%22%3A%227631727110788369684%22%2C%22placeholder_origin_cover%22%3A%22https%253A%252F%252Fp16-common-sign.tiktokcdn.com%252Ftos-alisg-p-0037%252Fowc4fAfEc6IBqVRvEngWIzFEEzooOpp2DhBVBw~tplv-tiktokx-origin.jpeg%253Fdr%253D14572%2526refresh_token%253D853c1982%2526x-expires%253D1810202400%2526x-signature%253DOUg3og5%25252FQLVLLUFg6c9GdmjMrI8%25253D%2526t%253D4d5b0474%2526ps%253D13740610%2526shp%253Dd05b14bd%2526shcp%253D34ff8df6%2526idc%253Dmy2%2526s%253DTIKTOK_AFFILIATE_VIRAL_VIDEO%22%2C%22placeholder_product_id%22%3A%221729427766722726591%22%2C%22placeholder_video_id%22%3A%227631727110788369684%22%7D&amp;ec_shared_reflux_scene=shop_tab_feed&amp;share_item_id=7631727110788369684&amp;source=h5_t</v>
      </c>
      <c r="M721" s="464"/>
      <c r="N721" s="279" t="str">
        <f>IFERROR(__xludf.DUMMYFUNCTION("""COMPUTED_VALUE"""),"https://www.tiktok.com/@rindi.afrilia/video/7631977677720734997?_r=1&amp;u_code=dja890i3j90f3j&amp;region=&amp;mid=7624309771547691796&amp;preview_pb=0&amp;sharer_language=&amp;_d=0&amp;ec_shared_reflux_dynamic_params=%7B%22placeholder_material_id%22%3A%227631977677720734997%22%2C%2"&amp;"2placeholder_origin_cover%22%3A%22https%253A%252F%252Fp16-common-sign.tiktokcdn.com%252Ftos-alisg-p-0037%252FoAtufAD6AOLB0FRSpfr3qCcEgICqBxrIjF7jEi~tplv-tiktokx-origin.jpeg%253Fdr%253D14572%2526refresh_token%253D1f8234b8%2526x-expires%253D1810202400%2526x"&amp;"-signature%253D030q%25252Flnx4ooxUEPnWi7HpSVrjd4%25253D%2526t%253D4d5b0474%2526ps%253D13740610%2526shp%253Dd05b14bd%2526shcp%253D34ff8df6%2526idc%253Dmy2%2526s%253DTIKTOK_AFFILIATE_VIRAL_VIDEO%22%2C%22placeholder_product_id%22%3A%221729427766722726591%22%"&amp;"2C%22placeholder_video_id%22%3A%227631977677720734997%22%7D&amp;ec_shared_reflux_scene=shop_tab_feed&amp;share_item_id=7631977677720734997&amp;source=h5_t")</f>
        <v>https://www.tiktok.com/@rindi.afrilia/video/7631977677720734997?_r=1&amp;u_code=dja890i3j90f3j&amp;region=&amp;mid=7624309771547691796&amp;preview_pb=0&amp;sharer_language=&amp;_d=0&amp;ec_shared_reflux_dynamic_params=%7B%22placeholder_material_id%22%3A%227631977677720734997%22%2C%22placeholder_origin_cover%22%3A%22https%253A%252F%252Fp16-common-sign.tiktokcdn.com%252Ftos-alisg-p-0037%252FoAtufAD6AOLB0FRSpfr3qCcEgICqBxrIjF7jEi~tplv-tiktokx-origin.jpeg%253Fdr%253D14572%2526refresh_token%253D1f8234b8%2526x-expires%253D1810202400%2526x-signature%253D030q%25252Flnx4ooxUEPnWi7HpSVrjd4%25253D%2526t%253D4d5b0474%2526ps%253D13740610%2526shp%253Dd05b14bd%2526shcp%253D34ff8df6%2526idc%253Dmy2%2526s%253DTIKTOK_AFFILIATE_VIRAL_VIDEO%22%2C%22placeholder_product_id%22%3A%221729427766722726591%22%2C%22placeholder_video_id%22%3A%227631977677720734997%22%7D&amp;ec_shared_reflux_scene=shop_tab_feed&amp;share_item_id=7631977677720734997&amp;source=h5_t</v>
      </c>
      <c r="O721" s="464"/>
      <c r="P721" s="279" t="str">
        <f>IFERROR(__xludf.DUMMYFUNCTION("""COMPUTED_VALUE"""),"https://www.tiktok.com/@rindi.afrilia/video/7631980302981762324?_r=1&amp;u_code=dja890i3j90f3j&amp;region=&amp;mid=6954430693141137410&amp;preview_pb=0&amp;sharer_language=&amp;_d=0&amp;ec_shared_reflux_dynamic_params=%7B%22placeholder_material_id%22%3A%227631980302981762324%22%2C%2"&amp;"2placeholder_origin_cover%22%3A%22https%253A%252F%252Fp19-common-sign.tiktokcdn.com%252Ftos-alisg-p-0037%252FokBMqav9C6xo0ioCLA7AAPuaieIAPIWwIvbb42~tplv-tiktokx-origin.jpeg%253Fdr%253D14572%2526refresh_token%253D16a998fc%2526x-expires%253D1810202400%2526x"&amp;"-signature%253DAafljJJMWomMjTzTsZrsulg2N44%25253D%2526t%253D4d5b0474%2526ps%253D13740610%2526shp%253Dd05b14bd%2526shcp%253D34ff8df6%2526idc%253Dmy2%2526s%253DTIKTOK_AFFILIATE_VIRAL_VIDEO%22%2C%22placeholder_product_id%22%3A%221729427766722726591%22%2C%22p"&amp;"laceholder_video_id%22%3A%227631980302981762324%22%7D&amp;ec_shared_reflux_scene=shop_tab_feed&amp;share_item_id=7631980302981762324&amp;source=h5_t")</f>
        <v>https://www.tiktok.com/@rindi.afrilia/video/7631980302981762324?_r=1&amp;u_code=dja890i3j90f3j&amp;region=&amp;mid=6954430693141137410&amp;preview_pb=0&amp;sharer_language=&amp;_d=0&amp;ec_shared_reflux_dynamic_params=%7B%22placeholder_material_id%22%3A%227631980302981762324%22%2C%22placeholder_origin_cover%22%3A%22https%253A%252F%252Fp19-common-sign.tiktokcdn.com%252Ftos-alisg-p-0037%252FokBMqav9C6xo0ioCLA7AAPuaieIAPIWwIvbb42~tplv-tiktokx-origin.jpeg%253Fdr%253D14572%2526refresh_token%253D16a998fc%2526x-expires%253D1810202400%2526x-signature%253DAafljJJMWomMjTzTsZrsulg2N44%25253D%2526t%253D4d5b0474%2526ps%253D13740610%2526shp%253Dd05b14bd%2526shcp%253D34ff8df6%2526idc%253Dmy2%2526s%253DTIKTOK_AFFILIATE_VIRAL_VIDEO%22%2C%22placeholder_product_id%22%3A%221729427766722726591%22%2C%22placeholder_video_id%22%3A%227631980302981762324%22%7D&amp;ec_shared_reflux_scene=shop_tab_feed&amp;share_item_id=7631980302981762324&amp;source=h5_t</v>
      </c>
    </row>
    <row r="722">
      <c r="A722" s="255" t="str">
        <f>IFERROR(__xludf.DUMMYFUNCTION("""COMPUTED_VALUE"""),"MICRO")</f>
        <v>MICRO</v>
      </c>
      <c r="B722" s="361" t="str">
        <f>IFERROR(__xludf.DUMMYFUNCTION("""COMPUTED_VALUE"""),"rekaamalia99")</f>
        <v>rekaamalia99</v>
      </c>
      <c r="C722" s="257" t="str">
        <f>IFERROR(__xludf.DUMMYFUNCTION("""COMPUTED_VALUE"""),"https://www.tiktok.com/@rekaamalia99")</f>
        <v>https://www.tiktok.com/@rekaamalia99</v>
      </c>
      <c r="D722" s="270">
        <f>IFERROR(__xludf.DUMMYFUNCTION("""COMPUTED_VALUE"""),8.5777139199E10)</f>
        <v>85777139199</v>
      </c>
      <c r="E722" s="457">
        <f>IFERROR(__xludf.DUMMYFUNCTION("""COMPUTED_VALUE"""),0.0)</f>
        <v>0</v>
      </c>
      <c r="F722" s="270">
        <f>IFERROR(__xludf.DUMMYFUNCTION("""COMPUTED_VALUE"""),2.0)</f>
        <v>2</v>
      </c>
      <c r="G722" s="17" t="str">
        <f>IFERROR(__xludf.DUMMYFUNCTION("""COMPUTED_VALUE"""),"Sabun batang 1 Box ( 2 PCS )")</f>
        <v>Sabun batang 1 Box ( 2 PCS )</v>
      </c>
      <c r="H722" s="463" t="str">
        <f>IFERROR(__xludf.DUMMYFUNCTION("""COMPUTED_VALUE"""),"Sampai")</f>
        <v>Sampai</v>
      </c>
      <c r="I722" s="464" t="str">
        <f>IFERROR(__xludf.DUMMYFUNCTION("""COMPUTED_VALUE"""),"KIMME")</f>
        <v>KIMME</v>
      </c>
      <c r="J722" s="279" t="str">
        <f>IFERROR(__xludf.DUMMYFUNCTION("""COMPUTED_VALUE"""),"https://www.tiktok.com/@rekaamalia99/video/7629960459575250196?_r=1&amp;u_code=dalid5fmdelf64&amp;region=&amp;mid=7485847719690242065&amp;preview_pb=0&amp;sharer_language=&amp;_d=0&amp;ec_shared_reflux_dynamic_params=%7B%22placeholder_material_id%22%3A%227629960459575250196%22%2C%22"&amp;"placeholder_origin_cover%22%3A%22https%253A%252F%252Fp16-common-sign.tiktokcdn.com%252Ftos-alisg-p-0037%252Foo4GBRDrBfHbeOYMxVFeAetQANvpGnAEjjYQtg~tplv-tiktokx-origin.jpeg%253Fdr%253D14572%2526refresh_token%253D20a19bbe%2526x-expires%253D1808204400%2526x-"&amp;"signature%253DagAdjX9qF%25252FJGhYYPjPvyF7NN2eE%25253D%2526t%253D4d5b0474%2526ps%253D13740610%2526shp%253Dd05b14bd%2526shcp%253D34ff8df6%2526idc%253Dmy3%2526s%253DTIKTOK_AFFILIATE_VIRAL_VIDEO%22%2C%22placeholder_product_id%22%3A%221729427766722726591%22%2"&amp;"C%22placeholder_video_id%22%3A%227629960459575250196%22%7D&amp;ec_shared_reflux_scene=shop_tab_feed&amp;share_item_id=7629960459575250196&amp;source=h5_t")</f>
        <v>https://www.tiktok.com/@rekaamalia99/video/7629960459575250196?_r=1&amp;u_code=dalid5fmdelf64&amp;region=&amp;mid=7485847719690242065&amp;preview_pb=0&amp;sharer_language=&amp;_d=0&amp;ec_shared_reflux_dynamic_params=%7B%22placeholder_material_id%22%3A%227629960459575250196%22%2C%22placeholder_origin_cover%22%3A%22https%253A%252F%252Fp16-common-sign.tiktokcdn.com%252Ftos-alisg-p-0037%252Foo4GBRDrBfHbeOYMxVFeAetQANvpGnAEjjYQtg~tplv-tiktokx-origin.jpeg%253Fdr%253D14572%2526refresh_token%253D20a19bbe%2526x-expires%253D1808204400%2526x-signature%253DagAdjX9qF%25252FJGhYYPjPvyF7NN2eE%25253D%2526t%253D4d5b0474%2526ps%253D13740610%2526shp%253Dd05b14bd%2526shcp%253D34ff8df6%2526idc%253Dmy3%2526s%253DTIKTOK_AFFILIATE_VIRAL_VIDEO%22%2C%22placeholder_product_id%22%3A%221729427766722726591%22%2C%22placeholder_video_id%22%3A%227629960459575250196%22%7D&amp;ec_shared_reflux_scene=shop_tab_feed&amp;share_item_id=7629960459575250196&amp;source=h5_t</v>
      </c>
      <c r="K722" s="464" t="str">
        <f>IFERROR(__xludf.DUMMYFUNCTION("""COMPUTED_VALUE"""),"KIMME")</f>
        <v>KIMME</v>
      </c>
      <c r="L722" s="279" t="str">
        <f>IFERROR(__xludf.DUMMYFUNCTION("""COMPUTED_VALUE"""),"https://www.tiktok.com/@rekaamalia99/video/7631510171759660309?is_from_webapp=1&amp;sender_device=pc")</f>
        <v>https://www.tiktok.com/@rekaamalia99/video/7631510171759660309?is_from_webapp=1&amp;sender_device=pc</v>
      </c>
      <c r="M722" s="464"/>
      <c r="N722" s="279" t="str">
        <f>IFERROR(__xludf.DUMMYFUNCTION("""COMPUTED_VALUE"""),"https://www.tiktok.com/@ginafathonah_/video/7638288496570158356?_r=1&amp;u_code=dlhe22ikkib396&amp;region=&amp;mid=7553292329907342092&amp;preview_pb=0&amp;sharer_language=&amp;_d=0&amp;ec_shared_reflux_dynamic_params=%7B%22placeholder_material_id%22%3A%227638288496570158356%22%2C%2"&amp;"2placeholder_origin_cover%22%3A%22https%253A%252F%252Fp16-common-sign.tiktokcdn.com%252Ftos-alisg-p-0037%252FoIv8JilIBAAAiwDhDpEvMaYpa7AgIqgVHBXC2~tplv-tiktokx-origin.jpeg%253Fdr%253D14572%2526refresh_token%253Dd0d14afd%2526x-expires%253D1810198800%2526x-"&amp;"signature%253DND3z%25252FkOS2De28G2VmalkSAvT2iQ%25253D%2526t%253D4d5b0474%2526ps%253D13740610%2526shp%253Dd05b14bd%2526shcp%253D34ff8df6%2526idc%253Dmy2%2526s%253DTIKTOK_AFFILIATE_VIRAL_VIDEO%22%2C%22placeholder_product_id%22%3A%221729427766722726591%22%2"&amp;"C%22placeholder_video_id%22%3A%227638288496570158356%22%7D&amp;ec_shared_reflux_scene=shop_tab_feed&amp;share_item_id=7638288496570158356&amp;source=h5_t")</f>
        <v>https://www.tiktok.com/@ginafathonah_/video/7638288496570158356?_r=1&amp;u_code=dlhe22ikkib396&amp;region=&amp;mid=7553292329907342092&amp;preview_pb=0&amp;sharer_language=&amp;_d=0&amp;ec_shared_reflux_dynamic_params=%7B%22placeholder_material_id%22%3A%227638288496570158356%22%2C%22placeholder_origin_cover%22%3A%22https%253A%252F%252Fp16-common-sign.tiktokcdn.com%252Ftos-alisg-p-0037%252FoIv8JilIBAAAiwDhDpEvMaYpa7AgIqgVHBXC2~tplv-tiktokx-origin.jpeg%253Fdr%253D14572%2526refresh_token%253Dd0d14afd%2526x-expires%253D1810198800%2526x-signature%253DND3z%25252FkOS2De28G2VmalkSAvT2iQ%25253D%2526t%253D4d5b0474%2526ps%253D13740610%2526shp%253Dd05b14bd%2526shcp%253D34ff8df6%2526idc%253Dmy2%2526s%253DTIKTOK_AFFILIATE_VIRAL_VIDEO%22%2C%22placeholder_product_id%22%3A%221729427766722726591%22%2C%22placeholder_video_id%22%3A%227638288496570158356%22%7D&amp;ec_shared_reflux_scene=shop_tab_feed&amp;share_item_id=7638288496570158356&amp;source=h5_t</v>
      </c>
      <c r="O722" s="464"/>
      <c r="P722" s="279" t="str">
        <f>IFERROR(__xludf.DUMMYFUNCTION("""COMPUTED_VALUE"""),"https://www.tiktok.com/@ginafathonah_/video/7638285108121734420?_r=1&amp;u_code=dlhe22ikkib396&amp;region=&amp;mid=7636920040638057224&amp;preview_pb=0&amp;sharer_language=&amp;_d=0&amp;ec_shared_reflux_dynamic_params=%7B%22placeholder_material_id%22%3A%227638285108121734420%22%2C%2"&amp;"2placeholder_origin_cover%22%3A%22https%253A%252F%252Fp16-common-sign.tiktokcdn.com%252Ftos-alisg-p-0037%252FoALAFI8WA61Aoa2o4ViWAiACIA9BiwHqGIf8nX~tplv-tiktokx-origin.jpeg%253Fdr%253D14572%2526refresh_token%253D8261084e%2526x-expires%253D1810198800%2526x"&amp;"-signature%253DgUMLBbkIQMNYKh8yU0lk5pUUNwY%25253D%2526t%253D4d5b0474%2526ps%253D13740610%2526shp%253Dd05b14bd%2526shcp%253D34ff8df6%2526idc%253Dmy2%2526s%253DTIKTOK_AFFILIATE_VIRAL_VIDEO%22%2C%22placeholder_product_id%22%3A%221729427766722726591%22%2C%22p"&amp;"laceholder_video_id%22%3A%227638285108121734420%22%7D&amp;ec_shared_reflux_scene=shop_tab_feed&amp;share_item_id=7638285108121734420&amp;source=h5_t")</f>
        <v>https://www.tiktok.com/@ginafathonah_/video/7638285108121734420?_r=1&amp;u_code=dlhe22ikkib396&amp;region=&amp;mid=7636920040638057224&amp;preview_pb=0&amp;sharer_language=&amp;_d=0&amp;ec_shared_reflux_dynamic_params=%7B%22placeholder_material_id%22%3A%227638285108121734420%22%2C%22placeholder_origin_cover%22%3A%22https%253A%252F%252Fp16-common-sign.tiktokcdn.com%252Ftos-alisg-p-0037%252FoALAFI8WA61Aoa2o4ViWAiACIA9BiwHqGIf8nX~tplv-tiktokx-origin.jpeg%253Fdr%253D14572%2526refresh_token%253D8261084e%2526x-expires%253D1810198800%2526x-signature%253DgUMLBbkIQMNYKh8yU0lk5pUUNwY%25253D%2526t%253D4d5b0474%2526ps%253D13740610%2526shp%253Dd05b14bd%2526shcp%253D34ff8df6%2526idc%253Dmy2%2526s%253DTIKTOK_AFFILIATE_VIRAL_VIDEO%22%2C%22placeholder_product_id%22%3A%221729427766722726591%22%2C%22placeholder_video_id%22%3A%227638285108121734420%22%7D&amp;ec_shared_reflux_scene=shop_tab_feed&amp;share_item_id=7638285108121734420&amp;source=h5_t</v>
      </c>
    </row>
    <row r="723">
      <c r="A723" s="255" t="str">
        <f>IFERROR(__xludf.DUMMYFUNCTION("""COMPUTED_VALUE"""),"MICRO")</f>
        <v>MICRO</v>
      </c>
      <c r="B723" s="361" t="str">
        <f>IFERROR(__xludf.DUMMYFUNCTION("""COMPUTED_VALUE"""),"grosir_kosmeticjkt")</f>
        <v>grosir_kosmeticjkt</v>
      </c>
      <c r="C723" s="257" t="str">
        <f>IFERROR(__xludf.DUMMYFUNCTION("""COMPUTED_VALUE"""),"https://www.tiktok.com/@grosir_kosmeticjkt")</f>
        <v>https://www.tiktok.com/@grosir_kosmeticjkt</v>
      </c>
      <c r="D723" s="270">
        <f>IFERROR(__xludf.DUMMYFUNCTION("""COMPUTED_VALUE"""),8.2280991841E10)</f>
        <v>82280991841</v>
      </c>
      <c r="E723" s="457">
        <f>IFERROR(__xludf.DUMMYFUNCTION("""COMPUTED_VALUE"""),0.0)</f>
        <v>0</v>
      </c>
      <c r="F723" s="270">
        <f>IFERROR(__xludf.DUMMYFUNCTION("""COMPUTED_VALUE"""),4.0)</f>
        <v>4</v>
      </c>
      <c r="G723" s="17" t="str">
        <f>IFERROR(__xludf.DUMMYFUNCTION("""COMPUTED_VALUE"""),"Sabun batang 1 Box ( 2 PCS )")</f>
        <v>Sabun batang 1 Box ( 2 PCS )</v>
      </c>
      <c r="H723" s="463" t="str">
        <f>IFERROR(__xludf.DUMMYFUNCTION("""COMPUTED_VALUE"""),"Sampai")</f>
        <v>Sampai</v>
      </c>
      <c r="I723" s="464" t="str">
        <f>IFERROR(__xludf.DUMMYFUNCTION("""COMPUTED_VALUE"""),"KIMME")</f>
        <v>KIMME</v>
      </c>
      <c r="J723" s="279" t="str">
        <f>IFERROR(__xludf.DUMMYFUNCTION("""COMPUTED_VALUE"""),"https://vt.tiktok.com/ZS9DmfgMw/")</f>
        <v>https://vt.tiktok.com/ZS9DmfgMw/</v>
      </c>
      <c r="K723" s="464" t="str">
        <f>IFERROR(__xludf.DUMMYFUNCTION("""COMPUTED_VALUE"""),"KIMME")</f>
        <v>KIMME</v>
      </c>
      <c r="L723" s="279" t="str">
        <f>IFERROR(__xludf.DUMMYFUNCTION("""COMPUTED_VALUE"""),"https://www.tiktok.com/@rindi.afrilia/video/7631976985035689237?_r=1&amp;u_code=dja890i3j90f3j&amp;region=&amp;mid=7615874061603719953&amp;preview_pb=0&amp;sharer_language=&amp;_d=0&amp;ec_shared_reflux_dynamic_params=%7B%22placeholder_material_id%22%3A%227631976985035689237%22%2C%2"&amp;"2placeholder_origin_cover%22%3A%22https%253A%252F%252Fp16-common-sign.tiktokcdn.com%252Ftos-alisg-p-0037%252Fo4jpBqspEgqF5jOAWgPI6eqIRpZTDBCwEfxI1c~tplv-tiktokx-origin.jpeg%253Fdr%253D14572%2526refresh_token%253D2b9abf90%2526x-expires%253D1810202400%2526x"&amp;"-signature%253D%25252FTHygJDv7HYc24CvbAstJxm6%25252Bn0%25253D%2526t%253D4d5b0474%2526ps%253D13740610%2526shp%253Dd05b14bd%2526shcp%253D34ff8df6%2526idc%253Dmy2%2526s%253DTIKTOK_AFFILIATE_VIRAL_VIDEO%22%2C%22placeholder_product_id%22%3A%2217294277667227265"&amp;"91%22%2C%22placeholder_video_id%22%3A%227631976985035689237%22%7D&amp;ec_shared_reflux_scene=shop_tab_feed&amp;share_item_id=7631976985035689237&amp;source=h5_t")</f>
        <v>https://www.tiktok.com/@rindi.afrilia/video/7631976985035689237?_r=1&amp;u_code=dja890i3j90f3j&amp;region=&amp;mid=7615874061603719953&amp;preview_pb=0&amp;sharer_language=&amp;_d=0&amp;ec_shared_reflux_dynamic_params=%7B%22placeholder_material_id%22%3A%227631976985035689237%22%2C%22placeholder_origin_cover%22%3A%22https%253A%252F%252Fp16-common-sign.tiktokcdn.com%252Ftos-alisg-p-0037%252Fo4jpBqspEgqF5jOAWgPI6eqIRpZTDBCwEfxI1c~tplv-tiktokx-origin.jpeg%253Fdr%253D14572%2526refresh_token%253D2b9abf90%2526x-expires%253D1810202400%2526x-signature%253D%25252FTHygJDv7HYc24CvbAstJxm6%25252Bn0%25253D%2526t%253D4d5b0474%2526ps%253D13740610%2526shp%253Dd05b14bd%2526shcp%253D34ff8df6%2526idc%253Dmy2%2526s%253DTIKTOK_AFFILIATE_VIRAL_VIDEO%22%2C%22placeholder_product_id%22%3A%221729427766722726591%22%2C%22placeholder_video_id%22%3A%227631976985035689237%22%7D&amp;ec_shared_reflux_scene=shop_tab_feed&amp;share_item_id=7631976985035689237&amp;source=h5_t</v>
      </c>
      <c r="M723" s="464"/>
      <c r="N723" s="279" t="str">
        <f>IFERROR(__xludf.DUMMYFUNCTION("""COMPUTED_VALUE"""),"https://www.tiktok.com/@ginafathonah_/video/7638285605557816596?_r=1&amp;u_code=dlhe22ikkib396&amp;region=&amp;mid=7636983236326804231&amp;preview_pb=0&amp;sharer_language=&amp;_d=0&amp;ec_shared_reflux_dynamic_params=%7B%22placeholder_material_id%22%3A%227638285605557816596%22%2C%2"&amp;"2placeholder_origin_cover%22%3A%22https%253A%252F%252Fp19-common-sign.tiktokcdn.com%252Ftos-alisg-p-0037%252FoQM6TQABeQpAxXCRfQb84RFFa5fCFGAeAoQoAG~tplv-tiktokx-origin.jpeg%253Fdr%253D14572%2526refresh_token%253D6e984adc%2526x-expires%253D1810198800%2526x"&amp;"-signature%253DmDfkZ%25252Bk%25252FawRucN9fDuDZ2EfGYbI%25253D%2526t%253D4d5b0474%2526ps%253D13740610%2526shp%253Dd05b14bd%2526shcp%253D34ff8df6%2526idc%253Dmy2%2526s%253DTIKTOK_AFFILIATE_VIRAL_VIDEO%22%2C%22placeholder_product_id%22%3A%2217294277667227265"&amp;"91%22%2C%22placeholder_video_id%22%3A%227638285605557816596%22%7D&amp;ec_shared_reflux_scene=shop_tab_feed&amp;share_item_id=7638285605557816596&amp;source=h5_t")</f>
        <v>https://www.tiktok.com/@ginafathonah_/video/7638285605557816596?_r=1&amp;u_code=dlhe22ikkib396&amp;region=&amp;mid=7636983236326804231&amp;preview_pb=0&amp;sharer_language=&amp;_d=0&amp;ec_shared_reflux_dynamic_params=%7B%22placeholder_material_id%22%3A%227638285605557816596%22%2C%22placeholder_origin_cover%22%3A%22https%253A%252F%252Fp19-common-sign.tiktokcdn.com%252Ftos-alisg-p-0037%252FoQM6TQABeQpAxXCRfQb84RFFa5fCFGAeAoQoAG~tplv-tiktokx-origin.jpeg%253Fdr%253D14572%2526refresh_token%253D6e984adc%2526x-expires%253D1810198800%2526x-signature%253DmDfkZ%25252Bk%25252FawRucN9fDuDZ2EfGYbI%25253D%2526t%253D4d5b0474%2526ps%253D13740610%2526shp%253Dd05b14bd%2526shcp%253D34ff8df6%2526idc%253Dmy2%2526s%253DTIKTOK_AFFILIATE_VIRAL_VIDEO%22%2C%22placeholder_product_id%22%3A%221729427766722726591%22%2C%22placeholder_video_id%22%3A%227638285605557816596%22%7D&amp;ec_shared_reflux_scene=shop_tab_feed&amp;share_item_id=7638285605557816596&amp;source=h5_t</v>
      </c>
      <c r="O723" s="464"/>
      <c r="P723" s="279" t="str">
        <f>IFERROR(__xludf.DUMMYFUNCTION("""COMPUTED_VALUE"""),"https://www.tiktok.com/@ginafathonah_/video/7638205412009020692?_r=1&amp;u_code=dlhe22ikkib396&amp;region=&amp;mid=7633007995021970183&amp;preview_pb=0&amp;sharer_language=&amp;_d=0&amp;ec_shared_reflux_dynamic_params=%7B%22placeholder_material_id%22%3A%227638205412009020692%22%2C%2"&amp;"2placeholder_origin_cover%22%3A%22https%253A%252F%252Fp16-common-sign.tiktokcdn.com%252Ftos-alisg-p-0037%252FoULPEDAERcBfTq8XWgBFsIYAIAfqrwD9vF2BFB~tplv-tiktokx-origin.jpeg%253Fdr%253D14572%2526refresh_token%253D548bb1e2%2526x-expires%253D1810198800%2526x"&amp;"-signature%253DLsikdCW65WepstkcVvV75biEbGo%25253D%2526t%253D4d5b0474%2526ps%253D13740610%2526shp%253Dd05b14bd%2526shcp%253D34ff8df6%2526idc%253Dmy2%2526s%253DTIKTOK_AFFILIATE_VIRAL_VIDEO%22%2C%22placeholder_product_id%22%3A%221729427766722726591%22%2C%22p"&amp;"laceholder_video_id%22%3A%227638205412009020692%22%7D&amp;ec_shared_reflux_scene=shop_tab_feed&amp;share_item_id=7638205412009020692&amp;source=h5_t")</f>
        <v>https://www.tiktok.com/@ginafathonah_/video/7638205412009020692?_r=1&amp;u_code=dlhe22ikkib396&amp;region=&amp;mid=7633007995021970183&amp;preview_pb=0&amp;sharer_language=&amp;_d=0&amp;ec_shared_reflux_dynamic_params=%7B%22placeholder_material_id%22%3A%227638205412009020692%22%2C%22placeholder_origin_cover%22%3A%22https%253A%252F%252Fp16-common-sign.tiktokcdn.com%252Ftos-alisg-p-0037%252FoULPEDAERcBfTq8XWgBFsIYAIAfqrwD9vF2BFB~tplv-tiktokx-origin.jpeg%253Fdr%253D14572%2526refresh_token%253D548bb1e2%2526x-expires%253D1810198800%2526x-signature%253DLsikdCW65WepstkcVvV75biEbGo%25253D%2526t%253D4d5b0474%2526ps%253D13740610%2526shp%253Dd05b14bd%2526shcp%253D34ff8df6%2526idc%253Dmy2%2526s%253DTIKTOK_AFFILIATE_VIRAL_VIDEO%22%2C%22placeholder_product_id%22%3A%221729427766722726591%22%2C%22placeholder_video_id%22%3A%227638205412009020692%22%7D&amp;ec_shared_reflux_scene=shop_tab_feed&amp;share_item_id=7638205412009020692&amp;source=h5_t</v>
      </c>
    </row>
    <row r="724">
      <c r="A724" s="255" t="str">
        <f>IFERROR(__xludf.DUMMYFUNCTION("""COMPUTED_VALUE"""),"MICRO")</f>
        <v>MICRO</v>
      </c>
      <c r="B724" s="361" t="str">
        <f>IFERROR(__xludf.DUMMYFUNCTION("""COMPUTED_VALUE"""),"thia.id
")</f>
        <v>thia.id
</v>
      </c>
      <c r="C724" s="257" t="str">
        <f>IFERROR(__xludf.DUMMYFUNCTION("""COMPUTED_VALUE"""),"https://www.tiktok.com/@thia.id
")</f>
        <v>https://www.tiktok.com/@thia.id
</v>
      </c>
      <c r="D724" s="270">
        <f>IFERROR(__xludf.DUMMYFUNCTION("""COMPUTED_VALUE"""),8.7884849953E10)</f>
        <v>87884849953</v>
      </c>
      <c r="E724" s="457">
        <f>IFERROR(__xludf.DUMMYFUNCTION("""COMPUTED_VALUE"""),150000.0)</f>
        <v>150000</v>
      </c>
      <c r="F724" s="270">
        <f>IFERROR(__xludf.DUMMYFUNCTION("""COMPUTED_VALUE"""),1.0)</f>
        <v>1</v>
      </c>
      <c r="G724" s="17" t="str">
        <f>IFERROR(__xludf.DUMMYFUNCTION("""COMPUTED_VALUE"""),"Sabun batang 1 Box ( 2 PCS )")</f>
        <v>Sabun batang 1 Box ( 2 PCS )</v>
      </c>
      <c r="H724" s="463" t="str">
        <f>IFERROR(__xludf.DUMMYFUNCTION("""COMPUTED_VALUE"""),"Sampai")</f>
        <v>Sampai</v>
      </c>
      <c r="I724" s="464" t="str">
        <f>IFERROR(__xludf.DUMMYFUNCTION("""COMPUTED_VALUE"""),"KIMME")</f>
        <v>KIMME</v>
      </c>
      <c r="J724" s="279" t="str">
        <f>IFERROR(__xludf.DUMMYFUNCTION("""COMPUTED_VALUE"""),"https://www.tiktok.com/@thia.id/video/7629201756563541268?is_from_webapp=1&amp;sender_device=pc")</f>
        <v>https://www.tiktok.com/@thia.id/video/7629201756563541268?is_from_webapp=1&amp;sender_device=pc</v>
      </c>
      <c r="K724" s="464" t="str">
        <f>IFERROR(__xludf.DUMMYFUNCTION("""COMPUTED_VALUE"""),"KIMME")</f>
        <v>KIMME</v>
      </c>
      <c r="L724" s="279" t="str">
        <f>IFERROR(__xludf.DUMMYFUNCTION("""COMPUTED_VALUE"""),"https://www.tiktok.com/@ginafathonah_/video/7637903410204904725?_r=1&amp;u_code=dlhe22ikkib396&amp;region=&amp;mid=7453175037078752006&amp;preview_pb=0&amp;sharer_language=&amp;_d=0&amp;ec_shared_reflux_dynamic_params=%7B%22placeholder_material_id%22%3A%227637903410204904725%22%2C%2"&amp;"2placeholder_origin_cover%22%3A%22https%253A%252F%252Fp16-common-sign.tiktokcdn.com%252Ftos-alisg-p-0037%252Fo0Gf6npFvzCIRHLGMHQB0oAwuSAeyRCf8HfQLG~tplv-tiktokx-origin.jpeg%253Fdr%253D14572%2526refresh_token%253D3ee44fb4%2526x-expires%253D1810198800%2526x"&amp;"-signature%253Du37Xs%25252BCKA3p6XhSya%25252FA1yNghV3U%25253D%2526t%253D4d5b0474%2526ps%253D13740610%2526shp%253Dd05b14bd%2526shcp%253D34ff8df6%2526idc%253Dmy2%2526s%253DTIKTOK_AFFILIATE_VIRAL_VIDEO%22%2C%22placeholder_product_id%22%3A%2217294277667227265"&amp;"91%22%2C%22placeholder_video_id%22%3A%227637903410204904725%22%7D&amp;ec_shared_reflux_scene=shop_tab_feed&amp;share_item_id=7637903410204904725&amp;source=h5_t")</f>
        <v>https://www.tiktok.com/@ginafathonah_/video/7637903410204904725?_r=1&amp;u_code=dlhe22ikkib396&amp;region=&amp;mid=7453175037078752006&amp;preview_pb=0&amp;sharer_language=&amp;_d=0&amp;ec_shared_reflux_dynamic_params=%7B%22placeholder_material_id%22%3A%227637903410204904725%22%2C%22placeholder_origin_cover%22%3A%22https%253A%252F%252Fp16-common-sign.tiktokcdn.com%252Ftos-alisg-p-0037%252Fo0Gf6npFvzCIRHLGMHQB0oAwuSAeyRCf8HfQLG~tplv-tiktokx-origin.jpeg%253Fdr%253D14572%2526refresh_token%253D3ee44fb4%2526x-expires%253D1810198800%2526x-signature%253Du37Xs%25252BCKA3p6XhSya%25252FA1yNghV3U%25253D%2526t%253D4d5b0474%2526ps%253D13740610%2526shp%253Dd05b14bd%2526shcp%253D34ff8df6%2526idc%253Dmy2%2526s%253DTIKTOK_AFFILIATE_VIRAL_VIDEO%22%2C%22placeholder_product_id%22%3A%221729427766722726591%22%2C%22placeholder_video_id%22%3A%227637903410204904725%22%7D&amp;ec_shared_reflux_scene=shop_tab_feed&amp;share_item_id=7637903410204904725&amp;source=h5_t</v>
      </c>
      <c r="M724" s="464"/>
      <c r="N724" s="279" t="str">
        <f>IFERROR(__xludf.DUMMYFUNCTION("""COMPUTED_VALUE"""),"https://www.tiktok.com/@ginafathonah_/video/7637874901390544149?_r=1&amp;u_code=dlhe22ikkib396&amp;region=&amp;mid=7636228810144271112&amp;preview_pb=0&amp;sharer_language=&amp;_d=0&amp;ec_shared_reflux_dynamic_params=%7B%22placeholder_material_id%22%3A%227637874901390544149%22%2C%2"&amp;"2placeholder_origin_cover%22%3A%22https%253A%252F%252Fp16-common-sign.tiktokcdn.com%252Ftos-alisg-p-0037%252FoAzDg3TQf2sDMC4LAS4syfEHFIAjnCftiyBsEQ~tplv-tiktokx-origin.jpeg%253Fdr%253D14572%2526refresh_token%253D7a70c26f%2526x-expires%253D1810198800%2526x"&amp;"-signature%253DrTShNil4WxGEnRAO57iPIbFSn%25252FY%25253D%2526t%253D4d5b0474%2526ps%253D13740610%2526shp%253Dd05b14bd%2526shcp%253D34ff8df6%2526idc%253Dmy2%2526s%253DTIKTOK_AFFILIATE_VIRAL_VIDEO%22%2C%22placeholder_product_id%22%3A%221729427766722726591%22%"&amp;"2C%22placeholder_video_id%22%3A%227637874901390544149%22%7D&amp;ec_shared_reflux_scene=shop_tab_feed&amp;share_item_id=7637874901390544149&amp;source=h5_t")</f>
        <v>https://www.tiktok.com/@ginafathonah_/video/7637874901390544149?_r=1&amp;u_code=dlhe22ikkib396&amp;region=&amp;mid=7636228810144271112&amp;preview_pb=0&amp;sharer_language=&amp;_d=0&amp;ec_shared_reflux_dynamic_params=%7B%22placeholder_material_id%22%3A%227637874901390544149%22%2C%22placeholder_origin_cover%22%3A%22https%253A%252F%252Fp16-common-sign.tiktokcdn.com%252Ftos-alisg-p-0037%252FoAzDg3TQf2sDMC4LAS4syfEHFIAjnCftiyBsEQ~tplv-tiktokx-origin.jpeg%253Fdr%253D14572%2526refresh_token%253D7a70c26f%2526x-expires%253D1810198800%2526x-signature%253DrTShNil4WxGEnRAO57iPIbFSn%25252FY%25253D%2526t%253D4d5b0474%2526ps%253D13740610%2526shp%253Dd05b14bd%2526shcp%253D34ff8df6%2526idc%253Dmy2%2526s%253DTIKTOK_AFFILIATE_VIRAL_VIDEO%22%2C%22placeholder_product_id%22%3A%221729427766722726591%22%2C%22placeholder_video_id%22%3A%227637874901390544149%22%7D&amp;ec_shared_reflux_scene=shop_tab_feed&amp;share_item_id=7637874901390544149&amp;source=h5_t</v>
      </c>
      <c r="O724" s="464"/>
      <c r="P724" s="279" t="str">
        <f>IFERROR(__xludf.DUMMYFUNCTION("""COMPUTED_VALUE"""),"https://www.tiktok.com/@ginafathonah_/video/7637810924719475989?_r=1&amp;u_code=dlhe22ikkib396&amp;region=&amp;mid=7633007995021970183&amp;preview_pb=0&amp;sharer_language=&amp;_d=0&amp;ec_shared_reflux_dynamic_params=%7B%22placeholder_material_id%22%3A%227637810924719475989%22%2C%2"&amp;"2placeholder_origin_cover%22%3A%22https%253A%252F%252Fp19-common-sign.tiktokcdn.com%252Ftos-alisg-p-0037%252FoQ3QAkeQS9I9MrPWfWeti0Q5eMeJ8lAuNBLang~tplv-tiktokx-origin.jpeg%253Fdr%253D14572%2526refresh_token%253D0442a1b1%2526x-expires%253D1810198800%2526x"&amp;"-signature%253DV%25252FimuCGiaLyT9VBSIhI8BeymZf8%25253D%2526t%253D4d5b0474%2526ps%253D13740610%2526shp%253Dd05b14bd%2526shcp%253D34ff8df6%2526idc%253Dmy2%2526s%253DTIKTOK_AFFILIATE_VIRAL_VIDEO%22%2C%22placeholder_product_id%22%3A%221729427766722726591%22%"&amp;"2C%22placeholder_video_id%22%3A%227637810924719475989%22%7D&amp;ec_shared_reflux_scene=shop_tab_feed&amp;share_item_id=7637810924719475989&amp;source=h5_t")</f>
        <v>https://www.tiktok.com/@ginafathonah_/video/7637810924719475989?_r=1&amp;u_code=dlhe22ikkib396&amp;region=&amp;mid=7633007995021970183&amp;preview_pb=0&amp;sharer_language=&amp;_d=0&amp;ec_shared_reflux_dynamic_params=%7B%22placeholder_material_id%22%3A%227637810924719475989%22%2C%22placeholder_origin_cover%22%3A%22https%253A%252F%252Fp19-common-sign.tiktokcdn.com%252Ftos-alisg-p-0037%252FoQ3QAkeQS9I9MrPWfWeti0Q5eMeJ8lAuNBLang~tplv-tiktokx-origin.jpeg%253Fdr%253D14572%2526refresh_token%253D0442a1b1%2526x-expires%253D1810198800%2526x-signature%253DV%25252FimuCGiaLyT9VBSIhI8BeymZf8%25253D%2526t%253D4d5b0474%2526ps%253D13740610%2526shp%253Dd05b14bd%2526shcp%253D34ff8df6%2526idc%253Dmy2%2526s%253DTIKTOK_AFFILIATE_VIRAL_VIDEO%22%2C%22placeholder_product_id%22%3A%221729427766722726591%22%2C%22placeholder_video_id%22%3A%227637810924719475989%22%7D&amp;ec_shared_reflux_scene=shop_tab_feed&amp;share_item_id=7637810924719475989&amp;source=h5_t</v>
      </c>
    </row>
    <row r="725">
      <c r="A725" s="255" t="str">
        <f>IFERROR(__xludf.DUMMYFUNCTION("""COMPUTED_VALUE"""),"MICRO")</f>
        <v>MICRO</v>
      </c>
      <c r="B725" s="361" t="str">
        <f>IFERROR(__xludf.DUMMYFUNCTION("""COMPUTED_VALUE"""),"glowar7")</f>
        <v>glowar7</v>
      </c>
      <c r="C725" s="257" t="str">
        <f>IFERROR(__xludf.DUMMYFUNCTION("""COMPUTED_VALUE"""),"https://www.tiktok.com/@glowar7")</f>
        <v>https://www.tiktok.com/@glowar7</v>
      </c>
      <c r="D725" s="270">
        <f>IFERROR(__xludf.DUMMYFUNCTION("""COMPUTED_VALUE"""),8.3104598559E10)</f>
        <v>83104598559</v>
      </c>
      <c r="E725" s="457">
        <f>IFERROR(__xludf.DUMMYFUNCTION("""COMPUTED_VALUE"""),0.0)</f>
        <v>0</v>
      </c>
      <c r="F725" s="270">
        <f>IFERROR(__xludf.DUMMYFUNCTION("""COMPUTED_VALUE"""),2.0)</f>
        <v>2</v>
      </c>
      <c r="G725" s="17" t="str">
        <f>IFERROR(__xludf.DUMMYFUNCTION("""COMPUTED_VALUE"""),"Sabun batang 1 Box ( 2 PCS )")</f>
        <v>Sabun batang 1 Box ( 2 PCS )</v>
      </c>
      <c r="H725" s="463" t="str">
        <f>IFERROR(__xludf.DUMMYFUNCTION("""COMPUTED_VALUE"""),"Sampai")</f>
        <v>Sampai</v>
      </c>
      <c r="I725" s="464" t="str">
        <f>IFERROR(__xludf.DUMMYFUNCTION("""COMPUTED_VALUE"""),"KIMME")</f>
        <v>KIMME</v>
      </c>
      <c r="J725" s="279" t="str">
        <f>IFERROR(__xludf.DUMMYFUNCTION("""COMPUTED_VALUE"""),"https://www.tiktok.com/@glowar7/video/7629145343665425685?_r=1&amp;u_code=egk8hf6dccc1f4&amp;region=&amp;mid=7629145374494313234&amp;preview_pb=0&amp;sharer_language=&amp;_d=0&amp;ec_shared_reflux_dynamic_params=%7B%22placeholder_material_id%22%3A%227629145343665425685%22%2C%22place"&amp;"holder_origin_cover%22%3A%22https%253A%252F%252Fp16-sign-sg.tiktokcdn.com%252Ftos-alisg-p-0037%252Fo8ADgLqbZwo0GKVpjexCF9I4AoIkDfegLTEjgY~tplv-tiktokx-origin.jpeg%253Fdr%253D14572%2526refresh_token%253D2ef051a2%2526x-expires%253D1808204400%2526x-signature"&amp;"%253DOzI2rAerQ6Y42DTcMHa54Mv4mdI%25253D%2526t%253D4d5b0474%2526ps%253D13740610%2526shp%253Dd05b14bd%2526shcp%253D34ff8df6%2526idc%253Dmy3%2526s%253DTIKTOK_AFFILIATE_VIRAL_VIDEO%22%2C%22placeholder_product_id%22%3A%221729427766722726591%22%2C%22placeholder"&amp;"_video_id%22%3A%227629145343665425685%22%7D&amp;ec_shared_reflux_scene=shop_tab_feed&amp;share_item_id=7629145343665425685&amp;source=h5_t")</f>
        <v>https://www.tiktok.com/@glowar7/video/7629145343665425685?_r=1&amp;u_code=egk8hf6dccc1f4&amp;region=&amp;mid=7629145374494313234&amp;preview_pb=0&amp;sharer_language=&amp;_d=0&amp;ec_shared_reflux_dynamic_params=%7B%22placeholder_material_id%22%3A%227629145343665425685%22%2C%22placeholder_origin_cover%22%3A%22https%253A%252F%252Fp16-sign-sg.tiktokcdn.com%252Ftos-alisg-p-0037%252Fo8ADgLqbZwo0GKVpjexCF9I4AoIkDfegLTEjgY~tplv-tiktokx-origin.jpeg%253Fdr%253D14572%2526refresh_token%253D2ef051a2%2526x-expires%253D1808204400%2526x-signature%253DOzI2rAerQ6Y42DTcMHa54Mv4mdI%25253D%2526t%253D4d5b0474%2526ps%253D13740610%2526shp%253Dd05b14bd%2526shcp%253D34ff8df6%2526idc%253Dmy3%2526s%253DTIKTOK_AFFILIATE_VIRAL_VIDEO%22%2C%22placeholder_product_id%22%3A%221729427766722726591%22%2C%22placeholder_video_id%22%3A%227629145343665425685%22%7D&amp;ec_shared_reflux_scene=shop_tab_feed&amp;share_item_id=7629145343665425685&amp;source=h5_t</v>
      </c>
      <c r="K725" s="464" t="str">
        <f>IFERROR(__xludf.DUMMYFUNCTION("""COMPUTED_VALUE"""),"KIMME")</f>
        <v>KIMME</v>
      </c>
      <c r="L725" s="279" t="str">
        <f>IFERROR(__xludf.DUMMYFUNCTION("""COMPUTED_VALUE"""),"https://vt.tiktok.com/ZS9RQGArm/")</f>
        <v>https://vt.tiktok.com/ZS9RQGArm/</v>
      </c>
      <c r="M725" s="464"/>
      <c r="N725" s="279" t="str">
        <f>IFERROR(__xludf.DUMMYFUNCTION("""COMPUTED_VALUE"""),"https://vt.tiktok.com/ZS9FG8nb9/")</f>
        <v>https://vt.tiktok.com/ZS9FG8nb9/</v>
      </c>
      <c r="O725" s="464"/>
      <c r="P725" s="279" t="str">
        <f>IFERROR(__xludf.DUMMYFUNCTION("""COMPUTED_VALUE"""),"https://www.tiktok.com/@ginafathonah_/video/7637762744036363540?_r=1&amp;u_code=dlhe22ikkib396&amp;region=&amp;mid=7632536758063909648&amp;preview_pb=0&amp;sharer_language=&amp;_d=0&amp;ec_shared_reflux_dynamic_params=%7B%22placeholder_material_id%22%3A%227637762744036363540%22%2C%2"&amp;"2placeholder_origin_cover%22%3A%22https%253A%252F%252Fp16-common-sign.tiktokcdn.com%252Ftos-alisg-p-0037%252FoYvDhMDjFvh6fyebLjlqACJIV5YQQ4BfATsLnE~tplv-tiktokx-origin.jpeg%253Fdr%253D14572%2526refresh_token%253Db7ea9ddf%2526x-expires%253D1810198800%2526x"&amp;"-signature%253DoH%25252FnCkyApwpXFxGOIxqtMGNnBRk%25253D%2526t%253D4d5b0474%2526ps%253D13740610%2526shp%253Dd05b14bd%2526shcp%253D34ff8df6%2526idc%253Dmy2%2526s%253DTIKTOK_AFFILIATE_VIRAL_VIDEO%22%2C%22placeholder_product_id%22%3A%221729427766722726591%22%"&amp;"2C%22placeholder_video_id%22%3A%227637762744036363540%22%7D&amp;ec_shared_reflux_scene=shop_tab_feed&amp;share_item_id=7637762744036363540&amp;source=h5_t")</f>
        <v>https://www.tiktok.com/@ginafathonah_/video/7637762744036363540?_r=1&amp;u_code=dlhe22ikkib396&amp;region=&amp;mid=7632536758063909648&amp;preview_pb=0&amp;sharer_language=&amp;_d=0&amp;ec_shared_reflux_dynamic_params=%7B%22placeholder_material_id%22%3A%227637762744036363540%22%2C%22placeholder_origin_cover%22%3A%22https%253A%252F%252Fp16-common-sign.tiktokcdn.com%252Ftos-alisg-p-0037%252FoYvDhMDjFvh6fyebLjlqACJIV5YQQ4BfATsLnE~tplv-tiktokx-origin.jpeg%253Fdr%253D14572%2526refresh_token%253Db7ea9ddf%2526x-expires%253D1810198800%2526x-signature%253DoH%25252FnCkyApwpXFxGOIxqtMGNnBRk%25253D%2526t%253D4d5b0474%2526ps%253D13740610%2526shp%253Dd05b14bd%2526shcp%253D34ff8df6%2526idc%253Dmy2%2526s%253DTIKTOK_AFFILIATE_VIRAL_VIDEO%22%2C%22placeholder_product_id%22%3A%221729427766722726591%22%2C%22placeholder_video_id%22%3A%227637762744036363540%22%7D&amp;ec_shared_reflux_scene=shop_tab_feed&amp;share_item_id=7637762744036363540&amp;source=h5_t</v>
      </c>
    </row>
    <row r="726">
      <c r="A726" s="255" t="str">
        <f>IFERROR(__xludf.DUMMYFUNCTION("""COMPUTED_VALUE"""),"MICRO")</f>
        <v>MICRO</v>
      </c>
      <c r="B726" s="361" t="str">
        <f>IFERROR(__xludf.DUMMYFUNCTION("""COMPUTED_VALUE"""),"126imey")</f>
        <v>126imey</v>
      </c>
      <c r="C726" s="257" t="str">
        <f>IFERROR(__xludf.DUMMYFUNCTION("""COMPUTED_VALUE"""),"https://www.tiktok.com/@126imey")</f>
        <v>https://www.tiktok.com/@126imey</v>
      </c>
      <c r="D726" s="270">
        <f>IFERROR(__xludf.DUMMYFUNCTION("""COMPUTED_VALUE"""),8.9613017066E10)</f>
        <v>89613017066</v>
      </c>
      <c r="E726" s="457">
        <f>IFERROR(__xludf.DUMMYFUNCTION("""COMPUTED_VALUE"""),0.0)</f>
        <v>0</v>
      </c>
      <c r="F726" s="270">
        <f>IFERROR(__xludf.DUMMYFUNCTION("""COMPUTED_VALUE"""),2.0)</f>
        <v>2</v>
      </c>
      <c r="G726" s="17" t="str">
        <f>IFERROR(__xludf.DUMMYFUNCTION("""COMPUTED_VALUE"""),"Sabun batang 1 Box ( 2 PCS )")</f>
        <v>Sabun batang 1 Box ( 2 PCS )</v>
      </c>
      <c r="H726" s="463" t="str">
        <f>IFERROR(__xludf.DUMMYFUNCTION("""COMPUTED_VALUE"""),"Sampai")</f>
        <v>Sampai</v>
      </c>
      <c r="I726" s="464" t="str">
        <f>IFERROR(__xludf.DUMMYFUNCTION("""COMPUTED_VALUE"""),"KIMME")</f>
        <v>KIMME</v>
      </c>
      <c r="J726" s="279" t="str">
        <f>IFERROR(__xludf.DUMMYFUNCTION("""COMPUTED_VALUE"""),"https://vt.tiktok.com/ZS9NPhpSh/")</f>
        <v>https://vt.tiktok.com/ZS9NPhpSh/</v>
      </c>
      <c r="K726" s="464" t="str">
        <f>IFERROR(__xludf.DUMMYFUNCTION("""COMPUTED_VALUE"""),"KIMME")</f>
        <v>KIMME</v>
      </c>
      <c r="L726" s="279" t="str">
        <f>IFERROR(__xludf.DUMMYFUNCTION("""COMPUTED_VALUE"""),"https://vt.tiktok.com/ZS9NP6s5p/")</f>
        <v>https://vt.tiktok.com/ZS9NP6s5p/</v>
      </c>
      <c r="M726" s="464"/>
      <c r="N726" s="279" t="str">
        <f>IFERROR(__xludf.DUMMYFUNCTION("""COMPUTED_VALUE"""),"https://www.tiktok.com/@ginafathonah_/video/7637520629482245397?_r=1&amp;u_code=dlhe22ikkib396&amp;region=&amp;mid=7615701288128318226&amp;preview_pb=0&amp;sharer_language=&amp;_d=0&amp;ec_shared_reflux_dynamic_params=%7B%22placeholder_material_id%22%3A%227637520629482245397%22%2C%2"&amp;"2placeholder_origin_cover%22%3A%22https%253A%252F%252Fp16-common-sign.tiktokcdn.com%252Ftos-alisg-p-0037%252FoAdzT2BvIiArI5AfmBiuI7CkAz3UvIM908JLwl~tplv-tiktokx-origin.jpeg%253Fdr%253D14572%2526refresh_token%253Daaa5977e%2526x-expires%253D1810198800%2526x"&amp;"-signature%253DQQLkRjada7Kd0MmsfbNOhltjdUw%25253D%2526t%253D4d5b0474%2526ps%253D13740610%2526shp%253Dd05b14bd%2526shcp%253D34ff8df6%2526idc%253Dmy2%2526s%253DTIKTOK_AFFILIATE_VIRAL_VIDEO%22%2C%22placeholder_product_id%22%3A%221729427766722726591%22%2C%22p"&amp;"laceholder_video_id%22%3A%227637520629482245397%22%7D&amp;ec_shared_reflux_scene=shop_tab_feed&amp;share_item_id=7637520629482245397&amp;source=h5_t")</f>
        <v>https://www.tiktok.com/@ginafathonah_/video/7637520629482245397?_r=1&amp;u_code=dlhe22ikkib396&amp;region=&amp;mid=7615701288128318226&amp;preview_pb=0&amp;sharer_language=&amp;_d=0&amp;ec_shared_reflux_dynamic_params=%7B%22placeholder_material_id%22%3A%227637520629482245397%22%2C%22placeholder_origin_cover%22%3A%22https%253A%252F%252Fp16-common-sign.tiktokcdn.com%252Ftos-alisg-p-0037%252FoAdzT2BvIiArI5AfmBiuI7CkAz3UvIM908JLwl~tplv-tiktokx-origin.jpeg%253Fdr%253D14572%2526refresh_token%253Daaa5977e%2526x-expires%253D1810198800%2526x-signature%253DQQLkRjada7Kd0MmsfbNOhltjdUw%25253D%2526t%253D4d5b0474%2526ps%253D13740610%2526shp%253Dd05b14bd%2526shcp%253D34ff8df6%2526idc%253Dmy2%2526s%253DTIKTOK_AFFILIATE_VIRAL_VIDEO%22%2C%22placeholder_product_id%22%3A%221729427766722726591%22%2C%22placeholder_video_id%22%3A%227637520629482245397%22%7D&amp;ec_shared_reflux_scene=shop_tab_feed&amp;share_item_id=7637520629482245397&amp;source=h5_t</v>
      </c>
      <c r="O726" s="464"/>
      <c r="P726" s="279" t="str">
        <f>IFERROR(__xludf.DUMMYFUNCTION("""COMPUTED_VALUE"""),"https://www.tiktok.com/@ginafathonah_/video/7637519035340524821?_r=1&amp;u_code=dlhe22ikkib396&amp;region=&amp;mid=7626251131778583316&amp;preview_pb=0&amp;sharer_language=&amp;_d=0&amp;ec_shared_reflux_dynamic_params=%7B%22placeholder_material_id%22%3A%227637519035340524821%22%2C%2"&amp;"2placeholder_origin_cover%22%3A%22https%253A%252F%252Fp16-common-sign.tiktokcdn.com%252Ftos-alisg-p-0037%252FogIm90uCOA39twI34NIA3iiAq6BNifAHFPWmyu~tplv-tiktokx-origin.jpeg%253Fdr%253D14572%2526refresh_token%253D46e63527%2526x-expires%253D1810198800%2526x"&amp;"-signature%253Dsketl0x1rZ97nhJTonmD8MJzXBQ%25253D%2526t%253D4d5b0474%2526ps%253D13740610%2526shp%253Dd05b14bd%2526shcp%253D34ff8df6%2526idc%253Dmy2%2526s%253DTIKTOK_AFFILIATE_VIRAL_VIDEO%22%2C%22placeholder_product_id%22%3A%221729427766722726591%22%2C%22p"&amp;"laceholder_video_id%22%3A%227637519035340524821%22%7D&amp;ec_shared_reflux_scene=shop_tab_feed&amp;share_item_id=7637519035340524821&amp;source=h5_t")</f>
        <v>https://www.tiktok.com/@ginafathonah_/video/7637519035340524821?_r=1&amp;u_code=dlhe22ikkib396&amp;region=&amp;mid=7626251131778583316&amp;preview_pb=0&amp;sharer_language=&amp;_d=0&amp;ec_shared_reflux_dynamic_params=%7B%22placeholder_material_id%22%3A%227637519035340524821%22%2C%22placeholder_origin_cover%22%3A%22https%253A%252F%252Fp16-common-sign.tiktokcdn.com%252Ftos-alisg-p-0037%252FogIm90uCOA39twI34NIA3iiAq6BNifAHFPWmyu~tplv-tiktokx-origin.jpeg%253Fdr%253D14572%2526refresh_token%253D46e63527%2526x-expires%253D1810198800%2526x-signature%253Dsketl0x1rZ97nhJTonmD8MJzXBQ%25253D%2526t%253D4d5b0474%2526ps%253D13740610%2526shp%253Dd05b14bd%2526shcp%253D34ff8df6%2526idc%253Dmy2%2526s%253DTIKTOK_AFFILIATE_VIRAL_VIDEO%22%2C%22placeholder_product_id%22%3A%221729427766722726591%22%2C%22placeholder_video_id%22%3A%227637519035340524821%22%7D&amp;ec_shared_reflux_scene=shop_tab_feed&amp;share_item_id=7637519035340524821&amp;source=h5_t</v>
      </c>
    </row>
    <row r="727">
      <c r="A727" s="255" t="str">
        <f>IFERROR(__xludf.DUMMYFUNCTION("""COMPUTED_VALUE"""),"MICRO")</f>
        <v>MICRO</v>
      </c>
      <c r="B727" s="361" t="str">
        <f>IFERROR(__xludf.DUMMYFUNCTION("""COMPUTED_VALUE"""),"sekarsembadra")</f>
        <v>sekarsembadra</v>
      </c>
      <c r="C727" s="257" t="str">
        <f>IFERROR(__xludf.DUMMYFUNCTION("""COMPUTED_VALUE"""),"https://www.tiktok.com/@sekarsembadra")</f>
        <v>https://www.tiktok.com/@sekarsembadra</v>
      </c>
      <c r="D727" s="270">
        <f>IFERROR(__xludf.DUMMYFUNCTION("""COMPUTED_VALUE"""),8.9502003477E10)</f>
        <v>89502003477</v>
      </c>
      <c r="E727" s="457">
        <f>IFERROR(__xludf.DUMMYFUNCTION("""COMPUTED_VALUE"""),0.0)</f>
        <v>0</v>
      </c>
      <c r="F727" s="270">
        <f>IFERROR(__xludf.DUMMYFUNCTION("""COMPUTED_VALUE"""),2.0)</f>
        <v>2</v>
      </c>
      <c r="G727" s="17" t="str">
        <f>IFERROR(__xludf.DUMMYFUNCTION("""COMPUTED_VALUE"""),"Sabun batang 1 Box ( 2 PCS )")</f>
        <v>Sabun batang 1 Box ( 2 PCS )</v>
      </c>
      <c r="H727" s="463" t="str">
        <f>IFERROR(__xludf.DUMMYFUNCTION("""COMPUTED_VALUE"""),"Sampai")</f>
        <v>Sampai</v>
      </c>
      <c r="I727" s="464" t="str">
        <f>IFERROR(__xludf.DUMMYFUNCTION("""COMPUTED_VALUE"""),"KIMME")</f>
        <v>KIMME</v>
      </c>
      <c r="J727" s="279" t="str">
        <f>IFERROR(__xludf.DUMMYFUNCTION("""COMPUTED_VALUE"""),"https://www.tiktok.com/@sekarsembadra/video/7630674095813987592")</f>
        <v>https://www.tiktok.com/@sekarsembadra/video/7630674095813987592</v>
      </c>
      <c r="K727" s="464" t="str">
        <f>IFERROR(__xludf.DUMMYFUNCTION("""COMPUTED_VALUE"""),"KIMME")</f>
        <v>KIMME</v>
      </c>
      <c r="L727" s="279" t="str">
        <f>IFERROR(__xludf.DUMMYFUNCTION("""COMPUTED_VALUE"""),"https://www.tiktok.com/@ginafathonah_/video/7637519671436119316?_r=1&amp;u_code=dlhe22ikkib396&amp;region=&amp;mid=7634506985177762580&amp;preview_pb=0&amp;sharer_language=&amp;_d=0&amp;ec_shared_reflux_dynamic_params=%7B%22placeholder_material_id%22%3A%227637519671436119316%22%2C%2"&amp;"2placeholder_origin_cover%22%3A%22https%253A%252F%252Fp16-common-sign.tiktokcdn.com%252Ftos-alisg-p-0037%252FowAB9itVrfG7B6HFIv0A3RC2wuiqA7HIE0vXIw~tplv-tiktokx-origin.jpeg%253Fdr%253D14572%2526refresh_token%253D2a300ebc%2526x-expires%253D1810198800%2526x"&amp;"-signature%253DWF2bjmV6kreNqw5TGcIzQy5GIIo%25253D%2526t%253D4d5b0474%2526ps%253D13740610%2526shp%253Dd05b14bd%2526shcp%253D34ff8df6%2526idc%253Dmy2%2526s%253DTIKTOK_AFFILIATE_VIRAL_VIDEO%22%2C%22placeholder_product_id%22%3A%221729427766722726591%22%2C%22p"&amp;"laceholder_video_id%22%3A%227637519671436119316%22%7D&amp;ec_shared_reflux_scene=shop_tab_feed&amp;share_item_id=7637519671436119316&amp;source=h5_t")</f>
        <v>https://www.tiktok.com/@ginafathonah_/video/7637519671436119316?_r=1&amp;u_code=dlhe22ikkib396&amp;region=&amp;mid=7634506985177762580&amp;preview_pb=0&amp;sharer_language=&amp;_d=0&amp;ec_shared_reflux_dynamic_params=%7B%22placeholder_material_id%22%3A%227637519671436119316%22%2C%22placeholder_origin_cover%22%3A%22https%253A%252F%252Fp16-common-sign.tiktokcdn.com%252Ftos-alisg-p-0037%252FowAB9itVrfG7B6HFIv0A3RC2wuiqA7HIE0vXIw~tplv-tiktokx-origin.jpeg%253Fdr%253D14572%2526refresh_token%253D2a300ebc%2526x-expires%253D1810198800%2526x-signature%253DWF2bjmV6kreNqw5TGcIzQy5GIIo%25253D%2526t%253D4d5b0474%2526ps%253D13740610%2526shp%253Dd05b14bd%2526shcp%253D34ff8df6%2526idc%253Dmy2%2526s%253DTIKTOK_AFFILIATE_VIRAL_VIDEO%22%2C%22placeholder_product_id%22%3A%221729427766722726591%22%2C%22placeholder_video_id%22%3A%227637519671436119316%22%7D&amp;ec_shared_reflux_scene=shop_tab_feed&amp;share_item_id=7637519671436119316&amp;source=h5_t</v>
      </c>
      <c r="M727" s="464"/>
      <c r="N727" s="279" t="str">
        <f>IFERROR(__xludf.DUMMYFUNCTION("""COMPUTED_VALUE"""),"https://www.tiktok.com/@ginafathonah_/video/7637365716689145109?_r=1&amp;u_code=dlhe22ikkib396&amp;region=&amp;mid=7633055415429778194&amp;preview_pb=0&amp;sharer_language=&amp;_d=0&amp;ec_shared_reflux_dynamic_params=%7B%22placeholder_material_id%22%3A%227637365716689145109%22%2C%2"&amp;"2placeholder_origin_cover%22%3A%22https%253A%252F%252Fp19-common-sign.tiktokcdn.com%252Ftos-alisg-p-0037%252FoU0vIBuI2CS1EbBkA9winf7iIPXq0riAuAc09A~tplv-tiktokx-origin.jpeg%253Fdr%253D14572%2526refresh_token%253Df1a60735%2526x-expires%253D1810198800%2526x"&amp;"-signature%253D1SOVxA7bjOL4WhCWADsUw%25252BnCASs%25253D%2526t%253D4d5b0474%2526ps%253D13740610%2526shp%253Dd05b14bd%2526shcp%253D34ff8df6%2526idc%253Dmy2%2526s%253DTIKTOK_AFFILIATE_VIRAL_VIDEO%22%2C%22placeholder_product_id%22%3A%221729427766722726591%22%"&amp;"2C%22placeholder_video_id%22%3A%227637365716689145109%22%7D&amp;ec_shared_reflux_scene=shop_tab_feed&amp;share_item_id=7637365716689145109&amp;source=h5_t")</f>
        <v>https://www.tiktok.com/@ginafathonah_/video/7637365716689145109?_r=1&amp;u_code=dlhe22ikkib396&amp;region=&amp;mid=7633055415429778194&amp;preview_pb=0&amp;sharer_language=&amp;_d=0&amp;ec_shared_reflux_dynamic_params=%7B%22placeholder_material_id%22%3A%227637365716689145109%22%2C%22placeholder_origin_cover%22%3A%22https%253A%252F%252Fp19-common-sign.tiktokcdn.com%252Ftos-alisg-p-0037%252FoU0vIBuI2CS1EbBkA9winf7iIPXq0riAuAc09A~tplv-tiktokx-origin.jpeg%253Fdr%253D14572%2526refresh_token%253Df1a60735%2526x-expires%253D1810198800%2526x-signature%253D1SOVxA7bjOL4WhCWADsUw%25252BnCASs%25253D%2526t%253D4d5b0474%2526ps%253D13740610%2526shp%253Dd05b14bd%2526shcp%253D34ff8df6%2526idc%253Dmy2%2526s%253DTIKTOK_AFFILIATE_VIRAL_VIDEO%22%2C%22placeholder_product_id%22%3A%221729427766722726591%22%2C%22placeholder_video_id%22%3A%227637365716689145109%22%7D&amp;ec_shared_reflux_scene=shop_tab_feed&amp;share_item_id=7637365716689145109&amp;source=h5_t</v>
      </c>
      <c r="O727" s="464"/>
      <c r="P727" s="279" t="str">
        <f>IFERROR(__xludf.DUMMYFUNCTION("""COMPUTED_VALUE"""),"https://www.tiktok.com/@ginafathonah_/video/7637318388313771285?_r=1&amp;u_code=dlhe22ikkib396&amp;region=&amp;mid=7591327568393980693&amp;preview_pb=0&amp;sharer_language=&amp;_d=0&amp;ec_shared_reflux_dynamic_params=%7B%22placeholder_material_id%22%3A%227637318388313771285%22%2C%2"&amp;"2placeholder_origin_cover%22%3A%22https%253A%252F%252Fp16-common-sign.tiktokcdn.com%252Ftos-alisg-p-0037%252FoED88EwCRQafkFsIY4zfXVfUqDsCCjAq6TQTAD~tplv-tiktokx-origin.jpeg%253Fdr%253D14572%2526refresh_token%253D947d640f%2526x-expires%253D1810198800%2526x"&amp;"-signature%253Dqp9OcUHvxZilY5l4pr1Wp%25252FzHaKo%25253D%2526t%253D4d5b0474%2526ps%253D13740610%2526shp%253Dd05b14bd%2526shcp%253D34ff8df6%2526idc%253Dmy2%2526s%253DTIKTOK_AFFILIATE_VIRAL_VIDEO%22%2C%22placeholder_product_id%22%3A%221729427766722726591%22%"&amp;"2C%22placeholder_video_id%22%3A%227637318388313771285%22%7D&amp;ec_shared_reflux_scene=shop_tab_feed&amp;share_item_id=7637318388313771285&amp;source=h5_t")</f>
        <v>https://www.tiktok.com/@ginafathonah_/video/7637318388313771285?_r=1&amp;u_code=dlhe22ikkib396&amp;region=&amp;mid=7591327568393980693&amp;preview_pb=0&amp;sharer_language=&amp;_d=0&amp;ec_shared_reflux_dynamic_params=%7B%22placeholder_material_id%22%3A%227637318388313771285%22%2C%22placeholder_origin_cover%22%3A%22https%253A%252F%252Fp16-common-sign.tiktokcdn.com%252Ftos-alisg-p-0037%252FoED88EwCRQafkFsIY4zfXVfUqDsCCjAq6TQTAD~tplv-tiktokx-origin.jpeg%253Fdr%253D14572%2526refresh_token%253D947d640f%2526x-expires%253D1810198800%2526x-signature%253Dqp9OcUHvxZilY5l4pr1Wp%25252FzHaKo%25253D%2526t%253D4d5b0474%2526ps%253D13740610%2526shp%253Dd05b14bd%2526shcp%253D34ff8df6%2526idc%253Dmy2%2526s%253DTIKTOK_AFFILIATE_VIRAL_VIDEO%22%2C%22placeholder_product_id%22%3A%221729427766722726591%22%2C%22placeholder_video_id%22%3A%227637318388313771285%22%7D&amp;ec_shared_reflux_scene=shop_tab_feed&amp;share_item_id=7637318388313771285&amp;source=h5_t</v>
      </c>
    </row>
    <row r="728">
      <c r="A728" s="255" t="str">
        <f>IFERROR(__xludf.DUMMYFUNCTION("""COMPUTED_VALUE"""),"MICRO")</f>
        <v>MICRO</v>
      </c>
      <c r="B728" s="361" t="str">
        <f>IFERROR(__xludf.DUMMYFUNCTION("""COMPUTED_VALUE"""),"kimoy59")</f>
        <v>kimoy59</v>
      </c>
      <c r="C728" s="257" t="str">
        <f>IFERROR(__xludf.DUMMYFUNCTION("""COMPUTED_VALUE"""),"https://www.tiktok.com/@kimoy59")</f>
        <v>https://www.tiktok.com/@kimoy59</v>
      </c>
      <c r="D728" s="270">
        <f>IFERROR(__xludf.DUMMYFUNCTION("""COMPUTED_VALUE"""),8.5669798271E10)</f>
        <v>85669798271</v>
      </c>
      <c r="E728" s="457">
        <f>IFERROR(__xludf.DUMMYFUNCTION("""COMPUTED_VALUE"""),0.0)</f>
        <v>0</v>
      </c>
      <c r="F728" s="270">
        <f>IFERROR(__xludf.DUMMYFUNCTION("""COMPUTED_VALUE"""),4.0)</f>
        <v>4</v>
      </c>
      <c r="G728" s="17" t="str">
        <f>IFERROR(__xludf.DUMMYFUNCTION("""COMPUTED_VALUE"""),"Sabun batang 1 Box ( 2 PCS )")</f>
        <v>Sabun batang 1 Box ( 2 PCS )</v>
      </c>
      <c r="H728" s="463" t="str">
        <f>IFERROR(__xludf.DUMMYFUNCTION("""COMPUTED_VALUE"""),"Sampai")</f>
        <v>Sampai</v>
      </c>
      <c r="I728" s="464" t="str">
        <f>IFERROR(__xludf.DUMMYFUNCTION("""COMPUTED_VALUE"""),"KIMME")</f>
        <v>KIMME</v>
      </c>
      <c r="J728" s="279" t="str">
        <f>IFERROR(__xludf.DUMMYFUNCTION("""COMPUTED_VALUE"""),"https://vt.tiktok.com/ZS92FfvRR/")</f>
        <v>https://vt.tiktok.com/ZS92FfvRR/</v>
      </c>
      <c r="K728" s="464" t="str">
        <f>IFERROR(__xludf.DUMMYFUNCTION("""COMPUTED_VALUE"""),"KIMME")</f>
        <v>KIMME</v>
      </c>
      <c r="L728" s="279" t="str">
        <f>IFERROR(__xludf.DUMMYFUNCTION("""COMPUTED_VALUE"""),"https://vt.tiktok.com/ZS92Fhmm8/")</f>
        <v>https://vt.tiktok.com/ZS92Fhmm8/</v>
      </c>
      <c r="M728" s="464"/>
      <c r="N728" s="17" t="str">
        <f>IFERROR(__xludf.DUMMYFUNCTION("""COMPUTED_VALUE"""),"⁠https://vt.tiktok.com/ZS9YufRMC/")</f>
        <v>⁠https://vt.tiktok.com/ZS9YufRMC/</v>
      </c>
      <c r="O728" s="464"/>
      <c r="P728" s="17" t="str">
        <f>IFERROR(__xludf.DUMMYFUNCTION("""COMPUTED_VALUE"""),"⁠https://vt.tiktok.com/ZS9YuabfQ/")</f>
        <v>⁠https://vt.tiktok.com/ZS9YuabfQ/</v>
      </c>
    </row>
    <row r="729">
      <c r="A729" s="255" t="str">
        <f>IFERROR(__xludf.DUMMYFUNCTION("""COMPUTED_VALUE"""),"MICRO")</f>
        <v>MICRO</v>
      </c>
      <c r="B729" s="361" t="str">
        <f>IFERROR(__xludf.DUMMYFUNCTION("""COMPUTED_VALUE"""),"nursidah54")</f>
        <v>nursidah54</v>
      </c>
      <c r="C729" s="257" t="str">
        <f>IFERROR(__xludf.DUMMYFUNCTION("""COMPUTED_VALUE"""),"https://www.tiktok.com/@nursidah54")</f>
        <v>https://www.tiktok.com/@nursidah54</v>
      </c>
      <c r="D729" s="270">
        <f>IFERROR(__xludf.DUMMYFUNCTION("""COMPUTED_VALUE"""),8.95339467395E11)</f>
        <v>895339467395</v>
      </c>
      <c r="E729" s="457">
        <f>IFERROR(__xludf.DUMMYFUNCTION("""COMPUTED_VALUE"""),0.0)</f>
        <v>0</v>
      </c>
      <c r="F729" s="270">
        <f>IFERROR(__xludf.DUMMYFUNCTION("""COMPUTED_VALUE"""),2.0)</f>
        <v>2</v>
      </c>
      <c r="G729" s="17" t="str">
        <f>IFERROR(__xludf.DUMMYFUNCTION("""COMPUTED_VALUE"""),"Sabun batang 1 Box ( 2 PCS )")</f>
        <v>Sabun batang 1 Box ( 2 PCS )</v>
      </c>
      <c r="H729" s="463" t="str">
        <f>IFERROR(__xludf.DUMMYFUNCTION("""COMPUTED_VALUE"""),"Sampai")</f>
        <v>Sampai</v>
      </c>
      <c r="I729" s="464" t="str">
        <f>IFERROR(__xludf.DUMMYFUNCTION("""COMPUTED_VALUE"""),"KIMME")</f>
        <v>KIMME</v>
      </c>
      <c r="J729" s="279" t="str">
        <f>IFERROR(__xludf.DUMMYFUNCTION("""COMPUTED_VALUE"""),"https://vt.tiktok.com/ZS98oCu66/")</f>
        <v>https://vt.tiktok.com/ZS98oCu66/</v>
      </c>
      <c r="K729" s="464" t="str">
        <f>IFERROR(__xludf.DUMMYFUNCTION("""COMPUTED_VALUE"""),"KIMME")</f>
        <v>KIMME</v>
      </c>
      <c r="L729" s="279" t="str">
        <f>IFERROR(__xludf.DUMMYFUNCTION("""COMPUTED_VALUE"""),"https://vt.tiktok.com/ZS9fNLbv2/")</f>
        <v>https://vt.tiktok.com/ZS9fNLbv2/</v>
      </c>
      <c r="M729" s="464"/>
      <c r="N729" s="279" t="str">
        <f>IFERROR(__xludf.DUMMYFUNCTION("""COMPUTED_VALUE"""),"https://www.tiktok.com/@ginafathonah_/video/7637318388313771285?_d=0&amp;_r=1&amp;ec_shared_reflux_dynamic_params=%7B%22placeholder_material_id%22%3A%227637318388313771285%22%2C%22placeholder_origin_cover%22%3A%22https%253A%252F%252Fp16-common-sign.tiktokcdn.com%"&amp;"252Ftos-alisg-p-0037%252FoED88EwCRQafkFsIY4zfXVfUqDsCCjAq6TQTAD~tplv-tiktokx-origin.jpeg%253Fdr%253D14572%2526refresh_token%253D947d640f%2526x-expires%253D1810198800%2526x-signature%253Dqp9OcUHvxZilY5l4pr1Wp%25252FzHaKo%25253D%2526t%253D4d5b0474%2526ps%25"&amp;"3D13740610%2526shp%253Dd05b14bd%2526shcp%253D34ff8df6%2526idc%253Dmy2%2526s%253DTIKTOK_AFFILIATE_VIRAL_VIDEO%22%2C%22placeholder_product_id%22%3A%221729427766722726591%22%2C%22placeholder_video_id%22%3A%227637318388313771285%22%7D&amp;ec_shared_reflux_scene=s"&amp;"hop_tab_feed&amp;mid=7591327568393980693&amp;preview_pb=0&amp;region=&amp;share_item_id=7637318388313771285&amp;sharer_language=&amp;source=h5_t&amp;u_code=dlhe22ikkib396")</f>
        <v>https://www.tiktok.com/@ginafathonah_/video/7637318388313771285?_d=0&amp;_r=1&amp;ec_shared_reflux_dynamic_params=%7B%22placeholder_material_id%22%3A%227637318388313771285%22%2C%22placeholder_origin_cover%22%3A%22https%253A%252F%252Fp16-common-sign.tiktokcdn.com%252Ftos-alisg-p-0037%252FoED88EwCRQafkFsIY4zfXVfUqDsCCjAq6TQTAD~tplv-tiktokx-origin.jpeg%253Fdr%253D14572%2526refresh_token%253D947d640f%2526x-expires%253D1810198800%2526x-signature%253Dqp9OcUHvxZilY5l4pr1Wp%25252FzHaKo%25253D%2526t%253D4d5b0474%2526ps%253D13740610%2526shp%253Dd05b14bd%2526shcp%253D34ff8df6%2526idc%253Dmy2%2526s%253DTIKTOK_AFFILIATE_VIRAL_VIDEO%22%2C%22placeholder_product_id%22%3A%221729427766722726591%22%2C%22placeholder_video_id%22%3A%227637318388313771285%22%7D&amp;ec_shared_reflux_scene=shop_tab_feed&amp;mid=7591327568393980693&amp;preview_pb=0&amp;region=&amp;share_item_id=7637318388313771285&amp;sharer_language=&amp;source=h5_t&amp;u_code=dlhe22ikkib396</v>
      </c>
      <c r="O729" s="464"/>
      <c r="P729" s="279" t="str">
        <f>IFERROR(__xludf.DUMMYFUNCTION("""COMPUTED_VALUE"""),"https://www.tiktok.com/@ginafathonah_/video/7637091472453504276?_r=1&amp;u_code=dlhe22ikkib396&amp;region=&amp;mid=7615874061603719953&amp;preview_pb=0&amp;sharer_language=&amp;_d=0&amp;ec_shared_reflux_dynamic_params=%7B%22placeholder_material_id%22%3A%227637091472453504276%22%2C%2"&amp;"2placeholder_origin_cover%22%3A%22https%253A%252F%252Fp16-common-sign.tiktokcdn.com%252Ftos-alisg-p-0037%252Fo0GIEfBvaFInAC4pcTfcjUAEXEINfDyDI8ZkEz~tplv-tiktokx-origin.jpeg%253Fdr%253D14572%2526refresh_token%253D827bef71%2526x-expires%253D1810198800%2526x"&amp;"-signature%253DVMPt%25252FtCaeUIb9KoXsISnfFHA2Wo%25253D%2526t%253D4d5b0474%2526ps%253D13740610%2526shp%253Dd05b14bd%2526shcp%253D34ff8df6%2526idc%253Dmy2%2526s%253DTIKTOK_AFFILIATE_VIRAL_VIDEO%22%2C%22placeholder_product_id%22%3A%221729427766722726591%22%"&amp;"2C%22placeholder_video_id%22%3A%227637091472453504276%22%7D&amp;ec_shared_reflux_scene=shop_tab_feed&amp;share_item_id=7637091472453504276&amp;source=h5_t")</f>
        <v>https://www.tiktok.com/@ginafathonah_/video/7637091472453504276?_r=1&amp;u_code=dlhe22ikkib396&amp;region=&amp;mid=7615874061603719953&amp;preview_pb=0&amp;sharer_language=&amp;_d=0&amp;ec_shared_reflux_dynamic_params=%7B%22placeholder_material_id%22%3A%227637091472453504276%22%2C%22placeholder_origin_cover%22%3A%22https%253A%252F%252Fp16-common-sign.tiktokcdn.com%252Ftos-alisg-p-0037%252Fo0GIEfBvaFInAC4pcTfcjUAEXEINfDyDI8ZkEz~tplv-tiktokx-origin.jpeg%253Fdr%253D14572%2526refresh_token%253D827bef71%2526x-expires%253D1810198800%2526x-signature%253DVMPt%25252FtCaeUIb9KoXsISnfFHA2Wo%25253D%2526t%253D4d5b0474%2526ps%253D13740610%2526shp%253Dd05b14bd%2526shcp%253D34ff8df6%2526idc%253Dmy2%2526s%253DTIKTOK_AFFILIATE_VIRAL_VIDEO%22%2C%22placeholder_product_id%22%3A%221729427766722726591%22%2C%22placeholder_video_id%22%3A%227637091472453504276%22%7D&amp;ec_shared_reflux_scene=shop_tab_feed&amp;share_item_id=7637091472453504276&amp;source=h5_t</v>
      </c>
    </row>
    <row r="730">
      <c r="A730" s="255" t="str">
        <f>IFERROR(__xludf.DUMMYFUNCTION("""COMPUTED_VALUE"""),"MACRO")</f>
        <v>MACRO</v>
      </c>
      <c r="B730" s="361" t="str">
        <f>IFERROR(__xludf.DUMMYFUNCTION("""COMPUTED_VALUE"""),"elsaamalia19real")</f>
        <v>elsaamalia19real</v>
      </c>
      <c r="C730" s="257" t="str">
        <f>IFERROR(__xludf.DUMMYFUNCTION("""COMPUTED_VALUE"""),"https://www.tiktok.com/@elsaamalia19real")</f>
        <v>https://www.tiktok.com/@elsaamalia19real</v>
      </c>
      <c r="D730" s="270">
        <f>IFERROR(__xludf.DUMMYFUNCTION("""COMPUTED_VALUE"""),8.3832817842E10)</f>
        <v>83832817842</v>
      </c>
      <c r="E730" s="457">
        <f>IFERROR(__xludf.DUMMYFUNCTION("""COMPUTED_VALUE"""),0.0)</f>
        <v>0</v>
      </c>
      <c r="F730" s="270">
        <f>IFERROR(__xludf.DUMMYFUNCTION("""COMPUTED_VALUE"""),4.0)</f>
        <v>4</v>
      </c>
      <c r="G730" s="17" t="str">
        <f>IFERROR(__xludf.DUMMYFUNCTION("""COMPUTED_VALUE"""),"Sabun batang 1 Box ( 2 PCS )")</f>
        <v>Sabun batang 1 Box ( 2 PCS )</v>
      </c>
      <c r="H730" s="463" t="str">
        <f>IFERROR(__xludf.DUMMYFUNCTION("""COMPUTED_VALUE"""),"Sampai")</f>
        <v>Sampai</v>
      </c>
      <c r="I730" s="464" t="str">
        <f>IFERROR(__xludf.DUMMYFUNCTION("""COMPUTED_VALUE"""),"KIMME")</f>
        <v>KIMME</v>
      </c>
      <c r="J730" s="279" t="str">
        <f>IFERROR(__xludf.DUMMYFUNCTION("""COMPUTED_VALUE"""),"https://vt.tiktok.com/ZS9D9jx2X/")</f>
        <v>https://vt.tiktok.com/ZS9D9jx2X/</v>
      </c>
      <c r="K730" s="464" t="str">
        <f>IFERROR(__xludf.DUMMYFUNCTION("""COMPUTED_VALUE"""),"KIMME")</f>
        <v>KIMME</v>
      </c>
      <c r="L730" s="279" t="str">
        <f>IFERROR(__xludf.DUMMYFUNCTION("""COMPUTED_VALUE"""),"https://www.tiktok.com/@ginafathonah_/video/7637088908701863189?_r=1&amp;u_code=dlhe22ikkib396&amp;region=&amp;mid=7613789554936416273&amp;preview_pb=0&amp;sharer_language=&amp;_d=0&amp;ec_shared_reflux_dynamic_params=%7B%22placeholder_material_id%22%3A%227637088908701863189%22%2C%2"&amp;"2placeholder_origin_cover%22%3A%22https%253A%252F%252Fp19-common-sign.tiktokcdn.com%252Ftos-alisg-p-0037%252FokFMAxU8Mu3eeRYDgngYRe4Igq3FAyNfGw4bRG~tplv-tiktokx-origin.jpeg%253Fdr%253D14572%2526refresh_token%253Deabac299%2526x-expires%253D1810198800%2526x"&amp;"-signature%253D2Lo4BgnCtWFnR4GzEXuHleCUVp8%25253D%2526t%253D4d5b0474%2526ps%253D13740610%2526shp%253Dd05b14bd%2526shcp%253D34ff8df6%2526idc%253Dmy2%2526s%253DTIKTOK_AFFILIATE_VIRAL_VIDEO%22%2C%22placeholder_product_id%22%3A%221729427766722726591%22%2C%22p"&amp;"laceholder_video_id%22%3A%227637088908701863189%22%7D&amp;ec_shared_reflux_scene=shop_tab_feed&amp;share_item_id=7637088908701863189&amp;source=h5_t")</f>
        <v>https://www.tiktok.com/@ginafathonah_/video/7637088908701863189?_r=1&amp;u_code=dlhe22ikkib396&amp;region=&amp;mid=7613789554936416273&amp;preview_pb=0&amp;sharer_language=&amp;_d=0&amp;ec_shared_reflux_dynamic_params=%7B%22placeholder_material_id%22%3A%227637088908701863189%22%2C%22placeholder_origin_cover%22%3A%22https%253A%252F%252Fp19-common-sign.tiktokcdn.com%252Ftos-alisg-p-0037%252FokFMAxU8Mu3eeRYDgngYRe4Igq3FAyNfGw4bRG~tplv-tiktokx-origin.jpeg%253Fdr%253D14572%2526refresh_token%253Deabac299%2526x-expires%253D1810198800%2526x-signature%253D2Lo4BgnCtWFnR4GzEXuHleCUVp8%25253D%2526t%253D4d5b0474%2526ps%253D13740610%2526shp%253Dd05b14bd%2526shcp%253D34ff8df6%2526idc%253Dmy2%2526s%253DTIKTOK_AFFILIATE_VIRAL_VIDEO%22%2C%22placeholder_product_id%22%3A%221729427766722726591%22%2C%22placeholder_video_id%22%3A%227637088908701863189%22%7D&amp;ec_shared_reflux_scene=shop_tab_feed&amp;share_item_id=7637088908701863189&amp;source=h5_t</v>
      </c>
      <c r="M730" s="464"/>
      <c r="N730" s="17"/>
      <c r="O730" s="464"/>
      <c r="P730" s="17"/>
    </row>
    <row r="731">
      <c r="A731" s="255" t="str">
        <f>IFERROR(__xludf.DUMMYFUNCTION("""COMPUTED_VALUE"""),"MICRO")</f>
        <v>MICRO</v>
      </c>
      <c r="B731" s="361" t="str">
        <f>IFERROR(__xludf.DUMMYFUNCTION("""COMPUTED_VALUE"""),"vianneyel")</f>
        <v>vianneyel</v>
      </c>
      <c r="C731" s="257" t="str">
        <f>IFERROR(__xludf.DUMMYFUNCTION("""COMPUTED_VALUE"""),"https://www.tiktok.com/@vianneyel")</f>
        <v>https://www.tiktok.com/@vianneyel</v>
      </c>
      <c r="D731" s="270">
        <f>IFERROR(__xludf.DUMMYFUNCTION("""COMPUTED_VALUE"""),8.1802148886E10)</f>
        <v>81802148886</v>
      </c>
      <c r="E731" s="457">
        <f>IFERROR(__xludf.DUMMYFUNCTION("""COMPUTED_VALUE"""),0.0)</f>
        <v>0</v>
      </c>
      <c r="F731" s="270">
        <f>IFERROR(__xludf.DUMMYFUNCTION("""COMPUTED_VALUE"""),4.0)</f>
        <v>4</v>
      </c>
      <c r="G731" s="17" t="str">
        <f>IFERROR(__xludf.DUMMYFUNCTION("""COMPUTED_VALUE"""),"Sabun batang 1 Box ( 2 PCS )")</f>
        <v>Sabun batang 1 Box ( 2 PCS )</v>
      </c>
      <c r="H731" s="463" t="str">
        <f>IFERROR(__xludf.DUMMYFUNCTION("""COMPUTED_VALUE"""),"Sampai")</f>
        <v>Sampai</v>
      </c>
      <c r="I731" s="464" t="str">
        <f>IFERROR(__xludf.DUMMYFUNCTION("""COMPUTED_VALUE"""),"KIMME")</f>
        <v>KIMME</v>
      </c>
      <c r="J731" s="17" t="str">
        <f>IFERROR(__xludf.DUMMYFUNCTION("""COMPUTED_VALUE"""),"⁠https://vt.tiktok.com/ZS9YugPcn/")</f>
        <v>⁠https://vt.tiktok.com/ZS9YugPcn/</v>
      </c>
      <c r="K731" s="464" t="str">
        <f>IFERROR(__xludf.DUMMYFUNCTION("""COMPUTED_VALUE"""),"KIMME")</f>
        <v>KIMME</v>
      </c>
      <c r="L731" s="17" t="str">
        <f>IFERROR(__xludf.DUMMYFUNCTION("""COMPUTED_VALUE"""),"⁠https://vt.tiktok.com/ZS9YubP2W/")</f>
        <v>⁠https://vt.tiktok.com/ZS9YubP2W/</v>
      </c>
      <c r="M731" s="464"/>
      <c r="N731" s="17" t="str">
        <f>IFERROR(__xludf.DUMMYFUNCTION("""COMPUTED_VALUE"""),"⁠https://vt.tiktok.com/ZS9YuAUeH/")</f>
        <v>⁠https://vt.tiktok.com/ZS9YuAUeH/</v>
      </c>
      <c r="O731" s="464"/>
      <c r="P731" s="17" t="str">
        <f>IFERROR(__xludf.DUMMYFUNCTION("""COMPUTED_VALUE"""),"⁠https://vt.tiktok.com/ZS9YugCna/")</f>
        <v>⁠https://vt.tiktok.com/ZS9YugCna/</v>
      </c>
    </row>
    <row r="732">
      <c r="A732" s="255" t="str">
        <f>IFERROR(__xludf.DUMMYFUNCTION("""COMPUTED_VALUE"""),"MICRO")</f>
        <v>MICRO</v>
      </c>
      <c r="B732" s="361" t="str">
        <f>IFERROR(__xludf.DUMMYFUNCTION("""COMPUTED_VALUE"""),"lindafatmawati09")</f>
        <v>lindafatmawati09</v>
      </c>
      <c r="C732" s="257" t="str">
        <f>IFERROR(__xludf.DUMMYFUNCTION("""COMPUTED_VALUE"""),"https://www.tiktok.com/@lindafatmawati09")</f>
        <v>https://www.tiktok.com/@lindafatmawati09</v>
      </c>
      <c r="D732" s="270">
        <f>IFERROR(__xludf.DUMMYFUNCTION("""COMPUTED_VALUE"""),8.5709037289E10)</f>
        <v>85709037289</v>
      </c>
      <c r="E732" s="457">
        <f>IFERROR(__xludf.DUMMYFUNCTION("""COMPUTED_VALUE"""),0.0)</f>
        <v>0</v>
      </c>
      <c r="F732" s="270">
        <f>IFERROR(__xludf.DUMMYFUNCTION("""COMPUTED_VALUE"""),1.0)</f>
        <v>1</v>
      </c>
      <c r="G732" s="17" t="str">
        <f>IFERROR(__xludf.DUMMYFUNCTION("""COMPUTED_VALUE"""),"Sabun batang 1 Box ( 2 PCS )")</f>
        <v>Sabun batang 1 Box ( 2 PCS )</v>
      </c>
      <c r="H732" s="463" t="str">
        <f>IFERROR(__xludf.DUMMYFUNCTION("""COMPUTED_VALUE"""),"Sampai")</f>
        <v>Sampai</v>
      </c>
      <c r="I732" s="464" t="str">
        <f>IFERROR(__xludf.DUMMYFUNCTION("""COMPUTED_VALUE"""),"KIMME")</f>
        <v>KIMME</v>
      </c>
      <c r="J732" s="17" t="str">
        <f>IFERROR(__xludf.DUMMYFUNCTION("""COMPUTED_VALUE"""),"⁠https://vt.tiktok.com/ZS9MDHBu8/")</f>
        <v>⁠https://vt.tiktok.com/ZS9MDHBu8/</v>
      </c>
      <c r="K732" s="464" t="str">
        <f>IFERROR(__xludf.DUMMYFUNCTION("""COMPUTED_VALUE"""),"KIMME")</f>
        <v>KIMME</v>
      </c>
      <c r="L732" s="279" t="str">
        <f>IFERROR(__xludf.DUMMYFUNCTION("""COMPUTED_VALUE"""),"https://www.tiktok.com/@ginafathonah_/video/7637089030613634325?_r=1&amp;u_code=dlhe22ikkib396&amp;region=&amp;mid=7633792364019993351&amp;preview_pb=0&amp;sharer_language=&amp;_d=0&amp;ec_shared_reflux_dynamic_params=%7B%22placeholder_material_id%22%3A%227637089030613634325%22%2C%2"&amp;"2placeholder_origin_cover%22%3A%22https%253A%252F%252Fp16-common-sign.tiktokcdn.com%252Ftos-alisg-p-0037%252Fo4FfAkbe6LvhIRMGgnIGrCewgifGAT1LGwxdIG~tplv-tiktokx-origin.jpeg%253Fdr%253D14572%2526refresh_token%253Dfdaf95b8%2526x-expires%253D1810198800%2526x"&amp;"-signature%253DA4lUqpFjvBmjLEsGAplCwS8A0LY%25253D%2526t%253D4d5b0474%2526ps%253D13740610%2526shp%253Dd05b14bd%2526shcp%253D34ff8df6%2526idc%253Dmy2%2526s%253DTIKTOK_AFFILIATE_VIRAL_VIDEO%22%2C%22placeholder_product_id%22%3A%221729427766722726591%22%2C%22p"&amp;"laceholder_video_id%22%3A%227637089030613634325%22%7D&amp;ec_shared_reflux_scene=shop_tab_feed&amp;share_item_id=7637089030613634325&amp;source=h5_t")</f>
        <v>https://www.tiktok.com/@ginafathonah_/video/7637089030613634325?_r=1&amp;u_code=dlhe22ikkib396&amp;region=&amp;mid=7633792364019993351&amp;preview_pb=0&amp;sharer_language=&amp;_d=0&amp;ec_shared_reflux_dynamic_params=%7B%22placeholder_material_id%22%3A%227637089030613634325%22%2C%22placeholder_origin_cover%22%3A%22https%253A%252F%252Fp16-common-sign.tiktokcdn.com%252Ftos-alisg-p-0037%252Fo4FfAkbe6LvhIRMGgnIGrCewgifGAT1LGwxdIG~tplv-tiktokx-origin.jpeg%253Fdr%253D14572%2526refresh_token%253Dfdaf95b8%2526x-expires%253D1810198800%2526x-signature%253DA4lUqpFjvBmjLEsGAplCwS8A0LY%25253D%2526t%253D4d5b0474%2526ps%253D13740610%2526shp%253Dd05b14bd%2526shcp%253D34ff8df6%2526idc%253Dmy2%2526s%253DTIKTOK_AFFILIATE_VIRAL_VIDEO%22%2C%22placeholder_product_id%22%3A%221729427766722726591%22%2C%22placeholder_video_id%22%3A%227637089030613634325%22%7D&amp;ec_shared_reflux_scene=shop_tab_feed&amp;share_item_id=7637089030613634325&amp;source=h5_t</v>
      </c>
      <c r="M732" s="464"/>
      <c r="N732" s="279" t="str">
        <f>IFERROR(__xludf.DUMMYFUNCTION("""COMPUTED_VALUE"""),"https://www.tiktok.com/@ginafathonah_/video/7636993249755942164?_r=1&amp;u_code=dlhe22ikkib396&amp;region=&amp;mid=7632266697139489557&amp;preview_pb=0&amp;sharer_language=&amp;_d=0&amp;ec_shared_reflux_dynamic_params=%7B%22placeholder_material_id%22%3A%227636993249755942164%22%2C%2"&amp;"2placeholder_origin_cover%22%3A%22https%253A%252F%252Fp16-common-sign.tiktokcdn.com%252Ftos-alisg-p-0037%252FoIKUGweGwQJCGenR0Dy07ejB8FPAlIjWLBfZQA~tplv-tiktokx-origin.jpeg%253Fdr%253D14572%2526refresh_token%253D5d595643%2526x-expires%253D1810198800%2526x"&amp;"-signature%253DI64lKJkHReNiVQ651WUgu6auHes%25253D%2526t%253D4d5b0474%2526ps%253D13740610%2526shp%253Dd05b14bd%2526shcp%253D34ff8df6%2526idc%253Dmy2%2526s%253DTIKTOK_AFFILIATE_VIRAL_VIDEO%22%2C%22placeholder_product_id%22%3A%221729427766722726591%22%2C%22p"&amp;"laceholder_video_id%22%3A%227636993249755942164%22%7D&amp;ec_shared_reflux_scene=shop_tab_feed&amp;share_item_id=7636993249755942164&amp;source=h5_t")</f>
        <v>https://www.tiktok.com/@ginafathonah_/video/7636993249755942164?_r=1&amp;u_code=dlhe22ikkib396&amp;region=&amp;mid=7632266697139489557&amp;preview_pb=0&amp;sharer_language=&amp;_d=0&amp;ec_shared_reflux_dynamic_params=%7B%22placeholder_material_id%22%3A%227636993249755942164%22%2C%22placeholder_origin_cover%22%3A%22https%253A%252F%252Fp16-common-sign.tiktokcdn.com%252Ftos-alisg-p-0037%252FoIKUGweGwQJCGenR0Dy07ejB8FPAlIjWLBfZQA~tplv-tiktokx-origin.jpeg%253Fdr%253D14572%2526refresh_token%253D5d595643%2526x-expires%253D1810198800%2526x-signature%253DI64lKJkHReNiVQ651WUgu6auHes%25253D%2526t%253D4d5b0474%2526ps%253D13740610%2526shp%253Dd05b14bd%2526shcp%253D34ff8df6%2526idc%253Dmy2%2526s%253DTIKTOK_AFFILIATE_VIRAL_VIDEO%22%2C%22placeholder_product_id%22%3A%221729427766722726591%22%2C%22placeholder_video_id%22%3A%227636993249755942164%22%7D&amp;ec_shared_reflux_scene=shop_tab_feed&amp;share_item_id=7636993249755942164&amp;source=h5_t</v>
      </c>
      <c r="O732" s="464"/>
      <c r="P732" s="279" t="str">
        <f>IFERROR(__xludf.DUMMYFUNCTION("""COMPUTED_VALUE"""),"http://tiktok.com/@ginafathonah_/video/7636652898864205077?_r=1&amp;u_code=dlhe22ikkib396&amp;region=&amp;mid=7630089414953306898&amp;preview_pb=0&amp;sharer_language=&amp;_d=0&amp;ec_shared_reflux_dynamic_params=%7B%22placeholder_material_id%22%3A%227636652898864205077%22%2C%22plac"&amp;"eholder_origin_cover%22%3A%22https%253A%252F%252Fp16-common-sign.tiktokcdn.com%252Ftos-alisg-p-0037%252FogWADLfD4QzgjdTIg1JSfest6C2AWEcbFD3MQA~tplv-tiktokx-origin.jpeg%253Fdr%253D14572%2526refresh_token%253Ddc0f95e4%2526x-expires%253D1810198800%2526x-sign"&amp;"ature%253DWoN7ogzAKLlels5Gzzm2n1yy7HU%25253D%2526t%253D4d5b0474%2526ps%253D13740610%2526shp%253Dd05b14bd%2526shcp%253D34ff8df6%2526idc%253Dmy2%2526s%253DTIKTOK_AFFILIATE_VIRAL_VIDEO%22%2C%22placeholder_product_id%22%3A%221729427766722726591%22%2C%22placeh"&amp;"older_video_id%22%3A%227636652898864205077%22%7D&amp;ec_shared_reflux_scene=shop_tab_feed&amp;share_item_id=7636652898864205077&amp;source=h5_t")</f>
        <v>http://tiktok.com/@ginafathonah_/video/7636652898864205077?_r=1&amp;u_code=dlhe22ikkib396&amp;region=&amp;mid=7630089414953306898&amp;preview_pb=0&amp;sharer_language=&amp;_d=0&amp;ec_shared_reflux_dynamic_params=%7B%22placeholder_material_id%22%3A%227636652898864205077%22%2C%22placeholder_origin_cover%22%3A%22https%253A%252F%252Fp16-common-sign.tiktokcdn.com%252Ftos-alisg-p-0037%252FogWADLfD4QzgjdTIg1JSfest6C2AWEcbFD3MQA~tplv-tiktokx-origin.jpeg%253Fdr%253D14572%2526refresh_token%253Ddc0f95e4%2526x-expires%253D1810198800%2526x-signature%253DWoN7ogzAKLlels5Gzzm2n1yy7HU%25253D%2526t%253D4d5b0474%2526ps%253D13740610%2526shp%253Dd05b14bd%2526shcp%253D34ff8df6%2526idc%253Dmy2%2526s%253DTIKTOK_AFFILIATE_VIRAL_VIDEO%22%2C%22placeholder_product_id%22%3A%221729427766722726591%22%2C%22placeholder_video_id%22%3A%227636652898864205077%22%7D&amp;ec_shared_reflux_scene=shop_tab_feed&amp;share_item_id=7636652898864205077&amp;source=h5_t</v>
      </c>
    </row>
    <row r="733">
      <c r="A733" s="255" t="str">
        <f>IFERROR(__xludf.DUMMYFUNCTION("""COMPUTED_VALUE"""),"MICRO")</f>
        <v>MICRO</v>
      </c>
      <c r="B733" s="361" t="str">
        <f>IFERROR(__xludf.DUMMYFUNCTION("""COMPUTED_VALUE"""),"sitifitriyani115")</f>
        <v>sitifitriyani115</v>
      </c>
      <c r="C733" s="257" t="str">
        <f>IFERROR(__xludf.DUMMYFUNCTION("""COMPUTED_VALUE"""),"https://www.tiktok.com/@sitifitriyani115")</f>
        <v>https://www.tiktok.com/@sitifitriyani115</v>
      </c>
      <c r="D733" s="270">
        <f>IFERROR(__xludf.DUMMYFUNCTION("""COMPUTED_VALUE"""),8.1311753747E10)</f>
        <v>81311753747</v>
      </c>
      <c r="E733" s="457">
        <f>IFERROR(__xludf.DUMMYFUNCTION("""COMPUTED_VALUE"""),150000.0)</f>
        <v>150000</v>
      </c>
      <c r="F733" s="270">
        <f>IFERROR(__xludf.DUMMYFUNCTION("""COMPUTED_VALUE"""),1.0)</f>
        <v>1</v>
      </c>
      <c r="G733" s="17" t="str">
        <f>IFERROR(__xludf.DUMMYFUNCTION("""COMPUTED_VALUE"""),"Sabun batang 1 Box ( 2 PCS )")</f>
        <v>Sabun batang 1 Box ( 2 PCS )</v>
      </c>
      <c r="H733" s="463" t="str">
        <f>IFERROR(__xludf.DUMMYFUNCTION("""COMPUTED_VALUE"""),"Sampai")</f>
        <v>Sampai</v>
      </c>
      <c r="I733" s="464" t="str">
        <f>IFERROR(__xludf.DUMMYFUNCTION("""COMPUTED_VALUE"""),"KIMME")</f>
        <v>KIMME</v>
      </c>
      <c r="J733" s="279" t="str">
        <f>IFERROR(__xludf.DUMMYFUNCTION("""COMPUTED_VALUE"""),"https://vt.tiktok.com/ZSxXgXVfJ/")</f>
        <v>https://vt.tiktok.com/ZSxXgXVfJ/</v>
      </c>
      <c r="K733" s="464" t="str">
        <f>IFERROR(__xludf.DUMMYFUNCTION("""COMPUTED_VALUE"""),"KIMME")</f>
        <v>KIMME</v>
      </c>
      <c r="L733" s="279" t="str">
        <f>IFERROR(__xludf.DUMMYFUNCTION("""COMPUTED_VALUE"""),"https://www.tiktok.com/@ginafathonah_/video/7634172958847651092?_r=1&amp;u_code=dlhe22ikkib396&amp;region=&amp;mid=7554382937211489041&amp;preview_pb=0&amp;sharer_language=&amp;_d=0&amp;ec_shared_reflux_dynamic_params=%7B%22placeholder_material_id%22%3A%227634172958847651092%22%2C%2"&amp;"2placeholder_origin_cover%22%3A%22https%253A%252F%252Fp16-common-sign.tiktokcdn.com%252Ftos-alisg-p-0037%252FoEMyDveG4QWijGTIfDzcv57AkCeAxI9uLCFJQA~tplv-tiktokx-origin.jpeg%253Fdr%253D14572%2526refresh_token%253D41b4e988%2526x-expires%253D1810198800%2526x"&amp;"-signature%253DQQxuVGZA8H5eOgueZlS3eblA1tU%25253D%2526t%253D4d5b0474%2526ps%253D13740610%2526shp%253Dd05b14bd%2526shcp%253D34ff8df6%2526idc%253Dmy2%2526s%253DTIKTOK_AFFILIATE_VIRAL_VIDEO%22%2C%22placeholder_product_id%22%3A%221729427766722726591%22%2C%22p"&amp;"laceholder_video_id%22%3A%227634172958847651092%22%7D&amp;ec_shared_reflux_scene=shop_tab_feed&amp;share_item_id=7634172958847651092&amp;source=h5_t")</f>
        <v>https://www.tiktok.com/@ginafathonah_/video/7634172958847651092?_r=1&amp;u_code=dlhe22ikkib396&amp;region=&amp;mid=7554382937211489041&amp;preview_pb=0&amp;sharer_language=&amp;_d=0&amp;ec_shared_reflux_dynamic_params=%7B%22placeholder_material_id%22%3A%227634172958847651092%22%2C%22placeholder_origin_cover%22%3A%22https%253A%252F%252Fp16-common-sign.tiktokcdn.com%252Ftos-alisg-p-0037%252FoEMyDveG4QWijGTIfDzcv57AkCeAxI9uLCFJQA~tplv-tiktokx-origin.jpeg%253Fdr%253D14572%2526refresh_token%253D41b4e988%2526x-expires%253D1810198800%2526x-signature%253DQQxuVGZA8H5eOgueZlS3eblA1tU%25253D%2526t%253D4d5b0474%2526ps%253D13740610%2526shp%253Dd05b14bd%2526shcp%253D34ff8df6%2526idc%253Dmy2%2526s%253DTIKTOK_AFFILIATE_VIRAL_VIDEO%22%2C%22placeholder_product_id%22%3A%221729427766722726591%22%2C%22placeholder_video_id%22%3A%227634172958847651092%22%7D&amp;ec_shared_reflux_scene=shop_tab_feed&amp;share_item_id=7634172958847651092&amp;source=h5_t</v>
      </c>
      <c r="M733" s="464"/>
      <c r="N733" s="279" t="str">
        <f>IFERROR(__xludf.DUMMYFUNCTION("""COMPUTED_VALUE"""),"https://www.tiktok.com/@ginafathonah_/video/7633719534960069909?_r=1&amp;u_code=dlhe22ikkib396&amp;region=&amp;mid=7170634321794059034&amp;preview_pb=0&amp;sharer_language=&amp;_d=0&amp;ec_shared_reflux_dynamic_params=%7B%22placeholder_material_id%22%3A%227633719534960069909%22%2C%2"&amp;"2placeholder_origin_cover%22%3A%22https%253A%252F%252Fp16-common-sign.tiktokcdn.com%252Ftos-alisg-p-0037%252FoEHADI8uw8pAMWcau0iYBieERB4BCgVcaIfv3T~tplv-tiktokx-origin.jpeg%253Fdr%253D14572%2526refresh_token%253D17bf6f0a%2526x-expires%253D1810198800%2526x"&amp;"-signature%253DXcos2wg1CU6JOeIy5HzXMltgp1M%25253D%2526t%253D4d5b0474%2526ps%253D13740610%2526shp%253Dd05b14bd%2526shcp%253D34ff8df6%2526idc%253Dmy2%2526s%253DTIKTOK_AFFILIATE_VIRAL_VIDEO%22%2C%22placeholder_product_id%22%3A%221729427766722726591%22%2C%22p"&amp;"laceholder_video_id%22%3A%227633719534960069909%22%7D&amp;ec_shared_reflux_scene=shop_tab_feed&amp;share_item_id=7633719534960069909&amp;source=h5_t")</f>
        <v>https://www.tiktok.com/@ginafathonah_/video/7633719534960069909?_r=1&amp;u_code=dlhe22ikkib396&amp;region=&amp;mid=7170634321794059034&amp;preview_pb=0&amp;sharer_language=&amp;_d=0&amp;ec_shared_reflux_dynamic_params=%7B%22placeholder_material_id%22%3A%227633719534960069909%22%2C%22placeholder_origin_cover%22%3A%22https%253A%252F%252Fp16-common-sign.tiktokcdn.com%252Ftos-alisg-p-0037%252FoEHADI8uw8pAMWcau0iYBieERB4BCgVcaIfv3T~tplv-tiktokx-origin.jpeg%253Fdr%253D14572%2526refresh_token%253D17bf6f0a%2526x-expires%253D1810198800%2526x-signature%253DXcos2wg1CU6JOeIy5HzXMltgp1M%25253D%2526t%253D4d5b0474%2526ps%253D13740610%2526shp%253Dd05b14bd%2526shcp%253D34ff8df6%2526idc%253Dmy2%2526s%253DTIKTOK_AFFILIATE_VIRAL_VIDEO%22%2C%22placeholder_product_id%22%3A%221729427766722726591%22%2C%22placeholder_video_id%22%3A%227633719534960069909%22%7D&amp;ec_shared_reflux_scene=shop_tab_feed&amp;share_item_id=7633719534960069909&amp;source=h5_t</v>
      </c>
      <c r="O733" s="464"/>
      <c r="P733" s="279" t="str">
        <f>IFERROR(__xludf.DUMMYFUNCTION("""COMPUTED_VALUE"""),"https://www.tiktok.com/@ginafathonah_/video/7633713063417351445?_r=1&amp;u_code=dlhe22ikkib396&amp;region=&amp;mid=7527152043925375760&amp;preview_pb=0&amp;sharer_language=&amp;_d=0&amp;ec_shared_reflux_dynamic_params=%7B%22placeholder_material_id%22%3A%227633713063417351445%22%2C%2"&amp;"2placeholder_origin_cover%22%3A%22https%253A%252F%252Fp16-common-sign.tiktokcdn.com%252Ftos-alisg-p-0037%252FoUgQyMfTGQHzYgAoA2LC45jLbCeRTADQIaAfI4~tplv-tiktokx-origin.jpeg%253Fdr%253D14572%2526refresh_token%253D58a62094%2526x-expires%253D1810198800%2526x"&amp;"-signature%253DDb8XWpepRH46OAcHiC4adx2ORoA%25253D%2526t%253D4d5b0474%2526ps%253D13740610%2526shp%253Dd05b14bd%2526shcp%253D34ff8df6%2526idc%253Dmy2%2526s%253DTIKTOK_AFFILIATE_VIRAL_VIDEO%22%2C%22placeholder_product_id%22%3A%221729427766722726591%22%2C%22p"&amp;"laceholder_video_id%22%3A%227633713063417351445%22%7D&amp;ec_shared_reflux_scene=shop_tab_feed&amp;share_item_id=7633713063417351445&amp;source=h5_t")</f>
        <v>https://www.tiktok.com/@ginafathonah_/video/7633713063417351445?_r=1&amp;u_code=dlhe22ikkib396&amp;region=&amp;mid=7527152043925375760&amp;preview_pb=0&amp;sharer_language=&amp;_d=0&amp;ec_shared_reflux_dynamic_params=%7B%22placeholder_material_id%22%3A%227633713063417351445%22%2C%22placeholder_origin_cover%22%3A%22https%253A%252F%252Fp16-common-sign.tiktokcdn.com%252Ftos-alisg-p-0037%252FoUgQyMfTGQHzYgAoA2LC45jLbCeRTADQIaAfI4~tplv-tiktokx-origin.jpeg%253Fdr%253D14572%2526refresh_token%253D58a62094%2526x-expires%253D1810198800%2526x-signature%253DDb8XWpepRH46OAcHiC4adx2ORoA%25253D%2526t%253D4d5b0474%2526ps%253D13740610%2526shp%253Dd05b14bd%2526shcp%253D34ff8df6%2526idc%253Dmy2%2526s%253DTIKTOK_AFFILIATE_VIRAL_VIDEO%22%2C%22placeholder_product_id%22%3A%221729427766722726591%22%2C%22placeholder_video_id%22%3A%227633713063417351445%22%7D&amp;ec_shared_reflux_scene=shop_tab_feed&amp;share_item_id=7633713063417351445&amp;source=h5_t</v>
      </c>
    </row>
    <row r="734">
      <c r="A734" s="255" t="str">
        <f>IFERROR(__xludf.DUMMYFUNCTION("""COMPUTED_VALUE"""),"MICRO")</f>
        <v>MICRO</v>
      </c>
      <c r="B734" s="361" t="str">
        <f>IFERROR(__xludf.DUMMYFUNCTION("""COMPUTED_VALUE"""),"iniiiandin_")</f>
        <v>iniiiandin_</v>
      </c>
      <c r="C734" s="257" t="str">
        <f>IFERROR(__xludf.DUMMYFUNCTION("""COMPUTED_VALUE"""),"https://www.tiktok.com/@iniiiandin_")</f>
        <v>https://www.tiktok.com/@iniiiandin_</v>
      </c>
      <c r="D734" s="270">
        <f>IFERROR(__xludf.DUMMYFUNCTION("""COMPUTED_VALUE"""),8.5654048737E10)</f>
        <v>85654048737</v>
      </c>
      <c r="E734" s="457">
        <f>IFERROR(__xludf.DUMMYFUNCTION("""COMPUTED_VALUE"""),200000.0)</f>
        <v>200000</v>
      </c>
      <c r="F734" s="270">
        <f>IFERROR(__xludf.DUMMYFUNCTION("""COMPUTED_VALUE"""),1.0)</f>
        <v>1</v>
      </c>
      <c r="G734" s="17" t="str">
        <f>IFERROR(__xludf.DUMMYFUNCTION("""COMPUTED_VALUE"""),"Sabun batang 1 Box ( 2 PCS )")</f>
        <v>Sabun batang 1 Box ( 2 PCS )</v>
      </c>
      <c r="H734" s="463" t="str">
        <f>IFERROR(__xludf.DUMMYFUNCTION("""COMPUTED_VALUE"""),"Sampai")</f>
        <v>Sampai</v>
      </c>
      <c r="I734" s="464" t="str">
        <f>IFERROR(__xludf.DUMMYFUNCTION("""COMPUTED_VALUE"""),"KIMME")</f>
        <v>KIMME</v>
      </c>
      <c r="J734" s="279" t="str">
        <f>IFERROR(__xludf.DUMMYFUNCTION("""COMPUTED_VALUE"""),"https://vt.tiktok.com/ZS9e8B1DN/")</f>
        <v>https://vt.tiktok.com/ZS9e8B1DN/</v>
      </c>
      <c r="K734" s="464" t="str">
        <f>IFERROR(__xludf.DUMMYFUNCTION("""COMPUTED_VALUE"""),"KIMME")</f>
        <v>KIMME</v>
      </c>
      <c r="L734" s="279" t="str">
        <f>IFERROR(__xludf.DUMMYFUNCTION("""COMPUTED_VALUE"""),"https://www.tiktok.com/@ginafathonah_/video/7633711936982633749?_r=1&amp;u_code=dlhe22ikkib396&amp;region=&amp;mid=7541754702423444230&amp;preview_pb=0&amp;sharer_language=&amp;_d=0&amp;ec_shared_reflux_dynamic_params=%7B%22placeholder_material_id%22%3A%227633711936982633749%22%2C%2"&amp;"2placeholder_origin_cover%22%3A%22https%253A%252F%252Fp16-common-sign.tiktokcdn.com%252Ftos-alisg-p-0037%252FoQAHZMnFGgfJEwAjApLD4ljzqCebTfDgIaA9I4~tplv-tiktokx-origin.jpeg%253Fdr%253D14572%2526refresh_token%253D5e305711%2526x-expires%253D1810198800%2526x"&amp;"-signature%253Dw%25252FcBf29TddOih%25252F7C8iHZRSdlrnM%25253D%2526t%253D4d5b0474%2526ps%253D13740610%2526shp%253Dd05b14bd%2526shcp%253D34ff8df6%2526idc%253Dmy2%2526s%253DTIKTOK_AFFILIATE_VIRAL_VIDEO%22%2C%22placeholder_product_id%22%3A%2217294277667227265"&amp;"91%22%2C%22placeholder_video_id%22%3A%227633711936982633749%22%7D&amp;ec_shared_reflux_scene=shop_tab_feed&amp;share_item_id=7633711936982633749&amp;source=h5_t")</f>
        <v>https://www.tiktok.com/@ginafathonah_/video/7633711936982633749?_r=1&amp;u_code=dlhe22ikkib396&amp;region=&amp;mid=7541754702423444230&amp;preview_pb=0&amp;sharer_language=&amp;_d=0&amp;ec_shared_reflux_dynamic_params=%7B%22placeholder_material_id%22%3A%227633711936982633749%22%2C%22placeholder_origin_cover%22%3A%22https%253A%252F%252Fp16-common-sign.tiktokcdn.com%252Ftos-alisg-p-0037%252FoQAHZMnFGgfJEwAjApLD4ljzqCebTfDgIaA9I4~tplv-tiktokx-origin.jpeg%253Fdr%253D14572%2526refresh_token%253D5e305711%2526x-expires%253D1810198800%2526x-signature%253Dw%25252FcBf29TddOih%25252F7C8iHZRSdlrnM%25253D%2526t%253D4d5b0474%2526ps%253D13740610%2526shp%253Dd05b14bd%2526shcp%253D34ff8df6%2526idc%253Dmy2%2526s%253DTIKTOK_AFFILIATE_VIRAL_VIDEO%22%2C%22placeholder_product_id%22%3A%221729427766722726591%22%2C%22placeholder_video_id%22%3A%227633711936982633749%22%7D&amp;ec_shared_reflux_scene=shop_tab_feed&amp;share_item_id=7633711936982633749&amp;source=h5_t</v>
      </c>
      <c r="M734" s="464"/>
      <c r="N734" s="279" t="str">
        <f>IFERROR(__xludf.DUMMYFUNCTION("""COMPUTED_VALUE"""),"https://www.tiktok.com/@ginafathonah_/video/7633711051539795221?_r=1&amp;u_code=dlhe22ikkib396&amp;region=&amp;mid=7627393047289989909&amp;preview_pb=0&amp;sharer_language=&amp;_d=0&amp;ec_shared_reflux_dynamic_params=%7B%22placeholder_material_id%22%3A%227633711051539795221%22%2C%2"&amp;"2placeholder_origin_cover%22%3A%22https%253A%252F%252Fp16-common-sign.tiktokcdn.com%252Ftos-alisg-p-0037%252Fo8D8cIWIDOHOGBYggEf8ApB9YFeVCpBEbjTRxw~tplv-tiktokx-origin.jpeg%253Fdr%253D14572%2526refresh_token%253De0a1bbf3%2526x-expires%253D1810198800%2526x"&amp;"-signature%253DyKzXLZ0Of%25252Ba%25252F0fUD8336YWE16rc%25253D%2526t%253D4d5b0474%2526ps%253D13740610%2526shp%253Dd05b14bd%2526shcp%253D34ff8df6%2526idc%253Dmy2%2526s%253DTIKTOK_AFFILIATE_VIRAL_VIDEO%22%2C%22placeholder_product_id%22%3A%2217294277667227265"&amp;"91%22%2C%22placeholder_video_id%22%3A%227633711051539795221%22%7D&amp;ec_shared_reflux_scene=shop_tab_feed&amp;share_item_id=7633711051539795221&amp;source=h5_t")</f>
        <v>https://www.tiktok.com/@ginafathonah_/video/7633711051539795221?_r=1&amp;u_code=dlhe22ikkib396&amp;region=&amp;mid=7627393047289989909&amp;preview_pb=0&amp;sharer_language=&amp;_d=0&amp;ec_shared_reflux_dynamic_params=%7B%22placeholder_material_id%22%3A%227633711051539795221%22%2C%22placeholder_origin_cover%22%3A%22https%253A%252F%252Fp16-common-sign.tiktokcdn.com%252Ftos-alisg-p-0037%252Fo8D8cIWIDOHOGBYggEf8ApB9YFeVCpBEbjTRxw~tplv-tiktokx-origin.jpeg%253Fdr%253D14572%2526refresh_token%253De0a1bbf3%2526x-expires%253D1810198800%2526x-signature%253DyKzXLZ0Of%25252Ba%25252F0fUD8336YWE16rc%25253D%2526t%253D4d5b0474%2526ps%253D13740610%2526shp%253Dd05b14bd%2526shcp%253D34ff8df6%2526idc%253Dmy2%2526s%253DTIKTOK_AFFILIATE_VIRAL_VIDEO%22%2C%22placeholder_product_id%22%3A%221729427766722726591%22%2C%22placeholder_video_id%22%3A%227633711051539795221%22%7D&amp;ec_shared_reflux_scene=shop_tab_feed&amp;share_item_id=7633711051539795221&amp;source=h5_t</v>
      </c>
      <c r="O734" s="464"/>
      <c r="P734" s="279" t="str">
        <f>IFERROR(__xludf.DUMMYFUNCTION("""COMPUTED_VALUE"""),"https://www.tiktok.com/@ginafathonah_/video/7633709453896011029?_r=1&amp;u_code=dlhe22ikkib396&amp;region=&amp;mid=7619637853471640341&amp;preview_pb=0&amp;sharer_language=&amp;_d=0&amp;ec_shared_reflux_dynamic_params=%7B%22placeholder_material_id%22%3A%227633709453896011029%22%2C%2"&amp;"2placeholder_origin_cover%22%3A%22https%253A%252F%252Fp16-common-sign.tiktokcdn.com%252Ftos-alisg-p-0037%252FoovEwYflIcvEcT8BNwoDfBZRHiAFBLGg8TGpIs~tplv-tiktokx-origin.jpeg%253Fdr%253D14572%2526refresh_token%253De3cdc61f%2526x-expires%253D1810198800%2526x"&amp;"-signature%253DHHmm7lNZqSGQbSI0ExXwx8ss46g%25253D%2526t%253D4d5b0474%2526ps%253D13740610%2526shp%253Dd05b14bd%2526shcp%253D34ff8df6%2526idc%253Dmy2%2526s%253DTIKTOK_AFFILIATE_VIRAL_VIDEO%22%2C%22placeholder_product_id%22%3A%221729427766722726591%22%2C%22p"&amp;"laceholder_video_id%22%3A%227633709453896011029%22%7D&amp;ec_shared_reflux_scene=shop_tab_feed&amp;share_item_id=7633709453896011029&amp;source=h5_t")</f>
        <v>https://www.tiktok.com/@ginafathonah_/video/7633709453896011029?_r=1&amp;u_code=dlhe22ikkib396&amp;region=&amp;mid=7619637853471640341&amp;preview_pb=0&amp;sharer_language=&amp;_d=0&amp;ec_shared_reflux_dynamic_params=%7B%22placeholder_material_id%22%3A%227633709453896011029%22%2C%22placeholder_origin_cover%22%3A%22https%253A%252F%252Fp16-common-sign.tiktokcdn.com%252Ftos-alisg-p-0037%252FoovEwYflIcvEcT8BNwoDfBZRHiAFBLGg8TGpIs~tplv-tiktokx-origin.jpeg%253Fdr%253D14572%2526refresh_token%253De3cdc61f%2526x-expires%253D1810198800%2526x-signature%253DHHmm7lNZqSGQbSI0ExXwx8ss46g%25253D%2526t%253D4d5b0474%2526ps%253D13740610%2526shp%253Dd05b14bd%2526shcp%253D34ff8df6%2526idc%253Dmy2%2526s%253DTIKTOK_AFFILIATE_VIRAL_VIDEO%22%2C%22placeholder_product_id%22%3A%221729427766722726591%22%2C%22placeholder_video_id%22%3A%227633709453896011029%22%7D&amp;ec_shared_reflux_scene=shop_tab_feed&amp;share_item_id=7633709453896011029&amp;source=h5_t</v>
      </c>
    </row>
    <row r="735">
      <c r="A735" s="255" t="str">
        <f>IFERROR(__xludf.DUMMYFUNCTION("""COMPUTED_VALUE"""),"MICRO")</f>
        <v>MICRO</v>
      </c>
      <c r="B735" s="361" t="str">
        <f>IFERROR(__xludf.DUMMYFUNCTION("""COMPUTED_VALUE"""),"mencuss10")</f>
        <v>mencuss10</v>
      </c>
      <c r="C735" s="257" t="str">
        <f>IFERROR(__xludf.DUMMYFUNCTION("""COMPUTED_VALUE"""),"https://www.tiktok.com/@mencuss10")</f>
        <v>https://www.tiktok.com/@mencuss10</v>
      </c>
      <c r="D735" s="270">
        <f>IFERROR(__xludf.DUMMYFUNCTION("""COMPUTED_VALUE"""),8.3831222189E10)</f>
        <v>83831222189</v>
      </c>
      <c r="E735" s="457">
        <f>IFERROR(__xludf.DUMMYFUNCTION("""COMPUTED_VALUE"""),0.0)</f>
        <v>0</v>
      </c>
      <c r="F735" s="270">
        <f>IFERROR(__xludf.DUMMYFUNCTION("""COMPUTED_VALUE"""),4.0)</f>
        <v>4</v>
      </c>
      <c r="G735" s="17" t="str">
        <f>IFERROR(__xludf.DUMMYFUNCTION("""COMPUTED_VALUE"""),"Sabun batang 1 Box ( 2 PCS )")</f>
        <v>Sabun batang 1 Box ( 2 PCS )</v>
      </c>
      <c r="H735" s="463" t="str">
        <f>IFERROR(__xludf.DUMMYFUNCTION("""COMPUTED_VALUE"""),"Sampai")</f>
        <v>Sampai</v>
      </c>
      <c r="I735" s="464" t="str">
        <f>IFERROR(__xludf.DUMMYFUNCTION("""COMPUTED_VALUE"""),"KIMME")</f>
        <v>KIMME</v>
      </c>
      <c r="J735" s="279" t="str">
        <f>IFERROR(__xludf.DUMMYFUNCTION("""COMPUTED_VALUE"""),"https://vt.tiktok.com/ZS9RQMcXg/")</f>
        <v>https://vt.tiktok.com/ZS9RQMcXg/</v>
      </c>
      <c r="K735" s="464" t="str">
        <f>IFERROR(__xludf.DUMMYFUNCTION("""COMPUTED_VALUE"""),"KIMME")</f>
        <v>KIMME</v>
      </c>
      <c r="L735" s="279" t="str">
        <f>IFERROR(__xludf.DUMMYFUNCTION("""COMPUTED_VALUE"""),"https://vt.tiktok.com/ZS9RQ1Tyk/")</f>
        <v>https://vt.tiktok.com/ZS9RQ1Tyk/</v>
      </c>
      <c r="M735" s="464"/>
      <c r="N735" s="279" t="str">
        <f>IFERROR(__xludf.DUMMYFUNCTION("""COMPUTED_VALUE"""),"https://www.tiktok.com/@productskincare/video/7638613765432413448?_r=1&amp;u_code=dkcmglg7ehgljg&amp;region=&amp;mid=7631095982607846165&amp;preview_pb=0&amp;sharer_language=&amp;_d=0&amp;ec_shared_reflux_dynamic_params=%7B%22placeholder_material_id%22%3A%227638613765432413448%22%2C"&amp;"%22placeholder_origin_cover%22%3A%22https%253A%252F%252Fp16-common-sign.tiktokcdn.com%252Ftos-alisg-p-0037%252FoIUy4wDYeC6Q5AFjgDJQqZJDMAISAffAX1nDE4~tplv-tiktokx-origin.jpeg%253Fdr%253D14572%2526refresh_token%253D9bed5ed7%2526x-expires%253D1810198800%252"&amp;"6x-signature%253DtzwgtsZ0KBySkD4hGDCF9Mk7X8w%25253D%2526t%253D4d5b0474%2526ps%253D13740610%2526shp%253Dd05b14bd%2526shcp%253D34ff8df6%2526idc%253Dmy2%2526s%253DTIKTOK_AFFILIATE_VIRAL_VIDEO%22%2C%22placeholder_product_id%22%3A%221729427766722726591%22%2C%2"&amp;"2placeholder_video_id%22%3A%227638613765432413448%22%7D&amp;ec_shared_reflux_scene=shop_tab_feed&amp;share_item_id=7638613765432413448&amp;source=h5_t")</f>
        <v>https://www.tiktok.com/@productskincare/video/7638613765432413448?_r=1&amp;u_code=dkcmglg7ehgljg&amp;region=&amp;mid=7631095982607846165&amp;preview_pb=0&amp;sharer_language=&amp;_d=0&amp;ec_shared_reflux_dynamic_params=%7B%22placeholder_material_id%22%3A%227638613765432413448%22%2C%22placeholder_origin_cover%22%3A%22https%253A%252F%252Fp16-common-sign.tiktokcdn.com%252Ftos-alisg-p-0037%252FoIUy4wDYeC6Q5AFjgDJQqZJDMAISAffAX1nDE4~tplv-tiktokx-origin.jpeg%253Fdr%253D14572%2526refresh_token%253D9bed5ed7%2526x-expires%253D1810198800%2526x-signature%253DtzwgtsZ0KBySkD4hGDCF9Mk7X8w%25253D%2526t%253D4d5b0474%2526ps%253D13740610%2526shp%253Dd05b14bd%2526shcp%253D34ff8df6%2526idc%253Dmy2%2526s%253DTIKTOK_AFFILIATE_VIRAL_VIDEO%22%2C%22placeholder_product_id%22%3A%221729427766722726591%22%2C%22placeholder_video_id%22%3A%227638613765432413448%22%7D&amp;ec_shared_reflux_scene=shop_tab_feed&amp;share_item_id=7638613765432413448&amp;source=h5_t</v>
      </c>
      <c r="O735" s="464"/>
      <c r="P735" s="279" t="str">
        <f>IFERROR(__xludf.DUMMYFUNCTION("""COMPUTED_VALUE"""),"https://www.tiktok.com/@productskincare/video/7637320589748751624?_r=1&amp;u_code=dkcmglg7ehgljg&amp;region=&amp;mid=7634506985177762580&amp;preview_pb=0&amp;sharer_language=&amp;_d=0&amp;ec_shared_reflux_dynamic_params=%7B%22placeholder_material_id%22%3A%227637320589748751624%22%2C"&amp;"%22placeholder_origin_cover%22%3A%22https%253A%252F%252Fp16-common-sign.tiktokcdn.com%252Ftos-alisg-p-0037%252Fo400A96JigqihzNAHw3IfzOuI2rHBAC5CvlIOu~tplv-tiktokx-origin.jpeg%253Fdr%253D14572%2526refresh_token%253Ddc3af5b4%2526x-expires%253D1810198800%252"&amp;"6x-signature%253DZRzL%25252BbyRJIMnvQnJaI6In%25252BQKAPw%25253D%2526t%253D4d5b0474%2526ps%253D13740610%2526shp%253Dd05b14bd%2526shcp%253D34ff8df6%2526idc%253Dmy2%2526s%253DTIKTOK_AFFILIATE_VIRAL_VIDEO%22%2C%22placeholder_product_id%22%3A%22172942776672272"&amp;"6591%22%2C%22placeholder_video_id%22%3A%227637320589748751624%22%7D&amp;ec_shared_reflux_scene=shop_tab_feed&amp;share_item_id=7637320589748751624&amp;source=h5_t")</f>
        <v>https://www.tiktok.com/@productskincare/video/7637320589748751624?_r=1&amp;u_code=dkcmglg7ehgljg&amp;region=&amp;mid=7634506985177762580&amp;preview_pb=0&amp;sharer_language=&amp;_d=0&amp;ec_shared_reflux_dynamic_params=%7B%22placeholder_material_id%22%3A%227637320589748751624%22%2C%22placeholder_origin_cover%22%3A%22https%253A%252F%252Fp16-common-sign.tiktokcdn.com%252Ftos-alisg-p-0037%252Fo400A96JigqihzNAHw3IfzOuI2rHBAC5CvlIOu~tplv-tiktokx-origin.jpeg%253Fdr%253D14572%2526refresh_token%253Ddc3af5b4%2526x-expires%253D1810198800%2526x-signature%253DZRzL%25252BbyRJIMnvQnJaI6In%25252BQKAPw%25253D%2526t%253D4d5b0474%2526ps%253D13740610%2526shp%253Dd05b14bd%2526shcp%253D34ff8df6%2526idc%253Dmy2%2526s%253DTIKTOK_AFFILIATE_VIRAL_VIDEO%22%2C%22placeholder_product_id%22%3A%221729427766722726591%22%2C%22placeholder_video_id%22%3A%227637320589748751624%22%7D&amp;ec_shared_reflux_scene=shop_tab_feed&amp;share_item_id=7637320589748751624&amp;source=h5_t</v>
      </c>
    </row>
    <row r="736">
      <c r="A736" s="255" t="str">
        <f>IFERROR(__xludf.DUMMYFUNCTION("""COMPUTED_VALUE"""),"MICRO")</f>
        <v>MICRO</v>
      </c>
      <c r="B736" s="361" t="str">
        <f>IFERROR(__xludf.DUMMYFUNCTION("""COMPUTED_VALUE"""),"novachanid        ")</f>
        <v>novachanid        </v>
      </c>
      <c r="C736" s="257" t="str">
        <f>IFERROR(__xludf.DUMMYFUNCTION("""COMPUTED_VALUE"""),"https://www.tiktok.com/@novachanid        ")</f>
        <v>https://www.tiktok.com/@novachanid        </v>
      </c>
      <c r="D736" s="270">
        <f>IFERROR(__xludf.DUMMYFUNCTION("""COMPUTED_VALUE"""),6.2881082015049E13)</f>
        <v>62881082015049</v>
      </c>
      <c r="E736" s="457">
        <f>IFERROR(__xludf.DUMMYFUNCTION("""COMPUTED_VALUE"""),0.0)</f>
        <v>0</v>
      </c>
      <c r="F736" s="270">
        <f>IFERROR(__xludf.DUMMYFUNCTION("""COMPUTED_VALUE"""),4.0)</f>
        <v>4</v>
      </c>
      <c r="G736" s="17" t="str">
        <f>IFERROR(__xludf.DUMMYFUNCTION("""COMPUTED_VALUE"""),"Sabun batang 1 Box ( 2 PCS )")</f>
        <v>Sabun batang 1 Box ( 2 PCS )</v>
      </c>
      <c r="H736" s="463" t="str">
        <f>IFERROR(__xludf.DUMMYFUNCTION("""COMPUTED_VALUE"""),"Sampai")</f>
        <v>Sampai</v>
      </c>
      <c r="I736" s="464" t="str">
        <f>IFERROR(__xludf.DUMMYFUNCTION("""COMPUTED_VALUE"""),"KIMME")</f>
        <v>KIMME</v>
      </c>
      <c r="J736" s="279" t="str">
        <f>IFERROR(__xludf.DUMMYFUNCTION("""COMPUTED_VALUE"""),"https://www.tiktok.com/@productskincare/video/7636394392785341704?_r=1&amp;u_code=dkcmglg7ehgljg&amp;region=&amp;mid=7631435628520950536&amp;preview_pb=0&amp;sharer_language=&amp;_d=0&amp;ec_shared_reflux_dynamic_params=%7B%22placeholder_material_id%22%3A%227636394392785341704%22%2C"&amp;"%22placeholder_origin_cover%22%3A%22https%253A%252F%252Fp16-common-sign.tiktokcdn.com%252Ftos-alisg-p-0037%252FoQ55M4sijCIuBIVICAi0A7TBwquAxAQEPnfCH3~tplv-tiktokx-origin.jpeg%253Fdr%253D14572%2526refresh_token%253D6db1c3ee%2526x-expires%253D1810198800%252"&amp;"6x-signature%253DpulnC0YGuOCLQZpScokqqbpVNjw%25253D%2526t%253D4d5b0474%2526ps%253D13740610%2526shp%253Dd05b14bd%2526shcp%253D34ff8df6%2526idc%253Dmy2%2526s%253DTIKTOK_AFFILIATE_VIRAL_VIDEO%22%2C%22placeholder_product_id%22%3A%221729427766722726591%22%2C%2"&amp;"2placeholder_video_id%22%3A%227636394392785341704%22%7D&amp;ec_shared_reflux_scene=shop_tab_feed&amp;share_item_id=7636394392785341704&amp;source=h5_t")</f>
        <v>https://www.tiktok.com/@productskincare/video/7636394392785341704?_r=1&amp;u_code=dkcmglg7ehgljg&amp;region=&amp;mid=7631435628520950536&amp;preview_pb=0&amp;sharer_language=&amp;_d=0&amp;ec_shared_reflux_dynamic_params=%7B%22placeholder_material_id%22%3A%227636394392785341704%22%2C%22placeholder_origin_cover%22%3A%22https%253A%252F%252Fp16-common-sign.tiktokcdn.com%252Ftos-alisg-p-0037%252FoQ55M4sijCIuBIVICAi0A7TBwquAxAQEPnfCH3~tplv-tiktokx-origin.jpeg%253Fdr%253D14572%2526refresh_token%253D6db1c3ee%2526x-expires%253D1810198800%2526x-signature%253DpulnC0YGuOCLQZpScokqqbpVNjw%25253D%2526t%253D4d5b0474%2526ps%253D13740610%2526shp%253Dd05b14bd%2526shcp%253D34ff8df6%2526idc%253Dmy2%2526s%253DTIKTOK_AFFILIATE_VIRAL_VIDEO%22%2C%22placeholder_product_id%22%3A%221729427766722726591%22%2C%22placeholder_video_id%22%3A%227636394392785341704%22%7D&amp;ec_shared_reflux_scene=shop_tab_feed&amp;share_item_id=7636394392785341704&amp;source=h5_t</v>
      </c>
      <c r="K736" s="464" t="str">
        <f>IFERROR(__xludf.DUMMYFUNCTION("""COMPUTED_VALUE"""),"KIMME")</f>
        <v>KIMME</v>
      </c>
      <c r="L736" s="279" t="str">
        <f>IFERROR(__xludf.DUMMYFUNCTION("""COMPUTED_VALUE"""),"https://www.tiktok.com/@productskincare/video/7635987273082785031?_r=1&amp;u_code=dkcmglg7ehgljg&amp;region=&amp;mid=7631475034049088263&amp;preview_pb=0&amp;sharer_language=&amp;_d=0&amp;ec_shared_reflux_dynamic_params=%7B%22placeholder_material_id%22%3A%227635987273082785031%22%2C"&amp;"%22placeholder_origin_cover%22%3A%22https%253A%252F%252Fp19-common-sign.tiktokcdn.com%252Ftos-alisg-p-0037%252FoAaDHnTQw6NDhCZeAs4gHfE3FIAj3CewicOnOQ~tplv-tiktokx-origin.jpeg%253Fdr%253D14572%2526refresh_token%253Da4ee8368%2526x-expires%253D1810198800%252"&amp;"6x-signature%253D5FECmpXO3GjWmyZwnYfa7%25252F%25252Ffit0%25253D%2526t%253D4d5b0474%2526ps%253D13740610%2526shp%253Dd05b14bd%2526shcp%253D34ff8df6%2526idc%253Dmy2%2526s%253DTIKTOK_AFFILIATE_VIRAL_VIDEO%22%2C%22placeholder_product_id%22%3A%22172942776672272"&amp;"6591%22%2C%22placeholder_video_id%22%3A%227635987273082785031%22%7D&amp;ec_shared_reflux_scene=shop_tab_feed&amp;share_item_id=7635987273082785031&amp;source=h5_t")</f>
        <v>https://www.tiktok.com/@productskincare/video/7635987273082785031?_r=1&amp;u_code=dkcmglg7ehgljg&amp;region=&amp;mid=7631475034049088263&amp;preview_pb=0&amp;sharer_language=&amp;_d=0&amp;ec_shared_reflux_dynamic_params=%7B%22placeholder_material_id%22%3A%227635987273082785031%22%2C%22placeholder_origin_cover%22%3A%22https%253A%252F%252Fp19-common-sign.tiktokcdn.com%252Ftos-alisg-p-0037%252FoAaDHnTQw6NDhCZeAs4gHfE3FIAj3CewicOnOQ~tplv-tiktokx-origin.jpeg%253Fdr%253D14572%2526refresh_token%253Da4ee8368%2526x-expires%253D1810198800%2526x-signature%253D5FECmpXO3GjWmyZwnYfa7%25252F%25252Ffit0%25253D%2526t%253D4d5b0474%2526ps%253D13740610%2526shp%253Dd05b14bd%2526shcp%253D34ff8df6%2526idc%253Dmy2%2526s%253DTIKTOK_AFFILIATE_VIRAL_VIDEO%22%2C%22placeholder_product_id%22%3A%221729427766722726591%22%2C%22placeholder_video_id%22%3A%227635987273082785031%22%7D&amp;ec_shared_reflux_scene=shop_tab_feed&amp;share_item_id=7635987273082785031&amp;source=h5_t</v>
      </c>
      <c r="M736" s="464"/>
      <c r="N736" s="279" t="str">
        <f>IFERROR(__xludf.DUMMYFUNCTION("""COMPUTED_VALUE"""),"https://www.tiktok.com/@productskincare/video/7635497236050300178?_r=1&amp;u_code=dkcmglg7ehgljg&amp;region=&amp;mid=7587804695461972754&amp;preview_pb=0&amp;sharer_language=&amp;_d=0&amp;ec_shared_reflux_dynamic_params=%7B%22placeholder_material_id%22%3A%227635497236050300178%22%2C"&amp;"%22placeholder_origin_cover%22%3A%22https%253A%252F%252Fp16-common-sign.tiktokcdn.com%252Ftos-alisg-p-0037%252FoEnDEpRBBgeneTBGvenRaYKF2AlLwBq4AARsfG~tplv-tiktokx-origin.jpeg%253Fdr%253D14572%2526refresh_token%253D7db3e1fd%2526x-expires%253D1810198800%252"&amp;"6x-signature%253D4agKs%25252F4WUMNOfYan0NJQAINjDuI%25253D%2526t%253D4d5b0474%2526ps%253D13740610%2526shp%253Dd05b14bd%2526shcp%253D34ff8df6%2526idc%253Dmy2%2526s%253DTIKTOK_AFFILIATE_VIRAL_VIDEO%22%2C%22placeholder_product_id%22%3A%221729427766722726591%2"&amp;"2%2C%22placeholder_video_id%22%3A%227635497236050300178%22%7D&amp;ec_shared_reflux_scene=shop_tab_feed&amp;share_item_id=7635497236050300178&amp;source=h5_t")</f>
        <v>https://www.tiktok.com/@productskincare/video/7635497236050300178?_r=1&amp;u_code=dkcmglg7ehgljg&amp;region=&amp;mid=7587804695461972754&amp;preview_pb=0&amp;sharer_language=&amp;_d=0&amp;ec_shared_reflux_dynamic_params=%7B%22placeholder_material_id%22%3A%227635497236050300178%22%2C%22placeholder_origin_cover%22%3A%22https%253A%252F%252Fp16-common-sign.tiktokcdn.com%252Ftos-alisg-p-0037%252FoEnDEpRBBgeneTBGvenRaYKF2AlLwBq4AARsfG~tplv-tiktokx-origin.jpeg%253Fdr%253D14572%2526refresh_token%253D7db3e1fd%2526x-expires%253D1810198800%2526x-signature%253D4agKs%25252F4WUMNOfYan0NJQAINjDuI%25253D%2526t%253D4d5b0474%2526ps%253D13740610%2526shp%253Dd05b14bd%2526shcp%253D34ff8df6%2526idc%253Dmy2%2526s%253DTIKTOK_AFFILIATE_VIRAL_VIDEO%22%2C%22placeholder_product_id%22%3A%221729427766722726591%22%2C%22placeholder_video_id%22%3A%227635497236050300178%22%7D&amp;ec_shared_reflux_scene=shop_tab_feed&amp;share_item_id=7635497236050300178&amp;source=h5_t</v>
      </c>
      <c r="O736" s="464"/>
      <c r="P736" s="279" t="str">
        <f>IFERROR(__xludf.DUMMYFUNCTION("""COMPUTED_VALUE"""),"https://www.tiktok.com/@productskincare/video/7634944268594957576?_r=1&amp;u_code=dkcmglg7ehgljg&amp;region=&amp;mid=7631027175227591431&amp;preview_pb=0&amp;sharer_language=&amp;_d=0&amp;ec_shared_reflux_dynamic_params=%7B%22placeholder_material_id%22%3A%227634944268594957576%22%2C"&amp;"%22placeholder_origin_cover%22%3A%22https%253A%252F%252Fp16-common-sign.tiktokcdn.com%252Ftos-alisg-p-0037%252Fo4bECxtWIaeEUL9Bu0NDfB5RVWAFBxMgwvlpIT~tplv-tiktokx-origin.jpeg%253Fdr%253D14572%2526refresh_token%253Da2d90ce1%2526x-expires%253D1810198800%252"&amp;"6x-signature%253DYPtmrFbMkfHI%25252FpvuM4C%25252BQoF2WHI%25253D%2526t%253D4d5b0474%2526ps%253D13740610%2526shp%253Dd05b14bd%2526shcp%253D34ff8df6%2526idc%253Dmy2%2526s%253DTIKTOK_AFFILIATE_VIRAL_VIDEO%22%2C%22placeholder_product_id%22%3A%22172942776672272"&amp;"6591%22%2C%22placeholder_video_id%22%3A%227634944268594957576%22%7D&amp;ec_shared_reflux_scene=shop_tab_feed&amp;share_item_id=7634944268594957576&amp;source=h5_t")</f>
        <v>https://www.tiktok.com/@productskincare/video/7634944268594957576?_r=1&amp;u_code=dkcmglg7ehgljg&amp;region=&amp;mid=7631027175227591431&amp;preview_pb=0&amp;sharer_language=&amp;_d=0&amp;ec_shared_reflux_dynamic_params=%7B%22placeholder_material_id%22%3A%227634944268594957576%22%2C%22placeholder_origin_cover%22%3A%22https%253A%252F%252Fp16-common-sign.tiktokcdn.com%252Ftos-alisg-p-0037%252Fo4bECxtWIaeEUL9Bu0NDfB5RVWAFBxMgwvlpIT~tplv-tiktokx-origin.jpeg%253Fdr%253D14572%2526refresh_token%253Da2d90ce1%2526x-expires%253D1810198800%2526x-signature%253DYPtmrFbMkfHI%25252FpvuM4C%25252BQoF2WHI%25253D%2526t%253D4d5b0474%2526ps%253D13740610%2526shp%253Dd05b14bd%2526shcp%253D34ff8df6%2526idc%253Dmy2%2526s%253DTIKTOK_AFFILIATE_VIRAL_VIDEO%22%2C%22placeholder_product_id%22%3A%221729427766722726591%22%2C%22placeholder_video_id%22%3A%227634944268594957576%22%7D&amp;ec_shared_reflux_scene=shop_tab_feed&amp;share_item_id=7634944268594957576&amp;source=h5_t</v>
      </c>
    </row>
    <row r="737">
      <c r="A737" s="255" t="str">
        <f>IFERROR(__xludf.DUMMYFUNCTION("""COMPUTED_VALUE"""),"MICRO")</f>
        <v>MICRO</v>
      </c>
      <c r="B737" s="361" t="str">
        <f>IFERROR(__xludf.DUMMYFUNCTION("""COMPUTED_VALUE"""),"alimatul018")</f>
        <v>alimatul018</v>
      </c>
      <c r="C737" s="257" t="str">
        <f>IFERROR(__xludf.DUMMYFUNCTION("""COMPUTED_VALUE"""),"https://www.tiktok.com/@alimatul018")</f>
        <v>https://www.tiktok.com/@alimatul018</v>
      </c>
      <c r="D737" s="270">
        <f>IFERROR(__xludf.DUMMYFUNCTION("""COMPUTED_VALUE"""),8.8221548112E10)</f>
        <v>88221548112</v>
      </c>
      <c r="E737" s="457">
        <f>IFERROR(__xludf.DUMMYFUNCTION("""COMPUTED_VALUE"""),100000.0)</f>
        <v>100000</v>
      </c>
      <c r="F737" s="270">
        <f>IFERROR(__xludf.DUMMYFUNCTION("""COMPUTED_VALUE"""),1.0)</f>
        <v>1</v>
      </c>
      <c r="G737" s="17" t="str">
        <f>IFERROR(__xludf.DUMMYFUNCTION("""COMPUTED_VALUE"""),"Sabun batang 1 Box ( 2 PCS )")</f>
        <v>Sabun batang 1 Box ( 2 PCS )</v>
      </c>
      <c r="H737" s="463" t="str">
        <f>IFERROR(__xludf.DUMMYFUNCTION("""COMPUTED_VALUE"""),"Sampai")</f>
        <v>Sampai</v>
      </c>
      <c r="I737" s="464" t="str">
        <f>IFERROR(__xludf.DUMMYFUNCTION("""COMPUTED_VALUE"""),"KIMME")</f>
        <v>KIMME</v>
      </c>
      <c r="J737" s="279" t="str">
        <f>IFERROR(__xludf.DUMMYFUNCTION("""COMPUTED_VALUE"""),"https://vt.tiktok.com/ZSQexDEdQ/")</f>
        <v>https://vt.tiktok.com/ZSQexDEdQ/</v>
      </c>
      <c r="K737" s="464" t="str">
        <f>IFERROR(__xludf.DUMMYFUNCTION("""COMPUTED_VALUE"""),"KIMME")</f>
        <v>KIMME</v>
      </c>
      <c r="L737" s="279" t="str">
        <f>IFERROR(__xludf.DUMMYFUNCTION("""COMPUTED_VALUE"""),"https://www.tiktok.com/@racun.outfitbymey/video/7639231667684527378?_r=1&amp;u_code=e7l2927dhlabgg&amp;region=&amp;mid=7617377616906980117&amp;preview_pb=0&amp;sharer_language=&amp;_d=0&amp;ec_shared_reflux_dynamic_params=%7B%22placeholder_material_id%22%3A%227639231667684527378%22%"&amp;"2C%22placeholder_origin_cover%22%3A%22https%253A%252F%252Fp16-common-sign.tiktokcdn.com%252Ftos-alisg-p-0037%252FowIIBiwzIt1BZpCMIAEUzqia6AlNAAfg31APBF~tplv-tiktokx-origin.jpeg%253Fdr%253D14572%2526refresh_token%253Dc32047c4%2526x-expires%253D1810195200%2"&amp;"526x-signature%253DQYKY1u%25252B2G%25252FnNp%25252FKyGC%25252FhRWq2%25252Bnc%25253D%2526t%253D4d5b0474%2526ps%253D13740610%2526shp%253Dd05b14bd%2526shcp%253D34ff8df6%2526idc%253Dmy2%2526s%253DTIKTOK_AFFILIATE_VIRAL_VIDEO%22%2C%22placeholder_product_id%22%"&amp;"3A%221729427766722726591%22%2C%22placeholder_video_id%22%3A%227639231667684527378%22%7D&amp;ec_shared_reflux_scene=shop_tab_feed&amp;share_item_id=7639231667684527378&amp;source=h5_t")</f>
        <v>https://www.tiktok.com/@racun.outfitbymey/video/7639231667684527378?_r=1&amp;u_code=e7l2927dhlabgg&amp;region=&amp;mid=7617377616906980117&amp;preview_pb=0&amp;sharer_language=&amp;_d=0&amp;ec_shared_reflux_dynamic_params=%7B%22placeholder_material_id%22%3A%227639231667684527378%22%2C%22placeholder_origin_cover%22%3A%22https%253A%252F%252Fp16-common-sign.tiktokcdn.com%252Ftos-alisg-p-0037%252FowIIBiwzIt1BZpCMIAEUzqia6AlNAAfg31APBF~tplv-tiktokx-origin.jpeg%253Fdr%253D14572%2526refresh_token%253Dc32047c4%2526x-expires%253D1810195200%2526x-signature%253DQYKY1u%25252B2G%25252FnNp%25252FKyGC%25252FhRWq2%25252Bnc%25253D%2526t%253D4d5b0474%2526ps%253D13740610%2526shp%253Dd05b14bd%2526shcp%253D34ff8df6%2526idc%253Dmy2%2526s%253DTIKTOK_AFFILIATE_VIRAL_VIDEO%22%2C%22placeholder_product_id%22%3A%221729427766722726591%22%2C%22placeholder_video_id%22%3A%227639231667684527378%22%7D&amp;ec_shared_reflux_scene=shop_tab_feed&amp;share_item_id=7639231667684527378&amp;source=h5_t</v>
      </c>
      <c r="M737" s="464"/>
      <c r="N737" s="279" t="str">
        <f>IFERROR(__xludf.DUMMYFUNCTION("""COMPUTED_VALUE"""),"https://www.tiktok.com/@racun.outfitbymey/video/7638642556191968530?_r=1&amp;u_code=e7l2927dhlabgg&amp;region=&amp;mid=7637379048820198164&amp;preview_pb=0&amp;sharer_language=&amp;_d=0&amp;ec_shared_reflux_dynamic_params=%7B%22placeholder_material_id%22%3A%227638642556191968530%22%"&amp;"2C%22placeholder_origin_cover%22%3A%22https%253A%252F%252Fp16-common-sign.tiktokcdn.com%252Ftos-alisg-p-0037%252FoABbAADCxQUfFIOi14fCj8lvBpca8eIBAEDwcQ~tplv-tiktokx-origin.jpeg%253Fdr%253D14572%2526refresh_token%253D36eeb172%2526x-expires%253D1810195200%2"&amp;"526x-signature%253Dbyrvoyu1GAJK20eNEdAIYuUxJp0%25253D%2526t%253D4d5b0474%2526ps%253D13740610%2526shp%253Dd05b14bd%2526shcp%253D34ff8df6%2526idc%253Dmy2%2526s%253DTIKTOK_AFFILIATE_VIRAL_VIDEO%22%2C%22placeholder_product_id%22%3A%221729427766722726591%22%2C"&amp;"%22placeholder_video_id%22%3A%227638642556191968530%22%7D&amp;ec_shared_reflux_scene=shop_tab_feed&amp;share_item_id=7638642556191968530&amp;source=h5_t")</f>
        <v>https://www.tiktok.com/@racun.outfitbymey/video/7638642556191968530?_r=1&amp;u_code=e7l2927dhlabgg&amp;region=&amp;mid=7637379048820198164&amp;preview_pb=0&amp;sharer_language=&amp;_d=0&amp;ec_shared_reflux_dynamic_params=%7B%22placeholder_material_id%22%3A%227638642556191968530%22%2C%22placeholder_origin_cover%22%3A%22https%253A%252F%252Fp16-common-sign.tiktokcdn.com%252Ftos-alisg-p-0037%252FoABbAADCxQUfFIOi14fCj8lvBpca8eIBAEDwcQ~tplv-tiktokx-origin.jpeg%253Fdr%253D14572%2526refresh_token%253D36eeb172%2526x-expires%253D1810195200%2526x-signature%253Dbyrvoyu1GAJK20eNEdAIYuUxJp0%25253D%2526t%253D4d5b0474%2526ps%253D13740610%2526shp%253Dd05b14bd%2526shcp%253D34ff8df6%2526idc%253Dmy2%2526s%253DTIKTOK_AFFILIATE_VIRAL_VIDEO%22%2C%22placeholder_product_id%22%3A%221729427766722726591%22%2C%22placeholder_video_id%22%3A%227638642556191968530%22%7D&amp;ec_shared_reflux_scene=shop_tab_feed&amp;share_item_id=7638642556191968530&amp;source=h5_t</v>
      </c>
      <c r="O737" s="464"/>
      <c r="P737" s="279" t="str">
        <f>IFERROR(__xludf.DUMMYFUNCTION("""COMPUTED_VALUE"""),"https://www.tiktok.com/@racun.outfitbymey/video/7638180161522814215?_r=1&amp;u_code=e7l2927dhlabgg&amp;region=&amp;mid=7634107877507140372&amp;preview_pb=0&amp;sharer_language=&amp;_d=0&amp;ec_shared_reflux_dynamic_params=%7B%22placeholder_material_id%22%3A%227638180161522814215%22%"&amp;"2C%22placeholder_origin_cover%22%3A%22https%253A%252F%252Fp16-common-sign.tiktokcdn.com%252Ftos-alisg-p-0037%252Fo0ATiSsERIXAGUpfo8IBnIDqU9eFEBzEBgCQRA~tplv-tiktokx-origin.jpeg%253Fdr%253D14572%2526refresh_token%253D29eb491a%2526x-expires%253D1810195200%2"&amp;"526x-signature%253DzafkcXNKQg2hWm6nJUuUQlmj6cU%25253D%2526t%253D4d5b0474%2526ps%253D13740610%2526shp%253Dd05b14bd%2526shcp%253D34ff8df6%2526idc%253Dmy2%2526s%253DTIKTOK_AFFILIATE_VIRAL_VIDEO%22%2C%22placeholder_product_id%22%3A%221729427766722726591%22%2C"&amp;"%22placeholder_video_id%22%3A%227638180161522814215%22%7D&amp;ec_shared_reflux_scene=shop_tab_feed&amp;share_item_id=7638180161522814215&amp;source=h5_t")</f>
        <v>https://www.tiktok.com/@racun.outfitbymey/video/7638180161522814215?_r=1&amp;u_code=e7l2927dhlabgg&amp;region=&amp;mid=7634107877507140372&amp;preview_pb=0&amp;sharer_language=&amp;_d=0&amp;ec_shared_reflux_dynamic_params=%7B%22placeholder_material_id%22%3A%227638180161522814215%22%2C%22placeholder_origin_cover%22%3A%22https%253A%252F%252Fp16-common-sign.tiktokcdn.com%252Ftos-alisg-p-0037%252Fo0ATiSsERIXAGUpfo8IBnIDqU9eFEBzEBgCQRA~tplv-tiktokx-origin.jpeg%253Fdr%253D14572%2526refresh_token%253D29eb491a%2526x-expires%253D1810195200%2526x-signature%253DzafkcXNKQg2hWm6nJUuUQlmj6cU%25253D%2526t%253D4d5b0474%2526ps%253D13740610%2526shp%253Dd05b14bd%2526shcp%253D34ff8df6%2526idc%253Dmy2%2526s%253DTIKTOK_AFFILIATE_VIRAL_VIDEO%22%2C%22placeholder_product_id%22%3A%221729427766722726591%22%2C%22placeholder_video_id%22%3A%227638180161522814215%22%7D&amp;ec_shared_reflux_scene=shop_tab_feed&amp;share_item_id=7638180161522814215&amp;source=h5_t</v>
      </c>
    </row>
    <row r="738">
      <c r="A738" s="255" t="str">
        <f>IFERROR(__xludf.DUMMYFUNCTION("""COMPUTED_VALUE"""),"MICRO")</f>
        <v>MICRO</v>
      </c>
      <c r="B738" s="361" t="str">
        <f>IFERROR(__xludf.DUMMYFUNCTION("""COMPUTED_VALUE"""),"arul_baster")</f>
        <v>arul_baster</v>
      </c>
      <c r="C738" s="257" t="str">
        <f>IFERROR(__xludf.DUMMYFUNCTION("""COMPUTED_VALUE"""),"https://www.tiktok.com/@arul_baster")</f>
        <v>https://www.tiktok.com/@arul_baster</v>
      </c>
      <c r="D738" s="270">
        <f>IFERROR(__xludf.DUMMYFUNCTION("""COMPUTED_VALUE"""),8.5921624448E10)</f>
        <v>85921624448</v>
      </c>
      <c r="E738" s="457">
        <f>IFERROR(__xludf.DUMMYFUNCTION("""COMPUTED_VALUE"""),0.0)</f>
        <v>0</v>
      </c>
      <c r="F738" s="270">
        <f>IFERROR(__xludf.DUMMYFUNCTION("""COMPUTED_VALUE"""),4.0)</f>
        <v>4</v>
      </c>
      <c r="G738" s="17" t="str">
        <f>IFERROR(__xludf.DUMMYFUNCTION("""COMPUTED_VALUE"""),"Sabun batang 1 Box ( 2 PCS )")</f>
        <v>Sabun batang 1 Box ( 2 PCS )</v>
      </c>
      <c r="H738" s="463" t="str">
        <f>IFERROR(__xludf.DUMMYFUNCTION("""COMPUTED_VALUE"""),"Sampai")</f>
        <v>Sampai</v>
      </c>
      <c r="I738" s="464" t="str">
        <f>IFERROR(__xludf.DUMMYFUNCTION("""COMPUTED_VALUE"""),"KIMME")</f>
        <v>KIMME</v>
      </c>
      <c r="J738" s="279" t="str">
        <f>IFERROR(__xludf.DUMMYFUNCTION("""COMPUTED_VALUE"""),"https://vt.tiktok.com/ZS9LuDorJ/")</f>
        <v>https://vt.tiktok.com/ZS9LuDorJ/</v>
      </c>
      <c r="K738" s="464" t="str">
        <f>IFERROR(__xludf.DUMMYFUNCTION("""COMPUTED_VALUE"""),"KIMME")</f>
        <v>KIMME</v>
      </c>
      <c r="L738" s="279" t="str">
        <f>IFERROR(__xludf.DUMMYFUNCTION("""COMPUTED_VALUE"""),"https://vt.tiktok.com/ZS96dYuje/")</f>
        <v>https://vt.tiktok.com/ZS96dYuje/</v>
      </c>
      <c r="M738" s="464"/>
      <c r="N738" s="279" t="str">
        <f>IFERROR(__xludf.DUMMYFUNCTION("""COMPUTED_VALUE"""),"https://vt.tiktok.com/ZS9kTFutg/")</f>
        <v>https://vt.tiktok.com/ZS9kTFutg/</v>
      </c>
      <c r="O738" s="464"/>
      <c r="P738" s="279" t="str">
        <f>IFERROR(__xludf.DUMMYFUNCTION("""COMPUTED_VALUE"""),"https://www.tiktok.com/@arul_baster/video/7633085032805977365?_r=1&amp;u_code=em5ldfdci12ji3&amp;region=&amp;mid=6618871733141113604&amp;preview_pb=0&amp;sharer_language=&amp;_d=0&amp;ec_shared_reflux_dynamic_params=%7B%22placeholder_material_id%22%3A%227633085032805977365%22%2C%22p"&amp;"laceholder_origin_cover%22%3A%22https%253A%252F%252Fp16-common-sign.tiktokcdn.com%252Ftos-alisg-p-0037%252FoQFNcAlQicApGEQpH7FfBBggZVfYnqQVRGDxER~tplv-tiktokx-origin.jpeg%253Fdr%253D14572%2526refresh_token%253D8a40018a%2526x-expires%253D1808992800%2526x-s"&amp;"ignature%253DaEoDVuZMnIkYVId6OkDF6bczcZ0%25253D%2526t%253D4d5b0474%2526ps%253D13740610%2526shp%253Dd05b14bd%2526shcp%253D34ff8df6%2526idc%253Dmy2%2526s%253DTIKTOK_AFFILIATE_VIRAL_VIDEO%22%2C%22placeholder_product_id%22%3A%221729427766722726591%22%2C%22pla"&amp;"ceholder_video_id%22%3A%227633085032805977365%22%7D&amp;ec_shared_reflux_scene=shop_tab_feed&amp;share_item_id=7633085032805977365&amp;source=h5_t")</f>
        <v>https://www.tiktok.com/@arul_baster/video/7633085032805977365?_r=1&amp;u_code=em5ldfdci12ji3&amp;region=&amp;mid=6618871733141113604&amp;preview_pb=0&amp;sharer_language=&amp;_d=0&amp;ec_shared_reflux_dynamic_params=%7B%22placeholder_material_id%22%3A%227633085032805977365%22%2C%22placeholder_origin_cover%22%3A%22https%253A%252F%252Fp16-common-sign.tiktokcdn.com%252Ftos-alisg-p-0037%252FoQFNcAlQicApGEQpH7FfBBggZVfYnqQVRGDxER~tplv-tiktokx-origin.jpeg%253Fdr%253D14572%2526refresh_token%253D8a40018a%2526x-expires%253D1808992800%2526x-signature%253DaEoDVuZMnIkYVId6OkDF6bczcZ0%25253D%2526t%253D4d5b0474%2526ps%253D13740610%2526shp%253Dd05b14bd%2526shcp%253D34ff8df6%2526idc%253Dmy2%2526s%253DTIKTOK_AFFILIATE_VIRAL_VIDEO%22%2C%22placeholder_product_id%22%3A%221729427766722726591%22%2C%22placeholder_video_id%22%3A%227633085032805977365%22%7D&amp;ec_shared_reflux_scene=shop_tab_feed&amp;share_item_id=7633085032805977365&amp;source=h5_t</v>
      </c>
    </row>
    <row r="739">
      <c r="A739" s="255" t="str">
        <f>IFERROR(__xludf.DUMMYFUNCTION("""COMPUTED_VALUE"""),"MICRO")</f>
        <v>MICRO</v>
      </c>
      <c r="B739" s="361" t="str">
        <f>IFERROR(__xludf.DUMMYFUNCTION("""COMPUTED_VALUE"""),"karaskinbeauty")</f>
        <v>karaskinbeauty</v>
      </c>
      <c r="C739" s="257" t="str">
        <f>IFERROR(__xludf.DUMMYFUNCTION("""COMPUTED_VALUE"""),"https://www.tiktok.com/@karaskinbeauty")</f>
        <v>https://www.tiktok.com/@karaskinbeauty</v>
      </c>
      <c r="D739" s="270">
        <f>IFERROR(__xludf.DUMMYFUNCTION("""COMPUTED_VALUE"""),8.7731128125E10)</f>
        <v>87731128125</v>
      </c>
      <c r="E739" s="457">
        <f>IFERROR(__xludf.DUMMYFUNCTION("""COMPUTED_VALUE"""),0.0)</f>
        <v>0</v>
      </c>
      <c r="F739" s="270">
        <f>IFERROR(__xludf.DUMMYFUNCTION("""COMPUTED_VALUE"""),2.0)</f>
        <v>2</v>
      </c>
      <c r="G739" s="17" t="str">
        <f>IFERROR(__xludf.DUMMYFUNCTION("""COMPUTED_VALUE"""),"Sabun batang 1 Box ( 2 PCS )")</f>
        <v>Sabun batang 1 Box ( 2 PCS )</v>
      </c>
      <c r="H739" s="463" t="str">
        <f>IFERROR(__xludf.DUMMYFUNCTION("""COMPUTED_VALUE"""),"Sampai")</f>
        <v>Sampai</v>
      </c>
      <c r="I739" s="464" t="str">
        <f>IFERROR(__xludf.DUMMYFUNCTION("""COMPUTED_VALUE"""),"KIMME")</f>
        <v>KIMME</v>
      </c>
      <c r="J739" s="279" t="str">
        <f>IFERROR(__xludf.DUMMYFUNCTION("""COMPUTED_VALUE"""),"https://www.tiktok.com/@racun.outfitbymey/video/7637523023406320914?_r=1&amp;u_code=e7l2927dhlabgg&amp;region=&amp;mid=7633025529696897041&amp;preview_pb=0&amp;sharer_language=&amp;_d=0&amp;ec_shared_reflux_dynamic_params=%7B%22placeholder_material_id%22%3A%227637523023406320914%22%"&amp;"2C%22placeholder_origin_cover%22%3A%22https%253A%252F%252Fp16-common-sign.tiktokcdn.com%252Ftos-alisg-p-0037%252FoAdigCAgIgIqHu5ghP8h9I3s0rE7uB43fBiwAA~tplv-tiktokx-origin.jpeg%253Fdr%253D14572%2526refresh_token%253D0378a6f1%2526x-expires%253D1810195200%2"&amp;"526x-signature%253D573p1UCNQ8Ol%25252BrPq9YTdA2ZwZss%25253D%2526t%253D4d5b0474%2526ps%253D13740610%2526shp%253Dd05b14bd%2526shcp%253D34ff8df6%2526idc%253Dmy2%2526s%253DTIKTOK_AFFILIATE_VIRAL_VIDEO%22%2C%22placeholder_product_id%22%3A%221729427766722726591"&amp;"%22%2C%22placeholder_video_id%22%3A%227637523023406320914%22%7D&amp;ec_shared_reflux_scene=shop_tab_feed&amp;share_item_id=7637523023406320914&amp;source=h5_t")</f>
        <v>https://www.tiktok.com/@racun.outfitbymey/video/7637523023406320914?_r=1&amp;u_code=e7l2927dhlabgg&amp;region=&amp;mid=7633025529696897041&amp;preview_pb=0&amp;sharer_language=&amp;_d=0&amp;ec_shared_reflux_dynamic_params=%7B%22placeholder_material_id%22%3A%227637523023406320914%22%2C%22placeholder_origin_cover%22%3A%22https%253A%252F%252Fp16-common-sign.tiktokcdn.com%252Ftos-alisg-p-0037%252FoAdigCAgIgIqHu5ghP8h9I3s0rE7uB43fBiwAA~tplv-tiktokx-origin.jpeg%253Fdr%253D14572%2526refresh_token%253D0378a6f1%2526x-expires%253D1810195200%2526x-signature%253D573p1UCNQ8Ol%25252BrPq9YTdA2ZwZss%25253D%2526t%253D4d5b0474%2526ps%253D13740610%2526shp%253Dd05b14bd%2526shcp%253D34ff8df6%2526idc%253Dmy2%2526s%253DTIKTOK_AFFILIATE_VIRAL_VIDEO%22%2C%22placeholder_product_id%22%3A%221729427766722726591%22%2C%22placeholder_video_id%22%3A%227637523023406320914%22%7D&amp;ec_shared_reflux_scene=shop_tab_feed&amp;share_item_id=7637523023406320914&amp;source=h5_t</v>
      </c>
      <c r="K739" s="464" t="str">
        <f>IFERROR(__xludf.DUMMYFUNCTION("""COMPUTED_VALUE"""),"KIMME")</f>
        <v>KIMME</v>
      </c>
      <c r="L739" s="279" t="str">
        <f>IFERROR(__xludf.DUMMYFUNCTION("""COMPUTED_VALUE"""),"https://www.tiktok.com/@racun.outfitbymey/video/7635583105973144840?_r=1&amp;u_code=e7l2927dhlabgg&amp;region=&amp;mid=7633025050954992402&amp;preview_pb=0&amp;sharer_language=&amp;_d=0&amp;ec_shared_reflux_dynamic_params=%7B%22placeholder_material_id%22%3A%227635583105973144840%22%"&amp;"2C%22placeholder_origin_cover%22%3A%22https%253A%252F%252Fp16-common-sign.tiktokcdn.com%252Ftos-alisg-p-0037%252FosiUmZIpeAEPBzOBi7O43RCBcn3fI8nDEUygIB~tplv-tiktokx-origin.jpeg%253Fdr%253D14572%2526refresh_token%253D768b8b14%2526x-expires%253D1810195200%2"&amp;"526x-signature%253DHiVyYhPXDLlhxVUmLEFd4uH86r4%25253D%2526t%253D4d5b0474%2526ps%253D13740610%2526shp%253Dd05b14bd%2526shcp%253D34ff8df6%2526idc%253Dmy2%2526s%253DTIKTOK_AFFILIATE_VIRAL_VIDEO%22%2C%22placeholder_product_id%22%3A%221729427766722726591%22%2C"&amp;"%22placeholder_video_id%22%3A%227635583105973144840%22%7D&amp;ec_shared_reflux_scene=shop_tab_feed&amp;share_item_id=7635583105973144840&amp;source=h5_t")</f>
        <v>https://www.tiktok.com/@racun.outfitbymey/video/7635583105973144840?_r=1&amp;u_code=e7l2927dhlabgg&amp;region=&amp;mid=7633025050954992402&amp;preview_pb=0&amp;sharer_language=&amp;_d=0&amp;ec_shared_reflux_dynamic_params=%7B%22placeholder_material_id%22%3A%227635583105973144840%22%2C%22placeholder_origin_cover%22%3A%22https%253A%252F%252Fp16-common-sign.tiktokcdn.com%252Ftos-alisg-p-0037%252FosiUmZIpeAEPBzOBi7O43RCBcn3fI8nDEUygIB~tplv-tiktokx-origin.jpeg%253Fdr%253D14572%2526refresh_token%253D768b8b14%2526x-expires%253D1810195200%2526x-signature%253DHiVyYhPXDLlhxVUmLEFd4uH86r4%25253D%2526t%253D4d5b0474%2526ps%253D13740610%2526shp%253Dd05b14bd%2526shcp%253D34ff8df6%2526idc%253Dmy2%2526s%253DTIKTOK_AFFILIATE_VIRAL_VIDEO%22%2C%22placeholder_product_id%22%3A%221729427766722726591%22%2C%22placeholder_video_id%22%3A%227635583105973144840%22%7D&amp;ec_shared_reflux_scene=shop_tab_feed&amp;share_item_id=7635583105973144840&amp;source=h5_t</v>
      </c>
      <c r="M739" s="464"/>
      <c r="N739" s="279" t="str">
        <f>IFERROR(__xludf.DUMMYFUNCTION("""COMPUTED_VALUE"""),"https://www.tiktok.com/@andinee__/video/7631952626070080786?_r=1&amp;u_code=l6ma1c5i&amp;region=&amp;mid=7609992945409034256&amp;preview_pb=0&amp;sharer_language=&amp;_d=0&amp;ec_shared_reflux_dynamic_params=%7B%22placeholder_material_id%22%3A%227631952626070080786%22%2C%22placehold"&amp;"er_origin_cover%22%3A%22https%253A%252F%252Fp16-common-sign.tiktokcdn.com%252Ftos-alisg-p-0037%252FoM74mAEQQDATDD1fjjFgUIXAqxeMeEA2DCIrCx~tplv-tiktokx-origin.jpeg%253Fdr%253D14572%2526refresh_token%253D30fd2a74%2526x-expires%253D1810195200%2526x-signature"&amp;"%253D%25252FdVsQTV%25252B%25252B62xqOc%25252Fjv%25252FuwEk0Xnk%25253D%2526t%253D4d5b0474%2526ps%253D13740610%2526shp%253Dd05b14bd%2526shcp%253D34ff8df6%2526idc%253Dmy2%2526s%253DTIKTOK_AFFILIATE_VIRAL_VIDEO%22%2C%22placeholder_product_id%22%3A%22172942776"&amp;"6722726591%22%2C%22placeholder_video_id%22%3A%227631952626070080786%22%7D&amp;ec_shared_reflux_scene=shop_tab_feed&amp;share_item_id=7631952626070080786&amp;source=h5_t")</f>
        <v>https://www.tiktok.com/@andinee__/video/7631952626070080786?_r=1&amp;u_code=l6ma1c5i&amp;region=&amp;mid=7609992945409034256&amp;preview_pb=0&amp;sharer_language=&amp;_d=0&amp;ec_shared_reflux_dynamic_params=%7B%22placeholder_material_id%22%3A%227631952626070080786%22%2C%22placeholder_origin_cover%22%3A%22https%253A%252F%252Fp16-common-sign.tiktokcdn.com%252Ftos-alisg-p-0037%252FoM74mAEQQDATDD1fjjFgUIXAqxeMeEA2DCIrCx~tplv-tiktokx-origin.jpeg%253Fdr%253D14572%2526refresh_token%253D30fd2a74%2526x-expires%253D1810195200%2526x-signature%253D%25252FdVsQTV%25252B%25252B62xqOc%25252Fjv%25252FuwEk0Xnk%25253D%2526t%253D4d5b0474%2526ps%253D13740610%2526shp%253Dd05b14bd%2526shcp%253D34ff8df6%2526idc%253Dmy2%2526s%253DTIKTOK_AFFILIATE_VIRAL_VIDEO%22%2C%22placeholder_product_id%22%3A%221729427766722726591%22%2C%22placeholder_video_id%22%3A%227631952626070080786%22%7D&amp;ec_shared_reflux_scene=shop_tab_feed&amp;share_item_id=7631952626070080786&amp;source=h5_t</v>
      </c>
      <c r="O739" s="464"/>
      <c r="P739" s="279" t="str">
        <f>IFERROR(__xludf.DUMMYFUNCTION("""COMPUTED_VALUE"""),"https://www.tiktok.com/@andinee__/video/7631951889067674888?_r=1&amp;u_code=l6ma1c5i&amp;region=&amp;mid=7580009550637041681&amp;preview_pb=0&amp;sharer_language=&amp;_d=0&amp;ec_shared_reflux_dynamic_params=%7B%22placeholder_material_id%22%3A%227631951889067674888%22%2C%22placehold"&amp;"er_origin_cover%22%3A%22https%253A%252F%252Fp16-common-sign.tiktokcdn.com%252Ftos-alisg-p-0037%252FoIT1vfURgSEcCvBIgHfUKDAfCjX6go8XAAQMcQ~tplv-tiktokx-origin.jpeg%253Fdr%253D14572%2526refresh_token%253D72ef9744%2526x-expires%253D1810195200%2526x-signature"&amp;"%253DLaJQrl3XAkp45jIM7rMWQVonqDM%25253D%2526t%253D4d5b0474%2526ps%253D13740610%2526shp%253Dd05b14bd%2526shcp%253D34ff8df6%2526idc%253Dmy2%2526s%253DTIKTOK_AFFILIATE_VIRAL_VIDEO%22%2C%22placeholder_product_id%22%3A%221729427766722726591%22%2C%22placeholder"&amp;"_video_id%22%3A%227631951889067674888%22%7D&amp;ec_shared_reflux_scene=shop_tab_feed&amp;share_item_id=7631951889067674888&amp;source=h5_t")</f>
        <v>https://www.tiktok.com/@andinee__/video/7631951889067674888?_r=1&amp;u_code=l6ma1c5i&amp;region=&amp;mid=7580009550637041681&amp;preview_pb=0&amp;sharer_language=&amp;_d=0&amp;ec_shared_reflux_dynamic_params=%7B%22placeholder_material_id%22%3A%227631951889067674888%22%2C%22placeholder_origin_cover%22%3A%22https%253A%252F%252Fp16-common-sign.tiktokcdn.com%252Ftos-alisg-p-0037%252FoIT1vfURgSEcCvBIgHfUKDAfCjX6go8XAAQMcQ~tplv-tiktokx-origin.jpeg%253Fdr%253D14572%2526refresh_token%253D72ef9744%2526x-expires%253D1810195200%2526x-signature%253DLaJQrl3XAkp45jIM7rMWQVonqDM%25253D%2526t%253D4d5b0474%2526ps%253D13740610%2526shp%253Dd05b14bd%2526shcp%253D34ff8df6%2526idc%253Dmy2%2526s%253DTIKTOK_AFFILIATE_VIRAL_VIDEO%22%2C%22placeholder_product_id%22%3A%221729427766722726591%22%2C%22placeholder_video_id%22%3A%227631951889067674888%22%7D&amp;ec_shared_reflux_scene=shop_tab_feed&amp;share_item_id=7631951889067674888&amp;source=h5_t</v>
      </c>
    </row>
    <row r="740">
      <c r="A740" s="255" t="str">
        <f>IFERROR(__xludf.DUMMYFUNCTION("""COMPUTED_VALUE"""),"MICRO")</f>
        <v>MICRO</v>
      </c>
      <c r="B740" s="361" t="str">
        <f>IFERROR(__xludf.DUMMYFUNCTION("""COMPUTED_VALUE"""),"zulfaqurin")</f>
        <v>zulfaqurin</v>
      </c>
      <c r="C740" s="257" t="str">
        <f>IFERROR(__xludf.DUMMYFUNCTION("""COMPUTED_VALUE"""),"https://www.tiktok.com/@zulfaqurin")</f>
        <v>https://www.tiktok.com/@zulfaqurin</v>
      </c>
      <c r="D740" s="270">
        <f>IFERROR(__xludf.DUMMYFUNCTION("""COMPUTED_VALUE"""),8.1252816709E10)</f>
        <v>81252816709</v>
      </c>
      <c r="E740" s="457">
        <f>IFERROR(__xludf.DUMMYFUNCTION("""COMPUTED_VALUE"""),0.0)</f>
        <v>0</v>
      </c>
      <c r="F740" s="270">
        <f>IFERROR(__xludf.DUMMYFUNCTION("""COMPUTED_VALUE"""),4.0)</f>
        <v>4</v>
      </c>
      <c r="G740" s="17" t="str">
        <f>IFERROR(__xludf.DUMMYFUNCTION("""COMPUTED_VALUE"""),"Sabun batang 1 Box ( 2 PCS )")</f>
        <v>Sabun batang 1 Box ( 2 PCS )</v>
      </c>
      <c r="H740" s="463" t="str">
        <f>IFERROR(__xludf.DUMMYFUNCTION("""COMPUTED_VALUE"""),"Sampai")</f>
        <v>Sampai</v>
      </c>
      <c r="I740" s="464" t="str">
        <f>IFERROR(__xludf.DUMMYFUNCTION("""COMPUTED_VALUE"""),"KIMME")</f>
        <v>KIMME</v>
      </c>
      <c r="J740" s="279" t="str">
        <f>IFERROR(__xludf.DUMMYFUNCTION("""COMPUTED_VALUE"""),"https://www.tiktok.com/@zulfaqurin/video/7633027930372836616?_r=1&amp;u_code=dmjdg19300dc52&amp;region=&amp;mid=7633027991156558599&amp;preview_pb=0&amp;sharer_language=&amp;_d=0&amp;ec_shared_reflux_dynamic_params=%7B%22placeholder_material_id%22%3A%227633027930372836616%22%2C%22pl"&amp;"aceholder_origin_cover%22%3A%22https%253A%252F%252Fp16-common-sign.tiktokcdn.com%252Ftos-alisg-p-0037%252FoU3xoiBGICATEIivStiIB1AA9CLwowwOe0vhin~tplv-tiktokx-origin.jpeg%253Fdr%253D14572%2526refresh_token%253Df2ee2b5c%2526x-expires%253D1808992800%2526x-si"&amp;"gnature%253DCpzVFUMPq6YvXAGjdj8%25252F9VcpUb4%25253D%2526t%253D4d5b0474%2526ps%253D13740610%2526shp%253Dd05b14bd%2526shcp%253D34ff8df6%2526idc%253Dmy2%2526s%253DTIKTOK_AFFILIATE_VIRAL_VIDEO%22%2C%22placeholder_product_id%22%3A%221729427766722726591%22%2C%"&amp;"22placeholder_video_id%22%3A%227633027930372836616%22%7D&amp;ec_shared_reflux_scene=shop_tab_feed&amp;share_item_id=7633027930372836616&amp;source=h5_t")</f>
        <v>https://www.tiktok.com/@zulfaqurin/video/7633027930372836616?_r=1&amp;u_code=dmjdg19300dc52&amp;region=&amp;mid=7633027991156558599&amp;preview_pb=0&amp;sharer_language=&amp;_d=0&amp;ec_shared_reflux_dynamic_params=%7B%22placeholder_material_id%22%3A%227633027930372836616%22%2C%22placeholder_origin_cover%22%3A%22https%253A%252F%252Fp16-common-sign.tiktokcdn.com%252Ftos-alisg-p-0037%252FoU3xoiBGICATEIivStiIB1AA9CLwowwOe0vhin~tplv-tiktokx-origin.jpeg%253Fdr%253D14572%2526refresh_token%253Df2ee2b5c%2526x-expires%253D1808992800%2526x-signature%253DCpzVFUMPq6YvXAGjdj8%25252F9VcpUb4%25253D%2526t%253D4d5b0474%2526ps%253D13740610%2526shp%253Dd05b14bd%2526shcp%253D34ff8df6%2526idc%253Dmy2%2526s%253DTIKTOK_AFFILIATE_VIRAL_VIDEO%22%2C%22placeholder_product_id%22%3A%221729427766722726591%22%2C%22placeholder_video_id%22%3A%227633027930372836616%22%7D&amp;ec_shared_reflux_scene=shop_tab_feed&amp;share_item_id=7633027930372836616&amp;source=h5_t</v>
      </c>
      <c r="K740" s="464" t="str">
        <f>IFERROR(__xludf.DUMMYFUNCTION("""COMPUTED_VALUE"""),"KIMME")</f>
        <v>KIMME</v>
      </c>
      <c r="L740" s="279" t="str">
        <f>IFERROR(__xludf.DUMMYFUNCTION("""COMPUTED_VALUE"""),"https://www.tiktok.com/@zulfaqurin/video/7633444706780859655")</f>
        <v>https://www.tiktok.com/@zulfaqurin/video/7633444706780859655</v>
      </c>
      <c r="M740" s="464"/>
      <c r="N740" s="279" t="str">
        <f>IFERROR(__xludf.DUMMYFUNCTION("""COMPUTED_VALUE"""),"https://www.tiktok.com/@zulfaqurin/video/7633027930372836616")</f>
        <v>https://www.tiktok.com/@zulfaqurin/video/7633027930372836616</v>
      </c>
      <c r="O740" s="464"/>
      <c r="P740" s="279" t="str">
        <f>IFERROR(__xludf.DUMMYFUNCTION("""COMPUTED_VALUE"""),"https://www.tiktok.com/@zulfaqurin/video/7632705325912870151")</f>
        <v>https://www.tiktok.com/@zulfaqurin/video/7632705325912870151</v>
      </c>
    </row>
    <row r="741">
      <c r="A741" s="255" t="str">
        <f>IFERROR(__xludf.DUMMYFUNCTION("""COMPUTED_VALUE"""),"MICRO")</f>
        <v>MICRO</v>
      </c>
      <c r="B741" s="361" t="str">
        <f>IFERROR(__xludf.DUMMYFUNCTION("""COMPUTED_VALUE"""),"adlysagara")</f>
        <v>adlysagara</v>
      </c>
      <c r="C741" s="257" t="str">
        <f>IFERROR(__xludf.DUMMYFUNCTION("""COMPUTED_VALUE"""),"https://www.tiktok.com/@adlysagara")</f>
        <v>https://www.tiktok.com/@adlysagara</v>
      </c>
      <c r="D741" s="270">
        <f>IFERROR(__xludf.DUMMYFUNCTION("""COMPUTED_VALUE"""),8.1284722014E10)</f>
        <v>81284722014</v>
      </c>
      <c r="E741" s="457">
        <f>IFERROR(__xludf.DUMMYFUNCTION("""COMPUTED_VALUE"""),150000.0)</f>
        <v>150000</v>
      </c>
      <c r="F741" s="270">
        <f>IFERROR(__xludf.DUMMYFUNCTION("""COMPUTED_VALUE"""),1.0)</f>
        <v>1</v>
      </c>
      <c r="G741" s="17" t="str">
        <f>IFERROR(__xludf.DUMMYFUNCTION("""COMPUTED_VALUE"""),"Sabun batang 1 Box ( 2 PCS )")</f>
        <v>Sabun batang 1 Box ( 2 PCS )</v>
      </c>
      <c r="H741" s="463" t="str">
        <f>IFERROR(__xludf.DUMMYFUNCTION("""COMPUTED_VALUE"""),"Sampai")</f>
        <v>Sampai</v>
      </c>
      <c r="I741" s="464" t="str">
        <f>IFERROR(__xludf.DUMMYFUNCTION("""COMPUTED_VALUE"""),"KIMME")</f>
        <v>KIMME</v>
      </c>
      <c r="J741" s="279" t="str">
        <f>IFERROR(__xludf.DUMMYFUNCTION("""COMPUTED_VALUE"""),"https://vt.tiktok.com/ZSHthCCSh/")</f>
        <v>https://vt.tiktok.com/ZSHthCCSh/</v>
      </c>
      <c r="K741" s="464" t="str">
        <f>IFERROR(__xludf.DUMMYFUNCTION("""COMPUTED_VALUE"""),"KIMME")</f>
        <v>KIMME</v>
      </c>
      <c r="L741" s="279" t="str">
        <f>IFERROR(__xludf.DUMMYFUNCTION("""COMPUTED_VALUE"""),"https://vt.tiktok.com/ZSHETv7K3/")</f>
        <v>https://vt.tiktok.com/ZSHETv7K3/</v>
      </c>
      <c r="M741" s="464"/>
      <c r="N741" s="279" t="str">
        <f>IFERROR(__xludf.DUMMYFUNCTION("""COMPUTED_VALUE"""),"https://www.tiktok.com/@andinee__/video/7631951343623654663?_r=1&amp;u_code=l6ma1c5i&amp;region=&amp;mid=7562410626593688337&amp;preview_pb=0&amp;sharer_language=&amp;_d=0&amp;ec_shared_reflux_dynamic_params=%7B%22placeholder_material_id%22%3A%227631951343623654663%22%2C%22placehold"&amp;"er_origin_cover%22%3A%22https%253A%252F%252Fp19-common-sign.tiktokcdn.com%252Ftos-alisg-p-0037%252FoovDCVqiIqyf1GvPIwBRYI19IAp006BrTJ1AiA~tplv-tiktokx-origin.jpeg%253Fdr%253D14572%2526refresh_token%253Ddead9c24%2526x-expires%253D1810195200%2526x-signature"&amp;"%253D8AMzo5aoWILb9wR5ML0jX0h9T3k%25253D%2526t%253D4d5b0474%2526ps%253D13740610%2526shp%253Dd05b14bd%2526shcp%253D34ff8df6%2526idc%253Dmy2%2526s%253DTIKTOK_AFFILIATE_VIRAL_VIDEO%22%2C%22placeholder_product_id%22%3A%221729427766722726591%22%2C%22placeholder"&amp;"_video_id%22%3A%227631951343623654663%22%7D&amp;ec_shared_reflux_scene=shop_tab_feed&amp;share_item_id=7631951343623654663&amp;source=h5_t")</f>
        <v>https://www.tiktok.com/@andinee__/video/7631951343623654663?_r=1&amp;u_code=l6ma1c5i&amp;region=&amp;mid=7562410626593688337&amp;preview_pb=0&amp;sharer_language=&amp;_d=0&amp;ec_shared_reflux_dynamic_params=%7B%22placeholder_material_id%22%3A%227631951343623654663%22%2C%22placeholder_origin_cover%22%3A%22https%253A%252F%252Fp19-common-sign.tiktokcdn.com%252Ftos-alisg-p-0037%252FoovDCVqiIqyf1GvPIwBRYI19IAp006BrTJ1AiA~tplv-tiktokx-origin.jpeg%253Fdr%253D14572%2526refresh_token%253Ddead9c24%2526x-expires%253D1810195200%2526x-signature%253D8AMzo5aoWILb9wR5ML0jX0h9T3k%25253D%2526t%253D4d5b0474%2526ps%253D13740610%2526shp%253Dd05b14bd%2526shcp%253D34ff8df6%2526idc%253Dmy2%2526s%253DTIKTOK_AFFILIATE_VIRAL_VIDEO%22%2C%22placeholder_product_id%22%3A%221729427766722726591%22%2C%22placeholder_video_id%22%3A%227631951343623654663%22%7D&amp;ec_shared_reflux_scene=shop_tab_feed&amp;share_item_id=7631951343623654663&amp;source=h5_t</v>
      </c>
      <c r="O741" s="464"/>
      <c r="P741" s="279" t="str">
        <f>IFERROR(__xludf.DUMMYFUNCTION("""COMPUTED_VALUE"""),"https://www.tiktok.com/@andinee__/video/7631950835513101586?_r=1&amp;u_code=l6ma1c5i&amp;region=&amp;mid=7593202190700317447&amp;preview_pb=0&amp;sharer_language=&amp;_d=0&amp;ec_shared_reflux_dynamic_params=%7B%22placeholder_material_id%22%3A%227631950835513101586%22%2C%22placehold"&amp;"er_origin_cover%22%3A%22https%253A%252F%252Fp16-common-sign.tiktokcdn.com%252Ftos-alisg-p-0037%252FoIfpfZRHE8D6zUZEJRFLGQ4cB2C7QgBnizBUOA~tplv-tiktokx-origin.jpeg%253Fdr%253D14572%2526refresh_token%253Da237159a%2526x-expires%253D1810195200%2526x-signature"&amp;"%253D6%25252FcxVia3boTsT3lhGWaP7IX8hWk%25253D%2526t%253D4d5b0474%2526ps%253D13740610%2526shp%253Dd05b14bd%2526shcp%253D34ff8df6%2526idc%253Dmy2%2526s%253DTIKTOK_AFFILIATE_VIRAL_VIDEO%22%2C%22placeholder_product_id%22%3A%221729427766722726591%22%2C%22place"&amp;"holder_video_id%22%3A%227631950835513101586%22%7D&amp;ec_shared_reflux_scene=shop_tab_feed&amp;share_item_id=7631950835513101586&amp;source=h5_t")</f>
        <v>https://www.tiktok.com/@andinee__/video/7631950835513101586?_r=1&amp;u_code=l6ma1c5i&amp;region=&amp;mid=7593202190700317447&amp;preview_pb=0&amp;sharer_language=&amp;_d=0&amp;ec_shared_reflux_dynamic_params=%7B%22placeholder_material_id%22%3A%227631950835513101586%22%2C%22placeholder_origin_cover%22%3A%22https%253A%252F%252Fp16-common-sign.tiktokcdn.com%252Ftos-alisg-p-0037%252FoIfpfZRHE8D6zUZEJRFLGQ4cB2C7QgBnizBUOA~tplv-tiktokx-origin.jpeg%253Fdr%253D14572%2526refresh_token%253Da237159a%2526x-expires%253D1810195200%2526x-signature%253D6%25252FcxVia3boTsT3lhGWaP7IX8hWk%25253D%2526t%253D4d5b0474%2526ps%253D13740610%2526shp%253Dd05b14bd%2526shcp%253D34ff8df6%2526idc%253Dmy2%2526s%253DTIKTOK_AFFILIATE_VIRAL_VIDEO%22%2C%22placeholder_product_id%22%3A%221729427766722726591%22%2C%22placeholder_video_id%22%3A%227631950835513101586%22%7D&amp;ec_shared_reflux_scene=shop_tab_feed&amp;share_item_id=7631950835513101586&amp;source=h5_t</v>
      </c>
    </row>
    <row r="742">
      <c r="A742" s="255" t="str">
        <f>IFERROR(__xludf.DUMMYFUNCTION("""COMPUTED_VALUE"""),"MICRO")</f>
        <v>MICRO</v>
      </c>
      <c r="B742" s="361" t="str">
        <f>IFERROR(__xludf.DUMMYFUNCTION("""COMPUTED_VALUE"""),"mbaalesta")</f>
        <v>mbaalesta</v>
      </c>
      <c r="C742" s="257" t="str">
        <f>IFERROR(__xludf.DUMMYFUNCTION("""COMPUTED_VALUE"""),"https://www.tiktok.com/@mbaalesta")</f>
        <v>https://www.tiktok.com/@mbaalesta</v>
      </c>
      <c r="D742" s="270">
        <f>IFERROR(__xludf.DUMMYFUNCTION("""COMPUTED_VALUE"""),8.1325813053E10)</f>
        <v>81325813053</v>
      </c>
      <c r="E742" s="457">
        <f>IFERROR(__xludf.DUMMYFUNCTION("""COMPUTED_VALUE"""),150000.0)</f>
        <v>150000</v>
      </c>
      <c r="F742" s="270">
        <f>IFERROR(__xludf.DUMMYFUNCTION("""COMPUTED_VALUE"""),2.0)</f>
        <v>2</v>
      </c>
      <c r="G742" s="17" t="str">
        <f>IFERROR(__xludf.DUMMYFUNCTION("""COMPUTED_VALUE"""),"Sabun batang 1 Box ( 2 PCS )")</f>
        <v>Sabun batang 1 Box ( 2 PCS )</v>
      </c>
      <c r="H742" s="463" t="str">
        <f>IFERROR(__xludf.DUMMYFUNCTION("""COMPUTED_VALUE"""),"Sampai")</f>
        <v>Sampai</v>
      </c>
      <c r="I742" s="464" t="str">
        <f>IFERROR(__xludf.DUMMYFUNCTION("""COMPUTED_VALUE"""),"KIMME")</f>
        <v>KIMME</v>
      </c>
      <c r="J742" s="279" t="str">
        <f>IFERROR(__xludf.DUMMYFUNCTION("""COMPUTED_VALUE"""),"https://vt.tiktok.com/ZSHpuuvM8/")</f>
        <v>https://vt.tiktok.com/ZSHpuuvM8/</v>
      </c>
      <c r="K742" s="464" t="str">
        <f>IFERROR(__xludf.DUMMYFUNCTION("""COMPUTED_VALUE"""),"KIMME")</f>
        <v>KIMME</v>
      </c>
      <c r="L742" s="279" t="str">
        <f>IFERROR(__xludf.DUMMYFUNCTION("""COMPUTED_VALUE"""),"https://vt.tiktok.com/ZSHsrcpgK/")</f>
        <v>https://vt.tiktok.com/ZSHsrcpgK/</v>
      </c>
      <c r="M742" s="464"/>
      <c r="N742" s="279" t="str">
        <f>IFERROR(__xludf.DUMMYFUNCTION("""COMPUTED_VALUE"""),"https://www.tiktok.com/@andinee__/video/7631948049421470983?_r=1&amp;u_code=l6ma1c5i&amp;region=&amp;mid=7394239873410484997&amp;preview_pb=0&amp;sharer_language=&amp;_d=0&amp;ec_shared_reflux_dynamic_params=%7B%22placeholder_material_id%22%3A%227631948049421470983%22%2C%22placehold"&amp;"er_origin_cover%22%3A%22https%253A%252F%252Fp16-common-sign.tiktokcdn.com%252Ftos-alisg-p-0037%252FoURU0Ag6fAQf7A3ABDRplKBSQEBUFE5QpiMQyg~tplv-tiktokx-origin.jpeg%253Fdr%253D14572%2526refresh_token%253D1495ccd6%2526x-expires%253D1810195200%2526x-signature"&amp;"%253DRgXgkeMW3WGnKQ7uGtuaptZauJA%25253D%2526t%253D4d5b0474%2526ps%253D13740610%2526shp%253Dd05b14bd%2526shcp%253D34ff8df6%2526idc%253Dmy2%2526s%253DTIKTOK_AFFILIATE_VIRAL_VIDEO%22%2C%22placeholder_product_id%22%3A%221729427766722726591%22%2C%22placeholder"&amp;"_video_id%22%3A%227631948049421470983%22%7D&amp;ec_shared_reflux_scene=shop_tab_feed&amp;share_item_id=7631948049421470983&amp;source=h5_t")</f>
        <v>https://www.tiktok.com/@andinee__/video/7631948049421470983?_r=1&amp;u_code=l6ma1c5i&amp;region=&amp;mid=7394239873410484997&amp;preview_pb=0&amp;sharer_language=&amp;_d=0&amp;ec_shared_reflux_dynamic_params=%7B%22placeholder_material_id%22%3A%227631948049421470983%22%2C%22placeholder_origin_cover%22%3A%22https%253A%252F%252Fp16-common-sign.tiktokcdn.com%252Ftos-alisg-p-0037%252FoURU0Ag6fAQf7A3ABDRplKBSQEBUFE5QpiMQyg~tplv-tiktokx-origin.jpeg%253Fdr%253D14572%2526refresh_token%253D1495ccd6%2526x-expires%253D1810195200%2526x-signature%253DRgXgkeMW3WGnKQ7uGtuaptZauJA%25253D%2526t%253D4d5b0474%2526ps%253D13740610%2526shp%253Dd05b14bd%2526shcp%253D34ff8df6%2526idc%253Dmy2%2526s%253DTIKTOK_AFFILIATE_VIRAL_VIDEO%22%2C%22placeholder_product_id%22%3A%221729427766722726591%22%2C%22placeholder_video_id%22%3A%227631948049421470983%22%7D&amp;ec_shared_reflux_scene=shop_tab_feed&amp;share_item_id=7631948049421470983&amp;source=h5_t</v>
      </c>
      <c r="O742" s="464"/>
      <c r="P742" s="279" t="str">
        <f>IFERROR(__xludf.DUMMYFUNCTION("""COMPUTED_VALUE"""),"https://www.tiktok.com/@andinee__/video/7631946082443955474?_r=1&amp;u_code=l6ma1c5i&amp;region=&amp;mid=7514003816174454785&amp;preview_pb=0&amp;sharer_language=&amp;_d=0&amp;ec_shared_reflux_dynamic_params=%7B%22placeholder_material_id%22%3A%227631946082443955474%22%2C%22placehold"&amp;"er_origin_cover%22%3A%22https%253A%252F%252Fp19-common-sign.tiktokcdn.com%252Ftos-alisg-p-0037%252FooAjDIRToQhCUjbgz0U8CWP1fMH4fDgMuf1EnA~tplv-tiktokx-origin.jpeg%253Fdr%253D14572%2526refresh_token%253Dc5310e9b%2526x-expires%253D1810195200%2526x-signature"&amp;"%253D%25252B2AVMA53%25252FRSo8hujn7XJNCVxA2s%25253D%2526t%253D4d5b0474%2526ps%253D13740610%2526shp%253Dd05b14bd%2526shcp%253D34ff8df6%2526idc%253Dmy2%2526s%253DTIKTOK_AFFILIATE_VIRAL_VIDEO%22%2C%22placeholder_product_id%22%3A%221729427766722726591%22%2C%2"&amp;"2placeholder_video_id%22%3A%227631946082443955474%22%7D&amp;ec_shared_reflux_scene=shop_tab_feed&amp;share_item_id=7631946082443955474&amp;source=h5_t")</f>
        <v>https://www.tiktok.com/@andinee__/video/7631946082443955474?_r=1&amp;u_code=l6ma1c5i&amp;region=&amp;mid=7514003816174454785&amp;preview_pb=0&amp;sharer_language=&amp;_d=0&amp;ec_shared_reflux_dynamic_params=%7B%22placeholder_material_id%22%3A%227631946082443955474%22%2C%22placeholder_origin_cover%22%3A%22https%253A%252F%252Fp19-common-sign.tiktokcdn.com%252Ftos-alisg-p-0037%252FooAjDIRToQhCUjbgz0U8CWP1fMH4fDgMuf1EnA~tplv-tiktokx-origin.jpeg%253Fdr%253D14572%2526refresh_token%253Dc5310e9b%2526x-expires%253D1810195200%2526x-signature%253D%25252B2AVMA53%25252FRSo8hujn7XJNCVxA2s%25253D%2526t%253D4d5b0474%2526ps%253D13740610%2526shp%253Dd05b14bd%2526shcp%253D34ff8df6%2526idc%253Dmy2%2526s%253DTIKTOK_AFFILIATE_VIRAL_VIDEO%22%2C%22placeholder_product_id%22%3A%221729427766722726591%22%2C%22placeholder_video_id%22%3A%227631946082443955474%22%7D&amp;ec_shared_reflux_scene=shop_tab_feed&amp;share_item_id=7631946082443955474&amp;source=h5_t</v>
      </c>
    </row>
    <row r="743">
      <c r="A743" s="255" t="str">
        <f>IFERROR(__xludf.DUMMYFUNCTION("""COMPUTED_VALUE"""),"MICRO")</f>
        <v>MICRO</v>
      </c>
      <c r="B743" s="361" t="str">
        <f>IFERROR(__xludf.DUMMYFUNCTION("""COMPUTED_VALUE"""),"suka.mcflurryoreo")</f>
        <v>suka.mcflurryoreo</v>
      </c>
      <c r="C743" s="257" t="str">
        <f>IFERROR(__xludf.DUMMYFUNCTION("""COMPUTED_VALUE"""),"https://www.tiktok.com/@suka.mcflurryoreo")</f>
        <v>https://www.tiktok.com/@suka.mcflurryoreo</v>
      </c>
      <c r="D743" s="270">
        <f>IFERROR(__xludf.DUMMYFUNCTION("""COMPUTED_VALUE"""),8.9654336693E10)</f>
        <v>89654336693</v>
      </c>
      <c r="E743" s="457">
        <f>IFERROR(__xludf.DUMMYFUNCTION("""COMPUTED_VALUE"""),150000.0)</f>
        <v>150000</v>
      </c>
      <c r="F743" s="270">
        <f>IFERROR(__xludf.DUMMYFUNCTION("""COMPUTED_VALUE"""),1.0)</f>
        <v>1</v>
      </c>
      <c r="G743" s="17" t="str">
        <f>IFERROR(__xludf.DUMMYFUNCTION("""COMPUTED_VALUE"""),"Sabun batang 1 Box ( 2 PCS )")</f>
        <v>Sabun batang 1 Box ( 2 PCS )</v>
      </c>
      <c r="H743" s="463" t="str">
        <f>IFERROR(__xludf.DUMMYFUNCTION("""COMPUTED_VALUE"""),"Sampai")</f>
        <v>Sampai</v>
      </c>
      <c r="I743" s="464" t="str">
        <f>IFERROR(__xludf.DUMMYFUNCTION("""COMPUTED_VALUE"""),"KIMME")</f>
        <v>KIMME</v>
      </c>
      <c r="J743" s="279" t="str">
        <f>IFERROR(__xludf.DUMMYFUNCTION("""COMPUTED_VALUE"""),"https://vt.tiktok.com/ZSxMEYCMc/")</f>
        <v>https://vt.tiktok.com/ZSxMEYCMc/</v>
      </c>
      <c r="K743" s="464" t="str">
        <f>IFERROR(__xludf.DUMMYFUNCTION("""COMPUTED_VALUE"""),"KIMME")</f>
        <v>KIMME</v>
      </c>
      <c r="L743" s="279" t="str">
        <f>IFERROR(__xludf.DUMMYFUNCTION("""COMPUTED_VALUE"""),"https://www.tiktok.com/@andinee__/video/7631943804358003986?_r=1&amp;u_code=l6ma1c5i&amp;region=&amp;mid=7566193440287918865&amp;preview_pb=0&amp;sharer_language=&amp;_d=0&amp;ec_shared_reflux_dynamic_params=%7B%22placeholder_material_id%22%3A%227631943804358003986%22%2C%22placehold"&amp;"er_origin_cover%22%3A%22https%253A%252F%252Fp16-common-sign.tiktokcdn.com%252Ftos-alisg-p-0037%252FoQHDTDIGhAGGAfALItPICVmqSoLHj1xIj9Afer~tplv-tiktokx-origin.jpeg%253Fdr%253D14572%2526refresh_token%253D66e65e06%2526x-expires%253D1810195200%2526x-signature"&amp;"%253DKf7BQ4MRUsvsXMD9YiZw5Io%25252BzHI%25253D%2526t%253D4d5b0474%2526ps%253D13740610%2526shp%253Dd05b14bd%2526shcp%253D34ff8df6%2526idc%253Dmy2%2526s%253DTIKTOK_AFFILIATE_VIRAL_VIDEO%22%2C%22placeholder_product_id%22%3A%221729427766722726591%22%2C%22place"&amp;"holder_video_id%22%3A%227631943804358003986%22%7D&amp;ec_shared_reflux_scene=shop_tab_feed&amp;share_item_id=7631943804358003986&amp;source=h5_t")</f>
        <v>https://www.tiktok.com/@andinee__/video/7631943804358003986?_r=1&amp;u_code=l6ma1c5i&amp;region=&amp;mid=7566193440287918865&amp;preview_pb=0&amp;sharer_language=&amp;_d=0&amp;ec_shared_reflux_dynamic_params=%7B%22placeholder_material_id%22%3A%227631943804358003986%22%2C%22placeholder_origin_cover%22%3A%22https%253A%252F%252Fp16-common-sign.tiktokcdn.com%252Ftos-alisg-p-0037%252FoQHDTDIGhAGGAfALItPICVmqSoLHj1xIj9Afer~tplv-tiktokx-origin.jpeg%253Fdr%253D14572%2526refresh_token%253D66e65e06%2526x-expires%253D1810195200%2526x-signature%253DKf7BQ4MRUsvsXMD9YiZw5Io%25252BzHI%25253D%2526t%253D4d5b0474%2526ps%253D13740610%2526shp%253Dd05b14bd%2526shcp%253D34ff8df6%2526idc%253Dmy2%2526s%253DTIKTOK_AFFILIATE_VIRAL_VIDEO%22%2C%22placeholder_product_id%22%3A%221729427766722726591%22%2C%22placeholder_video_id%22%3A%227631943804358003986%22%7D&amp;ec_shared_reflux_scene=shop_tab_feed&amp;share_item_id=7631943804358003986&amp;source=h5_t</v>
      </c>
      <c r="M743" s="464"/>
      <c r="N743" s="279" t="str">
        <f>IFERROR(__xludf.DUMMYFUNCTION("""COMPUTED_VALUE"""),"https://www.tiktok.com/@andinee__/video/7631943365419977991?_r=1&amp;u_code=l6ma1c5i&amp;region=&amp;mid=7461846526144710657&amp;preview_pb=0&amp;sharer_language=&amp;_d=0&amp;ec_shared_reflux_dynamic_params=%7B%22placeholder_material_id%22%3A%227631943365419977991%22%2C%22placehold"&amp;"er_origin_cover%22%3A%22https%253A%252F%252Fp19-common-sign.tiktokcdn.com%252Ftos-alisg-p-0037%252FogkUCAqiIqQfu4rBHwBQLIL9IAC043BHVCBAiA~tplv-tiktokx-origin.jpeg%253Fdr%253D14572%2526refresh_token%253D9844d9c7%2526x-expires%253D1810195200%2526x-signature"&amp;"%253D4kfL32k4kbQb%25252F1%25252Bv2fN9emJVx%25252F4%25253D%2526t%253D4d5b0474%2526ps%253D13740610%2526shp%253Dd05b14bd%2526shcp%253D34ff8df6%2526idc%253Dmy2%2526s%253DTIKTOK_AFFILIATE_VIRAL_VIDEO%22%2C%22placeholder_product_id%22%3A%221729427766722726591%2"&amp;"2%2C%22placeholder_video_id%22%3A%227631943365419977991%22%7D&amp;ec_shared_reflux_scene=shop_tab_feed&amp;share_item_id=7631943365419977991&amp;source=h5_t")</f>
        <v>https://www.tiktok.com/@andinee__/video/7631943365419977991?_r=1&amp;u_code=l6ma1c5i&amp;region=&amp;mid=7461846526144710657&amp;preview_pb=0&amp;sharer_language=&amp;_d=0&amp;ec_shared_reflux_dynamic_params=%7B%22placeholder_material_id%22%3A%227631943365419977991%22%2C%22placeholder_origin_cover%22%3A%22https%253A%252F%252Fp19-common-sign.tiktokcdn.com%252Ftos-alisg-p-0037%252FogkUCAqiIqQfu4rBHwBQLIL9IAC043BHVCBAiA~tplv-tiktokx-origin.jpeg%253Fdr%253D14572%2526refresh_token%253D9844d9c7%2526x-expires%253D1810195200%2526x-signature%253D4kfL32k4kbQb%25252F1%25252Bv2fN9emJVx%25252F4%25253D%2526t%253D4d5b0474%2526ps%253D13740610%2526shp%253Dd05b14bd%2526shcp%253D34ff8df6%2526idc%253Dmy2%2526s%253DTIKTOK_AFFILIATE_VIRAL_VIDEO%22%2C%22placeholder_product_id%22%3A%221729427766722726591%22%2C%22placeholder_video_id%22%3A%227631943365419977991%22%7D&amp;ec_shared_reflux_scene=shop_tab_feed&amp;share_item_id=7631943365419977991&amp;source=h5_t</v>
      </c>
      <c r="O743" s="464"/>
      <c r="P743" s="279" t="str">
        <f>IFERROR(__xludf.DUMMYFUNCTION("""COMPUTED_VALUE"""),"https://www.tiktok.com/@andinee__/video/7631944296660290834?_r=1&amp;u_code=l6ma1c5i&amp;region=&amp;mid=7581739577287805704&amp;preview_pb=0&amp;sharer_language=&amp;_d=0&amp;ec_shared_reflux_dynamic_params=%7B%22placeholder_material_id%22%3A%227631944296660290834%22%2C%22placehold"&amp;"er_origin_cover%22%3A%22https%253A%252F%252Fp16-common-sign.tiktokcdn.com%252Ftos-alisg-p-0037%252FoAbOdBheT3DgkTeUCuWQAlMPI1AjgfjQQ38joD~tplv-tiktokx-origin.jpeg%253Fdr%253D14572%2526refresh_token%253D84962ffc%2526x-expires%253D1810195200%2526x-signature"&amp;"%253DctLqz8GB8TAKIgC8NJ1QoQdwQbI%25253D%2526t%253D4d5b0474%2526ps%253D13740610%2526shp%253Dd05b14bd%2526shcp%253D34ff8df6%2526idc%253Dmy2%2526s%253DTIKTOK_AFFILIATE_VIRAL_VIDEO%22%2C%22placeholder_product_id%22%3A%221729427766722726591%22%2C%22placeholder"&amp;"_video_id%22%3A%227631944296660290834%22%7D&amp;ec_shared_reflux_scene=shop_tab_feed&amp;share_item_id=7631944296660290834&amp;source=h5_t")</f>
        <v>https://www.tiktok.com/@andinee__/video/7631944296660290834?_r=1&amp;u_code=l6ma1c5i&amp;region=&amp;mid=7581739577287805704&amp;preview_pb=0&amp;sharer_language=&amp;_d=0&amp;ec_shared_reflux_dynamic_params=%7B%22placeholder_material_id%22%3A%227631944296660290834%22%2C%22placeholder_origin_cover%22%3A%22https%253A%252F%252Fp16-common-sign.tiktokcdn.com%252Ftos-alisg-p-0037%252FoAbOdBheT3DgkTeUCuWQAlMPI1AjgfjQQ38joD~tplv-tiktokx-origin.jpeg%253Fdr%253D14572%2526refresh_token%253D84962ffc%2526x-expires%253D1810195200%2526x-signature%253DctLqz8GB8TAKIgC8NJ1QoQdwQbI%25253D%2526t%253D4d5b0474%2526ps%253D13740610%2526shp%253Dd05b14bd%2526shcp%253D34ff8df6%2526idc%253Dmy2%2526s%253DTIKTOK_AFFILIATE_VIRAL_VIDEO%22%2C%22placeholder_product_id%22%3A%221729427766722726591%22%2C%22placeholder_video_id%22%3A%227631944296660290834%22%7D&amp;ec_shared_reflux_scene=shop_tab_feed&amp;share_item_id=7631944296660290834&amp;source=h5_t</v>
      </c>
    </row>
    <row r="744">
      <c r="A744" s="255" t="str">
        <f>IFERROR(__xludf.DUMMYFUNCTION("""COMPUTED_VALUE"""),"MICRO")</f>
        <v>MICRO</v>
      </c>
      <c r="B744" s="361" t="str">
        <f>IFERROR(__xludf.DUMMYFUNCTION("""COMPUTED_VALUE"""),"andinee__")</f>
        <v>andinee__</v>
      </c>
      <c r="C744" s="257" t="str">
        <f>IFERROR(__xludf.DUMMYFUNCTION("""COMPUTED_VALUE"""),"https://www.tiktok.com/@andinee__")</f>
        <v>https://www.tiktok.com/@andinee__</v>
      </c>
      <c r="D744" s="270">
        <f>IFERROR(__xludf.DUMMYFUNCTION("""COMPUTED_VALUE"""),8.7719140967E10)</f>
        <v>87719140967</v>
      </c>
      <c r="E744" s="457">
        <f>IFERROR(__xludf.DUMMYFUNCTION("""COMPUTED_VALUE"""),300000.0)</f>
        <v>300000</v>
      </c>
      <c r="F744" s="270">
        <f>IFERROR(__xludf.DUMMYFUNCTION("""COMPUTED_VALUE"""),4.0)</f>
        <v>4</v>
      </c>
      <c r="G744" s="17" t="str">
        <f>IFERROR(__xludf.DUMMYFUNCTION("""COMPUTED_VALUE"""),"Sabun batang 1 Box ( 2 PCS )")</f>
        <v>Sabun batang 1 Box ( 2 PCS )</v>
      </c>
      <c r="H744" s="463" t="str">
        <f>IFERROR(__xludf.DUMMYFUNCTION("""COMPUTED_VALUE"""),"Sampai")</f>
        <v>Sampai</v>
      </c>
      <c r="I744" s="464" t="str">
        <f>IFERROR(__xludf.DUMMYFUNCTION("""COMPUTED_VALUE"""),"KIMME")</f>
        <v>KIMME</v>
      </c>
      <c r="J744" s="279" t="str">
        <f>IFERROR(__xludf.DUMMYFUNCTION("""COMPUTED_VALUE"""),"https://www.tiktok.com/@andinee__/video/7630736676041657618")</f>
        <v>https://www.tiktok.com/@andinee__/video/7630736676041657618</v>
      </c>
      <c r="K744" s="464" t="str">
        <f>IFERROR(__xludf.DUMMYFUNCTION("""COMPUTED_VALUE"""),"KIMME")</f>
        <v>KIMME</v>
      </c>
      <c r="L744" s="279" t="str">
        <f>IFERROR(__xludf.DUMMYFUNCTION("""COMPUTED_VALUE"""),"https://www.tiktok.com/@andinee__/video/7630731704554114322")</f>
        <v>https://www.tiktok.com/@andinee__/video/7630731704554114322</v>
      </c>
      <c r="M744" s="464"/>
      <c r="N744" s="279" t="str">
        <f>IFERROR(__xludf.DUMMYFUNCTION("""COMPUTED_VALUE"""),"https://www.tiktok.com/@andinee__/video/7630371579561528583")</f>
        <v>https://www.tiktok.com/@andinee__/video/7630371579561528583</v>
      </c>
      <c r="O744" s="464"/>
      <c r="P744" s="279" t="str">
        <f>IFERROR(__xludf.DUMMYFUNCTION("""COMPUTED_VALUE"""),"https://www.tiktok.com/@andinee__/video/7629917919018781959")</f>
        <v>https://www.tiktok.com/@andinee__/video/7629917919018781959</v>
      </c>
    </row>
    <row r="745">
      <c r="A745" s="255" t="str">
        <f>IFERROR(__xludf.DUMMYFUNCTION("""COMPUTED_VALUE"""),"MICRO")</f>
        <v>MICRO</v>
      </c>
      <c r="B745" s="361" t="str">
        <f>IFERROR(__xludf.DUMMYFUNCTION("""COMPUTED_VALUE"""),"sarlang17")</f>
        <v>sarlang17</v>
      </c>
      <c r="C745" s="257" t="str">
        <f>IFERROR(__xludf.DUMMYFUNCTION("""COMPUTED_VALUE"""),"https://www.tiktok.com/@sarlang17")</f>
        <v>https://www.tiktok.com/@sarlang17</v>
      </c>
      <c r="D745" s="270">
        <f>IFERROR(__xludf.DUMMYFUNCTION("""COMPUTED_VALUE"""),8.5254912003E10)</f>
        <v>85254912003</v>
      </c>
      <c r="E745" s="457">
        <f>IFERROR(__xludf.DUMMYFUNCTION("""COMPUTED_VALUE"""),0.0)</f>
        <v>0</v>
      </c>
      <c r="F745" s="270">
        <f>IFERROR(__xludf.DUMMYFUNCTION("""COMPUTED_VALUE"""),4.0)</f>
        <v>4</v>
      </c>
      <c r="G745" s="17" t="str">
        <f>IFERROR(__xludf.DUMMYFUNCTION("""COMPUTED_VALUE"""),"Sabun batang 1 Box ( 2 PCS )")</f>
        <v>Sabun batang 1 Box ( 2 PCS )</v>
      </c>
      <c r="H745" s="463" t="str">
        <f>IFERROR(__xludf.DUMMYFUNCTION("""COMPUTED_VALUE"""),"Sampai")</f>
        <v>Sampai</v>
      </c>
      <c r="I745" s="464" t="str">
        <f>IFERROR(__xludf.DUMMYFUNCTION("""COMPUTED_VALUE"""),"KIMME")</f>
        <v>KIMME</v>
      </c>
      <c r="J745" s="17" t="str">
        <f>IFERROR(__xludf.DUMMYFUNCTION("""COMPUTED_VALUE"""),"⁠https://vt.tiktok.com/ZS9NC4H7P/")</f>
        <v>⁠https://vt.tiktok.com/ZS9NC4H7P/</v>
      </c>
      <c r="K745" s="464" t="str">
        <f>IFERROR(__xludf.DUMMYFUNCTION("""COMPUTED_VALUE"""),"KIMME")</f>
        <v>KIMME</v>
      </c>
      <c r="L745" s="17" t="str">
        <f>IFERROR(__xludf.DUMMYFUNCTION("""COMPUTED_VALUE"""),"⁠https://vt.tiktok.com/ZS9NQo7xU/")</f>
        <v>⁠https://vt.tiktok.com/ZS9NQo7xU/</v>
      </c>
      <c r="M745" s="464"/>
      <c r="N745" s="17" t="str">
        <f>IFERROR(__xludf.DUMMYFUNCTION("""COMPUTED_VALUE"""),"⁠https://vt.tiktok.com/ZS9NQv3UF/")</f>
        <v>⁠https://vt.tiktok.com/ZS9NQv3UF/</v>
      </c>
      <c r="O745" s="464"/>
      <c r="P745" s="17" t="str">
        <f>IFERROR(__xludf.DUMMYFUNCTION("""COMPUTED_VALUE"""),"⁠https://vt.tiktok.com/ZS9NQqg3j/")</f>
        <v>⁠https://vt.tiktok.com/ZS9NQqg3j/</v>
      </c>
    </row>
    <row r="746">
      <c r="A746" s="255" t="str">
        <f>IFERROR(__xludf.DUMMYFUNCTION("""COMPUTED_VALUE"""),"MICRO")</f>
        <v>MICRO</v>
      </c>
      <c r="B746" s="361" t="str">
        <f>IFERROR(__xludf.DUMMYFUNCTION("""COMPUTED_VALUE"""),"ldy_aa05")</f>
        <v>ldy_aa05</v>
      </c>
      <c r="C746" s="257" t="str">
        <f>IFERROR(__xludf.DUMMYFUNCTION("""COMPUTED_VALUE"""),"https://www.tiktok.com/@ldy_aa05")</f>
        <v>https://www.tiktok.com/@ldy_aa05</v>
      </c>
      <c r="D746" s="270">
        <f>IFERROR(__xludf.DUMMYFUNCTION("""COMPUTED_VALUE"""),8.5717936561E10)</f>
        <v>85717936561</v>
      </c>
      <c r="E746" s="457">
        <f>IFERROR(__xludf.DUMMYFUNCTION("""COMPUTED_VALUE"""),0.0)</f>
        <v>0</v>
      </c>
      <c r="F746" s="270">
        <f>IFERROR(__xludf.DUMMYFUNCTION("""COMPUTED_VALUE"""),4.0)</f>
        <v>4</v>
      </c>
      <c r="G746" s="17" t="str">
        <f>IFERROR(__xludf.DUMMYFUNCTION("""COMPUTED_VALUE"""),"Sabun batang 1 Box ( 2 PCS )")</f>
        <v>Sabun batang 1 Box ( 2 PCS )</v>
      </c>
      <c r="H746" s="463" t="str">
        <f>IFERROR(__xludf.DUMMYFUNCTION("""COMPUTED_VALUE"""),"Sampai")</f>
        <v>Sampai</v>
      </c>
      <c r="I746" s="464" t="str">
        <f>IFERROR(__xludf.DUMMYFUNCTION("""COMPUTED_VALUE"""),"KIMME")</f>
        <v>KIMME</v>
      </c>
      <c r="J746" s="279" t="str">
        <f>IFERROR(__xludf.DUMMYFUNCTION("""COMPUTED_VALUE"""),"https://www.tiktok.com/@andinee__/video/7631944296660290834?_r=1&amp;u_code=l6ma1c5i&amp;region=&amp;mid=7581739577287805704&amp;preview_pb=0&amp;sharer_language=&amp;_d=0&amp;ec_shared_reflux_dynamic_params=%7B%22placeholder_material_id%22%3A%227631944296660290834%22%2C%22placehold"&amp;"er_origin_cover%22%3A%22https%253A%252F%252Fp16-common-sign.tiktokcdn.com%252Ftos-alisg-p-0037%252FoAbOdBheT3DgkTeUCuWQAlMPI1AjgfjQQ38joD~tplv-tiktokx-origin.jpeg%253Fdr%253D14572%2526refresh_token%253D84962ffc%2526x-expires%253D1810195200%2526x-signature"&amp;"%253DctLqz8GB8TAKIgC8NJ1QoQdwQbI%25253D%2526t%253D4d5b0474%2526ps%253D13740610%2526shp%253Dd05b14bd%2526shcp%253D34ff8df6%2526idc%253Dmy2%2526s%253DTIKTOK_AFFILIATE_VIRAL_VIDEO%22%2C%22placeholder_product_id%22%3A%221729427766722726591%22%2C%22placeholder"&amp;"_video_id%22%3A%227631944296660290834%22%7D&amp;ec_shared_reflux_scene=shop_tab_feed&amp;share_item_id=7631944296660290834&amp;source=h5_t")</f>
        <v>https://www.tiktok.com/@andinee__/video/7631944296660290834?_r=1&amp;u_code=l6ma1c5i&amp;region=&amp;mid=7581739577287805704&amp;preview_pb=0&amp;sharer_language=&amp;_d=0&amp;ec_shared_reflux_dynamic_params=%7B%22placeholder_material_id%22%3A%227631944296660290834%22%2C%22placeholder_origin_cover%22%3A%22https%253A%252F%252Fp16-common-sign.tiktokcdn.com%252Ftos-alisg-p-0037%252FoAbOdBheT3DgkTeUCuWQAlMPI1AjgfjQQ38joD~tplv-tiktokx-origin.jpeg%253Fdr%253D14572%2526refresh_token%253D84962ffc%2526x-expires%253D1810195200%2526x-signature%253DctLqz8GB8TAKIgC8NJ1QoQdwQbI%25253D%2526t%253D4d5b0474%2526ps%253D13740610%2526shp%253Dd05b14bd%2526shcp%253D34ff8df6%2526idc%253Dmy2%2526s%253DTIKTOK_AFFILIATE_VIRAL_VIDEO%22%2C%22placeholder_product_id%22%3A%221729427766722726591%22%2C%22placeholder_video_id%22%3A%227631944296660290834%22%7D&amp;ec_shared_reflux_scene=shop_tab_feed&amp;share_item_id=7631944296660290834&amp;source=h5_t</v>
      </c>
      <c r="K746" s="464" t="str">
        <f>IFERROR(__xludf.DUMMYFUNCTION("""COMPUTED_VALUE"""),"KIMME")</f>
        <v>KIMME</v>
      </c>
      <c r="L746" s="279" t="str">
        <f>IFERROR(__xludf.DUMMYFUNCTION("""COMPUTED_VALUE"""),"https://www.tiktok.com/@andinee__/video/7631941286307630354?_r=1&amp;u_code=l6ma1c5i&amp;region=&amp;mid=7549748664756603704&amp;preview_pb=0&amp;sharer_language=&amp;_d=0&amp;ec_shared_reflux_dynamic_params=%7B%22placeholder_material_id%22%3A%227631941286307630354%22%2C%22placehold"&amp;"er_origin_cover%22%3A%22https%253A%252F%252Fp16-common-sign.tiktokcdn.com%252Ftos-alisg-p-0037%252Fo8IEqFpyhBxPBpDBIfOchUAgEXGeR66t67nARj~tplv-tiktokx-origin.jpeg%253Fdr%253D14572%2526refresh_token%253Db4b72245%2526x-expires%253D1810195200%2526x-signature"&amp;"%253DOzkj11cMAIzrDjR%25252FWJ0ZfDby3%25252BQ%25253D%2526t%253D4d5b0474%2526ps%253D13740610%2526shp%253Dd05b14bd%2526shcp%253D34ff8df6%2526idc%253Dmy2%2526s%253DTIKTOK_AFFILIATE_VIRAL_VIDEO%22%2C%22placeholder_product_id%22%3A%221729427766722726591%22%2C%2"&amp;"2placeholder_video_id%22%3A%227631941286307630354%22%7D&amp;ec_shared_reflux_scene=shop_tab_feed&amp;share_item_id=7631941286307630354&amp;source=h5_t")</f>
        <v>https://www.tiktok.com/@andinee__/video/7631941286307630354?_r=1&amp;u_code=l6ma1c5i&amp;region=&amp;mid=7549748664756603704&amp;preview_pb=0&amp;sharer_language=&amp;_d=0&amp;ec_shared_reflux_dynamic_params=%7B%22placeholder_material_id%22%3A%227631941286307630354%22%2C%22placeholder_origin_cover%22%3A%22https%253A%252F%252Fp16-common-sign.tiktokcdn.com%252Ftos-alisg-p-0037%252Fo8IEqFpyhBxPBpDBIfOchUAgEXGeR66t67nARj~tplv-tiktokx-origin.jpeg%253Fdr%253D14572%2526refresh_token%253Db4b72245%2526x-expires%253D1810195200%2526x-signature%253DOzkj11cMAIzrDjR%25252FWJ0ZfDby3%25252BQ%25253D%2526t%253D4d5b0474%2526ps%253D13740610%2526shp%253Dd05b14bd%2526shcp%253D34ff8df6%2526idc%253Dmy2%2526s%253DTIKTOK_AFFILIATE_VIRAL_VIDEO%22%2C%22placeholder_product_id%22%3A%221729427766722726591%22%2C%22placeholder_video_id%22%3A%227631941286307630354%22%7D&amp;ec_shared_reflux_scene=shop_tab_feed&amp;share_item_id=7631941286307630354&amp;source=h5_t</v>
      </c>
      <c r="M746" s="464"/>
      <c r="N746" s="279" t="str">
        <f>IFERROR(__xludf.DUMMYFUNCTION("""COMPUTED_VALUE"""),"https://www.tiktok.com/@andinee__/video/7631939107102461202?_r=1&amp;u_code=l6ma1c5i&amp;region=&amp;mid=7548405609076034360&amp;preview_pb=0&amp;sharer_language=&amp;_d=0&amp;ec_shared_reflux_dynamic_params=%7B%22placeholder_material_id%22%3A%227631939107102461202%22%2C%22placehold"&amp;"er_origin_cover%22%3A%22https%253A%252F%252Fp16-common-sign.tiktokcdn.com%252Ftos-alisg-p-0037%252FogitIq5fQDFIlhCI6G90rAivzr2BnjwAAA0YqA~tplv-tiktokx-origin.jpeg%253Fdr%253D14572%2526refresh_token%253Dccf99788%2526x-expires%253D1810195200%2526x-signature"&amp;"%253DZaLVloY%25252BYKwC7q7p88yRiryb4TQ%25253D%2526t%253D4d5b0474%2526ps%253D13740610%2526shp%253Dd05b14bd%2526shcp%253D34ff8df6%2526idc%253Dmy2%2526s%253DTIKTOK_AFFILIATE_VIRAL_VIDEO%22%2C%22placeholder_product_id%22%3A%221729427766722726591%22%2C%22place"&amp;"holder_video_id%22%3A%227631939107102461202%22%7D&amp;ec_shared_reflux_scene=shop_tab_feed&amp;share_item_id=7631939107102461202&amp;source=h5_t")</f>
        <v>https://www.tiktok.com/@andinee__/video/7631939107102461202?_r=1&amp;u_code=l6ma1c5i&amp;region=&amp;mid=7548405609076034360&amp;preview_pb=0&amp;sharer_language=&amp;_d=0&amp;ec_shared_reflux_dynamic_params=%7B%22placeholder_material_id%22%3A%227631939107102461202%22%2C%22placeholder_origin_cover%22%3A%22https%253A%252F%252Fp16-common-sign.tiktokcdn.com%252Ftos-alisg-p-0037%252FogitIq5fQDFIlhCI6G90rAivzr2BnjwAAA0YqA~tplv-tiktokx-origin.jpeg%253Fdr%253D14572%2526refresh_token%253Dccf99788%2526x-expires%253D1810195200%2526x-signature%253DZaLVloY%25252BYKwC7q7p88yRiryb4TQ%25253D%2526t%253D4d5b0474%2526ps%253D13740610%2526shp%253Dd05b14bd%2526shcp%253D34ff8df6%2526idc%253Dmy2%2526s%253DTIKTOK_AFFILIATE_VIRAL_VIDEO%22%2C%22placeholder_product_id%22%3A%221729427766722726591%22%2C%22placeholder_video_id%22%3A%227631939107102461202%22%7D&amp;ec_shared_reflux_scene=shop_tab_feed&amp;share_item_id=7631939107102461202&amp;source=h5_t</v>
      </c>
      <c r="O746" s="464"/>
      <c r="P746" s="279" t="str">
        <f>IFERROR(__xludf.DUMMYFUNCTION("""COMPUTED_VALUE"""),"https://www.tiktok.com/@andinee__/video/7631939536037088530?_r=1&amp;u_code=l6ma1c5i&amp;region=&amp;mid=7609935705011178256&amp;preview_pb=0&amp;sharer_language=&amp;_d=0&amp;ec_shared_reflux_dynamic_params=%7B%22placeholder_material_id%22%3A%227631939536037088530%22%2C%22placehold"&amp;"er_origin_cover%22%3A%22https%253A%252F%252Fp16-common-sign.tiktokcdn.com%252Ftos-alisg-p-0037%252Fo0IJqAznDoAgxEIT71FfDCAmkG1sCBIej4D9If~tplv-tiktokx-origin.jpeg%253Fdr%253D14572%2526refresh_token%253D6b687fb0%2526x-expires%253D1810195200%2526x-signature"&amp;"%253DtCNYHw%25252FDDB1h8t8LvMjJTPJBfho%25253D%2526t%253D4d5b0474%2526ps%253D13740610%2526shp%253Dd05b14bd%2526shcp%253D34ff8df6%2526idc%253Dmy2%2526s%253DTIKTOK_AFFILIATE_VIRAL_VIDEO%22%2C%22placeholder_product_id%22%3A%221729427766722726591%22%2C%22place"&amp;"holder_video_id%22%3A%227631939536037088530%22%7D&amp;ec_shared_reflux_scene=shop_tab_feed&amp;share_item_id=7631939536037088530&amp;source=h5_t")</f>
        <v>https://www.tiktok.com/@andinee__/video/7631939536037088530?_r=1&amp;u_code=l6ma1c5i&amp;region=&amp;mid=7609935705011178256&amp;preview_pb=0&amp;sharer_language=&amp;_d=0&amp;ec_shared_reflux_dynamic_params=%7B%22placeholder_material_id%22%3A%227631939536037088530%22%2C%22placeholder_origin_cover%22%3A%22https%253A%252F%252Fp16-common-sign.tiktokcdn.com%252Ftos-alisg-p-0037%252Fo0IJqAznDoAgxEIT71FfDCAmkG1sCBIej4D9If~tplv-tiktokx-origin.jpeg%253Fdr%253D14572%2526refresh_token%253D6b687fb0%2526x-expires%253D1810195200%2526x-signature%253DtCNYHw%25252FDDB1h8t8LvMjJTPJBfho%25253D%2526t%253D4d5b0474%2526ps%253D13740610%2526shp%253Dd05b14bd%2526shcp%253D34ff8df6%2526idc%253Dmy2%2526s%253DTIKTOK_AFFILIATE_VIRAL_VIDEO%22%2C%22placeholder_product_id%22%3A%221729427766722726591%22%2C%22placeholder_video_id%22%3A%227631939536037088530%22%7D&amp;ec_shared_reflux_scene=shop_tab_feed&amp;share_item_id=7631939536037088530&amp;source=h5_t</v>
      </c>
    </row>
    <row r="747">
      <c r="A747" s="255" t="str">
        <f>IFERROR(__xludf.DUMMYFUNCTION("""COMPUTED_VALUE"""),"MICRO")</f>
        <v>MICRO</v>
      </c>
      <c r="B747" s="361" t="str">
        <f>IFERROR(__xludf.DUMMYFUNCTION("""COMPUTED_VALUE"""),"fnanggr ")</f>
        <v>fnanggr </v>
      </c>
      <c r="C747" s="257" t="str">
        <f>IFERROR(__xludf.DUMMYFUNCTION("""COMPUTED_VALUE"""),"https://www.tiktok.com/@fnanggr ")</f>
        <v>https://www.tiktok.com/@fnanggr </v>
      </c>
      <c r="D747" s="270">
        <f>IFERROR(__xludf.DUMMYFUNCTION("""COMPUTED_VALUE"""),8.2337671805E10)</f>
        <v>82337671805</v>
      </c>
      <c r="E747" s="457">
        <f>IFERROR(__xludf.DUMMYFUNCTION("""COMPUTED_VALUE"""),150000.0)</f>
        <v>150000</v>
      </c>
      <c r="F747" s="270">
        <f>IFERROR(__xludf.DUMMYFUNCTION("""COMPUTED_VALUE"""),1.0)</f>
        <v>1</v>
      </c>
      <c r="G747" s="17" t="str">
        <f>IFERROR(__xludf.DUMMYFUNCTION("""COMPUTED_VALUE"""),"Sabun batang 1 Box ( 2 PCS )")</f>
        <v>Sabun batang 1 Box ( 2 PCS )</v>
      </c>
      <c r="H747" s="463" t="str">
        <f>IFERROR(__xludf.DUMMYFUNCTION("""COMPUTED_VALUE"""),"Sampai")</f>
        <v>Sampai</v>
      </c>
      <c r="I747" s="464" t="str">
        <f>IFERROR(__xludf.DUMMYFUNCTION("""COMPUTED_VALUE"""),"KIMME")</f>
        <v>KIMME</v>
      </c>
      <c r="J747" s="279" t="str">
        <f>IFERROR(__xludf.DUMMYFUNCTION("""COMPUTED_VALUE"""),"https://www.tiktok.com/@andinee__/video/7631934425479007495?_r=1&amp;u_code=l6ma1c5i&amp;region=&amp;mid=7578647496667958036&amp;preview_pb=0&amp;sharer_language=&amp;_d=0&amp;ec_shared_reflux_dynamic_params=%7B%22placeholder_material_id%22%3A%227631934425479007495%22%2C%22placehold"&amp;"er_origin_cover%22%3A%22https%253A%252F%252Fp19-common-sign.tiktokcdn.com%252Ftos-alisg-p-0037%252FoYfVC83eMDnTX2DI7UQJCFgf1Cogd4XAtajpdA~tplv-tiktokx-origin.jpeg%253Fdr%253D14572%2526refresh_token%253Da2f31435%2526x-expires%253D1810195200%2526x-signature"&amp;"%253DMqgMGHSwHrJ1ex00jGy4evlSNrg%25253D%2526t%253D4d5b0474%2526ps%253D13740610%2526shp%253Dd05b14bd%2526shcp%253D34ff8df6%2526idc%253Dmy2%2526s%253DTIKTOK_AFFILIATE_VIRAL_VIDEO%22%2C%22placeholder_product_id%22%3A%221729427766722726591%22%2C%22placeholder"&amp;"_video_id%22%3A%227631934425479007495%22%7D&amp;ec_shared_reflux_scene=shop_tab_feed&amp;share_item_id=7631934425479007495&amp;source=h5_t")</f>
        <v>https://www.tiktok.com/@andinee__/video/7631934425479007495?_r=1&amp;u_code=l6ma1c5i&amp;region=&amp;mid=7578647496667958036&amp;preview_pb=0&amp;sharer_language=&amp;_d=0&amp;ec_shared_reflux_dynamic_params=%7B%22placeholder_material_id%22%3A%227631934425479007495%22%2C%22placeholder_origin_cover%22%3A%22https%253A%252F%252Fp19-common-sign.tiktokcdn.com%252Ftos-alisg-p-0037%252FoYfVC83eMDnTX2DI7UQJCFgf1Cogd4XAtajpdA~tplv-tiktokx-origin.jpeg%253Fdr%253D14572%2526refresh_token%253Da2f31435%2526x-expires%253D1810195200%2526x-signature%253DMqgMGHSwHrJ1ex00jGy4evlSNrg%25253D%2526t%253D4d5b0474%2526ps%253D13740610%2526shp%253Dd05b14bd%2526shcp%253D34ff8df6%2526idc%253Dmy2%2526s%253DTIKTOK_AFFILIATE_VIRAL_VIDEO%22%2C%22placeholder_product_id%22%3A%221729427766722726591%22%2C%22placeholder_video_id%22%3A%227631934425479007495%22%7D&amp;ec_shared_reflux_scene=shop_tab_feed&amp;share_item_id=7631934425479007495&amp;source=h5_t</v>
      </c>
      <c r="K747" s="464" t="str">
        <f>IFERROR(__xludf.DUMMYFUNCTION("""COMPUTED_VALUE"""),"KIMME")</f>
        <v>KIMME</v>
      </c>
      <c r="L747" s="279" t="str">
        <f>IFERROR(__xludf.DUMMYFUNCTION("""COMPUTED_VALUE"""),"https://www.tiktok.com/@andinee__/video/7631935041408453896?_r=1&amp;u_code=l6ma1c5i&amp;region=&amp;mid=7629197508455942145&amp;preview_pb=0&amp;sharer_language=&amp;_d=0&amp;ec_shared_reflux_dynamic_params=%7B%22placeholder_material_id%22%3A%227631935041408453896%22%2C%22placehold"&amp;"er_origin_cover%22%3A%22https%253A%252F%252Fp16-common-sign.tiktokcdn.com%252Ftos-alisg-p-0037%252FoIVAqU0IqUEBwAXFwPqIoviMiCAIHAe2Po5t3I~tplv-tiktokx-origin.jpeg%253Fdr%253D14572%2526refresh_token%253Db29f2b92%2526x-expires%253D1810195200%2526x-signature"&amp;"%253DLU%25252BCVWMtgt%25252BbG2coNbg1lfBVXJI%25253D%2526t%253D4d5b0474%2526ps%253D13740610%2526shp%253Dd05b14bd%2526shcp%253D34ff8df6%2526idc%253Dmy2%2526s%253DTIKTOK_AFFILIATE_VIRAL_VIDEO%22%2C%22placeholder_product_id%22%3A%221729427766722726591%22%2C%2"&amp;"2placeholder_video_id%22%3A%227631935041408453896%22%7D&amp;ec_shared_reflux_scene=shop_tab_feed&amp;share_item_id=7631935041408453896&amp;source=h5_t")</f>
        <v>https://www.tiktok.com/@andinee__/video/7631935041408453896?_r=1&amp;u_code=l6ma1c5i&amp;region=&amp;mid=7629197508455942145&amp;preview_pb=0&amp;sharer_language=&amp;_d=0&amp;ec_shared_reflux_dynamic_params=%7B%22placeholder_material_id%22%3A%227631935041408453896%22%2C%22placeholder_origin_cover%22%3A%22https%253A%252F%252Fp16-common-sign.tiktokcdn.com%252Ftos-alisg-p-0037%252FoIVAqU0IqUEBwAXFwPqIoviMiCAIHAe2Po5t3I~tplv-tiktokx-origin.jpeg%253Fdr%253D14572%2526refresh_token%253Db29f2b92%2526x-expires%253D1810195200%2526x-signature%253DLU%25252BCVWMtgt%25252BbG2coNbg1lfBVXJI%25253D%2526t%253D4d5b0474%2526ps%253D13740610%2526shp%253Dd05b14bd%2526shcp%253D34ff8df6%2526idc%253Dmy2%2526s%253DTIKTOK_AFFILIATE_VIRAL_VIDEO%22%2C%22placeholder_product_id%22%3A%221729427766722726591%22%2C%22placeholder_video_id%22%3A%227631935041408453896%22%7D&amp;ec_shared_reflux_scene=shop_tab_feed&amp;share_item_id=7631935041408453896&amp;source=h5_t</v>
      </c>
      <c r="M747" s="464"/>
      <c r="N747" s="279" t="str">
        <f>IFERROR(__xludf.DUMMYFUNCTION("""COMPUTED_VALUE"""),"https://www.tiktok.com/@andinee__/video/7631932190972005639?_r=1&amp;u_code=l6ma1c5i&amp;region=&amp;mid=7532431478991489808&amp;preview_pb=0&amp;sharer_language=&amp;_d=0&amp;ec_shared_reflux_dynamic_params=%7B%22placeholder_material_id%22%3A%227631932190972005639%22%2C%22placehold"&amp;"er_origin_cover%22%3A%22https%253A%252F%252Fp16-common-sign.tiktokcdn.com%252Ftos-alisg-p-0037%252FoIEmLhREQBAfeQPUBpEg1AZYUBFGSI6DhZtuMm~tplv-tiktokx-origin.jpeg%253Fdr%253D14572%2526refresh_token%253Df7e31763%2526x-expires%253D1810195200%2526x-signature"&amp;"%253DRDXXXsh0o6YBnmchqb2l4%25252FcQcmw%25253D%2526t%253D4d5b0474%2526ps%253D13740610%2526shp%253Dd05b14bd%2526shcp%253D34ff8df6%2526idc%253Dmy2%2526s%253DTIKTOK_AFFILIATE_VIRAL_VIDEO%22%2C%22placeholder_product_id%22%3A%221729427766722726591%22%2C%22place"&amp;"holder_video_id%22%3A%227631932190972005639%22%7D&amp;ec_shared_reflux_scene=shop_tab_feed&amp;share_item_id=7631932190972005639&amp;source=h5_t")</f>
        <v>https://www.tiktok.com/@andinee__/video/7631932190972005639?_r=1&amp;u_code=l6ma1c5i&amp;region=&amp;mid=7532431478991489808&amp;preview_pb=0&amp;sharer_language=&amp;_d=0&amp;ec_shared_reflux_dynamic_params=%7B%22placeholder_material_id%22%3A%227631932190972005639%22%2C%22placeholder_origin_cover%22%3A%22https%253A%252F%252Fp16-common-sign.tiktokcdn.com%252Ftos-alisg-p-0037%252FoIEmLhREQBAfeQPUBpEg1AZYUBFGSI6DhZtuMm~tplv-tiktokx-origin.jpeg%253Fdr%253D14572%2526refresh_token%253Df7e31763%2526x-expires%253D1810195200%2526x-signature%253DRDXXXsh0o6YBnmchqb2l4%25252FcQcmw%25253D%2526t%253D4d5b0474%2526ps%253D13740610%2526shp%253Dd05b14bd%2526shcp%253D34ff8df6%2526idc%253Dmy2%2526s%253DTIKTOK_AFFILIATE_VIRAL_VIDEO%22%2C%22placeholder_product_id%22%3A%221729427766722726591%22%2C%22placeholder_video_id%22%3A%227631932190972005639%22%7D&amp;ec_shared_reflux_scene=shop_tab_feed&amp;share_item_id=7631932190972005639&amp;source=h5_t</v>
      </c>
      <c r="O747" s="464"/>
      <c r="P747" s="279" t="str">
        <f>IFERROR(__xludf.DUMMYFUNCTION("""COMPUTED_VALUE"""),"https://www.tiktok.com/@andinee__/video/7631931617350831368?_r=1&amp;u_code=l6ma1c5i&amp;region=&amp;mid=7614267526743477000&amp;preview_pb=0&amp;sharer_language=&amp;_d=0&amp;ec_shared_reflux_dynamic_params=%7B%22placeholder_material_id%22%3A%227631931617350831368%22%2C%22placehold"&amp;"er_origin_cover%22%3A%22https%253A%252F%252Fp16-common-sign.tiktokcdn.com%252Ftos-alisg-p-0037%252FoofDIWGcLjEl1EqdQjI4ACeI8juQQoBeATCRTI~tplv-tiktokx-origin.jpeg%253Fdr%253D14572%2526refresh_token%253Da4bddcd0%2526x-expires%253D1810195200%2526x-signature"&amp;"%253D3T6ZhJrBsKXmZTAJc1kgVqi1nHc%25253D%2526t%253D4d5b0474%2526ps%253D13740610%2526shp%253Dd05b14bd%2526shcp%253D34ff8df6%2526idc%253Dmy2%2526s%253DTIKTOK_AFFILIATE_VIRAL_VIDEO%22%2C%22placeholder_product_id%22%3A%221729427766722726591%22%2C%22placeholder"&amp;"_video_id%22%3A%227631931617350831368%22%7D&amp;ec_shared_reflux_scene=shop_tab_feed&amp;share_item_id=7631931617350831368&amp;source=h5_t")</f>
        <v>https://www.tiktok.com/@andinee__/video/7631931617350831368?_r=1&amp;u_code=l6ma1c5i&amp;region=&amp;mid=7614267526743477000&amp;preview_pb=0&amp;sharer_language=&amp;_d=0&amp;ec_shared_reflux_dynamic_params=%7B%22placeholder_material_id%22%3A%227631931617350831368%22%2C%22placeholder_origin_cover%22%3A%22https%253A%252F%252Fp16-common-sign.tiktokcdn.com%252Ftos-alisg-p-0037%252FoofDIWGcLjEl1EqdQjI4ACeI8juQQoBeATCRTI~tplv-tiktokx-origin.jpeg%253Fdr%253D14572%2526refresh_token%253Da4bddcd0%2526x-expires%253D1810195200%2526x-signature%253D3T6ZhJrBsKXmZTAJc1kgVqi1nHc%25253D%2526t%253D4d5b0474%2526ps%253D13740610%2526shp%253Dd05b14bd%2526shcp%253D34ff8df6%2526idc%253Dmy2%2526s%253DTIKTOK_AFFILIATE_VIRAL_VIDEO%22%2C%22placeholder_product_id%22%3A%221729427766722726591%22%2C%22placeholder_video_id%22%3A%227631931617350831368%22%7D&amp;ec_shared_reflux_scene=shop_tab_feed&amp;share_item_id=7631931617350831368&amp;source=h5_t</v>
      </c>
    </row>
    <row r="748">
      <c r="A748" s="255" t="str">
        <f>IFERROR(__xludf.DUMMYFUNCTION("""COMPUTED_VALUE"""),"MICRO")</f>
        <v>MICRO</v>
      </c>
      <c r="B748" s="361" t="str">
        <f>IFERROR(__xludf.DUMMYFUNCTION("""COMPUTED_VALUE"""),"vaniaaptrrr")</f>
        <v>vaniaaptrrr</v>
      </c>
      <c r="C748" s="257" t="str">
        <f>IFERROR(__xludf.DUMMYFUNCTION("""COMPUTED_VALUE"""),"https://www.tiktok.com/@vaniaaptrrr")</f>
        <v>https://www.tiktok.com/@vaniaaptrrr</v>
      </c>
      <c r="D748" s="270">
        <f>IFERROR(__xludf.DUMMYFUNCTION("""COMPUTED_VALUE"""),8.5731692701E10)</f>
        <v>85731692701</v>
      </c>
      <c r="E748" s="457">
        <f>IFERROR(__xludf.DUMMYFUNCTION("""COMPUTED_VALUE"""),0.0)</f>
        <v>0</v>
      </c>
      <c r="F748" s="270">
        <f>IFERROR(__xludf.DUMMYFUNCTION("""COMPUTED_VALUE"""),1.0)</f>
        <v>1</v>
      </c>
      <c r="G748" s="17" t="str">
        <f>IFERROR(__xludf.DUMMYFUNCTION("""COMPUTED_VALUE"""),"Sabun batang 1 Box ( 2 PCS )")</f>
        <v>Sabun batang 1 Box ( 2 PCS )</v>
      </c>
      <c r="H748" s="463" t="str">
        <f>IFERROR(__xludf.DUMMYFUNCTION("""COMPUTED_VALUE"""),"Sampai")</f>
        <v>Sampai</v>
      </c>
      <c r="I748" s="464" t="str">
        <f>IFERROR(__xludf.DUMMYFUNCTION("""COMPUTED_VALUE"""),"KIMME")</f>
        <v>KIMME</v>
      </c>
      <c r="J748" s="279" t="str">
        <f>IFERROR(__xludf.DUMMYFUNCTION("""COMPUTED_VALUE"""),"https://www.tiktok.com/@andinee__/video/7631926378010529031?_r=1&amp;u_code=l6ma1c5i&amp;region=&amp;mid=7461409796990798608&amp;preview_pb=0&amp;sharer_language=&amp;_d=0&amp;ec_shared_reflux_dynamic_params=%7B%22placeholder_material_id%22%3A%227631926378010529031%22%2C%22placehold"&amp;"er_origin_cover%22%3A%22https%253A%252F%252Fp19-common-sign.tiktokcdn.com%252Ftos-alisg-p-0037%252FoApfUFqpVB7QgAFRgBJQlKFBr6EQgTf3qxDDEy~tplv-tiktokx-origin.jpeg%253Fdr%253D14572%2526refresh_token%253Da9a47b11%2526x-expires%253D1810195200%2526x-signature"&amp;"%253DHY3cjOUeZ57dO4HP%25252BT14zNEu6vg%25253D%2526t%253D4d5b0474%2526ps%253D13740610%2526shp%253Dd05b14bd%2526shcp%253D34ff8df6%2526idc%253Dmy2%2526s%253DTIKTOK_AFFILIATE_VIRAL_VIDEO%22%2C%22placeholder_product_id%22%3A%221729427766722726591%22%2C%22place"&amp;"holder_video_id%22%3A%227631926378010529031%22%7D&amp;ec_shared_reflux_scene=shop_tab_feed&amp;share_item_id=7631926378010529031&amp;source=h5_t")</f>
        <v>https://www.tiktok.com/@andinee__/video/7631926378010529031?_r=1&amp;u_code=l6ma1c5i&amp;region=&amp;mid=7461409796990798608&amp;preview_pb=0&amp;sharer_language=&amp;_d=0&amp;ec_shared_reflux_dynamic_params=%7B%22placeholder_material_id%22%3A%227631926378010529031%22%2C%22placeholder_origin_cover%22%3A%22https%253A%252F%252Fp19-common-sign.tiktokcdn.com%252Ftos-alisg-p-0037%252FoApfUFqpVB7QgAFRgBJQlKFBr6EQgTf3qxDDEy~tplv-tiktokx-origin.jpeg%253Fdr%253D14572%2526refresh_token%253Da9a47b11%2526x-expires%253D1810195200%2526x-signature%253DHY3cjOUeZ57dO4HP%25252BT14zNEu6vg%25253D%2526t%253D4d5b0474%2526ps%253D13740610%2526shp%253Dd05b14bd%2526shcp%253D34ff8df6%2526idc%253Dmy2%2526s%253DTIKTOK_AFFILIATE_VIRAL_VIDEO%22%2C%22placeholder_product_id%22%3A%221729427766722726591%22%2C%22placeholder_video_id%22%3A%227631926378010529031%22%7D&amp;ec_shared_reflux_scene=shop_tab_feed&amp;share_item_id=7631926378010529031&amp;source=h5_t</v>
      </c>
      <c r="K748" s="464" t="str">
        <f>IFERROR(__xludf.DUMMYFUNCTION("""COMPUTED_VALUE"""),"KIMME")</f>
        <v>KIMME</v>
      </c>
      <c r="L748" s="279" t="str">
        <f>IFERROR(__xludf.DUMMYFUNCTION("""COMPUTED_VALUE"""),"https://www.tiktok.com/@andinee__/video/7631926781997583624?_r=1&amp;u_code=l6ma1c5i&amp;region=&amp;mid=7593745740699011861&amp;preview_pb=0&amp;sharer_language=&amp;_d=0&amp;ec_shared_reflux_dynamic_params=%7B%22placeholder_material_id%22%3A%227631926781997583624%22%2C%22placehold"&amp;"er_origin_cover%22%3A%22https%253A%252F%252Fp16-common-sign.tiktokcdn.com%252Ftos-alisg-p-0037%252FoYICqi0hoAziAVBDIvR0uqAwiwDIMe5vynMAIQ~tplv-tiktokx-origin.jpeg%253Fdr%253D14572%2526refresh_token%253Da0f9fca8%2526x-expires%253D1810195200%2526x-signature"&amp;"%253DHnrw9MDtRGb%25252FMuU60PlloxwFLK0%25253D%2526t%253D4d5b0474%2526ps%253D13740610%2526shp%253Dd05b14bd%2526shcp%253D34ff8df6%2526idc%253Dmy2%2526s%253DTIKTOK_AFFILIATE_VIRAL_VIDEO%22%2C%22placeholder_product_id%22%3A%221729427766722726591%22%2C%22place"&amp;"holder_video_id%22%3A%227631926781997583624%22%7D&amp;ec_shared_reflux_scene=shop_tab_feed&amp;share_item_id=7631926781997583624&amp;source=h5_t")</f>
        <v>https://www.tiktok.com/@andinee__/video/7631926781997583624?_r=1&amp;u_code=l6ma1c5i&amp;region=&amp;mid=7593745740699011861&amp;preview_pb=0&amp;sharer_language=&amp;_d=0&amp;ec_shared_reflux_dynamic_params=%7B%22placeholder_material_id%22%3A%227631926781997583624%22%2C%22placeholder_origin_cover%22%3A%22https%253A%252F%252Fp16-common-sign.tiktokcdn.com%252Ftos-alisg-p-0037%252FoYICqi0hoAziAVBDIvR0uqAwiwDIMe5vynMAIQ~tplv-tiktokx-origin.jpeg%253Fdr%253D14572%2526refresh_token%253Da0f9fca8%2526x-expires%253D1810195200%2526x-signature%253DHnrw9MDtRGb%25252FMuU60PlloxwFLK0%25253D%2526t%253D4d5b0474%2526ps%253D13740610%2526shp%253Dd05b14bd%2526shcp%253D34ff8df6%2526idc%253Dmy2%2526s%253DTIKTOK_AFFILIATE_VIRAL_VIDEO%22%2C%22placeholder_product_id%22%3A%221729427766722726591%22%2C%22placeholder_video_id%22%3A%227631926781997583624%22%7D&amp;ec_shared_reflux_scene=shop_tab_feed&amp;share_item_id=7631926781997583624&amp;source=h5_t</v>
      </c>
      <c r="M748" s="464"/>
      <c r="N748" s="279" t="str">
        <f>IFERROR(__xludf.DUMMYFUNCTION("""COMPUTED_VALUE"""),"https://www.tiktok.com/@andinee__/video/7631916740968074504?_r=1&amp;u_code=l6ma1c5i&amp;region=&amp;mid=7514881014267923216&amp;preview_pb=0&amp;sharer_language=&amp;_d=0&amp;ec_shared_reflux_dynamic_params=%7B%22placeholder_material_id%22%3A%227631916740968074504%22%2C%22placehold"&amp;"er_origin_cover%22%3A%22https%253A%252F%252Fp16-common-sign.tiktokcdn.com%252Ftos-alisg-p-0037%252Fo4YpITURqE3gTrDGBEgFf69EIfA9pmEBEBM3qA~tplv-tiktokx-origin.jpeg%253Fdr%253D14572%2526refresh_token%253Db92d6ac3%2526x-expires%253D1810195200%2526x-signature"&amp;"%253DBGphFg%25252B%25252Fe59MqlQemA3Y2i2lX7E%25253D%2526t%253D4d5b0474%2526ps%253D13740610%2526shp%253Dd05b14bd%2526shcp%253D34ff8df6%2526idc%253Dmy2%2526s%253DTIKTOK_AFFILIATE_VIRAL_VIDEO%22%2C%22placeholder_product_id%22%3A%221729427766722726591%22%2C%2"&amp;"2placeholder_video_id%22%3A%227631916740968074504%22%7D&amp;ec_shared_reflux_scene=shop_tab_feed&amp;share_item_id=7631916740968074504&amp;source=h5_t")</f>
        <v>https://www.tiktok.com/@andinee__/video/7631916740968074504?_r=1&amp;u_code=l6ma1c5i&amp;region=&amp;mid=7514881014267923216&amp;preview_pb=0&amp;sharer_language=&amp;_d=0&amp;ec_shared_reflux_dynamic_params=%7B%22placeholder_material_id%22%3A%227631916740968074504%22%2C%22placeholder_origin_cover%22%3A%22https%253A%252F%252Fp16-common-sign.tiktokcdn.com%252Ftos-alisg-p-0037%252Fo4YpITURqE3gTrDGBEgFf69EIfA9pmEBEBM3qA~tplv-tiktokx-origin.jpeg%253Fdr%253D14572%2526refresh_token%253Db92d6ac3%2526x-expires%253D1810195200%2526x-signature%253DBGphFg%25252B%25252Fe59MqlQemA3Y2i2lX7E%25253D%2526t%253D4d5b0474%2526ps%253D13740610%2526shp%253Dd05b14bd%2526shcp%253D34ff8df6%2526idc%253Dmy2%2526s%253DTIKTOK_AFFILIATE_VIRAL_VIDEO%22%2C%22placeholder_product_id%22%3A%221729427766722726591%22%2C%22placeholder_video_id%22%3A%227631916740968074504%22%7D&amp;ec_shared_reflux_scene=shop_tab_feed&amp;share_item_id=7631916740968074504&amp;source=h5_t</v>
      </c>
      <c r="O748" s="464"/>
      <c r="P748" s="279" t="str">
        <f>IFERROR(__xludf.DUMMYFUNCTION("""COMPUTED_VALUE"""),"https://www.tiktok.com/@andinee__/video/7631908920344268050?_r=1&amp;u_code=l6ma1c5i&amp;region=&amp;mid=7432577275431750405&amp;preview_pb=0&amp;sharer_language=&amp;_d=0&amp;ec_shared_reflux_dynamic_params=%7B%22placeholder_material_id%22%3A%227631908920344268050%22%2C%22placehold"&amp;"er_origin_cover%22%3A%22https%253A%252F%252Fp16-common-sign.tiktokcdn.com%252Ftos-alisg-p-0037%252FoMGPNGt5AFWQcCMnEfQLIkepQFieHDBT0AGfR4~tplv-tiktokx-origin.jpeg%253Fdr%253D14572%2526refresh_token%253D39d1058b%2526x-expires%253D1810195200%2526x-signature"&amp;"%253D8%25252FnodJK%25252BVxQlfTEdxqBdIJOSnX8%25253D%2526t%253D4d5b0474%2526ps%253D13740610%2526shp%253Dd05b14bd%2526shcp%253D34ff8df6%2526idc%253Dmy2%2526s%253DTIKTOK_AFFILIATE_VIRAL_VIDEO%22%2C%22placeholder_product_id%22%3A%221729427766722726591%22%2C%2"&amp;"2placeholder_video_id%22%3A%227631908920344268050%22%7D&amp;ec_shared_reflux_scene=shop_tab_feed&amp;share_item_id=7631908920344268050&amp;source=h5_t")</f>
        <v>https://www.tiktok.com/@andinee__/video/7631908920344268050?_r=1&amp;u_code=l6ma1c5i&amp;region=&amp;mid=7432577275431750405&amp;preview_pb=0&amp;sharer_language=&amp;_d=0&amp;ec_shared_reflux_dynamic_params=%7B%22placeholder_material_id%22%3A%227631908920344268050%22%2C%22placeholder_origin_cover%22%3A%22https%253A%252F%252Fp16-common-sign.tiktokcdn.com%252Ftos-alisg-p-0037%252FoMGPNGt5AFWQcCMnEfQLIkepQFieHDBT0AGfR4~tplv-tiktokx-origin.jpeg%253Fdr%253D14572%2526refresh_token%253D39d1058b%2526x-expires%253D1810195200%2526x-signature%253D8%25252FnodJK%25252BVxQlfTEdxqBdIJOSnX8%25253D%2526t%253D4d5b0474%2526ps%253D13740610%2526shp%253Dd05b14bd%2526shcp%253D34ff8df6%2526idc%253Dmy2%2526s%253DTIKTOK_AFFILIATE_VIRAL_VIDEO%22%2C%22placeholder_product_id%22%3A%221729427766722726591%22%2C%22placeholder_video_id%22%3A%227631908920344268050%22%7D&amp;ec_shared_reflux_scene=shop_tab_feed&amp;share_item_id=7631908920344268050&amp;source=h5_t</v>
      </c>
    </row>
    <row r="749">
      <c r="A749" s="255" t="str">
        <f>IFERROR(__xludf.DUMMYFUNCTION("""COMPUTED_VALUE"""),"MACRO")</f>
        <v>MACRO</v>
      </c>
      <c r="B749" s="361" t="str">
        <f>IFERROR(__xludf.DUMMYFUNCTION("""COMPUTED_VALUE"""),"zulfakafilah_")</f>
        <v>zulfakafilah_</v>
      </c>
      <c r="C749" s="257" t="str">
        <f>IFERROR(__xludf.DUMMYFUNCTION("""COMPUTED_VALUE"""),"https://www.tiktok.com/@zulfakafilah_")</f>
        <v>https://www.tiktok.com/@zulfakafilah_</v>
      </c>
      <c r="D749" s="270">
        <f>IFERROR(__xludf.DUMMYFUNCTION("""COMPUTED_VALUE"""),8.5706727552E10)</f>
        <v>85706727552</v>
      </c>
      <c r="E749" s="457">
        <f>IFERROR(__xludf.DUMMYFUNCTION("""COMPUTED_VALUE"""),0.0)</f>
        <v>0</v>
      </c>
      <c r="F749" s="270">
        <f>IFERROR(__xludf.DUMMYFUNCTION("""COMPUTED_VALUE"""),4.0)</f>
        <v>4</v>
      </c>
      <c r="G749" s="17" t="str">
        <f>IFERROR(__xludf.DUMMYFUNCTION("""COMPUTED_VALUE"""),"Sabun batang 1 Box ( 2 PCS )")</f>
        <v>Sabun batang 1 Box ( 2 PCS )</v>
      </c>
      <c r="H749" s="463" t="str">
        <f>IFERROR(__xludf.DUMMYFUNCTION("""COMPUTED_VALUE"""),"Sampai")</f>
        <v>Sampai</v>
      </c>
      <c r="I749" s="464" t="str">
        <f>IFERROR(__xludf.DUMMYFUNCTION("""COMPUTED_VALUE"""),"KIMME")</f>
        <v>KIMME</v>
      </c>
      <c r="J749" s="17"/>
      <c r="K749" s="464" t="str">
        <f>IFERROR(__xludf.DUMMYFUNCTION("""COMPUTED_VALUE"""),"KIMME")</f>
        <v>KIMME</v>
      </c>
      <c r="L749" s="17"/>
      <c r="M749" s="464"/>
      <c r="N749" s="17"/>
      <c r="O749" s="464"/>
      <c r="P749" s="17"/>
    </row>
    <row r="750">
      <c r="A750" s="255" t="str">
        <f>IFERROR(__xludf.DUMMYFUNCTION("""COMPUTED_VALUE"""),"MICRO")</f>
        <v>MICRO</v>
      </c>
      <c r="B750" s="361" t="str">
        <f>IFERROR(__xludf.DUMMYFUNCTION("""COMPUTED_VALUE"""),"cckhaira_")</f>
        <v>cckhaira_</v>
      </c>
      <c r="C750" s="257" t="str">
        <f>IFERROR(__xludf.DUMMYFUNCTION("""COMPUTED_VALUE"""),"https://www.tiktok.com/@cckhaira_")</f>
        <v>https://www.tiktok.com/@cckhaira_</v>
      </c>
      <c r="D750" s="270">
        <f>IFERROR(__xludf.DUMMYFUNCTION("""COMPUTED_VALUE"""),8.388872786E9)</f>
        <v>8388872786</v>
      </c>
      <c r="E750" s="457">
        <f>IFERROR(__xludf.DUMMYFUNCTION("""COMPUTED_VALUE"""),200000.0)</f>
        <v>200000</v>
      </c>
      <c r="F750" s="270">
        <f>IFERROR(__xludf.DUMMYFUNCTION("""COMPUTED_VALUE"""),1.0)</f>
        <v>1</v>
      </c>
      <c r="G750" s="17" t="str">
        <f>IFERROR(__xludf.DUMMYFUNCTION("""COMPUTED_VALUE"""),"Sabun batang 1 Box ( 2 PCS )")</f>
        <v>Sabun batang 1 Box ( 2 PCS )</v>
      </c>
      <c r="H750" s="463" t="str">
        <f>IFERROR(__xludf.DUMMYFUNCTION("""COMPUTED_VALUE"""),"Sampai")</f>
        <v>Sampai</v>
      </c>
      <c r="I750" s="464" t="str">
        <f>IFERROR(__xludf.DUMMYFUNCTION("""COMPUTED_VALUE"""),"KIMME")</f>
        <v>KIMME</v>
      </c>
      <c r="J750" s="279" t="str">
        <f>IFERROR(__xludf.DUMMYFUNCTION("""COMPUTED_VALUE"""),"https://www.tiktok.com/@cckhaira_/video/7630848612439772437?_r=1&amp;u_code=ebjm829128h4f9&amp;region=&amp;mid=7234222652599846914&amp;preview_pb=0&amp;sharer_language=&amp;_d=0&amp;ec_shared_reflux_dynamic_params=%7B%22placeholder_material_id%22%3A%227630848612439772437%22%2C%22pla"&amp;"ceholder_origin_cover%22%3A%22https%253A%252F%252Fp19-common-sign.tiktokcdn.com%252Ftos-alisg-p-0037%252FokwFmyTAfOMGjyJfGtUGOfeBR8GLMcInAgQgBr~tplv-tiktokx-origin.jpeg%253Fdr%253D14572%2526refresh_token%253D47a99598%2526x-expires%253D1808301600%2526x-sig"&amp;"nature%253DwM4hzY%25252BiD6nk4isujergxUZxMx4%25253D%2526t%253D4d5b0474%2526ps%253D13740610%2526shp%253Dd05b14bd%2526shcp%253D34ff8df6%2526idc%253Dmy3%2526s%253DTIKTOK_AFFILIATE_VIRAL_VIDEO%22%2C%22placeholder_product_id%22%3A%221729427766722726591%22%2C%2"&amp;"2placeholder_video_id%22%3A%227630848612439772437%22%7D&amp;ec_shared_reflux_scene=shop_tab_feed&amp;share_item_id=7630848612439772437&amp;source=h5_t")</f>
        <v>https://www.tiktok.com/@cckhaira_/video/7630848612439772437?_r=1&amp;u_code=ebjm829128h4f9&amp;region=&amp;mid=7234222652599846914&amp;preview_pb=0&amp;sharer_language=&amp;_d=0&amp;ec_shared_reflux_dynamic_params=%7B%22placeholder_material_id%22%3A%227630848612439772437%22%2C%22placeholder_origin_cover%22%3A%22https%253A%252F%252Fp19-common-sign.tiktokcdn.com%252Ftos-alisg-p-0037%252FokwFmyTAfOMGjyJfGtUGOfeBR8GLMcInAgQgBr~tplv-tiktokx-origin.jpeg%253Fdr%253D14572%2526refresh_token%253D47a99598%2526x-expires%253D1808301600%2526x-signature%253DwM4hzY%25252BiD6nk4isujergxUZxMx4%25253D%2526t%253D4d5b0474%2526ps%253D13740610%2526shp%253Dd05b14bd%2526shcp%253D34ff8df6%2526idc%253Dmy3%2526s%253DTIKTOK_AFFILIATE_VIRAL_VIDEO%22%2C%22placeholder_product_id%22%3A%221729427766722726591%22%2C%22placeholder_video_id%22%3A%227630848612439772437%22%7D&amp;ec_shared_reflux_scene=shop_tab_feed&amp;share_item_id=7630848612439772437&amp;source=h5_t</v>
      </c>
      <c r="K750" s="464" t="str">
        <f>IFERROR(__xludf.DUMMYFUNCTION("""COMPUTED_VALUE"""),"KIMME")</f>
        <v>KIMME</v>
      </c>
      <c r="L750" s="279" t="str">
        <f>IFERROR(__xludf.DUMMYFUNCTION("""COMPUTED_VALUE"""),"https://www.tiktok.com/@andinee__/video/7631908694829108498?_r=1&amp;u_code=l6ma1c5i&amp;region=&amp;mid=7469020504617224966&amp;preview_pb=0&amp;sharer_language=&amp;_d=0&amp;ec_shared_reflux_dynamic_params=%7B%22placeholder_material_id%22%3A%227631908694829108498%22%2C%22placehold"&amp;"er_origin_cover%22%3A%22https%253A%252F%252Fp16-common-sign.tiktokcdn.com%252Ftos-alisg-p-0037%252FoQDTUIA0fAQxtxHVCDjTlICmfEDoFIgxSfIQKw~tplv-tiktokx-origin.jpeg%253Fdr%253D14572%2526refresh_token%253D37f875b1%2526x-expires%253D1810195200%2526x-signature"&amp;"%253DOEXyfiRhyEmrDNNTvToN9ovvFqA%25253D%2526t%253D4d5b0474%2526ps%253D13740610%2526shp%253Dd05b14bd%2526shcp%253D34ff8df6%2526idc%253Dmy2%2526s%253DTIKTOK_AFFILIATE_VIRAL_VIDEO%22%2C%22placeholder_product_id%22%3A%221729427766722726591%22%2C%22placeholder"&amp;"_video_id%22%3A%227631908694829108498%22%7D&amp;ec_shared_reflux_scene=shop_tab_feed&amp;share_item_id=7631908694829108498&amp;source=h5_t")</f>
        <v>https://www.tiktok.com/@andinee__/video/7631908694829108498?_r=1&amp;u_code=l6ma1c5i&amp;region=&amp;mid=7469020504617224966&amp;preview_pb=0&amp;sharer_language=&amp;_d=0&amp;ec_shared_reflux_dynamic_params=%7B%22placeholder_material_id%22%3A%227631908694829108498%22%2C%22placeholder_origin_cover%22%3A%22https%253A%252F%252Fp16-common-sign.tiktokcdn.com%252Ftos-alisg-p-0037%252FoQDTUIA0fAQxtxHVCDjTlICmfEDoFIgxSfIQKw~tplv-tiktokx-origin.jpeg%253Fdr%253D14572%2526refresh_token%253D37f875b1%2526x-expires%253D1810195200%2526x-signature%253DOEXyfiRhyEmrDNNTvToN9ovvFqA%25253D%2526t%253D4d5b0474%2526ps%253D13740610%2526shp%253Dd05b14bd%2526shcp%253D34ff8df6%2526idc%253Dmy2%2526s%253DTIKTOK_AFFILIATE_VIRAL_VIDEO%22%2C%22placeholder_product_id%22%3A%221729427766722726591%22%2C%22placeholder_video_id%22%3A%227631908694829108498%22%7D&amp;ec_shared_reflux_scene=shop_tab_feed&amp;share_item_id=7631908694829108498&amp;source=h5_t</v>
      </c>
      <c r="M750" s="464"/>
      <c r="N750" s="279" t="str">
        <f>IFERROR(__xludf.DUMMYFUNCTION("""COMPUTED_VALUE"""),"https://www.tiktok.com/@andinee__/video/7631864714724838664?_r=1&amp;u_code=l6ma1c5i&amp;region=&amp;mid=7597435345913317393&amp;preview_pb=0&amp;sharer_language=&amp;_d=0&amp;ec_shared_reflux_dynamic_params=%7B%22placeholder_material_id%22%3A%227631864714724838664%22%2C%22placehold"&amp;"er_origin_cover%22%3A%22https%253A%252F%252Fp16-common-sign.tiktokcdn.com%252Ftos-alisg-p-0037%252FoUZIpAOVdUB3SEIpL6FfBBgtk1MyRpIfRLDnEN~tplv-tiktokx-origin.jpeg%253Fdr%253D14572%2526refresh_token%253D6f88c7ff%2526x-expires%253D1810195200%2526x-signature"&amp;"%253DNzLA3%25252F67flsN%25252F7EJFpWJz%25252BjvQtM%25253D%2526t%253D4d5b0474%2526ps%253D13740610%2526shp%253Dd05b14bd%2526shcp%253D34ff8df6%2526idc%253Dmy2%2526s%253DTIKTOK_AFFILIATE_VIRAL_VIDEO%22%2C%22placeholder_product_id%22%3A%221729427766722726591%2"&amp;"2%2C%22placeholder_video_id%22%3A%227631864714724838664%22%7D&amp;ec_shared_reflux_scene=shop_tab_feed&amp;share_item_id=7631864714724838664&amp;source=h5_t")</f>
        <v>https://www.tiktok.com/@andinee__/video/7631864714724838664?_r=1&amp;u_code=l6ma1c5i&amp;region=&amp;mid=7597435345913317393&amp;preview_pb=0&amp;sharer_language=&amp;_d=0&amp;ec_shared_reflux_dynamic_params=%7B%22placeholder_material_id%22%3A%227631864714724838664%22%2C%22placeholder_origin_cover%22%3A%22https%253A%252F%252Fp16-common-sign.tiktokcdn.com%252Ftos-alisg-p-0037%252FoUZIpAOVdUB3SEIpL6FfBBgtk1MyRpIfRLDnEN~tplv-tiktokx-origin.jpeg%253Fdr%253D14572%2526refresh_token%253D6f88c7ff%2526x-expires%253D1810195200%2526x-signature%253DNzLA3%25252F67flsN%25252F7EJFpWJz%25252BjvQtM%25253D%2526t%253D4d5b0474%2526ps%253D13740610%2526shp%253Dd05b14bd%2526shcp%253D34ff8df6%2526idc%253Dmy2%2526s%253DTIKTOK_AFFILIATE_VIRAL_VIDEO%22%2C%22placeholder_product_id%22%3A%221729427766722726591%22%2C%22placeholder_video_id%22%3A%227631864714724838664%22%7D&amp;ec_shared_reflux_scene=shop_tab_feed&amp;share_item_id=7631864714724838664&amp;source=h5_t</v>
      </c>
      <c r="O750" s="464"/>
      <c r="P750" s="279" t="str">
        <f>IFERROR(__xludf.DUMMYFUNCTION("""COMPUTED_VALUE"""),"https://www.tiktok.com/@andinee__/video/7631863399470648594?_r=1&amp;u_code=l6ma1c5i&amp;region=&amp;mid=7580009697873676304&amp;preview_pb=0&amp;sharer_language=&amp;_d=0&amp;ec_shared_reflux_dynamic_params=%7B%22placeholder_material_id%22%3A%227631863399470648594%22%2C%22placehold"&amp;"er_origin_cover%22%3A%22https%253A%252F%252Fp16-common-sign.tiktokcdn.com%252Ftos-alisg-p-0037%252FocfDY1GlLZDp00pdejOIACJIczdggoEeAT687I~tplv-tiktokx-origin.jpeg%253Fdr%253D14572%2526refresh_token%253D0744207f%2526x-expires%253D1810195200%2526x-signature"&amp;"%253DjVj2aJvxdMmV9mJuA61FZYbk1Jw%25253D%2526t%253D4d5b0474%2526ps%253D13740610%2526shp%253Dd05b14bd%2526shcp%253D34ff8df6%2526idc%253Dmy2%2526s%253DTIKTOK_AFFILIATE_VIRAL_VIDEO%22%2C%22placeholder_product_id%22%3A%221729427766722726591%22%2C%22placeholder"&amp;"_video_id%22%3A%227631863399470648594%22%7D&amp;ec_shared_reflux_scene=shop_tab_feed&amp;share_item_id=7631863399470648594&amp;source=h5_t")</f>
        <v>https://www.tiktok.com/@andinee__/video/7631863399470648594?_r=1&amp;u_code=l6ma1c5i&amp;region=&amp;mid=7580009697873676304&amp;preview_pb=0&amp;sharer_language=&amp;_d=0&amp;ec_shared_reflux_dynamic_params=%7B%22placeholder_material_id%22%3A%227631863399470648594%22%2C%22placeholder_origin_cover%22%3A%22https%253A%252F%252Fp16-common-sign.tiktokcdn.com%252Ftos-alisg-p-0037%252FocfDY1GlLZDp00pdejOIACJIczdggoEeAT687I~tplv-tiktokx-origin.jpeg%253Fdr%253D14572%2526refresh_token%253D0744207f%2526x-expires%253D1810195200%2526x-signature%253DjVj2aJvxdMmV9mJuA61FZYbk1Jw%25253D%2526t%253D4d5b0474%2526ps%253D13740610%2526shp%253Dd05b14bd%2526shcp%253D34ff8df6%2526idc%253Dmy2%2526s%253DTIKTOK_AFFILIATE_VIRAL_VIDEO%22%2C%22placeholder_product_id%22%3A%221729427766722726591%22%2C%22placeholder_video_id%22%3A%227631863399470648594%22%7D&amp;ec_shared_reflux_scene=shop_tab_feed&amp;share_item_id=7631863399470648594&amp;source=h5_t</v>
      </c>
    </row>
    <row r="751">
      <c r="A751" s="255" t="str">
        <f>IFERROR(__xludf.DUMMYFUNCTION("""COMPUTED_VALUE"""),"MICRO")</f>
        <v>MICRO</v>
      </c>
      <c r="B751" s="361" t="str">
        <f>IFERROR(__xludf.DUMMYFUNCTION("""COMPUTED_VALUE"""),"carisacimbrut")</f>
        <v>carisacimbrut</v>
      </c>
      <c r="C751" s="257" t="str">
        <f>IFERROR(__xludf.DUMMYFUNCTION("""COMPUTED_VALUE"""),"https://www.tiktok.com/@carisacimbrut")</f>
        <v>https://www.tiktok.com/@carisacimbrut</v>
      </c>
      <c r="D751" s="270">
        <f>IFERROR(__xludf.DUMMYFUNCTION("""COMPUTED_VALUE"""),8.9515917385E10)</f>
        <v>89515917385</v>
      </c>
      <c r="E751" s="457">
        <f>IFERROR(__xludf.DUMMYFUNCTION("""COMPUTED_VALUE"""),0.0)</f>
        <v>0</v>
      </c>
      <c r="F751" s="270">
        <f>IFERROR(__xludf.DUMMYFUNCTION("""COMPUTED_VALUE"""),4.0)</f>
        <v>4</v>
      </c>
      <c r="G751" s="17" t="str">
        <f>IFERROR(__xludf.DUMMYFUNCTION("""COMPUTED_VALUE"""),"Sabun batang 1 Box ( 2 PCS )")</f>
        <v>Sabun batang 1 Box ( 2 PCS )</v>
      </c>
      <c r="H751" s="463" t="str">
        <f>IFERROR(__xludf.DUMMYFUNCTION("""COMPUTED_VALUE"""),"Sampai")</f>
        <v>Sampai</v>
      </c>
      <c r="I751" s="464" t="str">
        <f>IFERROR(__xludf.DUMMYFUNCTION("""COMPUTED_VALUE"""),"KIMME")</f>
        <v>KIMME</v>
      </c>
      <c r="J751" s="279" t="str">
        <f>IFERROR(__xludf.DUMMYFUNCTION("""COMPUTED_VALUE"""),"https://www.tiktok.com/@carisacimbrut/video/7613333424065088788?is_from_webapp=1&amp;sender_device=pc&amp;web_id=7611930277489657360")</f>
        <v>https://www.tiktok.com/@carisacimbrut/video/7613333424065088788?is_from_webapp=1&amp;sender_device=pc&amp;web_id=7611930277489657360</v>
      </c>
      <c r="K751" s="464" t="str">
        <f>IFERROR(__xludf.DUMMYFUNCTION("""COMPUTED_VALUE"""),"KIMME")</f>
        <v>KIMME</v>
      </c>
      <c r="L751" s="279" t="str">
        <f>IFERROR(__xludf.DUMMYFUNCTION("""COMPUTED_VALUE"""),"https://www.tiktok.com/@carisacimbrut/video/7613429025431637269?is_from_webapp=1&amp;sender_device=pc&amp;web_id=7611930277489657360")</f>
        <v>https://www.tiktok.com/@carisacimbrut/video/7613429025431637269?is_from_webapp=1&amp;sender_device=pc&amp;web_id=7611930277489657360</v>
      </c>
      <c r="M751" s="464" t="str">
        <f>IFERROR(__xludf.DUMMYFUNCTION("""COMPUTED_VALUE"""),"KIMME")</f>
        <v>KIMME</v>
      </c>
      <c r="N751" s="279" t="str">
        <f>IFERROR(__xludf.DUMMYFUNCTION("""COMPUTED_VALUE"""),"https://www.tiktok.com/@carisacimbrut/video/7614995937051544852?is_from_webapp=1&amp;sender_device=pc&amp;web_id=7611930277489657360")</f>
        <v>https://www.tiktok.com/@carisacimbrut/video/7614995937051544852?is_from_webapp=1&amp;sender_device=pc&amp;web_id=7611930277489657360</v>
      </c>
      <c r="O751" s="464" t="str">
        <f>IFERROR(__xludf.DUMMYFUNCTION("""COMPUTED_VALUE"""),"KIMME")</f>
        <v>KIMME</v>
      </c>
      <c r="P751" s="279" t="str">
        <f>IFERROR(__xludf.DUMMYFUNCTION("""COMPUTED_VALUE"""),"https://www.tiktok.com/@carisacimbrut/video/7615237116280638740?is_from_webapp=1&amp;sender_device=pc&amp;web_id=7611930277489657360")</f>
        <v>https://www.tiktok.com/@carisacimbrut/video/7615237116280638740?is_from_webapp=1&amp;sender_device=pc&amp;web_id=7611930277489657360</v>
      </c>
    </row>
    <row r="752">
      <c r="A752" s="255" t="str">
        <f>IFERROR(__xludf.DUMMYFUNCTION("""COMPUTED_VALUE"""),"MICRO")</f>
        <v>MICRO</v>
      </c>
      <c r="B752" s="361" t="str">
        <f>IFERROR(__xludf.DUMMYFUNCTION("""COMPUTED_VALUE"""),"octa445")</f>
        <v>octa445</v>
      </c>
      <c r="C752" s="257" t="str">
        <f>IFERROR(__xludf.DUMMYFUNCTION("""COMPUTED_VALUE"""),"https://www.tiktok.com/@octa445")</f>
        <v>https://www.tiktok.com/@octa445</v>
      </c>
      <c r="D752" s="270">
        <f>IFERROR(__xludf.DUMMYFUNCTION("""COMPUTED_VALUE"""),8.2299196339E10)</f>
        <v>82299196339</v>
      </c>
      <c r="E752" s="457">
        <f>IFERROR(__xludf.DUMMYFUNCTION("""COMPUTED_VALUE"""),150000.0)</f>
        <v>150000</v>
      </c>
      <c r="F752" s="270">
        <f>IFERROR(__xludf.DUMMYFUNCTION("""COMPUTED_VALUE"""),1.0)</f>
        <v>1</v>
      </c>
      <c r="G752" s="17" t="str">
        <f>IFERROR(__xludf.DUMMYFUNCTION("""COMPUTED_VALUE"""),"Sabun batang 1 Box ( 2 PCS )")</f>
        <v>Sabun batang 1 Box ( 2 PCS )</v>
      </c>
      <c r="H752" s="463" t="str">
        <f>IFERROR(__xludf.DUMMYFUNCTION("""COMPUTED_VALUE"""),"Sampai")</f>
        <v>Sampai</v>
      </c>
      <c r="I752" s="464" t="str">
        <f>IFERROR(__xludf.DUMMYFUNCTION("""COMPUTED_VALUE"""),"KIMME")</f>
        <v>KIMME</v>
      </c>
      <c r="J752" s="279" t="str">
        <f>IFERROR(__xludf.DUMMYFUNCTION("""COMPUTED_VALUE"""),"https://www.tiktok.com/@octa445/video/7633398508015406357?is_from_webapp=1&amp;sender_device=pc&amp;web_id=7611930277489657360")</f>
        <v>https://www.tiktok.com/@octa445/video/7633398508015406357?is_from_webapp=1&amp;sender_device=pc&amp;web_id=7611930277489657360</v>
      </c>
      <c r="K752" s="464" t="str">
        <f>IFERROR(__xludf.DUMMYFUNCTION("""COMPUTED_VALUE"""),"KIMME")</f>
        <v>KIMME</v>
      </c>
      <c r="L752" s="279" t="str">
        <f>IFERROR(__xludf.DUMMYFUNCTION("""COMPUTED_VALUE"""),"https://www.tiktok.com/@andinee__/video/7631862925795331346?_r=1&amp;u_code=l6ma1c5i&amp;region=&amp;mid=7461846526144710657&amp;preview_pb=0&amp;sharer_language=&amp;_d=0&amp;ec_shared_reflux_dynamic_params=%7B%22placeholder_material_id%22%3A%227631862925795331346%22%2C%22placehold"&amp;"er_origin_cover%22%3A%22https%253A%252F%252Fp19-common-sign.tiktokcdn.com%252Ftos-alisg-p-0037%252FoAIpIBBYR0s6AtDpcFDBfsVeSLyEaEOgUhduBm~tplv-tiktokx-origin.jpeg%253Fdr%253D14572%2526refresh_token%253D1b1ebfcb%2526x-expires%253D1810195200%2526x-signature"&amp;"%253D%25252BUlOMGr49OpjTF9ntFj%25252F0mWcvGs%25253D%2526t%253D4d5b0474%2526ps%253D13740610%2526shp%253Dd05b14bd%2526shcp%253D34ff8df6%2526idc%253Dmy2%2526s%253DTIKTOK_AFFILIATE_VIRAL_VIDEO%22%2C%22placeholder_product_id%22%3A%221729427766722726591%22%2C%2"&amp;"2placeholder_video_id%22%3A%227631862925795331346%22%7D&amp;ec_shared_reflux_scene=shop_tab_feed&amp;share_item_id=7631862925795331346&amp;source=h5_t")</f>
        <v>https://www.tiktok.com/@andinee__/video/7631862925795331346?_r=1&amp;u_code=l6ma1c5i&amp;region=&amp;mid=7461846526144710657&amp;preview_pb=0&amp;sharer_language=&amp;_d=0&amp;ec_shared_reflux_dynamic_params=%7B%22placeholder_material_id%22%3A%227631862925795331346%22%2C%22placeholder_origin_cover%22%3A%22https%253A%252F%252Fp19-common-sign.tiktokcdn.com%252Ftos-alisg-p-0037%252FoAIpIBBYR0s6AtDpcFDBfsVeSLyEaEOgUhduBm~tplv-tiktokx-origin.jpeg%253Fdr%253D14572%2526refresh_token%253D1b1ebfcb%2526x-expires%253D1810195200%2526x-signature%253D%25252BUlOMGr49OpjTF9ntFj%25252F0mWcvGs%25253D%2526t%253D4d5b0474%2526ps%253D13740610%2526shp%253Dd05b14bd%2526shcp%253D34ff8df6%2526idc%253Dmy2%2526s%253DTIKTOK_AFFILIATE_VIRAL_VIDEO%22%2C%22placeholder_product_id%22%3A%221729427766722726591%22%2C%22placeholder_video_id%22%3A%227631862925795331346%22%7D&amp;ec_shared_reflux_scene=shop_tab_feed&amp;share_item_id=7631862925795331346&amp;source=h5_t</v>
      </c>
      <c r="M752" s="464"/>
      <c r="N752" s="279" t="str">
        <f>IFERROR(__xludf.DUMMYFUNCTION("""COMPUTED_VALUE"""),"https://www.tiktok.com/@andinee__/video/7631860610963098898?_r=1&amp;u_code=l6ma1c5i&amp;region=&amp;mid=7591472512833259536&amp;preview_pb=0&amp;sharer_language=&amp;_d=0&amp;ec_shared_reflux_dynamic_params=%7B%22placeholder_material_id%22%3A%227631860610963098898%22%2C%22placehold"&amp;"er_origin_cover%22%3A%22https%253A%252F%252Fp16-common-sign.tiktokcdn.com%252Ftos-alisg-p-0037%252FoEEG7gREQBAfNQrpCpeg2QtyUBFCs06DdOV65r~tplv-tiktokx-origin.jpeg%253Fdr%253D14572%2526refresh_token%253D5ef321f4%2526x-expires%253D1810195200%2526x-signature"&amp;"%253DGQaaz8NkER%25252BhigNxOj89otCl2Ig%25253D%2526t%253D4d5b0474%2526ps%253D13740610%2526shp%253Dd05b14bd%2526shcp%253D34ff8df6%2526idc%253Dmy2%2526s%253DTIKTOK_AFFILIATE_VIRAL_VIDEO%22%2C%22placeholder_product_id%22%3A%221729427766722726591%22%2C%22place"&amp;"holder_video_id%22%3A%227631860610963098898%22%7D&amp;ec_shared_reflux_scene=shop_tab_feed&amp;share_item_id=7631860610963098898&amp;source=h5_t")</f>
        <v>https://www.tiktok.com/@andinee__/video/7631860610963098898?_r=1&amp;u_code=l6ma1c5i&amp;region=&amp;mid=7591472512833259536&amp;preview_pb=0&amp;sharer_language=&amp;_d=0&amp;ec_shared_reflux_dynamic_params=%7B%22placeholder_material_id%22%3A%227631860610963098898%22%2C%22placeholder_origin_cover%22%3A%22https%253A%252F%252Fp16-common-sign.tiktokcdn.com%252Ftos-alisg-p-0037%252FoEEG7gREQBAfNQrpCpeg2QtyUBFCs06DdOV65r~tplv-tiktokx-origin.jpeg%253Fdr%253D14572%2526refresh_token%253D5ef321f4%2526x-expires%253D1810195200%2526x-signature%253DGQaaz8NkER%25252BhigNxOj89otCl2Ig%25253D%2526t%253D4d5b0474%2526ps%253D13740610%2526shp%253Dd05b14bd%2526shcp%253D34ff8df6%2526idc%253Dmy2%2526s%253DTIKTOK_AFFILIATE_VIRAL_VIDEO%22%2C%22placeholder_product_id%22%3A%221729427766722726591%22%2C%22placeholder_video_id%22%3A%227631860610963098898%22%7D&amp;ec_shared_reflux_scene=shop_tab_feed&amp;share_item_id=7631860610963098898&amp;source=h5_t</v>
      </c>
      <c r="O752" s="464"/>
      <c r="P752" s="279" t="str">
        <f>IFERROR(__xludf.DUMMYFUNCTION("""COMPUTED_VALUE"""),"https://www.tiktok.com/@andinee__/video/7631908332491640071?_r=1&amp;u_code=l6ma1c5i&amp;region=&amp;mid=7627393047289989909&amp;preview_pb=0&amp;sharer_language=&amp;_d=0&amp;ec_shared_reflux_dynamic_params=%7B%22placeholder_material_id%22%3A%227631908332491640071%22%2C%22placehold"&amp;"er_origin_cover%22%3A%22https%253A%252F%252Fp19-common-sign.tiktokcdn.com%252Ftos-alisg-p-0037%252FokQGB8Anmef5nSMEFA8JX5AQIgBJGw8VGfpneR~tplv-tiktokx-origin.jpeg%253Fdr%253D14572%2526refresh_token%253D194dcef3%2526x-expires%253D1810195200%2526x-signature"&amp;"%253DZf206%25252FkxwxlIyXrYqTFWEaa%25252BVd0%25253D%2526t%253D4d5b0474%2526ps%253D13740610%2526shp%253Dd05b14bd%2526shcp%253D34ff8df6%2526idc%253Dmy2%2526s%253DTIKTOK_AFFILIATE_VIRAL_VIDEO%22%2C%22placeholder_product_id%22%3A%221729427766722726591%22%2C%2"&amp;"2placeholder_video_id%22%3A%227631908332491640071%22%7D&amp;ec_shared_reflux_scene=shop_tab_feed&amp;share_item_id=7631908332491640071&amp;source=h5_t")</f>
        <v>https://www.tiktok.com/@andinee__/video/7631908332491640071?_r=1&amp;u_code=l6ma1c5i&amp;region=&amp;mid=7627393047289989909&amp;preview_pb=0&amp;sharer_language=&amp;_d=0&amp;ec_shared_reflux_dynamic_params=%7B%22placeholder_material_id%22%3A%227631908332491640071%22%2C%22placeholder_origin_cover%22%3A%22https%253A%252F%252Fp19-common-sign.tiktokcdn.com%252Ftos-alisg-p-0037%252FokQGB8Anmef5nSMEFA8JX5AQIgBJGw8VGfpneR~tplv-tiktokx-origin.jpeg%253Fdr%253D14572%2526refresh_token%253D194dcef3%2526x-expires%253D1810195200%2526x-signature%253DZf206%25252FkxwxlIyXrYqTFWEaa%25252BVd0%25253D%2526t%253D4d5b0474%2526ps%253D13740610%2526shp%253Dd05b14bd%2526shcp%253D34ff8df6%2526idc%253Dmy2%2526s%253DTIKTOK_AFFILIATE_VIRAL_VIDEO%22%2C%22placeholder_product_id%22%3A%221729427766722726591%22%2C%22placeholder_video_id%22%3A%227631908332491640071%22%7D&amp;ec_shared_reflux_scene=shop_tab_feed&amp;share_item_id=7631908332491640071&amp;source=h5_t</v>
      </c>
    </row>
    <row r="753">
      <c r="A753" s="255" t="str">
        <f>IFERROR(__xludf.DUMMYFUNCTION("""COMPUTED_VALUE"""),"MICRO")</f>
        <v>MICRO</v>
      </c>
      <c r="B753" s="361" t="str">
        <f>IFERROR(__xludf.DUMMYFUNCTION("""COMPUTED_VALUE"""),"adiiiiind")</f>
        <v>adiiiiind</v>
      </c>
      <c r="C753" s="257" t="str">
        <f>IFERROR(__xludf.DUMMYFUNCTION("""COMPUTED_VALUE"""),"https://www.tiktok.com/@adiiiiind")</f>
        <v>https://www.tiktok.com/@adiiiiind</v>
      </c>
      <c r="D753" s="270">
        <f>IFERROR(__xludf.DUMMYFUNCTION("""COMPUTED_VALUE"""),8.5805283657E10)</f>
        <v>85805283657</v>
      </c>
      <c r="E753" s="457">
        <f>IFERROR(__xludf.DUMMYFUNCTION("""COMPUTED_VALUE"""),100000.0)</f>
        <v>100000</v>
      </c>
      <c r="F753" s="270">
        <f>IFERROR(__xludf.DUMMYFUNCTION("""COMPUTED_VALUE"""),2.0)</f>
        <v>2</v>
      </c>
      <c r="G753" s="17" t="str">
        <f>IFERROR(__xludf.DUMMYFUNCTION("""COMPUTED_VALUE"""),"Sabun batang 1 Box ( 2 PCS )")</f>
        <v>Sabun batang 1 Box ( 2 PCS )</v>
      </c>
      <c r="H753" s="463" t="str">
        <f>IFERROR(__xludf.DUMMYFUNCTION("""COMPUTED_VALUE"""),"Sampai")</f>
        <v>Sampai</v>
      </c>
      <c r="I753" s="464" t="str">
        <f>IFERROR(__xludf.DUMMYFUNCTION("""COMPUTED_VALUE"""),"KIMME")</f>
        <v>KIMME</v>
      </c>
      <c r="J753" s="279" t="str">
        <f>IFERROR(__xludf.DUMMYFUNCTION("""COMPUTED_VALUE"""),"https://www.tiktok.com/@adiiiiind/video/7632483822705085716?is_from_webapp=1&amp;sender_device=pc")</f>
        <v>https://www.tiktok.com/@adiiiiind/video/7632483822705085716?is_from_webapp=1&amp;sender_device=pc</v>
      </c>
      <c r="K753" s="464" t="str">
        <f>IFERROR(__xludf.DUMMYFUNCTION("""COMPUTED_VALUE"""),"KIMME")</f>
        <v>KIMME</v>
      </c>
      <c r="L753" s="279" t="str">
        <f>IFERROR(__xludf.DUMMYFUNCTION("""COMPUTED_VALUE"""),"https://www.tiktok.com/@adiiiiind/video/7633007477205896469?is_from_webapp=1&amp;sender_device=pc")</f>
        <v>https://www.tiktok.com/@adiiiiind/video/7633007477205896469?is_from_webapp=1&amp;sender_device=pc</v>
      </c>
      <c r="M753" s="464"/>
      <c r="N753" s="279" t="str">
        <f>IFERROR(__xludf.DUMMYFUNCTION("""COMPUTED_VALUE"""),"https://www.tiktok.com/@andinee__/video/7631905119969217800?_r=1&amp;u_code=l6ma1c5i&amp;region=&amp;mid=7591472512833259536&amp;preview_pb=0&amp;sharer_language=&amp;_d=0&amp;ec_shared_reflux_dynamic_params=%7B%22placeholder_material_id%22%3A%227631905119969217800%22%2C%22placehold"&amp;"er_origin_cover%22%3A%22https%253A%252F%252Fp16-common-sign.tiktokcdn.com%252Ftos-alisg-p-0037%252FooAGCUjTwAnQeFJSDvGfTQLSQpeGIILA2PfRIU~tplv-tiktokx-origin.jpeg%253Fdr%253D14572%2526refresh_token%253Dd2bdd81c%2526x-expires%253D1810195200%2526x-signature"&amp;"%253D3aTfnZvi4wwSE3QaFdsLfQQsdA4%25253D%2526t%253D4d5b0474%2526ps%253D13740610%2526shp%253Dd05b14bd%2526shcp%253D34ff8df6%2526idc%253Dmy2%2526s%253DTIKTOK_AFFILIATE_VIRAL_VIDEO%22%2C%22placeholder_product_id%22%3A%221729427766722726591%22%2C%22placeholder"&amp;"_video_id%22%3A%227631905119969217800%22%7D&amp;ec_shared_reflux_scene=shop_tab_feed&amp;share_item_id=7631905119969217800&amp;source=h5_t")</f>
        <v>https://www.tiktok.com/@andinee__/video/7631905119969217800?_r=1&amp;u_code=l6ma1c5i&amp;region=&amp;mid=7591472512833259536&amp;preview_pb=0&amp;sharer_language=&amp;_d=0&amp;ec_shared_reflux_dynamic_params=%7B%22placeholder_material_id%22%3A%227631905119969217800%22%2C%22placeholder_origin_cover%22%3A%22https%253A%252F%252Fp16-common-sign.tiktokcdn.com%252Ftos-alisg-p-0037%252FooAGCUjTwAnQeFJSDvGfTQLSQpeGIILA2PfRIU~tplv-tiktokx-origin.jpeg%253Fdr%253D14572%2526refresh_token%253Dd2bdd81c%2526x-expires%253D1810195200%2526x-signature%253D3aTfnZvi4wwSE3QaFdsLfQQsdA4%25253D%2526t%253D4d5b0474%2526ps%253D13740610%2526shp%253Dd05b14bd%2526shcp%253D34ff8df6%2526idc%253Dmy2%2526s%253DTIKTOK_AFFILIATE_VIRAL_VIDEO%22%2C%22placeholder_product_id%22%3A%221729427766722726591%22%2C%22placeholder_video_id%22%3A%227631905119969217800%22%7D&amp;ec_shared_reflux_scene=shop_tab_feed&amp;share_item_id=7631905119969217800&amp;source=h5_t</v>
      </c>
      <c r="O753" s="464"/>
      <c r="P753" s="279" t="str">
        <f>IFERROR(__xludf.DUMMYFUNCTION("""COMPUTED_VALUE"""),"https://www.tiktok.com/@andinee__/video/7631904726195375378?_r=1&amp;u_code=l6ma1c5i&amp;region=&amp;mid=7624353502927604487&amp;preview_pb=0&amp;sharer_language=&amp;_d=0&amp;ec_shared_reflux_dynamic_params=%7B%22placeholder_material_id%22%3A%227631904726195375378%22%2C%22placehold"&amp;"er_origin_cover%22%3A%22https%253A%252F%252Fp16-common-sign.tiktokcdn.com%252Ftos-alisg-p-0037%252FoQXEle9PQZiIoL0CxTDDfDmjiUAFBYfAGoQTQ2~tplv-tiktokx-origin.jpeg%253Fdr%253D14572%2526refresh_token%253D16280216%2526x-expires%253D1810195200%2526x-signature"&amp;"%253D5kQAlwh7GPFneVIgZRvOBk%25252FikII%25253D%2526t%253D4d5b0474%2526ps%253D13740610%2526shp%253Dd05b14bd%2526shcp%253D34ff8df6%2526idc%253Dmy2%2526s%253DTIKTOK_AFFILIATE_VIRAL_VIDEO%22%2C%22placeholder_product_id%22%3A%221729427766722726591%22%2C%22place"&amp;"holder_video_id%22%3A%227631904726195375378%22%7D&amp;ec_shared_reflux_scene=shop_tab_feed&amp;share_item_id=7631904726195375378&amp;source=h5_t")</f>
        <v>https://www.tiktok.com/@andinee__/video/7631904726195375378?_r=1&amp;u_code=l6ma1c5i&amp;region=&amp;mid=7624353502927604487&amp;preview_pb=0&amp;sharer_language=&amp;_d=0&amp;ec_shared_reflux_dynamic_params=%7B%22placeholder_material_id%22%3A%227631904726195375378%22%2C%22placeholder_origin_cover%22%3A%22https%253A%252F%252Fp16-common-sign.tiktokcdn.com%252Ftos-alisg-p-0037%252FoQXEle9PQZiIoL0CxTDDfDmjiUAFBYfAGoQTQ2~tplv-tiktokx-origin.jpeg%253Fdr%253D14572%2526refresh_token%253D16280216%2526x-expires%253D1810195200%2526x-signature%253D5kQAlwh7GPFneVIgZRvOBk%25252FikII%25253D%2526t%253D4d5b0474%2526ps%253D13740610%2526shp%253Dd05b14bd%2526shcp%253D34ff8df6%2526idc%253Dmy2%2526s%253DTIKTOK_AFFILIATE_VIRAL_VIDEO%22%2C%22placeholder_product_id%22%3A%221729427766722726591%22%2C%22placeholder_video_id%22%3A%227631904726195375378%22%7D&amp;ec_shared_reflux_scene=shop_tab_feed&amp;share_item_id=7631904726195375378&amp;source=h5_t</v>
      </c>
    </row>
    <row r="754">
      <c r="A754" s="255" t="str">
        <f>IFERROR(__xludf.DUMMYFUNCTION("""COMPUTED_VALUE"""),"MICRO")</f>
        <v>MICRO</v>
      </c>
      <c r="B754" s="361" t="str">
        <f>IFERROR(__xludf.DUMMYFUNCTION("""COMPUTED_VALUE"""),"anitsuga875")</f>
        <v>anitsuga875</v>
      </c>
      <c r="C754" s="257" t="str">
        <f>IFERROR(__xludf.DUMMYFUNCTION("""COMPUTED_VALUE"""),"https://www.tiktok.com/@anitsuga875")</f>
        <v>https://www.tiktok.com/@anitsuga875</v>
      </c>
      <c r="D754" s="270">
        <f>IFERROR(__xludf.DUMMYFUNCTION("""COMPUTED_VALUE"""),8.8232850088E10)</f>
        <v>88232850088</v>
      </c>
      <c r="E754" s="457">
        <f>IFERROR(__xludf.DUMMYFUNCTION("""COMPUTED_VALUE"""),0.0)</f>
        <v>0</v>
      </c>
      <c r="F754" s="270">
        <f>IFERROR(__xludf.DUMMYFUNCTION("""COMPUTED_VALUE"""),4.0)</f>
        <v>4</v>
      </c>
      <c r="G754" s="17" t="str">
        <f>IFERROR(__xludf.DUMMYFUNCTION("""COMPUTED_VALUE"""),"Sabun batang 1 Box ( 2 PCS )")</f>
        <v>Sabun batang 1 Box ( 2 PCS )</v>
      </c>
      <c r="H754" s="463" t="str">
        <f>IFERROR(__xludf.DUMMYFUNCTION("""COMPUTED_VALUE"""),"Sampai")</f>
        <v>Sampai</v>
      </c>
      <c r="I754" s="464" t="str">
        <f>IFERROR(__xludf.DUMMYFUNCTION("""COMPUTED_VALUE"""),"KIMME")</f>
        <v>KIMME</v>
      </c>
      <c r="J754" s="279" t="str">
        <f>IFERROR(__xludf.DUMMYFUNCTION("""COMPUTED_VALUE"""),"https://www.tiktok.com/@andinee__/video/7631865354414869767?_r=1&amp;u_code=l6ma1c5i&amp;region=&amp;mid=7413639309809780753&amp;preview_pb=0&amp;sharer_language=&amp;_d=0&amp;ec_shared_reflux_dynamic_params=%7B%22placeholder_material_id%22%3A%227631865354414869767%22%2C%22placehold"&amp;"er_origin_cover%22%3A%22https%253A%252F%252Fp16-common-sign.tiktokcdn.com%252Ftos-alisg-p-0037%252FogBPA1t6mFjEUEdBIpEDrSfwIIJmgSegBUp9mR~tplv-tiktokx-origin.jpeg%253Fdr%253D14572%2526refresh_token%253D84c41724%2526x-expires%253D1810195200%2526x-signature"&amp;"%253DPk1t%25252BUKonxwYTADcfVRbz2SM77M%25253D%2526t%253D4d5b0474%2526ps%253D13740610%2526shp%253Dd05b14bd%2526shcp%253D34ff8df6%2526idc%253Dmy2%2526s%253DTIKTOK_AFFILIATE_VIRAL_VIDEO%22%2C%22placeholder_product_id%22%3A%221729427766722726591%22%2C%22place"&amp;"holder_video_id%22%3A%227631865354414869767%22%7D&amp;ec_shared_reflux_scene=shop_tab_feed&amp;share_item_id=7631865354414869767&amp;source=h5_t")</f>
        <v>https://www.tiktok.com/@andinee__/video/7631865354414869767?_r=1&amp;u_code=l6ma1c5i&amp;region=&amp;mid=7413639309809780753&amp;preview_pb=0&amp;sharer_language=&amp;_d=0&amp;ec_shared_reflux_dynamic_params=%7B%22placeholder_material_id%22%3A%227631865354414869767%22%2C%22placeholder_origin_cover%22%3A%22https%253A%252F%252Fp16-common-sign.tiktokcdn.com%252Ftos-alisg-p-0037%252FogBPA1t6mFjEUEdBIpEDrSfwIIJmgSegBUp9mR~tplv-tiktokx-origin.jpeg%253Fdr%253D14572%2526refresh_token%253D84c41724%2526x-expires%253D1810195200%2526x-signature%253DPk1t%25252BUKonxwYTADcfVRbz2SM77M%25253D%2526t%253D4d5b0474%2526ps%253D13740610%2526shp%253Dd05b14bd%2526shcp%253D34ff8df6%2526idc%253Dmy2%2526s%253DTIKTOK_AFFILIATE_VIRAL_VIDEO%22%2C%22placeholder_product_id%22%3A%221729427766722726591%22%2C%22placeholder_video_id%22%3A%227631865354414869767%22%7D&amp;ec_shared_reflux_scene=shop_tab_feed&amp;share_item_id=7631865354414869767&amp;source=h5_t</v>
      </c>
      <c r="K754" s="464" t="str">
        <f>IFERROR(__xludf.DUMMYFUNCTION("""COMPUTED_VALUE"""),"KIMME")</f>
        <v>KIMME</v>
      </c>
      <c r="L754" s="279" t="str">
        <f>IFERROR(__xludf.DUMMYFUNCTION("""COMPUTED_VALUE"""),"https://www.tiktok.com/@byliyah/video/7638625816011640071?_r=1&amp;u_code=dj0c9igeb6ei5f&amp;region=&amp;mid=7627687221567310593&amp;preview_pb=0&amp;sharer_language=&amp;_d=0&amp;ec_shared_reflux_dynamic_params=%7B%22placeholder_material_id%22%3A%227638625816011640071%22%2C%22place"&amp;"holder_origin_cover%22%3A%22https%253A%252F%252Fp16-common-sign.tiktokcdn.com%252Ftos-alisg-p-0037%252Fo8QmIcc2kDAb2IdugdFeBRqBoE8g0BLAIXfrBE~tplv-tiktokx-origin.jpeg%253Fdr%253D14572%2526refresh_token%253D77d9250a%2526x-expires%253D1810119600%2526x-signa"&amp;"ture%253Dlmlpg3466mj3a%25252BR52vCdFzkMmDM%25253D%2526t%253D4d5b0474%2526ps%253D13740610%2526shp%253Dd05b14bd%2526shcp%253D34ff8df6%2526idc%253Dmy2%2526s%253DTIKTOK_AFFILIATE_VIRAL_VIDEO%22%2C%22placeholder_product_id%22%3A%221729427766722726591%22%2C%22p"&amp;"laceholder_video_id%22%3A%227638625816011640071%22%7D&amp;ec_shared_reflux_scene=shop_tab_feed&amp;share_item_id=7638625816011640071&amp;source=h5_t")</f>
        <v>https://www.tiktok.com/@byliyah/video/7638625816011640071?_r=1&amp;u_code=dj0c9igeb6ei5f&amp;region=&amp;mid=7627687221567310593&amp;preview_pb=0&amp;sharer_language=&amp;_d=0&amp;ec_shared_reflux_dynamic_params=%7B%22placeholder_material_id%22%3A%227638625816011640071%22%2C%22placeholder_origin_cover%22%3A%22https%253A%252F%252Fp16-common-sign.tiktokcdn.com%252Ftos-alisg-p-0037%252Fo8QmIcc2kDAb2IdugdFeBRqBoE8g0BLAIXfrBE~tplv-tiktokx-origin.jpeg%253Fdr%253D14572%2526refresh_token%253D77d9250a%2526x-expires%253D1810119600%2526x-signature%253Dlmlpg3466mj3a%25252BR52vCdFzkMmDM%25253D%2526t%253D4d5b0474%2526ps%253D13740610%2526shp%253Dd05b14bd%2526shcp%253D34ff8df6%2526idc%253Dmy2%2526s%253DTIKTOK_AFFILIATE_VIRAL_VIDEO%22%2C%22placeholder_product_id%22%3A%221729427766722726591%22%2C%22placeholder_video_id%22%3A%227638625816011640071%22%7D&amp;ec_shared_reflux_scene=shop_tab_feed&amp;share_item_id=7638625816011640071&amp;source=h5_t</v>
      </c>
      <c r="M754" s="464"/>
      <c r="N754" s="279" t="str">
        <f>IFERROR(__xludf.DUMMYFUNCTION("""COMPUTED_VALUE"""),"https://www.tiktok.com/@belanja_hemat.shop/video/7634452237363776775?_r=1&amp;u_code=ek6h2252jijmih&amp;region=&amp;mid=7578568876850449159&amp;preview_pb=0&amp;sharer_language=&amp;_d=0&amp;ec_shared_reflux_dynamic_params=%7B%22placeholder_material_id%22%3A%227634452237363776775%22"&amp;"%2C%22placeholder_origin_cover%22%3A%22https%253A%252F%252Fp16-common-sign.tiktokcdn.com%252Ftos-alisg-p-0037%252FoUSWPEUDpBC1On8FEVqwTAQzEBjmf8RgBRQeHh~tplv-tiktokx-origin.jpeg%253Fdr%253D14572%2526refresh_token%253D9fdf2339%2526x-expires%253D1810195200%"&amp;"2526x-signature%253DyHxZigWv43QrMnJTFRNkY1QaD7I%25253D%2526t%253D4d5b0474%2526ps%253D13740610%2526shp%253Dd05b14bd%2526shcp%253D34ff8df6%2526idc%253Dmy2%2526s%253DTIKTOK_AFFILIATE_VIRAL_VIDEO%22%2C%22placeholder_product_id%22%3A%221729427766722726591%22%2"&amp;"C%22placeholder_video_id%22%3A%227634452237363776775%22%7D&amp;ec_shared_reflux_scene=shop_tab_feed&amp;share_item_id=7634452237363776775&amp;source=h5_t")</f>
        <v>https://www.tiktok.com/@belanja_hemat.shop/video/7634452237363776775?_r=1&amp;u_code=ek6h2252jijmih&amp;region=&amp;mid=7578568876850449159&amp;preview_pb=0&amp;sharer_language=&amp;_d=0&amp;ec_shared_reflux_dynamic_params=%7B%22placeholder_material_id%22%3A%227634452237363776775%22%2C%22placeholder_origin_cover%22%3A%22https%253A%252F%252Fp16-common-sign.tiktokcdn.com%252Ftos-alisg-p-0037%252FoUSWPEUDpBC1On8FEVqwTAQzEBjmf8RgBRQeHh~tplv-tiktokx-origin.jpeg%253Fdr%253D14572%2526refresh_token%253D9fdf2339%2526x-expires%253D1810195200%2526x-signature%253DyHxZigWv43QrMnJTFRNkY1QaD7I%25253D%2526t%253D4d5b0474%2526ps%253D13740610%2526shp%253Dd05b14bd%2526shcp%253D34ff8df6%2526idc%253Dmy2%2526s%253DTIKTOK_AFFILIATE_VIRAL_VIDEO%22%2C%22placeholder_product_id%22%3A%221729427766722726591%22%2C%22placeholder_video_id%22%3A%227634452237363776775%22%7D&amp;ec_shared_reflux_scene=shop_tab_feed&amp;share_item_id=7634452237363776775&amp;source=h5_t</v>
      </c>
      <c r="O754" s="464"/>
      <c r="P754" s="279" t="str">
        <f>IFERROR(__xludf.DUMMYFUNCTION("""COMPUTED_VALUE"""),"https://www.tiktok.com/@belanja_hemat.shop/video/7634466278077418759?_r=1&amp;u_code=ek6h2252jijmih&amp;region=&amp;mid=7614079490641120021&amp;preview_pb=0&amp;sharer_language=&amp;_d=0&amp;ec_shared_reflux_dynamic_params=%7B%22placeholder_material_id%22%3A%227634466278077418759%22"&amp;"%2C%22placeholder_origin_cover%22%3A%22https%253A%252F%252Fp16-common-sign.tiktokcdn.com%252Ftos-alisg-p-0037%252Fokc04pIIIDATjD5e1ELozW7feqUCBIAdGCijBT~tplv-tiktokx-origin.jpeg%253Fdr%253D14572%2526refresh_token%253D5e10573d%2526x-expires%253D1810195200%"&amp;"2526x-signature%253D9yAK1SA0NtjLVE4kr3Lz%25252F4AjJ9E%25253D%2526t%253D4d5b0474%2526ps%253D13740610%2526shp%253Dd05b14bd%2526shcp%253D34ff8df6%2526idc%253Dmy2%2526s%253DTIKTOK_AFFILIATE_VIRAL_VIDEO%22%2C%22placeholder_product_id%22%3A%22172942776672272659"&amp;"1%22%2C%22placeholder_video_id%22%3A%227634466278077418759%22%7D&amp;ec_shared_reflux_scene=shop_tab_feed&amp;share_item_id=7634466278077418759&amp;source=h5_t")</f>
        <v>https://www.tiktok.com/@belanja_hemat.shop/video/7634466278077418759?_r=1&amp;u_code=ek6h2252jijmih&amp;region=&amp;mid=7614079490641120021&amp;preview_pb=0&amp;sharer_language=&amp;_d=0&amp;ec_shared_reflux_dynamic_params=%7B%22placeholder_material_id%22%3A%227634466278077418759%22%2C%22placeholder_origin_cover%22%3A%22https%253A%252F%252Fp16-common-sign.tiktokcdn.com%252Ftos-alisg-p-0037%252Fokc04pIIIDATjD5e1ELozW7feqUCBIAdGCijBT~tplv-tiktokx-origin.jpeg%253Fdr%253D14572%2526refresh_token%253D5e10573d%2526x-expires%253D1810195200%2526x-signature%253D9yAK1SA0NtjLVE4kr3Lz%25252F4AjJ9E%25253D%2526t%253D4d5b0474%2526ps%253D13740610%2526shp%253Dd05b14bd%2526shcp%253D34ff8df6%2526idc%253Dmy2%2526s%253DTIKTOK_AFFILIATE_VIRAL_VIDEO%22%2C%22placeholder_product_id%22%3A%221729427766722726591%22%2C%22placeholder_video_id%22%3A%227634466278077418759%22%7D&amp;ec_shared_reflux_scene=shop_tab_feed&amp;share_item_id=7634466278077418759&amp;source=h5_t</v>
      </c>
    </row>
    <row r="755">
      <c r="A755" s="255" t="str">
        <f>IFERROR(__xludf.DUMMYFUNCTION("""COMPUTED_VALUE"""),"MICRO")</f>
        <v>MICRO</v>
      </c>
      <c r="B755" s="361" t="str">
        <f>IFERROR(__xludf.DUMMYFUNCTION("""COMPUTED_VALUE"""),"dietsehat01")</f>
        <v>dietsehat01</v>
      </c>
      <c r="C755" s="257" t="str">
        <f>IFERROR(__xludf.DUMMYFUNCTION("""COMPUTED_VALUE"""),"https://www.tiktok.com/@dietsehat01")</f>
        <v>https://www.tiktok.com/@dietsehat01</v>
      </c>
      <c r="D755" s="270">
        <f>IFERROR(__xludf.DUMMYFUNCTION("""COMPUTED_VALUE"""),8.3817274426E10)</f>
        <v>83817274426</v>
      </c>
      <c r="E755" s="457">
        <f>IFERROR(__xludf.DUMMYFUNCTION("""COMPUTED_VALUE"""),0.0)</f>
        <v>0</v>
      </c>
      <c r="F755" s="270">
        <f>IFERROR(__xludf.DUMMYFUNCTION("""COMPUTED_VALUE"""),4.0)</f>
        <v>4</v>
      </c>
      <c r="G755" s="17" t="str">
        <f>IFERROR(__xludf.DUMMYFUNCTION("""COMPUTED_VALUE"""),"Sabun batang 1 Box ( 2 PCS )")</f>
        <v>Sabun batang 1 Box ( 2 PCS )</v>
      </c>
      <c r="H755" s="463" t="str">
        <f>IFERROR(__xludf.DUMMYFUNCTION("""COMPUTED_VALUE"""),"Sampai")</f>
        <v>Sampai</v>
      </c>
      <c r="I755" s="464" t="str">
        <f>IFERROR(__xludf.DUMMYFUNCTION("""COMPUTED_VALUE"""),"KIMME")</f>
        <v>KIMME</v>
      </c>
      <c r="J755" s="279" t="str">
        <f>IFERROR(__xludf.DUMMYFUNCTION("""COMPUTED_VALUE"""),"https://www.tiktok.com/@dietsehat01/video/7631802173919120647?is_from_webapp=1&amp;sender_device=pc&amp;web_id=7611930277489657360")</f>
        <v>https://www.tiktok.com/@dietsehat01/video/7631802173919120647?is_from_webapp=1&amp;sender_device=pc&amp;web_id=7611930277489657360</v>
      </c>
      <c r="K755" s="464" t="str">
        <f>IFERROR(__xludf.DUMMYFUNCTION("""COMPUTED_VALUE"""),"KIMME")</f>
        <v>KIMME</v>
      </c>
      <c r="L755" s="279" t="str">
        <f>IFERROR(__xludf.DUMMYFUNCTION("""COMPUTED_VALUE"""),"https://www.tiktok.com/@dietsehat01/video/7631512756314852616?is_from_webapp=1&amp;sender_device=pc&amp;web_id=7611930277489657360")</f>
        <v>https://www.tiktok.com/@dietsehat01/video/7631512756314852616?is_from_webapp=1&amp;sender_device=pc&amp;web_id=7611930277489657360</v>
      </c>
      <c r="M755" s="464" t="str">
        <f>IFERROR(__xludf.DUMMYFUNCTION("""COMPUTED_VALUE"""),"KIMME")</f>
        <v>KIMME</v>
      </c>
      <c r="N755" s="279" t="str">
        <f>IFERROR(__xludf.DUMMYFUNCTION("""COMPUTED_VALUE"""),"https://www.tiktok.com/@dietsehat01/video/7632180261798595858?is_from_webapp=1&amp;sender_device=pc&amp;web_id=7611930277489657360")</f>
        <v>https://www.tiktok.com/@dietsehat01/video/7632180261798595858?is_from_webapp=1&amp;sender_device=pc&amp;web_id=7611930277489657360</v>
      </c>
      <c r="O755" s="464" t="str">
        <f>IFERROR(__xludf.DUMMYFUNCTION("""COMPUTED_VALUE"""),"KIMME")</f>
        <v>KIMME</v>
      </c>
      <c r="P755" s="279" t="str">
        <f>IFERROR(__xludf.DUMMYFUNCTION("""COMPUTED_VALUE"""),"https://www.tiktok.com/@dietsehat01/video/7632482734295829767?is_from_webapp=1&amp;sender_device=pc&amp;web_id=7611930277489657360")</f>
        <v>https://www.tiktok.com/@dietsehat01/video/7632482734295829767?is_from_webapp=1&amp;sender_device=pc&amp;web_id=7611930277489657360</v>
      </c>
    </row>
    <row r="756">
      <c r="A756" s="255" t="str">
        <f>IFERROR(__xludf.DUMMYFUNCTION("""COMPUTED_VALUE"""),"MICRO")</f>
        <v>MICRO</v>
      </c>
      <c r="B756" s="361" t="str">
        <f>IFERROR(__xludf.DUMMYFUNCTION("""COMPUTED_VALUE"""),"yaaasph")</f>
        <v>yaaasph</v>
      </c>
      <c r="C756" s="257" t="str">
        <f>IFERROR(__xludf.DUMMYFUNCTION("""COMPUTED_VALUE"""),"https://www.tiktok.com/@yaaasph")</f>
        <v>https://www.tiktok.com/@yaaasph</v>
      </c>
      <c r="D756" s="270">
        <f>IFERROR(__xludf.DUMMYFUNCTION("""COMPUTED_VALUE"""),8.7840022658E10)</f>
        <v>87840022658</v>
      </c>
      <c r="E756" s="457">
        <f>IFERROR(__xludf.DUMMYFUNCTION("""COMPUTED_VALUE"""),0.0)</f>
        <v>0</v>
      </c>
      <c r="F756" s="270">
        <f>IFERROR(__xludf.DUMMYFUNCTION("""COMPUTED_VALUE"""),4.0)</f>
        <v>4</v>
      </c>
      <c r="G756" s="17" t="str">
        <f>IFERROR(__xludf.DUMMYFUNCTION("""COMPUTED_VALUE"""),"Sabun batang 1 Box ( 2 PCS )")</f>
        <v>Sabun batang 1 Box ( 2 PCS )</v>
      </c>
      <c r="H756" s="463" t="str">
        <f>IFERROR(__xludf.DUMMYFUNCTION("""COMPUTED_VALUE"""),"Sampai")</f>
        <v>Sampai</v>
      </c>
      <c r="I756" s="464" t="str">
        <f>IFERROR(__xludf.DUMMYFUNCTION("""COMPUTED_VALUE"""),"KIMME")</f>
        <v>KIMME</v>
      </c>
      <c r="J756" s="279" t="str">
        <f>IFERROR(__xludf.DUMMYFUNCTION("""COMPUTED_VALUE"""),"https://www.tiktok.com/@belanja_hemat.shop/video/7635078481767877896?_r=1&amp;u_code=ek6h2252jijmih&amp;region=&amp;mid=7631596706401209105&amp;preview_pb=0&amp;sharer_language=&amp;_d=0&amp;ec_shared_reflux_dynamic_params=%7B%22placeholder_material_id%22%3A%227635078481767877896%22"&amp;"%2C%22placeholder_origin_cover%22%3A%22https%253A%252F%252Fp16-common-sign.tiktokcdn.com%252Ftos-alisg-p-0037%252FoEIBp9C2KGxTEBPiojeBJMCAiXc31OQIigfiRP~tplv-tiktokx-origin.jpeg%253Fdr%253D14572%2526refresh_token%253Dea3bad52%2526x-expires%253D1810195200%"&amp;"2526x-signature%253D1vwbNtVZv2xEHcKJrwg2b%25252B8TT2s%25253D%2526t%253D4d5b0474%2526ps%253D13740610%2526shp%253Dd05b14bd%2526shcp%253D34ff8df6%2526idc%253Dmy2%2526s%253DTIKTOK_AFFILIATE_VIRAL_VIDEO%22%2C%22placeholder_product_id%22%3A%22172942776672272659"&amp;"1%22%2C%22placeholder_video_id%22%3A%227635078481767877896%22%7D&amp;ec_shared_reflux_scene=shop_tab_feed&amp;share_item_id=7635078481767877896&amp;source=h5_t")</f>
        <v>https://www.tiktok.com/@belanja_hemat.shop/video/7635078481767877896?_r=1&amp;u_code=ek6h2252jijmih&amp;region=&amp;mid=7631596706401209105&amp;preview_pb=0&amp;sharer_language=&amp;_d=0&amp;ec_shared_reflux_dynamic_params=%7B%22placeholder_material_id%22%3A%227635078481767877896%22%2C%22placeholder_origin_cover%22%3A%22https%253A%252F%252Fp16-common-sign.tiktokcdn.com%252Ftos-alisg-p-0037%252FoEIBp9C2KGxTEBPiojeBJMCAiXc31OQIigfiRP~tplv-tiktokx-origin.jpeg%253Fdr%253D14572%2526refresh_token%253Dea3bad52%2526x-expires%253D1810195200%2526x-signature%253D1vwbNtVZv2xEHcKJrwg2b%25252B8TT2s%25253D%2526t%253D4d5b0474%2526ps%253D13740610%2526shp%253Dd05b14bd%2526shcp%253D34ff8df6%2526idc%253Dmy2%2526s%253DTIKTOK_AFFILIATE_VIRAL_VIDEO%22%2C%22placeholder_product_id%22%3A%221729427766722726591%22%2C%22placeholder_video_id%22%3A%227635078481767877896%22%7D&amp;ec_shared_reflux_scene=shop_tab_feed&amp;share_item_id=7635078481767877896&amp;source=h5_t</v>
      </c>
      <c r="K756" s="464" t="str">
        <f>IFERROR(__xludf.DUMMYFUNCTION("""COMPUTED_VALUE"""),"KIMME")</f>
        <v>KIMME</v>
      </c>
      <c r="L756" s="279" t="str">
        <f>IFERROR(__xludf.DUMMYFUNCTION("""COMPUTED_VALUE"""),"https://www.tiktok.com/@belanja_hemat.shop/video/7634926814531505416?_r=1&amp;u_code=ek6h2252jijmih&amp;region=&amp;mid=7421728052169722630&amp;preview_pb=0&amp;sharer_language=&amp;_d=0&amp;ec_shared_reflux_dynamic_params=%7B%22placeholder_material_id%22%3A%227634926814531505416%22"&amp;"%2C%22placeholder_origin_cover%22%3A%22https%253A%252F%252Fp16-common-sign.tiktokcdn.com%252Ftos-alisg-p-0037%252FoEW0zxqiwcRlBIMIQBipAtjBgUcSdBzYfleEb2~tplv-tiktokx-origin.jpeg%253Fdr%253D14572%2526refresh_token%253D256e951c%2526x-expires%253D1810195200%"&amp;"2526x-signature%253DP9P0WMSmUygFzo2lOlngLeYqQOI%25253D%2526t%253D4d5b0474%2526ps%253D13740610%2526shp%253Dd05b14bd%2526shcp%253D34ff8df6%2526idc%253Dmy2%2526s%253DTIKTOK_AFFILIATE_VIRAL_VIDEO%22%2C%22placeholder_product_id%22%3A%221729427766722726591%22%2"&amp;"C%22placeholder_video_id%22%3A%227634926814531505416%22%7D&amp;ec_shared_reflux_scene=shop_tab_feed&amp;share_item_id=7634926814531505416&amp;source=h5_t")</f>
        <v>https://www.tiktok.com/@belanja_hemat.shop/video/7634926814531505416?_r=1&amp;u_code=ek6h2252jijmih&amp;region=&amp;mid=7421728052169722630&amp;preview_pb=0&amp;sharer_language=&amp;_d=0&amp;ec_shared_reflux_dynamic_params=%7B%22placeholder_material_id%22%3A%227634926814531505416%22%2C%22placeholder_origin_cover%22%3A%22https%253A%252F%252Fp16-common-sign.tiktokcdn.com%252Ftos-alisg-p-0037%252FoEW0zxqiwcRlBIMIQBipAtjBgUcSdBzYfleEb2~tplv-tiktokx-origin.jpeg%253Fdr%253D14572%2526refresh_token%253D256e951c%2526x-expires%253D1810195200%2526x-signature%253DP9P0WMSmUygFzo2lOlngLeYqQOI%25253D%2526t%253D4d5b0474%2526ps%253D13740610%2526shp%253Dd05b14bd%2526shcp%253D34ff8df6%2526idc%253Dmy2%2526s%253DTIKTOK_AFFILIATE_VIRAL_VIDEO%22%2C%22placeholder_product_id%22%3A%221729427766722726591%22%2C%22placeholder_video_id%22%3A%227634926814531505416%22%7D&amp;ec_shared_reflux_scene=shop_tab_feed&amp;share_item_id=7634926814531505416&amp;source=h5_t</v>
      </c>
      <c r="M756" s="464"/>
      <c r="N756" s="279" t="str">
        <f>IFERROR(__xludf.DUMMYFUNCTION("""COMPUTED_VALUE"""),"https://www.tiktok.com/@belanja_hemat.shop/video/7635162664397917448?_r=1&amp;u_code=ek6h2252jijmih&amp;region=&amp;mid=7399648575468079878&amp;preview_pb=0&amp;sharer_language=&amp;_d=0&amp;ec_shared_reflux_dynamic_params=%7B%22placeholder_material_id%22%3A%227635162664397917448%22"&amp;"%2C%22placeholder_origin_cover%22%3A%22https%253A%252F%252Fp16-common-sign.tiktokcdn.com%252Ftos-alisg-p-0037%252FoEfGDEA2QwnDBoRAQF1JpQFa51G8jGfi6WATee~tplv-tiktokx-origin.jpeg%253Fdr%253D14572%2526refresh_token%253D12f72ff5%2526x-expires%253D1810195200%"&amp;"2526x-signature%253Djw9vwcEntk7ZxD1o7Y%25252F%25252FnS9%25252BXB8%25253D%2526t%253D4d5b0474%2526ps%253D13740610%2526shp%253Dd05b14bd%2526shcp%253D34ff8df6%2526idc%253Dmy2%2526s%253DTIKTOK_AFFILIATE_VIRAL_VIDEO%22%2C%22placeholder_product_id%22%3A%22172942"&amp;"7766722726591%22%2C%22placeholder_video_id%22%3A%227635162664397917448%22%7D&amp;ec_shared_reflux_scene=shop_tab_feed&amp;share_item_id=7635162664397917448&amp;source=h5_t")</f>
        <v>https://www.tiktok.com/@belanja_hemat.shop/video/7635162664397917448?_r=1&amp;u_code=ek6h2252jijmih&amp;region=&amp;mid=7399648575468079878&amp;preview_pb=0&amp;sharer_language=&amp;_d=0&amp;ec_shared_reflux_dynamic_params=%7B%22placeholder_material_id%22%3A%227635162664397917448%22%2C%22placeholder_origin_cover%22%3A%22https%253A%252F%252Fp16-common-sign.tiktokcdn.com%252Ftos-alisg-p-0037%252FoEfGDEA2QwnDBoRAQF1JpQFa51G8jGfi6WATee~tplv-tiktokx-origin.jpeg%253Fdr%253D14572%2526refresh_token%253D12f72ff5%2526x-expires%253D1810195200%2526x-signature%253Djw9vwcEntk7ZxD1o7Y%25252F%25252FnS9%25252BXB8%25253D%2526t%253D4d5b0474%2526ps%253D13740610%2526shp%253Dd05b14bd%2526shcp%253D34ff8df6%2526idc%253Dmy2%2526s%253DTIKTOK_AFFILIATE_VIRAL_VIDEO%22%2C%22placeholder_product_id%22%3A%221729427766722726591%22%2C%22placeholder_video_id%22%3A%227635162664397917448%22%7D&amp;ec_shared_reflux_scene=shop_tab_feed&amp;share_item_id=7635162664397917448&amp;source=h5_t</v>
      </c>
      <c r="O756" s="464"/>
      <c r="P756" s="279" t="str">
        <f>IFERROR(__xludf.DUMMYFUNCTION("""COMPUTED_VALUE"""),"https://www.tiktok.com/@belanja_hemat.shop/video/7635194383041711368?_r=1&amp;u_code=ek6h2252jijmih&amp;region=&amp;mid=7476015863875865349&amp;preview_pb=0&amp;sharer_language=&amp;_d=0&amp;ec_shared_reflux_dynamic_params=%7B%22placeholder_material_id%22%3A%227635194383041711368%22"&amp;"%2C%22placeholder_origin_cover%22%3A%22https%253A%252F%252Fp16-common-sign.tiktokcdn.com%252Ftos-alisg-p-0037%252FoMKiBrfDUIqURfpEzqGNz9oa1BOATEjIFBCKIg~tplv-tiktokx-origin.jpeg%253Fdr%253D14572%2526refresh_token%253D76c4657b%2526x-expires%253D1810195200%"&amp;"2526x-signature%253DN4NxSYhPzMwPobuFrpWIWr%25252BaJpA%25253D%2526t%253D4d5b0474%2526ps%253D13740610%2526shp%253Dd05b14bd%2526shcp%253D34ff8df6%2526idc%253Dmy2%2526s%253DTIKTOK_AFFILIATE_VIRAL_VIDEO%22%2C%22placeholder_product_id%22%3A%22172942776672272659"&amp;"1%22%2C%22placeholder_video_id%22%3A%227635194383041711368%22%7D&amp;ec_shared_reflux_scene=shop_tab_feed&amp;share_item_id=7635194383041711368&amp;source=h5_t")</f>
        <v>https://www.tiktok.com/@belanja_hemat.shop/video/7635194383041711368?_r=1&amp;u_code=ek6h2252jijmih&amp;region=&amp;mid=7476015863875865349&amp;preview_pb=0&amp;sharer_language=&amp;_d=0&amp;ec_shared_reflux_dynamic_params=%7B%22placeholder_material_id%22%3A%227635194383041711368%22%2C%22placeholder_origin_cover%22%3A%22https%253A%252F%252Fp16-common-sign.tiktokcdn.com%252Ftos-alisg-p-0037%252FoMKiBrfDUIqURfpEzqGNz9oa1BOATEjIFBCKIg~tplv-tiktokx-origin.jpeg%253Fdr%253D14572%2526refresh_token%253D76c4657b%2526x-expires%253D1810195200%2526x-signature%253DN4NxSYhPzMwPobuFrpWIWr%25252BaJpA%25253D%2526t%253D4d5b0474%2526ps%253D13740610%2526shp%253Dd05b14bd%2526shcp%253D34ff8df6%2526idc%253Dmy2%2526s%253DTIKTOK_AFFILIATE_VIRAL_VIDEO%22%2C%22placeholder_product_id%22%3A%221729427766722726591%22%2C%22placeholder_video_id%22%3A%227635194383041711368%22%7D&amp;ec_shared_reflux_scene=shop_tab_feed&amp;share_item_id=7635194383041711368&amp;source=h5_t</v>
      </c>
    </row>
    <row r="757">
      <c r="A757" s="255" t="str">
        <f>IFERROR(__xludf.DUMMYFUNCTION("""COMPUTED_VALUE"""),"MICRO")</f>
        <v>MICRO</v>
      </c>
      <c r="B757" s="361" t="str">
        <f>IFERROR(__xludf.DUMMYFUNCTION("""COMPUTED_VALUE"""),"dinif.sa ")</f>
        <v>dinif.sa </v>
      </c>
      <c r="C757" s="257" t="str">
        <f>IFERROR(__xludf.DUMMYFUNCTION("""COMPUTED_VALUE"""),"https://www.tiktok.com/@dinif.sa ")</f>
        <v>https://www.tiktok.com/@dinif.sa </v>
      </c>
      <c r="D757" s="270">
        <f>IFERROR(__xludf.DUMMYFUNCTION("""COMPUTED_VALUE"""),8.5212884452E10)</f>
        <v>85212884452</v>
      </c>
      <c r="E757" s="457">
        <f>IFERROR(__xludf.DUMMYFUNCTION("""COMPUTED_VALUE"""),0.0)</f>
        <v>0</v>
      </c>
      <c r="F757" s="270">
        <f>IFERROR(__xludf.DUMMYFUNCTION("""COMPUTED_VALUE"""),4.0)</f>
        <v>4</v>
      </c>
      <c r="G757" s="17" t="str">
        <f>IFERROR(__xludf.DUMMYFUNCTION("""COMPUTED_VALUE"""),"Sabun batang 1 Box ( 2 PCS )")</f>
        <v>Sabun batang 1 Box ( 2 PCS )</v>
      </c>
      <c r="H757" s="463" t="str">
        <f>IFERROR(__xludf.DUMMYFUNCTION("""COMPUTED_VALUE"""),"Sampai")</f>
        <v>Sampai</v>
      </c>
      <c r="I757" s="464" t="str">
        <f>IFERROR(__xludf.DUMMYFUNCTION("""COMPUTED_VALUE"""),"KIMME")</f>
        <v>KIMME</v>
      </c>
      <c r="J757" s="279" t="str">
        <f>IFERROR(__xludf.DUMMYFUNCTION("""COMPUTED_VALUE"""),"https://www.tiktok.com/@dinif.sa/video/7606266506313288981?_r=1&amp;u_code=dbghm7c96hifg4&amp;region=&amp;mid=7482766941833267969&amp;preview_pb=0&amp;sharer_language=&amp;_d=0&amp;ec_shared_reflux_dynamic_params=%7B%22placeholder_material_id%22%3A%227606266506313288981%22%2C%22plac"&amp;"eholder_origin_cover%22%3A%22https%253A%252F%252Fp16-sign-sg.tiktokcdn.com%252Ftos-alisg-p-0037%252Fo49IwizBIFGI0A4fO7Ixu3xoir0BCAi2ql7A0l~tplv-tiktokx-origin.jpeg%253Fdr%253D14572%2526refresh_token%253D5157800c%2526x-expires%253D1806055200%2526x-signatur"&amp;"e%253DT8E9Za7pdeV1THk4vSl4bcS4Ct8%25253D%2526t%253D4d5b0474%2526ps%253D13740610%2526shp%253Dd05b14bd%2526shcp%253D34ff8df6%2526idc%253Dmy2%2526s%253DTIKTOK_AFFILIATE_VIRAL_VIDEO%22%2C%22placeholder_product_id%22%3A%221729427766722726591%22%2C%22placeholde"&amp;"r_video_id%22%3A%227606266506313288981%22%7D&amp;ec_shared_reflux_scene=shop_tab_feed&amp;share_item_id=7606266506313288981&amp;source=h5_t")</f>
        <v>https://www.tiktok.com/@dinif.sa/video/7606266506313288981?_r=1&amp;u_code=dbghm7c96hifg4&amp;region=&amp;mid=7482766941833267969&amp;preview_pb=0&amp;sharer_language=&amp;_d=0&amp;ec_shared_reflux_dynamic_params=%7B%22placeholder_material_id%22%3A%227606266506313288981%22%2C%22placeholder_origin_cover%22%3A%22https%253A%252F%252Fp16-sign-sg.tiktokcdn.com%252Ftos-alisg-p-0037%252Fo49IwizBIFGI0A4fO7Ixu3xoir0BCAi2ql7A0l~tplv-tiktokx-origin.jpeg%253Fdr%253D14572%2526refresh_token%253D5157800c%2526x-expires%253D1806055200%2526x-signature%253DT8E9Za7pdeV1THk4vSl4bcS4Ct8%25253D%2526t%253D4d5b0474%2526ps%253D13740610%2526shp%253Dd05b14bd%2526shcp%253D34ff8df6%2526idc%253Dmy2%2526s%253DTIKTOK_AFFILIATE_VIRAL_VIDEO%22%2C%22placeholder_product_id%22%3A%221729427766722726591%22%2C%22placeholder_video_id%22%3A%227606266506313288981%22%7D&amp;ec_shared_reflux_scene=shop_tab_feed&amp;share_item_id=7606266506313288981&amp;source=h5_t</v>
      </c>
      <c r="K757" s="464" t="str">
        <f>IFERROR(__xludf.DUMMYFUNCTION("""COMPUTED_VALUE"""),"KIMME")</f>
        <v>KIMME</v>
      </c>
      <c r="L757" s="279" t="str">
        <f>IFERROR(__xludf.DUMMYFUNCTION("""COMPUTED_VALUE"""),"https://www.tiktok.com/@belanja_hemat.shop/video/7635502774356053255?_r=1&amp;u_code=ek6h2252jijmih&amp;region=&amp;mid=7476015863875865349&amp;preview_pb=0&amp;sharer_language=&amp;_d=0&amp;ec_shared_reflux_dynamic_params=%7B%22placeholder_material_id%22%3A%227635502774356053255%22"&amp;"%2C%22placeholder_origin_cover%22%3A%22https%253A%252F%252Fp16-common-sign.tiktokcdn.com%252Ftos-alisg-p-0037%252FosTBEVDrFR359w2E2RHHAB5E79pIIUCfgpsfZE~tplv-tiktokx-origin.jpeg%253Fdr%253D14572%2526refresh_token%253D940a42d0%2526x-expires%253D1810195200%"&amp;"2526x-signature%253DadoU8uWG94cW7lpSEri0IL%25252FEgIw%25253D%2526t%253D4d5b0474%2526ps%253D13740610%2526shp%253Dd05b14bd%2526shcp%253D34ff8df6%2526idc%253Dmy2%2526s%253DTIKTOK_AFFILIATE_VIRAL_VIDEO%22%2C%22placeholder_product_id%22%3A%22172942776672272659"&amp;"1%22%2C%22placeholder_video_id%22%3A%227635502774356053255%22%7D&amp;ec_shared_reflux_scene=shop_tab_feed&amp;share_item_id=7635502774356053255&amp;source=h5_t")</f>
        <v>https://www.tiktok.com/@belanja_hemat.shop/video/7635502774356053255?_r=1&amp;u_code=ek6h2252jijmih&amp;region=&amp;mid=7476015863875865349&amp;preview_pb=0&amp;sharer_language=&amp;_d=0&amp;ec_shared_reflux_dynamic_params=%7B%22placeholder_material_id%22%3A%227635502774356053255%22%2C%22placeholder_origin_cover%22%3A%22https%253A%252F%252Fp16-common-sign.tiktokcdn.com%252Ftos-alisg-p-0037%252FosTBEVDrFR359w2E2RHHAB5E79pIIUCfgpsfZE~tplv-tiktokx-origin.jpeg%253Fdr%253D14572%2526refresh_token%253D940a42d0%2526x-expires%253D1810195200%2526x-signature%253DadoU8uWG94cW7lpSEri0IL%25252FEgIw%25253D%2526t%253D4d5b0474%2526ps%253D13740610%2526shp%253Dd05b14bd%2526shcp%253D34ff8df6%2526idc%253Dmy2%2526s%253DTIKTOK_AFFILIATE_VIRAL_VIDEO%22%2C%22placeholder_product_id%22%3A%221729427766722726591%22%2C%22placeholder_video_id%22%3A%227635502774356053255%22%7D&amp;ec_shared_reflux_scene=shop_tab_feed&amp;share_item_id=7635502774356053255&amp;source=h5_t</v>
      </c>
      <c r="M757" s="464"/>
      <c r="N757" s="279" t="str">
        <f>IFERROR(__xludf.DUMMYFUNCTION("""COMPUTED_VALUE"""),"https://www.tiktok.com/@belanja_hemat.shop/video/7635329704118979847?_r=1&amp;u_code=ek6h2252jijmih&amp;region=&amp;mid=7631596706401209105&amp;preview_pb=0&amp;sharer_language=&amp;_d=0&amp;ec_shared_reflux_dynamic_params=%7B%22placeholder_material_id%22%3A%227635329704118979847%22"&amp;"%2C%22placeholder_origin_cover%22%3A%22https%253A%252F%252Fp16-common-sign.tiktokcdn.com%252Ftos-alisg-p-0037%252FowPIeRvfQVuRQQ2F0sCGeGUGfBALEEIABRlnQs~tplv-tiktokx-origin.jpeg%253Fdr%253D14572%2526refresh_token%253D182f8ca2%2526x-expires%253D1810195200%"&amp;"2526x-signature%253DqCfH0x6l8EKtNuMv2rqD4EdNqGU%25253D%2526t%253D4d5b0474%2526ps%253D13740610%2526shp%253Dd05b14bd%2526shcp%253D34ff8df6%2526idc%253Dmy2%2526s%253DTIKTOK_AFFILIATE_VIRAL_VIDEO%22%2C%22placeholder_product_id%22%3A%221729427766722726591%22%2"&amp;"C%22placeholder_video_id%22%3A%227635329704118979847%22%7D&amp;ec_shared_reflux_scene=shop_tab_feed&amp;share_item_id=7635329704118979847&amp;source=h5_t")</f>
        <v>https://www.tiktok.com/@belanja_hemat.shop/video/7635329704118979847?_r=1&amp;u_code=ek6h2252jijmih&amp;region=&amp;mid=7631596706401209105&amp;preview_pb=0&amp;sharer_language=&amp;_d=0&amp;ec_shared_reflux_dynamic_params=%7B%22placeholder_material_id%22%3A%227635329704118979847%22%2C%22placeholder_origin_cover%22%3A%22https%253A%252F%252Fp16-common-sign.tiktokcdn.com%252Ftos-alisg-p-0037%252FowPIeRvfQVuRQQ2F0sCGeGUGfBALEEIABRlnQs~tplv-tiktokx-origin.jpeg%253Fdr%253D14572%2526refresh_token%253D182f8ca2%2526x-expires%253D1810195200%2526x-signature%253DqCfH0x6l8EKtNuMv2rqD4EdNqGU%25253D%2526t%253D4d5b0474%2526ps%253D13740610%2526shp%253Dd05b14bd%2526shcp%253D34ff8df6%2526idc%253Dmy2%2526s%253DTIKTOK_AFFILIATE_VIRAL_VIDEO%22%2C%22placeholder_product_id%22%3A%221729427766722726591%22%2C%22placeholder_video_id%22%3A%227635329704118979847%22%7D&amp;ec_shared_reflux_scene=shop_tab_feed&amp;share_item_id=7635329704118979847&amp;source=h5_t</v>
      </c>
      <c r="O757" s="464"/>
      <c r="P757" s="279" t="str">
        <f>IFERROR(__xludf.DUMMYFUNCTION("""COMPUTED_VALUE"""),"https://www.tiktok.com/@belanja_hemat.shop/video/7635201222705810695?_r=1&amp;u_code=ek6h2252jijmih&amp;region=&amp;mid=7374714896766487301&amp;preview_pb=0&amp;sharer_language=&amp;_d=0&amp;ec_shared_reflux_dynamic_params=%7B%22placeholder_material_id%22%3A%227635201222705810695%22"&amp;"%2C%22placeholder_origin_cover%22%3A%22https%253A%252F%252Fp19-common-sign.tiktokcdn.com%252Ftos-alisg-p-0037%252Foc0OrapGBIHxJ1z7A5iCUGReoBfPpCBIiagtE9~tplv-tiktokx-origin.jpeg%253Fdr%253D14572%2526refresh_token%253D43acdb90%2526x-expires%253D1810195200%"&amp;"2526x-signature%253D3iDYkpT1mKiPQqYWdZwmKjzcqMg%25253D%2526t%253D4d5b0474%2526ps%253D13740610%2526shp%253Dd05b14bd%2526shcp%253D34ff8df6%2526idc%253Dmy2%2526s%253DTIKTOK_AFFILIATE_VIRAL_VIDEO%22%2C%22placeholder_product_id%22%3A%221729427766722726591%22%2"&amp;"C%22placeholder_video_id%22%3A%227635201222705810695%22%7D&amp;ec_shared_reflux_scene=shop_tab_feed&amp;share_item_id=7635201222705810695&amp;source=h5_t")</f>
        <v>https://www.tiktok.com/@belanja_hemat.shop/video/7635201222705810695?_r=1&amp;u_code=ek6h2252jijmih&amp;region=&amp;mid=7374714896766487301&amp;preview_pb=0&amp;sharer_language=&amp;_d=0&amp;ec_shared_reflux_dynamic_params=%7B%22placeholder_material_id%22%3A%227635201222705810695%22%2C%22placeholder_origin_cover%22%3A%22https%253A%252F%252Fp19-common-sign.tiktokcdn.com%252Ftos-alisg-p-0037%252Foc0OrapGBIHxJ1z7A5iCUGReoBfPpCBIiagtE9~tplv-tiktokx-origin.jpeg%253Fdr%253D14572%2526refresh_token%253D43acdb90%2526x-expires%253D1810195200%2526x-signature%253D3iDYkpT1mKiPQqYWdZwmKjzcqMg%25253D%2526t%253D4d5b0474%2526ps%253D13740610%2526shp%253Dd05b14bd%2526shcp%253D34ff8df6%2526idc%253Dmy2%2526s%253DTIKTOK_AFFILIATE_VIRAL_VIDEO%22%2C%22placeholder_product_id%22%3A%221729427766722726591%22%2C%22placeholder_video_id%22%3A%227635201222705810695%22%7D&amp;ec_shared_reflux_scene=shop_tab_feed&amp;share_item_id=7635201222705810695&amp;source=h5_t</v>
      </c>
    </row>
    <row r="758">
      <c r="A758" s="255" t="str">
        <f>IFERROR(__xludf.DUMMYFUNCTION("""COMPUTED_VALUE"""),"MICRO")</f>
        <v>MICRO</v>
      </c>
      <c r="B758" s="361" t="str">
        <f>IFERROR(__xludf.DUMMYFUNCTION("""COMPUTED_VALUE"""),"wattpadstoryy_3 ")</f>
        <v>wattpadstoryy_3 </v>
      </c>
      <c r="C758" s="257" t="str">
        <f>IFERROR(__xludf.DUMMYFUNCTION("""COMPUTED_VALUE"""),"https://www.tiktok.com/@wattpadstoryy_3 ")</f>
        <v>https://www.tiktok.com/@wattpadstoryy_3 </v>
      </c>
      <c r="D758" s="270">
        <f>IFERROR(__xludf.DUMMYFUNCTION("""COMPUTED_VALUE"""),8.3878307868E10)</f>
        <v>83878307868</v>
      </c>
      <c r="E758" s="457">
        <f>IFERROR(__xludf.DUMMYFUNCTION("""COMPUTED_VALUE"""),0.0)</f>
        <v>0</v>
      </c>
      <c r="F758" s="270">
        <f>IFERROR(__xludf.DUMMYFUNCTION("""COMPUTED_VALUE"""),1.0)</f>
        <v>1</v>
      </c>
      <c r="G758" s="17" t="str">
        <f>IFERROR(__xludf.DUMMYFUNCTION("""COMPUTED_VALUE"""),"Sabun batang 1 Box ( 2 PCS )")</f>
        <v>Sabun batang 1 Box ( 2 PCS )</v>
      </c>
      <c r="H758" s="463" t="str">
        <f>IFERROR(__xludf.DUMMYFUNCTION("""COMPUTED_VALUE"""),"Sampai")</f>
        <v>Sampai</v>
      </c>
      <c r="I758" s="464" t="str">
        <f>IFERROR(__xludf.DUMMYFUNCTION("""COMPUTED_VALUE"""),"KIMME")</f>
        <v>KIMME</v>
      </c>
      <c r="J758" s="279" t="str">
        <f>IFERROR(__xludf.DUMMYFUNCTION("""COMPUTED_VALUE"""),"https://www.tiktok.com/@wattpadstoryy_3/video/7614730939817561365?_r=1&amp;u_code=djcfcl0i7lhlkg&amp;region=&amp;mid=7221264024289086214&amp;preview_pb=0&amp;sharer_language=&amp;_d=0&amp;ec_shared_reflux_dynamic_params=%7B%22placeholder_material_id%22%3A%227614730939817561365%22%2C"&amp;"%22placeholder_origin_cover%22%3A%22https%253A%252F%252Fp16-sign-sg.tiktokcdn.com%252Ftos-alisg-p-0037%252FoYQDFBkGPEyfcqQsQBVYEfY5c9rtpQARCBORgQ~tplv-tiktokx-origin.jpeg%253Fdr%253D14572%2526refresh_token%253Dc6070ea7%2526x-expires%253D1806051600%2526x-s"&amp;"ignature%253DEq4TKLonaWdUoT5vTZ1%25252F9cyg7AM%25253D%2526t%253D4d5b0474%2526ps%253D13740610%2526shp%253Dd05b14bd%2526shcp%253D34ff8df6%2526idc%253Dmy2%2526s%253DTIKTOK_AFFILIATE_VIRAL_VIDEO%22%2C%22placeholder_product_id%22%3A%221729427766722726591%22%2C"&amp;"%22placeholder_video_id%22%3A%227614730939817561365%22%7D&amp;ec_shared_reflux_scene=shop_tab_feed&amp;share_item_id=7614730939817561365&amp;source=h5_t")</f>
        <v>https://www.tiktok.com/@wattpadstoryy_3/video/7614730939817561365?_r=1&amp;u_code=djcfcl0i7lhlkg&amp;region=&amp;mid=7221264024289086214&amp;preview_pb=0&amp;sharer_language=&amp;_d=0&amp;ec_shared_reflux_dynamic_params=%7B%22placeholder_material_id%22%3A%227614730939817561365%22%2C%22placeholder_origin_cover%22%3A%22https%253A%252F%252Fp16-sign-sg.tiktokcdn.com%252Ftos-alisg-p-0037%252FoYQDFBkGPEyfcqQsQBVYEfY5c9rtpQARCBORgQ~tplv-tiktokx-origin.jpeg%253Fdr%253D14572%2526refresh_token%253Dc6070ea7%2526x-expires%253D1806051600%2526x-signature%253DEq4TKLonaWdUoT5vTZ1%25252F9cyg7AM%25253D%2526t%253D4d5b0474%2526ps%253D13740610%2526shp%253Dd05b14bd%2526shcp%253D34ff8df6%2526idc%253Dmy2%2526s%253DTIKTOK_AFFILIATE_VIRAL_VIDEO%22%2C%22placeholder_product_id%22%3A%221729427766722726591%22%2C%22placeholder_video_id%22%3A%227614730939817561365%22%7D&amp;ec_shared_reflux_scene=shop_tab_feed&amp;share_item_id=7614730939817561365&amp;source=h5_t</v>
      </c>
      <c r="K758" s="464" t="str">
        <f>IFERROR(__xludf.DUMMYFUNCTION("""COMPUTED_VALUE"""),"KIMME")</f>
        <v>KIMME</v>
      </c>
      <c r="L758" s="279" t="str">
        <f>IFERROR(__xludf.DUMMYFUNCTION("""COMPUTED_VALUE"""),"https://www.tiktok.com/@belanja_hemat.shop/video/7636216720394407175?_r=1&amp;u_code=ek6h2252jijmih&amp;region=&amp;mid=7517602699278453505&amp;preview_pb=0&amp;sharer_language=&amp;_d=0&amp;ec_shared_reflux_dynamic_params=%7B%22placeholder_material_id%22%3A%227636216720394407175%22"&amp;"%2C%22placeholder_origin_cover%22%3A%22https%253A%252F%252Fp16-common-sign.tiktokcdn.com%252Ftos-alisg-p-0037%252FooCeAlyePFPbNIUFQTED7WfCQHMLAqQADoyH0j~tplv-tiktokx-origin.jpeg%253Fdr%253D14572%2526refresh_token%253D4ee45672%2526x-expires%253D1810195200%"&amp;"2526x-signature%253DdDGO%25252B4IBfzTlhX3aKpTmIPnfIW4%25253D%2526t%253D4d5b0474%2526ps%253D13740610%2526shp%253Dd05b14bd%2526shcp%253D34ff8df6%2526idc%253Dmy2%2526s%253DTIKTOK_AFFILIATE_VIRAL_VIDEO%22%2C%22placeholder_product_id%22%3A%22172942776672272659"&amp;"1%22%2C%22placeholder_video_id%22%3A%227636216720394407175%22%7D&amp;ec_shared_reflux_scene=shop_tab_feed&amp;share_item_id=7636216720394407175&amp;source=h5_t")</f>
        <v>https://www.tiktok.com/@belanja_hemat.shop/video/7636216720394407175?_r=1&amp;u_code=ek6h2252jijmih&amp;region=&amp;mid=7517602699278453505&amp;preview_pb=0&amp;sharer_language=&amp;_d=0&amp;ec_shared_reflux_dynamic_params=%7B%22placeholder_material_id%22%3A%227636216720394407175%22%2C%22placeholder_origin_cover%22%3A%22https%253A%252F%252Fp16-common-sign.tiktokcdn.com%252Ftos-alisg-p-0037%252FooCeAlyePFPbNIUFQTED7WfCQHMLAqQADoyH0j~tplv-tiktokx-origin.jpeg%253Fdr%253D14572%2526refresh_token%253D4ee45672%2526x-expires%253D1810195200%2526x-signature%253DdDGO%25252B4IBfzTlhX3aKpTmIPnfIW4%25253D%2526t%253D4d5b0474%2526ps%253D13740610%2526shp%253Dd05b14bd%2526shcp%253D34ff8df6%2526idc%253Dmy2%2526s%253DTIKTOK_AFFILIATE_VIRAL_VIDEO%22%2C%22placeholder_product_id%22%3A%221729427766722726591%22%2C%22placeholder_video_id%22%3A%227636216720394407175%22%7D&amp;ec_shared_reflux_scene=shop_tab_feed&amp;share_item_id=7636216720394407175&amp;source=h5_t</v>
      </c>
      <c r="M758" s="464"/>
      <c r="N758" s="279" t="str">
        <f>IFERROR(__xludf.DUMMYFUNCTION("""COMPUTED_VALUE"""),"https://www.tiktok.com/@belanja_hemat.shop/video/7636380086702443784?_r=1&amp;u_code=ek6h2252jijmih&amp;region=&amp;mid=7399648575468079878&amp;preview_pb=0&amp;sharer_language=&amp;_d=0&amp;ec_shared_reflux_dynamic_params=%7B%22placeholder_material_id%22%3A%227636380086702443784%22"&amp;"%2C%22placeholder_origin_cover%22%3A%22https%253A%252F%252Fp16-common-sign.tiktokcdn.com%252Ftos-alisg-p-0037%252Fos3Bf0BMigkDf35cgR2QABPEF0uIIUCPgpODbi~tplv-tiktokx-origin.jpeg%253Fdr%253D14572%2526refresh_token%253Dbc3d35cd%2526x-expires%253D1810195200%"&amp;"2526x-signature%253D5hr9KpqfgcgXlg4fvK8BAKCN8WQ%25253D%2526t%253D4d5b0474%2526ps%253D13740610%2526shp%253Dd05b14bd%2526shcp%253D34ff8df6%2526idc%253Dmy2%2526s%253DTIKTOK_AFFILIATE_VIRAL_VIDEO%22%2C%22placeholder_product_id%22%3A%221729427766722726591%22%2"&amp;"C%22placeholder_video_id%22%3A%227636380086702443784%22%7D&amp;ec_shared_reflux_scene=shop_tab_feed&amp;share_item_id=7636380086702443784&amp;source=h5_t")</f>
        <v>https://www.tiktok.com/@belanja_hemat.shop/video/7636380086702443784?_r=1&amp;u_code=ek6h2252jijmih&amp;region=&amp;mid=7399648575468079878&amp;preview_pb=0&amp;sharer_language=&amp;_d=0&amp;ec_shared_reflux_dynamic_params=%7B%22placeholder_material_id%22%3A%227636380086702443784%22%2C%22placeholder_origin_cover%22%3A%22https%253A%252F%252Fp16-common-sign.tiktokcdn.com%252Ftos-alisg-p-0037%252Fos3Bf0BMigkDf35cgR2QABPEF0uIIUCPgpODbi~tplv-tiktokx-origin.jpeg%253Fdr%253D14572%2526refresh_token%253Dbc3d35cd%2526x-expires%253D1810195200%2526x-signature%253D5hr9KpqfgcgXlg4fvK8BAKCN8WQ%25253D%2526t%253D4d5b0474%2526ps%253D13740610%2526shp%253Dd05b14bd%2526shcp%253D34ff8df6%2526idc%253Dmy2%2526s%253DTIKTOK_AFFILIATE_VIRAL_VIDEO%22%2C%22placeholder_product_id%22%3A%221729427766722726591%22%2C%22placeholder_video_id%22%3A%227636380086702443784%22%7D&amp;ec_shared_reflux_scene=shop_tab_feed&amp;share_item_id=7636380086702443784&amp;source=h5_t</v>
      </c>
      <c r="O758" s="464"/>
      <c r="P758" s="279" t="str">
        <f>IFERROR(__xludf.DUMMYFUNCTION("""COMPUTED_VALUE"""),"https://www.tiktok.com/@belanja_hemat.shop/video/7636600700494990600?_d=0&amp;_r=1&amp;ec_shared_reflux_dynamic_params=%7B%22placeholder_material_id%22%3A%227636600700494990600%22%2C%22placeholder_origin_cover%22%3A%22https%253A%252F%252Fp16-common-sign.tiktokcdn"&amp;".com%252Ftos-alisg-p-0037%252FoU1rmXKIjQDAeox81nQGfeMTw8WWQDZUCA79T9~tplv-tiktokx-origin.jpeg%253Fdr%253D14572%2526refresh_token%253D229679a0%2526x-expires%253D1810195200%2526x-signature%253DwqLoLXvyYZune%25252FajjZ7NlD3jSRk%25253D%2526t%253D4d5b0474%2526"&amp;"ps%253D13740610%2526shp%253Dd05b14bd%2526shcp%253D34ff8df6%2526idc%253Dmy2%2526s%253DTIKTOK_AFFILIATE_VIRAL_VIDEO%22%2C%22placeholder_product_id%22%3A%221729427766722726591%22%2C%22placeholder_video_id%22%3A%227636600700494990600%22%7D&amp;ec_shared_reflux_sc"&amp;"ene=shop_tab_feed&amp;mid=7374714896766487301&amp;preview_pb=0&amp;region=&amp;share_item_id=7636600700494990600&amp;sharer_language=&amp;source=h5_t&amp;u_code=ek6h2252jijmih")</f>
        <v>https://www.tiktok.com/@belanja_hemat.shop/video/7636600700494990600?_d=0&amp;_r=1&amp;ec_shared_reflux_dynamic_params=%7B%22placeholder_material_id%22%3A%227636600700494990600%22%2C%22placeholder_origin_cover%22%3A%22https%253A%252F%252Fp16-common-sign.tiktokcdn.com%252Ftos-alisg-p-0037%252FoU1rmXKIjQDAeox81nQGfeMTw8WWQDZUCA79T9~tplv-tiktokx-origin.jpeg%253Fdr%253D14572%2526refresh_token%253D229679a0%2526x-expires%253D1810195200%2526x-signature%253DwqLoLXvyYZune%25252FajjZ7NlD3jSRk%25253D%2526t%253D4d5b0474%2526ps%253D13740610%2526shp%253Dd05b14bd%2526shcp%253D34ff8df6%2526idc%253Dmy2%2526s%253DTIKTOK_AFFILIATE_VIRAL_VIDEO%22%2C%22placeholder_product_id%22%3A%221729427766722726591%22%2C%22placeholder_video_id%22%3A%227636600700494990600%22%7D&amp;ec_shared_reflux_scene=shop_tab_feed&amp;mid=7374714896766487301&amp;preview_pb=0&amp;region=&amp;share_item_id=7636600700494990600&amp;sharer_language=&amp;source=h5_t&amp;u_code=ek6h2252jijmih</v>
      </c>
    </row>
    <row r="759">
      <c r="A759" s="255" t="str">
        <f>IFERROR(__xludf.DUMMYFUNCTION("""COMPUTED_VALUE"""),"MICRO")</f>
        <v>MICRO</v>
      </c>
      <c r="B759" s="361" t="str">
        <f>IFERROR(__xludf.DUMMYFUNCTION("""COMPUTED_VALUE"""),"bundakabarinews")</f>
        <v>bundakabarinews</v>
      </c>
      <c r="C759" s="257" t="str">
        <f>IFERROR(__xludf.DUMMYFUNCTION("""COMPUTED_VALUE"""),"https://www.tiktok.com/@bundakabarinews")</f>
        <v>https://www.tiktok.com/@bundakabarinews</v>
      </c>
      <c r="D759" s="270">
        <f>IFERROR(__xludf.DUMMYFUNCTION("""COMPUTED_VALUE"""),8.2281743095E10)</f>
        <v>82281743095</v>
      </c>
      <c r="E759" s="457">
        <f>IFERROR(__xludf.DUMMYFUNCTION("""COMPUTED_VALUE"""),0.0)</f>
        <v>0</v>
      </c>
      <c r="F759" s="270">
        <f>IFERROR(__xludf.DUMMYFUNCTION("""COMPUTED_VALUE"""),4.0)</f>
        <v>4</v>
      </c>
      <c r="G759" s="17" t="str">
        <f>IFERROR(__xludf.DUMMYFUNCTION("""COMPUTED_VALUE"""),"Sabun batang 1 Box ( 2 PCS )")</f>
        <v>Sabun batang 1 Box ( 2 PCS )</v>
      </c>
      <c r="H759" s="463" t="str">
        <f>IFERROR(__xludf.DUMMYFUNCTION("""COMPUTED_VALUE"""),"Sampai")</f>
        <v>Sampai</v>
      </c>
      <c r="I759" s="464" t="str">
        <f>IFERROR(__xludf.DUMMYFUNCTION("""COMPUTED_VALUE"""),"KIMME")</f>
        <v>KIMME</v>
      </c>
      <c r="J759" s="17" t="str">
        <f>IFERROR(__xludf.DUMMYFUNCTION("""COMPUTED_VALUE"""),"⁠https://vt.tiktok.com/ZS9NQPduL/")</f>
        <v>⁠https://vt.tiktok.com/ZS9NQPduL/</v>
      </c>
      <c r="K759" s="464" t="str">
        <f>IFERROR(__xludf.DUMMYFUNCTION("""COMPUTED_VALUE"""),"KIMME")</f>
        <v>KIMME</v>
      </c>
      <c r="L759" s="17" t="str">
        <f>IFERROR(__xludf.DUMMYFUNCTION("""COMPUTED_VALUE"""),"⁠https://vt.tiktok.com/ZS9NQQseT/")</f>
        <v>⁠https://vt.tiktok.com/ZS9NQQseT/</v>
      </c>
      <c r="M759" s="464"/>
      <c r="N759" s="279" t="str">
        <f>IFERROR(__xludf.DUMMYFUNCTION("""COMPUTED_VALUE"""),"https://vt.tiktok.com/ZS9NQQLfX/")</f>
        <v>https://vt.tiktok.com/ZS9NQQLfX/</v>
      </c>
      <c r="O759" s="464"/>
      <c r="P759" s="279" t="str">
        <f>IFERROR(__xludf.DUMMYFUNCTION("""COMPUTED_VALUE"""),"https://vt.tiktok.com/ZS9NQx6cn/")</f>
        <v>https://vt.tiktok.com/ZS9NQx6cn/</v>
      </c>
    </row>
    <row r="760">
      <c r="A760" s="255" t="str">
        <f>IFERROR(__xludf.DUMMYFUNCTION("""COMPUTED_VALUE"""),"MICRO")</f>
        <v>MICRO</v>
      </c>
      <c r="B760" s="361" t="str">
        <f>IFERROR(__xludf.DUMMYFUNCTION("""COMPUTED_VALUE"""),"nanadd0.7 ")</f>
        <v>nanadd0.7 </v>
      </c>
      <c r="C760" s="257" t="str">
        <f>IFERROR(__xludf.DUMMYFUNCTION("""COMPUTED_VALUE"""),"https://www.tiktok.com/@nanadd0.7 ")</f>
        <v>https://www.tiktok.com/@nanadd0.7 </v>
      </c>
      <c r="D760" s="270">
        <f>IFERROR(__xludf.DUMMYFUNCTION("""COMPUTED_VALUE"""),8.317583747E10)</f>
        <v>83175837470</v>
      </c>
      <c r="E760" s="457">
        <f>IFERROR(__xludf.DUMMYFUNCTION("""COMPUTED_VALUE"""),0.0)</f>
        <v>0</v>
      </c>
      <c r="F760" s="270">
        <f>IFERROR(__xludf.DUMMYFUNCTION("""COMPUTED_VALUE"""),4.0)</f>
        <v>4</v>
      </c>
      <c r="G760" s="17" t="str">
        <f>IFERROR(__xludf.DUMMYFUNCTION("""COMPUTED_VALUE"""),"Sabun batang 1 Box ( 2 PCS )")</f>
        <v>Sabun batang 1 Box ( 2 PCS )</v>
      </c>
      <c r="H760" s="463" t="str">
        <f>IFERROR(__xludf.DUMMYFUNCTION("""COMPUTED_VALUE"""),"Sampai")</f>
        <v>Sampai</v>
      </c>
      <c r="I760" s="464" t="str">
        <f>IFERROR(__xludf.DUMMYFUNCTION("""COMPUTED_VALUE"""),"KIMME")</f>
        <v>KIMME</v>
      </c>
      <c r="J760" s="279" t="str">
        <f>IFERROR(__xludf.DUMMYFUNCTION("""COMPUTED_VALUE"""),"https://www.tiktok.com/@belanja_hemat.shop/video/7639288466890591495?_r=1&amp;u_code=ek6h2252jijmih&amp;region=&amp;mid=7633305049822251796&amp;preview_pb=0&amp;sharer_language=&amp;_d=0&amp;ec_shared_reflux_dynamic_params=%7B%22placeholder_material_id%22%3A%227639288466890591495%22"&amp;"%2C%22placeholder_origin_cover%22%3A%22https%253A%252F%252Fp16-common-sign.tiktokcdn.com%252Ftos-alisg-p-0037%252FowaERDfcqIUHEqBuNBBFhwREIaDCwhAZPgfaG5~tplv-tiktokx-origin.jpeg%253Fdr%253D14572%2526refresh_token%253D50cf894b%2526x-expires%253D1810195200%"&amp;"2526x-signature%253DSP4Y3rwJOBEWg5%25252BAcRzs8TnM8%25252Fk%25253D%2526t%253D4d5b0474%2526ps%253D13740610%2526shp%253Dd05b14bd%2526shcp%253D34ff8df6%2526idc%253Dmy2%2526s%253DTIKTOK_AFFILIATE_VIRAL_VIDEO%22%2C%22placeholder_product_id%22%3A%22172942776672"&amp;"2726591%22%2C%22placeholder_video_id%22%3A%227639288466890591495%22%7D&amp;ec_shared_reflux_scene=shop_tab_feed&amp;share_item_id=7639288466890591495&amp;source=h5_t")</f>
        <v>https://www.tiktok.com/@belanja_hemat.shop/video/7639288466890591495?_r=1&amp;u_code=ek6h2252jijmih&amp;region=&amp;mid=7633305049822251796&amp;preview_pb=0&amp;sharer_language=&amp;_d=0&amp;ec_shared_reflux_dynamic_params=%7B%22placeholder_material_id%22%3A%227639288466890591495%22%2C%22placeholder_origin_cover%22%3A%22https%253A%252F%252Fp16-common-sign.tiktokcdn.com%252Ftos-alisg-p-0037%252FowaERDfcqIUHEqBuNBBFhwREIaDCwhAZPgfaG5~tplv-tiktokx-origin.jpeg%253Fdr%253D14572%2526refresh_token%253D50cf894b%2526x-expires%253D1810195200%2526x-signature%253DSP4Y3rwJOBEWg5%25252BAcRzs8TnM8%25252Fk%25253D%2526t%253D4d5b0474%2526ps%253D13740610%2526shp%253Dd05b14bd%2526shcp%253D34ff8df6%2526idc%253Dmy2%2526s%253DTIKTOK_AFFILIATE_VIRAL_VIDEO%22%2C%22placeholder_product_id%22%3A%221729427766722726591%22%2C%22placeholder_video_id%22%3A%227639288466890591495%22%7D&amp;ec_shared_reflux_scene=shop_tab_feed&amp;share_item_id=7639288466890591495&amp;source=h5_t</v>
      </c>
      <c r="K760" s="464" t="str">
        <f>IFERROR(__xludf.DUMMYFUNCTION("""COMPUTED_VALUE"""),"KIMME")</f>
        <v>KIMME</v>
      </c>
      <c r="L760" s="279" t="str">
        <f>IFERROR(__xludf.DUMMYFUNCTION("""COMPUTED_VALUE"""),"https://www.tiktok.com/@belanja_hemat.shop/video/7637387785464319250?_r=1&amp;u_code=ek6h2252jijmih&amp;region=&amp;mid=7630057748353551122&amp;preview_pb=0&amp;sharer_language=&amp;_d=0&amp;ec_shared_reflux_dynamic_params=%7B%22placeholder_material_id%22%3A%227637387785464319250%22"&amp;"%2C%22placeholder_origin_cover%22%3A%22https%253A%252F%252Fp16-common-sign.tiktokcdn.com%252Ftos-alisg-p-0037%252FoEjX8PA1bE7K7RSTAeCrIcI9fOITlCDo1D2jfF~tplv-tiktokx-origin.jpeg%253Fdr%253D14572%2526refresh_token%253D0b641651%2526x-expires%253D1810195200%"&amp;"2526x-signature%253DdczWE3FdNVzSy4%25252FScX7gUap%25252FRIY%25253D%2526t%253D4d5b0474%2526ps%253D13740610%2526shp%253Dd05b14bd%2526shcp%253D34ff8df6%2526idc%253Dmy2%2526s%253DTIKTOK_AFFILIATE_VIRAL_VIDEO%22%2C%22placeholder_product_id%22%3A%22172942776672"&amp;"2726591%22%2C%22placeholder_video_id%22%3A%227637387785464319250%22%7D&amp;ec_shared_reflux_scene=shop_tab_feed&amp;share_item_id=7637387785464319250&amp;source=h5_t")</f>
        <v>https://www.tiktok.com/@belanja_hemat.shop/video/7637387785464319250?_r=1&amp;u_code=ek6h2252jijmih&amp;region=&amp;mid=7630057748353551122&amp;preview_pb=0&amp;sharer_language=&amp;_d=0&amp;ec_shared_reflux_dynamic_params=%7B%22placeholder_material_id%22%3A%227637387785464319250%22%2C%22placeholder_origin_cover%22%3A%22https%253A%252F%252Fp16-common-sign.tiktokcdn.com%252Ftos-alisg-p-0037%252FoEjX8PA1bE7K7RSTAeCrIcI9fOITlCDo1D2jfF~tplv-tiktokx-origin.jpeg%253Fdr%253D14572%2526refresh_token%253D0b641651%2526x-expires%253D1810195200%2526x-signature%253DdczWE3FdNVzSy4%25252FScX7gUap%25252FRIY%25253D%2526t%253D4d5b0474%2526ps%253D13740610%2526shp%253Dd05b14bd%2526shcp%253D34ff8df6%2526idc%253Dmy2%2526s%253DTIKTOK_AFFILIATE_VIRAL_VIDEO%22%2C%22placeholder_product_id%22%3A%221729427766722726591%22%2C%22placeholder_video_id%22%3A%227637387785464319250%22%7D&amp;ec_shared_reflux_scene=shop_tab_feed&amp;share_item_id=7637387785464319250&amp;source=h5_t</v>
      </c>
      <c r="M760" s="464"/>
      <c r="N760" s="279" t="str">
        <f>IFERROR(__xludf.DUMMYFUNCTION("""COMPUTED_VALUE"""),"https://www.tiktok.com/@belanja_hemat.shop/video/7637074024111099143?_r=1&amp;u_code=ek6h2252jijmih&amp;region=&amp;mid=7600985143288843016&amp;preview_pb=0&amp;sharer_language=&amp;_d=0&amp;ec_shared_reflux_dynamic_params=%7B%22placeholder_material_id%22%3A%227637074024111099143%22"&amp;"%2C%22placeholder_origin_cover%22%3A%22https%253A%252F%252Fp16-common-sign.tiktokcdn.com%252Ftos-alisg-p-0037%252FoQPIUIVngAs7Bv1IRifXipBBUyfqbiEKmCDnB8~tplv-tiktokx-origin.jpeg%253Fdr%253D14572%2526refresh_token%253D36a91460%2526x-expires%253D1810195200%"&amp;"2526x-signature%253D1jTyohUztbKgEZh1QNBzsogYA8Y%25253D%2526t%253D4d5b0474%2526ps%253D13740610%2526shp%253Dd05b14bd%2526shcp%253D34ff8df6%2526idc%253Dmy2%2526s%253DTIKTOK_AFFILIATE_VIRAL_VIDEO%22%2C%22placeholder_product_id%22%3A%221729427766722726591%22%2"&amp;"C%22placeholder_video_id%22%3A%227637074024111099143%22%7D&amp;ec_shared_reflux_scene=shop_tab_feed&amp;share_item_id=7637074024111099143&amp;source=h5_t")</f>
        <v>https://www.tiktok.com/@belanja_hemat.shop/video/7637074024111099143?_r=1&amp;u_code=ek6h2252jijmih&amp;region=&amp;mid=7600985143288843016&amp;preview_pb=0&amp;sharer_language=&amp;_d=0&amp;ec_shared_reflux_dynamic_params=%7B%22placeholder_material_id%22%3A%227637074024111099143%22%2C%22placeholder_origin_cover%22%3A%22https%253A%252F%252Fp16-common-sign.tiktokcdn.com%252Ftos-alisg-p-0037%252FoQPIUIVngAs7Bv1IRifXipBBUyfqbiEKmCDnB8~tplv-tiktokx-origin.jpeg%253Fdr%253D14572%2526refresh_token%253D36a91460%2526x-expires%253D1810195200%2526x-signature%253D1jTyohUztbKgEZh1QNBzsogYA8Y%25253D%2526t%253D4d5b0474%2526ps%253D13740610%2526shp%253Dd05b14bd%2526shcp%253D34ff8df6%2526idc%253Dmy2%2526s%253DTIKTOK_AFFILIATE_VIRAL_VIDEO%22%2C%22placeholder_product_id%22%3A%221729427766722726591%22%2C%22placeholder_video_id%22%3A%227637074024111099143%22%7D&amp;ec_shared_reflux_scene=shop_tab_feed&amp;share_item_id=7637074024111099143&amp;source=h5_t</v>
      </c>
      <c r="O760" s="464"/>
      <c r="P760" s="279" t="str">
        <f>IFERROR(__xludf.DUMMYFUNCTION("""COMPUTED_VALUE"""),"https://www.tiktok.com/@belanja_hemat.shop/video/7636811531744840978?_r=1&amp;u_code=ek6h2252jijmih&amp;region=&amp;mid=7621812179385256711&amp;preview_pb=0&amp;sharer_language=&amp;_d=0&amp;ec_shared_reflux_dynamic_params=%7B%22placeholder_material_id%22%3A%227636811531744840978%22"&amp;"%2C%22placeholder_origin_cover%22%3A%22https%253A%252F%252Fp16-common-sign.tiktokcdn.com%252Ftos-alisg-p-0037%252Fo0e9DfkKIEXoI6ZfWCTAFCr7IrjsAVlbzDZlG6~tplv-tiktokx-origin.jpeg%253Fdr%253D14572%2526refresh_token%253D724a65a3%2526x-expires%253D1810195200%"&amp;"2526x-signature%253DRXOPR2zpsCFMB4sgbfOCY8Ihjmc%25253D%2526t%253D4d5b0474%2526ps%253D13740610%2526shp%253Dd05b14bd%2526shcp%253D34ff8df6%2526idc%253Dmy2%2526s%253DTIKTOK_AFFILIATE_VIRAL_VIDEO%22%2C%22placeholder_product_id%22%3A%221729427766722726591%22%2"&amp;"C%22placeholder_video_id%22%3A%227636811531744840978%22%7D&amp;ec_shared_reflux_scene=shop_tab_feed&amp;share_item_id=7636811531744840978&amp;source=h5_t")</f>
        <v>https://www.tiktok.com/@belanja_hemat.shop/video/7636811531744840978?_r=1&amp;u_code=ek6h2252jijmih&amp;region=&amp;mid=7621812179385256711&amp;preview_pb=0&amp;sharer_language=&amp;_d=0&amp;ec_shared_reflux_dynamic_params=%7B%22placeholder_material_id%22%3A%227636811531744840978%22%2C%22placeholder_origin_cover%22%3A%22https%253A%252F%252Fp16-common-sign.tiktokcdn.com%252Ftos-alisg-p-0037%252Fo0e9DfkKIEXoI6ZfWCTAFCr7IrjsAVlbzDZlG6~tplv-tiktokx-origin.jpeg%253Fdr%253D14572%2526refresh_token%253D724a65a3%2526x-expires%253D1810195200%2526x-signature%253DRXOPR2zpsCFMB4sgbfOCY8Ihjmc%25253D%2526t%253D4d5b0474%2526ps%253D13740610%2526shp%253Dd05b14bd%2526shcp%253D34ff8df6%2526idc%253Dmy2%2526s%253DTIKTOK_AFFILIATE_VIRAL_VIDEO%22%2C%22placeholder_product_id%22%3A%221729427766722726591%22%2C%22placeholder_video_id%22%3A%227636811531744840978%22%7D&amp;ec_shared_reflux_scene=shop_tab_feed&amp;share_item_id=7636811531744840978&amp;source=h5_t</v>
      </c>
    </row>
    <row r="761">
      <c r="A761" s="255" t="str">
        <f>IFERROR(__xludf.DUMMYFUNCTION("""COMPUTED_VALUE"""),"MICRO")</f>
        <v>MICRO</v>
      </c>
      <c r="B761" s="361" t="str">
        <f>IFERROR(__xludf.DUMMYFUNCTION("""COMPUTED_VALUE"""),"erhen02")</f>
        <v>erhen02</v>
      </c>
      <c r="C761" s="257" t="str">
        <f>IFERROR(__xludf.DUMMYFUNCTION("""COMPUTED_VALUE"""),"https://www.tiktok.com/@erhen02")</f>
        <v>https://www.tiktok.com/@erhen02</v>
      </c>
      <c r="D761" s="270">
        <f>IFERROR(__xludf.DUMMYFUNCTION("""COMPUTED_VALUE"""),8.563672262E9)</f>
        <v>8563672262</v>
      </c>
      <c r="E761" s="457">
        <f>IFERROR(__xludf.DUMMYFUNCTION("""COMPUTED_VALUE"""),0.0)</f>
        <v>0</v>
      </c>
      <c r="F761" s="270">
        <f>IFERROR(__xludf.DUMMYFUNCTION("""COMPUTED_VALUE"""),4.0)</f>
        <v>4</v>
      </c>
      <c r="G761" s="17" t="str">
        <f>IFERROR(__xludf.DUMMYFUNCTION("""COMPUTED_VALUE"""),"Sabun batang 1 Box ( 2 PCS )")</f>
        <v>Sabun batang 1 Box ( 2 PCS )</v>
      </c>
      <c r="H761" s="463" t="str">
        <f>IFERROR(__xludf.DUMMYFUNCTION("""COMPUTED_VALUE"""),"Sampai")</f>
        <v>Sampai</v>
      </c>
      <c r="I761" s="464" t="str">
        <f>IFERROR(__xludf.DUMMYFUNCTION("""COMPUTED_VALUE"""),"KIMME")</f>
        <v>KIMME</v>
      </c>
      <c r="J761" s="279" t="str">
        <f>IFERROR(__xludf.DUMMYFUNCTION("""COMPUTED_VALUE"""),"https://vt.tiktok.com/ZSxAaHNVN/")</f>
        <v>https://vt.tiktok.com/ZSxAaHNVN/</v>
      </c>
      <c r="K761" s="464" t="str">
        <f>IFERROR(__xludf.DUMMYFUNCTION("""COMPUTED_VALUE"""),"KIMME")</f>
        <v>KIMME</v>
      </c>
      <c r="L761" s="279" t="str">
        <f>IFERROR(__xludf.DUMMYFUNCTION("""COMPUTED_VALUE"""),"https://vt.tiktok.com/ZSxSxwAcF/")</f>
        <v>https://vt.tiktok.com/ZSxSxwAcF/</v>
      </c>
      <c r="M761" s="464"/>
      <c r="N761" s="279" t="str">
        <f>IFERROR(__xludf.DUMMYFUNCTION("""COMPUTED_VALUE"""),"https://vt.tiktok.com/ZSxAaBo7k/")</f>
        <v>https://vt.tiktok.com/ZSxAaBo7k/</v>
      </c>
      <c r="O761" s="464"/>
      <c r="P761" s="279" t="str">
        <f>IFERROR(__xludf.DUMMYFUNCTION("""COMPUTED_VALUE"""),"https://vt.tiktok.com/ZSxSxw8wY/")</f>
        <v>https://vt.tiktok.com/ZSxSxw8wY/</v>
      </c>
    </row>
    <row r="762">
      <c r="A762" s="255" t="str">
        <f>IFERROR(__xludf.DUMMYFUNCTION("""COMPUTED_VALUE"""),"MICRO")</f>
        <v>MICRO</v>
      </c>
      <c r="B762" s="361" t="str">
        <f>IFERROR(__xludf.DUMMYFUNCTION("""COMPUTED_VALUE"""),"indahpuspita0101")</f>
        <v>indahpuspita0101</v>
      </c>
      <c r="C762" s="257" t="str">
        <f>IFERROR(__xludf.DUMMYFUNCTION("""COMPUTED_VALUE"""),"https://www.tiktok.com/@indahpuspita0101")</f>
        <v>https://www.tiktok.com/@indahpuspita0101</v>
      </c>
      <c r="D762" s="270">
        <f>IFERROR(__xludf.DUMMYFUNCTION("""COMPUTED_VALUE"""),8.5645622595E10)</f>
        <v>85645622595</v>
      </c>
      <c r="E762" s="457">
        <f>IFERROR(__xludf.DUMMYFUNCTION("""COMPUTED_VALUE"""),0.0)</f>
        <v>0</v>
      </c>
      <c r="F762" s="270">
        <f>IFERROR(__xludf.DUMMYFUNCTION("""COMPUTED_VALUE"""),4.0)</f>
        <v>4</v>
      </c>
      <c r="G762" s="17" t="str">
        <f>IFERROR(__xludf.DUMMYFUNCTION("""COMPUTED_VALUE"""),"Sabun batang 1 Box ( 2 PCS )")</f>
        <v>Sabun batang 1 Box ( 2 PCS )</v>
      </c>
      <c r="H762" s="463" t="str">
        <f>IFERROR(__xludf.DUMMYFUNCTION("""COMPUTED_VALUE"""),"Sampai")</f>
        <v>Sampai</v>
      </c>
      <c r="I762" s="464" t="str">
        <f>IFERROR(__xludf.DUMMYFUNCTION("""COMPUTED_VALUE"""),"KIMME")</f>
        <v>KIMME</v>
      </c>
      <c r="J762" s="279" t="str">
        <f>IFERROR(__xludf.DUMMYFUNCTION("""COMPUTED_VALUE"""),"https://www.tiktok.com/@byliyah/video/7632586338457406738?_r=1&amp;u_code=dj0c9igeb6ei5f&amp;region=&amp;mid=7614441852116290311&amp;preview_pb=0&amp;sharer_language=&amp;_d=0&amp;ec_shared_reflux_dynamic_params=%7B%22placeholder_material_id%22%3A%227632586338457406738%22%2C%22place"&amp;"holder_origin_cover%22%3A%22https%253A%252F%252Fp16-common-sign.tiktokcdn.com%252Ftos-alisg-p-0037%252FocQ1BentGDbTL1fI9sIZMgIN2C4IeuSAG6jobA~tplv-tiktokx-origin.jpeg%253Fdr%253D14572%2526refresh_token%253D4ef7744e%2526x-expires%253D1810119600%2526x-signa"&amp;"ture%253DKf0MpZqhHAL%25252BhON%25252FfEU7W%25252FrI8kU%25253D%2526t%253D4d5b0474%2526ps%253D13740610%2526shp%253Dd05b14bd%2526shcp%253D34ff8df6%2526idc%253Dmy2%2526s%253DTIKTOK_AFFILIATE_VIRAL_VIDEO%22%2C%22placeholder_product_id%22%3A%2217294277667227265"&amp;"91%22%2C%22placeholder_video_id%22%3A%227632586338457406738%22%7D&amp;ec_shared_reflux_scene=shop_tab_feed&amp;share_item_id=7632586338457406738&amp;source=h5_t")</f>
        <v>https://www.tiktok.com/@byliyah/video/7632586338457406738?_r=1&amp;u_code=dj0c9igeb6ei5f&amp;region=&amp;mid=7614441852116290311&amp;preview_pb=0&amp;sharer_language=&amp;_d=0&amp;ec_shared_reflux_dynamic_params=%7B%22placeholder_material_id%22%3A%227632586338457406738%22%2C%22placeholder_origin_cover%22%3A%22https%253A%252F%252Fp16-common-sign.tiktokcdn.com%252Ftos-alisg-p-0037%252FocQ1BentGDbTL1fI9sIZMgIN2C4IeuSAG6jobA~tplv-tiktokx-origin.jpeg%253Fdr%253D14572%2526refresh_token%253D4ef7744e%2526x-expires%253D1810119600%2526x-signature%253DKf0MpZqhHAL%25252BhON%25252FfEU7W%25252FrI8kU%25253D%2526t%253D4d5b0474%2526ps%253D13740610%2526shp%253Dd05b14bd%2526shcp%253D34ff8df6%2526idc%253Dmy2%2526s%253DTIKTOK_AFFILIATE_VIRAL_VIDEO%22%2C%22placeholder_product_id%22%3A%221729427766722726591%22%2C%22placeholder_video_id%22%3A%227632586338457406738%22%7D&amp;ec_shared_reflux_scene=shop_tab_feed&amp;share_item_id=7632586338457406738&amp;source=h5_t</v>
      </c>
      <c r="K762" s="464" t="str">
        <f>IFERROR(__xludf.DUMMYFUNCTION("""COMPUTED_VALUE"""),"KIMME")</f>
        <v>KIMME</v>
      </c>
      <c r="L762" s="279" t="str">
        <f>IFERROR(__xludf.DUMMYFUNCTION("""COMPUTED_VALUE"""),"https://www.tiktok.com/@rositaramdani7/video/7635255728080440583?_r=1&amp;u_code=f1489jb4bi84e9&amp;region=&amp;mid=7630089414953306898&amp;preview_pb=0&amp;sharer_language=&amp;_d=0&amp;ec_shared_reflux_dynamic_params=%7B%22placeholder_material_id%22%3A%227635255728080440583%22%2C%"&amp;"22placeholder_origin_cover%22%3A%22https%253A%252F%252Fp16-common-sign.tiktokcdn.com%252Ftos-alisg-p-0037%252Fo41cwfBCaI0LijAgauvAIDVCKyFi4XCpAiAccI~tplv-tiktokx-origin.jpeg%253Fdr%253D14572%2526refresh_token%253Dbd284436%2526x-expires%253D1810195200%2526"&amp;"x-signature%253D83TOOxKScyqJu%25252FlHk1VRrMg7JYo%25253D%2526t%253D4d5b0474%2526ps%253D13740610%2526shp%253Dd05b14bd%2526shcp%253D34ff8df6%2526idc%253Dmy2%2526s%253DTIKTOK_AFFILIATE_VIRAL_VIDEO%22%2C%22placeholder_product_id%22%3A%221729427766722726591%22"&amp;"%2C%22placeholder_video_id%22%3A%227635255728080440583%22%7D&amp;ec_shared_reflux_scene=shop_tab_feed&amp;share_item_id=7635255728080440583&amp;source=h5_t")</f>
        <v>https://www.tiktok.com/@rositaramdani7/video/7635255728080440583?_r=1&amp;u_code=f1489jb4bi84e9&amp;region=&amp;mid=7630089414953306898&amp;preview_pb=0&amp;sharer_language=&amp;_d=0&amp;ec_shared_reflux_dynamic_params=%7B%22placeholder_material_id%22%3A%227635255728080440583%22%2C%22placeholder_origin_cover%22%3A%22https%253A%252F%252Fp16-common-sign.tiktokcdn.com%252Ftos-alisg-p-0037%252Fo41cwfBCaI0LijAgauvAIDVCKyFi4XCpAiAccI~tplv-tiktokx-origin.jpeg%253Fdr%253D14572%2526refresh_token%253Dbd284436%2526x-expires%253D1810195200%2526x-signature%253D83TOOxKScyqJu%25252FlHk1VRrMg7JYo%25253D%2526t%253D4d5b0474%2526ps%253D13740610%2526shp%253Dd05b14bd%2526shcp%253D34ff8df6%2526idc%253Dmy2%2526s%253DTIKTOK_AFFILIATE_VIRAL_VIDEO%22%2C%22placeholder_product_id%22%3A%221729427766722726591%22%2C%22placeholder_video_id%22%3A%227635255728080440583%22%7D&amp;ec_shared_reflux_scene=shop_tab_feed&amp;share_item_id=7635255728080440583&amp;source=h5_t</v>
      </c>
      <c r="M762" s="464"/>
      <c r="N762" s="279" t="str">
        <f>IFERROR(__xludf.DUMMYFUNCTION("""COMPUTED_VALUE"""),"https://www.tiktok.com/@alwayzika56/video/7639007419879755016?_r=1&amp;u_code=dm5512gkaak88g&amp;region=&amp;mid=7628927071062493200&amp;preview_pb=0&amp;sharer_language=&amp;_d=0&amp;ec_shared_reflux_dynamic_params=%7B%22placeholder_material_id%22%3A%227639007419879755016%22%2C%22p"&amp;"laceholder_origin_cover%22%3A%22https%253A%252F%252Fp16-common-sign.tiktokcdn.com%252Ftos-alisg-p-0037%252FosDk9dBRGIeAMQ5eeMIB2WGoRJSLIGfNFAKLND~tplv-tiktokx-origin.jpeg%253Fdr%253D14572%2526refresh_token%253Da5ccf9a5%2526x-expires%253D1810195200%2526x-s"&amp;"ignature%253Dj7HF20K2dQOdMyyvNs5pyjBi3gw%25253D%2526t%253D4d5b0474%2526ps%253D13740610%2526shp%253Dd05b14bd%2526shcp%253D34ff8df6%2526idc%253Dmy2%2526s%253DTIKTOK_AFFILIATE_VIRAL_VIDEO%22%2C%22placeholder_product_id%22%3A%221729427766722726591%22%2C%22pla"&amp;"ceholder_video_id%22%3A%227639007419879755016%22%7D&amp;ec_shared_reflux_scene=shop_tab_feed&amp;share_item_id=7639007419879755016&amp;source=h5_t")</f>
        <v>https://www.tiktok.com/@alwayzika56/video/7639007419879755016?_r=1&amp;u_code=dm5512gkaak88g&amp;region=&amp;mid=7628927071062493200&amp;preview_pb=0&amp;sharer_language=&amp;_d=0&amp;ec_shared_reflux_dynamic_params=%7B%22placeholder_material_id%22%3A%227639007419879755016%22%2C%22placeholder_origin_cover%22%3A%22https%253A%252F%252Fp16-common-sign.tiktokcdn.com%252Ftos-alisg-p-0037%252FosDk9dBRGIeAMQ5eeMIB2WGoRJSLIGfNFAKLND~tplv-tiktokx-origin.jpeg%253Fdr%253D14572%2526refresh_token%253Da5ccf9a5%2526x-expires%253D1810195200%2526x-signature%253Dj7HF20K2dQOdMyyvNs5pyjBi3gw%25253D%2526t%253D4d5b0474%2526ps%253D13740610%2526shp%253Dd05b14bd%2526shcp%253D34ff8df6%2526idc%253Dmy2%2526s%253DTIKTOK_AFFILIATE_VIRAL_VIDEO%22%2C%22placeholder_product_id%22%3A%221729427766722726591%22%2C%22placeholder_video_id%22%3A%227639007419879755016%22%7D&amp;ec_shared_reflux_scene=shop_tab_feed&amp;share_item_id=7639007419879755016&amp;source=h5_t</v>
      </c>
      <c r="O762" s="464"/>
      <c r="P762" s="279" t="str">
        <f>IFERROR(__xludf.DUMMYFUNCTION("""COMPUTED_VALUE"""),"https://www.tiktok.com/@annisaistiqomahh1/video/7639249862579588372?_r=1&amp;u_code=d8i26fa18b5a65&amp;region=&amp;mid=7620121223112624910&amp;preview_pb=0&amp;sharer_language=&amp;_d=0&amp;ec_shared_reflux_dynamic_params=%7B%22placeholder_material_id%22%3A%227639249862579588372%22%"&amp;"2C%22placeholder_origin_cover%22%3A%22https%253A%252F%252Fp16-common-sign.tiktokcdn.com%252Ftos-alisg-p-0037%252FoQAABUXE9E1IfAdbxgBgZIbCuAEIiiiw3qoCpq~tplv-tiktokx-origin.jpeg%253Fdr%253D14572%2526refresh_token%253Dc084766e%2526x-expires%253D1810195200%2"&amp;"526x-signature%253DabH%25252BW0uWI0LQFHx0ZV1KaHNV2G0%25253D%2526t%253D4d5b0474%2526ps%253D13740610%2526shp%253Dd05b14bd%2526shcp%253D34ff8df6%2526idc%253Dmy2%2526s%253DTIKTOK_AFFILIATE_VIRAL_VIDEO%22%2C%22placeholder_product_id%22%3A%221729427766722726591"&amp;"%22%2C%22placeholder_video_id%22%3A%227639249862579588372%22%7D&amp;ec_shared_reflux_scene=shop_tab_feed&amp;share_item_id=7639249862579588372&amp;source=h5_t")</f>
        <v>https://www.tiktok.com/@annisaistiqomahh1/video/7639249862579588372?_r=1&amp;u_code=d8i26fa18b5a65&amp;region=&amp;mid=7620121223112624910&amp;preview_pb=0&amp;sharer_language=&amp;_d=0&amp;ec_shared_reflux_dynamic_params=%7B%22placeholder_material_id%22%3A%227639249862579588372%22%2C%22placeholder_origin_cover%22%3A%22https%253A%252F%252Fp16-common-sign.tiktokcdn.com%252Ftos-alisg-p-0037%252FoQAABUXE9E1IfAdbxgBgZIbCuAEIiiiw3qoCpq~tplv-tiktokx-origin.jpeg%253Fdr%253D14572%2526refresh_token%253Dc084766e%2526x-expires%253D1810195200%2526x-signature%253DabH%25252BW0uWI0LQFHx0ZV1KaHNV2G0%25253D%2526t%253D4d5b0474%2526ps%253D13740610%2526shp%253Dd05b14bd%2526shcp%253D34ff8df6%2526idc%253Dmy2%2526s%253DTIKTOK_AFFILIATE_VIRAL_VIDEO%22%2C%22placeholder_product_id%22%3A%221729427766722726591%22%2C%22placeholder_video_id%22%3A%227639249862579588372%22%7D&amp;ec_shared_reflux_scene=shop_tab_feed&amp;share_item_id=7639249862579588372&amp;source=h5_t</v>
      </c>
    </row>
    <row r="763">
      <c r="A763" s="255" t="str">
        <f>IFERROR(__xludf.DUMMYFUNCTION("""COMPUTED_VALUE"""),"MICRO")</f>
        <v>MICRO</v>
      </c>
      <c r="B763" s="361" t="str">
        <f>IFERROR(__xludf.DUMMYFUNCTION("""COMPUTED_VALUE"""),"by,ciicii")</f>
        <v>by,ciicii</v>
      </c>
      <c r="C763" s="257" t="str">
        <f>IFERROR(__xludf.DUMMYFUNCTION("""COMPUTED_VALUE"""),"https://www.tiktok.com/@by,ciicii")</f>
        <v>https://www.tiktok.com/@by,ciicii</v>
      </c>
      <c r="D763" s="270">
        <f>IFERROR(__xludf.DUMMYFUNCTION("""COMPUTED_VALUE"""),8.95336319394E11)</f>
        <v>895336319394</v>
      </c>
      <c r="E763" s="457">
        <f>IFERROR(__xludf.DUMMYFUNCTION("""COMPUTED_VALUE"""),0.0)</f>
        <v>0</v>
      </c>
      <c r="F763" s="270">
        <f>IFERROR(__xludf.DUMMYFUNCTION("""COMPUTED_VALUE"""),4.0)</f>
        <v>4</v>
      </c>
      <c r="G763" s="17" t="str">
        <f>IFERROR(__xludf.DUMMYFUNCTION("""COMPUTED_VALUE"""),"Sabun batang 1 Box ( 2 PCS )")</f>
        <v>Sabun batang 1 Box ( 2 PCS )</v>
      </c>
      <c r="H763" s="463" t="str">
        <f>IFERROR(__xludf.DUMMYFUNCTION("""COMPUTED_VALUE"""),"Sampai")</f>
        <v>Sampai</v>
      </c>
      <c r="I763" s="464" t="str">
        <f>IFERROR(__xludf.DUMMYFUNCTION("""COMPUTED_VALUE"""),"KIMME")</f>
        <v>KIMME</v>
      </c>
      <c r="J763" s="279" t="str">
        <f>IFERROR(__xludf.DUMMYFUNCTION("""COMPUTED_VALUE"""),"https://www.tiktok.com/@byliyah/video/7632923902209002770?_r=1&amp;u_code=dj0c9igeb6ei5f&amp;region=&amp;mid=7632923928071883540&amp;preview_pb=0&amp;sharer_language=&amp;_d=0&amp;ec_shared_reflux_dynamic_params=%7B%22placeholder_material_id%22%3A%227632923902209002770%22%2C%22place"&amp;"holder_origin_cover%22%3A%22https%253A%252F%252Fp16-common-sign.tiktokcdn.com%252Ftos-alisg-p-0037%252FoYHAWWL5AT9IyM4TjxACDkpLeIgvgNLbAf72eG~tplv-tiktokx-origin.jpeg%253Fdr%253D14572%2526refresh_token%253D8719595a%2526x-expires%253D1810119600%2526x-signa"&amp;"ture%253Du7YjuHG4iVK4Ge4sKN5WItXU96s%25253D%2526t%253D4d5b0474%2526ps%253D13740610%2526shp%253Dd05b14bd%2526shcp%253D34ff8df6%2526idc%253Dmy2%2526s%253DTIKTOK_AFFILIATE_VIRAL_VIDEO%22%2C%22placeholder_product_id%22%3A%221729427766722726591%22%2C%22placeho"&amp;"lder_video_id%22%3A%227632923902209002770%22%7D&amp;ec_shared_reflux_scene=shop_tab_feed&amp;share_item_id=7632923902209002770&amp;source=h5_t")</f>
        <v>https://www.tiktok.com/@byliyah/video/7632923902209002770?_r=1&amp;u_code=dj0c9igeb6ei5f&amp;region=&amp;mid=7632923928071883540&amp;preview_pb=0&amp;sharer_language=&amp;_d=0&amp;ec_shared_reflux_dynamic_params=%7B%22placeholder_material_id%22%3A%227632923902209002770%22%2C%22placeholder_origin_cover%22%3A%22https%253A%252F%252Fp16-common-sign.tiktokcdn.com%252Ftos-alisg-p-0037%252FoYHAWWL5AT9IyM4TjxACDkpLeIgvgNLbAf72eG~tplv-tiktokx-origin.jpeg%253Fdr%253D14572%2526refresh_token%253D8719595a%2526x-expires%253D1810119600%2526x-signature%253Du7YjuHG4iVK4Ge4sKN5WItXU96s%25253D%2526t%253D4d5b0474%2526ps%253D13740610%2526shp%253Dd05b14bd%2526shcp%253D34ff8df6%2526idc%253Dmy2%2526s%253DTIKTOK_AFFILIATE_VIRAL_VIDEO%22%2C%22placeholder_product_id%22%3A%221729427766722726591%22%2C%22placeholder_video_id%22%3A%227632923902209002770%22%7D&amp;ec_shared_reflux_scene=shop_tab_feed&amp;share_item_id=7632923902209002770&amp;source=h5_t</v>
      </c>
      <c r="K763" s="464" t="str">
        <f>IFERROR(__xludf.DUMMYFUNCTION("""COMPUTED_VALUE"""),"KIMME")</f>
        <v>KIMME</v>
      </c>
      <c r="L763" s="279" t="str">
        <f>IFERROR(__xludf.DUMMYFUNCTION("""COMPUTED_VALUE"""),"https://www.tiktok.com/@byliyah/video/7632877550133415176?_r=1&amp;u_code=dj0c9igeb6ei5f&amp;region=&amp;mid=7632877586066017031&amp;preview_pb=0&amp;sharer_language=&amp;_d=0&amp;ec_shared_reflux_dynamic_params=%7B%22placeholder_material_id%22%3A%227632877550133415176%22%2C%22place"&amp;"holder_origin_cover%22%3A%22https%253A%252F%252Fp16-common-sign.tiktokcdn.com%252Ftos-alisg-p-0037%252FokBuAb87hFvy0EWDIpED7bflI4udg2vfBctUZR~tplv-tiktokx-origin.jpeg%253Fdr%253D14572%2526refresh_token%253Da33a3610%2526x-expires%253D1810119600%2526x-signa"&amp;"ture%253Dm4U1xIS0Aa0gEAgqL9QcYRQwIOs%25253D%2526t%253D4d5b0474%2526ps%253D13740610%2526shp%253Dd05b14bd%2526shcp%253D34ff8df6%2526idc%253Dmy2%2526s%253DTIKTOK_AFFILIATE_VIRAL_VIDEO%22%2C%22placeholder_product_id%22%3A%221729427766722726591%22%2C%22placeho"&amp;"lder_video_id%22%3A%227632877550133415176%22%7D&amp;ec_shared_reflux_scene=shop_tab_feed&amp;share_item_id=7632877550133415176&amp;source=h5_t")</f>
        <v>https://www.tiktok.com/@byliyah/video/7632877550133415176?_r=1&amp;u_code=dj0c9igeb6ei5f&amp;region=&amp;mid=7632877586066017031&amp;preview_pb=0&amp;sharer_language=&amp;_d=0&amp;ec_shared_reflux_dynamic_params=%7B%22placeholder_material_id%22%3A%227632877550133415176%22%2C%22placeholder_origin_cover%22%3A%22https%253A%252F%252Fp16-common-sign.tiktokcdn.com%252Ftos-alisg-p-0037%252FokBuAb87hFvy0EWDIpED7bflI4udg2vfBctUZR~tplv-tiktokx-origin.jpeg%253Fdr%253D14572%2526refresh_token%253Da33a3610%2526x-expires%253D1810119600%2526x-signature%253Dm4U1xIS0Aa0gEAgqL9QcYRQwIOs%25253D%2526t%253D4d5b0474%2526ps%253D13740610%2526shp%253Dd05b14bd%2526shcp%253D34ff8df6%2526idc%253Dmy2%2526s%253DTIKTOK_AFFILIATE_VIRAL_VIDEO%22%2C%22placeholder_product_id%22%3A%221729427766722726591%22%2C%22placeholder_video_id%22%3A%227632877550133415176%22%7D&amp;ec_shared_reflux_scene=shop_tab_feed&amp;share_item_id=7632877550133415176&amp;source=h5_t</v>
      </c>
      <c r="M763" s="464"/>
      <c r="N763" s="279" t="str">
        <f>IFERROR(__xludf.DUMMYFUNCTION("""COMPUTED_VALUE"""),"https://www.tiktok.com/@byliyah/video/7632596479227464978?_r=1&amp;u_code=dj0c9igeb6ei5f&amp;region=&amp;mid=7632596506828491538&amp;preview_pb=0&amp;sharer_language=&amp;_d=0&amp;ec_shared_reflux_dynamic_params=%7B%22placeholder_material_id%22%3A%227632596479227464978%22%2C%22place"&amp;"holder_origin_cover%22%3A%22https%253A%252F%252Fp16-common-sign.tiktokcdn.com%252Ftos-alisg-p-0037%252FoEtkYGB4IiAbICA9vDiujbCtAwjgfISs0xhPwB~tplv-tiktokx-origin.jpeg%253Fdr%253D14572%2526refresh_token%253D848f18b7%2526x-expires%253D1810119600%2526x-signa"&amp;"ture%253DhbIgUTbKNUXz2H9r0ZxjrNoBQWo%25253D%2526t%253D4d5b0474%2526ps%253D13740610%2526shp%253Dd05b14bd%2526shcp%253D34ff8df6%2526idc%253Dmy2%2526s%253DTIKTOK_AFFILIATE_VIRAL_VIDEO%22%2C%22placeholder_product_id%22%3A%221729427766722726591%22%2C%22placeho"&amp;"lder_video_id%22%3A%227632596479227464978%22%7D&amp;ec_shared_reflux_scene=shop_tab_feed&amp;share_item_id=7632596479227464978&amp;source=h5_t")</f>
        <v>https://www.tiktok.com/@byliyah/video/7632596479227464978?_r=1&amp;u_code=dj0c9igeb6ei5f&amp;region=&amp;mid=7632596506828491538&amp;preview_pb=0&amp;sharer_language=&amp;_d=0&amp;ec_shared_reflux_dynamic_params=%7B%22placeholder_material_id%22%3A%227632596479227464978%22%2C%22placeholder_origin_cover%22%3A%22https%253A%252F%252Fp16-common-sign.tiktokcdn.com%252Ftos-alisg-p-0037%252FoEtkYGB4IiAbICA9vDiujbCtAwjgfISs0xhPwB~tplv-tiktokx-origin.jpeg%253Fdr%253D14572%2526refresh_token%253D848f18b7%2526x-expires%253D1810119600%2526x-signature%253DhbIgUTbKNUXz2H9r0ZxjrNoBQWo%25253D%2526t%253D4d5b0474%2526ps%253D13740610%2526shp%253Dd05b14bd%2526shcp%253D34ff8df6%2526idc%253Dmy2%2526s%253DTIKTOK_AFFILIATE_VIRAL_VIDEO%22%2C%22placeholder_product_id%22%3A%221729427766722726591%22%2C%22placeholder_video_id%22%3A%227632596479227464978%22%7D&amp;ec_shared_reflux_scene=shop_tab_feed&amp;share_item_id=7632596479227464978&amp;source=h5_t</v>
      </c>
      <c r="O763" s="464"/>
      <c r="P763" s="279" t="str">
        <f>IFERROR(__xludf.DUMMYFUNCTION("""COMPUTED_VALUE"""),"https://www.tiktok.com/@byliyah/video/7632672007259262226?_r=1&amp;u_code=dj0c9igeb6ei5f&amp;region=&amp;mid=7632672047893646088&amp;preview_pb=0&amp;sharer_language=&amp;_d=0&amp;ec_shared_reflux_dynamic_params=%7B%22placeholder_material_id%22%3A%227632672007259262226%22%2C%22place"&amp;"holder_origin_cover%22%3A%22https%253A%252F%252Fp16-common-sign.tiktokcdn.com%252Ftos-alisg-p-0037%252FocZIeIOGAMSCfU3Le6TjDEAsQmZhZ2QPWpd3V4~tplv-tiktokx-origin.jpeg%253Fdr%253D14572%2526refresh_token%253D2afb8c8c%2526x-expires%253D1810119600%2526x-signa"&amp;"ture%253Dh9cE40PqgN5af8MYnggIRFrTS1w%25253D%2526t%253D4d5b0474%2526ps%253D13740610%2526shp%253Dd05b14bd%2526shcp%253D34ff8df6%2526idc%253Dmy2%2526s%253DTIKTOK_AFFILIATE_VIRAL_VIDEO%22%2C%22placeholder_product_id%22%3A%221729427766722726591%22%2C%22placeho"&amp;"lder_video_id%22%3A%227632672007259262226%22%7D&amp;ec_shared_reflux_scene=shop_tab_feed&amp;share_item_id=7632672007259262226&amp;source=h5_t")</f>
        <v>https://www.tiktok.com/@byliyah/video/7632672007259262226?_r=1&amp;u_code=dj0c9igeb6ei5f&amp;region=&amp;mid=7632672047893646088&amp;preview_pb=0&amp;sharer_language=&amp;_d=0&amp;ec_shared_reflux_dynamic_params=%7B%22placeholder_material_id%22%3A%227632672007259262226%22%2C%22placeholder_origin_cover%22%3A%22https%253A%252F%252Fp16-common-sign.tiktokcdn.com%252Ftos-alisg-p-0037%252FocZIeIOGAMSCfU3Le6TjDEAsQmZhZ2QPWpd3V4~tplv-tiktokx-origin.jpeg%253Fdr%253D14572%2526refresh_token%253D2afb8c8c%2526x-expires%253D1810119600%2526x-signature%253Dh9cE40PqgN5af8MYnggIRFrTS1w%25253D%2526t%253D4d5b0474%2526ps%253D13740610%2526shp%253Dd05b14bd%2526shcp%253D34ff8df6%2526idc%253Dmy2%2526s%253DTIKTOK_AFFILIATE_VIRAL_VIDEO%22%2C%22placeholder_product_id%22%3A%221729427766722726591%22%2C%22placeholder_video_id%22%3A%227632672007259262226%22%7D&amp;ec_shared_reflux_scene=shop_tab_feed&amp;share_item_id=7632672007259262226&amp;source=h5_t</v>
      </c>
    </row>
    <row r="764">
      <c r="A764" s="255" t="str">
        <f>IFERROR(__xludf.DUMMYFUNCTION("""COMPUTED_VALUE"""),"MICRO")</f>
        <v>MICRO</v>
      </c>
      <c r="B764" s="361" t="str">
        <f>IFERROR(__xludf.DUMMYFUNCTION("""COMPUTED_VALUE"""),"gandhisskinbeauty")</f>
        <v>gandhisskinbeauty</v>
      </c>
      <c r="C764" s="257" t="str">
        <f>IFERROR(__xludf.DUMMYFUNCTION("""COMPUTED_VALUE"""),"https://www.tiktok.com/@gandhisskinbeauty")</f>
        <v>https://www.tiktok.com/@gandhisskinbeauty</v>
      </c>
      <c r="D764" s="270">
        <f>IFERROR(__xludf.DUMMYFUNCTION("""COMPUTED_VALUE"""),8.128639029E10)</f>
        <v>81286390290</v>
      </c>
      <c r="E764" s="457">
        <f>IFERROR(__xludf.DUMMYFUNCTION("""COMPUTED_VALUE"""),0.0)</f>
        <v>0</v>
      </c>
      <c r="F764" s="270">
        <f>IFERROR(__xludf.DUMMYFUNCTION("""COMPUTED_VALUE"""),4.0)</f>
        <v>4</v>
      </c>
      <c r="G764" s="17" t="str">
        <f>IFERROR(__xludf.DUMMYFUNCTION("""COMPUTED_VALUE"""),"Sabun batang 1 Box ( 2 PCS )")</f>
        <v>Sabun batang 1 Box ( 2 PCS )</v>
      </c>
      <c r="H764" s="463" t="str">
        <f>IFERROR(__xludf.DUMMYFUNCTION("""COMPUTED_VALUE"""),"Sampai")</f>
        <v>Sampai</v>
      </c>
      <c r="I764" s="464" t="str">
        <f>IFERROR(__xludf.DUMMYFUNCTION("""COMPUTED_VALUE"""),"KIMME")</f>
        <v>KIMME</v>
      </c>
      <c r="J764" s="279" t="str">
        <f>IFERROR(__xludf.DUMMYFUNCTION("""COMPUTED_VALUE"""),"https://www.tiktok.com/@byliyah/video/7634877105813064967?_r=1&amp;u_code=dj0c9igeb6ei5f&amp;region=&amp;mid=7628933306519816967&amp;preview_pb=0&amp;sharer_language=&amp;_d=0&amp;ec_shared_reflux_dynamic_params=%7B%22placeholder_material_id%22%3A%227634877105813064967%22%2C%22place"&amp;"holder_origin_cover%22%3A%22https%253A%252F%252Fp16-common-sign.tiktokcdn.com%252Ftos-alisg-p-0037%252Focei17GjILABIDC6IDI4xiICDGRxeju0TtEPAe~tplv-tiktokx-origin.jpeg%253Fdr%253D14572%2526refresh_token%253Dbd090905%2526x-expires%253D1810119600%2526x-signa"&amp;"ture%253DzdrUjo8E%25252F428F9g5sdiTIrQqizM%25253D%2526t%253D4d5b0474%2526ps%253D13740610%2526shp%253Dd05b14bd%2526shcp%253D34ff8df6%2526idc%253Dmy2%2526s%253DTIKTOK_AFFILIATE_VIRAL_VIDEO%22%2C%22placeholder_product_id%22%3A%221729427766722726591%22%2C%22p"&amp;"laceholder_video_id%22%3A%227634877105813064967%22%7D&amp;ec_shared_reflux_scene=shop_tab_feed&amp;share_item_id=7634877105813064967&amp;source=h5_t")</f>
        <v>https://www.tiktok.com/@byliyah/video/7634877105813064967?_r=1&amp;u_code=dj0c9igeb6ei5f&amp;region=&amp;mid=7628933306519816967&amp;preview_pb=0&amp;sharer_language=&amp;_d=0&amp;ec_shared_reflux_dynamic_params=%7B%22placeholder_material_id%22%3A%227634877105813064967%22%2C%22placeholder_origin_cover%22%3A%22https%253A%252F%252Fp16-common-sign.tiktokcdn.com%252Ftos-alisg-p-0037%252Focei17GjILABIDC6IDI4xiICDGRxeju0TtEPAe~tplv-tiktokx-origin.jpeg%253Fdr%253D14572%2526refresh_token%253Dbd090905%2526x-expires%253D1810119600%2526x-signature%253DzdrUjo8E%25252F428F9g5sdiTIrQqizM%25253D%2526t%253D4d5b0474%2526ps%253D13740610%2526shp%253Dd05b14bd%2526shcp%253D34ff8df6%2526idc%253Dmy2%2526s%253DTIKTOK_AFFILIATE_VIRAL_VIDEO%22%2C%22placeholder_product_id%22%3A%221729427766722726591%22%2C%22placeholder_video_id%22%3A%227634877105813064967%22%7D&amp;ec_shared_reflux_scene=shop_tab_feed&amp;share_item_id=7634877105813064967&amp;source=h5_t</v>
      </c>
      <c r="K764" s="464" t="str">
        <f>IFERROR(__xludf.DUMMYFUNCTION("""COMPUTED_VALUE"""),"KIMME")</f>
        <v>KIMME</v>
      </c>
      <c r="L764" s="279" t="str">
        <f>IFERROR(__xludf.DUMMYFUNCTION("""COMPUTED_VALUE"""),"https://www.tiktok.com/@byliyah/video/7634407705381260551?_r=1&amp;u_code=dj0c9igeb6ei5f&amp;region=&amp;mid=7628933306519816967&amp;preview_pb=0&amp;sharer_language=&amp;_d=0&amp;ec_shared_reflux_dynamic_params=%7B%22placeholder_material_id%22%3A%227634407705381260551%22%2C%22place"&amp;"holder_origin_cover%22%3A%22https%253A%252F%252Fp16-common-sign.tiktokcdn.com%252Ftos-alisg-p-0037%252FoEuBg4sri7VCIWiw0VJAV3LP8d7IAPCfyIAkz9~tplv-tiktokx-origin.jpeg%253Fdr%253D14572%2526refresh_token%253D9afc576d%2526x-expires%253D1810119600%2526x-signa"&amp;"ture%253DaFWkCVdB3qunT73Smo1XfI%25252FnqX0%25253D%2526t%253D4d5b0474%2526ps%253D13740610%2526shp%253Dd05b14bd%2526shcp%253D34ff8df6%2526idc%253Dmy2%2526s%253DTIKTOK_AFFILIATE_VIRAL_VIDEO%22%2C%22placeholder_product_id%22%3A%221729427766722726591%22%2C%22p"&amp;"laceholder_video_id%22%3A%227634407705381260551%22%7D&amp;ec_shared_reflux_scene=shop_tab_feed&amp;share_item_id=7634407705381260551&amp;source=h5_t")</f>
        <v>https://www.tiktok.com/@byliyah/video/7634407705381260551?_r=1&amp;u_code=dj0c9igeb6ei5f&amp;region=&amp;mid=7628933306519816967&amp;preview_pb=0&amp;sharer_language=&amp;_d=0&amp;ec_shared_reflux_dynamic_params=%7B%22placeholder_material_id%22%3A%227634407705381260551%22%2C%22placeholder_origin_cover%22%3A%22https%253A%252F%252Fp16-common-sign.tiktokcdn.com%252Ftos-alisg-p-0037%252FoEuBg4sri7VCIWiw0VJAV3LP8d7IAPCfyIAkz9~tplv-tiktokx-origin.jpeg%253Fdr%253D14572%2526refresh_token%253D9afc576d%2526x-expires%253D1810119600%2526x-signature%253DaFWkCVdB3qunT73Smo1XfI%25252FnqX0%25253D%2526t%253D4d5b0474%2526ps%253D13740610%2526shp%253Dd05b14bd%2526shcp%253D34ff8df6%2526idc%253Dmy2%2526s%253DTIKTOK_AFFILIATE_VIRAL_VIDEO%22%2C%22placeholder_product_id%22%3A%221729427766722726591%22%2C%22placeholder_video_id%22%3A%227634407705381260551%22%7D&amp;ec_shared_reflux_scene=shop_tab_feed&amp;share_item_id=7634407705381260551&amp;source=h5_t</v>
      </c>
      <c r="M764" s="464"/>
      <c r="N764" s="279" t="str">
        <f>IFERROR(__xludf.DUMMYFUNCTION("""COMPUTED_VALUE"""),"https://www.tiktok.com/@byliyah/video/7634123815890455815?_r=1&amp;u_code=dj0c9igeb6ei5f&amp;region=&amp;mid=7628933306519816967&amp;preview_pb=0&amp;sharer_language=&amp;_d=0&amp;ec_shared_reflux_dynamic_params=%7B%22placeholder_material_id%22%3A%227634123815890455815%22%2C%22place"&amp;"holder_origin_cover%22%3A%22https%253A%252F%252Fp16-common-sign.tiktokcdn.com%252Ftos-alisg-p-0037%252Fo8CPAtE4ELXVCI7GQTIGJmegQVKeAXe1D4jnKj~tplv-tiktokx-origin.jpeg%253Fdr%253D14572%2526refresh_token%253D8903252e%2526x-expires%253D1810119600%2526x-signa"&amp;"ture%253DrWvlrQW2wPcIxY2gE%25252FGiQcfTmz4%25253D%2526t%253D4d5b0474%2526ps%253D13740610%2526shp%253Dd05b14bd%2526shcp%253D34ff8df6%2526idc%253Dmy2%2526s%253DTIKTOK_AFFILIATE_VIRAL_VIDEO%22%2C%22placeholder_product_id%22%3A%221729427766722726591%22%2C%22p"&amp;"laceholder_video_id%22%3A%227634123815890455815%22%7D&amp;ec_shared_reflux_scene=shop_tab_feed&amp;share_item_id=7634123815890455815&amp;source=h5_t")</f>
        <v>https://www.tiktok.com/@byliyah/video/7634123815890455815?_r=1&amp;u_code=dj0c9igeb6ei5f&amp;region=&amp;mid=7628933306519816967&amp;preview_pb=0&amp;sharer_language=&amp;_d=0&amp;ec_shared_reflux_dynamic_params=%7B%22placeholder_material_id%22%3A%227634123815890455815%22%2C%22placeholder_origin_cover%22%3A%22https%253A%252F%252Fp16-common-sign.tiktokcdn.com%252Ftos-alisg-p-0037%252Fo8CPAtE4ELXVCI7GQTIGJmegQVKeAXe1D4jnKj~tplv-tiktokx-origin.jpeg%253Fdr%253D14572%2526refresh_token%253D8903252e%2526x-expires%253D1810119600%2526x-signature%253DrWvlrQW2wPcIxY2gE%25252FGiQcfTmz4%25253D%2526t%253D4d5b0474%2526ps%253D13740610%2526shp%253Dd05b14bd%2526shcp%253D34ff8df6%2526idc%253Dmy2%2526s%253DTIKTOK_AFFILIATE_VIRAL_VIDEO%22%2C%22placeholder_product_id%22%3A%221729427766722726591%22%2C%22placeholder_video_id%22%3A%227634123815890455815%22%7D&amp;ec_shared_reflux_scene=shop_tab_feed&amp;share_item_id=7634123815890455815&amp;source=h5_t</v>
      </c>
      <c r="O764" s="464"/>
      <c r="P764" s="279" t="str">
        <f>IFERROR(__xludf.DUMMYFUNCTION("""COMPUTED_VALUE"""),"https://www.tiktok.com/@byliyah/video/7633011699661950215?_r=1&amp;u_code=dj0c9igeb6ei5f&amp;region=&amp;mid=7616413183196039958&amp;preview_pb=0&amp;sharer_language=&amp;_d=0&amp;ec_shared_reflux_dynamic_params=%7B%22placeholder_material_id%22%3A%227633011699661950215%22%2C%22place"&amp;"holder_origin_cover%22%3A%22https%253A%252F%252Fp16-common-sign.tiktokcdn.com%252Ftos-alisg-p-0037%252FogMDzeTIt3HDUCh5AC478fEOFIAjPC2fworQzI~tplv-tiktokx-origin.jpeg%253Fdr%253D14572%2526refresh_token%253D28982c7f%2526x-expires%253D1810119600%2526x-signa"&amp;"ture%253DH2VO2cVO2sU4fciP2%25252B%25252FaNhg4Llo%25253D%2526t%253D4d5b0474%2526ps%253D13740610%2526shp%253Dd05b14bd%2526shcp%253D34ff8df6%2526idc%253Dmy2%2526s%253DTIKTOK_AFFILIATE_VIRAL_VIDEO%22%2C%22placeholder_product_id%22%3A%221729427766722726591%22%"&amp;"2C%22placeholder_video_id%22%3A%227633011699661950215%22%7D&amp;ec_shared_reflux_scene=shop_tab_feed&amp;share_item_id=7633011699661950215&amp;source=h5_t")</f>
        <v>https://www.tiktok.com/@byliyah/video/7633011699661950215?_r=1&amp;u_code=dj0c9igeb6ei5f&amp;region=&amp;mid=7616413183196039958&amp;preview_pb=0&amp;sharer_language=&amp;_d=0&amp;ec_shared_reflux_dynamic_params=%7B%22placeholder_material_id%22%3A%227633011699661950215%22%2C%22placeholder_origin_cover%22%3A%22https%253A%252F%252Fp16-common-sign.tiktokcdn.com%252Ftos-alisg-p-0037%252FogMDzeTIt3HDUCh5AC478fEOFIAjPC2fworQzI~tplv-tiktokx-origin.jpeg%253Fdr%253D14572%2526refresh_token%253D28982c7f%2526x-expires%253D1810119600%2526x-signature%253DH2VO2cVO2sU4fciP2%25252B%25252FaNhg4Llo%25253D%2526t%253D4d5b0474%2526ps%253D13740610%2526shp%253Dd05b14bd%2526shcp%253D34ff8df6%2526idc%253Dmy2%2526s%253DTIKTOK_AFFILIATE_VIRAL_VIDEO%22%2C%22placeholder_product_id%22%3A%221729427766722726591%22%2C%22placeholder_video_id%22%3A%227633011699661950215%22%7D&amp;ec_shared_reflux_scene=shop_tab_feed&amp;share_item_id=7633011699661950215&amp;source=h5_t</v>
      </c>
    </row>
    <row r="765">
      <c r="A765" s="255" t="str">
        <f>IFERROR(__xludf.DUMMYFUNCTION("""COMPUTED_VALUE"""),"MICRO")</f>
        <v>MICRO</v>
      </c>
      <c r="B765" s="361" t="str">
        <f>IFERROR(__xludf.DUMMYFUNCTION("""COMPUTED_VALUE"""),"milasarmila07")</f>
        <v>milasarmila07</v>
      </c>
      <c r="C765" s="257" t="str">
        <f>IFERROR(__xludf.DUMMYFUNCTION("""COMPUTED_VALUE"""),"https://www.tiktok.com/@milasarmila07")</f>
        <v>https://www.tiktok.com/@milasarmila07</v>
      </c>
      <c r="D765" s="270">
        <f>IFERROR(__xludf.DUMMYFUNCTION("""COMPUTED_VALUE"""),8.979874057E9)</f>
        <v>8979874057</v>
      </c>
      <c r="E765" s="457">
        <f>IFERROR(__xludf.DUMMYFUNCTION("""COMPUTED_VALUE"""),100000.0)</f>
        <v>100000</v>
      </c>
      <c r="F765" s="270">
        <f>IFERROR(__xludf.DUMMYFUNCTION("""COMPUTED_VALUE"""),1.0)</f>
        <v>1</v>
      </c>
      <c r="G765" s="17" t="str">
        <f>IFERROR(__xludf.DUMMYFUNCTION("""COMPUTED_VALUE"""),"Sabun batang 1 Box ( 2 PCS )")</f>
        <v>Sabun batang 1 Box ( 2 PCS )</v>
      </c>
      <c r="H765" s="463" t="str">
        <f>IFERROR(__xludf.DUMMYFUNCTION("""COMPUTED_VALUE"""),"Sampai")</f>
        <v>Sampai</v>
      </c>
      <c r="I765" s="464" t="str">
        <f>IFERROR(__xludf.DUMMYFUNCTION("""COMPUTED_VALUE"""),"KIMME")</f>
        <v>KIMME</v>
      </c>
      <c r="J765" s="279" t="str">
        <f>IFERROR(__xludf.DUMMYFUNCTION("""COMPUTED_VALUE"""),"https://vt.tiktok.com/ZS9kjC6p5/")</f>
        <v>https://vt.tiktok.com/ZS9kjC6p5/</v>
      </c>
      <c r="K765" s="464" t="str">
        <f>IFERROR(__xludf.DUMMYFUNCTION("""COMPUTED_VALUE"""),"KIMME")</f>
        <v>KIMME</v>
      </c>
      <c r="L765" s="279" t="str">
        <f>IFERROR(__xludf.DUMMYFUNCTION("""COMPUTED_VALUE"""),"https://www.tiktok.com/@byliyah/video/7637101634023181586?_r=1&amp;u_code=dj0c9igeb6ei5f&amp;region=&amp;mid=7343035021383404294&amp;preview_pb=0&amp;sharer_language=&amp;_d=0&amp;ec_shared_reflux_dynamic_params=%7B%22placeholder_material_id%22%3A%227637101634023181586%22%2C%22place"&amp;"holder_origin_cover%22%3A%22https%253A%252F%252Fp16-common-sign.tiktokcdn.com%252Ftos-alisg-p-0037%252FokP9Q4EDhMfDNleD3TG4IJ0QvSFcdjAflvCFNA~tplv-tiktokx-origin.jpeg%253Fdr%253D14572%2526refresh_token%253D484e11f1%2526x-expires%253D1810119600%2526x-signa"&amp;"ture%253DBef%25252BVpBwvidnyt7udsFxc93lsyc%25253D%2526t%253D4d5b0474%2526ps%253D13740610%2526shp%253Dd05b14bd%2526shcp%253D34ff8df6%2526idc%253Dmy2%2526s%253DTIKTOK_AFFILIATE_VIRAL_VIDEO%22%2C%22placeholder_product_id%22%3A%221729427766722726591%22%2C%22p"&amp;"laceholder_video_id%22%3A%227637101634023181586%22%7D&amp;ec_shared_reflux_scene=shop_tab_feed&amp;share_item_id=7637101634023181586&amp;source=h5_t")</f>
        <v>https://www.tiktok.com/@byliyah/video/7637101634023181586?_r=1&amp;u_code=dj0c9igeb6ei5f&amp;region=&amp;mid=7343035021383404294&amp;preview_pb=0&amp;sharer_language=&amp;_d=0&amp;ec_shared_reflux_dynamic_params=%7B%22placeholder_material_id%22%3A%227637101634023181586%22%2C%22placeholder_origin_cover%22%3A%22https%253A%252F%252Fp16-common-sign.tiktokcdn.com%252Ftos-alisg-p-0037%252FokP9Q4EDhMfDNleD3TG4IJ0QvSFcdjAflvCFNA~tplv-tiktokx-origin.jpeg%253Fdr%253D14572%2526refresh_token%253D484e11f1%2526x-expires%253D1810119600%2526x-signature%253DBef%25252BVpBwvidnyt7udsFxc93lsyc%25253D%2526t%253D4d5b0474%2526ps%253D13740610%2526shp%253Dd05b14bd%2526shcp%253D34ff8df6%2526idc%253Dmy2%2526s%253DTIKTOK_AFFILIATE_VIRAL_VIDEO%22%2C%22placeholder_product_id%22%3A%221729427766722726591%22%2C%22placeholder_video_id%22%3A%227637101634023181586%22%7D&amp;ec_shared_reflux_scene=shop_tab_feed&amp;share_item_id=7637101634023181586&amp;source=h5_t</v>
      </c>
      <c r="M765" s="464"/>
      <c r="N765" s="279" t="str">
        <f>IFERROR(__xludf.DUMMYFUNCTION("""COMPUTED_VALUE"""),"https://www.tiktok.com/@byliyah/video/7635987897417518343?_r=1&amp;u_code=dj0c9igeb6ei5f&amp;region=&amp;mid=7628029008957967111&amp;preview_pb=0&amp;sharer_language=&amp;_d=0&amp;ec_shared_reflux_dynamic_params=%7B%22placeholder_material_id%22%3A%227635987897417518343%22%2C%22place"&amp;"holder_origin_cover%22%3A%22https%253A%252F%252Fp16-common-sign.tiktokcdn.com%252Ftos-alisg-p-0037%252Fo41qwAYHH4D6ZEQT3eFfDCAyFetLp4QnjDDoI6~tplv-tiktokx-origin.jpeg%253Fdr%253D14572%2526refresh_token%253Dfb081c1c%2526x-expires%253D1810119600%2526x-signa"&amp;"ture%253DeCcsNq%25252BArIquQ5P8RuvXsYRLXyE%25253D%2526t%253D4d5b0474%2526ps%253D13740610%2526shp%253Dd05b14bd%2526shcp%253D34ff8df6%2526idc%253Dmy2%2526s%253DTIKTOK_AFFILIATE_VIRAL_VIDEO%22%2C%22placeholder_product_id%22%3A%221729427766722726591%22%2C%22p"&amp;"laceholder_video_id%22%3A%227635987897417518343%22%7D&amp;ec_shared_reflux_scene=shop_tab_feed&amp;share_item_id=7635987897417518343&amp;source=h5_t")</f>
        <v>https://www.tiktok.com/@byliyah/video/7635987897417518343?_r=1&amp;u_code=dj0c9igeb6ei5f&amp;region=&amp;mid=7628029008957967111&amp;preview_pb=0&amp;sharer_language=&amp;_d=0&amp;ec_shared_reflux_dynamic_params=%7B%22placeholder_material_id%22%3A%227635987897417518343%22%2C%22placeholder_origin_cover%22%3A%22https%253A%252F%252Fp16-common-sign.tiktokcdn.com%252Ftos-alisg-p-0037%252Fo41qwAYHH4D6ZEQT3eFfDCAyFetLp4QnjDDoI6~tplv-tiktokx-origin.jpeg%253Fdr%253D14572%2526refresh_token%253Dfb081c1c%2526x-expires%253D1810119600%2526x-signature%253DeCcsNq%25252BArIquQ5P8RuvXsYRLXyE%25253D%2526t%253D4d5b0474%2526ps%253D13740610%2526shp%253Dd05b14bd%2526shcp%253D34ff8df6%2526idc%253Dmy2%2526s%253DTIKTOK_AFFILIATE_VIRAL_VIDEO%22%2C%22placeholder_product_id%22%3A%221729427766722726591%22%2C%22placeholder_video_id%22%3A%227635987897417518343%22%7D&amp;ec_shared_reflux_scene=shop_tab_feed&amp;share_item_id=7635987897417518343&amp;source=h5_t</v>
      </c>
      <c r="O765" s="464"/>
      <c r="P765" s="279" t="str">
        <f>IFERROR(__xludf.DUMMYFUNCTION("""COMPUTED_VALUE"""),"https://www.tiktok.com/@byliyah/video/7635987897417518343?_r=1&amp;u_code=dj0c9igeb6ei5f&amp;region=&amp;mid=7628029008957967111&amp;preview_pb=0&amp;sharer_language=&amp;_d=0&amp;ec_shared_reflux_dynamic_params=%7B%22placeholder_material_id%22%3A%227635987897417518343%22%2C%22place"&amp;"holder_origin_cover%22%3A%22https%253A%252F%252Fp16-common-sign.tiktokcdn.com%252Ftos-alisg-p-0037%252Fo41qwAYHH4D6ZEQT3eFfDCAyFetLp4QnjDDoI6~tplv-tiktokx-origin.jpeg%253Fdr%253D14572%2526refresh_token%253Dfb081c1c%2526x-expires%253D1810119600%2526x-signa"&amp;"ture%253DeCcsNq%25252BArIquQ5P8RuvXsYRLXyE%25253D%2526t%253D4d5b0474%2526ps%253D13740610%2526shp%253Dd05b14bd%2526shcp%253D34ff8df6%2526idc%253Dmy2%2526s%253DTIKTOK_AFFILIATE_VIRAL_VIDEO%22%2C%22placeholder_product_id%22%3A%221729427766722726591%22%2C%22p"&amp;"laceholder_video_id%22%3A%227635987897417518343%22%7D&amp;ec_shared_reflux_scene=shop_tab_feed&amp;share_item_id=7635987897417518343&amp;source=h5_t")</f>
        <v>https://www.tiktok.com/@byliyah/video/7635987897417518343?_r=1&amp;u_code=dj0c9igeb6ei5f&amp;region=&amp;mid=7628029008957967111&amp;preview_pb=0&amp;sharer_language=&amp;_d=0&amp;ec_shared_reflux_dynamic_params=%7B%22placeholder_material_id%22%3A%227635987897417518343%22%2C%22placeholder_origin_cover%22%3A%22https%253A%252F%252Fp16-common-sign.tiktokcdn.com%252Ftos-alisg-p-0037%252Fo41qwAYHH4D6ZEQT3eFfDCAyFetLp4QnjDDoI6~tplv-tiktokx-origin.jpeg%253Fdr%253D14572%2526refresh_token%253Dfb081c1c%2526x-expires%253D1810119600%2526x-signature%253DeCcsNq%25252BArIquQ5P8RuvXsYRLXyE%25253D%2526t%253D4d5b0474%2526ps%253D13740610%2526shp%253Dd05b14bd%2526shcp%253D34ff8df6%2526idc%253Dmy2%2526s%253DTIKTOK_AFFILIATE_VIRAL_VIDEO%22%2C%22placeholder_product_id%22%3A%221729427766722726591%22%2C%22placeholder_video_id%22%3A%227635987897417518343%22%7D&amp;ec_shared_reflux_scene=shop_tab_feed&amp;share_item_id=7635987897417518343&amp;source=h5_t</v>
      </c>
    </row>
    <row r="766">
      <c r="A766" s="255" t="str">
        <f>IFERROR(__xludf.DUMMYFUNCTION("""COMPUTED_VALUE"""),"MICRO")</f>
        <v>MICRO</v>
      </c>
      <c r="B766" s="361" t="str">
        <f>IFERROR(__xludf.DUMMYFUNCTION("""COMPUTED_VALUE"""),"wulandarisabda")</f>
        <v>wulandarisabda</v>
      </c>
      <c r="C766" s="257" t="str">
        <f>IFERROR(__xludf.DUMMYFUNCTION("""COMPUTED_VALUE"""),"https://www.tiktok.com/@wulandarisabda")</f>
        <v>https://www.tiktok.com/@wulandarisabda</v>
      </c>
      <c r="D766" s="270">
        <f>IFERROR(__xludf.DUMMYFUNCTION("""COMPUTED_VALUE"""),8.95339671777E11)</f>
        <v>895339671777</v>
      </c>
      <c r="E766" s="457">
        <f>IFERROR(__xludf.DUMMYFUNCTION("""COMPUTED_VALUE"""),100000.0)</f>
        <v>100000</v>
      </c>
      <c r="F766" s="270">
        <f>IFERROR(__xludf.DUMMYFUNCTION("""COMPUTED_VALUE"""),1.0)</f>
        <v>1</v>
      </c>
      <c r="G766" s="17" t="str">
        <f>IFERROR(__xludf.DUMMYFUNCTION("""COMPUTED_VALUE"""),"Sabun batang 1 Box ( 2 PCS )")</f>
        <v>Sabun batang 1 Box ( 2 PCS )</v>
      </c>
      <c r="H766" s="463" t="str">
        <f>IFERROR(__xludf.DUMMYFUNCTION("""COMPUTED_VALUE"""),"Sampai")</f>
        <v>Sampai</v>
      </c>
      <c r="I766" s="464" t="str">
        <f>IFERROR(__xludf.DUMMYFUNCTION("""COMPUTED_VALUE"""),"KIMME")</f>
        <v>KIMME</v>
      </c>
      <c r="J766" s="279" t="str">
        <f>IFERROR(__xludf.DUMMYFUNCTION("""COMPUTED_VALUE"""),"https://www.tiktok.com/@belanja_hemat.shop/video/7638830979154644242?_r=1&amp;u_code=ek6h2252jijmih&amp;region=&amp;mid=7270022870478211073&amp;preview_pb=0&amp;sharer_language=&amp;_d=0&amp;ec_shared_reflux_dynamic_params=%7B%22placeholder_material_id%22%3A%227638830979154644242%22"&amp;"%2C%22placeholder_origin_cover%22%3A%22https%253A%252F%252Fp16-common-sign.tiktokcdn.com%252Ftos-alisg-p-0037%252FoEgMPAeHoBgIUKjYIdAqgELIy0YpfUFKGeDSCr~tplv-tiktokx-origin.jpeg%253Fdr%253D14572%2526refresh_token%253D6198937f%2526x-expires%253D1810195200%"&amp;"2526x-signature%253DfEhHEGbgaEvDEOYQXKLj9Pfvu4w%25253D%2526t%253D4d5b0474%2526ps%253D13740610%2526shp%253Dd05b14bd%2526shcp%253D34ff8df6%2526idc%253Dmy2%2526s%253DTIKTOK_AFFILIATE_VIRAL_VIDEO%22%2C%22placeholder_product_id%22%3A%221729427766722726591%22%2"&amp;"C%22placeholder_video_id%22%3A%227638830979154644242%22%7D&amp;ec_shared_reflux_scene=shop_tab_feed&amp;share_item_id=7638830979154644242&amp;source=h5_t")</f>
        <v>https://www.tiktok.com/@belanja_hemat.shop/video/7638830979154644242?_r=1&amp;u_code=ek6h2252jijmih&amp;region=&amp;mid=7270022870478211073&amp;preview_pb=0&amp;sharer_language=&amp;_d=0&amp;ec_shared_reflux_dynamic_params=%7B%22placeholder_material_id%22%3A%227638830979154644242%22%2C%22placeholder_origin_cover%22%3A%22https%253A%252F%252Fp16-common-sign.tiktokcdn.com%252Ftos-alisg-p-0037%252FoEgMPAeHoBgIUKjYIdAqgELIy0YpfUFKGeDSCr~tplv-tiktokx-origin.jpeg%253Fdr%253D14572%2526refresh_token%253D6198937f%2526x-expires%253D1810195200%2526x-signature%253DfEhHEGbgaEvDEOYQXKLj9Pfvu4w%25253D%2526t%253D4d5b0474%2526ps%253D13740610%2526shp%253Dd05b14bd%2526shcp%253D34ff8df6%2526idc%253Dmy2%2526s%253DTIKTOK_AFFILIATE_VIRAL_VIDEO%22%2C%22placeholder_product_id%22%3A%221729427766722726591%22%2C%22placeholder_video_id%22%3A%227638830979154644242%22%7D&amp;ec_shared_reflux_scene=shop_tab_feed&amp;share_item_id=7638830979154644242&amp;source=h5_t</v>
      </c>
      <c r="K766" s="464" t="str">
        <f>IFERROR(__xludf.DUMMYFUNCTION("""COMPUTED_VALUE"""),"KIMME")</f>
        <v>KIMME</v>
      </c>
      <c r="L766" s="279" t="str">
        <f>IFERROR(__xludf.DUMMYFUNCTION("""COMPUTED_VALUE"""),"https://www.tiktok.com/@belanja_hemat.shop/video/7637434089565457672?_r=1&amp;u_code=ek6h2252jijmih&amp;region=&amp;mid=7630457200191884048&amp;preview_pb=0&amp;sharer_language=&amp;_d=0&amp;ec_shared_reflux_dynamic_params=%7B%22placeholder_material_id%22%3A%227637434089565457672%22"&amp;"%2C%22placeholder_origin_cover%22%3A%22https%253A%252F%252Fp16-common-sign.tiktokcdn.com%252Ftos-alisg-p-0037%252FoU68zXukAekGDM46QYOGFhAe3MQRen4QADF7Qe~tplv-tiktokx-origin.jpeg%253Fdr%253D14572%2526refresh_token%253Ddcc6e3c7%2526x-expires%253D1810195200%"&amp;"2526x-signature%253DTTfZEfdkLOSRp3%25252FO9MfHUJBgyCA%25253D%2526t%253D4d5b0474%2526ps%253D13740610%2526shp%253Dd05b14bd%2526shcp%253D34ff8df6%2526idc%253Dmy2%2526s%253DTIKTOK_AFFILIATE_VIRAL_VIDEO%22%2C%22placeholder_product_id%22%3A%22172942776672272659"&amp;"1%22%2C%22placeholder_video_id%22%3A%227637434089565457672%22%7D&amp;ec_shared_reflux_scene=shop_tab_feed&amp;share_item_id=7637434089565457672&amp;source=h5_t")</f>
        <v>https://www.tiktok.com/@belanja_hemat.shop/video/7637434089565457672?_r=1&amp;u_code=ek6h2252jijmih&amp;region=&amp;mid=7630457200191884048&amp;preview_pb=0&amp;sharer_language=&amp;_d=0&amp;ec_shared_reflux_dynamic_params=%7B%22placeholder_material_id%22%3A%227637434089565457672%22%2C%22placeholder_origin_cover%22%3A%22https%253A%252F%252Fp16-common-sign.tiktokcdn.com%252Ftos-alisg-p-0037%252FoU68zXukAekGDM46QYOGFhAe3MQRen4QADF7Qe~tplv-tiktokx-origin.jpeg%253Fdr%253D14572%2526refresh_token%253Ddcc6e3c7%2526x-expires%253D1810195200%2526x-signature%253DTTfZEfdkLOSRp3%25252FO9MfHUJBgyCA%25253D%2526t%253D4d5b0474%2526ps%253D13740610%2526shp%253Dd05b14bd%2526shcp%253D34ff8df6%2526idc%253Dmy2%2526s%253DTIKTOK_AFFILIATE_VIRAL_VIDEO%22%2C%22placeholder_product_id%22%3A%221729427766722726591%22%2C%22placeholder_video_id%22%3A%227637434089565457672%22%7D&amp;ec_shared_reflux_scene=shop_tab_feed&amp;share_item_id=7637434089565457672&amp;source=h5_t</v>
      </c>
      <c r="M766" s="464"/>
      <c r="N766" s="279" t="str">
        <f>IFERROR(__xludf.DUMMYFUNCTION("""COMPUTED_VALUE"""),"https://www.tiktok.com/@belanja_hemat.shop/video/7637433462634466568?_r=1&amp;u_code=ek6h2252jijmih&amp;region=&amp;mid=7610467977049410325&amp;preview_pb=0&amp;sharer_language=&amp;_d=0&amp;ec_shared_reflux_dynamic_params=%7B%22placeholder_material_id%22%3A%227637433462634466568%22"&amp;"%2C%22placeholder_origin_cover%22%3A%22https%253A%252F%252Fp16-common-sign.tiktokcdn.com%252Ftos-alisg-p-0037%252Fo4NI3fiLQcFM89qUCrdNnUwIBvAriADRxAw02I~tplv-tiktokx-origin.jpeg%253Fdr%253D14572%2526refresh_token%253D8e683870%2526x-expires%253D1810195200%"&amp;"2526x-signature%253Dxt5NWb6rrGL3IQlL2ale%25252BtWRt2Q%25253D%2526t%253D4d5b0474%2526ps%253D13740610%2526shp%253Dd05b14bd%2526shcp%253D34ff8df6%2526idc%253Dmy2%2526s%253DTIKTOK_AFFILIATE_VIRAL_VIDEO%22%2C%22placeholder_product_id%22%3A%22172942776672272659"&amp;"1%22%2C%22placeholder_video_id%22%3A%227637433462634466568%22%7D&amp;ec_shared_reflux_scene=shop_tab_feed&amp;share_item_id=7637433462634466568&amp;source=h5_t")</f>
        <v>https://www.tiktok.com/@belanja_hemat.shop/video/7637433462634466568?_r=1&amp;u_code=ek6h2252jijmih&amp;region=&amp;mid=7610467977049410325&amp;preview_pb=0&amp;sharer_language=&amp;_d=0&amp;ec_shared_reflux_dynamic_params=%7B%22placeholder_material_id%22%3A%227637433462634466568%22%2C%22placeholder_origin_cover%22%3A%22https%253A%252F%252Fp16-common-sign.tiktokcdn.com%252Ftos-alisg-p-0037%252Fo4NI3fiLQcFM89qUCrdNnUwIBvAriADRxAw02I~tplv-tiktokx-origin.jpeg%253Fdr%253D14572%2526refresh_token%253D8e683870%2526x-expires%253D1810195200%2526x-signature%253Dxt5NWb6rrGL3IQlL2ale%25252BtWRt2Q%25253D%2526t%253D4d5b0474%2526ps%253D13740610%2526shp%253Dd05b14bd%2526shcp%253D34ff8df6%2526idc%253Dmy2%2526s%253DTIKTOK_AFFILIATE_VIRAL_VIDEO%22%2C%22placeholder_product_id%22%3A%221729427766722726591%22%2C%22placeholder_video_id%22%3A%227637433462634466568%22%7D&amp;ec_shared_reflux_scene=shop_tab_feed&amp;share_item_id=7637433462634466568&amp;source=h5_t</v>
      </c>
      <c r="O766" s="464"/>
      <c r="P766" s="279" t="str">
        <f>IFERROR(__xludf.DUMMYFUNCTION("""COMPUTED_VALUE"""),"https://www.tiktok.com/@belanja_hemat.shop/video/7637414945700760850?_r=1&amp;u_code=ek6h2252jijmih&amp;region=&amp;mid=7350064657475603206&amp;preview_pb=0&amp;sharer_language=&amp;_d=0&amp;ec_shared_reflux_dynamic_params=%7B%22placeholder_material_id%22%3A%227637414945700760850%22"&amp;"%2C%22placeholder_origin_cover%22%3A%22https%253A%252F%252Fp16-common-sign.tiktokcdn.com%252Ftos-alisg-p-0037%252Fo0PVj2ZqfAAilUTICIG82pArGxMwH0SABCI9i7~tplv-tiktokx-origin.jpeg%253Fdr%253D14572%2526refresh_token%253D0b69c197%2526x-expires%253D1810195200%"&amp;"2526x-signature%253DR%25252FHwVOfU%25252F%25252B9sUj2wR2CmzP1ywO8%25253D%2526t%253D4d5b0474%2526ps%253D13740610%2526shp%253Dd05b14bd%2526shcp%253D34ff8df6%2526idc%253Dmy2%2526s%253DTIKTOK_AFFILIATE_VIRAL_VIDEO%22%2C%22placeholder_product_id%22%3A%22172942"&amp;"7766722726591%22%2C%22placeholder_video_id%22%3A%227637414945700760850%22%7D&amp;ec_shared_reflux_scene=shop_tab_feed&amp;share_item_id=7637414945700760850&amp;source=h5_t")</f>
        <v>https://www.tiktok.com/@belanja_hemat.shop/video/7637414945700760850?_r=1&amp;u_code=ek6h2252jijmih&amp;region=&amp;mid=7350064657475603206&amp;preview_pb=0&amp;sharer_language=&amp;_d=0&amp;ec_shared_reflux_dynamic_params=%7B%22placeholder_material_id%22%3A%227637414945700760850%22%2C%22placeholder_origin_cover%22%3A%22https%253A%252F%252Fp16-common-sign.tiktokcdn.com%252Ftos-alisg-p-0037%252Fo0PVj2ZqfAAilUTICIG82pArGxMwH0SABCI9i7~tplv-tiktokx-origin.jpeg%253Fdr%253D14572%2526refresh_token%253D0b69c197%2526x-expires%253D1810195200%2526x-signature%253DR%25252FHwVOfU%25252F%25252B9sUj2wR2CmzP1ywO8%25253D%2526t%253D4d5b0474%2526ps%253D13740610%2526shp%253Dd05b14bd%2526shcp%253D34ff8df6%2526idc%253Dmy2%2526s%253DTIKTOK_AFFILIATE_VIRAL_VIDEO%22%2C%22placeholder_product_id%22%3A%221729427766722726591%22%2C%22placeholder_video_id%22%3A%227637414945700760850%22%7D&amp;ec_shared_reflux_scene=shop_tab_feed&amp;share_item_id=7637414945700760850&amp;source=h5_t</v>
      </c>
    </row>
    <row r="767">
      <c r="A767" s="255" t="str">
        <f>IFERROR(__xludf.DUMMYFUNCTION("""COMPUTED_VALUE"""),"MICRO")</f>
        <v>MICRO</v>
      </c>
      <c r="B767" s="361" t="str">
        <f>IFERROR(__xludf.DUMMYFUNCTION("""COMPUTED_VALUE"""),"slvistory")</f>
        <v>slvistory</v>
      </c>
      <c r="C767" s="257" t="str">
        <f>IFERROR(__xludf.DUMMYFUNCTION("""COMPUTED_VALUE"""),"https://www.tiktok.com/@slvistory")</f>
        <v>https://www.tiktok.com/@slvistory</v>
      </c>
      <c r="D767" s="270">
        <f>IFERROR(__xludf.DUMMYFUNCTION("""COMPUTED_VALUE"""),8.5882608699E10)</f>
        <v>85882608699</v>
      </c>
      <c r="E767" s="457">
        <f>IFERROR(__xludf.DUMMYFUNCTION("""COMPUTED_VALUE"""),0.0)</f>
        <v>0</v>
      </c>
      <c r="F767" s="270">
        <f>IFERROR(__xludf.DUMMYFUNCTION("""COMPUTED_VALUE"""),1.0)</f>
        <v>1</v>
      </c>
      <c r="G767" s="17" t="str">
        <f>IFERROR(__xludf.DUMMYFUNCTION("""COMPUTED_VALUE"""),"Sabun batang 1 Box ( 2 PCS )")</f>
        <v>Sabun batang 1 Box ( 2 PCS )</v>
      </c>
      <c r="H767" s="463" t="str">
        <f>IFERROR(__xludf.DUMMYFUNCTION("""COMPUTED_VALUE"""),"Sampai")</f>
        <v>Sampai</v>
      </c>
      <c r="I767" s="464" t="str">
        <f>IFERROR(__xludf.DUMMYFUNCTION("""COMPUTED_VALUE"""),"KIMME")</f>
        <v>KIMME</v>
      </c>
      <c r="J767" s="279" t="str">
        <f>IFERROR(__xludf.DUMMYFUNCTION("""COMPUTED_VALUE"""),"https://www.tiktok.com/@byliyah/video/7638485391984692487?_r=1&amp;u_code=dj0c9igeb6ei5f&amp;region=&amp;mid=6954430693141137410&amp;preview_pb=0&amp;sharer_language=&amp;_d=0&amp;ec_shared_reflux_dynamic_params=%7B%22placeholder_material_id%22%3A%227638485391984692487%22%2C%22place"&amp;"holder_origin_cover%22%3A%22https%253A%252F%252Fp16-common-sign.tiktokcdn.com%252Ftos-alisg-p-0037%252FoYWn2BcDqBWwcYWFEJYVcAIgEB7BfAhgeRIgwE~tplv-tiktokx-origin.jpeg%253Fdr%253D14572%2526refresh_token%253D2fe01ccd%2526x-expires%253D1810119600%2526x-signa"&amp;"ture%253DUAIZ%25252Bk7tU%25252FAzY2OOufQWO9Au4O4%25253D%2526t%253D4d5b0474%2526ps%253D13740610%2526shp%253Dd05b14bd%2526shcp%253D34ff8df6%2526idc%253Dmy2%2526s%253DTIKTOK_AFFILIATE_VIRAL_VIDEO%22%2C%22placeholder_product_id%22%3A%221729427766722726591%22%"&amp;"2C%22placeholder_video_id%22%3A%227638485391984692487%22%7D&amp;ec_shared_reflux_scene=shop_tab_feed&amp;share_item_id=7638485391984692487&amp;source=h5_t")</f>
        <v>https://www.tiktok.com/@byliyah/video/7638485391984692487?_r=1&amp;u_code=dj0c9igeb6ei5f&amp;region=&amp;mid=6954430693141137410&amp;preview_pb=0&amp;sharer_language=&amp;_d=0&amp;ec_shared_reflux_dynamic_params=%7B%22placeholder_material_id%22%3A%227638485391984692487%22%2C%22placeholder_origin_cover%22%3A%22https%253A%252F%252Fp16-common-sign.tiktokcdn.com%252Ftos-alisg-p-0037%252FoYWn2BcDqBWwcYWFEJYVcAIgEB7BfAhgeRIgwE~tplv-tiktokx-origin.jpeg%253Fdr%253D14572%2526refresh_token%253D2fe01ccd%2526x-expires%253D1810119600%2526x-signature%253DUAIZ%25252Bk7tU%25252FAzY2OOufQWO9Au4O4%25253D%2526t%253D4d5b0474%2526ps%253D13740610%2526shp%253Dd05b14bd%2526shcp%253D34ff8df6%2526idc%253Dmy2%2526s%253DTIKTOK_AFFILIATE_VIRAL_VIDEO%22%2C%22placeholder_product_id%22%3A%221729427766722726591%22%2C%22placeholder_video_id%22%3A%227638485391984692487%22%7D&amp;ec_shared_reflux_scene=shop_tab_feed&amp;share_item_id=7638485391984692487&amp;source=h5_t</v>
      </c>
      <c r="K767" s="464" t="str">
        <f>IFERROR(__xludf.DUMMYFUNCTION("""COMPUTED_VALUE"""),"KIMME")</f>
        <v>KIMME</v>
      </c>
      <c r="L767" s="279" t="str">
        <f>IFERROR(__xludf.DUMMYFUNCTION("""COMPUTED_VALUE"""),"https://www.tiktok.com/@belanja_hemat.shop/video/7639021111660793106?_r=1&amp;u_code=ek6h2252jijmih&amp;region=&amp;mid=7381176581904878342&amp;preview_pb=0&amp;sharer_language=&amp;_d=0&amp;ec_shared_reflux_dynamic_params=%7B%22placeholder_material_id%22%3A%227639021111660793106%22"&amp;"%2C%22placeholder_origin_cover%22%3A%22https%253A%252F%252Fp16-common-sign.tiktokcdn.com%252Ftos-alisg-p-0037%252Fo0CCUBqB1AQ836Biir2a5AI8CA0DfA6w5IITAP~tplv-tiktokx-origin.jpeg%253Fdr%253D14572%2526refresh_token%253D430a7da8%2526x-expires%253D1810195200%"&amp;"2526x-signature%253DhgCbYrGcNgBUNTxhQO6kw6rRjSA%25253D%2526t%253D4d5b0474%2526ps%253D13740610%2526shp%253Dd05b14bd%2526shcp%253D34ff8df6%2526idc%253Dmy2%2526s%253DTIKTOK_AFFILIATE_VIRAL_VIDEO%22%2C%22placeholder_product_id%22%3A%221729427766722726591%22%2"&amp;"C%22placeholder_video_id%22%3A%227639021111660793106%22%7D&amp;ec_shared_reflux_scene=shop_tab_feed&amp;share_item_id=7639021111660793106&amp;source=h5_t")</f>
        <v>https://www.tiktok.com/@belanja_hemat.shop/video/7639021111660793106?_r=1&amp;u_code=ek6h2252jijmih&amp;region=&amp;mid=7381176581904878342&amp;preview_pb=0&amp;sharer_language=&amp;_d=0&amp;ec_shared_reflux_dynamic_params=%7B%22placeholder_material_id%22%3A%227639021111660793106%22%2C%22placeholder_origin_cover%22%3A%22https%253A%252F%252Fp16-common-sign.tiktokcdn.com%252Ftos-alisg-p-0037%252Fo0CCUBqB1AQ836Biir2a5AI8CA0DfA6w5IITAP~tplv-tiktokx-origin.jpeg%253Fdr%253D14572%2526refresh_token%253D430a7da8%2526x-expires%253D1810195200%2526x-signature%253DhgCbYrGcNgBUNTxhQO6kw6rRjSA%25253D%2526t%253D4d5b0474%2526ps%253D13740610%2526shp%253Dd05b14bd%2526shcp%253D34ff8df6%2526idc%253Dmy2%2526s%253DTIKTOK_AFFILIATE_VIRAL_VIDEO%22%2C%22placeholder_product_id%22%3A%221729427766722726591%22%2C%22placeholder_video_id%22%3A%227639021111660793106%22%7D&amp;ec_shared_reflux_scene=shop_tab_feed&amp;share_item_id=7639021111660793106&amp;source=h5_t</v>
      </c>
      <c r="M767" s="464"/>
      <c r="N767" s="279" t="str">
        <f>IFERROR(__xludf.DUMMYFUNCTION("""COMPUTED_VALUE"""),"https://www.tiktok.com/@belanja_hemat.shop/video/7639186210476281096?_r=1&amp;u_code=ek6h2252jijmih&amp;region=&amp;mid=7493964989192914961&amp;preview_pb=0&amp;sharer_language=&amp;_d=0&amp;ec_shared_reflux_dynamic_params=%7B%22placeholder_material_id%22%3A%227639186210476281096%22"&amp;"%2C%22placeholder_origin_cover%22%3A%22https%253A%252F%252Fp16-common-sign.tiktokcdn.com%252Ftos-alisg-p-0037%252FoAYqnZcfaAznCRL8gIFxA1UDVf1TX29EBEBkDI~tplv-tiktokx-origin.jpeg%253Fdr%253D14572%2526refresh_token%253D9d62377e%2526x-expires%253D1810195200%"&amp;"2526x-signature%253Di05yrHM0FucN8e2bnmhcN0%25252B%25252FxSY%25253D%2526t%253D4d5b0474%2526ps%253D13740610%2526shp%253Dd05b14bd%2526shcp%253D34ff8df6%2526idc%253Dmy2%2526s%253DTIKTOK_AFFILIATE_VIRAL_VIDEO%22%2C%22placeholder_product_id%22%3A%22172972973055"&amp;"5512511%22%2C%22placeholder_video_id%22%3A%227639186210476281096%22%7D&amp;ec_shared_reflux_scene=shop_tab_feed&amp;share_item_id=7639186210476281096&amp;source=h5_t")</f>
        <v>https://www.tiktok.com/@belanja_hemat.shop/video/7639186210476281096?_r=1&amp;u_code=ek6h2252jijmih&amp;region=&amp;mid=7493964989192914961&amp;preview_pb=0&amp;sharer_language=&amp;_d=0&amp;ec_shared_reflux_dynamic_params=%7B%22placeholder_material_id%22%3A%227639186210476281096%22%2C%22placeholder_origin_cover%22%3A%22https%253A%252F%252Fp16-common-sign.tiktokcdn.com%252Ftos-alisg-p-0037%252FoAYqnZcfaAznCRL8gIFxA1UDVf1TX29EBEBkDI~tplv-tiktokx-origin.jpeg%253Fdr%253D14572%2526refresh_token%253D9d62377e%2526x-expires%253D1810195200%2526x-signature%253Di05yrHM0FucN8e2bnmhcN0%25252B%25252FxSY%25253D%2526t%253D4d5b0474%2526ps%253D13740610%2526shp%253Dd05b14bd%2526shcp%253D34ff8df6%2526idc%253Dmy2%2526s%253DTIKTOK_AFFILIATE_VIRAL_VIDEO%22%2C%22placeholder_product_id%22%3A%221729729730555512511%22%2C%22placeholder_video_id%22%3A%227639186210476281096%22%7D&amp;ec_shared_reflux_scene=shop_tab_feed&amp;share_item_id=7639186210476281096&amp;source=h5_t</v>
      </c>
      <c r="O767" s="464"/>
      <c r="P767" s="279" t="str">
        <f>IFERROR(__xludf.DUMMYFUNCTION("""COMPUTED_VALUE"""),"https://www.tiktok.com/@belanja_hemat.shop/video/7638905802882813191?_r=1&amp;u_code=ek6h2252jijmih&amp;region=&amp;mid=7353007391960419077&amp;preview_pb=0&amp;sharer_language=&amp;_d=0&amp;ec_shared_reflux_dynamic_params=%7B%22placeholder_material_id%22%3A%227638905802882813191%22"&amp;"%2C%22placeholder_origin_cover%22%3A%22https%253A%252F%252Fp16-common-sign.tiktokcdn.com%252Ftos-alisg-p-0037%252FoEboEqCiRURfSgAI2gBtNIiAIAiqcxBSnfGBiB~tplv-tiktokx-origin.jpeg%253Fdr%253D14572%2526refresh_token%253D5b3ecce8%2526x-expires%253D1810195200%"&amp;"2526x-signature%253D5k1rbKtIBC3A4bvYC5GDcr44AVw%25253D%2526t%253D4d5b0474%2526ps%253D13740610%2526shp%253Dd05b14bd%2526shcp%253D34ff8df6%2526idc%253Dmy2%2526s%253DTIKTOK_AFFILIATE_VIRAL_VIDEO%22%2C%22placeholder_product_id%22%3A%221729427766722726591%22%2"&amp;"C%22placeholder_video_id%22%3A%227638905802882813191%22%7D&amp;ec_shared_reflux_scene=shop_tab_feed&amp;share_item_id=7638905802882813191&amp;source=h5_t")</f>
        <v>https://www.tiktok.com/@belanja_hemat.shop/video/7638905802882813191?_r=1&amp;u_code=ek6h2252jijmih&amp;region=&amp;mid=7353007391960419077&amp;preview_pb=0&amp;sharer_language=&amp;_d=0&amp;ec_shared_reflux_dynamic_params=%7B%22placeholder_material_id%22%3A%227638905802882813191%22%2C%22placeholder_origin_cover%22%3A%22https%253A%252F%252Fp16-common-sign.tiktokcdn.com%252Ftos-alisg-p-0037%252FoEboEqCiRURfSgAI2gBtNIiAIAiqcxBSnfGBiB~tplv-tiktokx-origin.jpeg%253Fdr%253D14572%2526refresh_token%253D5b3ecce8%2526x-expires%253D1810195200%2526x-signature%253D5k1rbKtIBC3A4bvYC5GDcr44AVw%25253D%2526t%253D4d5b0474%2526ps%253D13740610%2526shp%253Dd05b14bd%2526shcp%253D34ff8df6%2526idc%253Dmy2%2526s%253DTIKTOK_AFFILIATE_VIRAL_VIDEO%22%2C%22placeholder_product_id%22%3A%221729427766722726591%22%2C%22placeholder_video_id%22%3A%227638905802882813191%22%7D&amp;ec_shared_reflux_scene=shop_tab_feed&amp;share_item_id=7638905802882813191&amp;source=h5_t</v>
      </c>
    </row>
    <row r="768">
      <c r="A768" s="255" t="str">
        <f>IFERROR(__xludf.DUMMYFUNCTION("""COMPUTED_VALUE"""),"MACRO")</f>
        <v>MACRO</v>
      </c>
      <c r="B768" s="361" t="str">
        <f>IFERROR(__xludf.DUMMYFUNCTION("""COMPUTED_VALUE"""),"astrikurnia.real")</f>
        <v>astrikurnia.real</v>
      </c>
      <c r="C768" s="257" t="str">
        <f>IFERROR(__xludf.DUMMYFUNCTION("""COMPUTED_VALUE"""),"https://www.tiktok.com/@astrikurnia.real")</f>
        <v>https://www.tiktok.com/@astrikurnia.real</v>
      </c>
      <c r="D768" s="270">
        <f>IFERROR(__xludf.DUMMYFUNCTION("""COMPUTED_VALUE"""),8.8991436207E10)</f>
        <v>88991436207</v>
      </c>
      <c r="E768" s="457">
        <f>IFERROR(__xludf.DUMMYFUNCTION("""COMPUTED_VALUE"""),0.0)</f>
        <v>0</v>
      </c>
      <c r="F768" s="270">
        <f>IFERROR(__xludf.DUMMYFUNCTION("""COMPUTED_VALUE"""),4.0)</f>
        <v>4</v>
      </c>
      <c r="G768" s="17" t="str">
        <f>IFERROR(__xludf.DUMMYFUNCTION("""COMPUTED_VALUE"""),"Sabun batang 1 Box ( 2 PCS )")</f>
        <v>Sabun batang 1 Box ( 2 PCS )</v>
      </c>
      <c r="H768" s="463" t="str">
        <f>IFERROR(__xludf.DUMMYFUNCTION("""COMPUTED_VALUE"""),"Sampai")</f>
        <v>Sampai</v>
      </c>
      <c r="I768" s="464" t="str">
        <f>IFERROR(__xludf.DUMMYFUNCTION("""COMPUTED_VALUE"""),"KIMME")</f>
        <v>KIMME</v>
      </c>
      <c r="J768" s="17"/>
      <c r="K768" s="464" t="str">
        <f>IFERROR(__xludf.DUMMYFUNCTION("""COMPUTED_VALUE"""),"KIMME")</f>
        <v>KIMME</v>
      </c>
      <c r="L768" s="17"/>
      <c r="M768" s="464"/>
      <c r="N768" s="17"/>
      <c r="O768" s="464"/>
      <c r="P768" s="17"/>
    </row>
    <row r="769">
      <c r="A769" s="255" t="str">
        <f>IFERROR(__xludf.DUMMYFUNCTION("""COMPUTED_VALUE"""),"MICRO")</f>
        <v>MICRO</v>
      </c>
      <c r="B769" s="361" t="str">
        <f>IFERROR(__xludf.DUMMYFUNCTION("""COMPUTED_VALUE"""),"aliceohalice0")</f>
        <v>aliceohalice0</v>
      </c>
      <c r="C769" s="257" t="str">
        <f>IFERROR(__xludf.DUMMYFUNCTION("""COMPUTED_VALUE"""),"https://www.tiktok.com/@aliceohalice0")</f>
        <v>https://www.tiktok.com/@aliceohalice0</v>
      </c>
      <c r="D769" s="270">
        <f>IFERROR(__xludf.DUMMYFUNCTION("""COMPUTED_VALUE"""),8.1809483388E10)</f>
        <v>81809483388</v>
      </c>
      <c r="E769" s="457">
        <f>IFERROR(__xludf.DUMMYFUNCTION("""COMPUTED_VALUE"""),0.0)</f>
        <v>0</v>
      </c>
      <c r="F769" s="270">
        <f>IFERROR(__xludf.DUMMYFUNCTION("""COMPUTED_VALUE"""),4.0)</f>
        <v>4</v>
      </c>
      <c r="G769" s="17" t="str">
        <f>IFERROR(__xludf.DUMMYFUNCTION("""COMPUTED_VALUE"""),"Sabun batang 1 Box ( 2 PCS )")</f>
        <v>Sabun batang 1 Box ( 2 PCS )</v>
      </c>
      <c r="H769" s="463" t="str">
        <f>IFERROR(__xludf.DUMMYFUNCTION("""COMPUTED_VALUE"""),"Sampai")</f>
        <v>Sampai</v>
      </c>
      <c r="I769" s="464" t="str">
        <f>IFERROR(__xludf.DUMMYFUNCTION("""COMPUTED_VALUE"""),"KIMME")</f>
        <v>KIMME</v>
      </c>
      <c r="J769" s="279" t="str">
        <f>IFERROR(__xludf.DUMMYFUNCTION("""COMPUTED_VALUE"""),"https://www.tiktok.com/@auroraaa.jm/video/7631613366150286613")</f>
        <v>https://www.tiktok.com/@auroraaa.jm/video/7631613366150286613</v>
      </c>
      <c r="K769" s="464" t="str">
        <f>IFERROR(__xludf.DUMMYFUNCTION("""COMPUTED_VALUE"""),"KIMME")</f>
        <v>KIMME</v>
      </c>
      <c r="L769" s="279" t="str">
        <f>IFERROR(__xludf.DUMMYFUNCTION("""COMPUTED_VALUE"""),"https://vt.tiktok.com/ZS9NJncP5/")</f>
        <v>https://vt.tiktok.com/ZS9NJncP5/</v>
      </c>
      <c r="M769" s="464"/>
      <c r="N769" s="279" t="str">
        <f>IFERROR(__xludf.DUMMYFUNCTION("""COMPUTED_VALUE"""),"https://vt.tiktok.com/ZS9NJEmB9/")</f>
        <v>https://vt.tiktok.com/ZS9NJEmB9/</v>
      </c>
      <c r="O769" s="464"/>
      <c r="P769" s="279" t="str">
        <f>IFERROR(__xludf.DUMMYFUNCTION("""COMPUTED_VALUE"""),"https://vt.tiktok.com/ZS9Ndjhyu/")</f>
        <v>https://vt.tiktok.com/ZS9Ndjhyu/</v>
      </c>
    </row>
    <row r="770">
      <c r="A770" s="255" t="str">
        <f>IFERROR(__xludf.DUMMYFUNCTION("""COMPUTED_VALUE"""),"MICRO")</f>
        <v>MICRO</v>
      </c>
      <c r="B770" s="361" t="str">
        <f>IFERROR(__xludf.DUMMYFUNCTION("""COMPUTED_VALUE"""),"shinto.hk")</f>
        <v>shinto.hk</v>
      </c>
      <c r="C770" s="257" t="str">
        <f>IFERROR(__xludf.DUMMYFUNCTION("""COMPUTED_VALUE"""),"https://www.tiktok.com/@shinto.hk")</f>
        <v>https://www.tiktok.com/@shinto.hk</v>
      </c>
      <c r="D770" s="270">
        <f>IFERROR(__xludf.DUMMYFUNCTION("""COMPUTED_VALUE"""),8.1282906968E10)</f>
        <v>81282906968</v>
      </c>
      <c r="E770" s="457">
        <f>IFERROR(__xludf.DUMMYFUNCTION("""COMPUTED_VALUE"""),0.0)</f>
        <v>0</v>
      </c>
      <c r="F770" s="270">
        <f>IFERROR(__xludf.DUMMYFUNCTION("""COMPUTED_VALUE"""),4.0)</f>
        <v>4</v>
      </c>
      <c r="G770" s="17" t="str">
        <f>IFERROR(__xludf.DUMMYFUNCTION("""COMPUTED_VALUE"""),"Sabun batang 1 Box ( 2 PCS )")</f>
        <v>Sabun batang 1 Box ( 2 PCS )</v>
      </c>
      <c r="H770" s="463" t="str">
        <f>IFERROR(__xludf.DUMMYFUNCTION("""COMPUTED_VALUE"""),"Sampai")</f>
        <v>Sampai</v>
      </c>
      <c r="I770" s="464" t="str">
        <f>IFERROR(__xludf.DUMMYFUNCTION("""COMPUTED_VALUE"""),"KIMME")</f>
        <v>KIMME</v>
      </c>
      <c r="J770" s="279" t="str">
        <f>IFERROR(__xludf.DUMMYFUNCTION("""COMPUTED_VALUE"""),"https://vt.tiktok.com/ZS9NRasbY/")</f>
        <v>https://vt.tiktok.com/ZS9NRasbY/</v>
      </c>
      <c r="K770" s="464" t="str">
        <f>IFERROR(__xludf.DUMMYFUNCTION("""COMPUTED_VALUE"""),"KIMME")</f>
        <v>KIMME</v>
      </c>
      <c r="L770" s="279" t="str">
        <f>IFERROR(__xludf.DUMMYFUNCTION("""COMPUTED_VALUE"""),"https://vt.tiktok.com/ZS9FeKf2G/")</f>
        <v>https://vt.tiktok.com/ZS9FeKf2G/</v>
      </c>
      <c r="M770" s="464"/>
      <c r="N770" s="279" t="str">
        <f>IFERROR(__xludf.DUMMYFUNCTION("""COMPUTED_VALUE"""),"https://vt.tiktok.com/ZS9FdrWKu/")</f>
        <v>https://vt.tiktok.com/ZS9FdrWKu/</v>
      </c>
      <c r="O770" s="464"/>
      <c r="P770" s="279" t="str">
        <f>IFERROR(__xludf.DUMMYFUNCTION("""COMPUTED_VALUE"""),"https://vt.tiktok.com/ZS9Fd88tR/")</f>
        <v>https://vt.tiktok.com/ZS9Fd88tR/</v>
      </c>
    </row>
    <row r="771">
      <c r="A771" s="255" t="str">
        <f>IFERROR(__xludf.DUMMYFUNCTION("""COMPUTED_VALUE"""),"MICRO")</f>
        <v>MICRO</v>
      </c>
      <c r="B771" s="361" t="str">
        <f>IFERROR(__xludf.DUMMYFUNCTION("""COMPUTED_VALUE"""),"annordinarylife")</f>
        <v>annordinarylife</v>
      </c>
      <c r="C771" s="257" t="str">
        <f>IFERROR(__xludf.DUMMYFUNCTION("""COMPUTED_VALUE"""),"https://www.tiktok.com/@annordinarylife")</f>
        <v>https://www.tiktok.com/@annordinarylife</v>
      </c>
      <c r="D771" s="270">
        <f>IFERROR(__xludf.DUMMYFUNCTION("""COMPUTED_VALUE"""),8.9687206599E10)</f>
        <v>89687206599</v>
      </c>
      <c r="E771" s="457">
        <f>IFERROR(__xludf.DUMMYFUNCTION("""COMPUTED_VALUE"""),0.0)</f>
        <v>0</v>
      </c>
      <c r="F771" s="270">
        <f>IFERROR(__xludf.DUMMYFUNCTION("""COMPUTED_VALUE"""),2.0)</f>
        <v>2</v>
      </c>
      <c r="G771" s="17" t="str">
        <f>IFERROR(__xludf.DUMMYFUNCTION("""COMPUTED_VALUE"""),"Sabun batang 1 Box ( 2 PCS )")</f>
        <v>Sabun batang 1 Box ( 2 PCS )</v>
      </c>
      <c r="H771" s="463" t="str">
        <f>IFERROR(__xludf.DUMMYFUNCTION("""COMPUTED_VALUE"""),"Sampai")</f>
        <v>Sampai</v>
      </c>
      <c r="I771" s="464" t="str">
        <f>IFERROR(__xludf.DUMMYFUNCTION("""COMPUTED_VALUE"""),"KIMME")</f>
        <v>KIMME</v>
      </c>
      <c r="J771" s="279" t="str">
        <f>IFERROR(__xludf.DUMMYFUNCTION("""COMPUTED_VALUE"""),"https://vt.tiktok.com/ZS9Fd8Y1u/")</f>
        <v>https://vt.tiktok.com/ZS9Fd8Y1u/</v>
      </c>
      <c r="K771" s="464" t="str">
        <f>IFERROR(__xludf.DUMMYFUNCTION("""COMPUTED_VALUE"""),"KIMME")</f>
        <v>KIMME</v>
      </c>
      <c r="L771" s="279" t="str">
        <f>IFERROR(__xludf.DUMMYFUNCTION("""COMPUTED_VALUE"""),"https://vt.tiktok.com/ZS9FdMRF4/")</f>
        <v>https://vt.tiktok.com/ZS9FdMRF4/</v>
      </c>
      <c r="M771" s="464"/>
      <c r="N771" s="279" t="str">
        <f>IFERROR(__xludf.DUMMYFUNCTION("""COMPUTED_VALUE"""),"https://www.tiktok.com/@belanja_hemat.shop/video/7634331079263980807?_r=1&amp;u_code=ek6h2252jijmih&amp;region=&amp;mid=7578568876850449159&amp;preview_pb=0&amp;sharer_language=&amp;_d=0&amp;ec_shared_reflux_dynamic_params=%7B%22placeholder_material_id%22%3A%227634331079263980807%22"&amp;"%2C%22placeholder_origin_cover%22%3A%22https%253A%252F%252Fp16-common-sign.tiktokcdn.com%252Ftos-alisg-p-0037%252FoAfQoQlMAAekDI4ujFfWSTDCF15jwEIM7k6aDy~tplv-tiktokx-origin.jpeg%253Fdr%253D14572%2526refresh_token%253D90bff591%2526x-expires%253D1810195200%"&amp;"2526x-signature%253D3D%25252F7avYDck8F3YXYmHSDzfr1RrE%25253D%2526t%253D4d5b0474%2526ps%253D13740610%2526shp%253Dd05b14bd%2526shcp%253D34ff8df6%2526idc%253Dmy2%2526s%253DTIKTOK_AFFILIATE_VIRAL_VIDEO%22%2C%22placeholder_product_id%22%3A%22172942776672272659"&amp;"1%22%2C%22placeholder_video_id%22%3A%227634331079263980807%22%7D&amp;ec_shared_reflux_scene=shop_tab_feed&amp;share_item_id=7634331079263980807&amp;source=h5_t")</f>
        <v>https://www.tiktok.com/@belanja_hemat.shop/video/7634331079263980807?_r=1&amp;u_code=ek6h2252jijmih&amp;region=&amp;mid=7578568876850449159&amp;preview_pb=0&amp;sharer_language=&amp;_d=0&amp;ec_shared_reflux_dynamic_params=%7B%22placeholder_material_id%22%3A%227634331079263980807%22%2C%22placeholder_origin_cover%22%3A%22https%253A%252F%252Fp16-common-sign.tiktokcdn.com%252Ftos-alisg-p-0037%252FoAfQoQlMAAekDI4ujFfWSTDCF15jwEIM7k6aDy~tplv-tiktokx-origin.jpeg%253Fdr%253D14572%2526refresh_token%253D90bff591%2526x-expires%253D1810195200%2526x-signature%253D3D%25252F7avYDck8F3YXYmHSDzfr1RrE%25253D%2526t%253D4d5b0474%2526ps%253D13740610%2526shp%253Dd05b14bd%2526shcp%253D34ff8df6%2526idc%253Dmy2%2526s%253DTIKTOK_AFFILIATE_VIRAL_VIDEO%22%2C%22placeholder_product_id%22%3A%221729427766722726591%22%2C%22placeholder_video_id%22%3A%227634331079263980807%22%7D&amp;ec_shared_reflux_scene=shop_tab_feed&amp;share_item_id=7634331079263980807&amp;source=h5_t</v>
      </c>
      <c r="O771" s="464"/>
      <c r="P771" s="17"/>
    </row>
    <row r="772">
      <c r="A772" s="255" t="str">
        <f>IFERROR(__xludf.DUMMYFUNCTION("""COMPUTED_VALUE"""),"MACRO")</f>
        <v>MACRO</v>
      </c>
      <c r="B772" s="361" t="str">
        <f>IFERROR(__xludf.DUMMYFUNCTION("""COMPUTED_VALUE"""),"natasyafifialayda_")</f>
        <v>natasyafifialayda_</v>
      </c>
      <c r="C772" s="257" t="str">
        <f>IFERROR(__xludf.DUMMYFUNCTION("""COMPUTED_VALUE"""),"https://www.tiktok.com/@natasyafifialayda_")</f>
        <v>https://www.tiktok.com/@natasyafifialayda_</v>
      </c>
      <c r="D772" s="270">
        <f>IFERROR(__xludf.DUMMYFUNCTION("""COMPUTED_VALUE"""),8.5210457724E10)</f>
        <v>85210457724</v>
      </c>
      <c r="E772" s="457">
        <f>IFERROR(__xludf.DUMMYFUNCTION("""COMPUTED_VALUE"""),0.0)</f>
        <v>0</v>
      </c>
      <c r="F772" s="270">
        <f>IFERROR(__xludf.DUMMYFUNCTION("""COMPUTED_VALUE"""),2.0)</f>
        <v>2</v>
      </c>
      <c r="G772" s="17" t="str">
        <f>IFERROR(__xludf.DUMMYFUNCTION("""COMPUTED_VALUE"""),"Sabun batang 1 Box ( 2 PCS )")</f>
        <v>Sabun batang 1 Box ( 2 PCS )</v>
      </c>
      <c r="H772" s="463" t="str">
        <f>IFERROR(__xludf.DUMMYFUNCTION("""COMPUTED_VALUE"""),"Sampai")</f>
        <v>Sampai</v>
      </c>
      <c r="I772" s="464" t="str">
        <f>IFERROR(__xludf.DUMMYFUNCTION("""COMPUTED_VALUE"""),"KIMME")</f>
        <v>KIMME</v>
      </c>
      <c r="J772" s="279" t="str">
        <f>IFERROR(__xludf.DUMMYFUNCTION("""COMPUTED_VALUE"""),"https://vt.tiktok.com/ZS9YPK9ru/")</f>
        <v>https://vt.tiktok.com/ZS9YPK9ru/</v>
      </c>
      <c r="K772" s="464" t="str">
        <f>IFERROR(__xludf.DUMMYFUNCTION("""COMPUTED_VALUE"""),"KIMME")</f>
        <v>KIMME</v>
      </c>
      <c r="L772" s="279" t="str">
        <f>IFERROR(__xludf.DUMMYFUNCTION("""COMPUTED_VALUE"""),"https://vt.tiktok.com/ZS9YHuj7M/")</f>
        <v>https://vt.tiktok.com/ZS9YHuj7M/</v>
      </c>
      <c r="M772" s="464"/>
      <c r="N772" s="17"/>
      <c r="O772" s="464"/>
      <c r="P772" s="17"/>
    </row>
    <row r="773">
      <c r="A773" s="255" t="str">
        <f>IFERROR(__xludf.DUMMYFUNCTION("""COMPUTED_VALUE"""),"MACRO")</f>
        <v>MACRO</v>
      </c>
      <c r="B773" s="361" t="str">
        <f>IFERROR(__xludf.DUMMYFUNCTION("""COMPUTED_VALUE"""),"ameeliayl")</f>
        <v>ameeliayl</v>
      </c>
      <c r="C773" s="257" t="str">
        <f>IFERROR(__xludf.DUMMYFUNCTION("""COMPUTED_VALUE"""),"https://www.tiktok.com/@ameeliayl")</f>
        <v>https://www.tiktok.com/@ameeliayl</v>
      </c>
      <c r="D773" s="270">
        <f>IFERROR(__xludf.DUMMYFUNCTION("""COMPUTED_VALUE"""),8.1227748934E10)</f>
        <v>81227748934</v>
      </c>
      <c r="E773" s="457">
        <f>IFERROR(__xludf.DUMMYFUNCTION("""COMPUTED_VALUE"""),0.0)</f>
        <v>0</v>
      </c>
      <c r="F773" s="270">
        <f>IFERROR(__xludf.DUMMYFUNCTION("""COMPUTED_VALUE"""),1.0)</f>
        <v>1</v>
      </c>
      <c r="G773" s="17" t="str">
        <f>IFERROR(__xludf.DUMMYFUNCTION("""COMPUTED_VALUE"""),"Sabun batang 1 Box ( 2 PCS )")</f>
        <v>Sabun batang 1 Box ( 2 PCS )</v>
      </c>
      <c r="H773" s="463" t="str">
        <f>IFERROR(__xludf.DUMMYFUNCTION("""COMPUTED_VALUE"""),"Sampai")</f>
        <v>Sampai</v>
      </c>
      <c r="I773" s="464" t="str">
        <f>IFERROR(__xludf.DUMMYFUNCTION("""COMPUTED_VALUE"""),"KIMME")</f>
        <v>KIMME</v>
      </c>
      <c r="J773" s="279" t="str">
        <f>IFERROR(__xludf.DUMMYFUNCTION("""COMPUTED_VALUE"""),"https://vt.tiktok.com/ZS9YHPMYn/")</f>
        <v>https://vt.tiktok.com/ZS9YHPMYn/</v>
      </c>
      <c r="K773" s="464" t="str">
        <f>IFERROR(__xludf.DUMMYFUNCTION("""COMPUTED_VALUE"""),"KIMME")</f>
        <v>KIMME</v>
      </c>
      <c r="L773" s="279" t="str">
        <f>IFERROR(__xludf.DUMMYFUNCTION("""COMPUTED_VALUE"""),"https://vt.tiktok.com/ZSxdTRRtu/")</f>
        <v>https://vt.tiktok.com/ZSxdTRRtu/</v>
      </c>
      <c r="M773" s="464"/>
      <c r="N773" s="17"/>
      <c r="O773" s="464"/>
      <c r="P773" s="17"/>
    </row>
    <row r="774">
      <c r="A774" s="255" t="str">
        <f>IFERROR(__xludf.DUMMYFUNCTION("""COMPUTED_VALUE"""),"MICRO")</f>
        <v>MICRO</v>
      </c>
      <c r="B774" s="361" t="str">
        <f>IFERROR(__xludf.DUMMYFUNCTION("""COMPUTED_VALUE"""),"makeupfor30s")</f>
        <v>makeupfor30s</v>
      </c>
      <c r="C774" s="257" t="str">
        <f>IFERROR(__xludf.DUMMYFUNCTION("""COMPUTED_VALUE"""),"https://www.tiktok.com/@makeupfor30s")</f>
        <v>https://www.tiktok.com/@makeupfor30s</v>
      </c>
      <c r="D774" s="270">
        <f>IFERROR(__xludf.DUMMYFUNCTION("""COMPUTED_VALUE"""),8.111567102E9)</f>
        <v>8111567102</v>
      </c>
      <c r="E774" s="457">
        <f>IFERROR(__xludf.DUMMYFUNCTION("""COMPUTED_VALUE"""),0.0)</f>
        <v>0</v>
      </c>
      <c r="F774" s="270">
        <f>IFERROR(__xludf.DUMMYFUNCTION("""COMPUTED_VALUE"""),4.0)</f>
        <v>4</v>
      </c>
      <c r="G774" s="17" t="str">
        <f>IFERROR(__xludf.DUMMYFUNCTION("""COMPUTED_VALUE"""),"Sabun batang 1 Box ( 2 PCS )")</f>
        <v>Sabun batang 1 Box ( 2 PCS )</v>
      </c>
      <c r="H774" s="463" t="str">
        <f>IFERROR(__xludf.DUMMYFUNCTION("""COMPUTED_VALUE"""),"Sampai")</f>
        <v>Sampai</v>
      </c>
      <c r="I774" s="464" t="str">
        <f>IFERROR(__xludf.DUMMYFUNCTION("""COMPUTED_VALUE"""),"KIMME")</f>
        <v>KIMME</v>
      </c>
      <c r="J774" s="279" t="str">
        <f>IFERROR(__xludf.DUMMYFUNCTION("""COMPUTED_VALUE"""),"https://vt.tiktok.com/ZS9YHajsv/")</f>
        <v>https://vt.tiktok.com/ZS9YHajsv/</v>
      </c>
      <c r="K774" s="464" t="str">
        <f>IFERROR(__xludf.DUMMYFUNCTION("""COMPUTED_VALUE"""),"KIMME")</f>
        <v>KIMME</v>
      </c>
      <c r="L774" s="279" t="str">
        <f>IFERROR(__xludf.DUMMYFUNCTION("""COMPUTED_VALUE"""),"https://vt.tiktok.com/ZS9YQjE2x/")</f>
        <v>https://vt.tiktok.com/ZS9YQjE2x/</v>
      </c>
      <c r="M774" s="464"/>
      <c r="N774" s="279" t="str">
        <f>IFERROR(__xludf.DUMMYFUNCTION("""COMPUTED_VALUE"""),"https://vt.tiktok.com/ZS9YQRfph/")</f>
        <v>https://vt.tiktok.com/ZS9YQRfph/</v>
      </c>
      <c r="O774" s="464"/>
      <c r="P774" s="279" t="str">
        <f>IFERROR(__xludf.DUMMYFUNCTION("""COMPUTED_VALUE"""),"https://vt.tiktok.com/ZS9hyM9mm/")</f>
        <v>https://vt.tiktok.com/ZS9hyM9mm/</v>
      </c>
    </row>
    <row r="775">
      <c r="A775" s="255" t="str">
        <f>IFERROR(__xludf.DUMMYFUNCTION("""COMPUTED_VALUE"""),"MACRO")</f>
        <v>MACRO</v>
      </c>
      <c r="B775" s="361" t="str">
        <f>IFERROR(__xludf.DUMMYFUNCTION("""COMPUTED_VALUE"""),"inisiara")</f>
        <v>inisiara</v>
      </c>
      <c r="C775" s="257" t="str">
        <f>IFERROR(__xludf.DUMMYFUNCTION("""COMPUTED_VALUE"""),"https://www.tiktok.com/@inisiara")</f>
        <v>https://www.tiktok.com/@inisiara</v>
      </c>
      <c r="D775" s="270">
        <f>IFERROR(__xludf.DUMMYFUNCTION("""COMPUTED_VALUE"""),8.2184353723E10)</f>
        <v>82184353723</v>
      </c>
      <c r="E775" s="457">
        <f>IFERROR(__xludf.DUMMYFUNCTION("""COMPUTED_VALUE"""),0.0)</f>
        <v>0</v>
      </c>
      <c r="F775" s="270">
        <f>IFERROR(__xludf.DUMMYFUNCTION("""COMPUTED_VALUE"""),4.0)</f>
        <v>4</v>
      </c>
      <c r="G775" s="17" t="str">
        <f>IFERROR(__xludf.DUMMYFUNCTION("""COMPUTED_VALUE"""),"Sabun batang 1 Box ( 2 PCS )")</f>
        <v>Sabun batang 1 Box ( 2 PCS )</v>
      </c>
      <c r="H775" s="463" t="str">
        <f>IFERROR(__xludf.DUMMYFUNCTION("""COMPUTED_VALUE"""),"Sampai")</f>
        <v>Sampai</v>
      </c>
      <c r="I775" s="464" t="str">
        <f>IFERROR(__xludf.DUMMYFUNCTION("""COMPUTED_VALUE"""),"KIMME")</f>
        <v>KIMME</v>
      </c>
      <c r="J775" s="279" t="str">
        <f>IFERROR(__xludf.DUMMYFUNCTION("""COMPUTED_VALUE"""),"https://vt.tiktok.com/ZS9kdsfMx/")</f>
        <v>https://vt.tiktok.com/ZS9kdsfMx/</v>
      </c>
      <c r="K775" s="464" t="str">
        <f>IFERROR(__xludf.DUMMYFUNCTION("""COMPUTED_VALUE"""),"KIMME")</f>
        <v>KIMME</v>
      </c>
      <c r="L775" s="279" t="str">
        <f>IFERROR(__xludf.DUMMYFUNCTION("""COMPUTED_VALUE"""),"https://vt.tiktok.com/ZS9hPkX19/")</f>
        <v>https://vt.tiktok.com/ZS9hPkX19/</v>
      </c>
      <c r="M775" s="464"/>
      <c r="N775" s="279" t="str">
        <f>IFERROR(__xludf.DUMMYFUNCTION("""COMPUTED_VALUE"""),"https://vt.tiktok.com/ZS9hP4bWW/")</f>
        <v>https://vt.tiktok.com/ZS9hP4bWW/</v>
      </c>
      <c r="O775" s="464"/>
      <c r="P775" s="279" t="str">
        <f>IFERROR(__xludf.DUMMYFUNCTION("""COMPUTED_VALUE"""),"https://vt.tiktok.com/ZS9hP4bWW/")</f>
        <v>https://vt.tiktok.com/ZS9hP4bWW/</v>
      </c>
    </row>
    <row r="776">
      <c r="A776" s="255" t="str">
        <f>IFERROR(__xludf.DUMMYFUNCTION("""COMPUTED_VALUE"""),"MICRO")</f>
        <v>MICRO</v>
      </c>
      <c r="B776" s="361" t="str">
        <f>IFERROR(__xludf.DUMMYFUNCTION("""COMPUTED_VALUE"""),"nuruladds")</f>
        <v>nuruladds</v>
      </c>
      <c r="C776" s="257" t="str">
        <f>IFERROR(__xludf.DUMMYFUNCTION("""COMPUTED_VALUE"""),"https://www.tiktok.com/@nuruladds")</f>
        <v>https://www.tiktok.com/@nuruladds</v>
      </c>
      <c r="D776" s="270">
        <f>IFERROR(__xludf.DUMMYFUNCTION("""COMPUTED_VALUE"""),8.2118087328E10)</f>
        <v>82118087328</v>
      </c>
      <c r="E776" s="457">
        <f>IFERROR(__xludf.DUMMYFUNCTION("""COMPUTED_VALUE"""),0.0)</f>
        <v>0</v>
      </c>
      <c r="F776" s="270">
        <f>IFERROR(__xludf.DUMMYFUNCTION("""COMPUTED_VALUE"""),2.0)</f>
        <v>2</v>
      </c>
      <c r="G776" s="17" t="str">
        <f>IFERROR(__xludf.DUMMYFUNCTION("""COMPUTED_VALUE"""),"Sabun batang 1 Box ( 2 PCS )")</f>
        <v>Sabun batang 1 Box ( 2 PCS )</v>
      </c>
      <c r="H776" s="463" t="str">
        <f>IFERROR(__xludf.DUMMYFUNCTION("""COMPUTED_VALUE"""),"Sampai")</f>
        <v>Sampai</v>
      </c>
      <c r="I776" s="464" t="str">
        <f>IFERROR(__xludf.DUMMYFUNCTION("""COMPUTED_VALUE"""),"KIMME")</f>
        <v>KIMME</v>
      </c>
      <c r="J776" s="279" t="str">
        <f>IFERROR(__xludf.DUMMYFUNCTION("""COMPUTED_VALUE"""),"https://vt.tiktok.com/ZS9hP7EEu/")</f>
        <v>https://vt.tiktok.com/ZS9hP7EEu/</v>
      </c>
      <c r="K776" s="464" t="str">
        <f>IFERROR(__xludf.DUMMYFUNCTION("""COMPUTED_VALUE"""),"KIMME")</f>
        <v>KIMME</v>
      </c>
      <c r="L776" s="279" t="str">
        <f>IFERROR(__xludf.DUMMYFUNCTION("""COMPUTED_VALUE"""),"https://vt.tiktok.com/ZS9hP3xJf/")</f>
        <v>https://vt.tiktok.com/ZS9hP3xJf/</v>
      </c>
      <c r="M776" s="464"/>
      <c r="N776" s="279" t="str">
        <f>IFERROR(__xludf.DUMMYFUNCTION("""COMPUTED_VALUE"""),"https://vt.tiktok.com/ZS9oho2LF/")</f>
        <v>https://vt.tiktok.com/ZS9oho2LF/</v>
      </c>
      <c r="O776" s="464"/>
      <c r="P776" s="279" t="str">
        <f>IFERROR(__xludf.DUMMYFUNCTION("""COMPUTED_VALUE"""),"https://vt.tiktok.com/ZS9ohCSC2/")</f>
        <v>https://vt.tiktok.com/ZS9ohCSC2/</v>
      </c>
    </row>
    <row r="777">
      <c r="A777" s="255" t="str">
        <f>IFERROR(__xludf.DUMMYFUNCTION("""COMPUTED_VALUE"""),"MICRO")</f>
        <v>MICRO</v>
      </c>
      <c r="B777" s="361" t="str">
        <f>IFERROR(__xludf.DUMMYFUNCTION("""COMPUTED_VALUE"""),"charminenatalie")</f>
        <v>charminenatalie</v>
      </c>
      <c r="C777" s="257" t="str">
        <f>IFERROR(__xludf.DUMMYFUNCTION("""COMPUTED_VALUE"""),"https://www.tiktok.com/@charminenatalie")</f>
        <v>https://www.tiktok.com/@charminenatalie</v>
      </c>
      <c r="D777" s="270">
        <f>IFERROR(__xludf.DUMMYFUNCTION("""COMPUTED_VALUE"""),8.1180003977E10)</f>
        <v>81180003977</v>
      </c>
      <c r="E777" s="457">
        <f>IFERROR(__xludf.DUMMYFUNCTION("""COMPUTED_VALUE"""),0.0)</f>
        <v>0</v>
      </c>
      <c r="F777" s="270">
        <f>IFERROR(__xludf.DUMMYFUNCTION("""COMPUTED_VALUE"""),2.0)</f>
        <v>2</v>
      </c>
      <c r="G777" s="17" t="str">
        <f>IFERROR(__xludf.DUMMYFUNCTION("""COMPUTED_VALUE"""),"Sabun batang 1 Box ( 2 PCS )")</f>
        <v>Sabun batang 1 Box ( 2 PCS )</v>
      </c>
      <c r="H777" s="463" t="str">
        <f>IFERROR(__xludf.DUMMYFUNCTION("""COMPUTED_VALUE"""),"Sampai")</f>
        <v>Sampai</v>
      </c>
      <c r="I777" s="464" t="str">
        <f>IFERROR(__xludf.DUMMYFUNCTION("""COMPUTED_VALUE"""),"KIMME")</f>
        <v>KIMME</v>
      </c>
      <c r="J777" s="279" t="str">
        <f>IFERROR(__xludf.DUMMYFUNCTION("""COMPUTED_VALUE"""),"https://vt.tiktok.com/ZS9huoVnC/")</f>
        <v>https://vt.tiktok.com/ZS9huoVnC/</v>
      </c>
      <c r="K777" s="464" t="str">
        <f>IFERROR(__xludf.DUMMYFUNCTION("""COMPUTED_VALUE"""),"KIMME")</f>
        <v>KIMME</v>
      </c>
      <c r="L777" s="279" t="str">
        <f>IFERROR(__xludf.DUMMYFUNCTION("""COMPUTED_VALUE"""),"https://vt.tiktok.com/ZS9hH2huB/")</f>
        <v>https://vt.tiktok.com/ZS9hH2huB/</v>
      </c>
      <c r="M777" s="464"/>
      <c r="N777" s="279" t="str">
        <f>IFERROR(__xludf.DUMMYFUNCTION("""COMPUTED_VALUE"""),"https://vt.tiktok.com/ZS9ohVSCy/")</f>
        <v>https://vt.tiktok.com/ZS9ohVSCy/</v>
      </c>
      <c r="O777" s="464"/>
      <c r="P777" s="279" t="str">
        <f>IFERROR(__xludf.DUMMYFUNCTION("""COMPUTED_VALUE"""),"https://vt.tiktok.com/ZS9ohXQQw/")</f>
        <v>https://vt.tiktok.com/ZS9ohXQQw/</v>
      </c>
    </row>
    <row r="778">
      <c r="A778" s="255" t="str">
        <f>IFERROR(__xludf.DUMMYFUNCTION("""COMPUTED_VALUE"""),"MICRO")</f>
        <v>MICRO</v>
      </c>
      <c r="B778" s="361" t="str">
        <f>IFERROR(__xludf.DUMMYFUNCTION("""COMPUTED_VALUE"""),"toxicrown")</f>
        <v>toxicrown</v>
      </c>
      <c r="C778" s="257" t="str">
        <f>IFERROR(__xludf.DUMMYFUNCTION("""COMPUTED_VALUE"""),"https://www.tiktok.com/@toxicrown")</f>
        <v>https://www.tiktok.com/@toxicrown</v>
      </c>
      <c r="D778" s="270">
        <f>IFERROR(__xludf.DUMMYFUNCTION("""COMPUTED_VALUE"""),8.518323311E10)</f>
        <v>85183233110</v>
      </c>
      <c r="E778" s="457">
        <f>IFERROR(__xludf.DUMMYFUNCTION("""COMPUTED_VALUE"""),0.0)</f>
        <v>0</v>
      </c>
      <c r="F778" s="270">
        <f>IFERROR(__xludf.DUMMYFUNCTION("""COMPUTED_VALUE"""),3.0)</f>
        <v>3</v>
      </c>
      <c r="G778" s="17" t="str">
        <f>IFERROR(__xludf.DUMMYFUNCTION("""COMPUTED_VALUE"""),"Sabun batang 1 Box ( 2 PCS )")</f>
        <v>Sabun batang 1 Box ( 2 PCS )</v>
      </c>
      <c r="H778" s="463" t="str">
        <f>IFERROR(__xludf.DUMMYFUNCTION("""COMPUTED_VALUE"""),"Sampai")</f>
        <v>Sampai</v>
      </c>
      <c r="I778" s="464" t="str">
        <f>IFERROR(__xludf.DUMMYFUNCTION("""COMPUTED_VALUE"""),"KIMME")</f>
        <v>KIMME</v>
      </c>
      <c r="J778" s="279" t="str">
        <f>IFERROR(__xludf.DUMMYFUNCTION("""COMPUTED_VALUE"""),"https://vt.tiktok.com/ZS9kJpuyh/")</f>
        <v>https://vt.tiktok.com/ZS9kJpuyh/</v>
      </c>
      <c r="K778" s="464" t="str">
        <f>IFERROR(__xludf.DUMMYFUNCTION("""COMPUTED_VALUE"""),"KIMME")</f>
        <v>KIMME</v>
      </c>
      <c r="L778" s="279" t="str">
        <f>IFERROR(__xludf.DUMMYFUNCTION("""COMPUTED_VALUE"""),"https://vt.tiktok.com/ZS9keLoH3/")</f>
        <v>https://vt.tiktok.com/ZS9keLoH3/</v>
      </c>
      <c r="M778" s="464"/>
      <c r="N778" s="279" t="str">
        <f>IFERROR(__xludf.DUMMYFUNCTION("""COMPUTED_VALUE"""),"https://vt.tiktok.com/ZS92M1nCj/")</f>
        <v>https://vt.tiktok.com/ZS92M1nCj/</v>
      </c>
      <c r="O778" s="464"/>
      <c r="P778" s="279" t="str">
        <f>IFERROR(__xludf.DUMMYFUNCTION("""COMPUTED_VALUE"""),"https://vt.tiktok.com/ZS9ojo7hA/")</f>
        <v>https://vt.tiktok.com/ZS9ojo7hA/</v>
      </c>
    </row>
    <row r="779">
      <c r="A779" s="255" t="str">
        <f>IFERROR(__xludf.DUMMYFUNCTION("""COMPUTED_VALUE"""),"MICRO")</f>
        <v>MICRO</v>
      </c>
      <c r="B779" s="361" t="str">
        <f>IFERROR(__xludf.DUMMYFUNCTION("""COMPUTED_VALUE"""),"notyourbasicsugarbaby")</f>
        <v>notyourbasicsugarbaby</v>
      </c>
      <c r="C779" s="257" t="str">
        <f>IFERROR(__xludf.DUMMYFUNCTION("""COMPUTED_VALUE"""),"https://www.tiktok.com/@notyourbasicsugarbaby")</f>
        <v>https://www.tiktok.com/@notyourbasicsugarbaby</v>
      </c>
      <c r="D779" s="270"/>
      <c r="E779" s="457">
        <f>IFERROR(__xludf.DUMMYFUNCTION("""COMPUTED_VALUE"""),0.0)</f>
        <v>0</v>
      </c>
      <c r="F779" s="270">
        <f>IFERROR(__xludf.DUMMYFUNCTION("""COMPUTED_VALUE"""),3.0)</f>
        <v>3</v>
      </c>
      <c r="G779" s="17" t="str">
        <f>IFERROR(__xludf.DUMMYFUNCTION("""COMPUTED_VALUE"""),"Sabun batang 1 Box ( 2 PCS )")</f>
        <v>Sabun batang 1 Box ( 2 PCS )</v>
      </c>
      <c r="H779" s="463" t="str">
        <f>IFERROR(__xludf.DUMMYFUNCTION("""COMPUTED_VALUE"""),"Sampai")</f>
        <v>Sampai</v>
      </c>
      <c r="I779" s="464" t="str">
        <f>IFERROR(__xludf.DUMMYFUNCTION("""COMPUTED_VALUE"""),"KIMME")</f>
        <v>KIMME</v>
      </c>
      <c r="J779" s="279" t="str">
        <f>IFERROR(__xludf.DUMMYFUNCTION("""COMPUTED_VALUE"""),"https://vt.tiktok.com/ZS9Ma5n9k/")</f>
        <v>https://vt.tiktok.com/ZS9Ma5n9k/</v>
      </c>
      <c r="K779" s="464" t="str">
        <f>IFERROR(__xludf.DUMMYFUNCTION("""COMPUTED_VALUE"""),"KIMME")</f>
        <v>KIMME</v>
      </c>
      <c r="L779" s="279" t="str">
        <f>IFERROR(__xludf.DUMMYFUNCTION("""COMPUTED_VALUE"""),"https://vt.tiktok.com/ZS9hCG8PL/")</f>
        <v>https://vt.tiktok.com/ZS9hCG8PL/</v>
      </c>
      <c r="M779" s="464"/>
      <c r="N779" s="279" t="str">
        <f>IFERROR(__xludf.DUMMYFUNCTION("""COMPUTED_VALUE"""),"https://vt.tiktok.com/ZS9hEqqJd/")</f>
        <v>https://vt.tiktok.com/ZS9hEqqJd/</v>
      </c>
      <c r="O779" s="464"/>
      <c r="P779" s="279" t="str">
        <f>IFERROR(__xludf.DUMMYFUNCTION("""COMPUTED_VALUE"""),"https://vt.tiktok.com/ZS9o6dYPY/")</f>
        <v>https://vt.tiktok.com/ZS9o6dYPY/</v>
      </c>
    </row>
    <row r="780">
      <c r="A780" s="255" t="str">
        <f>IFERROR(__xludf.DUMMYFUNCTION("""COMPUTED_VALUE"""),"MICRO")</f>
        <v>MICRO</v>
      </c>
      <c r="B780" s="361" t="str">
        <f>IFERROR(__xludf.DUMMYFUNCTION("""COMPUTED_VALUE"""),"kyutcutee")</f>
        <v>kyutcutee</v>
      </c>
      <c r="C780" s="257" t="str">
        <f>IFERROR(__xludf.DUMMYFUNCTION("""COMPUTED_VALUE"""),"https://www.tiktok.com/@kyutcutee")</f>
        <v>https://www.tiktok.com/@kyutcutee</v>
      </c>
      <c r="D780" s="270">
        <f>IFERROR(__xludf.DUMMYFUNCTION("""COMPUTED_VALUE"""),8.95332561285E11)</f>
        <v>895332561285</v>
      </c>
      <c r="E780" s="457">
        <f>IFERROR(__xludf.DUMMYFUNCTION("""COMPUTED_VALUE"""),0.0)</f>
        <v>0</v>
      </c>
      <c r="F780" s="270">
        <f>IFERROR(__xludf.DUMMYFUNCTION("""COMPUTED_VALUE"""),4.0)</f>
        <v>4</v>
      </c>
      <c r="G780" s="17" t="str">
        <f>IFERROR(__xludf.DUMMYFUNCTION("""COMPUTED_VALUE"""),"Sabun batang 1 Box ( 2 PCS )")</f>
        <v>Sabun batang 1 Box ( 2 PCS )</v>
      </c>
      <c r="H780" s="463" t="str">
        <f>IFERROR(__xludf.DUMMYFUNCTION("""COMPUTED_VALUE"""),"Sampai")</f>
        <v>Sampai</v>
      </c>
      <c r="I780" s="464" t="str">
        <f>IFERROR(__xludf.DUMMYFUNCTION("""COMPUTED_VALUE"""),"KIMME")</f>
        <v>KIMME</v>
      </c>
      <c r="J780" s="279" t="str">
        <f>IFERROR(__xludf.DUMMYFUNCTION("""COMPUTED_VALUE"""),"https://www.tiktok.com/@berkah.glosir/video/7633252601953340693")</f>
        <v>https://www.tiktok.com/@berkah.glosir/video/7633252601953340693</v>
      </c>
      <c r="K780" s="464" t="str">
        <f>IFERROR(__xludf.DUMMYFUNCTION("""COMPUTED_VALUE"""),"KIMME")</f>
        <v>KIMME</v>
      </c>
      <c r="L780" s="279" t="str">
        <f>IFERROR(__xludf.DUMMYFUNCTION("""COMPUTED_VALUE"""),"https://www.tiktok.com/@berkah.glosir/video/7633251968873467157")</f>
        <v>https://www.tiktok.com/@berkah.glosir/video/7633251968873467157</v>
      </c>
      <c r="M780" s="464"/>
      <c r="N780" s="17" t="str">
        <f>IFERROR(__xludf.DUMMYFUNCTION("""COMPUTED_VALUE"""),"⁠https://vt.tiktok.com/ZS9MomEDg/")</f>
        <v>⁠https://vt.tiktok.com/ZS9MomEDg/</v>
      </c>
      <c r="O780" s="464"/>
      <c r="P780" s="279" t="str">
        <f>IFERROR(__xludf.DUMMYFUNCTION("""COMPUTED_VALUE"""),"https://vt.tiktok.com/ZS9h5Gt8a/")</f>
        <v>https://vt.tiktok.com/ZS9h5Gt8a/</v>
      </c>
    </row>
    <row r="781">
      <c r="A781" s="255" t="str">
        <f>IFERROR(__xludf.DUMMYFUNCTION("""COMPUTED_VALUE"""),"MACRO")</f>
        <v>MACRO</v>
      </c>
      <c r="B781" s="361" t="str">
        <f>IFERROR(__xludf.DUMMYFUNCTION("""COMPUTED_VALUE"""),"meyandjoe")</f>
        <v>meyandjoe</v>
      </c>
      <c r="C781" s="257" t="str">
        <f>IFERROR(__xludf.DUMMYFUNCTION("""COMPUTED_VALUE"""),"https://www.tiktok.com/@meyandjoe")</f>
        <v>https://www.tiktok.com/@meyandjoe</v>
      </c>
      <c r="D781" s="270">
        <f>IFERROR(__xludf.DUMMYFUNCTION("""COMPUTED_VALUE"""),8.2130270007E10)</f>
        <v>82130270007</v>
      </c>
      <c r="E781" s="457">
        <f>IFERROR(__xludf.DUMMYFUNCTION("""COMPUTED_VALUE"""),0.0)</f>
        <v>0</v>
      </c>
      <c r="F781" s="270">
        <f>IFERROR(__xludf.DUMMYFUNCTION("""COMPUTED_VALUE"""),1.0)</f>
        <v>1</v>
      </c>
      <c r="G781" s="17" t="str">
        <f>IFERROR(__xludf.DUMMYFUNCTION("""COMPUTED_VALUE"""),"Sabun batang 1 Box ( 2 PCS )")</f>
        <v>Sabun batang 1 Box ( 2 PCS )</v>
      </c>
      <c r="H781" s="463" t="str">
        <f>IFERROR(__xludf.DUMMYFUNCTION("""COMPUTED_VALUE"""),"Sampai")</f>
        <v>Sampai</v>
      </c>
      <c r="I781" s="464" t="str">
        <f>IFERROR(__xludf.DUMMYFUNCTION("""COMPUTED_VALUE"""),"KIMME")</f>
        <v>KIMME</v>
      </c>
      <c r="J781" s="279" t="str">
        <f>IFERROR(__xludf.DUMMYFUNCTION("""COMPUTED_VALUE"""),"https://vt.tiktok.com/ZS9h5g6cD/")</f>
        <v>https://vt.tiktok.com/ZS9h5g6cD/</v>
      </c>
      <c r="K781" s="464" t="str">
        <f>IFERROR(__xludf.DUMMYFUNCTION("""COMPUTED_VALUE"""),"KIMME")</f>
        <v>KIMME</v>
      </c>
      <c r="L781" s="279" t="str">
        <f>IFERROR(__xludf.DUMMYFUNCTION("""COMPUTED_VALUE"""),"https://vt.tiktok.com/ZS9ofNoEv/")</f>
        <v>https://vt.tiktok.com/ZS9ofNoEv/</v>
      </c>
      <c r="M781" s="464"/>
      <c r="N781" s="17"/>
      <c r="O781" s="464"/>
      <c r="P781" s="17"/>
    </row>
    <row r="782">
      <c r="A782" s="255" t="str">
        <f>IFERROR(__xludf.DUMMYFUNCTION("""COMPUTED_VALUE"""),"MACRO")</f>
        <v>MACRO</v>
      </c>
      <c r="B782" s="361" t="str">
        <f>IFERROR(__xludf.DUMMYFUNCTION("""COMPUTED_VALUE"""),"regiitenk")</f>
        <v>regiitenk</v>
      </c>
      <c r="C782" s="257" t="str">
        <f>IFERROR(__xludf.DUMMYFUNCTION("""COMPUTED_VALUE"""),"https://www.tiktok.com/@regiitenk")</f>
        <v>https://www.tiktok.com/@regiitenk</v>
      </c>
      <c r="D782" s="270">
        <f>IFERROR(__xludf.DUMMYFUNCTION("""COMPUTED_VALUE"""),8.118066685E9)</f>
        <v>8118066685</v>
      </c>
      <c r="E782" s="457">
        <f>IFERROR(__xludf.DUMMYFUNCTION("""COMPUTED_VALUE"""),0.0)</f>
        <v>0</v>
      </c>
      <c r="F782" s="270">
        <f>IFERROR(__xludf.DUMMYFUNCTION("""COMPUTED_VALUE"""),1.0)</f>
        <v>1</v>
      </c>
      <c r="G782" s="17" t="str">
        <f>IFERROR(__xludf.DUMMYFUNCTION("""COMPUTED_VALUE"""),"Sabun batang 1 Box ( 2 PCS )")</f>
        <v>Sabun batang 1 Box ( 2 PCS )</v>
      </c>
      <c r="H782" s="463" t="str">
        <f>IFERROR(__xludf.DUMMYFUNCTION("""COMPUTED_VALUE"""),"Sampai")</f>
        <v>Sampai</v>
      </c>
      <c r="I782" s="464" t="str">
        <f>IFERROR(__xludf.DUMMYFUNCTION("""COMPUTED_VALUE"""),"KIMME")</f>
        <v>KIMME</v>
      </c>
      <c r="J782" s="17" t="str">
        <f>IFERROR(__xludf.DUMMYFUNCTION("""COMPUTED_VALUE"""),"⁠https://vt.tiktok.com/ZS9h538pU/")</f>
        <v>⁠https://vt.tiktok.com/ZS9h538pU/</v>
      </c>
      <c r="K782" s="464" t="str">
        <f>IFERROR(__xludf.DUMMYFUNCTION("""COMPUTED_VALUE"""),"KIMME")</f>
        <v>KIMME</v>
      </c>
      <c r="L782" s="279" t="str">
        <f>IFERROR(__xludf.DUMMYFUNCTION("""COMPUTED_VALUE"""),"https://vt.tiktok.com/ZS9oytkAt/")</f>
        <v>https://vt.tiktok.com/ZS9oytkAt/</v>
      </c>
      <c r="M782" s="464"/>
      <c r="N782" s="17"/>
      <c r="O782" s="464"/>
      <c r="P782" s="17"/>
    </row>
    <row r="783">
      <c r="A783" s="255" t="str">
        <f>IFERROR(__xludf.DUMMYFUNCTION("""COMPUTED_VALUE"""),"MACRO")</f>
        <v>MACRO</v>
      </c>
      <c r="B783" s="361" t="str">
        <f>IFERROR(__xludf.DUMMYFUNCTION("""COMPUTED_VALUE"""),"rarahumaira08")</f>
        <v>rarahumaira08</v>
      </c>
      <c r="C783" s="257" t="str">
        <f>IFERROR(__xludf.DUMMYFUNCTION("""COMPUTED_VALUE"""),"https://www.tiktok.com/@rarahumaira08")</f>
        <v>https://www.tiktok.com/@rarahumaira08</v>
      </c>
      <c r="D783" s="270">
        <f>IFERROR(__xludf.DUMMYFUNCTION("""COMPUTED_VALUE"""),8.5323381631E10)</f>
        <v>85323381631</v>
      </c>
      <c r="E783" s="457">
        <f>IFERROR(__xludf.DUMMYFUNCTION("""COMPUTED_VALUE"""),0.0)</f>
        <v>0</v>
      </c>
      <c r="F783" s="270">
        <f>IFERROR(__xludf.DUMMYFUNCTION("""COMPUTED_VALUE"""),1.0)</f>
        <v>1</v>
      </c>
      <c r="G783" s="17" t="str">
        <f>IFERROR(__xludf.DUMMYFUNCTION("""COMPUTED_VALUE"""),"Sabun batang 1 Box ( 2 PCS )")</f>
        <v>Sabun batang 1 Box ( 2 PCS )</v>
      </c>
      <c r="H783" s="463" t="str">
        <f>IFERROR(__xludf.DUMMYFUNCTION("""COMPUTED_VALUE"""),"Sampai")</f>
        <v>Sampai</v>
      </c>
      <c r="I783" s="464" t="str">
        <f>IFERROR(__xludf.DUMMYFUNCTION("""COMPUTED_VALUE"""),"KIMME")</f>
        <v>KIMME</v>
      </c>
      <c r="J783" s="17" t="str">
        <f>IFERROR(__xludf.DUMMYFUNCTION("""COMPUTED_VALUE"""),"⁠https://vt.tiktok.com/ZS9h5oCNM/")</f>
        <v>⁠https://vt.tiktok.com/ZS9h5oCNM/</v>
      </c>
      <c r="K783" s="464" t="str">
        <f>IFERROR(__xludf.DUMMYFUNCTION("""COMPUTED_VALUE"""),"KIMME")</f>
        <v>KIMME</v>
      </c>
      <c r="L783" s="279" t="str">
        <f>IFERROR(__xludf.DUMMYFUNCTION("""COMPUTED_VALUE"""),"https://vt.tiktok.com/ZS9oyTRBe/")</f>
        <v>https://vt.tiktok.com/ZS9oyTRBe/</v>
      </c>
      <c r="M783" s="464"/>
      <c r="N783" s="17"/>
      <c r="O783" s="464"/>
      <c r="P783" s="17"/>
    </row>
    <row r="784">
      <c r="A784" s="255" t="str">
        <f>IFERROR(__xludf.DUMMYFUNCTION("""COMPUTED_VALUE"""),"MICRO")</f>
        <v>MICRO</v>
      </c>
      <c r="B784" s="361" t="str">
        <f>IFERROR(__xludf.DUMMYFUNCTION("""COMPUTED_VALUE"""),"sintakurniawati.61")</f>
        <v>sintakurniawati.61</v>
      </c>
      <c r="C784" s="257" t="str">
        <f>IFERROR(__xludf.DUMMYFUNCTION("""COMPUTED_VALUE"""),"https://www.tiktok.com/@sintakurniawati.61")</f>
        <v>https://www.tiktok.com/@sintakurniawati.61</v>
      </c>
      <c r="D784" s="270">
        <f>IFERROR(__xludf.DUMMYFUNCTION("""COMPUTED_VALUE"""),8.5875542623E10)</f>
        <v>85875542623</v>
      </c>
      <c r="E784" s="457">
        <f>IFERROR(__xludf.DUMMYFUNCTION("""COMPUTED_VALUE"""),0.0)</f>
        <v>0</v>
      </c>
      <c r="F784" s="270">
        <f>IFERROR(__xludf.DUMMYFUNCTION("""COMPUTED_VALUE"""),2.0)</f>
        <v>2</v>
      </c>
      <c r="G784" s="17" t="str">
        <f>IFERROR(__xludf.DUMMYFUNCTION("""COMPUTED_VALUE"""),"Sabun batang 1 Box ( 2 PCS )")</f>
        <v>Sabun batang 1 Box ( 2 PCS )</v>
      </c>
      <c r="H784" s="463" t="str">
        <f>IFERROR(__xludf.DUMMYFUNCTION("""COMPUTED_VALUE"""),"Sampai")</f>
        <v>Sampai</v>
      </c>
      <c r="I784" s="464" t="str">
        <f>IFERROR(__xludf.DUMMYFUNCTION("""COMPUTED_VALUE"""),"KIMME")</f>
        <v>KIMME</v>
      </c>
      <c r="J784" s="17" t="str">
        <f>IFERROR(__xludf.DUMMYFUNCTION("""COMPUTED_VALUE"""),"⁠https://vt.tiktok.com/ZS9MDHmW9/")</f>
        <v>⁠https://vt.tiktok.com/ZS9MDHmW9/</v>
      </c>
      <c r="K784" s="464" t="str">
        <f>IFERROR(__xludf.DUMMYFUNCTION("""COMPUTED_VALUE"""),"KIMME")</f>
        <v>KIMME</v>
      </c>
      <c r="L784" s="17" t="str">
        <f>IFERROR(__xludf.DUMMYFUNCTION("""COMPUTED_VALUE"""),"⁠https://vt.tiktok.com/ZS9MDXsEv/")</f>
        <v>⁠https://vt.tiktok.com/ZS9MDXsEv/</v>
      </c>
      <c r="M784" s="464"/>
      <c r="N784" s="279" t="str">
        <f>IFERROR(__xludf.DUMMYFUNCTION("""COMPUTED_VALUE"""),"https://vt.tiktok.com/ZSxA53ecP/")</f>
        <v>https://vt.tiktok.com/ZSxA53ecP/</v>
      </c>
      <c r="O784" s="464"/>
      <c r="P784" s="279" t="str">
        <f>IFERROR(__xludf.DUMMYFUNCTION("""COMPUTED_VALUE"""),"https://vt.tiktok.com/ZSxSxubbN/")</f>
        <v>https://vt.tiktok.com/ZSxSxubbN/</v>
      </c>
    </row>
    <row r="785">
      <c r="A785" s="255" t="str">
        <f>IFERROR(__xludf.DUMMYFUNCTION("""COMPUTED_VALUE"""),"MICRO")</f>
        <v>MICRO</v>
      </c>
      <c r="B785" s="361" t="str">
        <f>IFERROR(__xludf.DUMMYFUNCTION("""COMPUTED_VALUE"""),"putriliyanasari94")</f>
        <v>putriliyanasari94</v>
      </c>
      <c r="C785" s="257" t="str">
        <f>IFERROR(__xludf.DUMMYFUNCTION("""COMPUTED_VALUE"""),"https://www.tiktok.com/@putriliyanasari94")</f>
        <v>https://www.tiktok.com/@putriliyanasari94</v>
      </c>
      <c r="D785" s="270">
        <f>IFERROR(__xludf.DUMMYFUNCTION("""COMPUTED_VALUE"""),8.561283708E9)</f>
        <v>8561283708</v>
      </c>
      <c r="E785" s="457">
        <f>IFERROR(__xludf.DUMMYFUNCTION("""COMPUTED_VALUE"""),0.0)</f>
        <v>0</v>
      </c>
      <c r="F785" s="270">
        <f>IFERROR(__xludf.DUMMYFUNCTION("""COMPUTED_VALUE"""),4.0)</f>
        <v>4</v>
      </c>
      <c r="G785" s="17" t="str">
        <f>IFERROR(__xludf.DUMMYFUNCTION("""COMPUTED_VALUE"""),"Sabun batang 1 Box ( 2 PCS )")</f>
        <v>Sabun batang 1 Box ( 2 PCS )</v>
      </c>
      <c r="H785" s="463" t="str">
        <f>IFERROR(__xludf.DUMMYFUNCTION("""COMPUTED_VALUE"""),"Sampai")</f>
        <v>Sampai</v>
      </c>
      <c r="I785" s="464" t="str">
        <f>IFERROR(__xludf.DUMMYFUNCTION("""COMPUTED_VALUE"""),"KIMME")</f>
        <v>KIMME</v>
      </c>
      <c r="J785" s="279" t="str">
        <f>IFERROR(__xludf.DUMMYFUNCTION("""COMPUTED_VALUE"""),"https://vt.tiktok.com/ZS9MGwHp3/")</f>
        <v>https://vt.tiktok.com/ZS9MGwHp3/</v>
      </c>
      <c r="K785" s="464" t="str">
        <f>IFERROR(__xludf.DUMMYFUNCTION("""COMPUTED_VALUE"""),"KIMME")</f>
        <v>KIMME</v>
      </c>
      <c r="L785" s="17" t="str">
        <f>IFERROR(__xludf.DUMMYFUNCTION("""COMPUTED_VALUE"""),"⁠https://vt.tiktok.com/ZS9MGgRB2/")</f>
        <v>⁠https://vt.tiktok.com/ZS9MGgRB2/</v>
      </c>
      <c r="M785" s="464"/>
      <c r="N785" s="279" t="str">
        <f>IFERROR(__xludf.DUMMYFUNCTION("""COMPUTED_VALUE"""),"https://vt.tiktok.com/ZS9MoMFVB/")</f>
        <v>https://vt.tiktok.com/ZS9MoMFVB/</v>
      </c>
      <c r="O785" s="464"/>
      <c r="P785" s="279" t="str">
        <f>IFERROR(__xludf.DUMMYFUNCTION("""COMPUTED_VALUE"""),"https://vt.tiktok.com/ZS9MoPy9Y/")</f>
        <v>https://vt.tiktok.com/ZS9MoPy9Y/</v>
      </c>
    </row>
    <row r="786">
      <c r="A786" s="255" t="str">
        <f>IFERROR(__xludf.DUMMYFUNCTION("""COMPUTED_VALUE"""),"MICRO")</f>
        <v>MICRO</v>
      </c>
      <c r="B786" s="361" t="str">
        <f>IFERROR(__xludf.DUMMYFUNCTION("""COMPUTED_VALUE"""),"sunny.beaute")</f>
        <v>sunny.beaute</v>
      </c>
      <c r="C786" s="257" t="str">
        <f>IFERROR(__xludf.DUMMYFUNCTION("""COMPUTED_VALUE"""),"https://www.tiktok.com/@sunny.beaute")</f>
        <v>https://www.tiktok.com/@sunny.beaute</v>
      </c>
      <c r="D786" s="270">
        <f>IFERROR(__xludf.DUMMYFUNCTION("""COMPUTED_VALUE"""),8.1359683514E10)</f>
        <v>81359683514</v>
      </c>
      <c r="E786" s="457">
        <f>IFERROR(__xludf.DUMMYFUNCTION("""COMPUTED_VALUE"""),0.0)</f>
        <v>0</v>
      </c>
      <c r="F786" s="270">
        <f>IFERROR(__xludf.DUMMYFUNCTION("""COMPUTED_VALUE"""),1.0)</f>
        <v>1</v>
      </c>
      <c r="G786" s="17" t="str">
        <f>IFERROR(__xludf.DUMMYFUNCTION("""COMPUTED_VALUE"""),"Sabun batang 1 Box ( 2 PCS )")</f>
        <v>Sabun batang 1 Box ( 2 PCS )</v>
      </c>
      <c r="H786" s="463" t="str">
        <f>IFERROR(__xludf.DUMMYFUNCTION("""COMPUTED_VALUE"""),"Sampai")</f>
        <v>Sampai</v>
      </c>
      <c r="I786" s="464" t="str">
        <f>IFERROR(__xludf.DUMMYFUNCTION("""COMPUTED_VALUE"""),"KIMME")</f>
        <v>KIMME</v>
      </c>
      <c r="J786" s="279" t="str">
        <f>IFERROR(__xludf.DUMMYFUNCTION("""COMPUTED_VALUE"""),"https://vt.tiktok.com/ZS9YMrpLy/")</f>
        <v>https://vt.tiktok.com/ZS9YMrpLy/</v>
      </c>
      <c r="K786" s="464" t="str">
        <f>IFERROR(__xludf.DUMMYFUNCTION("""COMPUTED_VALUE"""),"KIMME")</f>
        <v>KIMME</v>
      </c>
      <c r="L786" s="279" t="str">
        <f>IFERROR(__xludf.DUMMYFUNCTION("""COMPUTED_VALUE"""),"https://vt.tiktok.com/ZS9oywm9B/")</f>
        <v>https://vt.tiktok.com/ZS9oywm9B/</v>
      </c>
      <c r="M786" s="464"/>
      <c r="N786" s="279" t="str">
        <f>IFERROR(__xludf.DUMMYFUNCTION("""COMPUTED_VALUE"""),"https://vt.tiktok.com/ZSx8DFCo2/")</f>
        <v>https://vt.tiktok.com/ZSx8DFCo2/</v>
      </c>
      <c r="O786" s="464"/>
      <c r="P786" s="279" t="str">
        <f>IFERROR(__xludf.DUMMYFUNCTION("""COMPUTED_VALUE"""),"https://vt.tiktok.com/ZSx8Avftd/")</f>
        <v>https://vt.tiktok.com/ZSx8Avftd/</v>
      </c>
    </row>
    <row r="787">
      <c r="A787" s="255" t="str">
        <f>IFERROR(__xludf.DUMMYFUNCTION("""COMPUTED_VALUE"""),"MICRO")</f>
        <v>MICRO</v>
      </c>
      <c r="B787" s="361" t="str">
        <f>IFERROR(__xludf.DUMMYFUNCTION("""COMPUTED_VALUE"""),"ucancallmedinarr")</f>
        <v>ucancallmedinarr</v>
      </c>
      <c r="C787" s="257" t="str">
        <f>IFERROR(__xludf.DUMMYFUNCTION("""COMPUTED_VALUE"""),"https://www.tiktok.com/@ucancallmedinarr")</f>
        <v>https://www.tiktok.com/@ucancallmedinarr</v>
      </c>
      <c r="D787" s="270">
        <f>IFERROR(__xludf.DUMMYFUNCTION("""COMPUTED_VALUE"""),8.2174227339E10)</f>
        <v>82174227339</v>
      </c>
      <c r="E787" s="457">
        <f>IFERROR(__xludf.DUMMYFUNCTION("""COMPUTED_VALUE"""),0.0)</f>
        <v>0</v>
      </c>
      <c r="F787" s="270">
        <f>IFERROR(__xludf.DUMMYFUNCTION("""COMPUTED_VALUE"""),4.0)</f>
        <v>4</v>
      </c>
      <c r="G787" s="17" t="str">
        <f>IFERROR(__xludf.DUMMYFUNCTION("""COMPUTED_VALUE"""),"Sabun batang 1 Box ( 2 PCS )")</f>
        <v>Sabun batang 1 Box ( 2 PCS )</v>
      </c>
      <c r="H787" s="463" t="str">
        <f>IFERROR(__xludf.DUMMYFUNCTION("""COMPUTED_VALUE"""),"Sampai")</f>
        <v>Sampai</v>
      </c>
      <c r="I787" s="464" t="str">
        <f>IFERROR(__xludf.DUMMYFUNCTION("""COMPUTED_VALUE"""),"KIMME")</f>
        <v>KIMME</v>
      </c>
      <c r="J787" s="279" t="str">
        <f>IFERROR(__xludf.DUMMYFUNCTION("""COMPUTED_VALUE"""),"https://vt.tiktok.com/ZS9YMYmaa/")</f>
        <v>https://vt.tiktok.com/ZS9YMYmaa/</v>
      </c>
      <c r="K787" s="464" t="str">
        <f>IFERROR(__xludf.DUMMYFUNCTION("""COMPUTED_VALUE"""),"KIMME")</f>
        <v>KIMME</v>
      </c>
      <c r="L787" s="279" t="str">
        <f>IFERROR(__xludf.DUMMYFUNCTION("""COMPUTED_VALUE"""),"https://vt.tiktok.com/ZS9jxmaFt/")</f>
        <v>https://vt.tiktok.com/ZS9jxmaFt/</v>
      </c>
      <c r="M787" s="464"/>
      <c r="N787" s="17" t="str">
        <f>IFERROR(__xludf.DUMMYFUNCTION("""COMPUTED_VALUE"""),"⁠https://vt.tiktok.com/ZS9jxtWtH/")</f>
        <v>⁠https://vt.tiktok.com/ZS9jxtWtH/</v>
      </c>
      <c r="O787" s="464"/>
      <c r="P787" s="17" t="str">
        <f>IFERROR(__xludf.DUMMYFUNCTION("""COMPUTED_VALUE"""),"⁠https://vt.tiktok.com/ZS9jxbyWu/")</f>
        <v>⁠https://vt.tiktok.com/ZS9jxbyWu/</v>
      </c>
    </row>
    <row r="788">
      <c r="A788" s="255" t="str">
        <f>IFERROR(__xludf.DUMMYFUNCTION("""COMPUTED_VALUE"""),"MICRO")</f>
        <v>MICRO</v>
      </c>
      <c r="B788" s="361" t="str">
        <f>IFERROR(__xludf.DUMMYFUNCTION("""COMPUTED_VALUE"""),"iwayhrsss")</f>
        <v>iwayhrsss</v>
      </c>
      <c r="C788" s="257" t="str">
        <f>IFERROR(__xludf.DUMMYFUNCTION("""COMPUTED_VALUE"""),"https://www.tiktok.com/@iwayhrsss")</f>
        <v>https://www.tiktok.com/@iwayhrsss</v>
      </c>
      <c r="D788" s="270">
        <f>IFERROR(__xludf.DUMMYFUNCTION("""COMPUTED_VALUE"""),8.9541404873E11)</f>
        <v>895414048730</v>
      </c>
      <c r="E788" s="457">
        <f>IFERROR(__xludf.DUMMYFUNCTION("""COMPUTED_VALUE"""),0.0)</f>
        <v>0</v>
      </c>
      <c r="F788" s="270">
        <f>IFERROR(__xludf.DUMMYFUNCTION("""COMPUTED_VALUE"""),4.0)</f>
        <v>4</v>
      </c>
      <c r="G788" s="17" t="str">
        <f>IFERROR(__xludf.DUMMYFUNCTION("""COMPUTED_VALUE"""),"Sabun batang 1 Box ( 2 PCS )")</f>
        <v>Sabun batang 1 Box ( 2 PCS )</v>
      </c>
      <c r="H788" s="463" t="str">
        <f>IFERROR(__xludf.DUMMYFUNCTION("""COMPUTED_VALUE"""),"Sampai")</f>
        <v>Sampai</v>
      </c>
      <c r="I788" s="464" t="str">
        <f>IFERROR(__xludf.DUMMYFUNCTION("""COMPUTED_VALUE"""),"KIMME")</f>
        <v>KIMME</v>
      </c>
      <c r="J788" s="279" t="str">
        <f>IFERROR(__xludf.DUMMYFUNCTION("""COMPUTED_VALUE"""),"https://vt.tiktok.com/ZS9jxH24H/")</f>
        <v>https://vt.tiktok.com/ZS9jxH24H/</v>
      </c>
      <c r="K788" s="464" t="str">
        <f>IFERROR(__xludf.DUMMYFUNCTION("""COMPUTED_VALUE"""),"KIMME")</f>
        <v>KIMME</v>
      </c>
      <c r="L788" s="279" t="str">
        <f>IFERROR(__xludf.DUMMYFUNCTION("""COMPUTED_VALUE"""),"https://vt.tiktok.com/ZS9jxq7o1/")</f>
        <v>https://vt.tiktok.com/ZS9jxq7o1/</v>
      </c>
      <c r="M788" s="464"/>
      <c r="N788" s="279" t="str">
        <f>IFERROR(__xludf.DUMMYFUNCTION("""COMPUTED_VALUE"""),"https://vt.tiktok.com/ZS9jxHPgg/")</f>
        <v>https://vt.tiktok.com/ZS9jxHPgg/</v>
      </c>
      <c r="O788" s="464"/>
      <c r="P788" s="17" t="str">
        <f>IFERROR(__xludf.DUMMYFUNCTION("""COMPUTED_VALUE"""),"⁠⁠⁠⁠https://vt.tiktok.com/ZS9jxgyJj/")</f>
        <v>⁠⁠⁠⁠https://vt.tiktok.com/ZS9jxgyJj/</v>
      </c>
    </row>
    <row r="789">
      <c r="A789" s="255" t="str">
        <f>IFERROR(__xludf.DUMMYFUNCTION("""COMPUTED_VALUE"""),"MICRO")</f>
        <v>MICRO</v>
      </c>
      <c r="B789" s="361" t="str">
        <f>IFERROR(__xludf.DUMMYFUNCTION("""COMPUTED_VALUE"""),"meryytrr")</f>
        <v>meryytrr</v>
      </c>
      <c r="C789" s="257" t="str">
        <f>IFERROR(__xludf.DUMMYFUNCTION("""COMPUTED_VALUE"""),"https://www.tiktok.com/@meryytrr")</f>
        <v>https://www.tiktok.com/@meryytrr</v>
      </c>
      <c r="D789" s="270">
        <f>IFERROR(__xludf.DUMMYFUNCTION("""COMPUTED_VALUE"""),8.135871605E10)</f>
        <v>81358716050</v>
      </c>
      <c r="E789" s="457">
        <f>IFERROR(__xludf.DUMMYFUNCTION("""COMPUTED_VALUE"""),0.0)</f>
        <v>0</v>
      </c>
      <c r="F789" s="270">
        <f>IFERROR(__xludf.DUMMYFUNCTION("""COMPUTED_VALUE"""),4.0)</f>
        <v>4</v>
      </c>
      <c r="G789" s="17" t="str">
        <f>IFERROR(__xludf.DUMMYFUNCTION("""COMPUTED_VALUE"""),"Sabun batang 1 Box ( 2 PCS )")</f>
        <v>Sabun batang 1 Box ( 2 PCS )</v>
      </c>
      <c r="H789" s="463" t="str">
        <f>IFERROR(__xludf.DUMMYFUNCTION("""COMPUTED_VALUE"""),"Sampai")</f>
        <v>Sampai</v>
      </c>
      <c r="I789" s="464" t="str">
        <f>IFERROR(__xludf.DUMMYFUNCTION("""COMPUTED_VALUE"""),"KIMME")</f>
        <v>KIMME</v>
      </c>
      <c r="J789" s="17" t="str">
        <f>IFERROR(__xludf.DUMMYFUNCTION("""COMPUTED_VALUE"""),"⁠https://vt.tiktok.com/ZS9jxwBp8/")</f>
        <v>⁠https://vt.tiktok.com/ZS9jxwBp8/</v>
      </c>
      <c r="K789" s="464" t="str">
        <f>IFERROR(__xludf.DUMMYFUNCTION("""COMPUTED_VALUE"""),"KIMME")</f>
        <v>KIMME</v>
      </c>
      <c r="L789" s="17" t="str">
        <f>IFERROR(__xludf.DUMMYFUNCTION("""COMPUTED_VALUE"""),"⁠https://vt.tiktok.com/ZS9jxwwQ8/")</f>
        <v>⁠https://vt.tiktok.com/ZS9jxwwQ8/</v>
      </c>
      <c r="M789" s="464"/>
      <c r="N789" s="17" t="str">
        <f>IFERROR(__xludf.DUMMYFUNCTION("""COMPUTED_VALUE"""),"⁠https://vt.tiktok.com/ZS9jxuhpe/")</f>
        <v>⁠https://vt.tiktok.com/ZS9jxuhpe/</v>
      </c>
      <c r="O789" s="464"/>
      <c r="P789" s="279" t="str">
        <f>IFERROR(__xludf.DUMMYFUNCTION("""COMPUTED_VALUE"""),"https://vt.tiktok.com/ZS9h5uhrW/")</f>
        <v>https://vt.tiktok.com/ZS9h5uhrW/</v>
      </c>
    </row>
    <row r="790">
      <c r="A790" s="255" t="str">
        <f>IFERROR(__xludf.DUMMYFUNCTION("""COMPUTED_VALUE"""),"MICRO")</f>
        <v>MICRO</v>
      </c>
      <c r="B790" s="361" t="str">
        <f>IFERROR(__xludf.DUMMYFUNCTION("""COMPUTED_VALUE"""),"lenylisna")</f>
        <v>lenylisna</v>
      </c>
      <c r="C790" s="257" t="str">
        <f>IFERROR(__xludf.DUMMYFUNCTION("""COMPUTED_VALUE"""),"https://www.tiktok.com/@lenylisna")</f>
        <v>https://www.tiktok.com/@lenylisna</v>
      </c>
      <c r="D790" s="270">
        <f>IFERROR(__xludf.DUMMYFUNCTION("""COMPUTED_VALUE"""),8.5934801999E10)</f>
        <v>85934801999</v>
      </c>
      <c r="E790" s="457">
        <f>IFERROR(__xludf.DUMMYFUNCTION("""COMPUTED_VALUE"""),0.0)</f>
        <v>0</v>
      </c>
      <c r="F790" s="270">
        <f>IFERROR(__xludf.DUMMYFUNCTION("""COMPUTED_VALUE"""),2.0)</f>
        <v>2</v>
      </c>
      <c r="G790" s="17" t="str">
        <f>IFERROR(__xludf.DUMMYFUNCTION("""COMPUTED_VALUE"""),"Sabun batang 1 Box ( 2 PCS )")</f>
        <v>Sabun batang 1 Box ( 2 PCS )</v>
      </c>
      <c r="H790" s="463" t="str">
        <f>IFERROR(__xludf.DUMMYFUNCTION("""COMPUTED_VALUE"""),"Sampai")</f>
        <v>Sampai</v>
      </c>
      <c r="I790" s="464" t="str">
        <f>IFERROR(__xludf.DUMMYFUNCTION("""COMPUTED_VALUE"""),"KIMME")</f>
        <v>KIMME</v>
      </c>
      <c r="J790" s="17" t="str">
        <f>IFERROR(__xludf.DUMMYFUNCTION("""COMPUTED_VALUE"""),"⁠https://vt.tiktok.com/ZS9h58msH/")</f>
        <v>⁠https://vt.tiktok.com/ZS9h58msH/</v>
      </c>
      <c r="K790" s="464" t="str">
        <f>IFERROR(__xludf.DUMMYFUNCTION("""COMPUTED_VALUE"""),"KIMME")</f>
        <v>KIMME</v>
      </c>
      <c r="L790" s="17" t="str">
        <f>IFERROR(__xludf.DUMMYFUNCTION("""COMPUTED_VALUE"""),"⁠https://vt.tiktok.com/ZS9h56Jxn/")</f>
        <v>⁠https://vt.tiktok.com/ZS9h56Jxn/</v>
      </c>
      <c r="M790" s="464"/>
      <c r="N790" s="279" t="str">
        <f>IFERROR(__xludf.DUMMYFUNCTION("""COMPUTED_VALUE"""),"https://vt.tiktok.com/ZSxdTLKwF/")</f>
        <v>https://vt.tiktok.com/ZSxdTLKwF/</v>
      </c>
      <c r="O790" s="464"/>
      <c r="P790" s="279" t="str">
        <f>IFERROR(__xludf.DUMMYFUNCTION("""COMPUTED_VALUE"""),"https://vt.tiktok.com/ZSxdTyFEY/")</f>
        <v>https://vt.tiktok.com/ZSxdTyFEY/</v>
      </c>
    </row>
    <row r="791">
      <c r="A791" s="255" t="str">
        <f>IFERROR(__xludf.DUMMYFUNCTION("""COMPUTED_VALUE"""),"MICRO")</f>
        <v>MICRO</v>
      </c>
      <c r="B791" s="361" t="str">
        <f>IFERROR(__xludf.DUMMYFUNCTION("""COMPUTED_VALUE"""),"kartikapuji_w")</f>
        <v>kartikapuji_w</v>
      </c>
      <c r="C791" s="257" t="str">
        <f>IFERROR(__xludf.DUMMYFUNCTION("""COMPUTED_VALUE"""),"https://www.tiktok.com/@kartikapuji_w")</f>
        <v>https://www.tiktok.com/@kartikapuji_w</v>
      </c>
      <c r="D791" s="270">
        <f>IFERROR(__xludf.DUMMYFUNCTION("""COMPUTED_VALUE"""),8.5712007506E10)</f>
        <v>85712007506</v>
      </c>
      <c r="E791" s="457">
        <f>IFERROR(__xludf.DUMMYFUNCTION("""COMPUTED_VALUE"""),0.0)</f>
        <v>0</v>
      </c>
      <c r="F791" s="270">
        <f>IFERROR(__xludf.DUMMYFUNCTION("""COMPUTED_VALUE"""),2.0)</f>
        <v>2</v>
      </c>
      <c r="G791" s="17" t="str">
        <f>IFERROR(__xludf.DUMMYFUNCTION("""COMPUTED_VALUE"""),"Sabun batang 1 Box ( 2 PCS )")</f>
        <v>Sabun batang 1 Box ( 2 PCS )</v>
      </c>
      <c r="H791" s="463" t="str">
        <f>IFERROR(__xludf.DUMMYFUNCTION("""COMPUTED_VALUE"""),"Sampai")</f>
        <v>Sampai</v>
      </c>
      <c r="I791" s="464" t="str">
        <f>IFERROR(__xludf.DUMMYFUNCTION("""COMPUTED_VALUE"""),"KIMME")</f>
        <v>KIMME</v>
      </c>
      <c r="J791" s="17" t="str">
        <f>IFERROR(__xludf.DUMMYFUNCTION("""COMPUTED_VALUE"""),"⁠https://vt.tiktok.com/ZS9h5MnbW/")</f>
        <v>⁠https://vt.tiktok.com/ZS9h5MnbW/</v>
      </c>
      <c r="K791" s="464" t="str">
        <f>IFERROR(__xludf.DUMMYFUNCTION("""COMPUTED_VALUE"""),"KIMME")</f>
        <v>KIMME</v>
      </c>
      <c r="L791" s="279" t="str">
        <f>IFERROR(__xludf.DUMMYFUNCTION("""COMPUTED_VALUE"""),"https://vt.tiktok.com/ZS9h5fj1T/")</f>
        <v>https://vt.tiktok.com/ZS9h5fj1T/</v>
      </c>
      <c r="M791" s="464"/>
      <c r="N791" s="279" t="str">
        <f>IFERROR(__xludf.DUMMYFUNCTION("""COMPUTED_VALUE"""),"https://vt.tiktok.com/ZSxdTjqUg/")</f>
        <v>https://vt.tiktok.com/ZSxdTjqUg/</v>
      </c>
      <c r="O791" s="464"/>
      <c r="P791" s="279" t="str">
        <f>IFERROR(__xludf.DUMMYFUNCTION("""COMPUTED_VALUE"""),"https://vt.tiktok.com/ZS9oMFYqa/")</f>
        <v>https://vt.tiktok.com/ZS9oMFYqa/</v>
      </c>
    </row>
    <row r="792">
      <c r="A792" s="255" t="str">
        <f>IFERROR(__xludf.DUMMYFUNCTION("""COMPUTED_VALUE"""),"MICRO")</f>
        <v>MICRO</v>
      </c>
      <c r="B792" s="361" t="str">
        <f>IFERROR(__xludf.DUMMYFUNCTION("""COMPUTED_VALUE"""),"korinirmala")</f>
        <v>korinirmala</v>
      </c>
      <c r="C792" s="257" t="str">
        <f>IFERROR(__xludf.DUMMYFUNCTION("""COMPUTED_VALUE"""),"https://www.tiktok.com/@korinirmala")</f>
        <v>https://www.tiktok.com/@korinirmala</v>
      </c>
      <c r="D792" s="270">
        <f>IFERROR(__xludf.DUMMYFUNCTION("""COMPUTED_VALUE"""),8.1287936197E10)</f>
        <v>81287936197</v>
      </c>
      <c r="E792" s="457">
        <f>IFERROR(__xludf.DUMMYFUNCTION("""COMPUTED_VALUE"""),0.0)</f>
        <v>0</v>
      </c>
      <c r="F792" s="270">
        <f>IFERROR(__xludf.DUMMYFUNCTION("""COMPUTED_VALUE"""),4.0)</f>
        <v>4</v>
      </c>
      <c r="G792" s="17" t="str">
        <f>IFERROR(__xludf.DUMMYFUNCTION("""COMPUTED_VALUE"""),"Sabun batang 1 Box ( 2 PCS )")</f>
        <v>Sabun batang 1 Box ( 2 PCS )</v>
      </c>
      <c r="H792" s="463" t="str">
        <f>IFERROR(__xludf.DUMMYFUNCTION("""COMPUTED_VALUE"""),"Sampai")</f>
        <v>Sampai</v>
      </c>
      <c r="I792" s="464" t="str">
        <f>IFERROR(__xludf.DUMMYFUNCTION("""COMPUTED_VALUE"""),"KIMME")</f>
        <v>KIMME</v>
      </c>
      <c r="J792" s="17" t="str">
        <f>IFERROR(__xludf.DUMMYFUNCTION("""COMPUTED_VALUE"""),"⁠⁠https://vt.tiktok.com/ZS9h5PYCJ/")</f>
        <v>⁠⁠https://vt.tiktok.com/ZS9h5PYCJ/</v>
      </c>
      <c r="K792" s="464" t="str">
        <f>IFERROR(__xludf.DUMMYFUNCTION("""COMPUTED_VALUE"""),"KIMME")</f>
        <v>KIMME</v>
      </c>
      <c r="L792" s="279" t="str">
        <f>IFERROR(__xludf.DUMMYFUNCTION("""COMPUTED_VALUE"""),"https://vt.tiktok.com/ZS9NrteoD/")</f>
        <v>https://vt.tiktok.com/ZS9NrteoD/</v>
      </c>
      <c r="M792" s="464"/>
      <c r="N792" s="279" t="str">
        <f>IFERROR(__xludf.DUMMYFUNCTION("""COMPUTED_VALUE"""),"https://vt.tiktok.com/ZS9Nrce8F/")</f>
        <v>https://vt.tiktok.com/ZS9Nrce8F/</v>
      </c>
      <c r="O792" s="464"/>
      <c r="P792" s="17" t="str">
        <f>IFERROR(__xludf.DUMMYFUNCTION("""COMPUTED_VALUE"""),"⁠https://vt.tiktok.com/ZS9NrbFPv/")</f>
        <v>⁠https://vt.tiktok.com/ZS9NrbFPv/</v>
      </c>
    </row>
    <row r="793">
      <c r="A793" s="255" t="str">
        <f>IFERROR(__xludf.DUMMYFUNCTION("""COMPUTED_VALUE"""),"MICRO")</f>
        <v>MICRO</v>
      </c>
      <c r="B793" s="361" t="str">
        <f>IFERROR(__xludf.DUMMYFUNCTION("""COMPUTED_VALUE"""),"nrmld__")</f>
        <v>nrmld__</v>
      </c>
      <c r="C793" s="257" t="str">
        <f>IFERROR(__xludf.DUMMYFUNCTION("""COMPUTED_VALUE"""),"https://www.tiktok.com/@nrmld__")</f>
        <v>https://www.tiktok.com/@nrmld__</v>
      </c>
      <c r="D793" s="270">
        <f>IFERROR(__xludf.DUMMYFUNCTION("""COMPUTED_VALUE"""),8.2146774223E10)</f>
        <v>82146774223</v>
      </c>
      <c r="E793" s="457">
        <f>IFERROR(__xludf.DUMMYFUNCTION("""COMPUTED_VALUE"""),0.0)</f>
        <v>0</v>
      </c>
      <c r="F793" s="270">
        <f>IFERROR(__xludf.DUMMYFUNCTION("""COMPUTED_VALUE"""),3.0)</f>
        <v>3</v>
      </c>
      <c r="G793" s="17" t="str">
        <f>IFERROR(__xludf.DUMMYFUNCTION("""COMPUTED_VALUE"""),"Sabun batang 1 Box ( 2 PCS )")</f>
        <v>Sabun batang 1 Box ( 2 PCS )</v>
      </c>
      <c r="H793" s="463" t="str">
        <f>IFERROR(__xludf.DUMMYFUNCTION("""COMPUTED_VALUE"""),"Sampai")</f>
        <v>Sampai</v>
      </c>
      <c r="I793" s="464" t="str">
        <f>IFERROR(__xludf.DUMMYFUNCTION("""COMPUTED_VALUE"""),"KIMME")</f>
        <v>KIMME</v>
      </c>
      <c r="J793" s="17" t="str">
        <f>IFERROR(__xludf.DUMMYFUNCTION("""COMPUTED_VALUE"""),"⁠https://vt.tiktok.com/ZS9Nrcuk8/")</f>
        <v>⁠https://vt.tiktok.com/ZS9Nrcuk8/</v>
      </c>
      <c r="K793" s="464" t="str">
        <f>IFERROR(__xludf.DUMMYFUNCTION("""COMPUTED_VALUE"""),"KIMME")</f>
        <v>KIMME</v>
      </c>
      <c r="L793" s="17" t="str">
        <f>IFERROR(__xludf.DUMMYFUNCTION("""COMPUTED_VALUE"""),"⁠https://vt.tiktok.com/ZS9Nr3EUT/")</f>
        <v>⁠https://vt.tiktok.com/ZS9Nr3EUT/</v>
      </c>
      <c r="M793" s="464"/>
      <c r="N793" s="17" t="str">
        <f>IFERROR(__xludf.DUMMYFUNCTION("""COMPUTED_VALUE"""),"⁠https://vt.tiktok.com/ZS9NrbVJv/")</f>
        <v>⁠https://vt.tiktok.com/ZS9NrbVJv/</v>
      </c>
      <c r="O793" s="464"/>
      <c r="P793" s="279" t="str">
        <f>IFERROR(__xludf.DUMMYFUNCTION("""COMPUTED_VALUE"""),"https://vt.tiktok.com/ZS9orGVtR/")</f>
        <v>https://vt.tiktok.com/ZS9orGVtR/</v>
      </c>
    </row>
    <row r="794">
      <c r="A794" s="255" t="str">
        <f>IFERROR(__xludf.DUMMYFUNCTION("""COMPUTED_VALUE"""),"MICRO")</f>
        <v>MICRO</v>
      </c>
      <c r="B794" s="361" t="str">
        <f>IFERROR(__xludf.DUMMYFUNCTION("""COMPUTED_VALUE"""),"pipit.outfit01")</f>
        <v>pipit.outfit01</v>
      </c>
      <c r="C794" s="257" t="str">
        <f>IFERROR(__xludf.DUMMYFUNCTION("""COMPUTED_VALUE"""),"https://www.tiktok.com/@pipit.outfit01")</f>
        <v>https://www.tiktok.com/@pipit.outfit01</v>
      </c>
      <c r="D794" s="270">
        <f>IFERROR(__xludf.DUMMYFUNCTION("""COMPUTED_VALUE"""),8.117041088E9)</f>
        <v>8117041088</v>
      </c>
      <c r="E794" s="457">
        <f>IFERROR(__xludf.DUMMYFUNCTION("""COMPUTED_VALUE"""),0.0)</f>
        <v>0</v>
      </c>
      <c r="F794" s="270">
        <f>IFERROR(__xludf.DUMMYFUNCTION("""COMPUTED_VALUE"""),4.0)</f>
        <v>4</v>
      </c>
      <c r="G794" s="17" t="str">
        <f>IFERROR(__xludf.DUMMYFUNCTION("""COMPUTED_VALUE"""),"Sabun batang 1 Box ( 2 PCS )")</f>
        <v>Sabun batang 1 Box ( 2 PCS )</v>
      </c>
      <c r="H794" s="463" t="str">
        <f>IFERROR(__xludf.DUMMYFUNCTION("""COMPUTED_VALUE"""),"Sampai")</f>
        <v>Sampai</v>
      </c>
      <c r="I794" s="464" t="str">
        <f>IFERROR(__xludf.DUMMYFUNCTION("""COMPUTED_VALUE"""),"KIMME")</f>
        <v>KIMME</v>
      </c>
      <c r="J794" s="17" t="str">
        <f>IFERROR(__xludf.DUMMYFUNCTION("""COMPUTED_VALUE"""),"⁠https://vt.tiktok.com/ZS9Nrvddd/")</f>
        <v>⁠https://vt.tiktok.com/ZS9Nrvddd/</v>
      </c>
      <c r="K794" s="464" t="str">
        <f>IFERROR(__xludf.DUMMYFUNCTION("""COMPUTED_VALUE"""),"KIMME")</f>
        <v>KIMME</v>
      </c>
      <c r="L794" s="17" t="str">
        <f>IFERROR(__xludf.DUMMYFUNCTION("""COMPUTED_VALUE"""),"⁠https://vt.tiktok.com/ZS9NrGV91/")</f>
        <v>⁠https://vt.tiktok.com/ZS9NrGV91/</v>
      </c>
      <c r="M794" s="464"/>
      <c r="N794" s="17" t="str">
        <f>IFERROR(__xludf.DUMMYFUNCTION("""COMPUTED_VALUE"""),"⁠https://vt.tiktok.com/ZS9NrGmpd/")</f>
        <v>⁠https://vt.tiktok.com/ZS9NrGmpd/</v>
      </c>
      <c r="O794" s="464"/>
      <c r="P794" s="279" t="str">
        <f>IFERROR(__xludf.DUMMYFUNCTION("""COMPUTED_VALUE"""),"https://vt.tiktok.com/ZS9NQYW6g/")</f>
        <v>https://vt.tiktok.com/ZS9NQYW6g/</v>
      </c>
    </row>
    <row r="795">
      <c r="A795" s="255" t="str">
        <f>IFERROR(__xludf.DUMMYFUNCTION("""COMPUTED_VALUE"""),"MICRO")</f>
        <v>MICRO</v>
      </c>
      <c r="B795" s="361" t="str">
        <f>IFERROR(__xludf.DUMMYFUNCTION("""COMPUTED_VALUE"""),"bydesi.skincare")</f>
        <v>bydesi.skincare</v>
      </c>
      <c r="C795" s="257" t="str">
        <f>IFERROR(__xludf.DUMMYFUNCTION("""COMPUTED_VALUE"""),"https://www.tiktok.com/@bydesi.skincare")</f>
        <v>https://www.tiktok.com/@bydesi.skincare</v>
      </c>
      <c r="D795" s="270">
        <f>IFERROR(__xludf.DUMMYFUNCTION("""COMPUTED_VALUE"""),8.9653013975E10)</f>
        <v>89653013975</v>
      </c>
      <c r="E795" s="457">
        <f>IFERROR(__xludf.DUMMYFUNCTION("""COMPUTED_VALUE"""),0.0)</f>
        <v>0</v>
      </c>
      <c r="F795" s="270">
        <f>IFERROR(__xludf.DUMMYFUNCTION("""COMPUTED_VALUE"""),4.0)</f>
        <v>4</v>
      </c>
      <c r="G795" s="17" t="str">
        <f>IFERROR(__xludf.DUMMYFUNCTION("""COMPUTED_VALUE"""),"Sabun batang 1 Box ( 2 PCS )")</f>
        <v>Sabun batang 1 Box ( 2 PCS )</v>
      </c>
      <c r="H795" s="463" t="str">
        <f>IFERROR(__xludf.DUMMYFUNCTION("""COMPUTED_VALUE"""),"Sampai")</f>
        <v>Sampai</v>
      </c>
      <c r="I795" s="464" t="str">
        <f>IFERROR(__xludf.DUMMYFUNCTION("""COMPUTED_VALUE"""),"KIMME")</f>
        <v>KIMME</v>
      </c>
      <c r="J795" s="17" t="str">
        <f>IFERROR(__xludf.DUMMYFUNCTION("""COMPUTED_VALUE"""),"⁠https://vt.tiktok.com/ZS9NQDETk/")</f>
        <v>⁠https://vt.tiktok.com/ZS9NQDETk/</v>
      </c>
      <c r="K795" s="464" t="str">
        <f>IFERROR(__xludf.DUMMYFUNCTION("""COMPUTED_VALUE"""),"KIMME")</f>
        <v>KIMME</v>
      </c>
      <c r="L795" s="17" t="str">
        <f>IFERROR(__xludf.DUMMYFUNCTION("""COMPUTED_VALUE"""),"⁠https://vt.tiktok.com/ZS9NxotXc/")</f>
        <v>⁠https://vt.tiktok.com/ZS9NxotXc/</v>
      </c>
      <c r="M795" s="464"/>
      <c r="N795" s="17" t="str">
        <f>IFERROR(__xludf.DUMMYFUNCTION("""COMPUTED_VALUE"""),"⁠https://vt.tiktok.com/ZS9NQU1tX/")</f>
        <v>⁠https://vt.tiktok.com/ZS9NQU1tX/</v>
      </c>
      <c r="O795" s="464"/>
      <c r="P795" s="279" t="str">
        <f>IFERROR(__xludf.DUMMYFUNCTION("""COMPUTED_VALUE"""),"https://vt.tiktok.com/ZS9NQFDRT/")</f>
        <v>https://vt.tiktok.com/ZS9NQFDRT/</v>
      </c>
    </row>
    <row r="796">
      <c r="A796" s="255" t="str">
        <f>IFERROR(__xludf.DUMMYFUNCTION("""COMPUTED_VALUE"""),"MICRO")</f>
        <v>MICRO</v>
      </c>
      <c r="B796" s="361" t="str">
        <f>IFERROR(__xludf.DUMMYFUNCTION("""COMPUTED_VALUE"""),"renni_mulandha")</f>
        <v>renni_mulandha</v>
      </c>
      <c r="C796" s="257" t="str">
        <f>IFERROR(__xludf.DUMMYFUNCTION("""COMPUTED_VALUE"""),"https://www.tiktok.com/@renni_mulandha")</f>
        <v>https://www.tiktok.com/@renni_mulandha</v>
      </c>
      <c r="D796" s="270">
        <f>IFERROR(__xludf.DUMMYFUNCTION("""COMPUTED_VALUE"""),8.134540744E10)</f>
        <v>81345407440</v>
      </c>
      <c r="E796" s="457">
        <f>IFERROR(__xludf.DUMMYFUNCTION("""COMPUTED_VALUE"""),0.0)</f>
        <v>0</v>
      </c>
      <c r="F796" s="270">
        <f>IFERROR(__xludf.DUMMYFUNCTION("""COMPUTED_VALUE"""),4.0)</f>
        <v>4</v>
      </c>
      <c r="G796" s="17" t="str">
        <f>IFERROR(__xludf.DUMMYFUNCTION("""COMPUTED_VALUE"""),"Sabun batang 1 Box ( 2 PCS )")</f>
        <v>Sabun batang 1 Box ( 2 PCS )</v>
      </c>
      <c r="H796" s="463" t="str">
        <f>IFERROR(__xludf.DUMMYFUNCTION("""COMPUTED_VALUE"""),"Sampai")</f>
        <v>Sampai</v>
      </c>
      <c r="I796" s="464" t="str">
        <f>IFERROR(__xludf.DUMMYFUNCTION("""COMPUTED_VALUE"""),"KIMME")</f>
        <v>KIMME</v>
      </c>
      <c r="J796" s="279" t="str">
        <f>IFERROR(__xludf.DUMMYFUNCTION("""COMPUTED_VALUE"""),"https://vt.tiktok.com/ZS9NQhXHD/")</f>
        <v>https://vt.tiktok.com/ZS9NQhXHD/</v>
      </c>
      <c r="K796" s="464" t="str">
        <f>IFERROR(__xludf.DUMMYFUNCTION("""COMPUTED_VALUE"""),"KIMME")</f>
        <v>KIMME</v>
      </c>
      <c r="L796" s="17" t="str">
        <f>IFERROR(__xludf.DUMMYFUNCTION("""COMPUTED_VALUE"""),"⁠https://vt.tiktok.com/ZS9NQLS8v/")</f>
        <v>⁠https://vt.tiktok.com/ZS9NQLS8v/</v>
      </c>
      <c r="M796" s="464"/>
      <c r="N796" s="17" t="str">
        <f>IFERROR(__xludf.DUMMYFUNCTION("""COMPUTED_VALUE"""),"⁠https://vt.tiktok.com/ZS9NQjbN2/")</f>
        <v>⁠https://vt.tiktok.com/ZS9NQjbN2/</v>
      </c>
      <c r="O796" s="464"/>
      <c r="P796" s="17" t="str">
        <f>IFERROR(__xludf.DUMMYFUNCTION("""COMPUTED_VALUE"""),"⁠https://vt.tiktok.com/ZS9NQBv8d/")</f>
        <v>⁠https://vt.tiktok.com/ZS9NQBv8d/</v>
      </c>
    </row>
    <row r="797">
      <c r="A797" s="255" t="str">
        <f>IFERROR(__xludf.DUMMYFUNCTION("""COMPUTED_VALUE"""),"MICRO")</f>
        <v>MICRO</v>
      </c>
      <c r="B797" s="361" t="str">
        <f>IFERROR(__xludf.DUMMYFUNCTION("""COMPUTED_VALUE"""),"sophiapanjaitan")</f>
        <v>sophiapanjaitan</v>
      </c>
      <c r="C797" s="257" t="str">
        <f>IFERROR(__xludf.DUMMYFUNCTION("""COMPUTED_VALUE"""),"https://www.tiktok.com/@sophiapanjaitan")</f>
        <v>https://www.tiktok.com/@sophiapanjaitan</v>
      </c>
      <c r="D797" s="270">
        <f>IFERROR(__xludf.DUMMYFUNCTION("""COMPUTED_VALUE"""),8.827904974E10)</f>
        <v>88279049740</v>
      </c>
      <c r="E797" s="457">
        <f>IFERROR(__xludf.DUMMYFUNCTION("""COMPUTED_VALUE"""),0.0)</f>
        <v>0</v>
      </c>
      <c r="F797" s="270">
        <f>IFERROR(__xludf.DUMMYFUNCTION("""COMPUTED_VALUE"""),1.0)</f>
        <v>1</v>
      </c>
      <c r="G797" s="17" t="str">
        <f>IFERROR(__xludf.DUMMYFUNCTION("""COMPUTED_VALUE"""),"Sabun batang 1 Box ( 2 PCS )")</f>
        <v>Sabun batang 1 Box ( 2 PCS )</v>
      </c>
      <c r="H797" s="463" t="str">
        <f>IFERROR(__xludf.DUMMYFUNCTION("""COMPUTED_VALUE"""),"Sampai")</f>
        <v>Sampai</v>
      </c>
      <c r="I797" s="464" t="str">
        <f>IFERROR(__xludf.DUMMYFUNCTION("""COMPUTED_VALUE"""),"KIMME")</f>
        <v>KIMME</v>
      </c>
      <c r="J797" s="17" t="str">
        <f>IFERROR(__xludf.DUMMYFUNCTION("""COMPUTED_VALUE"""),"⁠https://vt.tiktok.com/ZS9NQNhWJ/")</f>
        <v>⁠https://vt.tiktok.com/ZS9NQNhWJ/</v>
      </c>
      <c r="K797" s="464" t="str">
        <f>IFERROR(__xludf.DUMMYFUNCTION("""COMPUTED_VALUE"""),"KIMME")</f>
        <v>KIMME</v>
      </c>
      <c r="L797" s="279" t="str">
        <f>IFERROR(__xludf.DUMMYFUNCTION("""COMPUTED_VALUE"""),"https://vt.tiktok.com/ZSx1Y1TfM/")</f>
        <v>https://vt.tiktok.com/ZSx1Y1TfM/</v>
      </c>
      <c r="M797" s="464"/>
      <c r="N797" s="279" t="str">
        <f>IFERROR(__xludf.DUMMYFUNCTION("""COMPUTED_VALUE"""),"https://vt.tiktok.com/ZSxLXLTWp/")</f>
        <v>https://vt.tiktok.com/ZSxLXLTWp/</v>
      </c>
      <c r="O797" s="464"/>
      <c r="P797" s="279" t="str">
        <f>IFERROR(__xludf.DUMMYFUNCTION("""COMPUTED_VALUE"""),"https://vt.tiktok.com/ZSxLX8XMm/")</f>
        <v>https://vt.tiktok.com/ZSxLX8XMm/</v>
      </c>
    </row>
    <row r="798">
      <c r="A798" s="255" t="str">
        <f>IFERROR(__xludf.DUMMYFUNCTION("""COMPUTED_VALUE"""),"MICRO")</f>
        <v>MICRO</v>
      </c>
      <c r="B798" s="361" t="str">
        <f>IFERROR(__xludf.DUMMYFUNCTION("""COMPUTED_VALUE"""),"cikgukimia_")</f>
        <v>cikgukimia_</v>
      </c>
      <c r="C798" s="257" t="str">
        <f>IFERROR(__xludf.DUMMYFUNCTION("""COMPUTED_VALUE"""),"https://www.tiktok.com/@cikgukimia_")</f>
        <v>https://www.tiktok.com/@cikgukimia_</v>
      </c>
      <c r="D798" s="270">
        <f>IFERROR(__xludf.DUMMYFUNCTION("""COMPUTED_VALUE"""),8.1268513503E10)</f>
        <v>81268513503</v>
      </c>
      <c r="E798" s="457">
        <f>IFERROR(__xludf.DUMMYFUNCTION("""COMPUTED_VALUE"""),0.0)</f>
        <v>0</v>
      </c>
      <c r="F798" s="270">
        <f>IFERROR(__xludf.DUMMYFUNCTION("""COMPUTED_VALUE"""),4.0)</f>
        <v>4</v>
      </c>
      <c r="G798" s="17" t="str">
        <f>IFERROR(__xludf.DUMMYFUNCTION("""COMPUTED_VALUE"""),"Sabun batang 1 Box ( 2 PCS )")</f>
        <v>Sabun batang 1 Box ( 2 PCS )</v>
      </c>
      <c r="H798" s="463" t="str">
        <f>IFERROR(__xludf.DUMMYFUNCTION("""COMPUTED_VALUE"""),"Sampai")</f>
        <v>Sampai</v>
      </c>
      <c r="I798" s="464" t="str">
        <f>IFERROR(__xludf.DUMMYFUNCTION("""COMPUTED_VALUE"""),"KIMME")</f>
        <v>KIMME</v>
      </c>
      <c r="J798" s="17" t="str">
        <f>IFERROR(__xludf.DUMMYFUNCTION("""COMPUTED_VALUE"""),"⁠https://vt.tiktok.com/ZS9NxKQUa/")</f>
        <v>⁠https://vt.tiktok.com/ZS9NxKQUa/</v>
      </c>
      <c r="K798" s="464" t="str">
        <f>IFERROR(__xludf.DUMMYFUNCTION("""COMPUTED_VALUE"""),"KIMME")</f>
        <v>KIMME</v>
      </c>
      <c r="L798" s="17" t="str">
        <f>IFERROR(__xludf.DUMMYFUNCTION("""COMPUTED_VALUE"""),"⁠https://vt.tiktok.com/ZS9NQRx2g/")</f>
        <v>⁠https://vt.tiktok.com/ZS9NQRx2g/</v>
      </c>
      <c r="M798" s="464"/>
      <c r="N798" s="17" t="str">
        <f>IFERROR(__xludf.DUMMYFUNCTION("""COMPUTED_VALUE"""),"⁠https://vt.tiktok.com/ZS9NQM6Lg/")</f>
        <v>⁠https://vt.tiktok.com/ZS9NQM6Lg/</v>
      </c>
      <c r="O798" s="464"/>
      <c r="P798" s="17" t="str">
        <f>IFERROR(__xludf.DUMMYFUNCTION("""COMPUTED_VALUE"""),"⁠https://vt.tiktok.com/ZS9NQ8yPh/")</f>
        <v>⁠https://vt.tiktok.com/ZS9NQ8yPh/</v>
      </c>
    </row>
    <row r="799">
      <c r="A799" s="255" t="str">
        <f>IFERROR(__xludf.DUMMYFUNCTION("""COMPUTED_VALUE"""),"MICRO")</f>
        <v>MICRO</v>
      </c>
      <c r="B799" s="361" t="str">
        <f>IFERROR(__xludf.DUMMYFUNCTION("""COMPUTED_VALUE"""),"karriiiinn")</f>
        <v>karriiiinn</v>
      </c>
      <c r="C799" s="257" t="str">
        <f>IFERROR(__xludf.DUMMYFUNCTION("""COMPUTED_VALUE"""),"https://www.tiktok.com/@karriiiinn")</f>
        <v>https://www.tiktok.com/@karriiiinn</v>
      </c>
      <c r="D799" s="270">
        <f>IFERROR(__xludf.DUMMYFUNCTION("""COMPUTED_VALUE"""),8.7860260281E10)</f>
        <v>87860260281</v>
      </c>
      <c r="E799" s="457">
        <f>IFERROR(__xludf.DUMMYFUNCTION("""COMPUTED_VALUE"""),0.0)</f>
        <v>0</v>
      </c>
      <c r="F799" s="270">
        <f>IFERROR(__xludf.DUMMYFUNCTION("""COMPUTED_VALUE"""),4.0)</f>
        <v>4</v>
      </c>
      <c r="G799" s="17" t="str">
        <f>IFERROR(__xludf.DUMMYFUNCTION("""COMPUTED_VALUE"""),"Sabun batang 1 Box ( 2 PCS )")</f>
        <v>Sabun batang 1 Box ( 2 PCS )</v>
      </c>
      <c r="H799" s="463" t="str">
        <f>IFERROR(__xludf.DUMMYFUNCTION("""COMPUTED_VALUE"""),"Sampai")</f>
        <v>Sampai</v>
      </c>
      <c r="I799" s="464" t="str">
        <f>IFERROR(__xludf.DUMMYFUNCTION("""COMPUTED_VALUE"""),"KIMME")</f>
        <v>KIMME</v>
      </c>
      <c r="J799" s="17" t="str">
        <f>IFERROR(__xludf.DUMMYFUNCTION("""COMPUTED_VALUE"""),"⁠https://vt.tiktok.com/ZS9NQGU7V/")</f>
        <v>⁠https://vt.tiktok.com/ZS9NQGU7V/</v>
      </c>
      <c r="K799" s="464" t="str">
        <f>IFERROR(__xludf.DUMMYFUNCTION("""COMPUTED_VALUE"""),"KIMME")</f>
        <v>KIMME</v>
      </c>
      <c r="L799" s="279" t="str">
        <f>IFERROR(__xludf.DUMMYFUNCTION("""COMPUTED_VALUE"""),"https://vt.tiktok.com/ZS96Pw35a/")</f>
        <v>https://vt.tiktok.com/ZS96Pw35a/</v>
      </c>
      <c r="M799" s="464"/>
      <c r="N799" s="279" t="str">
        <f>IFERROR(__xludf.DUMMYFUNCTION("""COMPUTED_VALUE"""),"https://vt.tiktok.com/ZS96PEa2F/")</f>
        <v>https://vt.tiktok.com/ZS96PEa2F/</v>
      </c>
      <c r="O799" s="464"/>
      <c r="P799" s="279" t="str">
        <f>IFERROR(__xludf.DUMMYFUNCTION("""COMPUTED_VALUE"""),"https://vt.tiktok.com/ZS96PWHyg/")</f>
        <v>https://vt.tiktok.com/ZS96PWHyg/</v>
      </c>
    </row>
    <row r="800">
      <c r="A800" s="255" t="str">
        <f>IFERROR(__xludf.DUMMYFUNCTION("""COMPUTED_VALUE"""),"MICRO")</f>
        <v>MICRO</v>
      </c>
      <c r="B800" s="361" t="str">
        <f>IFERROR(__xludf.DUMMYFUNCTION("""COMPUTED_VALUE"""),"cherrybomb9511")</f>
        <v>cherrybomb9511</v>
      </c>
      <c r="C800" s="257" t="str">
        <f>IFERROR(__xludf.DUMMYFUNCTION("""COMPUTED_VALUE"""),"https://www.tiktok.com/@cherrybomb9511")</f>
        <v>https://www.tiktok.com/@cherrybomb9511</v>
      </c>
      <c r="D800" s="270">
        <f>IFERROR(__xludf.DUMMYFUNCTION("""COMPUTED_VALUE"""),8.2307727722E10)</f>
        <v>82307727722</v>
      </c>
      <c r="E800" s="457">
        <f>IFERROR(__xludf.DUMMYFUNCTION("""COMPUTED_VALUE"""),0.0)</f>
        <v>0</v>
      </c>
      <c r="F800" s="270">
        <f>IFERROR(__xludf.DUMMYFUNCTION("""COMPUTED_VALUE"""),4.0)</f>
        <v>4</v>
      </c>
      <c r="G800" s="17" t="str">
        <f>IFERROR(__xludf.DUMMYFUNCTION("""COMPUTED_VALUE"""),"Sabun batang 1 Box ( 2 PCS )")</f>
        <v>Sabun batang 1 Box ( 2 PCS )</v>
      </c>
      <c r="H800" s="463" t="str">
        <f>IFERROR(__xludf.DUMMYFUNCTION("""COMPUTED_VALUE"""),"Sampai")</f>
        <v>Sampai</v>
      </c>
      <c r="I800" s="464" t="str">
        <f>IFERROR(__xludf.DUMMYFUNCTION("""COMPUTED_VALUE"""),"KIMME")</f>
        <v>KIMME</v>
      </c>
      <c r="J800" s="279" t="str">
        <f>IFERROR(__xludf.DUMMYFUNCTION("""COMPUTED_VALUE"""),"https://vt.tiktok.com/ZS96PnQ9m/")</f>
        <v>https://vt.tiktok.com/ZS96PnQ9m/</v>
      </c>
      <c r="K800" s="464" t="str">
        <f>IFERROR(__xludf.DUMMYFUNCTION("""COMPUTED_VALUE"""),"KIMME")</f>
        <v>KIMME</v>
      </c>
      <c r="L800" s="279" t="str">
        <f>IFERROR(__xludf.DUMMYFUNCTION("""COMPUTED_VALUE"""),"https://vt.tiktok.com/ZS96P7rrj/")</f>
        <v>https://vt.tiktok.com/ZS96P7rrj/</v>
      </c>
      <c r="M800" s="464"/>
      <c r="N800" s="279" t="str">
        <f>IFERROR(__xludf.DUMMYFUNCTION("""COMPUTED_VALUE"""),"https://vt.tiktok.com/ZS965MmLq/")</f>
        <v>https://vt.tiktok.com/ZS965MmLq/</v>
      </c>
      <c r="O800" s="464"/>
      <c r="P800" s="279" t="str">
        <f>IFERROR(__xludf.DUMMYFUNCTION("""COMPUTED_VALUE"""),"https://vt.tiktok.com/ZS965NBtr/")</f>
        <v>https://vt.tiktok.com/ZS965NBtr/</v>
      </c>
    </row>
    <row r="801">
      <c r="A801" s="255" t="str">
        <f>IFERROR(__xludf.DUMMYFUNCTION("""COMPUTED_VALUE"""),"MICRO")</f>
        <v>MICRO</v>
      </c>
      <c r="B801" s="361" t="str">
        <f>IFERROR(__xludf.DUMMYFUNCTION("""COMPUTED_VALUE"""),"rika.budiarwati")</f>
        <v>rika.budiarwati</v>
      </c>
      <c r="C801" s="257" t="str">
        <f>IFERROR(__xludf.DUMMYFUNCTION("""COMPUTED_VALUE"""),"https://www.tiktok.com/@rika.budiarwati")</f>
        <v>https://www.tiktok.com/@rika.budiarwati</v>
      </c>
      <c r="D801" s="270">
        <f>IFERROR(__xludf.DUMMYFUNCTION("""COMPUTED_VALUE"""),8.7869880809E10)</f>
        <v>87869880809</v>
      </c>
      <c r="E801" s="457">
        <f>IFERROR(__xludf.DUMMYFUNCTION("""COMPUTED_VALUE"""),0.0)</f>
        <v>0</v>
      </c>
      <c r="F801" s="270">
        <f>IFERROR(__xludf.DUMMYFUNCTION("""COMPUTED_VALUE"""),4.0)</f>
        <v>4</v>
      </c>
      <c r="G801" s="17" t="str">
        <f>IFERROR(__xludf.DUMMYFUNCTION("""COMPUTED_VALUE"""),"Sabun batang 1 Box ( 2 PCS )")</f>
        <v>Sabun batang 1 Box ( 2 PCS )</v>
      </c>
      <c r="H801" s="463" t="str">
        <f>IFERROR(__xludf.DUMMYFUNCTION("""COMPUTED_VALUE"""),"Sampai")</f>
        <v>Sampai</v>
      </c>
      <c r="I801" s="464" t="str">
        <f>IFERROR(__xludf.DUMMYFUNCTION("""COMPUTED_VALUE"""),"KIMME")</f>
        <v>KIMME</v>
      </c>
      <c r="J801" s="279" t="str">
        <f>IFERROR(__xludf.DUMMYFUNCTION("""COMPUTED_VALUE"""),"https://vt.tiktok.com/ZS9261kjf/")</f>
        <v>https://vt.tiktok.com/ZS9261kjf/</v>
      </c>
      <c r="K801" s="464" t="str">
        <f>IFERROR(__xludf.DUMMYFUNCTION("""COMPUTED_VALUE"""),"KIMME")</f>
        <v>KIMME</v>
      </c>
      <c r="L801" s="279" t="str">
        <f>IFERROR(__xludf.DUMMYFUNCTION("""COMPUTED_VALUE"""),"https://vt.tiktok.com/ZS926jLXB/")</f>
        <v>https://vt.tiktok.com/ZS926jLXB/</v>
      </c>
      <c r="M801" s="464"/>
      <c r="N801" s="279" t="str">
        <f>IFERROR(__xludf.DUMMYFUNCTION("""COMPUTED_VALUE"""),"https://vt.tiktok.com/ZS92j7xGV/")</f>
        <v>https://vt.tiktok.com/ZS92j7xGV/</v>
      </c>
      <c r="O801" s="464"/>
      <c r="P801" s="279" t="str">
        <f>IFERROR(__xludf.DUMMYFUNCTION("""COMPUTED_VALUE"""),"https://vt.tiktok.com/ZS92jKyvc/")</f>
        <v>https://vt.tiktok.com/ZS92jKyvc/</v>
      </c>
    </row>
    <row r="802">
      <c r="A802" s="255" t="str">
        <f>IFERROR(__xludf.DUMMYFUNCTION("""COMPUTED_VALUE"""),"MICRO")</f>
        <v>MICRO</v>
      </c>
      <c r="B802" s="361" t="str">
        <f>IFERROR(__xludf.DUMMYFUNCTION("""COMPUTED_VALUE"""),"myd_media")</f>
        <v>myd_media</v>
      </c>
      <c r="C802" s="257" t="str">
        <f>IFERROR(__xludf.DUMMYFUNCTION("""COMPUTED_VALUE"""),"https://www.tiktok.com/@myd_media")</f>
        <v>https://www.tiktok.com/@myd_media</v>
      </c>
      <c r="D802" s="270">
        <f>IFERROR(__xludf.DUMMYFUNCTION("""COMPUTED_VALUE"""),8.5846854484E10)</f>
        <v>85846854484</v>
      </c>
      <c r="E802" s="457">
        <f>IFERROR(__xludf.DUMMYFUNCTION("""COMPUTED_VALUE"""),0.0)</f>
        <v>0</v>
      </c>
      <c r="F802" s="270">
        <f>IFERROR(__xludf.DUMMYFUNCTION("""COMPUTED_VALUE"""),2.0)</f>
        <v>2</v>
      </c>
      <c r="G802" s="17" t="str">
        <f>IFERROR(__xludf.DUMMYFUNCTION("""COMPUTED_VALUE"""),"Sabun batang 1 Box ( 2 PCS )")</f>
        <v>Sabun batang 1 Box ( 2 PCS )</v>
      </c>
      <c r="H802" s="463" t="str">
        <f>IFERROR(__xludf.DUMMYFUNCTION("""COMPUTED_VALUE"""),"Sampai")</f>
        <v>Sampai</v>
      </c>
      <c r="I802" s="464" t="str">
        <f>IFERROR(__xludf.DUMMYFUNCTION("""COMPUTED_VALUE"""),"KIMME")</f>
        <v>KIMME</v>
      </c>
      <c r="J802" s="17" t="str">
        <f>IFERROR(__xludf.DUMMYFUNCTION("""COMPUTED_VALUE"""),"⁠⁠⁠⁠⁠https://vt.tiktok.com/ZS9268veb/")</f>
        <v>⁠⁠⁠⁠⁠https://vt.tiktok.com/ZS9268veb/</v>
      </c>
      <c r="K802" s="464" t="str">
        <f>IFERROR(__xludf.DUMMYFUNCTION("""COMPUTED_VALUE"""),"KIMME")</f>
        <v>KIMME</v>
      </c>
      <c r="L802" s="17" t="str">
        <f>IFERROR(__xludf.DUMMYFUNCTION("""COMPUTED_VALUE"""),"⁠https://vt.tiktok.com/ZS9266FUx/")</f>
        <v>⁠https://vt.tiktok.com/ZS9266FUx/</v>
      </c>
      <c r="M802" s="464"/>
      <c r="N802" s="279" t="str">
        <f>IFERROR(__xludf.DUMMYFUNCTION("""COMPUTED_VALUE"""),"https://vt.tiktok.com/ZSxLXNepF/")</f>
        <v>https://vt.tiktok.com/ZSxLXNepF/</v>
      </c>
      <c r="O802" s="464"/>
      <c r="P802" s="279" t="str">
        <f>IFERROR(__xludf.DUMMYFUNCTION("""COMPUTED_VALUE"""),"https://vt.tiktok.com/ZSxLXdDAp/")</f>
        <v>https://vt.tiktok.com/ZSxLXdDAp/</v>
      </c>
    </row>
    <row r="803">
      <c r="A803" s="255" t="str">
        <f>IFERROR(__xludf.DUMMYFUNCTION("""COMPUTED_VALUE"""),"MICRO")</f>
        <v>MICRO</v>
      </c>
      <c r="B803" s="361" t="str">
        <f>IFERROR(__xludf.DUMMYFUNCTION("""COMPUTED_VALUE"""),"risma48")</f>
        <v>risma48</v>
      </c>
      <c r="C803" s="257" t="str">
        <f>IFERROR(__xludf.DUMMYFUNCTION("""COMPUTED_VALUE"""),"https://www.tiktok.com/@risma48")</f>
        <v>https://www.tiktok.com/@risma48</v>
      </c>
      <c r="D803" s="270">
        <f>IFERROR(__xludf.DUMMYFUNCTION("""COMPUTED_VALUE"""),8.87436929303E11)</f>
        <v>887436929303</v>
      </c>
      <c r="E803" s="457">
        <f>IFERROR(__xludf.DUMMYFUNCTION("""COMPUTED_VALUE"""),0.0)</f>
        <v>0</v>
      </c>
      <c r="F803" s="270">
        <f>IFERROR(__xludf.DUMMYFUNCTION("""COMPUTED_VALUE"""),4.0)</f>
        <v>4</v>
      </c>
      <c r="G803" s="17" t="str">
        <f>IFERROR(__xludf.DUMMYFUNCTION("""COMPUTED_VALUE"""),"Sabun batang 1 Box ( 2 PCS )")</f>
        <v>Sabun batang 1 Box ( 2 PCS )</v>
      </c>
      <c r="H803" s="463" t="str">
        <f>IFERROR(__xludf.DUMMYFUNCTION("""COMPUTED_VALUE"""),"Sampai")</f>
        <v>Sampai</v>
      </c>
      <c r="I803" s="464" t="str">
        <f>IFERROR(__xludf.DUMMYFUNCTION("""COMPUTED_VALUE"""),"KIMME")</f>
        <v>KIMME</v>
      </c>
      <c r="J803" s="17" t="str">
        <f>IFERROR(__xludf.DUMMYFUNCTION("""COMPUTED_VALUE"""),"⁠https://vt.tiktok.com/ZS92jtotv/")</f>
        <v>⁠https://vt.tiktok.com/ZS92jtotv/</v>
      </c>
      <c r="K803" s="464" t="str">
        <f>IFERROR(__xludf.DUMMYFUNCTION("""COMPUTED_VALUE"""),"KIMME")</f>
        <v>KIMME</v>
      </c>
      <c r="L803" s="17" t="str">
        <f>IFERROR(__xludf.DUMMYFUNCTION("""COMPUTED_VALUE"""),"⁠https://vt.tiktok.com/ZS92jtddH/")</f>
        <v>⁠https://vt.tiktok.com/ZS92jtddH/</v>
      </c>
      <c r="M803" s="464"/>
      <c r="N803" s="17" t="str">
        <f>IFERROR(__xludf.DUMMYFUNCTION("""COMPUTED_VALUE"""),"⁠https://vt.tiktok.com/ZS92jEysX/")</f>
        <v>⁠https://vt.tiktok.com/ZS92jEysX/</v>
      </c>
      <c r="O803" s="464"/>
      <c r="P803" s="17" t="str">
        <f>IFERROR(__xludf.DUMMYFUNCTION("""COMPUTED_VALUE"""),"⁠https://vt.tiktok.com/ZS926eUy6/")</f>
        <v>⁠https://vt.tiktok.com/ZS926eUy6/</v>
      </c>
    </row>
    <row r="804">
      <c r="A804" s="255" t="str">
        <f>IFERROR(__xludf.DUMMYFUNCTION("""COMPUTED_VALUE"""),"MICRO")</f>
        <v>MICRO</v>
      </c>
      <c r="B804" s="361" t="str">
        <f>IFERROR(__xludf.DUMMYFUNCTION("""COMPUTED_VALUE"""),"Debbyledianaa")</f>
        <v>Debbyledianaa</v>
      </c>
      <c r="C804" s="257" t="str">
        <f>IFERROR(__xludf.DUMMYFUNCTION("""COMPUTED_VALUE"""),"https://www.tiktok.com/@Debbyledianaa")</f>
        <v>https://www.tiktok.com/@Debbyledianaa</v>
      </c>
      <c r="D804" s="270">
        <f>IFERROR(__xludf.DUMMYFUNCTION("""COMPUTED_VALUE"""),8.5604616042E10)</f>
        <v>85604616042</v>
      </c>
      <c r="E804" s="457">
        <f>IFERROR(__xludf.DUMMYFUNCTION("""COMPUTED_VALUE"""),0.0)</f>
        <v>0</v>
      </c>
      <c r="F804" s="270">
        <f>IFERROR(__xludf.DUMMYFUNCTION("""COMPUTED_VALUE"""),4.0)</f>
        <v>4</v>
      </c>
      <c r="G804" s="17" t="str">
        <f>IFERROR(__xludf.DUMMYFUNCTION("""COMPUTED_VALUE"""),"Sabun batang 1 Box ( 2 PCS )")</f>
        <v>Sabun batang 1 Box ( 2 PCS )</v>
      </c>
      <c r="H804" s="463" t="str">
        <f>IFERROR(__xludf.DUMMYFUNCTION("""COMPUTED_VALUE"""),"Sampai")</f>
        <v>Sampai</v>
      </c>
      <c r="I804" s="464" t="str">
        <f>IFERROR(__xludf.DUMMYFUNCTION("""COMPUTED_VALUE"""),"KIMME")</f>
        <v>KIMME</v>
      </c>
      <c r="J804" s="279" t="str">
        <f>IFERROR(__xludf.DUMMYFUNCTION("""COMPUTED_VALUE"""),"https://vt.tiktok.com/ZS96PpJyf/")</f>
        <v>https://vt.tiktok.com/ZS96PpJyf/</v>
      </c>
      <c r="K804" s="464" t="str">
        <f>IFERROR(__xludf.DUMMYFUNCTION("""COMPUTED_VALUE"""),"KIMME")</f>
        <v>KIMME</v>
      </c>
      <c r="L804" s="279" t="str">
        <f>IFERROR(__xludf.DUMMYFUNCTION("""COMPUTED_VALUE"""),"https://vt.tiktok.com/ZS965JaF7/")</f>
        <v>https://vt.tiktok.com/ZS965JaF7/</v>
      </c>
      <c r="M804" s="464"/>
      <c r="N804" s="279" t="str">
        <f>IFERROR(__xludf.DUMMYFUNCTION("""COMPUTED_VALUE"""),"https://vt.tiktok.com/ZS96Pnost/")</f>
        <v>https://vt.tiktok.com/ZS96Pnost/</v>
      </c>
      <c r="O804" s="464"/>
      <c r="P804" s="17" t="str">
        <f>IFERROR(__xludf.DUMMYFUNCTION("""COMPUTED_VALUE"""),"⁠https://vt.tiktok.com/ZS926n1TL/")</f>
        <v>⁠https://vt.tiktok.com/ZS926n1TL/</v>
      </c>
    </row>
    <row r="805">
      <c r="A805" s="255" t="str">
        <f>IFERROR(__xludf.DUMMYFUNCTION("""COMPUTED_VALUE"""),"MICRO")</f>
        <v>MICRO</v>
      </c>
      <c r="B805" s="361" t="str">
        <f>IFERROR(__xludf.DUMMYFUNCTION("""COMPUTED_VALUE"""),"novinainggolann")</f>
        <v>novinainggolann</v>
      </c>
      <c r="C805" s="257" t="str">
        <f>IFERROR(__xludf.DUMMYFUNCTION("""COMPUTED_VALUE"""),"https://www.tiktok.com/@novinainggolann")</f>
        <v>https://www.tiktok.com/@novinainggolann</v>
      </c>
      <c r="D805" s="270">
        <f>IFERROR(__xludf.DUMMYFUNCTION("""COMPUTED_VALUE"""),8.137023717E10)</f>
        <v>81370237170</v>
      </c>
      <c r="E805" s="457">
        <f>IFERROR(__xludf.DUMMYFUNCTION("""COMPUTED_VALUE"""),0.0)</f>
        <v>0</v>
      </c>
      <c r="F805" s="270">
        <f>IFERROR(__xludf.DUMMYFUNCTION("""COMPUTED_VALUE"""),1.0)</f>
        <v>1</v>
      </c>
      <c r="G805" s="17" t="str">
        <f>IFERROR(__xludf.DUMMYFUNCTION("""COMPUTED_VALUE"""),"Sabun batang 1 Box ( 2 PCS )")</f>
        <v>Sabun batang 1 Box ( 2 PCS )</v>
      </c>
      <c r="H805" s="463" t="str">
        <f>IFERROR(__xludf.DUMMYFUNCTION("""COMPUTED_VALUE"""),"Sampai")</f>
        <v>Sampai</v>
      </c>
      <c r="I805" s="464" t="str">
        <f>IFERROR(__xludf.DUMMYFUNCTION("""COMPUTED_VALUE"""),"KIMME")</f>
        <v>KIMME</v>
      </c>
      <c r="J805" s="17" t="str">
        <f>IFERROR(__xludf.DUMMYFUNCTION("""COMPUTED_VALUE"""),"⁠https://vt.tiktok.com/ZS926KLoF/")</f>
        <v>⁠https://vt.tiktok.com/ZS926KLoF/</v>
      </c>
      <c r="K805" s="464" t="str">
        <f>IFERROR(__xludf.DUMMYFUNCTION("""COMPUTED_VALUE"""),"KIMME")</f>
        <v>KIMME</v>
      </c>
      <c r="L805" s="279" t="str">
        <f>IFERROR(__xludf.DUMMYFUNCTION("""COMPUTED_VALUE"""),"https://vt.tiktok.com/ZSxLXFfnt/")</f>
        <v>https://vt.tiktok.com/ZSxLXFfnt/</v>
      </c>
      <c r="M805" s="464"/>
      <c r="N805" s="279" t="str">
        <f>IFERROR(__xludf.DUMMYFUNCTION("""COMPUTED_VALUE"""),"https://vt.tiktok.com/ZSxLXh3oy/")</f>
        <v>https://vt.tiktok.com/ZSxLXh3oy/</v>
      </c>
      <c r="O805" s="464"/>
      <c r="P805" s="279" t="str">
        <f>IFERROR(__xludf.DUMMYFUNCTION("""COMPUTED_VALUE"""),"https://vt.tiktok.com/ZSxLXeP7p/")</f>
        <v>https://vt.tiktok.com/ZSxLXeP7p/</v>
      </c>
    </row>
    <row r="806">
      <c r="A806" s="255" t="str">
        <f>IFERROR(__xludf.DUMMYFUNCTION("""COMPUTED_VALUE"""),"MICRO")</f>
        <v>MICRO</v>
      </c>
      <c r="B806" s="361" t="str">
        <f>IFERROR(__xludf.DUMMYFUNCTION("""COMPUTED_VALUE"""),"_ssssshfi")</f>
        <v>_ssssshfi</v>
      </c>
      <c r="C806" s="257" t="str">
        <f>IFERROR(__xludf.DUMMYFUNCTION("""COMPUTED_VALUE"""),"https://www.tiktok.com/@_ssssshfi")</f>
        <v>https://www.tiktok.com/@_ssssshfi</v>
      </c>
      <c r="D806" s="270">
        <f>IFERROR(__xludf.DUMMYFUNCTION("""COMPUTED_VALUE"""),8.2143926486E10)</f>
        <v>82143926486</v>
      </c>
      <c r="E806" s="457">
        <f>IFERROR(__xludf.DUMMYFUNCTION("""COMPUTED_VALUE"""),0.0)</f>
        <v>0</v>
      </c>
      <c r="F806" s="270">
        <f>IFERROR(__xludf.DUMMYFUNCTION("""COMPUTED_VALUE"""),4.0)</f>
        <v>4</v>
      </c>
      <c r="G806" s="17" t="str">
        <f>IFERROR(__xludf.DUMMYFUNCTION("""COMPUTED_VALUE"""),"Sabun batang 1 Box ( 2 PCS )")</f>
        <v>Sabun batang 1 Box ( 2 PCS )</v>
      </c>
      <c r="H806" s="463" t="str">
        <f>IFERROR(__xludf.DUMMYFUNCTION("""COMPUTED_VALUE"""),"Sampai")</f>
        <v>Sampai</v>
      </c>
      <c r="I806" s="464" t="str">
        <f>IFERROR(__xludf.DUMMYFUNCTION("""COMPUTED_VALUE"""),"KIMME")</f>
        <v>KIMME</v>
      </c>
      <c r="J806" s="17" t="str">
        <f>IFERROR(__xludf.DUMMYFUNCTION("""COMPUTED_VALUE"""),"⁠https://vt.tiktok.com/ZS926pvF8/")</f>
        <v>⁠https://vt.tiktok.com/ZS926pvF8/</v>
      </c>
      <c r="K806" s="464" t="str">
        <f>IFERROR(__xludf.DUMMYFUNCTION("""COMPUTED_VALUE"""),"KIMME")</f>
        <v>KIMME</v>
      </c>
      <c r="L806" s="279" t="str">
        <f>IFERROR(__xludf.DUMMYFUNCTION("""COMPUTED_VALUE"""),"https://vt.tiktok.com/ZS9263jGR/")</f>
        <v>https://vt.tiktok.com/ZS9263jGR/</v>
      </c>
      <c r="M806" s="464"/>
      <c r="N806" s="279" t="str">
        <f>IFERROR(__xludf.DUMMYFUNCTION("""COMPUTED_VALUE"""),"https://vt.tiktok.com/ZS92MJDcP/")</f>
        <v>https://vt.tiktok.com/ZS92MJDcP/</v>
      </c>
      <c r="O806" s="464"/>
      <c r="P806" s="17" t="str">
        <f>IFERROR(__xludf.DUMMYFUNCTION("""COMPUTED_VALUE"""),"⁠https://vt.tiktok.com/ZS926gRAT/")</f>
        <v>⁠https://vt.tiktok.com/ZS926gRAT/</v>
      </c>
    </row>
    <row r="807">
      <c r="A807" s="255" t="str">
        <f>IFERROR(__xludf.DUMMYFUNCTION("""COMPUTED_VALUE"""),"MICRO")</f>
        <v>MICRO</v>
      </c>
      <c r="B807" s="361" t="str">
        <f>IFERROR(__xludf.DUMMYFUNCTION("""COMPUTED_VALUE"""),"betariaaaaaa_")</f>
        <v>betariaaaaaa_</v>
      </c>
      <c r="C807" s="257" t="str">
        <f>IFERROR(__xludf.DUMMYFUNCTION("""COMPUTED_VALUE"""),"https://www.tiktok.com/@betariaaaaaa_")</f>
        <v>https://www.tiktok.com/@betariaaaaaa_</v>
      </c>
      <c r="D807" s="270">
        <f>IFERROR(__xludf.DUMMYFUNCTION("""COMPUTED_VALUE"""),8.151596256E10)</f>
        <v>81515962560</v>
      </c>
      <c r="E807" s="457">
        <f>IFERROR(__xludf.DUMMYFUNCTION("""COMPUTED_VALUE"""),0.0)</f>
        <v>0</v>
      </c>
      <c r="F807" s="270">
        <f>IFERROR(__xludf.DUMMYFUNCTION("""COMPUTED_VALUE"""),4.0)</f>
        <v>4</v>
      </c>
      <c r="G807" s="17" t="str">
        <f>IFERROR(__xludf.DUMMYFUNCTION("""COMPUTED_VALUE"""),"Sabun batang 1 Box ( 2 PCS )")</f>
        <v>Sabun batang 1 Box ( 2 PCS )</v>
      </c>
      <c r="H807" s="463" t="str">
        <f>IFERROR(__xludf.DUMMYFUNCTION("""COMPUTED_VALUE"""),"Sampai")</f>
        <v>Sampai</v>
      </c>
      <c r="I807" s="464" t="str">
        <f>IFERROR(__xludf.DUMMYFUNCTION("""COMPUTED_VALUE"""),"KIMME")</f>
        <v>KIMME</v>
      </c>
      <c r="J807" s="17" t="str">
        <f>IFERROR(__xludf.DUMMYFUNCTION("""COMPUTED_VALUE"""),"⁠https://vt.tiktok.com/ZS92MLpoE/")</f>
        <v>⁠https://vt.tiktok.com/ZS92MLpoE/</v>
      </c>
      <c r="K807" s="464" t="str">
        <f>IFERROR(__xludf.DUMMYFUNCTION("""COMPUTED_VALUE"""),"KIMME")</f>
        <v>KIMME</v>
      </c>
      <c r="L807" s="17" t="str">
        <f>IFERROR(__xludf.DUMMYFUNCTION("""COMPUTED_VALUE"""),"⁠https://vt.tiktok.com/ZS92M8YYL/")</f>
        <v>⁠https://vt.tiktok.com/ZS92M8YYL/</v>
      </c>
      <c r="M807" s="464"/>
      <c r="N807" s="17" t="str">
        <f>IFERROR(__xludf.DUMMYFUNCTION("""COMPUTED_VALUE"""),"⁠https://vt.tiktok.com/ZS92GTqwR/")</f>
        <v>⁠https://vt.tiktok.com/ZS92GTqwR/</v>
      </c>
      <c r="O807" s="464"/>
      <c r="P807" s="17" t="str">
        <f>IFERROR(__xludf.DUMMYFUNCTION("""COMPUTED_VALUE"""),"⁠https://vt.tiktok.com/ZS92GbeAN/")</f>
        <v>⁠https://vt.tiktok.com/ZS92GbeAN/</v>
      </c>
    </row>
    <row r="808">
      <c r="A808" s="255" t="str">
        <f>IFERROR(__xludf.DUMMYFUNCTION("""COMPUTED_VALUE"""),"MICRO")</f>
        <v>MICRO</v>
      </c>
      <c r="B808" s="361" t="str">
        <f>IFERROR(__xludf.DUMMYFUNCTION("""COMPUTED_VALUE"""),"haiiirennn")</f>
        <v>haiiirennn</v>
      </c>
      <c r="C808" s="257" t="str">
        <f>IFERROR(__xludf.DUMMYFUNCTION("""COMPUTED_VALUE"""),"https://www.tiktok.com/@haiiirennn")</f>
        <v>https://www.tiktok.com/@haiiirennn</v>
      </c>
      <c r="D808" s="270">
        <f>IFERROR(__xludf.DUMMYFUNCTION("""COMPUTED_VALUE"""),8.5691373806E10)</f>
        <v>85691373806</v>
      </c>
      <c r="E808" s="457">
        <f>IFERROR(__xludf.DUMMYFUNCTION("""COMPUTED_VALUE"""),0.0)</f>
        <v>0</v>
      </c>
      <c r="F808" s="270">
        <f>IFERROR(__xludf.DUMMYFUNCTION("""COMPUTED_VALUE"""),4.0)</f>
        <v>4</v>
      </c>
      <c r="G808" s="17" t="str">
        <f>IFERROR(__xludf.DUMMYFUNCTION("""COMPUTED_VALUE"""),"Sabun batang 1 Box ( 2 PCS )")</f>
        <v>Sabun batang 1 Box ( 2 PCS )</v>
      </c>
      <c r="H808" s="463" t="str">
        <f>IFERROR(__xludf.DUMMYFUNCTION("""COMPUTED_VALUE"""),"Sampai")</f>
        <v>Sampai</v>
      </c>
      <c r="I808" s="464" t="str">
        <f>IFERROR(__xludf.DUMMYFUNCTION("""COMPUTED_VALUE"""),"KIMME")</f>
        <v>KIMME</v>
      </c>
      <c r="J808" s="17" t="str">
        <f>IFERROR(__xludf.DUMMYFUNCTION("""COMPUTED_VALUE"""),"⁠https://vt.tiktok.com/ZS96r7gvk/")</f>
        <v>⁠https://vt.tiktok.com/ZS96r7gvk/</v>
      </c>
      <c r="K808" s="464" t="str">
        <f>IFERROR(__xludf.DUMMYFUNCTION("""COMPUTED_VALUE"""),"KIMME")</f>
        <v>KIMME</v>
      </c>
      <c r="L808" s="17" t="str">
        <f>IFERROR(__xludf.DUMMYFUNCTION("""COMPUTED_VALUE"""),"⁠https://vt.tiktok.com/ZS96rHE1G/")</f>
        <v>⁠https://vt.tiktok.com/ZS96rHE1G/</v>
      </c>
      <c r="M808" s="464"/>
      <c r="N808" s="17" t="str">
        <f>IFERROR(__xludf.DUMMYFUNCTION("""COMPUTED_VALUE"""),"⁠https://vt.tiktok.com/ZS96rvR4p/")</f>
        <v>⁠https://vt.tiktok.com/ZS96rvR4p/</v>
      </c>
      <c r="O808" s="464"/>
      <c r="P808" s="17" t="str">
        <f>IFERROR(__xludf.DUMMYFUNCTION("""COMPUTED_VALUE"""),"⁠https://vt.tiktok.com/ZS96rtb1d/")</f>
        <v>⁠https://vt.tiktok.com/ZS96rtb1d/</v>
      </c>
    </row>
    <row r="809">
      <c r="A809" s="255" t="str">
        <f>IFERROR(__xludf.DUMMYFUNCTION("""COMPUTED_VALUE"""),"MICRO")</f>
        <v>MICRO</v>
      </c>
      <c r="B809" s="361" t="str">
        <f>IFERROR(__xludf.DUMMYFUNCTION("""COMPUTED_VALUE"""),"lidyalidya253")</f>
        <v>lidyalidya253</v>
      </c>
      <c r="C809" s="257" t="str">
        <f>IFERROR(__xludf.DUMMYFUNCTION("""COMPUTED_VALUE"""),"https://www.tiktok.com/@lidyalidya253")</f>
        <v>https://www.tiktok.com/@lidyalidya253</v>
      </c>
      <c r="D809" s="270">
        <f>IFERROR(__xludf.DUMMYFUNCTION("""COMPUTED_VALUE"""),8.1272464004E10)</f>
        <v>81272464004</v>
      </c>
      <c r="E809" s="457">
        <f>IFERROR(__xludf.DUMMYFUNCTION("""COMPUTED_VALUE"""),0.0)</f>
        <v>0</v>
      </c>
      <c r="F809" s="270">
        <f>IFERROR(__xludf.DUMMYFUNCTION("""COMPUTED_VALUE"""),4.0)</f>
        <v>4</v>
      </c>
      <c r="G809" s="17" t="str">
        <f>IFERROR(__xludf.DUMMYFUNCTION("""COMPUTED_VALUE"""),"Sabun batang 1 Box ( 2 PCS )")</f>
        <v>Sabun batang 1 Box ( 2 PCS )</v>
      </c>
      <c r="H809" s="463" t="str">
        <f>IFERROR(__xludf.DUMMYFUNCTION("""COMPUTED_VALUE"""),"Sampai")</f>
        <v>Sampai</v>
      </c>
      <c r="I809" s="464" t="str">
        <f>IFERROR(__xludf.DUMMYFUNCTION("""COMPUTED_VALUE"""),"KIMME")</f>
        <v>KIMME</v>
      </c>
      <c r="J809" s="17" t="str">
        <f>IFERROR(__xludf.DUMMYFUNCTION("""COMPUTED_VALUE"""),"⁠https://vt.tiktok.com/ZS96rKo5M/")</f>
        <v>⁠https://vt.tiktok.com/ZS96rKo5M/</v>
      </c>
      <c r="K809" s="464" t="str">
        <f>IFERROR(__xludf.DUMMYFUNCTION("""COMPUTED_VALUE"""),"KIMME")</f>
        <v>KIMME</v>
      </c>
      <c r="L809" s="17" t="str">
        <f>IFERROR(__xludf.DUMMYFUNCTION("""COMPUTED_VALUE"""),"⁠https://vt.tiktok.com/ZS96rx8fh/")</f>
        <v>⁠https://vt.tiktok.com/ZS96rx8fh/</v>
      </c>
      <c r="M809" s="464"/>
      <c r="N809" s="17" t="str">
        <f>IFERROR(__xludf.DUMMYFUNCTION("""COMPUTED_VALUE"""),"⁠https://vt.tiktok.com/ZS96rpP9v/")</f>
        <v>⁠https://vt.tiktok.com/ZS96rpP9v/</v>
      </c>
      <c r="O809" s="464"/>
      <c r="P809" s="17" t="str">
        <f>IFERROR(__xludf.DUMMYFUNCTION("""COMPUTED_VALUE"""),"⁠https://vt.tiktok.com/ZS96rqQp9/")</f>
        <v>⁠https://vt.tiktok.com/ZS96rqQp9/</v>
      </c>
    </row>
    <row r="810">
      <c r="A810" s="255" t="str">
        <f>IFERROR(__xludf.DUMMYFUNCTION("""COMPUTED_VALUE"""),"MICRO")</f>
        <v>MICRO</v>
      </c>
      <c r="B810" s="361" t="str">
        <f>IFERROR(__xludf.DUMMYFUNCTION("""COMPUTED_VALUE"""),"wafazihny")</f>
        <v>wafazihny</v>
      </c>
      <c r="C810" s="257" t="str">
        <f>IFERROR(__xludf.DUMMYFUNCTION("""COMPUTED_VALUE"""),"https://www.tiktok.com/@wafazihny")</f>
        <v>https://www.tiktok.com/@wafazihny</v>
      </c>
      <c r="D810" s="270">
        <f>IFERROR(__xludf.DUMMYFUNCTION("""COMPUTED_VALUE"""),8.1445340122E10)</f>
        <v>81445340122</v>
      </c>
      <c r="E810" s="457">
        <f>IFERROR(__xludf.DUMMYFUNCTION("""COMPUTED_VALUE"""),0.0)</f>
        <v>0</v>
      </c>
      <c r="F810" s="270">
        <f>IFERROR(__xludf.DUMMYFUNCTION("""COMPUTED_VALUE"""),4.0)</f>
        <v>4</v>
      </c>
      <c r="G810" s="17" t="str">
        <f>IFERROR(__xludf.DUMMYFUNCTION("""COMPUTED_VALUE"""),"Sabun batang 1 Box ( 2 PCS )")</f>
        <v>Sabun batang 1 Box ( 2 PCS )</v>
      </c>
      <c r="H810" s="463" t="str">
        <f>IFERROR(__xludf.DUMMYFUNCTION("""COMPUTED_VALUE"""),"Sampai")</f>
        <v>Sampai</v>
      </c>
      <c r="I810" s="464" t="str">
        <f>IFERROR(__xludf.DUMMYFUNCTION("""COMPUTED_VALUE"""),"KIMME")</f>
        <v>KIMME</v>
      </c>
      <c r="J810" s="17" t="str">
        <f>IFERROR(__xludf.DUMMYFUNCTION("""COMPUTED_VALUE"""),"⁠https://vt.tiktok.com/ZS96rbsVV/")</f>
        <v>⁠https://vt.tiktok.com/ZS96rbsVV/</v>
      </c>
      <c r="K810" s="464" t="str">
        <f>IFERROR(__xludf.DUMMYFUNCTION("""COMPUTED_VALUE"""),"KIMME")</f>
        <v>KIMME</v>
      </c>
      <c r="L810" s="17" t="str">
        <f>IFERROR(__xludf.DUMMYFUNCTION("""COMPUTED_VALUE"""),"⁠https://vt.tiktok.com/ZS96rcaLg/")</f>
        <v>⁠https://vt.tiktok.com/ZS96rcaLg/</v>
      </c>
      <c r="M810" s="464"/>
      <c r="N810" s="17" t="str">
        <f>IFERROR(__xludf.DUMMYFUNCTION("""COMPUTED_VALUE"""),"⁠https://vt.tiktok.com/ZS9r2Xyuc/")</f>
        <v>⁠https://vt.tiktok.com/ZS9r2Xyuc/</v>
      </c>
      <c r="O810" s="464"/>
      <c r="P810" s="17" t="str">
        <f>IFERROR(__xludf.DUMMYFUNCTION("""COMPUTED_VALUE"""),"⁠https://vt.tiktok.com/ZS9r2cN7N/")</f>
        <v>⁠https://vt.tiktok.com/ZS9r2cN7N/</v>
      </c>
    </row>
    <row r="811">
      <c r="A811" s="255" t="str">
        <f>IFERROR(__xludf.DUMMYFUNCTION("""COMPUTED_VALUE"""),"MICRO")</f>
        <v>MICRO</v>
      </c>
      <c r="B811" s="361" t="str">
        <f>IFERROR(__xludf.DUMMYFUNCTION("""COMPUTED_VALUE"""),"itakmarsela")</f>
        <v>itakmarsela</v>
      </c>
      <c r="C811" s="257" t="str">
        <f>IFERROR(__xludf.DUMMYFUNCTION("""COMPUTED_VALUE"""),"https://www.tiktok.com/@itakmarsela")</f>
        <v>https://www.tiktok.com/@itakmarsela</v>
      </c>
      <c r="D811" s="270">
        <f>IFERROR(__xludf.DUMMYFUNCTION("""COMPUTED_VALUE"""),8.124536257E10)</f>
        <v>81245362570</v>
      </c>
      <c r="E811" s="457">
        <f>IFERROR(__xludf.DUMMYFUNCTION("""COMPUTED_VALUE"""),0.0)</f>
        <v>0</v>
      </c>
      <c r="F811" s="270">
        <f>IFERROR(__xludf.DUMMYFUNCTION("""COMPUTED_VALUE"""),4.0)</f>
        <v>4</v>
      </c>
      <c r="G811" s="17" t="str">
        <f>IFERROR(__xludf.DUMMYFUNCTION("""COMPUTED_VALUE"""),"Sabun batang 1 Box ( 2 PCS )")</f>
        <v>Sabun batang 1 Box ( 2 PCS )</v>
      </c>
      <c r="H811" s="463" t="str">
        <f>IFERROR(__xludf.DUMMYFUNCTION("""COMPUTED_VALUE"""),"Sampai")</f>
        <v>Sampai</v>
      </c>
      <c r="I811" s="464" t="str">
        <f>IFERROR(__xludf.DUMMYFUNCTION("""COMPUTED_VALUE"""),"KIMME")</f>
        <v>KIMME</v>
      </c>
      <c r="J811" s="17" t="str">
        <f>IFERROR(__xludf.DUMMYFUNCTION("""COMPUTED_VALUE"""),"⁠https://vt.tiktok.com/ZS9r2pJFv/")</f>
        <v>⁠https://vt.tiktok.com/ZS9r2pJFv/</v>
      </c>
      <c r="K811" s="464" t="str">
        <f>IFERROR(__xludf.DUMMYFUNCTION("""COMPUTED_VALUE"""),"KIMME")</f>
        <v>KIMME</v>
      </c>
      <c r="L811" s="17" t="str">
        <f>IFERROR(__xludf.DUMMYFUNCTION("""COMPUTED_VALUE"""),"⁠https://vt.tiktok.com/ZS9r2HdDb/")</f>
        <v>⁠https://vt.tiktok.com/ZS9r2HdDb/</v>
      </c>
      <c r="M811" s="464"/>
      <c r="N811" s="17" t="str">
        <f>IFERROR(__xludf.DUMMYFUNCTION("""COMPUTED_VALUE"""),"⁠https://vt.tiktok.com/ZS9r2HkGj/")</f>
        <v>⁠https://vt.tiktok.com/ZS9r2HkGj/</v>
      </c>
      <c r="O811" s="464"/>
      <c r="P811" s="17" t="str">
        <f>IFERROR(__xludf.DUMMYFUNCTION("""COMPUTED_VALUE"""),"⁠https://vt.tiktok.com/ZS9r2WyXW/")</f>
        <v>⁠https://vt.tiktok.com/ZS9r2WyXW/</v>
      </c>
    </row>
    <row r="812">
      <c r="A812" s="255" t="str">
        <f>IFERROR(__xludf.DUMMYFUNCTION("""COMPUTED_VALUE"""),"MICRO")</f>
        <v>MICRO</v>
      </c>
      <c r="B812" s="361" t="str">
        <f>IFERROR(__xludf.DUMMYFUNCTION("""COMPUTED_VALUE"""),"awxichq")</f>
        <v>awxichq</v>
      </c>
      <c r="C812" s="257" t="str">
        <f>IFERROR(__xludf.DUMMYFUNCTION("""COMPUTED_VALUE"""),"https://www.tiktok.com/@awxichq")</f>
        <v>https://www.tiktok.com/@awxichq</v>
      </c>
      <c r="D812" s="270">
        <f>IFERROR(__xludf.DUMMYFUNCTION("""COMPUTED_VALUE"""),8.9643541446E10)</f>
        <v>89643541446</v>
      </c>
      <c r="E812" s="457">
        <f>IFERROR(__xludf.DUMMYFUNCTION("""COMPUTED_VALUE"""),0.0)</f>
        <v>0</v>
      </c>
      <c r="F812" s="270">
        <f>IFERROR(__xludf.DUMMYFUNCTION("""COMPUTED_VALUE"""),4.0)</f>
        <v>4</v>
      </c>
      <c r="G812" s="17" t="str">
        <f>IFERROR(__xludf.DUMMYFUNCTION("""COMPUTED_VALUE"""),"Sabun batang 1 Box ( 2 PCS )")</f>
        <v>Sabun batang 1 Box ( 2 PCS )</v>
      </c>
      <c r="H812" s="463" t="str">
        <f>IFERROR(__xludf.DUMMYFUNCTION("""COMPUTED_VALUE"""),"Sampai")</f>
        <v>Sampai</v>
      </c>
      <c r="I812" s="464" t="str">
        <f>IFERROR(__xludf.DUMMYFUNCTION("""COMPUTED_VALUE"""),"KIMME")</f>
        <v>KIMME</v>
      </c>
      <c r="J812" s="17" t="str">
        <f>IFERROR(__xludf.DUMMYFUNCTION("""COMPUTED_VALUE"""),"⁠https://vt.tiktok.com/ZS9r2VwLr/")</f>
        <v>⁠https://vt.tiktok.com/ZS9r2VwLr/</v>
      </c>
      <c r="K812" s="464" t="str">
        <f>IFERROR(__xludf.DUMMYFUNCTION("""COMPUTED_VALUE"""),"KIMME")</f>
        <v>KIMME</v>
      </c>
      <c r="L812" s="17" t="str">
        <f>IFERROR(__xludf.DUMMYFUNCTION("""COMPUTED_VALUE"""),"⁠https://vt.tiktok.com/ZS9r27rYE/")</f>
        <v>⁠https://vt.tiktok.com/ZS9r27rYE/</v>
      </c>
      <c r="M812" s="464"/>
      <c r="N812" s="17" t="str">
        <f>IFERROR(__xludf.DUMMYFUNCTION("""COMPUTED_VALUE"""),"⁠https://vt.tiktok.com/ZS9r2Qttx/")</f>
        <v>⁠https://vt.tiktok.com/ZS9r2Qttx/</v>
      </c>
      <c r="O812" s="464"/>
      <c r="P812" s="17" t="str">
        <f>IFERROR(__xludf.DUMMYFUNCTION("""COMPUTED_VALUE"""),"⁠https://vt.tiktok.com/ZS9r2XVhV/")</f>
        <v>⁠https://vt.tiktok.com/ZS9r2XVhV/</v>
      </c>
    </row>
    <row r="813">
      <c r="A813" s="255" t="str">
        <f>IFERROR(__xludf.DUMMYFUNCTION("""COMPUTED_VALUE"""),"MACRO")</f>
        <v>MACRO</v>
      </c>
      <c r="B813" s="361" t="str">
        <f>IFERROR(__xludf.DUMMYFUNCTION("""COMPUTED_VALUE"""),"taruni.17")</f>
        <v>taruni.17</v>
      </c>
      <c r="C813" s="257" t="str">
        <f>IFERROR(__xludf.DUMMYFUNCTION("""COMPUTED_VALUE"""),"https://www.tiktok.com/@taruni.17")</f>
        <v>https://www.tiktok.com/@taruni.17</v>
      </c>
      <c r="D813" s="270">
        <f>IFERROR(__xludf.DUMMYFUNCTION("""COMPUTED_VALUE"""),8.5141037272E10)</f>
        <v>85141037272</v>
      </c>
      <c r="E813" s="457">
        <f>IFERROR(__xludf.DUMMYFUNCTION("""COMPUTED_VALUE"""),0.0)</f>
        <v>0</v>
      </c>
      <c r="F813" s="270">
        <f>IFERROR(__xludf.DUMMYFUNCTION("""COMPUTED_VALUE"""),1.0)</f>
        <v>1</v>
      </c>
      <c r="G813" s="17" t="str">
        <f>IFERROR(__xludf.DUMMYFUNCTION("""COMPUTED_VALUE"""),"Sabun batang 1 Box ( 2 PCS )")</f>
        <v>Sabun batang 1 Box ( 2 PCS )</v>
      </c>
      <c r="H813" s="463" t="str">
        <f>IFERROR(__xludf.DUMMYFUNCTION("""COMPUTED_VALUE"""),"Sampai")</f>
        <v>Sampai</v>
      </c>
      <c r="I813" s="464" t="str">
        <f>IFERROR(__xludf.DUMMYFUNCTION("""COMPUTED_VALUE"""),"KIMME")</f>
        <v>KIMME</v>
      </c>
      <c r="J813" s="279" t="str">
        <f>IFERROR(__xludf.DUMMYFUNCTION("""COMPUTED_VALUE"""),"https://vt.tiktok.com/ZS9BwafYc/")</f>
        <v>https://vt.tiktok.com/ZS9BwafYc/</v>
      </c>
      <c r="K813" s="464" t="str">
        <f>IFERROR(__xludf.DUMMYFUNCTION("""COMPUTED_VALUE"""),"KIMME")</f>
        <v>KIMME</v>
      </c>
      <c r="L813" s="279" t="str">
        <f>IFERROR(__xludf.DUMMYFUNCTION("""COMPUTED_VALUE"""),"https://vt.tiktok.com/ZSxLCWQYd/")</f>
        <v>https://vt.tiktok.com/ZSxLCWQYd/</v>
      </c>
      <c r="M813" s="464"/>
      <c r="N813" s="17"/>
      <c r="O813" s="464"/>
      <c r="P813" s="17"/>
    </row>
    <row r="814">
      <c r="A814" s="255" t="str">
        <f>IFERROR(__xludf.DUMMYFUNCTION("""COMPUTED_VALUE"""),"MICRO")</f>
        <v>MICRO</v>
      </c>
      <c r="B814" s="361" t="str">
        <f>IFERROR(__xludf.DUMMYFUNCTION("""COMPUTED_VALUE"""),"belasabilala")</f>
        <v>belasabilala</v>
      </c>
      <c r="C814" s="257" t="str">
        <f>IFERROR(__xludf.DUMMYFUNCTION("""COMPUTED_VALUE"""),"https://www.tiktok.com/@belasabilala")</f>
        <v>https://www.tiktok.com/@belasabilala</v>
      </c>
      <c r="D814" s="270">
        <f>IFERROR(__xludf.DUMMYFUNCTION("""COMPUTED_VALUE"""),8.11782202E9)</f>
        <v>8117822020</v>
      </c>
      <c r="E814" s="457">
        <f>IFERROR(__xludf.DUMMYFUNCTION("""COMPUTED_VALUE"""),0.0)</f>
        <v>0</v>
      </c>
      <c r="F814" s="270">
        <f>IFERROR(__xludf.DUMMYFUNCTION("""COMPUTED_VALUE"""),4.0)</f>
        <v>4</v>
      </c>
      <c r="G814" s="17" t="str">
        <f>IFERROR(__xludf.DUMMYFUNCTION("""COMPUTED_VALUE"""),"Sabun batang 1 Box ( 2 PCS )")</f>
        <v>Sabun batang 1 Box ( 2 PCS )</v>
      </c>
      <c r="H814" s="463" t="str">
        <f>IFERROR(__xludf.DUMMYFUNCTION("""COMPUTED_VALUE"""),"Sampai")</f>
        <v>Sampai</v>
      </c>
      <c r="I814" s="464" t="str">
        <f>IFERROR(__xludf.DUMMYFUNCTION("""COMPUTED_VALUE"""),"KIMME")</f>
        <v>KIMME</v>
      </c>
      <c r="J814" s="279" t="str">
        <f>IFERROR(__xludf.DUMMYFUNCTION("""COMPUTED_VALUE"""),"https://vt.tiktok.com/ZS9ky2VfT/")</f>
        <v>https://vt.tiktok.com/ZS9ky2VfT/</v>
      </c>
      <c r="K814" s="464" t="str">
        <f>IFERROR(__xludf.DUMMYFUNCTION("""COMPUTED_VALUE"""),"KIMME")</f>
        <v>KIMME</v>
      </c>
      <c r="L814" s="279" t="str">
        <f>IFERROR(__xludf.DUMMYFUNCTION("""COMPUTED_VALUE"""),"https://vt.tiktok.com/ZS9SSrXDe/")</f>
        <v>https://vt.tiktok.com/ZS9SSrXDe/</v>
      </c>
      <c r="M814" s="464"/>
      <c r="N814" s="279" t="str">
        <f>IFERROR(__xludf.DUMMYFUNCTION("""COMPUTED_VALUE"""),"https://vt.tiktok.com/ZS9SS4L8R/")</f>
        <v>https://vt.tiktok.com/ZS9SS4L8R/</v>
      </c>
      <c r="O814" s="464"/>
      <c r="P814" s="279" t="str">
        <f>IFERROR(__xludf.DUMMYFUNCTION("""COMPUTED_VALUE"""),"https://vt.tiktok.com/ZS9SBT4a4/")</f>
        <v>https://vt.tiktok.com/ZS9SBT4a4/</v>
      </c>
    </row>
    <row r="815">
      <c r="A815" s="255" t="str">
        <f>IFERROR(__xludf.DUMMYFUNCTION("""COMPUTED_VALUE"""),"MICRO")</f>
        <v>MICRO</v>
      </c>
      <c r="B815" s="361" t="str">
        <f>IFERROR(__xludf.DUMMYFUNCTION("""COMPUTED_VALUE"""),"haulbyping")</f>
        <v>haulbyping</v>
      </c>
      <c r="C815" s="257" t="str">
        <f>IFERROR(__xludf.DUMMYFUNCTION("""COMPUTED_VALUE"""),"https://www.tiktok.com/@haulbyping")</f>
        <v>https://www.tiktok.com/@haulbyping</v>
      </c>
      <c r="D815" s="270">
        <f>IFERROR(__xludf.DUMMYFUNCTION("""COMPUTED_VALUE"""),8.574543212E10)</f>
        <v>85745432120</v>
      </c>
      <c r="E815" s="457">
        <f>IFERROR(__xludf.DUMMYFUNCTION("""COMPUTED_VALUE"""),0.0)</f>
        <v>0</v>
      </c>
      <c r="F815" s="270">
        <f>IFERROR(__xludf.DUMMYFUNCTION("""COMPUTED_VALUE"""),4.0)</f>
        <v>4</v>
      </c>
      <c r="G815" s="17" t="str">
        <f>IFERROR(__xludf.DUMMYFUNCTION("""COMPUTED_VALUE"""),"Sabun batang 1 Box ( 2 PCS )")</f>
        <v>Sabun batang 1 Box ( 2 PCS )</v>
      </c>
      <c r="H815" s="463" t="str">
        <f>IFERROR(__xludf.DUMMYFUNCTION("""COMPUTED_VALUE"""),"Sampai")</f>
        <v>Sampai</v>
      </c>
      <c r="I815" s="464" t="str">
        <f>IFERROR(__xludf.DUMMYFUNCTION("""COMPUTED_VALUE"""),"KIMME")</f>
        <v>KIMME</v>
      </c>
      <c r="J815" s="279" t="str">
        <f>IFERROR(__xludf.DUMMYFUNCTION("""COMPUTED_VALUE"""),"https://vt.tiktok.com/ZS9SSNdpM/")</f>
        <v>https://vt.tiktok.com/ZS9SSNdpM/</v>
      </c>
      <c r="K815" s="464" t="str">
        <f>IFERROR(__xludf.DUMMYFUNCTION("""COMPUTED_VALUE"""),"KIMME")</f>
        <v>KIMME</v>
      </c>
      <c r="L815" s="279" t="str">
        <f>IFERROR(__xludf.DUMMYFUNCTION("""COMPUTED_VALUE"""),"https://vt.tiktok.com/ZS9SBogjF/")</f>
        <v>https://vt.tiktok.com/ZS9SBogjF/</v>
      </c>
      <c r="M815" s="464"/>
      <c r="N815" s="279" t="str">
        <f>IFERROR(__xludf.DUMMYFUNCTION("""COMPUTED_VALUE"""),"https://vt.tiktok.com/ZS9BE5FUN/")</f>
        <v>https://vt.tiktok.com/ZS9BE5FUN/</v>
      </c>
      <c r="O815" s="464"/>
      <c r="P815" s="279" t="str">
        <f>IFERROR(__xludf.DUMMYFUNCTION("""COMPUTED_VALUE"""),"https://vt.tiktok.com/ZS9SyLdPL/")</f>
        <v>https://vt.tiktok.com/ZS9SyLdPL/</v>
      </c>
    </row>
    <row r="816">
      <c r="A816" s="255" t="str">
        <f>IFERROR(__xludf.DUMMYFUNCTION("""COMPUTED_VALUE"""),"MACRO")</f>
        <v>MACRO</v>
      </c>
      <c r="B816" s="361" t="str">
        <f>IFERROR(__xludf.DUMMYFUNCTION("""COMPUTED_VALUE"""),"sambrutalmtr_")</f>
        <v>sambrutalmtr_</v>
      </c>
      <c r="C816" s="257" t="str">
        <f>IFERROR(__xludf.DUMMYFUNCTION("""COMPUTED_VALUE"""),"https://www.tiktok.com/@sambrutalmtr_")</f>
        <v>https://www.tiktok.com/@sambrutalmtr_</v>
      </c>
      <c r="D816" s="270">
        <f>IFERROR(__xludf.DUMMYFUNCTION("""COMPUTED_VALUE"""),8.81037683193E11)</f>
        <v>881037683193</v>
      </c>
      <c r="E816" s="457">
        <f>IFERROR(__xludf.DUMMYFUNCTION("""COMPUTED_VALUE"""),0.0)</f>
        <v>0</v>
      </c>
      <c r="F816" s="270">
        <f>IFERROR(__xludf.DUMMYFUNCTION("""COMPUTED_VALUE"""),2.0)</f>
        <v>2</v>
      </c>
      <c r="G816" s="17" t="str">
        <f>IFERROR(__xludf.DUMMYFUNCTION("""COMPUTED_VALUE"""),"Sabun batang 1 Box ( 2 PCS )")</f>
        <v>Sabun batang 1 Box ( 2 PCS )</v>
      </c>
      <c r="H816" s="463" t="str">
        <f>IFERROR(__xludf.DUMMYFUNCTION("""COMPUTED_VALUE"""),"Sampai")</f>
        <v>Sampai</v>
      </c>
      <c r="I816" s="464" t="str">
        <f>IFERROR(__xludf.DUMMYFUNCTION("""COMPUTED_VALUE"""),"KIMME")</f>
        <v>KIMME</v>
      </c>
      <c r="J816" s="279" t="str">
        <f>IFERROR(__xludf.DUMMYFUNCTION("""COMPUTED_VALUE"""),"https://vt.tiktok.com/ZS9SyrDSx/")</f>
        <v>https://vt.tiktok.com/ZS9SyrDSx/</v>
      </c>
      <c r="K816" s="464" t="str">
        <f>IFERROR(__xludf.DUMMYFUNCTION("""COMPUTED_VALUE"""),"KIMME")</f>
        <v>KIMME</v>
      </c>
      <c r="L816" s="279" t="str">
        <f>IFERROR(__xludf.DUMMYFUNCTION("""COMPUTED_VALUE"""),"https://vt.tiktok.com/ZS9SySdQy/")</f>
        <v>https://vt.tiktok.com/ZS9SySdQy/</v>
      </c>
      <c r="M816" s="464"/>
      <c r="N816" s="17"/>
      <c r="O816" s="464"/>
      <c r="P816" s="17"/>
    </row>
    <row r="817">
      <c r="A817" s="255" t="str">
        <f>IFERROR(__xludf.DUMMYFUNCTION("""COMPUTED_VALUE"""),"MICRO")</f>
        <v>MICRO</v>
      </c>
      <c r="B817" s="361" t="str">
        <f>IFERROR(__xludf.DUMMYFUNCTION("""COMPUTED_VALUE"""),"moon_haloho")</f>
        <v>moon_haloho</v>
      </c>
      <c r="C817" s="257" t="str">
        <f>IFERROR(__xludf.DUMMYFUNCTION("""COMPUTED_VALUE"""),"https://www.tiktok.com/@moon_haloho")</f>
        <v>https://www.tiktok.com/@moon_haloho</v>
      </c>
      <c r="D817" s="270"/>
      <c r="E817" s="457">
        <f>IFERROR(__xludf.DUMMYFUNCTION("""COMPUTED_VALUE"""),0.0)</f>
        <v>0</v>
      </c>
      <c r="F817" s="270">
        <f>IFERROR(__xludf.DUMMYFUNCTION("""COMPUTED_VALUE"""),4.0)</f>
        <v>4</v>
      </c>
      <c r="G817" s="17" t="str">
        <f>IFERROR(__xludf.DUMMYFUNCTION("""COMPUTED_VALUE"""),"Sabun batang 1 Box ( 2 PCS )")</f>
        <v>Sabun batang 1 Box ( 2 PCS )</v>
      </c>
      <c r="H817" s="463" t="str">
        <f>IFERROR(__xludf.DUMMYFUNCTION("""COMPUTED_VALUE"""),"Sampai")</f>
        <v>Sampai</v>
      </c>
      <c r="I817" s="464" t="str">
        <f>IFERROR(__xludf.DUMMYFUNCTION("""COMPUTED_VALUE"""),"KIMME")</f>
        <v>KIMME</v>
      </c>
      <c r="J817" s="279" t="str">
        <f>IFERROR(__xludf.DUMMYFUNCTION("""COMPUTED_VALUE"""),"https://vt.tiktok.com/ZS9SyJKEC/")</f>
        <v>https://vt.tiktok.com/ZS9SyJKEC/</v>
      </c>
      <c r="K817" s="464" t="str">
        <f>IFERROR(__xludf.DUMMYFUNCTION("""COMPUTED_VALUE"""),"KIMME")</f>
        <v>KIMME</v>
      </c>
      <c r="L817" s="279" t="str">
        <f>IFERROR(__xludf.DUMMYFUNCTION("""COMPUTED_VALUE"""),"https://vt.tiktok.com/ZS9kSeAYv/")</f>
        <v>https://vt.tiktok.com/ZS9kSeAYv/</v>
      </c>
      <c r="M817" s="464"/>
      <c r="N817" s="279" t="str">
        <f>IFERROR(__xludf.DUMMYFUNCTION("""COMPUTED_VALUE"""),"https://vt.tiktok.com/ZS9kBpaeM/")</f>
        <v>https://vt.tiktok.com/ZS9kBpaeM/</v>
      </c>
      <c r="O817" s="464"/>
      <c r="P817" s="279" t="str">
        <f>IFERROR(__xludf.DUMMYFUNCTION("""COMPUTED_VALUE"""),"https://vt.tiktok.com/ZS9kkVwU6/")</f>
        <v>https://vt.tiktok.com/ZS9kkVwU6/</v>
      </c>
    </row>
    <row r="818">
      <c r="A818" s="255" t="str">
        <f>IFERROR(__xludf.DUMMYFUNCTION("""COMPUTED_VALUE"""),"MICRO")</f>
        <v>MICRO</v>
      </c>
      <c r="B818" s="361" t="str">
        <f>IFERROR(__xludf.DUMMYFUNCTION("""COMPUTED_VALUE"""),"azkycunil")</f>
        <v>azkycunil</v>
      </c>
      <c r="C818" s="257" t="str">
        <f>IFERROR(__xludf.DUMMYFUNCTION("""COMPUTED_VALUE"""),"https://www.tiktok.com/@azkycunil")</f>
        <v>https://www.tiktok.com/@azkycunil</v>
      </c>
      <c r="D818" s="270">
        <f>IFERROR(__xludf.DUMMYFUNCTION("""COMPUTED_VALUE"""),8.3844248873E10)</f>
        <v>83844248873</v>
      </c>
      <c r="E818" s="457">
        <f>IFERROR(__xludf.DUMMYFUNCTION("""COMPUTED_VALUE"""),0.0)</f>
        <v>0</v>
      </c>
      <c r="F818" s="270">
        <f>IFERROR(__xludf.DUMMYFUNCTION("""COMPUTED_VALUE"""),4.0)</f>
        <v>4</v>
      </c>
      <c r="G818" s="17" t="str">
        <f>IFERROR(__xludf.DUMMYFUNCTION("""COMPUTED_VALUE"""),"Sabun batang 1 Box ( 2 PCS )")</f>
        <v>Sabun batang 1 Box ( 2 PCS )</v>
      </c>
      <c r="H818" s="463" t="str">
        <f>IFERROR(__xludf.DUMMYFUNCTION("""COMPUTED_VALUE"""),"Sampai")</f>
        <v>Sampai</v>
      </c>
      <c r="I818" s="464" t="str">
        <f>IFERROR(__xludf.DUMMYFUNCTION("""COMPUTED_VALUE"""),"KIMME")</f>
        <v>KIMME</v>
      </c>
      <c r="J818" s="279" t="str">
        <f>IFERROR(__xludf.DUMMYFUNCTION("""COMPUTED_VALUE"""),"https://vt.tiktok.com/ZS9khgbAv/")</f>
        <v>https://vt.tiktok.com/ZS9khgbAv/</v>
      </c>
      <c r="K818" s="464" t="str">
        <f>IFERROR(__xludf.DUMMYFUNCTION("""COMPUTED_VALUE"""),"KIMME")</f>
        <v>KIMME</v>
      </c>
      <c r="L818" s="279" t="str">
        <f>IFERROR(__xludf.DUMMYFUNCTION("""COMPUTED_VALUE"""),"https://vt.tiktok.com/ZS9khfT7s/")</f>
        <v>https://vt.tiktok.com/ZS9khfT7s/</v>
      </c>
      <c r="M818" s="464"/>
      <c r="N818" s="279" t="str">
        <f>IFERROR(__xludf.DUMMYFUNCTION("""COMPUTED_VALUE"""),"https://vt.tiktok.com/ZS9kh68K6/")</f>
        <v>https://vt.tiktok.com/ZS9kh68K6/</v>
      </c>
      <c r="O818" s="464"/>
      <c r="P818" s="279" t="str">
        <f>IFERROR(__xludf.DUMMYFUNCTION("""COMPUTED_VALUE"""),"https://vt.tiktok.com/ZS9htbcF2/")</f>
        <v>https://vt.tiktok.com/ZS9htbcF2/</v>
      </c>
    </row>
    <row r="819">
      <c r="A819" s="255" t="str">
        <f>IFERROR(__xludf.DUMMYFUNCTION("""COMPUTED_VALUE"""),"MICRO")</f>
        <v>MICRO</v>
      </c>
      <c r="B819" s="361" t="str">
        <f>IFERROR(__xludf.DUMMYFUNCTION("""COMPUTED_VALUE"""),"natyaaa_")</f>
        <v>natyaaa_</v>
      </c>
      <c r="C819" s="257" t="str">
        <f>IFERROR(__xludf.DUMMYFUNCTION("""COMPUTED_VALUE"""),"https://www.tiktok.com/@natyaaa_")</f>
        <v>https://www.tiktok.com/@natyaaa_</v>
      </c>
      <c r="D819" s="270">
        <f>IFERROR(__xludf.DUMMYFUNCTION("""COMPUTED_VALUE"""),8.5211123922E10)</f>
        <v>85211123922</v>
      </c>
      <c r="E819" s="457">
        <f>IFERROR(__xludf.DUMMYFUNCTION("""COMPUTED_VALUE"""),0.0)</f>
        <v>0</v>
      </c>
      <c r="F819" s="270">
        <f>IFERROR(__xludf.DUMMYFUNCTION("""COMPUTED_VALUE"""),4.0)</f>
        <v>4</v>
      </c>
      <c r="G819" s="17" t="str">
        <f>IFERROR(__xludf.DUMMYFUNCTION("""COMPUTED_VALUE"""),"Sabun batang 1 Box ( 2 PCS )")</f>
        <v>Sabun batang 1 Box ( 2 PCS )</v>
      </c>
      <c r="H819" s="463" t="str">
        <f>IFERROR(__xludf.DUMMYFUNCTION("""COMPUTED_VALUE"""),"Sampai")</f>
        <v>Sampai</v>
      </c>
      <c r="I819" s="464" t="str">
        <f>IFERROR(__xludf.DUMMYFUNCTION("""COMPUTED_VALUE"""),"KIMME")</f>
        <v>KIMME</v>
      </c>
      <c r="J819" s="279" t="str">
        <f>IFERROR(__xludf.DUMMYFUNCTION("""COMPUTED_VALUE"""),"https://vt.tiktok.com/ZS9htPLtM/")</f>
        <v>https://vt.tiktok.com/ZS9htPLtM/</v>
      </c>
      <c r="K819" s="464" t="str">
        <f>IFERROR(__xludf.DUMMYFUNCTION("""COMPUTED_VALUE"""),"KIMME")</f>
        <v>KIMME</v>
      </c>
      <c r="L819" s="279" t="str">
        <f>IFERROR(__xludf.DUMMYFUNCTION("""COMPUTED_VALUE"""),"https://vt.tiktok.com/ZS9hG5SJN/")</f>
        <v>https://vt.tiktok.com/ZS9hG5SJN/</v>
      </c>
      <c r="M819" s="464"/>
      <c r="N819" s="279" t="str">
        <f>IFERROR(__xludf.DUMMYFUNCTION("""COMPUTED_VALUE"""),"https://vt.tiktok.com/ZS9hsGPXd/")</f>
        <v>https://vt.tiktok.com/ZS9hsGPXd/</v>
      </c>
      <c r="O819" s="464"/>
      <c r="P819" s="279" t="str">
        <f>IFERROR(__xludf.DUMMYFUNCTION("""COMPUTED_VALUE"""),"https://vt.tiktok.com/ZS9hs3gwn/")</f>
        <v>https://vt.tiktok.com/ZS9hs3gwn/</v>
      </c>
    </row>
    <row r="820">
      <c r="A820" s="255" t="str">
        <f>IFERROR(__xludf.DUMMYFUNCTION("""COMPUTED_VALUE"""),"MICRO")</f>
        <v>MICRO</v>
      </c>
      <c r="B820" s="361" t="str">
        <f>IFERROR(__xludf.DUMMYFUNCTION("""COMPUTED_VALUE"""),"ian_dwiyana")</f>
        <v>ian_dwiyana</v>
      </c>
      <c r="C820" s="257" t="str">
        <f>IFERROR(__xludf.DUMMYFUNCTION("""COMPUTED_VALUE"""),"https://www.tiktok.com/@ian_dwiyana")</f>
        <v>https://www.tiktok.com/@ian_dwiyana</v>
      </c>
      <c r="D820" s="270">
        <f>IFERROR(__xludf.DUMMYFUNCTION("""COMPUTED_VALUE"""),8.121506727E10)</f>
        <v>81215067270</v>
      </c>
      <c r="E820" s="457">
        <f>IFERROR(__xludf.DUMMYFUNCTION("""COMPUTED_VALUE"""),0.0)</f>
        <v>0</v>
      </c>
      <c r="F820" s="270">
        <f>IFERROR(__xludf.DUMMYFUNCTION("""COMPUTED_VALUE"""),2.0)</f>
        <v>2</v>
      </c>
      <c r="G820" s="17" t="str">
        <f>IFERROR(__xludf.DUMMYFUNCTION("""COMPUTED_VALUE"""),"Sabun batang 1 Box ( 2 PCS )")</f>
        <v>Sabun batang 1 Box ( 2 PCS )</v>
      </c>
      <c r="H820" s="463" t="str">
        <f>IFERROR(__xludf.DUMMYFUNCTION("""COMPUTED_VALUE"""),"Sampai")</f>
        <v>Sampai</v>
      </c>
      <c r="I820" s="464" t="str">
        <f>IFERROR(__xludf.DUMMYFUNCTION("""COMPUTED_VALUE"""),"KIMME")</f>
        <v>KIMME</v>
      </c>
      <c r="J820" s="279" t="str">
        <f>IFERROR(__xludf.DUMMYFUNCTION("""COMPUTED_VALUE"""),"https://vt.tiktok.com/ZS9hscp6t/")</f>
        <v>https://vt.tiktok.com/ZS9hscp6t/</v>
      </c>
      <c r="K820" s="464" t="str">
        <f>IFERROR(__xludf.DUMMYFUNCTION("""COMPUTED_VALUE"""),"KIMME")</f>
        <v>KIMME</v>
      </c>
      <c r="L820" s="279" t="str">
        <f>IFERROR(__xludf.DUMMYFUNCTION("""COMPUTED_VALUE"""),"https://vt.tiktok.com/ZS9hsw8E7/")</f>
        <v>https://vt.tiktok.com/ZS9hsw8E7/</v>
      </c>
      <c r="M820" s="464"/>
      <c r="N820" s="279" t="str">
        <f>IFERROR(__xludf.DUMMYFUNCTION("""COMPUTED_VALUE"""),"https://vt.tiktok.com/ZSxdTB8sE/")</f>
        <v>https://vt.tiktok.com/ZSxdTB8sE/</v>
      </c>
      <c r="O820" s="464"/>
      <c r="P820" s="279" t="str">
        <f>IFERROR(__xludf.DUMMYFUNCTION("""COMPUTED_VALUE"""),"https://vt.tiktok.com/ZSxkKJTtJ/")</f>
        <v>https://vt.tiktok.com/ZSxkKJTtJ/</v>
      </c>
    </row>
    <row r="821">
      <c r="A821" s="255" t="str">
        <f>IFERROR(__xludf.DUMMYFUNCTION("""COMPUTED_VALUE"""),"MICRO")</f>
        <v>MICRO</v>
      </c>
      <c r="B821" s="361" t="str">
        <f>IFERROR(__xludf.DUMMYFUNCTION("""COMPUTED_VALUE"""),"murniratnasari")</f>
        <v>murniratnasari</v>
      </c>
      <c r="C821" s="257" t="str">
        <f>IFERROR(__xludf.DUMMYFUNCTION("""COMPUTED_VALUE"""),"https://www.tiktok.com/@murniratnasari")</f>
        <v>https://www.tiktok.com/@murniratnasari</v>
      </c>
      <c r="D821" s="270">
        <f>IFERROR(__xludf.DUMMYFUNCTION("""COMPUTED_VALUE"""),8.1220750611E10)</f>
        <v>81220750611</v>
      </c>
      <c r="E821" s="457">
        <f>IFERROR(__xludf.DUMMYFUNCTION("""COMPUTED_VALUE"""),0.0)</f>
        <v>0</v>
      </c>
      <c r="F821" s="270">
        <f>IFERROR(__xludf.DUMMYFUNCTION("""COMPUTED_VALUE"""),2.0)</f>
        <v>2</v>
      </c>
      <c r="G821" s="17" t="str">
        <f>IFERROR(__xludf.DUMMYFUNCTION("""COMPUTED_VALUE"""),"Sabun batang 1 Box ( 2 PCS )")</f>
        <v>Sabun batang 1 Box ( 2 PCS )</v>
      </c>
      <c r="H821" s="463" t="str">
        <f>IFERROR(__xludf.DUMMYFUNCTION("""COMPUTED_VALUE"""),"Sampai")</f>
        <v>Sampai</v>
      </c>
      <c r="I821" s="464" t="str">
        <f>IFERROR(__xludf.DUMMYFUNCTION("""COMPUTED_VALUE"""),"KIMME")</f>
        <v>KIMME</v>
      </c>
      <c r="J821" s="279" t="str">
        <f>IFERROR(__xludf.DUMMYFUNCTION("""COMPUTED_VALUE"""),"https://vt.tiktok.com/ZS9kyvxpR/")</f>
        <v>https://vt.tiktok.com/ZS9kyvxpR/</v>
      </c>
      <c r="K821" s="464" t="str">
        <f>IFERROR(__xludf.DUMMYFUNCTION("""COMPUTED_VALUE"""),"KIMME")</f>
        <v>KIMME</v>
      </c>
      <c r="L821" s="279" t="str">
        <f>IFERROR(__xludf.DUMMYFUNCTION("""COMPUTED_VALUE"""),"https://vt.tiktok.com/ZS9kfVwsq/")</f>
        <v>https://vt.tiktok.com/ZS9kfVwsq/</v>
      </c>
      <c r="M821" s="464"/>
      <c r="N821" s="279" t="str">
        <f>IFERROR(__xludf.DUMMYFUNCTION("""COMPUTED_VALUE"""),"https://vt.tiktok.com/ZSxLXUmAM/")</f>
        <v>https://vt.tiktok.com/ZSxLXUmAM/</v>
      </c>
      <c r="O821" s="464"/>
      <c r="P821" s="279" t="str">
        <f>IFERROR(__xludf.DUMMYFUNCTION("""COMPUTED_VALUE"""),"https://vt.tiktok.com/ZSxAPKyAk/")</f>
        <v>https://vt.tiktok.com/ZSxAPKyAk/</v>
      </c>
    </row>
    <row r="822">
      <c r="A822" s="255" t="str">
        <f>IFERROR(__xludf.DUMMYFUNCTION("""COMPUTED_VALUE"""),"MACRO")</f>
        <v>MACRO</v>
      </c>
      <c r="B822" s="361" t="str">
        <f>IFERROR(__xludf.DUMMYFUNCTION("""COMPUTED_VALUE"""),"driazhrl")</f>
        <v>driazhrl</v>
      </c>
      <c r="C822" s="257" t="str">
        <f>IFERROR(__xludf.DUMMYFUNCTION("""COMPUTED_VALUE"""),"https://www.tiktok.com/@driazhrl")</f>
        <v>https://www.tiktok.com/@driazhrl</v>
      </c>
      <c r="D822" s="270">
        <f>IFERROR(__xludf.DUMMYFUNCTION("""COMPUTED_VALUE"""),8.5722191556E10)</f>
        <v>85722191556</v>
      </c>
      <c r="E822" s="457">
        <f>IFERROR(__xludf.DUMMYFUNCTION("""COMPUTED_VALUE"""),0.0)</f>
        <v>0</v>
      </c>
      <c r="F822" s="270">
        <f>IFERROR(__xludf.DUMMYFUNCTION("""COMPUTED_VALUE"""),1.0)</f>
        <v>1</v>
      </c>
      <c r="G822" s="17" t="str">
        <f>IFERROR(__xludf.DUMMYFUNCTION("""COMPUTED_VALUE"""),"Sabun batang 1 Box ( 2 PCS )")</f>
        <v>Sabun batang 1 Box ( 2 PCS )</v>
      </c>
      <c r="H822" s="463" t="str">
        <f>IFERROR(__xludf.DUMMYFUNCTION("""COMPUTED_VALUE"""),"Sampai")</f>
        <v>Sampai</v>
      </c>
      <c r="I822" s="464" t="str">
        <f>IFERROR(__xludf.DUMMYFUNCTION("""COMPUTED_VALUE"""),"KIMME")</f>
        <v>KIMME</v>
      </c>
      <c r="J822" s="279" t="str">
        <f>IFERROR(__xludf.DUMMYFUNCTION("""COMPUTED_VALUE"""),"https://vt.tiktok.com/ZS9kufjbN/")</f>
        <v>https://vt.tiktok.com/ZS9kufjbN/</v>
      </c>
      <c r="K822" s="464" t="str">
        <f>IFERROR(__xludf.DUMMYFUNCTION("""COMPUTED_VALUE"""),"KIMME")</f>
        <v>KIMME</v>
      </c>
      <c r="L822" s="279" t="str">
        <f>IFERROR(__xludf.DUMMYFUNCTION("""COMPUTED_VALUE"""),"https://vt.tiktok.com/ZSxAa6WJA/")</f>
        <v>https://vt.tiktok.com/ZSxAa6WJA/</v>
      </c>
      <c r="M822" s="464"/>
      <c r="N822" s="17"/>
      <c r="O822" s="464"/>
      <c r="P822" s="17"/>
    </row>
    <row r="823">
      <c r="A823" s="255" t="str">
        <f>IFERROR(__xludf.DUMMYFUNCTION("""COMPUTED_VALUE"""),"MICRO")</f>
        <v>MICRO</v>
      </c>
      <c r="B823" s="361" t="str">
        <f>IFERROR(__xludf.DUMMYFUNCTION("""COMPUTED_VALUE"""),"di.rawr")</f>
        <v>di.rawr</v>
      </c>
      <c r="C823" s="257" t="str">
        <f>IFERROR(__xludf.DUMMYFUNCTION("""COMPUTED_VALUE"""),"https://www.tiktok.com/@di.rawr")</f>
        <v>https://www.tiktok.com/@di.rawr</v>
      </c>
      <c r="D823" s="270">
        <f>IFERROR(__xludf.DUMMYFUNCTION("""COMPUTED_VALUE"""),8.5710317859E10)</f>
        <v>85710317859</v>
      </c>
      <c r="E823" s="457">
        <f>IFERROR(__xludf.DUMMYFUNCTION("""COMPUTED_VALUE"""),0.0)</f>
        <v>0</v>
      </c>
      <c r="F823" s="270">
        <f>IFERROR(__xludf.DUMMYFUNCTION("""COMPUTED_VALUE"""),4.0)</f>
        <v>4</v>
      </c>
      <c r="G823" s="17" t="str">
        <f>IFERROR(__xludf.DUMMYFUNCTION("""COMPUTED_VALUE"""),"Sabun batang 1 Box ( 2 PCS )")</f>
        <v>Sabun batang 1 Box ( 2 PCS )</v>
      </c>
      <c r="H823" s="463" t="str">
        <f>IFERROR(__xludf.DUMMYFUNCTION("""COMPUTED_VALUE"""),"Sampai")</f>
        <v>Sampai</v>
      </c>
      <c r="I823" s="464" t="str">
        <f>IFERROR(__xludf.DUMMYFUNCTION("""COMPUTED_VALUE"""),"KIMME")</f>
        <v>KIMME</v>
      </c>
      <c r="J823" s="279" t="str">
        <f>IFERROR(__xludf.DUMMYFUNCTION("""COMPUTED_VALUE"""),"https://vt.tiktok.com/ZS9kHV47y/")</f>
        <v>https://vt.tiktok.com/ZS9kHV47y/</v>
      </c>
      <c r="K823" s="464" t="str">
        <f>IFERROR(__xludf.DUMMYFUNCTION("""COMPUTED_VALUE"""),"KIMME")</f>
        <v>KIMME</v>
      </c>
      <c r="L823" s="279" t="str">
        <f>IFERROR(__xludf.DUMMYFUNCTION("""COMPUTED_VALUE"""),"https://vt.tiktok.com/ZS9k9hhj9/")</f>
        <v>https://vt.tiktok.com/ZS9k9hhj9/</v>
      </c>
      <c r="M823" s="464"/>
      <c r="N823" s="279" t="str">
        <f>IFERROR(__xludf.DUMMYFUNCTION("""COMPUTED_VALUE"""),"https://vt.tiktok.com/ZS9kxvevA/")</f>
        <v>https://vt.tiktok.com/ZS9kxvevA/</v>
      </c>
      <c r="O823" s="464"/>
      <c r="P823" s="279" t="str">
        <f>IFERROR(__xludf.DUMMYFUNCTION("""COMPUTED_VALUE"""),"https://vt.tiktok.com/ZS9kQtDAj/")</f>
        <v>https://vt.tiktok.com/ZS9kQtDAj/</v>
      </c>
    </row>
    <row r="824">
      <c r="A824" s="255" t="str">
        <f>IFERROR(__xludf.DUMMYFUNCTION("""COMPUTED_VALUE"""),"MICRO")</f>
        <v>MICRO</v>
      </c>
      <c r="B824" s="361" t="str">
        <f>IFERROR(__xludf.DUMMYFUNCTION("""COMPUTED_VALUE"""),"nishrmdhni")</f>
        <v>nishrmdhni</v>
      </c>
      <c r="C824" s="257" t="str">
        <f>IFERROR(__xludf.DUMMYFUNCTION("""COMPUTED_VALUE"""),"https://www.tiktok.com/@nishrmdhni")</f>
        <v>https://www.tiktok.com/@nishrmdhni</v>
      </c>
      <c r="D824" s="270">
        <f>IFERROR(__xludf.DUMMYFUNCTION("""COMPUTED_VALUE"""),8.3857476156E10)</f>
        <v>83857476156</v>
      </c>
      <c r="E824" s="457">
        <f>IFERROR(__xludf.DUMMYFUNCTION("""COMPUTED_VALUE"""),0.0)</f>
        <v>0</v>
      </c>
      <c r="F824" s="270">
        <f>IFERROR(__xludf.DUMMYFUNCTION("""COMPUTED_VALUE"""),3.0)</f>
        <v>3</v>
      </c>
      <c r="G824" s="17" t="str">
        <f>IFERROR(__xludf.DUMMYFUNCTION("""COMPUTED_VALUE"""),"Sabun batang 1 Box ( 2 PCS )")</f>
        <v>Sabun batang 1 Box ( 2 PCS )</v>
      </c>
      <c r="H824" s="463" t="str">
        <f>IFERROR(__xludf.DUMMYFUNCTION("""COMPUTED_VALUE"""),"Sampai")</f>
        <v>Sampai</v>
      </c>
      <c r="I824" s="464" t="str">
        <f>IFERROR(__xludf.DUMMYFUNCTION("""COMPUTED_VALUE"""),"KIMME")</f>
        <v>KIMME</v>
      </c>
      <c r="J824" s="17" t="str">
        <f>IFERROR(__xludf.DUMMYFUNCTION("""COMPUTED_VALUE"""),"https://www.tiktok.com/@berkah.glosir/video/7633591858781883668?_r=1&amp;u_code=e85madfeelij2j&amp;region=ID&amp;mid=7615874061603719953&amp;preview_pb=0&amp;sharer_language=id&amp;_d=eamlmmm8mhi2b1&amp;ec_shared_reflux_dynamic_params=%7B%22placeholder_material_id%22%3A%227633591858"&amp;"781883668%22%2C%22placeholder_origin_cover%22%3A%22https%253A%252F%252Fp16-common-sign.tiktokcdn.com%252Ftos-alisg-p-0037%252FosFkA73v3teuoR9cCngYFt4yAeeqAzWrGwfbaG~tplv-tiktokx-origin.webp%253Fdr%253D14572%2526refresh_token%253D84504fb4%2526x-expires%253"&amp;"D1808877600%2526x-signature%253Dvq4sDSGM4CallYQHGf2MWePoqQQ%25253D%2526t%253D4d5b0474%2526ps%253D13740610%2526shp%253Dd05b14bd%2526shcp%253D34ff8df6%2526idc%253Dmy%2526s%253DPUBLISH%22%2C%22placeholder_product_id%22%3A%221729729730555512511%22%2C%22placeh"&amp;"older_video_id%22%3A%227633591858781883668%22%7D&amp;ec_shared_reflux_scene=shop_tab_feed&amp;share_item_id=7633591858781883668&amp;source=h5_t&amp;timestamp=1777344209&amp;user_id=7237520577413497862&amp;sec_user_id=MS4wLjABAAAAuFKTxltRNEA4vRxvmggGlTdfDooZIOomASx9rmdI28pmHrMuv0"&amp;"3DvPz0p1WeHk_U&amp;item_author_type=2&amp;social_share_type=0&amp;utm_source=copy&amp;utm_campaign=client_share&amp;utm_medium=android&amp;share_iid=7632450506153887495&amp;share_link_id=4d724c26-2e5b-4ccd-979d-9d8feddfd269&amp;share_app_id=1180&amp;ugbiz_name=MAIN&amp;ug_btm=b5836%2Cb2878&amp;sp_r"&amp;"oot_share_link_id=4d724c26-2e5b-4ccd-979d-9d8feddfd269&amp;link_reflow_popup_iteration_sharer=%7B%22click_empty_to_play%22%3A1%2C%22dynamic_cover%22%3A1%2C%22follow_to_play_duration%22%3A-1.0%2C%22profile_clickable%22%3A1%7D&amp;enable_checksum=1&amp;sp_level=1&amp;sp_ro"&amp;"ot_u=e85madfeelij2j&amp;sp_root_d=eamlmmm8mhi2b1")</f>
        <v>https://www.tiktok.com/@berkah.glosir/video/7633591858781883668?_r=1&amp;u_code=e85madfeelij2j&amp;region=ID&amp;mid=7615874061603719953&amp;preview_pb=0&amp;sharer_language=id&amp;_d=eamlmmm8mhi2b1&amp;ec_shared_reflux_dynamic_params=%7B%22placeholder_material_id%22%3A%227633591858781883668%22%2C%22placeholder_origin_cover%22%3A%22https%253A%252F%252Fp16-common-sign.tiktokcdn.com%252Ftos-alisg-p-0037%252FosFkA73v3teuoR9cCngYFt4yAeeqAzWrGwfbaG~tplv-tiktokx-origin.webp%253Fdr%253D14572%2526refresh_token%253D84504fb4%2526x-expires%253D1808877600%2526x-signature%253Dvq4sDSGM4CallYQHGf2MWePoqQQ%25253D%2526t%253D4d5b0474%2526ps%253D13740610%2526shp%253Dd05b14bd%2526shcp%253D34ff8df6%2526idc%253Dmy%2526s%253DPUBLISH%22%2C%22placeholder_product_id%22%3A%221729729730555512511%22%2C%22placeholder_video_id%22%3A%227633591858781883668%22%7D&amp;ec_shared_reflux_scene=shop_tab_feed&amp;share_item_id=7633591858781883668&amp;source=h5_t&amp;timestamp=1777344209&amp;user_id=7237520577413497862&amp;sec_user_id=MS4wLjABAAAAuFKTxltRNEA4vRxvmggGlTdfDooZIOomASx9rmdI28pmHrMuv03DvPz0p1WeHk_U&amp;item_author_type=2&amp;social_share_type=0&amp;utm_source=copy&amp;utm_campaign=client_share&amp;utm_medium=android&amp;share_iid=7632450506153887495&amp;share_link_id=4d724c26-2e5b-4ccd-979d-9d8feddfd269&amp;share_app_id=1180&amp;ugbiz_name=MAIN&amp;ug_btm=b5836%2Cb2878&amp;sp_root_share_link_id=4d724c26-2e5b-4ccd-979d-9d8feddfd269&amp;link_reflow_popup_iteration_sharer=%7B%22click_empty_to_play%22%3A1%2C%22dynamic_cover%22%3A1%2C%22follow_to_play_duration%22%3A-1.0%2C%22profile_clickable%22%3A1%7D&amp;enable_checksum=1&amp;sp_level=1&amp;sp_root_u=e85madfeelij2j&amp;sp_root_d=eamlmmm8mhi2b1</v>
      </c>
      <c r="K824" s="464" t="str">
        <f>IFERROR(__xludf.DUMMYFUNCTION("""COMPUTED_VALUE"""),"KIMME")</f>
        <v>KIMME</v>
      </c>
      <c r="L824" s="279" t="str">
        <f>IFERROR(__xludf.DUMMYFUNCTION("""COMPUTED_VALUE"""),"https://vt.tiktok.com/ZS9BEJG34/")</f>
        <v>https://vt.tiktok.com/ZS9BEJG34/</v>
      </c>
      <c r="M824" s="464"/>
      <c r="N824" s="279" t="str">
        <f>IFERROR(__xludf.DUMMYFUNCTION("""COMPUTED_VALUE"""),"https://vt.tiktok.com/ZS9BKGmMc/")</f>
        <v>https://vt.tiktok.com/ZS9BKGmMc/</v>
      </c>
      <c r="O824" s="464"/>
      <c r="P824" s="279" t="str">
        <f>IFERROR(__xludf.DUMMYFUNCTION("""COMPUTED_VALUE"""),"https://vt.tiktok.com/ZSxkKJ22p/")</f>
        <v>https://vt.tiktok.com/ZSxkKJ22p/</v>
      </c>
    </row>
    <row r="825">
      <c r="A825" s="255" t="str">
        <f>IFERROR(__xludf.DUMMYFUNCTION("""COMPUTED_VALUE"""),"MICRO")</f>
        <v>MICRO</v>
      </c>
      <c r="B825" s="361" t="str">
        <f>IFERROR(__xludf.DUMMYFUNCTION("""COMPUTED_VALUE"""),"moodnanat")</f>
        <v>moodnanat</v>
      </c>
      <c r="C825" s="257" t="str">
        <f>IFERROR(__xludf.DUMMYFUNCTION("""COMPUTED_VALUE"""),"https://www.tiktok.com/@moodnanat")</f>
        <v>https://www.tiktok.com/@moodnanat</v>
      </c>
      <c r="D825" s="270">
        <f>IFERROR(__xludf.DUMMYFUNCTION("""COMPUTED_VALUE"""),8.5161969125E10)</f>
        <v>85161969125</v>
      </c>
      <c r="E825" s="457">
        <f>IFERROR(__xludf.DUMMYFUNCTION("""COMPUTED_VALUE"""),0.0)</f>
        <v>0</v>
      </c>
      <c r="F825" s="270">
        <f>IFERROR(__xludf.DUMMYFUNCTION("""COMPUTED_VALUE"""),3.0)</f>
        <v>3</v>
      </c>
      <c r="G825" s="17" t="str">
        <f>IFERROR(__xludf.DUMMYFUNCTION("""COMPUTED_VALUE"""),"Sabun batang 1 Box ( 2 PCS )")</f>
        <v>Sabun batang 1 Box ( 2 PCS )</v>
      </c>
      <c r="H825" s="463" t="str">
        <f>IFERROR(__xludf.DUMMYFUNCTION("""COMPUTED_VALUE"""),"Sampai")</f>
        <v>Sampai</v>
      </c>
      <c r="I825" s="464" t="str">
        <f>IFERROR(__xludf.DUMMYFUNCTION("""COMPUTED_VALUE"""),"KIMME")</f>
        <v>KIMME</v>
      </c>
      <c r="J825" s="279" t="str">
        <f>IFERROR(__xludf.DUMMYFUNCTION("""COMPUTED_VALUE"""),"https://vt.tiktok.com/ZS9BKtmKR/")</f>
        <v>https://vt.tiktok.com/ZS9BKtmKR/</v>
      </c>
      <c r="K825" s="464" t="str">
        <f>IFERROR(__xludf.DUMMYFUNCTION("""COMPUTED_VALUE"""),"KIMME")</f>
        <v>KIMME</v>
      </c>
      <c r="L825" s="279" t="str">
        <f>IFERROR(__xludf.DUMMYFUNCTION("""COMPUTED_VALUE"""),"https://vt.tiktok.com/ZS9BKVEaG/")</f>
        <v>https://vt.tiktok.com/ZS9BKVEaG/</v>
      </c>
      <c r="M825" s="464"/>
      <c r="N825" s="279" t="str">
        <f>IFERROR(__xludf.DUMMYFUNCTION("""COMPUTED_VALUE"""),"https://vt.tiktok.com/ZS9BKWr29/")</f>
        <v>https://vt.tiktok.com/ZS9BKWr29/</v>
      </c>
      <c r="O825" s="464"/>
      <c r="P825" s="279" t="str">
        <f>IFERROR(__xludf.DUMMYFUNCTION("""COMPUTED_VALUE"""),"https://vt.tiktok.com/ZSxAPwHH1/")</f>
        <v>https://vt.tiktok.com/ZSxAPwHH1/</v>
      </c>
    </row>
    <row r="826">
      <c r="A826" s="255" t="str">
        <f>IFERROR(__xludf.DUMMYFUNCTION("""COMPUTED_VALUE"""),"MICRO")</f>
        <v>MICRO</v>
      </c>
      <c r="B826" s="361" t="str">
        <f>IFERROR(__xludf.DUMMYFUNCTION("""COMPUTED_VALUE"""),"ibukhemat")</f>
        <v>ibukhemat</v>
      </c>
      <c r="C826" s="257" t="str">
        <f>IFERROR(__xludf.DUMMYFUNCTION("""COMPUTED_VALUE"""),"https://www.tiktok.com/@ibukhemat")</f>
        <v>https://www.tiktok.com/@ibukhemat</v>
      </c>
      <c r="D826" s="270">
        <f>IFERROR(__xludf.DUMMYFUNCTION("""COMPUTED_VALUE"""),8.135757843E10)</f>
        <v>81357578430</v>
      </c>
      <c r="E826" s="457">
        <f>IFERROR(__xludf.DUMMYFUNCTION("""COMPUTED_VALUE"""),0.0)</f>
        <v>0</v>
      </c>
      <c r="F826" s="270">
        <f>IFERROR(__xludf.DUMMYFUNCTION("""COMPUTED_VALUE"""),3.0)</f>
        <v>3</v>
      </c>
      <c r="G826" s="17" t="str">
        <f>IFERROR(__xludf.DUMMYFUNCTION("""COMPUTED_VALUE"""),"Sabun batang 1 Box ( 2 PCS )")</f>
        <v>Sabun batang 1 Box ( 2 PCS )</v>
      </c>
      <c r="H826" s="463" t="str">
        <f>IFERROR(__xludf.DUMMYFUNCTION("""COMPUTED_VALUE"""),"Sampai")</f>
        <v>Sampai</v>
      </c>
      <c r="I826" s="464" t="str">
        <f>IFERROR(__xludf.DUMMYFUNCTION("""COMPUTED_VALUE"""),"KIMME")</f>
        <v>KIMME</v>
      </c>
      <c r="J826" s="279" t="str">
        <f>IFERROR(__xludf.DUMMYFUNCTION("""COMPUTED_VALUE"""),"https://vt.tiktok.com/ZS9BKTWc7/")</f>
        <v>https://vt.tiktok.com/ZS9BKTWc7/</v>
      </c>
      <c r="K826" s="464" t="str">
        <f>IFERROR(__xludf.DUMMYFUNCTION("""COMPUTED_VALUE"""),"KIMME")</f>
        <v>KIMME</v>
      </c>
      <c r="L826" s="279" t="str">
        <f>IFERROR(__xludf.DUMMYFUNCTION("""COMPUTED_VALUE"""),"https://vt.tiktok.com/ZS9BKvSgH/")</f>
        <v>https://vt.tiktok.com/ZS9BKvSgH/</v>
      </c>
      <c r="M826" s="464"/>
      <c r="N826" s="279" t="str">
        <f>IFERROR(__xludf.DUMMYFUNCTION("""COMPUTED_VALUE"""),"https://vt.tiktok.com/ZS9BKEUCR/")</f>
        <v>https://vt.tiktok.com/ZS9BKEUCR/</v>
      </c>
      <c r="O826" s="464"/>
      <c r="P826" s="279" t="str">
        <f>IFERROR(__xludf.DUMMYFUNCTION("""COMPUTED_VALUE"""),"https://vt.tiktok.com/ZSxULPeJT/")</f>
        <v>https://vt.tiktok.com/ZSxULPeJT/</v>
      </c>
    </row>
    <row r="827">
      <c r="A827" s="255" t="str">
        <f>IFERROR(__xludf.DUMMYFUNCTION("""COMPUTED_VALUE"""),"MICRO")</f>
        <v>MICRO</v>
      </c>
      <c r="B827" s="361" t="str">
        <f>IFERROR(__xludf.DUMMYFUNCTION("""COMPUTED_VALUE"""),"mamachoice98")</f>
        <v>mamachoice98</v>
      </c>
      <c r="C827" s="257" t="str">
        <f>IFERROR(__xludf.DUMMYFUNCTION("""COMPUTED_VALUE"""),"https://www.tiktok.com/@mamachoice98")</f>
        <v>https://www.tiktok.com/@mamachoice98</v>
      </c>
      <c r="D827" s="270">
        <f>IFERROR(__xludf.DUMMYFUNCTION("""COMPUTED_VALUE"""),8.1274999732E10)</f>
        <v>81274999732</v>
      </c>
      <c r="E827" s="457">
        <f>IFERROR(__xludf.DUMMYFUNCTION("""COMPUTED_VALUE"""),0.0)</f>
        <v>0</v>
      </c>
      <c r="F827" s="270">
        <f>IFERROR(__xludf.DUMMYFUNCTION("""COMPUTED_VALUE"""),4.0)</f>
        <v>4</v>
      </c>
      <c r="G827" s="17" t="str">
        <f>IFERROR(__xludf.DUMMYFUNCTION("""COMPUTED_VALUE"""),"Sabun batang 1 Box ( 2 PCS )")</f>
        <v>Sabun batang 1 Box ( 2 PCS )</v>
      </c>
      <c r="H827" s="463" t="str">
        <f>IFERROR(__xludf.DUMMYFUNCTION("""COMPUTED_VALUE"""),"Sampai")</f>
        <v>Sampai</v>
      </c>
      <c r="I827" s="464" t="str">
        <f>IFERROR(__xludf.DUMMYFUNCTION("""COMPUTED_VALUE"""),"KIMME")</f>
        <v>KIMME</v>
      </c>
      <c r="J827" s="279" t="str">
        <f>IFERROR(__xludf.DUMMYFUNCTION("""COMPUTED_VALUE"""),"https://vt.tiktok.com/ZS9BKTKbx/")</f>
        <v>https://vt.tiktok.com/ZS9BKTKbx/</v>
      </c>
      <c r="K827" s="464" t="str">
        <f>IFERROR(__xludf.DUMMYFUNCTION("""COMPUTED_VALUE"""),"KIMME")</f>
        <v>KIMME</v>
      </c>
      <c r="L827" s="279" t="str">
        <f>IFERROR(__xludf.DUMMYFUNCTION("""COMPUTED_VALUE"""),"https://vt.tiktok.com/ZS9BKgAyY/")</f>
        <v>https://vt.tiktok.com/ZS9BKgAyY/</v>
      </c>
      <c r="M827" s="464"/>
      <c r="N827" s="279" t="str">
        <f>IFERROR(__xludf.DUMMYFUNCTION("""COMPUTED_VALUE"""),"https://vt.tiktok.com/ZS9BK7L8K/")</f>
        <v>https://vt.tiktok.com/ZS9BK7L8K/</v>
      </c>
      <c r="O827" s="464"/>
      <c r="P827" s="279" t="str">
        <f>IFERROR(__xludf.DUMMYFUNCTION("""COMPUTED_VALUE"""),"https://vt.tiktok.com/ZS9BKTMnF/")</f>
        <v>https://vt.tiktok.com/ZS9BKTMnF/</v>
      </c>
    </row>
    <row r="828">
      <c r="A828" s="255" t="str">
        <f>IFERROR(__xludf.DUMMYFUNCTION("""COMPUTED_VALUE"""),"MICRO")</f>
        <v>MICRO</v>
      </c>
      <c r="B828" s="361" t="str">
        <f>IFERROR(__xludf.DUMMYFUNCTION("""COMPUTED_VALUE"""),"nelichannels")</f>
        <v>nelichannels</v>
      </c>
      <c r="C828" s="257" t="str">
        <f>IFERROR(__xludf.DUMMYFUNCTION("""COMPUTED_VALUE"""),"https://www.tiktok.com/@nelichannels")</f>
        <v>https://www.tiktok.com/@nelichannels</v>
      </c>
      <c r="D828" s="270">
        <f>IFERROR(__xludf.DUMMYFUNCTION("""COMPUTED_VALUE"""),8.978588015E9)</f>
        <v>8978588015</v>
      </c>
      <c r="E828" s="457">
        <f>IFERROR(__xludf.DUMMYFUNCTION("""COMPUTED_VALUE"""),0.0)</f>
        <v>0</v>
      </c>
      <c r="F828" s="270">
        <f>IFERROR(__xludf.DUMMYFUNCTION("""COMPUTED_VALUE"""),4.0)</f>
        <v>4</v>
      </c>
      <c r="G828" s="17" t="str">
        <f>IFERROR(__xludf.DUMMYFUNCTION("""COMPUTED_VALUE"""),"Sabun batang 1 Box ( 2 PCS )")</f>
        <v>Sabun batang 1 Box ( 2 PCS )</v>
      </c>
      <c r="H828" s="463" t="str">
        <f>IFERROR(__xludf.DUMMYFUNCTION("""COMPUTED_VALUE"""),"Sampai")</f>
        <v>Sampai</v>
      </c>
      <c r="I828" s="464" t="str">
        <f>IFERROR(__xludf.DUMMYFUNCTION("""COMPUTED_VALUE"""),"KIMME")</f>
        <v>KIMME</v>
      </c>
      <c r="J828" s="279" t="str">
        <f>IFERROR(__xludf.DUMMYFUNCTION("""COMPUTED_VALUE"""),"https://vt.tiktok.com/ZS9BKTJH1/")</f>
        <v>https://vt.tiktok.com/ZS9BKTJH1/</v>
      </c>
      <c r="K828" s="464" t="str">
        <f>IFERROR(__xludf.DUMMYFUNCTION("""COMPUTED_VALUE"""),"KIMME")</f>
        <v>KIMME</v>
      </c>
      <c r="L828" s="279" t="str">
        <f>IFERROR(__xludf.DUMMYFUNCTION("""COMPUTED_VALUE"""),"https://vt.tiktok.com/ZS9BEeTfp/")</f>
        <v>https://vt.tiktok.com/ZS9BEeTfp/</v>
      </c>
      <c r="M828" s="464"/>
      <c r="N828" s="279" t="str">
        <f>IFERROR(__xludf.DUMMYFUNCTION("""COMPUTED_VALUE"""),"https://vt.tiktok.com/ZS9BTWh3m/")</f>
        <v>https://vt.tiktok.com/ZS9BTWh3m/</v>
      </c>
      <c r="O828" s="464"/>
      <c r="P828" s="279" t="str">
        <f>IFERROR(__xludf.DUMMYFUNCTION("""COMPUTED_VALUE"""),"https://vt.tiktok.com/ZS9Bw6Y7R/")</f>
        <v>https://vt.tiktok.com/ZS9Bw6Y7R/</v>
      </c>
    </row>
    <row r="829">
      <c r="A829" s="255" t="str">
        <f>IFERROR(__xludf.DUMMYFUNCTION("""COMPUTED_VALUE"""),"MACRO")</f>
        <v>MACRO</v>
      </c>
      <c r="B829" s="361" t="str">
        <f>IFERROR(__xludf.DUMMYFUNCTION("""COMPUTED_VALUE"""),"cici_purwati1")</f>
        <v>cici_purwati1</v>
      </c>
      <c r="C829" s="257" t="str">
        <f>IFERROR(__xludf.DUMMYFUNCTION("""COMPUTED_VALUE"""),"https://www.tiktok.com/@cici_purwati1")</f>
        <v>https://www.tiktok.com/@cici_purwati1</v>
      </c>
      <c r="D829" s="270">
        <f>IFERROR(__xludf.DUMMYFUNCTION("""COMPUTED_VALUE"""),8.3827573567E10)</f>
        <v>83827573567</v>
      </c>
      <c r="E829" s="457">
        <f>IFERROR(__xludf.DUMMYFUNCTION("""COMPUTED_VALUE"""),0.0)</f>
        <v>0</v>
      </c>
      <c r="F829" s="270">
        <f>IFERROR(__xludf.DUMMYFUNCTION("""COMPUTED_VALUE"""),2.0)</f>
        <v>2</v>
      </c>
      <c r="G829" s="17" t="str">
        <f>IFERROR(__xludf.DUMMYFUNCTION("""COMPUTED_VALUE"""),"Sabun batang 1 Box ( 2 PCS )")</f>
        <v>Sabun batang 1 Box ( 2 PCS )</v>
      </c>
      <c r="H829" s="463" t="str">
        <f>IFERROR(__xludf.DUMMYFUNCTION("""COMPUTED_VALUE"""),"Sampai")</f>
        <v>Sampai</v>
      </c>
      <c r="I829" s="464" t="str">
        <f>IFERROR(__xludf.DUMMYFUNCTION("""COMPUTED_VALUE"""),"KIMME")</f>
        <v>KIMME</v>
      </c>
      <c r="J829" s="279" t="str">
        <f>IFERROR(__xludf.DUMMYFUNCTION("""COMPUTED_VALUE"""),"https://vt.tiktok.com/ZS9BwNsGd/")</f>
        <v>https://vt.tiktok.com/ZS9BwNsGd/</v>
      </c>
      <c r="K829" s="464" t="str">
        <f>IFERROR(__xludf.DUMMYFUNCTION("""COMPUTED_VALUE"""),"KIMME")</f>
        <v>KIMME</v>
      </c>
      <c r="L829" s="279" t="str">
        <f>IFERROR(__xludf.DUMMYFUNCTION("""COMPUTED_VALUE"""),"https://vt.tiktok.com/ZS9BwRrnq/")</f>
        <v>https://vt.tiktok.com/ZS9BwRrnq/</v>
      </c>
      <c r="M829" s="464"/>
      <c r="N829" s="17"/>
      <c r="O829" s="464"/>
      <c r="P829" s="17"/>
    </row>
    <row r="830">
      <c r="A830" s="255" t="str">
        <f>IFERROR(__xludf.DUMMYFUNCTION("""COMPUTED_VALUE"""),"MACRO")</f>
        <v>MACRO</v>
      </c>
      <c r="B830" s="361" t="str">
        <f>IFERROR(__xludf.DUMMYFUNCTION("""COMPUTED_VALUE"""),"erviniapermatasari")</f>
        <v>erviniapermatasari</v>
      </c>
      <c r="C830" s="257" t="str">
        <f>IFERROR(__xludf.DUMMYFUNCTION("""COMPUTED_VALUE"""),"https://www.tiktok.com/@erviniapermatasari")</f>
        <v>https://www.tiktok.com/@erviniapermatasari</v>
      </c>
      <c r="D830" s="270">
        <f>IFERROR(__xludf.DUMMYFUNCTION("""COMPUTED_VALUE"""),8.5791999987E10)</f>
        <v>85791999987</v>
      </c>
      <c r="E830" s="457">
        <f>IFERROR(__xludf.DUMMYFUNCTION("""COMPUTED_VALUE"""),0.0)</f>
        <v>0</v>
      </c>
      <c r="F830" s="270">
        <f>IFERROR(__xludf.DUMMYFUNCTION("""COMPUTED_VALUE"""),2.0)</f>
        <v>2</v>
      </c>
      <c r="G830" s="17" t="str">
        <f>IFERROR(__xludf.DUMMYFUNCTION("""COMPUTED_VALUE"""),"Sabun batang 1 Box ( 2 PCS )")</f>
        <v>Sabun batang 1 Box ( 2 PCS )</v>
      </c>
      <c r="H830" s="463" t="str">
        <f>IFERROR(__xludf.DUMMYFUNCTION("""COMPUTED_VALUE"""),"Sampai")</f>
        <v>Sampai</v>
      </c>
      <c r="I830" s="464" t="str">
        <f>IFERROR(__xludf.DUMMYFUNCTION("""COMPUTED_VALUE"""),"KIMME")</f>
        <v>KIMME</v>
      </c>
      <c r="J830" s="279" t="str">
        <f>IFERROR(__xludf.DUMMYFUNCTION("""COMPUTED_VALUE"""),"https://vt.tiktok.com/ZS9BTwTn8/")</f>
        <v>https://vt.tiktok.com/ZS9BTwTn8/</v>
      </c>
      <c r="K830" s="464" t="str">
        <f>IFERROR(__xludf.DUMMYFUNCTION("""COMPUTED_VALUE"""),"KIMME")</f>
        <v>KIMME</v>
      </c>
      <c r="L830" s="279" t="str">
        <f>IFERROR(__xludf.DUMMYFUNCTION("""COMPUTED_VALUE"""),"https://vt.tiktok.com/ZS9BTTj7H/")</f>
        <v>https://vt.tiktok.com/ZS9BTTj7H/</v>
      </c>
      <c r="M830" s="464"/>
      <c r="N830" s="17"/>
      <c r="O830" s="464"/>
      <c r="P830" s="17"/>
    </row>
    <row r="831">
      <c r="A831" s="255" t="str">
        <f>IFERROR(__xludf.DUMMYFUNCTION("""COMPUTED_VALUE"""),"MICRO")</f>
        <v>MICRO</v>
      </c>
      <c r="B831" s="361" t="str">
        <f>IFERROR(__xludf.DUMMYFUNCTION("""COMPUTED_VALUE"""),"heinia_")</f>
        <v>heinia_</v>
      </c>
      <c r="C831" s="257" t="str">
        <f>IFERROR(__xludf.DUMMYFUNCTION("""COMPUTED_VALUE"""),"https://www.tiktok.com/@heinia_")</f>
        <v>https://www.tiktok.com/@heinia_</v>
      </c>
      <c r="D831" s="270">
        <f>IFERROR(__xludf.DUMMYFUNCTION("""COMPUTED_VALUE"""),8.1336535233E10)</f>
        <v>81336535233</v>
      </c>
      <c r="E831" s="457">
        <f>IFERROR(__xludf.DUMMYFUNCTION("""COMPUTED_VALUE"""),0.0)</f>
        <v>0</v>
      </c>
      <c r="F831" s="270">
        <f>IFERROR(__xludf.DUMMYFUNCTION("""COMPUTED_VALUE"""),4.0)</f>
        <v>4</v>
      </c>
      <c r="G831" s="17" t="str">
        <f>IFERROR(__xludf.DUMMYFUNCTION("""COMPUTED_VALUE"""),"Sabun batang 1 Box ( 2 PCS )")</f>
        <v>Sabun batang 1 Box ( 2 PCS )</v>
      </c>
      <c r="H831" s="463" t="str">
        <f>IFERROR(__xludf.DUMMYFUNCTION("""COMPUTED_VALUE"""),"Sampai")</f>
        <v>Sampai</v>
      </c>
      <c r="I831" s="464" t="str">
        <f>IFERROR(__xludf.DUMMYFUNCTION("""COMPUTED_VALUE"""),"KIMME")</f>
        <v>KIMME</v>
      </c>
      <c r="J831" s="279" t="str">
        <f>IFERROR(__xludf.DUMMYFUNCTION("""COMPUTED_VALUE"""),"https://vt.tiktok.com/ZS9kmBNp4/")</f>
        <v>https://vt.tiktok.com/ZS9kmBNp4/</v>
      </c>
      <c r="K831" s="464" t="str">
        <f>IFERROR(__xludf.DUMMYFUNCTION("""COMPUTED_VALUE"""),"KIMME")</f>
        <v>KIMME</v>
      </c>
      <c r="L831" s="279" t="str">
        <f>IFERROR(__xludf.DUMMYFUNCTION("""COMPUTED_VALUE"""),"https://vt.tiktok.com/ZS9km6c57/")</f>
        <v>https://vt.tiktok.com/ZS9km6c57/</v>
      </c>
      <c r="M831" s="464"/>
      <c r="N831" s="279" t="str">
        <f>IFERROR(__xludf.DUMMYFUNCTION("""COMPUTED_VALUE"""),"https://vt.tiktok.com/ZS9km6AaP/")</f>
        <v>https://vt.tiktok.com/ZS9km6AaP/</v>
      </c>
      <c r="O831" s="464"/>
      <c r="P831" s="279" t="str">
        <f>IFERROR(__xludf.DUMMYFUNCTION("""COMPUTED_VALUE"""),"https://vt.tiktok.com/ZS9kmJTHK/")</f>
        <v>https://vt.tiktok.com/ZS9kmJTHK/</v>
      </c>
    </row>
    <row r="832">
      <c r="A832" s="255" t="str">
        <f>IFERROR(__xludf.DUMMYFUNCTION("""COMPUTED_VALUE"""),"MICRO")</f>
        <v>MICRO</v>
      </c>
      <c r="B832" s="361" t="str">
        <f>IFERROR(__xludf.DUMMYFUNCTION("""COMPUTED_VALUE"""),"rizkiamaliad")</f>
        <v>rizkiamaliad</v>
      </c>
      <c r="C832" s="257" t="str">
        <f>IFERROR(__xludf.DUMMYFUNCTION("""COMPUTED_VALUE"""),"https://www.tiktok.com/@rizkiamaliad")</f>
        <v>https://www.tiktok.com/@rizkiamaliad</v>
      </c>
      <c r="D832" s="270">
        <f>IFERROR(__xludf.DUMMYFUNCTION("""COMPUTED_VALUE"""),8.1392606248E10)</f>
        <v>81392606248</v>
      </c>
      <c r="E832" s="457">
        <f>IFERROR(__xludf.DUMMYFUNCTION("""COMPUTED_VALUE"""),0.0)</f>
        <v>0</v>
      </c>
      <c r="F832" s="270">
        <f>IFERROR(__xludf.DUMMYFUNCTION("""COMPUTED_VALUE"""),4.0)</f>
        <v>4</v>
      </c>
      <c r="G832" s="17" t="str">
        <f>IFERROR(__xludf.DUMMYFUNCTION("""COMPUTED_VALUE"""),"Sabun batang 1 Box ( 2 PCS )")</f>
        <v>Sabun batang 1 Box ( 2 PCS )</v>
      </c>
      <c r="H832" s="463" t="str">
        <f>IFERROR(__xludf.DUMMYFUNCTION("""COMPUTED_VALUE"""),"Sampai")</f>
        <v>Sampai</v>
      </c>
      <c r="I832" s="464" t="str">
        <f>IFERROR(__xludf.DUMMYFUNCTION("""COMPUTED_VALUE"""),"KIMME")</f>
        <v>KIMME</v>
      </c>
      <c r="J832" s="279" t="str">
        <f>IFERROR(__xludf.DUMMYFUNCTION("""COMPUTED_VALUE"""),"https://vt.tiktok.com/ZS9km1nAg/")</f>
        <v>https://vt.tiktok.com/ZS9km1nAg/</v>
      </c>
      <c r="K832" s="464" t="str">
        <f>IFERROR(__xludf.DUMMYFUNCTION("""COMPUTED_VALUE"""),"KIMME")</f>
        <v>KIMME</v>
      </c>
      <c r="L832" s="279" t="str">
        <f>IFERROR(__xludf.DUMMYFUNCTION("""COMPUTED_VALUE"""),"https://vt.tiktok.com/ZS9kmJPxp/")</f>
        <v>https://vt.tiktok.com/ZS9kmJPxp/</v>
      </c>
      <c r="M832" s="464"/>
      <c r="N832" s="279" t="str">
        <f>IFERROR(__xludf.DUMMYFUNCTION("""COMPUTED_VALUE"""),"https://vt.tiktok.com/ZS9kmLXV6/")</f>
        <v>https://vt.tiktok.com/ZS9kmLXV6/</v>
      </c>
      <c r="O832" s="464"/>
      <c r="P832" s="279" t="str">
        <f>IFERROR(__xludf.DUMMYFUNCTION("""COMPUTED_VALUE"""),"https://vt.tiktok.com/ZS9km1nWd/")</f>
        <v>https://vt.tiktok.com/ZS9km1nWd/</v>
      </c>
    </row>
    <row r="833">
      <c r="A833" s="255" t="str">
        <f>IFERROR(__xludf.DUMMYFUNCTION("""COMPUTED_VALUE"""),"MICRO")</f>
        <v>MICRO</v>
      </c>
      <c r="B833" s="361" t="str">
        <f>IFERROR(__xludf.DUMMYFUNCTION("""COMPUTED_VALUE"""),"intanyunita20")</f>
        <v>intanyunita20</v>
      </c>
      <c r="C833" s="257" t="str">
        <f>IFERROR(__xludf.DUMMYFUNCTION("""COMPUTED_VALUE"""),"https://www.tiktok.com/@intanyunita20")</f>
        <v>https://www.tiktok.com/@intanyunita20</v>
      </c>
      <c r="D833" s="270">
        <f>IFERROR(__xludf.DUMMYFUNCTION("""COMPUTED_VALUE"""),8.116334768E9)</f>
        <v>8116334768</v>
      </c>
      <c r="E833" s="457">
        <f>IFERROR(__xludf.DUMMYFUNCTION("""COMPUTED_VALUE"""),0.0)</f>
        <v>0</v>
      </c>
      <c r="F833" s="270">
        <f>IFERROR(__xludf.DUMMYFUNCTION("""COMPUTED_VALUE"""),4.0)</f>
        <v>4</v>
      </c>
      <c r="G833" s="17" t="str">
        <f>IFERROR(__xludf.DUMMYFUNCTION("""COMPUTED_VALUE"""),"Sabun batang 1 Box ( 2 PCS )")</f>
        <v>Sabun batang 1 Box ( 2 PCS )</v>
      </c>
      <c r="H833" s="463" t="str">
        <f>IFERROR(__xludf.DUMMYFUNCTION("""COMPUTED_VALUE"""),"Sampai")</f>
        <v>Sampai</v>
      </c>
      <c r="I833" s="464" t="str">
        <f>IFERROR(__xludf.DUMMYFUNCTION("""COMPUTED_VALUE"""),"KIMME")</f>
        <v>KIMME</v>
      </c>
      <c r="J833" s="279" t="str">
        <f>IFERROR(__xludf.DUMMYFUNCTION("""COMPUTED_VALUE"""),"https://vt.tiktok.com/ZS9kmygHr/")</f>
        <v>https://vt.tiktok.com/ZS9kmygHr/</v>
      </c>
      <c r="K833" s="464" t="str">
        <f>IFERROR(__xludf.DUMMYFUNCTION("""COMPUTED_VALUE"""),"KIMME")</f>
        <v>KIMME</v>
      </c>
      <c r="L833" s="17" t="str">
        <f>IFERROR(__xludf.DUMMYFUNCTION("""COMPUTED_VALUE"""),"https://www.tiktok.com/@tarigumala3/video/7633110368503598357?_r=1&amp;u_code=e9c26b44f9k0e0&amp;region=ID&amp;mid=7498623449464687415&amp;preview_pb=0&amp;sharer_language=id&amp;_d=ecd4mj4mma9l93&amp;ec_shared_reflux_dynamic_params=%7B%22placeholder_material_id%22%3A%22763311036850"&amp;"3598357%22%2C%22placeholder_origin_cover%22%3A%22https%253A%252F%252Fp16-common-sign.tiktokcdn.com%252Ftos-alisg-p-0037%252FoECdgAfZc7QBigRvE3goQJFEvS3MvpcvDoBkBf~tplv-tiktokx-origin.webp%253Fdr%253D14572%2526refresh_token%253Df56c2ee8%2526x-expires%253D1"&amp;"808823600%2526x-signature%253DquKyYch69gUThHTPocwV8JQFILg%25253D%2526t%253D4d5b0474%2526ps%253D13740610%2526shp%253Dd05b14bd%2526shcp%253D34ff8df6%2526idc%253Dsg1%2526s%253DPUBLISH%22%2C%22placeholder_product_id%22%3A%221729857531255097023%22%2C%22placeho"&amp;"lder_video_id%22%3A%227633110368503598357%22%7D&amp;ec_shared_reflux_scene=shop_tab_feed&amp;share_item_id=7633110368503598357&amp;source=h5_t&amp;timestamp=1777288910&amp;user_id=7265268939763680262&amp;sec_user_id=MS4wLjABAAAAPaXvRyDf-oQGScjNncwWMYDbd3M7mlGd8VvwyRd_PhSJfHRZrEv"&amp;"MBZQWMWGBSUUn&amp;item_author_type=1&amp;social_share_type=0&amp;utm_source=whatsapp&amp;utm_campaign=client_share&amp;utm_medium=android&amp;share_iid=7630871204396205840&amp;share_link_id=c0e56d64-5818-437d-b780-b2323deb54e7&amp;share_app_id=1180&amp;ugbiz_name=MAIN&amp;ug_btm=b8727%2Cb2878&amp;l"&amp;"ink_reflow_popup_iteration_sharer=%7B%22click_empty_to_play%22%3A1%2C%22dynamic_cover%22%3A1%2C%22follow_to_play_duration%22%3A-1.0%2C%22profile_clickable%22%3A1%7D&amp;enable_checksum=1")</f>
        <v>https://www.tiktok.com/@tarigumala3/video/7633110368503598357?_r=1&amp;u_code=e9c26b44f9k0e0&amp;region=ID&amp;mid=7498623449464687415&amp;preview_pb=0&amp;sharer_language=id&amp;_d=ecd4mj4mma9l93&amp;ec_shared_reflux_dynamic_params=%7B%22placeholder_material_id%22%3A%227633110368503598357%22%2C%22placeholder_origin_cover%22%3A%22https%253A%252F%252Fp16-common-sign.tiktokcdn.com%252Ftos-alisg-p-0037%252FoECdgAfZc7QBigRvE3goQJFEvS3MvpcvDoBkBf~tplv-tiktokx-origin.webp%253Fdr%253D14572%2526refresh_token%253Df56c2ee8%2526x-expires%253D1808823600%2526x-signature%253DquKyYch69gUThHTPocwV8JQFILg%25253D%2526t%253D4d5b0474%2526ps%253D13740610%2526shp%253Dd05b14bd%2526shcp%253D34ff8df6%2526idc%253Dsg1%2526s%253DPUBLISH%22%2C%22placeholder_product_id%22%3A%221729857531255097023%22%2C%22placeholder_video_id%22%3A%227633110368503598357%22%7D&amp;ec_shared_reflux_scene=shop_tab_feed&amp;share_item_id=7633110368503598357&amp;source=h5_t&amp;timestamp=1777288910&amp;user_id=7265268939763680262&amp;sec_user_id=MS4wLjABAAAAPaXvRyDf-oQGScjNncwWMYDbd3M7mlGd8VvwyRd_PhSJfHRZrEvMBZQWMWGBSUUn&amp;item_author_type=1&amp;social_share_type=0&amp;utm_source=whatsapp&amp;utm_campaign=client_share&amp;utm_medium=android&amp;share_iid=7630871204396205840&amp;share_link_id=c0e56d64-5818-437d-b780-b2323deb54e7&amp;share_app_id=1180&amp;ugbiz_name=MAIN&amp;ug_btm=b8727%2Cb2878&amp;link_reflow_popup_iteration_sharer=%7B%22click_empty_to_play%22%3A1%2C%22dynamic_cover%22%3A1%2C%22follow_to_play_duration%22%3A-1.0%2C%22profile_clickable%22%3A1%7D&amp;enable_checksum=1</v>
      </c>
      <c r="M833" s="464"/>
      <c r="N833" s="279" t="str">
        <f>IFERROR(__xludf.DUMMYFUNCTION("""COMPUTED_VALUE"""),"https://vt.tiktok.com/ZS9SF4pDq/")</f>
        <v>https://vt.tiktok.com/ZS9SF4pDq/</v>
      </c>
      <c r="O833" s="464"/>
      <c r="P833" s="279" t="str">
        <f>IFERROR(__xludf.DUMMYFUNCTION("""COMPUTED_VALUE"""),"https://vt.tiktok.com/ZS9SFnDtQ/")</f>
        <v>https://vt.tiktok.com/ZS9SFnDtQ/</v>
      </c>
    </row>
    <row r="834">
      <c r="A834" s="255" t="str">
        <f>IFERROR(__xludf.DUMMYFUNCTION("""COMPUTED_VALUE"""),"MICRO")</f>
        <v>MICRO</v>
      </c>
      <c r="B834" s="361" t="str">
        <f>IFERROR(__xludf.DUMMYFUNCTION("""COMPUTED_VALUE"""),"baby.shaka24")</f>
        <v>baby.shaka24</v>
      </c>
      <c r="C834" s="257" t="str">
        <f>IFERROR(__xludf.DUMMYFUNCTION("""COMPUTED_VALUE"""),"https://www.tiktok.com/@baby.shaka24")</f>
        <v>https://www.tiktok.com/@baby.shaka24</v>
      </c>
      <c r="D834" s="270">
        <f>IFERROR(__xludf.DUMMYFUNCTION("""COMPUTED_VALUE"""),8.5810394281E10)</f>
        <v>85810394281</v>
      </c>
      <c r="E834" s="457">
        <f>IFERROR(__xludf.DUMMYFUNCTION("""COMPUTED_VALUE"""),0.0)</f>
        <v>0</v>
      </c>
      <c r="F834" s="270">
        <f>IFERROR(__xludf.DUMMYFUNCTION("""COMPUTED_VALUE"""),4.0)</f>
        <v>4</v>
      </c>
      <c r="G834" s="17" t="str">
        <f>IFERROR(__xludf.DUMMYFUNCTION("""COMPUTED_VALUE"""),"Sabun batang 1 Box ( 2 PCS )")</f>
        <v>Sabun batang 1 Box ( 2 PCS )</v>
      </c>
      <c r="H834" s="463" t="str">
        <f>IFERROR(__xludf.DUMMYFUNCTION("""COMPUTED_VALUE"""),"Sampai")</f>
        <v>Sampai</v>
      </c>
      <c r="I834" s="464" t="str">
        <f>IFERROR(__xludf.DUMMYFUNCTION("""COMPUTED_VALUE"""),"KIMME")</f>
        <v>KIMME</v>
      </c>
      <c r="J834" s="279" t="str">
        <f>IFERROR(__xludf.DUMMYFUNCTION("""COMPUTED_VALUE"""),"https://vt.tiktok.com/ZS9SFgXvg/")</f>
        <v>https://vt.tiktok.com/ZS9SFgXvg/</v>
      </c>
      <c r="K834" s="464" t="str">
        <f>IFERROR(__xludf.DUMMYFUNCTION("""COMPUTED_VALUE"""),"KIMME")</f>
        <v>KIMME</v>
      </c>
      <c r="L834" s="279" t="str">
        <f>IFERROR(__xludf.DUMMYFUNCTION("""COMPUTED_VALUE"""),"https://vt.tiktok.com/ZS9SYAj5K/")</f>
        <v>https://vt.tiktok.com/ZS9SYAj5K/</v>
      </c>
      <c r="M834" s="464"/>
      <c r="N834" s="279" t="str">
        <f>IFERROR(__xludf.DUMMYFUNCTION("""COMPUTED_VALUE"""),"https://vt.tiktok.com/ZS9SYA88a/")</f>
        <v>https://vt.tiktok.com/ZS9SYA88a/</v>
      </c>
      <c r="O834" s="464"/>
      <c r="P834" s="279" t="str">
        <f>IFERROR(__xludf.DUMMYFUNCTION("""COMPUTED_VALUE"""),"https://vt.tiktok.com/ZS9SYywtN/")</f>
        <v>https://vt.tiktok.com/ZS9SYywtN/</v>
      </c>
    </row>
    <row r="835">
      <c r="A835" s="255" t="str">
        <f>IFERROR(__xludf.DUMMYFUNCTION("""COMPUTED_VALUE"""),"MICRO")</f>
        <v>MICRO</v>
      </c>
      <c r="B835" s="361" t="str">
        <f>IFERROR(__xludf.DUMMYFUNCTION("""COMPUTED_VALUE"""),"annasya07sf")</f>
        <v>annasya07sf</v>
      </c>
      <c r="C835" s="257" t="str">
        <f>IFERROR(__xludf.DUMMYFUNCTION("""COMPUTED_VALUE"""),"https://www.tiktok.com/@annasya07sf")</f>
        <v>https://www.tiktok.com/@annasya07sf</v>
      </c>
      <c r="D835" s="270">
        <f>IFERROR(__xludf.DUMMYFUNCTION("""COMPUTED_VALUE"""),8.129452442E10)</f>
        <v>81294524420</v>
      </c>
      <c r="E835" s="457">
        <f>IFERROR(__xludf.DUMMYFUNCTION("""COMPUTED_VALUE"""),0.0)</f>
        <v>0</v>
      </c>
      <c r="F835" s="270">
        <f>IFERROR(__xludf.DUMMYFUNCTION("""COMPUTED_VALUE"""),4.0)</f>
        <v>4</v>
      </c>
      <c r="G835" s="17" t="str">
        <f>IFERROR(__xludf.DUMMYFUNCTION("""COMPUTED_VALUE"""),"Sabun batang 1 Box ( 2 PCS )")</f>
        <v>Sabun batang 1 Box ( 2 PCS )</v>
      </c>
      <c r="H835" s="463" t="str">
        <f>IFERROR(__xludf.DUMMYFUNCTION("""COMPUTED_VALUE"""),"Sampai")</f>
        <v>Sampai</v>
      </c>
      <c r="I835" s="464" t="str">
        <f>IFERROR(__xludf.DUMMYFUNCTION("""COMPUTED_VALUE"""),"KIMME")</f>
        <v>KIMME</v>
      </c>
      <c r="J835" s="279" t="str">
        <f>IFERROR(__xludf.DUMMYFUNCTION("""COMPUTED_VALUE"""),"https://vt.tiktok.com/ZS9SYRQqs/")</f>
        <v>https://vt.tiktok.com/ZS9SYRQqs/</v>
      </c>
      <c r="K835" s="464" t="str">
        <f>IFERROR(__xludf.DUMMYFUNCTION("""COMPUTED_VALUE"""),"KIMME")</f>
        <v>KIMME</v>
      </c>
      <c r="L835" s="279" t="str">
        <f>IFERROR(__xludf.DUMMYFUNCTION("""COMPUTED_VALUE"""),"https://vt.tiktok.com/ZS9SYkSkc/")</f>
        <v>https://vt.tiktok.com/ZS9SYkSkc/</v>
      </c>
      <c r="M835" s="464"/>
      <c r="N835" s="279" t="str">
        <f>IFERROR(__xludf.DUMMYFUNCTION("""COMPUTED_VALUE"""),"https://vt.tiktok.com/ZS9SYsa6y/")</f>
        <v>https://vt.tiktok.com/ZS9SYsa6y/</v>
      </c>
      <c r="O835" s="464"/>
      <c r="P835" s="279" t="str">
        <f>IFERROR(__xludf.DUMMYFUNCTION("""COMPUTED_VALUE"""),"https://vt.tiktok.com/ZS9SYcRXE/")</f>
        <v>https://vt.tiktok.com/ZS9SYcRXE/</v>
      </c>
    </row>
    <row r="836">
      <c r="A836" s="255" t="str">
        <f>IFERROR(__xludf.DUMMYFUNCTION("""COMPUTED_VALUE"""),"MICRO")</f>
        <v>MICRO</v>
      </c>
      <c r="B836" s="361" t="str">
        <f>IFERROR(__xludf.DUMMYFUNCTION("""COMPUTED_VALUE"""),"elmiretna")</f>
        <v>elmiretna</v>
      </c>
      <c r="C836" s="257" t="str">
        <f>IFERROR(__xludf.DUMMYFUNCTION("""COMPUTED_VALUE"""),"https://www.tiktok.com/@elmiretna")</f>
        <v>https://www.tiktok.com/@elmiretna</v>
      </c>
      <c r="D836" s="270">
        <f>IFERROR(__xludf.DUMMYFUNCTION("""COMPUTED_VALUE"""),8.2334905955E10)</f>
        <v>82334905955</v>
      </c>
      <c r="E836" s="457">
        <f>IFERROR(__xludf.DUMMYFUNCTION("""COMPUTED_VALUE"""),0.0)</f>
        <v>0</v>
      </c>
      <c r="F836" s="270">
        <f>IFERROR(__xludf.DUMMYFUNCTION("""COMPUTED_VALUE"""),2.0)</f>
        <v>2</v>
      </c>
      <c r="G836" s="17" t="str">
        <f>IFERROR(__xludf.DUMMYFUNCTION("""COMPUTED_VALUE"""),"Sabun batang 1 Box ( 2 PCS )")</f>
        <v>Sabun batang 1 Box ( 2 PCS )</v>
      </c>
      <c r="H836" s="463" t="str">
        <f>IFERROR(__xludf.DUMMYFUNCTION("""COMPUTED_VALUE"""),"Sampai")</f>
        <v>Sampai</v>
      </c>
      <c r="I836" s="464" t="str">
        <f>IFERROR(__xludf.DUMMYFUNCTION("""COMPUTED_VALUE"""),"KIMME")</f>
        <v>KIMME</v>
      </c>
      <c r="J836" s="17" t="str">
        <f>IFERROR(__xludf.DUMMYFUNCTION("""COMPUTED_VALUE"""),"⁠https://vt.tiktok.com/ZS9BNCxTG/")</f>
        <v>⁠https://vt.tiktok.com/ZS9BNCxTG/</v>
      </c>
      <c r="K836" s="464" t="str">
        <f>IFERROR(__xludf.DUMMYFUNCTION("""COMPUTED_VALUE"""),"KIMME")</f>
        <v>KIMME</v>
      </c>
      <c r="L836" s="279" t="str">
        <f>IFERROR(__xludf.DUMMYFUNCTION("""COMPUTED_VALUE"""),"https://vt.tiktok.com/ZS9BN5BM8/")</f>
        <v>https://vt.tiktok.com/ZS9BN5BM8/</v>
      </c>
      <c r="M836" s="464"/>
      <c r="N836" s="279" t="str">
        <f>IFERROR(__xludf.DUMMYFUNCTION("""COMPUTED_VALUE"""),"https://vt.tiktok.com/ZSxLXUbVW/")</f>
        <v>https://vt.tiktok.com/ZSxLXUbVW/</v>
      </c>
      <c r="O836" s="464"/>
      <c r="P836" s="279" t="str">
        <f>IFERROR(__xludf.DUMMYFUNCTION("""COMPUTED_VALUE"""),"https://vt.tiktok.com/ZSxHfucAy/")</f>
        <v>https://vt.tiktok.com/ZSxHfucAy/</v>
      </c>
    </row>
    <row r="837">
      <c r="A837" s="255" t="str">
        <f>IFERROR(__xludf.DUMMYFUNCTION("""COMPUTED_VALUE"""),"MICRO")</f>
        <v>MICRO</v>
      </c>
      <c r="B837" s="361" t="str">
        <f>IFERROR(__xludf.DUMMYFUNCTION("""COMPUTED_VALUE"""),"quinjennaira")</f>
        <v>quinjennaira</v>
      </c>
      <c r="C837" s="257" t="str">
        <f>IFERROR(__xludf.DUMMYFUNCTION("""COMPUTED_VALUE"""),"https://www.tiktok.com/@quinjennaira")</f>
        <v>https://www.tiktok.com/@quinjennaira</v>
      </c>
      <c r="D837" s="270">
        <f>IFERROR(__xludf.DUMMYFUNCTION("""COMPUTED_VALUE"""),8.7859212358E10)</f>
        <v>87859212358</v>
      </c>
      <c r="E837" s="457">
        <f>IFERROR(__xludf.DUMMYFUNCTION("""COMPUTED_VALUE"""),0.0)</f>
        <v>0</v>
      </c>
      <c r="F837" s="270">
        <f>IFERROR(__xludf.DUMMYFUNCTION("""COMPUTED_VALUE"""),4.0)</f>
        <v>4</v>
      </c>
      <c r="G837" s="17" t="str">
        <f>IFERROR(__xludf.DUMMYFUNCTION("""COMPUTED_VALUE"""),"Sabun batang 1 Box ( 2 PCS )")</f>
        <v>Sabun batang 1 Box ( 2 PCS )</v>
      </c>
      <c r="H837" s="463" t="str">
        <f>IFERROR(__xludf.DUMMYFUNCTION("""COMPUTED_VALUE"""),"Sampai")</f>
        <v>Sampai</v>
      </c>
      <c r="I837" s="464" t="str">
        <f>IFERROR(__xludf.DUMMYFUNCTION("""COMPUTED_VALUE"""),"KIMME")</f>
        <v>KIMME</v>
      </c>
      <c r="J837" s="17" t="str">
        <f>IFERROR(__xludf.DUMMYFUNCTION("""COMPUTED_VALUE"""),"⁠https://vt.tiktok.com/ZS9kAmE3N/")</f>
        <v>⁠https://vt.tiktok.com/ZS9kAmE3N/</v>
      </c>
      <c r="K837" s="464" t="str">
        <f>IFERROR(__xludf.DUMMYFUNCTION("""COMPUTED_VALUE"""),"KIMME")</f>
        <v>KIMME</v>
      </c>
      <c r="L837" s="17" t="str">
        <f>IFERROR(__xludf.DUMMYFUNCTION("""COMPUTED_VALUE"""),"⁠https://vt.tiktok.com/ZS9kAxMEN/")</f>
        <v>⁠https://vt.tiktok.com/ZS9kAxMEN/</v>
      </c>
      <c r="M837" s="464"/>
      <c r="N837" s="17" t="str">
        <f>IFERROR(__xludf.DUMMYFUNCTION("""COMPUTED_VALUE"""),"⁠https://vt.tiktok.com/ZS9kAujq7/")</f>
        <v>⁠https://vt.tiktok.com/ZS9kAujq7/</v>
      </c>
      <c r="O837" s="464"/>
      <c r="P837" s="279" t="str">
        <f>IFERROR(__xludf.DUMMYFUNCTION("""COMPUTED_VALUE"""),"https://vt.tiktok.com/ZS9kAyXFC/")</f>
        <v>https://vt.tiktok.com/ZS9kAyXFC/</v>
      </c>
    </row>
    <row r="838">
      <c r="A838" s="255" t="str">
        <f>IFERROR(__xludf.DUMMYFUNCTION("""COMPUTED_VALUE"""),"MICRO")</f>
        <v>MICRO</v>
      </c>
      <c r="B838" s="361" t="str">
        <f>IFERROR(__xludf.DUMMYFUNCTION("""COMPUTED_VALUE"""),"darrellaustinee")</f>
        <v>darrellaustinee</v>
      </c>
      <c r="C838" s="257" t="str">
        <f>IFERROR(__xludf.DUMMYFUNCTION("""COMPUTED_VALUE"""),"https://www.tiktok.com/@darrellaustinee")</f>
        <v>https://www.tiktok.com/@darrellaustinee</v>
      </c>
      <c r="D838" s="270">
        <f>IFERROR(__xludf.DUMMYFUNCTION("""COMPUTED_VALUE"""),8.5171581077E10)</f>
        <v>85171581077</v>
      </c>
      <c r="E838" s="457">
        <f>IFERROR(__xludf.DUMMYFUNCTION("""COMPUTED_VALUE"""),0.0)</f>
        <v>0</v>
      </c>
      <c r="F838" s="270">
        <f>IFERROR(__xludf.DUMMYFUNCTION("""COMPUTED_VALUE"""),4.0)</f>
        <v>4</v>
      </c>
      <c r="G838" s="17" t="str">
        <f>IFERROR(__xludf.DUMMYFUNCTION("""COMPUTED_VALUE"""),"Sabun batang 1 Box ( 2 PCS )")</f>
        <v>Sabun batang 1 Box ( 2 PCS )</v>
      </c>
      <c r="H838" s="463" t="str">
        <f>IFERROR(__xludf.DUMMYFUNCTION("""COMPUTED_VALUE"""),"Sampai")</f>
        <v>Sampai</v>
      </c>
      <c r="I838" s="464" t="str">
        <f>IFERROR(__xludf.DUMMYFUNCTION("""COMPUTED_VALUE"""),"KIMME")</f>
        <v>KIMME</v>
      </c>
      <c r="J838" s="279" t="str">
        <f>IFERROR(__xludf.DUMMYFUNCTION("""COMPUTED_VALUE"""),"https://vt.tiktok.com/ZS9k6WmvM/")</f>
        <v>https://vt.tiktok.com/ZS9k6WmvM/</v>
      </c>
      <c r="K838" s="464" t="str">
        <f>IFERROR(__xludf.DUMMYFUNCTION("""COMPUTED_VALUE"""),"KIMME")</f>
        <v>KIMME</v>
      </c>
      <c r="L838" s="279" t="str">
        <f>IFERROR(__xludf.DUMMYFUNCTION("""COMPUTED_VALUE"""),"https://vt.tiktok.com/ZS9k6TEaw/")</f>
        <v>https://vt.tiktok.com/ZS9k6TEaw/</v>
      </c>
      <c r="M838" s="464"/>
      <c r="N838" s="279" t="str">
        <f>IFERROR(__xludf.DUMMYFUNCTION("""COMPUTED_VALUE"""),"https://vt.tiktok.com/ZS9kMdDLp/")</f>
        <v>https://vt.tiktok.com/ZS9kMdDLp/</v>
      </c>
      <c r="O838" s="464"/>
      <c r="P838" s="279" t="str">
        <f>IFERROR(__xludf.DUMMYFUNCTION("""COMPUTED_VALUE"""),"https://vt.tiktok.com/ZS9k6EY3K/")</f>
        <v>https://vt.tiktok.com/ZS9k6EY3K/</v>
      </c>
    </row>
    <row r="839">
      <c r="A839" s="255" t="str">
        <f>IFERROR(__xludf.DUMMYFUNCTION("""COMPUTED_VALUE"""),"MICRO")</f>
        <v>MICRO</v>
      </c>
      <c r="B839" s="361" t="str">
        <f>IFERROR(__xludf.DUMMYFUNCTION("""COMPUTED_VALUE"""),"oeni__")</f>
        <v>oeni__</v>
      </c>
      <c r="C839" s="257" t="str">
        <f>IFERROR(__xludf.DUMMYFUNCTION("""COMPUTED_VALUE"""),"https://www.tiktok.com/@oeni__")</f>
        <v>https://www.tiktok.com/@oeni__</v>
      </c>
      <c r="D839" s="270">
        <f>IFERROR(__xludf.DUMMYFUNCTION("""COMPUTED_VALUE"""),8.2240326746E10)</f>
        <v>82240326746</v>
      </c>
      <c r="E839" s="457">
        <f>IFERROR(__xludf.DUMMYFUNCTION("""COMPUTED_VALUE"""),0.0)</f>
        <v>0</v>
      </c>
      <c r="F839" s="270">
        <f>IFERROR(__xludf.DUMMYFUNCTION("""COMPUTED_VALUE"""),4.0)</f>
        <v>4</v>
      </c>
      <c r="G839" s="17" t="str">
        <f>IFERROR(__xludf.DUMMYFUNCTION("""COMPUTED_VALUE"""),"Sabun batang 1 Box ( 2 PCS )")</f>
        <v>Sabun batang 1 Box ( 2 PCS )</v>
      </c>
      <c r="H839" s="463" t="str">
        <f>IFERROR(__xludf.DUMMYFUNCTION("""COMPUTED_VALUE"""),"Sampai")</f>
        <v>Sampai</v>
      </c>
      <c r="I839" s="464" t="str">
        <f>IFERROR(__xludf.DUMMYFUNCTION("""COMPUTED_VALUE"""),"KIMME")</f>
        <v>KIMME</v>
      </c>
      <c r="J839" s="279" t="str">
        <f>IFERROR(__xludf.DUMMYFUNCTION("""COMPUTED_VALUE"""),"https://vt.tiktok.com/ZS9k6KsMf/")</f>
        <v>https://vt.tiktok.com/ZS9k6KsMf/</v>
      </c>
      <c r="K839" s="464" t="str">
        <f>IFERROR(__xludf.DUMMYFUNCTION("""COMPUTED_VALUE"""),"KIMME")</f>
        <v>KIMME</v>
      </c>
      <c r="L839" s="279" t="str">
        <f>IFERROR(__xludf.DUMMYFUNCTION("""COMPUTED_VALUE"""),"https://vt.tiktok.com/ZS9k6c28e/")</f>
        <v>https://vt.tiktok.com/ZS9k6c28e/</v>
      </c>
      <c r="M839" s="464"/>
      <c r="N839" s="279" t="str">
        <f>IFERROR(__xludf.DUMMYFUNCTION("""COMPUTED_VALUE"""),"https://vt.tiktok.com/ZS9k6GtM4/")</f>
        <v>https://vt.tiktok.com/ZS9k6GtM4/</v>
      </c>
      <c r="O839" s="464"/>
      <c r="P839" s="279" t="str">
        <f>IFERROR(__xludf.DUMMYFUNCTION("""COMPUTED_VALUE"""),"https://vt.tiktok.com/ZS9k6vqyg/")</f>
        <v>https://vt.tiktok.com/ZS9k6vqyg/</v>
      </c>
    </row>
    <row r="840">
      <c r="A840" s="255" t="str">
        <f>IFERROR(__xludf.DUMMYFUNCTION("""COMPUTED_VALUE"""),"MICRO")</f>
        <v>MICRO</v>
      </c>
      <c r="B840" s="361" t="str">
        <f>IFERROR(__xludf.DUMMYFUNCTION("""COMPUTED_VALUE"""),"ayupe_el")</f>
        <v>ayupe_el</v>
      </c>
      <c r="C840" s="257" t="str">
        <f>IFERROR(__xludf.DUMMYFUNCTION("""COMPUTED_VALUE"""),"https://www.tiktok.com/@ayupe_el")</f>
        <v>https://www.tiktok.com/@ayupe_el</v>
      </c>
      <c r="D840" s="270">
        <f>IFERROR(__xludf.DUMMYFUNCTION("""COMPUTED_VALUE"""),8.962614851E10)</f>
        <v>89626148510</v>
      </c>
      <c r="E840" s="457">
        <f>IFERROR(__xludf.DUMMYFUNCTION("""COMPUTED_VALUE"""),0.0)</f>
        <v>0</v>
      </c>
      <c r="F840" s="270">
        <f>IFERROR(__xludf.DUMMYFUNCTION("""COMPUTED_VALUE"""),4.0)</f>
        <v>4</v>
      </c>
      <c r="G840" s="17" t="str">
        <f>IFERROR(__xludf.DUMMYFUNCTION("""COMPUTED_VALUE"""),"Sabun batang 1 Box ( 2 PCS )")</f>
        <v>Sabun batang 1 Box ( 2 PCS )</v>
      </c>
      <c r="H840" s="463" t="str">
        <f>IFERROR(__xludf.DUMMYFUNCTION("""COMPUTED_VALUE"""),"Sampai")</f>
        <v>Sampai</v>
      </c>
      <c r="I840" s="464" t="str">
        <f>IFERROR(__xludf.DUMMYFUNCTION("""COMPUTED_VALUE"""),"KIMME")</f>
        <v>KIMME</v>
      </c>
      <c r="J840" s="279" t="str">
        <f>IFERROR(__xludf.DUMMYFUNCTION("""COMPUTED_VALUE"""),"https://vt.tiktok.com/ZS9k6TEEE/")</f>
        <v>https://vt.tiktok.com/ZS9k6TEEE/</v>
      </c>
      <c r="K840" s="464" t="str">
        <f>IFERROR(__xludf.DUMMYFUNCTION("""COMPUTED_VALUE"""),"KIMME")</f>
        <v>KIMME</v>
      </c>
      <c r="L840" s="279" t="str">
        <f>IFERROR(__xludf.DUMMYFUNCTION("""COMPUTED_VALUE"""),"https://vt.tiktok.com/ZS9kMRDg3/")</f>
        <v>https://vt.tiktok.com/ZS9kMRDg3/</v>
      </c>
      <c r="M840" s="464"/>
      <c r="N840" s="279" t="str">
        <f>IFERROR(__xludf.DUMMYFUNCTION("""COMPUTED_VALUE"""),"https://vt.tiktok.com/ZS9M7pkd1/")</f>
        <v>https://vt.tiktok.com/ZS9M7pkd1/</v>
      </c>
      <c r="O840" s="464"/>
      <c r="P840" s="279" t="str">
        <f>IFERROR(__xludf.DUMMYFUNCTION("""COMPUTED_VALUE"""),"https://vt.tiktok.com/ZS9keP8Yp/")</f>
        <v>https://vt.tiktok.com/ZS9keP8Yp/</v>
      </c>
    </row>
    <row r="841">
      <c r="A841" s="255" t="str">
        <f>IFERROR(__xludf.DUMMYFUNCTION("""COMPUTED_VALUE"""),"MICRO")</f>
        <v>MICRO</v>
      </c>
      <c r="B841" s="361" t="str">
        <f>IFERROR(__xludf.DUMMYFUNCTION("""COMPUTED_VALUE"""),"sabamsimamoraa")</f>
        <v>sabamsimamoraa</v>
      </c>
      <c r="C841" s="257" t="str">
        <f>IFERROR(__xludf.DUMMYFUNCTION("""COMPUTED_VALUE"""),"https://www.tiktok.com/@sabamsimamoraa")</f>
        <v>https://www.tiktok.com/@sabamsimamoraa</v>
      </c>
      <c r="D841" s="270">
        <f>IFERROR(__xludf.DUMMYFUNCTION("""COMPUTED_VALUE"""),8.1294941299E10)</f>
        <v>81294941299</v>
      </c>
      <c r="E841" s="457">
        <f>IFERROR(__xludf.DUMMYFUNCTION("""COMPUTED_VALUE"""),0.0)</f>
        <v>0</v>
      </c>
      <c r="F841" s="270">
        <f>IFERROR(__xludf.DUMMYFUNCTION("""COMPUTED_VALUE"""),2.0)</f>
        <v>2</v>
      </c>
      <c r="G841" s="17" t="str">
        <f>IFERROR(__xludf.DUMMYFUNCTION("""COMPUTED_VALUE"""),"Sabun batang 1 Box ( 2 PCS )")</f>
        <v>Sabun batang 1 Box ( 2 PCS )</v>
      </c>
      <c r="H841" s="463" t="str">
        <f>IFERROR(__xludf.DUMMYFUNCTION("""COMPUTED_VALUE"""),"Sampai")</f>
        <v>Sampai</v>
      </c>
      <c r="I841" s="464" t="str">
        <f>IFERROR(__xludf.DUMMYFUNCTION("""COMPUTED_VALUE"""),"KIMME")</f>
        <v>KIMME</v>
      </c>
      <c r="J841" s="279" t="str">
        <f>IFERROR(__xludf.DUMMYFUNCTION("""COMPUTED_VALUE"""),"https://vt.tiktok.com/ZS9kePuSr/")</f>
        <v>https://vt.tiktok.com/ZS9kePuSr/</v>
      </c>
      <c r="K841" s="464" t="str">
        <f>IFERROR(__xludf.DUMMYFUNCTION("""COMPUTED_VALUE"""),"KIMME")</f>
        <v>KIMME</v>
      </c>
      <c r="L841" s="279" t="str">
        <f>IFERROR(__xludf.DUMMYFUNCTION("""COMPUTED_VALUE"""),"https://vt.tiktok.com/ZS9StasYV/")</f>
        <v>https://vt.tiktok.com/ZS9StasYV/</v>
      </c>
      <c r="M841" s="464"/>
      <c r="N841" s="279" t="str">
        <f>IFERROR(__xludf.DUMMYFUNCTION("""COMPUTED_VALUE"""),"https://vt.tiktok.com/ZSxHfwHGn/")</f>
        <v>https://vt.tiktok.com/ZSxHfwHGn/</v>
      </c>
      <c r="O841" s="464"/>
      <c r="P841" s="279" t="str">
        <f>IFERROR(__xludf.DUMMYFUNCTION("""COMPUTED_VALUE"""),"https://vt.tiktok.com/ZSxHf3gPr/")</f>
        <v>https://vt.tiktok.com/ZSxHf3gPr/</v>
      </c>
    </row>
    <row r="842">
      <c r="A842" s="255" t="str">
        <f>IFERROR(__xludf.DUMMYFUNCTION("""COMPUTED_VALUE"""),"MICRO")</f>
        <v>MICRO</v>
      </c>
      <c r="B842" s="361" t="str">
        <f>IFERROR(__xludf.DUMMYFUNCTION("""COMPUTED_VALUE"""),"shinaaa0_")</f>
        <v>shinaaa0_</v>
      </c>
      <c r="C842" s="257" t="str">
        <f>IFERROR(__xludf.DUMMYFUNCTION("""COMPUTED_VALUE"""),"https://www.tiktok.com/@shinaaa0_")</f>
        <v>https://www.tiktok.com/@shinaaa0_</v>
      </c>
      <c r="D842" s="270">
        <f>IFERROR(__xludf.DUMMYFUNCTION("""COMPUTED_VALUE"""),8.2384151657E10)</f>
        <v>82384151657</v>
      </c>
      <c r="E842" s="457">
        <f>IFERROR(__xludf.DUMMYFUNCTION("""COMPUTED_VALUE"""),0.0)</f>
        <v>0</v>
      </c>
      <c r="F842" s="270">
        <f>IFERROR(__xludf.DUMMYFUNCTION("""COMPUTED_VALUE"""),1.0)</f>
        <v>1</v>
      </c>
      <c r="G842" s="17" t="str">
        <f>IFERROR(__xludf.DUMMYFUNCTION("""COMPUTED_VALUE"""),"Sabun batang 1 Box ( 2 PCS )")</f>
        <v>Sabun batang 1 Box ( 2 PCS )</v>
      </c>
      <c r="H842" s="463" t="str">
        <f>IFERROR(__xludf.DUMMYFUNCTION("""COMPUTED_VALUE"""),"Sampai")</f>
        <v>Sampai</v>
      </c>
      <c r="I842" s="464" t="str">
        <f>IFERROR(__xludf.DUMMYFUNCTION("""COMPUTED_VALUE"""),"KIMME")</f>
        <v>KIMME</v>
      </c>
      <c r="J842" s="17" t="str">
        <f>IFERROR(__xludf.DUMMYFUNCTION("""COMPUTED_VALUE"""),"⁠https://vt.tiktok.com/ZS9StGKbr/")</f>
        <v>⁠https://vt.tiktok.com/ZS9StGKbr/</v>
      </c>
      <c r="K842" s="464" t="str">
        <f>IFERROR(__xludf.DUMMYFUNCTION("""COMPUTED_VALUE"""),"KIMME")</f>
        <v>KIMME</v>
      </c>
      <c r="L842" s="279" t="str">
        <f>IFERROR(__xludf.DUMMYFUNCTION("""COMPUTED_VALUE"""),"https://vt.tiktok.com/ZSxUL6qKo/")</f>
        <v>https://vt.tiktok.com/ZSxUL6qKo/</v>
      </c>
      <c r="M842" s="464"/>
      <c r="N842" s="279" t="str">
        <f>IFERROR(__xludf.DUMMYFUNCTION("""COMPUTED_VALUE"""),"https://vt.tiktok.com/ZSxHfwRTL/")</f>
        <v>https://vt.tiktok.com/ZSxHfwRTL/</v>
      </c>
      <c r="O842" s="464"/>
      <c r="P842" s="279" t="str">
        <f>IFERROR(__xludf.DUMMYFUNCTION("""COMPUTED_VALUE"""),"https://vt.tiktok.com/ZSxULjfwu/")</f>
        <v>https://vt.tiktok.com/ZSxULjfwu/</v>
      </c>
    </row>
    <row r="843">
      <c r="A843" s="255" t="str">
        <f>IFERROR(__xludf.DUMMYFUNCTION("""COMPUTED_VALUE"""),"MICRO")</f>
        <v>MICRO</v>
      </c>
      <c r="B843" s="361" t="str">
        <f>IFERROR(__xludf.DUMMYFUNCTION("""COMPUTED_VALUE"""),"jeannirawidny")</f>
        <v>jeannirawidny</v>
      </c>
      <c r="C843" s="257" t="str">
        <f>IFERROR(__xludf.DUMMYFUNCTION("""COMPUTED_VALUE"""),"https://www.tiktok.com/@jeannirawidny")</f>
        <v>https://www.tiktok.com/@jeannirawidny</v>
      </c>
      <c r="D843" s="270">
        <f>IFERROR(__xludf.DUMMYFUNCTION("""COMPUTED_VALUE"""),8.1285202102E10)</f>
        <v>81285202102</v>
      </c>
      <c r="E843" s="457">
        <f>IFERROR(__xludf.DUMMYFUNCTION("""COMPUTED_VALUE"""),0.0)</f>
        <v>0</v>
      </c>
      <c r="F843" s="270">
        <f>IFERROR(__xludf.DUMMYFUNCTION("""COMPUTED_VALUE"""),1.0)</f>
        <v>1</v>
      </c>
      <c r="G843" s="17" t="str">
        <f>IFERROR(__xludf.DUMMYFUNCTION("""COMPUTED_VALUE"""),"Sabun batang 1 Box ( 2 PCS )")</f>
        <v>Sabun batang 1 Box ( 2 PCS )</v>
      </c>
      <c r="H843" s="463" t="str">
        <f>IFERROR(__xludf.DUMMYFUNCTION("""COMPUTED_VALUE"""),"Sampai")</f>
        <v>Sampai</v>
      </c>
      <c r="I843" s="464" t="str">
        <f>IFERROR(__xludf.DUMMYFUNCTION("""COMPUTED_VALUE"""),"KIMME")</f>
        <v>KIMME</v>
      </c>
      <c r="J843" s="279" t="str">
        <f>IFERROR(__xludf.DUMMYFUNCTION("""COMPUTED_VALUE"""),"https://vt.tiktok.com/ZS9SXd5DR/")</f>
        <v>https://vt.tiktok.com/ZS9SXd5DR/</v>
      </c>
      <c r="K843" s="464" t="str">
        <f>IFERROR(__xludf.DUMMYFUNCTION("""COMPUTED_VALUE"""),"KIMME")</f>
        <v>KIMME</v>
      </c>
      <c r="L843" s="279" t="str">
        <f>IFERROR(__xludf.DUMMYFUNCTION("""COMPUTED_VALUE"""),"https://vt.tiktok.com/ZSxHfxRHU/")</f>
        <v>https://vt.tiktok.com/ZSxHfxRHU/</v>
      </c>
      <c r="M843" s="464"/>
      <c r="N843" s="279" t="str">
        <f>IFERROR(__xludf.DUMMYFUNCTION("""COMPUTED_VALUE"""),"https://vt.tiktok.com/ZSxULAvXf/")</f>
        <v>https://vt.tiktok.com/ZSxULAvXf/</v>
      </c>
      <c r="O843" s="464"/>
      <c r="P843" s="279" t="str">
        <f>IFERROR(__xludf.DUMMYFUNCTION("""COMPUTED_VALUE"""),"https://vt.tiktok.com/ZSxHfXG2m/")</f>
        <v>https://vt.tiktok.com/ZSxHfXG2m/</v>
      </c>
    </row>
    <row r="844">
      <c r="A844" s="255" t="str">
        <f>IFERROR(__xludf.DUMMYFUNCTION("""COMPUTED_VALUE"""),"MICRO")</f>
        <v>MICRO</v>
      </c>
      <c r="B844" s="361" t="str">
        <f>IFERROR(__xludf.DUMMYFUNCTION("""COMPUTED_VALUE"""),"masbahrildaily")</f>
        <v>masbahrildaily</v>
      </c>
      <c r="C844" s="257" t="str">
        <f>IFERROR(__xludf.DUMMYFUNCTION("""COMPUTED_VALUE"""),"https://www.tiktok.com/@masbahrildaily")</f>
        <v>https://www.tiktok.com/@masbahrildaily</v>
      </c>
      <c r="D844" s="270">
        <f>IFERROR(__xludf.DUMMYFUNCTION("""COMPUTED_VALUE"""),8.5730026134E10)</f>
        <v>85730026134</v>
      </c>
      <c r="E844" s="457">
        <f>IFERROR(__xludf.DUMMYFUNCTION("""COMPUTED_VALUE"""),0.0)</f>
        <v>0</v>
      </c>
      <c r="F844" s="270">
        <f>IFERROR(__xludf.DUMMYFUNCTION("""COMPUTED_VALUE"""),2.0)</f>
        <v>2</v>
      </c>
      <c r="G844" s="17" t="str">
        <f>IFERROR(__xludf.DUMMYFUNCTION("""COMPUTED_VALUE"""),"Sabun batang 1 Box ( 2 PCS )")</f>
        <v>Sabun batang 1 Box ( 2 PCS )</v>
      </c>
      <c r="H844" s="463" t="str">
        <f>IFERROR(__xludf.DUMMYFUNCTION("""COMPUTED_VALUE"""),"Sampai")</f>
        <v>Sampai</v>
      </c>
      <c r="I844" s="464" t="str">
        <f>IFERROR(__xludf.DUMMYFUNCTION("""COMPUTED_VALUE"""),"KIMME")</f>
        <v>KIMME</v>
      </c>
      <c r="J844" s="279" t="str">
        <f>IFERROR(__xludf.DUMMYFUNCTION("""COMPUTED_VALUE"""),"https://www.tiktok.com/@masbahrildaily/video/7629926744312548615?_r=1&amp;u_code=ek6h2252jijmih&amp;region=&amp;mid=7395415388382824464&amp;preview_pb=0&amp;sharer_language=&amp;_d=0&amp;ec_shared_reflux_dynamic_params=%7B%22placeholder_material_id%22%3A%227629926744312548615%22%2C%"&amp;"22placeholder_origin_cover%22%3A%22https%253A%252F%252Fp16-sign-sg.tiktokcdn.com%252Ftos-alisg-p-0037%252FogARLXupOi5fMxsvG8GFedRoAQQmGeGAPnfVBh~tplv-tiktokx-origin.jpeg%253Fdr%253D14572%2526refresh_token%253Dea45c138%2526x-expires%253D1808204400%2526x-si"&amp;"gnature%253DHis%25252B2zoak2qHlEJQwgqZJwGoBiw%25253D%2526t%253D4d5b0474%2526ps%253D13740610%2526shp%253Dd05b14bd%2526shcp%253D34ff8df6%2526idc%253Dmy3%2526s%253DTIKTOK_AFFILIATE_VIRAL_VIDEO%22%2C%22placeholder_product_id%22%3A%221729427766722726591%22%2C%"&amp;"22placeholder_video_id%22%3A%227629926744312548615%22%7D&amp;ec_shared_reflux_scene=shop_tab_feed&amp;share_item_id=7629926744312548615&amp;source=h5_t")</f>
        <v>https://www.tiktok.com/@masbahrildaily/video/7629926744312548615?_r=1&amp;u_code=ek6h2252jijmih&amp;region=&amp;mid=7395415388382824464&amp;preview_pb=0&amp;sharer_language=&amp;_d=0&amp;ec_shared_reflux_dynamic_params=%7B%22placeholder_material_id%22%3A%227629926744312548615%22%2C%22placeholder_origin_cover%22%3A%22https%253A%252F%252Fp16-sign-sg.tiktokcdn.com%252Ftos-alisg-p-0037%252FogARLXupOi5fMxsvG8GFedRoAQQmGeGAPnfVBh~tplv-tiktokx-origin.jpeg%253Fdr%253D14572%2526refresh_token%253Dea45c138%2526x-expires%253D1808204400%2526x-signature%253DHis%25252B2zoak2qHlEJQwgqZJwGoBiw%25253D%2526t%253D4d5b0474%2526ps%253D13740610%2526shp%253Dd05b14bd%2526shcp%253D34ff8df6%2526idc%253Dmy3%2526s%253DTIKTOK_AFFILIATE_VIRAL_VIDEO%22%2C%22placeholder_product_id%22%3A%221729427766722726591%22%2C%22placeholder_video_id%22%3A%227629926744312548615%22%7D&amp;ec_shared_reflux_scene=shop_tab_feed&amp;share_item_id=7629926744312548615&amp;source=h5_t</v>
      </c>
      <c r="K844" s="464" t="str">
        <f>IFERROR(__xludf.DUMMYFUNCTION("""COMPUTED_VALUE"""),"KIMME")</f>
        <v>KIMME</v>
      </c>
      <c r="L844" s="279" t="str">
        <f>IFERROR(__xludf.DUMMYFUNCTION("""COMPUTED_VALUE"""),"https://www.tiktok.com/@masbahrildaily/video/7630068304346074375?_r=1&amp;u_code=ek6h2252jijmih&amp;region=&amp;mid=7502446149192567607&amp;preview_pb=0&amp;sharer_language=&amp;_d=0&amp;ec_shared_reflux_dynamic_params=%7B%22placeholder_material_id%22%3A%227630068304346074375%22%2C%"&amp;"22placeholder_origin_cover%22%3A%22https%253A%252F%252Fp19-common-sign.tiktokcdn.com%252Ftos-alisg-p-0037%252FoY0jIj6CABiiHw6UKcYAvir4yAqkkIDPINeK4B~tplv-tiktokx-origin.jpeg%253Fdr%253D14572%2526refresh_token%253D0dc39211%2526x-expires%253D1808204400%2526"&amp;"x-signature%253Duhy2Js9eAkmyoPGSUQh5WPyOMfk%25253D%2526t%253D4d5b0474%2526ps%253D13740610%2526shp%253Dd05b14bd%2526shcp%253D34ff8df6%2526idc%253Dmy3%2526s%253DTIKTOK_AFFILIATE_VIRAL_VIDEO%22%2C%22placeholder_product_id%22%3A%221729427766722726591%22%2C%22"&amp;"placeholder_video_id%22%3A%227630068304346074375%22%7D&amp;ec_shared_reflux_scene=shop_tab_feed&amp;share_item_id=7630068304346074375&amp;source=h5_t")</f>
        <v>https://www.tiktok.com/@masbahrildaily/video/7630068304346074375?_r=1&amp;u_code=ek6h2252jijmih&amp;region=&amp;mid=7502446149192567607&amp;preview_pb=0&amp;sharer_language=&amp;_d=0&amp;ec_shared_reflux_dynamic_params=%7B%22placeholder_material_id%22%3A%227630068304346074375%22%2C%22placeholder_origin_cover%22%3A%22https%253A%252F%252Fp19-common-sign.tiktokcdn.com%252Ftos-alisg-p-0037%252FoY0jIj6CABiiHw6UKcYAvir4yAqkkIDPINeK4B~tplv-tiktokx-origin.jpeg%253Fdr%253D14572%2526refresh_token%253D0dc39211%2526x-expires%253D1808204400%2526x-signature%253Duhy2Js9eAkmyoPGSUQh5WPyOMfk%25253D%2526t%253D4d5b0474%2526ps%253D13740610%2526shp%253Dd05b14bd%2526shcp%253D34ff8df6%2526idc%253Dmy3%2526s%253DTIKTOK_AFFILIATE_VIRAL_VIDEO%22%2C%22placeholder_product_id%22%3A%221729427766722726591%22%2C%22placeholder_video_id%22%3A%227630068304346074375%22%7D&amp;ec_shared_reflux_scene=shop_tab_feed&amp;share_item_id=7630068304346074375&amp;source=h5_t</v>
      </c>
      <c r="M844" s="464"/>
      <c r="N844" s="279" t="str">
        <f>IFERROR(__xludf.DUMMYFUNCTION("""COMPUTED_VALUE"""),"https://www.tiktok.com/@masbahrildaily/video/7630083439080852744?_r=1&amp;u_code=ek6h2252jijmih&amp;region=&amp;mid=7502446149192567607&amp;preview_pb=0&amp;sharer_language=&amp;_d=0&amp;ec_shared_reflux_dynamic_params=%7B%22placeholder_material_id%22%3A%227630083439080852744%22%2C%"&amp;"22placeholder_origin_cover%22%3A%22https%253A%252F%252Fp16-common-sign.tiktokcdn.com%252Ftos-alisg-p-0037%252FoEONqiBlICA7hICZgjiI3AAAgBswH8WOe0PpIT~tplv-tiktokx-origin.jpeg%253Fdr%253D14572%2526refresh_token%253Da2d481aa%2526x-expires%253D1808204400%2526"&amp;"x-signature%253DwUJlQFG%25252Fhhmu32s7d0pGimuz%25252FqY%25253D%2526t%253D4d5b0474%2526ps%253D13740610%2526shp%253Dd05b14bd%2526shcp%253D34ff8df6%2526idc%253Dmy3%2526s%253DTIKTOK_AFFILIATE_VIRAL_VIDEO%22%2C%22placeholder_product_id%22%3A%221729427766722726"&amp;"591%22%2C%22placeholder_video_id%22%3A%227630083439080852744%22%7D&amp;ec_shared_reflux_scene=shop_tab_feed&amp;share_item_id=7630083439080852744&amp;source=h5_t")</f>
        <v>https://www.tiktok.com/@masbahrildaily/video/7630083439080852744?_r=1&amp;u_code=ek6h2252jijmih&amp;region=&amp;mid=7502446149192567607&amp;preview_pb=0&amp;sharer_language=&amp;_d=0&amp;ec_shared_reflux_dynamic_params=%7B%22placeholder_material_id%22%3A%227630083439080852744%22%2C%22placeholder_origin_cover%22%3A%22https%253A%252F%252Fp16-common-sign.tiktokcdn.com%252Ftos-alisg-p-0037%252FoEONqiBlICA7hICZgjiI3AAAgBswH8WOe0PpIT~tplv-tiktokx-origin.jpeg%253Fdr%253D14572%2526refresh_token%253Da2d481aa%2526x-expires%253D1808204400%2526x-signature%253DwUJlQFG%25252Fhhmu32s7d0pGimuz%25252FqY%25253D%2526t%253D4d5b0474%2526ps%253D13740610%2526shp%253Dd05b14bd%2526shcp%253D34ff8df6%2526idc%253Dmy3%2526s%253DTIKTOK_AFFILIATE_VIRAL_VIDEO%22%2C%22placeholder_product_id%22%3A%221729427766722726591%22%2C%22placeholder_video_id%22%3A%227630083439080852744%22%7D&amp;ec_shared_reflux_scene=shop_tab_feed&amp;share_item_id=7630083439080852744&amp;source=h5_t</v>
      </c>
      <c r="O844" s="464"/>
      <c r="P844" s="279" t="str">
        <f>IFERROR(__xludf.DUMMYFUNCTION("""COMPUTED_VALUE"""),"https://www.tiktok.com/@masbahrildaily/video/7630283480441621767?_r=1&amp;u_code=ek6h2252jijmih&amp;region=&amp;mid=7615963521880558357&amp;preview_pb=0&amp;sharer_language=&amp;_d=0&amp;ec_shared_reflux_dynamic_params=%7B%22placeholder_material_id%22%3A%227630283480441621767%22%2C%"&amp;"22placeholder_origin_cover%22%3A%22https%253A%252F%252Fp16-sign-sg.tiktokcdn.com%252Ftos-alisg-p-0037%252FowLgThbTAvZEDmUpRgqBBrYOOEQeQEFIpPa5fD~tplv-tiktokx-origin.jpeg%253Fdr%253D14572%2526refresh_token%253Da1f79d26%2526x-expires%253D1808204400%2526x-si"&amp;"gnature%253D796Lml6U%25252FQOWQT0ziou9HdPENrE%25253D%2526t%253D4d5b0474%2526ps%253D13740610%2526shp%253Dd05b14bd%2526shcp%253D34ff8df6%2526idc%253Dmy3%2526s%253DTIKTOK_AFFILIATE_VIRAL_VIDEO%22%2C%22placeholder_product_id%22%3A%221729427766722726591%22%2C%"&amp;"22placeholder_video_id%22%3A%227630283480441621767%22%7D&amp;ec_shared_reflux_scene=shop_tab_feed&amp;share_item_id=7630283480441621767&amp;source=h5_t")</f>
        <v>https://www.tiktok.com/@masbahrildaily/video/7630283480441621767?_r=1&amp;u_code=ek6h2252jijmih&amp;region=&amp;mid=7615963521880558357&amp;preview_pb=0&amp;sharer_language=&amp;_d=0&amp;ec_shared_reflux_dynamic_params=%7B%22placeholder_material_id%22%3A%227630283480441621767%22%2C%22placeholder_origin_cover%22%3A%22https%253A%252F%252Fp16-sign-sg.tiktokcdn.com%252Ftos-alisg-p-0037%252FowLgThbTAvZEDmUpRgqBBrYOOEQeQEFIpPa5fD~tplv-tiktokx-origin.jpeg%253Fdr%253D14572%2526refresh_token%253Da1f79d26%2526x-expires%253D1808204400%2526x-signature%253D796Lml6U%25252FQOWQT0ziou9HdPENrE%25253D%2526t%253D4d5b0474%2526ps%253D13740610%2526shp%253Dd05b14bd%2526shcp%253D34ff8df6%2526idc%253Dmy3%2526s%253DTIKTOK_AFFILIATE_VIRAL_VIDEO%22%2C%22placeholder_product_id%22%3A%221729427766722726591%22%2C%22placeholder_video_id%22%3A%227630283480441621767%22%7D&amp;ec_shared_reflux_scene=shop_tab_feed&amp;share_item_id=7630283480441621767&amp;source=h5_t</v>
      </c>
    </row>
    <row r="845">
      <c r="A845" s="255" t="str">
        <f>IFERROR(__xludf.DUMMYFUNCTION("""COMPUTED_VALUE"""),"MICRO")</f>
        <v>MICRO</v>
      </c>
      <c r="B845" s="361" t="str">
        <f>IFERROR(__xludf.DUMMYFUNCTION("""COMPUTED_VALUE"""),"moez__2")</f>
        <v>moez__2</v>
      </c>
      <c r="C845" s="257" t="str">
        <f>IFERROR(__xludf.DUMMYFUNCTION("""COMPUTED_VALUE"""),"https://www.tiktok.com/@moez__2")</f>
        <v>https://www.tiktok.com/@moez__2</v>
      </c>
      <c r="D845" s="270">
        <f>IFERROR(__xludf.DUMMYFUNCTION("""COMPUTED_VALUE"""),8.953868221E11)</f>
        <v>895386822100</v>
      </c>
      <c r="E845" s="457">
        <f>IFERROR(__xludf.DUMMYFUNCTION("""COMPUTED_VALUE"""),0.0)</f>
        <v>0</v>
      </c>
      <c r="F845" s="270">
        <f>IFERROR(__xludf.DUMMYFUNCTION("""COMPUTED_VALUE"""),2.0)</f>
        <v>2</v>
      </c>
      <c r="G845" s="17" t="str">
        <f>IFERROR(__xludf.DUMMYFUNCTION("""COMPUTED_VALUE"""),"Sabun batang 1 Box ( 2 PCS )")</f>
        <v>Sabun batang 1 Box ( 2 PCS )</v>
      </c>
      <c r="H845" s="463" t="str">
        <f>IFERROR(__xludf.DUMMYFUNCTION("""COMPUTED_VALUE"""),"Sampai")</f>
        <v>Sampai</v>
      </c>
      <c r="I845" s="464" t="str">
        <f>IFERROR(__xludf.DUMMYFUNCTION("""COMPUTED_VALUE"""),"KIMME")</f>
        <v>KIMME</v>
      </c>
      <c r="J845" s="279" t="str">
        <f>IFERROR(__xludf.DUMMYFUNCTION("""COMPUTED_VALUE"""),"https://www.tiktok.com/@moez__2/video/7626736446891805973?is_from_webapp=1&amp;sender_device=pc")</f>
        <v>https://www.tiktok.com/@moez__2/video/7626736446891805973?is_from_webapp=1&amp;sender_device=pc</v>
      </c>
      <c r="K845" s="464" t="str">
        <f>IFERROR(__xludf.DUMMYFUNCTION("""COMPUTED_VALUE"""),"KIMME")</f>
        <v>KIMME</v>
      </c>
      <c r="L845" s="279" t="str">
        <f>IFERROR(__xludf.DUMMYFUNCTION("""COMPUTED_VALUE"""),"https://www.tiktok.com/@moez__2/video/7626974115617950997?is_from_webapp=1&amp;sender_device=pc")</f>
        <v>https://www.tiktok.com/@moez__2/video/7626974115617950997?is_from_webapp=1&amp;sender_device=pc</v>
      </c>
      <c r="M845" s="464"/>
      <c r="N845" s="279" t="str">
        <f>IFERROR(__xludf.DUMMYFUNCTION("""COMPUTED_VALUE"""),"https://www.tiktok.com/@moez__2/video/7628830221784878356?_r=1&amp;u_code=da97be691m9a0i&amp;region=&amp;mid=7628830254312655634&amp;preview_pb=0&amp;sharer_language=&amp;_d=0&amp;ec_shared_reflux_dynamic_params=%7B%22placeholder_material_id%22%3A%227628830221784878356%22%2C%22place"&amp;"holder_origin_cover%22%3A%22https%253A%252F%252Fp16-common-sign.tiktokcdn.com%252Ftos-alisg-p-0037%252FoIQRxUpAwUCVSNofDBQC23FOABCB8gfsEDE3JL~tplv-tiktokx-origin.jpeg%253Fdr%253D14572%2526refresh_token%253D24976c78%2526x-expires%253D1808301600%2526x-signa"&amp;"ture%253D3FTKny2uBbTVb4W9ZMY5qLTTAMI%25253D%2526t%253D4d5b0474%2526ps%253D13740610%2526shp%253Dd05b14bd%2526shcp%253D34ff8df6%2526idc%253Dmy3%2526s%253DTIKTOK_AFFILIATE_VIRAL_VIDEO%22%2C%22placeholder_product_id%22%3A%221729427766722726591%22%2C%22placeho"&amp;"lder_video_id%22%3A%227628830221784878356%22%7D&amp;ec_shared_reflux_scene=shop_tab_feed&amp;share_item_id=7628830221784878356&amp;source=h5_t")</f>
        <v>https://www.tiktok.com/@moez__2/video/7628830221784878356?_r=1&amp;u_code=da97be691m9a0i&amp;region=&amp;mid=7628830254312655634&amp;preview_pb=0&amp;sharer_language=&amp;_d=0&amp;ec_shared_reflux_dynamic_params=%7B%22placeholder_material_id%22%3A%227628830221784878356%22%2C%22placeholder_origin_cover%22%3A%22https%253A%252F%252Fp16-common-sign.tiktokcdn.com%252Ftos-alisg-p-0037%252FoIQRxUpAwUCVSNofDBQC23FOABCB8gfsEDE3JL~tplv-tiktokx-origin.jpeg%253Fdr%253D14572%2526refresh_token%253D24976c78%2526x-expires%253D1808301600%2526x-signature%253D3FTKny2uBbTVb4W9ZMY5qLTTAMI%25253D%2526t%253D4d5b0474%2526ps%253D13740610%2526shp%253Dd05b14bd%2526shcp%253D34ff8df6%2526idc%253Dmy3%2526s%253DTIKTOK_AFFILIATE_VIRAL_VIDEO%22%2C%22placeholder_product_id%22%3A%221729427766722726591%22%2C%22placeholder_video_id%22%3A%227628830221784878356%22%7D&amp;ec_shared_reflux_scene=shop_tab_feed&amp;share_item_id=7628830221784878356&amp;source=h5_t</v>
      </c>
      <c r="O845" s="464"/>
      <c r="P845" s="279" t="str">
        <f>IFERROR(__xludf.DUMMYFUNCTION("""COMPUTED_VALUE"""),"https://vt.tiktok.com/ZSxULa3JP/")</f>
        <v>https://vt.tiktok.com/ZSxULa3JP/</v>
      </c>
    </row>
    <row r="846">
      <c r="A846" s="255" t="str">
        <f>IFERROR(__xludf.DUMMYFUNCTION("""COMPUTED_VALUE"""),"MICRO")</f>
        <v>MICRO</v>
      </c>
      <c r="B846" s="361" t="str">
        <f>IFERROR(__xludf.DUMMYFUNCTION("""COMPUTED_VALUE"""),"asyaa.sstrawbbies")</f>
        <v>asyaa.sstrawbbies</v>
      </c>
      <c r="C846" s="257" t="str">
        <f>IFERROR(__xludf.DUMMYFUNCTION("""COMPUTED_VALUE"""),"https://www.tiktok.com/@asyaa.sstrawbbies")</f>
        <v>https://www.tiktok.com/@asyaa.sstrawbbies</v>
      </c>
      <c r="D846" s="270">
        <f>IFERROR(__xludf.DUMMYFUNCTION("""COMPUTED_VALUE"""),8.9618522722E10)</f>
        <v>89618522722</v>
      </c>
      <c r="E846" s="457">
        <f>IFERROR(__xludf.DUMMYFUNCTION("""COMPUTED_VALUE"""),0.0)</f>
        <v>0</v>
      </c>
      <c r="F846" s="270">
        <f>IFERROR(__xludf.DUMMYFUNCTION("""COMPUTED_VALUE"""),4.0)</f>
        <v>4</v>
      </c>
      <c r="G846" s="17" t="str">
        <f>IFERROR(__xludf.DUMMYFUNCTION("""COMPUTED_VALUE"""),"Sabun batang 1 Box ( 2 PCS )")</f>
        <v>Sabun batang 1 Box ( 2 PCS )</v>
      </c>
      <c r="H846" s="463" t="str">
        <f>IFERROR(__xludf.DUMMYFUNCTION("""COMPUTED_VALUE"""),"Sampai")</f>
        <v>Sampai</v>
      </c>
      <c r="I846" s="464" t="str">
        <f>IFERROR(__xludf.DUMMYFUNCTION("""COMPUTED_VALUE"""),"KIMME")</f>
        <v>KIMME</v>
      </c>
      <c r="J846" s="279" t="str">
        <f>IFERROR(__xludf.DUMMYFUNCTION("""COMPUTED_VALUE"""),"https://vt.tiktok.com/ZSxULRtyJ/")</f>
        <v>https://vt.tiktok.com/ZSxULRtyJ/</v>
      </c>
      <c r="K846" s="464" t="str">
        <f>IFERROR(__xludf.DUMMYFUNCTION("""COMPUTED_VALUE"""),"KIMME")</f>
        <v>KIMME</v>
      </c>
      <c r="L846" s="279" t="str">
        <f>IFERROR(__xludf.DUMMYFUNCTION("""COMPUTED_VALUE"""),"https://vt.tiktok.com/ZSx,Hfd7bC/https://vt.tiktok.com/ZSxHfKdAj/")</f>
        <v>https://vt.tiktok.com/ZSx,Hfd7bC/https://vt.tiktok.com/ZSxHfKdAj/</v>
      </c>
      <c r="M846" s="464"/>
      <c r="N846" s="279" t="str">
        <f>IFERROR(__xludf.DUMMYFUNCTION("""COMPUTED_VALUE"""),"https://vt.tiktok.com/ZSxULmurv/")</f>
        <v>https://vt.tiktok.com/ZSxULmurv/</v>
      </c>
      <c r="O846" s="464"/>
      <c r="P846" s="279" t="str">
        <f>IFERROR(__xludf.DUMMYFUNCTION("""COMPUTED_VALUE"""),"https://vt.tiktok.com/ZSxULAx4A/")</f>
        <v>https://vt.tiktok.com/ZSxULAx4A/</v>
      </c>
    </row>
    <row r="847">
      <c r="A847" s="255" t="str">
        <f>IFERROR(__xludf.DUMMYFUNCTION("""COMPUTED_VALUE"""),"MICRO")</f>
        <v>MICRO</v>
      </c>
      <c r="B847" s="361" t="str">
        <f>IFERROR(__xludf.DUMMYFUNCTION("""COMPUTED_VALUE"""),"hallocaca__")</f>
        <v>hallocaca__</v>
      </c>
      <c r="C847" s="257" t="str">
        <f>IFERROR(__xludf.DUMMYFUNCTION("""COMPUTED_VALUE"""),"https://www.tiktok.com/@hallocaca__")</f>
        <v>https://www.tiktok.com/@hallocaca__</v>
      </c>
      <c r="D847" s="270">
        <f>IFERROR(__xludf.DUMMYFUNCTION("""COMPUTED_VALUE"""),8.5187876545E10)</f>
        <v>85187876545</v>
      </c>
      <c r="E847" s="457">
        <f>IFERROR(__xludf.DUMMYFUNCTION("""COMPUTED_VALUE"""),0.0)</f>
        <v>0</v>
      </c>
      <c r="F847" s="270">
        <f>IFERROR(__xludf.DUMMYFUNCTION("""COMPUTED_VALUE"""),4.0)</f>
        <v>4</v>
      </c>
      <c r="G847" s="17" t="str">
        <f>IFERROR(__xludf.DUMMYFUNCTION("""COMPUTED_VALUE"""),"Sabun batang 1 Box ( 2 PCS )")</f>
        <v>Sabun batang 1 Box ( 2 PCS )</v>
      </c>
      <c r="H847" s="463" t="str">
        <f>IFERROR(__xludf.DUMMYFUNCTION("""COMPUTED_VALUE"""),"Sampai")</f>
        <v>Sampai</v>
      </c>
      <c r="I847" s="464" t="str">
        <f>IFERROR(__xludf.DUMMYFUNCTION("""COMPUTED_VALUE"""),"KIMME")</f>
        <v>KIMME</v>
      </c>
      <c r="J847" s="279" t="str">
        <f>IFERROR(__xludf.DUMMYFUNCTION("""COMPUTED_VALUE"""),"https://vt.tiktok.com/ZSxHfh8A4/")</f>
        <v>https://vt.tiktok.com/ZSxHfh8A4/</v>
      </c>
      <c r="K847" s="464" t="str">
        <f>IFERROR(__xludf.DUMMYFUNCTION("""COMPUTED_VALUE"""),"KIMME")</f>
        <v>KIMME</v>
      </c>
      <c r="L847" s="279" t="str">
        <f>IFERROR(__xludf.DUMMYFUNCTION("""COMPUTED_VALUE"""),"https://vt.tiktok.com/ZSxULMPKW/")</f>
        <v>https://vt.tiktok.com/ZSxULMPKW/</v>
      </c>
      <c r="M847" s="464"/>
      <c r="N847" s="279" t="str">
        <f>IFERROR(__xludf.DUMMYFUNCTION("""COMPUTED_VALUE"""),"https://vt.tiktok.com/ZSxHyF2HR/")</f>
        <v>https://vt.tiktok.com/ZSxHyF2HR/</v>
      </c>
      <c r="O847" s="464"/>
      <c r="P847" s="279" t="str">
        <f>IFERROR(__xludf.DUMMYFUNCTION("""COMPUTED_VALUE"""),"https://vt.tiktok.com/ZSxHyyHLM/")</f>
        <v>https://vt.tiktok.com/ZSxHyyHLM/</v>
      </c>
    </row>
    <row r="848">
      <c r="A848" s="255" t="str">
        <f>IFERROR(__xludf.DUMMYFUNCTION("""COMPUTED_VALUE"""),"MICRO")</f>
        <v>MICRO</v>
      </c>
      <c r="B848" s="361" t="str">
        <f>IFERROR(__xludf.DUMMYFUNCTION("""COMPUTED_VALUE"""),"diahnoprawati11")</f>
        <v>diahnoprawati11</v>
      </c>
      <c r="C848" s="257" t="str">
        <f>IFERROR(__xludf.DUMMYFUNCTION("""COMPUTED_VALUE"""),"https://www.tiktok.com/@diahnoprawati11")</f>
        <v>https://www.tiktok.com/@diahnoprawati11</v>
      </c>
      <c r="D848" s="270">
        <f>IFERROR(__xludf.DUMMYFUNCTION("""COMPUTED_VALUE"""),8.5836032733E10)</f>
        <v>85836032733</v>
      </c>
      <c r="E848" s="457">
        <f>IFERROR(__xludf.DUMMYFUNCTION("""COMPUTED_VALUE"""),0.0)</f>
        <v>0</v>
      </c>
      <c r="F848" s="270">
        <f>IFERROR(__xludf.DUMMYFUNCTION("""COMPUTED_VALUE"""),4.0)</f>
        <v>4</v>
      </c>
      <c r="G848" s="17" t="str">
        <f>IFERROR(__xludf.DUMMYFUNCTION("""COMPUTED_VALUE"""),"Sabun batang 1 Box ( 2 PCS )")</f>
        <v>Sabun batang 1 Box ( 2 PCS )</v>
      </c>
      <c r="H848" s="463" t="str">
        <f>IFERROR(__xludf.DUMMYFUNCTION("""COMPUTED_VALUE"""),"Sampai")</f>
        <v>Sampai</v>
      </c>
      <c r="I848" s="464" t="str">
        <f>IFERROR(__xludf.DUMMYFUNCTION("""COMPUTED_VALUE"""),"KIMME")</f>
        <v>KIMME</v>
      </c>
      <c r="J848" s="279" t="str">
        <f>IFERROR(__xludf.DUMMYFUNCTION("""COMPUTED_VALUE"""),"https://vt.tiktok.com/ZSxHfD5PH/")</f>
        <v>https://vt.tiktok.com/ZSxHfD5PH/</v>
      </c>
      <c r="K848" s="464" t="str">
        <f>IFERROR(__xludf.DUMMYFUNCTION("""COMPUTED_VALUE"""),"KIMME")</f>
        <v>KIMME</v>
      </c>
      <c r="L848" s="279" t="str">
        <f>IFERROR(__xludf.DUMMYFUNCTION("""COMPUTED_VALUE"""),"https://vt.tiktok.com/ZSxHyBJCj/")</f>
        <v>https://vt.tiktok.com/ZSxHyBJCj/</v>
      </c>
      <c r="M848" s="464"/>
      <c r="N848" s="279" t="str">
        <f>IFERROR(__xludf.DUMMYFUNCTION("""COMPUTED_VALUE"""),"https://vt.tiktok.com/ZSxHyFYdP/")</f>
        <v>https://vt.tiktok.com/ZSxHyFYdP/</v>
      </c>
      <c r="O848" s="464"/>
      <c r="P848" s="279" t="str">
        <f>IFERROR(__xludf.DUMMYFUNCTION("""COMPUTED_VALUE"""),"https://vt.tiktok.com/ZSxHyhcpH/")</f>
        <v>https://vt.tiktok.com/ZSxHyhcpH/</v>
      </c>
    </row>
    <row r="849">
      <c r="A849" s="255" t="str">
        <f>IFERROR(__xludf.DUMMYFUNCTION("""COMPUTED_VALUE"""),"MICRO")</f>
        <v>MICRO</v>
      </c>
      <c r="B849" s="361" t="str">
        <f>IFERROR(__xludf.DUMMYFUNCTION("""COMPUTED_VALUE"""),"nandaayuu._")</f>
        <v>nandaayuu._</v>
      </c>
      <c r="C849" s="257" t="str">
        <f>IFERROR(__xludf.DUMMYFUNCTION("""COMPUTED_VALUE"""),"https://www.tiktok.com/@nandaayuu._")</f>
        <v>https://www.tiktok.com/@nandaayuu._</v>
      </c>
      <c r="D849" s="270">
        <f>IFERROR(__xludf.DUMMYFUNCTION("""COMPUTED_VALUE"""),8.3890006117E10)</f>
        <v>83890006117</v>
      </c>
      <c r="E849" s="457">
        <f>IFERROR(__xludf.DUMMYFUNCTION("""COMPUTED_VALUE"""),150000.0)</f>
        <v>150000</v>
      </c>
      <c r="F849" s="270">
        <f>IFERROR(__xludf.DUMMYFUNCTION("""COMPUTED_VALUE"""),2.0)</f>
        <v>2</v>
      </c>
      <c r="G849" s="17" t="str">
        <f>IFERROR(__xludf.DUMMYFUNCTION("""COMPUTED_VALUE"""),"Sabun batang 1 Box ( 2 PCS )")</f>
        <v>Sabun batang 1 Box ( 2 PCS )</v>
      </c>
      <c r="H849" s="463" t="str">
        <f>IFERROR(__xludf.DUMMYFUNCTION("""COMPUTED_VALUE"""),"Sampai")</f>
        <v>Sampai</v>
      </c>
      <c r="I849" s="464" t="str">
        <f>IFERROR(__xludf.DUMMYFUNCTION("""COMPUTED_VALUE"""),"KIMME")</f>
        <v>KIMME</v>
      </c>
      <c r="J849" s="279" t="str">
        <f>IFERROR(__xludf.DUMMYFUNCTION("""COMPUTED_VALUE"""),"https://www.tiktok.com/@nandaayuu._/video/7631876703018667271?_r=1&amp;u_code=eih5k41j8a37m6&amp;region=&amp;mid=7559179219440290616&amp;preview_pb=0&amp;sharer_language=&amp;_d=0&amp;ec_shared_reflux_dynamic_params=%7B%22placeholder_material_id%22%3A%227631876703018667271%22%2C%22p"&amp;"laceholder_origin_cover%22%3A%22https%253A%252F%252Fp16-common-sign.tiktokcdn.com%252Ftos-alisg-p-0037%252FoYfRQE8O62xAfTWp7dBVQFb3gCF3BpAd6LDUvE~tplv-tiktokx-origin.jpeg%253Fdr%253D14572%2526refresh_token%253D10587322%2526x-expires%253D1808474400%2526x-s"&amp;"ignature%253Dx0Eo28GRmKki1BSAXjZVdwmNTlo%25253D%2526t%253D4d5b0474%2526ps%253D13740610%2526shp%253Dd05b14bd%2526shcp%253D34ff8df6%2526idc%253Dmy3%2526s%253DTIKTOK_AFFILIATE_VIRAL_VIDEO%22%2C%22placeholder_product_id%22%3A%221729427766722726591%22%2C%22pla"&amp;"ceholder_video_id%22%3A%227631876703018667271%22%7D&amp;ec_shared_reflux_scene=shop_tab_feed&amp;share_item_id=7631876703018667271&amp;source=h5_t")</f>
        <v>https://www.tiktok.com/@nandaayuu._/video/7631876703018667271?_r=1&amp;u_code=eih5k41j8a37m6&amp;region=&amp;mid=7559179219440290616&amp;preview_pb=0&amp;sharer_language=&amp;_d=0&amp;ec_shared_reflux_dynamic_params=%7B%22placeholder_material_id%22%3A%227631876703018667271%22%2C%22placeholder_origin_cover%22%3A%22https%253A%252F%252Fp16-common-sign.tiktokcdn.com%252Ftos-alisg-p-0037%252FoYfRQE8O62xAfTWp7dBVQFb3gCF3BpAd6LDUvE~tplv-tiktokx-origin.jpeg%253Fdr%253D14572%2526refresh_token%253D10587322%2526x-expires%253D1808474400%2526x-signature%253Dx0Eo28GRmKki1BSAXjZVdwmNTlo%25253D%2526t%253D4d5b0474%2526ps%253D13740610%2526shp%253Dd05b14bd%2526shcp%253D34ff8df6%2526idc%253Dmy3%2526s%253DTIKTOK_AFFILIATE_VIRAL_VIDEO%22%2C%22placeholder_product_id%22%3A%221729427766722726591%22%2C%22placeholder_video_id%22%3A%227631876703018667271%22%7D&amp;ec_shared_reflux_scene=shop_tab_feed&amp;share_item_id=7631876703018667271&amp;source=h5_t</v>
      </c>
      <c r="K849" s="464" t="str">
        <f>IFERROR(__xludf.DUMMYFUNCTION("""COMPUTED_VALUE"""),"KIMME")</f>
        <v>KIMME</v>
      </c>
      <c r="L849" s="279" t="str">
        <f>IFERROR(__xludf.DUMMYFUNCTION("""COMPUTED_VALUE"""),"https://www.tiktok.com/@nandaayuu._/video/7633779523103837448?_r=1&amp;u_code=eih5k41j8a37m6&amp;region=&amp;mid=7579773088386370326&amp;preview_pb=0&amp;sharer_language=&amp;_d=0&amp;ec_shared_reflux_dynamic_params=%7B%22placeholder_material_id%22%3A%227633779523103837448%22%2C%22p"&amp;"laceholder_origin_cover%22%3A%22https%253A%252F%252Fp16-sign-sg.tiktokcdn.com%252Ftos-alisg-p-0037%252FoYnXMDHQYnFKBtkfEgrhgUpBR3RP8AXeEQzBBo~tplv-tiktokx-origin.jpeg%253Fdr%253D14572%2526refresh_token%253Dd49ea18d%2526x-expires%253D1808992800%2526x-signa"&amp;"ture%253DZrdIRf6%25252FkHK1RvUQC3GHb%25252Br4pfI%25253D%2526t%253D4d5b0474%2526ps%253D13740610%2526shp%253Dd05b14bd%2526shcp%253D34ff8df6%2526idc%253Dmy2%2526s%253DTIKTOK_AFFILIATE_VIRAL_VIDEO%22%2C%22placeholder_product_id%22%3A%221729427766722726591%22%"&amp;"2C%22placeholder_video_id%22%3A%227633779523103837448%22%7D&amp;ec_shared_reflux_scene=shop_tab_feed&amp;share_item_id=7633779523103837448&amp;source=h5_t")</f>
        <v>https://www.tiktok.com/@nandaayuu._/video/7633779523103837448?_r=1&amp;u_code=eih5k41j8a37m6&amp;region=&amp;mid=7579773088386370326&amp;preview_pb=0&amp;sharer_language=&amp;_d=0&amp;ec_shared_reflux_dynamic_params=%7B%22placeholder_material_id%22%3A%227633779523103837448%22%2C%22placeholder_origin_cover%22%3A%22https%253A%252F%252Fp16-sign-sg.tiktokcdn.com%252Ftos-alisg-p-0037%252FoYnXMDHQYnFKBtkfEgrhgUpBR3RP8AXeEQzBBo~tplv-tiktokx-origin.jpeg%253Fdr%253D14572%2526refresh_token%253Dd49ea18d%2526x-expires%253D1808992800%2526x-signature%253DZrdIRf6%25252FkHK1RvUQC3GHb%25252Br4pfI%25253D%2526t%253D4d5b0474%2526ps%253D13740610%2526shp%253Dd05b14bd%2526shcp%253D34ff8df6%2526idc%253Dmy2%2526s%253DTIKTOK_AFFILIATE_VIRAL_VIDEO%22%2C%22placeholder_product_id%22%3A%221729427766722726591%22%2C%22placeholder_video_id%22%3A%227633779523103837448%22%7D&amp;ec_shared_reflux_scene=shop_tab_feed&amp;share_item_id=7633779523103837448&amp;source=h5_t</v>
      </c>
      <c r="M849" s="464"/>
      <c r="N849" s="279" t="str">
        <f>IFERROR(__xludf.DUMMYFUNCTION("""COMPUTED_VALUE"""),"https://vt.tiktok.com/ZSxHfcrCr/https://vt.tiktok.com/ZSxHfbRva/")</f>
        <v>https://vt.tiktok.com/ZSxHfcrCr/https://vt.tiktok.com/ZSxHfbRva/</v>
      </c>
      <c r="O849" s="464"/>
      <c r="P849" s="279" t="str">
        <f>IFERROR(__xludf.DUMMYFUNCTION("""COMPUTED_VALUE"""),"https://vt.tiktok.com/ZSxULfk2g/")</f>
        <v>https://vt.tiktok.com/ZSxULfk2g/</v>
      </c>
    </row>
    <row r="850">
      <c r="A850" s="255" t="str">
        <f>IFERROR(__xludf.DUMMYFUNCTION("""COMPUTED_VALUE"""),"MICRO")</f>
        <v>MICRO</v>
      </c>
      <c r="B850" s="361" t="str">
        <f>IFERROR(__xludf.DUMMYFUNCTION("""COMPUTED_VALUE"""),"ayuundaw")</f>
        <v>ayuundaw</v>
      </c>
      <c r="C850" s="257" t="str">
        <f>IFERROR(__xludf.DUMMYFUNCTION("""COMPUTED_VALUE"""),"https://www.tiktok.com/@ayuundaw")</f>
        <v>https://www.tiktok.com/@ayuundaw</v>
      </c>
      <c r="D850" s="270">
        <f>IFERROR(__xludf.DUMMYFUNCTION("""COMPUTED_VALUE"""),8.1221745557E10)</f>
        <v>81221745557</v>
      </c>
      <c r="E850" s="457">
        <f>IFERROR(__xludf.DUMMYFUNCTION("""COMPUTED_VALUE"""),0.0)</f>
        <v>0</v>
      </c>
      <c r="F850" s="270">
        <f>IFERROR(__xludf.DUMMYFUNCTION("""COMPUTED_VALUE"""),4.0)</f>
        <v>4</v>
      </c>
      <c r="G850" s="17" t="str">
        <f>IFERROR(__xludf.DUMMYFUNCTION("""COMPUTED_VALUE"""),"Sabun batang 1 Box ( 2 PCS )")</f>
        <v>Sabun batang 1 Box ( 2 PCS )</v>
      </c>
      <c r="H850" s="463" t="str">
        <f>IFERROR(__xludf.DUMMYFUNCTION("""COMPUTED_VALUE"""),"Sampai")</f>
        <v>Sampai</v>
      </c>
      <c r="I850" s="464" t="str">
        <f>IFERROR(__xludf.DUMMYFUNCTION("""COMPUTED_VALUE"""),"KIMME")</f>
        <v>KIMME</v>
      </c>
      <c r="J850" s="279" t="str">
        <f>IFERROR(__xludf.DUMMYFUNCTION("""COMPUTED_VALUE"""),"https://vt.tiktok.com/ZSxHy5nS3/")</f>
        <v>https://vt.tiktok.com/ZSxHy5nS3/</v>
      </c>
      <c r="K850" s="464" t="str">
        <f>IFERROR(__xludf.DUMMYFUNCTION("""COMPUTED_VALUE"""),"KIMME")</f>
        <v>KIMME</v>
      </c>
      <c r="L850" s="279" t="str">
        <f>IFERROR(__xludf.DUMMYFUNCTION("""COMPUTED_VALUE"""),"https://vt.tiktok.com/ZSxHyFjL8/")</f>
        <v>https://vt.tiktok.com/ZSxHyFjL8/</v>
      </c>
      <c r="M850" s="464"/>
      <c r="N850" s="279" t="str">
        <f>IFERROR(__xludf.DUMMYFUNCTION("""COMPUTED_VALUE"""),"https://vt.tiktok.com/ZSxHyP3Wr/")</f>
        <v>https://vt.tiktok.com/ZSxHyP3Wr/</v>
      </c>
      <c r="O850" s="464"/>
      <c r="P850" s="17" t="str">
        <f>IFERROR(__xludf.DUMMYFUNCTION("""COMPUTED_VALUE"""),"https://www.tiktok.com/@berkah.glosir/video/7641246651713096981?_r=1&amp;u_code=cme7094bbmahcg&amp;region=ID&amp;mid=7496084564192905985&amp;preview_pb=0&amp;sharer_language=id&amp;_d=eamlmmm8mhi2b1&amp;ec_shared_reflux_dynamic_params=%7B%22placeholder_material_id%22%3A%227641246651"&amp;"713096981%22%2C%22placeholder_origin_cover%22%3A%22https%253A%252F%252Fp16-common-sign.tiktokcdn.com%252Ftos-alisg-p-0037%252Fo8BPg4haApDKFYkcBBIxJAWc9IVViYSCYLEsi~tplv-tiktokx-origin.webp%253Fdr%253D14572%2526refresh_token%253D592c9219%2526x-expires%253D"&amp;"1811228400%2526x-signature%253DJAfd84SF%25252Bs8IM3NUkM3I1uohouE%25253D%2526t%253D4d5b0474%2526ps%253D13740610%2526shp%253Dd05b14bd%2526shcp%253D34ff8df6%2526idc%253Dmy%2526s%253DPUBLISH%22%2C%22placeholder_product_id%22%3A%221729729730555512511%22%2C%22p"&amp;"laceholder_video_id%22%3A%227641246651713096981%22%7D&amp;ec_shared_reflux_scene=shop_tab_feed&amp;share_item_id=7641246651713096981&amp;source=h5_t&amp;timestamp=1779692591&amp;user_id=6544188123054997505&amp;sec_user_id=MS4wLjABAAAArTGjtyBXJD3Oa6nTXGRPlObeMetEhfOJXJxiXaeoQAwNd"&amp;"cG-dl85yrbpmzEf0zj_&amp;item_author_type=2&amp;social_share_type=0&amp;utm_source=copy&amp;utm_campaign=client_share&amp;utm_medium=android&amp;share_iid=7640168474886604552&amp;share_link_id=4ab97d01-828e-491f-b9aa-f0a5ca30f4e2&amp;share_app_id=1180&amp;ugbiz_name=MAIN&amp;ug_btm=b5836%2Cb2878"&amp;"&amp;sp_root_share_link_id=4ab97d01-828e-491f-b9aa-f0a5ca30f4e2&amp;link_reflow_popup_iteration_sharer=%7B%22click_empty_to_play%22%3A1%2C%22dynamic_cover%22%3A1%2C%22follow_to_play_duration%22%3A-1.0%2C%22profile_clickable%22%3A1%7D&amp;enable_checksum=1&amp;sp_level=1&amp;"&amp;"sp_root_u=cme7094bbmahcg&amp;sp_root_d=eamlmmm8mhi2b1")</f>
        <v>https://www.tiktok.com/@berkah.glosir/video/7641246651713096981?_r=1&amp;u_code=cme7094bbmahcg&amp;region=ID&amp;mid=7496084564192905985&amp;preview_pb=0&amp;sharer_language=id&amp;_d=eamlmmm8mhi2b1&amp;ec_shared_reflux_dynamic_params=%7B%22placeholder_material_id%22%3A%227641246651713096981%22%2C%22placeholder_origin_cover%22%3A%22https%253A%252F%252Fp16-common-sign.tiktokcdn.com%252Ftos-alisg-p-0037%252Fo8BPg4haApDKFYkcBBIxJAWc9IVViYSCYLEsi~tplv-tiktokx-origin.webp%253Fdr%253D14572%2526refresh_token%253D592c9219%2526x-expires%253D1811228400%2526x-signature%253DJAfd84SF%25252Bs8IM3NUkM3I1uohouE%25253D%2526t%253D4d5b0474%2526ps%253D13740610%2526shp%253Dd05b14bd%2526shcp%253D34ff8df6%2526idc%253Dmy%2526s%253DPUBLISH%22%2C%22placeholder_product_id%22%3A%221729729730555512511%22%2C%22placeholder_video_id%22%3A%227641246651713096981%22%7D&amp;ec_shared_reflux_scene=shop_tab_feed&amp;share_item_id=7641246651713096981&amp;source=h5_t&amp;timestamp=1779692591&amp;user_id=6544188123054997505&amp;sec_user_id=MS4wLjABAAAArTGjtyBXJD3Oa6nTXGRPlObeMetEhfOJXJxiXaeoQAwNdcG-dl85yrbpmzEf0zj_&amp;item_author_type=2&amp;social_share_type=0&amp;utm_source=copy&amp;utm_campaign=client_share&amp;utm_medium=android&amp;share_iid=7640168474886604552&amp;share_link_id=4ab97d01-828e-491f-b9aa-f0a5ca30f4e2&amp;share_app_id=1180&amp;ugbiz_name=MAIN&amp;ug_btm=b5836%2Cb2878&amp;sp_root_share_link_id=4ab97d01-828e-491f-b9aa-f0a5ca30f4e2&amp;link_reflow_popup_iteration_sharer=%7B%22click_empty_to_play%22%3A1%2C%22dynamic_cover%22%3A1%2C%22follow_to_play_duration%22%3A-1.0%2C%22profile_clickable%22%3A1%7D&amp;enable_checksum=1&amp;sp_level=1&amp;sp_root_u=cme7094bbmahcg&amp;sp_root_d=eamlmmm8mhi2b1</v>
      </c>
    </row>
    <row r="851">
      <c r="A851" s="255" t="str">
        <f>IFERROR(__xludf.DUMMYFUNCTION("""COMPUTED_VALUE"""),"MICRO")</f>
        <v>MICRO</v>
      </c>
      <c r="B851" s="361" t="str">
        <f>IFERROR(__xludf.DUMMYFUNCTION("""COMPUTED_VALUE"""),"raida.azhra")</f>
        <v>raida.azhra</v>
      </c>
      <c r="C851" s="257" t="str">
        <f>IFERROR(__xludf.DUMMYFUNCTION("""COMPUTED_VALUE"""),"https://www.tiktok.com/@raida.azhra")</f>
        <v>https://www.tiktok.com/@raida.azhra</v>
      </c>
      <c r="D851" s="270">
        <f>IFERROR(__xludf.DUMMYFUNCTION("""COMPUTED_VALUE"""),8.82005810236E11)</f>
        <v>882005810236</v>
      </c>
      <c r="E851" s="457">
        <f>IFERROR(__xludf.DUMMYFUNCTION("""COMPUTED_VALUE"""),200000.0)</f>
        <v>200000</v>
      </c>
      <c r="F851" s="270">
        <f>IFERROR(__xludf.DUMMYFUNCTION("""COMPUTED_VALUE"""),1.0)</f>
        <v>1</v>
      </c>
      <c r="G851" s="17" t="str">
        <f>IFERROR(__xludf.DUMMYFUNCTION("""COMPUTED_VALUE"""),"Sabun batang 1 Box ( 2 PCS )")</f>
        <v>Sabun batang 1 Box ( 2 PCS )</v>
      </c>
      <c r="H851" s="463" t="str">
        <f>IFERROR(__xludf.DUMMYFUNCTION("""COMPUTED_VALUE"""),"Sampai")</f>
        <v>Sampai</v>
      </c>
      <c r="I851" s="464" t="str">
        <f>IFERROR(__xludf.DUMMYFUNCTION("""COMPUTED_VALUE"""),"KIMME")</f>
        <v>KIMME</v>
      </c>
      <c r="J851" s="279" t="str">
        <f>IFERROR(__xludf.DUMMYFUNCTION("""COMPUTED_VALUE"""),"https://vt.tiktok.com/ZSxHyA5xU/")</f>
        <v>https://vt.tiktok.com/ZSxHyA5xU/</v>
      </c>
      <c r="K851" s="464" t="str">
        <f>IFERROR(__xludf.DUMMYFUNCTION("""COMPUTED_VALUE"""),"KIMME")</f>
        <v>KIMME</v>
      </c>
      <c r="L851" s="279" t="str">
        <f>IFERROR(__xludf.DUMMYFUNCTION("""COMPUTED_VALUE"""),"https://vt.tiktok.com/ZSxHySgb5/")</f>
        <v>https://vt.tiktok.com/ZSxHySgb5/</v>
      </c>
      <c r="M851" s="464"/>
      <c r="N851" s="279" t="str">
        <f>IFERROR(__xludf.DUMMYFUNCTION("""COMPUTED_VALUE"""),"https://vt.tiktok.com/ZSxHyuAhp/")</f>
        <v>https://vt.tiktok.com/ZSxHyuAhp/</v>
      </c>
      <c r="O851" s="464"/>
      <c r="P851" s="279" t="str">
        <f>IFERROR(__xludf.DUMMYFUNCTION("""COMPUTED_VALUE"""),"https://vt.tiktok.com/ZSxHyrPsx/")</f>
        <v>https://vt.tiktok.com/ZSxHyrPsx/</v>
      </c>
    </row>
    <row r="852">
      <c r="A852" s="255" t="str">
        <f>IFERROR(__xludf.DUMMYFUNCTION("""COMPUTED_VALUE"""),"MICRO")</f>
        <v>MICRO</v>
      </c>
      <c r="B852" s="361" t="str">
        <f>IFERROR(__xludf.DUMMYFUNCTION("""COMPUTED_VALUE"""),"chalesthyyy")</f>
        <v>chalesthyyy</v>
      </c>
      <c r="C852" s="257" t="str">
        <f>IFERROR(__xludf.DUMMYFUNCTION("""COMPUTED_VALUE"""),"https://www.tiktok.com/@chalesthyyy")</f>
        <v>https://www.tiktok.com/@chalesthyyy</v>
      </c>
      <c r="D852" s="270">
        <f>IFERROR(__xludf.DUMMYFUNCTION("""COMPUTED_VALUE"""),8.7745435731E10)</f>
        <v>87745435731</v>
      </c>
      <c r="E852" s="457">
        <f>IFERROR(__xludf.DUMMYFUNCTION("""COMPUTED_VALUE"""),0.0)</f>
        <v>0</v>
      </c>
      <c r="F852" s="270">
        <f>IFERROR(__xludf.DUMMYFUNCTION("""COMPUTED_VALUE"""),4.0)</f>
        <v>4</v>
      </c>
      <c r="G852" s="17" t="str">
        <f>IFERROR(__xludf.DUMMYFUNCTION("""COMPUTED_VALUE"""),"Sabun batang 1 Box ( 2 PCS )")</f>
        <v>Sabun batang 1 Box ( 2 PCS )</v>
      </c>
      <c r="H852" s="463" t="str">
        <f>IFERROR(__xludf.DUMMYFUNCTION("""COMPUTED_VALUE"""),"Sampai")</f>
        <v>Sampai</v>
      </c>
      <c r="I852" s="464" t="str">
        <f>IFERROR(__xludf.DUMMYFUNCTION("""COMPUTED_VALUE"""),"KIMME")</f>
        <v>KIMME</v>
      </c>
      <c r="J852" s="279" t="str">
        <f>IFERROR(__xludf.DUMMYFUNCTION("""COMPUTED_VALUE"""),"https://vt.tiktok.com/ZSxHUTmmL/")</f>
        <v>https://vt.tiktok.com/ZSxHUTmmL/</v>
      </c>
      <c r="K852" s="464" t="str">
        <f>IFERROR(__xludf.DUMMYFUNCTION("""COMPUTED_VALUE"""),"KIMME")</f>
        <v>KIMME</v>
      </c>
      <c r="L852" s="279" t="str">
        <f>IFERROR(__xludf.DUMMYFUNCTION("""COMPUTED_VALUE"""),"https://vt.tiktok.com/ZSxHyXwWa/")</f>
        <v>https://vt.tiktok.com/ZSxHyXwWa/</v>
      </c>
      <c r="M852" s="464"/>
      <c r="N852" s="279" t="str">
        <f>IFERROR(__xludf.DUMMYFUNCTION("""COMPUTED_VALUE"""),"https://vt.tiktok.com/ZSxHyWBRr/")</f>
        <v>https://vt.tiktok.com/ZSxHyWBRr/</v>
      </c>
      <c r="O852" s="464"/>
      <c r="P852" s="279" t="str">
        <f>IFERROR(__xludf.DUMMYFUNCTION("""COMPUTED_VALUE"""),"https://vt.tiktok.com/ZSxHf1QEy/")</f>
        <v>https://vt.tiktok.com/ZSxHf1QEy/</v>
      </c>
    </row>
    <row r="853">
      <c r="A853" s="255" t="str">
        <f>IFERROR(__xludf.DUMMYFUNCTION("""COMPUTED_VALUE"""),"MICRO")</f>
        <v>MICRO</v>
      </c>
      <c r="B853" s="361" t="str">
        <f>IFERROR(__xludf.DUMMYFUNCTION("""COMPUTED_VALUE"""),"hii_oplon")</f>
        <v>hii_oplon</v>
      </c>
      <c r="C853" s="257" t="str">
        <f>IFERROR(__xludf.DUMMYFUNCTION("""COMPUTED_VALUE"""),"https://www.tiktok.com/@hii_oplon")</f>
        <v>https://www.tiktok.com/@hii_oplon</v>
      </c>
      <c r="D853" s="270">
        <f>IFERROR(__xludf.DUMMYFUNCTION("""COMPUTED_VALUE"""),8.572432146E10)</f>
        <v>85724321460</v>
      </c>
      <c r="E853" s="457">
        <f>IFERROR(__xludf.DUMMYFUNCTION("""COMPUTED_VALUE"""),0.0)</f>
        <v>0</v>
      </c>
      <c r="F853" s="270">
        <f>IFERROR(__xludf.DUMMYFUNCTION("""COMPUTED_VALUE"""),2.0)</f>
        <v>2</v>
      </c>
      <c r="G853" s="17" t="str">
        <f>IFERROR(__xludf.DUMMYFUNCTION("""COMPUTED_VALUE"""),"Sabun batang 1 Box ( 2 PCS )")</f>
        <v>Sabun batang 1 Box ( 2 PCS )</v>
      </c>
      <c r="H853" s="463" t="str">
        <f>IFERROR(__xludf.DUMMYFUNCTION("""COMPUTED_VALUE"""),"Sampai")</f>
        <v>Sampai</v>
      </c>
      <c r="I853" s="464" t="str">
        <f>IFERROR(__xludf.DUMMYFUNCTION("""COMPUTED_VALUE"""),"KIMME")</f>
        <v>KIMME</v>
      </c>
      <c r="J853" s="279" t="str">
        <f>IFERROR(__xludf.DUMMYFUNCTION("""COMPUTED_VALUE"""),"https://www.tiktok.com/@hii_oplon/video/7630858016627248392?is_from_webapp=1&amp;sender_device=pc")</f>
        <v>https://www.tiktok.com/@hii_oplon/video/7630858016627248392?is_from_webapp=1&amp;sender_device=pc</v>
      </c>
      <c r="K853" s="464" t="str">
        <f>IFERROR(__xludf.DUMMYFUNCTION("""COMPUTED_VALUE"""),"KIMME")</f>
        <v>KIMME</v>
      </c>
      <c r="L853" s="279" t="str">
        <f>IFERROR(__xludf.DUMMYFUNCTION("""COMPUTED_VALUE"""),"https://www.tiktok.com/@hii_oplon/video/7633240381093727506?is_from_webapp=1&amp;sender_device=pc")</f>
        <v>https://www.tiktok.com/@hii_oplon/video/7633240381093727506?is_from_webapp=1&amp;sender_device=pc</v>
      </c>
      <c r="M853" s="464"/>
      <c r="N853" s="279" t="str">
        <f>IFERROR(__xludf.DUMMYFUNCTION("""COMPUTED_VALUE"""),"https://vt.tiktok.com/ZSxHfGar8/")</f>
        <v>https://vt.tiktok.com/ZSxHfGar8/</v>
      </c>
      <c r="O853" s="464"/>
      <c r="P853" s="279" t="str">
        <f>IFERROR(__xludf.DUMMYFUNCTION("""COMPUTED_VALUE"""),"https://vt.tiktok.com/ZSxULyWUD/")</f>
        <v>https://vt.tiktok.com/ZSxULyWUD/</v>
      </c>
    </row>
    <row r="854">
      <c r="A854" s="255" t="str">
        <f>IFERROR(__xludf.DUMMYFUNCTION("""COMPUTED_VALUE"""),"MICRO")</f>
        <v>MICRO</v>
      </c>
      <c r="B854" s="361" t="str">
        <f>IFERROR(__xludf.DUMMYFUNCTION("""COMPUTED_VALUE"""),"iniakunjualan07")</f>
        <v>iniakunjualan07</v>
      </c>
      <c r="C854" s="257" t="str">
        <f>IFERROR(__xludf.DUMMYFUNCTION("""COMPUTED_VALUE"""),"https://www.tiktok.com/@iniakunjualan07")</f>
        <v>https://www.tiktok.com/@iniakunjualan07</v>
      </c>
      <c r="D854" s="270">
        <f>IFERROR(__xludf.DUMMYFUNCTION("""COMPUTED_VALUE"""),8.3866936318E10)</f>
        <v>83866936318</v>
      </c>
      <c r="E854" s="457">
        <f>IFERROR(__xludf.DUMMYFUNCTION("""COMPUTED_VALUE"""),0.0)</f>
        <v>0</v>
      </c>
      <c r="F854" s="270">
        <f>IFERROR(__xludf.DUMMYFUNCTION("""COMPUTED_VALUE"""),4.0)</f>
        <v>4</v>
      </c>
      <c r="G854" s="17" t="str">
        <f>IFERROR(__xludf.DUMMYFUNCTION("""COMPUTED_VALUE"""),"Sabun batang 1 Box ( 2 PCS )")</f>
        <v>Sabun batang 1 Box ( 2 PCS )</v>
      </c>
      <c r="H854" s="463" t="str">
        <f>IFERROR(__xludf.DUMMYFUNCTION("""COMPUTED_VALUE"""),"Sampai")</f>
        <v>Sampai</v>
      </c>
      <c r="I854" s="464" t="str">
        <f>IFERROR(__xludf.DUMMYFUNCTION("""COMPUTED_VALUE"""),"KIMME")</f>
        <v>KIMME</v>
      </c>
      <c r="J854" s="279" t="str">
        <f>IFERROR(__xludf.DUMMYFUNCTION("""COMPUTED_VALUE"""),"https://vt.tiktok.com/ZSxHyWqN5/")</f>
        <v>https://vt.tiktok.com/ZSxHyWqN5/</v>
      </c>
      <c r="K854" s="464" t="str">
        <f>IFERROR(__xludf.DUMMYFUNCTION("""COMPUTED_VALUE"""),"KIMME")</f>
        <v>KIMME</v>
      </c>
      <c r="L854" s="279" t="str">
        <f>IFERROR(__xludf.DUMMYFUNCTION("""COMPUTED_VALUE"""),"https://vt.tiktok.com/ZSxHyK9kF/")</f>
        <v>https://vt.tiktok.com/ZSxHyK9kF/</v>
      </c>
      <c r="M854" s="464"/>
      <c r="N854" s="279" t="str">
        <f>IFERROR(__xludf.DUMMYFUNCTION("""COMPUTED_VALUE"""),"https://vt.tiktok.com/ZSxHyEbuf/")</f>
        <v>https://vt.tiktok.com/ZSxHyEbuf/</v>
      </c>
      <c r="O854" s="464"/>
      <c r="P854" s="279" t="str">
        <f>IFERROR(__xludf.DUMMYFUNCTION("""COMPUTED_VALUE"""),"https://vt.tiktok.com/ZSxHy3kbg/")</f>
        <v>https://vt.tiktok.com/ZSxHy3kbg/</v>
      </c>
    </row>
    <row r="855">
      <c r="A855" s="255" t="str">
        <f>IFERROR(__xludf.DUMMYFUNCTION("""COMPUTED_VALUE"""),"MICRO")</f>
        <v>MICRO</v>
      </c>
      <c r="B855" s="361" t="str">
        <f>IFERROR(__xludf.DUMMYFUNCTION("""COMPUTED_VALUE"""),"medi_s11")</f>
        <v>medi_s11</v>
      </c>
      <c r="C855" s="257" t="str">
        <f>IFERROR(__xludf.DUMMYFUNCTION("""COMPUTED_VALUE"""),"https://www.tiktok.com/@medi_s11")</f>
        <v>https://www.tiktok.com/@medi_s11</v>
      </c>
      <c r="D855" s="270">
        <f>IFERROR(__xludf.DUMMYFUNCTION("""COMPUTED_VALUE"""),8.1268738204E10)</f>
        <v>81268738204</v>
      </c>
      <c r="E855" s="457">
        <f>IFERROR(__xludf.DUMMYFUNCTION("""COMPUTED_VALUE"""),0.0)</f>
        <v>0</v>
      </c>
      <c r="F855" s="270">
        <f>IFERROR(__xludf.DUMMYFUNCTION("""COMPUTED_VALUE"""),4.0)</f>
        <v>4</v>
      </c>
      <c r="G855" s="17" t="str">
        <f>IFERROR(__xludf.DUMMYFUNCTION("""COMPUTED_VALUE"""),"Sabun batang 1 Box ( 2 PCS )")</f>
        <v>Sabun batang 1 Box ( 2 PCS )</v>
      </c>
      <c r="H855" s="463" t="str">
        <f>IFERROR(__xludf.DUMMYFUNCTION("""COMPUTED_VALUE"""),"Sampai")</f>
        <v>Sampai</v>
      </c>
      <c r="I855" s="464" t="str">
        <f>IFERROR(__xludf.DUMMYFUNCTION("""COMPUTED_VALUE"""),"KIMME")</f>
        <v>KIMME</v>
      </c>
      <c r="J855" s="279" t="str">
        <f>IFERROR(__xludf.DUMMYFUNCTION("""COMPUTED_VALUE"""),"https://vt.tiktok.com/ZSxHyo3tP/")</f>
        <v>https://vt.tiktok.com/ZSxHyo3tP/</v>
      </c>
      <c r="K855" s="464" t="str">
        <f>IFERROR(__xludf.DUMMYFUNCTION("""COMPUTED_VALUE"""),"KIMME")</f>
        <v>KIMME</v>
      </c>
      <c r="L855" s="279" t="str">
        <f>IFERROR(__xludf.DUMMYFUNCTION("""COMPUTED_VALUE"""),"https://vt.tiktok.com/ZSxHyHnBB/")</f>
        <v>https://vt.tiktok.com/ZSxHyHnBB/</v>
      </c>
      <c r="M855" s="464"/>
      <c r="N855" s="279" t="str">
        <f>IFERROR(__xludf.DUMMYFUNCTION("""COMPUTED_VALUE"""),"https://vt.tiktok.com/ZSxHyBBKA/")</f>
        <v>https://vt.tiktok.com/ZSxHyBBKA/</v>
      </c>
      <c r="O855" s="464"/>
      <c r="P855" s="279" t="str">
        <f>IFERROR(__xludf.DUMMYFUNCTION("""COMPUTED_VALUE"""),"https://vt.tiktok.com/ZSxHyysu1/")</f>
        <v>https://vt.tiktok.com/ZSxHyysu1/</v>
      </c>
    </row>
    <row r="856">
      <c r="A856" s="255" t="str">
        <f>IFERROR(__xludf.DUMMYFUNCTION("""COMPUTED_VALUE"""),"MICRO")</f>
        <v>MICRO</v>
      </c>
      <c r="B856" s="361" t="str">
        <f>IFERROR(__xludf.DUMMYFUNCTION("""COMPUTED_VALUE"""),"faabeauty11")</f>
        <v>faabeauty11</v>
      </c>
      <c r="C856" s="257" t="str">
        <f>IFERROR(__xludf.DUMMYFUNCTION("""COMPUTED_VALUE"""),"https://www.tiktok.com/@faabeauty11")</f>
        <v>https://www.tiktok.com/@faabeauty11</v>
      </c>
      <c r="D856" s="270">
        <f>IFERROR(__xludf.DUMMYFUNCTION("""COMPUTED_VALUE"""),8.5600887658E10)</f>
        <v>85600887658</v>
      </c>
      <c r="E856" s="457">
        <f>IFERROR(__xludf.DUMMYFUNCTION("""COMPUTED_VALUE"""),100000.0)</f>
        <v>100000</v>
      </c>
      <c r="F856" s="270">
        <f>IFERROR(__xludf.DUMMYFUNCTION("""COMPUTED_VALUE"""),2.0)</f>
        <v>2</v>
      </c>
      <c r="G856" s="17" t="str">
        <f>IFERROR(__xludf.DUMMYFUNCTION("""COMPUTED_VALUE"""),"Sabun batang 1 Box ( 2 PCS )")</f>
        <v>Sabun batang 1 Box ( 2 PCS )</v>
      </c>
      <c r="H856" s="463" t="str">
        <f>IFERROR(__xludf.DUMMYFUNCTION("""COMPUTED_VALUE"""),"Sampai")</f>
        <v>Sampai</v>
      </c>
      <c r="I856" s="464" t="str">
        <f>IFERROR(__xludf.DUMMYFUNCTION("""COMPUTED_VALUE"""),"KIMME")</f>
        <v>KIMME</v>
      </c>
      <c r="J856" s="279" t="str">
        <f>IFERROR(__xludf.DUMMYFUNCTION("""COMPUTED_VALUE"""),"https://www.tiktok.com/@zilasamudra/video/7635872993041861902")</f>
        <v>https://www.tiktok.com/@zilasamudra/video/7635872993041861902</v>
      </c>
      <c r="K856" s="464" t="str">
        <f>IFERROR(__xludf.DUMMYFUNCTION("""COMPUTED_VALUE"""),"KIMME")</f>
        <v>KIMME</v>
      </c>
      <c r="L856" s="279" t="str">
        <f>IFERROR(__xludf.DUMMYFUNCTION("""COMPUTED_VALUE"""),"https://www.tiktok.com/@zilasamudra/video/7635225457511697679")</f>
        <v>https://www.tiktok.com/@zilasamudra/video/7635225457511697679</v>
      </c>
      <c r="M856" s="464"/>
      <c r="N856" s="279" t="str">
        <f>IFERROR(__xludf.DUMMYFUNCTION("""COMPUTED_VALUE"""),"https://www.tiktok.com/@zilasamudra/video/7634895870240132367")</f>
        <v>https://www.tiktok.com/@zilasamudra/video/7634895870240132367</v>
      </c>
      <c r="O856" s="464"/>
      <c r="P856" s="279" t="str">
        <f>IFERROR(__xludf.DUMMYFUNCTION("""COMPUTED_VALUE"""),"https://www.tiktok.com/@zilasamudra/video/7634473073420438798")</f>
        <v>https://www.tiktok.com/@zilasamudra/video/7634473073420438798</v>
      </c>
    </row>
    <row r="857">
      <c r="A857" s="255" t="str">
        <f>IFERROR(__xludf.DUMMYFUNCTION("""COMPUTED_VALUE"""),"MICRO")</f>
        <v>MICRO</v>
      </c>
      <c r="B857" s="361" t="str">
        <f>IFERROR(__xludf.DUMMYFUNCTION("""COMPUTED_VALUE"""),"atrilestarii")</f>
        <v>atrilestarii</v>
      </c>
      <c r="C857" s="257" t="str">
        <f>IFERROR(__xludf.DUMMYFUNCTION("""COMPUTED_VALUE"""),"https://www.tiktok.com/@atrilestarii")</f>
        <v>https://www.tiktok.com/@atrilestarii</v>
      </c>
      <c r="D857" s="270">
        <f>IFERROR(__xludf.DUMMYFUNCTION("""COMPUTED_VALUE"""),8.993889327E9)</f>
        <v>8993889327</v>
      </c>
      <c r="E857" s="457">
        <f>IFERROR(__xludf.DUMMYFUNCTION("""COMPUTED_VALUE"""),0.0)</f>
        <v>0</v>
      </c>
      <c r="F857" s="270">
        <f>IFERROR(__xludf.DUMMYFUNCTION("""COMPUTED_VALUE"""),1.0)</f>
        <v>1</v>
      </c>
      <c r="G857" s="17" t="str">
        <f>IFERROR(__xludf.DUMMYFUNCTION("""COMPUTED_VALUE"""),"Sabun batang 1 Box ( 2 PCS )")</f>
        <v>Sabun batang 1 Box ( 2 PCS )</v>
      </c>
      <c r="H857" s="463" t="str">
        <f>IFERROR(__xludf.DUMMYFUNCTION("""COMPUTED_VALUE"""),"Sampai")</f>
        <v>Sampai</v>
      </c>
      <c r="I857" s="464" t="str">
        <f>IFERROR(__xludf.DUMMYFUNCTION("""COMPUTED_VALUE"""),"KIMME")</f>
        <v>KIMME</v>
      </c>
      <c r="J857" s="279" t="str">
        <f>IFERROR(__xludf.DUMMYFUNCTION("""COMPUTED_VALUE"""),"https://www.tiktok.com/@zilasamudra/video/7635872993041861903")</f>
        <v>https://www.tiktok.com/@zilasamudra/video/7635872993041861903</v>
      </c>
      <c r="K857" s="464" t="str">
        <f>IFERROR(__xludf.DUMMYFUNCTION("""COMPUTED_VALUE"""),"KIMME")</f>
        <v>KIMME</v>
      </c>
      <c r="L857" s="279" t="str">
        <f>IFERROR(__xludf.DUMMYFUNCTION("""COMPUTED_VALUE"""),"https://www.tiktok.com/@zilasamudra/video/7635225457511697680")</f>
        <v>https://www.tiktok.com/@zilasamudra/video/7635225457511697680</v>
      </c>
      <c r="M857" s="464"/>
      <c r="N857" s="279" t="str">
        <f>IFERROR(__xludf.DUMMYFUNCTION("""COMPUTED_VALUE"""),"https://www.tiktok.com/@zilasamudra/video/7634895870240132368")</f>
        <v>https://www.tiktok.com/@zilasamudra/video/7634895870240132368</v>
      </c>
      <c r="O857" s="464"/>
      <c r="P857" s="279" t="str">
        <f>IFERROR(__xludf.DUMMYFUNCTION("""COMPUTED_VALUE"""),"https://www.tiktok.com/@zilasamudra/video/7634473073420438799")</f>
        <v>https://www.tiktok.com/@zilasamudra/video/7634473073420438799</v>
      </c>
    </row>
    <row r="858">
      <c r="A858" s="255" t="str">
        <f>IFERROR(__xludf.DUMMYFUNCTION("""COMPUTED_VALUE"""),"MICRO")</f>
        <v>MICRO</v>
      </c>
      <c r="B858" s="361" t="str">
        <f>IFERROR(__xludf.DUMMYFUNCTION("""COMPUTED_VALUE""")," kak_asma")</f>
        <v> kak_asma</v>
      </c>
      <c r="C858" s="23" t="str">
        <f>IFERROR(__xludf.DUMMYFUNCTION("""COMPUTED_VALUE"""),"https://www.tiktok.com/@ kak_asma")</f>
        <v>https://www.tiktok.com/@ kak_asma</v>
      </c>
      <c r="D858" s="270">
        <f>IFERROR(__xludf.DUMMYFUNCTION("""COMPUTED_VALUE"""),8.1262000901E10)</f>
        <v>81262000901</v>
      </c>
      <c r="E858" s="457">
        <f>IFERROR(__xludf.DUMMYFUNCTION("""COMPUTED_VALUE"""),0.0)</f>
        <v>0</v>
      </c>
      <c r="F858" s="270">
        <f>IFERROR(__xludf.DUMMYFUNCTION("""COMPUTED_VALUE"""),4.0)</f>
        <v>4</v>
      </c>
      <c r="G858" s="17" t="str">
        <f>IFERROR(__xludf.DUMMYFUNCTION("""COMPUTED_VALUE"""),"Sabun batang 1 Box ( 2 PCS )")</f>
        <v>Sabun batang 1 Box ( 2 PCS )</v>
      </c>
      <c r="H858" s="463" t="str">
        <f>IFERROR(__xludf.DUMMYFUNCTION("""COMPUTED_VALUE"""),"Sampai")</f>
        <v>Sampai</v>
      </c>
      <c r="I858" s="464" t="str">
        <f>IFERROR(__xludf.DUMMYFUNCTION("""COMPUTED_VALUE"""),"KIMME")</f>
        <v>KIMME</v>
      </c>
      <c r="J858" s="279" t="str">
        <f>IFERROR(__xludf.DUMMYFUNCTION("""COMPUTED_VALUE"""),"https://www.tiktok.com/@zilasamudra/video/7635872993041861904")</f>
        <v>https://www.tiktok.com/@zilasamudra/video/7635872993041861904</v>
      </c>
      <c r="K858" s="464" t="str">
        <f>IFERROR(__xludf.DUMMYFUNCTION("""COMPUTED_VALUE"""),"KIMME")</f>
        <v>KIMME</v>
      </c>
      <c r="L858" s="279" t="str">
        <f>IFERROR(__xludf.DUMMYFUNCTION("""COMPUTED_VALUE"""),"https://www.tiktok.com/@zilasamudra/video/7635225457511697681")</f>
        <v>https://www.tiktok.com/@zilasamudra/video/7635225457511697681</v>
      </c>
      <c r="M858" s="464"/>
      <c r="N858" s="279" t="str">
        <f>IFERROR(__xludf.DUMMYFUNCTION("""COMPUTED_VALUE"""),"https://www.tiktok.com/@zilasamudra/video/7634895870240132369")</f>
        <v>https://www.tiktok.com/@zilasamudra/video/7634895870240132369</v>
      </c>
      <c r="O858" s="464"/>
      <c r="P858" s="279" t="str">
        <f>IFERROR(__xludf.DUMMYFUNCTION("""COMPUTED_VALUE"""),"https://www.tiktok.com/@zilasamudra/video/7634473073420438800")</f>
        <v>https://www.tiktok.com/@zilasamudra/video/7634473073420438800</v>
      </c>
    </row>
    <row r="859">
      <c r="A859" s="255" t="str">
        <f>IFERROR(__xludf.DUMMYFUNCTION("""COMPUTED_VALUE"""),"MICRO")</f>
        <v>MICRO</v>
      </c>
      <c r="B859" s="361" t="str">
        <f>IFERROR(__xludf.DUMMYFUNCTION("""COMPUTED_VALUE"""),"panglima_khadizah92")</f>
        <v>panglima_khadizah92</v>
      </c>
      <c r="C859" s="257" t="str">
        <f>IFERROR(__xludf.DUMMYFUNCTION("""COMPUTED_VALUE"""),"https://www.tiktok.com/@panglima_khadizah92")</f>
        <v>https://www.tiktok.com/@panglima_khadizah92</v>
      </c>
      <c r="D859" s="270">
        <f>IFERROR(__xludf.DUMMYFUNCTION("""COMPUTED_VALUE"""),8.1350094836E10)</f>
        <v>81350094836</v>
      </c>
      <c r="E859" s="457">
        <f>IFERROR(__xludf.DUMMYFUNCTION("""COMPUTED_VALUE"""),0.0)</f>
        <v>0</v>
      </c>
      <c r="F859" s="270">
        <f>IFERROR(__xludf.DUMMYFUNCTION("""COMPUTED_VALUE"""),4.0)</f>
        <v>4</v>
      </c>
      <c r="G859" s="17" t="str">
        <f>IFERROR(__xludf.DUMMYFUNCTION("""COMPUTED_VALUE"""),"Sabun batang 1 Box ( 2 PCS )")</f>
        <v>Sabun batang 1 Box ( 2 PCS )</v>
      </c>
      <c r="H859" s="463" t="str">
        <f>IFERROR(__xludf.DUMMYFUNCTION("""COMPUTED_VALUE"""),"Sampai")</f>
        <v>Sampai</v>
      </c>
      <c r="I859" s="464" t="str">
        <f>IFERROR(__xludf.DUMMYFUNCTION("""COMPUTED_VALUE"""),"KIMME")</f>
        <v>KIMME</v>
      </c>
      <c r="J859" s="279" t="str">
        <f>IFERROR(__xludf.DUMMYFUNCTION("""COMPUTED_VALUE"""),"https://www.tiktok.com/@zilasamudra/video/7635872993041861905")</f>
        <v>https://www.tiktok.com/@zilasamudra/video/7635872993041861905</v>
      </c>
      <c r="K859" s="464" t="str">
        <f>IFERROR(__xludf.DUMMYFUNCTION("""COMPUTED_VALUE"""),"KIMME")</f>
        <v>KIMME</v>
      </c>
      <c r="L859" s="279" t="str">
        <f>IFERROR(__xludf.DUMMYFUNCTION("""COMPUTED_VALUE"""),"https://www.tiktok.com/@zilasamudra/video/7635225457511697682")</f>
        <v>https://www.tiktok.com/@zilasamudra/video/7635225457511697682</v>
      </c>
      <c r="M859" s="464"/>
      <c r="N859" s="279" t="str">
        <f>IFERROR(__xludf.DUMMYFUNCTION("""COMPUTED_VALUE"""),"https://www.tiktok.com/@zilasamudra/video/7634895870240132370")</f>
        <v>https://www.tiktok.com/@zilasamudra/video/7634895870240132370</v>
      </c>
      <c r="O859" s="464"/>
      <c r="P859" s="279" t="str">
        <f>IFERROR(__xludf.DUMMYFUNCTION("""COMPUTED_VALUE"""),"https://www.tiktok.com/@zilasamudra/video/7634473073420438801")</f>
        <v>https://www.tiktok.com/@zilasamudra/video/7634473073420438801</v>
      </c>
    </row>
    <row r="860">
      <c r="A860" s="255" t="str">
        <f>IFERROR(__xludf.DUMMYFUNCTION("""COMPUTED_VALUE"""),"MICRO")</f>
        <v>MICRO</v>
      </c>
      <c r="B860" s="361" t="str">
        <f>IFERROR(__xludf.DUMMYFUNCTION("""COMPUTED_VALUE"""),"lilmiuwx")</f>
        <v>lilmiuwx</v>
      </c>
      <c r="C860" s="257" t="str">
        <f>IFERROR(__xludf.DUMMYFUNCTION("""COMPUTED_VALUE"""),"https://www.tiktok.com/@lilmiuwx")</f>
        <v>https://www.tiktok.com/@lilmiuwx</v>
      </c>
      <c r="D860" s="270">
        <f>IFERROR(__xludf.DUMMYFUNCTION("""COMPUTED_VALUE"""),8.5606318131E10)</f>
        <v>85606318131</v>
      </c>
      <c r="E860" s="457">
        <f>IFERROR(__xludf.DUMMYFUNCTION("""COMPUTED_VALUE"""),0.0)</f>
        <v>0</v>
      </c>
      <c r="F860" s="270">
        <f>IFERROR(__xludf.DUMMYFUNCTION("""COMPUTED_VALUE"""),4.0)</f>
        <v>4</v>
      </c>
      <c r="G860" s="17" t="str">
        <f>IFERROR(__xludf.DUMMYFUNCTION("""COMPUTED_VALUE"""),"Sabun batang 1 Box ( 2 PCS )")</f>
        <v>Sabun batang 1 Box ( 2 PCS )</v>
      </c>
      <c r="H860" s="463" t="str">
        <f>IFERROR(__xludf.DUMMYFUNCTION("""COMPUTED_VALUE"""),"Sampai")</f>
        <v>Sampai</v>
      </c>
      <c r="I860" s="464" t="str">
        <f>IFERROR(__xludf.DUMMYFUNCTION("""COMPUTED_VALUE"""),"KIMME")</f>
        <v>KIMME</v>
      </c>
      <c r="J860" s="279" t="str">
        <f>IFERROR(__xludf.DUMMYFUNCTION("""COMPUTED_VALUE"""),"https://www.tiktok.com/@zilasamudra/video/7635872993041861906")</f>
        <v>https://www.tiktok.com/@zilasamudra/video/7635872993041861906</v>
      </c>
      <c r="K860" s="464" t="str">
        <f>IFERROR(__xludf.DUMMYFUNCTION("""COMPUTED_VALUE"""),"KIMME")</f>
        <v>KIMME</v>
      </c>
      <c r="L860" s="279" t="str">
        <f>IFERROR(__xludf.DUMMYFUNCTION("""COMPUTED_VALUE"""),"https://www.tiktok.com/@zilasamudra/video/7635225457511697683")</f>
        <v>https://www.tiktok.com/@zilasamudra/video/7635225457511697683</v>
      </c>
      <c r="M860" s="464"/>
      <c r="N860" s="279" t="str">
        <f>IFERROR(__xludf.DUMMYFUNCTION("""COMPUTED_VALUE"""),"https://www.tiktok.com/@zilasamudra/video/7634895870240132371")</f>
        <v>https://www.tiktok.com/@zilasamudra/video/7634895870240132371</v>
      </c>
      <c r="O860" s="464"/>
      <c r="P860" s="279" t="str">
        <f>IFERROR(__xludf.DUMMYFUNCTION("""COMPUTED_VALUE"""),"https://www.tiktok.com/@zilasamudra/video/7634473073420438802")</f>
        <v>https://www.tiktok.com/@zilasamudra/video/7634473073420438802</v>
      </c>
    </row>
    <row r="861">
      <c r="A861" s="255" t="str">
        <f>IFERROR(__xludf.DUMMYFUNCTION("""COMPUTED_VALUE"""),"MICRO")</f>
        <v>MICRO</v>
      </c>
      <c r="B861" s="361" t="str">
        <f>IFERROR(__xludf.DUMMYFUNCTION("""COMPUTED_VALUE"""),"deapratiwi_2")</f>
        <v>deapratiwi_2</v>
      </c>
      <c r="C861" s="257" t="str">
        <f>IFERROR(__xludf.DUMMYFUNCTION("""COMPUTED_VALUE"""),"https://www.tiktok.com/@deapratiwi_2")</f>
        <v>https://www.tiktok.com/@deapratiwi_2</v>
      </c>
      <c r="D861" s="270">
        <f>IFERROR(__xludf.DUMMYFUNCTION("""COMPUTED_VALUE"""),8.1254786438E10)</f>
        <v>81254786438</v>
      </c>
      <c r="E861" s="457">
        <f>IFERROR(__xludf.DUMMYFUNCTION("""COMPUTED_VALUE"""),0.0)</f>
        <v>0</v>
      </c>
      <c r="F861" s="270">
        <f>IFERROR(__xludf.DUMMYFUNCTION("""COMPUTED_VALUE"""),1.0)</f>
        <v>1</v>
      </c>
      <c r="G861" s="17" t="str">
        <f>IFERROR(__xludf.DUMMYFUNCTION("""COMPUTED_VALUE"""),"Sabun batang 1 Box ( 2 PCS )")</f>
        <v>Sabun batang 1 Box ( 2 PCS )</v>
      </c>
      <c r="H861" s="463" t="str">
        <f>IFERROR(__xludf.DUMMYFUNCTION("""COMPUTED_VALUE"""),"Sampai")</f>
        <v>Sampai</v>
      </c>
      <c r="I861" s="464" t="str">
        <f>IFERROR(__xludf.DUMMYFUNCTION("""COMPUTED_VALUE"""),"KIMME")</f>
        <v>KIMME</v>
      </c>
      <c r="J861" s="279" t="str">
        <f>IFERROR(__xludf.DUMMYFUNCTION("""COMPUTED_VALUE"""),"https://www.tiktok.com/@zilasamudra/video/7635872993041861907")</f>
        <v>https://www.tiktok.com/@zilasamudra/video/7635872993041861907</v>
      </c>
      <c r="K861" s="464" t="str">
        <f>IFERROR(__xludf.DUMMYFUNCTION("""COMPUTED_VALUE"""),"KIMME")</f>
        <v>KIMME</v>
      </c>
      <c r="L861" s="279" t="str">
        <f>IFERROR(__xludf.DUMMYFUNCTION("""COMPUTED_VALUE"""),"https://www.tiktok.com/@zilasamudra/video/7635225457511697684")</f>
        <v>https://www.tiktok.com/@zilasamudra/video/7635225457511697684</v>
      </c>
      <c r="M861" s="464"/>
      <c r="N861" s="279" t="str">
        <f>IFERROR(__xludf.DUMMYFUNCTION("""COMPUTED_VALUE"""),"https://www.tiktok.com/@zilasamudra/video/7634895870240132372")</f>
        <v>https://www.tiktok.com/@zilasamudra/video/7634895870240132372</v>
      </c>
      <c r="O861" s="464"/>
      <c r="P861" s="279" t="str">
        <f>IFERROR(__xludf.DUMMYFUNCTION("""COMPUTED_VALUE"""),"https://www.tiktok.com/@zilasamudra/video/7634473073420438803")</f>
        <v>https://www.tiktok.com/@zilasamudra/video/7634473073420438803</v>
      </c>
    </row>
    <row r="862">
      <c r="A862" s="255" t="str">
        <f>IFERROR(__xludf.DUMMYFUNCTION("""COMPUTED_VALUE"""),"MICRO")</f>
        <v>MICRO</v>
      </c>
      <c r="B862" s="361" t="str">
        <f>IFERROR(__xludf.DUMMYFUNCTION("""COMPUTED_VALUE"""),"meelasalon")</f>
        <v>meelasalon</v>
      </c>
      <c r="C862" s="257" t="str">
        <f>IFERROR(__xludf.DUMMYFUNCTION("""COMPUTED_VALUE"""),"https://www.tiktok.com/@meelasalon")</f>
        <v>https://www.tiktok.com/@meelasalon</v>
      </c>
      <c r="D862" s="270">
        <f>IFERROR(__xludf.DUMMYFUNCTION("""COMPUTED_VALUE"""),8.7850297651E10)</f>
        <v>87850297651</v>
      </c>
      <c r="E862" s="457">
        <f>IFERROR(__xludf.DUMMYFUNCTION("""COMPUTED_VALUE"""),0.0)</f>
        <v>0</v>
      </c>
      <c r="F862" s="270">
        <f>IFERROR(__xludf.DUMMYFUNCTION("""COMPUTED_VALUE"""),4.0)</f>
        <v>4</v>
      </c>
      <c r="G862" s="17" t="str">
        <f>IFERROR(__xludf.DUMMYFUNCTION("""COMPUTED_VALUE"""),"Sabun batang 1 Box ( 2 PCS )")</f>
        <v>Sabun batang 1 Box ( 2 PCS )</v>
      </c>
      <c r="H862" s="463" t="str">
        <f>IFERROR(__xludf.DUMMYFUNCTION("""COMPUTED_VALUE"""),"Sampai")</f>
        <v>Sampai</v>
      </c>
      <c r="I862" s="464" t="str">
        <f>IFERROR(__xludf.DUMMYFUNCTION("""COMPUTED_VALUE"""),"KIMME")</f>
        <v>KIMME</v>
      </c>
      <c r="J862" s="279" t="str">
        <f>IFERROR(__xludf.DUMMYFUNCTION("""COMPUTED_VALUE"""),"https://www.tiktok.com/@zilasamudra/video/7635872993041861908")</f>
        <v>https://www.tiktok.com/@zilasamudra/video/7635872993041861908</v>
      </c>
      <c r="K862" s="464" t="str">
        <f>IFERROR(__xludf.DUMMYFUNCTION("""COMPUTED_VALUE"""),"KIMME")</f>
        <v>KIMME</v>
      </c>
      <c r="L862" s="279" t="str">
        <f>IFERROR(__xludf.DUMMYFUNCTION("""COMPUTED_VALUE"""),"https://www.tiktok.com/@zilasamudra/video/7635225457511697685")</f>
        <v>https://www.tiktok.com/@zilasamudra/video/7635225457511697685</v>
      </c>
      <c r="M862" s="464"/>
      <c r="N862" s="279" t="str">
        <f>IFERROR(__xludf.DUMMYFUNCTION("""COMPUTED_VALUE"""),"https://www.tiktok.com/@zilasamudra/video/7634895870240132373")</f>
        <v>https://www.tiktok.com/@zilasamudra/video/7634895870240132373</v>
      </c>
      <c r="O862" s="464"/>
      <c r="P862" s="279" t="str">
        <f>IFERROR(__xludf.DUMMYFUNCTION("""COMPUTED_VALUE"""),"https://www.tiktok.com/@zilasamudra/video/7634473073420438804")</f>
        <v>https://www.tiktok.com/@zilasamudra/video/7634473073420438804</v>
      </c>
    </row>
    <row r="863">
      <c r="A863" s="255" t="str">
        <f>IFERROR(__xludf.DUMMYFUNCTION("""COMPUTED_VALUE"""),"MACRO")</f>
        <v>MACRO</v>
      </c>
      <c r="B863" s="361" t="str">
        <f>IFERROR(__xludf.DUMMYFUNCTION("""COMPUTED_VALUE"""),"ecclesiasihotangg")</f>
        <v>ecclesiasihotangg</v>
      </c>
      <c r="C863" s="257" t="str">
        <f>IFERROR(__xludf.DUMMYFUNCTION("""COMPUTED_VALUE"""),"https://www.tiktok.com/@ecclesiasihotangg")</f>
        <v>https://www.tiktok.com/@ecclesiasihotangg</v>
      </c>
      <c r="D863" s="270">
        <f>IFERROR(__xludf.DUMMYFUNCTION("""COMPUTED_VALUE"""),8.9602472228E10)</f>
        <v>89602472228</v>
      </c>
      <c r="E863" s="457">
        <f>IFERROR(__xludf.DUMMYFUNCTION("""COMPUTED_VALUE"""),0.0)</f>
        <v>0</v>
      </c>
      <c r="F863" s="270">
        <f>IFERROR(__xludf.DUMMYFUNCTION("""COMPUTED_VALUE"""),1.0)</f>
        <v>1</v>
      </c>
      <c r="G863" s="17" t="str">
        <f>IFERROR(__xludf.DUMMYFUNCTION("""COMPUTED_VALUE"""),"Sabun batang 1 Box ( 2 PCS )")</f>
        <v>Sabun batang 1 Box ( 2 PCS )</v>
      </c>
      <c r="H863" s="463" t="str">
        <f>IFERROR(__xludf.DUMMYFUNCTION("""COMPUTED_VALUE"""),"Sampai")</f>
        <v>Sampai</v>
      </c>
      <c r="I863" s="464" t="str">
        <f>IFERROR(__xludf.DUMMYFUNCTION("""COMPUTED_VALUE"""),"KIMME")</f>
        <v>KIMME</v>
      </c>
      <c r="J863" s="17"/>
      <c r="K863" s="464" t="str">
        <f>IFERROR(__xludf.DUMMYFUNCTION("""COMPUTED_VALUE"""),"KIMME")</f>
        <v>KIMME</v>
      </c>
      <c r="L863" s="17"/>
      <c r="M863" s="464"/>
      <c r="N863" s="17"/>
      <c r="O863" s="464"/>
      <c r="P863" s="17"/>
    </row>
    <row r="864">
      <c r="A864" s="255" t="str">
        <f>IFERROR(__xludf.DUMMYFUNCTION("""COMPUTED_VALUE"""),"MICRO")</f>
        <v>MICRO</v>
      </c>
      <c r="B864" s="361" t="str">
        <f>IFERROR(__xludf.DUMMYFUNCTION("""COMPUTED_VALUE"""),"aystraaa_")</f>
        <v>aystraaa_</v>
      </c>
      <c r="C864" s="257" t="str">
        <f>IFERROR(__xludf.DUMMYFUNCTION("""COMPUTED_VALUE"""),"https://www.tiktok.com/@aystraaa_")</f>
        <v>https://www.tiktok.com/@aystraaa_</v>
      </c>
      <c r="D864" s="270">
        <f>IFERROR(__xludf.DUMMYFUNCTION("""COMPUTED_VALUE"""),8.8287106049E10)</f>
        <v>88287106049</v>
      </c>
      <c r="E864" s="457">
        <f>IFERROR(__xludf.DUMMYFUNCTION("""COMPUTED_VALUE"""),0.0)</f>
        <v>0</v>
      </c>
      <c r="F864" s="270">
        <f>IFERROR(__xludf.DUMMYFUNCTION("""COMPUTED_VALUE"""),1.0)</f>
        <v>1</v>
      </c>
      <c r="G864" s="17" t="str">
        <f>IFERROR(__xludf.DUMMYFUNCTION("""COMPUTED_VALUE"""),"Sabun batang 1 Box ( 2 PCS )")</f>
        <v>Sabun batang 1 Box ( 2 PCS )</v>
      </c>
      <c r="H864" s="463" t="str">
        <f>IFERROR(__xludf.DUMMYFUNCTION("""COMPUTED_VALUE"""),"Sampai")</f>
        <v>Sampai</v>
      </c>
      <c r="I864" s="464" t="str">
        <f>IFERROR(__xludf.DUMMYFUNCTION("""COMPUTED_VALUE"""),"KIMME")</f>
        <v>KIMME</v>
      </c>
      <c r="J864" s="279" t="str">
        <f>IFERROR(__xludf.DUMMYFUNCTION("""COMPUTED_VALUE"""),"https://www.tiktok.com/@zilasamudra/video/7635872993041861902")</f>
        <v>https://www.tiktok.com/@zilasamudra/video/7635872993041861902</v>
      </c>
      <c r="K864" s="464" t="str">
        <f>IFERROR(__xludf.DUMMYFUNCTION("""COMPUTED_VALUE"""),"KIMME")</f>
        <v>KIMME</v>
      </c>
      <c r="L864" s="279" t="str">
        <f>IFERROR(__xludf.DUMMYFUNCTION("""COMPUTED_VALUE"""),"https://www.tiktok.com/@zilasamudra/video/7635225457511697679")</f>
        <v>https://www.tiktok.com/@zilasamudra/video/7635225457511697679</v>
      </c>
      <c r="M864" s="464"/>
      <c r="N864" s="279" t="str">
        <f>IFERROR(__xludf.DUMMYFUNCTION("""COMPUTED_VALUE"""),"https://www.tiktok.com/@zilasamudra/video/7634895870240132367")</f>
        <v>https://www.tiktok.com/@zilasamudra/video/7634895870240132367</v>
      </c>
      <c r="O864" s="464"/>
      <c r="P864" s="279" t="str">
        <f>IFERROR(__xludf.DUMMYFUNCTION("""COMPUTED_VALUE"""),"https://www.tiktok.com/@zilasamudra/video/7634473073420438798")</f>
        <v>https://www.tiktok.com/@zilasamudra/video/7634473073420438798</v>
      </c>
    </row>
    <row r="865">
      <c r="A865" s="255" t="str">
        <f>IFERROR(__xludf.DUMMYFUNCTION("""COMPUTED_VALUE"""),"MICRO")</f>
        <v>MICRO</v>
      </c>
      <c r="B865" s="361" t="str">
        <f>IFERROR(__xludf.DUMMYFUNCTION("""COMPUTED_VALUE"""),"cesyliaaa")</f>
        <v>cesyliaaa</v>
      </c>
      <c r="C865" s="257" t="str">
        <f>IFERROR(__xludf.DUMMYFUNCTION("""COMPUTED_VALUE"""),"https://www.tiktok.com/@cesyliaaa")</f>
        <v>https://www.tiktok.com/@cesyliaaa</v>
      </c>
      <c r="D865" s="270">
        <f>IFERROR(__xludf.DUMMYFUNCTION("""COMPUTED_VALUE"""),8.9637507904E10)</f>
        <v>89637507904</v>
      </c>
      <c r="E865" s="457">
        <f>IFERROR(__xludf.DUMMYFUNCTION("""COMPUTED_VALUE"""),0.0)</f>
        <v>0</v>
      </c>
      <c r="F865" s="270">
        <f>IFERROR(__xludf.DUMMYFUNCTION("""COMPUTED_VALUE"""),4.0)</f>
        <v>4</v>
      </c>
      <c r="G865" s="17" t="str">
        <f>IFERROR(__xludf.DUMMYFUNCTION("""COMPUTED_VALUE"""),"Sabun batang 1 Box ( 2 PCS )")</f>
        <v>Sabun batang 1 Box ( 2 PCS )</v>
      </c>
      <c r="H865" s="463" t="str">
        <f>IFERROR(__xludf.DUMMYFUNCTION("""COMPUTED_VALUE"""),"Sampai")</f>
        <v>Sampai</v>
      </c>
      <c r="I865" s="464" t="str">
        <f>IFERROR(__xludf.DUMMYFUNCTION("""COMPUTED_VALUE"""),"KIMME")</f>
        <v>KIMME</v>
      </c>
      <c r="J865" s="279" t="str">
        <f>IFERROR(__xludf.DUMMYFUNCTION("""COMPUTED_VALUE"""),"https://www.tiktok.com/@zilasamudra/video/7635872993041861903")</f>
        <v>https://www.tiktok.com/@zilasamudra/video/7635872993041861903</v>
      </c>
      <c r="K865" s="464" t="str">
        <f>IFERROR(__xludf.DUMMYFUNCTION("""COMPUTED_VALUE"""),"KIMME")</f>
        <v>KIMME</v>
      </c>
      <c r="L865" s="279" t="str">
        <f>IFERROR(__xludf.DUMMYFUNCTION("""COMPUTED_VALUE"""),"https://www.tiktok.com/@zilasamudra/video/7635225457511697680")</f>
        <v>https://www.tiktok.com/@zilasamudra/video/7635225457511697680</v>
      </c>
      <c r="M865" s="464"/>
      <c r="N865" s="279" t="str">
        <f>IFERROR(__xludf.DUMMYFUNCTION("""COMPUTED_VALUE"""),"https://www.tiktok.com/@zilasamudra/video/7634895870240132368")</f>
        <v>https://www.tiktok.com/@zilasamudra/video/7634895870240132368</v>
      </c>
      <c r="O865" s="464"/>
      <c r="P865" s="279" t="str">
        <f>IFERROR(__xludf.DUMMYFUNCTION("""COMPUTED_VALUE"""),"https://www.tiktok.com/@zilasamudra/video/7634473073420438799")</f>
        <v>https://www.tiktok.com/@zilasamudra/video/7634473073420438799</v>
      </c>
    </row>
    <row r="866">
      <c r="A866" s="255" t="str">
        <f>IFERROR(__xludf.DUMMYFUNCTION("""COMPUTED_VALUE"""),"MICRO")</f>
        <v>MICRO</v>
      </c>
      <c r="B866" s="361" t="str">
        <f>IFERROR(__xludf.DUMMYFUNCTION("""COMPUTED_VALUE"""),"rizkikiii19")</f>
        <v>rizkikiii19</v>
      </c>
      <c r="C866" s="257" t="str">
        <f>IFERROR(__xludf.DUMMYFUNCTION("""COMPUTED_VALUE"""),"https://www.tiktok.com/@rizkikiii19")</f>
        <v>https://www.tiktok.com/@rizkikiii19</v>
      </c>
      <c r="D866" s="270">
        <f>IFERROR(__xludf.DUMMYFUNCTION("""COMPUTED_VALUE"""),8.2268856065E10)</f>
        <v>82268856065</v>
      </c>
      <c r="E866" s="457">
        <f>IFERROR(__xludf.DUMMYFUNCTION("""COMPUTED_VALUE"""),150000.0)</f>
        <v>150000</v>
      </c>
      <c r="F866" s="270">
        <f>IFERROR(__xludf.DUMMYFUNCTION("""COMPUTED_VALUE"""),1.0)</f>
        <v>1</v>
      </c>
      <c r="G866" s="17" t="str">
        <f>IFERROR(__xludf.DUMMYFUNCTION("""COMPUTED_VALUE"""),"Sabun batang 1 Box ( 2 PCS )")</f>
        <v>Sabun batang 1 Box ( 2 PCS )</v>
      </c>
      <c r="H866" s="463" t="str">
        <f>IFERROR(__xludf.DUMMYFUNCTION("""COMPUTED_VALUE"""),"Sampai")</f>
        <v>Sampai</v>
      </c>
      <c r="I866" s="464" t="str">
        <f>IFERROR(__xludf.DUMMYFUNCTION("""COMPUTED_VALUE"""),"KIMME")</f>
        <v>KIMME</v>
      </c>
      <c r="J866" s="279" t="str">
        <f>IFERROR(__xludf.DUMMYFUNCTION("""COMPUTED_VALUE"""),"https://www.tiktok.com/@zilasamudra/video/7635872993041861904")</f>
        <v>https://www.tiktok.com/@zilasamudra/video/7635872993041861904</v>
      </c>
      <c r="K866" s="464" t="str">
        <f>IFERROR(__xludf.DUMMYFUNCTION("""COMPUTED_VALUE"""),"KIMME")</f>
        <v>KIMME</v>
      </c>
      <c r="L866" s="279" t="str">
        <f>IFERROR(__xludf.DUMMYFUNCTION("""COMPUTED_VALUE"""),"https://www.tiktok.com/@zilasamudra/video/7635225457511697681")</f>
        <v>https://www.tiktok.com/@zilasamudra/video/7635225457511697681</v>
      </c>
      <c r="M866" s="464"/>
      <c r="N866" s="279" t="str">
        <f>IFERROR(__xludf.DUMMYFUNCTION("""COMPUTED_VALUE"""),"https://www.tiktok.com/@zilasamudra/video/7634895870240132369")</f>
        <v>https://www.tiktok.com/@zilasamudra/video/7634895870240132369</v>
      </c>
      <c r="O866" s="464"/>
      <c r="P866" s="279" t="str">
        <f>IFERROR(__xludf.DUMMYFUNCTION("""COMPUTED_VALUE"""),"https://www.tiktok.com/@zilasamudra/video/7634473073420438800")</f>
        <v>https://www.tiktok.com/@zilasamudra/video/7634473073420438800</v>
      </c>
    </row>
    <row r="867">
      <c r="A867" s="255" t="str">
        <f>IFERROR(__xludf.DUMMYFUNCTION("""COMPUTED_VALUE"""),"MICRO")</f>
        <v>MICRO</v>
      </c>
      <c r="B867" s="361" t="str">
        <f>IFERROR(__xludf.DUMMYFUNCTION("""COMPUTED_VALUE"""),"celineameerah")</f>
        <v>celineameerah</v>
      </c>
      <c r="C867" s="257" t="str">
        <f>IFERROR(__xludf.DUMMYFUNCTION("""COMPUTED_VALUE"""),"https://www.tiktok.com/@celineameerah")</f>
        <v>https://www.tiktok.com/@celineameerah</v>
      </c>
      <c r="D867" s="270">
        <f>IFERROR(__xludf.DUMMYFUNCTION("""COMPUTED_VALUE"""),8.3876769471E10)</f>
        <v>83876769471</v>
      </c>
      <c r="E867" s="457">
        <f>IFERROR(__xludf.DUMMYFUNCTION("""COMPUTED_VALUE"""),150000.0)</f>
        <v>150000</v>
      </c>
      <c r="F867" s="270">
        <f>IFERROR(__xludf.DUMMYFUNCTION("""COMPUTED_VALUE"""),2.0)</f>
        <v>2</v>
      </c>
      <c r="G867" s="17" t="str">
        <f>IFERROR(__xludf.DUMMYFUNCTION("""COMPUTED_VALUE"""),"Sabun batang 1 Box ( 2 PCS )")</f>
        <v>Sabun batang 1 Box ( 2 PCS )</v>
      </c>
      <c r="H867" s="463" t="str">
        <f>IFERROR(__xludf.DUMMYFUNCTION("""COMPUTED_VALUE"""),"Sampai")</f>
        <v>Sampai</v>
      </c>
      <c r="I867" s="464" t="str">
        <f>IFERROR(__xludf.DUMMYFUNCTION("""COMPUTED_VALUE"""),"KIMME")</f>
        <v>KIMME</v>
      </c>
      <c r="J867" s="279" t="str">
        <f>IFERROR(__xludf.DUMMYFUNCTION("""COMPUTED_VALUE"""),"https://vt.tiktok.com/ZSxMxRKBj/")</f>
        <v>https://vt.tiktok.com/ZSxMxRKBj/</v>
      </c>
      <c r="K867" s="464" t="str">
        <f>IFERROR(__xludf.DUMMYFUNCTION("""COMPUTED_VALUE"""),"KIMME")</f>
        <v>KIMME</v>
      </c>
      <c r="L867" s="279" t="str">
        <f>IFERROR(__xludf.DUMMYFUNCTION("""COMPUTED_VALUE"""),"https://vt.tiktok.com/ZSxMxFgyH/")</f>
        <v>https://vt.tiktok.com/ZSxMxFgyH/</v>
      </c>
      <c r="M867" s="464"/>
      <c r="N867" s="279" t="str">
        <f>IFERROR(__xludf.DUMMYFUNCTION("""COMPUTED_VALUE"""),"https://www.tiktok.com/@zilasamudra/video/7634895870240132370")</f>
        <v>https://www.tiktok.com/@zilasamudra/video/7634895870240132370</v>
      </c>
      <c r="O867" s="464"/>
      <c r="P867" s="279" t="str">
        <f>IFERROR(__xludf.DUMMYFUNCTION("""COMPUTED_VALUE"""),"https://www.tiktok.com/@zilasamudra/video/7634473073420438801")</f>
        <v>https://www.tiktok.com/@zilasamudra/video/7634473073420438801</v>
      </c>
    </row>
    <row r="868">
      <c r="A868" s="255" t="str">
        <f>IFERROR(__xludf.DUMMYFUNCTION("""COMPUTED_VALUE"""),"MICRO")</f>
        <v>MICRO</v>
      </c>
      <c r="B868" s="361" t="str">
        <f>IFERROR(__xludf.DUMMYFUNCTION("""COMPUTED_VALUE"""),"solehawidya06")</f>
        <v>solehawidya06</v>
      </c>
      <c r="C868" s="257" t="str">
        <f>IFERROR(__xludf.DUMMYFUNCTION("""COMPUTED_VALUE"""),"https://www.tiktok.com/@solehawidya06")</f>
        <v>https://www.tiktok.com/@solehawidya06</v>
      </c>
      <c r="D868" s="270">
        <f>IFERROR(__xludf.DUMMYFUNCTION("""COMPUTED_VALUE"""),8.997788012E9)</f>
        <v>8997788012</v>
      </c>
      <c r="E868" s="457">
        <f>IFERROR(__xludf.DUMMYFUNCTION("""COMPUTED_VALUE"""),0.0)</f>
        <v>0</v>
      </c>
      <c r="F868" s="270">
        <f>IFERROR(__xludf.DUMMYFUNCTION("""COMPUTED_VALUE"""),4.0)</f>
        <v>4</v>
      </c>
      <c r="G868" s="17" t="str">
        <f>IFERROR(__xludf.DUMMYFUNCTION("""COMPUTED_VALUE"""),"Sabun batang 1 Box ( 2 PCS )")</f>
        <v>Sabun batang 1 Box ( 2 PCS )</v>
      </c>
      <c r="H868" s="463" t="str">
        <f>IFERROR(__xludf.DUMMYFUNCTION("""COMPUTED_VALUE"""),"Sampai")</f>
        <v>Sampai</v>
      </c>
      <c r="I868" s="464" t="str">
        <f>IFERROR(__xludf.DUMMYFUNCTION("""COMPUTED_VALUE"""),"KIMME")</f>
        <v>KIMME</v>
      </c>
      <c r="J868" s="279" t="str">
        <f>IFERROR(__xludf.DUMMYFUNCTION("""COMPUTED_VALUE"""),"https://www.tiktok.com/@zilasamudra/video/7635872993041861906")</f>
        <v>https://www.tiktok.com/@zilasamudra/video/7635872993041861906</v>
      </c>
      <c r="K868" s="464" t="str">
        <f>IFERROR(__xludf.DUMMYFUNCTION("""COMPUTED_VALUE"""),"KIMME")</f>
        <v>KIMME</v>
      </c>
      <c r="L868" s="279" t="str">
        <f>IFERROR(__xludf.DUMMYFUNCTION("""COMPUTED_VALUE"""),"https://www.tiktok.com/@zilasamudra/video/7635225457511697683")</f>
        <v>https://www.tiktok.com/@zilasamudra/video/7635225457511697683</v>
      </c>
      <c r="M868" s="464"/>
      <c r="N868" s="279" t="str">
        <f>IFERROR(__xludf.DUMMYFUNCTION("""COMPUTED_VALUE"""),"https://www.tiktok.com/@zilasamudra/video/7634895870240132371")</f>
        <v>https://www.tiktok.com/@zilasamudra/video/7634895870240132371</v>
      </c>
      <c r="O868" s="464"/>
      <c r="P868" s="279" t="str">
        <f>IFERROR(__xludf.DUMMYFUNCTION("""COMPUTED_VALUE"""),"https://www.tiktok.com/@zilasamudra/video/7634473073420438802")</f>
        <v>https://www.tiktok.com/@zilasamudra/video/7634473073420438802</v>
      </c>
    </row>
    <row r="869">
      <c r="A869" s="255" t="str">
        <f>IFERROR(__xludf.DUMMYFUNCTION("""COMPUTED_VALUE"""),"MICRO")</f>
        <v>MICRO</v>
      </c>
      <c r="B869" s="361" t="str">
        <f>IFERROR(__xludf.DUMMYFUNCTION("""COMPUTED_VALUE"""),"anyun60")</f>
        <v>anyun60</v>
      </c>
      <c r="C869" s="257" t="str">
        <f>IFERROR(__xludf.DUMMYFUNCTION("""COMPUTED_VALUE"""),"https://www.tiktok.com/@anyun60")</f>
        <v>https://www.tiktok.com/@anyun60</v>
      </c>
      <c r="D869" s="270">
        <f>IFERROR(__xludf.DUMMYFUNCTION("""COMPUTED_VALUE"""),8.3899978873E10)</f>
        <v>83899978873</v>
      </c>
      <c r="E869" s="457">
        <f>IFERROR(__xludf.DUMMYFUNCTION("""COMPUTED_VALUE"""),0.0)</f>
        <v>0</v>
      </c>
      <c r="F869" s="270">
        <f>IFERROR(__xludf.DUMMYFUNCTION("""COMPUTED_VALUE"""),4.0)</f>
        <v>4</v>
      </c>
      <c r="G869" s="17" t="str">
        <f>IFERROR(__xludf.DUMMYFUNCTION("""COMPUTED_VALUE"""),"Sabun batang 1 Box ( 2 PCS )")</f>
        <v>Sabun batang 1 Box ( 2 PCS )</v>
      </c>
      <c r="H869" s="463" t="str">
        <f>IFERROR(__xludf.DUMMYFUNCTION("""COMPUTED_VALUE"""),"Sampai")</f>
        <v>Sampai</v>
      </c>
      <c r="I869" s="464" t="str">
        <f>IFERROR(__xludf.DUMMYFUNCTION("""COMPUTED_VALUE"""),"KIMME")</f>
        <v>KIMME</v>
      </c>
      <c r="J869" s="279" t="str">
        <f>IFERROR(__xludf.DUMMYFUNCTION("""COMPUTED_VALUE"""),"https://www.tiktok.com/@zilasamudra/video/7635872993041861907")</f>
        <v>https://www.tiktok.com/@zilasamudra/video/7635872993041861907</v>
      </c>
      <c r="K869" s="464" t="str">
        <f>IFERROR(__xludf.DUMMYFUNCTION("""COMPUTED_VALUE"""),"KIMME")</f>
        <v>KIMME</v>
      </c>
      <c r="L869" s="279" t="str">
        <f>IFERROR(__xludf.DUMMYFUNCTION("""COMPUTED_VALUE"""),"https://www.tiktok.com/@zilasamudra/video/7635225457511697684")</f>
        <v>https://www.tiktok.com/@zilasamudra/video/7635225457511697684</v>
      </c>
      <c r="M869" s="464"/>
      <c r="N869" s="279" t="str">
        <f>IFERROR(__xludf.DUMMYFUNCTION("""COMPUTED_VALUE"""),"https://www.tiktok.com/@zilasamudra/video/7634895870240132372")</f>
        <v>https://www.tiktok.com/@zilasamudra/video/7634895870240132372</v>
      </c>
      <c r="O869" s="464"/>
      <c r="P869" s="279" t="str">
        <f>IFERROR(__xludf.DUMMYFUNCTION("""COMPUTED_VALUE"""),"https://www.tiktok.com/@zilasamudra/video/7634473073420438803")</f>
        <v>https://www.tiktok.com/@zilasamudra/video/7634473073420438803</v>
      </c>
    </row>
    <row r="870">
      <c r="A870" s="255" t="str">
        <f>IFERROR(__xludf.DUMMYFUNCTION("""COMPUTED_VALUE"""),"MICRO")</f>
        <v>MICRO</v>
      </c>
      <c r="B870" s="361" t="str">
        <f>IFERROR(__xludf.DUMMYFUNCTION("""COMPUTED_VALUE"""),"zilasamudra")</f>
        <v>zilasamudra</v>
      </c>
      <c r="C870" s="257" t="str">
        <f>IFERROR(__xludf.DUMMYFUNCTION("""COMPUTED_VALUE"""),"https://www.tiktok.com/@zilasamudra")</f>
        <v>https://www.tiktok.com/@zilasamudra</v>
      </c>
      <c r="D870" s="270">
        <f>IFERROR(__xludf.DUMMYFUNCTION("""COMPUTED_VALUE"""),8.5235422184E10)</f>
        <v>85235422184</v>
      </c>
      <c r="E870" s="457">
        <f>IFERROR(__xludf.DUMMYFUNCTION("""COMPUTED_VALUE"""),0.0)</f>
        <v>0</v>
      </c>
      <c r="F870" s="270">
        <f>IFERROR(__xludf.DUMMYFUNCTION("""COMPUTED_VALUE"""),4.0)</f>
        <v>4</v>
      </c>
      <c r="G870" s="17" t="str">
        <f>IFERROR(__xludf.DUMMYFUNCTION("""COMPUTED_VALUE"""),"Sabun batang 1 Box ( 2 PCS )")</f>
        <v>Sabun batang 1 Box ( 2 PCS )</v>
      </c>
      <c r="H870" s="463" t="str">
        <f>IFERROR(__xludf.DUMMYFUNCTION("""COMPUTED_VALUE"""),"Sampai")</f>
        <v>Sampai</v>
      </c>
      <c r="I870" s="464" t="str">
        <f>IFERROR(__xludf.DUMMYFUNCTION("""COMPUTED_VALUE"""),"KIMME")</f>
        <v>KIMME</v>
      </c>
      <c r="J870" s="279" t="str">
        <f>IFERROR(__xludf.DUMMYFUNCTION("""COMPUTED_VALUE"""),"https://www.tiktok.com/@zilasamudra/video/7635872993041861908")</f>
        <v>https://www.tiktok.com/@zilasamudra/video/7635872993041861908</v>
      </c>
      <c r="K870" s="464" t="str">
        <f>IFERROR(__xludf.DUMMYFUNCTION("""COMPUTED_VALUE"""),"KIMME")</f>
        <v>KIMME</v>
      </c>
      <c r="L870" s="279" t="str">
        <f>IFERROR(__xludf.DUMMYFUNCTION("""COMPUTED_VALUE"""),"https://www.tiktok.com/@zilasamudra/video/7635225457511697685")</f>
        <v>https://www.tiktok.com/@zilasamudra/video/7635225457511697685</v>
      </c>
      <c r="M870" s="464"/>
      <c r="N870" s="279" t="str">
        <f>IFERROR(__xludf.DUMMYFUNCTION("""COMPUTED_VALUE"""),"https://www.tiktok.com/@zilasamudra/video/7634895870240132373")</f>
        <v>https://www.tiktok.com/@zilasamudra/video/7634895870240132373</v>
      </c>
      <c r="O870" s="464"/>
      <c r="P870" s="279" t="str">
        <f>IFERROR(__xludf.DUMMYFUNCTION("""COMPUTED_VALUE"""),"https://www.tiktok.com/@zilasamudra/video/7634473073420438804")</f>
        <v>https://www.tiktok.com/@zilasamudra/video/7634473073420438804</v>
      </c>
    </row>
    <row r="871">
      <c r="A871" s="255" t="str">
        <f>IFERROR(__xludf.DUMMYFUNCTION("""COMPUTED_VALUE"""),"MICRO")</f>
        <v>MICRO</v>
      </c>
      <c r="B871" s="361" t="str">
        <f>IFERROR(__xludf.DUMMYFUNCTION("""COMPUTED_VALUE"""),"ferenaceta")</f>
        <v>ferenaceta</v>
      </c>
      <c r="C871" s="257" t="str">
        <f>IFERROR(__xludf.DUMMYFUNCTION("""COMPUTED_VALUE"""),"https://www.tiktok.com/@ferenaceta")</f>
        <v>https://www.tiktok.com/@ferenaceta</v>
      </c>
      <c r="D871" s="270">
        <f>IFERROR(__xludf.DUMMYFUNCTION("""COMPUTED_VALUE"""),8.95705700911E11)</f>
        <v>895705700911</v>
      </c>
      <c r="E871" s="457">
        <f>IFERROR(__xludf.DUMMYFUNCTION("""COMPUTED_VALUE"""),150000.0)</f>
        <v>150000</v>
      </c>
      <c r="F871" s="270">
        <f>IFERROR(__xludf.DUMMYFUNCTION("""COMPUTED_VALUE"""),2.0)</f>
        <v>2</v>
      </c>
      <c r="G871" s="17" t="str">
        <f>IFERROR(__xludf.DUMMYFUNCTION("""COMPUTED_VALUE"""),"Sabun batang 1 Box ( 2 PCS )")</f>
        <v>Sabun batang 1 Box ( 2 PCS )</v>
      </c>
      <c r="H871" s="463" t="str">
        <f>IFERROR(__xludf.DUMMYFUNCTION("""COMPUTED_VALUE"""),"Sampai")</f>
        <v>Sampai</v>
      </c>
      <c r="I871" s="464" t="str">
        <f>IFERROR(__xludf.DUMMYFUNCTION("""COMPUTED_VALUE"""),"KIMME")</f>
        <v>KIMME</v>
      </c>
      <c r="J871" s="279" t="str">
        <f>IFERROR(__xludf.DUMMYFUNCTION("""COMPUTED_VALUE"""),"https://vt.tiktok.com/ZS9KLQHtf/")</f>
        <v>https://vt.tiktok.com/ZS9KLQHtf/</v>
      </c>
      <c r="K871" s="464" t="str">
        <f>IFERROR(__xludf.DUMMYFUNCTION("""COMPUTED_VALUE"""),"KIMME")</f>
        <v>KIMME</v>
      </c>
      <c r="L871" s="279" t="str">
        <f>IFERROR(__xludf.DUMMYFUNCTION("""COMPUTED_VALUE"""),"https://vt.tiktok.com/ZSxho7gou/")</f>
        <v>https://vt.tiktok.com/ZSxho7gou/</v>
      </c>
      <c r="M871" s="464"/>
      <c r="N871" s="17" t="str">
        <f>IFERROR(__xludf.DUMMYFUNCTION("""COMPUTED_VALUE"""),"⁠https://vt.tiktok.com/ZSxSFXqYm/")</f>
        <v>⁠https://vt.tiktok.com/ZSxSFXqYm/</v>
      </c>
      <c r="O871" s="464"/>
      <c r="P871" s="17" t="str">
        <f>IFERROR(__xludf.DUMMYFUNCTION("""COMPUTED_VALUE"""),"⁠https://vt.tiktok.com/ZSxSFGmw3/")</f>
        <v>⁠https://vt.tiktok.com/ZSxSFGmw3/</v>
      </c>
    </row>
    <row r="872">
      <c r="A872" s="255" t="str">
        <f>IFERROR(__xludf.DUMMYFUNCTION("""COMPUTED_VALUE"""),"MICRO")</f>
        <v>MICRO</v>
      </c>
      <c r="B872" s="361" t="str">
        <f>IFERROR(__xludf.DUMMYFUNCTION("""COMPUTED_VALUE"""),"indribilal25")</f>
        <v>indribilal25</v>
      </c>
      <c r="C872" s="257" t="str">
        <f>IFERROR(__xludf.DUMMYFUNCTION("""COMPUTED_VALUE"""),"https://www.tiktok.com/@indribilal25")</f>
        <v>https://www.tiktok.com/@indribilal25</v>
      </c>
      <c r="D872" s="270">
        <f>IFERROR(__xludf.DUMMYFUNCTION("""COMPUTED_VALUE"""),8.5780455044E10)</f>
        <v>85780455044</v>
      </c>
      <c r="E872" s="457">
        <f>IFERROR(__xludf.DUMMYFUNCTION("""COMPUTED_VALUE"""),0.0)</f>
        <v>0</v>
      </c>
      <c r="F872" s="270">
        <f>IFERROR(__xludf.DUMMYFUNCTION("""COMPUTED_VALUE"""),2.0)</f>
        <v>2</v>
      </c>
      <c r="G872" s="17" t="str">
        <f>IFERROR(__xludf.DUMMYFUNCTION("""COMPUTED_VALUE"""),"Sabun batang 1 Box ( 2 PCS )")</f>
        <v>Sabun batang 1 Box ( 2 PCS )</v>
      </c>
      <c r="H872" s="463" t="str">
        <f>IFERROR(__xludf.DUMMYFUNCTION("""COMPUTED_VALUE"""),"Sampai")</f>
        <v>Sampai</v>
      </c>
      <c r="I872" s="464" t="str">
        <f>IFERROR(__xludf.DUMMYFUNCTION("""COMPUTED_VALUE"""),"KIMME")</f>
        <v>KIMME</v>
      </c>
      <c r="J872" s="279" t="str">
        <f>IFERROR(__xludf.DUMMYFUNCTION("""COMPUTED_VALUE"""),"https://vt.tiktok.com/ZSxkukBya/")</f>
        <v>https://vt.tiktok.com/ZSxkukBya/</v>
      </c>
      <c r="K872" s="464" t="str">
        <f>IFERROR(__xludf.DUMMYFUNCTION("""COMPUTED_VALUE"""),"KIMME")</f>
        <v>KIMME</v>
      </c>
      <c r="L872" s="17" t="str">
        <f>IFERROR(__xludf.DUMMYFUNCTION("""COMPUTED_VALUE"""),"⁠https://vt.tiktok.com/ZSxkLTDU7/")</f>
        <v>⁠https://vt.tiktok.com/ZSxkLTDU7/</v>
      </c>
      <c r="M872" s="464"/>
      <c r="N872" s="17" t="str">
        <f>IFERROR(__xludf.DUMMYFUNCTION("""COMPUTED_VALUE"""),"⁠https://vt.tiktok.com/ZSxhCkaQT/")</f>
        <v>⁠https://vt.tiktok.com/ZSxhCkaQT/</v>
      </c>
      <c r="O872" s="464"/>
      <c r="P872" s="17" t="str">
        <f>IFERROR(__xludf.DUMMYFUNCTION("""COMPUTED_VALUE"""),"⁠https://vt.tiktok.com/ZSxkKFbNp/")</f>
        <v>⁠https://vt.tiktok.com/ZSxkKFbNp/</v>
      </c>
    </row>
    <row r="873">
      <c r="A873" s="255" t="str">
        <f>IFERROR(__xludf.DUMMYFUNCTION("""COMPUTED_VALUE"""),"MICRO")</f>
        <v>MICRO</v>
      </c>
      <c r="B873" s="361" t="str">
        <f>IFERROR(__xludf.DUMMYFUNCTION("""COMPUTED_VALUE"""),"amalnfr")</f>
        <v>amalnfr</v>
      </c>
      <c r="C873" s="257" t="str">
        <f>IFERROR(__xludf.DUMMYFUNCTION("""COMPUTED_VALUE"""),"https://www.tiktok.com/@amalnfr")</f>
        <v>https://www.tiktok.com/@amalnfr</v>
      </c>
      <c r="D873" s="270">
        <f>IFERROR(__xludf.DUMMYFUNCTION("""COMPUTED_VALUE"""),8.123734971E10)</f>
        <v>81237349710</v>
      </c>
      <c r="E873" s="457">
        <f>IFERROR(__xludf.DUMMYFUNCTION("""COMPUTED_VALUE"""),0.0)</f>
        <v>0</v>
      </c>
      <c r="F873" s="270">
        <f>IFERROR(__xludf.DUMMYFUNCTION("""COMPUTED_VALUE"""),2.0)</f>
        <v>2</v>
      </c>
      <c r="G873" s="17" t="str">
        <f>IFERROR(__xludf.DUMMYFUNCTION("""COMPUTED_VALUE"""),"Sabun batang 1 Box ( 2 PCS )")</f>
        <v>Sabun batang 1 Box ( 2 PCS )</v>
      </c>
      <c r="H873" s="463" t="str">
        <f>IFERROR(__xludf.DUMMYFUNCTION("""COMPUTED_VALUE"""),"Sampai")</f>
        <v>Sampai</v>
      </c>
      <c r="I873" s="464" t="str">
        <f>IFERROR(__xludf.DUMMYFUNCTION("""COMPUTED_VALUE"""),"KIMME")</f>
        <v>KIMME</v>
      </c>
      <c r="J873" s="17" t="str">
        <f>IFERROR(__xludf.DUMMYFUNCTION("""COMPUTED_VALUE"""),"⁠https://vt.tiktok.com/ZSxkhdLme/")</f>
        <v>⁠https://vt.tiktok.com/ZSxkhdLme/</v>
      </c>
      <c r="K873" s="464" t="str">
        <f>IFERROR(__xludf.DUMMYFUNCTION("""COMPUTED_VALUE"""),"KIMME")</f>
        <v>KIMME</v>
      </c>
      <c r="L873" s="17" t="str">
        <f>IFERROR(__xludf.DUMMYFUNCTION("""COMPUTED_VALUE"""),"⁠https://vt.tiktok.com/ZSxkrWAev/")</f>
        <v>⁠https://vt.tiktok.com/ZSxkrWAev/</v>
      </c>
      <c r="M873" s="464"/>
      <c r="N873" s="17" t="str">
        <f>IFERROR(__xludf.DUMMYFUNCTION("""COMPUTED_VALUE"""),"⁠https://vt.tiktok.com/ZSxkrGA7p/")</f>
        <v>⁠https://vt.tiktok.com/ZSxkrGA7p/</v>
      </c>
      <c r="O873" s="464"/>
      <c r="P873" s="17" t="str">
        <f>IFERROR(__xludf.DUMMYFUNCTION("""COMPUTED_VALUE"""),"⁠https://vt.tiktok.com/ZSxkrANrc/")</f>
        <v>⁠https://vt.tiktok.com/ZSxkrANrc/</v>
      </c>
    </row>
    <row r="874">
      <c r="A874" s="255" t="str">
        <f>IFERROR(__xludf.DUMMYFUNCTION("""COMPUTED_VALUE"""),"MICRO")</f>
        <v>MICRO</v>
      </c>
      <c r="B874" s="361" t="str">
        <f>IFERROR(__xludf.DUMMYFUNCTION("""COMPUTED_VALUE"""),"zennita95")</f>
        <v>zennita95</v>
      </c>
      <c r="C874" s="257" t="str">
        <f>IFERROR(__xludf.DUMMYFUNCTION("""COMPUTED_VALUE"""),"https://www.tiktok.com/@zennita95")</f>
        <v>https://www.tiktok.com/@zennita95</v>
      </c>
      <c r="D874" s="270">
        <f>IFERROR(__xludf.DUMMYFUNCTION("""COMPUTED_VALUE"""),8.881814602E9)</f>
        <v>8881814602</v>
      </c>
      <c r="E874" s="457">
        <f>IFERROR(__xludf.DUMMYFUNCTION("""COMPUTED_VALUE"""),100000.0)</f>
        <v>100000</v>
      </c>
      <c r="F874" s="270">
        <f>IFERROR(__xludf.DUMMYFUNCTION("""COMPUTED_VALUE"""),1.0)</f>
        <v>1</v>
      </c>
      <c r="G874" s="17" t="str">
        <f>IFERROR(__xludf.DUMMYFUNCTION("""COMPUTED_VALUE"""),"Sabun batang 1 Box ( 2 PCS )")</f>
        <v>Sabun batang 1 Box ( 2 PCS )</v>
      </c>
      <c r="H874" s="463" t="str">
        <f>IFERROR(__xludf.DUMMYFUNCTION("""COMPUTED_VALUE"""),"Sampai")</f>
        <v>Sampai</v>
      </c>
      <c r="I874" s="464" t="str">
        <f>IFERROR(__xludf.DUMMYFUNCTION("""COMPUTED_VALUE"""),"KIMME")</f>
        <v>KIMME</v>
      </c>
      <c r="J874" s="279" t="str">
        <f>IFERROR(__xludf.DUMMYFUNCTION("""COMPUTED_VALUE"""),"https://vt.tiktok.com/ZSHaHsy4S/")</f>
        <v>https://vt.tiktok.com/ZSHaHsy4S/</v>
      </c>
      <c r="K874" s="464" t="str">
        <f>IFERROR(__xludf.DUMMYFUNCTION("""COMPUTED_VALUE"""),"KIMME")</f>
        <v>KIMME</v>
      </c>
      <c r="L874" s="17" t="str">
        <f>IFERROR(__xludf.DUMMYFUNCTION("""COMPUTED_VALUE"""),"⁠https://vt.tiktok.com/ZSxkKYE7P/")</f>
        <v>⁠https://vt.tiktok.com/ZSxkKYE7P/</v>
      </c>
      <c r="M874" s="464"/>
      <c r="N874" s="17" t="str">
        <f>IFERROR(__xludf.DUMMYFUNCTION("""COMPUTED_VALUE"""),"⁠https://vt.tiktok.com/ZSxkK2Kq7/")</f>
        <v>⁠https://vt.tiktok.com/ZSxkK2Kq7/</v>
      </c>
      <c r="O874" s="464"/>
      <c r="P874" s="279" t="str">
        <f>IFERROR(__xludf.DUMMYFUNCTION("""COMPUTED_VALUE"""),"https://vt.tiktok.com/ZSxkwT3f6/")</f>
        <v>https://vt.tiktok.com/ZSxkwT3f6/</v>
      </c>
    </row>
    <row r="875">
      <c r="A875" s="255" t="str">
        <f>IFERROR(__xludf.DUMMYFUNCTION("""COMPUTED_VALUE"""),"MICRO")</f>
        <v>MICRO</v>
      </c>
      <c r="B875" s="361" t="str">
        <f>IFERROR(__xludf.DUMMYFUNCTION("""COMPUTED_VALUE"""),"princessbackpacker_")</f>
        <v>princessbackpacker_</v>
      </c>
      <c r="C875" s="257" t="str">
        <f>IFERROR(__xludf.DUMMYFUNCTION("""COMPUTED_VALUE"""),"https://www.tiktok.com/@princessbackpacker_")</f>
        <v>https://www.tiktok.com/@princessbackpacker_</v>
      </c>
      <c r="D875" s="270">
        <f>IFERROR(__xludf.DUMMYFUNCTION("""COMPUTED_VALUE"""),8.1809085689E10)</f>
        <v>81809085689</v>
      </c>
      <c r="E875" s="457">
        <f>IFERROR(__xludf.DUMMYFUNCTION("""COMPUTED_VALUE"""),200000.0)</f>
        <v>200000</v>
      </c>
      <c r="F875" s="270">
        <f>IFERROR(__xludf.DUMMYFUNCTION("""COMPUTED_VALUE"""),2.0)</f>
        <v>2</v>
      </c>
      <c r="G875" s="17" t="str">
        <f>IFERROR(__xludf.DUMMYFUNCTION("""COMPUTED_VALUE"""),"Sabun batang 1 Box ( 2 PCS )")</f>
        <v>Sabun batang 1 Box ( 2 PCS )</v>
      </c>
      <c r="H875" s="463" t="str">
        <f>IFERROR(__xludf.DUMMYFUNCTION("""COMPUTED_VALUE"""),"Sampai")</f>
        <v>Sampai</v>
      </c>
      <c r="I875" s="464" t="str">
        <f>IFERROR(__xludf.DUMMYFUNCTION("""COMPUTED_VALUE"""),"KIMME")</f>
        <v>KIMME</v>
      </c>
      <c r="J875" s="17" t="str">
        <f>IFERROR(__xludf.DUMMYFUNCTION("""COMPUTED_VALUE"""),"⁠https://vt.tiktok.com/ZSxkw3x8G/")</f>
        <v>⁠https://vt.tiktok.com/ZSxkw3x8G/</v>
      </c>
      <c r="K875" s="464" t="str">
        <f>IFERROR(__xludf.DUMMYFUNCTION("""COMPUTED_VALUE"""),"KIMME")</f>
        <v>KIMME</v>
      </c>
      <c r="L875" s="17" t="str">
        <f>IFERROR(__xludf.DUMMYFUNCTION("""COMPUTED_VALUE"""),"⁠https://vt.tiktok.com/ZSxkwod9p/")</f>
        <v>⁠https://vt.tiktok.com/ZSxkwod9p/</v>
      </c>
      <c r="M875" s="464"/>
      <c r="N875" s="17" t="str">
        <f>IFERROR(__xludf.DUMMYFUNCTION("""COMPUTED_VALUE"""),"⁠https://vt.tiktok.com/ZSxkwKsgC/")</f>
        <v>⁠https://vt.tiktok.com/ZSxkwKsgC/</v>
      </c>
      <c r="O875" s="464"/>
      <c r="P875" s="17" t="str">
        <f>IFERROR(__xludf.DUMMYFUNCTION("""COMPUTED_VALUE"""),"⁠https://vt.tiktok.com/ZSxkKNPUT/")</f>
        <v>⁠https://vt.tiktok.com/ZSxkKNPUT/</v>
      </c>
    </row>
    <row r="876">
      <c r="A876" s="255" t="str">
        <f>IFERROR(__xludf.DUMMYFUNCTION("""COMPUTED_VALUE"""),"MICRO")</f>
        <v>MICRO</v>
      </c>
      <c r="B876" s="361" t="str">
        <f>IFERROR(__xludf.DUMMYFUNCTION("""COMPUTED_VALUE"""),"gabolegalakya")</f>
        <v>gabolegalakya</v>
      </c>
      <c r="C876" s="257" t="str">
        <f>IFERROR(__xludf.DUMMYFUNCTION("""COMPUTED_VALUE"""),"https://www.tiktok.com/@gabolegalakya")</f>
        <v>https://www.tiktok.com/@gabolegalakya</v>
      </c>
      <c r="D876" s="270">
        <f>IFERROR(__xludf.DUMMYFUNCTION("""COMPUTED_VALUE"""),8.1375495494E10)</f>
        <v>81375495494</v>
      </c>
      <c r="E876" s="457">
        <f>IFERROR(__xludf.DUMMYFUNCTION("""COMPUTED_VALUE"""),200000.0)</f>
        <v>200000</v>
      </c>
      <c r="F876" s="270">
        <f>IFERROR(__xludf.DUMMYFUNCTION("""COMPUTED_VALUE"""),2.0)</f>
        <v>2</v>
      </c>
      <c r="G876" s="17" t="str">
        <f>IFERROR(__xludf.DUMMYFUNCTION("""COMPUTED_VALUE"""),"Sabun batang 1 Box ( 2 PCS )")</f>
        <v>Sabun batang 1 Box ( 2 PCS )</v>
      </c>
      <c r="H876" s="463" t="str">
        <f>IFERROR(__xludf.DUMMYFUNCTION("""COMPUTED_VALUE"""),"Sampai")</f>
        <v>Sampai</v>
      </c>
      <c r="I876" s="464" t="str">
        <f>IFERROR(__xludf.DUMMYFUNCTION("""COMPUTED_VALUE"""),"KIMME")</f>
        <v>KIMME</v>
      </c>
      <c r="J876" s="279" t="str">
        <f>IFERROR(__xludf.DUMMYFUNCTION("""COMPUTED_VALUE"""),"https://vt.tiktok.com/ZSxkLGuJJ/")</f>
        <v>https://vt.tiktok.com/ZSxkLGuJJ/</v>
      </c>
      <c r="K876" s="464" t="str">
        <f>IFERROR(__xludf.DUMMYFUNCTION("""COMPUTED_VALUE"""),"KIMME")</f>
        <v>KIMME</v>
      </c>
      <c r="L876" s="279" t="str">
        <f>IFERROR(__xludf.DUMMYFUNCTION("""COMPUTED_VALUE"""),"https://vt.tiktok.com/ZSxkLxkM9/")</f>
        <v>https://vt.tiktok.com/ZSxkLxkM9/</v>
      </c>
      <c r="M876" s="464"/>
      <c r="N876" s="17" t="str">
        <f>IFERROR(__xludf.DUMMYFUNCTION("""COMPUTED_VALUE"""),"⁠https://vt.tiktok.com/ZSxkKYMvU/")</f>
        <v>⁠https://vt.tiktok.com/ZSxkKYMvU/</v>
      </c>
      <c r="O876" s="464"/>
      <c r="P876" s="17" t="str">
        <f>IFERROR(__xludf.DUMMYFUNCTION("""COMPUTED_VALUE"""),"⁠https://vt.tiktok.com/ZSxkw3RNx/")</f>
        <v>⁠https://vt.tiktok.com/ZSxkw3RNx/</v>
      </c>
    </row>
    <row r="877">
      <c r="A877" s="255" t="str">
        <f>IFERROR(__xludf.DUMMYFUNCTION("""COMPUTED_VALUE"""),"MICRO")</f>
        <v>MICRO</v>
      </c>
      <c r="B877" s="361" t="str">
        <f>IFERROR(__xludf.DUMMYFUNCTION("""COMPUTED_VALUE"""),"umashanum")</f>
        <v>umashanum</v>
      </c>
      <c r="C877" s="257" t="str">
        <f>IFERROR(__xludf.DUMMYFUNCTION("""COMPUTED_VALUE"""),"https://www.tiktok.com/@umashanum")</f>
        <v>https://www.tiktok.com/@umashanum</v>
      </c>
      <c r="D877" s="270">
        <f>IFERROR(__xludf.DUMMYFUNCTION("""COMPUTED_VALUE"""),8.5815301817E10)</f>
        <v>85815301817</v>
      </c>
      <c r="E877" s="457">
        <f>IFERROR(__xludf.DUMMYFUNCTION("""COMPUTED_VALUE"""),100000.0)</f>
        <v>100000</v>
      </c>
      <c r="F877" s="270">
        <f>IFERROR(__xludf.DUMMYFUNCTION("""COMPUTED_VALUE"""),1.0)</f>
        <v>1</v>
      </c>
      <c r="G877" s="17" t="str">
        <f>IFERROR(__xludf.DUMMYFUNCTION("""COMPUTED_VALUE"""),"Sabun batang 1 Box ( 2 PCS )")</f>
        <v>Sabun batang 1 Box ( 2 PCS )</v>
      </c>
      <c r="H877" s="463" t="str">
        <f>IFERROR(__xludf.DUMMYFUNCTION("""COMPUTED_VALUE"""),"Sampai")</f>
        <v>Sampai</v>
      </c>
      <c r="I877" s="464" t="str">
        <f>IFERROR(__xludf.DUMMYFUNCTION("""COMPUTED_VALUE"""),"KIMME")</f>
        <v>KIMME</v>
      </c>
      <c r="J877" s="279" t="str">
        <f>IFERROR(__xludf.DUMMYFUNCTION("""COMPUTED_VALUE"""),"https://vt.tiktok.com/ZSHmmnupU/")</f>
        <v>https://vt.tiktok.com/ZSHmmnupU/</v>
      </c>
      <c r="K877" s="464" t="str">
        <f>IFERROR(__xludf.DUMMYFUNCTION("""COMPUTED_VALUE"""),"KIMME")</f>
        <v>KIMME</v>
      </c>
      <c r="L877" s="279" t="str">
        <f>IFERROR(__xludf.DUMMYFUNCTION("""COMPUTED_VALUE"""),"https://vt.tiktok.com/ZSxkNJqWj/")</f>
        <v>https://vt.tiktok.com/ZSxkNJqWj/</v>
      </c>
      <c r="M877" s="464"/>
      <c r="N877" s="279" t="str">
        <f>IFERROR(__xludf.DUMMYFUNCTION("""COMPUTED_VALUE"""),"https://vt.tiktok.com/ZSxkNeKhv/")</f>
        <v>https://vt.tiktok.com/ZSxkNeKhv/</v>
      </c>
      <c r="O877" s="464"/>
      <c r="P877" s="279" t="str">
        <f>IFERROR(__xludf.DUMMYFUNCTION("""COMPUTED_VALUE"""),"https://vt.tiktok.com/ZSxkNrqX8/")</f>
        <v>https://vt.tiktok.com/ZSxkNrqX8/</v>
      </c>
    </row>
    <row r="878">
      <c r="A878" s="255" t="str">
        <f>IFERROR(__xludf.DUMMYFUNCTION("""COMPUTED_VALUE"""),"MICRO")</f>
        <v>MICRO</v>
      </c>
      <c r="B878" s="361" t="str">
        <f>IFERROR(__xludf.DUMMYFUNCTION("""COMPUTED_VALUE"""),"tika_dewi027")</f>
        <v>tika_dewi027</v>
      </c>
      <c r="C878" s="257" t="str">
        <f>IFERROR(__xludf.DUMMYFUNCTION("""COMPUTED_VALUE"""),"https://www.tiktok.com/@tika_dewi027")</f>
        <v>https://www.tiktok.com/@tika_dewi027</v>
      </c>
      <c r="D878" s="270"/>
      <c r="E878" s="457">
        <f>IFERROR(__xludf.DUMMYFUNCTION("""COMPUTED_VALUE"""),0.0)</f>
        <v>0</v>
      </c>
      <c r="F878" s="270">
        <f>IFERROR(__xludf.DUMMYFUNCTION("""COMPUTED_VALUE"""),1.0)</f>
        <v>1</v>
      </c>
      <c r="G878" s="17" t="str">
        <f>IFERROR(__xludf.DUMMYFUNCTION("""COMPUTED_VALUE"""),"Sabun batang 1 Box ( 2 PCS )")</f>
        <v>Sabun batang 1 Box ( 2 PCS )</v>
      </c>
      <c r="H878" s="463" t="str">
        <f>IFERROR(__xludf.DUMMYFUNCTION("""COMPUTED_VALUE"""),"Sampai")</f>
        <v>Sampai</v>
      </c>
      <c r="I878" s="464" t="str">
        <f>IFERROR(__xludf.DUMMYFUNCTION("""COMPUTED_VALUE"""),"KIMME")</f>
        <v>KIMME</v>
      </c>
      <c r="J878" s="279" t="str">
        <f>IFERROR(__xludf.DUMMYFUNCTION("""COMPUTED_VALUE"""),"https://vt.tiktok.com/ZS9D7Xo49/")</f>
        <v>https://vt.tiktok.com/ZS9D7Xo49/</v>
      </c>
      <c r="K878" s="464" t="str">
        <f>IFERROR(__xludf.DUMMYFUNCTION("""COMPUTED_VALUE"""),"KIMME")</f>
        <v>KIMME</v>
      </c>
      <c r="L878" s="279" t="str">
        <f>IFERROR(__xludf.DUMMYFUNCTION("""COMPUTED_VALUE"""),"https://vt.tiktok.com/ZSxkNU6e5/")</f>
        <v>https://vt.tiktok.com/ZSxkNU6e5/</v>
      </c>
      <c r="M878" s="464"/>
      <c r="N878" s="279" t="str">
        <f>IFERROR(__xludf.DUMMYFUNCTION("""COMPUTED_VALUE"""),"https://vt.tiktok.com/ZSxkLonmn/")</f>
        <v>https://vt.tiktok.com/ZSxkLonmn/</v>
      </c>
      <c r="O878" s="464"/>
      <c r="P878" s="279" t="str">
        <f>IFERROR(__xludf.DUMMYFUNCTION("""COMPUTED_VALUE"""),"https://vt.tiktok.com/ZSxkNYhNw/")</f>
        <v>https://vt.tiktok.com/ZSxkNYhNw/</v>
      </c>
    </row>
    <row r="879">
      <c r="A879" s="255" t="str">
        <f>IFERROR(__xludf.DUMMYFUNCTION("""COMPUTED_VALUE"""),"MICRO")</f>
        <v>MICRO</v>
      </c>
      <c r="B879" s="361" t="str">
        <f>IFERROR(__xludf.DUMMYFUNCTION("""COMPUTED_VALUE"""),"Jenny.marcmakeup")</f>
        <v>Jenny.marcmakeup</v>
      </c>
      <c r="C879" s="257" t="str">
        <f>IFERROR(__xludf.DUMMYFUNCTION("""COMPUTED_VALUE"""),"https://www.tiktok.com/@Jenny.marcmakeup")</f>
        <v>https://www.tiktok.com/@Jenny.marcmakeup</v>
      </c>
      <c r="D879" s="270"/>
      <c r="E879" s="457">
        <f>IFERROR(__xludf.DUMMYFUNCTION("""COMPUTED_VALUE"""),0.0)</f>
        <v>0</v>
      </c>
      <c r="F879" s="270">
        <f>IFERROR(__xludf.DUMMYFUNCTION("""COMPUTED_VALUE"""),1.0)</f>
        <v>1</v>
      </c>
      <c r="G879" s="17" t="str">
        <f>IFERROR(__xludf.DUMMYFUNCTION("""COMPUTED_VALUE"""),"Sabun batang 1 Box ( 2 PCS )")</f>
        <v>Sabun batang 1 Box ( 2 PCS )</v>
      </c>
      <c r="H879" s="463" t="str">
        <f>IFERROR(__xludf.DUMMYFUNCTION("""COMPUTED_VALUE"""),"Sampai")</f>
        <v>Sampai</v>
      </c>
      <c r="I879" s="464" t="str">
        <f>IFERROR(__xludf.DUMMYFUNCTION("""COMPUTED_VALUE"""),"KIMME")</f>
        <v>KIMME</v>
      </c>
      <c r="J879" s="279" t="str">
        <f>IFERROR(__xludf.DUMMYFUNCTION("""COMPUTED_VALUE"""),"https://vt.tiktok.com/ZS9D7hJLh/")</f>
        <v>https://vt.tiktok.com/ZS9D7hJLh/</v>
      </c>
      <c r="K879" s="464" t="str">
        <f>IFERROR(__xludf.DUMMYFUNCTION("""COMPUTED_VALUE"""),"KIMME")</f>
        <v>KIMME</v>
      </c>
      <c r="L879" s="279" t="str">
        <f>IFERROR(__xludf.DUMMYFUNCTION("""COMPUTED_VALUE"""),"https://vt.tiktok.com/ZSxSCbAoc/")</f>
        <v>https://vt.tiktok.com/ZSxSCbAoc/</v>
      </c>
      <c r="M879" s="464"/>
      <c r="N879" s="279" t="str">
        <f>IFERROR(__xludf.DUMMYFUNCTION("""COMPUTED_VALUE"""),"https://vt.tiktok.com/ZSxkN2Udn/")</f>
        <v>https://vt.tiktok.com/ZSxkN2Udn/</v>
      </c>
      <c r="O879" s="464"/>
      <c r="P879" s="279" t="str">
        <f>IFERROR(__xludf.DUMMYFUNCTION("""COMPUTED_VALUE"""),"https://vt.tiktok.com/ZSxkN8KjX/")</f>
        <v>https://vt.tiktok.com/ZSxkN8KjX/</v>
      </c>
    </row>
    <row r="880">
      <c r="A880" s="255" t="str">
        <f>IFERROR(__xludf.DUMMYFUNCTION("""COMPUTED_VALUE"""),"MICRO")</f>
        <v>MICRO</v>
      </c>
      <c r="B880" s="361" t="str">
        <f>IFERROR(__xludf.DUMMYFUNCTION("""COMPUTED_VALUE"""),"thya_pookie")</f>
        <v>thya_pookie</v>
      </c>
      <c r="C880" s="257" t="str">
        <f>IFERROR(__xludf.DUMMYFUNCTION("""COMPUTED_VALUE"""),"https://www.tiktok.com/@thya_pookie")</f>
        <v>https://www.tiktok.com/@thya_pookie</v>
      </c>
      <c r="D880" s="270">
        <f>IFERROR(__xludf.DUMMYFUNCTION("""COMPUTED_VALUE"""),8.5842486796E10)</f>
        <v>85842486796</v>
      </c>
      <c r="E880" s="457">
        <f>IFERROR(__xludf.DUMMYFUNCTION("""COMPUTED_VALUE"""),150000.0)</f>
        <v>150000</v>
      </c>
      <c r="F880" s="270">
        <f>IFERROR(__xludf.DUMMYFUNCTION("""COMPUTED_VALUE"""),1.0)</f>
        <v>1</v>
      </c>
      <c r="G880" s="17" t="str">
        <f>IFERROR(__xludf.DUMMYFUNCTION("""COMPUTED_VALUE"""),"Sabun batang 1 Box ( 2 PCS )")</f>
        <v>Sabun batang 1 Box ( 2 PCS )</v>
      </c>
      <c r="H880" s="463" t="str">
        <f>IFERROR(__xludf.DUMMYFUNCTION("""COMPUTED_VALUE"""),"Sampai")</f>
        <v>Sampai</v>
      </c>
      <c r="I880" s="464" t="str">
        <f>IFERROR(__xludf.DUMMYFUNCTION("""COMPUTED_VALUE"""),"KIMME")</f>
        <v>KIMME</v>
      </c>
      <c r="J880" s="279" t="str">
        <f>IFERROR(__xludf.DUMMYFUNCTION("""COMPUTED_VALUE"""),"https://vt.tiktok.com/ZSQRjEsEf/")</f>
        <v>https://vt.tiktok.com/ZSQRjEsEf/</v>
      </c>
      <c r="K880" s="464" t="str">
        <f>IFERROR(__xludf.DUMMYFUNCTION("""COMPUTED_VALUE"""),"KIMME")</f>
        <v>KIMME</v>
      </c>
      <c r="L880" s="279" t="str">
        <f>IFERROR(__xludf.DUMMYFUNCTION("""COMPUTED_VALUE"""),"https://vt.tiktok.com/ZSxSCtWUX/")</f>
        <v>https://vt.tiktok.com/ZSxSCtWUX/</v>
      </c>
      <c r="M880" s="464"/>
      <c r="N880" s="279" t="str">
        <f>IFERROR(__xludf.DUMMYFUNCTION("""COMPUTED_VALUE"""),"https://vt.tiktok.com/ZSxSCpgRV/")</f>
        <v>https://vt.tiktok.com/ZSxSCpgRV/</v>
      </c>
      <c r="O880" s="464"/>
      <c r="P880" s="279" t="str">
        <f>IFERROR(__xludf.DUMMYFUNCTION("""COMPUTED_VALUE"""),"https://vt.tiktok.com/ZSxSCG9yJ/")</f>
        <v>https://vt.tiktok.com/ZSxSCG9yJ/</v>
      </c>
    </row>
    <row r="881">
      <c r="A881" s="255" t="str">
        <f>IFERROR(__xludf.DUMMYFUNCTION("""COMPUTED_VALUE"""),"MICRO")</f>
        <v>MICRO</v>
      </c>
      <c r="B881" s="361" t="str">
        <f>IFERROR(__xludf.DUMMYFUNCTION("""COMPUTED_VALUE"""),"nyainurhayati07")</f>
        <v>nyainurhayati07</v>
      </c>
      <c r="C881" s="257" t="str">
        <f>IFERROR(__xludf.DUMMYFUNCTION("""COMPUTED_VALUE"""),"https://www.tiktok.com/@nyainurhayati07")</f>
        <v>https://www.tiktok.com/@nyainurhayati07</v>
      </c>
      <c r="D881" s="270">
        <f>IFERROR(__xludf.DUMMYFUNCTION("""COMPUTED_VALUE"""),8.382901343E10)</f>
        <v>83829013430</v>
      </c>
      <c r="E881" s="457">
        <f>IFERROR(__xludf.DUMMYFUNCTION("""COMPUTED_VALUE"""),0.0)</f>
        <v>0</v>
      </c>
      <c r="F881" s="270">
        <f>IFERROR(__xludf.DUMMYFUNCTION("""COMPUTED_VALUE"""),1.0)</f>
        <v>1</v>
      </c>
      <c r="G881" s="17" t="str">
        <f>IFERROR(__xludf.DUMMYFUNCTION("""COMPUTED_VALUE"""),"Sabun batang 1 Box ( 2 PCS )")</f>
        <v>Sabun batang 1 Box ( 2 PCS )</v>
      </c>
      <c r="H881" s="463" t="str">
        <f>IFERROR(__xludf.DUMMYFUNCTION("""COMPUTED_VALUE"""),"Sampai")</f>
        <v>Sampai</v>
      </c>
      <c r="I881" s="464" t="str">
        <f>IFERROR(__xludf.DUMMYFUNCTION("""COMPUTED_VALUE"""),"KIMME")</f>
        <v>KIMME</v>
      </c>
      <c r="J881" s="279" t="str">
        <f>IFERROR(__xludf.DUMMYFUNCTION("""COMPUTED_VALUE"""),"https://vt.tiktok.com/ZSxSCt8Wu/")</f>
        <v>https://vt.tiktok.com/ZSxSCt8Wu/</v>
      </c>
      <c r="K881" s="464" t="str">
        <f>IFERROR(__xludf.DUMMYFUNCTION("""COMPUTED_VALUE"""),"KIMME")</f>
        <v>KIMME</v>
      </c>
      <c r="L881" s="279" t="str">
        <f>IFERROR(__xludf.DUMMYFUNCTION("""COMPUTED_VALUE"""),"https://vt.tiktok.com/ZSxSC7oyf/")</f>
        <v>https://vt.tiktok.com/ZSxSC7oyf/</v>
      </c>
      <c r="M881" s="464"/>
      <c r="N881" s="279" t="str">
        <f>IFERROR(__xludf.DUMMYFUNCTION("""COMPUTED_VALUE"""),"https://vt.tiktok.com/ZSxSCwqAG/")</f>
        <v>https://vt.tiktok.com/ZSxSCwqAG/</v>
      </c>
      <c r="O881" s="464"/>
      <c r="P881" s="279" t="str">
        <f>IFERROR(__xludf.DUMMYFUNCTION("""COMPUTED_VALUE"""),"https://vt.tiktok.com/ZSxSCvW5Q/")</f>
        <v>https://vt.tiktok.com/ZSxSCvW5Q/</v>
      </c>
    </row>
    <row r="882">
      <c r="A882" s="255" t="str">
        <f>IFERROR(__xludf.DUMMYFUNCTION("""COMPUTED_VALUE"""),"MICRO")</f>
        <v>MICRO</v>
      </c>
      <c r="B882" s="361" t="str">
        <f>IFERROR(__xludf.DUMMYFUNCTION("""COMPUTED_VALUE"""),"queenhannisss ")</f>
        <v>queenhannisss </v>
      </c>
      <c r="C882" s="257" t="str">
        <f>IFERROR(__xludf.DUMMYFUNCTION("""COMPUTED_VALUE"""),"https://www.tiktok.com/@queenhannisss ")</f>
        <v>https://www.tiktok.com/@queenhannisss </v>
      </c>
      <c r="D882" s="270">
        <f>IFERROR(__xludf.DUMMYFUNCTION("""COMPUTED_VALUE"""),8.126685182E9)</f>
        <v>8126685182</v>
      </c>
      <c r="E882" s="457">
        <f>IFERROR(__xludf.DUMMYFUNCTION("""COMPUTED_VALUE"""),0.0)</f>
        <v>0</v>
      </c>
      <c r="F882" s="270">
        <f>IFERROR(__xludf.DUMMYFUNCTION("""COMPUTED_VALUE"""),3.0)</f>
        <v>3</v>
      </c>
      <c r="G882" s="17" t="str">
        <f>IFERROR(__xludf.DUMMYFUNCTION("""COMPUTED_VALUE"""),"Sabun batang 1 Box ( 2 PCS )")</f>
        <v>Sabun batang 1 Box ( 2 PCS )</v>
      </c>
      <c r="H882" s="463" t="str">
        <f>IFERROR(__xludf.DUMMYFUNCTION("""COMPUTED_VALUE"""),"Sampai")</f>
        <v>Sampai</v>
      </c>
      <c r="I882" s="464" t="str">
        <f>IFERROR(__xludf.DUMMYFUNCTION("""COMPUTED_VALUE"""),"KIMME")</f>
        <v>KIMME</v>
      </c>
      <c r="J882" s="17" t="str">
        <f>IFERROR(__xludf.DUMMYFUNCTION("""COMPUTED_VALUE"""),"⁠https://vt.tiktok.com/ZSxjTr8nK/")</f>
        <v>⁠https://vt.tiktok.com/ZSxjTr8nK/</v>
      </c>
      <c r="K882" s="464" t="str">
        <f>IFERROR(__xludf.DUMMYFUNCTION("""COMPUTED_VALUE"""),"KIMME")</f>
        <v>KIMME</v>
      </c>
      <c r="L882" s="17" t="str">
        <f>IFERROR(__xludf.DUMMYFUNCTION("""COMPUTED_VALUE"""),"⁠https://vt.tiktok.com/ZSxjTFRXH/")</f>
        <v>⁠https://vt.tiktok.com/ZSxjTFRXH/</v>
      </c>
      <c r="M882" s="464"/>
      <c r="N882" s="279" t="str">
        <f>IFERROR(__xludf.DUMMYFUNCTION("""COMPUTED_VALUE"""),"https://vt.tiktok.com/ZSxjTAwG5/")</f>
        <v>https://vt.tiktok.com/ZSxjTAwG5/</v>
      </c>
      <c r="O882" s="464"/>
      <c r="P882" s="279" t="str">
        <f>IFERROR(__xludf.DUMMYFUNCTION("""COMPUTED_VALUE"""),"https://vt.tiktok.com/ZSxSCTjs5/")</f>
        <v>https://vt.tiktok.com/ZSxSCTjs5/</v>
      </c>
    </row>
    <row r="883">
      <c r="A883" s="255" t="str">
        <f>IFERROR(__xludf.DUMMYFUNCTION("""COMPUTED_VALUE"""),"MICRO")</f>
        <v>MICRO</v>
      </c>
      <c r="B883" s="361" t="str">
        <f>IFERROR(__xludf.DUMMYFUNCTION("""COMPUTED_VALUE"""),"oinlubis_")</f>
        <v>oinlubis_</v>
      </c>
      <c r="C883" s="257" t="str">
        <f>IFERROR(__xludf.DUMMYFUNCTION("""COMPUTED_VALUE"""),"https://www.tiktok.com/@oinlubis_")</f>
        <v>https://www.tiktok.com/@oinlubis_</v>
      </c>
      <c r="D883" s="270">
        <f>IFERROR(__xludf.DUMMYFUNCTION("""COMPUTED_VALUE"""),8.1270338721E10)</f>
        <v>81270338721</v>
      </c>
      <c r="E883" s="457">
        <f>IFERROR(__xludf.DUMMYFUNCTION("""COMPUTED_VALUE"""),0.0)</f>
        <v>0</v>
      </c>
      <c r="F883" s="270">
        <f>IFERROR(__xludf.DUMMYFUNCTION("""COMPUTED_VALUE"""),1.0)</f>
        <v>1</v>
      </c>
      <c r="G883" s="17" t="str">
        <f>IFERROR(__xludf.DUMMYFUNCTION("""COMPUTED_VALUE"""),"Sabun batang 1 Box ( 2 PCS )")</f>
        <v>Sabun batang 1 Box ( 2 PCS )</v>
      </c>
      <c r="H883" s="463" t="str">
        <f>IFERROR(__xludf.DUMMYFUNCTION("""COMPUTED_VALUE"""),"Sampai")</f>
        <v>Sampai</v>
      </c>
      <c r="I883" s="464" t="str">
        <f>IFERROR(__xludf.DUMMYFUNCTION("""COMPUTED_VALUE"""),"KIMME")</f>
        <v>KIMME</v>
      </c>
      <c r="J883" s="279" t="str">
        <f>IFERROR(__xludf.DUMMYFUNCTION("""COMPUTED_VALUE"""),"https://vt.tiktok.com/ZS9hXroVD/")</f>
        <v>https://vt.tiktok.com/ZS9hXroVD/</v>
      </c>
      <c r="K883" s="464" t="str">
        <f>IFERROR(__xludf.DUMMYFUNCTION("""COMPUTED_VALUE"""),"KIMME")</f>
        <v>KIMME</v>
      </c>
      <c r="L883" s="17" t="str">
        <f>IFERROR(__xludf.DUMMYFUNCTION("""COMPUTED_VALUE"""),"⁠https://vt.tiktok.com/ZSxMVD9y3/")</f>
        <v>⁠https://vt.tiktok.com/ZSxMVD9y3/</v>
      </c>
      <c r="M883" s="464"/>
      <c r="N883" s="17" t="str">
        <f>IFERROR(__xludf.DUMMYFUNCTION("""COMPUTED_VALUE"""),"⁠https://vt.tiktok.com/ZSxMJMgU4/")</f>
        <v>⁠https://vt.tiktok.com/ZSxMJMgU4/</v>
      </c>
      <c r="O883" s="464"/>
      <c r="P883" s="279" t="str">
        <f>IFERROR(__xludf.DUMMYFUNCTION("""COMPUTED_VALUE"""),"https://vt.tiktok.com/ZSx6d2dT7/")</f>
        <v>https://vt.tiktok.com/ZSx6d2dT7/</v>
      </c>
    </row>
    <row r="884">
      <c r="A884" s="255" t="str">
        <f>IFERROR(__xludf.DUMMYFUNCTION("""COMPUTED_VALUE"""),"MICRO")</f>
        <v>MICRO</v>
      </c>
      <c r="B884" s="361" t="str">
        <f>IFERROR(__xludf.DUMMYFUNCTION("""COMPUTED_VALUE"""),"dindasayudha")</f>
        <v>dindasayudha</v>
      </c>
      <c r="C884" s="257" t="str">
        <f>IFERROR(__xludf.DUMMYFUNCTION("""COMPUTED_VALUE"""),"https://www.tiktok.com/@dindasayudha")</f>
        <v>https://www.tiktok.com/@dindasayudha</v>
      </c>
      <c r="D884" s="270">
        <f>IFERROR(__xludf.DUMMYFUNCTION("""COMPUTED_VALUE"""),8.2140971171E10)</f>
        <v>82140971171</v>
      </c>
      <c r="E884" s="457">
        <f>IFERROR(__xludf.DUMMYFUNCTION("""COMPUTED_VALUE"""),0.0)</f>
        <v>0</v>
      </c>
      <c r="F884" s="270">
        <f>IFERROR(__xludf.DUMMYFUNCTION("""COMPUTED_VALUE"""),1.0)</f>
        <v>1</v>
      </c>
      <c r="G884" s="17" t="str">
        <f>IFERROR(__xludf.DUMMYFUNCTION("""COMPUTED_VALUE"""),"Sabun batang 1 Box ( 2 PCS )")</f>
        <v>Sabun batang 1 Box ( 2 PCS )</v>
      </c>
      <c r="H884" s="463" t="str">
        <f>IFERROR(__xludf.DUMMYFUNCTION("""COMPUTED_VALUE"""),"Sampai")</f>
        <v>Sampai</v>
      </c>
      <c r="I884" s="464" t="str">
        <f>IFERROR(__xludf.DUMMYFUNCTION("""COMPUTED_VALUE"""),"KIMME")</f>
        <v>KIMME</v>
      </c>
      <c r="J884" s="17" t="str">
        <f>IFERROR(__xludf.DUMMYFUNCTION("""COMPUTED_VALUE"""),"⁠https://vt.tiktok.com/ZSxrFJay2/")</f>
        <v>⁠https://vt.tiktok.com/ZSxrFJay2/</v>
      </c>
      <c r="K884" s="464" t="str">
        <f>IFERROR(__xludf.DUMMYFUNCTION("""COMPUTED_VALUE"""),"KIMME")</f>
        <v>KIMME</v>
      </c>
      <c r="L884" s="17" t="str">
        <f>IFERROR(__xludf.DUMMYFUNCTION("""COMPUTED_VALUE"""),"⁠https://vt.tiktok.com/ZSxMVgxFq/")</f>
        <v>⁠https://vt.tiktok.com/ZSxMVgxFq/</v>
      </c>
      <c r="M884" s="464"/>
      <c r="N884" s="17" t="str">
        <f>IFERROR(__xludf.DUMMYFUNCTION("""COMPUTED_VALUE"""),"⁠https://vt.tiktok.com/ZSxMVuU29/")</f>
        <v>⁠https://vt.tiktok.com/ZSxMVuU29/</v>
      </c>
      <c r="O884" s="464"/>
      <c r="P884" s="17" t="str">
        <f>IFERROR(__xludf.DUMMYFUNCTION("""COMPUTED_VALUE"""),"⁠https://vt.tiktok.com/ZSxMVqAw2/")</f>
        <v>⁠https://vt.tiktok.com/ZSxMVqAw2/</v>
      </c>
    </row>
    <row r="885">
      <c r="A885" s="255" t="str">
        <f>IFERROR(__xludf.DUMMYFUNCTION("""COMPUTED_VALUE"""),"MICRO")</f>
        <v>MICRO</v>
      </c>
      <c r="B885" s="361" t="str">
        <f>IFERROR(__xludf.DUMMYFUNCTION("""COMPUTED_VALUE"""),"4ri6s_")</f>
        <v>4ri6s_</v>
      </c>
      <c r="C885" s="257" t="str">
        <f>IFERROR(__xludf.DUMMYFUNCTION("""COMPUTED_VALUE"""),"https://www.tiktok.com/@4ri6s_")</f>
        <v>https://www.tiktok.com/@4ri6s_</v>
      </c>
      <c r="D885" s="270">
        <f>IFERROR(__xludf.DUMMYFUNCTION("""COMPUTED_VALUE"""),8.2219735033E10)</f>
        <v>82219735033</v>
      </c>
      <c r="E885" s="457">
        <f>IFERROR(__xludf.DUMMYFUNCTION("""COMPUTED_VALUE"""),50000.0)</f>
        <v>50000</v>
      </c>
      <c r="F885" s="270">
        <f>IFERROR(__xludf.DUMMYFUNCTION("""COMPUTED_VALUE"""),1.0)</f>
        <v>1</v>
      </c>
      <c r="G885" s="17" t="str">
        <f>IFERROR(__xludf.DUMMYFUNCTION("""COMPUTED_VALUE"""),"Sabun batang 1 Box ( 2 PCS )")</f>
        <v>Sabun batang 1 Box ( 2 PCS )</v>
      </c>
      <c r="H885" s="463" t="str">
        <f>IFERROR(__xludf.DUMMYFUNCTION("""COMPUTED_VALUE"""),"Sampai")</f>
        <v>Sampai</v>
      </c>
      <c r="I885" s="464" t="str">
        <f>IFERROR(__xludf.DUMMYFUNCTION("""COMPUTED_VALUE"""),"KIMME")</f>
        <v>KIMME</v>
      </c>
      <c r="J885" s="279" t="str">
        <f>IFERROR(__xludf.DUMMYFUNCTION("""COMPUTED_VALUE"""),"https://www.tiktok.com/@4ri6s_/video/7638504744977304840?_r=1&amp;u_code=d2mgmh23k43ah9&amp;region=&amp;mid=7594458609477388289&amp;preview_pb=0&amp;sharer_language=&amp;_d=0&amp;ec_shared_reflux_dynamic_params=%7B%22placeholder_material_id%22%3A%227638504744977304840%22%2C%22placeh"&amp;"older_origin_cover%22%3A%22https%253A%252F%252Fp16-common-sign.tiktokcdn.com%252Ftos-alisg-p-0037%252FowLPIIFARIYgKAXI2AkrqAliBglFaBa6ibbEB~tplv-tiktokx-origin.jpeg%253Fdr%253D14572%2526refresh_token%253D36cd4853%2526x-expires%253D1810116000%2526x-signatu"&amp;"re%253DSwE8mIe3gVVws5By2Vo9vgvULGM%25253D%2526t%253D4d5b0474%2526ps%253D13740610%2526shp%253Dd05b14bd%2526shcp%253D34ff8df6%2526idc%253Dmy2%2526s%253DTIKTOK_AFFILIATE_VIRAL_VIDEO%22%2C%22placeholder_product_id%22%3A%221729427766722726591%22%2C%22placehold"&amp;"er_video_id%22%3A%227638504744977304840%22%7D&amp;ec_shared_reflux_scene=shop_tab_feed&amp;share_item_id=7638504744977304840&amp;source=h5_t")</f>
        <v>https://www.tiktok.com/@4ri6s_/video/7638504744977304840?_r=1&amp;u_code=d2mgmh23k43ah9&amp;region=&amp;mid=7594458609477388289&amp;preview_pb=0&amp;sharer_language=&amp;_d=0&amp;ec_shared_reflux_dynamic_params=%7B%22placeholder_material_id%22%3A%227638504744977304840%22%2C%22placeholder_origin_cover%22%3A%22https%253A%252F%252Fp16-common-sign.tiktokcdn.com%252Ftos-alisg-p-0037%252FowLPIIFARIYgKAXI2AkrqAliBglFaBa6ibbEB~tplv-tiktokx-origin.jpeg%253Fdr%253D14572%2526refresh_token%253D36cd4853%2526x-expires%253D1810116000%2526x-signature%253DSwE8mIe3gVVws5By2Vo9vgvULGM%25253D%2526t%253D4d5b0474%2526ps%253D13740610%2526shp%253Dd05b14bd%2526shcp%253D34ff8df6%2526idc%253Dmy2%2526s%253DTIKTOK_AFFILIATE_VIRAL_VIDEO%22%2C%22placeholder_product_id%22%3A%221729427766722726591%22%2C%22placeholder_video_id%22%3A%227638504744977304840%22%7D&amp;ec_shared_reflux_scene=shop_tab_feed&amp;share_item_id=7638504744977304840&amp;source=h5_t</v>
      </c>
      <c r="K885" s="464" t="str">
        <f>IFERROR(__xludf.DUMMYFUNCTION("""COMPUTED_VALUE"""),"KIMME")</f>
        <v>KIMME</v>
      </c>
      <c r="L885" s="279" t="str">
        <f>IFERROR(__xludf.DUMMYFUNCTION("""COMPUTED_VALUE"""),"https://vt.tiktok.com/ZS9oMnAMJ/")</f>
        <v>https://vt.tiktok.com/ZS9oMnAMJ/</v>
      </c>
      <c r="M885" s="464"/>
      <c r="N885" s="17" t="str">
        <f>IFERROR(__xludf.DUMMYFUNCTION("""COMPUTED_VALUE"""),"⁠https://vt.tiktok.com/ZSxhCMWfh/")</f>
        <v>⁠https://vt.tiktok.com/ZSxhCMWfh/</v>
      </c>
      <c r="O885" s="464"/>
      <c r="P885" s="279" t="str">
        <f>IFERROR(__xludf.DUMMYFUNCTION("""COMPUTED_VALUE"""),"https://vt.tiktok.com/ZSxrFMAK7/")</f>
        <v>https://vt.tiktok.com/ZSxrFMAK7/</v>
      </c>
    </row>
    <row r="886">
      <c r="A886" s="255" t="str">
        <f>IFERROR(__xludf.DUMMYFUNCTION("""COMPUTED_VALUE"""),"MACRO")</f>
        <v>MACRO</v>
      </c>
      <c r="B886" s="361" t="str">
        <f>IFERROR(__xludf.DUMMYFUNCTION("""COMPUTED_VALUE"""),"vaureliaaa")</f>
        <v>vaureliaaa</v>
      </c>
      <c r="C886" s="257" t="str">
        <f>IFERROR(__xludf.DUMMYFUNCTION("""COMPUTED_VALUE"""),"https://www.tiktok.com/@vaureliaaa")</f>
        <v>https://www.tiktok.com/@vaureliaaa</v>
      </c>
      <c r="D886" s="270"/>
      <c r="E886" s="457">
        <f>IFERROR(__xludf.DUMMYFUNCTION("""COMPUTED_VALUE"""),0.0)</f>
        <v>0</v>
      </c>
      <c r="F886" s="270">
        <f>IFERROR(__xludf.DUMMYFUNCTION("""COMPUTED_VALUE"""),2.0)</f>
        <v>2</v>
      </c>
      <c r="G886" s="17" t="str">
        <f>IFERROR(__xludf.DUMMYFUNCTION("""COMPUTED_VALUE"""),"Sabun batang 1 Box ( 2 PCS )")</f>
        <v>Sabun batang 1 Box ( 2 PCS )</v>
      </c>
      <c r="H886" s="463" t="str">
        <f>IFERROR(__xludf.DUMMYFUNCTION("""COMPUTED_VALUE"""),"Sampai")</f>
        <v>Sampai</v>
      </c>
      <c r="I886" s="464" t="str">
        <f>IFERROR(__xludf.DUMMYFUNCTION("""COMPUTED_VALUE"""),"KIMME")</f>
        <v>KIMME</v>
      </c>
      <c r="J886" s="279" t="str">
        <f>IFERROR(__xludf.DUMMYFUNCTION("""COMPUTED_VALUE"""),"https://vt.tiktok.com/ZS9D4VdwB/")</f>
        <v>https://vt.tiktok.com/ZS9D4VdwB/</v>
      </c>
      <c r="K886" s="464" t="str">
        <f>IFERROR(__xludf.DUMMYFUNCTION("""COMPUTED_VALUE"""),"KIMME")</f>
        <v>KIMME</v>
      </c>
      <c r="L886" s="279" t="str">
        <f>IFERROR(__xludf.DUMMYFUNCTION("""COMPUTED_VALUE"""),"https://vt.tiktok.com/ZS9DCQuWk/")</f>
        <v>https://vt.tiktok.com/ZS9DCQuWk/</v>
      </c>
      <c r="M886" s="464"/>
      <c r="N886" s="17"/>
      <c r="O886" s="464"/>
      <c r="P886" s="17"/>
    </row>
    <row r="887">
      <c r="A887" s="255" t="str">
        <f>IFERROR(__xludf.DUMMYFUNCTION("""COMPUTED_VALUE"""),"MICRO")</f>
        <v>MICRO</v>
      </c>
      <c r="B887" s="361" t="str">
        <f>IFERROR(__xludf.DUMMYFUNCTION("""COMPUTED_VALUE"""),"lixjenou03")</f>
        <v>lixjenou03</v>
      </c>
      <c r="C887" s="257" t="str">
        <f>IFERROR(__xludf.DUMMYFUNCTION("""COMPUTED_VALUE"""),"https://www.tiktok.com/@lixjenou03")</f>
        <v>https://www.tiktok.com/@lixjenou03</v>
      </c>
      <c r="D887" s="270"/>
      <c r="E887" s="457">
        <f>IFERROR(__xludf.DUMMYFUNCTION("""COMPUTED_VALUE"""),0.0)</f>
        <v>0</v>
      </c>
      <c r="F887" s="270">
        <f>IFERROR(__xludf.DUMMYFUNCTION("""COMPUTED_VALUE"""),4.0)</f>
        <v>4</v>
      </c>
      <c r="G887" s="17" t="str">
        <f>IFERROR(__xludf.DUMMYFUNCTION("""COMPUTED_VALUE"""),"Sabun batang 1 Box ( 2 PCS )")</f>
        <v>Sabun batang 1 Box ( 2 PCS )</v>
      </c>
      <c r="H887" s="463" t="str">
        <f>IFERROR(__xludf.DUMMYFUNCTION("""COMPUTED_VALUE"""),"Sampai")</f>
        <v>Sampai</v>
      </c>
      <c r="I887" s="464" t="str">
        <f>IFERROR(__xludf.DUMMYFUNCTION("""COMPUTED_VALUE"""),"KIMME")</f>
        <v>KIMME</v>
      </c>
      <c r="J887" s="279" t="str">
        <f>IFERROR(__xludf.DUMMYFUNCTION("""COMPUTED_VALUE"""),"https://vt.tiktok.com/ZS9DmfGHr/")</f>
        <v>https://vt.tiktok.com/ZS9DmfGHr/</v>
      </c>
      <c r="K887" s="464" t="str">
        <f>IFERROR(__xludf.DUMMYFUNCTION("""COMPUTED_VALUE"""),"KIMME")</f>
        <v>KIMME</v>
      </c>
      <c r="L887" s="279" t="str">
        <f>IFERROR(__xludf.DUMMYFUNCTION("""COMPUTED_VALUE"""),"https://vt.tiktok.com/ZS9DmT9qJ/")</f>
        <v>https://vt.tiktok.com/ZS9DmT9qJ/</v>
      </c>
      <c r="M887" s="464"/>
      <c r="N887" s="279" t="str">
        <f>IFERROR(__xludf.DUMMYFUNCTION("""COMPUTED_VALUE"""),"https://vt.tiktok.com/ZS9DH1XkC/")</f>
        <v>https://vt.tiktok.com/ZS9DH1XkC/</v>
      </c>
      <c r="O887" s="464"/>
      <c r="P887" s="279" t="str">
        <f>IFERROR(__xludf.DUMMYFUNCTION("""COMPUTED_VALUE"""),"https://vt.tiktok.com/ZS9DxJjbj/")</f>
        <v>https://vt.tiktok.com/ZS9DxJjbj/</v>
      </c>
    </row>
    <row r="888">
      <c r="A888" s="255" t="str">
        <f>IFERROR(__xludf.DUMMYFUNCTION("""COMPUTED_VALUE"""),"MICRO")</f>
        <v>MICRO</v>
      </c>
      <c r="B888" s="361" t="str">
        <f>IFERROR(__xludf.DUMMYFUNCTION("""COMPUTED_VALUE"""),"cutarsyilla")</f>
        <v>cutarsyilla</v>
      </c>
      <c r="C888" s="257" t="str">
        <f>IFERROR(__xludf.DUMMYFUNCTION("""COMPUTED_VALUE"""),"https://www.tiktok.com/@cutarsyilla")</f>
        <v>https://www.tiktok.com/@cutarsyilla</v>
      </c>
      <c r="D888" s="270"/>
      <c r="E888" s="457">
        <f>IFERROR(__xludf.DUMMYFUNCTION("""COMPUTED_VALUE"""),0.0)</f>
        <v>0</v>
      </c>
      <c r="F888" s="270">
        <f>IFERROR(__xludf.DUMMYFUNCTION("""COMPUTED_VALUE"""),4.0)</f>
        <v>4</v>
      </c>
      <c r="G888" s="17" t="str">
        <f>IFERROR(__xludf.DUMMYFUNCTION("""COMPUTED_VALUE"""),"Sabun batang 1 Box ( 2 PCS )")</f>
        <v>Sabun batang 1 Box ( 2 PCS )</v>
      </c>
      <c r="H888" s="463" t="str">
        <f>IFERROR(__xludf.DUMMYFUNCTION("""COMPUTED_VALUE"""),"Sampai")</f>
        <v>Sampai</v>
      </c>
      <c r="I888" s="464" t="str">
        <f>IFERROR(__xludf.DUMMYFUNCTION("""COMPUTED_VALUE"""),"KIMME")</f>
        <v>KIMME</v>
      </c>
      <c r="J888" s="279" t="str">
        <f>IFERROR(__xludf.DUMMYFUNCTION("""COMPUTED_VALUE"""),"https://vt.tiktok.com/ZS9DPe1ot/")</f>
        <v>https://vt.tiktok.com/ZS9DPe1ot/</v>
      </c>
      <c r="K888" s="464" t="str">
        <f>IFERROR(__xludf.DUMMYFUNCTION("""COMPUTED_VALUE"""),"KIMME")</f>
        <v>KIMME</v>
      </c>
      <c r="L888" s="279" t="str">
        <f>IFERROR(__xludf.DUMMYFUNCTION("""COMPUTED_VALUE"""),"https://vt.tiktok.com/ZS9DP1tSG/")</f>
        <v>https://vt.tiktok.com/ZS9DP1tSG/</v>
      </c>
      <c r="M888" s="464"/>
      <c r="N888" s="279" t="str">
        <f>IFERROR(__xludf.DUMMYFUNCTION("""COMPUTED_VALUE"""),"https://vt.tiktok.com/ZS9Dfwoex/")</f>
        <v>https://vt.tiktok.com/ZS9Dfwoex/</v>
      </c>
      <c r="O888" s="464"/>
      <c r="P888" s="279" t="str">
        <f>IFERROR(__xludf.DUMMYFUNCTION("""COMPUTED_VALUE"""),"https://vt.tiktok.com/ZS9Df36TN/")</f>
        <v>https://vt.tiktok.com/ZS9Df36TN/</v>
      </c>
    </row>
    <row r="889">
      <c r="A889" s="255" t="str">
        <f>IFERROR(__xludf.DUMMYFUNCTION("""COMPUTED_VALUE"""),"MICRO")</f>
        <v>MICRO</v>
      </c>
      <c r="B889" s="361" t="str">
        <f>IFERROR(__xludf.DUMMYFUNCTION("""COMPUTED_VALUE"""),"stmuliani18")</f>
        <v>stmuliani18</v>
      </c>
      <c r="C889" s="257" t="str">
        <f>IFERROR(__xludf.DUMMYFUNCTION("""COMPUTED_VALUE"""),"https://www.tiktok.com/@stmuliani18")</f>
        <v>https://www.tiktok.com/@stmuliani18</v>
      </c>
      <c r="D889" s="270"/>
      <c r="E889" s="457">
        <f>IFERROR(__xludf.DUMMYFUNCTION("""COMPUTED_VALUE"""),0.0)</f>
        <v>0</v>
      </c>
      <c r="F889" s="270">
        <f>IFERROR(__xludf.DUMMYFUNCTION("""COMPUTED_VALUE"""),4.0)</f>
        <v>4</v>
      </c>
      <c r="G889" s="17" t="str">
        <f>IFERROR(__xludf.DUMMYFUNCTION("""COMPUTED_VALUE"""),"Sabun batang 1 Box ( 2 PCS )")</f>
        <v>Sabun batang 1 Box ( 2 PCS )</v>
      </c>
      <c r="H889" s="463" t="str">
        <f>IFERROR(__xludf.DUMMYFUNCTION("""COMPUTED_VALUE"""),"Sampai")</f>
        <v>Sampai</v>
      </c>
      <c r="I889" s="464" t="str">
        <f>IFERROR(__xludf.DUMMYFUNCTION("""COMPUTED_VALUE"""),"KIMME")</f>
        <v>KIMME</v>
      </c>
      <c r="J889" s="279" t="str">
        <f>IFERROR(__xludf.DUMMYFUNCTION("""COMPUTED_VALUE"""),"https://vt.tiktok.com/ZS9BEeTfp/")</f>
        <v>https://vt.tiktok.com/ZS9BEeTfp/</v>
      </c>
      <c r="K889" s="464" t="str">
        <f>IFERROR(__xludf.DUMMYFUNCTION("""COMPUTED_VALUE"""),"KIMME")</f>
        <v>KIMME</v>
      </c>
      <c r="L889" s="279" t="str">
        <f>IFERROR(__xludf.DUMMYFUNCTION("""COMPUTED_VALUE"""),"https://vt.tiktok.com/ZS9DPedUm/")</f>
        <v>https://vt.tiktok.com/ZS9DPedUm/</v>
      </c>
      <c r="M889" s="464"/>
      <c r="N889" s="279" t="str">
        <f>IFERROR(__xludf.DUMMYFUNCTION("""COMPUTED_VALUE"""),"https://vt.tiktok.com/ZS9Df4wBM/")</f>
        <v>https://vt.tiktok.com/ZS9Df4wBM/</v>
      </c>
      <c r="O889" s="464"/>
      <c r="P889" s="279" t="str">
        <f>IFERROR(__xludf.DUMMYFUNCTION("""COMPUTED_VALUE"""),"https://vt.tiktok.com/ZS9DfuyMW/")</f>
        <v>https://vt.tiktok.com/ZS9DfuyMW/</v>
      </c>
    </row>
    <row r="890">
      <c r="A890" s="255" t="str">
        <f>IFERROR(__xludf.DUMMYFUNCTION("""COMPUTED_VALUE"""),"MICRO")</f>
        <v>MICRO</v>
      </c>
      <c r="B890" s="361" t="str">
        <f>IFERROR(__xludf.DUMMYFUNCTION("""COMPUTED_VALUE"""),"rysa_mon")</f>
        <v>rysa_mon</v>
      </c>
      <c r="C890" s="257" t="str">
        <f>IFERROR(__xludf.DUMMYFUNCTION("""COMPUTED_VALUE"""),"https://www.tiktok.com/@rysa_mon")</f>
        <v>https://www.tiktok.com/@rysa_mon</v>
      </c>
      <c r="D890" s="270"/>
      <c r="E890" s="457">
        <f>IFERROR(__xludf.DUMMYFUNCTION("""COMPUTED_VALUE"""),0.0)</f>
        <v>0</v>
      </c>
      <c r="F890" s="270">
        <f>IFERROR(__xludf.DUMMYFUNCTION("""COMPUTED_VALUE"""),4.0)</f>
        <v>4</v>
      </c>
      <c r="G890" s="17" t="str">
        <f>IFERROR(__xludf.DUMMYFUNCTION("""COMPUTED_VALUE"""),"Sabun batang 1 Box ( 2 PCS )")</f>
        <v>Sabun batang 1 Box ( 2 PCS )</v>
      </c>
      <c r="H890" s="463" t="str">
        <f>IFERROR(__xludf.DUMMYFUNCTION("""COMPUTED_VALUE"""),"Sampai")</f>
        <v>Sampai</v>
      </c>
      <c r="I890" s="464" t="str">
        <f>IFERROR(__xludf.DUMMYFUNCTION("""COMPUTED_VALUE"""),"KIMME")</f>
        <v>KIMME</v>
      </c>
      <c r="J890" s="279" t="str">
        <f>IFERROR(__xludf.DUMMYFUNCTION("""COMPUTED_VALUE"""),"https://vt.tiktok.com/ZS9Df5MD7/")</f>
        <v>https://vt.tiktok.com/ZS9Df5MD7/</v>
      </c>
      <c r="K890" s="464" t="str">
        <f>IFERROR(__xludf.DUMMYFUNCTION("""COMPUTED_VALUE"""),"KIMME")</f>
        <v>KIMME</v>
      </c>
      <c r="L890" s="279" t="str">
        <f>IFERROR(__xludf.DUMMYFUNCTION("""COMPUTED_VALUE"""),"https://vt.tiktok.com/ZS9DP25WR/")</f>
        <v>https://vt.tiktok.com/ZS9DP25WR/</v>
      </c>
      <c r="M890" s="464"/>
      <c r="N890" s="279" t="str">
        <f>IFERROR(__xludf.DUMMYFUNCTION("""COMPUTED_VALUE"""),"https://vt.tiktok.com/ZS9DfKe13/")</f>
        <v>https://vt.tiktok.com/ZS9DfKe13/</v>
      </c>
      <c r="O890" s="464"/>
      <c r="P890" s="279" t="str">
        <f>IFERROR(__xludf.DUMMYFUNCTION("""COMPUTED_VALUE"""),"https://vt.tiktok.com/ZS9DPLV3B/")</f>
        <v>https://vt.tiktok.com/ZS9DPLV3B/</v>
      </c>
    </row>
    <row r="891">
      <c r="A891" s="255" t="str">
        <f>IFERROR(__xludf.DUMMYFUNCTION("""COMPUTED_VALUE"""),"MICRO")</f>
        <v>MICRO</v>
      </c>
      <c r="B891" s="361" t="str">
        <f>IFERROR(__xludf.DUMMYFUNCTION("""COMPUTED_VALUE"""),"veni.aje")</f>
        <v>veni.aje</v>
      </c>
      <c r="C891" s="257" t="str">
        <f>IFERROR(__xludf.DUMMYFUNCTION("""COMPUTED_VALUE"""),"https://www.tiktok.com/@veni.aje")</f>
        <v>https://www.tiktok.com/@veni.aje</v>
      </c>
      <c r="D891" s="270">
        <f>IFERROR(__xludf.DUMMYFUNCTION("""COMPUTED_VALUE"""),8.9653149028E10)</f>
        <v>89653149028</v>
      </c>
      <c r="E891" s="457">
        <f>IFERROR(__xludf.DUMMYFUNCTION("""COMPUTED_VALUE"""),0.0)</f>
        <v>0</v>
      </c>
      <c r="F891" s="270">
        <f>IFERROR(__xludf.DUMMYFUNCTION("""COMPUTED_VALUE"""),4.0)</f>
        <v>4</v>
      </c>
      <c r="G891" s="17" t="str">
        <f>IFERROR(__xludf.DUMMYFUNCTION("""COMPUTED_VALUE"""),"Sabun batang 1 Box ( 2 PCS )")</f>
        <v>Sabun batang 1 Box ( 2 PCS )</v>
      </c>
      <c r="H891" s="463" t="str">
        <f>IFERROR(__xludf.DUMMYFUNCTION("""COMPUTED_VALUE"""),"Sampai")</f>
        <v>Sampai</v>
      </c>
      <c r="I891" s="464" t="str">
        <f>IFERROR(__xludf.DUMMYFUNCTION("""COMPUTED_VALUE"""),"KIMME")</f>
        <v>KIMME</v>
      </c>
      <c r="J891" s="17" t="str">
        <f>IFERROR(__xludf.DUMMYFUNCTION("""COMPUTED_VALUE"""),"⁠https://vt.tiktok.com/ZSxkrgD7x/")</f>
        <v>⁠https://vt.tiktok.com/ZSxkrgD7x/</v>
      </c>
      <c r="K891" s="464" t="str">
        <f>IFERROR(__xludf.DUMMYFUNCTION("""COMPUTED_VALUE"""),"KIMME")</f>
        <v>KIMME</v>
      </c>
      <c r="L891" s="17" t="str">
        <f>IFERROR(__xludf.DUMMYFUNCTION("""COMPUTED_VALUE"""),"⁠https://vt.tiktok.com/ZSxkryeQa/")</f>
        <v>⁠https://vt.tiktok.com/ZSxkryeQa/</v>
      </c>
      <c r="M891" s="464"/>
      <c r="N891" s="17" t="str">
        <f>IFERROR(__xludf.DUMMYFUNCTION("""COMPUTED_VALUE"""),"⁠https://vt.tiktok.com/ZSxkrkwkM/")</f>
        <v>⁠https://vt.tiktok.com/ZSxkrkwkM/</v>
      </c>
      <c r="O891" s="464"/>
      <c r="P891" s="17" t="str">
        <f>IFERROR(__xludf.DUMMYFUNCTION("""COMPUTED_VALUE"""),"⁠https://vt.tiktok.com/ZSxkrbYo4/")</f>
        <v>⁠https://vt.tiktok.com/ZSxkrbYo4/</v>
      </c>
    </row>
    <row r="892">
      <c r="A892" s="255" t="str">
        <f>IFERROR(__xludf.DUMMYFUNCTION("""COMPUTED_VALUE"""),"MICRO")</f>
        <v>MICRO</v>
      </c>
      <c r="B892" s="361" t="str">
        <f>IFERROR(__xludf.DUMMYFUNCTION("""COMPUTED_VALUE"""),"eriyunitaa")</f>
        <v>eriyunitaa</v>
      </c>
      <c r="C892" s="257" t="str">
        <f>IFERROR(__xludf.DUMMYFUNCTION("""COMPUTED_VALUE"""),"https://www.tiktok.com/@eriyunitaa")</f>
        <v>https://www.tiktok.com/@eriyunitaa</v>
      </c>
      <c r="D892" s="270">
        <f>IFERROR(__xludf.DUMMYFUNCTION("""COMPUTED_VALUE"""),8.121390285E10)</f>
        <v>81213902850</v>
      </c>
      <c r="E892" s="457">
        <f>IFERROR(__xludf.DUMMYFUNCTION("""COMPUTED_VALUE"""),0.0)</f>
        <v>0</v>
      </c>
      <c r="F892" s="270">
        <f>IFERROR(__xludf.DUMMYFUNCTION("""COMPUTED_VALUE"""),4.0)</f>
        <v>4</v>
      </c>
      <c r="G892" s="17" t="str">
        <f>IFERROR(__xludf.DUMMYFUNCTION("""COMPUTED_VALUE"""),"Sabun batang 1 Box ( 2 PCS )")</f>
        <v>Sabun batang 1 Box ( 2 PCS )</v>
      </c>
      <c r="H892" s="463" t="str">
        <f>IFERROR(__xludf.DUMMYFUNCTION("""COMPUTED_VALUE"""),"Sampai")</f>
        <v>Sampai</v>
      </c>
      <c r="I892" s="464" t="str">
        <f>IFERROR(__xludf.DUMMYFUNCTION("""COMPUTED_VALUE"""),"KIMME")</f>
        <v>KIMME</v>
      </c>
      <c r="J892" s="279" t="str">
        <f>IFERROR(__xludf.DUMMYFUNCTION("""COMPUTED_VALUE"""),"https://www.tiktok.com/@eriyunitaa/video/7631882312929594644?_d=0&amp;_r=1&amp;ec_shared_reflux_dynamic_params=%7B%22placeholder_material_id%22%3A%227631882312929594644%22%2C%22placeholder_origin_cover%22%3A%22https%253A%252F%252Fp16-common-sign.tiktokcdn.com%252"&amp;"Ftos-alisg-p-0037%252FooJ8I8FFp1oJnetpDADAIN02jnTA5C3IueEaf8~tplv-tiktokx-origin.jpeg%253Fdr%253D14572%2526refresh_token%253D7c4daeb0%2526x-expires%253D1808470800%2526x-signature%253D6FIv2NW7buoP60NgVHmGfqD1x8o%25253D%2526t%253D4d5b0474%2526ps%253D1374061"&amp;"0%2526shp%253Dd05b14bd%2526shcp%253D34ff8df6%2526idc%253Dmy3%2526s%253DTIKTOK_AFFILIATE_VIRAL_VIDEO%22%2C%22placeholder_product_id%22%3A%221729427766722726591%22%2C%22placeholder_video_id%22%3A%227631882312929594644%22%7D&amp;ec_shared_reflux_scene=shop_tab_f"&amp;"eed&amp;mid=7631882354554587924&amp;preview_pb=0&amp;region=&amp;share_item_id=7631882312929594644&amp;sharer_language=&amp;source=h5_t&amp;u_code=d6idfk01l3ige2")</f>
        <v>https://www.tiktok.com/@eriyunitaa/video/7631882312929594644?_d=0&amp;_r=1&amp;ec_shared_reflux_dynamic_params=%7B%22placeholder_material_id%22%3A%227631882312929594644%22%2C%22placeholder_origin_cover%22%3A%22https%253A%252F%252Fp16-common-sign.tiktokcdn.com%252Ftos-alisg-p-0037%252FooJ8I8FFp1oJnetpDADAIN02jnTA5C3IueEaf8~tplv-tiktokx-origin.jpeg%253Fdr%253D14572%2526refresh_token%253D7c4daeb0%2526x-expires%253D1808470800%2526x-signature%253D6FIv2NW7buoP60NgVHmGfqD1x8o%25253D%2526t%253D4d5b0474%2526ps%253D13740610%2526shp%253Dd05b14bd%2526shcp%253D34ff8df6%2526idc%253Dmy3%2526s%253DTIKTOK_AFFILIATE_VIRAL_VIDEO%22%2C%22placeholder_product_id%22%3A%221729427766722726591%22%2C%22placeholder_video_id%22%3A%227631882312929594644%22%7D&amp;ec_shared_reflux_scene=shop_tab_feed&amp;mid=7631882354554587924&amp;preview_pb=0&amp;region=&amp;share_item_id=7631882312929594644&amp;sharer_language=&amp;source=h5_t&amp;u_code=d6idfk01l3ige2</v>
      </c>
      <c r="K892" s="464" t="str">
        <f>IFERROR(__xludf.DUMMYFUNCTION("""COMPUTED_VALUE"""),"KIMME")</f>
        <v>KIMME</v>
      </c>
      <c r="L892" s="279" t="str">
        <f>IFERROR(__xludf.DUMMYFUNCTION("""COMPUTED_VALUE"""),"https://www.tiktok.com/@eriyunitaa/video/7631883743640194325?_r=1&amp;u_code=d6idfk01l3ige2&amp;region=&amp;mid=7631883814981552903&amp;preview_pb=0&amp;sharer_language=&amp;_d=0&amp;ec_shared_reflux_dynamic_params=%7B%22placeholder_material_id%22%3A%227631883743640194325%22%2C%22pl"&amp;"aceholder_origin_cover%22%3A%22https%253A%252F%252Fp16-sign-sg.tiktokcdn.com%252Ftos-alisg-p-0037%252FoAE0Qocfe7hQ6eIjhy0TaBFUAm9D9nADAO81TC~tplv-tiktokx-origin.jpeg%253Fdr%253D14572%2526refresh_token%253D4679e0e9%2526x-expires%253D1808470800%2526x-signat"&amp;"ure%253DbTIoD%25252BmguYFjCxBaNrpbcMmxVkI%25253D%2526t%253D4d5b0474%2526ps%253D13740610%2526shp%253Dd05b14bd%2526shcp%253D34ff8df6%2526idc%253Dmy3%2526s%253DTIKTOK_AFFILIATE_VIRAL_VIDEO%22%2C%22placeholder_product_id%22%3A%221729427766722726591%22%2C%22pl"&amp;"aceholder_video_id%22%3A%227631883743640194325%22%7D&amp;ec_shared_reflux_scene=shop_tab_feed&amp;share_item_id=7631883743640194325&amp;source=h5_t")</f>
        <v>https://www.tiktok.com/@eriyunitaa/video/7631883743640194325?_r=1&amp;u_code=d6idfk01l3ige2&amp;region=&amp;mid=7631883814981552903&amp;preview_pb=0&amp;sharer_language=&amp;_d=0&amp;ec_shared_reflux_dynamic_params=%7B%22placeholder_material_id%22%3A%227631883743640194325%22%2C%22placeholder_origin_cover%22%3A%22https%253A%252F%252Fp16-sign-sg.tiktokcdn.com%252Ftos-alisg-p-0037%252FoAE0Qocfe7hQ6eIjhy0TaBFUAm9D9nADAO81TC~tplv-tiktokx-origin.jpeg%253Fdr%253D14572%2526refresh_token%253D4679e0e9%2526x-expires%253D1808470800%2526x-signature%253DbTIoD%25252BmguYFjCxBaNrpbcMmxVkI%25253D%2526t%253D4d5b0474%2526ps%253D13740610%2526shp%253Dd05b14bd%2526shcp%253D34ff8df6%2526idc%253Dmy3%2526s%253DTIKTOK_AFFILIATE_VIRAL_VIDEO%22%2C%22placeholder_product_id%22%3A%221729427766722726591%22%2C%22placeholder_video_id%22%3A%227631883743640194325%22%7D&amp;ec_shared_reflux_scene=shop_tab_feed&amp;share_item_id=7631883743640194325&amp;source=h5_t</v>
      </c>
      <c r="M892" s="464"/>
      <c r="N892" s="279" t="str">
        <f>IFERROR(__xludf.DUMMYFUNCTION("""COMPUTED_VALUE"""),"https://www.tiktok.com/@eriyunitaa/video/7631891798528544021?_r=1&amp;u_code=d6idfk01l3ige2&amp;region=&amp;mid=7631891854459489044&amp;preview_pb=0&amp;sharer_language=&amp;_d=0&amp;ec_shared_reflux_dynamic_params=%7B%22placeholder_material_id%22%3A%227631891798528544021%22%2C%22pl"&amp;"aceholder_origin_cover%22%3A%22https%253A%252F%252Fp16-sign-sg.tiktokcdn.com%252Ftos-alisg-p-0037%252FoY9TCTvjQhlWKX2AfA5Q0UyQjmfYMDBfI87Qxo~tplv-tiktokx-origin.jpeg%253Fdr%253D14572%2526refresh_token%253D00e38964%2526x-expires%253D1809507600%2526x-signat"&amp;"ure%253Dit9Ae21gbfWJpYa%25252B39yZCw7cQ6g%25253D%2526t%253D4d5b0474%2526ps%253D13740610%2526shp%253Dd05b14bd%2526shcp%253D34ff8df6%2526idc%253Dmy%2526s%253DTIKTOK_AFFILIATE_VIRAL_VIDEO%22%2C%22placeholder_product_id%22%3A%221729427766722726591%22%2C%22pla"&amp;"ceholder_video_id%22%3A%227631891798528544021%22%7D&amp;ec_shared_reflux_scene=shop_tab_feed&amp;share_item_id=7631891798528544021&amp;source=h5_t")</f>
        <v>https://www.tiktok.com/@eriyunitaa/video/7631891798528544021?_r=1&amp;u_code=d6idfk01l3ige2&amp;region=&amp;mid=7631891854459489044&amp;preview_pb=0&amp;sharer_language=&amp;_d=0&amp;ec_shared_reflux_dynamic_params=%7B%22placeholder_material_id%22%3A%227631891798528544021%22%2C%22placeholder_origin_cover%22%3A%22https%253A%252F%252Fp16-sign-sg.tiktokcdn.com%252Ftos-alisg-p-0037%252FoY9TCTvjQhlWKX2AfA5Q0UyQjmfYMDBfI87Qxo~tplv-tiktokx-origin.jpeg%253Fdr%253D14572%2526refresh_token%253D00e38964%2526x-expires%253D1809507600%2526x-signature%253Dit9Ae21gbfWJpYa%25252B39yZCw7cQ6g%25253D%2526t%253D4d5b0474%2526ps%253D13740610%2526shp%253Dd05b14bd%2526shcp%253D34ff8df6%2526idc%253Dmy%2526s%253DTIKTOK_AFFILIATE_VIRAL_VIDEO%22%2C%22placeholder_product_id%22%3A%221729427766722726591%22%2C%22placeholder_video_id%22%3A%227631891798528544021%22%7D&amp;ec_shared_reflux_scene=shop_tab_feed&amp;share_item_id=7631891798528544021&amp;source=h5_t</v>
      </c>
      <c r="O892" s="464"/>
      <c r="P892" s="279" t="str">
        <f>IFERROR(__xludf.DUMMYFUNCTION("""COMPUTED_VALUE"""),"https://www.tiktok.com/@eriyunitaa/video/7631894369133432084?_r=1&amp;u_code=d6idfk01l3ige2&amp;region=&amp;mid=7631894393074649864&amp;preview_pb=0&amp;sharer_language=&amp;_d=0&amp;ec_shared_reflux_dynamic_params=%7B%22placeholder_material_id%22%3A%227631894369133432084%22%2C%22pl"&amp;"aceholder_origin_cover%22%3A%22https%253A%252F%252Fp16-sign-sg.tiktokcdn.com%252Ftos-alisg-p-0037%252FoAF84vpT0AhJDmPAEf7ebj7CoSpfIruZIW9AID~tplv-tiktokx-origin.jpeg%253Fdr%253D14572%2526refresh_token%253Dcd79a19d%2526x-expires%253D1809507600%2526x-signat"&amp;"ure%253D2xbKKdVrGM5R26mhKFXfhcEVbzs%25253D%2526t%253D4d5b0474%2526ps%253D13740610%2526shp%253Dd05b14bd%2526shcp%253D34ff8df6%2526idc%253Dmy%2526s%253DTIKTOK_AFFILIATE_VIRAL_VIDEO%22%2C%22placeholder_product_id%22%3A%221729427766722726591%22%2C%22placehold"&amp;"er_video_id%22%3A%227631894369133432084%22%7D&amp;ec_shared_reflux_scene=shop_tab_feed&amp;share_item_id=7631894369133432084&amp;source=h5_t")</f>
        <v>https://www.tiktok.com/@eriyunitaa/video/7631894369133432084?_r=1&amp;u_code=d6idfk01l3ige2&amp;region=&amp;mid=7631894393074649864&amp;preview_pb=0&amp;sharer_language=&amp;_d=0&amp;ec_shared_reflux_dynamic_params=%7B%22placeholder_material_id%22%3A%227631894369133432084%22%2C%22placeholder_origin_cover%22%3A%22https%253A%252F%252Fp16-sign-sg.tiktokcdn.com%252Ftos-alisg-p-0037%252FoAF84vpT0AhJDmPAEf7ebj7CoSpfIruZIW9AID~tplv-tiktokx-origin.jpeg%253Fdr%253D14572%2526refresh_token%253Dcd79a19d%2526x-expires%253D1809507600%2526x-signature%253D2xbKKdVrGM5R26mhKFXfhcEVbzs%25253D%2526t%253D4d5b0474%2526ps%253D13740610%2526shp%253Dd05b14bd%2526shcp%253D34ff8df6%2526idc%253Dmy%2526s%253DTIKTOK_AFFILIATE_VIRAL_VIDEO%22%2C%22placeholder_product_id%22%3A%221729427766722726591%22%2C%22placeholder_video_id%22%3A%227631894369133432084%22%7D&amp;ec_shared_reflux_scene=shop_tab_feed&amp;share_item_id=7631894369133432084&amp;source=h5_t</v>
      </c>
    </row>
    <row r="893">
      <c r="A893" s="255" t="str">
        <f>IFERROR(__xludf.DUMMYFUNCTION("""COMPUTED_VALUE"""),"MICRO")</f>
        <v>MICRO</v>
      </c>
      <c r="B893" s="361" t="str">
        <f>IFERROR(__xludf.DUMMYFUNCTION("""COMPUTED_VALUE"""),"beybil25")</f>
        <v>beybil25</v>
      </c>
      <c r="C893" s="257" t="str">
        <f>IFERROR(__xludf.DUMMYFUNCTION("""COMPUTED_VALUE"""),"https://www.tiktok.com/@beybil25")</f>
        <v>https://www.tiktok.com/@beybil25</v>
      </c>
      <c r="D893" s="270">
        <f>IFERROR(__xludf.DUMMYFUNCTION("""COMPUTED_VALUE"""),8.8211811465E10)</f>
        <v>88211811465</v>
      </c>
      <c r="E893" s="457">
        <f>IFERROR(__xludf.DUMMYFUNCTION("""COMPUTED_VALUE"""),0.0)</f>
        <v>0</v>
      </c>
      <c r="F893" s="270">
        <f>IFERROR(__xludf.DUMMYFUNCTION("""COMPUTED_VALUE"""),4.0)</f>
        <v>4</v>
      </c>
      <c r="G893" s="17" t="str">
        <f>IFERROR(__xludf.DUMMYFUNCTION("""COMPUTED_VALUE"""),"Sabun batang 1 Box ( 2 PCS )")</f>
        <v>Sabun batang 1 Box ( 2 PCS )</v>
      </c>
      <c r="H893" s="463" t="str">
        <f>IFERROR(__xludf.DUMMYFUNCTION("""COMPUTED_VALUE"""),"Sampai")</f>
        <v>Sampai</v>
      </c>
      <c r="I893" s="464" t="str">
        <f>IFERROR(__xludf.DUMMYFUNCTION("""COMPUTED_VALUE"""),"KIMME")</f>
        <v>KIMME</v>
      </c>
      <c r="J893" s="279" t="str">
        <f>IFERROR(__xludf.DUMMYFUNCTION("""COMPUTED_VALUE"""),"https://vt.tiktok.com/ZS9DPN9XN/")</f>
        <v>https://vt.tiktok.com/ZS9DPN9XN/</v>
      </c>
      <c r="K893" s="464" t="str">
        <f>IFERROR(__xludf.DUMMYFUNCTION("""COMPUTED_VALUE"""),"KIMME")</f>
        <v>KIMME</v>
      </c>
      <c r="L893" s="279" t="str">
        <f>IFERROR(__xludf.DUMMYFUNCTION("""COMPUTED_VALUE"""),"https://vt.tiktok.com/ZS9DPFqEQ/")</f>
        <v>https://vt.tiktok.com/ZS9DPFqEQ/</v>
      </c>
      <c r="M893" s="464"/>
      <c r="N893" s="279" t="str">
        <f>IFERROR(__xludf.DUMMYFUNCTION("""COMPUTED_VALUE"""),"https://vt.tiktok.com/ZS9DfcADX/")</f>
        <v>https://vt.tiktok.com/ZS9DfcADX/</v>
      </c>
      <c r="O893" s="464"/>
      <c r="P893" s="279" t="str">
        <f>IFERROR(__xludf.DUMMYFUNCTION("""COMPUTED_VALUE"""),"https://vt.tiktok.com/ZS9DfWsJ1/")</f>
        <v>https://vt.tiktok.com/ZS9DfWsJ1/</v>
      </c>
    </row>
    <row r="894">
      <c r="A894" s="255" t="str">
        <f>IFERROR(__xludf.DUMMYFUNCTION("""COMPUTED_VALUE"""),"MICRO")</f>
        <v>MICRO</v>
      </c>
      <c r="B894" s="361" t="str">
        <f>IFERROR(__xludf.DUMMYFUNCTION("""COMPUTED_VALUE"""),"nailassdrafts")</f>
        <v>nailassdrafts</v>
      </c>
      <c r="C894" s="257" t="str">
        <f>IFERROR(__xludf.DUMMYFUNCTION("""COMPUTED_VALUE"""),"https://www.tiktok.com/@nailassdrafts")</f>
        <v>https://www.tiktok.com/@nailassdrafts</v>
      </c>
      <c r="D894" s="270">
        <f>IFERROR(__xludf.DUMMYFUNCTION("""COMPUTED_VALUE"""),8.87433072757E11)</f>
        <v>887433072757</v>
      </c>
      <c r="E894" s="457">
        <f>IFERROR(__xludf.DUMMYFUNCTION("""COMPUTED_VALUE"""),0.0)</f>
        <v>0</v>
      </c>
      <c r="F894" s="270">
        <f>IFERROR(__xludf.DUMMYFUNCTION("""COMPUTED_VALUE"""),4.0)</f>
        <v>4</v>
      </c>
      <c r="G894" s="17" t="str">
        <f>IFERROR(__xludf.DUMMYFUNCTION("""COMPUTED_VALUE"""),"Sabun batang 1 Box ( 2 PCS )")</f>
        <v>Sabun batang 1 Box ( 2 PCS )</v>
      </c>
      <c r="H894" s="463" t="str">
        <f>IFERROR(__xludf.DUMMYFUNCTION("""COMPUTED_VALUE"""),"Sampai")</f>
        <v>Sampai</v>
      </c>
      <c r="I894" s="464" t="str">
        <f>IFERROR(__xludf.DUMMYFUNCTION("""COMPUTED_VALUE"""),"KIMME")</f>
        <v>KIMME</v>
      </c>
      <c r="J894" s="279" t="str">
        <f>IFERROR(__xludf.DUMMYFUNCTION("""COMPUTED_VALUE"""),"https://vt.tiktok.com/ZS9fNvUh5/")</f>
        <v>https://vt.tiktok.com/ZS9fNvUh5/</v>
      </c>
      <c r="K894" s="464" t="str">
        <f>IFERROR(__xludf.DUMMYFUNCTION("""COMPUTED_VALUE"""),"KIMME")</f>
        <v>KIMME</v>
      </c>
      <c r="L894" s="279" t="str">
        <f>IFERROR(__xludf.DUMMYFUNCTION("""COMPUTED_VALUE"""),"https://vt.tiktok.com/ZS9fNEH4v/")</f>
        <v>https://vt.tiktok.com/ZS9fNEH4v/</v>
      </c>
      <c r="M894" s="464"/>
      <c r="N894" s="279" t="str">
        <f>IFERROR(__xludf.DUMMYFUNCTION("""COMPUTED_VALUE"""),"https://vt.tiktok.com/ZS9fN3LmT/")</f>
        <v>https://vt.tiktok.com/ZS9fN3LmT/</v>
      </c>
      <c r="O894" s="464"/>
      <c r="P894" s="279" t="str">
        <f>IFERROR(__xludf.DUMMYFUNCTION("""COMPUTED_VALUE"""),"https://vt.tiktok.com/ZS9fFRy3T/")</f>
        <v>https://vt.tiktok.com/ZS9fFRy3T/</v>
      </c>
    </row>
    <row r="895">
      <c r="A895" s="255" t="str">
        <f>IFERROR(__xludf.DUMMYFUNCTION("""COMPUTED_VALUE"""),"MACRO")</f>
        <v>MACRO</v>
      </c>
      <c r="B895" s="361" t="str">
        <f>IFERROR(__xludf.DUMMYFUNCTION("""COMPUTED_VALUE"""),"hananugroho_")</f>
        <v>hananugroho_</v>
      </c>
      <c r="C895" s="257" t="str">
        <f>IFERROR(__xludf.DUMMYFUNCTION("""COMPUTED_VALUE"""),"https://www.tiktok.com/@hananugroho_")</f>
        <v>https://www.tiktok.com/@hananugroho_</v>
      </c>
      <c r="D895" s="270">
        <f>IFERROR(__xludf.DUMMYFUNCTION("""COMPUTED_VALUE"""),8.8228101285E10)</f>
        <v>88228101285</v>
      </c>
      <c r="E895" s="457">
        <f>IFERROR(__xludf.DUMMYFUNCTION("""COMPUTED_VALUE"""),0.0)</f>
        <v>0</v>
      </c>
      <c r="F895" s="270">
        <f>IFERROR(__xludf.DUMMYFUNCTION("""COMPUTED_VALUE"""),2.0)</f>
        <v>2</v>
      </c>
      <c r="G895" s="17" t="str">
        <f>IFERROR(__xludf.DUMMYFUNCTION("""COMPUTED_VALUE"""),"Sabun batang 1 Box ( 2 PCS )")</f>
        <v>Sabun batang 1 Box ( 2 PCS )</v>
      </c>
      <c r="H895" s="463" t="str">
        <f>IFERROR(__xludf.DUMMYFUNCTION("""COMPUTED_VALUE"""),"Sampai")</f>
        <v>Sampai</v>
      </c>
      <c r="I895" s="464" t="str">
        <f>IFERROR(__xludf.DUMMYFUNCTION("""COMPUTED_VALUE"""),"KIMME")</f>
        <v>KIMME</v>
      </c>
      <c r="J895" s="279" t="str">
        <f>IFERROR(__xludf.DUMMYFUNCTION("""COMPUTED_VALUE"""),"https://vt.tiktok.com/ZS9DPN8Kp/")</f>
        <v>https://vt.tiktok.com/ZS9DPN8Kp/</v>
      </c>
      <c r="K895" s="464" t="str">
        <f>IFERROR(__xludf.DUMMYFUNCTION("""COMPUTED_VALUE"""),"KIMME")</f>
        <v>KIMME</v>
      </c>
      <c r="L895" s="279" t="str">
        <f>IFERROR(__xludf.DUMMYFUNCTION("""COMPUTED_VALUE"""),"https://vt.tiktok.com/ZS9Df3wK3/")</f>
        <v>https://vt.tiktok.com/ZS9Df3wK3/</v>
      </c>
      <c r="M895" s="464"/>
      <c r="N895" s="17"/>
      <c r="O895" s="464"/>
      <c r="P895" s="17"/>
    </row>
    <row r="896">
      <c r="A896" s="255" t="str">
        <f>IFERROR(__xludf.DUMMYFUNCTION("""COMPUTED_VALUE"""),"MICRO")</f>
        <v>MICRO</v>
      </c>
      <c r="B896" s="361" t="str">
        <f>IFERROR(__xludf.DUMMYFUNCTION("""COMPUTED_VALUE"""),"sellaaaalala")</f>
        <v>sellaaaalala</v>
      </c>
      <c r="C896" s="257" t="str">
        <f>IFERROR(__xludf.DUMMYFUNCTION("""COMPUTED_VALUE"""),"https://www.tiktok.com/@sellaaaalala")</f>
        <v>https://www.tiktok.com/@sellaaaalala</v>
      </c>
      <c r="D896" s="270">
        <f>IFERROR(__xludf.DUMMYFUNCTION("""COMPUTED_VALUE"""),8.3892543585E10)</f>
        <v>83892543585</v>
      </c>
      <c r="E896" s="457">
        <f>IFERROR(__xludf.DUMMYFUNCTION("""COMPUTED_VALUE"""),200000.0)</f>
        <v>200000</v>
      </c>
      <c r="F896" s="270">
        <f>IFERROR(__xludf.DUMMYFUNCTION("""COMPUTED_VALUE"""),1.0)</f>
        <v>1</v>
      </c>
      <c r="G896" s="17" t="str">
        <f>IFERROR(__xludf.DUMMYFUNCTION("""COMPUTED_VALUE"""),"Sabun batang 1 Box ( 2 PCS )")</f>
        <v>Sabun batang 1 Box ( 2 PCS )</v>
      </c>
      <c r="H896" s="463" t="str">
        <f>IFERROR(__xludf.DUMMYFUNCTION("""COMPUTED_VALUE"""),"Sampai")</f>
        <v>Sampai</v>
      </c>
      <c r="I896" s="464" t="str">
        <f>IFERROR(__xludf.DUMMYFUNCTION("""COMPUTED_VALUE"""),"KIMME")</f>
        <v>KIMME</v>
      </c>
      <c r="J896" s="279" t="str">
        <f>IFERROR(__xludf.DUMMYFUNCTION("""COMPUTED_VALUE"""),"https://vt.tiktok.com/ZSxQtJ6SV/")</f>
        <v>https://vt.tiktok.com/ZSxQtJ6SV/</v>
      </c>
      <c r="K896" s="464" t="str">
        <f>IFERROR(__xludf.DUMMYFUNCTION("""COMPUTED_VALUE"""),"KIMME")</f>
        <v>KIMME</v>
      </c>
      <c r="L896" s="17" t="str">
        <f>IFERROR(__xludf.DUMMYFUNCTION("""COMPUTED_VALUE"""),"⁠https://vt.tiktok.com/ZSxkrPngf/")</f>
        <v>⁠https://vt.tiktok.com/ZSxkrPngf/</v>
      </c>
      <c r="M896" s="464"/>
      <c r="N896" s="17" t="str">
        <f>IFERROR(__xludf.DUMMYFUNCTION("""COMPUTED_VALUE"""),"⁠https://vt.tiktok.com/ZSxrFpEyH/")</f>
        <v>⁠https://vt.tiktok.com/ZSxrFpEyH/</v>
      </c>
      <c r="O896" s="464"/>
      <c r="P896" s="17" t="str">
        <f>IFERROR(__xludf.DUMMYFUNCTION("""COMPUTED_VALUE"""),"⁠https://vt.tiktok.com/ZSxrFXEVU/")</f>
        <v>⁠https://vt.tiktok.com/ZSxrFXEVU/</v>
      </c>
    </row>
    <row r="897">
      <c r="A897" s="255" t="str">
        <f>IFERROR(__xludf.DUMMYFUNCTION("""COMPUTED_VALUE"""),"MICRO")</f>
        <v>MICRO</v>
      </c>
      <c r="B897" s="361" t="str">
        <f>IFERROR(__xludf.DUMMYFUNCTION("""COMPUTED_VALUE"""),"urchocobite")</f>
        <v>urchocobite</v>
      </c>
      <c r="C897" s="257" t="str">
        <f>IFERROR(__xludf.DUMMYFUNCTION("""COMPUTED_VALUE"""),"https://www.tiktok.com/@urchocobite")</f>
        <v>https://www.tiktok.com/@urchocobite</v>
      </c>
      <c r="D897" s="270">
        <f>IFERROR(__xludf.DUMMYFUNCTION("""COMPUTED_VALUE"""),8.5691025371E10)</f>
        <v>85691025371</v>
      </c>
      <c r="E897" s="457">
        <f>IFERROR(__xludf.DUMMYFUNCTION("""COMPUTED_VALUE"""),0.0)</f>
        <v>0</v>
      </c>
      <c r="F897" s="270">
        <f>IFERROR(__xludf.DUMMYFUNCTION("""COMPUTED_VALUE"""),4.0)</f>
        <v>4</v>
      </c>
      <c r="G897" s="17" t="str">
        <f>IFERROR(__xludf.DUMMYFUNCTION("""COMPUTED_VALUE"""),"Sabun batang 1 Box ( 2 PCS )")</f>
        <v>Sabun batang 1 Box ( 2 PCS )</v>
      </c>
      <c r="H897" s="463" t="str">
        <f>IFERROR(__xludf.DUMMYFUNCTION("""COMPUTED_VALUE"""),"Sampai")</f>
        <v>Sampai</v>
      </c>
      <c r="I897" s="464" t="str">
        <f>IFERROR(__xludf.DUMMYFUNCTION("""COMPUTED_VALUE"""),"KIMME")</f>
        <v>KIMME</v>
      </c>
      <c r="J897" s="279" t="str">
        <f>IFERROR(__xludf.DUMMYFUNCTION("""COMPUTED_VALUE"""),"https://vt.tiktok.com/ZS9ASqCS8/")</f>
        <v>https://vt.tiktok.com/ZS9ASqCS8/</v>
      </c>
      <c r="K897" s="464" t="str">
        <f>IFERROR(__xludf.DUMMYFUNCTION("""COMPUTED_VALUE"""),"KIMME")</f>
        <v>KIMME</v>
      </c>
      <c r="L897" s="279" t="str">
        <f>IFERROR(__xludf.DUMMYFUNCTION("""COMPUTED_VALUE"""),"https://vt.tiktok.com/ZS9ASV4ac/")</f>
        <v>https://vt.tiktok.com/ZS9ASV4ac/</v>
      </c>
      <c r="M897" s="464"/>
      <c r="N897" s="279" t="str">
        <f>IFERROR(__xludf.DUMMYFUNCTION("""COMPUTED_VALUE"""),"https://vt.tiktok.com/ZS9ASDssH/")</f>
        <v>https://vt.tiktok.com/ZS9ASDssH/</v>
      </c>
      <c r="O897" s="464"/>
      <c r="P897" s="279" t="str">
        <f>IFERROR(__xludf.DUMMYFUNCTION("""COMPUTED_VALUE"""),"https://vt.tiktok.com/ZS9ASryE7/")</f>
        <v>https://vt.tiktok.com/ZS9ASryE7/</v>
      </c>
    </row>
    <row r="898">
      <c r="A898" s="255" t="str">
        <f>IFERROR(__xludf.DUMMYFUNCTION("""COMPUTED_VALUE"""),"MICRO")</f>
        <v>MICRO</v>
      </c>
      <c r="B898" s="361" t="str">
        <f>IFERROR(__xludf.DUMMYFUNCTION("""COMPUTED_VALUE"""),"beranteminjerawat")</f>
        <v>beranteminjerawat</v>
      </c>
      <c r="C898" s="257" t="str">
        <f>IFERROR(__xludf.DUMMYFUNCTION("""COMPUTED_VALUE"""),"https://www.tiktok.com/@beranteminjerawat")</f>
        <v>https://www.tiktok.com/@beranteminjerawat</v>
      </c>
      <c r="D898" s="270">
        <f>IFERROR(__xludf.DUMMYFUNCTION("""COMPUTED_VALUE"""),8.2285558227E10)</f>
        <v>82285558227</v>
      </c>
      <c r="E898" s="457">
        <f>IFERROR(__xludf.DUMMYFUNCTION("""COMPUTED_VALUE"""),0.0)</f>
        <v>0</v>
      </c>
      <c r="F898" s="270">
        <f>IFERROR(__xludf.DUMMYFUNCTION("""COMPUTED_VALUE"""),4.0)</f>
        <v>4</v>
      </c>
      <c r="G898" s="17" t="str">
        <f>IFERROR(__xludf.DUMMYFUNCTION("""COMPUTED_VALUE"""),"Sabun batang 1 Box ( 2 PCS )")</f>
        <v>Sabun batang 1 Box ( 2 PCS )</v>
      </c>
      <c r="H898" s="463" t="str">
        <f>IFERROR(__xludf.DUMMYFUNCTION("""COMPUTED_VALUE"""),"Sampai")</f>
        <v>Sampai</v>
      </c>
      <c r="I898" s="464" t="str">
        <f>IFERROR(__xludf.DUMMYFUNCTION("""COMPUTED_VALUE"""),"KIMME")</f>
        <v>KIMME</v>
      </c>
      <c r="J898" s="279" t="str">
        <f>IFERROR(__xludf.DUMMYFUNCTION("""COMPUTED_VALUE"""),"https://vt.tiktok.com/ZS9ASUKGv/")</f>
        <v>https://vt.tiktok.com/ZS9ASUKGv/</v>
      </c>
      <c r="K898" s="464" t="str">
        <f>IFERROR(__xludf.DUMMYFUNCTION("""COMPUTED_VALUE"""),"KIMME")</f>
        <v>KIMME</v>
      </c>
      <c r="L898" s="279" t="str">
        <f>IFERROR(__xludf.DUMMYFUNCTION("""COMPUTED_VALUE"""),"https://vt.tiktok.com/ZS9ASmGRC/")</f>
        <v>https://vt.tiktok.com/ZS9ASmGRC/</v>
      </c>
      <c r="M898" s="464"/>
      <c r="N898" s="279" t="str">
        <f>IFERROR(__xludf.DUMMYFUNCTION("""COMPUTED_VALUE"""),"https://vt.tiktok.com/ZS9AS5uxF/")</f>
        <v>https://vt.tiktok.com/ZS9AS5uxF/</v>
      </c>
      <c r="O898" s="464"/>
      <c r="P898" s="279" t="str">
        <f>IFERROR(__xludf.DUMMYFUNCTION("""COMPUTED_VALUE"""),"https://vt.tiktok.com/ZS9ynKBNm/")</f>
        <v>https://vt.tiktok.com/ZS9ynKBNm/</v>
      </c>
    </row>
    <row r="899">
      <c r="A899" s="255" t="str">
        <f>IFERROR(__xludf.DUMMYFUNCTION("""COMPUTED_VALUE"""),"MICRO")</f>
        <v>MICRO</v>
      </c>
      <c r="B899" s="361" t="str">
        <f>IFERROR(__xludf.DUMMYFUNCTION("""COMPUTED_VALUE"""),"eriasuci")</f>
        <v>eriasuci</v>
      </c>
      <c r="C899" s="257" t="str">
        <f>IFERROR(__xludf.DUMMYFUNCTION("""COMPUTED_VALUE"""),"https://www.tiktok.com/@eriasuci")</f>
        <v>https://www.tiktok.com/@eriasuci</v>
      </c>
      <c r="D899" s="270">
        <f>IFERROR(__xludf.DUMMYFUNCTION("""COMPUTED_VALUE"""),8.5708157322E10)</f>
        <v>85708157322</v>
      </c>
      <c r="E899" s="457">
        <f>IFERROR(__xludf.DUMMYFUNCTION("""COMPUTED_VALUE"""),0.0)</f>
        <v>0</v>
      </c>
      <c r="F899" s="270">
        <f>IFERROR(__xludf.DUMMYFUNCTION("""COMPUTED_VALUE"""),4.0)</f>
        <v>4</v>
      </c>
      <c r="G899" s="17" t="str">
        <f>IFERROR(__xludf.DUMMYFUNCTION("""COMPUTED_VALUE"""),"Sabun batang 1 Box ( 2 PCS )")</f>
        <v>Sabun batang 1 Box ( 2 PCS )</v>
      </c>
      <c r="H899" s="463" t="str">
        <f>IFERROR(__xludf.DUMMYFUNCTION("""COMPUTED_VALUE"""),"Sampai")</f>
        <v>Sampai</v>
      </c>
      <c r="I899" s="464" t="str">
        <f>IFERROR(__xludf.DUMMYFUNCTION("""COMPUTED_VALUE"""),"KIMME")</f>
        <v>KIMME</v>
      </c>
      <c r="J899" s="279" t="str">
        <f>IFERROR(__xludf.DUMMYFUNCTION("""COMPUTED_VALUE"""),"https://vt.tiktok.com/ZS9ynTPks/")</f>
        <v>https://vt.tiktok.com/ZS9ynTPks/</v>
      </c>
      <c r="K899" s="464" t="str">
        <f>IFERROR(__xludf.DUMMYFUNCTION("""COMPUTED_VALUE"""),"KIMME")</f>
        <v>KIMME</v>
      </c>
      <c r="L899" s="279" t="str">
        <f>IFERROR(__xludf.DUMMYFUNCTION("""COMPUTED_VALUE"""),"https://vt.tiktok.com/ZS9yWN6h1/")</f>
        <v>https://vt.tiktok.com/ZS9yWN6h1/</v>
      </c>
      <c r="M899" s="464"/>
      <c r="N899" s="279" t="str">
        <f>IFERROR(__xludf.DUMMYFUNCTION("""COMPUTED_VALUE"""),"https://vt.tiktok.com/ZS9yW8H4E/")</f>
        <v>https://vt.tiktok.com/ZS9yW8H4E/</v>
      </c>
      <c r="O899" s="464"/>
      <c r="P899" s="279" t="str">
        <f>IFERROR(__xludf.DUMMYFUNCTION("""COMPUTED_VALUE"""),"https://vt.tiktok.com/ZS9yWAgKA/")</f>
        <v>https://vt.tiktok.com/ZS9yWAgKA/</v>
      </c>
    </row>
    <row r="900">
      <c r="A900" s="255" t="str">
        <f>IFERROR(__xludf.DUMMYFUNCTION("""COMPUTED_VALUE"""),"MICRO")</f>
        <v>MICRO</v>
      </c>
      <c r="B900" s="361" t="str">
        <f>IFERROR(__xludf.DUMMYFUNCTION("""COMPUTED_VALUE"""),"ceisyaandr")</f>
        <v>ceisyaandr</v>
      </c>
      <c r="C900" s="257" t="str">
        <f>IFERROR(__xludf.DUMMYFUNCTION("""COMPUTED_VALUE"""),"https://www.tiktok.com/@ceisyaandr")</f>
        <v>https://www.tiktok.com/@ceisyaandr</v>
      </c>
      <c r="D900" s="270">
        <f>IFERROR(__xludf.DUMMYFUNCTION("""COMPUTED_VALUE"""),8.986957804E9)</f>
        <v>8986957804</v>
      </c>
      <c r="E900" s="457">
        <f>IFERROR(__xludf.DUMMYFUNCTION("""COMPUTED_VALUE"""),0.0)</f>
        <v>0</v>
      </c>
      <c r="F900" s="270">
        <f>IFERROR(__xludf.DUMMYFUNCTION("""COMPUTED_VALUE"""),4.0)</f>
        <v>4</v>
      </c>
      <c r="G900" s="17" t="str">
        <f>IFERROR(__xludf.DUMMYFUNCTION("""COMPUTED_VALUE"""),"Sabun batang 1 Box ( 2 PCS )")</f>
        <v>Sabun batang 1 Box ( 2 PCS )</v>
      </c>
      <c r="H900" s="463" t="str">
        <f>IFERROR(__xludf.DUMMYFUNCTION("""COMPUTED_VALUE"""),"Sampai")</f>
        <v>Sampai</v>
      </c>
      <c r="I900" s="464" t="str">
        <f>IFERROR(__xludf.DUMMYFUNCTION("""COMPUTED_VALUE"""),"KIMME")</f>
        <v>KIMME</v>
      </c>
      <c r="J900" s="279" t="str">
        <f>IFERROR(__xludf.DUMMYFUNCTION("""COMPUTED_VALUE"""),"https://vt.tiktok.com/ZS9yW9SFd/")</f>
        <v>https://vt.tiktok.com/ZS9yW9SFd/</v>
      </c>
      <c r="K900" s="464" t="str">
        <f>IFERROR(__xludf.DUMMYFUNCTION("""COMPUTED_VALUE"""),"KIMME")</f>
        <v>KIMME</v>
      </c>
      <c r="L900" s="279" t="str">
        <f>IFERROR(__xludf.DUMMYFUNCTION("""COMPUTED_VALUE"""),"https://vt.tiktok.com/ZS9yWbwo1/")</f>
        <v>https://vt.tiktok.com/ZS9yWbwo1/</v>
      </c>
      <c r="M900" s="464"/>
      <c r="N900" s="279" t="str">
        <f>IFERROR(__xludf.DUMMYFUNCTION("""COMPUTED_VALUE"""),"https://vt.tiktok.com/ZS9yW939e/")</f>
        <v>https://vt.tiktok.com/ZS9yW939e/</v>
      </c>
      <c r="O900" s="464"/>
      <c r="P900" s="279" t="str">
        <f>IFERROR(__xludf.DUMMYFUNCTION("""COMPUTED_VALUE"""),"https://vt.tiktok.com/ZS9fFRWdN/")</f>
        <v>https://vt.tiktok.com/ZS9fFRWdN/</v>
      </c>
    </row>
    <row r="901">
      <c r="A901" s="255" t="str">
        <f>IFERROR(__xludf.DUMMYFUNCTION("""COMPUTED_VALUE"""),"MICRO")</f>
        <v>MICRO</v>
      </c>
      <c r="B901" s="361" t="str">
        <f>IFERROR(__xludf.DUMMYFUNCTION("""COMPUTED_VALUE"""),"_ikaawdwnty")</f>
        <v>_ikaawdwnty</v>
      </c>
      <c r="C901" s="257" t="str">
        <f>IFERROR(__xludf.DUMMYFUNCTION("""COMPUTED_VALUE"""),"https://www.tiktok.com/@_ikaawdwnty")</f>
        <v>https://www.tiktok.com/@_ikaawdwnty</v>
      </c>
      <c r="D901" s="270">
        <f>IFERROR(__xludf.DUMMYFUNCTION("""COMPUTED_VALUE"""),8.5727795289E10)</f>
        <v>85727795289</v>
      </c>
      <c r="E901" s="457">
        <f>IFERROR(__xludf.DUMMYFUNCTION("""COMPUTED_VALUE"""),0.0)</f>
        <v>0</v>
      </c>
      <c r="F901" s="270">
        <f>IFERROR(__xludf.DUMMYFUNCTION("""COMPUTED_VALUE"""),4.0)</f>
        <v>4</v>
      </c>
      <c r="G901" s="17" t="str">
        <f>IFERROR(__xludf.DUMMYFUNCTION("""COMPUTED_VALUE"""),"Sabun batang 1 Box ( 2 PCS )")</f>
        <v>Sabun batang 1 Box ( 2 PCS )</v>
      </c>
      <c r="H901" s="463" t="str">
        <f>IFERROR(__xludf.DUMMYFUNCTION("""COMPUTED_VALUE"""),"Sampai")</f>
        <v>Sampai</v>
      </c>
      <c r="I901" s="464" t="str">
        <f>IFERROR(__xludf.DUMMYFUNCTION("""COMPUTED_VALUE"""),"KIMME")</f>
        <v>KIMME</v>
      </c>
      <c r="J901" s="279" t="str">
        <f>IFERROR(__xludf.DUMMYFUNCTION("""COMPUTED_VALUE"""),"https://vt.tiktok.com/ZS9S9LJLk/")</f>
        <v>https://vt.tiktok.com/ZS9S9LJLk/</v>
      </c>
      <c r="K901" s="464" t="str">
        <f>IFERROR(__xludf.DUMMYFUNCTION("""COMPUTED_VALUE"""),"KIMME")</f>
        <v>KIMME</v>
      </c>
      <c r="L901" s="279" t="str">
        <f>IFERROR(__xludf.DUMMYFUNCTION("""COMPUTED_VALUE"""),"https://vt.tiktok.com/ZS9SHyXhx/")</f>
        <v>https://vt.tiktok.com/ZS9SHyXhx/</v>
      </c>
      <c r="M901" s="464"/>
      <c r="N901" s="279" t="str">
        <f>IFERROR(__xludf.DUMMYFUNCTION("""COMPUTED_VALUE"""),"https://vt.tiktok.com/ZS9SHPpar/")</f>
        <v>https://vt.tiktok.com/ZS9SHPpar/</v>
      </c>
      <c r="O901" s="464"/>
      <c r="P901" s="279" t="str">
        <f>IFERROR(__xludf.DUMMYFUNCTION("""COMPUTED_VALUE"""),"https://vt.tiktok.com/ZS9Suktya/")</f>
        <v>https://vt.tiktok.com/ZS9Suktya/</v>
      </c>
    </row>
    <row r="902">
      <c r="A902" s="255" t="str">
        <f>IFERROR(__xludf.DUMMYFUNCTION("""COMPUTED_VALUE"""),"MICRO")</f>
        <v>MICRO</v>
      </c>
      <c r="B902" s="361" t="str">
        <f>IFERROR(__xludf.DUMMYFUNCTION("""COMPUTED_VALUE"""),"unboxingtime___")</f>
        <v>unboxingtime___</v>
      </c>
      <c r="C902" s="257" t="str">
        <f>IFERROR(__xludf.DUMMYFUNCTION("""COMPUTED_VALUE"""),"https://www.tiktok.com/@unboxingtime___")</f>
        <v>https://www.tiktok.com/@unboxingtime___</v>
      </c>
      <c r="D902" s="270">
        <f>IFERROR(__xludf.DUMMYFUNCTION("""COMPUTED_VALUE"""),8.1220335521E10)</f>
        <v>81220335521</v>
      </c>
      <c r="E902" s="457">
        <f>IFERROR(__xludf.DUMMYFUNCTION("""COMPUTED_VALUE"""),0.0)</f>
        <v>0</v>
      </c>
      <c r="F902" s="270">
        <f>IFERROR(__xludf.DUMMYFUNCTION("""COMPUTED_VALUE"""),4.0)</f>
        <v>4</v>
      </c>
      <c r="G902" s="17" t="str">
        <f>IFERROR(__xludf.DUMMYFUNCTION("""COMPUTED_VALUE"""),"Sabun batang 1 Box ( 2 PCS )")</f>
        <v>Sabun batang 1 Box ( 2 PCS )</v>
      </c>
      <c r="H902" s="463" t="str">
        <f>IFERROR(__xludf.DUMMYFUNCTION("""COMPUTED_VALUE"""),"Sampai")</f>
        <v>Sampai</v>
      </c>
      <c r="I902" s="464" t="str">
        <f>IFERROR(__xludf.DUMMYFUNCTION("""COMPUTED_VALUE"""),"KIMME")</f>
        <v>KIMME</v>
      </c>
      <c r="J902" s="279" t="str">
        <f>IFERROR(__xludf.DUMMYFUNCTION("""COMPUTED_VALUE"""),"https://vt.tiktok.com/ZS9SuNLoS/")</f>
        <v>https://vt.tiktok.com/ZS9SuNLoS/</v>
      </c>
      <c r="K902" s="464" t="str">
        <f>IFERROR(__xludf.DUMMYFUNCTION("""COMPUTED_VALUE"""),"KIMME")</f>
        <v>KIMME</v>
      </c>
      <c r="L902" s="279" t="str">
        <f>IFERROR(__xludf.DUMMYFUNCTION("""COMPUTED_VALUE"""),"https://vt.tiktok.com/ZS9Sm7opK/")</f>
        <v>https://vt.tiktok.com/ZS9Sm7opK/</v>
      </c>
      <c r="M902" s="464"/>
      <c r="N902" s="279" t="str">
        <f>IFERROR(__xludf.DUMMYFUNCTION("""COMPUTED_VALUE"""),"https://vt.tiktok.com/ZS9Suhp6r/")</f>
        <v>https://vt.tiktok.com/ZS9Suhp6r/</v>
      </c>
      <c r="O902" s="464"/>
      <c r="P902" s="279" t="str">
        <f>IFERROR(__xludf.DUMMYFUNCTION("""COMPUTED_VALUE"""),"https://vt.tiktok.com/ZS9D69t8q/")</f>
        <v>https://vt.tiktok.com/ZS9D69t8q/</v>
      </c>
    </row>
    <row r="903">
      <c r="A903" s="255" t="str">
        <f>IFERROR(__xludf.DUMMYFUNCTION("""COMPUTED_VALUE"""),"MICRO")</f>
        <v>MICRO</v>
      </c>
      <c r="B903" s="361" t="str">
        <f>IFERROR(__xludf.DUMMYFUNCTION("""COMPUTED_VALUE"""),"aboutpipita")</f>
        <v>aboutpipita</v>
      </c>
      <c r="C903" s="257" t="str">
        <f>IFERROR(__xludf.DUMMYFUNCTION("""COMPUTED_VALUE"""),"https://www.tiktok.com/@aboutpipita")</f>
        <v>https://www.tiktok.com/@aboutpipita</v>
      </c>
      <c r="D903" s="270">
        <f>IFERROR(__xludf.DUMMYFUNCTION("""COMPUTED_VALUE"""),8.8245478772E10)</f>
        <v>88245478772</v>
      </c>
      <c r="E903" s="457">
        <f>IFERROR(__xludf.DUMMYFUNCTION("""COMPUTED_VALUE"""),0.0)</f>
        <v>0</v>
      </c>
      <c r="F903" s="270">
        <f>IFERROR(__xludf.DUMMYFUNCTION("""COMPUTED_VALUE"""),4.0)</f>
        <v>4</v>
      </c>
      <c r="G903" s="17" t="str">
        <f>IFERROR(__xludf.DUMMYFUNCTION("""COMPUTED_VALUE"""),"Sabun batang 1 Box ( 2 PCS )")</f>
        <v>Sabun batang 1 Box ( 2 PCS )</v>
      </c>
      <c r="H903" s="463" t="str">
        <f>IFERROR(__xludf.DUMMYFUNCTION("""COMPUTED_VALUE"""),"Sampai")</f>
        <v>Sampai</v>
      </c>
      <c r="I903" s="464" t="str">
        <f>IFERROR(__xludf.DUMMYFUNCTION("""COMPUTED_VALUE"""),"KIMME")</f>
        <v>KIMME</v>
      </c>
      <c r="J903" s="17" t="str">
        <f>IFERROR(__xludf.DUMMYFUNCTION("""COMPUTED_VALUE"""),"⁠https://vt.tiktok.com/ZS9AUurMK/")</f>
        <v>⁠https://vt.tiktok.com/ZS9AUurMK/</v>
      </c>
      <c r="K903" s="464" t="str">
        <f>IFERROR(__xludf.DUMMYFUNCTION("""COMPUTED_VALUE"""),"KIMME")</f>
        <v>KIMME</v>
      </c>
      <c r="L903" s="279" t="str">
        <f>IFERROR(__xludf.DUMMYFUNCTION("""COMPUTED_VALUE"""),"https://www.tiktok.com/@elbystoree/video/7634047576072899861?_d=0&amp;_r=1&amp;ec_shared_reflux_dynamic_params=%7B%22placeholder_material_id%22%3A%227634047576072899861%22%2C%22placeholder_origin_cover%22%3A%22https%253A%252F%252Fp16-common-sign.tiktokcdn.com%252"&amp;"Ftos-alisg-p-0037%252FospeD85lIuMIBymEIqTxJBAUBRidzcfa7gHBri~tplv-tiktokx-origin.jpeg%253Fdr%253D14572%2526refresh_token%253D17a7a5f6%2526x-expires%253D1808992800%2526x-signature%253DJfLfyHSXXkpI0duDSKdnI45BWbg%25253D%2526t%253D4d5b0474%2526ps%253D1374061"&amp;"0%2526shp%253Dd05b14bd%2526shcp%253D34ff8df6%2526idc%253Dmy2%2526s%253DTIKTOK_AFFILIATE_VIRAL_VIDEO%22%2C%22placeholder_product_id%22%3A%221729427766722726591%22%2C%22placeholder_video_id%22%3A%227634047576072899861%22%7D&amp;ec_shared_reflux_scene=shop_tab_f"&amp;"eed&amp;mid=7597391122554194696&amp;preview_pb=0&amp;region=&amp;share_item_id=7634047576072899861&amp;sharer_language=&amp;source=h5_t&amp;u_code=ejaelbkd8gba53")</f>
        <v>https://www.tiktok.com/@elbystoree/video/7634047576072899861?_d=0&amp;_r=1&amp;ec_shared_reflux_dynamic_params=%7B%22placeholder_material_id%22%3A%227634047576072899861%22%2C%22placeholder_origin_cover%22%3A%22https%253A%252F%252Fp16-common-sign.tiktokcdn.com%252Ftos-alisg-p-0037%252FospeD85lIuMIBymEIqTxJBAUBRidzcfa7gHBri~tplv-tiktokx-origin.jpeg%253Fdr%253D14572%2526refresh_token%253D17a7a5f6%2526x-expires%253D1808992800%2526x-signature%253DJfLfyHSXXkpI0duDSKdnI45BWbg%25253D%2526t%253D4d5b0474%2526ps%253D13740610%2526shp%253Dd05b14bd%2526shcp%253D34ff8df6%2526idc%253Dmy2%2526s%253DTIKTOK_AFFILIATE_VIRAL_VIDEO%22%2C%22placeholder_product_id%22%3A%221729427766722726591%22%2C%22placeholder_video_id%22%3A%227634047576072899861%22%7D&amp;ec_shared_reflux_scene=shop_tab_feed&amp;mid=7597391122554194696&amp;preview_pb=0&amp;region=&amp;share_item_id=7634047576072899861&amp;sharer_language=&amp;source=h5_t&amp;u_code=ejaelbkd8gba53</v>
      </c>
      <c r="M903" s="464"/>
      <c r="N903" s="279" t="str">
        <f>IFERROR(__xludf.DUMMYFUNCTION("""COMPUTED_VALUE"""),"https://www.tiktok.com/@elbystoree/video/7633534965233306900?_r=1&amp;u_code=ejaelbkd8gba53&amp;region=&amp;mid=7536222757655350032&amp;preview_pb=0&amp;sharer_language=&amp;_d=0&amp;ec_shared_reflux_dynamic_params=%7B%22placeholder_material_id%22%3A%227633534965233306900%22%2C%22pl"&amp;"aceholder_origin_cover%22%3A%22https%253A%252F%252Fp16-sign-sg.tiktokcdn.com%252Ftos-alisg-p-0037%252FoMRBNFBQBhxfnt776puoAfUvstIEIFOWD8w1Eg~tplv-tiktokx-origin.jpeg%253Fdr%253D14572%2526refresh_token%253De9f4f13b%2526x-expires%253D1808992800%2526x-signat"&amp;"ure%253D3xKuET6iAlCOqpxzBDfD%25252BqgIGWU%25253D%2526t%253D4d5b0474%2526ps%253D13740610%2526shp%253Dd05b14bd%2526shcp%253D34ff8df6%2526idc%253Dmy2%2526s%253DTIKTOK_AFFILIATE_VIRAL_VIDEO%22%2C%22placeholder_product_id%22%3A%221729427766722726591%22%2C%22pl"&amp;"aceholder_video_id%22%3A%227633534965233306900%22%7D&amp;ec_shared_reflux_scene=shop_tab_feed&amp;share_item_id=7633534965233306900&amp;source=h5_t")</f>
        <v>https://www.tiktok.com/@elbystoree/video/7633534965233306900?_r=1&amp;u_code=ejaelbkd8gba53&amp;region=&amp;mid=7536222757655350032&amp;preview_pb=0&amp;sharer_language=&amp;_d=0&amp;ec_shared_reflux_dynamic_params=%7B%22placeholder_material_id%22%3A%227633534965233306900%22%2C%22placeholder_origin_cover%22%3A%22https%253A%252F%252Fp16-sign-sg.tiktokcdn.com%252Ftos-alisg-p-0037%252FoMRBNFBQBhxfnt776puoAfUvstIEIFOWD8w1Eg~tplv-tiktokx-origin.jpeg%253Fdr%253D14572%2526refresh_token%253De9f4f13b%2526x-expires%253D1808992800%2526x-signature%253D3xKuET6iAlCOqpxzBDfD%25252BqgIGWU%25253D%2526t%253D4d5b0474%2526ps%253D13740610%2526shp%253Dd05b14bd%2526shcp%253D34ff8df6%2526idc%253Dmy2%2526s%253DTIKTOK_AFFILIATE_VIRAL_VIDEO%22%2C%22placeholder_product_id%22%3A%221729427766722726591%22%2C%22placeholder_video_id%22%3A%227633534965233306900%22%7D&amp;ec_shared_reflux_scene=shop_tab_feed&amp;share_item_id=7633534965233306900&amp;source=h5_t</v>
      </c>
      <c r="O903" s="464"/>
      <c r="P903" s="279" t="str">
        <f>IFERROR(__xludf.DUMMYFUNCTION("""COMPUTED_VALUE"""),"https://vt.tiktok.com/ZS9BwuTQe/")</f>
        <v>https://vt.tiktok.com/ZS9BwuTQe/</v>
      </c>
    </row>
    <row r="904">
      <c r="A904" s="255" t="str">
        <f>IFERROR(__xludf.DUMMYFUNCTION("""COMPUTED_VALUE"""),"MICRO")</f>
        <v>MICRO</v>
      </c>
      <c r="B904" s="361" t="str">
        <f>IFERROR(__xludf.DUMMYFUNCTION("""COMPUTED_VALUE"""),"nddrs")</f>
        <v>nddrs</v>
      </c>
      <c r="C904" s="257" t="str">
        <f>IFERROR(__xludf.DUMMYFUNCTION("""COMPUTED_VALUE"""),"https://www.tiktok.com/@nddrs")</f>
        <v>https://www.tiktok.com/@nddrs</v>
      </c>
      <c r="D904" s="270">
        <f>IFERROR(__xludf.DUMMYFUNCTION("""COMPUTED_VALUE"""),8.7778482205E10)</f>
        <v>87778482205</v>
      </c>
      <c r="E904" s="457">
        <f>IFERROR(__xludf.DUMMYFUNCTION("""COMPUTED_VALUE"""),0.0)</f>
        <v>0</v>
      </c>
      <c r="F904" s="270">
        <f>IFERROR(__xludf.DUMMYFUNCTION("""COMPUTED_VALUE"""),4.0)</f>
        <v>4</v>
      </c>
      <c r="G904" s="17" t="str">
        <f>IFERROR(__xludf.DUMMYFUNCTION("""COMPUTED_VALUE"""),"Sabun batang 1 Box ( 2 PCS )")</f>
        <v>Sabun batang 1 Box ( 2 PCS )</v>
      </c>
      <c r="H904" s="463" t="str">
        <f>IFERROR(__xludf.DUMMYFUNCTION("""COMPUTED_VALUE"""),"Sampai")</f>
        <v>Sampai</v>
      </c>
      <c r="I904" s="464" t="str">
        <f>IFERROR(__xludf.DUMMYFUNCTION("""COMPUTED_VALUE"""),"KIMME")</f>
        <v>KIMME</v>
      </c>
      <c r="J904" s="279" t="str">
        <f>IFERROR(__xludf.DUMMYFUNCTION("""COMPUTED_VALUE"""),"https://vt.tiktok.com/ZS9BTcmy4/")</f>
        <v>https://vt.tiktok.com/ZS9BTcmy4/</v>
      </c>
      <c r="K904" s="464" t="str">
        <f>IFERROR(__xludf.DUMMYFUNCTION("""COMPUTED_VALUE"""),"KIMME")</f>
        <v>KIMME</v>
      </c>
      <c r="L904" s="279" t="str">
        <f>IFERROR(__xludf.DUMMYFUNCTION("""COMPUTED_VALUE"""),"https://vt.tiktok.com/ZS9BwjAQh/")</f>
        <v>https://vt.tiktok.com/ZS9BwjAQh/</v>
      </c>
      <c r="M904" s="464"/>
      <c r="N904" s="279" t="str">
        <f>IFERROR(__xludf.DUMMYFUNCTION("""COMPUTED_VALUE"""),"https://www.tiktok.com/@_ajibon/video/7633462339823488277")</f>
        <v>https://www.tiktok.com/@_ajibon/video/7633462339823488277</v>
      </c>
      <c r="O904" s="464"/>
      <c r="P904" s="279" t="str">
        <f>IFERROR(__xludf.DUMMYFUNCTION("""COMPUTED_VALUE"""),"https://www.tiktok.com/@_ajibon/video/7633467542194900244")</f>
        <v>https://www.tiktok.com/@_ajibon/video/7633467542194900244</v>
      </c>
    </row>
    <row r="905">
      <c r="A905" s="255" t="str">
        <f>IFERROR(__xludf.DUMMYFUNCTION("""COMPUTED_VALUE"""),"MICRO")</f>
        <v>MICRO</v>
      </c>
      <c r="B905" s="361" t="str">
        <f>IFERROR(__xludf.DUMMYFUNCTION("""COMPUTED_VALUE"""),"jenymarc.makeup
")</f>
        <v>jenymarc.makeup
</v>
      </c>
      <c r="C905" s="257" t="str">
        <f>IFERROR(__xludf.DUMMYFUNCTION("""COMPUTED_VALUE"""),"https://www.tiktok.com/@jenymarc.makeup
")</f>
        <v>https://www.tiktok.com/@jenymarc.makeup
</v>
      </c>
      <c r="D905" s="270">
        <f>IFERROR(__xludf.DUMMYFUNCTION("""COMPUTED_VALUE"""),8.1325700266E10)</f>
        <v>81325700266</v>
      </c>
      <c r="E905" s="457">
        <f>IFERROR(__xludf.DUMMYFUNCTION("""COMPUTED_VALUE"""),100000.0)</f>
        <v>100000</v>
      </c>
      <c r="F905" s="270">
        <f>IFERROR(__xludf.DUMMYFUNCTION("""COMPUTED_VALUE"""),1.0)</f>
        <v>1</v>
      </c>
      <c r="G905" s="17" t="str">
        <f>IFERROR(__xludf.DUMMYFUNCTION("""COMPUTED_VALUE"""),"Sabun batang 1 Box ( 2 PCS )")</f>
        <v>Sabun batang 1 Box ( 2 PCS )</v>
      </c>
      <c r="H905" s="463" t="str">
        <f>IFERROR(__xludf.DUMMYFUNCTION("""COMPUTED_VALUE"""),"Sampai")</f>
        <v>Sampai</v>
      </c>
      <c r="I905" s="464" t="str">
        <f>IFERROR(__xludf.DUMMYFUNCTION("""COMPUTED_VALUE"""),"KIMME")</f>
        <v>KIMME</v>
      </c>
      <c r="J905" s="17" t="str">
        <f>IFERROR(__xludf.DUMMYFUNCTION("""COMPUTED_VALUE"""),"⁠https://vt.tiktok.com/ZSxrFChYg/")</f>
        <v>⁠https://vt.tiktok.com/ZSxrFChYg/</v>
      </c>
      <c r="K905" s="464" t="str">
        <f>IFERROR(__xludf.DUMMYFUNCTION("""COMPUTED_VALUE"""),"KIMME")</f>
        <v>KIMME</v>
      </c>
      <c r="L905" s="17" t="str">
        <f>IFERROR(__xludf.DUMMYFUNCTION("""COMPUTED_VALUE"""),"⁠https://vt.tiktok.com/ZSxrFajq6/")</f>
        <v>⁠https://vt.tiktok.com/ZSxrFajq6/</v>
      </c>
      <c r="M905" s="464"/>
      <c r="N905" s="17" t="str">
        <f>IFERROR(__xludf.DUMMYFUNCTION("""COMPUTED_VALUE"""),"⁠https://vt.tiktok.com/ZSxrFHoLW/")</f>
        <v>⁠https://vt.tiktok.com/ZSxrFHoLW/</v>
      </c>
      <c r="O905" s="464"/>
      <c r="P905" s="17" t="str">
        <f>IFERROR(__xludf.DUMMYFUNCTION("""COMPUTED_VALUE"""),"⁠https://vt.tiktok.com/ZSxrFpC6t/")</f>
        <v>⁠https://vt.tiktok.com/ZSxrFpC6t/</v>
      </c>
    </row>
    <row r="906">
      <c r="A906" s="255" t="str">
        <f>IFERROR(__xludf.DUMMYFUNCTION("""COMPUTED_VALUE"""),"MICRO")</f>
        <v>MICRO</v>
      </c>
      <c r="B906" s="361" t="str">
        <f>IFERROR(__xludf.DUMMYFUNCTION("""COMPUTED_VALUE"""),"usniritav")</f>
        <v>usniritav</v>
      </c>
      <c r="C906" s="257" t="str">
        <f>IFERROR(__xludf.DUMMYFUNCTION("""COMPUTED_VALUE"""),"https://www.tiktok.com/@usniritav")</f>
        <v>https://www.tiktok.com/@usniritav</v>
      </c>
      <c r="D906" s="270">
        <f>IFERROR(__xludf.DUMMYFUNCTION("""COMPUTED_VALUE"""),8.1398807001E10)</f>
        <v>81398807001</v>
      </c>
      <c r="E906" s="457"/>
      <c r="F906" s="270"/>
      <c r="G906" s="17" t="str">
        <f>IFERROR(__xludf.DUMMYFUNCTION("""COMPUTED_VALUE"""),"Sabun batang 1 Box ( 2 PCS )")</f>
        <v>Sabun batang 1 Box ( 2 PCS )</v>
      </c>
      <c r="H906" s="463" t="str">
        <f>IFERROR(__xludf.DUMMYFUNCTION("""COMPUTED_VALUE"""),"Sampai")</f>
        <v>Sampai</v>
      </c>
      <c r="I906" s="464" t="str">
        <f>IFERROR(__xludf.DUMMYFUNCTION("""COMPUTED_VALUE"""),"KIMME")</f>
        <v>KIMME</v>
      </c>
      <c r="J906" s="279" t="str">
        <f>IFERROR(__xludf.DUMMYFUNCTION("""COMPUTED_VALUE"""),"https://www.tiktok.com/@byliyah/video/7632586338457406738?_r=1&amp;u_code=dj0c9igeb6ei5f&amp;region=&amp;mid=7614441852116290311&amp;preview_pb=0&amp;sharer_language=&amp;_d=0&amp;ec_shared_reflux_dynamic_params=%7B%22placeholder_material_id%22%3A%227632586338457406738%22%2C%22place"&amp;"holder_origin_cover%22%3A%22https%253A%252F%252Fp16-sign-sg.tiktokcdn.com%252Ftos-alisg-p-0037%252FocQ1BentGDbTL1fI9sIZMgIN2C4IeuSAG6jobA~tplv-tiktokx-origin.jpeg%253Fdr%253D14572%2526refresh_token%253Daa5e1fe4%2526x-expires%253D1808992800%2526x-signature"&amp;"%253DJWXSexrtYUEhaYNTI8VIeajt9B8%25253D%2526t%253D4d5b0474%2526ps%253D13740610%2526shp%253Dd05b14bd%2526shcp%253D34ff8df6%2526idc%253Dmy2%2526s%253DTIKTOK_AFFILIATE_VIRAL_VIDEO%22%2C%22placeholder_product_id%22%3A%221729427766722726591%22%2C%22placeholder"&amp;"_video_id%22%3A%227632586338457406738%22%7D&amp;ec_shared_reflux_scene=shop_tab_feed&amp;share_item_id=7632586338457406738&amp;source=h5_t")</f>
        <v>https://www.tiktok.com/@byliyah/video/7632586338457406738?_r=1&amp;u_code=dj0c9igeb6ei5f&amp;region=&amp;mid=7614441852116290311&amp;preview_pb=0&amp;sharer_language=&amp;_d=0&amp;ec_shared_reflux_dynamic_params=%7B%22placeholder_material_id%22%3A%227632586338457406738%22%2C%22placeholder_origin_cover%22%3A%22https%253A%252F%252Fp16-sign-sg.tiktokcdn.com%252Ftos-alisg-p-0037%252FocQ1BentGDbTL1fI9sIZMgIN2C4IeuSAG6jobA~tplv-tiktokx-origin.jpeg%253Fdr%253D14572%2526refresh_token%253Daa5e1fe4%2526x-expires%253D1808992800%2526x-signature%253DJWXSexrtYUEhaYNTI8VIeajt9B8%25253D%2526t%253D4d5b0474%2526ps%253D13740610%2526shp%253Dd05b14bd%2526shcp%253D34ff8df6%2526idc%253Dmy2%2526s%253DTIKTOK_AFFILIATE_VIRAL_VIDEO%22%2C%22placeholder_product_id%22%3A%221729427766722726591%22%2C%22placeholder_video_id%22%3A%227632586338457406738%22%7D&amp;ec_shared_reflux_scene=shop_tab_feed&amp;share_item_id=7632586338457406738&amp;source=h5_t</v>
      </c>
      <c r="K906" s="464" t="str">
        <f>IFERROR(__xludf.DUMMYFUNCTION("""COMPUTED_VALUE"""),"KIMME")</f>
        <v>KIMME</v>
      </c>
      <c r="L906" s="279" t="str">
        <f>IFERROR(__xludf.DUMMYFUNCTION("""COMPUTED_VALUE"""),"https://www.tiktok.com/@byliyah/video/7632596479227464978?_r=1&amp;u_code=dj0c9igeb6ei5f&amp;region=&amp;mid=7632596506828491538&amp;preview_pb=0&amp;sharer_language=&amp;_d=0&amp;ec_shared_reflux_dynamic_params=%7B%22placeholder_material_id%22%3A%227632596479227464978%22%2C%22place"&amp;"holder_origin_cover%22%3A%22https%253A%252F%252Fp16-common-sign.tiktokcdn.com%252Ftos-alisg-p-0037%252FoEtkYGB4IiAbICA9vDiujbCtAwjgfISs0xhPwB~tplv-tiktokx-origin.jpeg%253Fdr%253D14572%2526refresh_token%253D997041b7%2526x-expires%253D1808992800%2526x-signa"&amp;"ture%253DW%25252B7eK7qyPB2lPw%25252FtO1Zf4wHgBIE%25253D%2526t%253D4d5b0474%2526ps%253D13740610%2526shp%253Dd05b14bd%2526shcp%253D34ff8df6%2526idc%253Dmy2%2526s%253DTIKTOK_AFFILIATE_VIRAL_VIDEO%22%2C%22placeholder_product_id%22%3A%221729427766722726591%22%"&amp;"2C%22placeholder_video_id%22%3A%227632596479227464978%22%7D&amp;ec_shared_reflux_scene=shop_tab_feed&amp;share_item_id=7632596479227464978&amp;source=h5_t")</f>
        <v>https://www.tiktok.com/@byliyah/video/7632596479227464978?_r=1&amp;u_code=dj0c9igeb6ei5f&amp;region=&amp;mid=7632596506828491538&amp;preview_pb=0&amp;sharer_language=&amp;_d=0&amp;ec_shared_reflux_dynamic_params=%7B%22placeholder_material_id%22%3A%227632596479227464978%22%2C%22placeholder_origin_cover%22%3A%22https%253A%252F%252Fp16-common-sign.tiktokcdn.com%252Ftos-alisg-p-0037%252FoEtkYGB4IiAbICA9vDiujbCtAwjgfISs0xhPwB~tplv-tiktokx-origin.jpeg%253Fdr%253D14572%2526refresh_token%253D997041b7%2526x-expires%253D1808992800%2526x-signature%253DW%25252B7eK7qyPB2lPw%25252FtO1Zf4wHgBIE%25253D%2526t%253D4d5b0474%2526ps%253D13740610%2526shp%253Dd05b14bd%2526shcp%253D34ff8df6%2526idc%253Dmy2%2526s%253DTIKTOK_AFFILIATE_VIRAL_VIDEO%22%2C%22placeholder_product_id%22%3A%221729427766722726591%22%2C%22placeholder_video_id%22%3A%227632596479227464978%22%7D&amp;ec_shared_reflux_scene=shop_tab_feed&amp;share_item_id=7632596479227464978&amp;source=h5_t</v>
      </c>
      <c r="M906" s="464"/>
      <c r="N906" s="279" t="str">
        <f>IFERROR(__xludf.DUMMYFUNCTION("""COMPUTED_VALUE"""),"https://vt.tiktok.com/ZS9UYHM4V/")</f>
        <v>https://vt.tiktok.com/ZS9UYHM4V/</v>
      </c>
      <c r="O906" s="464"/>
      <c r="P906" s="279" t="str">
        <f>IFERROR(__xludf.DUMMYFUNCTION("""COMPUTED_VALUE"""),"https://vt.tiktok.com/ZS9U54ET3/")</f>
        <v>https://vt.tiktok.com/ZS9U54ET3/</v>
      </c>
    </row>
    <row r="907">
      <c r="A907" s="255" t="str">
        <f>IFERROR(__xludf.DUMMYFUNCTION("""COMPUTED_VALUE"""),"MICRO")</f>
        <v>MICRO</v>
      </c>
      <c r="B907" s="361" t="str">
        <f>IFERROR(__xludf.DUMMYFUNCTION("""COMPUTED_VALUE"""),"rina_galerina
")</f>
        <v>rina_galerina
</v>
      </c>
      <c r="C907" s="257" t="str">
        <f>IFERROR(__xludf.DUMMYFUNCTION("""COMPUTED_VALUE"""),"https://www.tiktok.com/@rina_galerina
")</f>
        <v>https://www.tiktok.com/@rina_galerina
</v>
      </c>
      <c r="D907" s="270">
        <f>IFERROR(__xludf.DUMMYFUNCTION("""COMPUTED_VALUE"""),8.2130012319E10)</f>
        <v>82130012319</v>
      </c>
      <c r="E907" s="457">
        <f>IFERROR(__xludf.DUMMYFUNCTION("""COMPUTED_VALUE"""),0.0)</f>
        <v>0</v>
      </c>
      <c r="F907" s="270">
        <f>IFERROR(__xludf.DUMMYFUNCTION("""COMPUTED_VALUE"""),4.0)</f>
        <v>4</v>
      </c>
      <c r="G907" s="17" t="str">
        <f>IFERROR(__xludf.DUMMYFUNCTION("""COMPUTED_VALUE"""),"Sabun batang 1 Box ( 2 PCS )")</f>
        <v>Sabun batang 1 Box ( 2 PCS )</v>
      </c>
      <c r="H907" s="463" t="str">
        <f>IFERROR(__xludf.DUMMYFUNCTION("""COMPUTED_VALUE"""),"Sampai")</f>
        <v>Sampai</v>
      </c>
      <c r="I907" s="464" t="str">
        <f>IFERROR(__xludf.DUMMYFUNCTION("""COMPUTED_VALUE"""),"KIMME")</f>
        <v>KIMME</v>
      </c>
      <c r="J907" s="17" t="str">
        <f>IFERROR(__xludf.DUMMYFUNCTION("""COMPUTED_VALUE"""),"⁠https://vt.tiktok.com/ZSxrFpvNM/")</f>
        <v>⁠https://vt.tiktok.com/ZSxrFpvNM/</v>
      </c>
      <c r="K907" s="464" t="str">
        <f>IFERROR(__xludf.DUMMYFUNCTION("""COMPUTED_VALUE"""),"KIMME")</f>
        <v>KIMME</v>
      </c>
      <c r="L907" s="279" t="str">
        <f>IFERROR(__xludf.DUMMYFUNCTION("""COMPUTED_VALUE"""),"https://vt.tiktok.com/ZSxrFADmf/")</f>
        <v>https://vt.tiktok.com/ZSxrFADmf/</v>
      </c>
      <c r="M907" s="464"/>
      <c r="N907" s="17" t="str">
        <f>IFERROR(__xludf.DUMMYFUNCTION("""COMPUTED_VALUE"""),"⁠https://vt.tiktok.com/ZSxrFSLQR/")</f>
        <v>⁠https://vt.tiktok.com/ZSxrFSLQR/</v>
      </c>
      <c r="O907" s="464"/>
      <c r="P907" s="17" t="str">
        <f>IFERROR(__xludf.DUMMYFUNCTION("""COMPUTED_VALUE"""),"⁠https://vt.tiktok.com/ZSxrF93NY/")</f>
        <v>⁠https://vt.tiktok.com/ZSxrF93NY/</v>
      </c>
    </row>
    <row r="908">
      <c r="A908" s="255" t="str">
        <f>IFERROR(__xludf.DUMMYFUNCTION("""COMPUTED_VALUE"""),"MICRO")</f>
        <v>MICRO</v>
      </c>
      <c r="B908" s="361" t="str">
        <f>IFERROR(__xludf.DUMMYFUNCTION("""COMPUTED_VALUE"""),"letttaqshaa")</f>
        <v>letttaqshaa</v>
      </c>
      <c r="C908" s="257" t="str">
        <f>IFERROR(__xludf.DUMMYFUNCTION("""COMPUTED_VALUE"""),"https://www.tiktok.com/@letttaqshaa")</f>
        <v>https://www.tiktok.com/@letttaqshaa</v>
      </c>
      <c r="D908" s="270">
        <f>IFERROR(__xludf.DUMMYFUNCTION("""COMPUTED_VALUE"""),8.1809085689E10)</f>
        <v>81809085689</v>
      </c>
      <c r="E908" s="457"/>
      <c r="F908" s="270"/>
      <c r="G908" s="17" t="str">
        <f>IFERROR(__xludf.DUMMYFUNCTION("""COMPUTED_VALUE"""),"Sabun batang 1 Box ( 2 PCS )")</f>
        <v>Sabun batang 1 Box ( 2 PCS )</v>
      </c>
      <c r="H908" s="463" t="str">
        <f>IFERROR(__xludf.DUMMYFUNCTION("""COMPUTED_VALUE"""),"Sampai")</f>
        <v>Sampai</v>
      </c>
      <c r="I908" s="464" t="str">
        <f>IFERROR(__xludf.DUMMYFUNCTION("""COMPUTED_VALUE"""),"KIMME")</f>
        <v>KIMME</v>
      </c>
      <c r="J908" s="279" t="str">
        <f>IFERROR(__xludf.DUMMYFUNCTION("""COMPUTED_VALUE"""),"https://vt.tiktok.com/ZS9ytga7Y/")</f>
        <v>https://vt.tiktok.com/ZS9ytga7Y/</v>
      </c>
      <c r="K908" s="464" t="str">
        <f>IFERROR(__xludf.DUMMYFUNCTION("""COMPUTED_VALUE"""),"KIMME")</f>
        <v>KIMME</v>
      </c>
      <c r="L908" s="279" t="str">
        <f>IFERROR(__xludf.DUMMYFUNCTION("""COMPUTED_VALUE"""),"https://vt.tiktok.com/ZS9Un277X/")</f>
        <v>https://vt.tiktok.com/ZS9Un277X/</v>
      </c>
      <c r="M908" s="464"/>
      <c r="N908" s="279" t="str">
        <f>IFERROR(__xludf.DUMMYFUNCTION("""COMPUTED_VALUE"""),"https://vt.tiktok.com/ZS9UgdCcn/")</f>
        <v>https://vt.tiktok.com/ZS9UgdCcn/</v>
      </c>
      <c r="O908" s="464"/>
      <c r="P908" s="279" t="str">
        <f>IFERROR(__xludf.DUMMYFUNCTION("""COMPUTED_VALUE"""),"https://vt.tiktok.com/ZS9DP43xr/")</f>
        <v>https://vt.tiktok.com/ZS9DP43xr/</v>
      </c>
    </row>
    <row r="909">
      <c r="A909" s="255" t="str">
        <f>IFERROR(__xludf.DUMMYFUNCTION("""COMPUTED_VALUE"""),"MICRO")</f>
        <v>MICRO</v>
      </c>
      <c r="B909" s="361" t="str">
        <f>IFERROR(__xludf.DUMMYFUNCTION("""COMPUTED_VALUE"""),"zoshiday")</f>
        <v>zoshiday</v>
      </c>
      <c r="C909" s="257" t="str">
        <f>IFERROR(__xludf.DUMMYFUNCTION("""COMPUTED_VALUE"""),"https://www.tiktok.com/@zoshiday")</f>
        <v>https://www.tiktok.com/@zoshiday</v>
      </c>
      <c r="D909" s="270">
        <f>IFERROR(__xludf.DUMMYFUNCTION("""COMPUTED_VALUE"""),8.9602742934E10)</f>
        <v>89602742934</v>
      </c>
      <c r="E909" s="457"/>
      <c r="F909" s="270"/>
      <c r="G909" s="17" t="str">
        <f>IFERROR(__xludf.DUMMYFUNCTION("""COMPUTED_VALUE"""),"Sabun batang 1 Box ( 2 PCS )")</f>
        <v>Sabun batang 1 Box ( 2 PCS )</v>
      </c>
      <c r="H909" s="463" t="str">
        <f>IFERROR(__xludf.DUMMYFUNCTION("""COMPUTED_VALUE"""),"Sampai")</f>
        <v>Sampai</v>
      </c>
      <c r="I909" s="464" t="str">
        <f>IFERROR(__xludf.DUMMYFUNCTION("""COMPUTED_VALUE"""),"KIMME")</f>
        <v>KIMME</v>
      </c>
      <c r="J909" s="279" t="str">
        <f>IFERROR(__xludf.DUMMYFUNCTION("""COMPUTED_VALUE"""),"https://vt.tiktok.com/ZS9U5EB6a/")</f>
        <v>https://vt.tiktok.com/ZS9U5EB6a/</v>
      </c>
      <c r="K909" s="464" t="str">
        <f>IFERROR(__xludf.DUMMYFUNCTION("""COMPUTED_VALUE"""),"KIMME")</f>
        <v>KIMME</v>
      </c>
      <c r="L909" s="279" t="str">
        <f>IFERROR(__xludf.DUMMYFUNCTION("""COMPUTED_VALUE"""),"https://vt.tiktok.com/ZS9U5pQ9X/")</f>
        <v>https://vt.tiktok.com/ZS9U5pQ9X/</v>
      </c>
      <c r="M909" s="464"/>
      <c r="N909" s="279" t="str">
        <f>IFERROR(__xludf.DUMMYFUNCTION("""COMPUTED_VALUE"""),"https://vt.tiktok.com/ZS9U5WbA8/")</f>
        <v>https://vt.tiktok.com/ZS9U5WbA8/</v>
      </c>
      <c r="O909" s="464"/>
      <c r="P909" s="279" t="str">
        <f>IFERROR(__xludf.DUMMYFUNCTION("""COMPUTED_VALUE"""),"https://vt.tiktok.com/ZS9U5Tokq/")</f>
        <v>https://vt.tiktok.com/ZS9U5Tokq/</v>
      </c>
    </row>
    <row r="910">
      <c r="A910" s="255" t="str">
        <f>IFERROR(__xludf.DUMMYFUNCTION("""COMPUTED_VALUE"""),"MICRO")</f>
        <v>MICRO</v>
      </c>
      <c r="B910" s="361" t="str">
        <f>IFERROR(__xludf.DUMMYFUNCTION("""COMPUTED_VALUE"""),"dvirh9")</f>
        <v>dvirh9</v>
      </c>
      <c r="C910" s="257" t="str">
        <f>IFERROR(__xludf.DUMMYFUNCTION("""COMPUTED_VALUE"""),"https://www.tiktok.com/@dvirh9")</f>
        <v>https://www.tiktok.com/@dvirh9</v>
      </c>
      <c r="D910" s="270">
        <f>IFERROR(__xludf.DUMMYFUNCTION("""COMPUTED_VALUE"""),8.7723109306E10)</f>
        <v>87723109306</v>
      </c>
      <c r="E910" s="457"/>
      <c r="F910" s="270"/>
      <c r="G910" s="17" t="str">
        <f>IFERROR(__xludf.DUMMYFUNCTION("""COMPUTED_VALUE"""),"Sabun batang 1 Box ( 2 PCS )")</f>
        <v>Sabun batang 1 Box ( 2 PCS )</v>
      </c>
      <c r="H910" s="463" t="str">
        <f>IFERROR(__xludf.DUMMYFUNCTION("""COMPUTED_VALUE"""),"Sampai")</f>
        <v>Sampai</v>
      </c>
      <c r="I910" s="464" t="str">
        <f>IFERROR(__xludf.DUMMYFUNCTION("""COMPUTED_VALUE"""),"KIMME")</f>
        <v>KIMME</v>
      </c>
      <c r="J910" s="279" t="str">
        <f>IFERROR(__xludf.DUMMYFUNCTION("""COMPUTED_VALUE"""),"https://vt.tiktok.com/ZS9fyKq1r/")</f>
        <v>https://vt.tiktok.com/ZS9fyKq1r/</v>
      </c>
      <c r="K910" s="464" t="str">
        <f>IFERROR(__xludf.DUMMYFUNCTION("""COMPUTED_VALUE"""),"KIMME")</f>
        <v>KIMME</v>
      </c>
      <c r="L910" s="279" t="str">
        <f>IFERROR(__xludf.DUMMYFUNCTION("""COMPUTED_VALUE"""),"https://vt.tiktok.com/ZS9ffRSun/")</f>
        <v>https://vt.tiktok.com/ZS9ffRSun/</v>
      </c>
      <c r="M910" s="464"/>
      <c r="N910" s="279" t="str">
        <f>IFERROR(__xludf.DUMMYFUNCTION("""COMPUTED_VALUE"""),"https://vt.tiktok.com/ZS9ff6xje/")</f>
        <v>https://vt.tiktok.com/ZS9ff6xje/</v>
      </c>
      <c r="O910" s="464"/>
      <c r="P910" s="279" t="str">
        <f>IFERROR(__xludf.DUMMYFUNCTION("""COMPUTED_VALUE"""),"https://vt.tiktok.com/ZS9ff1Byx/")</f>
        <v>https://vt.tiktok.com/ZS9ff1Byx/</v>
      </c>
    </row>
    <row r="911">
      <c r="A911" s="255" t="str">
        <f>IFERROR(__xludf.DUMMYFUNCTION("""COMPUTED_VALUE"""),"MICRO")</f>
        <v>MICRO</v>
      </c>
      <c r="B911" s="361" t="str">
        <f>IFERROR(__xludf.DUMMYFUNCTION("""COMPUTED_VALUE"""),"Skindashelviana ")</f>
        <v>Skindashelviana </v>
      </c>
      <c r="C911" s="257" t="str">
        <f>IFERROR(__xludf.DUMMYFUNCTION("""COMPUTED_VALUE"""),"https://www.tiktok.com/@Skindashelviana ")</f>
        <v>https://www.tiktok.com/@Skindashelviana </v>
      </c>
      <c r="D911" s="270">
        <f>IFERROR(__xludf.DUMMYFUNCTION("""COMPUTED_VALUE"""),8.9696686353E10)</f>
        <v>89696686353</v>
      </c>
      <c r="E911" s="457"/>
      <c r="F911" s="270"/>
      <c r="G911" s="17" t="str">
        <f>IFERROR(__xludf.DUMMYFUNCTION("""COMPUTED_VALUE"""),"Sabun batang 1 Box ( 2 PCS )")</f>
        <v>Sabun batang 1 Box ( 2 PCS )</v>
      </c>
      <c r="H911" s="463" t="str">
        <f>IFERROR(__xludf.DUMMYFUNCTION("""COMPUTED_VALUE"""),"Sampai")</f>
        <v>Sampai</v>
      </c>
      <c r="I911" s="464" t="str">
        <f>IFERROR(__xludf.DUMMYFUNCTION("""COMPUTED_VALUE"""),"KIMME")</f>
        <v>KIMME</v>
      </c>
      <c r="J911" s="279" t="str">
        <f>IFERROR(__xludf.DUMMYFUNCTION("""COMPUTED_VALUE"""),"https://vt.tiktok.com/ZS9fyyN1Y/")</f>
        <v>https://vt.tiktok.com/ZS9fyyN1Y/</v>
      </c>
      <c r="K911" s="464" t="str">
        <f>IFERROR(__xludf.DUMMYFUNCTION("""COMPUTED_VALUE"""),"KIMME")</f>
        <v>KIMME</v>
      </c>
      <c r="L911" s="279" t="str">
        <f>IFERROR(__xludf.DUMMYFUNCTION("""COMPUTED_VALUE"""),"https://vt.tiktok.com/ZS9fd9sKG/")</f>
        <v>https://vt.tiktok.com/ZS9fd9sKG/</v>
      </c>
      <c r="M911" s="464"/>
      <c r="N911" s="279" t="str">
        <f>IFERROR(__xludf.DUMMYFUNCTION("""COMPUTED_VALUE"""),"https://vt.tiktok.com/ZS9fd54BF/")</f>
        <v>https://vt.tiktok.com/ZS9fd54BF/</v>
      </c>
      <c r="O911" s="464"/>
      <c r="P911" s="279" t="str">
        <f>IFERROR(__xludf.DUMMYFUNCTION("""COMPUTED_VALUE"""),"https://vt.tiktok.com/ZS9fdPTRU/")</f>
        <v>https://vt.tiktok.com/ZS9fdPTRU/</v>
      </c>
    </row>
    <row r="912">
      <c r="A912" s="255" t="str">
        <f>IFERROR(__xludf.DUMMYFUNCTION("""COMPUTED_VALUE"""),"MICRO")</f>
        <v>MICRO</v>
      </c>
      <c r="B912" s="361" t="str">
        <f>IFERROR(__xludf.DUMMYFUNCTION("""COMPUTED_VALUE"""),"larasati1885")</f>
        <v>larasati1885</v>
      </c>
      <c r="C912" s="257" t="str">
        <f>IFERROR(__xludf.DUMMYFUNCTION("""COMPUTED_VALUE"""),"https://www.tiktok.com/@larasati1885")</f>
        <v>https://www.tiktok.com/@larasati1885</v>
      </c>
      <c r="D912" s="270">
        <f>IFERROR(__xludf.DUMMYFUNCTION("""COMPUTED_VALUE"""),8.5220297101E10)</f>
        <v>85220297101</v>
      </c>
      <c r="E912" s="457"/>
      <c r="F912" s="270"/>
      <c r="G912" s="17" t="str">
        <f>IFERROR(__xludf.DUMMYFUNCTION("""COMPUTED_VALUE"""),"Sabun batang 1 Box ( 2 PCS )")</f>
        <v>Sabun batang 1 Box ( 2 PCS )</v>
      </c>
      <c r="H912" s="463" t="str">
        <f>IFERROR(__xludf.DUMMYFUNCTION("""COMPUTED_VALUE"""),"Sampai")</f>
        <v>Sampai</v>
      </c>
      <c r="I912" s="464" t="str">
        <f>IFERROR(__xludf.DUMMYFUNCTION("""COMPUTED_VALUE"""),"KIMME")</f>
        <v>KIMME</v>
      </c>
      <c r="J912" s="279" t="str">
        <f>IFERROR(__xludf.DUMMYFUNCTION("""COMPUTED_VALUE"""),"https://vt.tiktok.com/ZS9fdy6nY/")</f>
        <v>https://vt.tiktok.com/ZS9fdy6nY/</v>
      </c>
      <c r="K912" s="464" t="str">
        <f>IFERROR(__xludf.DUMMYFUNCTION("""COMPUTED_VALUE"""),"KIMME")</f>
        <v>KIMME</v>
      </c>
      <c r="L912" s="279" t="str">
        <f>IFERROR(__xludf.DUMMYFUNCTION("""COMPUTED_VALUE"""),"https://vt.tiktok.com/ZS9fdHfq7/")</f>
        <v>https://vt.tiktok.com/ZS9fdHfq7/</v>
      </c>
      <c r="M912" s="464"/>
      <c r="N912" s="279" t="str">
        <f>IFERROR(__xludf.DUMMYFUNCTION("""COMPUTED_VALUE"""),"https://vt.tiktok.com/ZS9fdkEN3/")</f>
        <v>https://vt.tiktok.com/ZS9fdkEN3/</v>
      </c>
      <c r="O912" s="464"/>
      <c r="P912" s="279" t="str">
        <f>IFERROR(__xludf.DUMMYFUNCTION("""COMPUTED_VALUE"""),"https://vt.tiktok.com/ZS9fd9dpa/")</f>
        <v>https://vt.tiktok.com/ZS9fd9dpa/</v>
      </c>
    </row>
    <row r="913">
      <c r="A913" s="255" t="str">
        <f>IFERROR(__xludf.DUMMYFUNCTION("""COMPUTED_VALUE"""),"MICRO")</f>
        <v>MICRO</v>
      </c>
      <c r="B913" s="361" t="str">
        <f>IFERROR(__xludf.DUMMYFUNCTION("""COMPUTED_VALUE"""),"novia_aida011")</f>
        <v>novia_aida011</v>
      </c>
      <c r="C913" s="257" t="str">
        <f>IFERROR(__xludf.DUMMYFUNCTION("""COMPUTED_VALUE"""),"https://www.tiktok.com/@novia_aida011")</f>
        <v>https://www.tiktok.com/@novia_aida011</v>
      </c>
      <c r="D913" s="270">
        <f>IFERROR(__xludf.DUMMYFUNCTION("""COMPUTED_VALUE"""),8.818570993E9)</f>
        <v>8818570993</v>
      </c>
      <c r="E913" s="457">
        <f>IFERROR(__xludf.DUMMYFUNCTION("""COMPUTED_VALUE"""),0.0)</f>
        <v>0</v>
      </c>
      <c r="F913" s="270">
        <f>IFERROR(__xludf.DUMMYFUNCTION("""COMPUTED_VALUE"""),4.0)</f>
        <v>4</v>
      </c>
      <c r="G913" s="17" t="str">
        <f>IFERROR(__xludf.DUMMYFUNCTION("""COMPUTED_VALUE"""),"Sabun batang 1 Box ( 2 PCS )")</f>
        <v>Sabun batang 1 Box ( 2 PCS )</v>
      </c>
      <c r="H913" s="463" t="str">
        <f>IFERROR(__xludf.DUMMYFUNCTION("""COMPUTED_VALUE"""),"Sampai")</f>
        <v>Sampai</v>
      </c>
      <c r="I913" s="464" t="str">
        <f>IFERROR(__xludf.DUMMYFUNCTION("""COMPUTED_VALUE"""),"KIMME")</f>
        <v>KIMME</v>
      </c>
      <c r="J913" s="17" t="str">
        <f>IFERROR(__xludf.DUMMYFUNCTION("""COMPUTED_VALUE"""),"⁠https://vt.tiktok.com/ZSx6SK89J/")</f>
        <v>⁠https://vt.tiktok.com/ZSx6SK89J/</v>
      </c>
      <c r="K913" s="464" t="str">
        <f>IFERROR(__xludf.DUMMYFUNCTION("""COMPUTED_VALUE"""),"KIMME")</f>
        <v>KIMME</v>
      </c>
      <c r="L913" s="279" t="str">
        <f>IFERROR(__xludf.DUMMYFUNCTION("""COMPUTED_VALUE"""),"https://vt.tiktok.com/ZSx6Soc6r/")</f>
        <v>https://vt.tiktok.com/ZSx6Soc6r/</v>
      </c>
      <c r="M913" s="464"/>
      <c r="N913" s="17" t="str">
        <f>IFERROR(__xludf.DUMMYFUNCTION("""COMPUTED_VALUE"""),"⁠https://vt.tiktok.com/ZSx6S3MMe/")</f>
        <v>⁠https://vt.tiktok.com/ZSx6S3MMe/</v>
      </c>
      <c r="O913" s="464"/>
      <c r="P913" s="279" t="str">
        <f>IFERROR(__xludf.DUMMYFUNCTION("""COMPUTED_VALUE"""),"https://vt.tiktok.com/ZSx6A2JNP/")</f>
        <v>https://vt.tiktok.com/ZSx6A2JNP/</v>
      </c>
    </row>
    <row r="914">
      <c r="A914" s="255" t="str">
        <f>IFERROR(__xludf.DUMMYFUNCTION("""COMPUTED_VALUE"""),"MICRO")</f>
        <v>MICRO</v>
      </c>
      <c r="B914" s="361" t="str">
        <f>IFERROR(__xludf.DUMMYFUNCTION("""COMPUTED_VALUE"""),"withleony")</f>
        <v>withleony</v>
      </c>
      <c r="C914" s="257" t="str">
        <f>IFERROR(__xludf.DUMMYFUNCTION("""COMPUTED_VALUE"""),"https://www.tiktok.com/@withleony")</f>
        <v>https://www.tiktok.com/@withleony</v>
      </c>
      <c r="D914" s="270">
        <f>IFERROR(__xludf.DUMMYFUNCTION("""COMPUTED_VALUE"""),8.221181896E10)</f>
        <v>82211818960</v>
      </c>
      <c r="E914" s="457"/>
      <c r="F914" s="270"/>
      <c r="G914" s="17" t="str">
        <f>IFERROR(__xludf.DUMMYFUNCTION("""COMPUTED_VALUE"""),"Sabun batang 1 Box ( 2 PCS )")</f>
        <v>Sabun batang 1 Box ( 2 PCS )</v>
      </c>
      <c r="H914" s="463" t="str">
        <f>IFERROR(__xludf.DUMMYFUNCTION("""COMPUTED_VALUE"""),"Sampai")</f>
        <v>Sampai</v>
      </c>
      <c r="I914" s="464" t="str">
        <f>IFERROR(__xludf.DUMMYFUNCTION("""COMPUTED_VALUE"""),"KIMME")</f>
        <v>KIMME</v>
      </c>
      <c r="J914" s="279" t="str">
        <f>IFERROR(__xludf.DUMMYFUNCTION("""COMPUTED_VALUE"""),"https://vt.tiktok.com/ZS9fdNVN3/")</f>
        <v>https://vt.tiktok.com/ZS9fdNVN3/</v>
      </c>
      <c r="K914" s="464" t="str">
        <f>IFERROR(__xludf.DUMMYFUNCTION("""COMPUTED_VALUE"""),"KIMME")</f>
        <v>KIMME</v>
      </c>
      <c r="L914" s="279" t="str">
        <f>IFERROR(__xludf.DUMMYFUNCTION("""COMPUTED_VALUE"""),"https://vt.tiktok.com/ZS9fdrDdR/")</f>
        <v>https://vt.tiktok.com/ZS9fdrDdR/</v>
      </c>
      <c r="M914" s="464"/>
      <c r="N914" s="279" t="str">
        <f>IFERROR(__xludf.DUMMYFUNCTION("""COMPUTED_VALUE"""),"https://vt.tiktok.com/ZS9fdL447/")</f>
        <v>https://vt.tiktok.com/ZS9fdL447/</v>
      </c>
      <c r="O914" s="464"/>
      <c r="P914" s="279" t="str">
        <f>IFERROR(__xludf.DUMMYFUNCTION("""COMPUTED_VALUE"""),"https://vt.tiktok.com/ZS9fdYkVq/")</f>
        <v>https://vt.tiktok.com/ZS9fdYkVq/</v>
      </c>
    </row>
    <row r="915">
      <c r="A915" s="255" t="str">
        <f>IFERROR(__xludf.DUMMYFUNCTION("""COMPUTED_VALUE"""),"MICRO")</f>
        <v>MICRO</v>
      </c>
      <c r="B915" s="361" t="str">
        <f>IFERROR(__xludf.DUMMYFUNCTION("""COMPUTED_VALUE"""),"noviaifr")</f>
        <v>noviaifr</v>
      </c>
      <c r="C915" s="257" t="str">
        <f>IFERROR(__xludf.DUMMYFUNCTION("""COMPUTED_VALUE"""),"https://www.tiktok.com/@noviaifr")</f>
        <v>https://www.tiktok.com/@noviaifr</v>
      </c>
      <c r="D915" s="270">
        <f>IFERROR(__xludf.DUMMYFUNCTION("""COMPUTED_VALUE"""),8.5956458561E10)</f>
        <v>85956458561</v>
      </c>
      <c r="E915" s="457"/>
      <c r="F915" s="270"/>
      <c r="G915" s="17" t="str">
        <f>IFERROR(__xludf.DUMMYFUNCTION("""COMPUTED_VALUE"""),"Sabun batang 1 Box ( 2 PCS )")</f>
        <v>Sabun batang 1 Box ( 2 PCS )</v>
      </c>
      <c r="H915" s="463" t="str">
        <f>IFERROR(__xludf.DUMMYFUNCTION("""COMPUTED_VALUE"""),"Sampai")</f>
        <v>Sampai</v>
      </c>
      <c r="I915" s="464" t="str">
        <f>IFERROR(__xludf.DUMMYFUNCTION("""COMPUTED_VALUE"""),"KIMME")</f>
        <v>KIMME</v>
      </c>
      <c r="J915" s="279" t="str">
        <f>IFERROR(__xludf.DUMMYFUNCTION("""COMPUTED_VALUE"""),"https://vt.tiktok.com/ZS9fdDfYR/")</f>
        <v>https://vt.tiktok.com/ZS9fdDfYR/</v>
      </c>
      <c r="K915" s="464" t="str">
        <f>IFERROR(__xludf.DUMMYFUNCTION("""COMPUTED_VALUE"""),"KIMME")</f>
        <v>KIMME</v>
      </c>
      <c r="L915" s="279" t="str">
        <f>IFERROR(__xludf.DUMMYFUNCTION("""COMPUTED_VALUE"""),"https://vt.tiktok.com/ZS9fdFc96/")</f>
        <v>https://vt.tiktok.com/ZS9fdFc96/</v>
      </c>
      <c r="M915" s="464"/>
      <c r="N915" s="279" t="str">
        <f>IFERROR(__xludf.DUMMYFUNCTION("""COMPUTED_VALUE"""),"https://vt.tiktok.com/ZS9fdACbo/")</f>
        <v>https://vt.tiktok.com/ZS9fdACbo/</v>
      </c>
      <c r="O915" s="464"/>
      <c r="P915" s="279" t="str">
        <f>IFERROR(__xludf.DUMMYFUNCTION("""COMPUTED_VALUE"""),"https://vt.tiktok.com/ZS9fLURSv/")</f>
        <v>https://vt.tiktok.com/ZS9fLURSv/</v>
      </c>
    </row>
    <row r="916">
      <c r="A916" s="255" t="str">
        <f>IFERROR(__xludf.DUMMYFUNCTION("""COMPUTED_VALUE"""),"MACRO")</f>
        <v>MACRO</v>
      </c>
      <c r="B916" s="361" t="str">
        <f>IFERROR(__xludf.DUMMYFUNCTION("""COMPUTED_VALUE"""),"fanycpltr")</f>
        <v>fanycpltr</v>
      </c>
      <c r="C916" s="257" t="str">
        <f>IFERROR(__xludf.DUMMYFUNCTION("""COMPUTED_VALUE"""),"https://www.tiktok.com/@fanycpltr")</f>
        <v>https://www.tiktok.com/@fanycpltr</v>
      </c>
      <c r="D916" s="270">
        <f>IFERROR(__xludf.DUMMYFUNCTION("""COMPUTED_VALUE"""),8.2259077824E10)</f>
        <v>82259077824</v>
      </c>
      <c r="E916" s="457">
        <f>IFERROR(__xludf.DUMMYFUNCTION("""COMPUTED_VALUE"""),100000.0)</f>
        <v>100000</v>
      </c>
      <c r="F916" s="270">
        <f>IFERROR(__xludf.DUMMYFUNCTION("""COMPUTED_VALUE"""),1.0)</f>
        <v>1</v>
      </c>
      <c r="G916" s="17" t="str">
        <f>IFERROR(__xludf.DUMMYFUNCTION("""COMPUTED_VALUE"""),"Sabun batang 1 Box ( 2 PCS )")</f>
        <v>Sabun batang 1 Box ( 2 PCS )</v>
      </c>
      <c r="H916" s="463" t="str">
        <f>IFERROR(__xludf.DUMMYFUNCTION("""COMPUTED_VALUE"""),"Sampai")</f>
        <v>Sampai</v>
      </c>
      <c r="I916" s="464" t="str">
        <f>IFERROR(__xludf.DUMMYFUNCTION("""COMPUTED_VALUE"""),"KIMME")</f>
        <v>KIMME</v>
      </c>
      <c r="J916" s="17"/>
      <c r="K916" s="464" t="str">
        <f>IFERROR(__xludf.DUMMYFUNCTION("""COMPUTED_VALUE"""),"KIMME")</f>
        <v>KIMME</v>
      </c>
      <c r="L916" s="17"/>
      <c r="M916" s="464"/>
      <c r="N916" s="17"/>
      <c r="O916" s="464"/>
      <c r="P916" s="17"/>
    </row>
    <row r="917">
      <c r="A917" s="255" t="str">
        <f>IFERROR(__xludf.DUMMYFUNCTION("""COMPUTED_VALUE"""),"MICRO")</f>
        <v>MICRO</v>
      </c>
      <c r="B917" s="361" t="str">
        <f>IFERROR(__xludf.DUMMYFUNCTION("""COMPUTED_VALUE"""),"indahsafira90")</f>
        <v>indahsafira90</v>
      </c>
      <c r="C917" s="257" t="str">
        <f>IFERROR(__xludf.DUMMYFUNCTION("""COMPUTED_VALUE"""),"https://www.tiktok.com/@indahsafira90")</f>
        <v>https://www.tiktok.com/@indahsafira90</v>
      </c>
      <c r="D917" s="270">
        <f>IFERROR(__xludf.DUMMYFUNCTION("""COMPUTED_VALUE"""),8.5737662047E10)</f>
        <v>85737662047</v>
      </c>
      <c r="E917" s="457"/>
      <c r="F917" s="270"/>
      <c r="G917" s="17" t="str">
        <f>IFERROR(__xludf.DUMMYFUNCTION("""COMPUTED_VALUE"""),"Sabun batang 1 Box ( 2 PCS )")</f>
        <v>Sabun batang 1 Box ( 2 PCS )</v>
      </c>
      <c r="H917" s="463" t="str">
        <f>IFERROR(__xludf.DUMMYFUNCTION("""COMPUTED_VALUE"""),"Sampai")</f>
        <v>Sampai</v>
      </c>
      <c r="I917" s="464" t="str">
        <f>IFERROR(__xludf.DUMMYFUNCTION("""COMPUTED_VALUE"""),"KIMME")</f>
        <v>KIMME</v>
      </c>
      <c r="J917" s="17" t="str">
        <f>IFERROR(__xludf.DUMMYFUNCTION("""COMPUTED_VALUE"""),"⁠⁠https://vt.tiktok.com/ZS9SQpU94/")</f>
        <v>⁠⁠https://vt.tiktok.com/ZS9SQpU94/</v>
      </c>
      <c r="K917" s="464" t="str">
        <f>IFERROR(__xludf.DUMMYFUNCTION("""COMPUTED_VALUE"""),"KIMME")</f>
        <v>KIMME</v>
      </c>
      <c r="L917" s="279" t="str">
        <f>IFERROR(__xludf.DUMMYFUNCTION("""COMPUTED_VALUE"""),"https://vt.tiktok.com/ZS9SQxX4b/")</f>
        <v>https://vt.tiktok.com/ZS9SQxX4b/</v>
      </c>
      <c r="M917" s="464"/>
      <c r="N917" s="17" t="str">
        <f>IFERROR(__xludf.DUMMYFUNCTION("""COMPUTED_VALUE"""),"⁠https://vt.tiktok.com/ZS9S9Mcw2/")</f>
        <v>⁠https://vt.tiktok.com/ZS9S9Mcw2/</v>
      </c>
      <c r="O917" s="464"/>
      <c r="P917" s="279" t="str">
        <f>IFERROR(__xludf.DUMMYFUNCTION("""COMPUTED_VALUE"""),"https://vt.tiktok.com/ZS9xs511n/")</f>
        <v>https://vt.tiktok.com/ZS9xs511n/</v>
      </c>
    </row>
    <row r="918">
      <c r="A918" s="255" t="str">
        <f>IFERROR(__xludf.DUMMYFUNCTION("""COMPUTED_VALUE"""),"MICRO")</f>
        <v>MICRO</v>
      </c>
      <c r="B918" s="361" t="str">
        <f>IFERROR(__xludf.DUMMYFUNCTION("""COMPUTED_VALUE"""),"hayndep")</f>
        <v>hayndep</v>
      </c>
      <c r="C918" s="257" t="str">
        <f>IFERROR(__xludf.DUMMYFUNCTION("""COMPUTED_VALUE"""),"https://www.tiktok.com/@hayndep")</f>
        <v>https://www.tiktok.com/@hayndep</v>
      </c>
      <c r="D918" s="270">
        <f>IFERROR(__xludf.DUMMYFUNCTION("""COMPUTED_VALUE"""),8.1281702413E10)</f>
        <v>81281702413</v>
      </c>
      <c r="E918" s="457">
        <f>IFERROR(__xludf.DUMMYFUNCTION("""COMPUTED_VALUE"""),150000.0)</f>
        <v>150000</v>
      </c>
      <c r="F918" s="270">
        <f>IFERROR(__xludf.DUMMYFUNCTION("""COMPUTED_VALUE"""),3.0)</f>
        <v>3</v>
      </c>
      <c r="G918" s="17" t="str">
        <f>IFERROR(__xludf.DUMMYFUNCTION("""COMPUTED_VALUE"""),"Sabun batang 1 Box ( 2 PCS )")</f>
        <v>Sabun batang 1 Box ( 2 PCS )</v>
      </c>
      <c r="H918" s="463" t="str">
        <f>IFERROR(__xludf.DUMMYFUNCTION("""COMPUTED_VALUE"""),"Sampai")</f>
        <v>Sampai</v>
      </c>
      <c r="I918" s="464" t="str">
        <f>IFERROR(__xludf.DUMMYFUNCTION("""COMPUTED_VALUE"""),"KIMME")</f>
        <v>KIMME</v>
      </c>
      <c r="J918" s="279" t="str">
        <f>IFERROR(__xludf.DUMMYFUNCTION("""COMPUTED_VALUE"""),"https://vt.tiktok.com/ZS9kc7FPR/")</f>
        <v>https://vt.tiktok.com/ZS9kc7FPR/</v>
      </c>
      <c r="K918" s="464" t="str">
        <f>IFERROR(__xludf.DUMMYFUNCTION("""COMPUTED_VALUE"""),"KIMME")</f>
        <v>KIMME</v>
      </c>
      <c r="L918" s="279" t="str">
        <f>IFERROR(__xludf.DUMMYFUNCTION("""COMPUTED_VALUE"""),"https://vt.tiktok.com/ZS9kcGUys/")</f>
        <v>https://vt.tiktok.com/ZS9kcGUys/</v>
      </c>
      <c r="M918" s="464"/>
      <c r="N918" s="279" t="str">
        <f>IFERROR(__xludf.DUMMYFUNCTION("""COMPUTED_VALUE"""),"https://vt.tiktok.com/ZS9Uje68C/")</f>
        <v>https://vt.tiktok.com/ZS9Uje68C/</v>
      </c>
      <c r="O918" s="464"/>
      <c r="P918" s="17" t="str">
        <f>IFERROR(__xludf.DUMMYFUNCTION("""COMPUTED_VALUE"""),"⁠https://vt.tiktok.com/ZSx6Sc7Ne/")</f>
        <v>⁠https://vt.tiktok.com/ZSx6Sc7Ne/</v>
      </c>
    </row>
    <row r="919">
      <c r="A919" s="255" t="str">
        <f>IFERROR(__xludf.DUMMYFUNCTION("""COMPUTED_VALUE"""),"MICRO")</f>
        <v>MICRO</v>
      </c>
      <c r="B919" s="361" t="str">
        <f>IFERROR(__xludf.DUMMYFUNCTION("""COMPUTED_VALUE"""),"mamaarsyashop")</f>
        <v>mamaarsyashop</v>
      </c>
      <c r="C919" s="257" t="str">
        <f>IFERROR(__xludf.DUMMYFUNCTION("""COMPUTED_VALUE"""),"https://www.tiktok.com/@mamaarsyashop")</f>
        <v>https://www.tiktok.com/@mamaarsyashop</v>
      </c>
      <c r="D919" s="270">
        <f>IFERROR(__xludf.DUMMYFUNCTION("""COMPUTED_VALUE"""),8.5812488556E10)</f>
        <v>85812488556</v>
      </c>
      <c r="E919" s="457">
        <f>IFERROR(__xludf.DUMMYFUNCTION("""COMPUTED_VALUE"""),0.0)</f>
        <v>0</v>
      </c>
      <c r="F919" s="270">
        <f>IFERROR(__xludf.DUMMYFUNCTION("""COMPUTED_VALUE"""),4.0)</f>
        <v>4</v>
      </c>
      <c r="G919" s="17" t="str">
        <f>IFERROR(__xludf.DUMMYFUNCTION("""COMPUTED_VALUE"""),"Sabun batang 1 Box ( 2 PCS )")</f>
        <v>Sabun batang 1 Box ( 2 PCS )</v>
      </c>
      <c r="H919" s="463" t="str">
        <f>IFERROR(__xludf.DUMMYFUNCTION("""COMPUTED_VALUE"""),"Sampai")</f>
        <v>Sampai</v>
      </c>
      <c r="I919" s="464" t="str">
        <f>IFERROR(__xludf.DUMMYFUNCTION("""COMPUTED_VALUE"""),"KIMME")</f>
        <v>KIMME</v>
      </c>
      <c r="J919" s="279" t="str">
        <f>IFERROR(__xludf.DUMMYFUNCTION("""COMPUTED_VALUE"""),"https://www.tiktok.com/@sinbel28/video/7635536996043197714?_r=1&amp;u_code=d054de3ejd5k82&amp;region=&amp;mid=7221264024289086214&amp;preview_pb=0&amp;sharer_language=&amp;_d=0&amp;ec_shared_reflux_dynamic_params=%7B%22placeholder_material_id%22%3A%227635536996043197714%22%2C%22plac"&amp;"eholder_origin_cover%22%3A%22https%253A%252F%252Fp16-common-sign.tiktokcdn.com%252Ftos-alisg-p-0037%252Foc8jA5A2IiQJmQqB34pE2BHBeIWMctNfgAhi3R~tplv-tiktokx-origin.jpeg%253Fdr%253D14572%2526refresh_token%253Dc5efa4b1%2526x-expires%253D1809504000%2526x-sign"&amp;"ature%253DQLJGOxa87jVhMZq4pBgMQaEnDX4%25253D%2526t%253D4d5b0474%2526ps%253D13740610%2526shp%253Dd05b14bd%2526shcp%253D34ff8df6%2526idc%253Dmy%2526s%253DTIKTOK_AFFILIATE_VIRAL_VIDEO%22%2C%22placeholder_product_id%22%3A%221729427766722726591%22%2C%22placeho"&amp;"lder_video_id%22%3A%227635536996043197714%22%7D&amp;ec_shared_reflux_scene=shop_tab_feed&amp;share_item_id=7635536996043197714&amp;source=h5_t")</f>
        <v>https://www.tiktok.com/@sinbel28/video/7635536996043197714?_r=1&amp;u_code=d054de3ejd5k82&amp;region=&amp;mid=7221264024289086214&amp;preview_pb=0&amp;sharer_language=&amp;_d=0&amp;ec_shared_reflux_dynamic_params=%7B%22placeholder_material_id%22%3A%227635536996043197714%22%2C%22placeholder_origin_cover%22%3A%22https%253A%252F%252Fp16-common-sign.tiktokcdn.com%252Ftos-alisg-p-0037%252Foc8jA5A2IiQJmQqB34pE2BHBeIWMctNfgAhi3R~tplv-tiktokx-origin.jpeg%253Fdr%253D14572%2526refresh_token%253Dc5efa4b1%2526x-expires%253D1809504000%2526x-signature%253DQLJGOxa87jVhMZq4pBgMQaEnDX4%25253D%2526t%253D4d5b0474%2526ps%253D13740610%2526shp%253Dd05b14bd%2526shcp%253D34ff8df6%2526idc%253Dmy%2526s%253DTIKTOK_AFFILIATE_VIRAL_VIDEO%22%2C%22placeholder_product_id%22%3A%221729427766722726591%22%2C%22placeholder_video_id%22%3A%227635536996043197714%22%7D&amp;ec_shared_reflux_scene=shop_tab_feed&amp;share_item_id=7635536996043197714&amp;source=h5_t</v>
      </c>
      <c r="K919" s="464" t="str">
        <f>IFERROR(__xludf.DUMMYFUNCTION("""COMPUTED_VALUE"""),"KIMME")</f>
        <v>KIMME</v>
      </c>
      <c r="L919" s="279" t="str">
        <f>IFERROR(__xludf.DUMMYFUNCTION("""COMPUTED_VALUE"""),"https://www.tiktok.com/@sinbel28/video/7635538495209098504?_r=1&amp;u_code=d054de3ejd5k82&amp;region=&amp;mid=7512918623132928785&amp;preview_pb=0&amp;sharer_language=&amp;_d=0&amp;ec_shared_reflux_dynamic_params=%7B%22placeholder_material_id%22%3A%227635538495209098504%22%2C%22plac"&amp;"eholder_origin_cover%22%3A%22https%253A%252F%252Fp16-sign-sg.tiktokcdn.com%252Ftos-alisg-p-0037%252FocIM20vCwAbo0wIr2dIAjiiAh4B2nfAyFvFudu~tplv-tiktokx-origin.jpeg%253Fdr%253D14572%2526refresh_token%253D6186005d%2526x-expires%253D1809504000%2526x-signatur"&amp;"e%253DL1ddkUY7CiODd%25252BR%25252F4vy89fMwxCM%25253D%2526t%253D4d5b0474%2526ps%253D13740610%2526shp%253Dd05b14bd%2526shcp%253D34ff8df6%2526idc%253Dmy%2526s%253DTIKTOK_AFFILIATE_VIRAL_VIDEO%22%2C%22placeholder_product_id%22%3A%221729427766722726591%22%2C%2"&amp;"2placeholder_video_id%22%3A%227635538495209098504%22%7D&amp;ec_shared_reflux_scene=shop_tab_feed&amp;share_item_id=7635538495209098504&amp;source=h5_t")</f>
        <v>https://www.tiktok.com/@sinbel28/video/7635538495209098504?_r=1&amp;u_code=d054de3ejd5k82&amp;region=&amp;mid=7512918623132928785&amp;preview_pb=0&amp;sharer_language=&amp;_d=0&amp;ec_shared_reflux_dynamic_params=%7B%22placeholder_material_id%22%3A%227635538495209098504%22%2C%22placeholder_origin_cover%22%3A%22https%253A%252F%252Fp16-sign-sg.tiktokcdn.com%252Ftos-alisg-p-0037%252FocIM20vCwAbo0wIr2dIAjiiAh4B2nfAyFvFudu~tplv-tiktokx-origin.jpeg%253Fdr%253D14572%2526refresh_token%253D6186005d%2526x-expires%253D1809504000%2526x-signature%253DL1ddkUY7CiODd%25252BR%25252F4vy89fMwxCM%25253D%2526t%253D4d5b0474%2526ps%253D13740610%2526shp%253Dd05b14bd%2526shcp%253D34ff8df6%2526idc%253Dmy%2526s%253DTIKTOK_AFFILIATE_VIRAL_VIDEO%22%2C%22placeholder_product_id%22%3A%221729427766722726591%22%2C%22placeholder_video_id%22%3A%227635538495209098504%22%7D&amp;ec_shared_reflux_scene=shop_tab_feed&amp;share_item_id=7635538495209098504&amp;source=h5_t</v>
      </c>
      <c r="M919" s="464"/>
      <c r="N919" s="279" t="str">
        <f>IFERROR(__xludf.DUMMYFUNCTION("""COMPUTED_VALUE"""),"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"&amp;"eholder_origin_cover%22%3A%22https%253A%252F%252Fp16-common-sign.tiktokcdn.com%252Ftos-alisg-p-0037%252FosGxxDBwTfDJxuTtCzLIAbGVI7Aj4f9ggQey4c~tplv-tiktokx-origin.jpeg%253Fdr%253D14572%2526refresh_token%253D8a3c5d69%2526x-expires%253D1809504000%2526x-sign"&amp;"ature%253DlASmPH53f5P2NU2PkB05ZaXJVsk%25253D%2526t%253D4d5b0474%2526ps%253D13740610%2526shp%253Dd05b14bd%2526shcp%253D34ff8df6%2526idc%253Dmy%2526s%253DTIKTOK_AFFILIATE_VIRAL_VIDEO%22%2C%22placeholder_product_id%22%3A%221729427766722726591%22%2C%22placeho"&amp;"lder_video_id%22%3A%227635540386219396360%22%7D&amp;ec_shared_reflux_scene=shop_tab_feed&amp;share_item_id=7635540386219396360&amp;source=h5_t")</f>
        <v>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eholder_origin_cover%22%3A%22https%253A%252F%252Fp16-common-sign.tiktokcdn.com%252Ftos-alisg-p-0037%252FosGxxDBwTfDJxuTtCzLIAbGVI7Aj4f9ggQey4c~tplv-tiktokx-origin.jpeg%253Fdr%253D14572%2526refresh_token%253D8a3c5d69%2526x-expires%253D1809504000%2526x-signature%253DlASmPH53f5P2NU2PkB05ZaXJVsk%25253D%2526t%253D4d5b0474%2526ps%253D13740610%2526shp%253Dd05b14bd%2526shcp%253D34ff8df6%2526idc%253Dmy%2526s%253DTIKTOK_AFFILIATE_VIRAL_VIDEO%22%2C%22placeholder_product_id%22%3A%221729427766722726591%22%2C%22placeholder_video_id%22%3A%227635540386219396360%22%7D&amp;ec_shared_reflux_scene=shop_tab_feed&amp;share_item_id=7635540386219396360&amp;source=h5_t</v>
      </c>
      <c r="O919" s="464"/>
      <c r="P919" s="279" t="str">
        <f>IFERROR(__xludf.DUMMYFUNCTION("""COMPUTED_VALUE"""),"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"&amp;"eholder_origin_cover%22%3A%22https%253A%252F%252Fp16-common-sign.tiktokcdn.com%252Ftos-alisg-p-0037%252FoofGYgAmBbnFT6RIAFbW9wtri2J2nG45efAfun~tplv-tiktokx-origin.jpeg%253Fdr%253D14572%2526refresh_token%253D9aec4cb5%2526x-expires%253D1809504000%2526x-sign"&amp;"ature%253DvctWyysZiUs5n87SRHe%25252BG3XeDeI%25253D%2526t%253D4d5b0474%2526ps%253D13740610%2526shp%253Dd05b14bd%2526shcp%253D34ff8df6%2526idc%253Dmy%2526s%253DTIKTOK_AFFILIATE_VIRAL_VIDEO%22%2C%22placeholder_product_id%22%3A%221729427766722726591%22%2C%22p"&amp;"laceholder_video_id%22%3A%227635544313203576082%22%7D&amp;ec_shared_reflux_scene=shop_tab_feed&amp;share_item_id=7635544313203576082&amp;source=h5_t")</f>
        <v>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eholder_origin_cover%22%3A%22https%253A%252F%252Fp16-common-sign.tiktokcdn.com%252Ftos-alisg-p-0037%252FoofGYgAmBbnFT6RIAFbW9wtri2J2nG45efAfun~tplv-tiktokx-origin.jpeg%253Fdr%253D14572%2526refresh_token%253D9aec4cb5%2526x-expires%253D1809504000%2526x-signature%253DvctWyysZiUs5n87SRHe%25252BG3XeDeI%25253D%2526t%253D4d5b0474%2526ps%253D13740610%2526shp%253Dd05b14bd%2526shcp%253D34ff8df6%2526idc%253Dmy%2526s%253DTIKTOK_AFFILIATE_VIRAL_VIDEO%22%2C%22placeholder_product_id%22%3A%221729427766722726591%22%2C%22placeholder_video_id%22%3A%227635544313203576082%22%7D&amp;ec_shared_reflux_scene=shop_tab_feed&amp;share_item_id=7635544313203576082&amp;source=h5_t</v>
      </c>
    </row>
    <row r="920">
      <c r="A920" s="255" t="str">
        <f>IFERROR(__xludf.DUMMYFUNCTION("""COMPUTED_VALUE"""),"MACRO")</f>
        <v>MACRO</v>
      </c>
      <c r="B920" s="361" t="str">
        <f>IFERROR(__xludf.DUMMYFUNCTION("""COMPUTED_VALUE"""),"eca.elzaaam")</f>
        <v>eca.elzaaam</v>
      </c>
      <c r="C920" s="257" t="str">
        <f>IFERROR(__xludf.DUMMYFUNCTION("""COMPUTED_VALUE"""),"https://www.tiktok.com/@eca.elzaaam")</f>
        <v>https://www.tiktok.com/@eca.elzaaam</v>
      </c>
      <c r="D920" s="270">
        <f>IFERROR(__xludf.DUMMYFUNCTION("""COMPUTED_VALUE"""),8.5601993836E10)</f>
        <v>85601993836</v>
      </c>
      <c r="E920" s="457">
        <f>IFERROR(__xludf.DUMMYFUNCTION("""COMPUTED_VALUE"""),0.0)</f>
        <v>0</v>
      </c>
      <c r="F920" s="270">
        <f>IFERROR(__xludf.DUMMYFUNCTION("""COMPUTED_VALUE"""),4.0)</f>
        <v>4</v>
      </c>
      <c r="G920" s="17" t="str">
        <f>IFERROR(__xludf.DUMMYFUNCTION("""COMPUTED_VALUE"""),"Sabun batang 1 Box ( 2 PCS )")</f>
        <v>Sabun batang 1 Box ( 2 PCS )</v>
      </c>
      <c r="H920" s="463" t="str">
        <f>IFERROR(__xludf.DUMMYFUNCTION("""COMPUTED_VALUE"""),"Sampai")</f>
        <v>Sampai</v>
      </c>
      <c r="I920" s="464" t="str">
        <f>IFERROR(__xludf.DUMMYFUNCTION("""COMPUTED_VALUE"""),"KIMME")</f>
        <v>KIMME</v>
      </c>
      <c r="J920" s="279" t="str">
        <f>IFERROR(__xludf.DUMMYFUNCTION("""COMPUTED_VALUE"""),"https://vt.tiktok.com/ZS9xsCevJ/")</f>
        <v>https://vt.tiktok.com/ZS9xsCevJ/</v>
      </c>
      <c r="K920" s="464" t="str">
        <f>IFERROR(__xludf.DUMMYFUNCTION("""COMPUTED_VALUE"""),"KIMME")</f>
        <v>KIMME</v>
      </c>
      <c r="L920" s="279" t="str">
        <f>IFERROR(__xludf.DUMMYFUNCTION("""COMPUTED_VALUE"""),"https://vt.tiktok.com/ZS9xsmftR/")</f>
        <v>https://vt.tiktok.com/ZS9xsmftR/</v>
      </c>
      <c r="M920" s="464"/>
      <c r="N920" s="279" t="str">
        <f>IFERROR(__xludf.DUMMYFUNCTION("""COMPUTED_VALUE"""),"https://www.tiktok.com/@zilasamudra/video/7633415000308092173")</f>
        <v>https://www.tiktok.com/@zilasamudra/video/7633415000308092173</v>
      </c>
      <c r="O920" s="464"/>
      <c r="P920" s="279" t="str">
        <f>IFERROR(__xludf.DUMMYFUNCTION("""COMPUTED_VALUE"""),"https://www.tiktok.com/@zilasamudra/video/7633641614350601486")</f>
        <v>https://www.tiktok.com/@zilasamudra/video/7633641614350601486</v>
      </c>
    </row>
    <row r="921">
      <c r="A921" s="255" t="str">
        <f>IFERROR(__xludf.DUMMYFUNCTION("""COMPUTED_VALUE"""),"MICRO")</f>
        <v>MICRO</v>
      </c>
      <c r="B921" s="361" t="str">
        <f>IFERROR(__xludf.DUMMYFUNCTION("""COMPUTED_VALUE"""),"sifa.sipol")</f>
        <v>sifa.sipol</v>
      </c>
      <c r="C921" s="257" t="str">
        <f>IFERROR(__xludf.DUMMYFUNCTION("""COMPUTED_VALUE"""),"https://www.tiktok.com/@sifa.sipol")</f>
        <v>https://www.tiktok.com/@sifa.sipol</v>
      </c>
      <c r="D921" s="270">
        <f>IFERROR(__xludf.DUMMYFUNCTION("""COMPUTED_VALUE"""),8.95328487696E11)</f>
        <v>895328487696</v>
      </c>
      <c r="E921" s="457">
        <f>IFERROR(__xludf.DUMMYFUNCTION("""COMPUTED_VALUE"""),0.0)</f>
        <v>0</v>
      </c>
      <c r="F921" s="270">
        <f>IFERROR(__xludf.DUMMYFUNCTION("""COMPUTED_VALUE"""),4.0)</f>
        <v>4</v>
      </c>
      <c r="G921" s="17" t="str">
        <f>IFERROR(__xludf.DUMMYFUNCTION("""COMPUTED_VALUE"""),"Sabun batang 1 Box ( 2 PCS )")</f>
        <v>Sabun batang 1 Box ( 2 PCS )</v>
      </c>
      <c r="H921" s="463" t="str">
        <f>IFERROR(__xludf.DUMMYFUNCTION("""COMPUTED_VALUE"""),"Sampai")</f>
        <v>Sampai</v>
      </c>
      <c r="I921" s="464" t="str">
        <f>IFERROR(__xludf.DUMMYFUNCTION("""COMPUTED_VALUE"""),"KIMME")</f>
        <v>KIMME</v>
      </c>
      <c r="J921" s="279" t="str">
        <f>IFERROR(__xludf.DUMMYFUNCTION("""COMPUTED_VALUE"""),"https://www.tiktok.com/@sinbel28/video/7635536996043197714?_r=1&amp;u_code=d054de3ejd5k82&amp;region=&amp;mid=7221264024289086214&amp;preview_pb=0&amp;sharer_language=&amp;_d=0&amp;ec_shared_reflux_dynamic_params=%7B%22placeholder_material_id%22%3A%227635536996043197714%22%2C%22plac"&amp;"eholder_origin_cover%22%3A%22https%253A%252F%252Fp16-common-sign.tiktokcdn.com%252Ftos-alisg-p-0037%252Foc8jA5A2IiQJmQqB34pE2BHBeIWMctNfgAhi3R~tplv-tiktokx-origin.jpeg%253Fdr%253D14572%2526refresh_token%253Dc5efa4b1%2526x-expires%253D1809504000%2526x-sign"&amp;"ature%253DQLJGOxa87jVhMZq4pBgMQaEnDX4%25253D%2526t%253D4d5b0474%2526ps%253D13740610%2526shp%253Dd05b14bd%2526shcp%253D34ff8df6%2526idc%253Dmy%2526s%253DTIKTOK_AFFILIATE_VIRAL_VIDEO%22%2C%22placeholder_product_id%22%3A%221729427766722726591%22%2C%22placeho"&amp;"lder_video_id%22%3A%227635536996043197714%22%7D&amp;ec_shared_reflux_scene=shop_tab_feed&amp;share_item_id=7635536996043197714&amp;source=h5_t")</f>
        <v>https://www.tiktok.com/@sinbel28/video/7635536996043197714?_r=1&amp;u_code=d054de3ejd5k82&amp;region=&amp;mid=7221264024289086214&amp;preview_pb=0&amp;sharer_language=&amp;_d=0&amp;ec_shared_reflux_dynamic_params=%7B%22placeholder_material_id%22%3A%227635536996043197714%22%2C%22placeholder_origin_cover%22%3A%22https%253A%252F%252Fp16-common-sign.tiktokcdn.com%252Ftos-alisg-p-0037%252Foc8jA5A2IiQJmQqB34pE2BHBeIWMctNfgAhi3R~tplv-tiktokx-origin.jpeg%253Fdr%253D14572%2526refresh_token%253Dc5efa4b1%2526x-expires%253D1809504000%2526x-signature%253DQLJGOxa87jVhMZq4pBgMQaEnDX4%25253D%2526t%253D4d5b0474%2526ps%253D13740610%2526shp%253Dd05b14bd%2526shcp%253D34ff8df6%2526idc%253Dmy%2526s%253DTIKTOK_AFFILIATE_VIRAL_VIDEO%22%2C%22placeholder_product_id%22%3A%221729427766722726591%22%2C%22placeholder_video_id%22%3A%227635536996043197714%22%7D&amp;ec_shared_reflux_scene=shop_tab_feed&amp;share_item_id=7635536996043197714&amp;source=h5_t</v>
      </c>
      <c r="K921" s="464" t="str">
        <f>IFERROR(__xludf.DUMMYFUNCTION("""COMPUTED_VALUE"""),"KIMME")</f>
        <v>KIMME</v>
      </c>
      <c r="L921" s="279" t="str">
        <f>IFERROR(__xludf.DUMMYFUNCTION("""COMPUTED_VALUE"""),"https://www.tiktok.com/@sinbel28/video/7635538495209098504?_r=1&amp;u_code=d054de3ejd5k82&amp;region=&amp;mid=7512918623132928785&amp;preview_pb=0&amp;sharer_language=&amp;_d=0&amp;ec_shared_reflux_dynamic_params=%7B%22placeholder_material_id%22%3A%227635538495209098504%22%2C%22plac"&amp;"eholder_origin_cover%22%3A%22https%253A%252F%252Fp16-sign-sg.tiktokcdn.com%252Ftos-alisg-p-0037%252FocIM20vCwAbo0wIr2dIAjiiAh4B2nfAyFvFudu~tplv-tiktokx-origin.jpeg%253Fdr%253D14572%2526refresh_token%253D6186005d%2526x-expires%253D1809504000%2526x-signatur"&amp;"e%253DL1ddkUY7CiODd%25252BR%25252F4vy89fMwxCM%25253D%2526t%253D4d5b0474%2526ps%253D13740610%2526shp%253Dd05b14bd%2526shcp%253D34ff8df6%2526idc%253Dmy%2526s%253DTIKTOK_AFFILIATE_VIRAL_VIDEO%22%2C%22placeholder_product_id%22%3A%221729427766722726591%22%2C%2"&amp;"2placeholder_video_id%22%3A%227635538495209098504%22%7D&amp;ec_shared_reflux_scene=shop_tab_feed&amp;share_item_id=7635538495209098504&amp;source=h5_t")</f>
        <v>https://www.tiktok.com/@sinbel28/video/7635538495209098504?_r=1&amp;u_code=d054de3ejd5k82&amp;region=&amp;mid=7512918623132928785&amp;preview_pb=0&amp;sharer_language=&amp;_d=0&amp;ec_shared_reflux_dynamic_params=%7B%22placeholder_material_id%22%3A%227635538495209098504%22%2C%22placeholder_origin_cover%22%3A%22https%253A%252F%252Fp16-sign-sg.tiktokcdn.com%252Ftos-alisg-p-0037%252FocIM20vCwAbo0wIr2dIAjiiAh4B2nfAyFvFudu~tplv-tiktokx-origin.jpeg%253Fdr%253D14572%2526refresh_token%253D6186005d%2526x-expires%253D1809504000%2526x-signature%253DL1ddkUY7CiODd%25252BR%25252F4vy89fMwxCM%25253D%2526t%253D4d5b0474%2526ps%253D13740610%2526shp%253Dd05b14bd%2526shcp%253D34ff8df6%2526idc%253Dmy%2526s%253DTIKTOK_AFFILIATE_VIRAL_VIDEO%22%2C%22placeholder_product_id%22%3A%221729427766722726591%22%2C%22placeholder_video_id%22%3A%227635538495209098504%22%7D&amp;ec_shared_reflux_scene=shop_tab_feed&amp;share_item_id=7635538495209098504&amp;source=h5_t</v>
      </c>
      <c r="M921" s="464"/>
      <c r="N921" s="279" t="str">
        <f>IFERROR(__xludf.DUMMYFUNCTION("""COMPUTED_VALUE"""),"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"&amp;"eholder_origin_cover%22%3A%22https%253A%252F%252Fp16-common-sign.tiktokcdn.com%252Ftos-alisg-p-0037%252FosGxxDBwTfDJxuTtCzLIAbGVI7Aj4f9ggQey4c~tplv-tiktokx-origin.jpeg%253Fdr%253D14572%2526refresh_token%253D8a3c5d69%2526x-expires%253D1809504000%2526x-sign"&amp;"ature%253DlASmPH53f5P2NU2PkB05ZaXJVsk%25253D%2526t%253D4d5b0474%2526ps%253D13740610%2526shp%253Dd05b14bd%2526shcp%253D34ff8df6%2526idc%253Dmy%2526s%253DTIKTOK_AFFILIATE_VIRAL_VIDEO%22%2C%22placeholder_product_id%22%3A%221729427766722726591%22%2C%22placeho"&amp;"lder_video_id%22%3A%227635540386219396360%22%7D&amp;ec_shared_reflux_scene=shop_tab_feed&amp;share_item_id=7635540386219396360&amp;source=h5_t")</f>
        <v>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eholder_origin_cover%22%3A%22https%253A%252F%252Fp16-common-sign.tiktokcdn.com%252Ftos-alisg-p-0037%252FosGxxDBwTfDJxuTtCzLIAbGVI7Aj4f9ggQey4c~tplv-tiktokx-origin.jpeg%253Fdr%253D14572%2526refresh_token%253D8a3c5d69%2526x-expires%253D1809504000%2526x-signature%253DlASmPH53f5P2NU2PkB05ZaXJVsk%25253D%2526t%253D4d5b0474%2526ps%253D13740610%2526shp%253Dd05b14bd%2526shcp%253D34ff8df6%2526idc%253Dmy%2526s%253DTIKTOK_AFFILIATE_VIRAL_VIDEO%22%2C%22placeholder_product_id%22%3A%221729427766722726591%22%2C%22placeholder_video_id%22%3A%227635540386219396360%22%7D&amp;ec_shared_reflux_scene=shop_tab_feed&amp;share_item_id=7635540386219396360&amp;source=h5_t</v>
      </c>
      <c r="O921" s="464"/>
      <c r="P921" s="279" t="str">
        <f>IFERROR(__xludf.DUMMYFUNCTION("""COMPUTED_VALUE"""),"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"&amp;"eholder_origin_cover%22%3A%22https%253A%252F%252Fp16-common-sign.tiktokcdn.com%252Ftos-alisg-p-0037%252FoofGYgAmBbnFT6RIAFbW9wtri2J2nG45efAfun~tplv-tiktokx-origin.jpeg%253Fdr%253D14572%2526refresh_token%253D9aec4cb5%2526x-expires%253D1809504000%2526x-sign"&amp;"ature%253DvctWyysZiUs5n87SRHe%25252BG3XeDeI%25253D%2526t%253D4d5b0474%2526ps%253D13740610%2526shp%253Dd05b14bd%2526shcp%253D34ff8df6%2526idc%253Dmy%2526s%253DTIKTOK_AFFILIATE_VIRAL_VIDEO%22%2C%22placeholder_product_id%22%3A%221729427766722726591%22%2C%22p"&amp;"laceholder_video_id%22%3A%227635544313203576082%22%7D&amp;ec_shared_reflux_scene=shop_tab_feed&amp;share_item_id=7635544313203576082&amp;source=h5_t")</f>
        <v>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eholder_origin_cover%22%3A%22https%253A%252F%252Fp16-common-sign.tiktokcdn.com%252Ftos-alisg-p-0037%252FoofGYgAmBbnFT6RIAFbW9wtri2J2nG45efAfun~tplv-tiktokx-origin.jpeg%253Fdr%253D14572%2526refresh_token%253D9aec4cb5%2526x-expires%253D1809504000%2526x-signature%253DvctWyysZiUs5n87SRHe%25252BG3XeDeI%25253D%2526t%253D4d5b0474%2526ps%253D13740610%2526shp%253Dd05b14bd%2526shcp%253D34ff8df6%2526idc%253Dmy%2526s%253DTIKTOK_AFFILIATE_VIRAL_VIDEO%22%2C%22placeholder_product_id%22%3A%221729427766722726591%22%2C%22placeholder_video_id%22%3A%227635544313203576082%22%7D&amp;ec_shared_reflux_scene=shop_tab_feed&amp;share_item_id=7635544313203576082&amp;source=h5_t</v>
      </c>
    </row>
    <row r="922">
      <c r="A922" s="255" t="str">
        <f>IFERROR(__xludf.DUMMYFUNCTION("""COMPUTED_VALUE"""),"MICRO")</f>
        <v>MICRO</v>
      </c>
      <c r="B922" s="361" t="str">
        <f>IFERROR(__xludf.DUMMYFUNCTION("""COMPUTED_VALUE"""),"andiniii172")</f>
        <v>andiniii172</v>
      </c>
      <c r="C922" s="257" t="str">
        <f>IFERROR(__xludf.DUMMYFUNCTION("""COMPUTED_VALUE"""),"https://www.tiktok.com/@andiniii172")</f>
        <v>https://www.tiktok.com/@andiniii172</v>
      </c>
      <c r="D922" s="270">
        <f>IFERROR(__xludf.DUMMYFUNCTION("""COMPUTED_VALUE"""),8.1334052513E10)</f>
        <v>81334052513</v>
      </c>
      <c r="E922" s="457">
        <f>IFERROR(__xludf.DUMMYFUNCTION("""COMPUTED_VALUE"""),0.0)</f>
        <v>0</v>
      </c>
      <c r="F922" s="270">
        <f>IFERROR(__xludf.DUMMYFUNCTION("""COMPUTED_VALUE"""),4.0)</f>
        <v>4</v>
      </c>
      <c r="G922" s="17" t="str">
        <f>IFERROR(__xludf.DUMMYFUNCTION("""COMPUTED_VALUE"""),"Sabun batang 1 Box ( 2 PCS )")</f>
        <v>Sabun batang 1 Box ( 2 PCS )</v>
      </c>
      <c r="H922" s="463" t="str">
        <f>IFERROR(__xludf.DUMMYFUNCTION("""COMPUTED_VALUE"""),"Sampai")</f>
        <v>Sampai</v>
      </c>
      <c r="I922" s="464" t="str">
        <f>IFERROR(__xludf.DUMMYFUNCTION("""COMPUTED_VALUE"""),"KIMME")</f>
        <v>KIMME</v>
      </c>
      <c r="J922" s="279" t="str">
        <f>IFERROR(__xludf.DUMMYFUNCTION("""COMPUTED_VALUE"""),"https://vt.tiktok.com/ZS9xsCevJ/")</f>
        <v>https://vt.tiktok.com/ZS9xsCevJ/</v>
      </c>
      <c r="K922" s="464" t="str">
        <f>IFERROR(__xludf.DUMMYFUNCTION("""COMPUTED_VALUE"""),"KIMME")</f>
        <v>KIMME</v>
      </c>
      <c r="L922" s="279" t="str">
        <f>IFERROR(__xludf.DUMMYFUNCTION("""COMPUTED_VALUE"""),"https://vt.tiktok.com/ZS9xsmftR/")</f>
        <v>https://vt.tiktok.com/ZS9xsmftR/</v>
      </c>
      <c r="M922" s="464"/>
      <c r="N922" s="279" t="str">
        <f>IFERROR(__xludf.DUMMYFUNCTION("""COMPUTED_VALUE"""),"https://www.tiktok.com/@zilasamudra/video/7633415000308092174")</f>
        <v>https://www.tiktok.com/@zilasamudra/video/7633415000308092174</v>
      </c>
      <c r="O922" s="464"/>
      <c r="P922" s="279" t="str">
        <f>IFERROR(__xludf.DUMMYFUNCTION("""COMPUTED_VALUE"""),"https://www.tiktok.com/@zilasamudra/video/7633641614350601487")</f>
        <v>https://www.tiktok.com/@zilasamudra/video/7633641614350601487</v>
      </c>
    </row>
    <row r="923">
      <c r="A923" s="255" t="str">
        <f>IFERROR(__xludf.DUMMYFUNCTION("""COMPUTED_VALUE"""),"MICRO")</f>
        <v>MICRO</v>
      </c>
      <c r="B923" s="361" t="str">
        <f>IFERROR(__xludf.DUMMYFUNCTION("""COMPUTED_VALUE"""),"ningsihajah6")</f>
        <v>ningsihajah6</v>
      </c>
      <c r="C923" s="257" t="str">
        <f>IFERROR(__xludf.DUMMYFUNCTION("""COMPUTED_VALUE"""),"https://www.tiktok.com/@ningsihajah6")</f>
        <v>https://www.tiktok.com/@ningsihajah6</v>
      </c>
      <c r="D923" s="270">
        <f>IFERROR(__xludf.DUMMYFUNCTION("""COMPUTED_VALUE"""),8.5368604744E10)</f>
        <v>85368604744</v>
      </c>
      <c r="E923" s="457">
        <f>IFERROR(__xludf.DUMMYFUNCTION("""COMPUTED_VALUE"""),0.0)</f>
        <v>0</v>
      </c>
      <c r="F923" s="270">
        <f>IFERROR(__xludf.DUMMYFUNCTION("""COMPUTED_VALUE"""),4.0)</f>
        <v>4</v>
      </c>
      <c r="G923" s="17" t="str">
        <f>IFERROR(__xludf.DUMMYFUNCTION("""COMPUTED_VALUE"""),"Sabun batang 1 Box ( 2 PCS )")</f>
        <v>Sabun batang 1 Box ( 2 PCS )</v>
      </c>
      <c r="H923" s="463" t="str">
        <f>IFERROR(__xludf.DUMMYFUNCTION("""COMPUTED_VALUE"""),"Sampai")</f>
        <v>Sampai</v>
      </c>
      <c r="I923" s="464" t="str">
        <f>IFERROR(__xludf.DUMMYFUNCTION("""COMPUTED_VALUE"""),"KIMME")</f>
        <v>KIMME</v>
      </c>
      <c r="J923" s="279" t="str">
        <f>IFERROR(__xludf.DUMMYFUNCTION("""COMPUTED_VALUE"""),"https://vt.tiktok.com/ZSxSc7pk7/")</f>
        <v>https://vt.tiktok.com/ZSxSc7pk7/</v>
      </c>
      <c r="K923" s="464" t="str">
        <f>IFERROR(__xludf.DUMMYFUNCTION("""COMPUTED_VALUE"""),"KIMME")</f>
        <v>KIMME</v>
      </c>
      <c r="L923" s="279" t="str">
        <f>IFERROR(__xludf.DUMMYFUNCTION("""COMPUTED_VALUE"""),"https://vt.tiktok.com/ZSxScpteW/")</f>
        <v>https://vt.tiktok.com/ZSxScpteW/</v>
      </c>
      <c r="M923" s="464"/>
      <c r="N923" s="279" t="str">
        <f>IFERROR(__xludf.DUMMYFUNCTION("""COMPUTED_VALUE"""),"https://vt.tiktok.com/ZSQJS7XNR/")</f>
        <v>https://vt.tiktok.com/ZSQJS7XNR/</v>
      </c>
      <c r="O923" s="464"/>
      <c r="P923" s="279" t="str">
        <f>IFERROR(__xludf.DUMMYFUNCTION("""COMPUTED_VALUE"""),"https://vt.tiktok.com/ZSQJS4gHo/")</f>
        <v>https://vt.tiktok.com/ZSQJS4gHo/</v>
      </c>
    </row>
    <row r="924">
      <c r="A924" s="255" t="str">
        <f>IFERROR(__xludf.DUMMYFUNCTION("""COMPUTED_VALUE"""),"MACRO")</f>
        <v>MACRO</v>
      </c>
      <c r="B924" s="361" t="str">
        <f>IFERROR(__xludf.DUMMYFUNCTION("""COMPUTED_VALUE"""),"neny_ari")</f>
        <v>neny_ari</v>
      </c>
      <c r="C924" s="257" t="str">
        <f>IFERROR(__xludf.DUMMYFUNCTION("""COMPUTED_VALUE"""),"https://www.tiktok.com/@neny_ari")</f>
        <v>https://www.tiktok.com/@neny_ari</v>
      </c>
      <c r="D924" s="270">
        <f>IFERROR(__xludf.DUMMYFUNCTION("""COMPUTED_VALUE"""),8.128187991E10)</f>
        <v>81281879910</v>
      </c>
      <c r="E924" s="457">
        <f>IFERROR(__xludf.DUMMYFUNCTION("""COMPUTED_VALUE"""),0.0)</f>
        <v>0</v>
      </c>
      <c r="F924" s="270">
        <f>IFERROR(__xludf.DUMMYFUNCTION("""COMPUTED_VALUE"""),4.0)</f>
        <v>4</v>
      </c>
      <c r="G924" s="17" t="str">
        <f>IFERROR(__xludf.DUMMYFUNCTION("""COMPUTED_VALUE"""),"Sabun batang 1 Box ( 2 PCS )")</f>
        <v>Sabun batang 1 Box ( 2 PCS )</v>
      </c>
      <c r="H924" s="463" t="str">
        <f>IFERROR(__xludf.DUMMYFUNCTION("""COMPUTED_VALUE"""),"Sampai")</f>
        <v>Sampai</v>
      </c>
      <c r="I924" s="464" t="str">
        <f>IFERROR(__xludf.DUMMYFUNCTION("""COMPUTED_VALUE"""),"KIMME")</f>
        <v>KIMME</v>
      </c>
      <c r="J924" s="279" t="str">
        <f>IFERROR(__xludf.DUMMYFUNCTION("""COMPUTED_VALUE"""),"https://vt.tiktok.com/ZSQ14N9aa/")</f>
        <v>https://vt.tiktok.com/ZSQ14N9aa/</v>
      </c>
      <c r="K924" s="464" t="str">
        <f>IFERROR(__xludf.DUMMYFUNCTION("""COMPUTED_VALUE"""),"KIMME")</f>
        <v>KIMME</v>
      </c>
      <c r="L924" s="279" t="str">
        <f>IFERROR(__xludf.DUMMYFUNCTION("""COMPUTED_VALUE"""),"https://vt.tiktok.com/ZS9xsmftR/")</f>
        <v>https://vt.tiktok.com/ZS9xsmftR/</v>
      </c>
      <c r="M924" s="464"/>
      <c r="N924" s="279" t="str">
        <f>IFERROR(__xludf.DUMMYFUNCTION("""COMPUTED_VALUE"""),"https://www.tiktok.com/@zilasamudra/video/7633415000308092175")</f>
        <v>https://www.tiktok.com/@zilasamudra/video/7633415000308092175</v>
      </c>
      <c r="O924" s="464"/>
      <c r="P924" s="279" t="str">
        <f>IFERROR(__xludf.DUMMYFUNCTION("""COMPUTED_VALUE"""),"https://www.tiktok.com/@zilasamudra/video/7633641614350601488")</f>
        <v>https://www.tiktok.com/@zilasamudra/video/7633641614350601488</v>
      </c>
    </row>
    <row r="925">
      <c r="A925" s="255" t="str">
        <f>IFERROR(__xludf.DUMMYFUNCTION("""COMPUTED_VALUE"""),"MICRO")</f>
        <v>MICRO</v>
      </c>
      <c r="B925" s="361" t="str">
        <f>IFERROR(__xludf.DUMMYFUNCTION("""COMPUTED_VALUE"""),"titi_hs")</f>
        <v>titi_hs</v>
      </c>
      <c r="C925" s="257" t="str">
        <f>IFERROR(__xludf.DUMMYFUNCTION("""COMPUTED_VALUE"""),"https://www.tiktok.com/@titi_hs")</f>
        <v>https://www.tiktok.com/@titi_hs</v>
      </c>
      <c r="D925" s="270">
        <f>IFERROR(__xludf.DUMMYFUNCTION("""COMPUTED_VALUE"""),8.1310241801E10)</f>
        <v>81310241801</v>
      </c>
      <c r="E925" s="457">
        <f>IFERROR(__xludf.DUMMYFUNCTION("""COMPUTED_VALUE"""),0.0)</f>
        <v>0</v>
      </c>
      <c r="F925" s="270">
        <f>IFERROR(__xludf.DUMMYFUNCTION("""COMPUTED_VALUE"""),4.0)</f>
        <v>4</v>
      </c>
      <c r="G925" s="17" t="str">
        <f>IFERROR(__xludf.DUMMYFUNCTION("""COMPUTED_VALUE"""),"Sabun batang 1 Box ( 2 PCS )")</f>
        <v>Sabun batang 1 Box ( 2 PCS )</v>
      </c>
      <c r="H925" s="463" t="str">
        <f>IFERROR(__xludf.DUMMYFUNCTION("""COMPUTED_VALUE"""),"Sampai")</f>
        <v>Sampai</v>
      </c>
      <c r="I925" s="464" t="str">
        <f>IFERROR(__xludf.DUMMYFUNCTION("""COMPUTED_VALUE"""),"KIMME")</f>
        <v>KIMME</v>
      </c>
      <c r="J925" s="279" t="str">
        <f>IFERROR(__xludf.DUMMYFUNCTION("""COMPUTED_VALUE"""),"https://www.tiktok.com/@sinbel28/video/7635536996043197714?_r=1&amp;u_code=d054de3ejd5k82&amp;region=&amp;mid=7221264024289086214&amp;preview_pb=0&amp;sharer_language=&amp;_d=0&amp;ec_shared_reflux_dynamic_params=%7B%22placeholder_material_id%22%3A%227635536996043197714%22%2C%22plac"&amp;"eholder_origin_cover%22%3A%22https%253A%252F%252Fp16-common-sign.tiktokcdn.com%252Ftos-alisg-p-0037%252Foc8jA5A2IiQJmQqB34pE2BHBeIWMctNfgAhi3R~tplv-tiktokx-origin.jpeg%253Fdr%253D14572%2526refresh_token%253Dc5efa4b1%2526x-expires%253D1809504000%2526x-sign"&amp;"ature%253DQLJGOxa87jVhMZq4pBgMQaEnDX4%25253D%2526t%253D4d5b0474%2526ps%253D13740610%2526shp%253Dd05b14bd%2526shcp%253D34ff8df6%2526idc%253Dmy%2526s%253DTIKTOK_AFFILIATE_VIRAL_VIDEO%22%2C%22placeholder_product_id%22%3A%221729427766722726591%22%2C%22placeho"&amp;"lder_video_id%22%3A%227635536996043197714%22%7D&amp;ec_shared_reflux_scene=shop_tab_feed&amp;share_item_id=7635536996043197714&amp;source=h5_t")</f>
        <v>https://www.tiktok.com/@sinbel28/video/7635536996043197714?_r=1&amp;u_code=d054de3ejd5k82&amp;region=&amp;mid=7221264024289086214&amp;preview_pb=0&amp;sharer_language=&amp;_d=0&amp;ec_shared_reflux_dynamic_params=%7B%22placeholder_material_id%22%3A%227635536996043197714%22%2C%22placeholder_origin_cover%22%3A%22https%253A%252F%252Fp16-common-sign.tiktokcdn.com%252Ftos-alisg-p-0037%252Foc8jA5A2IiQJmQqB34pE2BHBeIWMctNfgAhi3R~tplv-tiktokx-origin.jpeg%253Fdr%253D14572%2526refresh_token%253Dc5efa4b1%2526x-expires%253D1809504000%2526x-signature%253DQLJGOxa87jVhMZq4pBgMQaEnDX4%25253D%2526t%253D4d5b0474%2526ps%253D13740610%2526shp%253Dd05b14bd%2526shcp%253D34ff8df6%2526idc%253Dmy%2526s%253DTIKTOK_AFFILIATE_VIRAL_VIDEO%22%2C%22placeholder_product_id%22%3A%221729427766722726591%22%2C%22placeholder_video_id%22%3A%227635536996043197714%22%7D&amp;ec_shared_reflux_scene=shop_tab_feed&amp;share_item_id=7635536996043197714&amp;source=h5_t</v>
      </c>
      <c r="K925" s="464" t="str">
        <f>IFERROR(__xludf.DUMMYFUNCTION("""COMPUTED_VALUE"""),"KIMME")</f>
        <v>KIMME</v>
      </c>
      <c r="L925" s="279" t="str">
        <f>IFERROR(__xludf.DUMMYFUNCTION("""COMPUTED_VALUE"""),"https://www.tiktok.com/@sinbel28/video/7635538495209098504?_r=1&amp;u_code=d054de3ejd5k82&amp;region=&amp;mid=7512918623132928785&amp;preview_pb=0&amp;sharer_language=&amp;_d=0&amp;ec_shared_reflux_dynamic_params=%7B%22placeholder_material_id%22%3A%227635538495209098504%22%2C%22plac"&amp;"eholder_origin_cover%22%3A%22https%253A%252F%252Fp16-sign-sg.tiktokcdn.com%252Ftos-alisg-p-0037%252FocIM20vCwAbo0wIr2dIAjiiAh4B2nfAyFvFudu~tplv-tiktokx-origin.jpeg%253Fdr%253D14572%2526refresh_token%253D6186005d%2526x-expires%253D1809504000%2526x-signatur"&amp;"e%253DL1ddkUY7CiODd%25252BR%25252F4vy89fMwxCM%25253D%2526t%253D4d5b0474%2526ps%253D13740610%2526shp%253Dd05b14bd%2526shcp%253D34ff8df6%2526idc%253Dmy%2526s%253DTIKTOK_AFFILIATE_VIRAL_VIDEO%22%2C%22placeholder_product_id%22%3A%221729427766722726591%22%2C%2"&amp;"2placeholder_video_id%22%3A%227635538495209098504%22%7D&amp;ec_shared_reflux_scene=shop_tab_feed&amp;share_item_id=7635538495209098504&amp;source=h5_t")</f>
        <v>https://www.tiktok.com/@sinbel28/video/7635538495209098504?_r=1&amp;u_code=d054de3ejd5k82&amp;region=&amp;mid=7512918623132928785&amp;preview_pb=0&amp;sharer_language=&amp;_d=0&amp;ec_shared_reflux_dynamic_params=%7B%22placeholder_material_id%22%3A%227635538495209098504%22%2C%22placeholder_origin_cover%22%3A%22https%253A%252F%252Fp16-sign-sg.tiktokcdn.com%252Ftos-alisg-p-0037%252FocIM20vCwAbo0wIr2dIAjiiAh4B2nfAyFvFudu~tplv-tiktokx-origin.jpeg%253Fdr%253D14572%2526refresh_token%253D6186005d%2526x-expires%253D1809504000%2526x-signature%253DL1ddkUY7CiODd%25252BR%25252F4vy89fMwxCM%25253D%2526t%253D4d5b0474%2526ps%253D13740610%2526shp%253Dd05b14bd%2526shcp%253D34ff8df6%2526idc%253Dmy%2526s%253DTIKTOK_AFFILIATE_VIRAL_VIDEO%22%2C%22placeholder_product_id%22%3A%221729427766722726591%22%2C%22placeholder_video_id%22%3A%227635538495209098504%22%7D&amp;ec_shared_reflux_scene=shop_tab_feed&amp;share_item_id=7635538495209098504&amp;source=h5_t</v>
      </c>
      <c r="M925" s="464"/>
      <c r="N925" s="279" t="str">
        <f>IFERROR(__xludf.DUMMYFUNCTION("""COMPUTED_VALUE"""),"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"&amp;"eholder_origin_cover%22%3A%22https%253A%252F%252Fp16-common-sign.tiktokcdn.com%252Ftos-alisg-p-0037%252FosGxxDBwTfDJxuTtCzLIAbGVI7Aj4f9ggQey4c~tplv-tiktokx-origin.jpeg%253Fdr%253D14572%2526refresh_token%253D8a3c5d69%2526x-expires%253D1809504000%2526x-sign"&amp;"ature%253DlASmPH53f5P2NU2PkB05ZaXJVsk%25253D%2526t%253D4d5b0474%2526ps%253D13740610%2526shp%253Dd05b14bd%2526shcp%253D34ff8df6%2526idc%253Dmy%2526s%253DTIKTOK_AFFILIATE_VIRAL_VIDEO%22%2C%22placeholder_product_id%22%3A%221729427766722726591%22%2C%22placeho"&amp;"lder_video_id%22%3A%227635540386219396360%22%7D&amp;ec_shared_reflux_scene=shop_tab_feed&amp;share_item_id=7635540386219396360&amp;source=h5_t")</f>
        <v>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eholder_origin_cover%22%3A%22https%253A%252F%252Fp16-common-sign.tiktokcdn.com%252Ftos-alisg-p-0037%252FosGxxDBwTfDJxuTtCzLIAbGVI7Aj4f9ggQey4c~tplv-tiktokx-origin.jpeg%253Fdr%253D14572%2526refresh_token%253D8a3c5d69%2526x-expires%253D1809504000%2526x-signature%253DlASmPH53f5P2NU2PkB05ZaXJVsk%25253D%2526t%253D4d5b0474%2526ps%253D13740610%2526shp%253Dd05b14bd%2526shcp%253D34ff8df6%2526idc%253Dmy%2526s%253DTIKTOK_AFFILIATE_VIRAL_VIDEO%22%2C%22placeholder_product_id%22%3A%221729427766722726591%22%2C%22placeholder_video_id%22%3A%227635540386219396360%22%7D&amp;ec_shared_reflux_scene=shop_tab_feed&amp;share_item_id=7635540386219396360&amp;source=h5_t</v>
      </c>
      <c r="O925" s="464"/>
      <c r="P925" s="279" t="str">
        <f>IFERROR(__xludf.DUMMYFUNCTION("""COMPUTED_VALUE"""),"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"&amp;"eholder_origin_cover%22%3A%22https%253A%252F%252Fp16-common-sign.tiktokcdn.com%252Ftos-alisg-p-0037%252FoofGYgAmBbnFT6RIAFbW9wtri2J2nG45efAfun~tplv-tiktokx-origin.jpeg%253Fdr%253D14572%2526refresh_token%253D9aec4cb5%2526x-expires%253D1809504000%2526x-sign"&amp;"ature%253DvctWyysZiUs5n87SRHe%25252BG3XeDeI%25253D%2526t%253D4d5b0474%2526ps%253D13740610%2526shp%253Dd05b14bd%2526shcp%253D34ff8df6%2526idc%253Dmy%2526s%253DTIKTOK_AFFILIATE_VIRAL_VIDEO%22%2C%22placeholder_product_id%22%3A%221729427766722726591%22%2C%22p"&amp;"laceholder_video_id%22%3A%227635544313203576082%22%7D&amp;ec_shared_reflux_scene=shop_tab_feed&amp;share_item_id=7635544313203576082&amp;source=h5_t")</f>
        <v>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eholder_origin_cover%22%3A%22https%253A%252F%252Fp16-common-sign.tiktokcdn.com%252Ftos-alisg-p-0037%252FoofGYgAmBbnFT6RIAFbW9wtri2J2nG45efAfun~tplv-tiktokx-origin.jpeg%253Fdr%253D14572%2526refresh_token%253D9aec4cb5%2526x-expires%253D1809504000%2526x-signature%253DvctWyysZiUs5n87SRHe%25252BG3XeDeI%25253D%2526t%253D4d5b0474%2526ps%253D13740610%2526shp%253Dd05b14bd%2526shcp%253D34ff8df6%2526idc%253Dmy%2526s%253DTIKTOK_AFFILIATE_VIRAL_VIDEO%22%2C%22placeholder_product_id%22%3A%221729427766722726591%22%2C%22placeholder_video_id%22%3A%227635544313203576082%22%7D&amp;ec_shared_reflux_scene=shop_tab_feed&amp;share_item_id=7635544313203576082&amp;source=h5_t</v>
      </c>
    </row>
    <row r="926">
      <c r="A926" s="255" t="str">
        <f>IFERROR(__xludf.DUMMYFUNCTION("""COMPUTED_VALUE"""),"MICRO")</f>
        <v>MICRO</v>
      </c>
      <c r="B926" s="361" t="str">
        <f>IFERROR(__xludf.DUMMYFUNCTION("""COMPUTED_VALUE"""),"yullyfidya")</f>
        <v>yullyfidya</v>
      </c>
      <c r="C926" s="257" t="str">
        <f>IFERROR(__xludf.DUMMYFUNCTION("""COMPUTED_VALUE"""),"https://www.tiktok.com/@yullyfidya")</f>
        <v>https://www.tiktok.com/@yullyfidya</v>
      </c>
      <c r="D926" s="270">
        <f>IFERROR(__xludf.DUMMYFUNCTION("""COMPUTED_VALUE"""),8.7859515758E10)</f>
        <v>87859515758</v>
      </c>
      <c r="E926" s="457">
        <f>IFERROR(__xludf.DUMMYFUNCTION("""COMPUTED_VALUE"""),0.0)</f>
        <v>0</v>
      </c>
      <c r="F926" s="270">
        <f>IFERROR(__xludf.DUMMYFUNCTION("""COMPUTED_VALUE"""),1.0)</f>
        <v>1</v>
      </c>
      <c r="G926" s="17" t="str">
        <f>IFERROR(__xludf.DUMMYFUNCTION("""COMPUTED_VALUE"""),"Sabun batang 1 Box ( 2 PCS )")</f>
        <v>Sabun batang 1 Box ( 2 PCS )</v>
      </c>
      <c r="H926" s="463" t="str">
        <f>IFERROR(__xludf.DUMMYFUNCTION("""COMPUTED_VALUE"""),"Sampai")</f>
        <v>Sampai</v>
      </c>
      <c r="I926" s="464" t="str">
        <f>IFERROR(__xludf.DUMMYFUNCTION("""COMPUTED_VALUE"""),"KIMME")</f>
        <v>KIMME</v>
      </c>
      <c r="J926" s="279" t="str">
        <f>IFERROR(__xludf.DUMMYFUNCTION("""COMPUTED_VALUE"""),"https://vt.tiktok.com/ZS9xsCevJ/")</f>
        <v>https://vt.tiktok.com/ZS9xsCevJ/</v>
      </c>
      <c r="K926" s="464" t="str">
        <f>IFERROR(__xludf.DUMMYFUNCTION("""COMPUTED_VALUE"""),"KIMME")</f>
        <v>KIMME</v>
      </c>
      <c r="L926" s="279" t="str">
        <f>IFERROR(__xludf.DUMMYFUNCTION("""COMPUTED_VALUE"""),"https://vt.tiktok.com/ZS9xsmftR/")</f>
        <v>https://vt.tiktok.com/ZS9xsmftR/</v>
      </c>
      <c r="M926" s="464"/>
      <c r="N926" s="279" t="str">
        <f>IFERROR(__xludf.DUMMYFUNCTION("""COMPUTED_VALUE"""),"https://www.tiktok.com/@zilasamudra/video/7633415000308092176")</f>
        <v>https://www.tiktok.com/@zilasamudra/video/7633415000308092176</v>
      </c>
      <c r="O926" s="464"/>
      <c r="P926" s="279" t="str">
        <f>IFERROR(__xludf.DUMMYFUNCTION("""COMPUTED_VALUE"""),"https://www.tiktok.com/@zilasamudra/video/7633641614350601489")</f>
        <v>https://www.tiktok.com/@zilasamudra/video/7633641614350601489</v>
      </c>
    </row>
    <row r="927">
      <c r="A927" s="255" t="str">
        <f>IFERROR(__xludf.DUMMYFUNCTION("""COMPUTED_VALUE"""),"MICRO")</f>
        <v>MICRO</v>
      </c>
      <c r="B927" s="361" t="str">
        <f>IFERROR(__xludf.DUMMYFUNCTION("""COMPUTED_VALUE"""),"lhyaluv")</f>
        <v>lhyaluv</v>
      </c>
      <c r="C927" s="257" t="str">
        <f>IFERROR(__xludf.DUMMYFUNCTION("""COMPUTED_VALUE"""),"https://www.tiktok.com/@lhyaluv")</f>
        <v>https://www.tiktok.com/@lhyaluv</v>
      </c>
      <c r="D927" s="270">
        <f>IFERROR(__xludf.DUMMYFUNCTION("""COMPUTED_VALUE"""),8.5240811212E10)</f>
        <v>85240811212</v>
      </c>
      <c r="E927" s="457">
        <f>IFERROR(__xludf.DUMMYFUNCTION("""COMPUTED_VALUE"""),0.0)</f>
        <v>0</v>
      </c>
      <c r="F927" s="270">
        <f>IFERROR(__xludf.DUMMYFUNCTION("""COMPUTED_VALUE"""),4.0)</f>
        <v>4</v>
      </c>
      <c r="G927" s="17" t="str">
        <f>IFERROR(__xludf.DUMMYFUNCTION("""COMPUTED_VALUE"""),"Sabun batang 1 Box ( 2 PCS )")</f>
        <v>Sabun batang 1 Box ( 2 PCS )</v>
      </c>
      <c r="H927" s="463" t="str">
        <f>IFERROR(__xludf.DUMMYFUNCTION("""COMPUTED_VALUE"""),"Sampai")</f>
        <v>Sampai</v>
      </c>
      <c r="I927" s="464" t="str">
        <f>IFERROR(__xludf.DUMMYFUNCTION("""COMPUTED_VALUE"""),"KIMME")</f>
        <v>KIMME</v>
      </c>
      <c r="J927" s="279" t="str">
        <f>IFERROR(__xludf.DUMMYFUNCTION("""COMPUTED_VALUE"""),"https://www.tiktok.com/@sinbel28/video/7635536996043197714?_r=1&amp;u_code=d054de3ejd5k82&amp;region=&amp;mid=7221264024289086214&amp;preview_pb=0&amp;sharer_language=&amp;_d=0&amp;ec_shared_reflux_dynamic_params=%7B%22placeholder_material_id%22%3A%227635536996043197714%22%2C%22plac"&amp;"eholder_origin_cover%22%3A%22https%253A%252F%252Fp16-common-sign.tiktokcdn.com%252Ftos-alisg-p-0037%252Foc8jA5A2IiQJmQqB34pE2BHBeIWMctNfgAhi3R~tplv-tiktokx-origin.jpeg%253Fdr%253D14572%2526refresh_token%253Dc5efa4b1%2526x-expires%253D1809504000%2526x-sign"&amp;"ature%253DQLJGOxa87jVhMZq4pBgMQaEnDX4%25253D%2526t%253D4d5b0474%2526ps%253D13740610%2526shp%253Dd05b14bd%2526shcp%253D34ff8df6%2526idc%253Dmy%2526s%253DTIKTOK_AFFILIATE_VIRAL_VIDEO%22%2C%22placeholder_product_id%22%3A%221729427766722726591%22%2C%22placeho"&amp;"lder_video_id%22%3A%227635536996043197714%22%7D&amp;ec_shared_reflux_scene=shop_tab_feed&amp;share_item_id=7635536996043197714&amp;source=h5_t")</f>
        <v>https://www.tiktok.com/@sinbel28/video/7635536996043197714?_r=1&amp;u_code=d054de3ejd5k82&amp;region=&amp;mid=7221264024289086214&amp;preview_pb=0&amp;sharer_language=&amp;_d=0&amp;ec_shared_reflux_dynamic_params=%7B%22placeholder_material_id%22%3A%227635536996043197714%22%2C%22placeholder_origin_cover%22%3A%22https%253A%252F%252Fp16-common-sign.tiktokcdn.com%252Ftos-alisg-p-0037%252Foc8jA5A2IiQJmQqB34pE2BHBeIWMctNfgAhi3R~tplv-tiktokx-origin.jpeg%253Fdr%253D14572%2526refresh_token%253Dc5efa4b1%2526x-expires%253D1809504000%2526x-signature%253DQLJGOxa87jVhMZq4pBgMQaEnDX4%25253D%2526t%253D4d5b0474%2526ps%253D13740610%2526shp%253Dd05b14bd%2526shcp%253D34ff8df6%2526idc%253Dmy%2526s%253DTIKTOK_AFFILIATE_VIRAL_VIDEO%22%2C%22placeholder_product_id%22%3A%221729427766722726591%22%2C%22placeholder_video_id%22%3A%227635536996043197714%22%7D&amp;ec_shared_reflux_scene=shop_tab_feed&amp;share_item_id=7635536996043197714&amp;source=h5_t</v>
      </c>
      <c r="K927" s="464" t="str">
        <f>IFERROR(__xludf.DUMMYFUNCTION("""COMPUTED_VALUE"""),"KIMME")</f>
        <v>KIMME</v>
      </c>
      <c r="L927" s="279" t="str">
        <f>IFERROR(__xludf.DUMMYFUNCTION("""COMPUTED_VALUE"""),"https://www.tiktok.com/@sinbel28/video/7635538495209098504?_r=1&amp;u_code=d054de3ejd5k82&amp;region=&amp;mid=7512918623132928785&amp;preview_pb=0&amp;sharer_language=&amp;_d=0&amp;ec_shared_reflux_dynamic_params=%7B%22placeholder_material_id%22%3A%227635538495209098504%22%2C%22plac"&amp;"eholder_origin_cover%22%3A%22https%253A%252F%252Fp16-sign-sg.tiktokcdn.com%252Ftos-alisg-p-0037%252FocIM20vCwAbo0wIr2dIAjiiAh4B2nfAyFvFudu~tplv-tiktokx-origin.jpeg%253Fdr%253D14572%2526refresh_token%253D6186005d%2526x-expires%253D1809504000%2526x-signatur"&amp;"e%253DL1ddkUY7CiODd%25252BR%25252F4vy89fMwxCM%25253D%2526t%253D4d5b0474%2526ps%253D13740610%2526shp%253Dd05b14bd%2526shcp%253D34ff8df6%2526idc%253Dmy%2526s%253DTIKTOK_AFFILIATE_VIRAL_VIDEO%22%2C%22placeholder_product_id%22%3A%221729427766722726591%22%2C%2"&amp;"2placeholder_video_id%22%3A%227635538495209098504%22%7D&amp;ec_shared_reflux_scene=shop_tab_feed&amp;share_item_id=7635538495209098504&amp;source=h5_t")</f>
        <v>https://www.tiktok.com/@sinbel28/video/7635538495209098504?_r=1&amp;u_code=d054de3ejd5k82&amp;region=&amp;mid=7512918623132928785&amp;preview_pb=0&amp;sharer_language=&amp;_d=0&amp;ec_shared_reflux_dynamic_params=%7B%22placeholder_material_id%22%3A%227635538495209098504%22%2C%22placeholder_origin_cover%22%3A%22https%253A%252F%252Fp16-sign-sg.tiktokcdn.com%252Ftos-alisg-p-0037%252FocIM20vCwAbo0wIr2dIAjiiAh4B2nfAyFvFudu~tplv-tiktokx-origin.jpeg%253Fdr%253D14572%2526refresh_token%253D6186005d%2526x-expires%253D1809504000%2526x-signature%253DL1ddkUY7CiODd%25252BR%25252F4vy89fMwxCM%25253D%2526t%253D4d5b0474%2526ps%253D13740610%2526shp%253Dd05b14bd%2526shcp%253D34ff8df6%2526idc%253Dmy%2526s%253DTIKTOK_AFFILIATE_VIRAL_VIDEO%22%2C%22placeholder_product_id%22%3A%221729427766722726591%22%2C%22placeholder_video_id%22%3A%227635538495209098504%22%7D&amp;ec_shared_reflux_scene=shop_tab_feed&amp;share_item_id=7635538495209098504&amp;source=h5_t</v>
      </c>
      <c r="M927" s="464"/>
      <c r="N927" s="279" t="str">
        <f>IFERROR(__xludf.DUMMYFUNCTION("""COMPUTED_VALUE"""),"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"&amp;"eholder_origin_cover%22%3A%22https%253A%252F%252Fp16-common-sign.tiktokcdn.com%252Ftos-alisg-p-0037%252FosGxxDBwTfDJxuTtCzLIAbGVI7Aj4f9ggQey4c~tplv-tiktokx-origin.jpeg%253Fdr%253D14572%2526refresh_token%253D8a3c5d69%2526x-expires%253D1809504000%2526x-sign"&amp;"ature%253DlASmPH53f5P2NU2PkB05ZaXJVsk%25253D%2526t%253D4d5b0474%2526ps%253D13740610%2526shp%253Dd05b14bd%2526shcp%253D34ff8df6%2526idc%253Dmy%2526s%253DTIKTOK_AFFILIATE_VIRAL_VIDEO%22%2C%22placeholder_product_id%22%3A%221729427766722726591%22%2C%22placeho"&amp;"lder_video_id%22%3A%227635540386219396360%22%7D&amp;ec_shared_reflux_scene=shop_tab_feed&amp;share_item_id=7635540386219396360&amp;source=h5_t")</f>
        <v>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eholder_origin_cover%22%3A%22https%253A%252F%252Fp16-common-sign.tiktokcdn.com%252Ftos-alisg-p-0037%252FosGxxDBwTfDJxuTtCzLIAbGVI7Aj4f9ggQey4c~tplv-tiktokx-origin.jpeg%253Fdr%253D14572%2526refresh_token%253D8a3c5d69%2526x-expires%253D1809504000%2526x-signature%253DlASmPH53f5P2NU2PkB05ZaXJVsk%25253D%2526t%253D4d5b0474%2526ps%253D13740610%2526shp%253Dd05b14bd%2526shcp%253D34ff8df6%2526idc%253Dmy%2526s%253DTIKTOK_AFFILIATE_VIRAL_VIDEO%22%2C%22placeholder_product_id%22%3A%221729427766722726591%22%2C%22placeholder_video_id%22%3A%227635540386219396360%22%7D&amp;ec_shared_reflux_scene=shop_tab_feed&amp;share_item_id=7635540386219396360&amp;source=h5_t</v>
      </c>
      <c r="O927" s="464"/>
      <c r="P927" s="279" t="str">
        <f>IFERROR(__xludf.DUMMYFUNCTION("""COMPUTED_VALUE"""),"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"&amp;"eholder_origin_cover%22%3A%22https%253A%252F%252Fp16-common-sign.tiktokcdn.com%252Ftos-alisg-p-0037%252FoofGYgAmBbnFT6RIAFbW9wtri2J2nG45efAfun~tplv-tiktokx-origin.jpeg%253Fdr%253D14572%2526refresh_token%253D9aec4cb5%2526x-expires%253D1809504000%2526x-sign"&amp;"ature%253DvctWyysZiUs5n87SRHe%25252BG3XeDeI%25253D%2526t%253D4d5b0474%2526ps%253D13740610%2526shp%253Dd05b14bd%2526shcp%253D34ff8df6%2526idc%253Dmy%2526s%253DTIKTOK_AFFILIATE_VIRAL_VIDEO%22%2C%22placeholder_product_id%22%3A%221729427766722726591%22%2C%22p"&amp;"laceholder_video_id%22%3A%227635544313203576082%22%7D&amp;ec_shared_reflux_scene=shop_tab_feed&amp;share_item_id=7635544313203576082&amp;source=h5_t")</f>
        <v>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eholder_origin_cover%22%3A%22https%253A%252F%252Fp16-common-sign.tiktokcdn.com%252Ftos-alisg-p-0037%252FoofGYgAmBbnFT6RIAFbW9wtri2J2nG45efAfun~tplv-tiktokx-origin.jpeg%253Fdr%253D14572%2526refresh_token%253D9aec4cb5%2526x-expires%253D1809504000%2526x-signature%253DvctWyysZiUs5n87SRHe%25252BG3XeDeI%25253D%2526t%253D4d5b0474%2526ps%253D13740610%2526shp%253Dd05b14bd%2526shcp%253D34ff8df6%2526idc%253Dmy%2526s%253DTIKTOK_AFFILIATE_VIRAL_VIDEO%22%2C%22placeholder_product_id%22%3A%221729427766722726591%22%2C%22placeholder_video_id%22%3A%227635544313203576082%22%7D&amp;ec_shared_reflux_scene=shop_tab_feed&amp;share_item_id=7635544313203576082&amp;source=h5_t</v>
      </c>
    </row>
    <row r="928">
      <c r="A928" s="255" t="str">
        <f>IFERROR(__xludf.DUMMYFUNCTION("""COMPUTED_VALUE"""),"MICRO")</f>
        <v>MICRO</v>
      </c>
      <c r="B928" s="361" t="str">
        <f>IFERROR(__xludf.DUMMYFUNCTION("""COMPUTED_VALUE"""),"amdwt_")</f>
        <v>amdwt_</v>
      </c>
      <c r="C928" s="257" t="str">
        <f>IFERROR(__xludf.DUMMYFUNCTION("""COMPUTED_VALUE"""),"https://www.tiktok.com/@amdwt_")</f>
        <v>https://www.tiktok.com/@amdwt_</v>
      </c>
      <c r="D928" s="270">
        <f>IFERROR(__xludf.DUMMYFUNCTION("""COMPUTED_VALUE"""),8.95377136571E11)</f>
        <v>895377136571</v>
      </c>
      <c r="E928" s="457">
        <f>IFERROR(__xludf.DUMMYFUNCTION("""COMPUTED_VALUE"""),0.0)</f>
        <v>0</v>
      </c>
      <c r="F928" s="270">
        <f>IFERROR(__xludf.DUMMYFUNCTION("""COMPUTED_VALUE"""),4.0)</f>
        <v>4</v>
      </c>
      <c r="G928" s="17" t="str">
        <f>IFERROR(__xludf.DUMMYFUNCTION("""COMPUTED_VALUE"""),"Sabun batang 1 Box ( 2 PCS )")</f>
        <v>Sabun batang 1 Box ( 2 PCS )</v>
      </c>
      <c r="H928" s="463" t="str">
        <f>IFERROR(__xludf.DUMMYFUNCTION("""COMPUTED_VALUE"""),"Sampai")</f>
        <v>Sampai</v>
      </c>
      <c r="I928" s="464" t="str">
        <f>IFERROR(__xludf.DUMMYFUNCTION("""COMPUTED_VALUE"""),"KIMME")</f>
        <v>KIMME</v>
      </c>
      <c r="J928" s="279" t="str">
        <f>IFERROR(__xludf.DUMMYFUNCTION("""COMPUTED_VALUE"""),"https://vt.tiktok.com/ZS9xsCevJ/")</f>
        <v>https://vt.tiktok.com/ZS9xsCevJ/</v>
      </c>
      <c r="K928" s="464" t="str">
        <f>IFERROR(__xludf.DUMMYFUNCTION("""COMPUTED_VALUE"""),"KIMME")</f>
        <v>KIMME</v>
      </c>
      <c r="L928" s="279" t="str">
        <f>IFERROR(__xludf.DUMMYFUNCTION("""COMPUTED_VALUE"""),"https://vt.tiktok.com/ZS9xsmftR/")</f>
        <v>https://vt.tiktok.com/ZS9xsmftR/</v>
      </c>
      <c r="M928" s="464"/>
      <c r="N928" s="279" t="str">
        <f>IFERROR(__xludf.DUMMYFUNCTION("""COMPUTED_VALUE"""),"https://www.tiktok.com/@zilasamudra/video/7633415000308092177")</f>
        <v>https://www.tiktok.com/@zilasamudra/video/7633415000308092177</v>
      </c>
      <c r="O928" s="464"/>
      <c r="P928" s="279" t="str">
        <f>IFERROR(__xludf.DUMMYFUNCTION("""COMPUTED_VALUE"""),"https://www.tiktok.com/@zilasamudra/video/7633641614350601490")</f>
        <v>https://www.tiktok.com/@zilasamudra/video/7633641614350601490</v>
      </c>
    </row>
    <row r="929">
      <c r="A929" s="255" t="str">
        <f>IFERROR(__xludf.DUMMYFUNCTION("""COMPUTED_VALUE"""),"MICRO")</f>
        <v>MICRO</v>
      </c>
      <c r="B929" s="361" t="str">
        <f>IFERROR(__xludf.DUMMYFUNCTION("""COMPUTED_VALUE"""),"linamincreng")</f>
        <v>linamincreng</v>
      </c>
      <c r="C929" s="257" t="str">
        <f>IFERROR(__xludf.DUMMYFUNCTION("""COMPUTED_VALUE"""),"https://www.tiktok.com/@linamincreng")</f>
        <v>https://www.tiktok.com/@linamincreng</v>
      </c>
      <c r="D929" s="270">
        <f>IFERROR(__xludf.DUMMYFUNCTION("""COMPUTED_VALUE"""),8.151341111E10)</f>
        <v>81513411110</v>
      </c>
      <c r="E929" s="457">
        <f>IFERROR(__xludf.DUMMYFUNCTION("""COMPUTED_VALUE"""),0.0)</f>
        <v>0</v>
      </c>
      <c r="F929" s="270">
        <f>IFERROR(__xludf.DUMMYFUNCTION("""COMPUTED_VALUE"""),4.0)</f>
        <v>4</v>
      </c>
      <c r="G929" s="17" t="str">
        <f>IFERROR(__xludf.DUMMYFUNCTION("""COMPUTED_VALUE"""),"Sabun batang 1 Box ( 2 PCS )")</f>
        <v>Sabun batang 1 Box ( 2 PCS )</v>
      </c>
      <c r="H929" s="463" t="str">
        <f>IFERROR(__xludf.DUMMYFUNCTION("""COMPUTED_VALUE"""),"Sampai")</f>
        <v>Sampai</v>
      </c>
      <c r="I929" s="464" t="str">
        <f>IFERROR(__xludf.DUMMYFUNCTION("""COMPUTED_VALUE"""),"KIMME")</f>
        <v>KIMME</v>
      </c>
      <c r="J929" s="279" t="str">
        <f>IFERROR(__xludf.DUMMYFUNCTION("""COMPUTED_VALUE"""),"https://www.tiktok.com/@sinbel28/video/7635536996043197714?_r=1&amp;u_code=d054de3ejd5k82&amp;region=&amp;mid=7221264024289086214&amp;preview_pb=0&amp;sharer_language=&amp;_d=0&amp;ec_shared_reflux_dynamic_params=%7B%22placeholder_material_id%22%3A%227635536996043197714%22%2C%22plac"&amp;"eholder_origin_cover%22%3A%22https%253A%252F%252Fp16-common-sign.tiktokcdn.com%252Ftos-alisg-p-0037%252Foc8jA5A2IiQJmQqB34pE2BHBeIWMctNfgAhi3R~tplv-tiktokx-origin.jpeg%253Fdr%253D14572%2526refresh_token%253Dc5efa4b1%2526x-expires%253D1809504000%2526x-sign"&amp;"ature%253DQLJGOxa87jVhMZq4pBgMQaEnDX4%25253D%2526t%253D4d5b0474%2526ps%253D13740610%2526shp%253Dd05b14bd%2526shcp%253D34ff8df6%2526idc%253Dmy%2526s%253DTIKTOK_AFFILIATE_VIRAL_VIDEO%22%2C%22placeholder_product_id%22%3A%221729427766722726591%22%2C%22placeho"&amp;"lder_video_id%22%3A%227635536996043197714%22%7D&amp;ec_shared_reflux_scene=shop_tab_feed&amp;share_item_id=7635536996043197714&amp;source=h5_t")</f>
        <v>https://www.tiktok.com/@sinbel28/video/7635536996043197714?_r=1&amp;u_code=d054de3ejd5k82&amp;region=&amp;mid=7221264024289086214&amp;preview_pb=0&amp;sharer_language=&amp;_d=0&amp;ec_shared_reflux_dynamic_params=%7B%22placeholder_material_id%22%3A%227635536996043197714%22%2C%22placeholder_origin_cover%22%3A%22https%253A%252F%252Fp16-common-sign.tiktokcdn.com%252Ftos-alisg-p-0037%252Foc8jA5A2IiQJmQqB34pE2BHBeIWMctNfgAhi3R~tplv-tiktokx-origin.jpeg%253Fdr%253D14572%2526refresh_token%253Dc5efa4b1%2526x-expires%253D1809504000%2526x-signature%253DQLJGOxa87jVhMZq4pBgMQaEnDX4%25253D%2526t%253D4d5b0474%2526ps%253D13740610%2526shp%253Dd05b14bd%2526shcp%253D34ff8df6%2526idc%253Dmy%2526s%253DTIKTOK_AFFILIATE_VIRAL_VIDEO%22%2C%22placeholder_product_id%22%3A%221729427766722726591%22%2C%22placeholder_video_id%22%3A%227635536996043197714%22%7D&amp;ec_shared_reflux_scene=shop_tab_feed&amp;share_item_id=7635536996043197714&amp;source=h5_t</v>
      </c>
      <c r="K929" s="464" t="str">
        <f>IFERROR(__xludf.DUMMYFUNCTION("""COMPUTED_VALUE"""),"KIMME")</f>
        <v>KIMME</v>
      </c>
      <c r="L929" s="279" t="str">
        <f>IFERROR(__xludf.DUMMYFUNCTION("""COMPUTED_VALUE"""),"https://www.tiktok.com/@sinbel28/video/7635538495209098504?_r=1&amp;u_code=d054de3ejd5k82&amp;region=&amp;mid=7512918623132928785&amp;preview_pb=0&amp;sharer_language=&amp;_d=0&amp;ec_shared_reflux_dynamic_params=%7B%22placeholder_material_id%22%3A%227635538495209098504%22%2C%22plac"&amp;"eholder_origin_cover%22%3A%22https%253A%252F%252Fp16-sign-sg.tiktokcdn.com%252Ftos-alisg-p-0037%252FocIM20vCwAbo0wIr2dIAjiiAh4B2nfAyFvFudu~tplv-tiktokx-origin.jpeg%253Fdr%253D14572%2526refresh_token%253D6186005d%2526x-expires%253D1809504000%2526x-signatur"&amp;"e%253DL1ddkUY7CiODd%25252BR%25252F4vy89fMwxCM%25253D%2526t%253D4d5b0474%2526ps%253D13740610%2526shp%253Dd05b14bd%2526shcp%253D34ff8df6%2526idc%253Dmy%2526s%253DTIKTOK_AFFILIATE_VIRAL_VIDEO%22%2C%22placeholder_product_id%22%3A%221729427766722726591%22%2C%2"&amp;"2placeholder_video_id%22%3A%227635538495209098504%22%7D&amp;ec_shared_reflux_scene=shop_tab_feed&amp;share_item_id=7635538495209098504&amp;source=h5_t")</f>
        <v>https://www.tiktok.com/@sinbel28/video/7635538495209098504?_r=1&amp;u_code=d054de3ejd5k82&amp;region=&amp;mid=7512918623132928785&amp;preview_pb=0&amp;sharer_language=&amp;_d=0&amp;ec_shared_reflux_dynamic_params=%7B%22placeholder_material_id%22%3A%227635538495209098504%22%2C%22placeholder_origin_cover%22%3A%22https%253A%252F%252Fp16-sign-sg.tiktokcdn.com%252Ftos-alisg-p-0037%252FocIM20vCwAbo0wIr2dIAjiiAh4B2nfAyFvFudu~tplv-tiktokx-origin.jpeg%253Fdr%253D14572%2526refresh_token%253D6186005d%2526x-expires%253D1809504000%2526x-signature%253DL1ddkUY7CiODd%25252BR%25252F4vy89fMwxCM%25253D%2526t%253D4d5b0474%2526ps%253D13740610%2526shp%253Dd05b14bd%2526shcp%253D34ff8df6%2526idc%253Dmy%2526s%253DTIKTOK_AFFILIATE_VIRAL_VIDEO%22%2C%22placeholder_product_id%22%3A%221729427766722726591%22%2C%22placeholder_video_id%22%3A%227635538495209098504%22%7D&amp;ec_shared_reflux_scene=shop_tab_feed&amp;share_item_id=7635538495209098504&amp;source=h5_t</v>
      </c>
      <c r="M929" s="464"/>
      <c r="N929" s="279" t="str">
        <f>IFERROR(__xludf.DUMMYFUNCTION("""COMPUTED_VALUE"""),"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"&amp;"eholder_origin_cover%22%3A%22https%253A%252F%252Fp16-common-sign.tiktokcdn.com%252Ftos-alisg-p-0037%252FosGxxDBwTfDJxuTtCzLIAbGVI7Aj4f9ggQey4c~tplv-tiktokx-origin.jpeg%253Fdr%253D14572%2526refresh_token%253D8a3c5d69%2526x-expires%253D1809504000%2526x-sign"&amp;"ature%253DlASmPH53f5P2NU2PkB05ZaXJVsk%25253D%2526t%253D4d5b0474%2526ps%253D13740610%2526shp%253Dd05b14bd%2526shcp%253D34ff8df6%2526idc%253Dmy%2526s%253DTIKTOK_AFFILIATE_VIRAL_VIDEO%22%2C%22placeholder_product_id%22%3A%221729427766722726591%22%2C%22placeho"&amp;"lder_video_id%22%3A%227635540386219396360%22%7D&amp;ec_shared_reflux_scene=shop_tab_feed&amp;share_item_id=7635540386219396360&amp;source=h5_t")</f>
        <v>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eholder_origin_cover%22%3A%22https%253A%252F%252Fp16-common-sign.tiktokcdn.com%252Ftos-alisg-p-0037%252FosGxxDBwTfDJxuTtCzLIAbGVI7Aj4f9ggQey4c~tplv-tiktokx-origin.jpeg%253Fdr%253D14572%2526refresh_token%253D8a3c5d69%2526x-expires%253D1809504000%2526x-signature%253DlASmPH53f5P2NU2PkB05ZaXJVsk%25253D%2526t%253D4d5b0474%2526ps%253D13740610%2526shp%253Dd05b14bd%2526shcp%253D34ff8df6%2526idc%253Dmy%2526s%253DTIKTOK_AFFILIATE_VIRAL_VIDEO%22%2C%22placeholder_product_id%22%3A%221729427766722726591%22%2C%22placeholder_video_id%22%3A%227635540386219396360%22%7D&amp;ec_shared_reflux_scene=shop_tab_feed&amp;share_item_id=7635540386219396360&amp;source=h5_t</v>
      </c>
      <c r="O929" s="464"/>
      <c r="P929" s="279" t="str">
        <f>IFERROR(__xludf.DUMMYFUNCTION("""COMPUTED_VALUE"""),"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"&amp;"eholder_origin_cover%22%3A%22https%253A%252F%252Fp16-common-sign.tiktokcdn.com%252Ftos-alisg-p-0037%252FoofGYgAmBbnFT6RIAFbW9wtri2J2nG45efAfun~tplv-tiktokx-origin.jpeg%253Fdr%253D14572%2526refresh_token%253D9aec4cb5%2526x-expires%253D1809504000%2526x-sign"&amp;"ature%253DvctWyysZiUs5n87SRHe%25252BG3XeDeI%25253D%2526t%253D4d5b0474%2526ps%253D13740610%2526shp%253Dd05b14bd%2526shcp%253D34ff8df6%2526idc%253Dmy%2526s%253DTIKTOK_AFFILIATE_VIRAL_VIDEO%22%2C%22placeholder_product_id%22%3A%221729427766722726591%22%2C%22p"&amp;"laceholder_video_id%22%3A%227635544313203576082%22%7D&amp;ec_shared_reflux_scene=shop_tab_feed&amp;share_item_id=7635544313203576082&amp;source=h5_t")</f>
        <v>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eholder_origin_cover%22%3A%22https%253A%252F%252Fp16-common-sign.tiktokcdn.com%252Ftos-alisg-p-0037%252FoofGYgAmBbnFT6RIAFbW9wtri2J2nG45efAfun~tplv-tiktokx-origin.jpeg%253Fdr%253D14572%2526refresh_token%253D9aec4cb5%2526x-expires%253D1809504000%2526x-signature%253DvctWyysZiUs5n87SRHe%25252BG3XeDeI%25253D%2526t%253D4d5b0474%2526ps%253D13740610%2526shp%253Dd05b14bd%2526shcp%253D34ff8df6%2526idc%253Dmy%2526s%253DTIKTOK_AFFILIATE_VIRAL_VIDEO%22%2C%22placeholder_product_id%22%3A%221729427766722726591%22%2C%22placeholder_video_id%22%3A%227635544313203576082%22%7D&amp;ec_shared_reflux_scene=shop_tab_feed&amp;share_item_id=7635544313203576082&amp;source=h5_t</v>
      </c>
    </row>
    <row r="930">
      <c r="A930" s="255" t="str">
        <f>IFERROR(__xludf.DUMMYFUNCTION("""COMPUTED_VALUE"""),"MICRO")</f>
        <v>MICRO</v>
      </c>
      <c r="B930" s="361" t="str">
        <f>IFERROR(__xludf.DUMMYFUNCTION("""COMPUTED_VALUE"""),"lisa_snoopyy1")</f>
        <v>lisa_snoopyy1</v>
      </c>
      <c r="C930" s="257" t="str">
        <f>IFERROR(__xludf.DUMMYFUNCTION("""COMPUTED_VALUE"""),"https://www.tiktok.com/@lisa_snoopyy1")</f>
        <v>https://www.tiktok.com/@lisa_snoopyy1</v>
      </c>
      <c r="D930" s="270">
        <f>IFERROR(__xludf.DUMMYFUNCTION("""COMPUTED_VALUE"""),8.5242176689E10)</f>
        <v>85242176689</v>
      </c>
      <c r="E930" s="457">
        <f>IFERROR(__xludf.DUMMYFUNCTION("""COMPUTED_VALUE"""),0.0)</f>
        <v>0</v>
      </c>
      <c r="F930" s="270">
        <f>IFERROR(__xludf.DUMMYFUNCTION("""COMPUTED_VALUE"""),4.0)</f>
        <v>4</v>
      </c>
      <c r="G930" s="17" t="str">
        <f>IFERROR(__xludf.DUMMYFUNCTION("""COMPUTED_VALUE"""),"Sabun batang 1 Box ( 2 PCS )")</f>
        <v>Sabun batang 1 Box ( 2 PCS )</v>
      </c>
      <c r="H930" s="463" t="str">
        <f>IFERROR(__xludf.DUMMYFUNCTION("""COMPUTED_VALUE"""),"Sampai")</f>
        <v>Sampai</v>
      </c>
      <c r="I930" s="464" t="str">
        <f>IFERROR(__xludf.DUMMYFUNCTION("""COMPUTED_VALUE"""),"KIMME")</f>
        <v>KIMME</v>
      </c>
      <c r="J930" s="279" t="str">
        <f>IFERROR(__xludf.DUMMYFUNCTION("""COMPUTED_VALUE"""),"https://vt.tiktok.com/ZS9xsCevJ/")</f>
        <v>https://vt.tiktok.com/ZS9xsCevJ/</v>
      </c>
      <c r="K930" s="464" t="str">
        <f>IFERROR(__xludf.DUMMYFUNCTION("""COMPUTED_VALUE"""),"KIMME")</f>
        <v>KIMME</v>
      </c>
      <c r="L930" s="279" t="str">
        <f>IFERROR(__xludf.DUMMYFUNCTION("""COMPUTED_VALUE"""),"https://vt.tiktok.com/ZS9xsmftR/")</f>
        <v>https://vt.tiktok.com/ZS9xsmftR/</v>
      </c>
      <c r="M930" s="464"/>
      <c r="N930" s="279" t="str">
        <f>IFERROR(__xludf.DUMMYFUNCTION("""COMPUTED_VALUE"""),"https://www.tiktok.com/@zilasamudra/video/7633415000308092178")</f>
        <v>https://www.tiktok.com/@zilasamudra/video/7633415000308092178</v>
      </c>
      <c r="O930" s="464"/>
      <c r="P930" s="279" t="str">
        <f>IFERROR(__xludf.DUMMYFUNCTION("""COMPUTED_VALUE"""),"https://www.tiktok.com/@zilasamudra/video/7633641614350601491")</f>
        <v>https://www.tiktok.com/@zilasamudra/video/7633641614350601491</v>
      </c>
    </row>
    <row r="931">
      <c r="A931" s="255" t="str">
        <f>IFERROR(__xludf.DUMMYFUNCTION("""COMPUTED_VALUE"""),"MICRO")</f>
        <v>MICRO</v>
      </c>
      <c r="B931" s="361" t="str">
        <f>IFERROR(__xludf.DUMMYFUNCTION("""COMPUTED_VALUE"""),"dinapurnama20_")</f>
        <v>dinapurnama20_</v>
      </c>
      <c r="C931" s="257" t="str">
        <f>IFERROR(__xludf.DUMMYFUNCTION("""COMPUTED_VALUE"""),"https://www.tiktok.com/@dinapurnama20_")</f>
        <v>https://www.tiktok.com/@dinapurnama20_</v>
      </c>
      <c r="D931" s="270">
        <f>IFERROR(__xludf.DUMMYFUNCTION("""COMPUTED_VALUE"""),8.1218477507E10)</f>
        <v>81218477507</v>
      </c>
      <c r="E931" s="457">
        <f>IFERROR(__xludf.DUMMYFUNCTION("""COMPUTED_VALUE"""),0.0)</f>
        <v>0</v>
      </c>
      <c r="F931" s="270">
        <f>IFERROR(__xludf.DUMMYFUNCTION("""COMPUTED_VALUE"""),4.0)</f>
        <v>4</v>
      </c>
      <c r="G931" s="17" t="str">
        <f>IFERROR(__xludf.DUMMYFUNCTION("""COMPUTED_VALUE"""),"Sabun batang 1 Box ( 2 PCS )")</f>
        <v>Sabun batang 1 Box ( 2 PCS )</v>
      </c>
      <c r="H931" s="463" t="str">
        <f>IFERROR(__xludf.DUMMYFUNCTION("""COMPUTED_VALUE"""),"Sampai")</f>
        <v>Sampai</v>
      </c>
      <c r="I931" s="464" t="str">
        <f>IFERROR(__xludf.DUMMYFUNCTION("""COMPUTED_VALUE"""),"KIMME")</f>
        <v>KIMME</v>
      </c>
      <c r="J931" s="279" t="str">
        <f>IFERROR(__xludf.DUMMYFUNCTION("""COMPUTED_VALUE"""),"https://www.tiktok.com/@sinbel28/video/7635536996043197714?_r=1&amp;u_code=d054de3ejd5k82&amp;region=&amp;mid=7221264024289086214&amp;preview_pb=0&amp;sharer_language=&amp;_d=0&amp;ec_shared_reflux_dynamic_params=%7B%22placeholder_material_id%22%3A%227635536996043197714%22%2C%22plac"&amp;"eholder_origin_cover%22%3A%22https%253A%252F%252Fp16-common-sign.tiktokcdn.com%252Ftos-alisg-p-0037%252Foc8jA5A2IiQJmQqB34pE2BHBeIWMctNfgAhi3R~tplv-tiktokx-origin.jpeg%253Fdr%253D14572%2526refresh_token%253Dc5efa4b1%2526x-expires%253D1809504000%2526x-sign"&amp;"ature%253DQLJGOxa87jVhMZq4pBgMQaEnDX4%25253D%2526t%253D4d5b0474%2526ps%253D13740610%2526shp%253Dd05b14bd%2526shcp%253D34ff8df6%2526idc%253Dmy%2526s%253DTIKTOK_AFFILIATE_VIRAL_VIDEO%22%2C%22placeholder_product_id%22%3A%221729427766722726591%22%2C%22placeho"&amp;"lder_video_id%22%3A%227635536996043197714%22%7D&amp;ec_shared_reflux_scene=shop_tab_feed&amp;share_item_id=7635536996043197714&amp;source=h5_t")</f>
        <v>https://www.tiktok.com/@sinbel28/video/7635536996043197714?_r=1&amp;u_code=d054de3ejd5k82&amp;region=&amp;mid=7221264024289086214&amp;preview_pb=0&amp;sharer_language=&amp;_d=0&amp;ec_shared_reflux_dynamic_params=%7B%22placeholder_material_id%22%3A%227635536996043197714%22%2C%22placeholder_origin_cover%22%3A%22https%253A%252F%252Fp16-common-sign.tiktokcdn.com%252Ftos-alisg-p-0037%252Foc8jA5A2IiQJmQqB34pE2BHBeIWMctNfgAhi3R~tplv-tiktokx-origin.jpeg%253Fdr%253D14572%2526refresh_token%253Dc5efa4b1%2526x-expires%253D1809504000%2526x-signature%253DQLJGOxa87jVhMZq4pBgMQaEnDX4%25253D%2526t%253D4d5b0474%2526ps%253D13740610%2526shp%253Dd05b14bd%2526shcp%253D34ff8df6%2526idc%253Dmy%2526s%253DTIKTOK_AFFILIATE_VIRAL_VIDEO%22%2C%22placeholder_product_id%22%3A%221729427766722726591%22%2C%22placeholder_video_id%22%3A%227635536996043197714%22%7D&amp;ec_shared_reflux_scene=shop_tab_feed&amp;share_item_id=7635536996043197714&amp;source=h5_t</v>
      </c>
      <c r="K931" s="464" t="str">
        <f>IFERROR(__xludf.DUMMYFUNCTION("""COMPUTED_VALUE"""),"KIMME")</f>
        <v>KIMME</v>
      </c>
      <c r="L931" s="279" t="str">
        <f>IFERROR(__xludf.DUMMYFUNCTION("""COMPUTED_VALUE"""),"https://www.tiktok.com/@sinbel28/video/7635538495209098504?_r=1&amp;u_code=d054de3ejd5k82&amp;region=&amp;mid=7512918623132928785&amp;preview_pb=0&amp;sharer_language=&amp;_d=0&amp;ec_shared_reflux_dynamic_params=%7B%22placeholder_material_id%22%3A%227635538495209098504%22%2C%22plac"&amp;"eholder_origin_cover%22%3A%22https%253A%252F%252Fp16-sign-sg.tiktokcdn.com%252Ftos-alisg-p-0037%252FocIM20vCwAbo0wIr2dIAjiiAh4B2nfAyFvFudu~tplv-tiktokx-origin.jpeg%253Fdr%253D14572%2526refresh_token%253D6186005d%2526x-expires%253D1809504000%2526x-signatur"&amp;"e%253DL1ddkUY7CiODd%25252BR%25252F4vy89fMwxCM%25253D%2526t%253D4d5b0474%2526ps%253D13740610%2526shp%253Dd05b14bd%2526shcp%253D34ff8df6%2526idc%253Dmy%2526s%253DTIKTOK_AFFILIATE_VIRAL_VIDEO%22%2C%22placeholder_product_id%22%3A%221729427766722726591%22%2C%2"&amp;"2placeholder_video_id%22%3A%227635538495209098504%22%7D&amp;ec_shared_reflux_scene=shop_tab_feed&amp;share_item_id=7635538495209098504&amp;source=h5_t")</f>
        <v>https://www.tiktok.com/@sinbel28/video/7635538495209098504?_r=1&amp;u_code=d054de3ejd5k82&amp;region=&amp;mid=7512918623132928785&amp;preview_pb=0&amp;sharer_language=&amp;_d=0&amp;ec_shared_reflux_dynamic_params=%7B%22placeholder_material_id%22%3A%227635538495209098504%22%2C%22placeholder_origin_cover%22%3A%22https%253A%252F%252Fp16-sign-sg.tiktokcdn.com%252Ftos-alisg-p-0037%252FocIM20vCwAbo0wIr2dIAjiiAh4B2nfAyFvFudu~tplv-tiktokx-origin.jpeg%253Fdr%253D14572%2526refresh_token%253D6186005d%2526x-expires%253D1809504000%2526x-signature%253DL1ddkUY7CiODd%25252BR%25252F4vy89fMwxCM%25253D%2526t%253D4d5b0474%2526ps%253D13740610%2526shp%253Dd05b14bd%2526shcp%253D34ff8df6%2526idc%253Dmy%2526s%253DTIKTOK_AFFILIATE_VIRAL_VIDEO%22%2C%22placeholder_product_id%22%3A%221729427766722726591%22%2C%22placeholder_video_id%22%3A%227635538495209098504%22%7D&amp;ec_shared_reflux_scene=shop_tab_feed&amp;share_item_id=7635538495209098504&amp;source=h5_t</v>
      </c>
      <c r="M931" s="464"/>
      <c r="N931" s="279" t="str">
        <f>IFERROR(__xludf.DUMMYFUNCTION("""COMPUTED_VALUE"""),"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"&amp;"eholder_origin_cover%22%3A%22https%253A%252F%252Fp16-common-sign.tiktokcdn.com%252Ftos-alisg-p-0037%252FosGxxDBwTfDJxuTtCzLIAbGVI7Aj4f9ggQey4c~tplv-tiktokx-origin.jpeg%253Fdr%253D14572%2526refresh_token%253D8a3c5d69%2526x-expires%253D1809504000%2526x-sign"&amp;"ature%253DlASmPH53f5P2NU2PkB05ZaXJVsk%25253D%2526t%253D4d5b0474%2526ps%253D13740610%2526shp%253Dd05b14bd%2526shcp%253D34ff8df6%2526idc%253Dmy%2526s%253DTIKTOK_AFFILIATE_VIRAL_VIDEO%22%2C%22placeholder_product_id%22%3A%221729427766722726591%22%2C%22placeho"&amp;"lder_video_id%22%3A%227635540386219396360%22%7D&amp;ec_shared_reflux_scene=shop_tab_feed&amp;share_item_id=7635540386219396360&amp;source=h5_t")</f>
        <v>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eholder_origin_cover%22%3A%22https%253A%252F%252Fp16-common-sign.tiktokcdn.com%252Ftos-alisg-p-0037%252FosGxxDBwTfDJxuTtCzLIAbGVI7Aj4f9ggQey4c~tplv-tiktokx-origin.jpeg%253Fdr%253D14572%2526refresh_token%253D8a3c5d69%2526x-expires%253D1809504000%2526x-signature%253DlASmPH53f5P2NU2PkB05ZaXJVsk%25253D%2526t%253D4d5b0474%2526ps%253D13740610%2526shp%253Dd05b14bd%2526shcp%253D34ff8df6%2526idc%253Dmy%2526s%253DTIKTOK_AFFILIATE_VIRAL_VIDEO%22%2C%22placeholder_product_id%22%3A%221729427766722726591%22%2C%22placeholder_video_id%22%3A%227635540386219396360%22%7D&amp;ec_shared_reflux_scene=shop_tab_feed&amp;share_item_id=7635540386219396360&amp;source=h5_t</v>
      </c>
      <c r="O931" s="464"/>
      <c r="P931" s="279" t="str">
        <f>IFERROR(__xludf.DUMMYFUNCTION("""COMPUTED_VALUE"""),"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"&amp;"eholder_origin_cover%22%3A%22https%253A%252F%252Fp16-common-sign.tiktokcdn.com%252Ftos-alisg-p-0037%252FoofGYgAmBbnFT6RIAFbW9wtri2J2nG45efAfun~tplv-tiktokx-origin.jpeg%253Fdr%253D14572%2526refresh_token%253D9aec4cb5%2526x-expires%253D1809504000%2526x-sign"&amp;"ature%253DvctWyysZiUs5n87SRHe%25252BG3XeDeI%25253D%2526t%253D4d5b0474%2526ps%253D13740610%2526shp%253Dd05b14bd%2526shcp%253D34ff8df6%2526idc%253Dmy%2526s%253DTIKTOK_AFFILIATE_VIRAL_VIDEO%22%2C%22placeholder_product_id%22%3A%221729427766722726591%22%2C%22p"&amp;"laceholder_video_id%22%3A%227635544313203576082%22%7D&amp;ec_shared_reflux_scene=shop_tab_feed&amp;share_item_id=7635544313203576082&amp;source=h5_t")</f>
        <v>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eholder_origin_cover%22%3A%22https%253A%252F%252Fp16-common-sign.tiktokcdn.com%252Ftos-alisg-p-0037%252FoofGYgAmBbnFT6RIAFbW9wtri2J2nG45efAfun~tplv-tiktokx-origin.jpeg%253Fdr%253D14572%2526refresh_token%253D9aec4cb5%2526x-expires%253D1809504000%2526x-signature%253DvctWyysZiUs5n87SRHe%25252BG3XeDeI%25253D%2526t%253D4d5b0474%2526ps%253D13740610%2526shp%253Dd05b14bd%2526shcp%253D34ff8df6%2526idc%253Dmy%2526s%253DTIKTOK_AFFILIATE_VIRAL_VIDEO%22%2C%22placeholder_product_id%22%3A%221729427766722726591%22%2C%22placeholder_video_id%22%3A%227635544313203576082%22%7D&amp;ec_shared_reflux_scene=shop_tab_feed&amp;share_item_id=7635544313203576082&amp;source=h5_t</v>
      </c>
    </row>
    <row r="932">
      <c r="A932" s="255" t="str">
        <f>IFERROR(__xludf.DUMMYFUNCTION("""COMPUTED_VALUE"""),"MICRO")</f>
        <v>MICRO</v>
      </c>
      <c r="B932" s="361" t="str">
        <f>IFERROR(__xludf.DUMMYFUNCTION("""COMPUTED_VALUE"""),"oksitosiiiiiin")</f>
        <v>oksitosiiiiiin</v>
      </c>
      <c r="C932" s="257" t="str">
        <f>IFERROR(__xludf.DUMMYFUNCTION("""COMPUTED_VALUE"""),"https://www.tiktok.com/@oksitosiiiiiin")</f>
        <v>https://www.tiktok.com/@oksitosiiiiiin</v>
      </c>
      <c r="D932" s="270">
        <f>IFERROR(__xludf.DUMMYFUNCTION("""COMPUTED_VALUE"""),8.529460708E10)</f>
        <v>85294607080</v>
      </c>
      <c r="E932" s="457">
        <f>IFERROR(__xludf.DUMMYFUNCTION("""COMPUTED_VALUE"""),0.0)</f>
        <v>0</v>
      </c>
      <c r="F932" s="270">
        <f>IFERROR(__xludf.DUMMYFUNCTION("""COMPUTED_VALUE"""),4.0)</f>
        <v>4</v>
      </c>
      <c r="G932" s="17" t="str">
        <f>IFERROR(__xludf.DUMMYFUNCTION("""COMPUTED_VALUE"""),"Sabun batang 1 Box ( 2 PCS )")</f>
        <v>Sabun batang 1 Box ( 2 PCS )</v>
      </c>
      <c r="H932" s="463" t="str">
        <f>IFERROR(__xludf.DUMMYFUNCTION("""COMPUTED_VALUE"""),"Sampai")</f>
        <v>Sampai</v>
      </c>
      <c r="I932" s="464" t="str">
        <f>IFERROR(__xludf.DUMMYFUNCTION("""COMPUTED_VALUE"""),"KIMME")</f>
        <v>KIMME</v>
      </c>
      <c r="J932" s="279" t="str">
        <f>IFERROR(__xludf.DUMMYFUNCTION("""COMPUTED_VALUE"""),"https://vt.tiktok.com/ZS9xsCevJ/")</f>
        <v>https://vt.tiktok.com/ZS9xsCevJ/</v>
      </c>
      <c r="K932" s="464" t="str">
        <f>IFERROR(__xludf.DUMMYFUNCTION("""COMPUTED_VALUE"""),"KIMME")</f>
        <v>KIMME</v>
      </c>
      <c r="L932" s="279" t="str">
        <f>IFERROR(__xludf.DUMMYFUNCTION("""COMPUTED_VALUE"""),"https://vt.tiktok.com/ZS9xsmftR/")</f>
        <v>https://vt.tiktok.com/ZS9xsmftR/</v>
      </c>
      <c r="M932" s="464"/>
      <c r="N932" s="279" t="str">
        <f>IFERROR(__xludf.DUMMYFUNCTION("""COMPUTED_VALUE"""),"https://www.tiktok.com/@zilasamudra/video/7633415000308092179")</f>
        <v>https://www.tiktok.com/@zilasamudra/video/7633415000308092179</v>
      </c>
      <c r="O932" s="464"/>
      <c r="P932" s="279" t="str">
        <f>IFERROR(__xludf.DUMMYFUNCTION("""COMPUTED_VALUE"""),"https://www.tiktok.com/@zilasamudra/video/7633641614350601492")</f>
        <v>https://www.tiktok.com/@zilasamudra/video/7633641614350601492</v>
      </c>
    </row>
    <row r="933">
      <c r="A933" s="255" t="str">
        <f>IFERROR(__xludf.DUMMYFUNCTION("""COMPUTED_VALUE"""),"MICRO")</f>
        <v>MICRO</v>
      </c>
      <c r="B933" s="361" t="str">
        <f>IFERROR(__xludf.DUMMYFUNCTION("""COMPUTED_VALUE"""),"galeriaha")</f>
        <v>galeriaha</v>
      </c>
      <c r="C933" s="257" t="str">
        <f>IFERROR(__xludf.DUMMYFUNCTION("""COMPUTED_VALUE"""),"https://www.tiktok.com/@galeriaha")</f>
        <v>https://www.tiktok.com/@galeriaha</v>
      </c>
      <c r="D933" s="270">
        <f>IFERROR(__xludf.DUMMYFUNCTION("""COMPUTED_VALUE"""),8.560926491E10)</f>
        <v>85609264910</v>
      </c>
      <c r="E933" s="457">
        <f>IFERROR(__xludf.DUMMYFUNCTION("""COMPUTED_VALUE"""),0.0)</f>
        <v>0</v>
      </c>
      <c r="F933" s="270">
        <f>IFERROR(__xludf.DUMMYFUNCTION("""COMPUTED_VALUE"""),4.0)</f>
        <v>4</v>
      </c>
      <c r="G933" s="17" t="str">
        <f>IFERROR(__xludf.DUMMYFUNCTION("""COMPUTED_VALUE"""),"Sabun batang 1 Box ( 2 PCS )")</f>
        <v>Sabun batang 1 Box ( 2 PCS )</v>
      </c>
      <c r="H933" s="463" t="str">
        <f>IFERROR(__xludf.DUMMYFUNCTION("""COMPUTED_VALUE"""),"Sampai")</f>
        <v>Sampai</v>
      </c>
      <c r="I933" s="464" t="str">
        <f>IFERROR(__xludf.DUMMYFUNCTION("""COMPUTED_VALUE"""),"KIMME")</f>
        <v>KIMME</v>
      </c>
      <c r="J933" s="279" t="str">
        <f>IFERROR(__xludf.DUMMYFUNCTION("""COMPUTED_VALUE"""),"https://www.tiktok.com/@sinbel28/video/7635536996043197714?_r=1&amp;u_code=d054de3ejd5k82&amp;region=&amp;mid=7221264024289086214&amp;preview_pb=0&amp;sharer_language=&amp;_d=0&amp;ec_shared_reflux_dynamic_params=%7B%22placeholder_material_id%22%3A%227635536996043197714%22%2C%22plac"&amp;"eholder_origin_cover%22%3A%22https%253A%252F%252Fp16-common-sign.tiktokcdn.com%252Ftos-alisg-p-0037%252Foc8jA5A2IiQJmQqB34pE2BHBeIWMctNfgAhi3R~tplv-tiktokx-origin.jpeg%253Fdr%253D14572%2526refresh_token%253Dc5efa4b1%2526x-expires%253D1809504000%2526x-sign"&amp;"ature%253DQLJGOxa87jVhMZq4pBgMQaEnDX4%25253D%2526t%253D4d5b0474%2526ps%253D13740610%2526shp%253Dd05b14bd%2526shcp%253D34ff8df6%2526idc%253Dmy%2526s%253DTIKTOK_AFFILIATE_VIRAL_VIDEO%22%2C%22placeholder_product_id%22%3A%221729427766722726591%22%2C%22placeho"&amp;"lder_video_id%22%3A%227635536996043197714%22%7D&amp;ec_shared_reflux_scene=shop_tab_feed&amp;share_item_id=7635536996043197714&amp;source=h5_t")</f>
        <v>https://www.tiktok.com/@sinbel28/video/7635536996043197714?_r=1&amp;u_code=d054de3ejd5k82&amp;region=&amp;mid=7221264024289086214&amp;preview_pb=0&amp;sharer_language=&amp;_d=0&amp;ec_shared_reflux_dynamic_params=%7B%22placeholder_material_id%22%3A%227635536996043197714%22%2C%22placeholder_origin_cover%22%3A%22https%253A%252F%252Fp16-common-sign.tiktokcdn.com%252Ftos-alisg-p-0037%252Foc8jA5A2IiQJmQqB34pE2BHBeIWMctNfgAhi3R~tplv-tiktokx-origin.jpeg%253Fdr%253D14572%2526refresh_token%253Dc5efa4b1%2526x-expires%253D1809504000%2526x-signature%253DQLJGOxa87jVhMZq4pBgMQaEnDX4%25253D%2526t%253D4d5b0474%2526ps%253D13740610%2526shp%253Dd05b14bd%2526shcp%253D34ff8df6%2526idc%253Dmy%2526s%253DTIKTOK_AFFILIATE_VIRAL_VIDEO%22%2C%22placeholder_product_id%22%3A%221729427766722726591%22%2C%22placeholder_video_id%22%3A%227635536996043197714%22%7D&amp;ec_shared_reflux_scene=shop_tab_feed&amp;share_item_id=7635536996043197714&amp;source=h5_t</v>
      </c>
      <c r="K933" s="464" t="str">
        <f>IFERROR(__xludf.DUMMYFUNCTION("""COMPUTED_VALUE"""),"KIMME")</f>
        <v>KIMME</v>
      </c>
      <c r="L933" s="279" t="str">
        <f>IFERROR(__xludf.DUMMYFUNCTION("""COMPUTED_VALUE"""),"https://www.tiktok.com/@sinbel28/video/7635538495209098504?_r=1&amp;u_code=d054de3ejd5k82&amp;region=&amp;mid=7512918623132928785&amp;preview_pb=0&amp;sharer_language=&amp;_d=0&amp;ec_shared_reflux_dynamic_params=%7B%22placeholder_material_id%22%3A%227635538495209098504%22%2C%22plac"&amp;"eholder_origin_cover%22%3A%22https%253A%252F%252Fp16-sign-sg.tiktokcdn.com%252Ftos-alisg-p-0037%252FocIM20vCwAbo0wIr2dIAjiiAh4B2nfAyFvFudu~tplv-tiktokx-origin.jpeg%253Fdr%253D14572%2526refresh_token%253D6186005d%2526x-expires%253D1809504000%2526x-signatur"&amp;"e%253DL1ddkUY7CiODd%25252BR%25252F4vy89fMwxCM%25253D%2526t%253D4d5b0474%2526ps%253D13740610%2526shp%253Dd05b14bd%2526shcp%253D34ff8df6%2526idc%253Dmy%2526s%253DTIKTOK_AFFILIATE_VIRAL_VIDEO%22%2C%22placeholder_product_id%22%3A%221729427766722726591%22%2C%2"&amp;"2placeholder_video_id%22%3A%227635538495209098504%22%7D&amp;ec_shared_reflux_scene=shop_tab_feed&amp;share_item_id=7635538495209098504&amp;source=h5_t")</f>
        <v>https://www.tiktok.com/@sinbel28/video/7635538495209098504?_r=1&amp;u_code=d054de3ejd5k82&amp;region=&amp;mid=7512918623132928785&amp;preview_pb=0&amp;sharer_language=&amp;_d=0&amp;ec_shared_reflux_dynamic_params=%7B%22placeholder_material_id%22%3A%227635538495209098504%22%2C%22placeholder_origin_cover%22%3A%22https%253A%252F%252Fp16-sign-sg.tiktokcdn.com%252Ftos-alisg-p-0037%252FocIM20vCwAbo0wIr2dIAjiiAh4B2nfAyFvFudu~tplv-tiktokx-origin.jpeg%253Fdr%253D14572%2526refresh_token%253D6186005d%2526x-expires%253D1809504000%2526x-signature%253DL1ddkUY7CiODd%25252BR%25252F4vy89fMwxCM%25253D%2526t%253D4d5b0474%2526ps%253D13740610%2526shp%253Dd05b14bd%2526shcp%253D34ff8df6%2526idc%253Dmy%2526s%253DTIKTOK_AFFILIATE_VIRAL_VIDEO%22%2C%22placeholder_product_id%22%3A%221729427766722726591%22%2C%22placeholder_video_id%22%3A%227635538495209098504%22%7D&amp;ec_shared_reflux_scene=shop_tab_feed&amp;share_item_id=7635538495209098504&amp;source=h5_t</v>
      </c>
      <c r="M933" s="464"/>
      <c r="N933" s="279" t="str">
        <f>IFERROR(__xludf.DUMMYFUNCTION("""COMPUTED_VALUE"""),"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"&amp;"eholder_origin_cover%22%3A%22https%253A%252F%252Fp16-common-sign.tiktokcdn.com%252Ftos-alisg-p-0037%252FosGxxDBwTfDJxuTtCzLIAbGVI7Aj4f9ggQey4c~tplv-tiktokx-origin.jpeg%253Fdr%253D14572%2526refresh_token%253D8a3c5d69%2526x-expires%253D1809504000%2526x-sign"&amp;"ature%253DlASmPH53f5P2NU2PkB05ZaXJVsk%25253D%2526t%253D4d5b0474%2526ps%253D13740610%2526shp%253Dd05b14bd%2526shcp%253D34ff8df6%2526idc%253Dmy%2526s%253DTIKTOK_AFFILIATE_VIRAL_VIDEO%22%2C%22placeholder_product_id%22%3A%221729427766722726591%22%2C%22placeho"&amp;"lder_video_id%22%3A%227635540386219396360%22%7D&amp;ec_shared_reflux_scene=shop_tab_feed&amp;share_item_id=7635540386219396360&amp;source=h5_t")</f>
        <v>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eholder_origin_cover%22%3A%22https%253A%252F%252Fp16-common-sign.tiktokcdn.com%252Ftos-alisg-p-0037%252FosGxxDBwTfDJxuTtCzLIAbGVI7Aj4f9ggQey4c~tplv-tiktokx-origin.jpeg%253Fdr%253D14572%2526refresh_token%253D8a3c5d69%2526x-expires%253D1809504000%2526x-signature%253DlASmPH53f5P2NU2PkB05ZaXJVsk%25253D%2526t%253D4d5b0474%2526ps%253D13740610%2526shp%253Dd05b14bd%2526shcp%253D34ff8df6%2526idc%253Dmy%2526s%253DTIKTOK_AFFILIATE_VIRAL_VIDEO%22%2C%22placeholder_product_id%22%3A%221729427766722726591%22%2C%22placeholder_video_id%22%3A%227635540386219396360%22%7D&amp;ec_shared_reflux_scene=shop_tab_feed&amp;share_item_id=7635540386219396360&amp;source=h5_t</v>
      </c>
      <c r="O933" s="464"/>
      <c r="P933" s="279" t="str">
        <f>IFERROR(__xludf.DUMMYFUNCTION("""COMPUTED_VALUE"""),"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"&amp;"eholder_origin_cover%22%3A%22https%253A%252F%252Fp16-common-sign.tiktokcdn.com%252Ftos-alisg-p-0037%252FoofGYgAmBbnFT6RIAFbW9wtri2J2nG45efAfun~tplv-tiktokx-origin.jpeg%253Fdr%253D14572%2526refresh_token%253D9aec4cb5%2526x-expires%253D1809504000%2526x-sign"&amp;"ature%253DvctWyysZiUs5n87SRHe%25252BG3XeDeI%25253D%2526t%253D4d5b0474%2526ps%253D13740610%2526shp%253Dd05b14bd%2526shcp%253D34ff8df6%2526idc%253Dmy%2526s%253DTIKTOK_AFFILIATE_VIRAL_VIDEO%22%2C%22placeholder_product_id%22%3A%221729427766722726591%22%2C%22p"&amp;"laceholder_video_id%22%3A%227635544313203576082%22%7D&amp;ec_shared_reflux_scene=shop_tab_feed&amp;share_item_id=7635544313203576082&amp;source=h5_t")</f>
        <v>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eholder_origin_cover%22%3A%22https%253A%252F%252Fp16-common-sign.tiktokcdn.com%252Ftos-alisg-p-0037%252FoofGYgAmBbnFT6RIAFbW9wtri2J2nG45efAfun~tplv-tiktokx-origin.jpeg%253Fdr%253D14572%2526refresh_token%253D9aec4cb5%2526x-expires%253D1809504000%2526x-signature%253DvctWyysZiUs5n87SRHe%25252BG3XeDeI%25253D%2526t%253D4d5b0474%2526ps%253D13740610%2526shp%253Dd05b14bd%2526shcp%253D34ff8df6%2526idc%253Dmy%2526s%253DTIKTOK_AFFILIATE_VIRAL_VIDEO%22%2C%22placeholder_product_id%22%3A%221729427766722726591%22%2C%22placeholder_video_id%22%3A%227635544313203576082%22%7D&amp;ec_shared_reflux_scene=shop_tab_feed&amp;share_item_id=7635544313203576082&amp;source=h5_t</v>
      </c>
    </row>
    <row r="934">
      <c r="A934" s="255" t="str">
        <f>IFERROR(__xludf.DUMMYFUNCTION("""COMPUTED_VALUE"""),"MACRO")</f>
        <v>MACRO</v>
      </c>
      <c r="B934" s="361" t="str">
        <f>IFERROR(__xludf.DUMMYFUNCTION("""COMPUTED_VALUE"""),"vitrisalma")</f>
        <v>vitrisalma</v>
      </c>
      <c r="C934" s="257" t="str">
        <f>IFERROR(__xludf.DUMMYFUNCTION("""COMPUTED_VALUE"""),"https://www.tiktok.com/@vitrisalma")</f>
        <v>https://www.tiktok.com/@vitrisalma</v>
      </c>
      <c r="D934" s="270">
        <f>IFERROR(__xludf.DUMMYFUNCTION("""COMPUTED_VALUE"""),8.2221769E10)</f>
        <v>82221769000</v>
      </c>
      <c r="E934" s="457">
        <f>IFERROR(__xludf.DUMMYFUNCTION("""COMPUTED_VALUE"""),0.0)</f>
        <v>0</v>
      </c>
      <c r="F934" s="270">
        <f>IFERROR(__xludf.DUMMYFUNCTION("""COMPUTED_VALUE"""),4.0)</f>
        <v>4</v>
      </c>
      <c r="G934" s="17" t="str">
        <f>IFERROR(__xludf.DUMMYFUNCTION("""COMPUTED_VALUE"""),"Sabun batang 1 Box ( 2 PCS )")</f>
        <v>Sabun batang 1 Box ( 2 PCS )</v>
      </c>
      <c r="H934" s="463" t="str">
        <f>IFERROR(__xludf.DUMMYFUNCTION("""COMPUTED_VALUE"""),"Sampai")</f>
        <v>Sampai</v>
      </c>
      <c r="I934" s="464" t="str">
        <f>IFERROR(__xludf.DUMMYFUNCTION("""COMPUTED_VALUE"""),"KIMME")</f>
        <v>KIMME</v>
      </c>
      <c r="J934" s="279" t="str">
        <f>IFERROR(__xludf.DUMMYFUNCTION("""COMPUTED_VALUE"""),"https://vt.tiktok.com/ZS9xsCevJ/")</f>
        <v>https://vt.tiktok.com/ZS9xsCevJ/</v>
      </c>
      <c r="K934" s="464" t="str">
        <f>IFERROR(__xludf.DUMMYFUNCTION("""COMPUTED_VALUE"""),"KIMME")</f>
        <v>KIMME</v>
      </c>
      <c r="L934" s="279" t="str">
        <f>IFERROR(__xludf.DUMMYFUNCTION("""COMPUTED_VALUE"""),"https://vt.tiktok.com/ZS9xsmftR/")</f>
        <v>https://vt.tiktok.com/ZS9xsmftR/</v>
      </c>
      <c r="M934" s="464"/>
      <c r="N934" s="279" t="str">
        <f>IFERROR(__xludf.DUMMYFUNCTION("""COMPUTED_VALUE"""),"https://www.tiktok.com/@zilasamudra/video/7633415000308092180")</f>
        <v>https://www.tiktok.com/@zilasamudra/video/7633415000308092180</v>
      </c>
      <c r="O934" s="464"/>
      <c r="P934" s="279" t="str">
        <f>IFERROR(__xludf.DUMMYFUNCTION("""COMPUTED_VALUE"""),"https://www.tiktok.com/@zilasamudra/video/7633641614350601493")</f>
        <v>https://www.tiktok.com/@zilasamudra/video/7633641614350601493</v>
      </c>
    </row>
    <row r="935">
      <c r="A935" s="255" t="str">
        <f>IFERROR(__xludf.DUMMYFUNCTION("""COMPUTED_VALUE"""),"MICRO")</f>
        <v>MICRO</v>
      </c>
      <c r="B935" s="361" t="str">
        <f>IFERROR(__xludf.DUMMYFUNCTION("""COMPUTED_VALUE"""),"citraayunisafran")</f>
        <v>citraayunisafran</v>
      </c>
      <c r="C935" s="257" t="str">
        <f>IFERROR(__xludf.DUMMYFUNCTION("""COMPUTED_VALUE"""),"https://www.tiktok.com/@citraayunisafran")</f>
        <v>https://www.tiktok.com/@citraayunisafran</v>
      </c>
      <c r="D935" s="270">
        <f>IFERROR(__xludf.DUMMYFUNCTION("""COMPUTED_VALUE"""),8.2154864482E10)</f>
        <v>82154864482</v>
      </c>
      <c r="E935" s="457">
        <f>IFERROR(__xludf.DUMMYFUNCTION("""COMPUTED_VALUE"""),0.0)</f>
        <v>0</v>
      </c>
      <c r="F935" s="270">
        <f>IFERROR(__xludf.DUMMYFUNCTION("""COMPUTED_VALUE"""),4.0)</f>
        <v>4</v>
      </c>
      <c r="G935" s="17" t="str">
        <f>IFERROR(__xludf.DUMMYFUNCTION("""COMPUTED_VALUE"""),"Sabun batang 1 Box ( 2 PCS )")</f>
        <v>Sabun batang 1 Box ( 2 PCS )</v>
      </c>
      <c r="H935" s="463" t="str">
        <f>IFERROR(__xludf.DUMMYFUNCTION("""COMPUTED_VALUE"""),"Sampai")</f>
        <v>Sampai</v>
      </c>
      <c r="I935" s="464" t="str">
        <f>IFERROR(__xludf.DUMMYFUNCTION("""COMPUTED_VALUE"""),"KIMME")</f>
        <v>KIMME</v>
      </c>
      <c r="J935" s="279" t="str">
        <f>IFERROR(__xludf.DUMMYFUNCTION("""COMPUTED_VALUE"""),"https://www.tiktok.com/@citraayunisafran/video/7631675761652419860?_r=1&amp;u_code=clcei2445f00li&amp;region=&amp;mid=7631675819886185237&amp;preview_pb=0&amp;sharer_language=&amp;_d=0&amp;ec_shared_reflux_dynamic_params=%7B%22placeholder_material_id%22%3A%227631675761652419860%22%2"&amp;"C%22placeholder_origin_cover%22%3A%22https%253A%252F%252Fp16-common-sign.tiktokcdn.com%252Ftos-alisg-p-0037%252FoQP0bdoWOAm4BIzVwIiLeKuBjPtFGLkiACAzpI~tplv-tiktokx-origin.jpeg%253Fdr%253D14572%2526refresh_token%253D6f44e6ef%2526x-expires%253D1808470800%25"&amp;"26x-signature%253DJ4L7lf058Q69%25252FXfv2gNEvyBH29o%25253D%2526t%253D4d5b0474%2526ps%253D13740610%2526shp%253Dd05b14bd%2526shcp%253D34ff8df6%2526idc%253Dmy3%2526s%253DTIKTOK_AFFILIATE_VIRAL_VIDEO%22%2C%22placeholder_product_id%22%3A%221729427766722726591%"&amp;"22%2C%22placeholder_video_id%22%3A%227631675761652419860%22%7D&amp;ec_shared_reflux_scene=shop_tab_feed&amp;share_item_id=7631675761652419860&amp;source=h5_t")</f>
        <v>https://www.tiktok.com/@citraayunisafran/video/7631675761652419860?_r=1&amp;u_code=clcei2445f00li&amp;region=&amp;mid=7631675819886185237&amp;preview_pb=0&amp;sharer_language=&amp;_d=0&amp;ec_shared_reflux_dynamic_params=%7B%22placeholder_material_id%22%3A%227631675761652419860%22%2C%22placeholder_origin_cover%22%3A%22https%253A%252F%252Fp16-common-sign.tiktokcdn.com%252Ftos-alisg-p-0037%252FoQP0bdoWOAm4BIzVwIiLeKuBjPtFGLkiACAzpI~tplv-tiktokx-origin.jpeg%253Fdr%253D14572%2526refresh_token%253D6f44e6ef%2526x-expires%253D1808470800%2526x-signature%253DJ4L7lf058Q69%25252FXfv2gNEvyBH29o%25253D%2526t%253D4d5b0474%2526ps%253D13740610%2526shp%253Dd05b14bd%2526shcp%253D34ff8df6%2526idc%253Dmy3%2526s%253DTIKTOK_AFFILIATE_VIRAL_VIDEO%22%2C%22placeholder_product_id%22%3A%221729427766722726591%22%2C%22placeholder_video_id%22%3A%227631675761652419860%22%7D&amp;ec_shared_reflux_scene=shop_tab_feed&amp;share_item_id=7631675761652419860&amp;source=h5_t</v>
      </c>
      <c r="K935" s="464" t="str">
        <f>IFERROR(__xludf.DUMMYFUNCTION("""COMPUTED_VALUE"""),"KIMME")</f>
        <v>KIMME</v>
      </c>
      <c r="L935" s="17" t="str">
        <f>IFERROR(__xludf.DUMMYFUNCTION("""COMPUTED_VALUE"""),"⁠https://vt.tiktok.com/ZSx6ScmwJ/")</f>
        <v>⁠https://vt.tiktok.com/ZSx6ScmwJ/</v>
      </c>
      <c r="M935" s="464"/>
      <c r="N935" s="17" t="str">
        <f>IFERROR(__xludf.DUMMYFUNCTION("""COMPUTED_VALUE"""),"⁠https://vt.tiktok.com/ZSx6ScJYq/")</f>
        <v>⁠https://vt.tiktok.com/ZSx6ScJYq/</v>
      </c>
      <c r="O935" s="464"/>
      <c r="P935" s="17" t="str">
        <f>IFERROR(__xludf.DUMMYFUNCTION("""COMPUTED_VALUE"""),"⁠https://vt.tiktok.com/ZSx6SvVAw/")</f>
        <v>⁠https://vt.tiktok.com/ZSx6SvVAw/</v>
      </c>
    </row>
    <row r="936">
      <c r="A936" s="255" t="str">
        <f>IFERROR(__xludf.DUMMYFUNCTION("""COMPUTED_VALUE"""),"MACRO")</f>
        <v>MACRO</v>
      </c>
      <c r="B936" s="361" t="str">
        <f>IFERROR(__xludf.DUMMYFUNCTION("""COMPUTED_VALUE"""),"fidiassanad")</f>
        <v>fidiassanad</v>
      </c>
      <c r="C936" s="257" t="str">
        <f>IFERROR(__xludf.DUMMYFUNCTION("""COMPUTED_VALUE"""),"https://www.tiktok.com/@fidiassanad")</f>
        <v>https://www.tiktok.com/@fidiassanad</v>
      </c>
      <c r="D936" s="270">
        <f>IFERROR(__xludf.DUMMYFUNCTION("""COMPUTED_VALUE"""),8.81036223577E11)</f>
        <v>881036223577</v>
      </c>
      <c r="E936" s="457">
        <f>IFERROR(__xludf.DUMMYFUNCTION("""COMPUTED_VALUE"""),0.0)</f>
        <v>0</v>
      </c>
      <c r="F936" s="270">
        <f>IFERROR(__xludf.DUMMYFUNCTION("""COMPUTED_VALUE"""),4.0)</f>
        <v>4</v>
      </c>
      <c r="G936" s="17" t="str">
        <f>IFERROR(__xludf.DUMMYFUNCTION("""COMPUTED_VALUE"""),"Sabun batang 1 Box ( 2 PCS )")</f>
        <v>Sabun batang 1 Box ( 2 PCS )</v>
      </c>
      <c r="H936" s="463" t="str">
        <f>IFERROR(__xludf.DUMMYFUNCTION("""COMPUTED_VALUE"""),"Sampai")</f>
        <v>Sampai</v>
      </c>
      <c r="I936" s="464" t="str">
        <f>IFERROR(__xludf.DUMMYFUNCTION("""COMPUTED_VALUE"""),"KIMME")</f>
        <v>KIMME</v>
      </c>
      <c r="J936" s="17"/>
      <c r="K936" s="464" t="str">
        <f>IFERROR(__xludf.DUMMYFUNCTION("""COMPUTED_VALUE"""),"KIMME")</f>
        <v>KIMME</v>
      </c>
      <c r="L936" s="17"/>
      <c r="M936" s="464"/>
      <c r="N936" s="17"/>
      <c r="O936" s="464"/>
      <c r="P936" s="17"/>
    </row>
    <row r="937">
      <c r="A937" s="255" t="str">
        <f>IFERROR(__xludf.DUMMYFUNCTION("""COMPUTED_VALUE"""),"MICRO")</f>
        <v>MICRO</v>
      </c>
      <c r="B937" s="361" t="str">
        <f>IFERROR(__xludf.DUMMYFUNCTION("""COMPUTED_VALUE"""),"Sinbel28")</f>
        <v>Sinbel28</v>
      </c>
      <c r="C937" s="257" t="str">
        <f>IFERROR(__xludf.DUMMYFUNCTION("""COMPUTED_VALUE"""),"https://www.tiktok.com/@Sinbel28")</f>
        <v>https://www.tiktok.com/@Sinbel28</v>
      </c>
      <c r="D937" s="270">
        <f>IFERROR(__xludf.DUMMYFUNCTION("""COMPUTED_VALUE"""),8.5714440568E10)</f>
        <v>85714440568</v>
      </c>
      <c r="E937" s="457">
        <f>IFERROR(__xludf.DUMMYFUNCTION("""COMPUTED_VALUE"""),0.0)</f>
        <v>0</v>
      </c>
      <c r="F937" s="270">
        <f>IFERROR(__xludf.DUMMYFUNCTION("""COMPUTED_VALUE"""),2.0)</f>
        <v>2</v>
      </c>
      <c r="G937" s="17" t="str">
        <f>IFERROR(__xludf.DUMMYFUNCTION("""COMPUTED_VALUE"""),"Sabun batang 1 Box ( 2 PCS )")</f>
        <v>Sabun batang 1 Box ( 2 PCS )</v>
      </c>
      <c r="H937" s="463" t="str">
        <f>IFERROR(__xludf.DUMMYFUNCTION("""COMPUTED_VALUE"""),"Sampai")</f>
        <v>Sampai</v>
      </c>
      <c r="I937" s="464" t="str">
        <f>IFERROR(__xludf.DUMMYFUNCTION("""COMPUTED_VALUE"""),"KIMME")</f>
        <v>KIMME</v>
      </c>
      <c r="J937" s="279" t="str">
        <f>IFERROR(__xludf.DUMMYFUNCTION("""COMPUTED_VALUE"""),"https://www.tiktok.com/@sinbel28/video/7635536996043197714?_r=1&amp;u_code=d054de3ejd5k82&amp;region=&amp;mid=7221264024289086214&amp;preview_pb=0&amp;sharer_language=&amp;_d=0&amp;ec_shared_reflux_dynamic_params=%7B%22placeholder_material_id%22%3A%227635536996043197714%22%2C%22plac"&amp;"eholder_origin_cover%22%3A%22https%253A%252F%252Fp16-common-sign.tiktokcdn.com%252Ftos-alisg-p-0037%252Foc8jA5A2IiQJmQqB34pE2BHBeIWMctNfgAhi3R~tplv-tiktokx-origin.jpeg%253Fdr%253D14572%2526refresh_token%253Dc5efa4b1%2526x-expires%253D1809504000%2526x-sign"&amp;"ature%253DQLJGOxa87jVhMZq4pBgMQaEnDX4%25253D%2526t%253D4d5b0474%2526ps%253D13740610%2526shp%253Dd05b14bd%2526shcp%253D34ff8df6%2526idc%253Dmy%2526s%253DTIKTOK_AFFILIATE_VIRAL_VIDEO%22%2C%22placeholder_product_id%22%3A%221729427766722726591%22%2C%22placeho"&amp;"lder_video_id%22%3A%227635536996043197714%22%7D&amp;ec_shared_reflux_scene=shop_tab_feed&amp;share_item_id=7635536996043197714&amp;source=h5_t")</f>
        <v>https://www.tiktok.com/@sinbel28/video/7635536996043197714?_r=1&amp;u_code=d054de3ejd5k82&amp;region=&amp;mid=7221264024289086214&amp;preview_pb=0&amp;sharer_language=&amp;_d=0&amp;ec_shared_reflux_dynamic_params=%7B%22placeholder_material_id%22%3A%227635536996043197714%22%2C%22placeholder_origin_cover%22%3A%22https%253A%252F%252Fp16-common-sign.tiktokcdn.com%252Ftos-alisg-p-0037%252Foc8jA5A2IiQJmQqB34pE2BHBeIWMctNfgAhi3R~tplv-tiktokx-origin.jpeg%253Fdr%253D14572%2526refresh_token%253Dc5efa4b1%2526x-expires%253D1809504000%2526x-signature%253DQLJGOxa87jVhMZq4pBgMQaEnDX4%25253D%2526t%253D4d5b0474%2526ps%253D13740610%2526shp%253Dd05b14bd%2526shcp%253D34ff8df6%2526idc%253Dmy%2526s%253DTIKTOK_AFFILIATE_VIRAL_VIDEO%22%2C%22placeholder_product_id%22%3A%221729427766722726591%22%2C%22placeholder_video_id%22%3A%227635536996043197714%22%7D&amp;ec_shared_reflux_scene=shop_tab_feed&amp;share_item_id=7635536996043197714&amp;source=h5_t</v>
      </c>
      <c r="K937" s="464" t="str">
        <f>IFERROR(__xludf.DUMMYFUNCTION("""COMPUTED_VALUE"""),"KIMME")</f>
        <v>KIMME</v>
      </c>
      <c r="L937" s="279" t="str">
        <f>IFERROR(__xludf.DUMMYFUNCTION("""COMPUTED_VALUE"""),"https://www.tiktok.com/@sinbel28/video/7635538495209098504?_r=1&amp;u_code=d054de3ejd5k82&amp;region=&amp;mid=7512918623132928785&amp;preview_pb=0&amp;sharer_language=&amp;_d=0&amp;ec_shared_reflux_dynamic_params=%7B%22placeholder_material_id%22%3A%227635538495209098504%22%2C%22plac"&amp;"eholder_origin_cover%22%3A%22https%253A%252F%252Fp16-sign-sg.tiktokcdn.com%252Ftos-alisg-p-0037%252FocIM20vCwAbo0wIr2dIAjiiAh4B2nfAyFvFudu~tplv-tiktokx-origin.jpeg%253Fdr%253D14572%2526refresh_token%253D6186005d%2526x-expires%253D1809504000%2526x-signatur"&amp;"e%253DL1ddkUY7CiODd%25252BR%25252F4vy89fMwxCM%25253D%2526t%253D4d5b0474%2526ps%253D13740610%2526shp%253Dd05b14bd%2526shcp%253D34ff8df6%2526idc%253Dmy%2526s%253DTIKTOK_AFFILIATE_VIRAL_VIDEO%22%2C%22placeholder_product_id%22%3A%221729427766722726591%22%2C%2"&amp;"2placeholder_video_id%22%3A%227635538495209098504%22%7D&amp;ec_shared_reflux_scene=shop_tab_feed&amp;share_item_id=7635538495209098504&amp;source=h5_t")</f>
        <v>https://www.tiktok.com/@sinbel28/video/7635538495209098504?_r=1&amp;u_code=d054de3ejd5k82&amp;region=&amp;mid=7512918623132928785&amp;preview_pb=0&amp;sharer_language=&amp;_d=0&amp;ec_shared_reflux_dynamic_params=%7B%22placeholder_material_id%22%3A%227635538495209098504%22%2C%22placeholder_origin_cover%22%3A%22https%253A%252F%252Fp16-sign-sg.tiktokcdn.com%252Ftos-alisg-p-0037%252FocIM20vCwAbo0wIr2dIAjiiAh4B2nfAyFvFudu~tplv-tiktokx-origin.jpeg%253Fdr%253D14572%2526refresh_token%253D6186005d%2526x-expires%253D1809504000%2526x-signature%253DL1ddkUY7CiODd%25252BR%25252F4vy89fMwxCM%25253D%2526t%253D4d5b0474%2526ps%253D13740610%2526shp%253Dd05b14bd%2526shcp%253D34ff8df6%2526idc%253Dmy%2526s%253DTIKTOK_AFFILIATE_VIRAL_VIDEO%22%2C%22placeholder_product_id%22%3A%221729427766722726591%22%2C%22placeholder_video_id%22%3A%227635538495209098504%22%7D&amp;ec_shared_reflux_scene=shop_tab_feed&amp;share_item_id=7635538495209098504&amp;source=h5_t</v>
      </c>
      <c r="M937" s="464"/>
      <c r="N937" s="279" t="str">
        <f>IFERROR(__xludf.DUMMYFUNCTION("""COMPUTED_VALUE"""),"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"&amp;"eholder_origin_cover%22%3A%22https%253A%252F%252Fp16-common-sign.tiktokcdn.com%252Ftos-alisg-p-0037%252FosGxxDBwTfDJxuTtCzLIAbGVI7Aj4f9ggQey4c~tplv-tiktokx-origin.jpeg%253Fdr%253D14572%2526refresh_token%253D8a3c5d69%2526x-expires%253D1809504000%2526x-sign"&amp;"ature%253DlASmPH53f5P2NU2PkB05ZaXJVsk%25253D%2526t%253D4d5b0474%2526ps%253D13740610%2526shp%253Dd05b14bd%2526shcp%253D34ff8df6%2526idc%253Dmy%2526s%253DTIKTOK_AFFILIATE_VIRAL_VIDEO%22%2C%22placeholder_product_id%22%3A%221729427766722726591%22%2C%22placeho"&amp;"lder_video_id%22%3A%227635540386219396360%22%7D&amp;ec_shared_reflux_scene=shop_tab_feed&amp;share_item_id=7635540386219396360&amp;source=h5_t")</f>
        <v>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eholder_origin_cover%22%3A%22https%253A%252F%252Fp16-common-sign.tiktokcdn.com%252Ftos-alisg-p-0037%252FosGxxDBwTfDJxuTtCzLIAbGVI7Aj4f9ggQey4c~tplv-tiktokx-origin.jpeg%253Fdr%253D14572%2526refresh_token%253D8a3c5d69%2526x-expires%253D1809504000%2526x-signature%253DlASmPH53f5P2NU2PkB05ZaXJVsk%25253D%2526t%253D4d5b0474%2526ps%253D13740610%2526shp%253Dd05b14bd%2526shcp%253D34ff8df6%2526idc%253Dmy%2526s%253DTIKTOK_AFFILIATE_VIRAL_VIDEO%22%2C%22placeholder_product_id%22%3A%221729427766722726591%22%2C%22placeholder_video_id%22%3A%227635540386219396360%22%7D&amp;ec_shared_reflux_scene=shop_tab_feed&amp;share_item_id=7635540386219396360&amp;source=h5_t</v>
      </c>
      <c r="O937" s="464"/>
      <c r="P937" s="279" t="str">
        <f>IFERROR(__xludf.DUMMYFUNCTION("""COMPUTED_VALUE"""),"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"&amp;"eholder_origin_cover%22%3A%22https%253A%252F%252Fp16-common-sign.tiktokcdn.com%252Ftos-alisg-p-0037%252FoofGYgAmBbnFT6RIAFbW9wtri2J2nG45efAfun~tplv-tiktokx-origin.jpeg%253Fdr%253D14572%2526refresh_token%253D9aec4cb5%2526x-expires%253D1809504000%2526x-sign"&amp;"ature%253DvctWyysZiUs5n87SRHe%25252BG3XeDeI%25253D%2526t%253D4d5b0474%2526ps%253D13740610%2526shp%253Dd05b14bd%2526shcp%253D34ff8df6%2526idc%253Dmy%2526s%253DTIKTOK_AFFILIATE_VIRAL_VIDEO%22%2C%22placeholder_product_id%22%3A%221729427766722726591%22%2C%22p"&amp;"laceholder_video_id%22%3A%227635544313203576082%22%7D&amp;ec_shared_reflux_scene=shop_tab_feed&amp;share_item_id=7635544313203576082&amp;source=h5_t")</f>
        <v>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eholder_origin_cover%22%3A%22https%253A%252F%252Fp16-common-sign.tiktokcdn.com%252Ftos-alisg-p-0037%252FoofGYgAmBbnFT6RIAFbW9wtri2J2nG45efAfun~tplv-tiktokx-origin.jpeg%253Fdr%253D14572%2526refresh_token%253D9aec4cb5%2526x-expires%253D1809504000%2526x-signature%253DvctWyysZiUs5n87SRHe%25252BG3XeDeI%25253D%2526t%253D4d5b0474%2526ps%253D13740610%2526shp%253Dd05b14bd%2526shcp%253D34ff8df6%2526idc%253Dmy%2526s%253DTIKTOK_AFFILIATE_VIRAL_VIDEO%22%2C%22placeholder_product_id%22%3A%221729427766722726591%22%2C%22placeholder_video_id%22%3A%227635544313203576082%22%7D&amp;ec_shared_reflux_scene=shop_tab_feed&amp;share_item_id=7635544313203576082&amp;source=h5_t</v>
      </c>
    </row>
    <row r="938">
      <c r="A938" s="255" t="str">
        <f>IFERROR(__xludf.DUMMYFUNCTION("""COMPUTED_VALUE"""),"MICRO")</f>
        <v>MICRO</v>
      </c>
      <c r="B938" s="361" t="str">
        <f>IFERROR(__xludf.DUMMYFUNCTION("""COMPUTED_VALUE"""),"ayuni_can")</f>
        <v>ayuni_can</v>
      </c>
      <c r="C938" s="257" t="str">
        <f>IFERROR(__xludf.DUMMYFUNCTION("""COMPUTED_VALUE"""),"https://www.tiktok.com/@ayuni_can")</f>
        <v>https://www.tiktok.com/@ayuni_can</v>
      </c>
      <c r="D938" s="270">
        <f>IFERROR(__xludf.DUMMYFUNCTION("""COMPUTED_VALUE"""),8.2199835757E10)</f>
        <v>82199835757</v>
      </c>
      <c r="E938" s="457">
        <f>IFERROR(__xludf.DUMMYFUNCTION("""COMPUTED_VALUE"""),0.0)</f>
        <v>0</v>
      </c>
      <c r="F938" s="270">
        <f>IFERROR(__xludf.DUMMYFUNCTION("""COMPUTED_VALUE"""),4.0)</f>
        <v>4</v>
      </c>
      <c r="G938" s="17" t="str">
        <f>IFERROR(__xludf.DUMMYFUNCTION("""COMPUTED_VALUE"""),"Sabun batang 1 Box ( 2 PCS )")</f>
        <v>Sabun batang 1 Box ( 2 PCS )</v>
      </c>
      <c r="H938" s="463" t="str">
        <f>IFERROR(__xludf.DUMMYFUNCTION("""COMPUTED_VALUE"""),"Sampai")</f>
        <v>Sampai</v>
      </c>
      <c r="I938" s="464" t="str">
        <f>IFERROR(__xludf.DUMMYFUNCTION("""COMPUTED_VALUE"""),"KIMME")</f>
        <v>KIMME</v>
      </c>
      <c r="J938" s="279" t="str">
        <f>IFERROR(__xludf.DUMMYFUNCTION("""COMPUTED_VALUE"""),"https://vt.tiktok.com/ZS9xsCevJ/")</f>
        <v>https://vt.tiktok.com/ZS9xsCevJ/</v>
      </c>
      <c r="K938" s="464" t="str">
        <f>IFERROR(__xludf.DUMMYFUNCTION("""COMPUTED_VALUE"""),"KIMME")</f>
        <v>KIMME</v>
      </c>
      <c r="L938" s="279" t="str">
        <f>IFERROR(__xludf.DUMMYFUNCTION("""COMPUTED_VALUE"""),"https://vt.tiktok.com/ZS9xsmftR/")</f>
        <v>https://vt.tiktok.com/ZS9xsmftR/</v>
      </c>
      <c r="M938" s="464"/>
      <c r="N938" s="279" t="str">
        <f>IFERROR(__xludf.DUMMYFUNCTION("""COMPUTED_VALUE"""),"https://www.tiktok.com/@zilasamudra/video/7633415000308092180")</f>
        <v>https://www.tiktok.com/@zilasamudra/video/7633415000308092180</v>
      </c>
      <c r="O938" s="464"/>
      <c r="P938" s="279" t="str">
        <f>IFERROR(__xludf.DUMMYFUNCTION("""COMPUTED_VALUE"""),"https://www.tiktok.com/@zilasamudra/video/7633641614350601493")</f>
        <v>https://www.tiktok.com/@zilasamudra/video/7633641614350601493</v>
      </c>
    </row>
    <row r="939">
      <c r="A939" s="255" t="str">
        <f>IFERROR(__xludf.DUMMYFUNCTION("""COMPUTED_VALUE"""),"MICRO")</f>
        <v>MICRO</v>
      </c>
      <c r="B939" s="361" t="str">
        <f>IFERROR(__xludf.DUMMYFUNCTION("""COMPUTED_VALUE"""),"zatheaolshop")</f>
        <v>zatheaolshop</v>
      </c>
      <c r="C939" s="257" t="str">
        <f>IFERROR(__xludf.DUMMYFUNCTION("""COMPUTED_VALUE"""),"https://www.tiktok.com/@zatheaolshop")</f>
        <v>https://www.tiktok.com/@zatheaolshop</v>
      </c>
      <c r="D939" s="270">
        <f>IFERROR(__xludf.DUMMYFUNCTION("""COMPUTED_VALUE"""),8.9687349877E10)</f>
        <v>89687349877</v>
      </c>
      <c r="E939" s="457">
        <f>IFERROR(__xludf.DUMMYFUNCTION("""COMPUTED_VALUE"""),0.0)</f>
        <v>0</v>
      </c>
      <c r="F939" s="270">
        <f>IFERROR(__xludf.DUMMYFUNCTION("""COMPUTED_VALUE"""),4.0)</f>
        <v>4</v>
      </c>
      <c r="G939" s="17" t="str">
        <f>IFERROR(__xludf.DUMMYFUNCTION("""COMPUTED_VALUE"""),"Sabun batang 1 Box ( 2 PCS )")</f>
        <v>Sabun batang 1 Box ( 2 PCS )</v>
      </c>
      <c r="H939" s="463" t="str">
        <f>IFERROR(__xludf.DUMMYFUNCTION("""COMPUTED_VALUE"""),"Sampai")</f>
        <v>Sampai</v>
      </c>
      <c r="I939" s="464" t="str">
        <f>IFERROR(__xludf.DUMMYFUNCTION("""COMPUTED_VALUE"""),"KIMME")</f>
        <v>KIMME</v>
      </c>
      <c r="J939" s="17" t="str">
        <f>IFERROR(__xludf.DUMMYFUNCTION("""COMPUTED_VALUE"""),"⁠https://vt.tiktok.com/ZSx6AkBCV/")</f>
        <v>⁠https://vt.tiktok.com/ZSx6AkBCV/</v>
      </c>
      <c r="K939" s="464" t="str">
        <f>IFERROR(__xludf.DUMMYFUNCTION("""COMPUTED_VALUE"""),"KIMME")</f>
        <v>KIMME</v>
      </c>
      <c r="L939" s="279" t="str">
        <f>IFERROR(__xludf.DUMMYFUNCTION("""COMPUTED_VALUE"""),"https://vt.tiktok.com/ZSx6A2Lk2/")</f>
        <v>https://vt.tiktok.com/ZSx6A2Lk2/</v>
      </c>
      <c r="M939" s="464"/>
      <c r="N939" s="279" t="str">
        <f>IFERROR(__xludf.DUMMYFUNCTION("""COMPUTED_VALUE"""),"https://vt.tiktok.com/ZSxkSpKmo/")</f>
        <v>https://vt.tiktok.com/ZSxkSpKmo/</v>
      </c>
      <c r="O939" s="464"/>
      <c r="P939" s="279" t="str">
        <f>IFERROR(__xludf.DUMMYFUNCTION("""COMPUTED_VALUE"""),"https://vt.tiktok.com/ZSxkSyM4X/")</f>
        <v>https://vt.tiktok.com/ZSxkSyM4X/</v>
      </c>
    </row>
    <row r="940">
      <c r="A940" s="255" t="str">
        <f>IFERROR(__xludf.DUMMYFUNCTION("""COMPUTED_VALUE"""),"MICRO")</f>
        <v>MICRO</v>
      </c>
      <c r="B940" s="361" t="str">
        <f>IFERROR(__xludf.DUMMYFUNCTION("""COMPUTED_VALUE"""),"bbubiyss")</f>
        <v>bbubiyss</v>
      </c>
      <c r="C940" s="257" t="str">
        <f>IFERROR(__xludf.DUMMYFUNCTION("""COMPUTED_VALUE"""),"https://www.tiktok.com/@bbubiyss")</f>
        <v>https://www.tiktok.com/@bbubiyss</v>
      </c>
      <c r="D940" s="270"/>
      <c r="E940" s="457">
        <f>IFERROR(__xludf.DUMMYFUNCTION("""COMPUTED_VALUE"""),100000.0)</f>
        <v>100000</v>
      </c>
      <c r="F940" s="270">
        <f>IFERROR(__xludf.DUMMYFUNCTION("""COMPUTED_VALUE"""),2.0)</f>
        <v>2</v>
      </c>
      <c r="G940" s="17" t="str">
        <f>IFERROR(__xludf.DUMMYFUNCTION("""COMPUTED_VALUE"""),"Sabun batang 1 Box ( 2 PCS )")</f>
        <v>Sabun batang 1 Box ( 2 PCS )</v>
      </c>
      <c r="H940" s="463" t="str">
        <f>IFERROR(__xludf.DUMMYFUNCTION("""COMPUTED_VALUE"""),"Sampai")</f>
        <v>Sampai</v>
      </c>
      <c r="I940" s="464" t="str">
        <f>IFERROR(__xludf.DUMMYFUNCTION("""COMPUTED_VALUE"""),"KIMME")</f>
        <v>KIMME</v>
      </c>
      <c r="J940" s="279" t="str">
        <f>IFERROR(__xludf.DUMMYFUNCTION("""COMPUTED_VALUE"""),"https://vt.tiktok.com/ZS9MKbCYa/")</f>
        <v>https://vt.tiktok.com/ZS9MKbCYa/</v>
      </c>
      <c r="K940" s="464" t="str">
        <f>IFERROR(__xludf.DUMMYFUNCTION("""COMPUTED_VALUE"""),"KIMME")</f>
        <v>KIMME</v>
      </c>
      <c r="L940" s="279" t="str">
        <f>IFERROR(__xludf.DUMMYFUNCTION("""COMPUTED_VALUE"""),"https://vt.tiktok.com/ZS9hLw9m2/")</f>
        <v>https://vt.tiktok.com/ZS9hLw9m2/</v>
      </c>
      <c r="M940" s="464"/>
      <c r="N940" s="279" t="str">
        <f>IFERROR(__xludf.DUMMYFUNCTION("""COMPUTED_VALUE"""),"https://vt.tiktok.com/ZSxkSUBQ2/")</f>
        <v>https://vt.tiktok.com/ZSxkSUBQ2/</v>
      </c>
      <c r="O940" s="464"/>
      <c r="P940" s="279" t="str">
        <f>IFERROR(__xludf.DUMMYFUNCTION("""COMPUTED_VALUE"""),"https://vt.tiktok.com/ZSxkSddc9/")</f>
        <v>https://vt.tiktok.com/ZSxkSddc9/</v>
      </c>
    </row>
    <row r="941">
      <c r="A941" s="255" t="str">
        <f>IFERROR(__xludf.DUMMYFUNCTION("""COMPUTED_VALUE"""),"MICRO")</f>
        <v>MICRO</v>
      </c>
      <c r="B941" s="361" t="str">
        <f>IFERROR(__xludf.DUMMYFUNCTION("""COMPUTED_VALUE"""),"bukan_citygirllllllll")</f>
        <v>bukan_citygirllllllll</v>
      </c>
      <c r="C941" s="257" t="str">
        <f>IFERROR(__xludf.DUMMYFUNCTION("""COMPUTED_VALUE"""),"https://www.tiktok.com/@bukan_citygirllllllll")</f>
        <v>https://www.tiktok.com/@bukan_citygirllllllll</v>
      </c>
      <c r="D941" s="270"/>
      <c r="E941" s="457">
        <f>IFERROR(__xludf.DUMMYFUNCTION("""COMPUTED_VALUE"""),100000.0)</f>
        <v>100000</v>
      </c>
      <c r="F941" s="270">
        <f>IFERROR(__xludf.DUMMYFUNCTION("""COMPUTED_VALUE"""),2.0)</f>
        <v>2</v>
      </c>
      <c r="G941" s="17" t="str">
        <f>IFERROR(__xludf.DUMMYFUNCTION("""COMPUTED_VALUE"""),"Sabun batang 1 Box ( 2 PCS )")</f>
        <v>Sabun batang 1 Box ( 2 PCS )</v>
      </c>
      <c r="H941" s="463" t="str">
        <f>IFERROR(__xludf.DUMMYFUNCTION("""COMPUTED_VALUE"""),"Sampai")</f>
        <v>Sampai</v>
      </c>
      <c r="I941" s="464" t="str">
        <f>IFERROR(__xludf.DUMMYFUNCTION("""COMPUTED_VALUE"""),"KIMME")</f>
        <v>KIMME</v>
      </c>
      <c r="J941" s="279" t="str">
        <f>IFERROR(__xludf.DUMMYFUNCTION("""COMPUTED_VALUE"""),"https://vt.tiktok.com/ZSH3owfDt/")</f>
        <v>https://vt.tiktok.com/ZSH3owfDt/</v>
      </c>
      <c r="K941" s="464" t="str">
        <f>IFERROR(__xludf.DUMMYFUNCTION("""COMPUTED_VALUE"""),"KIMME")</f>
        <v>KIMME</v>
      </c>
      <c r="L941" s="279" t="str">
        <f>IFERROR(__xludf.DUMMYFUNCTION("""COMPUTED_VALUE"""),"https://vt.tiktok.com/ZSHTagPYD/")</f>
        <v>https://vt.tiktok.com/ZSHTagPYD/</v>
      </c>
      <c r="M941" s="464"/>
      <c r="N941" s="279" t="str">
        <f>IFERROR(__xludf.DUMMYFUNCTION("""COMPUTED_VALUE"""),"https://vt.tiktok.com/ZSxkS82xV/")</f>
        <v>https://vt.tiktok.com/ZSxkS82xV/</v>
      </c>
      <c r="O941" s="464"/>
      <c r="P941" s="279" t="str">
        <f>IFERROR(__xludf.DUMMYFUNCTION("""COMPUTED_VALUE"""),"https://vt.tiktok.com/ZSxkSSGSK/")</f>
        <v>https://vt.tiktok.com/ZSxkSSGSK/</v>
      </c>
    </row>
    <row r="942">
      <c r="A942" s="255" t="str">
        <f>IFERROR(__xludf.DUMMYFUNCTION("""COMPUTED_VALUE"""),"MICRO")</f>
        <v>MICRO</v>
      </c>
      <c r="B942" s="361" t="str">
        <f>IFERROR(__xludf.DUMMYFUNCTION("""COMPUTED_VALUE"""),"evisusanty88")</f>
        <v>evisusanty88</v>
      </c>
      <c r="C942" s="257" t="str">
        <f>IFERROR(__xludf.DUMMYFUNCTION("""COMPUTED_VALUE"""),"https://www.tiktok.com/@evisusanty88")</f>
        <v>https://www.tiktok.com/@evisusanty88</v>
      </c>
      <c r="D942" s="270"/>
      <c r="E942" s="457">
        <f>IFERROR(__xludf.DUMMYFUNCTION("""COMPUTED_VALUE"""),100000.0)</f>
        <v>100000</v>
      </c>
      <c r="F942" s="270">
        <f>IFERROR(__xludf.DUMMYFUNCTION("""COMPUTED_VALUE"""),2.0)</f>
        <v>2</v>
      </c>
      <c r="G942" s="17" t="str">
        <f>IFERROR(__xludf.DUMMYFUNCTION("""COMPUTED_VALUE"""),"Sabun batang 1 Box ( 2 PCS )")</f>
        <v>Sabun batang 1 Box ( 2 PCS )</v>
      </c>
      <c r="H942" s="463" t="str">
        <f>IFERROR(__xludf.DUMMYFUNCTION("""COMPUTED_VALUE"""),"Sampai")</f>
        <v>Sampai</v>
      </c>
      <c r="I942" s="464" t="str">
        <f>IFERROR(__xludf.DUMMYFUNCTION("""COMPUTED_VALUE"""),"KIMME")</f>
        <v>KIMME</v>
      </c>
      <c r="J942" s="279" t="str">
        <f>IFERROR(__xludf.DUMMYFUNCTION("""COMPUTED_VALUE"""),"https://vt.tiktok.com/ZSHsW6xDD/")</f>
        <v>https://vt.tiktok.com/ZSHsW6xDD/</v>
      </c>
      <c r="K942" s="464" t="str">
        <f>IFERROR(__xludf.DUMMYFUNCTION("""COMPUTED_VALUE"""),"KIMME")</f>
        <v>KIMME</v>
      </c>
      <c r="L942" s="279" t="str">
        <f>IFERROR(__xludf.DUMMYFUNCTION("""COMPUTED_VALUE"""),"https://vt.tiktok.com/ZSHn1cEGy/")</f>
        <v>https://vt.tiktok.com/ZSHn1cEGy/</v>
      </c>
      <c r="M942" s="464"/>
      <c r="N942" s="279" t="str">
        <f>IFERROR(__xludf.DUMMYFUNCTION("""COMPUTED_VALUE"""),"https://vt.tiktok.com/ZSxkSys9H/")</f>
        <v>https://vt.tiktok.com/ZSxkSys9H/</v>
      </c>
      <c r="O942" s="464"/>
      <c r="P942" s="279" t="str">
        <f>IFERROR(__xludf.DUMMYFUNCTION("""COMPUTED_VALUE"""),"https://vt.tiktok.com/ZSxkSRnsU/")</f>
        <v>https://vt.tiktok.com/ZSxkSRnsU/</v>
      </c>
    </row>
    <row r="943">
      <c r="A943" s="255" t="str">
        <f>IFERROR(__xludf.DUMMYFUNCTION("""COMPUTED_VALUE"""),"MICRO")</f>
        <v>MICRO</v>
      </c>
      <c r="B943" s="361" t="str">
        <f>IFERROR(__xludf.DUMMYFUNCTION("""COMPUTED_VALUE"""),"Hafaziaffiliate_")</f>
        <v>Hafaziaffiliate_</v>
      </c>
      <c r="C943" s="257" t="str">
        <f>IFERROR(__xludf.DUMMYFUNCTION("""COMPUTED_VALUE"""),"https://www.tiktok.com/@Hafaziaffiliate_")</f>
        <v>https://www.tiktok.com/@Hafaziaffiliate_</v>
      </c>
      <c r="D943" s="270"/>
      <c r="E943" s="457">
        <f>IFERROR(__xludf.DUMMYFUNCTION("""COMPUTED_VALUE"""),100000.0)</f>
        <v>100000</v>
      </c>
      <c r="F943" s="270">
        <f>IFERROR(__xludf.DUMMYFUNCTION("""COMPUTED_VALUE"""),2.0)</f>
        <v>2</v>
      </c>
      <c r="G943" s="17" t="str">
        <f>IFERROR(__xludf.DUMMYFUNCTION("""COMPUTED_VALUE"""),"Sabun batang 1 Box ( 2 PCS )")</f>
        <v>Sabun batang 1 Box ( 2 PCS )</v>
      </c>
      <c r="H943" s="463" t="str">
        <f>IFERROR(__xludf.DUMMYFUNCTION("""COMPUTED_VALUE"""),"Sampai")</f>
        <v>Sampai</v>
      </c>
      <c r="I943" s="464" t="str">
        <f>IFERROR(__xludf.DUMMYFUNCTION("""COMPUTED_VALUE"""),"KIMME")</f>
        <v>KIMME</v>
      </c>
      <c r="J943" s="279" t="str">
        <f>IFERROR(__xludf.DUMMYFUNCTION("""COMPUTED_VALUE"""),"https://vt.tiktok.com/ZSxHyH1gW/")</f>
        <v>https://vt.tiktok.com/ZSxHyH1gW/</v>
      </c>
      <c r="K943" s="464" t="str">
        <f>IFERROR(__xludf.DUMMYFUNCTION("""COMPUTED_VALUE"""),"KIMME")</f>
        <v>KIMME</v>
      </c>
      <c r="L943" s="279" t="str">
        <f>IFERROR(__xludf.DUMMYFUNCTION("""COMPUTED_VALUE"""),"https://vt.tiktok.com/ZSxHyj36d/")</f>
        <v>https://vt.tiktok.com/ZSxHyj36d/</v>
      </c>
      <c r="M943" s="464"/>
      <c r="N943" s="279" t="str">
        <f>IFERROR(__xludf.DUMMYFUNCTION("""COMPUTED_VALUE"""),"https://vt.tiktok.com/ZSxkBEE13/")</f>
        <v>https://vt.tiktok.com/ZSxkBEE13/</v>
      </c>
      <c r="O943" s="464"/>
      <c r="P943" s="279" t="str">
        <f>IFERROR(__xludf.DUMMYFUNCTION("""COMPUTED_VALUE"""),"https://vt.tiktok.com/ZSxkSUjFy/")</f>
        <v>https://vt.tiktok.com/ZSxkSUjFy/</v>
      </c>
    </row>
    <row r="944">
      <c r="A944" s="255" t="str">
        <f>IFERROR(__xludf.DUMMYFUNCTION("""COMPUTED_VALUE"""),"MICRO")</f>
        <v>MICRO</v>
      </c>
      <c r="B944" s="361" t="str">
        <f>IFERROR(__xludf.DUMMYFUNCTION("""COMPUTED_VALUE"""),"sashanum05")</f>
        <v>sashanum05</v>
      </c>
      <c r="C944" s="257" t="str">
        <f>IFERROR(__xludf.DUMMYFUNCTION("""COMPUTED_VALUE"""),"https://www.tiktok.com/@sashanum05")</f>
        <v>https://www.tiktok.com/@sashanum05</v>
      </c>
      <c r="D944" s="270"/>
      <c r="E944" s="457">
        <f>IFERROR(__xludf.DUMMYFUNCTION("""COMPUTED_VALUE"""),100000.0)</f>
        <v>100000</v>
      </c>
      <c r="F944" s="270">
        <f>IFERROR(__xludf.DUMMYFUNCTION("""COMPUTED_VALUE"""),2.0)</f>
        <v>2</v>
      </c>
      <c r="G944" s="17" t="str">
        <f>IFERROR(__xludf.DUMMYFUNCTION("""COMPUTED_VALUE"""),"Sabun batang 1 Box ( 2 PCS )")</f>
        <v>Sabun batang 1 Box ( 2 PCS )</v>
      </c>
      <c r="H944" s="463" t="str">
        <f>IFERROR(__xludf.DUMMYFUNCTION("""COMPUTED_VALUE"""),"Sampai")</f>
        <v>Sampai</v>
      </c>
      <c r="I944" s="464" t="str">
        <f>IFERROR(__xludf.DUMMYFUNCTION("""COMPUTED_VALUE"""),"KIMME")</f>
        <v>KIMME</v>
      </c>
      <c r="J944" s="279" t="str">
        <f>IFERROR(__xludf.DUMMYFUNCTION("""COMPUTED_VALUE"""),"https://vt.tiktok.com/ZSHntqQxQ/")</f>
        <v>https://vt.tiktok.com/ZSHntqQxQ/</v>
      </c>
      <c r="K944" s="464" t="str">
        <f>IFERROR(__xludf.DUMMYFUNCTION("""COMPUTED_VALUE"""),"KIMME")</f>
        <v>KIMME</v>
      </c>
      <c r="L944" s="279" t="str">
        <f>IFERROR(__xludf.DUMMYFUNCTION("""COMPUTED_VALUE"""),"https://vt.tiktok.com/ZSH3DeekM/")</f>
        <v>https://vt.tiktok.com/ZSH3DeekM/</v>
      </c>
      <c r="M944" s="464"/>
      <c r="N944" s="279" t="str">
        <f>IFERROR(__xludf.DUMMYFUNCTION("""COMPUTED_VALUE"""),"https://vt.tiktok.com/ZSxSBT56v/")</f>
        <v>https://vt.tiktok.com/ZSxSBT56v/</v>
      </c>
      <c r="O944" s="464"/>
      <c r="P944" s="279" t="str">
        <f>IFERROR(__xludf.DUMMYFUNCTION("""COMPUTED_VALUE"""),"https://vt.tiktok.com/ZSxSBxreM/")</f>
        <v>https://vt.tiktok.com/ZSxSBxreM/</v>
      </c>
    </row>
    <row r="945">
      <c r="A945" s="255" t="str">
        <f>IFERROR(__xludf.DUMMYFUNCTION("""COMPUTED_VALUE"""),"MICRO")</f>
        <v>MICRO</v>
      </c>
      <c r="B945" s="361" t="str">
        <f>IFERROR(__xludf.DUMMYFUNCTION("""COMPUTED_VALUE"""),"Dzaki1122")</f>
        <v>Dzaki1122</v>
      </c>
      <c r="C945" s="257" t="str">
        <f>IFERROR(__xludf.DUMMYFUNCTION("""COMPUTED_VALUE"""),"https://www.tiktok.com/@Dzaki1122")</f>
        <v>https://www.tiktok.com/@Dzaki1122</v>
      </c>
      <c r="D945" s="270"/>
      <c r="E945" s="457">
        <f>IFERROR(__xludf.DUMMYFUNCTION("""COMPUTED_VALUE"""),100000.0)</f>
        <v>100000</v>
      </c>
      <c r="F945" s="270">
        <f>IFERROR(__xludf.DUMMYFUNCTION("""COMPUTED_VALUE"""),2.0)</f>
        <v>2</v>
      </c>
      <c r="G945" s="17" t="str">
        <f>IFERROR(__xludf.DUMMYFUNCTION("""COMPUTED_VALUE"""),"Sabun batang 1 Box ( 2 PCS )")</f>
        <v>Sabun batang 1 Box ( 2 PCS )</v>
      </c>
      <c r="H945" s="463" t="str">
        <f>IFERROR(__xludf.DUMMYFUNCTION("""COMPUTED_VALUE"""),"Sampai")</f>
        <v>Sampai</v>
      </c>
      <c r="I945" s="464" t="str">
        <f>IFERROR(__xludf.DUMMYFUNCTION("""COMPUTED_VALUE"""),"KIMME")</f>
        <v>KIMME</v>
      </c>
      <c r="J945" s="279" t="str">
        <f>IFERROR(__xludf.DUMMYFUNCTION("""COMPUTED_VALUE"""),"https://vt.tiktok.com/ZSHTSp8A7/")</f>
        <v>https://vt.tiktok.com/ZSHTSp8A7/</v>
      </c>
      <c r="K945" s="464" t="str">
        <f>IFERROR(__xludf.DUMMYFUNCTION("""COMPUTED_VALUE"""),"KIMME")</f>
        <v>KIMME</v>
      </c>
      <c r="L945" s="279" t="str">
        <f>IFERROR(__xludf.DUMMYFUNCTION("""COMPUTED_VALUE"""),"https://vt.tiktok.com/ZSHTA6p4C/")</f>
        <v>https://vt.tiktok.com/ZSHTA6p4C/</v>
      </c>
      <c r="M945" s="464"/>
      <c r="N945" s="279" t="str">
        <f>IFERROR(__xludf.DUMMYFUNCTION("""COMPUTED_VALUE"""),"https://vt.tiktok.com/ZSxSBd8d7/")</f>
        <v>https://vt.tiktok.com/ZSxSBd8d7/</v>
      </c>
      <c r="O945" s="464"/>
      <c r="P945" s="279" t="str">
        <f>IFERROR(__xludf.DUMMYFUNCTION("""COMPUTED_VALUE"""),"https://vt.tiktok.com/ZSxSBR2H9/")</f>
        <v>https://vt.tiktok.com/ZSxSBR2H9/</v>
      </c>
    </row>
    <row r="946">
      <c r="A946" s="255" t="str">
        <f>IFERROR(__xludf.DUMMYFUNCTION("""COMPUTED_VALUE"""),"MACRO")</f>
        <v>MACRO</v>
      </c>
      <c r="B946" s="361" t="str">
        <f>IFERROR(__xludf.DUMMYFUNCTION("""COMPUTED_VALUE"""),"Sundayaromatics")</f>
        <v>Sundayaromatics</v>
      </c>
      <c r="C946" s="257" t="str">
        <f>IFERROR(__xludf.DUMMYFUNCTION("""COMPUTED_VALUE"""),"https://www.tiktok.com/@Sundayaromatics")</f>
        <v>https://www.tiktok.com/@Sundayaromatics</v>
      </c>
      <c r="D946" s="270"/>
      <c r="E946" s="457">
        <f>IFERROR(__xludf.DUMMYFUNCTION("""COMPUTED_VALUE"""),100000.0)</f>
        <v>100000</v>
      </c>
      <c r="F946" s="270">
        <f>IFERROR(__xludf.DUMMYFUNCTION("""COMPUTED_VALUE"""),2.0)</f>
        <v>2</v>
      </c>
      <c r="G946" s="17" t="str">
        <f>IFERROR(__xludf.DUMMYFUNCTION("""COMPUTED_VALUE"""),"Sabun batang 1 Box ( 2 PCS )")</f>
        <v>Sabun batang 1 Box ( 2 PCS )</v>
      </c>
      <c r="H946" s="463" t="str">
        <f>IFERROR(__xludf.DUMMYFUNCTION("""COMPUTED_VALUE"""),"Sampai")</f>
        <v>Sampai</v>
      </c>
      <c r="I946" s="464" t="str">
        <f>IFERROR(__xludf.DUMMYFUNCTION("""COMPUTED_VALUE"""),"KIMME")</f>
        <v>KIMME</v>
      </c>
      <c r="J946" s="279" t="str">
        <f>IFERROR(__xludf.DUMMYFUNCTION("""COMPUTED_VALUE"""),"https://vt.tiktok.com/ZSxHyW97j/")</f>
        <v>https://vt.tiktok.com/ZSxHyW97j/</v>
      </c>
      <c r="K946" s="464" t="str">
        <f>IFERROR(__xludf.DUMMYFUNCTION("""COMPUTED_VALUE"""),"KIMME")</f>
        <v>KIMME</v>
      </c>
      <c r="L946" s="279" t="str">
        <f>IFERROR(__xludf.DUMMYFUNCTION("""COMPUTED_VALUE"""),"https://vt.tiktok.com/ZSxHy7UEh/")</f>
        <v>https://vt.tiktok.com/ZSxHy7UEh/</v>
      </c>
      <c r="M946" s="464"/>
      <c r="N946" s="279" t="str">
        <f>IFERROR(__xludf.DUMMYFUNCTION("""COMPUTED_VALUE"""),"https://vt.tiktok.com/ZSxSBLjJA/")</f>
        <v>https://vt.tiktok.com/ZSxSBLjJA/</v>
      </c>
      <c r="O946" s="464"/>
      <c r="P946" s="279" t="str">
        <f>IFERROR(__xludf.DUMMYFUNCTION("""COMPUTED_VALUE"""),"https://vt.tiktok.com/ZSxSBydtB/")</f>
        <v>https://vt.tiktok.com/ZSxSBydtB/</v>
      </c>
    </row>
    <row r="947">
      <c r="A947" s="255" t="str">
        <f>IFERROR(__xludf.DUMMYFUNCTION("""COMPUTED_VALUE"""),"MICRO")</f>
        <v>MICRO</v>
      </c>
      <c r="B947" s="361" t="str">
        <f>IFERROR(__xludf.DUMMYFUNCTION("""COMPUTED_VALUE"""),"deaystna")</f>
        <v>deaystna</v>
      </c>
      <c r="C947" s="257" t="str">
        <f>IFERROR(__xludf.DUMMYFUNCTION("""COMPUTED_VALUE"""),"https://www.tiktok.com/@deaystna")</f>
        <v>https://www.tiktok.com/@deaystna</v>
      </c>
      <c r="D947" s="270"/>
      <c r="E947" s="457">
        <f>IFERROR(__xludf.DUMMYFUNCTION("""COMPUTED_VALUE"""),100000.0)</f>
        <v>100000</v>
      </c>
      <c r="F947" s="270">
        <f>IFERROR(__xludf.DUMMYFUNCTION("""COMPUTED_VALUE"""),2.0)</f>
        <v>2</v>
      </c>
      <c r="G947" s="17" t="str">
        <f>IFERROR(__xludf.DUMMYFUNCTION("""COMPUTED_VALUE"""),"Sabun batang 1 Box ( 2 PCS )")</f>
        <v>Sabun batang 1 Box ( 2 PCS )</v>
      </c>
      <c r="H947" s="463" t="str">
        <f>IFERROR(__xludf.DUMMYFUNCTION("""COMPUTED_VALUE"""),"Sampai")</f>
        <v>Sampai</v>
      </c>
      <c r="I947" s="464" t="str">
        <f>IFERROR(__xludf.DUMMYFUNCTION("""COMPUTED_VALUE"""),"KIMME")</f>
        <v>KIMME</v>
      </c>
      <c r="J947" s="279" t="str">
        <f>IFERROR(__xludf.DUMMYFUNCTION("""COMPUTED_VALUE"""),"https://vt.tiktok.com/ZSHntXGmH/")</f>
        <v>https://vt.tiktok.com/ZSHntXGmH/</v>
      </c>
      <c r="K947" s="464" t="str">
        <f>IFERROR(__xludf.DUMMYFUNCTION("""COMPUTED_VALUE"""),"KIMME")</f>
        <v>KIMME</v>
      </c>
      <c r="L947" s="279" t="str">
        <f>IFERROR(__xludf.DUMMYFUNCTION("""COMPUTED_VALUE"""),"https://vt.tiktok.com/ZSHcYgKFK/")</f>
        <v>https://vt.tiktok.com/ZSHcYgKFK/</v>
      </c>
      <c r="M947" s="464"/>
      <c r="N947" s="279" t="str">
        <f>IFERROR(__xludf.DUMMYFUNCTION("""COMPUTED_VALUE"""),"https://vt.tiktok.com/ZSxSBmhMV/")</f>
        <v>https://vt.tiktok.com/ZSxSBmhMV/</v>
      </c>
      <c r="O947" s="464"/>
      <c r="P947" s="279" t="str">
        <f>IFERROR(__xludf.DUMMYFUNCTION("""COMPUTED_VALUE"""),"https://vt.tiktok.com/ZSxSBkFUW/")</f>
        <v>https://vt.tiktok.com/ZSxSBkFUW/</v>
      </c>
    </row>
    <row r="948">
      <c r="A948" s="255" t="str">
        <f>IFERROR(__xludf.DUMMYFUNCTION("""COMPUTED_VALUE"""),"MICRO")</f>
        <v>MICRO</v>
      </c>
      <c r="B948" s="361" t="str">
        <f>IFERROR(__xludf.DUMMYFUNCTION("""COMPUTED_VALUE"""),"Haepuu")</f>
        <v>Haepuu</v>
      </c>
      <c r="C948" s="257" t="str">
        <f>IFERROR(__xludf.DUMMYFUNCTION("""COMPUTED_VALUE"""),"https://www.tiktok.com/@Haepuu")</f>
        <v>https://www.tiktok.com/@Haepuu</v>
      </c>
      <c r="D948" s="270"/>
      <c r="E948" s="457">
        <f>IFERROR(__xludf.DUMMYFUNCTION("""COMPUTED_VALUE"""),100000.0)</f>
        <v>100000</v>
      </c>
      <c r="F948" s="270">
        <f>IFERROR(__xludf.DUMMYFUNCTION("""COMPUTED_VALUE"""),2.0)</f>
        <v>2</v>
      </c>
      <c r="G948" s="17" t="str">
        <f>IFERROR(__xludf.DUMMYFUNCTION("""COMPUTED_VALUE"""),"Sabun batang 1 Box ( 2 PCS )")</f>
        <v>Sabun batang 1 Box ( 2 PCS )</v>
      </c>
      <c r="H948" s="463" t="str">
        <f>IFERROR(__xludf.DUMMYFUNCTION("""COMPUTED_VALUE"""),"Sampai")</f>
        <v>Sampai</v>
      </c>
      <c r="I948" s="464" t="str">
        <f>IFERROR(__xludf.DUMMYFUNCTION("""COMPUTED_VALUE"""),"KIMME")</f>
        <v>KIMME</v>
      </c>
      <c r="J948" s="279" t="str">
        <f>IFERROR(__xludf.DUMMYFUNCTION("""COMPUTED_VALUE"""),"https://vt.tiktok.com/ZS9F9jo4G/")</f>
        <v>https://vt.tiktok.com/ZS9F9jo4G/</v>
      </c>
      <c r="K948" s="464" t="str">
        <f>IFERROR(__xludf.DUMMYFUNCTION("""COMPUTED_VALUE"""),"KIMME")</f>
        <v>KIMME</v>
      </c>
      <c r="L948" s="279" t="str">
        <f>IFERROR(__xludf.DUMMYFUNCTION("""COMPUTED_VALUE"""),"https://vt.tiktok.com/ZS9aBe6nu/")</f>
        <v>https://vt.tiktok.com/ZS9aBe6nu/</v>
      </c>
      <c r="M948" s="464"/>
      <c r="N948" s="279" t="str">
        <f>IFERROR(__xludf.DUMMYFUNCTION("""COMPUTED_VALUE"""),"https://vt.tiktok.com/ZSxSkh9YM/")</f>
        <v>https://vt.tiktok.com/ZSxSkh9YM/</v>
      </c>
      <c r="O948" s="464"/>
      <c r="P948" s="279" t="str">
        <f>IFERROR(__xludf.DUMMYFUNCTION("""COMPUTED_VALUE"""),"https://vt.tiktok.com/ZSxSkUWPt/")</f>
        <v>https://vt.tiktok.com/ZSxSkUWPt/</v>
      </c>
    </row>
    <row r="949">
      <c r="A949" s="255" t="str">
        <f>IFERROR(__xludf.DUMMYFUNCTION("""COMPUTED_VALUE"""),"MICRO")</f>
        <v>MICRO</v>
      </c>
      <c r="B949" s="361" t="str">
        <f>IFERROR(__xludf.DUMMYFUNCTION("""COMPUTED_VALUE"""),"nr.revitaaa")</f>
        <v>nr.revitaaa</v>
      </c>
      <c r="C949" s="257" t="str">
        <f>IFERROR(__xludf.DUMMYFUNCTION("""COMPUTED_VALUE"""),"https://www.tiktok.com/@nr.revitaaa")</f>
        <v>https://www.tiktok.com/@nr.revitaaa</v>
      </c>
      <c r="D949" s="270"/>
      <c r="E949" s="457">
        <f>IFERROR(__xludf.DUMMYFUNCTION("""COMPUTED_VALUE"""),100000.0)</f>
        <v>100000</v>
      </c>
      <c r="F949" s="270">
        <f>IFERROR(__xludf.DUMMYFUNCTION("""COMPUTED_VALUE"""),2.0)</f>
        <v>2</v>
      </c>
      <c r="G949" s="17" t="str">
        <f>IFERROR(__xludf.DUMMYFUNCTION("""COMPUTED_VALUE"""),"Sabun batang 1 Box ( 2 PCS )")</f>
        <v>Sabun batang 1 Box ( 2 PCS )</v>
      </c>
      <c r="H949" s="463" t="str">
        <f>IFERROR(__xludf.DUMMYFUNCTION("""COMPUTED_VALUE"""),"Sampai")</f>
        <v>Sampai</v>
      </c>
      <c r="I949" s="464" t="str">
        <f>IFERROR(__xludf.DUMMYFUNCTION("""COMPUTED_VALUE"""),"KIMME")</f>
        <v>KIMME</v>
      </c>
      <c r="J949" s="279" t="str">
        <f>IFERROR(__xludf.DUMMYFUNCTION("""COMPUTED_VALUE"""),"https://vt.tiktok.com/ZSHGw1xpb/")</f>
        <v>https://vt.tiktok.com/ZSHGw1xpb/</v>
      </c>
      <c r="K949" s="464" t="str">
        <f>IFERROR(__xludf.DUMMYFUNCTION("""COMPUTED_VALUE"""),"KIMME")</f>
        <v>KIMME</v>
      </c>
      <c r="L949" s="279" t="str">
        <f>IFERROR(__xludf.DUMMYFUNCTION("""COMPUTED_VALUE"""),"https://vt.tiktok.com/ZSHGwJj8G/")</f>
        <v>https://vt.tiktok.com/ZSHGwJj8G/</v>
      </c>
      <c r="M949" s="464"/>
      <c r="N949" s="279" t="str">
        <f>IFERROR(__xludf.DUMMYFUNCTION("""COMPUTED_VALUE"""),"https://vt.tiktok.com/ZSxSkDAqC/")</f>
        <v>https://vt.tiktok.com/ZSxSkDAqC/</v>
      </c>
      <c r="O949" s="464"/>
      <c r="P949" s="279" t="str">
        <f>IFERROR(__xludf.DUMMYFUNCTION("""COMPUTED_VALUE"""),"https://vt.tiktok.com/ZSxShGUUW/")</f>
        <v>https://vt.tiktok.com/ZSxShGUUW/</v>
      </c>
    </row>
    <row r="950">
      <c r="A950" s="255" t="str">
        <f>IFERROR(__xludf.DUMMYFUNCTION("""COMPUTED_VALUE"""),"MICRO")</f>
        <v>MICRO</v>
      </c>
      <c r="B950" s="361" t="str">
        <f>IFERROR(__xludf.DUMMYFUNCTION("""COMPUTED_VALUE"""),"erca_shankara")</f>
        <v>erca_shankara</v>
      </c>
      <c r="C950" s="257" t="str">
        <f>IFERROR(__xludf.DUMMYFUNCTION("""COMPUTED_VALUE"""),"https://www.tiktok.com/@erca_shankara")</f>
        <v>https://www.tiktok.com/@erca_shankara</v>
      </c>
      <c r="D950" s="270"/>
      <c r="E950" s="457">
        <f>IFERROR(__xludf.DUMMYFUNCTION("""COMPUTED_VALUE"""),100000.0)</f>
        <v>100000</v>
      </c>
      <c r="F950" s="270">
        <f>IFERROR(__xludf.DUMMYFUNCTION("""COMPUTED_VALUE"""),2.0)</f>
        <v>2</v>
      </c>
      <c r="G950" s="17" t="str">
        <f>IFERROR(__xludf.DUMMYFUNCTION("""COMPUTED_VALUE"""),"Sabun batang 1 Box ( 2 PCS )")</f>
        <v>Sabun batang 1 Box ( 2 PCS )</v>
      </c>
      <c r="H950" s="463" t="str">
        <f>IFERROR(__xludf.DUMMYFUNCTION("""COMPUTED_VALUE"""),"Sampai")</f>
        <v>Sampai</v>
      </c>
      <c r="I950" s="464" t="str">
        <f>IFERROR(__xludf.DUMMYFUNCTION("""COMPUTED_VALUE"""),"KIMME")</f>
        <v>KIMME</v>
      </c>
      <c r="J950" s="279" t="str">
        <f>IFERROR(__xludf.DUMMYFUNCTION("""COMPUTED_VALUE"""),"https://vt.tiktok.com/ZSH712X8d/")</f>
        <v>https://vt.tiktok.com/ZSH712X8d/</v>
      </c>
      <c r="K950" s="464" t="str">
        <f>IFERROR(__xludf.DUMMYFUNCTION("""COMPUTED_VALUE"""),"KIMME")</f>
        <v>KIMME</v>
      </c>
      <c r="L950" s="279" t="str">
        <f>IFERROR(__xludf.DUMMYFUNCTION("""COMPUTED_VALUE"""),"https://vt.tiktok.com/ZSH7dpatt/")</f>
        <v>https://vt.tiktok.com/ZSH7dpatt/</v>
      </c>
      <c r="M950" s="464"/>
      <c r="N950" s="279" t="str">
        <f>IFERROR(__xludf.DUMMYFUNCTION("""COMPUTED_VALUE"""),"https://vt.tiktok.com/ZSxShTXKA/")</f>
        <v>https://vt.tiktok.com/ZSxShTXKA/</v>
      </c>
      <c r="O950" s="464"/>
      <c r="P950" s="279" t="str">
        <f>IFERROR(__xludf.DUMMYFUNCTION("""COMPUTED_VALUE"""),"https://vt.tiktok.com/ZSxShpCNW/")</f>
        <v>https://vt.tiktok.com/ZSxShpCNW/</v>
      </c>
    </row>
    <row r="951">
      <c r="A951" s="255" t="str">
        <f>IFERROR(__xludf.DUMMYFUNCTION("""COMPUTED_VALUE"""),"MICRO")</f>
        <v>MICRO</v>
      </c>
      <c r="B951" s="361" t="str">
        <f>IFERROR(__xludf.DUMMYFUNCTION("""COMPUTED_VALUE"""),"pinky_pilloww")</f>
        <v>pinky_pilloww</v>
      </c>
      <c r="C951" s="257" t="str">
        <f>IFERROR(__xludf.DUMMYFUNCTION("""COMPUTED_VALUE"""),"https://www.tiktok.com/@pinky_pilloww")</f>
        <v>https://www.tiktok.com/@pinky_pilloww</v>
      </c>
      <c r="D951" s="270"/>
      <c r="E951" s="457">
        <f>IFERROR(__xludf.DUMMYFUNCTION("""COMPUTED_VALUE"""),100000.0)</f>
        <v>100000</v>
      </c>
      <c r="F951" s="270">
        <f>IFERROR(__xludf.DUMMYFUNCTION("""COMPUTED_VALUE"""),2.0)</f>
        <v>2</v>
      </c>
      <c r="G951" s="17" t="str">
        <f>IFERROR(__xludf.DUMMYFUNCTION("""COMPUTED_VALUE"""),"Sabun batang 1 Box ( 2 PCS )")</f>
        <v>Sabun batang 1 Box ( 2 PCS )</v>
      </c>
      <c r="H951" s="463" t="str">
        <f>IFERROR(__xludf.DUMMYFUNCTION("""COMPUTED_VALUE"""),"Sampai")</f>
        <v>Sampai</v>
      </c>
      <c r="I951" s="464" t="str">
        <f>IFERROR(__xludf.DUMMYFUNCTION("""COMPUTED_VALUE"""),"KIMME")</f>
        <v>KIMME</v>
      </c>
      <c r="J951" s="279" t="str">
        <f>IFERROR(__xludf.DUMMYFUNCTION("""COMPUTED_VALUE"""),"https://vt.tiktok.com/ZS92Eo2Y7/")</f>
        <v>https://vt.tiktok.com/ZS92Eo2Y7/</v>
      </c>
      <c r="K951" s="464" t="str">
        <f>IFERROR(__xludf.DUMMYFUNCTION("""COMPUTED_VALUE"""),"KIMME")</f>
        <v>KIMME</v>
      </c>
      <c r="L951" s="279" t="str">
        <f>IFERROR(__xludf.DUMMYFUNCTION("""COMPUTED_VALUE"""),"https://vt.tiktok.com/ZS9h27Pya/")</f>
        <v>https://vt.tiktok.com/ZS9h27Pya/</v>
      </c>
      <c r="M951" s="464"/>
      <c r="N951" s="279" t="str">
        <f>IFERROR(__xludf.DUMMYFUNCTION("""COMPUTED_VALUE"""),"https://vt.tiktok.com/ZSxShpTJ1/")</f>
        <v>https://vt.tiktok.com/ZSxShpTJ1/</v>
      </c>
      <c r="O951" s="464"/>
      <c r="P951" s="279" t="str">
        <f>IFERROR(__xludf.DUMMYFUNCTION("""COMPUTED_VALUE"""),"https://vt.tiktok.com/ZSxShWWSt/")</f>
        <v>https://vt.tiktok.com/ZSxShWWSt/</v>
      </c>
    </row>
    <row r="952">
      <c r="A952" s="255" t="str">
        <f>IFERROR(__xludf.DUMMYFUNCTION("""COMPUTED_VALUE"""),"MICRO")</f>
        <v>MICRO</v>
      </c>
      <c r="B952" s="361" t="str">
        <f>IFERROR(__xludf.DUMMYFUNCTION("""COMPUTED_VALUE"""),"ibenkcz")</f>
        <v>ibenkcz</v>
      </c>
      <c r="C952" s="257" t="str">
        <f>IFERROR(__xludf.DUMMYFUNCTION("""COMPUTED_VALUE"""),"https://www.tiktok.com/@ibenkcz")</f>
        <v>https://www.tiktok.com/@ibenkcz</v>
      </c>
      <c r="D952" s="270"/>
      <c r="E952" s="457">
        <f>IFERROR(__xludf.DUMMYFUNCTION("""COMPUTED_VALUE"""),100000.0)</f>
        <v>100000</v>
      </c>
      <c r="F952" s="270">
        <f>IFERROR(__xludf.DUMMYFUNCTION("""COMPUTED_VALUE"""),2.0)</f>
        <v>2</v>
      </c>
      <c r="G952" s="17" t="str">
        <f>IFERROR(__xludf.DUMMYFUNCTION("""COMPUTED_VALUE"""),"Sabun batang 1 Box ( 2 PCS )")</f>
        <v>Sabun batang 1 Box ( 2 PCS )</v>
      </c>
      <c r="H952" s="463" t="str">
        <f>IFERROR(__xludf.DUMMYFUNCTION("""COMPUTED_VALUE"""),"Sampai")</f>
        <v>Sampai</v>
      </c>
      <c r="I952" s="464" t="str">
        <f>IFERROR(__xludf.DUMMYFUNCTION("""COMPUTED_VALUE"""),"KIMME")</f>
        <v>KIMME</v>
      </c>
      <c r="J952" s="279" t="str">
        <f>IFERROR(__xludf.DUMMYFUNCTION("""COMPUTED_VALUE"""),"https://vt.tiktok.com/ZSHGkstD1/")</f>
        <v>https://vt.tiktok.com/ZSHGkstD1/</v>
      </c>
      <c r="K952" s="464" t="str">
        <f>IFERROR(__xludf.DUMMYFUNCTION("""COMPUTED_VALUE"""),"KIMME")</f>
        <v>KIMME</v>
      </c>
      <c r="L952" s="279" t="str">
        <f>IFERROR(__xludf.DUMMYFUNCTION("""COMPUTED_VALUE"""),"https://vt.tiktok.com/ZSHGD92tu/")</f>
        <v>https://vt.tiktok.com/ZSHGD92tu/</v>
      </c>
      <c r="M952" s="464"/>
      <c r="N952" s="279" t="str">
        <f>IFERROR(__xludf.DUMMYFUNCTION("""COMPUTED_VALUE"""),"https://vt.tiktok.com/ZSxShoVeB/")</f>
        <v>https://vt.tiktok.com/ZSxShoVeB/</v>
      </c>
      <c r="O952" s="464"/>
      <c r="P952" s="279" t="str">
        <f>IFERROR(__xludf.DUMMYFUNCTION("""COMPUTED_VALUE"""),"https://vt.tiktok.com/ZSxSkR91a/")</f>
        <v>https://vt.tiktok.com/ZSxSkR91a/</v>
      </c>
    </row>
    <row r="953">
      <c r="A953" s="255" t="str">
        <f>IFERROR(__xludf.DUMMYFUNCTION("""COMPUTED_VALUE"""),"MICRO")</f>
        <v>MICRO</v>
      </c>
      <c r="B953" s="361" t="str">
        <f>IFERROR(__xludf.DUMMYFUNCTION("""COMPUTED_VALUE"""),"Pasutrigenz07")</f>
        <v>Pasutrigenz07</v>
      </c>
      <c r="C953" s="257" t="str">
        <f>IFERROR(__xludf.DUMMYFUNCTION("""COMPUTED_VALUE"""),"https://www.tiktok.com/@Pasutrigenz07")</f>
        <v>https://www.tiktok.com/@Pasutrigenz07</v>
      </c>
      <c r="D953" s="270"/>
      <c r="E953" s="457">
        <f>IFERROR(__xludf.DUMMYFUNCTION("""COMPUTED_VALUE"""),100000.0)</f>
        <v>100000</v>
      </c>
      <c r="F953" s="270">
        <f>IFERROR(__xludf.DUMMYFUNCTION("""COMPUTED_VALUE"""),2.0)</f>
        <v>2</v>
      </c>
      <c r="G953" s="17" t="str">
        <f>IFERROR(__xludf.DUMMYFUNCTION("""COMPUTED_VALUE"""),"Sabun batang 1 Box ( 2 PCS )")</f>
        <v>Sabun batang 1 Box ( 2 PCS )</v>
      </c>
      <c r="H953" s="463" t="str">
        <f>IFERROR(__xludf.DUMMYFUNCTION("""COMPUTED_VALUE"""),"Sampai")</f>
        <v>Sampai</v>
      </c>
      <c r="I953" s="464" t="str">
        <f>IFERROR(__xludf.DUMMYFUNCTION("""COMPUTED_VALUE"""),"KIMME")</f>
        <v>KIMME</v>
      </c>
      <c r="J953" s="279" t="str">
        <f>IFERROR(__xludf.DUMMYFUNCTION("""COMPUTED_VALUE"""),"https://vt.tiktok.com/ZS9MTf8mU/")</f>
        <v>https://vt.tiktok.com/ZS9MTf8mU/</v>
      </c>
      <c r="K953" s="464" t="str">
        <f>IFERROR(__xludf.DUMMYFUNCTION("""COMPUTED_VALUE"""),"KIMME")</f>
        <v>KIMME</v>
      </c>
      <c r="L953" s="279" t="str">
        <f>IFERROR(__xludf.DUMMYFUNCTION("""COMPUTED_VALUE"""),"https://vt.tiktok.com/ZS9MTwv1J/")</f>
        <v>https://vt.tiktok.com/ZS9MTwv1J/</v>
      </c>
      <c r="M953" s="464"/>
      <c r="N953" s="279" t="str">
        <f>IFERROR(__xludf.DUMMYFUNCTION("""COMPUTED_VALUE"""),"https://vt.tiktok.com/ZSxSkd7k5/")</f>
        <v>https://vt.tiktok.com/ZSxSkd7k5/</v>
      </c>
      <c r="O953" s="464"/>
      <c r="P953" s="279" t="str">
        <f>IFERROR(__xludf.DUMMYFUNCTION("""COMPUTED_VALUE"""),"https://vt.tiktok.com/ZSxShtuB8/")</f>
        <v>https://vt.tiktok.com/ZSxShtuB8/</v>
      </c>
    </row>
    <row r="954">
      <c r="A954" s="255" t="str">
        <f>IFERROR(__xludf.DUMMYFUNCTION("""COMPUTED_VALUE"""),"MICRO")</f>
        <v>MICRO</v>
      </c>
      <c r="B954" s="361" t="str">
        <f>IFERROR(__xludf.DUMMYFUNCTION("""COMPUTED_VALUE"""),"tasyaa_712")</f>
        <v>tasyaa_712</v>
      </c>
      <c r="C954" s="257" t="str">
        <f>IFERROR(__xludf.DUMMYFUNCTION("""COMPUTED_VALUE"""),"https://www.tiktok.com/@tasyaa_712")</f>
        <v>https://www.tiktok.com/@tasyaa_712</v>
      </c>
      <c r="D954" s="270"/>
      <c r="E954" s="457">
        <f>IFERROR(__xludf.DUMMYFUNCTION("""COMPUTED_VALUE"""),100000.0)</f>
        <v>100000</v>
      </c>
      <c r="F954" s="270">
        <f>IFERROR(__xludf.DUMMYFUNCTION("""COMPUTED_VALUE"""),2.0)</f>
        <v>2</v>
      </c>
      <c r="G954" s="17" t="str">
        <f>IFERROR(__xludf.DUMMYFUNCTION("""COMPUTED_VALUE"""),"Sabun batang 1 Box ( 2 PCS )")</f>
        <v>Sabun batang 1 Box ( 2 PCS )</v>
      </c>
      <c r="H954" s="463" t="str">
        <f>IFERROR(__xludf.DUMMYFUNCTION("""COMPUTED_VALUE"""),"Sampai")</f>
        <v>Sampai</v>
      </c>
      <c r="I954" s="464" t="str">
        <f>IFERROR(__xludf.DUMMYFUNCTION("""COMPUTED_VALUE"""),"KIMME")</f>
        <v>KIMME</v>
      </c>
      <c r="J954" s="279" t="str">
        <f>IFERROR(__xludf.DUMMYFUNCTION("""COMPUTED_VALUE"""),"https://vt.tiktok.com/ZSHGUj15E/")</f>
        <v>https://vt.tiktok.com/ZSHGUj15E/</v>
      </c>
      <c r="K954" s="464" t="str">
        <f>IFERROR(__xludf.DUMMYFUNCTION("""COMPUTED_VALUE"""),"KIMME")</f>
        <v>KIMME</v>
      </c>
      <c r="L954" s="279" t="str">
        <f>IFERROR(__xludf.DUMMYFUNCTION("""COMPUTED_VALUE"""),"https://vt.tiktok.com/ZSH7RHUee/")</f>
        <v>https://vt.tiktok.com/ZSH7RHUee/</v>
      </c>
      <c r="M954" s="464"/>
      <c r="N954" s="279" t="str">
        <f>IFERROR(__xludf.DUMMYFUNCTION("""COMPUTED_VALUE"""),"https://vt.tiktok.com/ZSxSh7LGR/")</f>
        <v>https://vt.tiktok.com/ZSxSh7LGR/</v>
      </c>
      <c r="O954" s="464"/>
      <c r="P954" s="279" t="str">
        <f>IFERROR(__xludf.DUMMYFUNCTION("""COMPUTED_VALUE"""),"https://vt.tiktok.com/ZSxSht59o/")</f>
        <v>https://vt.tiktok.com/ZSxSht59o/</v>
      </c>
    </row>
    <row r="955">
      <c r="A955" s="255" t="str">
        <f>IFERROR(__xludf.DUMMYFUNCTION("""COMPUTED_VALUE"""),"MICRO")</f>
        <v>MICRO</v>
      </c>
      <c r="B955" s="361" t="str">
        <f>IFERROR(__xludf.DUMMYFUNCTION("""COMPUTED_VALUE"""),"titalsbd ")</f>
        <v>titalsbd </v>
      </c>
      <c r="C955" s="257" t="str">
        <f>IFERROR(__xludf.DUMMYFUNCTION("""COMPUTED_VALUE"""),"https://www.tiktok.com/@titalsbd ")</f>
        <v>https://www.tiktok.com/@titalsbd </v>
      </c>
      <c r="D955" s="270"/>
      <c r="E955" s="457">
        <f>IFERROR(__xludf.DUMMYFUNCTION("""COMPUTED_VALUE"""),100000.0)</f>
        <v>100000</v>
      </c>
      <c r="F955" s="270">
        <f>IFERROR(__xludf.DUMMYFUNCTION("""COMPUTED_VALUE"""),2.0)</f>
        <v>2</v>
      </c>
      <c r="G955" s="17" t="str">
        <f>IFERROR(__xludf.DUMMYFUNCTION("""COMPUTED_VALUE"""),"Sabun batang 1 Box ( 2 PCS )")</f>
        <v>Sabun batang 1 Box ( 2 PCS )</v>
      </c>
      <c r="H955" s="463" t="str">
        <f>IFERROR(__xludf.DUMMYFUNCTION("""COMPUTED_VALUE"""),"Sampai")</f>
        <v>Sampai</v>
      </c>
      <c r="I955" s="464" t="str">
        <f>IFERROR(__xludf.DUMMYFUNCTION("""COMPUTED_VALUE"""),"KIMME")</f>
        <v>KIMME</v>
      </c>
      <c r="J955" s="279" t="str">
        <f>IFERROR(__xludf.DUMMYFUNCTION("""COMPUTED_VALUE"""),"https://vt.tiktok.com/ZSH7Rgh9u/")</f>
        <v>https://vt.tiktok.com/ZSH7Rgh9u/</v>
      </c>
      <c r="K955" s="464" t="str">
        <f>IFERROR(__xludf.DUMMYFUNCTION("""COMPUTED_VALUE"""),"KIMME")</f>
        <v>KIMME</v>
      </c>
      <c r="L955" s="279" t="str">
        <f>IFERROR(__xludf.DUMMYFUNCTION("""COMPUTED_VALUE"""),"https://vt.tiktok.com/ZSHvNuWhb/")</f>
        <v>https://vt.tiktok.com/ZSHvNuWhb/</v>
      </c>
      <c r="M955" s="464"/>
      <c r="N955" s="279" t="str">
        <f>IFERROR(__xludf.DUMMYFUNCTION("""COMPUTED_VALUE"""),"https://vt.tiktok.com/ZSxShpwhD/")</f>
        <v>https://vt.tiktok.com/ZSxShpwhD/</v>
      </c>
      <c r="O955" s="464"/>
      <c r="P955" s="279" t="str">
        <f>IFERROR(__xludf.DUMMYFUNCTION("""COMPUTED_VALUE"""),"https://vt.tiktok.com/ZSxShtmtd//")</f>
        <v>https://vt.tiktok.com/ZSxShtmtd//</v>
      </c>
    </row>
    <row r="956">
      <c r="A956" s="255" t="str">
        <f>IFERROR(__xludf.DUMMYFUNCTION("""COMPUTED_VALUE"""),"MICRO")</f>
        <v>MICRO</v>
      </c>
      <c r="B956" s="361" t="str">
        <f>IFERROR(__xludf.DUMMYFUNCTION("""COMPUTED_VALUE"""),"Cacaila22")</f>
        <v>Cacaila22</v>
      </c>
      <c r="C956" s="257" t="str">
        <f>IFERROR(__xludf.DUMMYFUNCTION("""COMPUTED_VALUE"""),"https://www.tiktok.com/@Cacaila22")</f>
        <v>https://www.tiktok.com/@Cacaila22</v>
      </c>
      <c r="D956" s="270"/>
      <c r="E956" s="457">
        <f>IFERROR(__xludf.DUMMYFUNCTION("""COMPUTED_VALUE"""),100000.0)</f>
        <v>100000</v>
      </c>
      <c r="F956" s="270">
        <f>IFERROR(__xludf.DUMMYFUNCTION("""COMPUTED_VALUE"""),2.0)</f>
        <v>2</v>
      </c>
      <c r="G956" s="17" t="str">
        <f>IFERROR(__xludf.DUMMYFUNCTION("""COMPUTED_VALUE"""),"Sabun batang 1 Box ( 2 PCS )")</f>
        <v>Sabun batang 1 Box ( 2 PCS )</v>
      </c>
      <c r="H956" s="463" t="str">
        <f>IFERROR(__xludf.DUMMYFUNCTION("""COMPUTED_VALUE"""),"Sampai")</f>
        <v>Sampai</v>
      </c>
      <c r="I956" s="464" t="str">
        <f>IFERROR(__xludf.DUMMYFUNCTION("""COMPUTED_VALUE"""),"KIMME")</f>
        <v>KIMME</v>
      </c>
      <c r="J956" s="279" t="str">
        <f>IFERROR(__xludf.DUMMYFUNCTION("""COMPUTED_VALUE"""),"https://vt.tiktok.com/ZSHvMqJXb/")</f>
        <v>https://vt.tiktok.com/ZSHvMqJXb/</v>
      </c>
      <c r="K956" s="464" t="str">
        <f>IFERROR(__xludf.DUMMYFUNCTION("""COMPUTED_VALUE"""),"KIMME")</f>
        <v>KIMME</v>
      </c>
      <c r="L956" s="279" t="str">
        <f>IFERROR(__xludf.DUMMYFUNCTION("""COMPUTED_VALUE"""),"https://vt.tiktok.com/ZS9JAR5uy/")</f>
        <v>https://vt.tiktok.com/ZS9JAR5uy/</v>
      </c>
      <c r="M956" s="464"/>
      <c r="N956" s="279" t="str">
        <f>IFERROR(__xludf.DUMMYFUNCTION("""COMPUTED_VALUE"""),"https://vt.tiktok.com/ZSxSkJGxC/")</f>
        <v>https://vt.tiktok.com/ZSxSkJGxC/</v>
      </c>
      <c r="O956" s="464"/>
      <c r="P956" s="279" t="str">
        <f>IFERROR(__xludf.DUMMYFUNCTION("""COMPUTED_VALUE"""),"https://vt.tiktok.com/ZSxShvSDW/")</f>
        <v>https://vt.tiktok.com/ZSxShvSDW/</v>
      </c>
    </row>
    <row r="957">
      <c r="A957" s="255" t="str">
        <f>IFERROR(__xludf.DUMMYFUNCTION("""COMPUTED_VALUE"""),"MICRO")</f>
        <v>MICRO</v>
      </c>
      <c r="B957" s="361" t="str">
        <f>IFERROR(__xludf.DUMMYFUNCTION("""COMPUTED_VALUE"""),"purplee090")</f>
        <v>purplee090</v>
      </c>
      <c r="C957" s="257" t="str">
        <f>IFERROR(__xludf.DUMMYFUNCTION("""COMPUTED_VALUE"""),"https://www.tiktok.com/@purplee090")</f>
        <v>https://www.tiktok.com/@purplee090</v>
      </c>
      <c r="D957" s="270"/>
      <c r="E957" s="457">
        <f>IFERROR(__xludf.DUMMYFUNCTION("""COMPUTED_VALUE"""),100000.0)</f>
        <v>100000</v>
      </c>
      <c r="F957" s="270">
        <f>IFERROR(__xludf.DUMMYFUNCTION("""COMPUTED_VALUE"""),2.0)</f>
        <v>2</v>
      </c>
      <c r="G957" s="17" t="str">
        <f>IFERROR(__xludf.DUMMYFUNCTION("""COMPUTED_VALUE"""),"Sabun batang 1 Box ( 2 PCS )")</f>
        <v>Sabun batang 1 Box ( 2 PCS )</v>
      </c>
      <c r="H957" s="463" t="str">
        <f>IFERROR(__xludf.DUMMYFUNCTION("""COMPUTED_VALUE"""),"Sampai")</f>
        <v>Sampai</v>
      </c>
      <c r="I957" s="464" t="str">
        <f>IFERROR(__xludf.DUMMYFUNCTION("""COMPUTED_VALUE"""),"KIMME")</f>
        <v>KIMME</v>
      </c>
      <c r="J957" s="279" t="str">
        <f>IFERROR(__xludf.DUMMYFUNCTION("""COMPUTED_VALUE"""),"https://vt.tiktok.com/ZSHv2NtVV/")</f>
        <v>https://vt.tiktok.com/ZSHv2NtVV/</v>
      </c>
      <c r="K957" s="464" t="str">
        <f>IFERROR(__xludf.DUMMYFUNCTION("""COMPUTED_VALUE"""),"KIMME")</f>
        <v>KIMME</v>
      </c>
      <c r="L957" s="279" t="str">
        <f>IFERROR(__xludf.DUMMYFUNCTION("""COMPUTED_VALUE"""),"https://vt.tiktok.com/ZS91wLrE1/")</f>
        <v>https://vt.tiktok.com/ZS91wLrE1/</v>
      </c>
      <c r="M957" s="464"/>
      <c r="N957" s="279" t="str">
        <f>IFERROR(__xludf.DUMMYFUNCTION("""COMPUTED_VALUE"""),"https://vt.tiktok.com/ZSxShAVjp/")</f>
        <v>https://vt.tiktok.com/ZSxShAVjp/</v>
      </c>
      <c r="O957" s="464"/>
      <c r="P957" s="279" t="str">
        <f>IFERROR(__xludf.DUMMYFUNCTION("""COMPUTED_VALUE"""),"https://vt.tiktok.com/ZSxShxgDa/")</f>
        <v>https://vt.tiktok.com/ZSxShxgDa/</v>
      </c>
    </row>
    <row r="958">
      <c r="A958" s="255" t="str">
        <f>IFERROR(__xludf.DUMMYFUNCTION("""COMPUTED_VALUE"""),"MICRO")</f>
        <v>MICRO</v>
      </c>
      <c r="B958" s="361" t="str">
        <f>IFERROR(__xludf.DUMMYFUNCTION("""COMPUTED_VALUE"""),"oktasiskaa ")</f>
        <v>oktasiskaa </v>
      </c>
      <c r="C958" s="257" t="str">
        <f>IFERROR(__xludf.DUMMYFUNCTION("""COMPUTED_VALUE"""),"https://www.tiktok.com/@oktasiskaa ")</f>
        <v>https://www.tiktok.com/@oktasiskaa </v>
      </c>
      <c r="D958" s="270"/>
      <c r="E958" s="457">
        <f>IFERROR(__xludf.DUMMYFUNCTION("""COMPUTED_VALUE"""),100000.0)</f>
        <v>100000</v>
      </c>
      <c r="F958" s="270">
        <f>IFERROR(__xludf.DUMMYFUNCTION("""COMPUTED_VALUE"""),2.0)</f>
        <v>2</v>
      </c>
      <c r="G958" s="17" t="str">
        <f>IFERROR(__xludf.DUMMYFUNCTION("""COMPUTED_VALUE"""),"Sabun batang 1 Box ( 2 PCS )")</f>
        <v>Sabun batang 1 Box ( 2 PCS )</v>
      </c>
      <c r="H958" s="463" t="str">
        <f>IFERROR(__xludf.DUMMYFUNCTION("""COMPUTED_VALUE"""),"Sampai")</f>
        <v>Sampai</v>
      </c>
      <c r="I958" s="464" t="str">
        <f>IFERROR(__xludf.DUMMYFUNCTION("""COMPUTED_VALUE"""),"KIMME")</f>
        <v>KIMME</v>
      </c>
      <c r="J958" s="279" t="str">
        <f>IFERROR(__xludf.DUMMYFUNCTION("""COMPUTED_VALUE"""),"https://vt.tiktok.com/ZS91XWjsu/")</f>
        <v>https://vt.tiktok.com/ZS91XWjsu/</v>
      </c>
      <c r="K958" s="464" t="str">
        <f>IFERROR(__xludf.DUMMYFUNCTION("""COMPUTED_VALUE"""),"KIMME")</f>
        <v>KIMME</v>
      </c>
      <c r="L958" s="279" t="str">
        <f>IFERROR(__xludf.DUMMYFUNCTION("""COMPUTED_VALUE"""),"https://vt.tiktok.com/ZS914R6H3/")</f>
        <v>https://vt.tiktok.com/ZS914R6H3/</v>
      </c>
      <c r="M958" s="464"/>
      <c r="N958" s="279" t="str">
        <f>IFERROR(__xludf.DUMMYFUNCTION("""COMPUTED_VALUE"""),"https://vt.tiktok.com/ZSxShxuQj/")</f>
        <v>https://vt.tiktok.com/ZSxShxuQj/</v>
      </c>
      <c r="O958" s="464"/>
      <c r="P958" s="279" t="str">
        <f>IFERROR(__xludf.DUMMYFUNCTION("""COMPUTED_VALUE"""),"https://vt.tiktok.com/ZSxShQghP/")</f>
        <v>https://vt.tiktok.com/ZSxShQghP/</v>
      </c>
    </row>
    <row r="959">
      <c r="A959" s="255" t="str">
        <f>IFERROR(__xludf.DUMMYFUNCTION("""COMPUTED_VALUE"""),"MICRO")</f>
        <v>MICRO</v>
      </c>
      <c r="B959" s="361" t="str">
        <f>IFERROR(__xludf.DUMMYFUNCTION("""COMPUTED_VALUE"""),"r_for_revan")</f>
        <v>r_for_revan</v>
      </c>
      <c r="C959" s="257" t="str">
        <f>IFERROR(__xludf.DUMMYFUNCTION("""COMPUTED_VALUE"""),"https://www.tiktok.com/@r_for_revan")</f>
        <v>https://www.tiktok.com/@r_for_revan</v>
      </c>
      <c r="D959" s="270"/>
      <c r="E959" s="457">
        <f>IFERROR(__xludf.DUMMYFUNCTION("""COMPUTED_VALUE"""),100000.0)</f>
        <v>100000</v>
      </c>
      <c r="F959" s="270">
        <f>IFERROR(__xludf.DUMMYFUNCTION("""COMPUTED_VALUE"""),2.0)</f>
        <v>2</v>
      </c>
      <c r="G959" s="17" t="str">
        <f>IFERROR(__xludf.DUMMYFUNCTION("""COMPUTED_VALUE"""),"Sabun batang 1 Box ( 2 PCS )")</f>
        <v>Sabun batang 1 Box ( 2 PCS )</v>
      </c>
      <c r="H959" s="463" t="str">
        <f>IFERROR(__xludf.DUMMYFUNCTION("""COMPUTED_VALUE"""),"Sampai")</f>
        <v>Sampai</v>
      </c>
      <c r="I959" s="464" t="str">
        <f>IFERROR(__xludf.DUMMYFUNCTION("""COMPUTED_VALUE"""),"KIMME")</f>
        <v>KIMME</v>
      </c>
      <c r="J959" s="279" t="str">
        <f>IFERROR(__xludf.DUMMYFUNCTION("""COMPUTED_VALUE"""),"https://vt.tiktok.com/ZSH71k3yu/")</f>
        <v>https://vt.tiktok.com/ZSH71k3yu/</v>
      </c>
      <c r="K959" s="464" t="str">
        <f>IFERROR(__xludf.DUMMYFUNCTION("""COMPUTED_VALUE"""),"KIMME")</f>
        <v>KIMME</v>
      </c>
      <c r="L959" s="279" t="str">
        <f>IFERROR(__xludf.DUMMYFUNCTION("""COMPUTED_VALUE"""),"https://vt.tiktok.com/ZSHcdhVSo/")</f>
        <v>https://vt.tiktok.com/ZSHcdhVSo/</v>
      </c>
      <c r="M959" s="464"/>
      <c r="N959" s="279" t="str">
        <f>IFERROR(__xludf.DUMMYFUNCTION("""COMPUTED_VALUE"""),"https://vt.tiktok.com/ZSxShhmuD/")</f>
        <v>https://vt.tiktok.com/ZSxShhmuD/</v>
      </c>
      <c r="O959" s="464"/>
      <c r="P959" s="279" t="str">
        <f>IFERROR(__xludf.DUMMYFUNCTION("""COMPUTED_VALUE"""),"https://vt.tiktok.com/ZSxrTMYsJ/")</f>
        <v>https://vt.tiktok.com/ZSxrTMYsJ/</v>
      </c>
    </row>
    <row r="960">
      <c r="A960" s="255" t="str">
        <f>IFERROR(__xludf.DUMMYFUNCTION("""COMPUTED_VALUE"""),"MICRO")</f>
        <v>MICRO</v>
      </c>
      <c r="B960" s="361" t="str">
        <f>IFERROR(__xludf.DUMMYFUNCTION("""COMPUTED_VALUE"""),"renyrahman.76")</f>
        <v>renyrahman.76</v>
      </c>
      <c r="C960" s="257" t="str">
        <f>IFERROR(__xludf.DUMMYFUNCTION("""COMPUTED_VALUE"""),"https://www.tiktok.com/@renyrahman.76")</f>
        <v>https://www.tiktok.com/@renyrahman.76</v>
      </c>
      <c r="D960" s="270"/>
      <c r="E960" s="457">
        <f>IFERROR(__xludf.DUMMYFUNCTION("""COMPUTED_VALUE"""),100000.0)</f>
        <v>100000</v>
      </c>
      <c r="F960" s="270">
        <f>IFERROR(__xludf.DUMMYFUNCTION("""COMPUTED_VALUE"""),2.0)</f>
        <v>2</v>
      </c>
      <c r="G960" s="17" t="str">
        <f>IFERROR(__xludf.DUMMYFUNCTION("""COMPUTED_VALUE"""),"Sabun batang 1 Box ( 2 PCS )")</f>
        <v>Sabun batang 1 Box ( 2 PCS )</v>
      </c>
      <c r="H960" s="463" t="str">
        <f>IFERROR(__xludf.DUMMYFUNCTION("""COMPUTED_VALUE"""),"Sampai")</f>
        <v>Sampai</v>
      </c>
      <c r="I960" s="464" t="str">
        <f>IFERROR(__xludf.DUMMYFUNCTION("""COMPUTED_VALUE"""),"KIMME")</f>
        <v>KIMME</v>
      </c>
      <c r="J960" s="279" t="str">
        <f>IFERROR(__xludf.DUMMYFUNCTION("""COMPUTED_VALUE"""),"https://vt.tiktok.com/ZSHGQwhaP/")</f>
        <v>https://vt.tiktok.com/ZSHGQwhaP/</v>
      </c>
      <c r="K960" s="464" t="str">
        <f>IFERROR(__xludf.DUMMYFUNCTION("""COMPUTED_VALUE"""),"KIMME")</f>
        <v>KIMME</v>
      </c>
      <c r="L960" s="279" t="str">
        <f>IFERROR(__xludf.DUMMYFUNCTION("""COMPUTED_VALUE""")," https://vt.tiktok.com/ZS9aJ1B3t/")</f>
        <v> https://vt.tiktok.com/ZS9aJ1B3t/</v>
      </c>
      <c r="M960" s="464"/>
      <c r="N960" s="279" t="str">
        <f>IFERROR(__xludf.DUMMYFUNCTION("""COMPUTED_VALUE"""),"https://vt.tiktok.com/ZSxrTFyBv/")</f>
        <v>https://vt.tiktok.com/ZSxrTFyBv/</v>
      </c>
      <c r="O960" s="464"/>
      <c r="P960" s="279" t="str">
        <f>IFERROR(__xludf.DUMMYFUNCTION("""COMPUTED_VALUE"""),"https://vt.tiktok.com/ZSxrTNckx/")</f>
        <v>https://vt.tiktok.com/ZSxrTNckx/</v>
      </c>
    </row>
    <row r="961">
      <c r="A961" s="255" t="str">
        <f>IFERROR(__xludf.DUMMYFUNCTION("""COMPUTED_VALUE"""),"MICRO")</f>
        <v>MICRO</v>
      </c>
      <c r="B961" s="361" t="str">
        <f>IFERROR(__xludf.DUMMYFUNCTION("""COMPUTED_VALUE"""),"Ikanoviar")</f>
        <v>Ikanoviar</v>
      </c>
      <c r="C961" s="257" t="str">
        <f>IFERROR(__xludf.DUMMYFUNCTION("""COMPUTED_VALUE"""),"https://www.tiktok.com/@Ikanoviar")</f>
        <v>https://www.tiktok.com/@Ikanoviar</v>
      </c>
      <c r="D961" s="270"/>
      <c r="E961" s="457">
        <f>IFERROR(__xludf.DUMMYFUNCTION("""COMPUTED_VALUE"""),100000.0)</f>
        <v>100000</v>
      </c>
      <c r="F961" s="270">
        <f>IFERROR(__xludf.DUMMYFUNCTION("""COMPUTED_VALUE"""),2.0)</f>
        <v>2</v>
      </c>
      <c r="G961" s="17" t="str">
        <f>IFERROR(__xludf.DUMMYFUNCTION("""COMPUTED_VALUE"""),"Sabun batang 1 Box ( 2 PCS )")</f>
        <v>Sabun batang 1 Box ( 2 PCS )</v>
      </c>
      <c r="H961" s="463" t="str">
        <f>IFERROR(__xludf.DUMMYFUNCTION("""COMPUTED_VALUE"""),"Sampai")</f>
        <v>Sampai</v>
      </c>
      <c r="I961" s="464" t="str">
        <f>IFERROR(__xludf.DUMMYFUNCTION("""COMPUTED_VALUE"""),"KIMME")</f>
        <v>KIMME</v>
      </c>
      <c r="J961" s="279" t="str">
        <f>IFERROR(__xludf.DUMMYFUNCTION("""COMPUTED_VALUE"""),"https://vt.tiktok.com/ZS9eAoGc7/")</f>
        <v>https://vt.tiktok.com/ZS9eAoGc7/</v>
      </c>
      <c r="K961" s="464" t="str">
        <f>IFERROR(__xludf.DUMMYFUNCTION("""COMPUTED_VALUE"""),"KIMME")</f>
        <v>KIMME</v>
      </c>
      <c r="L961" s="279" t="str">
        <f>IFERROR(__xludf.DUMMYFUNCTION("""COMPUTED_VALUE"""),"https://vt.tiktok.com/ZS9eAQfte/")</f>
        <v>https://vt.tiktok.com/ZS9eAQfte/</v>
      </c>
      <c r="M961" s="464"/>
      <c r="N961" s="279" t="str">
        <f>IFERROR(__xludf.DUMMYFUNCTION("""COMPUTED_VALUE"""),"https://vt.tiktok.com/ZSxrT21xt/")</f>
        <v>https://vt.tiktok.com/ZSxrT21xt/</v>
      </c>
      <c r="O961" s="464"/>
      <c r="P961" s="279" t="str">
        <f>IFERROR(__xludf.DUMMYFUNCTION("""COMPUTED_VALUE"""),"https://vt.tiktok.com/ZSxrT2Q7X/")</f>
        <v>https://vt.tiktok.com/ZSxrT2Q7X/</v>
      </c>
    </row>
    <row r="962">
      <c r="A962" s="255" t="str">
        <f>IFERROR(__xludf.DUMMYFUNCTION("""COMPUTED_VALUE"""),"MICRO")</f>
        <v>MICRO</v>
      </c>
      <c r="B962" s="361" t="str">
        <f>IFERROR(__xludf.DUMMYFUNCTION("""COMPUTED_VALUE"""),"srayunggrn")</f>
        <v>srayunggrn</v>
      </c>
      <c r="C962" s="257" t="str">
        <f>IFERROR(__xludf.DUMMYFUNCTION("""COMPUTED_VALUE"""),"https://www.tiktok.com/@srayunggrn")</f>
        <v>https://www.tiktok.com/@srayunggrn</v>
      </c>
      <c r="D962" s="270"/>
      <c r="E962" s="457">
        <f>IFERROR(__xludf.DUMMYFUNCTION("""COMPUTED_VALUE"""),100000.0)</f>
        <v>100000</v>
      </c>
      <c r="F962" s="270">
        <f>IFERROR(__xludf.DUMMYFUNCTION("""COMPUTED_VALUE"""),2.0)</f>
        <v>2</v>
      </c>
      <c r="G962" s="17" t="str">
        <f>IFERROR(__xludf.DUMMYFUNCTION("""COMPUTED_VALUE"""),"Sabun batang 1 Box ( 2 PCS )")</f>
        <v>Sabun batang 1 Box ( 2 PCS )</v>
      </c>
      <c r="H962" s="463" t="str">
        <f>IFERROR(__xludf.DUMMYFUNCTION("""COMPUTED_VALUE"""),"Sampai")</f>
        <v>Sampai</v>
      </c>
      <c r="I962" s="464" t="str">
        <f>IFERROR(__xludf.DUMMYFUNCTION("""COMPUTED_VALUE"""),"KIMME")</f>
        <v>KIMME</v>
      </c>
      <c r="J962" s="279" t="str">
        <f>IFERROR(__xludf.DUMMYFUNCTION("""COMPUTED_VALUE"""),"https://vt.tiktok.com/ZSHs6amuF/")</f>
        <v>https://vt.tiktok.com/ZSHs6amuF/</v>
      </c>
      <c r="K962" s="464" t="str">
        <f>IFERROR(__xludf.DUMMYFUNCTION("""COMPUTED_VALUE"""),"KIMME")</f>
        <v>KIMME</v>
      </c>
      <c r="L962" s="279" t="str">
        <f>IFERROR(__xludf.DUMMYFUNCTION("""COMPUTED_VALUE"""),"https://vt.tiktok.com/ZSHWJRfMq/")</f>
        <v>https://vt.tiktok.com/ZSHWJRfMq/</v>
      </c>
      <c r="M962" s="464"/>
      <c r="N962" s="279" t="str">
        <f>IFERROR(__xludf.DUMMYFUNCTION("""COMPUTED_VALUE"""),"https://www.tiktok.com/@suka.mcflurryoreo/video/7641510234405604616?_r=1&amp;u_code=dcm37lh9ml3f96&amp;region=&amp;mid=7626253412866886407&amp;preview_pb=0&amp;sharer_language=&amp;_d=0&amp;ec_shared_reflux_dynamic_params=%7B%22placeholder_material_id%22%3A%227641510234405604616%22%"&amp;"2C%22placeholder_origin_cover%22%3A%22https%253A%252F%252Fp16-common-sign.tiktokcdn.com%252Ftos-alisg-p-0037%252FoAf8iMRwBqquQgEkGpNFzEaDBVfgDQRMjycABB~tplv-tiktokx-origin.jpeg%253Fdr%253D14572%2526refresh_token%253D698614d1%2526x-expires%253D1810717200%2"&amp;"526x-signature%253DkOncTcakV229Knc1hqrI3uW3u8k%25253D%2526t%253D4d5b0474%2526ps%253D13740610%2526shp%253Dd05b14bd%2526shcp%253D34ff8df6%2526idc%253Dmy3%2526s%253DTIKTOK_AFFILIATE_VIRAL_VIDEO%22%2C%22placeholder_product_id%22%3A%221729427766722726591%22%2C"&amp;"%22placeholder_video_id%22%3A%227641510234405604616%22%7D&amp;ec_shared_reflux_scene=shop_tab_feed&amp;share_item_id=7641510234405604616&amp;source=h5_t")</f>
        <v>https://www.tiktok.com/@suka.mcflurryoreo/video/7641510234405604616?_r=1&amp;u_code=dcm37lh9ml3f96&amp;region=&amp;mid=7626253412866886407&amp;preview_pb=0&amp;sharer_language=&amp;_d=0&amp;ec_shared_reflux_dynamic_params=%7B%22placeholder_material_id%22%3A%227641510234405604616%22%2C%22placeholder_origin_cover%22%3A%22https%253A%252F%252Fp16-common-sign.tiktokcdn.com%252Ftos-alisg-p-0037%252FoAf8iMRwBqquQgEkGpNFzEaDBVfgDQRMjycABB~tplv-tiktokx-origin.jpeg%253Fdr%253D14572%2526refresh_token%253D698614d1%2526x-expires%253D1810717200%2526x-signature%253DkOncTcakV229Knc1hqrI3uW3u8k%25253D%2526t%253D4d5b0474%2526ps%253D13740610%2526shp%253Dd05b14bd%2526shcp%253D34ff8df6%2526idc%253Dmy3%2526s%253DTIKTOK_AFFILIATE_VIRAL_VIDEO%22%2C%22placeholder_product_id%22%3A%221729427766722726591%22%2C%22placeholder_video_id%22%3A%227641510234405604616%22%7D&amp;ec_shared_reflux_scene=shop_tab_feed&amp;share_item_id=7641510234405604616&amp;source=h5_t</v>
      </c>
      <c r="O962" s="464"/>
      <c r="P962" s="279" t="str">
        <f>IFERROR(__xludf.DUMMYFUNCTION("""COMPUTED_VALUE"""),"https://vt.tiktok.com/ZSxhEL1fj/")</f>
        <v>https://vt.tiktok.com/ZSxhEL1fj/</v>
      </c>
    </row>
    <row r="963">
      <c r="A963" s="255" t="str">
        <f>IFERROR(__xludf.DUMMYFUNCTION("""COMPUTED_VALUE"""),"MICRO")</f>
        <v>MICRO</v>
      </c>
      <c r="B963" s="361" t="str">
        <f>IFERROR(__xludf.DUMMYFUNCTION("""COMPUTED_VALUE"""),"snowhub__")</f>
        <v>snowhub__</v>
      </c>
      <c r="C963" s="257" t="str">
        <f>IFERROR(__xludf.DUMMYFUNCTION("""COMPUTED_VALUE"""),"https://www.tiktok.com/@snowhub__")</f>
        <v>https://www.tiktok.com/@snowhub__</v>
      </c>
      <c r="D963" s="270"/>
      <c r="E963" s="457">
        <f>IFERROR(__xludf.DUMMYFUNCTION("""COMPUTED_VALUE"""),100000.0)</f>
        <v>100000</v>
      </c>
      <c r="F963" s="270">
        <f>IFERROR(__xludf.DUMMYFUNCTION("""COMPUTED_VALUE"""),2.0)</f>
        <v>2</v>
      </c>
      <c r="G963" s="17" t="str">
        <f>IFERROR(__xludf.DUMMYFUNCTION("""COMPUTED_VALUE"""),"Sabun batang 1 Box ( 2 PCS )")</f>
        <v>Sabun batang 1 Box ( 2 PCS )</v>
      </c>
      <c r="H963" s="463" t="str">
        <f>IFERROR(__xludf.DUMMYFUNCTION("""COMPUTED_VALUE"""),"Sampai")</f>
        <v>Sampai</v>
      </c>
      <c r="I963" s="464" t="str">
        <f>IFERROR(__xludf.DUMMYFUNCTION("""COMPUTED_VALUE"""),"KIMME")</f>
        <v>KIMME</v>
      </c>
      <c r="J963" s="279" t="str">
        <f>IFERROR(__xludf.DUMMYFUNCTION("""COMPUTED_VALUE"""),"https://vt.tiktok.com/ZSHwCGW2X/")</f>
        <v>https://vt.tiktok.com/ZSHwCGW2X/</v>
      </c>
      <c r="K963" s="464" t="str">
        <f>IFERROR(__xludf.DUMMYFUNCTION("""COMPUTED_VALUE"""),"KIMME")</f>
        <v>KIMME</v>
      </c>
      <c r="L963" s="279" t="str">
        <f>IFERROR(__xludf.DUMMYFUNCTION("""COMPUTED_VALUE"""),"https://vt.tiktok.com/ZS9NjMExn/")</f>
        <v>https://vt.tiktok.com/ZS9NjMExn/</v>
      </c>
      <c r="M963" s="464"/>
      <c r="N963" s="279" t="str">
        <f>IFERROR(__xludf.DUMMYFUNCTION("""COMPUTED_VALUE"""),"https://vt.tiktok.com/ZSxrerWsP/")</f>
        <v>https://vt.tiktok.com/ZSxrerWsP/</v>
      </c>
      <c r="O963" s="464"/>
      <c r="P963" s="279" t="str">
        <f>IFERROR(__xludf.DUMMYFUNCTION("""COMPUTED_VALUE"""),"https://vt.tiktok.com/ZSxMkcysV/")</f>
        <v>https://vt.tiktok.com/ZSxMkcysV/</v>
      </c>
    </row>
    <row r="964">
      <c r="A964" s="255" t="str">
        <f>IFERROR(__xludf.DUMMYFUNCTION("""COMPUTED_VALUE"""),"MICRO")</f>
        <v>MICRO</v>
      </c>
      <c r="B964" s="361" t="str">
        <f>IFERROR(__xludf.DUMMYFUNCTION("""COMPUTED_VALUE"""),"elfayzaaaa")</f>
        <v>elfayzaaaa</v>
      </c>
      <c r="C964" s="257" t="str">
        <f>IFERROR(__xludf.DUMMYFUNCTION("""COMPUTED_VALUE"""),"https://www.tiktok.com/@elfayzaaaa")</f>
        <v>https://www.tiktok.com/@elfayzaaaa</v>
      </c>
      <c r="D964" s="270"/>
      <c r="E964" s="457">
        <f>IFERROR(__xludf.DUMMYFUNCTION("""COMPUTED_VALUE"""),100000.0)</f>
        <v>100000</v>
      </c>
      <c r="F964" s="270">
        <f>IFERROR(__xludf.DUMMYFUNCTION("""COMPUTED_VALUE"""),2.0)</f>
        <v>2</v>
      </c>
      <c r="G964" s="17" t="str">
        <f>IFERROR(__xludf.DUMMYFUNCTION("""COMPUTED_VALUE"""),"Sabun batang 1 Box ( 2 PCS )")</f>
        <v>Sabun batang 1 Box ( 2 PCS )</v>
      </c>
      <c r="H964" s="463" t="str">
        <f>IFERROR(__xludf.DUMMYFUNCTION("""COMPUTED_VALUE"""),"Sampai")</f>
        <v>Sampai</v>
      </c>
      <c r="I964" s="464" t="str">
        <f>IFERROR(__xludf.DUMMYFUNCTION("""COMPUTED_VALUE"""),"KIMME")</f>
        <v>KIMME</v>
      </c>
      <c r="J964" s="279" t="str">
        <f>IFERROR(__xludf.DUMMYFUNCTION("""COMPUTED_VALUE"""),"https://vt.tiktok.com/ZS9hQ7sJs/ ")</f>
        <v>https://vt.tiktok.com/ZS9hQ7sJs/ </v>
      </c>
      <c r="K964" s="464" t="str">
        <f>IFERROR(__xludf.DUMMYFUNCTION("""COMPUTED_VALUE"""),"KIMME")</f>
        <v>KIMME</v>
      </c>
      <c r="L964" s="279" t="str">
        <f>IFERROR(__xludf.DUMMYFUNCTION("""COMPUTED_VALUE"""),"https://vt.tiktok.com/ZS9hQpQuv/")</f>
        <v>https://vt.tiktok.com/ZS9hQpQuv/</v>
      </c>
      <c r="M964" s="464"/>
      <c r="N964" s="279" t="str">
        <f>IFERROR(__xludf.DUMMYFUNCTION("""COMPUTED_VALUE"""),"https://vt.tiktok.com/ZSxjX3ef6/")</f>
        <v>https://vt.tiktok.com/ZSxjX3ef6/</v>
      </c>
      <c r="O964" s="464"/>
      <c r="P964" s="279" t="str">
        <f>IFERROR(__xludf.DUMMYFUNCTION("""COMPUTED_VALUE"""),"https://vt.tiktok.com/ZSxSp99aK/")</f>
        <v>https://vt.tiktok.com/ZSxSp99aK/</v>
      </c>
    </row>
    <row r="965">
      <c r="A965" s="255" t="str">
        <f>IFERROR(__xludf.DUMMYFUNCTION("""COMPUTED_VALUE"""),"MICRO")</f>
        <v>MICRO</v>
      </c>
      <c r="B965" s="361" t="str">
        <f>IFERROR(__xludf.DUMMYFUNCTION("""COMPUTED_VALUE"""),"putriaycaaa")</f>
        <v>putriaycaaa</v>
      </c>
      <c r="C965" s="257" t="str">
        <f>IFERROR(__xludf.DUMMYFUNCTION("""COMPUTED_VALUE"""),"https://www.tiktok.com/@putriaycaaa")</f>
        <v>https://www.tiktok.com/@putriaycaaa</v>
      </c>
      <c r="D965" s="270"/>
      <c r="E965" s="457">
        <f>IFERROR(__xludf.DUMMYFUNCTION("""COMPUTED_VALUE"""),100000.0)</f>
        <v>100000</v>
      </c>
      <c r="F965" s="270">
        <f>IFERROR(__xludf.DUMMYFUNCTION("""COMPUTED_VALUE"""),2.0)</f>
        <v>2</v>
      </c>
      <c r="G965" s="17" t="str">
        <f>IFERROR(__xludf.DUMMYFUNCTION("""COMPUTED_VALUE"""),"Sabun batang 1 Box ( 2 PCS )")</f>
        <v>Sabun batang 1 Box ( 2 PCS )</v>
      </c>
      <c r="H965" s="463" t="str">
        <f>IFERROR(__xludf.DUMMYFUNCTION("""COMPUTED_VALUE"""),"Sampai")</f>
        <v>Sampai</v>
      </c>
      <c r="I965" s="464" t="str">
        <f>IFERROR(__xludf.DUMMYFUNCTION("""COMPUTED_VALUE"""),"KIMME")</f>
        <v>KIMME</v>
      </c>
      <c r="J965" s="279" t="str">
        <f>IFERROR(__xludf.DUMMYFUNCTION("""COMPUTED_VALUE"""),"https://vt.tiktok.com/ZSHtnr9NH/")</f>
        <v>https://vt.tiktok.com/ZSHtnr9NH/</v>
      </c>
      <c r="K965" s="464" t="str">
        <f>IFERROR(__xludf.DUMMYFUNCTION("""COMPUTED_VALUE"""),"KIMME")</f>
        <v>KIMME</v>
      </c>
      <c r="L965" s="279" t="str">
        <f>IFERROR(__xludf.DUMMYFUNCTION("""COMPUTED_VALUE"""),"https://vt.tiktok.com/ZSHnJuucV/")</f>
        <v>https://vt.tiktok.com/ZSHnJuucV/</v>
      </c>
      <c r="M965" s="464"/>
      <c r="N965" s="279" t="str">
        <f>IFERROR(__xludf.DUMMYFUNCTION("""COMPUTED_VALUE"""),"https://vt.tiktok.com/ZSxSp4AYc/")</f>
        <v>https://vt.tiktok.com/ZSxSp4AYc/</v>
      </c>
      <c r="O965" s="464"/>
      <c r="P965" s="279" t="str">
        <f>IFERROR(__xludf.DUMMYFUNCTION("""COMPUTED_VALUE"""),"https://vt.tiktok.com/ZSxSpYMrG/")</f>
        <v>https://vt.tiktok.com/ZSxSpYMrG/</v>
      </c>
    </row>
    <row r="966">
      <c r="A966" s="255" t="str">
        <f>IFERROR(__xludf.DUMMYFUNCTION("""COMPUTED_VALUE"""),"MICRO")</f>
        <v>MICRO</v>
      </c>
      <c r="B966" s="361" t="str">
        <f>IFERROR(__xludf.DUMMYFUNCTION("""COMPUTED_VALUE"""),"mbak.lia.kd")</f>
        <v>mbak.lia.kd</v>
      </c>
      <c r="C966" s="257" t="str">
        <f>IFERROR(__xludf.DUMMYFUNCTION("""COMPUTED_VALUE"""),"https://www.tiktok.com/@mbak.lia.kd")</f>
        <v>https://www.tiktok.com/@mbak.lia.kd</v>
      </c>
      <c r="D966" s="270"/>
      <c r="E966" s="457">
        <f>IFERROR(__xludf.DUMMYFUNCTION("""COMPUTED_VALUE"""),100000.0)</f>
        <v>100000</v>
      </c>
      <c r="F966" s="270">
        <f>IFERROR(__xludf.DUMMYFUNCTION("""COMPUTED_VALUE"""),2.0)</f>
        <v>2</v>
      </c>
      <c r="G966" s="17" t="str">
        <f>IFERROR(__xludf.DUMMYFUNCTION("""COMPUTED_VALUE"""),"Sabun batang 1 Box ( 2 PCS )")</f>
        <v>Sabun batang 1 Box ( 2 PCS )</v>
      </c>
      <c r="H966" s="463" t="str">
        <f>IFERROR(__xludf.DUMMYFUNCTION("""COMPUTED_VALUE"""),"Sampai")</f>
        <v>Sampai</v>
      </c>
      <c r="I966" s="464" t="str">
        <f>IFERROR(__xludf.DUMMYFUNCTION("""COMPUTED_VALUE"""),"KIMME")</f>
        <v>KIMME</v>
      </c>
      <c r="J966" s="279" t="str">
        <f>IFERROR(__xludf.DUMMYFUNCTION("""COMPUTED_VALUE"""),"https://vt.tiktok.com/ZSHofwMFp/")</f>
        <v>https://vt.tiktok.com/ZSHofwMFp/</v>
      </c>
      <c r="K966" s="464" t="str">
        <f>IFERROR(__xludf.DUMMYFUNCTION("""COMPUTED_VALUE"""),"KIMME")</f>
        <v>KIMME</v>
      </c>
      <c r="L966" s="279" t="str">
        <f>IFERROR(__xludf.DUMMYFUNCTION("""COMPUTED_VALUE"""),"https://vt.tiktok.com/ZSHof79XP/")</f>
        <v>https://vt.tiktok.com/ZSHof79XP/</v>
      </c>
      <c r="M966" s="464"/>
      <c r="N966" s="279" t="str">
        <f>IFERROR(__xludf.DUMMYFUNCTION("""COMPUTED_VALUE"""),"https://vt.tiktok.com/ZSxMS4YYX/")</f>
        <v>https://vt.tiktok.com/ZSxMS4YYX/</v>
      </c>
      <c r="O966" s="464"/>
      <c r="P966" s="279" t="str">
        <f>IFERROR(__xludf.DUMMYFUNCTION("""COMPUTED_VALUE"""),"https://www.tiktok.com/@kakaklin_/video/7631494924948671752")</f>
        <v>https://www.tiktok.com/@kakaklin_/video/7631494924948671752</v>
      </c>
    </row>
    <row r="967">
      <c r="A967" s="255" t="str">
        <f>IFERROR(__xludf.DUMMYFUNCTION("""COMPUTED_VALUE"""),"MICRO")</f>
        <v>MICRO</v>
      </c>
      <c r="B967" s="361" t="str">
        <f>IFERROR(__xludf.DUMMYFUNCTION("""COMPUTED_VALUE"""),"prabot.dapur4")</f>
        <v>prabot.dapur4</v>
      </c>
      <c r="C967" s="257" t="str">
        <f>IFERROR(__xludf.DUMMYFUNCTION("""COMPUTED_VALUE"""),"https://www.tiktok.com/@prabot.dapur4")</f>
        <v>https://www.tiktok.com/@prabot.dapur4</v>
      </c>
      <c r="D967" s="270"/>
      <c r="E967" s="457">
        <f>IFERROR(__xludf.DUMMYFUNCTION("""COMPUTED_VALUE"""),100000.0)</f>
        <v>100000</v>
      </c>
      <c r="F967" s="270">
        <f>IFERROR(__xludf.DUMMYFUNCTION("""COMPUTED_VALUE"""),2.0)</f>
        <v>2</v>
      </c>
      <c r="G967" s="17" t="str">
        <f>IFERROR(__xludf.DUMMYFUNCTION("""COMPUTED_VALUE"""),"Sabun batang 1 Box ( 2 PCS )")</f>
        <v>Sabun batang 1 Box ( 2 PCS )</v>
      </c>
      <c r="H967" s="463" t="str">
        <f>IFERROR(__xludf.DUMMYFUNCTION("""COMPUTED_VALUE"""),"Sampai")</f>
        <v>Sampai</v>
      </c>
      <c r="I967" s="464" t="str">
        <f>IFERROR(__xludf.DUMMYFUNCTION("""COMPUTED_VALUE"""),"KIMME")</f>
        <v>KIMME</v>
      </c>
      <c r="J967" s="279" t="str">
        <f>IFERROR(__xludf.DUMMYFUNCTION("""COMPUTED_VALUE"""),"https://vt.tiktok.com/ZSHp9rVa9/")</f>
        <v>https://vt.tiktok.com/ZSHp9rVa9/</v>
      </c>
      <c r="K967" s="464" t="str">
        <f>IFERROR(__xludf.DUMMYFUNCTION("""COMPUTED_VALUE"""),"KIMME")</f>
        <v>KIMME</v>
      </c>
      <c r="L967" s="279" t="str">
        <f>IFERROR(__xludf.DUMMYFUNCTION("""COMPUTED_VALUE"""),"https://vt.tiktok.com/ZSHv9Fhq5/")</f>
        <v>https://vt.tiktok.com/ZSHv9Fhq5/</v>
      </c>
      <c r="M967" s="464"/>
      <c r="N967" s="279" t="str">
        <f>IFERROR(__xludf.DUMMYFUNCTION("""COMPUTED_VALUE"""),"https://www.tiktok.com/@kakaklin_/video/7631563163971898642")</f>
        <v>https://www.tiktok.com/@kakaklin_/video/7631563163971898642</v>
      </c>
      <c r="O967" s="464"/>
      <c r="P967" s="279" t="str">
        <f>IFERROR(__xludf.DUMMYFUNCTION("""COMPUTED_VALUE"""),"https://www.tiktok.com/@kakaklin_/video/7631874765568986386")</f>
        <v>https://www.tiktok.com/@kakaklin_/video/7631874765568986386</v>
      </c>
    </row>
    <row r="968">
      <c r="A968" s="255" t="str">
        <f>IFERROR(__xludf.DUMMYFUNCTION("""COMPUTED_VALUE"""),"MICRO")</f>
        <v>MICRO</v>
      </c>
      <c r="B968" s="361" t="str">
        <f>IFERROR(__xludf.DUMMYFUNCTION("""COMPUTED_VALUE"""),"Msam2906")</f>
        <v>Msam2906</v>
      </c>
      <c r="C968" s="257" t="str">
        <f>IFERROR(__xludf.DUMMYFUNCTION("""COMPUTED_VALUE"""),"https://www.tiktok.com/@Msam2906")</f>
        <v>https://www.tiktok.com/@Msam2906</v>
      </c>
      <c r="D968" s="270"/>
      <c r="E968" s="457">
        <f>IFERROR(__xludf.DUMMYFUNCTION("""COMPUTED_VALUE"""),100000.0)</f>
        <v>100000</v>
      </c>
      <c r="F968" s="270">
        <f>IFERROR(__xludf.DUMMYFUNCTION("""COMPUTED_VALUE"""),2.0)</f>
        <v>2</v>
      </c>
      <c r="G968" s="17" t="str">
        <f>IFERROR(__xludf.DUMMYFUNCTION("""COMPUTED_VALUE"""),"Sabun batang 1 Box ( 2 PCS )")</f>
        <v>Sabun batang 1 Box ( 2 PCS )</v>
      </c>
      <c r="H968" s="463" t="str">
        <f>IFERROR(__xludf.DUMMYFUNCTION("""COMPUTED_VALUE"""),"Sampai")</f>
        <v>Sampai</v>
      </c>
      <c r="I968" s="464" t="str">
        <f>IFERROR(__xludf.DUMMYFUNCTION("""COMPUTED_VALUE"""),"KIMME")</f>
        <v>KIMME</v>
      </c>
      <c r="J968" s="279" t="str">
        <f>IFERROR(__xludf.DUMMYFUNCTION("""COMPUTED_VALUE"""),"https://vt.tiktok.com/ZS9GahuPL/")</f>
        <v>https://vt.tiktok.com/ZS9GahuPL/</v>
      </c>
      <c r="K968" s="464" t="str">
        <f>IFERROR(__xludf.DUMMYFUNCTION("""COMPUTED_VALUE"""),"KIMME")</f>
        <v>KIMME</v>
      </c>
      <c r="L968" s="279" t="str">
        <f>IFERROR(__xludf.DUMMYFUNCTION("""COMPUTED_VALUE"""),"https://vt.tiktok.com/ZS9npfE14/")</f>
        <v>https://vt.tiktok.com/ZS9npfE14/</v>
      </c>
      <c r="M968" s="464"/>
      <c r="N968" s="279" t="str">
        <f>IFERROR(__xludf.DUMMYFUNCTION("""COMPUTED_VALUE"""),"https://www.tiktok.com/@kakaklin_/video/7632117801511095570")</f>
        <v>https://www.tiktok.com/@kakaklin_/video/7632117801511095570</v>
      </c>
      <c r="O968" s="464"/>
      <c r="P968" s="279" t="str">
        <f>IFERROR(__xludf.DUMMYFUNCTION("""COMPUTED_VALUE"""),"https://www.tiktok.com/@kakaklin_/video/7632212180586335495")</f>
        <v>https://www.tiktok.com/@kakaklin_/video/7632212180586335495</v>
      </c>
    </row>
    <row r="969">
      <c r="A969" s="255" t="str">
        <f>IFERROR(__xludf.DUMMYFUNCTION("""COMPUTED_VALUE"""),"MICRO")</f>
        <v>MICRO</v>
      </c>
      <c r="B969" s="361" t="str">
        <f>IFERROR(__xludf.DUMMYFUNCTION("""COMPUTED_VALUE"""),"mayakh128")</f>
        <v>mayakh128</v>
      </c>
      <c r="C969" s="257" t="str">
        <f>IFERROR(__xludf.DUMMYFUNCTION("""COMPUTED_VALUE"""),"https://www.tiktok.com/@mayakh128")</f>
        <v>https://www.tiktok.com/@mayakh128</v>
      </c>
      <c r="D969" s="270"/>
      <c r="E969" s="457">
        <f>IFERROR(__xludf.DUMMYFUNCTION("""COMPUTED_VALUE"""),100000.0)</f>
        <v>100000</v>
      </c>
      <c r="F969" s="270">
        <f>IFERROR(__xludf.DUMMYFUNCTION("""COMPUTED_VALUE"""),2.0)</f>
        <v>2</v>
      </c>
      <c r="G969" s="17" t="str">
        <f>IFERROR(__xludf.DUMMYFUNCTION("""COMPUTED_VALUE"""),"Sabun batang 1 Box ( 2 PCS )")</f>
        <v>Sabun batang 1 Box ( 2 PCS )</v>
      </c>
      <c r="H969" s="463" t="str">
        <f>IFERROR(__xludf.DUMMYFUNCTION("""COMPUTED_VALUE"""),"Sampai")</f>
        <v>Sampai</v>
      </c>
      <c r="I969" s="464" t="str">
        <f>IFERROR(__xludf.DUMMYFUNCTION("""COMPUTED_VALUE"""),"KIMME")</f>
        <v>KIMME</v>
      </c>
      <c r="J969" s="279" t="str">
        <f>IFERROR(__xludf.DUMMYFUNCTION("""COMPUTED_VALUE"""),"https://vt.tiktok.com/ZS9LoK93w/")</f>
        <v>https://vt.tiktok.com/ZS9LoK93w/</v>
      </c>
      <c r="K969" s="464" t="str">
        <f>IFERROR(__xludf.DUMMYFUNCTION("""COMPUTED_VALUE"""),"KIMME")</f>
        <v>KIMME</v>
      </c>
      <c r="L969" s="279" t="str">
        <f>IFERROR(__xludf.DUMMYFUNCTION("""COMPUTED_VALUE"""),"https://vt.tiktok.com/ZS9rbsaxU/")</f>
        <v>https://vt.tiktok.com/ZS9rbsaxU/</v>
      </c>
      <c r="M969" s="464"/>
      <c r="N969" s="279" t="str">
        <f>IFERROR(__xludf.DUMMYFUNCTION("""COMPUTED_VALUE"""),"https://www.tiktok.com/@kakaklin_/video/7633638401438141703")</f>
        <v>https://www.tiktok.com/@kakaklin_/video/7633638401438141703</v>
      </c>
      <c r="O969" s="464"/>
      <c r="P969" s="279" t="str">
        <f>IFERROR(__xludf.DUMMYFUNCTION("""COMPUTED_VALUE"""),"https://www.tiktok.com/@kakaklin_/video/7633686287135853842")</f>
        <v>https://www.tiktok.com/@kakaklin_/video/7633686287135853842</v>
      </c>
    </row>
    <row r="970">
      <c r="A970" s="255" t="str">
        <f>IFERROR(__xludf.DUMMYFUNCTION("""COMPUTED_VALUE"""),"MICRO")</f>
        <v>MICRO</v>
      </c>
      <c r="B970" s="361" t="str">
        <f>IFERROR(__xludf.DUMMYFUNCTION("""COMPUTED_VALUE"""),"elshanum.zivana")</f>
        <v>elshanum.zivana</v>
      </c>
      <c r="C970" s="257" t="str">
        <f>IFERROR(__xludf.DUMMYFUNCTION("""COMPUTED_VALUE"""),"https://www.tiktok.com/@elshanum.zivana")</f>
        <v>https://www.tiktok.com/@elshanum.zivana</v>
      </c>
      <c r="D970" s="270"/>
      <c r="E970" s="457">
        <f>IFERROR(__xludf.DUMMYFUNCTION("""COMPUTED_VALUE"""),100000.0)</f>
        <v>100000</v>
      </c>
      <c r="F970" s="270">
        <f>IFERROR(__xludf.DUMMYFUNCTION("""COMPUTED_VALUE"""),2.0)</f>
        <v>2</v>
      </c>
      <c r="G970" s="17" t="str">
        <f>IFERROR(__xludf.DUMMYFUNCTION("""COMPUTED_VALUE"""),"Sabun batang 1 Box ( 2 PCS )")</f>
        <v>Sabun batang 1 Box ( 2 PCS )</v>
      </c>
      <c r="H970" s="463" t="str">
        <f>IFERROR(__xludf.DUMMYFUNCTION("""COMPUTED_VALUE"""),"Sampai")</f>
        <v>Sampai</v>
      </c>
      <c r="I970" s="464" t="str">
        <f>IFERROR(__xludf.DUMMYFUNCTION("""COMPUTED_VALUE"""),"KIMME")</f>
        <v>KIMME</v>
      </c>
      <c r="J970" s="279" t="str">
        <f>IFERROR(__xludf.DUMMYFUNCTION("""COMPUTED_VALUE"""),"https://vt.tiktok.com/ZSH3EGfJP/")</f>
        <v>https://vt.tiktok.com/ZSH3EGfJP/</v>
      </c>
      <c r="K970" s="464" t="str">
        <f>IFERROR(__xludf.DUMMYFUNCTION("""COMPUTED_VALUE"""),"KIMME")</f>
        <v>KIMME</v>
      </c>
      <c r="L970" s="279" t="str">
        <f>IFERROR(__xludf.DUMMYFUNCTION("""COMPUTED_VALUE"""),"https://vt.tiktok.com/ZSH3EGfJP/")</f>
        <v>https://vt.tiktok.com/ZSH3EGfJP/</v>
      </c>
      <c r="M970" s="464"/>
      <c r="N970" s="279" t="str">
        <f>IFERROR(__xludf.DUMMYFUNCTION("""COMPUTED_VALUE"""),"https://www.tiktok.com/@kakaklin_/video/7633802326259551496")</f>
        <v>https://www.tiktok.com/@kakaklin_/video/7633802326259551496</v>
      </c>
      <c r="O970" s="464"/>
      <c r="P970" s="279" t="str">
        <f>IFERROR(__xludf.DUMMYFUNCTION("""COMPUTED_VALUE"""),"https://www.tiktok.com/@kakaklin_/video/7633918974001958152")</f>
        <v>https://www.tiktok.com/@kakaklin_/video/7633918974001958152</v>
      </c>
    </row>
    <row r="971">
      <c r="A971" s="255" t="str">
        <f>IFERROR(__xludf.DUMMYFUNCTION("""COMPUTED_VALUE"""),"MICRO")</f>
        <v>MICRO</v>
      </c>
      <c r="B971" s="361" t="str">
        <f>IFERROR(__xludf.DUMMYFUNCTION("""COMPUTED_VALUE"""),"arlenemartha73")</f>
        <v>arlenemartha73</v>
      </c>
      <c r="C971" s="257" t="str">
        <f>IFERROR(__xludf.DUMMYFUNCTION("""COMPUTED_VALUE"""),"https://www.tiktok.com/@arlenemartha73")</f>
        <v>https://www.tiktok.com/@arlenemartha73</v>
      </c>
      <c r="D971" s="270"/>
      <c r="E971" s="457">
        <f>IFERROR(__xludf.DUMMYFUNCTION("""COMPUTED_VALUE"""),100000.0)</f>
        <v>100000</v>
      </c>
      <c r="F971" s="270">
        <f>IFERROR(__xludf.DUMMYFUNCTION("""COMPUTED_VALUE"""),2.0)</f>
        <v>2</v>
      </c>
      <c r="G971" s="17" t="str">
        <f>IFERROR(__xludf.DUMMYFUNCTION("""COMPUTED_VALUE"""),"Sabun batang 1 Box ( 2 PCS )")</f>
        <v>Sabun batang 1 Box ( 2 PCS )</v>
      </c>
      <c r="H971" s="463" t="str">
        <f>IFERROR(__xludf.DUMMYFUNCTION("""COMPUTED_VALUE"""),"Sampai")</f>
        <v>Sampai</v>
      </c>
      <c r="I971" s="464" t="str">
        <f>IFERROR(__xludf.DUMMYFUNCTION("""COMPUTED_VALUE"""),"KIMME")</f>
        <v>KIMME</v>
      </c>
      <c r="J971" s="279" t="str">
        <f>IFERROR(__xludf.DUMMYFUNCTION("""COMPUTED_VALUE"""),"https://vt.tiktok.com/ZSHpUJny7/")</f>
        <v>https://vt.tiktok.com/ZSHpUJny7/</v>
      </c>
      <c r="K971" s="464" t="str">
        <f>IFERROR(__xludf.DUMMYFUNCTION("""COMPUTED_VALUE"""),"KIMME")</f>
        <v>KIMME</v>
      </c>
      <c r="L971" s="279" t="str">
        <f>IFERROR(__xludf.DUMMYFUNCTION("""COMPUTED_VALUE"""),"https://vt.tiktok.com/ZSHpsN3aq/")</f>
        <v>https://vt.tiktok.com/ZSHpsN3aq/</v>
      </c>
      <c r="M971" s="464"/>
      <c r="N971" s="279" t="str">
        <f>IFERROR(__xludf.DUMMYFUNCTION("""COMPUTED_VALUE"""),"https://www.tiktok.com/@kakaklin_/video/7634701651135188231")</f>
        <v>https://www.tiktok.com/@kakaklin_/video/7634701651135188231</v>
      </c>
      <c r="O971" s="464"/>
      <c r="P971" s="279" t="str">
        <f>IFERROR(__xludf.DUMMYFUNCTION("""COMPUTED_VALUE"""),"https://www.tiktok.com/@kakaklin_/video/7634831077726522632")</f>
        <v>https://www.tiktok.com/@kakaklin_/video/7634831077726522632</v>
      </c>
    </row>
    <row r="972">
      <c r="A972" s="255" t="str">
        <f>IFERROR(__xludf.DUMMYFUNCTION("""COMPUTED_VALUE"""),"MICRO")</f>
        <v>MICRO</v>
      </c>
      <c r="B972" s="361" t="str">
        <f>IFERROR(__xludf.DUMMYFUNCTION("""COMPUTED_VALUE"""),"nabillaerve")</f>
        <v>nabillaerve</v>
      </c>
      <c r="C972" s="257" t="str">
        <f>IFERROR(__xludf.DUMMYFUNCTION("""COMPUTED_VALUE"""),"https://www.tiktok.com/@nabillaerve")</f>
        <v>https://www.tiktok.com/@nabillaerve</v>
      </c>
      <c r="D972" s="270"/>
      <c r="E972" s="457">
        <f>IFERROR(__xludf.DUMMYFUNCTION("""COMPUTED_VALUE"""),100000.0)</f>
        <v>100000</v>
      </c>
      <c r="F972" s="270">
        <f>IFERROR(__xludf.DUMMYFUNCTION("""COMPUTED_VALUE"""),2.0)</f>
        <v>2</v>
      </c>
      <c r="G972" s="17" t="str">
        <f>IFERROR(__xludf.DUMMYFUNCTION("""COMPUTED_VALUE"""),"Sabun batang 1 Box ( 2 PCS )")</f>
        <v>Sabun batang 1 Box ( 2 PCS )</v>
      </c>
      <c r="H972" s="463" t="str">
        <f>IFERROR(__xludf.DUMMYFUNCTION("""COMPUTED_VALUE"""),"Sampai")</f>
        <v>Sampai</v>
      </c>
      <c r="I972" s="464" t="str">
        <f>IFERROR(__xludf.DUMMYFUNCTION("""COMPUTED_VALUE"""),"KIMME")</f>
        <v>KIMME</v>
      </c>
      <c r="J972" s="279" t="str">
        <f>IFERROR(__xludf.DUMMYFUNCTION("""COMPUTED_VALUE"""),"https://vt.tiktok.com/ZS9hKfnDj/")</f>
        <v>https://vt.tiktok.com/ZS9hKfnDj/</v>
      </c>
      <c r="K972" s="464" t="str">
        <f>IFERROR(__xludf.DUMMYFUNCTION("""COMPUTED_VALUE"""),"KIMME")</f>
        <v>KIMME</v>
      </c>
      <c r="L972" s="279" t="str">
        <f>IFERROR(__xludf.DUMMYFUNCTION("""COMPUTED_VALUE"""),"https://vt.tiktok.com/ZS9hc4eYr/")</f>
        <v>https://vt.tiktok.com/ZS9hc4eYr/</v>
      </c>
      <c r="M972" s="464"/>
      <c r="N972" s="279" t="str">
        <f>IFERROR(__xludf.DUMMYFUNCTION("""COMPUTED_VALUE"""),"https://www.tiktok.com/@kakaklin_/video/7635307563763944712")</f>
        <v>https://www.tiktok.com/@kakaklin_/video/7635307563763944712</v>
      </c>
      <c r="O972" s="464"/>
      <c r="P972" s="279" t="str">
        <f>IFERROR(__xludf.DUMMYFUNCTION("""COMPUTED_VALUE"""),"https://www.tiktok.com/@kakaklin_/video/7636304353682394376")</f>
        <v>https://www.tiktok.com/@kakaklin_/video/7636304353682394376</v>
      </c>
    </row>
    <row r="973">
      <c r="A973" s="255" t="str">
        <f>IFERROR(__xludf.DUMMYFUNCTION("""COMPUTED_VALUE"""),"MICRO")</f>
        <v>MICRO</v>
      </c>
      <c r="B973" s="361" t="str">
        <f>IFERROR(__xludf.DUMMYFUNCTION("""COMPUTED_VALUE"""),"Alby200504 ")</f>
        <v>Alby200504 </v>
      </c>
      <c r="C973" s="257" t="str">
        <f>IFERROR(__xludf.DUMMYFUNCTION("""COMPUTED_VALUE"""),"https://www.tiktok.com/@Alby200504 ")</f>
        <v>https://www.tiktok.com/@Alby200504 </v>
      </c>
      <c r="D973" s="270"/>
      <c r="E973" s="457">
        <f>IFERROR(__xludf.DUMMYFUNCTION("""COMPUTED_VALUE"""),100000.0)</f>
        <v>100000</v>
      </c>
      <c r="F973" s="270">
        <f>IFERROR(__xludf.DUMMYFUNCTION("""COMPUTED_VALUE"""),2.0)</f>
        <v>2</v>
      </c>
      <c r="G973" s="17" t="str">
        <f>IFERROR(__xludf.DUMMYFUNCTION("""COMPUTED_VALUE"""),"Sabun batang 1 Box ( 2 PCS )")</f>
        <v>Sabun batang 1 Box ( 2 PCS )</v>
      </c>
      <c r="H973" s="463" t="str">
        <f>IFERROR(__xludf.DUMMYFUNCTION("""COMPUTED_VALUE"""),"Sampai")</f>
        <v>Sampai</v>
      </c>
      <c r="I973" s="464" t="str">
        <f>IFERROR(__xludf.DUMMYFUNCTION("""COMPUTED_VALUE"""),"KIMME")</f>
        <v>KIMME</v>
      </c>
      <c r="J973" s="279" t="str">
        <f>IFERROR(__xludf.DUMMYFUNCTION("""COMPUTED_VALUE"""),"https://vt.tiktok.com/ZSHtM4kBp/")</f>
        <v>https://vt.tiktok.com/ZSHtM4kBp/</v>
      </c>
      <c r="K973" s="464" t="str">
        <f>IFERROR(__xludf.DUMMYFUNCTION("""COMPUTED_VALUE"""),"KIMME")</f>
        <v>KIMME</v>
      </c>
      <c r="L973" s="279" t="str">
        <f>IFERROR(__xludf.DUMMYFUNCTION("""COMPUTED_VALUE"""),"https://vt.tiktok.com/ZSHtUpcBj/")</f>
        <v>https://vt.tiktok.com/ZSHtUpcBj/</v>
      </c>
      <c r="M973" s="464"/>
      <c r="N973" s="279" t="str">
        <f>IFERROR(__xludf.DUMMYFUNCTION("""COMPUTED_VALUE"""),"https://www.tiktok.com/@kakaklin_/video/7636564643028159752")</f>
        <v>https://www.tiktok.com/@kakaklin_/video/7636564643028159752</v>
      </c>
      <c r="O973" s="464"/>
      <c r="P973" s="279" t="str">
        <f>IFERROR(__xludf.DUMMYFUNCTION("""COMPUTED_VALUE"""),"https://www.tiktok.com/@kakaklin_/video/7636669570077560071")</f>
        <v>https://www.tiktok.com/@kakaklin_/video/7636669570077560071</v>
      </c>
    </row>
    <row r="974">
      <c r="A974" s="255" t="str">
        <f>IFERROR(__xludf.DUMMYFUNCTION("""COMPUTED_VALUE"""),"MICRO")</f>
        <v>MICRO</v>
      </c>
      <c r="B974" s="361" t="str">
        <f>IFERROR(__xludf.DUMMYFUNCTION("""COMPUTED_VALUE"""),"kaex.oe")</f>
        <v>kaex.oe</v>
      </c>
      <c r="C974" s="257" t="str">
        <f>IFERROR(__xludf.DUMMYFUNCTION("""COMPUTED_VALUE"""),"https://www.tiktok.com/@kaex.oe")</f>
        <v>https://www.tiktok.com/@kaex.oe</v>
      </c>
      <c r="D974" s="270"/>
      <c r="E974" s="457">
        <f>IFERROR(__xludf.DUMMYFUNCTION("""COMPUTED_VALUE"""),100000.0)</f>
        <v>100000</v>
      </c>
      <c r="F974" s="270">
        <f>IFERROR(__xludf.DUMMYFUNCTION("""COMPUTED_VALUE"""),2.0)</f>
        <v>2</v>
      </c>
      <c r="G974" s="17" t="str">
        <f>IFERROR(__xludf.DUMMYFUNCTION("""COMPUTED_VALUE"""),"Sabun batang 1 Box ( 2 PCS )")</f>
        <v>Sabun batang 1 Box ( 2 PCS )</v>
      </c>
      <c r="H974" s="463" t="str">
        <f>IFERROR(__xludf.DUMMYFUNCTION("""COMPUTED_VALUE"""),"Sampai")</f>
        <v>Sampai</v>
      </c>
      <c r="I974" s="464" t="str">
        <f>IFERROR(__xludf.DUMMYFUNCTION("""COMPUTED_VALUE"""),"KIMME")</f>
        <v>KIMME</v>
      </c>
      <c r="J974" s="279" t="str">
        <f>IFERROR(__xludf.DUMMYFUNCTION("""COMPUTED_VALUE"""),"https://vt.tiktok.com/ZSHWusw59/")</f>
        <v>https://vt.tiktok.com/ZSHWusw59/</v>
      </c>
      <c r="K974" s="464" t="str">
        <f>IFERROR(__xludf.DUMMYFUNCTION("""COMPUTED_VALUE"""),"KIMME")</f>
        <v>KIMME</v>
      </c>
      <c r="L974" s="279" t="str">
        <f>IFERROR(__xludf.DUMMYFUNCTION("""COMPUTED_VALUE"""),"https://vt.tiktok.com/ZSHWHMuoa/")</f>
        <v>https://vt.tiktok.com/ZSHWHMuoa/</v>
      </c>
      <c r="M974" s="464"/>
      <c r="N974" s="279" t="str">
        <f>IFERROR(__xludf.DUMMYFUNCTION("""COMPUTED_VALUE"""),"https://www.tiktok.com/@racun_spalspil12/video/7634536641243221268?_r=1&amp;u_code=cllj6j6aidf05b&amp;region=&amp;mid=7538747777314785296&amp;preview_pb=0&amp;sharer_language=&amp;_d=0&amp;ec_shared_reflux_dynamic_params=%7B%22placeholder_material_id%22%3A%227634536641243221268%22%2"&amp;"C%22placeholder_origin_cover%22%3A%22https%253A%252F%252Fp16-common-sign.tiktokcdn.com%252Ftos-alisg-p-0037%252FocDLzqfJBuf1pF5EX4hBAMcnE8IBUIRgRFTHgK~tplv-tiktokx-origin.jpeg%253Fdr%253D14572%2526refresh_token%253D7ada03e5%2526x-expires%253D1810720800%25"&amp;"26x-signature%253DOyFJxR5Ug%25252BI8L52P6clFX1N7QAw%25253D%2526t%253D4d5b0474%2526ps%253D13740610%2526shp%253Dd05b14bd%2526shcp%253D34ff8df6%2526idc%253Dmy3%2526s%253DTIKTOK_AFFILIATE_VIRAL_VIDEO%22%2C%22placeholder_product_id%22%3A%221729729730555512511%"&amp;"22%2C%22placeholder_video_id%22%3A%227634536641243221268%22%7D&amp;ec_shared_reflux_scene=shop_tab_feed&amp;share_item_id=7634536641243221268&amp;source=h5_t")</f>
        <v>https://www.tiktok.com/@racun_spalspil12/video/7634536641243221268?_r=1&amp;u_code=cllj6j6aidf05b&amp;region=&amp;mid=7538747777314785296&amp;preview_pb=0&amp;sharer_language=&amp;_d=0&amp;ec_shared_reflux_dynamic_params=%7B%22placeholder_material_id%22%3A%227634536641243221268%22%2C%22placeholder_origin_cover%22%3A%22https%253A%252F%252Fp16-common-sign.tiktokcdn.com%252Ftos-alisg-p-0037%252FocDLzqfJBuf1pF5EX4hBAMcnE8IBUIRgRFTHgK~tplv-tiktokx-origin.jpeg%253Fdr%253D14572%2526refresh_token%253D7ada03e5%2526x-expires%253D1810720800%2526x-signature%253DOyFJxR5Ug%25252BI8L52P6clFX1N7QAw%25253D%2526t%253D4d5b0474%2526ps%253D13740610%2526shp%253Dd05b14bd%2526shcp%253D34ff8df6%2526idc%253Dmy3%2526s%253DTIKTOK_AFFILIATE_VIRAL_VIDEO%22%2C%22placeholder_product_id%22%3A%221729729730555512511%22%2C%22placeholder_video_id%22%3A%227634536641243221268%22%7D&amp;ec_shared_reflux_scene=shop_tab_feed&amp;share_item_id=7634536641243221268&amp;source=h5_t</v>
      </c>
      <c r="O974" s="464"/>
      <c r="P974" s="279" t="str">
        <f>IFERROR(__xludf.DUMMYFUNCTION("""COMPUTED_VALUE"""),"https://www.tiktok.com/@racun_spalspil12/video/7634537710018907413?_r=1&amp;u_code=cllj6j6aidf05b&amp;region=&amp;mid=7624353502927604487&amp;preview_pb=0&amp;sharer_language=&amp;_d=0&amp;ec_shared_reflux_dynamic_params=%7B%22placeholder_material_id%22%3A%227634537710018907413%22%2"&amp;"C%22placeholder_origin_cover%22%3A%22https%253A%252F%252Fp16-common-sign.tiktokcdn.com%252Ftos-alisg-p-0037%252FoEfVg4IGfqeDyhAGUTqzIJEg6KLYJjA5TxCuhA~tplv-tiktokx-origin.jpeg%253Fdr%253D14572%2526refresh_token%253D746153a4%2526x-expires%253D1810720800%25"&amp;"26x-signature%253DDEaiToNS6lsp5eSOBqUII1f9eoo%25253D%2526t%253D4d5b0474%2526ps%253D13740610%2526shp%253Dd05b14bd%2526shcp%253D34ff8df6%2526idc%253Dmy3%2526s%253DTIKTOK_AFFILIATE_VIRAL_VIDEO%22%2C%22placeholder_product_id%22%3A%221729729730555512511%22%2C%"&amp;"22placeholder_video_id%22%3A%227634537710018907413%22%7D&amp;ec_shared_reflux_scene=shop_tab_feed&amp;share_item_id=7634537710018907413&amp;source=h5_t")</f>
        <v>https://www.tiktok.com/@racun_spalspil12/video/7634537710018907413?_r=1&amp;u_code=cllj6j6aidf05b&amp;region=&amp;mid=7624353502927604487&amp;preview_pb=0&amp;sharer_language=&amp;_d=0&amp;ec_shared_reflux_dynamic_params=%7B%22placeholder_material_id%22%3A%227634537710018907413%22%2C%22placeholder_origin_cover%22%3A%22https%253A%252F%252Fp16-common-sign.tiktokcdn.com%252Ftos-alisg-p-0037%252FoEfVg4IGfqeDyhAGUTqzIJEg6KLYJjA5TxCuhA~tplv-tiktokx-origin.jpeg%253Fdr%253D14572%2526refresh_token%253D746153a4%2526x-expires%253D1810720800%2526x-signature%253DDEaiToNS6lsp5eSOBqUII1f9eoo%25253D%2526t%253D4d5b0474%2526ps%253D13740610%2526shp%253Dd05b14bd%2526shcp%253D34ff8df6%2526idc%253Dmy3%2526s%253DTIKTOK_AFFILIATE_VIRAL_VIDEO%22%2C%22placeholder_product_id%22%3A%221729729730555512511%22%2C%22placeholder_video_id%22%3A%227634537710018907413%22%7D&amp;ec_shared_reflux_scene=shop_tab_feed&amp;share_item_id=7634537710018907413&amp;source=h5_t</v>
      </c>
    </row>
    <row r="975">
      <c r="A975" s="255" t="str">
        <f>IFERROR(__xludf.DUMMYFUNCTION("""COMPUTED_VALUE"""),"MICRO")</f>
        <v>MICRO</v>
      </c>
      <c r="B975" s="361" t="str">
        <f>IFERROR(__xludf.DUMMYFUNCTION("""COMPUTED_VALUE"""),"happyshopping.96")</f>
        <v>happyshopping.96</v>
      </c>
      <c r="C975" s="257" t="str">
        <f>IFERROR(__xludf.DUMMYFUNCTION("""COMPUTED_VALUE"""),"https://www.tiktok.com/@happyshopping.96")</f>
        <v>https://www.tiktok.com/@happyshopping.96</v>
      </c>
      <c r="D975" s="270"/>
      <c r="E975" s="457">
        <f>IFERROR(__xludf.DUMMYFUNCTION("""COMPUTED_VALUE"""),100000.0)</f>
        <v>100000</v>
      </c>
      <c r="F975" s="270">
        <f>IFERROR(__xludf.DUMMYFUNCTION("""COMPUTED_VALUE"""),2.0)</f>
        <v>2</v>
      </c>
      <c r="G975" s="17" t="str">
        <f>IFERROR(__xludf.DUMMYFUNCTION("""COMPUTED_VALUE"""),"Sabun batang 1 Box ( 2 PCS )")</f>
        <v>Sabun batang 1 Box ( 2 PCS )</v>
      </c>
      <c r="H975" s="463" t="str">
        <f>IFERROR(__xludf.DUMMYFUNCTION("""COMPUTED_VALUE"""),"Sampai")</f>
        <v>Sampai</v>
      </c>
      <c r="I975" s="464" t="str">
        <f>IFERROR(__xludf.DUMMYFUNCTION("""COMPUTED_VALUE"""),"KIMME")</f>
        <v>KIMME</v>
      </c>
      <c r="J975" s="279" t="str">
        <f>IFERROR(__xludf.DUMMYFUNCTION("""COMPUTED_VALUE"""),"https://vt.tiktok.com/ZSHTLRrJk/")</f>
        <v>https://vt.tiktok.com/ZSHTLRrJk/</v>
      </c>
      <c r="K975" s="464" t="str">
        <f>IFERROR(__xludf.DUMMYFUNCTION("""COMPUTED_VALUE"""),"KIMME")</f>
        <v>KIMME</v>
      </c>
      <c r="L975" s="279" t="str">
        <f>IFERROR(__xludf.DUMMYFUNCTION("""COMPUTED_VALUE"""),"https://vt.tiktok.com/ZSHwwaNnS/")</f>
        <v>https://vt.tiktok.com/ZSHwwaNnS/</v>
      </c>
      <c r="M975" s="464"/>
      <c r="N975" s="279" t="str">
        <f>IFERROR(__xludf.DUMMYFUNCTION("""COMPUTED_VALUE"""),"https://www.tiktok.com/@racun_spalspil12/video/7634538057345027349?_r=1&amp;u_code=cllj6j6aidf05b&amp;region=&amp;mid=7626899689086520072&amp;preview_pb=0&amp;sharer_language=&amp;_d=0&amp;ec_shared_reflux_dynamic_params=%7B%22placeholder_material_id%22%3A%227634538057345027349%22%2"&amp;"C%22placeholder_origin_cover%22%3A%22https%253A%252F%252Fp16-common-sign.tiktokcdn.com%252Ftos-alisg-p-0037%252FocPISpWfQrzI4r5CemTGeDWjdnALF0qAHcbTQU~tplv-tiktokx-origin.jpeg%253Fdr%253D14572%2526refresh_token%253D24a79ec8%2526x-expires%253D1810720800%25"&amp;"26x-signature%253DZ1SwXdQ1bI8vmxLCCWuRBsAQV2w%25253D%2526t%253D4d5b0474%2526ps%253D13740610%2526shp%253Dd05b14bd%2526shcp%253D34ff8df6%2526idc%253Dmy3%2526s%253DTIKTOK_AFFILIATE_VIRAL_VIDEO%22%2C%22placeholder_product_id%22%3A%221729729730555512511%22%2C%"&amp;"22placeholder_video_id%22%3A%227634538057345027349%22%7D&amp;ec_shared_reflux_scene=shop_tab_feed&amp;share_item_id=7634538057345027349&amp;source=h5_t")</f>
        <v>https://www.tiktok.com/@racun_spalspil12/video/7634538057345027349?_r=1&amp;u_code=cllj6j6aidf05b&amp;region=&amp;mid=7626899689086520072&amp;preview_pb=0&amp;sharer_language=&amp;_d=0&amp;ec_shared_reflux_dynamic_params=%7B%22placeholder_material_id%22%3A%227634538057345027349%22%2C%22placeholder_origin_cover%22%3A%22https%253A%252F%252Fp16-common-sign.tiktokcdn.com%252Ftos-alisg-p-0037%252FocPISpWfQrzI4r5CemTGeDWjdnALF0qAHcbTQU~tplv-tiktokx-origin.jpeg%253Fdr%253D14572%2526refresh_token%253D24a79ec8%2526x-expires%253D1810720800%2526x-signature%253DZ1SwXdQ1bI8vmxLCCWuRBsAQV2w%25253D%2526t%253D4d5b0474%2526ps%253D13740610%2526shp%253Dd05b14bd%2526shcp%253D34ff8df6%2526idc%253Dmy3%2526s%253DTIKTOK_AFFILIATE_VIRAL_VIDEO%22%2C%22placeholder_product_id%22%3A%221729729730555512511%22%2C%22placeholder_video_id%22%3A%227634538057345027349%22%7D&amp;ec_shared_reflux_scene=shop_tab_feed&amp;share_item_id=7634538057345027349&amp;source=h5_t</v>
      </c>
      <c r="O975" s="464"/>
      <c r="P975" s="279" t="str">
        <f>IFERROR(__xludf.DUMMYFUNCTION("""COMPUTED_VALUE"""),"https://www.tiktok.com/@racun_spalspil12/video/7634538878317251861?_r=1&amp;u_code=cllj6j6aidf05b&amp;region=&amp;mid=7622622325444545300&amp;preview_pb=0&amp;sharer_language=&amp;_d=0&amp;ec_shared_reflux_dynamic_params=%7B%22placeholder_material_id%22%3A%227634538878317251861%22%2"&amp;"C%22placeholder_origin_cover%22%3A%22https%253A%252F%252Fp16-common-sign.tiktokcdn.com%252Ftos-alisg-p-0037%252FogxRBBcDpBV3klsFEqh1RAIfEBvzf8XggRILD2~tplv-tiktokx-origin.jpeg%253Fdr%253D14572%2526refresh_token%253De61a3036%2526x-expires%253D1810720800%25"&amp;"26x-signature%253D96X%25252BueKneTIc5sPEIdbBkFL9%25252FGM%25253D%2526t%253D4d5b0474%2526ps%253D13740610%2526shp%253Dd05b14bd%2526shcp%253D34ff8df6%2526idc%253Dmy3%2526s%253DTIKTOK_AFFILIATE_VIRAL_VIDEO%22%2C%22placeholder_product_id%22%3A%2217297297305555"&amp;"12511%22%2C%22placeholder_video_id%22%3A%227634538878317251861%22%7D&amp;ec_shared_reflux_scene=shop_tab_feed&amp;share_item_id=7634538878317251861&amp;source=h5_t")</f>
        <v>https://www.tiktok.com/@racun_spalspil12/video/7634538878317251861?_r=1&amp;u_code=cllj6j6aidf05b&amp;region=&amp;mid=7622622325444545300&amp;preview_pb=0&amp;sharer_language=&amp;_d=0&amp;ec_shared_reflux_dynamic_params=%7B%22placeholder_material_id%22%3A%227634538878317251861%22%2C%22placeholder_origin_cover%22%3A%22https%253A%252F%252Fp16-common-sign.tiktokcdn.com%252Ftos-alisg-p-0037%252FogxRBBcDpBV3klsFEqh1RAIfEBvzf8XggRILD2~tplv-tiktokx-origin.jpeg%253Fdr%253D14572%2526refresh_token%253De61a3036%2526x-expires%253D1810720800%2526x-signature%253D96X%25252BueKneTIc5sPEIdbBkFL9%25252FGM%25253D%2526t%253D4d5b0474%2526ps%253D13740610%2526shp%253Dd05b14bd%2526shcp%253D34ff8df6%2526idc%253Dmy3%2526s%253DTIKTOK_AFFILIATE_VIRAL_VIDEO%22%2C%22placeholder_product_id%22%3A%221729729730555512511%22%2C%22placeholder_video_id%22%3A%227634538878317251861%22%7D&amp;ec_shared_reflux_scene=shop_tab_feed&amp;share_item_id=7634538878317251861&amp;source=h5_t</v>
      </c>
    </row>
    <row r="976">
      <c r="A976" s="255" t="str">
        <f>IFERROR(__xludf.DUMMYFUNCTION("""COMPUTED_VALUE"""),"MICRO")</f>
        <v>MICRO</v>
      </c>
      <c r="B976" s="361" t="str">
        <f>IFERROR(__xludf.DUMMYFUNCTION("""COMPUTED_VALUE"""),"Putrilotus22")</f>
        <v>Putrilotus22</v>
      </c>
      <c r="C976" s="257" t="str">
        <f>IFERROR(__xludf.DUMMYFUNCTION("""COMPUTED_VALUE"""),"https://www.tiktok.com/@Putrilotus22")</f>
        <v>https://www.tiktok.com/@Putrilotus22</v>
      </c>
      <c r="D976" s="270"/>
      <c r="E976" s="457">
        <f>IFERROR(__xludf.DUMMYFUNCTION("""COMPUTED_VALUE"""),100000.0)</f>
        <v>100000</v>
      </c>
      <c r="F976" s="270">
        <f>IFERROR(__xludf.DUMMYFUNCTION("""COMPUTED_VALUE"""),2.0)</f>
        <v>2</v>
      </c>
      <c r="G976" s="17" t="str">
        <f>IFERROR(__xludf.DUMMYFUNCTION("""COMPUTED_VALUE"""),"Sabun batang 1 Box ( 2 PCS )")</f>
        <v>Sabun batang 1 Box ( 2 PCS )</v>
      </c>
      <c r="H976" s="463" t="str">
        <f>IFERROR(__xludf.DUMMYFUNCTION("""COMPUTED_VALUE"""),"Sampai")</f>
        <v>Sampai</v>
      </c>
      <c r="I976" s="464" t="str">
        <f>IFERROR(__xludf.DUMMYFUNCTION("""COMPUTED_VALUE"""),"KIMME")</f>
        <v>KIMME</v>
      </c>
      <c r="J976" s="279" t="str">
        <f>IFERROR(__xludf.DUMMYFUNCTION("""COMPUTED_VALUE"""),"https://vt.tiktok.com/ZSH7vQvTR/")</f>
        <v>https://vt.tiktok.com/ZSH7vQvTR/</v>
      </c>
      <c r="K976" s="464" t="str">
        <f>IFERROR(__xludf.DUMMYFUNCTION("""COMPUTED_VALUE"""),"KIMME")</f>
        <v>KIMME</v>
      </c>
      <c r="L976" s="279" t="str">
        <f>IFERROR(__xludf.DUMMYFUNCTION("""COMPUTED_VALUE"""),"https://vt.tiktok.com/ZSH7chy4C/")</f>
        <v>https://vt.tiktok.com/ZSH7chy4C/</v>
      </c>
      <c r="M976" s="464"/>
      <c r="N976" s="279" t="str">
        <f>IFERROR(__xludf.DUMMYFUNCTION("""COMPUTED_VALUE"""),"https://www.tiktok.com/@racun_spalspil12/video/7634538432206834965?_r=1&amp;u_code=cllj6j6aidf05b&amp;region=&amp;mid=7622900823151889172&amp;preview_pb=0&amp;sharer_language=&amp;_d=0&amp;ec_shared_reflux_dynamic_params=%7B%22placeholder_material_id%22%3A%227634538432206834965%22%2"&amp;"C%22placeholder_origin_cover%22%3A%22https%253A%252F%252Fp16-common-sign.tiktokcdn.com%252Ftos-alisg-p-0037%252FowGQCDcDpBVnDiEFExo1nAQMEB9zf8kgURQEfX~tplv-tiktokx-origin.jpeg%253Fdr%253D14572%2526refresh_token%253D0fcaa1a2%2526x-expires%253D1810720800%25"&amp;"26x-signature%253DgqOMZROx3xIf7QIlrf2Vykbcehk%25253D%2526t%253D4d5b0474%2526ps%253D13740610%2526shp%253Dd05b14bd%2526shcp%253D34ff8df6%2526idc%253Dmy3%2526s%253DTIKTOK_AFFILIATE_VIRAL_VIDEO%22%2C%22placeholder_product_id%22%3A%221729729730555512511%22%2C%"&amp;"22placeholder_video_id%22%3A%227634538432206834965%22%7D&amp;ec_shared_reflux_scene=shop_tab_feed&amp;share_item_id=7634538432206834965&amp;source=h5_t")</f>
        <v>https://www.tiktok.com/@racun_spalspil12/video/7634538432206834965?_r=1&amp;u_code=cllj6j6aidf05b&amp;region=&amp;mid=7622900823151889172&amp;preview_pb=0&amp;sharer_language=&amp;_d=0&amp;ec_shared_reflux_dynamic_params=%7B%22placeholder_material_id%22%3A%227634538432206834965%22%2C%22placeholder_origin_cover%22%3A%22https%253A%252F%252Fp16-common-sign.tiktokcdn.com%252Ftos-alisg-p-0037%252FowGQCDcDpBVnDiEFExo1nAQMEB9zf8kgURQEfX~tplv-tiktokx-origin.jpeg%253Fdr%253D14572%2526refresh_token%253D0fcaa1a2%2526x-expires%253D1810720800%2526x-signature%253DgqOMZROx3xIf7QIlrf2Vykbcehk%25253D%2526t%253D4d5b0474%2526ps%253D13740610%2526shp%253Dd05b14bd%2526shcp%253D34ff8df6%2526idc%253Dmy3%2526s%253DTIKTOK_AFFILIATE_VIRAL_VIDEO%22%2C%22placeholder_product_id%22%3A%221729729730555512511%22%2C%22placeholder_video_id%22%3A%227634538432206834965%22%7D&amp;ec_shared_reflux_scene=shop_tab_feed&amp;share_item_id=7634538432206834965&amp;source=h5_t</v>
      </c>
      <c r="O976" s="464"/>
      <c r="P976" s="279" t="str">
        <f>IFERROR(__xludf.DUMMYFUNCTION("""COMPUTED_VALUE"""),"https://www.tiktok.com/@racun_spalspil12/video/7634539515155107093?_r=1&amp;u_code=cllj6j6aidf05b&amp;region=&amp;mid=7604473397582940177&amp;preview_pb=0&amp;sharer_language=&amp;_d=0&amp;ec_shared_reflux_dynamic_params=%7B%22placeholder_material_id%22%3A%227634539515155107093%22%2"&amp;"C%22placeholder_origin_cover%22%3A%22https%253A%252F%252Fp16-common-sign.tiktokcdn.com%252Ftos-alisg-p-0037%252FowuWASvBuI83Ix0CmVKI3fXNzAUAjiVriCMKIw~tplv-tiktokx-origin.jpeg%253Fdr%253D14572%2526refresh_token%253D9281479b%2526x-expires%253D1810720800%25"&amp;"26x-signature%253DzfFD2He3NN00RrT7pOW7SSjKVC8%25253D%2526t%253D4d5b0474%2526ps%253D13740610%2526shp%253Dd05b14bd%2526shcp%253D34ff8df6%2526idc%253Dmy3%2526s%253DTIKTOK_AFFILIATE_VIRAL_VIDEO%22%2C%22placeholder_product_id%22%3A%221729729730555512511%22%2C%"&amp;"22placeholder_video_id%22%3A%227634539515155107093%22%7D&amp;ec_shared_reflux_scene=shop_tab_feed&amp;share_item_id=7634539515155107093&amp;source=h5_t")</f>
        <v>https://www.tiktok.com/@racun_spalspil12/video/7634539515155107093?_r=1&amp;u_code=cllj6j6aidf05b&amp;region=&amp;mid=7604473397582940177&amp;preview_pb=0&amp;sharer_language=&amp;_d=0&amp;ec_shared_reflux_dynamic_params=%7B%22placeholder_material_id%22%3A%227634539515155107093%22%2C%22placeholder_origin_cover%22%3A%22https%253A%252F%252Fp16-common-sign.tiktokcdn.com%252Ftos-alisg-p-0037%252FowuWASvBuI83Ix0CmVKI3fXNzAUAjiVriCMKIw~tplv-tiktokx-origin.jpeg%253Fdr%253D14572%2526refresh_token%253D9281479b%2526x-expires%253D1810720800%2526x-signature%253DzfFD2He3NN00RrT7pOW7SSjKVC8%25253D%2526t%253D4d5b0474%2526ps%253D13740610%2526shp%253Dd05b14bd%2526shcp%253D34ff8df6%2526idc%253Dmy3%2526s%253DTIKTOK_AFFILIATE_VIRAL_VIDEO%22%2C%22placeholder_product_id%22%3A%221729729730555512511%22%2C%22placeholder_video_id%22%3A%227634539515155107093%22%7D&amp;ec_shared_reflux_scene=shop_tab_feed&amp;share_item_id=7634539515155107093&amp;source=h5_t</v>
      </c>
    </row>
    <row r="977">
      <c r="A977" s="255" t="str">
        <f>IFERROR(__xludf.DUMMYFUNCTION("""COMPUTED_VALUE"""),"MICRO")</f>
        <v>MICRO</v>
      </c>
      <c r="B977" s="361" t="str">
        <f>IFERROR(__xludf.DUMMYFUNCTION("""COMPUTED_VALUE"""),"ranimaelani_25")</f>
        <v>ranimaelani_25</v>
      </c>
      <c r="C977" s="257" t="str">
        <f>IFERROR(__xludf.DUMMYFUNCTION("""COMPUTED_VALUE"""),"https://www.tiktok.com/@ranimaelani_25")</f>
        <v>https://www.tiktok.com/@ranimaelani_25</v>
      </c>
      <c r="D977" s="270"/>
      <c r="E977" s="457">
        <f>IFERROR(__xludf.DUMMYFUNCTION("""COMPUTED_VALUE"""),100000.0)</f>
        <v>100000</v>
      </c>
      <c r="F977" s="270">
        <f>IFERROR(__xludf.DUMMYFUNCTION("""COMPUTED_VALUE"""),2.0)</f>
        <v>2</v>
      </c>
      <c r="G977" s="17" t="str">
        <f>IFERROR(__xludf.DUMMYFUNCTION("""COMPUTED_VALUE"""),"Sabun batang 1 Box ( 2 PCS )")</f>
        <v>Sabun batang 1 Box ( 2 PCS )</v>
      </c>
      <c r="H977" s="463" t="str">
        <f>IFERROR(__xludf.DUMMYFUNCTION("""COMPUTED_VALUE"""),"Sampai")</f>
        <v>Sampai</v>
      </c>
      <c r="I977" s="464" t="str">
        <f>IFERROR(__xludf.DUMMYFUNCTION("""COMPUTED_VALUE"""),"KIMME")</f>
        <v>KIMME</v>
      </c>
      <c r="J977" s="279" t="str">
        <f>IFERROR(__xludf.DUMMYFUNCTION("""COMPUTED_VALUE"""),"https://vt.tiktok.com/ZSHwsE5CK/")</f>
        <v>https://vt.tiktok.com/ZSHwsE5CK/</v>
      </c>
      <c r="K977" s="464" t="str">
        <f>IFERROR(__xludf.DUMMYFUNCTION("""COMPUTED_VALUE"""),"KIMME")</f>
        <v>KIMME</v>
      </c>
      <c r="L977" s="279" t="str">
        <f>IFERROR(__xludf.DUMMYFUNCTION("""COMPUTED_VALUE"""),"https://vt.tiktok.com/ZS9rKWxwm/")</f>
        <v>https://vt.tiktok.com/ZS9rKWxwm/</v>
      </c>
      <c r="M977" s="464"/>
      <c r="N977" s="279" t="str">
        <f>IFERROR(__xludf.DUMMYFUNCTION("""COMPUTED_VALUE"""),"https://www.tiktok.com/@racun_spalspil12/video/7636477701569711381?_r=1&amp;u_code=cllj6j6aidf05b&amp;region=&amp;mid=7514003816174454785&amp;preview_pb=0&amp;sharer_language=&amp;_d=0&amp;ec_shared_reflux_dynamic_params=%7B%22placeholder_material_id%22%3A%227636477701569711381%22%2"&amp;"C%22placeholder_origin_cover%22%3A%22https%253A%252F%252Fp16-common-sign.tiktokcdn.com%252Ftos-alisg-p-0037%252FoYnDfADpFFQu9O6FMj15ACRIrenII4CfATGJJE~tplv-tiktokx-origin.jpeg%253Fdr%253D14572%2526refresh_token%253D41c77eed%2526x-expires%253D1810720800%25"&amp;"26x-signature%253D5nW4PIFcH2IDfYBqYMeqiszGEy0%25253D%2526t%253D4d5b0474%2526ps%253D13740610%2526shp%253Dd05b14bd%2526shcp%253D34ff8df6%2526idc%253Dmy3%2526s%253DTIKTOK_AFFILIATE_VIRAL_VIDEO%22%2C%22placeholder_product_id%22%3A%221729729730555512511%22%2C%"&amp;"22placeholder_video_id%22%3A%227636477701569711381%22%7D&amp;ec_shared_reflux_scene=shop_tab_feed&amp;share_item_id=7636477701569711381&amp;source=h5_t")</f>
        <v>https://www.tiktok.com/@racun_spalspil12/video/7636477701569711381?_r=1&amp;u_code=cllj6j6aidf05b&amp;region=&amp;mid=7514003816174454785&amp;preview_pb=0&amp;sharer_language=&amp;_d=0&amp;ec_shared_reflux_dynamic_params=%7B%22placeholder_material_id%22%3A%227636477701569711381%22%2C%22placeholder_origin_cover%22%3A%22https%253A%252F%252Fp16-common-sign.tiktokcdn.com%252Ftos-alisg-p-0037%252FoYnDfADpFFQu9O6FMj15ACRIrenII4CfATGJJE~tplv-tiktokx-origin.jpeg%253Fdr%253D14572%2526refresh_token%253D41c77eed%2526x-expires%253D1810720800%2526x-signature%253D5nW4PIFcH2IDfYBqYMeqiszGEy0%25253D%2526t%253D4d5b0474%2526ps%253D13740610%2526shp%253Dd05b14bd%2526shcp%253D34ff8df6%2526idc%253Dmy3%2526s%253DTIKTOK_AFFILIATE_VIRAL_VIDEO%22%2C%22placeholder_product_id%22%3A%221729729730555512511%22%2C%22placeholder_video_id%22%3A%227636477701569711381%22%7D&amp;ec_shared_reflux_scene=shop_tab_feed&amp;share_item_id=7636477701569711381&amp;source=h5_t</v>
      </c>
      <c r="O977" s="464"/>
      <c r="P977" s="279" t="str">
        <f>IFERROR(__xludf.DUMMYFUNCTION("""COMPUTED_VALUE"""),"https://www.tiktok.com/@racun_spalspil12/video/7636478333856845077?_r=1&amp;u_code=cllj6j6aidf05b&amp;region=&amp;mid=7615505674093234177&amp;preview_pb=0&amp;sharer_language=&amp;_d=0&amp;ec_shared_reflux_dynamic_params=%7B%22placeholder_material_id%22%3A%227636478333856845077%22%2"&amp;"C%22placeholder_origin_cover%22%3A%22https%253A%252F%252Fp16-common-sign.tiktokcdn.com%252Ftos-alisg-p-0037%252FoojrPDBfA8OIZBJTEj4FEi7eIC9fD3x65ADOIi~tplv-tiktokx-origin.jpeg%253Fdr%253D14572%2526refresh_token%253D22e1654c%2526x-expires%253D1810720800%25"&amp;"26x-signature%253DwMy5fmRlh3P%25252BWrdZX6Ih8ZqzFXg%25253D%2526t%253D4d5b0474%2526ps%253D13740610%2526shp%253Dd05b14bd%2526shcp%253D34ff8df6%2526idc%253Dmy3%2526s%253DTIKTOK_AFFILIATE_VIRAL_VIDEO%22%2C%22placeholder_product_id%22%3A%221729729730555512511%"&amp;"22%2C%22placeholder_video_id%22%3A%227636478333856845077%22%7D&amp;ec_shared_reflux_scene=shop_tab_feed&amp;share_item_id=7636478333856845077&amp;source=h5_t")</f>
        <v>https://www.tiktok.com/@racun_spalspil12/video/7636478333856845077?_r=1&amp;u_code=cllj6j6aidf05b&amp;region=&amp;mid=7615505674093234177&amp;preview_pb=0&amp;sharer_language=&amp;_d=0&amp;ec_shared_reflux_dynamic_params=%7B%22placeholder_material_id%22%3A%227636478333856845077%22%2C%22placeholder_origin_cover%22%3A%22https%253A%252F%252Fp16-common-sign.tiktokcdn.com%252Ftos-alisg-p-0037%252FoojrPDBfA8OIZBJTEj4FEi7eIC9fD3x65ADOIi~tplv-tiktokx-origin.jpeg%253Fdr%253D14572%2526refresh_token%253D22e1654c%2526x-expires%253D1810720800%2526x-signature%253DwMy5fmRlh3P%25252BWrdZX6Ih8ZqzFXg%25253D%2526t%253D4d5b0474%2526ps%253D13740610%2526shp%253Dd05b14bd%2526shcp%253D34ff8df6%2526idc%253Dmy3%2526s%253DTIKTOK_AFFILIATE_VIRAL_VIDEO%22%2C%22placeholder_product_id%22%3A%221729729730555512511%22%2C%22placeholder_video_id%22%3A%227636478333856845077%22%7D&amp;ec_shared_reflux_scene=shop_tab_feed&amp;share_item_id=7636478333856845077&amp;source=h5_t</v>
      </c>
    </row>
    <row r="978">
      <c r="A978" s="255" t="str">
        <f>IFERROR(__xludf.DUMMYFUNCTION("""COMPUTED_VALUE"""),"MICRO")</f>
        <v>MICRO</v>
      </c>
      <c r="B978" s="361" t="str">
        <f>IFERROR(__xludf.DUMMYFUNCTION("""COMPUTED_VALUE"""),"berrybabe.id")</f>
        <v>berrybabe.id</v>
      </c>
      <c r="C978" s="257" t="str">
        <f>IFERROR(__xludf.DUMMYFUNCTION("""COMPUTED_VALUE"""),"https://www.tiktok.com/@berrybabe.id")</f>
        <v>https://www.tiktok.com/@berrybabe.id</v>
      </c>
      <c r="D978" s="270"/>
      <c r="E978" s="457">
        <f>IFERROR(__xludf.DUMMYFUNCTION("""COMPUTED_VALUE"""),100000.0)</f>
        <v>100000</v>
      </c>
      <c r="F978" s="270">
        <f>IFERROR(__xludf.DUMMYFUNCTION("""COMPUTED_VALUE"""),2.0)</f>
        <v>2</v>
      </c>
      <c r="G978" s="17" t="str">
        <f>IFERROR(__xludf.DUMMYFUNCTION("""COMPUTED_VALUE"""),"Sabun batang 1 Box ( 2 PCS )")</f>
        <v>Sabun batang 1 Box ( 2 PCS )</v>
      </c>
      <c r="H978" s="463" t="str">
        <f>IFERROR(__xludf.DUMMYFUNCTION("""COMPUTED_VALUE"""),"Sampai")</f>
        <v>Sampai</v>
      </c>
      <c r="I978" s="464" t="str">
        <f>IFERROR(__xludf.DUMMYFUNCTION("""COMPUTED_VALUE"""),"KIMME")</f>
        <v>KIMME</v>
      </c>
      <c r="J978" s="279" t="str">
        <f>IFERROR(__xludf.DUMMYFUNCTION("""COMPUTED_VALUE"""),"https://vt.tiktok.com/ZSH3n4Xap/")</f>
        <v>https://vt.tiktok.com/ZSH3n4Xap/</v>
      </c>
      <c r="K978" s="464" t="str">
        <f>IFERROR(__xludf.DUMMYFUNCTION("""COMPUTED_VALUE"""),"KIMME")</f>
        <v>KIMME</v>
      </c>
      <c r="L978" s="279" t="str">
        <f>IFERROR(__xludf.DUMMYFUNCTION("""COMPUTED_VALUE"""),"https://vt.tiktok.com/ZSH3no25s/")</f>
        <v>https://vt.tiktok.com/ZSH3no25s/</v>
      </c>
      <c r="M978" s="464"/>
      <c r="N978" s="279" t="str">
        <f>IFERROR(__xludf.DUMMYFUNCTION("""COMPUTED_VALUE"""),"https://www.tiktok.com/@racun_spalspil12/video/7636478890784984340?_r=1&amp;u_code=cllj6j6aidf05b&amp;region=&amp;mid=7631490590651468565&amp;preview_pb=0&amp;sharer_language=&amp;_d=0&amp;ec_shared_reflux_dynamic_params=%7B%22placeholder_material_id%22%3A%227636478890784984340%22%2"&amp;"C%22placeholder_origin_cover%22%3A%22https%253A%252F%252Fp16-common-sign.tiktokcdn.com%252Ftos-alisg-p-0037%252FoEpmIZA0AwoIFjI3xiUSPBhA6ujBfiy4ourOPC~tplv-tiktokx-origin.jpeg%253Fdr%253D14572%2526refresh_token%253D1d8562f4%2526x-expires%253D1810720800%25"&amp;"26x-signature%253DJFlR0w8tYwlTOuk2k5uG2%25252B82V80%25253D%2526t%253D4d5b0474%2526ps%253D13740610%2526shp%253Dd05b14bd%2526shcp%253D34ff8df6%2526idc%253Dmy3%2526s%253DTIKTOK_AFFILIATE_VIRAL_VIDEO%22%2C%22placeholder_product_id%22%3A%221729729730555512511%"&amp;"22%2C%22placeholder_video_id%22%3A%227636478890784984340%22%7D&amp;ec_shared_reflux_scene=shop_tab_feed&amp;share_item_id=7636478890784984340&amp;source=h5_t")</f>
        <v>https://www.tiktok.com/@racun_spalspil12/video/7636478890784984340?_r=1&amp;u_code=cllj6j6aidf05b&amp;region=&amp;mid=7631490590651468565&amp;preview_pb=0&amp;sharer_language=&amp;_d=0&amp;ec_shared_reflux_dynamic_params=%7B%22placeholder_material_id%22%3A%227636478890784984340%22%2C%22placeholder_origin_cover%22%3A%22https%253A%252F%252Fp16-common-sign.tiktokcdn.com%252Ftos-alisg-p-0037%252FoEpmIZA0AwoIFjI3xiUSPBhA6ujBfiy4ourOPC~tplv-tiktokx-origin.jpeg%253Fdr%253D14572%2526refresh_token%253D1d8562f4%2526x-expires%253D1810720800%2526x-signature%253DJFlR0w8tYwlTOuk2k5uG2%25252B82V80%25253D%2526t%253D4d5b0474%2526ps%253D13740610%2526shp%253Dd05b14bd%2526shcp%253D34ff8df6%2526idc%253Dmy3%2526s%253DTIKTOK_AFFILIATE_VIRAL_VIDEO%22%2C%22placeholder_product_id%22%3A%221729729730555512511%22%2C%22placeholder_video_id%22%3A%227636478890784984340%22%7D&amp;ec_shared_reflux_scene=shop_tab_feed&amp;share_item_id=7636478890784984340&amp;source=h5_t</v>
      </c>
      <c r="O978" s="464"/>
      <c r="P978" s="279" t="str">
        <f>IFERROR(__xludf.DUMMYFUNCTION("""COMPUTED_VALUE"""),"https://www.tiktok.com/@racun_spalspil12/video/7636480028070432021?_r=1&amp;u_code=cllj6j6aidf05b&amp;region=&amp;mid=7592932992264276756&amp;preview_pb=0&amp;sharer_language=&amp;_d=0&amp;ec_shared_reflux_dynamic_params=%7B%22placeholder_material_id%22%3A%227636480028070432021%22%2"&amp;"C%22placeholder_origin_cover%22%3A%22https%253A%252F%252Fp16-common-sign.tiktokcdn.com%252Ftos-alisg-p-0037%252FoQEBuzpXCORdiy1EiRAv3IIB6gocfygB4vfxi6~tplv-tiktokx-origin.jpeg%253Fdr%253D14572%2526refresh_token%253D844c4b9f%2526x-expires%253D1810720800%25"&amp;"26x-signature%253DR44yCD846Do2sLweZBpRL7vvwAY%25253D%2526t%253D4d5b0474%2526ps%253D13740610%2526shp%253Dd05b14bd%2526shcp%253D34ff8df6%2526idc%253Dmy3%2526s%253DTIKTOK_AFFILIATE_VIRAL_VIDEO%22%2C%22placeholder_product_id%22%3A%221729729730555512511%22%2C%"&amp;"22placeholder_video_id%22%3A%227636480028070432021%22%7D&amp;ec_shared_reflux_scene=shop_tab_feed&amp;share_item_id=7636480028070432021&amp;source=h5_t")</f>
        <v>https://www.tiktok.com/@racun_spalspil12/video/7636480028070432021?_r=1&amp;u_code=cllj6j6aidf05b&amp;region=&amp;mid=7592932992264276756&amp;preview_pb=0&amp;sharer_language=&amp;_d=0&amp;ec_shared_reflux_dynamic_params=%7B%22placeholder_material_id%22%3A%227636480028070432021%22%2C%22placeholder_origin_cover%22%3A%22https%253A%252F%252Fp16-common-sign.tiktokcdn.com%252Ftos-alisg-p-0037%252FoQEBuzpXCORdiy1EiRAv3IIB6gocfygB4vfxi6~tplv-tiktokx-origin.jpeg%253Fdr%253D14572%2526refresh_token%253D844c4b9f%2526x-expires%253D1810720800%2526x-signature%253DR44yCD846Do2sLweZBpRL7vvwAY%25253D%2526t%253D4d5b0474%2526ps%253D13740610%2526shp%253Dd05b14bd%2526shcp%253D34ff8df6%2526idc%253Dmy3%2526s%253DTIKTOK_AFFILIATE_VIRAL_VIDEO%22%2C%22placeholder_product_id%22%3A%221729729730555512511%22%2C%22placeholder_video_id%22%3A%227636480028070432021%22%7D&amp;ec_shared_reflux_scene=shop_tab_feed&amp;share_item_id=7636480028070432021&amp;source=h5_t</v>
      </c>
    </row>
    <row r="979">
      <c r="A979" s="255" t="str">
        <f>IFERROR(__xludf.DUMMYFUNCTION("""COMPUTED_VALUE"""),"MICRO")</f>
        <v>MICRO</v>
      </c>
      <c r="B979" s="361" t="str">
        <f>IFERROR(__xludf.DUMMYFUNCTION("""COMPUTED_VALUE"""),"atikaaaaash")</f>
        <v>atikaaaaash</v>
      </c>
      <c r="C979" s="257" t="str">
        <f>IFERROR(__xludf.DUMMYFUNCTION("""COMPUTED_VALUE"""),"https://www.tiktok.com/@atikaaaaash")</f>
        <v>https://www.tiktok.com/@atikaaaaash</v>
      </c>
      <c r="D979" s="270"/>
      <c r="E979" s="457">
        <f>IFERROR(__xludf.DUMMYFUNCTION("""COMPUTED_VALUE"""),100000.0)</f>
        <v>100000</v>
      </c>
      <c r="F979" s="270">
        <f>IFERROR(__xludf.DUMMYFUNCTION("""COMPUTED_VALUE"""),2.0)</f>
        <v>2</v>
      </c>
      <c r="G979" s="17" t="str">
        <f>IFERROR(__xludf.DUMMYFUNCTION("""COMPUTED_VALUE"""),"Sabun batang 1 Box ( 2 PCS )")</f>
        <v>Sabun batang 1 Box ( 2 PCS )</v>
      </c>
      <c r="H979" s="463" t="str">
        <f>IFERROR(__xludf.DUMMYFUNCTION("""COMPUTED_VALUE"""),"Sampai")</f>
        <v>Sampai</v>
      </c>
      <c r="I979" s="464" t="str">
        <f>IFERROR(__xludf.DUMMYFUNCTION("""COMPUTED_VALUE"""),"KIMME")</f>
        <v>KIMME</v>
      </c>
      <c r="J979" s="279" t="str">
        <f>IFERROR(__xludf.DUMMYFUNCTION("""COMPUTED_VALUE"""),"https://vt.tiktok.com/ZS92jhvhB/")</f>
        <v>https://vt.tiktok.com/ZS92jhvhB/</v>
      </c>
      <c r="K979" s="464" t="str">
        <f>IFERROR(__xludf.DUMMYFUNCTION("""COMPUTED_VALUE"""),"KIMME")</f>
        <v>KIMME</v>
      </c>
      <c r="L979" s="279" t="str">
        <f>IFERROR(__xludf.DUMMYFUNCTION("""COMPUTED_VALUE"""),"https://vt.tiktok.com/ZS9CaymVx/")</f>
        <v>https://vt.tiktok.com/ZS9CaymVx/</v>
      </c>
      <c r="M979" s="464"/>
      <c r="N979" s="279" t="str">
        <f>IFERROR(__xludf.DUMMYFUNCTION("""COMPUTED_VALUE"""),"https://www.tiktok.com/@racun_spalspil12/video/7636480602534858005?_r=1&amp;u_code=cllj6j6aidf05b&amp;region=&amp;mid=7580087028324616193&amp;preview_pb=0&amp;sharer_language=&amp;_d=0&amp;ec_shared_reflux_dynamic_params=%7B%22placeholder_material_id%22%3A%227636480602534858005%22%2"&amp;"C%22placeholder_origin_cover%22%3A%22https%253A%252F%252Fp19-common-sign.tiktokcdn.com%252Ftos-alisg-p-0037%252Fo4fMCWrnRpkyIgiIOOqiuEBBBq3RfIR611cABB~tplv-tiktokx-origin.jpeg%253Fdr%253D14572%2526refresh_token%253D14f40fe8%2526x-expires%253D1810720800%25"&amp;"26x-signature%253DicTNr5y4OqO2UoTjb717rUsHoWg%25253D%2526t%253D4d5b0474%2526ps%253D13740610%2526shp%253Dd05b14bd%2526shcp%253D34ff8df6%2526idc%253Dmy3%2526s%253DTIKTOK_AFFILIATE_VIRAL_VIDEO%22%2C%22placeholder_product_id%22%3A%221729729730555512511%22%2C%"&amp;"22placeholder_video_id%22%3A%227636480602534858005%22%7D&amp;ec_shared_reflux_scene=shop_tab_feed&amp;share_item_id=7636480602534858005&amp;source=h5_t")</f>
        <v>https://www.tiktok.com/@racun_spalspil12/video/7636480602534858005?_r=1&amp;u_code=cllj6j6aidf05b&amp;region=&amp;mid=7580087028324616193&amp;preview_pb=0&amp;sharer_language=&amp;_d=0&amp;ec_shared_reflux_dynamic_params=%7B%22placeholder_material_id%22%3A%227636480602534858005%22%2C%22placeholder_origin_cover%22%3A%22https%253A%252F%252Fp19-common-sign.tiktokcdn.com%252Ftos-alisg-p-0037%252Fo4fMCWrnRpkyIgiIOOqiuEBBBq3RfIR611cABB~tplv-tiktokx-origin.jpeg%253Fdr%253D14572%2526refresh_token%253D14f40fe8%2526x-expires%253D1810720800%2526x-signature%253DicTNr5y4OqO2UoTjb717rUsHoWg%25253D%2526t%253D4d5b0474%2526ps%253D13740610%2526shp%253Dd05b14bd%2526shcp%253D34ff8df6%2526idc%253Dmy3%2526s%253DTIKTOK_AFFILIATE_VIRAL_VIDEO%22%2C%22placeholder_product_id%22%3A%221729729730555512511%22%2C%22placeholder_video_id%22%3A%227636480602534858005%22%7D&amp;ec_shared_reflux_scene=shop_tab_feed&amp;share_item_id=7636480602534858005&amp;source=h5_t</v>
      </c>
      <c r="O979" s="464"/>
      <c r="P979" s="279" t="str">
        <f>IFERROR(__xludf.DUMMYFUNCTION("""COMPUTED_VALUE"""),"https://www.tiktok.com/@racun_spalspil12/video/7636479614008741141?_r=1&amp;u_code=cllj6j6aidf05b&amp;region=&amp;mid=7514003816174454785&amp;preview_pb=0&amp;sharer_language=&amp;_d=0&amp;ec_shared_reflux_dynamic_params=%7B%22placeholder_material_id%22%3A%227636479614008741141%22%2"&amp;"C%22placeholder_origin_cover%22%3A%22https%253A%252F%252Fp16-common-sign.tiktokcdn.com%252Ftos-alisg-p-0037%252FoII6IBDCjO5eAuDTDFnlfcxwmmfIkEtA4zjcC6~tplv-tiktokx-origin.jpeg%253Fdr%253D14572%2526refresh_token%253D0adee62a%2526x-expires%253D1810720800%25"&amp;"26x-signature%253DEtm5DkLS3LnQ4w5pCOgNZ3xRZv8%25253D%2526t%253D4d5b0474%2526ps%253D13740610%2526shp%253Dd05b14bd%2526shcp%253D34ff8df6%2526idc%253Dmy3%2526s%253DTIKTOK_AFFILIATE_VIRAL_VIDEO%22%2C%22placeholder_product_id%22%3A%221729729730555512511%22%2C%"&amp;"22placeholder_video_id%22%3A%227636479614008741141%22%7D&amp;ec_shared_reflux_scene=shop_tab_feed&amp;share_item_id=7636479614008741141&amp;source=h5_t")</f>
        <v>https://www.tiktok.com/@racun_spalspil12/video/7636479614008741141?_r=1&amp;u_code=cllj6j6aidf05b&amp;region=&amp;mid=7514003816174454785&amp;preview_pb=0&amp;sharer_language=&amp;_d=0&amp;ec_shared_reflux_dynamic_params=%7B%22placeholder_material_id%22%3A%227636479614008741141%22%2C%22placeholder_origin_cover%22%3A%22https%253A%252F%252Fp16-common-sign.tiktokcdn.com%252Ftos-alisg-p-0037%252FoII6IBDCjO5eAuDTDFnlfcxwmmfIkEtA4zjcC6~tplv-tiktokx-origin.jpeg%253Fdr%253D14572%2526refresh_token%253D0adee62a%2526x-expires%253D1810720800%2526x-signature%253DEtm5DkLS3LnQ4w5pCOgNZ3xRZv8%25253D%2526t%253D4d5b0474%2526ps%253D13740610%2526shp%253Dd05b14bd%2526shcp%253D34ff8df6%2526idc%253Dmy3%2526s%253DTIKTOK_AFFILIATE_VIRAL_VIDEO%22%2C%22placeholder_product_id%22%3A%221729729730555512511%22%2C%22placeholder_video_id%22%3A%227636479614008741141%22%7D&amp;ec_shared_reflux_scene=shop_tab_feed&amp;share_item_id=7636479614008741141&amp;source=h5_t</v>
      </c>
    </row>
    <row r="980">
      <c r="A980" s="255" t="str">
        <f>IFERROR(__xludf.DUMMYFUNCTION("""COMPUTED_VALUE"""),"MICRO")</f>
        <v>MICRO</v>
      </c>
      <c r="B980" s="361" t="str">
        <f>IFERROR(__xludf.DUMMYFUNCTION("""COMPUTED_VALUE"""),"justv.aza")</f>
        <v>justv.aza</v>
      </c>
      <c r="C980" s="257" t="str">
        <f>IFERROR(__xludf.DUMMYFUNCTION("""COMPUTED_VALUE"""),"https://www.tiktok.com/@justv.aza")</f>
        <v>https://www.tiktok.com/@justv.aza</v>
      </c>
      <c r="D980" s="270"/>
      <c r="E980" s="457">
        <f>IFERROR(__xludf.DUMMYFUNCTION("""COMPUTED_VALUE"""),100000.0)</f>
        <v>100000</v>
      </c>
      <c r="F980" s="270">
        <f>IFERROR(__xludf.DUMMYFUNCTION("""COMPUTED_VALUE"""),2.0)</f>
        <v>2</v>
      </c>
      <c r="G980" s="17" t="str">
        <f>IFERROR(__xludf.DUMMYFUNCTION("""COMPUTED_VALUE"""),"Sabun batang 1 Box ( 2 PCS )")</f>
        <v>Sabun batang 1 Box ( 2 PCS )</v>
      </c>
      <c r="H980" s="463" t="str">
        <f>IFERROR(__xludf.DUMMYFUNCTION("""COMPUTED_VALUE"""),"Sampai")</f>
        <v>Sampai</v>
      </c>
      <c r="I980" s="464" t="str">
        <f>IFERROR(__xludf.DUMMYFUNCTION("""COMPUTED_VALUE"""),"KIMME")</f>
        <v>KIMME</v>
      </c>
      <c r="J980" s="279" t="str">
        <f>IFERROR(__xludf.DUMMYFUNCTION("""COMPUTED_VALUE"""),"https://vt.tiktok.com/ZSHo693wF/")</f>
        <v>https://vt.tiktok.com/ZSHo693wF/</v>
      </c>
      <c r="K980" s="464" t="str">
        <f>IFERROR(__xludf.DUMMYFUNCTION("""COMPUTED_VALUE"""),"KIMME")</f>
        <v>KIMME</v>
      </c>
      <c r="L980" s="279" t="str">
        <f>IFERROR(__xludf.DUMMYFUNCTION("""COMPUTED_VALUE"""),"https://vt.tiktok.com/ZS9PVVQcb/")</f>
        <v>https://vt.tiktok.com/ZS9PVVQcb/</v>
      </c>
      <c r="M980" s="464"/>
      <c r="N980" s="279" t="str">
        <f>IFERROR(__xludf.DUMMYFUNCTION("""COMPUTED_VALUE"""),"https://www.tiktok.com/@racun_spalspil12/video/7636561304806755604?_r=1&amp;u_code=cllj6j6aidf05b&amp;region=&amp;mid=7497551820198398721&amp;preview_pb=0&amp;sharer_language=&amp;_d=0&amp;ec_shared_reflux_dynamic_params=%7B%22placeholder_material_id%22%3A%227636561304806755604%22%2"&amp;"C%22placeholder_origin_cover%22%3A%22https%253A%252F%252Fp16-common-sign.tiktokcdn.com%252Ftos-alisg-p-0037%252FoM4fehXjkICZIhUDEToAJODyFpfBACB0DIT6yi~tplv-tiktokx-origin.jpeg%253Fdr%253D14572%2526refresh_token%253D333bc5a5%2526x-expires%253D1810720800%25"&amp;"26x-signature%253DO0GmFEfYV%25252FTX8Rj3WpvGQZs1h1k%25253D%2526t%253D4d5b0474%2526ps%253D13740610%2526shp%253Dd05b14bd%2526shcp%253D34ff8df6%2526idc%253Dmy3%2526s%253DTIKTOK_AFFILIATE_VIRAL_VIDEO%22%2C%22placeholder_product_id%22%3A%221729729730555512511%"&amp;"22%2C%22placeholder_video_id%22%3A%227636561304806755604%22%7D&amp;ec_shared_reflux_scene=shop_tab_feed&amp;share_item_id=7636561304806755604&amp;source=h5_t")</f>
        <v>https://www.tiktok.com/@racun_spalspil12/video/7636561304806755604?_r=1&amp;u_code=cllj6j6aidf05b&amp;region=&amp;mid=7497551820198398721&amp;preview_pb=0&amp;sharer_language=&amp;_d=0&amp;ec_shared_reflux_dynamic_params=%7B%22placeholder_material_id%22%3A%227636561304806755604%22%2C%22placeholder_origin_cover%22%3A%22https%253A%252F%252Fp16-common-sign.tiktokcdn.com%252Ftos-alisg-p-0037%252FoM4fehXjkICZIhUDEToAJODyFpfBACB0DIT6yi~tplv-tiktokx-origin.jpeg%253Fdr%253D14572%2526refresh_token%253D333bc5a5%2526x-expires%253D1810720800%2526x-signature%253DO0GmFEfYV%25252FTX8Rj3WpvGQZs1h1k%25253D%2526t%253D4d5b0474%2526ps%253D13740610%2526shp%253Dd05b14bd%2526shcp%253D34ff8df6%2526idc%253Dmy3%2526s%253DTIKTOK_AFFILIATE_VIRAL_VIDEO%22%2C%22placeholder_product_id%22%3A%221729729730555512511%22%2C%22placeholder_video_id%22%3A%227636561304806755604%22%7D&amp;ec_shared_reflux_scene=shop_tab_feed&amp;share_item_id=7636561304806755604&amp;source=h5_t</v>
      </c>
      <c r="O980" s="464"/>
      <c r="P980" s="279" t="str">
        <f>IFERROR(__xludf.DUMMYFUNCTION("""COMPUTED_VALUE"""),"https://www.tiktok.com/@racun_spalspil12/video/7636564695561833749?_r=1&amp;u_code=cllj6j6aidf05b&amp;region=&amp;mid=7507772951459432464&amp;preview_pb=0&amp;sharer_language=&amp;_d=0&amp;ec_shared_reflux_dynamic_params=%7B%22placeholder_material_id%22%3A%227636564695561833749%22%2"&amp;"C%22placeholder_origin_cover%22%3A%22https%253A%252F%252Fp16-common-sign.tiktokcdn.com%252Ftos-alisg-p-0037%252FoEcBfhIA3UMBTL9tBtrRz8fKEaBi6hipgI7IPO~tplv-tiktokx-origin.jpeg%253Fdr%253D14572%2526refresh_token%253D21e4c5cf%2526x-expires%253D1810720800%25"&amp;"26x-signature%253DB95fwELPXLrGPA4Z4Vzn46T2mI4%25253D%2526t%253D4d5b0474%2526ps%253D13740610%2526shp%253Dd05b14bd%2526shcp%253D34ff8df6%2526idc%253Dmy3%2526s%253DTIKTOK_AFFILIATE_VIRAL_VIDEO%22%2C%22placeholder_product_id%22%3A%221729729730555512511%22%2C%"&amp;"22placeholder_video_id%22%3A%227636564695561833749%22%7D&amp;ec_shared_reflux_scene=shop_tab_feed&amp;share_item_id=7636564695561833749&amp;source=h5_t")</f>
        <v>https://www.tiktok.com/@racun_spalspil12/video/7636564695561833749?_r=1&amp;u_code=cllj6j6aidf05b&amp;region=&amp;mid=7507772951459432464&amp;preview_pb=0&amp;sharer_language=&amp;_d=0&amp;ec_shared_reflux_dynamic_params=%7B%22placeholder_material_id%22%3A%227636564695561833749%22%2C%22placeholder_origin_cover%22%3A%22https%253A%252F%252Fp16-common-sign.tiktokcdn.com%252Ftos-alisg-p-0037%252FoEcBfhIA3UMBTL9tBtrRz8fKEaBi6hipgI7IPO~tplv-tiktokx-origin.jpeg%253Fdr%253D14572%2526refresh_token%253D21e4c5cf%2526x-expires%253D1810720800%2526x-signature%253DB95fwELPXLrGPA4Z4Vzn46T2mI4%25253D%2526t%253D4d5b0474%2526ps%253D13740610%2526shp%253Dd05b14bd%2526shcp%253D34ff8df6%2526idc%253Dmy3%2526s%253DTIKTOK_AFFILIATE_VIRAL_VIDEO%22%2C%22placeholder_product_id%22%3A%221729729730555512511%22%2C%22placeholder_video_id%22%3A%227636564695561833749%22%7D&amp;ec_shared_reflux_scene=shop_tab_feed&amp;share_item_id=7636564695561833749&amp;source=h5_t</v>
      </c>
    </row>
    <row r="981">
      <c r="A981" s="255" t="str">
        <f>IFERROR(__xludf.DUMMYFUNCTION("""COMPUTED_VALUE"""),"MICRO")</f>
        <v>MICRO</v>
      </c>
      <c r="B981" s="361" t="str">
        <f>IFERROR(__xludf.DUMMYFUNCTION("""COMPUTED_VALUE"""),"by.rinas2")</f>
        <v>by.rinas2</v>
      </c>
      <c r="C981" s="257" t="str">
        <f>IFERROR(__xludf.DUMMYFUNCTION("""COMPUTED_VALUE"""),"https://www.tiktok.com/@by.rinas2")</f>
        <v>https://www.tiktok.com/@by.rinas2</v>
      </c>
      <c r="D981" s="270"/>
      <c r="E981" s="457">
        <f>IFERROR(__xludf.DUMMYFUNCTION("""COMPUTED_VALUE"""),100000.0)</f>
        <v>100000</v>
      </c>
      <c r="F981" s="270">
        <f>IFERROR(__xludf.DUMMYFUNCTION("""COMPUTED_VALUE"""),2.0)</f>
        <v>2</v>
      </c>
      <c r="G981" s="17" t="str">
        <f>IFERROR(__xludf.DUMMYFUNCTION("""COMPUTED_VALUE"""),"Sabun batang 1 Box ( 2 PCS )")</f>
        <v>Sabun batang 1 Box ( 2 PCS )</v>
      </c>
      <c r="H981" s="463" t="str">
        <f>IFERROR(__xludf.DUMMYFUNCTION("""COMPUTED_VALUE"""),"Sampai")</f>
        <v>Sampai</v>
      </c>
      <c r="I981" s="464" t="str">
        <f>IFERROR(__xludf.DUMMYFUNCTION("""COMPUTED_VALUE"""),"KIMME")</f>
        <v>KIMME</v>
      </c>
      <c r="J981" s="279" t="str">
        <f>IFERROR(__xludf.DUMMYFUNCTION("""COMPUTED_VALUE"""),"https://www.tiktok.com/@harumrice/video/7637482144528436500?_r=1&amp;u_code=d6j7255963058c&amp;region=&amp;mid=7513130117401823248&amp;preview_pb=0&amp;sharer_language=&amp;_d=0&amp;ec_shared_reflux_dynamic_params=%7B%22placeholder_material_id%22%3A%227637482144528436500%22%2C%22pla"&amp;"ceholder_origin_cover%22%3A%22https%253A%252F%252Fp16-common-sign.tiktokcdn.com%252Ftos-alisg-p-0037%252FoAAGGZ89OcnQfFST5vD5IQeAweyGEKFAfS5RaH~tplv-tiktokx-origin.jpeg%253Fdr%253D14572%2526refresh_token%253Dfc21108c%2526x-expires%253D1810717200%2526x-sig"&amp;"nature%253DtnOXl1xPJ4%25252BtxXKND45EkBAyvsM%25253D%2526t%253D4d5b0474%2526ps%253D13740610%2526shp%253Dd05b14bd%2526shcp%253D34ff8df6%2526idc%253Dmy3%2526s%253DTIKTOK_AFFILIATE_VIRAL_VIDEO%22%2C%22placeholder_product_id%22%3A%221729427766722726591%22%2C%2"&amp;"2placeholder_video_id%22%3A%227637482144528436500%22%7D&amp;ec_shared_reflux_scene=shop_tab_feed&amp;share_item_id=7637482144528436500&amp;source=h5_t")</f>
        <v>https://www.tiktok.com/@harumrice/video/7637482144528436500?_r=1&amp;u_code=d6j7255963058c&amp;region=&amp;mid=7513130117401823248&amp;preview_pb=0&amp;sharer_language=&amp;_d=0&amp;ec_shared_reflux_dynamic_params=%7B%22placeholder_material_id%22%3A%227637482144528436500%22%2C%22placeholder_origin_cover%22%3A%22https%253A%252F%252Fp16-common-sign.tiktokcdn.com%252Ftos-alisg-p-0037%252FoAAGGZ89OcnQfFST5vD5IQeAweyGEKFAfS5RaH~tplv-tiktokx-origin.jpeg%253Fdr%253D14572%2526refresh_token%253Dfc21108c%2526x-expires%253D1810717200%2526x-signature%253DtnOXl1xPJ4%25252BtxXKND45EkBAyvsM%25253D%2526t%253D4d5b0474%2526ps%253D13740610%2526shp%253Dd05b14bd%2526shcp%253D34ff8df6%2526idc%253Dmy3%2526s%253DTIKTOK_AFFILIATE_VIRAL_VIDEO%22%2C%22placeholder_product_id%22%3A%221729427766722726591%22%2C%22placeholder_video_id%22%3A%227637482144528436500%22%7D&amp;ec_shared_reflux_scene=shop_tab_feed&amp;share_item_id=7637482144528436500&amp;source=h5_t</v>
      </c>
      <c r="K981" s="464" t="str">
        <f>IFERROR(__xludf.DUMMYFUNCTION("""COMPUTED_VALUE"""),"KIMME")</f>
        <v>KIMME</v>
      </c>
      <c r="L981" s="279" t="str">
        <f>IFERROR(__xludf.DUMMYFUNCTION("""COMPUTED_VALUE"""),"https://www.tiktok.com/@harumrice/video/7637484873623538965?_r=1&amp;u_code=d6j7255963058c&amp;region=&amp;mid=7454883728420177921&amp;preview_pb=0&amp;sharer_language=&amp;_d=0&amp;ec_shared_reflux_dynamic_params=%7B%22placeholder_material_id%22%3A%227637484873623538965%22%2C%22pla"&amp;"ceholder_origin_cover%22%3A%22https%253A%252F%252Fp16-common-sign.tiktokcdn.com%252Ftos-alisg-p-0037%252FoQIBpfB6rmJuEBVAS6XBn1KAibcA9qSIRgfiRz~tplv-tiktokx-origin.jpeg%253Fdr%253D14572%2526refresh_token%253D20cae0b8%2526x-expires%253D1810717200%2526x-sig"&amp;"nature%253Du5xNfL3XrKIuvuNUMsf11gsyrKk%25253D%2526t%253D4d5b0474%2526ps%253D13740610%2526shp%253Dd05b14bd%2526shcp%253D34ff8df6%2526idc%253Dmy3%2526s%253DTIKTOK_AFFILIATE_VIRAL_VIDEO%22%2C%22placeholder_product_id%22%3A%221729427766722726591%22%2C%22place"&amp;"holder_video_id%22%3A%227637484873623538965%22%7D&amp;ec_shared_reflux_scene=shop_tab_feed&amp;share_item_id=7637484873623538965&amp;source=h5_t")</f>
        <v>https://www.tiktok.com/@harumrice/video/7637484873623538965?_r=1&amp;u_code=d6j7255963058c&amp;region=&amp;mid=7454883728420177921&amp;preview_pb=0&amp;sharer_language=&amp;_d=0&amp;ec_shared_reflux_dynamic_params=%7B%22placeholder_material_id%22%3A%227637484873623538965%22%2C%22placeholder_origin_cover%22%3A%22https%253A%252F%252Fp16-common-sign.tiktokcdn.com%252Ftos-alisg-p-0037%252FoQIBpfB6rmJuEBVAS6XBn1KAibcA9qSIRgfiRz~tplv-tiktokx-origin.jpeg%253Fdr%253D14572%2526refresh_token%253D20cae0b8%2526x-expires%253D1810717200%2526x-signature%253Du5xNfL3XrKIuvuNUMsf11gsyrKk%25253D%2526t%253D4d5b0474%2526ps%253D13740610%2526shp%253Dd05b14bd%2526shcp%253D34ff8df6%2526idc%253Dmy3%2526s%253DTIKTOK_AFFILIATE_VIRAL_VIDEO%22%2C%22placeholder_product_id%22%3A%221729427766722726591%22%2C%22placeholder_video_id%22%3A%227637484873623538965%22%7D&amp;ec_shared_reflux_scene=shop_tab_feed&amp;share_item_id=7637484873623538965&amp;source=h5_t</v>
      </c>
      <c r="M981" s="464"/>
      <c r="N981" s="279" t="str">
        <f>IFERROR(__xludf.DUMMYFUNCTION("""COMPUTED_VALUE"""),"https://www.tiktok.com/@racun_spalspil12/video/7636565484460133652?_r=1&amp;u_code=cllj6j6aidf05b&amp;region=&amp;mid=7582487626100296456&amp;preview_pb=0&amp;sharer_language=&amp;_d=0&amp;ec_shared_reflux_dynamic_params=%7B%22placeholder_material_id%22%3A%227636565484460133652%22%2"&amp;"C%22placeholder_origin_cover%22%3A%22https%253A%252F%252Fp16-common-sign.tiktokcdn.com%252Ftos-alisg-p-0037%252FoEINBdQA4GAFEEoDXbjmvefXzdDPDCQQJEeT91~tplv-tiktokx-origin.jpeg%253Fdr%253D14572%2526refresh_token%253D62b0b380%2526x-expires%253D1810720800%25"&amp;"26x-signature%253DJ6oHu3cR6l2T2LBt0Eey3fYhZoM%25253D%2526t%253D4d5b0474%2526ps%253D13740610%2526shp%253Dd05b14bd%2526shcp%253D34ff8df6%2526idc%253Dmy3%2526s%253DTIKTOK_AFFILIATE_VIRAL_VIDEO%22%2C%22placeholder_product_id%22%3A%221729427766722726591%22%2C%"&amp;"22placeholder_video_id%22%3A%227636565484460133652%22%7D&amp;ec_shared_reflux_scene=shop_tab_feed&amp;share_item_id=7636565484460133652&amp;source=h5_t")</f>
        <v>https://www.tiktok.com/@racun_spalspil12/video/7636565484460133652?_r=1&amp;u_code=cllj6j6aidf05b&amp;region=&amp;mid=7582487626100296456&amp;preview_pb=0&amp;sharer_language=&amp;_d=0&amp;ec_shared_reflux_dynamic_params=%7B%22placeholder_material_id%22%3A%227636565484460133652%22%2C%22placeholder_origin_cover%22%3A%22https%253A%252F%252Fp16-common-sign.tiktokcdn.com%252Ftos-alisg-p-0037%252FoEINBdQA4GAFEEoDXbjmvefXzdDPDCQQJEeT91~tplv-tiktokx-origin.jpeg%253Fdr%253D14572%2526refresh_token%253D62b0b380%2526x-expires%253D1810720800%2526x-signature%253DJ6oHu3cR6l2T2LBt0Eey3fYhZoM%25253D%2526t%253D4d5b0474%2526ps%253D13740610%2526shp%253Dd05b14bd%2526shcp%253D34ff8df6%2526idc%253Dmy3%2526s%253DTIKTOK_AFFILIATE_VIRAL_VIDEO%22%2C%22placeholder_product_id%22%3A%221729427766722726591%22%2C%22placeholder_video_id%22%3A%227636565484460133652%22%7D&amp;ec_shared_reflux_scene=shop_tab_feed&amp;share_item_id=7636565484460133652&amp;source=h5_t</v>
      </c>
      <c r="O981" s="464"/>
      <c r="P981" s="279" t="str">
        <f>IFERROR(__xludf.DUMMYFUNCTION("""COMPUTED_VALUE"""),"https://www.tiktok.com/@racun_spalspil12/video/7636571087425391893?_r=1&amp;u_code=cllj6j6aidf05b&amp;region=&amp;mid=7604473397582940177&amp;preview_pb=0&amp;sharer_language=&amp;_d=0&amp;ec_shared_reflux_dynamic_params=%7B%22placeholder_material_id%22%3A%227636571087425391893%22%2"&amp;"C%22placeholder_origin_cover%22%3A%22https%253A%252F%252Fp19-common-sign.tiktokcdn.com%252Ftos-alisg-p-0037%252FoUT44g6DtCJIoAFjfDbIwQCCFeI7AjfXkyjDEC~tplv-tiktokx-origin.jpeg%253Fdr%253D14572%2526refresh_token%253D46456560%2526x-expires%253D1810720800%25"&amp;"26x-signature%253DUD69%25252Bd99xi9Bp98psZyYBV1yTIU%25253D%2526t%253D4d5b0474%2526ps%253D13740610%2526shp%253Dd05b14bd%2526shcp%253D34ff8df6%2526idc%253Dmy3%2526s%253DTIKTOK_AFFILIATE_VIRAL_VIDEO%22%2C%22placeholder_product_id%22%3A%221729729730555512511%"&amp;"22%2C%22placeholder_video_id%22%3A%227636571087425391893%22%7D&amp;ec_shared_reflux_scene=shop_tab_feed&amp;share_item_id=7636571087425391893&amp;source=h5_t")</f>
        <v>https://www.tiktok.com/@racun_spalspil12/video/7636571087425391893?_r=1&amp;u_code=cllj6j6aidf05b&amp;region=&amp;mid=7604473397582940177&amp;preview_pb=0&amp;sharer_language=&amp;_d=0&amp;ec_shared_reflux_dynamic_params=%7B%22placeholder_material_id%22%3A%227636571087425391893%22%2C%22placeholder_origin_cover%22%3A%22https%253A%252F%252Fp19-common-sign.tiktokcdn.com%252Ftos-alisg-p-0037%252FoUT44g6DtCJIoAFjfDbIwQCCFeI7AjfXkyjDEC~tplv-tiktokx-origin.jpeg%253Fdr%253D14572%2526refresh_token%253D46456560%2526x-expires%253D1810720800%2526x-signature%253DUD69%25252Bd99xi9Bp98psZyYBV1yTIU%25253D%2526t%253D4d5b0474%2526ps%253D13740610%2526shp%253Dd05b14bd%2526shcp%253D34ff8df6%2526idc%253Dmy3%2526s%253DTIKTOK_AFFILIATE_VIRAL_VIDEO%22%2C%22placeholder_product_id%22%3A%221729729730555512511%22%2C%22placeholder_video_id%22%3A%227636571087425391893%22%7D&amp;ec_shared_reflux_scene=shop_tab_feed&amp;share_item_id=7636571087425391893&amp;source=h5_t</v>
      </c>
    </row>
    <row r="982">
      <c r="A982" s="255" t="str">
        <f>IFERROR(__xludf.DUMMYFUNCTION("""COMPUTED_VALUE"""),"MICRO")</f>
        <v>MICRO</v>
      </c>
      <c r="B982" s="361" t="str">
        <f>IFERROR(__xludf.DUMMYFUNCTION("""COMPUTED_VALUE"""),"jagoanpapahh")</f>
        <v>jagoanpapahh</v>
      </c>
      <c r="C982" s="257" t="str">
        <f>IFERROR(__xludf.DUMMYFUNCTION("""COMPUTED_VALUE"""),"https://www.tiktok.com/@jagoanpapahh")</f>
        <v>https://www.tiktok.com/@jagoanpapahh</v>
      </c>
      <c r="D982" s="270"/>
      <c r="E982" s="457">
        <f>IFERROR(__xludf.DUMMYFUNCTION("""COMPUTED_VALUE"""),100000.0)</f>
        <v>100000</v>
      </c>
      <c r="F982" s="270">
        <f>IFERROR(__xludf.DUMMYFUNCTION("""COMPUTED_VALUE"""),2.0)</f>
        <v>2</v>
      </c>
      <c r="G982" s="17" t="str">
        <f>IFERROR(__xludf.DUMMYFUNCTION("""COMPUTED_VALUE"""),"Sabun batang 1 Box ( 2 PCS )")</f>
        <v>Sabun batang 1 Box ( 2 PCS )</v>
      </c>
      <c r="H982" s="463" t="str">
        <f>IFERROR(__xludf.DUMMYFUNCTION("""COMPUTED_VALUE"""),"Sampai")</f>
        <v>Sampai</v>
      </c>
      <c r="I982" s="464" t="str">
        <f>IFERROR(__xludf.DUMMYFUNCTION("""COMPUTED_VALUE"""),"KIMME")</f>
        <v>KIMME</v>
      </c>
      <c r="J982" s="279" t="str">
        <f>IFERROR(__xludf.DUMMYFUNCTION("""COMPUTED_VALUE"""),"https://vt.tiktok.com/ZS9YcY1bk/")</f>
        <v>https://vt.tiktok.com/ZS9YcY1bk/</v>
      </c>
      <c r="K982" s="464" t="str">
        <f>IFERROR(__xludf.DUMMYFUNCTION("""COMPUTED_VALUE"""),"KIMME")</f>
        <v>KIMME</v>
      </c>
      <c r="L982" s="279" t="str">
        <f>IFERROR(__xludf.DUMMYFUNCTION("""COMPUTED_VALUE"""),"https://vt.tiktok.com/ZS9jtavvs/")</f>
        <v>https://vt.tiktok.com/ZS9jtavvs/</v>
      </c>
      <c r="M982" s="464"/>
      <c r="N982" s="279" t="str">
        <f>IFERROR(__xludf.DUMMYFUNCTION("""COMPUTED_VALUE"""),"https://www.tiktok.com/@racun_spalspil12/video/7636572246085012756?_r=1&amp;u_code=cllj6j6aidf05b&amp;region=&amp;mid=7577300307509299989&amp;preview_pb=0&amp;sharer_language=&amp;_d=0&amp;ec_shared_reflux_dynamic_params=%7B%22placeholder_material_id%22%3A%227636572246085012756%22%2"&amp;"C%22placeholder_origin_cover%22%3A%22https%253A%252F%252Fp16-common-sign.tiktokcdn.com%252Ftos-alisg-p-0037%252FogRe4LGHjIDvoQmDl6IQktCAjDrAgz2V9TeiUf~tplv-tiktokx-origin.jpeg%253Fdr%253D14572%2526refresh_token%253D722c984c%2526x-expires%253D1810720800%25"&amp;"26x-signature%253DfDVoLhWXXybuEGp1u73Dd7USj68%25253D%2526t%253D4d5b0474%2526ps%253D13740610%2526shp%253Dd05b14bd%2526shcp%253D34ff8df6%2526idc%253Dmy3%2526s%253DTIKTOK_AFFILIATE_VIRAL_VIDEO%22%2C%22placeholder_product_id%22%3A%221729729730555512511%22%2C%"&amp;"22placeholder_video_id%22%3A%227636572246085012756%22%7D&amp;ec_shared_reflux_scene=shop_tab_feed&amp;share_item_id=7636572246085012756&amp;source=h5_t")</f>
        <v>https://www.tiktok.com/@racun_spalspil12/video/7636572246085012756?_r=1&amp;u_code=cllj6j6aidf05b&amp;region=&amp;mid=7577300307509299989&amp;preview_pb=0&amp;sharer_language=&amp;_d=0&amp;ec_shared_reflux_dynamic_params=%7B%22placeholder_material_id%22%3A%227636572246085012756%22%2C%22placeholder_origin_cover%22%3A%22https%253A%252F%252Fp16-common-sign.tiktokcdn.com%252Ftos-alisg-p-0037%252FogRe4LGHjIDvoQmDl6IQktCAjDrAgz2V9TeiUf~tplv-tiktokx-origin.jpeg%253Fdr%253D14572%2526refresh_token%253D722c984c%2526x-expires%253D1810720800%2526x-signature%253DfDVoLhWXXybuEGp1u73Dd7USj68%25253D%2526t%253D4d5b0474%2526ps%253D13740610%2526shp%253Dd05b14bd%2526shcp%253D34ff8df6%2526idc%253Dmy3%2526s%253DTIKTOK_AFFILIATE_VIRAL_VIDEO%22%2C%22placeholder_product_id%22%3A%221729729730555512511%22%2C%22placeholder_video_id%22%3A%227636572246085012756%22%7D&amp;ec_shared_reflux_scene=shop_tab_feed&amp;share_item_id=7636572246085012756&amp;source=h5_t</v>
      </c>
      <c r="O982" s="464"/>
      <c r="P982" s="279" t="str">
        <f>IFERROR(__xludf.DUMMYFUNCTION("""COMPUTED_VALUE"""),"https://www.tiktok.com/@racun_spalspil12/video/7636572800261606676?_r=1&amp;u_code=cllj6j6aidf05b&amp;region=&amp;mid=7611414933255670546&amp;preview_pb=0&amp;sharer_language=&amp;_d=0&amp;ec_shared_reflux_dynamic_params=%7B%22placeholder_material_id%22%3A%227636572800261606676%22%2"&amp;"C%22placeholder_origin_cover%22%3A%22https%253A%252F%252Fp16-common-sign.tiktokcdn.com%252Ftos-alisg-p-0037%252Fo4HIEIeGANLCswbLeFTjDEA1QA1nR9QsR5f3r4~tplv-tiktokx-origin.jpeg%253Fdr%253D14572%2526refresh_token%253D5e84b9af%2526x-expires%253D1810720800%25"&amp;"26x-signature%253Dl41rNrcHivr15UsUEa%25252BHqoWKoMc%25253D%2526t%253D4d5b0474%2526ps%253D13740610%2526shp%253Dd05b14bd%2526shcp%253D34ff8df6%2526idc%253Dmy3%2526s%253DTIKTOK_AFFILIATE_VIRAL_VIDEO%22%2C%22placeholder_product_id%22%3A%221729729730555512511%"&amp;"22%2C%22placeholder_video_id%22%3A%227636572800261606676%22%7D&amp;ec_shared_reflux_scene=shop_tab_feed&amp;share_item_id=7636572800261606676&amp;source=h5_t")</f>
        <v>https://www.tiktok.com/@racun_spalspil12/video/7636572800261606676?_r=1&amp;u_code=cllj6j6aidf05b&amp;region=&amp;mid=7611414933255670546&amp;preview_pb=0&amp;sharer_language=&amp;_d=0&amp;ec_shared_reflux_dynamic_params=%7B%22placeholder_material_id%22%3A%227636572800261606676%22%2C%22placeholder_origin_cover%22%3A%22https%253A%252F%252Fp16-common-sign.tiktokcdn.com%252Ftos-alisg-p-0037%252Fo4HIEIeGANLCswbLeFTjDEA1QA1nR9QsR5f3r4~tplv-tiktokx-origin.jpeg%253Fdr%253D14572%2526refresh_token%253D5e84b9af%2526x-expires%253D1810720800%2526x-signature%253Dl41rNrcHivr15UsUEa%25252BHqoWKoMc%25253D%2526t%253D4d5b0474%2526ps%253D13740610%2526shp%253Dd05b14bd%2526shcp%253D34ff8df6%2526idc%253Dmy3%2526s%253DTIKTOK_AFFILIATE_VIRAL_VIDEO%22%2C%22placeholder_product_id%22%3A%221729729730555512511%22%2C%22placeholder_video_id%22%3A%227636572800261606676%22%7D&amp;ec_shared_reflux_scene=shop_tab_feed&amp;share_item_id=7636572800261606676&amp;source=h5_t</v>
      </c>
    </row>
    <row r="983">
      <c r="A983" s="255" t="str">
        <f>IFERROR(__xludf.DUMMYFUNCTION("""COMPUTED_VALUE"""),"MICRO")</f>
        <v>MICRO</v>
      </c>
      <c r="B983" s="361" t="str">
        <f>IFERROR(__xludf.DUMMYFUNCTION("""COMPUTED_VALUE"""),"kayla.putrii1")</f>
        <v>kayla.putrii1</v>
      </c>
      <c r="C983" s="257" t="str">
        <f>IFERROR(__xludf.DUMMYFUNCTION("""COMPUTED_VALUE"""),"https://www.tiktok.com/@kayla.putrii1")</f>
        <v>https://www.tiktok.com/@kayla.putrii1</v>
      </c>
      <c r="D983" s="270"/>
      <c r="E983" s="457">
        <f>IFERROR(__xludf.DUMMYFUNCTION("""COMPUTED_VALUE"""),100000.0)</f>
        <v>100000</v>
      </c>
      <c r="F983" s="270">
        <f>IFERROR(__xludf.DUMMYFUNCTION("""COMPUTED_VALUE"""),2.0)</f>
        <v>2</v>
      </c>
      <c r="G983" s="17" t="str">
        <f>IFERROR(__xludf.DUMMYFUNCTION("""COMPUTED_VALUE"""),"Sabun batang 1 Box ( 2 PCS )")</f>
        <v>Sabun batang 1 Box ( 2 PCS )</v>
      </c>
      <c r="H983" s="463" t="str">
        <f>IFERROR(__xludf.DUMMYFUNCTION("""COMPUTED_VALUE"""),"Sampai")</f>
        <v>Sampai</v>
      </c>
      <c r="I983" s="464" t="str">
        <f>IFERROR(__xludf.DUMMYFUNCTION("""COMPUTED_VALUE"""),"KIMME")</f>
        <v>KIMME</v>
      </c>
      <c r="J983" s="279" t="str">
        <f>IFERROR(__xludf.DUMMYFUNCTION("""COMPUTED_VALUE"""),"https://vt.tiktok.com/ZS922mDjj/")</f>
        <v>https://vt.tiktok.com/ZS922mDjj/</v>
      </c>
      <c r="K983" s="464" t="str">
        <f>IFERROR(__xludf.DUMMYFUNCTION("""COMPUTED_VALUE"""),"KIMME")</f>
        <v>KIMME</v>
      </c>
      <c r="L983" s="279" t="str">
        <f>IFERROR(__xludf.DUMMYFUNCTION("""COMPUTED_VALUE"""),"https://www.tiktok.com/@harumrice/video/7637486061534465301?_r=1&amp;u_code=d6j7255963058c&amp;region=&amp;mid=7513130117401823248&amp;preview_pb=0&amp;sharer_language=&amp;_d=0&amp;ec_shared_reflux_dynamic_params=%7B%22placeholder_material_id%22%3A%227637486061534465301%22%2C%22pla"&amp;"ceholder_origin_cover%22%3A%22https%253A%252F%252Fp16-common-sign.tiktokcdn.com%252Ftos-alisg-p-0037%252FoInf4I8IDmcycCzYAEfSAXDQ6FZbPTDIwoejG9~tplv-tiktokx-origin.jpeg%253Fdr%253D14572%2526refresh_token%253Df3ea7f5f%2526x-expires%253D1810717200%2526x-sig"&amp;"nature%253D4aXT1BRFnRZuTz257R6YM%25252B%25252B1PMA%25253D%2526t%253D4d5b0474%2526ps%253D13740610%2526shp%253Dd05b14bd%2526shcp%253D34ff8df6%2526idc%253Dmy3%2526s%253DTIKTOK_AFFILIATE_VIRAL_VIDEO%22%2C%22placeholder_product_id%22%3A%221729427766722726591%2"&amp;"2%2C%22placeholder_video_id%22%3A%227637486061534465301%22%7D&amp;ec_shared_reflux_scene=shop_tab_feed&amp;share_item_id=7637486061534465301&amp;source=h5_t")</f>
        <v>https://www.tiktok.com/@harumrice/video/7637486061534465301?_r=1&amp;u_code=d6j7255963058c&amp;region=&amp;mid=7513130117401823248&amp;preview_pb=0&amp;sharer_language=&amp;_d=0&amp;ec_shared_reflux_dynamic_params=%7B%22placeholder_material_id%22%3A%227637486061534465301%22%2C%22placeholder_origin_cover%22%3A%22https%253A%252F%252Fp16-common-sign.tiktokcdn.com%252Ftos-alisg-p-0037%252FoInf4I8IDmcycCzYAEfSAXDQ6FZbPTDIwoejG9~tplv-tiktokx-origin.jpeg%253Fdr%253D14572%2526refresh_token%253Df3ea7f5f%2526x-expires%253D1810717200%2526x-signature%253D4aXT1BRFnRZuTz257R6YM%25252B%25252B1PMA%25253D%2526t%253D4d5b0474%2526ps%253D13740610%2526shp%253Dd05b14bd%2526shcp%253D34ff8df6%2526idc%253Dmy3%2526s%253DTIKTOK_AFFILIATE_VIRAL_VIDEO%22%2C%22placeholder_product_id%22%3A%221729427766722726591%22%2C%22placeholder_video_id%22%3A%227637486061534465301%22%7D&amp;ec_shared_reflux_scene=shop_tab_feed&amp;share_item_id=7637486061534465301&amp;source=h5_t</v>
      </c>
      <c r="M983" s="464"/>
      <c r="N983" s="279" t="str">
        <f>IFERROR(__xludf.DUMMYFUNCTION("""COMPUTED_VALUE"""),"https://www.tiktok.com/@racun_spalspil12/video/7636573967637318932?_r=1&amp;u_code=cllj6j6aidf05b&amp;region=&amp;mid=7514003816174454785&amp;preview_pb=0&amp;sharer_language=&amp;_d=0&amp;ec_shared_reflux_dynamic_params=%7B%22placeholder_material_id%22%3A%227636573967637318932%22%2"&amp;"C%22placeholder_origin_cover%22%3A%22https%253A%252F%252Fp16-common-sign.tiktokcdn.com%252Ftos-alisg-p-0037%252Fo8301A7sjwHeDIgnf6LeGFAGAHmi4Ig3GxG9Rf~tplv-tiktokx-origin.jpeg%253Fdr%253D14572%2526refresh_token%253D60563f43%2526x-expires%253D1810720800%25"&amp;"26x-signature%253D3Ts%25252B4f%25252B33I2FesJ9Gg8r0dgCGtI%25253D%2526t%253D4d5b0474%2526ps%253D13740610%2526shp%253Dd05b14bd%2526shcp%253D34ff8df6%2526idc%253Dmy3%2526s%253DTIKTOK_AFFILIATE_VIRAL_VIDEO%22%2C%22placeholder_product_id%22%3A%2217297297305555"&amp;"12511%22%2C%22placeholder_video_id%22%3A%227636573967637318932%22%7D&amp;ec_shared_reflux_scene=shop_tab_feed&amp;share_item_id=7636573967637318932&amp;source=h5_t")</f>
        <v>https://www.tiktok.com/@racun_spalspil12/video/7636573967637318932?_r=1&amp;u_code=cllj6j6aidf05b&amp;region=&amp;mid=7514003816174454785&amp;preview_pb=0&amp;sharer_language=&amp;_d=0&amp;ec_shared_reflux_dynamic_params=%7B%22placeholder_material_id%22%3A%227636573967637318932%22%2C%22placeholder_origin_cover%22%3A%22https%253A%252F%252Fp16-common-sign.tiktokcdn.com%252Ftos-alisg-p-0037%252Fo8301A7sjwHeDIgnf6LeGFAGAHmi4Ig3GxG9Rf~tplv-tiktokx-origin.jpeg%253Fdr%253D14572%2526refresh_token%253D60563f43%2526x-expires%253D1810720800%2526x-signature%253D3Ts%25252B4f%25252B33I2FesJ9Gg8r0dgCGtI%25253D%2526t%253D4d5b0474%2526ps%253D13740610%2526shp%253Dd05b14bd%2526shcp%253D34ff8df6%2526idc%253Dmy3%2526s%253DTIKTOK_AFFILIATE_VIRAL_VIDEO%22%2C%22placeholder_product_id%22%3A%221729729730555512511%22%2C%22placeholder_video_id%22%3A%227636573967637318932%22%7D&amp;ec_shared_reflux_scene=shop_tab_feed&amp;share_item_id=7636573967637318932&amp;source=h5_t</v>
      </c>
      <c r="O983" s="464"/>
      <c r="P983" s="279" t="str">
        <f>IFERROR(__xludf.DUMMYFUNCTION("""COMPUTED_VALUE"""),"https://www.tiktok.com/@racun_spalspil12/video/7636576477621832981?_r=1&amp;u_code=cllj6j6aidf05b&amp;region=&amp;mid=7498623449464687415&amp;preview_pb=0&amp;sharer_language=&amp;_d=0&amp;ec_shared_reflux_dynamic_params=%7B%22placeholder_material_id%22%3A%227636576477621832981%22%2"&amp;"C%22placeholder_origin_cover%22%3A%22https%253A%252F%252Fp16-common-sign.tiktokcdn.com%252Ftos-alisg-p-0037%252FoYSTC1ZhI7eLmnIAxAlg9IOejNLmGDHAIekgw4~tplv-tiktokx-origin.jpeg%253Fdr%253D14572%2526refresh_token%253Dab12dbd3%2526x-expires%253D1810720800%25"&amp;"26x-signature%253DcThyqdx0JaMDn1m%25252FW48nPIV%25252B9%25252FQ%25253D%2526t%253D4d5b0474%2526ps%253D13740610%2526shp%253Dd05b14bd%2526shcp%253D34ff8df6%2526idc%253Dmy3%2526s%253DTIKTOK_AFFILIATE_VIRAL_VIDEO%22%2C%22placeholder_product_id%22%3A%2217297297"&amp;"30555512511%22%2C%22placeholder_video_id%22%3A%227636576477621832981%22%7D&amp;ec_shared_reflux_scene=shop_tab_feed&amp;share_item_id=7636576477621832981&amp;source=h5_t")</f>
        <v>https://www.tiktok.com/@racun_spalspil12/video/7636576477621832981?_r=1&amp;u_code=cllj6j6aidf05b&amp;region=&amp;mid=7498623449464687415&amp;preview_pb=0&amp;sharer_language=&amp;_d=0&amp;ec_shared_reflux_dynamic_params=%7B%22placeholder_material_id%22%3A%227636576477621832981%22%2C%22placeholder_origin_cover%22%3A%22https%253A%252F%252Fp16-common-sign.tiktokcdn.com%252Ftos-alisg-p-0037%252FoYSTC1ZhI7eLmnIAxAlg9IOejNLmGDHAIekgw4~tplv-tiktokx-origin.jpeg%253Fdr%253D14572%2526refresh_token%253Dab12dbd3%2526x-expires%253D1810720800%2526x-signature%253DcThyqdx0JaMDn1m%25252FW48nPIV%25252B9%25252FQ%25253D%2526t%253D4d5b0474%2526ps%253D13740610%2526shp%253Dd05b14bd%2526shcp%253D34ff8df6%2526idc%253Dmy3%2526s%253DTIKTOK_AFFILIATE_VIRAL_VIDEO%22%2C%22placeholder_product_id%22%3A%221729729730555512511%22%2C%22placeholder_video_id%22%3A%227636576477621832981%22%7D&amp;ec_shared_reflux_scene=shop_tab_feed&amp;share_item_id=7636576477621832981&amp;source=h5_t</v>
      </c>
    </row>
    <row r="984">
      <c r="A984" s="255" t="str">
        <f>IFERROR(__xludf.DUMMYFUNCTION("""COMPUTED_VALUE"""),"MICRO")</f>
        <v>MICRO</v>
      </c>
      <c r="B984" s="361" t="str">
        <f>IFERROR(__xludf.DUMMYFUNCTION("""COMPUTED_VALUE"""),"Sans.Review")</f>
        <v>Sans.Review</v>
      </c>
      <c r="C984" s="257" t="str">
        <f>IFERROR(__xludf.DUMMYFUNCTION("""COMPUTED_VALUE"""),"https://www.tiktok.com/@Sans.Review")</f>
        <v>https://www.tiktok.com/@Sans.Review</v>
      </c>
      <c r="D984" s="270"/>
      <c r="E984" s="457">
        <f>IFERROR(__xludf.DUMMYFUNCTION("""COMPUTED_VALUE"""),100000.0)</f>
        <v>100000</v>
      </c>
      <c r="F984" s="270">
        <f>IFERROR(__xludf.DUMMYFUNCTION("""COMPUTED_VALUE"""),2.0)</f>
        <v>2</v>
      </c>
      <c r="G984" s="17" t="str">
        <f>IFERROR(__xludf.DUMMYFUNCTION("""COMPUTED_VALUE"""),"Sabun batang 1 Box ( 2 PCS )")</f>
        <v>Sabun batang 1 Box ( 2 PCS )</v>
      </c>
      <c r="H984" s="463" t="str">
        <f>IFERROR(__xludf.DUMMYFUNCTION("""COMPUTED_VALUE"""),"Sampai")</f>
        <v>Sampai</v>
      </c>
      <c r="I984" s="464" t="str">
        <f>IFERROR(__xludf.DUMMYFUNCTION("""COMPUTED_VALUE"""),"KIMME")</f>
        <v>KIMME</v>
      </c>
      <c r="J984" s="279" t="str">
        <f>IFERROR(__xludf.DUMMYFUNCTION("""COMPUTED_VALUE"""),"https://vt.tiktok.com/ZS9kU8fXU/")</f>
        <v>https://vt.tiktok.com/ZS9kU8fXU/</v>
      </c>
      <c r="K984" s="464" t="str">
        <f>IFERROR(__xludf.DUMMYFUNCTION("""COMPUTED_VALUE"""),"KIMME")</f>
        <v>KIMME</v>
      </c>
      <c r="L984" s="279" t="str">
        <f>IFERROR(__xludf.DUMMYFUNCTION("""COMPUTED_VALUE"""),"https://vt.tiktok.com/ZS9kDQNE4/")</f>
        <v>https://vt.tiktok.com/ZS9kDQNE4/</v>
      </c>
      <c r="M984" s="464"/>
      <c r="N984" s="279" t="str">
        <f>IFERROR(__xludf.DUMMYFUNCTION("""COMPUTED_VALUE"""),"https://www.tiktok.com/@racun_spalspil12/video/7636585486609370389?_r=1&amp;u_code=cllj6j6aidf05b&amp;region=&amp;mid=7497471422952917815&amp;preview_pb=0&amp;sharer_language=&amp;_d=0&amp;ec_shared_reflux_dynamic_params=%7B%22placeholder_material_id%22%3A%227636585486609370389%22%2"&amp;"C%22placeholder_origin_cover%22%3A%22https%253A%252F%252Fp16-common-sign.tiktokcdn.com%252Ftos-alisg-p-0037%252Fo8mRf6Ezevl0AFwifn2rGRAfdgQ84GlYQ6mhnx~tplv-tiktokx-origin.jpeg%253Fdr%253D14572%2526refresh_token%253Df7ad2d24%2526x-expires%253D1810720800%25"&amp;"26x-signature%253DCOzENZvpP8TKhSkoruYTPLmkAY4%25253D%2526t%253D4d5b0474%2526ps%253D13740610%2526shp%253Dd05b14bd%2526shcp%253D34ff8df6%2526idc%253Dmy3%2526s%253DTIKTOK_AFFILIATE_VIRAL_VIDEO%22%2C%22placeholder_product_id%22%3A%221729729730555512511%22%2C%"&amp;"22placeholder_video_id%22%3A%227636585486609370389%22%7D&amp;ec_shared_reflux_scene=shop_tab_feed&amp;share_item_id=7636585486609370389&amp;source=h5_t")</f>
        <v>https://www.tiktok.com/@racun_spalspil12/video/7636585486609370389?_r=1&amp;u_code=cllj6j6aidf05b&amp;region=&amp;mid=7497471422952917815&amp;preview_pb=0&amp;sharer_language=&amp;_d=0&amp;ec_shared_reflux_dynamic_params=%7B%22placeholder_material_id%22%3A%227636585486609370389%22%2C%22placeholder_origin_cover%22%3A%22https%253A%252F%252Fp16-common-sign.tiktokcdn.com%252Ftos-alisg-p-0037%252Fo8mRf6Ezevl0AFwifn2rGRAfdgQ84GlYQ6mhnx~tplv-tiktokx-origin.jpeg%253Fdr%253D14572%2526refresh_token%253Df7ad2d24%2526x-expires%253D1810720800%2526x-signature%253DCOzENZvpP8TKhSkoruYTPLmkAY4%25253D%2526t%253D4d5b0474%2526ps%253D13740610%2526shp%253Dd05b14bd%2526shcp%253D34ff8df6%2526idc%253Dmy3%2526s%253DTIKTOK_AFFILIATE_VIRAL_VIDEO%22%2C%22placeholder_product_id%22%3A%221729729730555512511%22%2C%22placeholder_video_id%22%3A%227636585486609370389%22%7D&amp;ec_shared_reflux_scene=shop_tab_feed&amp;share_item_id=7636585486609370389&amp;source=h5_t</v>
      </c>
      <c r="O984" s="464"/>
      <c r="P984" s="279" t="str">
        <f>IFERROR(__xludf.DUMMYFUNCTION("""COMPUTED_VALUE"""),"https://www.tiktok.com/@racun_spalspil12/video/7636586302984424725?_r=1&amp;u_code=cllj6j6aidf05b&amp;region=&amp;mid=7514003816174454785&amp;preview_pb=0&amp;sharer_language=&amp;_d=0&amp;ec_shared_reflux_dynamic_params=%7B%22placeholder_material_id%22%3A%227636586302984424725%22%2"&amp;"C%22placeholder_origin_cover%22%3A%22https%253A%252F%252Fp16-common-sign.tiktokcdn.com%252Ftos-alisg-p-0037%252FocpTC6oGE3tF1HmAiAxIeUoOjqYLDDCeIfOIq4~tplv-tiktokx-origin.jpeg%253Fdr%253D14572%2526refresh_token%253D56cca850%2526x-expires%253D1810720800%25"&amp;"26x-signature%253DxJtsjPq7gpXzLcCJBKwUrw%25252FYlBk%25253D%2526t%253D4d5b0474%2526ps%253D13740610%2526shp%253Dd05b14bd%2526shcp%253D34ff8df6%2526idc%253Dmy3%2526s%253DTIKTOK_AFFILIATE_VIRAL_VIDEO%22%2C%22placeholder_product_id%22%3A%221729729730555512511%"&amp;"22%2C%22placeholder_video_id%22%3A%227636586302984424725%22%7D&amp;ec_shared_reflux_scene=shop_tab_feed&amp;share_item_id=7636586302984424725&amp;source=h5_t")</f>
        <v>https://www.tiktok.com/@racun_spalspil12/video/7636586302984424725?_r=1&amp;u_code=cllj6j6aidf05b&amp;region=&amp;mid=7514003816174454785&amp;preview_pb=0&amp;sharer_language=&amp;_d=0&amp;ec_shared_reflux_dynamic_params=%7B%22placeholder_material_id%22%3A%227636586302984424725%22%2C%22placeholder_origin_cover%22%3A%22https%253A%252F%252Fp16-common-sign.tiktokcdn.com%252Ftos-alisg-p-0037%252FocpTC6oGE3tF1HmAiAxIeUoOjqYLDDCeIfOIq4~tplv-tiktokx-origin.jpeg%253Fdr%253D14572%2526refresh_token%253D56cca850%2526x-expires%253D1810720800%2526x-signature%253DxJtsjPq7gpXzLcCJBKwUrw%25252FYlBk%25253D%2526t%253D4d5b0474%2526ps%253D13740610%2526shp%253Dd05b14bd%2526shcp%253D34ff8df6%2526idc%253Dmy3%2526s%253DTIKTOK_AFFILIATE_VIRAL_VIDEO%22%2C%22placeholder_product_id%22%3A%221729729730555512511%22%2C%22placeholder_video_id%22%3A%227636586302984424725%22%7D&amp;ec_shared_reflux_scene=shop_tab_feed&amp;share_item_id=7636586302984424725&amp;source=h5_t</v>
      </c>
    </row>
    <row r="985">
      <c r="A985" s="255" t="str">
        <f>IFERROR(__xludf.DUMMYFUNCTION("""COMPUTED_VALUE"""),"MICRO")</f>
        <v>MICRO</v>
      </c>
      <c r="B985" s="361" t="str">
        <f>IFERROR(__xludf.DUMMYFUNCTION("""COMPUTED_VALUE"""),"akuakansuksess")</f>
        <v>akuakansuksess</v>
      </c>
      <c r="C985" s="257" t="str">
        <f>IFERROR(__xludf.DUMMYFUNCTION("""COMPUTED_VALUE"""),"https://www.tiktok.com/@akuakansuksess")</f>
        <v>https://www.tiktok.com/@akuakansuksess</v>
      </c>
      <c r="D985" s="270"/>
      <c r="E985" s="457">
        <f>IFERROR(__xludf.DUMMYFUNCTION("""COMPUTED_VALUE"""),100000.0)</f>
        <v>100000</v>
      </c>
      <c r="F985" s="270">
        <f>IFERROR(__xludf.DUMMYFUNCTION("""COMPUTED_VALUE"""),2.0)</f>
        <v>2</v>
      </c>
      <c r="G985" s="17" t="str">
        <f>IFERROR(__xludf.DUMMYFUNCTION("""COMPUTED_VALUE"""),"Sabun batang 1 Box ( 2 PCS )")</f>
        <v>Sabun batang 1 Box ( 2 PCS )</v>
      </c>
      <c r="H985" s="463" t="str">
        <f>IFERROR(__xludf.DUMMYFUNCTION("""COMPUTED_VALUE"""),"Sampai")</f>
        <v>Sampai</v>
      </c>
      <c r="I985" s="464" t="str">
        <f>IFERROR(__xludf.DUMMYFUNCTION("""COMPUTED_VALUE"""),"KIMME")</f>
        <v>KIMME</v>
      </c>
      <c r="J985" s="279" t="str">
        <f>IFERROR(__xludf.DUMMYFUNCTION("""COMPUTED_VALUE"""),"https://vt.tiktok.com/ZSHtUM9nX/")</f>
        <v>https://vt.tiktok.com/ZSHtUM9nX/</v>
      </c>
      <c r="K985" s="464" t="str">
        <f>IFERROR(__xludf.DUMMYFUNCTION("""COMPUTED_VALUE"""),"KIMME")</f>
        <v>KIMME</v>
      </c>
      <c r="L985" s="279" t="str">
        <f>IFERROR(__xludf.DUMMYFUNCTION("""COMPUTED_VALUE"""),"https://vt.tiktok.com/ZSHtUkjLf/")</f>
        <v>https://vt.tiktok.com/ZSHtUkjLf/</v>
      </c>
      <c r="M985" s="464"/>
      <c r="N985" s="279" t="str">
        <f>IFERROR(__xludf.DUMMYFUNCTION("""COMPUTED_VALUE"""),"https://www.tiktok.com/@racun_spalspil12/video/7636589109049314580?_r=1&amp;u_code=cllj6j6aidf05b&amp;region=&amp;mid=7526377439288314641&amp;preview_pb=0&amp;sharer_language=&amp;_d=0&amp;ec_shared_reflux_dynamic_params=%7B%22placeholder_material_id%22%3A%227636589109049314580%22%2"&amp;"C%22placeholder_origin_cover%22%3A%22https%253A%252F%252Fp16-common-sign.tiktokcdn.com%252Ftos-alisg-p-0037%252FoUIX6p4EnBUcIgRl0VIAbiiB6nBYGfBljfzUWc~tplv-tiktokx-origin.jpeg%253Fdr%253D14572%2526refresh_token%253Db0f60c2b%2526x-expires%253D1810720800%25"&amp;"26x-signature%253DBCHgBdEeuFf9zF%25252BAIRshVtfxMxA%25253D%2526t%253D4d5b0474%2526ps%253D13740610%2526shp%253Dd05b14bd%2526shcp%253D34ff8df6%2526idc%253Dmy3%2526s%253DTIKTOK_AFFILIATE_VIRAL_VIDEO%22%2C%22placeholder_product_id%22%3A%221729729730555512511%"&amp;"22%2C%22placeholder_video_id%22%3A%227636589109049314580%22%7D&amp;ec_shared_reflux_scene=shop_tab_feed&amp;share_item_id=7636589109049314580&amp;source=h5_t")</f>
        <v>https://www.tiktok.com/@racun_spalspil12/video/7636589109049314580?_r=1&amp;u_code=cllj6j6aidf05b&amp;region=&amp;mid=7526377439288314641&amp;preview_pb=0&amp;sharer_language=&amp;_d=0&amp;ec_shared_reflux_dynamic_params=%7B%22placeholder_material_id%22%3A%227636589109049314580%22%2C%22placeholder_origin_cover%22%3A%22https%253A%252F%252Fp16-common-sign.tiktokcdn.com%252Ftos-alisg-p-0037%252FoUIX6p4EnBUcIgRl0VIAbiiB6nBYGfBljfzUWc~tplv-tiktokx-origin.jpeg%253Fdr%253D14572%2526refresh_token%253Db0f60c2b%2526x-expires%253D1810720800%2526x-signature%253DBCHgBdEeuFf9zF%25252BAIRshVtfxMxA%25253D%2526t%253D4d5b0474%2526ps%253D13740610%2526shp%253Dd05b14bd%2526shcp%253D34ff8df6%2526idc%253Dmy3%2526s%253DTIKTOK_AFFILIATE_VIRAL_VIDEO%22%2C%22placeholder_product_id%22%3A%221729729730555512511%22%2C%22placeholder_video_id%22%3A%227636589109049314580%22%7D&amp;ec_shared_reflux_scene=shop_tab_feed&amp;share_item_id=7636589109049314580&amp;source=h5_t</v>
      </c>
      <c r="O985" s="464"/>
      <c r="P985" s="279" t="str">
        <f>IFERROR(__xludf.DUMMYFUNCTION("""COMPUTED_VALUE"""),"https://www.tiktok.com/@racun_spalspil12/video/7636589735493848341?_r=1&amp;u_code=cllj6j6aidf05b&amp;region=&amp;mid=7486067442412406801&amp;preview_pb=0&amp;sharer_language=&amp;_d=0&amp;ec_shared_reflux_dynamic_params=%7B%22placeholder_material_id%22%3A%227636589735493848341%22%2"&amp;"C%22placeholder_origin_cover%22%3A%22https%253A%252F%252Fp16-common-sign.tiktokcdn.com%252Ftos-alisg-p-0037%252FoQnRn6IfkXeoAFwhKn7fGpAIdQgU8G2Mg1OfGS~tplv-tiktokx-origin.jpeg%253Fdr%253D14572%2526refresh_token%253D060bb6b4%2526x-expires%253D1810720800%25"&amp;"26x-signature%253Dt0Du%25252FctYm5NffiHD0iB6NBPTB6o%25253D%2526t%253D4d5b0474%2526ps%253D13740610%2526shp%253Dd05b14bd%2526shcp%253D34ff8df6%2526idc%253Dmy3%2526s%253DTIKTOK_AFFILIATE_VIRAL_VIDEO%22%2C%22placeholder_product_id%22%3A%221729729730555512511%"&amp;"22%2C%22placeholder_video_id%22%3A%227636589735493848341%22%7D&amp;ec_shared_reflux_scene=shop_tab_feed&amp;share_item_id=7636589735493848341&amp;source=h5_t")</f>
        <v>https://www.tiktok.com/@racun_spalspil12/video/7636589735493848341?_r=1&amp;u_code=cllj6j6aidf05b&amp;region=&amp;mid=7486067442412406801&amp;preview_pb=0&amp;sharer_language=&amp;_d=0&amp;ec_shared_reflux_dynamic_params=%7B%22placeholder_material_id%22%3A%227636589735493848341%22%2C%22placeholder_origin_cover%22%3A%22https%253A%252F%252Fp16-common-sign.tiktokcdn.com%252Ftos-alisg-p-0037%252FoQnRn6IfkXeoAFwhKn7fGpAIdQgU8G2Mg1OfGS~tplv-tiktokx-origin.jpeg%253Fdr%253D14572%2526refresh_token%253D060bb6b4%2526x-expires%253D1810720800%2526x-signature%253Dt0Du%25252FctYm5NffiHD0iB6NBPTB6o%25253D%2526t%253D4d5b0474%2526ps%253D13740610%2526shp%253Dd05b14bd%2526shcp%253D34ff8df6%2526idc%253Dmy3%2526s%253DTIKTOK_AFFILIATE_VIRAL_VIDEO%22%2C%22placeholder_product_id%22%3A%221729729730555512511%22%2C%22placeholder_video_id%22%3A%227636589735493848341%22%7D&amp;ec_shared_reflux_scene=shop_tab_feed&amp;share_item_id=7636589735493848341&amp;source=h5_t</v>
      </c>
    </row>
    <row r="986">
      <c r="A986" s="255" t="str">
        <f>IFERROR(__xludf.DUMMYFUNCTION("""COMPUTED_VALUE"""),"MICRO")</f>
        <v>MICRO</v>
      </c>
      <c r="B986" s="361" t="str">
        <f>IFERROR(__xludf.DUMMYFUNCTION("""COMPUTED_VALUE"""),"felicee_05")</f>
        <v>felicee_05</v>
      </c>
      <c r="C986" s="257" t="str">
        <f>IFERROR(__xludf.DUMMYFUNCTION("""COMPUTED_VALUE"""),"https://www.tiktok.com/@felicee_05")</f>
        <v>https://www.tiktok.com/@felicee_05</v>
      </c>
      <c r="D986" s="270"/>
      <c r="E986" s="457">
        <f>IFERROR(__xludf.DUMMYFUNCTION("""COMPUTED_VALUE"""),100000.0)</f>
        <v>100000</v>
      </c>
      <c r="F986" s="270">
        <f>IFERROR(__xludf.DUMMYFUNCTION("""COMPUTED_VALUE"""),2.0)</f>
        <v>2</v>
      </c>
      <c r="G986" s="17" t="str">
        <f>IFERROR(__xludf.DUMMYFUNCTION("""COMPUTED_VALUE"""),"Sabun batang 1 Box ( 2 PCS )")</f>
        <v>Sabun batang 1 Box ( 2 PCS )</v>
      </c>
      <c r="H986" s="463" t="str">
        <f>IFERROR(__xludf.DUMMYFUNCTION("""COMPUTED_VALUE"""),"Sampai")</f>
        <v>Sampai</v>
      </c>
      <c r="I986" s="464" t="str">
        <f>IFERROR(__xludf.DUMMYFUNCTION("""COMPUTED_VALUE"""),"KIMME")</f>
        <v>KIMME</v>
      </c>
      <c r="J986" s="279" t="str">
        <f>IFERROR(__xludf.DUMMYFUNCTION("""COMPUTED_VALUE"""),"https://vt.tiktok.com/ZS9es62Q2/")</f>
        <v>https://vt.tiktok.com/ZS9es62Q2/</v>
      </c>
      <c r="K986" s="464" t="str">
        <f>IFERROR(__xludf.DUMMYFUNCTION("""COMPUTED_VALUE"""),"KIMME")</f>
        <v>KIMME</v>
      </c>
      <c r="L986" s="279" t="str">
        <f>IFERROR(__xludf.DUMMYFUNCTION("""COMPUTED_VALUE"""),"https://vt.tiktok.com/ZS9FPqxwa/")</f>
        <v>https://vt.tiktok.com/ZS9FPqxwa/</v>
      </c>
      <c r="M986" s="464"/>
      <c r="N986" s="279" t="str">
        <f>IFERROR(__xludf.DUMMYFUNCTION("""COMPUTED_VALUE"""),"https://www.tiktok.com/@racun_spalspil12/video/7636590205029420309?_r=1&amp;u_code=cllj6j6aidf05b&amp;region=&amp;mid=7628937677475810064&amp;preview_pb=0&amp;sharer_language=&amp;_d=0&amp;ec_shared_reflux_dynamic_params=%7B%22placeholder_material_id%22%3A%227636590205029420309%22%2"&amp;"C%22placeholder_origin_cover%22%3A%22https%253A%252F%252Fp16-common-sign.tiktokcdn.com%252Ftos-alisg-p-0037%252FocADCm76OfTIeCTPYTGTfIh849njIvLAC4DI4t~tplv-tiktokx-origin.jpeg%253Fdr%253D14572%2526refresh_token%253Df1764856%2526x-expires%253D1810720800%25"&amp;"26x-signature%253D4kZOPE5xRXdhEXlhSA0dKHdmrmQ%25253D%2526t%253D4d5b0474%2526ps%253D13740610%2526shp%253Dd05b14bd%2526shcp%253D34ff8df6%2526idc%253Dmy3%2526s%253DTIKTOK_AFFILIATE_VIRAL_VIDEO%22%2C%22placeholder_product_id%22%3A%221729729730555512511%22%2C%"&amp;"22placeholder_video_id%22%3A%227636590205029420309%22%7D&amp;ec_shared_reflux_scene=shop_tab_feed&amp;share_item_id=7636590205029420309&amp;source=h5_t")</f>
        <v>https://www.tiktok.com/@racun_spalspil12/video/7636590205029420309?_r=1&amp;u_code=cllj6j6aidf05b&amp;region=&amp;mid=7628937677475810064&amp;preview_pb=0&amp;sharer_language=&amp;_d=0&amp;ec_shared_reflux_dynamic_params=%7B%22placeholder_material_id%22%3A%227636590205029420309%22%2C%22placeholder_origin_cover%22%3A%22https%253A%252F%252Fp16-common-sign.tiktokcdn.com%252Ftos-alisg-p-0037%252FocADCm76OfTIeCTPYTGTfIh849njIvLAC4DI4t~tplv-tiktokx-origin.jpeg%253Fdr%253D14572%2526refresh_token%253Df1764856%2526x-expires%253D1810720800%2526x-signature%253D4kZOPE5xRXdhEXlhSA0dKHdmrmQ%25253D%2526t%253D4d5b0474%2526ps%253D13740610%2526shp%253Dd05b14bd%2526shcp%253D34ff8df6%2526idc%253Dmy3%2526s%253DTIKTOK_AFFILIATE_VIRAL_VIDEO%22%2C%22placeholder_product_id%22%3A%221729729730555512511%22%2C%22placeholder_video_id%22%3A%227636590205029420309%22%7D&amp;ec_shared_reflux_scene=shop_tab_feed&amp;share_item_id=7636590205029420309&amp;source=h5_t</v>
      </c>
      <c r="O986" s="464"/>
      <c r="P986" s="279" t="str">
        <f>IFERROR(__xludf.DUMMYFUNCTION("""COMPUTED_VALUE"""),"https://www.tiktok.com/@racun_spalspil12/video/7636601222341954836?_r=1&amp;u_code=cllj6j6aidf05b&amp;region=&amp;mid=7579718956010031120&amp;preview_pb=0&amp;sharer_language=&amp;_d=0&amp;ec_shared_reflux_dynamic_params=%7B%22placeholder_material_id%22%3A%227636601222341954836%22%2"&amp;"C%22placeholder_origin_cover%22%3A%22https%253A%252F%252Fp19-common-sign.tiktokcdn.com%252Ftos-alisg-p-0037%252FogVB7xrfn6npiBAzIQGVRq8BgiGEcQB8rxfCIn~tplv-tiktokx-origin.jpeg%253Fdr%253D14572%2526refresh_token%253D861384d4%2526x-expires%253D1810720800%25"&amp;"26x-signature%253DyLUBNJYAIFGeaPxkaQ4LOYzelrs%25253D%2526t%253D4d5b0474%2526ps%253D13740610%2526shp%253Dd05b14bd%2526shcp%253D34ff8df6%2526idc%253Dmy3%2526s%253DTIKTOK_AFFILIATE_VIRAL_VIDEO%22%2C%22placeholder_product_id%22%3A%221729729730555512511%22%2C%"&amp;"22placeholder_video_id%22%3A%227636601222341954836%22%7D&amp;ec_shared_reflux_scene=shop_tab_feed&amp;share_item_id=7636601222341954836&amp;source=h5_t")</f>
        <v>https://www.tiktok.com/@racun_spalspil12/video/7636601222341954836?_r=1&amp;u_code=cllj6j6aidf05b&amp;region=&amp;mid=7579718956010031120&amp;preview_pb=0&amp;sharer_language=&amp;_d=0&amp;ec_shared_reflux_dynamic_params=%7B%22placeholder_material_id%22%3A%227636601222341954836%22%2C%22placeholder_origin_cover%22%3A%22https%253A%252F%252Fp19-common-sign.tiktokcdn.com%252Ftos-alisg-p-0037%252FogVB7xrfn6npiBAzIQGVRq8BgiGEcQB8rxfCIn~tplv-tiktokx-origin.jpeg%253Fdr%253D14572%2526refresh_token%253D861384d4%2526x-expires%253D1810720800%2526x-signature%253DyLUBNJYAIFGeaPxkaQ4LOYzelrs%25253D%2526t%253D4d5b0474%2526ps%253D13740610%2526shp%253Dd05b14bd%2526shcp%253D34ff8df6%2526idc%253Dmy3%2526s%253DTIKTOK_AFFILIATE_VIRAL_VIDEO%22%2C%22placeholder_product_id%22%3A%221729729730555512511%22%2C%22placeholder_video_id%22%3A%227636601222341954836%22%7D&amp;ec_shared_reflux_scene=shop_tab_feed&amp;share_item_id=7636601222341954836&amp;source=h5_t</v>
      </c>
    </row>
    <row r="987">
      <c r="A987" s="255" t="str">
        <f>IFERROR(__xludf.DUMMYFUNCTION("""COMPUTED_VALUE"""),"MICRO")</f>
        <v>MICRO</v>
      </c>
      <c r="B987" s="361" t="str">
        <f>IFERROR(__xludf.DUMMYFUNCTION("""COMPUTED_VALUE"""),"n.meliay")</f>
        <v>n.meliay</v>
      </c>
      <c r="C987" s="257" t="str">
        <f>IFERROR(__xludf.DUMMYFUNCTION("""COMPUTED_VALUE"""),"https://www.tiktok.com/@n.meliay")</f>
        <v>https://www.tiktok.com/@n.meliay</v>
      </c>
      <c r="D987" s="270"/>
      <c r="E987" s="457">
        <f>IFERROR(__xludf.DUMMYFUNCTION("""COMPUTED_VALUE"""),100000.0)</f>
        <v>100000</v>
      </c>
      <c r="F987" s="270">
        <f>IFERROR(__xludf.DUMMYFUNCTION("""COMPUTED_VALUE"""),2.0)</f>
        <v>2</v>
      </c>
      <c r="G987" s="17" t="str">
        <f>IFERROR(__xludf.DUMMYFUNCTION("""COMPUTED_VALUE"""),"Sabun batang 1 Box ( 2 PCS )")</f>
        <v>Sabun batang 1 Box ( 2 PCS )</v>
      </c>
      <c r="H987" s="463" t="str">
        <f>IFERROR(__xludf.DUMMYFUNCTION("""COMPUTED_VALUE"""),"Sampai")</f>
        <v>Sampai</v>
      </c>
      <c r="I987" s="464" t="str">
        <f>IFERROR(__xludf.DUMMYFUNCTION("""COMPUTED_VALUE"""),"KIMME")</f>
        <v>KIMME</v>
      </c>
      <c r="J987" s="279" t="str">
        <f>IFERROR(__xludf.DUMMYFUNCTION("""COMPUTED_VALUE"""),"https://vt.tiktok.com/ZS96mAafa/")</f>
        <v>https://vt.tiktok.com/ZS96mAafa/</v>
      </c>
      <c r="K987" s="464" t="str">
        <f>IFERROR(__xludf.DUMMYFUNCTION("""COMPUTED_VALUE"""),"KIMME")</f>
        <v>KIMME</v>
      </c>
      <c r="L987" s="279" t="str">
        <f>IFERROR(__xludf.DUMMYFUNCTION("""COMPUTED_VALUE"""),"https://vt.tiktok.com/ZS9Mqonrs/")</f>
        <v>https://vt.tiktok.com/ZS9Mqonrs/</v>
      </c>
      <c r="M987" s="464"/>
      <c r="N987" s="279" t="str">
        <f>IFERROR(__xludf.DUMMYFUNCTION("""COMPUTED_VALUE"""),"https://www.tiktok.com/@racun_spalspil12/video/7636601443658501397?_r=1&amp;u_code=cllj6j6aidf05b&amp;region=&amp;mid=7604121927885359105&amp;preview_pb=0&amp;sharer_language=&amp;_d=0&amp;ec_shared_reflux_dynamic_params=%7B%22placeholder_material_id%22%3A%227636601443658501397%22%2"&amp;"C%22placeholder_origin_cover%22%3A%22https%253A%252F%252Fp16-common-sign.tiktokcdn.com%252Ftos-alisg-p-0037%252FoIqCEiZBw40ANoJiPr0IABA8IN6sJfIRqiTPmu~tplv-tiktokx-origin.jpeg%253Fdr%253D14572%2526refresh_token%253Da90ed0ca%2526x-expires%253D1810720800%25"&amp;"26x-signature%253DCShKTBJQOQqSNOcpA%25252BV00pb8hbQ%25253D%2526t%253D4d5b0474%2526ps%253D13740610%2526shp%253Dd05b14bd%2526shcp%253D34ff8df6%2526idc%253Dmy3%2526s%253DTIKTOK_AFFILIATE_VIRAL_VIDEO%22%2C%22placeholder_product_id%22%3A%221729729730555512511%"&amp;"22%2C%22placeholder_video_id%22%3A%227636601443658501397%22%7D&amp;ec_shared_reflux_scene=shop_tab_feed&amp;share_item_id=7636601443658501397&amp;source=h5_t")</f>
        <v>https://www.tiktok.com/@racun_spalspil12/video/7636601443658501397?_r=1&amp;u_code=cllj6j6aidf05b&amp;region=&amp;mid=7604121927885359105&amp;preview_pb=0&amp;sharer_language=&amp;_d=0&amp;ec_shared_reflux_dynamic_params=%7B%22placeholder_material_id%22%3A%227636601443658501397%22%2C%22placeholder_origin_cover%22%3A%22https%253A%252F%252Fp16-common-sign.tiktokcdn.com%252Ftos-alisg-p-0037%252FoIqCEiZBw40ANoJiPr0IABA8IN6sJfIRqiTPmu~tplv-tiktokx-origin.jpeg%253Fdr%253D14572%2526refresh_token%253Da90ed0ca%2526x-expires%253D1810720800%2526x-signature%253DCShKTBJQOQqSNOcpA%25252BV00pb8hbQ%25253D%2526t%253D4d5b0474%2526ps%253D13740610%2526shp%253Dd05b14bd%2526shcp%253D34ff8df6%2526idc%253Dmy3%2526s%253DTIKTOK_AFFILIATE_VIRAL_VIDEO%22%2C%22placeholder_product_id%22%3A%221729729730555512511%22%2C%22placeholder_video_id%22%3A%227636601443658501397%22%7D&amp;ec_shared_reflux_scene=shop_tab_feed&amp;share_item_id=7636601443658501397&amp;source=h5_t</v>
      </c>
      <c r="O987" s="464"/>
      <c r="P987" s="279" t="str">
        <f>IFERROR(__xludf.DUMMYFUNCTION("""COMPUTED_VALUE"""),"https://www.tiktok.com/@racun_spalspil12/video/7637215330879802645?_r=1&amp;u_code=cllj6j6aidf05b&amp;region=&amp;mid=7585367255886727943&amp;preview_pb=0&amp;sharer_language=&amp;_d=0&amp;ec_shared_reflux_dynamic_params=%7B%22placeholder_material_id%22%3A%227637215330879802645%22%2"&amp;"C%22placeholder_origin_cover%22%3A%22https%253A%252F%252Fp16-common-sign.tiktokcdn.com%252Ftos-alisg-p-0037%252FoQiauzMTfAQtDkfBi8lNTj1C4t8fIEPZIZRAIB~tplv-tiktokx-origin.jpeg%253Fdr%253D14572%2526refresh_token%253Dc9a4eb9f%2526x-expires%253D1810720800%25"&amp;"26x-signature%253DbVloeVT5T7EFMH52hsMt%25252F41Kcrs%25253D%2526t%253D4d5b0474%2526ps%253D13740610%2526shp%253Dd05b14bd%2526shcp%253D34ff8df6%2526idc%253Dmy3%2526s%253DTIKTOK_AFFILIATE_VIRAL_VIDEO%22%2C%22placeholder_product_id%22%3A%221729729730555512511%"&amp;"22%2C%22placeholder_video_id%22%3A%227637215330879802645%22%7D&amp;ec_shared_reflux_scene=shop_tab_feed&amp;share_item_id=7637215330879802645&amp;source=h5_t")</f>
        <v>https://www.tiktok.com/@racun_spalspil12/video/7637215330879802645?_r=1&amp;u_code=cllj6j6aidf05b&amp;region=&amp;mid=7585367255886727943&amp;preview_pb=0&amp;sharer_language=&amp;_d=0&amp;ec_shared_reflux_dynamic_params=%7B%22placeholder_material_id%22%3A%227637215330879802645%22%2C%22placeholder_origin_cover%22%3A%22https%253A%252F%252Fp16-common-sign.tiktokcdn.com%252Ftos-alisg-p-0037%252FoQiauzMTfAQtDkfBi8lNTj1C4t8fIEPZIZRAIB~tplv-tiktokx-origin.jpeg%253Fdr%253D14572%2526refresh_token%253Dc9a4eb9f%2526x-expires%253D1810720800%2526x-signature%253DbVloeVT5T7EFMH52hsMt%25252F41Kcrs%25253D%2526t%253D4d5b0474%2526ps%253D13740610%2526shp%253Dd05b14bd%2526shcp%253D34ff8df6%2526idc%253Dmy3%2526s%253DTIKTOK_AFFILIATE_VIRAL_VIDEO%22%2C%22placeholder_product_id%22%3A%221729729730555512511%22%2C%22placeholder_video_id%22%3A%227637215330879802645%22%7D&amp;ec_shared_reflux_scene=shop_tab_feed&amp;share_item_id=7637215330879802645&amp;source=h5_t</v>
      </c>
    </row>
    <row r="988">
      <c r="A988" s="255" t="str">
        <f>IFERROR(__xludf.DUMMYFUNCTION("""COMPUTED_VALUE"""),"MICRO")</f>
        <v>MICRO</v>
      </c>
      <c r="B988" s="361" t="str">
        <f>IFERROR(__xludf.DUMMYFUNCTION("""COMPUTED_VALUE"""),"Ayunitanf")</f>
        <v>Ayunitanf</v>
      </c>
      <c r="C988" s="257" t="str">
        <f>IFERROR(__xludf.DUMMYFUNCTION("""COMPUTED_VALUE"""),"https://www.tiktok.com/@Ayunitanf")</f>
        <v>https://www.tiktok.com/@Ayunitanf</v>
      </c>
      <c r="D988" s="270"/>
      <c r="E988" s="457">
        <f>IFERROR(__xludf.DUMMYFUNCTION("""COMPUTED_VALUE"""),100000.0)</f>
        <v>100000</v>
      </c>
      <c r="F988" s="270">
        <f>IFERROR(__xludf.DUMMYFUNCTION("""COMPUTED_VALUE"""),2.0)</f>
        <v>2</v>
      </c>
      <c r="G988" s="17" t="str">
        <f>IFERROR(__xludf.DUMMYFUNCTION("""COMPUTED_VALUE"""),"Sabun batang 1 Box ( 2 PCS )")</f>
        <v>Sabun batang 1 Box ( 2 PCS )</v>
      </c>
      <c r="H988" s="463" t="str">
        <f>IFERROR(__xludf.DUMMYFUNCTION("""COMPUTED_VALUE"""),"Sampai")</f>
        <v>Sampai</v>
      </c>
      <c r="I988" s="464" t="str">
        <f>IFERROR(__xludf.DUMMYFUNCTION("""COMPUTED_VALUE"""),"KIMME")</f>
        <v>KIMME</v>
      </c>
      <c r="J988" s="279" t="str">
        <f>IFERROR(__xludf.DUMMYFUNCTION("""COMPUTED_VALUE"""),"https://www.tiktok.com/@harumrice/video/7637486574992854293?_r=1&amp;u_code=d6j7255963058c&amp;region=&amp;mid=7579718924125161489&amp;preview_pb=0&amp;sharer_language=&amp;_d=0&amp;ec_shared_reflux_dynamic_params=%7B%22placeholder_material_id%22%3A%227637486574992854293%22%2C%22pla"&amp;"ceholder_origin_cover%22%3A%22https%253A%252F%252Fp16-common-sign.tiktokcdn.com%252Ftos-alisg-p-0037%252Fo8enkWpRRAvYBGRTAILhezwGbePmfZ5IGRFP9I~tplv-tiktokx-origin.jpeg%253Fdr%253D14572%2526refresh_token%253Df9f5f8c4%2526x-expires%253D1810717200%2526x-sig"&amp;"nature%253D38qZeArJizd0Y7hfc3yxth37tbA%25253D%2526t%253D4d5b0474%2526ps%253D13740610%2526shp%253Dd05b14bd%2526shcp%253D34ff8df6%2526idc%253Dmy3%2526s%253DTIKTOK_AFFILIATE_VIRAL_VIDEO%22%2C%22placeholder_product_id%22%3A%221729427766722726591%22%2C%22place"&amp;"holder_video_id%22%3A%227637486574992854293%22%7D&amp;ec_shared_reflux_scene=shop_tab_feed&amp;share_item_id=7637486574992854293&amp;source=h5_t")</f>
        <v>https://www.tiktok.com/@harumrice/video/7637486574992854293?_r=1&amp;u_code=d6j7255963058c&amp;region=&amp;mid=7579718924125161489&amp;preview_pb=0&amp;sharer_language=&amp;_d=0&amp;ec_shared_reflux_dynamic_params=%7B%22placeholder_material_id%22%3A%227637486574992854293%22%2C%22placeholder_origin_cover%22%3A%22https%253A%252F%252Fp16-common-sign.tiktokcdn.com%252Ftos-alisg-p-0037%252Fo8enkWpRRAvYBGRTAILhezwGbePmfZ5IGRFP9I~tplv-tiktokx-origin.jpeg%253Fdr%253D14572%2526refresh_token%253Df9f5f8c4%2526x-expires%253D1810717200%2526x-signature%253D38qZeArJizd0Y7hfc3yxth37tbA%25253D%2526t%253D4d5b0474%2526ps%253D13740610%2526shp%253Dd05b14bd%2526shcp%253D34ff8df6%2526idc%253Dmy3%2526s%253DTIKTOK_AFFILIATE_VIRAL_VIDEO%22%2C%22placeholder_product_id%22%3A%221729427766722726591%22%2C%22placeholder_video_id%22%3A%227637486574992854293%22%7D&amp;ec_shared_reflux_scene=shop_tab_feed&amp;share_item_id=7637486574992854293&amp;source=h5_t</v>
      </c>
      <c r="K988" s="464" t="str">
        <f>IFERROR(__xludf.DUMMYFUNCTION("""COMPUTED_VALUE"""),"KIMME")</f>
        <v>KIMME</v>
      </c>
      <c r="L988" s="279" t="str">
        <f>IFERROR(__xludf.DUMMYFUNCTION("""COMPUTED_VALUE"""),"https://www.tiktok.com/@harumrice/video/7637474214160682261?_r=1&amp;u_code=d6j7255963058c&amp;region=&amp;mid=7631845905444539157&amp;preview_pb=0&amp;sharer_language=&amp;_d=0&amp;ec_shared_reflux_dynamic_params=%7B%22placeholder_material_id%22%3A%227637474214160682261%22%2C%22pla"&amp;"ceholder_origin_cover%22%3A%22https%253A%252F%252Fp16-common-sign.tiktokcdn.com%252Ftos-alisg-p-0037%252FokrJO7IEcTQgf6LTAMCQjhIFdfHJfhI4DDsCAJ~tplv-tiktokx-origin.jpeg%253Fdr%253D14572%2526refresh_token%253D100fb381%2526x-expires%253D1810717200%2526x-sig"&amp;"nature%253DX0cIjqa9o%25252BsnQwZXa1SeebTFN0U%25253D%2526t%253D4d5b0474%2526ps%253D13740610%2526shp%253Dd05b14bd%2526shcp%253D34ff8df6%2526idc%253Dmy3%2526s%253DTIKTOK_AFFILIATE_VIRAL_VIDEO%22%2C%22placeholder_product_id%22%3A%221729427766722726591%22%2C%2"&amp;"2placeholder_video_id%22%3A%227637474214160682261%22%7D&amp;ec_shared_reflux_scene=shop_tab_feed&amp;share_item_id=7637474214160682261&amp;source=h5_t")</f>
        <v>https://www.tiktok.com/@harumrice/video/7637474214160682261?_r=1&amp;u_code=d6j7255963058c&amp;region=&amp;mid=7631845905444539157&amp;preview_pb=0&amp;sharer_language=&amp;_d=0&amp;ec_shared_reflux_dynamic_params=%7B%22placeholder_material_id%22%3A%227637474214160682261%22%2C%22placeholder_origin_cover%22%3A%22https%253A%252F%252Fp16-common-sign.tiktokcdn.com%252Ftos-alisg-p-0037%252FokrJO7IEcTQgf6LTAMCQjhIFdfHJfhI4DDsCAJ~tplv-tiktokx-origin.jpeg%253Fdr%253D14572%2526refresh_token%253D100fb381%2526x-expires%253D1810717200%2526x-signature%253DX0cIjqa9o%25252BsnQwZXa1SeebTFN0U%25253D%2526t%253D4d5b0474%2526ps%253D13740610%2526shp%253Dd05b14bd%2526shcp%253D34ff8df6%2526idc%253Dmy3%2526s%253DTIKTOK_AFFILIATE_VIRAL_VIDEO%22%2C%22placeholder_product_id%22%3A%221729427766722726591%22%2C%22placeholder_video_id%22%3A%227637474214160682261%22%7D&amp;ec_shared_reflux_scene=shop_tab_feed&amp;share_item_id=7637474214160682261&amp;source=h5_t</v>
      </c>
      <c r="M988" s="464"/>
      <c r="N988" s="279" t="str">
        <f>IFERROR(__xludf.DUMMYFUNCTION("""COMPUTED_VALUE"""),"https://www.tiktok.com/@racun_spalspil12/video/7637215804181777685?_r=1&amp;u_code=cllj6j6aidf05b&amp;region=&amp;mid=7604473397582940177&amp;preview_pb=0&amp;sharer_language=&amp;_d=0&amp;ec_shared_reflux_dynamic_params=%7B%22placeholder_material_id%22%3A%227637215804181777685%22%2"&amp;"C%22placeholder_origin_cover%22%3A%22https%253A%252F%252Fp16-common-sign.tiktokcdn.com%252Ftos-alisg-p-0037%252FoklE1XifyIBMj7BAuw3gf3ihp8IWR0YBc21m1B~tplv-tiktokx-origin.jpeg%253Fdr%253D14572%2526refresh_token%253D51966eb0%2526x-expires%253D1810720800%25"&amp;"26x-signature%253DOaB1H8FSiCI2TMCL0EAn0inxLBw%25253D%2526t%253D4d5b0474%2526ps%253D13740610%2526shp%253Dd05b14bd%2526shcp%253D34ff8df6%2526idc%253Dmy3%2526s%253DTIKTOK_AFFILIATE_VIRAL_VIDEO%22%2C%22placeholder_product_id%22%3A%221729729730555512511%22%2C%"&amp;"22placeholder_video_id%22%3A%227637215804181777685%22%7D&amp;ec_shared_reflux_scene=shop_tab_feed&amp;share_item_id=7637215804181777685&amp;source=h5_t")</f>
        <v>https://www.tiktok.com/@racun_spalspil12/video/7637215804181777685?_r=1&amp;u_code=cllj6j6aidf05b&amp;region=&amp;mid=7604473397582940177&amp;preview_pb=0&amp;sharer_language=&amp;_d=0&amp;ec_shared_reflux_dynamic_params=%7B%22placeholder_material_id%22%3A%227637215804181777685%22%2C%22placeholder_origin_cover%22%3A%22https%253A%252F%252Fp16-common-sign.tiktokcdn.com%252Ftos-alisg-p-0037%252FoklE1XifyIBMj7BAuw3gf3ihp8IWR0YBc21m1B~tplv-tiktokx-origin.jpeg%253Fdr%253D14572%2526refresh_token%253D51966eb0%2526x-expires%253D1810720800%2526x-signature%253DOaB1H8FSiCI2TMCL0EAn0inxLBw%25253D%2526t%253D4d5b0474%2526ps%253D13740610%2526shp%253Dd05b14bd%2526shcp%253D34ff8df6%2526idc%253Dmy3%2526s%253DTIKTOK_AFFILIATE_VIRAL_VIDEO%22%2C%22placeholder_product_id%22%3A%221729729730555512511%22%2C%22placeholder_video_id%22%3A%227637215804181777685%22%7D&amp;ec_shared_reflux_scene=shop_tab_feed&amp;share_item_id=7637215804181777685&amp;source=h5_t</v>
      </c>
      <c r="O988" s="464"/>
      <c r="P988" s="279" t="str">
        <f>IFERROR(__xludf.DUMMYFUNCTION("""COMPUTED_VALUE"""),"https://www.tiktok.com/@racun_spalspil12/video/7641430923380034837?_r=1&amp;u_code=cllj6j6aidf05b&amp;region=&amp;mid=7632650978155694866&amp;preview_pb=0&amp;sharer_language=&amp;_d=0&amp;ec_shared_reflux_dynamic_params=%7B%22placeholder_material_id%22%3A%227641430923380034837%22%2"&amp;"C%22placeholder_origin_cover%22%3A%22https%253A%252F%252Fp16-common-sign.tiktokcdn.com%252Ftos-alisg-p-0037%252FokBGRfD0Co9fBl6WL3nwUC3EF6nFQEqJBQgASV~tplv-tiktokx-origin.jpeg%253Fdr%253D14572%2526refresh_token%253D4fe5e644%2526x-expires%253D1810720800%25"&amp;"26x-signature%253DACpdmwQxjV%25252F8c6XNJfBpSQ3a1Do%25253D%2526t%253D4d5b0474%2526ps%253D13740610%2526shp%253Dd05b14bd%2526shcp%253D34ff8df6%2526idc%253Dmy3%2526s%253DTIKTOK_AFFILIATE_VIRAL_VIDEO%22%2C%22placeholder_product_id%22%3A%221729729730555512511%"&amp;"22%2C%22placeholder_video_id%22%3A%227641430923380034837%22%7D&amp;ec_shared_reflux_scene=shop_tab_feed&amp;share_item_id=7641430923380034837&amp;source=h5_t")</f>
        <v>https://www.tiktok.com/@racun_spalspil12/video/7641430923380034837?_r=1&amp;u_code=cllj6j6aidf05b&amp;region=&amp;mid=7632650978155694866&amp;preview_pb=0&amp;sharer_language=&amp;_d=0&amp;ec_shared_reflux_dynamic_params=%7B%22placeholder_material_id%22%3A%227641430923380034837%22%2C%22placeholder_origin_cover%22%3A%22https%253A%252F%252Fp16-common-sign.tiktokcdn.com%252Ftos-alisg-p-0037%252FokBGRfD0Co9fBl6WL3nwUC3EF6nFQEqJBQgASV~tplv-tiktokx-origin.jpeg%253Fdr%253D14572%2526refresh_token%253D4fe5e644%2526x-expires%253D1810720800%2526x-signature%253DACpdmwQxjV%25252F8c6XNJfBpSQ3a1Do%25253D%2526t%253D4d5b0474%2526ps%253D13740610%2526shp%253Dd05b14bd%2526shcp%253D34ff8df6%2526idc%253Dmy3%2526s%253DTIKTOK_AFFILIATE_VIRAL_VIDEO%22%2C%22placeholder_product_id%22%3A%221729729730555512511%22%2C%22placeholder_video_id%22%3A%227641430923380034837%22%7D&amp;ec_shared_reflux_scene=shop_tab_feed&amp;share_item_id=7641430923380034837&amp;source=h5_t</v>
      </c>
    </row>
    <row r="989">
      <c r="A989" s="255" t="str">
        <f>IFERROR(__xludf.DUMMYFUNCTION("""COMPUTED_VALUE"""),"MICRO")</f>
        <v>MICRO</v>
      </c>
      <c r="B989" s="361" t="str">
        <f>IFERROR(__xludf.DUMMYFUNCTION("""COMPUTED_VALUE"""),"krlnayaa")</f>
        <v>krlnayaa</v>
      </c>
      <c r="C989" s="257" t="str">
        <f>IFERROR(__xludf.DUMMYFUNCTION("""COMPUTED_VALUE"""),"https://www.tiktok.com/@krlnayaa")</f>
        <v>https://www.tiktok.com/@krlnayaa</v>
      </c>
      <c r="D989" s="270"/>
      <c r="E989" s="457">
        <f>IFERROR(__xludf.DUMMYFUNCTION("""COMPUTED_VALUE"""),100000.0)</f>
        <v>100000</v>
      </c>
      <c r="F989" s="270">
        <f>IFERROR(__xludf.DUMMYFUNCTION("""COMPUTED_VALUE"""),2.0)</f>
        <v>2</v>
      </c>
      <c r="G989" s="17" t="str">
        <f>IFERROR(__xludf.DUMMYFUNCTION("""COMPUTED_VALUE"""),"Sabun batang 1 Box ( 2 PCS )")</f>
        <v>Sabun batang 1 Box ( 2 PCS )</v>
      </c>
      <c r="H989" s="463" t="str">
        <f>IFERROR(__xludf.DUMMYFUNCTION("""COMPUTED_VALUE"""),"Sampai")</f>
        <v>Sampai</v>
      </c>
      <c r="I989" s="464" t="str">
        <f>IFERROR(__xludf.DUMMYFUNCTION("""COMPUTED_VALUE"""),"KIMME")</f>
        <v>KIMME</v>
      </c>
      <c r="J989" s="279" t="str">
        <f>IFERROR(__xludf.DUMMYFUNCTION("""COMPUTED_VALUE"""),"https://vt.tiktok.com/ZSH35jcBF/")</f>
        <v>https://vt.tiktok.com/ZSH35jcBF/</v>
      </c>
      <c r="K989" s="464" t="str">
        <f>IFERROR(__xludf.DUMMYFUNCTION("""COMPUTED_VALUE"""),"KIMME")</f>
        <v>KIMME</v>
      </c>
      <c r="L989" s="279" t="str">
        <f>IFERROR(__xludf.DUMMYFUNCTION("""COMPUTED_VALUE"""),"https://vt.tiktok.com/ZSHKhN6Xg/")</f>
        <v>https://vt.tiktok.com/ZSHKhN6Xg/</v>
      </c>
      <c r="M989" s="464"/>
      <c r="N989" s="279" t="str">
        <f>IFERROR(__xludf.DUMMYFUNCTION("""COMPUTED_VALUE"""),"https://www.tiktok.com/@racun_spalspil12/video/7641431774454746388?_r=1&amp;u_code=cllj6j6aidf05b&amp;region=&amp;mid=7638686090069887764&amp;preview_pb=0&amp;sharer_language=&amp;_d=0&amp;ec_shared_reflux_dynamic_params=%7B%22placeholder_material_id%22%3A%227641431774454746388%22%2"&amp;"C%22placeholder_origin_cover%22%3A%22https%253A%252F%252Fp16-common-sign.tiktokcdn.com%252Ftos-alisg-p-0037%252FoIo3OF4EEQAQglCR9XfGkDpARgKXqDUDBEaeBH~tplv-tiktokx-origin.jpeg%253Fdr%253D14572%2526refresh_token%253D69e55842%2526x-expires%253D1810720800%25"&amp;"26x-signature%253DTqwIYJtgY4ajm67H8GWNzGe%25252BWl4%25253D%2526t%253D4d5b0474%2526ps%253D13740610%2526shp%253Dd05b14bd%2526shcp%253D34ff8df6%2526idc%253Dmy3%2526s%253DTIKTOK_AFFILIATE_VIRAL_VIDEO%22%2C%22placeholder_product_id%22%3A%221729729730555512511%"&amp;"22%2C%22placeholder_video_id%22%3A%227641431774454746388%22%7D&amp;ec_shared_reflux_scene=shop_tab_feed&amp;share_item_id=7641431774454746388&amp;source=h5_t")</f>
        <v>https://www.tiktok.com/@racun_spalspil12/video/7641431774454746388?_r=1&amp;u_code=cllj6j6aidf05b&amp;region=&amp;mid=7638686090069887764&amp;preview_pb=0&amp;sharer_language=&amp;_d=0&amp;ec_shared_reflux_dynamic_params=%7B%22placeholder_material_id%22%3A%227641431774454746388%22%2C%22placeholder_origin_cover%22%3A%22https%253A%252F%252Fp16-common-sign.tiktokcdn.com%252Ftos-alisg-p-0037%252FoIo3OF4EEQAQglCR9XfGkDpARgKXqDUDBEaeBH~tplv-tiktokx-origin.jpeg%253Fdr%253D14572%2526refresh_token%253D69e55842%2526x-expires%253D1810720800%2526x-signature%253DTqwIYJtgY4ajm67H8GWNzGe%25252BWl4%25253D%2526t%253D4d5b0474%2526ps%253D13740610%2526shp%253Dd05b14bd%2526shcp%253D34ff8df6%2526idc%253Dmy3%2526s%253DTIKTOK_AFFILIATE_VIRAL_VIDEO%22%2C%22placeholder_product_id%22%3A%221729729730555512511%22%2C%22placeholder_video_id%22%3A%227641431774454746388%22%7D&amp;ec_shared_reflux_scene=shop_tab_feed&amp;share_item_id=7641431774454746388&amp;source=h5_t</v>
      </c>
      <c r="O989" s="464"/>
      <c r="P989" s="279" t="str">
        <f>IFERROR(__xludf.DUMMYFUNCTION("""COMPUTED_VALUE"""),"https://www.tiktok.com/@racun_spalspil12/video/7641432096422038804?_r=1&amp;u_code=cllj6j6aidf05b&amp;region=&amp;mid=7638519572057148180&amp;preview_pb=0&amp;sharer_language=&amp;_d=0&amp;ec_shared_reflux_dynamic_params=%7B%22placeholder_material_id%22%3A%227641432096422038804%22%2"&amp;"C%22placeholder_origin_cover%22%3A%22https%253A%252F%252Fp16-common-sign.tiktokcdn.com%252Ftos-alisg-p-0037%252FokBUFDMtQDCQfIfp8IAAQCUWf6LndqTOjQFjo0~tplv-tiktokx-origin.jpeg%253Fdr%253D14572%2526refresh_token%253D9140d043%2526x-expires%253D1810720800%25"&amp;"26x-signature%253DVb%25252BPCYU036U%25252B2sdUcjqyojYtYHA%25253D%2526t%253D4d5b0474%2526ps%253D13740610%2526shp%253Dd05b14bd%2526shcp%253D34ff8df6%2526idc%253Dmy3%2526s%253DTIKTOK_AFFILIATE_VIRAL_VIDEO%22%2C%22placeholder_product_id%22%3A%2217297297305555"&amp;"12511%22%2C%22placeholder_video_id%22%3A%227641432096422038804%22%7D&amp;ec_shared_reflux_scene=shop_tab_feed&amp;share_item_id=7641432096422038804&amp;source=h5_t")</f>
        <v>https://www.tiktok.com/@racun_spalspil12/video/7641432096422038804?_r=1&amp;u_code=cllj6j6aidf05b&amp;region=&amp;mid=7638519572057148180&amp;preview_pb=0&amp;sharer_language=&amp;_d=0&amp;ec_shared_reflux_dynamic_params=%7B%22placeholder_material_id%22%3A%227641432096422038804%22%2C%22placeholder_origin_cover%22%3A%22https%253A%252F%252Fp16-common-sign.tiktokcdn.com%252Ftos-alisg-p-0037%252FokBUFDMtQDCQfIfp8IAAQCUWf6LndqTOjQFjo0~tplv-tiktokx-origin.jpeg%253Fdr%253D14572%2526refresh_token%253D9140d043%2526x-expires%253D1810720800%2526x-signature%253DVb%25252BPCYU036U%25252B2sdUcjqyojYtYHA%25253D%2526t%253D4d5b0474%2526ps%253D13740610%2526shp%253Dd05b14bd%2526shcp%253D34ff8df6%2526idc%253Dmy3%2526s%253DTIKTOK_AFFILIATE_VIRAL_VIDEO%22%2C%22placeholder_product_id%22%3A%221729729730555512511%22%2C%22placeholder_video_id%22%3A%227641432096422038804%22%7D&amp;ec_shared_reflux_scene=shop_tab_feed&amp;share_item_id=7641432096422038804&amp;source=h5_t</v>
      </c>
    </row>
    <row r="990">
      <c r="A990" s="255" t="str">
        <f>IFERROR(__xludf.DUMMYFUNCTION("""COMPUTED_VALUE"""),"MICRO")</f>
        <v>MICRO</v>
      </c>
      <c r="B990" s="361" t="str">
        <f>IFERROR(__xludf.DUMMYFUNCTION("""COMPUTED_VALUE"""),"Amydailyshop ")</f>
        <v>Amydailyshop </v>
      </c>
      <c r="C990" s="257" t="str">
        <f>IFERROR(__xludf.DUMMYFUNCTION("""COMPUTED_VALUE"""),"https://www.tiktok.com/@Amydailyshop ")</f>
        <v>https://www.tiktok.com/@Amydailyshop </v>
      </c>
      <c r="D990" s="270">
        <f>IFERROR(__xludf.DUMMYFUNCTION("""COMPUTED_VALUE"""),8.5393267778E10)</f>
        <v>85393267778</v>
      </c>
      <c r="E990" s="457">
        <f>IFERROR(__xludf.DUMMYFUNCTION("""COMPUTED_VALUE"""),0.0)</f>
        <v>0</v>
      </c>
      <c r="F990" s="270">
        <f>IFERROR(__xludf.DUMMYFUNCTION("""COMPUTED_VALUE"""),4.0)</f>
        <v>4</v>
      </c>
      <c r="G990" s="17" t="str">
        <f>IFERROR(__xludf.DUMMYFUNCTION("""COMPUTED_VALUE"""),"Sabun batang 1 Box ( 2 PCS )")</f>
        <v>Sabun batang 1 Box ( 2 PCS )</v>
      </c>
      <c r="H990" s="463" t="str">
        <f>IFERROR(__xludf.DUMMYFUNCTION("""COMPUTED_VALUE"""),"Sampai")</f>
        <v>Sampai</v>
      </c>
      <c r="I990" s="464" t="str">
        <f>IFERROR(__xludf.DUMMYFUNCTION("""COMPUTED_VALUE"""),"KIMME")</f>
        <v>KIMME</v>
      </c>
      <c r="J990" s="279" t="str">
        <f>IFERROR(__xludf.DUMMYFUNCTION("""COMPUTED_VALUE"""),"https://www.tiktok.com/@harumrice/video/7637473301685882133?_r=1&amp;u_code=d6j7255963058c&amp;region=&amp;mid=7553891785866185484&amp;preview_pb=0&amp;sharer_language=&amp;_d=0&amp;ec_shared_reflux_dynamic_params=%7B%22placeholder_material_id%22%3A%227637473301685882133%22%2C%22pla"&amp;"ceholder_origin_cover%22%3A%22https%253A%252F%252Fp16-common-sign.tiktokcdn.com%252Ftos-alisg-p-0037%252FocdUBKfBcI5aR3pEEwCQDfBu9BYAbiBBiD09Ig~tplv-tiktokx-origin.jpeg%253Fdr%253D14572%2526refresh_token%253D41eeac32%2526x-expires%253D1810717200%2526x-sig"&amp;"nature%253DOlZIANZS5CqaAMF7myXkc4WUErM%25253D%2526t%253D4d5b0474%2526ps%253D13740610%2526shp%253Dd05b14bd%2526shcp%253D34ff8df6%2526idc%253Dmy3%2526s%253DTIKTOK_AFFILIATE_VIRAL_VIDEO%22%2C%22placeholder_product_id%22%3A%221729427766722726591%22%2C%22place"&amp;"holder_video_id%22%3A%227637473301685882133%22%7D&amp;ec_shared_reflux_scene=shop_tab_feed&amp;share_item_id=7637473301685882133&amp;source=h5_t")</f>
        <v>https://www.tiktok.com/@harumrice/video/7637473301685882133?_r=1&amp;u_code=d6j7255963058c&amp;region=&amp;mid=7553891785866185484&amp;preview_pb=0&amp;sharer_language=&amp;_d=0&amp;ec_shared_reflux_dynamic_params=%7B%22placeholder_material_id%22%3A%227637473301685882133%22%2C%22placeholder_origin_cover%22%3A%22https%253A%252F%252Fp16-common-sign.tiktokcdn.com%252Ftos-alisg-p-0037%252FocdUBKfBcI5aR3pEEwCQDfBu9BYAbiBBiD09Ig~tplv-tiktokx-origin.jpeg%253Fdr%253D14572%2526refresh_token%253D41eeac32%2526x-expires%253D1810717200%2526x-signature%253DOlZIANZS5CqaAMF7myXkc4WUErM%25253D%2526t%253D4d5b0474%2526ps%253D13740610%2526shp%253Dd05b14bd%2526shcp%253D34ff8df6%2526idc%253Dmy3%2526s%253DTIKTOK_AFFILIATE_VIRAL_VIDEO%22%2C%22placeholder_product_id%22%3A%221729427766722726591%22%2C%22placeholder_video_id%22%3A%227637473301685882133%22%7D&amp;ec_shared_reflux_scene=shop_tab_feed&amp;share_item_id=7637473301685882133&amp;source=h5_t</v>
      </c>
      <c r="K990" s="464" t="str">
        <f>IFERROR(__xludf.DUMMYFUNCTION("""COMPUTED_VALUE"""),"KIMME")</f>
        <v>KIMME</v>
      </c>
      <c r="L990" s="279" t="str">
        <f>IFERROR(__xludf.DUMMYFUNCTION("""COMPUTED_VALUE"""),"https://www.tiktok.com/@harumrice/video/7637472663757245716?_r=1&amp;u_code=d6j7255963058c&amp;region=&amp;mid=7607064407760456464&amp;preview_pb=0&amp;sharer_language=&amp;_d=0&amp;ec_shared_reflux_dynamic_params=%7B%22placeholder_material_id%22%3A%227637472663757245716%22%2C%22pla"&amp;"ceholder_origin_cover%22%3A%22https%253A%252F%252Fp16-common-sign.tiktokcdn.com%252Ftos-alisg-p-0037%252Fok4AeJ4AnvGIF3Z3FQLIADGrReAGeiVggweLw4~tplv-tiktokx-origin.jpeg%253Fdr%253D14572%2526refresh_token%253D1532a420%2526x-expires%253D1810717200%2526x-sig"&amp;"nature%253D5vzO9DBPfHwhInnmqYj2RRHG%25252F74%25253D%2526t%253D4d5b0474%2526ps%253D13740610%2526shp%253Dd05b14bd%2526shcp%253D34ff8df6%2526idc%253Dmy3%2526s%253DTIKTOK_AFFILIATE_VIRAL_VIDEO%22%2C%22placeholder_product_id%22%3A%221729427766722726591%22%2C%2"&amp;"2placeholder_video_id%22%3A%227637472663757245716%22%7D&amp;ec_shared_reflux_scene=shop_tab_feed&amp;share_item_id=7637472663757245716&amp;source=h5_t")</f>
        <v>https://www.tiktok.com/@harumrice/video/7637472663757245716?_r=1&amp;u_code=d6j7255963058c&amp;region=&amp;mid=7607064407760456464&amp;preview_pb=0&amp;sharer_language=&amp;_d=0&amp;ec_shared_reflux_dynamic_params=%7B%22placeholder_material_id%22%3A%227637472663757245716%22%2C%22placeholder_origin_cover%22%3A%22https%253A%252F%252Fp16-common-sign.tiktokcdn.com%252Ftos-alisg-p-0037%252Fok4AeJ4AnvGIF3Z3FQLIADGrReAGeiVggweLw4~tplv-tiktokx-origin.jpeg%253Fdr%253D14572%2526refresh_token%253D1532a420%2526x-expires%253D1810717200%2526x-signature%253D5vzO9DBPfHwhInnmqYj2RRHG%25252F74%25253D%2526t%253D4d5b0474%2526ps%253D13740610%2526shp%253Dd05b14bd%2526shcp%253D34ff8df6%2526idc%253Dmy3%2526s%253DTIKTOK_AFFILIATE_VIRAL_VIDEO%22%2C%22placeholder_product_id%22%3A%221729427766722726591%22%2C%22placeholder_video_id%22%3A%227637472663757245716%22%7D&amp;ec_shared_reflux_scene=shop_tab_feed&amp;share_item_id=7637472663757245716&amp;source=h5_t</v>
      </c>
      <c r="M990" s="464"/>
      <c r="N990" s="279" t="str">
        <f>IFERROR(__xludf.DUMMYFUNCTION("""COMPUTED_VALUE"""),"https://www.tiktok.com/@harumrice/video/7637474626716667156?_r=1&amp;u_code=d6j7255963058c&amp;region=&amp;mid=7628086524046854913&amp;preview_pb=0&amp;sharer_language=&amp;_d=0&amp;ec_shared_reflux_dynamic_params=%7B%22placeholder_material_id%22%3A%227637474626716667156%22%2C%22pla"&amp;"ceholder_origin_cover%22%3A%22https%253A%252F%252Fp16-common-sign.tiktokcdn.com%252Ftos-alisg-p-0037%252FooPY93cAABAi7nwVzPBHu0IrfIkCJwIm3iqCjg~tplv-tiktokx-origin.jpeg%253Fdr%253D14572%2526refresh_token%253Dcae52462%2526x-expires%253D1810717200%2526x-sig"&amp;"nature%253DML%25252F7O05XWg4EVTvQqIh4MyhHwvM%25253D%2526t%253D4d5b0474%2526ps%253D13740610%2526shp%253Dd05b14bd%2526shcp%253D34ff8df6%2526idc%253Dmy3%2526s%253DTIKTOK_AFFILIATE_VIRAL_VIDEO%22%2C%22placeholder_product_id%22%3A%221729427766722726591%22%2C%2"&amp;"2placeholder_video_id%22%3A%227637474626716667156%22%7D&amp;ec_shared_reflux_scene=shop_tab_feed&amp;share_item_id=7637474626716667156&amp;source=h5_t")</f>
        <v>https://www.tiktok.com/@harumrice/video/7637474626716667156?_r=1&amp;u_code=d6j7255963058c&amp;region=&amp;mid=7628086524046854913&amp;preview_pb=0&amp;sharer_language=&amp;_d=0&amp;ec_shared_reflux_dynamic_params=%7B%22placeholder_material_id%22%3A%227637474626716667156%22%2C%22placeholder_origin_cover%22%3A%22https%253A%252F%252Fp16-common-sign.tiktokcdn.com%252Ftos-alisg-p-0037%252FooPY93cAABAi7nwVzPBHu0IrfIkCJwIm3iqCjg~tplv-tiktokx-origin.jpeg%253Fdr%253D14572%2526refresh_token%253Dcae52462%2526x-expires%253D1810717200%2526x-signature%253DML%25252F7O05XWg4EVTvQqIh4MyhHwvM%25253D%2526t%253D4d5b0474%2526ps%253D13740610%2526shp%253Dd05b14bd%2526shcp%253D34ff8df6%2526idc%253Dmy3%2526s%253DTIKTOK_AFFILIATE_VIRAL_VIDEO%22%2C%22placeholder_product_id%22%3A%221729427766722726591%22%2C%22placeholder_video_id%22%3A%227637474626716667156%22%7D&amp;ec_shared_reflux_scene=shop_tab_feed&amp;share_item_id=7637474626716667156&amp;source=h5_t</v>
      </c>
      <c r="O990" s="464"/>
      <c r="P990" s="279" t="str">
        <f>IFERROR(__xludf.DUMMYFUNCTION("""COMPUTED_VALUE"""),"https://www.tiktok.com/@harumrice/video/7637471984758131989?_r=1&amp;u_code=d6j7255963058c&amp;region=&amp;mid=7628793703754861333&amp;preview_pb=0&amp;sharer_language=&amp;_d=0&amp;ec_shared_reflux_dynamic_params=%7B%22placeholder_material_id%22%3A%227637471984758131989%22%2C%22pla"&amp;"ceholder_origin_cover%22%3A%22https%253A%252F%252Fp16-common-sign.tiktokcdn.com%252Ftos-alisg-p-0037%252FoUINJKQA49AFkEcgPfjYoffIgBDuDC4QkEKT07~tplv-tiktokx-origin.jpeg%253Fdr%253D14572%2526refresh_token%253D99337dac%2526x-expires%253D1810717200%2526x-sig"&amp;"nature%253DJzpOI7Le%25252F%25252B8%25252FNDaa9hbc1dajF3w%25253D%2526t%253D4d5b0474%2526ps%253D13740610%2526shp%253Dd05b14bd%2526shcp%253D34ff8df6%2526idc%253Dmy3%2526s%253DTIKTOK_AFFILIATE_VIRAL_VIDEO%22%2C%22placeholder_product_id%22%3A%22172942776672272"&amp;"6591%22%2C%22placeholder_video_id%22%3A%227637471984758131989%22%7D&amp;ec_shared_reflux_scene=shop_tab_feed&amp;share_item_id=7637471984758131989&amp;source=h5_t")</f>
        <v>https://www.tiktok.com/@harumrice/video/7637471984758131989?_r=1&amp;u_code=d6j7255963058c&amp;region=&amp;mid=7628793703754861333&amp;preview_pb=0&amp;sharer_language=&amp;_d=0&amp;ec_shared_reflux_dynamic_params=%7B%22placeholder_material_id%22%3A%227637471984758131989%22%2C%22placeholder_origin_cover%22%3A%22https%253A%252F%252Fp16-common-sign.tiktokcdn.com%252Ftos-alisg-p-0037%252FoUINJKQA49AFkEcgPfjYoffIgBDuDC4QkEKT07~tplv-tiktokx-origin.jpeg%253Fdr%253D14572%2526refresh_token%253D99337dac%2526x-expires%253D1810717200%2526x-signature%253DJzpOI7Le%25252F%25252B8%25252FNDaa9hbc1dajF3w%25253D%2526t%253D4d5b0474%2526ps%253D13740610%2526shp%253Dd05b14bd%2526shcp%253D34ff8df6%2526idc%253Dmy3%2526s%253DTIKTOK_AFFILIATE_VIRAL_VIDEO%22%2C%22placeholder_product_id%22%3A%221729427766722726591%22%2C%22placeholder_video_id%22%3A%227637471984758131989%22%7D&amp;ec_shared_reflux_scene=shop_tab_feed&amp;share_item_id=7637471984758131989&amp;source=h5_t</v>
      </c>
    </row>
    <row r="991">
      <c r="A991" s="255" t="str">
        <f>IFERROR(__xludf.DUMMYFUNCTION("""COMPUTED_VALUE"""),"MICRO")</f>
        <v>MICRO</v>
      </c>
      <c r="B991" s="361" t="str">
        <f>IFERROR(__xludf.DUMMYFUNCTION("""COMPUTED_VALUE"""),"shelby.collection")</f>
        <v>shelby.collection</v>
      </c>
      <c r="C991" s="257" t="str">
        <f>IFERROR(__xludf.DUMMYFUNCTION("""COMPUTED_VALUE"""),"https://www.tiktok.com/@shelby.collection")</f>
        <v>https://www.tiktok.com/@shelby.collection</v>
      </c>
      <c r="D991" s="270">
        <f>IFERROR(__xludf.DUMMYFUNCTION("""COMPUTED_VALUE"""),8.1294685934E10)</f>
        <v>81294685934</v>
      </c>
      <c r="E991" s="457">
        <f>IFERROR(__xludf.DUMMYFUNCTION("""COMPUTED_VALUE"""),0.0)</f>
        <v>0</v>
      </c>
      <c r="F991" s="270">
        <f>IFERROR(__xludf.DUMMYFUNCTION("""COMPUTED_VALUE"""),4.0)</f>
        <v>4</v>
      </c>
      <c r="G991" s="17" t="str">
        <f>IFERROR(__xludf.DUMMYFUNCTION("""COMPUTED_VALUE"""),"Sabun batang 1 Box ( 2 PCS )")</f>
        <v>Sabun batang 1 Box ( 2 PCS )</v>
      </c>
      <c r="H991" s="463" t="str">
        <f>IFERROR(__xludf.DUMMYFUNCTION("""COMPUTED_VALUE"""),"Sampai")</f>
        <v>Sampai</v>
      </c>
      <c r="I991" s="464" t="str">
        <f>IFERROR(__xludf.DUMMYFUNCTION("""COMPUTED_VALUE"""),"KIMME")</f>
        <v>KIMME</v>
      </c>
      <c r="J991" s="279" t="str">
        <f>IFERROR(__xludf.DUMMYFUNCTION("""COMPUTED_VALUE"""),"https://www.tiktok.com/@harumrice/video/7637471572541836564?_d=0&amp;_r=1&amp;ec_shared_reflux_dynamic_params=%7B%22placeholder_material_id%22%3A%227637471572541836564%22%2C%22placeholder_origin_cover%22%3A%22https%253A%252F%252Fp16-common-sign.tiktokcdn.com%252F"&amp;"tos-alisg-p-0037%252Focgae3GRBGA4fAf2PnRAxpHHwFs37f9Yvzzbxu~tplv-tiktokx-origin.jpeg%253Fdr%253D14572%2526refresh_token%253Dafdbc7bd%2526x-expires%253D1810717200%2526x-signature%253DIAwhVKsTCgRiFsdi9hBunYr9bqA%25253D%2526t%253D4d5b0474%2526ps%253D13740610"&amp;"%2526shp%253Dd05b14bd%2526shcp%253D34ff8df6%2526idc%253Dmy3%2526s%253DTIKTOK_AFFILIATE_VIRAL_VIDEO%22%2C%22placeholder_product_id%22%3A%221729427766722726591%22%2C%22placeholder_video_id%22%3A%227637471572541836564%22%7D&amp;ec_shared_reflux_scene=shop_tab_fe"&amp;"ed&amp;mid=7632644028970568455&amp;preview_pb=0&amp;region=&amp;share_item_id=7637471572541836564&amp;sharer_language=&amp;source=h5_t&amp;u_code=d6j7255963058c")</f>
        <v>https://www.tiktok.com/@harumrice/video/7637471572541836564?_d=0&amp;_r=1&amp;ec_shared_reflux_dynamic_params=%7B%22placeholder_material_id%22%3A%227637471572541836564%22%2C%22placeholder_origin_cover%22%3A%22https%253A%252F%252Fp16-common-sign.tiktokcdn.com%252Ftos-alisg-p-0037%252Focgae3GRBGA4fAf2PnRAxpHHwFs37f9Yvzzbxu~tplv-tiktokx-origin.jpeg%253Fdr%253D14572%2526refresh_token%253Dafdbc7bd%2526x-expires%253D1810717200%2526x-signature%253DIAwhVKsTCgRiFsdi9hBunYr9bqA%25253D%2526t%253D4d5b0474%2526ps%253D13740610%2526shp%253Dd05b14bd%2526shcp%253D34ff8df6%2526idc%253Dmy3%2526s%253DTIKTOK_AFFILIATE_VIRAL_VIDEO%22%2C%22placeholder_product_id%22%3A%221729427766722726591%22%2C%22placeholder_video_id%22%3A%227637471572541836564%22%7D&amp;ec_shared_reflux_scene=shop_tab_feed&amp;mid=7632644028970568455&amp;preview_pb=0&amp;region=&amp;share_item_id=7637471572541836564&amp;sharer_language=&amp;source=h5_t&amp;u_code=d6j7255963058c</v>
      </c>
      <c r="K991" s="464" t="str">
        <f>IFERROR(__xludf.DUMMYFUNCTION("""COMPUTED_VALUE"""),"KIMME")</f>
        <v>KIMME</v>
      </c>
      <c r="L991" s="279" t="str">
        <f>IFERROR(__xludf.DUMMYFUNCTION("""COMPUTED_VALUE"""),"https://www.tiktok.com/@harumrice/video/7637470312921074964?_r=1&amp;u_code=d6j7255963058c&amp;region=&amp;mid=7637470341552343828&amp;preview_pb=0&amp;sharer_language=&amp;_d=0&amp;ec_shared_reflux_dynamic_params=%7B%22placeholder_material_id%22%3A%227637470312921074964%22%2C%22pla"&amp;"ceholder_origin_cover%22%3A%22https%253A%252F%252Fp16-common-sign.tiktokcdn.com%252Ftos-alisg-p-0037%252FoIX1tPCneAAUGfzEQo33fGvFwA98QbkDRoeAQM~tplv-tiktokx-origin.jpeg%253Fdr%253D14572%2526refresh_token%253D95ee8939%2526x-expires%253D1810717200%2526x-sig"&amp;"nature%253DQHNGZEk%25252FaqT388k%25252BXUnqRyFoSDE%25253D%2526t%253D4d5b0474%2526ps%253D13740610%2526shp%253Dd05b14bd%2526shcp%253D34ff8df6%2526idc%253Dmy3%2526s%253DTIKTOK_AFFILIATE_VIRAL_VIDEO%22%2C%22placeholder_product_id%22%3A%221729427766722726591%2"&amp;"2%2C%22placeholder_video_id%22%3A%227637470312921074964%22%7D&amp;ec_shared_reflux_scene=shop_tab_feed&amp;share_item_id=7637470312921074964&amp;source=h5_t")</f>
        <v>https://www.tiktok.com/@harumrice/video/7637470312921074964?_r=1&amp;u_code=d6j7255963058c&amp;region=&amp;mid=7637470341552343828&amp;preview_pb=0&amp;sharer_language=&amp;_d=0&amp;ec_shared_reflux_dynamic_params=%7B%22placeholder_material_id%22%3A%227637470312921074964%22%2C%22placeholder_origin_cover%22%3A%22https%253A%252F%252Fp16-common-sign.tiktokcdn.com%252Ftos-alisg-p-0037%252FoIX1tPCneAAUGfzEQo33fGvFwA98QbkDRoeAQM~tplv-tiktokx-origin.jpeg%253Fdr%253D14572%2526refresh_token%253D95ee8939%2526x-expires%253D1810717200%2526x-signature%253DQHNGZEk%25252FaqT388k%25252BXUnqRyFoSDE%25253D%2526t%253D4d5b0474%2526ps%253D13740610%2526shp%253Dd05b14bd%2526shcp%253D34ff8df6%2526idc%253Dmy3%2526s%253DTIKTOK_AFFILIATE_VIRAL_VIDEO%22%2C%22placeholder_product_id%22%3A%221729427766722726591%22%2C%22placeholder_video_id%22%3A%227637470312921074964%22%7D&amp;ec_shared_reflux_scene=shop_tab_feed&amp;share_item_id=7637470312921074964&amp;source=h5_t</v>
      </c>
      <c r="M991" s="464"/>
      <c r="N991" s="279" t="str">
        <f>IFERROR(__xludf.DUMMYFUNCTION("""COMPUTED_VALUE"""),"https://www.tiktok.com/@harumrice/video/7637470907400899861?_r=1&amp;u_code=d6j7255963058c&amp;region=&amp;mid=7396636497183148805&amp;preview_pb=0&amp;sharer_language=&amp;_d=0&amp;ec_shared_reflux_dynamic_params=%7B%22placeholder_material_id%22%3A%227637470907400899861%22%2C%22pla"&amp;"ceholder_origin_cover%22%3A%22https%253A%252F%252Fp16-common-sign.tiktokcdn.com%252Ftos-alisg-p-0037%252Fo04vtifIA19RqB1kIZvBApMLXniEfp0cgDB9IV~tplv-tiktokx-origin.jpeg%253Fdr%253D14572%2526refresh_token%253Dbaba4e12%2526x-expires%253D1810717200%2526x-sig"&amp;"nature%253DSbj63o9u4h%25252FXycsOuRjLeJJ%25252Fs8I%25253D%2526t%253D4d5b0474%2526ps%253D13740610%2526shp%253Dd05b14bd%2526shcp%253D34ff8df6%2526idc%253Dmy3%2526s%253DTIKTOK_AFFILIATE_VIRAL_VIDEO%22%2C%22placeholder_product_id%22%3A%221729427766722726591%2"&amp;"2%2C%22placeholder_video_id%22%3A%227637470907400899861%22%7D&amp;ec_shared_reflux_scene=shop_tab_feed&amp;share_item_id=7637470907400899861&amp;source=h5_t")</f>
        <v>https://www.tiktok.com/@harumrice/video/7637470907400899861?_r=1&amp;u_code=d6j7255963058c&amp;region=&amp;mid=7396636497183148805&amp;preview_pb=0&amp;sharer_language=&amp;_d=0&amp;ec_shared_reflux_dynamic_params=%7B%22placeholder_material_id%22%3A%227637470907400899861%22%2C%22placeholder_origin_cover%22%3A%22https%253A%252F%252Fp16-common-sign.tiktokcdn.com%252Ftos-alisg-p-0037%252Fo04vtifIA19RqB1kIZvBApMLXniEfp0cgDB9IV~tplv-tiktokx-origin.jpeg%253Fdr%253D14572%2526refresh_token%253Dbaba4e12%2526x-expires%253D1810717200%2526x-signature%253DSbj63o9u4h%25252FXycsOuRjLeJJ%25252Fs8I%25253D%2526t%253D4d5b0474%2526ps%253D13740610%2526shp%253Dd05b14bd%2526shcp%253D34ff8df6%2526idc%253Dmy3%2526s%253DTIKTOK_AFFILIATE_VIRAL_VIDEO%22%2C%22placeholder_product_id%22%3A%221729427766722726591%22%2C%22placeholder_video_id%22%3A%227637470907400899861%22%7D&amp;ec_shared_reflux_scene=shop_tab_feed&amp;share_item_id=7637470907400899861&amp;source=h5_t</v>
      </c>
      <c r="O991" s="464"/>
      <c r="P991" s="279" t="str">
        <f>IFERROR(__xludf.DUMMYFUNCTION("""COMPUTED_VALUE"""),"https://www.tiktok.com/@harumrice/video/7637432910542425364?_r=1&amp;u_code=d6j7255963058c&amp;region=&amp;mid=7637432947415534356&amp;preview_pb=0&amp;sharer_language=&amp;_d=0&amp;ec_shared_reflux_dynamic_params=%7B%22placeholder_material_id%22%3A%227637432910542425364%22%2C%22pla"&amp;"ceholder_origin_cover%22%3A%22https%253A%252F%252Fp19-common-sign.tiktokcdn.com%252Ftos-alisg-p-0037%252FokTtIt9Ej4xfwyvGnABZ7IhfIAzTetDzoqMDFC~tplv-tiktokx-origin.jpeg%253Fdr%253D14572%2526refresh_token%253Dccc1eb13%2526x-expires%253D1810717200%2526x-sig"&amp;"nature%253DscCk2K9GF3GG%25252B776yhYWEQEAtIs%25253D%2526t%253D4d5b0474%2526ps%253D13740610%2526shp%253Dd05b14bd%2526shcp%253D34ff8df6%2526idc%253Dmy3%2526s%253DTIKTOK_AFFILIATE_VIRAL_VIDEO%22%2C%22placeholder_product_id%22%3A%221729427766722726591%22%2C%2"&amp;"2placeholder_video_id%22%3A%227637432910542425364%22%7D&amp;ec_shared_reflux_scene=shop_tab_feed&amp;share_item_id=7637432910542425364&amp;source=h5_t")</f>
        <v>https://www.tiktok.com/@harumrice/video/7637432910542425364?_r=1&amp;u_code=d6j7255963058c&amp;region=&amp;mid=7637432947415534356&amp;preview_pb=0&amp;sharer_language=&amp;_d=0&amp;ec_shared_reflux_dynamic_params=%7B%22placeholder_material_id%22%3A%227637432910542425364%22%2C%22placeholder_origin_cover%22%3A%22https%253A%252F%252Fp19-common-sign.tiktokcdn.com%252Ftos-alisg-p-0037%252FokTtIt9Ej4xfwyvGnABZ7IhfIAzTetDzoqMDFC~tplv-tiktokx-origin.jpeg%253Fdr%253D14572%2526refresh_token%253Dccc1eb13%2526x-expires%253D1810717200%2526x-signature%253DscCk2K9GF3GG%25252B776yhYWEQEAtIs%25253D%2526t%253D4d5b0474%2526ps%253D13740610%2526shp%253Dd05b14bd%2526shcp%253D34ff8df6%2526idc%253Dmy3%2526s%253DTIKTOK_AFFILIATE_VIRAL_VIDEO%22%2C%22placeholder_product_id%22%3A%221729427766722726591%22%2C%22placeholder_video_id%22%3A%227637432910542425364%22%7D&amp;ec_shared_reflux_scene=shop_tab_feed&amp;share_item_id=7637432910542425364&amp;source=h5_t</v>
      </c>
    </row>
    <row r="992">
      <c r="A992" s="255" t="str">
        <f>IFERROR(__xludf.DUMMYFUNCTION("""COMPUTED_VALUE"""),"MICRO")</f>
        <v>MICRO</v>
      </c>
      <c r="B992" s="361" t="str">
        <f>IFERROR(__xludf.DUMMYFUNCTION("""COMPUTED_VALUE"""),"Beauty_Shop361")</f>
        <v>Beauty_Shop361</v>
      </c>
      <c r="C992" s="257" t="str">
        <f>IFERROR(__xludf.DUMMYFUNCTION("""COMPUTED_VALUE"""),"https://www.tiktok.com/@Beauty_Shop361")</f>
        <v>https://www.tiktok.com/@Beauty_Shop361</v>
      </c>
      <c r="D992" s="270">
        <f>IFERROR(__xludf.DUMMYFUNCTION("""COMPUTED_VALUE"""),8.1324816069E10)</f>
        <v>81324816069</v>
      </c>
      <c r="E992" s="457">
        <f>IFERROR(__xludf.DUMMYFUNCTION("""COMPUTED_VALUE"""),0.0)</f>
        <v>0</v>
      </c>
      <c r="F992" s="270">
        <f>IFERROR(__xludf.DUMMYFUNCTION("""COMPUTED_VALUE"""),4.0)</f>
        <v>4</v>
      </c>
      <c r="G992" s="17" t="str">
        <f>IFERROR(__xludf.DUMMYFUNCTION("""COMPUTED_VALUE"""),"Sabun batang 1 Box ( 2 PCS )")</f>
        <v>Sabun batang 1 Box ( 2 PCS )</v>
      </c>
      <c r="H992" s="463" t="str">
        <f>IFERROR(__xludf.DUMMYFUNCTION("""COMPUTED_VALUE"""),"Sampai")</f>
        <v>Sampai</v>
      </c>
      <c r="I992" s="464" t="str">
        <f>IFERROR(__xludf.DUMMYFUNCTION("""COMPUTED_VALUE"""),"KIMME")</f>
        <v>KIMME</v>
      </c>
      <c r="J992" s="279" t="str">
        <f>IFERROR(__xludf.DUMMYFUNCTION("""COMPUTED_VALUE"""),"https://www.tiktok.com/@harumrice/video/7637432910542425364?_d=0&amp;_r=1&amp;ec_shared_reflux_dynamic_params=%7B%22placeholder_material_id%22%3A%227637432910542425364%22%2C%22placeholder_origin_cover%22%3A%22https%253A%252F%252Fp19-common-sign.tiktokcdn.com%252F"&amp;"tos-alisg-p-0037%252FokTtIt9Ej4xfwyvGnABZ7IhfIAzTetDzoqMDFC~tplv-tiktokx-origin.jpeg%253Fdr%253D14572%2526refresh_token%253Dccc1eb13%2526x-expires%253D1810717200%2526x-signature%253DscCk2K9GF3GG%25252B776yhYWEQEAtIs%25253D%2526t%253D4d5b0474%2526ps%253D13"&amp;"740610%2526shp%253Dd05b14bd%2526shcp%253D34ff8df6%2526idc%253Dmy3%2526s%253DTIKTOK_AFFILIATE_VIRAL_VIDEO%22%2C%22placeholder_product_id%22%3A%221729427766722726591%22%2C%22placeholder_video_id%22%3A%227637432910542425364%22%7D&amp;ec_shared_reflux_scene=shop_"&amp;"tab_feed&amp;mid=7637432947415534356&amp;preview_pb=0&amp;region=&amp;share_item_id=7637432910542425364&amp;sharer_language=&amp;source=h5_t&amp;u_code=d6j7255963058c")</f>
        <v>https://www.tiktok.com/@harumrice/video/7637432910542425364?_d=0&amp;_r=1&amp;ec_shared_reflux_dynamic_params=%7B%22placeholder_material_id%22%3A%227637432910542425364%22%2C%22placeholder_origin_cover%22%3A%22https%253A%252F%252Fp19-common-sign.tiktokcdn.com%252Ftos-alisg-p-0037%252FokTtIt9Ej4xfwyvGnABZ7IhfIAzTetDzoqMDFC~tplv-tiktokx-origin.jpeg%253Fdr%253D14572%2526refresh_token%253Dccc1eb13%2526x-expires%253D1810717200%2526x-signature%253DscCk2K9GF3GG%25252B776yhYWEQEAtIs%25253D%2526t%253D4d5b0474%2526ps%253D13740610%2526shp%253Dd05b14bd%2526shcp%253D34ff8df6%2526idc%253Dmy3%2526s%253DTIKTOK_AFFILIATE_VIRAL_VIDEO%22%2C%22placeholder_product_id%22%3A%221729427766722726591%22%2C%22placeholder_video_id%22%3A%227637432910542425364%22%7D&amp;ec_shared_reflux_scene=shop_tab_feed&amp;mid=7637432947415534356&amp;preview_pb=0&amp;region=&amp;share_item_id=7637432910542425364&amp;sharer_language=&amp;source=h5_t&amp;u_code=d6j7255963058c</v>
      </c>
      <c r="K992" s="464" t="str">
        <f>IFERROR(__xludf.DUMMYFUNCTION("""COMPUTED_VALUE"""),"KIMME")</f>
        <v>KIMME</v>
      </c>
      <c r="L992" s="279" t="str">
        <f>IFERROR(__xludf.DUMMYFUNCTION("""COMPUTED_VALUE"""),"https://www.tiktok.com/@harumrice/video/7637433587494604053?_r=1&amp;u_code=d6j7255963058c&amp;region=&amp;mid=7539158852165880577&amp;preview_pb=0&amp;sharer_language=&amp;_d=0&amp;ec_shared_reflux_dynamic_params=%7B%22placeholder_material_id%22%3A%227637433587494604053%22%2C%22pla"&amp;"ceholder_origin_cover%22%3A%22https%253A%252F%252Fp16-common-sign.tiktokcdn.com%252Ftos-alisg-p-0037%252FoAZIgfDn4FvsAC4rtTs1jfA60EQQfDxDQ7OtO6~tplv-tiktokx-origin.jpeg%253Fdr%253D14572%2526refresh_token%253Dd3c3208e%2526x-expires%253D1810717200%2526x-sig"&amp;"nature%253DvJ%25252FMREw9nNcVUTHM1TKaugJo9mI%25253D%2526t%253D4d5b0474%2526ps%253D13740610%2526shp%253Dd05b14bd%2526shcp%253D34ff8df6%2526idc%253Dmy3%2526s%253DTIKTOK_AFFILIATE_VIRAL_VIDEO%22%2C%22placeholder_product_id%22%3A%221729427766722726591%22%2C%2"&amp;"2placeholder_video_id%22%3A%227637433587494604053%22%7D&amp;ec_shared_reflux_scene=shop_tab_feed&amp;share_item_id=7637433587494604053&amp;source=h5_t")</f>
        <v>https://www.tiktok.com/@harumrice/video/7637433587494604053?_r=1&amp;u_code=d6j7255963058c&amp;region=&amp;mid=7539158852165880577&amp;preview_pb=0&amp;sharer_language=&amp;_d=0&amp;ec_shared_reflux_dynamic_params=%7B%22placeholder_material_id%22%3A%227637433587494604053%22%2C%22placeholder_origin_cover%22%3A%22https%253A%252F%252Fp16-common-sign.tiktokcdn.com%252Ftos-alisg-p-0037%252FoAZIgfDn4FvsAC4rtTs1jfA60EQQfDxDQ7OtO6~tplv-tiktokx-origin.jpeg%253Fdr%253D14572%2526refresh_token%253Dd3c3208e%2526x-expires%253D1810717200%2526x-signature%253DvJ%25252FMREw9nNcVUTHM1TKaugJo9mI%25253D%2526t%253D4d5b0474%2526ps%253D13740610%2526shp%253Dd05b14bd%2526shcp%253D34ff8df6%2526idc%253Dmy3%2526s%253DTIKTOK_AFFILIATE_VIRAL_VIDEO%22%2C%22placeholder_product_id%22%3A%221729427766722726591%22%2C%22placeholder_video_id%22%3A%227637433587494604053%22%7D&amp;ec_shared_reflux_scene=shop_tab_feed&amp;share_item_id=7637433587494604053&amp;source=h5_t</v>
      </c>
      <c r="M992" s="464"/>
      <c r="N992" s="279" t="str">
        <f>IFERROR(__xludf.DUMMYFUNCTION("""COMPUTED_VALUE"""),"https://www.tiktok.com/@harumrice/video/7637432202841640213?_r=1&amp;u_code=d6j7255963058c&amp;region=&amp;mid=7634506985177762580&amp;preview_pb=0&amp;sharer_language=&amp;_d=0&amp;ec_shared_reflux_dynamic_params=%7B%22placeholder_material_id%22%3A%227637432202841640213%22%2C%22pla"&amp;"ceholder_origin_cover%22%3A%22https%253A%252F%252Fp16-common-sign.tiktokcdn.com%252Ftos-alisg-p-0037%252FokU0nCbSJAV1CImJwIiRfnuBzvHNZC2iACAn9I~tplv-tiktokx-origin.jpeg%253Fdr%253D14572%2526refresh_token%253D72893c28%2526x-expires%253D1810717200%2526x-sig"&amp;"nature%253DWo6PdNKGX%25252BCyv9Hz8P%25252BYh7N5dlk%25253D%2526t%253D4d5b0474%2526ps%253D13740610%2526shp%253Dd05b14bd%2526shcp%253D34ff8df6%2526idc%253Dmy3%2526s%253DTIKTOK_AFFILIATE_VIRAL_VIDEO%22%2C%22placeholder_product_id%22%3A%221729427766722726591%2"&amp;"2%2C%22placeholder_video_id%22%3A%227637432202841640213%22%7D&amp;ec_shared_reflux_scene=shop_tab_feed&amp;share_item_id=7637432202841640213&amp;source=h5_t")</f>
        <v>https://www.tiktok.com/@harumrice/video/7637432202841640213?_r=1&amp;u_code=d6j7255963058c&amp;region=&amp;mid=7634506985177762580&amp;preview_pb=0&amp;sharer_language=&amp;_d=0&amp;ec_shared_reflux_dynamic_params=%7B%22placeholder_material_id%22%3A%227637432202841640213%22%2C%22placeholder_origin_cover%22%3A%22https%253A%252F%252Fp16-common-sign.tiktokcdn.com%252Ftos-alisg-p-0037%252FokU0nCbSJAV1CImJwIiRfnuBzvHNZC2iACAn9I~tplv-tiktokx-origin.jpeg%253Fdr%253D14572%2526refresh_token%253D72893c28%2526x-expires%253D1810717200%2526x-signature%253DWo6PdNKGX%25252BCyv9Hz8P%25252BYh7N5dlk%25253D%2526t%253D4d5b0474%2526ps%253D13740610%2526shp%253Dd05b14bd%2526shcp%253D34ff8df6%2526idc%253Dmy3%2526s%253DTIKTOK_AFFILIATE_VIRAL_VIDEO%22%2C%22placeholder_product_id%22%3A%221729427766722726591%22%2C%22placeholder_video_id%22%3A%227637432202841640213%22%7D&amp;ec_shared_reflux_scene=shop_tab_feed&amp;share_item_id=7637432202841640213&amp;source=h5_t</v>
      </c>
      <c r="O992" s="464"/>
      <c r="P992" s="279" t="str">
        <f>IFERROR(__xludf.DUMMYFUNCTION("""COMPUTED_VALUE"""),"https://www.tiktok.com/@harumrice/video/7637431275992911125?_d=0&amp;_r=1&amp;ec_shared_reflux_dynamic_params=%7B%22placeholder_material_id%22%3A%227637431275992911125%22%2C%22placeholder_origin_cover%22%3A%22https%253A%252F%252Fp16-common-sign.tiktokcdn.com%252F"&amp;"tos-alisg-p-0037%252FocZCciDfP7tTFDAxQspijNWDAEiI4fEyGVfxQT~tplv-tiktokx-origin.jpeg%253Fdr%253D14572%2526refresh_token%253D3426ddef%2526x-expires%253D1810717200%2526x-signature%253DkxWRgfaOuid6GaEewE62WFTovJU%25253D%2526t%253D4d5b0474%2526ps%253D13740610"&amp;"%2526shp%253Dd05b14bd%2526shcp%253D34ff8df6%2526idc%253Dmy3%2526s%253DTIKTOK_AFFILIATE_VIRAL_VIDEO%22%2C%22placeholder_product_id%22%3A%221729427766722726591%22%2C%22placeholder_video_id%22%3A%227637431275992911125%22%7D&amp;ec_shared_reflux_scene=shop_tab_fe"&amp;"ed&amp;mid=7598888425769126664&amp;preview_pb=0&amp;region=&amp;share_item_id=7637431275992911125&amp;sharer_language=&amp;source=h5_t&amp;u_code=d6j7255963058c")</f>
        <v>https://www.tiktok.com/@harumrice/video/7637431275992911125?_d=0&amp;_r=1&amp;ec_shared_reflux_dynamic_params=%7B%22placeholder_material_id%22%3A%227637431275992911125%22%2C%22placeholder_origin_cover%22%3A%22https%253A%252F%252Fp16-common-sign.tiktokcdn.com%252Ftos-alisg-p-0037%252FocZCciDfP7tTFDAxQspijNWDAEiI4fEyGVfxQT~tplv-tiktokx-origin.jpeg%253Fdr%253D14572%2526refresh_token%253D3426ddef%2526x-expires%253D1810717200%2526x-signature%253DkxWRgfaOuid6GaEewE62WFTovJU%25253D%2526t%253D4d5b0474%2526ps%253D13740610%2526shp%253Dd05b14bd%2526shcp%253D34ff8df6%2526idc%253Dmy3%2526s%253DTIKTOK_AFFILIATE_VIRAL_VIDEO%22%2C%22placeholder_product_id%22%3A%221729427766722726591%22%2C%22placeholder_video_id%22%3A%227637431275992911125%22%7D&amp;ec_shared_reflux_scene=shop_tab_feed&amp;mid=7598888425769126664&amp;preview_pb=0&amp;region=&amp;share_item_id=7637431275992911125&amp;sharer_language=&amp;source=h5_t&amp;u_code=d6j7255963058c</v>
      </c>
    </row>
    <row r="993">
      <c r="A993" s="255" t="str">
        <f>IFERROR(__xludf.DUMMYFUNCTION("""COMPUTED_VALUE"""),"MICRO")</f>
        <v>MICRO</v>
      </c>
      <c r="B993" s="361" t="str">
        <f>IFERROR(__xludf.DUMMYFUNCTION("""COMPUTED_VALUE"""),"nopnopn")</f>
        <v>nopnopn</v>
      </c>
      <c r="C993" s="257" t="str">
        <f>IFERROR(__xludf.DUMMYFUNCTION("""COMPUTED_VALUE"""),"https://www.tiktok.com/@nopnopn")</f>
        <v>https://www.tiktok.com/@nopnopn</v>
      </c>
      <c r="D993" s="270">
        <f>IFERROR(__xludf.DUMMYFUNCTION("""COMPUTED_VALUE"""),8.9699699584E10)</f>
        <v>89699699584</v>
      </c>
      <c r="E993" s="457">
        <f>IFERROR(__xludf.DUMMYFUNCTION("""COMPUTED_VALUE"""),0.0)</f>
        <v>0</v>
      </c>
      <c r="F993" s="270">
        <f>IFERROR(__xludf.DUMMYFUNCTION("""COMPUTED_VALUE"""),2.0)</f>
        <v>2</v>
      </c>
      <c r="G993" s="17" t="str">
        <f>IFERROR(__xludf.DUMMYFUNCTION("""COMPUTED_VALUE"""),"Sabun batang 1 Box ( 2 PCS )")</f>
        <v>Sabun batang 1 Box ( 2 PCS )</v>
      </c>
      <c r="H993" s="463" t="str">
        <f>IFERROR(__xludf.DUMMYFUNCTION("""COMPUTED_VALUE"""),"Sampai")</f>
        <v>Sampai</v>
      </c>
      <c r="I993" s="464" t="str">
        <f>IFERROR(__xludf.DUMMYFUNCTION("""COMPUTED_VALUE"""),"KIMME")</f>
        <v>KIMME</v>
      </c>
      <c r="J993" s="279" t="str">
        <f>IFERROR(__xludf.DUMMYFUNCTION("""COMPUTED_VALUE"""),"https://vt.tiktok.com/ZSxSdrAHa/")</f>
        <v>https://vt.tiktok.com/ZSxSdrAHa/</v>
      </c>
      <c r="K993" s="464" t="str">
        <f>IFERROR(__xludf.DUMMYFUNCTION("""COMPUTED_VALUE"""),"KIMME")</f>
        <v>KIMME</v>
      </c>
      <c r="L993" s="279" t="str">
        <f>IFERROR(__xludf.DUMMYFUNCTION("""COMPUTED_VALUE"""),"https://vt.tiktok.com/ZS931n6rD/")</f>
        <v>https://vt.tiktok.com/ZS931n6rD/</v>
      </c>
      <c r="M993" s="464"/>
      <c r="N993" s="279" t="str">
        <f>IFERROR(__xludf.DUMMYFUNCTION("""COMPUTED_VALUE"""),"https://www.tiktok.com/@harumrice/video/7637430857195801877?_r=1&amp;u_code=d6j7255963058c&amp;region=&amp;mid=7615505451033380880&amp;preview_pb=0&amp;sharer_language=&amp;_d=0&amp;ec_shared_reflux_dynamic_params=%7B%22placeholder_material_id%22%3A%227637430857195801877%22%2C%22pla"&amp;"ceholder_origin_cover%22%3A%22https%253A%252F%252Fp16-common-sign.tiktokcdn.com%252Ftos-alisg-p-0037%252FoQQR9jCT3f9mpFLgnC3DuAEI4pDfAdliQQegEZ~tplv-tiktokx-origin.jpeg%253Fdr%253D14572%2526refresh_token%253Dd35926ba%2526x-expires%253D1810717200%2526x-sig"&amp;"nature%253Dof2paBTyfCbzon1eW%25252FFYX6bzI5w%25253D%2526t%253D4d5b0474%2526ps%253D13740610%2526shp%253Dd05b14bd%2526shcp%253D34ff8df6%2526idc%253Dmy3%2526s%253DTIKTOK_AFFILIATE_VIRAL_VIDEO%22%2C%22placeholder_product_id%22%3A%221729427766722726591%22%2C%2"&amp;"2placeholder_video_id%22%3A%227637430857195801877%22%7D&amp;ec_shared_reflux_scene=shop_tab_feed&amp;share_item_id=7637430857195801877&amp;source=h5_t")</f>
        <v>https://www.tiktok.com/@harumrice/video/7637430857195801877?_r=1&amp;u_code=d6j7255963058c&amp;region=&amp;mid=7615505451033380880&amp;preview_pb=0&amp;sharer_language=&amp;_d=0&amp;ec_shared_reflux_dynamic_params=%7B%22placeholder_material_id%22%3A%227637430857195801877%22%2C%22placeholder_origin_cover%22%3A%22https%253A%252F%252Fp16-common-sign.tiktokcdn.com%252Ftos-alisg-p-0037%252FoQQR9jCT3f9mpFLgnC3DuAEI4pDfAdliQQegEZ~tplv-tiktokx-origin.jpeg%253Fdr%253D14572%2526refresh_token%253Dd35926ba%2526x-expires%253D1810717200%2526x-signature%253Dof2paBTyfCbzon1eW%25252FFYX6bzI5w%25253D%2526t%253D4d5b0474%2526ps%253D13740610%2526shp%253Dd05b14bd%2526shcp%253D34ff8df6%2526idc%253Dmy3%2526s%253DTIKTOK_AFFILIATE_VIRAL_VIDEO%22%2C%22placeholder_product_id%22%3A%221729427766722726591%22%2C%22placeholder_video_id%22%3A%227637430857195801877%22%7D&amp;ec_shared_reflux_scene=shop_tab_feed&amp;share_item_id=7637430857195801877&amp;source=h5_t</v>
      </c>
      <c r="O993" s="464"/>
      <c r="P993" s="279" t="str">
        <f>IFERROR(__xludf.DUMMYFUNCTION("""COMPUTED_VALUE"""),"https://www.tiktok.com/@harumrice/video/7637431701718830357?_r=1&amp;u_code=d6j7255963058c&amp;region=&amp;mid=7634864360279624466&amp;preview_pb=0&amp;sharer_language=&amp;_d=0&amp;ec_shared_reflux_dynamic_params=%7B%22placeholder_material_id%22%3A%227637431701718830357%22%2C%22pla"&amp;"ceholder_origin_cover%22%3A%22https%253A%252F%252Fp16-common-sign.tiktokcdn.com%252Ftos-alisg-p-0037%252Foo7k6eVRGA4A2wk8dfBSGdMnWehXQG7zFA4aNe~tplv-tiktokx-origin.jpeg%253Fdr%253D14572%2526refresh_token%253Db79be6d7%2526x-expires%253D1810717200%2526x-sig"&amp;"nature%253D2B4q%25252Fu2RF57%25252F1DREjJZeKQaOMEw%25253D%2526t%253D4d5b0474%2526ps%253D13740610%2526shp%253Dd05b14bd%2526shcp%253D34ff8df6%2526idc%253Dmy3%2526s%253DTIKTOK_AFFILIATE_VIRAL_VIDEO%22%2C%22placeholder_product_id%22%3A%221729427766722726591%2"&amp;"2%2C%22placeholder_video_id%22%3A%227637431701718830357%22%7D&amp;ec_shared_reflux_scene=shop_tab_feed&amp;share_item_id=7637431701718830357&amp;source=h5_t")</f>
        <v>https://www.tiktok.com/@harumrice/video/7637431701718830357?_r=1&amp;u_code=d6j7255963058c&amp;region=&amp;mid=7634864360279624466&amp;preview_pb=0&amp;sharer_language=&amp;_d=0&amp;ec_shared_reflux_dynamic_params=%7B%22placeholder_material_id%22%3A%227637431701718830357%22%2C%22placeholder_origin_cover%22%3A%22https%253A%252F%252Fp16-common-sign.tiktokcdn.com%252Ftos-alisg-p-0037%252Foo7k6eVRGA4A2wk8dfBSGdMnWehXQG7zFA4aNe~tplv-tiktokx-origin.jpeg%253Fdr%253D14572%2526refresh_token%253Db79be6d7%2526x-expires%253D1810717200%2526x-signature%253D2B4q%25252Fu2RF57%25252F1DREjJZeKQaOMEw%25253D%2526t%253D4d5b0474%2526ps%253D13740610%2526shp%253Dd05b14bd%2526shcp%253D34ff8df6%2526idc%253Dmy3%2526s%253DTIKTOK_AFFILIATE_VIRAL_VIDEO%22%2C%22placeholder_product_id%22%3A%221729427766722726591%22%2C%22placeholder_video_id%22%3A%227637431701718830357%22%7D&amp;ec_shared_reflux_scene=shop_tab_feed&amp;share_item_id=7637431701718830357&amp;source=h5_t</v>
      </c>
    </row>
    <row r="994">
      <c r="A994" s="255" t="str">
        <f>IFERROR(__xludf.DUMMYFUNCTION("""COMPUTED_VALUE"""),"MICRO")</f>
        <v>MICRO</v>
      </c>
      <c r="B994" s="361" t="str">
        <f>IFERROR(__xludf.DUMMYFUNCTION("""COMPUTED_VALUE"""),"mayakanama85")</f>
        <v>mayakanama85</v>
      </c>
      <c r="C994" s="257" t="str">
        <f>IFERROR(__xludf.DUMMYFUNCTION("""COMPUTED_VALUE"""),"https://www.tiktok.com/@mayakanama85")</f>
        <v>https://www.tiktok.com/@mayakanama85</v>
      </c>
      <c r="D994" s="270">
        <f>IFERROR(__xludf.DUMMYFUNCTION("""COMPUTED_VALUE"""),8.78211052E10)</f>
        <v>87821105200</v>
      </c>
      <c r="E994" s="457">
        <f>IFERROR(__xludf.DUMMYFUNCTION("""COMPUTED_VALUE"""),0.0)</f>
        <v>0</v>
      </c>
      <c r="F994" s="270">
        <f>IFERROR(__xludf.DUMMYFUNCTION("""COMPUTED_VALUE"""),4.0)</f>
        <v>4</v>
      </c>
      <c r="G994" s="17" t="str">
        <f>IFERROR(__xludf.DUMMYFUNCTION("""COMPUTED_VALUE"""),"Sabun batang 1 Box ( 2 PCS )")</f>
        <v>Sabun batang 1 Box ( 2 PCS )</v>
      </c>
      <c r="H994" s="463" t="str">
        <f>IFERROR(__xludf.DUMMYFUNCTION("""COMPUTED_VALUE"""),"Sampai")</f>
        <v>Sampai</v>
      </c>
      <c r="I994" s="464" t="str">
        <f>IFERROR(__xludf.DUMMYFUNCTION("""COMPUTED_VALUE"""),"KIMME")</f>
        <v>KIMME</v>
      </c>
      <c r="J994" s="279" t="str">
        <f>IFERROR(__xludf.DUMMYFUNCTION("""COMPUTED_VALUE"""),"https://www.tiktok.com/@harumrice/video/7637429987900919061?_r=1&amp;u_code=d6j7255963058c&amp;region=&amp;mid=7627212359236455185&amp;preview_pb=0&amp;sharer_language=&amp;_d=0&amp;ec_shared_reflux_dynamic_params=%7B%22placeholder_material_id%22%3A%227637429987900919061%22%2C%22pla"&amp;"ceholder_origin_cover%22%3A%22https%253A%252F%252Fp16-common-sign.tiktokcdn.com%252Ftos-alisg-p-0037%252FoMTfL7fmIMZZCbSIIld90DAPBjFiO4f2kAbDnE~tplv-tiktokx-origin.jpeg%253Fdr%253D14572%2526refresh_token%253Da3edec54%2526x-expires%253D1810717200%2526x-sig"&amp;"nature%253DWXeawwh3RK4DopUJnk%25252FtrqH%25252Frj0%25253D%2526t%253D4d5b0474%2526ps%253D13740610%2526shp%253Dd05b14bd%2526shcp%253D34ff8df6%2526idc%253Dmy3%2526s%253DTIKTOK_AFFILIATE_VIRAL_VIDEO%22%2C%22placeholder_product_id%22%3A%221729427766722726591%2"&amp;"2%2C%22placeholder_video_id%22%3A%227637429987900919061%22%7D&amp;ec_shared_reflux_scene=shop_tab_feed&amp;share_item_id=7637429987900919061&amp;source=h5_t")</f>
        <v>https://www.tiktok.com/@harumrice/video/7637429987900919061?_r=1&amp;u_code=d6j7255963058c&amp;region=&amp;mid=7627212359236455185&amp;preview_pb=0&amp;sharer_language=&amp;_d=0&amp;ec_shared_reflux_dynamic_params=%7B%22placeholder_material_id%22%3A%227637429987900919061%22%2C%22placeholder_origin_cover%22%3A%22https%253A%252F%252Fp16-common-sign.tiktokcdn.com%252Ftos-alisg-p-0037%252FoMTfL7fmIMZZCbSIIld90DAPBjFiO4f2kAbDnE~tplv-tiktokx-origin.jpeg%253Fdr%253D14572%2526refresh_token%253Da3edec54%2526x-expires%253D1810717200%2526x-signature%253DWXeawwh3RK4DopUJnk%25252FtrqH%25252Frj0%25253D%2526t%253D4d5b0474%2526ps%253D13740610%2526shp%253Dd05b14bd%2526shcp%253D34ff8df6%2526idc%253Dmy3%2526s%253DTIKTOK_AFFILIATE_VIRAL_VIDEO%22%2C%22placeholder_product_id%22%3A%221729427766722726591%22%2C%22placeholder_video_id%22%3A%227637429987900919061%22%7D&amp;ec_shared_reflux_scene=shop_tab_feed&amp;share_item_id=7637429987900919061&amp;source=h5_t</v>
      </c>
      <c r="K994" s="464" t="str">
        <f>IFERROR(__xludf.DUMMYFUNCTION("""COMPUTED_VALUE"""),"KIMME")</f>
        <v>KIMME</v>
      </c>
      <c r="L994" s="279" t="str">
        <f>IFERROR(__xludf.DUMMYFUNCTION("""COMPUTED_VALUE"""),"https://www.tiktok.com/@harumrice/video/7637429557296893204?_r=1&amp;u_code=d6j7255963058c&amp;region=&amp;mid=7632266697139489557&amp;preview_pb=0&amp;sharer_language=&amp;_d=0&amp;ec_shared_reflux_dynamic_params=%7B%22placeholder_material_id%22%3A%227637429557296893204%22%2C%22pla"&amp;"ceholder_origin_cover%22%3A%22https%253A%252F%252Fp16-common-sign.tiktokcdn.com%252Ftos-alisg-p-0037%252FogAE7FIJmfY3DMRWjfXCZzIjA4ENDHDQ3TekQy~tplv-tiktokx-origin.jpeg%253Fdr%253D14572%2526refresh_token%253D984f383b%2526x-expires%253D1810717200%2526x-sig"&amp;"nature%253DaQ3HjzoHcXbvcUf3oN%25252FOzfVGz84%25253D%2526t%253D4d5b0474%2526ps%253D13740610%2526shp%253Dd05b14bd%2526shcp%253D34ff8df6%2526idc%253Dmy3%2526s%253DTIKTOK_AFFILIATE_VIRAL_VIDEO%22%2C%22placeholder_product_id%22%3A%221729427766722726591%22%2C%2"&amp;"2placeholder_video_id%22%3A%227637429557296893204%22%7D&amp;ec_shared_reflux_scene=shop_tab_feed&amp;share_item_id=7637429557296893204&amp;source=h5_t")</f>
        <v>https://www.tiktok.com/@harumrice/video/7637429557296893204?_r=1&amp;u_code=d6j7255963058c&amp;region=&amp;mid=7632266697139489557&amp;preview_pb=0&amp;sharer_language=&amp;_d=0&amp;ec_shared_reflux_dynamic_params=%7B%22placeholder_material_id%22%3A%227637429557296893204%22%2C%22placeholder_origin_cover%22%3A%22https%253A%252F%252Fp16-common-sign.tiktokcdn.com%252Ftos-alisg-p-0037%252FogAE7FIJmfY3DMRWjfXCZzIjA4ENDHDQ3TekQy~tplv-tiktokx-origin.jpeg%253Fdr%253D14572%2526refresh_token%253D984f383b%2526x-expires%253D1810717200%2526x-signature%253DaQ3HjzoHcXbvcUf3oN%25252FOzfVGz84%25253D%2526t%253D4d5b0474%2526ps%253D13740610%2526shp%253Dd05b14bd%2526shcp%253D34ff8df6%2526idc%253Dmy3%2526s%253DTIKTOK_AFFILIATE_VIRAL_VIDEO%22%2C%22placeholder_product_id%22%3A%221729427766722726591%22%2C%22placeholder_video_id%22%3A%227637429557296893204%22%7D&amp;ec_shared_reflux_scene=shop_tab_feed&amp;share_item_id=7637429557296893204&amp;source=h5_t</v>
      </c>
      <c r="M994" s="464"/>
      <c r="N994" s="279" t="str">
        <f>IFERROR(__xludf.DUMMYFUNCTION("""COMPUTED_VALUE"""),"https://www.tiktok.com/@harumrice/video/7637429100486937877?_r=1&amp;u_code=d6j7255963058c&amp;region=&amp;mid=7537571734703901441&amp;preview_pb=0&amp;sharer_language=&amp;_d=0&amp;ec_shared_reflux_dynamic_params=%7B%22placeholder_material_id%22%3A%227637429100486937877%22%2C%22pla"&amp;"ceholder_origin_cover%22%3A%22https%253A%252F%252Fp16-common-sign.tiktokcdn.com%252Ftos-alisg-p-0037%252FoYAG7FXSifmqDMdZjfvCZ8I8A4EqD3vQ2TecQE~tplv-tiktokx-origin.jpeg%253Fdr%253D14572%2526refresh_token%253Dde89d652%2526x-expires%253D1810717200%2526x-sig"&amp;"nature%253DEzcpSFV%25252BYtFc9Obd%25252FpfaA7HHN%25252F8%25253D%2526t%253D4d5b0474%2526ps%253D13740610%2526shp%253Dd05b14bd%2526shcp%253D34ff8df6%2526idc%253Dmy3%2526s%253DTIKTOK_AFFILIATE_VIRAL_VIDEO%22%2C%22placeholder_product_id%22%3A%22172942776672272"&amp;"6591%22%2C%22placeholder_video_id%22%3A%227637429100486937877%22%7D&amp;ec_shared_reflux_scene=shop_tab_feed&amp;share_item_id=7637429100486937877&amp;source=h5_t")</f>
        <v>https://www.tiktok.com/@harumrice/video/7637429100486937877?_r=1&amp;u_code=d6j7255963058c&amp;region=&amp;mid=7537571734703901441&amp;preview_pb=0&amp;sharer_language=&amp;_d=0&amp;ec_shared_reflux_dynamic_params=%7B%22placeholder_material_id%22%3A%227637429100486937877%22%2C%22placeholder_origin_cover%22%3A%22https%253A%252F%252Fp16-common-sign.tiktokcdn.com%252Ftos-alisg-p-0037%252FoYAG7FXSifmqDMdZjfvCZ8I8A4EqD3vQ2TecQE~tplv-tiktokx-origin.jpeg%253Fdr%253D14572%2526refresh_token%253Dde89d652%2526x-expires%253D1810717200%2526x-signature%253DEzcpSFV%25252BYtFc9Obd%25252FpfaA7HHN%25252F8%25253D%2526t%253D4d5b0474%2526ps%253D13740610%2526shp%253Dd05b14bd%2526shcp%253D34ff8df6%2526idc%253Dmy3%2526s%253DTIKTOK_AFFILIATE_VIRAL_VIDEO%22%2C%22placeholder_product_id%22%3A%221729427766722726591%22%2C%22placeholder_video_id%22%3A%227637429100486937877%22%7D&amp;ec_shared_reflux_scene=shop_tab_feed&amp;share_item_id=7637429100486937877&amp;source=h5_t</v>
      </c>
      <c r="O994" s="464"/>
      <c r="P994" s="279" t="str">
        <f>IFERROR(__xludf.DUMMYFUNCTION("""COMPUTED_VALUE"""),"https://www.tiktok.com/@harumrice/video/7637421986251099413?_r=1&amp;u_code=d6j7255963058c&amp;region=&amp;mid=7634107877507140372&amp;preview_pb=0&amp;sharer_language=&amp;_d=0&amp;ec_shared_reflux_dynamic_params=%7B%22placeholder_material_id%22%3A%227637421986251099413%22%2C%22pla"&amp;"ceholder_origin_cover%22%3A%22https%253A%252F%252Fp16-common-sign.tiktokcdn.com%252Ftos-alisg-p-0037%252Foc57W9Si2cIafyu0AHDIIk3i2vjnZRCuABWAwC~tplv-tiktokx-origin.jpeg%253Fdr%253D14572%2526refresh_token%253D527a86ad%2526x-expires%253D1810717200%2526x-sig"&amp;"nature%253DacPwFI98IqCeY4Vd%25252FUSblLKRjec%25253D%2526t%253D4d5b0474%2526ps%253D13740610%2526shp%253Dd05b14bd%2526shcp%253D34ff8df6%2526idc%253Dmy3%2526s%253DTIKTOK_AFFILIATE_VIRAL_VIDEO%22%2C%22placeholder_product_id%22%3A%221729427766722726591%22%2C%2"&amp;"2placeholder_video_id%22%3A%227637421986251099413%22%7D&amp;ec_shared_reflux_scene=shop_tab_feed&amp;share_item_id=7637421986251099413&amp;source=h5_t")</f>
        <v>https://www.tiktok.com/@harumrice/video/7637421986251099413?_r=1&amp;u_code=d6j7255963058c&amp;region=&amp;mid=7634107877507140372&amp;preview_pb=0&amp;sharer_language=&amp;_d=0&amp;ec_shared_reflux_dynamic_params=%7B%22placeholder_material_id%22%3A%227637421986251099413%22%2C%22placeholder_origin_cover%22%3A%22https%253A%252F%252Fp16-common-sign.tiktokcdn.com%252Ftos-alisg-p-0037%252Foc57W9Si2cIafyu0AHDIIk3i2vjnZRCuABWAwC~tplv-tiktokx-origin.jpeg%253Fdr%253D14572%2526refresh_token%253D527a86ad%2526x-expires%253D1810717200%2526x-signature%253DacPwFI98IqCeY4Vd%25252FUSblLKRjec%25253D%2526t%253D4d5b0474%2526ps%253D13740610%2526shp%253Dd05b14bd%2526shcp%253D34ff8df6%2526idc%253Dmy3%2526s%253DTIKTOK_AFFILIATE_VIRAL_VIDEO%22%2C%22placeholder_product_id%22%3A%221729427766722726591%22%2C%22placeholder_video_id%22%3A%227637421986251099413%22%7D&amp;ec_shared_reflux_scene=shop_tab_feed&amp;share_item_id=7637421986251099413&amp;source=h5_t</v>
      </c>
    </row>
    <row r="995">
      <c r="A995" s="255" t="str">
        <f>IFERROR(__xludf.DUMMYFUNCTION("""COMPUTED_VALUE"""),"MICRO")</f>
        <v>MICRO</v>
      </c>
      <c r="B995" s="361" t="str">
        <f>IFERROR(__xludf.DUMMYFUNCTION("""COMPUTED_VALUE"""),"Idaooooo0")</f>
        <v>Idaooooo0</v>
      </c>
      <c r="C995" s="257" t="str">
        <f>IFERROR(__xludf.DUMMYFUNCTION("""COMPUTED_VALUE"""),"https://www.tiktok.com/@Idaooooo0")</f>
        <v>https://www.tiktok.com/@Idaooooo0</v>
      </c>
      <c r="D995" s="270">
        <f>IFERROR(__xludf.DUMMYFUNCTION("""COMPUTED_VALUE"""),8.9620796342E10)</f>
        <v>89620796342</v>
      </c>
      <c r="E995" s="457">
        <f>IFERROR(__xludf.DUMMYFUNCTION("""COMPUTED_VALUE"""),0.0)</f>
        <v>0</v>
      </c>
      <c r="F995" s="270">
        <f>IFERROR(__xludf.DUMMYFUNCTION("""COMPUTED_VALUE"""),4.0)</f>
        <v>4</v>
      </c>
      <c r="G995" s="17" t="str">
        <f>IFERROR(__xludf.DUMMYFUNCTION("""COMPUTED_VALUE"""),"Sabun batang 1 Box ( 2 PCS )")</f>
        <v>Sabun batang 1 Box ( 2 PCS )</v>
      </c>
      <c r="H995" s="463" t="str">
        <f>IFERROR(__xludf.DUMMYFUNCTION("""COMPUTED_VALUE"""),"Sampai")</f>
        <v>Sampai</v>
      </c>
      <c r="I995" s="464" t="str">
        <f>IFERROR(__xludf.DUMMYFUNCTION("""COMPUTED_VALUE"""),"KIMME")</f>
        <v>KIMME</v>
      </c>
      <c r="J995" s="279" t="str">
        <f>IFERROR(__xludf.DUMMYFUNCTION("""COMPUTED_VALUE"""),"https://vt.tiktok.com/ZS9Mo24m8/")</f>
        <v>https://vt.tiktok.com/ZS9Mo24m8/</v>
      </c>
      <c r="K995" s="464" t="str">
        <f>IFERROR(__xludf.DUMMYFUNCTION("""COMPUTED_VALUE"""),"KIMME")</f>
        <v>KIMME</v>
      </c>
      <c r="L995" s="17" t="str">
        <f>IFERROR(__xludf.DUMMYFUNCTION("""COMPUTED_VALUE"""),"⁠https://vt.tiktok.com/ZSxhmHBAJ/")</f>
        <v>⁠https://vt.tiktok.com/ZSxhmHBAJ/</v>
      </c>
      <c r="M995" s="464"/>
      <c r="N995" s="17" t="str">
        <f>IFERROR(__xludf.DUMMYFUNCTION("""COMPUTED_VALUE"""),"⁠https://vt.tiktok.com/ZSxhmHBP9/")</f>
        <v>⁠https://vt.tiktok.com/ZSxhmHBP9/</v>
      </c>
      <c r="O995" s="464"/>
      <c r="P995" s="17" t="str">
        <f>IFERROR(__xludf.DUMMYFUNCTION("""COMPUTED_VALUE"""),"⁠https://vt.tiktok.com/ZSxhmSpcu/")</f>
        <v>⁠https://vt.tiktok.com/ZSxhmSpcu/</v>
      </c>
    </row>
    <row r="996">
      <c r="A996" s="255" t="str">
        <f>IFERROR(__xludf.DUMMYFUNCTION("""COMPUTED_VALUE"""),"MICRO")</f>
        <v>MICRO</v>
      </c>
      <c r="B996" s="361" t="str">
        <f>IFERROR(__xludf.DUMMYFUNCTION("""COMPUTED_VALUE"""),"uusofficial0")</f>
        <v>uusofficial0</v>
      </c>
      <c r="C996" s="257" t="str">
        <f>IFERROR(__xludf.DUMMYFUNCTION("""COMPUTED_VALUE"""),"https://www.tiktok.com/@uusofficial0")</f>
        <v>https://www.tiktok.com/@uusofficial0</v>
      </c>
      <c r="D996" s="270">
        <f>IFERROR(__xludf.DUMMYFUNCTION("""COMPUTED_VALUE"""),8.1459126211E10)</f>
        <v>81459126211</v>
      </c>
      <c r="E996" s="457">
        <f>IFERROR(__xludf.DUMMYFUNCTION("""COMPUTED_VALUE"""),0.0)</f>
        <v>0</v>
      </c>
      <c r="F996" s="270">
        <f>IFERROR(__xludf.DUMMYFUNCTION("""COMPUTED_VALUE"""),4.0)</f>
        <v>4</v>
      </c>
      <c r="G996" s="17" t="str">
        <f>IFERROR(__xludf.DUMMYFUNCTION("""COMPUTED_VALUE"""),"Sabun batang 1 Box ( 2 PCS )")</f>
        <v>Sabun batang 1 Box ( 2 PCS )</v>
      </c>
      <c r="H996" s="463" t="str">
        <f>IFERROR(__xludf.DUMMYFUNCTION("""COMPUTED_VALUE"""),"Sampai")</f>
        <v>Sampai</v>
      </c>
      <c r="I996" s="464" t="str">
        <f>IFERROR(__xludf.DUMMYFUNCTION("""COMPUTED_VALUE"""),"KIMME")</f>
        <v>KIMME</v>
      </c>
      <c r="J996" s="17" t="str">
        <f>IFERROR(__xludf.DUMMYFUNCTION("""COMPUTED_VALUE"""),"⁠https://vt.tiktok.com/ZSxhmxM1R/")</f>
        <v>⁠https://vt.tiktok.com/ZSxhmxM1R/</v>
      </c>
      <c r="K996" s="464" t="str">
        <f>IFERROR(__xludf.DUMMYFUNCTION("""COMPUTED_VALUE"""),"KIMME")</f>
        <v>KIMME</v>
      </c>
      <c r="L996" s="17" t="str">
        <f>IFERROR(__xludf.DUMMYFUNCTION("""COMPUTED_VALUE"""),"⁠https://vt.tiktok.com/ZSxSeTDmG/")</f>
        <v>⁠https://vt.tiktok.com/ZSxSeTDmG/</v>
      </c>
      <c r="M996" s="464"/>
      <c r="N996" s="17" t="str">
        <f>IFERROR(__xludf.DUMMYFUNCTION("""COMPUTED_VALUE"""),"⁠https://vt.tiktok.com/ZSxSeKpnJ/")</f>
        <v>⁠https://vt.tiktok.com/ZSxSeKpnJ/</v>
      </c>
      <c r="O996" s="464"/>
      <c r="P996" s="17" t="str">
        <f>IFERROR(__xludf.DUMMYFUNCTION("""COMPUTED_VALUE"""),"⁠https://vt.tiktok.com/ZSxSdFuRD/")</f>
        <v>⁠https://vt.tiktok.com/ZSxSdFuRD/</v>
      </c>
    </row>
    <row r="997">
      <c r="A997" s="255" t="str">
        <f>IFERROR(__xludf.DUMMYFUNCTION("""COMPUTED_VALUE"""),"MICRO")</f>
        <v>MICRO</v>
      </c>
      <c r="B997" s="361" t="str">
        <f>IFERROR(__xludf.DUMMYFUNCTION("""COMPUTED_VALUE"""),"sheilasausan_")</f>
        <v>sheilasausan_</v>
      </c>
      <c r="C997" s="257" t="str">
        <f>IFERROR(__xludf.DUMMYFUNCTION("""COMPUTED_VALUE"""),"https://www.tiktok.com/@sheilasausan_")</f>
        <v>https://www.tiktok.com/@sheilasausan_</v>
      </c>
      <c r="D997" s="270">
        <f>IFERROR(__xludf.DUMMYFUNCTION("""COMPUTED_VALUE"""),8.1331465307E10)</f>
        <v>81331465307</v>
      </c>
      <c r="E997" s="457">
        <f>IFERROR(__xludf.DUMMYFUNCTION("""COMPUTED_VALUE"""),0.0)</f>
        <v>0</v>
      </c>
      <c r="F997" s="270">
        <f>IFERROR(__xludf.DUMMYFUNCTION("""COMPUTED_VALUE"""),4.0)</f>
        <v>4</v>
      </c>
      <c r="G997" s="17" t="str">
        <f>IFERROR(__xludf.DUMMYFUNCTION("""COMPUTED_VALUE"""),"Sabun batang 1 Box ( 2 PCS )")</f>
        <v>Sabun batang 1 Box ( 2 PCS )</v>
      </c>
      <c r="H997" s="463" t="str">
        <f>IFERROR(__xludf.DUMMYFUNCTION("""COMPUTED_VALUE"""),"Sampai")</f>
        <v>Sampai</v>
      </c>
      <c r="I997" s="464" t="str">
        <f>IFERROR(__xludf.DUMMYFUNCTION("""COMPUTED_VALUE"""),"KIMME")</f>
        <v>KIMME</v>
      </c>
      <c r="J997" s="17" t="str">
        <f>IFERROR(__xludf.DUMMYFUNCTION("""COMPUTED_VALUE"""),"⁠https://vt.tiktok.com/ZSxSe7BfJ/")</f>
        <v>⁠https://vt.tiktok.com/ZSxSe7BfJ/</v>
      </c>
      <c r="K997" s="464" t="str">
        <f>IFERROR(__xludf.DUMMYFUNCTION("""COMPUTED_VALUE"""),"KIMME")</f>
        <v>KIMME</v>
      </c>
      <c r="L997" s="279" t="str">
        <f>IFERROR(__xludf.DUMMYFUNCTION("""COMPUTED_VALUE"""),"https://vt.tiktok.com/ZSxSdMYm4/")</f>
        <v>https://vt.tiktok.com/ZSxSdMYm4/</v>
      </c>
      <c r="M997" s="464"/>
      <c r="N997" s="279" t="str">
        <f>IFERROR(__xludf.DUMMYFUNCTION("""COMPUTED_VALUE"""),"https://vt.tiktok.com/ZSxSdRffP/")</f>
        <v>https://vt.tiktok.com/ZSxSdRffP/</v>
      </c>
      <c r="O997" s="464"/>
      <c r="P997" s="17" t="str">
        <f>IFERROR(__xludf.DUMMYFUNCTION("""COMPUTED_VALUE"""),"⁠https://vt.tiktok.com/ZSxSd8hEN/")</f>
        <v>⁠https://vt.tiktok.com/ZSxSd8hEN/</v>
      </c>
    </row>
    <row r="998">
      <c r="A998" s="255" t="str">
        <f>IFERROR(__xludf.DUMMYFUNCTION("""COMPUTED_VALUE"""),"MICRO")</f>
        <v>MICRO</v>
      </c>
      <c r="B998" s="361" t="str">
        <f>IFERROR(__xludf.DUMMYFUNCTION("""COMPUTED_VALUE"""),"bullshi20")</f>
        <v>bullshi20</v>
      </c>
      <c r="C998" s="257" t="str">
        <f>IFERROR(__xludf.DUMMYFUNCTION("""COMPUTED_VALUE"""),"https://www.tiktok.com/@bullshi20")</f>
        <v>https://www.tiktok.com/@bullshi20</v>
      </c>
      <c r="D998" s="270">
        <f>IFERROR(__xludf.DUMMYFUNCTION("""COMPUTED_VALUE"""),8.5692539218E10)</f>
        <v>85692539218</v>
      </c>
      <c r="E998" s="457">
        <f>IFERROR(__xludf.DUMMYFUNCTION("""COMPUTED_VALUE"""),0.0)</f>
        <v>0</v>
      </c>
      <c r="F998" s="270">
        <f>IFERROR(__xludf.DUMMYFUNCTION("""COMPUTED_VALUE"""),4.0)</f>
        <v>4</v>
      </c>
      <c r="G998" s="17" t="str">
        <f>IFERROR(__xludf.DUMMYFUNCTION("""COMPUTED_VALUE"""),"Sabun batang 1 Box ( 2 PCS )")</f>
        <v>Sabun batang 1 Box ( 2 PCS )</v>
      </c>
      <c r="H998" s="463" t="str">
        <f>IFERROR(__xludf.DUMMYFUNCTION("""COMPUTED_VALUE"""),"Sampai")</f>
        <v>Sampai</v>
      </c>
      <c r="I998" s="464" t="str">
        <f>IFERROR(__xludf.DUMMYFUNCTION("""COMPUTED_VALUE"""),"KIMME")</f>
        <v>KIMME</v>
      </c>
      <c r="J998" s="17" t="str">
        <f>IFERROR(__xludf.DUMMYFUNCTION("""COMPUTED_VALUE"""),"⁠https://vt.tiktok.com/ZSxSew8Tj/")</f>
        <v>⁠https://vt.tiktok.com/ZSxSew8Tj/</v>
      </c>
      <c r="K998" s="464" t="str">
        <f>IFERROR(__xludf.DUMMYFUNCTION("""COMPUTED_VALUE"""),"KIMME")</f>
        <v>KIMME</v>
      </c>
      <c r="L998" s="17" t="str">
        <f>IFERROR(__xludf.DUMMYFUNCTION("""COMPUTED_VALUE"""),"⁠https://vt.tiktok.com/ZSxSe7NpG/")</f>
        <v>⁠https://vt.tiktok.com/ZSxSe7NpG/</v>
      </c>
      <c r="M998" s="464"/>
      <c r="N998" s="17" t="str">
        <f>IFERROR(__xludf.DUMMYFUNCTION("""COMPUTED_VALUE"""),"⁠https://vt.tiktok.com/ZSxrFt29H/")</f>
        <v>⁠https://vt.tiktok.com/ZSxrFt29H/</v>
      </c>
      <c r="O998" s="464"/>
      <c r="P998" s="279" t="str">
        <f>IFERROR(__xludf.DUMMYFUNCTION("""COMPUTED_VALUE"""),"https://vt.tiktok.com/ZSxrYkNQv/")</f>
        <v>https://vt.tiktok.com/ZSxrYkNQv/</v>
      </c>
    </row>
    <row r="999">
      <c r="A999" s="255" t="str">
        <f>IFERROR(__xludf.DUMMYFUNCTION("""COMPUTED_VALUE"""),"MICRO")</f>
        <v>MICRO</v>
      </c>
      <c r="B999" s="361" t="str">
        <f>IFERROR(__xludf.DUMMYFUNCTION("""COMPUTED_VALUE"""),"_nonbell")</f>
        <v>_nonbell</v>
      </c>
      <c r="C999" s="257" t="str">
        <f>IFERROR(__xludf.DUMMYFUNCTION("""COMPUTED_VALUE"""),"https://www.tiktok.com/@_nonbell")</f>
        <v>https://www.tiktok.com/@_nonbell</v>
      </c>
      <c r="D999" s="270">
        <f>IFERROR(__xludf.DUMMYFUNCTION("""COMPUTED_VALUE"""),8.5860267965E10)</f>
        <v>85860267965</v>
      </c>
      <c r="E999" s="457">
        <f>IFERROR(__xludf.DUMMYFUNCTION("""COMPUTED_VALUE"""),0.0)</f>
        <v>0</v>
      </c>
      <c r="F999" s="270">
        <f>IFERROR(__xludf.DUMMYFUNCTION("""COMPUTED_VALUE"""),4.0)</f>
        <v>4</v>
      </c>
      <c r="G999" s="17" t="str">
        <f>IFERROR(__xludf.DUMMYFUNCTION("""COMPUTED_VALUE"""),"Sabun batang 1 Box ( 2 PCS )")</f>
        <v>Sabun batang 1 Box ( 2 PCS )</v>
      </c>
      <c r="H999" s="463" t="str">
        <f>IFERROR(__xludf.DUMMYFUNCTION("""COMPUTED_VALUE"""),"Sampai")</f>
        <v>Sampai</v>
      </c>
      <c r="I999" s="464" t="str">
        <f>IFERROR(__xludf.DUMMYFUNCTION("""COMPUTED_VALUE"""),"KIMME")</f>
        <v>KIMME</v>
      </c>
      <c r="J999" s="17" t="str">
        <f>IFERROR(__xludf.DUMMYFUNCTION("""COMPUTED_VALUE"""),"⁠https://vt.tiktok.com/ZSxrYMVf7/")</f>
        <v>⁠https://vt.tiktok.com/ZSxrYMVf7/</v>
      </c>
      <c r="K999" s="464" t="str">
        <f>IFERROR(__xludf.DUMMYFUNCTION("""COMPUTED_VALUE"""),"KIMME")</f>
        <v>KIMME</v>
      </c>
      <c r="L999" s="17" t="str">
        <f>IFERROR(__xludf.DUMMYFUNCTION("""COMPUTED_VALUE"""),"⁠https://vt.tiktok.com/ZSxrY5A6p/")</f>
        <v>⁠https://vt.tiktok.com/ZSxrY5A6p/</v>
      </c>
      <c r="M999" s="464"/>
      <c r="N999" s="17" t="str">
        <f>IFERROR(__xludf.DUMMYFUNCTION("""COMPUTED_VALUE"""),"⁠https://vt.tiktok.com/ZSxrYSFQ6/")</f>
        <v>⁠https://vt.tiktok.com/ZSxrYSFQ6/</v>
      </c>
      <c r="O999" s="464"/>
      <c r="P999" s="17" t="str">
        <f>IFERROR(__xludf.DUMMYFUNCTION("""COMPUTED_VALUE"""),"⁠https://vt.tiktok.com/ZSxrYrVE5/")</f>
        <v>⁠https://vt.tiktok.com/ZSxrYrVE5/</v>
      </c>
    </row>
    <row r="1000">
      <c r="A1000" s="255" t="str">
        <f>IFERROR(__xludf.DUMMYFUNCTION("""COMPUTED_VALUE"""),"MICRO")</f>
        <v>MICRO</v>
      </c>
      <c r="B1000" s="361" t="str">
        <f>IFERROR(__xludf.DUMMYFUNCTION("""COMPUTED_VALUE"""),"sitiyulianti10juli")</f>
        <v>sitiyulianti10juli</v>
      </c>
      <c r="C1000" s="257" t="str">
        <f>IFERROR(__xludf.DUMMYFUNCTION("""COMPUTED_VALUE"""),"https://www.tiktok.com/@sitiyulianti10juli")</f>
        <v>https://www.tiktok.com/@sitiyulianti10juli</v>
      </c>
      <c r="D1000" s="270">
        <f>IFERROR(__xludf.DUMMYFUNCTION("""COMPUTED_VALUE"""),8.9864607E9)</f>
        <v>8986460700</v>
      </c>
      <c r="E1000" s="457">
        <f>IFERROR(__xludf.DUMMYFUNCTION("""COMPUTED_VALUE"""),0.0)</f>
        <v>0</v>
      </c>
      <c r="F1000" s="270">
        <f>IFERROR(__xludf.DUMMYFUNCTION("""COMPUTED_VALUE"""),4.0)</f>
        <v>4</v>
      </c>
      <c r="G1000" s="17" t="str">
        <f>IFERROR(__xludf.DUMMYFUNCTION("""COMPUTED_VALUE"""),"Sabun batang 1 Box ( 2 PCS )")</f>
        <v>Sabun batang 1 Box ( 2 PCS )</v>
      </c>
      <c r="H1000" s="463" t="str">
        <f>IFERROR(__xludf.DUMMYFUNCTION("""COMPUTED_VALUE"""),"Sampai")</f>
        <v>Sampai</v>
      </c>
      <c r="I1000" s="464" t="str">
        <f>IFERROR(__xludf.DUMMYFUNCTION("""COMPUTED_VALUE"""),"KIMME")</f>
        <v>KIMME</v>
      </c>
      <c r="J1000" s="17" t="str">
        <f>IFERROR(__xludf.DUMMYFUNCTION("""COMPUTED_VALUE"""),"⁠https://vt.tiktok.com/ZSxrYS1c2/")</f>
        <v>⁠https://vt.tiktok.com/ZSxrYS1c2/</v>
      </c>
      <c r="K1000" s="464" t="str">
        <f>IFERROR(__xludf.DUMMYFUNCTION("""COMPUTED_VALUE"""),"KIMME")</f>
        <v>KIMME</v>
      </c>
      <c r="L1000" s="17" t="str">
        <f>IFERROR(__xludf.DUMMYFUNCTION("""COMPUTED_VALUE"""),"⁠https://vt.tiktok.com/ZSxhmm2sE/")</f>
        <v>⁠https://vt.tiktok.com/ZSxhmm2sE/</v>
      </c>
      <c r="M1000" s="464"/>
      <c r="N1000" s="17" t="str">
        <f>IFERROR(__xludf.DUMMYFUNCTION("""COMPUTED_VALUE"""),"⁠https://vt.tiktok.com/ZSxhmfxHQ/")</f>
        <v>⁠https://vt.tiktok.com/ZSxhmfxHQ/</v>
      </c>
      <c r="O1000" s="464"/>
      <c r="P1000" s="17" t="str">
        <f>IFERROR(__xludf.DUMMYFUNCTION("""COMPUTED_VALUE"""),"⁠https://vt.tiktok.com/ZSxhmxDBg/")</f>
        <v>⁠https://vt.tiktok.com/ZSxhmxDBg/</v>
      </c>
    </row>
    <row r="1001">
      <c r="A1001" s="255" t="str">
        <f>IFERROR(__xludf.DUMMYFUNCTION("""COMPUTED_VALUE"""),"MICRO")</f>
        <v>MICRO</v>
      </c>
      <c r="B1001" s="361" t="str">
        <f>IFERROR(__xludf.DUMMYFUNCTION("""COMPUTED_VALUE"""),"verryfreak27")</f>
        <v>verryfreak27</v>
      </c>
      <c r="C1001" s="257" t="str">
        <f>IFERROR(__xludf.DUMMYFUNCTION("""COMPUTED_VALUE"""),"https://www.tiktok.com/@verryfreak27")</f>
        <v>https://www.tiktok.com/@verryfreak27</v>
      </c>
      <c r="D1001" s="270">
        <f>IFERROR(__xludf.DUMMYFUNCTION("""COMPUTED_VALUE"""),8.5174171499E10)</f>
        <v>85174171499</v>
      </c>
      <c r="E1001" s="457">
        <f>IFERROR(__xludf.DUMMYFUNCTION("""COMPUTED_VALUE"""),0.0)</f>
        <v>0</v>
      </c>
      <c r="F1001" s="270">
        <f>IFERROR(__xludf.DUMMYFUNCTION("""COMPUTED_VALUE"""),4.0)</f>
        <v>4</v>
      </c>
      <c r="G1001" s="17" t="str">
        <f>IFERROR(__xludf.DUMMYFUNCTION("""COMPUTED_VALUE"""),"Sabun batang 1 Box ( 2 PCS )")</f>
        <v>Sabun batang 1 Box ( 2 PCS )</v>
      </c>
      <c r="H1001" s="463" t="str">
        <f>IFERROR(__xludf.DUMMYFUNCTION("""COMPUTED_VALUE"""),"Sampai")</f>
        <v>Sampai</v>
      </c>
      <c r="I1001" s="464" t="str">
        <f>IFERROR(__xludf.DUMMYFUNCTION("""COMPUTED_VALUE"""),"KIMME")</f>
        <v>KIMME</v>
      </c>
      <c r="J1001" s="17" t="str">
        <f>IFERROR(__xludf.DUMMYFUNCTION("""COMPUTED_VALUE"""),"⁠https://vt.tiktok.com/ZSxhmAC3B/")</f>
        <v>⁠https://vt.tiktok.com/ZSxhmAC3B/</v>
      </c>
      <c r="K1001" s="464" t="str">
        <f>IFERROR(__xludf.DUMMYFUNCTION("""COMPUTED_VALUE"""),"KIMME")</f>
        <v>KIMME</v>
      </c>
      <c r="L1001" s="17" t="str">
        <f>IFERROR(__xludf.DUMMYFUNCTION("""COMPUTED_VALUE"""),"⁠https://vt.tiktok.com/ZSxhm6JdD/")</f>
        <v>⁠https://vt.tiktok.com/ZSxhm6JdD/</v>
      </c>
      <c r="M1001" s="464"/>
      <c r="N1001" s="17" t="str">
        <f>IFERROR(__xludf.DUMMYFUNCTION("""COMPUTED_VALUE"""),"⁠https://vt.tiktok.com/ZSxhmhA9c/")</f>
        <v>⁠https://vt.tiktok.com/ZSxhmhA9c/</v>
      </c>
      <c r="O1001" s="464"/>
      <c r="P1001" s="17" t="str">
        <f>IFERROR(__xludf.DUMMYFUNCTION("""COMPUTED_VALUE"""),"⁠https://vt.tiktok.com/ZSxrF7Vkc/")</f>
        <v>⁠https://vt.tiktok.com/ZSxrF7Vkc/</v>
      </c>
    </row>
    <row r="1002">
      <c r="A1002" s="255" t="str">
        <f>IFERROR(__xludf.DUMMYFUNCTION("""COMPUTED_VALUE"""),"MICRO")</f>
        <v>MICRO</v>
      </c>
      <c r="B1002" s="361" t="str">
        <f>IFERROR(__xludf.DUMMYFUNCTION("""COMPUTED_VALUE"""),"evahandoko")</f>
        <v>evahandoko</v>
      </c>
      <c r="C1002" s="257" t="str">
        <f>IFERROR(__xludf.DUMMYFUNCTION("""COMPUTED_VALUE"""),"https://www.tiktok.com/@evahandoko")</f>
        <v>https://www.tiktok.com/@evahandoko</v>
      </c>
      <c r="D1002" s="270">
        <f>IFERROR(__xludf.DUMMYFUNCTION("""COMPUTED_VALUE"""),8.9635989709E10)</f>
        <v>89635989709</v>
      </c>
      <c r="E1002" s="457">
        <f>IFERROR(__xludf.DUMMYFUNCTION("""COMPUTED_VALUE"""),0.0)</f>
        <v>0</v>
      </c>
      <c r="F1002" s="270">
        <f>IFERROR(__xludf.DUMMYFUNCTION("""COMPUTED_VALUE"""),4.0)</f>
        <v>4</v>
      </c>
      <c r="G1002" s="17" t="str">
        <f>IFERROR(__xludf.DUMMYFUNCTION("""COMPUTED_VALUE"""),"Sabun batang 1 Box ( 2 PCS )")</f>
        <v>Sabun batang 1 Box ( 2 PCS )</v>
      </c>
      <c r="H1002" s="463" t="str">
        <f>IFERROR(__xludf.DUMMYFUNCTION("""COMPUTED_VALUE"""),"Sampai")</f>
        <v>Sampai</v>
      </c>
      <c r="I1002" s="464" t="str">
        <f>IFERROR(__xludf.DUMMYFUNCTION("""COMPUTED_VALUE"""),"KIMME")</f>
        <v>KIMME</v>
      </c>
      <c r="J1002" s="17" t="str">
        <f>IFERROR(__xludf.DUMMYFUNCTION("""COMPUTED_VALUE"""),"⁠https://vt.tiktok.com/ZSxrYjd65/")</f>
        <v>⁠https://vt.tiktok.com/ZSxrYjd65/</v>
      </c>
      <c r="K1002" s="464" t="str">
        <f>IFERROR(__xludf.DUMMYFUNCTION("""COMPUTED_VALUE"""),"KIMME")</f>
        <v>KIMME</v>
      </c>
      <c r="L1002" s="279" t="str">
        <f>IFERROR(__xludf.DUMMYFUNCTION("""COMPUTED_VALUE"""),"https://vt.tiktok.com/ZSxrF3A8B/")</f>
        <v>https://vt.tiktok.com/ZSxrF3A8B/</v>
      </c>
      <c r="M1002" s="464"/>
      <c r="N1002" s="17" t="str">
        <f>IFERROR(__xludf.DUMMYFUNCTION("""COMPUTED_VALUE"""),"⁠https://vt.tiktok.com/ZSx6Dr6rk/")</f>
        <v>⁠https://vt.tiktok.com/ZSx6Dr6rk/</v>
      </c>
      <c r="O1002" s="464"/>
      <c r="P1002" s="279" t="str">
        <f>IFERROR(__xludf.DUMMYFUNCTION("""COMPUTED_VALUE"""),"https://vt.tiktok.com/ZSx6Du2Mt/")</f>
        <v>https://vt.tiktok.com/ZSx6Du2Mt/</v>
      </c>
    </row>
    <row r="1003">
      <c r="A1003" s="255" t="str">
        <f>IFERROR(__xludf.DUMMYFUNCTION("""COMPUTED_VALUE"""),"MICRO")</f>
        <v>MICRO</v>
      </c>
      <c r="B1003" s="361" t="str">
        <f>IFERROR(__xludf.DUMMYFUNCTION("""COMPUTED_VALUE"""),"ecywppp")</f>
        <v>ecywppp</v>
      </c>
      <c r="C1003" s="257" t="str">
        <f>IFERROR(__xludf.DUMMYFUNCTION("""COMPUTED_VALUE"""),"https://www.tiktok.com/@ecywppp")</f>
        <v>https://www.tiktok.com/@ecywppp</v>
      </c>
      <c r="D1003" s="270">
        <f>IFERROR(__xludf.DUMMYFUNCTION("""COMPUTED_VALUE"""),8.8267184663E10)</f>
        <v>88267184663</v>
      </c>
      <c r="E1003" s="457">
        <f>IFERROR(__xludf.DUMMYFUNCTION("""COMPUTED_VALUE"""),0.0)</f>
        <v>0</v>
      </c>
      <c r="F1003" s="270">
        <f>IFERROR(__xludf.DUMMYFUNCTION("""COMPUTED_VALUE"""),4.0)</f>
        <v>4</v>
      </c>
      <c r="G1003" s="17" t="str">
        <f>IFERROR(__xludf.DUMMYFUNCTION("""COMPUTED_VALUE"""),"Sabun batang 1 Box ( 2 PCS )")</f>
        <v>Sabun batang 1 Box ( 2 PCS )</v>
      </c>
      <c r="H1003" s="463" t="str">
        <f>IFERROR(__xludf.DUMMYFUNCTION("""COMPUTED_VALUE"""),"Sampai")</f>
        <v>Sampai</v>
      </c>
      <c r="I1003" s="464" t="str">
        <f>IFERROR(__xludf.DUMMYFUNCTION("""COMPUTED_VALUE"""),"KIMME")</f>
        <v>KIMME</v>
      </c>
      <c r="J1003" s="279" t="str">
        <f>IFERROR(__xludf.DUMMYFUNCTION("""COMPUTED_VALUE"""),"https://vt.tiktok.com/ZS9QgFpmW/")</f>
        <v>https://vt.tiktok.com/ZS9QgFpmW/</v>
      </c>
      <c r="K1003" s="464" t="str">
        <f>IFERROR(__xludf.DUMMYFUNCTION("""COMPUTED_VALUE"""),"KIMME")</f>
        <v>KIMME</v>
      </c>
      <c r="L1003" s="279" t="str">
        <f>IFERROR(__xludf.DUMMYFUNCTION("""COMPUTED_VALUE"""),"https://www.tiktok.com/@bidanhenny01/video/7633276066479541525")</f>
        <v>https://www.tiktok.com/@bidanhenny01/video/7633276066479541525</v>
      </c>
      <c r="M1003" s="464"/>
      <c r="N1003" s="279" t="str">
        <f>IFERROR(__xludf.DUMMYFUNCTION("""COMPUTED_VALUE"""),"https://vt.tiktok.com/ZS9PBSVdJ/")</f>
        <v>https://vt.tiktok.com/ZS9PBSVdJ/</v>
      </c>
      <c r="O1003" s="464"/>
      <c r="P1003" s="279" t="str">
        <f>IFERROR(__xludf.DUMMYFUNCTION("""COMPUTED_VALUE"""),"https://www.tiktok.com/@hellogirl.y/video/7608721545078328583")</f>
        <v>https://www.tiktok.com/@hellogirl.y/video/7608721545078328583</v>
      </c>
    </row>
    <row r="1004">
      <c r="A1004" s="255" t="str">
        <f>IFERROR(__xludf.DUMMYFUNCTION("""COMPUTED_VALUE"""),"MICRO")</f>
        <v>MICRO</v>
      </c>
      <c r="B1004" s="361" t="str">
        <f>IFERROR(__xludf.DUMMYFUNCTION("""COMPUTED_VALUE"""),"Bundanya_alisha")</f>
        <v>Bundanya_alisha</v>
      </c>
      <c r="C1004" s="257" t="str">
        <f>IFERROR(__xludf.DUMMYFUNCTION("""COMPUTED_VALUE"""),"https://www.tiktok.com/@Bundanya_alisha")</f>
        <v>https://www.tiktok.com/@Bundanya_alisha</v>
      </c>
      <c r="D1004" s="270">
        <f>IFERROR(__xludf.DUMMYFUNCTION("""COMPUTED_VALUE"""),8.3132352956E10)</f>
        <v>83132352956</v>
      </c>
      <c r="E1004" s="457">
        <f>IFERROR(__xludf.DUMMYFUNCTION("""COMPUTED_VALUE"""),0.0)</f>
        <v>0</v>
      </c>
      <c r="F1004" s="270">
        <f>IFERROR(__xludf.DUMMYFUNCTION("""COMPUTED_VALUE"""),4.0)</f>
        <v>4</v>
      </c>
      <c r="G1004" s="17" t="str">
        <f>IFERROR(__xludf.DUMMYFUNCTION("""COMPUTED_VALUE"""),"Sabun batang 1 Box ( 2 PCS )")</f>
        <v>Sabun batang 1 Box ( 2 PCS )</v>
      </c>
      <c r="H1004" s="463" t="str">
        <f>IFERROR(__xludf.DUMMYFUNCTION("""COMPUTED_VALUE"""),"Sampai")</f>
        <v>Sampai</v>
      </c>
      <c r="I1004" s="464" t="str">
        <f>IFERROR(__xludf.DUMMYFUNCTION("""COMPUTED_VALUE"""),"KIMME")</f>
        <v>KIMME</v>
      </c>
      <c r="J1004" s="17" t="str">
        <f>IFERROR(__xludf.DUMMYFUNCTION("""COMPUTED_VALUE"""),"⁠https://vt.tiktok.com/ZSx6DmLTd/")</f>
        <v>⁠https://vt.tiktok.com/ZSx6DmLTd/</v>
      </c>
      <c r="K1004" s="464" t="str">
        <f>IFERROR(__xludf.DUMMYFUNCTION("""COMPUTED_VALUE"""),"KIMME")</f>
        <v>KIMME</v>
      </c>
      <c r="L1004" s="17" t="str">
        <f>IFERROR(__xludf.DUMMYFUNCTION("""COMPUTED_VALUE"""),"⁠https://vt.tiktok.com/ZSx6DhjcQ/")</f>
        <v>⁠https://vt.tiktok.com/ZSx6DhjcQ/</v>
      </c>
      <c r="M1004" s="464"/>
      <c r="N1004" s="17" t="str">
        <f>IFERROR(__xludf.DUMMYFUNCTION("""COMPUTED_VALUE"""),"⁠https://vt.tiktok.com/ZSx6DyAyE/")</f>
        <v>⁠https://vt.tiktok.com/ZSx6DyAyE/</v>
      </c>
      <c r="O1004" s="464"/>
      <c r="P1004" s="17" t="str">
        <f>IFERROR(__xludf.DUMMYFUNCTION("""COMPUTED_VALUE"""),"⁠https://vt.tiktok.com/ZSx6DQR71/")</f>
        <v>⁠https://vt.tiktok.com/ZSx6DQR71/</v>
      </c>
    </row>
    <row r="1005">
      <c r="A1005" s="255" t="str">
        <f>IFERROR(__xludf.DUMMYFUNCTION("""COMPUTED_VALUE"""),"MICRO")</f>
        <v>MICRO</v>
      </c>
      <c r="B1005" s="361" t="str">
        <f>IFERROR(__xludf.DUMMYFUNCTION("""COMPUTED_VALUE"""),"Nita_gisull22")</f>
        <v>Nita_gisull22</v>
      </c>
      <c r="C1005" s="257" t="str">
        <f>IFERROR(__xludf.DUMMYFUNCTION("""COMPUTED_VALUE"""),"https://www.tiktok.com/@Nita_gisull22")</f>
        <v>https://www.tiktok.com/@Nita_gisull22</v>
      </c>
      <c r="D1005" s="270">
        <f>IFERROR(__xludf.DUMMYFUNCTION("""COMPUTED_VALUE"""),8.7745824872E10)</f>
        <v>87745824872</v>
      </c>
      <c r="E1005" s="457">
        <f>IFERROR(__xludf.DUMMYFUNCTION("""COMPUTED_VALUE"""),0.0)</f>
        <v>0</v>
      </c>
      <c r="F1005" s="270">
        <f>IFERROR(__xludf.DUMMYFUNCTION("""COMPUTED_VALUE"""),2.0)</f>
        <v>2</v>
      </c>
      <c r="G1005" s="17" t="str">
        <f>IFERROR(__xludf.DUMMYFUNCTION("""COMPUTED_VALUE"""),"Sabun batang 1 Box ( 2 PCS )")</f>
        <v>Sabun batang 1 Box ( 2 PCS )</v>
      </c>
      <c r="H1005" s="463" t="str">
        <f>IFERROR(__xludf.DUMMYFUNCTION("""COMPUTED_VALUE"""),"Sampai")</f>
        <v>Sampai</v>
      </c>
      <c r="I1005" s="464" t="str">
        <f>IFERROR(__xludf.DUMMYFUNCTION("""COMPUTED_VALUE"""),"KIMME")</f>
        <v>KIMME</v>
      </c>
      <c r="J1005" s="17" t="str">
        <f>IFERROR(__xludf.DUMMYFUNCTION("""COMPUTED_VALUE"""),"⁠https://vt.tiktok.com/ZSx6DH3h5/")</f>
        <v>⁠https://vt.tiktok.com/ZSx6DH3h5/</v>
      </c>
      <c r="K1005" s="464" t="str">
        <f>IFERROR(__xludf.DUMMYFUNCTION("""COMPUTED_VALUE"""),"KIMME")</f>
        <v>KIMME</v>
      </c>
      <c r="L1005" s="17" t="str">
        <f>IFERROR(__xludf.DUMMYFUNCTION("""COMPUTED_VALUE"""),"⁠https://vt.tiktok.com/ZSx6DfBaL/")</f>
        <v>⁠https://vt.tiktok.com/ZSx6DfBaL/</v>
      </c>
      <c r="M1005" s="464"/>
      <c r="N1005" s="17" t="str">
        <f>IFERROR(__xludf.DUMMYFUNCTION("""COMPUTED_VALUE"""),"⁠https://vt.tiktok.com/ZSx6DmG3V/")</f>
        <v>⁠https://vt.tiktok.com/ZSx6DmG3V/</v>
      </c>
      <c r="O1005" s="464"/>
      <c r="P1005" s="279" t="str">
        <f>IFERROR(__xludf.DUMMYFUNCTION("""COMPUTED_VALUE"""),"https://vt.tiktok.com/ZSx6DUbJ2/")</f>
        <v>https://vt.tiktok.com/ZSx6DUbJ2/</v>
      </c>
    </row>
    <row r="1006">
      <c r="A1006" s="255" t="str">
        <f>IFERROR(__xludf.DUMMYFUNCTION("""COMPUTED_VALUE"""),"MICRO")</f>
        <v>MICRO</v>
      </c>
      <c r="B1006" s="361" t="str">
        <f>IFERROR(__xludf.DUMMYFUNCTION("""COMPUTED_VALUE"""),"febirahmadani399")</f>
        <v>febirahmadani399</v>
      </c>
      <c r="C1006" s="257" t="str">
        <f>IFERROR(__xludf.DUMMYFUNCTION("""COMPUTED_VALUE"""),"https://www.tiktok.com/@febirahmadani399")</f>
        <v>https://www.tiktok.com/@febirahmadani399</v>
      </c>
      <c r="D1006" s="270">
        <f>IFERROR(__xludf.DUMMYFUNCTION("""COMPUTED_VALUE"""),8.2383076246E10)</f>
        <v>82383076246</v>
      </c>
      <c r="E1006" s="457">
        <f>IFERROR(__xludf.DUMMYFUNCTION("""COMPUTED_VALUE"""),0.0)</f>
        <v>0</v>
      </c>
      <c r="F1006" s="270">
        <f>IFERROR(__xludf.DUMMYFUNCTION("""COMPUTED_VALUE"""),4.0)</f>
        <v>4</v>
      </c>
      <c r="G1006" s="17" t="str">
        <f>IFERROR(__xludf.DUMMYFUNCTION("""COMPUTED_VALUE"""),"Sabun batang 1 Box ( 2 PCS )")</f>
        <v>Sabun batang 1 Box ( 2 PCS )</v>
      </c>
      <c r="H1006" s="463" t="str">
        <f>IFERROR(__xludf.DUMMYFUNCTION("""COMPUTED_VALUE"""),"Sampai")</f>
        <v>Sampai</v>
      </c>
      <c r="I1006" s="464" t="str">
        <f>IFERROR(__xludf.DUMMYFUNCTION("""COMPUTED_VALUE"""),"KIMME")</f>
        <v>KIMME</v>
      </c>
      <c r="J1006" s="279" t="str">
        <f>IFERROR(__xludf.DUMMYFUNCTION("""COMPUTED_VALUE"""),"https://vt.tiktok.com/ZSxMQRWrR/")</f>
        <v>https://vt.tiktok.com/ZSxMQRWrR/</v>
      </c>
      <c r="K1006" s="464" t="str">
        <f>IFERROR(__xludf.DUMMYFUNCTION("""COMPUTED_VALUE"""),"KIMME")</f>
        <v>KIMME</v>
      </c>
      <c r="L1006" s="17" t="str">
        <f>IFERROR(__xludf.DUMMYFUNCTION("""COMPUTED_VALUE"""),"⁠https://vt.tiktok.com/ZSxMx3aug/")</f>
        <v>⁠https://vt.tiktok.com/ZSxMx3aug/</v>
      </c>
      <c r="M1006" s="464"/>
      <c r="N1006" s="17" t="str">
        <f>IFERROR(__xludf.DUMMYFUNCTION("""COMPUTED_VALUE"""),"⁠https://vt.tiktok.com/ZSxMx36M9/")</f>
        <v>⁠https://vt.tiktok.com/ZSxMx36M9/</v>
      </c>
      <c r="O1006" s="464"/>
      <c r="P1006" s="17" t="str">
        <f>IFERROR(__xludf.DUMMYFUNCTION("""COMPUTED_VALUE"""),"⁠https://vt.tiktok.com/ZSxMx7Du2/")</f>
        <v>⁠https://vt.tiktok.com/ZSxMx7Du2/</v>
      </c>
    </row>
    <row r="1007">
      <c r="A1007" s="255" t="str">
        <f>IFERROR(__xludf.DUMMYFUNCTION("""COMPUTED_VALUE"""),"MICRO")</f>
        <v>MICRO</v>
      </c>
      <c r="B1007" s="361" t="str">
        <f>IFERROR(__xludf.DUMMYFUNCTION("""COMPUTED_VALUE"""),"racun.epple")</f>
        <v>racun.epple</v>
      </c>
      <c r="C1007" s="257" t="str">
        <f>IFERROR(__xludf.DUMMYFUNCTION("""COMPUTED_VALUE"""),"https://www.tiktok.com/@racun.epple")</f>
        <v>https://www.tiktok.com/@racun.epple</v>
      </c>
      <c r="D1007" s="270"/>
      <c r="E1007" s="457">
        <f>IFERROR(__xludf.DUMMYFUNCTION("""COMPUTED_VALUE"""),0.0)</f>
        <v>0</v>
      </c>
      <c r="F1007" s="270">
        <f>IFERROR(__xludf.DUMMYFUNCTION("""COMPUTED_VALUE"""),2.0)</f>
        <v>2</v>
      </c>
      <c r="G1007" s="17" t="str">
        <f>IFERROR(__xludf.DUMMYFUNCTION("""COMPUTED_VALUE"""),"Sabun batang 1 Box ( 2 PCS )")</f>
        <v>Sabun batang 1 Box ( 2 PCS )</v>
      </c>
      <c r="H1007" s="463" t="str">
        <f>IFERROR(__xludf.DUMMYFUNCTION("""COMPUTED_VALUE"""),"Sampai")</f>
        <v>Sampai</v>
      </c>
      <c r="I1007" s="464" t="str">
        <f>IFERROR(__xludf.DUMMYFUNCTION("""COMPUTED_VALUE"""),"KIMME")</f>
        <v>KIMME</v>
      </c>
      <c r="J1007" s="279" t="str">
        <f>IFERROR(__xludf.DUMMYFUNCTION("""COMPUTED_VALUE"""),"https://www.tiktok.com/@racun.epple/video/7621081878304476434?_r=1&amp;u_code=eeh314c07883cl&amp;region=&amp;mid=7621081896982416144&amp;preview_pb=0&amp;sharer_language=&amp;_d=0&amp;ec_shared_reflux_dynamic_params=%7B%22placeholder_material_id%22%3A%227621081878304476434%22%2C%22p"&amp;"laceholder_origin_cover%22%3A%22https%253A%252F%252Fp16-sign-sg.tiktokcdn.com%252Ftos-alisg-p-0037%252FogB0RNDhw34fVCn1DeL5c9hEBd7FIEpnBIgAZ7~tplv-tiktokx-origin.jpeg%253Fdr%253D14572%2526refresh_token%253D39ff0b0b%2526x-expires%253D1807070400%2526x-signa"&amp;"ture%253DauFM5q5koGANjVfn8BLa9lq9DyQ%25253D%2526t%253D4d5b0474%2526ps%253D13740610%2526shp%253Dd05b14bd%2526shcp%253D34ff8df6%2526idc%253Dmy2%2526s%253DTIKTOK_AFFILIATE_VIRAL_VIDEO%22%2C%22placeholder_product_id%22%3A%221729427766722726591%22%2C%22placeho"&amp;"lder_video_id%22%3A%227621081878304476434%22%7D&amp;ec_shared_reflux_scene=shop_tab_feed&amp;share_item_id=7621081878304476434&amp;source=h5_t")</f>
        <v>https://www.tiktok.com/@racun.epple/video/7621081878304476434?_r=1&amp;u_code=eeh314c07883cl&amp;region=&amp;mid=7621081896982416144&amp;preview_pb=0&amp;sharer_language=&amp;_d=0&amp;ec_shared_reflux_dynamic_params=%7B%22placeholder_material_id%22%3A%227621081878304476434%22%2C%22placeholder_origin_cover%22%3A%22https%253A%252F%252Fp16-sign-sg.tiktokcdn.com%252Ftos-alisg-p-0037%252FogB0RNDhw34fVCn1DeL5c9hEBd7FIEpnBIgAZ7~tplv-tiktokx-origin.jpeg%253Fdr%253D14572%2526refresh_token%253D39ff0b0b%2526x-expires%253D1807070400%2526x-signature%253DauFM5q5koGANjVfn8BLa9lq9DyQ%25253D%2526t%253D4d5b0474%2526ps%253D13740610%2526shp%253Dd05b14bd%2526shcp%253D34ff8df6%2526idc%253Dmy2%2526s%253DTIKTOK_AFFILIATE_VIRAL_VIDEO%22%2C%22placeholder_product_id%22%3A%221729427766722726591%22%2C%22placeholder_video_id%22%3A%227621081878304476434%22%7D&amp;ec_shared_reflux_scene=shop_tab_feed&amp;share_item_id=7621081878304476434&amp;source=h5_t</v>
      </c>
      <c r="K1007" s="464" t="str">
        <f>IFERROR(__xludf.DUMMYFUNCTION("""COMPUTED_VALUE"""),"KIMME")</f>
        <v>KIMME</v>
      </c>
      <c r="L1007" s="279" t="str">
        <f>IFERROR(__xludf.DUMMYFUNCTION("""COMPUTED_VALUE"""),"https://www.tiktok.com/@racun.epple/video/7621085311057054983?_r=1&amp;u_code=eeh314c07883cl&amp;region=&amp;mid=7621085371045301000&amp;preview_pb=0&amp;sharer_language=&amp;_d=0&amp;ec_shared_reflux_dynamic_params=%7B%22placeholder_material_id%22%3A%227621085311057054983%22%2C%22p"&amp;"laceholder_origin_cover%22%3A%22https%253A%252F%252Fp16-sign-sg.tiktokcdn.com%252Ftos-alisg-p-0037%252FogkPXnIMHB3cDbIRiIYAv9aiBEI7XA6EMiPAO~tplv-tiktokx-origin.jpeg%253Fdr%253D14572%2526refresh_token%253Dbc36cfb0%2526x-expires%253D1807070400%2526x-signat"&amp;"ure%253DLtk1pVzO%25252B9CkzT0f6iI7FxdIRX0%25253D%2526t%253D4d5b0474%2526ps%253D13740610%2526shp%253Dd05b14bd%2526shcp%253D34ff8df6%2526idc%253Dmy2%2526s%253DTIKTOK_AFFILIATE_VIRAL_VIDEO%22%2C%22placeholder_product_id%22%3A%221729427766722726591%22%2C%22pl"&amp;"aceholder_video_id%22%3A%227621085311057054983%22%7D&amp;ec_shared_reflux_scene=shop_tab_feed&amp;share_item_id=7621085311057054983&amp;source=h5_t")</f>
        <v>https://www.tiktok.com/@racun.epple/video/7621085311057054983?_r=1&amp;u_code=eeh314c07883cl&amp;region=&amp;mid=7621085371045301000&amp;preview_pb=0&amp;sharer_language=&amp;_d=0&amp;ec_shared_reflux_dynamic_params=%7B%22placeholder_material_id%22%3A%227621085311057054983%22%2C%22placeholder_origin_cover%22%3A%22https%253A%252F%252Fp16-sign-sg.tiktokcdn.com%252Ftos-alisg-p-0037%252FogkPXnIMHB3cDbIRiIYAv9aiBEI7XA6EMiPAO~tplv-tiktokx-origin.jpeg%253Fdr%253D14572%2526refresh_token%253Dbc36cfb0%2526x-expires%253D1807070400%2526x-signature%253DLtk1pVzO%25252B9CkzT0f6iI7FxdIRX0%25253D%2526t%253D4d5b0474%2526ps%253D13740610%2526shp%253Dd05b14bd%2526shcp%253D34ff8df6%2526idc%253Dmy2%2526s%253DTIKTOK_AFFILIATE_VIRAL_VIDEO%22%2C%22placeholder_product_id%22%3A%221729427766722726591%22%2C%22placeholder_video_id%22%3A%227621085311057054983%22%7D&amp;ec_shared_reflux_scene=shop_tab_feed&amp;share_item_id=7621085311057054983&amp;source=h5_t</v>
      </c>
      <c r="M1007" s="464"/>
      <c r="N1007" s="279" t="str">
        <f>IFERROR(__xludf.DUMMYFUNCTION("""COMPUTED_VALUE"""),"https://www.tiktok.com/@racun.epple/video/7622207876571958546?_r=1&amp;u_code=eeh314c07883cl&amp;region=&amp;mid=7622207921678191368&amp;preview_pb=0&amp;sharer_language=&amp;_d=0&amp;ec_shared_reflux_dynamic_params=%7B%22placeholder_material_id%22%3A%227622207876571958546%22%2C%22p"&amp;"laceholder_origin_cover%22%3A%22https%253A%252F%252Fp16-sign-sg.tiktokcdn.com%252Ftos-alisg-p-0037%252FoIHLw4BAqI06iTOFzqvAISWlb9zgheCPAiAiUI~tplv-tiktokx-origin.jpeg%253Fdr%253D14572%2526refresh_token%253D9ab773dc%2526x-expires%253D1807070400%2526x-signa"&amp;"ture%253D17v4Sg7baTgIU5dU8r%25252FOPr4Z%25252BzE%25253D%2526t%253D4d5b0474%2526ps%253D13740610%2526shp%253Dd05b14bd%2526shcp%253D34ff8df6%2526idc%253Dmy2%2526s%253DTIKTOK_AFFILIATE_VIRAL_VIDEO%22%2C%22placeholder_product_id%22%3A%221729427766722726591%22%"&amp;"2C%22placeholder_video_id%22%3A%227622207876571958546%22%7D&amp;ec_shared_reflux_scene=shop_tab_feed&amp;share_item_id=7622207876571958546&amp;source=h5_t")</f>
        <v>https://www.tiktok.com/@racun.epple/video/7622207876571958546?_r=1&amp;u_code=eeh314c07883cl&amp;region=&amp;mid=7622207921678191368&amp;preview_pb=0&amp;sharer_language=&amp;_d=0&amp;ec_shared_reflux_dynamic_params=%7B%22placeholder_material_id%22%3A%227622207876571958546%22%2C%22placeholder_origin_cover%22%3A%22https%253A%252F%252Fp16-sign-sg.tiktokcdn.com%252Ftos-alisg-p-0037%252FoIHLw4BAqI06iTOFzqvAISWlb9zgheCPAiAiUI~tplv-tiktokx-origin.jpeg%253Fdr%253D14572%2526refresh_token%253D9ab773dc%2526x-expires%253D1807070400%2526x-signature%253D17v4Sg7baTgIU5dU8r%25252FOPr4Z%25252BzE%25253D%2526t%253D4d5b0474%2526ps%253D13740610%2526shp%253Dd05b14bd%2526shcp%253D34ff8df6%2526idc%253Dmy2%2526s%253DTIKTOK_AFFILIATE_VIRAL_VIDEO%22%2C%22placeholder_product_id%22%3A%221729427766722726591%22%2C%22placeholder_video_id%22%3A%227622207876571958546%22%7D&amp;ec_shared_reflux_scene=shop_tab_feed&amp;share_item_id=7622207876571958546&amp;source=h5_t</v>
      </c>
      <c r="O1007" s="464"/>
      <c r="P1007" s="279" t="str">
        <f>IFERROR(__xludf.DUMMYFUNCTION("""COMPUTED_VALUE"""),"https://www.tiktok.com/@racun.epple/video/7637844811566927122?_r=1&amp;u_code=eeh314c07883cl&amp;region=&amp;mid=7637844865438714640&amp;preview_pb=0&amp;sharer_language=&amp;_d=0&amp;ec_shared_reflux_dynamic_params=%7B%22placeholder_material_id%22%3A%227637844811566927122%22%2C%22p"&amp;"laceholder_origin_cover%22%3A%22https%253A%252F%252Fp16-common-sign.tiktokcdn.com%252Ftos-alisg-p-0037%252Fo0GfyQvrQFXffQIc2eGERx1GOXbWiA9KFVAOLn~tplv-tiktokx-origin.jpeg%253Fdr%253D14572%2526refresh_token%253D1c746b5a%2526x-expires%253D1810202400%2526x-s"&amp;"ignature%253DZC8b%25252F3dnj9JBkzt%25252FnehBXL7FVjM%25253D%2526t%253D4d5b0474%2526ps%253D13740610%2526shp%253Dd05b14bd%2526shcp%253D34ff8df6%2526idc%253Dmy2%2526s%253DTIKTOK_AFFILIATE_VIRAL_VIDEO%22%2C%22placeholder_product_id%22%3A%221729427766722726591"&amp;"%22%2C%22placeholder_video_id%22%3A%227637844811566927122%22%7D&amp;ec_shared_reflux_scene=shop_tab_feed&amp;share_item_id=7637844811566927122&amp;source=h5_t")</f>
        <v>https://www.tiktok.com/@racun.epple/video/7637844811566927122?_r=1&amp;u_code=eeh314c07883cl&amp;region=&amp;mid=7637844865438714640&amp;preview_pb=0&amp;sharer_language=&amp;_d=0&amp;ec_shared_reflux_dynamic_params=%7B%22placeholder_material_id%22%3A%227637844811566927122%22%2C%22placeholder_origin_cover%22%3A%22https%253A%252F%252Fp16-common-sign.tiktokcdn.com%252Ftos-alisg-p-0037%252Fo0GfyQvrQFXffQIc2eGERx1GOXbWiA9KFVAOLn~tplv-tiktokx-origin.jpeg%253Fdr%253D14572%2526refresh_token%253D1c746b5a%2526x-expires%253D1810202400%2526x-signature%253DZC8b%25252F3dnj9JBkzt%25252FnehBXL7FVjM%25253D%2526t%253D4d5b0474%2526ps%253D13740610%2526shp%253Dd05b14bd%2526shcp%253D34ff8df6%2526idc%253Dmy2%2526s%253DTIKTOK_AFFILIATE_VIRAL_VIDEO%22%2C%22placeholder_product_id%22%3A%221729427766722726591%22%2C%22placeholder_video_id%22%3A%227637844811566927122%22%7D&amp;ec_shared_reflux_scene=shop_tab_feed&amp;share_item_id=7637844811566927122&amp;source=h5_t</v>
      </c>
    </row>
    <row r="1008">
      <c r="A1008" s="255" t="str">
        <f>IFERROR(__xludf.DUMMYFUNCTION("""COMPUTED_VALUE"""),"MICRO")</f>
        <v>MICRO</v>
      </c>
      <c r="B1008" s="361" t="str">
        <f>IFERROR(__xludf.DUMMYFUNCTION("""COMPUTED_VALUE"""),"ceritarika_")</f>
        <v>ceritarika_</v>
      </c>
      <c r="C1008" s="257" t="str">
        <f>IFERROR(__xludf.DUMMYFUNCTION("""COMPUTED_VALUE"""),"https://www.tiktok.com/@ceritarika_")</f>
        <v>https://www.tiktok.com/@ceritarika_</v>
      </c>
      <c r="D1008" s="270"/>
      <c r="E1008" s="457">
        <f>IFERROR(__xludf.DUMMYFUNCTION("""COMPUTED_VALUE"""),0.0)</f>
        <v>0</v>
      </c>
      <c r="F1008" s="270">
        <f>IFERROR(__xludf.DUMMYFUNCTION("""COMPUTED_VALUE"""),1.0)</f>
        <v>1</v>
      </c>
      <c r="G1008" s="17" t="str">
        <f>IFERROR(__xludf.DUMMYFUNCTION("""COMPUTED_VALUE"""),"Sabun batang 1 Box ( 2 PCS )")</f>
        <v>Sabun batang 1 Box ( 2 PCS )</v>
      </c>
      <c r="H1008" s="463" t="str">
        <f>IFERROR(__xludf.DUMMYFUNCTION("""COMPUTED_VALUE"""),"Sampai")</f>
        <v>Sampai</v>
      </c>
      <c r="I1008" s="464" t="str">
        <f>IFERROR(__xludf.DUMMYFUNCTION("""COMPUTED_VALUE"""),"KIMME")</f>
        <v>KIMME</v>
      </c>
      <c r="J1008" s="279" t="str">
        <f>IFERROR(__xludf.DUMMYFUNCTION("""COMPUTED_VALUE"""),"https://www.tiktok.com/@ceritarika_/video/7619235852815813909?_r=1&amp;u_code=dmf68fg913c39b&amp;region=&amp;mid=7619235924480953108&amp;preview_pb=0&amp;sharer_language=&amp;_d=0&amp;ec_shared_reflux_dynamic_params=%7B%22placeholder_material_id%22%3A%227619235852815813909%22%2C%22p"&amp;"laceholder_origin_cover%22%3A%22https%253A%252F%252Fp16-sign-sg.tiktokcdn.com%252Ftos-alisg-p-0037%252FoswbGinb0AzY95zxABARudP3iAqIuIfIrC4u8k~tplv-tiktokx-origin.jpeg%253Fdr%253D14572%2526refresh_token%253D68acf603%2526x-expires%253D1807070400%2526x-signa"&amp;"ture%253DC6PdMIgoLIxCCx2h9ImS6UiisH0%25253D%2526t%253D4d5b0474%2526ps%253D13740610%2526shp%253Dd05b14bd%2526shcp%253D34ff8df6%2526idc%253Dmy2%2526s%253DTIKTOK_AFFILIATE_VIRAL_VIDEO%22%2C%22placeholder_product_id%22%3A%221729427766722726591%22%2C%22placeho"&amp;"lder_video_id%22%3A%227619235852815813909%22%7D&amp;ec_shared_reflux_scene=shop_tab_feed&amp;share_item_id=7619235852815813909&amp;source=h5_t")</f>
        <v>https://www.tiktok.com/@ceritarika_/video/7619235852815813909?_r=1&amp;u_code=dmf68fg913c39b&amp;region=&amp;mid=7619235924480953108&amp;preview_pb=0&amp;sharer_language=&amp;_d=0&amp;ec_shared_reflux_dynamic_params=%7B%22placeholder_material_id%22%3A%227619235852815813909%22%2C%22placeholder_origin_cover%22%3A%22https%253A%252F%252Fp16-sign-sg.tiktokcdn.com%252Ftos-alisg-p-0037%252FoswbGinb0AzY95zxABARudP3iAqIuIfIrC4u8k~tplv-tiktokx-origin.jpeg%253Fdr%253D14572%2526refresh_token%253D68acf603%2526x-expires%253D1807070400%2526x-signature%253DC6PdMIgoLIxCCx2h9ImS6UiisH0%25253D%2526t%253D4d5b0474%2526ps%253D13740610%2526shp%253Dd05b14bd%2526shcp%253D34ff8df6%2526idc%253Dmy2%2526s%253DTIKTOK_AFFILIATE_VIRAL_VIDEO%22%2C%22placeholder_product_id%22%3A%221729427766722726591%22%2C%22placeholder_video_id%22%3A%227619235852815813909%22%7D&amp;ec_shared_reflux_scene=shop_tab_feed&amp;share_item_id=7619235852815813909&amp;source=h5_t</v>
      </c>
      <c r="K1008" s="464" t="str">
        <f>IFERROR(__xludf.DUMMYFUNCTION("""COMPUTED_VALUE"""),"KIMME")</f>
        <v>KIMME</v>
      </c>
      <c r="L1008" s="279" t="str">
        <f>IFERROR(__xludf.DUMMYFUNCTION("""COMPUTED_VALUE"""),"https://www.tiktok.com/@racun_spalspil12/video/7641432609431604500?_r=1&amp;u_code=cllj6j6aidf05b&amp;region=&amp;mid=7638613516798266130&amp;preview_pb=0&amp;sharer_language=&amp;_d=0&amp;ec_shared_reflux_dynamic_params=%7B%22placeholder_material_id%22%3A%227641432609431604500%22%2"&amp;"C%22placeholder_origin_cover%22%3A%22https%253A%252F%252Fp16-common-sign.tiktokcdn.com%252Ftos-alisg-p-0037%252FocfE06eoFCDF8OWICI2g5gARFKQArUGfDIjLEc~tplv-tiktokx-origin.jpeg%253Fdr%253D14572%2526refresh_token%253D7954201f%2526x-expires%253D1810720800%25"&amp;"26x-signature%253DSuJ1SdHzIBTJXhn2jPAi00pVi60%25253D%2526t%253D4d5b0474%2526ps%253D13740610%2526shp%253Dd05b14bd%2526shcp%253D34ff8df6%2526idc%253Dmy3%2526s%253DTIKTOK_AFFILIATE_VIRAL_VIDEO%22%2C%22placeholder_product_id%22%3A%221729729730555512511%22%2C%"&amp;"22placeholder_video_id%22%3A%227641432609431604500%22%7D&amp;ec_shared_reflux_scene=shop_tab_feed&amp;share_item_id=7641432609431604500&amp;source=h5_t")</f>
        <v>https://www.tiktok.com/@racun_spalspil12/video/7641432609431604500?_r=1&amp;u_code=cllj6j6aidf05b&amp;region=&amp;mid=7638613516798266130&amp;preview_pb=0&amp;sharer_language=&amp;_d=0&amp;ec_shared_reflux_dynamic_params=%7B%22placeholder_material_id%22%3A%227641432609431604500%22%2C%22placeholder_origin_cover%22%3A%22https%253A%252F%252Fp16-common-sign.tiktokcdn.com%252Ftos-alisg-p-0037%252FocfE06eoFCDF8OWICI2g5gARFKQArUGfDIjLEc~tplv-tiktokx-origin.jpeg%253Fdr%253D14572%2526refresh_token%253D7954201f%2526x-expires%253D1810720800%2526x-signature%253DSuJ1SdHzIBTJXhn2jPAi00pVi60%25253D%2526t%253D4d5b0474%2526ps%253D13740610%2526shp%253Dd05b14bd%2526shcp%253D34ff8df6%2526idc%253Dmy3%2526s%253DTIKTOK_AFFILIATE_VIRAL_VIDEO%22%2C%22placeholder_product_id%22%3A%221729729730555512511%22%2C%22placeholder_video_id%22%3A%227641432609431604500%22%7D&amp;ec_shared_reflux_scene=shop_tab_feed&amp;share_item_id=7641432609431604500&amp;source=h5_t</v>
      </c>
      <c r="M1008" s="464"/>
      <c r="N1008" s="279" t="str">
        <f>IFERROR(__xludf.DUMMYFUNCTION("""COMPUTED_VALUE"""),"https://www.tiktok.com/@racun_spalspil12/video/7641433049120378133?_r=1&amp;u_code=cllj6j6aidf05b&amp;region=&amp;mid=7637379048820198164&amp;preview_pb=0&amp;sharer_language=&amp;_d=0&amp;ec_shared_reflux_dynamic_params=%7B%22placeholder_material_id%22%3A%227641433049120378133%22%2"&amp;"C%22placeholder_origin_cover%22%3A%22https%253A%252F%252Fp16-common-sign.tiktokcdn.com%252Ftos-alisg-p-0037%252FooTgAfFgU2epDKU4sL6zIqI8XGjjeCAtjICUwo~tplv-tiktokx-origin.jpeg%253Fdr%253D14572%2526refresh_token%253D8d2117be%2526x-expires%253D1810720800%25"&amp;"26x-signature%253DT8oWPXC7RbkootSozvQQs%25252BlT3Ps%25253D%2526t%253D4d5b0474%2526ps%253D13740610%2526shp%253Dd05b14bd%2526shcp%253D34ff8df6%2526idc%253Dmy3%2526s%253DTIKTOK_AFFILIATE_VIRAL_VIDEO%22%2C%22placeholder_product_id%22%3A%221729729730555512511%"&amp;"22%2C%22placeholder_video_id%22%3A%227641433049120378133%22%7D&amp;ec_shared_reflux_scene=shop_tab_feed&amp;share_item_id=7641433049120378133&amp;source=h5_t")</f>
        <v>https://www.tiktok.com/@racun_spalspil12/video/7641433049120378133?_r=1&amp;u_code=cllj6j6aidf05b&amp;region=&amp;mid=7637379048820198164&amp;preview_pb=0&amp;sharer_language=&amp;_d=0&amp;ec_shared_reflux_dynamic_params=%7B%22placeholder_material_id%22%3A%227641433049120378133%22%2C%22placeholder_origin_cover%22%3A%22https%253A%252F%252Fp16-common-sign.tiktokcdn.com%252Ftos-alisg-p-0037%252FooTgAfFgU2epDKU4sL6zIqI8XGjjeCAtjICUwo~tplv-tiktokx-origin.jpeg%253Fdr%253D14572%2526refresh_token%253D8d2117be%2526x-expires%253D1810720800%2526x-signature%253DT8oWPXC7RbkootSozvQQs%25252BlT3Ps%25253D%2526t%253D4d5b0474%2526ps%253D13740610%2526shp%253Dd05b14bd%2526shcp%253D34ff8df6%2526idc%253Dmy3%2526s%253DTIKTOK_AFFILIATE_VIRAL_VIDEO%22%2C%22placeholder_product_id%22%3A%221729729730555512511%22%2C%22placeholder_video_id%22%3A%227641433049120378133%22%7D&amp;ec_shared_reflux_scene=shop_tab_feed&amp;share_item_id=7641433049120378133&amp;source=h5_t</v>
      </c>
      <c r="O1008" s="464"/>
      <c r="P1008" s="279" t="str">
        <f>IFERROR(__xludf.DUMMYFUNCTION("""COMPUTED_VALUE"""),"https://www.tiktok.com/@racun_spalspil12/video/7641433385977728276?_r=1&amp;u_code=cllj6j6aidf05b&amp;region=&amp;mid=7636359123235654418&amp;preview_pb=0&amp;sharer_language=&amp;_d=0&amp;ec_shared_reflux_dynamic_params=%7B%22placeholder_material_id%22%3A%227641433385977728276%22%2"&amp;"C%22placeholder_origin_cover%22%3A%22https%253A%252F%252Fp19-common-sign.tiktokcdn.com%252Ftos-alisg-p-0037%252FocdT7TGfILAvIEFL6CIQh0RXGf0oeGqLok1IAe~tplv-tiktokx-origin.jpeg%253Fdr%253D14572%2526refresh_token%253D911548aa%2526x-expires%253D1810720800%25"&amp;"26x-signature%253DoHQ9UWFz2c%25252FN9aOozgKI%25252BU4qJwk%25253D%2526t%253D4d5b0474%2526ps%253D13740610%2526shp%253Dd05b14bd%2526shcp%253D34ff8df6%2526idc%253Dmy3%2526s%253DTIKTOK_AFFILIATE_VIRAL_VIDEO%22%2C%22placeholder_product_id%22%3A%2217297297305555"&amp;"12511%22%2C%22placeholder_video_id%22%3A%227641433385977728276%22%7D&amp;ec_shared_reflux_scene=shop_tab_feed&amp;share_item_id=7641433385977728276&amp;source=h5_t")</f>
        <v>https://www.tiktok.com/@racun_spalspil12/video/7641433385977728276?_r=1&amp;u_code=cllj6j6aidf05b&amp;region=&amp;mid=7636359123235654418&amp;preview_pb=0&amp;sharer_language=&amp;_d=0&amp;ec_shared_reflux_dynamic_params=%7B%22placeholder_material_id%22%3A%227641433385977728276%22%2C%22placeholder_origin_cover%22%3A%22https%253A%252F%252Fp19-common-sign.tiktokcdn.com%252Ftos-alisg-p-0037%252FocdT7TGfILAvIEFL6CIQh0RXGf0oeGqLok1IAe~tplv-tiktokx-origin.jpeg%253Fdr%253D14572%2526refresh_token%253D911548aa%2526x-expires%253D1810720800%2526x-signature%253DoHQ9UWFz2c%25252FN9aOozgKI%25252BU4qJwk%25253D%2526t%253D4d5b0474%2526ps%253D13740610%2526shp%253Dd05b14bd%2526shcp%253D34ff8df6%2526idc%253Dmy3%2526s%253DTIKTOK_AFFILIATE_VIRAL_VIDEO%22%2C%22placeholder_product_id%22%3A%221729729730555512511%22%2C%22placeholder_video_id%22%3A%227641433385977728276%22%7D&amp;ec_shared_reflux_scene=shop_tab_feed&amp;share_item_id=7641433385977728276&amp;source=h5_t</v>
      </c>
    </row>
    <row r="1009">
      <c r="A1009" s="255" t="str">
        <f>IFERROR(__xludf.DUMMYFUNCTION("""COMPUTED_VALUE"""),"MICRO")</f>
        <v>MICRO</v>
      </c>
      <c r="B1009" s="361" t="str">
        <f>IFERROR(__xludf.DUMMYFUNCTION("""COMPUTED_VALUE"""),"spallspill_capricorn")</f>
        <v>spallspill_capricorn</v>
      </c>
      <c r="C1009" s="257" t="str">
        <f>IFERROR(__xludf.DUMMYFUNCTION("""COMPUTED_VALUE"""),"https://www.tiktok.com/@spallspill_capricorn")</f>
        <v>https://www.tiktok.com/@spallspill_capricorn</v>
      </c>
      <c r="D1009" s="270"/>
      <c r="E1009" s="457">
        <f>IFERROR(__xludf.DUMMYFUNCTION("""COMPUTED_VALUE"""),0.0)</f>
        <v>0</v>
      </c>
      <c r="F1009" s="270">
        <f>IFERROR(__xludf.DUMMYFUNCTION("""COMPUTED_VALUE"""),1.0)</f>
        <v>1</v>
      </c>
      <c r="G1009" s="17" t="str">
        <f>IFERROR(__xludf.DUMMYFUNCTION("""COMPUTED_VALUE"""),"Sabun batang 1 Box ( 2 PCS )")</f>
        <v>Sabun batang 1 Box ( 2 PCS )</v>
      </c>
      <c r="H1009" s="463" t="str">
        <f>IFERROR(__xludf.DUMMYFUNCTION("""COMPUTED_VALUE"""),"Sampai")</f>
        <v>Sampai</v>
      </c>
      <c r="I1009" s="464" t="str">
        <f>IFERROR(__xludf.DUMMYFUNCTION("""COMPUTED_VALUE"""),"KIMME")</f>
        <v>KIMME</v>
      </c>
      <c r="J1009" s="279" t="str">
        <f>IFERROR(__xludf.DUMMYFUNCTION("""COMPUTED_VALUE"""),"https://www.tiktok.com/@spallspill_capricorn/video/7619185703586417940?_r=1&amp;u_code=d94j25l8j9c8l3&amp;region=&amp;mid=7617716334930955028&amp;preview_pb=0&amp;sharer_language=&amp;_d=0&amp;ec_shared_reflux_dynamic_params=%7B%22placeholder_material_id%22%3A%227619185703586417940%"&amp;"22%2C%22placeholder_origin_cover%22%3A%22https%253A%252F%252Fp16-common-sign.tiktokcdn.com%252Ftos-alisg-p-0037%252FoUIABBGvJABiz8aEaAzDbBv8yXiIDRLYD6Puo~tplv-tiktokx-origin.jpeg%253Fdr%253D14572%2526refresh_token%253D1a0d9a0e%2526x-expires%253D1807070400"&amp;"%2526x-signature%253Dxbn2XD1xUO%25252FtRSA8Bi8FyDeqLG8%25253D%2526t%253D4d5b0474%2526ps%253D13740610%2526shp%253Dd05b14bd%2526shcp%253D34ff8df6%2526idc%253Dmy2%2526s%253DTIKTOK_AFFILIATE_VIRAL_VIDEO%22%2C%22placeholder_product_id%22%3A%2217294277667227265"&amp;"91%22%2C%22placeholder_video_id%22%3A%227619185703586417940%22%7D&amp;ec_shared_reflux_scene=shop_tab_feed&amp;share_item_id=7619185703586417940&amp;source=h5_t")</f>
        <v>https://www.tiktok.com/@spallspill_capricorn/video/7619185703586417940?_r=1&amp;u_code=d94j25l8j9c8l3&amp;region=&amp;mid=7617716334930955028&amp;preview_pb=0&amp;sharer_language=&amp;_d=0&amp;ec_shared_reflux_dynamic_params=%7B%22placeholder_material_id%22%3A%227619185703586417940%22%2C%22placeholder_origin_cover%22%3A%22https%253A%252F%252Fp16-common-sign.tiktokcdn.com%252Ftos-alisg-p-0037%252FoUIABBGvJABiz8aEaAzDbBv8yXiIDRLYD6Puo~tplv-tiktokx-origin.jpeg%253Fdr%253D14572%2526refresh_token%253D1a0d9a0e%2526x-expires%253D1807070400%2526x-signature%253Dxbn2XD1xUO%25252FtRSA8Bi8FyDeqLG8%25253D%2526t%253D4d5b0474%2526ps%253D13740610%2526shp%253Dd05b14bd%2526shcp%253D34ff8df6%2526idc%253Dmy2%2526s%253DTIKTOK_AFFILIATE_VIRAL_VIDEO%22%2C%22placeholder_product_id%22%3A%221729427766722726591%22%2C%22placeholder_video_id%22%3A%227619185703586417940%22%7D&amp;ec_shared_reflux_scene=shop_tab_feed&amp;share_item_id=7619185703586417940&amp;source=h5_t</v>
      </c>
      <c r="K1009" s="464" t="str">
        <f>IFERROR(__xludf.DUMMYFUNCTION("""COMPUTED_VALUE"""),"KIMME")</f>
        <v>KIMME</v>
      </c>
      <c r="L1009" s="279" t="str">
        <f>IFERROR(__xludf.DUMMYFUNCTION("""COMPUTED_VALUE"""),"https://www.tiktok.com/@racun_spalspil12/video/7641434278819122452?_r=1&amp;u_code=cllj6j6aidf05b&amp;region=&amp;mid=7637739937547225863&amp;preview_pb=0&amp;sharer_language=&amp;_d=0&amp;ec_shared_reflux_dynamic_params=%7B%22placeholder_material_id%22%3A%227641434278819122452%22%2"&amp;"C%22placeholder_origin_cover%22%3A%22https%253A%252F%252Fp16-common-sign.tiktokcdn.com%252Ftos-alisg-p-0037%252FosEiABaTTDpzY0bKByIDARPgBAL0i1Bs17VvI~tplv-tiktokx-origin.jpeg%253Fdr%253D14572%2526refresh_token%253Dbe39ba3c%2526x-expires%253D1810720800%252"&amp;"6x-signature%253DSI%25252FA45fZ8I8H49fCSs8ldi3uVgo%25253D%2526t%253D4d5b0474%2526ps%253D13740610%2526shp%253Dd05b14bd%2526shcp%253D34ff8df6%2526idc%253Dmy3%2526s%253DTIKTOK_AFFILIATE_VIRAL_VIDEO%22%2C%22placeholder_product_id%22%3A%221729729730555512511%2"&amp;"2%2C%22placeholder_video_id%22%3A%227641434278819122452%22%7D&amp;ec_shared_reflux_scene=shop_tab_feed&amp;share_item_id=7641434278819122452&amp;source=h5_t")</f>
        <v>https://www.tiktok.com/@racun_spalspil12/video/7641434278819122452?_r=1&amp;u_code=cllj6j6aidf05b&amp;region=&amp;mid=7637739937547225863&amp;preview_pb=0&amp;sharer_language=&amp;_d=0&amp;ec_shared_reflux_dynamic_params=%7B%22placeholder_material_id%22%3A%227641434278819122452%22%2C%22placeholder_origin_cover%22%3A%22https%253A%252F%252Fp16-common-sign.tiktokcdn.com%252Ftos-alisg-p-0037%252FosEiABaTTDpzY0bKByIDARPgBAL0i1Bs17VvI~tplv-tiktokx-origin.jpeg%253Fdr%253D14572%2526refresh_token%253Dbe39ba3c%2526x-expires%253D1810720800%2526x-signature%253DSI%25252FA45fZ8I8H49fCSs8ldi3uVgo%25253D%2526t%253D4d5b0474%2526ps%253D13740610%2526shp%253Dd05b14bd%2526shcp%253D34ff8df6%2526idc%253Dmy3%2526s%253DTIKTOK_AFFILIATE_VIRAL_VIDEO%22%2C%22placeholder_product_id%22%3A%221729729730555512511%22%2C%22placeholder_video_id%22%3A%227641434278819122452%22%7D&amp;ec_shared_reflux_scene=shop_tab_feed&amp;share_item_id=7641434278819122452&amp;source=h5_t</v>
      </c>
      <c r="M1009" s="464"/>
      <c r="N1009" s="279" t="str">
        <f>IFERROR(__xludf.DUMMYFUNCTION("""COMPUTED_VALUE"""),"https://www.tiktok.com/@racun_spalspil12/video/7641434868135595285?_r=1&amp;u_code=cllj6j6aidf05b&amp;region=&amp;mid=7637936038535187218&amp;preview_pb=0&amp;sharer_language=&amp;_d=0&amp;ec_shared_reflux_dynamic_params=%7B%22placeholder_material_id%22%3A%227641434868135595285%22%2"&amp;"C%22placeholder_origin_cover%22%3A%22https%253A%252F%252Fp16-common-sign.tiktokcdn.com%252Ftos-alisg-p-0037%252FosK0owCLIilwQTQBe1qELBJBCIOOUlkfgAiiwR~tplv-tiktokx-origin.jpeg%253Fdr%253D14572%2526refresh_token%253D3e0ebb13%2526x-expires%253D1810720800%25"&amp;"26x-signature%253DbCQUtVqW7Y5ko9nGuF%25252Fc%25252Fjiq%25252FBs%25253D%2526t%253D4d5b0474%2526ps%253D13740610%2526shp%253Dd05b14bd%2526shcp%253D34ff8df6%2526idc%253Dmy3%2526s%253DTIKTOK_AFFILIATE_VIRAL_VIDEO%22%2C%22placeholder_product_id%22%3A%2217297297"&amp;"30555512511%22%2C%22placeholder_video_id%22%3A%227641434868135595285%22%7D&amp;ec_shared_reflux_scene=shop_tab_feed&amp;share_item_id=7641434868135595285&amp;source=h5_t")</f>
        <v>https://www.tiktok.com/@racun_spalspil12/video/7641434868135595285?_r=1&amp;u_code=cllj6j6aidf05b&amp;region=&amp;mid=7637936038535187218&amp;preview_pb=0&amp;sharer_language=&amp;_d=0&amp;ec_shared_reflux_dynamic_params=%7B%22placeholder_material_id%22%3A%227641434868135595285%22%2C%22placeholder_origin_cover%22%3A%22https%253A%252F%252Fp16-common-sign.tiktokcdn.com%252Ftos-alisg-p-0037%252FosK0owCLIilwQTQBe1qELBJBCIOOUlkfgAiiwR~tplv-tiktokx-origin.jpeg%253Fdr%253D14572%2526refresh_token%253D3e0ebb13%2526x-expires%253D1810720800%2526x-signature%253DbCQUtVqW7Y5ko9nGuF%25252Fc%25252Fjiq%25252FBs%25253D%2526t%253D4d5b0474%2526ps%253D13740610%2526shp%253Dd05b14bd%2526shcp%253D34ff8df6%2526idc%253Dmy3%2526s%253DTIKTOK_AFFILIATE_VIRAL_VIDEO%22%2C%22placeholder_product_id%22%3A%221729729730555512511%22%2C%22placeholder_video_id%22%3A%227641434868135595285%22%7D&amp;ec_shared_reflux_scene=shop_tab_feed&amp;share_item_id=7641434868135595285&amp;source=h5_t</v>
      </c>
      <c r="O1009" s="464"/>
      <c r="P1009" s="279" t="str">
        <f>IFERROR(__xludf.DUMMYFUNCTION("""COMPUTED_VALUE"""),"https://www.tiktok.com/@racun_spalspil12/video/7641435191763914004?_r=1&amp;u_code=cllj6j6aidf05b&amp;region=&amp;mid=7604111494565530388&amp;preview_pb=0&amp;sharer_language=&amp;_d=0&amp;ec_shared_reflux_dynamic_params=%7B%22placeholder_material_id%22%3A%227641435191763914004%22%2"&amp;"C%22placeholder_origin_cover%22%3A%22https%253A%252F%252Fp16-common-sign.tiktokcdn.com%252Ftos-alisg-p-0037%252Fo88kS0CRIEfS8FHB91qELDNBCIWTUUyfgABFcR~tplv-tiktokx-origin.jpeg%253Fdr%253D14572%2526refresh_token%253Dccad503c%2526x-expires%253D1810720800%25"&amp;"26x-signature%253DBuOST0E5plNJPF9%25252FZ36evxrJRqo%25253D%2526t%253D4d5b0474%2526ps%253D13740610%2526shp%253Dd05b14bd%2526shcp%253D34ff8df6%2526idc%253Dmy3%2526s%253DTIKTOK_AFFILIATE_VIRAL_VIDEO%22%2C%22placeholder_product_id%22%3A%221729729730555512511%"&amp;"22%2C%22placeholder_video_id%22%3A%227641435191763914004%22%7D&amp;ec_shared_reflux_scene=shop_tab_feed&amp;share_item_id=7641435191763914004&amp;source=h5_t")</f>
        <v>https://www.tiktok.com/@racun_spalspil12/video/7641435191763914004?_r=1&amp;u_code=cllj6j6aidf05b&amp;region=&amp;mid=7604111494565530388&amp;preview_pb=0&amp;sharer_language=&amp;_d=0&amp;ec_shared_reflux_dynamic_params=%7B%22placeholder_material_id%22%3A%227641435191763914004%22%2C%22placeholder_origin_cover%22%3A%22https%253A%252F%252Fp16-common-sign.tiktokcdn.com%252Ftos-alisg-p-0037%252Fo88kS0CRIEfS8FHB91qELDNBCIWTUUyfgABFcR~tplv-tiktokx-origin.jpeg%253Fdr%253D14572%2526refresh_token%253Dccad503c%2526x-expires%253D1810720800%2526x-signature%253DBuOST0E5plNJPF9%25252FZ36evxrJRqo%25253D%2526t%253D4d5b0474%2526ps%253D13740610%2526shp%253Dd05b14bd%2526shcp%253D34ff8df6%2526idc%253Dmy3%2526s%253DTIKTOK_AFFILIATE_VIRAL_VIDEO%22%2C%22placeholder_product_id%22%3A%221729729730555512511%22%2C%22placeholder_video_id%22%3A%227641435191763914004%22%7D&amp;ec_shared_reflux_scene=shop_tab_feed&amp;share_item_id=7641435191763914004&amp;source=h5_t</v>
      </c>
    </row>
    <row r="1010">
      <c r="A1010" s="255" t="str">
        <f>IFERROR(__xludf.DUMMYFUNCTION("""COMPUTED_VALUE"""),"MICRO")</f>
        <v>MICRO</v>
      </c>
      <c r="B1010" s="361" t="str">
        <f>IFERROR(__xludf.DUMMYFUNCTION("""COMPUTED_VALUE"""),"louisan.id")</f>
        <v>louisan.id</v>
      </c>
      <c r="C1010" s="257" t="str">
        <f>IFERROR(__xludf.DUMMYFUNCTION("""COMPUTED_VALUE"""),"https://www.tiktok.com/@louisan.id")</f>
        <v>https://www.tiktok.com/@louisan.id</v>
      </c>
      <c r="D1010" s="270"/>
      <c r="E1010" s="457">
        <f>IFERROR(__xludf.DUMMYFUNCTION("""COMPUTED_VALUE"""),0.0)</f>
        <v>0</v>
      </c>
      <c r="F1010" s="270">
        <f>IFERROR(__xludf.DUMMYFUNCTION("""COMPUTED_VALUE"""),1.0)</f>
        <v>1</v>
      </c>
      <c r="G1010" s="17" t="str">
        <f>IFERROR(__xludf.DUMMYFUNCTION("""COMPUTED_VALUE"""),"Sabun batang 1 Box ( 2 PCS )")</f>
        <v>Sabun batang 1 Box ( 2 PCS )</v>
      </c>
      <c r="H1010" s="463" t="str">
        <f>IFERROR(__xludf.DUMMYFUNCTION("""COMPUTED_VALUE"""),"Sampai")</f>
        <v>Sampai</v>
      </c>
      <c r="I1010" s="464" t="str">
        <f>IFERROR(__xludf.DUMMYFUNCTION("""COMPUTED_VALUE"""),"KIMME")</f>
        <v>KIMME</v>
      </c>
      <c r="J1010" s="279" t="str">
        <f>IFERROR(__xludf.DUMMYFUNCTION("""COMPUTED_VALUE"""),"https://www.tiktok.com/@louisan.id/video/7618055627918593288?_r=1&amp;u_code=eh2jej8bjjbf6b&amp;region=&amp;mid=7420656068483811344&amp;preview_pb=0&amp;sharer_language=&amp;_d=0&amp;ec_shared_reflux_dynamic_params=%7B%22placeholder_material_id%22%3A%227618055627918593288%22%2C%22pl"&amp;"aceholder_origin_cover%22%3A%22https%253A%252F%252Fp16-sign-sg.tiktokcdn.com%252Ftos-alisg-p-0037%252FoY1QQcEDDVfBIzoDipMxEuKQpDFemRAuEXBAjg~tplv-tiktokx-origin.jpeg%253Fdr%253D14572%2526refresh_token%253D1b87758a%2526x-expires%253D1807070400%2526x-signat"&amp;"ure%253DTUi6MshZ9%25252FQPVvY%25252FHBkwp2eEwhw%25253D%2526t%253D4d5b0474%2526ps%253D13740610%2526shp%253Dd05b14bd%2526shcp%253D34ff8df6%2526idc%253Dmy2%2526s%253DTIKTOK_AFFILIATE_VIRAL_VIDEO%22%2C%22placeholder_product_id%22%3A%221729427766722726591%22%2"&amp;"C%22placeholder_video_id%22%3A%227618055627918593288%22%7D&amp;ec_shared_reflux_scene=shop_tab_feed&amp;share_item_id=7618055627918593288&amp;source=h5_t")</f>
        <v>https://www.tiktok.com/@louisan.id/video/7618055627918593288?_r=1&amp;u_code=eh2jej8bjjbf6b&amp;region=&amp;mid=7420656068483811344&amp;preview_pb=0&amp;sharer_language=&amp;_d=0&amp;ec_shared_reflux_dynamic_params=%7B%22placeholder_material_id%22%3A%227618055627918593288%22%2C%22placeholder_origin_cover%22%3A%22https%253A%252F%252Fp16-sign-sg.tiktokcdn.com%252Ftos-alisg-p-0037%252FoY1QQcEDDVfBIzoDipMxEuKQpDFemRAuEXBAjg~tplv-tiktokx-origin.jpeg%253Fdr%253D14572%2526refresh_token%253D1b87758a%2526x-expires%253D1807070400%2526x-signature%253DTUi6MshZ9%25252FQPVvY%25252FHBkwp2eEwhw%25253D%2526t%253D4d5b0474%2526ps%253D13740610%2526shp%253Dd05b14bd%2526shcp%253D34ff8df6%2526idc%253Dmy2%2526s%253DTIKTOK_AFFILIATE_VIRAL_VIDEO%22%2C%22placeholder_product_id%22%3A%221729427766722726591%22%2C%22placeholder_video_id%22%3A%227618055627918593288%22%7D&amp;ec_shared_reflux_scene=shop_tab_feed&amp;share_item_id=7618055627918593288&amp;source=h5_t</v>
      </c>
      <c r="K1010" s="464" t="str">
        <f>IFERROR(__xludf.DUMMYFUNCTION("""COMPUTED_VALUE"""),"KIMME")</f>
        <v>KIMME</v>
      </c>
      <c r="L1010" s="279" t="str">
        <f>IFERROR(__xludf.DUMMYFUNCTION("""COMPUTED_VALUE"""),"https://www.tiktok.com/@louisan.id/video/7621585920633982228?_r=1&amp;u_code=eh2jej8bjjbf6b&amp;region=&amp;mid=7621585961501592340&amp;preview_pb=0&amp;sharer_language=&amp;_d=0&amp;ec_shared_reflux_dynamic_params=%7B%22placeholder_material_id%22%3A%227621585920633982228%22%2C%22pl"&amp;"aceholder_origin_cover%22%3A%22https%253A%252F%252Fp16-sign-sg.tiktokcdn.com%252Ftos-alisg-p-0037%252FoAICFpSEoBUbKgRo9GIAriiBfUB3DxB9HfG2AU~tplv-tiktokx-origin.jpeg%253Fdr%253D14572%2526refresh_token%253D105cce39%2526x-expires%253D1807070400%2526x-signat"&amp;"ure%253DXk3vrhf4Bi%25252Ff%25252F%25252Baro7nVssO8v5U%25253D%2526t%253D4d5b0474%2526ps%253D13740610%2526shp%253Dd05b14bd%2526shcp%253D34ff8df6%2526idc%253Dmy2%2526s%253DTIKTOK_AFFILIATE_VIRAL_VIDEO%22%2C%22placeholder_product_id%22%3A%22172942776672272659"&amp;"1%22%2C%22placeholder_video_id%22%3A%227621585920633982228%22%7D&amp;ec_shared_reflux_scene=shop_tab_feed&amp;share_item_id=7621585920633982228&amp;source=h5_t")</f>
        <v>https://www.tiktok.com/@louisan.id/video/7621585920633982228?_r=1&amp;u_code=eh2jej8bjjbf6b&amp;region=&amp;mid=7621585961501592340&amp;preview_pb=0&amp;sharer_language=&amp;_d=0&amp;ec_shared_reflux_dynamic_params=%7B%22placeholder_material_id%22%3A%227621585920633982228%22%2C%22placeholder_origin_cover%22%3A%22https%253A%252F%252Fp16-sign-sg.tiktokcdn.com%252Ftos-alisg-p-0037%252FoAICFpSEoBUbKgRo9GIAriiBfUB3DxB9HfG2AU~tplv-tiktokx-origin.jpeg%253Fdr%253D14572%2526refresh_token%253D105cce39%2526x-expires%253D1807070400%2526x-signature%253DXk3vrhf4Bi%25252Ff%25252F%25252Baro7nVssO8v5U%25253D%2526t%253D4d5b0474%2526ps%253D13740610%2526shp%253Dd05b14bd%2526shcp%253D34ff8df6%2526idc%253Dmy2%2526s%253DTIKTOK_AFFILIATE_VIRAL_VIDEO%22%2C%22placeholder_product_id%22%3A%221729427766722726591%22%2C%22placeholder_video_id%22%3A%227621585920633982228%22%7D&amp;ec_shared_reflux_scene=shop_tab_feed&amp;share_item_id=7621585920633982228&amp;source=h5_t</v>
      </c>
      <c r="M1010" s="464"/>
      <c r="N1010" s="279" t="str">
        <f>IFERROR(__xludf.DUMMYFUNCTION("""COMPUTED_VALUE"""),"https://www.tiktok.com/@louisan.id/video/7625982297816321288?_d=0&amp;_r=1&amp;ec_shared_reflux_dynamic_params=%7B%22placeholder_material_id%22%3A%227625982297816321288%22%2C%22placeholder_origin_cover%22%3A%22https%253A%252F%252Fp16-common-sign.tiktokcdn.com%252"&amp;"Ftos-alisg-p-0037%252FoAiI7pIU0jQ1b0B9Awf4iIAqBbIaoYhhAn607C~tplv-tiktokx-origin.jpeg%253Fdr%253D14572%2526refresh_token%253D591634a3%2526x-expires%253D1808208000%2526x-signature%253DLcXyKgz8zSKPwx66ERgDMb0BEw0%25253D%2526t%253D4d5b0474%2526ps%253D1374061"&amp;"0%2526shp%253Dd05b14bd%2526shcp%253D34ff8df6%2526idc%253Dmy3%2526s%253DTIKTOK_AFFILIATE_VIRAL_VIDEO%22%2C%22placeholder_product_id%22%3A%221729427766722726591%22%2C%22placeholder_video_id%22%3A%227625982297816321288%22%7D&amp;ec_shared_reflux_scene=shop_tab_f"&amp;"eed&amp;mid=7625982336966527762&amp;preview_pb=0&amp;region=&amp;share_item_id=7625982297816321288&amp;sharer_language=&amp;source=h5_t&amp;u_code=eh2jej8bjjbf6b")</f>
        <v>https://www.tiktok.com/@louisan.id/video/7625982297816321288?_d=0&amp;_r=1&amp;ec_shared_reflux_dynamic_params=%7B%22placeholder_material_id%22%3A%227625982297816321288%22%2C%22placeholder_origin_cover%22%3A%22https%253A%252F%252Fp16-common-sign.tiktokcdn.com%252Ftos-alisg-p-0037%252FoAiI7pIU0jQ1b0B9Awf4iIAqBbIaoYhhAn607C~tplv-tiktokx-origin.jpeg%253Fdr%253D14572%2526refresh_token%253D591634a3%2526x-expires%253D1808208000%2526x-signature%253DLcXyKgz8zSKPwx66ERgDMb0BEw0%25253D%2526t%253D4d5b0474%2526ps%253D13740610%2526shp%253Dd05b14bd%2526shcp%253D34ff8df6%2526idc%253Dmy3%2526s%253DTIKTOK_AFFILIATE_VIRAL_VIDEO%22%2C%22placeholder_product_id%22%3A%221729427766722726591%22%2C%22placeholder_video_id%22%3A%227625982297816321288%22%7D&amp;ec_shared_reflux_scene=shop_tab_feed&amp;mid=7625982336966527762&amp;preview_pb=0&amp;region=&amp;share_item_id=7625982297816321288&amp;sharer_language=&amp;source=h5_t&amp;u_code=eh2jej8bjjbf6b</v>
      </c>
      <c r="O1010" s="464"/>
      <c r="P1010" s="279" t="str">
        <f>IFERROR(__xludf.DUMMYFUNCTION("""COMPUTED_VALUE"""),"https://www.tiktok.com/@louisan.id/video/7628222300952874261?_d=0&amp;_r=1&amp;ec_shared_reflux_dynamic_params=%7B%22placeholder_material_id%22%3A%227628222300952874261%22%2C%22placeholder_origin_cover%22%3A%22https%253A%252F%252Fp16-common-sign.tiktokcdn.com%252"&amp;"Ftos-alisg-p-0037%252FoIIcIBACI407A8B0wi7OPO35SG3CeiWwuon8AF~tplv-tiktokx-origin.jpeg%253Fdr%253D14572%2526refresh_token%253Dbd97440d%2526x-expires%253D1808208000%2526x-signature%253D8YOOEFw2WLsSlQp5hR7xh8s1IEo%25253D%2526t%253D4d5b0474%2526ps%253D1374061"&amp;"0%2526shp%253Dd05b14bd%2526shcp%253D34ff8df6%2526idc%253Dmy3%2526s%253DTIKTOK_AFFILIATE_VIRAL_VIDEO%22%2C%22placeholder_product_id%22%3A%221729427766722726591%22%2C%22placeholder_video_id%22%3A%227628222300952874261%22%7D&amp;ec_shared_reflux_scene=shop_tab_f"&amp;"eed&amp;mid=7628222353989831442&amp;preview_pb=0&amp;region=&amp;share_item_id=7628222300952874261&amp;sharer_language=&amp;source=h5_t&amp;u_code=eh2jej8bjjbf6b")</f>
        <v>https://www.tiktok.com/@louisan.id/video/7628222300952874261?_d=0&amp;_r=1&amp;ec_shared_reflux_dynamic_params=%7B%22placeholder_material_id%22%3A%227628222300952874261%22%2C%22placeholder_origin_cover%22%3A%22https%253A%252F%252Fp16-common-sign.tiktokcdn.com%252Ftos-alisg-p-0037%252FoIIcIBACI407A8B0wi7OPO35SG3CeiWwuon8AF~tplv-tiktokx-origin.jpeg%253Fdr%253D14572%2526refresh_token%253Dbd97440d%2526x-expires%253D1808208000%2526x-signature%253D8YOOEFw2WLsSlQp5hR7xh8s1IEo%25253D%2526t%253D4d5b0474%2526ps%253D13740610%2526shp%253Dd05b14bd%2526shcp%253D34ff8df6%2526idc%253Dmy3%2526s%253DTIKTOK_AFFILIATE_VIRAL_VIDEO%22%2C%22placeholder_product_id%22%3A%221729427766722726591%22%2C%22placeholder_video_id%22%3A%227628222300952874261%22%7D&amp;ec_shared_reflux_scene=shop_tab_feed&amp;mid=7628222353989831442&amp;preview_pb=0&amp;region=&amp;share_item_id=7628222300952874261&amp;sharer_language=&amp;source=h5_t&amp;u_code=eh2jej8bjjbf6b</v>
      </c>
    </row>
    <row r="1011">
      <c r="A1011" s="255" t="str">
        <f>IFERROR(__xludf.DUMMYFUNCTION("""COMPUTED_VALUE"""),"MICRO")</f>
        <v>MICRO</v>
      </c>
      <c r="B1011" s="361" t="str">
        <f>IFERROR(__xludf.DUMMYFUNCTION("""COMPUTED_VALUE"""),"slsbilaashafa")</f>
        <v>slsbilaashafa</v>
      </c>
      <c r="C1011" s="257" t="str">
        <f>IFERROR(__xludf.DUMMYFUNCTION("""COMPUTED_VALUE"""),"https://www.tiktok.com/@slsbilaashafa")</f>
        <v>https://www.tiktok.com/@slsbilaashafa</v>
      </c>
      <c r="D1011" s="270"/>
      <c r="E1011" s="457">
        <f>IFERROR(__xludf.DUMMYFUNCTION("""COMPUTED_VALUE"""),0.0)</f>
        <v>0</v>
      </c>
      <c r="F1011" s="270">
        <f>IFERROR(__xludf.DUMMYFUNCTION("""COMPUTED_VALUE"""),1.0)</f>
        <v>1</v>
      </c>
      <c r="G1011" s="17" t="str">
        <f>IFERROR(__xludf.DUMMYFUNCTION("""COMPUTED_VALUE"""),"Sabun batang 1 Box ( 2 PCS )")</f>
        <v>Sabun batang 1 Box ( 2 PCS )</v>
      </c>
      <c r="H1011" s="463" t="str">
        <f>IFERROR(__xludf.DUMMYFUNCTION("""COMPUTED_VALUE"""),"Sampai")</f>
        <v>Sampai</v>
      </c>
      <c r="I1011" s="464" t="str">
        <f>IFERROR(__xludf.DUMMYFUNCTION("""COMPUTED_VALUE"""),"KIMME")</f>
        <v>KIMME</v>
      </c>
      <c r="J1011" s="279" t="str">
        <f>IFERROR(__xludf.DUMMYFUNCTION("""COMPUTED_VALUE"""),"https://www.tiktok.com/@slsbilaashafa/video/7615006512070642952?_r=1&amp;u_code=ej6diac4c081a2&amp;region=&amp;mid=7593622890872982293&amp;preview_pb=0&amp;sharer_language=&amp;_d=0&amp;ec_shared_reflux_dynamic_params=%7B%22placeholder_material_id%22%3A%227615006512070642952%22%2C%2"&amp;"2placeholder_origin_cover%22%3A%22https%253A%252F%252Fp16-sign-sg.tiktokcdn.com%252Ftos-alisg-p-0037%252Fo4rAKs8XA4fIew4Tj1DCDBmGBiIpIAitwSvWfB~tplv-tiktokx-origin.jpeg%253Fdr%253D14572%2526refresh_token%253D87dd6ba1%2526x-expires%253D1807070400%2526x-sig"&amp;"nature%253Dk1JTr5nC52YKEUtksSD2yEzijTo%25253D%2526t%253D4d5b0474%2526ps%253D13740610%2526shp%253Dd05b14bd%2526shcp%253D34ff8df6%2526idc%253Dmy2%2526s%253DTIKTOK_AFFILIATE_VIRAL_VIDEO%22%2C%22placeholder_product_id%22%3A%221729427766722726591%22%2C%22place"&amp;"holder_video_id%22%3A%227615006512070642952%22%7D&amp;ec_shared_reflux_scene=shop_tab_feed&amp;share_item_id=7615006512070642952&amp;source=h5_t")</f>
        <v>https://www.tiktok.com/@slsbilaashafa/video/7615006512070642952?_r=1&amp;u_code=ej6diac4c081a2&amp;region=&amp;mid=7593622890872982293&amp;preview_pb=0&amp;sharer_language=&amp;_d=0&amp;ec_shared_reflux_dynamic_params=%7B%22placeholder_material_id%22%3A%227615006512070642952%22%2C%22placeholder_origin_cover%22%3A%22https%253A%252F%252Fp16-sign-sg.tiktokcdn.com%252Ftos-alisg-p-0037%252Fo4rAKs8XA4fIew4Tj1DCDBmGBiIpIAitwSvWfB~tplv-tiktokx-origin.jpeg%253Fdr%253D14572%2526refresh_token%253D87dd6ba1%2526x-expires%253D1807070400%2526x-signature%253Dk1JTr5nC52YKEUtksSD2yEzijTo%25253D%2526t%253D4d5b0474%2526ps%253D13740610%2526shp%253Dd05b14bd%2526shcp%253D34ff8df6%2526idc%253Dmy2%2526s%253DTIKTOK_AFFILIATE_VIRAL_VIDEO%22%2C%22placeholder_product_id%22%3A%221729427766722726591%22%2C%22placeholder_video_id%22%3A%227615006512070642952%22%7D&amp;ec_shared_reflux_scene=shop_tab_feed&amp;share_item_id=7615006512070642952&amp;source=h5_t</v>
      </c>
      <c r="K1011" s="464" t="str">
        <f>IFERROR(__xludf.DUMMYFUNCTION("""COMPUTED_VALUE"""),"KIMME")</f>
        <v>KIMME</v>
      </c>
      <c r="L1011" s="279" t="str">
        <f>IFERROR(__xludf.DUMMYFUNCTION("""COMPUTED_VALUE"""),"https://www.tiktok.com/@slsbilaashafa/video/7634624006204837128?_r=1&amp;u_code=ej6diac4c081a2&amp;region=&amp;mid=7604121927885359105&amp;preview_pb=0&amp;sharer_language=&amp;_d=0&amp;ec_shared_reflux_dynamic_params=%7B%22placeholder_material_id%22%3A%227634624006204837128%22%2C%2"&amp;"2placeholder_origin_cover%22%3A%22https%253A%252F%252Fp16-common-sign.tiktokcdn.com%252Ftos-alisg-p-0037%252FoQIJGIA0afzohiDX8yvBiwDCqiAPA6Y6WIm9iO~tplv-tiktokx-origin.jpeg%253Fdr%253D14572%2526refresh_token%253D5dc272ff%2526x-expires%253D1809511200%2526x"&amp;"-signature%253Dbf%25252F7JaazyxlcGRMmMTX5kuCCgmk%25253D%2526t%253D4d5b0474%2526ps%253D13740610%2526shp%253Dd05b14bd%2526shcp%253D34ff8df6%2526idc%253Dmy%2526s%253DTIKTOK_AFFILIATE_VIRAL_VIDEO%22%2C%22placeholder_product_id%22%3A%221729427766722726591%22%2"&amp;"C%22placeholder_video_id%22%3A%227634624006204837128%22%7D&amp;ec_shared_reflux_scene=shop_tab_feed&amp;share_item_id=7634624006204837128&amp;source=h5_t")</f>
        <v>https://www.tiktok.com/@slsbilaashafa/video/7634624006204837128?_r=1&amp;u_code=ej6diac4c081a2&amp;region=&amp;mid=7604121927885359105&amp;preview_pb=0&amp;sharer_language=&amp;_d=0&amp;ec_shared_reflux_dynamic_params=%7B%22placeholder_material_id%22%3A%227634624006204837128%22%2C%22placeholder_origin_cover%22%3A%22https%253A%252F%252Fp16-common-sign.tiktokcdn.com%252Ftos-alisg-p-0037%252FoQIJGIA0afzohiDX8yvBiwDCqiAPA6Y6WIm9iO~tplv-tiktokx-origin.jpeg%253Fdr%253D14572%2526refresh_token%253D5dc272ff%2526x-expires%253D1809511200%2526x-signature%253Dbf%25252F7JaazyxlcGRMmMTX5kuCCgmk%25253D%2526t%253D4d5b0474%2526ps%253D13740610%2526shp%253Dd05b14bd%2526shcp%253D34ff8df6%2526idc%253Dmy%2526s%253DTIKTOK_AFFILIATE_VIRAL_VIDEO%22%2C%22placeholder_product_id%22%3A%221729427766722726591%22%2C%22placeholder_video_id%22%3A%227634624006204837128%22%7D&amp;ec_shared_reflux_scene=shop_tab_feed&amp;share_item_id=7634624006204837128&amp;source=h5_t</v>
      </c>
      <c r="M1011" s="464"/>
      <c r="N1011" s="279" t="str">
        <f>IFERROR(__xludf.DUMMYFUNCTION("""COMPUTED_VALUE"""),"https://www.tiktok.com/@racun_spalspil12/video/7641435679850810645?_d=0&amp;_r=1&amp;ec_shared_reflux_dynamic_params=%7B%22placeholder_material_id%22%3A%227641435679850810645%22%2C%22placeholder_origin_cover%22%3A%22https%253A%252F%252Fp16-common-sign.tiktokcdn.c"&amp;"om%252Ftos-alisg-p-0037%252FoQdCeIEeLxqA4Cy14iiABiCERBUBMgpUHIvMDS~tplv-tiktokx-origin.jpeg%253Fdr%253D14572%2526refresh_token%253D2c2454dc%2526x-expires%253D1810720800%2526x-signature%253D4xnY1T8wQSsrp6Ae1lya0ppQzDg%25253D%2526t%253D4d5b0474%2526ps%253D1"&amp;"3740610%2526shp%253Dd05b14bd%2526shcp%253D34ff8df6%2526idc%253Dmy3%2526s%253DTIKTOK_AFFILIATE_VIRAL_VIDEO%22%2C%22placeholder_product_id%22%3A%221729729730555512511%22%2C%22placeholder_video_id%22%3A%227641435679850810645%22%7D&amp;ec_shared_reflux_scene=shop"&amp;"_tab_feed&amp;mid=7519443594904177409&amp;preview_pb=0&amp;region=&amp;share_item_id=7641435679850810645&amp;sharer_language=&amp;source=h5_t&amp;u_code=cllj6j6aidf05b")</f>
        <v>https://www.tiktok.com/@racun_spalspil12/video/7641435679850810645?_d=0&amp;_r=1&amp;ec_shared_reflux_dynamic_params=%7B%22placeholder_material_id%22%3A%227641435679850810645%22%2C%22placeholder_origin_cover%22%3A%22https%253A%252F%252Fp16-common-sign.tiktokcdn.com%252Ftos-alisg-p-0037%252FoQdCeIEeLxqA4Cy14iiABiCERBUBMgpUHIvMDS~tplv-tiktokx-origin.jpeg%253Fdr%253D14572%2526refresh_token%253D2c2454dc%2526x-expires%253D1810720800%2526x-signature%253D4xnY1T8wQSsrp6Ae1lya0ppQzDg%25253D%2526t%253D4d5b0474%2526ps%253D13740610%2526shp%253Dd05b14bd%2526shcp%253D34ff8df6%2526idc%253Dmy3%2526s%253DTIKTOK_AFFILIATE_VIRAL_VIDEO%22%2C%22placeholder_product_id%22%3A%221729729730555512511%22%2C%22placeholder_video_id%22%3A%227641435679850810645%22%7D&amp;ec_shared_reflux_scene=shop_tab_feed&amp;mid=7519443594904177409&amp;preview_pb=0&amp;region=&amp;share_item_id=7641435679850810645&amp;sharer_language=&amp;source=h5_t&amp;u_code=cllj6j6aidf05b</v>
      </c>
      <c r="O1011" s="464"/>
      <c r="P1011" s="279" t="str">
        <f>IFERROR(__xludf.DUMMYFUNCTION("""COMPUTED_VALUE"""),"https://www.tiktok.com/@harumrice/video/7637488007687228692?_r=1&amp;u_code=d6j7255963058c&amp;region=&amp;mid=7537571734703901441&amp;preview_pb=0&amp;sharer_language=&amp;_d=0&amp;ec_shared_reflux_dynamic_params=%7B%22placeholder_material_id%22%3A%227637488007687228692%22%2C%22pla"&amp;"ceholder_origin_cover%22%3A%22https%253A%252F%252Fp16-common-sign.tiktokcdn.com%252Ftos-alisg-p-0037%252FoMQGn9BI7efzRFo2mlpGCoNAIbwu9ZeQuAeLGz~tplv-tiktokx-origin.jpeg%253Fdr%253D14572%2526refresh_token%253D9ae7b192%2526x-expires%253D1810717200%2526x-sig"&amp;"nature%253DxOFi4X58hv9egjVYnXeaKKeVy%25252Bs%25253D%2526t%253D4d5b0474%2526ps%253D13740610%2526shp%253Dd05b14bd%2526shcp%253D34ff8df6%2526idc%253Dmy3%2526s%253DTIKTOK_AFFILIATE_VIRAL_VIDEO%22%2C%22placeholder_product_id%22%3A%221729427766722726591%22%2C%2"&amp;"2placeholder_video_id%22%3A%227637488007687228692%22%7D&amp;ec_shared_reflux_scene=shop_tab_feed&amp;share_item_id=7637488007687228692&amp;source=h5_t")</f>
        <v>https://www.tiktok.com/@harumrice/video/7637488007687228692?_r=1&amp;u_code=d6j7255963058c&amp;region=&amp;mid=7537571734703901441&amp;preview_pb=0&amp;sharer_language=&amp;_d=0&amp;ec_shared_reflux_dynamic_params=%7B%22placeholder_material_id%22%3A%227637488007687228692%22%2C%22placeholder_origin_cover%22%3A%22https%253A%252F%252Fp16-common-sign.tiktokcdn.com%252Ftos-alisg-p-0037%252FoMQGn9BI7efzRFo2mlpGCoNAIbwu9ZeQuAeLGz~tplv-tiktokx-origin.jpeg%253Fdr%253D14572%2526refresh_token%253D9ae7b192%2526x-expires%253D1810717200%2526x-signature%253DxOFi4X58hv9egjVYnXeaKKeVy%25252Bs%25253D%2526t%253D4d5b0474%2526ps%253D13740610%2526shp%253Dd05b14bd%2526shcp%253D34ff8df6%2526idc%253Dmy3%2526s%253DTIKTOK_AFFILIATE_VIRAL_VIDEO%22%2C%22placeholder_product_id%22%3A%221729427766722726591%22%2C%22placeholder_video_id%22%3A%227637488007687228692%22%7D&amp;ec_shared_reflux_scene=shop_tab_feed&amp;share_item_id=7637488007687228692&amp;source=h5_t</v>
      </c>
    </row>
    <row r="1012">
      <c r="A1012" s="255" t="str">
        <f>IFERROR(__xludf.DUMMYFUNCTION("""COMPUTED_VALUE"""),"MICRO")</f>
        <v>MICRO</v>
      </c>
      <c r="B1012" s="361" t="str">
        <f>IFERROR(__xludf.DUMMYFUNCTION("""COMPUTED_VALUE"""),"dipiulcalia_")</f>
        <v>dipiulcalia_</v>
      </c>
      <c r="C1012" s="257" t="str">
        <f>IFERROR(__xludf.DUMMYFUNCTION("""COMPUTED_VALUE"""),"https://www.tiktok.com/@dipiulcalia_")</f>
        <v>https://www.tiktok.com/@dipiulcalia_</v>
      </c>
      <c r="D1012" s="270"/>
      <c r="E1012" s="457">
        <f>IFERROR(__xludf.DUMMYFUNCTION("""COMPUTED_VALUE"""),0.0)</f>
        <v>0</v>
      </c>
      <c r="F1012" s="270">
        <f>IFERROR(__xludf.DUMMYFUNCTION("""COMPUTED_VALUE"""),4.0)</f>
        <v>4</v>
      </c>
      <c r="G1012" s="17" t="str">
        <f>IFERROR(__xludf.DUMMYFUNCTION("""COMPUTED_VALUE"""),"Sabun batang 1 Box ( 2 PCS )")</f>
        <v>Sabun batang 1 Box ( 2 PCS )</v>
      </c>
      <c r="H1012" s="463" t="str">
        <f>IFERROR(__xludf.DUMMYFUNCTION("""COMPUTED_VALUE"""),"Sampai")</f>
        <v>Sampai</v>
      </c>
      <c r="I1012" s="464" t="str">
        <f>IFERROR(__xludf.DUMMYFUNCTION("""COMPUTED_VALUE"""),"KIMME")</f>
        <v>KIMME</v>
      </c>
      <c r="J1012" s="279" t="str">
        <f>IFERROR(__xludf.DUMMYFUNCTION("""COMPUTED_VALUE"""),"https://www.tiktok.com/@dipiulcalia_/video/7612930191526038791?_r=1&amp;u_code=d8ledlj4gf1560&amp;region=&amp;mid=7565795575535291137&amp;preview_pb=0&amp;sharer_language=&amp;_d=0&amp;ec_shared_reflux_dynamic_params=%7B%22placeholder_material_id%22%3A%227612930191526038791%22%2C%22"&amp;"placeholder_origin_cover%22%3A%22https%253A%252F%252Fp16-common-sign.tiktokcdn.com%252Ftos-alisg-p-0037%252FosJz1wCuQIlRjKeDRjTImG7CTQvY4haeAAeL6j~tplv-tiktokx-origin.jpeg%253Fdr%253D14572%2526refresh_token%253D3be2a08b%2526x-expires%253D1807070400%2526x-"&amp;"signature%253DfbWQFC%25252BDVghf64H5zQ9rNE0it7M%25253D%2526t%253D4d5b0474%2526ps%253D13740610%2526shp%253Dd05b14bd%2526shcp%253D34ff8df6%2526idc%253Dmy2%2526s%253DTIKTOK_AFFILIATE_VIRAL_VIDEO%22%2C%22placeholder_product_id%22%3A%221729427766722726591%22%2"&amp;"C%22placeholder_video_id%22%3A%227612930191526038791%22%7D&amp;ec_shared_reflux_scene=shop_tab_feed&amp;share_item_id=7612930191526038791&amp;source=h5_t")</f>
        <v>https://www.tiktok.com/@dipiulcalia_/video/7612930191526038791?_r=1&amp;u_code=d8ledlj4gf1560&amp;region=&amp;mid=7565795575535291137&amp;preview_pb=0&amp;sharer_language=&amp;_d=0&amp;ec_shared_reflux_dynamic_params=%7B%22placeholder_material_id%22%3A%227612930191526038791%22%2C%22placeholder_origin_cover%22%3A%22https%253A%252F%252Fp16-common-sign.tiktokcdn.com%252Ftos-alisg-p-0037%252FosJz1wCuQIlRjKeDRjTImG7CTQvY4haeAAeL6j~tplv-tiktokx-origin.jpeg%253Fdr%253D14572%2526refresh_token%253D3be2a08b%2526x-expires%253D1807070400%2526x-signature%253DfbWQFC%25252BDVghf64H5zQ9rNE0it7M%25253D%2526t%253D4d5b0474%2526ps%253D13740610%2526shp%253Dd05b14bd%2526shcp%253D34ff8df6%2526idc%253Dmy2%2526s%253DTIKTOK_AFFILIATE_VIRAL_VIDEO%22%2C%22placeholder_product_id%22%3A%221729427766722726591%22%2C%22placeholder_video_id%22%3A%227612930191526038791%22%7D&amp;ec_shared_reflux_scene=shop_tab_feed&amp;share_item_id=7612930191526038791&amp;source=h5_t</v>
      </c>
      <c r="K1012" s="464" t="str">
        <f>IFERROR(__xludf.DUMMYFUNCTION("""COMPUTED_VALUE"""),"KIMME")</f>
        <v>KIMME</v>
      </c>
      <c r="L1012" s="279" t="str">
        <f>IFERROR(__xludf.DUMMYFUNCTION("""COMPUTED_VALUE"""),"https://www.tiktok.com/@dipiulcalia_/video/7623526519456959752?_r=1&amp;u_code=d8ledlj4gf1560&amp;region=&amp;mid=7507512212975143685&amp;preview_pb=0&amp;sharer_language=&amp;_d=0&amp;ec_shared_reflux_dynamic_params=%7B%22placeholder_material_id%22%3A%227623526519456959752%22%2C%22"&amp;"placeholder_origin_cover%22%3A%22https%253A%252F%252Fp16-sign-sg.tiktokcdn.com%252Ftos-alisg-p-0037%252FowQMRptGzjwEENzbBAIcJeSfqBXgVFIDBAcBLD~tplv-tiktokx-origin.jpeg%253Fdr%253D14572%2526refresh_token%253D9367c926%2526x-expires%253D1807070400%2526x-sign"&amp;"ature%253Di6fZFOBE1gixgmJgU9S%25252BGygZYD4%25253D%2526t%253D4d5b0474%2526ps%253D13740610%2526shp%253Dd05b14bd%2526shcp%253D34ff8df6%2526idc%253Dmy2%2526s%253DTIKTOK_AFFILIATE_VIRAL_VIDEO%22%2C%22placeholder_product_id%22%3A%221729427766722726591%22%2C%22"&amp;"placeholder_video_id%22%3A%227623526519456959752%22%7D&amp;ec_shared_reflux_scene=shop_tab_feed&amp;share_item_id=7623526519456959752&amp;source=h5_t")</f>
        <v>https://www.tiktok.com/@dipiulcalia_/video/7623526519456959752?_r=1&amp;u_code=d8ledlj4gf1560&amp;region=&amp;mid=7507512212975143685&amp;preview_pb=0&amp;sharer_language=&amp;_d=0&amp;ec_shared_reflux_dynamic_params=%7B%22placeholder_material_id%22%3A%227623526519456959752%22%2C%22placeholder_origin_cover%22%3A%22https%253A%252F%252Fp16-sign-sg.tiktokcdn.com%252Ftos-alisg-p-0037%252FowQMRptGzjwEENzbBAIcJeSfqBXgVFIDBAcBLD~tplv-tiktokx-origin.jpeg%253Fdr%253D14572%2526refresh_token%253D9367c926%2526x-expires%253D1807070400%2526x-signature%253Di6fZFOBE1gixgmJgU9S%25252BGygZYD4%25253D%2526t%253D4d5b0474%2526ps%253D13740610%2526shp%253Dd05b14bd%2526shcp%253D34ff8df6%2526idc%253Dmy2%2526s%253DTIKTOK_AFFILIATE_VIRAL_VIDEO%22%2C%22placeholder_product_id%22%3A%221729427766722726591%22%2C%22placeholder_video_id%22%3A%227623526519456959752%22%7D&amp;ec_shared_reflux_scene=shop_tab_feed&amp;share_item_id=7623526519456959752&amp;source=h5_t</v>
      </c>
      <c r="M1012" s="464"/>
      <c r="N1012" s="279" t="str">
        <f>IFERROR(__xludf.DUMMYFUNCTION("""COMPUTED_VALUE"""),"https://www.tiktok.com/@harumrice/video/7637532856012639509?_r=1&amp;u_code=d6j7255963058c&amp;region=&amp;mid=7631854648802659079&amp;preview_pb=0&amp;sharer_language=&amp;_d=0&amp;ec_shared_reflux_dynamic_params=%7B%22placeholder_material_id%22%3A%227637532856012639509%22%2C%22pla"&amp;"ceholder_origin_cover%22%3A%22https%253A%252F%252Fp16-common-sign.tiktokcdn.com%252Ftos-alisg-p-0037%252FooIrQwIee2DQNNRGn79nfBL6m6fGcHAGArAO7F~tplv-tiktokx-origin.jpeg%253Fdr%253D14572%2526refresh_token%253Da5315512%2526x-expires%253D1810717200%2526x-sig"&amp;"nature%253DiMBRwCDsVMKjkqcX1T6%25252FxBVHPHk%25253D%2526t%253D4d5b0474%2526ps%253D13740610%2526shp%253Dd05b14bd%2526shcp%253D34ff8df6%2526idc%253Dmy3%2526s%253DTIKTOK_AFFILIATE_VIRAL_VIDEO%22%2C%22placeholder_product_id%22%3A%221729427766722726591%22%2C%2"&amp;"2placeholder_video_id%22%3A%227637532856012639509%22%7D&amp;ec_shared_reflux_scene=shop_tab_feed&amp;share_item_id=7637532856012639509&amp;source=h5_t")</f>
        <v>https://www.tiktok.com/@harumrice/video/7637532856012639509?_r=1&amp;u_code=d6j7255963058c&amp;region=&amp;mid=7631854648802659079&amp;preview_pb=0&amp;sharer_language=&amp;_d=0&amp;ec_shared_reflux_dynamic_params=%7B%22placeholder_material_id%22%3A%227637532856012639509%22%2C%22placeholder_origin_cover%22%3A%22https%253A%252F%252Fp16-common-sign.tiktokcdn.com%252Ftos-alisg-p-0037%252FooIrQwIee2DQNNRGn79nfBL6m6fGcHAGArAO7F~tplv-tiktokx-origin.jpeg%253Fdr%253D14572%2526refresh_token%253Da5315512%2526x-expires%253D1810717200%2526x-signature%253DiMBRwCDsVMKjkqcX1T6%25252FxBVHPHk%25253D%2526t%253D4d5b0474%2526ps%253D13740610%2526shp%253Dd05b14bd%2526shcp%253D34ff8df6%2526idc%253Dmy3%2526s%253DTIKTOK_AFFILIATE_VIRAL_VIDEO%22%2C%22placeholder_product_id%22%3A%221729427766722726591%22%2C%22placeholder_video_id%22%3A%227637532856012639509%22%7D&amp;ec_shared_reflux_scene=shop_tab_feed&amp;share_item_id=7637532856012639509&amp;source=h5_t</v>
      </c>
      <c r="O1012" s="464"/>
      <c r="P1012" s="279" t="str">
        <f>IFERROR(__xludf.DUMMYFUNCTION("""COMPUTED_VALUE"""),"https://www.tiktok.com/@harumrice/video/7637533336554032404?_r=1&amp;u_code=d6j7255963058c&amp;region=&amp;mid=7498889201430137601&amp;preview_pb=0&amp;sharer_language=&amp;_d=0&amp;ec_shared_reflux_dynamic_params=%7B%22placeholder_material_id%22%3A%227637533336554032404%22%2C%22pla"&amp;"ceholder_origin_cover%22%3A%22https%253A%252F%252Fp16-common-sign.tiktokcdn.com%252Ftos-alisg-p-0037%252FoMfBRWepQWAz39LAAGfMw1d5e84592n3EGa8FI~tplv-tiktokx-origin.jpeg%253Fdr%253D14572%2526refresh_token%253D50205825%2526x-expires%253D1810717200%2526x-sig"&amp;"nature%253D95zqnhrQ15e3BNDdXrDRz0YeFqY%25253D%2526t%253D4d5b0474%2526ps%253D13740610%2526shp%253Dd05b14bd%2526shcp%253D34ff8df6%2526idc%253Dmy3%2526s%253DTIKTOK_AFFILIATE_VIRAL_VIDEO%22%2C%22placeholder_product_id%22%3A%221729427766722726591%22%2C%22place"&amp;"holder_video_id%22%3A%227637533336554032404%22%7D&amp;ec_shared_reflux_scene=shop_tab_feed&amp;share_item_id=7637533336554032404&amp;source=h5_t")</f>
        <v>https://www.tiktok.com/@harumrice/video/7637533336554032404?_r=1&amp;u_code=d6j7255963058c&amp;region=&amp;mid=7498889201430137601&amp;preview_pb=0&amp;sharer_language=&amp;_d=0&amp;ec_shared_reflux_dynamic_params=%7B%22placeholder_material_id%22%3A%227637533336554032404%22%2C%22placeholder_origin_cover%22%3A%22https%253A%252F%252Fp16-common-sign.tiktokcdn.com%252Ftos-alisg-p-0037%252FoMfBRWepQWAz39LAAGfMw1d5e84592n3EGa8FI~tplv-tiktokx-origin.jpeg%253Fdr%253D14572%2526refresh_token%253D50205825%2526x-expires%253D1810717200%2526x-signature%253D95zqnhrQ15e3BNDdXrDRz0YeFqY%25253D%2526t%253D4d5b0474%2526ps%253D13740610%2526shp%253Dd05b14bd%2526shcp%253D34ff8df6%2526idc%253Dmy3%2526s%253DTIKTOK_AFFILIATE_VIRAL_VIDEO%22%2C%22placeholder_product_id%22%3A%221729427766722726591%22%2C%22placeholder_video_id%22%3A%227637533336554032404%22%7D&amp;ec_shared_reflux_scene=shop_tab_feed&amp;share_item_id=7637533336554032404&amp;source=h5_t</v>
      </c>
    </row>
    <row r="1013">
      <c r="A1013" s="282" t="str">
        <f>IFERROR(__xludf.DUMMYFUNCTION("""COMPUTED_VALUE"""),"MICRO")</f>
        <v>MICRO</v>
      </c>
      <c r="B1013" s="468" t="str">
        <f>IFERROR(__xludf.DUMMYFUNCTION("""COMPUTED_VALUE"""),"itsmeriskaaw")</f>
        <v>itsmeriskaaw</v>
      </c>
      <c r="C1013" s="283" t="str">
        <f>IFERROR(__xludf.DUMMYFUNCTION("""COMPUTED_VALUE"""),"https://www.tiktok.com/@itsmeriskaaw")</f>
        <v>https://www.tiktok.com/@itsmeriskaaw</v>
      </c>
      <c r="D1013" s="273"/>
      <c r="E1013" s="458">
        <f>IFERROR(__xludf.DUMMYFUNCTION("""COMPUTED_VALUE"""),0.0)</f>
        <v>0</v>
      </c>
      <c r="F1013" s="273">
        <f>IFERROR(__xludf.DUMMYFUNCTION("""COMPUTED_VALUE"""),4.0)</f>
        <v>4</v>
      </c>
      <c r="G1013" t="str">
        <f>IFERROR(__xludf.DUMMYFUNCTION("""COMPUTED_VALUE"""),"Sabun batang 1 Box ( 2 PCS )")</f>
        <v>Sabun batang 1 Box ( 2 PCS )</v>
      </c>
      <c r="H1013" s="469" t="str">
        <f>IFERROR(__xludf.DUMMYFUNCTION("""COMPUTED_VALUE"""),"Sampai")</f>
        <v>Sampai</v>
      </c>
      <c r="I1013" s="470" t="str">
        <f>IFERROR(__xludf.DUMMYFUNCTION("""COMPUTED_VALUE"""),"KIMME")</f>
        <v>KIMME</v>
      </c>
      <c r="J1013" s="471" t="str">
        <f>IFERROR(__xludf.DUMMYFUNCTION("""COMPUTED_VALUE"""),"https://www.tiktok.com/@itsmeriskaaw/video/7610772664378068244?_r=1&amp;u_code=emd5i6ij7079lc&amp;region=&amp;mid=7146290607604893697&amp;preview_pb=0&amp;sharer_language=&amp;_d=0&amp;ec_shared_reflux_dynamic_params=%7B%22placeholder_material_id%22%3A%227610772664378068244%22%2C%22"&amp;"placeholder_origin_cover%22%3A%22https%253A%252F%252Fp16-sign-sg.tiktokcdn.com%252Ftos-alisg-p-0037%252FogQDpnCli0XuEBomvaVBKzSAEUUXevKQmgfFR5~tplv-tiktokx-origin.jpeg%253Fdr%253D14572%2526refresh_token%253Dabe28072%2526x-expires%253D1807070400%2526x-sign"&amp;"ature%253DT9nBlNxB0udnT%25252BxTFTYUmkFGcek%25253D%2526t%253D4d5b0474%2526ps%253D13740610%2526shp%253Dd05b14bd%2526shcp%253D34ff8df6%2526idc%253Dmy2%2526s%253DTIKTOK_AFFILIATE_VIRAL_VIDEO%22%2C%22placeholder_product_id%22%3A%221729427766722726591%22%2C%22"&amp;"placeholder_video_id%22%3A%227610772664378068244%22%7D&amp;ec_shared_reflux_scene=shop_tab_feed&amp;share_item_id=7610772664378068244&amp;source=h5_t")</f>
        <v>https://www.tiktok.com/@itsmeriskaaw/video/7610772664378068244?_r=1&amp;u_code=emd5i6ij7079lc&amp;region=&amp;mid=7146290607604893697&amp;preview_pb=0&amp;sharer_language=&amp;_d=0&amp;ec_shared_reflux_dynamic_params=%7B%22placeholder_material_id%22%3A%227610772664378068244%22%2C%22placeholder_origin_cover%22%3A%22https%253A%252F%252Fp16-sign-sg.tiktokcdn.com%252Ftos-alisg-p-0037%252FogQDpnCli0XuEBomvaVBKzSAEUUXevKQmgfFR5~tplv-tiktokx-origin.jpeg%253Fdr%253D14572%2526refresh_token%253Dabe28072%2526x-expires%253D1807070400%2526x-signature%253DT9nBlNxB0udnT%25252BxTFTYUmkFGcek%25253D%2526t%253D4d5b0474%2526ps%253D13740610%2526shp%253Dd05b14bd%2526shcp%253D34ff8df6%2526idc%253Dmy2%2526s%253DTIKTOK_AFFILIATE_VIRAL_VIDEO%22%2C%22placeholder_product_id%22%3A%221729427766722726591%22%2C%22placeholder_video_id%22%3A%227610772664378068244%22%7D&amp;ec_shared_reflux_scene=shop_tab_feed&amp;share_item_id=7610772664378068244&amp;source=h5_t</v>
      </c>
      <c r="K1013" s="470" t="str">
        <f>IFERROR(__xludf.DUMMYFUNCTION("""COMPUTED_VALUE"""),"KIMME")</f>
        <v>KIMME</v>
      </c>
      <c r="L1013" s="471" t="str">
        <f>IFERROR(__xludf.DUMMYFUNCTION("""COMPUTED_VALUE"""),"https://www.tiktok.com/@harumrice/video/7637533938864426260?_r=1&amp;u_code=d6j7255963058c&amp;region=&amp;mid=7519443594904177409&amp;preview_pb=0&amp;sharer_language=&amp;_d=0&amp;ec_shared_reflux_dynamic_params=%7B%22placeholder_material_id%22%3A%227637533938864426260%22%2C%22pla"&amp;"ceholder_origin_cover%22%3A%22https%253A%252F%252Fp16-common-sign.tiktokcdn.com%252Ftos-alisg-p-0037%252FoEt6JzEQQGAnvpefoeFw78PriKgZJRAODFfGCl~tplv-tiktokx-origin.jpeg%253Fdr%253D14572%2526refresh_token%253D57865e6b%2526x-expires%253D1810717200%2526x-sig"&amp;"nature%253DTumusQERM%25252BedeicfIcdCXAEy6z8%25253D%2526t%253D4d5b0474%2526ps%253D13740610%2526shp%253Dd05b14bd%2526shcp%253D34ff8df6%2526idc%253Dmy3%2526s%253DTIKTOK_AFFILIATE_VIRAL_VIDEO%22%2C%22placeholder_product_id%22%3A%221729427766722726591%22%2C%2"&amp;"2placeholder_video_id%22%3A%227637533938864426260%22%7D&amp;ec_shared_reflux_scene=shop_tab_feed&amp;share_item_id=7637533938864426260&amp;source=h5_t")</f>
        <v>https://www.tiktok.com/@harumrice/video/7637533938864426260?_r=1&amp;u_code=d6j7255963058c&amp;region=&amp;mid=7519443594904177409&amp;preview_pb=0&amp;sharer_language=&amp;_d=0&amp;ec_shared_reflux_dynamic_params=%7B%22placeholder_material_id%22%3A%227637533938864426260%22%2C%22placeholder_origin_cover%22%3A%22https%253A%252F%252Fp16-common-sign.tiktokcdn.com%252Ftos-alisg-p-0037%252FoEt6JzEQQGAnvpefoeFw78PriKgZJRAODFfGCl~tplv-tiktokx-origin.jpeg%253Fdr%253D14572%2526refresh_token%253D57865e6b%2526x-expires%253D1810717200%2526x-signature%253DTumusQERM%25252BedeicfIcdCXAEy6z8%25253D%2526t%253D4d5b0474%2526ps%253D13740610%2526shp%253Dd05b14bd%2526shcp%253D34ff8df6%2526idc%253Dmy3%2526s%253DTIKTOK_AFFILIATE_VIRAL_VIDEO%22%2C%22placeholder_product_id%22%3A%221729427766722726591%22%2C%22placeholder_video_id%22%3A%227637533938864426260%22%7D&amp;ec_shared_reflux_scene=shop_tab_feed&amp;share_item_id=7637533938864426260&amp;source=h5_t</v>
      </c>
      <c r="M1013" s="470"/>
      <c r="N1013" s="471" t="str">
        <f>IFERROR(__xludf.DUMMYFUNCTION("""COMPUTED_VALUE"""),"https://www.tiktok.com/@harumrice/video/7637534392071507221?_r=1&amp;u_code=d6j7255963058c&amp;region=&amp;mid=7628927071062493200&amp;preview_pb=0&amp;sharer_language=&amp;_d=0&amp;ec_shared_reflux_dynamic_params=%7B%22placeholder_material_id%22%3A%227637534392071507221%22%2C%22pla"&amp;"ceholder_origin_cover%22%3A%22https%253A%252F%252Fp16-common-sign.tiktokcdn.com%252Ftos-alisg-p-0037%252FoAgFNEwMnF8y0e8WQrXf0AgRRGe789CA7Ggjfv~tplv-tiktokx-origin.jpeg%253Fdr%253D14572%2526refresh_token%253D6556d97e%2526x-expires%253D1810717200%2526x-sig"&amp;"nature%253D%25252Bst3Mw%25252Fmubo2G4WUhvO6My7f9Uk%25253D%2526t%253D4d5b0474%2526ps%253D13740610%2526shp%253Dd05b14bd%2526shcp%253D34ff8df6%2526idc%253Dmy3%2526s%253DTIKTOK_AFFILIATE_VIRAL_VIDEO%22%2C%22placeholder_product_id%22%3A%221729427766722726591%2"&amp;"2%2C%22placeholder_video_id%22%3A%227637534392071507221%22%7D&amp;ec_shared_reflux_scene=shop_tab_feed&amp;share_item_id=7637534392071507221&amp;source=h5_t")</f>
        <v>https://www.tiktok.com/@harumrice/video/7637534392071507221?_r=1&amp;u_code=d6j7255963058c&amp;region=&amp;mid=7628927071062493200&amp;preview_pb=0&amp;sharer_language=&amp;_d=0&amp;ec_shared_reflux_dynamic_params=%7B%22placeholder_material_id%22%3A%227637534392071507221%22%2C%22placeholder_origin_cover%22%3A%22https%253A%252F%252Fp16-common-sign.tiktokcdn.com%252Ftos-alisg-p-0037%252FoAgFNEwMnF8y0e8WQrXf0AgRRGe789CA7Ggjfv~tplv-tiktokx-origin.jpeg%253Fdr%253D14572%2526refresh_token%253D6556d97e%2526x-expires%253D1810717200%2526x-signature%253D%25252Bst3Mw%25252Fmubo2G4WUhvO6My7f9Uk%25253D%2526t%253D4d5b0474%2526ps%253D13740610%2526shp%253Dd05b14bd%2526shcp%253D34ff8df6%2526idc%253Dmy3%2526s%253DTIKTOK_AFFILIATE_VIRAL_VIDEO%22%2C%22placeholder_product_id%22%3A%221729427766722726591%22%2C%22placeholder_video_id%22%3A%227637534392071507221%22%7D&amp;ec_shared_reflux_scene=shop_tab_feed&amp;share_item_id=7637534392071507221&amp;source=h5_t</v>
      </c>
      <c r="O1013" s="470"/>
      <c r="P1013" s="471" t="str">
        <f>IFERROR(__xludf.DUMMYFUNCTION("""COMPUTED_VALUE"""),"https://www.tiktok.com/@harumrice/video/7637535219276320021?_r=1&amp;u_code=d6j7255963058c&amp;region=&amp;mid=7504900144412838672&amp;preview_pb=0&amp;sharer_language=&amp;_d=0&amp;ec_shared_reflux_dynamic_params=%7B%22placeholder_material_id%22%3A%227637535219276320021%22%2C%22pla"&amp;"ceholder_origin_cover%22%3A%22https%253A%252F%252Fp16-common-sign.tiktokcdn.com%252Ftos-alisg-p-0037%252FoAcNEGAFBQO7nGCAKeRe7mQf4k8cDfYFw6rnI7~tplv-tiktokx-origin.jpeg%253Fdr%253D14572%2526refresh_token%253D2ae630ed%2526x-expires%253D1810717200%2526x-sig"&amp;"nature%253DotlcQxrnWaeyDdWDCJtYvKJRGow%25253D%2526t%253D4d5b0474%2526ps%253D13740610%2526shp%253Dd05b14bd%2526shcp%253D34ff8df6%2526idc%253Dmy3%2526s%253DTIKTOK_AFFILIATE_VIRAL_VIDEO%22%2C%22placeholder_product_id%22%3A%221729427766722726591%22%2C%22place"&amp;"holder_video_id%22%3A%227637535219276320021%22%7D&amp;ec_shared_reflux_scene=shop_tab_feed&amp;share_item_id=7637535219276320021&amp;source=h5_t")</f>
        <v>https://www.tiktok.com/@harumrice/video/7637535219276320021?_r=1&amp;u_code=d6j7255963058c&amp;region=&amp;mid=7504900144412838672&amp;preview_pb=0&amp;sharer_language=&amp;_d=0&amp;ec_shared_reflux_dynamic_params=%7B%22placeholder_material_id%22%3A%227637535219276320021%22%2C%22placeholder_origin_cover%22%3A%22https%253A%252F%252Fp16-common-sign.tiktokcdn.com%252Ftos-alisg-p-0037%252FoAcNEGAFBQO7nGCAKeRe7mQf4k8cDfYFw6rnI7~tplv-tiktokx-origin.jpeg%253Fdr%253D14572%2526refresh_token%253D2ae630ed%2526x-expires%253D1810717200%2526x-signature%253DotlcQxrnWaeyDdWDCJtYvKJRGow%25253D%2526t%253D4d5b0474%2526ps%253D13740610%2526shp%253Dd05b14bd%2526shcp%253D34ff8df6%2526idc%253Dmy3%2526s%253DTIKTOK_AFFILIATE_VIRAL_VIDEO%22%2C%22placeholder_product_id%22%3A%221729427766722726591%22%2C%22placeholder_video_id%22%3A%227637535219276320021%22%7D&amp;ec_shared_reflux_scene=shop_tab_feed&amp;share_item_id=7637535219276320021&amp;source=h5_t</v>
      </c>
    </row>
    <row r="1014">
      <c r="A1014" s="282" t="str">
        <f>IFERROR(__xludf.DUMMYFUNCTION("""COMPUTED_VALUE"""),"MICRO")</f>
        <v>MICRO</v>
      </c>
      <c r="B1014" s="468" t="str">
        <f>IFERROR(__xludf.DUMMYFUNCTION("""COMPUTED_VALUE"""),"dhbeauty02")</f>
        <v>dhbeauty02</v>
      </c>
      <c r="C1014" s="283" t="str">
        <f>IFERROR(__xludf.DUMMYFUNCTION("""COMPUTED_VALUE"""),"https://www.tiktok.com/@dhbeauty02")</f>
        <v>https://www.tiktok.com/@dhbeauty02</v>
      </c>
      <c r="D1014" s="273"/>
      <c r="E1014" s="458">
        <f>IFERROR(__xludf.DUMMYFUNCTION("""COMPUTED_VALUE"""),0.0)</f>
        <v>0</v>
      </c>
      <c r="F1014" s="273">
        <f>IFERROR(__xludf.DUMMYFUNCTION("""COMPUTED_VALUE"""),4.0)</f>
        <v>4</v>
      </c>
      <c r="G1014" t="str">
        <f>IFERROR(__xludf.DUMMYFUNCTION("""COMPUTED_VALUE"""),"Sabun batang 1 Box ( 2 PCS )")</f>
        <v>Sabun batang 1 Box ( 2 PCS )</v>
      </c>
      <c r="H1014" s="469" t="str">
        <f>IFERROR(__xludf.DUMMYFUNCTION("""COMPUTED_VALUE"""),"Sampai")</f>
        <v>Sampai</v>
      </c>
      <c r="I1014" s="470" t="str">
        <f>IFERROR(__xludf.DUMMYFUNCTION("""COMPUTED_VALUE"""),"KIMME")</f>
        <v>KIMME</v>
      </c>
      <c r="J1014" s="471" t="str">
        <f>IFERROR(__xludf.DUMMYFUNCTION("""COMPUTED_VALUE"""),"https://www.tiktok.com/@dhbeauty02/video/7609932897289555217?_r=1&amp;u_code=eg1158md8cghli&amp;region=&amp;mid=7609933172931529490&amp;preview_pb=0&amp;sharer_language=&amp;_d=0&amp;ec_shared_reflux_dynamic_params=%7B%22placeholder_material_id%22%3A%227609932897289555217%22%2C%22pl"&amp;"aceholder_origin_cover%22%3A%22https%253A%252F%252Fp16-sign-sg.tiktokcdn.com%252Ftos-alisg-p-0037%252Fo0Dcx4ieQCKNnQEgmfjCI3jD2NEI9ALmC0AfFT~tplv-tiktokx-origin.jpeg%253Fdr%253D14572%2526refresh_token%253D8955fb68%2526x-expires%253D1807070400%2526x-signat"&amp;"ure%253DOfShJN5T3HITLeZf51ZQaFFo8Ic%25253D%2526t%253D4d5b0474%2526ps%253D13740610%2526shp%253Dd05b14bd%2526shcp%253D34ff8df6%2526idc%253Dmy2%2526s%253DTIKTOK_AFFILIATE_VIRAL_VIDEO%22%2C%22placeholder_product_id%22%3A%221729427766722726591%22%2C%22placehol"&amp;"der_video_id%22%3A%227609932897289555217%22%7D&amp;ec_shared_reflux_scene=shop_tab_feed&amp;share_item_id=7609932897289555217&amp;source=h5_t")</f>
        <v>https://www.tiktok.com/@dhbeauty02/video/7609932897289555217?_r=1&amp;u_code=eg1158md8cghli&amp;region=&amp;mid=7609933172931529490&amp;preview_pb=0&amp;sharer_language=&amp;_d=0&amp;ec_shared_reflux_dynamic_params=%7B%22placeholder_material_id%22%3A%227609932897289555217%22%2C%22placeholder_origin_cover%22%3A%22https%253A%252F%252Fp16-sign-sg.tiktokcdn.com%252Ftos-alisg-p-0037%252Fo0Dcx4ieQCKNnQEgmfjCI3jD2NEI9ALmC0AfFT~tplv-tiktokx-origin.jpeg%253Fdr%253D14572%2526refresh_token%253D8955fb68%2526x-expires%253D1807070400%2526x-signature%253DOfShJN5T3HITLeZf51ZQaFFo8Ic%25253D%2526t%253D4d5b0474%2526ps%253D13740610%2526shp%253Dd05b14bd%2526shcp%253D34ff8df6%2526idc%253Dmy2%2526s%253DTIKTOK_AFFILIATE_VIRAL_VIDEO%22%2C%22placeholder_product_id%22%3A%221729427766722726591%22%2C%22placeholder_video_id%22%3A%227609932897289555217%22%7D&amp;ec_shared_reflux_scene=shop_tab_feed&amp;share_item_id=7609932897289555217&amp;source=h5_t</v>
      </c>
      <c r="K1014" s="470" t="str">
        <f>IFERROR(__xludf.DUMMYFUNCTION("""COMPUTED_VALUE"""),"KIMME")</f>
        <v>KIMME</v>
      </c>
      <c r="L1014" s="471" t="str">
        <f>IFERROR(__xludf.DUMMYFUNCTION("""COMPUTED_VALUE"""),"https://www.tiktok.com/@harumrice/video/7637535219276320021?_r=1&amp;u_code=d6j7255963058c&amp;region=&amp;mid=7504900144412838672&amp;preview_pb=0&amp;sharer_language=&amp;_d=0&amp;ec_shared_reflux_dynamic_params=%7B%22placeholder_material_id%22%3A%227637535219276320021%22%2C%22pla"&amp;"ceholder_origin_cover%22%3A%22https%253A%252F%252Fp16-common-sign.tiktokcdn.com%252Ftos-alisg-p-0037%252FoAcNEGAFBQO7nGCAKeRe7mQf4k8cDfYFw6rnI7~tplv-tiktokx-origin.jpeg%253Fdr%253D14572%2526refresh_token%253D2ae630ed%2526x-expires%253D1810717200%2526x-sig"&amp;"nature%253DotlcQxrnWaeyDdWDCJtYvKJRGow%25253D%2526t%253D4d5b0474%2526ps%253D13740610%2526shp%253Dd05b14bd%2526shcp%253D34ff8df6%2526idc%253Dmy3%2526s%253DTIKTOK_AFFILIATE_VIRAL_VIDEO%22%2C%22placeholder_product_id%22%3A%221729427766722726591%22%2C%22place"&amp;"holder_video_id%22%3A%227637535219276320021%22%7D&amp;ec_shared_reflux_scene=shop_tab_feed&amp;share_item_id=7637535219276320021&amp;source=h5_t")</f>
        <v>https://www.tiktok.com/@harumrice/video/7637535219276320021?_r=1&amp;u_code=d6j7255963058c&amp;region=&amp;mid=7504900144412838672&amp;preview_pb=0&amp;sharer_language=&amp;_d=0&amp;ec_shared_reflux_dynamic_params=%7B%22placeholder_material_id%22%3A%227637535219276320021%22%2C%22placeholder_origin_cover%22%3A%22https%253A%252F%252Fp16-common-sign.tiktokcdn.com%252Ftos-alisg-p-0037%252FoAcNEGAFBQO7nGCAKeRe7mQf4k8cDfYFw6rnI7~tplv-tiktokx-origin.jpeg%253Fdr%253D14572%2526refresh_token%253D2ae630ed%2526x-expires%253D1810717200%2526x-signature%253DotlcQxrnWaeyDdWDCJtYvKJRGow%25253D%2526t%253D4d5b0474%2526ps%253D13740610%2526shp%253Dd05b14bd%2526shcp%253D34ff8df6%2526idc%253Dmy3%2526s%253DTIKTOK_AFFILIATE_VIRAL_VIDEO%22%2C%22placeholder_product_id%22%3A%221729427766722726591%22%2C%22placeholder_video_id%22%3A%227637535219276320021%22%7D&amp;ec_shared_reflux_scene=shop_tab_feed&amp;share_item_id=7637535219276320021&amp;source=h5_t</v>
      </c>
      <c r="M1014" s="470"/>
      <c r="N1014" s="471" t="str">
        <f>IFERROR(__xludf.DUMMYFUNCTION("""COMPUTED_VALUE"""),"https://www.tiktok.com/@harumrice/video/7637535812791340308?_r=1&amp;u_code=d6j7255963058c&amp;region=&amp;mid=7579718924125161489&amp;preview_pb=0&amp;sharer_language=&amp;_d=0&amp;ec_shared_reflux_dynamic_params=%7B%22placeholder_material_id%22%3A%227637535812791340308%22%2C%22pla"&amp;"ceholder_origin_cover%22%3A%22https%253A%252F%252Fp16-common-sign.tiktokcdn.com%252Ftos-alisg-p-0037%252Fo0aRfHL9dQG37uCAOIcAe1IQn7QGG41Gw2mfeF~tplv-tiktokx-origin.jpeg%253Fdr%253D14572%2526refresh_token%253Db39a171f%2526x-expires%253D1810717200%2526x-sig"&amp;"nature%253DqFcHP7DgFN%25252FeLtkmk6cQVXN3hgI%25253D%2526t%253D4d5b0474%2526ps%253D13740610%2526shp%253Dd05b14bd%2526shcp%253D34ff8df6%2526idc%253Dmy3%2526s%253DTIKTOK_AFFILIATE_VIRAL_VIDEO%22%2C%22placeholder_product_id%22%3A%221729427766722726591%22%2C%2"&amp;"2placeholder_video_id%22%3A%227637535812791340308%22%7D&amp;ec_shared_reflux_scene=shop_tab_feed&amp;share_item_id=7637535812791340308&amp;source=h5_t")</f>
        <v>https://www.tiktok.com/@harumrice/video/7637535812791340308?_r=1&amp;u_code=d6j7255963058c&amp;region=&amp;mid=7579718924125161489&amp;preview_pb=0&amp;sharer_language=&amp;_d=0&amp;ec_shared_reflux_dynamic_params=%7B%22placeholder_material_id%22%3A%227637535812791340308%22%2C%22placeholder_origin_cover%22%3A%22https%253A%252F%252Fp16-common-sign.tiktokcdn.com%252Ftos-alisg-p-0037%252Fo0aRfHL9dQG37uCAOIcAe1IQn7QGG41Gw2mfeF~tplv-tiktokx-origin.jpeg%253Fdr%253D14572%2526refresh_token%253Db39a171f%2526x-expires%253D1810717200%2526x-signature%253DqFcHP7DgFN%25252FeLtkmk6cQVXN3hgI%25253D%2526t%253D4d5b0474%2526ps%253D13740610%2526shp%253Dd05b14bd%2526shcp%253D34ff8df6%2526idc%253Dmy3%2526s%253DTIKTOK_AFFILIATE_VIRAL_VIDEO%22%2C%22placeholder_product_id%22%3A%221729427766722726591%22%2C%22placeholder_video_id%22%3A%227637535812791340308%22%7D&amp;ec_shared_reflux_scene=shop_tab_feed&amp;share_item_id=7637535812791340308&amp;source=h5_t</v>
      </c>
      <c r="O1014" s="470"/>
      <c r="P1014" s="471" t="str">
        <f>IFERROR(__xludf.DUMMYFUNCTION("""COMPUTED_VALUE"""),"https://www.tiktok.com/@harumrice/video/7637540893129854228?_r=1&amp;u_code=d6j7255963058c&amp;region=&amp;mid=7517476101912808208&amp;preview_pb=0&amp;sharer_language=&amp;_d=0&amp;ec_shared_reflux_dynamic_params=%7B%22placeholder_material_id%22%3A%227637540893129854228%22%2C%22pla"&amp;"ceholder_origin_cover%22%3A%22https%253A%252F%252Fp16-common-sign.tiktokcdn.com%252Ftos-alisg-p-0037%252Fos39QQjQG3p1fFfyAIewAHBIfL79XnGRkrkGQ7~tplv-tiktokx-origin.jpeg%253Fdr%253D14572%2526refresh_token%253D186583fa%2526x-expires%253D1810717200%2526x-sig"&amp;"nature%253Dv1XQdHMd9nRkWXdr7uxpfDg06gs%25253D%2526t%253D4d5b0474%2526ps%253D13740610%2526shp%253Dd05b14bd%2526shcp%253D34ff8df6%2526idc%253Dmy3%2526s%253DTIKTOK_AFFILIATE_VIRAL_VIDEO%22%2C%22placeholder_product_id%22%3A%221729427766722726591%22%2C%22place"&amp;"holder_video_id%22%3A%227637540893129854228%22%7D&amp;ec_shared_reflux_scene=shop_tab_feed&amp;share_item_id=7637540893129854228&amp;source=h5_t")</f>
        <v>https://www.tiktok.com/@harumrice/video/7637540893129854228?_r=1&amp;u_code=d6j7255963058c&amp;region=&amp;mid=7517476101912808208&amp;preview_pb=0&amp;sharer_language=&amp;_d=0&amp;ec_shared_reflux_dynamic_params=%7B%22placeholder_material_id%22%3A%227637540893129854228%22%2C%22placeholder_origin_cover%22%3A%22https%253A%252F%252Fp16-common-sign.tiktokcdn.com%252Ftos-alisg-p-0037%252Fos39QQjQG3p1fFfyAIewAHBIfL79XnGRkrkGQ7~tplv-tiktokx-origin.jpeg%253Fdr%253D14572%2526refresh_token%253D186583fa%2526x-expires%253D1810717200%2526x-signature%253Dv1XQdHMd9nRkWXdr7uxpfDg06gs%25253D%2526t%253D4d5b0474%2526ps%253D13740610%2526shp%253Dd05b14bd%2526shcp%253D34ff8df6%2526idc%253Dmy3%2526s%253DTIKTOK_AFFILIATE_VIRAL_VIDEO%22%2C%22placeholder_product_id%22%3A%221729427766722726591%22%2C%22placeholder_video_id%22%3A%227637540893129854228%22%7D&amp;ec_shared_reflux_scene=shop_tab_feed&amp;share_item_id=7637540893129854228&amp;source=h5_t</v>
      </c>
    </row>
    <row r="1015">
      <c r="A1015" s="282" t="str">
        <f>IFERROR(__xludf.DUMMYFUNCTION("""COMPUTED_VALUE"""),"MICRO")</f>
        <v>MICRO</v>
      </c>
      <c r="B1015" s="468" t="str">
        <f>IFERROR(__xludf.DUMMYFUNCTION("""COMPUTED_VALUE"""),"waroengserbamurah")</f>
        <v>waroengserbamurah</v>
      </c>
      <c r="C1015" s="283" t="str">
        <f>IFERROR(__xludf.DUMMYFUNCTION("""COMPUTED_VALUE"""),"https://www.tiktok.com/@waroengserbamurah")</f>
        <v>https://www.tiktok.com/@waroengserbamurah</v>
      </c>
      <c r="D1015" s="273"/>
      <c r="E1015" s="458">
        <f>IFERROR(__xludf.DUMMYFUNCTION("""COMPUTED_VALUE"""),0.0)</f>
        <v>0</v>
      </c>
      <c r="F1015" s="273">
        <f>IFERROR(__xludf.DUMMYFUNCTION("""COMPUTED_VALUE"""),4.0)</f>
        <v>4</v>
      </c>
      <c r="G1015" t="str">
        <f>IFERROR(__xludf.DUMMYFUNCTION("""COMPUTED_VALUE"""),"Sabun batang 1 Box ( 2 PCS )")</f>
        <v>Sabun batang 1 Box ( 2 PCS )</v>
      </c>
      <c r="H1015" s="469" t="str">
        <f>IFERROR(__xludf.DUMMYFUNCTION("""COMPUTED_VALUE"""),"Sampai")</f>
        <v>Sampai</v>
      </c>
      <c r="I1015" s="470" t="str">
        <f>IFERROR(__xludf.DUMMYFUNCTION("""COMPUTED_VALUE"""),"KIMME")</f>
        <v>KIMME</v>
      </c>
      <c r="J1015" s="471" t="str">
        <f>IFERROR(__xludf.DUMMYFUNCTION("""COMPUTED_VALUE"""),"https://www.tiktok.com/@waroengserbamurah/video/7609742371042921749?_r=1&amp;u_code=di6ce8079l4acg&amp;region=&amp;mid=7609742419634555669&amp;preview_pb=0&amp;sharer_language=&amp;_d=0&amp;ec_shared_reflux_dynamic_params=%7B%22placeholder_material_id%22%3A%227609742371042921749%22%"&amp;"2C%22placeholder_origin_cover%22%3A%22https%253A%252F%252Fp16-sign-sg.tiktokcdn.com%252Ftos-alisg-p-0037%252FogNbRzgApIU0EQBrPBmFlWxEIoDAUpAIggfGGe~tplv-tiktokx-origin.jpeg%253Fdr%253D14572%2526refresh_token%253D798d8972%2526x-expires%253D1807070400%2526x"&amp;"-signature%253DQPVBgQgMVSAGoieCLfmG3NWrTvQ%25253D%2526t%253D4d5b0474%2526ps%253D13740610%2526shp%253Dd05b14bd%2526shcp%253D34ff8df6%2526idc%253Dmy2%2526s%253DTIKTOK_AFFILIATE_VIRAL_VIDEO%22%2C%22placeholder_product_id%22%3A%221729729730555512511%22%2C%22p"&amp;"laceholder_video_id%22%3A%227609742371042921749%22%7D&amp;ec_shared_reflux_scene=shop_tab_feed&amp;share_item_id=7609742371042921749&amp;source=h5_t")</f>
        <v>https://www.tiktok.com/@waroengserbamurah/video/7609742371042921749?_r=1&amp;u_code=di6ce8079l4acg&amp;region=&amp;mid=7609742419634555669&amp;preview_pb=0&amp;sharer_language=&amp;_d=0&amp;ec_shared_reflux_dynamic_params=%7B%22placeholder_material_id%22%3A%227609742371042921749%22%2C%22placeholder_origin_cover%22%3A%22https%253A%252F%252Fp16-sign-sg.tiktokcdn.com%252Ftos-alisg-p-0037%252FogNbRzgApIU0EQBrPBmFlWxEIoDAUpAIggfGGe~tplv-tiktokx-origin.jpeg%253Fdr%253D14572%2526refresh_token%253D798d8972%2526x-expires%253D1807070400%2526x-signature%253DQPVBgQgMVSAGoieCLfmG3NWrTvQ%25253D%2526t%253D4d5b0474%2526ps%253D13740610%2526shp%253Dd05b14bd%2526shcp%253D34ff8df6%2526idc%253Dmy2%2526s%253DTIKTOK_AFFILIATE_VIRAL_VIDEO%22%2C%22placeholder_product_id%22%3A%221729729730555512511%22%2C%22placeholder_video_id%22%3A%227609742371042921749%22%7D&amp;ec_shared_reflux_scene=shop_tab_feed&amp;share_item_id=7609742371042921749&amp;source=h5_t</v>
      </c>
      <c r="K1015" s="470" t="str">
        <f>IFERROR(__xludf.DUMMYFUNCTION("""COMPUTED_VALUE"""),"KIMME")</f>
        <v>KIMME</v>
      </c>
      <c r="L1015" s="471" t="str">
        <f>IFERROR(__xludf.DUMMYFUNCTION("""COMPUTED_VALUE"""),"https://www.tiktok.com/@waroengserbamurah/video/7609742422335327509?_r=1&amp;u_code=di6ce8079l4acg&amp;region=&amp;mid=7609742469441325842&amp;preview_pb=0&amp;sharer_language=&amp;_d=0&amp;ec_shared_reflux_dynamic_params=%7B%22placeholder_material_id%22%3A%227609742422335327509%22%"&amp;"2C%22placeholder_origin_cover%22%3A%22https%253A%252F%252Fp16-common-sign.tiktokcdn.com%252Ftos-alisg-p-0037%252Fo0nTCstUIXOLCpeAsAPgN8sjjjcVGDD4Ieeg5o~tplv-tiktokx-origin.jpeg%253Fdr%253D14572%2526refresh_token%253D88da185c%2526x-expires%253D1807070400%2"&amp;"526x-signature%253Dl5jxoOKi2WmuRsvwXJKEwfOrhDI%25253D%2526t%253D4d5b0474%2526ps%253D13740610%2526shp%253Dd05b14bd%2526shcp%253D34ff8df6%2526idc%253Dmy2%2526s%253DTIKTOK_AFFILIATE_VIRAL_VIDEO%22%2C%22placeholder_product_id%22%3A%221729729730555512511%22%2C"&amp;"%22placeholder_video_id%22%3A%227609742422335327509%22%7D&amp;ec_shared_reflux_scene=shop_tab_feed&amp;share_item_id=7609742422335327509&amp;source=h5_t")</f>
        <v>https://www.tiktok.com/@waroengserbamurah/video/7609742422335327509?_r=1&amp;u_code=di6ce8079l4acg&amp;region=&amp;mid=7609742469441325842&amp;preview_pb=0&amp;sharer_language=&amp;_d=0&amp;ec_shared_reflux_dynamic_params=%7B%22placeholder_material_id%22%3A%227609742422335327509%22%2C%22placeholder_origin_cover%22%3A%22https%253A%252F%252Fp16-common-sign.tiktokcdn.com%252Ftos-alisg-p-0037%252Fo0nTCstUIXOLCpeAsAPgN8sjjjcVGDD4Ieeg5o~tplv-tiktokx-origin.jpeg%253Fdr%253D14572%2526refresh_token%253D88da185c%2526x-expires%253D1807070400%2526x-signature%253Dl5jxoOKi2WmuRsvwXJKEwfOrhDI%25253D%2526t%253D4d5b0474%2526ps%253D13740610%2526shp%253Dd05b14bd%2526shcp%253D34ff8df6%2526idc%253Dmy2%2526s%253DTIKTOK_AFFILIATE_VIRAL_VIDEO%22%2C%22placeholder_product_id%22%3A%221729729730555512511%22%2C%22placeholder_video_id%22%3A%227609742422335327509%22%7D&amp;ec_shared_reflux_scene=shop_tab_feed&amp;share_item_id=7609742422335327509&amp;source=h5_t</v>
      </c>
      <c r="M1015" s="470"/>
      <c r="N1015" s="471" t="str">
        <f>IFERROR(__xludf.DUMMYFUNCTION("""COMPUTED_VALUE"""),"https://www.tiktok.com/@waroengserbamurah/video/7609742484872350996?_r=1&amp;u_code=di6ce8079l4acg&amp;region=&amp;mid=7609742528782420743&amp;preview_pb=0&amp;sharer_language=&amp;_d=0&amp;ec_shared_reflux_dynamic_params=%7B%22placeholder_material_id%22%3A%227609742484872350996%22%"&amp;"2C%22placeholder_origin_cover%22%3A%22https%253A%252F%252Fp16-sign-sg.tiktokcdn.com%252Ftos-alisg-p-0037%252FooRPIA9npqBZkELbB8iigxBeEmARoLdII4frUz~tplv-tiktokx-origin.jpeg%253Fdr%253D14572%2526refresh_token%253D8379cca5%2526x-expires%253D1807070400%2526x"&amp;"-signature%253D2lZxyMCDgz6wyb86tizfvI%25252FloeQ%25253D%2526t%253D4d5b0474%2526ps%253D13740610%2526shp%253Dd05b14bd%2526shcp%253D34ff8df6%2526idc%253Dmy2%2526s%253DTIKTOK_AFFILIATE_VIRAL_VIDEO%22%2C%22placeholder_product_id%22%3A%221729427766722726591%22%"&amp;"2C%22placeholder_video_id%22%3A%227609742484872350996%22%7D&amp;ec_shared_reflux_scene=shop_tab_feed&amp;share_item_id=7609742484872350996&amp;source=h5_t")</f>
        <v>https://www.tiktok.com/@waroengserbamurah/video/7609742484872350996?_r=1&amp;u_code=di6ce8079l4acg&amp;region=&amp;mid=7609742528782420743&amp;preview_pb=0&amp;sharer_language=&amp;_d=0&amp;ec_shared_reflux_dynamic_params=%7B%22placeholder_material_id%22%3A%227609742484872350996%22%2C%22placeholder_origin_cover%22%3A%22https%253A%252F%252Fp16-sign-sg.tiktokcdn.com%252Ftos-alisg-p-0037%252FooRPIA9npqBZkELbB8iigxBeEmARoLdII4frUz~tplv-tiktokx-origin.jpeg%253Fdr%253D14572%2526refresh_token%253D8379cca5%2526x-expires%253D1807070400%2526x-signature%253D2lZxyMCDgz6wyb86tizfvI%25252FloeQ%25253D%2526t%253D4d5b0474%2526ps%253D13740610%2526shp%253Dd05b14bd%2526shcp%253D34ff8df6%2526idc%253Dmy2%2526s%253DTIKTOK_AFFILIATE_VIRAL_VIDEO%22%2C%22placeholder_product_id%22%3A%221729427766722726591%22%2C%22placeholder_video_id%22%3A%227609742484872350996%22%7D&amp;ec_shared_reflux_scene=shop_tab_feed&amp;share_item_id=7609742484872350996&amp;source=h5_t</v>
      </c>
      <c r="O1015" s="470"/>
      <c r="P1015" s="471" t="str">
        <f>IFERROR(__xludf.DUMMYFUNCTION("""COMPUTED_VALUE"""),"https://www.tiktok.com/@waroengserbamurah/video/7610061599843355925?_r=1&amp;u_code=di6ce8079l4acg&amp;region=&amp;mid=7610066798612499220&amp;preview_pb=0&amp;sharer_language=&amp;_d=0&amp;ec_shared_reflux_dynamic_params=%7B%22placeholder_material_id%22%3A%227610061599843355925%22%"&amp;"2C%22placeholder_origin_cover%22%3A%22https%253A%252F%252Fp16-sign-sg.tiktokcdn.com%252Ftos-alisg-p-0037%252FoEpncpkvQ3F0Bb5EQj44eBASBRFX1cfsogKD6E~tplv-tiktokx-origin.jpeg%253Fdr%253D14572%2526refresh_token%253Ddacd329b%2526x-expires%253D1807070400%2526x"&amp;"-signature%253DiDLXl8ewVR0iBCn9e1aTApmgRwE%25253D%2526t%253D4d5b0474%2526ps%253D13740610%2526shp%253Dd05b14bd%2526shcp%253D34ff8df6%2526idc%253Dmy2%2526s%253DTIKTOK_AFFILIATE_VIRAL_VIDEO%22%2C%22placeholder_product_id%22%3A%221729427766722726591%22%2C%22p"&amp;"laceholder_video_id%22%3A%227610061599843355925%22%7D&amp;ec_shared_reflux_scene=shop_tab_feed&amp;share_item_id=7610061599843355925&amp;source=h5_t")</f>
        <v>https://www.tiktok.com/@waroengserbamurah/video/7610061599843355925?_r=1&amp;u_code=di6ce8079l4acg&amp;region=&amp;mid=7610066798612499220&amp;preview_pb=0&amp;sharer_language=&amp;_d=0&amp;ec_shared_reflux_dynamic_params=%7B%22placeholder_material_id%22%3A%227610061599843355925%22%2C%22placeholder_origin_cover%22%3A%22https%253A%252F%252Fp16-sign-sg.tiktokcdn.com%252Ftos-alisg-p-0037%252FoEpncpkvQ3F0Bb5EQj44eBASBRFX1cfsogKD6E~tplv-tiktokx-origin.jpeg%253Fdr%253D14572%2526refresh_token%253Ddacd329b%2526x-expires%253D1807070400%2526x-signature%253DiDLXl8ewVR0iBCn9e1aTApmgRwE%25253D%2526t%253D4d5b0474%2526ps%253D13740610%2526shp%253Dd05b14bd%2526shcp%253D34ff8df6%2526idc%253Dmy2%2526s%253DTIKTOK_AFFILIATE_VIRAL_VIDEO%22%2C%22placeholder_product_id%22%3A%221729427766722726591%22%2C%22placeholder_video_id%22%3A%227610061599843355925%22%7D&amp;ec_shared_reflux_scene=shop_tab_feed&amp;share_item_id=7610061599843355925&amp;source=h5_t</v>
      </c>
    </row>
    <row r="1016">
      <c r="A1016" s="282" t="str">
        <f>IFERROR(__xludf.DUMMYFUNCTION("""COMPUTED_VALUE"""),"MICRO")</f>
        <v>MICRO</v>
      </c>
      <c r="B1016" s="468" t="str">
        <f>IFERROR(__xludf.DUMMYFUNCTION("""COMPUTED_VALUE"""),"sititututyuliana3")</f>
        <v>sititututyuliana3</v>
      </c>
      <c r="C1016" s="283" t="str">
        <f>IFERROR(__xludf.DUMMYFUNCTION("""COMPUTED_VALUE"""),"https://www.tiktok.com/@sititututyuliana3")</f>
        <v>https://www.tiktok.com/@sititututyuliana3</v>
      </c>
      <c r="D1016" s="273"/>
      <c r="E1016" s="458">
        <f>IFERROR(__xludf.DUMMYFUNCTION("""COMPUTED_VALUE"""),0.0)</f>
        <v>0</v>
      </c>
      <c r="F1016" s="273">
        <f>IFERROR(__xludf.DUMMYFUNCTION("""COMPUTED_VALUE"""),4.0)</f>
        <v>4</v>
      </c>
      <c r="G1016" t="str">
        <f>IFERROR(__xludf.DUMMYFUNCTION("""COMPUTED_VALUE"""),"Sabun batang 1 Box ( 2 PCS )")</f>
        <v>Sabun batang 1 Box ( 2 PCS )</v>
      </c>
      <c r="H1016" s="469" t="str">
        <f>IFERROR(__xludf.DUMMYFUNCTION("""COMPUTED_VALUE"""),"Sampai")</f>
        <v>Sampai</v>
      </c>
      <c r="I1016" s="470" t="str">
        <f>IFERROR(__xludf.DUMMYFUNCTION("""COMPUTED_VALUE"""),"KIMME")</f>
        <v>KIMME</v>
      </c>
      <c r="J1016" s="471" t="str">
        <f>IFERROR(__xludf.DUMMYFUNCTION("""COMPUTED_VALUE"""),"https://www.tiktok.com/@sititututyuliana3/video/7612183248713583880?_r=1&amp;u_code=dic70kk943ja6d&amp;region=&amp;mid=7505029365265876993&amp;preview_pb=0&amp;sharer_language=&amp;_d=0&amp;ec_shared_reflux_dynamic_params=%7B%22placeholder_material_id%22%3A%227612183248713583880%22%"&amp;"2C%22placeholder_origin_cover%22%3A%22https%253A%252F%252Fp16-sign-sg.tiktokcdn.com%252Ftos-alisg-p-0037%252FoAENjQjIIDAfGIWjBTIA9UVg4CFfj6RD8uxTKf~tplv-tiktokx-origin.jpeg%253Fdr%253D14572%2526refresh_token%253D8e372a3c%2526x-expires%253D1807070400%2526x"&amp;"-signature%253DmomoBHPT9ARhaU%25252FAwkJ1gTX5hGw%25253D%2526t%253D4d5b0474%2526ps%253D13740610%2526shp%253Dd05b14bd%2526shcp%253D34ff8df6%2526idc%253Dmy2%2526s%253DTIKTOK_AFFILIATE_VIRAL_VIDEO%22%2C%22placeholder_product_id%22%3A%221729427766722726591%22%"&amp;"2C%22placeholder_video_id%22%3A%227612183248713583880%22%7D&amp;ec_shared_reflux_scene=shop_tab_feed&amp;share_item_id=7612183248713583880&amp;source=h5_t")</f>
        <v>https://www.tiktok.com/@sititututyuliana3/video/7612183248713583880?_r=1&amp;u_code=dic70kk943ja6d&amp;region=&amp;mid=7505029365265876993&amp;preview_pb=0&amp;sharer_language=&amp;_d=0&amp;ec_shared_reflux_dynamic_params=%7B%22placeholder_material_id%22%3A%227612183248713583880%22%2C%22placeholder_origin_cover%22%3A%22https%253A%252F%252Fp16-sign-sg.tiktokcdn.com%252Ftos-alisg-p-0037%252FoAENjQjIIDAfGIWjBTIA9UVg4CFfj6RD8uxTKf~tplv-tiktokx-origin.jpeg%253Fdr%253D14572%2526refresh_token%253D8e372a3c%2526x-expires%253D1807070400%2526x-signature%253DmomoBHPT9ARhaU%25252FAwkJ1gTX5hGw%25253D%2526t%253D4d5b0474%2526ps%253D13740610%2526shp%253Dd05b14bd%2526shcp%253D34ff8df6%2526idc%253Dmy2%2526s%253DTIKTOK_AFFILIATE_VIRAL_VIDEO%22%2C%22placeholder_product_id%22%3A%221729427766722726591%22%2C%22placeholder_video_id%22%3A%227612183248713583880%22%7D&amp;ec_shared_reflux_scene=shop_tab_feed&amp;share_item_id=7612183248713583880&amp;source=h5_t</v>
      </c>
      <c r="K1016" s="470" t="str">
        <f>IFERROR(__xludf.DUMMYFUNCTION("""COMPUTED_VALUE"""),"KIMME")</f>
        <v>KIMME</v>
      </c>
      <c r="L1016" s="471" t="str">
        <f>IFERROR(__xludf.DUMMYFUNCTION("""COMPUTED_VALUE"""),"https://www.tiktok.com/@harumrice/video/7638270007717170452?_r=1&amp;u_code=d6j7255963058c&amp;region=&amp;mid=7636507600439331602&amp;preview_pb=0&amp;sharer_language=&amp;_d=0&amp;ec_shared_reflux_dynamic_params=%7B%22placeholder_material_id%22%3A%227638270007717170452%22%2C%22pla"&amp;"ceholder_origin_cover%22%3A%22https%253A%252F%252Fp16-common-sign.tiktokcdn.com%252Ftos-alisg-p-0037%252FokerhBoGUClNIAGLIGYS8AITIDfAeAHAyjIikx~tplv-tiktokx-origin.jpeg%253Fdr%253D14572%2526refresh_token%253D4bb3fa93%2526x-expires%253D1810717200%2526x-sig"&amp;"nature%253DbfXA6uTXu1HR02I5qSWvBqFbuY4%25253D%2526t%253D4d5b0474%2526ps%253D13740610%2526shp%253Dd05b14bd%2526shcp%253D34ff8df6%2526idc%253Dmy3%2526s%253DTIKTOK_AFFILIATE_VIRAL_VIDEO%22%2C%22placeholder_product_id%22%3A%221729427766722726591%22%2C%22place"&amp;"holder_video_id%22%3A%227638270007717170452%22%7D&amp;ec_shared_reflux_scene=shop_tab_feed&amp;share_item_id=7638270007717170452&amp;source=h5_t")</f>
        <v>https://www.tiktok.com/@harumrice/video/7638270007717170452?_r=1&amp;u_code=d6j7255963058c&amp;region=&amp;mid=7636507600439331602&amp;preview_pb=0&amp;sharer_language=&amp;_d=0&amp;ec_shared_reflux_dynamic_params=%7B%22placeholder_material_id%22%3A%227638270007717170452%22%2C%22placeholder_origin_cover%22%3A%22https%253A%252F%252Fp16-common-sign.tiktokcdn.com%252Ftos-alisg-p-0037%252FokerhBoGUClNIAGLIGYS8AITIDfAeAHAyjIikx~tplv-tiktokx-origin.jpeg%253Fdr%253D14572%2526refresh_token%253D4bb3fa93%2526x-expires%253D1810717200%2526x-signature%253DbfXA6uTXu1HR02I5qSWvBqFbuY4%25253D%2526t%253D4d5b0474%2526ps%253D13740610%2526shp%253Dd05b14bd%2526shcp%253D34ff8df6%2526idc%253Dmy3%2526s%253DTIKTOK_AFFILIATE_VIRAL_VIDEO%22%2C%22placeholder_product_id%22%3A%221729427766722726591%22%2C%22placeholder_video_id%22%3A%227638270007717170452%22%7D&amp;ec_shared_reflux_scene=shop_tab_feed&amp;share_item_id=7638270007717170452&amp;source=h5_t</v>
      </c>
      <c r="M1016" s="470"/>
      <c r="N1016" s="471" t="str">
        <f>IFERROR(__xludf.DUMMYFUNCTION("""COMPUTED_VALUE"""),"https://www.tiktok.com/@harumrice/video/7638513352813120788?_r=1&amp;u_code=d6j7255963058c&amp;region=&amp;mid=7628534505540324116&amp;preview_pb=0&amp;sharer_language=&amp;_d=0&amp;ec_shared_reflux_dynamic_params=%7B%22placeholder_material_id%22%3A%227638513352813120788%22%2C%22pla"&amp;"ceholder_origin_cover%22%3A%22https%253A%252F%252Fp16-common-sign.tiktokcdn.com%252Ftos-alisg-p-0037%252FoQSDXI3uB7qAeYhc7HElBFAERB3DygNU9IfUpX~tplv-tiktokx-origin.jpeg%253Fdr%253D14572%2526refresh_token%253D3f79ac1a%2526x-expires%253D1810717200%2526x-sig"&amp;"nature%253DywCZAJiT8YeF9tofFqKk019V4u0%25253D%2526t%253D4d5b0474%2526ps%253D13740610%2526shp%253Dd05b14bd%2526shcp%253D34ff8df6%2526idc%253Dmy3%2526s%253DTIKTOK_AFFILIATE_VIRAL_VIDEO%22%2C%22placeholder_product_id%22%3A%221729427766722726591%22%2C%22place"&amp;"holder_video_id%22%3A%227638513352813120788%22%7D&amp;ec_shared_reflux_scene=shop_tab_feed&amp;share_item_id=7638513352813120788&amp;source=h5_t")</f>
        <v>https://www.tiktok.com/@harumrice/video/7638513352813120788?_r=1&amp;u_code=d6j7255963058c&amp;region=&amp;mid=7628534505540324116&amp;preview_pb=0&amp;sharer_language=&amp;_d=0&amp;ec_shared_reflux_dynamic_params=%7B%22placeholder_material_id%22%3A%227638513352813120788%22%2C%22placeholder_origin_cover%22%3A%22https%253A%252F%252Fp16-common-sign.tiktokcdn.com%252Ftos-alisg-p-0037%252FoQSDXI3uB7qAeYhc7HElBFAERB3DygNU9IfUpX~tplv-tiktokx-origin.jpeg%253Fdr%253D14572%2526refresh_token%253D3f79ac1a%2526x-expires%253D1810717200%2526x-signature%253DywCZAJiT8YeF9tofFqKk019V4u0%25253D%2526t%253D4d5b0474%2526ps%253D13740610%2526shp%253Dd05b14bd%2526shcp%253D34ff8df6%2526idc%253Dmy3%2526s%253DTIKTOK_AFFILIATE_VIRAL_VIDEO%22%2C%22placeholder_product_id%22%3A%221729427766722726591%22%2C%22placeholder_video_id%22%3A%227638513352813120788%22%7D&amp;ec_shared_reflux_scene=shop_tab_feed&amp;share_item_id=7638513352813120788&amp;source=h5_t</v>
      </c>
      <c r="O1016" s="470"/>
      <c r="P1016" s="471" t="str">
        <f>IFERROR(__xludf.DUMMYFUNCTION("""COMPUTED_VALUE"""),"https://www.tiktok.com/@harumrice/video/7638550933055556885?_r=1&amp;u_code=d6j7255963058c&amp;region=&amp;mid=7485956152430185222&amp;preview_pb=0&amp;sharer_language=&amp;_d=0&amp;ec_shared_reflux_dynamic_params=%7B%22placeholder_material_id%22%3A%227638550933055556885%22%2C%22pla"&amp;"ceholder_origin_cover%22%3A%22https%253A%252F%252Fp16-common-sign.tiktokcdn.com%252Ftos-alisg-p-0037%252Fo0Uf4wDh5CZgyAWjADugu0aMoAIeA08ofoKMQY~tplv-tiktokx-origin.jpeg%253Fdr%253D14572%2526refresh_token%253D5d5ad856%2526x-expires%253D1810717200%2526x-sig"&amp;"nature%253DnmduZHXyCJBmXziIyYx8QuuUWvg%25253D%2526t%253D4d5b0474%2526ps%253D13740610%2526shp%253Dd05b14bd%2526shcp%253D34ff8df6%2526idc%253Dmy3%2526s%253DTIKTOK_AFFILIATE_VIRAL_VIDEO%22%2C%22placeholder_product_id%22%3A%221729427766722726591%22%2C%22place"&amp;"holder_video_id%22%3A%227638550933055556885%22%7D&amp;ec_shared_reflux_scene=shop_tab_feed&amp;share_item_id=7638550933055556885&amp;source=h5_t")</f>
        <v>https://www.tiktok.com/@harumrice/video/7638550933055556885?_r=1&amp;u_code=d6j7255963058c&amp;region=&amp;mid=7485956152430185222&amp;preview_pb=0&amp;sharer_language=&amp;_d=0&amp;ec_shared_reflux_dynamic_params=%7B%22placeholder_material_id%22%3A%227638550933055556885%22%2C%22placeholder_origin_cover%22%3A%22https%253A%252F%252Fp16-common-sign.tiktokcdn.com%252Ftos-alisg-p-0037%252Fo0Uf4wDh5CZgyAWjADugu0aMoAIeA08ofoKMQY~tplv-tiktokx-origin.jpeg%253Fdr%253D14572%2526refresh_token%253D5d5ad856%2526x-expires%253D1810717200%2526x-signature%253DnmduZHXyCJBmXziIyYx8QuuUWvg%25253D%2526t%253D4d5b0474%2526ps%253D13740610%2526shp%253Dd05b14bd%2526shcp%253D34ff8df6%2526idc%253Dmy3%2526s%253DTIKTOK_AFFILIATE_VIRAL_VIDEO%22%2C%22placeholder_product_id%22%3A%221729427766722726591%22%2C%22placeholder_video_id%22%3A%227638550933055556885%22%7D&amp;ec_shared_reflux_scene=shop_tab_feed&amp;share_item_id=7638550933055556885&amp;source=h5_t</v>
      </c>
    </row>
    <row r="1017">
      <c r="A1017" s="282" t="str">
        <f>IFERROR(__xludf.DUMMYFUNCTION("""COMPUTED_VALUE"""),"MICRO")</f>
        <v>MICRO</v>
      </c>
      <c r="B1017" s="468" t="str">
        <f>IFERROR(__xludf.DUMMYFUNCTION("""COMPUTED_VALUE"""),"icha7721")</f>
        <v>icha7721</v>
      </c>
      <c r="C1017" s="283" t="str">
        <f>IFERROR(__xludf.DUMMYFUNCTION("""COMPUTED_VALUE"""),"https://www.tiktok.com/@icha7721")</f>
        <v>https://www.tiktok.com/@icha7721</v>
      </c>
      <c r="D1017" s="273"/>
      <c r="E1017" s="458">
        <f>IFERROR(__xludf.DUMMYFUNCTION("""COMPUTED_VALUE"""),0.0)</f>
        <v>0</v>
      </c>
      <c r="F1017" s="273">
        <f>IFERROR(__xludf.DUMMYFUNCTION("""COMPUTED_VALUE"""),4.0)</f>
        <v>4</v>
      </c>
      <c r="G1017" t="str">
        <f>IFERROR(__xludf.DUMMYFUNCTION("""COMPUTED_VALUE"""),"Sabun batang 1 Box ( 2 PCS )")</f>
        <v>Sabun batang 1 Box ( 2 PCS )</v>
      </c>
      <c r="H1017" s="469" t="str">
        <f>IFERROR(__xludf.DUMMYFUNCTION("""COMPUTED_VALUE"""),"Sampai")</f>
        <v>Sampai</v>
      </c>
      <c r="I1017" s="470" t="str">
        <f>IFERROR(__xludf.DUMMYFUNCTION("""COMPUTED_VALUE"""),"KIMME")</f>
        <v>KIMME</v>
      </c>
      <c r="J1017" s="471" t="str">
        <f>IFERROR(__xludf.DUMMYFUNCTION("""COMPUTED_VALUE"""),"https://www.tiktok.com/@icha7721/video/7606571838742727943?_r=1&amp;u_code=e59fc6bfdb6373&amp;region=&amp;mid=6874549691753843458&amp;preview_pb=0&amp;sharer_language=&amp;_d=0&amp;ec_shared_reflux_dynamic_params=%7B%22placeholder_material_id%22%3A%227606571838742727943%22%2C%22plac"&amp;"eholder_origin_cover%22%3A%22https%253A%252F%252Fp16-sign-sg.tiktokcdn.com%252Ftos-alisg-p-0037%252FoEfHefBMMAoNZfECAaXGwLGJOF8ymTGBQqAdRP~tplv-tiktokx-origin.jpeg%253Fdr%253D14572%2526refresh_token%253Da8f20483%2526x-expires%253D1808208000%2526x-signatur"&amp;"e%253DBFx8NNZuLxVltQ3v9Jqek8HxThs%25253D%2526t%253D4d5b0474%2526ps%253D13740610%2526shp%253Dd05b14bd%2526shcp%253D34ff8df6%2526idc%253Dmy3%2526s%253DTIKTOK_AFFILIATE_VIRAL_VIDEO%22%2C%22placeholder_product_id%22%3A%221729427766722726591%22%2C%22placeholde"&amp;"r_video_id%22%3A%227606571838742727943%22%7D&amp;ec_shared_reflux_scene=shop_tab_feed&amp;share_item_id=7606571838742727943&amp;source=h5_t")</f>
        <v>https://www.tiktok.com/@icha7721/video/7606571838742727943?_r=1&amp;u_code=e59fc6bfdb6373&amp;region=&amp;mid=6874549691753843458&amp;preview_pb=0&amp;sharer_language=&amp;_d=0&amp;ec_shared_reflux_dynamic_params=%7B%22placeholder_material_id%22%3A%227606571838742727943%22%2C%22placeholder_origin_cover%22%3A%22https%253A%252F%252Fp16-sign-sg.tiktokcdn.com%252Ftos-alisg-p-0037%252FoEfHefBMMAoNZfECAaXGwLGJOF8ymTGBQqAdRP~tplv-tiktokx-origin.jpeg%253Fdr%253D14572%2526refresh_token%253Da8f20483%2526x-expires%253D1808208000%2526x-signature%253DBFx8NNZuLxVltQ3v9Jqek8HxThs%25253D%2526t%253D4d5b0474%2526ps%253D13740610%2526shp%253Dd05b14bd%2526shcp%253D34ff8df6%2526idc%253Dmy3%2526s%253DTIKTOK_AFFILIATE_VIRAL_VIDEO%22%2C%22placeholder_product_id%22%3A%221729427766722726591%22%2C%22placeholder_video_id%22%3A%227606571838742727943%22%7D&amp;ec_shared_reflux_scene=shop_tab_feed&amp;share_item_id=7606571838742727943&amp;source=h5_t</v>
      </c>
      <c r="K1017" s="470" t="str">
        <f>IFERROR(__xludf.DUMMYFUNCTION("""COMPUTED_VALUE"""),"KIMME")</f>
        <v>KIMME</v>
      </c>
      <c r="L1017" s="471" t="str">
        <f>IFERROR(__xludf.DUMMYFUNCTION("""COMPUTED_VALUE"""),"https://www.tiktok.com/@icha7721/video/7607016454952586503?_r=1&amp;u_code=e59fc6bfdb6373&amp;region=&amp;mid=7571862769118300948&amp;preview_pb=0&amp;sharer_language=&amp;_d=0&amp;ec_shared_reflux_dynamic_params=%7B%22placeholder_material_id%22%3A%227607016454952586503%22%2C%22plac"&amp;"eholder_origin_cover%22%3A%22https%253A%252F%252Fp16-common-sign.tiktokcdn.com%252Ftos-alisg-p-0037%252FosbRyozEYIRRCQCQ0BFpAjeDg8cJEB3TfYkEu1~tplv-tiktokx-origin.jpeg%253Fdr%253D14572%2526refresh_token%253Dd00f0b9d%2526x-expires%253D1808208000%2526x-sign"&amp;"ature%253Dlm52lFf3GPd6WCJSn8SgNZcA%25252FWE%25253D%2526t%253D4d5b0474%2526ps%253D13740610%2526shp%253Dd05b14bd%2526shcp%253D34ff8df6%2526idc%253Dmy3%2526s%253DTIKTOK_AFFILIATE_VIRAL_VIDEO%22%2C%22placeholder_product_id%22%3A%221729427766722726591%22%2C%22"&amp;"placeholder_video_id%22%3A%227607016454952586503%22%7D&amp;ec_shared_reflux_scene=shop_tab_feed&amp;share_item_id=7607016454952586503&amp;source=h5_t")</f>
        <v>https://www.tiktok.com/@icha7721/video/7607016454952586503?_r=1&amp;u_code=e59fc6bfdb6373&amp;region=&amp;mid=7571862769118300948&amp;preview_pb=0&amp;sharer_language=&amp;_d=0&amp;ec_shared_reflux_dynamic_params=%7B%22placeholder_material_id%22%3A%227607016454952586503%22%2C%22placeholder_origin_cover%22%3A%22https%253A%252F%252Fp16-common-sign.tiktokcdn.com%252Ftos-alisg-p-0037%252FosbRyozEYIRRCQCQ0BFpAjeDg8cJEB3TfYkEu1~tplv-tiktokx-origin.jpeg%253Fdr%253D14572%2526refresh_token%253Dd00f0b9d%2526x-expires%253D1808208000%2526x-signature%253Dlm52lFf3GPd6WCJSn8SgNZcA%25252FWE%25253D%2526t%253D4d5b0474%2526ps%253D13740610%2526shp%253Dd05b14bd%2526shcp%253D34ff8df6%2526idc%253Dmy3%2526s%253DTIKTOK_AFFILIATE_VIRAL_VIDEO%22%2C%22placeholder_product_id%22%3A%221729427766722726591%22%2C%22placeholder_video_id%22%3A%227607016454952586503%22%7D&amp;ec_shared_reflux_scene=shop_tab_feed&amp;share_item_id=7607016454952586503&amp;source=h5_t</v>
      </c>
      <c r="M1017" s="470"/>
      <c r="N1017" s="471" t="str">
        <f>IFERROR(__xludf.DUMMYFUNCTION("""COMPUTED_VALUE"""),"https://www.tiktok.com/@icha7721/video/7607312925904145671?_r=1&amp;u_code=e59fc6bfdb6373&amp;region=&amp;mid=7503437489077209862&amp;preview_pb=0&amp;sharer_language=&amp;_d=0&amp;ec_shared_reflux_dynamic_params=%7B%22placeholder_material_id%22%3A%227607312925904145671%22%2C%22plac"&amp;"eholder_origin_cover%22%3A%22https%253A%252F%252Fp16-common-sign.tiktokcdn.com%252Ftos-alisg-p-0037%252FoUEnuZQgcGAF8EpmeiR4kkfBYpDBBBuQcBtpsS~tplv-tiktokx-origin.jpeg%253Fdr%253D14572%2526refresh_token%253D85fd4c8d%2526x-expires%253D1808208000%2526x-sign"&amp;"ature%253Dy%25252FgGySVwKa%25252BlHmgAIlKUu3OqUTc%25253D%2526t%253D4d5b0474%2526ps%253D13740610%2526shp%253Dd05b14bd%2526shcp%253D34ff8df6%2526idc%253Dmy3%2526s%253DTIKTOK_AFFILIATE_VIRAL_VIDEO%22%2C%22placeholder_product_id%22%3A%221729729730555512511%22"&amp;"%2C%22placeholder_video_id%22%3A%227607312925904145671%22%7D&amp;ec_shared_reflux_scene=shop_tab_feed&amp;share_item_id=7607312925904145671&amp;source=h5_t")</f>
        <v>https://www.tiktok.com/@icha7721/video/7607312925904145671?_r=1&amp;u_code=e59fc6bfdb6373&amp;region=&amp;mid=7503437489077209862&amp;preview_pb=0&amp;sharer_language=&amp;_d=0&amp;ec_shared_reflux_dynamic_params=%7B%22placeholder_material_id%22%3A%227607312925904145671%22%2C%22placeholder_origin_cover%22%3A%22https%253A%252F%252Fp16-common-sign.tiktokcdn.com%252Ftos-alisg-p-0037%252FoUEnuZQgcGAF8EpmeiR4kkfBYpDBBBuQcBtpsS~tplv-tiktokx-origin.jpeg%253Fdr%253D14572%2526refresh_token%253D85fd4c8d%2526x-expires%253D1808208000%2526x-signature%253Dy%25252FgGySVwKa%25252BlHmgAIlKUu3OqUTc%25253D%2526t%253D4d5b0474%2526ps%253D13740610%2526shp%253Dd05b14bd%2526shcp%253D34ff8df6%2526idc%253Dmy3%2526s%253DTIKTOK_AFFILIATE_VIRAL_VIDEO%22%2C%22placeholder_product_id%22%3A%221729729730555512511%22%2C%22placeholder_video_id%22%3A%227607312925904145671%22%7D&amp;ec_shared_reflux_scene=shop_tab_feed&amp;share_item_id=7607312925904145671&amp;source=h5_t</v>
      </c>
      <c r="O1017" s="470"/>
      <c r="P1017" s="471" t="str">
        <f>IFERROR(__xludf.DUMMYFUNCTION("""COMPUTED_VALUE"""),"https://www.tiktok.com/@icha7721/video/7609176646607752455?_r=1&amp;u_code=e59fc6bfdb6373&amp;region=&amp;mid=7147549859652979482&amp;preview_pb=0&amp;sharer_language=&amp;_d=0&amp;ec_shared_reflux_dynamic_params=%7B%22placeholder_material_id%22%3A%227609176646607752455%22%2C%22plac"&amp;"eholder_origin_cover%22%3A%22https%253A%252F%252Fp16-sign-sg.tiktokcdn.com%252Ftos-alisg-p-0037%252Fo4ensGMwQA4H45CIGDcIa6L6LQEjAFLeTyCn4e~tplv-tiktokx-origin.jpeg%253Fdr%253D14572%2526refresh_token%253D42770489%2526x-expires%253D1808208000%2526x-signatur"&amp;"e%253DPxdeVgx1Sa01J%25252FVYsHYKFnaDP%25252Fg%25253D%2526t%253D4d5b0474%2526ps%253D13740610%2526shp%253Dd05b14bd%2526shcp%253D34ff8df6%2526idc%253Dmy3%2526s%253DTIKTOK_AFFILIATE_VIRAL_VIDEO%22%2C%22placeholder_product_id%22%3A%221729427766722726591%22%2C%"&amp;"22placeholder_video_id%22%3A%227609176646607752455%22%7D&amp;ec_shared_reflux_scene=shop_tab_feed&amp;share_item_id=7609176646607752455&amp;source=h5_t")</f>
        <v>https://www.tiktok.com/@icha7721/video/7609176646607752455?_r=1&amp;u_code=e59fc6bfdb6373&amp;region=&amp;mid=7147549859652979482&amp;preview_pb=0&amp;sharer_language=&amp;_d=0&amp;ec_shared_reflux_dynamic_params=%7B%22placeholder_material_id%22%3A%227609176646607752455%22%2C%22placeholder_origin_cover%22%3A%22https%253A%252F%252Fp16-sign-sg.tiktokcdn.com%252Ftos-alisg-p-0037%252Fo4ensGMwQA4H45CIGDcIa6L6LQEjAFLeTyCn4e~tplv-tiktokx-origin.jpeg%253Fdr%253D14572%2526refresh_token%253D42770489%2526x-expires%253D1808208000%2526x-signature%253DPxdeVgx1Sa01J%25252FVYsHYKFnaDP%25252Fg%25253D%2526t%253D4d5b0474%2526ps%253D13740610%2526shp%253Dd05b14bd%2526shcp%253D34ff8df6%2526idc%253Dmy3%2526s%253DTIKTOK_AFFILIATE_VIRAL_VIDEO%22%2C%22placeholder_product_id%22%3A%221729427766722726591%22%2C%22placeholder_video_id%22%3A%227609176646607752455%22%7D&amp;ec_shared_reflux_scene=shop_tab_feed&amp;share_item_id=7609176646607752455&amp;source=h5_t</v>
      </c>
    </row>
    <row r="1018">
      <c r="A1018" s="282" t="str">
        <f>IFERROR(__xludf.DUMMYFUNCTION("""COMPUTED_VALUE"""),"MICRO")</f>
        <v>MICRO</v>
      </c>
      <c r="B1018" s="468" t="str">
        <f>IFERROR(__xludf.DUMMYFUNCTION("""COMPUTED_VALUE"""),"syifaaulx ")</f>
        <v>syifaaulx </v>
      </c>
      <c r="C1018" s="283" t="str">
        <f>IFERROR(__xludf.DUMMYFUNCTION("""COMPUTED_VALUE"""),"https://www.tiktok.com/@syifaaulx ")</f>
        <v>https://www.tiktok.com/@syifaaulx </v>
      </c>
      <c r="D1018" s="273">
        <f>IFERROR(__xludf.DUMMYFUNCTION("""COMPUTED_VALUE"""),8.1265216161E10)</f>
        <v>81265216161</v>
      </c>
      <c r="E1018" s="458">
        <f>IFERROR(__xludf.DUMMYFUNCTION("""COMPUTED_VALUE"""),100000.0)</f>
        <v>100000</v>
      </c>
      <c r="F1018" s="273">
        <f>IFERROR(__xludf.DUMMYFUNCTION("""COMPUTED_VALUE"""),1.0)</f>
        <v>1</v>
      </c>
      <c r="G1018" t="str">
        <f>IFERROR(__xludf.DUMMYFUNCTION("""COMPUTED_VALUE"""),"Sabun batang 1 Box ( 2 PCS )")</f>
        <v>Sabun batang 1 Box ( 2 PCS )</v>
      </c>
      <c r="H1018" s="469" t="str">
        <f>IFERROR(__xludf.DUMMYFUNCTION("""COMPUTED_VALUE"""),"Sampai")</f>
        <v>Sampai</v>
      </c>
      <c r="I1018" s="470" t="str">
        <f>IFERROR(__xludf.DUMMYFUNCTION("""COMPUTED_VALUE"""),"KIMME")</f>
        <v>KIMME</v>
      </c>
      <c r="J1018" t="str">
        <f>IFERROR(__xludf.DUMMYFUNCTION("""COMPUTED_VALUE"""),"⁠https://vt.tiktok.com/ZSxMxbnTo/")</f>
        <v>⁠https://vt.tiktok.com/ZSxMxbnTo/</v>
      </c>
      <c r="K1018" s="470" t="str">
        <f>IFERROR(__xludf.DUMMYFUNCTION("""COMPUTED_VALUE"""),"KIMME")</f>
        <v>KIMME</v>
      </c>
      <c r="L1018" t="str">
        <f>IFERROR(__xludf.DUMMYFUNCTION("""COMPUTED_VALUE"""),"⁠https://vt.tiktok.com/ZSxMxvgsj/")</f>
        <v>⁠https://vt.tiktok.com/ZSxMxvgsj/</v>
      </c>
      <c r="M1018" s="470"/>
      <c r="N1018" t="str">
        <f>IFERROR(__xludf.DUMMYFUNCTION("""COMPUTED_VALUE"""),"⁠https://vt.tiktok.com/ZSxMxvfCA/")</f>
        <v>⁠https://vt.tiktok.com/ZSxMxvfCA/</v>
      </c>
      <c r="O1018" s="470"/>
      <c r="P1018" t="str">
        <f>IFERROR(__xludf.DUMMYFUNCTION("""COMPUTED_VALUE"""),"⁠https://vt.tiktok.com/ZSxMxWUfJ/")</f>
        <v>⁠https://vt.tiktok.com/ZSxMxWUfJ/</v>
      </c>
    </row>
    <row r="1019">
      <c r="A1019" s="282" t="str">
        <f>IFERROR(__xludf.DUMMYFUNCTION("""COMPUTED_VALUE"""),"MICRO")</f>
        <v>MICRO</v>
      </c>
      <c r="B1019" s="468" t="str">
        <f>IFERROR(__xludf.DUMMYFUNCTION("""COMPUTED_VALUE"""),"Beautyyy.bloom")</f>
        <v>Beautyyy.bloom</v>
      </c>
      <c r="C1019" s="283" t="str">
        <f>IFERROR(__xludf.DUMMYFUNCTION("""COMPUTED_VALUE"""),"https://www.tiktok.com/@Beautyyy.bloom")</f>
        <v>https://www.tiktok.com/@Beautyyy.bloom</v>
      </c>
      <c r="D1019" s="273">
        <f>IFERROR(__xludf.DUMMYFUNCTION("""COMPUTED_VALUE"""),8.5173030693E10)</f>
        <v>85173030693</v>
      </c>
      <c r="E1019" s="458">
        <f>IFERROR(__xludf.DUMMYFUNCTION("""COMPUTED_VALUE"""),0.0)</f>
        <v>0</v>
      </c>
      <c r="F1019" s="273">
        <f>IFERROR(__xludf.DUMMYFUNCTION("""COMPUTED_VALUE"""),4.0)</f>
        <v>4</v>
      </c>
      <c r="G1019" t="str">
        <f>IFERROR(__xludf.DUMMYFUNCTION("""COMPUTED_VALUE"""),"Sabun batang 1 Box ( 2 PCS )")</f>
        <v>Sabun batang 1 Box ( 2 PCS )</v>
      </c>
      <c r="H1019" s="469" t="str">
        <f>IFERROR(__xludf.DUMMYFUNCTION("""COMPUTED_VALUE"""),"Sampai")</f>
        <v>Sampai</v>
      </c>
      <c r="I1019" s="470" t="str">
        <f>IFERROR(__xludf.DUMMYFUNCTION("""COMPUTED_VALUE"""),"KIMME")</f>
        <v>KIMME</v>
      </c>
      <c r="J1019" t="str">
        <f>IFERROR(__xludf.DUMMYFUNCTION("""COMPUTED_VALUE"""),"⁠https://vt.tiktok.com/ZSxMx3ud2/")</f>
        <v>⁠https://vt.tiktok.com/ZSxMx3ud2/</v>
      </c>
      <c r="K1019" s="470" t="str">
        <f>IFERROR(__xludf.DUMMYFUNCTION("""COMPUTED_VALUE"""),"KIMME")</f>
        <v>KIMME</v>
      </c>
      <c r="L1019" t="str">
        <f>IFERROR(__xludf.DUMMYFUNCTION("""COMPUTED_VALUE"""),"⁠https://vt.tiktok.com/ZSxMQd2mB/")</f>
        <v>⁠https://vt.tiktok.com/ZSxMQd2mB/</v>
      </c>
      <c r="M1019" s="470"/>
      <c r="N1019" t="str">
        <f>IFERROR(__xludf.DUMMYFUNCTION("""COMPUTED_VALUE"""),"⁠https://vt.tiktok.com/ZSxknd7Sr/")</f>
        <v>⁠https://vt.tiktok.com/ZSxknd7Sr/</v>
      </c>
      <c r="O1019" s="470"/>
      <c r="P1019" s="471" t="str">
        <f>IFERROR(__xludf.DUMMYFUNCTION("""COMPUTED_VALUE"""),"https://vt.tiktok.com/ZSxktnQmL/")</f>
        <v>https://vt.tiktok.com/ZSxktnQmL/</v>
      </c>
    </row>
    <row r="1020">
      <c r="A1020" s="282" t="str">
        <f>IFERROR(__xludf.DUMMYFUNCTION("""COMPUTED_VALUE"""),"MICRO")</f>
        <v>MICRO</v>
      </c>
      <c r="B1020" s="468" t="str">
        <f>IFERROR(__xludf.DUMMYFUNCTION("""COMPUTED_VALUE"""),"isra.ayu.wardani")</f>
        <v>isra.ayu.wardani</v>
      </c>
      <c r="C1020" s="283" t="str">
        <f>IFERROR(__xludf.DUMMYFUNCTION("""COMPUTED_VALUE"""),"https://www.tiktok.com/@isra.ayu.wardani")</f>
        <v>https://www.tiktok.com/@isra.ayu.wardani</v>
      </c>
      <c r="D1020" s="273">
        <f>IFERROR(__xludf.DUMMYFUNCTION("""COMPUTED_VALUE"""),8.1370136822E10)</f>
        <v>81370136822</v>
      </c>
      <c r="E1020" s="458">
        <f>IFERROR(__xludf.DUMMYFUNCTION("""COMPUTED_VALUE"""),0.0)</f>
        <v>0</v>
      </c>
      <c r="F1020" s="273">
        <f>IFERROR(__xludf.DUMMYFUNCTION("""COMPUTED_VALUE"""),4.0)</f>
        <v>4</v>
      </c>
      <c r="G1020" t="str">
        <f>IFERROR(__xludf.DUMMYFUNCTION("""COMPUTED_VALUE"""),"Sabun batang 1 Box ( 2 PCS )")</f>
        <v>Sabun batang 1 Box ( 2 PCS )</v>
      </c>
      <c r="H1020" s="469" t="str">
        <f>IFERROR(__xludf.DUMMYFUNCTION("""COMPUTED_VALUE"""),"Sampai")</f>
        <v>Sampai</v>
      </c>
      <c r="I1020" s="470" t="str">
        <f>IFERROR(__xludf.DUMMYFUNCTION("""COMPUTED_VALUE"""),"KIMME")</f>
        <v>KIMME</v>
      </c>
      <c r="J1020" t="str">
        <f>IFERROR(__xludf.DUMMYFUNCTION("""COMPUTED_VALUE"""),"⁠⁠https://vt.tiktok.com/ZSxktsf6J/")</f>
        <v>⁠⁠https://vt.tiktok.com/ZSxktsf6J/</v>
      </c>
      <c r="K1020" s="470" t="str">
        <f>IFERROR(__xludf.DUMMYFUNCTION("""COMPUTED_VALUE"""),"KIMME")</f>
        <v>KIMME</v>
      </c>
      <c r="L1020" t="str">
        <f>IFERROR(__xludf.DUMMYFUNCTION("""COMPUTED_VALUE"""),"⁠https://vt.tiktok.com/ZSxktWWvp/")</f>
        <v>⁠https://vt.tiktok.com/ZSxktWWvp/</v>
      </c>
      <c r="M1020" s="470"/>
      <c r="N1020" t="str">
        <f>IFERROR(__xludf.DUMMYFUNCTION("""COMPUTED_VALUE"""),"⁠https://vt.tiktok.com/ZSxktwqVj/")</f>
        <v>⁠https://vt.tiktok.com/ZSxktwqVj/</v>
      </c>
      <c r="O1020" s="470"/>
      <c r="P1020" t="str">
        <f>IFERROR(__xludf.DUMMYFUNCTION("""COMPUTED_VALUE"""),"⁠https://vt.tiktok.com/ZSxktgAMr/")</f>
        <v>⁠https://vt.tiktok.com/ZSxktgAMr/</v>
      </c>
    </row>
    <row r="1021">
      <c r="A1021" s="282" t="str">
        <f>IFERROR(__xludf.DUMMYFUNCTION("""COMPUTED_VALUE"""),"MICRO")</f>
        <v>MICRO</v>
      </c>
      <c r="B1021" s="468" t="str">
        <f>IFERROR(__xludf.DUMMYFUNCTION("""COMPUTED_VALUE"""),"ham_za253")</f>
        <v>ham_za253</v>
      </c>
      <c r="C1021" s="283" t="str">
        <f>IFERROR(__xludf.DUMMYFUNCTION("""COMPUTED_VALUE"""),"https://www.tiktok.com/@ham_za253")</f>
        <v>https://www.tiktok.com/@ham_za253</v>
      </c>
      <c r="D1021" s="273">
        <f>IFERROR(__xludf.DUMMYFUNCTION("""COMPUTED_VALUE"""),8.82019535702E11)</f>
        <v>882019535702</v>
      </c>
      <c r="E1021" s="458">
        <f>IFERROR(__xludf.DUMMYFUNCTION("""COMPUTED_VALUE"""),0.0)</f>
        <v>0</v>
      </c>
      <c r="F1021" s="273">
        <f>IFERROR(__xludf.DUMMYFUNCTION("""COMPUTED_VALUE"""),4.0)</f>
        <v>4</v>
      </c>
      <c r="G1021" t="str">
        <f>IFERROR(__xludf.DUMMYFUNCTION("""COMPUTED_VALUE"""),"Sabun batang 1 Box ( 2 PCS )")</f>
        <v>Sabun batang 1 Box ( 2 PCS )</v>
      </c>
      <c r="H1021" s="469" t="str">
        <f>IFERROR(__xludf.DUMMYFUNCTION("""COMPUTED_VALUE"""),"Sampai")</f>
        <v>Sampai</v>
      </c>
      <c r="I1021" s="470" t="str">
        <f>IFERROR(__xludf.DUMMYFUNCTION("""COMPUTED_VALUE"""),"KIMME")</f>
        <v>KIMME</v>
      </c>
      <c r="J1021" t="str">
        <f>IFERROR(__xludf.DUMMYFUNCTION("""COMPUTED_VALUE"""),"⁠https://vt.tiktok.com/ZSxktqfHQ/")</f>
        <v>⁠https://vt.tiktok.com/ZSxktqfHQ/</v>
      </c>
      <c r="K1021" s="470" t="str">
        <f>IFERROR(__xludf.DUMMYFUNCTION("""COMPUTED_VALUE"""),"KIMME")</f>
        <v>KIMME</v>
      </c>
      <c r="L1021" t="str">
        <f>IFERROR(__xludf.DUMMYFUNCTION("""COMPUTED_VALUE"""),"⁠https://vt.tiktok.com/ZSxknU3yf/")</f>
        <v>⁠https://vt.tiktok.com/ZSxknU3yf/</v>
      </c>
      <c r="M1021" s="470"/>
      <c r="N1021" t="str">
        <f>IFERROR(__xludf.DUMMYFUNCTION("""COMPUTED_VALUE"""),"⁠https://vt.tiktok.com/ZSxknjajJ/")</f>
        <v>⁠https://vt.tiktok.com/ZSxknjajJ/</v>
      </c>
      <c r="O1021" s="470"/>
      <c r="P1021" t="str">
        <f>IFERROR(__xludf.DUMMYFUNCTION("""COMPUTED_VALUE"""),"⁠https://vt.tiktok.com/ZSxknfU6d/")</f>
        <v>⁠https://vt.tiktok.com/ZSxknfU6d/</v>
      </c>
    </row>
    <row r="1022">
      <c r="A1022" s="282" t="str">
        <f>IFERROR(__xludf.DUMMYFUNCTION("""COMPUTED_VALUE"""),"MICRO")</f>
        <v>MICRO</v>
      </c>
      <c r="B1022" s="468" t="str">
        <f>IFERROR(__xludf.DUMMYFUNCTION("""COMPUTED_VALUE"""),"lagistasenja17 ")</f>
        <v>lagistasenja17 </v>
      </c>
      <c r="C1022" s="283" t="str">
        <f>IFERROR(__xludf.DUMMYFUNCTION("""COMPUTED_VALUE"""),"https://www.tiktok.com/@lagistasenja17 ")</f>
        <v>https://www.tiktok.com/@lagistasenja17 </v>
      </c>
      <c r="D1022" s="273">
        <f>IFERROR(__xludf.DUMMYFUNCTION("""COMPUTED_VALUE"""),8.570303607E10)</f>
        <v>85703036070</v>
      </c>
      <c r="E1022" s="458">
        <f>IFERROR(__xludf.DUMMYFUNCTION("""COMPUTED_VALUE"""),0.0)</f>
        <v>0</v>
      </c>
      <c r="F1022" s="273">
        <f>IFERROR(__xludf.DUMMYFUNCTION("""COMPUTED_VALUE"""),1.0)</f>
        <v>1</v>
      </c>
      <c r="G1022" t="str">
        <f>IFERROR(__xludf.DUMMYFUNCTION("""COMPUTED_VALUE"""),"Sabun batang 1 Box ( 2 PCS )")</f>
        <v>Sabun batang 1 Box ( 2 PCS )</v>
      </c>
      <c r="H1022" s="469" t="str">
        <f>IFERROR(__xludf.DUMMYFUNCTION("""COMPUTED_VALUE"""),"Sampai")</f>
        <v>Sampai</v>
      </c>
      <c r="I1022" s="470" t="str">
        <f>IFERROR(__xludf.DUMMYFUNCTION("""COMPUTED_VALUE"""),"KIMME")</f>
        <v>KIMME</v>
      </c>
      <c r="J1022" s="471" t="str">
        <f>IFERROR(__xludf.DUMMYFUNCTION("""COMPUTED_VALUE"""),"https://www.tiktok.com/@hellogirl.y/video/7610581429428243720")</f>
        <v>https://www.tiktok.com/@hellogirl.y/video/7610581429428243720</v>
      </c>
      <c r="K1022" s="470" t="str">
        <f>IFERROR(__xludf.DUMMYFUNCTION("""COMPUTED_VALUE"""),"KIMME")</f>
        <v>KIMME</v>
      </c>
      <c r="L1022" s="471" t="str">
        <f>IFERROR(__xludf.DUMMYFUNCTION("""COMPUTED_VALUE"""),"https://www.tiktok.com/@hellogirl.y/video/7611642389463158024")</f>
        <v>https://www.tiktok.com/@hellogirl.y/video/7611642389463158024</v>
      </c>
      <c r="M1022" s="470"/>
      <c r="N1022" s="471" t="str">
        <f>IFERROR(__xludf.DUMMYFUNCTION("""COMPUTED_VALUE"""),"https://www.tiktok.com/@hellogirl.y/video/7613158907346816264")</f>
        <v>https://www.tiktok.com/@hellogirl.y/video/7613158907346816264</v>
      </c>
      <c r="O1022" s="470"/>
      <c r="P1022" s="471" t="str">
        <f>IFERROR(__xludf.DUMMYFUNCTION("""COMPUTED_VALUE"""),"https://vt.tiktok.com/ZS9f4X3cr/")</f>
        <v>https://vt.tiktok.com/ZS9f4X3cr/</v>
      </c>
    </row>
    <row r="1023">
      <c r="A1023" s="282" t="str">
        <f>IFERROR(__xludf.DUMMYFUNCTION("""COMPUTED_VALUE"""),"MICRO")</f>
        <v>MICRO</v>
      </c>
      <c r="B1023" s="468" t="str">
        <f>IFERROR(__xludf.DUMMYFUNCTION("""COMPUTED_VALUE"""),"skincarefor.u")</f>
        <v>skincarefor.u</v>
      </c>
      <c r="C1023" s="283" t="str">
        <f>IFERROR(__xludf.DUMMYFUNCTION("""COMPUTED_VALUE"""),"https://www.tiktok.com/@skincarefor.u")</f>
        <v>https://www.tiktok.com/@skincarefor.u</v>
      </c>
      <c r="D1023" s="273">
        <f>IFERROR(__xludf.DUMMYFUNCTION("""COMPUTED_VALUE"""),8.5954124924E10)</f>
        <v>85954124924</v>
      </c>
      <c r="E1023" s="458">
        <f>IFERROR(__xludf.DUMMYFUNCTION("""COMPUTED_VALUE"""),0.0)</f>
        <v>0</v>
      </c>
      <c r="F1023" s="273">
        <f>IFERROR(__xludf.DUMMYFUNCTION("""COMPUTED_VALUE"""),4.0)</f>
        <v>4</v>
      </c>
      <c r="G1023" t="str">
        <f>IFERROR(__xludf.DUMMYFUNCTION("""COMPUTED_VALUE"""),"Sabun batang 1 Box ( 2 PCS )")</f>
        <v>Sabun batang 1 Box ( 2 PCS )</v>
      </c>
      <c r="H1023" s="469" t="str">
        <f>IFERROR(__xludf.DUMMYFUNCTION("""COMPUTED_VALUE"""),"Sampai")</f>
        <v>Sampai</v>
      </c>
      <c r="I1023" s="470" t="str">
        <f>IFERROR(__xludf.DUMMYFUNCTION("""COMPUTED_VALUE"""),"KIMME")</f>
        <v>KIMME</v>
      </c>
      <c r="J1023" t="str">
        <f>IFERROR(__xludf.DUMMYFUNCTION("""COMPUTED_VALUE"""),"⁠https://vt.tiktok.com/ZSxSeC8xa/")</f>
        <v>⁠https://vt.tiktok.com/ZSxSeC8xa/</v>
      </c>
      <c r="K1023" s="470" t="str">
        <f>IFERROR(__xludf.DUMMYFUNCTION("""COMPUTED_VALUE"""),"KIMME")</f>
        <v>KIMME</v>
      </c>
      <c r="L1023" t="str">
        <f>IFERROR(__xludf.DUMMYFUNCTION("""COMPUTED_VALUE"""),"⁠https://vt.tiktok.com/ZSxSem8XG/")</f>
        <v>⁠https://vt.tiktok.com/ZSxSem8XG/</v>
      </c>
      <c r="M1023" s="470"/>
      <c r="N1023" t="str">
        <f>IFERROR(__xludf.DUMMYFUNCTION("""COMPUTED_VALUE"""),"⁠https://vt.tiktok.com/ZSxSesHfM/")</f>
        <v>⁠https://vt.tiktok.com/ZSxSesHfM/</v>
      </c>
      <c r="O1023" s="470"/>
      <c r="P1023" t="str">
        <f>IFERROR(__xludf.DUMMYFUNCTION("""COMPUTED_VALUE"""),"⁠https://vt.tiktok.com/ZSxSe4NCd/")</f>
        <v>⁠https://vt.tiktok.com/ZSxSe4NCd/</v>
      </c>
    </row>
    <row r="1024">
      <c r="A1024" s="282" t="str">
        <f>IFERROR(__xludf.DUMMYFUNCTION("""COMPUTED_VALUE"""),"MICRO")</f>
        <v>MICRO</v>
      </c>
      <c r="B1024" s="468" t="str">
        <f>IFERROR(__xludf.DUMMYFUNCTION("""COMPUTED_VALUE"""),"avril.109")</f>
        <v>avril.109</v>
      </c>
      <c r="C1024" s="283" t="str">
        <f>IFERROR(__xludf.DUMMYFUNCTION("""COMPUTED_VALUE"""),"https://www.tiktok.com/@avril.109")</f>
        <v>https://www.tiktok.com/@avril.109</v>
      </c>
      <c r="D1024" s="273">
        <f>IFERROR(__xludf.DUMMYFUNCTION("""COMPUTED_VALUE"""),8.5269834172E10)</f>
        <v>85269834172</v>
      </c>
      <c r="E1024" s="458">
        <f>IFERROR(__xludf.DUMMYFUNCTION("""COMPUTED_VALUE"""),350000.0)</f>
        <v>350000</v>
      </c>
      <c r="F1024" s="273">
        <f>IFERROR(__xludf.DUMMYFUNCTION("""COMPUTED_VALUE"""),2.0)</f>
        <v>2</v>
      </c>
      <c r="G1024" t="str">
        <f>IFERROR(__xludf.DUMMYFUNCTION("""COMPUTED_VALUE"""),"Sabun batang 1 Box ( 2 PCS )")</f>
        <v>Sabun batang 1 Box ( 2 PCS )</v>
      </c>
      <c r="H1024" s="469" t="str">
        <f>IFERROR(__xludf.DUMMYFUNCTION("""COMPUTED_VALUE"""),"Sampai")</f>
        <v>Sampai</v>
      </c>
      <c r="I1024" s="470" t="str">
        <f>IFERROR(__xludf.DUMMYFUNCTION("""COMPUTED_VALUE"""),"KIMME")</f>
        <v>KIMME</v>
      </c>
      <c r="J1024" s="471" t="str">
        <f>IFERROR(__xludf.DUMMYFUNCTION("""COMPUTED_VALUE"""),"https://vt.tiktok.com/ZSxRUV85X/")</f>
        <v>https://vt.tiktok.com/ZSxRUV85X/</v>
      </c>
      <c r="K1024" s="470" t="str">
        <f>IFERROR(__xludf.DUMMYFUNCTION("""COMPUTED_VALUE"""),"KIMME")</f>
        <v>KIMME</v>
      </c>
      <c r="L1024" s="471" t="str">
        <f>IFERROR(__xludf.DUMMYFUNCTION("""COMPUTED_VALUE"""),"https://vt.tiktok.com/ZSxR3ueBv/")</f>
        <v>https://vt.tiktok.com/ZSxR3ueBv/</v>
      </c>
      <c r="M1024" s="470"/>
      <c r="N1024" s="471" t="str">
        <f>IFERROR(__xludf.DUMMYFUNCTION("""COMPUTED_VALUE"""),"https://www.tiktok.com/@harumrice/video/7638622349079694613?_d=0&amp;_r=1&amp;ec_shared_reflux_dynamic_params=%7B%22placeholder_material_id%22%3A%227638622349079694613%22%2C%22placeholder_origin_cover%22%3A%22https%253A%252F%252Fp19-common-sign.tiktokcdn.com%252F"&amp;"tos-alisg-p-0037%252FoUOfOirRAprIlBz9IR1ArDLU8siCA1BqwCABI8~tplv-tiktokx-origin.jpeg%253Fdr%253D14572%2526refresh_token%253Dbcb322c9%2526x-expires%253D1810717200%2526x-signature%253Dbrh7pShlGRc829TJHJx50Uh1vL0%25253D%2526t%253D4d5b0474%2526ps%253D13740610"&amp;"%2526shp%253Dd05b14bd%2526shcp%253D34ff8df6%2526idc%253Dmy3%2526s%253DTIKTOK_AFFILIATE_VIRAL_VIDEO%22%2C%22placeholder_product_id%22%3A%221729427766722726591%22%2C%22placeholder_video_id%22%3A%227638622349079694613%22%7D&amp;ec_shared_reflux_scene=shop_tab_fe"&amp;"ed&amp;mid=7617088569945934613&amp;preview_pb=0&amp;region=&amp;share_item_id=7638622349079694613&amp;sharer_language=&amp;source=h5_t&amp;u_code=d6j7255963058c")</f>
        <v>https://www.tiktok.com/@harumrice/video/7638622349079694613?_d=0&amp;_r=1&amp;ec_shared_reflux_dynamic_params=%7B%22placeholder_material_id%22%3A%227638622349079694613%22%2C%22placeholder_origin_cover%22%3A%22https%253A%252F%252Fp19-common-sign.tiktokcdn.com%252Ftos-alisg-p-0037%252FoUOfOirRAprIlBz9IR1ArDLU8siCA1BqwCABI8~tplv-tiktokx-origin.jpeg%253Fdr%253D14572%2526refresh_token%253Dbcb322c9%2526x-expires%253D1810717200%2526x-signature%253Dbrh7pShlGRc829TJHJx50Uh1vL0%25253D%2526t%253D4d5b0474%2526ps%253D13740610%2526shp%253Dd05b14bd%2526shcp%253D34ff8df6%2526idc%253Dmy3%2526s%253DTIKTOK_AFFILIATE_VIRAL_VIDEO%22%2C%22placeholder_product_id%22%3A%221729427766722726591%22%2C%22placeholder_video_id%22%3A%227638622349079694613%22%7D&amp;ec_shared_reflux_scene=shop_tab_feed&amp;mid=7617088569945934613&amp;preview_pb=0&amp;region=&amp;share_item_id=7638622349079694613&amp;sharer_language=&amp;source=h5_t&amp;u_code=d6j7255963058c</v>
      </c>
      <c r="O1024" s="470"/>
      <c r="P1024" s="471" t="str">
        <f>IFERROR(__xludf.DUMMYFUNCTION("""COMPUTED_VALUE"""),"https://www.tiktok.com/@harumrice/video/7637473778439556372?_r=1&amp;u_code=d6j7255963058c&amp;region=&amp;mid=7581739577287805704&amp;preview_pb=0&amp;sharer_language=&amp;_d=0&amp;ec_shared_reflux_dynamic_params=%7B%22placeholder_material_id%22%3A%227637473778439556372%22%2C%22pla"&amp;"ceholder_origin_cover%22%3A%22https%253A%252F%252Fp16-common-sign.tiktokcdn.com%252Ftos-alisg-p-0037%252Foom2HPM5BXAMA4FexaQwyBR7GR4f8Gh3nrffAl~tplv-tiktokx-origin.jpeg%253Fdr%253D14572%2526refresh_token%253D4d0d6e72%2526x-expires%253D1810717200%2526x-sig"&amp;"nature%253D%25252BmGXIo7QcySz3FTaGnlNSEcR5Ec%25253D%2526t%253D4d5b0474%2526ps%253D13740610%2526shp%253Dd05b14bd%2526shcp%253D34ff8df6%2526idc%253Dmy3%2526s%253DTIKTOK_AFFILIATE_VIRAL_VIDEO%22%2C%22placeholder_product_id%22%3A%221729427766722726591%22%2C%2"&amp;"2placeholder_video_id%22%3A%227637473778439556372%22%7D&amp;ec_shared_reflux_scene=shop_tab_feed&amp;share_item_id=7637473778439556372&amp;source=h5_t")</f>
        <v>https://www.tiktok.com/@harumrice/video/7637473778439556372?_r=1&amp;u_code=d6j7255963058c&amp;region=&amp;mid=7581739577287805704&amp;preview_pb=0&amp;sharer_language=&amp;_d=0&amp;ec_shared_reflux_dynamic_params=%7B%22placeholder_material_id%22%3A%227637473778439556372%22%2C%22placeholder_origin_cover%22%3A%22https%253A%252F%252Fp16-common-sign.tiktokcdn.com%252Ftos-alisg-p-0037%252Foom2HPM5BXAMA4FexaQwyBR7GR4f8Gh3nrffAl~tplv-tiktokx-origin.jpeg%253Fdr%253D14572%2526refresh_token%253D4d0d6e72%2526x-expires%253D1810717200%2526x-signature%253D%25252BmGXIo7QcySz3FTaGnlNSEcR5Ec%25253D%2526t%253D4d5b0474%2526ps%253D13740610%2526shp%253Dd05b14bd%2526shcp%253D34ff8df6%2526idc%253Dmy3%2526s%253DTIKTOK_AFFILIATE_VIRAL_VIDEO%22%2C%22placeholder_product_id%22%3A%221729427766722726591%22%2C%22placeholder_video_id%22%3A%227637473778439556372%22%7D&amp;ec_shared_reflux_scene=shop_tab_feed&amp;share_item_id=7637473778439556372&amp;source=h5_t</v>
      </c>
    </row>
    <row r="1025">
      <c r="A1025" s="282" t="str">
        <f>IFERROR(__xludf.DUMMYFUNCTION("""COMPUTED_VALUE"""),"MICRO")</f>
        <v>MICRO</v>
      </c>
      <c r="B1025" s="468" t="str">
        <f>IFERROR(__xludf.DUMMYFUNCTION("""COMPUTED_VALUE"""),"amabelaska")</f>
        <v>amabelaska</v>
      </c>
      <c r="C1025" s="283" t="str">
        <f>IFERROR(__xludf.DUMMYFUNCTION("""COMPUTED_VALUE"""),"https://www.tiktok.com/@amabelaska")</f>
        <v>https://www.tiktok.com/@amabelaska</v>
      </c>
      <c r="D1025" s="273">
        <f>IFERROR(__xludf.DUMMYFUNCTION("""COMPUTED_VALUE"""),8.1218985118E10)</f>
        <v>81218985118</v>
      </c>
      <c r="E1025" s="458">
        <f>IFERROR(__xludf.DUMMYFUNCTION("""COMPUTED_VALUE"""),250000.0)</f>
        <v>250000</v>
      </c>
      <c r="F1025" s="273">
        <f>IFERROR(__xludf.DUMMYFUNCTION("""COMPUTED_VALUE"""),1.0)</f>
        <v>1</v>
      </c>
      <c r="G1025" t="str">
        <f>IFERROR(__xludf.DUMMYFUNCTION("""COMPUTED_VALUE"""),"Sabun batang 1 Box ( 2 PCS )")</f>
        <v>Sabun batang 1 Box ( 2 PCS )</v>
      </c>
      <c r="H1025" s="469" t="str">
        <f>IFERROR(__xludf.DUMMYFUNCTION("""COMPUTED_VALUE"""),"Sampai")</f>
        <v>Sampai</v>
      </c>
      <c r="I1025" s="470" t="str">
        <f>IFERROR(__xludf.DUMMYFUNCTION("""COMPUTED_VALUE"""),"KIMME")</f>
        <v>KIMME</v>
      </c>
      <c r="J1025" t="str">
        <f>IFERROR(__xludf.DUMMYFUNCTION("""COMPUTED_VALUE"""),"⁠https://vt.tiktok.com/ZSxSeWa3e/")</f>
        <v>⁠https://vt.tiktok.com/ZSxSeWa3e/</v>
      </c>
      <c r="K1025" s="470" t="str">
        <f>IFERROR(__xludf.DUMMYFUNCTION("""COMPUTED_VALUE"""),"KIMME")</f>
        <v>KIMME</v>
      </c>
      <c r="L1025" t="str">
        <f>IFERROR(__xludf.DUMMYFUNCTION("""COMPUTED_VALUE"""),"⁠https://vt.tiktok.com/ZSxSeQxqu/")</f>
        <v>⁠https://vt.tiktok.com/ZSxSeQxqu/</v>
      </c>
      <c r="M1025" s="470"/>
      <c r="N1025" t="str">
        <f>IFERROR(__xludf.DUMMYFUNCTION("""COMPUTED_VALUE"""),"⁠https://vt.tiktok.com/ZSxSetH2r/")</f>
        <v>⁠https://vt.tiktok.com/ZSxSetH2r/</v>
      </c>
      <c r="O1025" s="470"/>
      <c r="P1025" t="str">
        <f>IFERROR(__xludf.DUMMYFUNCTION("""COMPUTED_VALUE"""),"⁠https://vt.tiktok.com/ZSxSeQquE/")</f>
        <v>⁠https://vt.tiktok.com/ZSxSeQquE/</v>
      </c>
    </row>
    <row r="1026">
      <c r="A1026" s="282" t="str">
        <f>IFERROR(__xludf.DUMMYFUNCTION("""COMPUTED_VALUE"""),"MICRO")</f>
        <v>MICRO</v>
      </c>
      <c r="B1026" s="468" t="str">
        <f>IFERROR(__xludf.DUMMYFUNCTION("""COMPUTED_VALUE"""),"lalaa_sinaga")</f>
        <v>lalaa_sinaga</v>
      </c>
      <c r="C1026" s="283" t="str">
        <f>IFERROR(__xludf.DUMMYFUNCTION("""COMPUTED_VALUE"""),"https://www.tiktok.com/@lalaa_sinaga")</f>
        <v>https://www.tiktok.com/@lalaa_sinaga</v>
      </c>
      <c r="D1026" s="273">
        <f>IFERROR(__xludf.DUMMYFUNCTION("""COMPUTED_VALUE"""),8.1219114405E10)</f>
        <v>81219114405</v>
      </c>
      <c r="E1026" s="458">
        <f>IFERROR(__xludf.DUMMYFUNCTION("""COMPUTED_VALUE"""),0.0)</f>
        <v>0</v>
      </c>
      <c r="F1026" s="273">
        <f>IFERROR(__xludf.DUMMYFUNCTION("""COMPUTED_VALUE"""),2.0)</f>
        <v>2</v>
      </c>
      <c r="G1026" t="str">
        <f>IFERROR(__xludf.DUMMYFUNCTION("""COMPUTED_VALUE"""),"Sabun batang 1 Box ( 2 PCS )")</f>
        <v>Sabun batang 1 Box ( 2 PCS )</v>
      </c>
      <c r="H1026" s="469" t="str">
        <f>IFERROR(__xludf.DUMMYFUNCTION("""COMPUTED_VALUE"""),"Sampai")</f>
        <v>Sampai</v>
      </c>
      <c r="I1026" s="470" t="str">
        <f>IFERROR(__xludf.DUMMYFUNCTION("""COMPUTED_VALUE"""),"KIMME")</f>
        <v>KIMME</v>
      </c>
      <c r="J1026" s="471" t="str">
        <f>IFERROR(__xludf.DUMMYFUNCTION("""COMPUTED_VALUE"""),"https://vt.tiktok.com/ZS9Hj1uWR/")</f>
        <v>https://vt.tiktok.com/ZS9Hj1uWR/</v>
      </c>
      <c r="K1026" s="470" t="str">
        <f>IFERROR(__xludf.DUMMYFUNCTION("""COMPUTED_VALUE"""),"KIMME")</f>
        <v>KIMME</v>
      </c>
      <c r="L1026" s="471" t="str">
        <f>IFERROR(__xludf.DUMMYFUNCTION("""COMPUTED_VALUE"""),"https://vt.tiktok.com/ZS9H2ELxe/")</f>
        <v>https://vt.tiktok.com/ZS9H2ELxe/</v>
      </c>
      <c r="M1026" s="470"/>
      <c r="N1026" s="471" t="str">
        <f>IFERROR(__xludf.DUMMYFUNCTION("""COMPUTED_VALUE"""),"https://vt.tiktok.com/ZS9HjRv2X/")</f>
        <v>https://vt.tiktok.com/ZS9HjRv2X/</v>
      </c>
      <c r="O1026" s="470"/>
      <c r="P1026" s="471" t="str">
        <f>IFERROR(__xludf.DUMMYFUNCTION("""COMPUTED_VALUE"""),"https://vt.tiktok.com/ZS9HjMahs/")</f>
        <v>https://vt.tiktok.com/ZS9HjMahs/</v>
      </c>
    </row>
    <row r="1027">
      <c r="A1027" s="282" t="str">
        <f>IFERROR(__xludf.DUMMYFUNCTION("""COMPUTED_VALUE"""),"MICRO")</f>
        <v>MICRO</v>
      </c>
      <c r="B1027" s="468" t="str">
        <f>IFERROR(__xludf.DUMMYFUNCTION("""COMPUTED_VALUE"""),"meyonks")</f>
        <v>meyonks</v>
      </c>
      <c r="C1027" s="283" t="str">
        <f>IFERROR(__xludf.DUMMYFUNCTION("""COMPUTED_VALUE"""),"https://www.tiktok.com/@meyonks")</f>
        <v>https://www.tiktok.com/@meyonks</v>
      </c>
      <c r="D1027" s="273">
        <f>IFERROR(__xludf.DUMMYFUNCTION("""COMPUTED_VALUE"""),8.5711100556E10)</f>
        <v>85711100556</v>
      </c>
      <c r="E1027" s="458">
        <f>IFERROR(__xludf.DUMMYFUNCTION("""COMPUTED_VALUE"""),0.0)</f>
        <v>0</v>
      </c>
      <c r="F1027" s="273">
        <f>IFERROR(__xludf.DUMMYFUNCTION("""COMPUTED_VALUE"""),2.0)</f>
        <v>2</v>
      </c>
      <c r="G1027" t="str">
        <f>IFERROR(__xludf.DUMMYFUNCTION("""COMPUTED_VALUE"""),"Sabun batang 1 Box ( 2 PCS )")</f>
        <v>Sabun batang 1 Box ( 2 PCS )</v>
      </c>
      <c r="H1027" s="469" t="str">
        <f>IFERROR(__xludf.DUMMYFUNCTION("""COMPUTED_VALUE"""),"Sampai")</f>
        <v>Sampai</v>
      </c>
      <c r="I1027" s="470" t="str">
        <f>IFERROR(__xludf.DUMMYFUNCTION("""COMPUTED_VALUE"""),"KIMME")</f>
        <v>KIMME</v>
      </c>
      <c r="J1027" s="471" t="str">
        <f>IFERROR(__xludf.DUMMYFUNCTION("""COMPUTED_VALUE"""),"https://vt.tiktok.com/ZS9HjrWvf/")</f>
        <v>https://vt.tiktok.com/ZS9HjrWvf/</v>
      </c>
      <c r="K1027" s="470" t="str">
        <f>IFERROR(__xludf.DUMMYFUNCTION("""COMPUTED_VALUE"""),"KIMME")</f>
        <v>KIMME</v>
      </c>
      <c r="L1027" s="471" t="str">
        <f>IFERROR(__xludf.DUMMYFUNCTION("""COMPUTED_VALUE"""),"https://vt.tiktok.com/ZS95koAwT/")</f>
        <v>https://vt.tiktok.com/ZS95koAwT/</v>
      </c>
      <c r="M1027" s="470"/>
      <c r="N1027" s="471" t="str">
        <f>IFERROR(__xludf.DUMMYFUNCTION("""COMPUTED_VALUE"""),"https://vt.tiktok.com/ZS95kcuGv/")</f>
        <v>https://vt.tiktok.com/ZS95kcuGv/</v>
      </c>
      <c r="O1027" s="470"/>
      <c r="P1027" s="471" t="str">
        <f>IFERROR(__xludf.DUMMYFUNCTION("""COMPUTED_VALUE"""),"https://vt.tiktok.com/ZS95B2TjA/")</f>
        <v>https://vt.tiktok.com/ZS95B2TjA/</v>
      </c>
    </row>
    <row r="1028">
      <c r="A1028" s="282" t="str">
        <f>IFERROR(__xludf.DUMMYFUNCTION("""COMPUTED_VALUE"""),"MICRO")</f>
        <v>MICRO</v>
      </c>
      <c r="B1028" s="468" t="str">
        <f>IFERROR(__xludf.DUMMYFUNCTION("""COMPUTED_VALUE"""),"dvnarini")</f>
        <v>dvnarini</v>
      </c>
      <c r="C1028" s="283" t="str">
        <f>IFERROR(__xludf.DUMMYFUNCTION("""COMPUTED_VALUE"""),"https://www.tiktok.com/@dvnarini")</f>
        <v>https://www.tiktok.com/@dvnarini</v>
      </c>
      <c r="D1028" s="273">
        <f>IFERROR(__xludf.DUMMYFUNCTION("""COMPUTED_VALUE"""),8.3117565813E10)</f>
        <v>83117565813</v>
      </c>
      <c r="E1028" s="458">
        <f>IFERROR(__xludf.DUMMYFUNCTION("""COMPUTED_VALUE"""),0.0)</f>
        <v>0</v>
      </c>
      <c r="F1028" s="273">
        <f>IFERROR(__xludf.DUMMYFUNCTION("""COMPUTED_VALUE"""),2.0)</f>
        <v>2</v>
      </c>
      <c r="G1028" t="str">
        <f>IFERROR(__xludf.DUMMYFUNCTION("""COMPUTED_VALUE"""),"Sabun batang 1 Box ( 2 PCS )")</f>
        <v>Sabun batang 1 Box ( 2 PCS )</v>
      </c>
      <c r="H1028" s="469" t="str">
        <f>IFERROR(__xludf.DUMMYFUNCTION("""COMPUTED_VALUE"""),"Sampai")</f>
        <v>Sampai</v>
      </c>
      <c r="I1028" s="470" t="str">
        <f>IFERROR(__xludf.DUMMYFUNCTION("""COMPUTED_VALUE"""),"KIMME")</f>
        <v>KIMME</v>
      </c>
      <c r="J1028" s="471" t="str">
        <f>IFERROR(__xludf.DUMMYFUNCTION("""COMPUTED_VALUE"""),"https://vt.tiktok.com/ZS95BBTgr/")</f>
        <v>https://vt.tiktok.com/ZS95BBTgr/</v>
      </c>
      <c r="K1028" s="470" t="str">
        <f>IFERROR(__xludf.DUMMYFUNCTION("""COMPUTED_VALUE"""),"KIMME")</f>
        <v>KIMME</v>
      </c>
      <c r="L1028" s="471" t="str">
        <f>IFERROR(__xludf.DUMMYFUNCTION("""COMPUTED_VALUE"""),"https://vt.tiktok.com/ZS95B1hKj/")</f>
        <v>https://vt.tiktok.com/ZS95B1hKj/</v>
      </c>
      <c r="M1028" s="470"/>
      <c r="N1028" s="471" t="str">
        <f>IFERROR(__xludf.DUMMYFUNCTION("""COMPUTED_VALUE"""),"https://vt.tiktok.com/ZS99hfaEN/")</f>
        <v>https://vt.tiktok.com/ZS99hfaEN/</v>
      </c>
      <c r="O1028" s="470"/>
      <c r="P1028" s="471" t="str">
        <f>IFERROR(__xludf.DUMMYFUNCTION("""COMPUTED_VALUE"""),"https://vt.tiktok.com/ZS9fhMwXg/")</f>
        <v>https://vt.tiktok.com/ZS9fhMwXg/</v>
      </c>
    </row>
    <row r="1029">
      <c r="A1029" s="282" t="str">
        <f>IFERROR(__xludf.DUMMYFUNCTION("""COMPUTED_VALUE"""),"MICRO")</f>
        <v>MICRO</v>
      </c>
      <c r="B1029" s="468" t="str">
        <f>IFERROR(__xludf.DUMMYFUNCTION("""COMPUTED_VALUE"""),"silvialmic")</f>
        <v>silvialmic</v>
      </c>
      <c r="C1029" s="283" t="str">
        <f>IFERROR(__xludf.DUMMYFUNCTION("""COMPUTED_VALUE"""),"https://www.tiktok.com/@silvialmic")</f>
        <v>https://www.tiktok.com/@silvialmic</v>
      </c>
      <c r="D1029" s="273">
        <f>IFERROR(__xludf.DUMMYFUNCTION("""COMPUTED_VALUE"""),8.1319417507E10)</f>
        <v>81319417507</v>
      </c>
      <c r="E1029" s="458">
        <f>IFERROR(__xludf.DUMMYFUNCTION("""COMPUTED_VALUE"""),0.0)</f>
        <v>0</v>
      </c>
      <c r="F1029" s="273">
        <f>IFERROR(__xludf.DUMMYFUNCTION("""COMPUTED_VALUE"""),2.0)</f>
        <v>2</v>
      </c>
      <c r="G1029" t="str">
        <f>IFERROR(__xludf.DUMMYFUNCTION("""COMPUTED_VALUE"""),"Sabun batang 1 Box ( 2 PCS )")</f>
        <v>Sabun batang 1 Box ( 2 PCS )</v>
      </c>
      <c r="H1029" s="469" t="str">
        <f>IFERROR(__xludf.DUMMYFUNCTION("""COMPUTED_VALUE"""),"Sampai")</f>
        <v>Sampai</v>
      </c>
      <c r="I1029" s="470" t="str">
        <f>IFERROR(__xludf.DUMMYFUNCTION("""COMPUTED_VALUE"""),"KIMME")</f>
        <v>KIMME</v>
      </c>
      <c r="J1029" s="471" t="str">
        <f>IFERROR(__xludf.DUMMYFUNCTION("""COMPUTED_VALUE"""),"https://vt.tiktok.com/ZS9aefeRj/")</f>
        <v>https://vt.tiktok.com/ZS9aefeRj/</v>
      </c>
      <c r="K1029" s="470" t="str">
        <f>IFERROR(__xludf.DUMMYFUNCTION("""COMPUTED_VALUE"""),"KIMME")</f>
        <v>KIMME</v>
      </c>
      <c r="L1029" s="471" t="str">
        <f>IFERROR(__xludf.DUMMYFUNCTION("""COMPUTED_VALUE"""),"https://vt.tiktok.com/ZS9DjFxrn/")</f>
        <v>https://vt.tiktok.com/ZS9DjFxrn/</v>
      </c>
      <c r="M1029" s="470"/>
      <c r="N1029" s="471" t="str">
        <f>IFERROR(__xludf.DUMMYFUNCTION("""COMPUTED_VALUE"""),"https://vt.tiktok.com/ZS9DjkHwt/")</f>
        <v>https://vt.tiktok.com/ZS9DjkHwt/</v>
      </c>
      <c r="O1029" s="470"/>
      <c r="P1029" s="471" t="str">
        <f>IFERROR(__xludf.DUMMYFUNCTION("""COMPUTED_VALUE"""),"https://vt.tiktok.com/ZS99JPVgL/")</f>
        <v>https://vt.tiktok.com/ZS99JPVgL/</v>
      </c>
    </row>
    <row r="1030">
      <c r="A1030" s="282" t="str">
        <f>IFERROR(__xludf.DUMMYFUNCTION("""COMPUTED_VALUE"""),"MICRO")</f>
        <v>MICRO</v>
      </c>
      <c r="B1030" s="468" t="str">
        <f>IFERROR(__xludf.DUMMYFUNCTION("""COMPUTED_VALUE"""),"Taniacahaya92")</f>
        <v>Taniacahaya92</v>
      </c>
      <c r="C1030" s="283" t="str">
        <f>IFERROR(__xludf.DUMMYFUNCTION("""COMPUTED_VALUE"""),"https://www.tiktok.com/@Taniacahaya92")</f>
        <v>https://www.tiktok.com/@Taniacahaya92</v>
      </c>
      <c r="D1030" s="273">
        <f>IFERROR(__xludf.DUMMYFUNCTION("""COMPUTED_VALUE"""),8.8227367631E10)</f>
        <v>88227367631</v>
      </c>
      <c r="E1030" s="458">
        <f>IFERROR(__xludf.DUMMYFUNCTION("""COMPUTED_VALUE"""),0.0)</f>
        <v>0</v>
      </c>
      <c r="F1030" s="273">
        <f>IFERROR(__xludf.DUMMYFUNCTION("""COMPUTED_VALUE"""),2.0)</f>
        <v>2</v>
      </c>
      <c r="G1030" t="str">
        <f>IFERROR(__xludf.DUMMYFUNCTION("""COMPUTED_VALUE"""),"Sabun batang 1 Box ( 2 PCS )")</f>
        <v>Sabun batang 1 Box ( 2 PCS )</v>
      </c>
      <c r="H1030" s="469" t="str">
        <f>IFERROR(__xludf.DUMMYFUNCTION("""COMPUTED_VALUE"""),"Sampai")</f>
        <v>Sampai</v>
      </c>
      <c r="I1030" s="470" t="str">
        <f>IFERROR(__xludf.DUMMYFUNCTION("""COMPUTED_VALUE"""),"KIMME")</f>
        <v>KIMME</v>
      </c>
      <c r="J1030" s="471" t="str">
        <f>IFERROR(__xludf.DUMMYFUNCTION("""COMPUTED_VALUE"""),"https://vt.tiktok.com/ZS99JqfEX/")</f>
        <v>https://vt.tiktok.com/ZS99JqfEX/</v>
      </c>
      <c r="K1030" s="470" t="str">
        <f>IFERROR(__xludf.DUMMYFUNCTION("""COMPUTED_VALUE"""),"KIMME")</f>
        <v>KIMME</v>
      </c>
      <c r="L1030" s="471" t="str">
        <f>IFERROR(__xludf.DUMMYFUNCTION("""COMPUTED_VALUE"""),"https://vt.tiktok.com/ZS99J1pu7/")</f>
        <v>https://vt.tiktok.com/ZS99J1pu7/</v>
      </c>
      <c r="M1030" s="470"/>
      <c r="N1030" s="471" t="str">
        <f>IFERROR(__xludf.DUMMYFUNCTION("""COMPUTED_VALUE"""),"https://vt.tiktok.com/ZS99JjcWu/")</f>
        <v>https://vt.tiktok.com/ZS99JjcWu/</v>
      </c>
      <c r="O1030" s="470"/>
      <c r="P1030" s="471" t="str">
        <f>IFERROR(__xludf.DUMMYFUNCTION("""COMPUTED_VALUE"""),"https://vt.tiktok.com/ZS99JhoLR/")</f>
        <v>https://vt.tiktok.com/ZS99JhoLR/</v>
      </c>
    </row>
    <row r="1031">
      <c r="A1031" s="282" t="str">
        <f>IFERROR(__xludf.DUMMYFUNCTION("""COMPUTED_VALUE"""),"MICRO")</f>
        <v>MICRO</v>
      </c>
      <c r="B1031" s="468" t="str">
        <f>IFERROR(__xludf.DUMMYFUNCTION("""COMPUTED_VALUE"""),"nayllaauliaaa")</f>
        <v>nayllaauliaaa</v>
      </c>
      <c r="C1031" s="283" t="str">
        <f>IFERROR(__xludf.DUMMYFUNCTION("""COMPUTED_VALUE"""),"https://www.tiktok.com/@nayllaauliaaa")</f>
        <v>https://www.tiktok.com/@nayllaauliaaa</v>
      </c>
      <c r="D1031" s="273">
        <f>IFERROR(__xludf.DUMMYFUNCTION("""COMPUTED_VALUE"""),8.3142098051E10)</f>
        <v>83142098051</v>
      </c>
      <c r="E1031" s="458">
        <f>IFERROR(__xludf.DUMMYFUNCTION("""COMPUTED_VALUE"""),0.0)</f>
        <v>0</v>
      </c>
      <c r="F1031" s="273">
        <f>IFERROR(__xludf.DUMMYFUNCTION("""COMPUTED_VALUE"""),2.0)</f>
        <v>2</v>
      </c>
      <c r="G1031" t="str">
        <f>IFERROR(__xludf.DUMMYFUNCTION("""COMPUTED_VALUE"""),"Sabun batang 1 Box ( 2 PCS )")</f>
        <v>Sabun batang 1 Box ( 2 PCS )</v>
      </c>
      <c r="H1031" s="469" t="str">
        <f>IFERROR(__xludf.DUMMYFUNCTION("""COMPUTED_VALUE"""),"Sampai")</f>
        <v>Sampai</v>
      </c>
      <c r="I1031" s="470" t="str">
        <f>IFERROR(__xludf.DUMMYFUNCTION("""COMPUTED_VALUE"""),"KIMME")</f>
        <v>KIMME</v>
      </c>
      <c r="J1031" s="471" t="str">
        <f>IFERROR(__xludf.DUMMYFUNCTION("""COMPUTED_VALUE"""),"https://vt.tiktok.com/ZS991Ek4S/")</f>
        <v>https://vt.tiktok.com/ZS991Ek4S/</v>
      </c>
      <c r="K1031" s="470" t="str">
        <f>IFERROR(__xludf.DUMMYFUNCTION("""COMPUTED_VALUE"""),"KIMME")</f>
        <v>KIMME</v>
      </c>
      <c r="L1031" s="471" t="str">
        <f>IFERROR(__xludf.DUMMYFUNCTION("""COMPUTED_VALUE"""),"https://vt.tiktok.com/ZS9913F5y/")</f>
        <v>https://vt.tiktok.com/ZS9913F5y/</v>
      </c>
      <c r="M1031" s="470"/>
      <c r="N1031" s="471" t="str">
        <f>IFERROR(__xludf.DUMMYFUNCTION("""COMPUTED_VALUE"""),"https://vt.tiktok.com/ZS9fkcHRg/")</f>
        <v>https://vt.tiktok.com/ZS9fkcHRg/</v>
      </c>
      <c r="O1031" s="470"/>
      <c r="P1031" s="471" t="str">
        <f>IFERROR(__xludf.DUMMYFUNCTION("""COMPUTED_VALUE"""),"https://vt.tiktok.com/ZS9fBBBsQ/")</f>
        <v>https://vt.tiktok.com/ZS9fBBBsQ/</v>
      </c>
    </row>
    <row r="1032">
      <c r="A1032" s="282" t="str">
        <f>IFERROR(__xludf.DUMMYFUNCTION("""COMPUTED_VALUE"""),"MACRO")</f>
        <v>MACRO</v>
      </c>
      <c r="B1032" s="468" t="str">
        <f>IFERROR(__xludf.DUMMYFUNCTION("""COMPUTED_VALUE"""),"iki_aku3862
")</f>
        <v>iki_aku3862
</v>
      </c>
      <c r="C1032" s="283" t="str">
        <f>IFERROR(__xludf.DUMMYFUNCTION("""COMPUTED_VALUE"""),"https://www.tiktok.com/@iki_aku3862
")</f>
        <v>https://www.tiktok.com/@iki_aku3862
</v>
      </c>
      <c r="D1032" s="273">
        <f>IFERROR(__xludf.DUMMYFUNCTION("""COMPUTED_VALUE"""),8.9673290807E10)</f>
        <v>89673290807</v>
      </c>
      <c r="E1032" s="458">
        <f>IFERROR(__xludf.DUMMYFUNCTION("""COMPUTED_VALUE"""),0.0)</f>
        <v>0</v>
      </c>
      <c r="F1032" s="273">
        <f>IFERROR(__xludf.DUMMYFUNCTION("""COMPUTED_VALUE"""),2.0)</f>
        <v>2</v>
      </c>
      <c r="G1032" t="str">
        <f>IFERROR(__xludf.DUMMYFUNCTION("""COMPUTED_VALUE"""),"Sabun batang 1 Box ( 2 PCS )")</f>
        <v>Sabun batang 1 Box ( 2 PCS )</v>
      </c>
      <c r="H1032" s="469" t="str">
        <f>IFERROR(__xludf.DUMMYFUNCTION("""COMPUTED_VALUE"""),"Sampai")</f>
        <v>Sampai</v>
      </c>
      <c r="I1032" s="470" t="str">
        <f>IFERROR(__xludf.DUMMYFUNCTION("""COMPUTED_VALUE"""),"KIMME")</f>
        <v>KIMME</v>
      </c>
      <c r="J1032" s="471" t="str">
        <f>IFERROR(__xludf.DUMMYFUNCTION("""COMPUTED_VALUE"""),"https://vt.tiktok.com/ZS9fBNXjY/")</f>
        <v>https://vt.tiktok.com/ZS9fBNXjY/</v>
      </c>
      <c r="K1032" s="470" t="str">
        <f>IFERROR(__xludf.DUMMYFUNCTION("""COMPUTED_VALUE"""),"KIMME")</f>
        <v>KIMME</v>
      </c>
      <c r="L1032" s="471" t="str">
        <f>IFERROR(__xludf.DUMMYFUNCTION("""COMPUTED_VALUE"""),"https://vt.tiktok.com/ZS9DjLYKX/")</f>
        <v>https://vt.tiktok.com/ZS9DjLYKX/</v>
      </c>
      <c r="M1032" s="470"/>
      <c r="N1032" s="471" t="str">
        <f>IFERROR(__xludf.DUMMYFUNCTION("""COMPUTED_VALUE"""),"https://vt.tiktok.com/ZSxBLRDp4/")</f>
        <v>https://vt.tiktok.com/ZSxBLRDp4/</v>
      </c>
      <c r="O1032" s="470"/>
      <c r="P1032" t="str">
        <f>IFERROR(__xludf.DUMMYFUNCTION("""COMPUTED_VALUE"""),"⁠https://vt.tiktok.com/ZSxSeQNV3/")</f>
        <v>⁠https://vt.tiktok.com/ZSxSeQNV3/</v>
      </c>
    </row>
    <row r="1033">
      <c r="A1033" s="282" t="str">
        <f>IFERROR(__xludf.DUMMYFUNCTION("""COMPUTED_VALUE"""),"MICRO")</f>
        <v>MICRO</v>
      </c>
      <c r="B1033" s="468" t="str">
        <f>IFERROR(__xludf.DUMMYFUNCTION("""COMPUTED_VALUE"""),"rhyuagstnaaa")</f>
        <v>rhyuagstnaaa</v>
      </c>
      <c r="C1033" s="283" t="str">
        <f>IFERROR(__xludf.DUMMYFUNCTION("""COMPUTED_VALUE"""),"https://www.tiktok.com/@rhyuagstnaaa")</f>
        <v>https://www.tiktok.com/@rhyuagstnaaa</v>
      </c>
      <c r="D1033" s="273">
        <f>IFERROR(__xludf.DUMMYFUNCTION("""COMPUTED_VALUE"""),8.5156331301E10)</f>
        <v>85156331301</v>
      </c>
      <c r="E1033" s="458">
        <f>IFERROR(__xludf.DUMMYFUNCTION("""COMPUTED_VALUE"""),0.0)</f>
        <v>0</v>
      </c>
      <c r="F1033" s="273">
        <f>IFERROR(__xludf.DUMMYFUNCTION("""COMPUTED_VALUE"""),2.0)</f>
        <v>2</v>
      </c>
      <c r="G1033" t="str">
        <f>IFERROR(__xludf.DUMMYFUNCTION("""COMPUTED_VALUE"""),"Sabun batang 1 Box ( 2 PCS )")</f>
        <v>Sabun batang 1 Box ( 2 PCS )</v>
      </c>
      <c r="H1033" s="469" t="str">
        <f>IFERROR(__xludf.DUMMYFUNCTION("""COMPUTED_VALUE"""),"Sampai")</f>
        <v>Sampai</v>
      </c>
      <c r="I1033" s="470" t="str">
        <f>IFERROR(__xludf.DUMMYFUNCTION("""COMPUTED_VALUE"""),"KIMME")</f>
        <v>KIMME</v>
      </c>
      <c r="J1033" s="471" t="str">
        <f>IFERROR(__xludf.DUMMYFUNCTION("""COMPUTED_VALUE"""),"https://vt.tiktok.com/ZS9PBmec3/")</f>
        <v>https://vt.tiktok.com/ZS9PBmec3/</v>
      </c>
      <c r="K1033" s="470" t="str">
        <f>IFERROR(__xludf.DUMMYFUNCTION("""COMPUTED_VALUE"""),"KIMME")</f>
        <v>KIMME</v>
      </c>
      <c r="L1033" s="471" t="str">
        <f>IFERROR(__xludf.DUMMYFUNCTION("""COMPUTED_VALUE"""),"https://vt.tiktok.com/ZS9PBuhmD/")</f>
        <v>https://vt.tiktok.com/ZS9PBuhmD/</v>
      </c>
      <c r="M1033" s="470"/>
      <c r="N1033" s="471" t="str">
        <f>IFERROR(__xludf.DUMMYFUNCTION("""COMPUTED_VALUE"""),"https://vt.tiktok.com/ZS9PBuYaB/")</f>
        <v>https://vt.tiktok.com/ZS9PBuYaB/</v>
      </c>
      <c r="O1033" s="470"/>
      <c r="P1033" s="471" t="str">
        <f>IFERROR(__xludf.DUMMYFUNCTION("""COMPUTED_VALUE"""),"https://vt.tiktok.com/ZS9PBQhLj/")</f>
        <v>https://vt.tiktok.com/ZS9PBQhLj/</v>
      </c>
    </row>
    <row r="1034">
      <c r="A1034" s="282" t="str">
        <f>IFERROR(__xludf.DUMMYFUNCTION("""COMPUTED_VALUE"""),"MACRO")</f>
        <v>MACRO</v>
      </c>
      <c r="B1034" s="468" t="str">
        <f>IFERROR(__xludf.DUMMYFUNCTION("""COMPUTED_VALUE"""),"elianacvan04")</f>
        <v>elianacvan04</v>
      </c>
      <c r="C1034" s="283" t="str">
        <f>IFERROR(__xludf.DUMMYFUNCTION("""COMPUTED_VALUE"""),"https://www.tiktok.com/@elianacvan04")</f>
        <v>https://www.tiktok.com/@elianacvan04</v>
      </c>
      <c r="D1034" s="273">
        <f>IFERROR(__xludf.DUMMYFUNCTION("""COMPUTED_VALUE"""),8.2225438844E10)</f>
        <v>82225438844</v>
      </c>
      <c r="E1034" s="458">
        <f>IFERROR(__xludf.DUMMYFUNCTION("""COMPUTED_VALUE"""),0.0)</f>
        <v>0</v>
      </c>
      <c r="F1034" s="273">
        <f>IFERROR(__xludf.DUMMYFUNCTION("""COMPUTED_VALUE"""),2.0)</f>
        <v>2</v>
      </c>
      <c r="G1034" t="str">
        <f>IFERROR(__xludf.DUMMYFUNCTION("""COMPUTED_VALUE"""),"Sabun batang 1 Box ( 2 PCS )")</f>
        <v>Sabun batang 1 Box ( 2 PCS )</v>
      </c>
      <c r="H1034" s="469" t="str">
        <f>IFERROR(__xludf.DUMMYFUNCTION("""COMPUTED_VALUE"""),"Sampai")</f>
        <v>Sampai</v>
      </c>
      <c r="I1034" s="470" t="str">
        <f>IFERROR(__xludf.DUMMYFUNCTION("""COMPUTED_VALUE"""),"KIMME")</f>
        <v>KIMME</v>
      </c>
      <c r="J1034" s="471" t="str">
        <f>IFERROR(__xludf.DUMMYFUNCTION("""COMPUTED_VALUE"""),"https://vt.tiktok.com/ZS9PBH3JY/")</f>
        <v>https://vt.tiktok.com/ZS9PBH3JY/</v>
      </c>
      <c r="K1034" s="470" t="str">
        <f>IFERROR(__xludf.DUMMYFUNCTION("""COMPUTED_VALUE"""),"KIMME")</f>
        <v>KIMME</v>
      </c>
      <c r="L1034" s="471" t="str">
        <f>IFERROR(__xludf.DUMMYFUNCTION("""COMPUTED_VALUE"""),"https://vt.tiktok.com/ZS9DjkGy8/")</f>
        <v>https://vt.tiktok.com/ZS9DjkGy8/</v>
      </c>
      <c r="M1034" s="470"/>
      <c r="O1034" s="470"/>
    </row>
    <row r="1035">
      <c r="A1035" s="282" t="str">
        <f>IFERROR(__xludf.DUMMYFUNCTION("""COMPUTED_VALUE"""),"MACRO")</f>
        <v>MACRO</v>
      </c>
      <c r="B1035" s="468" t="str">
        <f>IFERROR(__xludf.DUMMYFUNCTION("""COMPUTED_VALUE"""),"keishadty")</f>
        <v>keishadty</v>
      </c>
      <c r="C1035" s="283" t="str">
        <f>IFERROR(__xludf.DUMMYFUNCTION("""COMPUTED_VALUE"""),"https://www.tiktok.com/@keishadty")</f>
        <v>https://www.tiktok.com/@keishadty</v>
      </c>
      <c r="D1035" s="273">
        <f>IFERROR(__xludf.DUMMYFUNCTION("""COMPUTED_VALUE"""),8.5724389207E10)</f>
        <v>85724389207</v>
      </c>
      <c r="E1035" s="458">
        <f>IFERROR(__xludf.DUMMYFUNCTION("""COMPUTED_VALUE"""),0.0)</f>
        <v>0</v>
      </c>
      <c r="F1035" s="273">
        <f>IFERROR(__xludf.DUMMYFUNCTION("""COMPUTED_VALUE"""),2.0)</f>
        <v>2</v>
      </c>
      <c r="G1035" t="str">
        <f>IFERROR(__xludf.DUMMYFUNCTION("""COMPUTED_VALUE"""),"Sabun batang 1 Box ( 2 PCS )")</f>
        <v>Sabun batang 1 Box ( 2 PCS )</v>
      </c>
      <c r="H1035" s="469" t="str">
        <f>IFERROR(__xludf.DUMMYFUNCTION("""COMPUTED_VALUE"""),"Sampai")</f>
        <v>Sampai</v>
      </c>
      <c r="I1035" s="470" t="str">
        <f>IFERROR(__xludf.DUMMYFUNCTION("""COMPUTED_VALUE"""),"KIMME")</f>
        <v>KIMME</v>
      </c>
      <c r="J1035" s="471" t="str">
        <f>IFERROR(__xludf.DUMMYFUNCTION("""COMPUTED_VALUE"""),"https://vt.tiktok.com/ZSxBLFYsc/")</f>
        <v>https://vt.tiktok.com/ZSxBLFYsc/</v>
      </c>
      <c r="K1035" s="470" t="str">
        <f>IFERROR(__xludf.DUMMYFUNCTION("""COMPUTED_VALUE"""),"KIMME")</f>
        <v>KIMME</v>
      </c>
      <c r="L1035" s="471" t="str">
        <f>IFERROR(__xludf.DUMMYFUNCTION("""COMPUTED_VALUE"""),"https://vt.tiktok.com/ZSxkMhCo8/")</f>
        <v>https://vt.tiktok.com/ZSxkMhCo8/</v>
      </c>
      <c r="M1035" s="470"/>
      <c r="O1035" s="470"/>
    </row>
    <row r="1036">
      <c r="A1036" s="282" t="str">
        <f>IFERROR(__xludf.DUMMYFUNCTION("""COMPUTED_VALUE"""),"MICRO")</f>
        <v>MICRO</v>
      </c>
      <c r="B1036" s="468" t="str">
        <f>IFERROR(__xludf.DUMMYFUNCTION("""COMPUTED_VALUE"""),"kanglutfi7")</f>
        <v>kanglutfi7</v>
      </c>
      <c r="C1036" s="283" t="str">
        <f>IFERROR(__xludf.DUMMYFUNCTION("""COMPUTED_VALUE"""),"https://www.tiktok.com/@kanglutfi7")</f>
        <v>https://www.tiktok.com/@kanglutfi7</v>
      </c>
      <c r="D1036" s="273">
        <f>IFERROR(__xludf.DUMMYFUNCTION("""COMPUTED_VALUE"""),8.1563981072E10)</f>
        <v>81563981072</v>
      </c>
      <c r="E1036" s="458">
        <f>IFERROR(__xludf.DUMMYFUNCTION("""COMPUTED_VALUE"""),0.0)</f>
        <v>0</v>
      </c>
      <c r="F1036" s="273">
        <f>IFERROR(__xludf.DUMMYFUNCTION("""COMPUTED_VALUE"""),2.0)</f>
        <v>2</v>
      </c>
      <c r="G1036" t="str">
        <f>IFERROR(__xludf.DUMMYFUNCTION("""COMPUTED_VALUE"""),"Sabun batang 1 Box ( 2 PCS )")</f>
        <v>Sabun batang 1 Box ( 2 PCS )</v>
      </c>
      <c r="H1036" s="469" t="str">
        <f>IFERROR(__xludf.DUMMYFUNCTION("""COMPUTED_VALUE"""),"Sampai")</f>
        <v>Sampai</v>
      </c>
      <c r="I1036" s="470" t="str">
        <f>IFERROR(__xludf.DUMMYFUNCTION("""COMPUTED_VALUE"""),"KIMME")</f>
        <v>KIMME</v>
      </c>
      <c r="J1036" s="471" t="str">
        <f>IFERROR(__xludf.DUMMYFUNCTION("""COMPUTED_VALUE"""),"https://vt.tiktok.com/ZS9DjhMBD/")</f>
        <v>https://vt.tiktok.com/ZS9DjhMBD/</v>
      </c>
      <c r="K1036" s="470" t="str">
        <f>IFERROR(__xludf.DUMMYFUNCTION("""COMPUTED_VALUE"""),"KIMME")</f>
        <v>KIMME</v>
      </c>
      <c r="L1036" s="471" t="str">
        <f>IFERROR(__xludf.DUMMYFUNCTION("""COMPUTED_VALUE"""),"https://vt.tiktok.com/ZS9Qyo8BN/")</f>
        <v>https://vt.tiktok.com/ZS9Qyo8BN/</v>
      </c>
      <c r="M1036" s="470"/>
      <c r="N1036" s="471" t="str">
        <f>IFERROR(__xludf.DUMMYFUNCTION("""COMPUTED_VALUE"""),"https://vt.tiktok.com/ZS9QDfUN8/")</f>
        <v>https://vt.tiktok.com/ZS9QDfUN8/</v>
      </c>
      <c r="O1036" s="470"/>
      <c r="P1036" t="str">
        <f>IFERROR(__xludf.DUMMYFUNCTION("""COMPUTED_VALUE"""),"⁠https://vt.tiktok.com/ZS9Qru145/")</f>
        <v>⁠https://vt.tiktok.com/ZS9Qru145/</v>
      </c>
    </row>
    <row r="1037">
      <c r="A1037" s="282" t="str">
        <f>IFERROR(__xludf.DUMMYFUNCTION("""COMPUTED_VALUE"""),"MICRO")</f>
        <v>MICRO</v>
      </c>
      <c r="B1037" s="468" t="str">
        <f>IFERROR(__xludf.DUMMYFUNCTION("""COMPUTED_VALUE"""),"dhewinda.key")</f>
        <v>dhewinda.key</v>
      </c>
      <c r="C1037" s="283" t="str">
        <f>IFERROR(__xludf.DUMMYFUNCTION("""COMPUTED_VALUE"""),"https://www.tiktok.com/@dhewinda.key")</f>
        <v>https://www.tiktok.com/@dhewinda.key</v>
      </c>
      <c r="D1037" s="273">
        <f>IFERROR(__xludf.DUMMYFUNCTION("""COMPUTED_VALUE"""),8.1221222796E10)</f>
        <v>81221222796</v>
      </c>
      <c r="E1037" s="458">
        <f>IFERROR(__xludf.DUMMYFUNCTION("""COMPUTED_VALUE"""),0.0)</f>
        <v>0</v>
      </c>
      <c r="F1037" s="273">
        <f>IFERROR(__xludf.DUMMYFUNCTION("""COMPUTED_VALUE"""),2.0)</f>
        <v>2</v>
      </c>
      <c r="G1037" t="str">
        <f>IFERROR(__xludf.DUMMYFUNCTION("""COMPUTED_VALUE"""),"Sabun batang 1 Box ( 2 PCS )")</f>
        <v>Sabun batang 1 Box ( 2 PCS )</v>
      </c>
      <c r="H1037" s="469" t="str">
        <f>IFERROR(__xludf.DUMMYFUNCTION("""COMPUTED_VALUE"""),"Sampai")</f>
        <v>Sampai</v>
      </c>
      <c r="I1037" s="470" t="str">
        <f>IFERROR(__xludf.DUMMYFUNCTION("""COMPUTED_VALUE"""),"KIMME")</f>
        <v>KIMME</v>
      </c>
      <c r="J1037" t="str">
        <f>IFERROR(__xludf.DUMMYFUNCTION("""COMPUTED_VALUE"""),"⁠https://vt.tiktok.com/ZS9QrmWKR/")</f>
        <v>⁠https://vt.tiktok.com/ZS9QrmWKR/</v>
      </c>
      <c r="K1037" s="470" t="str">
        <f>IFERROR(__xludf.DUMMYFUNCTION("""COMPUTED_VALUE"""),"KIMME")</f>
        <v>KIMME</v>
      </c>
      <c r="L1037" s="471" t="str">
        <f>IFERROR(__xludf.DUMMYFUNCTION("""COMPUTED_VALUE"""),"https://vt.tiktok.com/ZS9QrkXs8/")</f>
        <v>https://vt.tiktok.com/ZS9QrkXs8/</v>
      </c>
      <c r="M1037" s="470"/>
      <c r="N1037" s="471" t="str">
        <f>IFERROR(__xludf.DUMMYFUNCTION("""COMPUTED_VALUE"""),"https://vt.tiktok.com/ZS9Qf1L6X/")</f>
        <v>https://vt.tiktok.com/ZS9Qf1L6X/</v>
      </c>
      <c r="O1037" s="470"/>
      <c r="P1037" s="471" t="str">
        <f>IFERROR(__xludf.DUMMYFUNCTION("""COMPUTED_VALUE"""),"https://vt.tiktok.com/ZS9QfeKH6/")</f>
        <v>https://vt.tiktok.com/ZS9QfeKH6/</v>
      </c>
    </row>
    <row r="1038">
      <c r="A1038" s="282" t="str">
        <f>IFERROR(__xludf.DUMMYFUNCTION("""COMPUTED_VALUE"""),"MICRO")</f>
        <v>MICRO</v>
      </c>
      <c r="B1038" s="468" t="str">
        <f>IFERROR(__xludf.DUMMYFUNCTION("""COMPUTED_VALUE"""),"detty.ksr_")</f>
        <v>detty.ksr_</v>
      </c>
      <c r="C1038" s="283" t="str">
        <f>IFERROR(__xludf.DUMMYFUNCTION("""COMPUTED_VALUE"""),"https://www.tiktok.com/@detty.ksr_")</f>
        <v>https://www.tiktok.com/@detty.ksr_</v>
      </c>
      <c r="D1038" s="273">
        <f>IFERROR(__xludf.DUMMYFUNCTION("""COMPUTED_VALUE"""),8.587251418E10)</f>
        <v>85872514180</v>
      </c>
      <c r="E1038" s="458">
        <f>IFERROR(__xludf.DUMMYFUNCTION("""COMPUTED_VALUE"""),0.0)</f>
        <v>0</v>
      </c>
      <c r="F1038" s="273">
        <f>IFERROR(__xludf.DUMMYFUNCTION("""COMPUTED_VALUE"""),4.0)</f>
        <v>4</v>
      </c>
      <c r="G1038" t="str">
        <f>IFERROR(__xludf.DUMMYFUNCTION("""COMPUTED_VALUE"""),"Sabun batang 1 Box ( 2 PCS )")</f>
        <v>Sabun batang 1 Box ( 2 PCS )</v>
      </c>
      <c r="H1038" s="469" t="str">
        <f>IFERROR(__xludf.DUMMYFUNCTION("""COMPUTED_VALUE"""),"Sampai")</f>
        <v>Sampai</v>
      </c>
      <c r="I1038" s="470" t="str">
        <f>IFERROR(__xludf.DUMMYFUNCTION("""COMPUTED_VALUE"""),"KIMME")</f>
        <v>KIMME</v>
      </c>
      <c r="J1038" t="str">
        <f>IFERROR(__xludf.DUMMYFUNCTION("""COMPUTED_VALUE"""),"⁠https://vt.tiktok.com/ZSxSe4Hg5/")</f>
        <v>⁠https://vt.tiktok.com/ZSxSe4Hg5/</v>
      </c>
      <c r="K1038" s="470" t="str">
        <f>IFERROR(__xludf.DUMMYFUNCTION("""COMPUTED_VALUE"""),"KIMME")</f>
        <v>KIMME</v>
      </c>
      <c r="L1038" s="471" t="str">
        <f>IFERROR(__xludf.DUMMYFUNCTION("""COMPUTED_VALUE"""),"https://vt.tiktok.com/ZSxRGKbwQ/")</f>
        <v>https://vt.tiktok.com/ZSxRGKbwQ/</v>
      </c>
      <c r="M1038" s="470"/>
      <c r="N1038" s="471" t="str">
        <f>IFERROR(__xludf.DUMMYFUNCTION("""COMPUTED_VALUE"""),"https://vt.tiktok.com/ZSxRGc6Fs/")</f>
        <v>https://vt.tiktok.com/ZSxRGc6Fs/</v>
      </c>
      <c r="O1038" s="470"/>
      <c r="P1038" s="471" t="str">
        <f>IFERROR(__xludf.DUMMYFUNCTION("""COMPUTED_VALUE"""),"https://vt.tiktok.com/ZSxk6JTmr/")</f>
        <v>https://vt.tiktok.com/ZSxk6JTmr/</v>
      </c>
    </row>
    <row r="1039">
      <c r="A1039" s="282" t="str">
        <f>IFERROR(__xludf.DUMMYFUNCTION("""COMPUTED_VALUE"""),"MICRO")</f>
        <v>MICRO</v>
      </c>
      <c r="B1039" s="468" t="str">
        <f>IFERROR(__xludf.DUMMYFUNCTION("""COMPUTED_VALUE"""),"zulfa_jamilaa")</f>
        <v>zulfa_jamilaa</v>
      </c>
      <c r="C1039" s="283" t="str">
        <f>IFERROR(__xludf.DUMMYFUNCTION("""COMPUTED_VALUE"""),"https://www.tiktok.com/@zulfa_jamilaa")</f>
        <v>https://www.tiktok.com/@zulfa_jamilaa</v>
      </c>
      <c r="D1039" s="273">
        <f>IFERROR(__xludf.DUMMYFUNCTION("""COMPUTED_VALUE"""),8.1225904164E10)</f>
        <v>81225904164</v>
      </c>
      <c r="E1039" s="458">
        <f>IFERROR(__xludf.DUMMYFUNCTION("""COMPUTED_VALUE"""),0.0)</f>
        <v>0</v>
      </c>
      <c r="F1039" s="273">
        <f>IFERROR(__xludf.DUMMYFUNCTION("""COMPUTED_VALUE"""),1.0)</f>
        <v>1</v>
      </c>
      <c r="G1039" t="str">
        <f>IFERROR(__xludf.DUMMYFUNCTION("""COMPUTED_VALUE"""),"Sabun batang 1 Box ( 2 PCS )")</f>
        <v>Sabun batang 1 Box ( 2 PCS )</v>
      </c>
      <c r="H1039" s="469" t="str">
        <f>IFERROR(__xludf.DUMMYFUNCTION("""COMPUTED_VALUE"""),"Sampai")</f>
        <v>Sampai</v>
      </c>
      <c r="I1039" s="470" t="str">
        <f>IFERROR(__xludf.DUMMYFUNCTION("""COMPUTED_VALUE"""),"KIMME")</f>
        <v>KIMME</v>
      </c>
      <c r="J1039" s="471" t="str">
        <f>IFERROR(__xludf.DUMMYFUNCTION("""COMPUTED_VALUE"""),"https://vt.tiktok.com/ZSxxSKgXG/")</f>
        <v>https://vt.tiktok.com/ZSxxSKgXG/</v>
      </c>
      <c r="K1039" s="470" t="str">
        <f>IFERROR(__xludf.DUMMYFUNCTION("""COMPUTED_VALUE"""),"KIMME")</f>
        <v>KIMME</v>
      </c>
      <c r="L1039" s="471" t="str">
        <f>IFERROR(__xludf.DUMMYFUNCTION("""COMPUTED_VALUE"""),"https://vt.tiktok.com/ZSxxAUdXX/")</f>
        <v>https://vt.tiktok.com/ZSxxAUdXX/</v>
      </c>
      <c r="M1039" s="470"/>
      <c r="N1039" s="471" t="str">
        <f>IFERROR(__xludf.DUMMYFUNCTION("""COMPUTED_VALUE"""),"https://vt.tiktok.com/ZSxxAdqNp/")</f>
        <v>https://vt.tiktok.com/ZSxxAdqNp/</v>
      </c>
      <c r="O1039" s="470"/>
      <c r="P1039" s="471" t="str">
        <f>IFERROR(__xludf.DUMMYFUNCTION("""COMPUTED_VALUE"""),"https://vt.tiktok.com/ZSxxALtne/")</f>
        <v>https://vt.tiktok.com/ZSxxALtne/</v>
      </c>
    </row>
    <row r="1040">
      <c r="A1040" s="282" t="str">
        <f>IFERROR(__xludf.DUMMYFUNCTION("""COMPUTED_VALUE"""),"MICRO")</f>
        <v>MICRO</v>
      </c>
      <c r="B1040" s="468" t="str">
        <f>IFERROR(__xludf.DUMMYFUNCTION("""COMPUTED_VALUE"""),"dewi_maya05")</f>
        <v>dewi_maya05</v>
      </c>
      <c r="C1040" s="283" t="str">
        <f>IFERROR(__xludf.DUMMYFUNCTION("""COMPUTED_VALUE"""),"https://www.tiktok.com/@dewi_maya05")</f>
        <v>https://www.tiktok.com/@dewi_maya05</v>
      </c>
      <c r="D1040" s="273">
        <f>IFERROR(__xludf.DUMMYFUNCTION("""COMPUTED_VALUE"""),8.999273747E9)</f>
        <v>8999273747</v>
      </c>
      <c r="E1040" s="458">
        <f>IFERROR(__xludf.DUMMYFUNCTION("""COMPUTED_VALUE"""),100000.0)</f>
        <v>100000</v>
      </c>
      <c r="F1040" s="273">
        <f>IFERROR(__xludf.DUMMYFUNCTION("""COMPUTED_VALUE"""),1.0)</f>
        <v>1</v>
      </c>
      <c r="G1040" t="str">
        <f>IFERROR(__xludf.DUMMYFUNCTION("""COMPUTED_VALUE"""),"Sabun batang 1 Box ( 2 PCS )")</f>
        <v>Sabun batang 1 Box ( 2 PCS )</v>
      </c>
      <c r="H1040" s="469" t="str">
        <f>IFERROR(__xludf.DUMMYFUNCTION("""COMPUTED_VALUE"""),"Sampai")</f>
        <v>Sampai</v>
      </c>
      <c r="I1040" s="470" t="str">
        <f>IFERROR(__xludf.DUMMYFUNCTION("""COMPUTED_VALUE"""),"KIMME")</f>
        <v>KIMME</v>
      </c>
      <c r="J1040" s="471" t="str">
        <f>IFERROR(__xludf.DUMMYFUNCTION("""COMPUTED_VALUE"""),"https://vt.tiktok.com/ZSxHfeJpt/")</f>
        <v>https://vt.tiktok.com/ZSxHfeJpt/</v>
      </c>
      <c r="K1040" s="470" t="str">
        <f>IFERROR(__xludf.DUMMYFUNCTION("""COMPUTED_VALUE"""),"KIMME")</f>
        <v>KIMME</v>
      </c>
      <c r="L1040" s="471" t="str">
        <f>IFERROR(__xludf.DUMMYFUNCTION("""COMPUTED_VALUE"""),"https://vt.tiktok.com/ZSxHy7YLL/")</f>
        <v>https://vt.tiktok.com/ZSxHy7YLL/</v>
      </c>
      <c r="M1040" s="470"/>
      <c r="N1040" s="471" t="str">
        <f>IFERROR(__xludf.DUMMYFUNCTION("""COMPUTED_VALUE"""),"https://vt.tiktok.com/ZSxHyEynr/")</f>
        <v>https://vt.tiktok.com/ZSxHyEynr/</v>
      </c>
      <c r="O1040" s="470"/>
      <c r="P1040" s="471" t="str">
        <f>IFERROR(__xludf.DUMMYFUNCTION("""COMPUTED_VALUE"""),"https://vt.tiktok.com/ZSxHyE4vu/")</f>
        <v>https://vt.tiktok.com/ZSxHyE4vu/</v>
      </c>
    </row>
    <row r="1041">
      <c r="A1041" s="282" t="str">
        <f>IFERROR(__xludf.DUMMYFUNCTION("""COMPUTED_VALUE"""),"MICRO")</f>
        <v>MICRO</v>
      </c>
      <c r="B1041" s="468" t="str">
        <f>IFERROR(__xludf.DUMMYFUNCTION("""COMPUTED_VALUE"""),"samrotulainiyah")</f>
        <v>samrotulainiyah</v>
      </c>
      <c r="C1041" s="283" t="str">
        <f>IFERROR(__xludf.DUMMYFUNCTION("""COMPUTED_VALUE"""),"https://www.tiktok.com/@samrotulainiyah")</f>
        <v>https://www.tiktok.com/@samrotulainiyah</v>
      </c>
      <c r="D1041" s="273">
        <f>IFERROR(__xludf.DUMMYFUNCTION("""COMPUTED_VALUE"""),8.1315038491E10)</f>
        <v>81315038491</v>
      </c>
      <c r="E1041" s="458">
        <f>IFERROR(__xludf.DUMMYFUNCTION("""COMPUTED_VALUE"""),0.0)</f>
        <v>0</v>
      </c>
      <c r="F1041" s="273">
        <f>IFERROR(__xludf.DUMMYFUNCTION("""COMPUTED_VALUE"""),4.0)</f>
        <v>4</v>
      </c>
      <c r="G1041" t="str">
        <f>IFERROR(__xludf.DUMMYFUNCTION("""COMPUTED_VALUE"""),"Sabun batang 1 Box ( 2 PCS )")</f>
        <v>Sabun batang 1 Box ( 2 PCS )</v>
      </c>
      <c r="H1041" s="469" t="str">
        <f>IFERROR(__xludf.DUMMYFUNCTION("""COMPUTED_VALUE"""),"Sampai")</f>
        <v>Sampai</v>
      </c>
      <c r="I1041" s="470" t="str">
        <f>IFERROR(__xludf.DUMMYFUNCTION("""COMPUTED_VALUE"""),"KIMME")</f>
        <v>KIMME</v>
      </c>
      <c r="J1041" s="471" t="str">
        <f>IFERROR(__xludf.DUMMYFUNCTION("""COMPUTED_VALUE"""),"https://www.tiktok.com/@samrotulainiyah/video/7631907736367811861?_r=1&amp;u_code=5bf2dhgcc9d7g&amp;region=&amp;mid=6848569063996803841&amp;preview_pb=0&amp;sharer_language=&amp;_d=0&amp;ec_shared_reflux_dynamic_params=%7B%22placeholder_material_id%22%3A%227631907736367811861%22%2C%"&amp;"22placeholder_origin_cover%22%3A%22https%253A%252F%252Fp16-common-sign.tiktokcdn.com%252Ftos-alisg-p-0037%252FoMfT2LjXI5D0wTQE6eFnBQp6DGklQACnfBCoSA~tplv-tiktokx-origin.jpeg%253Fdr%253D14572%2526refresh_token%253D5fac3251%2526x-expires%253D1808992800%2526"&amp;"x-signature%253DmZjhOglCTtb%25252BO6seypAv1FHvhvo%25253D%2526t%253D4d5b0474%2526ps%253D13740610%2526shp%253Dd05b14bd%2526shcp%253D34ff8df6%2526idc%253Dmy2%2526s%253DTIKTOK_AFFILIATE_VIRAL_VIDEO%22%2C%22placeholder_product_id%22%3A%221729427766722726591%22"&amp;"%2C%22placeholder_video_id%22%3A%227631907736367811861%22%7D&amp;ec_shared_reflux_scene=shop_tab_feed&amp;share_item_id=7631907736367811861&amp;source=h5_t")</f>
        <v>https://www.tiktok.com/@samrotulainiyah/video/7631907736367811861?_r=1&amp;u_code=5bf2dhgcc9d7g&amp;region=&amp;mid=6848569063996803841&amp;preview_pb=0&amp;sharer_language=&amp;_d=0&amp;ec_shared_reflux_dynamic_params=%7B%22placeholder_material_id%22%3A%227631907736367811861%22%2C%22placeholder_origin_cover%22%3A%22https%253A%252F%252Fp16-common-sign.tiktokcdn.com%252Ftos-alisg-p-0037%252FoMfT2LjXI5D0wTQE6eFnBQp6DGklQACnfBCoSA~tplv-tiktokx-origin.jpeg%253Fdr%253D14572%2526refresh_token%253D5fac3251%2526x-expires%253D1808992800%2526x-signature%253DmZjhOglCTtb%25252BO6seypAv1FHvhvo%25253D%2526t%253D4d5b0474%2526ps%253D13740610%2526shp%253Dd05b14bd%2526shcp%253D34ff8df6%2526idc%253Dmy2%2526s%253DTIKTOK_AFFILIATE_VIRAL_VIDEO%22%2C%22placeholder_product_id%22%3A%221729427766722726591%22%2C%22placeholder_video_id%22%3A%227631907736367811861%22%7D&amp;ec_shared_reflux_scene=shop_tab_feed&amp;share_item_id=7631907736367811861&amp;source=h5_t</v>
      </c>
      <c r="K1041" s="470" t="str">
        <f>IFERROR(__xludf.DUMMYFUNCTION("""COMPUTED_VALUE"""),"KIMME")</f>
        <v>KIMME</v>
      </c>
      <c r="L1041" s="471" t="str">
        <f>IFERROR(__xludf.DUMMYFUNCTION("""COMPUTED_VALUE"""),"https://www.tiktok.com/@samrotulainiyah/video/7632922346277408020?_r=1&amp;u_code=5bf2dhgcc9d7g&amp;region=&amp;mid=7358865537904708358&amp;preview_pb=0&amp;sharer_language=&amp;_d=0&amp;ec_shared_reflux_dynamic_params=%7B%22placeholder_material_id%22%3A%227632922346277408020%22%2C%"&amp;"22placeholder_origin_cover%22%3A%22https%253A%252F%252Fp16-common-sign.tiktokcdn.com%252Ftos-alisg-p-0037%252FoQgQYEZapBVblvlfADB97Rb7FBZIUIfRnE4xtn~tplv-tiktokx-origin.jpeg%253Fdr%253D14572%2526refresh_token%253D625c6878%2526x-expires%253D1808992800%2526"&amp;"x-signature%253DS1tvTH%25252FKLI6Idgn7c2xS9b4FqTA%25253D%2526t%253D4d5b0474%2526ps%253D13740610%2526shp%253Dd05b14bd%2526shcp%253D34ff8df6%2526idc%253Dmy2%2526s%253DTIKTOK_AFFILIATE_VIRAL_VIDEO%22%2C%22placeholder_product_id%22%3A%221729427766722726591%22"&amp;"%2C%22placeholder_video_id%22%3A%227632922346277408020%22%7D&amp;ec_shared_reflux_scene=shop_tab_feed&amp;share_item_id=7632922346277408020&amp;source=h5_t")</f>
        <v>https://www.tiktok.com/@samrotulainiyah/video/7632922346277408020?_r=1&amp;u_code=5bf2dhgcc9d7g&amp;region=&amp;mid=7358865537904708358&amp;preview_pb=0&amp;sharer_language=&amp;_d=0&amp;ec_shared_reflux_dynamic_params=%7B%22placeholder_material_id%22%3A%227632922346277408020%22%2C%22placeholder_origin_cover%22%3A%22https%253A%252F%252Fp16-common-sign.tiktokcdn.com%252Ftos-alisg-p-0037%252FoQgQYEZapBVblvlfADB97Rb7FBZIUIfRnE4xtn~tplv-tiktokx-origin.jpeg%253Fdr%253D14572%2526refresh_token%253D625c6878%2526x-expires%253D1808992800%2526x-signature%253DS1tvTH%25252FKLI6Idgn7c2xS9b4FqTA%25253D%2526t%253D4d5b0474%2526ps%253D13740610%2526shp%253Dd05b14bd%2526shcp%253D34ff8df6%2526idc%253Dmy2%2526s%253DTIKTOK_AFFILIATE_VIRAL_VIDEO%22%2C%22placeholder_product_id%22%3A%221729427766722726591%22%2C%22placeholder_video_id%22%3A%227632922346277408020%22%7D&amp;ec_shared_reflux_scene=shop_tab_feed&amp;share_item_id=7632922346277408020&amp;source=h5_t</v>
      </c>
      <c r="M1041" s="470"/>
      <c r="N1041" s="471" t="str">
        <f>IFERROR(__xludf.DUMMYFUNCTION("""COMPUTED_VALUE"""),"https://www.tiktok.com/@samrotulainiyah/video/7637863393059261716?_r=1&amp;u_code=5bf2dhgcc9d7g&amp;region=&amp;mid=7637863419672775425&amp;preview_pb=0&amp;sharer_language=&amp;_d=0&amp;ec_shared_reflux_dynamic_params=%7B%22placeholder_material_id%22%3A%227637863393059261716%22%2C%"&amp;"22placeholder_origin_cover%22%3A%22https%253A%252F%252Fp16-common-sign.tiktokcdn.com%252Ftos-alisg-p-0037%252Fokrnf1FIgQwPFwCMIJPifMFKfgiog9l8AAeXfN~tplv-tiktokx-origin.jpeg%253Fdr%253D14572%2526refresh_token%253D035b03f8%2526x-expires%253D1810195200%2526"&amp;"x-signature%253DsvUsyhVCof8GEmQf8qTCP%25252BBo9oc%25253D%2526t%253D4d5b0474%2526ps%253D13740610%2526shp%253Dd05b14bd%2526shcp%253D34ff8df6%2526idc%253Dmy2%2526s%253DTIKTOK_AFFILIATE_VIRAL_VIDEO%22%2C%22placeholder_product_id%22%3A%221729427766722726591%22"&amp;"%2C%22placeholder_video_id%22%3A%227637863393059261716%22%7D&amp;ec_shared_reflux_scene=shop_tab_feed&amp;share_item_id=7637863393059261716&amp;source=h5_t")</f>
        <v>https://www.tiktok.com/@samrotulainiyah/video/7637863393059261716?_r=1&amp;u_code=5bf2dhgcc9d7g&amp;region=&amp;mid=7637863419672775425&amp;preview_pb=0&amp;sharer_language=&amp;_d=0&amp;ec_shared_reflux_dynamic_params=%7B%22placeholder_material_id%22%3A%227637863393059261716%22%2C%22placeholder_origin_cover%22%3A%22https%253A%252F%252Fp16-common-sign.tiktokcdn.com%252Ftos-alisg-p-0037%252Fokrnf1FIgQwPFwCMIJPifMFKfgiog9l8AAeXfN~tplv-tiktokx-origin.jpeg%253Fdr%253D14572%2526refresh_token%253D035b03f8%2526x-expires%253D1810195200%2526x-signature%253DsvUsyhVCof8GEmQf8qTCP%25252BBo9oc%25253D%2526t%253D4d5b0474%2526ps%253D13740610%2526shp%253Dd05b14bd%2526shcp%253D34ff8df6%2526idc%253Dmy2%2526s%253DTIKTOK_AFFILIATE_VIRAL_VIDEO%22%2C%22placeholder_product_id%22%3A%221729427766722726591%22%2C%22placeholder_video_id%22%3A%227637863393059261716%22%7D&amp;ec_shared_reflux_scene=shop_tab_feed&amp;share_item_id=7637863393059261716&amp;source=h5_t</v>
      </c>
      <c r="O1041" s="470"/>
      <c r="P1041" s="471" t="str">
        <f>IFERROR(__xludf.DUMMYFUNCTION("""COMPUTED_VALUE"""),"https://vt.tiktok.com/ZSxGQFr14/")</f>
        <v>https://vt.tiktok.com/ZSxGQFr14/</v>
      </c>
    </row>
    <row r="1042">
      <c r="A1042" s="282" t="str">
        <f>IFERROR(__xludf.DUMMYFUNCTION("""COMPUTED_VALUE"""),"MICRO")</f>
        <v>MICRO</v>
      </c>
      <c r="B1042" s="468" t="str">
        <f>IFERROR(__xludf.DUMMYFUNCTION("""COMPUTED_VALUE"""),"sheillanvt8")</f>
        <v>sheillanvt8</v>
      </c>
      <c r="C1042" s="283" t="str">
        <f>IFERROR(__xludf.DUMMYFUNCTION("""COMPUTED_VALUE"""),"https://www.tiktok.com/@sheillanvt8")</f>
        <v>https://www.tiktok.com/@sheillanvt8</v>
      </c>
      <c r="D1042" s="273">
        <f>IFERROR(__xludf.DUMMYFUNCTION("""COMPUTED_VALUE"""),8.9657240536E10)</f>
        <v>89657240536</v>
      </c>
      <c r="E1042" s="458">
        <f>IFERROR(__xludf.DUMMYFUNCTION("""COMPUTED_VALUE"""),0.0)</f>
        <v>0</v>
      </c>
      <c r="F1042" s="273">
        <f>IFERROR(__xludf.DUMMYFUNCTION("""COMPUTED_VALUE"""),1.0)</f>
        <v>1</v>
      </c>
      <c r="G1042" t="str">
        <f>IFERROR(__xludf.DUMMYFUNCTION("""COMPUTED_VALUE"""),"Sabun batang 1 Box ( 2 PCS )")</f>
        <v>Sabun batang 1 Box ( 2 PCS )</v>
      </c>
      <c r="H1042" s="469" t="str">
        <f>IFERROR(__xludf.DUMMYFUNCTION("""COMPUTED_VALUE"""),"Sampai")</f>
        <v>Sampai</v>
      </c>
      <c r="I1042" s="470" t="str">
        <f>IFERROR(__xludf.DUMMYFUNCTION("""COMPUTED_VALUE"""),"KIMME")</f>
        <v>KIMME</v>
      </c>
      <c r="J1042" s="471" t="str">
        <f>IFERROR(__xludf.DUMMYFUNCTION("""COMPUTED_VALUE"""),"https://vt.tiktok.com/ZSxHJ4BVy/")</f>
        <v>https://vt.tiktok.com/ZSxHJ4BVy/</v>
      </c>
      <c r="K1042" s="470" t="str">
        <f>IFERROR(__xludf.DUMMYFUNCTION("""COMPUTED_VALUE"""),"KIMME")</f>
        <v>KIMME</v>
      </c>
      <c r="L1042" s="471" t="str">
        <f>IFERROR(__xludf.DUMMYFUNCTION("""COMPUTED_VALUE"""),"https://vt.tiktok.com/ZSxHJxNfw/")</f>
        <v>https://vt.tiktok.com/ZSxHJxNfw/</v>
      </c>
      <c r="M1042" s="470"/>
      <c r="N1042" s="471" t="str">
        <f>IFERROR(__xludf.DUMMYFUNCTION("""COMPUTED_VALUE"""),"https://vt.tiktok.com/ZSxHeNuxL/")</f>
        <v>https://vt.tiktok.com/ZSxHeNuxL/</v>
      </c>
      <c r="O1042" s="470"/>
      <c r="P1042" s="471" t="str">
        <f>IFERROR(__xludf.DUMMYFUNCTION("""COMPUTED_VALUE"""),"https://vt.tiktok.com/ZSxHeUoaY/")</f>
        <v>https://vt.tiktok.com/ZSxHeUoaY/</v>
      </c>
    </row>
    <row r="1043">
      <c r="A1043" s="282" t="str">
        <f>IFERROR(__xludf.DUMMYFUNCTION("""COMPUTED_VALUE"""),"MICRO")</f>
        <v>MICRO</v>
      </c>
      <c r="B1043" s="468" t="str">
        <f>IFERROR(__xludf.DUMMYFUNCTION("""COMPUTED_VALUE"""),"salsaamelll_")</f>
        <v>salsaamelll_</v>
      </c>
      <c r="C1043" s="283" t="str">
        <f>IFERROR(__xludf.DUMMYFUNCTION("""COMPUTED_VALUE"""),"https://www.tiktok.com/@salsaamelll_")</f>
        <v>https://www.tiktok.com/@salsaamelll_</v>
      </c>
      <c r="D1043" s="273">
        <f>IFERROR(__xludf.DUMMYFUNCTION("""COMPUTED_VALUE"""),8.5711854891E10)</f>
        <v>85711854891</v>
      </c>
      <c r="E1043" s="458">
        <f>IFERROR(__xludf.DUMMYFUNCTION("""COMPUTED_VALUE"""),0.0)</f>
        <v>0</v>
      </c>
      <c r="F1043" s="273">
        <f>IFERROR(__xludf.DUMMYFUNCTION("""COMPUTED_VALUE"""),4.0)</f>
        <v>4</v>
      </c>
      <c r="G1043" t="str">
        <f>IFERROR(__xludf.DUMMYFUNCTION("""COMPUTED_VALUE"""),"Sabun batang 1 Box ( 2 PCS )")</f>
        <v>Sabun batang 1 Box ( 2 PCS )</v>
      </c>
      <c r="H1043" s="469" t="str">
        <f>IFERROR(__xludf.DUMMYFUNCTION("""COMPUTED_VALUE"""),"Sampai")</f>
        <v>Sampai</v>
      </c>
      <c r="I1043" s="470" t="str">
        <f>IFERROR(__xludf.DUMMYFUNCTION("""COMPUTED_VALUE"""),"KIMME")</f>
        <v>KIMME</v>
      </c>
      <c r="J1043" s="471" t="str">
        <f>IFERROR(__xludf.DUMMYFUNCTION("""COMPUTED_VALUE"""),"https://vt.tiktok.com/ZS9Qf8CgV/")</f>
        <v>https://vt.tiktok.com/ZS9Qf8CgV/</v>
      </c>
      <c r="K1043" s="470" t="str">
        <f>IFERROR(__xludf.DUMMYFUNCTION("""COMPUTED_VALUE"""),"KIMME")</f>
        <v>KIMME</v>
      </c>
      <c r="L1043" s="471" t="str">
        <f>IFERROR(__xludf.DUMMYFUNCTION("""COMPUTED_VALUE"""),"https://vt.tiktok.com/ZS9QfLd9G/")</f>
        <v>https://vt.tiktok.com/ZS9QfLd9G/</v>
      </c>
      <c r="M1043" s="470"/>
      <c r="N1043" s="471" t="str">
        <f>IFERROR(__xludf.DUMMYFUNCTION("""COMPUTED_VALUE"""),"https://vt.tiktok.com/ZS9Qywtw3/")</f>
        <v>https://vt.tiktok.com/ZS9Qywtw3/</v>
      </c>
      <c r="O1043" s="470"/>
      <c r="P1043" s="471" t="str">
        <f>IFERROR(__xludf.DUMMYFUNCTION("""COMPUTED_VALUE"""),"https://vt.tiktok.com/ZS9QfND8q/")</f>
        <v>https://vt.tiktok.com/ZS9QfND8q/</v>
      </c>
    </row>
    <row r="1044">
      <c r="A1044" s="282" t="str">
        <f>IFERROR(__xludf.DUMMYFUNCTION("""COMPUTED_VALUE"""),"MICRO")</f>
        <v>MICRO</v>
      </c>
      <c r="B1044" s="468" t="str">
        <f>IFERROR(__xludf.DUMMYFUNCTION("""COMPUTED_VALUE"""),"srinurgianti")</f>
        <v>srinurgianti</v>
      </c>
      <c r="C1044" s="283" t="str">
        <f>IFERROR(__xludf.DUMMYFUNCTION("""COMPUTED_VALUE"""),"https://www.tiktok.com/@srinurgianti")</f>
        <v>https://www.tiktok.com/@srinurgianti</v>
      </c>
      <c r="D1044" s="273">
        <f>IFERROR(__xludf.DUMMYFUNCTION("""COMPUTED_VALUE"""),8.5711680742E10)</f>
        <v>85711680742</v>
      </c>
      <c r="E1044" s="458">
        <f>IFERROR(__xludf.DUMMYFUNCTION("""COMPUTED_VALUE"""),0.0)</f>
        <v>0</v>
      </c>
      <c r="F1044" s="273">
        <f>IFERROR(__xludf.DUMMYFUNCTION("""COMPUTED_VALUE"""),4.0)</f>
        <v>4</v>
      </c>
      <c r="G1044" t="str">
        <f>IFERROR(__xludf.DUMMYFUNCTION("""COMPUTED_VALUE"""),"Sabun batang 1 Box ( 2 PCS )")</f>
        <v>Sabun batang 1 Box ( 2 PCS )</v>
      </c>
      <c r="H1044" s="469" t="str">
        <f>IFERROR(__xludf.DUMMYFUNCTION("""COMPUTED_VALUE"""),"Sampai")</f>
        <v>Sampai</v>
      </c>
      <c r="I1044" s="470" t="str">
        <f>IFERROR(__xludf.DUMMYFUNCTION("""COMPUTED_VALUE"""),"KIMME")</f>
        <v>KIMME</v>
      </c>
      <c r="J1044" s="471" t="str">
        <f>IFERROR(__xludf.DUMMYFUNCTION("""COMPUTED_VALUE"""),"https://vt.tiktok.com/ZS9Qf8CgV/")</f>
        <v>https://vt.tiktok.com/ZS9Qf8CgV/</v>
      </c>
      <c r="K1044" s="470" t="str">
        <f>IFERROR(__xludf.DUMMYFUNCTION("""COMPUTED_VALUE"""),"KIMME")</f>
        <v>KIMME</v>
      </c>
      <c r="L1044" s="471" t="str">
        <f>IFERROR(__xludf.DUMMYFUNCTION("""COMPUTED_VALUE"""),"https://vt.tiktok.com/ZS9QfLd9G/")</f>
        <v>https://vt.tiktok.com/ZS9QfLd9G/</v>
      </c>
      <c r="M1044" s="470"/>
      <c r="N1044" s="471" t="str">
        <f>IFERROR(__xludf.DUMMYFUNCTION("""COMPUTED_VALUE"""),"https://vt.tiktok.com/ZS9Qywtw3/")</f>
        <v>https://vt.tiktok.com/ZS9Qywtw3/</v>
      </c>
      <c r="O1044" s="470"/>
      <c r="P1044" s="471" t="str">
        <f>IFERROR(__xludf.DUMMYFUNCTION("""COMPUTED_VALUE"""),"https://vt.tiktok.com/ZS9QfND8q/")</f>
        <v>https://vt.tiktok.com/ZS9QfND8q/</v>
      </c>
    </row>
    <row r="1045">
      <c r="A1045" s="282" t="str">
        <f>IFERROR(__xludf.DUMMYFUNCTION("""COMPUTED_VALUE"""),"MICRO")</f>
        <v>MICRO</v>
      </c>
      <c r="B1045" s="468" t="str">
        <f>IFERROR(__xludf.DUMMYFUNCTION("""COMPUTED_VALUE"""),"salsasav")</f>
        <v>salsasav</v>
      </c>
      <c r="C1045" s="283" t="str">
        <f>IFERROR(__xludf.DUMMYFUNCTION("""COMPUTED_VALUE"""),"https://www.tiktok.com/@salsasav")</f>
        <v>https://www.tiktok.com/@salsasav</v>
      </c>
      <c r="D1045" s="273"/>
      <c r="E1045" s="458">
        <f>IFERROR(__xludf.DUMMYFUNCTION("""COMPUTED_VALUE"""),0.0)</f>
        <v>0</v>
      </c>
      <c r="F1045" s="273">
        <f>IFERROR(__xludf.DUMMYFUNCTION("""COMPUTED_VALUE"""),4.0)</f>
        <v>4</v>
      </c>
      <c r="G1045" t="str">
        <f>IFERROR(__xludf.DUMMYFUNCTION("""COMPUTED_VALUE"""),"Sabun batang 1 Box ( 2 PCS )")</f>
        <v>Sabun batang 1 Box ( 2 PCS )</v>
      </c>
      <c r="H1045" s="469" t="str">
        <f>IFERROR(__xludf.DUMMYFUNCTION("""COMPUTED_VALUE"""),"Sampai")</f>
        <v>Sampai</v>
      </c>
      <c r="I1045" s="470" t="str">
        <f>IFERROR(__xludf.DUMMYFUNCTION("""COMPUTED_VALUE"""),"KIMME")</f>
        <v>KIMME</v>
      </c>
      <c r="J1045" s="471" t="str">
        <f>IFERROR(__xludf.DUMMYFUNCTION("""COMPUTED_VALUE"""),"https://vt.tiktok.com/ZS9Qf8CgV/")</f>
        <v>https://vt.tiktok.com/ZS9Qf8CgV/</v>
      </c>
      <c r="K1045" s="470" t="str">
        <f>IFERROR(__xludf.DUMMYFUNCTION("""COMPUTED_VALUE"""),"KIMME")</f>
        <v>KIMME</v>
      </c>
      <c r="L1045" s="471" t="str">
        <f>IFERROR(__xludf.DUMMYFUNCTION("""COMPUTED_VALUE"""),"https://vt.tiktok.com/ZS9QfLd9G/")</f>
        <v>https://vt.tiktok.com/ZS9QfLd9G/</v>
      </c>
      <c r="M1045" s="470"/>
      <c r="N1045" s="471" t="str">
        <f>IFERROR(__xludf.DUMMYFUNCTION("""COMPUTED_VALUE"""),"https://vt.tiktok.com/ZS9Qywtw3/")</f>
        <v>https://vt.tiktok.com/ZS9Qywtw3/</v>
      </c>
      <c r="O1045" s="470"/>
      <c r="P1045" s="471" t="str">
        <f>IFERROR(__xludf.DUMMYFUNCTION("""COMPUTED_VALUE"""),"https://vt.tiktok.com/ZS9QfND8q/")</f>
        <v>https://vt.tiktok.com/ZS9QfND8q/</v>
      </c>
    </row>
    <row r="1046">
      <c r="A1046" s="282" t="str">
        <f>IFERROR(__xludf.DUMMYFUNCTION("""COMPUTED_VALUE"""),"MICRO")</f>
        <v>MICRO</v>
      </c>
      <c r="B1046" s="468" t="str">
        <f>IFERROR(__xludf.DUMMYFUNCTION("""COMPUTED_VALUE"""),"neverendah")</f>
        <v>neverendah</v>
      </c>
      <c r="C1046" s="283" t="str">
        <f>IFERROR(__xludf.DUMMYFUNCTION("""COMPUTED_VALUE"""),"https://www.tiktok.com/@neverendah")</f>
        <v>https://www.tiktok.com/@neverendah</v>
      </c>
      <c r="D1046" s="273">
        <f>IFERROR(__xludf.DUMMYFUNCTION("""COMPUTED_VALUE"""),8.3174603218E10)</f>
        <v>83174603218</v>
      </c>
      <c r="E1046" s="458">
        <f>IFERROR(__xludf.DUMMYFUNCTION("""COMPUTED_VALUE"""),0.0)</f>
        <v>0</v>
      </c>
      <c r="F1046" s="273">
        <f>IFERROR(__xludf.DUMMYFUNCTION("""COMPUTED_VALUE"""),4.0)</f>
        <v>4</v>
      </c>
      <c r="G1046" t="str">
        <f>IFERROR(__xludf.DUMMYFUNCTION("""COMPUTED_VALUE"""),"Sabun batang 1 Box ( 2 PCS )")</f>
        <v>Sabun batang 1 Box ( 2 PCS )</v>
      </c>
      <c r="H1046" s="469" t="str">
        <f>IFERROR(__xludf.DUMMYFUNCTION("""COMPUTED_VALUE"""),"Sampai")</f>
        <v>Sampai</v>
      </c>
      <c r="I1046" s="470" t="str">
        <f>IFERROR(__xludf.DUMMYFUNCTION("""COMPUTED_VALUE"""),"KIMME")</f>
        <v>KIMME</v>
      </c>
      <c r="J1046" s="471" t="str">
        <f>IFERROR(__xludf.DUMMYFUNCTION("""COMPUTED_VALUE"""),"https://vt.tiktok.com/ZS9Qf8CgV/")</f>
        <v>https://vt.tiktok.com/ZS9Qf8CgV/</v>
      </c>
      <c r="K1046" s="470" t="str">
        <f>IFERROR(__xludf.DUMMYFUNCTION("""COMPUTED_VALUE"""),"KIMME")</f>
        <v>KIMME</v>
      </c>
      <c r="L1046" s="471" t="str">
        <f>IFERROR(__xludf.DUMMYFUNCTION("""COMPUTED_VALUE"""),"https://vt.tiktok.com/ZS9QfLd9G/")</f>
        <v>https://vt.tiktok.com/ZS9QfLd9G/</v>
      </c>
      <c r="M1046" s="470"/>
      <c r="N1046" s="471" t="str">
        <f>IFERROR(__xludf.DUMMYFUNCTION("""COMPUTED_VALUE"""),"https://vt.tiktok.com/ZS9Qywtw3/")</f>
        <v>https://vt.tiktok.com/ZS9Qywtw3/</v>
      </c>
      <c r="O1046" s="470"/>
      <c r="P1046" s="471" t="str">
        <f>IFERROR(__xludf.DUMMYFUNCTION("""COMPUTED_VALUE"""),"https://vt.tiktok.com/ZS9QfND8q/")</f>
        <v>https://vt.tiktok.com/ZS9QfND8q/</v>
      </c>
    </row>
    <row r="1047">
      <c r="A1047" s="282" t="str">
        <f>IFERROR(__xludf.DUMMYFUNCTION("""COMPUTED_VALUE"""),"MICRO")</f>
        <v>MICRO</v>
      </c>
      <c r="B1047" s="468" t="str">
        <f>IFERROR(__xludf.DUMMYFUNCTION("""COMPUTED_VALUE"""),"bbykey44")</f>
        <v>bbykey44</v>
      </c>
      <c r="C1047" s="283" t="str">
        <f>IFERROR(__xludf.DUMMYFUNCTION("""COMPUTED_VALUE"""),"https://www.tiktok.com/@bbykey44")</f>
        <v>https://www.tiktok.com/@bbykey44</v>
      </c>
      <c r="D1047" s="273">
        <f>IFERROR(__xludf.DUMMYFUNCTION("""COMPUTED_VALUE"""),8.5769228954E10)</f>
        <v>85769228954</v>
      </c>
      <c r="E1047" s="458">
        <f>IFERROR(__xludf.DUMMYFUNCTION("""COMPUTED_VALUE"""),0.0)</f>
        <v>0</v>
      </c>
      <c r="F1047" s="273">
        <f>IFERROR(__xludf.DUMMYFUNCTION("""COMPUTED_VALUE"""),4.0)</f>
        <v>4</v>
      </c>
      <c r="G1047" t="str">
        <f>IFERROR(__xludf.DUMMYFUNCTION("""COMPUTED_VALUE"""),"Sabun batang 1 Box ( 2 PCS )")</f>
        <v>Sabun batang 1 Box ( 2 PCS )</v>
      </c>
      <c r="H1047" s="469" t="str">
        <f>IFERROR(__xludf.DUMMYFUNCTION("""COMPUTED_VALUE"""),"Sampai")</f>
        <v>Sampai</v>
      </c>
      <c r="I1047" s="470" t="str">
        <f>IFERROR(__xludf.DUMMYFUNCTION("""COMPUTED_VALUE"""),"KIMME")</f>
        <v>KIMME</v>
      </c>
      <c r="J1047" s="471" t="str">
        <f>IFERROR(__xludf.DUMMYFUNCTION("""COMPUTED_VALUE"""),"https://vt.tiktok.com/ZS9Qf8CgV/")</f>
        <v>https://vt.tiktok.com/ZS9Qf8CgV/</v>
      </c>
      <c r="K1047" s="470" t="str">
        <f>IFERROR(__xludf.DUMMYFUNCTION("""COMPUTED_VALUE"""),"KIMME")</f>
        <v>KIMME</v>
      </c>
      <c r="L1047" s="471" t="str">
        <f>IFERROR(__xludf.DUMMYFUNCTION("""COMPUTED_VALUE"""),"https://vt.tiktok.com/ZS9QfLd9G/")</f>
        <v>https://vt.tiktok.com/ZS9QfLd9G/</v>
      </c>
      <c r="M1047" s="470"/>
      <c r="N1047" s="471" t="str">
        <f>IFERROR(__xludf.DUMMYFUNCTION("""COMPUTED_VALUE"""),"https://vt.tiktok.com/ZS9Qywtw3/")</f>
        <v>https://vt.tiktok.com/ZS9Qywtw3/</v>
      </c>
      <c r="O1047" s="470"/>
      <c r="P1047" s="471" t="str">
        <f>IFERROR(__xludf.DUMMYFUNCTION("""COMPUTED_VALUE"""),"https://vt.tiktok.com/ZS9QfND8q/")</f>
        <v>https://vt.tiktok.com/ZS9QfND8q/</v>
      </c>
    </row>
    <row r="1048">
      <c r="A1048" s="282" t="str">
        <f>IFERROR(__xludf.DUMMYFUNCTION("""COMPUTED_VALUE"""),"MICRO")</f>
        <v>MICRO</v>
      </c>
      <c r="B1048" s="468" t="str">
        <f>IFERROR(__xludf.DUMMYFUNCTION("""COMPUTED_VALUE"""),"drysftr")</f>
        <v>drysftr</v>
      </c>
      <c r="C1048" s="283" t="str">
        <f>IFERROR(__xludf.DUMMYFUNCTION("""COMPUTED_VALUE"""),"https://www.tiktok.com/@drysftr")</f>
        <v>https://www.tiktok.com/@drysftr</v>
      </c>
      <c r="D1048" s="273">
        <f>IFERROR(__xludf.DUMMYFUNCTION("""COMPUTED_VALUE"""),8.7876861562E10)</f>
        <v>87876861562</v>
      </c>
      <c r="E1048" s="458">
        <f>IFERROR(__xludf.DUMMYFUNCTION("""COMPUTED_VALUE"""),0.0)</f>
        <v>0</v>
      </c>
      <c r="F1048" s="273">
        <f>IFERROR(__xludf.DUMMYFUNCTION("""COMPUTED_VALUE"""),1.0)</f>
        <v>1</v>
      </c>
      <c r="G1048" t="str">
        <f>IFERROR(__xludf.DUMMYFUNCTION("""COMPUTED_VALUE"""),"Sabun batang 1 Box ( 2 PCS )")</f>
        <v>Sabun batang 1 Box ( 2 PCS )</v>
      </c>
      <c r="H1048" s="469" t="str">
        <f>IFERROR(__xludf.DUMMYFUNCTION("""COMPUTED_VALUE"""),"Sampai")</f>
        <v>Sampai</v>
      </c>
      <c r="I1048" s="470" t="str">
        <f>IFERROR(__xludf.DUMMYFUNCTION("""COMPUTED_VALUE"""),"KIMME")</f>
        <v>KIMME</v>
      </c>
      <c r="J1048" s="471" t="str">
        <f>IFERROR(__xludf.DUMMYFUNCTION("""COMPUTED_VALUE"""),"https://vt.tiktok.com/ZS9Qf8CgV/")</f>
        <v>https://vt.tiktok.com/ZS9Qf8CgV/</v>
      </c>
      <c r="K1048" s="470" t="str">
        <f>IFERROR(__xludf.DUMMYFUNCTION("""COMPUTED_VALUE"""),"KIMME")</f>
        <v>KIMME</v>
      </c>
      <c r="L1048" s="471" t="str">
        <f>IFERROR(__xludf.DUMMYFUNCTION("""COMPUTED_VALUE"""),"https://vt.tiktok.com/ZS9QfLd9G/")</f>
        <v>https://vt.tiktok.com/ZS9QfLd9G/</v>
      </c>
      <c r="M1048" s="470"/>
      <c r="N1048" s="471" t="str">
        <f>IFERROR(__xludf.DUMMYFUNCTION("""COMPUTED_VALUE"""),"https://vt.tiktok.com/ZS9Qywtw3/")</f>
        <v>https://vt.tiktok.com/ZS9Qywtw3/</v>
      </c>
      <c r="O1048" s="470"/>
      <c r="P1048" s="471" t="str">
        <f>IFERROR(__xludf.DUMMYFUNCTION("""COMPUTED_VALUE"""),"https://vt.tiktok.com/ZS9QfND8q/")</f>
        <v>https://vt.tiktok.com/ZS9QfND8q/</v>
      </c>
    </row>
    <row r="1049">
      <c r="A1049" s="282" t="str">
        <f>IFERROR(__xludf.DUMMYFUNCTION("""COMPUTED_VALUE"""),"MICRO")</f>
        <v>MICRO</v>
      </c>
      <c r="B1049" s="468" t="str">
        <f>IFERROR(__xludf.DUMMYFUNCTION("""COMPUTED_VALUE"""),"accio.olshop")</f>
        <v>accio.olshop</v>
      </c>
      <c r="C1049" s="283" t="str">
        <f>IFERROR(__xludf.DUMMYFUNCTION("""COMPUTED_VALUE"""),"https://www.tiktok.com/@accio.olshop")</f>
        <v>https://www.tiktok.com/@accio.olshop</v>
      </c>
      <c r="D1049" s="273">
        <f>IFERROR(__xludf.DUMMYFUNCTION("""COMPUTED_VALUE"""),8.5271850594E10)</f>
        <v>85271850594</v>
      </c>
      <c r="E1049" s="458">
        <f>IFERROR(__xludf.DUMMYFUNCTION("""COMPUTED_VALUE"""),0.0)</f>
        <v>0</v>
      </c>
      <c r="F1049" s="273">
        <f>IFERROR(__xludf.DUMMYFUNCTION("""COMPUTED_VALUE"""),4.0)</f>
        <v>4</v>
      </c>
      <c r="G1049" t="str">
        <f>IFERROR(__xludf.DUMMYFUNCTION("""COMPUTED_VALUE"""),"Sabun batang 1 Box ( 2 PCS )")</f>
        <v>Sabun batang 1 Box ( 2 PCS )</v>
      </c>
      <c r="H1049" s="469" t="str">
        <f>IFERROR(__xludf.DUMMYFUNCTION("""COMPUTED_VALUE"""),"Sampai")</f>
        <v>Sampai</v>
      </c>
      <c r="I1049" s="470" t="str">
        <f>IFERROR(__xludf.DUMMYFUNCTION("""COMPUTED_VALUE"""),"KIMME")</f>
        <v>KIMME</v>
      </c>
      <c r="J1049" s="471" t="str">
        <f>IFERROR(__xludf.DUMMYFUNCTION("""COMPUTED_VALUE"""),"https://vt.tiktok.com/ZS9Qf8CgV/")</f>
        <v>https://vt.tiktok.com/ZS9Qf8CgV/</v>
      </c>
      <c r="K1049" s="470" t="str">
        <f>IFERROR(__xludf.DUMMYFUNCTION("""COMPUTED_VALUE"""),"KIMME")</f>
        <v>KIMME</v>
      </c>
      <c r="L1049" s="471" t="str">
        <f>IFERROR(__xludf.DUMMYFUNCTION("""COMPUTED_VALUE"""),"https://vt.tiktok.com/ZS9QfLd9G/")</f>
        <v>https://vt.tiktok.com/ZS9QfLd9G/</v>
      </c>
      <c r="M1049" s="470"/>
      <c r="N1049" s="471" t="str">
        <f>IFERROR(__xludf.DUMMYFUNCTION("""COMPUTED_VALUE"""),"https://vt.tiktok.com/ZS9Qywtw3/")</f>
        <v>https://vt.tiktok.com/ZS9Qywtw3/</v>
      </c>
      <c r="O1049" s="470"/>
      <c r="P1049" s="471" t="str">
        <f>IFERROR(__xludf.DUMMYFUNCTION("""COMPUTED_VALUE"""),"https://vt.tiktok.com/ZS9QfND8q/")</f>
        <v>https://vt.tiktok.com/ZS9QfND8q/</v>
      </c>
    </row>
    <row r="1050">
      <c r="A1050" s="282" t="str">
        <f>IFERROR(__xludf.DUMMYFUNCTION("""COMPUTED_VALUE"""),"MICRO")</f>
        <v>MICRO</v>
      </c>
      <c r="B1050" s="468" t="str">
        <f>IFERROR(__xludf.DUMMYFUNCTION("""COMPUTED_VALUE"""),"slwblla5")</f>
        <v>slwblla5</v>
      </c>
      <c r="C1050" s="283" t="str">
        <f>IFERROR(__xludf.DUMMYFUNCTION("""COMPUTED_VALUE"""),"https://www.tiktok.com/@slwblla5")</f>
        <v>https://www.tiktok.com/@slwblla5</v>
      </c>
      <c r="D1050" s="273">
        <f>IFERROR(__xludf.DUMMYFUNCTION("""COMPUTED_VALUE"""),8.2296510921E10)</f>
        <v>82296510921</v>
      </c>
      <c r="E1050" s="458">
        <f>IFERROR(__xludf.DUMMYFUNCTION("""COMPUTED_VALUE"""),0.0)</f>
        <v>0</v>
      </c>
      <c r="F1050" s="273">
        <f>IFERROR(__xludf.DUMMYFUNCTION("""COMPUTED_VALUE"""),4.0)</f>
        <v>4</v>
      </c>
      <c r="G1050" t="str">
        <f>IFERROR(__xludf.DUMMYFUNCTION("""COMPUTED_VALUE"""),"Sabun batang 1 Box ( 2 PCS )")</f>
        <v>Sabun batang 1 Box ( 2 PCS )</v>
      </c>
      <c r="H1050" s="469" t="str">
        <f>IFERROR(__xludf.DUMMYFUNCTION("""COMPUTED_VALUE"""),"Sampai")</f>
        <v>Sampai</v>
      </c>
      <c r="I1050" s="470" t="str">
        <f>IFERROR(__xludf.DUMMYFUNCTION("""COMPUTED_VALUE"""),"KIMME")</f>
        <v>KIMME</v>
      </c>
      <c r="J1050" s="471" t="str">
        <f>IFERROR(__xludf.DUMMYFUNCTION("""COMPUTED_VALUE"""),"https://vt.tiktok.com/ZSxq61XAe/")</f>
        <v>https://vt.tiktok.com/ZSxq61XAe/</v>
      </c>
      <c r="K1050" s="470" t="str">
        <f>IFERROR(__xludf.DUMMYFUNCTION("""COMPUTED_VALUE"""),"KIMME")</f>
        <v>KIMME</v>
      </c>
      <c r="L1050" s="471" t="str">
        <f>IFERROR(__xludf.DUMMYFUNCTION("""COMPUTED_VALUE"""),"https://vt.tiktok.com/ZSxGXyFnE/")</f>
        <v>https://vt.tiktok.com/ZSxGXyFnE/</v>
      </c>
      <c r="M1050" s="470"/>
      <c r="N1050" s="471" t="str">
        <f>IFERROR(__xludf.DUMMYFUNCTION("""COMPUTED_VALUE"""),"https://vt.tiktok.com/ZSxvNVhGD/")</f>
        <v>https://vt.tiktok.com/ZSxvNVhGD/</v>
      </c>
      <c r="O1050" s="470"/>
      <c r="P1050" s="471" t="str">
        <f>IFERROR(__xludf.DUMMYFUNCTION("""COMPUTED_VALUE"""),"https://vt.tiktok.com/ZSQJkqCQk/")</f>
        <v>https://vt.tiktok.com/ZSQJkqCQk/</v>
      </c>
    </row>
    <row r="1051">
      <c r="A1051" s="282" t="str">
        <f>IFERROR(__xludf.DUMMYFUNCTION("""COMPUTED_VALUE"""),"MICRO")</f>
        <v>MICRO</v>
      </c>
      <c r="B1051" s="468" t="str">
        <f>IFERROR(__xludf.DUMMYFUNCTION("""COMPUTED_VALUE"""),"slsyfr_
")</f>
        <v>slsyfr_
</v>
      </c>
      <c r="C1051" s="283" t="str">
        <f>IFERROR(__xludf.DUMMYFUNCTION("""COMPUTED_VALUE"""),"https://www.tiktok.com/@slsyfr_
")</f>
        <v>https://www.tiktok.com/@slsyfr_
</v>
      </c>
      <c r="D1051" s="273">
        <f>IFERROR(__xludf.DUMMYFUNCTION("""COMPUTED_VALUE"""),8.5773097717E10)</f>
        <v>85773097717</v>
      </c>
      <c r="E1051" s="458">
        <f>IFERROR(__xludf.DUMMYFUNCTION("""COMPUTED_VALUE"""),0.0)</f>
        <v>0</v>
      </c>
      <c r="F1051" s="273">
        <f>IFERROR(__xludf.DUMMYFUNCTION("""COMPUTED_VALUE"""),4.0)</f>
        <v>4</v>
      </c>
      <c r="G1051" t="str">
        <f>IFERROR(__xludf.DUMMYFUNCTION("""COMPUTED_VALUE"""),"Sabun batang 1 Box ( 2 PCS )")</f>
        <v>Sabun batang 1 Box ( 2 PCS )</v>
      </c>
      <c r="H1051" s="469" t="str">
        <f>IFERROR(__xludf.DUMMYFUNCTION("""COMPUTED_VALUE"""),"Sampai")</f>
        <v>Sampai</v>
      </c>
      <c r="I1051" s="470" t="str">
        <f>IFERROR(__xludf.DUMMYFUNCTION("""COMPUTED_VALUE"""),"KIMME")</f>
        <v>KIMME</v>
      </c>
      <c r="J1051" s="471" t="str">
        <f>IFERROR(__xludf.DUMMYFUNCTION("""COMPUTED_VALUE"""),"https://vt.tiktok.com/ZS9Qf8CgV/")</f>
        <v>https://vt.tiktok.com/ZS9Qf8CgV/</v>
      </c>
      <c r="K1051" s="470" t="str">
        <f>IFERROR(__xludf.DUMMYFUNCTION("""COMPUTED_VALUE"""),"KIMME")</f>
        <v>KIMME</v>
      </c>
      <c r="L1051" s="471" t="str">
        <f>IFERROR(__xludf.DUMMYFUNCTION("""COMPUTED_VALUE"""),"https://vt.tiktok.com/ZS9QfLd9G/")</f>
        <v>https://vt.tiktok.com/ZS9QfLd9G/</v>
      </c>
      <c r="M1051" s="470"/>
      <c r="N1051" s="471" t="str">
        <f>IFERROR(__xludf.DUMMYFUNCTION("""COMPUTED_VALUE"""),"https://vt.tiktok.com/ZS9Qywtw3/")</f>
        <v>https://vt.tiktok.com/ZS9Qywtw3/</v>
      </c>
      <c r="O1051" s="470"/>
      <c r="P1051" s="471" t="str">
        <f>IFERROR(__xludf.DUMMYFUNCTION("""COMPUTED_VALUE"""),"https://vt.tiktok.com/ZS9QfND8q/")</f>
        <v>https://vt.tiktok.com/ZS9QfND8q/</v>
      </c>
    </row>
    <row r="1052">
      <c r="A1052" s="282" t="str">
        <f>IFERROR(__xludf.DUMMYFUNCTION("""COMPUTED_VALUE"""),"MICRO")</f>
        <v>MICRO</v>
      </c>
      <c r="B1052" s="468" t="str">
        <f>IFERROR(__xludf.DUMMYFUNCTION("""COMPUTED_VALUE"""),"e.mam__")</f>
        <v>e.mam__</v>
      </c>
      <c r="C1052" s="283" t="str">
        <f>IFERROR(__xludf.DUMMYFUNCTION("""COMPUTED_VALUE"""),"https://www.tiktok.com/@e.mam__")</f>
        <v>https://www.tiktok.com/@e.mam__</v>
      </c>
      <c r="D1052" s="273">
        <f>IFERROR(__xludf.DUMMYFUNCTION("""COMPUTED_VALUE"""),8.5773097717E10)</f>
        <v>85773097717</v>
      </c>
      <c r="E1052" s="458">
        <f>IFERROR(__xludf.DUMMYFUNCTION("""COMPUTED_VALUE"""),0.0)</f>
        <v>0</v>
      </c>
      <c r="F1052" s="273">
        <f>IFERROR(__xludf.DUMMYFUNCTION("""COMPUTED_VALUE"""),4.0)</f>
        <v>4</v>
      </c>
      <c r="G1052" t="str">
        <f>IFERROR(__xludf.DUMMYFUNCTION("""COMPUTED_VALUE"""),"Sabun batang 1 Box ( 2 PCS )")</f>
        <v>Sabun batang 1 Box ( 2 PCS )</v>
      </c>
      <c r="H1052" s="469" t="str">
        <f>IFERROR(__xludf.DUMMYFUNCTION("""COMPUTED_VALUE"""),"Sampai")</f>
        <v>Sampai</v>
      </c>
      <c r="I1052" s="470" t="str">
        <f>IFERROR(__xludf.DUMMYFUNCTION("""COMPUTED_VALUE"""),"KIMME")</f>
        <v>KIMME</v>
      </c>
      <c r="J1052" s="471" t="str">
        <f>IFERROR(__xludf.DUMMYFUNCTION("""COMPUTED_VALUE"""),"https://vt.tiktok.com/ZS9Qf8CgV/")</f>
        <v>https://vt.tiktok.com/ZS9Qf8CgV/</v>
      </c>
      <c r="K1052" s="470" t="str">
        <f>IFERROR(__xludf.DUMMYFUNCTION("""COMPUTED_VALUE"""),"KIMME")</f>
        <v>KIMME</v>
      </c>
      <c r="L1052" s="471" t="str">
        <f>IFERROR(__xludf.DUMMYFUNCTION("""COMPUTED_VALUE"""),"https://vt.tiktok.com/ZS9QfLd9G/")</f>
        <v>https://vt.tiktok.com/ZS9QfLd9G/</v>
      </c>
      <c r="M1052" s="470"/>
      <c r="N1052" s="471" t="str">
        <f>IFERROR(__xludf.DUMMYFUNCTION("""COMPUTED_VALUE"""),"https://vt.tiktok.com/ZS9Qywtw3/")</f>
        <v>https://vt.tiktok.com/ZS9Qywtw3/</v>
      </c>
      <c r="O1052" s="470"/>
      <c r="P1052" s="471" t="str">
        <f>IFERROR(__xludf.DUMMYFUNCTION("""COMPUTED_VALUE"""),"https://vt.tiktok.com/ZS9QfND8q/")</f>
        <v>https://vt.tiktok.com/ZS9QfND8q/</v>
      </c>
    </row>
    <row r="1053">
      <c r="A1053" s="282" t="str">
        <f>IFERROR(__xludf.DUMMYFUNCTION("""COMPUTED_VALUE"""),"MICRO")</f>
        <v>MICRO</v>
      </c>
      <c r="B1053" s="468" t="str">
        <f>IFERROR(__xludf.DUMMYFUNCTION("""COMPUTED_VALUE"""),"izwanjuliyans")</f>
        <v>izwanjuliyans</v>
      </c>
      <c r="C1053" s="283" t="str">
        <f>IFERROR(__xludf.DUMMYFUNCTION("""COMPUTED_VALUE"""),"https://www.tiktok.com/@izwanjuliyans")</f>
        <v>https://www.tiktok.com/@izwanjuliyans</v>
      </c>
      <c r="D1053" s="273">
        <f>IFERROR(__xludf.DUMMYFUNCTION("""COMPUTED_VALUE"""),8.7879495041E10)</f>
        <v>87879495041</v>
      </c>
      <c r="E1053" s="458">
        <f>IFERROR(__xludf.DUMMYFUNCTION("""COMPUTED_VALUE"""),0.0)</f>
        <v>0</v>
      </c>
      <c r="F1053" s="273">
        <f>IFERROR(__xludf.DUMMYFUNCTION("""COMPUTED_VALUE"""),4.0)</f>
        <v>4</v>
      </c>
      <c r="G1053" t="str">
        <f>IFERROR(__xludf.DUMMYFUNCTION("""COMPUTED_VALUE"""),"Sabun batang 1 Box ( 2 PCS )")</f>
        <v>Sabun batang 1 Box ( 2 PCS )</v>
      </c>
      <c r="H1053" s="469" t="str">
        <f>IFERROR(__xludf.DUMMYFUNCTION("""COMPUTED_VALUE"""),"Sampai")</f>
        <v>Sampai</v>
      </c>
      <c r="I1053" s="470" t="str">
        <f>IFERROR(__xludf.DUMMYFUNCTION("""COMPUTED_VALUE"""),"KIMME")</f>
        <v>KIMME</v>
      </c>
      <c r="J1053" s="471" t="str">
        <f>IFERROR(__xludf.DUMMYFUNCTION("""COMPUTED_VALUE"""),"https://vt.tiktok.com/ZS9Qf8CgV/")</f>
        <v>https://vt.tiktok.com/ZS9Qf8CgV/</v>
      </c>
      <c r="K1053" s="470" t="str">
        <f>IFERROR(__xludf.DUMMYFUNCTION("""COMPUTED_VALUE"""),"KIMME")</f>
        <v>KIMME</v>
      </c>
      <c r="L1053" s="471" t="str">
        <f>IFERROR(__xludf.DUMMYFUNCTION("""COMPUTED_VALUE"""),"https://vt.tiktok.com/ZS9QfLd9G/")</f>
        <v>https://vt.tiktok.com/ZS9QfLd9G/</v>
      </c>
      <c r="M1053" s="470"/>
      <c r="N1053" s="471" t="str">
        <f>IFERROR(__xludf.DUMMYFUNCTION("""COMPUTED_VALUE"""),"https://vt.tiktok.com/ZS9Qywtw3/")</f>
        <v>https://vt.tiktok.com/ZS9Qywtw3/</v>
      </c>
      <c r="O1053" s="470"/>
      <c r="P1053" s="471" t="str">
        <f>IFERROR(__xludf.DUMMYFUNCTION("""COMPUTED_VALUE"""),"https://vt.tiktok.com/ZS9QfND8q/")</f>
        <v>https://vt.tiktok.com/ZS9QfND8q/</v>
      </c>
    </row>
    <row r="1054">
      <c r="A1054" s="282" t="str">
        <f>IFERROR(__xludf.DUMMYFUNCTION("""COMPUTED_VALUE"""),"MICRO")</f>
        <v>MICRO</v>
      </c>
      <c r="B1054" s="468" t="str">
        <f>IFERROR(__xludf.DUMMYFUNCTION("""COMPUTED_VALUE"""),"zeniis_beauty86")</f>
        <v>zeniis_beauty86</v>
      </c>
      <c r="C1054" s="283" t="str">
        <f>IFERROR(__xludf.DUMMYFUNCTION("""COMPUTED_VALUE"""),"https://www.tiktok.com/@zeniis_beauty86")</f>
        <v>https://www.tiktok.com/@zeniis_beauty86</v>
      </c>
      <c r="D1054" s="273">
        <f>IFERROR(__xludf.DUMMYFUNCTION("""COMPUTED_VALUE"""),8.9520128788E10)</f>
        <v>89520128788</v>
      </c>
      <c r="E1054" s="458">
        <f>IFERROR(__xludf.DUMMYFUNCTION("""COMPUTED_VALUE"""),0.0)</f>
        <v>0</v>
      </c>
      <c r="F1054" s="273">
        <f>IFERROR(__xludf.DUMMYFUNCTION("""COMPUTED_VALUE"""),4.0)</f>
        <v>4</v>
      </c>
      <c r="G1054" t="str">
        <f>IFERROR(__xludf.DUMMYFUNCTION("""COMPUTED_VALUE"""),"Sabun batang 1 Box ( 2 PCS )")</f>
        <v>Sabun batang 1 Box ( 2 PCS )</v>
      </c>
      <c r="H1054" s="469" t="str">
        <f>IFERROR(__xludf.DUMMYFUNCTION("""COMPUTED_VALUE"""),"Sampai")</f>
        <v>Sampai</v>
      </c>
      <c r="I1054" s="470" t="str">
        <f>IFERROR(__xludf.DUMMYFUNCTION("""COMPUTED_VALUE"""),"KIMME")</f>
        <v>KIMME</v>
      </c>
      <c r="J1054" s="471" t="str">
        <f>IFERROR(__xludf.DUMMYFUNCTION("""COMPUTED_VALUE"""),"https://vt.tiktok.com/ZS9Qf8CgV/")</f>
        <v>https://vt.tiktok.com/ZS9Qf8CgV/</v>
      </c>
      <c r="K1054" s="470" t="str">
        <f>IFERROR(__xludf.DUMMYFUNCTION("""COMPUTED_VALUE"""),"KIMME")</f>
        <v>KIMME</v>
      </c>
      <c r="L1054" s="471" t="str">
        <f>IFERROR(__xludf.DUMMYFUNCTION("""COMPUTED_VALUE"""),"https://vt.tiktok.com/ZS9QfLd9G/")</f>
        <v>https://vt.tiktok.com/ZS9QfLd9G/</v>
      </c>
      <c r="M1054" s="470"/>
      <c r="N1054" s="471" t="str">
        <f>IFERROR(__xludf.DUMMYFUNCTION("""COMPUTED_VALUE"""),"https://vt.tiktok.com/ZS9Qywtw3/")</f>
        <v>https://vt.tiktok.com/ZS9Qywtw3/</v>
      </c>
      <c r="O1054" s="470"/>
      <c r="P1054" s="471" t="str">
        <f>IFERROR(__xludf.DUMMYFUNCTION("""COMPUTED_VALUE"""),"https://vt.tiktok.com/ZS9QfND8q/")</f>
        <v>https://vt.tiktok.com/ZS9QfND8q/</v>
      </c>
    </row>
    <row r="1055">
      <c r="A1055" s="282" t="str">
        <f>IFERROR(__xludf.DUMMYFUNCTION("""COMPUTED_VALUE"""),"MICRO")</f>
        <v>MICRO</v>
      </c>
      <c r="B1055" s="468" t="str">
        <f>IFERROR(__xludf.DUMMYFUNCTION("""COMPUTED_VALUE"""),"_aleya22")</f>
        <v>_aleya22</v>
      </c>
      <c r="C1055" s="283" t="str">
        <f>IFERROR(__xludf.DUMMYFUNCTION("""COMPUTED_VALUE"""),"https://www.tiktok.com/@_aleya22")</f>
        <v>https://www.tiktok.com/@_aleya22</v>
      </c>
      <c r="D1055" s="273">
        <f>IFERROR(__xludf.DUMMYFUNCTION("""COMPUTED_VALUE"""),8.5700223296E10)</f>
        <v>85700223296</v>
      </c>
      <c r="E1055" s="458">
        <f>IFERROR(__xludf.DUMMYFUNCTION("""COMPUTED_VALUE"""),0.0)</f>
        <v>0</v>
      </c>
      <c r="F1055" s="273">
        <f>IFERROR(__xludf.DUMMYFUNCTION("""COMPUTED_VALUE"""),4.0)</f>
        <v>4</v>
      </c>
      <c r="G1055" t="str">
        <f>IFERROR(__xludf.DUMMYFUNCTION("""COMPUTED_VALUE"""),"Sabun batang 1 Box ( 2 PCS )")</f>
        <v>Sabun batang 1 Box ( 2 PCS )</v>
      </c>
      <c r="H1055" s="469" t="str">
        <f>IFERROR(__xludf.DUMMYFUNCTION("""COMPUTED_VALUE"""),"Sampai")</f>
        <v>Sampai</v>
      </c>
      <c r="I1055" s="470" t="str">
        <f>IFERROR(__xludf.DUMMYFUNCTION("""COMPUTED_VALUE"""),"KIMME")</f>
        <v>KIMME</v>
      </c>
      <c r="J1055" s="471" t="str">
        <f>IFERROR(__xludf.DUMMYFUNCTION("""COMPUTED_VALUE"""),"https://vt.tiktok.com/ZS9Qf8CgV/")</f>
        <v>https://vt.tiktok.com/ZS9Qf8CgV/</v>
      </c>
      <c r="K1055" s="470" t="str">
        <f>IFERROR(__xludf.DUMMYFUNCTION("""COMPUTED_VALUE"""),"KIMME")</f>
        <v>KIMME</v>
      </c>
      <c r="L1055" s="471" t="str">
        <f>IFERROR(__xludf.DUMMYFUNCTION("""COMPUTED_VALUE"""),"https://vt.tiktok.com/ZS9QfLd9G/")</f>
        <v>https://vt.tiktok.com/ZS9QfLd9G/</v>
      </c>
      <c r="M1055" s="470"/>
      <c r="N1055" s="471" t="str">
        <f>IFERROR(__xludf.DUMMYFUNCTION("""COMPUTED_VALUE"""),"https://vt.tiktok.com/ZS9Qywtw3/")</f>
        <v>https://vt.tiktok.com/ZS9Qywtw3/</v>
      </c>
      <c r="O1055" s="470"/>
      <c r="P1055" s="471" t="str">
        <f>IFERROR(__xludf.DUMMYFUNCTION("""COMPUTED_VALUE"""),"https://vt.tiktok.com/ZS9QfND8q/")</f>
        <v>https://vt.tiktok.com/ZS9QfND8q/</v>
      </c>
    </row>
    <row r="1056">
      <c r="A1056" s="282" t="str">
        <f>IFERROR(__xludf.DUMMYFUNCTION("""COMPUTED_VALUE"""),"MICRO")</f>
        <v>MICRO</v>
      </c>
      <c r="B1056" s="468" t="str">
        <f>IFERROR(__xludf.DUMMYFUNCTION("""COMPUTED_VALUE"""),"musniatiatika")</f>
        <v>musniatiatika</v>
      </c>
      <c r="C1056" s="283" t="str">
        <f>IFERROR(__xludf.DUMMYFUNCTION("""COMPUTED_VALUE"""),"https://www.tiktok.com/@musniatiatika")</f>
        <v>https://www.tiktok.com/@musniatiatika</v>
      </c>
      <c r="D1056" s="273">
        <f>IFERROR(__xludf.DUMMYFUNCTION("""COMPUTED_VALUE"""),8.1275008239E10)</f>
        <v>81275008239</v>
      </c>
      <c r="E1056" s="458">
        <f>IFERROR(__xludf.DUMMYFUNCTION("""COMPUTED_VALUE"""),0.0)</f>
        <v>0</v>
      </c>
      <c r="F1056" s="273">
        <f>IFERROR(__xludf.DUMMYFUNCTION("""COMPUTED_VALUE"""),4.0)</f>
        <v>4</v>
      </c>
      <c r="G1056" t="str">
        <f>IFERROR(__xludf.DUMMYFUNCTION("""COMPUTED_VALUE"""),"Sabun batang 1 Box ( 2 PCS )")</f>
        <v>Sabun batang 1 Box ( 2 PCS )</v>
      </c>
      <c r="H1056" s="469" t="str">
        <f>IFERROR(__xludf.DUMMYFUNCTION("""COMPUTED_VALUE"""),"Sampai")</f>
        <v>Sampai</v>
      </c>
      <c r="I1056" s="470" t="str">
        <f>IFERROR(__xludf.DUMMYFUNCTION("""COMPUTED_VALUE"""),"KIMME")</f>
        <v>KIMME</v>
      </c>
      <c r="J1056" s="471" t="str">
        <f>IFERROR(__xludf.DUMMYFUNCTION("""COMPUTED_VALUE"""),"https://vt.tiktok.com/ZSxHyqG5j/")</f>
        <v>https://vt.tiktok.com/ZSxHyqG5j/</v>
      </c>
      <c r="K1056" s="470" t="str">
        <f>IFERROR(__xludf.DUMMYFUNCTION("""COMPUTED_VALUE"""),"KIMME")</f>
        <v>KIMME</v>
      </c>
      <c r="L1056" s="471" t="str">
        <f>IFERROR(__xludf.DUMMYFUNCTION("""COMPUTED_VALUE"""),"https://vt.tiktok.com/ZSxHfhnBd/")</f>
        <v>https://vt.tiktok.com/ZSxHfhnBd/</v>
      </c>
      <c r="M1056" s="470"/>
      <c r="N1056" s="471" t="str">
        <f>IFERROR(__xludf.DUMMYFUNCTION("""COMPUTED_VALUE"""),"https://vt.tiktok.com/ZSxHfhQN8/")</f>
        <v>https://vt.tiktok.com/ZSxHfhQN8/</v>
      </c>
      <c r="O1056" s="470"/>
      <c r="P1056" s="471" t="str">
        <f>IFERROR(__xludf.DUMMYFUNCTION("""COMPUTED_VALUE"""),"https://vt.tiktok.com/ZSxHfrjwB/")</f>
        <v>https://vt.tiktok.com/ZSxHfrjwB/</v>
      </c>
    </row>
    <row r="1057">
      <c r="A1057" s="282" t="str">
        <f>IFERROR(__xludf.DUMMYFUNCTION("""COMPUTED_VALUE"""),"MICRO")</f>
        <v>MICRO</v>
      </c>
      <c r="B1057" s="468" t="str">
        <f>IFERROR(__xludf.DUMMYFUNCTION("""COMPUTED_VALUE"""),"tasya_marantika")</f>
        <v>tasya_marantika</v>
      </c>
      <c r="C1057" s="283" t="str">
        <f>IFERROR(__xludf.DUMMYFUNCTION("""COMPUTED_VALUE"""),"https://www.tiktok.com/@tasya_marantika")</f>
        <v>https://www.tiktok.com/@tasya_marantika</v>
      </c>
      <c r="D1057" s="273">
        <f>IFERROR(__xludf.DUMMYFUNCTION("""COMPUTED_VALUE"""),8.5709564761E10)</f>
        <v>85709564761</v>
      </c>
      <c r="E1057" s="458">
        <f>IFERROR(__xludf.DUMMYFUNCTION("""COMPUTED_VALUE"""),50000.0)</f>
        <v>50000</v>
      </c>
      <c r="F1057" s="273">
        <f>IFERROR(__xludf.DUMMYFUNCTION("""COMPUTED_VALUE"""),1.0)</f>
        <v>1</v>
      </c>
      <c r="G1057" t="str">
        <f>IFERROR(__xludf.DUMMYFUNCTION("""COMPUTED_VALUE"""),"Sabun batang 1 Box ( 2 PCS )")</f>
        <v>Sabun batang 1 Box ( 2 PCS )</v>
      </c>
      <c r="H1057" s="469" t="str">
        <f>IFERROR(__xludf.DUMMYFUNCTION("""COMPUTED_VALUE"""),"Sampai")</f>
        <v>Sampai</v>
      </c>
      <c r="I1057" s="470" t="str">
        <f>IFERROR(__xludf.DUMMYFUNCTION("""COMPUTED_VALUE"""),"KIMME")</f>
        <v>KIMME</v>
      </c>
      <c r="J1057" s="471" t="str">
        <f>IFERROR(__xludf.DUMMYFUNCTION("""COMPUTED_VALUE"""),"https://vt.tiktok.com/ZS9V6ELvp/")</f>
        <v>https://vt.tiktok.com/ZS9V6ELvp/</v>
      </c>
      <c r="K1057" s="470" t="str">
        <f>IFERROR(__xludf.DUMMYFUNCTION("""COMPUTED_VALUE"""),"KIMME")</f>
        <v>KIMME</v>
      </c>
      <c r="L1057" s="471" t="str">
        <f>IFERROR(__xludf.DUMMYFUNCTION("""COMPUTED_VALUE"""),"https://vt.tiktok.com/ZSxHfh38e/")</f>
        <v>https://vt.tiktok.com/ZSxHfh38e/</v>
      </c>
      <c r="M1057" s="470"/>
      <c r="N1057" s="471" t="str">
        <f>IFERROR(__xludf.DUMMYFUNCTION("""COMPUTED_VALUE"""),"https://vt.tiktok.com/ZSxHf57NE/")</f>
        <v>https://vt.tiktok.com/ZSxHf57NE/</v>
      </c>
      <c r="O1057" s="470"/>
      <c r="P1057" s="471" t="str">
        <f>IFERROR(__xludf.DUMMYFUNCTION("""COMPUTED_VALUE"""),"https://vt.tiktok.com/ZSxHfmjLs/")</f>
        <v>https://vt.tiktok.com/ZSxHfmjLs/</v>
      </c>
    </row>
    <row r="1058">
      <c r="A1058" s="282" t="str">
        <f>IFERROR(__xludf.DUMMYFUNCTION("""COMPUTED_VALUE"""),"MICRO")</f>
        <v>MICRO</v>
      </c>
      <c r="B1058" s="468" t="str">
        <f>IFERROR(__xludf.DUMMYFUNCTION("""COMPUTED_VALUE"""),"namakucinta01")</f>
        <v>namakucinta01</v>
      </c>
      <c r="C1058" s="283" t="str">
        <f>IFERROR(__xludf.DUMMYFUNCTION("""COMPUTED_VALUE"""),"https://www.tiktok.com/@namakucinta01")</f>
        <v>https://www.tiktok.com/@namakucinta01</v>
      </c>
      <c r="D1058" s="273">
        <f>IFERROR(__xludf.DUMMYFUNCTION("""COMPUTED_VALUE"""),8.5856427363E10)</f>
        <v>85856427363</v>
      </c>
      <c r="E1058" s="458">
        <f>IFERROR(__xludf.DUMMYFUNCTION("""COMPUTED_VALUE"""),0.0)</f>
        <v>0</v>
      </c>
      <c r="F1058" s="273">
        <f>IFERROR(__xludf.DUMMYFUNCTION("""COMPUTED_VALUE"""),1.0)</f>
        <v>1</v>
      </c>
      <c r="G1058" t="str">
        <f>IFERROR(__xludf.DUMMYFUNCTION("""COMPUTED_VALUE"""),"Sabun batang 1 Box ( 2 PCS )")</f>
        <v>Sabun batang 1 Box ( 2 PCS )</v>
      </c>
      <c r="H1058" s="469" t="str">
        <f>IFERROR(__xludf.DUMMYFUNCTION("""COMPUTED_VALUE"""),"Sampai")</f>
        <v>Sampai</v>
      </c>
      <c r="I1058" s="470" t="str">
        <f>IFERROR(__xludf.DUMMYFUNCTION("""COMPUTED_VALUE"""),"KIMME")</f>
        <v>KIMME</v>
      </c>
      <c r="J1058" s="471" t="str">
        <f>IFERROR(__xludf.DUMMYFUNCTION("""COMPUTED_VALUE"""),"https://vt.tiktok.com/ZSxxAFUgB/")</f>
        <v>https://vt.tiktok.com/ZSxxAFUgB/</v>
      </c>
      <c r="K1058" s="470" t="str">
        <f>IFERROR(__xludf.DUMMYFUNCTION("""COMPUTED_VALUE"""),"KIMME")</f>
        <v>KIMME</v>
      </c>
      <c r="L1058" s="471" t="str">
        <f>IFERROR(__xludf.DUMMYFUNCTION("""COMPUTED_VALUE"""),"https://vt.tiktok.com/ZSxxAFF9M/")</f>
        <v>https://vt.tiktok.com/ZSxxAFF9M/</v>
      </c>
      <c r="M1058" s="470"/>
      <c r="N1058" s="471" t="str">
        <f>IFERROR(__xludf.DUMMYFUNCTION("""COMPUTED_VALUE"""),"https://vt.tiktok.com/ZSxxSENVT/")</f>
        <v>https://vt.tiktok.com/ZSxxSENVT/</v>
      </c>
      <c r="O1058" s="470"/>
      <c r="P1058" s="471" t="str">
        <f>IFERROR(__xludf.DUMMYFUNCTION("""COMPUTED_VALUE"""),"https://vt.tiktok.com/ZSxy2qGKS/")</f>
        <v>https://vt.tiktok.com/ZSxy2qGKS/</v>
      </c>
    </row>
    <row r="1059">
      <c r="A1059" s="282" t="str">
        <f>IFERROR(__xludf.DUMMYFUNCTION("""COMPUTED_VALUE"""),"MICRO")</f>
        <v>MICRO</v>
      </c>
      <c r="B1059" s="468" t="str">
        <f>IFERROR(__xludf.DUMMYFUNCTION("""COMPUTED_VALUE"""),"najwa.store35")</f>
        <v>najwa.store35</v>
      </c>
      <c r="C1059" s="283" t="str">
        <f>IFERROR(__xludf.DUMMYFUNCTION("""COMPUTED_VALUE"""),"https://www.tiktok.com/@najwa.store35")</f>
        <v>https://www.tiktok.com/@najwa.store35</v>
      </c>
      <c r="D1059" s="273">
        <f>IFERROR(__xludf.DUMMYFUNCTION("""COMPUTED_VALUE"""),8.1928674156E10)</f>
        <v>81928674156</v>
      </c>
      <c r="E1059" s="458">
        <f>IFERROR(__xludf.DUMMYFUNCTION("""COMPUTED_VALUE"""),0.0)</f>
        <v>0</v>
      </c>
      <c r="F1059" s="273">
        <f>IFERROR(__xludf.DUMMYFUNCTION("""COMPUTED_VALUE"""),4.0)</f>
        <v>4</v>
      </c>
      <c r="G1059" t="str">
        <f>IFERROR(__xludf.DUMMYFUNCTION("""COMPUTED_VALUE"""),"Sabun batang 1 Box ( 2 PCS )")</f>
        <v>Sabun batang 1 Box ( 2 PCS )</v>
      </c>
      <c r="H1059" s="469" t="str">
        <f>IFERROR(__xludf.DUMMYFUNCTION("""COMPUTED_VALUE"""),"Sampai")</f>
        <v>Sampai</v>
      </c>
      <c r="I1059" s="470" t="str">
        <f>IFERROR(__xludf.DUMMYFUNCTION("""COMPUTED_VALUE"""),"KIMME")</f>
        <v>KIMME</v>
      </c>
      <c r="J1059" s="471" t="str">
        <f>IFERROR(__xludf.DUMMYFUNCTION("""COMPUTED_VALUE"""),"https://vt.tiktok.com/ZSxHfYAFg/")</f>
        <v>https://vt.tiktok.com/ZSxHfYAFg/</v>
      </c>
      <c r="K1059" s="470" t="str">
        <f>IFERROR(__xludf.DUMMYFUNCTION("""COMPUTED_VALUE"""),"KIMME")</f>
        <v>KIMME</v>
      </c>
      <c r="L1059" s="471" t="str">
        <f>IFERROR(__xludf.DUMMYFUNCTION("""COMPUTED_VALUE"""),"https://vt.tiktok.com/ZSxHfSSTg/")</f>
        <v>https://vt.tiktok.com/ZSxHfSSTg/</v>
      </c>
      <c r="M1059" s="470"/>
      <c r="N1059" s="471" t="str">
        <f>IFERROR(__xludf.DUMMYFUNCTION("""COMPUTED_VALUE"""),"https://vt.tiktok.com/ZSxHf56nr/")</f>
        <v>https://vt.tiktok.com/ZSxHf56nr/</v>
      </c>
      <c r="O1059" s="470"/>
      <c r="P1059" s="471" t="str">
        <f>IFERROR(__xludf.DUMMYFUNCTION("""COMPUTED_VALUE"""),"https://vt.tiktok.com/ZSxHf8JJU/")</f>
        <v>https://vt.tiktok.com/ZSxHf8JJU/</v>
      </c>
    </row>
    <row r="1060">
      <c r="A1060" s="282" t="str">
        <f>IFERROR(__xludf.DUMMYFUNCTION("""COMPUTED_VALUE"""),"MICRO")</f>
        <v>MICRO</v>
      </c>
      <c r="B1060" s="468" t="str">
        <f>IFERROR(__xludf.DUMMYFUNCTION("""COMPUTED_VALUE"""),"Hy.santy201")</f>
        <v>Hy.santy201</v>
      </c>
      <c r="C1060" s="283" t="str">
        <f>IFERROR(__xludf.DUMMYFUNCTION("""COMPUTED_VALUE"""),"https://www.tiktok.com/@Hy.santy201")</f>
        <v>https://www.tiktok.com/@Hy.santy201</v>
      </c>
      <c r="D1060" s="273">
        <f>IFERROR(__xludf.DUMMYFUNCTION("""COMPUTED_VALUE"""),8.2178102587E10)</f>
        <v>82178102587</v>
      </c>
      <c r="E1060" s="458">
        <f>IFERROR(__xludf.DUMMYFUNCTION("""COMPUTED_VALUE"""),0.0)</f>
        <v>0</v>
      </c>
      <c r="F1060" s="273">
        <f>IFERROR(__xludf.DUMMYFUNCTION("""COMPUTED_VALUE"""),4.0)</f>
        <v>4</v>
      </c>
      <c r="G1060" t="str">
        <f>IFERROR(__xludf.DUMMYFUNCTION("""COMPUTED_VALUE"""),"Sabun batang 1 Box ( 2 PCS )")</f>
        <v>Sabun batang 1 Box ( 2 PCS )</v>
      </c>
      <c r="H1060" s="469" t="str">
        <f>IFERROR(__xludf.DUMMYFUNCTION("""COMPUTED_VALUE"""),"Sampai")</f>
        <v>Sampai</v>
      </c>
      <c r="I1060" s="470" t="str">
        <f>IFERROR(__xludf.DUMMYFUNCTION("""COMPUTED_VALUE"""),"KIMME")</f>
        <v>KIMME</v>
      </c>
      <c r="J1060" s="471" t="str">
        <f>IFERROR(__xludf.DUMMYFUNCTION("""COMPUTED_VALUE"""),"https://www.tiktok.com/@hy.santy201/video/7633969650086284551")</f>
        <v>https://www.tiktok.com/@hy.santy201/video/7633969650086284551</v>
      </c>
      <c r="K1060" s="470" t="str">
        <f>IFERROR(__xludf.DUMMYFUNCTION("""COMPUTED_VALUE"""),"KIMME")</f>
        <v>KIMME</v>
      </c>
      <c r="L1060" s="471" t="str">
        <f>IFERROR(__xludf.DUMMYFUNCTION("""COMPUTED_VALUE"""),"https://vt.tiktok.com/ZSxHfSFV9/")</f>
        <v>https://vt.tiktok.com/ZSxHfSFV9/</v>
      </c>
      <c r="M1060" s="470"/>
      <c r="N1060" t="str">
        <f>IFERROR(__xludf.DUMMYFUNCTION("""COMPUTED_VALUE"""),"https://www.tiktok.com/@berkah.glosir/video/7642180488542702869?_r=1&amp;u_code=cme7094bbmahcg&amp;region=ID&amp;mid=7642180534092860168&amp;preview_pb=0&amp;sharer_language=id&amp;_d=eamlmmm8mhi2b1&amp;ec_shared_reflux_dynamic_params=%7B%22placeholder_material_id%22%3A%227642180488"&amp;"542702869%22%2C%22placeholder_origin_cover%22%3A%22https%253A%252F%252Fp16-common-sign.tiktokcdn.com%252Ftos-alisg-p-0037%252FoUrEKfncNgQRDpZQDTiEA6BceBDFQ5vbq6pOvo~tplv-tiktokx-origin.webp%253Fdr%253D14572%2526refresh_token%253D57eb37bb%2526x-expires%253"&amp;"D1811228400%2526x-signature%253Dy9J5%25252BLCcyH7%25252BSZPQo13Ute6Fjv0%25253D%2526t%253D4d5b0474%2526ps%253D13740610%2526shp%253Dd05b14bd%2526shcp%253D34ff8df6%2526idc%253Dmy%2526s%253DPUBLISH%22%2C%22placeholder_product_id%22%3A%221729729730555512511%22"&amp;"%2C%22placeholder_video_id%22%3A%227642180488542702869%22%7D&amp;ec_shared_reflux_scene=shop_tab_feed&amp;share_item_id=7642180488542702869&amp;source=h5_t&amp;timestamp=1779693148&amp;user_id=6544188123054997505&amp;sec_user_id=MS4wLjABAAAArTGjtyBXJD3Oa6nTXGRPlObeMetEhfOJXJxiXa"&amp;"eoQAwNdcG-dl85yrbpmzEf0zj_&amp;item_author_type=2&amp;social_share_type=0&amp;utm_source=copy&amp;utm_campaign=client_share&amp;utm_medium=android&amp;share_iid=7640168474886604552&amp;share_link_id=bc120ea1-aae4-491d-a42e-407e2937d5f9&amp;share_app_id=1180&amp;ugbiz_name=MAIN&amp;ug_btm=b5836%"&amp;"2Cb2878&amp;sp_root_share_link_id=bc120ea1-aae4-491d-a42e-407e2937d5f9&amp;link_reflow_popup_iteration_sharer=%7B%22click_empty_to_play%22%3A1%2C%22dynamic_cover%22%3A1%2C%22follow_to_play_duration%22%3A-1.0%2C%22profile_clickable%22%3A1%7D&amp;enable_checksum=1&amp;sp_l"&amp;"evel=1&amp;sp_root_u=cme7094bbmahcg&amp;sp_root_d=eamlmmm8mhi2b1")</f>
        <v>https://www.tiktok.com/@berkah.glosir/video/7642180488542702869?_r=1&amp;u_code=cme7094bbmahcg&amp;region=ID&amp;mid=7642180534092860168&amp;preview_pb=0&amp;sharer_language=id&amp;_d=eamlmmm8mhi2b1&amp;ec_shared_reflux_dynamic_params=%7B%22placeholder_material_id%22%3A%227642180488542702869%22%2C%22placeholder_origin_cover%22%3A%22https%253A%252F%252Fp16-common-sign.tiktokcdn.com%252Ftos-alisg-p-0037%252FoUrEKfncNgQRDpZQDTiEA6BceBDFQ5vbq6pOvo~tplv-tiktokx-origin.webp%253Fdr%253D14572%2526refresh_token%253D57eb37bb%2526x-expires%253D1811228400%2526x-signature%253Dy9J5%25252BLCcyH7%25252BSZPQo13Ute6Fjv0%25253D%2526t%253D4d5b0474%2526ps%253D13740610%2526shp%253Dd05b14bd%2526shcp%253D34ff8df6%2526idc%253Dmy%2526s%253DPUBLISH%22%2C%22placeholder_product_id%22%3A%221729729730555512511%22%2C%22placeholder_video_id%22%3A%227642180488542702869%22%7D&amp;ec_shared_reflux_scene=shop_tab_feed&amp;share_item_id=7642180488542702869&amp;source=h5_t&amp;timestamp=1779693148&amp;user_id=6544188123054997505&amp;sec_user_id=MS4wLjABAAAArTGjtyBXJD3Oa6nTXGRPlObeMetEhfOJXJxiXaeoQAwNdcG-dl85yrbpmzEf0zj_&amp;item_author_type=2&amp;social_share_type=0&amp;utm_source=copy&amp;utm_campaign=client_share&amp;utm_medium=android&amp;share_iid=7640168474886604552&amp;share_link_id=bc120ea1-aae4-491d-a42e-407e2937d5f9&amp;share_app_id=1180&amp;ugbiz_name=MAIN&amp;ug_btm=b5836%2Cb2878&amp;sp_root_share_link_id=bc120ea1-aae4-491d-a42e-407e2937d5f9&amp;link_reflow_popup_iteration_sharer=%7B%22click_empty_to_play%22%3A1%2C%22dynamic_cover%22%3A1%2C%22follow_to_play_duration%22%3A-1.0%2C%22profile_clickable%22%3A1%7D&amp;enable_checksum=1&amp;sp_level=1&amp;sp_root_u=cme7094bbmahcg&amp;sp_root_d=eamlmmm8mhi2b1</v>
      </c>
      <c r="O1060" s="470"/>
      <c r="P1060" s="471" t="str">
        <f>IFERROR(__xludf.DUMMYFUNCTION("""COMPUTED_VALUE"""),"https://vt.tiktok.com/ZSxHfPng4/")</f>
        <v>https://vt.tiktok.com/ZSxHfPng4/</v>
      </c>
    </row>
    <row r="1061">
      <c r="A1061" s="282" t="str">
        <f>IFERROR(__xludf.DUMMYFUNCTION("""COMPUTED_VALUE"""),"MICRO")</f>
        <v>MICRO</v>
      </c>
      <c r="B1061" s="468" t="str">
        <f>IFERROR(__xludf.DUMMYFUNCTION("""COMPUTED_VALUE"""),"srhhahaha05")</f>
        <v>srhhahaha05</v>
      </c>
      <c r="C1061" s="283" t="str">
        <f>IFERROR(__xludf.DUMMYFUNCTION("""COMPUTED_VALUE"""),"https://www.tiktok.com/@srhhahaha05")</f>
        <v>https://www.tiktok.com/@srhhahaha05</v>
      </c>
      <c r="D1061" s="273">
        <f>IFERROR(__xludf.DUMMYFUNCTION("""COMPUTED_VALUE"""),8.5901742843E10)</f>
        <v>85901742843</v>
      </c>
      <c r="E1061" s="458">
        <f>IFERROR(__xludf.DUMMYFUNCTION("""COMPUTED_VALUE"""),100000.0)</f>
        <v>100000</v>
      </c>
      <c r="F1061" s="273">
        <f>IFERROR(__xludf.DUMMYFUNCTION("""COMPUTED_VALUE"""),2.0)</f>
        <v>2</v>
      </c>
      <c r="G1061" t="str">
        <f>IFERROR(__xludf.DUMMYFUNCTION("""COMPUTED_VALUE"""),"Sabun batang 1 Box ( 2 PCS )")</f>
        <v>Sabun batang 1 Box ( 2 PCS )</v>
      </c>
      <c r="H1061" s="469" t="str">
        <f>IFERROR(__xludf.DUMMYFUNCTION("""COMPUTED_VALUE"""),"Sampai")</f>
        <v>Sampai</v>
      </c>
      <c r="I1061" s="470" t="str">
        <f>IFERROR(__xludf.DUMMYFUNCTION("""COMPUTED_VALUE"""),"KIMME")</f>
        <v>KIMME</v>
      </c>
      <c r="J1061" s="471" t="str">
        <f>IFERROR(__xludf.DUMMYFUNCTION("""COMPUTED_VALUE"""),"https://vt.tiktok.com/ZSxXNHpWE/")</f>
        <v>https://vt.tiktok.com/ZSxXNHpWE/</v>
      </c>
      <c r="K1061" s="470" t="str">
        <f>IFERROR(__xludf.DUMMYFUNCTION("""COMPUTED_VALUE"""),"KIMME")</f>
        <v>KIMME</v>
      </c>
      <c r="L1061" s="471" t="str">
        <f>IFERROR(__xludf.DUMMYFUNCTION("""COMPUTED_VALUE"""),"https://vt.tiktok.com/ZSxxVqEmB/")</f>
        <v>https://vt.tiktok.com/ZSxxVqEmB/</v>
      </c>
      <c r="M1061" s="470"/>
      <c r="N1061" s="471" t="str">
        <f>IFERROR(__xludf.DUMMYFUNCTION("""COMPUTED_VALUE"""),"https://vt.tiktok.com/ZSxHf8rDf/")</f>
        <v>https://vt.tiktok.com/ZSxHf8rDf/</v>
      </c>
      <c r="O1061" s="470"/>
      <c r="P1061" s="471" t="str">
        <f>IFERROR(__xludf.DUMMYFUNCTION("""COMPUTED_VALUE"""),"https://vt.tiktok.com/ZSxHfRfNL/")</f>
        <v>https://vt.tiktok.com/ZSxHfRfNL/</v>
      </c>
    </row>
    <row r="1062">
      <c r="A1062" s="282" t="str">
        <f>IFERROR(__xludf.DUMMYFUNCTION("""COMPUTED_VALUE"""),"MICRO")</f>
        <v>MICRO</v>
      </c>
      <c r="B1062" s="468" t="str">
        <f>IFERROR(__xludf.DUMMYFUNCTION("""COMPUTED_VALUE"""),"piu_piu72")</f>
        <v>piu_piu72</v>
      </c>
      <c r="C1062" s="283" t="str">
        <f>IFERROR(__xludf.DUMMYFUNCTION("""COMPUTED_VALUE"""),"https://www.tiktok.com/@piu_piu72")</f>
        <v>https://www.tiktok.com/@piu_piu72</v>
      </c>
      <c r="D1062" s="273">
        <f>IFERROR(__xludf.DUMMYFUNCTION("""COMPUTED_VALUE"""),8.2292356441E10)</f>
        <v>82292356441</v>
      </c>
      <c r="E1062" s="458">
        <f>IFERROR(__xludf.DUMMYFUNCTION("""COMPUTED_VALUE"""),0.0)</f>
        <v>0</v>
      </c>
      <c r="F1062" s="273">
        <f>IFERROR(__xludf.DUMMYFUNCTION("""COMPUTED_VALUE"""),4.0)</f>
        <v>4</v>
      </c>
      <c r="G1062" t="str">
        <f>IFERROR(__xludf.DUMMYFUNCTION("""COMPUTED_VALUE"""),"Sabun batang 1 Box ( 2 PCS )")</f>
        <v>Sabun batang 1 Box ( 2 PCS )</v>
      </c>
      <c r="H1062" s="469" t="str">
        <f>IFERROR(__xludf.DUMMYFUNCTION("""COMPUTED_VALUE"""),"Sampai")</f>
        <v>Sampai</v>
      </c>
      <c r="I1062" s="470" t="str">
        <f>IFERROR(__xludf.DUMMYFUNCTION("""COMPUTED_VALUE"""),"KIMME")</f>
        <v>KIMME</v>
      </c>
      <c r="J1062" s="471" t="str">
        <f>IFERROR(__xludf.DUMMYFUNCTION("""COMPUTED_VALUE"""),"https://vt.tiktok.com/ZSxHfUEHs/")</f>
        <v>https://vt.tiktok.com/ZSxHfUEHs/</v>
      </c>
      <c r="K1062" s="470" t="str">
        <f>IFERROR(__xludf.DUMMYFUNCTION("""COMPUTED_VALUE"""),"KIMME")</f>
        <v>KIMME</v>
      </c>
      <c r="L1062" s="471" t="str">
        <f>IFERROR(__xludf.DUMMYFUNCTION("""COMPUTED_VALUE"""),"https://vt.tiktok.com/ZSxHfMmYg/")</f>
        <v>https://vt.tiktok.com/ZSxHfMmYg/</v>
      </c>
      <c r="M1062" s="470"/>
      <c r="N1062" s="471" t="str">
        <f>IFERROR(__xludf.DUMMYFUNCTION("""COMPUTED_VALUE"""),"https://vt.tiktok.com/ZSxHfktJk/")</f>
        <v>https://vt.tiktok.com/ZSxHfktJk/</v>
      </c>
      <c r="O1062" s="470"/>
      <c r="P1062" s="471" t="str">
        <f>IFERROR(__xludf.DUMMYFUNCTION("""COMPUTED_VALUE"""),"https://vt.tiktok.com/ZSxgHLU9b/")</f>
        <v>https://vt.tiktok.com/ZSxgHLU9b/</v>
      </c>
    </row>
    <row r="1063">
      <c r="A1063" s="282" t="str">
        <f>IFERROR(__xludf.DUMMYFUNCTION("""COMPUTED_VALUE"""),"MICRO")</f>
        <v>MICRO</v>
      </c>
      <c r="B1063" s="468" t="str">
        <f>IFERROR(__xludf.DUMMYFUNCTION("""COMPUTED_VALUE"""),"mak_nyum")</f>
        <v>mak_nyum</v>
      </c>
      <c r="C1063" s="283" t="str">
        <f>IFERROR(__xludf.DUMMYFUNCTION("""COMPUTED_VALUE"""),"https://www.tiktok.com/@mak_nyum")</f>
        <v>https://www.tiktok.com/@mak_nyum</v>
      </c>
      <c r="D1063" s="273">
        <f>IFERROR(__xludf.DUMMYFUNCTION("""COMPUTED_VALUE"""),8.2132078793E10)</f>
        <v>82132078793</v>
      </c>
      <c r="E1063" s="458">
        <f>IFERROR(__xludf.DUMMYFUNCTION("""COMPUTED_VALUE"""),0.0)</f>
        <v>0</v>
      </c>
      <c r="F1063" s="273">
        <f>IFERROR(__xludf.DUMMYFUNCTION("""COMPUTED_VALUE"""),4.0)</f>
        <v>4</v>
      </c>
      <c r="G1063" t="str">
        <f>IFERROR(__xludf.DUMMYFUNCTION("""COMPUTED_VALUE"""),"Sabun batang 1 Box ( 2 PCS )")</f>
        <v>Sabun batang 1 Box ( 2 PCS )</v>
      </c>
      <c r="H1063" s="469" t="str">
        <f>IFERROR(__xludf.DUMMYFUNCTION("""COMPUTED_VALUE"""),"Sampai")</f>
        <v>Sampai</v>
      </c>
      <c r="I1063" s="470" t="str">
        <f>IFERROR(__xludf.DUMMYFUNCTION("""COMPUTED_VALUE"""),"KIMME")</f>
        <v>KIMME</v>
      </c>
      <c r="J1063" s="471" t="str">
        <f>IFERROR(__xludf.DUMMYFUNCTION("""COMPUTED_VALUE"""),"https://vt.tiktok.com/ZSxy2WUBK/")</f>
        <v>https://vt.tiktok.com/ZSxy2WUBK/</v>
      </c>
      <c r="K1063" s="470" t="str">
        <f>IFERROR(__xludf.DUMMYFUNCTION("""COMPUTED_VALUE"""),"KIMME")</f>
        <v>KIMME</v>
      </c>
      <c r="L1063" s="471" t="str">
        <f>IFERROR(__xludf.DUMMYFUNCTION("""COMPUTED_VALUE"""),"https://vt.tiktok.com/ZSxy274wY/")</f>
        <v>https://vt.tiktok.com/ZSxy274wY/</v>
      </c>
      <c r="M1063" s="470"/>
      <c r="N1063" s="471" t="str">
        <f>IFERROR(__xludf.DUMMYFUNCTION("""COMPUTED_VALUE"""),"https://vt.tiktok.com/ZSxyjdmPb/")</f>
        <v>https://vt.tiktok.com/ZSxyjdmPb/</v>
      </c>
      <c r="O1063" s="470"/>
      <c r="P1063" s="471" t="str">
        <f>IFERROR(__xludf.DUMMYFUNCTION("""COMPUTED_VALUE"""),"https://vt.tiktok.com/ZSxy2TWVe/")</f>
        <v>https://vt.tiktok.com/ZSxy2TWVe/</v>
      </c>
    </row>
    <row r="1064">
      <c r="A1064" s="282" t="str">
        <f>IFERROR(__xludf.DUMMYFUNCTION("""COMPUTED_VALUE"""),"MICRO")</f>
        <v>MICRO</v>
      </c>
      <c r="B1064" s="468" t="str">
        <f>IFERROR(__xludf.DUMMYFUNCTION("""COMPUTED_VALUE"""),"aloditaa
")</f>
        <v>aloditaa
</v>
      </c>
      <c r="C1064" s="283" t="str">
        <f>IFERROR(__xludf.DUMMYFUNCTION("""COMPUTED_VALUE"""),"https://www.tiktok.com/@aloditaa
")</f>
        <v>https://www.tiktok.com/@aloditaa
</v>
      </c>
      <c r="D1064" s="273">
        <f>IFERROR(__xludf.DUMMYFUNCTION("""COMPUTED_VALUE"""),8.5700004787E10)</f>
        <v>85700004787</v>
      </c>
      <c r="E1064" s="458">
        <f>IFERROR(__xludf.DUMMYFUNCTION("""COMPUTED_VALUE"""),0.0)</f>
        <v>0</v>
      </c>
      <c r="F1064" s="273">
        <f>IFERROR(__xludf.DUMMYFUNCTION("""COMPUTED_VALUE"""),4.0)</f>
        <v>4</v>
      </c>
      <c r="G1064" t="str">
        <f>IFERROR(__xludf.DUMMYFUNCTION("""COMPUTED_VALUE"""),"Sabun batang 1 Box ( 2 PCS )")</f>
        <v>Sabun batang 1 Box ( 2 PCS )</v>
      </c>
      <c r="H1064" s="469" t="str">
        <f>IFERROR(__xludf.DUMMYFUNCTION("""COMPUTED_VALUE"""),"Sampai")</f>
        <v>Sampai</v>
      </c>
      <c r="I1064" s="470" t="str">
        <f>IFERROR(__xludf.DUMMYFUNCTION("""COMPUTED_VALUE"""),"KIMME")</f>
        <v>KIMME</v>
      </c>
      <c r="J1064" s="471" t="str">
        <f>IFERROR(__xludf.DUMMYFUNCTION("""COMPUTED_VALUE"""),"https://vt.tiktok.com/ZSxguqEks/")</f>
        <v>https://vt.tiktok.com/ZSxguqEks/</v>
      </c>
      <c r="K1064" s="470" t="str">
        <f>IFERROR(__xludf.DUMMYFUNCTION("""COMPUTED_VALUE"""),"KIMME")</f>
        <v>KIMME</v>
      </c>
      <c r="L1064" s="471" t="str">
        <f>IFERROR(__xludf.DUMMYFUNCTION("""COMPUTED_VALUE"""),"https://vt.tiktok.com/ZSxgupkUb/")</f>
        <v>https://vt.tiktok.com/ZSxgupkUb/</v>
      </c>
      <c r="M1064" s="470"/>
      <c r="N1064" s="471" t="str">
        <f>IFERROR(__xludf.DUMMYFUNCTION("""COMPUTED_VALUE"""),"https://vt.tiktok.com/ZSxgucG82/")</f>
        <v>https://vt.tiktok.com/ZSxgucG82/</v>
      </c>
      <c r="O1064" s="470"/>
      <c r="P1064" s="471" t="str">
        <f>IFERROR(__xludf.DUMMYFUNCTION("""COMPUTED_VALUE"""),"https://vt.tiktok.com/ZSxguK3kG/")</f>
        <v>https://vt.tiktok.com/ZSxguK3kG/</v>
      </c>
    </row>
    <row r="1065">
      <c r="A1065" s="282" t="str">
        <f>IFERROR(__xludf.DUMMYFUNCTION("""COMPUTED_VALUE"""),"MICRO")</f>
        <v>MICRO</v>
      </c>
      <c r="B1065" s="468" t="str">
        <f>IFERROR(__xludf.DUMMYFUNCTION("""COMPUTED_VALUE"""),"rinivitriyani
")</f>
        <v>rinivitriyani
</v>
      </c>
      <c r="C1065" s="283" t="str">
        <f>IFERROR(__xludf.DUMMYFUNCTION("""COMPUTED_VALUE"""),"https://www.tiktok.com/@rinivitriyani
")</f>
        <v>https://www.tiktok.com/@rinivitriyani
</v>
      </c>
      <c r="D1065" s="273">
        <f>IFERROR(__xludf.DUMMYFUNCTION("""COMPUTED_VALUE"""),8.3821891779E10)</f>
        <v>83821891779</v>
      </c>
      <c r="E1065" s="458">
        <f>IFERROR(__xludf.DUMMYFUNCTION("""COMPUTED_VALUE"""),0.0)</f>
        <v>0</v>
      </c>
      <c r="F1065" s="273">
        <f>IFERROR(__xludf.DUMMYFUNCTION("""COMPUTED_VALUE"""),4.0)</f>
        <v>4</v>
      </c>
      <c r="G1065" t="str">
        <f>IFERROR(__xludf.DUMMYFUNCTION("""COMPUTED_VALUE"""),"Sabun batang 1 Box ( 2 PCS )")</f>
        <v>Sabun batang 1 Box ( 2 PCS )</v>
      </c>
      <c r="H1065" s="469" t="str">
        <f>IFERROR(__xludf.DUMMYFUNCTION("""COMPUTED_VALUE"""),"Sampai")</f>
        <v>Sampai</v>
      </c>
      <c r="I1065" s="470" t="str">
        <f>IFERROR(__xludf.DUMMYFUNCTION("""COMPUTED_VALUE"""),"KIMME")</f>
        <v>KIMME</v>
      </c>
      <c r="J1065" s="471" t="str">
        <f>IFERROR(__xludf.DUMMYFUNCTION("""COMPUTED_VALUE"""),"https://vt.tiktok.com/ZSxgunkom/")</f>
        <v>https://vt.tiktok.com/ZSxgunkom/</v>
      </c>
      <c r="K1065" s="470" t="str">
        <f>IFERROR(__xludf.DUMMYFUNCTION("""COMPUTED_VALUE"""),"KIMME")</f>
        <v>KIMME</v>
      </c>
      <c r="L1065" s="471" t="str">
        <f>IFERROR(__xludf.DUMMYFUNCTION("""COMPUTED_VALUE"""),"https://vt.tiktok.com/ZSxyAmmXk/")</f>
        <v>https://vt.tiktok.com/ZSxyAmmXk/</v>
      </c>
      <c r="M1065" s="470"/>
      <c r="N1065" s="471" t="str">
        <f>IFERROR(__xludf.DUMMYFUNCTION("""COMPUTED_VALUE"""),"https://vt.tiktok.com/ZSxgu4u72/")</f>
        <v>https://vt.tiktok.com/ZSxgu4u72/</v>
      </c>
      <c r="O1065" s="470"/>
      <c r="P1065" s="471" t="str">
        <f>IFERROR(__xludf.DUMMYFUNCTION("""COMPUTED_VALUE"""),"https://vt.tiktok.com/ZSxgu3fyH/")</f>
        <v>https://vt.tiktok.com/ZSxgu3fyH/</v>
      </c>
    </row>
    <row r="1066">
      <c r="A1066" s="282" t="str">
        <f>IFERROR(__xludf.DUMMYFUNCTION("""COMPUTED_VALUE"""),"MICRO")</f>
        <v>MICRO</v>
      </c>
      <c r="B1066" s="468" t="str">
        <f>IFERROR(__xludf.DUMMYFUNCTION("""COMPUTED_VALUE"""),"alina.clemira
")</f>
        <v>alina.clemira
</v>
      </c>
      <c r="C1066" s="283" t="str">
        <f>IFERROR(__xludf.DUMMYFUNCTION("""COMPUTED_VALUE"""),"https://www.tiktok.com/@alina.clemira
")</f>
        <v>https://www.tiktok.com/@alina.clemira
</v>
      </c>
      <c r="D1066" s="273">
        <f>IFERROR(__xludf.DUMMYFUNCTION("""COMPUTED_VALUE"""),8.2121465283E10)</f>
        <v>82121465283</v>
      </c>
      <c r="E1066" s="458">
        <f>IFERROR(__xludf.DUMMYFUNCTION("""COMPUTED_VALUE"""),0.0)</f>
        <v>0</v>
      </c>
      <c r="F1066" s="273">
        <f>IFERROR(__xludf.DUMMYFUNCTION("""COMPUTED_VALUE"""),4.0)</f>
        <v>4</v>
      </c>
      <c r="G1066" t="str">
        <f>IFERROR(__xludf.DUMMYFUNCTION("""COMPUTED_VALUE"""),"Sabun batang 1 Box ( 2 PCS )")</f>
        <v>Sabun batang 1 Box ( 2 PCS )</v>
      </c>
      <c r="H1066" s="469" t="str">
        <f>IFERROR(__xludf.DUMMYFUNCTION("""COMPUTED_VALUE"""),"Sampai")</f>
        <v>Sampai</v>
      </c>
      <c r="I1066" s="470" t="str">
        <f>IFERROR(__xludf.DUMMYFUNCTION("""COMPUTED_VALUE"""),"KIMME")</f>
        <v>KIMME</v>
      </c>
      <c r="J1066" s="471" t="str">
        <f>IFERROR(__xludf.DUMMYFUNCTION("""COMPUTED_VALUE"""),"https://vt.tiktok.com/ZSxyA5Dpm/")</f>
        <v>https://vt.tiktok.com/ZSxyA5Dpm/</v>
      </c>
      <c r="K1066" s="470" t="str">
        <f>IFERROR(__xludf.DUMMYFUNCTION("""COMPUTED_VALUE"""),"KIMME")</f>
        <v>KIMME</v>
      </c>
      <c r="L1066" s="471" t="str">
        <f>IFERROR(__xludf.DUMMYFUNCTION("""COMPUTED_VALUE"""),"https://vt.tiktok.com/ZSxyAXXLK/")</f>
        <v>https://vt.tiktok.com/ZSxyAXXLK/</v>
      </c>
      <c r="M1066" s="470"/>
      <c r="N1066" s="471" t="str">
        <f>IFERROR(__xludf.DUMMYFUNCTION("""COMPUTED_VALUE"""),"https://vt.tiktok.com/ZSxyAaAv6/")</f>
        <v>https://vt.tiktok.com/ZSxyAaAv6/</v>
      </c>
      <c r="O1066" s="470"/>
      <c r="P1066" s="471" t="str">
        <f>IFERROR(__xludf.DUMMYFUNCTION("""COMPUTED_VALUE"""),"https://vt.tiktok.com/ZSxyAHpv9/")</f>
        <v>https://vt.tiktok.com/ZSxyAHpv9/</v>
      </c>
    </row>
    <row r="1067">
      <c r="A1067" s="282" t="str">
        <f>IFERROR(__xludf.DUMMYFUNCTION("""COMPUTED_VALUE"""),"MICRO")</f>
        <v>MICRO</v>
      </c>
      <c r="B1067" s="468" t="str">
        <f>IFERROR(__xludf.DUMMYFUNCTION("""COMPUTED_VALUE"""),"_kartikara ")</f>
        <v>_kartikara </v>
      </c>
      <c r="C1067" s="283" t="str">
        <f>IFERROR(__xludf.DUMMYFUNCTION("""COMPUTED_VALUE"""),"https://www.tiktok.com/@_kartikara ")</f>
        <v>https://www.tiktok.com/@_kartikara </v>
      </c>
      <c r="D1067" s="273">
        <f>IFERROR(__xludf.DUMMYFUNCTION("""COMPUTED_VALUE"""),8.157052154E9)</f>
        <v>8157052154</v>
      </c>
      <c r="E1067" s="458">
        <f>IFERROR(__xludf.DUMMYFUNCTION("""COMPUTED_VALUE"""),0.0)</f>
        <v>0</v>
      </c>
      <c r="F1067" s="273">
        <f>IFERROR(__xludf.DUMMYFUNCTION("""COMPUTED_VALUE"""),4.0)</f>
        <v>4</v>
      </c>
      <c r="G1067" t="str">
        <f>IFERROR(__xludf.DUMMYFUNCTION("""COMPUTED_VALUE"""),"Sabun batang 1 Box ( 2 PCS )")</f>
        <v>Sabun batang 1 Box ( 2 PCS )</v>
      </c>
      <c r="H1067" s="469" t="str">
        <f>IFERROR(__xludf.DUMMYFUNCTION("""COMPUTED_VALUE"""),"Sampai")</f>
        <v>Sampai</v>
      </c>
      <c r="I1067" s="470" t="str">
        <f>IFERROR(__xludf.DUMMYFUNCTION("""COMPUTED_VALUE"""),"KIMME")</f>
        <v>KIMME</v>
      </c>
      <c r="J1067" s="471" t="str">
        <f>IFERROR(__xludf.DUMMYFUNCTION("""COMPUTED_VALUE"""),"https://www.tiktok.com/@_kartikara/video/7623269238500887828?is_from_webapp=1&amp;sender_device=pc")</f>
        <v>https://www.tiktok.com/@_kartikara/video/7623269238500887828?is_from_webapp=1&amp;sender_device=pc</v>
      </c>
      <c r="K1067" s="470" t="str">
        <f>IFERROR(__xludf.DUMMYFUNCTION("""COMPUTED_VALUE"""),"KIMME")</f>
        <v>KIMME</v>
      </c>
      <c r="L1067" s="471" t="str">
        <f>IFERROR(__xludf.DUMMYFUNCTION("""COMPUTED_VALUE"""),"https://www.tiktok.com/@_kartikara/video/7631856619281763605?_r=1&amp;u_code=dicf1d31bb2b53&amp;region=&amp;mid=7579718956010031120&amp;preview_pb=0&amp;sharer_language=&amp;_d=0&amp;ec_shared_reflux_dynamic_params=%7B%22placeholder_material_id%22%3A%227631856619281763605%22%2C%22pl"&amp;"aceholder_origin_cover%22%3A%22https%253A%252F%252Fp16-common-sign.tiktokcdn.com%252Ftos-alisg-p-0037%252FocwYxin70AoQza30ABAF7O1eiBMIqIPITC26pM~tplv-tiktokx-origin.jpeg%253Fdr%253D14572%2526refresh_token%253D509faedf%2526x-expires%253D1810198800%2526x-si"&amp;"gnature%253Dc1d1bNhh5dF2y4JcPJoD1abqX%25252Fg%25253D%2526t%253D4d5b0474%2526ps%253D13740610%2526shp%253Dd05b14bd%2526shcp%253D34ff8df6%2526idc%253Dmy2%2526s%253DTIKTOK_AFFILIATE_VIRAL_VIDEO%22%2C%22placeholder_product_id%22%3A%221729427766722726591%22%2C%"&amp;"22placeholder_video_id%22%3A%227631856619281763605%22%7D&amp;ec_shared_reflux_scene=shop_tab_feed&amp;share_item_id=7631856619281763605&amp;source=h5_t")</f>
        <v>https://www.tiktok.com/@_kartikara/video/7631856619281763605?_r=1&amp;u_code=dicf1d31bb2b53&amp;region=&amp;mid=7579718956010031120&amp;preview_pb=0&amp;sharer_language=&amp;_d=0&amp;ec_shared_reflux_dynamic_params=%7B%22placeholder_material_id%22%3A%227631856619281763605%22%2C%22placeholder_origin_cover%22%3A%22https%253A%252F%252Fp16-common-sign.tiktokcdn.com%252Ftos-alisg-p-0037%252FocwYxin70AoQza30ABAF7O1eiBMIqIPITC26pM~tplv-tiktokx-origin.jpeg%253Fdr%253D14572%2526refresh_token%253D509faedf%2526x-expires%253D1810198800%2526x-signature%253Dc1d1bNhh5dF2y4JcPJoD1abqX%25252Fg%25253D%2526t%253D4d5b0474%2526ps%253D13740610%2526shp%253Dd05b14bd%2526shcp%253D34ff8df6%2526idc%253Dmy2%2526s%253DTIKTOK_AFFILIATE_VIRAL_VIDEO%22%2C%22placeholder_product_id%22%3A%221729427766722726591%22%2C%22placeholder_video_id%22%3A%227631856619281763605%22%7D&amp;ec_shared_reflux_scene=shop_tab_feed&amp;share_item_id=7631856619281763605&amp;source=h5_t</v>
      </c>
      <c r="M1067" s="470"/>
      <c r="N1067" s="471" t="str">
        <f>IFERROR(__xludf.DUMMYFUNCTION("""COMPUTED_VALUE"""),"https://vt.tiktok.com/ZSxyAbQhe/")</f>
        <v>https://vt.tiktok.com/ZSxyAbQhe/</v>
      </c>
      <c r="O1067" s="470"/>
      <c r="P1067" s="471" t="str">
        <f>IFERROR(__xludf.DUMMYFUNCTION("""COMPUTED_VALUE"""),"https://vt.tiktok.com/ZSxqXr7Ne/")</f>
        <v>https://vt.tiktok.com/ZSxqXr7Ne/</v>
      </c>
    </row>
    <row r="1068">
      <c r="A1068" s="282" t="str">
        <f>IFERROR(__xludf.DUMMYFUNCTION("""COMPUTED_VALUE"""),"MICRO")</f>
        <v>MICRO</v>
      </c>
      <c r="B1068" s="468" t="str">
        <f>IFERROR(__xludf.DUMMYFUNCTION("""COMPUTED_VALUE"""),"serba.serbi.1")</f>
        <v>serba.serbi.1</v>
      </c>
      <c r="C1068" s="283" t="str">
        <f>IFERROR(__xludf.DUMMYFUNCTION("""COMPUTED_VALUE"""),"https://www.tiktok.com/@serba.serbi.1")</f>
        <v>https://www.tiktok.com/@serba.serbi.1</v>
      </c>
      <c r="D1068" s="273">
        <f>IFERROR(__xludf.DUMMYFUNCTION("""COMPUTED_VALUE"""),8.2110965638E10)</f>
        <v>82110965638</v>
      </c>
      <c r="E1068" s="458">
        <f>IFERROR(__xludf.DUMMYFUNCTION("""COMPUTED_VALUE"""),0.0)</f>
        <v>0</v>
      </c>
      <c r="F1068" s="273">
        <f>IFERROR(__xludf.DUMMYFUNCTION("""COMPUTED_VALUE"""),4.0)</f>
        <v>4</v>
      </c>
      <c r="G1068" t="str">
        <f>IFERROR(__xludf.DUMMYFUNCTION("""COMPUTED_VALUE"""),"Sabun batang 1 Box ( 2 PCS )")</f>
        <v>Sabun batang 1 Box ( 2 PCS )</v>
      </c>
      <c r="H1068" s="469" t="str">
        <f>IFERROR(__xludf.DUMMYFUNCTION("""COMPUTED_VALUE"""),"Sampai")</f>
        <v>Sampai</v>
      </c>
      <c r="I1068" s="470" t="str">
        <f>IFERROR(__xludf.DUMMYFUNCTION("""COMPUTED_VALUE"""),"KIMME")</f>
        <v>KIMME</v>
      </c>
      <c r="J1068" s="471" t="str">
        <f>IFERROR(__xludf.DUMMYFUNCTION("""COMPUTED_VALUE"""),"https://vt.tiktok.com/ZS96d7WtV/")</f>
        <v>https://vt.tiktok.com/ZS96d7WtV/</v>
      </c>
      <c r="K1068" s="470" t="str">
        <f>IFERROR(__xludf.DUMMYFUNCTION("""COMPUTED_VALUE"""),"KIMME")</f>
        <v>KIMME</v>
      </c>
      <c r="L1068" s="471" t="str">
        <f>IFERROR(__xludf.DUMMYFUNCTION("""COMPUTED_VALUE"""),"https://vt.tiktok.com/ZS9reLqAt/")</f>
        <v>https://vt.tiktok.com/ZS9reLqAt/</v>
      </c>
      <c r="M1068" s="470"/>
      <c r="N1068" s="471" t="str">
        <f>IFERROR(__xludf.DUMMYFUNCTION("""COMPUTED_VALUE"""),"https://vt.tiktok.com/ZS9DXN14x/")</f>
        <v>https://vt.tiktok.com/ZS9DXN14x/</v>
      </c>
      <c r="O1068" s="470"/>
      <c r="P1068" s="471" t="str">
        <f>IFERROR(__xludf.DUMMYFUNCTION("""COMPUTED_VALUE"""),"https://vt.tiktok.com/ZS9DXN14x/")</f>
        <v>https://vt.tiktok.com/ZS9DXN14x/</v>
      </c>
    </row>
    <row r="1069">
      <c r="A1069" s="282" t="str">
        <f>IFERROR(__xludf.DUMMYFUNCTION("""COMPUTED_VALUE"""),"MICRO")</f>
        <v>MICRO</v>
      </c>
      <c r="B1069" s="468" t="str">
        <f>IFERROR(__xludf.DUMMYFUNCTION("""COMPUTED_VALUE"""),"shandraekafanny_")</f>
        <v>shandraekafanny_</v>
      </c>
      <c r="C1069" s="283" t="str">
        <f>IFERROR(__xludf.DUMMYFUNCTION("""COMPUTED_VALUE"""),"https://www.tiktok.com/@shandraekafanny_")</f>
        <v>https://www.tiktok.com/@shandraekafanny_</v>
      </c>
      <c r="D1069" s="273">
        <f>IFERROR(__xludf.DUMMYFUNCTION("""COMPUTED_VALUE"""),8.5795067193E10)</f>
        <v>85795067193</v>
      </c>
      <c r="E1069" s="458">
        <f>IFERROR(__xludf.DUMMYFUNCTION("""COMPUTED_VALUE"""),0.0)</f>
        <v>0</v>
      </c>
      <c r="F1069" s="273">
        <f>IFERROR(__xludf.DUMMYFUNCTION("""COMPUTED_VALUE"""),4.0)</f>
        <v>4</v>
      </c>
      <c r="G1069" t="str">
        <f>IFERROR(__xludf.DUMMYFUNCTION("""COMPUTED_VALUE"""),"Sabun batang 1 Box ( 2 PCS )")</f>
        <v>Sabun batang 1 Box ( 2 PCS )</v>
      </c>
      <c r="H1069" s="469" t="str">
        <f>IFERROR(__xludf.DUMMYFUNCTION("""COMPUTED_VALUE"""),"Sampai")</f>
        <v>Sampai</v>
      </c>
      <c r="I1069" s="470" t="str">
        <f>IFERROR(__xludf.DUMMYFUNCTION("""COMPUTED_VALUE"""),"KIMME")</f>
        <v>KIMME</v>
      </c>
      <c r="J1069" s="471" t="str">
        <f>IFERROR(__xludf.DUMMYFUNCTION("""COMPUTED_VALUE"""),"https://vt.tiktok.com/ZS96d7WtV/")</f>
        <v>https://vt.tiktok.com/ZS96d7WtV/</v>
      </c>
      <c r="K1069" s="470" t="str">
        <f>IFERROR(__xludf.DUMMYFUNCTION("""COMPUTED_VALUE"""),"KIMME")</f>
        <v>KIMME</v>
      </c>
      <c r="L1069" s="471" t="str">
        <f>IFERROR(__xludf.DUMMYFUNCTION("""COMPUTED_VALUE"""),"https://vt.tiktok.com/ZS9reLqAt/")</f>
        <v>https://vt.tiktok.com/ZS9reLqAt/</v>
      </c>
      <c r="M1069" s="470"/>
      <c r="N1069" s="471" t="str">
        <f>IFERROR(__xludf.DUMMYFUNCTION("""COMPUTED_VALUE"""),"https://vt.tiktok.com/ZS9DXN14x/")</f>
        <v>https://vt.tiktok.com/ZS9DXN14x/</v>
      </c>
      <c r="O1069" s="470"/>
      <c r="P1069" s="471" t="str">
        <f>IFERROR(__xludf.DUMMYFUNCTION("""COMPUTED_VALUE"""),"https://vt.tiktok.com/ZS9DXN14x/")</f>
        <v>https://vt.tiktok.com/ZS9DXN14x/</v>
      </c>
    </row>
    <row r="1070">
      <c r="A1070" s="282" t="str">
        <f>IFERROR(__xludf.DUMMYFUNCTION("""COMPUTED_VALUE"""),"MICRO")</f>
        <v>MICRO</v>
      </c>
      <c r="B1070" s="468" t="str">
        <f>IFERROR(__xludf.DUMMYFUNCTION("""COMPUTED_VALUE"""),"racunamel_
")</f>
        <v>racunamel_
</v>
      </c>
      <c r="C1070" s="283" t="str">
        <f>IFERROR(__xludf.DUMMYFUNCTION("""COMPUTED_VALUE"""),"https://www.tiktok.com/@racunamel_
")</f>
        <v>https://www.tiktok.com/@racunamel_
</v>
      </c>
      <c r="D1070" s="273">
        <f>IFERROR(__xludf.DUMMYFUNCTION("""COMPUTED_VALUE"""),8.1393753804E10)</f>
        <v>81393753804</v>
      </c>
      <c r="E1070" s="458">
        <f>IFERROR(__xludf.DUMMYFUNCTION("""COMPUTED_VALUE"""),0.0)</f>
        <v>0</v>
      </c>
      <c r="F1070" s="273">
        <f>IFERROR(__xludf.DUMMYFUNCTION("""COMPUTED_VALUE"""),4.0)</f>
        <v>4</v>
      </c>
      <c r="G1070" t="str">
        <f>IFERROR(__xludf.DUMMYFUNCTION("""COMPUTED_VALUE"""),"Sabun batang 1 Box ( 2 PCS )")</f>
        <v>Sabun batang 1 Box ( 2 PCS )</v>
      </c>
      <c r="H1070" s="469" t="str">
        <f>IFERROR(__xludf.DUMMYFUNCTION("""COMPUTED_VALUE"""),"Sampai")</f>
        <v>Sampai</v>
      </c>
      <c r="I1070" s="470" t="str">
        <f>IFERROR(__xludf.DUMMYFUNCTION("""COMPUTED_VALUE"""),"KIMME")</f>
        <v>KIMME</v>
      </c>
      <c r="J1070" s="471" t="str">
        <f>IFERROR(__xludf.DUMMYFUNCTION("""COMPUTED_VALUE"""),"https://vt.tiktok.com/ZS96d7WtV/")</f>
        <v>https://vt.tiktok.com/ZS96d7WtV/</v>
      </c>
      <c r="K1070" s="470" t="str">
        <f>IFERROR(__xludf.DUMMYFUNCTION("""COMPUTED_VALUE"""),"KIMME")</f>
        <v>KIMME</v>
      </c>
      <c r="L1070" s="471" t="str">
        <f>IFERROR(__xludf.DUMMYFUNCTION("""COMPUTED_VALUE"""),"https://vt.tiktok.com/ZS9reLqAt/")</f>
        <v>https://vt.tiktok.com/ZS9reLqAt/</v>
      </c>
      <c r="M1070" s="470"/>
      <c r="N1070" s="471" t="str">
        <f>IFERROR(__xludf.DUMMYFUNCTION("""COMPUTED_VALUE"""),"https://vt.tiktok.com/ZS9DXN14x/")</f>
        <v>https://vt.tiktok.com/ZS9DXN14x/</v>
      </c>
      <c r="O1070" s="470"/>
      <c r="P1070" s="471" t="str">
        <f>IFERROR(__xludf.DUMMYFUNCTION("""COMPUTED_VALUE"""),"https://vt.tiktok.com/ZS9DXN14x/")</f>
        <v>https://vt.tiktok.com/ZS9DXN14x/</v>
      </c>
    </row>
    <row r="1071">
      <c r="A1071" s="282" t="str">
        <f>IFERROR(__xludf.DUMMYFUNCTION("""COMPUTED_VALUE"""),"MICRO")</f>
        <v>MICRO</v>
      </c>
      <c r="B1071" s="468" t="str">
        <f>IFERROR(__xludf.DUMMYFUNCTION("""COMPUTED_VALUE"""),"rahayusagung")</f>
        <v>rahayusagung</v>
      </c>
      <c r="C1071" s="283" t="str">
        <f>IFERROR(__xludf.DUMMYFUNCTION("""COMPUTED_VALUE"""),"https://www.tiktok.com/@rahayusagung")</f>
        <v>https://www.tiktok.com/@rahayusagung</v>
      </c>
      <c r="D1071" s="273">
        <f>IFERROR(__xludf.DUMMYFUNCTION("""COMPUTED_VALUE"""),8.2300007839E10)</f>
        <v>82300007839</v>
      </c>
      <c r="E1071" s="458">
        <f>IFERROR(__xludf.DUMMYFUNCTION("""COMPUTED_VALUE"""),0.0)</f>
        <v>0</v>
      </c>
      <c r="F1071" s="273">
        <f>IFERROR(__xludf.DUMMYFUNCTION("""COMPUTED_VALUE"""),4.0)</f>
        <v>4</v>
      </c>
      <c r="G1071" t="str">
        <f>IFERROR(__xludf.DUMMYFUNCTION("""COMPUTED_VALUE"""),"Sabun batang 1 Box ( 2 PCS )")</f>
        <v>Sabun batang 1 Box ( 2 PCS )</v>
      </c>
      <c r="H1071" s="469" t="str">
        <f>IFERROR(__xludf.DUMMYFUNCTION("""COMPUTED_VALUE"""),"Sampai")</f>
        <v>Sampai</v>
      </c>
      <c r="I1071" s="470" t="str">
        <f>IFERROR(__xludf.DUMMYFUNCTION("""COMPUTED_VALUE"""),"KIMME")</f>
        <v>KIMME</v>
      </c>
      <c r="J1071" s="471" t="str">
        <f>IFERROR(__xludf.DUMMYFUNCTION("""COMPUTED_VALUE"""),"https://vt.tiktok.com/ZS96d7WtV/")</f>
        <v>https://vt.tiktok.com/ZS96d7WtV/</v>
      </c>
      <c r="K1071" s="470" t="str">
        <f>IFERROR(__xludf.DUMMYFUNCTION("""COMPUTED_VALUE"""),"KIMME")</f>
        <v>KIMME</v>
      </c>
      <c r="L1071" s="471" t="str">
        <f>IFERROR(__xludf.DUMMYFUNCTION("""COMPUTED_VALUE"""),"https://vt.tiktok.com/ZS9reLqAt/")</f>
        <v>https://vt.tiktok.com/ZS9reLqAt/</v>
      </c>
      <c r="M1071" s="470"/>
      <c r="N1071" s="471" t="str">
        <f>IFERROR(__xludf.DUMMYFUNCTION("""COMPUTED_VALUE"""),"https://vt.tiktok.com/ZS9DXN14x/")</f>
        <v>https://vt.tiktok.com/ZS9DXN14x/</v>
      </c>
      <c r="O1071" s="470"/>
      <c r="P1071" s="471" t="str">
        <f>IFERROR(__xludf.DUMMYFUNCTION("""COMPUTED_VALUE"""),"https://vt.tiktok.com/ZS9DXN14x/")</f>
        <v>https://vt.tiktok.com/ZS9DXN14x/</v>
      </c>
    </row>
    <row r="1072">
      <c r="A1072" s="282" t="str">
        <f>IFERROR(__xludf.DUMMYFUNCTION("""COMPUTED_VALUE"""),"MICRO")</f>
        <v>MICRO</v>
      </c>
      <c r="B1072" s="468" t="str">
        <f>IFERROR(__xludf.DUMMYFUNCTION("""COMPUTED_VALUE"""),"hemaaaa.malinii")</f>
        <v>hemaaaa.malinii</v>
      </c>
      <c r="C1072" s="283" t="str">
        <f>IFERROR(__xludf.DUMMYFUNCTION("""COMPUTED_VALUE"""),"https://www.tiktok.com/@hemaaaa.malinii")</f>
        <v>https://www.tiktok.com/@hemaaaa.malinii</v>
      </c>
      <c r="D1072" s="273">
        <f>IFERROR(__xludf.DUMMYFUNCTION("""COMPUTED_VALUE"""),8.95411951417E11)</f>
        <v>895411951417</v>
      </c>
      <c r="E1072" s="458">
        <f>IFERROR(__xludf.DUMMYFUNCTION("""COMPUTED_VALUE"""),0.0)</f>
        <v>0</v>
      </c>
      <c r="F1072" s="273">
        <f>IFERROR(__xludf.DUMMYFUNCTION("""COMPUTED_VALUE"""),4.0)</f>
        <v>4</v>
      </c>
      <c r="G1072" t="str">
        <f>IFERROR(__xludf.DUMMYFUNCTION("""COMPUTED_VALUE"""),"Sabun batang 1 Box ( 2 PCS )")</f>
        <v>Sabun batang 1 Box ( 2 PCS )</v>
      </c>
      <c r="H1072" s="469" t="str">
        <f>IFERROR(__xludf.DUMMYFUNCTION("""COMPUTED_VALUE"""),"Sampai")</f>
        <v>Sampai</v>
      </c>
      <c r="I1072" s="470" t="str">
        <f>IFERROR(__xludf.DUMMYFUNCTION("""COMPUTED_VALUE"""),"KIMME")</f>
        <v>KIMME</v>
      </c>
      <c r="J1072" s="471" t="str">
        <f>IFERROR(__xludf.DUMMYFUNCTION("""COMPUTED_VALUE"""),"https://vt.tiktok.com/ZS96d7WtV/")</f>
        <v>https://vt.tiktok.com/ZS96d7WtV/</v>
      </c>
      <c r="K1072" s="470" t="str">
        <f>IFERROR(__xludf.DUMMYFUNCTION("""COMPUTED_VALUE"""),"KIMME")</f>
        <v>KIMME</v>
      </c>
      <c r="L1072" s="471" t="str">
        <f>IFERROR(__xludf.DUMMYFUNCTION("""COMPUTED_VALUE"""),"https://vt.tiktok.com/ZS9reLqAt/")</f>
        <v>https://vt.tiktok.com/ZS9reLqAt/</v>
      </c>
      <c r="M1072" s="470"/>
      <c r="N1072" s="471" t="str">
        <f>IFERROR(__xludf.DUMMYFUNCTION("""COMPUTED_VALUE"""),"https://vt.tiktok.com/ZS9DXN14x/")</f>
        <v>https://vt.tiktok.com/ZS9DXN14x/</v>
      </c>
      <c r="O1072" s="470"/>
      <c r="P1072" s="471" t="str">
        <f>IFERROR(__xludf.DUMMYFUNCTION("""COMPUTED_VALUE"""),"https://vt.tiktok.com/ZS9DXN14x/")</f>
        <v>https://vt.tiktok.com/ZS9DXN14x/</v>
      </c>
    </row>
    <row r="1073">
      <c r="A1073" s="282" t="str">
        <f>IFERROR(__xludf.DUMMYFUNCTION("""COMPUTED_VALUE"""),"MICRO")</f>
        <v>MICRO</v>
      </c>
      <c r="B1073" s="468" t="str">
        <f>IFERROR(__xludf.DUMMYFUNCTION("""COMPUTED_VALUE"""),"rhestinoap")</f>
        <v>rhestinoap</v>
      </c>
      <c r="C1073" s="283" t="str">
        <f>IFERROR(__xludf.DUMMYFUNCTION("""COMPUTED_VALUE"""),"https://www.tiktok.com/@rhestinoap")</f>
        <v>https://www.tiktok.com/@rhestinoap</v>
      </c>
      <c r="D1073" s="273">
        <f>IFERROR(__xludf.DUMMYFUNCTION("""COMPUTED_VALUE"""),8.78878805E10)</f>
        <v>87887880500</v>
      </c>
      <c r="E1073" s="458">
        <f>IFERROR(__xludf.DUMMYFUNCTION("""COMPUTED_VALUE"""),0.0)</f>
        <v>0</v>
      </c>
      <c r="F1073" s="273">
        <f>IFERROR(__xludf.DUMMYFUNCTION("""COMPUTED_VALUE"""),4.0)</f>
        <v>4</v>
      </c>
      <c r="G1073" t="str">
        <f>IFERROR(__xludf.DUMMYFUNCTION("""COMPUTED_VALUE"""),"Sabun batang 1 Box ( 2 PCS )")</f>
        <v>Sabun batang 1 Box ( 2 PCS )</v>
      </c>
      <c r="H1073" s="469" t="str">
        <f>IFERROR(__xludf.DUMMYFUNCTION("""COMPUTED_VALUE"""),"Sampai")</f>
        <v>Sampai</v>
      </c>
      <c r="I1073" s="470" t="str">
        <f>IFERROR(__xludf.DUMMYFUNCTION("""COMPUTED_VALUE"""),"KIMME")</f>
        <v>KIMME</v>
      </c>
      <c r="J1073" s="471" t="str">
        <f>IFERROR(__xludf.DUMMYFUNCTION("""COMPUTED_VALUE"""),"https://vt.tiktok.com/ZS96d7WtV/")</f>
        <v>https://vt.tiktok.com/ZS96d7WtV/</v>
      </c>
      <c r="K1073" s="470" t="str">
        <f>IFERROR(__xludf.DUMMYFUNCTION("""COMPUTED_VALUE"""),"KIMME")</f>
        <v>KIMME</v>
      </c>
      <c r="L1073" s="471" t="str">
        <f>IFERROR(__xludf.DUMMYFUNCTION("""COMPUTED_VALUE"""),"https://vt.tiktok.com/ZS9reLqAt/")</f>
        <v>https://vt.tiktok.com/ZS9reLqAt/</v>
      </c>
      <c r="M1073" s="470"/>
      <c r="N1073" s="471" t="str">
        <f>IFERROR(__xludf.DUMMYFUNCTION("""COMPUTED_VALUE"""),"https://vt.tiktok.com/ZS9DXN14x/")</f>
        <v>https://vt.tiktok.com/ZS9DXN14x/</v>
      </c>
      <c r="O1073" s="470"/>
      <c r="P1073" s="471" t="str">
        <f>IFERROR(__xludf.DUMMYFUNCTION("""COMPUTED_VALUE"""),"https://vt.tiktok.com/ZS9DXN14x/")</f>
        <v>https://vt.tiktok.com/ZS9DXN14x/</v>
      </c>
    </row>
    <row r="1074">
      <c r="A1074" s="282" t="str">
        <f>IFERROR(__xludf.DUMMYFUNCTION("""COMPUTED_VALUE"""),"MICRO")</f>
        <v>MICRO</v>
      </c>
      <c r="B1074" s="468" t="str">
        <f>IFERROR(__xludf.DUMMYFUNCTION("""COMPUTED_VALUE"""),"beberlyan
")</f>
        <v>beberlyan
</v>
      </c>
      <c r="C1074" s="283" t="str">
        <f>IFERROR(__xludf.DUMMYFUNCTION("""COMPUTED_VALUE"""),"https://www.tiktok.com/@beberlyan
")</f>
        <v>https://www.tiktok.com/@beberlyan
</v>
      </c>
      <c r="D1074" s="273">
        <f>IFERROR(__xludf.DUMMYFUNCTION("""COMPUTED_VALUE"""),8.95702863869E11)</f>
        <v>895702863869</v>
      </c>
      <c r="E1074" s="458">
        <f>IFERROR(__xludf.DUMMYFUNCTION("""COMPUTED_VALUE"""),0.0)</f>
        <v>0</v>
      </c>
      <c r="F1074" s="273">
        <f>IFERROR(__xludf.DUMMYFUNCTION("""COMPUTED_VALUE"""),1.0)</f>
        <v>1</v>
      </c>
      <c r="G1074" t="str">
        <f>IFERROR(__xludf.DUMMYFUNCTION("""COMPUTED_VALUE"""),"Sabun batang 1 Box ( 2 PCS )")</f>
        <v>Sabun batang 1 Box ( 2 PCS )</v>
      </c>
      <c r="H1074" s="469" t="str">
        <f>IFERROR(__xludf.DUMMYFUNCTION("""COMPUTED_VALUE"""),"Sampai")</f>
        <v>Sampai</v>
      </c>
      <c r="I1074" s="470" t="str">
        <f>IFERROR(__xludf.DUMMYFUNCTION("""COMPUTED_VALUE"""),"KIMME")</f>
        <v>KIMME</v>
      </c>
      <c r="J1074" s="471" t="str">
        <f>IFERROR(__xludf.DUMMYFUNCTION("""COMPUTED_VALUE"""),"https://vt.tiktok.com/ZS96d7WtV/")</f>
        <v>https://vt.tiktok.com/ZS96d7WtV/</v>
      </c>
      <c r="K1074" s="470" t="str">
        <f>IFERROR(__xludf.DUMMYFUNCTION("""COMPUTED_VALUE"""),"KIMME")</f>
        <v>KIMME</v>
      </c>
      <c r="L1074" s="471" t="str">
        <f>IFERROR(__xludf.DUMMYFUNCTION("""COMPUTED_VALUE"""),"https://vt.tiktok.com/ZS9reLqAt/")</f>
        <v>https://vt.tiktok.com/ZS9reLqAt/</v>
      </c>
      <c r="M1074" s="470"/>
      <c r="N1074" s="471" t="str">
        <f>IFERROR(__xludf.DUMMYFUNCTION("""COMPUTED_VALUE"""),"https://vt.tiktok.com/ZS9DXN14x/")</f>
        <v>https://vt.tiktok.com/ZS9DXN14x/</v>
      </c>
      <c r="O1074" s="470"/>
      <c r="P1074" s="471" t="str">
        <f>IFERROR(__xludf.DUMMYFUNCTION("""COMPUTED_VALUE"""),"https://vt.tiktok.com/ZS9DXN14x/")</f>
        <v>https://vt.tiktok.com/ZS9DXN14x/</v>
      </c>
    </row>
    <row r="1075">
      <c r="A1075" s="282" t="str">
        <f>IFERROR(__xludf.DUMMYFUNCTION("""COMPUTED_VALUE"""),"MICRO")</f>
        <v>MICRO</v>
      </c>
      <c r="B1075" s="468" t="str">
        <f>IFERROR(__xludf.DUMMYFUNCTION("""COMPUTED_VALUE"""),"aldila.fitri")</f>
        <v>aldila.fitri</v>
      </c>
      <c r="C1075" s="283" t="str">
        <f>IFERROR(__xludf.DUMMYFUNCTION("""COMPUTED_VALUE"""),"https://www.tiktok.com/@aldila.fitri")</f>
        <v>https://www.tiktok.com/@aldila.fitri</v>
      </c>
      <c r="D1075" s="273">
        <f>IFERROR(__xludf.DUMMYFUNCTION("""COMPUTED_VALUE"""),8.5726917772E10)</f>
        <v>85726917772</v>
      </c>
      <c r="E1075" s="458">
        <f>IFERROR(__xludf.DUMMYFUNCTION("""COMPUTED_VALUE"""),0.0)</f>
        <v>0</v>
      </c>
      <c r="F1075" s="273">
        <f>IFERROR(__xludf.DUMMYFUNCTION("""COMPUTED_VALUE"""),1.0)</f>
        <v>1</v>
      </c>
      <c r="G1075" t="str">
        <f>IFERROR(__xludf.DUMMYFUNCTION("""COMPUTED_VALUE"""),"Sabun batang 1 Box ( 2 PCS )")</f>
        <v>Sabun batang 1 Box ( 2 PCS )</v>
      </c>
      <c r="H1075" s="469" t="str">
        <f>IFERROR(__xludf.DUMMYFUNCTION("""COMPUTED_VALUE"""),"Sampai")</f>
        <v>Sampai</v>
      </c>
      <c r="I1075" s="470" t="str">
        <f>IFERROR(__xludf.DUMMYFUNCTION("""COMPUTED_VALUE"""),"KIMME")</f>
        <v>KIMME</v>
      </c>
      <c r="J1075" s="471" t="str">
        <f>IFERROR(__xludf.DUMMYFUNCTION("""COMPUTED_VALUE"""),"https://vt.tiktok.com/ZS96d7WtV/")</f>
        <v>https://vt.tiktok.com/ZS96d7WtV/</v>
      </c>
      <c r="K1075" s="470" t="str">
        <f>IFERROR(__xludf.DUMMYFUNCTION("""COMPUTED_VALUE"""),"KIMME")</f>
        <v>KIMME</v>
      </c>
      <c r="L1075" s="471" t="str">
        <f>IFERROR(__xludf.DUMMYFUNCTION("""COMPUTED_VALUE"""),"https://vt.tiktok.com/ZS9reLqAt/")</f>
        <v>https://vt.tiktok.com/ZS9reLqAt/</v>
      </c>
      <c r="M1075" s="470"/>
      <c r="N1075" s="471" t="str">
        <f>IFERROR(__xludf.DUMMYFUNCTION("""COMPUTED_VALUE"""),"https://vt.tiktok.com/ZS9DXN14x/")</f>
        <v>https://vt.tiktok.com/ZS9DXN14x/</v>
      </c>
      <c r="O1075" s="470"/>
      <c r="P1075" s="471" t="str">
        <f>IFERROR(__xludf.DUMMYFUNCTION("""COMPUTED_VALUE"""),"https://vt.tiktok.com/ZS9DXN14x/")</f>
        <v>https://vt.tiktok.com/ZS9DXN14x/</v>
      </c>
    </row>
    <row r="1076">
      <c r="A1076" s="282" t="str">
        <f>IFERROR(__xludf.DUMMYFUNCTION("""COMPUTED_VALUE"""),"MICRO")</f>
        <v>MICRO</v>
      </c>
      <c r="B1076" s="468" t="str">
        <f>IFERROR(__xludf.DUMMYFUNCTION("""COMPUTED_VALUE"""),"triajamrung")</f>
        <v>triajamrung</v>
      </c>
      <c r="C1076" s="283" t="str">
        <f>IFERROR(__xludf.DUMMYFUNCTION("""COMPUTED_VALUE"""),"https://www.tiktok.com/@triajamrung")</f>
        <v>https://www.tiktok.com/@triajamrung</v>
      </c>
      <c r="D1076" s="273">
        <f>IFERROR(__xludf.DUMMYFUNCTION("""COMPUTED_VALUE"""),8.5398082375E10)</f>
        <v>85398082375</v>
      </c>
      <c r="E1076" s="458">
        <f>IFERROR(__xludf.DUMMYFUNCTION("""COMPUTED_VALUE"""),0.0)</f>
        <v>0</v>
      </c>
      <c r="F1076" s="273">
        <f>IFERROR(__xludf.DUMMYFUNCTION("""COMPUTED_VALUE"""),4.0)</f>
        <v>4</v>
      </c>
      <c r="G1076" t="str">
        <f>IFERROR(__xludf.DUMMYFUNCTION("""COMPUTED_VALUE"""),"Sabun batang 1 Box ( 2 PCS )")</f>
        <v>Sabun batang 1 Box ( 2 PCS )</v>
      </c>
      <c r="H1076" s="469" t="str">
        <f>IFERROR(__xludf.DUMMYFUNCTION("""COMPUTED_VALUE"""),"Sampai")</f>
        <v>Sampai</v>
      </c>
      <c r="I1076" s="470" t="str">
        <f>IFERROR(__xludf.DUMMYFUNCTION("""COMPUTED_VALUE"""),"KIMME")</f>
        <v>KIMME</v>
      </c>
      <c r="J1076" s="471" t="str">
        <f>IFERROR(__xludf.DUMMYFUNCTION("""COMPUTED_VALUE"""),"https://vt.tiktok.com/ZS96d7WtV/")</f>
        <v>https://vt.tiktok.com/ZS96d7WtV/</v>
      </c>
      <c r="K1076" s="470" t="str">
        <f>IFERROR(__xludf.DUMMYFUNCTION("""COMPUTED_VALUE"""),"KIMME")</f>
        <v>KIMME</v>
      </c>
      <c r="L1076" s="471" t="str">
        <f>IFERROR(__xludf.DUMMYFUNCTION("""COMPUTED_VALUE"""),"https://vt.tiktok.com/ZS9reLqAt/")</f>
        <v>https://vt.tiktok.com/ZS9reLqAt/</v>
      </c>
      <c r="M1076" s="470"/>
      <c r="N1076" s="471" t="str">
        <f>IFERROR(__xludf.DUMMYFUNCTION("""COMPUTED_VALUE"""),"https://vt.tiktok.com/ZS9DXN14x/")</f>
        <v>https://vt.tiktok.com/ZS9DXN14x/</v>
      </c>
      <c r="O1076" s="470"/>
      <c r="P1076" s="471" t="str">
        <f>IFERROR(__xludf.DUMMYFUNCTION("""COMPUTED_VALUE"""),"https://vt.tiktok.com/ZS9DXN14x/")</f>
        <v>https://vt.tiktok.com/ZS9DXN14x/</v>
      </c>
    </row>
    <row r="1077">
      <c r="A1077" s="282" t="str">
        <f>IFERROR(__xludf.DUMMYFUNCTION("""COMPUTED_VALUE"""),"MICRO")</f>
        <v>MICRO</v>
      </c>
      <c r="B1077" s="468" t="str">
        <f>IFERROR(__xludf.DUMMYFUNCTION("""COMPUTED_VALUE"""),"jazulimaryam")</f>
        <v>jazulimaryam</v>
      </c>
      <c r="C1077" s="283" t="str">
        <f>IFERROR(__xludf.DUMMYFUNCTION("""COMPUTED_VALUE"""),"https://www.tiktok.com/@jazulimaryam")</f>
        <v>https://www.tiktok.com/@jazulimaryam</v>
      </c>
      <c r="D1077" s="273">
        <f>IFERROR(__xludf.DUMMYFUNCTION("""COMPUTED_VALUE"""),8.3815590828E10)</f>
        <v>83815590828</v>
      </c>
      <c r="E1077" s="458">
        <f>IFERROR(__xludf.DUMMYFUNCTION("""COMPUTED_VALUE"""),0.0)</f>
        <v>0</v>
      </c>
      <c r="F1077" s="273">
        <f>IFERROR(__xludf.DUMMYFUNCTION("""COMPUTED_VALUE"""),4.0)</f>
        <v>4</v>
      </c>
      <c r="G1077" t="str">
        <f>IFERROR(__xludf.DUMMYFUNCTION("""COMPUTED_VALUE"""),"Sabun batang 1 Box ( 2 PCS )")</f>
        <v>Sabun batang 1 Box ( 2 PCS )</v>
      </c>
      <c r="H1077" s="469" t="str">
        <f>IFERROR(__xludf.DUMMYFUNCTION("""COMPUTED_VALUE"""),"Sampai")</f>
        <v>Sampai</v>
      </c>
      <c r="I1077" s="470" t="str">
        <f>IFERROR(__xludf.DUMMYFUNCTION("""COMPUTED_VALUE"""),"KIMME")</f>
        <v>KIMME</v>
      </c>
      <c r="J1077" s="471" t="str">
        <f>IFERROR(__xludf.DUMMYFUNCTION("""COMPUTED_VALUE"""),"https://vt.tiktok.com/ZS96d7WtV/")</f>
        <v>https://vt.tiktok.com/ZS96d7WtV/</v>
      </c>
      <c r="K1077" s="470" t="str">
        <f>IFERROR(__xludf.DUMMYFUNCTION("""COMPUTED_VALUE"""),"KIMME")</f>
        <v>KIMME</v>
      </c>
      <c r="L1077" s="471" t="str">
        <f>IFERROR(__xludf.DUMMYFUNCTION("""COMPUTED_VALUE"""),"https://vt.tiktok.com/ZS9reLqAt/")</f>
        <v>https://vt.tiktok.com/ZS9reLqAt/</v>
      </c>
      <c r="M1077" s="470"/>
      <c r="N1077" s="471" t="str">
        <f>IFERROR(__xludf.DUMMYFUNCTION("""COMPUTED_VALUE"""),"https://vt.tiktok.com/ZS9DXN14x/")</f>
        <v>https://vt.tiktok.com/ZS9DXN14x/</v>
      </c>
      <c r="O1077" s="470"/>
      <c r="P1077" s="471" t="str">
        <f>IFERROR(__xludf.DUMMYFUNCTION("""COMPUTED_VALUE"""),"https://vt.tiktok.com/ZS9DXN14x/")</f>
        <v>https://vt.tiktok.com/ZS9DXN14x/</v>
      </c>
    </row>
    <row r="1078">
      <c r="A1078" s="282" t="str">
        <f>IFERROR(__xludf.DUMMYFUNCTION("""COMPUTED_VALUE"""),"MICRO")</f>
        <v>MICRO</v>
      </c>
      <c r="B1078" s="468" t="str">
        <f>IFERROR(__xludf.DUMMYFUNCTION("""COMPUTED_VALUE"""),"ig.e.rosarina
")</f>
        <v>ig.e.rosarina
</v>
      </c>
      <c r="C1078" s="283" t="str">
        <f>IFERROR(__xludf.DUMMYFUNCTION("""COMPUTED_VALUE"""),"https://www.tiktok.com/@ig.e.rosarina
")</f>
        <v>https://www.tiktok.com/@ig.e.rosarina
</v>
      </c>
      <c r="D1078" s="273">
        <f>IFERROR(__xludf.DUMMYFUNCTION("""COMPUTED_VALUE"""),8.5881386062E10)</f>
        <v>85881386062</v>
      </c>
      <c r="E1078" s="458">
        <f>IFERROR(__xludf.DUMMYFUNCTION("""COMPUTED_VALUE"""),0.0)</f>
        <v>0</v>
      </c>
      <c r="F1078" s="273">
        <f>IFERROR(__xludf.DUMMYFUNCTION("""COMPUTED_VALUE"""),4.0)</f>
        <v>4</v>
      </c>
      <c r="G1078" t="str">
        <f>IFERROR(__xludf.DUMMYFUNCTION("""COMPUTED_VALUE"""),"Sabun batang 1 Box ( 2 PCS )")</f>
        <v>Sabun batang 1 Box ( 2 PCS )</v>
      </c>
      <c r="H1078" s="469" t="str">
        <f>IFERROR(__xludf.DUMMYFUNCTION("""COMPUTED_VALUE"""),"Sampai")</f>
        <v>Sampai</v>
      </c>
      <c r="I1078" s="470" t="str">
        <f>IFERROR(__xludf.DUMMYFUNCTION("""COMPUTED_VALUE"""),"KIMME")</f>
        <v>KIMME</v>
      </c>
      <c r="J1078" s="471" t="str">
        <f>IFERROR(__xludf.DUMMYFUNCTION("""COMPUTED_VALUE"""),"https://vt.tiktok.com/ZS96d7WtV/")</f>
        <v>https://vt.tiktok.com/ZS96d7WtV/</v>
      </c>
      <c r="K1078" s="470" t="str">
        <f>IFERROR(__xludf.DUMMYFUNCTION("""COMPUTED_VALUE"""),"KIMME")</f>
        <v>KIMME</v>
      </c>
      <c r="L1078" s="471" t="str">
        <f>IFERROR(__xludf.DUMMYFUNCTION("""COMPUTED_VALUE"""),"https://vt.tiktok.com/ZS9reLqAt/")</f>
        <v>https://vt.tiktok.com/ZS9reLqAt/</v>
      </c>
      <c r="M1078" s="470"/>
      <c r="N1078" s="471" t="str">
        <f>IFERROR(__xludf.DUMMYFUNCTION("""COMPUTED_VALUE"""),"https://vt.tiktok.com/ZS9DXN14x/")</f>
        <v>https://vt.tiktok.com/ZS9DXN14x/</v>
      </c>
      <c r="O1078" s="470"/>
      <c r="P1078" s="471" t="str">
        <f>IFERROR(__xludf.DUMMYFUNCTION("""COMPUTED_VALUE"""),"https://vt.tiktok.com/ZS9DXN14x/")</f>
        <v>https://vt.tiktok.com/ZS9DXN14x/</v>
      </c>
    </row>
    <row r="1079">
      <c r="A1079" s="282" t="str">
        <f>IFERROR(__xludf.DUMMYFUNCTION("""COMPUTED_VALUE"""),"MICRO")</f>
        <v>MICRO</v>
      </c>
      <c r="B1079" s="468" t="str">
        <f>IFERROR(__xludf.DUMMYFUNCTION("""COMPUTED_VALUE"""),"nis_saaa
")</f>
        <v>nis_saaa
</v>
      </c>
      <c r="C1079" s="283" t="str">
        <f>IFERROR(__xludf.DUMMYFUNCTION("""COMPUTED_VALUE"""),"https://www.tiktok.com/@nis_saaa
")</f>
        <v>https://www.tiktok.com/@nis_saaa
</v>
      </c>
      <c r="D1079" s="273">
        <f>IFERROR(__xludf.DUMMYFUNCTION("""COMPUTED_VALUE"""),8.5156551056E10)</f>
        <v>85156551056</v>
      </c>
      <c r="E1079" s="458">
        <f>IFERROR(__xludf.DUMMYFUNCTION("""COMPUTED_VALUE"""),0.0)</f>
        <v>0</v>
      </c>
      <c r="F1079" s="273">
        <f>IFERROR(__xludf.DUMMYFUNCTION("""COMPUTED_VALUE"""),4.0)</f>
        <v>4</v>
      </c>
      <c r="G1079" t="str">
        <f>IFERROR(__xludf.DUMMYFUNCTION("""COMPUTED_VALUE"""),"Sabun batang 1 Box ( 2 PCS )")</f>
        <v>Sabun batang 1 Box ( 2 PCS )</v>
      </c>
      <c r="H1079" s="469" t="str">
        <f>IFERROR(__xludf.DUMMYFUNCTION("""COMPUTED_VALUE"""),"Sampai")</f>
        <v>Sampai</v>
      </c>
      <c r="I1079" s="470" t="str">
        <f>IFERROR(__xludf.DUMMYFUNCTION("""COMPUTED_VALUE"""),"KIMME")</f>
        <v>KIMME</v>
      </c>
      <c r="J1079" s="471" t="str">
        <f>IFERROR(__xludf.DUMMYFUNCTION("""COMPUTED_VALUE"""),"https://vt.tiktok.com/ZS96d7WtV/")</f>
        <v>https://vt.tiktok.com/ZS96d7WtV/</v>
      </c>
      <c r="K1079" s="470" t="str">
        <f>IFERROR(__xludf.DUMMYFUNCTION("""COMPUTED_VALUE"""),"KIMME")</f>
        <v>KIMME</v>
      </c>
      <c r="L1079" s="471" t="str">
        <f>IFERROR(__xludf.DUMMYFUNCTION("""COMPUTED_VALUE"""),"https://vt.tiktok.com/ZS9reLqAt/")</f>
        <v>https://vt.tiktok.com/ZS9reLqAt/</v>
      </c>
      <c r="M1079" s="470"/>
      <c r="N1079" s="471" t="str">
        <f>IFERROR(__xludf.DUMMYFUNCTION("""COMPUTED_VALUE"""),"https://vt.tiktok.com/ZS9DXN14x/")</f>
        <v>https://vt.tiktok.com/ZS9DXN14x/</v>
      </c>
      <c r="O1079" s="470"/>
      <c r="P1079" s="471" t="str">
        <f>IFERROR(__xludf.DUMMYFUNCTION("""COMPUTED_VALUE"""),"https://vt.tiktok.com/ZS9DXN14x/")</f>
        <v>https://vt.tiktok.com/ZS9DXN14x/</v>
      </c>
    </row>
    <row r="1080">
      <c r="A1080" s="282" t="str">
        <f>IFERROR(__xludf.DUMMYFUNCTION("""COMPUTED_VALUE"""),"MICRO")</f>
        <v>MICRO</v>
      </c>
      <c r="B1080" s="468" t="str">
        <f>IFERROR(__xludf.DUMMYFUNCTION("""COMPUTED_VALUE"""),"setyowathy")</f>
        <v>setyowathy</v>
      </c>
      <c r="C1080" s="283" t="str">
        <f>IFERROR(__xludf.DUMMYFUNCTION("""COMPUTED_VALUE"""),"https://www.tiktok.com/@setyowathy")</f>
        <v>https://www.tiktok.com/@setyowathy</v>
      </c>
      <c r="D1080" s="273">
        <f>IFERROR(__xludf.DUMMYFUNCTION("""COMPUTED_VALUE"""),8.7786527119E10)</f>
        <v>87786527119</v>
      </c>
      <c r="E1080" s="458">
        <f>IFERROR(__xludf.DUMMYFUNCTION("""COMPUTED_VALUE"""),0.0)</f>
        <v>0</v>
      </c>
      <c r="F1080" s="273">
        <f>IFERROR(__xludf.DUMMYFUNCTION("""COMPUTED_VALUE"""),2.0)</f>
        <v>2</v>
      </c>
      <c r="G1080" t="str">
        <f>IFERROR(__xludf.DUMMYFUNCTION("""COMPUTED_VALUE"""),"Sabun batang 1 Box ( 2 PCS )")</f>
        <v>Sabun batang 1 Box ( 2 PCS )</v>
      </c>
      <c r="H1080" s="469" t="str">
        <f>IFERROR(__xludf.DUMMYFUNCTION("""COMPUTED_VALUE"""),"Sampai")</f>
        <v>Sampai</v>
      </c>
      <c r="I1080" s="470" t="str">
        <f>IFERROR(__xludf.DUMMYFUNCTION("""COMPUTED_VALUE"""),"KIMME")</f>
        <v>KIMME</v>
      </c>
      <c r="J1080" s="471" t="str">
        <f>IFERROR(__xludf.DUMMYFUNCTION("""COMPUTED_VALUE"""),"https://vt.tiktok.com/ZS96d7WtV/")</f>
        <v>https://vt.tiktok.com/ZS96d7WtV/</v>
      </c>
      <c r="K1080" s="470" t="str">
        <f>IFERROR(__xludf.DUMMYFUNCTION("""COMPUTED_VALUE"""),"KIMME")</f>
        <v>KIMME</v>
      </c>
      <c r="L1080" s="471" t="str">
        <f>IFERROR(__xludf.DUMMYFUNCTION("""COMPUTED_VALUE"""),"https://vt.tiktok.com/ZS9reLqAt/")</f>
        <v>https://vt.tiktok.com/ZS9reLqAt/</v>
      </c>
      <c r="M1080" s="470"/>
      <c r="N1080" s="471" t="str">
        <f>IFERROR(__xludf.DUMMYFUNCTION("""COMPUTED_VALUE"""),"https://vt.tiktok.com/ZS9DXN14x/")</f>
        <v>https://vt.tiktok.com/ZS9DXN14x/</v>
      </c>
      <c r="O1080" s="470"/>
      <c r="P1080" s="471" t="str">
        <f>IFERROR(__xludf.DUMMYFUNCTION("""COMPUTED_VALUE"""),"https://vt.tiktok.com/ZS9DXN14x/")</f>
        <v>https://vt.tiktok.com/ZS9DXN14x/</v>
      </c>
    </row>
    <row r="1081">
      <c r="A1081" s="282" t="str">
        <f>IFERROR(__xludf.DUMMYFUNCTION("""COMPUTED_VALUE"""),"MICRO")</f>
        <v>MICRO</v>
      </c>
      <c r="B1081" s="468" t="str">
        <f>IFERROR(__xludf.DUMMYFUNCTION("""COMPUTED_VALUE"""),"nchy.bestie")</f>
        <v>nchy.bestie</v>
      </c>
      <c r="C1081" s="283" t="str">
        <f>IFERROR(__xludf.DUMMYFUNCTION("""COMPUTED_VALUE"""),"https://www.tiktok.com/@nchy.bestie")</f>
        <v>https://www.tiktok.com/@nchy.bestie</v>
      </c>
      <c r="D1081" s="273">
        <f>IFERROR(__xludf.DUMMYFUNCTION("""COMPUTED_VALUE"""),8.2119620987E10)</f>
        <v>82119620987</v>
      </c>
      <c r="E1081" s="458">
        <f>IFERROR(__xludf.DUMMYFUNCTION("""COMPUTED_VALUE"""),150000.0)</f>
        <v>150000</v>
      </c>
      <c r="F1081" s="273">
        <f>IFERROR(__xludf.DUMMYFUNCTION("""COMPUTED_VALUE"""),1.0)</f>
        <v>1</v>
      </c>
      <c r="G1081" t="str">
        <f>IFERROR(__xludf.DUMMYFUNCTION("""COMPUTED_VALUE"""),"Sabun batang 1 Box ( 2 PCS )")</f>
        <v>Sabun batang 1 Box ( 2 PCS )</v>
      </c>
      <c r="H1081" s="469" t="str">
        <f>IFERROR(__xludf.DUMMYFUNCTION("""COMPUTED_VALUE"""),"Sampai")</f>
        <v>Sampai</v>
      </c>
      <c r="I1081" s="470" t="str">
        <f>IFERROR(__xludf.DUMMYFUNCTION("""COMPUTED_VALUE"""),"KIMME")</f>
        <v>KIMME</v>
      </c>
      <c r="J1081" s="471" t="str">
        <f>IFERROR(__xludf.DUMMYFUNCTION("""COMPUTED_VALUE"""),"https://vt.tiktok.com/ZSxgu1T1p/")</f>
        <v>https://vt.tiktok.com/ZSxgu1T1p/</v>
      </c>
      <c r="K1081" s="470" t="str">
        <f>IFERROR(__xludf.DUMMYFUNCTION("""COMPUTED_VALUE"""),"KIMME")</f>
        <v>KIMME</v>
      </c>
      <c r="L1081" s="471" t="str">
        <f>IFERROR(__xludf.DUMMYFUNCTION("""COMPUTED_VALUE"""),"https://vt.tiktok.com/ZSxguRJ3K/")</f>
        <v>https://vt.tiktok.com/ZSxguRJ3K/</v>
      </c>
      <c r="M1081" s="470"/>
      <c r="N1081" s="471" t="str">
        <f>IFERROR(__xludf.DUMMYFUNCTION("""COMPUTED_VALUE"""),"https://vt.tiktok.com/ZSxyABeba/")</f>
        <v>https://vt.tiktok.com/ZSxyABeba/</v>
      </c>
      <c r="O1081" s="470"/>
      <c r="P1081" s="471" t="str">
        <f>IFERROR(__xludf.DUMMYFUNCTION("""COMPUTED_VALUE"""),"https://vt.tiktok.com/ZSxyS3jRk/")</f>
        <v>https://vt.tiktok.com/ZSxyS3jRk/</v>
      </c>
    </row>
    <row r="1082">
      <c r="A1082" s="282" t="str">
        <f>IFERROR(__xludf.DUMMYFUNCTION("""COMPUTED_VALUE"""),"MICRO")</f>
        <v>MICRO</v>
      </c>
      <c r="B1082" s="468" t="str">
        <f>IFERROR(__xludf.DUMMYFUNCTION("""COMPUTED_VALUE"""),"apayaabingung_")</f>
        <v>apayaabingung_</v>
      </c>
      <c r="C1082" s="283" t="str">
        <f>IFERROR(__xludf.DUMMYFUNCTION("""COMPUTED_VALUE"""),"https://www.tiktok.com/@apayaabingung_")</f>
        <v>https://www.tiktok.com/@apayaabingung_</v>
      </c>
      <c r="D1082" s="273">
        <f>IFERROR(__xludf.DUMMYFUNCTION("""COMPUTED_VALUE"""),8.5701126674E10)</f>
        <v>85701126674</v>
      </c>
      <c r="E1082" s="458">
        <f>IFERROR(__xludf.DUMMYFUNCTION("""COMPUTED_VALUE"""),0.0)</f>
        <v>0</v>
      </c>
      <c r="F1082" s="273">
        <f>IFERROR(__xludf.DUMMYFUNCTION("""COMPUTED_VALUE"""),1.0)</f>
        <v>1</v>
      </c>
      <c r="G1082" t="str">
        <f>IFERROR(__xludf.DUMMYFUNCTION("""COMPUTED_VALUE"""),"Sabun batang 1 Box ( 2 PCS )")</f>
        <v>Sabun batang 1 Box ( 2 PCS )</v>
      </c>
      <c r="H1082" s="469" t="str">
        <f>IFERROR(__xludf.DUMMYFUNCTION("""COMPUTED_VALUE"""),"Sampai")</f>
        <v>Sampai</v>
      </c>
      <c r="I1082" s="470" t="str">
        <f>IFERROR(__xludf.DUMMYFUNCTION("""COMPUTED_VALUE"""),"KIMME")</f>
        <v>KIMME</v>
      </c>
      <c r="J1082" s="471" t="str">
        <f>IFERROR(__xludf.DUMMYFUNCTION("""COMPUTED_VALUE"""),"https://vt.tiktok.com/ZS9Qf1BbT/")</f>
        <v>https://vt.tiktok.com/ZS9Qf1BbT/</v>
      </c>
      <c r="K1082" s="470" t="str">
        <f>IFERROR(__xludf.DUMMYFUNCTION("""COMPUTED_VALUE"""),"KIMME")</f>
        <v>KIMME</v>
      </c>
      <c r="L1082" s="471" t="str">
        <f>IFERROR(__xludf.DUMMYFUNCTION("""COMPUTED_VALUE"""),"https://vt.tiktok.com/ZS9fgL9Dx/")</f>
        <v>https://vt.tiktok.com/ZS9fgL9Dx/</v>
      </c>
      <c r="M1082" s="470"/>
      <c r="N1082" s="471" t="str">
        <f>IFERROR(__xludf.DUMMYFUNCTION("""COMPUTED_VALUE"""),"https://vt.tiktok.com/ZS9fbTmfe/")</f>
        <v>https://vt.tiktok.com/ZS9fbTmfe/</v>
      </c>
      <c r="O1082" s="470"/>
      <c r="P1082" s="471" t="str">
        <f>IFERROR(__xludf.DUMMYFUNCTION("""COMPUTED_VALUE"""),"https://vt.tiktok.com/ZS9fgFPC3/")</f>
        <v>https://vt.tiktok.com/ZS9fgFPC3/</v>
      </c>
    </row>
    <row r="1083">
      <c r="A1083" s="282" t="str">
        <f>IFERROR(__xludf.DUMMYFUNCTION("""COMPUTED_VALUE"""),"MICRO")</f>
        <v>MICRO</v>
      </c>
      <c r="B1083" s="468" t="str">
        <f>IFERROR(__xludf.DUMMYFUNCTION("""COMPUTED_VALUE"""),"syakiraazizahnh1_")</f>
        <v>syakiraazizahnh1_</v>
      </c>
      <c r="C1083" s="283" t="str">
        <f>IFERROR(__xludf.DUMMYFUNCTION("""COMPUTED_VALUE"""),"https://www.tiktok.com/@syakiraazizahnh1_")</f>
        <v>https://www.tiktok.com/@syakiraazizahnh1_</v>
      </c>
      <c r="D1083" s="273">
        <f>IFERROR(__xludf.DUMMYFUNCTION("""COMPUTED_VALUE"""),8.128339171E10)</f>
        <v>81283391710</v>
      </c>
      <c r="E1083" s="458">
        <f>IFERROR(__xludf.DUMMYFUNCTION("""COMPUTED_VALUE"""),0.0)</f>
        <v>0</v>
      </c>
      <c r="F1083" s="273">
        <f>IFERROR(__xludf.DUMMYFUNCTION("""COMPUTED_VALUE"""),4.0)</f>
        <v>4</v>
      </c>
      <c r="G1083" t="str">
        <f>IFERROR(__xludf.DUMMYFUNCTION("""COMPUTED_VALUE"""),"Sabun batang 1 Box ( 2 PCS )")</f>
        <v>Sabun batang 1 Box ( 2 PCS )</v>
      </c>
      <c r="H1083" s="469" t="str">
        <f>IFERROR(__xludf.DUMMYFUNCTION("""COMPUTED_VALUE"""),"Sampai")</f>
        <v>Sampai</v>
      </c>
      <c r="I1083" s="470" t="str">
        <f>IFERROR(__xludf.DUMMYFUNCTION("""COMPUTED_VALUE"""),"KIMME")</f>
        <v>KIMME</v>
      </c>
      <c r="J1083" s="471" t="str">
        <f>IFERROR(__xludf.DUMMYFUNCTION("""COMPUTED_VALUE"""),"https://vt.tiktok.com/ZS9Qf1BbT/")</f>
        <v>https://vt.tiktok.com/ZS9Qf1BbT/</v>
      </c>
      <c r="K1083" s="470" t="str">
        <f>IFERROR(__xludf.DUMMYFUNCTION("""COMPUTED_VALUE"""),"KIMME")</f>
        <v>KIMME</v>
      </c>
      <c r="L1083" s="471" t="str">
        <f>IFERROR(__xludf.DUMMYFUNCTION("""COMPUTED_VALUE"""),"https://vt.tiktok.com/ZS9fgL9Dx/")</f>
        <v>https://vt.tiktok.com/ZS9fgL9Dx/</v>
      </c>
      <c r="M1083" s="470"/>
      <c r="N1083" s="471" t="str">
        <f>IFERROR(__xludf.DUMMYFUNCTION("""COMPUTED_VALUE"""),"https://vt.tiktok.com/ZS9fbTmfe/")</f>
        <v>https://vt.tiktok.com/ZS9fbTmfe/</v>
      </c>
      <c r="O1083" s="470"/>
      <c r="P1083" s="471" t="str">
        <f>IFERROR(__xludf.DUMMYFUNCTION("""COMPUTED_VALUE"""),"https://vt.tiktok.com/ZS9fgFPC3/")</f>
        <v>https://vt.tiktok.com/ZS9fgFPC3/</v>
      </c>
    </row>
    <row r="1084">
      <c r="A1084" s="282" t="str">
        <f>IFERROR(__xludf.DUMMYFUNCTION("""COMPUTED_VALUE"""),"MICRO")</f>
        <v>MICRO</v>
      </c>
      <c r="B1084" s="468" t="str">
        <f>IFERROR(__xludf.DUMMYFUNCTION("""COMPUTED_VALUE"""),"zaaketiga")</f>
        <v>zaaketiga</v>
      </c>
      <c r="C1084" s="283" t="str">
        <f>IFERROR(__xludf.DUMMYFUNCTION("""COMPUTED_VALUE"""),"https://www.tiktok.com/@zaaketiga")</f>
        <v>https://www.tiktok.com/@zaaketiga</v>
      </c>
      <c r="D1084" s="273">
        <f>IFERROR(__xludf.DUMMYFUNCTION("""COMPUTED_VALUE"""),8.580877086E10)</f>
        <v>85808770860</v>
      </c>
      <c r="E1084" s="458">
        <f>IFERROR(__xludf.DUMMYFUNCTION("""COMPUTED_VALUE"""),0.0)</f>
        <v>0</v>
      </c>
      <c r="F1084" s="273">
        <f>IFERROR(__xludf.DUMMYFUNCTION("""COMPUTED_VALUE"""),4.0)</f>
        <v>4</v>
      </c>
      <c r="G1084" t="str">
        <f>IFERROR(__xludf.DUMMYFUNCTION("""COMPUTED_VALUE"""),"Sabun batang 1 Box ( 2 PCS )")</f>
        <v>Sabun batang 1 Box ( 2 PCS )</v>
      </c>
      <c r="H1084" s="469" t="str">
        <f>IFERROR(__xludf.DUMMYFUNCTION("""COMPUTED_VALUE"""),"Sampai")</f>
        <v>Sampai</v>
      </c>
      <c r="I1084" s="470" t="str">
        <f>IFERROR(__xludf.DUMMYFUNCTION("""COMPUTED_VALUE"""),"KIMME")</f>
        <v>KIMME</v>
      </c>
      <c r="J1084" s="471" t="str">
        <f>IFERROR(__xludf.DUMMYFUNCTION("""COMPUTED_VALUE"""),"https://vt.tiktok.com/ZS9Qf1BbT/")</f>
        <v>https://vt.tiktok.com/ZS9Qf1BbT/</v>
      </c>
      <c r="K1084" s="470" t="str">
        <f>IFERROR(__xludf.DUMMYFUNCTION("""COMPUTED_VALUE"""),"KIMME")</f>
        <v>KIMME</v>
      </c>
      <c r="L1084" s="471" t="str">
        <f>IFERROR(__xludf.DUMMYFUNCTION("""COMPUTED_VALUE"""),"https://vt.tiktok.com/ZS9fgL9Dx/")</f>
        <v>https://vt.tiktok.com/ZS9fgL9Dx/</v>
      </c>
      <c r="M1084" s="470"/>
      <c r="N1084" s="471" t="str">
        <f>IFERROR(__xludf.DUMMYFUNCTION("""COMPUTED_VALUE"""),"https://vt.tiktok.com/ZS9fbTmfe/")</f>
        <v>https://vt.tiktok.com/ZS9fbTmfe/</v>
      </c>
      <c r="O1084" s="470"/>
      <c r="P1084" s="471" t="str">
        <f>IFERROR(__xludf.DUMMYFUNCTION("""COMPUTED_VALUE"""),"https://vt.tiktok.com/ZS9fgFPC3/")</f>
        <v>https://vt.tiktok.com/ZS9fgFPC3/</v>
      </c>
    </row>
    <row r="1085">
      <c r="A1085" s="282" t="str">
        <f>IFERROR(__xludf.DUMMYFUNCTION("""COMPUTED_VALUE"""),"MICRO")</f>
        <v>MICRO</v>
      </c>
      <c r="B1085" s="468" t="str">
        <f>IFERROR(__xludf.DUMMYFUNCTION("""COMPUTED_VALUE"""),"yanti_nainggolan")</f>
        <v>yanti_nainggolan</v>
      </c>
      <c r="C1085" s="283" t="str">
        <f>IFERROR(__xludf.DUMMYFUNCTION("""COMPUTED_VALUE"""),"https://www.tiktok.com/@yanti_nainggolan")</f>
        <v>https://www.tiktok.com/@yanti_nainggolan</v>
      </c>
      <c r="D1085" s="273">
        <f>IFERROR(__xludf.DUMMYFUNCTION("""COMPUTED_VALUE"""),8.217057017E10)</f>
        <v>82170570170</v>
      </c>
      <c r="E1085" s="458">
        <f>IFERROR(__xludf.DUMMYFUNCTION("""COMPUTED_VALUE"""),0.0)</f>
        <v>0</v>
      </c>
      <c r="F1085" s="273">
        <f>IFERROR(__xludf.DUMMYFUNCTION("""COMPUTED_VALUE"""),4.0)</f>
        <v>4</v>
      </c>
      <c r="G1085" t="str">
        <f>IFERROR(__xludf.DUMMYFUNCTION("""COMPUTED_VALUE"""),"Sabun batang 1 Box ( 2 PCS )")</f>
        <v>Sabun batang 1 Box ( 2 PCS )</v>
      </c>
      <c r="H1085" s="469" t="str">
        <f>IFERROR(__xludf.DUMMYFUNCTION("""COMPUTED_VALUE"""),"Sampai")</f>
        <v>Sampai</v>
      </c>
      <c r="I1085" s="470" t="str">
        <f>IFERROR(__xludf.DUMMYFUNCTION("""COMPUTED_VALUE"""),"KIMME")</f>
        <v>KIMME</v>
      </c>
      <c r="J1085" s="471" t="str">
        <f>IFERROR(__xludf.DUMMYFUNCTION("""COMPUTED_VALUE"""),"https://vt.tiktok.com/ZS9Qf1BbT/")</f>
        <v>https://vt.tiktok.com/ZS9Qf1BbT/</v>
      </c>
      <c r="K1085" s="470" t="str">
        <f>IFERROR(__xludf.DUMMYFUNCTION("""COMPUTED_VALUE"""),"KIMME")</f>
        <v>KIMME</v>
      </c>
      <c r="L1085" s="471" t="str">
        <f>IFERROR(__xludf.DUMMYFUNCTION("""COMPUTED_VALUE"""),"https://vt.tiktok.com/ZS9fgL9Dx/")</f>
        <v>https://vt.tiktok.com/ZS9fgL9Dx/</v>
      </c>
      <c r="M1085" s="470"/>
      <c r="N1085" s="471" t="str">
        <f>IFERROR(__xludf.DUMMYFUNCTION("""COMPUTED_VALUE"""),"https://vt.tiktok.com/ZS9fbTmfe/")</f>
        <v>https://vt.tiktok.com/ZS9fbTmfe/</v>
      </c>
      <c r="O1085" s="470"/>
      <c r="P1085" s="471" t="str">
        <f>IFERROR(__xludf.DUMMYFUNCTION("""COMPUTED_VALUE"""),"https://vt.tiktok.com/ZS9fgFPC3/")</f>
        <v>https://vt.tiktok.com/ZS9fgFPC3/</v>
      </c>
    </row>
    <row r="1086">
      <c r="A1086" s="282" t="str">
        <f>IFERROR(__xludf.DUMMYFUNCTION("""COMPUTED_VALUE"""),"MICRO")</f>
        <v>MICRO</v>
      </c>
      <c r="B1086" s="468" t="str">
        <f>IFERROR(__xludf.DUMMYFUNCTION("""COMPUTED_VALUE"""),"laurensiaf")</f>
        <v>laurensiaf</v>
      </c>
      <c r="C1086" s="283" t="str">
        <f>IFERROR(__xludf.DUMMYFUNCTION("""COMPUTED_VALUE"""),"https://www.tiktok.com/@laurensiaf")</f>
        <v>https://www.tiktok.com/@laurensiaf</v>
      </c>
      <c r="D1086" s="273">
        <f>IFERROR(__xludf.DUMMYFUNCTION("""COMPUTED_VALUE"""),8.1261513722E10)</f>
        <v>81261513722</v>
      </c>
      <c r="E1086" s="458">
        <f>IFERROR(__xludf.DUMMYFUNCTION("""COMPUTED_VALUE"""),0.0)</f>
        <v>0</v>
      </c>
      <c r="F1086" s="273">
        <f>IFERROR(__xludf.DUMMYFUNCTION("""COMPUTED_VALUE"""),4.0)</f>
        <v>4</v>
      </c>
      <c r="G1086" t="str">
        <f>IFERROR(__xludf.DUMMYFUNCTION("""COMPUTED_VALUE"""),"Sabun batang 1 Box ( 2 PCS )")</f>
        <v>Sabun batang 1 Box ( 2 PCS )</v>
      </c>
      <c r="H1086" s="469" t="str">
        <f>IFERROR(__xludf.DUMMYFUNCTION("""COMPUTED_VALUE"""),"Sampai")</f>
        <v>Sampai</v>
      </c>
      <c r="I1086" s="470" t="str">
        <f>IFERROR(__xludf.DUMMYFUNCTION("""COMPUTED_VALUE"""),"KIMME")</f>
        <v>KIMME</v>
      </c>
      <c r="J1086" s="471" t="str">
        <f>IFERROR(__xludf.DUMMYFUNCTION("""COMPUTED_VALUE"""),"https://vt.tiktok.com/ZSQR1Qbfy/")</f>
        <v>https://vt.tiktok.com/ZSQR1Qbfy/</v>
      </c>
      <c r="K1086" s="470" t="str">
        <f>IFERROR(__xludf.DUMMYFUNCTION("""COMPUTED_VALUE"""),"KIMME")</f>
        <v>KIMME</v>
      </c>
      <c r="L1086" s="471" t="str">
        <f>IFERROR(__xludf.DUMMYFUNCTION("""COMPUTED_VALUE"""),"https://vt.tiktok.com/ZS9fgL9Dx/")</f>
        <v>https://vt.tiktok.com/ZS9fgL9Dx/</v>
      </c>
      <c r="M1086" s="470"/>
      <c r="N1086" s="471" t="str">
        <f>IFERROR(__xludf.DUMMYFUNCTION("""COMPUTED_VALUE"""),"https://vt.tiktok.com/ZS9fbTmfe/")</f>
        <v>https://vt.tiktok.com/ZS9fbTmfe/</v>
      </c>
      <c r="O1086" s="470"/>
      <c r="P1086" s="471" t="str">
        <f>IFERROR(__xludf.DUMMYFUNCTION("""COMPUTED_VALUE"""),"https://vt.tiktok.com/ZS9fgFPC3/")</f>
        <v>https://vt.tiktok.com/ZS9fgFPC3/</v>
      </c>
    </row>
    <row r="1087">
      <c r="A1087" s="282" t="str">
        <f>IFERROR(__xludf.DUMMYFUNCTION("""COMPUTED_VALUE"""),"MACRO")</f>
        <v>MACRO</v>
      </c>
      <c r="B1087" s="468" t="str">
        <f>IFERROR(__xludf.DUMMYFUNCTION("""COMPUTED_VALUE"""),"rinal.8")</f>
        <v>rinal.8</v>
      </c>
      <c r="C1087" s="283" t="str">
        <f>IFERROR(__xludf.DUMMYFUNCTION("""COMPUTED_VALUE"""),"https://www.tiktok.com/@rinal.8")</f>
        <v>https://www.tiktok.com/@rinal.8</v>
      </c>
      <c r="D1087" s="273">
        <f>IFERROR(__xludf.DUMMYFUNCTION("""COMPUTED_VALUE"""),8.226748029E10)</f>
        <v>82267480290</v>
      </c>
      <c r="E1087" s="458">
        <f>IFERROR(__xludf.DUMMYFUNCTION("""COMPUTED_VALUE"""),0.0)</f>
        <v>0</v>
      </c>
      <c r="F1087" s="273">
        <f>IFERROR(__xludf.DUMMYFUNCTION("""COMPUTED_VALUE"""),4.0)</f>
        <v>4</v>
      </c>
      <c r="G1087" t="str">
        <f>IFERROR(__xludf.DUMMYFUNCTION("""COMPUTED_VALUE"""),"Sabun batang 1 Box ( 2 PCS )")</f>
        <v>Sabun batang 1 Box ( 2 PCS )</v>
      </c>
      <c r="H1087" s="469" t="str">
        <f>IFERROR(__xludf.DUMMYFUNCTION("""COMPUTED_VALUE"""),"Sampai")</f>
        <v>Sampai</v>
      </c>
      <c r="I1087" s="470" t="str">
        <f>IFERROR(__xludf.DUMMYFUNCTION("""COMPUTED_VALUE"""),"KIMME")</f>
        <v>KIMME</v>
      </c>
      <c r="J1087" s="471" t="str">
        <f>IFERROR(__xludf.DUMMYFUNCTION("""COMPUTED_VALUE"""),"https://vt.tiktok.com/ZS9Qf1BbT/")</f>
        <v>https://vt.tiktok.com/ZS9Qf1BbT/</v>
      </c>
      <c r="K1087" s="470" t="str">
        <f>IFERROR(__xludf.DUMMYFUNCTION("""COMPUTED_VALUE"""),"KIMME")</f>
        <v>KIMME</v>
      </c>
      <c r="L1087" s="471" t="str">
        <f>IFERROR(__xludf.DUMMYFUNCTION("""COMPUTED_VALUE"""),"https://vt.tiktok.com/ZS9fgL9Dx/")</f>
        <v>https://vt.tiktok.com/ZS9fgL9Dx/</v>
      </c>
      <c r="M1087" s="470"/>
      <c r="N1087" s="471" t="str">
        <f>IFERROR(__xludf.DUMMYFUNCTION("""COMPUTED_VALUE"""),"https://vt.tiktok.com/ZS9fbTmfe/")</f>
        <v>https://vt.tiktok.com/ZS9fbTmfe/</v>
      </c>
      <c r="O1087" s="470"/>
      <c r="P1087" s="471" t="str">
        <f>IFERROR(__xludf.DUMMYFUNCTION("""COMPUTED_VALUE"""),"https://vt.tiktok.com/ZS9fgFPC3/")</f>
        <v>https://vt.tiktok.com/ZS9fgFPC3/</v>
      </c>
    </row>
    <row r="1088">
      <c r="A1088" s="282" t="str">
        <f>IFERROR(__xludf.DUMMYFUNCTION("""COMPUTED_VALUE"""),"MICRO")</f>
        <v>MICRO</v>
      </c>
      <c r="B1088" s="468" t="str">
        <f>IFERROR(__xludf.DUMMYFUNCTION("""COMPUTED_VALUE"""),"marialaota")</f>
        <v>marialaota</v>
      </c>
      <c r="C1088" s="283" t="str">
        <f>IFERROR(__xludf.DUMMYFUNCTION("""COMPUTED_VALUE"""),"https://www.tiktok.com/@marialaota")</f>
        <v>https://www.tiktok.com/@marialaota</v>
      </c>
      <c r="D1088" s="273">
        <f>IFERROR(__xludf.DUMMYFUNCTION("""COMPUTED_VALUE"""),8.3841380194E10)</f>
        <v>83841380194</v>
      </c>
      <c r="E1088" s="458">
        <f>IFERROR(__xludf.DUMMYFUNCTION("""COMPUTED_VALUE"""),0.0)</f>
        <v>0</v>
      </c>
      <c r="F1088" s="273">
        <f>IFERROR(__xludf.DUMMYFUNCTION("""COMPUTED_VALUE"""),4.0)</f>
        <v>4</v>
      </c>
      <c r="G1088" t="str">
        <f>IFERROR(__xludf.DUMMYFUNCTION("""COMPUTED_VALUE"""),"Sabun batang 1 Box ( 2 PCS )")</f>
        <v>Sabun batang 1 Box ( 2 PCS )</v>
      </c>
      <c r="H1088" s="469" t="str">
        <f>IFERROR(__xludf.DUMMYFUNCTION("""COMPUTED_VALUE"""),"Sampai")</f>
        <v>Sampai</v>
      </c>
      <c r="I1088" s="470" t="str">
        <f>IFERROR(__xludf.DUMMYFUNCTION("""COMPUTED_VALUE"""),"KIMME")</f>
        <v>KIMME</v>
      </c>
      <c r="J1088" s="471" t="str">
        <f>IFERROR(__xludf.DUMMYFUNCTION("""COMPUTED_VALUE"""),"https://vt.tiktok.com/ZS9Qf1BbT/")</f>
        <v>https://vt.tiktok.com/ZS9Qf1BbT/</v>
      </c>
      <c r="K1088" s="470" t="str">
        <f>IFERROR(__xludf.DUMMYFUNCTION("""COMPUTED_VALUE"""),"KIMME")</f>
        <v>KIMME</v>
      </c>
      <c r="L1088" s="471" t="str">
        <f>IFERROR(__xludf.DUMMYFUNCTION("""COMPUTED_VALUE"""),"https://vt.tiktok.com/ZS9fgL9Dx/")</f>
        <v>https://vt.tiktok.com/ZS9fgL9Dx/</v>
      </c>
      <c r="M1088" s="470"/>
      <c r="N1088" s="471" t="str">
        <f>IFERROR(__xludf.DUMMYFUNCTION("""COMPUTED_VALUE"""),"https://vt.tiktok.com/ZS9fbTmfe/")</f>
        <v>https://vt.tiktok.com/ZS9fbTmfe/</v>
      </c>
      <c r="O1088" s="470"/>
      <c r="P1088" s="471" t="str">
        <f>IFERROR(__xludf.DUMMYFUNCTION("""COMPUTED_VALUE"""),"https://vt.tiktok.com/ZS9fgFPC3/")</f>
        <v>https://vt.tiktok.com/ZS9fgFPC3/</v>
      </c>
    </row>
    <row r="1089">
      <c r="A1089" s="282" t="str">
        <f>IFERROR(__xludf.DUMMYFUNCTION("""COMPUTED_VALUE"""),"MICRO")</f>
        <v>MICRO</v>
      </c>
      <c r="B1089" s="468" t="str">
        <f>IFERROR(__xludf.DUMMYFUNCTION("""COMPUTED_VALUE"""),"daydayyi")</f>
        <v>daydayyi</v>
      </c>
      <c r="C1089" s="283" t="str">
        <f>IFERROR(__xludf.DUMMYFUNCTION("""COMPUTED_VALUE"""),"https://www.tiktok.com/@daydayyi")</f>
        <v>https://www.tiktok.com/@daydayyi</v>
      </c>
      <c r="D1089" s="273">
        <f>IFERROR(__xludf.DUMMYFUNCTION("""COMPUTED_VALUE"""),8.2394215899E10)</f>
        <v>82394215899</v>
      </c>
      <c r="E1089" s="458">
        <f>IFERROR(__xludf.DUMMYFUNCTION("""COMPUTED_VALUE"""),0.0)</f>
        <v>0</v>
      </c>
      <c r="F1089" s="273">
        <f>IFERROR(__xludf.DUMMYFUNCTION("""COMPUTED_VALUE"""),2.0)</f>
        <v>2</v>
      </c>
      <c r="G1089" t="str">
        <f>IFERROR(__xludf.DUMMYFUNCTION("""COMPUTED_VALUE"""),"Sabun batang 1 Box ( 2 PCS )")</f>
        <v>Sabun batang 1 Box ( 2 PCS )</v>
      </c>
      <c r="H1089" s="469" t="str">
        <f>IFERROR(__xludf.DUMMYFUNCTION("""COMPUTED_VALUE"""),"Sampai")</f>
        <v>Sampai</v>
      </c>
      <c r="I1089" s="470" t="str">
        <f>IFERROR(__xludf.DUMMYFUNCTION("""COMPUTED_VALUE"""),"KIMME")</f>
        <v>KIMME</v>
      </c>
      <c r="J1089" s="471" t="str">
        <f>IFERROR(__xludf.DUMMYFUNCTION("""COMPUTED_VALUE"""),"https://vt.tiktok.com/ZS9Qf1BbT/")</f>
        <v>https://vt.tiktok.com/ZS9Qf1BbT/</v>
      </c>
      <c r="K1089" s="470" t="str">
        <f>IFERROR(__xludf.DUMMYFUNCTION("""COMPUTED_VALUE"""),"KIMME")</f>
        <v>KIMME</v>
      </c>
      <c r="L1089" s="471" t="str">
        <f>IFERROR(__xludf.DUMMYFUNCTION("""COMPUTED_VALUE"""),"https://vt.tiktok.com/ZS9fgL9Dx/")</f>
        <v>https://vt.tiktok.com/ZS9fgL9Dx/</v>
      </c>
      <c r="M1089" s="470"/>
      <c r="N1089" s="471" t="str">
        <f>IFERROR(__xludf.DUMMYFUNCTION("""COMPUTED_VALUE"""),"https://vt.tiktok.com/ZS9fbTmfe/")</f>
        <v>https://vt.tiktok.com/ZS9fbTmfe/</v>
      </c>
      <c r="O1089" s="470"/>
      <c r="P1089" s="471" t="str">
        <f>IFERROR(__xludf.DUMMYFUNCTION("""COMPUTED_VALUE"""),"https://vt.tiktok.com/ZS9fgFPC3/")</f>
        <v>https://vt.tiktok.com/ZS9fgFPC3/</v>
      </c>
    </row>
    <row r="1090">
      <c r="A1090" s="282" t="str">
        <f>IFERROR(__xludf.DUMMYFUNCTION("""COMPUTED_VALUE"""),"MICRO")</f>
        <v>MICRO</v>
      </c>
      <c r="B1090" s="468" t="str">
        <f>IFERROR(__xludf.DUMMYFUNCTION("""COMPUTED_VALUE"""),"naniichan__")</f>
        <v>naniichan__</v>
      </c>
      <c r="C1090" s="283" t="str">
        <f>IFERROR(__xludf.DUMMYFUNCTION("""COMPUTED_VALUE"""),"https://www.tiktok.com/@naniichan__")</f>
        <v>https://www.tiktok.com/@naniichan__</v>
      </c>
      <c r="D1090" s="273">
        <f>IFERROR(__xludf.DUMMYFUNCTION("""COMPUTED_VALUE"""),8.5900032207E10)</f>
        <v>85900032207</v>
      </c>
      <c r="E1090" s="458">
        <f>IFERROR(__xludf.DUMMYFUNCTION("""COMPUTED_VALUE"""),0.0)</f>
        <v>0</v>
      </c>
      <c r="F1090" s="273">
        <f>IFERROR(__xludf.DUMMYFUNCTION("""COMPUTED_VALUE"""),4.0)</f>
        <v>4</v>
      </c>
      <c r="G1090" t="str">
        <f>IFERROR(__xludf.DUMMYFUNCTION("""COMPUTED_VALUE"""),"Sabun batang 1 Box ( 2 PCS )")</f>
        <v>Sabun batang 1 Box ( 2 PCS )</v>
      </c>
      <c r="H1090" s="469" t="str">
        <f>IFERROR(__xludf.DUMMYFUNCTION("""COMPUTED_VALUE"""),"Sampai")</f>
        <v>Sampai</v>
      </c>
      <c r="I1090" s="470" t="str">
        <f>IFERROR(__xludf.DUMMYFUNCTION("""COMPUTED_VALUE"""),"KIMME")</f>
        <v>KIMME</v>
      </c>
      <c r="J1090" s="471" t="str">
        <f>IFERROR(__xludf.DUMMYFUNCTION("""COMPUTED_VALUE"""),"https://vt.tiktok.com/ZS9Qf1BbT/")</f>
        <v>https://vt.tiktok.com/ZS9Qf1BbT/</v>
      </c>
      <c r="K1090" s="470" t="str">
        <f>IFERROR(__xludf.DUMMYFUNCTION("""COMPUTED_VALUE"""),"KIMME")</f>
        <v>KIMME</v>
      </c>
      <c r="L1090" s="471" t="str">
        <f>IFERROR(__xludf.DUMMYFUNCTION("""COMPUTED_VALUE"""),"https://vt.tiktok.com/ZS9fgL9Dx/")</f>
        <v>https://vt.tiktok.com/ZS9fgL9Dx/</v>
      </c>
      <c r="M1090" s="470"/>
      <c r="N1090" s="471" t="str">
        <f>IFERROR(__xludf.DUMMYFUNCTION("""COMPUTED_VALUE"""),"https://vt.tiktok.com/ZS9fbTmfe/")</f>
        <v>https://vt.tiktok.com/ZS9fbTmfe/</v>
      </c>
      <c r="O1090" s="470"/>
      <c r="P1090" s="471" t="str">
        <f>IFERROR(__xludf.DUMMYFUNCTION("""COMPUTED_VALUE"""),"https://vt.tiktok.com/ZS9fgFPC3/")</f>
        <v>https://vt.tiktok.com/ZS9fgFPC3/</v>
      </c>
    </row>
    <row r="1091">
      <c r="A1091" s="282" t="str">
        <f>IFERROR(__xludf.DUMMYFUNCTION("""COMPUTED_VALUE"""),"MICRO")</f>
        <v>MICRO</v>
      </c>
      <c r="B1091" s="468" t="str">
        <f>IFERROR(__xludf.DUMMYFUNCTION("""COMPUTED_VALUE"""),"nengyani1997")</f>
        <v>nengyani1997</v>
      </c>
      <c r="C1091" s="283" t="str">
        <f>IFERROR(__xludf.DUMMYFUNCTION("""COMPUTED_VALUE"""),"https://www.tiktok.com/@nengyani1997")</f>
        <v>https://www.tiktok.com/@nengyani1997</v>
      </c>
      <c r="D1091" s="273">
        <f>IFERROR(__xludf.DUMMYFUNCTION("""COMPUTED_VALUE"""),8.3838294753E10)</f>
        <v>83838294753</v>
      </c>
      <c r="E1091" s="458">
        <f>IFERROR(__xludf.DUMMYFUNCTION("""COMPUTED_VALUE"""),0.0)</f>
        <v>0</v>
      </c>
      <c r="F1091" s="273">
        <f>IFERROR(__xludf.DUMMYFUNCTION("""COMPUTED_VALUE"""),4.0)</f>
        <v>4</v>
      </c>
      <c r="G1091" t="str">
        <f>IFERROR(__xludf.DUMMYFUNCTION("""COMPUTED_VALUE"""),"Sabun batang 1 Box ( 2 PCS )")</f>
        <v>Sabun batang 1 Box ( 2 PCS )</v>
      </c>
      <c r="H1091" s="469" t="str">
        <f>IFERROR(__xludf.DUMMYFUNCTION("""COMPUTED_VALUE"""),"Sampai")</f>
        <v>Sampai</v>
      </c>
      <c r="I1091" s="470" t="str">
        <f>IFERROR(__xludf.DUMMYFUNCTION("""COMPUTED_VALUE"""),"KIMME")</f>
        <v>KIMME</v>
      </c>
      <c r="J1091" s="471" t="str">
        <f>IFERROR(__xludf.DUMMYFUNCTION("""COMPUTED_VALUE"""),"https://vt.tiktok.com/ZS9Qf1BbT/")</f>
        <v>https://vt.tiktok.com/ZS9Qf1BbT/</v>
      </c>
      <c r="K1091" s="470" t="str">
        <f>IFERROR(__xludf.DUMMYFUNCTION("""COMPUTED_VALUE"""),"KIMME")</f>
        <v>KIMME</v>
      </c>
      <c r="L1091" s="471" t="str">
        <f>IFERROR(__xludf.DUMMYFUNCTION("""COMPUTED_VALUE"""),"https://vt.tiktok.com/ZS9fgL9Dx/")</f>
        <v>https://vt.tiktok.com/ZS9fgL9Dx/</v>
      </c>
      <c r="M1091" s="470"/>
      <c r="N1091" s="471" t="str">
        <f>IFERROR(__xludf.DUMMYFUNCTION("""COMPUTED_VALUE"""),"https://vt.tiktok.com/ZS9fbTmfe/")</f>
        <v>https://vt.tiktok.com/ZS9fbTmfe/</v>
      </c>
      <c r="O1091" s="470"/>
      <c r="P1091" s="471" t="str">
        <f>IFERROR(__xludf.DUMMYFUNCTION("""COMPUTED_VALUE"""),"https://vt.tiktok.com/ZS9fgFPC3/")</f>
        <v>https://vt.tiktok.com/ZS9fgFPC3/</v>
      </c>
    </row>
    <row r="1092">
      <c r="A1092" s="282" t="str">
        <f>IFERROR(__xludf.DUMMYFUNCTION("""COMPUTED_VALUE"""),"MICRO")</f>
        <v>MICRO</v>
      </c>
      <c r="B1092" s="468" t="str">
        <f>IFERROR(__xludf.DUMMYFUNCTION("""COMPUTED_VALUE"""),"ibunglowing")</f>
        <v>ibunglowing</v>
      </c>
      <c r="C1092" s="283" t="str">
        <f>IFERROR(__xludf.DUMMYFUNCTION("""COMPUTED_VALUE"""),"https://www.tiktok.com/@ibunglowing")</f>
        <v>https://www.tiktok.com/@ibunglowing</v>
      </c>
      <c r="D1092" s="273">
        <f>IFERROR(__xludf.DUMMYFUNCTION("""COMPUTED_VALUE"""),8.81566727E9)</f>
        <v>8815667270</v>
      </c>
      <c r="E1092" s="458">
        <f>IFERROR(__xludf.DUMMYFUNCTION("""COMPUTED_VALUE"""),0.0)</f>
        <v>0</v>
      </c>
      <c r="F1092" s="273">
        <f>IFERROR(__xludf.DUMMYFUNCTION("""COMPUTED_VALUE"""),4.0)</f>
        <v>4</v>
      </c>
      <c r="G1092" t="str">
        <f>IFERROR(__xludf.DUMMYFUNCTION("""COMPUTED_VALUE"""),"Sabun batang 1 Box ( 2 PCS )")</f>
        <v>Sabun batang 1 Box ( 2 PCS )</v>
      </c>
      <c r="H1092" s="469" t="str">
        <f>IFERROR(__xludf.DUMMYFUNCTION("""COMPUTED_VALUE"""),"Sampai")</f>
        <v>Sampai</v>
      </c>
      <c r="I1092" s="470" t="str">
        <f>IFERROR(__xludf.DUMMYFUNCTION("""COMPUTED_VALUE"""),"KIMME")</f>
        <v>KIMME</v>
      </c>
      <c r="J1092" s="471" t="str">
        <f>IFERROR(__xludf.DUMMYFUNCTION("""COMPUTED_VALUE"""),"https://vt.tiktok.com/ZS9Qf1BbT/")</f>
        <v>https://vt.tiktok.com/ZS9Qf1BbT/</v>
      </c>
      <c r="K1092" s="470" t="str">
        <f>IFERROR(__xludf.DUMMYFUNCTION("""COMPUTED_VALUE"""),"KIMME")</f>
        <v>KIMME</v>
      </c>
      <c r="L1092" s="471" t="str">
        <f>IFERROR(__xludf.DUMMYFUNCTION("""COMPUTED_VALUE"""),"https://vt.tiktok.com/ZS9fgL9Dx/")</f>
        <v>https://vt.tiktok.com/ZS9fgL9Dx/</v>
      </c>
      <c r="M1092" s="470"/>
      <c r="N1092" s="471" t="str">
        <f>IFERROR(__xludf.DUMMYFUNCTION("""COMPUTED_VALUE"""),"https://vt.tiktok.com/ZS9fbTmfe/")</f>
        <v>https://vt.tiktok.com/ZS9fbTmfe/</v>
      </c>
      <c r="O1092" s="470"/>
      <c r="P1092" s="471" t="str">
        <f>IFERROR(__xludf.DUMMYFUNCTION("""COMPUTED_VALUE"""),"https://vt.tiktok.com/ZS9fgFPC3/")</f>
        <v>https://vt.tiktok.com/ZS9fgFPC3/</v>
      </c>
    </row>
    <row r="1093">
      <c r="A1093" s="282" t="str">
        <f>IFERROR(__xludf.DUMMYFUNCTION("""COMPUTED_VALUE"""),"MICRO")</f>
        <v>MICRO</v>
      </c>
      <c r="B1093" s="468" t="str">
        <f>IFERROR(__xludf.DUMMYFUNCTION("""COMPUTED_VALUE"""),"niimarl")</f>
        <v>niimarl</v>
      </c>
      <c r="C1093" s="283" t="str">
        <f>IFERROR(__xludf.DUMMYFUNCTION("""COMPUTED_VALUE"""),"https://www.tiktok.com/@niimarl")</f>
        <v>https://www.tiktok.com/@niimarl</v>
      </c>
      <c r="D1093" s="273">
        <f>IFERROR(__xludf.DUMMYFUNCTION("""COMPUTED_VALUE"""),8.5694657038E10)</f>
        <v>85694657038</v>
      </c>
      <c r="E1093" s="458">
        <f>IFERROR(__xludf.DUMMYFUNCTION("""COMPUTED_VALUE"""),0.0)</f>
        <v>0</v>
      </c>
      <c r="F1093" s="273">
        <f>IFERROR(__xludf.DUMMYFUNCTION("""COMPUTED_VALUE"""),4.0)</f>
        <v>4</v>
      </c>
      <c r="G1093" t="str">
        <f>IFERROR(__xludf.DUMMYFUNCTION("""COMPUTED_VALUE"""),"Sabun batang 1 Box ( 2 PCS )")</f>
        <v>Sabun batang 1 Box ( 2 PCS )</v>
      </c>
      <c r="H1093" s="469" t="str">
        <f>IFERROR(__xludf.DUMMYFUNCTION("""COMPUTED_VALUE"""),"Sampai")</f>
        <v>Sampai</v>
      </c>
      <c r="I1093" s="470" t="str">
        <f>IFERROR(__xludf.DUMMYFUNCTION("""COMPUTED_VALUE"""),"KIMME")</f>
        <v>KIMME</v>
      </c>
      <c r="J1093" s="471" t="str">
        <f>IFERROR(__xludf.DUMMYFUNCTION("""COMPUTED_VALUE"""),"https://vt.tiktok.com/ZS9Qf1BbT/")</f>
        <v>https://vt.tiktok.com/ZS9Qf1BbT/</v>
      </c>
      <c r="K1093" s="470" t="str">
        <f>IFERROR(__xludf.DUMMYFUNCTION("""COMPUTED_VALUE"""),"KIMME")</f>
        <v>KIMME</v>
      </c>
      <c r="L1093" s="471" t="str">
        <f>IFERROR(__xludf.DUMMYFUNCTION("""COMPUTED_VALUE"""),"https://vt.tiktok.com/ZS9fgL9Dx/")</f>
        <v>https://vt.tiktok.com/ZS9fgL9Dx/</v>
      </c>
      <c r="M1093" s="470"/>
      <c r="N1093" s="471" t="str">
        <f>IFERROR(__xludf.DUMMYFUNCTION("""COMPUTED_VALUE"""),"https://vt.tiktok.com/ZS9fbTmfe/")</f>
        <v>https://vt.tiktok.com/ZS9fbTmfe/</v>
      </c>
      <c r="O1093" s="470"/>
      <c r="P1093" s="471" t="str">
        <f>IFERROR(__xludf.DUMMYFUNCTION("""COMPUTED_VALUE"""),"https://vt.tiktok.com/ZS9fgFPC3/")</f>
        <v>https://vt.tiktok.com/ZS9fgFPC3/</v>
      </c>
    </row>
    <row r="1094">
      <c r="A1094" s="282" t="str">
        <f>IFERROR(__xludf.DUMMYFUNCTION("""COMPUTED_VALUE"""),"MICRO")</f>
        <v>MICRO</v>
      </c>
      <c r="B1094" s="468" t="str">
        <f>IFERROR(__xludf.DUMMYFUNCTION("""COMPUTED_VALUE"""),"Merahmudastore1")</f>
        <v>Merahmudastore1</v>
      </c>
      <c r="C1094" s="283" t="str">
        <f>IFERROR(__xludf.DUMMYFUNCTION("""COMPUTED_VALUE"""),"https://www.tiktok.com/@Merahmudastore1")</f>
        <v>https://www.tiktok.com/@Merahmudastore1</v>
      </c>
      <c r="D1094" s="273">
        <f>IFERROR(__xludf.DUMMYFUNCTION("""COMPUTED_VALUE"""),8.5951446664E10)</f>
        <v>85951446664</v>
      </c>
      <c r="E1094" s="458">
        <f>IFERROR(__xludf.DUMMYFUNCTION("""COMPUTED_VALUE"""),0.0)</f>
        <v>0</v>
      </c>
      <c r="F1094" s="273">
        <f>IFERROR(__xludf.DUMMYFUNCTION("""COMPUTED_VALUE"""),4.0)</f>
        <v>4</v>
      </c>
      <c r="G1094" t="str">
        <f>IFERROR(__xludf.DUMMYFUNCTION("""COMPUTED_VALUE"""),"Sabun batang 1 Box ( 2 PCS )")</f>
        <v>Sabun batang 1 Box ( 2 PCS )</v>
      </c>
      <c r="H1094" s="469" t="str">
        <f>IFERROR(__xludf.DUMMYFUNCTION("""COMPUTED_VALUE"""),"Sampai")</f>
        <v>Sampai</v>
      </c>
      <c r="I1094" s="470" t="str">
        <f>IFERROR(__xludf.DUMMYFUNCTION("""COMPUTED_VALUE"""),"KIMME")</f>
        <v>KIMME</v>
      </c>
      <c r="J1094" s="471" t="str">
        <f>IFERROR(__xludf.DUMMYFUNCTION("""COMPUTED_VALUE"""),"https://vt.tiktok.com/ZS9Qf1BbT/")</f>
        <v>https://vt.tiktok.com/ZS9Qf1BbT/</v>
      </c>
      <c r="K1094" s="470" t="str">
        <f>IFERROR(__xludf.DUMMYFUNCTION("""COMPUTED_VALUE"""),"KIMME")</f>
        <v>KIMME</v>
      </c>
      <c r="L1094" s="471" t="str">
        <f>IFERROR(__xludf.DUMMYFUNCTION("""COMPUTED_VALUE"""),"https://vt.tiktok.com/ZS9fgL9Dx/")</f>
        <v>https://vt.tiktok.com/ZS9fgL9Dx/</v>
      </c>
      <c r="M1094" s="470"/>
      <c r="N1094" s="471" t="str">
        <f>IFERROR(__xludf.DUMMYFUNCTION("""COMPUTED_VALUE"""),"https://vt.tiktok.com/ZS9fbTmfe/")</f>
        <v>https://vt.tiktok.com/ZS9fbTmfe/</v>
      </c>
      <c r="O1094" s="470"/>
      <c r="P1094" s="471" t="str">
        <f>IFERROR(__xludf.DUMMYFUNCTION("""COMPUTED_VALUE"""),"https://vt.tiktok.com/ZS9fgFPC3/")</f>
        <v>https://vt.tiktok.com/ZS9fgFPC3/</v>
      </c>
    </row>
    <row r="1095">
      <c r="A1095" s="282" t="str">
        <f>IFERROR(__xludf.DUMMYFUNCTION("""COMPUTED_VALUE"""),"MICRO")</f>
        <v>MICRO</v>
      </c>
      <c r="B1095" s="468" t="str">
        <f>IFERROR(__xludf.DUMMYFUNCTION("""COMPUTED_VALUE"""),"Adi_bpm")</f>
        <v>Adi_bpm</v>
      </c>
      <c r="C1095" s="283" t="str">
        <f>IFERROR(__xludf.DUMMYFUNCTION("""COMPUTED_VALUE"""),"https://www.tiktok.com/@Adi_bpm")</f>
        <v>https://www.tiktok.com/@Adi_bpm</v>
      </c>
      <c r="D1095" s="273">
        <f>IFERROR(__xludf.DUMMYFUNCTION("""COMPUTED_VALUE"""),8.1371993383E10)</f>
        <v>81371993383</v>
      </c>
      <c r="E1095" s="458">
        <f>IFERROR(__xludf.DUMMYFUNCTION("""COMPUTED_VALUE"""),0.0)</f>
        <v>0</v>
      </c>
      <c r="F1095" s="273">
        <f>IFERROR(__xludf.DUMMYFUNCTION("""COMPUTED_VALUE"""),4.0)</f>
        <v>4</v>
      </c>
      <c r="G1095" t="str">
        <f>IFERROR(__xludf.DUMMYFUNCTION("""COMPUTED_VALUE"""),"Sabun batang 1 Box ( 2 PCS )")</f>
        <v>Sabun batang 1 Box ( 2 PCS )</v>
      </c>
      <c r="H1095" s="469" t="str">
        <f>IFERROR(__xludf.DUMMYFUNCTION("""COMPUTED_VALUE"""),"Sampai")</f>
        <v>Sampai</v>
      </c>
      <c r="I1095" s="470" t="str">
        <f>IFERROR(__xludf.DUMMYFUNCTION("""COMPUTED_VALUE"""),"KIMME")</f>
        <v>KIMME</v>
      </c>
      <c r="J1095" s="471" t="str">
        <f>IFERROR(__xludf.DUMMYFUNCTION("""COMPUTED_VALUE"""),"https://vt.tiktok.com/ZS9Qf1BbT/")</f>
        <v>https://vt.tiktok.com/ZS9Qf1BbT/</v>
      </c>
      <c r="K1095" s="470" t="str">
        <f>IFERROR(__xludf.DUMMYFUNCTION("""COMPUTED_VALUE"""),"KIMME")</f>
        <v>KIMME</v>
      </c>
      <c r="L1095" s="471" t="str">
        <f>IFERROR(__xludf.DUMMYFUNCTION("""COMPUTED_VALUE"""),"https://vt.tiktok.com/ZS9fgL9Dx/")</f>
        <v>https://vt.tiktok.com/ZS9fgL9Dx/</v>
      </c>
      <c r="M1095" s="470"/>
      <c r="N1095" s="471" t="str">
        <f>IFERROR(__xludf.DUMMYFUNCTION("""COMPUTED_VALUE"""),"https://vt.tiktok.com/ZS9fbTmfe/")</f>
        <v>https://vt.tiktok.com/ZS9fbTmfe/</v>
      </c>
      <c r="O1095" s="470"/>
      <c r="P1095" s="471" t="str">
        <f>IFERROR(__xludf.DUMMYFUNCTION("""COMPUTED_VALUE"""),"https://vt.tiktok.com/ZS9fgFPC3/")</f>
        <v>https://vt.tiktok.com/ZS9fgFPC3/</v>
      </c>
    </row>
    <row r="1096">
      <c r="A1096" s="282" t="str">
        <f>IFERROR(__xludf.DUMMYFUNCTION("""COMPUTED_VALUE"""),"MICRO")</f>
        <v>MICRO</v>
      </c>
      <c r="B1096" s="468" t="str">
        <f>IFERROR(__xludf.DUMMYFUNCTION("""COMPUTED_VALUE"""),"melatiprastitaaa")</f>
        <v>melatiprastitaaa</v>
      </c>
      <c r="C1096" s="283" t="str">
        <f>IFERROR(__xludf.DUMMYFUNCTION("""COMPUTED_VALUE"""),"https://www.tiktok.com/@melatiprastitaaa")</f>
        <v>https://www.tiktok.com/@melatiprastitaaa</v>
      </c>
      <c r="D1096" s="273">
        <f>IFERROR(__xludf.DUMMYFUNCTION("""COMPUTED_VALUE"""),8.9682411811E10)</f>
        <v>89682411811</v>
      </c>
      <c r="E1096" s="458">
        <f>IFERROR(__xludf.DUMMYFUNCTION("""COMPUTED_VALUE"""),0.0)</f>
        <v>0</v>
      </c>
      <c r="F1096" s="273">
        <f>IFERROR(__xludf.DUMMYFUNCTION("""COMPUTED_VALUE"""),4.0)</f>
        <v>4</v>
      </c>
      <c r="G1096" t="str">
        <f>IFERROR(__xludf.DUMMYFUNCTION("""COMPUTED_VALUE"""),"Sabun batang 1 Box ( 2 PCS )")</f>
        <v>Sabun batang 1 Box ( 2 PCS )</v>
      </c>
      <c r="H1096" s="469" t="str">
        <f>IFERROR(__xludf.DUMMYFUNCTION("""COMPUTED_VALUE"""),"Sampai")</f>
        <v>Sampai</v>
      </c>
      <c r="I1096" s="470" t="str">
        <f>IFERROR(__xludf.DUMMYFUNCTION("""COMPUTED_VALUE"""),"KIMME")</f>
        <v>KIMME</v>
      </c>
      <c r="J1096" s="471" t="str">
        <f>IFERROR(__xludf.DUMMYFUNCTION("""COMPUTED_VALUE"""),"https://vt.tiktok.com/ZS9Qf1BbT/")</f>
        <v>https://vt.tiktok.com/ZS9Qf1BbT/</v>
      </c>
      <c r="K1096" s="470" t="str">
        <f>IFERROR(__xludf.DUMMYFUNCTION("""COMPUTED_VALUE"""),"KIMME")</f>
        <v>KIMME</v>
      </c>
      <c r="L1096" s="471" t="str">
        <f>IFERROR(__xludf.DUMMYFUNCTION("""COMPUTED_VALUE"""),"https://vt.tiktok.com/ZS9fgL9Dx/")</f>
        <v>https://vt.tiktok.com/ZS9fgL9Dx/</v>
      </c>
      <c r="M1096" s="470"/>
      <c r="N1096" s="471" t="str">
        <f>IFERROR(__xludf.DUMMYFUNCTION("""COMPUTED_VALUE"""),"https://vt.tiktok.com/ZS9fbTmfe/")</f>
        <v>https://vt.tiktok.com/ZS9fbTmfe/</v>
      </c>
      <c r="O1096" s="470"/>
      <c r="P1096" s="471" t="str">
        <f>IFERROR(__xludf.DUMMYFUNCTION("""COMPUTED_VALUE"""),"https://vt.tiktok.com/ZS9fgFPC3/")</f>
        <v>https://vt.tiktok.com/ZS9fgFPC3/</v>
      </c>
    </row>
    <row r="1097">
      <c r="A1097" s="282" t="str">
        <f>IFERROR(__xludf.DUMMYFUNCTION("""COMPUTED_VALUE"""),"MICRO")</f>
        <v>MICRO</v>
      </c>
      <c r="B1097" s="468" t="str">
        <f>IFERROR(__xludf.DUMMYFUNCTION("""COMPUTED_VALUE"""),"Solichan82")</f>
        <v>Solichan82</v>
      </c>
      <c r="C1097" s="283" t="str">
        <f>IFERROR(__xludf.DUMMYFUNCTION("""COMPUTED_VALUE"""),"https://www.tiktok.com/@Solichan82")</f>
        <v>https://www.tiktok.com/@Solichan82</v>
      </c>
      <c r="D1097" s="273">
        <f>IFERROR(__xludf.DUMMYFUNCTION("""COMPUTED_VALUE"""),8.5334117986E10)</f>
        <v>85334117986</v>
      </c>
      <c r="E1097" s="458">
        <f>IFERROR(__xludf.DUMMYFUNCTION("""COMPUTED_VALUE"""),0.0)</f>
        <v>0</v>
      </c>
      <c r="F1097" s="273">
        <f>IFERROR(__xludf.DUMMYFUNCTION("""COMPUTED_VALUE"""),4.0)</f>
        <v>4</v>
      </c>
      <c r="G1097" t="str">
        <f>IFERROR(__xludf.DUMMYFUNCTION("""COMPUTED_VALUE"""),"Sabun batang 1 Box ( 2 PCS )")</f>
        <v>Sabun batang 1 Box ( 2 PCS )</v>
      </c>
      <c r="H1097" s="469" t="str">
        <f>IFERROR(__xludf.DUMMYFUNCTION("""COMPUTED_VALUE"""),"Sampai")</f>
        <v>Sampai</v>
      </c>
      <c r="I1097" s="470" t="str">
        <f>IFERROR(__xludf.DUMMYFUNCTION("""COMPUTED_VALUE"""),"KIMME")</f>
        <v>KIMME</v>
      </c>
      <c r="J1097" s="471" t="str">
        <f>IFERROR(__xludf.DUMMYFUNCTION("""COMPUTED_VALUE"""),"https://vt.tiktok.com/ZS9Qf1BbT/")</f>
        <v>https://vt.tiktok.com/ZS9Qf1BbT/</v>
      </c>
      <c r="K1097" s="470" t="str">
        <f>IFERROR(__xludf.DUMMYFUNCTION("""COMPUTED_VALUE"""),"KIMME")</f>
        <v>KIMME</v>
      </c>
      <c r="L1097" s="471" t="str">
        <f>IFERROR(__xludf.DUMMYFUNCTION("""COMPUTED_VALUE"""),"https://vt.tiktok.com/ZS9fgL9Dx/")</f>
        <v>https://vt.tiktok.com/ZS9fgL9Dx/</v>
      </c>
      <c r="M1097" s="470"/>
      <c r="N1097" s="471" t="str">
        <f>IFERROR(__xludf.DUMMYFUNCTION("""COMPUTED_VALUE"""),"https://vt.tiktok.com/ZS9fbTmfe/")</f>
        <v>https://vt.tiktok.com/ZS9fbTmfe/</v>
      </c>
      <c r="O1097" s="470"/>
      <c r="P1097" s="471" t="str">
        <f>IFERROR(__xludf.DUMMYFUNCTION("""COMPUTED_VALUE"""),"https://vt.tiktok.com/ZS9fgFPC3/")</f>
        <v>https://vt.tiktok.com/ZS9fgFPC3/</v>
      </c>
    </row>
    <row r="1098">
      <c r="A1098" s="282" t="str">
        <f>IFERROR(__xludf.DUMMYFUNCTION("""COMPUTED_VALUE"""),"MICRO")</f>
        <v>MICRO</v>
      </c>
      <c r="B1098" s="468" t="str">
        <f>IFERROR(__xludf.DUMMYFUNCTION("""COMPUTED_VALUE"""),"zakiyah574")</f>
        <v>zakiyah574</v>
      </c>
      <c r="C1098" s="283" t="str">
        <f>IFERROR(__xludf.DUMMYFUNCTION("""COMPUTED_VALUE"""),"https://www.tiktok.com/@zakiyah574")</f>
        <v>https://www.tiktok.com/@zakiyah574</v>
      </c>
      <c r="D1098" s="273">
        <f>IFERROR(__xludf.DUMMYFUNCTION("""COMPUTED_VALUE"""),8.5606440605E10)</f>
        <v>85606440605</v>
      </c>
      <c r="E1098" s="458">
        <f>IFERROR(__xludf.DUMMYFUNCTION("""COMPUTED_VALUE"""),0.0)</f>
        <v>0</v>
      </c>
      <c r="F1098" s="273">
        <f>IFERROR(__xludf.DUMMYFUNCTION("""COMPUTED_VALUE"""),4.0)</f>
        <v>4</v>
      </c>
      <c r="G1098" t="str">
        <f>IFERROR(__xludf.DUMMYFUNCTION("""COMPUTED_VALUE"""),"Sabun batang 1 Box ( 2 PCS )")</f>
        <v>Sabun batang 1 Box ( 2 PCS )</v>
      </c>
      <c r="H1098" s="469" t="str">
        <f>IFERROR(__xludf.DUMMYFUNCTION("""COMPUTED_VALUE"""),"Sampai")</f>
        <v>Sampai</v>
      </c>
      <c r="I1098" s="470" t="str">
        <f>IFERROR(__xludf.DUMMYFUNCTION("""COMPUTED_VALUE"""),"KIMME")</f>
        <v>KIMME</v>
      </c>
      <c r="J1098" s="471" t="str">
        <f>IFERROR(__xludf.DUMMYFUNCTION("""COMPUTED_VALUE"""),"https://vt.tiktok.com/ZS9Qf1BbT/")</f>
        <v>https://vt.tiktok.com/ZS9Qf1BbT/</v>
      </c>
      <c r="K1098" s="470" t="str">
        <f>IFERROR(__xludf.DUMMYFUNCTION("""COMPUTED_VALUE"""),"KIMME")</f>
        <v>KIMME</v>
      </c>
      <c r="L1098" s="471" t="str">
        <f>IFERROR(__xludf.DUMMYFUNCTION("""COMPUTED_VALUE"""),"https://vt.tiktok.com/ZS9fgL9Dx/")</f>
        <v>https://vt.tiktok.com/ZS9fgL9Dx/</v>
      </c>
      <c r="M1098" s="470"/>
      <c r="N1098" s="471" t="str">
        <f>IFERROR(__xludf.DUMMYFUNCTION("""COMPUTED_VALUE"""),"https://vt.tiktok.com/ZS9fbTmfe/")</f>
        <v>https://vt.tiktok.com/ZS9fbTmfe/</v>
      </c>
      <c r="O1098" s="470"/>
      <c r="P1098" s="471" t="str">
        <f>IFERROR(__xludf.DUMMYFUNCTION("""COMPUTED_VALUE"""),"https://vt.tiktok.com/ZS9fgFPC3/")</f>
        <v>https://vt.tiktok.com/ZS9fgFPC3/</v>
      </c>
    </row>
    <row r="1099">
      <c r="A1099" s="282" t="str">
        <f>IFERROR(__xludf.DUMMYFUNCTION("""COMPUTED_VALUE"""),"MICRO")</f>
        <v>MICRO</v>
      </c>
      <c r="B1099" s="468" t="str">
        <f>IFERROR(__xludf.DUMMYFUNCTION("""COMPUTED_VALUE"""),"by.salma")</f>
        <v>by.salma</v>
      </c>
      <c r="C1099" s="283" t="str">
        <f>IFERROR(__xludf.DUMMYFUNCTION("""COMPUTED_VALUE"""),"https://www.tiktok.com/@by.salma")</f>
        <v>https://www.tiktok.com/@by.salma</v>
      </c>
      <c r="D1099" s="273">
        <f>IFERROR(__xludf.DUMMYFUNCTION("""COMPUTED_VALUE"""),8.8220719507E10)</f>
        <v>88220719507</v>
      </c>
      <c r="E1099" s="458">
        <f>IFERROR(__xludf.DUMMYFUNCTION("""COMPUTED_VALUE"""),0.0)</f>
        <v>0</v>
      </c>
      <c r="F1099" s="273">
        <f>IFERROR(__xludf.DUMMYFUNCTION("""COMPUTED_VALUE"""),4.0)</f>
        <v>4</v>
      </c>
      <c r="G1099" t="str">
        <f>IFERROR(__xludf.DUMMYFUNCTION("""COMPUTED_VALUE"""),"Sabun batang 1 Box ( 2 PCS )")</f>
        <v>Sabun batang 1 Box ( 2 PCS )</v>
      </c>
      <c r="H1099" s="469" t="str">
        <f>IFERROR(__xludf.DUMMYFUNCTION("""COMPUTED_VALUE"""),"Sampai")</f>
        <v>Sampai</v>
      </c>
      <c r="I1099" s="470" t="str">
        <f>IFERROR(__xludf.DUMMYFUNCTION("""COMPUTED_VALUE"""),"KIMME")</f>
        <v>KIMME</v>
      </c>
      <c r="J1099" s="471" t="str">
        <f>IFERROR(__xludf.DUMMYFUNCTION("""COMPUTED_VALUE"""),"https://vt.tiktok.com/ZS9Qf1BbT/")</f>
        <v>https://vt.tiktok.com/ZS9Qf1BbT/</v>
      </c>
      <c r="K1099" s="470" t="str">
        <f>IFERROR(__xludf.DUMMYFUNCTION("""COMPUTED_VALUE"""),"KIMME")</f>
        <v>KIMME</v>
      </c>
      <c r="L1099" s="471" t="str">
        <f>IFERROR(__xludf.DUMMYFUNCTION("""COMPUTED_VALUE"""),"https://vt.tiktok.com/ZS9fgL9Dx/")</f>
        <v>https://vt.tiktok.com/ZS9fgL9Dx/</v>
      </c>
      <c r="M1099" s="470"/>
      <c r="N1099" s="471" t="str">
        <f>IFERROR(__xludf.DUMMYFUNCTION("""COMPUTED_VALUE"""),"https://vt.tiktok.com/ZS9fbTmfe/")</f>
        <v>https://vt.tiktok.com/ZS9fbTmfe/</v>
      </c>
      <c r="O1099" s="470"/>
      <c r="P1099" s="471" t="str">
        <f>IFERROR(__xludf.DUMMYFUNCTION("""COMPUTED_VALUE"""),"https://vt.tiktok.com/ZS9fgFPC3/")</f>
        <v>https://vt.tiktok.com/ZS9fgFPC3/</v>
      </c>
    </row>
    <row r="1100">
      <c r="A1100" s="282" t="str">
        <f>IFERROR(__xludf.DUMMYFUNCTION("""COMPUTED_VALUE"""),"MICRO")</f>
        <v>MICRO</v>
      </c>
      <c r="B1100" s="468" t="str">
        <f>IFERROR(__xludf.DUMMYFUNCTION("""COMPUTED_VALUE"""),"momandggs ")</f>
        <v>momandggs </v>
      </c>
      <c r="C1100" s="283" t="str">
        <f>IFERROR(__xludf.DUMMYFUNCTION("""COMPUTED_VALUE"""),"https://www.tiktok.com/@momandggs ")</f>
        <v>https://www.tiktok.com/@momandggs </v>
      </c>
      <c r="D1100" s="273">
        <f>IFERROR(__xludf.DUMMYFUNCTION("""COMPUTED_VALUE"""),8.211310201E10)</f>
        <v>82113102010</v>
      </c>
      <c r="E1100" s="458">
        <f>IFERROR(__xludf.DUMMYFUNCTION("""COMPUTED_VALUE"""),0.0)</f>
        <v>0</v>
      </c>
      <c r="F1100" s="273">
        <f>IFERROR(__xludf.DUMMYFUNCTION("""COMPUTED_VALUE"""),4.0)</f>
        <v>4</v>
      </c>
      <c r="G1100" t="str">
        <f>IFERROR(__xludf.DUMMYFUNCTION("""COMPUTED_VALUE"""),"Sabun batang 1 Box ( 2 PCS )")</f>
        <v>Sabun batang 1 Box ( 2 PCS )</v>
      </c>
      <c r="H1100" s="469" t="str">
        <f>IFERROR(__xludf.DUMMYFUNCTION("""COMPUTED_VALUE"""),"Sampai")</f>
        <v>Sampai</v>
      </c>
      <c r="I1100" s="470" t="str">
        <f>IFERROR(__xludf.DUMMYFUNCTION("""COMPUTED_VALUE"""),"KIMME")</f>
        <v>KIMME</v>
      </c>
      <c r="J1100" s="471" t="str">
        <f>IFERROR(__xludf.DUMMYFUNCTION("""COMPUTED_VALUE"""),"https://vt.tiktok.com/ZS9Qf1BbT/")</f>
        <v>https://vt.tiktok.com/ZS9Qf1BbT/</v>
      </c>
      <c r="K1100" s="470" t="str">
        <f>IFERROR(__xludf.DUMMYFUNCTION("""COMPUTED_VALUE"""),"KIMME")</f>
        <v>KIMME</v>
      </c>
      <c r="L1100" s="471" t="str">
        <f>IFERROR(__xludf.DUMMYFUNCTION("""COMPUTED_VALUE"""),"https://vt.tiktok.com/ZS9fgL9Dx/")</f>
        <v>https://vt.tiktok.com/ZS9fgL9Dx/</v>
      </c>
      <c r="M1100" s="470"/>
      <c r="N1100" s="471" t="str">
        <f>IFERROR(__xludf.DUMMYFUNCTION("""COMPUTED_VALUE"""),"https://vt.tiktok.com/ZS9fbTmfe/")</f>
        <v>https://vt.tiktok.com/ZS9fbTmfe/</v>
      </c>
      <c r="O1100" s="470"/>
      <c r="P1100" s="471" t="str">
        <f>IFERROR(__xludf.DUMMYFUNCTION("""COMPUTED_VALUE"""),"https://vt.tiktok.com/ZS9fgFPC3/")</f>
        <v>https://vt.tiktok.com/ZS9fgFPC3/</v>
      </c>
    </row>
    <row r="1101">
      <c r="A1101" s="282" t="str">
        <f>IFERROR(__xludf.DUMMYFUNCTION("""COMPUTED_VALUE"""),"MICRO")</f>
        <v>MICRO</v>
      </c>
      <c r="B1101" s="468" t="str">
        <f>IFERROR(__xludf.DUMMYFUNCTION("""COMPUTED_VALUE"""),"Wulans_ri")</f>
        <v>Wulans_ri</v>
      </c>
      <c r="C1101" s="283" t="str">
        <f>IFERROR(__xludf.DUMMYFUNCTION("""COMPUTED_VALUE"""),"https://www.tiktok.com/@Wulans_ri")</f>
        <v>https://www.tiktok.com/@Wulans_ri</v>
      </c>
      <c r="D1101" s="273">
        <f>IFERROR(__xludf.DUMMYFUNCTION("""COMPUTED_VALUE"""),8.823517077E10)</f>
        <v>88235170770</v>
      </c>
      <c r="E1101" s="458">
        <f>IFERROR(__xludf.DUMMYFUNCTION("""COMPUTED_VALUE"""),0.0)</f>
        <v>0</v>
      </c>
      <c r="F1101" s="273">
        <f>IFERROR(__xludf.DUMMYFUNCTION("""COMPUTED_VALUE"""),4.0)</f>
        <v>4</v>
      </c>
      <c r="G1101" t="str">
        <f>IFERROR(__xludf.DUMMYFUNCTION("""COMPUTED_VALUE"""),"Sabun batang 1 Box ( 2 PCS )")</f>
        <v>Sabun batang 1 Box ( 2 PCS )</v>
      </c>
      <c r="H1101" s="469" t="str">
        <f>IFERROR(__xludf.DUMMYFUNCTION("""COMPUTED_VALUE"""),"Sampai")</f>
        <v>Sampai</v>
      </c>
      <c r="I1101" s="470" t="str">
        <f>IFERROR(__xludf.DUMMYFUNCTION("""COMPUTED_VALUE"""),"KIMME")</f>
        <v>KIMME</v>
      </c>
      <c r="J1101" s="471" t="str">
        <f>IFERROR(__xludf.DUMMYFUNCTION("""COMPUTED_VALUE"""),"https://vt.tiktok.com/ZS9Qf1BbT/")</f>
        <v>https://vt.tiktok.com/ZS9Qf1BbT/</v>
      </c>
      <c r="K1101" s="470" t="str">
        <f>IFERROR(__xludf.DUMMYFUNCTION("""COMPUTED_VALUE"""),"KIMME")</f>
        <v>KIMME</v>
      </c>
      <c r="L1101" s="471" t="str">
        <f>IFERROR(__xludf.DUMMYFUNCTION("""COMPUTED_VALUE"""),"https://vt.tiktok.com/ZS9fgL9Dx/")</f>
        <v>https://vt.tiktok.com/ZS9fgL9Dx/</v>
      </c>
      <c r="M1101" s="470"/>
      <c r="N1101" s="471" t="str">
        <f>IFERROR(__xludf.DUMMYFUNCTION("""COMPUTED_VALUE"""),"https://vt.tiktok.com/ZS9fbTmfe/")</f>
        <v>https://vt.tiktok.com/ZS9fbTmfe/</v>
      </c>
      <c r="O1101" s="470"/>
      <c r="P1101" s="471" t="str">
        <f>IFERROR(__xludf.DUMMYFUNCTION("""COMPUTED_VALUE"""),"https://vt.tiktok.com/ZS9fgFPC3/")</f>
        <v>https://vt.tiktok.com/ZS9fgFPC3/</v>
      </c>
    </row>
    <row r="1102">
      <c r="A1102" s="282" t="str">
        <f>IFERROR(__xludf.DUMMYFUNCTION("""COMPUTED_VALUE"""),"MICRO")</f>
        <v>MICRO</v>
      </c>
      <c r="B1102" s="468" t="str">
        <f>IFERROR(__xludf.DUMMYFUNCTION("""COMPUTED_VALUE"""),"dee.dhian")</f>
        <v>dee.dhian</v>
      </c>
      <c r="C1102" s="283" t="str">
        <f>IFERROR(__xludf.DUMMYFUNCTION("""COMPUTED_VALUE"""),"https://www.tiktok.com/@dee.dhian")</f>
        <v>https://www.tiktok.com/@dee.dhian</v>
      </c>
      <c r="D1102" s="273">
        <f>IFERROR(__xludf.DUMMYFUNCTION("""COMPUTED_VALUE"""),8.1216108889E10)</f>
        <v>81216108889</v>
      </c>
      <c r="E1102" s="458">
        <f>IFERROR(__xludf.DUMMYFUNCTION("""COMPUTED_VALUE"""),0.0)</f>
        <v>0</v>
      </c>
      <c r="F1102" s="273">
        <f>IFERROR(__xludf.DUMMYFUNCTION("""COMPUTED_VALUE"""),4.0)</f>
        <v>4</v>
      </c>
      <c r="G1102" t="str">
        <f>IFERROR(__xludf.DUMMYFUNCTION("""COMPUTED_VALUE"""),"Sabun batang 1 Box ( 2 PCS )")</f>
        <v>Sabun batang 1 Box ( 2 PCS )</v>
      </c>
      <c r="H1102" s="469" t="str">
        <f>IFERROR(__xludf.DUMMYFUNCTION("""COMPUTED_VALUE"""),"Sampai")</f>
        <v>Sampai</v>
      </c>
      <c r="I1102" s="470" t="str">
        <f>IFERROR(__xludf.DUMMYFUNCTION("""COMPUTED_VALUE"""),"KIMME")</f>
        <v>KIMME</v>
      </c>
      <c r="J1102" s="471" t="str">
        <f>IFERROR(__xludf.DUMMYFUNCTION("""COMPUTED_VALUE"""),"https://vt.tiktok.com/ZS9Qf1BbT/")</f>
        <v>https://vt.tiktok.com/ZS9Qf1BbT/</v>
      </c>
      <c r="K1102" s="470" t="str">
        <f>IFERROR(__xludf.DUMMYFUNCTION("""COMPUTED_VALUE"""),"KIMME")</f>
        <v>KIMME</v>
      </c>
      <c r="L1102" s="471" t="str">
        <f>IFERROR(__xludf.DUMMYFUNCTION("""COMPUTED_VALUE"""),"https://vt.tiktok.com/ZS9fgL9Dx/")</f>
        <v>https://vt.tiktok.com/ZS9fgL9Dx/</v>
      </c>
      <c r="M1102" s="470"/>
      <c r="N1102" s="471" t="str">
        <f>IFERROR(__xludf.DUMMYFUNCTION("""COMPUTED_VALUE"""),"https://vt.tiktok.com/ZS9fbTmfe/")</f>
        <v>https://vt.tiktok.com/ZS9fbTmfe/</v>
      </c>
      <c r="O1102" s="470"/>
      <c r="P1102" s="471" t="str">
        <f>IFERROR(__xludf.DUMMYFUNCTION("""COMPUTED_VALUE"""),"https://vt.tiktok.com/ZS9fgFPC3/")</f>
        <v>https://vt.tiktok.com/ZS9fgFPC3/</v>
      </c>
    </row>
    <row r="1103">
      <c r="A1103" s="282" t="str">
        <f>IFERROR(__xludf.DUMMYFUNCTION("""COMPUTED_VALUE"""),"MICRO")</f>
        <v>MICRO</v>
      </c>
      <c r="B1103" s="468" t="str">
        <f>IFERROR(__xludf.DUMMYFUNCTION("""COMPUTED_VALUE"""),"pah_kalteng")</f>
        <v>pah_kalteng</v>
      </c>
      <c r="C1103" s="283" t="str">
        <f>IFERROR(__xludf.DUMMYFUNCTION("""COMPUTED_VALUE"""),"https://www.tiktok.com/@pah_kalteng")</f>
        <v>https://www.tiktok.com/@pah_kalteng</v>
      </c>
      <c r="D1103" s="273">
        <f>IFERROR(__xludf.DUMMYFUNCTION("""COMPUTED_VALUE"""),8.5752844987E10)</f>
        <v>85752844987</v>
      </c>
      <c r="E1103" s="458">
        <f>IFERROR(__xludf.DUMMYFUNCTION("""COMPUTED_VALUE"""),0.0)</f>
        <v>0</v>
      </c>
      <c r="F1103" s="273">
        <f>IFERROR(__xludf.DUMMYFUNCTION("""COMPUTED_VALUE"""),4.0)</f>
        <v>4</v>
      </c>
      <c r="G1103" t="str">
        <f>IFERROR(__xludf.DUMMYFUNCTION("""COMPUTED_VALUE"""),"Sabun batang 1 Box ( 2 PCS )")</f>
        <v>Sabun batang 1 Box ( 2 PCS )</v>
      </c>
      <c r="H1103" s="469" t="str">
        <f>IFERROR(__xludf.DUMMYFUNCTION("""COMPUTED_VALUE"""),"Sampai")</f>
        <v>Sampai</v>
      </c>
      <c r="I1103" s="470" t="str">
        <f>IFERROR(__xludf.DUMMYFUNCTION("""COMPUTED_VALUE"""),"KIMME")</f>
        <v>KIMME</v>
      </c>
      <c r="J1103" s="471" t="str">
        <f>IFERROR(__xludf.DUMMYFUNCTION("""COMPUTED_VALUE"""),"https://vt.tiktok.com/ZS9Qf1BbT/")</f>
        <v>https://vt.tiktok.com/ZS9Qf1BbT/</v>
      </c>
      <c r="K1103" s="470" t="str">
        <f>IFERROR(__xludf.DUMMYFUNCTION("""COMPUTED_VALUE"""),"KIMME")</f>
        <v>KIMME</v>
      </c>
      <c r="L1103" s="471" t="str">
        <f>IFERROR(__xludf.DUMMYFUNCTION("""COMPUTED_VALUE"""),"https://vt.tiktok.com/ZS9fgL9Dx/")</f>
        <v>https://vt.tiktok.com/ZS9fgL9Dx/</v>
      </c>
      <c r="M1103" s="470"/>
      <c r="N1103" s="471" t="str">
        <f>IFERROR(__xludf.DUMMYFUNCTION("""COMPUTED_VALUE"""),"https://vt.tiktok.com/ZS9fbTmfe/")</f>
        <v>https://vt.tiktok.com/ZS9fbTmfe/</v>
      </c>
      <c r="O1103" s="470"/>
      <c r="P1103" s="471" t="str">
        <f>IFERROR(__xludf.DUMMYFUNCTION("""COMPUTED_VALUE"""),"https://vt.tiktok.com/ZS9fgFPC3/")</f>
        <v>https://vt.tiktok.com/ZS9fgFPC3/</v>
      </c>
    </row>
    <row r="1104">
      <c r="A1104" s="282" t="str">
        <f>IFERROR(__xludf.DUMMYFUNCTION("""COMPUTED_VALUE"""),"MICRO")</f>
        <v>MICRO</v>
      </c>
      <c r="B1104" s="468" t="str">
        <f>IFERROR(__xludf.DUMMYFUNCTION("""COMPUTED_VALUE"""),"boyen_halley")</f>
        <v>boyen_halley</v>
      </c>
      <c r="C1104" s="283" t="str">
        <f>IFERROR(__xludf.DUMMYFUNCTION("""COMPUTED_VALUE"""),"https://www.tiktok.com/@boyen_halley")</f>
        <v>https://www.tiktok.com/@boyen_halley</v>
      </c>
      <c r="D1104" s="273">
        <f>IFERROR(__xludf.DUMMYFUNCTION("""COMPUTED_VALUE"""),8.9656014993E10)</f>
        <v>89656014993</v>
      </c>
      <c r="E1104" s="458">
        <f>IFERROR(__xludf.DUMMYFUNCTION("""COMPUTED_VALUE"""),0.0)</f>
        <v>0</v>
      </c>
      <c r="F1104" s="273">
        <f>IFERROR(__xludf.DUMMYFUNCTION("""COMPUTED_VALUE"""),4.0)</f>
        <v>4</v>
      </c>
      <c r="G1104" t="str">
        <f>IFERROR(__xludf.DUMMYFUNCTION("""COMPUTED_VALUE"""),"Sabun batang 1 Box ( 2 PCS )")</f>
        <v>Sabun batang 1 Box ( 2 PCS )</v>
      </c>
      <c r="H1104" s="469" t="str">
        <f>IFERROR(__xludf.DUMMYFUNCTION("""COMPUTED_VALUE"""),"Sampai")</f>
        <v>Sampai</v>
      </c>
      <c r="I1104" s="470" t="str">
        <f>IFERROR(__xludf.DUMMYFUNCTION("""COMPUTED_VALUE"""),"KIMME")</f>
        <v>KIMME</v>
      </c>
      <c r="J1104" s="471" t="str">
        <f>IFERROR(__xludf.DUMMYFUNCTION("""COMPUTED_VALUE"""),"https://vt.tiktok.com/ZS9Qf1BbT/")</f>
        <v>https://vt.tiktok.com/ZS9Qf1BbT/</v>
      </c>
      <c r="K1104" s="470" t="str">
        <f>IFERROR(__xludf.DUMMYFUNCTION("""COMPUTED_VALUE"""),"KIMME")</f>
        <v>KIMME</v>
      </c>
      <c r="L1104" s="471" t="str">
        <f>IFERROR(__xludf.DUMMYFUNCTION("""COMPUTED_VALUE"""),"https://vt.tiktok.com/ZS9fgL9Dx/")</f>
        <v>https://vt.tiktok.com/ZS9fgL9Dx/</v>
      </c>
      <c r="M1104" s="470"/>
      <c r="N1104" s="471" t="str">
        <f>IFERROR(__xludf.DUMMYFUNCTION("""COMPUTED_VALUE"""),"https://vt.tiktok.com/ZS9fbTmfe/")</f>
        <v>https://vt.tiktok.com/ZS9fbTmfe/</v>
      </c>
      <c r="O1104" s="470"/>
      <c r="P1104" s="471" t="str">
        <f>IFERROR(__xludf.DUMMYFUNCTION("""COMPUTED_VALUE"""),"https://vt.tiktok.com/ZS9fgFPC3/")</f>
        <v>https://vt.tiktok.com/ZS9fgFPC3/</v>
      </c>
    </row>
    <row r="1105">
      <c r="A1105" s="282" t="str">
        <f>IFERROR(__xludf.DUMMYFUNCTION("""COMPUTED_VALUE"""),"MACRO")</f>
        <v>MACRO</v>
      </c>
      <c r="B1105" s="468" t="str">
        <f>IFERROR(__xludf.DUMMYFUNCTION("""COMPUTED_VALUE"""),"clariselle18")</f>
        <v>clariselle18</v>
      </c>
      <c r="C1105" s="283" t="str">
        <f>IFERROR(__xludf.DUMMYFUNCTION("""COMPUTED_VALUE"""),"https://www.tiktok.com/@clariselle18")</f>
        <v>https://www.tiktok.com/@clariselle18</v>
      </c>
      <c r="D1105" s="273">
        <f>IFERROR(__xludf.DUMMYFUNCTION("""COMPUTED_VALUE"""),8.5783508172E10)</f>
        <v>85783508172</v>
      </c>
      <c r="E1105" s="458">
        <f>IFERROR(__xludf.DUMMYFUNCTION("""COMPUTED_VALUE"""),0.0)</f>
        <v>0</v>
      </c>
      <c r="F1105" s="273"/>
      <c r="G1105" t="str">
        <f>IFERROR(__xludf.DUMMYFUNCTION("""COMPUTED_VALUE"""),"Sabun batang 1 Box ( 2 PCS )")</f>
        <v>Sabun batang 1 Box ( 2 PCS )</v>
      </c>
      <c r="H1105" s="469" t="str">
        <f>IFERROR(__xludf.DUMMYFUNCTION("""COMPUTED_VALUE"""),"Sampai")</f>
        <v>Sampai</v>
      </c>
      <c r="I1105" s="470" t="str">
        <f>IFERROR(__xludf.DUMMYFUNCTION("""COMPUTED_VALUE"""),"KIMME")</f>
        <v>KIMME</v>
      </c>
      <c r="J1105" s="471" t="str">
        <f>IFERROR(__xludf.DUMMYFUNCTION("""COMPUTED_VALUE"""),"https://vt.tiktok.com/ZS9Qf1BbT/")</f>
        <v>https://vt.tiktok.com/ZS9Qf1BbT/</v>
      </c>
      <c r="K1105" s="470" t="str">
        <f>IFERROR(__xludf.DUMMYFUNCTION("""COMPUTED_VALUE"""),"KIMME")</f>
        <v>KIMME</v>
      </c>
      <c r="L1105" s="471" t="str">
        <f>IFERROR(__xludf.DUMMYFUNCTION("""COMPUTED_VALUE"""),"https://vt.tiktok.com/ZS9fgL9Dx/")</f>
        <v>https://vt.tiktok.com/ZS9fgL9Dx/</v>
      </c>
      <c r="M1105" s="470"/>
      <c r="N1105" s="471" t="str">
        <f>IFERROR(__xludf.DUMMYFUNCTION("""COMPUTED_VALUE"""),"https://vt.tiktok.com/ZS9fbTmfe/")</f>
        <v>https://vt.tiktok.com/ZS9fbTmfe/</v>
      </c>
      <c r="O1105" s="470"/>
      <c r="P1105" s="471" t="str">
        <f>IFERROR(__xludf.DUMMYFUNCTION("""COMPUTED_VALUE"""),"https://vt.tiktok.com/ZS9fgFPC3/")</f>
        <v>https://vt.tiktok.com/ZS9fgFPC3/</v>
      </c>
    </row>
    <row r="1106">
      <c r="A1106" s="282" t="str">
        <f>IFERROR(__xludf.DUMMYFUNCTION("""COMPUTED_VALUE"""),"MICRO")</f>
        <v>MICRO</v>
      </c>
      <c r="B1106" s="468" t="str">
        <f>IFERROR(__xludf.DUMMYFUNCTION("""COMPUTED_VALUE"""),"yvy_agstn ")</f>
        <v>yvy_agstn </v>
      </c>
      <c r="C1106" s="283" t="str">
        <f>IFERROR(__xludf.DUMMYFUNCTION("""COMPUTED_VALUE"""),"https://www.tiktok.com/@yvy_agstn ")</f>
        <v>https://www.tiktok.com/@yvy_agstn </v>
      </c>
      <c r="D1106" s="273">
        <f>IFERROR(__xludf.DUMMYFUNCTION("""COMPUTED_VALUE"""),8.8286942712E10)</f>
        <v>88286942712</v>
      </c>
      <c r="E1106" s="458">
        <f>IFERROR(__xludf.DUMMYFUNCTION("""COMPUTED_VALUE"""),100000.0)</f>
        <v>100000</v>
      </c>
      <c r="F1106" s="273">
        <f>IFERROR(__xludf.DUMMYFUNCTION("""COMPUTED_VALUE"""),1.0)</f>
        <v>1</v>
      </c>
      <c r="G1106" t="str">
        <f>IFERROR(__xludf.DUMMYFUNCTION("""COMPUTED_VALUE"""),"Sabun batang 1 Box ( 2 PCS )")</f>
        <v>Sabun batang 1 Box ( 2 PCS )</v>
      </c>
      <c r="H1106" s="469" t="str">
        <f>IFERROR(__xludf.DUMMYFUNCTION("""COMPUTED_VALUE"""),"Sampai")</f>
        <v>Sampai</v>
      </c>
      <c r="I1106" s="470" t="str">
        <f>IFERROR(__xludf.DUMMYFUNCTION("""COMPUTED_VALUE"""),"KIMME")</f>
        <v>KIMME</v>
      </c>
      <c r="J1106" s="471" t="str">
        <f>IFERROR(__xludf.DUMMYFUNCTION("""COMPUTED_VALUE"""),"https://vt.tiktok.com/ZS9Qf1BbT/")</f>
        <v>https://vt.tiktok.com/ZS9Qf1BbT/</v>
      </c>
      <c r="K1106" s="470" t="str">
        <f>IFERROR(__xludf.DUMMYFUNCTION("""COMPUTED_VALUE"""),"KIMME")</f>
        <v>KIMME</v>
      </c>
      <c r="L1106" s="471" t="str">
        <f>IFERROR(__xludf.DUMMYFUNCTION("""COMPUTED_VALUE"""),"https://vt.tiktok.com/ZS9fgL9Dx/")</f>
        <v>https://vt.tiktok.com/ZS9fgL9Dx/</v>
      </c>
      <c r="M1106" s="470"/>
      <c r="N1106" s="471" t="str">
        <f>IFERROR(__xludf.DUMMYFUNCTION("""COMPUTED_VALUE"""),"https://vt.tiktok.com/ZS9fbTmfe/")</f>
        <v>https://vt.tiktok.com/ZS9fbTmfe/</v>
      </c>
      <c r="O1106" s="470"/>
      <c r="P1106" s="471" t="str">
        <f>IFERROR(__xludf.DUMMYFUNCTION("""COMPUTED_VALUE"""),"https://vt.tiktok.com/ZS9fgFPC3/")</f>
        <v>https://vt.tiktok.com/ZS9fgFPC3/</v>
      </c>
    </row>
    <row r="1107">
      <c r="A1107" s="282" t="str">
        <f>IFERROR(__xludf.DUMMYFUNCTION("""COMPUTED_VALUE"""),"MICRO")</f>
        <v>MICRO</v>
      </c>
      <c r="B1107" s="468" t="str">
        <f>IFERROR(__xludf.DUMMYFUNCTION("""COMPUTED_VALUE"""),"qorinatussaadah")</f>
        <v>qorinatussaadah</v>
      </c>
      <c r="C1107" s="283" t="str">
        <f>IFERROR(__xludf.DUMMYFUNCTION("""COMPUTED_VALUE"""),"https://www.tiktok.com/@qorinatussaadah")</f>
        <v>https://www.tiktok.com/@qorinatussaadah</v>
      </c>
      <c r="D1107" s="273">
        <f>IFERROR(__xludf.DUMMYFUNCTION("""COMPUTED_VALUE"""),8.1328325542E10)</f>
        <v>81328325542</v>
      </c>
      <c r="E1107" s="458">
        <f>IFERROR(__xludf.DUMMYFUNCTION("""COMPUTED_VALUE"""),0.0)</f>
        <v>0</v>
      </c>
      <c r="F1107" s="273">
        <f>IFERROR(__xludf.DUMMYFUNCTION("""COMPUTED_VALUE"""),4.0)</f>
        <v>4</v>
      </c>
      <c r="G1107" t="str">
        <f>IFERROR(__xludf.DUMMYFUNCTION("""COMPUTED_VALUE"""),"Sabun batang 1 Box ( 2 PCS )")</f>
        <v>Sabun batang 1 Box ( 2 PCS )</v>
      </c>
      <c r="H1107" s="469" t="str">
        <f>IFERROR(__xludf.DUMMYFUNCTION("""COMPUTED_VALUE"""),"Sampai")</f>
        <v>Sampai</v>
      </c>
      <c r="I1107" s="470" t="str">
        <f>IFERROR(__xludf.DUMMYFUNCTION("""COMPUTED_VALUE"""),"KIMME")</f>
        <v>KIMME</v>
      </c>
      <c r="J1107" s="471" t="str">
        <f>IFERROR(__xludf.DUMMYFUNCTION("""COMPUTED_VALUE"""),"https://vt.tiktok.com/ZSQ6bedPy/")</f>
        <v>https://vt.tiktok.com/ZSQ6bedPy/</v>
      </c>
      <c r="K1107" s="470" t="str">
        <f>IFERROR(__xludf.DUMMYFUNCTION("""COMPUTED_VALUE"""),"KIMME")</f>
        <v>KIMME</v>
      </c>
      <c r="L1107" s="471" t="str">
        <f>IFERROR(__xludf.DUMMYFUNCTION("""COMPUTED_VALUE"""),"https://vt.tiktok.com/ZSQM2r11Y/")</f>
        <v>https://vt.tiktok.com/ZSQM2r11Y/</v>
      </c>
      <c r="M1107" s="470"/>
      <c r="N1107" s="471" t="str">
        <f>IFERROR(__xludf.DUMMYFUNCTION("""COMPUTED_VALUE"""),"https://vt.tiktok.com/ZS9fbTmfe/")</f>
        <v>https://vt.tiktok.com/ZS9fbTmfe/</v>
      </c>
      <c r="O1107" s="470"/>
      <c r="P1107" s="471" t="str">
        <f>IFERROR(__xludf.DUMMYFUNCTION("""COMPUTED_VALUE"""),"https://vt.tiktok.com/ZS9fgFPC3/")</f>
        <v>https://vt.tiktok.com/ZS9fgFPC3/</v>
      </c>
    </row>
    <row r="1108">
      <c r="A1108" s="282" t="str">
        <f>IFERROR(__xludf.DUMMYFUNCTION("""COMPUTED_VALUE"""),"MICRO")</f>
        <v>MICRO</v>
      </c>
      <c r="B1108" s="468" t="str">
        <f>IFERROR(__xludf.DUMMYFUNCTION("""COMPUTED_VALUE"""),"oscar_yummy")</f>
        <v>oscar_yummy</v>
      </c>
      <c r="C1108" s="283" t="str">
        <f>IFERROR(__xludf.DUMMYFUNCTION("""COMPUTED_VALUE"""),"https://www.tiktok.com/@oscar_yummy")</f>
        <v>https://www.tiktok.com/@oscar_yummy</v>
      </c>
      <c r="D1108" s="273">
        <f>IFERROR(__xludf.DUMMYFUNCTION("""COMPUTED_VALUE"""),8.2169759723E10)</f>
        <v>82169759723</v>
      </c>
      <c r="E1108" s="458">
        <f>IFERROR(__xludf.DUMMYFUNCTION("""COMPUTED_VALUE"""),0.0)</f>
        <v>0</v>
      </c>
      <c r="F1108" s="273"/>
      <c r="G1108" t="str">
        <f>IFERROR(__xludf.DUMMYFUNCTION("""COMPUTED_VALUE"""),"Sabun batang 1 Box ( 2 PCS )")</f>
        <v>Sabun batang 1 Box ( 2 PCS )</v>
      </c>
      <c r="H1108" s="469" t="str">
        <f>IFERROR(__xludf.DUMMYFUNCTION("""COMPUTED_VALUE"""),"Sampai")</f>
        <v>Sampai</v>
      </c>
      <c r="I1108" s="470" t="str">
        <f>IFERROR(__xludf.DUMMYFUNCTION("""COMPUTED_VALUE"""),"KIMME")</f>
        <v>KIMME</v>
      </c>
      <c r="J1108" s="471" t="str">
        <f>IFERROR(__xludf.DUMMYFUNCTION("""COMPUTED_VALUE"""),"https://vt.tiktok.com/ZS9Qf1BbT/")</f>
        <v>https://vt.tiktok.com/ZS9Qf1BbT/</v>
      </c>
      <c r="K1108" s="470" t="str">
        <f>IFERROR(__xludf.DUMMYFUNCTION("""COMPUTED_VALUE"""),"KIMME")</f>
        <v>KIMME</v>
      </c>
      <c r="L1108" s="471" t="str">
        <f>IFERROR(__xludf.DUMMYFUNCTION("""COMPUTED_VALUE"""),"https://vt.tiktok.com/ZS9fgL9Dx/")</f>
        <v>https://vt.tiktok.com/ZS9fgL9Dx/</v>
      </c>
      <c r="M1108" s="470"/>
      <c r="N1108" s="471" t="str">
        <f>IFERROR(__xludf.DUMMYFUNCTION("""COMPUTED_VALUE"""),"https://vt.tiktok.com/ZS9fbTmfe/")</f>
        <v>https://vt.tiktok.com/ZS9fbTmfe/</v>
      </c>
      <c r="O1108" s="470"/>
      <c r="P1108" s="471" t="str">
        <f>IFERROR(__xludf.DUMMYFUNCTION("""COMPUTED_VALUE"""),"https://vt.tiktok.com/ZS9fgFPC3/")</f>
        <v>https://vt.tiktok.com/ZS9fgFPC3/</v>
      </c>
    </row>
    <row r="1109">
      <c r="A1109" s="282" t="str">
        <f>IFERROR(__xludf.DUMMYFUNCTION("""COMPUTED_VALUE"""),"MICRO")</f>
        <v>MICRO</v>
      </c>
      <c r="B1109" s="468" t="str">
        <f>IFERROR(__xludf.DUMMYFUNCTION("""COMPUTED_VALUE"""),"kmyrdhn")</f>
        <v>kmyrdhn</v>
      </c>
      <c r="C1109" s="283" t="str">
        <f>IFERROR(__xludf.DUMMYFUNCTION("""COMPUTED_VALUE"""),"https://www.tiktok.com/@kmyrdhn")</f>
        <v>https://www.tiktok.com/@kmyrdhn</v>
      </c>
      <c r="D1109" s="273">
        <f>IFERROR(__xludf.DUMMYFUNCTION("""COMPUTED_VALUE"""),8.5741716008E10)</f>
        <v>85741716008</v>
      </c>
      <c r="E1109" s="458">
        <f>IFERROR(__xludf.DUMMYFUNCTION("""COMPUTED_VALUE"""),75000.0)</f>
        <v>75000</v>
      </c>
      <c r="F1109" s="273">
        <f>IFERROR(__xludf.DUMMYFUNCTION("""COMPUTED_VALUE"""),1.0)</f>
        <v>1</v>
      </c>
      <c r="G1109" t="str">
        <f>IFERROR(__xludf.DUMMYFUNCTION("""COMPUTED_VALUE"""),"Sabun batang 1 Box ( 2 PCS )")</f>
        <v>Sabun batang 1 Box ( 2 PCS )</v>
      </c>
      <c r="H1109" s="469" t="str">
        <f>IFERROR(__xludf.DUMMYFUNCTION("""COMPUTED_VALUE"""),"Sampai")</f>
        <v>Sampai</v>
      </c>
      <c r="I1109" s="470" t="str">
        <f>IFERROR(__xludf.DUMMYFUNCTION("""COMPUTED_VALUE"""),"KIMME")</f>
        <v>KIMME</v>
      </c>
      <c r="J1109" t="str">
        <f>IFERROR(__xludf.DUMMYFUNCTION("""COMPUTED_VALUE"""),"⁠https://vt.tiktok.com/ZSxkMJ7rW/")</f>
        <v>⁠https://vt.tiktok.com/ZSxkMJ7rW/</v>
      </c>
      <c r="K1109" s="470" t="str">
        <f>IFERROR(__xludf.DUMMYFUNCTION("""COMPUTED_VALUE"""),"KIMME")</f>
        <v>KIMME</v>
      </c>
      <c r="L1109" t="str">
        <f>IFERROR(__xludf.DUMMYFUNCTION("""COMPUTED_VALUE"""),"⁠⁠https://vt.tiktok.com/ZSxk69eR3/")</f>
        <v>⁠⁠https://vt.tiktok.com/ZSxk69eR3/</v>
      </c>
      <c r="M1109" s="470"/>
      <c r="N1109" s="471" t="str">
        <f>IFERROR(__xludf.DUMMYFUNCTION("""COMPUTED_VALUE"""),"https://vt.tiktok.com/ZSxk6u6Mb/")</f>
        <v>https://vt.tiktok.com/ZSxk6u6Mb/</v>
      </c>
      <c r="O1109" s="470"/>
      <c r="P1109" t="str">
        <f>IFERROR(__xludf.DUMMYFUNCTION("""COMPUTED_VALUE"""),"⁠https://vt.tiktok.com/ZSxk6xwm1/")</f>
        <v>⁠https://vt.tiktok.com/ZSxk6xwm1/</v>
      </c>
    </row>
    <row r="1110">
      <c r="A1110" s="282" t="str">
        <f>IFERROR(__xludf.DUMMYFUNCTION("""COMPUTED_VALUE"""),"MICRO")</f>
        <v>MICRO</v>
      </c>
      <c r="B1110" s="468" t="str">
        <f>IFERROR(__xludf.DUMMYFUNCTION("""COMPUTED_VALUE"""),"badgalsasa")</f>
        <v>badgalsasa</v>
      </c>
      <c r="C1110" s="283" t="str">
        <f>IFERROR(__xludf.DUMMYFUNCTION("""COMPUTED_VALUE"""),"https://www.tiktok.com/@badgalsasa")</f>
        <v>https://www.tiktok.com/@badgalsasa</v>
      </c>
      <c r="D1110" s="273">
        <f>IFERROR(__xludf.DUMMYFUNCTION("""COMPUTED_VALUE"""),8.1807793813E10)</f>
        <v>81807793813</v>
      </c>
      <c r="E1110" s="458">
        <f>IFERROR(__xludf.DUMMYFUNCTION("""COMPUTED_VALUE"""),0.0)</f>
        <v>0</v>
      </c>
      <c r="F1110" s="273"/>
      <c r="G1110" t="str">
        <f>IFERROR(__xludf.DUMMYFUNCTION("""COMPUTED_VALUE"""),"Sabun batang 1 Box ( 2 PCS )")</f>
        <v>Sabun batang 1 Box ( 2 PCS )</v>
      </c>
      <c r="H1110" s="469" t="str">
        <f>IFERROR(__xludf.DUMMYFUNCTION("""COMPUTED_VALUE"""),"Sampai")</f>
        <v>Sampai</v>
      </c>
      <c r="I1110" s="470" t="str">
        <f>IFERROR(__xludf.DUMMYFUNCTION("""COMPUTED_VALUE"""),"KIMME")</f>
        <v>KIMME</v>
      </c>
      <c r="J1110" s="471" t="str">
        <f>IFERROR(__xludf.DUMMYFUNCTION("""COMPUTED_VALUE"""),"https://vt.tiktok.com/ZS9fg1BW6/")</f>
        <v>https://vt.tiktok.com/ZS9fg1BW6/</v>
      </c>
      <c r="K1110" s="470" t="str">
        <f>IFERROR(__xludf.DUMMYFUNCTION("""COMPUTED_VALUE"""),"KIMME")</f>
        <v>KIMME</v>
      </c>
      <c r="L1110" s="471" t="str">
        <f>IFERROR(__xludf.DUMMYFUNCTION("""COMPUTED_VALUE"""),"https://vt.tiktok.com/ZS9fgh3uS/")</f>
        <v>https://vt.tiktok.com/ZS9fgh3uS/</v>
      </c>
      <c r="M1110" s="470"/>
      <c r="N1110" s="471" t="str">
        <f>IFERROR(__xludf.DUMMYFUNCTION("""COMPUTED_VALUE"""),"https://vt.tiktok.com/ZS9fbE2eb/")</f>
        <v>https://vt.tiktok.com/ZS9fbE2eb/</v>
      </c>
      <c r="O1110" s="470"/>
      <c r="P1110" s="471" t="str">
        <f>IFERROR(__xludf.DUMMYFUNCTION("""COMPUTED_VALUE"""),"https://vt.tiktok.com/ZS9fs4mEY/")</f>
        <v>https://vt.tiktok.com/ZS9fs4mEY/</v>
      </c>
    </row>
    <row r="1111">
      <c r="A1111" s="282" t="str">
        <f>IFERROR(__xludf.DUMMYFUNCTION("""COMPUTED_VALUE"""),"MICRO")</f>
        <v>MICRO</v>
      </c>
      <c r="B1111" s="468" t="str">
        <f>IFERROR(__xludf.DUMMYFUNCTION("""COMPUTED_VALUE"""),"annisapuspitaz")</f>
        <v>annisapuspitaz</v>
      </c>
      <c r="C1111" s="283" t="str">
        <f>IFERROR(__xludf.DUMMYFUNCTION("""COMPUTED_VALUE"""),"https://www.tiktok.com/@annisapuspitaz")</f>
        <v>https://www.tiktok.com/@annisapuspitaz</v>
      </c>
      <c r="D1111" s="273">
        <f>IFERROR(__xludf.DUMMYFUNCTION("""COMPUTED_VALUE"""),8.1280781271E10)</f>
        <v>81280781271</v>
      </c>
      <c r="E1111" s="458">
        <f>IFERROR(__xludf.DUMMYFUNCTION("""COMPUTED_VALUE"""),0.0)</f>
        <v>0</v>
      </c>
      <c r="F1111" s="273"/>
      <c r="G1111" t="str">
        <f>IFERROR(__xludf.DUMMYFUNCTION("""COMPUTED_VALUE"""),"Sabun batang 1 Box ( 2 PCS )")</f>
        <v>Sabun batang 1 Box ( 2 PCS )</v>
      </c>
      <c r="H1111" s="469" t="str">
        <f>IFERROR(__xludf.DUMMYFUNCTION("""COMPUTED_VALUE"""),"Sampai")</f>
        <v>Sampai</v>
      </c>
      <c r="I1111" s="470" t="str">
        <f>IFERROR(__xludf.DUMMYFUNCTION("""COMPUTED_VALUE"""),"KIMME")</f>
        <v>KIMME</v>
      </c>
      <c r="J1111" s="471" t="str">
        <f>IFERROR(__xludf.DUMMYFUNCTION("""COMPUTED_VALUE"""),"https://vt.tiktok.com/ZS9fx9kkP/")</f>
        <v>https://vt.tiktok.com/ZS9fx9kkP/</v>
      </c>
      <c r="K1111" s="470" t="str">
        <f>IFERROR(__xludf.DUMMYFUNCTION("""COMPUTED_VALUE"""),"KIMME")</f>
        <v>KIMME</v>
      </c>
      <c r="L1111" s="471" t="str">
        <f>IFERROR(__xludf.DUMMYFUNCTION("""COMPUTED_VALUE"""),"https://vt.tiktok.com/ZS9mtoXa1/")</f>
        <v>https://vt.tiktok.com/ZS9mtoXa1/</v>
      </c>
      <c r="M1111" s="470"/>
      <c r="N1111" s="471" t="str">
        <f>IFERROR(__xludf.DUMMYFUNCTION("""COMPUTED_VALUE"""),"https://vt.tiktok.com/ZS9mtCW37/")</f>
        <v>https://vt.tiktok.com/ZS9mtCW37/</v>
      </c>
      <c r="O1111" s="470"/>
      <c r="P1111" s="471" t="str">
        <f>IFERROR(__xludf.DUMMYFUNCTION("""COMPUTED_VALUE"""),"https://vt.tiktok.com/ZS9UgagQf/")</f>
        <v>https://vt.tiktok.com/ZS9UgagQf/</v>
      </c>
    </row>
    <row r="1112">
      <c r="A1112" s="282" t="str">
        <f>IFERROR(__xludf.DUMMYFUNCTION("""COMPUTED_VALUE"""),"MICRO")</f>
        <v>MICRO</v>
      </c>
      <c r="B1112" s="468" t="str">
        <f>IFERROR(__xludf.DUMMYFUNCTION("""COMPUTED_VALUE"""),"dratcyunnn")</f>
        <v>dratcyunnn</v>
      </c>
      <c r="C1112" s="283" t="str">
        <f>IFERROR(__xludf.DUMMYFUNCTION("""COMPUTED_VALUE"""),"https://www.tiktok.com/@dratcyunnn")</f>
        <v>https://www.tiktok.com/@dratcyunnn</v>
      </c>
      <c r="D1112" s="273">
        <f>IFERROR(__xludf.DUMMYFUNCTION("""COMPUTED_VALUE"""),8.7885579108E10)</f>
        <v>87885579108</v>
      </c>
      <c r="E1112" s="458">
        <f>IFERROR(__xludf.DUMMYFUNCTION("""COMPUTED_VALUE"""),0.0)</f>
        <v>0</v>
      </c>
      <c r="F1112" s="273"/>
      <c r="G1112" t="str">
        <f>IFERROR(__xludf.DUMMYFUNCTION("""COMPUTED_VALUE"""),"Sabun batang 1 Box ( 2 PCS )")</f>
        <v>Sabun batang 1 Box ( 2 PCS )</v>
      </c>
      <c r="H1112" s="469" t="str">
        <f>IFERROR(__xludf.DUMMYFUNCTION("""COMPUTED_VALUE"""),"Sampai")</f>
        <v>Sampai</v>
      </c>
      <c r="I1112" s="470" t="str">
        <f>IFERROR(__xludf.DUMMYFUNCTION("""COMPUTED_VALUE"""),"KIMME")</f>
        <v>KIMME</v>
      </c>
      <c r="J1112" s="471" t="str">
        <f>IFERROR(__xludf.DUMMYFUNCTION("""COMPUTED_VALUE"""),"https://vt.tiktok.com/ZS9UguNgQ/")</f>
        <v>https://vt.tiktok.com/ZS9UguNgQ/</v>
      </c>
      <c r="K1112" s="470" t="str">
        <f>IFERROR(__xludf.DUMMYFUNCTION("""COMPUTED_VALUE"""),"KIMME")</f>
        <v>KIMME</v>
      </c>
      <c r="L1112" s="471" t="str">
        <f>IFERROR(__xludf.DUMMYFUNCTION("""COMPUTED_VALUE"""),"https://vt.tiktok.com/ZS9UgHuVH/")</f>
        <v>https://vt.tiktok.com/ZS9UgHuVH/</v>
      </c>
      <c r="M1112" s="470"/>
      <c r="N1112" s="471" t="str">
        <f>IFERROR(__xludf.DUMMYFUNCTION("""COMPUTED_VALUE"""),"https://www.tiktok.com/@belanja_hemat.shop/video/7634085102225542408?_r=1&amp;u_code=ek6h2252jijmih&amp;region=&amp;mid=7614079490641120021&amp;preview_pb=0&amp;sharer_language=&amp;_d=0&amp;ec_shared_reflux_dynamic_params=%7B%22placeholder_material_id%22%3A%227634085102225542408%22"&amp;"%2C%22placeholder_origin_cover%22%3A%22https%253A%252F%252Fp16-common-sign.tiktokcdn.com%252Ftos-alisg-p-0037%252FoMmfRMjIGQreCevabAHtyQzxQARnS1GQuPfGLF~tplv-tiktokx-origin.jpeg%253Fdr%253D14572%2526refresh_token%253D779ad59c%2526x-expires%253D1808992800%"&amp;"2526x-signature%253DiJIayw4W8yNI7nxtC8ZfvcXolbY%25253D%2526t%253D4d5b0474%2526ps%253D13740610%2526shp%253Dd05b14bd%2526shcp%253D34ff8df6%2526idc%253Dmy2%2526s%253DTIKTOK_AFFILIATE_VIRAL_VIDEO%22%2C%22placeholder_product_id%22%3A%221729427766722726591%22%2"&amp;"C%22placeholder_video_id%22%3A%227634085102225542408%22%7D&amp;ec_shared_reflux_scene=shop_tab_feed&amp;share_item_id=7634085102225542408&amp;source=h5_t")</f>
        <v>https://www.tiktok.com/@belanja_hemat.shop/video/7634085102225542408?_r=1&amp;u_code=ek6h2252jijmih&amp;region=&amp;mid=7614079490641120021&amp;preview_pb=0&amp;sharer_language=&amp;_d=0&amp;ec_shared_reflux_dynamic_params=%7B%22placeholder_material_id%22%3A%227634085102225542408%22%2C%22placeholder_origin_cover%22%3A%22https%253A%252F%252Fp16-common-sign.tiktokcdn.com%252Ftos-alisg-p-0037%252FoMmfRMjIGQreCevabAHtyQzxQARnS1GQuPfGLF~tplv-tiktokx-origin.jpeg%253Fdr%253D14572%2526refresh_token%253D779ad59c%2526x-expires%253D1808992800%2526x-signature%253DiJIayw4W8yNI7nxtC8ZfvcXolbY%25253D%2526t%253D4d5b0474%2526ps%253D13740610%2526shp%253Dd05b14bd%2526shcp%253D34ff8df6%2526idc%253Dmy2%2526s%253DTIKTOK_AFFILIATE_VIRAL_VIDEO%22%2C%22placeholder_product_id%22%3A%221729427766722726591%22%2C%22placeholder_video_id%22%3A%227634085102225542408%22%7D&amp;ec_shared_reflux_scene=shop_tab_feed&amp;share_item_id=7634085102225542408&amp;source=h5_t</v>
      </c>
      <c r="O1112" s="470"/>
      <c r="P1112" s="471" t="str">
        <f>IFERROR(__xludf.DUMMYFUNCTION("""COMPUTED_VALUE"""),"https://www.tiktok.com/@belanja_hemat.shop/video/7633349273458871570?_r=1&amp;u_code=ek6h2252jijmih&amp;region=&amp;mid=7170634321794059034&amp;preview_pb=0&amp;sharer_language=&amp;_d=0&amp;ec_shared_reflux_dynamic_params=%7B%22placeholder_material_id%22%3A%227633349273458871570%22"&amp;"%2C%22placeholder_origin_cover%22%3A%22https%253A%252F%252Fp16-common-sign.tiktokcdn.com%252Ftos-alisg-p-0037%252FoIqPntC6IEPe9I5BxGpEvDrB7IF8UuofgAtF7R~tplv-tiktokx-origin.jpeg%253Fdr%253D14572%2526refresh_token%253D036bc5af%2526x-expires%253D1808992800%"&amp;"2526x-signature%253DlITbnSShPvzZH8jXdg3wMP27SQ4%25253D%2526t%253D4d5b0474%2526ps%253D13740610%2526shp%253Dd05b14bd%2526shcp%253D34ff8df6%2526idc%253Dmy2%2526s%253DTIKTOK_AFFILIATE_VIRAL_VIDEO%22%2C%22placeholder_product_id%22%3A%221729427766722726591%22%2"&amp;"C%22placeholder_video_id%22%3A%227633349273458871570%22%7D&amp;ec_shared_reflux_scene=shop_tab_feed&amp;share_item_id=7633349273458871570&amp;source=h5_t")</f>
        <v>https://www.tiktok.com/@belanja_hemat.shop/video/7633349273458871570?_r=1&amp;u_code=ek6h2252jijmih&amp;region=&amp;mid=7170634321794059034&amp;preview_pb=0&amp;sharer_language=&amp;_d=0&amp;ec_shared_reflux_dynamic_params=%7B%22placeholder_material_id%22%3A%227633349273458871570%22%2C%22placeholder_origin_cover%22%3A%22https%253A%252F%252Fp16-common-sign.tiktokcdn.com%252Ftos-alisg-p-0037%252FoIqPntC6IEPe9I5BxGpEvDrB7IF8UuofgAtF7R~tplv-tiktokx-origin.jpeg%253Fdr%253D14572%2526refresh_token%253D036bc5af%2526x-expires%253D1808992800%2526x-signature%253DlITbnSShPvzZH8jXdg3wMP27SQ4%25253D%2526t%253D4d5b0474%2526ps%253D13740610%2526shp%253Dd05b14bd%2526shcp%253D34ff8df6%2526idc%253Dmy2%2526s%253DTIKTOK_AFFILIATE_VIRAL_VIDEO%22%2C%22placeholder_product_id%22%3A%221729427766722726591%22%2C%22placeholder_video_id%22%3A%227633349273458871570%22%7D&amp;ec_shared_reflux_scene=shop_tab_feed&amp;share_item_id=7633349273458871570&amp;source=h5_t</v>
      </c>
    </row>
    <row r="1113">
      <c r="A1113" s="282" t="str">
        <f>IFERROR(__xludf.DUMMYFUNCTION("""COMPUTED_VALUE"""),"MICRO")</f>
        <v>MICRO</v>
      </c>
      <c r="B1113" s="468" t="str">
        <f>IFERROR(__xludf.DUMMYFUNCTION("""COMPUTED_VALUE"""),"pineapple.sodaa")</f>
        <v>pineapple.sodaa</v>
      </c>
      <c r="C1113" s="283" t="str">
        <f>IFERROR(__xludf.DUMMYFUNCTION("""COMPUTED_VALUE"""),"https://www.tiktok.com/@pineapple.sodaa")</f>
        <v>https://www.tiktok.com/@pineapple.sodaa</v>
      </c>
      <c r="D1113" s="273">
        <f>IFERROR(__xludf.DUMMYFUNCTION("""COMPUTED_VALUE"""),8.57153016E10)</f>
        <v>85715301600</v>
      </c>
      <c r="E1113" s="458">
        <f>IFERROR(__xludf.DUMMYFUNCTION("""COMPUTED_VALUE"""),0.0)</f>
        <v>0</v>
      </c>
      <c r="F1113" s="273"/>
      <c r="G1113" t="str">
        <f>IFERROR(__xludf.DUMMYFUNCTION("""COMPUTED_VALUE"""),"Sabun batang 1 Box ( 2 PCS )")</f>
        <v>Sabun batang 1 Box ( 2 PCS )</v>
      </c>
      <c r="H1113" s="469" t="str">
        <f>IFERROR(__xludf.DUMMYFUNCTION("""COMPUTED_VALUE"""),"Sampai")</f>
        <v>Sampai</v>
      </c>
      <c r="I1113" s="470" t="str">
        <f>IFERROR(__xludf.DUMMYFUNCTION("""COMPUTED_VALUE"""),"KIMME")</f>
        <v>KIMME</v>
      </c>
      <c r="J1113" s="471" t="str">
        <f>IFERROR(__xludf.DUMMYFUNCTION("""COMPUTED_VALUE"""),"https://www.tiktok.com/@belanja_hemat.shop/video/7632928686936771848?_r=1&amp;u_code=ek6h2252jijmih&amp;region=&amp;mid=7528756224239323905&amp;preview_pb=0&amp;sharer_language=&amp;_d=0&amp;ec_shared_reflux_dynamic_params=%7B%22placeholder_material_id%22%3A%227632928686936771848%22"&amp;"%2C%22placeholder_origin_cover%22%3A%22https%253A%252F%252Fp16-common-sign.tiktokcdn.com%252Ftos-alisg-p-0037%252FoMRIwizCIbFI0AnPtbEez2DKzJbBCAi1qX4ArP~tplv-tiktokx-origin.jpeg%253Fdr%253D14572%2526refresh_token%253Dbe9e8967%2526x-expires%253D1808992800%"&amp;"2526x-signature%253DWMhBk8Uwpv2wMB72LosQPsxZ5zw%25253D%2526t%253D4d5b0474%2526ps%253D13740610%2526shp%253Dd05b14bd%2526shcp%253D34ff8df6%2526idc%253Dmy2%2526s%253DTIKTOK_AFFILIATE_VIRAL_VIDEO%22%2C%22placeholder_product_id%22%3A%221729427766722726591%22%2"&amp;"C%22placeholder_video_id%22%3A%227632928686936771848%22%7D&amp;ec_shared_reflux_scene=shop_tab_feed&amp;share_item_id=7632928686936771848&amp;source=h5_t")</f>
        <v>https://www.tiktok.com/@belanja_hemat.shop/video/7632928686936771848?_r=1&amp;u_code=ek6h2252jijmih&amp;region=&amp;mid=7528756224239323905&amp;preview_pb=0&amp;sharer_language=&amp;_d=0&amp;ec_shared_reflux_dynamic_params=%7B%22placeholder_material_id%22%3A%227632928686936771848%22%2C%22placeholder_origin_cover%22%3A%22https%253A%252F%252Fp16-common-sign.tiktokcdn.com%252Ftos-alisg-p-0037%252FoMRIwizCIbFI0AnPtbEez2DKzJbBCAi1qX4ArP~tplv-tiktokx-origin.jpeg%253Fdr%253D14572%2526refresh_token%253Dbe9e8967%2526x-expires%253D1808992800%2526x-signature%253DWMhBk8Uwpv2wMB72LosQPsxZ5zw%25253D%2526t%253D4d5b0474%2526ps%253D13740610%2526shp%253Dd05b14bd%2526shcp%253D34ff8df6%2526idc%253Dmy2%2526s%253DTIKTOK_AFFILIATE_VIRAL_VIDEO%22%2C%22placeholder_product_id%22%3A%221729427766722726591%22%2C%22placeholder_video_id%22%3A%227632928686936771848%22%7D&amp;ec_shared_reflux_scene=shop_tab_feed&amp;share_item_id=7632928686936771848&amp;source=h5_t</v>
      </c>
      <c r="K1113" s="470" t="str">
        <f>IFERROR(__xludf.DUMMYFUNCTION("""COMPUTED_VALUE"""),"KIMME")</f>
        <v>KIMME</v>
      </c>
      <c r="L1113" s="471" t="str">
        <f>IFERROR(__xludf.DUMMYFUNCTION("""COMPUTED_VALUE"""),"https://www.tiktok.com/@belanja_hemat.shop/video/7632373515714432274?_r=1&amp;u_code=ek6h2252jijmih&amp;region=&amp;mid=7574791548538964754&amp;preview_pb=0&amp;sharer_language=&amp;_d=0&amp;ec_shared_reflux_dynamic_params=%7B%22placeholder_material_id%22%3A%227632373515714432274%22"&amp;"%2C%22placeholder_origin_cover%22%3A%22https%253A%252F%252Fp19-common-sign.tiktokcdn.com%252Ftos-alisg-p-0037%252FokqXjT1e1n9IIRflDAQIY0Zel3KAALQGDKoCC0~tplv-tiktokx-origin.jpeg%253Fdr%253D14572%2526refresh_token%253D70d95efd%2526x-expires%253D1808992800%"&amp;"2526x-signature%253DjvY2c5s5gVayuJDIfaHLELqEcBU%25253D%2526t%253D4d5b0474%2526ps%253D13740610%2526shp%253Dd05b14bd%2526shcp%253D34ff8df6%2526idc%253Dmy2%2526s%253DTIKTOK_AFFILIATE_VIRAL_VIDEO%22%2C%22placeholder_product_id%22%3A%221729427766722726591%22%2"&amp;"C%22placeholder_video_id%22%3A%227632373515714432274%22%7D&amp;ec_shared_reflux_scene=shop_tab_feed&amp;share_item_id=7632373515714432274&amp;source=h5_t")</f>
        <v>https://www.tiktok.com/@belanja_hemat.shop/video/7632373515714432274?_r=1&amp;u_code=ek6h2252jijmih&amp;region=&amp;mid=7574791548538964754&amp;preview_pb=0&amp;sharer_language=&amp;_d=0&amp;ec_shared_reflux_dynamic_params=%7B%22placeholder_material_id%22%3A%227632373515714432274%22%2C%22placeholder_origin_cover%22%3A%22https%253A%252F%252Fp19-common-sign.tiktokcdn.com%252Ftos-alisg-p-0037%252FokqXjT1e1n9IIRflDAQIY0Zel3KAALQGDKoCC0~tplv-tiktokx-origin.jpeg%253Fdr%253D14572%2526refresh_token%253D70d95efd%2526x-expires%253D1808992800%2526x-signature%253DjvY2c5s5gVayuJDIfaHLELqEcBU%25253D%2526t%253D4d5b0474%2526ps%253D13740610%2526shp%253Dd05b14bd%2526shcp%253D34ff8df6%2526idc%253Dmy2%2526s%253DTIKTOK_AFFILIATE_VIRAL_VIDEO%22%2C%22placeholder_product_id%22%3A%221729427766722726591%22%2C%22placeholder_video_id%22%3A%227632373515714432274%22%7D&amp;ec_shared_reflux_scene=shop_tab_feed&amp;share_item_id=7632373515714432274&amp;source=h5_t</v>
      </c>
      <c r="M1113" s="470"/>
      <c r="N1113" s="471" t="str">
        <f>IFERROR(__xludf.DUMMYFUNCTION("""COMPUTED_VALUE"""),"https://www.tiktok.com/@belanja_hemat.shop/video/7632281657520721170?_r=1&amp;u_code=ek6h2252jijmih&amp;region=&amp;mid=7574791548538964754&amp;preview_pb=0&amp;sharer_language=&amp;_d=0&amp;ec_shared_reflux_dynamic_params=%7B%22placeholder_material_id%22%3A%227632281657520721170%22"&amp;"%2C%22placeholder_origin_cover%22%3A%22https%253A%252F%252Fp16-common-sign.tiktokcdn.com%252Ftos-alisg-p-0037%252FoIrrP0bniJutAi8rECqI4wAT0o4eABBxCI8vIl~tplv-tiktokx-origin.jpeg%253Fdr%253D14572%2526refresh_token%253Dcc5f0500%2526x-expires%253D1808992800%"&amp;"2526x-signature%253Dhl0fQYXetpPDkXAKtCxrB0ysfmM%25253D%2526t%253D4d5b0474%2526ps%253D13740610%2526shp%253Dd05b14bd%2526shcp%253D34ff8df6%2526idc%253Dmy2%2526s%253DTIKTOK_AFFILIATE_VIRAL_VIDEO%22%2C%22placeholder_product_id%22%3A%221729427766722726591%22%2"&amp;"C%22placeholder_video_id%22%3A%227632281657520721170%22%7D&amp;ec_shared_reflux_scene=shop_tab_feed&amp;share_item_id=7632281657520721170&amp;source=h5_t")</f>
        <v>https://www.tiktok.com/@belanja_hemat.shop/video/7632281657520721170?_r=1&amp;u_code=ek6h2252jijmih&amp;region=&amp;mid=7574791548538964754&amp;preview_pb=0&amp;sharer_language=&amp;_d=0&amp;ec_shared_reflux_dynamic_params=%7B%22placeholder_material_id%22%3A%227632281657520721170%22%2C%22placeholder_origin_cover%22%3A%22https%253A%252F%252Fp16-common-sign.tiktokcdn.com%252Ftos-alisg-p-0037%252FoIrrP0bniJutAi8rECqI4wAT0o4eABBxCI8vIl~tplv-tiktokx-origin.jpeg%253Fdr%253D14572%2526refresh_token%253Dcc5f0500%2526x-expires%253D1808992800%2526x-signature%253Dhl0fQYXetpPDkXAKtCxrB0ysfmM%25253D%2526t%253D4d5b0474%2526ps%253D13740610%2526shp%253Dd05b14bd%2526shcp%253D34ff8df6%2526idc%253Dmy2%2526s%253DTIKTOK_AFFILIATE_VIRAL_VIDEO%22%2C%22placeholder_product_id%22%3A%221729427766722726591%22%2C%22placeholder_video_id%22%3A%227632281657520721170%22%7D&amp;ec_shared_reflux_scene=shop_tab_feed&amp;share_item_id=7632281657520721170&amp;source=h5_t</v>
      </c>
      <c r="O1113" s="470"/>
      <c r="P1113" s="471" t="str">
        <f>IFERROR(__xludf.DUMMYFUNCTION("""COMPUTED_VALUE"""),"https://www.tiktok.com/@belanja_hemat.shop/video/7632201119338335506?_r=1&amp;u_code=ek6h2252jijmih&amp;region=&amp;mid=7548167758014401285&amp;preview_pb=0&amp;sharer_language=&amp;_d=0&amp;ec_shared_reflux_dynamic_params=%7B%22placeholder_material_id%22%3A%227632201119338335506%22"&amp;"%2C%22placeholder_origin_cover%22%3A%22https%253A%252F%252Fp16-sign-sg.tiktokcdn.com%252Ftos-alisg-p-0037%252FoguQLGGggF7Iof1CtsKM8DQjzPAXIogAIeTTge~tplv-tiktokx-origin.jpeg%253Fdr%253D14572%2526refresh_token%253D32cf929b%2526x-expires%253D1808992800%2526"&amp;"x-signature%253DFb1BJBPBwY%25252FIH%25252FYy1aiGaJuz2Go%25253D%2526t%253D4d5b0474%2526ps%253D13740610%2526shp%253Dd05b14bd%2526shcp%253D34ff8df6%2526idc%253Dmy2%2526s%253DTIKTOK_AFFILIATE_VIRAL_VIDEO%22%2C%22placeholder_product_id%22%3A%221729427766722726"&amp;"591%22%2C%22placeholder_video_id%22%3A%227632201119338335506%22%7D&amp;ec_shared_reflux_scene=shop_tab_feed&amp;share_item_id=7632201119338335506&amp;source=h5_t")</f>
        <v>https://www.tiktok.com/@belanja_hemat.shop/video/7632201119338335506?_r=1&amp;u_code=ek6h2252jijmih&amp;region=&amp;mid=7548167758014401285&amp;preview_pb=0&amp;sharer_language=&amp;_d=0&amp;ec_shared_reflux_dynamic_params=%7B%22placeholder_material_id%22%3A%227632201119338335506%22%2C%22placeholder_origin_cover%22%3A%22https%253A%252F%252Fp16-sign-sg.tiktokcdn.com%252Ftos-alisg-p-0037%252FoguQLGGggF7Iof1CtsKM8DQjzPAXIogAIeTTge~tplv-tiktokx-origin.jpeg%253Fdr%253D14572%2526refresh_token%253D32cf929b%2526x-expires%253D1808992800%2526x-signature%253DFb1BJBPBwY%25252FIH%25252FYy1aiGaJuz2Go%25253D%2526t%253D4d5b0474%2526ps%253D13740610%2526shp%253Dd05b14bd%2526shcp%253D34ff8df6%2526idc%253Dmy2%2526s%253DTIKTOK_AFFILIATE_VIRAL_VIDEO%22%2C%22placeholder_product_id%22%3A%221729427766722726591%22%2C%22placeholder_video_id%22%3A%227632201119338335506%22%7D&amp;ec_shared_reflux_scene=shop_tab_feed&amp;share_item_id=7632201119338335506&amp;source=h5_t</v>
      </c>
    </row>
    <row r="1114">
      <c r="A1114" s="282" t="str">
        <f>IFERROR(__xludf.DUMMYFUNCTION("""COMPUTED_VALUE"""),"MICRO")</f>
        <v>MICRO</v>
      </c>
      <c r="B1114" s="468" t="str">
        <f>IFERROR(__xludf.DUMMYFUNCTION("""COMPUTED_VALUE"""),"sundaywithsar")</f>
        <v>sundaywithsar</v>
      </c>
      <c r="C1114" s="283" t="str">
        <f>IFERROR(__xludf.DUMMYFUNCTION("""COMPUTED_VALUE"""),"https://www.tiktok.com/@sundaywithsar")</f>
        <v>https://www.tiktok.com/@sundaywithsar</v>
      </c>
      <c r="D1114" s="273">
        <f>IFERROR(__xludf.DUMMYFUNCTION("""COMPUTED_VALUE"""),8.1291574744E10)</f>
        <v>81291574744</v>
      </c>
      <c r="E1114" s="458">
        <f>IFERROR(__xludf.DUMMYFUNCTION("""COMPUTED_VALUE"""),0.0)</f>
        <v>0</v>
      </c>
      <c r="F1114" s="273"/>
      <c r="G1114" t="str">
        <f>IFERROR(__xludf.DUMMYFUNCTION("""COMPUTED_VALUE"""),"Sabun batang 1 Box ( 2 PCS )")</f>
        <v>Sabun batang 1 Box ( 2 PCS )</v>
      </c>
      <c r="H1114" s="469" t="str">
        <f>IFERROR(__xludf.DUMMYFUNCTION("""COMPUTED_VALUE"""),"Sampai")</f>
        <v>Sampai</v>
      </c>
      <c r="I1114" s="470" t="str">
        <f>IFERROR(__xludf.DUMMYFUNCTION("""COMPUTED_VALUE"""),"KIMME")</f>
        <v>KIMME</v>
      </c>
      <c r="J1114" s="471" t="str">
        <f>IFERROR(__xludf.DUMMYFUNCTION("""COMPUTED_VALUE"""),"https://www.tiktok.com/@belanja_hemat.shop/video/7632125699414887688?_r=1&amp;u_code=ek6h2252jijmih&amp;region=&amp;mid=7548167758014401285&amp;preview_pb=0&amp;sharer_language=&amp;_d=0&amp;ec_shared_reflux_dynamic_params=%7B%22placeholder_material_id%22%3A%227632125699414887688%22"&amp;"%2C%22placeholder_origin_cover%22%3A%22https%253A%252F%252Fp16-common-sign.tiktokcdn.com%252Ftos-alisg-p-0037%252FoojQAaGfgLAcgrFqoLIQogRuG6wXeGKVnVffAQ~tplv-tiktokx-origin.jpeg%253Fdr%253D14572%2526refresh_token%253D019e3980%2526x-expires%253D1808992800%"&amp;"2526x-signature%253D0le1e%25252BIFctoBW2AaxKFq3JF5iIs%25253D%2526t%253D4d5b0474%2526ps%253D13740610%2526shp%253Dd05b14bd%2526shcp%253D34ff8df6%2526idc%253Dmy2%2526s%253DTIKTOK_AFFILIATE_VIRAL_VIDEO%22%2C%22placeholder_product_id%22%3A%22172942776672272659"&amp;"1%22%2C%22placeholder_video_id%22%3A%227632125699414887688%22%7D&amp;ec_shared_reflux_scene=shop_tab_feed&amp;share_item_id=7632125699414887688&amp;source=h5_t")</f>
        <v>https://www.tiktok.com/@belanja_hemat.shop/video/7632125699414887688?_r=1&amp;u_code=ek6h2252jijmih&amp;region=&amp;mid=7548167758014401285&amp;preview_pb=0&amp;sharer_language=&amp;_d=0&amp;ec_shared_reflux_dynamic_params=%7B%22placeholder_material_id%22%3A%227632125699414887688%22%2C%22placeholder_origin_cover%22%3A%22https%253A%252F%252Fp16-common-sign.tiktokcdn.com%252Ftos-alisg-p-0037%252FoojQAaGfgLAcgrFqoLIQogRuG6wXeGKVnVffAQ~tplv-tiktokx-origin.jpeg%253Fdr%253D14572%2526refresh_token%253D019e3980%2526x-expires%253D1808992800%2526x-signature%253D0le1e%25252BIFctoBW2AaxKFq3JF5iIs%25253D%2526t%253D4d5b0474%2526ps%253D13740610%2526shp%253Dd05b14bd%2526shcp%253D34ff8df6%2526idc%253Dmy2%2526s%253DTIKTOK_AFFILIATE_VIRAL_VIDEO%22%2C%22placeholder_product_id%22%3A%221729427766722726591%22%2C%22placeholder_video_id%22%3A%227632125699414887688%22%7D&amp;ec_shared_reflux_scene=shop_tab_feed&amp;share_item_id=7632125699414887688&amp;source=h5_t</v>
      </c>
      <c r="K1114" s="470" t="str">
        <f>IFERROR(__xludf.DUMMYFUNCTION("""COMPUTED_VALUE"""),"KIMME")</f>
        <v>KIMME</v>
      </c>
      <c r="L1114" s="471" t="str">
        <f>IFERROR(__xludf.DUMMYFUNCTION("""COMPUTED_VALUE"""),"https://www.tiktok.com/@belanja_hemat.shop/video/7632045247387831559?_r=1&amp;u_code=ek6h2252jijmih&amp;region=&amp;mid=7581457052558707472&amp;preview_pb=0&amp;sharer_language=&amp;_d=0&amp;ec_shared_reflux_dynamic_params=%7B%22placeholder_material_id%22%3A%227632045247387831559%22"&amp;"%2C%22placeholder_origin_cover%22%3A%22https%253A%252F%252Fp16-common-sign.tiktokcdn.com%252Ftos-alisg-p-0037%252FooUjA1GJOgTBLfcEooeCjXpZLyW7ePISAIDEkg~tplv-tiktokx-origin.jpeg%253Fdr%253D14572%2526refresh_token%253Dd2d8bcb5%2526x-expires%253D1808992800%"&amp;"2526x-signature%253Dm3gBZDFgLBXkcRmkxZlTpE4u5y0%25253D%2526t%253D4d5b0474%2526ps%253D13740610%2526shp%253Dd05b14bd%2526shcp%253D34ff8df6%2526idc%253Dmy2%2526s%253DTIKTOK_AFFILIATE_VIRAL_VIDEO%22%2C%22placeholder_product_id%22%3A%221729427766722726591%22%2"&amp;"C%22placeholder_video_id%22%3A%227632045247387831559%22%7D&amp;ec_shared_reflux_scene=shop_tab_feed&amp;share_item_id=7632045247387831559&amp;source=h5_t")</f>
        <v>https://www.tiktok.com/@belanja_hemat.shop/video/7632045247387831559?_r=1&amp;u_code=ek6h2252jijmih&amp;region=&amp;mid=7581457052558707472&amp;preview_pb=0&amp;sharer_language=&amp;_d=0&amp;ec_shared_reflux_dynamic_params=%7B%22placeholder_material_id%22%3A%227632045247387831559%22%2C%22placeholder_origin_cover%22%3A%22https%253A%252F%252Fp16-common-sign.tiktokcdn.com%252Ftos-alisg-p-0037%252FooUjA1GJOgTBLfcEooeCjXpZLyW7ePISAIDEkg~tplv-tiktokx-origin.jpeg%253Fdr%253D14572%2526refresh_token%253Dd2d8bcb5%2526x-expires%253D1808992800%2526x-signature%253Dm3gBZDFgLBXkcRmkxZlTpE4u5y0%25253D%2526t%253D4d5b0474%2526ps%253D13740610%2526shp%253Dd05b14bd%2526shcp%253D34ff8df6%2526idc%253Dmy2%2526s%253DTIKTOK_AFFILIATE_VIRAL_VIDEO%22%2C%22placeholder_product_id%22%3A%221729427766722726591%22%2C%22placeholder_video_id%22%3A%227632045247387831559%22%7D&amp;ec_shared_reflux_scene=shop_tab_feed&amp;share_item_id=7632045247387831559&amp;source=h5_t</v>
      </c>
      <c r="M1114" s="470"/>
      <c r="N1114" s="471" t="str">
        <f>IFERROR(__xludf.DUMMYFUNCTION("""COMPUTED_VALUE"""),"https://www.tiktok.com/@belanja_hemat.shop/video/7631752586160344327?_r=1&amp;u_code=ek6h2252jijmih&amp;region=&amp;mid=7581457052558707472&amp;preview_pb=0&amp;sharer_language=&amp;_d=0&amp;ec_shared_reflux_dynamic_params=%7B%22placeholder_material_id%22%3A%227631752586160344327%22"&amp;"%2C%22placeholder_origin_cover%22%3A%22https%253A%252F%252Fp16-common-sign.tiktokcdn.com%252Ftos-alisg-p-0037%252FoEqSc5g6fAQVe432CDRpvTBo3EBUFETQDWsQS4~tplv-tiktokx-origin.jpeg%253Fdr%253D14572%2526refresh_token%253D4c4d9409%2526x-expires%253D1808992800%"&amp;"2526x-signature%253D8f70G40tqSfQniFBlnaIU1zppMs%25253D%2526t%253D4d5b0474%2526ps%253D13740610%2526shp%253Dd05b14bd%2526shcp%253D34ff8df6%2526idc%253Dmy2%2526s%253DTIKTOK_AFFILIATE_VIRAL_VIDEO%22%2C%22placeholder_product_id%22%3A%221729427766722726591%22%2"&amp;"C%22placeholder_video_id%22%3A%227631752586160344327%22%7D&amp;ec_shared_reflux_scene=shop_tab_feed&amp;share_item_id=7631752586160344327&amp;source=h5_t")</f>
        <v>https://www.tiktok.com/@belanja_hemat.shop/video/7631752586160344327?_r=1&amp;u_code=ek6h2252jijmih&amp;region=&amp;mid=7581457052558707472&amp;preview_pb=0&amp;sharer_language=&amp;_d=0&amp;ec_shared_reflux_dynamic_params=%7B%22placeholder_material_id%22%3A%227631752586160344327%22%2C%22placeholder_origin_cover%22%3A%22https%253A%252F%252Fp16-common-sign.tiktokcdn.com%252Ftos-alisg-p-0037%252FoEqSc5g6fAQVe432CDRpvTBo3EBUFETQDWsQS4~tplv-tiktokx-origin.jpeg%253Fdr%253D14572%2526refresh_token%253D4c4d9409%2526x-expires%253D1808992800%2526x-signature%253D8f70G40tqSfQniFBlnaIU1zppMs%25253D%2526t%253D4d5b0474%2526ps%253D13740610%2526shp%253Dd05b14bd%2526shcp%253D34ff8df6%2526idc%253Dmy2%2526s%253DTIKTOK_AFFILIATE_VIRAL_VIDEO%22%2C%22placeholder_product_id%22%3A%221729427766722726591%22%2C%22placeholder_video_id%22%3A%227631752586160344327%22%7D&amp;ec_shared_reflux_scene=shop_tab_feed&amp;share_item_id=7631752586160344327&amp;source=h5_t</v>
      </c>
      <c r="O1114" s="470"/>
      <c r="P1114" s="471" t="str">
        <f>IFERROR(__xludf.DUMMYFUNCTION("""COMPUTED_VALUE"""),"https://www.tiktok.com/@belanja_hemat.shop/video/7631188690487741704?_r=1&amp;u_code=ek6h2252jijmih&amp;region=&amp;mid=7450898774555872001&amp;preview_pb=0&amp;sharer_language=&amp;_d=0&amp;ec_shared_reflux_dynamic_params=%7B%22placeholder_material_id%22%3A%227631188690487741704%22"&amp;"%2C%22placeholder_origin_cover%22%3A%22https%253A%252F%252Fp16-common-sign.tiktokcdn.com%252Ftos-alisg-p-0037%252Fo4IEnFpS2BB9BfDXIfF1qUDgETb1w5mSkb2ARb~tplv-tiktokx-origin.jpeg%253Fdr%253D14572%2526refresh_token%253Da6aa1560%2526x-expires%253D1808992800%"&amp;"2526x-signature%253D6p86Fdpy7XoOkqF20DNAEMDQ9SE%25253D%2526t%253D4d5b0474%2526ps%253D13740610%2526shp%253Dd05b14bd%2526shcp%253D34ff8df6%2526idc%253Dmy2%2526s%253DTIKTOK_AFFILIATE_VIRAL_VIDEO%22%2C%22placeholder_product_id%22%3A%221729427766722726591%22%2"&amp;"C%22placeholder_video_id%22%3A%227631188690487741704%22%7D&amp;ec_shared_reflux_scene=shop_tab_feed&amp;share_item_id=7631188690487741704&amp;source=h5_t")</f>
        <v>https://www.tiktok.com/@belanja_hemat.shop/video/7631188690487741704?_r=1&amp;u_code=ek6h2252jijmih&amp;region=&amp;mid=7450898774555872001&amp;preview_pb=0&amp;sharer_language=&amp;_d=0&amp;ec_shared_reflux_dynamic_params=%7B%22placeholder_material_id%22%3A%227631188690487741704%22%2C%22placeholder_origin_cover%22%3A%22https%253A%252F%252Fp16-common-sign.tiktokcdn.com%252Ftos-alisg-p-0037%252Fo4IEnFpS2BB9BfDXIfF1qUDgETb1w5mSkb2ARb~tplv-tiktokx-origin.jpeg%253Fdr%253D14572%2526refresh_token%253Da6aa1560%2526x-expires%253D1808992800%2526x-signature%253D6p86Fdpy7XoOkqF20DNAEMDQ9SE%25253D%2526t%253D4d5b0474%2526ps%253D13740610%2526shp%253Dd05b14bd%2526shcp%253D34ff8df6%2526idc%253Dmy2%2526s%253DTIKTOK_AFFILIATE_VIRAL_VIDEO%22%2C%22placeholder_product_id%22%3A%221729427766722726591%22%2C%22placeholder_video_id%22%3A%227631188690487741704%22%7D&amp;ec_shared_reflux_scene=shop_tab_feed&amp;share_item_id=7631188690487741704&amp;source=h5_t</v>
      </c>
    </row>
    <row r="1115">
      <c r="A1115" s="282" t="str">
        <f>IFERROR(__xludf.DUMMYFUNCTION("""COMPUTED_VALUE"""),"MICRO")</f>
        <v>MICRO</v>
      </c>
      <c r="B1115" s="468" t="str">
        <f>IFERROR(__xludf.DUMMYFUNCTION("""COMPUTED_VALUE"""),"carameelann")</f>
        <v>carameelann</v>
      </c>
      <c r="C1115" s="283" t="str">
        <f>IFERROR(__xludf.DUMMYFUNCTION("""COMPUTED_VALUE"""),"https://www.tiktok.com/@carameelann")</f>
        <v>https://www.tiktok.com/@carameelann</v>
      </c>
      <c r="D1115" s="273">
        <f>IFERROR(__xludf.DUMMYFUNCTION("""COMPUTED_VALUE"""),8.199077611E10)</f>
        <v>81990776110</v>
      </c>
      <c r="E1115" s="458">
        <f>IFERROR(__xludf.DUMMYFUNCTION("""COMPUTED_VALUE"""),0.0)</f>
        <v>0</v>
      </c>
      <c r="F1115" s="273"/>
      <c r="G1115" t="str">
        <f>IFERROR(__xludf.DUMMYFUNCTION("""COMPUTED_VALUE"""),"Sabun batang 1 Box ( 2 PCS )")</f>
        <v>Sabun batang 1 Box ( 2 PCS )</v>
      </c>
      <c r="H1115" s="469" t="str">
        <f>IFERROR(__xludf.DUMMYFUNCTION("""COMPUTED_VALUE"""),"Sampai")</f>
        <v>Sampai</v>
      </c>
      <c r="I1115" s="470" t="str">
        <f>IFERROR(__xludf.DUMMYFUNCTION("""COMPUTED_VALUE"""),"KIMME")</f>
        <v>KIMME</v>
      </c>
      <c r="J1115" s="471" t="str">
        <f>IFERROR(__xludf.DUMMYFUNCTION("""COMPUTED_VALUE"""),"https://www.tiktok.com/@belanja_hemat.shop/video/7631124736218615048?_r=1&amp;u_code=ek6h2252jijmih&amp;region=&amp;mid=7620387415362538256&amp;preview_pb=0&amp;sharer_language=&amp;_d=0&amp;ec_shared_reflux_dynamic_params=%7B%22placeholder_material_id%22%3A%227631124736218615048%22"&amp;"%2C%22placeholder_origin_cover%22%3A%22https%253A%252F%252Fp16-sign-sg.tiktokcdn.com%252Ftos-alisg-p-0037%252FooUDKPLeE7FFQ4Fgp1AAcMzf6NyRBtE5nQBXqx~tplv-tiktokx-origin.jpeg%253Fdr%253D14572%2526refresh_token%253D6032eed8%2526x-expires%253D1808992800%2526"&amp;"x-signature%253DoCxgTlFV65%25252FXE7q4dYQCyREeLvU%25253D%2526t%253D4d5b0474%2526ps%253D13740610%2526shp%253Dd05b14bd%2526shcp%253D34ff8df6%2526idc%253Dmy2%2526s%253DTIKTOK_AFFILIATE_VIRAL_VIDEO%22%2C%22placeholder_product_id%22%3A%221729427766722726591%22"&amp;"%2C%22placeholder_video_id%22%3A%227631124736218615048%22%7D&amp;ec_shared_reflux_scene=shop_tab_feed&amp;share_item_id=7631124736218615048&amp;source=h5_t")</f>
        <v>https://www.tiktok.com/@belanja_hemat.shop/video/7631124736218615048?_r=1&amp;u_code=ek6h2252jijmih&amp;region=&amp;mid=7620387415362538256&amp;preview_pb=0&amp;sharer_language=&amp;_d=0&amp;ec_shared_reflux_dynamic_params=%7B%22placeholder_material_id%22%3A%227631124736218615048%22%2C%22placeholder_origin_cover%22%3A%22https%253A%252F%252Fp16-sign-sg.tiktokcdn.com%252Ftos-alisg-p-0037%252FooUDKPLeE7FFQ4Fgp1AAcMzf6NyRBtE5nQBXqx~tplv-tiktokx-origin.jpeg%253Fdr%253D14572%2526refresh_token%253D6032eed8%2526x-expires%253D1808992800%2526x-signature%253DoCxgTlFV65%25252FXE7q4dYQCyREeLvU%25253D%2526t%253D4d5b0474%2526ps%253D13740610%2526shp%253Dd05b14bd%2526shcp%253D34ff8df6%2526idc%253Dmy2%2526s%253DTIKTOK_AFFILIATE_VIRAL_VIDEO%22%2C%22placeholder_product_id%22%3A%221729427766722726591%22%2C%22placeholder_video_id%22%3A%227631124736218615048%22%7D&amp;ec_shared_reflux_scene=shop_tab_feed&amp;share_item_id=7631124736218615048&amp;source=h5_t</v>
      </c>
      <c r="K1115" s="470" t="str">
        <f>IFERROR(__xludf.DUMMYFUNCTION("""COMPUTED_VALUE"""),"KIMME")</f>
        <v>KIMME</v>
      </c>
      <c r="L1115" s="471" t="str">
        <f>IFERROR(__xludf.DUMMYFUNCTION("""COMPUTED_VALUE"""),"https://www.tiktok.com/@belanja_hemat.shop/video/7630725988426599687?_r=1&amp;u_code=ek6h2252jijmih&amp;region=&amp;mid=6572215486551952130&amp;preview_pb=0&amp;sharer_language=&amp;_d=0&amp;ec_shared_reflux_dynamic_params=%7B%22placeholder_material_id%22%3A%227630725988426599687%22"&amp;"%2C%22placeholder_origin_cover%22%3A%22https%253A%252F%252Fp16-common-sign.tiktokcdn.com%252Ftos-alisg-p-0037%252FoIORI9iP9TqzZnplACBAIIe8IZ0wyALCRXikvg~tplv-tiktokx-origin.jpeg%253Fdr%253D14572%2526refresh_token%253D93e35d4b%2526x-expires%253D1808992800%"&amp;"2526x-signature%253DjlpGpEc9kc3QAwG97OZkcE7rLsk%25253D%2526t%253D4d5b0474%2526ps%253D13740610%2526shp%253Dd05b14bd%2526shcp%253D34ff8df6%2526idc%253Dmy2%2526s%253DTIKTOK_AFFILIATE_VIRAL_VIDEO%22%2C%22placeholder_product_id%22%3A%221729427766722726591%22%2"&amp;"C%22placeholder_video_id%22%3A%227630725988426599687%22%7D&amp;ec_shared_reflux_scene=shop_tab_feed&amp;share_item_id=7630725988426599687&amp;source=h5_t")</f>
        <v>https://www.tiktok.com/@belanja_hemat.shop/video/7630725988426599687?_r=1&amp;u_code=ek6h2252jijmih&amp;region=&amp;mid=6572215486551952130&amp;preview_pb=0&amp;sharer_language=&amp;_d=0&amp;ec_shared_reflux_dynamic_params=%7B%22placeholder_material_id%22%3A%227630725988426599687%22%2C%22placeholder_origin_cover%22%3A%22https%253A%252F%252Fp16-common-sign.tiktokcdn.com%252Ftos-alisg-p-0037%252FoIORI9iP9TqzZnplACBAIIe8IZ0wyALCRXikvg~tplv-tiktokx-origin.jpeg%253Fdr%253D14572%2526refresh_token%253D93e35d4b%2526x-expires%253D1808992800%2526x-signature%253DjlpGpEc9kc3QAwG97OZkcE7rLsk%25253D%2526t%253D4d5b0474%2526ps%253D13740610%2526shp%253Dd05b14bd%2526shcp%253D34ff8df6%2526idc%253Dmy2%2526s%253DTIKTOK_AFFILIATE_VIRAL_VIDEO%22%2C%22placeholder_product_id%22%3A%221729427766722726591%22%2C%22placeholder_video_id%22%3A%227630725988426599687%22%7D&amp;ec_shared_reflux_scene=shop_tab_feed&amp;share_item_id=7630725988426599687&amp;source=h5_t</v>
      </c>
      <c r="M1115" s="470"/>
      <c r="N1115" s="471" t="str">
        <f>IFERROR(__xludf.DUMMYFUNCTION("""COMPUTED_VALUE"""),"https://www.tiktok.com/@belanja_hemat.shop/video/7630671357017083143?_r=1&amp;u_code=ek6h2252jijmih&amp;region=&amp;mid=7623938813691071240&amp;preview_pb=0&amp;sharer_language=&amp;_d=0&amp;ec_shared_reflux_dynamic_params=%7B%22placeholder_material_id%22%3A%227630671357017083143%22"&amp;"%2C%22placeholder_origin_cover%22%3A%22https%253A%252F%252Fp19-common-sign.tiktokcdn.com%252Ftos-alisg-p-0037%252Fowp5bwOlImZTBJeEIXIlcBAiBRFzOUfFgglDbE~tplv-tiktokx-origin.jpeg%253Fdr%253D14572%2526refresh_token%253D89e5f346%2526x-expires%253D1808992800%"&amp;"2526x-signature%253Dz%25252BSjxI1T9db9i7EPljTh8qcmC%25252FA%25253D%2526t%253D4d5b0474%2526ps%253D13740610%2526shp%253Dd05b14bd%2526shcp%253D34ff8df6%2526idc%253Dmy2%2526s%253DTIKTOK_AFFILIATE_VIRAL_VIDEO%22%2C%22placeholder_product_id%22%3A%22172942776672"&amp;"2726591%22%2C%22placeholder_video_id%22%3A%227630671357017083143%22%7D&amp;ec_shared_reflux_scene=shop_tab_feed&amp;share_item_id=7630671357017083143&amp;source=h5_t")</f>
        <v>https://www.tiktok.com/@belanja_hemat.shop/video/7630671357017083143?_r=1&amp;u_code=ek6h2252jijmih&amp;region=&amp;mid=7623938813691071240&amp;preview_pb=0&amp;sharer_language=&amp;_d=0&amp;ec_shared_reflux_dynamic_params=%7B%22placeholder_material_id%22%3A%227630671357017083143%22%2C%22placeholder_origin_cover%22%3A%22https%253A%252F%252Fp19-common-sign.tiktokcdn.com%252Ftos-alisg-p-0037%252Fowp5bwOlImZTBJeEIXIlcBAiBRFzOUfFgglDbE~tplv-tiktokx-origin.jpeg%253Fdr%253D14572%2526refresh_token%253D89e5f346%2526x-expires%253D1808992800%2526x-signature%253Dz%25252BSjxI1T9db9i7EPljTh8qcmC%25252FA%25253D%2526t%253D4d5b0474%2526ps%253D13740610%2526shp%253Dd05b14bd%2526shcp%253D34ff8df6%2526idc%253Dmy2%2526s%253DTIKTOK_AFFILIATE_VIRAL_VIDEO%22%2C%22placeholder_product_id%22%3A%221729427766722726591%22%2C%22placeholder_video_id%22%3A%227630671357017083143%22%7D&amp;ec_shared_reflux_scene=shop_tab_feed&amp;share_item_id=7630671357017083143&amp;source=h5_t</v>
      </c>
      <c r="O1115" s="470"/>
      <c r="P1115" s="471" t="str">
        <f>IFERROR(__xludf.DUMMYFUNCTION("""COMPUTED_VALUE"""),"https://www.tiktok.com/@belanja_hemat.shop/video/7630645611548675336?_r=1&amp;u_code=ek6h2252jijmih&amp;region=&amp;mid=6954430693141137410&amp;preview_pb=0&amp;sharer_language=&amp;_d=0&amp;ec_shared_reflux_dynamic_params=%7B%22placeholder_material_id%22%3A%227630645611548675336%22"&amp;"%2C%22placeholder_origin_cover%22%3A%22https%253A%252F%252Fp16-common-sign.tiktokcdn.com%252Ftos-alisg-p-0037%252FooFZfTEHeACkGeGHI8GK5cQAMLjsvyU5doIQDA~tplv-tiktokx-origin.jpeg%253Fdr%253D14572%2526refresh_token%253Dd262356b%2526x-expires%253D1808992800%"&amp;"2526x-signature%253DmXa3P3zdig%25252BuXTFppayixrUQyUk%25253D%2526t%253D4d5b0474%2526ps%253D13740610%2526shp%253Dd05b14bd%2526shcp%253D34ff8df6%2526idc%253Dmy2%2526s%253DTIKTOK_AFFILIATE_VIRAL_VIDEO%22%2C%22placeholder_product_id%22%3A%22172942776672272659"&amp;"1%22%2C%22placeholder_video_id%22%3A%227630645611548675336%22%7D&amp;ec_shared_reflux_scene=shop_tab_feed&amp;share_item_id=7630645611548675336&amp;source=h5_t")</f>
        <v>https://www.tiktok.com/@belanja_hemat.shop/video/7630645611548675336?_r=1&amp;u_code=ek6h2252jijmih&amp;region=&amp;mid=6954430693141137410&amp;preview_pb=0&amp;sharer_language=&amp;_d=0&amp;ec_shared_reflux_dynamic_params=%7B%22placeholder_material_id%22%3A%227630645611548675336%22%2C%22placeholder_origin_cover%22%3A%22https%253A%252F%252Fp16-common-sign.tiktokcdn.com%252Ftos-alisg-p-0037%252FooFZfTEHeACkGeGHI8GK5cQAMLjsvyU5doIQDA~tplv-tiktokx-origin.jpeg%253Fdr%253D14572%2526refresh_token%253Dd262356b%2526x-expires%253D1808992800%2526x-signature%253DmXa3P3zdig%25252BuXTFppayixrUQyUk%25253D%2526t%253D4d5b0474%2526ps%253D13740610%2526shp%253Dd05b14bd%2526shcp%253D34ff8df6%2526idc%253Dmy2%2526s%253DTIKTOK_AFFILIATE_VIRAL_VIDEO%22%2C%22placeholder_product_id%22%3A%221729427766722726591%22%2C%22placeholder_video_id%22%3A%227630645611548675336%22%7D&amp;ec_shared_reflux_scene=shop_tab_feed&amp;share_item_id=7630645611548675336&amp;source=h5_t</v>
      </c>
    </row>
    <row r="1116">
      <c r="A1116" s="282" t="str">
        <f>IFERROR(__xludf.DUMMYFUNCTION("""COMPUTED_VALUE"""),"MICRO")</f>
        <v>MICRO</v>
      </c>
      <c r="B1116" s="468" t="str">
        <f>IFERROR(__xludf.DUMMYFUNCTION("""COMPUTED_VALUE"""),"indysabillah")</f>
        <v>indysabillah</v>
      </c>
      <c r="C1116" s="283" t="str">
        <f>IFERROR(__xludf.DUMMYFUNCTION("""COMPUTED_VALUE"""),"https://www.tiktok.com/@indysabillah")</f>
        <v>https://www.tiktok.com/@indysabillah</v>
      </c>
      <c r="D1116" s="273">
        <f>IFERROR(__xludf.DUMMYFUNCTION("""COMPUTED_VALUE"""),8.1242092003E10)</f>
        <v>81242092003</v>
      </c>
      <c r="E1116" s="458">
        <f>IFERROR(__xludf.DUMMYFUNCTION("""COMPUTED_VALUE"""),100000.0)</f>
        <v>100000</v>
      </c>
      <c r="F1116" s="273">
        <f>IFERROR(__xludf.DUMMYFUNCTION("""COMPUTED_VALUE"""),1.0)</f>
        <v>1</v>
      </c>
      <c r="G1116" t="str">
        <f>IFERROR(__xludf.DUMMYFUNCTION("""COMPUTED_VALUE"""),"Sabun batang 1 Box ( 2 PCS )")</f>
        <v>Sabun batang 1 Box ( 2 PCS )</v>
      </c>
      <c r="H1116" s="469" t="str">
        <f>IFERROR(__xludf.DUMMYFUNCTION("""COMPUTED_VALUE"""),"Sampai")</f>
        <v>Sampai</v>
      </c>
      <c r="I1116" s="470" t="str">
        <f>IFERROR(__xludf.DUMMYFUNCTION("""COMPUTED_VALUE"""),"KIMME")</f>
        <v>KIMME</v>
      </c>
      <c r="J1116" t="str">
        <f>IFERROR(__xludf.DUMMYFUNCTION("""COMPUTED_VALUE"""),"⁠https://vt.tiktok.com/ZSxk67ABC/")</f>
        <v>⁠https://vt.tiktok.com/ZSxk67ABC/</v>
      </c>
      <c r="K1116" s="470" t="str">
        <f>IFERROR(__xludf.DUMMYFUNCTION("""COMPUTED_VALUE"""),"KIMME")</f>
        <v>KIMME</v>
      </c>
      <c r="L1116" t="str">
        <f>IFERROR(__xludf.DUMMYFUNCTION("""COMPUTED_VALUE"""),"⁠⁠https://vt.tiktok.com/ZSxk65oBB/")</f>
        <v>⁠⁠https://vt.tiktok.com/ZSxk65oBB/</v>
      </c>
      <c r="M1116" s="470"/>
      <c r="N1116" s="471" t="str">
        <f>IFERROR(__xludf.DUMMYFUNCTION("""COMPUTED_VALUE"""),"https://vt.tiktok.com/ZSxk69g6p/")</f>
        <v>https://vt.tiktok.com/ZSxk69g6p/</v>
      </c>
      <c r="O1116" s="470"/>
      <c r="P1116" s="471" t="str">
        <f>IFERROR(__xludf.DUMMYFUNCTION("""COMPUTED_VALUE"""),"https://vt.tiktok.com/ZSxk6XTGv/")</f>
        <v>https://vt.tiktok.com/ZSxk6XTGv/</v>
      </c>
    </row>
    <row r="1117">
      <c r="A1117" s="282" t="str">
        <f>IFERROR(__xludf.DUMMYFUNCTION("""COMPUTED_VALUE"""),"MICRO")</f>
        <v>MICRO</v>
      </c>
      <c r="B1117" s="468" t="str">
        <f>IFERROR(__xludf.DUMMYFUNCTION("""COMPUTED_VALUE"""),"xkaalina")</f>
        <v>xkaalina</v>
      </c>
      <c r="C1117" s="283" t="str">
        <f>IFERROR(__xludf.DUMMYFUNCTION("""COMPUTED_VALUE"""),"https://www.tiktok.com/@xkaalina")</f>
        <v>https://www.tiktok.com/@xkaalina</v>
      </c>
      <c r="D1117" s="273">
        <f>IFERROR(__xludf.DUMMYFUNCTION("""COMPUTED_VALUE"""),8.5157138855E10)</f>
        <v>85157138855</v>
      </c>
      <c r="E1117" s="458">
        <f>IFERROR(__xludf.DUMMYFUNCTION("""COMPUTED_VALUE"""),0.0)</f>
        <v>0</v>
      </c>
      <c r="F1117" s="273"/>
      <c r="G1117" t="str">
        <f>IFERROR(__xludf.DUMMYFUNCTION("""COMPUTED_VALUE"""),"Sabun batang 1 Box ( 2 PCS )")</f>
        <v>Sabun batang 1 Box ( 2 PCS )</v>
      </c>
      <c r="H1117" s="469" t="str">
        <f>IFERROR(__xludf.DUMMYFUNCTION("""COMPUTED_VALUE"""),"Sampai")</f>
        <v>Sampai</v>
      </c>
      <c r="I1117" s="470" t="str">
        <f>IFERROR(__xludf.DUMMYFUNCTION("""COMPUTED_VALUE"""),"KIMME")</f>
        <v>KIMME</v>
      </c>
      <c r="J1117" s="471" t="str">
        <f>IFERROR(__xludf.DUMMYFUNCTION("""COMPUTED_VALUE"""),"https://www.tiktok.com/@belanja_hemat.shop/video/7630598491827391752?_r=1&amp;u_code=ek6h2252jijmih&amp;region=&amp;mid=7381176581904878342&amp;preview_pb=0&amp;sharer_language=&amp;_d=0&amp;ec_shared_reflux_dynamic_params=%7B%22placeholder_material_id%22%3A%227630598491827391752%22"&amp;"%2C%22placeholder_origin_cover%22%3A%22https%253A%252F%252Fp16-common-sign.tiktokcdn.com%252Ftos-alisg-p-0037%252FoACPlAYVqqCFSiI0n8ifAAwRZV3BpdI4I7B0Ci~tplv-tiktokx-origin.jpeg%253Fdr%253D14572%2526refresh_token%253D37fab94f%2526x-expires%253D1808992800%"&amp;"2526x-signature%253DxhSmbzhKT%25252Fm0k9lOnJssKbrnlRE%25253D%2526t%253D4d5b0474%2526ps%253D13740610%2526shp%253Dd05b14bd%2526shcp%253D34ff8df6%2526idc%253Dmy2%2526s%253DTIKTOK_AFFILIATE_VIRAL_VIDEO%22%2C%22placeholder_product_id%22%3A%22172942776672272659"&amp;"1%22%2C%22placeholder_video_id%22%3A%227630598491827391752%22%7D&amp;ec_shared_reflux_scene=shop_tab_feed&amp;share_item_id=7630598491827391752&amp;source=h5_t")</f>
        <v>https://www.tiktok.com/@belanja_hemat.shop/video/7630598491827391752?_r=1&amp;u_code=ek6h2252jijmih&amp;region=&amp;mid=7381176581904878342&amp;preview_pb=0&amp;sharer_language=&amp;_d=0&amp;ec_shared_reflux_dynamic_params=%7B%22placeholder_material_id%22%3A%227630598491827391752%22%2C%22placeholder_origin_cover%22%3A%22https%253A%252F%252Fp16-common-sign.tiktokcdn.com%252Ftos-alisg-p-0037%252FoACPlAYVqqCFSiI0n8ifAAwRZV3BpdI4I7B0Ci~tplv-tiktokx-origin.jpeg%253Fdr%253D14572%2526refresh_token%253D37fab94f%2526x-expires%253D1808992800%2526x-signature%253DxhSmbzhKT%25252Fm0k9lOnJssKbrnlRE%25253D%2526t%253D4d5b0474%2526ps%253D13740610%2526shp%253Dd05b14bd%2526shcp%253D34ff8df6%2526idc%253Dmy2%2526s%253DTIKTOK_AFFILIATE_VIRAL_VIDEO%22%2C%22placeholder_product_id%22%3A%221729427766722726591%22%2C%22placeholder_video_id%22%3A%227630598491827391752%22%7D&amp;ec_shared_reflux_scene=shop_tab_feed&amp;share_item_id=7630598491827391752&amp;source=h5_t</v>
      </c>
      <c r="K1117" s="470" t="str">
        <f>IFERROR(__xludf.DUMMYFUNCTION("""COMPUTED_VALUE"""),"KIMME")</f>
        <v>KIMME</v>
      </c>
      <c r="L1117" s="471" t="str">
        <f>IFERROR(__xludf.DUMMYFUNCTION("""COMPUTED_VALUE"""),"https://www.tiktok.com/@belanja_hemat.shop/video/7630475688943897874?_r=1&amp;u_code=ek6h2252jijmih&amp;region=&amp;mid=7607444503808527121&amp;preview_pb=0&amp;sharer_language=&amp;_d=0&amp;ec_shared_reflux_dynamic_params=%7B%22placeholder_material_id%22%3A%227630475688943897874%22"&amp;"%2C%22placeholder_origin_cover%22%3A%22https%253A%252F%252Fp16-common-sign.tiktokcdn.com%252Ftos-alisg-p-0037%252FooTSo4TGxCrBcAXj7DmAGPeS8yI5Ae8eTolMQ5~tplv-tiktokx-origin.jpeg%253Fdr%253D14572%2526refresh_token%253Df667667c%2526x-expires%253D1808992800%"&amp;"2526x-signature%253DLPxUVcjF62CctMUjnnT82J9gU%25252Fk%25253D%2526t%253D4d5b0474%2526ps%253D13740610%2526shp%253Dd05b14bd%2526shcp%253D34ff8df6%2526idc%253Dmy2%2526s%253DTIKTOK_AFFILIATE_VIRAL_VIDEO%22%2C%22placeholder_product_id%22%3A%22172942776672272659"&amp;"1%22%2C%22placeholder_video_id%22%3A%227630475688943897874%22%7D&amp;ec_shared_reflux_scene=shop_tab_feed&amp;share_item_id=7630475688943897874&amp;source=h5_t")</f>
        <v>https://www.tiktok.com/@belanja_hemat.shop/video/7630475688943897874?_r=1&amp;u_code=ek6h2252jijmih&amp;region=&amp;mid=7607444503808527121&amp;preview_pb=0&amp;sharer_language=&amp;_d=0&amp;ec_shared_reflux_dynamic_params=%7B%22placeholder_material_id%22%3A%227630475688943897874%22%2C%22placeholder_origin_cover%22%3A%22https%253A%252F%252Fp16-common-sign.tiktokcdn.com%252Ftos-alisg-p-0037%252FooTSo4TGxCrBcAXj7DmAGPeS8yI5Ae8eTolMQ5~tplv-tiktokx-origin.jpeg%253Fdr%253D14572%2526refresh_token%253Df667667c%2526x-expires%253D1808992800%2526x-signature%253DLPxUVcjF62CctMUjnnT82J9gU%25252Fk%25253D%2526t%253D4d5b0474%2526ps%253D13740610%2526shp%253Dd05b14bd%2526shcp%253D34ff8df6%2526idc%253Dmy2%2526s%253DTIKTOK_AFFILIATE_VIRAL_VIDEO%22%2C%22placeholder_product_id%22%3A%221729427766722726591%22%2C%22placeholder_video_id%22%3A%227630475688943897874%22%7D&amp;ec_shared_reflux_scene=shop_tab_feed&amp;share_item_id=7630475688943897874&amp;source=h5_t</v>
      </c>
      <c r="M1117" s="470"/>
      <c r="N1117" s="471" t="str">
        <f>IFERROR(__xludf.DUMMYFUNCTION("""COMPUTED_VALUE"""),"https://www.tiktok.com/@belanja_hemat.shop/video/7630318868501728530?_r=1&amp;u_code=ek6h2252jijmih&amp;region=&amp;mid=7624626297780652808&amp;preview_pb=0&amp;sharer_language=&amp;_d=0&amp;ec_shared_reflux_dynamic_params=%7B%22placeholder_material_id%22%3A%227630318868501728530%22"&amp;"%2C%22placeholder_origin_cover%22%3A%22https%253A%252F%252Fp16-common-sign.tiktokcdn.com%252Ftos-alisg-p-0037%252FokeOVVfQkFGLQs0gKgceaWA4zEnApnO1GRGkIf~tplv-tiktokx-origin.jpeg%253Fdr%253D14572%2526refresh_token%253D1c2a1f8c%2526x-expires%253D1808992800%"&amp;"2526x-signature%253Df6KbnHeOt4Ficr%25252BDHFCFYgU8wEc%25253D%2526t%253D4d5b0474%2526ps%253D13740610%2526shp%253Dd05b14bd%2526shcp%253D34ff8df6%2526idc%253Dmy2%2526s%253DTIKTOK_AFFILIATE_VIRAL_VIDEO%22%2C%22placeholder_product_id%22%3A%22172942776672272659"&amp;"1%22%2C%22placeholder_video_id%22%3A%227630318868501728530%22%7D&amp;ec_shared_reflux_scene=shop_tab_feed&amp;share_item_id=7630318868501728530&amp;source=h5_t")</f>
        <v>https://www.tiktok.com/@belanja_hemat.shop/video/7630318868501728530?_r=1&amp;u_code=ek6h2252jijmih&amp;region=&amp;mid=7624626297780652808&amp;preview_pb=0&amp;sharer_language=&amp;_d=0&amp;ec_shared_reflux_dynamic_params=%7B%22placeholder_material_id%22%3A%227630318868501728530%22%2C%22placeholder_origin_cover%22%3A%22https%253A%252F%252Fp16-common-sign.tiktokcdn.com%252Ftos-alisg-p-0037%252FokeOVVfQkFGLQs0gKgceaWA4zEnApnO1GRGkIf~tplv-tiktokx-origin.jpeg%253Fdr%253D14572%2526refresh_token%253D1c2a1f8c%2526x-expires%253D1808992800%2526x-signature%253Df6KbnHeOt4Ficr%25252BDHFCFYgU8wEc%25253D%2526t%253D4d5b0474%2526ps%253D13740610%2526shp%253Dd05b14bd%2526shcp%253D34ff8df6%2526idc%253Dmy2%2526s%253DTIKTOK_AFFILIATE_VIRAL_VIDEO%22%2C%22placeholder_product_id%22%3A%221729427766722726591%22%2C%22placeholder_video_id%22%3A%227630318868501728530%22%7D&amp;ec_shared_reflux_scene=shop_tab_feed&amp;share_item_id=7630318868501728530&amp;source=h5_t</v>
      </c>
      <c r="O1117" s="470"/>
      <c r="P1117" s="471" t="str">
        <f>IFERROR(__xludf.DUMMYFUNCTION("""COMPUTED_VALUE"""),"https://vt.tiktok.com/ZS9hqcAxh/")</f>
        <v>https://vt.tiktok.com/ZS9hqcAxh/</v>
      </c>
    </row>
    <row r="1118">
      <c r="A1118" s="282" t="str">
        <f>IFERROR(__xludf.DUMMYFUNCTION("""COMPUTED_VALUE"""),"MICRO")</f>
        <v>MICRO</v>
      </c>
      <c r="B1118" s="468" t="str">
        <f>IFERROR(__xludf.DUMMYFUNCTION("""COMPUTED_VALUE"""),"myealegawa")</f>
        <v>myealegawa</v>
      </c>
      <c r="C1118" s="283" t="str">
        <f>IFERROR(__xludf.DUMMYFUNCTION("""COMPUTED_VALUE"""),"https://www.tiktok.com/@myealegawa")</f>
        <v>https://www.tiktok.com/@myealegawa</v>
      </c>
      <c r="D1118" s="273">
        <f>IFERROR(__xludf.DUMMYFUNCTION("""COMPUTED_VALUE"""),8.966608269E10)</f>
        <v>89666082690</v>
      </c>
      <c r="E1118" s="458">
        <f>IFERROR(__xludf.DUMMYFUNCTION("""COMPUTED_VALUE"""),0.0)</f>
        <v>0</v>
      </c>
      <c r="F1118" s="273"/>
      <c r="G1118" t="str">
        <f>IFERROR(__xludf.DUMMYFUNCTION("""COMPUTED_VALUE"""),"Sabun batang 1 Box ( 2 PCS )")</f>
        <v>Sabun batang 1 Box ( 2 PCS )</v>
      </c>
      <c r="H1118" s="469" t="str">
        <f>IFERROR(__xludf.DUMMYFUNCTION("""COMPUTED_VALUE"""),"Sampai")</f>
        <v>Sampai</v>
      </c>
      <c r="I1118" s="470" t="str">
        <f>IFERROR(__xludf.DUMMYFUNCTION("""COMPUTED_VALUE"""),"KIMME")</f>
        <v>KIMME</v>
      </c>
      <c r="J1118" s="471" t="str">
        <f>IFERROR(__xludf.DUMMYFUNCTION("""COMPUTED_VALUE"""),"https://vt.tiktok.com/ZS9r1RKxv/")</f>
        <v>https://vt.tiktok.com/ZS9r1RKxv/</v>
      </c>
      <c r="K1118" s="470" t="str">
        <f>IFERROR(__xludf.DUMMYFUNCTION("""COMPUTED_VALUE"""),"KIMME")</f>
        <v>KIMME</v>
      </c>
      <c r="L1118" s="471" t="str">
        <f>IFERROR(__xludf.DUMMYFUNCTION("""COMPUTED_VALUE"""),"https://vt.tiktok.com/ZS92WWk36/")</f>
        <v>https://vt.tiktok.com/ZS92WWk36/</v>
      </c>
      <c r="M1118" s="470"/>
      <c r="N1118" s="471" t="str">
        <f>IFERROR(__xludf.DUMMYFUNCTION("""COMPUTED_VALUE"""),"https://vt.tiktok.com/ZS921GHkG/")</f>
        <v>https://vt.tiktok.com/ZS921GHkG/</v>
      </c>
      <c r="O1118" s="470"/>
      <c r="P1118" s="471" t="str">
        <f>IFERROR(__xludf.DUMMYFUNCTION("""COMPUTED_VALUE"""),"https://www.tiktok.com/@rositaramdani7/video/7633284200472284434?_d=0&amp;_r=1&amp;ec_shared_reflux_dynamic_params=%7B%22placeholder_material_id%22%3A%227633284200472284434%22%2C%22placeholder_origin_cover%22%3A%22https%253A%252F%252Fp16-sign-sg.tiktokcdn.com%252"&amp;"Ftos-alisg-p-0037%252Fo0C9DPIwuOAi7i23nlIx59f4Y9B7AAHIjC50iu~tplv-tiktokx-origin.jpeg%253Fdr%253D14572%2526refresh_token%253D93b490f0%2526x-expires%253D1808992800%2526x-signature%253DOtQCPKxCzTZYiOf8ObRksmoNH5c%25253D%2526t%253D4d5b0474%2526ps%253D1374061"&amp;"0%2526shp%253Dd05b14bd%2526shcp%253D34ff8df6%2526idc%253Dmy2%2526s%253DTIKTOK_AFFILIATE_VIRAL_VIDEO%22%2C%22placeholder_product_id%22%3A%221729427766722726591%22%2C%22placeholder_video_id%22%3A%227633284200472284434%22%7D&amp;ec_shared_reflux_scene=shop_tab_f"&amp;"eed&amp;mid=7591377536513985281&amp;preview_pb=0&amp;region=&amp;share_item_id=7633284200472284434&amp;sharer_language=&amp;source=h5_t&amp;u_code=f1489jb4bi84e9")</f>
        <v>https://www.tiktok.com/@rositaramdani7/video/7633284200472284434?_d=0&amp;_r=1&amp;ec_shared_reflux_dynamic_params=%7B%22placeholder_material_id%22%3A%227633284200472284434%22%2C%22placeholder_origin_cover%22%3A%22https%253A%252F%252Fp16-sign-sg.tiktokcdn.com%252Ftos-alisg-p-0037%252Fo0C9DPIwuOAi7i23nlIx59f4Y9B7AAHIjC50iu~tplv-tiktokx-origin.jpeg%253Fdr%253D14572%2526refresh_token%253D93b490f0%2526x-expires%253D1808992800%2526x-signature%253DOtQCPKxCzTZYiOf8ObRksmoNH5c%25253D%2526t%253D4d5b0474%2526ps%253D13740610%2526shp%253Dd05b14bd%2526shcp%253D34ff8df6%2526idc%253Dmy2%2526s%253DTIKTOK_AFFILIATE_VIRAL_VIDEO%22%2C%22placeholder_product_id%22%3A%221729427766722726591%22%2C%22placeholder_video_id%22%3A%227633284200472284434%22%7D&amp;ec_shared_reflux_scene=shop_tab_feed&amp;mid=7591377536513985281&amp;preview_pb=0&amp;region=&amp;share_item_id=7633284200472284434&amp;sharer_language=&amp;source=h5_t&amp;u_code=f1489jb4bi84e9</v>
      </c>
    </row>
    <row r="1119">
      <c r="A1119" s="282" t="str">
        <f>IFERROR(__xludf.DUMMYFUNCTION("""COMPUTED_VALUE"""),"MICRO")</f>
        <v>MICRO</v>
      </c>
      <c r="B1119" s="468" t="str">
        <f>IFERROR(__xludf.DUMMYFUNCTION("""COMPUTED_VALUE"""),"Namarinarin")</f>
        <v>Namarinarin</v>
      </c>
      <c r="C1119" s="283" t="str">
        <f>IFERROR(__xludf.DUMMYFUNCTION("""COMPUTED_VALUE"""),"https://www.tiktok.com/@Namarinarin")</f>
        <v>https://www.tiktok.com/@Namarinarin</v>
      </c>
      <c r="D1119" s="273">
        <f>IFERROR(__xludf.DUMMYFUNCTION("""COMPUTED_VALUE"""),8.7771863394E10)</f>
        <v>87771863394</v>
      </c>
      <c r="E1119" s="458">
        <f>IFERROR(__xludf.DUMMYFUNCTION("""COMPUTED_VALUE"""),0.0)</f>
        <v>0</v>
      </c>
      <c r="F1119" s="273"/>
      <c r="G1119" t="str">
        <f>IFERROR(__xludf.DUMMYFUNCTION("""COMPUTED_VALUE"""),"Sabun batang 1 Box ( 2 PCS )")</f>
        <v>Sabun batang 1 Box ( 2 PCS )</v>
      </c>
      <c r="H1119" s="469" t="str">
        <f>IFERROR(__xludf.DUMMYFUNCTION("""COMPUTED_VALUE"""),"Sampai")</f>
        <v>Sampai</v>
      </c>
      <c r="I1119" s="470" t="str">
        <f>IFERROR(__xludf.DUMMYFUNCTION("""COMPUTED_VALUE"""),"KIMME")</f>
        <v>KIMME</v>
      </c>
      <c r="J1119" s="471" t="str">
        <f>IFERROR(__xludf.DUMMYFUNCTION("""COMPUTED_VALUE"""),"https://www.tiktok.com/@rositaramdani7/video/7633197653253278994?_r=1&amp;u_code=f1489jb4bi84e9&amp;region=&amp;mid=7624353502927604487&amp;preview_pb=0&amp;sharer_language=&amp;_d=0&amp;ec_shared_reflux_dynamic_params=%7B%22placeholder_material_id%22%3A%227633197653253278994%22%2C%"&amp;"22placeholder_origin_cover%22%3A%22https%253A%252F%252Fp16-common-sign.tiktokcdn.com%252Ftos-alisg-p-0037%252FoMlkNCGgpDBSFIvuB1iigfBNE7ARj2hIIcfrco~tplv-tiktokx-origin.jpeg%253Fdr%253D14572%2526refresh_token%253D3e97f7fa%2526x-expires%253D1808992800%2526"&amp;"x-signature%253DfOGn5P546%25252F82frA7wreXsnR5k4c%25253D%2526t%253D4d5b0474%2526ps%253D13740610%2526shp%253Dd05b14bd%2526shcp%253D34ff8df6%2526idc%253Dmy2%2526s%253DTIKTOK_AFFILIATE_VIRAL_VIDEO%22%2C%22placeholder_product_id%22%3A%221729427766722726591%22"&amp;"%2C%22placeholder_video_id%22%3A%227633197653253278994%22%7D&amp;ec_shared_reflux_scene=shop_tab_feed&amp;share_item_id=7633197653253278994&amp;source=h5_t")</f>
        <v>https://www.tiktok.com/@rositaramdani7/video/7633197653253278994?_r=1&amp;u_code=f1489jb4bi84e9&amp;region=&amp;mid=7624353502927604487&amp;preview_pb=0&amp;sharer_language=&amp;_d=0&amp;ec_shared_reflux_dynamic_params=%7B%22placeholder_material_id%22%3A%227633197653253278994%22%2C%22placeholder_origin_cover%22%3A%22https%253A%252F%252Fp16-common-sign.tiktokcdn.com%252Ftos-alisg-p-0037%252FoMlkNCGgpDBSFIvuB1iigfBNE7ARj2hIIcfrco~tplv-tiktokx-origin.jpeg%253Fdr%253D14572%2526refresh_token%253D3e97f7fa%2526x-expires%253D1808992800%2526x-signature%253DfOGn5P546%25252F82frA7wreXsnR5k4c%25253D%2526t%253D4d5b0474%2526ps%253D13740610%2526shp%253Dd05b14bd%2526shcp%253D34ff8df6%2526idc%253Dmy2%2526s%253DTIKTOK_AFFILIATE_VIRAL_VIDEO%22%2C%22placeholder_product_id%22%3A%221729427766722726591%22%2C%22placeholder_video_id%22%3A%227633197653253278994%22%7D&amp;ec_shared_reflux_scene=shop_tab_feed&amp;share_item_id=7633197653253278994&amp;source=h5_t</v>
      </c>
      <c r="K1119" s="470" t="str">
        <f>IFERROR(__xludf.DUMMYFUNCTION("""COMPUTED_VALUE"""),"KIMME")</f>
        <v>KIMME</v>
      </c>
      <c r="L1119" s="471" t="str">
        <f>IFERROR(__xludf.DUMMYFUNCTION("""COMPUTED_VALUE"""),"https://vt.tiktok.com/ZS95xt41Q/")</f>
        <v>https://vt.tiktok.com/ZS95xt41Q/</v>
      </c>
      <c r="M1119" s="470"/>
      <c r="N1119" s="471" t="str">
        <f>IFERROR(__xludf.DUMMYFUNCTION("""COMPUTED_VALUE"""),"https://vt.tiktok.com/ZS95xQTwC/")</f>
        <v>https://vt.tiktok.com/ZS95xQTwC/</v>
      </c>
      <c r="O1119" s="470"/>
      <c r="P1119" s="471" t="str">
        <f>IFERROR(__xludf.DUMMYFUNCTION("""COMPUTED_VALUE"""),"https://vt.tiktok.com/ZS95x9DEf/")</f>
        <v>https://vt.tiktok.com/ZS95x9DEf/</v>
      </c>
    </row>
    <row r="1120">
      <c r="A1120" s="282" t="str">
        <f>IFERROR(__xludf.DUMMYFUNCTION("""COMPUTED_VALUE"""),"MICRO")</f>
        <v>MICRO</v>
      </c>
      <c r="B1120" s="468" t="str">
        <f>IFERROR(__xludf.DUMMYFUNCTION("""COMPUTED_VALUE"""),"iyaagnes")</f>
        <v>iyaagnes</v>
      </c>
      <c r="C1120" s="283" t="str">
        <f>IFERROR(__xludf.DUMMYFUNCTION("""COMPUTED_VALUE"""),"https://www.tiktok.com/@iyaagnes")</f>
        <v>https://www.tiktok.com/@iyaagnes</v>
      </c>
      <c r="D1120" s="273">
        <f>IFERROR(__xludf.DUMMYFUNCTION("""COMPUTED_VALUE"""),8.5190064322E10)</f>
        <v>85190064322</v>
      </c>
      <c r="E1120" s="458">
        <f>IFERROR(__xludf.DUMMYFUNCTION("""COMPUTED_VALUE"""),150000.0)</f>
        <v>150000</v>
      </c>
      <c r="F1120" s="273">
        <f>IFERROR(__xludf.DUMMYFUNCTION("""COMPUTED_VALUE"""),1.0)</f>
        <v>1</v>
      </c>
      <c r="G1120" t="str">
        <f>IFERROR(__xludf.DUMMYFUNCTION("""COMPUTED_VALUE"""),"Sabun batang 1 Box ( 2 PCS )")</f>
        <v>Sabun batang 1 Box ( 2 PCS )</v>
      </c>
      <c r="H1120" s="469" t="str">
        <f>IFERROR(__xludf.DUMMYFUNCTION("""COMPUTED_VALUE"""),"Sampai")</f>
        <v>Sampai</v>
      </c>
      <c r="I1120" s="470" t="str">
        <f>IFERROR(__xludf.DUMMYFUNCTION("""COMPUTED_VALUE"""),"KIMME")</f>
        <v>KIMME</v>
      </c>
      <c r="J1120" s="471" t="str">
        <f>IFERROR(__xludf.DUMMYFUNCTION("""COMPUTED_VALUE"""),"https://www.tiktok.com/@belanja_hemat.shop/video/7630598491827391752?_r=1&amp;u_code=ek6h2252jijmih&amp;region=&amp;mid=7381176581904878342&amp;preview_pb=0&amp;sharer_language=&amp;_d=0&amp;ec_shared_reflux_dynamic_params=%7B%22placeholder_material_id%22%3A%227630598491827391752%22"&amp;"%2C%22placeholder_origin_cover%22%3A%22https%253A%252F%252Fp16-common-sign.tiktokcdn.com%252Ftos-alisg-p-0037%252FoACPlAYVqqCFSiI0n8ifAAwRZV3BpdI4I7B0Ci~tplv-tiktokx-origin.jpeg%253Fdr%253D14572%2526refresh_token%253D37fab94f%2526x-expires%253D1808992800%"&amp;"2526x-signature%253DxhSmbzhKT%25252Fm0k9lOnJssKbrnlRE%25253D%2526t%253D4d5b0474%2526ps%253D13740610%2526shp%253Dd05b14bd%2526shcp%253D34ff8df6%2526idc%253Dmy2%2526s%253DTIKTOK_AFFILIATE_VIRAL_VIDEO%22%2C%22placeholder_product_id%22%3A%22172942776672272659"&amp;"1%22%2C%22placeholder_video_id%22%3A%227630598491827391752%22%7D&amp;ec_shared_reflux_scene=shop_tab_feed&amp;share_item_id=7630598491827391752&amp;source=h5_t")</f>
        <v>https://www.tiktok.com/@belanja_hemat.shop/video/7630598491827391752?_r=1&amp;u_code=ek6h2252jijmih&amp;region=&amp;mid=7381176581904878342&amp;preview_pb=0&amp;sharer_language=&amp;_d=0&amp;ec_shared_reflux_dynamic_params=%7B%22placeholder_material_id%22%3A%227630598491827391752%22%2C%22placeholder_origin_cover%22%3A%22https%253A%252F%252Fp16-common-sign.tiktokcdn.com%252Ftos-alisg-p-0037%252FoACPlAYVqqCFSiI0n8ifAAwRZV3BpdI4I7B0Ci~tplv-tiktokx-origin.jpeg%253Fdr%253D14572%2526refresh_token%253D37fab94f%2526x-expires%253D1808992800%2526x-signature%253DxhSmbzhKT%25252Fm0k9lOnJssKbrnlRE%25253D%2526t%253D4d5b0474%2526ps%253D13740610%2526shp%253Dd05b14bd%2526shcp%253D34ff8df6%2526idc%253Dmy2%2526s%253DTIKTOK_AFFILIATE_VIRAL_VIDEO%22%2C%22placeholder_product_id%22%3A%221729427766722726591%22%2C%22placeholder_video_id%22%3A%227630598491827391752%22%7D&amp;ec_shared_reflux_scene=shop_tab_feed&amp;share_item_id=7630598491827391752&amp;source=h5_t</v>
      </c>
      <c r="K1120" s="470" t="str">
        <f>IFERROR(__xludf.DUMMYFUNCTION("""COMPUTED_VALUE"""),"KIMME")</f>
        <v>KIMME</v>
      </c>
      <c r="L1120" s="471" t="str">
        <f>IFERROR(__xludf.DUMMYFUNCTION("""COMPUTED_VALUE"""),"https://www.tiktok.com/@belanja_hemat.shop/video/7630475688943897874?_r=1&amp;u_code=ek6h2252jijmih&amp;region=&amp;mid=7607444503808527121&amp;preview_pb=0&amp;sharer_language=&amp;_d=0&amp;ec_shared_reflux_dynamic_params=%7B%22placeholder_material_id%22%3A%227630475688943897874%22"&amp;"%2C%22placeholder_origin_cover%22%3A%22https%253A%252F%252Fp16-common-sign.tiktokcdn.com%252Ftos-alisg-p-0037%252FooTSo4TGxCrBcAXj7DmAGPeS8yI5Ae8eTolMQ5~tplv-tiktokx-origin.jpeg%253Fdr%253D14572%2526refresh_token%253Df667667c%2526x-expires%253D1808992800%"&amp;"2526x-signature%253DLPxUVcjF62CctMUjnnT82J9gU%25252Fk%25253D%2526t%253D4d5b0474%2526ps%253D13740610%2526shp%253Dd05b14bd%2526shcp%253D34ff8df6%2526idc%253Dmy2%2526s%253DTIKTOK_AFFILIATE_VIRAL_VIDEO%22%2C%22placeholder_product_id%22%3A%22172942776672272659"&amp;"1%22%2C%22placeholder_video_id%22%3A%227630475688943897874%22%7D&amp;ec_shared_reflux_scene=shop_tab_feed&amp;share_item_id=7630475688943897874&amp;source=h5_t")</f>
        <v>https://www.tiktok.com/@belanja_hemat.shop/video/7630475688943897874?_r=1&amp;u_code=ek6h2252jijmih&amp;region=&amp;mid=7607444503808527121&amp;preview_pb=0&amp;sharer_language=&amp;_d=0&amp;ec_shared_reflux_dynamic_params=%7B%22placeholder_material_id%22%3A%227630475688943897874%22%2C%22placeholder_origin_cover%22%3A%22https%253A%252F%252Fp16-common-sign.tiktokcdn.com%252Ftos-alisg-p-0037%252FooTSo4TGxCrBcAXj7DmAGPeS8yI5Ae8eTolMQ5~tplv-tiktokx-origin.jpeg%253Fdr%253D14572%2526refresh_token%253Df667667c%2526x-expires%253D1808992800%2526x-signature%253DLPxUVcjF62CctMUjnnT82J9gU%25252Fk%25253D%2526t%253D4d5b0474%2526ps%253D13740610%2526shp%253Dd05b14bd%2526shcp%253D34ff8df6%2526idc%253Dmy2%2526s%253DTIKTOK_AFFILIATE_VIRAL_VIDEO%22%2C%22placeholder_product_id%22%3A%221729427766722726591%22%2C%22placeholder_video_id%22%3A%227630475688943897874%22%7D&amp;ec_shared_reflux_scene=shop_tab_feed&amp;share_item_id=7630475688943897874&amp;source=h5_t</v>
      </c>
      <c r="M1120" s="470"/>
      <c r="N1120" s="471" t="str">
        <f>IFERROR(__xludf.DUMMYFUNCTION("""COMPUTED_VALUE"""),"https://www.tiktok.com/@belanja_hemat.shop/video/7630318868501728530?_r=1&amp;u_code=ek6h2252jijmih&amp;region=&amp;mid=7624626297780652808&amp;preview_pb=0&amp;sharer_language=&amp;_d=0&amp;ec_shared_reflux_dynamic_params=%7B%22placeholder_material_id%22%3A%227630318868501728530%22"&amp;"%2C%22placeholder_origin_cover%22%3A%22https%253A%252F%252Fp16-common-sign.tiktokcdn.com%252Ftos-alisg-p-0037%252FokeOVVfQkFGLQs0gKgceaWA4zEnApnO1GRGkIf~tplv-tiktokx-origin.jpeg%253Fdr%253D14572%2526refresh_token%253D1c2a1f8c%2526x-expires%253D1808992800%"&amp;"2526x-signature%253Df6KbnHeOt4Ficr%25252BDHFCFYgU8wEc%25253D%2526t%253D4d5b0474%2526ps%253D13740610%2526shp%253Dd05b14bd%2526shcp%253D34ff8df6%2526idc%253Dmy2%2526s%253DTIKTOK_AFFILIATE_VIRAL_VIDEO%22%2C%22placeholder_product_id%22%3A%22172942776672272659"&amp;"1%22%2C%22placeholder_video_id%22%3A%227630318868501728530%22%7D&amp;ec_shared_reflux_scene=shop_tab_feed&amp;share_item_id=7630318868501728530&amp;source=h5_t")</f>
        <v>https://www.tiktok.com/@belanja_hemat.shop/video/7630318868501728530?_r=1&amp;u_code=ek6h2252jijmih&amp;region=&amp;mid=7624626297780652808&amp;preview_pb=0&amp;sharer_language=&amp;_d=0&amp;ec_shared_reflux_dynamic_params=%7B%22placeholder_material_id%22%3A%227630318868501728530%22%2C%22placeholder_origin_cover%22%3A%22https%253A%252F%252Fp16-common-sign.tiktokcdn.com%252Ftos-alisg-p-0037%252FokeOVVfQkFGLQs0gKgceaWA4zEnApnO1GRGkIf~tplv-tiktokx-origin.jpeg%253Fdr%253D14572%2526refresh_token%253D1c2a1f8c%2526x-expires%253D1808992800%2526x-signature%253Df6KbnHeOt4Ficr%25252BDHFCFYgU8wEc%25253D%2526t%253D4d5b0474%2526ps%253D13740610%2526shp%253Dd05b14bd%2526shcp%253D34ff8df6%2526idc%253Dmy2%2526s%253DTIKTOK_AFFILIATE_VIRAL_VIDEO%22%2C%22placeholder_product_id%22%3A%221729427766722726591%22%2C%22placeholder_video_id%22%3A%227630318868501728530%22%7D&amp;ec_shared_reflux_scene=shop_tab_feed&amp;share_item_id=7630318868501728530&amp;source=h5_t</v>
      </c>
      <c r="O1120" s="470"/>
      <c r="P1120" s="471" t="str">
        <f>IFERROR(__xludf.DUMMYFUNCTION("""COMPUTED_VALUE"""),"https://vt.tiktok.com/ZS9hqcAxh/")</f>
        <v>https://vt.tiktok.com/ZS9hqcAxh/</v>
      </c>
    </row>
    <row r="1121">
      <c r="A1121" s="282" t="str">
        <f>IFERROR(__xludf.DUMMYFUNCTION("""COMPUTED_VALUE"""),"MICRO")</f>
        <v>MICRO</v>
      </c>
      <c r="B1121" s="468" t="str">
        <f>IFERROR(__xludf.DUMMYFUNCTION("""COMPUTED_VALUE"""),"milanikuy")</f>
        <v>milanikuy</v>
      </c>
      <c r="C1121" s="283" t="str">
        <f>IFERROR(__xludf.DUMMYFUNCTION("""COMPUTED_VALUE"""),"https://www.tiktok.com/@milanikuy")</f>
        <v>https://www.tiktok.com/@milanikuy</v>
      </c>
      <c r="D1121" s="273">
        <f>IFERROR(__xludf.DUMMYFUNCTION("""COMPUTED_VALUE"""),8.5726115436E10)</f>
        <v>85726115436</v>
      </c>
      <c r="E1121" s="458">
        <f>IFERROR(__xludf.DUMMYFUNCTION("""COMPUTED_VALUE"""),0.0)</f>
        <v>0</v>
      </c>
      <c r="F1121" s="273">
        <f>IFERROR(__xludf.DUMMYFUNCTION("""COMPUTED_VALUE"""),4.0)</f>
        <v>4</v>
      </c>
      <c r="G1121" t="str">
        <f>IFERROR(__xludf.DUMMYFUNCTION("""COMPUTED_VALUE"""),"Sabun batang 1 Box ( 2 PCS )")</f>
        <v>Sabun batang 1 Box ( 2 PCS )</v>
      </c>
      <c r="H1121" s="469" t="str">
        <f>IFERROR(__xludf.DUMMYFUNCTION("""COMPUTED_VALUE"""),"Sampai")</f>
        <v>Sampai</v>
      </c>
      <c r="I1121" s="470" t="str">
        <f>IFERROR(__xludf.DUMMYFUNCTION("""COMPUTED_VALUE"""),"KIMME")</f>
        <v>KIMME</v>
      </c>
      <c r="J1121" s="471" t="str">
        <f>IFERROR(__xludf.DUMMYFUNCTION("""COMPUTED_VALUE"""),"https://vt.tiktok.com/ZS9r1RKxv/")</f>
        <v>https://vt.tiktok.com/ZS9r1RKxv/</v>
      </c>
      <c r="K1121" s="470" t="str">
        <f>IFERROR(__xludf.DUMMYFUNCTION("""COMPUTED_VALUE"""),"KIMME")</f>
        <v>KIMME</v>
      </c>
      <c r="L1121" s="471" t="str">
        <f>IFERROR(__xludf.DUMMYFUNCTION("""COMPUTED_VALUE"""),"https://vt.tiktok.com/ZS92WWk36/")</f>
        <v>https://vt.tiktok.com/ZS92WWk36/</v>
      </c>
      <c r="M1121" s="470"/>
      <c r="N1121" s="471" t="str">
        <f>IFERROR(__xludf.DUMMYFUNCTION("""COMPUTED_VALUE"""),"https://vt.tiktok.com/ZS921GHkG/")</f>
        <v>https://vt.tiktok.com/ZS921GHkG/</v>
      </c>
      <c r="O1121" s="470"/>
      <c r="P1121" s="471" t="str">
        <f>IFERROR(__xludf.DUMMYFUNCTION("""COMPUTED_VALUE"""),"https://www.tiktok.com/@rositaramdani7/video/7633284200472284434?_d=0&amp;_r=1&amp;ec_shared_reflux_dynamic_params=%7B%22placeholder_material_id%22%3A%227633284200472284434%22%2C%22placeholder_origin_cover%22%3A%22https%253A%252F%252Fp16-sign-sg.tiktokcdn.com%252"&amp;"Ftos-alisg-p-0037%252Fo0C9DPIwuOAi7i23nlIx59f4Y9B7AAHIjC50iu~tplv-tiktokx-origin.jpeg%253Fdr%253D14572%2526refresh_token%253D93b490f0%2526x-expires%253D1808992800%2526x-signature%253DOtQCPKxCzTZYiOf8ObRksmoNH5c%25253D%2526t%253D4d5b0474%2526ps%253D1374061"&amp;"0%2526shp%253Dd05b14bd%2526shcp%253D34ff8df6%2526idc%253Dmy2%2526s%253DTIKTOK_AFFILIATE_VIRAL_VIDEO%22%2C%22placeholder_product_id%22%3A%221729427766722726591%22%2C%22placeholder_video_id%22%3A%227633284200472284434%22%7D&amp;ec_shared_reflux_scene=shop_tab_f"&amp;"eed&amp;mid=7591377536513985281&amp;preview_pb=0&amp;region=&amp;share_item_id=7633284200472284434&amp;sharer_language=&amp;source=h5_t&amp;u_code=f1489jb4bi84e9")</f>
        <v>https://www.tiktok.com/@rositaramdani7/video/7633284200472284434?_d=0&amp;_r=1&amp;ec_shared_reflux_dynamic_params=%7B%22placeholder_material_id%22%3A%227633284200472284434%22%2C%22placeholder_origin_cover%22%3A%22https%253A%252F%252Fp16-sign-sg.tiktokcdn.com%252Ftos-alisg-p-0037%252Fo0C9DPIwuOAi7i23nlIx59f4Y9B7AAHIjC50iu~tplv-tiktokx-origin.jpeg%253Fdr%253D14572%2526refresh_token%253D93b490f0%2526x-expires%253D1808992800%2526x-signature%253DOtQCPKxCzTZYiOf8ObRksmoNH5c%25253D%2526t%253D4d5b0474%2526ps%253D13740610%2526shp%253Dd05b14bd%2526shcp%253D34ff8df6%2526idc%253Dmy2%2526s%253DTIKTOK_AFFILIATE_VIRAL_VIDEO%22%2C%22placeholder_product_id%22%3A%221729427766722726591%22%2C%22placeholder_video_id%22%3A%227633284200472284434%22%7D&amp;ec_shared_reflux_scene=shop_tab_feed&amp;mid=7591377536513985281&amp;preview_pb=0&amp;region=&amp;share_item_id=7633284200472284434&amp;sharer_language=&amp;source=h5_t&amp;u_code=f1489jb4bi84e9</v>
      </c>
    </row>
    <row r="1122">
      <c r="A1122" s="282" t="str">
        <f>IFERROR(__xludf.DUMMYFUNCTION("""COMPUTED_VALUE"""),"MICRO")</f>
        <v>MICRO</v>
      </c>
      <c r="B1122" s="468" t="str">
        <f>IFERROR(__xludf.DUMMYFUNCTION("""COMPUTED_VALUE"""),"Tiwif.989")</f>
        <v>Tiwif.989</v>
      </c>
      <c r="C1122" s="283" t="str">
        <f>IFERROR(__xludf.DUMMYFUNCTION("""COMPUTED_VALUE"""),"https://www.tiktok.com/@Tiwif.989")</f>
        <v>https://www.tiktok.com/@Tiwif.989</v>
      </c>
      <c r="D1122" s="273">
        <f>IFERROR(__xludf.DUMMYFUNCTION("""COMPUTED_VALUE"""),8.1238564205E10)</f>
        <v>81238564205</v>
      </c>
      <c r="E1122" s="458">
        <f>IFERROR(__xludf.DUMMYFUNCTION("""COMPUTED_VALUE"""),0.0)</f>
        <v>0</v>
      </c>
      <c r="F1122" s="273">
        <f>IFERROR(__xludf.DUMMYFUNCTION("""COMPUTED_VALUE"""),4.0)</f>
        <v>4</v>
      </c>
      <c r="G1122" t="str">
        <f>IFERROR(__xludf.DUMMYFUNCTION("""COMPUTED_VALUE"""),"Sabun batang 1 Box ( 2 PCS )")</f>
        <v>Sabun batang 1 Box ( 2 PCS )</v>
      </c>
      <c r="H1122" s="469" t="str">
        <f>IFERROR(__xludf.DUMMYFUNCTION("""COMPUTED_VALUE"""),"Sampai")</f>
        <v>Sampai</v>
      </c>
      <c r="I1122" s="470" t="str">
        <f>IFERROR(__xludf.DUMMYFUNCTION("""COMPUTED_VALUE"""),"KIMME")</f>
        <v>KIMME</v>
      </c>
      <c r="J1122" s="471" t="str">
        <f>IFERROR(__xludf.DUMMYFUNCTION("""COMPUTED_VALUE"""),"https://www.tiktok.com/@rositaramdani7/video/7633197653253278994?_r=1&amp;u_code=f1489jb4bi84e9&amp;region=&amp;mid=7624353502927604487&amp;preview_pb=0&amp;sharer_language=&amp;_d=0&amp;ec_shared_reflux_dynamic_params=%7B%22placeholder_material_id%22%3A%227633197653253278994%22%2C%"&amp;"22placeholder_origin_cover%22%3A%22https%253A%252F%252Fp16-common-sign.tiktokcdn.com%252Ftos-alisg-p-0037%252FoMlkNCGgpDBSFIvuB1iigfBNE7ARj2hIIcfrco~tplv-tiktokx-origin.jpeg%253Fdr%253D14572%2526refresh_token%253D3e97f7fa%2526x-expires%253D1808992800%2526"&amp;"x-signature%253DfOGn5P546%25252F82frA7wreXsnR5k4c%25253D%2526t%253D4d5b0474%2526ps%253D13740610%2526shp%253Dd05b14bd%2526shcp%253D34ff8df6%2526idc%253Dmy2%2526s%253DTIKTOK_AFFILIATE_VIRAL_VIDEO%22%2C%22placeholder_product_id%22%3A%221729427766722726591%22"&amp;"%2C%22placeholder_video_id%22%3A%227633197653253278994%22%7D&amp;ec_shared_reflux_scene=shop_tab_feed&amp;share_item_id=7633197653253278994&amp;source=h5_t")</f>
        <v>https://www.tiktok.com/@rositaramdani7/video/7633197653253278994?_r=1&amp;u_code=f1489jb4bi84e9&amp;region=&amp;mid=7624353502927604487&amp;preview_pb=0&amp;sharer_language=&amp;_d=0&amp;ec_shared_reflux_dynamic_params=%7B%22placeholder_material_id%22%3A%227633197653253278994%22%2C%22placeholder_origin_cover%22%3A%22https%253A%252F%252Fp16-common-sign.tiktokcdn.com%252Ftos-alisg-p-0037%252FoMlkNCGgpDBSFIvuB1iigfBNE7ARj2hIIcfrco~tplv-tiktokx-origin.jpeg%253Fdr%253D14572%2526refresh_token%253D3e97f7fa%2526x-expires%253D1808992800%2526x-signature%253DfOGn5P546%25252F82frA7wreXsnR5k4c%25253D%2526t%253D4d5b0474%2526ps%253D13740610%2526shp%253Dd05b14bd%2526shcp%253D34ff8df6%2526idc%253Dmy2%2526s%253DTIKTOK_AFFILIATE_VIRAL_VIDEO%22%2C%22placeholder_product_id%22%3A%221729427766722726591%22%2C%22placeholder_video_id%22%3A%227633197653253278994%22%7D&amp;ec_shared_reflux_scene=shop_tab_feed&amp;share_item_id=7633197653253278994&amp;source=h5_t</v>
      </c>
      <c r="K1122" s="470" t="str">
        <f>IFERROR(__xludf.DUMMYFUNCTION("""COMPUTED_VALUE"""),"KIMME")</f>
        <v>KIMME</v>
      </c>
      <c r="L1122" s="471" t="str">
        <f>IFERROR(__xludf.DUMMYFUNCTION("""COMPUTED_VALUE"""),"https://vt.tiktok.com/ZS95xt41Q/")</f>
        <v>https://vt.tiktok.com/ZS95xt41Q/</v>
      </c>
      <c r="M1122" s="470"/>
      <c r="N1122" s="471" t="str">
        <f>IFERROR(__xludf.DUMMYFUNCTION("""COMPUTED_VALUE"""),"https://vt.tiktok.com/ZS95xQTwC/")</f>
        <v>https://vt.tiktok.com/ZS95xQTwC/</v>
      </c>
      <c r="O1122" s="470"/>
      <c r="P1122" s="471" t="str">
        <f>IFERROR(__xludf.DUMMYFUNCTION("""COMPUTED_VALUE"""),"https://vt.tiktok.com/ZS95x9DEf/")</f>
        <v>https://vt.tiktok.com/ZS95x9DEf/</v>
      </c>
    </row>
    <row r="1123">
      <c r="A1123" s="282" t="str">
        <f>IFERROR(__xludf.DUMMYFUNCTION("""COMPUTED_VALUE"""),"MICRO")</f>
        <v>MICRO</v>
      </c>
      <c r="B1123" s="468" t="str">
        <f>IFERROR(__xludf.DUMMYFUNCTION("""COMPUTED_VALUE"""),"themoon__88")</f>
        <v>themoon__88</v>
      </c>
      <c r="C1123" s="283" t="str">
        <f>IFERROR(__xludf.DUMMYFUNCTION("""COMPUTED_VALUE"""),"https://www.tiktok.com/@themoon__88")</f>
        <v>https://www.tiktok.com/@themoon__88</v>
      </c>
      <c r="D1123" s="273">
        <f>IFERROR(__xludf.DUMMYFUNCTION("""COMPUTED_VALUE"""),8.9799265E9)</f>
        <v>8979926500</v>
      </c>
      <c r="E1123" s="458">
        <f>IFERROR(__xludf.DUMMYFUNCTION("""COMPUTED_VALUE"""),150000.0)</f>
        <v>150000</v>
      </c>
      <c r="F1123" s="273">
        <f>IFERROR(__xludf.DUMMYFUNCTION("""COMPUTED_VALUE"""),2.0)</f>
        <v>2</v>
      </c>
      <c r="G1123" t="str">
        <f>IFERROR(__xludf.DUMMYFUNCTION("""COMPUTED_VALUE"""),"Sabun batang 1 Box ( 2 PCS )")</f>
        <v>Sabun batang 1 Box ( 2 PCS )</v>
      </c>
      <c r="H1123" s="469" t="str">
        <f>IFERROR(__xludf.DUMMYFUNCTION("""COMPUTED_VALUE"""),"Sampai")</f>
        <v>Sampai</v>
      </c>
      <c r="I1123" s="470" t="str">
        <f>IFERROR(__xludf.DUMMYFUNCTION("""COMPUTED_VALUE"""),"KIMME")</f>
        <v>KIMME</v>
      </c>
      <c r="J1123" s="471" t="str">
        <f>IFERROR(__xludf.DUMMYFUNCTION("""COMPUTED_VALUE"""),"https://vt.tiktok.com/ZS9YkmFSb/")</f>
        <v>https://vt.tiktok.com/ZS9YkmFSb/</v>
      </c>
      <c r="K1123" s="470" t="str">
        <f>IFERROR(__xludf.DUMMYFUNCTION("""COMPUTED_VALUE"""),"KIMME")</f>
        <v>KIMME</v>
      </c>
      <c r="L1123" s="471" t="str">
        <f>IFERROR(__xludf.DUMMYFUNCTION("""COMPUTED_VALUE"""),"https://vt.tiktok.com/ZS9je2vr9/")</f>
        <v>https://vt.tiktok.com/ZS9je2vr9/</v>
      </c>
      <c r="M1123" s="470"/>
      <c r="N1123" s="471" t="str">
        <f>IFERROR(__xludf.DUMMYFUNCTION("""COMPUTED_VALUE"""),"https://vt.tiktok.com/ZSxyACb5D/")</f>
        <v>https://vt.tiktok.com/ZSxyACb5D/</v>
      </c>
      <c r="O1123" s="470"/>
      <c r="P1123" s="471" t="str">
        <f>IFERROR(__xludf.DUMMYFUNCTION("""COMPUTED_VALUE"""),"https://vt.tiktok.com/ZSxyA5nwF/")</f>
        <v>https://vt.tiktok.com/ZSxyA5nwF/</v>
      </c>
    </row>
    <row r="1124">
      <c r="A1124" s="282" t="str">
        <f>IFERROR(__xludf.DUMMYFUNCTION("""COMPUTED_VALUE"""),"MICRO")</f>
        <v>MICRO</v>
      </c>
      <c r="B1124" s="468" t="str">
        <f>IFERROR(__xludf.DUMMYFUNCTION("""COMPUTED_VALUE"""),"Nuzhatul")</f>
        <v>Nuzhatul</v>
      </c>
      <c r="C1124" s="283" t="str">
        <f>IFERROR(__xludf.DUMMYFUNCTION("""COMPUTED_VALUE"""),"https://www.tiktok.com/@Nuzhatul")</f>
        <v>https://www.tiktok.com/@Nuzhatul</v>
      </c>
      <c r="D1124" s="273">
        <f>IFERROR(__xludf.DUMMYFUNCTION("""COMPUTED_VALUE"""),8.2143449795E10)</f>
        <v>82143449795</v>
      </c>
      <c r="E1124" s="458">
        <f>IFERROR(__xludf.DUMMYFUNCTION("""COMPUTED_VALUE"""),0.0)</f>
        <v>0</v>
      </c>
      <c r="F1124" s="273">
        <f>IFERROR(__xludf.DUMMYFUNCTION("""COMPUTED_VALUE"""),4.0)</f>
        <v>4</v>
      </c>
      <c r="G1124" t="str">
        <f>IFERROR(__xludf.DUMMYFUNCTION("""COMPUTED_VALUE"""),"Sabun batang 1 Box ( 2 PCS )")</f>
        <v>Sabun batang 1 Box ( 2 PCS )</v>
      </c>
      <c r="H1124" s="469" t="str">
        <f>IFERROR(__xludf.DUMMYFUNCTION("""COMPUTED_VALUE"""),"Sampai")</f>
        <v>Sampai</v>
      </c>
      <c r="I1124" s="470" t="str">
        <f>IFERROR(__xludf.DUMMYFUNCTION("""COMPUTED_VALUE"""),"KIMME")</f>
        <v>KIMME</v>
      </c>
      <c r="J1124" s="471" t="str">
        <f>IFERROR(__xludf.DUMMYFUNCTION("""COMPUTED_VALUE"""),"https://vt.tiktok.com/ZSxyAAgvA/")</f>
        <v>https://vt.tiktok.com/ZSxyAAgvA/</v>
      </c>
      <c r="K1124" s="470" t="str">
        <f>IFERROR(__xludf.DUMMYFUNCTION("""COMPUTED_VALUE"""),"KIMME")</f>
        <v>KIMME</v>
      </c>
      <c r="L1124" s="471" t="str">
        <f>IFERROR(__xludf.DUMMYFUNCTION("""COMPUTED_VALUE"""),"https://vt.tiktok.com/ZSxyAaoJY/")</f>
        <v>https://vt.tiktok.com/ZSxyAaoJY/</v>
      </c>
      <c r="M1124" s="470"/>
      <c r="N1124" s="471" t="str">
        <f>IFERROR(__xludf.DUMMYFUNCTION("""COMPUTED_VALUE"""),"https://vt.tiktok.com/ZSxyANDsv/")</f>
        <v>https://vt.tiktok.com/ZSxyANDsv/</v>
      </c>
      <c r="O1124" s="470"/>
      <c r="P1124" s="471" t="str">
        <f>IFERROR(__xludf.DUMMYFUNCTION("""COMPUTED_VALUE"""),"https://vt.tiktok.com/ZSxyAMGFy/")</f>
        <v>https://vt.tiktok.com/ZSxyAMGFy/</v>
      </c>
    </row>
    <row r="1125">
      <c r="A1125" s="282" t="str">
        <f>IFERROR(__xludf.DUMMYFUNCTION("""COMPUTED_VALUE"""),"MICRO")</f>
        <v>MICRO</v>
      </c>
      <c r="B1125" s="468" t="str">
        <f>IFERROR(__xludf.DUMMYFUNCTION("""COMPUTED_VALUE"""),"Nuggetbobacokies ")</f>
        <v>Nuggetbobacokies </v>
      </c>
      <c r="C1125" s="283" t="str">
        <f>IFERROR(__xludf.DUMMYFUNCTION("""COMPUTED_VALUE"""),"https://www.tiktok.com/@Nuggetbobacokies ")</f>
        <v>https://www.tiktok.com/@Nuggetbobacokies </v>
      </c>
      <c r="D1125" s="273">
        <f>IFERROR(__xludf.DUMMYFUNCTION("""COMPUTED_VALUE"""),8.121148118E10)</f>
        <v>81211481180</v>
      </c>
      <c r="E1125" s="458">
        <f>IFERROR(__xludf.DUMMYFUNCTION("""COMPUTED_VALUE"""),0.0)</f>
        <v>0</v>
      </c>
      <c r="F1125" s="273">
        <f>IFERROR(__xludf.DUMMYFUNCTION("""COMPUTED_VALUE"""),4.0)</f>
        <v>4</v>
      </c>
      <c r="G1125" t="str">
        <f>IFERROR(__xludf.DUMMYFUNCTION("""COMPUTED_VALUE"""),"Sabun batang 1 Box ( 2 PCS )")</f>
        <v>Sabun batang 1 Box ( 2 PCS )</v>
      </c>
      <c r="H1125" s="469" t="str">
        <f>IFERROR(__xludf.DUMMYFUNCTION("""COMPUTED_VALUE"""),"Sampai")</f>
        <v>Sampai</v>
      </c>
      <c r="I1125" s="470" t="str">
        <f>IFERROR(__xludf.DUMMYFUNCTION("""COMPUTED_VALUE"""),"KIMME")</f>
        <v>KIMME</v>
      </c>
      <c r="J1125" s="471" t="str">
        <f>IFERROR(__xludf.DUMMYFUNCTION("""COMPUTED_VALUE"""),"https://vt.tiktok.com/ZSxySoVWA/")</f>
        <v>https://vt.tiktok.com/ZSxySoVWA/</v>
      </c>
      <c r="K1125" s="470" t="str">
        <f>IFERROR(__xludf.DUMMYFUNCTION("""COMPUTED_VALUE"""),"KIMME")</f>
        <v>KIMME</v>
      </c>
      <c r="L1125" s="471" t="str">
        <f>IFERROR(__xludf.DUMMYFUNCTION("""COMPUTED_VALUE"""),"https://vt.tiktok.com/ZSxyANvXC/")</f>
        <v>https://vt.tiktok.com/ZSxyANvXC/</v>
      </c>
      <c r="M1125" s="470"/>
      <c r="N1125" s="471" t="str">
        <f>IFERROR(__xludf.DUMMYFUNCTION("""COMPUTED_VALUE"""),"https://vt.tiktok.com/ZSxyAM14h/")</f>
        <v>https://vt.tiktok.com/ZSxyAM14h/</v>
      </c>
      <c r="O1125" s="470"/>
      <c r="P1125" s="471" t="str">
        <f>IFERROR(__xludf.DUMMYFUNCTION("""COMPUTED_VALUE"""),"https://vt.tiktok.com/ZSxyA8wRx/")</f>
        <v>https://vt.tiktok.com/ZSxyA8wRx/</v>
      </c>
    </row>
    <row r="1126">
      <c r="A1126" s="282" t="str">
        <f>IFERROR(__xludf.DUMMYFUNCTION("""COMPUTED_VALUE"""),"MICRO")</f>
        <v>MICRO</v>
      </c>
      <c r="B1126" s="468" t="str">
        <f>IFERROR(__xludf.DUMMYFUNCTION("""COMPUTED_VALUE"""),"gallery.itsmykey")</f>
        <v>gallery.itsmykey</v>
      </c>
      <c r="C1126" s="283" t="str">
        <f>IFERROR(__xludf.DUMMYFUNCTION("""COMPUTED_VALUE"""),"https://www.tiktok.com/@gallery.itsmykey")</f>
        <v>https://www.tiktok.com/@gallery.itsmykey</v>
      </c>
      <c r="D1126" s="273">
        <f>IFERROR(__xludf.DUMMYFUNCTION("""COMPUTED_VALUE"""),8.5747422421E10)</f>
        <v>85747422421</v>
      </c>
      <c r="E1126" s="458">
        <f>IFERROR(__xludf.DUMMYFUNCTION("""COMPUTED_VALUE"""),0.0)</f>
        <v>0</v>
      </c>
      <c r="F1126" s="273">
        <f>IFERROR(__xludf.DUMMYFUNCTION("""COMPUTED_VALUE"""),4.0)</f>
        <v>4</v>
      </c>
      <c r="G1126" t="str">
        <f>IFERROR(__xludf.DUMMYFUNCTION("""COMPUTED_VALUE"""),"Sabun batang 1 Box ( 2 PCS )")</f>
        <v>Sabun batang 1 Box ( 2 PCS )</v>
      </c>
      <c r="H1126" s="469" t="str">
        <f>IFERROR(__xludf.DUMMYFUNCTION("""COMPUTED_VALUE"""),"Sampai")</f>
        <v>Sampai</v>
      </c>
      <c r="I1126" s="470" t="str">
        <f>IFERROR(__xludf.DUMMYFUNCTION("""COMPUTED_VALUE"""),"KIMME")</f>
        <v>KIMME</v>
      </c>
      <c r="J1126" s="471" t="str">
        <f>IFERROR(__xludf.DUMMYFUNCTION("""COMPUTED_VALUE"""),"https://www.tiktok.com/@gallery.itsmykey/video/7633713659558055186?_r=1&amp;u_code=cmea1dh1i51f3i&amp;region=&amp;mid=7494258890218113025&amp;preview_pb=0&amp;sharer_language=&amp;_d=0&amp;ec_shared_reflux_dynamic_params=%7B%22placeholder_material_id%22%3A%227633713659558055186%22%2"&amp;"C%22placeholder_origin_cover%22%3A%22https%253A%252F%252Fp16-common-sign.tiktokcdn.com%252Ftos-alisg-p-0037%252FoYW8Df2UEEXcQiZFOBpgFBywQURGAeOcvBmsk1~tplv-tiktokx-origin.jpeg%253Fdr%253D14572%2526refresh_token%253Dcd6814dc%2526x-expires%253D1808992800%25"&amp;"26x-signature%253DZQNAn%25252BRDHSwlyrfzK1maxW%25252BIjGA%25253D%2526t%253D4d5b0474%2526ps%253D13740610%2526shp%253Dd05b14bd%2526shcp%253D34ff8df6%2526idc%253Dmy2%2526s%253DTIKTOK_AFFILIATE_VIRAL_VIDEO%22%2C%22placeholder_product_id%22%3A%2217294277667227"&amp;"26591%22%2C%22placeholder_video_id%22%3A%227633713659558055186%22%7D&amp;ec_shared_reflux_scene=shop_tab_feed&amp;share_item_id=7633713659558055186&amp;source=h5_t")</f>
        <v>https://www.tiktok.com/@gallery.itsmykey/video/7633713659558055186?_r=1&amp;u_code=cmea1dh1i51f3i&amp;region=&amp;mid=7494258890218113025&amp;preview_pb=0&amp;sharer_language=&amp;_d=0&amp;ec_shared_reflux_dynamic_params=%7B%22placeholder_material_id%22%3A%227633713659558055186%22%2C%22placeholder_origin_cover%22%3A%22https%253A%252F%252Fp16-common-sign.tiktokcdn.com%252Ftos-alisg-p-0037%252FoYW8Df2UEEXcQiZFOBpgFBywQURGAeOcvBmsk1~tplv-tiktokx-origin.jpeg%253Fdr%253D14572%2526refresh_token%253Dcd6814dc%2526x-expires%253D1808992800%2526x-signature%253DZQNAn%25252BRDHSwlyrfzK1maxW%25252BIjGA%25253D%2526t%253D4d5b0474%2526ps%253D13740610%2526shp%253Dd05b14bd%2526shcp%253D34ff8df6%2526idc%253Dmy2%2526s%253DTIKTOK_AFFILIATE_VIRAL_VIDEO%22%2C%22placeholder_product_id%22%3A%221729427766722726591%22%2C%22placeholder_video_id%22%3A%227633713659558055186%22%7D&amp;ec_shared_reflux_scene=shop_tab_feed&amp;share_item_id=7633713659558055186&amp;source=h5_t</v>
      </c>
      <c r="K1126" s="470" t="str">
        <f>IFERROR(__xludf.DUMMYFUNCTION("""COMPUTED_VALUE"""),"KIMME")</f>
        <v>KIMME</v>
      </c>
      <c r="L1126" s="471" t="str">
        <f>IFERROR(__xludf.DUMMYFUNCTION("""COMPUTED_VALUE"""),"https://vt.tiktok.com/ZSH7chy4C/")</f>
        <v>https://vt.tiktok.com/ZSH7chy4C/</v>
      </c>
      <c r="M1126" s="470"/>
      <c r="N1126" s="471" t="str">
        <f>IFERROR(__xludf.DUMMYFUNCTION("""COMPUTED_VALUE"""),"https://vt.tiktok.com/ZSx35W2eM/")</f>
        <v>https://vt.tiktok.com/ZSx35W2eM/</v>
      </c>
      <c r="O1126" s="470"/>
      <c r="P1126" s="471" t="str">
        <f>IFERROR(__xludf.DUMMYFUNCTION("""COMPUTED_VALUE"""),"https://vt.tiktok.com/ZSxHytGPk/")</f>
        <v>https://vt.tiktok.com/ZSxHytGPk/</v>
      </c>
    </row>
    <row r="1127">
      <c r="A1127" s="282" t="str">
        <f>IFERROR(__xludf.DUMMYFUNCTION("""COMPUTED_VALUE"""),"MICRO")</f>
        <v>MICRO</v>
      </c>
      <c r="B1127" s="468" t="str">
        <f>IFERROR(__xludf.DUMMYFUNCTION("""COMPUTED_VALUE"""),"gledisaljerlianty ")</f>
        <v>gledisaljerlianty </v>
      </c>
      <c r="C1127" s="283" t="str">
        <f>IFERROR(__xludf.DUMMYFUNCTION("""COMPUTED_VALUE"""),"https://www.tiktok.com/@gledisaljerlianty ")</f>
        <v>https://www.tiktok.com/@gledisaljerlianty </v>
      </c>
      <c r="D1127" s="273">
        <f>IFERROR(__xludf.DUMMYFUNCTION("""COMPUTED_VALUE"""),8.1242633313E10)</f>
        <v>81242633313</v>
      </c>
      <c r="E1127" s="458">
        <f>IFERROR(__xludf.DUMMYFUNCTION("""COMPUTED_VALUE"""),0.0)</f>
        <v>0</v>
      </c>
      <c r="F1127" s="273">
        <f>IFERROR(__xludf.DUMMYFUNCTION("""COMPUTED_VALUE"""),4.0)</f>
        <v>4</v>
      </c>
      <c r="G1127" t="str">
        <f>IFERROR(__xludf.DUMMYFUNCTION("""COMPUTED_VALUE"""),"Sabun batang 1 Box ( 2 PCS )")</f>
        <v>Sabun batang 1 Box ( 2 PCS )</v>
      </c>
      <c r="H1127" s="469" t="str">
        <f>IFERROR(__xludf.DUMMYFUNCTION("""COMPUTED_VALUE"""),"Sampai")</f>
        <v>Sampai</v>
      </c>
      <c r="I1127" s="470" t="str">
        <f>IFERROR(__xludf.DUMMYFUNCTION("""COMPUTED_VALUE"""),"KIMME")</f>
        <v>KIMME</v>
      </c>
      <c r="J1127" s="471" t="str">
        <f>IFERROR(__xludf.DUMMYFUNCTION("""COMPUTED_VALUE"""),"https://vt.tiktok.com/ZSHGwJj8G/")</f>
        <v>https://vt.tiktok.com/ZSHGwJj8G/</v>
      </c>
      <c r="K1127" s="470" t="str">
        <f>IFERROR(__xludf.DUMMYFUNCTION("""COMPUTED_VALUE"""),"KIMME")</f>
        <v>KIMME</v>
      </c>
      <c r="L1127" s="471" t="str">
        <f>IFERROR(__xludf.DUMMYFUNCTION("""COMPUTED_VALUE"""),"https://vt.tiktok.com/ZSxHyUBmV/")</f>
        <v>https://vt.tiktok.com/ZSxHyUBmV/</v>
      </c>
      <c r="M1127" s="470"/>
      <c r="N1127" s="471" t="str">
        <f>IFERROR(__xludf.DUMMYFUNCTION("""COMPUTED_VALUE"""),"https://www.tiktok.com/@harumrice/video/7637475312409906452?_r=1&amp;u_code=d6j7255963058c&amp;region=&amp;mid=7609935705011178256&amp;preview_pb=0&amp;sharer_language=&amp;_d=0&amp;ec_shared_reflux_dynamic_params=%7B%22placeholder_material_id%22%3A%227637475312409906452%22%2C%22pla"&amp;"ceholder_origin_cover%22%3A%22https%253A%252F%252Fp19-common-sign.tiktokcdn.com%252Ftos-alisg-p-0037%252Fo44Av0wbAqLIc54TjncCD67p1EQLQHF9UfYffD~tplv-tiktokx-origin.jpeg%253Fdr%253D14572%2526refresh_token%253D1025d1d8%2526x-expires%253D1810717200%2526x-sig"&amp;"nature%253DcFhNmSt7ZmSsLpJuGdpL4E42cMg%25253D%2526t%253D4d5b0474%2526ps%253D13740610%2526shp%253Dd05b14bd%2526shcp%253D34ff8df6%2526idc%253Dmy3%2526s%253DTIKTOK_AFFILIATE_VIRAL_VIDEO%22%2C%22placeholder_product_id%22%3A%221729427766722726591%22%2C%22place"&amp;"holder_video_id%22%3A%227637475312409906452%22%7D&amp;ec_shared_reflux_scene=shop_tab_feed&amp;share_item_id=7637475312409906452&amp;source=h5_t")</f>
        <v>https://www.tiktok.com/@harumrice/video/7637475312409906452?_r=1&amp;u_code=d6j7255963058c&amp;region=&amp;mid=7609935705011178256&amp;preview_pb=0&amp;sharer_language=&amp;_d=0&amp;ec_shared_reflux_dynamic_params=%7B%22placeholder_material_id%22%3A%227637475312409906452%22%2C%22placeholder_origin_cover%22%3A%22https%253A%252F%252Fp19-common-sign.tiktokcdn.com%252Ftos-alisg-p-0037%252Fo44Av0wbAqLIc54TjncCD67p1EQLQHF9UfYffD~tplv-tiktokx-origin.jpeg%253Fdr%253D14572%2526refresh_token%253D1025d1d8%2526x-expires%253D1810717200%2526x-signature%253DcFhNmSt7ZmSsLpJuGdpL4E42cMg%25253D%2526t%253D4d5b0474%2526ps%253D13740610%2526shp%253Dd05b14bd%2526shcp%253D34ff8df6%2526idc%253Dmy3%2526s%253DTIKTOK_AFFILIATE_VIRAL_VIDEO%22%2C%22placeholder_product_id%22%3A%221729427766722726591%22%2C%22placeholder_video_id%22%3A%227637475312409906452%22%7D&amp;ec_shared_reflux_scene=shop_tab_feed&amp;share_item_id=7637475312409906452&amp;source=h5_t</v>
      </c>
      <c r="O1127" s="470"/>
      <c r="P1127" s="471" t="str">
        <f>IFERROR(__xludf.DUMMYFUNCTION("""COMPUTED_VALUE"""),"https://vt.tiktok.com/ZS9MTwv1J/")</f>
        <v>https://vt.tiktok.com/ZS9MTwv1J/</v>
      </c>
    </row>
    <row r="1128">
      <c r="A1128" s="282" t="str">
        <f>IFERROR(__xludf.DUMMYFUNCTION("""COMPUTED_VALUE"""),"MICRO")</f>
        <v>MICRO</v>
      </c>
      <c r="B1128" s="468" t="str">
        <f>IFERROR(__xludf.DUMMYFUNCTION("""COMPUTED_VALUE"""),"Racunskincareku1")</f>
        <v>Racunskincareku1</v>
      </c>
      <c r="C1128" s="283" t="str">
        <f>IFERROR(__xludf.DUMMYFUNCTION("""COMPUTED_VALUE"""),"https://www.tiktok.com/@Racunskincareku1")</f>
        <v>https://www.tiktok.com/@Racunskincareku1</v>
      </c>
      <c r="D1128" s="273">
        <f>IFERROR(__xludf.DUMMYFUNCTION("""COMPUTED_VALUE"""),8.5331740674E10)</f>
        <v>85331740674</v>
      </c>
      <c r="E1128" s="458">
        <f>IFERROR(__xludf.DUMMYFUNCTION("""COMPUTED_VALUE"""),0.0)</f>
        <v>0</v>
      </c>
      <c r="F1128" s="273">
        <f>IFERROR(__xludf.DUMMYFUNCTION("""COMPUTED_VALUE"""),4.0)</f>
        <v>4</v>
      </c>
      <c r="G1128" t="str">
        <f>IFERROR(__xludf.DUMMYFUNCTION("""COMPUTED_VALUE"""),"Sabun batang 1 Box ( 2 PCS )")</f>
        <v>Sabun batang 1 Box ( 2 PCS )</v>
      </c>
      <c r="H1128" s="469" t="str">
        <f>IFERROR(__xludf.DUMMYFUNCTION("""COMPUTED_VALUE"""),"Sampai")</f>
        <v>Sampai</v>
      </c>
      <c r="I1128" s="470" t="str">
        <f>IFERROR(__xludf.DUMMYFUNCTION("""COMPUTED_VALUE"""),"KIMME")</f>
        <v>KIMME</v>
      </c>
      <c r="J1128" s="471" t="str">
        <f>IFERROR(__xludf.DUMMYFUNCTION("""COMPUTED_VALUE"""),"https://vt.tiktok.com/ZS9MTf8mU/")</f>
        <v>https://vt.tiktok.com/ZS9MTf8mU/</v>
      </c>
      <c r="K1128" s="470" t="str">
        <f>IFERROR(__xludf.DUMMYFUNCTION("""COMPUTED_VALUE"""),"KIMME")</f>
        <v>KIMME</v>
      </c>
      <c r="L1128" s="471" t="str">
        <f>IFERROR(__xludf.DUMMYFUNCTION("""COMPUTED_VALUE"""),"https://www.tiktok.com/@harumrice/video/7637480202020359444?_r=1&amp;u_code=d6j7255963058c&amp;region=&amp;mid=7607064407760456464&amp;preview_pb=0&amp;sharer_language=&amp;_d=0&amp;ec_shared_reflux_dynamic_params=%7B%22placeholder_material_id%22%3A%227637480202020359444%22%2C%22pla"&amp;"ceholder_origin_cover%22%3A%22https%253A%252F%252Fp16-common-sign.tiktokcdn.com%252Ftos-alisg-p-0037%252FoAfs9P83cTBQIAE6xHBFfIjDC7tgfIj9cm4ABD~tplv-tiktokx-origin.jpeg%253Fdr%253D14572%2526refresh_token%253D07b25b60%2526x-expires%253D1810717200%2526x-sig"&amp;"nature%253DnFj8cZelZM7Tvl3nJQ0NpETUxS0%25253D%2526t%253D4d5b0474%2526ps%253D13740610%2526shp%253Dd05b14bd%2526shcp%253D34ff8df6%2526idc%253Dmy3%2526s%253DTIKTOK_AFFILIATE_VIRAL_VIDEO%22%2C%22placeholder_product_id%22%3A%221729427766722726591%22%2C%22place"&amp;"holder_video_id%22%3A%227637480202020359444%22%7D&amp;ec_shared_reflux_scene=shop_tab_feed&amp;share_item_id=7637480202020359444&amp;source=h5_t")</f>
        <v>https://www.tiktok.com/@harumrice/video/7637480202020359444?_r=1&amp;u_code=d6j7255963058c&amp;region=&amp;mid=7607064407760456464&amp;preview_pb=0&amp;sharer_language=&amp;_d=0&amp;ec_shared_reflux_dynamic_params=%7B%22placeholder_material_id%22%3A%227637480202020359444%22%2C%22placeholder_origin_cover%22%3A%22https%253A%252F%252Fp16-common-sign.tiktokcdn.com%252Ftos-alisg-p-0037%252FoAfs9P83cTBQIAE6xHBFfIjDC7tgfIj9cm4ABD~tplv-tiktokx-origin.jpeg%253Fdr%253D14572%2526refresh_token%253D07b25b60%2526x-expires%253D1810717200%2526x-signature%253DnFj8cZelZM7Tvl3nJQ0NpETUxS0%25253D%2526t%253D4d5b0474%2526ps%253D13740610%2526shp%253Dd05b14bd%2526shcp%253D34ff8df6%2526idc%253Dmy3%2526s%253DTIKTOK_AFFILIATE_VIRAL_VIDEO%22%2C%22placeholder_product_id%22%3A%221729427766722726591%22%2C%22placeholder_video_id%22%3A%227637480202020359444%22%7D&amp;ec_shared_reflux_scene=shop_tab_feed&amp;share_item_id=7637480202020359444&amp;source=h5_t</v>
      </c>
      <c r="M1128" s="470"/>
      <c r="N1128" s="471" t="str">
        <f>IFERROR(__xludf.DUMMYFUNCTION("""COMPUTED_VALUE"""),"https://www.tiktok.com/@harumrice/video/7637478775663758612?_r=1&amp;u_code=d6j7255963058c&amp;region=&amp;mid=7571090943366695687&amp;preview_pb=0&amp;sharer_language=&amp;_d=0&amp;ec_shared_reflux_dynamic_params=%7B%22placeholder_material_id%22%3A%227637478775663758612%22%2C%22pla"&amp;"ceholder_origin_cover%22%3A%22https%253A%252F%252Fp16-common-sign.tiktokcdn.com%252Ftos-alisg-p-0037%252FoQh9KywfvAIIlGLjCBI0roAWxiAuiCovl3NIXw~tplv-tiktokx-origin.jpeg%253Fdr%253D14572%2526refresh_token%253Dd656fc90%2526x-expires%253D1810717200%2526x-sig"&amp;"nature%253D2Ts4bQ2Nnict9c4Xc69IOXEIHhA%25253D%2526t%253D4d5b0474%2526ps%253D13740610%2526shp%253Dd05b14bd%2526shcp%253D34ff8df6%2526idc%253Dmy3%2526s%253DTIKTOK_AFFILIATE_VIRAL_VIDEO%22%2C%22placeholder_product_id%22%3A%221729427766722726591%22%2C%22place"&amp;"holder_video_id%22%3A%227637478775663758612%22%7D&amp;ec_shared_reflux_scene=shop_tab_feed&amp;share_item_id=7637478775663758612&amp;source=h5_t")</f>
        <v>https://www.tiktok.com/@harumrice/video/7637478775663758612?_r=1&amp;u_code=d6j7255963058c&amp;region=&amp;mid=7571090943366695687&amp;preview_pb=0&amp;sharer_language=&amp;_d=0&amp;ec_shared_reflux_dynamic_params=%7B%22placeholder_material_id%22%3A%227637478775663758612%22%2C%22placeholder_origin_cover%22%3A%22https%253A%252F%252Fp16-common-sign.tiktokcdn.com%252Ftos-alisg-p-0037%252FoQh9KywfvAIIlGLjCBI0roAWxiAuiCovl3NIXw~tplv-tiktokx-origin.jpeg%253Fdr%253D14572%2526refresh_token%253Dd656fc90%2526x-expires%253D1810717200%2526x-signature%253D2Ts4bQ2Nnict9c4Xc69IOXEIHhA%25253D%2526t%253D4d5b0474%2526ps%253D13740610%2526shp%253Dd05b14bd%2526shcp%253D34ff8df6%2526idc%253Dmy3%2526s%253DTIKTOK_AFFILIATE_VIRAL_VIDEO%22%2C%22placeholder_product_id%22%3A%221729427766722726591%22%2C%22placeholder_video_id%22%3A%227637478775663758612%22%7D&amp;ec_shared_reflux_scene=shop_tab_feed&amp;share_item_id=7637478775663758612&amp;source=h5_t</v>
      </c>
      <c r="O1128" s="470"/>
      <c r="P1128" s="471" t="str">
        <f>IFERROR(__xludf.DUMMYFUNCTION("""COMPUTED_VALUE"""),"https://www.tiktok.com/@harumrice/video/7637478313484750100?_r=1&amp;u_code=d6j7255963058c&amp;region=&amp;mid=7575746761101265682&amp;preview_pb=0&amp;sharer_language=&amp;_d=0&amp;ec_shared_reflux_dynamic_params=%7B%22placeholder_material_id%22%3A%227637478313484750100%22%2C%22pla"&amp;"ceholder_origin_cover%22%3A%22https%253A%252F%252Fp16-common-sign.tiktokcdn.com%252Ftos-alisg-p-0037%252FoI49tVFiigIYDIgIVAi0AxbBwduhUAnhP3fCtz~tplv-tiktokx-origin.jpeg%253Fdr%253D14572%2526refresh_token%253Dac7b9ccd%2526x-expires%253D1810717200%2526x-sig"&amp;"nature%253Db9wVjxDhwO5%25252BTuFHcUCczrgIbTk%25253D%2526t%253D4d5b0474%2526ps%253D13740610%2526shp%253Dd05b14bd%2526shcp%253D34ff8df6%2526idc%253Dmy3%2526s%253DTIKTOK_AFFILIATE_VIRAL_VIDEO%22%2C%22placeholder_product_id%22%3A%221729427766722726591%22%2C%2"&amp;"2placeholder_video_id%22%3A%227637478313484750100%22%7D&amp;ec_shared_reflux_scene=shop_tab_feed&amp;share_item_id=7637478313484750100&amp;source=h5_t")</f>
        <v>https://www.tiktok.com/@harumrice/video/7637478313484750100?_r=1&amp;u_code=d6j7255963058c&amp;region=&amp;mid=7575746761101265682&amp;preview_pb=0&amp;sharer_language=&amp;_d=0&amp;ec_shared_reflux_dynamic_params=%7B%22placeholder_material_id%22%3A%227637478313484750100%22%2C%22placeholder_origin_cover%22%3A%22https%253A%252F%252Fp16-common-sign.tiktokcdn.com%252Ftos-alisg-p-0037%252FoI49tVFiigIYDIgIVAi0AxbBwduhUAnhP3fCtz~tplv-tiktokx-origin.jpeg%253Fdr%253D14572%2526refresh_token%253Dac7b9ccd%2526x-expires%253D1810717200%2526x-signature%253Db9wVjxDhwO5%25252BTuFHcUCczrgIbTk%25253D%2526t%253D4d5b0474%2526ps%253D13740610%2526shp%253Dd05b14bd%2526shcp%253D34ff8df6%2526idc%253Dmy3%2526s%253DTIKTOK_AFFILIATE_VIRAL_VIDEO%22%2C%22placeholder_product_id%22%3A%221729427766722726591%22%2C%22placeholder_video_id%22%3A%227637478313484750100%22%7D&amp;ec_shared_reflux_scene=shop_tab_feed&amp;share_item_id=7637478313484750100&amp;source=h5_t</v>
      </c>
    </row>
    <row r="1129">
      <c r="A1129" s="282" t="str">
        <f>IFERROR(__xludf.DUMMYFUNCTION("""COMPUTED_VALUE"""),"MICRO")</f>
        <v>MICRO</v>
      </c>
      <c r="B1129" s="468" t="str">
        <f>IFERROR(__xludf.DUMMYFUNCTION("""COMPUTED_VALUE"""),"Mithalatif14")</f>
        <v>Mithalatif14</v>
      </c>
      <c r="C1129" s="283" t="str">
        <f>IFERROR(__xludf.DUMMYFUNCTION("""COMPUTED_VALUE"""),"https://www.tiktok.com/@Mithalatif14")</f>
        <v>https://www.tiktok.com/@Mithalatif14</v>
      </c>
      <c r="D1129" s="273">
        <f>IFERROR(__xludf.DUMMYFUNCTION("""COMPUTED_VALUE"""),8.5869724691E10)</f>
        <v>85869724691</v>
      </c>
      <c r="E1129" s="458">
        <f>IFERROR(__xludf.DUMMYFUNCTION("""COMPUTED_VALUE"""),0.0)</f>
        <v>0</v>
      </c>
      <c r="F1129" s="273">
        <f>IFERROR(__xludf.DUMMYFUNCTION("""COMPUTED_VALUE"""),4.0)</f>
        <v>4</v>
      </c>
      <c r="G1129" t="str">
        <f>IFERROR(__xludf.DUMMYFUNCTION("""COMPUTED_VALUE"""),"Sabun batang 1 Box ( 2 PCS )")</f>
        <v>Sabun batang 1 Box ( 2 PCS )</v>
      </c>
      <c r="H1129" s="469" t="str">
        <f>IFERROR(__xludf.DUMMYFUNCTION("""COMPUTED_VALUE"""),"Sampai")</f>
        <v>Sampai</v>
      </c>
      <c r="I1129" s="470" t="str">
        <f>IFERROR(__xludf.DUMMYFUNCTION("""COMPUTED_VALUE"""),"KIMME")</f>
        <v>KIMME</v>
      </c>
      <c r="J1129" s="471" t="str">
        <f>IFERROR(__xludf.DUMMYFUNCTION("""COMPUTED_VALUE"""),"https://vt.tiktok.com/ZSxeHNGw9/")</f>
        <v>https://vt.tiktok.com/ZSxeHNGw9/</v>
      </c>
      <c r="K1129" s="470" t="str">
        <f>IFERROR(__xludf.DUMMYFUNCTION("""COMPUTED_VALUE"""),"KIMME")</f>
        <v>KIMME</v>
      </c>
      <c r="L1129" s="471" t="str">
        <f>IFERROR(__xludf.DUMMYFUNCTION("""COMPUTED_VALUE"""),"https://vt.tiktok.com/ZSxR7tCyJ/")</f>
        <v>https://vt.tiktok.com/ZSxR7tCyJ/</v>
      </c>
      <c r="M1129" s="470"/>
      <c r="N1129" s="471" t="str">
        <f>IFERROR(__xludf.DUMMYFUNCTION("""COMPUTED_VALUE"""),"https://vt.tiktok.com/ZSxyAr3NU/")</f>
        <v>https://vt.tiktok.com/ZSxyAr3NU/</v>
      </c>
      <c r="O1129" s="470"/>
      <c r="P1129" s="471" t="str">
        <f>IFERROR(__xludf.DUMMYFUNCTION("""COMPUTED_VALUE"""),"https://vt.tiktok.com/ZSxyASNre/")</f>
        <v>https://vt.tiktok.com/ZSxyASNre/</v>
      </c>
    </row>
    <row r="1130">
      <c r="A1130" s="282" t="str">
        <f>IFERROR(__xludf.DUMMYFUNCTION("""COMPUTED_VALUE"""),"MICRO")</f>
        <v>MICRO</v>
      </c>
      <c r="B1130" s="468" t="str">
        <f>IFERROR(__xludf.DUMMYFUNCTION("""COMPUTED_VALUE"""),"Itsyournaa_a")</f>
        <v>Itsyournaa_a</v>
      </c>
      <c r="C1130" s="283" t="str">
        <f>IFERROR(__xludf.DUMMYFUNCTION("""COMPUTED_VALUE"""),"https://www.tiktok.com/@Itsyournaa_a")</f>
        <v>https://www.tiktok.com/@Itsyournaa_a</v>
      </c>
      <c r="D1130" s="273">
        <f>IFERROR(__xludf.DUMMYFUNCTION("""COMPUTED_VALUE"""),8.9507912153E10)</f>
        <v>89507912153</v>
      </c>
      <c r="E1130" s="458">
        <f>IFERROR(__xludf.DUMMYFUNCTION("""COMPUTED_VALUE"""),0.0)</f>
        <v>0</v>
      </c>
      <c r="F1130" s="273">
        <f>IFERROR(__xludf.DUMMYFUNCTION("""COMPUTED_VALUE"""),4.0)</f>
        <v>4</v>
      </c>
      <c r="G1130" t="str">
        <f>IFERROR(__xludf.DUMMYFUNCTION("""COMPUTED_VALUE"""),"Sabun batang 1 Box ( 2 PCS )")</f>
        <v>Sabun batang 1 Box ( 2 PCS )</v>
      </c>
      <c r="H1130" s="469" t="str">
        <f>IFERROR(__xludf.DUMMYFUNCTION("""COMPUTED_VALUE"""),"Sampai")</f>
        <v>Sampai</v>
      </c>
      <c r="I1130" s="470" t="str">
        <f>IFERROR(__xludf.DUMMYFUNCTION("""COMPUTED_VALUE"""),"KIMME")</f>
        <v>KIMME</v>
      </c>
      <c r="J1130" s="471" t="str">
        <f>IFERROR(__xludf.DUMMYFUNCTION("""COMPUTED_VALUE"""),"https://www.tiktok.com/@belanja_hemat.shop/video/7630598491827391752?_r=1&amp;u_code=ek6h2252jijmih&amp;region=&amp;mid=7381176581904878342&amp;preview_pb=0&amp;sharer_language=&amp;_d=0&amp;ec_shared_reflux_dynamic_params=%7B%22placeholder_material_id%22%3A%227630598491827391752%22"&amp;"%2C%22placeholder_origin_cover%22%3A%22https%253A%252F%252Fp16-common-sign.tiktokcdn.com%252Ftos-alisg-p-0037%252FoACPlAYVqqCFSiI0n8ifAAwRZV3BpdI4I7B0Ci~tplv-tiktokx-origin.jpeg%253Fdr%253D14572%2526refresh_token%253D37fab94f%2526x-expires%253D1808992800%"&amp;"2526x-signature%253DxhSmbzhKT%25252Fm0k9lOnJssKbrnlRE%25253D%2526t%253D4d5b0474%2526ps%253D13740610%2526shp%253Dd05b14bd%2526shcp%253D34ff8df6%2526idc%253Dmy2%2526s%253DTIKTOK_AFFILIATE_VIRAL_VIDEO%22%2C%22placeholder_product_id%22%3A%22172942776672272659"&amp;"1%22%2C%22placeholder_video_id%22%3A%227630598491827391752%22%7D&amp;ec_shared_reflux_scene=shop_tab_feed&amp;share_item_id=7630598491827391752&amp;source=h5_t")</f>
        <v>https://www.tiktok.com/@belanja_hemat.shop/video/7630598491827391752?_r=1&amp;u_code=ek6h2252jijmih&amp;region=&amp;mid=7381176581904878342&amp;preview_pb=0&amp;sharer_language=&amp;_d=0&amp;ec_shared_reflux_dynamic_params=%7B%22placeholder_material_id%22%3A%227630598491827391752%22%2C%22placeholder_origin_cover%22%3A%22https%253A%252F%252Fp16-common-sign.tiktokcdn.com%252Ftos-alisg-p-0037%252FoACPlAYVqqCFSiI0n8ifAAwRZV3BpdI4I7B0Ci~tplv-tiktokx-origin.jpeg%253Fdr%253D14572%2526refresh_token%253D37fab94f%2526x-expires%253D1808992800%2526x-signature%253DxhSmbzhKT%25252Fm0k9lOnJssKbrnlRE%25253D%2526t%253D4d5b0474%2526ps%253D13740610%2526shp%253Dd05b14bd%2526shcp%253D34ff8df6%2526idc%253Dmy2%2526s%253DTIKTOK_AFFILIATE_VIRAL_VIDEO%22%2C%22placeholder_product_id%22%3A%221729427766722726591%22%2C%22placeholder_video_id%22%3A%227630598491827391752%22%7D&amp;ec_shared_reflux_scene=shop_tab_feed&amp;share_item_id=7630598491827391752&amp;source=h5_t</v>
      </c>
      <c r="K1130" s="470" t="str">
        <f>IFERROR(__xludf.DUMMYFUNCTION("""COMPUTED_VALUE"""),"KIMME")</f>
        <v>KIMME</v>
      </c>
      <c r="L1130" s="471" t="str">
        <f>IFERROR(__xludf.DUMMYFUNCTION("""COMPUTED_VALUE"""),"https://www.tiktok.com/@belanja_hemat.shop/video/7630475688943897874?_r=1&amp;u_code=ek6h2252jijmih&amp;region=&amp;mid=7607444503808527121&amp;preview_pb=0&amp;sharer_language=&amp;_d=0&amp;ec_shared_reflux_dynamic_params=%7B%22placeholder_material_id%22%3A%227630475688943897874%22"&amp;"%2C%22placeholder_origin_cover%22%3A%22https%253A%252F%252Fp16-common-sign.tiktokcdn.com%252Ftos-alisg-p-0037%252FooTSo4TGxCrBcAXj7DmAGPeS8yI5Ae8eTolMQ5~tplv-tiktokx-origin.jpeg%253Fdr%253D14572%2526refresh_token%253Df667667c%2526x-expires%253D1808992800%"&amp;"2526x-signature%253DLPxUVcjF62CctMUjnnT82J9gU%25252Fk%25253D%2526t%253D4d5b0474%2526ps%253D13740610%2526shp%253Dd05b14bd%2526shcp%253D34ff8df6%2526idc%253Dmy2%2526s%253DTIKTOK_AFFILIATE_VIRAL_VIDEO%22%2C%22placeholder_product_id%22%3A%22172942776672272659"&amp;"1%22%2C%22placeholder_video_id%22%3A%227630475688943897874%22%7D&amp;ec_shared_reflux_scene=shop_tab_feed&amp;share_item_id=7630475688943897874&amp;source=h5_t")</f>
        <v>https://www.tiktok.com/@belanja_hemat.shop/video/7630475688943897874?_r=1&amp;u_code=ek6h2252jijmih&amp;region=&amp;mid=7607444503808527121&amp;preview_pb=0&amp;sharer_language=&amp;_d=0&amp;ec_shared_reflux_dynamic_params=%7B%22placeholder_material_id%22%3A%227630475688943897874%22%2C%22placeholder_origin_cover%22%3A%22https%253A%252F%252Fp16-common-sign.tiktokcdn.com%252Ftos-alisg-p-0037%252FooTSo4TGxCrBcAXj7DmAGPeS8yI5Ae8eTolMQ5~tplv-tiktokx-origin.jpeg%253Fdr%253D14572%2526refresh_token%253Df667667c%2526x-expires%253D1808992800%2526x-signature%253DLPxUVcjF62CctMUjnnT82J9gU%25252Fk%25253D%2526t%253D4d5b0474%2526ps%253D13740610%2526shp%253Dd05b14bd%2526shcp%253D34ff8df6%2526idc%253Dmy2%2526s%253DTIKTOK_AFFILIATE_VIRAL_VIDEO%22%2C%22placeholder_product_id%22%3A%221729427766722726591%22%2C%22placeholder_video_id%22%3A%227630475688943897874%22%7D&amp;ec_shared_reflux_scene=shop_tab_feed&amp;share_item_id=7630475688943897874&amp;source=h5_t</v>
      </c>
      <c r="M1130" s="470"/>
      <c r="N1130" s="471" t="str">
        <f>IFERROR(__xludf.DUMMYFUNCTION("""COMPUTED_VALUE"""),"https://www.tiktok.com/@belanja_hemat.shop/video/7630318868501728530?_r=1&amp;u_code=ek6h2252jijmih&amp;region=&amp;mid=7624626297780652808&amp;preview_pb=0&amp;sharer_language=&amp;_d=0&amp;ec_shared_reflux_dynamic_params=%7B%22placeholder_material_id%22%3A%227630318868501728530%22"&amp;"%2C%22placeholder_origin_cover%22%3A%22https%253A%252F%252Fp16-common-sign.tiktokcdn.com%252Ftos-alisg-p-0037%252FokeOVVfQkFGLQs0gKgceaWA4zEnApnO1GRGkIf~tplv-tiktokx-origin.jpeg%253Fdr%253D14572%2526refresh_token%253D1c2a1f8c%2526x-expires%253D1808992800%"&amp;"2526x-signature%253Df6KbnHeOt4Ficr%25252BDHFCFYgU8wEc%25253D%2526t%253D4d5b0474%2526ps%253D13740610%2526shp%253Dd05b14bd%2526shcp%253D34ff8df6%2526idc%253Dmy2%2526s%253DTIKTOK_AFFILIATE_VIRAL_VIDEO%22%2C%22placeholder_product_id%22%3A%22172942776672272659"&amp;"1%22%2C%22placeholder_video_id%22%3A%227630318868501728530%22%7D&amp;ec_shared_reflux_scene=shop_tab_feed&amp;share_item_id=7630318868501728530&amp;source=h5_t")</f>
        <v>https://www.tiktok.com/@belanja_hemat.shop/video/7630318868501728530?_r=1&amp;u_code=ek6h2252jijmih&amp;region=&amp;mid=7624626297780652808&amp;preview_pb=0&amp;sharer_language=&amp;_d=0&amp;ec_shared_reflux_dynamic_params=%7B%22placeholder_material_id%22%3A%227630318868501728530%22%2C%22placeholder_origin_cover%22%3A%22https%253A%252F%252Fp16-common-sign.tiktokcdn.com%252Ftos-alisg-p-0037%252FokeOVVfQkFGLQs0gKgceaWA4zEnApnO1GRGkIf~tplv-tiktokx-origin.jpeg%253Fdr%253D14572%2526refresh_token%253D1c2a1f8c%2526x-expires%253D1808992800%2526x-signature%253Df6KbnHeOt4Ficr%25252BDHFCFYgU8wEc%25253D%2526t%253D4d5b0474%2526ps%253D13740610%2526shp%253Dd05b14bd%2526shcp%253D34ff8df6%2526idc%253Dmy2%2526s%253DTIKTOK_AFFILIATE_VIRAL_VIDEO%22%2C%22placeholder_product_id%22%3A%221729427766722726591%22%2C%22placeholder_video_id%22%3A%227630318868501728530%22%7D&amp;ec_shared_reflux_scene=shop_tab_feed&amp;share_item_id=7630318868501728530&amp;source=h5_t</v>
      </c>
      <c r="O1130" s="470"/>
      <c r="P1130" s="471" t="str">
        <f>IFERROR(__xludf.DUMMYFUNCTION("""COMPUTED_VALUE"""),"https://vt.tiktok.com/ZS9hqcAxh/")</f>
        <v>https://vt.tiktok.com/ZS9hqcAxh/</v>
      </c>
    </row>
    <row r="1131">
      <c r="A1131" s="282" t="str">
        <f>IFERROR(__xludf.DUMMYFUNCTION("""COMPUTED_VALUE"""),"MACRO")</f>
        <v>MACRO</v>
      </c>
      <c r="B1131" s="468" t="str">
        <f>IFERROR(__xludf.DUMMYFUNCTION("""COMPUTED_VALUE"""),"atikwindharti")</f>
        <v>atikwindharti</v>
      </c>
      <c r="C1131" s="283" t="str">
        <f>IFERROR(__xludf.DUMMYFUNCTION("""COMPUTED_VALUE"""),"https://www.tiktok.com/@atikwindharti")</f>
        <v>https://www.tiktok.com/@atikwindharti</v>
      </c>
      <c r="D1131" s="273">
        <f>IFERROR(__xludf.DUMMYFUNCTION("""COMPUTED_VALUE"""),8.5853794022E10)</f>
        <v>85853794022</v>
      </c>
      <c r="E1131" s="458">
        <f>IFERROR(__xludf.DUMMYFUNCTION("""COMPUTED_VALUE"""),0.0)</f>
        <v>0</v>
      </c>
      <c r="F1131" s="273">
        <f>IFERROR(__xludf.DUMMYFUNCTION("""COMPUTED_VALUE"""),4.0)</f>
        <v>4</v>
      </c>
      <c r="G1131" t="str">
        <f>IFERROR(__xludf.DUMMYFUNCTION("""COMPUTED_VALUE"""),"Sabun batang 1 Box ( 2 PCS )")</f>
        <v>Sabun batang 1 Box ( 2 PCS )</v>
      </c>
      <c r="H1131" s="469" t="str">
        <f>IFERROR(__xludf.DUMMYFUNCTION("""COMPUTED_VALUE"""),"Sampai")</f>
        <v>Sampai</v>
      </c>
      <c r="I1131" s="470" t="str">
        <f>IFERROR(__xludf.DUMMYFUNCTION("""COMPUTED_VALUE"""),"KIMME")</f>
        <v>KIMME</v>
      </c>
      <c r="J1131" s="471" t="str">
        <f>IFERROR(__xludf.DUMMYFUNCTION("""COMPUTED_VALUE"""),"https://www.tiktok.com/@belanja_hemat.shop/video/7630598491827391752?_r=1&amp;u_code=ek6h2252jijmih&amp;region=&amp;mid=7381176581904878342&amp;preview_pb=0&amp;sharer_language=&amp;_d=0&amp;ec_shared_reflux_dynamic_params=%7B%22placeholder_material_id%22%3A%227630598491827391752%22"&amp;"%2C%22placeholder_origin_cover%22%3A%22https%253A%252F%252Fp16-common-sign.tiktokcdn.com%252Ftos-alisg-p-0037%252FoACPlAYVqqCFSiI0n8ifAAwRZV3BpdI4I7B0Ci~tplv-tiktokx-origin.jpeg%253Fdr%253D14572%2526refresh_token%253D37fab94f%2526x-expires%253D1808992800%"&amp;"2526x-signature%253DxhSmbzhKT%25252Fm0k9lOnJssKbrnlRE%25253D%2526t%253D4d5b0474%2526ps%253D13740610%2526shp%253Dd05b14bd%2526shcp%253D34ff8df6%2526idc%253Dmy2%2526s%253DTIKTOK_AFFILIATE_VIRAL_VIDEO%22%2C%22placeholder_product_id%22%3A%22172942776672272659"&amp;"1%22%2C%22placeholder_video_id%22%3A%227630598491827391752%22%7D&amp;ec_shared_reflux_scene=shop_tab_feed&amp;share_item_id=7630598491827391752&amp;source=h5_t")</f>
        <v>https://www.tiktok.com/@belanja_hemat.shop/video/7630598491827391752?_r=1&amp;u_code=ek6h2252jijmih&amp;region=&amp;mid=7381176581904878342&amp;preview_pb=0&amp;sharer_language=&amp;_d=0&amp;ec_shared_reflux_dynamic_params=%7B%22placeholder_material_id%22%3A%227630598491827391752%22%2C%22placeholder_origin_cover%22%3A%22https%253A%252F%252Fp16-common-sign.tiktokcdn.com%252Ftos-alisg-p-0037%252FoACPlAYVqqCFSiI0n8ifAAwRZV3BpdI4I7B0Ci~tplv-tiktokx-origin.jpeg%253Fdr%253D14572%2526refresh_token%253D37fab94f%2526x-expires%253D1808992800%2526x-signature%253DxhSmbzhKT%25252Fm0k9lOnJssKbrnlRE%25253D%2526t%253D4d5b0474%2526ps%253D13740610%2526shp%253Dd05b14bd%2526shcp%253D34ff8df6%2526idc%253Dmy2%2526s%253DTIKTOK_AFFILIATE_VIRAL_VIDEO%22%2C%22placeholder_product_id%22%3A%221729427766722726591%22%2C%22placeholder_video_id%22%3A%227630598491827391752%22%7D&amp;ec_shared_reflux_scene=shop_tab_feed&amp;share_item_id=7630598491827391752&amp;source=h5_t</v>
      </c>
      <c r="K1131" s="470" t="str">
        <f>IFERROR(__xludf.DUMMYFUNCTION("""COMPUTED_VALUE"""),"KIMME")</f>
        <v>KIMME</v>
      </c>
      <c r="L1131" s="471" t="str">
        <f>IFERROR(__xludf.DUMMYFUNCTION("""COMPUTED_VALUE"""),"https://www.tiktok.com/@belanja_hemat.shop/video/7630475688943897874?_r=1&amp;u_code=ek6h2252jijmih&amp;region=&amp;mid=7607444503808527121&amp;preview_pb=0&amp;sharer_language=&amp;_d=0&amp;ec_shared_reflux_dynamic_params=%7B%22placeholder_material_id%22%3A%227630475688943897874%22"&amp;"%2C%22placeholder_origin_cover%22%3A%22https%253A%252F%252Fp16-common-sign.tiktokcdn.com%252Ftos-alisg-p-0037%252FooTSo4TGxCrBcAXj7DmAGPeS8yI5Ae8eTolMQ5~tplv-tiktokx-origin.jpeg%253Fdr%253D14572%2526refresh_token%253Df667667c%2526x-expires%253D1808992800%"&amp;"2526x-signature%253DLPxUVcjF62CctMUjnnT82J9gU%25252Fk%25253D%2526t%253D4d5b0474%2526ps%253D13740610%2526shp%253Dd05b14bd%2526shcp%253D34ff8df6%2526idc%253Dmy2%2526s%253DTIKTOK_AFFILIATE_VIRAL_VIDEO%22%2C%22placeholder_product_id%22%3A%22172942776672272659"&amp;"1%22%2C%22placeholder_video_id%22%3A%227630475688943897874%22%7D&amp;ec_shared_reflux_scene=shop_tab_feed&amp;share_item_id=7630475688943897874&amp;source=h5_t")</f>
        <v>https://www.tiktok.com/@belanja_hemat.shop/video/7630475688943897874?_r=1&amp;u_code=ek6h2252jijmih&amp;region=&amp;mid=7607444503808527121&amp;preview_pb=0&amp;sharer_language=&amp;_d=0&amp;ec_shared_reflux_dynamic_params=%7B%22placeholder_material_id%22%3A%227630475688943897874%22%2C%22placeholder_origin_cover%22%3A%22https%253A%252F%252Fp16-common-sign.tiktokcdn.com%252Ftos-alisg-p-0037%252FooTSo4TGxCrBcAXj7DmAGPeS8yI5Ae8eTolMQ5~tplv-tiktokx-origin.jpeg%253Fdr%253D14572%2526refresh_token%253Df667667c%2526x-expires%253D1808992800%2526x-signature%253DLPxUVcjF62CctMUjnnT82J9gU%25252Fk%25253D%2526t%253D4d5b0474%2526ps%253D13740610%2526shp%253Dd05b14bd%2526shcp%253D34ff8df6%2526idc%253Dmy2%2526s%253DTIKTOK_AFFILIATE_VIRAL_VIDEO%22%2C%22placeholder_product_id%22%3A%221729427766722726591%22%2C%22placeholder_video_id%22%3A%227630475688943897874%22%7D&amp;ec_shared_reflux_scene=shop_tab_feed&amp;share_item_id=7630475688943897874&amp;source=h5_t</v>
      </c>
      <c r="M1131" s="470"/>
      <c r="N1131" s="471" t="str">
        <f>IFERROR(__xludf.DUMMYFUNCTION("""COMPUTED_VALUE"""),"https://www.tiktok.com/@belanja_hemat.shop/video/7630318868501728530?_r=1&amp;u_code=ek6h2252jijmih&amp;region=&amp;mid=7624626297780652808&amp;preview_pb=0&amp;sharer_language=&amp;_d=0&amp;ec_shared_reflux_dynamic_params=%7B%22placeholder_material_id%22%3A%227630318868501728530%22"&amp;"%2C%22placeholder_origin_cover%22%3A%22https%253A%252F%252Fp16-common-sign.tiktokcdn.com%252Ftos-alisg-p-0037%252FokeOVVfQkFGLQs0gKgceaWA4zEnApnO1GRGkIf~tplv-tiktokx-origin.jpeg%253Fdr%253D14572%2526refresh_token%253D1c2a1f8c%2526x-expires%253D1808992800%"&amp;"2526x-signature%253Df6KbnHeOt4Ficr%25252BDHFCFYgU8wEc%25253D%2526t%253D4d5b0474%2526ps%253D13740610%2526shp%253Dd05b14bd%2526shcp%253D34ff8df6%2526idc%253Dmy2%2526s%253DTIKTOK_AFFILIATE_VIRAL_VIDEO%22%2C%22placeholder_product_id%22%3A%22172942776672272659"&amp;"1%22%2C%22placeholder_video_id%22%3A%227630318868501728530%22%7D&amp;ec_shared_reflux_scene=shop_tab_feed&amp;share_item_id=7630318868501728530&amp;source=h5_t")</f>
        <v>https://www.tiktok.com/@belanja_hemat.shop/video/7630318868501728530?_r=1&amp;u_code=ek6h2252jijmih&amp;region=&amp;mid=7624626297780652808&amp;preview_pb=0&amp;sharer_language=&amp;_d=0&amp;ec_shared_reflux_dynamic_params=%7B%22placeholder_material_id%22%3A%227630318868501728530%22%2C%22placeholder_origin_cover%22%3A%22https%253A%252F%252Fp16-common-sign.tiktokcdn.com%252Ftos-alisg-p-0037%252FokeOVVfQkFGLQs0gKgceaWA4zEnApnO1GRGkIf~tplv-tiktokx-origin.jpeg%253Fdr%253D14572%2526refresh_token%253D1c2a1f8c%2526x-expires%253D1808992800%2526x-signature%253Df6KbnHeOt4Ficr%25252BDHFCFYgU8wEc%25253D%2526t%253D4d5b0474%2526ps%253D13740610%2526shp%253Dd05b14bd%2526shcp%253D34ff8df6%2526idc%253Dmy2%2526s%253DTIKTOK_AFFILIATE_VIRAL_VIDEO%22%2C%22placeholder_product_id%22%3A%221729427766722726591%22%2C%22placeholder_video_id%22%3A%227630318868501728530%22%7D&amp;ec_shared_reflux_scene=shop_tab_feed&amp;share_item_id=7630318868501728530&amp;source=h5_t</v>
      </c>
      <c r="O1131" s="470"/>
      <c r="P1131" s="471" t="str">
        <f>IFERROR(__xludf.DUMMYFUNCTION("""COMPUTED_VALUE"""),"https://vt.tiktok.com/ZS9hqcAxh/")</f>
        <v>https://vt.tiktok.com/ZS9hqcAxh/</v>
      </c>
    </row>
    <row r="1132">
      <c r="A1132" s="282" t="str">
        <f>IFERROR(__xludf.DUMMYFUNCTION("""COMPUTED_VALUE"""),"MICRO")</f>
        <v>MICRO</v>
      </c>
      <c r="B1132" s="468" t="str">
        <f>IFERROR(__xludf.DUMMYFUNCTION("""COMPUTED_VALUE"""),"Linaa2705 ")</f>
        <v>Linaa2705 </v>
      </c>
      <c r="C1132" s="283" t="str">
        <f>IFERROR(__xludf.DUMMYFUNCTION("""COMPUTED_VALUE"""),"https://www.tiktok.com/@Linaa2705 ")</f>
        <v>https://www.tiktok.com/@Linaa2705 </v>
      </c>
      <c r="D1132" s="273">
        <f>IFERROR(__xludf.DUMMYFUNCTION("""COMPUTED_VALUE"""),8.1311960763E10)</f>
        <v>81311960763</v>
      </c>
      <c r="E1132" s="458">
        <f>IFERROR(__xludf.DUMMYFUNCTION("""COMPUTED_VALUE"""),0.0)</f>
        <v>0</v>
      </c>
      <c r="F1132" s="273">
        <f>IFERROR(__xludf.DUMMYFUNCTION("""COMPUTED_VALUE"""),4.0)</f>
        <v>4</v>
      </c>
      <c r="G1132" t="str">
        <f>IFERROR(__xludf.DUMMYFUNCTION("""COMPUTED_VALUE"""),"Sabun batang 1 Box ( 2 PCS )")</f>
        <v>Sabun batang 1 Box ( 2 PCS )</v>
      </c>
      <c r="H1132" s="469" t="str">
        <f>IFERROR(__xludf.DUMMYFUNCTION("""COMPUTED_VALUE"""),"Sampai")</f>
        <v>Sampai</v>
      </c>
      <c r="I1132" s="470" t="str">
        <f>IFERROR(__xludf.DUMMYFUNCTION("""COMPUTED_VALUE"""),"KIMME")</f>
        <v>KIMME</v>
      </c>
      <c r="J1132" s="471" t="str">
        <f>IFERROR(__xludf.DUMMYFUNCTION("""COMPUTED_VALUE"""),"https://www.tiktok.com/@belanja_hemat.shop/video/7630598491827391752?_r=1&amp;u_code=ek6h2252jijmih&amp;region=&amp;mid=7381176581904878342&amp;preview_pb=0&amp;sharer_language=&amp;_d=0&amp;ec_shared_reflux_dynamic_params=%7B%22placeholder_material_id%22%3A%227630598491827391752%22"&amp;"%2C%22placeholder_origin_cover%22%3A%22https%253A%252F%252Fp16-common-sign.tiktokcdn.com%252Ftos-alisg-p-0037%252FoACPlAYVqqCFSiI0n8ifAAwRZV3BpdI4I7B0Ci~tplv-tiktokx-origin.jpeg%253Fdr%253D14572%2526refresh_token%253D37fab94f%2526x-expires%253D1808992800%"&amp;"2526x-signature%253DxhSmbzhKT%25252Fm0k9lOnJssKbrnlRE%25253D%2526t%253D4d5b0474%2526ps%253D13740610%2526shp%253Dd05b14bd%2526shcp%253D34ff8df6%2526idc%253Dmy2%2526s%253DTIKTOK_AFFILIATE_VIRAL_VIDEO%22%2C%22placeholder_product_id%22%3A%22172942776672272659"&amp;"1%22%2C%22placeholder_video_id%22%3A%227630598491827391752%22%7D&amp;ec_shared_reflux_scene=shop_tab_feed&amp;share_item_id=7630598491827391752&amp;source=h5_t")</f>
        <v>https://www.tiktok.com/@belanja_hemat.shop/video/7630598491827391752?_r=1&amp;u_code=ek6h2252jijmih&amp;region=&amp;mid=7381176581904878342&amp;preview_pb=0&amp;sharer_language=&amp;_d=0&amp;ec_shared_reflux_dynamic_params=%7B%22placeholder_material_id%22%3A%227630598491827391752%22%2C%22placeholder_origin_cover%22%3A%22https%253A%252F%252Fp16-common-sign.tiktokcdn.com%252Ftos-alisg-p-0037%252FoACPlAYVqqCFSiI0n8ifAAwRZV3BpdI4I7B0Ci~tplv-tiktokx-origin.jpeg%253Fdr%253D14572%2526refresh_token%253D37fab94f%2526x-expires%253D1808992800%2526x-signature%253DxhSmbzhKT%25252Fm0k9lOnJssKbrnlRE%25253D%2526t%253D4d5b0474%2526ps%253D13740610%2526shp%253Dd05b14bd%2526shcp%253D34ff8df6%2526idc%253Dmy2%2526s%253DTIKTOK_AFFILIATE_VIRAL_VIDEO%22%2C%22placeholder_product_id%22%3A%221729427766722726591%22%2C%22placeholder_video_id%22%3A%227630598491827391752%22%7D&amp;ec_shared_reflux_scene=shop_tab_feed&amp;share_item_id=7630598491827391752&amp;source=h5_t</v>
      </c>
      <c r="K1132" s="470" t="str">
        <f>IFERROR(__xludf.DUMMYFUNCTION("""COMPUTED_VALUE"""),"KIMME")</f>
        <v>KIMME</v>
      </c>
      <c r="L1132" s="471" t="str">
        <f>IFERROR(__xludf.DUMMYFUNCTION("""COMPUTED_VALUE"""),"https://www.tiktok.com/@belanja_hemat.shop/video/7630475688943897874?_r=1&amp;u_code=ek6h2252jijmih&amp;region=&amp;mid=7607444503808527121&amp;preview_pb=0&amp;sharer_language=&amp;_d=0&amp;ec_shared_reflux_dynamic_params=%7B%22placeholder_material_id%22%3A%227630475688943897874%22"&amp;"%2C%22placeholder_origin_cover%22%3A%22https%253A%252F%252Fp16-common-sign.tiktokcdn.com%252Ftos-alisg-p-0037%252FooTSo4TGxCrBcAXj7DmAGPeS8yI5Ae8eTolMQ5~tplv-tiktokx-origin.jpeg%253Fdr%253D14572%2526refresh_token%253Df667667c%2526x-expires%253D1808992800%"&amp;"2526x-signature%253DLPxUVcjF62CctMUjnnT82J9gU%25252Fk%25253D%2526t%253D4d5b0474%2526ps%253D13740610%2526shp%253Dd05b14bd%2526shcp%253D34ff8df6%2526idc%253Dmy2%2526s%253DTIKTOK_AFFILIATE_VIRAL_VIDEO%22%2C%22placeholder_product_id%22%3A%22172942776672272659"&amp;"1%22%2C%22placeholder_video_id%22%3A%227630475688943897874%22%7D&amp;ec_shared_reflux_scene=shop_tab_feed&amp;share_item_id=7630475688943897874&amp;source=h5_t")</f>
        <v>https://www.tiktok.com/@belanja_hemat.shop/video/7630475688943897874?_r=1&amp;u_code=ek6h2252jijmih&amp;region=&amp;mid=7607444503808527121&amp;preview_pb=0&amp;sharer_language=&amp;_d=0&amp;ec_shared_reflux_dynamic_params=%7B%22placeholder_material_id%22%3A%227630475688943897874%22%2C%22placeholder_origin_cover%22%3A%22https%253A%252F%252Fp16-common-sign.tiktokcdn.com%252Ftos-alisg-p-0037%252FooTSo4TGxCrBcAXj7DmAGPeS8yI5Ae8eTolMQ5~tplv-tiktokx-origin.jpeg%253Fdr%253D14572%2526refresh_token%253Df667667c%2526x-expires%253D1808992800%2526x-signature%253DLPxUVcjF62CctMUjnnT82J9gU%25252Fk%25253D%2526t%253D4d5b0474%2526ps%253D13740610%2526shp%253Dd05b14bd%2526shcp%253D34ff8df6%2526idc%253Dmy2%2526s%253DTIKTOK_AFFILIATE_VIRAL_VIDEO%22%2C%22placeholder_product_id%22%3A%221729427766722726591%22%2C%22placeholder_video_id%22%3A%227630475688943897874%22%7D&amp;ec_shared_reflux_scene=shop_tab_feed&amp;share_item_id=7630475688943897874&amp;source=h5_t</v>
      </c>
      <c r="M1132" s="470"/>
      <c r="N1132" s="471" t="str">
        <f>IFERROR(__xludf.DUMMYFUNCTION("""COMPUTED_VALUE"""),"https://www.tiktok.com/@belanja_hemat.shop/video/7630318868501728530?_r=1&amp;u_code=ek6h2252jijmih&amp;region=&amp;mid=7624626297780652808&amp;preview_pb=0&amp;sharer_language=&amp;_d=0&amp;ec_shared_reflux_dynamic_params=%7B%22placeholder_material_id%22%3A%227630318868501728530%22"&amp;"%2C%22placeholder_origin_cover%22%3A%22https%253A%252F%252Fp16-common-sign.tiktokcdn.com%252Ftos-alisg-p-0037%252FokeOVVfQkFGLQs0gKgceaWA4zEnApnO1GRGkIf~tplv-tiktokx-origin.jpeg%253Fdr%253D14572%2526refresh_token%253D1c2a1f8c%2526x-expires%253D1808992800%"&amp;"2526x-signature%253Df6KbnHeOt4Ficr%25252BDHFCFYgU8wEc%25253D%2526t%253D4d5b0474%2526ps%253D13740610%2526shp%253Dd05b14bd%2526shcp%253D34ff8df6%2526idc%253Dmy2%2526s%253DTIKTOK_AFFILIATE_VIRAL_VIDEO%22%2C%22placeholder_product_id%22%3A%22172942776672272659"&amp;"1%22%2C%22placeholder_video_id%22%3A%227630318868501728530%22%7D&amp;ec_shared_reflux_scene=shop_tab_feed&amp;share_item_id=7630318868501728530&amp;source=h5_t")</f>
        <v>https://www.tiktok.com/@belanja_hemat.shop/video/7630318868501728530?_r=1&amp;u_code=ek6h2252jijmih&amp;region=&amp;mid=7624626297780652808&amp;preview_pb=0&amp;sharer_language=&amp;_d=0&amp;ec_shared_reflux_dynamic_params=%7B%22placeholder_material_id%22%3A%227630318868501728530%22%2C%22placeholder_origin_cover%22%3A%22https%253A%252F%252Fp16-common-sign.tiktokcdn.com%252Ftos-alisg-p-0037%252FokeOVVfQkFGLQs0gKgceaWA4zEnApnO1GRGkIf~tplv-tiktokx-origin.jpeg%253Fdr%253D14572%2526refresh_token%253D1c2a1f8c%2526x-expires%253D1808992800%2526x-signature%253Df6KbnHeOt4Ficr%25252BDHFCFYgU8wEc%25253D%2526t%253D4d5b0474%2526ps%253D13740610%2526shp%253Dd05b14bd%2526shcp%253D34ff8df6%2526idc%253Dmy2%2526s%253DTIKTOK_AFFILIATE_VIRAL_VIDEO%22%2C%22placeholder_product_id%22%3A%221729427766722726591%22%2C%22placeholder_video_id%22%3A%227630318868501728530%22%7D&amp;ec_shared_reflux_scene=shop_tab_feed&amp;share_item_id=7630318868501728530&amp;source=h5_t</v>
      </c>
      <c r="O1132" s="470"/>
      <c r="P1132" s="471" t="str">
        <f>IFERROR(__xludf.DUMMYFUNCTION("""COMPUTED_VALUE"""),"https://vt.tiktok.com/ZS9hqcAxh/")</f>
        <v>https://vt.tiktok.com/ZS9hqcAxh/</v>
      </c>
    </row>
    <row r="1133">
      <c r="A1133" s="282" t="str">
        <f>IFERROR(__xludf.DUMMYFUNCTION("""COMPUTED_VALUE"""),"MICRO")</f>
        <v>MICRO</v>
      </c>
      <c r="B1133" s="468" t="str">
        <f>IFERROR(__xludf.DUMMYFUNCTION("""COMPUTED_VALUE"""),"dyanamaliah ")</f>
        <v>dyanamaliah </v>
      </c>
      <c r="C1133" s="283" t="str">
        <f>IFERROR(__xludf.DUMMYFUNCTION("""COMPUTED_VALUE"""),"https://www.tiktok.com/@dyanamaliah ")</f>
        <v>https://www.tiktok.com/@dyanamaliah </v>
      </c>
      <c r="D1133" s="273">
        <f>IFERROR(__xludf.DUMMYFUNCTION("""COMPUTED_VALUE"""),8.2132787821E10)</f>
        <v>82132787821</v>
      </c>
      <c r="E1133" s="458">
        <f>IFERROR(__xludf.DUMMYFUNCTION("""COMPUTED_VALUE"""),0.0)</f>
        <v>0</v>
      </c>
      <c r="F1133" s="273">
        <f>IFERROR(__xludf.DUMMYFUNCTION("""COMPUTED_VALUE"""),4.0)</f>
        <v>4</v>
      </c>
      <c r="G1133" t="str">
        <f>IFERROR(__xludf.DUMMYFUNCTION("""COMPUTED_VALUE"""),"Sabun batang 1 Box ( 2 PCS )")</f>
        <v>Sabun batang 1 Box ( 2 PCS )</v>
      </c>
      <c r="H1133" s="469" t="str">
        <f>IFERROR(__xludf.DUMMYFUNCTION("""COMPUTED_VALUE"""),"Sampai")</f>
        <v>Sampai</v>
      </c>
      <c r="I1133" s="470" t="str">
        <f>IFERROR(__xludf.DUMMYFUNCTION("""COMPUTED_VALUE"""),"KIMME")</f>
        <v>KIMME</v>
      </c>
      <c r="J1133" s="471" t="str">
        <f>IFERROR(__xludf.DUMMYFUNCTION("""COMPUTED_VALUE"""),"https://vt.tiktok.com/ZS9r1RKxv/")</f>
        <v>https://vt.tiktok.com/ZS9r1RKxv/</v>
      </c>
      <c r="K1133" s="470" t="str">
        <f>IFERROR(__xludf.DUMMYFUNCTION("""COMPUTED_VALUE"""),"KIMME")</f>
        <v>KIMME</v>
      </c>
      <c r="L1133" s="471" t="str">
        <f>IFERROR(__xludf.DUMMYFUNCTION("""COMPUTED_VALUE"""),"https://vt.tiktok.com/ZS92WWk36/")</f>
        <v>https://vt.tiktok.com/ZS92WWk36/</v>
      </c>
      <c r="M1133" s="470"/>
      <c r="N1133" s="471" t="str">
        <f>IFERROR(__xludf.DUMMYFUNCTION("""COMPUTED_VALUE"""),"https://vt.tiktok.com/ZS921GHkG/")</f>
        <v>https://vt.tiktok.com/ZS921GHkG/</v>
      </c>
      <c r="O1133" s="470"/>
      <c r="P1133" s="471" t="str">
        <f>IFERROR(__xludf.DUMMYFUNCTION("""COMPUTED_VALUE"""),"https://www.tiktok.com/@rositaramdani7/video/7633284200472284434?_d=0&amp;_r=1&amp;ec_shared_reflux_dynamic_params=%7B%22placeholder_material_id%22%3A%227633284200472284434%22%2C%22placeholder_origin_cover%22%3A%22https%253A%252F%252Fp16-sign-sg.tiktokcdn.com%252"&amp;"Ftos-alisg-p-0037%252Fo0C9DPIwuOAi7i23nlIx59f4Y9B7AAHIjC50iu~tplv-tiktokx-origin.jpeg%253Fdr%253D14572%2526refresh_token%253D93b490f0%2526x-expires%253D1808992800%2526x-signature%253DOtQCPKxCzTZYiOf8ObRksmoNH5c%25253D%2526t%253D4d5b0474%2526ps%253D1374061"&amp;"0%2526shp%253Dd05b14bd%2526shcp%253D34ff8df6%2526idc%253Dmy2%2526s%253DTIKTOK_AFFILIATE_VIRAL_VIDEO%22%2C%22placeholder_product_id%22%3A%221729427766722726591%22%2C%22placeholder_video_id%22%3A%227633284200472284434%22%7D&amp;ec_shared_reflux_scene=shop_tab_f"&amp;"eed&amp;mid=7591377536513985281&amp;preview_pb=0&amp;region=&amp;share_item_id=7633284200472284434&amp;sharer_language=&amp;source=h5_t&amp;u_code=f1489jb4bi84e9")</f>
        <v>https://www.tiktok.com/@rositaramdani7/video/7633284200472284434?_d=0&amp;_r=1&amp;ec_shared_reflux_dynamic_params=%7B%22placeholder_material_id%22%3A%227633284200472284434%22%2C%22placeholder_origin_cover%22%3A%22https%253A%252F%252Fp16-sign-sg.tiktokcdn.com%252Ftos-alisg-p-0037%252Fo0C9DPIwuOAi7i23nlIx59f4Y9B7AAHIjC50iu~tplv-tiktokx-origin.jpeg%253Fdr%253D14572%2526refresh_token%253D93b490f0%2526x-expires%253D1808992800%2526x-signature%253DOtQCPKxCzTZYiOf8ObRksmoNH5c%25253D%2526t%253D4d5b0474%2526ps%253D13740610%2526shp%253Dd05b14bd%2526shcp%253D34ff8df6%2526idc%253Dmy2%2526s%253DTIKTOK_AFFILIATE_VIRAL_VIDEO%22%2C%22placeholder_product_id%22%3A%221729427766722726591%22%2C%22placeholder_video_id%22%3A%227633284200472284434%22%7D&amp;ec_shared_reflux_scene=shop_tab_feed&amp;mid=7591377536513985281&amp;preview_pb=0&amp;region=&amp;share_item_id=7633284200472284434&amp;sharer_language=&amp;source=h5_t&amp;u_code=f1489jb4bi84e9</v>
      </c>
    </row>
    <row r="1134">
      <c r="A1134" s="282" t="str">
        <f>IFERROR(__xludf.DUMMYFUNCTION("""COMPUTED_VALUE"""),"MICRO")</f>
        <v>MICRO</v>
      </c>
      <c r="B1134" s="468" t="str">
        <f>IFERROR(__xludf.DUMMYFUNCTION("""COMPUTED_VALUE"""),"gabolegalakya ")</f>
        <v>gabolegalakya </v>
      </c>
      <c r="C1134" s="283" t="str">
        <f>IFERROR(__xludf.DUMMYFUNCTION("""COMPUTED_VALUE"""),"https://www.tiktok.com/@gabolegalakya ")</f>
        <v>https://www.tiktok.com/@gabolegalakya </v>
      </c>
      <c r="D1134" s="273">
        <f>IFERROR(__xludf.DUMMYFUNCTION("""COMPUTED_VALUE"""),8.1375495494E10)</f>
        <v>81375495494</v>
      </c>
      <c r="E1134" s="458">
        <f>IFERROR(__xludf.DUMMYFUNCTION("""COMPUTED_VALUE"""),100000.0)</f>
        <v>100000</v>
      </c>
      <c r="F1134" s="273">
        <f>IFERROR(__xludf.DUMMYFUNCTION("""COMPUTED_VALUE"""),1.0)</f>
        <v>1</v>
      </c>
      <c r="G1134" t="str">
        <f>IFERROR(__xludf.DUMMYFUNCTION("""COMPUTED_VALUE"""),"Sabun batang 1 Box ( 2 PCS )")</f>
        <v>Sabun batang 1 Box ( 2 PCS )</v>
      </c>
      <c r="H1134" s="469" t="str">
        <f>IFERROR(__xludf.DUMMYFUNCTION("""COMPUTED_VALUE"""),"Sampai")</f>
        <v>Sampai</v>
      </c>
      <c r="I1134" s="470" t="str">
        <f>IFERROR(__xludf.DUMMYFUNCTION("""COMPUTED_VALUE"""),"KIMME")</f>
        <v>KIMME</v>
      </c>
      <c r="J1134" s="471" t="str">
        <f>IFERROR(__xludf.DUMMYFUNCTION("""COMPUTED_VALUE"""),"https://www.tiktok.com/@rositaramdani7/video/7633197653253278994?_r=1&amp;u_code=f1489jb4bi84e9&amp;region=&amp;mid=7624353502927604487&amp;preview_pb=0&amp;sharer_language=&amp;_d=0&amp;ec_shared_reflux_dynamic_params=%7B%22placeholder_material_id%22%3A%227633197653253278994%22%2C%"&amp;"22placeholder_origin_cover%22%3A%22https%253A%252F%252Fp16-common-sign.tiktokcdn.com%252Ftos-alisg-p-0037%252FoMlkNCGgpDBSFIvuB1iigfBNE7ARj2hIIcfrco~tplv-tiktokx-origin.jpeg%253Fdr%253D14572%2526refresh_token%253D3e97f7fa%2526x-expires%253D1808992800%2526"&amp;"x-signature%253DfOGn5P546%25252F82frA7wreXsnR5k4c%25253D%2526t%253D4d5b0474%2526ps%253D13740610%2526shp%253Dd05b14bd%2526shcp%253D34ff8df6%2526idc%253Dmy2%2526s%253DTIKTOK_AFFILIATE_VIRAL_VIDEO%22%2C%22placeholder_product_id%22%3A%221729427766722726591%22"&amp;"%2C%22placeholder_video_id%22%3A%227633197653253278994%22%7D&amp;ec_shared_reflux_scene=shop_tab_feed&amp;share_item_id=7633197653253278994&amp;source=h5_t")</f>
        <v>https://www.tiktok.com/@rositaramdani7/video/7633197653253278994?_r=1&amp;u_code=f1489jb4bi84e9&amp;region=&amp;mid=7624353502927604487&amp;preview_pb=0&amp;sharer_language=&amp;_d=0&amp;ec_shared_reflux_dynamic_params=%7B%22placeholder_material_id%22%3A%227633197653253278994%22%2C%22placeholder_origin_cover%22%3A%22https%253A%252F%252Fp16-common-sign.tiktokcdn.com%252Ftos-alisg-p-0037%252FoMlkNCGgpDBSFIvuB1iigfBNE7ARj2hIIcfrco~tplv-tiktokx-origin.jpeg%253Fdr%253D14572%2526refresh_token%253D3e97f7fa%2526x-expires%253D1808992800%2526x-signature%253DfOGn5P546%25252F82frA7wreXsnR5k4c%25253D%2526t%253D4d5b0474%2526ps%253D13740610%2526shp%253Dd05b14bd%2526shcp%253D34ff8df6%2526idc%253Dmy2%2526s%253DTIKTOK_AFFILIATE_VIRAL_VIDEO%22%2C%22placeholder_product_id%22%3A%221729427766722726591%22%2C%22placeholder_video_id%22%3A%227633197653253278994%22%7D&amp;ec_shared_reflux_scene=shop_tab_feed&amp;share_item_id=7633197653253278994&amp;source=h5_t</v>
      </c>
      <c r="K1134" s="470" t="str">
        <f>IFERROR(__xludf.DUMMYFUNCTION("""COMPUTED_VALUE"""),"KIMME")</f>
        <v>KIMME</v>
      </c>
      <c r="L1134" s="471" t="str">
        <f>IFERROR(__xludf.DUMMYFUNCTION("""COMPUTED_VALUE"""),"https://vt.tiktok.com/ZS95xt41Q/")</f>
        <v>https://vt.tiktok.com/ZS95xt41Q/</v>
      </c>
      <c r="M1134" s="470"/>
      <c r="N1134" s="471" t="str">
        <f>IFERROR(__xludf.DUMMYFUNCTION("""COMPUTED_VALUE"""),"https://vt.tiktok.com/ZS95xQTwC/")</f>
        <v>https://vt.tiktok.com/ZS95xQTwC/</v>
      </c>
      <c r="O1134" s="470"/>
      <c r="P1134" s="471" t="str">
        <f>IFERROR(__xludf.DUMMYFUNCTION("""COMPUTED_VALUE"""),"https://vt.tiktok.com/ZS95x9DEf/")</f>
        <v>https://vt.tiktok.com/ZS95x9DEf/</v>
      </c>
    </row>
    <row r="1135">
      <c r="A1135" s="282" t="str">
        <f>IFERROR(__xludf.DUMMYFUNCTION("""COMPUTED_VALUE"""),"MICRO")</f>
        <v>MICRO</v>
      </c>
      <c r="B1135" s="468" t="str">
        <f>IFERROR(__xludf.DUMMYFUNCTION("""COMPUTED_VALUE"""),"bulan94sari")</f>
        <v>bulan94sari</v>
      </c>
      <c r="C1135" s="283" t="str">
        <f>IFERROR(__xludf.DUMMYFUNCTION("""COMPUTED_VALUE"""),"https://www.tiktok.com/@bulan94sari")</f>
        <v>https://www.tiktok.com/@bulan94sari</v>
      </c>
      <c r="D1135" s="273"/>
      <c r="E1135" s="458">
        <f>IFERROR(__xludf.DUMMYFUNCTION("""COMPUTED_VALUE"""),0.0)</f>
        <v>0</v>
      </c>
      <c r="F1135" s="273">
        <f>IFERROR(__xludf.DUMMYFUNCTION("""COMPUTED_VALUE"""),1.0)</f>
        <v>1</v>
      </c>
      <c r="G1135" t="str">
        <f>IFERROR(__xludf.DUMMYFUNCTION("""COMPUTED_VALUE"""),"Sabun batang 1 Box ( 2 PCS )")</f>
        <v>Sabun batang 1 Box ( 2 PCS )</v>
      </c>
      <c r="H1135" s="469" t="str">
        <f>IFERROR(__xludf.DUMMYFUNCTION("""COMPUTED_VALUE"""),"Sampai")</f>
        <v>Sampai</v>
      </c>
      <c r="I1135" s="470" t="str">
        <f>IFERROR(__xludf.DUMMYFUNCTION("""COMPUTED_VALUE"""),"KIMME")</f>
        <v>KIMME</v>
      </c>
      <c r="J1135" s="471" t="str">
        <f>IFERROR(__xludf.DUMMYFUNCTION("""COMPUTED_VALUE"""),"https://www.tiktok.com/@bulan94sari/video/7622686090956295444?_d=0&amp;_r=1&amp;ec_shared_reflux_dynamic_params=%7B%22placeholder_material_id%22%3A%227622686090956295444%22%2C%22placeholder_origin_cover%22%3A%22https%253A%252F%252Fp16-sign-sg.tiktokcdn.com%252Fto"&amp;"s-alisg-p-0037%252Fo85CRXi59IBM70AAv7LwfriX0JItITQAuuKJOA~tplv-tiktokx-origin.jpeg%253Fdr%253D14572%2526refresh_token%253D6569e502%2526x-expires%253D1807066800%2526x-signature%253D6AK11sEMB33pVIfS5%25252Frc%25252FPvAXVA%25253D%2526t%253D4d5b0474%2526ps%25"&amp;"3D13740610%2526shp%253Dd05b14bd%2526shcp%253D34ff8df6%2526idc%253Dmy2%2526s%253DTIKTOK_AFFILIATE_VIRAL_VIDEO%22%2C%22placeholder_product_id%22%3A%221729427766722726591%22%2C%22placeholder_video_id%22%3A%227622686090956295444%22%7D&amp;ec_shared_reflux_scene=s"&amp;"hop_tab_feed&amp;mid=7622686142534880008&amp;preview_pb=0&amp;region=&amp;share_item_id=7622686090956295444&amp;sharer_language=&amp;source=h5_t&amp;u_code=clfll207e3800i")</f>
        <v>https://www.tiktok.com/@bulan94sari/video/7622686090956295444?_d=0&amp;_r=1&amp;ec_shared_reflux_dynamic_params=%7B%22placeholder_material_id%22%3A%227622686090956295444%22%2C%22placeholder_origin_cover%22%3A%22https%253A%252F%252Fp16-sign-sg.tiktokcdn.com%252Ftos-alisg-p-0037%252Fo85CRXi59IBM70AAv7LwfriX0JItITQAuuKJOA~tplv-tiktokx-origin.jpeg%253Fdr%253D14572%2526refresh_token%253D6569e502%2526x-expires%253D1807066800%2526x-signature%253D6AK11sEMB33pVIfS5%25252Frc%25252FPvAXVA%25253D%2526t%253D4d5b0474%2526ps%253D13740610%2526shp%253Dd05b14bd%2526shcp%253D34ff8df6%2526idc%253Dmy2%2526s%253DTIKTOK_AFFILIATE_VIRAL_VIDEO%22%2C%22placeholder_product_id%22%3A%221729427766722726591%22%2C%22placeholder_video_id%22%3A%227622686090956295444%22%7D&amp;ec_shared_reflux_scene=shop_tab_feed&amp;mid=7622686142534880008&amp;preview_pb=0&amp;region=&amp;share_item_id=7622686090956295444&amp;sharer_language=&amp;source=h5_t&amp;u_code=clfll207e3800i</v>
      </c>
      <c r="K1135" s="470" t="str">
        <f>IFERROR(__xludf.DUMMYFUNCTION("""COMPUTED_VALUE"""),"KIMME")</f>
        <v>KIMME</v>
      </c>
      <c r="L1135" s="471" t="str">
        <f>IFERROR(__xludf.DUMMYFUNCTION("""COMPUTED_VALUE"""),"https://www.tiktok.com/@bulan94sari/video/7627882137416437012?_r=1&amp;u_code=clfll207e3800i&amp;region=&amp;mid=7627882195743460103&amp;preview_pb=0&amp;sharer_language=&amp;_d=0&amp;ec_shared_reflux_dynamic_params=%7B%22placeholder_material_id%22%3A%227627882137416437012%22%2C%22p"&amp;"laceholder_origin_cover%22%3A%22https%253A%252F%252Fp16-common-sign.tiktokcdn.com%252Ftos-alisg-p-0037%252FoQnbI0rA7rCiCrhUAAIamxbfazDwWiIBAUuAWd~tplv-tiktokx-origin.jpeg%253Fdr%253D14572%2526refresh_token%253D6a3146c4%2526x-expires%253D1808204400%2526x-s"&amp;"ignature%253D%25252FlpM%25252FUNGxD%25252FyfoqNOjUY%25252FeWqFBY%25253D%2526t%253D4d5b0474%2526ps%253D13740610%2526shp%253Dd05b14bd%2526shcp%253D34ff8df6%2526idc%253Dmy3%2526s%253DTIKTOK_AFFILIATE_VIRAL_VIDEO%22%2C%22placeholder_product_id%22%3A%221729427"&amp;"766722726591%22%2C%22placeholder_video_id%22%3A%227627882137416437012%22%7D&amp;ec_shared_reflux_scene=shop_tab_feed&amp;share_item_id=7627882137416437012&amp;source=h5_t")</f>
        <v>https://www.tiktok.com/@bulan94sari/video/7627882137416437012?_r=1&amp;u_code=clfll207e3800i&amp;region=&amp;mid=7627882195743460103&amp;preview_pb=0&amp;sharer_language=&amp;_d=0&amp;ec_shared_reflux_dynamic_params=%7B%22placeholder_material_id%22%3A%227627882137416437012%22%2C%22placeholder_origin_cover%22%3A%22https%253A%252F%252Fp16-common-sign.tiktokcdn.com%252Ftos-alisg-p-0037%252FoQnbI0rA7rCiCrhUAAIamxbfazDwWiIBAUuAWd~tplv-tiktokx-origin.jpeg%253Fdr%253D14572%2526refresh_token%253D6a3146c4%2526x-expires%253D1808204400%2526x-signature%253D%25252FlpM%25252FUNGxD%25252FyfoqNOjUY%25252FeWqFBY%25253D%2526t%253D4d5b0474%2526ps%253D13740610%2526shp%253Dd05b14bd%2526shcp%253D34ff8df6%2526idc%253Dmy3%2526s%253DTIKTOK_AFFILIATE_VIRAL_VIDEO%22%2C%22placeholder_product_id%22%3A%221729427766722726591%22%2C%22placeholder_video_id%22%3A%227627882137416437012%22%7D&amp;ec_shared_reflux_scene=shop_tab_feed&amp;share_item_id=7627882137416437012&amp;source=h5_t</v>
      </c>
      <c r="M1135" s="470"/>
      <c r="N1135" s="471" t="str">
        <f>IFERROR(__xludf.DUMMYFUNCTION("""COMPUTED_VALUE"""),"https://vt.tiktok.com/ZSxy241D4/")</f>
        <v>https://vt.tiktok.com/ZSxy241D4/</v>
      </c>
      <c r="O1135" s="470"/>
      <c r="P1135" s="471" t="str">
        <f>IFERROR(__xludf.DUMMYFUNCTION("""COMPUTED_VALUE"""),"https://vt.tiktok.com/ZSxy2BCbX/")</f>
        <v>https://vt.tiktok.com/ZSxy2BCbX/</v>
      </c>
    </row>
    <row r="1136">
      <c r="A1136" s="282" t="str">
        <f>IFERROR(__xludf.DUMMYFUNCTION("""COMPUTED_VALUE"""),"MICRO")</f>
        <v>MICRO</v>
      </c>
      <c r="B1136" s="468" t="str">
        <f>IFERROR(__xludf.DUMMYFUNCTION("""COMPUTED_VALUE"""),"kyaraamoera")</f>
        <v>kyaraamoera</v>
      </c>
      <c r="C1136" s="283" t="str">
        <f>IFERROR(__xludf.DUMMYFUNCTION("""COMPUTED_VALUE"""),"https://www.tiktok.com/@kyaraamoera")</f>
        <v>https://www.tiktok.com/@kyaraamoera</v>
      </c>
      <c r="D1136" s="273">
        <f>IFERROR(__xludf.DUMMYFUNCTION("""COMPUTED_VALUE"""),8.5212444724E10)</f>
        <v>85212444724</v>
      </c>
      <c r="E1136" s="458">
        <f>IFERROR(__xludf.DUMMYFUNCTION("""COMPUTED_VALUE"""),0.0)</f>
        <v>0</v>
      </c>
      <c r="F1136" s="273">
        <f>IFERROR(__xludf.DUMMYFUNCTION("""COMPUTED_VALUE"""),1.0)</f>
        <v>1</v>
      </c>
      <c r="G1136" t="str">
        <f>IFERROR(__xludf.DUMMYFUNCTION("""COMPUTED_VALUE"""),"Sabun batang 1 Box ( 2 PCS )")</f>
        <v>Sabun batang 1 Box ( 2 PCS )</v>
      </c>
      <c r="H1136" s="469" t="str">
        <f>IFERROR(__xludf.DUMMYFUNCTION("""COMPUTED_VALUE"""),"Sampai")</f>
        <v>Sampai</v>
      </c>
      <c r="I1136" s="470" t="str">
        <f>IFERROR(__xludf.DUMMYFUNCTION("""COMPUTED_VALUE"""),"KIMME")</f>
        <v>KIMME</v>
      </c>
      <c r="J1136" s="471" t="str">
        <f>IFERROR(__xludf.DUMMYFUNCTION("""COMPUTED_VALUE"""),"https://vt.tiktok.com/ZS95xsqaT/")</f>
        <v>https://vt.tiktok.com/ZS95xsqaT/</v>
      </c>
      <c r="K1136" s="470" t="str">
        <f>IFERROR(__xludf.DUMMYFUNCTION("""COMPUTED_VALUE"""),"KIMME")</f>
        <v>KIMME</v>
      </c>
      <c r="L1136" s="471" t="str">
        <f>IFERROR(__xludf.DUMMYFUNCTION("""COMPUTED_VALUE"""),"https://vt.tiktok.com/ZS95xrRtQ/")</f>
        <v>https://vt.tiktok.com/ZS95xrRtQ/</v>
      </c>
      <c r="M1136" s="470"/>
      <c r="N1136" s="471" t="str">
        <f>IFERROR(__xludf.DUMMYFUNCTION("""COMPUTED_VALUE"""),"https://vt.tiktok.com/ZS95xxTLh/")</f>
        <v>https://vt.tiktok.com/ZS95xxTLh/</v>
      </c>
      <c r="O1136" s="470"/>
      <c r="P1136" s="471" t="str">
        <f>IFERROR(__xludf.DUMMYFUNCTION("""COMPUTED_VALUE"""),"https://vt.tiktok.com/ZS95x5wxc/")</f>
        <v>https://vt.tiktok.com/ZS95x5wxc/</v>
      </c>
    </row>
    <row r="1137">
      <c r="A1137" s="282" t="str">
        <f>IFERROR(__xludf.DUMMYFUNCTION("""COMPUTED_VALUE"""),"MICRO")</f>
        <v>MICRO</v>
      </c>
      <c r="B1137" s="468" t="str">
        <f>IFERROR(__xludf.DUMMYFUNCTION("""COMPUTED_VALUE"""),"shafira234_")</f>
        <v>shafira234_</v>
      </c>
      <c r="C1137" s="283" t="str">
        <f>IFERROR(__xludf.DUMMYFUNCTION("""COMPUTED_VALUE"""),"https://www.tiktok.com/@shafira234_")</f>
        <v>https://www.tiktok.com/@shafira234_</v>
      </c>
      <c r="D1137" s="273">
        <f>IFERROR(__xludf.DUMMYFUNCTION("""COMPUTED_VALUE"""),8.2283654406E10)</f>
        <v>82283654406</v>
      </c>
      <c r="E1137" s="458">
        <f>IFERROR(__xludf.DUMMYFUNCTION("""COMPUTED_VALUE"""),200000.0)</f>
        <v>200000</v>
      </c>
      <c r="F1137" s="273">
        <f>IFERROR(__xludf.DUMMYFUNCTION("""COMPUTED_VALUE"""),1.0)</f>
        <v>1</v>
      </c>
      <c r="G1137" t="str">
        <f>IFERROR(__xludf.DUMMYFUNCTION("""COMPUTED_VALUE"""),"Sabun batang 1 Box ( 2 PCS )")</f>
        <v>Sabun batang 1 Box ( 2 PCS )</v>
      </c>
      <c r="H1137" s="469" t="str">
        <f>IFERROR(__xludf.DUMMYFUNCTION("""COMPUTED_VALUE"""),"Sampai")</f>
        <v>Sampai</v>
      </c>
      <c r="I1137" s="470" t="str">
        <f>IFERROR(__xludf.DUMMYFUNCTION("""COMPUTED_VALUE"""),"KIMME")</f>
        <v>KIMME</v>
      </c>
      <c r="J1137" s="471" t="str">
        <f>IFERROR(__xludf.DUMMYFUNCTION("""COMPUTED_VALUE"""),"https://vt.tiktok.com/ZS95xsqaT/")</f>
        <v>https://vt.tiktok.com/ZS95xsqaT/</v>
      </c>
      <c r="K1137" s="470" t="str">
        <f>IFERROR(__xludf.DUMMYFUNCTION("""COMPUTED_VALUE"""),"KIMME")</f>
        <v>KIMME</v>
      </c>
      <c r="L1137" s="471" t="str">
        <f>IFERROR(__xludf.DUMMYFUNCTION("""COMPUTED_VALUE"""),"https://vt.tiktok.com/ZS95xrRtQ/")</f>
        <v>https://vt.tiktok.com/ZS95xrRtQ/</v>
      </c>
      <c r="M1137" s="470"/>
      <c r="N1137" s="471" t="str">
        <f>IFERROR(__xludf.DUMMYFUNCTION("""COMPUTED_VALUE"""),"https://vt.tiktok.com/ZS95xxTLh/")</f>
        <v>https://vt.tiktok.com/ZS95xxTLh/</v>
      </c>
      <c r="O1137" s="470"/>
      <c r="P1137" s="471" t="str">
        <f>IFERROR(__xludf.DUMMYFUNCTION("""COMPUTED_VALUE"""),"https://vt.tiktok.com/ZS95x5wxc/")</f>
        <v>https://vt.tiktok.com/ZS95x5wxc/</v>
      </c>
    </row>
    <row r="1138">
      <c r="A1138" s="282" t="str">
        <f>IFERROR(__xludf.DUMMYFUNCTION("""COMPUTED_VALUE"""),"MICRO")</f>
        <v>MICRO</v>
      </c>
      <c r="B1138" s="468" t="str">
        <f>IFERROR(__xludf.DUMMYFUNCTION("""COMPUTED_VALUE"""),"dtandy007")</f>
        <v>dtandy007</v>
      </c>
      <c r="C1138" s="283" t="str">
        <f>IFERROR(__xludf.DUMMYFUNCTION("""COMPUTED_VALUE"""),"https://www.tiktok.com/@dtandy007")</f>
        <v>https://www.tiktok.com/@dtandy007</v>
      </c>
      <c r="D1138" s="273">
        <f>IFERROR(__xludf.DUMMYFUNCTION("""COMPUTED_VALUE"""),8.986141191E9)</f>
        <v>8986141191</v>
      </c>
      <c r="E1138" s="458">
        <f>IFERROR(__xludf.DUMMYFUNCTION("""COMPUTED_VALUE"""),0.0)</f>
        <v>0</v>
      </c>
      <c r="F1138" s="273">
        <f>IFERROR(__xludf.DUMMYFUNCTION("""COMPUTED_VALUE"""),4.0)</f>
        <v>4</v>
      </c>
      <c r="G1138" t="str">
        <f>IFERROR(__xludf.DUMMYFUNCTION("""COMPUTED_VALUE"""),"Sabun batang 1 Box ( 2 PCS )")</f>
        <v>Sabun batang 1 Box ( 2 PCS )</v>
      </c>
      <c r="H1138" s="469" t="str">
        <f>IFERROR(__xludf.DUMMYFUNCTION("""COMPUTED_VALUE"""),"Sampai")</f>
        <v>Sampai</v>
      </c>
      <c r="I1138" s="470" t="str">
        <f>IFERROR(__xludf.DUMMYFUNCTION("""COMPUTED_VALUE"""),"KIMME")</f>
        <v>KIMME</v>
      </c>
      <c r="J1138" s="471" t="str">
        <f>IFERROR(__xludf.DUMMYFUNCTION("""COMPUTED_VALUE"""),"https://vt.tiktok.com/ZS95xsqaT/")</f>
        <v>https://vt.tiktok.com/ZS95xsqaT/</v>
      </c>
      <c r="K1138" s="470" t="str">
        <f>IFERROR(__xludf.DUMMYFUNCTION("""COMPUTED_VALUE"""),"KIMME")</f>
        <v>KIMME</v>
      </c>
      <c r="L1138" s="471" t="str">
        <f>IFERROR(__xludf.DUMMYFUNCTION("""COMPUTED_VALUE"""),"https://vt.tiktok.com/ZS95xrRtQ/")</f>
        <v>https://vt.tiktok.com/ZS95xrRtQ/</v>
      </c>
      <c r="M1138" s="470"/>
      <c r="N1138" s="471" t="str">
        <f>IFERROR(__xludf.DUMMYFUNCTION("""COMPUTED_VALUE"""),"https://vt.tiktok.com/ZS95xxTLh/")</f>
        <v>https://vt.tiktok.com/ZS95xxTLh/</v>
      </c>
      <c r="O1138" s="470"/>
      <c r="P1138" s="471" t="str">
        <f>IFERROR(__xludf.DUMMYFUNCTION("""COMPUTED_VALUE"""),"https://vt.tiktok.com/ZS95x5wxc/")</f>
        <v>https://vt.tiktok.com/ZS95x5wxc/</v>
      </c>
    </row>
    <row r="1139">
      <c r="A1139" s="282" t="str">
        <f>IFERROR(__xludf.DUMMYFUNCTION("""COMPUTED_VALUE"""),"MICRO")</f>
        <v>MICRO</v>
      </c>
      <c r="B1139" s="468" t="str">
        <f>IFERROR(__xludf.DUMMYFUNCTION("""COMPUTED_VALUE"""),"hannah_21
")</f>
        <v>hannah_21
</v>
      </c>
      <c r="C1139" s="283" t="str">
        <f>IFERROR(__xludf.DUMMYFUNCTION("""COMPUTED_VALUE"""),"https://www.tiktok.com/@hannah_21
")</f>
        <v>https://www.tiktok.com/@hannah_21
</v>
      </c>
      <c r="D1139" s="273">
        <f>IFERROR(__xludf.DUMMYFUNCTION("""COMPUTED_VALUE"""),8.3125609049E10)</f>
        <v>83125609049</v>
      </c>
      <c r="E1139" s="458">
        <f>IFERROR(__xludf.DUMMYFUNCTION("""COMPUTED_VALUE"""),0.0)</f>
        <v>0</v>
      </c>
      <c r="F1139" s="273">
        <f>IFERROR(__xludf.DUMMYFUNCTION("""COMPUTED_VALUE"""),4.0)</f>
        <v>4</v>
      </c>
      <c r="G1139" t="str">
        <f>IFERROR(__xludf.DUMMYFUNCTION("""COMPUTED_VALUE"""),"Sabun batang 1 Box ( 2 PCS )")</f>
        <v>Sabun batang 1 Box ( 2 PCS )</v>
      </c>
      <c r="H1139" s="469" t="str">
        <f>IFERROR(__xludf.DUMMYFUNCTION("""COMPUTED_VALUE"""),"Sampai")</f>
        <v>Sampai</v>
      </c>
      <c r="I1139" s="470" t="str">
        <f>IFERROR(__xludf.DUMMYFUNCTION("""COMPUTED_VALUE"""),"KIMME")</f>
        <v>KIMME</v>
      </c>
      <c r="J1139" s="471" t="str">
        <f>IFERROR(__xludf.DUMMYFUNCTION("""COMPUTED_VALUE"""),"https://vt.tiktok.com/ZSxHJVPop/")</f>
        <v>https://vt.tiktok.com/ZSxHJVPop/</v>
      </c>
      <c r="K1139" s="470" t="str">
        <f>IFERROR(__xludf.DUMMYFUNCTION("""COMPUTED_VALUE"""),"KIMME")</f>
        <v>KIMME</v>
      </c>
      <c r="L1139" s="471" t="str">
        <f>IFERROR(__xludf.DUMMYFUNCTION("""COMPUTED_VALUE"""),"https://vt.tiktok.com/ZSxHJuVDN/")</f>
        <v>https://vt.tiktok.com/ZSxHJuVDN/</v>
      </c>
      <c r="M1139" s="470"/>
      <c r="N1139" s="471" t="str">
        <f>IFERROR(__xludf.DUMMYFUNCTION("""COMPUTED_VALUE"""),"https://vt.tiktok.com/ZSxHJHME4/")</f>
        <v>https://vt.tiktok.com/ZSxHJHME4/</v>
      </c>
      <c r="O1139" s="470"/>
      <c r="P1139" s="471" t="str">
        <f>IFERROR(__xludf.DUMMYFUNCTION("""COMPUTED_VALUE"""),"https://vt.tiktok.com/ZSxHJVDHN/")</f>
        <v>https://vt.tiktok.com/ZSxHJVDHN/</v>
      </c>
    </row>
    <row r="1140">
      <c r="A1140" s="282" t="str">
        <f>IFERROR(__xludf.DUMMYFUNCTION("""COMPUTED_VALUE"""),"MICRO")</f>
        <v>MICRO</v>
      </c>
      <c r="B1140" s="468" t="str">
        <f>IFERROR(__xludf.DUMMYFUNCTION("""COMPUTED_VALUE"""),"tetehnuyy0 ")</f>
        <v>tetehnuyy0 </v>
      </c>
      <c r="C1140" s="283" t="str">
        <f>IFERROR(__xludf.DUMMYFUNCTION("""COMPUTED_VALUE"""),"https://www.tiktok.com/@tetehnuyy0 ")</f>
        <v>https://www.tiktok.com/@tetehnuyy0 </v>
      </c>
      <c r="D1140" s="273">
        <f>IFERROR(__xludf.DUMMYFUNCTION("""COMPUTED_VALUE"""),8.5921129998E10)</f>
        <v>85921129998</v>
      </c>
      <c r="E1140" s="458">
        <f>IFERROR(__xludf.DUMMYFUNCTION("""COMPUTED_VALUE"""),50000.0)</f>
        <v>50000</v>
      </c>
      <c r="F1140" s="273">
        <f>IFERROR(__xludf.DUMMYFUNCTION("""COMPUTED_VALUE"""),1.0)</f>
        <v>1</v>
      </c>
      <c r="G1140" t="str">
        <f>IFERROR(__xludf.DUMMYFUNCTION("""COMPUTED_VALUE"""),"Sabun batang 1 Box ( 2 PCS )")</f>
        <v>Sabun batang 1 Box ( 2 PCS )</v>
      </c>
      <c r="H1140" s="469" t="str">
        <f>IFERROR(__xludf.DUMMYFUNCTION("""COMPUTED_VALUE"""),"Sampai")</f>
        <v>Sampai</v>
      </c>
      <c r="I1140" s="470" t="str">
        <f>IFERROR(__xludf.DUMMYFUNCTION("""COMPUTED_VALUE"""),"KIMME")</f>
        <v>KIMME</v>
      </c>
      <c r="J1140" s="471" t="str">
        <f>IFERROR(__xludf.DUMMYFUNCTION("""COMPUTED_VALUE"""),"https://vt.tiktok.com/ZS9LAgnNx/")</f>
        <v>https://vt.tiktok.com/ZS9LAgnNx/</v>
      </c>
      <c r="K1140" s="470" t="str">
        <f>IFERROR(__xludf.DUMMYFUNCTION("""COMPUTED_VALUE"""),"KIMME")</f>
        <v>KIMME</v>
      </c>
      <c r="L1140" s="471" t="str">
        <f>IFERROR(__xludf.DUMMYFUNCTION("""COMPUTED_VALUE"""),"https://vt.tiktok.com/ZS9LoK93w/")</f>
        <v>https://vt.tiktok.com/ZS9LoK93w/</v>
      </c>
      <c r="M1140" s="470"/>
      <c r="N1140" s="471" t="str">
        <f>IFERROR(__xludf.DUMMYFUNCTION("""COMPUTED_VALUE"""),"https://www.tiktok.com/@harumrice/video/7637475978532654357?_r=1&amp;u_code=d6j7255963058c&amp;region=&amp;mid=7486067442412406801&amp;preview_pb=0&amp;sharer_language=&amp;_d=0&amp;ec_shared_reflux_dynamic_params=%7B%22placeholder_material_id%22%3A%227637475978532654357%22%2C%22pla"&amp;"ceholder_origin_cover%22%3A%22https%253A%252F%252Fp16-common-sign.tiktokcdn.com%252Ftos-alisg-p-0037%252FooIfgwce4fJgOlRGZhenEKLccxTGinAGARGi7F~tplv-tiktokx-origin.jpeg%253Fdr%253D14572%2526refresh_token%253Deebf42f9%2526x-expires%253D1810717200%2526x-sig"&amp;"nature%253DwTSyXUj7M1eZezBviR3Zt57ePeU%25253D%2526t%253D4d5b0474%2526ps%253D13740610%2526shp%253Dd05b14bd%2526shcp%253D34ff8df6%2526idc%253Dmy3%2526s%253DTIKTOK_AFFILIATE_VIRAL_VIDEO%22%2C%22placeholder_product_id%22%3A%221729427766722726591%22%2C%22place"&amp;"holder_video_id%22%3A%227637475978532654357%22%7D&amp;ec_shared_reflux_scene=shop_tab_feed&amp;share_item_id=7637475978532654357&amp;source=h5_t")</f>
        <v>https://www.tiktok.com/@harumrice/video/7637475978532654357?_r=1&amp;u_code=d6j7255963058c&amp;region=&amp;mid=7486067442412406801&amp;preview_pb=0&amp;sharer_language=&amp;_d=0&amp;ec_shared_reflux_dynamic_params=%7B%22placeholder_material_id%22%3A%227637475978532654357%22%2C%22placeholder_origin_cover%22%3A%22https%253A%252F%252Fp16-common-sign.tiktokcdn.com%252Ftos-alisg-p-0037%252FooIfgwce4fJgOlRGZhenEKLccxTGinAGARGi7F~tplv-tiktokx-origin.jpeg%253Fdr%253D14572%2526refresh_token%253Deebf42f9%2526x-expires%253D1810717200%2526x-signature%253DwTSyXUj7M1eZezBviR3Zt57ePeU%25253D%2526t%253D4d5b0474%2526ps%253D13740610%2526shp%253Dd05b14bd%2526shcp%253D34ff8df6%2526idc%253Dmy3%2526s%253DTIKTOK_AFFILIATE_VIRAL_VIDEO%22%2C%22placeholder_product_id%22%3A%221729427766722726591%22%2C%22placeholder_video_id%22%3A%227637475978532654357%22%7D&amp;ec_shared_reflux_scene=shop_tab_feed&amp;share_item_id=7637475978532654357&amp;source=h5_t</v>
      </c>
      <c r="O1140" s="470"/>
      <c r="P1140" s="471" t="str">
        <f>IFERROR(__xludf.DUMMYFUNCTION("""COMPUTED_VALUE"""),"https://vt.tiktok.com/ZS9LoK93w/")</f>
        <v>https://vt.tiktok.com/ZS9LoK93w/</v>
      </c>
    </row>
    <row r="1141">
      <c r="A1141" s="282" t="str">
        <f>IFERROR(__xludf.DUMMYFUNCTION("""COMPUTED_VALUE"""),"MICRO")</f>
        <v>MICRO</v>
      </c>
      <c r="B1141" s="468" t="str">
        <f>IFERROR(__xludf.DUMMYFUNCTION("""COMPUTED_VALUE"""),"kartikapuji_w ")</f>
        <v>kartikapuji_w </v>
      </c>
      <c r="C1141" s="283" t="str">
        <f>IFERROR(__xludf.DUMMYFUNCTION("""COMPUTED_VALUE"""),"https://www.tiktok.com/@kartikapuji_w ")</f>
        <v>https://www.tiktok.com/@kartikapuji_w </v>
      </c>
      <c r="D1141" s="273">
        <f>IFERROR(__xludf.DUMMYFUNCTION("""COMPUTED_VALUE"""),8.5712007506E10)</f>
        <v>85712007506</v>
      </c>
      <c r="E1141" s="458">
        <f>IFERROR(__xludf.DUMMYFUNCTION("""COMPUTED_VALUE"""),0.0)</f>
        <v>0</v>
      </c>
      <c r="F1141" s="273">
        <f>IFERROR(__xludf.DUMMYFUNCTION("""COMPUTED_VALUE"""),4.0)</f>
        <v>4</v>
      </c>
      <c r="G1141" t="str">
        <f>IFERROR(__xludf.DUMMYFUNCTION("""COMPUTED_VALUE"""),"Sabun batang 1 Box ( 2 PCS )")</f>
        <v>Sabun batang 1 Box ( 2 PCS )</v>
      </c>
      <c r="H1141" s="469" t="str">
        <f>IFERROR(__xludf.DUMMYFUNCTION("""COMPUTED_VALUE"""),"Sampai")</f>
        <v>Sampai</v>
      </c>
      <c r="I1141" s="470" t="str">
        <f>IFERROR(__xludf.DUMMYFUNCTION("""COMPUTED_VALUE"""),"KIMME")</f>
        <v>KIMME</v>
      </c>
      <c r="J1141" s="471" t="str">
        <f>IFERROR(__xludf.DUMMYFUNCTION("""COMPUTED_VALUE"""),"https://vt.tiktok.com/ZSHTLRrJk/")</f>
        <v>https://vt.tiktok.com/ZSHTLRrJk/</v>
      </c>
      <c r="K1141" s="470" t="str">
        <f>IFERROR(__xludf.DUMMYFUNCTION("""COMPUTED_VALUE"""),"KIMME")</f>
        <v>KIMME</v>
      </c>
      <c r="L1141" s="471" t="str">
        <f>IFERROR(__xludf.DUMMYFUNCTION("""COMPUTED_VALUE"""),"https://www.tiktok.com/@harumrice/video/7637481179251461397?_r=1&amp;u_code=d6j7255963058c&amp;region=&amp;mid=7370294126082295809&amp;preview_pb=0&amp;sharer_language=&amp;_d=0&amp;ec_shared_reflux_dynamic_params=%7B%22placeholder_material_id%22%3A%227637481179251461397%22%2C%22pla"&amp;"ceholder_origin_cover%22%3A%22https%253A%252F%252Fp16-common-sign.tiktokcdn.com%252Ftos-alisg-p-0037%252FowGIgi7ERRSIpAyf9FEfruLXCmiBEBiHcAPBhZ~tplv-tiktokx-origin.jpeg%253Fdr%253D14572%2526refresh_token%253D6ddf7f56%2526x-expires%253D1810717200%2526x-sig"&amp;"nature%253DT7zOja8%25252FWLyiAl2iSV9P5P%25252FCIR8%25253D%2526t%253D4d5b0474%2526ps%253D13740610%2526shp%253Dd05b14bd%2526shcp%253D34ff8df6%2526idc%253Dmy3%2526s%253DTIKTOK_AFFILIATE_VIRAL_VIDEO%22%2C%22placeholder_product_id%22%3A%221729427766722726591%2"&amp;"2%2C%22placeholder_video_id%22%3A%227637481179251461397%22%7D&amp;ec_shared_reflux_scene=shop_tab_feed&amp;share_item_id=7637481179251461397&amp;source=h5_t")</f>
        <v>https://www.tiktok.com/@harumrice/video/7637481179251461397?_r=1&amp;u_code=d6j7255963058c&amp;region=&amp;mid=7370294126082295809&amp;preview_pb=0&amp;sharer_language=&amp;_d=0&amp;ec_shared_reflux_dynamic_params=%7B%22placeholder_material_id%22%3A%227637481179251461397%22%2C%22placeholder_origin_cover%22%3A%22https%253A%252F%252Fp16-common-sign.tiktokcdn.com%252Ftos-alisg-p-0037%252FowGIgi7ERRSIpAyf9FEfruLXCmiBEBiHcAPBhZ~tplv-tiktokx-origin.jpeg%253Fdr%253D14572%2526refresh_token%253D6ddf7f56%2526x-expires%253D1810717200%2526x-signature%253DT7zOja8%25252FWLyiAl2iSV9P5P%25252FCIR8%25253D%2526t%253D4d5b0474%2526ps%253D13740610%2526shp%253Dd05b14bd%2526shcp%253D34ff8df6%2526idc%253Dmy3%2526s%253DTIKTOK_AFFILIATE_VIRAL_VIDEO%22%2C%22placeholder_product_id%22%3A%221729427766722726591%22%2C%22placeholder_video_id%22%3A%227637481179251461397%22%7D&amp;ec_shared_reflux_scene=shop_tab_feed&amp;share_item_id=7637481179251461397&amp;source=h5_t</v>
      </c>
      <c r="M1141" s="470"/>
      <c r="N1141" s="471" t="str">
        <f>IFERROR(__xludf.DUMMYFUNCTION("""COMPUTED_VALUE"""),"https://www.tiktok.com/@harumrice/video/7637480571110804756?_r=1&amp;u_code=d6j7255963058c&amp;region=&amp;mid=7586502340807887632&amp;preview_pb=0&amp;sharer_language=&amp;_d=0&amp;ec_shared_reflux_dynamic_params=%7B%22placeholder_material_id%22%3A%227637480571110804756%22%2C%22pla"&amp;"ceholder_origin_cover%22%3A%22https%253A%252F%252Fp16-common-sign.tiktokcdn.com%252Ftos-alisg-p-0037%252Fo4jewIXIDeYf4FyjAEfCATChrFG4inGRmkpGA9~tplv-tiktokx-origin.jpeg%253Fdr%253D14572%2526refresh_token%253D49406d90%2526x-expires%253D1810717200%2526x-sig"&amp;"nature%253DzkNKdwxQ7TChhelamHLGY3GvF9k%25253D%2526t%253D4d5b0474%2526ps%253D13740610%2526shp%253Dd05b14bd%2526shcp%253D34ff8df6%2526idc%253Dmy3%2526s%253DTIKTOK_AFFILIATE_VIRAL_VIDEO%22%2C%22placeholder_product_id%22%3A%221729427766722726591%22%2C%22place"&amp;"holder_video_id%22%3A%227637480571110804756%22%7D&amp;ec_shared_reflux_scene=shop_tab_feed&amp;share_item_id=7637480571110804756&amp;source=h5_t")</f>
        <v>https://www.tiktok.com/@harumrice/video/7637480571110804756?_r=1&amp;u_code=d6j7255963058c&amp;region=&amp;mid=7586502340807887632&amp;preview_pb=0&amp;sharer_language=&amp;_d=0&amp;ec_shared_reflux_dynamic_params=%7B%22placeholder_material_id%22%3A%227637480571110804756%22%2C%22placeholder_origin_cover%22%3A%22https%253A%252F%252Fp16-common-sign.tiktokcdn.com%252Ftos-alisg-p-0037%252Fo4jewIXIDeYf4FyjAEfCATChrFG4inGRmkpGA9~tplv-tiktokx-origin.jpeg%253Fdr%253D14572%2526refresh_token%253D49406d90%2526x-expires%253D1810717200%2526x-signature%253DzkNKdwxQ7TChhelamHLGY3GvF9k%25253D%2526t%253D4d5b0474%2526ps%253D13740610%2526shp%253Dd05b14bd%2526shcp%253D34ff8df6%2526idc%253Dmy3%2526s%253DTIKTOK_AFFILIATE_VIRAL_VIDEO%22%2C%22placeholder_product_id%22%3A%221729427766722726591%22%2C%22placeholder_video_id%22%3A%227637480571110804756%22%7D&amp;ec_shared_reflux_scene=shop_tab_feed&amp;share_item_id=7637480571110804756&amp;source=h5_t</v>
      </c>
      <c r="O1141" s="470"/>
      <c r="P1141" s="471" t="str">
        <f>IFERROR(__xludf.DUMMYFUNCTION("""COMPUTED_VALUE"""),"https://vt.tiktok.com/ZSHwsE5CK/")</f>
        <v>https://vt.tiktok.com/ZSHwsE5CK/</v>
      </c>
    </row>
    <row r="1142">
      <c r="A1142" s="282" t="str">
        <f>IFERROR(__xludf.DUMMYFUNCTION("""COMPUTED_VALUE"""),"MICRO")</f>
        <v>MICRO</v>
      </c>
      <c r="B1142" s="468" t="str">
        <f>IFERROR(__xludf.DUMMYFUNCTION("""COMPUTED_VALUE"""),"naatt167")</f>
        <v>naatt167</v>
      </c>
      <c r="C1142" s="283" t="str">
        <f>IFERROR(__xludf.DUMMYFUNCTION("""COMPUTED_VALUE"""),"https://www.tiktok.com/@naatt167")</f>
        <v>https://www.tiktok.com/@naatt167</v>
      </c>
      <c r="D1142" s="273">
        <f>IFERROR(__xludf.DUMMYFUNCTION("""COMPUTED_VALUE"""),8.1226377477E10)</f>
        <v>81226377477</v>
      </c>
      <c r="E1142" s="458">
        <f>IFERROR(__xludf.DUMMYFUNCTION("""COMPUTED_VALUE"""),250000.0)</f>
        <v>250000</v>
      </c>
      <c r="F1142" s="273">
        <f>IFERROR(__xludf.DUMMYFUNCTION("""COMPUTED_VALUE"""),4.0)</f>
        <v>4</v>
      </c>
      <c r="G1142" t="str">
        <f>IFERROR(__xludf.DUMMYFUNCTION("""COMPUTED_VALUE"""),"Sabun batang 1 Box ( 2 PCS )")</f>
        <v>Sabun batang 1 Box ( 2 PCS )</v>
      </c>
      <c r="H1142" s="469" t="str">
        <f>IFERROR(__xludf.DUMMYFUNCTION("""COMPUTED_VALUE"""),"Sampai")</f>
        <v>Sampai</v>
      </c>
      <c r="I1142" s="470" t="str">
        <f>IFERROR(__xludf.DUMMYFUNCTION("""COMPUTED_VALUE"""),"KIMME")</f>
        <v>KIMME</v>
      </c>
      <c r="J1142" s="471" t="str">
        <f>IFERROR(__xludf.DUMMYFUNCTION("""COMPUTED_VALUE"""),"https://vt.tiktok.com/ZS9NABes7/")</f>
        <v>https://vt.tiktok.com/ZS9NABes7/</v>
      </c>
      <c r="K1142" s="470" t="str">
        <f>IFERROR(__xludf.DUMMYFUNCTION("""COMPUTED_VALUE"""),"KIMME")</f>
        <v>KIMME</v>
      </c>
      <c r="L1142" s="471" t="str">
        <f>IFERROR(__xludf.DUMMYFUNCTION("""COMPUTED_VALUE"""),"https://vt.tiktok.com/ZS9rfkRbf/")</f>
        <v>https://vt.tiktok.com/ZS9rfkRbf/</v>
      </c>
      <c r="M1142" s="470"/>
      <c r="N1142" s="471" t="str">
        <f>IFERROR(__xludf.DUMMYFUNCTION("""COMPUTED_VALUE"""),"https://vt.tiktok.com/ZS9r5ttt2/")</f>
        <v>https://vt.tiktok.com/ZS9r5ttt2/</v>
      </c>
      <c r="O1142" s="470"/>
      <c r="P1142" s="471" t="str">
        <f>IFERROR(__xludf.DUMMYFUNCTION("""COMPUTED_VALUE"""),"https://vt.tiktok.com/ZS9k451qU/")</f>
        <v>https://vt.tiktok.com/ZS9k451qU/</v>
      </c>
    </row>
    <row r="1143">
      <c r="A1143" s="282" t="str">
        <f>IFERROR(__xludf.DUMMYFUNCTION("""COMPUTED_VALUE"""),"MICRO")</f>
        <v>MICRO</v>
      </c>
      <c r="B1143" s="468" t="str">
        <f>IFERROR(__xludf.DUMMYFUNCTION("""COMPUTED_VALUE"""),"ayajamie_")</f>
        <v>ayajamie_</v>
      </c>
      <c r="C1143" s="283" t="str">
        <f>IFERROR(__xludf.DUMMYFUNCTION("""COMPUTED_VALUE"""),"https://www.tiktok.com/@ayajamie_")</f>
        <v>https://www.tiktok.com/@ayajamie_</v>
      </c>
      <c r="D1143" s="273">
        <f>IFERROR(__xludf.DUMMYFUNCTION("""COMPUTED_VALUE"""),8.118908993E9)</f>
        <v>8118908993</v>
      </c>
      <c r="E1143" s="458">
        <f>IFERROR(__xludf.DUMMYFUNCTION("""COMPUTED_VALUE"""),0.0)</f>
        <v>0</v>
      </c>
      <c r="F1143" s="273">
        <f>IFERROR(__xludf.DUMMYFUNCTION("""COMPUTED_VALUE"""),4.0)</f>
        <v>4</v>
      </c>
      <c r="G1143" t="str">
        <f>IFERROR(__xludf.DUMMYFUNCTION("""COMPUTED_VALUE"""),"Sabun batang 1 Box ( 2 PCS )")</f>
        <v>Sabun batang 1 Box ( 2 PCS )</v>
      </c>
      <c r="H1143" s="469" t="str">
        <f>IFERROR(__xludf.DUMMYFUNCTION("""COMPUTED_VALUE"""),"Sampai")</f>
        <v>Sampai</v>
      </c>
      <c r="I1143" s="470" t="str">
        <f>IFERROR(__xludf.DUMMYFUNCTION("""COMPUTED_VALUE"""),"KIMME")</f>
        <v>KIMME</v>
      </c>
      <c r="J1143" s="471" t="str">
        <f>IFERROR(__xludf.DUMMYFUNCTION("""COMPUTED_VALUE"""),"https://vt.tiktok.com/ZS9NABes7/")</f>
        <v>https://vt.tiktok.com/ZS9NABes7/</v>
      </c>
      <c r="K1143" s="470" t="str">
        <f>IFERROR(__xludf.DUMMYFUNCTION("""COMPUTED_VALUE"""),"KIMME")</f>
        <v>KIMME</v>
      </c>
      <c r="L1143" s="471" t="str">
        <f>IFERROR(__xludf.DUMMYFUNCTION("""COMPUTED_VALUE"""),"https://vt.tiktok.com/ZS9rfkRbf/")</f>
        <v>https://vt.tiktok.com/ZS9rfkRbf/</v>
      </c>
      <c r="M1143" s="470"/>
      <c r="N1143" s="471" t="str">
        <f>IFERROR(__xludf.DUMMYFUNCTION("""COMPUTED_VALUE"""),"https://vt.tiktok.com/ZS9r5ttt2/")</f>
        <v>https://vt.tiktok.com/ZS9r5ttt2/</v>
      </c>
      <c r="O1143" s="470"/>
      <c r="P1143" s="471" t="str">
        <f>IFERROR(__xludf.DUMMYFUNCTION("""COMPUTED_VALUE"""),"https://vt.tiktok.com/ZS9k451qU/")</f>
        <v>https://vt.tiktok.com/ZS9k451qU/</v>
      </c>
    </row>
    <row r="1144">
      <c r="A1144" s="282" t="str">
        <f>IFERROR(__xludf.DUMMYFUNCTION("""COMPUTED_VALUE"""),"MICRO")</f>
        <v>MICRO</v>
      </c>
      <c r="B1144" s="468" t="str">
        <f>IFERROR(__xludf.DUMMYFUNCTION("""COMPUTED_VALUE"""),"dian_ekaningsih")</f>
        <v>dian_ekaningsih</v>
      </c>
      <c r="C1144" s="283" t="str">
        <f>IFERROR(__xludf.DUMMYFUNCTION("""COMPUTED_VALUE"""),"https://www.tiktok.com/@dian_ekaningsih")</f>
        <v>https://www.tiktok.com/@dian_ekaningsih</v>
      </c>
      <c r="D1144" s="273">
        <f>IFERROR(__xludf.DUMMYFUNCTION("""COMPUTED_VALUE"""),8.5659827126E10)</f>
        <v>85659827126</v>
      </c>
      <c r="E1144" s="458">
        <f>IFERROR(__xludf.DUMMYFUNCTION("""COMPUTED_VALUE"""),0.0)</f>
        <v>0</v>
      </c>
      <c r="F1144" s="273">
        <f>IFERROR(__xludf.DUMMYFUNCTION("""COMPUTED_VALUE"""),4.0)</f>
        <v>4</v>
      </c>
      <c r="G1144" t="str">
        <f>IFERROR(__xludf.DUMMYFUNCTION("""COMPUTED_VALUE"""),"Sabun batang 1 Box ( 2 PCS )")</f>
        <v>Sabun batang 1 Box ( 2 PCS )</v>
      </c>
      <c r="H1144" s="469" t="str">
        <f>IFERROR(__xludf.DUMMYFUNCTION("""COMPUTED_VALUE"""),"Sampai")</f>
        <v>Sampai</v>
      </c>
      <c r="I1144" s="470" t="str">
        <f>IFERROR(__xludf.DUMMYFUNCTION("""COMPUTED_VALUE"""),"KIMME")</f>
        <v>KIMME</v>
      </c>
      <c r="J1144" s="471" t="str">
        <f>IFERROR(__xludf.DUMMYFUNCTION("""COMPUTED_VALUE"""),"https://vt.tiktok.com/ZS9NABes7/")</f>
        <v>https://vt.tiktok.com/ZS9NABes7/</v>
      </c>
      <c r="K1144" s="470" t="str">
        <f>IFERROR(__xludf.DUMMYFUNCTION("""COMPUTED_VALUE"""),"KIMME")</f>
        <v>KIMME</v>
      </c>
      <c r="L1144" s="471" t="str">
        <f>IFERROR(__xludf.DUMMYFUNCTION("""COMPUTED_VALUE"""),"https://vt.tiktok.com/ZS9rfkRbf/")</f>
        <v>https://vt.tiktok.com/ZS9rfkRbf/</v>
      </c>
      <c r="M1144" s="470"/>
      <c r="N1144" s="471" t="str">
        <f>IFERROR(__xludf.DUMMYFUNCTION("""COMPUTED_VALUE"""),"https://vt.tiktok.com/ZS9r5ttt2/")</f>
        <v>https://vt.tiktok.com/ZS9r5ttt2/</v>
      </c>
      <c r="O1144" s="470"/>
      <c r="P1144" s="471" t="str">
        <f>IFERROR(__xludf.DUMMYFUNCTION("""COMPUTED_VALUE"""),"https://vt.tiktok.com/ZS9k451qU/")</f>
        <v>https://vt.tiktok.com/ZS9k451qU/</v>
      </c>
    </row>
    <row r="1145">
      <c r="A1145" s="282" t="str">
        <f>IFERROR(__xludf.DUMMYFUNCTION("""COMPUTED_VALUE"""),"MICRO")</f>
        <v>MICRO</v>
      </c>
      <c r="B1145" s="468" t="str">
        <f>IFERROR(__xludf.DUMMYFUNCTION("""COMPUTED_VALUE"""),"dinarmadni")</f>
        <v>dinarmadni</v>
      </c>
      <c r="C1145" s="283" t="str">
        <f>IFERROR(__xludf.DUMMYFUNCTION("""COMPUTED_VALUE"""),"https://www.tiktok.com/@dinarmadni")</f>
        <v>https://www.tiktok.com/@dinarmadni</v>
      </c>
      <c r="D1145" s="273">
        <f>IFERROR(__xludf.DUMMYFUNCTION("""COMPUTED_VALUE"""),8.5963048904E10)</f>
        <v>85963048904</v>
      </c>
      <c r="E1145" s="458">
        <f>IFERROR(__xludf.DUMMYFUNCTION("""COMPUTED_VALUE"""),0.0)</f>
        <v>0</v>
      </c>
      <c r="F1145" s="273">
        <f>IFERROR(__xludf.DUMMYFUNCTION("""COMPUTED_VALUE"""),4.0)</f>
        <v>4</v>
      </c>
      <c r="G1145" t="str">
        <f>IFERROR(__xludf.DUMMYFUNCTION("""COMPUTED_VALUE"""),"Sabun batang 1 Box ( 2 PCS )")</f>
        <v>Sabun batang 1 Box ( 2 PCS )</v>
      </c>
      <c r="H1145" s="469" t="str">
        <f>IFERROR(__xludf.DUMMYFUNCTION("""COMPUTED_VALUE"""),"Sampai")</f>
        <v>Sampai</v>
      </c>
      <c r="I1145" s="470" t="str">
        <f>IFERROR(__xludf.DUMMYFUNCTION("""COMPUTED_VALUE"""),"KIMME")</f>
        <v>KIMME</v>
      </c>
      <c r="J1145" s="471" t="str">
        <f>IFERROR(__xludf.DUMMYFUNCTION("""COMPUTED_VALUE"""),"https://vt.tiktok.com/ZS9NABes7/")</f>
        <v>https://vt.tiktok.com/ZS9NABes7/</v>
      </c>
      <c r="K1145" s="470" t="str">
        <f>IFERROR(__xludf.DUMMYFUNCTION("""COMPUTED_VALUE"""),"KIMME")</f>
        <v>KIMME</v>
      </c>
      <c r="L1145" s="471" t="str">
        <f>IFERROR(__xludf.DUMMYFUNCTION("""COMPUTED_VALUE"""),"https://vt.tiktok.com/ZS9rfkRbf/")</f>
        <v>https://vt.tiktok.com/ZS9rfkRbf/</v>
      </c>
      <c r="M1145" s="470"/>
      <c r="N1145" s="471" t="str">
        <f>IFERROR(__xludf.DUMMYFUNCTION("""COMPUTED_VALUE"""),"https://vt.tiktok.com/ZS9r5ttt2/")</f>
        <v>https://vt.tiktok.com/ZS9r5ttt2/</v>
      </c>
      <c r="O1145" s="470"/>
      <c r="P1145" s="471" t="str">
        <f>IFERROR(__xludf.DUMMYFUNCTION("""COMPUTED_VALUE"""),"https://vt.tiktok.com/ZS9k451qU/")</f>
        <v>https://vt.tiktok.com/ZS9k451qU/</v>
      </c>
    </row>
    <row r="1146">
      <c r="A1146" s="282" t="str">
        <f>IFERROR(__xludf.DUMMYFUNCTION("""COMPUTED_VALUE"""),"MICRO")</f>
        <v>MICRO</v>
      </c>
      <c r="B1146" s="468" t="str">
        <f>IFERROR(__xludf.DUMMYFUNCTION("""COMPUTED_VALUE"""),"racundiaa")</f>
        <v>racundiaa</v>
      </c>
      <c r="C1146" s="283" t="str">
        <f>IFERROR(__xludf.DUMMYFUNCTION("""COMPUTED_VALUE"""),"https://www.tiktok.com/@racundiaa")</f>
        <v>https://www.tiktok.com/@racundiaa</v>
      </c>
      <c r="D1146" s="273">
        <f>IFERROR(__xludf.DUMMYFUNCTION("""COMPUTED_VALUE"""),8.1352307453E10)</f>
        <v>81352307453</v>
      </c>
      <c r="E1146" s="458">
        <f>IFERROR(__xludf.DUMMYFUNCTION("""COMPUTED_VALUE"""),0.0)</f>
        <v>0</v>
      </c>
      <c r="F1146" s="273">
        <f>IFERROR(__xludf.DUMMYFUNCTION("""COMPUTED_VALUE"""),2.0)</f>
        <v>2</v>
      </c>
      <c r="G1146" t="str">
        <f>IFERROR(__xludf.DUMMYFUNCTION("""COMPUTED_VALUE"""),"Sabun batang 1 Box ( 2 PCS )")</f>
        <v>Sabun batang 1 Box ( 2 PCS )</v>
      </c>
      <c r="H1146" s="469" t="str">
        <f>IFERROR(__xludf.DUMMYFUNCTION("""COMPUTED_VALUE"""),"Sampai")</f>
        <v>Sampai</v>
      </c>
      <c r="I1146" s="470" t="str">
        <f>IFERROR(__xludf.DUMMYFUNCTION("""COMPUTED_VALUE"""),"KIMME")</f>
        <v>KIMME</v>
      </c>
      <c r="J1146" s="471" t="str">
        <f>IFERROR(__xludf.DUMMYFUNCTION("""COMPUTED_VALUE"""),"https://vt.tiktok.com/ZS9NABes7/")</f>
        <v>https://vt.tiktok.com/ZS9NABes7/</v>
      </c>
      <c r="K1146" s="470" t="str">
        <f>IFERROR(__xludf.DUMMYFUNCTION("""COMPUTED_VALUE"""),"KIMME")</f>
        <v>KIMME</v>
      </c>
      <c r="L1146" s="471" t="str">
        <f>IFERROR(__xludf.DUMMYFUNCTION("""COMPUTED_VALUE"""),"https://vt.tiktok.com/ZS9rfkRbf/")</f>
        <v>https://vt.tiktok.com/ZS9rfkRbf/</v>
      </c>
      <c r="M1146" s="470"/>
      <c r="N1146" s="471" t="str">
        <f>IFERROR(__xludf.DUMMYFUNCTION("""COMPUTED_VALUE"""),"https://vt.tiktok.com/ZS9r5ttt2/")</f>
        <v>https://vt.tiktok.com/ZS9r5ttt2/</v>
      </c>
      <c r="O1146" s="470"/>
      <c r="P1146" s="471" t="str">
        <f>IFERROR(__xludf.DUMMYFUNCTION("""COMPUTED_VALUE"""),"https://vt.tiktok.com/ZS9k451qU/")</f>
        <v>https://vt.tiktok.com/ZS9k451qU/</v>
      </c>
    </row>
    <row r="1147">
      <c r="A1147" s="282" t="str">
        <f>IFERROR(__xludf.DUMMYFUNCTION("""COMPUTED_VALUE"""),"MICRO")</f>
        <v>MICRO</v>
      </c>
      <c r="B1147" s="468" t="str">
        <f>IFERROR(__xludf.DUMMYFUNCTION("""COMPUTED_VALUE"""),"Pradel99")</f>
        <v>Pradel99</v>
      </c>
      <c r="C1147" s="283" t="str">
        <f>IFERROR(__xludf.DUMMYFUNCTION("""COMPUTED_VALUE"""),"https://www.tiktok.com/@Pradel99")</f>
        <v>https://www.tiktok.com/@Pradel99</v>
      </c>
      <c r="D1147" s="273">
        <f>IFERROR(__xludf.DUMMYFUNCTION("""COMPUTED_VALUE"""),8.7787577864E10)</f>
        <v>87787577864</v>
      </c>
      <c r="E1147" s="458">
        <f>IFERROR(__xludf.DUMMYFUNCTION("""COMPUTED_VALUE"""),0.0)</f>
        <v>0</v>
      </c>
      <c r="F1147" s="273">
        <f>IFERROR(__xludf.DUMMYFUNCTION("""COMPUTED_VALUE"""),4.0)</f>
        <v>4</v>
      </c>
      <c r="G1147" t="str">
        <f>IFERROR(__xludf.DUMMYFUNCTION("""COMPUTED_VALUE"""),"Sabun batang 1 Box ( 2 PCS )")</f>
        <v>Sabun batang 1 Box ( 2 PCS )</v>
      </c>
      <c r="H1147" s="469" t="str">
        <f>IFERROR(__xludf.DUMMYFUNCTION("""COMPUTED_VALUE"""),"Sampai")</f>
        <v>Sampai</v>
      </c>
      <c r="I1147" s="470" t="str">
        <f>IFERROR(__xludf.DUMMYFUNCTION("""COMPUTED_VALUE"""),"KIMME")</f>
        <v>KIMME</v>
      </c>
      <c r="J1147" s="471" t="str">
        <f>IFERROR(__xludf.DUMMYFUNCTION("""COMPUTED_VALUE"""),"https://vt.tiktok.com/ZS9NABes7/")</f>
        <v>https://vt.tiktok.com/ZS9NABes7/</v>
      </c>
      <c r="K1147" s="470" t="str">
        <f>IFERROR(__xludf.DUMMYFUNCTION("""COMPUTED_VALUE"""),"KIMME")</f>
        <v>KIMME</v>
      </c>
      <c r="L1147" s="471" t="str">
        <f>IFERROR(__xludf.DUMMYFUNCTION("""COMPUTED_VALUE"""),"https://vt.tiktok.com/ZS9rfkRbf/")</f>
        <v>https://vt.tiktok.com/ZS9rfkRbf/</v>
      </c>
      <c r="M1147" s="470"/>
      <c r="N1147" s="471" t="str">
        <f>IFERROR(__xludf.DUMMYFUNCTION("""COMPUTED_VALUE"""),"https://vt.tiktok.com/ZS9r5ttt2/")</f>
        <v>https://vt.tiktok.com/ZS9r5ttt2/</v>
      </c>
      <c r="O1147" s="470"/>
      <c r="P1147" s="471" t="str">
        <f>IFERROR(__xludf.DUMMYFUNCTION("""COMPUTED_VALUE"""),"https://vt.tiktok.com/ZS9k451qU/")</f>
        <v>https://vt.tiktok.com/ZS9k451qU/</v>
      </c>
    </row>
    <row r="1148">
      <c r="A1148" s="282" t="str">
        <f>IFERROR(__xludf.DUMMYFUNCTION("""COMPUTED_VALUE"""),"MICRO")</f>
        <v>MICRO</v>
      </c>
      <c r="B1148" s="468" t="str">
        <f>IFERROR(__xludf.DUMMYFUNCTION("""COMPUTED_VALUE"""),"Mom.ins_")</f>
        <v>Mom.ins_</v>
      </c>
      <c r="C1148" s="283" t="str">
        <f>IFERROR(__xludf.DUMMYFUNCTION("""COMPUTED_VALUE"""),"https://www.tiktok.com/@Mom.ins_")</f>
        <v>https://www.tiktok.com/@Mom.ins_</v>
      </c>
      <c r="D1148" s="273">
        <f>IFERROR(__xludf.DUMMYFUNCTION("""COMPUTED_VALUE"""),8.95323019774E11)</f>
        <v>895323019774</v>
      </c>
      <c r="E1148" s="458">
        <f>IFERROR(__xludf.DUMMYFUNCTION("""COMPUTED_VALUE"""),0.0)</f>
        <v>0</v>
      </c>
      <c r="F1148" s="273">
        <f>IFERROR(__xludf.DUMMYFUNCTION("""COMPUTED_VALUE"""),4.0)</f>
        <v>4</v>
      </c>
      <c r="G1148" t="str">
        <f>IFERROR(__xludf.DUMMYFUNCTION("""COMPUTED_VALUE"""),"Sabun batang 1 Box ( 2 PCS )")</f>
        <v>Sabun batang 1 Box ( 2 PCS )</v>
      </c>
      <c r="H1148" s="469" t="str">
        <f>IFERROR(__xludf.DUMMYFUNCTION("""COMPUTED_VALUE"""),"Sampai")</f>
        <v>Sampai</v>
      </c>
      <c r="I1148" s="470" t="str">
        <f>IFERROR(__xludf.DUMMYFUNCTION("""COMPUTED_VALUE"""),"KIMME")</f>
        <v>KIMME</v>
      </c>
      <c r="J1148" s="471" t="str">
        <f>IFERROR(__xludf.DUMMYFUNCTION("""COMPUTED_VALUE"""),"https://vt.tiktok.com/ZS9QQJMWP/")</f>
        <v>https://vt.tiktok.com/ZS9QQJMWP/</v>
      </c>
      <c r="K1148" s="470" t="str">
        <f>IFERROR(__xludf.DUMMYFUNCTION("""COMPUTED_VALUE"""),"KIMME")</f>
        <v>KIMME</v>
      </c>
      <c r="L1148" s="471" t="str">
        <f>IFERROR(__xludf.DUMMYFUNCTION("""COMPUTED_VALUE"""),"https://www.tiktok.com/@harumrice/video/7637479396848225556?_r=1&amp;u_code=d6j7255963058c&amp;region=&amp;mid=7633007995021970183&amp;preview_pb=0&amp;sharer_language=&amp;_d=0&amp;ec_shared_reflux_dynamic_params=%7B%22placeholder_material_id%22%3A%227637479396848225556%22%2C%22pla"&amp;"ceholder_origin_cover%22%3A%22https%253A%252F%252Fp16-common-sign.tiktokcdn.com%252Ftos-alisg-p-0037%252FoocIgfDn2FZiAC41zT5NjdAfaEQIfDDDQ9xxOw~tplv-tiktokx-origin.jpeg%253Fdr%253D14572%2526refresh_token%253Db9340b9d%2526x-expires%253D1810717200%2526x-sig"&amp;"nature%253DogDIV019IhH3lrx4YOv753FjK8Y%25253D%2526t%253D4d5b0474%2526ps%253D13740610%2526shp%253Dd05b14bd%2526shcp%253D34ff8df6%2526idc%253Dmy3%2526s%253DTIKTOK_AFFILIATE_VIRAL_VIDEO%22%2C%22placeholder_product_id%22%3A%221729427766722726591%22%2C%22place"&amp;"holder_video_id%22%3A%227637479396848225556%22%7D&amp;ec_shared_reflux_scene=shop_tab_feed&amp;share_item_id=7637479396848225556&amp;source=h5_t")</f>
        <v>https://www.tiktok.com/@harumrice/video/7637479396848225556?_r=1&amp;u_code=d6j7255963058c&amp;region=&amp;mid=7633007995021970183&amp;preview_pb=0&amp;sharer_language=&amp;_d=0&amp;ec_shared_reflux_dynamic_params=%7B%22placeholder_material_id%22%3A%227637479396848225556%22%2C%22placeholder_origin_cover%22%3A%22https%253A%252F%252Fp16-common-sign.tiktokcdn.com%252Ftos-alisg-p-0037%252FoocIgfDn2FZiAC41zT5NjdAfaEQIfDDDQ9xxOw~tplv-tiktokx-origin.jpeg%253Fdr%253D14572%2526refresh_token%253Db9340b9d%2526x-expires%253D1810717200%2526x-signature%253DogDIV019IhH3lrx4YOv753FjK8Y%25253D%2526t%253D4d5b0474%2526ps%253D13740610%2526shp%253Dd05b14bd%2526shcp%253D34ff8df6%2526idc%253Dmy3%2526s%253DTIKTOK_AFFILIATE_VIRAL_VIDEO%22%2C%22placeholder_product_id%22%3A%221729427766722726591%22%2C%22placeholder_video_id%22%3A%227637479396848225556%22%7D&amp;ec_shared_reflux_scene=shop_tab_feed&amp;share_item_id=7637479396848225556&amp;source=h5_t</v>
      </c>
      <c r="M1148" s="470"/>
      <c r="N1148" s="471" t="str">
        <f>IFERROR(__xludf.DUMMYFUNCTION("""COMPUTED_VALUE"""),"https://vt.tiktok.com/ZSxTrgFu7/")</f>
        <v>https://vt.tiktok.com/ZSxTrgFu7/</v>
      </c>
      <c r="O1148" s="470"/>
      <c r="P1148" s="471" t="str">
        <f>IFERROR(__xludf.DUMMYFUNCTION("""COMPUTED_VALUE"""),"https://vt.tiktok.com/ZSxTr7GBK/")</f>
        <v>https://vt.tiktok.com/ZSxTr7GBK/</v>
      </c>
    </row>
    <row r="1149">
      <c r="A1149" s="282" t="str">
        <f>IFERROR(__xludf.DUMMYFUNCTION("""COMPUTED_VALUE"""),"MICRO")</f>
        <v>MICRO</v>
      </c>
      <c r="B1149" s="468" t="str">
        <f>IFERROR(__xludf.DUMMYFUNCTION("""COMPUTED_VALUE"""),"borunaburjunabagak")</f>
        <v>borunaburjunabagak</v>
      </c>
      <c r="C1149" s="283" t="str">
        <f>IFERROR(__xludf.DUMMYFUNCTION("""COMPUTED_VALUE"""),"https://www.tiktok.com/@borunaburjunabagak")</f>
        <v>https://www.tiktok.com/@borunaburjunabagak</v>
      </c>
      <c r="D1149" s="273">
        <f>IFERROR(__xludf.DUMMYFUNCTION("""COMPUTED_VALUE"""),8.95809246505E11)</f>
        <v>895809246505</v>
      </c>
      <c r="E1149" s="458">
        <f>IFERROR(__xludf.DUMMYFUNCTION("""COMPUTED_VALUE"""),0.0)</f>
        <v>0</v>
      </c>
      <c r="F1149" s="273">
        <f>IFERROR(__xludf.DUMMYFUNCTION("""COMPUTED_VALUE"""),4.0)</f>
        <v>4</v>
      </c>
      <c r="G1149" t="str">
        <f>IFERROR(__xludf.DUMMYFUNCTION("""COMPUTED_VALUE"""),"Sabun batang 1 Box ( 2 PCS )")</f>
        <v>Sabun batang 1 Box ( 2 PCS )</v>
      </c>
      <c r="H1149" s="469" t="str">
        <f>IFERROR(__xludf.DUMMYFUNCTION("""COMPUTED_VALUE"""),"Sampai")</f>
        <v>Sampai</v>
      </c>
      <c r="I1149" s="470" t="str">
        <f>IFERROR(__xludf.DUMMYFUNCTION("""COMPUTED_VALUE"""),"KIMME")</f>
        <v>KIMME</v>
      </c>
      <c r="J1149" s="471" t="str">
        <f>IFERROR(__xludf.DUMMYFUNCTION("""COMPUTED_VALUE"""),"https://vt.tiktok.com/ZS9NABes7/")</f>
        <v>https://vt.tiktok.com/ZS9NABes7/</v>
      </c>
      <c r="K1149" s="470" t="str">
        <f>IFERROR(__xludf.DUMMYFUNCTION("""COMPUTED_VALUE"""),"KIMME")</f>
        <v>KIMME</v>
      </c>
      <c r="L1149" s="471" t="str">
        <f>IFERROR(__xludf.DUMMYFUNCTION("""COMPUTED_VALUE"""),"https://vt.tiktok.com/ZS9rfkRbf/")</f>
        <v>https://vt.tiktok.com/ZS9rfkRbf/</v>
      </c>
      <c r="M1149" s="470"/>
      <c r="N1149" s="471" t="str">
        <f>IFERROR(__xludf.DUMMYFUNCTION("""COMPUTED_VALUE"""),"https://vt.tiktok.com/ZS9r5ttt2/")</f>
        <v>https://vt.tiktok.com/ZS9r5ttt2/</v>
      </c>
      <c r="O1149" s="470"/>
      <c r="P1149" s="471" t="str">
        <f>IFERROR(__xludf.DUMMYFUNCTION("""COMPUTED_VALUE"""),"https://vt.tiktok.com/ZS9k451qU/")</f>
        <v>https://vt.tiktok.com/ZS9k451qU/</v>
      </c>
    </row>
    <row r="1150">
      <c r="A1150" s="282" t="str">
        <f>IFERROR(__xludf.DUMMYFUNCTION("""COMPUTED_VALUE"""),"MICRO")</f>
        <v>MICRO</v>
      </c>
      <c r="B1150" s="468" t="str">
        <f>IFERROR(__xludf.DUMMYFUNCTION("""COMPUTED_VALUE"""),"biru_langit1000 ")</f>
        <v>biru_langit1000 </v>
      </c>
      <c r="C1150" s="283" t="str">
        <f>IFERROR(__xludf.DUMMYFUNCTION("""COMPUTED_VALUE"""),"https://www.tiktok.com/@biru_langit1000 ")</f>
        <v>https://www.tiktok.com/@biru_langit1000 </v>
      </c>
      <c r="D1150" s="273">
        <f>IFERROR(__xludf.DUMMYFUNCTION("""COMPUTED_VALUE"""),8.1944211121E10)</f>
        <v>81944211121</v>
      </c>
      <c r="E1150" s="458">
        <f>IFERROR(__xludf.DUMMYFUNCTION("""COMPUTED_VALUE"""),0.0)</f>
        <v>0</v>
      </c>
      <c r="F1150" s="273">
        <f>IFERROR(__xludf.DUMMYFUNCTION("""COMPUTED_VALUE"""),4.0)</f>
        <v>4</v>
      </c>
      <c r="G1150" t="str">
        <f>IFERROR(__xludf.DUMMYFUNCTION("""COMPUTED_VALUE"""),"Sabun batang 1 Box ( 2 PCS )")</f>
        <v>Sabun batang 1 Box ( 2 PCS )</v>
      </c>
      <c r="H1150" s="469" t="str">
        <f>IFERROR(__xludf.DUMMYFUNCTION("""COMPUTED_VALUE"""),"Sampai")</f>
        <v>Sampai</v>
      </c>
      <c r="I1150" s="470" t="str">
        <f>IFERROR(__xludf.DUMMYFUNCTION("""COMPUTED_VALUE"""),"KIMME")</f>
        <v>KIMME</v>
      </c>
      <c r="J1150" s="471" t="str">
        <f>IFERROR(__xludf.DUMMYFUNCTION("""COMPUTED_VALUE"""),"https://vt.tiktok.com/ZS9NABes7/")</f>
        <v>https://vt.tiktok.com/ZS9NABes7/</v>
      </c>
      <c r="K1150" s="470" t="str">
        <f>IFERROR(__xludf.DUMMYFUNCTION("""COMPUTED_VALUE"""),"KIMME")</f>
        <v>KIMME</v>
      </c>
      <c r="L1150" s="471" t="str">
        <f>IFERROR(__xludf.DUMMYFUNCTION("""COMPUTED_VALUE"""),"https://vt.tiktok.com/ZS9rfkRbf/")</f>
        <v>https://vt.tiktok.com/ZS9rfkRbf/</v>
      </c>
      <c r="M1150" s="470"/>
      <c r="N1150" s="471" t="str">
        <f>IFERROR(__xludf.DUMMYFUNCTION("""COMPUTED_VALUE"""),"https://vt.tiktok.com/ZS9r5ttt2/")</f>
        <v>https://vt.tiktok.com/ZS9r5ttt2/</v>
      </c>
      <c r="O1150" s="470"/>
      <c r="P1150" s="471" t="str">
        <f>IFERROR(__xludf.DUMMYFUNCTION("""COMPUTED_VALUE"""),"https://vt.tiktok.com/ZS9k451qU/")</f>
        <v>https://vt.tiktok.com/ZS9k451qU/</v>
      </c>
    </row>
    <row r="1151">
      <c r="A1151" s="282" t="str">
        <f>IFERROR(__xludf.DUMMYFUNCTION("""COMPUTED_VALUE"""),"MICRO")</f>
        <v>MICRO</v>
      </c>
      <c r="B1151" s="468" t="str">
        <f>IFERROR(__xludf.DUMMYFUNCTION("""COMPUTED_VALUE"""),"nikencantikanaksamsul")</f>
        <v>nikencantikanaksamsul</v>
      </c>
      <c r="C1151" s="283" t="str">
        <f>IFERROR(__xludf.DUMMYFUNCTION("""COMPUTED_VALUE"""),"https://www.tiktok.com/@nikencantikanaksamsul")</f>
        <v>https://www.tiktok.com/@nikencantikanaksamsul</v>
      </c>
      <c r="D1151" s="273">
        <f>IFERROR(__xludf.DUMMYFUNCTION("""COMPUTED_VALUE"""),8.9513080633E10)</f>
        <v>89513080633</v>
      </c>
      <c r="E1151" s="458">
        <f>IFERROR(__xludf.DUMMYFUNCTION("""COMPUTED_VALUE"""),0.0)</f>
        <v>0</v>
      </c>
      <c r="F1151" s="273">
        <f>IFERROR(__xludf.DUMMYFUNCTION("""COMPUTED_VALUE"""),4.0)</f>
        <v>4</v>
      </c>
      <c r="G1151" t="str">
        <f>IFERROR(__xludf.DUMMYFUNCTION("""COMPUTED_VALUE"""),"Sabun batang 1 Box ( 2 PCS )")</f>
        <v>Sabun batang 1 Box ( 2 PCS )</v>
      </c>
      <c r="H1151" s="469" t="str">
        <f>IFERROR(__xludf.DUMMYFUNCTION("""COMPUTED_VALUE"""),"Sampai")</f>
        <v>Sampai</v>
      </c>
      <c r="I1151" s="470" t="str">
        <f>IFERROR(__xludf.DUMMYFUNCTION("""COMPUTED_VALUE"""),"KIMME")</f>
        <v>KIMME</v>
      </c>
      <c r="J1151" s="471" t="str">
        <f>IFERROR(__xludf.DUMMYFUNCTION("""COMPUTED_VALUE"""),"https://vt.tiktok.com/ZS9NABes7/")</f>
        <v>https://vt.tiktok.com/ZS9NABes7/</v>
      </c>
      <c r="K1151" s="470" t="str">
        <f>IFERROR(__xludf.DUMMYFUNCTION("""COMPUTED_VALUE"""),"KIMME")</f>
        <v>KIMME</v>
      </c>
      <c r="L1151" s="471" t="str">
        <f>IFERROR(__xludf.DUMMYFUNCTION("""COMPUTED_VALUE"""),"https://vt.tiktok.com/ZS9rfkRbf/")</f>
        <v>https://vt.tiktok.com/ZS9rfkRbf/</v>
      </c>
      <c r="M1151" s="470"/>
      <c r="N1151" s="471" t="str">
        <f>IFERROR(__xludf.DUMMYFUNCTION("""COMPUTED_VALUE"""),"https://vt.tiktok.com/ZS9r5ttt2/")</f>
        <v>https://vt.tiktok.com/ZS9r5ttt2/</v>
      </c>
      <c r="O1151" s="470"/>
      <c r="P1151" s="471" t="str">
        <f>IFERROR(__xludf.DUMMYFUNCTION("""COMPUTED_VALUE"""),"https://vt.tiktok.com/ZS9k451qU/")</f>
        <v>https://vt.tiktok.com/ZS9k451qU/</v>
      </c>
    </row>
    <row r="1152">
      <c r="A1152" s="282" t="str">
        <f>IFERROR(__xludf.DUMMYFUNCTION("""COMPUTED_VALUE"""),"MICRO")</f>
        <v>MICRO</v>
      </c>
      <c r="B1152" s="468" t="str">
        <f>IFERROR(__xludf.DUMMYFUNCTION("""COMPUTED_VALUE"""),"Zen.home.id ")</f>
        <v>Zen.home.id </v>
      </c>
      <c r="C1152" s="283" t="str">
        <f>IFERROR(__xludf.DUMMYFUNCTION("""COMPUTED_VALUE"""),"https://www.tiktok.com/@Zen.home.id ")</f>
        <v>https://www.tiktok.com/@Zen.home.id </v>
      </c>
      <c r="D1152" s="273">
        <f>IFERROR(__xludf.DUMMYFUNCTION("""COMPUTED_VALUE"""),8.5218769974E10)</f>
        <v>85218769974</v>
      </c>
      <c r="E1152" s="458">
        <f>IFERROR(__xludf.DUMMYFUNCTION("""COMPUTED_VALUE"""),0.0)</f>
        <v>0</v>
      </c>
      <c r="F1152" s="273">
        <f>IFERROR(__xludf.DUMMYFUNCTION("""COMPUTED_VALUE"""),4.0)</f>
        <v>4</v>
      </c>
      <c r="G1152" t="str">
        <f>IFERROR(__xludf.DUMMYFUNCTION("""COMPUTED_VALUE"""),"Sabun batang 1 Box ( 2 PCS )")</f>
        <v>Sabun batang 1 Box ( 2 PCS )</v>
      </c>
      <c r="H1152" s="469" t="str">
        <f>IFERROR(__xludf.DUMMYFUNCTION("""COMPUTED_VALUE"""),"Sampai")</f>
        <v>Sampai</v>
      </c>
      <c r="I1152" s="470" t="str">
        <f>IFERROR(__xludf.DUMMYFUNCTION("""COMPUTED_VALUE"""),"KIMME")</f>
        <v>KIMME</v>
      </c>
      <c r="J1152" s="471" t="str">
        <f>IFERROR(__xludf.DUMMYFUNCTION("""COMPUTED_VALUE"""),"https://vt.tiktok.com/ZS9NABes7/")</f>
        <v>https://vt.tiktok.com/ZS9NABes7/</v>
      </c>
      <c r="K1152" s="470" t="str">
        <f>IFERROR(__xludf.DUMMYFUNCTION("""COMPUTED_VALUE"""),"KIMME")</f>
        <v>KIMME</v>
      </c>
      <c r="L1152" s="471" t="str">
        <f>IFERROR(__xludf.DUMMYFUNCTION("""COMPUTED_VALUE"""),"https://vt.tiktok.com/ZS9rfkRbf/")</f>
        <v>https://vt.tiktok.com/ZS9rfkRbf/</v>
      </c>
      <c r="M1152" s="470"/>
      <c r="N1152" s="471" t="str">
        <f>IFERROR(__xludf.DUMMYFUNCTION("""COMPUTED_VALUE"""),"https://vt.tiktok.com/ZS9r5ttt2/")</f>
        <v>https://vt.tiktok.com/ZS9r5ttt2/</v>
      </c>
      <c r="O1152" s="470"/>
      <c r="P1152" s="471" t="str">
        <f>IFERROR(__xludf.DUMMYFUNCTION("""COMPUTED_VALUE"""),"https://vt.tiktok.com/ZS9k451qU/")</f>
        <v>https://vt.tiktok.com/ZS9k451qU/</v>
      </c>
    </row>
    <row r="1153">
      <c r="A1153" s="282" t="str">
        <f>IFERROR(__xludf.DUMMYFUNCTION("""COMPUTED_VALUE"""),"MICRO")</f>
        <v>MICRO</v>
      </c>
      <c r="B1153" s="468" t="str">
        <f>IFERROR(__xludf.DUMMYFUNCTION("""COMPUTED_VALUE"""),"erill591")</f>
        <v>erill591</v>
      </c>
      <c r="C1153" s="283" t="str">
        <f>IFERROR(__xludf.DUMMYFUNCTION("""COMPUTED_VALUE"""),"https://www.tiktok.com/@erill591")</f>
        <v>https://www.tiktok.com/@erill591</v>
      </c>
      <c r="D1153" s="273">
        <f>IFERROR(__xludf.DUMMYFUNCTION("""COMPUTED_VALUE"""),8.821114815E10)</f>
        <v>88211148150</v>
      </c>
      <c r="E1153" s="458">
        <f>IFERROR(__xludf.DUMMYFUNCTION("""COMPUTED_VALUE"""),0.0)</f>
        <v>0</v>
      </c>
      <c r="F1153" s="273">
        <f>IFERROR(__xludf.DUMMYFUNCTION("""COMPUTED_VALUE"""),4.0)</f>
        <v>4</v>
      </c>
      <c r="G1153" t="str">
        <f>IFERROR(__xludf.DUMMYFUNCTION("""COMPUTED_VALUE"""),"Sabun batang 1 Box ( 2 PCS )")</f>
        <v>Sabun batang 1 Box ( 2 PCS )</v>
      </c>
      <c r="H1153" s="469" t="str">
        <f>IFERROR(__xludf.DUMMYFUNCTION("""COMPUTED_VALUE"""),"Sampai")</f>
        <v>Sampai</v>
      </c>
      <c r="I1153" s="470" t="str">
        <f>IFERROR(__xludf.DUMMYFUNCTION("""COMPUTED_VALUE"""),"KIMME")</f>
        <v>KIMME</v>
      </c>
      <c r="J1153" s="471" t="str">
        <f>IFERROR(__xludf.DUMMYFUNCTION("""COMPUTED_VALUE"""),"https://vt.tiktok.com/ZS9UdDn82/")</f>
        <v>https://vt.tiktok.com/ZS9UdDn82/</v>
      </c>
      <c r="K1153" s="470" t="str">
        <f>IFERROR(__xludf.DUMMYFUNCTION("""COMPUTED_VALUE"""),"KIMME")</f>
        <v>KIMME</v>
      </c>
      <c r="L1153" s="471" t="str">
        <f>IFERROR(__xludf.DUMMYFUNCTION("""COMPUTED_VALUE"""),"https://vt.tiktok.com/ZS9UdrVqF/")</f>
        <v>https://vt.tiktok.com/ZS9UdrVqF/</v>
      </c>
      <c r="M1153" s="470"/>
      <c r="N1153" s="471" t="str">
        <f>IFERROR(__xludf.DUMMYFUNCTION("""COMPUTED_VALUE"""),"https://vt.tiktok.com/ZS9UdPbv7/")</f>
        <v>https://vt.tiktok.com/ZS9UdPbv7/</v>
      </c>
      <c r="O1153" s="470"/>
      <c r="P1153" s="471" t="str">
        <f>IFERROR(__xludf.DUMMYFUNCTION("""COMPUTED_VALUE"""),"https://vt.tiktok.com/ZSxTAvCJX/")</f>
        <v>https://vt.tiktok.com/ZSxTAvCJX/</v>
      </c>
    </row>
    <row r="1154">
      <c r="A1154" s="282" t="str">
        <f>IFERROR(__xludf.DUMMYFUNCTION("""COMPUTED_VALUE"""),"MICRO")</f>
        <v>MICRO</v>
      </c>
      <c r="B1154" s="468" t="str">
        <f>IFERROR(__xludf.DUMMYFUNCTION("""COMPUTED_VALUE"""),"udin.asep584")</f>
        <v>udin.asep584</v>
      </c>
      <c r="C1154" s="283" t="str">
        <f>IFERROR(__xludf.DUMMYFUNCTION("""COMPUTED_VALUE"""),"https://www.tiktok.com/@udin.asep584")</f>
        <v>https://www.tiktok.com/@udin.asep584</v>
      </c>
      <c r="D1154" s="273">
        <f>IFERROR(__xludf.DUMMYFUNCTION("""COMPUTED_VALUE"""),8.1910990579E10)</f>
        <v>81910990579</v>
      </c>
      <c r="E1154" s="458">
        <f>IFERROR(__xludf.DUMMYFUNCTION("""COMPUTED_VALUE"""),0.0)</f>
        <v>0</v>
      </c>
      <c r="F1154" s="273">
        <f>IFERROR(__xludf.DUMMYFUNCTION("""COMPUTED_VALUE"""),4.0)</f>
        <v>4</v>
      </c>
      <c r="G1154" t="str">
        <f>IFERROR(__xludf.DUMMYFUNCTION("""COMPUTED_VALUE"""),"Sabun batang 1 Box ( 2 PCS )")</f>
        <v>Sabun batang 1 Box ( 2 PCS )</v>
      </c>
      <c r="H1154" s="469" t="str">
        <f>IFERROR(__xludf.DUMMYFUNCTION("""COMPUTED_VALUE"""),"Sampai")</f>
        <v>Sampai</v>
      </c>
      <c r="I1154" s="470" t="str">
        <f>IFERROR(__xludf.DUMMYFUNCTION("""COMPUTED_VALUE"""),"KIMME")</f>
        <v>KIMME</v>
      </c>
      <c r="J1154" s="471" t="str">
        <f>IFERROR(__xludf.DUMMYFUNCTION("""COMPUTED_VALUE"""),"https://vt.tiktok.com/ZSxHe6enp/")</f>
        <v>https://vt.tiktok.com/ZSxHe6enp/</v>
      </c>
      <c r="K1154" s="470" t="str">
        <f>IFERROR(__xludf.DUMMYFUNCTION("""COMPUTED_VALUE"""),"KIMME")</f>
        <v>KIMME</v>
      </c>
      <c r="L1154" s="471" t="str">
        <f>IFERROR(__xludf.DUMMYFUNCTION("""COMPUTED_VALUE"""),"https://vt.tiktok.com/ZSxHeMjRt/")</f>
        <v>https://vt.tiktok.com/ZSxHeMjRt/</v>
      </c>
      <c r="M1154" s="470"/>
      <c r="N1154" s="471" t="str">
        <f>IFERROR(__xludf.DUMMYFUNCTION("""COMPUTED_VALUE"""),"https://vt.tiktok.com/ZSxHejG2c/")</f>
        <v>https://vt.tiktok.com/ZSxHejG2c/</v>
      </c>
      <c r="O1154" s="470"/>
      <c r="P1154" s="471" t="str">
        <f>IFERROR(__xludf.DUMMYFUNCTION("""COMPUTED_VALUE"""),"https://vt.tiktok.com/ZSxHeMe4N/")</f>
        <v>https://vt.tiktok.com/ZSxHeMe4N/</v>
      </c>
    </row>
    <row r="1155">
      <c r="A1155" s="282" t="str">
        <f>IFERROR(__xludf.DUMMYFUNCTION("""COMPUTED_VALUE"""),"MICRO")</f>
        <v>MICRO</v>
      </c>
      <c r="B1155" s="468" t="str">
        <f>IFERROR(__xludf.DUMMYFUNCTION("""COMPUTED_VALUE"""),"keysaputriamira8")</f>
        <v>keysaputriamira8</v>
      </c>
      <c r="C1155" s="283" t="str">
        <f>IFERROR(__xludf.DUMMYFUNCTION("""COMPUTED_VALUE"""),"https://www.tiktok.com/@keysaputriamira8")</f>
        <v>https://www.tiktok.com/@keysaputriamira8</v>
      </c>
      <c r="D1155" s="273">
        <f>IFERROR(__xludf.DUMMYFUNCTION("""COMPUTED_VALUE"""),8.9652323644E10)</f>
        <v>89652323644</v>
      </c>
      <c r="E1155" s="458">
        <f>IFERROR(__xludf.DUMMYFUNCTION("""COMPUTED_VALUE"""),0.0)</f>
        <v>0</v>
      </c>
      <c r="F1155" s="273">
        <f>IFERROR(__xludf.DUMMYFUNCTION("""COMPUTED_VALUE"""),4.0)</f>
        <v>4</v>
      </c>
      <c r="G1155" t="str">
        <f>IFERROR(__xludf.DUMMYFUNCTION("""COMPUTED_VALUE"""),"Sabun batang 1 Box ( 2 PCS )")</f>
        <v>Sabun batang 1 Box ( 2 PCS )</v>
      </c>
      <c r="H1155" s="469" t="str">
        <f>IFERROR(__xludf.DUMMYFUNCTION("""COMPUTED_VALUE"""),"Sampai")</f>
        <v>Sampai</v>
      </c>
      <c r="I1155" s="470" t="str">
        <f>IFERROR(__xludf.DUMMYFUNCTION("""COMPUTED_VALUE"""),"KIMME")</f>
        <v>KIMME</v>
      </c>
      <c r="J1155" s="471" t="str">
        <f>IFERROR(__xludf.DUMMYFUNCTION("""COMPUTED_VALUE"""),"https://vt.tiktok.com/ZS95xRWBh/")</f>
        <v>https://vt.tiktok.com/ZS95xRWBh/</v>
      </c>
      <c r="K1155" s="470" t="str">
        <f>IFERROR(__xludf.DUMMYFUNCTION("""COMPUTED_VALUE"""),"KIMME")</f>
        <v>KIMME</v>
      </c>
      <c r="L1155" s="471" t="str">
        <f>IFERROR(__xludf.DUMMYFUNCTION("""COMPUTED_VALUE"""),"https://vt.tiktok.com/ZS95xyPvV/")</f>
        <v>https://vt.tiktok.com/ZS95xyPvV/</v>
      </c>
      <c r="M1155" s="470"/>
      <c r="N1155" s="471" t="str">
        <f>IFERROR(__xludf.DUMMYFUNCTION("""COMPUTED_VALUE"""),"https://vt.tiktok.com/ZS95x6SRE/")</f>
        <v>https://vt.tiktok.com/ZS95x6SRE/</v>
      </c>
      <c r="O1155" s="470"/>
      <c r="P1155" s="471" t="str">
        <f>IFERROR(__xludf.DUMMYFUNCTION("""COMPUTED_VALUE"""),"https://vt.tiktok.com/ZS95xY2h8/")</f>
        <v>https://vt.tiktok.com/ZS95xY2h8/</v>
      </c>
    </row>
    <row r="1156">
      <c r="A1156" s="282" t="str">
        <f>IFERROR(__xludf.DUMMYFUNCTION("""COMPUTED_VALUE"""),"MICRO")</f>
        <v>MICRO</v>
      </c>
      <c r="B1156" s="468" t="str">
        <f>IFERROR(__xludf.DUMMYFUNCTION("""COMPUTED_VALUE"""),"Rizkirichofficial")</f>
        <v>Rizkirichofficial</v>
      </c>
      <c r="C1156" s="283" t="str">
        <f>IFERROR(__xludf.DUMMYFUNCTION("""COMPUTED_VALUE"""),"https://www.tiktok.com/@Rizkirichofficial")</f>
        <v>https://www.tiktok.com/@Rizkirichofficial</v>
      </c>
      <c r="D1156" s="273">
        <f>IFERROR(__xludf.DUMMYFUNCTION("""COMPUTED_VALUE"""),8.577615873E10)</f>
        <v>85776158730</v>
      </c>
      <c r="E1156" s="458">
        <f>IFERROR(__xludf.DUMMYFUNCTION("""COMPUTED_VALUE"""),0.0)</f>
        <v>0</v>
      </c>
      <c r="F1156" s="273">
        <f>IFERROR(__xludf.DUMMYFUNCTION("""COMPUTED_VALUE"""),4.0)</f>
        <v>4</v>
      </c>
      <c r="G1156" t="str">
        <f>IFERROR(__xludf.DUMMYFUNCTION("""COMPUTED_VALUE"""),"Sabun batang 1 Box ( 2 PCS )")</f>
        <v>Sabun batang 1 Box ( 2 PCS )</v>
      </c>
      <c r="H1156" s="469" t="str">
        <f>IFERROR(__xludf.DUMMYFUNCTION("""COMPUTED_VALUE"""),"Sampai")</f>
        <v>Sampai</v>
      </c>
      <c r="I1156" s="470" t="str">
        <f>IFERROR(__xludf.DUMMYFUNCTION("""COMPUTED_VALUE"""),"KIMME")</f>
        <v>KIMME</v>
      </c>
      <c r="J1156" s="471" t="str">
        <f>IFERROR(__xludf.DUMMYFUNCTION("""COMPUTED_VALUE"""),"https://vt.tiktok.com/ZS95xRWBh/")</f>
        <v>https://vt.tiktok.com/ZS95xRWBh/</v>
      </c>
      <c r="K1156" s="470" t="str">
        <f>IFERROR(__xludf.DUMMYFUNCTION("""COMPUTED_VALUE"""),"KIMME")</f>
        <v>KIMME</v>
      </c>
      <c r="L1156" s="471" t="str">
        <f>IFERROR(__xludf.DUMMYFUNCTION("""COMPUTED_VALUE"""),"https://vt.tiktok.com/ZS95xyPvV/")</f>
        <v>https://vt.tiktok.com/ZS95xyPvV/</v>
      </c>
      <c r="M1156" s="470"/>
      <c r="N1156" s="471" t="str">
        <f>IFERROR(__xludf.DUMMYFUNCTION("""COMPUTED_VALUE"""),"https://vt.tiktok.com/ZS95x6SRE/")</f>
        <v>https://vt.tiktok.com/ZS95x6SRE/</v>
      </c>
      <c r="O1156" s="470"/>
      <c r="P1156" s="471" t="str">
        <f>IFERROR(__xludf.DUMMYFUNCTION("""COMPUTED_VALUE"""),"https://vt.tiktok.com/ZS95xY2h8/")</f>
        <v>https://vt.tiktok.com/ZS95xY2h8/</v>
      </c>
    </row>
    <row r="1157">
      <c r="A1157" s="282" t="str">
        <f>IFERROR(__xludf.DUMMYFUNCTION("""COMPUTED_VALUE"""),"MICRO")</f>
        <v>MICRO</v>
      </c>
      <c r="B1157" s="468" t="str">
        <f>IFERROR(__xludf.DUMMYFUNCTION("""COMPUTED_VALUE"""),"Ratughiftari0353")</f>
        <v>Ratughiftari0353</v>
      </c>
      <c r="C1157" s="283" t="str">
        <f>IFERROR(__xludf.DUMMYFUNCTION("""COMPUTED_VALUE"""),"https://www.tiktok.com/@Ratughiftari0353")</f>
        <v>https://www.tiktok.com/@Ratughiftari0353</v>
      </c>
      <c r="D1157" s="273">
        <f>IFERROR(__xludf.DUMMYFUNCTION("""COMPUTED_VALUE"""),8.5213603861E10)</f>
        <v>85213603861</v>
      </c>
      <c r="E1157" s="458">
        <f>IFERROR(__xludf.DUMMYFUNCTION("""COMPUTED_VALUE"""),0.0)</f>
        <v>0</v>
      </c>
      <c r="F1157" s="273">
        <f>IFERROR(__xludf.DUMMYFUNCTION("""COMPUTED_VALUE"""),4.0)</f>
        <v>4</v>
      </c>
      <c r="G1157" t="str">
        <f>IFERROR(__xludf.DUMMYFUNCTION("""COMPUTED_VALUE"""),"Sabun batang 1 Box ( 2 PCS )")</f>
        <v>Sabun batang 1 Box ( 2 PCS )</v>
      </c>
      <c r="H1157" s="469" t="str">
        <f>IFERROR(__xludf.DUMMYFUNCTION("""COMPUTED_VALUE"""),"Sampai")</f>
        <v>Sampai</v>
      </c>
      <c r="I1157" s="470" t="str">
        <f>IFERROR(__xludf.DUMMYFUNCTION("""COMPUTED_VALUE"""),"KIMME")</f>
        <v>KIMME</v>
      </c>
      <c r="J1157" s="471" t="str">
        <f>IFERROR(__xludf.DUMMYFUNCTION("""COMPUTED_VALUE"""),"https://vt.tiktok.com/ZS95xRWBh/")</f>
        <v>https://vt.tiktok.com/ZS95xRWBh/</v>
      </c>
      <c r="K1157" s="470" t="str">
        <f>IFERROR(__xludf.DUMMYFUNCTION("""COMPUTED_VALUE"""),"KIMME")</f>
        <v>KIMME</v>
      </c>
      <c r="L1157" s="471" t="str">
        <f>IFERROR(__xludf.DUMMYFUNCTION("""COMPUTED_VALUE"""),"https://vt.tiktok.com/ZS95xyPvV/")</f>
        <v>https://vt.tiktok.com/ZS95xyPvV/</v>
      </c>
      <c r="M1157" s="470"/>
      <c r="N1157" s="471" t="str">
        <f>IFERROR(__xludf.DUMMYFUNCTION("""COMPUTED_VALUE"""),"https://vt.tiktok.com/ZS95x6SRE/")</f>
        <v>https://vt.tiktok.com/ZS95x6SRE/</v>
      </c>
      <c r="O1157" s="470"/>
      <c r="P1157" s="471" t="str">
        <f>IFERROR(__xludf.DUMMYFUNCTION("""COMPUTED_VALUE"""),"https://vt.tiktok.com/ZS95xY2h8/")</f>
        <v>https://vt.tiktok.com/ZS95xY2h8/</v>
      </c>
    </row>
    <row r="1158">
      <c r="A1158" s="282" t="str">
        <f>IFERROR(__xludf.DUMMYFUNCTION("""COMPUTED_VALUE"""),"MICRO")</f>
        <v>MICRO</v>
      </c>
      <c r="B1158" s="468" t="str">
        <f>IFERROR(__xludf.DUMMYFUNCTION("""COMPUTED_VALUE"""),"tetehsunda524")</f>
        <v>tetehsunda524</v>
      </c>
      <c r="C1158" s="283" t="str">
        <f>IFERROR(__xludf.DUMMYFUNCTION("""COMPUTED_VALUE"""),"https://www.tiktok.com/@tetehsunda524")</f>
        <v>https://www.tiktok.com/@tetehsunda524</v>
      </c>
      <c r="D1158" s="273">
        <f>IFERROR(__xludf.DUMMYFUNCTION("""COMPUTED_VALUE"""),8.3176655463E10)</f>
        <v>83176655463</v>
      </c>
      <c r="E1158" s="458">
        <f>IFERROR(__xludf.DUMMYFUNCTION("""COMPUTED_VALUE"""),0.0)</f>
        <v>0</v>
      </c>
      <c r="F1158" s="273">
        <f>IFERROR(__xludf.DUMMYFUNCTION("""COMPUTED_VALUE"""),4.0)</f>
        <v>4</v>
      </c>
      <c r="G1158" t="str">
        <f>IFERROR(__xludf.DUMMYFUNCTION("""COMPUTED_VALUE"""),"Sabun batang 1 Box ( 2 PCS )")</f>
        <v>Sabun batang 1 Box ( 2 PCS )</v>
      </c>
      <c r="H1158" s="469" t="str">
        <f>IFERROR(__xludf.DUMMYFUNCTION("""COMPUTED_VALUE"""),"Sampai")</f>
        <v>Sampai</v>
      </c>
      <c r="I1158" s="470" t="str">
        <f>IFERROR(__xludf.DUMMYFUNCTION("""COMPUTED_VALUE"""),"KIMME")</f>
        <v>KIMME</v>
      </c>
      <c r="J1158" s="471" t="str">
        <f>IFERROR(__xludf.DUMMYFUNCTION("""COMPUTED_VALUE"""),"https://vt.tiktok.com/ZS95xRWBh/")</f>
        <v>https://vt.tiktok.com/ZS95xRWBh/</v>
      </c>
      <c r="K1158" s="470" t="str">
        <f>IFERROR(__xludf.DUMMYFUNCTION("""COMPUTED_VALUE"""),"KIMME")</f>
        <v>KIMME</v>
      </c>
      <c r="L1158" s="471" t="str">
        <f>IFERROR(__xludf.DUMMYFUNCTION("""COMPUTED_VALUE"""),"https://vt.tiktok.com/ZS95xyPvV/")</f>
        <v>https://vt.tiktok.com/ZS95xyPvV/</v>
      </c>
      <c r="M1158" s="470"/>
      <c r="N1158" s="471" t="str">
        <f>IFERROR(__xludf.DUMMYFUNCTION("""COMPUTED_VALUE"""),"https://vt.tiktok.com/ZS95x6SRE/")</f>
        <v>https://vt.tiktok.com/ZS95x6SRE/</v>
      </c>
      <c r="O1158" s="470"/>
      <c r="P1158" s="471" t="str">
        <f>IFERROR(__xludf.DUMMYFUNCTION("""COMPUTED_VALUE"""),"https://vt.tiktok.com/ZS95xY2h8/")</f>
        <v>https://vt.tiktok.com/ZS95xY2h8/</v>
      </c>
    </row>
    <row r="1159">
      <c r="A1159" s="282" t="str">
        <f>IFERROR(__xludf.DUMMYFUNCTION("""COMPUTED_VALUE"""),"MICRO")</f>
        <v>MICRO</v>
      </c>
      <c r="B1159" s="468" t="str">
        <f>IFERROR(__xludf.DUMMYFUNCTION("""COMPUTED_VALUE"""),"dita_mardita")</f>
        <v>dita_mardita</v>
      </c>
      <c r="C1159" s="283" t="str">
        <f>IFERROR(__xludf.DUMMYFUNCTION("""COMPUTED_VALUE"""),"https://www.tiktok.com/@dita_mardita")</f>
        <v>https://www.tiktok.com/@dita_mardita</v>
      </c>
      <c r="D1159" s="273">
        <f>IFERROR(__xludf.DUMMYFUNCTION("""COMPUTED_VALUE"""),8.1528673702E10)</f>
        <v>81528673702</v>
      </c>
      <c r="E1159" s="458">
        <f>IFERROR(__xludf.DUMMYFUNCTION("""COMPUTED_VALUE"""),0.0)</f>
        <v>0</v>
      </c>
      <c r="F1159" s="273">
        <f>IFERROR(__xludf.DUMMYFUNCTION("""COMPUTED_VALUE"""),4.0)</f>
        <v>4</v>
      </c>
      <c r="G1159" t="str">
        <f>IFERROR(__xludf.DUMMYFUNCTION("""COMPUTED_VALUE"""),"Sabun batang 1 Box ( 2 PCS )")</f>
        <v>Sabun batang 1 Box ( 2 PCS )</v>
      </c>
      <c r="H1159" s="469" t="str">
        <f>IFERROR(__xludf.DUMMYFUNCTION("""COMPUTED_VALUE"""),"Sampai")</f>
        <v>Sampai</v>
      </c>
      <c r="I1159" s="470" t="str">
        <f>IFERROR(__xludf.DUMMYFUNCTION("""COMPUTED_VALUE"""),"KIMME")</f>
        <v>KIMME</v>
      </c>
      <c r="J1159" s="471" t="str">
        <f>IFERROR(__xludf.DUMMYFUNCTION("""COMPUTED_VALUE"""),"https://vt.tiktok.com/ZS95xRWBh/")</f>
        <v>https://vt.tiktok.com/ZS95xRWBh/</v>
      </c>
      <c r="K1159" s="470" t="str">
        <f>IFERROR(__xludf.DUMMYFUNCTION("""COMPUTED_VALUE"""),"KIMME")</f>
        <v>KIMME</v>
      </c>
      <c r="L1159" s="471" t="str">
        <f>IFERROR(__xludf.DUMMYFUNCTION("""COMPUTED_VALUE"""),"https://vt.tiktok.com/ZS95xyPvV/")</f>
        <v>https://vt.tiktok.com/ZS95xyPvV/</v>
      </c>
      <c r="M1159" s="470"/>
      <c r="N1159" s="471" t="str">
        <f>IFERROR(__xludf.DUMMYFUNCTION("""COMPUTED_VALUE"""),"https://vt.tiktok.com/ZS95x6SRE/")</f>
        <v>https://vt.tiktok.com/ZS95x6SRE/</v>
      </c>
      <c r="O1159" s="470"/>
      <c r="P1159" s="471" t="str">
        <f>IFERROR(__xludf.DUMMYFUNCTION("""COMPUTED_VALUE"""),"https://vt.tiktok.com/ZS95xY2h8/")</f>
        <v>https://vt.tiktok.com/ZS95xY2h8/</v>
      </c>
    </row>
    <row r="1160">
      <c r="A1160" s="282" t="str">
        <f>IFERROR(__xludf.DUMMYFUNCTION("""COMPUTED_VALUE"""),"MICRO")</f>
        <v>MICRO</v>
      </c>
      <c r="B1160" s="468" t="str">
        <f>IFERROR(__xludf.DUMMYFUNCTION("""COMPUTED_VALUE"""),"nurulakhmalia")</f>
        <v>nurulakhmalia</v>
      </c>
      <c r="C1160" s="283" t="str">
        <f>IFERROR(__xludf.DUMMYFUNCTION("""COMPUTED_VALUE"""),"https://www.tiktok.com/@nurulakhmalia")</f>
        <v>https://www.tiktok.com/@nurulakhmalia</v>
      </c>
      <c r="D1160" s="273">
        <f>IFERROR(__xludf.DUMMYFUNCTION("""COMPUTED_VALUE"""),8.227804133E10)</f>
        <v>82278041330</v>
      </c>
      <c r="E1160" s="458">
        <f>IFERROR(__xludf.DUMMYFUNCTION("""COMPUTED_VALUE"""),100000.0)</f>
        <v>100000</v>
      </c>
      <c r="F1160" s="273">
        <f>IFERROR(__xludf.DUMMYFUNCTION("""COMPUTED_VALUE"""),1.0)</f>
        <v>1</v>
      </c>
      <c r="G1160" t="str">
        <f>IFERROR(__xludf.DUMMYFUNCTION("""COMPUTED_VALUE"""),"Sabun batang 1 Box ( 2 PCS )")</f>
        <v>Sabun batang 1 Box ( 2 PCS )</v>
      </c>
      <c r="H1160" s="469" t="str">
        <f>IFERROR(__xludf.DUMMYFUNCTION("""COMPUTED_VALUE"""),"Sampai")</f>
        <v>Sampai</v>
      </c>
      <c r="I1160" s="470" t="str">
        <f>IFERROR(__xludf.DUMMYFUNCTION("""COMPUTED_VALUE"""),"KIMME")</f>
        <v>KIMME</v>
      </c>
      <c r="J1160" s="471" t="str">
        <f>IFERROR(__xludf.DUMMYFUNCTION("""COMPUTED_VALUE"""),"https://vt.tiktok.com/ZS95xRWBh/")</f>
        <v>https://vt.tiktok.com/ZS95xRWBh/</v>
      </c>
      <c r="K1160" s="470" t="str">
        <f>IFERROR(__xludf.DUMMYFUNCTION("""COMPUTED_VALUE"""),"KIMME")</f>
        <v>KIMME</v>
      </c>
      <c r="L1160" s="471" t="str">
        <f>IFERROR(__xludf.DUMMYFUNCTION("""COMPUTED_VALUE"""),"https://vt.tiktok.com/ZS95xyPvV/")</f>
        <v>https://vt.tiktok.com/ZS95xyPvV/</v>
      </c>
      <c r="M1160" s="470"/>
      <c r="N1160" s="471" t="str">
        <f>IFERROR(__xludf.DUMMYFUNCTION("""COMPUTED_VALUE"""),"https://vt.tiktok.com/ZS95x6SRE/")</f>
        <v>https://vt.tiktok.com/ZS95x6SRE/</v>
      </c>
      <c r="O1160" s="470"/>
      <c r="P1160" s="471" t="str">
        <f>IFERROR(__xludf.DUMMYFUNCTION("""COMPUTED_VALUE"""),"https://vt.tiktok.com/ZS95xY2h8/")</f>
        <v>https://vt.tiktok.com/ZS95xY2h8/</v>
      </c>
    </row>
    <row r="1161">
      <c r="A1161" s="282" t="str">
        <f>IFERROR(__xludf.DUMMYFUNCTION("""COMPUTED_VALUE"""),"MICRO")</f>
        <v>MICRO</v>
      </c>
      <c r="B1161" s="468" t="str">
        <f>IFERROR(__xludf.DUMMYFUNCTION("""COMPUTED_VALUE"""),"el.lisss1")</f>
        <v>el.lisss1</v>
      </c>
      <c r="C1161" s="283" t="str">
        <f>IFERROR(__xludf.DUMMYFUNCTION("""COMPUTED_VALUE"""),"https://www.tiktok.com/@el.lisss1")</f>
        <v>https://www.tiktok.com/@el.lisss1</v>
      </c>
      <c r="D1161" s="273">
        <f>IFERROR(__xludf.DUMMYFUNCTION("""COMPUTED_VALUE"""),8.95327252853E11)</f>
        <v>895327252853</v>
      </c>
      <c r="E1161" s="458">
        <f>IFERROR(__xludf.DUMMYFUNCTION("""COMPUTED_VALUE"""),0.0)</f>
        <v>0</v>
      </c>
      <c r="F1161" s="273">
        <f>IFERROR(__xludf.DUMMYFUNCTION("""COMPUTED_VALUE"""),4.0)</f>
        <v>4</v>
      </c>
      <c r="G1161" t="str">
        <f>IFERROR(__xludf.DUMMYFUNCTION("""COMPUTED_VALUE"""),"Sabun batang 1 Box ( 2 PCS )")</f>
        <v>Sabun batang 1 Box ( 2 PCS )</v>
      </c>
      <c r="H1161" s="469" t="str">
        <f>IFERROR(__xludf.DUMMYFUNCTION("""COMPUTED_VALUE"""),"Sampai")</f>
        <v>Sampai</v>
      </c>
      <c r="I1161" s="470" t="str">
        <f>IFERROR(__xludf.DUMMYFUNCTION("""COMPUTED_VALUE"""),"KIMME")</f>
        <v>KIMME</v>
      </c>
      <c r="J1161" s="471" t="str">
        <f>IFERROR(__xludf.DUMMYFUNCTION("""COMPUTED_VALUE"""),"https://vt.tiktok.com/ZS95xRWBh/")</f>
        <v>https://vt.tiktok.com/ZS95xRWBh/</v>
      </c>
      <c r="K1161" s="470" t="str">
        <f>IFERROR(__xludf.DUMMYFUNCTION("""COMPUTED_VALUE"""),"KIMME")</f>
        <v>KIMME</v>
      </c>
      <c r="L1161" s="471" t="str">
        <f>IFERROR(__xludf.DUMMYFUNCTION("""COMPUTED_VALUE"""),"https://vt.tiktok.com/ZS95xyPvV/")</f>
        <v>https://vt.tiktok.com/ZS95xyPvV/</v>
      </c>
      <c r="M1161" s="470"/>
      <c r="N1161" s="471" t="str">
        <f>IFERROR(__xludf.DUMMYFUNCTION("""COMPUTED_VALUE"""),"https://vt.tiktok.com/ZS95x6SRE/")</f>
        <v>https://vt.tiktok.com/ZS95x6SRE/</v>
      </c>
      <c r="O1161" s="470"/>
      <c r="P1161" s="471" t="str">
        <f>IFERROR(__xludf.DUMMYFUNCTION("""COMPUTED_VALUE"""),"https://vt.tiktok.com/ZS95xY2h8/")</f>
        <v>https://vt.tiktok.com/ZS95xY2h8/</v>
      </c>
    </row>
    <row r="1162">
      <c r="A1162" s="282" t="str">
        <f>IFERROR(__xludf.DUMMYFUNCTION("""COMPUTED_VALUE"""),"MACRO")</f>
        <v>MACRO</v>
      </c>
      <c r="B1162" s="468" t="str">
        <f>IFERROR(__xludf.DUMMYFUNCTION("""COMPUTED_VALUE"""),"mysugarcoffee")</f>
        <v>mysugarcoffee</v>
      </c>
      <c r="C1162" s="283" t="str">
        <f>IFERROR(__xludf.DUMMYFUNCTION("""COMPUTED_VALUE"""),"https://www.tiktok.com/@mysugarcoffee")</f>
        <v>https://www.tiktok.com/@mysugarcoffee</v>
      </c>
      <c r="D1162" s="273">
        <f>IFERROR(__xludf.DUMMYFUNCTION("""COMPUTED_VALUE"""),8.111922205E9)</f>
        <v>8111922205</v>
      </c>
      <c r="E1162" s="458">
        <f>IFERROR(__xludf.DUMMYFUNCTION("""COMPUTED_VALUE"""),0.0)</f>
        <v>0</v>
      </c>
      <c r="F1162" s="273">
        <f>IFERROR(__xludf.DUMMYFUNCTION("""COMPUTED_VALUE"""),4.0)</f>
        <v>4</v>
      </c>
      <c r="G1162" t="str">
        <f>IFERROR(__xludf.DUMMYFUNCTION("""COMPUTED_VALUE"""),"Sabun batang 1 Box ( 2 PCS )")</f>
        <v>Sabun batang 1 Box ( 2 PCS )</v>
      </c>
      <c r="H1162" s="469" t="str">
        <f>IFERROR(__xludf.DUMMYFUNCTION("""COMPUTED_VALUE"""),"Sampai")</f>
        <v>Sampai</v>
      </c>
      <c r="I1162" s="470" t="str">
        <f>IFERROR(__xludf.DUMMYFUNCTION("""COMPUTED_VALUE"""),"KIMME")</f>
        <v>KIMME</v>
      </c>
      <c r="J1162" s="471" t="str">
        <f>IFERROR(__xludf.DUMMYFUNCTION("""COMPUTED_VALUE"""),"https://vt.tiktok.com/ZSxHJWMgP/")</f>
        <v>https://vt.tiktok.com/ZSxHJWMgP/</v>
      </c>
      <c r="K1162" s="470" t="str">
        <f>IFERROR(__xludf.DUMMYFUNCTION("""COMPUTED_VALUE"""),"KIMME")</f>
        <v>KIMME</v>
      </c>
      <c r="L1162" s="471" t="str">
        <f>IFERROR(__xludf.DUMMYFUNCTION("""COMPUTED_VALUE"""),"https://vt.tiktok.com/ZSxHJQ2oj/")</f>
        <v>https://vt.tiktok.com/ZSxHJQ2oj/</v>
      </c>
      <c r="M1162" s="470"/>
      <c r="O1162" s="470"/>
    </row>
    <row r="1163">
      <c r="A1163" s="282" t="str">
        <f>IFERROR(__xludf.DUMMYFUNCTION("""COMPUTED_VALUE"""),"MICRO")</f>
        <v>MICRO</v>
      </c>
      <c r="B1163" s="468" t="str">
        <f>IFERROR(__xludf.DUMMYFUNCTION("""COMPUTED_VALUE"""),"ilinajaaa")</f>
        <v>ilinajaaa</v>
      </c>
      <c r="C1163" s="283" t="str">
        <f>IFERROR(__xludf.DUMMYFUNCTION("""COMPUTED_VALUE"""),"https://www.tiktok.com/@ilinajaaa")</f>
        <v>https://www.tiktok.com/@ilinajaaa</v>
      </c>
      <c r="D1163" s="273">
        <f>IFERROR(__xludf.DUMMYFUNCTION("""COMPUTED_VALUE"""),8.5802750859E10)</f>
        <v>85802750859</v>
      </c>
      <c r="E1163" s="458">
        <f>IFERROR(__xludf.DUMMYFUNCTION("""COMPUTED_VALUE"""),0.0)</f>
        <v>0</v>
      </c>
      <c r="F1163" s="273">
        <f>IFERROR(__xludf.DUMMYFUNCTION("""COMPUTED_VALUE"""),1.0)</f>
        <v>1</v>
      </c>
      <c r="G1163" t="str">
        <f>IFERROR(__xludf.DUMMYFUNCTION("""COMPUTED_VALUE"""),"Sabun batang 1 Box ( 2 PCS )")</f>
        <v>Sabun batang 1 Box ( 2 PCS )</v>
      </c>
      <c r="H1163" s="469" t="str">
        <f>IFERROR(__xludf.DUMMYFUNCTION("""COMPUTED_VALUE"""),"Sampai")</f>
        <v>Sampai</v>
      </c>
      <c r="I1163" s="470" t="str">
        <f>IFERROR(__xludf.DUMMYFUNCTION("""COMPUTED_VALUE"""),"KIMME")</f>
        <v>KIMME</v>
      </c>
      <c r="J1163" s="471" t="str">
        <f>IFERROR(__xludf.DUMMYFUNCTION("""COMPUTED_VALUE"""),"https://vt.tiktok.com/ZS95xRWBh/")</f>
        <v>https://vt.tiktok.com/ZS95xRWBh/</v>
      </c>
      <c r="K1163" s="470" t="str">
        <f>IFERROR(__xludf.DUMMYFUNCTION("""COMPUTED_VALUE"""),"KIMME")</f>
        <v>KIMME</v>
      </c>
      <c r="L1163" s="471" t="str">
        <f>IFERROR(__xludf.DUMMYFUNCTION("""COMPUTED_VALUE"""),"https://vt.tiktok.com/ZS95xyPvV/")</f>
        <v>https://vt.tiktok.com/ZS95xyPvV/</v>
      </c>
      <c r="M1163" s="470"/>
      <c r="N1163" s="471" t="str">
        <f>IFERROR(__xludf.DUMMYFUNCTION("""COMPUTED_VALUE"""),"https://vt.tiktok.com/ZS95x6SRE/")</f>
        <v>https://vt.tiktok.com/ZS95x6SRE/</v>
      </c>
      <c r="O1163" s="470"/>
      <c r="P1163" s="471" t="str">
        <f>IFERROR(__xludf.DUMMYFUNCTION("""COMPUTED_VALUE"""),"https://vt.tiktok.com/ZS95xY2h8/")</f>
        <v>https://vt.tiktok.com/ZS95xY2h8/</v>
      </c>
    </row>
    <row r="1164">
      <c r="A1164" s="282" t="str">
        <f>IFERROR(__xludf.DUMMYFUNCTION("""COMPUTED_VALUE"""),"MICRO")</f>
        <v>MICRO</v>
      </c>
      <c r="B1164" s="468" t="str">
        <f>IFERROR(__xludf.DUMMYFUNCTION("""COMPUTED_VALUE"""),"herbertrt")</f>
        <v>herbertrt</v>
      </c>
      <c r="C1164" s="283" t="str">
        <f>IFERROR(__xludf.DUMMYFUNCTION("""COMPUTED_VALUE"""),"https://www.tiktok.com/@herbertrt")</f>
        <v>https://www.tiktok.com/@herbertrt</v>
      </c>
      <c r="D1164" s="273">
        <f>IFERROR(__xludf.DUMMYFUNCTION("""COMPUTED_VALUE"""),8.5277133435E10)</f>
        <v>85277133435</v>
      </c>
      <c r="E1164" s="458">
        <f>IFERROR(__xludf.DUMMYFUNCTION("""COMPUTED_VALUE"""),150000.0)</f>
        <v>150000</v>
      </c>
      <c r="F1164" s="273">
        <f>IFERROR(__xludf.DUMMYFUNCTION("""COMPUTED_VALUE"""),1.0)</f>
        <v>1</v>
      </c>
      <c r="G1164" t="str">
        <f>IFERROR(__xludf.DUMMYFUNCTION("""COMPUTED_VALUE"""),"Sabun batang 1 Box ( 2 PCS )")</f>
        <v>Sabun batang 1 Box ( 2 PCS )</v>
      </c>
      <c r="H1164" s="469" t="str">
        <f>IFERROR(__xludf.DUMMYFUNCTION("""COMPUTED_VALUE"""),"Sampai")</f>
        <v>Sampai</v>
      </c>
      <c r="I1164" s="470" t="str">
        <f>IFERROR(__xludf.DUMMYFUNCTION("""COMPUTED_VALUE"""),"KIMME")</f>
        <v>KIMME</v>
      </c>
      <c r="J1164" s="471" t="str">
        <f>IFERROR(__xludf.DUMMYFUNCTION("""COMPUTED_VALUE"""),"https://vt.tiktok.com/ZS95xRWBh/")</f>
        <v>https://vt.tiktok.com/ZS95xRWBh/</v>
      </c>
      <c r="K1164" s="470" t="str">
        <f>IFERROR(__xludf.DUMMYFUNCTION("""COMPUTED_VALUE"""),"KIMME")</f>
        <v>KIMME</v>
      </c>
      <c r="L1164" s="471" t="str">
        <f>IFERROR(__xludf.DUMMYFUNCTION("""COMPUTED_VALUE"""),"https://vt.tiktok.com/ZS95xyPvV/")</f>
        <v>https://vt.tiktok.com/ZS95xyPvV/</v>
      </c>
      <c r="M1164" s="470"/>
      <c r="N1164" s="471" t="str">
        <f>IFERROR(__xludf.DUMMYFUNCTION("""COMPUTED_VALUE"""),"https://vt.tiktok.com/ZS95x6SRE/")</f>
        <v>https://vt.tiktok.com/ZS95x6SRE/</v>
      </c>
      <c r="O1164" s="470"/>
      <c r="P1164" s="471" t="str">
        <f>IFERROR(__xludf.DUMMYFUNCTION("""COMPUTED_VALUE"""),"https://vt.tiktok.com/ZS95xY2h8/")</f>
        <v>https://vt.tiktok.com/ZS95xY2h8/</v>
      </c>
    </row>
    <row r="1165">
      <c r="A1165" s="282" t="str">
        <f>IFERROR(__xludf.DUMMYFUNCTION("""COMPUTED_VALUE"""),"MICRO")</f>
        <v>MICRO</v>
      </c>
      <c r="B1165" s="468" t="str">
        <f>IFERROR(__xludf.DUMMYFUNCTION("""COMPUTED_VALUE"""),"fauziiaaa__
")</f>
        <v>fauziiaaa__
</v>
      </c>
      <c r="C1165" s="283" t="str">
        <f>IFERROR(__xludf.DUMMYFUNCTION("""COMPUTED_VALUE"""),"https://www.tiktok.com/@fauziiaaa__
")</f>
        <v>https://www.tiktok.com/@fauziiaaa__
</v>
      </c>
      <c r="D1165" s="273">
        <f>IFERROR(__xludf.DUMMYFUNCTION("""COMPUTED_VALUE"""),8.5724476034E10)</f>
        <v>85724476034</v>
      </c>
      <c r="E1165" s="458">
        <f>IFERROR(__xludf.DUMMYFUNCTION("""COMPUTED_VALUE"""),0.0)</f>
        <v>0</v>
      </c>
      <c r="F1165" s="273">
        <f>IFERROR(__xludf.DUMMYFUNCTION("""COMPUTED_VALUE"""),1.0)</f>
        <v>1</v>
      </c>
      <c r="G1165" t="str">
        <f>IFERROR(__xludf.DUMMYFUNCTION("""COMPUTED_VALUE"""),"Sabun batang 1 Box ( 2 PCS )")</f>
        <v>Sabun batang 1 Box ( 2 PCS )</v>
      </c>
      <c r="H1165" s="469" t="str">
        <f>IFERROR(__xludf.DUMMYFUNCTION("""COMPUTED_VALUE"""),"Sampai")</f>
        <v>Sampai</v>
      </c>
      <c r="I1165" s="470" t="str">
        <f>IFERROR(__xludf.DUMMYFUNCTION("""COMPUTED_VALUE"""),"KIMME")</f>
        <v>KIMME</v>
      </c>
      <c r="J1165" s="471" t="str">
        <f>IFERROR(__xludf.DUMMYFUNCTION("""COMPUTED_VALUE"""),"https://vt.tiktok.com/ZS95xRWBh/")</f>
        <v>https://vt.tiktok.com/ZS95xRWBh/</v>
      </c>
      <c r="K1165" s="470" t="str">
        <f>IFERROR(__xludf.DUMMYFUNCTION("""COMPUTED_VALUE"""),"KIMME")</f>
        <v>KIMME</v>
      </c>
      <c r="L1165" s="471" t="str">
        <f>IFERROR(__xludf.DUMMYFUNCTION("""COMPUTED_VALUE"""),"https://vt.tiktok.com/ZS95xyPvV/")</f>
        <v>https://vt.tiktok.com/ZS95xyPvV/</v>
      </c>
      <c r="M1165" s="470"/>
      <c r="N1165" s="471" t="str">
        <f>IFERROR(__xludf.DUMMYFUNCTION("""COMPUTED_VALUE"""),"https://vt.tiktok.com/ZS95x6SRE/")</f>
        <v>https://vt.tiktok.com/ZS95x6SRE/</v>
      </c>
      <c r="O1165" s="470"/>
      <c r="P1165" s="471" t="str">
        <f>IFERROR(__xludf.DUMMYFUNCTION("""COMPUTED_VALUE"""),"https://vt.tiktok.com/ZS95xY2h8/")</f>
        <v>https://vt.tiktok.com/ZS95xY2h8/</v>
      </c>
    </row>
    <row r="1166">
      <c r="A1166" s="282" t="str">
        <f>IFERROR(__xludf.DUMMYFUNCTION("""COMPUTED_VALUE"""),"MICRO")</f>
        <v>MICRO</v>
      </c>
      <c r="B1166" s="468" t="str">
        <f>IFERROR(__xludf.DUMMYFUNCTION("""COMPUTED_VALUE"""),"lidstv_")</f>
        <v>lidstv_</v>
      </c>
      <c r="C1166" s="283" t="str">
        <f>IFERROR(__xludf.DUMMYFUNCTION("""COMPUTED_VALUE"""),"https://www.tiktok.com/@lidstv_")</f>
        <v>https://www.tiktok.com/@lidstv_</v>
      </c>
      <c r="D1166" s="273">
        <f>IFERROR(__xludf.DUMMYFUNCTION("""COMPUTED_VALUE"""),8.1252277705E10)</f>
        <v>81252277705</v>
      </c>
      <c r="E1166" s="458">
        <f>IFERROR(__xludf.DUMMYFUNCTION("""COMPUTED_VALUE"""),0.0)</f>
        <v>0</v>
      </c>
      <c r="F1166" s="273">
        <f>IFERROR(__xludf.DUMMYFUNCTION("""COMPUTED_VALUE"""),2.0)</f>
        <v>2</v>
      </c>
      <c r="G1166" t="str">
        <f>IFERROR(__xludf.DUMMYFUNCTION("""COMPUTED_VALUE"""),"Sabun batang 1 Box ( 2 PCS )")</f>
        <v>Sabun batang 1 Box ( 2 PCS )</v>
      </c>
      <c r="H1166" s="469" t="str">
        <f>IFERROR(__xludf.DUMMYFUNCTION("""COMPUTED_VALUE"""),"Sampai")</f>
        <v>Sampai</v>
      </c>
      <c r="I1166" s="470" t="str">
        <f>IFERROR(__xludf.DUMMYFUNCTION("""COMPUTED_VALUE"""),"KIMME")</f>
        <v>KIMME</v>
      </c>
      <c r="J1166" s="471" t="str">
        <f>IFERROR(__xludf.DUMMYFUNCTION("""COMPUTED_VALUE"""),"https://vt.tiktok.com/ZS95xRWBh/")</f>
        <v>https://vt.tiktok.com/ZS95xRWBh/</v>
      </c>
      <c r="K1166" s="470" t="str">
        <f>IFERROR(__xludf.DUMMYFUNCTION("""COMPUTED_VALUE"""),"KIMME")</f>
        <v>KIMME</v>
      </c>
      <c r="L1166" s="471" t="str">
        <f>IFERROR(__xludf.DUMMYFUNCTION("""COMPUTED_VALUE"""),"https://vt.tiktok.com/ZS95xyPvV/")</f>
        <v>https://vt.tiktok.com/ZS95xyPvV/</v>
      </c>
      <c r="M1166" s="470"/>
      <c r="N1166" s="471" t="str">
        <f>IFERROR(__xludf.DUMMYFUNCTION("""COMPUTED_VALUE"""),"https://vt.tiktok.com/ZS95x6SRE/")</f>
        <v>https://vt.tiktok.com/ZS95x6SRE/</v>
      </c>
      <c r="O1166" s="470"/>
      <c r="P1166" s="471" t="str">
        <f>IFERROR(__xludf.DUMMYFUNCTION("""COMPUTED_VALUE"""),"https://vt.tiktok.com/ZS95xY2h8/")</f>
        <v>https://vt.tiktok.com/ZS95xY2h8/</v>
      </c>
    </row>
    <row r="1167">
      <c r="A1167" s="282" t="str">
        <f>IFERROR(__xludf.DUMMYFUNCTION("""COMPUTED_VALUE"""),"MICRO")</f>
        <v>MICRO</v>
      </c>
      <c r="B1167" s="468" t="str">
        <f>IFERROR(__xludf.DUMMYFUNCTION("""COMPUTED_VALUE"""),"kandiaskanzah")</f>
        <v>kandiaskanzah</v>
      </c>
      <c r="C1167" s="283" t="str">
        <f>IFERROR(__xludf.DUMMYFUNCTION("""COMPUTED_VALUE"""),"https://www.tiktok.com/@kandiaskanzah")</f>
        <v>https://www.tiktok.com/@kandiaskanzah</v>
      </c>
      <c r="D1167" s="273">
        <f>IFERROR(__xludf.DUMMYFUNCTION("""COMPUTED_VALUE"""),8.3894019451E10)</f>
        <v>83894019451</v>
      </c>
      <c r="E1167" s="458">
        <f>IFERROR(__xludf.DUMMYFUNCTION("""COMPUTED_VALUE"""),0.0)</f>
        <v>0</v>
      </c>
      <c r="F1167" s="273">
        <f>IFERROR(__xludf.DUMMYFUNCTION("""COMPUTED_VALUE"""),4.0)</f>
        <v>4</v>
      </c>
      <c r="G1167" t="str">
        <f>IFERROR(__xludf.DUMMYFUNCTION("""COMPUTED_VALUE"""),"Sabun batang 1 Box ( 2 PCS )")</f>
        <v>Sabun batang 1 Box ( 2 PCS )</v>
      </c>
      <c r="H1167" s="469" t="str">
        <f>IFERROR(__xludf.DUMMYFUNCTION("""COMPUTED_VALUE"""),"Sampai")</f>
        <v>Sampai</v>
      </c>
      <c r="I1167" s="470" t="str">
        <f>IFERROR(__xludf.DUMMYFUNCTION("""COMPUTED_VALUE"""),"KIMME")</f>
        <v>KIMME</v>
      </c>
      <c r="J1167" s="471" t="str">
        <f>IFERROR(__xludf.DUMMYFUNCTION("""COMPUTED_VALUE"""),"https://vt.tiktok.com/ZS95xRWBh/")</f>
        <v>https://vt.tiktok.com/ZS95xRWBh/</v>
      </c>
      <c r="K1167" s="470" t="str">
        <f>IFERROR(__xludf.DUMMYFUNCTION("""COMPUTED_VALUE"""),"KIMME")</f>
        <v>KIMME</v>
      </c>
      <c r="L1167" s="471" t="str">
        <f>IFERROR(__xludf.DUMMYFUNCTION("""COMPUTED_VALUE"""),"https://vt.tiktok.com/ZS95xyPvV/")</f>
        <v>https://vt.tiktok.com/ZS95xyPvV/</v>
      </c>
      <c r="M1167" s="470"/>
      <c r="N1167" s="471" t="str">
        <f>IFERROR(__xludf.DUMMYFUNCTION("""COMPUTED_VALUE"""),"https://vt.tiktok.com/ZS95x6SRE/")</f>
        <v>https://vt.tiktok.com/ZS95x6SRE/</v>
      </c>
      <c r="O1167" s="470"/>
      <c r="P1167" s="471" t="str">
        <f>IFERROR(__xludf.DUMMYFUNCTION("""COMPUTED_VALUE"""),"https://vt.tiktok.com/ZS95xY2h8/")</f>
        <v>https://vt.tiktok.com/ZS95xY2h8/</v>
      </c>
    </row>
    <row r="1168">
      <c r="A1168" s="282" t="str">
        <f>IFERROR(__xludf.DUMMYFUNCTION("""COMPUTED_VALUE"""),"MICRO")</f>
        <v>MICRO</v>
      </c>
      <c r="B1168" s="468" t="str">
        <f>IFERROR(__xludf.DUMMYFUNCTION("""COMPUTED_VALUE"""),"xyme.dytaa")</f>
        <v>xyme.dytaa</v>
      </c>
      <c r="C1168" s="283" t="str">
        <f>IFERROR(__xludf.DUMMYFUNCTION("""COMPUTED_VALUE"""),"https://www.tiktok.com/@xyme.dytaa")</f>
        <v>https://www.tiktok.com/@xyme.dytaa</v>
      </c>
      <c r="D1168" s="273">
        <f>IFERROR(__xludf.DUMMYFUNCTION("""COMPUTED_VALUE"""),8.2114349392E10)</f>
        <v>82114349392</v>
      </c>
      <c r="E1168" s="458">
        <f>IFERROR(__xludf.DUMMYFUNCTION("""COMPUTED_VALUE"""),0.0)</f>
        <v>0</v>
      </c>
      <c r="F1168" s="273">
        <f>IFERROR(__xludf.DUMMYFUNCTION("""COMPUTED_VALUE"""),4.0)</f>
        <v>4</v>
      </c>
      <c r="G1168" t="str">
        <f>IFERROR(__xludf.DUMMYFUNCTION("""COMPUTED_VALUE"""),"Sabun batang 1 Box ( 2 PCS )")</f>
        <v>Sabun batang 1 Box ( 2 PCS )</v>
      </c>
      <c r="H1168" s="469" t="str">
        <f>IFERROR(__xludf.DUMMYFUNCTION("""COMPUTED_VALUE"""),"Sampai")</f>
        <v>Sampai</v>
      </c>
      <c r="I1168" s="470" t="str">
        <f>IFERROR(__xludf.DUMMYFUNCTION("""COMPUTED_VALUE"""),"KIMME")</f>
        <v>KIMME</v>
      </c>
      <c r="J1168" s="471" t="str">
        <f>IFERROR(__xludf.DUMMYFUNCTION("""COMPUTED_VALUE"""),"https://vt.tiktok.com/ZS95xRWBh/")</f>
        <v>https://vt.tiktok.com/ZS95xRWBh/</v>
      </c>
      <c r="K1168" s="470" t="str">
        <f>IFERROR(__xludf.DUMMYFUNCTION("""COMPUTED_VALUE"""),"KIMME")</f>
        <v>KIMME</v>
      </c>
      <c r="L1168" s="471" t="str">
        <f>IFERROR(__xludf.DUMMYFUNCTION("""COMPUTED_VALUE"""),"https://vt.tiktok.com/ZS95xyPvV/")</f>
        <v>https://vt.tiktok.com/ZS95xyPvV/</v>
      </c>
      <c r="M1168" s="470"/>
      <c r="N1168" s="471" t="str">
        <f>IFERROR(__xludf.DUMMYFUNCTION("""COMPUTED_VALUE"""),"https://vt.tiktok.com/ZS95x6SRE/")</f>
        <v>https://vt.tiktok.com/ZS95x6SRE/</v>
      </c>
      <c r="O1168" s="470"/>
      <c r="P1168" s="471" t="str">
        <f>IFERROR(__xludf.DUMMYFUNCTION("""COMPUTED_VALUE"""),"https://vt.tiktok.com/ZS95xY2h8/")</f>
        <v>https://vt.tiktok.com/ZS95xY2h8/</v>
      </c>
    </row>
    <row r="1169">
      <c r="A1169" s="282" t="str">
        <f>IFERROR(__xludf.DUMMYFUNCTION("""COMPUTED_VALUE"""),"MICRO")</f>
        <v>MICRO</v>
      </c>
      <c r="B1169" s="468" t="str">
        <f>IFERROR(__xludf.DUMMYFUNCTION("""COMPUTED_VALUE"""),"cynthiadesiree")</f>
        <v>cynthiadesiree</v>
      </c>
      <c r="C1169" s="283" t="str">
        <f>IFERROR(__xludf.DUMMYFUNCTION("""COMPUTED_VALUE"""),"https://www.tiktok.com/@cynthiadesiree")</f>
        <v>https://www.tiktok.com/@cynthiadesiree</v>
      </c>
      <c r="D1169" s="273">
        <f>IFERROR(__xludf.DUMMYFUNCTION("""COMPUTED_VALUE"""),8.1381859556E10)</f>
        <v>81381859556</v>
      </c>
      <c r="E1169" s="458">
        <f>IFERROR(__xludf.DUMMYFUNCTION("""COMPUTED_VALUE"""),0.0)</f>
        <v>0</v>
      </c>
      <c r="F1169" s="273">
        <f>IFERROR(__xludf.DUMMYFUNCTION("""COMPUTED_VALUE"""),4.0)</f>
        <v>4</v>
      </c>
      <c r="G1169" t="str">
        <f>IFERROR(__xludf.DUMMYFUNCTION("""COMPUTED_VALUE"""),"Sabun batang 1 Box ( 2 PCS )")</f>
        <v>Sabun batang 1 Box ( 2 PCS )</v>
      </c>
      <c r="H1169" s="469" t="str">
        <f>IFERROR(__xludf.DUMMYFUNCTION("""COMPUTED_VALUE"""),"Sampai")</f>
        <v>Sampai</v>
      </c>
      <c r="I1169" s="470" t="str">
        <f>IFERROR(__xludf.DUMMYFUNCTION("""COMPUTED_VALUE"""),"KIMME")</f>
        <v>KIMME</v>
      </c>
      <c r="J1169" s="471" t="str">
        <f>IFERROR(__xludf.DUMMYFUNCTION("""COMPUTED_VALUE"""),"https://vt.tiktok.com/ZS95xRWBh/")</f>
        <v>https://vt.tiktok.com/ZS95xRWBh/</v>
      </c>
      <c r="K1169" s="470" t="str">
        <f>IFERROR(__xludf.DUMMYFUNCTION("""COMPUTED_VALUE"""),"KIMME")</f>
        <v>KIMME</v>
      </c>
      <c r="L1169" s="471" t="str">
        <f>IFERROR(__xludf.DUMMYFUNCTION("""COMPUTED_VALUE"""),"https://vt.tiktok.com/ZS95xyPvV/")</f>
        <v>https://vt.tiktok.com/ZS95xyPvV/</v>
      </c>
      <c r="M1169" s="470"/>
      <c r="N1169" s="471" t="str">
        <f>IFERROR(__xludf.DUMMYFUNCTION("""COMPUTED_VALUE"""),"https://vt.tiktok.com/ZS95x6SRE/")</f>
        <v>https://vt.tiktok.com/ZS95x6SRE/</v>
      </c>
      <c r="O1169" s="470"/>
      <c r="P1169" s="471" t="str">
        <f>IFERROR(__xludf.DUMMYFUNCTION("""COMPUTED_VALUE"""),"https://vt.tiktok.com/ZS95xY2h8/")</f>
        <v>https://vt.tiktok.com/ZS95xY2h8/</v>
      </c>
    </row>
    <row r="1170">
      <c r="A1170" s="282" t="str">
        <f>IFERROR(__xludf.DUMMYFUNCTION("""COMPUTED_VALUE"""),"MICRO")</f>
        <v>MICRO</v>
      </c>
      <c r="B1170" s="468" t="str">
        <f>IFERROR(__xludf.DUMMYFUNCTION("""COMPUTED_VALUE"""),"_itsmecaacadump_")</f>
        <v>_itsmecaacadump_</v>
      </c>
      <c r="C1170" s="283" t="str">
        <f>IFERROR(__xludf.DUMMYFUNCTION("""COMPUTED_VALUE"""),"https://www.tiktok.com/@_itsmecaacadump_")</f>
        <v>https://www.tiktok.com/@_itsmecaacadump_</v>
      </c>
      <c r="D1170" s="273">
        <f>IFERROR(__xludf.DUMMYFUNCTION("""COMPUTED_VALUE"""),8.5760916245E10)</f>
        <v>85760916245</v>
      </c>
      <c r="E1170" s="458">
        <f>IFERROR(__xludf.DUMMYFUNCTION("""COMPUTED_VALUE"""),0.0)</f>
        <v>0</v>
      </c>
      <c r="F1170" s="273">
        <f>IFERROR(__xludf.DUMMYFUNCTION("""COMPUTED_VALUE"""),4.0)</f>
        <v>4</v>
      </c>
      <c r="G1170" t="str">
        <f>IFERROR(__xludf.DUMMYFUNCTION("""COMPUTED_VALUE"""),"Sabun batang 1 Box ( 2 PCS )")</f>
        <v>Sabun batang 1 Box ( 2 PCS )</v>
      </c>
      <c r="H1170" s="469" t="str">
        <f>IFERROR(__xludf.DUMMYFUNCTION("""COMPUTED_VALUE"""),"Sampai")</f>
        <v>Sampai</v>
      </c>
      <c r="I1170" s="470" t="str">
        <f>IFERROR(__xludf.DUMMYFUNCTION("""COMPUTED_VALUE"""),"KIMME")</f>
        <v>KIMME</v>
      </c>
      <c r="J1170" s="471" t="str">
        <f>IFERROR(__xludf.DUMMYFUNCTION("""COMPUTED_VALUE"""),"https://vt.tiktok.com/ZS95xRWBh/")</f>
        <v>https://vt.tiktok.com/ZS95xRWBh/</v>
      </c>
      <c r="K1170" s="470" t="str">
        <f>IFERROR(__xludf.DUMMYFUNCTION("""COMPUTED_VALUE"""),"KIMME")</f>
        <v>KIMME</v>
      </c>
      <c r="L1170" s="471" t="str">
        <f>IFERROR(__xludf.DUMMYFUNCTION("""COMPUTED_VALUE"""),"https://vt.tiktok.com/ZS95xyPvV/")</f>
        <v>https://vt.tiktok.com/ZS95xyPvV/</v>
      </c>
      <c r="M1170" s="470"/>
      <c r="N1170" s="471" t="str">
        <f>IFERROR(__xludf.DUMMYFUNCTION("""COMPUTED_VALUE"""),"https://vt.tiktok.com/ZS95x6SRE/")</f>
        <v>https://vt.tiktok.com/ZS95x6SRE/</v>
      </c>
      <c r="O1170" s="470"/>
      <c r="P1170" s="471" t="str">
        <f>IFERROR(__xludf.DUMMYFUNCTION("""COMPUTED_VALUE"""),"https://vt.tiktok.com/ZS95xY2h8/")</f>
        <v>https://vt.tiktok.com/ZS95xY2h8/</v>
      </c>
    </row>
    <row r="1171">
      <c r="A1171" s="282" t="str">
        <f>IFERROR(__xludf.DUMMYFUNCTION("""COMPUTED_VALUE"""),"MICRO")</f>
        <v>MICRO</v>
      </c>
      <c r="B1171" s="468" t="str">
        <f>IFERROR(__xludf.DUMMYFUNCTION("""COMPUTED_VALUE"""),"_ayyoen")</f>
        <v>_ayyoen</v>
      </c>
      <c r="C1171" s="283" t="str">
        <f>IFERROR(__xludf.DUMMYFUNCTION("""COMPUTED_VALUE"""),"https://www.tiktok.com/@_ayyoen")</f>
        <v>https://www.tiktok.com/@_ayyoen</v>
      </c>
      <c r="D1171" s="273">
        <f>IFERROR(__xludf.DUMMYFUNCTION("""COMPUTED_VALUE"""),8.5776744109E10)</f>
        <v>85776744109</v>
      </c>
      <c r="E1171" s="458">
        <f>IFERROR(__xludf.DUMMYFUNCTION("""COMPUTED_VALUE"""),0.0)</f>
        <v>0</v>
      </c>
      <c r="F1171" s="273">
        <f>IFERROR(__xludf.DUMMYFUNCTION("""COMPUTED_VALUE"""),4.0)</f>
        <v>4</v>
      </c>
      <c r="G1171" t="str">
        <f>IFERROR(__xludf.DUMMYFUNCTION("""COMPUTED_VALUE"""),"Sabun batang 1 Box ( 2 PCS )")</f>
        <v>Sabun batang 1 Box ( 2 PCS )</v>
      </c>
      <c r="H1171" s="469" t="str">
        <f>IFERROR(__xludf.DUMMYFUNCTION("""COMPUTED_VALUE"""),"Sampai")</f>
        <v>Sampai</v>
      </c>
      <c r="I1171" s="470" t="str">
        <f>IFERROR(__xludf.DUMMYFUNCTION("""COMPUTED_VALUE"""),"KIMME")</f>
        <v>KIMME</v>
      </c>
      <c r="J1171" s="471" t="str">
        <f>IFERROR(__xludf.DUMMYFUNCTION("""COMPUTED_VALUE"""),"https://vt.tiktok.com/ZSxTesLW2/")</f>
        <v>https://vt.tiktok.com/ZSxTesLW2/</v>
      </c>
      <c r="K1171" s="470" t="str">
        <f>IFERROR(__xludf.DUMMYFUNCTION("""COMPUTED_VALUE"""),"KIMME")</f>
        <v>KIMME</v>
      </c>
      <c r="L1171" s="471" t="str">
        <f>IFERROR(__xludf.DUMMYFUNCTION("""COMPUTED_VALUE"""),"https://vt.tiktok.com/ZSxTesNao/")</f>
        <v>https://vt.tiktok.com/ZSxTesNao/</v>
      </c>
      <c r="M1171" s="470"/>
      <c r="N1171" s="471" t="str">
        <f>IFERROR(__xludf.DUMMYFUNCTION("""COMPUTED_VALUE"""),"https://vt.tiktok.com/ZSxTeX2tH/")</f>
        <v>https://vt.tiktok.com/ZSxTeX2tH/</v>
      </c>
      <c r="O1171" s="470"/>
      <c r="P1171" s="471" t="str">
        <f>IFERROR(__xludf.DUMMYFUNCTION("""COMPUTED_VALUE"""),"https://vt.tiktok.com/ZSxTeuyqX/")</f>
        <v>https://vt.tiktok.com/ZSxTeuyqX/</v>
      </c>
    </row>
    <row r="1172">
      <c r="A1172" s="282" t="str">
        <f>IFERROR(__xludf.DUMMYFUNCTION("""COMPUTED_VALUE"""),"MICRO")</f>
        <v>MICRO</v>
      </c>
      <c r="B1172" s="468" t="str">
        <f>IFERROR(__xludf.DUMMYFUNCTION("""COMPUTED_VALUE"""),"nisaaahs_")</f>
        <v>nisaaahs_</v>
      </c>
      <c r="C1172" s="283" t="str">
        <f>IFERROR(__xludf.DUMMYFUNCTION("""COMPUTED_VALUE"""),"https://www.tiktok.com/@nisaaahs_")</f>
        <v>https://www.tiktok.com/@nisaaahs_</v>
      </c>
      <c r="D1172" s="273">
        <f>IFERROR(__xludf.DUMMYFUNCTION("""COMPUTED_VALUE"""),8.7885698556E10)</f>
        <v>87885698556</v>
      </c>
      <c r="E1172" s="458">
        <f>IFERROR(__xludf.DUMMYFUNCTION("""COMPUTED_VALUE"""),0.0)</f>
        <v>0</v>
      </c>
      <c r="F1172" s="273">
        <f>IFERROR(__xludf.DUMMYFUNCTION("""COMPUTED_VALUE"""),4.0)</f>
        <v>4</v>
      </c>
      <c r="G1172" t="str">
        <f>IFERROR(__xludf.DUMMYFUNCTION("""COMPUTED_VALUE"""),"Sabun batang 1 Box ( 2 PCS )")</f>
        <v>Sabun batang 1 Box ( 2 PCS )</v>
      </c>
      <c r="H1172" s="469" t="str">
        <f>IFERROR(__xludf.DUMMYFUNCTION("""COMPUTED_VALUE"""),"Sampai")</f>
        <v>Sampai</v>
      </c>
      <c r="I1172" s="470" t="str">
        <f>IFERROR(__xludf.DUMMYFUNCTION("""COMPUTED_VALUE"""),"KIMME")</f>
        <v>KIMME</v>
      </c>
      <c r="J1172" s="471" t="str">
        <f>IFERROR(__xludf.DUMMYFUNCTION("""COMPUTED_VALUE"""),"https://vt.tiktok.com/ZS9HVxvuM/")</f>
        <v>https://vt.tiktok.com/ZS9HVxvuM/</v>
      </c>
      <c r="K1172" s="470" t="str">
        <f>IFERROR(__xludf.DUMMYFUNCTION("""COMPUTED_VALUE"""),"KIMME")</f>
        <v>KIMME</v>
      </c>
      <c r="L1172" s="471" t="str">
        <f>IFERROR(__xludf.DUMMYFUNCTION("""COMPUTED_VALUE"""),"https://vt.tiktok.com/ZS9HVPSaV/")</f>
        <v>https://vt.tiktok.com/ZS9HVPSaV/</v>
      </c>
      <c r="M1172" s="470"/>
      <c r="N1172" s="471" t="str">
        <f>IFERROR(__xludf.DUMMYFUNCTION("""COMPUTED_VALUE"""),"https://www.tiktok.com/@nisaaahs_/video/7638824559872888072?_r=1&amp;u_code=clh0gj4ml6ak0a&amp;region=&amp;mid=7357402344918698794&amp;preview_pb=0&amp;sharer_language=&amp;_d=0&amp;ec_shared_reflux_dynamic_params=%7B%22placeholder_material_id%22%3A%227638824559872888072%22%2C%22pla"&amp;"ceholder_origin_cover%22%3A%22https%253A%252F%252Fp16-common-sign.tiktokcdn.com%252Ftos-alisg-p-0037%252FooCEIYBgN4hAWOGisjSakVASAoAYBKi2P0IBm~tplv-tiktokx-origin.jpeg%253Fdr%253D14572%2526refresh_token%253D04270438%2526x-expires%253D1810195200%2526x-sign"&amp;"ature%253DoN3l1GurOFbkakWvIcpG6zYK5q0%25253D%2526t%253D4d5b0474%2526ps%253D13740610%2526shp%253Dd05b14bd%2526shcp%253D34ff8df6%2526idc%253Dmy2%2526s%253DTIKTOK_AFFILIATE_VIRAL_VIDEO%22%2C%22placeholder_product_id%22%3A%221729427766722726591%22%2C%22placeh"&amp;"older_video_id%22%3A%227638824559872888072%22%7D&amp;ec_shared_reflux_scene=shop_tab_feed&amp;share_item_id=7638824559872888072&amp;source=h5_t")</f>
        <v>https://www.tiktok.com/@nisaaahs_/video/7638824559872888072?_r=1&amp;u_code=clh0gj4ml6ak0a&amp;region=&amp;mid=7357402344918698794&amp;preview_pb=0&amp;sharer_language=&amp;_d=0&amp;ec_shared_reflux_dynamic_params=%7B%22placeholder_material_id%22%3A%227638824559872888072%22%2C%22placeholder_origin_cover%22%3A%22https%253A%252F%252Fp16-common-sign.tiktokcdn.com%252Ftos-alisg-p-0037%252FooCEIYBgN4hAWOGisjSakVASAoAYBKi2P0IBm~tplv-tiktokx-origin.jpeg%253Fdr%253D14572%2526refresh_token%253D04270438%2526x-expires%253D1810195200%2526x-signature%253DoN3l1GurOFbkakWvIcpG6zYK5q0%25253D%2526t%253D4d5b0474%2526ps%253D13740610%2526shp%253Dd05b14bd%2526shcp%253D34ff8df6%2526idc%253Dmy2%2526s%253DTIKTOK_AFFILIATE_VIRAL_VIDEO%22%2C%22placeholder_product_id%22%3A%221729427766722726591%22%2C%22placeholder_video_id%22%3A%227638824559872888072%22%7D&amp;ec_shared_reflux_scene=shop_tab_feed&amp;share_item_id=7638824559872888072&amp;source=h5_t</v>
      </c>
      <c r="O1172" s="470"/>
      <c r="P1172" s="471" t="str">
        <f>IFERROR(__xludf.DUMMYFUNCTION("""COMPUTED_VALUE"""),"https://vt.tiktok.com/ZS9wqUB17/")</f>
        <v>https://vt.tiktok.com/ZS9wqUB17/</v>
      </c>
    </row>
    <row r="1173">
      <c r="A1173" s="282" t="str">
        <f>IFERROR(__xludf.DUMMYFUNCTION("""COMPUTED_VALUE"""),"MICRO")</f>
        <v>MICRO</v>
      </c>
      <c r="B1173" s="468" t="str">
        <f>IFERROR(__xludf.DUMMYFUNCTION("""COMPUTED_VALUE"""),"chayna.4515")</f>
        <v>chayna.4515</v>
      </c>
      <c r="C1173" s="283" t="str">
        <f>IFERROR(__xludf.DUMMYFUNCTION("""COMPUTED_VALUE"""),"https://www.tiktok.com/@chayna.4515")</f>
        <v>https://www.tiktok.com/@chayna.4515</v>
      </c>
      <c r="D1173" s="273">
        <f>IFERROR(__xludf.DUMMYFUNCTION("""COMPUTED_VALUE"""),8.5326290196E10)</f>
        <v>85326290196</v>
      </c>
      <c r="E1173" s="458">
        <f>IFERROR(__xludf.DUMMYFUNCTION("""COMPUTED_VALUE"""),0.0)</f>
        <v>0</v>
      </c>
      <c r="F1173" s="273">
        <f>IFERROR(__xludf.DUMMYFUNCTION("""COMPUTED_VALUE"""),1.0)</f>
        <v>1</v>
      </c>
      <c r="G1173" t="str">
        <f>IFERROR(__xludf.DUMMYFUNCTION("""COMPUTED_VALUE"""),"Sabun batang 1 Box ( 2 PCS )")</f>
        <v>Sabun batang 1 Box ( 2 PCS )</v>
      </c>
      <c r="H1173" s="469" t="str">
        <f>IFERROR(__xludf.DUMMYFUNCTION("""COMPUTED_VALUE"""),"Sampai")</f>
        <v>Sampai</v>
      </c>
      <c r="I1173" s="470" t="str">
        <f>IFERROR(__xludf.DUMMYFUNCTION("""COMPUTED_VALUE"""),"KIMME")</f>
        <v>KIMME</v>
      </c>
      <c r="J1173" s="471" t="str">
        <f>IFERROR(__xludf.DUMMYFUNCTION("""COMPUTED_VALUE"""),"https://vt.tiktok.com/ZSxTe3SK3/")</f>
        <v>https://vt.tiktok.com/ZSxTe3SK3/</v>
      </c>
      <c r="K1173" s="470" t="str">
        <f>IFERROR(__xludf.DUMMYFUNCTION("""COMPUTED_VALUE"""),"KIMME")</f>
        <v>KIMME</v>
      </c>
      <c r="L1173" s="471" t="str">
        <f>IFERROR(__xludf.DUMMYFUNCTION("""COMPUTED_VALUE"""),"https://vt.tiktok.com/ZSxTeToY4/")</f>
        <v>https://vt.tiktok.com/ZSxTeToY4/</v>
      </c>
      <c r="M1173" s="470"/>
      <c r="N1173" s="471" t="str">
        <f>IFERROR(__xludf.DUMMYFUNCTION("""COMPUTED_VALUE"""),"https://vt.tiktok.com/ZSxTeVhPA/")</f>
        <v>https://vt.tiktok.com/ZSxTeVhPA/</v>
      </c>
      <c r="O1173" s="470"/>
      <c r="P1173" s="471" t="str">
        <f>IFERROR(__xludf.DUMMYFUNCTION("""COMPUTED_VALUE"""),"https://vt.tiktok.com/ZSxTe41d1/")</f>
        <v>https://vt.tiktok.com/ZSxTe41d1/</v>
      </c>
    </row>
    <row r="1174">
      <c r="A1174" s="282" t="str">
        <f>IFERROR(__xludf.DUMMYFUNCTION("""COMPUTED_VALUE"""),"MICRO")</f>
        <v>MICRO</v>
      </c>
      <c r="B1174" s="468" t="str">
        <f>IFERROR(__xludf.DUMMYFUNCTION("""COMPUTED_VALUE"""),"ella_ellryfani")</f>
        <v>ella_ellryfani</v>
      </c>
      <c r="C1174" s="283" t="str">
        <f>IFERROR(__xludf.DUMMYFUNCTION("""COMPUTED_VALUE"""),"https://www.tiktok.com/@ella_ellryfani")</f>
        <v>https://www.tiktok.com/@ella_ellryfani</v>
      </c>
      <c r="D1174" s="273">
        <f>IFERROR(__xludf.DUMMYFUNCTION("""COMPUTED_VALUE"""),8.95335504667E11)</f>
        <v>895335504667</v>
      </c>
      <c r="E1174" s="458"/>
      <c r="F1174" s="273"/>
      <c r="G1174" t="str">
        <f>IFERROR(__xludf.DUMMYFUNCTION("""COMPUTED_VALUE"""),"Sabun batang 1 Box ( 2 PCS )")</f>
        <v>Sabun batang 1 Box ( 2 PCS )</v>
      </c>
      <c r="H1174" s="469" t="str">
        <f>IFERROR(__xludf.DUMMYFUNCTION("""COMPUTED_VALUE"""),"Sampai")</f>
        <v>Sampai</v>
      </c>
      <c r="I1174" s="470" t="str">
        <f>IFERROR(__xludf.DUMMYFUNCTION("""COMPUTED_VALUE"""),"KIMME")</f>
        <v>KIMME</v>
      </c>
      <c r="J1174" s="471" t="str">
        <f>IFERROR(__xludf.DUMMYFUNCTION("""COMPUTED_VALUE"""),"https://vt.tiktok.com/ZS95xf3XB/")</f>
        <v>https://vt.tiktok.com/ZS95xf3XB/</v>
      </c>
      <c r="K1174" s="470" t="str">
        <f>IFERROR(__xludf.DUMMYFUNCTION("""COMPUTED_VALUE"""),"KIMME")</f>
        <v>KIMME</v>
      </c>
      <c r="L1174" s="471" t="str">
        <f>IFERROR(__xludf.DUMMYFUNCTION("""COMPUTED_VALUE"""),"https://vt.tiktok.com/ZS95xSQEP/")</f>
        <v>https://vt.tiktok.com/ZS95xSQEP/</v>
      </c>
      <c r="M1174" s="470"/>
      <c r="N1174" s="471" t="str">
        <f>IFERROR(__xludf.DUMMYFUNCTION("""COMPUTED_VALUE"""),"https://vt.tiktok.com/ZS95xyeV8/")</f>
        <v>https://vt.tiktok.com/ZS95xyeV8/</v>
      </c>
      <c r="O1174" s="470"/>
      <c r="P1174" s="471" t="str">
        <f>IFERROR(__xludf.DUMMYFUNCTION("""COMPUTED_VALUE"""),"https://vt.tiktok.com/ZS95x6G8n/")</f>
        <v>https://vt.tiktok.com/ZS95x6G8n/</v>
      </c>
    </row>
    <row r="1175">
      <c r="A1175" s="282" t="str">
        <f>IFERROR(__xludf.DUMMYFUNCTION("""COMPUTED_VALUE"""),"MICRO")</f>
        <v>MICRO</v>
      </c>
      <c r="B1175" s="468" t="str">
        <f>IFERROR(__xludf.DUMMYFUNCTION("""COMPUTED_VALUE"""),"haiiakuvitta")</f>
        <v>haiiakuvitta</v>
      </c>
      <c r="C1175" s="283" t="str">
        <f>IFERROR(__xludf.DUMMYFUNCTION("""COMPUTED_VALUE"""),"https://www.tiktok.com/@haiiakuvitta")</f>
        <v>https://www.tiktok.com/@haiiakuvitta</v>
      </c>
      <c r="D1175" s="273">
        <f>IFERROR(__xludf.DUMMYFUNCTION("""COMPUTED_VALUE"""),8.5171155171E10)</f>
        <v>85171155171</v>
      </c>
      <c r="E1175" s="458"/>
      <c r="F1175" s="273"/>
      <c r="G1175" t="str">
        <f>IFERROR(__xludf.DUMMYFUNCTION("""COMPUTED_VALUE"""),"Sabun batang 1 Box ( 2 PCS )")</f>
        <v>Sabun batang 1 Box ( 2 PCS )</v>
      </c>
      <c r="H1175" s="469" t="str">
        <f>IFERROR(__xludf.DUMMYFUNCTION("""COMPUTED_VALUE"""),"Sampai")</f>
        <v>Sampai</v>
      </c>
      <c r="I1175" s="470" t="str">
        <f>IFERROR(__xludf.DUMMYFUNCTION("""COMPUTED_VALUE"""),"KIMME")</f>
        <v>KIMME</v>
      </c>
      <c r="J1175" s="471" t="str">
        <f>IFERROR(__xludf.DUMMYFUNCTION("""COMPUTED_VALUE"""),"https://vt.tiktok.com/ZS95xLdFF/")</f>
        <v>https://vt.tiktok.com/ZS95xLdFF/</v>
      </c>
      <c r="K1175" s="470" t="str">
        <f>IFERROR(__xludf.DUMMYFUNCTION("""COMPUTED_VALUE"""),"KIMME")</f>
        <v>KIMME</v>
      </c>
      <c r="L1175" s="471" t="str">
        <f>IFERROR(__xludf.DUMMYFUNCTION("""COMPUTED_VALUE"""),"https://vt.tiktok.com/ZS95xAK4V/")</f>
        <v>https://vt.tiktok.com/ZS95xAK4V/</v>
      </c>
      <c r="M1175" s="470"/>
      <c r="N1175" s="471" t="str">
        <f>IFERROR(__xludf.DUMMYFUNCTION("""COMPUTED_VALUE"""),"https://vt.tiktok.com/ZS95xYX4x/")</f>
        <v>https://vt.tiktok.com/ZS95xYX4x/</v>
      </c>
      <c r="O1175" s="470"/>
      <c r="P1175" s="471" t="str">
        <f>IFERROR(__xludf.DUMMYFUNCTION("""COMPUTED_VALUE"""),"https://vt.tiktok.com/ZS95xh9j7/")</f>
        <v>https://vt.tiktok.com/ZS95xh9j7/</v>
      </c>
    </row>
    <row r="1176">
      <c r="A1176" s="282" t="str">
        <f>IFERROR(__xludf.DUMMYFUNCTION("""COMPUTED_VALUE"""),"MICRO")</f>
        <v>MICRO</v>
      </c>
      <c r="B1176" s="468" t="str">
        <f>IFERROR(__xludf.DUMMYFUNCTION("""COMPUTED_VALUE"""),"madebymrse")</f>
        <v>madebymrse</v>
      </c>
      <c r="C1176" s="283" t="str">
        <f>IFERROR(__xludf.DUMMYFUNCTION("""COMPUTED_VALUE"""),"https://www.tiktok.com/@madebymrse")</f>
        <v>https://www.tiktok.com/@madebymrse</v>
      </c>
      <c r="D1176" s="273">
        <f>IFERROR(__xludf.DUMMYFUNCTION("""COMPUTED_VALUE"""),8.9655609942E10)</f>
        <v>89655609942</v>
      </c>
      <c r="E1176" s="458"/>
      <c r="F1176" s="273"/>
      <c r="G1176" t="str">
        <f>IFERROR(__xludf.DUMMYFUNCTION("""COMPUTED_VALUE"""),"Sabun batang 1 Box ( 2 PCS )")</f>
        <v>Sabun batang 1 Box ( 2 PCS )</v>
      </c>
      <c r="H1176" s="469" t="str">
        <f>IFERROR(__xludf.DUMMYFUNCTION("""COMPUTED_VALUE"""),"Sampai")</f>
        <v>Sampai</v>
      </c>
      <c r="I1176" s="470" t="str">
        <f>IFERROR(__xludf.DUMMYFUNCTION("""COMPUTED_VALUE"""),"KIMME")</f>
        <v>KIMME</v>
      </c>
      <c r="J1176" s="471" t="str">
        <f>IFERROR(__xludf.DUMMYFUNCTION("""COMPUTED_VALUE"""),"https://vt.tiktok.com/ZS95xUJuT/")</f>
        <v>https://vt.tiktok.com/ZS95xUJuT/</v>
      </c>
      <c r="K1176" s="470" t="str">
        <f>IFERROR(__xludf.DUMMYFUNCTION("""COMPUTED_VALUE"""),"KIMME")</f>
        <v>KIMME</v>
      </c>
      <c r="L1176" s="471" t="str">
        <f>IFERROR(__xludf.DUMMYFUNCTION("""COMPUTED_VALUE"""),"https://vt.tiktok.com/ZS95xDb6P/")</f>
        <v>https://vt.tiktok.com/ZS95xDb6P/</v>
      </c>
      <c r="M1176" s="470"/>
      <c r="N1176" s="471" t="str">
        <f>IFERROR(__xludf.DUMMYFUNCTION("""COMPUTED_VALUE"""),"https://vt.tiktok.com/ZS95x6HKs/")</f>
        <v>https://vt.tiktok.com/ZS95x6HKs/</v>
      </c>
      <c r="O1176" s="470"/>
      <c r="P1176" s="471" t="str">
        <f>IFERROR(__xludf.DUMMYFUNCTION("""COMPUTED_VALUE"""),"https://vt.tiktok.com/ZS95xBmDF/")</f>
        <v>https://vt.tiktok.com/ZS95xBmDF/</v>
      </c>
    </row>
    <row r="1177">
      <c r="A1177" s="282" t="str">
        <f>IFERROR(__xludf.DUMMYFUNCTION("""COMPUTED_VALUE"""),"MICRO")</f>
        <v>MICRO</v>
      </c>
      <c r="B1177" s="468" t="str">
        <f>IFERROR(__xludf.DUMMYFUNCTION("""COMPUTED_VALUE"""),"vermichili")</f>
        <v>vermichili</v>
      </c>
      <c r="C1177" s="283" t="str">
        <f>IFERROR(__xludf.DUMMYFUNCTION("""COMPUTED_VALUE"""),"https://www.tiktok.com/@vermichili")</f>
        <v>https://www.tiktok.com/@vermichili</v>
      </c>
      <c r="D1177" s="273">
        <f>IFERROR(__xludf.DUMMYFUNCTION("""COMPUTED_VALUE"""),8.5320467049E10)</f>
        <v>85320467049</v>
      </c>
      <c r="E1177" s="458"/>
      <c r="F1177" s="273"/>
      <c r="G1177" t="str">
        <f>IFERROR(__xludf.DUMMYFUNCTION("""COMPUTED_VALUE"""),"Sabun batang 1 Box ( 2 PCS )")</f>
        <v>Sabun batang 1 Box ( 2 PCS )</v>
      </c>
      <c r="H1177" s="469" t="str">
        <f>IFERROR(__xludf.DUMMYFUNCTION("""COMPUTED_VALUE"""),"Sampai")</f>
        <v>Sampai</v>
      </c>
      <c r="I1177" s="470" t="str">
        <f>IFERROR(__xludf.DUMMYFUNCTION("""COMPUTED_VALUE"""),"KIMME")</f>
        <v>KIMME</v>
      </c>
      <c r="J1177" s="471" t="str">
        <f>IFERROR(__xludf.DUMMYFUNCTION("""COMPUTED_VALUE"""),"https://vt.tiktok.com/ZS95xL7CB/")</f>
        <v>https://vt.tiktok.com/ZS95xL7CB/</v>
      </c>
      <c r="K1177" s="470" t="str">
        <f>IFERROR(__xludf.DUMMYFUNCTION("""COMPUTED_VALUE"""),"KIMME")</f>
        <v>KIMME</v>
      </c>
      <c r="L1177" s="471" t="str">
        <f>IFERROR(__xludf.DUMMYFUNCTION("""COMPUTED_VALUE"""),"https://vt.tiktok.com/ZS95xSaHM/")</f>
        <v>https://vt.tiktok.com/ZS95xSaHM/</v>
      </c>
      <c r="M1177" s="470"/>
      <c r="N1177" s="471" t="str">
        <f>IFERROR(__xludf.DUMMYFUNCTION("""COMPUTED_VALUE"""),"https://vt.tiktok.com/ZS95xFB4a/")</f>
        <v>https://vt.tiktok.com/ZS95xFB4a/</v>
      </c>
      <c r="O1177" s="470"/>
      <c r="P1177" s="471" t="str">
        <f>IFERROR(__xludf.DUMMYFUNCTION("""COMPUTED_VALUE"""),"https://vt.tiktok.com/ZS95xPjet/")</f>
        <v>https://vt.tiktok.com/ZS95xPjet/</v>
      </c>
    </row>
    <row r="1178">
      <c r="A1178" s="282" t="str">
        <f>IFERROR(__xludf.DUMMYFUNCTION("""COMPUTED_VALUE"""),"MICRO")</f>
        <v>MICRO</v>
      </c>
      <c r="B1178" s="468" t="str">
        <f>IFERROR(__xludf.DUMMYFUNCTION("""COMPUTED_VALUE"""),"skincarepedia")</f>
        <v>skincarepedia</v>
      </c>
      <c r="C1178" s="283" t="str">
        <f>IFERROR(__xludf.DUMMYFUNCTION("""COMPUTED_VALUE"""),"https://www.tiktok.com/@skincarepedia")</f>
        <v>https://www.tiktok.com/@skincarepedia</v>
      </c>
      <c r="D1178" s="273">
        <f>IFERROR(__xludf.DUMMYFUNCTION("""COMPUTED_VALUE"""),8.121300582E10)</f>
        <v>81213005820</v>
      </c>
      <c r="E1178" s="458">
        <f>IFERROR(__xludf.DUMMYFUNCTION("""COMPUTED_VALUE"""),0.0)</f>
        <v>0</v>
      </c>
      <c r="F1178" s="273">
        <f>IFERROR(__xludf.DUMMYFUNCTION("""COMPUTED_VALUE"""),1.0)</f>
        <v>1</v>
      </c>
      <c r="G1178" t="str">
        <f>IFERROR(__xludf.DUMMYFUNCTION("""COMPUTED_VALUE"""),"Sabun batang 1 Box ( 2 PCS )")</f>
        <v>Sabun batang 1 Box ( 2 PCS )</v>
      </c>
      <c r="H1178" s="469" t="str">
        <f>IFERROR(__xludf.DUMMYFUNCTION("""COMPUTED_VALUE"""),"Sampai")</f>
        <v>Sampai</v>
      </c>
      <c r="I1178" s="470" t="str">
        <f>IFERROR(__xludf.DUMMYFUNCTION("""COMPUTED_VALUE"""),"KIMME")</f>
        <v>KIMME</v>
      </c>
      <c r="J1178" s="471" t="str">
        <f>IFERROR(__xludf.DUMMYFUNCTION("""COMPUTED_VALUE"""),"https://vt.tiktok.com/ZSxHJc1Me/")</f>
        <v>https://vt.tiktok.com/ZSxHJc1Me/</v>
      </c>
      <c r="K1178" s="470" t="str">
        <f>IFERROR(__xludf.DUMMYFUNCTION("""COMPUTED_VALUE"""),"KIMME")</f>
        <v>KIMME</v>
      </c>
      <c r="L1178" s="471" t="str">
        <f>IFERROR(__xludf.DUMMYFUNCTION("""COMPUTED_VALUE"""),"https://vt.tiktok.com/ZSxHeH2f3/")</f>
        <v>https://vt.tiktok.com/ZSxHeH2f3/</v>
      </c>
      <c r="M1178" s="470"/>
      <c r="N1178" s="471" t="str">
        <f>IFERROR(__xludf.DUMMYFUNCTION("""COMPUTED_VALUE"""),"https://vt.tiktok.com/ZSxHeskJY/")</f>
        <v>https://vt.tiktok.com/ZSxHeskJY/</v>
      </c>
      <c r="O1178" s="470"/>
      <c r="P1178" s="471" t="str">
        <f>IFERROR(__xludf.DUMMYFUNCTION("""COMPUTED_VALUE"""),"https://vt.tiktok.com/ZSxHeQA9y/")</f>
        <v>https://vt.tiktok.com/ZSxHeQA9y/</v>
      </c>
    </row>
    <row r="1179">
      <c r="A1179" s="282" t="str">
        <f>IFERROR(__xludf.DUMMYFUNCTION("""COMPUTED_VALUE"""),"MICRO")</f>
        <v>MICRO</v>
      </c>
      <c r="B1179" s="468" t="str">
        <f>IFERROR(__xludf.DUMMYFUNCTION("""COMPUTED_VALUE"""),"radraaa0")</f>
        <v>radraaa0</v>
      </c>
      <c r="C1179" s="283" t="str">
        <f>IFERROR(__xludf.DUMMYFUNCTION("""COMPUTED_VALUE"""),"https://www.tiktok.com/@radraaa0")</f>
        <v>https://www.tiktok.com/@radraaa0</v>
      </c>
      <c r="D1179" s="273">
        <f>IFERROR(__xludf.DUMMYFUNCTION("""COMPUTED_VALUE"""),8.1400322046E10)</f>
        <v>81400322046</v>
      </c>
      <c r="E1179" s="458"/>
      <c r="F1179" s="273"/>
      <c r="G1179" t="str">
        <f>IFERROR(__xludf.DUMMYFUNCTION("""COMPUTED_VALUE"""),"Sabun batang 1 Box ( 2 PCS )")</f>
        <v>Sabun batang 1 Box ( 2 PCS )</v>
      </c>
      <c r="H1179" s="469" t="str">
        <f>IFERROR(__xludf.DUMMYFUNCTION("""COMPUTED_VALUE"""),"Sampai")</f>
        <v>Sampai</v>
      </c>
      <c r="I1179" s="470" t="str">
        <f>IFERROR(__xludf.DUMMYFUNCTION("""COMPUTED_VALUE"""),"KIMME")</f>
        <v>KIMME</v>
      </c>
      <c r="J1179" s="471" t="str">
        <f>IFERROR(__xludf.DUMMYFUNCTION("""COMPUTED_VALUE"""),"https://vt.tiktok.com/ZS95x8gLQ/")</f>
        <v>https://vt.tiktok.com/ZS95x8gLQ/</v>
      </c>
      <c r="K1179" s="470" t="str">
        <f>IFERROR(__xludf.DUMMYFUNCTION("""COMPUTED_VALUE"""),"KIMME")</f>
        <v>KIMME</v>
      </c>
      <c r="L1179" s="471" t="str">
        <f>IFERROR(__xludf.DUMMYFUNCTION("""COMPUTED_VALUE"""),"https://vt.tiktok.com/ZS95xddbJ/")</f>
        <v>https://vt.tiktok.com/ZS95xddbJ/</v>
      </c>
      <c r="M1179" s="470"/>
      <c r="N1179" s="471" t="str">
        <f>IFERROR(__xludf.DUMMYFUNCTION("""COMPUTED_VALUE"""),"https://vt.tiktok.com/ZS959WvfC/")</f>
        <v>https://vt.tiktok.com/ZS959WvfC/</v>
      </c>
      <c r="O1179" s="470"/>
      <c r="P1179" s="471" t="str">
        <f>IFERROR(__xludf.DUMMYFUNCTION("""COMPUTED_VALUE"""),"https://vt.tiktok.com/ZS95xdVp7/")</f>
        <v>https://vt.tiktok.com/ZS95xdVp7/</v>
      </c>
    </row>
    <row r="1180">
      <c r="A1180" s="282" t="str">
        <f>IFERROR(__xludf.DUMMYFUNCTION("""COMPUTED_VALUE"""),"MICRO")</f>
        <v>MICRO</v>
      </c>
      <c r="B1180" s="468" t="str">
        <f>IFERROR(__xludf.DUMMYFUNCTION("""COMPUTED_VALUE"""),"ernyricoo")</f>
        <v>ernyricoo</v>
      </c>
      <c r="C1180" s="283" t="str">
        <f>IFERROR(__xludf.DUMMYFUNCTION("""COMPUTED_VALUE"""),"https://www.tiktok.com/@ernyricoo")</f>
        <v>https://www.tiktok.com/@ernyricoo</v>
      </c>
      <c r="D1180" s="273">
        <f>IFERROR(__xludf.DUMMYFUNCTION("""COMPUTED_VALUE"""),8.1390443113E10)</f>
        <v>81390443113</v>
      </c>
      <c r="E1180" s="458"/>
      <c r="F1180" s="273"/>
      <c r="G1180" t="str">
        <f>IFERROR(__xludf.DUMMYFUNCTION("""COMPUTED_VALUE"""),"Sabun batang 1 Box ( 2 PCS )")</f>
        <v>Sabun batang 1 Box ( 2 PCS )</v>
      </c>
      <c r="H1180" s="469" t="str">
        <f>IFERROR(__xludf.DUMMYFUNCTION("""COMPUTED_VALUE"""),"Sampai")</f>
        <v>Sampai</v>
      </c>
      <c r="I1180" s="470" t="str">
        <f>IFERROR(__xludf.DUMMYFUNCTION("""COMPUTED_VALUE"""),"KIMME")</f>
        <v>KIMME</v>
      </c>
      <c r="J1180" s="471" t="str">
        <f>IFERROR(__xludf.DUMMYFUNCTION("""COMPUTED_VALUE"""),"https://vt.tiktok.com/ZS95934Pa/")</f>
        <v>https://vt.tiktok.com/ZS95934Pa/</v>
      </c>
      <c r="K1180" s="470" t="str">
        <f>IFERROR(__xludf.DUMMYFUNCTION("""COMPUTED_VALUE"""),"KIMME")</f>
        <v>KIMME</v>
      </c>
      <c r="L1180" s="471" t="str">
        <f>IFERROR(__xludf.DUMMYFUNCTION("""COMPUTED_VALUE"""),"https://vt.tiktok.com/ZS959s484/")</f>
        <v>https://vt.tiktok.com/ZS959s484/</v>
      </c>
      <c r="M1180" s="470"/>
      <c r="N1180" s="471" t="str">
        <f>IFERROR(__xludf.DUMMYFUNCTION("""COMPUTED_VALUE"""),"https://vt.tiktok.com/ZS959tj7r/")</f>
        <v>https://vt.tiktok.com/ZS959tj7r/</v>
      </c>
      <c r="O1180" s="470"/>
      <c r="P1180" s="471" t="str">
        <f>IFERROR(__xludf.DUMMYFUNCTION("""COMPUTED_VALUE"""),"https://vt.tiktok.com/ZS959KM5T/")</f>
        <v>https://vt.tiktok.com/ZS959KM5T/</v>
      </c>
    </row>
    <row r="1181">
      <c r="A1181" s="282" t="str">
        <f>IFERROR(__xludf.DUMMYFUNCTION("""COMPUTED_VALUE"""),"MICRO")</f>
        <v>MICRO</v>
      </c>
      <c r="B1181" s="468" t="str">
        <f>IFERROR(__xludf.DUMMYFUNCTION("""COMPUTED_VALUE"""),"nbbl_z")</f>
        <v>nbbl_z</v>
      </c>
      <c r="C1181" s="283" t="str">
        <f>IFERROR(__xludf.DUMMYFUNCTION("""COMPUTED_VALUE"""),"https://www.tiktok.com/@nbbl_z")</f>
        <v>https://www.tiktok.com/@nbbl_z</v>
      </c>
      <c r="D1181" s="273">
        <f>IFERROR(__xludf.DUMMYFUNCTION("""COMPUTED_VALUE"""),8.810116724E11)</f>
        <v>881011672400</v>
      </c>
      <c r="E1181" s="458"/>
      <c r="F1181" s="273"/>
      <c r="G1181" t="str">
        <f>IFERROR(__xludf.DUMMYFUNCTION("""COMPUTED_VALUE"""),"Sabun batang 1 Box ( 2 PCS )")</f>
        <v>Sabun batang 1 Box ( 2 PCS )</v>
      </c>
      <c r="H1181" s="469" t="str">
        <f>IFERROR(__xludf.DUMMYFUNCTION("""COMPUTED_VALUE"""),"Sampai")</f>
        <v>Sampai</v>
      </c>
      <c r="I1181" s="470" t="str">
        <f>IFERROR(__xludf.DUMMYFUNCTION("""COMPUTED_VALUE"""),"KIMME")</f>
        <v>KIMME</v>
      </c>
      <c r="J1181" s="471" t="str">
        <f>IFERROR(__xludf.DUMMYFUNCTION("""COMPUTED_VALUE"""),"https://vt.tiktok.com/ZS959EoHr/")</f>
        <v>https://vt.tiktok.com/ZS959EoHr/</v>
      </c>
      <c r="K1181" s="470" t="str">
        <f>IFERROR(__xludf.DUMMYFUNCTION("""COMPUTED_VALUE"""),"KIMME")</f>
        <v>KIMME</v>
      </c>
      <c r="L1181" s="471" t="str">
        <f>IFERROR(__xludf.DUMMYFUNCTION("""COMPUTED_VALUE"""),"https://vt.tiktok.com/ZS959tA3A/")</f>
        <v>https://vt.tiktok.com/ZS959tA3A/</v>
      </c>
      <c r="M1181" s="470"/>
      <c r="N1181" s="471" t="str">
        <f>IFERROR(__xludf.DUMMYFUNCTION("""COMPUTED_VALUE"""),"https://vt.tiktok.com/ZS959oBXq/")</f>
        <v>https://vt.tiktok.com/ZS959oBXq/</v>
      </c>
      <c r="O1181" s="470"/>
      <c r="P1181" s="471" t="str">
        <f>IFERROR(__xludf.DUMMYFUNCTION("""COMPUTED_VALUE"""),"https://vt.tiktok.com/ZS9597vFE/")</f>
        <v>https://vt.tiktok.com/ZS9597vFE/</v>
      </c>
    </row>
    <row r="1182">
      <c r="A1182" s="282" t="str">
        <f>IFERROR(__xludf.DUMMYFUNCTION("""COMPUTED_VALUE"""),"MICRO")</f>
        <v>MICRO</v>
      </c>
      <c r="B1182" s="468" t="str">
        <f>IFERROR(__xludf.DUMMYFUNCTION("""COMPUTED_VALUE"""),"inifahrasah")</f>
        <v>inifahrasah</v>
      </c>
      <c r="C1182" s="283" t="str">
        <f>IFERROR(__xludf.DUMMYFUNCTION("""COMPUTED_VALUE"""),"https://www.tiktok.com/@inifahrasah")</f>
        <v>https://www.tiktok.com/@inifahrasah</v>
      </c>
      <c r="D1182" s="273">
        <f>IFERROR(__xludf.DUMMYFUNCTION("""COMPUTED_VALUE"""),8.9672260609E10)</f>
        <v>89672260609</v>
      </c>
      <c r="E1182" s="458"/>
      <c r="F1182" s="273"/>
      <c r="G1182" t="str">
        <f>IFERROR(__xludf.DUMMYFUNCTION("""COMPUTED_VALUE"""),"Sabun batang 1 Box ( 2 PCS )")</f>
        <v>Sabun batang 1 Box ( 2 PCS )</v>
      </c>
      <c r="H1182" s="469" t="str">
        <f>IFERROR(__xludf.DUMMYFUNCTION("""COMPUTED_VALUE"""),"Sampai")</f>
        <v>Sampai</v>
      </c>
      <c r="I1182" s="470" t="str">
        <f>IFERROR(__xludf.DUMMYFUNCTION("""COMPUTED_VALUE"""),"KIMME")</f>
        <v>KIMME</v>
      </c>
      <c r="J1182" s="471" t="str">
        <f>IFERROR(__xludf.DUMMYFUNCTION("""COMPUTED_VALUE"""),"https://vt.tiktok.com/ZS959ouB5/")</f>
        <v>https://vt.tiktok.com/ZS959ouB5/</v>
      </c>
      <c r="K1182" s="470" t="str">
        <f>IFERROR(__xludf.DUMMYFUNCTION("""COMPUTED_VALUE"""),"KIMME")</f>
        <v>KIMME</v>
      </c>
      <c r="L1182" s="471" t="str">
        <f>IFERROR(__xludf.DUMMYFUNCTION("""COMPUTED_VALUE"""),"https://vt.tiktok.com/ZS959GE6g/")</f>
        <v>https://vt.tiktok.com/ZS959GE6g/</v>
      </c>
      <c r="M1182" s="470"/>
      <c r="N1182" s="471" t="str">
        <f>IFERROR(__xludf.DUMMYFUNCTION("""COMPUTED_VALUE"""),"https://vt.tiktok.com/ZS9597dyn/")</f>
        <v>https://vt.tiktok.com/ZS9597dyn/</v>
      </c>
      <c r="O1182" s="470"/>
      <c r="P1182" s="471" t="str">
        <f>IFERROR(__xludf.DUMMYFUNCTION("""COMPUTED_VALUE"""),"https://vt.tiktok.com/ZS959Wpxv/")</f>
        <v>https://vt.tiktok.com/ZS959Wpxv/</v>
      </c>
    </row>
    <row r="1183">
      <c r="A1183" s="282" t="str">
        <f>IFERROR(__xludf.DUMMYFUNCTION("""COMPUTED_VALUE"""),"MICRO")</f>
        <v>MICRO</v>
      </c>
      <c r="B1183" s="468" t="str">
        <f>IFERROR(__xludf.DUMMYFUNCTION("""COMPUTED_VALUE"""),"dww.srtk")</f>
        <v>dww.srtk</v>
      </c>
      <c r="C1183" s="283" t="str">
        <f>IFERROR(__xludf.DUMMYFUNCTION("""COMPUTED_VALUE"""),"https://www.tiktok.com/@dww.srtk")</f>
        <v>https://www.tiktok.com/@dww.srtk</v>
      </c>
      <c r="D1183" s="273">
        <f>IFERROR(__xludf.DUMMYFUNCTION("""COMPUTED_VALUE"""),8.5694395203E10)</f>
        <v>85694395203</v>
      </c>
      <c r="E1183" s="458"/>
      <c r="F1183" s="273"/>
      <c r="G1183" t="str">
        <f>IFERROR(__xludf.DUMMYFUNCTION("""COMPUTED_VALUE"""),"Sabun batang 1 Box ( 2 PCS )")</f>
        <v>Sabun batang 1 Box ( 2 PCS )</v>
      </c>
      <c r="H1183" s="469" t="str">
        <f>IFERROR(__xludf.DUMMYFUNCTION("""COMPUTED_VALUE"""),"Sampai")</f>
        <v>Sampai</v>
      </c>
      <c r="I1183" s="470" t="str">
        <f>IFERROR(__xludf.DUMMYFUNCTION("""COMPUTED_VALUE"""),"KIMME")</f>
        <v>KIMME</v>
      </c>
      <c r="J1183" s="471" t="str">
        <f>IFERROR(__xludf.DUMMYFUNCTION("""COMPUTED_VALUE"""),"https://vt.tiktok.com/ZS95x1Uv1/")</f>
        <v>https://vt.tiktok.com/ZS95x1Uv1/</v>
      </c>
      <c r="K1183" s="470" t="str">
        <f>IFERROR(__xludf.DUMMYFUNCTION("""COMPUTED_VALUE"""),"KIMME")</f>
        <v>KIMME</v>
      </c>
      <c r="L1183" s="471" t="str">
        <f>IFERROR(__xludf.DUMMYFUNCTION("""COMPUTED_VALUE"""),"https://vt.tiktok.com/ZS95xdNGP/")</f>
        <v>https://vt.tiktok.com/ZS95xdNGP/</v>
      </c>
      <c r="M1183" s="470"/>
      <c r="N1183" s="471" t="str">
        <f>IFERROR(__xludf.DUMMYFUNCTION("""COMPUTED_VALUE"""),"https://vt.tiktok.com/ZS95xepvx/")</f>
        <v>https://vt.tiktok.com/ZS95xepvx/</v>
      </c>
      <c r="O1183" s="470"/>
      <c r="P1183" s="471" t="str">
        <f>IFERROR(__xludf.DUMMYFUNCTION("""COMPUTED_VALUE"""),"https://vt.tiktok.com/ZS9fSwNj3/")</f>
        <v>https://vt.tiktok.com/ZS9fSwNj3/</v>
      </c>
    </row>
    <row r="1184">
      <c r="A1184" s="282" t="str">
        <f>IFERROR(__xludf.DUMMYFUNCTION("""COMPUTED_VALUE"""),"MICRO")</f>
        <v>MICRO</v>
      </c>
      <c r="B1184" s="468" t="str">
        <f>IFERROR(__xludf.DUMMYFUNCTION("""COMPUTED_VALUE"""),"iniicaaaaa_19")</f>
        <v>iniicaaaaa_19</v>
      </c>
      <c r="C1184" s="283" t="str">
        <f>IFERROR(__xludf.DUMMYFUNCTION("""COMPUTED_VALUE"""),"https://www.tiktok.com/@iniicaaaaa_19")</f>
        <v>https://www.tiktok.com/@iniicaaaaa_19</v>
      </c>
      <c r="D1184" s="273">
        <f>IFERROR(__xludf.DUMMYFUNCTION("""COMPUTED_VALUE"""),8.7733517156E10)</f>
        <v>87733517156</v>
      </c>
      <c r="E1184" s="458">
        <f>IFERROR(__xludf.DUMMYFUNCTION("""COMPUTED_VALUE"""),0.0)</f>
        <v>0</v>
      </c>
      <c r="F1184" s="273">
        <f>IFERROR(__xludf.DUMMYFUNCTION("""COMPUTED_VALUE"""),4.0)</f>
        <v>4</v>
      </c>
      <c r="G1184" t="str">
        <f>IFERROR(__xludf.DUMMYFUNCTION("""COMPUTED_VALUE"""),"Sabun batang 1 Box ( 2 PCS )")</f>
        <v>Sabun batang 1 Box ( 2 PCS )</v>
      </c>
      <c r="H1184" s="469" t="str">
        <f>IFERROR(__xludf.DUMMYFUNCTION("""COMPUTED_VALUE"""),"Sampai")</f>
        <v>Sampai</v>
      </c>
      <c r="I1184" s="470" t="str">
        <f>IFERROR(__xludf.DUMMYFUNCTION("""COMPUTED_VALUE"""),"KIMME")</f>
        <v>KIMME</v>
      </c>
      <c r="J1184" s="471" t="str">
        <f>IFERROR(__xludf.DUMMYFUNCTION("""COMPUTED_VALUE"""),"https://vt.tiktok.com/ZS9YHXyNm/")</f>
        <v>https://vt.tiktok.com/ZS9YHXyNm/</v>
      </c>
      <c r="K1184" s="470" t="str">
        <f>IFERROR(__xludf.DUMMYFUNCTION("""COMPUTED_VALUE"""),"KIMME")</f>
        <v>KIMME</v>
      </c>
      <c r="L1184" s="471" t="str">
        <f>IFERROR(__xludf.DUMMYFUNCTION("""COMPUTED_VALUE"""),"https://vt.tiktok.com/ZS9BvQ845/")</f>
        <v>https://vt.tiktok.com/ZS9BvQ845/</v>
      </c>
      <c r="M1184" s="470"/>
      <c r="N1184" s="471" t="str">
        <f>IFERROR(__xludf.DUMMYFUNCTION("""COMPUTED_VALUE"""),"https://vt.tiktok.com/ZS9SMWJBS/")</f>
        <v>https://vt.tiktok.com/ZS9SMWJBS/</v>
      </c>
      <c r="O1184" s="470"/>
      <c r="P1184" s="471" t="str">
        <f>IFERROR(__xludf.DUMMYFUNCTION("""COMPUTED_VALUE"""),"https://vt.tiktok.com/ZS9Sh4LUQ/")</f>
        <v>https://vt.tiktok.com/ZS9Sh4LUQ/</v>
      </c>
    </row>
    <row r="1185">
      <c r="A1185" s="282" t="str">
        <f>IFERROR(__xludf.DUMMYFUNCTION("""COMPUTED_VALUE"""),"MICRO")</f>
        <v>MICRO</v>
      </c>
      <c r="B1185" s="468" t="str">
        <f>IFERROR(__xludf.DUMMYFUNCTION("""COMPUTED_VALUE"""),"vironike_sukma
")</f>
        <v>vironike_sukma
</v>
      </c>
      <c r="C1185" s="283" t="str">
        <f>IFERROR(__xludf.DUMMYFUNCTION("""COMPUTED_VALUE"""),"https://www.tiktok.com/@vironike_sukma
")</f>
        <v>https://www.tiktok.com/@vironike_sukma
</v>
      </c>
      <c r="D1185" s="273">
        <f>IFERROR(__xludf.DUMMYFUNCTION("""COMPUTED_VALUE"""),8.5740063279E10)</f>
        <v>85740063279</v>
      </c>
      <c r="E1185" s="458">
        <f>IFERROR(__xludf.DUMMYFUNCTION("""COMPUTED_VALUE"""),0.0)</f>
        <v>0</v>
      </c>
      <c r="F1185" s="273">
        <f>IFERROR(__xludf.DUMMYFUNCTION("""COMPUTED_VALUE"""),4.0)</f>
        <v>4</v>
      </c>
      <c r="G1185" t="str">
        <f>IFERROR(__xludf.DUMMYFUNCTION("""COMPUTED_VALUE"""),"Sabun batang 1 Box ( 2 PCS )")</f>
        <v>Sabun batang 1 Box ( 2 PCS )</v>
      </c>
      <c r="H1185" s="469" t="str">
        <f>IFERROR(__xludf.DUMMYFUNCTION("""COMPUTED_VALUE"""),"Sampai")</f>
        <v>Sampai</v>
      </c>
      <c r="I1185" s="470" t="str">
        <f>IFERROR(__xludf.DUMMYFUNCTION("""COMPUTED_VALUE"""),"KIMME")</f>
        <v>KIMME</v>
      </c>
      <c r="J1185" s="471" t="str">
        <f>IFERROR(__xludf.DUMMYFUNCTION("""COMPUTED_VALUE"""),"https://vt.tiktok.com/ZS9YHXyNm/")</f>
        <v>https://vt.tiktok.com/ZS9YHXyNm/</v>
      </c>
      <c r="K1185" s="470" t="str">
        <f>IFERROR(__xludf.DUMMYFUNCTION("""COMPUTED_VALUE"""),"KIMME")</f>
        <v>KIMME</v>
      </c>
      <c r="L1185" s="471" t="str">
        <f>IFERROR(__xludf.DUMMYFUNCTION("""COMPUTED_VALUE"""),"https://vt.tiktok.com/ZS9BvQ845/")</f>
        <v>https://vt.tiktok.com/ZS9BvQ845/</v>
      </c>
      <c r="M1185" s="470"/>
      <c r="N1185" s="471" t="str">
        <f>IFERROR(__xludf.DUMMYFUNCTION("""COMPUTED_VALUE"""),"https://vt.tiktok.com/ZS9SMWJBS/")</f>
        <v>https://vt.tiktok.com/ZS9SMWJBS/</v>
      </c>
      <c r="O1185" s="470"/>
      <c r="P1185" s="471" t="str">
        <f>IFERROR(__xludf.DUMMYFUNCTION("""COMPUTED_VALUE"""),"https://vt.tiktok.com/ZS9Sh4LUQ/")</f>
        <v>https://vt.tiktok.com/ZS9Sh4LUQ/</v>
      </c>
    </row>
    <row r="1186">
      <c r="A1186" s="282" t="str">
        <f>IFERROR(__xludf.DUMMYFUNCTION("""COMPUTED_VALUE"""),"MICRO")</f>
        <v>MICRO</v>
      </c>
      <c r="B1186" s="468" t="str">
        <f>IFERROR(__xludf.DUMMYFUNCTION("""COMPUTED_VALUE"""),"meloveminee")</f>
        <v>meloveminee</v>
      </c>
      <c r="C1186" s="283" t="str">
        <f>IFERROR(__xludf.DUMMYFUNCTION("""COMPUTED_VALUE"""),"https://www.tiktok.com/@meloveminee")</f>
        <v>https://www.tiktok.com/@meloveminee</v>
      </c>
      <c r="D1186" s="273">
        <f>IFERROR(__xludf.DUMMYFUNCTION("""COMPUTED_VALUE"""),8.5717797258E10)</f>
        <v>85717797258</v>
      </c>
      <c r="E1186" s="458">
        <f>IFERROR(__xludf.DUMMYFUNCTION("""COMPUTED_VALUE"""),0.0)</f>
        <v>0</v>
      </c>
      <c r="F1186" s="273">
        <f>IFERROR(__xludf.DUMMYFUNCTION("""COMPUTED_VALUE"""),4.0)</f>
        <v>4</v>
      </c>
      <c r="G1186" t="str">
        <f>IFERROR(__xludf.DUMMYFUNCTION("""COMPUTED_VALUE"""),"Sabun batang 1 Box ( 2 PCS )")</f>
        <v>Sabun batang 1 Box ( 2 PCS )</v>
      </c>
      <c r="H1186" s="469" t="str">
        <f>IFERROR(__xludf.DUMMYFUNCTION("""COMPUTED_VALUE"""),"Sampai")</f>
        <v>Sampai</v>
      </c>
      <c r="I1186" s="470" t="str">
        <f>IFERROR(__xludf.DUMMYFUNCTION("""COMPUTED_VALUE"""),"KIMME")</f>
        <v>KIMME</v>
      </c>
      <c r="J1186" s="471" t="str">
        <f>IFERROR(__xludf.DUMMYFUNCTION("""COMPUTED_VALUE"""),"https://vt.tiktok.com/ZS9YHXyNm/")</f>
        <v>https://vt.tiktok.com/ZS9YHXyNm/</v>
      </c>
      <c r="K1186" s="470" t="str">
        <f>IFERROR(__xludf.DUMMYFUNCTION("""COMPUTED_VALUE"""),"KIMME")</f>
        <v>KIMME</v>
      </c>
      <c r="L1186" s="471" t="str">
        <f>IFERROR(__xludf.DUMMYFUNCTION("""COMPUTED_VALUE"""),"https://vt.tiktok.com/ZS9BvQ845/")</f>
        <v>https://vt.tiktok.com/ZS9BvQ845/</v>
      </c>
      <c r="M1186" s="470"/>
      <c r="N1186" s="471" t="str">
        <f>IFERROR(__xludf.DUMMYFUNCTION("""COMPUTED_VALUE"""),"https://vt.tiktok.com/ZS9SMWJBS/")</f>
        <v>https://vt.tiktok.com/ZS9SMWJBS/</v>
      </c>
      <c r="O1186" s="470"/>
      <c r="P1186" s="471" t="str">
        <f>IFERROR(__xludf.DUMMYFUNCTION("""COMPUTED_VALUE"""),"https://vt.tiktok.com/ZS9Sh4LUQ/")</f>
        <v>https://vt.tiktok.com/ZS9Sh4LUQ/</v>
      </c>
    </row>
    <row r="1187">
      <c r="A1187" s="282" t="str">
        <f>IFERROR(__xludf.DUMMYFUNCTION("""COMPUTED_VALUE"""),"MICRO")</f>
        <v>MICRO</v>
      </c>
      <c r="B1187" s="468" t="str">
        <f>IFERROR(__xludf.DUMMYFUNCTION("""COMPUTED_VALUE"""),"jajandiskon")</f>
        <v>jajandiskon</v>
      </c>
      <c r="C1187" s="283" t="str">
        <f>IFERROR(__xludf.DUMMYFUNCTION("""COMPUTED_VALUE"""),"https://www.tiktok.com/@jajandiskon")</f>
        <v>https://www.tiktok.com/@jajandiskon</v>
      </c>
      <c r="D1187" s="273">
        <f>IFERROR(__xludf.DUMMYFUNCTION("""COMPUTED_VALUE"""),8.384271574E10)</f>
        <v>83842715740</v>
      </c>
      <c r="E1187" s="458">
        <f>IFERROR(__xludf.DUMMYFUNCTION("""COMPUTED_VALUE"""),0.0)</f>
        <v>0</v>
      </c>
      <c r="F1187" s="273">
        <f>IFERROR(__xludf.DUMMYFUNCTION("""COMPUTED_VALUE"""),4.0)</f>
        <v>4</v>
      </c>
      <c r="G1187" t="str">
        <f>IFERROR(__xludf.DUMMYFUNCTION("""COMPUTED_VALUE"""),"Sabun batang 1 Box ( 2 PCS )")</f>
        <v>Sabun batang 1 Box ( 2 PCS )</v>
      </c>
      <c r="H1187" s="469" t="str">
        <f>IFERROR(__xludf.DUMMYFUNCTION("""COMPUTED_VALUE"""),"Sampai")</f>
        <v>Sampai</v>
      </c>
      <c r="I1187" s="470" t="str">
        <f>IFERROR(__xludf.DUMMYFUNCTION("""COMPUTED_VALUE"""),"KIMME")</f>
        <v>KIMME</v>
      </c>
      <c r="J1187" s="471" t="str">
        <f>IFERROR(__xludf.DUMMYFUNCTION("""COMPUTED_VALUE"""),"https://vt.tiktok.com/ZS9YHXyNm/")</f>
        <v>https://vt.tiktok.com/ZS9YHXyNm/</v>
      </c>
      <c r="K1187" s="470" t="str">
        <f>IFERROR(__xludf.DUMMYFUNCTION("""COMPUTED_VALUE"""),"KIMME")</f>
        <v>KIMME</v>
      </c>
      <c r="L1187" s="471" t="str">
        <f>IFERROR(__xludf.DUMMYFUNCTION("""COMPUTED_VALUE"""),"https://vt.tiktok.com/ZS9BvQ845/")</f>
        <v>https://vt.tiktok.com/ZS9BvQ845/</v>
      </c>
      <c r="M1187" s="470"/>
      <c r="N1187" s="471" t="str">
        <f>IFERROR(__xludf.DUMMYFUNCTION("""COMPUTED_VALUE"""),"https://vt.tiktok.com/ZS9SMWJBS/")</f>
        <v>https://vt.tiktok.com/ZS9SMWJBS/</v>
      </c>
      <c r="O1187" s="470"/>
      <c r="P1187" s="471" t="str">
        <f>IFERROR(__xludf.DUMMYFUNCTION("""COMPUTED_VALUE"""),"https://vt.tiktok.com/ZS9Sh4LUQ/")</f>
        <v>https://vt.tiktok.com/ZS9Sh4LUQ/</v>
      </c>
    </row>
    <row r="1188">
      <c r="A1188" s="282" t="str">
        <f>IFERROR(__xludf.DUMMYFUNCTION("""COMPUTED_VALUE"""),"MICRO")</f>
        <v>MICRO</v>
      </c>
      <c r="B1188" s="468" t="str">
        <f>IFERROR(__xludf.DUMMYFUNCTION("""COMPUTED_VALUE"""),"psingtuan")</f>
        <v>psingtuan</v>
      </c>
      <c r="C1188" s="283" t="str">
        <f>IFERROR(__xludf.DUMMYFUNCTION("""COMPUTED_VALUE"""),"https://www.tiktok.com/@psingtuan")</f>
        <v>https://www.tiktok.com/@psingtuan</v>
      </c>
      <c r="D1188" s="273">
        <f>IFERROR(__xludf.DUMMYFUNCTION("""COMPUTED_VALUE"""),8.1255116575E10)</f>
        <v>81255116575</v>
      </c>
      <c r="E1188" s="458">
        <f>IFERROR(__xludf.DUMMYFUNCTION("""COMPUTED_VALUE"""),50000.0)</f>
        <v>50000</v>
      </c>
      <c r="F1188" s="273">
        <f>IFERROR(__xludf.DUMMYFUNCTION("""COMPUTED_VALUE"""),1.0)</f>
        <v>1</v>
      </c>
      <c r="G1188" t="str">
        <f>IFERROR(__xludf.DUMMYFUNCTION("""COMPUTED_VALUE"""),"Sabun batang 1 Box ( 2 PCS )")</f>
        <v>Sabun batang 1 Box ( 2 PCS )</v>
      </c>
      <c r="H1188" s="469" t="str">
        <f>IFERROR(__xludf.DUMMYFUNCTION("""COMPUTED_VALUE"""),"Sampai")</f>
        <v>Sampai</v>
      </c>
      <c r="I1188" s="470" t="str">
        <f>IFERROR(__xludf.DUMMYFUNCTION("""COMPUTED_VALUE"""),"KIMME")</f>
        <v>KIMME</v>
      </c>
      <c r="J1188" s="471" t="str">
        <f>IFERROR(__xludf.DUMMYFUNCTION("""COMPUTED_VALUE"""),"https://vt.tiktok.com/ZS9YHXyNm/")</f>
        <v>https://vt.tiktok.com/ZS9YHXyNm/</v>
      </c>
      <c r="K1188" s="470" t="str">
        <f>IFERROR(__xludf.DUMMYFUNCTION("""COMPUTED_VALUE"""),"KIMME")</f>
        <v>KIMME</v>
      </c>
      <c r="L1188" s="471" t="str">
        <f>IFERROR(__xludf.DUMMYFUNCTION("""COMPUTED_VALUE"""),"https://vt.tiktok.com/ZS9BvQ845/")</f>
        <v>https://vt.tiktok.com/ZS9BvQ845/</v>
      </c>
      <c r="M1188" s="470"/>
      <c r="N1188" s="471" t="str">
        <f>IFERROR(__xludf.DUMMYFUNCTION("""COMPUTED_VALUE"""),"https://vt.tiktok.com/ZS9SMWJBS/")</f>
        <v>https://vt.tiktok.com/ZS9SMWJBS/</v>
      </c>
      <c r="O1188" s="470"/>
      <c r="P1188" s="471" t="str">
        <f>IFERROR(__xludf.DUMMYFUNCTION("""COMPUTED_VALUE"""),"https://vt.tiktok.com/ZS9Sh4LUQ/")</f>
        <v>https://vt.tiktok.com/ZS9Sh4LUQ/</v>
      </c>
    </row>
    <row r="1189">
      <c r="A1189" s="282" t="str">
        <f>IFERROR(__xludf.DUMMYFUNCTION("""COMPUTED_VALUE"""),"MICRO")</f>
        <v>MICRO</v>
      </c>
      <c r="B1189" s="468" t="str">
        <f>IFERROR(__xludf.DUMMYFUNCTION("""COMPUTED_VALUE"""),"vinaapriliar")</f>
        <v>vinaapriliar</v>
      </c>
      <c r="C1189" s="283" t="str">
        <f>IFERROR(__xludf.DUMMYFUNCTION("""COMPUTED_VALUE"""),"https://www.tiktok.com/@vinaapriliar")</f>
        <v>https://www.tiktok.com/@vinaapriliar</v>
      </c>
      <c r="D1189" s="273">
        <f>IFERROR(__xludf.DUMMYFUNCTION("""COMPUTED_VALUE"""),8.1225462243E10)</f>
        <v>81225462243</v>
      </c>
      <c r="E1189" s="458">
        <f>IFERROR(__xludf.DUMMYFUNCTION("""COMPUTED_VALUE"""),0.0)</f>
        <v>0</v>
      </c>
      <c r="F1189" s="273">
        <f>IFERROR(__xludf.DUMMYFUNCTION("""COMPUTED_VALUE"""),4.0)</f>
        <v>4</v>
      </c>
      <c r="G1189" t="str">
        <f>IFERROR(__xludf.DUMMYFUNCTION("""COMPUTED_VALUE"""),"Sabun batang 1 Box ( 2 PCS )")</f>
        <v>Sabun batang 1 Box ( 2 PCS )</v>
      </c>
      <c r="H1189" s="469" t="str">
        <f>IFERROR(__xludf.DUMMYFUNCTION("""COMPUTED_VALUE"""),"Sampai")</f>
        <v>Sampai</v>
      </c>
      <c r="I1189" s="470" t="str">
        <f>IFERROR(__xludf.DUMMYFUNCTION("""COMPUTED_VALUE"""),"KIMME")</f>
        <v>KIMME</v>
      </c>
      <c r="J1189" s="471" t="str">
        <f>IFERROR(__xludf.DUMMYFUNCTION("""COMPUTED_VALUE"""),"https://vt.tiktok.com/ZS9YHXyNm/")</f>
        <v>https://vt.tiktok.com/ZS9YHXyNm/</v>
      </c>
      <c r="K1189" s="470" t="str">
        <f>IFERROR(__xludf.DUMMYFUNCTION("""COMPUTED_VALUE"""),"KIMME")</f>
        <v>KIMME</v>
      </c>
      <c r="L1189" s="471" t="str">
        <f>IFERROR(__xludf.DUMMYFUNCTION("""COMPUTED_VALUE"""),"https://vt.tiktok.com/ZS9BvQ845/")</f>
        <v>https://vt.tiktok.com/ZS9BvQ845/</v>
      </c>
      <c r="M1189" s="470"/>
      <c r="N1189" s="471" t="str">
        <f>IFERROR(__xludf.DUMMYFUNCTION("""COMPUTED_VALUE"""),"https://vt.tiktok.com/ZS9SMWJBS/")</f>
        <v>https://vt.tiktok.com/ZS9SMWJBS/</v>
      </c>
      <c r="O1189" s="470"/>
      <c r="P1189" s="471" t="str">
        <f>IFERROR(__xludf.DUMMYFUNCTION("""COMPUTED_VALUE"""),"https://vt.tiktok.com/ZS9Sh4LUQ/")</f>
        <v>https://vt.tiktok.com/ZS9Sh4LUQ/</v>
      </c>
    </row>
    <row r="1190">
      <c r="A1190" s="282" t="str">
        <f>IFERROR(__xludf.DUMMYFUNCTION("""COMPUTED_VALUE"""),"MICRO")</f>
        <v>MICRO</v>
      </c>
      <c r="B1190" s="468" t="str">
        <f>IFERROR(__xludf.DUMMYFUNCTION("""COMPUTED_VALUE"""),"kkaylaeu")</f>
        <v>kkaylaeu</v>
      </c>
      <c r="C1190" s="283" t="str">
        <f>IFERROR(__xludf.DUMMYFUNCTION("""COMPUTED_VALUE"""),"https://www.tiktok.com/@kkaylaeu")</f>
        <v>https://www.tiktok.com/@kkaylaeu</v>
      </c>
      <c r="D1190" s="273">
        <f>IFERROR(__xludf.DUMMYFUNCTION("""COMPUTED_VALUE"""),8.59121525478E11)</f>
        <v>859121525478</v>
      </c>
      <c r="E1190" s="458">
        <f>IFERROR(__xludf.DUMMYFUNCTION("""COMPUTED_VALUE"""),0.0)</f>
        <v>0</v>
      </c>
      <c r="F1190" s="273">
        <f>IFERROR(__xludf.DUMMYFUNCTION("""COMPUTED_VALUE"""),4.0)</f>
        <v>4</v>
      </c>
      <c r="G1190" t="str">
        <f>IFERROR(__xludf.DUMMYFUNCTION("""COMPUTED_VALUE"""),"Sabun batang 1 Box ( 2 PCS )")</f>
        <v>Sabun batang 1 Box ( 2 PCS )</v>
      </c>
      <c r="H1190" s="469" t="str">
        <f>IFERROR(__xludf.DUMMYFUNCTION("""COMPUTED_VALUE"""),"Sampai")</f>
        <v>Sampai</v>
      </c>
      <c r="I1190" s="470" t="str">
        <f>IFERROR(__xludf.DUMMYFUNCTION("""COMPUTED_VALUE"""),"KIMME")</f>
        <v>KIMME</v>
      </c>
      <c r="J1190" s="471" t="str">
        <f>IFERROR(__xludf.DUMMYFUNCTION("""COMPUTED_VALUE"""),"https://vt.tiktok.com/ZS9YHXyNm/")</f>
        <v>https://vt.tiktok.com/ZS9YHXyNm/</v>
      </c>
      <c r="K1190" s="470" t="str">
        <f>IFERROR(__xludf.DUMMYFUNCTION("""COMPUTED_VALUE"""),"KIMME")</f>
        <v>KIMME</v>
      </c>
      <c r="L1190" s="471" t="str">
        <f>IFERROR(__xludf.DUMMYFUNCTION("""COMPUTED_VALUE"""),"https://vt.tiktok.com/ZS9BvQ845/")</f>
        <v>https://vt.tiktok.com/ZS9BvQ845/</v>
      </c>
      <c r="M1190" s="470"/>
      <c r="N1190" s="471" t="str">
        <f>IFERROR(__xludf.DUMMYFUNCTION("""COMPUTED_VALUE"""),"https://vt.tiktok.com/ZS9SMWJBS/")</f>
        <v>https://vt.tiktok.com/ZS9SMWJBS/</v>
      </c>
      <c r="O1190" s="470"/>
      <c r="P1190" s="471" t="str">
        <f>IFERROR(__xludf.DUMMYFUNCTION("""COMPUTED_VALUE"""),"https://vt.tiktok.com/ZS9Sh4LUQ/")</f>
        <v>https://vt.tiktok.com/ZS9Sh4LUQ/</v>
      </c>
    </row>
    <row r="1191">
      <c r="A1191" s="282" t="str">
        <f>IFERROR(__xludf.DUMMYFUNCTION("""COMPUTED_VALUE"""),"MICRO")</f>
        <v>MICRO</v>
      </c>
      <c r="B1191" s="468" t="str">
        <f>IFERROR(__xludf.DUMMYFUNCTION("""COMPUTED_VALUE"""),"whosthi00")</f>
        <v>whosthi00</v>
      </c>
      <c r="C1191" s="283" t="str">
        <f>IFERROR(__xludf.DUMMYFUNCTION("""COMPUTED_VALUE"""),"https://www.tiktok.com/@whosthi00")</f>
        <v>https://www.tiktok.com/@whosthi00</v>
      </c>
      <c r="D1191" s="273">
        <f>IFERROR(__xludf.DUMMYFUNCTION("""COMPUTED_VALUE"""),8.2361367094E10)</f>
        <v>82361367094</v>
      </c>
      <c r="E1191" s="458">
        <f>IFERROR(__xludf.DUMMYFUNCTION("""COMPUTED_VALUE"""),0.0)</f>
        <v>0</v>
      </c>
      <c r="F1191" s="273">
        <f>IFERROR(__xludf.DUMMYFUNCTION("""COMPUTED_VALUE"""),4.0)</f>
        <v>4</v>
      </c>
      <c r="G1191" t="str">
        <f>IFERROR(__xludf.DUMMYFUNCTION("""COMPUTED_VALUE"""),"Sabun batang 1 Box ( 2 PCS )")</f>
        <v>Sabun batang 1 Box ( 2 PCS )</v>
      </c>
      <c r="H1191" s="469" t="str">
        <f>IFERROR(__xludf.DUMMYFUNCTION("""COMPUTED_VALUE"""),"Sampai")</f>
        <v>Sampai</v>
      </c>
      <c r="I1191" s="470" t="str">
        <f>IFERROR(__xludf.DUMMYFUNCTION("""COMPUTED_VALUE"""),"KIMME")</f>
        <v>KIMME</v>
      </c>
      <c r="J1191" s="471" t="str">
        <f>IFERROR(__xludf.DUMMYFUNCTION("""COMPUTED_VALUE"""),"https://vt.tiktok.com/ZS9YHXyNm/")</f>
        <v>https://vt.tiktok.com/ZS9YHXyNm/</v>
      </c>
      <c r="K1191" s="470" t="str">
        <f>IFERROR(__xludf.DUMMYFUNCTION("""COMPUTED_VALUE"""),"KIMME")</f>
        <v>KIMME</v>
      </c>
      <c r="L1191" s="471" t="str">
        <f>IFERROR(__xludf.DUMMYFUNCTION("""COMPUTED_VALUE"""),"https://vt.tiktok.com/ZS9BvQ845/")</f>
        <v>https://vt.tiktok.com/ZS9BvQ845/</v>
      </c>
      <c r="M1191" s="470"/>
      <c r="N1191" s="471" t="str">
        <f>IFERROR(__xludf.DUMMYFUNCTION("""COMPUTED_VALUE"""),"https://vt.tiktok.com/ZS9SMWJBS/")</f>
        <v>https://vt.tiktok.com/ZS9SMWJBS/</v>
      </c>
      <c r="O1191" s="470"/>
      <c r="P1191" s="471" t="str">
        <f>IFERROR(__xludf.DUMMYFUNCTION("""COMPUTED_VALUE"""),"https://vt.tiktok.com/ZS9Sh4LUQ/")</f>
        <v>https://vt.tiktok.com/ZS9Sh4LUQ/</v>
      </c>
    </row>
    <row r="1192">
      <c r="A1192" s="282" t="str">
        <f>IFERROR(__xludf.DUMMYFUNCTION("""COMPUTED_VALUE"""),"MICRO")</f>
        <v>MICRO</v>
      </c>
      <c r="B1192" s="468" t="str">
        <f>IFERROR(__xludf.DUMMYFUNCTION("""COMPUTED_VALUE"""),"serbaserbishp")</f>
        <v>serbaserbishp</v>
      </c>
      <c r="C1192" s="283" t="str">
        <f>IFERROR(__xludf.DUMMYFUNCTION("""COMPUTED_VALUE"""),"https://www.tiktok.com/@serbaserbishp")</f>
        <v>https://www.tiktok.com/@serbaserbishp</v>
      </c>
      <c r="D1192" s="273">
        <f>IFERROR(__xludf.DUMMYFUNCTION("""COMPUTED_VALUE"""),8.1285447558E10)</f>
        <v>81285447558</v>
      </c>
      <c r="E1192" s="458">
        <f>IFERROR(__xludf.DUMMYFUNCTION("""COMPUTED_VALUE"""),0.0)</f>
        <v>0</v>
      </c>
      <c r="F1192" s="273">
        <f>IFERROR(__xludf.DUMMYFUNCTION("""COMPUTED_VALUE"""),4.0)</f>
        <v>4</v>
      </c>
      <c r="G1192" t="str">
        <f>IFERROR(__xludf.DUMMYFUNCTION("""COMPUTED_VALUE"""),"Sabun batang 1 Box ( 2 PCS )")</f>
        <v>Sabun batang 1 Box ( 2 PCS )</v>
      </c>
      <c r="H1192" s="469" t="str">
        <f>IFERROR(__xludf.DUMMYFUNCTION("""COMPUTED_VALUE"""),"Sampai")</f>
        <v>Sampai</v>
      </c>
      <c r="I1192" s="470" t="str">
        <f>IFERROR(__xludf.DUMMYFUNCTION("""COMPUTED_VALUE"""),"KIMME")</f>
        <v>KIMME</v>
      </c>
      <c r="J1192" s="471" t="str">
        <f>IFERROR(__xludf.DUMMYFUNCTION("""COMPUTED_VALUE"""),"https://vt.tiktok.com/ZS9YHXyNm/")</f>
        <v>https://vt.tiktok.com/ZS9YHXyNm/</v>
      </c>
      <c r="K1192" s="470" t="str">
        <f>IFERROR(__xludf.DUMMYFUNCTION("""COMPUTED_VALUE"""),"KIMME")</f>
        <v>KIMME</v>
      </c>
      <c r="L1192" s="471" t="str">
        <f>IFERROR(__xludf.DUMMYFUNCTION("""COMPUTED_VALUE"""),"https://vt.tiktok.com/ZS9BvQ845/")</f>
        <v>https://vt.tiktok.com/ZS9BvQ845/</v>
      </c>
      <c r="M1192" s="470"/>
      <c r="N1192" s="471" t="str">
        <f>IFERROR(__xludf.DUMMYFUNCTION("""COMPUTED_VALUE"""),"https://vt.tiktok.com/ZS9SMWJBS/")</f>
        <v>https://vt.tiktok.com/ZS9SMWJBS/</v>
      </c>
      <c r="O1192" s="470"/>
      <c r="P1192" s="471" t="str">
        <f>IFERROR(__xludf.DUMMYFUNCTION("""COMPUTED_VALUE"""),"https://vt.tiktok.com/ZS9Sh4LUQ/")</f>
        <v>https://vt.tiktok.com/ZS9Sh4LUQ/</v>
      </c>
    </row>
    <row r="1193">
      <c r="A1193" s="282" t="str">
        <f>IFERROR(__xludf.DUMMYFUNCTION("""COMPUTED_VALUE"""),"MICRO")</f>
        <v>MICRO</v>
      </c>
      <c r="B1193" s="468" t="str">
        <f>IFERROR(__xludf.DUMMYFUNCTION("""COMPUTED_VALUE"""),"dianiiiw_")</f>
        <v>dianiiiw_</v>
      </c>
      <c r="C1193" s="283" t="str">
        <f>IFERROR(__xludf.DUMMYFUNCTION("""COMPUTED_VALUE"""),"https://www.tiktok.com/@dianiiiw_")</f>
        <v>https://www.tiktok.com/@dianiiiw_</v>
      </c>
      <c r="D1193" s="273">
        <f>IFERROR(__xludf.DUMMYFUNCTION("""COMPUTED_VALUE"""),8.3825464372E10)</f>
        <v>83825464372</v>
      </c>
      <c r="E1193" s="458">
        <f>IFERROR(__xludf.DUMMYFUNCTION("""COMPUTED_VALUE"""),0.0)</f>
        <v>0</v>
      </c>
      <c r="F1193" s="273">
        <f>IFERROR(__xludf.DUMMYFUNCTION("""COMPUTED_VALUE"""),4.0)</f>
        <v>4</v>
      </c>
      <c r="G1193" t="str">
        <f>IFERROR(__xludf.DUMMYFUNCTION("""COMPUTED_VALUE"""),"Sabun batang 1 Box ( 2 PCS )")</f>
        <v>Sabun batang 1 Box ( 2 PCS )</v>
      </c>
      <c r="H1193" s="469" t="str">
        <f>IFERROR(__xludf.DUMMYFUNCTION("""COMPUTED_VALUE"""),"Sampai")</f>
        <v>Sampai</v>
      </c>
      <c r="I1193" s="470" t="str">
        <f>IFERROR(__xludf.DUMMYFUNCTION("""COMPUTED_VALUE"""),"KIMME")</f>
        <v>KIMME</v>
      </c>
      <c r="J1193" s="471" t="str">
        <f>IFERROR(__xludf.DUMMYFUNCTION("""COMPUTED_VALUE"""),"https://vt.tiktok.com/ZS9YHXyNm/")</f>
        <v>https://vt.tiktok.com/ZS9YHXyNm/</v>
      </c>
      <c r="K1193" s="470" t="str">
        <f>IFERROR(__xludf.DUMMYFUNCTION("""COMPUTED_VALUE"""),"KIMME")</f>
        <v>KIMME</v>
      </c>
      <c r="L1193" s="471" t="str">
        <f>IFERROR(__xludf.DUMMYFUNCTION("""COMPUTED_VALUE"""),"https://vt.tiktok.com/ZS9BvQ845/")</f>
        <v>https://vt.tiktok.com/ZS9BvQ845/</v>
      </c>
      <c r="M1193" s="470"/>
      <c r="N1193" s="471" t="str">
        <f>IFERROR(__xludf.DUMMYFUNCTION("""COMPUTED_VALUE"""),"https://vt.tiktok.com/ZS9SMWJBS/")</f>
        <v>https://vt.tiktok.com/ZS9SMWJBS/</v>
      </c>
      <c r="O1193" s="470"/>
      <c r="P1193" s="471" t="str">
        <f>IFERROR(__xludf.DUMMYFUNCTION("""COMPUTED_VALUE"""),"https://vt.tiktok.com/ZS9Sh4LUQ/")</f>
        <v>https://vt.tiktok.com/ZS9Sh4LUQ/</v>
      </c>
    </row>
    <row r="1194">
      <c r="A1194" s="282" t="str">
        <f>IFERROR(__xludf.DUMMYFUNCTION("""COMPUTED_VALUE"""),"MICRO")</f>
        <v>MICRO</v>
      </c>
      <c r="B1194" s="468" t="str">
        <f>IFERROR(__xludf.DUMMYFUNCTION("""COMPUTED_VALUE"""),"iniziraajuga")</f>
        <v>iniziraajuga</v>
      </c>
      <c r="C1194" s="283" t="str">
        <f>IFERROR(__xludf.DUMMYFUNCTION("""COMPUTED_VALUE"""),"https://www.tiktok.com/@iniziraajuga")</f>
        <v>https://www.tiktok.com/@iniziraajuga</v>
      </c>
      <c r="D1194" s="273">
        <f>IFERROR(__xludf.DUMMYFUNCTION("""COMPUTED_VALUE"""),8.3197631206E10)</f>
        <v>83197631206</v>
      </c>
      <c r="E1194" s="458">
        <f>IFERROR(__xludf.DUMMYFUNCTION("""COMPUTED_VALUE"""),0.0)</f>
        <v>0</v>
      </c>
      <c r="F1194" s="273">
        <f>IFERROR(__xludf.DUMMYFUNCTION("""COMPUTED_VALUE"""),4.0)</f>
        <v>4</v>
      </c>
      <c r="G1194" t="str">
        <f>IFERROR(__xludf.DUMMYFUNCTION("""COMPUTED_VALUE"""),"Sabun batang 1 Box ( 2 PCS )")</f>
        <v>Sabun batang 1 Box ( 2 PCS )</v>
      </c>
      <c r="H1194" s="469" t="str">
        <f>IFERROR(__xludf.DUMMYFUNCTION("""COMPUTED_VALUE"""),"Sampai")</f>
        <v>Sampai</v>
      </c>
      <c r="I1194" s="470" t="str">
        <f>IFERROR(__xludf.DUMMYFUNCTION("""COMPUTED_VALUE"""),"KIMME")</f>
        <v>KIMME</v>
      </c>
      <c r="J1194" s="471" t="str">
        <f>IFERROR(__xludf.DUMMYFUNCTION("""COMPUTED_VALUE"""),"https://vt.tiktok.com/ZS9YHXyNm/")</f>
        <v>https://vt.tiktok.com/ZS9YHXyNm/</v>
      </c>
      <c r="K1194" s="470" t="str">
        <f>IFERROR(__xludf.DUMMYFUNCTION("""COMPUTED_VALUE"""),"KIMME")</f>
        <v>KIMME</v>
      </c>
      <c r="L1194" s="471" t="str">
        <f>IFERROR(__xludf.DUMMYFUNCTION("""COMPUTED_VALUE"""),"https://vt.tiktok.com/ZS9BvQ845/")</f>
        <v>https://vt.tiktok.com/ZS9BvQ845/</v>
      </c>
      <c r="M1194" s="470"/>
      <c r="N1194" s="471" t="str">
        <f>IFERROR(__xludf.DUMMYFUNCTION("""COMPUTED_VALUE"""),"https://vt.tiktok.com/ZS9SMWJBS/")</f>
        <v>https://vt.tiktok.com/ZS9SMWJBS/</v>
      </c>
      <c r="O1194" s="470"/>
      <c r="P1194" s="471" t="str">
        <f>IFERROR(__xludf.DUMMYFUNCTION("""COMPUTED_VALUE"""),"https://vt.tiktok.com/ZS9Sh4LUQ/")</f>
        <v>https://vt.tiktok.com/ZS9Sh4LUQ/</v>
      </c>
    </row>
    <row r="1195">
      <c r="A1195" s="282" t="str">
        <f>IFERROR(__xludf.DUMMYFUNCTION("""COMPUTED_VALUE"""),"MICRO")</f>
        <v>MICRO</v>
      </c>
      <c r="B1195" s="468" t="str">
        <f>IFERROR(__xludf.DUMMYFUNCTION("""COMPUTED_VALUE"""),"noraaa_18")</f>
        <v>noraaa_18</v>
      </c>
      <c r="C1195" s="283" t="str">
        <f>IFERROR(__xludf.DUMMYFUNCTION("""COMPUTED_VALUE"""),"https://www.tiktok.com/@noraaa_18")</f>
        <v>https://www.tiktok.com/@noraaa_18</v>
      </c>
      <c r="D1195" s="273">
        <f>IFERROR(__xludf.DUMMYFUNCTION("""COMPUTED_VALUE"""),8.1373374922E10)</f>
        <v>81373374922</v>
      </c>
      <c r="E1195" s="458">
        <f>IFERROR(__xludf.DUMMYFUNCTION("""COMPUTED_VALUE"""),0.0)</f>
        <v>0</v>
      </c>
      <c r="F1195" s="273">
        <f>IFERROR(__xludf.DUMMYFUNCTION("""COMPUTED_VALUE"""),4.0)</f>
        <v>4</v>
      </c>
      <c r="G1195" t="str">
        <f>IFERROR(__xludf.DUMMYFUNCTION("""COMPUTED_VALUE"""),"Sabun batang 1 Box ( 2 PCS )")</f>
        <v>Sabun batang 1 Box ( 2 PCS )</v>
      </c>
      <c r="H1195" s="469" t="str">
        <f>IFERROR(__xludf.DUMMYFUNCTION("""COMPUTED_VALUE"""),"Sampai")</f>
        <v>Sampai</v>
      </c>
      <c r="I1195" s="470" t="str">
        <f>IFERROR(__xludf.DUMMYFUNCTION("""COMPUTED_VALUE"""),"KIMME")</f>
        <v>KIMME</v>
      </c>
      <c r="J1195" s="471" t="str">
        <f>IFERROR(__xludf.DUMMYFUNCTION("""COMPUTED_VALUE"""),"https://vt.tiktok.com/ZS9YHXyNm/")</f>
        <v>https://vt.tiktok.com/ZS9YHXyNm/</v>
      </c>
      <c r="K1195" s="470" t="str">
        <f>IFERROR(__xludf.DUMMYFUNCTION("""COMPUTED_VALUE"""),"KIMME")</f>
        <v>KIMME</v>
      </c>
      <c r="L1195" s="471" t="str">
        <f>IFERROR(__xludf.DUMMYFUNCTION("""COMPUTED_VALUE"""),"https://vt.tiktok.com/ZS9BvQ845/")</f>
        <v>https://vt.tiktok.com/ZS9BvQ845/</v>
      </c>
      <c r="M1195" s="470"/>
      <c r="N1195" s="471" t="str">
        <f>IFERROR(__xludf.DUMMYFUNCTION("""COMPUTED_VALUE"""),"https://vt.tiktok.com/ZS9SMWJBS/")</f>
        <v>https://vt.tiktok.com/ZS9SMWJBS/</v>
      </c>
      <c r="O1195" s="470"/>
      <c r="P1195" s="471" t="str">
        <f>IFERROR(__xludf.DUMMYFUNCTION("""COMPUTED_VALUE"""),"https://vt.tiktok.com/ZS9Sh4LUQ/")</f>
        <v>https://vt.tiktok.com/ZS9Sh4LUQ/</v>
      </c>
    </row>
    <row r="1196">
      <c r="A1196" s="282" t="str">
        <f>IFERROR(__xludf.DUMMYFUNCTION("""COMPUTED_VALUE"""),"MICRO")</f>
        <v>MICRO</v>
      </c>
      <c r="B1196" s="468" t="str">
        <f>IFERROR(__xludf.DUMMYFUNCTION("""COMPUTED_VALUE"""),"kiosnaya_")</f>
        <v>kiosnaya_</v>
      </c>
      <c r="C1196" s="283" t="str">
        <f>IFERROR(__xludf.DUMMYFUNCTION("""COMPUTED_VALUE"""),"https://www.tiktok.com/@kiosnaya_")</f>
        <v>https://www.tiktok.com/@kiosnaya_</v>
      </c>
      <c r="D1196" s="273">
        <f>IFERROR(__xludf.DUMMYFUNCTION("""COMPUTED_VALUE"""),8.95328765656E11)</f>
        <v>895328765656</v>
      </c>
      <c r="E1196" s="458">
        <f>IFERROR(__xludf.DUMMYFUNCTION("""COMPUTED_VALUE"""),0.0)</f>
        <v>0</v>
      </c>
      <c r="F1196" s="273">
        <f>IFERROR(__xludf.DUMMYFUNCTION("""COMPUTED_VALUE"""),4.0)</f>
        <v>4</v>
      </c>
      <c r="G1196" t="str">
        <f>IFERROR(__xludf.DUMMYFUNCTION("""COMPUTED_VALUE"""),"Sabun batang 1 Box ( 2 PCS )")</f>
        <v>Sabun batang 1 Box ( 2 PCS )</v>
      </c>
      <c r="H1196" s="469" t="str">
        <f>IFERROR(__xludf.DUMMYFUNCTION("""COMPUTED_VALUE"""),"Sampai")</f>
        <v>Sampai</v>
      </c>
      <c r="I1196" s="470" t="str">
        <f>IFERROR(__xludf.DUMMYFUNCTION("""COMPUTED_VALUE"""),"KIMME")</f>
        <v>KIMME</v>
      </c>
      <c r="J1196" s="471" t="str">
        <f>IFERROR(__xludf.DUMMYFUNCTION("""COMPUTED_VALUE"""),"https://vt.tiktok.com/ZS9YHXyNm/")</f>
        <v>https://vt.tiktok.com/ZS9YHXyNm/</v>
      </c>
      <c r="K1196" s="470" t="str">
        <f>IFERROR(__xludf.DUMMYFUNCTION("""COMPUTED_VALUE"""),"KIMME")</f>
        <v>KIMME</v>
      </c>
      <c r="L1196" s="471" t="str">
        <f>IFERROR(__xludf.DUMMYFUNCTION("""COMPUTED_VALUE"""),"https://vt.tiktok.com/ZS9BvQ845/")</f>
        <v>https://vt.tiktok.com/ZS9BvQ845/</v>
      </c>
      <c r="M1196" s="470"/>
      <c r="N1196" s="471" t="str">
        <f>IFERROR(__xludf.DUMMYFUNCTION("""COMPUTED_VALUE"""),"https://vt.tiktok.com/ZS9SMWJBS/")</f>
        <v>https://vt.tiktok.com/ZS9SMWJBS/</v>
      </c>
      <c r="O1196" s="470"/>
      <c r="P1196" s="471" t="str">
        <f>IFERROR(__xludf.DUMMYFUNCTION("""COMPUTED_VALUE"""),"https://vt.tiktok.com/ZS9Sh4LUQ/")</f>
        <v>https://vt.tiktok.com/ZS9Sh4LUQ/</v>
      </c>
    </row>
    <row r="1197">
      <c r="A1197" s="282" t="str">
        <f>IFERROR(__xludf.DUMMYFUNCTION("""COMPUTED_VALUE"""),"MICRO")</f>
        <v>MICRO</v>
      </c>
      <c r="B1197" s="468" t="str">
        <f>IFERROR(__xludf.DUMMYFUNCTION("""COMPUTED_VALUE"""),"afifanesta")</f>
        <v>afifanesta</v>
      </c>
      <c r="C1197" s="283" t="str">
        <f>IFERROR(__xludf.DUMMYFUNCTION("""COMPUTED_VALUE"""),"https://www.tiktok.com/@afifanesta")</f>
        <v>https://www.tiktok.com/@afifanesta</v>
      </c>
      <c r="D1197" s="273">
        <f>IFERROR(__xludf.DUMMYFUNCTION("""COMPUTED_VALUE"""),8.966005388E10)</f>
        <v>89660053880</v>
      </c>
      <c r="E1197" s="458">
        <f>IFERROR(__xludf.DUMMYFUNCTION("""COMPUTED_VALUE"""),0.0)</f>
        <v>0</v>
      </c>
      <c r="F1197" s="273">
        <f>IFERROR(__xludf.DUMMYFUNCTION("""COMPUTED_VALUE"""),4.0)</f>
        <v>4</v>
      </c>
      <c r="G1197" t="str">
        <f>IFERROR(__xludf.DUMMYFUNCTION("""COMPUTED_VALUE"""),"Sabun batang 1 Box ( 2 PCS )")</f>
        <v>Sabun batang 1 Box ( 2 PCS )</v>
      </c>
      <c r="H1197" s="469" t="str">
        <f>IFERROR(__xludf.DUMMYFUNCTION("""COMPUTED_VALUE"""),"Sampai")</f>
        <v>Sampai</v>
      </c>
      <c r="I1197" s="470" t="str">
        <f>IFERROR(__xludf.DUMMYFUNCTION("""COMPUTED_VALUE"""),"KIMME")</f>
        <v>KIMME</v>
      </c>
      <c r="J1197" s="471" t="str">
        <f>IFERROR(__xludf.DUMMYFUNCTION("""COMPUTED_VALUE"""),"https://vt.tiktok.com/ZS9YHXyNm/")</f>
        <v>https://vt.tiktok.com/ZS9YHXyNm/</v>
      </c>
      <c r="K1197" s="470" t="str">
        <f>IFERROR(__xludf.DUMMYFUNCTION("""COMPUTED_VALUE"""),"KIMME")</f>
        <v>KIMME</v>
      </c>
      <c r="L1197" s="471" t="str">
        <f>IFERROR(__xludf.DUMMYFUNCTION("""COMPUTED_VALUE"""),"https://vt.tiktok.com/ZS9BvQ845/")</f>
        <v>https://vt.tiktok.com/ZS9BvQ845/</v>
      </c>
      <c r="M1197" s="470"/>
      <c r="N1197" s="471" t="str">
        <f>IFERROR(__xludf.DUMMYFUNCTION("""COMPUTED_VALUE"""),"https://vt.tiktok.com/ZS9SMWJBS/")</f>
        <v>https://vt.tiktok.com/ZS9SMWJBS/</v>
      </c>
      <c r="O1197" s="470"/>
      <c r="P1197" s="471" t="str">
        <f>IFERROR(__xludf.DUMMYFUNCTION("""COMPUTED_VALUE"""),"https://vt.tiktok.com/ZS9Sh4LUQ/")</f>
        <v>https://vt.tiktok.com/ZS9Sh4LUQ/</v>
      </c>
    </row>
    <row r="1198">
      <c r="A1198" s="282" t="str">
        <f>IFERROR(__xludf.DUMMYFUNCTION("""COMPUTED_VALUE"""),"MICRO")</f>
        <v>MICRO</v>
      </c>
      <c r="B1198" s="468" t="str">
        <f>IFERROR(__xludf.DUMMYFUNCTION("""COMPUTED_VALUE"""),"aleira_id
")</f>
        <v>aleira_id
</v>
      </c>
      <c r="C1198" s="283" t="str">
        <f>IFERROR(__xludf.DUMMYFUNCTION("""COMPUTED_VALUE"""),"https://www.tiktok.com/@aleira_id
")</f>
        <v>https://www.tiktok.com/@aleira_id
</v>
      </c>
      <c r="D1198" s="273">
        <f>IFERROR(__xludf.DUMMYFUNCTION("""COMPUTED_VALUE"""),8.122991028E10)</f>
        <v>81229910280</v>
      </c>
      <c r="E1198" s="458">
        <f>IFERROR(__xludf.DUMMYFUNCTION("""COMPUTED_VALUE"""),0.0)</f>
        <v>0</v>
      </c>
      <c r="F1198" s="273">
        <f>IFERROR(__xludf.DUMMYFUNCTION("""COMPUTED_VALUE"""),4.0)</f>
        <v>4</v>
      </c>
      <c r="G1198" t="str">
        <f>IFERROR(__xludf.DUMMYFUNCTION("""COMPUTED_VALUE"""),"Sabun batang 1 Box ( 2 PCS )")</f>
        <v>Sabun batang 1 Box ( 2 PCS )</v>
      </c>
      <c r="H1198" s="469" t="str">
        <f>IFERROR(__xludf.DUMMYFUNCTION("""COMPUTED_VALUE"""),"Sampai")</f>
        <v>Sampai</v>
      </c>
      <c r="I1198" s="470" t="str">
        <f>IFERROR(__xludf.DUMMYFUNCTION("""COMPUTED_VALUE"""),"KIMME")</f>
        <v>KIMME</v>
      </c>
      <c r="J1198" s="471" t="str">
        <f>IFERROR(__xludf.DUMMYFUNCTION("""COMPUTED_VALUE"""),"https://vt.tiktok.com/ZS9YHXyNm/")</f>
        <v>https://vt.tiktok.com/ZS9YHXyNm/</v>
      </c>
      <c r="K1198" s="470" t="str">
        <f>IFERROR(__xludf.DUMMYFUNCTION("""COMPUTED_VALUE"""),"KIMME")</f>
        <v>KIMME</v>
      </c>
      <c r="L1198" s="471" t="str">
        <f>IFERROR(__xludf.DUMMYFUNCTION("""COMPUTED_VALUE"""),"https://vt.tiktok.com/ZS9BvQ845/")</f>
        <v>https://vt.tiktok.com/ZS9BvQ845/</v>
      </c>
      <c r="M1198" s="470"/>
      <c r="N1198" s="471" t="str">
        <f>IFERROR(__xludf.DUMMYFUNCTION("""COMPUTED_VALUE"""),"https://vt.tiktok.com/ZS9SMWJBS/")</f>
        <v>https://vt.tiktok.com/ZS9SMWJBS/</v>
      </c>
      <c r="O1198" s="470"/>
      <c r="P1198" s="471" t="str">
        <f>IFERROR(__xludf.DUMMYFUNCTION("""COMPUTED_VALUE"""),"https://vt.tiktok.com/ZS9Sh4LUQ/")</f>
        <v>https://vt.tiktok.com/ZS9Sh4LUQ/</v>
      </c>
    </row>
    <row r="1199">
      <c r="A1199" s="282" t="str">
        <f>IFERROR(__xludf.DUMMYFUNCTION("""COMPUTED_VALUE"""),"MICRO")</f>
        <v>MICRO</v>
      </c>
      <c r="B1199" s="468" t="str">
        <f>IFERROR(__xludf.DUMMYFUNCTION("""COMPUTED_VALUE"""),"reskaond_")</f>
        <v>reskaond_</v>
      </c>
      <c r="C1199" s="283" t="str">
        <f>IFERROR(__xludf.DUMMYFUNCTION("""COMPUTED_VALUE"""),"https://www.tiktok.com/@reskaond_")</f>
        <v>https://www.tiktok.com/@reskaond_</v>
      </c>
      <c r="D1199" s="273">
        <f>IFERROR(__xludf.DUMMYFUNCTION("""COMPUTED_VALUE"""),8.1215271503E10)</f>
        <v>81215271503</v>
      </c>
      <c r="E1199" s="458">
        <f>IFERROR(__xludf.DUMMYFUNCTION("""COMPUTED_VALUE"""),0.0)</f>
        <v>0</v>
      </c>
      <c r="F1199" s="273">
        <f>IFERROR(__xludf.DUMMYFUNCTION("""COMPUTED_VALUE"""),4.0)</f>
        <v>4</v>
      </c>
      <c r="G1199" t="str">
        <f>IFERROR(__xludf.DUMMYFUNCTION("""COMPUTED_VALUE"""),"Sabun batang 1 Box ( 2 PCS )")</f>
        <v>Sabun batang 1 Box ( 2 PCS )</v>
      </c>
      <c r="H1199" s="469" t="str">
        <f>IFERROR(__xludf.DUMMYFUNCTION("""COMPUTED_VALUE"""),"Sampai")</f>
        <v>Sampai</v>
      </c>
      <c r="I1199" s="470" t="str">
        <f>IFERROR(__xludf.DUMMYFUNCTION("""COMPUTED_VALUE"""),"KIMME")</f>
        <v>KIMME</v>
      </c>
      <c r="J1199" s="471" t="str">
        <f>IFERROR(__xludf.DUMMYFUNCTION("""COMPUTED_VALUE"""),"https://vt.tiktok.com/ZS9YHXyNm/")</f>
        <v>https://vt.tiktok.com/ZS9YHXyNm/</v>
      </c>
      <c r="K1199" s="470" t="str">
        <f>IFERROR(__xludf.DUMMYFUNCTION("""COMPUTED_VALUE"""),"KIMME")</f>
        <v>KIMME</v>
      </c>
      <c r="L1199" s="471" t="str">
        <f>IFERROR(__xludf.DUMMYFUNCTION("""COMPUTED_VALUE"""),"https://vt.tiktok.com/ZS9BvQ845/")</f>
        <v>https://vt.tiktok.com/ZS9BvQ845/</v>
      </c>
      <c r="M1199" s="470"/>
      <c r="N1199" s="471" t="str">
        <f>IFERROR(__xludf.DUMMYFUNCTION("""COMPUTED_VALUE"""),"https://vt.tiktok.com/ZS9SMWJBS/")</f>
        <v>https://vt.tiktok.com/ZS9SMWJBS/</v>
      </c>
      <c r="O1199" s="470"/>
      <c r="P1199" s="471" t="str">
        <f>IFERROR(__xludf.DUMMYFUNCTION("""COMPUTED_VALUE"""),"https://vt.tiktok.com/ZS9Sh4LUQ/")</f>
        <v>https://vt.tiktok.com/ZS9Sh4LUQ/</v>
      </c>
    </row>
    <row r="1200">
      <c r="A1200" s="282" t="str">
        <f>IFERROR(__xludf.DUMMYFUNCTION("""COMPUTED_VALUE"""),"MICRO")</f>
        <v>MICRO</v>
      </c>
      <c r="B1200" s="468" t="str">
        <f>IFERROR(__xludf.DUMMYFUNCTION("""COMPUTED_VALUE"""),"kylaaagirl")</f>
        <v>kylaaagirl</v>
      </c>
      <c r="C1200" s="283" t="str">
        <f>IFERROR(__xludf.DUMMYFUNCTION("""COMPUTED_VALUE"""),"https://www.tiktok.com/@kylaaagirl")</f>
        <v>https://www.tiktok.com/@kylaaagirl</v>
      </c>
      <c r="D1200" s="273">
        <f>IFERROR(__xludf.DUMMYFUNCTION("""COMPUTED_VALUE"""),8.3875972442E10)</f>
        <v>83875972442</v>
      </c>
      <c r="E1200" s="458">
        <f>IFERROR(__xludf.DUMMYFUNCTION("""COMPUTED_VALUE"""),0.0)</f>
        <v>0</v>
      </c>
      <c r="F1200" s="273">
        <f>IFERROR(__xludf.DUMMYFUNCTION("""COMPUTED_VALUE"""),3.0)</f>
        <v>3</v>
      </c>
      <c r="G1200" t="str">
        <f>IFERROR(__xludf.DUMMYFUNCTION("""COMPUTED_VALUE"""),"Sabun batang 1 Box ( 2 PCS )")</f>
        <v>Sabun batang 1 Box ( 2 PCS )</v>
      </c>
      <c r="H1200" s="469" t="str">
        <f>IFERROR(__xludf.DUMMYFUNCTION("""COMPUTED_VALUE"""),"Sampai")</f>
        <v>Sampai</v>
      </c>
      <c r="I1200" s="470" t="str">
        <f>IFERROR(__xludf.DUMMYFUNCTION("""COMPUTED_VALUE"""),"KIMME")</f>
        <v>KIMME</v>
      </c>
      <c r="J1200" s="471" t="str">
        <f>IFERROR(__xludf.DUMMYFUNCTION("""COMPUTED_VALUE"""),"https://vt.tiktok.com/ZS9YHXyNm/")</f>
        <v>https://vt.tiktok.com/ZS9YHXyNm/</v>
      </c>
      <c r="K1200" s="470" t="str">
        <f>IFERROR(__xludf.DUMMYFUNCTION("""COMPUTED_VALUE"""),"KIMME")</f>
        <v>KIMME</v>
      </c>
      <c r="L1200" s="471" t="str">
        <f>IFERROR(__xludf.DUMMYFUNCTION("""COMPUTED_VALUE"""),"https://vt.tiktok.com/ZS9BvQ845/")</f>
        <v>https://vt.tiktok.com/ZS9BvQ845/</v>
      </c>
      <c r="M1200" s="470"/>
      <c r="N1200" s="471" t="str">
        <f>IFERROR(__xludf.DUMMYFUNCTION("""COMPUTED_VALUE"""),"https://vt.tiktok.com/ZS9SMWJBS/")</f>
        <v>https://vt.tiktok.com/ZS9SMWJBS/</v>
      </c>
      <c r="O1200" s="470"/>
      <c r="P1200" s="471" t="str">
        <f>IFERROR(__xludf.DUMMYFUNCTION("""COMPUTED_VALUE"""),"https://vt.tiktok.com/ZS9Sh4LUQ/")</f>
        <v>https://vt.tiktok.com/ZS9Sh4LUQ/</v>
      </c>
    </row>
    <row r="1201">
      <c r="A1201" s="282" t="str">
        <f>IFERROR(__xludf.DUMMYFUNCTION("""COMPUTED_VALUE"""),"MICRO")</f>
        <v>MICRO</v>
      </c>
      <c r="B1201" s="468" t="str">
        <f>IFERROR(__xludf.DUMMYFUNCTION("""COMPUTED_VALUE"""),"ardilasufi")</f>
        <v>ardilasufi</v>
      </c>
      <c r="C1201" s="283" t="str">
        <f>IFERROR(__xludf.DUMMYFUNCTION("""COMPUTED_VALUE"""),"https://www.tiktok.com/@ardilasufi")</f>
        <v>https://www.tiktok.com/@ardilasufi</v>
      </c>
      <c r="D1201" s="273">
        <f>IFERROR(__xludf.DUMMYFUNCTION("""COMPUTED_VALUE"""),8.2314762479E10)</f>
        <v>82314762479</v>
      </c>
      <c r="E1201" s="458">
        <f>IFERROR(__xludf.DUMMYFUNCTION("""COMPUTED_VALUE"""),0.0)</f>
        <v>0</v>
      </c>
      <c r="F1201" s="273">
        <f>IFERROR(__xludf.DUMMYFUNCTION("""COMPUTED_VALUE"""),4.0)</f>
        <v>4</v>
      </c>
      <c r="G1201" t="str">
        <f>IFERROR(__xludf.DUMMYFUNCTION("""COMPUTED_VALUE"""),"Sabun batang 1 Box ( 2 PCS )")</f>
        <v>Sabun batang 1 Box ( 2 PCS )</v>
      </c>
      <c r="H1201" s="469" t="str">
        <f>IFERROR(__xludf.DUMMYFUNCTION("""COMPUTED_VALUE"""),"Sampai")</f>
        <v>Sampai</v>
      </c>
      <c r="I1201" s="470" t="str">
        <f>IFERROR(__xludf.DUMMYFUNCTION("""COMPUTED_VALUE"""),"KIMME")</f>
        <v>KIMME</v>
      </c>
      <c r="J1201" s="471" t="str">
        <f>IFERROR(__xludf.DUMMYFUNCTION("""COMPUTED_VALUE"""),"https://vt.tiktok.com/ZS9YHXyNm/")</f>
        <v>https://vt.tiktok.com/ZS9YHXyNm/</v>
      </c>
      <c r="K1201" s="470" t="str">
        <f>IFERROR(__xludf.DUMMYFUNCTION("""COMPUTED_VALUE"""),"KIMME")</f>
        <v>KIMME</v>
      </c>
      <c r="L1201" s="471" t="str">
        <f>IFERROR(__xludf.DUMMYFUNCTION("""COMPUTED_VALUE"""),"https://vt.tiktok.com/ZS9BvQ845/")</f>
        <v>https://vt.tiktok.com/ZS9BvQ845/</v>
      </c>
      <c r="M1201" s="470"/>
      <c r="N1201" s="471" t="str">
        <f>IFERROR(__xludf.DUMMYFUNCTION("""COMPUTED_VALUE"""),"https://vt.tiktok.com/ZS9SMWJBS/")</f>
        <v>https://vt.tiktok.com/ZS9SMWJBS/</v>
      </c>
      <c r="O1201" s="470"/>
      <c r="P1201" s="471" t="str">
        <f>IFERROR(__xludf.DUMMYFUNCTION("""COMPUTED_VALUE"""),"https://vt.tiktok.com/ZS9Sh4LUQ/")</f>
        <v>https://vt.tiktok.com/ZS9Sh4LUQ/</v>
      </c>
    </row>
    <row r="1202">
      <c r="A1202" s="282" t="str">
        <f>IFERROR(__xludf.DUMMYFUNCTION("""COMPUTED_VALUE"""),"MICRO")</f>
        <v>MICRO</v>
      </c>
      <c r="B1202" s="468" t="str">
        <f>IFERROR(__xludf.DUMMYFUNCTION("""COMPUTED_VALUE"""),"annatasia18")</f>
        <v>annatasia18</v>
      </c>
      <c r="C1202" s="283" t="str">
        <f>IFERROR(__xludf.DUMMYFUNCTION("""COMPUTED_VALUE"""),"https://www.tiktok.com/@annatasia18")</f>
        <v>https://www.tiktok.com/@annatasia18</v>
      </c>
      <c r="D1202" s="273">
        <f>IFERROR(__xludf.DUMMYFUNCTION("""COMPUTED_VALUE"""),8.5842933665E10)</f>
        <v>85842933665</v>
      </c>
      <c r="E1202" s="458">
        <f>IFERROR(__xludf.DUMMYFUNCTION("""COMPUTED_VALUE"""),0.0)</f>
        <v>0</v>
      </c>
      <c r="F1202" s="273">
        <f>IFERROR(__xludf.DUMMYFUNCTION("""COMPUTED_VALUE"""),4.0)</f>
        <v>4</v>
      </c>
      <c r="G1202" t="str">
        <f>IFERROR(__xludf.DUMMYFUNCTION("""COMPUTED_VALUE"""),"Sabun batang 1 Box ( 2 PCS )")</f>
        <v>Sabun batang 1 Box ( 2 PCS )</v>
      </c>
      <c r="H1202" s="469" t="str">
        <f>IFERROR(__xludf.DUMMYFUNCTION("""COMPUTED_VALUE"""),"Sampai")</f>
        <v>Sampai</v>
      </c>
      <c r="I1202" s="470" t="str">
        <f>IFERROR(__xludf.DUMMYFUNCTION("""COMPUTED_VALUE"""),"KIMME")</f>
        <v>KIMME</v>
      </c>
      <c r="J1202" s="471" t="str">
        <f>IFERROR(__xludf.DUMMYFUNCTION("""COMPUTED_VALUE"""),"https://vt.tiktok.com/ZS9YHXyNm/")</f>
        <v>https://vt.tiktok.com/ZS9YHXyNm/</v>
      </c>
      <c r="K1202" s="470" t="str">
        <f>IFERROR(__xludf.DUMMYFUNCTION("""COMPUTED_VALUE"""),"KIMME")</f>
        <v>KIMME</v>
      </c>
      <c r="L1202" s="471" t="str">
        <f>IFERROR(__xludf.DUMMYFUNCTION("""COMPUTED_VALUE"""),"https://vt.tiktok.com/ZS9BvQ845/")</f>
        <v>https://vt.tiktok.com/ZS9BvQ845/</v>
      </c>
      <c r="M1202" s="470"/>
      <c r="N1202" s="471" t="str">
        <f>IFERROR(__xludf.DUMMYFUNCTION("""COMPUTED_VALUE"""),"https://vt.tiktok.com/ZS9SMWJBS/")</f>
        <v>https://vt.tiktok.com/ZS9SMWJBS/</v>
      </c>
      <c r="O1202" s="470"/>
      <c r="P1202" s="471" t="str">
        <f>IFERROR(__xludf.DUMMYFUNCTION("""COMPUTED_VALUE"""),"https://vt.tiktok.com/ZS9Sh4LUQ/")</f>
        <v>https://vt.tiktok.com/ZS9Sh4LUQ/</v>
      </c>
    </row>
    <row r="1203">
      <c r="A1203" s="282" t="str">
        <f>IFERROR(__xludf.DUMMYFUNCTION("""COMPUTED_VALUE"""),"MACRO")</f>
        <v>MACRO</v>
      </c>
      <c r="B1203" s="468" t="str">
        <f>IFERROR(__xludf.DUMMYFUNCTION("""COMPUTED_VALUE"""),"namiraml")</f>
        <v>namiraml</v>
      </c>
      <c r="C1203" s="283" t="str">
        <f>IFERROR(__xludf.DUMMYFUNCTION("""COMPUTED_VALUE"""),"https://www.tiktok.com/@namiraml")</f>
        <v>https://www.tiktok.com/@namiraml</v>
      </c>
      <c r="D1203" s="273">
        <f>IFERROR(__xludf.DUMMYFUNCTION("""COMPUTED_VALUE"""),8.1227552704E10)</f>
        <v>81227552704</v>
      </c>
      <c r="E1203" s="458">
        <f>IFERROR(__xludf.DUMMYFUNCTION("""COMPUTED_VALUE"""),0.0)</f>
        <v>0</v>
      </c>
      <c r="F1203" s="273">
        <f>IFERROR(__xludf.DUMMYFUNCTION("""COMPUTED_VALUE"""),4.0)</f>
        <v>4</v>
      </c>
      <c r="G1203" t="str">
        <f>IFERROR(__xludf.DUMMYFUNCTION("""COMPUTED_VALUE"""),"Sabun batang 1 Box ( 2 PCS )")</f>
        <v>Sabun batang 1 Box ( 2 PCS )</v>
      </c>
      <c r="H1203" s="469" t="str">
        <f>IFERROR(__xludf.DUMMYFUNCTION("""COMPUTED_VALUE"""),"Sampai")</f>
        <v>Sampai</v>
      </c>
      <c r="I1203" s="470" t="str">
        <f>IFERROR(__xludf.DUMMYFUNCTION("""COMPUTED_VALUE"""),"KIMME")</f>
        <v>KIMME</v>
      </c>
      <c r="J1203" s="471" t="str">
        <f>IFERROR(__xludf.DUMMYFUNCTION("""COMPUTED_VALUE"""),"https://vt.tiktok.com/ZS9YHXyNm/")</f>
        <v>https://vt.tiktok.com/ZS9YHXyNm/</v>
      </c>
      <c r="K1203" s="470" t="str">
        <f>IFERROR(__xludf.DUMMYFUNCTION("""COMPUTED_VALUE"""),"KIMME")</f>
        <v>KIMME</v>
      </c>
      <c r="L1203" s="471" t="str">
        <f>IFERROR(__xludf.DUMMYFUNCTION("""COMPUTED_VALUE"""),"https://vt.tiktok.com/ZS9BvQ845/")</f>
        <v>https://vt.tiktok.com/ZS9BvQ845/</v>
      </c>
      <c r="M1203" s="470"/>
      <c r="N1203" s="471" t="str">
        <f>IFERROR(__xludf.DUMMYFUNCTION("""COMPUTED_VALUE"""),"https://vt.tiktok.com/ZS9SMWJBS/")</f>
        <v>https://vt.tiktok.com/ZS9SMWJBS/</v>
      </c>
      <c r="O1203" s="470"/>
      <c r="P1203" s="471" t="str">
        <f>IFERROR(__xludf.DUMMYFUNCTION("""COMPUTED_VALUE"""),"https://vt.tiktok.com/ZS9Sh4LUQ/")</f>
        <v>https://vt.tiktok.com/ZS9Sh4LUQ/</v>
      </c>
    </row>
    <row r="1204">
      <c r="A1204" s="282" t="str">
        <f>IFERROR(__xludf.DUMMYFUNCTION("""COMPUTED_VALUE"""),"MICRO")</f>
        <v>MICRO</v>
      </c>
      <c r="B1204" s="468" t="str">
        <f>IFERROR(__xludf.DUMMYFUNCTION("""COMPUTED_VALUE"""),"emah229")</f>
        <v>emah229</v>
      </c>
      <c r="C1204" s="283" t="str">
        <f>IFERROR(__xludf.DUMMYFUNCTION("""COMPUTED_VALUE"""),"https://www.tiktok.com/@emah229")</f>
        <v>https://www.tiktok.com/@emah229</v>
      </c>
      <c r="D1204" s="273">
        <f>IFERROR(__xludf.DUMMYFUNCTION("""COMPUTED_VALUE"""),8.5280490613E10)</f>
        <v>85280490613</v>
      </c>
      <c r="E1204" s="458">
        <f>IFERROR(__xludf.DUMMYFUNCTION("""COMPUTED_VALUE"""),0.0)</f>
        <v>0</v>
      </c>
      <c r="F1204" s="273">
        <f>IFERROR(__xludf.DUMMYFUNCTION("""COMPUTED_VALUE"""),4.0)</f>
        <v>4</v>
      </c>
      <c r="G1204" t="str">
        <f>IFERROR(__xludf.DUMMYFUNCTION("""COMPUTED_VALUE"""),"Sabun batang 1 Box ( 2 PCS )")</f>
        <v>Sabun batang 1 Box ( 2 PCS )</v>
      </c>
      <c r="H1204" s="469" t="str">
        <f>IFERROR(__xludf.DUMMYFUNCTION("""COMPUTED_VALUE"""),"Sampai")</f>
        <v>Sampai</v>
      </c>
      <c r="I1204" s="470" t="str">
        <f>IFERROR(__xludf.DUMMYFUNCTION("""COMPUTED_VALUE"""),"KIMME")</f>
        <v>KIMME</v>
      </c>
      <c r="J1204" s="471" t="str">
        <f>IFERROR(__xludf.DUMMYFUNCTION("""COMPUTED_VALUE"""),"https://vt.tiktok.com/ZS9UKBadU/")</f>
        <v>https://vt.tiktok.com/ZS9UKBadU/</v>
      </c>
      <c r="K1204" s="470" t="str">
        <f>IFERROR(__xludf.DUMMYFUNCTION("""COMPUTED_VALUE"""),"KIMME")</f>
        <v>KIMME</v>
      </c>
      <c r="L1204" s="471" t="str">
        <f>IFERROR(__xludf.DUMMYFUNCTION("""COMPUTED_VALUE"""),"https://vt.tiktok.com/ZS9bnEJPH/")</f>
        <v>https://vt.tiktok.com/ZS9bnEJPH/</v>
      </c>
      <c r="M1204" s="470"/>
      <c r="N1204" s="471" t="str">
        <f>IFERROR(__xludf.DUMMYFUNCTION("""COMPUTED_VALUE"""),"https://vt.tiktok.com/ZSxTeVUyu/")</f>
        <v>https://vt.tiktok.com/ZSxTeVUyu/</v>
      </c>
      <c r="O1204" s="470"/>
      <c r="P1204" s="471" t="str">
        <f>IFERROR(__xludf.DUMMYFUNCTION("""COMPUTED_VALUE"""),"https://vt.tiktok.com/ZSxTe9bSU/")</f>
        <v>https://vt.tiktok.com/ZSxTe9bSU/</v>
      </c>
    </row>
    <row r="1205">
      <c r="A1205" s="282" t="str">
        <f>IFERROR(__xludf.DUMMYFUNCTION("""COMPUTED_VALUE"""),"MACRO")</f>
        <v>MACRO</v>
      </c>
      <c r="B1205" s="468" t="str">
        <f>IFERROR(__xludf.DUMMYFUNCTION("""COMPUTED_VALUE"""),"wickydy_05")</f>
        <v>wickydy_05</v>
      </c>
      <c r="C1205" s="283" t="str">
        <f>IFERROR(__xludf.DUMMYFUNCTION("""COMPUTED_VALUE"""),"https://www.tiktok.com/@wickydy_05")</f>
        <v>https://www.tiktok.com/@wickydy_05</v>
      </c>
      <c r="D1205" s="273">
        <f>IFERROR(__xludf.DUMMYFUNCTION("""COMPUTED_VALUE"""),8.1548331722E10)</f>
        <v>81548331722</v>
      </c>
      <c r="E1205" s="458">
        <f>IFERROR(__xludf.DUMMYFUNCTION("""COMPUTED_VALUE"""),0.0)</f>
        <v>0</v>
      </c>
      <c r="F1205" s="273">
        <f>IFERROR(__xludf.DUMMYFUNCTION("""COMPUTED_VALUE"""),4.0)</f>
        <v>4</v>
      </c>
      <c r="G1205" t="str">
        <f>IFERROR(__xludf.DUMMYFUNCTION("""COMPUTED_VALUE"""),"Sabun batang 1 Box ( 2 PCS )")</f>
        <v>Sabun batang 1 Box ( 2 PCS )</v>
      </c>
      <c r="H1205" s="469" t="str">
        <f>IFERROR(__xludf.DUMMYFUNCTION("""COMPUTED_VALUE"""),"Sampai")</f>
        <v>Sampai</v>
      </c>
      <c r="I1205" s="470" t="str">
        <f>IFERROR(__xludf.DUMMYFUNCTION("""COMPUTED_VALUE"""),"KIMME")</f>
        <v>KIMME</v>
      </c>
      <c r="K1205" s="470" t="str">
        <f>IFERROR(__xludf.DUMMYFUNCTION("""COMPUTED_VALUE"""),"KIMME")</f>
        <v>KIMME</v>
      </c>
      <c r="M1205" s="470"/>
      <c r="O1205" s="470"/>
    </row>
    <row r="1206">
      <c r="A1206" s="282" t="str">
        <f>IFERROR(__xludf.DUMMYFUNCTION("""COMPUTED_VALUE"""),"MICRO")</f>
        <v>MICRO</v>
      </c>
      <c r="B1206" s="468" t="str">
        <f>IFERROR(__xludf.DUMMYFUNCTION("""COMPUTED_VALUE"""),"herastuwiw")</f>
        <v>herastuwiw</v>
      </c>
      <c r="C1206" s="283" t="str">
        <f>IFERROR(__xludf.DUMMYFUNCTION("""COMPUTED_VALUE"""),"https://www.tiktok.com/@herastuwiw")</f>
        <v>https://www.tiktok.com/@herastuwiw</v>
      </c>
      <c r="D1206" s="273">
        <f>IFERROR(__xludf.DUMMYFUNCTION("""COMPUTED_VALUE"""),8.5863414808E10)</f>
        <v>85863414808</v>
      </c>
      <c r="E1206" s="458">
        <f>IFERROR(__xludf.DUMMYFUNCTION("""COMPUTED_VALUE"""),0.0)</f>
        <v>0</v>
      </c>
      <c r="F1206" s="273">
        <f>IFERROR(__xludf.DUMMYFUNCTION("""COMPUTED_VALUE"""),4.0)</f>
        <v>4</v>
      </c>
      <c r="G1206" t="str">
        <f>IFERROR(__xludf.DUMMYFUNCTION("""COMPUTED_VALUE"""),"Sabun batang 1 Box ( 2 PCS )")</f>
        <v>Sabun batang 1 Box ( 2 PCS )</v>
      </c>
      <c r="H1206" s="469" t="str">
        <f>IFERROR(__xludf.DUMMYFUNCTION("""COMPUTED_VALUE"""),"Sampai")</f>
        <v>Sampai</v>
      </c>
      <c r="I1206" s="470" t="str">
        <f>IFERROR(__xludf.DUMMYFUNCTION("""COMPUTED_VALUE"""),"KIMME")</f>
        <v>KIMME</v>
      </c>
      <c r="J1206" s="471" t="str">
        <f>IFERROR(__xludf.DUMMYFUNCTION("""COMPUTED_VALUE"""),"https://www.tiktok.com/@shadowbeauty94/video/7638170743083257106?_r=1&amp;u_code=ea7741h4k28gma&amp;region=&amp;mid=7618434961690970881&amp;preview_pb=0&amp;sharer_language=&amp;_d=0&amp;ec_shared_reflux_dynamic_params=%7B%22placeholder_material_id%22%3A%227638170743083257106%22%2C%"&amp;"22placeholder_origin_cover%22%3A%22https%253A%252F%252Fp16-common-sign.tiktokcdn.com%252Ftos-alisg-p-0037%252FoYAX75BpwDIC9i2AgMc5BYBIuEOrTABkAiJva~tplv-tiktokx-origin.jpeg%253Fdr%253D14572%2526refresh_token%253D2971e64a%2526x-expires%253D1810116000%2526x"&amp;"-signature%253DAwm7Q1gfDH3uIKi29VUBuXP3ha0%25253D%2526t%253D4d5b0474%2526ps%253D13740610%2526shp%253Dd05b14bd%2526shcp%253D34ff8df6%2526idc%253Dmy2%2526s%253DTIKTOK_AFFILIATE_VIRAL_VIDEO%22%2C%22placeholder_product_id%22%3A%221729427766722726591%22%2C%22p"&amp;"laceholder_video_id%22%3A%227638170743083257106%22%7D&amp;ec_shared_reflux_scene=shop_tab_feed&amp;share_item_id=7638170743083257106&amp;source=h5_t")</f>
        <v>https://www.tiktok.com/@shadowbeauty94/video/7638170743083257106?_r=1&amp;u_code=ea7741h4k28gma&amp;region=&amp;mid=7618434961690970881&amp;preview_pb=0&amp;sharer_language=&amp;_d=0&amp;ec_shared_reflux_dynamic_params=%7B%22placeholder_material_id%22%3A%227638170743083257106%22%2C%22placeholder_origin_cover%22%3A%22https%253A%252F%252Fp16-common-sign.tiktokcdn.com%252Ftos-alisg-p-0037%252FoYAX75BpwDIC9i2AgMc5BYBIuEOrTABkAiJva~tplv-tiktokx-origin.jpeg%253Fdr%253D14572%2526refresh_token%253D2971e64a%2526x-expires%253D1810116000%2526x-signature%253DAwm7Q1gfDH3uIKi29VUBuXP3ha0%25253D%2526t%253D4d5b0474%2526ps%253D13740610%2526shp%253Dd05b14bd%2526shcp%253D34ff8df6%2526idc%253Dmy2%2526s%253DTIKTOK_AFFILIATE_VIRAL_VIDEO%22%2C%22placeholder_product_id%22%3A%221729427766722726591%22%2C%22placeholder_video_id%22%3A%227638170743083257106%22%7D&amp;ec_shared_reflux_scene=shop_tab_feed&amp;share_item_id=7638170743083257106&amp;source=h5_t</v>
      </c>
      <c r="K1206" s="470" t="str">
        <f>IFERROR(__xludf.DUMMYFUNCTION("""COMPUTED_VALUE"""),"KIMME")</f>
        <v>KIMME</v>
      </c>
      <c r="L1206" s="471" t="str">
        <f>IFERROR(__xludf.DUMMYFUNCTION("""COMPUTED_VALUE"""),"https://www.tiktok.com/@shadowbeauty94/video/7638230278741429522?_r=1&amp;u_code=ea7741h4k28gma&amp;region=&amp;mid=7630404661434664977&amp;preview_pb=0&amp;sharer_language=&amp;_d=0&amp;ec_shared_reflux_dynamic_params=%7B%22placeholder_material_id%22%3A%227638230278741429522%22%2C%"&amp;"22placeholder_origin_cover%22%3A%22https%253A%252F%252Fp16-common-sign.tiktokcdn.com%252Ftos-alisg-p-0037%252FoEXP6BGgwPpEGcIax8BpVBAJiiSFCYBAgIwAO~tplv-tiktokx-origin.jpeg%253Fdr%253D14572%2526refresh_token%253Dd78747c1%2526x-expires%253D1810116000%2526x"&amp;"-signature%253DcTiyyBcqUoYKb1Urwqi6B%25252BPAYao%25253D%2526t%253D4d5b0474%2526ps%253D13740610%2526shp%253Dd05b14bd%2526shcp%253D34ff8df6%2526idc%253Dmy2%2526s%253DTIKTOK_AFFILIATE_VIRAL_VIDEO%22%2C%22placeholder_product_id%22%3A%221729427766722726591%22%"&amp;"2C%22placeholder_video_id%22%3A%227638230278741429522%22%7D&amp;ec_shared_reflux_scene=shop_tab_feed&amp;share_item_id=7638230278741429522&amp;source=h5_t")</f>
        <v>https://www.tiktok.com/@shadowbeauty94/video/7638230278741429522?_r=1&amp;u_code=ea7741h4k28gma&amp;region=&amp;mid=7630404661434664977&amp;preview_pb=0&amp;sharer_language=&amp;_d=0&amp;ec_shared_reflux_dynamic_params=%7B%22placeholder_material_id%22%3A%227638230278741429522%22%2C%22placeholder_origin_cover%22%3A%22https%253A%252F%252Fp16-common-sign.tiktokcdn.com%252Ftos-alisg-p-0037%252FoEXP6BGgwPpEGcIax8BpVBAJiiSFCYBAgIwAO~tplv-tiktokx-origin.jpeg%253Fdr%253D14572%2526refresh_token%253Dd78747c1%2526x-expires%253D1810116000%2526x-signature%253DcTiyyBcqUoYKb1Urwqi6B%25252BPAYao%25253D%2526t%253D4d5b0474%2526ps%253D13740610%2526shp%253Dd05b14bd%2526shcp%253D34ff8df6%2526idc%253Dmy2%2526s%253DTIKTOK_AFFILIATE_VIRAL_VIDEO%22%2C%22placeholder_product_id%22%3A%221729427766722726591%22%2C%22placeholder_video_id%22%3A%227638230278741429522%22%7D&amp;ec_shared_reflux_scene=shop_tab_feed&amp;share_item_id=7638230278741429522&amp;source=h5_t</v>
      </c>
      <c r="M1206" s="470"/>
      <c r="N1206" s="471" t="str">
        <f>IFERROR(__xludf.DUMMYFUNCTION("""COMPUTED_VALUE"""),"https://vt.tiktok.com/ZSxGhQKSu/")</f>
        <v>https://vt.tiktok.com/ZSxGhQKSu/</v>
      </c>
      <c r="O1206" s="470"/>
      <c r="P1206" s="471" t="str">
        <f>IFERROR(__xludf.DUMMYFUNCTION("""COMPUTED_VALUE"""),"https://vt.tiktok.com/ZSxgTwra2/")</f>
        <v>https://vt.tiktok.com/ZSxgTwra2/</v>
      </c>
    </row>
    <row r="1207">
      <c r="A1207" s="282" t="str">
        <f>IFERROR(__xludf.DUMMYFUNCTION("""COMPUTED_VALUE"""),"MICRO")</f>
        <v>MICRO</v>
      </c>
      <c r="B1207" s="468" t="str">
        <f>IFERROR(__xludf.DUMMYFUNCTION("""COMPUTED_VALUE"""),"skincaretiktok428")</f>
        <v>skincaretiktok428</v>
      </c>
      <c r="C1207" s="283" t="str">
        <f>IFERROR(__xludf.DUMMYFUNCTION("""COMPUTED_VALUE"""),"https://www.tiktok.com/@skincaretiktok428")</f>
        <v>https://www.tiktok.com/@skincaretiktok428</v>
      </c>
      <c r="D1207" s="273">
        <f>IFERROR(__xludf.DUMMYFUNCTION("""COMPUTED_VALUE"""),8.2237371462E10)</f>
        <v>82237371462</v>
      </c>
      <c r="E1207" s="458">
        <f>IFERROR(__xludf.DUMMYFUNCTION("""COMPUTED_VALUE"""),0.0)</f>
        <v>0</v>
      </c>
      <c r="F1207" s="273">
        <f>IFERROR(__xludf.DUMMYFUNCTION("""COMPUTED_VALUE"""),4.0)</f>
        <v>4</v>
      </c>
      <c r="G1207" t="str">
        <f>IFERROR(__xludf.DUMMYFUNCTION("""COMPUTED_VALUE"""),"Sabun batang 1 Box ( 2 PCS )")</f>
        <v>Sabun batang 1 Box ( 2 PCS )</v>
      </c>
      <c r="H1207" s="469" t="str">
        <f>IFERROR(__xludf.DUMMYFUNCTION("""COMPUTED_VALUE"""),"Sampai")</f>
        <v>Sampai</v>
      </c>
      <c r="I1207" s="470" t="str">
        <f>IFERROR(__xludf.DUMMYFUNCTION("""COMPUTED_VALUE"""),"KIMME")</f>
        <v>KIMME</v>
      </c>
      <c r="J1207" s="471" t="str">
        <f>IFERROR(__xludf.DUMMYFUNCTION("""COMPUTED_VALUE"""),"https://vt.tiktok.com/ZS9YHXyNm/")</f>
        <v>https://vt.tiktok.com/ZS9YHXyNm/</v>
      </c>
      <c r="K1207" s="470" t="str">
        <f>IFERROR(__xludf.DUMMYFUNCTION("""COMPUTED_VALUE"""),"KIMME")</f>
        <v>KIMME</v>
      </c>
      <c r="L1207" s="471" t="str">
        <f>IFERROR(__xludf.DUMMYFUNCTION("""COMPUTED_VALUE"""),"https://vt.tiktok.com/ZS9BvQ845/")</f>
        <v>https://vt.tiktok.com/ZS9BvQ845/</v>
      </c>
      <c r="M1207" s="470"/>
      <c r="N1207" s="471" t="str">
        <f>IFERROR(__xludf.DUMMYFUNCTION("""COMPUTED_VALUE"""),"https://vt.tiktok.com/ZS9SMWJBS/")</f>
        <v>https://vt.tiktok.com/ZS9SMWJBS/</v>
      </c>
      <c r="O1207" s="470"/>
      <c r="P1207" s="471" t="str">
        <f>IFERROR(__xludf.DUMMYFUNCTION("""COMPUTED_VALUE"""),"https://vt.tiktok.com/ZS9Sh4LUQ/")</f>
        <v>https://vt.tiktok.com/ZS9Sh4LUQ/</v>
      </c>
    </row>
    <row r="1208">
      <c r="A1208" s="282" t="str">
        <f>IFERROR(__xludf.DUMMYFUNCTION("""COMPUTED_VALUE"""),"MICRO")</f>
        <v>MICRO</v>
      </c>
      <c r="B1208" s="468" t="str">
        <f>IFERROR(__xludf.DUMMYFUNCTION("""COMPUTED_VALUE"""),"miyan131official")</f>
        <v>miyan131official</v>
      </c>
      <c r="C1208" s="283" t="str">
        <f>IFERROR(__xludf.DUMMYFUNCTION("""COMPUTED_VALUE"""),"https://www.tiktok.com/@miyan131official")</f>
        <v>https://www.tiktok.com/@miyan131official</v>
      </c>
      <c r="D1208" s="273">
        <f>IFERROR(__xludf.DUMMYFUNCTION("""COMPUTED_VALUE"""),8.21311925E10)</f>
        <v>82131192500</v>
      </c>
      <c r="E1208" s="458">
        <f>IFERROR(__xludf.DUMMYFUNCTION("""COMPUTED_VALUE"""),0.0)</f>
        <v>0</v>
      </c>
      <c r="F1208" s="273">
        <f>IFERROR(__xludf.DUMMYFUNCTION("""COMPUTED_VALUE"""),4.0)</f>
        <v>4</v>
      </c>
      <c r="G1208" t="str">
        <f>IFERROR(__xludf.DUMMYFUNCTION("""COMPUTED_VALUE"""),"Sabun batang 1 Box ( 2 PCS )")</f>
        <v>Sabun batang 1 Box ( 2 PCS )</v>
      </c>
      <c r="H1208" s="469" t="str">
        <f>IFERROR(__xludf.DUMMYFUNCTION("""COMPUTED_VALUE"""),"Sampai")</f>
        <v>Sampai</v>
      </c>
      <c r="I1208" s="470" t="str">
        <f>IFERROR(__xludf.DUMMYFUNCTION("""COMPUTED_VALUE"""),"KIMME")</f>
        <v>KIMME</v>
      </c>
      <c r="J1208" s="471" t="str">
        <f>IFERROR(__xludf.DUMMYFUNCTION("""COMPUTED_VALUE"""),"https://vt.tiktok.com/ZS9YHXyNm/")</f>
        <v>https://vt.tiktok.com/ZS9YHXyNm/</v>
      </c>
      <c r="K1208" s="470" t="str">
        <f>IFERROR(__xludf.DUMMYFUNCTION("""COMPUTED_VALUE"""),"KIMME")</f>
        <v>KIMME</v>
      </c>
      <c r="L1208" s="471" t="str">
        <f>IFERROR(__xludf.DUMMYFUNCTION("""COMPUTED_VALUE"""),"https://vt.tiktok.com/ZS9BvQ845/")</f>
        <v>https://vt.tiktok.com/ZS9BvQ845/</v>
      </c>
      <c r="M1208" s="470"/>
      <c r="N1208" s="471" t="str">
        <f>IFERROR(__xludf.DUMMYFUNCTION("""COMPUTED_VALUE"""),"https://vt.tiktok.com/ZS9SMWJBS/")</f>
        <v>https://vt.tiktok.com/ZS9SMWJBS/</v>
      </c>
      <c r="O1208" s="470"/>
      <c r="P1208" s="471" t="str">
        <f>IFERROR(__xludf.DUMMYFUNCTION("""COMPUTED_VALUE"""),"https://vt.tiktok.com/ZS9Sh4LUQ/")</f>
        <v>https://vt.tiktok.com/ZS9Sh4LUQ/</v>
      </c>
    </row>
    <row r="1209">
      <c r="A1209" s="282" t="str">
        <f>IFERROR(__xludf.DUMMYFUNCTION("""COMPUTED_VALUE"""),"MICRO")</f>
        <v>MICRO</v>
      </c>
      <c r="B1209" s="468" t="str">
        <f>IFERROR(__xludf.DUMMYFUNCTION("""COMPUTED_VALUE"""),"shadowbeauty94")</f>
        <v>shadowbeauty94</v>
      </c>
      <c r="C1209" s="283" t="str">
        <f>IFERROR(__xludf.DUMMYFUNCTION("""COMPUTED_VALUE"""),"https://www.tiktok.com/@shadowbeauty94")</f>
        <v>https://www.tiktok.com/@shadowbeauty94</v>
      </c>
      <c r="D1209" s="273">
        <f>IFERROR(__xludf.DUMMYFUNCTION("""COMPUTED_VALUE"""),8.1216108889E10)</f>
        <v>81216108889</v>
      </c>
      <c r="E1209" s="458">
        <f>IFERROR(__xludf.DUMMYFUNCTION("""COMPUTED_VALUE"""),0.0)</f>
        <v>0</v>
      </c>
      <c r="F1209" s="273">
        <f>IFERROR(__xludf.DUMMYFUNCTION("""COMPUTED_VALUE"""),4.0)</f>
        <v>4</v>
      </c>
      <c r="G1209" t="str">
        <f>IFERROR(__xludf.DUMMYFUNCTION("""COMPUTED_VALUE"""),"Sabun batang 1 Box ( 2 PCS )")</f>
        <v>Sabun batang 1 Box ( 2 PCS )</v>
      </c>
      <c r="H1209" s="469" t="str">
        <f>IFERROR(__xludf.DUMMYFUNCTION("""COMPUTED_VALUE"""),"Sampai")</f>
        <v>Sampai</v>
      </c>
      <c r="I1209" s="470" t="str">
        <f>IFERROR(__xludf.DUMMYFUNCTION("""COMPUTED_VALUE"""),"KIMME")</f>
        <v>KIMME</v>
      </c>
      <c r="J1209" s="471" t="str">
        <f>IFERROR(__xludf.DUMMYFUNCTION("""COMPUTED_VALUE"""),"https://www.tiktok.com/@shadowbeauty94/video/7638170743083257106?_r=1&amp;u_code=ea7741h4k28gma&amp;region=&amp;mid=7618434961690970881&amp;preview_pb=0&amp;sharer_language=&amp;_d=0&amp;ec_shared_reflux_dynamic_params=%7B%22placeholder_material_id%22%3A%227638170743083257106%22%2C%"&amp;"22placeholder_origin_cover%22%3A%22https%253A%252F%252Fp16-common-sign.tiktokcdn.com%252Ftos-alisg-p-0037%252FoYAX75BpwDIC9i2AgMc5BYBIuEOrTABkAiJva~tplv-tiktokx-origin.jpeg%253Fdr%253D14572%2526refresh_token%253D2971e64a%2526x-expires%253D1810116000%2526x"&amp;"-signature%253DAwm7Q1gfDH3uIKi29VUBuXP3ha0%25253D%2526t%253D4d5b0474%2526ps%253D13740610%2526shp%253Dd05b14bd%2526shcp%253D34ff8df6%2526idc%253Dmy2%2526s%253DTIKTOK_AFFILIATE_VIRAL_VIDEO%22%2C%22placeholder_product_id%22%3A%221729427766722726591%22%2C%22p"&amp;"laceholder_video_id%22%3A%227638170743083257106%22%7D&amp;ec_shared_reflux_scene=shop_tab_feed&amp;share_item_id=7638170743083257106&amp;source=h5_t")</f>
        <v>https://www.tiktok.com/@shadowbeauty94/video/7638170743083257106?_r=1&amp;u_code=ea7741h4k28gma&amp;region=&amp;mid=7618434961690970881&amp;preview_pb=0&amp;sharer_language=&amp;_d=0&amp;ec_shared_reflux_dynamic_params=%7B%22placeholder_material_id%22%3A%227638170743083257106%22%2C%22placeholder_origin_cover%22%3A%22https%253A%252F%252Fp16-common-sign.tiktokcdn.com%252Ftos-alisg-p-0037%252FoYAX75BpwDIC9i2AgMc5BYBIuEOrTABkAiJva~tplv-tiktokx-origin.jpeg%253Fdr%253D14572%2526refresh_token%253D2971e64a%2526x-expires%253D1810116000%2526x-signature%253DAwm7Q1gfDH3uIKi29VUBuXP3ha0%25253D%2526t%253D4d5b0474%2526ps%253D13740610%2526shp%253Dd05b14bd%2526shcp%253D34ff8df6%2526idc%253Dmy2%2526s%253DTIKTOK_AFFILIATE_VIRAL_VIDEO%22%2C%22placeholder_product_id%22%3A%221729427766722726591%22%2C%22placeholder_video_id%22%3A%227638170743083257106%22%7D&amp;ec_shared_reflux_scene=shop_tab_feed&amp;share_item_id=7638170743083257106&amp;source=h5_t</v>
      </c>
      <c r="K1209" s="470" t="str">
        <f>IFERROR(__xludf.DUMMYFUNCTION("""COMPUTED_VALUE"""),"KIMME")</f>
        <v>KIMME</v>
      </c>
      <c r="L1209" s="471" t="str">
        <f>IFERROR(__xludf.DUMMYFUNCTION("""COMPUTED_VALUE"""),"https://www.tiktok.com/@shadowbeauty94/video/7638230278741429522?_r=1&amp;u_code=ea7741h4k28gma&amp;region=&amp;mid=7630404661434664977&amp;preview_pb=0&amp;sharer_language=&amp;_d=0&amp;ec_shared_reflux_dynamic_params=%7B%22placeholder_material_id%22%3A%227638230278741429522%22%2C%"&amp;"22placeholder_origin_cover%22%3A%22https%253A%252F%252Fp16-common-sign.tiktokcdn.com%252Ftos-alisg-p-0037%252FoEXP6BGgwPpEGcIax8BpVBAJiiSFCYBAgIwAO~tplv-tiktokx-origin.jpeg%253Fdr%253D14572%2526refresh_token%253Dd78747c1%2526x-expires%253D1810116000%2526x"&amp;"-signature%253DcTiyyBcqUoYKb1Urwqi6B%25252BPAYao%25253D%2526t%253D4d5b0474%2526ps%253D13740610%2526shp%253Dd05b14bd%2526shcp%253D34ff8df6%2526idc%253Dmy2%2526s%253DTIKTOK_AFFILIATE_VIRAL_VIDEO%22%2C%22placeholder_product_id%22%3A%221729427766722726591%22%"&amp;"2C%22placeholder_video_id%22%3A%227638230278741429522%22%7D&amp;ec_shared_reflux_scene=shop_tab_feed&amp;share_item_id=7638230278741429522&amp;source=h5_t")</f>
        <v>https://www.tiktok.com/@shadowbeauty94/video/7638230278741429522?_r=1&amp;u_code=ea7741h4k28gma&amp;region=&amp;mid=7630404661434664977&amp;preview_pb=0&amp;sharer_language=&amp;_d=0&amp;ec_shared_reflux_dynamic_params=%7B%22placeholder_material_id%22%3A%227638230278741429522%22%2C%22placeholder_origin_cover%22%3A%22https%253A%252F%252Fp16-common-sign.tiktokcdn.com%252Ftos-alisg-p-0037%252FoEXP6BGgwPpEGcIax8BpVBAJiiSFCYBAgIwAO~tplv-tiktokx-origin.jpeg%253Fdr%253D14572%2526refresh_token%253Dd78747c1%2526x-expires%253D1810116000%2526x-signature%253DcTiyyBcqUoYKb1Urwqi6B%25252BPAYao%25253D%2526t%253D4d5b0474%2526ps%253D13740610%2526shp%253Dd05b14bd%2526shcp%253D34ff8df6%2526idc%253Dmy2%2526s%253DTIKTOK_AFFILIATE_VIRAL_VIDEO%22%2C%22placeholder_product_id%22%3A%221729427766722726591%22%2C%22placeholder_video_id%22%3A%227638230278741429522%22%7D&amp;ec_shared_reflux_scene=shop_tab_feed&amp;share_item_id=7638230278741429522&amp;source=h5_t</v>
      </c>
      <c r="M1209" s="470"/>
      <c r="N1209" s="471" t="str">
        <f>IFERROR(__xludf.DUMMYFUNCTION("""COMPUTED_VALUE"""),"https://vt.tiktok.com/ZSxHdJTst/")</f>
        <v>https://vt.tiktok.com/ZSxHdJTst/</v>
      </c>
      <c r="O1209" s="470"/>
      <c r="P1209" s="471" t="str">
        <f>IFERROR(__xludf.DUMMYFUNCTION("""COMPUTED_VALUE"""),"https://vt.tiktok.com/ZSxHe7749/")</f>
        <v>https://vt.tiktok.com/ZSxHe7749/</v>
      </c>
    </row>
    <row r="1210">
      <c r="A1210" s="282" t="str">
        <f>IFERROR(__xludf.DUMMYFUNCTION("""COMPUTED_VALUE"""),"MICRO")</f>
        <v>MICRO</v>
      </c>
      <c r="B1210" s="468" t="str">
        <f>IFERROR(__xludf.DUMMYFUNCTION("""COMPUTED_VALUE"""),"yullyan_yl")</f>
        <v>yullyan_yl</v>
      </c>
      <c r="C1210" s="283" t="str">
        <f>IFERROR(__xludf.DUMMYFUNCTION("""COMPUTED_VALUE"""),"https://www.tiktok.com/@yullyan_yl")</f>
        <v>https://www.tiktok.com/@yullyan_yl</v>
      </c>
      <c r="D1210" s="273">
        <f>IFERROR(__xludf.DUMMYFUNCTION("""COMPUTED_VALUE"""),8.1239988401E10)</f>
        <v>81239988401</v>
      </c>
      <c r="E1210" s="458">
        <f>IFERROR(__xludf.DUMMYFUNCTION("""COMPUTED_VALUE"""),0.0)</f>
        <v>0</v>
      </c>
      <c r="F1210" s="273">
        <f>IFERROR(__xludf.DUMMYFUNCTION("""COMPUTED_VALUE"""),1.0)</f>
        <v>1</v>
      </c>
      <c r="G1210" t="str">
        <f>IFERROR(__xludf.DUMMYFUNCTION("""COMPUTED_VALUE"""),"Sabun batang 1 Box ( 2 PCS )")</f>
        <v>Sabun batang 1 Box ( 2 PCS )</v>
      </c>
      <c r="H1210" s="469" t="str">
        <f>IFERROR(__xludf.DUMMYFUNCTION("""COMPUTED_VALUE"""),"Sampai")</f>
        <v>Sampai</v>
      </c>
      <c r="I1210" s="470" t="str">
        <f>IFERROR(__xludf.DUMMYFUNCTION("""COMPUTED_VALUE"""),"KIMME")</f>
        <v>KIMME</v>
      </c>
      <c r="J1210" s="471" t="str">
        <f>IFERROR(__xludf.DUMMYFUNCTION("""COMPUTED_VALUE"""),"https://vt.tiktok.com/ZS9YHXyNm/")</f>
        <v>https://vt.tiktok.com/ZS9YHXyNm/</v>
      </c>
      <c r="K1210" s="470" t="str">
        <f>IFERROR(__xludf.DUMMYFUNCTION("""COMPUTED_VALUE"""),"KIMME")</f>
        <v>KIMME</v>
      </c>
      <c r="L1210" s="471" t="str">
        <f>IFERROR(__xludf.DUMMYFUNCTION("""COMPUTED_VALUE"""),"https://vt.tiktok.com/ZS9BvQ845/")</f>
        <v>https://vt.tiktok.com/ZS9BvQ845/</v>
      </c>
      <c r="M1210" s="470"/>
      <c r="N1210" s="471" t="str">
        <f>IFERROR(__xludf.DUMMYFUNCTION("""COMPUTED_VALUE"""),"https://vt.tiktok.com/ZS9SMWJBS/")</f>
        <v>https://vt.tiktok.com/ZS9SMWJBS/</v>
      </c>
      <c r="O1210" s="470"/>
      <c r="P1210" s="471" t="str">
        <f>IFERROR(__xludf.DUMMYFUNCTION("""COMPUTED_VALUE"""),"https://vt.tiktok.com/ZS9Sh4LUQ/")</f>
        <v>https://vt.tiktok.com/ZS9Sh4LUQ/</v>
      </c>
    </row>
    <row r="1211">
      <c r="A1211" s="282" t="str">
        <f>IFERROR(__xludf.DUMMYFUNCTION("""COMPUTED_VALUE"""),"MICRO")</f>
        <v>MICRO</v>
      </c>
      <c r="B1211" s="468" t="str">
        <f>IFERROR(__xludf.DUMMYFUNCTION("""COMPUTED_VALUE"""),"dearmcp")</f>
        <v>dearmcp</v>
      </c>
      <c r="C1211" s="283" t="str">
        <f>IFERROR(__xludf.DUMMYFUNCTION("""COMPUTED_VALUE"""),"https://www.tiktok.com/@dearmcp")</f>
        <v>https://www.tiktok.com/@dearmcp</v>
      </c>
      <c r="D1211" s="273">
        <f>IFERROR(__xludf.DUMMYFUNCTION("""COMPUTED_VALUE"""),8.5310988292E10)</f>
        <v>85310988292</v>
      </c>
      <c r="E1211" s="458">
        <f>IFERROR(__xludf.DUMMYFUNCTION("""COMPUTED_VALUE"""),0.0)</f>
        <v>0</v>
      </c>
      <c r="F1211" s="273">
        <f>IFERROR(__xludf.DUMMYFUNCTION("""COMPUTED_VALUE"""),1.0)</f>
        <v>1</v>
      </c>
      <c r="G1211" t="str">
        <f>IFERROR(__xludf.DUMMYFUNCTION("""COMPUTED_VALUE"""),"Sabun batang 1 Box ( 2 PCS )")</f>
        <v>Sabun batang 1 Box ( 2 PCS )</v>
      </c>
      <c r="H1211" s="469" t="str">
        <f>IFERROR(__xludf.DUMMYFUNCTION("""COMPUTED_VALUE"""),"Sampai")</f>
        <v>Sampai</v>
      </c>
      <c r="I1211" s="470" t="str">
        <f>IFERROR(__xludf.DUMMYFUNCTION("""COMPUTED_VALUE"""),"KIMME")</f>
        <v>KIMME</v>
      </c>
      <c r="J1211" s="471" t="str">
        <f>IFERROR(__xludf.DUMMYFUNCTION("""COMPUTED_VALUE"""),"https://vt.tiktok.com/ZS9YHXyNm/")</f>
        <v>https://vt.tiktok.com/ZS9YHXyNm/</v>
      </c>
      <c r="K1211" s="470" t="str">
        <f>IFERROR(__xludf.DUMMYFUNCTION("""COMPUTED_VALUE"""),"KIMME")</f>
        <v>KIMME</v>
      </c>
      <c r="L1211" s="471" t="str">
        <f>IFERROR(__xludf.DUMMYFUNCTION("""COMPUTED_VALUE"""),"https://vt.tiktok.com/ZS9BvQ845/")</f>
        <v>https://vt.tiktok.com/ZS9BvQ845/</v>
      </c>
      <c r="M1211" s="470"/>
      <c r="N1211" s="471" t="str">
        <f>IFERROR(__xludf.DUMMYFUNCTION("""COMPUTED_VALUE"""),"https://vt.tiktok.com/ZS9SMWJBS/")</f>
        <v>https://vt.tiktok.com/ZS9SMWJBS/</v>
      </c>
      <c r="O1211" s="470"/>
      <c r="P1211" s="471" t="str">
        <f>IFERROR(__xludf.DUMMYFUNCTION("""COMPUTED_VALUE"""),"https://vt.tiktok.com/ZS9Sh4LUQ/")</f>
        <v>https://vt.tiktok.com/ZS9Sh4LUQ/</v>
      </c>
    </row>
    <row r="1212">
      <c r="A1212" s="282" t="str">
        <f>IFERROR(__xludf.DUMMYFUNCTION("""COMPUTED_VALUE"""),"MICRO")</f>
        <v>MICRO</v>
      </c>
      <c r="B1212" s="468" t="str">
        <f>IFERROR(__xludf.DUMMYFUNCTION("""COMPUTED_VALUE"""),"_bahancantikmu")</f>
        <v>_bahancantikmu</v>
      </c>
      <c r="C1212" s="283" t="str">
        <f>IFERROR(__xludf.DUMMYFUNCTION("""COMPUTED_VALUE"""),"https://www.tiktok.com/@_bahancantikmu")</f>
        <v>https://www.tiktok.com/@_bahancantikmu</v>
      </c>
      <c r="D1212" s="273">
        <f>IFERROR(__xludf.DUMMYFUNCTION("""COMPUTED_VALUE"""),8.5815061879E10)</f>
        <v>85815061879</v>
      </c>
      <c r="E1212" s="458">
        <f>IFERROR(__xludf.DUMMYFUNCTION("""COMPUTED_VALUE"""),0.0)</f>
        <v>0</v>
      </c>
      <c r="F1212" s="273">
        <f>IFERROR(__xludf.DUMMYFUNCTION("""COMPUTED_VALUE"""),2.0)</f>
        <v>2</v>
      </c>
      <c r="G1212" t="str">
        <f>IFERROR(__xludf.DUMMYFUNCTION("""COMPUTED_VALUE"""),"Sabun batang 1 Box ( 2 PCS )")</f>
        <v>Sabun batang 1 Box ( 2 PCS )</v>
      </c>
      <c r="H1212" s="469" t="str">
        <f>IFERROR(__xludf.DUMMYFUNCTION("""COMPUTED_VALUE"""),"Sampai")</f>
        <v>Sampai</v>
      </c>
      <c r="I1212" s="470" t="str">
        <f>IFERROR(__xludf.DUMMYFUNCTION("""COMPUTED_VALUE"""),"KIMME")</f>
        <v>KIMME</v>
      </c>
      <c r="J1212" s="471" t="str">
        <f>IFERROR(__xludf.DUMMYFUNCTION("""COMPUTED_VALUE"""),"https://www.tiktok.com/@shadowbeauty94/video/7638170743083257106?_r=1&amp;u_code=ea7741h4k28gma&amp;region=&amp;mid=7618434961690970881&amp;preview_pb=0&amp;sharer_language=&amp;_d=0&amp;ec_shared_reflux_dynamic_params=%7B%22placeholder_material_id%22%3A%227638170743083257106%22%2C%"&amp;"22placeholder_origin_cover%22%3A%22https%253A%252F%252Fp16-common-sign.tiktokcdn.com%252Ftos-alisg-p-0037%252FoYAX75BpwDIC9i2AgMc5BYBIuEOrTABkAiJva~tplv-tiktokx-origin.jpeg%253Fdr%253D14572%2526refresh_token%253D2971e64a%2526x-expires%253D1810116000%2526x"&amp;"-signature%253DAwm7Q1gfDH3uIKi29VUBuXP3ha0%25253D%2526t%253D4d5b0474%2526ps%253D13740610%2526shp%253Dd05b14bd%2526shcp%253D34ff8df6%2526idc%253Dmy2%2526s%253DTIKTOK_AFFILIATE_VIRAL_VIDEO%22%2C%22placeholder_product_id%22%3A%221729427766722726591%22%2C%22p"&amp;"laceholder_video_id%22%3A%227638170743083257106%22%7D&amp;ec_shared_reflux_scene=shop_tab_feed&amp;share_item_id=7638170743083257106&amp;source=h5_t")</f>
        <v>https://www.tiktok.com/@shadowbeauty94/video/7638170743083257106?_r=1&amp;u_code=ea7741h4k28gma&amp;region=&amp;mid=7618434961690970881&amp;preview_pb=0&amp;sharer_language=&amp;_d=0&amp;ec_shared_reflux_dynamic_params=%7B%22placeholder_material_id%22%3A%227638170743083257106%22%2C%22placeholder_origin_cover%22%3A%22https%253A%252F%252Fp16-common-sign.tiktokcdn.com%252Ftos-alisg-p-0037%252FoYAX75BpwDIC9i2AgMc5BYBIuEOrTABkAiJva~tplv-tiktokx-origin.jpeg%253Fdr%253D14572%2526refresh_token%253D2971e64a%2526x-expires%253D1810116000%2526x-signature%253DAwm7Q1gfDH3uIKi29VUBuXP3ha0%25253D%2526t%253D4d5b0474%2526ps%253D13740610%2526shp%253Dd05b14bd%2526shcp%253D34ff8df6%2526idc%253Dmy2%2526s%253DTIKTOK_AFFILIATE_VIRAL_VIDEO%22%2C%22placeholder_product_id%22%3A%221729427766722726591%22%2C%22placeholder_video_id%22%3A%227638170743083257106%22%7D&amp;ec_shared_reflux_scene=shop_tab_feed&amp;share_item_id=7638170743083257106&amp;source=h5_t</v>
      </c>
      <c r="K1212" s="470" t="str">
        <f>IFERROR(__xludf.DUMMYFUNCTION("""COMPUTED_VALUE"""),"KIMME")</f>
        <v>KIMME</v>
      </c>
      <c r="L1212" s="471" t="str">
        <f>IFERROR(__xludf.DUMMYFUNCTION("""COMPUTED_VALUE"""),"https://www.tiktok.com/@shadowbeauty94/video/7638230278741429522?_r=1&amp;u_code=ea7741h4k28gma&amp;region=&amp;mid=7630404661434664977&amp;preview_pb=0&amp;sharer_language=&amp;_d=0&amp;ec_shared_reflux_dynamic_params=%7B%22placeholder_material_id%22%3A%227638230278741429522%22%2C%"&amp;"22placeholder_origin_cover%22%3A%22https%253A%252F%252Fp16-common-sign.tiktokcdn.com%252Ftos-alisg-p-0037%252FoEXP6BGgwPpEGcIax8BpVBAJiiSFCYBAgIwAO~tplv-tiktokx-origin.jpeg%253Fdr%253D14572%2526refresh_token%253Dd78747c1%2526x-expires%253D1810116000%2526x"&amp;"-signature%253DcTiyyBcqUoYKb1Urwqi6B%25252BPAYao%25253D%2526t%253D4d5b0474%2526ps%253D13740610%2526shp%253Dd05b14bd%2526shcp%253D34ff8df6%2526idc%253Dmy2%2526s%253DTIKTOK_AFFILIATE_VIRAL_VIDEO%22%2C%22placeholder_product_id%22%3A%221729427766722726591%22%"&amp;"2C%22placeholder_video_id%22%3A%227638230278741429522%22%7D&amp;ec_shared_reflux_scene=shop_tab_feed&amp;share_item_id=7638230278741429522&amp;source=h5_t")</f>
        <v>https://www.tiktok.com/@shadowbeauty94/video/7638230278741429522?_r=1&amp;u_code=ea7741h4k28gma&amp;region=&amp;mid=7630404661434664977&amp;preview_pb=0&amp;sharer_language=&amp;_d=0&amp;ec_shared_reflux_dynamic_params=%7B%22placeholder_material_id%22%3A%227638230278741429522%22%2C%22placeholder_origin_cover%22%3A%22https%253A%252F%252Fp16-common-sign.tiktokcdn.com%252Ftos-alisg-p-0037%252FoEXP6BGgwPpEGcIax8BpVBAJiiSFCYBAgIwAO~tplv-tiktokx-origin.jpeg%253Fdr%253D14572%2526refresh_token%253Dd78747c1%2526x-expires%253D1810116000%2526x-signature%253DcTiyyBcqUoYKb1Urwqi6B%25252BPAYao%25253D%2526t%253D4d5b0474%2526ps%253D13740610%2526shp%253Dd05b14bd%2526shcp%253D34ff8df6%2526idc%253Dmy2%2526s%253DTIKTOK_AFFILIATE_VIRAL_VIDEO%22%2C%22placeholder_product_id%22%3A%221729427766722726591%22%2C%22placeholder_video_id%22%3A%227638230278741429522%22%7D&amp;ec_shared_reflux_scene=shop_tab_feed&amp;share_item_id=7638230278741429522&amp;source=h5_t</v>
      </c>
      <c r="M1212" s="470"/>
      <c r="N1212" s="471" t="str">
        <f>IFERROR(__xludf.DUMMYFUNCTION("""COMPUTED_VALUE"""),"https://vt.tiktok.com/ZSxWUoxJo/")</f>
        <v>https://vt.tiktok.com/ZSxWUoxJo/</v>
      </c>
      <c r="O1212" s="470"/>
      <c r="P1212" s="471" t="str">
        <f>IFERROR(__xludf.DUMMYFUNCTION("""COMPUTED_VALUE"""),"https://vt.tiktok.com/ZSxGBHjTM/")</f>
        <v>https://vt.tiktok.com/ZSxGBHjTM/</v>
      </c>
    </row>
    <row r="1213">
      <c r="A1213" s="282" t="str">
        <f>IFERROR(__xludf.DUMMYFUNCTION("""COMPUTED_VALUE"""),"MICRO")</f>
        <v>MICRO</v>
      </c>
      <c r="B1213" s="468" t="str">
        <f>IFERROR(__xludf.DUMMYFUNCTION("""COMPUTED_VALUE"""),"emma")</f>
        <v>emma</v>
      </c>
      <c r="C1213" s="283" t="str">
        <f>IFERROR(__xludf.DUMMYFUNCTION("""COMPUTED_VALUE"""),"https://www.tiktok.com/@emma")</f>
        <v>https://www.tiktok.com/@emma</v>
      </c>
      <c r="D1213" s="273">
        <f>IFERROR(__xludf.DUMMYFUNCTION("""COMPUTED_VALUE"""),8.2210485639E10)</f>
        <v>82210485639</v>
      </c>
      <c r="E1213" s="458">
        <f>IFERROR(__xludf.DUMMYFUNCTION("""COMPUTED_VALUE"""),0.0)</f>
        <v>0</v>
      </c>
      <c r="F1213" s="273">
        <f>IFERROR(__xludf.DUMMYFUNCTION("""COMPUTED_VALUE"""),4.0)</f>
        <v>4</v>
      </c>
      <c r="G1213" t="str">
        <f>IFERROR(__xludf.DUMMYFUNCTION("""COMPUTED_VALUE"""),"Sabun batang 1 Box ( 2 PCS )")</f>
        <v>Sabun batang 1 Box ( 2 PCS )</v>
      </c>
      <c r="H1213" s="469" t="str">
        <f>IFERROR(__xludf.DUMMYFUNCTION("""COMPUTED_VALUE"""),"Sampai")</f>
        <v>Sampai</v>
      </c>
      <c r="I1213" s="470" t="str">
        <f>IFERROR(__xludf.DUMMYFUNCTION("""COMPUTED_VALUE"""),"KIMME")</f>
        <v>KIMME</v>
      </c>
      <c r="J1213" s="471" t="str">
        <f>IFERROR(__xludf.DUMMYFUNCTION("""COMPUTED_VALUE"""),"https://www.tiktok.com/@shadowbeauty94/video/7638170743083257106?_r=1&amp;u_code=ea7741h4k28gma&amp;region=&amp;mid=7618434961690970881&amp;preview_pb=0&amp;sharer_language=&amp;_d=0&amp;ec_shared_reflux_dynamic_params=%7B%22placeholder_material_id%22%3A%227638170743083257106%22%2C%"&amp;"22placeholder_origin_cover%22%3A%22https%253A%252F%252Fp16-common-sign.tiktokcdn.com%252Ftos-alisg-p-0037%252FoYAX75BpwDIC9i2AgMc5BYBIuEOrTABkAiJva~tplv-tiktokx-origin.jpeg%253Fdr%253D14572%2526refresh_token%253D2971e64a%2526x-expires%253D1810116000%2526x"&amp;"-signature%253DAwm7Q1gfDH3uIKi29VUBuXP3ha0%25253D%2526t%253D4d5b0474%2526ps%253D13740610%2526shp%253Dd05b14bd%2526shcp%253D34ff8df6%2526idc%253Dmy2%2526s%253DTIKTOK_AFFILIATE_VIRAL_VIDEO%22%2C%22placeholder_product_id%22%3A%221729427766722726591%22%2C%22p"&amp;"laceholder_video_id%22%3A%227638170743083257106%22%7D&amp;ec_shared_reflux_scene=shop_tab_feed&amp;share_item_id=7638170743083257106&amp;source=h5_t")</f>
        <v>https://www.tiktok.com/@shadowbeauty94/video/7638170743083257106?_r=1&amp;u_code=ea7741h4k28gma&amp;region=&amp;mid=7618434961690970881&amp;preview_pb=0&amp;sharer_language=&amp;_d=0&amp;ec_shared_reflux_dynamic_params=%7B%22placeholder_material_id%22%3A%227638170743083257106%22%2C%22placeholder_origin_cover%22%3A%22https%253A%252F%252Fp16-common-sign.tiktokcdn.com%252Ftos-alisg-p-0037%252FoYAX75BpwDIC9i2AgMc5BYBIuEOrTABkAiJva~tplv-tiktokx-origin.jpeg%253Fdr%253D14572%2526refresh_token%253D2971e64a%2526x-expires%253D1810116000%2526x-signature%253DAwm7Q1gfDH3uIKi29VUBuXP3ha0%25253D%2526t%253D4d5b0474%2526ps%253D13740610%2526shp%253Dd05b14bd%2526shcp%253D34ff8df6%2526idc%253Dmy2%2526s%253DTIKTOK_AFFILIATE_VIRAL_VIDEO%22%2C%22placeholder_product_id%22%3A%221729427766722726591%22%2C%22placeholder_video_id%22%3A%227638170743083257106%22%7D&amp;ec_shared_reflux_scene=shop_tab_feed&amp;share_item_id=7638170743083257106&amp;source=h5_t</v>
      </c>
      <c r="K1213" s="470" t="str">
        <f>IFERROR(__xludf.DUMMYFUNCTION("""COMPUTED_VALUE"""),"KIMME")</f>
        <v>KIMME</v>
      </c>
      <c r="L1213" s="471" t="str">
        <f>IFERROR(__xludf.DUMMYFUNCTION("""COMPUTED_VALUE"""),"https://www.tiktok.com/@shadowbeauty94/video/7638230278741429522?_r=1&amp;u_code=ea7741h4k28gma&amp;region=&amp;mid=7630404661434664977&amp;preview_pb=0&amp;sharer_language=&amp;_d=0&amp;ec_shared_reflux_dynamic_params=%7B%22placeholder_material_id%22%3A%227638230278741429522%22%2C%"&amp;"22placeholder_origin_cover%22%3A%22https%253A%252F%252Fp16-common-sign.tiktokcdn.com%252Ftos-alisg-p-0037%252FoEXP6BGgwPpEGcIax8BpVBAJiiSFCYBAgIwAO~tplv-tiktokx-origin.jpeg%253Fdr%253D14572%2526refresh_token%253Dd78747c1%2526x-expires%253D1810116000%2526x"&amp;"-signature%253DcTiyyBcqUoYKb1Urwqi6B%25252BPAYao%25253D%2526t%253D4d5b0474%2526ps%253D13740610%2526shp%253Dd05b14bd%2526shcp%253D34ff8df6%2526idc%253Dmy2%2526s%253DTIKTOK_AFFILIATE_VIRAL_VIDEO%22%2C%22placeholder_product_id%22%3A%221729427766722726591%22%"&amp;"2C%22placeholder_video_id%22%3A%227638230278741429522%22%7D&amp;ec_shared_reflux_scene=shop_tab_feed&amp;share_item_id=7638230278741429522&amp;source=h5_t")</f>
        <v>https://www.tiktok.com/@shadowbeauty94/video/7638230278741429522?_r=1&amp;u_code=ea7741h4k28gma&amp;region=&amp;mid=7630404661434664977&amp;preview_pb=0&amp;sharer_language=&amp;_d=0&amp;ec_shared_reflux_dynamic_params=%7B%22placeholder_material_id%22%3A%227638230278741429522%22%2C%22placeholder_origin_cover%22%3A%22https%253A%252F%252Fp16-common-sign.tiktokcdn.com%252Ftos-alisg-p-0037%252FoEXP6BGgwPpEGcIax8BpVBAJiiSFCYBAgIwAO~tplv-tiktokx-origin.jpeg%253Fdr%253D14572%2526refresh_token%253Dd78747c1%2526x-expires%253D1810116000%2526x-signature%253DcTiyyBcqUoYKb1Urwqi6B%25252BPAYao%25253D%2526t%253D4d5b0474%2526ps%253D13740610%2526shp%253Dd05b14bd%2526shcp%253D34ff8df6%2526idc%253Dmy2%2526s%253DTIKTOK_AFFILIATE_VIRAL_VIDEO%22%2C%22placeholder_product_id%22%3A%221729427766722726591%22%2C%22placeholder_video_id%22%3A%227638230278741429522%22%7D&amp;ec_shared_reflux_scene=shop_tab_feed&amp;share_item_id=7638230278741429522&amp;source=h5_t</v>
      </c>
      <c r="M1213" s="470"/>
      <c r="N1213" s="471" t="str">
        <f>IFERROR(__xludf.DUMMYFUNCTION("""COMPUTED_VALUE"""),"https://vt.tiktok.com/ZSxWo8H9H/")</f>
        <v>https://vt.tiktok.com/ZSxWo8H9H/</v>
      </c>
      <c r="O1213" s="470"/>
      <c r="P1213" s="471" t="str">
        <f>IFERROR(__xludf.DUMMYFUNCTION("""COMPUTED_VALUE"""),"https://vt.tiktok.com/ZSxWoedDr/")</f>
        <v>https://vt.tiktok.com/ZSxWoedDr/</v>
      </c>
    </row>
    <row r="1214">
      <c r="A1214" s="282" t="str">
        <f>IFERROR(__xludf.DUMMYFUNCTION("""COMPUTED_VALUE"""),"MICRO")</f>
        <v>MICRO</v>
      </c>
      <c r="B1214" s="468" t="str">
        <f>IFERROR(__xludf.DUMMYFUNCTION("""COMPUTED_VALUE"""),"nnfshah")</f>
        <v>nnfshah</v>
      </c>
      <c r="C1214" s="283" t="str">
        <f>IFERROR(__xludf.DUMMYFUNCTION("""COMPUTED_VALUE"""),"https://www.tiktok.com/@nnfshah")</f>
        <v>https://www.tiktok.com/@nnfshah</v>
      </c>
      <c r="D1214" s="273">
        <f>IFERROR(__xludf.DUMMYFUNCTION("""COMPUTED_VALUE"""),8.571873984E10)</f>
        <v>85718739840</v>
      </c>
      <c r="E1214" s="458">
        <f>IFERROR(__xludf.DUMMYFUNCTION("""COMPUTED_VALUE"""),0.0)</f>
        <v>0</v>
      </c>
      <c r="F1214" s="273">
        <f>IFERROR(__xludf.DUMMYFUNCTION("""COMPUTED_VALUE"""),4.0)</f>
        <v>4</v>
      </c>
      <c r="G1214" t="str">
        <f>IFERROR(__xludf.DUMMYFUNCTION("""COMPUTED_VALUE"""),"Sabun batang 1 Box ( 2 PCS )")</f>
        <v>Sabun batang 1 Box ( 2 PCS )</v>
      </c>
      <c r="H1214" s="469" t="str">
        <f>IFERROR(__xludf.DUMMYFUNCTION("""COMPUTED_VALUE"""),"Sampai")</f>
        <v>Sampai</v>
      </c>
      <c r="I1214" s="470" t="str">
        <f>IFERROR(__xludf.DUMMYFUNCTION("""COMPUTED_VALUE"""),"KIMME")</f>
        <v>KIMME</v>
      </c>
      <c r="J1214" s="471" t="str">
        <f>IFERROR(__xludf.DUMMYFUNCTION("""COMPUTED_VALUE"""),"https://vt.tiktok.com/ZS9YHXyNm/")</f>
        <v>https://vt.tiktok.com/ZS9YHXyNm/</v>
      </c>
      <c r="K1214" s="470" t="str">
        <f>IFERROR(__xludf.DUMMYFUNCTION("""COMPUTED_VALUE"""),"KIMME")</f>
        <v>KIMME</v>
      </c>
      <c r="L1214" s="471" t="str">
        <f>IFERROR(__xludf.DUMMYFUNCTION("""COMPUTED_VALUE"""),"https://vt.tiktok.com/ZS9BvQ845/")</f>
        <v>https://vt.tiktok.com/ZS9BvQ845/</v>
      </c>
      <c r="M1214" s="470"/>
      <c r="N1214" s="471" t="str">
        <f>IFERROR(__xludf.DUMMYFUNCTION("""COMPUTED_VALUE"""),"https://vt.tiktok.com/ZS9SMWJBS/")</f>
        <v>https://vt.tiktok.com/ZS9SMWJBS/</v>
      </c>
      <c r="O1214" s="470"/>
      <c r="P1214" s="471" t="str">
        <f>IFERROR(__xludf.DUMMYFUNCTION("""COMPUTED_VALUE"""),"https://vt.tiktok.com/ZS9Sh4LUQ/")</f>
        <v>https://vt.tiktok.com/ZS9Sh4LUQ/</v>
      </c>
    </row>
    <row r="1215">
      <c r="A1215" s="282" t="str">
        <f>IFERROR(__xludf.DUMMYFUNCTION("""COMPUTED_VALUE"""),"MICRO")</f>
        <v>MICRO</v>
      </c>
      <c r="B1215" s="468" t="str">
        <f>IFERROR(__xludf.DUMMYFUNCTION("""COMPUTED_VALUE"""),"sabrinaazzahra_r")</f>
        <v>sabrinaazzahra_r</v>
      </c>
      <c r="C1215" s="283" t="str">
        <f>IFERROR(__xludf.DUMMYFUNCTION("""COMPUTED_VALUE"""),"https://www.tiktok.com/@sabrinaazzahra_r")</f>
        <v>https://www.tiktok.com/@sabrinaazzahra_r</v>
      </c>
      <c r="D1215" s="273">
        <f>IFERROR(__xludf.DUMMYFUNCTION("""COMPUTED_VALUE"""),8.1393779419E10)</f>
        <v>81393779419</v>
      </c>
      <c r="E1215" s="458">
        <f>IFERROR(__xludf.DUMMYFUNCTION("""COMPUTED_VALUE"""),50000.0)</f>
        <v>50000</v>
      </c>
      <c r="F1215" s="273">
        <f>IFERROR(__xludf.DUMMYFUNCTION("""COMPUTED_VALUE"""),1.0)</f>
        <v>1</v>
      </c>
      <c r="G1215" t="str">
        <f>IFERROR(__xludf.DUMMYFUNCTION("""COMPUTED_VALUE"""),"Sabun batang 1 Box ( 2 PCS )")</f>
        <v>Sabun batang 1 Box ( 2 PCS )</v>
      </c>
      <c r="H1215" s="469" t="str">
        <f>IFERROR(__xludf.DUMMYFUNCTION("""COMPUTED_VALUE"""),"Sampai")</f>
        <v>Sampai</v>
      </c>
      <c r="I1215" s="470" t="str">
        <f>IFERROR(__xludf.DUMMYFUNCTION("""COMPUTED_VALUE"""),"KIMME")</f>
        <v>KIMME</v>
      </c>
      <c r="J1215" s="471" t="str">
        <f>IFERROR(__xludf.DUMMYFUNCTION("""COMPUTED_VALUE"""),"https://vt.tiktok.com/ZS9YHXyNm/")</f>
        <v>https://vt.tiktok.com/ZS9YHXyNm/</v>
      </c>
      <c r="K1215" s="470" t="str">
        <f>IFERROR(__xludf.DUMMYFUNCTION("""COMPUTED_VALUE"""),"KIMME")</f>
        <v>KIMME</v>
      </c>
      <c r="L1215" s="471" t="str">
        <f>IFERROR(__xludf.DUMMYFUNCTION("""COMPUTED_VALUE"""),"https://vt.tiktok.com/ZS9BvQ845/")</f>
        <v>https://vt.tiktok.com/ZS9BvQ845/</v>
      </c>
      <c r="M1215" s="470"/>
      <c r="N1215" s="471" t="str">
        <f>IFERROR(__xludf.DUMMYFUNCTION("""COMPUTED_VALUE"""),"https://vt.tiktok.com/ZS9SMWJBS/")</f>
        <v>https://vt.tiktok.com/ZS9SMWJBS/</v>
      </c>
      <c r="O1215" s="470"/>
      <c r="P1215" s="471" t="str">
        <f>IFERROR(__xludf.DUMMYFUNCTION("""COMPUTED_VALUE"""),"https://vt.tiktok.com/ZS9Sh4LUQ/")</f>
        <v>https://vt.tiktok.com/ZS9Sh4LUQ/</v>
      </c>
    </row>
    <row r="1216">
      <c r="A1216" s="282" t="str">
        <f>IFERROR(__xludf.DUMMYFUNCTION("""COMPUTED_VALUE"""),"MICRO")</f>
        <v>MICRO</v>
      </c>
      <c r="B1216" s="468" t="str">
        <f>IFERROR(__xludf.DUMMYFUNCTION("""COMPUTED_VALUE"""),"widyawahyuni_21")</f>
        <v>widyawahyuni_21</v>
      </c>
      <c r="C1216" s="283" t="str">
        <f>IFERROR(__xludf.DUMMYFUNCTION("""COMPUTED_VALUE"""),"https://www.tiktok.com/@widyawahyuni_21")</f>
        <v>https://www.tiktok.com/@widyawahyuni_21</v>
      </c>
      <c r="D1216" s="273">
        <f>IFERROR(__xludf.DUMMYFUNCTION("""COMPUTED_VALUE"""),8.1264221315E10)</f>
        <v>81264221315</v>
      </c>
      <c r="E1216" s="458">
        <f>IFERROR(__xludf.DUMMYFUNCTION("""COMPUTED_VALUE"""),0.0)</f>
        <v>0</v>
      </c>
      <c r="F1216" s="273">
        <f>IFERROR(__xludf.DUMMYFUNCTION("""COMPUTED_VALUE"""),4.0)</f>
        <v>4</v>
      </c>
      <c r="G1216" t="str">
        <f>IFERROR(__xludf.DUMMYFUNCTION("""COMPUTED_VALUE"""),"Sabun batang 1 Box ( 2 PCS )")</f>
        <v>Sabun batang 1 Box ( 2 PCS )</v>
      </c>
      <c r="H1216" s="469" t="str">
        <f>IFERROR(__xludf.DUMMYFUNCTION("""COMPUTED_VALUE"""),"Sampai")</f>
        <v>Sampai</v>
      </c>
      <c r="I1216" s="470" t="str">
        <f>IFERROR(__xludf.DUMMYFUNCTION("""COMPUTED_VALUE"""),"KIMME")</f>
        <v>KIMME</v>
      </c>
      <c r="J1216" s="471" t="str">
        <f>IFERROR(__xludf.DUMMYFUNCTION("""COMPUTED_VALUE"""),"https://vt.tiktok.com/ZSxWoMora/")</f>
        <v>https://vt.tiktok.com/ZSxWoMora/</v>
      </c>
      <c r="K1216" s="470" t="str">
        <f>IFERROR(__xludf.DUMMYFUNCTION("""COMPUTED_VALUE"""),"KIMME")</f>
        <v>KIMME</v>
      </c>
      <c r="L1216" s="471" t="str">
        <f>IFERROR(__xludf.DUMMYFUNCTION("""COMPUTED_VALUE"""),"https://vt.tiktok.com/ZSxWorx9b/")</f>
        <v>https://vt.tiktok.com/ZSxWorx9b/</v>
      </c>
      <c r="M1216" s="470"/>
      <c r="N1216" s="471" t="str">
        <f>IFERROR(__xludf.DUMMYFUNCTION("""COMPUTED_VALUE"""),"https://vt.tiktok.com/ZSxWETmkH/")</f>
        <v>https://vt.tiktok.com/ZSxWETmkH/</v>
      </c>
      <c r="O1216" s="470"/>
      <c r="P1216" s="471" t="str">
        <f>IFERROR(__xludf.DUMMYFUNCTION("""COMPUTED_VALUE"""),"https://vt.tiktok.com/ZSxWoeWKg/")</f>
        <v>https://vt.tiktok.com/ZSxWoeWKg/</v>
      </c>
    </row>
    <row r="1217">
      <c r="A1217" s="282" t="str">
        <f>IFERROR(__xludf.DUMMYFUNCTION("""COMPUTED_VALUE"""),"MICRO")</f>
        <v>MICRO</v>
      </c>
      <c r="B1217" s="468" t="str">
        <f>IFERROR(__xludf.DUMMYFUNCTION("""COMPUTED_VALUE"""),"indahftria")</f>
        <v>indahftria</v>
      </c>
      <c r="C1217" s="283" t="str">
        <f>IFERROR(__xludf.DUMMYFUNCTION("""COMPUTED_VALUE"""),"https://www.tiktok.com/@indahftria")</f>
        <v>https://www.tiktok.com/@indahftria</v>
      </c>
      <c r="D1217" s="273">
        <f>IFERROR(__xludf.DUMMYFUNCTION("""COMPUTED_VALUE"""),8.7737963799E10)</f>
        <v>87737963799</v>
      </c>
      <c r="E1217" s="458">
        <f>IFERROR(__xludf.DUMMYFUNCTION("""COMPUTED_VALUE"""),0.0)</f>
        <v>0</v>
      </c>
      <c r="F1217" s="273">
        <f>IFERROR(__xludf.DUMMYFUNCTION("""COMPUTED_VALUE"""),4.0)</f>
        <v>4</v>
      </c>
      <c r="G1217" t="str">
        <f>IFERROR(__xludf.DUMMYFUNCTION("""COMPUTED_VALUE"""),"Sabun batang 1 Box ( 2 PCS )")</f>
        <v>Sabun batang 1 Box ( 2 PCS )</v>
      </c>
      <c r="H1217" s="469" t="str">
        <f>IFERROR(__xludf.DUMMYFUNCTION("""COMPUTED_VALUE"""),"Sampai")</f>
        <v>Sampai</v>
      </c>
      <c r="I1217" s="470" t="str">
        <f>IFERROR(__xludf.DUMMYFUNCTION("""COMPUTED_VALUE"""),"KIMME")</f>
        <v>KIMME</v>
      </c>
      <c r="J1217" s="471" t="str">
        <f>IFERROR(__xludf.DUMMYFUNCTION("""COMPUTED_VALUE"""),"https://vt.tiktok.com/ZS9DasLp4/")</f>
        <v>https://vt.tiktok.com/ZS9DasLp4/</v>
      </c>
      <c r="K1217" s="470" t="str">
        <f>IFERROR(__xludf.DUMMYFUNCTION("""COMPUTED_VALUE"""),"KIMME")</f>
        <v>KIMME</v>
      </c>
      <c r="L1217" s="471" t="str">
        <f>IFERROR(__xludf.DUMMYFUNCTION("""COMPUTED_VALUE"""),"https://vt.tiktok.com/ZS9DaWTPj/")</f>
        <v>https://vt.tiktok.com/ZS9DaWTPj/</v>
      </c>
      <c r="M1217" s="470"/>
      <c r="N1217" s="471" t="str">
        <f>IFERROR(__xludf.DUMMYFUNCTION("""COMPUTED_VALUE"""),"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"&amp;"2placeholder_origin_cover%22%3A%22https%253A%252F%252Fp16-common-sign.tiktokcdn.com%252Ftos-alisg-p-0037%252Fo8d8IW8cAaJj2MregAKDPXOOueQI2Te4ADCxg3~tplv-tiktokx-origin.jpeg%253Fdr%253D14572%2526refresh_token%253D6c3e7766%2526x-expires%253D1808992800%2526x"&amp;"-signature%253DGcJYh6Ejxyo84p5AL1hv6HNVj24%25253D%2526t%253D4d5b0474%2526ps%253D13740610%2526shp%253Dd05b14bd%2526shcp%253D34ff8df6%2526idc%253Dmy2%2526s%253DTIKTOK_AFFILIATE_VIRAL_VIDEO%22%2C%22placeholder_product_id%22%3A%221729427766722726591%22%2C%22p"&amp;"laceholder_video_id%22%3A%227632557264032861447%22%7D&amp;ec_shared_reflux_scene=shop_tab_feed&amp;share_item_id=7632557264032861447&amp;source=h5_t")</f>
        <v>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22placeholder_origin_cover%22%3A%22https%253A%252F%252Fp16-common-sign.tiktokcdn.com%252Ftos-alisg-p-0037%252Fo8d8IW8cAaJj2MregAKDPXOOueQI2Te4ADCxg3~tplv-tiktokx-origin.jpeg%253Fdr%253D14572%2526refresh_token%253D6c3e7766%2526x-expires%253D1808992800%2526x-signature%253DGcJYh6Ejxyo84p5AL1hv6HNVj24%25253D%2526t%253D4d5b0474%2526ps%253D13740610%2526shp%253Dd05b14bd%2526shcp%253D34ff8df6%2526idc%253Dmy2%2526s%253DTIKTOK_AFFILIATE_VIRAL_VIDEO%22%2C%22placeholder_product_id%22%3A%221729427766722726591%22%2C%22placeholder_video_id%22%3A%227632557264032861447%22%7D&amp;ec_shared_reflux_scene=shop_tab_feed&amp;share_item_id=7632557264032861447&amp;source=h5_t</v>
      </c>
      <c r="O1217" s="470"/>
      <c r="P1217" s="471" t="str">
        <f>IFERROR(__xludf.DUMMYFUNCTION("""COMPUTED_VALUE"""),"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"&amp;"2placeholder_origin_cover%22%3A%22https%253A%252F%252Fp16-common-sign.tiktokcdn.com%252Ftos-alisg-p-0037%252FoUuBHHkyiYpBIniw13iAqZDfTM5IAsCAAIAPgs~tplv-tiktokx-origin.jpeg%253Fdr%253D14572%2526refresh_token%253Dbd98b4e8%2526x-expires%253D1810119600%2526x"&amp;"-signature%253D4ymN%25252FNt9xmXXRBWN2LbZU1X3HMw%25253D%2526t%253D4d5b0474%2526ps%253D13740610%2526shp%253Dd05b14bd%2526shcp%253D34ff8df6%2526idc%253Dmy2%2526s%253DTIKTOK_AFFILIATE_VIRAL_VIDEO%22%2C%22placeholder_product_id%22%3A%221729427766722726591%22%"&amp;"2C%22placeholder_video_id%22%3A%227638217623351627026%22%7D&amp;ec_shared_reflux_scene=shop_tab_feed&amp;share_item_id=7638217623351627026&amp;source=h5_t")</f>
        <v>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22placeholder_origin_cover%22%3A%22https%253A%252F%252Fp16-common-sign.tiktokcdn.com%252Ftos-alisg-p-0037%252FoUuBHHkyiYpBIniw13iAqZDfTM5IAsCAAIAPgs~tplv-tiktokx-origin.jpeg%253Fdr%253D14572%2526refresh_token%253Dbd98b4e8%2526x-expires%253D1810119600%2526x-signature%253D4ymN%25252FNt9xmXXRBWN2LbZU1X3HMw%25253D%2526t%253D4d5b0474%2526ps%253D13740610%2526shp%253Dd05b14bd%2526shcp%253D34ff8df6%2526idc%253Dmy2%2526s%253DTIKTOK_AFFILIATE_VIRAL_VIDEO%22%2C%22placeholder_product_id%22%3A%221729427766722726591%22%2C%22placeholder_video_id%22%3A%227638217623351627026%22%7D&amp;ec_shared_reflux_scene=shop_tab_feed&amp;share_item_id=7638217623351627026&amp;source=h5_t</v>
      </c>
    </row>
    <row r="1218">
      <c r="A1218" s="282" t="str">
        <f>IFERROR(__xludf.DUMMYFUNCTION("""COMPUTED_VALUE"""),"MICRO")</f>
        <v>MICRO</v>
      </c>
      <c r="B1218" s="468" t="str">
        <f>IFERROR(__xludf.DUMMYFUNCTION("""COMPUTED_VALUE"""),"meikaatralala__")</f>
        <v>meikaatralala__</v>
      </c>
      <c r="C1218" s="283" t="str">
        <f>IFERROR(__xludf.DUMMYFUNCTION("""COMPUTED_VALUE"""),"https://www.tiktok.com/@meikaatralala__")</f>
        <v>https://www.tiktok.com/@meikaatralala__</v>
      </c>
      <c r="D1218" s="273">
        <f>IFERROR(__xludf.DUMMYFUNCTION("""COMPUTED_VALUE"""),8.1933805148E10)</f>
        <v>81933805148</v>
      </c>
      <c r="E1218" s="458">
        <f>IFERROR(__xludf.DUMMYFUNCTION("""COMPUTED_VALUE"""),0.0)</f>
        <v>0</v>
      </c>
      <c r="F1218" s="273">
        <f>IFERROR(__xludf.DUMMYFUNCTION("""COMPUTED_VALUE"""),4.0)</f>
        <v>4</v>
      </c>
      <c r="G1218" t="str">
        <f>IFERROR(__xludf.DUMMYFUNCTION("""COMPUTED_VALUE"""),"Sabun batang 1 Box ( 2 PCS )")</f>
        <v>Sabun batang 1 Box ( 2 PCS )</v>
      </c>
      <c r="H1218" s="469" t="str">
        <f>IFERROR(__xludf.DUMMYFUNCTION("""COMPUTED_VALUE"""),"Sampai")</f>
        <v>Sampai</v>
      </c>
      <c r="I1218" s="470" t="str">
        <f>IFERROR(__xludf.DUMMYFUNCTION("""COMPUTED_VALUE"""),"KIMME")</f>
        <v>KIMME</v>
      </c>
      <c r="J1218" s="471" t="str">
        <f>IFERROR(__xludf.DUMMYFUNCTION("""COMPUTED_VALUE"""),"https://vt.tiktok.com/ZS9DasLp4/")</f>
        <v>https://vt.tiktok.com/ZS9DasLp4/</v>
      </c>
      <c r="K1218" s="470" t="str">
        <f>IFERROR(__xludf.DUMMYFUNCTION("""COMPUTED_VALUE"""),"KIMME")</f>
        <v>KIMME</v>
      </c>
      <c r="L1218" s="471" t="str">
        <f>IFERROR(__xludf.DUMMYFUNCTION("""COMPUTED_VALUE"""),"https://vt.tiktok.com/ZS9DaWTPj/")</f>
        <v>https://vt.tiktok.com/ZS9DaWTPj/</v>
      </c>
      <c r="M1218" s="470"/>
      <c r="N1218" s="471" t="str">
        <f>IFERROR(__xludf.DUMMYFUNCTION("""COMPUTED_VALUE"""),"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"&amp;"2placeholder_origin_cover%22%3A%22https%253A%252F%252Fp16-common-sign.tiktokcdn.com%252Ftos-alisg-p-0037%252Fo8d8IW8cAaJj2MregAKDPXOOueQI2Te4ADCxg3~tplv-tiktokx-origin.jpeg%253Fdr%253D14572%2526refresh_token%253D6c3e7766%2526x-expires%253D1808992800%2526x"&amp;"-signature%253DGcJYh6Ejxyo84p5AL1hv6HNVj24%25253D%2526t%253D4d5b0474%2526ps%253D13740610%2526shp%253Dd05b14bd%2526shcp%253D34ff8df6%2526idc%253Dmy2%2526s%253DTIKTOK_AFFILIATE_VIRAL_VIDEO%22%2C%22placeholder_product_id%22%3A%221729427766722726591%22%2C%22p"&amp;"laceholder_video_id%22%3A%227632557264032861447%22%7D&amp;ec_shared_reflux_scene=shop_tab_feed&amp;share_item_id=7632557264032861447&amp;source=h5_t")</f>
        <v>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22placeholder_origin_cover%22%3A%22https%253A%252F%252Fp16-common-sign.tiktokcdn.com%252Ftos-alisg-p-0037%252Fo8d8IW8cAaJj2MregAKDPXOOueQI2Te4ADCxg3~tplv-tiktokx-origin.jpeg%253Fdr%253D14572%2526refresh_token%253D6c3e7766%2526x-expires%253D1808992800%2526x-signature%253DGcJYh6Ejxyo84p5AL1hv6HNVj24%25253D%2526t%253D4d5b0474%2526ps%253D13740610%2526shp%253Dd05b14bd%2526shcp%253D34ff8df6%2526idc%253Dmy2%2526s%253DTIKTOK_AFFILIATE_VIRAL_VIDEO%22%2C%22placeholder_product_id%22%3A%221729427766722726591%22%2C%22placeholder_video_id%22%3A%227632557264032861447%22%7D&amp;ec_shared_reflux_scene=shop_tab_feed&amp;share_item_id=7632557264032861447&amp;source=h5_t</v>
      </c>
      <c r="O1218" s="470"/>
      <c r="P1218" s="471" t="str">
        <f>IFERROR(__xludf.DUMMYFUNCTION("""COMPUTED_VALUE"""),"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"&amp;"2placeholder_origin_cover%22%3A%22https%253A%252F%252Fp16-common-sign.tiktokcdn.com%252Ftos-alisg-p-0037%252FoUuBHHkyiYpBIniw13iAqZDfTM5IAsCAAIAPgs~tplv-tiktokx-origin.jpeg%253Fdr%253D14572%2526refresh_token%253Dbd98b4e8%2526x-expires%253D1810119600%2526x"&amp;"-signature%253D4ymN%25252FNt9xmXXRBWN2LbZU1X3HMw%25253D%2526t%253D4d5b0474%2526ps%253D13740610%2526shp%253Dd05b14bd%2526shcp%253D34ff8df6%2526idc%253Dmy2%2526s%253DTIKTOK_AFFILIATE_VIRAL_VIDEO%22%2C%22placeholder_product_id%22%3A%221729427766722726591%22%"&amp;"2C%22placeholder_video_id%22%3A%227638217623351627026%22%7D&amp;ec_shared_reflux_scene=shop_tab_feed&amp;share_item_id=7638217623351627026&amp;source=h5_t")</f>
        <v>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22placeholder_origin_cover%22%3A%22https%253A%252F%252Fp16-common-sign.tiktokcdn.com%252Ftos-alisg-p-0037%252FoUuBHHkyiYpBIniw13iAqZDfTM5IAsCAAIAPgs~tplv-tiktokx-origin.jpeg%253Fdr%253D14572%2526refresh_token%253Dbd98b4e8%2526x-expires%253D1810119600%2526x-signature%253D4ymN%25252FNt9xmXXRBWN2LbZU1X3HMw%25253D%2526t%253D4d5b0474%2526ps%253D13740610%2526shp%253Dd05b14bd%2526shcp%253D34ff8df6%2526idc%253Dmy2%2526s%253DTIKTOK_AFFILIATE_VIRAL_VIDEO%22%2C%22placeholder_product_id%22%3A%221729427766722726591%22%2C%22placeholder_video_id%22%3A%227638217623351627026%22%7D&amp;ec_shared_reflux_scene=shop_tab_feed&amp;share_item_id=7638217623351627026&amp;source=h5_t</v>
      </c>
    </row>
    <row r="1219">
      <c r="A1219" s="282" t="str">
        <f>IFERROR(__xludf.DUMMYFUNCTION("""COMPUTED_VALUE"""),"MICRO")</f>
        <v>MICRO</v>
      </c>
      <c r="B1219" s="468" t="str">
        <f>IFERROR(__xludf.DUMMYFUNCTION("""COMPUTED_VALUE"""),"mamicipiii")</f>
        <v>mamicipiii</v>
      </c>
      <c r="C1219" s="283" t="str">
        <f>IFERROR(__xludf.DUMMYFUNCTION("""COMPUTED_VALUE"""),"https://www.tiktok.com/@mamicipiii")</f>
        <v>https://www.tiktok.com/@mamicipiii</v>
      </c>
      <c r="D1219" s="273">
        <f>IFERROR(__xludf.DUMMYFUNCTION("""COMPUTED_VALUE"""),8.9538519499E11)</f>
        <v>895385194990</v>
      </c>
      <c r="E1219" s="458">
        <f>IFERROR(__xludf.DUMMYFUNCTION("""COMPUTED_VALUE"""),0.0)</f>
        <v>0</v>
      </c>
      <c r="F1219" s="273">
        <f>IFERROR(__xludf.DUMMYFUNCTION("""COMPUTED_VALUE"""),4.0)</f>
        <v>4</v>
      </c>
      <c r="G1219" t="str">
        <f>IFERROR(__xludf.DUMMYFUNCTION("""COMPUTED_VALUE"""),"Sabun batang 1 Box ( 2 PCS )")</f>
        <v>Sabun batang 1 Box ( 2 PCS )</v>
      </c>
      <c r="H1219" s="469" t="str">
        <f>IFERROR(__xludf.DUMMYFUNCTION("""COMPUTED_VALUE"""),"Sampai")</f>
        <v>Sampai</v>
      </c>
      <c r="I1219" s="470" t="str">
        <f>IFERROR(__xludf.DUMMYFUNCTION("""COMPUTED_VALUE"""),"KIMME")</f>
        <v>KIMME</v>
      </c>
      <c r="J1219" s="471" t="str">
        <f>IFERROR(__xludf.DUMMYFUNCTION("""COMPUTED_VALUE"""),"https://vt.tiktok.com/ZS9DasLp4/")</f>
        <v>https://vt.tiktok.com/ZS9DasLp4/</v>
      </c>
      <c r="K1219" s="470" t="str">
        <f>IFERROR(__xludf.DUMMYFUNCTION("""COMPUTED_VALUE"""),"KIMME")</f>
        <v>KIMME</v>
      </c>
      <c r="L1219" s="471" t="str">
        <f>IFERROR(__xludf.DUMMYFUNCTION("""COMPUTED_VALUE"""),"https://vt.tiktok.com/ZS9DaWTPj/")</f>
        <v>https://vt.tiktok.com/ZS9DaWTPj/</v>
      </c>
      <c r="M1219" s="470"/>
      <c r="N1219" s="471" t="str">
        <f>IFERROR(__xludf.DUMMYFUNCTION("""COMPUTED_VALUE"""),"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"&amp;"2placeholder_origin_cover%22%3A%22https%253A%252F%252Fp16-common-sign.tiktokcdn.com%252Ftos-alisg-p-0037%252Fo8d8IW8cAaJj2MregAKDPXOOueQI2Te4ADCxg3~tplv-tiktokx-origin.jpeg%253Fdr%253D14572%2526refresh_token%253D6c3e7766%2526x-expires%253D1808992800%2526x"&amp;"-signature%253DGcJYh6Ejxyo84p5AL1hv6HNVj24%25253D%2526t%253D4d5b0474%2526ps%253D13740610%2526shp%253Dd05b14bd%2526shcp%253D34ff8df6%2526idc%253Dmy2%2526s%253DTIKTOK_AFFILIATE_VIRAL_VIDEO%22%2C%22placeholder_product_id%22%3A%221729427766722726591%22%2C%22p"&amp;"laceholder_video_id%22%3A%227632557264032861447%22%7D&amp;ec_shared_reflux_scene=shop_tab_feed&amp;share_item_id=7632557264032861447&amp;source=h5_t")</f>
        <v>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22placeholder_origin_cover%22%3A%22https%253A%252F%252Fp16-common-sign.tiktokcdn.com%252Ftos-alisg-p-0037%252Fo8d8IW8cAaJj2MregAKDPXOOueQI2Te4ADCxg3~tplv-tiktokx-origin.jpeg%253Fdr%253D14572%2526refresh_token%253D6c3e7766%2526x-expires%253D1808992800%2526x-signature%253DGcJYh6Ejxyo84p5AL1hv6HNVj24%25253D%2526t%253D4d5b0474%2526ps%253D13740610%2526shp%253Dd05b14bd%2526shcp%253D34ff8df6%2526idc%253Dmy2%2526s%253DTIKTOK_AFFILIATE_VIRAL_VIDEO%22%2C%22placeholder_product_id%22%3A%221729427766722726591%22%2C%22placeholder_video_id%22%3A%227632557264032861447%22%7D&amp;ec_shared_reflux_scene=shop_tab_feed&amp;share_item_id=7632557264032861447&amp;source=h5_t</v>
      </c>
      <c r="O1219" s="470"/>
      <c r="P1219" s="471" t="str">
        <f>IFERROR(__xludf.DUMMYFUNCTION("""COMPUTED_VALUE"""),"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"&amp;"2placeholder_origin_cover%22%3A%22https%253A%252F%252Fp16-common-sign.tiktokcdn.com%252Ftos-alisg-p-0037%252FoUuBHHkyiYpBIniw13iAqZDfTM5IAsCAAIAPgs~tplv-tiktokx-origin.jpeg%253Fdr%253D14572%2526refresh_token%253Dbd98b4e8%2526x-expires%253D1810119600%2526x"&amp;"-signature%253D4ymN%25252FNt9xmXXRBWN2LbZU1X3HMw%25253D%2526t%253D4d5b0474%2526ps%253D13740610%2526shp%253Dd05b14bd%2526shcp%253D34ff8df6%2526idc%253Dmy2%2526s%253DTIKTOK_AFFILIATE_VIRAL_VIDEO%22%2C%22placeholder_product_id%22%3A%221729427766722726591%22%"&amp;"2C%22placeholder_video_id%22%3A%227638217623351627026%22%7D&amp;ec_shared_reflux_scene=shop_tab_feed&amp;share_item_id=7638217623351627026&amp;source=h5_t")</f>
        <v>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22placeholder_origin_cover%22%3A%22https%253A%252F%252Fp16-common-sign.tiktokcdn.com%252Ftos-alisg-p-0037%252FoUuBHHkyiYpBIniw13iAqZDfTM5IAsCAAIAPgs~tplv-tiktokx-origin.jpeg%253Fdr%253D14572%2526refresh_token%253Dbd98b4e8%2526x-expires%253D1810119600%2526x-signature%253D4ymN%25252FNt9xmXXRBWN2LbZU1X3HMw%25253D%2526t%253D4d5b0474%2526ps%253D13740610%2526shp%253Dd05b14bd%2526shcp%253D34ff8df6%2526idc%253Dmy2%2526s%253DTIKTOK_AFFILIATE_VIRAL_VIDEO%22%2C%22placeholder_product_id%22%3A%221729427766722726591%22%2C%22placeholder_video_id%22%3A%227638217623351627026%22%7D&amp;ec_shared_reflux_scene=shop_tab_feed&amp;share_item_id=7638217623351627026&amp;source=h5_t</v>
      </c>
    </row>
    <row r="1220">
      <c r="A1220" s="282" t="str">
        <f>IFERROR(__xludf.DUMMYFUNCTION("""COMPUTED_VALUE"""),"MICRO")</f>
        <v>MICRO</v>
      </c>
      <c r="B1220" s="468" t="str">
        <f>IFERROR(__xludf.DUMMYFUNCTION("""COMPUTED_VALUE"""),"aycikitchen")</f>
        <v>aycikitchen</v>
      </c>
      <c r="C1220" s="283" t="str">
        <f>IFERROR(__xludf.DUMMYFUNCTION("""COMPUTED_VALUE"""),"https://www.tiktok.com/@aycikitchen")</f>
        <v>https://www.tiktok.com/@aycikitchen</v>
      </c>
      <c r="D1220" s="273">
        <f>IFERROR(__xludf.DUMMYFUNCTION("""COMPUTED_VALUE"""),8.2313951913E10)</f>
        <v>82313951913</v>
      </c>
      <c r="E1220" s="458">
        <f>IFERROR(__xludf.DUMMYFUNCTION("""COMPUTED_VALUE"""),0.0)</f>
        <v>0</v>
      </c>
      <c r="F1220" s="273">
        <f>IFERROR(__xludf.DUMMYFUNCTION("""COMPUTED_VALUE"""),1.0)</f>
        <v>1</v>
      </c>
      <c r="G1220" t="str">
        <f>IFERROR(__xludf.DUMMYFUNCTION("""COMPUTED_VALUE"""),"Sabun batang 1 Box ( 2 PCS )")</f>
        <v>Sabun batang 1 Box ( 2 PCS )</v>
      </c>
      <c r="H1220" s="469" t="str">
        <f>IFERROR(__xludf.DUMMYFUNCTION("""COMPUTED_VALUE"""),"Sampai")</f>
        <v>Sampai</v>
      </c>
      <c r="I1220" s="470" t="str">
        <f>IFERROR(__xludf.DUMMYFUNCTION("""COMPUTED_VALUE"""),"KIMME")</f>
        <v>KIMME</v>
      </c>
      <c r="J1220" s="471" t="str">
        <f>IFERROR(__xludf.DUMMYFUNCTION("""COMPUTED_VALUE"""),"https://vt.tiktok.com/ZS9DasLp4/")</f>
        <v>https://vt.tiktok.com/ZS9DasLp4/</v>
      </c>
      <c r="K1220" s="470" t="str">
        <f>IFERROR(__xludf.DUMMYFUNCTION("""COMPUTED_VALUE"""),"KIMME")</f>
        <v>KIMME</v>
      </c>
      <c r="L1220" s="471" t="str">
        <f>IFERROR(__xludf.DUMMYFUNCTION("""COMPUTED_VALUE"""),"https://vt.tiktok.com/ZS9DaWTPj/")</f>
        <v>https://vt.tiktok.com/ZS9DaWTPj/</v>
      </c>
      <c r="M1220" s="470"/>
      <c r="N1220" s="471" t="str">
        <f>IFERROR(__xludf.DUMMYFUNCTION("""COMPUTED_VALUE"""),"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"&amp;"2placeholder_origin_cover%22%3A%22https%253A%252F%252Fp16-common-sign.tiktokcdn.com%252Ftos-alisg-p-0037%252Fo8d8IW8cAaJj2MregAKDPXOOueQI2Te4ADCxg3~tplv-tiktokx-origin.jpeg%253Fdr%253D14572%2526refresh_token%253D6c3e7766%2526x-expires%253D1808992800%2526x"&amp;"-signature%253DGcJYh6Ejxyo84p5AL1hv6HNVj24%25253D%2526t%253D4d5b0474%2526ps%253D13740610%2526shp%253Dd05b14bd%2526shcp%253D34ff8df6%2526idc%253Dmy2%2526s%253DTIKTOK_AFFILIATE_VIRAL_VIDEO%22%2C%22placeholder_product_id%22%3A%221729427766722726591%22%2C%22p"&amp;"laceholder_video_id%22%3A%227632557264032861447%22%7D&amp;ec_shared_reflux_scene=shop_tab_feed&amp;share_item_id=7632557264032861447&amp;source=h5_t")</f>
        <v>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22placeholder_origin_cover%22%3A%22https%253A%252F%252Fp16-common-sign.tiktokcdn.com%252Ftos-alisg-p-0037%252Fo8d8IW8cAaJj2MregAKDPXOOueQI2Te4ADCxg3~tplv-tiktokx-origin.jpeg%253Fdr%253D14572%2526refresh_token%253D6c3e7766%2526x-expires%253D1808992800%2526x-signature%253DGcJYh6Ejxyo84p5AL1hv6HNVj24%25253D%2526t%253D4d5b0474%2526ps%253D13740610%2526shp%253Dd05b14bd%2526shcp%253D34ff8df6%2526idc%253Dmy2%2526s%253DTIKTOK_AFFILIATE_VIRAL_VIDEO%22%2C%22placeholder_product_id%22%3A%221729427766722726591%22%2C%22placeholder_video_id%22%3A%227632557264032861447%22%7D&amp;ec_shared_reflux_scene=shop_tab_feed&amp;share_item_id=7632557264032861447&amp;source=h5_t</v>
      </c>
      <c r="O1220" s="470"/>
      <c r="P1220" s="471" t="str">
        <f>IFERROR(__xludf.DUMMYFUNCTION("""COMPUTED_VALUE"""),"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"&amp;"2placeholder_origin_cover%22%3A%22https%253A%252F%252Fp16-common-sign.tiktokcdn.com%252Ftos-alisg-p-0037%252FoUuBHHkyiYpBIniw13iAqZDfTM5IAsCAAIAPgs~tplv-tiktokx-origin.jpeg%253Fdr%253D14572%2526refresh_token%253Dbd98b4e8%2526x-expires%253D1810119600%2526x"&amp;"-signature%253D4ymN%25252FNt9xmXXRBWN2LbZU1X3HMw%25253D%2526t%253D4d5b0474%2526ps%253D13740610%2526shp%253Dd05b14bd%2526shcp%253D34ff8df6%2526idc%253Dmy2%2526s%253DTIKTOK_AFFILIATE_VIRAL_VIDEO%22%2C%22placeholder_product_id%22%3A%221729427766722726591%22%"&amp;"2C%22placeholder_video_id%22%3A%227638217623351627026%22%7D&amp;ec_shared_reflux_scene=shop_tab_feed&amp;share_item_id=7638217623351627026&amp;source=h5_t")</f>
        <v>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22placeholder_origin_cover%22%3A%22https%253A%252F%252Fp16-common-sign.tiktokcdn.com%252Ftos-alisg-p-0037%252FoUuBHHkyiYpBIniw13iAqZDfTM5IAsCAAIAPgs~tplv-tiktokx-origin.jpeg%253Fdr%253D14572%2526refresh_token%253Dbd98b4e8%2526x-expires%253D1810119600%2526x-signature%253D4ymN%25252FNt9xmXXRBWN2LbZU1X3HMw%25253D%2526t%253D4d5b0474%2526ps%253D13740610%2526shp%253Dd05b14bd%2526shcp%253D34ff8df6%2526idc%253Dmy2%2526s%253DTIKTOK_AFFILIATE_VIRAL_VIDEO%22%2C%22placeholder_product_id%22%3A%221729427766722726591%22%2C%22placeholder_video_id%22%3A%227638217623351627026%22%7D&amp;ec_shared_reflux_scene=shop_tab_feed&amp;share_item_id=7638217623351627026&amp;source=h5_t</v>
      </c>
    </row>
    <row r="1221">
      <c r="A1221" s="282" t="str">
        <f>IFERROR(__xludf.DUMMYFUNCTION("""COMPUTED_VALUE"""),"MICRO")</f>
        <v>MICRO</v>
      </c>
      <c r="B1221" s="468" t="str">
        <f>IFERROR(__xludf.DUMMYFUNCTION("""COMPUTED_VALUE"""),"ovisafitriii")</f>
        <v>ovisafitriii</v>
      </c>
      <c r="C1221" s="283" t="str">
        <f>IFERROR(__xludf.DUMMYFUNCTION("""COMPUTED_VALUE"""),"https://www.tiktok.com/@ovisafitriii")</f>
        <v>https://www.tiktok.com/@ovisafitriii</v>
      </c>
      <c r="D1221" s="273">
        <f>IFERROR(__xludf.DUMMYFUNCTION("""COMPUTED_VALUE"""),8.9610853526E10)</f>
        <v>89610853526</v>
      </c>
      <c r="E1221" s="458">
        <f>IFERROR(__xludf.DUMMYFUNCTION("""COMPUTED_VALUE"""),0.0)</f>
        <v>0</v>
      </c>
      <c r="F1221" s="273">
        <f>IFERROR(__xludf.DUMMYFUNCTION("""COMPUTED_VALUE"""),4.0)</f>
        <v>4</v>
      </c>
      <c r="G1221" t="str">
        <f>IFERROR(__xludf.DUMMYFUNCTION("""COMPUTED_VALUE"""),"Sabun batang 1 Box ( 2 PCS )")</f>
        <v>Sabun batang 1 Box ( 2 PCS )</v>
      </c>
      <c r="H1221" s="469" t="str">
        <f>IFERROR(__xludf.DUMMYFUNCTION("""COMPUTED_VALUE"""),"Sampai")</f>
        <v>Sampai</v>
      </c>
      <c r="I1221" s="470" t="str">
        <f>IFERROR(__xludf.DUMMYFUNCTION("""COMPUTED_VALUE"""),"KIMME")</f>
        <v>KIMME</v>
      </c>
      <c r="J1221" s="471" t="str">
        <f>IFERROR(__xludf.DUMMYFUNCTION("""COMPUTED_VALUE"""),"https://vt.tiktok.com/ZS9DasLp4/")</f>
        <v>https://vt.tiktok.com/ZS9DasLp4/</v>
      </c>
      <c r="K1221" s="470" t="str">
        <f>IFERROR(__xludf.DUMMYFUNCTION("""COMPUTED_VALUE"""),"KIMME")</f>
        <v>KIMME</v>
      </c>
      <c r="L1221" s="471" t="str">
        <f>IFERROR(__xludf.DUMMYFUNCTION("""COMPUTED_VALUE"""),"https://vt.tiktok.com/ZS9DaWTPj/")</f>
        <v>https://vt.tiktok.com/ZS9DaWTPj/</v>
      </c>
      <c r="M1221" s="470"/>
      <c r="N1221" s="471" t="str">
        <f>IFERROR(__xludf.DUMMYFUNCTION("""COMPUTED_VALUE"""),"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"&amp;"2placeholder_origin_cover%22%3A%22https%253A%252F%252Fp16-common-sign.tiktokcdn.com%252Ftos-alisg-p-0037%252Fo8d8IW8cAaJj2MregAKDPXOOueQI2Te4ADCxg3~tplv-tiktokx-origin.jpeg%253Fdr%253D14572%2526refresh_token%253D6c3e7766%2526x-expires%253D1808992800%2526x"&amp;"-signature%253DGcJYh6Ejxyo84p5AL1hv6HNVj24%25253D%2526t%253D4d5b0474%2526ps%253D13740610%2526shp%253Dd05b14bd%2526shcp%253D34ff8df6%2526idc%253Dmy2%2526s%253DTIKTOK_AFFILIATE_VIRAL_VIDEO%22%2C%22placeholder_product_id%22%3A%221729427766722726591%22%2C%22p"&amp;"laceholder_video_id%22%3A%227632557264032861447%22%7D&amp;ec_shared_reflux_scene=shop_tab_feed&amp;share_item_id=7632557264032861447&amp;source=h5_t")</f>
        <v>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22placeholder_origin_cover%22%3A%22https%253A%252F%252Fp16-common-sign.tiktokcdn.com%252Ftos-alisg-p-0037%252Fo8d8IW8cAaJj2MregAKDPXOOueQI2Te4ADCxg3~tplv-tiktokx-origin.jpeg%253Fdr%253D14572%2526refresh_token%253D6c3e7766%2526x-expires%253D1808992800%2526x-signature%253DGcJYh6Ejxyo84p5AL1hv6HNVj24%25253D%2526t%253D4d5b0474%2526ps%253D13740610%2526shp%253Dd05b14bd%2526shcp%253D34ff8df6%2526idc%253Dmy2%2526s%253DTIKTOK_AFFILIATE_VIRAL_VIDEO%22%2C%22placeholder_product_id%22%3A%221729427766722726591%22%2C%22placeholder_video_id%22%3A%227632557264032861447%22%7D&amp;ec_shared_reflux_scene=shop_tab_feed&amp;share_item_id=7632557264032861447&amp;source=h5_t</v>
      </c>
      <c r="O1221" s="470"/>
      <c r="P1221" s="471" t="str">
        <f>IFERROR(__xludf.DUMMYFUNCTION("""COMPUTED_VALUE"""),"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"&amp;"2placeholder_origin_cover%22%3A%22https%253A%252F%252Fp16-common-sign.tiktokcdn.com%252Ftos-alisg-p-0037%252FoUuBHHkyiYpBIniw13iAqZDfTM5IAsCAAIAPgs~tplv-tiktokx-origin.jpeg%253Fdr%253D14572%2526refresh_token%253Dbd98b4e8%2526x-expires%253D1810119600%2526x"&amp;"-signature%253D4ymN%25252FNt9xmXXRBWN2LbZU1X3HMw%25253D%2526t%253D4d5b0474%2526ps%253D13740610%2526shp%253Dd05b14bd%2526shcp%253D34ff8df6%2526idc%253Dmy2%2526s%253DTIKTOK_AFFILIATE_VIRAL_VIDEO%22%2C%22placeholder_product_id%22%3A%221729427766722726591%22%"&amp;"2C%22placeholder_video_id%22%3A%227638217623351627026%22%7D&amp;ec_shared_reflux_scene=shop_tab_feed&amp;share_item_id=7638217623351627026&amp;source=h5_t")</f>
        <v>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22placeholder_origin_cover%22%3A%22https%253A%252F%252Fp16-common-sign.tiktokcdn.com%252Ftos-alisg-p-0037%252FoUuBHHkyiYpBIniw13iAqZDfTM5IAsCAAIAPgs~tplv-tiktokx-origin.jpeg%253Fdr%253D14572%2526refresh_token%253Dbd98b4e8%2526x-expires%253D1810119600%2526x-signature%253D4ymN%25252FNt9xmXXRBWN2LbZU1X3HMw%25253D%2526t%253D4d5b0474%2526ps%253D13740610%2526shp%253Dd05b14bd%2526shcp%253D34ff8df6%2526idc%253Dmy2%2526s%253DTIKTOK_AFFILIATE_VIRAL_VIDEO%22%2C%22placeholder_product_id%22%3A%221729427766722726591%22%2C%22placeholder_video_id%22%3A%227638217623351627026%22%7D&amp;ec_shared_reflux_scene=shop_tab_feed&amp;share_item_id=7638217623351627026&amp;source=h5_t</v>
      </c>
    </row>
    <row r="1222">
      <c r="A1222" s="282" t="str">
        <f>IFERROR(__xludf.DUMMYFUNCTION("""COMPUTED_VALUE"""),"MICRO")</f>
        <v>MICRO</v>
      </c>
      <c r="B1222" s="468" t="str">
        <f>IFERROR(__xludf.DUMMYFUNCTION("""COMPUTED_VALUE"""),"arlebeautyy_")</f>
        <v>arlebeautyy_</v>
      </c>
      <c r="C1222" s="283" t="str">
        <f>IFERROR(__xludf.DUMMYFUNCTION("""COMPUTED_VALUE"""),"https://www.tiktok.com/@arlebeautyy_")</f>
        <v>https://www.tiktok.com/@arlebeautyy_</v>
      </c>
      <c r="D1222" s="273">
        <f>IFERROR(__xludf.DUMMYFUNCTION("""COMPUTED_VALUE"""),8.5225401477E10)</f>
        <v>85225401477</v>
      </c>
      <c r="E1222" s="458">
        <f>IFERROR(__xludf.DUMMYFUNCTION("""COMPUTED_VALUE"""),0.0)</f>
        <v>0</v>
      </c>
      <c r="F1222" s="273">
        <f>IFERROR(__xludf.DUMMYFUNCTION("""COMPUTED_VALUE"""),2.0)</f>
        <v>2</v>
      </c>
      <c r="G1222" t="str">
        <f>IFERROR(__xludf.DUMMYFUNCTION("""COMPUTED_VALUE"""),"Sabun batang 1 Box ( 2 PCS )")</f>
        <v>Sabun batang 1 Box ( 2 PCS )</v>
      </c>
      <c r="H1222" s="469" t="str">
        <f>IFERROR(__xludf.DUMMYFUNCTION("""COMPUTED_VALUE"""),"Sampai")</f>
        <v>Sampai</v>
      </c>
      <c r="I1222" s="470" t="str">
        <f>IFERROR(__xludf.DUMMYFUNCTION("""COMPUTED_VALUE"""),"KIMME")</f>
        <v>KIMME</v>
      </c>
      <c r="J1222" s="471" t="str">
        <f>IFERROR(__xludf.DUMMYFUNCTION("""COMPUTED_VALUE"""),"https://vt.tiktok.com/ZS9DasLp4/")</f>
        <v>https://vt.tiktok.com/ZS9DasLp4/</v>
      </c>
      <c r="K1222" s="470" t="str">
        <f>IFERROR(__xludf.DUMMYFUNCTION("""COMPUTED_VALUE"""),"KIMME")</f>
        <v>KIMME</v>
      </c>
      <c r="L1222" s="471" t="str">
        <f>IFERROR(__xludf.DUMMYFUNCTION("""COMPUTED_VALUE"""),"https://vt.tiktok.com/ZS9DaWTPj/")</f>
        <v>https://vt.tiktok.com/ZS9DaWTPj/</v>
      </c>
      <c r="M1222" s="470"/>
      <c r="N1222" s="471" t="str">
        <f>IFERROR(__xludf.DUMMYFUNCTION("""COMPUTED_VALUE"""),"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"&amp;"2placeholder_origin_cover%22%3A%22https%253A%252F%252Fp16-common-sign.tiktokcdn.com%252Ftos-alisg-p-0037%252Fo8d8IW8cAaJj2MregAKDPXOOueQI2Te4ADCxg3~tplv-tiktokx-origin.jpeg%253Fdr%253D14572%2526refresh_token%253D6c3e7766%2526x-expires%253D1808992800%2526x"&amp;"-signature%253DGcJYh6Ejxyo84p5AL1hv6HNVj24%25253D%2526t%253D4d5b0474%2526ps%253D13740610%2526shp%253Dd05b14bd%2526shcp%253D34ff8df6%2526idc%253Dmy2%2526s%253DTIKTOK_AFFILIATE_VIRAL_VIDEO%22%2C%22placeholder_product_id%22%3A%221729427766722726591%22%2C%22p"&amp;"laceholder_video_id%22%3A%227632557264032861447%22%7D&amp;ec_shared_reflux_scene=shop_tab_feed&amp;share_item_id=7632557264032861447&amp;source=h5_t")</f>
        <v>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22placeholder_origin_cover%22%3A%22https%253A%252F%252Fp16-common-sign.tiktokcdn.com%252Ftos-alisg-p-0037%252Fo8d8IW8cAaJj2MregAKDPXOOueQI2Te4ADCxg3~tplv-tiktokx-origin.jpeg%253Fdr%253D14572%2526refresh_token%253D6c3e7766%2526x-expires%253D1808992800%2526x-signature%253DGcJYh6Ejxyo84p5AL1hv6HNVj24%25253D%2526t%253D4d5b0474%2526ps%253D13740610%2526shp%253Dd05b14bd%2526shcp%253D34ff8df6%2526idc%253Dmy2%2526s%253DTIKTOK_AFFILIATE_VIRAL_VIDEO%22%2C%22placeholder_product_id%22%3A%221729427766722726591%22%2C%22placeholder_video_id%22%3A%227632557264032861447%22%7D&amp;ec_shared_reflux_scene=shop_tab_feed&amp;share_item_id=7632557264032861447&amp;source=h5_t</v>
      </c>
      <c r="O1222" s="470"/>
      <c r="P1222" s="471" t="str">
        <f>IFERROR(__xludf.DUMMYFUNCTION("""COMPUTED_VALUE"""),"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"&amp;"2placeholder_origin_cover%22%3A%22https%253A%252F%252Fp16-common-sign.tiktokcdn.com%252Ftos-alisg-p-0037%252FoUuBHHkyiYpBIniw13iAqZDfTM5IAsCAAIAPgs~tplv-tiktokx-origin.jpeg%253Fdr%253D14572%2526refresh_token%253Dbd98b4e8%2526x-expires%253D1810119600%2526x"&amp;"-signature%253D4ymN%25252FNt9xmXXRBWN2LbZU1X3HMw%25253D%2526t%253D4d5b0474%2526ps%253D13740610%2526shp%253Dd05b14bd%2526shcp%253D34ff8df6%2526idc%253Dmy2%2526s%253DTIKTOK_AFFILIATE_VIRAL_VIDEO%22%2C%22placeholder_product_id%22%3A%221729427766722726591%22%"&amp;"2C%22placeholder_video_id%22%3A%227638217623351627026%22%7D&amp;ec_shared_reflux_scene=shop_tab_feed&amp;share_item_id=7638217623351627026&amp;source=h5_t")</f>
        <v>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22placeholder_origin_cover%22%3A%22https%253A%252F%252Fp16-common-sign.tiktokcdn.com%252Ftos-alisg-p-0037%252FoUuBHHkyiYpBIniw13iAqZDfTM5IAsCAAIAPgs~tplv-tiktokx-origin.jpeg%253Fdr%253D14572%2526refresh_token%253Dbd98b4e8%2526x-expires%253D1810119600%2526x-signature%253D4ymN%25252FNt9xmXXRBWN2LbZU1X3HMw%25253D%2526t%253D4d5b0474%2526ps%253D13740610%2526shp%253Dd05b14bd%2526shcp%253D34ff8df6%2526idc%253Dmy2%2526s%253DTIKTOK_AFFILIATE_VIRAL_VIDEO%22%2C%22placeholder_product_id%22%3A%221729427766722726591%22%2C%22placeholder_video_id%22%3A%227638217623351627026%22%7D&amp;ec_shared_reflux_scene=shop_tab_feed&amp;share_item_id=7638217623351627026&amp;source=h5_t</v>
      </c>
    </row>
    <row r="1223">
      <c r="A1223" s="282" t="str">
        <f>IFERROR(__xludf.DUMMYFUNCTION("""COMPUTED_VALUE"""),"MICRO")</f>
        <v>MICRO</v>
      </c>
      <c r="B1223" s="468" t="str">
        <f>IFERROR(__xludf.DUMMYFUNCTION("""COMPUTED_VALUE"""),"dianasepti210")</f>
        <v>dianasepti210</v>
      </c>
      <c r="C1223" s="283" t="str">
        <f>IFERROR(__xludf.DUMMYFUNCTION("""COMPUTED_VALUE"""),"https://www.tiktok.com/@dianasepti210")</f>
        <v>https://www.tiktok.com/@dianasepti210</v>
      </c>
      <c r="D1223" s="273">
        <f>IFERROR(__xludf.DUMMYFUNCTION("""COMPUTED_VALUE"""),8.5781001141E10)</f>
        <v>85781001141</v>
      </c>
      <c r="E1223" s="458">
        <f>IFERROR(__xludf.DUMMYFUNCTION("""COMPUTED_VALUE"""),0.0)</f>
        <v>0</v>
      </c>
      <c r="F1223" s="273">
        <f>IFERROR(__xludf.DUMMYFUNCTION("""COMPUTED_VALUE"""),4.0)</f>
        <v>4</v>
      </c>
      <c r="G1223" t="str">
        <f>IFERROR(__xludf.DUMMYFUNCTION("""COMPUTED_VALUE"""),"Sabun batang 1 Box ( 2 PCS )")</f>
        <v>Sabun batang 1 Box ( 2 PCS )</v>
      </c>
      <c r="H1223" s="469" t="str">
        <f>IFERROR(__xludf.DUMMYFUNCTION("""COMPUTED_VALUE"""),"Sampai")</f>
        <v>Sampai</v>
      </c>
      <c r="I1223" s="470" t="str">
        <f>IFERROR(__xludf.DUMMYFUNCTION("""COMPUTED_VALUE"""),"KIMME")</f>
        <v>KIMME</v>
      </c>
      <c r="J1223" s="471" t="str">
        <f>IFERROR(__xludf.DUMMYFUNCTION("""COMPUTED_VALUE"""),"https://vt.tiktok.com/ZS9DasLp4/")</f>
        <v>https://vt.tiktok.com/ZS9DasLp4/</v>
      </c>
      <c r="K1223" s="470" t="str">
        <f>IFERROR(__xludf.DUMMYFUNCTION("""COMPUTED_VALUE"""),"KIMME")</f>
        <v>KIMME</v>
      </c>
      <c r="L1223" s="471" t="str">
        <f>IFERROR(__xludf.DUMMYFUNCTION("""COMPUTED_VALUE"""),"https://vt.tiktok.com/ZS9DaWTPj/")</f>
        <v>https://vt.tiktok.com/ZS9DaWTPj/</v>
      </c>
      <c r="M1223" s="470"/>
      <c r="N1223" s="471" t="str">
        <f>IFERROR(__xludf.DUMMYFUNCTION("""COMPUTED_VALUE"""),"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"&amp;"2placeholder_origin_cover%22%3A%22https%253A%252F%252Fp16-common-sign.tiktokcdn.com%252Ftos-alisg-p-0037%252Fo8d8IW8cAaJj2MregAKDPXOOueQI2Te4ADCxg3~tplv-tiktokx-origin.jpeg%253Fdr%253D14572%2526refresh_token%253D6c3e7766%2526x-expires%253D1808992800%2526x"&amp;"-signature%253DGcJYh6Ejxyo84p5AL1hv6HNVj24%25253D%2526t%253D4d5b0474%2526ps%253D13740610%2526shp%253Dd05b14bd%2526shcp%253D34ff8df6%2526idc%253Dmy2%2526s%253DTIKTOK_AFFILIATE_VIRAL_VIDEO%22%2C%22placeholder_product_id%22%3A%221729427766722726591%22%2C%22p"&amp;"laceholder_video_id%22%3A%227632557264032861447%22%7D&amp;ec_shared_reflux_scene=shop_tab_feed&amp;share_item_id=7632557264032861447&amp;source=h5_t")</f>
        <v>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22placeholder_origin_cover%22%3A%22https%253A%252F%252Fp16-common-sign.tiktokcdn.com%252Ftos-alisg-p-0037%252Fo8d8IW8cAaJj2MregAKDPXOOueQI2Te4ADCxg3~tplv-tiktokx-origin.jpeg%253Fdr%253D14572%2526refresh_token%253D6c3e7766%2526x-expires%253D1808992800%2526x-signature%253DGcJYh6Ejxyo84p5AL1hv6HNVj24%25253D%2526t%253D4d5b0474%2526ps%253D13740610%2526shp%253Dd05b14bd%2526shcp%253D34ff8df6%2526idc%253Dmy2%2526s%253DTIKTOK_AFFILIATE_VIRAL_VIDEO%22%2C%22placeholder_product_id%22%3A%221729427766722726591%22%2C%22placeholder_video_id%22%3A%227632557264032861447%22%7D&amp;ec_shared_reflux_scene=shop_tab_feed&amp;share_item_id=7632557264032861447&amp;source=h5_t</v>
      </c>
      <c r="O1223" s="470"/>
      <c r="P1223" s="471" t="str">
        <f>IFERROR(__xludf.DUMMYFUNCTION("""COMPUTED_VALUE"""),"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"&amp;"2placeholder_origin_cover%22%3A%22https%253A%252F%252Fp16-common-sign.tiktokcdn.com%252Ftos-alisg-p-0037%252FoUuBHHkyiYpBIniw13iAqZDfTM5IAsCAAIAPgs~tplv-tiktokx-origin.jpeg%253Fdr%253D14572%2526refresh_token%253Dbd98b4e8%2526x-expires%253D1810119600%2526x"&amp;"-signature%253D4ymN%25252FNt9xmXXRBWN2LbZU1X3HMw%25253D%2526t%253D4d5b0474%2526ps%253D13740610%2526shp%253Dd05b14bd%2526shcp%253D34ff8df6%2526idc%253Dmy2%2526s%253DTIKTOK_AFFILIATE_VIRAL_VIDEO%22%2C%22placeholder_product_id%22%3A%221729427766722726591%22%"&amp;"2C%22placeholder_video_id%22%3A%227638217623351627026%22%7D&amp;ec_shared_reflux_scene=shop_tab_feed&amp;share_item_id=7638217623351627026&amp;source=h5_t")</f>
        <v>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22placeholder_origin_cover%22%3A%22https%253A%252F%252Fp16-common-sign.tiktokcdn.com%252Ftos-alisg-p-0037%252FoUuBHHkyiYpBIniw13iAqZDfTM5IAsCAAIAPgs~tplv-tiktokx-origin.jpeg%253Fdr%253D14572%2526refresh_token%253Dbd98b4e8%2526x-expires%253D1810119600%2526x-signature%253D4ymN%25252FNt9xmXXRBWN2LbZU1X3HMw%25253D%2526t%253D4d5b0474%2526ps%253D13740610%2526shp%253Dd05b14bd%2526shcp%253D34ff8df6%2526idc%253Dmy2%2526s%253DTIKTOK_AFFILIATE_VIRAL_VIDEO%22%2C%22placeholder_product_id%22%3A%221729427766722726591%22%2C%22placeholder_video_id%22%3A%227638217623351627026%22%7D&amp;ec_shared_reflux_scene=shop_tab_feed&amp;share_item_id=7638217623351627026&amp;source=h5_t</v>
      </c>
    </row>
    <row r="1224">
      <c r="A1224" s="282" t="str">
        <f>IFERROR(__xludf.DUMMYFUNCTION("""COMPUTED_VALUE"""),"MICRO")</f>
        <v>MICRO</v>
      </c>
      <c r="B1224" s="468" t="str">
        <f>IFERROR(__xludf.DUMMYFUNCTION("""COMPUTED_VALUE"""),"meamore42")</f>
        <v>meamore42</v>
      </c>
      <c r="C1224" s="283" t="str">
        <f>IFERROR(__xludf.DUMMYFUNCTION("""COMPUTED_VALUE"""),"https://www.tiktok.com/@meamore42")</f>
        <v>https://www.tiktok.com/@meamore42</v>
      </c>
      <c r="D1224" s="273">
        <f>IFERROR(__xludf.DUMMYFUNCTION("""COMPUTED_VALUE"""),8.5727007908E10)</f>
        <v>85727007908</v>
      </c>
      <c r="E1224" s="458">
        <f>IFERROR(__xludf.DUMMYFUNCTION("""COMPUTED_VALUE"""),0.0)</f>
        <v>0</v>
      </c>
      <c r="F1224" s="273">
        <f>IFERROR(__xludf.DUMMYFUNCTION("""COMPUTED_VALUE"""),4.0)</f>
        <v>4</v>
      </c>
      <c r="G1224" t="str">
        <f>IFERROR(__xludf.DUMMYFUNCTION("""COMPUTED_VALUE"""),"Sabun batang 1 Box ( 2 PCS )")</f>
        <v>Sabun batang 1 Box ( 2 PCS )</v>
      </c>
      <c r="H1224" s="469" t="str">
        <f>IFERROR(__xludf.DUMMYFUNCTION("""COMPUTED_VALUE"""),"Sampai")</f>
        <v>Sampai</v>
      </c>
      <c r="I1224" s="470" t="str">
        <f>IFERROR(__xludf.DUMMYFUNCTION("""COMPUTED_VALUE"""),"KIMME")</f>
        <v>KIMME</v>
      </c>
      <c r="J1224" s="471" t="str">
        <f>IFERROR(__xludf.DUMMYFUNCTION("""COMPUTED_VALUE"""),"https://www.tiktok.com/@meamore42/video/7629254606517865736?_r=1&amp;u_code=ee8d791ik7h785&amp;region=&amp;mid=7620963523808824072&amp;preview_pb=0&amp;sharer_language=&amp;_d=0&amp;ec_shared_reflux_dynamic_params=%7B%22placeholder_material_id%22%3A%227629254606517865736%22%2C%22pla"&amp;"ceholder_origin_cover%22%3A%22https%253A%252F%252Fp16-common-sign.tiktokcdn.com%252Ftos-alisg-p-0037%252FoERTCgqeIXqLlTjAKARQwqeWj0SEGDCJIevQN4~tplv-tiktokx-origin.jpeg%253Fdr%253D14572%2526refresh_token%253Da360a5c8%2526x-expires%253D1808204400%2526x-sig"&amp;"nature%253DSx8VU044U%25252BWjmcVUbfQoaxrDuNY%25253D%2526t%253D4d5b0474%2526ps%253D13740610%2526shp%253Dd05b14bd%2526shcp%253D34ff8df6%2526idc%253Dmy3%2526s%253DTIKTOK_AFFILIATE_VIRAL_VIDEO%22%2C%22placeholder_product_id%22%3A%221729427766722726591%22%2C%2"&amp;"2placeholder_video_id%22%3A%227629254606517865736%22%7D&amp;ec_shared_reflux_scene=shop_tab_feed&amp;share_item_id=7629254606517865736&amp;source=h5_t")</f>
        <v>https://www.tiktok.com/@meamore42/video/7629254606517865736?_r=1&amp;u_code=ee8d791ik7h785&amp;region=&amp;mid=7620963523808824072&amp;preview_pb=0&amp;sharer_language=&amp;_d=0&amp;ec_shared_reflux_dynamic_params=%7B%22placeholder_material_id%22%3A%227629254606517865736%22%2C%22placeholder_origin_cover%22%3A%22https%253A%252F%252Fp16-common-sign.tiktokcdn.com%252Ftos-alisg-p-0037%252FoERTCgqeIXqLlTjAKARQwqeWj0SEGDCJIevQN4~tplv-tiktokx-origin.jpeg%253Fdr%253D14572%2526refresh_token%253Da360a5c8%2526x-expires%253D1808204400%2526x-signature%253DSx8VU044U%25252BWjmcVUbfQoaxrDuNY%25253D%2526t%253D4d5b0474%2526ps%253D13740610%2526shp%253Dd05b14bd%2526shcp%253D34ff8df6%2526idc%253Dmy3%2526s%253DTIKTOK_AFFILIATE_VIRAL_VIDEO%22%2C%22placeholder_product_id%22%3A%221729427766722726591%22%2C%22placeholder_video_id%22%3A%227629254606517865736%22%7D&amp;ec_shared_reflux_scene=shop_tab_feed&amp;share_item_id=7629254606517865736&amp;source=h5_t</v>
      </c>
      <c r="K1224" s="470" t="str">
        <f>IFERROR(__xludf.DUMMYFUNCTION("""COMPUTED_VALUE"""),"KIMME")</f>
        <v>KIMME</v>
      </c>
      <c r="L1224" s="471" t="str">
        <f>IFERROR(__xludf.DUMMYFUNCTION("""COMPUTED_VALUE"""),"https://www.tiktok.com/@meamore42/video/7631395374527221000?_r=1&amp;u_code=ee8d791ik7h785&amp;region=&amp;mid=7242034045985852165&amp;preview_pb=0&amp;sharer_language=&amp;_d=0&amp;ec_shared_reflux_dynamic_params=%7B%22placeholder_material_id%22%3A%227631395374527221000%22%2C%22pla"&amp;"ceholder_origin_cover%22%3A%22https%253A%252F%252Fp16-sign-sg.tiktokcdn.com%252Ftos-alisg-p-0037%252FosIjLoTAF8JOJndoGDIfe0LTNJCCSAewIKIAob~tplv-tiktokx-origin.jpeg%253Fdr%253D14572%2526refresh_token%253D82ab031e%2526x-expires%253D1808474400%2526x-signatu"&amp;"re%253DytaPNrPtFXR4pr7VTESNI8Zgrj8%25253D%2526t%253D4d5b0474%2526ps%253D13740610%2526shp%253Dd05b14bd%2526shcp%253D34ff8df6%2526idc%253Dmy3%2526s%253DTIKTOK_AFFILIATE_VIRAL_VIDEO%22%2C%22placeholder_product_id%22%3A%221729427766722726591%22%2C%22placehold"&amp;"er_video_id%22%3A%227631395374527221000%22%7D&amp;ec_shared_reflux_scene=shop_tab_feed&amp;share_item_id=7631395374527221000&amp;source=h5_t")</f>
        <v>https://www.tiktok.com/@meamore42/video/7631395374527221000?_r=1&amp;u_code=ee8d791ik7h785&amp;region=&amp;mid=7242034045985852165&amp;preview_pb=0&amp;sharer_language=&amp;_d=0&amp;ec_shared_reflux_dynamic_params=%7B%22placeholder_material_id%22%3A%227631395374527221000%22%2C%22placeholder_origin_cover%22%3A%22https%253A%252F%252Fp16-sign-sg.tiktokcdn.com%252Ftos-alisg-p-0037%252FosIjLoTAF8JOJndoGDIfe0LTNJCCSAewIKIAob~tplv-tiktokx-origin.jpeg%253Fdr%253D14572%2526refresh_token%253D82ab031e%2526x-expires%253D1808474400%2526x-signature%253DytaPNrPtFXR4pr7VTESNI8Zgrj8%25253D%2526t%253D4d5b0474%2526ps%253D13740610%2526shp%253Dd05b14bd%2526shcp%253D34ff8df6%2526idc%253Dmy3%2526s%253DTIKTOK_AFFILIATE_VIRAL_VIDEO%22%2C%22placeholder_product_id%22%3A%221729427766722726591%22%2C%22placeholder_video_id%22%3A%227631395374527221000%22%7D&amp;ec_shared_reflux_scene=shop_tab_feed&amp;share_item_id=7631395374527221000&amp;source=h5_t</v>
      </c>
      <c r="M1224" s="470"/>
      <c r="N1224" s="471" t="str">
        <f>IFERROR(__xludf.DUMMYFUNCTION("""COMPUTED_VALUE"""),"https://www.tiktok.com/@meamore42/video/7632150795554704647?_r=1&amp;u_code=ee8d791ik7h785&amp;region=&amp;mid=7257475128967400197&amp;preview_pb=0&amp;sharer_language=&amp;_d=0&amp;ec_shared_reflux_dynamic_params=%7B%22placeholder_material_id%22%3A%227632150795554704647%22%2C%22pla"&amp;"ceholder_origin_cover%22%3A%22https%253A%252F%252Fp16-common-sign.tiktokcdn.com%252Ftos-alisg-p-0037%252FoIIEqFpJtBOwBGDLIfHNrcCgE92Ct6iyfriARM~tplv-tiktokx-origin.jpeg%253Fdr%253D14572%2526refresh_token%253D7e0407a2%2526x-expires%253D1808992800%2526x-sig"&amp;"nature%253DIMtFtCxvaBaDJj6Et5%25252BeFPOJ7d4%25253D%2526t%253D4d5b0474%2526ps%253D13740610%2526shp%253Dd05b14bd%2526shcp%253D34ff8df6%2526idc%253Dmy2%2526s%253DTIKTOK_AFFILIATE_VIRAL_VIDEO%22%2C%22placeholder_product_id%22%3A%221729427766722726591%22%2C%2"&amp;"2placeholder_video_id%22%3A%227632150795554704647%22%7D&amp;ec_shared_reflux_scene=shop_tab_feed&amp;share_item_id=7632150795554704647&amp;source=h5_t")</f>
        <v>https://www.tiktok.com/@meamore42/video/7632150795554704647?_r=1&amp;u_code=ee8d791ik7h785&amp;region=&amp;mid=7257475128967400197&amp;preview_pb=0&amp;sharer_language=&amp;_d=0&amp;ec_shared_reflux_dynamic_params=%7B%22placeholder_material_id%22%3A%227632150795554704647%22%2C%22placeholder_origin_cover%22%3A%22https%253A%252F%252Fp16-common-sign.tiktokcdn.com%252Ftos-alisg-p-0037%252FoIIEqFpJtBOwBGDLIfHNrcCgE92Ct6iyfriARM~tplv-tiktokx-origin.jpeg%253Fdr%253D14572%2526refresh_token%253D7e0407a2%2526x-expires%253D1808992800%2526x-signature%253DIMtFtCxvaBaDJj6Et5%25252BeFPOJ7d4%25253D%2526t%253D4d5b0474%2526ps%253D13740610%2526shp%253Dd05b14bd%2526shcp%253D34ff8df6%2526idc%253Dmy2%2526s%253DTIKTOK_AFFILIATE_VIRAL_VIDEO%22%2C%22placeholder_product_id%22%3A%221729427766722726591%22%2C%22placeholder_video_id%22%3A%227632150795554704647%22%7D&amp;ec_shared_reflux_scene=shop_tab_feed&amp;share_item_id=7632150795554704647&amp;source=h5_t</v>
      </c>
      <c r="O1224" s="470"/>
      <c r="P1224" s="471" t="str">
        <f>IFERROR(__xludf.DUMMYFUNCTION("""COMPUTED_VALUE"""),"https://www.tiktok.com/@meamore42/video/7633681620091931922?_r=1&amp;u_code=ee8d791ik7h785&amp;region=&amp;mid=7627687221567310593&amp;preview_pb=0&amp;sharer_language=&amp;_d=0&amp;ec_shared_reflux_dynamic_params=%7B%22placeholder_material_id%22%3A%227633681620091931922%22%2C%22pla"&amp;"ceholder_origin_cover%22%3A%22https%253A%252F%252Fp16-common-sign.tiktokcdn.com%252Ftos-alisg-p-0037%252FoUH4GeOLIIvgQQSHoDTALCewQMjJAeiGvDpqh5~tplv-tiktokx-origin.jpeg%253Fdr%253D14572%2526refresh_token%253Db078e9c0%2526x-expires%253D1808992800%2526x-sig"&amp;"nature%253DCuickUc0iCCc4V5p2bpTCkyyauE%25253D%2526t%253D4d5b0474%2526ps%253D13740610%2526shp%253Dd05b14bd%2526shcp%253D34ff8df6%2526idc%253Dmy2%2526s%253DTIKTOK_AFFILIATE_VIRAL_VIDEO%22%2C%22placeholder_product_id%22%3A%221729427766722726591%22%2C%22place"&amp;"holder_video_id%22%3A%227633681620091931922%22%7D&amp;ec_shared_reflux_scene=shop_tab_feed&amp;share_item_id=7633681620091931922&amp;source=h5_t")</f>
        <v>https://www.tiktok.com/@meamore42/video/7633681620091931922?_r=1&amp;u_code=ee8d791ik7h785&amp;region=&amp;mid=7627687221567310593&amp;preview_pb=0&amp;sharer_language=&amp;_d=0&amp;ec_shared_reflux_dynamic_params=%7B%22placeholder_material_id%22%3A%227633681620091931922%22%2C%22placeholder_origin_cover%22%3A%22https%253A%252F%252Fp16-common-sign.tiktokcdn.com%252Ftos-alisg-p-0037%252FoUH4GeOLIIvgQQSHoDTALCewQMjJAeiGvDpqh5~tplv-tiktokx-origin.jpeg%253Fdr%253D14572%2526refresh_token%253Db078e9c0%2526x-expires%253D1808992800%2526x-signature%253DCuickUc0iCCc4V5p2bpTCkyyauE%25253D%2526t%253D4d5b0474%2526ps%253D13740610%2526shp%253Dd05b14bd%2526shcp%253D34ff8df6%2526idc%253Dmy2%2526s%253DTIKTOK_AFFILIATE_VIRAL_VIDEO%22%2C%22placeholder_product_id%22%3A%221729427766722726591%22%2C%22placeholder_video_id%22%3A%227633681620091931922%22%7D&amp;ec_shared_reflux_scene=shop_tab_feed&amp;share_item_id=7633681620091931922&amp;source=h5_t</v>
      </c>
    </row>
    <row r="1225">
      <c r="A1225" s="282" t="str">
        <f>IFERROR(__xludf.DUMMYFUNCTION("""COMPUTED_VALUE"""),"MICRO")</f>
        <v>MICRO</v>
      </c>
      <c r="B1225" s="468" t="str">
        <f>IFERROR(__xludf.DUMMYFUNCTION("""COMPUTED_VALUE"""),"beauty.iidd")</f>
        <v>beauty.iidd</v>
      </c>
      <c r="C1225" s="283" t="str">
        <f>IFERROR(__xludf.DUMMYFUNCTION("""COMPUTED_VALUE"""),"https://www.tiktok.com/@beauty.iidd")</f>
        <v>https://www.tiktok.com/@beauty.iidd</v>
      </c>
      <c r="D1225" s="273">
        <f>IFERROR(__xludf.DUMMYFUNCTION("""COMPUTED_VALUE"""),8.5707293604E10)</f>
        <v>85707293604</v>
      </c>
      <c r="E1225" s="458">
        <f>IFERROR(__xludf.DUMMYFUNCTION("""COMPUTED_VALUE"""),100000.0)</f>
        <v>100000</v>
      </c>
      <c r="F1225" s="273">
        <f>IFERROR(__xludf.DUMMYFUNCTION("""COMPUTED_VALUE"""),4.0)</f>
        <v>4</v>
      </c>
      <c r="G1225" t="str">
        <f>IFERROR(__xludf.DUMMYFUNCTION("""COMPUTED_VALUE"""),"Sabun batang 1 Box ( 2 PCS )")</f>
        <v>Sabun batang 1 Box ( 2 PCS )</v>
      </c>
      <c r="H1225" s="469" t="str">
        <f>IFERROR(__xludf.DUMMYFUNCTION("""COMPUTED_VALUE"""),"Sampai")</f>
        <v>Sampai</v>
      </c>
      <c r="I1225" s="470" t="str">
        <f>IFERROR(__xludf.DUMMYFUNCTION("""COMPUTED_VALUE"""),"KIMME")</f>
        <v>KIMME</v>
      </c>
      <c r="J1225" s="471" t="str">
        <f>IFERROR(__xludf.DUMMYFUNCTION("""COMPUTED_VALUE"""),"https://www.tiktok.com/@beauty.iidd/video/7632143785799060743?_r=1&amp;u_code=ebjf03139m95gf&amp;region=&amp;mid=7626624902267439888&amp;preview_pb=0&amp;sharer_language=&amp;_d=0&amp;ec_shared_reflux_dynamic_params=%7B%22placeholder_material_id%22%3A%227632143785799060743%22%2C%22p"&amp;"laceholder_origin_cover%22%3A%22https%253A%252F%252Fp16-common-sign.tiktokcdn.com%252Ftos-alisg-p-0037%252FokmJeBcDpBphBmmFE5ZtpAQSEBWVf6jgwRQMPO~tplv-tiktokx-origin.jpeg%253Fdr%253D14572%2526refresh_token%253D2f7fcb5a%2526x-expires%253D1808992800%2526x-s"&amp;"ignature%253DsHAtfPj0XszWVxp56oxBHmoRw24%25253D%2526t%253D4d5b0474%2526ps%253D13740610%2526shp%253Dd05b14bd%2526shcp%253D34ff8df6%2526idc%253Dmy2%2526s%253DTIKTOK_AFFILIATE_VIRAL_VIDEO%22%2C%22placeholder_product_id%22%3A%221729427766722726591%22%2C%22pla"&amp;"ceholder_video_id%22%3A%227632143785799060743%22%7D&amp;ec_shared_reflux_scene=shop_tab_feed&amp;share_item_id=7632143785799060743&amp;source=h5_t")</f>
        <v>https://www.tiktok.com/@beauty.iidd/video/7632143785799060743?_r=1&amp;u_code=ebjf03139m95gf&amp;region=&amp;mid=7626624902267439888&amp;preview_pb=0&amp;sharer_language=&amp;_d=0&amp;ec_shared_reflux_dynamic_params=%7B%22placeholder_material_id%22%3A%227632143785799060743%22%2C%22placeholder_origin_cover%22%3A%22https%253A%252F%252Fp16-common-sign.tiktokcdn.com%252Ftos-alisg-p-0037%252FokmJeBcDpBphBmmFE5ZtpAQSEBWVf6jgwRQMPO~tplv-tiktokx-origin.jpeg%253Fdr%253D14572%2526refresh_token%253D2f7fcb5a%2526x-expires%253D1808992800%2526x-signature%253DsHAtfPj0XszWVxp56oxBHmoRw24%25253D%2526t%253D4d5b0474%2526ps%253D13740610%2526shp%253Dd05b14bd%2526shcp%253D34ff8df6%2526idc%253Dmy2%2526s%253DTIKTOK_AFFILIATE_VIRAL_VIDEO%22%2C%22placeholder_product_id%22%3A%221729427766722726591%22%2C%22placeholder_video_id%22%3A%227632143785799060743%22%7D&amp;ec_shared_reflux_scene=shop_tab_feed&amp;share_item_id=7632143785799060743&amp;source=h5_t</v>
      </c>
      <c r="K1225" s="470" t="str">
        <f>IFERROR(__xludf.DUMMYFUNCTION("""COMPUTED_VALUE"""),"KIMME")</f>
        <v>KIMME</v>
      </c>
      <c r="L1225" s="471" t="str">
        <f>IFERROR(__xludf.DUMMYFUNCTION("""COMPUTED_VALUE"""),"https://www.tiktok.com/@beauty.iidd/video/7632894757135453458?_d=0&amp;_r=1&amp;ec_shared_reflux_dynamic_params=%7B%22placeholder_material_id%22%3A%227632894757135453458%22%2C%22placeholder_origin_cover%22%3A%22https%253A%252F%252Fp19-common-sign.tiktokcdn.com%25"&amp;"2Ftos-alisg-p-0037%252FoYQsap7EDBX9XgRNgcQAPFEB1fDip7ADDfYBWc~tplv-tiktokx-origin.jpeg%253Fdr%253D14572%2526refresh_token%253D7b65af0f%2526x-expires%253D1808992800%2526x-signature%253DMpUvd7PEPpWgSM5AmWNSJSZgFXI%25253D%2526t%253D4d5b0474%2526ps%253D137406"&amp;"10%2526shp%253Dd05b14bd%2526shcp%253D34ff8df6%2526idc%253Dmy2%2526s%253DTIKTOK_AFFILIATE_VIRAL_VIDEO%22%2C%22placeholder_product_id%22%3A%221729427766722726591%22%2C%22placeholder_video_id%22%3A%227632894757135453458%22%7D&amp;ec_shared_reflux_scene=shop_tab_"&amp;"feed&amp;mid=7624312772448357140&amp;preview_pb=0&amp;region=&amp;share_item_id=7632894757135453458&amp;sharer_language=&amp;source=h5_t&amp;u_code=ebjf03139m95gf")</f>
        <v>https://www.tiktok.com/@beauty.iidd/video/7632894757135453458?_d=0&amp;_r=1&amp;ec_shared_reflux_dynamic_params=%7B%22placeholder_material_id%22%3A%227632894757135453458%22%2C%22placeholder_origin_cover%22%3A%22https%253A%252F%252Fp19-common-sign.tiktokcdn.com%252Ftos-alisg-p-0037%252FoYQsap7EDBX9XgRNgcQAPFEB1fDip7ADDfYBWc~tplv-tiktokx-origin.jpeg%253Fdr%253D14572%2526refresh_token%253D7b65af0f%2526x-expires%253D1808992800%2526x-signature%253DMpUvd7PEPpWgSM5AmWNSJSZgFXI%25253D%2526t%253D4d5b0474%2526ps%253D13740610%2526shp%253Dd05b14bd%2526shcp%253D34ff8df6%2526idc%253Dmy2%2526s%253DTIKTOK_AFFILIATE_VIRAL_VIDEO%22%2C%22placeholder_product_id%22%3A%221729427766722726591%22%2C%22placeholder_video_id%22%3A%227632894757135453458%22%7D&amp;ec_shared_reflux_scene=shop_tab_feed&amp;mid=7624312772448357140&amp;preview_pb=0&amp;region=&amp;share_item_id=7632894757135453458&amp;sharer_language=&amp;source=h5_t&amp;u_code=ebjf03139m95gf</v>
      </c>
      <c r="M1225" s="470"/>
      <c r="N1225" s="471" t="str">
        <f>IFERROR(__xludf.DUMMYFUNCTION("""COMPUTED_VALUE"""),"https://www.tiktok.com/@beauty.iidd/video/7633701589638712583?_r=1&amp;u_code=ebjf03139m95gf&amp;region=&amp;mid=7608559003840400145&amp;preview_pb=0&amp;sharer_language=&amp;_d=0&amp;ec_shared_reflux_dynamic_params=%7B%22placeholder_material_id%22%3A%227633701589638712583%22%2C%22p"&amp;"laceholder_origin_cover%22%3A%22https%253A%252F%252Fp16-common-sign.tiktokcdn.com%252Ftos-alisg-p-0037%252FosEcFZIgciAF2EFWn4R278fywsDTBBvIfAypTw~tplv-tiktokx-origin.jpeg%253Fdr%253D14572%2526refresh_token%253D5e301e26%2526x-expires%253D1808992800%2526x-s"&amp;"ignature%253D4PfOlDYRzB5WK%25252B9i8utb4dHmsMI%25253D%2526t%253D4d5b0474%2526ps%253D13740610%2526shp%253Dd05b14bd%2526shcp%253D34ff8df6%2526idc%253Dmy2%2526s%253DTIKTOK_AFFILIATE_VIRAL_VIDEO%22%2C%22placeholder_product_id%22%3A%221729427766722726591%22%2C"&amp;"%22placeholder_video_id%22%3A%227633701589638712583%22%7D&amp;ec_shared_reflux_scene=shop_tab_feed&amp;share_item_id=7633701589638712583&amp;source=h5_t")</f>
        <v>https://www.tiktok.com/@beauty.iidd/video/7633701589638712583?_r=1&amp;u_code=ebjf03139m95gf&amp;region=&amp;mid=7608559003840400145&amp;preview_pb=0&amp;sharer_language=&amp;_d=0&amp;ec_shared_reflux_dynamic_params=%7B%22placeholder_material_id%22%3A%227633701589638712583%22%2C%22placeholder_origin_cover%22%3A%22https%253A%252F%252Fp16-common-sign.tiktokcdn.com%252Ftos-alisg-p-0037%252FosEcFZIgciAF2EFWn4R278fywsDTBBvIfAypTw~tplv-tiktokx-origin.jpeg%253Fdr%253D14572%2526refresh_token%253D5e301e26%2526x-expires%253D1808992800%2526x-signature%253D4PfOlDYRzB5WK%25252B9i8utb4dHmsMI%25253D%2526t%253D4d5b0474%2526ps%253D13740610%2526shp%253Dd05b14bd%2526shcp%253D34ff8df6%2526idc%253Dmy2%2526s%253DTIKTOK_AFFILIATE_VIRAL_VIDEO%22%2C%22placeholder_product_id%22%3A%221729427766722726591%22%2C%22placeholder_video_id%22%3A%227633701589638712583%22%7D&amp;ec_shared_reflux_scene=shop_tab_feed&amp;share_item_id=7633701589638712583&amp;source=h5_t</v>
      </c>
      <c r="O1225" s="470"/>
      <c r="P1225" s="471" t="str">
        <f>IFERROR(__xludf.DUMMYFUNCTION("""COMPUTED_VALUE"""),"https://vt.tiktok.com/ZS9xsS9BT/")</f>
        <v>https://vt.tiktok.com/ZS9xsS9BT/</v>
      </c>
    </row>
    <row r="1226">
      <c r="A1226" s="282" t="str">
        <f>IFERROR(__xludf.DUMMYFUNCTION("""COMPUTED_VALUE"""),"MICRO")</f>
        <v>MICRO</v>
      </c>
      <c r="B1226" s="468" t="str">
        <f>IFERROR(__xludf.DUMMYFUNCTION("""COMPUTED_VALUE"""),"meliaa_ya0")</f>
        <v>meliaa_ya0</v>
      </c>
      <c r="C1226" s="283" t="str">
        <f>IFERROR(__xludf.DUMMYFUNCTION("""COMPUTED_VALUE"""),"https://www.tiktok.com/@meliaa_ya0")</f>
        <v>https://www.tiktok.com/@meliaa_ya0</v>
      </c>
      <c r="D1226" s="273">
        <f>IFERROR(__xludf.DUMMYFUNCTION("""COMPUTED_VALUE"""),8.5373005013E10)</f>
        <v>85373005013</v>
      </c>
      <c r="E1226" s="458">
        <f>IFERROR(__xludf.DUMMYFUNCTION("""COMPUTED_VALUE"""),0.0)</f>
        <v>0</v>
      </c>
      <c r="F1226" s="273">
        <f>IFERROR(__xludf.DUMMYFUNCTION("""COMPUTED_VALUE"""),4.0)</f>
        <v>4</v>
      </c>
      <c r="G1226" t="str">
        <f>IFERROR(__xludf.DUMMYFUNCTION("""COMPUTED_VALUE"""),"Sabun batang 1 Box ( 2 PCS )")</f>
        <v>Sabun batang 1 Box ( 2 PCS )</v>
      </c>
      <c r="H1226" s="469" t="str">
        <f>IFERROR(__xludf.DUMMYFUNCTION("""COMPUTED_VALUE"""),"Sampai")</f>
        <v>Sampai</v>
      </c>
      <c r="I1226" s="470" t="str">
        <f>IFERROR(__xludf.DUMMYFUNCTION("""COMPUTED_VALUE"""),"KIMME")</f>
        <v>KIMME</v>
      </c>
      <c r="J1226" s="471" t="str">
        <f>IFERROR(__xludf.DUMMYFUNCTION("""COMPUTED_VALUE"""),"https://vt.tiktok.com/ZS9DasLp4/")</f>
        <v>https://vt.tiktok.com/ZS9DasLp4/</v>
      </c>
      <c r="K1226" s="470" t="str">
        <f>IFERROR(__xludf.DUMMYFUNCTION("""COMPUTED_VALUE"""),"KIMME")</f>
        <v>KIMME</v>
      </c>
      <c r="L1226" s="471" t="str">
        <f>IFERROR(__xludf.DUMMYFUNCTION("""COMPUTED_VALUE"""),"https://vt.tiktok.com/ZS9DaWTPj/")</f>
        <v>https://vt.tiktok.com/ZS9DaWTPj/</v>
      </c>
      <c r="M1226" s="470"/>
      <c r="N1226" s="471" t="str">
        <f>IFERROR(__xludf.DUMMYFUNCTION("""COMPUTED_VALUE"""),"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"&amp;"2placeholder_origin_cover%22%3A%22https%253A%252F%252Fp16-common-sign.tiktokcdn.com%252Ftos-alisg-p-0037%252Fo8d8IW8cAaJj2MregAKDPXOOueQI2Te4ADCxg3~tplv-tiktokx-origin.jpeg%253Fdr%253D14572%2526refresh_token%253D6c3e7766%2526x-expires%253D1808992800%2526x"&amp;"-signature%253DGcJYh6Ejxyo84p5AL1hv6HNVj24%25253D%2526t%253D4d5b0474%2526ps%253D13740610%2526shp%253Dd05b14bd%2526shcp%253D34ff8df6%2526idc%253Dmy2%2526s%253DTIKTOK_AFFILIATE_VIRAL_VIDEO%22%2C%22placeholder_product_id%22%3A%221729427766722726591%22%2C%22p"&amp;"laceholder_video_id%22%3A%227632557264032861447%22%7D&amp;ec_shared_reflux_scene=shop_tab_feed&amp;share_item_id=7632557264032861447&amp;source=h5_t")</f>
        <v>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22placeholder_origin_cover%22%3A%22https%253A%252F%252Fp16-common-sign.tiktokcdn.com%252Ftos-alisg-p-0037%252Fo8d8IW8cAaJj2MregAKDPXOOueQI2Te4ADCxg3~tplv-tiktokx-origin.jpeg%253Fdr%253D14572%2526refresh_token%253D6c3e7766%2526x-expires%253D1808992800%2526x-signature%253DGcJYh6Ejxyo84p5AL1hv6HNVj24%25253D%2526t%253D4d5b0474%2526ps%253D13740610%2526shp%253Dd05b14bd%2526shcp%253D34ff8df6%2526idc%253Dmy2%2526s%253DTIKTOK_AFFILIATE_VIRAL_VIDEO%22%2C%22placeholder_product_id%22%3A%221729427766722726591%22%2C%22placeholder_video_id%22%3A%227632557264032861447%22%7D&amp;ec_shared_reflux_scene=shop_tab_feed&amp;share_item_id=7632557264032861447&amp;source=h5_t</v>
      </c>
      <c r="O1226" s="470"/>
      <c r="P1226" s="471" t="str">
        <f>IFERROR(__xludf.DUMMYFUNCTION("""COMPUTED_VALUE"""),"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"&amp;"2placeholder_origin_cover%22%3A%22https%253A%252F%252Fp16-common-sign.tiktokcdn.com%252Ftos-alisg-p-0037%252FoUuBHHkyiYpBIniw13iAqZDfTM5IAsCAAIAPgs~tplv-tiktokx-origin.jpeg%253Fdr%253D14572%2526refresh_token%253Dbd98b4e8%2526x-expires%253D1810119600%2526x"&amp;"-signature%253D4ymN%25252FNt9xmXXRBWN2LbZU1X3HMw%25253D%2526t%253D4d5b0474%2526ps%253D13740610%2526shp%253Dd05b14bd%2526shcp%253D34ff8df6%2526idc%253Dmy2%2526s%253DTIKTOK_AFFILIATE_VIRAL_VIDEO%22%2C%22placeholder_product_id%22%3A%221729427766722726591%22%"&amp;"2C%22placeholder_video_id%22%3A%227638217623351627026%22%7D&amp;ec_shared_reflux_scene=shop_tab_feed&amp;share_item_id=7638217623351627026&amp;source=h5_t")</f>
        <v>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22placeholder_origin_cover%22%3A%22https%253A%252F%252Fp16-common-sign.tiktokcdn.com%252Ftos-alisg-p-0037%252FoUuBHHkyiYpBIniw13iAqZDfTM5IAsCAAIAPgs~tplv-tiktokx-origin.jpeg%253Fdr%253D14572%2526refresh_token%253Dbd98b4e8%2526x-expires%253D1810119600%2526x-signature%253D4ymN%25252FNt9xmXXRBWN2LbZU1X3HMw%25253D%2526t%253D4d5b0474%2526ps%253D13740610%2526shp%253Dd05b14bd%2526shcp%253D34ff8df6%2526idc%253Dmy2%2526s%253DTIKTOK_AFFILIATE_VIRAL_VIDEO%22%2C%22placeholder_product_id%22%3A%221729427766722726591%22%2C%22placeholder_video_id%22%3A%227638217623351627026%22%7D&amp;ec_shared_reflux_scene=shop_tab_feed&amp;share_item_id=7638217623351627026&amp;source=h5_t</v>
      </c>
    </row>
    <row r="1227">
      <c r="A1227" s="282" t="str">
        <f>IFERROR(__xludf.DUMMYFUNCTION("""COMPUTED_VALUE"""),"MICRO")</f>
        <v>MICRO</v>
      </c>
      <c r="B1227" s="468" t="str">
        <f>IFERROR(__xludf.DUMMYFUNCTION("""COMPUTED_VALUE"""),"_karisma__01
")</f>
        <v>_karisma__01
</v>
      </c>
      <c r="C1227" s="283" t="str">
        <f>IFERROR(__xludf.DUMMYFUNCTION("""COMPUTED_VALUE"""),"https://www.tiktok.com/@_karisma__01
")</f>
        <v>https://www.tiktok.com/@_karisma__01
</v>
      </c>
      <c r="D1227" s="273">
        <f>IFERROR(__xludf.DUMMYFUNCTION("""COMPUTED_VALUE"""),8.2275670668E10)</f>
        <v>82275670668</v>
      </c>
      <c r="E1227" s="458">
        <f>IFERROR(__xludf.DUMMYFUNCTION("""COMPUTED_VALUE"""),0.0)</f>
        <v>0</v>
      </c>
      <c r="F1227" s="273">
        <f>IFERROR(__xludf.DUMMYFUNCTION("""COMPUTED_VALUE"""),4.0)</f>
        <v>4</v>
      </c>
      <c r="G1227" t="str">
        <f>IFERROR(__xludf.DUMMYFUNCTION("""COMPUTED_VALUE"""),"Sabun batang 1 Box ( 2 PCS )")</f>
        <v>Sabun batang 1 Box ( 2 PCS )</v>
      </c>
      <c r="H1227" s="469" t="str">
        <f>IFERROR(__xludf.DUMMYFUNCTION("""COMPUTED_VALUE"""),"Sampai")</f>
        <v>Sampai</v>
      </c>
      <c r="I1227" s="470" t="str">
        <f>IFERROR(__xludf.DUMMYFUNCTION("""COMPUTED_VALUE"""),"KIMME")</f>
        <v>KIMME</v>
      </c>
      <c r="J1227" s="471" t="str">
        <f>IFERROR(__xludf.DUMMYFUNCTION("""COMPUTED_VALUE"""),"https://www.tiktok.com/@meamore42/video/7629254606517865736?_r=1&amp;u_code=ee8d791ik7h785&amp;region=&amp;mid=7620963523808824072&amp;preview_pb=0&amp;sharer_language=&amp;_d=0&amp;ec_shared_reflux_dynamic_params=%7B%22placeholder_material_id%22%3A%227629254606517865736%22%2C%22pla"&amp;"ceholder_origin_cover%22%3A%22https%253A%252F%252Fp16-common-sign.tiktokcdn.com%252Ftos-alisg-p-0037%252FoERTCgqeIXqLlTjAKARQwqeWj0SEGDCJIevQN4~tplv-tiktokx-origin.jpeg%253Fdr%253D14572%2526refresh_token%253Da360a5c8%2526x-expires%253D1808204400%2526x-sig"&amp;"nature%253DSx8VU044U%25252BWjmcVUbfQoaxrDuNY%25253D%2526t%253D4d5b0474%2526ps%253D13740610%2526shp%253Dd05b14bd%2526shcp%253D34ff8df6%2526idc%253Dmy3%2526s%253DTIKTOK_AFFILIATE_VIRAL_VIDEO%22%2C%22placeholder_product_id%22%3A%221729427766722726591%22%2C%2"&amp;"2placeholder_video_id%22%3A%227629254606517865736%22%7D&amp;ec_shared_reflux_scene=shop_tab_feed&amp;share_item_id=7629254606517865736&amp;source=h5_t")</f>
        <v>https://www.tiktok.com/@meamore42/video/7629254606517865736?_r=1&amp;u_code=ee8d791ik7h785&amp;region=&amp;mid=7620963523808824072&amp;preview_pb=0&amp;sharer_language=&amp;_d=0&amp;ec_shared_reflux_dynamic_params=%7B%22placeholder_material_id%22%3A%227629254606517865736%22%2C%22placeholder_origin_cover%22%3A%22https%253A%252F%252Fp16-common-sign.tiktokcdn.com%252Ftos-alisg-p-0037%252FoERTCgqeIXqLlTjAKARQwqeWj0SEGDCJIevQN4~tplv-tiktokx-origin.jpeg%253Fdr%253D14572%2526refresh_token%253Da360a5c8%2526x-expires%253D1808204400%2526x-signature%253DSx8VU044U%25252BWjmcVUbfQoaxrDuNY%25253D%2526t%253D4d5b0474%2526ps%253D13740610%2526shp%253Dd05b14bd%2526shcp%253D34ff8df6%2526idc%253Dmy3%2526s%253DTIKTOK_AFFILIATE_VIRAL_VIDEO%22%2C%22placeholder_product_id%22%3A%221729427766722726591%22%2C%22placeholder_video_id%22%3A%227629254606517865736%22%7D&amp;ec_shared_reflux_scene=shop_tab_feed&amp;share_item_id=7629254606517865736&amp;source=h5_t</v>
      </c>
      <c r="K1227" s="470" t="str">
        <f>IFERROR(__xludf.DUMMYFUNCTION("""COMPUTED_VALUE"""),"KIMME")</f>
        <v>KIMME</v>
      </c>
      <c r="L1227" s="471" t="str">
        <f>IFERROR(__xludf.DUMMYFUNCTION("""COMPUTED_VALUE"""),"https://www.tiktok.com/@meamore42/video/7631395374527221000?_r=1&amp;u_code=ee8d791ik7h785&amp;region=&amp;mid=7242034045985852165&amp;preview_pb=0&amp;sharer_language=&amp;_d=0&amp;ec_shared_reflux_dynamic_params=%7B%22placeholder_material_id%22%3A%227631395374527221000%22%2C%22pla"&amp;"ceholder_origin_cover%22%3A%22https%253A%252F%252Fp16-sign-sg.tiktokcdn.com%252Ftos-alisg-p-0037%252FosIjLoTAF8JOJndoGDIfe0LTNJCCSAewIKIAob~tplv-tiktokx-origin.jpeg%253Fdr%253D14572%2526refresh_token%253D82ab031e%2526x-expires%253D1808474400%2526x-signatu"&amp;"re%253DytaPNrPtFXR4pr7VTESNI8Zgrj8%25253D%2526t%253D4d5b0474%2526ps%253D13740610%2526shp%253Dd05b14bd%2526shcp%253D34ff8df6%2526idc%253Dmy3%2526s%253DTIKTOK_AFFILIATE_VIRAL_VIDEO%22%2C%22placeholder_product_id%22%3A%221729427766722726591%22%2C%22placehold"&amp;"er_video_id%22%3A%227631395374527221000%22%7D&amp;ec_shared_reflux_scene=shop_tab_feed&amp;share_item_id=7631395374527221000&amp;source=h5_t")</f>
        <v>https://www.tiktok.com/@meamore42/video/7631395374527221000?_r=1&amp;u_code=ee8d791ik7h785&amp;region=&amp;mid=7242034045985852165&amp;preview_pb=0&amp;sharer_language=&amp;_d=0&amp;ec_shared_reflux_dynamic_params=%7B%22placeholder_material_id%22%3A%227631395374527221000%22%2C%22placeholder_origin_cover%22%3A%22https%253A%252F%252Fp16-sign-sg.tiktokcdn.com%252Ftos-alisg-p-0037%252FosIjLoTAF8JOJndoGDIfe0LTNJCCSAewIKIAob~tplv-tiktokx-origin.jpeg%253Fdr%253D14572%2526refresh_token%253D82ab031e%2526x-expires%253D1808474400%2526x-signature%253DytaPNrPtFXR4pr7VTESNI8Zgrj8%25253D%2526t%253D4d5b0474%2526ps%253D13740610%2526shp%253Dd05b14bd%2526shcp%253D34ff8df6%2526idc%253Dmy3%2526s%253DTIKTOK_AFFILIATE_VIRAL_VIDEO%22%2C%22placeholder_product_id%22%3A%221729427766722726591%22%2C%22placeholder_video_id%22%3A%227631395374527221000%22%7D&amp;ec_shared_reflux_scene=shop_tab_feed&amp;share_item_id=7631395374527221000&amp;source=h5_t</v>
      </c>
      <c r="M1227" s="470"/>
      <c r="N1227" s="471" t="str">
        <f>IFERROR(__xludf.DUMMYFUNCTION("""COMPUTED_VALUE"""),"https://www.tiktok.com/@meamore42/video/7632150795554704647?_r=1&amp;u_code=ee8d791ik7h785&amp;region=&amp;mid=7257475128967400197&amp;preview_pb=0&amp;sharer_language=&amp;_d=0&amp;ec_shared_reflux_dynamic_params=%7B%22placeholder_material_id%22%3A%227632150795554704647%22%2C%22pla"&amp;"ceholder_origin_cover%22%3A%22https%253A%252F%252Fp16-common-sign.tiktokcdn.com%252Ftos-alisg-p-0037%252FoIIEqFpJtBOwBGDLIfHNrcCgE92Ct6iyfriARM~tplv-tiktokx-origin.jpeg%253Fdr%253D14572%2526refresh_token%253D7e0407a2%2526x-expires%253D1808992800%2526x-sig"&amp;"nature%253DIMtFtCxvaBaDJj6Et5%25252BeFPOJ7d4%25253D%2526t%253D4d5b0474%2526ps%253D13740610%2526shp%253Dd05b14bd%2526shcp%253D34ff8df6%2526idc%253Dmy2%2526s%253DTIKTOK_AFFILIATE_VIRAL_VIDEO%22%2C%22placeholder_product_id%22%3A%221729427766722726591%22%2C%2"&amp;"2placeholder_video_id%22%3A%227632150795554704647%22%7D&amp;ec_shared_reflux_scene=shop_tab_feed&amp;share_item_id=7632150795554704647&amp;source=h5_t")</f>
        <v>https://www.tiktok.com/@meamore42/video/7632150795554704647?_r=1&amp;u_code=ee8d791ik7h785&amp;region=&amp;mid=7257475128967400197&amp;preview_pb=0&amp;sharer_language=&amp;_d=0&amp;ec_shared_reflux_dynamic_params=%7B%22placeholder_material_id%22%3A%227632150795554704647%22%2C%22placeholder_origin_cover%22%3A%22https%253A%252F%252Fp16-common-sign.tiktokcdn.com%252Ftos-alisg-p-0037%252FoIIEqFpJtBOwBGDLIfHNrcCgE92Ct6iyfriARM~tplv-tiktokx-origin.jpeg%253Fdr%253D14572%2526refresh_token%253D7e0407a2%2526x-expires%253D1808992800%2526x-signature%253DIMtFtCxvaBaDJj6Et5%25252BeFPOJ7d4%25253D%2526t%253D4d5b0474%2526ps%253D13740610%2526shp%253Dd05b14bd%2526shcp%253D34ff8df6%2526idc%253Dmy2%2526s%253DTIKTOK_AFFILIATE_VIRAL_VIDEO%22%2C%22placeholder_product_id%22%3A%221729427766722726591%22%2C%22placeholder_video_id%22%3A%227632150795554704647%22%7D&amp;ec_shared_reflux_scene=shop_tab_feed&amp;share_item_id=7632150795554704647&amp;source=h5_t</v>
      </c>
      <c r="O1227" s="470"/>
      <c r="P1227" s="471" t="str">
        <f>IFERROR(__xludf.DUMMYFUNCTION("""COMPUTED_VALUE"""),"https://www.tiktok.com/@meamore42/video/7633681620091931922?_r=1&amp;u_code=ee8d791ik7h785&amp;region=&amp;mid=7627687221567310593&amp;preview_pb=0&amp;sharer_language=&amp;_d=0&amp;ec_shared_reflux_dynamic_params=%7B%22placeholder_material_id%22%3A%227633681620091931922%22%2C%22pla"&amp;"ceholder_origin_cover%22%3A%22https%253A%252F%252Fp16-common-sign.tiktokcdn.com%252Ftos-alisg-p-0037%252FoUH4GeOLIIvgQQSHoDTALCewQMjJAeiGvDpqh5~tplv-tiktokx-origin.jpeg%253Fdr%253D14572%2526refresh_token%253Db078e9c0%2526x-expires%253D1808992800%2526x-sig"&amp;"nature%253DCuickUc0iCCc4V5p2bpTCkyyauE%25253D%2526t%253D4d5b0474%2526ps%253D13740610%2526shp%253Dd05b14bd%2526shcp%253D34ff8df6%2526idc%253Dmy2%2526s%253DTIKTOK_AFFILIATE_VIRAL_VIDEO%22%2C%22placeholder_product_id%22%3A%221729427766722726591%22%2C%22place"&amp;"holder_video_id%22%3A%227633681620091931922%22%7D&amp;ec_shared_reflux_scene=shop_tab_feed&amp;share_item_id=7633681620091931922&amp;source=h5_t")</f>
        <v>https://www.tiktok.com/@meamore42/video/7633681620091931922?_r=1&amp;u_code=ee8d791ik7h785&amp;region=&amp;mid=7627687221567310593&amp;preview_pb=0&amp;sharer_language=&amp;_d=0&amp;ec_shared_reflux_dynamic_params=%7B%22placeholder_material_id%22%3A%227633681620091931922%22%2C%22placeholder_origin_cover%22%3A%22https%253A%252F%252Fp16-common-sign.tiktokcdn.com%252Ftos-alisg-p-0037%252FoUH4GeOLIIvgQQSHoDTALCewQMjJAeiGvDpqh5~tplv-tiktokx-origin.jpeg%253Fdr%253D14572%2526refresh_token%253Db078e9c0%2526x-expires%253D1808992800%2526x-signature%253DCuickUc0iCCc4V5p2bpTCkyyauE%25253D%2526t%253D4d5b0474%2526ps%253D13740610%2526shp%253Dd05b14bd%2526shcp%253D34ff8df6%2526idc%253Dmy2%2526s%253DTIKTOK_AFFILIATE_VIRAL_VIDEO%22%2C%22placeholder_product_id%22%3A%221729427766722726591%22%2C%22placeholder_video_id%22%3A%227633681620091931922%22%7D&amp;ec_shared_reflux_scene=shop_tab_feed&amp;share_item_id=7633681620091931922&amp;source=h5_t</v>
      </c>
    </row>
    <row r="1228">
      <c r="A1228" s="282" t="str">
        <f>IFERROR(__xludf.DUMMYFUNCTION("""COMPUTED_VALUE"""),"MICRO")</f>
        <v>MICRO</v>
      </c>
      <c r="B1228" s="468" t="str">
        <f>IFERROR(__xludf.DUMMYFUNCTION("""COMPUTED_VALUE"""),"allaboutskincare77")</f>
        <v>allaboutskincare77</v>
      </c>
      <c r="C1228" s="283" t="str">
        <f>IFERROR(__xludf.DUMMYFUNCTION("""COMPUTED_VALUE"""),"https://www.tiktok.com/@allaboutskincare77")</f>
        <v>https://www.tiktok.com/@allaboutskincare77</v>
      </c>
      <c r="D1228" s="273">
        <f>IFERROR(__xludf.DUMMYFUNCTION("""COMPUTED_VALUE"""),8.5904269775E10)</f>
        <v>85904269775</v>
      </c>
      <c r="E1228" s="458">
        <f>IFERROR(__xludf.DUMMYFUNCTION("""COMPUTED_VALUE"""),150000.0)</f>
        <v>150000</v>
      </c>
      <c r="F1228" s="273">
        <f>IFERROR(__xludf.DUMMYFUNCTION("""COMPUTED_VALUE"""),2.0)</f>
        <v>2</v>
      </c>
      <c r="G1228" t="str">
        <f>IFERROR(__xludf.DUMMYFUNCTION("""COMPUTED_VALUE"""),"Sabun batang 1 Box ( 2 PCS )")</f>
        <v>Sabun batang 1 Box ( 2 PCS )</v>
      </c>
      <c r="H1228" s="469" t="str">
        <f>IFERROR(__xludf.DUMMYFUNCTION("""COMPUTED_VALUE"""),"Sampai")</f>
        <v>Sampai</v>
      </c>
      <c r="I1228" s="470" t="str">
        <f>IFERROR(__xludf.DUMMYFUNCTION("""COMPUTED_VALUE"""),"KIMME")</f>
        <v>KIMME</v>
      </c>
      <c r="J1228" s="471" t="str">
        <f>IFERROR(__xludf.DUMMYFUNCTION("""COMPUTED_VALUE"""),"https://www.tiktok.com/@beauty.iidd/video/7632143785799060743?_r=1&amp;u_code=ebjf03139m95gf&amp;region=&amp;mid=7626624902267439888&amp;preview_pb=0&amp;sharer_language=&amp;_d=0&amp;ec_shared_reflux_dynamic_params=%7B%22placeholder_material_id%22%3A%227632143785799060743%22%2C%22p"&amp;"laceholder_origin_cover%22%3A%22https%253A%252F%252Fp16-common-sign.tiktokcdn.com%252Ftos-alisg-p-0037%252FokmJeBcDpBphBmmFE5ZtpAQSEBWVf6jgwRQMPO~tplv-tiktokx-origin.jpeg%253Fdr%253D14572%2526refresh_token%253D2f7fcb5a%2526x-expires%253D1808992800%2526x-s"&amp;"ignature%253DsHAtfPj0XszWVxp56oxBHmoRw24%25253D%2526t%253D4d5b0474%2526ps%253D13740610%2526shp%253Dd05b14bd%2526shcp%253D34ff8df6%2526idc%253Dmy2%2526s%253DTIKTOK_AFFILIATE_VIRAL_VIDEO%22%2C%22placeholder_product_id%22%3A%221729427766722726591%22%2C%22pla"&amp;"ceholder_video_id%22%3A%227632143785799060743%22%7D&amp;ec_shared_reflux_scene=shop_tab_feed&amp;share_item_id=7632143785799060743&amp;source=h5_t")</f>
        <v>https://www.tiktok.com/@beauty.iidd/video/7632143785799060743?_r=1&amp;u_code=ebjf03139m95gf&amp;region=&amp;mid=7626624902267439888&amp;preview_pb=0&amp;sharer_language=&amp;_d=0&amp;ec_shared_reflux_dynamic_params=%7B%22placeholder_material_id%22%3A%227632143785799060743%22%2C%22placeholder_origin_cover%22%3A%22https%253A%252F%252Fp16-common-sign.tiktokcdn.com%252Ftos-alisg-p-0037%252FokmJeBcDpBphBmmFE5ZtpAQSEBWVf6jgwRQMPO~tplv-tiktokx-origin.jpeg%253Fdr%253D14572%2526refresh_token%253D2f7fcb5a%2526x-expires%253D1808992800%2526x-signature%253DsHAtfPj0XszWVxp56oxBHmoRw24%25253D%2526t%253D4d5b0474%2526ps%253D13740610%2526shp%253Dd05b14bd%2526shcp%253D34ff8df6%2526idc%253Dmy2%2526s%253DTIKTOK_AFFILIATE_VIRAL_VIDEO%22%2C%22placeholder_product_id%22%3A%221729427766722726591%22%2C%22placeholder_video_id%22%3A%227632143785799060743%22%7D&amp;ec_shared_reflux_scene=shop_tab_feed&amp;share_item_id=7632143785799060743&amp;source=h5_t</v>
      </c>
      <c r="K1228" s="470" t="str">
        <f>IFERROR(__xludf.DUMMYFUNCTION("""COMPUTED_VALUE"""),"KIMME")</f>
        <v>KIMME</v>
      </c>
      <c r="L1228" s="471" t="str">
        <f>IFERROR(__xludf.DUMMYFUNCTION("""COMPUTED_VALUE"""),"https://www.tiktok.com/@beauty.iidd/video/7632894757135453458?_d=0&amp;_r=1&amp;ec_shared_reflux_dynamic_params=%7B%22placeholder_material_id%22%3A%227632894757135453458%22%2C%22placeholder_origin_cover%22%3A%22https%253A%252F%252Fp19-common-sign.tiktokcdn.com%25"&amp;"2Ftos-alisg-p-0037%252FoYQsap7EDBX9XgRNgcQAPFEB1fDip7ADDfYBWc~tplv-tiktokx-origin.jpeg%253Fdr%253D14572%2526refresh_token%253D7b65af0f%2526x-expires%253D1808992800%2526x-signature%253DMpUvd7PEPpWgSM5AmWNSJSZgFXI%25253D%2526t%253D4d5b0474%2526ps%253D137406"&amp;"10%2526shp%253Dd05b14bd%2526shcp%253D34ff8df6%2526idc%253Dmy2%2526s%253DTIKTOK_AFFILIATE_VIRAL_VIDEO%22%2C%22placeholder_product_id%22%3A%221729427766722726591%22%2C%22placeholder_video_id%22%3A%227632894757135453458%22%7D&amp;ec_shared_reflux_scene=shop_tab_"&amp;"feed&amp;mid=7624312772448357140&amp;preview_pb=0&amp;region=&amp;share_item_id=7632894757135453458&amp;sharer_language=&amp;source=h5_t&amp;u_code=ebjf03139m95gf")</f>
        <v>https://www.tiktok.com/@beauty.iidd/video/7632894757135453458?_d=0&amp;_r=1&amp;ec_shared_reflux_dynamic_params=%7B%22placeholder_material_id%22%3A%227632894757135453458%22%2C%22placeholder_origin_cover%22%3A%22https%253A%252F%252Fp19-common-sign.tiktokcdn.com%252Ftos-alisg-p-0037%252FoYQsap7EDBX9XgRNgcQAPFEB1fDip7ADDfYBWc~tplv-tiktokx-origin.jpeg%253Fdr%253D14572%2526refresh_token%253D7b65af0f%2526x-expires%253D1808992800%2526x-signature%253DMpUvd7PEPpWgSM5AmWNSJSZgFXI%25253D%2526t%253D4d5b0474%2526ps%253D13740610%2526shp%253Dd05b14bd%2526shcp%253D34ff8df6%2526idc%253Dmy2%2526s%253DTIKTOK_AFFILIATE_VIRAL_VIDEO%22%2C%22placeholder_product_id%22%3A%221729427766722726591%22%2C%22placeholder_video_id%22%3A%227632894757135453458%22%7D&amp;ec_shared_reflux_scene=shop_tab_feed&amp;mid=7624312772448357140&amp;preview_pb=0&amp;region=&amp;share_item_id=7632894757135453458&amp;sharer_language=&amp;source=h5_t&amp;u_code=ebjf03139m95gf</v>
      </c>
      <c r="M1228" s="470"/>
      <c r="N1228" s="471" t="str">
        <f>IFERROR(__xludf.DUMMYFUNCTION("""COMPUTED_VALUE"""),"https://www.tiktok.com/@beauty.iidd/video/7633701589638712583?_r=1&amp;u_code=ebjf03139m95gf&amp;region=&amp;mid=7608559003840400145&amp;preview_pb=0&amp;sharer_language=&amp;_d=0&amp;ec_shared_reflux_dynamic_params=%7B%22placeholder_material_id%22%3A%227633701589638712583%22%2C%22p"&amp;"laceholder_origin_cover%22%3A%22https%253A%252F%252Fp16-common-sign.tiktokcdn.com%252Ftos-alisg-p-0037%252FosEcFZIgciAF2EFWn4R278fywsDTBBvIfAypTw~tplv-tiktokx-origin.jpeg%253Fdr%253D14572%2526refresh_token%253D5e301e26%2526x-expires%253D1808992800%2526x-s"&amp;"ignature%253D4PfOlDYRzB5WK%25252B9i8utb4dHmsMI%25253D%2526t%253D4d5b0474%2526ps%253D13740610%2526shp%253Dd05b14bd%2526shcp%253D34ff8df6%2526idc%253Dmy2%2526s%253DTIKTOK_AFFILIATE_VIRAL_VIDEO%22%2C%22placeholder_product_id%22%3A%221729427766722726591%22%2C"&amp;"%22placeholder_video_id%22%3A%227633701589638712583%22%7D&amp;ec_shared_reflux_scene=shop_tab_feed&amp;share_item_id=7633701589638712583&amp;source=h5_t")</f>
        <v>https://www.tiktok.com/@beauty.iidd/video/7633701589638712583?_r=1&amp;u_code=ebjf03139m95gf&amp;region=&amp;mid=7608559003840400145&amp;preview_pb=0&amp;sharer_language=&amp;_d=0&amp;ec_shared_reflux_dynamic_params=%7B%22placeholder_material_id%22%3A%227633701589638712583%22%2C%22placeholder_origin_cover%22%3A%22https%253A%252F%252Fp16-common-sign.tiktokcdn.com%252Ftos-alisg-p-0037%252FosEcFZIgciAF2EFWn4R278fywsDTBBvIfAypTw~tplv-tiktokx-origin.jpeg%253Fdr%253D14572%2526refresh_token%253D5e301e26%2526x-expires%253D1808992800%2526x-signature%253D4PfOlDYRzB5WK%25252B9i8utb4dHmsMI%25253D%2526t%253D4d5b0474%2526ps%253D13740610%2526shp%253Dd05b14bd%2526shcp%253D34ff8df6%2526idc%253Dmy2%2526s%253DTIKTOK_AFFILIATE_VIRAL_VIDEO%22%2C%22placeholder_product_id%22%3A%221729427766722726591%22%2C%22placeholder_video_id%22%3A%227633701589638712583%22%7D&amp;ec_shared_reflux_scene=shop_tab_feed&amp;share_item_id=7633701589638712583&amp;source=h5_t</v>
      </c>
      <c r="O1228" s="470"/>
      <c r="P1228" s="471" t="str">
        <f>IFERROR(__xludf.DUMMYFUNCTION("""COMPUTED_VALUE"""),"https://vt.tiktok.com/ZS9xsS9BT/")</f>
        <v>https://vt.tiktok.com/ZS9xsS9BT/</v>
      </c>
    </row>
    <row r="1229">
      <c r="A1229" s="282" t="str">
        <f>IFERROR(__xludf.DUMMYFUNCTION("""COMPUTED_VALUE"""),"MICRO")</f>
        <v>MICRO</v>
      </c>
      <c r="B1229" s="468" t="str">
        <f>IFERROR(__xludf.DUMMYFUNCTION("""COMPUTED_VALUE"""),"diyooou_")</f>
        <v>diyooou_</v>
      </c>
      <c r="C1229" s="283" t="str">
        <f>IFERROR(__xludf.DUMMYFUNCTION("""COMPUTED_VALUE"""),"https://www.tiktok.com/@diyooou_")</f>
        <v>https://www.tiktok.com/@diyooou_</v>
      </c>
      <c r="D1229" s="273">
        <f>IFERROR(__xludf.DUMMYFUNCTION("""COMPUTED_VALUE"""),8.1222916761E10)</f>
        <v>81222916761</v>
      </c>
      <c r="E1229" s="458">
        <f>IFERROR(__xludf.DUMMYFUNCTION("""COMPUTED_VALUE"""),100000.0)</f>
        <v>100000</v>
      </c>
      <c r="F1229" s="273">
        <f>IFERROR(__xludf.DUMMYFUNCTION("""COMPUTED_VALUE"""),1.0)</f>
        <v>1</v>
      </c>
      <c r="G1229" t="str">
        <f>IFERROR(__xludf.DUMMYFUNCTION("""COMPUTED_VALUE"""),"Sabun batang 1 Box ( 2 PCS )")</f>
        <v>Sabun batang 1 Box ( 2 PCS )</v>
      </c>
      <c r="H1229" s="469" t="str">
        <f>IFERROR(__xludf.DUMMYFUNCTION("""COMPUTED_VALUE"""),"Sampai")</f>
        <v>Sampai</v>
      </c>
      <c r="I1229" s="470" t="str">
        <f>IFERROR(__xludf.DUMMYFUNCTION("""COMPUTED_VALUE"""),"KIMME")</f>
        <v>KIMME</v>
      </c>
      <c r="J1229" s="471" t="str">
        <f>IFERROR(__xludf.DUMMYFUNCTION("""COMPUTED_VALUE"""),"https://vt.tiktok.com/ZS9DasLp4/")</f>
        <v>https://vt.tiktok.com/ZS9DasLp4/</v>
      </c>
      <c r="K1229" s="470" t="str">
        <f>IFERROR(__xludf.DUMMYFUNCTION("""COMPUTED_VALUE"""),"KIMME")</f>
        <v>KIMME</v>
      </c>
      <c r="L1229" s="471" t="str">
        <f>IFERROR(__xludf.DUMMYFUNCTION("""COMPUTED_VALUE"""),"https://vt.tiktok.com/ZS9DaWTPj/")</f>
        <v>https://vt.tiktok.com/ZS9DaWTPj/</v>
      </c>
      <c r="M1229" s="470"/>
      <c r="N1229" s="471" t="str">
        <f>IFERROR(__xludf.DUMMYFUNCTION("""COMPUTED_VALUE"""),"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"&amp;"2placeholder_origin_cover%22%3A%22https%253A%252F%252Fp16-common-sign.tiktokcdn.com%252Ftos-alisg-p-0037%252Fo8d8IW8cAaJj2MregAKDPXOOueQI2Te4ADCxg3~tplv-tiktokx-origin.jpeg%253Fdr%253D14572%2526refresh_token%253D6c3e7766%2526x-expires%253D1808992800%2526x"&amp;"-signature%253DGcJYh6Ejxyo84p5AL1hv6HNVj24%25253D%2526t%253D4d5b0474%2526ps%253D13740610%2526shp%253Dd05b14bd%2526shcp%253D34ff8df6%2526idc%253Dmy2%2526s%253DTIKTOK_AFFILIATE_VIRAL_VIDEO%22%2C%22placeholder_product_id%22%3A%221729427766722726591%22%2C%22p"&amp;"laceholder_video_id%22%3A%227632557264032861447%22%7D&amp;ec_shared_reflux_scene=shop_tab_feed&amp;share_item_id=7632557264032861447&amp;source=h5_t")</f>
        <v>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22placeholder_origin_cover%22%3A%22https%253A%252F%252Fp16-common-sign.tiktokcdn.com%252Ftos-alisg-p-0037%252Fo8d8IW8cAaJj2MregAKDPXOOueQI2Te4ADCxg3~tplv-tiktokx-origin.jpeg%253Fdr%253D14572%2526refresh_token%253D6c3e7766%2526x-expires%253D1808992800%2526x-signature%253DGcJYh6Ejxyo84p5AL1hv6HNVj24%25253D%2526t%253D4d5b0474%2526ps%253D13740610%2526shp%253Dd05b14bd%2526shcp%253D34ff8df6%2526idc%253Dmy2%2526s%253DTIKTOK_AFFILIATE_VIRAL_VIDEO%22%2C%22placeholder_product_id%22%3A%221729427766722726591%22%2C%22placeholder_video_id%22%3A%227632557264032861447%22%7D&amp;ec_shared_reflux_scene=shop_tab_feed&amp;share_item_id=7632557264032861447&amp;source=h5_t</v>
      </c>
      <c r="O1229" s="470"/>
      <c r="P1229" s="471" t="str">
        <f>IFERROR(__xludf.DUMMYFUNCTION("""COMPUTED_VALUE"""),"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"&amp;"2placeholder_origin_cover%22%3A%22https%253A%252F%252Fp16-common-sign.tiktokcdn.com%252Ftos-alisg-p-0037%252FoUuBHHkyiYpBIniw13iAqZDfTM5IAsCAAIAPgs~tplv-tiktokx-origin.jpeg%253Fdr%253D14572%2526refresh_token%253Dbd98b4e8%2526x-expires%253D1810119600%2526x"&amp;"-signature%253D4ymN%25252FNt9xmXXRBWN2LbZU1X3HMw%25253D%2526t%253D4d5b0474%2526ps%253D13740610%2526shp%253Dd05b14bd%2526shcp%253D34ff8df6%2526idc%253Dmy2%2526s%253DTIKTOK_AFFILIATE_VIRAL_VIDEO%22%2C%22placeholder_product_id%22%3A%221729427766722726591%22%"&amp;"2C%22placeholder_video_id%22%3A%227638217623351627026%22%7D&amp;ec_shared_reflux_scene=shop_tab_feed&amp;share_item_id=7638217623351627026&amp;source=h5_t")</f>
        <v>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22placeholder_origin_cover%22%3A%22https%253A%252F%252Fp16-common-sign.tiktokcdn.com%252Ftos-alisg-p-0037%252FoUuBHHkyiYpBIniw13iAqZDfTM5IAsCAAIAPgs~tplv-tiktokx-origin.jpeg%253Fdr%253D14572%2526refresh_token%253Dbd98b4e8%2526x-expires%253D1810119600%2526x-signature%253D4ymN%25252FNt9xmXXRBWN2LbZU1X3HMw%25253D%2526t%253D4d5b0474%2526ps%253D13740610%2526shp%253Dd05b14bd%2526shcp%253D34ff8df6%2526idc%253Dmy2%2526s%253DTIKTOK_AFFILIATE_VIRAL_VIDEO%22%2C%22placeholder_product_id%22%3A%221729427766722726591%22%2C%22placeholder_video_id%22%3A%227638217623351627026%22%7D&amp;ec_shared_reflux_scene=shop_tab_feed&amp;share_item_id=7638217623351627026&amp;source=h5_t</v>
      </c>
    </row>
    <row r="1230">
      <c r="A1230" s="282" t="str">
        <f>IFERROR(__xludf.DUMMYFUNCTION("""COMPUTED_VALUE"""),"MICRO")</f>
        <v>MICRO</v>
      </c>
      <c r="B1230" s="468" t="str">
        <f>IFERROR(__xludf.DUMMYFUNCTION("""COMPUTED_VALUE"""),"heoptim")</f>
        <v>heoptim</v>
      </c>
      <c r="C1230" s="283" t="str">
        <f>IFERROR(__xludf.DUMMYFUNCTION("""COMPUTED_VALUE"""),"https://www.tiktok.com/@heoptim")</f>
        <v>https://www.tiktok.com/@heoptim</v>
      </c>
      <c r="D1230" s="273">
        <f>IFERROR(__xludf.DUMMYFUNCTION("""COMPUTED_VALUE"""),8.95619643177E11)</f>
        <v>895619643177</v>
      </c>
      <c r="E1230" s="458">
        <f>IFERROR(__xludf.DUMMYFUNCTION("""COMPUTED_VALUE"""),0.0)</f>
        <v>0</v>
      </c>
      <c r="F1230" s="273">
        <f>IFERROR(__xludf.DUMMYFUNCTION("""COMPUTED_VALUE"""),4.0)</f>
        <v>4</v>
      </c>
      <c r="G1230" t="str">
        <f>IFERROR(__xludf.DUMMYFUNCTION("""COMPUTED_VALUE"""),"Sabun batang 1 Box ( 2 PCS )")</f>
        <v>Sabun batang 1 Box ( 2 PCS )</v>
      </c>
      <c r="H1230" s="469" t="str">
        <f>IFERROR(__xludf.DUMMYFUNCTION("""COMPUTED_VALUE"""),"Sampai")</f>
        <v>Sampai</v>
      </c>
      <c r="I1230" s="470" t="str">
        <f>IFERROR(__xludf.DUMMYFUNCTION("""COMPUTED_VALUE"""),"KIMME")</f>
        <v>KIMME</v>
      </c>
      <c r="J1230" s="471" t="str">
        <f>IFERROR(__xludf.DUMMYFUNCTION("""COMPUTED_VALUE"""),"https://www.tiktok.com/@meamore42/video/7629254606517865736?_r=1&amp;u_code=ee8d791ik7h785&amp;region=&amp;mid=7620963523808824072&amp;preview_pb=0&amp;sharer_language=&amp;_d=0&amp;ec_shared_reflux_dynamic_params=%7B%22placeholder_material_id%22%3A%227629254606517865736%22%2C%22pla"&amp;"ceholder_origin_cover%22%3A%22https%253A%252F%252Fp16-common-sign.tiktokcdn.com%252Ftos-alisg-p-0037%252FoERTCgqeIXqLlTjAKARQwqeWj0SEGDCJIevQN4~tplv-tiktokx-origin.jpeg%253Fdr%253D14572%2526refresh_token%253Da360a5c8%2526x-expires%253D1808204400%2526x-sig"&amp;"nature%253DSx8VU044U%25252BWjmcVUbfQoaxrDuNY%25253D%2526t%253D4d5b0474%2526ps%253D13740610%2526shp%253Dd05b14bd%2526shcp%253D34ff8df6%2526idc%253Dmy3%2526s%253DTIKTOK_AFFILIATE_VIRAL_VIDEO%22%2C%22placeholder_product_id%22%3A%221729427766722726591%22%2C%2"&amp;"2placeholder_video_id%22%3A%227629254606517865736%22%7D&amp;ec_shared_reflux_scene=shop_tab_feed&amp;share_item_id=7629254606517865736&amp;source=h5_t")</f>
        <v>https://www.tiktok.com/@meamore42/video/7629254606517865736?_r=1&amp;u_code=ee8d791ik7h785&amp;region=&amp;mid=7620963523808824072&amp;preview_pb=0&amp;sharer_language=&amp;_d=0&amp;ec_shared_reflux_dynamic_params=%7B%22placeholder_material_id%22%3A%227629254606517865736%22%2C%22placeholder_origin_cover%22%3A%22https%253A%252F%252Fp16-common-sign.tiktokcdn.com%252Ftos-alisg-p-0037%252FoERTCgqeIXqLlTjAKARQwqeWj0SEGDCJIevQN4~tplv-tiktokx-origin.jpeg%253Fdr%253D14572%2526refresh_token%253Da360a5c8%2526x-expires%253D1808204400%2526x-signature%253DSx8VU044U%25252BWjmcVUbfQoaxrDuNY%25253D%2526t%253D4d5b0474%2526ps%253D13740610%2526shp%253Dd05b14bd%2526shcp%253D34ff8df6%2526idc%253Dmy3%2526s%253DTIKTOK_AFFILIATE_VIRAL_VIDEO%22%2C%22placeholder_product_id%22%3A%221729427766722726591%22%2C%22placeholder_video_id%22%3A%227629254606517865736%22%7D&amp;ec_shared_reflux_scene=shop_tab_feed&amp;share_item_id=7629254606517865736&amp;source=h5_t</v>
      </c>
      <c r="K1230" s="470" t="str">
        <f>IFERROR(__xludf.DUMMYFUNCTION("""COMPUTED_VALUE"""),"KIMME")</f>
        <v>KIMME</v>
      </c>
      <c r="L1230" s="471" t="str">
        <f>IFERROR(__xludf.DUMMYFUNCTION("""COMPUTED_VALUE"""),"https://www.tiktok.com/@meamore42/video/7631395374527221000?_r=1&amp;u_code=ee8d791ik7h785&amp;region=&amp;mid=7242034045985852165&amp;preview_pb=0&amp;sharer_language=&amp;_d=0&amp;ec_shared_reflux_dynamic_params=%7B%22placeholder_material_id%22%3A%227631395374527221000%22%2C%22pla"&amp;"ceholder_origin_cover%22%3A%22https%253A%252F%252Fp16-sign-sg.tiktokcdn.com%252Ftos-alisg-p-0037%252FosIjLoTAF8JOJndoGDIfe0LTNJCCSAewIKIAob~tplv-tiktokx-origin.jpeg%253Fdr%253D14572%2526refresh_token%253D82ab031e%2526x-expires%253D1808474400%2526x-signatu"&amp;"re%253DytaPNrPtFXR4pr7VTESNI8Zgrj8%25253D%2526t%253D4d5b0474%2526ps%253D13740610%2526shp%253Dd05b14bd%2526shcp%253D34ff8df6%2526idc%253Dmy3%2526s%253DTIKTOK_AFFILIATE_VIRAL_VIDEO%22%2C%22placeholder_product_id%22%3A%221729427766722726591%22%2C%22placehold"&amp;"er_video_id%22%3A%227631395374527221000%22%7D&amp;ec_shared_reflux_scene=shop_tab_feed&amp;share_item_id=7631395374527221000&amp;source=h5_t")</f>
        <v>https://www.tiktok.com/@meamore42/video/7631395374527221000?_r=1&amp;u_code=ee8d791ik7h785&amp;region=&amp;mid=7242034045985852165&amp;preview_pb=0&amp;sharer_language=&amp;_d=0&amp;ec_shared_reflux_dynamic_params=%7B%22placeholder_material_id%22%3A%227631395374527221000%22%2C%22placeholder_origin_cover%22%3A%22https%253A%252F%252Fp16-sign-sg.tiktokcdn.com%252Ftos-alisg-p-0037%252FosIjLoTAF8JOJndoGDIfe0LTNJCCSAewIKIAob~tplv-tiktokx-origin.jpeg%253Fdr%253D14572%2526refresh_token%253D82ab031e%2526x-expires%253D1808474400%2526x-signature%253DytaPNrPtFXR4pr7VTESNI8Zgrj8%25253D%2526t%253D4d5b0474%2526ps%253D13740610%2526shp%253Dd05b14bd%2526shcp%253D34ff8df6%2526idc%253Dmy3%2526s%253DTIKTOK_AFFILIATE_VIRAL_VIDEO%22%2C%22placeholder_product_id%22%3A%221729427766722726591%22%2C%22placeholder_video_id%22%3A%227631395374527221000%22%7D&amp;ec_shared_reflux_scene=shop_tab_feed&amp;share_item_id=7631395374527221000&amp;source=h5_t</v>
      </c>
      <c r="M1230" s="470"/>
      <c r="N1230" s="471" t="str">
        <f>IFERROR(__xludf.DUMMYFUNCTION("""COMPUTED_VALUE"""),"https://www.tiktok.com/@meamore42/video/7632150795554704647?_r=1&amp;u_code=ee8d791ik7h785&amp;region=&amp;mid=7257475128967400197&amp;preview_pb=0&amp;sharer_language=&amp;_d=0&amp;ec_shared_reflux_dynamic_params=%7B%22placeholder_material_id%22%3A%227632150795554704647%22%2C%22pla"&amp;"ceholder_origin_cover%22%3A%22https%253A%252F%252Fp16-common-sign.tiktokcdn.com%252Ftos-alisg-p-0037%252FoIIEqFpJtBOwBGDLIfHNrcCgE92Ct6iyfriARM~tplv-tiktokx-origin.jpeg%253Fdr%253D14572%2526refresh_token%253D7e0407a2%2526x-expires%253D1808992800%2526x-sig"&amp;"nature%253DIMtFtCxvaBaDJj6Et5%25252BeFPOJ7d4%25253D%2526t%253D4d5b0474%2526ps%253D13740610%2526shp%253Dd05b14bd%2526shcp%253D34ff8df6%2526idc%253Dmy2%2526s%253DTIKTOK_AFFILIATE_VIRAL_VIDEO%22%2C%22placeholder_product_id%22%3A%221729427766722726591%22%2C%2"&amp;"2placeholder_video_id%22%3A%227632150795554704647%22%7D&amp;ec_shared_reflux_scene=shop_tab_feed&amp;share_item_id=7632150795554704647&amp;source=h5_t")</f>
        <v>https://www.tiktok.com/@meamore42/video/7632150795554704647?_r=1&amp;u_code=ee8d791ik7h785&amp;region=&amp;mid=7257475128967400197&amp;preview_pb=0&amp;sharer_language=&amp;_d=0&amp;ec_shared_reflux_dynamic_params=%7B%22placeholder_material_id%22%3A%227632150795554704647%22%2C%22placeholder_origin_cover%22%3A%22https%253A%252F%252Fp16-common-sign.tiktokcdn.com%252Ftos-alisg-p-0037%252FoIIEqFpJtBOwBGDLIfHNrcCgE92Ct6iyfriARM~tplv-tiktokx-origin.jpeg%253Fdr%253D14572%2526refresh_token%253D7e0407a2%2526x-expires%253D1808992800%2526x-signature%253DIMtFtCxvaBaDJj6Et5%25252BeFPOJ7d4%25253D%2526t%253D4d5b0474%2526ps%253D13740610%2526shp%253Dd05b14bd%2526shcp%253D34ff8df6%2526idc%253Dmy2%2526s%253DTIKTOK_AFFILIATE_VIRAL_VIDEO%22%2C%22placeholder_product_id%22%3A%221729427766722726591%22%2C%22placeholder_video_id%22%3A%227632150795554704647%22%7D&amp;ec_shared_reflux_scene=shop_tab_feed&amp;share_item_id=7632150795554704647&amp;source=h5_t</v>
      </c>
      <c r="O1230" s="470"/>
      <c r="P1230" s="471" t="str">
        <f>IFERROR(__xludf.DUMMYFUNCTION("""COMPUTED_VALUE"""),"https://www.tiktok.com/@meamore42/video/7633681620091931922?_r=1&amp;u_code=ee8d791ik7h785&amp;region=&amp;mid=7627687221567310593&amp;preview_pb=0&amp;sharer_language=&amp;_d=0&amp;ec_shared_reflux_dynamic_params=%7B%22placeholder_material_id%22%3A%227633681620091931922%22%2C%22pla"&amp;"ceholder_origin_cover%22%3A%22https%253A%252F%252Fp16-common-sign.tiktokcdn.com%252Ftos-alisg-p-0037%252FoUH4GeOLIIvgQQSHoDTALCewQMjJAeiGvDpqh5~tplv-tiktokx-origin.jpeg%253Fdr%253D14572%2526refresh_token%253Db078e9c0%2526x-expires%253D1808992800%2526x-sig"&amp;"nature%253DCuickUc0iCCc4V5p2bpTCkyyauE%25253D%2526t%253D4d5b0474%2526ps%253D13740610%2526shp%253Dd05b14bd%2526shcp%253D34ff8df6%2526idc%253Dmy2%2526s%253DTIKTOK_AFFILIATE_VIRAL_VIDEO%22%2C%22placeholder_product_id%22%3A%221729427766722726591%22%2C%22place"&amp;"holder_video_id%22%3A%227633681620091931922%22%7D&amp;ec_shared_reflux_scene=shop_tab_feed&amp;share_item_id=7633681620091931922&amp;source=h5_t")</f>
        <v>https://www.tiktok.com/@meamore42/video/7633681620091931922?_r=1&amp;u_code=ee8d791ik7h785&amp;region=&amp;mid=7627687221567310593&amp;preview_pb=0&amp;sharer_language=&amp;_d=0&amp;ec_shared_reflux_dynamic_params=%7B%22placeholder_material_id%22%3A%227633681620091931922%22%2C%22placeholder_origin_cover%22%3A%22https%253A%252F%252Fp16-common-sign.tiktokcdn.com%252Ftos-alisg-p-0037%252FoUH4GeOLIIvgQQSHoDTALCewQMjJAeiGvDpqh5~tplv-tiktokx-origin.jpeg%253Fdr%253D14572%2526refresh_token%253Db078e9c0%2526x-expires%253D1808992800%2526x-signature%253DCuickUc0iCCc4V5p2bpTCkyyauE%25253D%2526t%253D4d5b0474%2526ps%253D13740610%2526shp%253Dd05b14bd%2526shcp%253D34ff8df6%2526idc%253Dmy2%2526s%253DTIKTOK_AFFILIATE_VIRAL_VIDEO%22%2C%22placeholder_product_id%22%3A%221729427766722726591%22%2C%22placeholder_video_id%22%3A%227633681620091931922%22%7D&amp;ec_shared_reflux_scene=shop_tab_feed&amp;share_item_id=7633681620091931922&amp;source=h5_t</v>
      </c>
    </row>
    <row r="1231">
      <c r="A1231" s="282" t="str">
        <f>IFERROR(__xludf.DUMMYFUNCTION("""COMPUTED_VALUE"""),"MICRO")</f>
        <v>MICRO</v>
      </c>
      <c r="B1231" s="468" t="str">
        <f>IFERROR(__xludf.DUMMYFUNCTION("""COMPUTED_VALUE"""),"_endrokusumo_")</f>
        <v>_endrokusumo_</v>
      </c>
      <c r="C1231" s="283" t="str">
        <f>IFERROR(__xludf.DUMMYFUNCTION("""COMPUTED_VALUE"""),"https://www.tiktok.com/@_endrokusumo_")</f>
        <v>https://www.tiktok.com/@_endrokusumo_</v>
      </c>
      <c r="D1231" s="273">
        <f>IFERROR(__xludf.DUMMYFUNCTION("""COMPUTED_VALUE"""),8.1227777345E10)</f>
        <v>81227777345</v>
      </c>
      <c r="E1231" s="458">
        <f>IFERROR(__xludf.DUMMYFUNCTION("""COMPUTED_VALUE"""),0.0)</f>
        <v>0</v>
      </c>
      <c r="F1231" s="273">
        <f>IFERROR(__xludf.DUMMYFUNCTION("""COMPUTED_VALUE"""),4.0)</f>
        <v>4</v>
      </c>
      <c r="G1231" t="str">
        <f>IFERROR(__xludf.DUMMYFUNCTION("""COMPUTED_VALUE"""),"Sabun batang 1 Box ( 2 PCS )")</f>
        <v>Sabun batang 1 Box ( 2 PCS )</v>
      </c>
      <c r="H1231" s="469" t="str">
        <f>IFERROR(__xludf.DUMMYFUNCTION("""COMPUTED_VALUE"""),"Sampai")</f>
        <v>Sampai</v>
      </c>
      <c r="I1231" s="470" t="str">
        <f>IFERROR(__xludf.DUMMYFUNCTION("""COMPUTED_VALUE"""),"KIMME")</f>
        <v>KIMME</v>
      </c>
      <c r="J1231" s="471" t="str">
        <f>IFERROR(__xludf.DUMMYFUNCTION("""COMPUTED_VALUE"""),"https://www.tiktok.com/@beauty.iidd/video/7632143785799060743?_r=1&amp;u_code=ebjf03139m95gf&amp;region=&amp;mid=7626624902267439888&amp;preview_pb=0&amp;sharer_language=&amp;_d=0&amp;ec_shared_reflux_dynamic_params=%7B%22placeholder_material_id%22%3A%227632143785799060743%22%2C%22p"&amp;"laceholder_origin_cover%22%3A%22https%253A%252F%252Fp16-common-sign.tiktokcdn.com%252Ftos-alisg-p-0037%252FokmJeBcDpBphBmmFE5ZtpAQSEBWVf6jgwRQMPO~tplv-tiktokx-origin.jpeg%253Fdr%253D14572%2526refresh_token%253D2f7fcb5a%2526x-expires%253D1808992800%2526x-s"&amp;"ignature%253DsHAtfPj0XszWVxp56oxBHmoRw24%25253D%2526t%253D4d5b0474%2526ps%253D13740610%2526shp%253Dd05b14bd%2526shcp%253D34ff8df6%2526idc%253Dmy2%2526s%253DTIKTOK_AFFILIATE_VIRAL_VIDEO%22%2C%22placeholder_product_id%22%3A%221729427766722726591%22%2C%22pla"&amp;"ceholder_video_id%22%3A%227632143785799060743%22%7D&amp;ec_shared_reflux_scene=shop_tab_feed&amp;share_item_id=7632143785799060743&amp;source=h5_t")</f>
        <v>https://www.tiktok.com/@beauty.iidd/video/7632143785799060743?_r=1&amp;u_code=ebjf03139m95gf&amp;region=&amp;mid=7626624902267439888&amp;preview_pb=0&amp;sharer_language=&amp;_d=0&amp;ec_shared_reflux_dynamic_params=%7B%22placeholder_material_id%22%3A%227632143785799060743%22%2C%22placeholder_origin_cover%22%3A%22https%253A%252F%252Fp16-common-sign.tiktokcdn.com%252Ftos-alisg-p-0037%252FokmJeBcDpBphBmmFE5ZtpAQSEBWVf6jgwRQMPO~tplv-tiktokx-origin.jpeg%253Fdr%253D14572%2526refresh_token%253D2f7fcb5a%2526x-expires%253D1808992800%2526x-signature%253DsHAtfPj0XszWVxp56oxBHmoRw24%25253D%2526t%253D4d5b0474%2526ps%253D13740610%2526shp%253Dd05b14bd%2526shcp%253D34ff8df6%2526idc%253Dmy2%2526s%253DTIKTOK_AFFILIATE_VIRAL_VIDEO%22%2C%22placeholder_product_id%22%3A%221729427766722726591%22%2C%22placeholder_video_id%22%3A%227632143785799060743%22%7D&amp;ec_shared_reflux_scene=shop_tab_feed&amp;share_item_id=7632143785799060743&amp;source=h5_t</v>
      </c>
      <c r="K1231" s="470" t="str">
        <f>IFERROR(__xludf.DUMMYFUNCTION("""COMPUTED_VALUE"""),"KIMME")</f>
        <v>KIMME</v>
      </c>
      <c r="L1231" s="471" t="str">
        <f>IFERROR(__xludf.DUMMYFUNCTION("""COMPUTED_VALUE"""),"https://www.tiktok.com/@beauty.iidd/video/7632894757135453458?_d=0&amp;_r=1&amp;ec_shared_reflux_dynamic_params=%7B%22placeholder_material_id%22%3A%227632894757135453458%22%2C%22placeholder_origin_cover%22%3A%22https%253A%252F%252Fp19-common-sign.tiktokcdn.com%25"&amp;"2Ftos-alisg-p-0037%252FoYQsap7EDBX9XgRNgcQAPFEB1fDip7ADDfYBWc~tplv-tiktokx-origin.jpeg%253Fdr%253D14572%2526refresh_token%253D7b65af0f%2526x-expires%253D1808992800%2526x-signature%253DMpUvd7PEPpWgSM5AmWNSJSZgFXI%25253D%2526t%253D4d5b0474%2526ps%253D137406"&amp;"10%2526shp%253Dd05b14bd%2526shcp%253D34ff8df6%2526idc%253Dmy2%2526s%253DTIKTOK_AFFILIATE_VIRAL_VIDEO%22%2C%22placeholder_product_id%22%3A%221729427766722726591%22%2C%22placeholder_video_id%22%3A%227632894757135453458%22%7D&amp;ec_shared_reflux_scene=shop_tab_"&amp;"feed&amp;mid=7624312772448357140&amp;preview_pb=0&amp;region=&amp;share_item_id=7632894757135453458&amp;sharer_language=&amp;source=h5_t&amp;u_code=ebjf03139m95gf")</f>
        <v>https://www.tiktok.com/@beauty.iidd/video/7632894757135453458?_d=0&amp;_r=1&amp;ec_shared_reflux_dynamic_params=%7B%22placeholder_material_id%22%3A%227632894757135453458%22%2C%22placeholder_origin_cover%22%3A%22https%253A%252F%252Fp19-common-sign.tiktokcdn.com%252Ftos-alisg-p-0037%252FoYQsap7EDBX9XgRNgcQAPFEB1fDip7ADDfYBWc~tplv-tiktokx-origin.jpeg%253Fdr%253D14572%2526refresh_token%253D7b65af0f%2526x-expires%253D1808992800%2526x-signature%253DMpUvd7PEPpWgSM5AmWNSJSZgFXI%25253D%2526t%253D4d5b0474%2526ps%253D13740610%2526shp%253Dd05b14bd%2526shcp%253D34ff8df6%2526idc%253Dmy2%2526s%253DTIKTOK_AFFILIATE_VIRAL_VIDEO%22%2C%22placeholder_product_id%22%3A%221729427766722726591%22%2C%22placeholder_video_id%22%3A%227632894757135453458%22%7D&amp;ec_shared_reflux_scene=shop_tab_feed&amp;mid=7624312772448357140&amp;preview_pb=0&amp;region=&amp;share_item_id=7632894757135453458&amp;sharer_language=&amp;source=h5_t&amp;u_code=ebjf03139m95gf</v>
      </c>
      <c r="M1231" s="470"/>
      <c r="N1231" s="471" t="str">
        <f>IFERROR(__xludf.DUMMYFUNCTION("""COMPUTED_VALUE"""),"https://www.tiktok.com/@beauty.iidd/video/7633701589638712583?_r=1&amp;u_code=ebjf03139m95gf&amp;region=&amp;mid=7608559003840400145&amp;preview_pb=0&amp;sharer_language=&amp;_d=0&amp;ec_shared_reflux_dynamic_params=%7B%22placeholder_material_id%22%3A%227633701589638712583%22%2C%22p"&amp;"laceholder_origin_cover%22%3A%22https%253A%252F%252Fp16-common-sign.tiktokcdn.com%252Ftos-alisg-p-0037%252FosEcFZIgciAF2EFWn4R278fywsDTBBvIfAypTw~tplv-tiktokx-origin.jpeg%253Fdr%253D14572%2526refresh_token%253D5e301e26%2526x-expires%253D1808992800%2526x-s"&amp;"ignature%253D4PfOlDYRzB5WK%25252B9i8utb4dHmsMI%25253D%2526t%253D4d5b0474%2526ps%253D13740610%2526shp%253Dd05b14bd%2526shcp%253D34ff8df6%2526idc%253Dmy2%2526s%253DTIKTOK_AFFILIATE_VIRAL_VIDEO%22%2C%22placeholder_product_id%22%3A%221729427766722726591%22%2C"&amp;"%22placeholder_video_id%22%3A%227633701589638712583%22%7D&amp;ec_shared_reflux_scene=shop_tab_feed&amp;share_item_id=7633701589638712583&amp;source=h5_t")</f>
        <v>https://www.tiktok.com/@beauty.iidd/video/7633701589638712583?_r=1&amp;u_code=ebjf03139m95gf&amp;region=&amp;mid=7608559003840400145&amp;preview_pb=0&amp;sharer_language=&amp;_d=0&amp;ec_shared_reflux_dynamic_params=%7B%22placeholder_material_id%22%3A%227633701589638712583%22%2C%22placeholder_origin_cover%22%3A%22https%253A%252F%252Fp16-common-sign.tiktokcdn.com%252Ftos-alisg-p-0037%252FosEcFZIgciAF2EFWn4R278fywsDTBBvIfAypTw~tplv-tiktokx-origin.jpeg%253Fdr%253D14572%2526refresh_token%253D5e301e26%2526x-expires%253D1808992800%2526x-signature%253D4PfOlDYRzB5WK%25252B9i8utb4dHmsMI%25253D%2526t%253D4d5b0474%2526ps%253D13740610%2526shp%253Dd05b14bd%2526shcp%253D34ff8df6%2526idc%253Dmy2%2526s%253DTIKTOK_AFFILIATE_VIRAL_VIDEO%22%2C%22placeholder_product_id%22%3A%221729427766722726591%22%2C%22placeholder_video_id%22%3A%227633701589638712583%22%7D&amp;ec_shared_reflux_scene=shop_tab_feed&amp;share_item_id=7633701589638712583&amp;source=h5_t</v>
      </c>
      <c r="O1231" s="470"/>
      <c r="P1231" s="471" t="str">
        <f>IFERROR(__xludf.DUMMYFUNCTION("""COMPUTED_VALUE"""),"https://vt.tiktok.com/ZS9xsS9BT/")</f>
        <v>https://vt.tiktok.com/ZS9xsS9BT/</v>
      </c>
    </row>
    <row r="1232">
      <c r="A1232" s="282" t="str">
        <f>IFERROR(__xludf.DUMMYFUNCTION("""COMPUTED_VALUE"""),"MICRO")</f>
        <v>MICRO</v>
      </c>
      <c r="B1232" s="468" t="str">
        <f>IFERROR(__xludf.DUMMYFUNCTION("""COMPUTED_VALUE"""),"Pertuyulanpremium")</f>
        <v>Pertuyulanpremium</v>
      </c>
      <c r="C1232" s="283" t="str">
        <f>IFERROR(__xludf.DUMMYFUNCTION("""COMPUTED_VALUE"""),"https://www.tiktok.com/@Pertuyulanpremium")</f>
        <v>https://www.tiktok.com/@Pertuyulanpremium</v>
      </c>
      <c r="D1232" s="273">
        <f>IFERROR(__xludf.DUMMYFUNCTION("""COMPUTED_VALUE"""),8.7822634504E10)</f>
        <v>87822634504</v>
      </c>
      <c r="E1232" s="458">
        <f>IFERROR(__xludf.DUMMYFUNCTION("""COMPUTED_VALUE"""),0.0)</f>
        <v>0</v>
      </c>
      <c r="F1232" s="273">
        <f>IFERROR(__xludf.DUMMYFUNCTION("""COMPUTED_VALUE"""),4.0)</f>
        <v>4</v>
      </c>
      <c r="G1232" t="str">
        <f>IFERROR(__xludf.DUMMYFUNCTION("""COMPUTED_VALUE"""),"Sabun batang 1 Box ( 2 PCS )")</f>
        <v>Sabun batang 1 Box ( 2 PCS )</v>
      </c>
      <c r="H1232" s="469" t="str">
        <f>IFERROR(__xludf.DUMMYFUNCTION("""COMPUTED_VALUE"""),"Sampai")</f>
        <v>Sampai</v>
      </c>
      <c r="I1232" s="470" t="str">
        <f>IFERROR(__xludf.DUMMYFUNCTION("""COMPUTED_VALUE"""),"KIMME")</f>
        <v>KIMME</v>
      </c>
      <c r="J1232" s="471" t="str">
        <f>IFERROR(__xludf.DUMMYFUNCTION("""COMPUTED_VALUE"""),"https://vt.tiktok.com/ZS9DasLp4/")</f>
        <v>https://vt.tiktok.com/ZS9DasLp4/</v>
      </c>
      <c r="K1232" s="470" t="str">
        <f>IFERROR(__xludf.DUMMYFUNCTION("""COMPUTED_VALUE"""),"KIMME")</f>
        <v>KIMME</v>
      </c>
      <c r="L1232" s="471" t="str">
        <f>IFERROR(__xludf.DUMMYFUNCTION("""COMPUTED_VALUE"""),"https://vt.tiktok.com/ZS9DaWTPj/")</f>
        <v>https://vt.tiktok.com/ZS9DaWTPj/</v>
      </c>
      <c r="M1232" s="470"/>
      <c r="N1232" s="471" t="str">
        <f>IFERROR(__xludf.DUMMYFUNCTION("""COMPUTED_VALUE"""),"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"&amp;"2placeholder_origin_cover%22%3A%22https%253A%252F%252Fp16-common-sign.tiktokcdn.com%252Ftos-alisg-p-0037%252Fo8d8IW8cAaJj2MregAKDPXOOueQI2Te4ADCxg3~tplv-tiktokx-origin.jpeg%253Fdr%253D14572%2526refresh_token%253D6c3e7766%2526x-expires%253D1808992800%2526x"&amp;"-signature%253DGcJYh6Ejxyo84p5AL1hv6HNVj24%25253D%2526t%253D4d5b0474%2526ps%253D13740610%2526shp%253Dd05b14bd%2526shcp%253D34ff8df6%2526idc%253Dmy2%2526s%253DTIKTOK_AFFILIATE_VIRAL_VIDEO%22%2C%22placeholder_product_id%22%3A%221729427766722726591%22%2C%22p"&amp;"laceholder_video_id%22%3A%227632557264032861447%22%7D&amp;ec_shared_reflux_scene=shop_tab_feed&amp;share_item_id=7632557264032861447&amp;source=h5_t")</f>
        <v>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22placeholder_origin_cover%22%3A%22https%253A%252F%252Fp16-common-sign.tiktokcdn.com%252Ftos-alisg-p-0037%252Fo8d8IW8cAaJj2MregAKDPXOOueQI2Te4ADCxg3~tplv-tiktokx-origin.jpeg%253Fdr%253D14572%2526refresh_token%253D6c3e7766%2526x-expires%253D1808992800%2526x-signature%253DGcJYh6Ejxyo84p5AL1hv6HNVj24%25253D%2526t%253D4d5b0474%2526ps%253D13740610%2526shp%253Dd05b14bd%2526shcp%253D34ff8df6%2526idc%253Dmy2%2526s%253DTIKTOK_AFFILIATE_VIRAL_VIDEO%22%2C%22placeholder_product_id%22%3A%221729427766722726591%22%2C%22placeholder_video_id%22%3A%227632557264032861447%22%7D&amp;ec_shared_reflux_scene=shop_tab_feed&amp;share_item_id=7632557264032861447&amp;source=h5_t</v>
      </c>
      <c r="O1232" s="470"/>
      <c r="P1232" s="471" t="str">
        <f>IFERROR(__xludf.DUMMYFUNCTION("""COMPUTED_VALUE"""),"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"&amp;"2placeholder_origin_cover%22%3A%22https%253A%252F%252Fp16-common-sign.tiktokcdn.com%252Ftos-alisg-p-0037%252FoUuBHHkyiYpBIniw13iAqZDfTM5IAsCAAIAPgs~tplv-tiktokx-origin.jpeg%253Fdr%253D14572%2526refresh_token%253Dbd98b4e8%2526x-expires%253D1810119600%2526x"&amp;"-signature%253D4ymN%25252FNt9xmXXRBWN2LbZU1X3HMw%25253D%2526t%253D4d5b0474%2526ps%253D13740610%2526shp%253Dd05b14bd%2526shcp%253D34ff8df6%2526idc%253Dmy2%2526s%253DTIKTOK_AFFILIATE_VIRAL_VIDEO%22%2C%22placeholder_product_id%22%3A%221729427766722726591%22%"&amp;"2C%22placeholder_video_id%22%3A%227638217623351627026%22%7D&amp;ec_shared_reflux_scene=shop_tab_feed&amp;share_item_id=7638217623351627026&amp;source=h5_t")</f>
        <v>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22placeholder_origin_cover%22%3A%22https%253A%252F%252Fp16-common-sign.tiktokcdn.com%252Ftos-alisg-p-0037%252FoUuBHHkyiYpBIniw13iAqZDfTM5IAsCAAIAPgs~tplv-tiktokx-origin.jpeg%253Fdr%253D14572%2526refresh_token%253Dbd98b4e8%2526x-expires%253D1810119600%2526x-signature%253D4ymN%25252FNt9xmXXRBWN2LbZU1X3HMw%25253D%2526t%253D4d5b0474%2526ps%253D13740610%2526shp%253Dd05b14bd%2526shcp%253D34ff8df6%2526idc%253Dmy2%2526s%253DTIKTOK_AFFILIATE_VIRAL_VIDEO%22%2C%22placeholder_product_id%22%3A%221729427766722726591%22%2C%22placeholder_video_id%22%3A%227638217623351627026%22%7D&amp;ec_shared_reflux_scene=shop_tab_feed&amp;share_item_id=7638217623351627026&amp;source=h5_t</v>
      </c>
    </row>
    <row r="1233">
      <c r="A1233" s="282" t="str">
        <f>IFERROR(__xludf.DUMMYFUNCTION("""COMPUTED_VALUE"""),"MICRO")</f>
        <v>MICRO</v>
      </c>
      <c r="B1233" s="468" t="str">
        <f>IFERROR(__xludf.DUMMYFUNCTION("""COMPUTED_VALUE"""),"katanyaenep")</f>
        <v>katanyaenep</v>
      </c>
      <c r="C1233" s="283" t="str">
        <f>IFERROR(__xludf.DUMMYFUNCTION("""COMPUTED_VALUE"""),"https://www.tiktok.com/@katanyaenep")</f>
        <v>https://www.tiktok.com/@katanyaenep</v>
      </c>
      <c r="D1233" s="273">
        <f>IFERROR(__xludf.DUMMYFUNCTION("""COMPUTED_VALUE"""),8.2110172327E10)</f>
        <v>82110172327</v>
      </c>
      <c r="E1233" s="458">
        <f>IFERROR(__xludf.DUMMYFUNCTION("""COMPUTED_VALUE"""),100000.0)</f>
        <v>100000</v>
      </c>
      <c r="F1233" s="273">
        <f>IFERROR(__xludf.DUMMYFUNCTION("""COMPUTED_VALUE"""),1.0)</f>
        <v>1</v>
      </c>
      <c r="G1233" t="str">
        <f>IFERROR(__xludf.DUMMYFUNCTION("""COMPUTED_VALUE"""),"Sabun batang 1 Box ( 2 PCS )")</f>
        <v>Sabun batang 1 Box ( 2 PCS )</v>
      </c>
      <c r="H1233" s="469" t="str">
        <f>IFERROR(__xludf.DUMMYFUNCTION("""COMPUTED_VALUE"""),"Sampai")</f>
        <v>Sampai</v>
      </c>
      <c r="I1233" s="470" t="str">
        <f>IFERROR(__xludf.DUMMYFUNCTION("""COMPUTED_VALUE"""),"KIMME")</f>
        <v>KIMME</v>
      </c>
      <c r="J1233" s="471" t="str">
        <f>IFERROR(__xludf.DUMMYFUNCTION("""COMPUTED_VALUE"""),"https://www.tiktok.com/@meamore42/video/7629254606517865736?_r=1&amp;u_code=ee8d791ik7h785&amp;region=&amp;mid=7620963523808824072&amp;preview_pb=0&amp;sharer_language=&amp;_d=0&amp;ec_shared_reflux_dynamic_params=%7B%22placeholder_material_id%22%3A%227629254606517865736%22%2C%22pla"&amp;"ceholder_origin_cover%22%3A%22https%253A%252F%252Fp16-common-sign.tiktokcdn.com%252Ftos-alisg-p-0037%252FoERTCgqeIXqLlTjAKARQwqeWj0SEGDCJIevQN4~tplv-tiktokx-origin.jpeg%253Fdr%253D14572%2526refresh_token%253Da360a5c8%2526x-expires%253D1808204400%2526x-sig"&amp;"nature%253DSx8VU044U%25252BWjmcVUbfQoaxrDuNY%25253D%2526t%253D4d5b0474%2526ps%253D13740610%2526shp%253Dd05b14bd%2526shcp%253D34ff8df6%2526idc%253Dmy3%2526s%253DTIKTOK_AFFILIATE_VIRAL_VIDEO%22%2C%22placeholder_product_id%22%3A%221729427766722726591%22%2C%2"&amp;"2placeholder_video_id%22%3A%227629254606517865736%22%7D&amp;ec_shared_reflux_scene=shop_tab_feed&amp;share_item_id=7629254606517865736&amp;source=h5_t")</f>
        <v>https://www.tiktok.com/@meamore42/video/7629254606517865736?_r=1&amp;u_code=ee8d791ik7h785&amp;region=&amp;mid=7620963523808824072&amp;preview_pb=0&amp;sharer_language=&amp;_d=0&amp;ec_shared_reflux_dynamic_params=%7B%22placeholder_material_id%22%3A%227629254606517865736%22%2C%22placeholder_origin_cover%22%3A%22https%253A%252F%252Fp16-common-sign.tiktokcdn.com%252Ftos-alisg-p-0037%252FoERTCgqeIXqLlTjAKARQwqeWj0SEGDCJIevQN4~tplv-tiktokx-origin.jpeg%253Fdr%253D14572%2526refresh_token%253Da360a5c8%2526x-expires%253D1808204400%2526x-signature%253DSx8VU044U%25252BWjmcVUbfQoaxrDuNY%25253D%2526t%253D4d5b0474%2526ps%253D13740610%2526shp%253Dd05b14bd%2526shcp%253D34ff8df6%2526idc%253Dmy3%2526s%253DTIKTOK_AFFILIATE_VIRAL_VIDEO%22%2C%22placeholder_product_id%22%3A%221729427766722726591%22%2C%22placeholder_video_id%22%3A%227629254606517865736%22%7D&amp;ec_shared_reflux_scene=shop_tab_feed&amp;share_item_id=7629254606517865736&amp;source=h5_t</v>
      </c>
      <c r="K1233" s="470" t="str">
        <f>IFERROR(__xludf.DUMMYFUNCTION("""COMPUTED_VALUE"""),"KIMME")</f>
        <v>KIMME</v>
      </c>
      <c r="L1233" s="471" t="str">
        <f>IFERROR(__xludf.DUMMYFUNCTION("""COMPUTED_VALUE"""),"https://www.tiktok.com/@meamore42/video/7631395374527221000?_r=1&amp;u_code=ee8d791ik7h785&amp;region=&amp;mid=7242034045985852165&amp;preview_pb=0&amp;sharer_language=&amp;_d=0&amp;ec_shared_reflux_dynamic_params=%7B%22placeholder_material_id%22%3A%227631395374527221000%22%2C%22pla"&amp;"ceholder_origin_cover%22%3A%22https%253A%252F%252Fp16-sign-sg.tiktokcdn.com%252Ftos-alisg-p-0037%252FosIjLoTAF8JOJndoGDIfe0LTNJCCSAewIKIAob~tplv-tiktokx-origin.jpeg%253Fdr%253D14572%2526refresh_token%253D82ab031e%2526x-expires%253D1808474400%2526x-signatu"&amp;"re%253DytaPNrPtFXR4pr7VTESNI8Zgrj8%25253D%2526t%253D4d5b0474%2526ps%253D13740610%2526shp%253Dd05b14bd%2526shcp%253D34ff8df6%2526idc%253Dmy3%2526s%253DTIKTOK_AFFILIATE_VIRAL_VIDEO%22%2C%22placeholder_product_id%22%3A%221729427766722726591%22%2C%22placehold"&amp;"er_video_id%22%3A%227631395374527221000%22%7D&amp;ec_shared_reflux_scene=shop_tab_feed&amp;share_item_id=7631395374527221000&amp;source=h5_t")</f>
        <v>https://www.tiktok.com/@meamore42/video/7631395374527221000?_r=1&amp;u_code=ee8d791ik7h785&amp;region=&amp;mid=7242034045985852165&amp;preview_pb=0&amp;sharer_language=&amp;_d=0&amp;ec_shared_reflux_dynamic_params=%7B%22placeholder_material_id%22%3A%227631395374527221000%22%2C%22placeholder_origin_cover%22%3A%22https%253A%252F%252Fp16-sign-sg.tiktokcdn.com%252Ftos-alisg-p-0037%252FosIjLoTAF8JOJndoGDIfe0LTNJCCSAewIKIAob~tplv-tiktokx-origin.jpeg%253Fdr%253D14572%2526refresh_token%253D82ab031e%2526x-expires%253D1808474400%2526x-signature%253DytaPNrPtFXR4pr7VTESNI8Zgrj8%25253D%2526t%253D4d5b0474%2526ps%253D13740610%2526shp%253Dd05b14bd%2526shcp%253D34ff8df6%2526idc%253Dmy3%2526s%253DTIKTOK_AFFILIATE_VIRAL_VIDEO%22%2C%22placeholder_product_id%22%3A%221729427766722726591%22%2C%22placeholder_video_id%22%3A%227631395374527221000%22%7D&amp;ec_shared_reflux_scene=shop_tab_feed&amp;share_item_id=7631395374527221000&amp;source=h5_t</v>
      </c>
      <c r="M1233" s="470"/>
      <c r="N1233" s="471" t="str">
        <f>IFERROR(__xludf.DUMMYFUNCTION("""COMPUTED_VALUE"""),"https://www.tiktok.com/@meamore42/video/7632150795554704647?_r=1&amp;u_code=ee8d791ik7h785&amp;region=&amp;mid=7257475128967400197&amp;preview_pb=0&amp;sharer_language=&amp;_d=0&amp;ec_shared_reflux_dynamic_params=%7B%22placeholder_material_id%22%3A%227632150795554704647%22%2C%22pla"&amp;"ceholder_origin_cover%22%3A%22https%253A%252F%252Fp16-common-sign.tiktokcdn.com%252Ftos-alisg-p-0037%252FoIIEqFpJtBOwBGDLIfHNrcCgE92Ct6iyfriARM~tplv-tiktokx-origin.jpeg%253Fdr%253D14572%2526refresh_token%253D7e0407a2%2526x-expires%253D1808992800%2526x-sig"&amp;"nature%253DIMtFtCxvaBaDJj6Et5%25252BeFPOJ7d4%25253D%2526t%253D4d5b0474%2526ps%253D13740610%2526shp%253Dd05b14bd%2526shcp%253D34ff8df6%2526idc%253Dmy2%2526s%253DTIKTOK_AFFILIATE_VIRAL_VIDEO%22%2C%22placeholder_product_id%22%3A%221729427766722726591%22%2C%2"&amp;"2placeholder_video_id%22%3A%227632150795554704647%22%7D&amp;ec_shared_reflux_scene=shop_tab_feed&amp;share_item_id=7632150795554704647&amp;source=h5_t")</f>
        <v>https://www.tiktok.com/@meamore42/video/7632150795554704647?_r=1&amp;u_code=ee8d791ik7h785&amp;region=&amp;mid=7257475128967400197&amp;preview_pb=0&amp;sharer_language=&amp;_d=0&amp;ec_shared_reflux_dynamic_params=%7B%22placeholder_material_id%22%3A%227632150795554704647%22%2C%22placeholder_origin_cover%22%3A%22https%253A%252F%252Fp16-common-sign.tiktokcdn.com%252Ftos-alisg-p-0037%252FoIIEqFpJtBOwBGDLIfHNrcCgE92Ct6iyfriARM~tplv-tiktokx-origin.jpeg%253Fdr%253D14572%2526refresh_token%253D7e0407a2%2526x-expires%253D1808992800%2526x-signature%253DIMtFtCxvaBaDJj6Et5%25252BeFPOJ7d4%25253D%2526t%253D4d5b0474%2526ps%253D13740610%2526shp%253Dd05b14bd%2526shcp%253D34ff8df6%2526idc%253Dmy2%2526s%253DTIKTOK_AFFILIATE_VIRAL_VIDEO%22%2C%22placeholder_product_id%22%3A%221729427766722726591%22%2C%22placeholder_video_id%22%3A%227632150795554704647%22%7D&amp;ec_shared_reflux_scene=shop_tab_feed&amp;share_item_id=7632150795554704647&amp;source=h5_t</v>
      </c>
      <c r="O1233" s="470"/>
      <c r="P1233" s="471" t="str">
        <f>IFERROR(__xludf.DUMMYFUNCTION("""COMPUTED_VALUE"""),"https://www.tiktok.com/@meamore42/video/7633681620091931922?_r=1&amp;u_code=ee8d791ik7h785&amp;region=&amp;mid=7627687221567310593&amp;preview_pb=0&amp;sharer_language=&amp;_d=0&amp;ec_shared_reflux_dynamic_params=%7B%22placeholder_material_id%22%3A%227633681620091931922%22%2C%22pla"&amp;"ceholder_origin_cover%22%3A%22https%253A%252F%252Fp16-common-sign.tiktokcdn.com%252Ftos-alisg-p-0037%252FoUH4GeOLIIvgQQSHoDTALCewQMjJAeiGvDpqh5~tplv-tiktokx-origin.jpeg%253Fdr%253D14572%2526refresh_token%253Db078e9c0%2526x-expires%253D1808992800%2526x-sig"&amp;"nature%253DCuickUc0iCCc4V5p2bpTCkyyauE%25253D%2526t%253D4d5b0474%2526ps%253D13740610%2526shp%253Dd05b14bd%2526shcp%253D34ff8df6%2526idc%253Dmy2%2526s%253DTIKTOK_AFFILIATE_VIRAL_VIDEO%22%2C%22placeholder_product_id%22%3A%221729427766722726591%22%2C%22place"&amp;"holder_video_id%22%3A%227633681620091931922%22%7D&amp;ec_shared_reflux_scene=shop_tab_feed&amp;share_item_id=7633681620091931922&amp;source=h5_t")</f>
        <v>https://www.tiktok.com/@meamore42/video/7633681620091931922?_r=1&amp;u_code=ee8d791ik7h785&amp;region=&amp;mid=7627687221567310593&amp;preview_pb=0&amp;sharer_language=&amp;_d=0&amp;ec_shared_reflux_dynamic_params=%7B%22placeholder_material_id%22%3A%227633681620091931922%22%2C%22placeholder_origin_cover%22%3A%22https%253A%252F%252Fp16-common-sign.tiktokcdn.com%252Ftos-alisg-p-0037%252FoUH4GeOLIIvgQQSHoDTALCewQMjJAeiGvDpqh5~tplv-tiktokx-origin.jpeg%253Fdr%253D14572%2526refresh_token%253Db078e9c0%2526x-expires%253D1808992800%2526x-signature%253DCuickUc0iCCc4V5p2bpTCkyyauE%25253D%2526t%253D4d5b0474%2526ps%253D13740610%2526shp%253Dd05b14bd%2526shcp%253D34ff8df6%2526idc%253Dmy2%2526s%253DTIKTOK_AFFILIATE_VIRAL_VIDEO%22%2C%22placeholder_product_id%22%3A%221729427766722726591%22%2C%22placeholder_video_id%22%3A%227633681620091931922%22%7D&amp;ec_shared_reflux_scene=shop_tab_feed&amp;share_item_id=7633681620091931922&amp;source=h5_t</v>
      </c>
    </row>
    <row r="1234">
      <c r="A1234" s="282" t="str">
        <f>IFERROR(__xludf.DUMMYFUNCTION("""COMPUTED_VALUE"""),"MICRO")</f>
        <v>MICRO</v>
      </c>
      <c r="B1234" s="468" t="str">
        <f>IFERROR(__xludf.DUMMYFUNCTION("""COMPUTED_VALUE"""),"udegirsang")</f>
        <v>udegirsang</v>
      </c>
      <c r="C1234" s="283" t="str">
        <f>IFERROR(__xludf.DUMMYFUNCTION("""COMPUTED_VALUE"""),"https://www.tiktok.com/@udegirsang")</f>
        <v>https://www.tiktok.com/@udegirsang</v>
      </c>
      <c r="D1234" s="273">
        <f>IFERROR(__xludf.DUMMYFUNCTION("""COMPUTED_VALUE"""),8.956356127E11)</f>
        <v>895635612700</v>
      </c>
      <c r="E1234" s="458">
        <f>IFERROR(__xludf.DUMMYFUNCTION("""COMPUTED_VALUE"""),0.0)</f>
        <v>0</v>
      </c>
      <c r="F1234" s="273">
        <f>IFERROR(__xludf.DUMMYFUNCTION("""COMPUTED_VALUE"""),1.0)</f>
        <v>1</v>
      </c>
      <c r="G1234" t="str">
        <f>IFERROR(__xludf.DUMMYFUNCTION("""COMPUTED_VALUE"""),"Sabun batang 1 Box ( 2 PCS )")</f>
        <v>Sabun batang 1 Box ( 2 PCS )</v>
      </c>
      <c r="H1234" s="469" t="str">
        <f>IFERROR(__xludf.DUMMYFUNCTION("""COMPUTED_VALUE"""),"Sampai")</f>
        <v>Sampai</v>
      </c>
      <c r="I1234" s="470" t="str">
        <f>IFERROR(__xludf.DUMMYFUNCTION("""COMPUTED_VALUE"""),"KIMME")</f>
        <v>KIMME</v>
      </c>
      <c r="J1234" s="471" t="str">
        <f>IFERROR(__xludf.DUMMYFUNCTION("""COMPUTED_VALUE"""),"https://www.tiktok.com/@beauty.iidd/video/7632143785799060743?_r=1&amp;u_code=ebjf03139m95gf&amp;region=&amp;mid=7626624902267439888&amp;preview_pb=0&amp;sharer_language=&amp;_d=0&amp;ec_shared_reflux_dynamic_params=%7B%22placeholder_material_id%22%3A%227632143785799060743%22%2C%22p"&amp;"laceholder_origin_cover%22%3A%22https%253A%252F%252Fp16-common-sign.tiktokcdn.com%252Ftos-alisg-p-0037%252FokmJeBcDpBphBmmFE5ZtpAQSEBWVf6jgwRQMPO~tplv-tiktokx-origin.jpeg%253Fdr%253D14572%2526refresh_token%253D2f7fcb5a%2526x-expires%253D1808992800%2526x-s"&amp;"ignature%253DsHAtfPj0XszWVxp56oxBHmoRw24%25253D%2526t%253D4d5b0474%2526ps%253D13740610%2526shp%253Dd05b14bd%2526shcp%253D34ff8df6%2526idc%253Dmy2%2526s%253DTIKTOK_AFFILIATE_VIRAL_VIDEO%22%2C%22placeholder_product_id%22%3A%221729427766722726591%22%2C%22pla"&amp;"ceholder_video_id%22%3A%227632143785799060743%22%7D&amp;ec_shared_reflux_scene=shop_tab_feed&amp;share_item_id=7632143785799060743&amp;source=h5_t")</f>
        <v>https://www.tiktok.com/@beauty.iidd/video/7632143785799060743?_r=1&amp;u_code=ebjf03139m95gf&amp;region=&amp;mid=7626624902267439888&amp;preview_pb=0&amp;sharer_language=&amp;_d=0&amp;ec_shared_reflux_dynamic_params=%7B%22placeholder_material_id%22%3A%227632143785799060743%22%2C%22placeholder_origin_cover%22%3A%22https%253A%252F%252Fp16-common-sign.tiktokcdn.com%252Ftos-alisg-p-0037%252FokmJeBcDpBphBmmFE5ZtpAQSEBWVf6jgwRQMPO~tplv-tiktokx-origin.jpeg%253Fdr%253D14572%2526refresh_token%253D2f7fcb5a%2526x-expires%253D1808992800%2526x-signature%253DsHAtfPj0XszWVxp56oxBHmoRw24%25253D%2526t%253D4d5b0474%2526ps%253D13740610%2526shp%253Dd05b14bd%2526shcp%253D34ff8df6%2526idc%253Dmy2%2526s%253DTIKTOK_AFFILIATE_VIRAL_VIDEO%22%2C%22placeholder_product_id%22%3A%221729427766722726591%22%2C%22placeholder_video_id%22%3A%227632143785799060743%22%7D&amp;ec_shared_reflux_scene=shop_tab_feed&amp;share_item_id=7632143785799060743&amp;source=h5_t</v>
      </c>
      <c r="K1234" s="470" t="str">
        <f>IFERROR(__xludf.DUMMYFUNCTION("""COMPUTED_VALUE"""),"KIMME")</f>
        <v>KIMME</v>
      </c>
      <c r="L1234" s="471" t="str">
        <f>IFERROR(__xludf.DUMMYFUNCTION("""COMPUTED_VALUE"""),"https://www.tiktok.com/@beauty.iidd/video/7632894757135453458?_d=0&amp;_r=1&amp;ec_shared_reflux_dynamic_params=%7B%22placeholder_material_id%22%3A%227632894757135453458%22%2C%22placeholder_origin_cover%22%3A%22https%253A%252F%252Fp19-common-sign.tiktokcdn.com%25"&amp;"2Ftos-alisg-p-0037%252FoYQsap7EDBX9XgRNgcQAPFEB1fDip7ADDfYBWc~tplv-tiktokx-origin.jpeg%253Fdr%253D14572%2526refresh_token%253D7b65af0f%2526x-expires%253D1808992800%2526x-signature%253DMpUvd7PEPpWgSM5AmWNSJSZgFXI%25253D%2526t%253D4d5b0474%2526ps%253D137406"&amp;"10%2526shp%253Dd05b14bd%2526shcp%253D34ff8df6%2526idc%253Dmy2%2526s%253DTIKTOK_AFFILIATE_VIRAL_VIDEO%22%2C%22placeholder_product_id%22%3A%221729427766722726591%22%2C%22placeholder_video_id%22%3A%227632894757135453458%22%7D&amp;ec_shared_reflux_scene=shop_tab_"&amp;"feed&amp;mid=7624312772448357140&amp;preview_pb=0&amp;region=&amp;share_item_id=7632894757135453458&amp;sharer_language=&amp;source=h5_t&amp;u_code=ebjf03139m95gf")</f>
        <v>https://www.tiktok.com/@beauty.iidd/video/7632894757135453458?_d=0&amp;_r=1&amp;ec_shared_reflux_dynamic_params=%7B%22placeholder_material_id%22%3A%227632894757135453458%22%2C%22placeholder_origin_cover%22%3A%22https%253A%252F%252Fp19-common-sign.tiktokcdn.com%252Ftos-alisg-p-0037%252FoYQsap7EDBX9XgRNgcQAPFEB1fDip7ADDfYBWc~tplv-tiktokx-origin.jpeg%253Fdr%253D14572%2526refresh_token%253D7b65af0f%2526x-expires%253D1808992800%2526x-signature%253DMpUvd7PEPpWgSM5AmWNSJSZgFXI%25253D%2526t%253D4d5b0474%2526ps%253D13740610%2526shp%253Dd05b14bd%2526shcp%253D34ff8df6%2526idc%253Dmy2%2526s%253DTIKTOK_AFFILIATE_VIRAL_VIDEO%22%2C%22placeholder_product_id%22%3A%221729427766722726591%22%2C%22placeholder_video_id%22%3A%227632894757135453458%22%7D&amp;ec_shared_reflux_scene=shop_tab_feed&amp;mid=7624312772448357140&amp;preview_pb=0&amp;region=&amp;share_item_id=7632894757135453458&amp;sharer_language=&amp;source=h5_t&amp;u_code=ebjf03139m95gf</v>
      </c>
      <c r="M1234" s="470"/>
      <c r="N1234" s="471" t="str">
        <f>IFERROR(__xludf.DUMMYFUNCTION("""COMPUTED_VALUE"""),"https://www.tiktok.com/@beauty.iidd/video/7633701589638712583?_r=1&amp;u_code=ebjf03139m95gf&amp;region=&amp;mid=7608559003840400145&amp;preview_pb=0&amp;sharer_language=&amp;_d=0&amp;ec_shared_reflux_dynamic_params=%7B%22placeholder_material_id%22%3A%227633701589638712583%22%2C%22p"&amp;"laceholder_origin_cover%22%3A%22https%253A%252F%252Fp16-common-sign.tiktokcdn.com%252Ftos-alisg-p-0037%252FosEcFZIgciAF2EFWn4R278fywsDTBBvIfAypTw~tplv-tiktokx-origin.jpeg%253Fdr%253D14572%2526refresh_token%253D5e301e26%2526x-expires%253D1808992800%2526x-s"&amp;"ignature%253D4PfOlDYRzB5WK%25252B9i8utb4dHmsMI%25253D%2526t%253D4d5b0474%2526ps%253D13740610%2526shp%253Dd05b14bd%2526shcp%253D34ff8df6%2526idc%253Dmy2%2526s%253DTIKTOK_AFFILIATE_VIRAL_VIDEO%22%2C%22placeholder_product_id%22%3A%221729427766722726591%22%2C"&amp;"%22placeholder_video_id%22%3A%227633701589638712583%22%7D&amp;ec_shared_reflux_scene=shop_tab_feed&amp;share_item_id=7633701589638712583&amp;source=h5_t")</f>
        <v>https://www.tiktok.com/@beauty.iidd/video/7633701589638712583?_r=1&amp;u_code=ebjf03139m95gf&amp;region=&amp;mid=7608559003840400145&amp;preview_pb=0&amp;sharer_language=&amp;_d=0&amp;ec_shared_reflux_dynamic_params=%7B%22placeholder_material_id%22%3A%227633701589638712583%22%2C%22placeholder_origin_cover%22%3A%22https%253A%252F%252Fp16-common-sign.tiktokcdn.com%252Ftos-alisg-p-0037%252FosEcFZIgciAF2EFWn4R278fywsDTBBvIfAypTw~tplv-tiktokx-origin.jpeg%253Fdr%253D14572%2526refresh_token%253D5e301e26%2526x-expires%253D1808992800%2526x-signature%253D4PfOlDYRzB5WK%25252B9i8utb4dHmsMI%25253D%2526t%253D4d5b0474%2526ps%253D13740610%2526shp%253Dd05b14bd%2526shcp%253D34ff8df6%2526idc%253Dmy2%2526s%253DTIKTOK_AFFILIATE_VIRAL_VIDEO%22%2C%22placeholder_product_id%22%3A%221729427766722726591%22%2C%22placeholder_video_id%22%3A%227633701589638712583%22%7D&amp;ec_shared_reflux_scene=shop_tab_feed&amp;share_item_id=7633701589638712583&amp;source=h5_t</v>
      </c>
      <c r="O1234" s="470"/>
      <c r="P1234" s="471" t="str">
        <f>IFERROR(__xludf.DUMMYFUNCTION("""COMPUTED_VALUE"""),"https://vt.tiktok.com/ZS9xsS9BT/")</f>
        <v>https://vt.tiktok.com/ZS9xsS9BT/</v>
      </c>
    </row>
    <row r="1235">
      <c r="A1235" s="282" t="str">
        <f>IFERROR(__xludf.DUMMYFUNCTION("""COMPUTED_VALUE"""),"MICRO")</f>
        <v>MICRO</v>
      </c>
      <c r="B1235" s="468" t="str">
        <f>IFERROR(__xludf.DUMMYFUNCTION("""COMPUTED_VALUE"""),"rskinaputri")</f>
        <v>rskinaputri</v>
      </c>
      <c r="C1235" s="283" t="str">
        <f>IFERROR(__xludf.DUMMYFUNCTION("""COMPUTED_VALUE"""),"https://www.tiktok.com/@rskinaputri")</f>
        <v>https://www.tiktok.com/@rskinaputri</v>
      </c>
      <c r="D1235" s="273">
        <f>IFERROR(__xludf.DUMMYFUNCTION("""COMPUTED_VALUE"""),8.2311536716E10)</f>
        <v>82311536716</v>
      </c>
      <c r="E1235" s="458">
        <f>IFERROR(__xludf.DUMMYFUNCTION("""COMPUTED_VALUE"""),0.0)</f>
        <v>0</v>
      </c>
      <c r="F1235" s="273">
        <f>IFERROR(__xludf.DUMMYFUNCTION("""COMPUTED_VALUE"""),4.0)</f>
        <v>4</v>
      </c>
      <c r="G1235" t="str">
        <f>IFERROR(__xludf.DUMMYFUNCTION("""COMPUTED_VALUE"""),"Sabun batang 1 Box ( 2 PCS )")</f>
        <v>Sabun batang 1 Box ( 2 PCS )</v>
      </c>
      <c r="H1235" s="469" t="str">
        <f>IFERROR(__xludf.DUMMYFUNCTION("""COMPUTED_VALUE"""),"Sampai")</f>
        <v>Sampai</v>
      </c>
      <c r="I1235" s="470" t="str">
        <f>IFERROR(__xludf.DUMMYFUNCTION("""COMPUTED_VALUE"""),"KIMME")</f>
        <v>KIMME</v>
      </c>
      <c r="J1235" s="471" t="str">
        <f>IFERROR(__xludf.DUMMYFUNCTION("""COMPUTED_VALUE"""),"https://vt.tiktok.com/ZS9DasLp4/")</f>
        <v>https://vt.tiktok.com/ZS9DasLp4/</v>
      </c>
      <c r="K1235" s="470" t="str">
        <f>IFERROR(__xludf.DUMMYFUNCTION("""COMPUTED_VALUE"""),"KIMME")</f>
        <v>KIMME</v>
      </c>
      <c r="L1235" s="471" t="str">
        <f>IFERROR(__xludf.DUMMYFUNCTION("""COMPUTED_VALUE"""),"https://vt.tiktok.com/ZS9DaWTPj/")</f>
        <v>https://vt.tiktok.com/ZS9DaWTPj/</v>
      </c>
      <c r="M1235" s="470"/>
      <c r="N1235" s="471" t="str">
        <f>IFERROR(__xludf.DUMMYFUNCTION("""COMPUTED_VALUE"""),"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"&amp;"2placeholder_origin_cover%22%3A%22https%253A%252F%252Fp16-common-sign.tiktokcdn.com%252Ftos-alisg-p-0037%252Fo8d8IW8cAaJj2MregAKDPXOOueQI2Te4ADCxg3~tplv-tiktokx-origin.jpeg%253Fdr%253D14572%2526refresh_token%253D6c3e7766%2526x-expires%253D1808992800%2526x"&amp;"-signature%253DGcJYh6Ejxyo84p5AL1hv6HNVj24%25253D%2526t%253D4d5b0474%2526ps%253D13740610%2526shp%253Dd05b14bd%2526shcp%253D34ff8df6%2526idc%253Dmy2%2526s%253DTIKTOK_AFFILIATE_VIRAL_VIDEO%22%2C%22placeholder_product_id%22%3A%221729427766722726591%22%2C%22p"&amp;"laceholder_video_id%22%3A%227632557264032861447%22%7D&amp;ec_shared_reflux_scene=shop_tab_feed&amp;share_item_id=7632557264032861447&amp;source=h5_t")</f>
        <v>https://www.tiktok.com/@dianasepti210/video/7632557264032861447?_r=1&amp;u_code=e3lb4fe3b626el&amp;region=&amp;mid=7357835486148938501&amp;preview_pb=0&amp;sharer_language=&amp;_d=0&amp;ec_shared_reflux_dynamic_params=%7B%22placeholder_material_id%22%3A%227632557264032861447%22%2C%22placeholder_origin_cover%22%3A%22https%253A%252F%252Fp16-common-sign.tiktokcdn.com%252Ftos-alisg-p-0037%252Fo8d8IW8cAaJj2MregAKDPXOOueQI2Te4ADCxg3~tplv-tiktokx-origin.jpeg%253Fdr%253D14572%2526refresh_token%253D6c3e7766%2526x-expires%253D1808992800%2526x-signature%253DGcJYh6Ejxyo84p5AL1hv6HNVj24%25253D%2526t%253D4d5b0474%2526ps%253D13740610%2526shp%253Dd05b14bd%2526shcp%253D34ff8df6%2526idc%253Dmy2%2526s%253DTIKTOK_AFFILIATE_VIRAL_VIDEO%22%2C%22placeholder_product_id%22%3A%221729427766722726591%22%2C%22placeholder_video_id%22%3A%227632557264032861447%22%7D&amp;ec_shared_reflux_scene=shop_tab_feed&amp;share_item_id=7632557264032861447&amp;source=h5_t</v>
      </c>
      <c r="O1235" s="470"/>
      <c r="P1235" s="471" t="str">
        <f>IFERROR(__xludf.DUMMYFUNCTION("""COMPUTED_VALUE"""),"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"&amp;"2placeholder_origin_cover%22%3A%22https%253A%252F%252Fp16-common-sign.tiktokcdn.com%252Ftos-alisg-p-0037%252FoUuBHHkyiYpBIniw13iAqZDfTM5IAsCAAIAPgs~tplv-tiktokx-origin.jpeg%253Fdr%253D14572%2526refresh_token%253Dbd98b4e8%2526x-expires%253D1810119600%2526x"&amp;"-signature%253D4ymN%25252FNt9xmXXRBWN2LbZU1X3HMw%25253D%2526t%253D4d5b0474%2526ps%253D13740610%2526shp%253Dd05b14bd%2526shcp%253D34ff8df6%2526idc%253Dmy2%2526s%253DTIKTOK_AFFILIATE_VIRAL_VIDEO%22%2C%22placeholder_product_id%22%3A%221729427766722726591%22%"&amp;"2C%22placeholder_video_id%22%3A%227638217623351627026%22%7D&amp;ec_shared_reflux_scene=shop_tab_feed&amp;share_item_id=7638217623351627026&amp;source=h5_t")</f>
        <v>https://www.tiktok.com/@dianasepti210/video/7638217623351627026?_r=1&amp;u_code=e3lb4fe3b626el&amp;region=&amp;mid=7631905035121395728&amp;preview_pb=0&amp;sharer_language=&amp;_d=0&amp;ec_shared_reflux_dynamic_params=%7B%22placeholder_material_id%22%3A%227638217623351627026%22%2C%22placeholder_origin_cover%22%3A%22https%253A%252F%252Fp16-common-sign.tiktokcdn.com%252Ftos-alisg-p-0037%252FoUuBHHkyiYpBIniw13iAqZDfTM5IAsCAAIAPgs~tplv-tiktokx-origin.jpeg%253Fdr%253D14572%2526refresh_token%253Dbd98b4e8%2526x-expires%253D1810119600%2526x-signature%253D4ymN%25252FNt9xmXXRBWN2LbZU1X3HMw%25253D%2526t%253D4d5b0474%2526ps%253D13740610%2526shp%253Dd05b14bd%2526shcp%253D34ff8df6%2526idc%253Dmy2%2526s%253DTIKTOK_AFFILIATE_VIRAL_VIDEO%22%2C%22placeholder_product_id%22%3A%221729427766722726591%22%2C%22placeholder_video_id%22%3A%227638217623351627026%22%7D&amp;ec_shared_reflux_scene=shop_tab_feed&amp;share_item_id=7638217623351627026&amp;source=h5_t</v>
      </c>
    </row>
    <row r="1236">
      <c r="A1236" s="282" t="str">
        <f>IFERROR(__xludf.DUMMYFUNCTION("""COMPUTED_VALUE"""),"MICRO")</f>
        <v>MICRO</v>
      </c>
      <c r="B1236" s="468" t="str">
        <f>IFERROR(__xludf.DUMMYFUNCTION("""COMPUTED_VALUE"""),"wijayasehatapotek")</f>
        <v>wijayasehatapotek</v>
      </c>
      <c r="C1236" s="283" t="str">
        <f>IFERROR(__xludf.DUMMYFUNCTION("""COMPUTED_VALUE"""),"https://www.tiktok.com/@wijayasehatapotek")</f>
        <v>https://www.tiktok.com/@wijayasehatapotek</v>
      </c>
      <c r="D1236" s="273">
        <f>IFERROR(__xludf.DUMMYFUNCTION("""COMPUTED_VALUE"""),8.567700952E9)</f>
        <v>8567700952</v>
      </c>
      <c r="E1236" s="458">
        <f>IFERROR(__xludf.DUMMYFUNCTION("""COMPUTED_VALUE"""),0.0)</f>
        <v>0</v>
      </c>
      <c r="F1236" s="273">
        <f>IFERROR(__xludf.DUMMYFUNCTION("""COMPUTED_VALUE"""),4.0)</f>
        <v>4</v>
      </c>
      <c r="G1236" t="str">
        <f>IFERROR(__xludf.DUMMYFUNCTION("""COMPUTED_VALUE"""),"Sabun batang 1 Box ( 2 PCS )")</f>
        <v>Sabun batang 1 Box ( 2 PCS )</v>
      </c>
      <c r="H1236" s="469" t="str">
        <f>IFERROR(__xludf.DUMMYFUNCTION("""COMPUTED_VALUE"""),"Sampai")</f>
        <v>Sampai</v>
      </c>
      <c r="I1236" s="470" t="str">
        <f>IFERROR(__xludf.DUMMYFUNCTION("""COMPUTED_VALUE"""),"KIMME")</f>
        <v>KIMME</v>
      </c>
      <c r="J1236" s="471" t="str">
        <f>IFERROR(__xludf.DUMMYFUNCTION("""COMPUTED_VALUE"""),"https://www.tiktok.com/@meamore42/video/7629254606517865736?_r=1&amp;u_code=ee8d791ik7h785&amp;region=&amp;mid=7620963523808824072&amp;preview_pb=0&amp;sharer_language=&amp;_d=0&amp;ec_shared_reflux_dynamic_params=%7B%22placeholder_material_id%22%3A%227629254606517865736%22%2C%22pla"&amp;"ceholder_origin_cover%22%3A%22https%253A%252F%252Fp16-common-sign.tiktokcdn.com%252Ftos-alisg-p-0037%252FoERTCgqeIXqLlTjAKARQwqeWj0SEGDCJIevQN4~tplv-tiktokx-origin.jpeg%253Fdr%253D14572%2526refresh_token%253Da360a5c8%2526x-expires%253D1808204400%2526x-sig"&amp;"nature%253DSx8VU044U%25252BWjmcVUbfQoaxrDuNY%25253D%2526t%253D4d5b0474%2526ps%253D13740610%2526shp%253Dd05b14bd%2526shcp%253D34ff8df6%2526idc%253Dmy3%2526s%253DTIKTOK_AFFILIATE_VIRAL_VIDEO%22%2C%22placeholder_product_id%22%3A%221729427766722726591%22%2C%2"&amp;"2placeholder_video_id%22%3A%227629254606517865736%22%7D&amp;ec_shared_reflux_scene=shop_tab_feed&amp;share_item_id=7629254606517865736&amp;source=h5_t")</f>
        <v>https://www.tiktok.com/@meamore42/video/7629254606517865736?_r=1&amp;u_code=ee8d791ik7h785&amp;region=&amp;mid=7620963523808824072&amp;preview_pb=0&amp;sharer_language=&amp;_d=0&amp;ec_shared_reflux_dynamic_params=%7B%22placeholder_material_id%22%3A%227629254606517865736%22%2C%22placeholder_origin_cover%22%3A%22https%253A%252F%252Fp16-common-sign.tiktokcdn.com%252Ftos-alisg-p-0037%252FoERTCgqeIXqLlTjAKARQwqeWj0SEGDCJIevQN4~tplv-tiktokx-origin.jpeg%253Fdr%253D14572%2526refresh_token%253Da360a5c8%2526x-expires%253D1808204400%2526x-signature%253DSx8VU044U%25252BWjmcVUbfQoaxrDuNY%25253D%2526t%253D4d5b0474%2526ps%253D13740610%2526shp%253Dd05b14bd%2526shcp%253D34ff8df6%2526idc%253Dmy3%2526s%253DTIKTOK_AFFILIATE_VIRAL_VIDEO%22%2C%22placeholder_product_id%22%3A%221729427766722726591%22%2C%22placeholder_video_id%22%3A%227629254606517865736%22%7D&amp;ec_shared_reflux_scene=shop_tab_feed&amp;share_item_id=7629254606517865736&amp;source=h5_t</v>
      </c>
      <c r="K1236" s="470" t="str">
        <f>IFERROR(__xludf.DUMMYFUNCTION("""COMPUTED_VALUE"""),"KIMME")</f>
        <v>KIMME</v>
      </c>
      <c r="L1236" s="471" t="str">
        <f>IFERROR(__xludf.DUMMYFUNCTION("""COMPUTED_VALUE"""),"https://www.tiktok.com/@meamore42/video/7631395374527221000?_r=1&amp;u_code=ee8d791ik7h785&amp;region=&amp;mid=7242034045985852165&amp;preview_pb=0&amp;sharer_language=&amp;_d=0&amp;ec_shared_reflux_dynamic_params=%7B%22placeholder_material_id%22%3A%227631395374527221000%22%2C%22pla"&amp;"ceholder_origin_cover%22%3A%22https%253A%252F%252Fp16-sign-sg.tiktokcdn.com%252Ftos-alisg-p-0037%252FosIjLoTAF8JOJndoGDIfe0LTNJCCSAewIKIAob~tplv-tiktokx-origin.jpeg%253Fdr%253D14572%2526refresh_token%253D82ab031e%2526x-expires%253D1808474400%2526x-signatu"&amp;"re%253DytaPNrPtFXR4pr7VTESNI8Zgrj8%25253D%2526t%253D4d5b0474%2526ps%253D13740610%2526shp%253Dd05b14bd%2526shcp%253D34ff8df6%2526idc%253Dmy3%2526s%253DTIKTOK_AFFILIATE_VIRAL_VIDEO%22%2C%22placeholder_product_id%22%3A%221729427766722726591%22%2C%22placehold"&amp;"er_video_id%22%3A%227631395374527221000%22%7D&amp;ec_shared_reflux_scene=shop_tab_feed&amp;share_item_id=7631395374527221000&amp;source=h5_t")</f>
        <v>https://www.tiktok.com/@meamore42/video/7631395374527221000?_r=1&amp;u_code=ee8d791ik7h785&amp;region=&amp;mid=7242034045985852165&amp;preview_pb=0&amp;sharer_language=&amp;_d=0&amp;ec_shared_reflux_dynamic_params=%7B%22placeholder_material_id%22%3A%227631395374527221000%22%2C%22placeholder_origin_cover%22%3A%22https%253A%252F%252Fp16-sign-sg.tiktokcdn.com%252Ftos-alisg-p-0037%252FosIjLoTAF8JOJndoGDIfe0LTNJCCSAewIKIAob~tplv-tiktokx-origin.jpeg%253Fdr%253D14572%2526refresh_token%253D82ab031e%2526x-expires%253D1808474400%2526x-signature%253DytaPNrPtFXR4pr7VTESNI8Zgrj8%25253D%2526t%253D4d5b0474%2526ps%253D13740610%2526shp%253Dd05b14bd%2526shcp%253D34ff8df6%2526idc%253Dmy3%2526s%253DTIKTOK_AFFILIATE_VIRAL_VIDEO%22%2C%22placeholder_product_id%22%3A%221729427766722726591%22%2C%22placeholder_video_id%22%3A%227631395374527221000%22%7D&amp;ec_shared_reflux_scene=shop_tab_feed&amp;share_item_id=7631395374527221000&amp;source=h5_t</v>
      </c>
      <c r="M1236" s="470"/>
      <c r="N1236" s="471" t="str">
        <f>IFERROR(__xludf.DUMMYFUNCTION("""COMPUTED_VALUE"""),"https://www.tiktok.com/@meamore42/video/7632150795554704647?_r=1&amp;u_code=ee8d791ik7h785&amp;region=&amp;mid=7257475128967400197&amp;preview_pb=0&amp;sharer_language=&amp;_d=0&amp;ec_shared_reflux_dynamic_params=%7B%22placeholder_material_id%22%3A%227632150795554704647%22%2C%22pla"&amp;"ceholder_origin_cover%22%3A%22https%253A%252F%252Fp16-common-sign.tiktokcdn.com%252Ftos-alisg-p-0037%252FoIIEqFpJtBOwBGDLIfHNrcCgE92Ct6iyfriARM~tplv-tiktokx-origin.jpeg%253Fdr%253D14572%2526refresh_token%253D7e0407a2%2526x-expires%253D1808992800%2526x-sig"&amp;"nature%253DIMtFtCxvaBaDJj6Et5%25252BeFPOJ7d4%25253D%2526t%253D4d5b0474%2526ps%253D13740610%2526shp%253Dd05b14bd%2526shcp%253D34ff8df6%2526idc%253Dmy2%2526s%253DTIKTOK_AFFILIATE_VIRAL_VIDEO%22%2C%22placeholder_product_id%22%3A%221729427766722726591%22%2C%2"&amp;"2placeholder_video_id%22%3A%227632150795554704647%22%7D&amp;ec_shared_reflux_scene=shop_tab_feed&amp;share_item_id=7632150795554704647&amp;source=h5_t")</f>
        <v>https://www.tiktok.com/@meamore42/video/7632150795554704647?_r=1&amp;u_code=ee8d791ik7h785&amp;region=&amp;mid=7257475128967400197&amp;preview_pb=0&amp;sharer_language=&amp;_d=0&amp;ec_shared_reflux_dynamic_params=%7B%22placeholder_material_id%22%3A%227632150795554704647%22%2C%22placeholder_origin_cover%22%3A%22https%253A%252F%252Fp16-common-sign.tiktokcdn.com%252Ftos-alisg-p-0037%252FoIIEqFpJtBOwBGDLIfHNrcCgE92Ct6iyfriARM~tplv-tiktokx-origin.jpeg%253Fdr%253D14572%2526refresh_token%253D7e0407a2%2526x-expires%253D1808992800%2526x-signature%253DIMtFtCxvaBaDJj6Et5%25252BeFPOJ7d4%25253D%2526t%253D4d5b0474%2526ps%253D13740610%2526shp%253Dd05b14bd%2526shcp%253D34ff8df6%2526idc%253Dmy2%2526s%253DTIKTOK_AFFILIATE_VIRAL_VIDEO%22%2C%22placeholder_product_id%22%3A%221729427766722726591%22%2C%22placeholder_video_id%22%3A%227632150795554704647%22%7D&amp;ec_shared_reflux_scene=shop_tab_feed&amp;share_item_id=7632150795554704647&amp;source=h5_t</v>
      </c>
      <c r="O1236" s="470"/>
      <c r="P1236" s="471" t="str">
        <f>IFERROR(__xludf.DUMMYFUNCTION("""COMPUTED_VALUE"""),"https://www.tiktok.com/@meamore42/video/7633681620091931922?_r=1&amp;u_code=ee8d791ik7h785&amp;region=&amp;mid=7627687221567310593&amp;preview_pb=0&amp;sharer_language=&amp;_d=0&amp;ec_shared_reflux_dynamic_params=%7B%22placeholder_material_id%22%3A%227633681620091931922%22%2C%22pla"&amp;"ceholder_origin_cover%22%3A%22https%253A%252F%252Fp16-common-sign.tiktokcdn.com%252Ftos-alisg-p-0037%252FoUH4GeOLIIvgQQSHoDTALCewQMjJAeiGvDpqh5~tplv-tiktokx-origin.jpeg%253Fdr%253D14572%2526refresh_token%253Db078e9c0%2526x-expires%253D1808992800%2526x-sig"&amp;"nature%253DCuickUc0iCCc4V5p2bpTCkyyauE%25253D%2526t%253D4d5b0474%2526ps%253D13740610%2526shp%253Dd05b14bd%2526shcp%253D34ff8df6%2526idc%253Dmy2%2526s%253DTIKTOK_AFFILIATE_VIRAL_VIDEO%22%2C%22placeholder_product_id%22%3A%221729427766722726591%22%2C%22place"&amp;"holder_video_id%22%3A%227633681620091931922%22%7D&amp;ec_shared_reflux_scene=shop_tab_feed&amp;share_item_id=7633681620091931922&amp;source=h5_t")</f>
        <v>https://www.tiktok.com/@meamore42/video/7633681620091931922?_r=1&amp;u_code=ee8d791ik7h785&amp;region=&amp;mid=7627687221567310593&amp;preview_pb=0&amp;sharer_language=&amp;_d=0&amp;ec_shared_reflux_dynamic_params=%7B%22placeholder_material_id%22%3A%227633681620091931922%22%2C%22placeholder_origin_cover%22%3A%22https%253A%252F%252Fp16-common-sign.tiktokcdn.com%252Ftos-alisg-p-0037%252FoUH4GeOLIIvgQQSHoDTALCewQMjJAeiGvDpqh5~tplv-tiktokx-origin.jpeg%253Fdr%253D14572%2526refresh_token%253Db078e9c0%2526x-expires%253D1808992800%2526x-signature%253DCuickUc0iCCc4V5p2bpTCkyyauE%25253D%2526t%253D4d5b0474%2526ps%253D13740610%2526shp%253Dd05b14bd%2526shcp%253D34ff8df6%2526idc%253Dmy2%2526s%253DTIKTOK_AFFILIATE_VIRAL_VIDEO%22%2C%22placeholder_product_id%22%3A%221729427766722726591%22%2C%22placeholder_video_id%22%3A%227633681620091931922%22%7D&amp;ec_shared_reflux_scene=shop_tab_feed&amp;share_item_id=7633681620091931922&amp;source=h5_t</v>
      </c>
    </row>
    <row r="1237">
      <c r="A1237" s="282" t="str">
        <f>IFERROR(__xludf.DUMMYFUNCTION("""COMPUTED_VALUE"""),"MICRO")</f>
        <v>MICRO</v>
      </c>
      <c r="B1237" s="468" t="str">
        <f>IFERROR(__xludf.DUMMYFUNCTION("""COMPUTED_VALUE"""),"bbstore25")</f>
        <v>bbstore25</v>
      </c>
      <c r="C1237" s="283" t="str">
        <f>IFERROR(__xludf.DUMMYFUNCTION("""COMPUTED_VALUE"""),"https://www.tiktok.com/@bbstore25")</f>
        <v>https://www.tiktok.com/@bbstore25</v>
      </c>
      <c r="D1237" s="273">
        <f>IFERROR(__xludf.DUMMYFUNCTION("""COMPUTED_VALUE"""),8.2372301911E10)</f>
        <v>82372301911</v>
      </c>
      <c r="E1237" s="458">
        <f>IFERROR(__xludf.DUMMYFUNCTION("""COMPUTED_VALUE"""),0.0)</f>
        <v>0</v>
      </c>
      <c r="F1237" s="273">
        <f>IFERROR(__xludf.DUMMYFUNCTION("""COMPUTED_VALUE"""),1.0)</f>
        <v>1</v>
      </c>
      <c r="G1237" t="str">
        <f>IFERROR(__xludf.DUMMYFUNCTION("""COMPUTED_VALUE"""),"Sabun batang 1 Box ( 2 PCS )")</f>
        <v>Sabun batang 1 Box ( 2 PCS )</v>
      </c>
      <c r="H1237" s="469" t="str">
        <f>IFERROR(__xludf.DUMMYFUNCTION("""COMPUTED_VALUE"""),"Sampai")</f>
        <v>Sampai</v>
      </c>
      <c r="I1237" s="470" t="str">
        <f>IFERROR(__xludf.DUMMYFUNCTION("""COMPUTED_VALUE"""),"KIMME")</f>
        <v>KIMME</v>
      </c>
      <c r="J1237" s="471" t="str">
        <f>IFERROR(__xludf.DUMMYFUNCTION("""COMPUTED_VALUE"""),"https://vt.tiktok.com/ZS9YHXyNm/")</f>
        <v>https://vt.tiktok.com/ZS9YHXyNm/</v>
      </c>
      <c r="K1237" s="470" t="str">
        <f>IFERROR(__xludf.DUMMYFUNCTION("""COMPUTED_VALUE"""),"KIMME")</f>
        <v>KIMME</v>
      </c>
      <c r="L1237" s="471" t="str">
        <f>IFERROR(__xludf.DUMMYFUNCTION("""COMPUTED_VALUE"""),"https://vt.tiktok.com/ZS9BvQ845/")</f>
        <v>https://vt.tiktok.com/ZS9BvQ845/</v>
      </c>
      <c r="M1237" s="470"/>
      <c r="N1237" s="471" t="str">
        <f>IFERROR(__xludf.DUMMYFUNCTION("""COMPUTED_VALUE"""),"https://vt.tiktok.com/ZS9SMWJBS/")</f>
        <v>https://vt.tiktok.com/ZS9SMWJBS/</v>
      </c>
      <c r="O1237" s="470"/>
      <c r="P1237" s="471" t="str">
        <f>IFERROR(__xludf.DUMMYFUNCTION("""COMPUTED_VALUE"""),"https://vt.tiktok.com/ZS9Sh4LUQ/")</f>
        <v>https://vt.tiktok.com/ZS9Sh4LUQ/</v>
      </c>
    </row>
    <row r="1238">
      <c r="A1238" s="282" t="str">
        <f>IFERROR(__xludf.DUMMYFUNCTION("""COMPUTED_VALUE"""),"MICRO")</f>
        <v>MICRO</v>
      </c>
      <c r="B1238" s="468" t="str">
        <f>IFERROR(__xludf.DUMMYFUNCTION("""COMPUTED_VALUE"""),"jhstorage")</f>
        <v>jhstorage</v>
      </c>
      <c r="C1238" s="283" t="str">
        <f>IFERROR(__xludf.DUMMYFUNCTION("""COMPUTED_VALUE"""),"https://www.tiktok.com/@jhstorage")</f>
        <v>https://www.tiktok.com/@jhstorage</v>
      </c>
      <c r="D1238" s="273">
        <f>IFERROR(__xludf.DUMMYFUNCTION("""COMPUTED_VALUE"""),8.5220516143E10)</f>
        <v>85220516143</v>
      </c>
      <c r="E1238" s="458">
        <f>IFERROR(__xludf.DUMMYFUNCTION("""COMPUTED_VALUE"""),0.0)</f>
        <v>0</v>
      </c>
      <c r="F1238" s="273">
        <f>IFERROR(__xludf.DUMMYFUNCTION("""COMPUTED_VALUE"""),4.0)</f>
        <v>4</v>
      </c>
      <c r="G1238" t="str">
        <f>IFERROR(__xludf.DUMMYFUNCTION("""COMPUTED_VALUE"""),"Sabun batang 1 Box ( 2 PCS )")</f>
        <v>Sabun batang 1 Box ( 2 PCS )</v>
      </c>
      <c r="H1238" s="469" t="str">
        <f>IFERROR(__xludf.DUMMYFUNCTION("""COMPUTED_VALUE"""),"Sampai")</f>
        <v>Sampai</v>
      </c>
      <c r="I1238" s="470" t="str">
        <f>IFERROR(__xludf.DUMMYFUNCTION("""COMPUTED_VALUE"""),"KIMME")</f>
        <v>KIMME</v>
      </c>
      <c r="J1238" s="471" t="str">
        <f>IFERROR(__xludf.DUMMYFUNCTION("""COMPUTED_VALUE"""),"https://vt.tiktok.com/ZS9YHXyNm/")</f>
        <v>https://vt.tiktok.com/ZS9YHXyNm/</v>
      </c>
      <c r="K1238" s="470" t="str">
        <f>IFERROR(__xludf.DUMMYFUNCTION("""COMPUTED_VALUE"""),"KIMME")</f>
        <v>KIMME</v>
      </c>
      <c r="L1238" s="471" t="str">
        <f>IFERROR(__xludf.DUMMYFUNCTION("""COMPUTED_VALUE"""),"https://vt.tiktok.com/ZS9BvQ845/")</f>
        <v>https://vt.tiktok.com/ZS9BvQ845/</v>
      </c>
      <c r="M1238" s="470"/>
      <c r="N1238" s="471" t="str">
        <f>IFERROR(__xludf.DUMMYFUNCTION("""COMPUTED_VALUE"""),"https://vt.tiktok.com/ZS9SMWJBS/")</f>
        <v>https://vt.tiktok.com/ZS9SMWJBS/</v>
      </c>
      <c r="O1238" s="470"/>
      <c r="P1238" s="471" t="str">
        <f>IFERROR(__xludf.DUMMYFUNCTION("""COMPUTED_VALUE"""),"https://vt.tiktok.com/ZS9Sh4LUQ/")</f>
        <v>https://vt.tiktok.com/ZS9Sh4LUQ/</v>
      </c>
    </row>
    <row r="1239">
      <c r="A1239" s="282" t="str">
        <f>IFERROR(__xludf.DUMMYFUNCTION("""COMPUTED_VALUE"""),"MICRO")</f>
        <v>MICRO</v>
      </c>
      <c r="B1239" s="468" t="str">
        <f>IFERROR(__xludf.DUMMYFUNCTION("""COMPUTED_VALUE"""),"thiaaa93")</f>
        <v>thiaaa93</v>
      </c>
      <c r="C1239" s="283" t="str">
        <f>IFERROR(__xludf.DUMMYFUNCTION("""COMPUTED_VALUE"""),"https://www.tiktok.com/@thiaaa93")</f>
        <v>https://www.tiktok.com/@thiaaa93</v>
      </c>
      <c r="D1239" s="273">
        <f>IFERROR(__xludf.DUMMYFUNCTION("""COMPUTED_VALUE"""),8.5177128152E10)</f>
        <v>85177128152</v>
      </c>
      <c r="E1239" s="458">
        <f>IFERROR(__xludf.DUMMYFUNCTION("""COMPUTED_VALUE"""),0.0)</f>
        <v>0</v>
      </c>
      <c r="F1239" s="273">
        <f>IFERROR(__xludf.DUMMYFUNCTION("""COMPUTED_VALUE"""),4.0)</f>
        <v>4</v>
      </c>
      <c r="G1239" t="str">
        <f>IFERROR(__xludf.DUMMYFUNCTION("""COMPUTED_VALUE"""),"Sabun batang 1 Box ( 2 PCS )")</f>
        <v>Sabun batang 1 Box ( 2 PCS )</v>
      </c>
      <c r="H1239" s="469" t="str">
        <f>IFERROR(__xludf.DUMMYFUNCTION("""COMPUTED_VALUE"""),"Sampai")</f>
        <v>Sampai</v>
      </c>
      <c r="I1239" s="470" t="str">
        <f>IFERROR(__xludf.DUMMYFUNCTION("""COMPUTED_VALUE"""),"KIMME")</f>
        <v>KIMME</v>
      </c>
      <c r="J1239" s="471" t="str">
        <f>IFERROR(__xludf.DUMMYFUNCTION("""COMPUTED_VALUE"""),"https://vt.tiktok.com/ZS9YHXyNm/")</f>
        <v>https://vt.tiktok.com/ZS9YHXyNm/</v>
      </c>
      <c r="K1239" s="470" t="str">
        <f>IFERROR(__xludf.DUMMYFUNCTION("""COMPUTED_VALUE"""),"KIMME")</f>
        <v>KIMME</v>
      </c>
      <c r="L1239" s="471" t="str">
        <f>IFERROR(__xludf.DUMMYFUNCTION("""COMPUTED_VALUE"""),"https://vt.tiktok.com/ZS9BvQ845/")</f>
        <v>https://vt.tiktok.com/ZS9BvQ845/</v>
      </c>
      <c r="M1239" s="470"/>
      <c r="N1239" s="471" t="str">
        <f>IFERROR(__xludf.DUMMYFUNCTION("""COMPUTED_VALUE"""),"https://vt.tiktok.com/ZS9SMWJBS/")</f>
        <v>https://vt.tiktok.com/ZS9SMWJBS/</v>
      </c>
      <c r="O1239" s="470"/>
      <c r="P1239" s="471" t="str">
        <f>IFERROR(__xludf.DUMMYFUNCTION("""COMPUTED_VALUE"""),"https://vt.tiktok.com/ZS9Sh4LUQ/")</f>
        <v>https://vt.tiktok.com/ZS9Sh4LUQ/</v>
      </c>
    </row>
    <row r="1240">
      <c r="A1240" s="282" t="str">
        <f>IFERROR(__xludf.DUMMYFUNCTION("""COMPUTED_VALUE"""),"MICRO")</f>
        <v>MICRO</v>
      </c>
      <c r="B1240" s="468" t="str">
        <f>IFERROR(__xludf.DUMMYFUNCTION("""COMPUTED_VALUE"""),"rkmyng ")</f>
        <v>rkmyng </v>
      </c>
      <c r="C1240" s="283" t="str">
        <f>IFERROR(__xludf.DUMMYFUNCTION("""COMPUTED_VALUE"""),"https://www.tiktok.com/@rkmyng ")</f>
        <v>https://www.tiktok.com/@rkmyng </v>
      </c>
      <c r="D1240" s="273">
        <f>IFERROR(__xludf.DUMMYFUNCTION("""COMPUTED_VALUE"""),8.3121817656E10)</f>
        <v>83121817656</v>
      </c>
      <c r="E1240" s="458">
        <f>IFERROR(__xludf.DUMMYFUNCTION("""COMPUTED_VALUE"""),200000.0)</f>
        <v>200000</v>
      </c>
      <c r="F1240" s="273">
        <f>IFERROR(__xludf.DUMMYFUNCTION("""COMPUTED_VALUE"""),4.0)</f>
        <v>4</v>
      </c>
      <c r="G1240" t="str">
        <f>IFERROR(__xludf.DUMMYFUNCTION("""COMPUTED_VALUE"""),"Sabun batang 1 Box ( 2 PCS )")</f>
        <v>Sabun batang 1 Box ( 2 PCS )</v>
      </c>
      <c r="H1240" s="469" t="str">
        <f>IFERROR(__xludf.DUMMYFUNCTION("""COMPUTED_VALUE"""),"Sampai")</f>
        <v>Sampai</v>
      </c>
      <c r="I1240" s="470" t="str">
        <f>IFERROR(__xludf.DUMMYFUNCTION("""COMPUTED_VALUE"""),"KIMME")</f>
        <v>KIMME</v>
      </c>
      <c r="J1240" s="471" t="str">
        <f>IFERROR(__xludf.DUMMYFUNCTION("""COMPUTED_VALUE"""),"https://www.tiktok.com/@rkmyng/video/7637928452775021844?_r=1&amp;u_code=d6ekdaheggk4le&amp;region=&amp;mid=7597826507306306312&amp;preview_pb=0&amp;sharer_language=&amp;_d=0&amp;ec_shared_reflux_dynamic_params=%7B%22placeholder_material_id%22%3A%227637928452775021844%22%2C%22placeh"&amp;"older_origin_cover%22%3A%22https%253A%252F%252Fp16-common-sign.tiktokcdn.com%252Ftos-alisg-p-0037%252FoQm3XTQHfACMCKDdI4Zf9zQAHFjD1fUiP4EQDA~tplv-tiktokx-origin.jpeg%253Fdr%253D14572%2526refresh_token%253D9dd47fc1%2526x-expires%253D1810202400%2526x-signat"&amp;"ure%253D9BQpgtG0jA5ZTEDQEz5YwKoWCGE%25253D%2526t%253D4d5b0474%2526ps%253D13740610%2526shp%253Dd05b14bd%2526shcp%253D34ff8df6%2526idc%253Dmy2%2526s%253DTIKTOK_AFFILIATE_VIRAL_VIDEO%22%2C%22placeholder_product_id%22%3A%221729427766722726591%22%2C%22placehol"&amp;"der_video_id%22%3A%227637928452775021844%22%7D&amp;ec_shared_reflux_scene=shop_tab_feed&amp;share_item_id=7637928452775021844&amp;source=h5_t")</f>
        <v>https://www.tiktok.com/@rkmyng/video/7637928452775021844?_r=1&amp;u_code=d6ekdaheggk4le&amp;region=&amp;mid=7597826507306306312&amp;preview_pb=0&amp;sharer_language=&amp;_d=0&amp;ec_shared_reflux_dynamic_params=%7B%22placeholder_material_id%22%3A%227637928452775021844%22%2C%22placeholder_origin_cover%22%3A%22https%253A%252F%252Fp16-common-sign.tiktokcdn.com%252Ftos-alisg-p-0037%252FoQm3XTQHfACMCKDdI4Zf9zQAHFjD1fUiP4EQDA~tplv-tiktokx-origin.jpeg%253Fdr%253D14572%2526refresh_token%253D9dd47fc1%2526x-expires%253D1810202400%2526x-signature%253D9BQpgtG0jA5ZTEDQEz5YwKoWCGE%25253D%2526t%253D4d5b0474%2526ps%253D13740610%2526shp%253Dd05b14bd%2526shcp%253D34ff8df6%2526idc%253Dmy2%2526s%253DTIKTOK_AFFILIATE_VIRAL_VIDEO%22%2C%22placeholder_product_id%22%3A%221729427766722726591%22%2C%22placeholder_video_id%22%3A%227637928452775021844%22%7D&amp;ec_shared_reflux_scene=shop_tab_feed&amp;share_item_id=7637928452775021844&amp;source=h5_t</v>
      </c>
      <c r="K1240" s="470" t="str">
        <f>IFERROR(__xludf.DUMMYFUNCTION("""COMPUTED_VALUE"""),"KIMME")</f>
        <v>KIMME</v>
      </c>
      <c r="L1240" s="471" t="str">
        <f>IFERROR(__xludf.DUMMYFUNCTION("""COMPUTED_VALUE"""),"https://www.tiktok.com/@rkmyng/video/7633791674107301140?_r=1&amp;u_code=d6ekdaheggk4le&amp;region=&amp;mid=7541754702423444230&amp;preview_pb=0&amp;sharer_language=&amp;_d=0&amp;ec_shared_reflux_dynamic_params=%7B%22placeholder_material_id%22%3A%227633791674107301140%22%2C%22placeh"&amp;"older_origin_cover%22%3A%22https%253A%252F%252Fp16-common-sign.tiktokcdn.com%252Ftos-alisg-p-0037%252FoYgIhLTEVCODDwG8geUl34EAIeW4M49r6foAjj~tplv-tiktokx-origin.jpeg%253Fdr%253D14572%2526refresh_token%253D026b48c6%2526x-expires%253D1810202400%2526x-signat"&amp;"ure%253DidA%25252FJjuh4W7i1kGfEw1PW7YFhvQ%25253D%2526t%253D4d5b0474%2526ps%253D13740610%2526shp%253Dd05b14bd%2526shcp%253D34ff8df6%2526idc%253Dmy2%2526s%253DTIKTOK_AFFILIATE_VIRAL_VIDEO%22%2C%22placeholder_product_id%22%3A%221729427766722726591%22%2C%22pl"&amp;"aceholder_video_id%22%3A%227633791674107301140%22%7D&amp;ec_shared_reflux_scene=shop_tab_feed&amp;share_item_id=7633791674107301140&amp;source=h5_t")</f>
        <v>https://www.tiktok.com/@rkmyng/video/7633791674107301140?_r=1&amp;u_code=d6ekdaheggk4le&amp;region=&amp;mid=7541754702423444230&amp;preview_pb=0&amp;sharer_language=&amp;_d=0&amp;ec_shared_reflux_dynamic_params=%7B%22placeholder_material_id%22%3A%227633791674107301140%22%2C%22placeholder_origin_cover%22%3A%22https%253A%252F%252Fp16-common-sign.tiktokcdn.com%252Ftos-alisg-p-0037%252FoYgIhLTEVCODDwG8geUl34EAIeW4M49r6foAjj~tplv-tiktokx-origin.jpeg%253Fdr%253D14572%2526refresh_token%253D026b48c6%2526x-expires%253D1810202400%2526x-signature%253DidA%25252FJjuh4W7i1kGfEw1PW7YFhvQ%25253D%2526t%253D4d5b0474%2526ps%253D13740610%2526shp%253Dd05b14bd%2526shcp%253D34ff8df6%2526idc%253Dmy2%2526s%253DTIKTOK_AFFILIATE_VIRAL_VIDEO%22%2C%22placeholder_product_id%22%3A%221729427766722726591%22%2C%22placeholder_video_id%22%3A%227633791674107301140%22%7D&amp;ec_shared_reflux_scene=shop_tab_feed&amp;share_item_id=7633791674107301140&amp;source=h5_t</v>
      </c>
      <c r="M1240" s="470"/>
      <c r="N1240" t="str">
        <f>IFERROR(__xludf.DUMMYFUNCTION("""COMPUTED_VALUE"""),"⁠https://vt.tiktok.com/ZSxHNbTrn/")</f>
        <v>⁠https://vt.tiktok.com/ZSxHNbTrn/</v>
      </c>
      <c r="O1240" s="470"/>
      <c r="P1240" t="str">
        <f>IFERROR(__xludf.DUMMYFUNCTION("""COMPUTED_VALUE"""),"⁠https://vt.tiktok.com/ZSxHNthMd/")</f>
        <v>⁠https://vt.tiktok.com/ZSxHNthMd/</v>
      </c>
    </row>
    <row r="1241">
      <c r="A1241" s="282" t="str">
        <f>IFERROR(__xludf.DUMMYFUNCTION("""COMPUTED_VALUE"""),"MICRO")</f>
        <v>MICRO</v>
      </c>
      <c r="B1241" s="468" t="str">
        <f>IFERROR(__xludf.DUMMYFUNCTION("""COMPUTED_VALUE"""),"pupud__")</f>
        <v>pupud__</v>
      </c>
      <c r="C1241" s="283" t="str">
        <f>IFERROR(__xludf.DUMMYFUNCTION("""COMPUTED_VALUE"""),"https://www.tiktok.com/@pupud__")</f>
        <v>https://www.tiktok.com/@pupud__</v>
      </c>
      <c r="D1241" s="273">
        <f>IFERROR(__xludf.DUMMYFUNCTION("""COMPUTED_VALUE"""),8.951468751E10)</f>
        <v>89514687510</v>
      </c>
      <c r="E1241" s="458">
        <f>IFERROR(__xludf.DUMMYFUNCTION("""COMPUTED_VALUE"""),0.0)</f>
        <v>0</v>
      </c>
      <c r="F1241" s="273">
        <f>IFERROR(__xludf.DUMMYFUNCTION("""COMPUTED_VALUE"""),4.0)</f>
        <v>4</v>
      </c>
      <c r="G1241" t="str">
        <f>IFERROR(__xludf.DUMMYFUNCTION("""COMPUTED_VALUE"""),"Sabun batang 1 Box ( 2 PCS )")</f>
        <v>Sabun batang 1 Box ( 2 PCS )</v>
      </c>
      <c r="H1241" s="469" t="str">
        <f>IFERROR(__xludf.DUMMYFUNCTION("""COMPUTED_VALUE"""),"Sampai")</f>
        <v>Sampai</v>
      </c>
      <c r="I1241" s="470" t="str">
        <f>IFERROR(__xludf.DUMMYFUNCTION("""COMPUTED_VALUE"""),"KIMME")</f>
        <v>KIMME</v>
      </c>
      <c r="J1241" s="471" t="str">
        <f>IFERROR(__xludf.DUMMYFUNCTION("""COMPUTED_VALUE"""),"https://vt.tiktok.com/ZS9YHXyNm/")</f>
        <v>https://vt.tiktok.com/ZS9YHXyNm/</v>
      </c>
      <c r="K1241" s="470" t="str">
        <f>IFERROR(__xludf.DUMMYFUNCTION("""COMPUTED_VALUE"""),"KIMME")</f>
        <v>KIMME</v>
      </c>
      <c r="L1241" s="471" t="str">
        <f>IFERROR(__xludf.DUMMYFUNCTION("""COMPUTED_VALUE"""),"https://vt.tiktok.com/ZS9BvQ845/")</f>
        <v>https://vt.tiktok.com/ZS9BvQ845/</v>
      </c>
      <c r="M1241" s="470"/>
      <c r="N1241" s="471" t="str">
        <f>IFERROR(__xludf.DUMMYFUNCTION("""COMPUTED_VALUE"""),"https://vt.tiktok.com/ZS9SMWJBS/")</f>
        <v>https://vt.tiktok.com/ZS9SMWJBS/</v>
      </c>
      <c r="O1241" s="470"/>
      <c r="P1241" s="471" t="str">
        <f>IFERROR(__xludf.DUMMYFUNCTION("""COMPUTED_VALUE"""),"https://vt.tiktok.com/ZS9Sh4LUQ/")</f>
        <v>https://vt.tiktok.com/ZS9Sh4LUQ/</v>
      </c>
    </row>
    <row r="1242">
      <c r="A1242" s="282" t="str">
        <f>IFERROR(__xludf.DUMMYFUNCTION("""COMPUTED_VALUE"""),"MICRO")</f>
        <v>MICRO</v>
      </c>
      <c r="B1242" s="468" t="str">
        <f>IFERROR(__xludf.DUMMYFUNCTION("""COMPUTED_VALUE"""),"Ayiamandaazh")</f>
        <v>Ayiamandaazh</v>
      </c>
      <c r="C1242" s="283" t="str">
        <f>IFERROR(__xludf.DUMMYFUNCTION("""COMPUTED_VALUE"""),"https://www.tiktok.com/@Ayiamandaazh")</f>
        <v>https://www.tiktok.com/@Ayiamandaazh</v>
      </c>
      <c r="D1242" s="273">
        <f>IFERROR(__xludf.DUMMYFUNCTION("""COMPUTED_VALUE"""),8.3134615061E10)</f>
        <v>83134615061</v>
      </c>
      <c r="E1242" s="458">
        <f>IFERROR(__xludf.DUMMYFUNCTION("""COMPUTED_VALUE"""),0.0)</f>
        <v>0</v>
      </c>
      <c r="F1242" s="273">
        <f>IFERROR(__xludf.DUMMYFUNCTION("""COMPUTED_VALUE"""),2.0)</f>
        <v>2</v>
      </c>
      <c r="G1242" t="str">
        <f>IFERROR(__xludf.DUMMYFUNCTION("""COMPUTED_VALUE"""),"Sabun batang 1 Box ( 2 PCS )")</f>
        <v>Sabun batang 1 Box ( 2 PCS )</v>
      </c>
      <c r="H1242" s="469" t="str">
        <f>IFERROR(__xludf.DUMMYFUNCTION("""COMPUTED_VALUE"""),"Sampai")</f>
        <v>Sampai</v>
      </c>
      <c r="I1242" s="470" t="str">
        <f>IFERROR(__xludf.DUMMYFUNCTION("""COMPUTED_VALUE"""),"KIMME")</f>
        <v>KIMME</v>
      </c>
      <c r="J1242" s="471" t="str">
        <f>IFERROR(__xludf.DUMMYFUNCTION("""COMPUTED_VALUE"""),"https://vt.tiktok.com/ZS9YHXyNm/")</f>
        <v>https://vt.tiktok.com/ZS9YHXyNm/</v>
      </c>
      <c r="K1242" s="470" t="str">
        <f>IFERROR(__xludf.DUMMYFUNCTION("""COMPUTED_VALUE"""),"KIMME")</f>
        <v>KIMME</v>
      </c>
      <c r="L1242" s="471" t="str">
        <f>IFERROR(__xludf.DUMMYFUNCTION("""COMPUTED_VALUE"""),"https://vt.tiktok.com/ZS9BvQ845/")</f>
        <v>https://vt.tiktok.com/ZS9BvQ845/</v>
      </c>
      <c r="M1242" s="470"/>
      <c r="N1242" s="471" t="str">
        <f>IFERROR(__xludf.DUMMYFUNCTION("""COMPUTED_VALUE"""),"https://vt.tiktok.com/ZS9SMWJBS/")</f>
        <v>https://vt.tiktok.com/ZS9SMWJBS/</v>
      </c>
      <c r="O1242" s="470"/>
      <c r="P1242" s="471" t="str">
        <f>IFERROR(__xludf.DUMMYFUNCTION("""COMPUTED_VALUE"""),"https://vt.tiktok.com/ZS9Sh4LUQ/")</f>
        <v>https://vt.tiktok.com/ZS9Sh4LUQ/</v>
      </c>
    </row>
    <row r="1243">
      <c r="A1243" s="282" t="str">
        <f>IFERROR(__xludf.DUMMYFUNCTION("""COMPUTED_VALUE"""),"MICRO")</f>
        <v>MICRO</v>
      </c>
      <c r="B1243" s="468" t="str">
        <f>IFERROR(__xludf.DUMMYFUNCTION("""COMPUTED_VALUE"""),"nulafeda_")</f>
        <v>nulafeda_</v>
      </c>
      <c r="C1243" s="283" t="str">
        <f>IFERROR(__xludf.DUMMYFUNCTION("""COMPUTED_VALUE"""),"https://www.tiktok.com/@nulafeda_")</f>
        <v>https://www.tiktok.com/@nulafeda_</v>
      </c>
      <c r="D1243" s="273">
        <f>IFERROR(__xludf.DUMMYFUNCTION("""COMPUTED_VALUE"""),8.2336783684E10)</f>
        <v>82336783684</v>
      </c>
      <c r="E1243" s="458">
        <f>IFERROR(__xludf.DUMMYFUNCTION("""COMPUTED_VALUE"""),0.0)</f>
        <v>0</v>
      </c>
      <c r="F1243" s="273">
        <f>IFERROR(__xludf.DUMMYFUNCTION("""COMPUTED_VALUE"""),2.0)</f>
        <v>2</v>
      </c>
      <c r="G1243" t="str">
        <f>IFERROR(__xludf.DUMMYFUNCTION("""COMPUTED_VALUE"""),"Sabun batang 1 Box ( 2 PCS )")</f>
        <v>Sabun batang 1 Box ( 2 PCS )</v>
      </c>
      <c r="H1243" s="469" t="str">
        <f>IFERROR(__xludf.DUMMYFUNCTION("""COMPUTED_VALUE"""),"Sampai")</f>
        <v>Sampai</v>
      </c>
      <c r="I1243" s="470" t="str">
        <f>IFERROR(__xludf.DUMMYFUNCTION("""COMPUTED_VALUE"""),"KIMME")</f>
        <v>KIMME</v>
      </c>
      <c r="J1243" s="471" t="str">
        <f>IFERROR(__xludf.DUMMYFUNCTION("""COMPUTED_VALUE"""),"https://vt.tiktok.com/ZS9YHXyNm/")</f>
        <v>https://vt.tiktok.com/ZS9YHXyNm/</v>
      </c>
      <c r="K1243" s="470" t="str">
        <f>IFERROR(__xludf.DUMMYFUNCTION("""COMPUTED_VALUE"""),"KIMME")</f>
        <v>KIMME</v>
      </c>
      <c r="L1243" s="471" t="str">
        <f>IFERROR(__xludf.DUMMYFUNCTION("""COMPUTED_VALUE"""),"https://vt.tiktok.com/ZS9BvQ845/")</f>
        <v>https://vt.tiktok.com/ZS9BvQ845/</v>
      </c>
      <c r="M1243" s="470"/>
      <c r="N1243" s="471" t="str">
        <f>IFERROR(__xludf.DUMMYFUNCTION("""COMPUTED_VALUE"""),"https://vt.tiktok.com/ZS9SMWJBS/")</f>
        <v>https://vt.tiktok.com/ZS9SMWJBS/</v>
      </c>
      <c r="O1243" s="470"/>
      <c r="P1243" s="471" t="str">
        <f>IFERROR(__xludf.DUMMYFUNCTION("""COMPUTED_VALUE"""),"https://vt.tiktok.com/ZS9Sh4LUQ/")</f>
        <v>https://vt.tiktok.com/ZS9Sh4LUQ/</v>
      </c>
    </row>
    <row r="1244">
      <c r="A1244" s="282" t="str">
        <f>IFERROR(__xludf.DUMMYFUNCTION("""COMPUTED_VALUE"""),"MICRO")</f>
        <v>MICRO</v>
      </c>
      <c r="B1244" s="468" t="str">
        <f>IFERROR(__xludf.DUMMYFUNCTION("""COMPUTED_VALUE"""),"Fwinaa")</f>
        <v>Fwinaa</v>
      </c>
      <c r="C1244" s="283" t="str">
        <f>IFERROR(__xludf.DUMMYFUNCTION("""COMPUTED_VALUE"""),"https://www.tiktok.com/@Fwinaa")</f>
        <v>https://www.tiktok.com/@Fwinaa</v>
      </c>
      <c r="D1244" s="273">
        <f>IFERROR(__xludf.DUMMYFUNCTION("""COMPUTED_VALUE"""),8.95620210583E11)</f>
        <v>895620210583</v>
      </c>
      <c r="E1244" s="458">
        <f>IFERROR(__xludf.DUMMYFUNCTION("""COMPUTED_VALUE"""),0.0)</f>
        <v>0</v>
      </c>
      <c r="F1244" s="273">
        <f>IFERROR(__xludf.DUMMYFUNCTION("""COMPUTED_VALUE"""),4.0)</f>
        <v>4</v>
      </c>
      <c r="G1244" t="str">
        <f>IFERROR(__xludf.DUMMYFUNCTION("""COMPUTED_VALUE"""),"Sabun batang 1 Box ( 2 PCS )")</f>
        <v>Sabun batang 1 Box ( 2 PCS )</v>
      </c>
      <c r="H1244" s="469" t="str">
        <f>IFERROR(__xludf.DUMMYFUNCTION("""COMPUTED_VALUE"""),"Sampai")</f>
        <v>Sampai</v>
      </c>
      <c r="I1244" s="470" t="str">
        <f>IFERROR(__xludf.DUMMYFUNCTION("""COMPUTED_VALUE"""),"KIMME")</f>
        <v>KIMME</v>
      </c>
      <c r="J1244" s="471" t="str">
        <f>IFERROR(__xludf.DUMMYFUNCTION("""COMPUTED_VALUE"""),"https://vt.tiktok.com/ZS9YHXyNm/")</f>
        <v>https://vt.tiktok.com/ZS9YHXyNm/</v>
      </c>
      <c r="K1244" s="470" t="str">
        <f>IFERROR(__xludf.DUMMYFUNCTION("""COMPUTED_VALUE"""),"KIMME")</f>
        <v>KIMME</v>
      </c>
      <c r="L1244" s="471" t="str">
        <f>IFERROR(__xludf.DUMMYFUNCTION("""COMPUTED_VALUE"""),"https://vt.tiktok.com/ZS9BvQ845/")</f>
        <v>https://vt.tiktok.com/ZS9BvQ845/</v>
      </c>
      <c r="M1244" s="470"/>
      <c r="N1244" s="471" t="str">
        <f>IFERROR(__xludf.DUMMYFUNCTION("""COMPUTED_VALUE"""),"https://vt.tiktok.com/ZS9SMWJBS/")</f>
        <v>https://vt.tiktok.com/ZS9SMWJBS/</v>
      </c>
      <c r="O1244" s="470"/>
      <c r="P1244" s="471" t="str">
        <f>IFERROR(__xludf.DUMMYFUNCTION("""COMPUTED_VALUE"""),"https://vt.tiktok.com/ZS9Sh4LUQ/")</f>
        <v>https://vt.tiktok.com/ZS9Sh4LUQ/</v>
      </c>
    </row>
    <row r="1245">
      <c r="A1245" s="282" t="str">
        <f>IFERROR(__xludf.DUMMYFUNCTION("""COMPUTED_VALUE"""),"MICRO")</f>
        <v>MICRO</v>
      </c>
      <c r="B1245" s="468" t="str">
        <f>IFERROR(__xludf.DUMMYFUNCTION("""COMPUTED_VALUE"""),"itssoyaa24")</f>
        <v>itssoyaa24</v>
      </c>
      <c r="C1245" s="283" t="str">
        <f>IFERROR(__xludf.DUMMYFUNCTION("""COMPUTED_VALUE"""),"https://www.tiktok.com/@itssoyaa24")</f>
        <v>https://www.tiktok.com/@itssoyaa24</v>
      </c>
      <c r="D1245" s="273">
        <f>IFERROR(__xludf.DUMMYFUNCTION("""COMPUTED_VALUE"""),8.3116895742E10)</f>
        <v>83116895742</v>
      </c>
      <c r="E1245" s="458">
        <f>IFERROR(__xludf.DUMMYFUNCTION("""COMPUTED_VALUE"""),0.0)</f>
        <v>0</v>
      </c>
      <c r="F1245" s="273">
        <f>IFERROR(__xludf.DUMMYFUNCTION("""COMPUTED_VALUE"""),2.0)</f>
        <v>2</v>
      </c>
      <c r="G1245" t="str">
        <f>IFERROR(__xludf.DUMMYFUNCTION("""COMPUTED_VALUE"""),"Sabun batang 1 Box ( 2 PCS )")</f>
        <v>Sabun batang 1 Box ( 2 PCS )</v>
      </c>
      <c r="H1245" s="469" t="str">
        <f>IFERROR(__xludf.DUMMYFUNCTION("""COMPUTED_VALUE"""),"Sampai")</f>
        <v>Sampai</v>
      </c>
      <c r="I1245" s="470" t="str">
        <f>IFERROR(__xludf.DUMMYFUNCTION("""COMPUTED_VALUE"""),"KIMME")</f>
        <v>KIMME</v>
      </c>
      <c r="J1245" s="471" t="str">
        <f>IFERROR(__xludf.DUMMYFUNCTION("""COMPUTED_VALUE"""),"https://vt.tiktok.com/ZS9YHXyNm/")</f>
        <v>https://vt.tiktok.com/ZS9YHXyNm/</v>
      </c>
      <c r="K1245" s="470" t="str">
        <f>IFERROR(__xludf.DUMMYFUNCTION("""COMPUTED_VALUE"""),"KIMME")</f>
        <v>KIMME</v>
      </c>
      <c r="L1245" s="471" t="str">
        <f>IFERROR(__xludf.DUMMYFUNCTION("""COMPUTED_VALUE"""),"https://vt.tiktok.com/ZS9BvQ845/")</f>
        <v>https://vt.tiktok.com/ZS9BvQ845/</v>
      </c>
      <c r="M1245" s="470"/>
      <c r="N1245" s="471" t="str">
        <f>IFERROR(__xludf.DUMMYFUNCTION("""COMPUTED_VALUE"""),"https://vt.tiktok.com/ZS9SMWJBS/")</f>
        <v>https://vt.tiktok.com/ZS9SMWJBS/</v>
      </c>
      <c r="O1245" s="470"/>
      <c r="P1245" s="471" t="str">
        <f>IFERROR(__xludf.DUMMYFUNCTION("""COMPUTED_VALUE"""),"https://vt.tiktok.com/ZS9Sh4LUQ/")</f>
        <v>https://vt.tiktok.com/ZS9Sh4LUQ/</v>
      </c>
    </row>
    <row r="1246">
      <c r="A1246" s="282" t="str">
        <f>IFERROR(__xludf.DUMMYFUNCTION("""COMPUTED_VALUE"""),"MICRO")</f>
        <v>MICRO</v>
      </c>
      <c r="B1246" s="468" t="str">
        <f>IFERROR(__xludf.DUMMYFUNCTION("""COMPUTED_VALUE"""),"hellostupitt")</f>
        <v>hellostupitt</v>
      </c>
      <c r="C1246" s="283" t="str">
        <f>IFERROR(__xludf.DUMMYFUNCTION("""COMPUTED_VALUE"""),"https://www.tiktok.com/@hellostupitt")</f>
        <v>https://www.tiktok.com/@hellostupitt</v>
      </c>
      <c r="D1246" s="273">
        <f>IFERROR(__xludf.DUMMYFUNCTION("""COMPUTED_VALUE"""),8.1806575771E10)</f>
        <v>81806575771</v>
      </c>
      <c r="E1246" s="458">
        <f>IFERROR(__xludf.DUMMYFUNCTION("""COMPUTED_VALUE"""),0.0)</f>
        <v>0</v>
      </c>
      <c r="F1246" s="273">
        <f>IFERROR(__xludf.DUMMYFUNCTION("""COMPUTED_VALUE"""),2.0)</f>
        <v>2</v>
      </c>
      <c r="G1246" t="str">
        <f>IFERROR(__xludf.DUMMYFUNCTION("""COMPUTED_VALUE"""),"Sabun batang 1 Box ( 2 PCS )")</f>
        <v>Sabun batang 1 Box ( 2 PCS )</v>
      </c>
      <c r="H1246" s="469" t="str">
        <f>IFERROR(__xludf.DUMMYFUNCTION("""COMPUTED_VALUE"""),"Sampai")</f>
        <v>Sampai</v>
      </c>
      <c r="I1246" s="470" t="str">
        <f>IFERROR(__xludf.DUMMYFUNCTION("""COMPUTED_VALUE"""),"KIMME")</f>
        <v>KIMME</v>
      </c>
      <c r="J1246" s="471" t="str">
        <f>IFERROR(__xludf.DUMMYFUNCTION("""COMPUTED_VALUE"""),"https://vt.tiktok.com/ZS9YHXyNm/")</f>
        <v>https://vt.tiktok.com/ZS9YHXyNm/</v>
      </c>
      <c r="K1246" s="470" t="str">
        <f>IFERROR(__xludf.DUMMYFUNCTION("""COMPUTED_VALUE"""),"KIMME")</f>
        <v>KIMME</v>
      </c>
      <c r="L1246" s="471" t="str">
        <f>IFERROR(__xludf.DUMMYFUNCTION("""COMPUTED_VALUE"""),"https://vt.tiktok.com/ZS9BvQ845/")</f>
        <v>https://vt.tiktok.com/ZS9BvQ845/</v>
      </c>
      <c r="M1246" s="470"/>
      <c r="N1246" s="471" t="str">
        <f>IFERROR(__xludf.DUMMYFUNCTION("""COMPUTED_VALUE"""),"https://vt.tiktok.com/ZS9SMWJBS/")</f>
        <v>https://vt.tiktok.com/ZS9SMWJBS/</v>
      </c>
      <c r="O1246" s="470"/>
      <c r="P1246" s="471" t="str">
        <f>IFERROR(__xludf.DUMMYFUNCTION("""COMPUTED_VALUE"""),"https://vt.tiktok.com/ZS9Sh4LUQ/")</f>
        <v>https://vt.tiktok.com/ZS9Sh4LUQ/</v>
      </c>
    </row>
    <row r="1247">
      <c r="A1247" s="282" t="str">
        <f>IFERROR(__xludf.DUMMYFUNCTION("""COMPUTED_VALUE"""),"MICRO")</f>
        <v>MICRO</v>
      </c>
      <c r="B1247" s="468" t="str">
        <f>IFERROR(__xludf.DUMMYFUNCTION("""COMPUTED_VALUE"""),"hanifahst")</f>
        <v>hanifahst</v>
      </c>
      <c r="C1247" s="283" t="str">
        <f>IFERROR(__xludf.DUMMYFUNCTION("""COMPUTED_VALUE"""),"https://www.tiktok.com/@hanifahst")</f>
        <v>https://www.tiktok.com/@hanifahst</v>
      </c>
      <c r="D1247" s="273">
        <f>IFERROR(__xludf.DUMMYFUNCTION("""COMPUTED_VALUE"""),8.5861602271E10)</f>
        <v>85861602271</v>
      </c>
      <c r="E1247" s="458">
        <f>IFERROR(__xludf.DUMMYFUNCTION("""COMPUTED_VALUE"""),0.0)</f>
        <v>0</v>
      </c>
      <c r="F1247" s="273">
        <f>IFERROR(__xludf.DUMMYFUNCTION("""COMPUTED_VALUE"""),1.0)</f>
        <v>1</v>
      </c>
      <c r="G1247" t="str">
        <f>IFERROR(__xludf.DUMMYFUNCTION("""COMPUTED_VALUE"""),"Sabun batang 1 Box ( 2 PCS )")</f>
        <v>Sabun batang 1 Box ( 2 PCS )</v>
      </c>
      <c r="H1247" s="469" t="str">
        <f>IFERROR(__xludf.DUMMYFUNCTION("""COMPUTED_VALUE"""),"Sampai")</f>
        <v>Sampai</v>
      </c>
      <c r="I1247" s="470" t="str">
        <f>IFERROR(__xludf.DUMMYFUNCTION("""COMPUTED_VALUE"""),"KIMME")</f>
        <v>KIMME</v>
      </c>
      <c r="J1247" s="471" t="str">
        <f>IFERROR(__xludf.DUMMYFUNCTION("""COMPUTED_VALUE"""),"https://vt.tiktok.com/ZSxxQNegn/")</f>
        <v>https://vt.tiktok.com/ZSxxQNegn/</v>
      </c>
      <c r="K1247" s="470" t="str">
        <f>IFERROR(__xludf.DUMMYFUNCTION("""COMPUTED_VALUE"""),"KIMME")</f>
        <v>KIMME</v>
      </c>
      <c r="L1247" s="471" t="str">
        <f>IFERROR(__xludf.DUMMYFUNCTION("""COMPUTED_VALUE"""),"https://vt.tiktok.com/ZS9BvQ845/")</f>
        <v>https://vt.tiktok.com/ZS9BvQ845/</v>
      </c>
      <c r="M1247" s="470"/>
      <c r="N1247" s="471" t="str">
        <f>IFERROR(__xludf.DUMMYFUNCTION("""COMPUTED_VALUE"""),"https://vt.tiktok.com/ZS9SMWJBS/")</f>
        <v>https://vt.tiktok.com/ZS9SMWJBS/</v>
      </c>
      <c r="O1247" s="470"/>
      <c r="P1247" s="471" t="str">
        <f>IFERROR(__xludf.DUMMYFUNCTION("""COMPUTED_VALUE"""),"https://vt.tiktok.com/ZS9Sh4LUQ/")</f>
        <v>https://vt.tiktok.com/ZS9Sh4LUQ/</v>
      </c>
    </row>
    <row r="1248">
      <c r="A1248" s="282" t="str">
        <f>IFERROR(__xludf.DUMMYFUNCTION("""COMPUTED_VALUE"""),"MICRO")</f>
        <v>MICRO</v>
      </c>
      <c r="B1248" s="468" t="str">
        <f>IFERROR(__xludf.DUMMYFUNCTION("""COMPUTED_VALUE"""),"Ratjun_simama")</f>
        <v>Ratjun_simama</v>
      </c>
      <c r="C1248" s="283" t="str">
        <f>IFERROR(__xludf.DUMMYFUNCTION("""COMPUTED_VALUE"""),"https://www.tiktok.com/@Ratjun_simama")</f>
        <v>https://www.tiktok.com/@Ratjun_simama</v>
      </c>
      <c r="D1248" s="273">
        <f>IFERROR(__xludf.DUMMYFUNCTION("""COMPUTED_VALUE"""),8.9512627956E10)</f>
        <v>89512627956</v>
      </c>
      <c r="E1248" s="458">
        <f>IFERROR(__xludf.DUMMYFUNCTION("""COMPUTED_VALUE"""),0.0)</f>
        <v>0</v>
      </c>
      <c r="F1248" s="273">
        <f>IFERROR(__xludf.DUMMYFUNCTION("""COMPUTED_VALUE"""),4.0)</f>
        <v>4</v>
      </c>
      <c r="G1248" t="str">
        <f>IFERROR(__xludf.DUMMYFUNCTION("""COMPUTED_VALUE"""),"Sabun batang 1 Box ( 2 PCS )")</f>
        <v>Sabun batang 1 Box ( 2 PCS )</v>
      </c>
      <c r="H1248" s="469" t="str">
        <f>IFERROR(__xludf.DUMMYFUNCTION("""COMPUTED_VALUE"""),"Sampai")</f>
        <v>Sampai</v>
      </c>
      <c r="I1248" s="470" t="str">
        <f>IFERROR(__xludf.DUMMYFUNCTION("""COMPUTED_VALUE"""),"KIMME")</f>
        <v>KIMME</v>
      </c>
      <c r="J1248" s="471" t="str">
        <f>IFERROR(__xludf.DUMMYFUNCTION("""COMPUTED_VALUE"""),"https://vt.tiktok.com/ZS9YHXyNm/")</f>
        <v>https://vt.tiktok.com/ZS9YHXyNm/</v>
      </c>
      <c r="K1248" s="470" t="str">
        <f>IFERROR(__xludf.DUMMYFUNCTION("""COMPUTED_VALUE"""),"KIMME")</f>
        <v>KIMME</v>
      </c>
      <c r="L1248" s="471" t="str">
        <f>IFERROR(__xludf.DUMMYFUNCTION("""COMPUTED_VALUE"""),"https://vt.tiktok.com/ZS9BvQ845/")</f>
        <v>https://vt.tiktok.com/ZS9BvQ845/</v>
      </c>
      <c r="M1248" s="470"/>
      <c r="N1248" s="471" t="str">
        <f>IFERROR(__xludf.DUMMYFUNCTION("""COMPUTED_VALUE"""),"https://vt.tiktok.com/ZS9SMWJBS/")</f>
        <v>https://vt.tiktok.com/ZS9SMWJBS/</v>
      </c>
      <c r="O1248" s="470"/>
      <c r="P1248" s="471" t="str">
        <f>IFERROR(__xludf.DUMMYFUNCTION("""COMPUTED_VALUE"""),"https://vt.tiktok.com/ZS9Sh4LUQ/")</f>
        <v>https://vt.tiktok.com/ZS9Sh4LUQ/</v>
      </c>
    </row>
    <row r="1249">
      <c r="A1249" s="282" t="str">
        <f>IFERROR(__xludf.DUMMYFUNCTION("""COMPUTED_VALUE"""),"MICRO")</f>
        <v>MICRO</v>
      </c>
      <c r="B1249" s="468" t="str">
        <f>IFERROR(__xludf.DUMMYFUNCTION("""COMPUTED_VALUE"""),"Cameccaa21")</f>
        <v>Cameccaa21</v>
      </c>
      <c r="C1249" s="283" t="str">
        <f>IFERROR(__xludf.DUMMYFUNCTION("""COMPUTED_VALUE"""),"https://www.tiktok.com/@Cameccaa21")</f>
        <v>https://www.tiktok.com/@Cameccaa21</v>
      </c>
      <c r="D1249" s="273">
        <f>IFERROR(__xludf.DUMMYFUNCTION("""COMPUTED_VALUE"""),8.5601880116E10)</f>
        <v>85601880116</v>
      </c>
      <c r="E1249" s="458">
        <f>IFERROR(__xludf.DUMMYFUNCTION("""COMPUTED_VALUE"""),0.0)</f>
        <v>0</v>
      </c>
      <c r="F1249" s="273">
        <f>IFERROR(__xludf.DUMMYFUNCTION("""COMPUTED_VALUE"""),2.0)</f>
        <v>2</v>
      </c>
      <c r="G1249" t="str">
        <f>IFERROR(__xludf.DUMMYFUNCTION("""COMPUTED_VALUE"""),"Sabun batang 1 Box ( 2 PCS )")</f>
        <v>Sabun batang 1 Box ( 2 PCS )</v>
      </c>
      <c r="H1249" s="469" t="str">
        <f>IFERROR(__xludf.DUMMYFUNCTION("""COMPUTED_VALUE"""),"Sampai")</f>
        <v>Sampai</v>
      </c>
      <c r="I1249" s="470" t="str">
        <f>IFERROR(__xludf.DUMMYFUNCTION("""COMPUTED_VALUE"""),"KIMME")</f>
        <v>KIMME</v>
      </c>
      <c r="J1249" s="471" t="str">
        <f>IFERROR(__xludf.DUMMYFUNCTION("""COMPUTED_VALUE"""),"https://vt.tiktok.com/ZSxWKCU9c/")</f>
        <v>https://vt.tiktok.com/ZSxWKCU9c/</v>
      </c>
      <c r="K1249" s="470" t="str">
        <f>IFERROR(__xludf.DUMMYFUNCTION("""COMPUTED_VALUE"""),"KIMME")</f>
        <v>KIMME</v>
      </c>
      <c r="L1249" s="471" t="str">
        <f>IFERROR(__xludf.DUMMYFUNCTION("""COMPUTED_VALUE"""),"https://vt.tiktok.com/ZSxWKtvPT/")</f>
        <v>https://vt.tiktok.com/ZSxWKtvPT/</v>
      </c>
      <c r="M1249" s="470"/>
      <c r="N1249" s="471" t="str">
        <f>IFERROR(__xludf.DUMMYFUNCTION("""COMPUTED_VALUE"""),"https://vt.tiktok.com/ZSxWKg4Ko/")</f>
        <v>https://vt.tiktok.com/ZSxWKg4Ko/</v>
      </c>
      <c r="O1249" s="470"/>
      <c r="P1249" s="471" t="str">
        <f>IFERROR(__xludf.DUMMYFUNCTION("""COMPUTED_VALUE"""),"https://vt.tiktok.com/ZSxWK75m9/")</f>
        <v>https://vt.tiktok.com/ZSxWK75m9/</v>
      </c>
    </row>
    <row r="1250">
      <c r="A1250" s="282" t="str">
        <f>IFERROR(__xludf.DUMMYFUNCTION("""COMPUTED_VALUE"""),"MICRO")</f>
        <v>MICRO</v>
      </c>
      <c r="B1250" s="468" t="str">
        <f>IFERROR(__xludf.DUMMYFUNCTION("""COMPUTED_VALUE"""),"ririyyawahyuni")</f>
        <v>ririyyawahyuni</v>
      </c>
      <c r="C1250" s="283" t="str">
        <f>IFERROR(__xludf.DUMMYFUNCTION("""COMPUTED_VALUE"""),"https://www.tiktok.com/@ririyyawahyuni")</f>
        <v>https://www.tiktok.com/@ririyyawahyuni</v>
      </c>
      <c r="D1250" s="273">
        <f>IFERROR(__xludf.DUMMYFUNCTION("""COMPUTED_VALUE"""),8.95406156235E11)</f>
        <v>895406156235</v>
      </c>
      <c r="E1250" s="458">
        <f>IFERROR(__xludf.DUMMYFUNCTION("""COMPUTED_VALUE"""),0.0)</f>
        <v>0</v>
      </c>
      <c r="F1250" s="273">
        <f>IFERROR(__xludf.DUMMYFUNCTION("""COMPUTED_VALUE"""),4.0)</f>
        <v>4</v>
      </c>
      <c r="G1250" t="str">
        <f>IFERROR(__xludf.DUMMYFUNCTION("""COMPUTED_VALUE"""),"Sabun batang 1 Box ( 2 PCS )")</f>
        <v>Sabun batang 1 Box ( 2 PCS )</v>
      </c>
      <c r="H1250" s="469" t="str">
        <f>IFERROR(__xludf.DUMMYFUNCTION("""COMPUTED_VALUE"""),"Sampai")</f>
        <v>Sampai</v>
      </c>
      <c r="I1250" s="470" t="str">
        <f>IFERROR(__xludf.DUMMYFUNCTION("""COMPUTED_VALUE"""),"KIMME")</f>
        <v>KIMME</v>
      </c>
      <c r="J1250" s="471" t="str">
        <f>IFERROR(__xludf.DUMMYFUNCTION("""COMPUTED_VALUE"""),"https://vt.tiktok.com/ZS9YHXyNm/")</f>
        <v>https://vt.tiktok.com/ZS9YHXyNm/</v>
      </c>
      <c r="K1250" s="470" t="str">
        <f>IFERROR(__xludf.DUMMYFUNCTION("""COMPUTED_VALUE"""),"KIMME")</f>
        <v>KIMME</v>
      </c>
      <c r="L1250" s="471" t="str">
        <f>IFERROR(__xludf.DUMMYFUNCTION("""COMPUTED_VALUE"""),"https://vt.tiktok.com/ZS9BvQ845/")</f>
        <v>https://vt.tiktok.com/ZS9BvQ845/</v>
      </c>
      <c r="M1250" s="470"/>
      <c r="N1250" s="471" t="str">
        <f>IFERROR(__xludf.DUMMYFUNCTION("""COMPUTED_VALUE"""),"https://vt.tiktok.com/ZS9SMWJBS/")</f>
        <v>https://vt.tiktok.com/ZS9SMWJBS/</v>
      </c>
      <c r="O1250" s="470"/>
      <c r="P1250" s="471" t="str">
        <f>IFERROR(__xludf.DUMMYFUNCTION("""COMPUTED_VALUE"""),"https://vt.tiktok.com/ZS9Sh4LUQ/")</f>
        <v>https://vt.tiktok.com/ZS9Sh4LUQ/</v>
      </c>
    </row>
    <row r="1251">
      <c r="A1251" s="282" t="str">
        <f>IFERROR(__xludf.DUMMYFUNCTION("""COMPUTED_VALUE"""),"MICRO")</f>
        <v>MICRO</v>
      </c>
      <c r="B1251" s="468" t="str">
        <f>IFERROR(__xludf.DUMMYFUNCTION("""COMPUTED_VALUE"""),"racunskincare077 ")</f>
        <v>racunskincare077 </v>
      </c>
      <c r="C1251" s="283" t="str">
        <f>IFERROR(__xludf.DUMMYFUNCTION("""COMPUTED_VALUE"""),"https://www.tiktok.com/@racunskincare077 ")</f>
        <v>https://www.tiktok.com/@racunskincare077 </v>
      </c>
      <c r="D1251" s="273">
        <f>IFERROR(__xludf.DUMMYFUNCTION("""COMPUTED_VALUE"""),8.5888634893E10)</f>
        <v>85888634893</v>
      </c>
      <c r="E1251" s="458">
        <f>IFERROR(__xludf.DUMMYFUNCTION("""COMPUTED_VALUE"""),0.0)</f>
        <v>0</v>
      </c>
      <c r="F1251" s="273">
        <f>IFERROR(__xludf.DUMMYFUNCTION("""COMPUTED_VALUE"""),4.0)</f>
        <v>4</v>
      </c>
      <c r="G1251" t="str">
        <f>IFERROR(__xludf.DUMMYFUNCTION("""COMPUTED_VALUE"""),"Sabun batang 1 Box ( 2 PCS )")</f>
        <v>Sabun batang 1 Box ( 2 PCS )</v>
      </c>
      <c r="H1251" s="469" t="str">
        <f>IFERROR(__xludf.DUMMYFUNCTION("""COMPUTED_VALUE"""),"Sampai")</f>
        <v>Sampai</v>
      </c>
      <c r="I1251" s="470" t="str">
        <f>IFERROR(__xludf.DUMMYFUNCTION("""COMPUTED_VALUE"""),"KIMME")</f>
        <v>KIMME</v>
      </c>
      <c r="J1251" s="471" t="str">
        <f>IFERROR(__xludf.DUMMYFUNCTION("""COMPUTED_VALUE"""),"https://vt.tiktok.com/ZS9YHXyNm/")</f>
        <v>https://vt.tiktok.com/ZS9YHXyNm/</v>
      </c>
      <c r="K1251" s="470" t="str">
        <f>IFERROR(__xludf.DUMMYFUNCTION("""COMPUTED_VALUE"""),"KIMME")</f>
        <v>KIMME</v>
      </c>
      <c r="L1251" s="471" t="str">
        <f>IFERROR(__xludf.DUMMYFUNCTION("""COMPUTED_VALUE"""),"https://vt.tiktok.com/ZS9BvQ845/")</f>
        <v>https://vt.tiktok.com/ZS9BvQ845/</v>
      </c>
      <c r="M1251" s="470"/>
      <c r="N1251" s="471" t="str">
        <f>IFERROR(__xludf.DUMMYFUNCTION("""COMPUTED_VALUE"""),"https://vt.tiktok.com/ZS9SMWJBS/")</f>
        <v>https://vt.tiktok.com/ZS9SMWJBS/</v>
      </c>
      <c r="O1251" s="470"/>
      <c r="P1251" s="471" t="str">
        <f>IFERROR(__xludf.DUMMYFUNCTION("""COMPUTED_VALUE"""),"https://vt.tiktok.com/ZS9Sh4LUQ/")</f>
        <v>https://vt.tiktok.com/ZS9Sh4LUQ/</v>
      </c>
    </row>
    <row r="1252">
      <c r="A1252" s="282" t="str">
        <f>IFERROR(__xludf.DUMMYFUNCTION("""COMPUTED_VALUE"""),"MICRO")</f>
        <v>MICRO</v>
      </c>
      <c r="B1252" s="468" t="str">
        <f>IFERROR(__xludf.DUMMYFUNCTION("""COMPUTED_VALUE"""),"belidiolivia")</f>
        <v>belidiolivia</v>
      </c>
      <c r="C1252" s="283" t="str">
        <f>IFERROR(__xludf.DUMMYFUNCTION("""COMPUTED_VALUE"""),"https://www.tiktok.com/@belidiolivia")</f>
        <v>https://www.tiktok.com/@belidiolivia</v>
      </c>
      <c r="D1252" s="273">
        <f>IFERROR(__xludf.DUMMYFUNCTION("""COMPUTED_VALUE"""),8.111878956E9)</f>
        <v>8111878956</v>
      </c>
      <c r="E1252" s="458">
        <f>IFERROR(__xludf.DUMMYFUNCTION("""COMPUTED_VALUE"""),0.0)</f>
        <v>0</v>
      </c>
      <c r="F1252" s="273">
        <f>IFERROR(__xludf.DUMMYFUNCTION("""COMPUTED_VALUE"""),2.0)</f>
        <v>2</v>
      </c>
      <c r="G1252" t="str">
        <f>IFERROR(__xludf.DUMMYFUNCTION("""COMPUTED_VALUE"""),"Sabun batang 1 Box ( 2 PCS )")</f>
        <v>Sabun batang 1 Box ( 2 PCS )</v>
      </c>
      <c r="H1252" s="469" t="str">
        <f>IFERROR(__xludf.DUMMYFUNCTION("""COMPUTED_VALUE"""),"Sampai")</f>
        <v>Sampai</v>
      </c>
      <c r="I1252" s="470" t="str">
        <f>IFERROR(__xludf.DUMMYFUNCTION("""COMPUTED_VALUE"""),"KIMME")</f>
        <v>KIMME</v>
      </c>
      <c r="J1252" s="471" t="str">
        <f>IFERROR(__xludf.DUMMYFUNCTION("""COMPUTED_VALUE"""),"https://vt.tiktok.com/ZS9xw3o6L/")</f>
        <v>https://vt.tiktok.com/ZS9xw3o6L/</v>
      </c>
      <c r="K1252" s="470" t="str">
        <f>IFERROR(__xludf.DUMMYFUNCTION("""COMPUTED_VALUE"""),"KIMME")</f>
        <v>KIMME</v>
      </c>
      <c r="L1252" s="471" t="str">
        <f>IFERROR(__xludf.DUMMYFUNCTION("""COMPUTED_VALUE"""),"https://vt.tiktok.com/ZS9qMqFsu/")</f>
        <v>https://vt.tiktok.com/ZS9qMqFsu/</v>
      </c>
      <c r="M1252" s="470"/>
      <c r="N1252" s="471" t="str">
        <f>IFERROR(__xludf.DUMMYFUNCTION("""COMPUTED_VALUE"""),"https://vt.tiktok.com/ZSxWK89er/")</f>
        <v>https://vt.tiktok.com/ZSxWK89er/</v>
      </c>
      <c r="O1252" s="470"/>
      <c r="P1252" s="471" t="str">
        <f>IFERROR(__xludf.DUMMYFUNCTION("""COMPUTED_VALUE"""),"https://vt.tiktok.com/ZSxWKheSn/")</f>
        <v>https://vt.tiktok.com/ZSxWKheSn/</v>
      </c>
    </row>
    <row r="1253">
      <c r="A1253" s="282" t="str">
        <f>IFERROR(__xludf.DUMMYFUNCTION("""COMPUTED_VALUE"""),"MICRO")</f>
        <v>MICRO</v>
      </c>
      <c r="B1253" s="468" t="str">
        <f>IFERROR(__xludf.DUMMYFUNCTION("""COMPUTED_VALUE"""),"tamiputriars")</f>
        <v>tamiputriars</v>
      </c>
      <c r="C1253" s="283" t="str">
        <f>IFERROR(__xludf.DUMMYFUNCTION("""COMPUTED_VALUE"""),"https://www.tiktok.com/@tamiputriars")</f>
        <v>https://www.tiktok.com/@tamiputriars</v>
      </c>
      <c r="D1253" s="273">
        <f>IFERROR(__xludf.DUMMYFUNCTION("""COMPUTED_VALUE"""),8.5882148134E10)</f>
        <v>85882148134</v>
      </c>
      <c r="E1253" s="458">
        <f>IFERROR(__xludf.DUMMYFUNCTION("""COMPUTED_VALUE"""),0.0)</f>
        <v>0</v>
      </c>
      <c r="F1253" s="273">
        <f>IFERROR(__xludf.DUMMYFUNCTION("""COMPUTED_VALUE"""),4.0)</f>
        <v>4</v>
      </c>
      <c r="G1253" t="str">
        <f>IFERROR(__xludf.DUMMYFUNCTION("""COMPUTED_VALUE"""),"Sabun batang 1 Box ( 2 PCS )")</f>
        <v>Sabun batang 1 Box ( 2 PCS )</v>
      </c>
      <c r="H1253" s="469" t="str">
        <f>IFERROR(__xludf.DUMMYFUNCTION("""COMPUTED_VALUE"""),"Sampai")</f>
        <v>Sampai</v>
      </c>
      <c r="I1253" s="470" t="str">
        <f>IFERROR(__xludf.DUMMYFUNCTION("""COMPUTED_VALUE"""),"KIMME")</f>
        <v>KIMME</v>
      </c>
      <c r="J1253" s="471" t="str">
        <f>IFERROR(__xludf.DUMMYFUNCTION("""COMPUTED_VALUE"""),"https://vt.tiktok.com/ZSxWKccg5/")</f>
        <v>https://vt.tiktok.com/ZSxWKccg5/</v>
      </c>
      <c r="K1253" s="470" t="str">
        <f>IFERROR(__xludf.DUMMYFUNCTION("""COMPUTED_VALUE"""),"KIMME")</f>
        <v>KIMME</v>
      </c>
      <c r="L1253" s="471" t="str">
        <f>IFERROR(__xludf.DUMMYFUNCTION("""COMPUTED_VALUE"""),"https://vt.tiktok.com/ZSxWKRXQt/")</f>
        <v>https://vt.tiktok.com/ZSxWKRXQt/</v>
      </c>
      <c r="M1253" s="470"/>
      <c r="N1253" s="471" t="str">
        <f>IFERROR(__xludf.DUMMYFUNCTION("""COMPUTED_VALUE"""),"https://vt.tiktok.com/ZSxWKRyLm/")</f>
        <v>https://vt.tiktok.com/ZSxWKRyLm/</v>
      </c>
      <c r="O1253" s="470"/>
      <c r="P1253" s="471" t="str">
        <f>IFERROR(__xludf.DUMMYFUNCTION("""COMPUTED_VALUE"""),"https://vt.tiktok.com/ZSxWKheSn//")</f>
        <v>https://vt.tiktok.com/ZSxWKheSn//</v>
      </c>
    </row>
    <row r="1254">
      <c r="A1254" s="282" t="str">
        <f>IFERROR(__xludf.DUMMYFUNCTION("""COMPUTED_VALUE"""),"MICRO")</f>
        <v>MICRO</v>
      </c>
      <c r="B1254" s="468" t="str">
        <f>IFERROR(__xludf.DUMMYFUNCTION("""COMPUTED_VALUE"""),"aira_beautyskin")</f>
        <v>aira_beautyskin</v>
      </c>
      <c r="C1254" s="283" t="str">
        <f>IFERROR(__xludf.DUMMYFUNCTION("""COMPUTED_VALUE"""),"https://www.tiktok.com/@aira_beautyskin")</f>
        <v>https://www.tiktok.com/@aira_beautyskin</v>
      </c>
      <c r="D1254" s="273">
        <f>IFERROR(__xludf.DUMMYFUNCTION("""COMPUTED_VALUE"""),8.1383219124E10)</f>
        <v>81383219124</v>
      </c>
      <c r="E1254" s="458">
        <f>IFERROR(__xludf.DUMMYFUNCTION("""COMPUTED_VALUE"""),0.0)</f>
        <v>0</v>
      </c>
      <c r="F1254" s="273">
        <f>IFERROR(__xludf.DUMMYFUNCTION("""COMPUTED_VALUE"""),2.0)</f>
        <v>2</v>
      </c>
      <c r="G1254" t="str">
        <f>IFERROR(__xludf.DUMMYFUNCTION("""COMPUTED_VALUE"""),"Sabun batang 1 Box ( 2 PCS )")</f>
        <v>Sabun batang 1 Box ( 2 PCS )</v>
      </c>
      <c r="H1254" s="469" t="str">
        <f>IFERROR(__xludf.DUMMYFUNCTION("""COMPUTED_VALUE"""),"Sampai")</f>
        <v>Sampai</v>
      </c>
      <c r="I1254" s="470" t="str">
        <f>IFERROR(__xludf.DUMMYFUNCTION("""COMPUTED_VALUE"""),"KIMME")</f>
        <v>KIMME</v>
      </c>
      <c r="J1254" s="471" t="str">
        <f>IFERROR(__xludf.DUMMYFUNCTION("""COMPUTED_VALUE"""),"https://www.tiktok.com/@aira_beautyskin/video/7632343361197739280?_r=1&amp;u_code=e60l0ai4bcjefj&amp;region=&amp;mid=7272183590492261125&amp;preview_pb=0&amp;sharer_language=&amp;_d=0&amp;ec_shared_reflux_dynamic_params=%7B%22placeholder_material_id%22%3A%227632343361197739280%22%2C"&amp;"%22placeholder_origin_cover%22%3A%22https%253A%252F%252Fp16-sign-sg.tiktokcdn.com%252Ftos-alisg-p-0037%252Fo08c6FcDpBDv7Z5FE4y4xAQXEBDXf6ygnRQfvt~tplv-tiktokx-origin.jpeg%253Fdr%253D14572%2526refresh_token%253Df6a5a906%2526x-expires%253D1808992800%2526x-s"&amp;"ignature%253D9IYiLrxns3yZiaSqfAov%25252Fuajr%25252F0%25253D%2526t%253D4d5b0474%2526ps%253D13740610%2526shp%253Dd05b14bd%2526shcp%253D34ff8df6%2526idc%253Dmy2%2526s%253DTIKTOK_AFFILIATE_VIRAL_VIDEO%22%2C%22placeholder_product_id%22%3A%221729427766722726591"&amp;"%22%2C%22placeholder_video_id%22%3A%227632343361197739280%22%7D&amp;ec_shared_reflux_scene=shop_tab_feed&amp;share_item_id=7632343361197739280&amp;source=h5_t")</f>
        <v>https://www.tiktok.com/@aira_beautyskin/video/7632343361197739280?_r=1&amp;u_code=e60l0ai4bcjefj&amp;region=&amp;mid=7272183590492261125&amp;preview_pb=0&amp;sharer_language=&amp;_d=0&amp;ec_shared_reflux_dynamic_params=%7B%22placeholder_material_id%22%3A%227632343361197739280%22%2C%22placeholder_origin_cover%22%3A%22https%253A%252F%252Fp16-sign-sg.tiktokcdn.com%252Ftos-alisg-p-0037%252Fo08c6FcDpBDv7Z5FE4y4xAQXEBDXf6ygnRQfvt~tplv-tiktokx-origin.jpeg%253Fdr%253D14572%2526refresh_token%253Df6a5a906%2526x-expires%253D1808992800%2526x-signature%253D9IYiLrxns3yZiaSqfAov%25252Fuajr%25252F0%25253D%2526t%253D4d5b0474%2526ps%253D13740610%2526shp%253Dd05b14bd%2526shcp%253D34ff8df6%2526idc%253Dmy2%2526s%253DTIKTOK_AFFILIATE_VIRAL_VIDEO%22%2C%22placeholder_product_id%22%3A%221729427766722726591%22%2C%22placeholder_video_id%22%3A%227632343361197739280%22%7D&amp;ec_shared_reflux_scene=shop_tab_feed&amp;share_item_id=7632343361197739280&amp;source=h5_t</v>
      </c>
      <c r="K1254" s="470" t="str">
        <f>IFERROR(__xludf.DUMMYFUNCTION("""COMPUTED_VALUE"""),"KIMME")</f>
        <v>KIMME</v>
      </c>
      <c r="L1254" s="471" t="str">
        <f>IFERROR(__xludf.DUMMYFUNCTION("""COMPUTED_VALUE"""),"https://www.tiktok.com/@aira_beautyskin/video/7633690173481569553?_r=1&amp;u_code=e60l0ai4bcjefj&amp;region=&amp;mid=7443702144051923728&amp;preview_pb=0&amp;sharer_language=&amp;_d=0&amp;ec_shared_reflux_dynamic_params=%7B%22placeholder_material_id%22%3A%227633690173481569553%22%2C"&amp;"%22placeholder_origin_cover%22%3A%22https%253A%252F%252Fp16-common-sign.tiktokcdn.com%252Ftos-alisg-p-0037%252FoEWrwoiIIBgpvYefiUicwTn9AQgy6EADBBCRDw~tplv-tiktokx-origin.jpeg%253Fdr%253D14572%2526refresh_token%253De2c45980%2526x-expires%253D1808992800%252"&amp;"6x-signature%253DdvOIhBG6wQdyOo6xIENC8r0D7Q4%25253D%2526t%253D4d5b0474%2526ps%253D13740610%2526shp%253Dd05b14bd%2526shcp%253D34ff8df6%2526idc%253Dmy2%2526s%253DTIKTOK_AFFILIATE_VIRAL_VIDEO%22%2C%22placeholder_product_id%22%3A%221729427766722726591%22%2C%2"&amp;"2placeholder_video_id%22%3A%227633690173481569553%22%7D&amp;ec_shared_reflux_scene=shop_tab_feed&amp;share_item_id=7633690173481569553&amp;source=h5_t")</f>
        <v>https://www.tiktok.com/@aira_beautyskin/video/7633690173481569553?_r=1&amp;u_code=e60l0ai4bcjefj&amp;region=&amp;mid=7443702144051923728&amp;preview_pb=0&amp;sharer_language=&amp;_d=0&amp;ec_shared_reflux_dynamic_params=%7B%22placeholder_material_id%22%3A%227633690173481569553%22%2C%22placeholder_origin_cover%22%3A%22https%253A%252F%252Fp16-common-sign.tiktokcdn.com%252Ftos-alisg-p-0037%252FoEWrwoiIIBgpvYefiUicwTn9AQgy6EADBBCRDw~tplv-tiktokx-origin.jpeg%253Fdr%253D14572%2526refresh_token%253De2c45980%2526x-expires%253D1808992800%2526x-signature%253DdvOIhBG6wQdyOo6xIENC8r0D7Q4%25253D%2526t%253D4d5b0474%2526ps%253D13740610%2526shp%253Dd05b14bd%2526shcp%253D34ff8df6%2526idc%253Dmy2%2526s%253DTIKTOK_AFFILIATE_VIRAL_VIDEO%22%2C%22placeholder_product_id%22%3A%221729427766722726591%22%2C%22placeholder_video_id%22%3A%227633690173481569553%22%7D&amp;ec_shared_reflux_scene=shop_tab_feed&amp;share_item_id=7633690173481569553&amp;source=h5_t</v>
      </c>
      <c r="M1254" s="470"/>
      <c r="N1254" s="471" t="str">
        <f>IFERROR(__xludf.DUMMYFUNCTION("""COMPUTED_VALUE"""),"https://vt.tiktok.com/ZSxWTfeB4/")</f>
        <v>https://vt.tiktok.com/ZSxWTfeB4/</v>
      </c>
      <c r="O1254" s="470"/>
      <c r="P1254" s="471" t="str">
        <f>IFERROR(__xludf.DUMMYFUNCTION("""COMPUTED_VALUE"""),"https://vt.tiktok.com/ZSxWTAPpM/")</f>
        <v>https://vt.tiktok.com/ZSxWTAPpM/</v>
      </c>
    </row>
    <row r="1255">
      <c r="A1255" s="282" t="str">
        <f>IFERROR(__xludf.DUMMYFUNCTION("""COMPUTED_VALUE"""),"MICRO")</f>
        <v>MICRO</v>
      </c>
      <c r="B1255" s="468" t="str">
        <f>IFERROR(__xludf.DUMMYFUNCTION("""COMPUTED_VALUE"""),"_ciaashop")</f>
        <v>_ciaashop</v>
      </c>
      <c r="C1255" s="283" t="str">
        <f>IFERROR(__xludf.DUMMYFUNCTION("""COMPUTED_VALUE"""),"https://www.tiktok.com/@_ciaashop")</f>
        <v>https://www.tiktok.com/@_ciaashop</v>
      </c>
      <c r="D1255" s="273">
        <f>IFERROR(__xludf.DUMMYFUNCTION("""COMPUTED_VALUE"""),8.9528289608E10)</f>
        <v>89528289608</v>
      </c>
      <c r="E1255" s="458">
        <f>IFERROR(__xludf.DUMMYFUNCTION("""COMPUTED_VALUE"""),0.0)</f>
        <v>0</v>
      </c>
      <c r="F1255" s="273">
        <f>IFERROR(__xludf.DUMMYFUNCTION("""COMPUTED_VALUE"""),4.0)</f>
        <v>4</v>
      </c>
      <c r="G1255" t="str">
        <f>IFERROR(__xludf.DUMMYFUNCTION("""COMPUTED_VALUE"""),"Sabun batang 1 Box ( 2 PCS )")</f>
        <v>Sabun batang 1 Box ( 2 PCS )</v>
      </c>
      <c r="H1255" s="469" t="str">
        <f>IFERROR(__xludf.DUMMYFUNCTION("""COMPUTED_VALUE"""),"Sampai")</f>
        <v>Sampai</v>
      </c>
      <c r="I1255" s="470" t="str">
        <f>IFERROR(__xludf.DUMMYFUNCTION("""COMPUTED_VALUE"""),"KIMME")</f>
        <v>KIMME</v>
      </c>
      <c r="J1255" s="471" t="str">
        <f>IFERROR(__xludf.DUMMYFUNCTION("""COMPUTED_VALUE"""),"https://vt.tiktok.com/ZS9M7BywS/")</f>
        <v>https://vt.tiktok.com/ZS9M7BywS/</v>
      </c>
      <c r="K1255" s="470" t="str">
        <f>IFERROR(__xludf.DUMMYFUNCTION("""COMPUTED_VALUE"""),"KIMME")</f>
        <v>KIMME</v>
      </c>
      <c r="L1255" s="471" t="str">
        <f>IFERROR(__xludf.DUMMYFUNCTION("""COMPUTED_VALUE"""),"https://vt.tiktok.com/ZS9M7j4DV/")</f>
        <v>https://vt.tiktok.com/ZS9M7j4DV/</v>
      </c>
      <c r="M1255" s="470"/>
      <c r="N1255" s="471" t="str">
        <f>IFERROR(__xludf.DUMMYFUNCTION("""COMPUTED_VALUE"""),"https://vt.tiktok.com/ZS9M7P3HV/")</f>
        <v>https://vt.tiktok.com/ZS9M7P3HV/</v>
      </c>
      <c r="O1255" s="470"/>
      <c r="P1255" s="471" t="str">
        <f>IFERROR(__xludf.DUMMYFUNCTION("""COMPUTED_VALUE"""),"https://vt.tiktok.com/ZS9M7V9WV/")</f>
        <v>https://vt.tiktok.com/ZS9M7V9WV/</v>
      </c>
    </row>
    <row r="1256">
      <c r="A1256" s="282" t="str">
        <f>IFERROR(__xludf.DUMMYFUNCTION("""COMPUTED_VALUE"""),"MICRO")</f>
        <v>MICRO</v>
      </c>
      <c r="B1256" s="468" t="str">
        <f>IFERROR(__xludf.DUMMYFUNCTION("""COMPUTED_VALUE"""),"rahasiakunih")</f>
        <v>rahasiakunih</v>
      </c>
      <c r="C1256" s="283" t="str">
        <f>IFERROR(__xludf.DUMMYFUNCTION("""COMPUTED_VALUE"""),"https://www.tiktok.com/@rahasiakunih")</f>
        <v>https://www.tiktok.com/@rahasiakunih</v>
      </c>
      <c r="D1256" s="273">
        <f>IFERROR(__xludf.DUMMYFUNCTION("""COMPUTED_VALUE"""),8.8220053069E10)</f>
        <v>88220053069</v>
      </c>
      <c r="E1256" s="458">
        <f>IFERROR(__xludf.DUMMYFUNCTION("""COMPUTED_VALUE"""),0.0)</f>
        <v>0</v>
      </c>
      <c r="F1256" s="273">
        <f>IFERROR(__xludf.DUMMYFUNCTION("""COMPUTED_VALUE"""),3.0)</f>
        <v>3</v>
      </c>
      <c r="G1256" t="str">
        <f>IFERROR(__xludf.DUMMYFUNCTION("""COMPUTED_VALUE"""),"Sabun batang 1 Box ( 2 PCS )")</f>
        <v>Sabun batang 1 Box ( 2 PCS )</v>
      </c>
      <c r="H1256" s="469" t="str">
        <f>IFERROR(__xludf.DUMMYFUNCTION("""COMPUTED_VALUE"""),"Sampai")</f>
        <v>Sampai</v>
      </c>
      <c r="I1256" s="470" t="str">
        <f>IFERROR(__xludf.DUMMYFUNCTION("""COMPUTED_VALUE"""),"KIMME")</f>
        <v>KIMME</v>
      </c>
      <c r="J1256" s="471" t="str">
        <f>IFERROR(__xludf.DUMMYFUNCTION("""COMPUTED_VALUE"""),"https://vt.tiktok.com/ZS9M7BywS/")</f>
        <v>https://vt.tiktok.com/ZS9M7BywS/</v>
      </c>
      <c r="K1256" s="470" t="str">
        <f>IFERROR(__xludf.DUMMYFUNCTION("""COMPUTED_VALUE"""),"KIMME")</f>
        <v>KIMME</v>
      </c>
      <c r="L1256" s="471" t="str">
        <f>IFERROR(__xludf.DUMMYFUNCTION("""COMPUTED_VALUE"""),"https://vt.tiktok.com/ZS9M7j4DV/")</f>
        <v>https://vt.tiktok.com/ZS9M7j4DV/</v>
      </c>
      <c r="M1256" s="470"/>
      <c r="N1256" s="471" t="str">
        <f>IFERROR(__xludf.DUMMYFUNCTION("""COMPUTED_VALUE"""),"https://vt.tiktok.com/ZS9M7P3HV/")</f>
        <v>https://vt.tiktok.com/ZS9M7P3HV/</v>
      </c>
      <c r="O1256" s="470"/>
      <c r="P1256" s="471" t="str">
        <f>IFERROR(__xludf.DUMMYFUNCTION("""COMPUTED_VALUE"""),"https://vt.tiktok.com/ZS9M7V9WV/")</f>
        <v>https://vt.tiktok.com/ZS9M7V9WV/</v>
      </c>
    </row>
    <row r="1257">
      <c r="A1257" s="282" t="str">
        <f>IFERROR(__xludf.DUMMYFUNCTION("""COMPUTED_VALUE"""),"MICRO")</f>
        <v>MICRO</v>
      </c>
      <c r="B1257" s="468" t="str">
        <f>IFERROR(__xludf.DUMMYFUNCTION("""COMPUTED_VALUE"""),"nrlnvtsriiii")</f>
        <v>nrlnvtsriiii</v>
      </c>
      <c r="C1257" s="283" t="str">
        <f>IFERROR(__xludf.DUMMYFUNCTION("""COMPUTED_VALUE"""),"https://www.tiktok.com/@nrlnvtsriiii")</f>
        <v>https://www.tiktok.com/@nrlnvtsriiii</v>
      </c>
      <c r="D1257" s="273">
        <f>IFERROR(__xludf.DUMMYFUNCTION("""COMPUTED_VALUE"""),8.5782277625E10)</f>
        <v>85782277625</v>
      </c>
      <c r="E1257" s="458">
        <f>IFERROR(__xludf.DUMMYFUNCTION("""COMPUTED_VALUE"""),0.0)</f>
        <v>0</v>
      </c>
      <c r="F1257" s="273">
        <f>IFERROR(__xludf.DUMMYFUNCTION("""COMPUTED_VALUE"""),4.0)</f>
        <v>4</v>
      </c>
      <c r="G1257" t="str">
        <f>IFERROR(__xludf.DUMMYFUNCTION("""COMPUTED_VALUE"""),"Sabun batang 1 Box ( 2 PCS )")</f>
        <v>Sabun batang 1 Box ( 2 PCS )</v>
      </c>
      <c r="H1257" s="469" t="str">
        <f>IFERROR(__xludf.DUMMYFUNCTION("""COMPUTED_VALUE"""),"Sampai")</f>
        <v>Sampai</v>
      </c>
      <c r="I1257" s="470" t="str">
        <f>IFERROR(__xludf.DUMMYFUNCTION("""COMPUTED_VALUE"""),"KIMME")</f>
        <v>KIMME</v>
      </c>
      <c r="J1257" s="471" t="str">
        <f>IFERROR(__xludf.DUMMYFUNCTION("""COMPUTED_VALUE"""),"https://vt.tiktok.com/ZS9M7BywS/")</f>
        <v>https://vt.tiktok.com/ZS9M7BywS/</v>
      </c>
      <c r="K1257" s="470" t="str">
        <f>IFERROR(__xludf.DUMMYFUNCTION("""COMPUTED_VALUE"""),"KIMME")</f>
        <v>KIMME</v>
      </c>
      <c r="L1257" s="471" t="str">
        <f>IFERROR(__xludf.DUMMYFUNCTION("""COMPUTED_VALUE"""),"https://vt.tiktok.com/ZS9M7j4DV/")</f>
        <v>https://vt.tiktok.com/ZS9M7j4DV/</v>
      </c>
      <c r="M1257" s="470"/>
      <c r="N1257" s="471" t="str">
        <f>IFERROR(__xludf.DUMMYFUNCTION("""COMPUTED_VALUE"""),"https://vt.tiktok.com/ZS9M7P3HV/")</f>
        <v>https://vt.tiktok.com/ZS9M7P3HV/</v>
      </c>
      <c r="O1257" s="470"/>
      <c r="P1257" s="471" t="str">
        <f>IFERROR(__xludf.DUMMYFUNCTION("""COMPUTED_VALUE"""),"https://vt.tiktok.com/ZS9M7V9WV/")</f>
        <v>https://vt.tiktok.com/ZS9M7V9WV/</v>
      </c>
    </row>
    <row r="1258">
      <c r="A1258" s="282" t="str">
        <f>IFERROR(__xludf.DUMMYFUNCTION("""COMPUTED_VALUE"""),"MICRO")</f>
        <v>MICRO</v>
      </c>
      <c r="B1258" s="468" t="str">
        <f>IFERROR(__xludf.DUMMYFUNCTION("""COMPUTED_VALUE"""),"spill_healthycare")</f>
        <v>spill_healthycare</v>
      </c>
      <c r="C1258" s="283" t="str">
        <f>IFERROR(__xludf.DUMMYFUNCTION("""COMPUTED_VALUE"""),"https://www.tiktok.com/@spill_healthycare")</f>
        <v>https://www.tiktok.com/@spill_healthycare</v>
      </c>
      <c r="D1258" s="273">
        <f>IFERROR(__xludf.DUMMYFUNCTION("""COMPUTED_VALUE"""),8.1373437975E10)</f>
        <v>81373437975</v>
      </c>
      <c r="E1258" s="458">
        <f>IFERROR(__xludf.DUMMYFUNCTION("""COMPUTED_VALUE"""),0.0)</f>
        <v>0</v>
      </c>
      <c r="F1258" s="273">
        <f>IFERROR(__xludf.DUMMYFUNCTION("""COMPUTED_VALUE"""),4.0)</f>
        <v>4</v>
      </c>
      <c r="G1258" t="str">
        <f>IFERROR(__xludf.DUMMYFUNCTION("""COMPUTED_VALUE"""),"Sabun batang 1 Box ( 2 PCS )")</f>
        <v>Sabun batang 1 Box ( 2 PCS )</v>
      </c>
      <c r="H1258" s="469" t="str">
        <f>IFERROR(__xludf.DUMMYFUNCTION("""COMPUTED_VALUE"""),"Sampai")</f>
        <v>Sampai</v>
      </c>
      <c r="I1258" s="470" t="str">
        <f>IFERROR(__xludf.DUMMYFUNCTION("""COMPUTED_VALUE"""),"KIMME")</f>
        <v>KIMME</v>
      </c>
      <c r="J1258" s="471" t="str">
        <f>IFERROR(__xludf.DUMMYFUNCTION("""COMPUTED_VALUE"""),"https://vt.tiktok.com/ZS9M7BywS/")</f>
        <v>https://vt.tiktok.com/ZS9M7BywS/</v>
      </c>
      <c r="K1258" s="470" t="str">
        <f>IFERROR(__xludf.DUMMYFUNCTION("""COMPUTED_VALUE"""),"KIMME")</f>
        <v>KIMME</v>
      </c>
      <c r="L1258" s="471" t="str">
        <f>IFERROR(__xludf.DUMMYFUNCTION("""COMPUTED_VALUE"""),"https://vt.tiktok.com/ZS9M7j4DV/")</f>
        <v>https://vt.tiktok.com/ZS9M7j4DV/</v>
      </c>
      <c r="M1258" s="470"/>
      <c r="N1258" s="471" t="str">
        <f>IFERROR(__xludf.DUMMYFUNCTION("""COMPUTED_VALUE"""),"https://vt.tiktok.com/ZS9M7P3HV/")</f>
        <v>https://vt.tiktok.com/ZS9M7P3HV/</v>
      </c>
      <c r="O1258" s="470"/>
      <c r="P1258" s="471" t="str">
        <f>IFERROR(__xludf.DUMMYFUNCTION("""COMPUTED_VALUE"""),"https://vt.tiktok.com/ZS9M7V9WV/")</f>
        <v>https://vt.tiktok.com/ZS9M7V9WV/</v>
      </c>
    </row>
    <row r="1259">
      <c r="A1259" s="282" t="str">
        <f>IFERROR(__xludf.DUMMYFUNCTION("""COMPUTED_VALUE"""),"MICRO")</f>
        <v>MICRO</v>
      </c>
      <c r="B1259" s="468" t="str">
        <f>IFERROR(__xludf.DUMMYFUNCTION("""COMPUTED_VALUE"""),"Byliyah")</f>
        <v>Byliyah</v>
      </c>
      <c r="C1259" s="283" t="str">
        <f>IFERROR(__xludf.DUMMYFUNCTION("""COMPUTED_VALUE"""),"https://www.tiktok.com/@Byliyah")</f>
        <v>https://www.tiktok.com/@Byliyah</v>
      </c>
      <c r="D1259" s="273">
        <f>IFERROR(__xludf.DUMMYFUNCTION("""COMPUTED_VALUE"""),8.5748261974E10)</f>
        <v>85748261974</v>
      </c>
      <c r="E1259" s="458">
        <f>IFERROR(__xludf.DUMMYFUNCTION("""COMPUTED_VALUE"""),150000.0)</f>
        <v>150000</v>
      </c>
      <c r="F1259" s="273">
        <f>IFERROR(__xludf.DUMMYFUNCTION("""COMPUTED_VALUE"""),4.0)</f>
        <v>4</v>
      </c>
      <c r="G1259" t="str">
        <f>IFERROR(__xludf.DUMMYFUNCTION("""COMPUTED_VALUE"""),"Sabun batang 1 Box ( 2 PCS )")</f>
        <v>Sabun batang 1 Box ( 2 PCS )</v>
      </c>
      <c r="H1259" s="469" t="str">
        <f>IFERROR(__xludf.DUMMYFUNCTION("""COMPUTED_VALUE"""),"Sampai")</f>
        <v>Sampai</v>
      </c>
      <c r="I1259" s="470" t="str">
        <f>IFERROR(__xludf.DUMMYFUNCTION("""COMPUTED_VALUE"""),"KIMME")</f>
        <v>KIMME</v>
      </c>
      <c r="J1259" s="471" t="str">
        <f>IFERROR(__xludf.DUMMYFUNCTION("""COMPUTED_VALUE"""),"https://vt.tiktok.com/ZS9M7BywS/")</f>
        <v>https://vt.tiktok.com/ZS9M7BywS/</v>
      </c>
      <c r="K1259" s="470" t="str">
        <f>IFERROR(__xludf.DUMMYFUNCTION("""COMPUTED_VALUE"""),"KIMME")</f>
        <v>KIMME</v>
      </c>
      <c r="L1259" s="471" t="str">
        <f>IFERROR(__xludf.DUMMYFUNCTION("""COMPUTED_VALUE"""),"https://vt.tiktok.com/ZS9M7j4DV/")</f>
        <v>https://vt.tiktok.com/ZS9M7j4DV/</v>
      </c>
      <c r="M1259" s="470"/>
      <c r="N1259" s="471" t="str">
        <f>IFERROR(__xludf.DUMMYFUNCTION("""COMPUTED_VALUE"""),"https://vt.tiktok.com/ZS9M7P3HV/")</f>
        <v>https://vt.tiktok.com/ZS9M7P3HV/</v>
      </c>
      <c r="O1259" s="470"/>
      <c r="P1259" s="471" t="str">
        <f>IFERROR(__xludf.DUMMYFUNCTION("""COMPUTED_VALUE"""),"https://vt.tiktok.com/ZS9M7V9WV/")</f>
        <v>https://vt.tiktok.com/ZS9M7V9WV/</v>
      </c>
    </row>
    <row r="1260">
      <c r="A1260" s="282" t="str">
        <f>IFERROR(__xludf.DUMMYFUNCTION("""COMPUTED_VALUE"""),"MICRO")</f>
        <v>MICRO</v>
      </c>
      <c r="B1260" s="468" t="str">
        <f>IFERROR(__xludf.DUMMYFUNCTION("""COMPUTED_VALUE"""),"destikadwip24 ")</f>
        <v>destikadwip24 </v>
      </c>
      <c r="C1260" s="283" t="str">
        <f>IFERROR(__xludf.DUMMYFUNCTION("""COMPUTED_VALUE"""),"https://www.tiktok.com/@destikadwip24 ")</f>
        <v>https://www.tiktok.com/@destikadwip24 </v>
      </c>
      <c r="D1260" s="273">
        <f>IFERROR(__xludf.DUMMYFUNCTION("""COMPUTED_VALUE"""),8.528167448E10)</f>
        <v>85281674480</v>
      </c>
      <c r="E1260" s="458">
        <f>IFERROR(__xludf.DUMMYFUNCTION("""COMPUTED_VALUE"""),0.0)</f>
        <v>0</v>
      </c>
      <c r="F1260" s="273">
        <f>IFERROR(__xludf.DUMMYFUNCTION("""COMPUTED_VALUE"""),1.0)</f>
        <v>1</v>
      </c>
      <c r="G1260" t="str">
        <f>IFERROR(__xludf.DUMMYFUNCTION("""COMPUTED_VALUE"""),"Sabun batang 1 Box ( 2 PCS )")</f>
        <v>Sabun batang 1 Box ( 2 PCS )</v>
      </c>
      <c r="H1260" s="469" t="str">
        <f>IFERROR(__xludf.DUMMYFUNCTION("""COMPUTED_VALUE"""),"Sampai")</f>
        <v>Sampai</v>
      </c>
      <c r="I1260" s="470" t="str">
        <f>IFERROR(__xludf.DUMMYFUNCTION("""COMPUTED_VALUE"""),"KIMME")</f>
        <v>KIMME</v>
      </c>
      <c r="J1260" s="471" t="str">
        <f>IFERROR(__xludf.DUMMYFUNCTION("""COMPUTED_VALUE"""),"https://vt.tiktok.com/ZS9M7BywS/")</f>
        <v>https://vt.tiktok.com/ZS9M7BywS/</v>
      </c>
      <c r="K1260" s="470" t="str">
        <f>IFERROR(__xludf.DUMMYFUNCTION("""COMPUTED_VALUE"""),"KIMME")</f>
        <v>KIMME</v>
      </c>
      <c r="L1260" s="471" t="str">
        <f>IFERROR(__xludf.DUMMYFUNCTION("""COMPUTED_VALUE"""),"https://vt.tiktok.com/ZS9M7j4DV/")</f>
        <v>https://vt.tiktok.com/ZS9M7j4DV/</v>
      </c>
      <c r="M1260" s="470"/>
      <c r="N1260" s="471" t="str">
        <f>IFERROR(__xludf.DUMMYFUNCTION("""COMPUTED_VALUE"""),"https://vt.tiktok.com/ZS9M7P3HV/")</f>
        <v>https://vt.tiktok.com/ZS9M7P3HV/</v>
      </c>
      <c r="O1260" s="470"/>
      <c r="P1260" s="471" t="str">
        <f>IFERROR(__xludf.DUMMYFUNCTION("""COMPUTED_VALUE"""),"https://vt.tiktok.com/ZS9M7V9WV/")</f>
        <v>https://vt.tiktok.com/ZS9M7V9WV/</v>
      </c>
    </row>
    <row r="1261">
      <c r="A1261" s="282" t="str">
        <f>IFERROR(__xludf.DUMMYFUNCTION("""COMPUTED_VALUE"""),"MICRO")</f>
        <v>MICRO</v>
      </c>
      <c r="B1261" s="468" t="str">
        <f>IFERROR(__xludf.DUMMYFUNCTION("""COMPUTED_VALUE"""),"Dilayuliana08")</f>
        <v>Dilayuliana08</v>
      </c>
      <c r="C1261" s="283" t="str">
        <f>IFERROR(__xludf.DUMMYFUNCTION("""COMPUTED_VALUE"""),"https://www.tiktok.com/@Dilayuliana08")</f>
        <v>https://www.tiktok.com/@Dilayuliana08</v>
      </c>
      <c r="D1261" s="273">
        <f>IFERROR(__xludf.DUMMYFUNCTION("""COMPUTED_VALUE"""),8.5264771234E10)</f>
        <v>85264771234</v>
      </c>
      <c r="E1261" s="458">
        <f>IFERROR(__xludf.DUMMYFUNCTION("""COMPUTED_VALUE"""),0.0)</f>
        <v>0</v>
      </c>
      <c r="F1261" s="273">
        <f>IFERROR(__xludf.DUMMYFUNCTION("""COMPUTED_VALUE"""),4.0)</f>
        <v>4</v>
      </c>
      <c r="G1261" t="str">
        <f>IFERROR(__xludf.DUMMYFUNCTION("""COMPUTED_VALUE"""),"Sabun batang 1 Box ( 2 PCS )")</f>
        <v>Sabun batang 1 Box ( 2 PCS )</v>
      </c>
      <c r="H1261" s="469" t="str">
        <f>IFERROR(__xludf.DUMMYFUNCTION("""COMPUTED_VALUE"""),"Sampai")</f>
        <v>Sampai</v>
      </c>
      <c r="I1261" s="470" t="str">
        <f>IFERROR(__xludf.DUMMYFUNCTION("""COMPUTED_VALUE"""),"KIMME")</f>
        <v>KIMME</v>
      </c>
      <c r="J1261" s="471" t="str">
        <f>IFERROR(__xludf.DUMMYFUNCTION("""COMPUTED_VALUE"""),"https://vt.tiktok.com/ZS9M7BywS/")</f>
        <v>https://vt.tiktok.com/ZS9M7BywS/</v>
      </c>
      <c r="K1261" s="470" t="str">
        <f>IFERROR(__xludf.DUMMYFUNCTION("""COMPUTED_VALUE"""),"KIMME")</f>
        <v>KIMME</v>
      </c>
      <c r="L1261" s="471" t="str">
        <f>IFERROR(__xludf.DUMMYFUNCTION("""COMPUTED_VALUE"""),"https://vt.tiktok.com/ZS9M7j4DV/")</f>
        <v>https://vt.tiktok.com/ZS9M7j4DV/</v>
      </c>
      <c r="M1261" s="470"/>
      <c r="N1261" s="471" t="str">
        <f>IFERROR(__xludf.DUMMYFUNCTION("""COMPUTED_VALUE"""),"https://vt.tiktok.com/ZS9M7P3HV/")</f>
        <v>https://vt.tiktok.com/ZS9M7P3HV/</v>
      </c>
      <c r="O1261" s="470"/>
      <c r="P1261" s="471" t="str">
        <f>IFERROR(__xludf.DUMMYFUNCTION("""COMPUTED_VALUE"""),"https://vt.tiktok.com/ZS9M7V9WV/")</f>
        <v>https://vt.tiktok.com/ZS9M7V9WV/</v>
      </c>
    </row>
    <row r="1262">
      <c r="A1262" s="282" t="str">
        <f>IFERROR(__xludf.DUMMYFUNCTION("""COMPUTED_VALUE"""),"MICRO")</f>
        <v>MICRO</v>
      </c>
      <c r="B1262" s="468" t="str">
        <f>IFERROR(__xludf.DUMMYFUNCTION("""COMPUTED_VALUE"""),"machalaattee_01l")</f>
        <v>machalaattee_01l</v>
      </c>
      <c r="C1262" s="283" t="str">
        <f>IFERROR(__xludf.DUMMYFUNCTION("""COMPUTED_VALUE"""),"https://www.tiktok.com/@machalaattee_01l")</f>
        <v>https://www.tiktok.com/@machalaattee_01l</v>
      </c>
      <c r="D1262" s="273">
        <f>IFERROR(__xludf.DUMMYFUNCTION("""COMPUTED_VALUE"""),8.5705573584E10)</f>
        <v>85705573584</v>
      </c>
      <c r="E1262" s="458">
        <f>IFERROR(__xludf.DUMMYFUNCTION("""COMPUTED_VALUE"""),0.0)</f>
        <v>0</v>
      </c>
      <c r="F1262" s="273">
        <f>IFERROR(__xludf.DUMMYFUNCTION("""COMPUTED_VALUE"""),4.0)</f>
        <v>4</v>
      </c>
      <c r="G1262" t="str">
        <f>IFERROR(__xludf.DUMMYFUNCTION("""COMPUTED_VALUE"""),"Sabun batang 1 Box ( 2 PCS )")</f>
        <v>Sabun batang 1 Box ( 2 PCS )</v>
      </c>
      <c r="H1262" s="469" t="str">
        <f>IFERROR(__xludf.DUMMYFUNCTION("""COMPUTED_VALUE"""),"Sampai")</f>
        <v>Sampai</v>
      </c>
      <c r="I1262" s="470" t="str">
        <f>IFERROR(__xludf.DUMMYFUNCTION("""COMPUTED_VALUE"""),"KIMME")</f>
        <v>KIMME</v>
      </c>
      <c r="J1262" s="471" t="str">
        <f>IFERROR(__xludf.DUMMYFUNCTION("""COMPUTED_VALUE"""),"https://vt.tiktok.com/ZS9M7BywS/")</f>
        <v>https://vt.tiktok.com/ZS9M7BywS/</v>
      </c>
      <c r="K1262" s="470" t="str">
        <f>IFERROR(__xludf.DUMMYFUNCTION("""COMPUTED_VALUE"""),"KIMME")</f>
        <v>KIMME</v>
      </c>
      <c r="L1262" s="471" t="str">
        <f>IFERROR(__xludf.DUMMYFUNCTION("""COMPUTED_VALUE"""),"https://vt.tiktok.com/ZS9M7j4DV/")</f>
        <v>https://vt.tiktok.com/ZS9M7j4DV/</v>
      </c>
      <c r="M1262" s="470"/>
      <c r="N1262" s="471" t="str">
        <f>IFERROR(__xludf.DUMMYFUNCTION("""COMPUTED_VALUE"""),"https://vt.tiktok.com/ZS9M7P3HV/")</f>
        <v>https://vt.tiktok.com/ZS9M7P3HV/</v>
      </c>
      <c r="O1262" s="470"/>
      <c r="P1262" s="471" t="str">
        <f>IFERROR(__xludf.DUMMYFUNCTION("""COMPUTED_VALUE"""),"https://vt.tiktok.com/ZS9M7V9WV/")</f>
        <v>https://vt.tiktok.com/ZS9M7V9WV/</v>
      </c>
    </row>
    <row r="1263">
      <c r="A1263" s="282" t="str">
        <f>IFERROR(__xludf.DUMMYFUNCTION("""COMPUTED_VALUE"""),"MICRO")</f>
        <v>MICRO</v>
      </c>
      <c r="B1263" s="468" t="str">
        <f>IFERROR(__xludf.DUMMYFUNCTION("""COMPUTED_VALUE"""),"chokichokiwell")</f>
        <v>chokichokiwell</v>
      </c>
      <c r="C1263" s="283" t="str">
        <f>IFERROR(__xludf.DUMMYFUNCTION("""COMPUTED_VALUE"""),"https://www.tiktok.com/@chokichokiwell")</f>
        <v>https://www.tiktok.com/@chokichokiwell</v>
      </c>
      <c r="D1263" s="273">
        <f>IFERROR(__xludf.DUMMYFUNCTION("""COMPUTED_VALUE"""),8.1229337234E10)</f>
        <v>81229337234</v>
      </c>
      <c r="E1263" s="458">
        <f>IFERROR(__xludf.DUMMYFUNCTION("""COMPUTED_VALUE"""),0.0)</f>
        <v>0</v>
      </c>
      <c r="F1263" s="273">
        <f>IFERROR(__xludf.DUMMYFUNCTION("""COMPUTED_VALUE"""),4.0)</f>
        <v>4</v>
      </c>
      <c r="G1263" t="str">
        <f>IFERROR(__xludf.DUMMYFUNCTION("""COMPUTED_VALUE"""),"Sabun batang 1 Box ( 2 PCS )")</f>
        <v>Sabun batang 1 Box ( 2 PCS )</v>
      </c>
      <c r="H1263" s="469" t="str">
        <f>IFERROR(__xludf.DUMMYFUNCTION("""COMPUTED_VALUE"""),"Sampai")</f>
        <v>Sampai</v>
      </c>
      <c r="I1263" s="470" t="str">
        <f>IFERROR(__xludf.DUMMYFUNCTION("""COMPUTED_VALUE"""),"KIMME")</f>
        <v>KIMME</v>
      </c>
      <c r="J1263" s="471" t="str">
        <f>IFERROR(__xludf.DUMMYFUNCTION("""COMPUTED_VALUE"""),"https://vt.tiktok.com/ZS9M7BywS/")</f>
        <v>https://vt.tiktok.com/ZS9M7BywS/</v>
      </c>
      <c r="K1263" s="470" t="str">
        <f>IFERROR(__xludf.DUMMYFUNCTION("""COMPUTED_VALUE"""),"KIMME")</f>
        <v>KIMME</v>
      </c>
      <c r="L1263" s="471" t="str">
        <f>IFERROR(__xludf.DUMMYFUNCTION("""COMPUTED_VALUE"""),"https://vt.tiktok.com/ZS9M7j4DV/")</f>
        <v>https://vt.tiktok.com/ZS9M7j4DV/</v>
      </c>
      <c r="M1263" s="470"/>
      <c r="N1263" s="471" t="str">
        <f>IFERROR(__xludf.DUMMYFUNCTION("""COMPUTED_VALUE"""),"https://vt.tiktok.com/ZS9M7P3HV/")</f>
        <v>https://vt.tiktok.com/ZS9M7P3HV/</v>
      </c>
      <c r="O1263" s="470"/>
      <c r="P1263" s="471" t="str">
        <f>IFERROR(__xludf.DUMMYFUNCTION("""COMPUTED_VALUE"""),"https://vt.tiktok.com/ZS9M7V9WV/")</f>
        <v>https://vt.tiktok.com/ZS9M7V9WV/</v>
      </c>
    </row>
    <row r="1264">
      <c r="A1264" s="282" t="str">
        <f>IFERROR(__xludf.DUMMYFUNCTION("""COMPUTED_VALUE"""),"MICRO")</f>
        <v>MICRO</v>
      </c>
      <c r="B1264" s="468" t="str">
        <f>IFERROR(__xludf.DUMMYFUNCTION("""COMPUTED_VALUE"""),"febrianggunn ")</f>
        <v>febrianggunn </v>
      </c>
      <c r="C1264" s="283" t="str">
        <f>IFERROR(__xludf.DUMMYFUNCTION("""COMPUTED_VALUE"""),"https://www.tiktok.com/@febrianggunn ")</f>
        <v>https://www.tiktok.com/@febrianggunn </v>
      </c>
      <c r="D1264" s="273">
        <f>IFERROR(__xludf.DUMMYFUNCTION("""COMPUTED_VALUE"""),8.2282397046E10)</f>
        <v>82282397046</v>
      </c>
      <c r="E1264" s="458">
        <f>IFERROR(__xludf.DUMMYFUNCTION("""COMPUTED_VALUE"""),50000.0)</f>
        <v>50000</v>
      </c>
      <c r="F1264" s="273">
        <f>IFERROR(__xludf.DUMMYFUNCTION("""COMPUTED_VALUE"""),1.0)</f>
        <v>1</v>
      </c>
      <c r="G1264" t="str">
        <f>IFERROR(__xludf.DUMMYFUNCTION("""COMPUTED_VALUE"""),"Sabun batang 1 Box ( 2 PCS )")</f>
        <v>Sabun batang 1 Box ( 2 PCS )</v>
      </c>
      <c r="H1264" s="469" t="str">
        <f>IFERROR(__xludf.DUMMYFUNCTION("""COMPUTED_VALUE"""),"Sampai")</f>
        <v>Sampai</v>
      </c>
      <c r="I1264" s="470" t="str">
        <f>IFERROR(__xludf.DUMMYFUNCTION("""COMPUTED_VALUE"""),"KIMME")</f>
        <v>KIMME</v>
      </c>
      <c r="J1264" s="471" t="str">
        <f>IFERROR(__xludf.DUMMYFUNCTION("""COMPUTED_VALUE"""),"https://vt.tiktok.com/ZS9fPXGUH/")</f>
        <v>https://vt.tiktok.com/ZS9fPXGUH/</v>
      </c>
      <c r="K1264" s="470" t="str">
        <f>IFERROR(__xludf.DUMMYFUNCTION("""COMPUTED_VALUE"""),"KIMME")</f>
        <v>KIMME</v>
      </c>
      <c r="L1264" s="471" t="str">
        <f>IFERROR(__xludf.DUMMYFUNCTION("""COMPUTED_VALUE"""),"https://www.tiktok.com/@febrianggunn/video/7634010538040642824?_r=1&amp;u_code=dgj07mmj47mce2&amp;region=&amp;mid=7399648575468079878&amp;preview_pb=0&amp;sharer_language=&amp;_d=0&amp;ec_shared_reflux_dynamic_params=%7B%22placeholder_material_id%22%3A%227634010538040642824%22%2C%22"&amp;"placeholder_origin_cover%22%3A%22https%253A%252F%252Fp16-common-sign.tiktokcdn.com%252Ftos-alisg-p-0037%252FoAn7dLwtBIzCJx2mAViAcjRSCBfUprBIiqg5Ee~tplv-tiktokx-origin.jpeg%253Fdr%253D14572%2526refresh_token%253De092a6c2%2526x-expires%253D1809504000%2526x-"&amp;"signature%253DrIZqK0pDityR0wHsYMV%25252Fe4kE5bQ%25253D%2526t%253D4d5b0474%2526ps%253D13740610%2526shp%253Dd05b14bd%2526shcp%253D34ff8df6%2526idc%253Dmy%2526s%253DTIKTOK_AFFILIATE_VIRAL_VIDEO%22%2C%22placeholder_product_id%22%3A%221729427766722726591%22%2C"&amp;"%22placeholder_video_id%22%3A%227634010538040642824%22%7D&amp;ec_shared_reflux_scene=shop_tab_feed&amp;share_item_id=7634010538040642824&amp;source=h5_t")</f>
        <v>https://www.tiktok.com/@febrianggunn/video/7634010538040642824?_r=1&amp;u_code=dgj07mmj47mce2&amp;region=&amp;mid=7399648575468079878&amp;preview_pb=0&amp;sharer_language=&amp;_d=0&amp;ec_shared_reflux_dynamic_params=%7B%22placeholder_material_id%22%3A%227634010538040642824%22%2C%22placeholder_origin_cover%22%3A%22https%253A%252F%252Fp16-common-sign.tiktokcdn.com%252Ftos-alisg-p-0037%252FoAn7dLwtBIzCJx2mAViAcjRSCBfUprBIiqg5Ee~tplv-tiktokx-origin.jpeg%253Fdr%253D14572%2526refresh_token%253De092a6c2%2526x-expires%253D1809504000%2526x-signature%253DrIZqK0pDityR0wHsYMV%25252Fe4kE5bQ%25253D%2526t%253D4d5b0474%2526ps%253D13740610%2526shp%253Dd05b14bd%2526shcp%253D34ff8df6%2526idc%253Dmy%2526s%253DTIKTOK_AFFILIATE_VIRAL_VIDEO%22%2C%22placeholder_product_id%22%3A%221729427766722726591%22%2C%22placeholder_video_id%22%3A%227634010538040642824%22%7D&amp;ec_shared_reflux_scene=shop_tab_feed&amp;share_item_id=7634010538040642824&amp;source=h5_t</v>
      </c>
      <c r="M1264" s="470"/>
      <c r="N1264" s="471" t="str">
        <f>IFERROR(__xludf.DUMMYFUNCTION("""COMPUTED_VALUE"""),"https://vt.tiktok.com/ZSxWDVQK3/")</f>
        <v>https://vt.tiktok.com/ZSxWDVQK3/</v>
      </c>
      <c r="O1264" s="470"/>
      <c r="P1264" s="471" t="str">
        <f>IFERROR(__xludf.DUMMYFUNCTION("""COMPUTED_VALUE"""),"https://vt.tiktok.com/ZSxWDAXSF/")</f>
        <v>https://vt.tiktok.com/ZSxWDAXSF/</v>
      </c>
    </row>
    <row r="1265">
      <c r="A1265" s="282" t="str">
        <f>IFERROR(__xludf.DUMMYFUNCTION("""COMPUTED_VALUE"""),"MICRO")</f>
        <v>MICRO</v>
      </c>
      <c r="B1265" s="468" t="str">
        <f>IFERROR(__xludf.DUMMYFUNCTION("""COMPUTED_VALUE"""),"wwcoffeeaddict")</f>
        <v>wwcoffeeaddict</v>
      </c>
      <c r="C1265" s="283" t="str">
        <f>IFERROR(__xludf.DUMMYFUNCTION("""COMPUTED_VALUE"""),"https://www.tiktok.com/@wwcoffeeaddict")</f>
        <v>https://www.tiktok.com/@wwcoffeeaddict</v>
      </c>
      <c r="D1265" s="273">
        <f>IFERROR(__xludf.DUMMYFUNCTION("""COMPUTED_VALUE"""),8.9504673514E10)</f>
        <v>89504673514</v>
      </c>
      <c r="E1265" s="458">
        <f>IFERROR(__xludf.DUMMYFUNCTION("""COMPUTED_VALUE"""),0.0)</f>
        <v>0</v>
      </c>
      <c r="F1265" s="273">
        <f>IFERROR(__xludf.DUMMYFUNCTION("""COMPUTED_VALUE"""),4.0)</f>
        <v>4</v>
      </c>
      <c r="G1265" t="str">
        <f>IFERROR(__xludf.DUMMYFUNCTION("""COMPUTED_VALUE"""),"Sabun batang 1 Box ( 2 PCS )")</f>
        <v>Sabun batang 1 Box ( 2 PCS )</v>
      </c>
      <c r="H1265" s="469" t="str">
        <f>IFERROR(__xludf.DUMMYFUNCTION("""COMPUTED_VALUE"""),"Sampai")</f>
        <v>Sampai</v>
      </c>
      <c r="I1265" s="470" t="str">
        <f>IFERROR(__xludf.DUMMYFUNCTION("""COMPUTED_VALUE"""),"KIMME")</f>
        <v>KIMME</v>
      </c>
      <c r="J1265" s="471" t="str">
        <f>IFERROR(__xludf.DUMMYFUNCTION("""COMPUTED_VALUE"""),"https://vt.tiktok.com/ZS9jTks1k/")</f>
        <v>https://vt.tiktok.com/ZS9jTks1k/</v>
      </c>
      <c r="K1265" s="470" t="str">
        <f>IFERROR(__xludf.DUMMYFUNCTION("""COMPUTED_VALUE"""),"KIMME")</f>
        <v>KIMME</v>
      </c>
      <c r="L1265" s="471" t="str">
        <f>IFERROR(__xludf.DUMMYFUNCTION("""COMPUTED_VALUE"""),"https://vt.tiktok.com/ZS9jTyBBX/")</f>
        <v>https://vt.tiktok.com/ZS9jTyBBX/</v>
      </c>
      <c r="M1265" s="470"/>
      <c r="N1265" s="471" t="str">
        <f>IFERROR(__xludf.DUMMYFUNCTION("""COMPUTED_VALUE"""),"https://vt.tiktok.com/ZS9kJnjAS/")</f>
        <v>https://vt.tiktok.com/ZS9kJnjAS/</v>
      </c>
      <c r="O1265" s="470"/>
      <c r="P1265" s="471" t="str">
        <f>IFERROR(__xludf.DUMMYFUNCTION("""COMPUTED_VALUE"""),"https://vt.tiktok.com/ZS9kJWGRt/")</f>
        <v>https://vt.tiktok.com/ZS9kJWGRt/</v>
      </c>
    </row>
    <row r="1266">
      <c r="A1266" s="282" t="str">
        <f>IFERROR(__xludf.DUMMYFUNCTION("""COMPUTED_VALUE"""),"MICRO")</f>
        <v>MICRO</v>
      </c>
      <c r="B1266" s="468" t="str">
        <f>IFERROR(__xludf.DUMMYFUNCTION("""COMPUTED_VALUE"""),"Prettygirls.www")</f>
        <v>Prettygirls.www</v>
      </c>
      <c r="C1266" s="283" t="str">
        <f>IFERROR(__xludf.DUMMYFUNCTION("""COMPUTED_VALUE"""),"https://www.tiktok.com/@Prettygirls.www")</f>
        <v>https://www.tiktok.com/@Prettygirls.www</v>
      </c>
      <c r="D1266" s="273">
        <f>IFERROR(__xludf.DUMMYFUNCTION("""COMPUTED_VALUE"""),8.1936933668E10)</f>
        <v>81936933668</v>
      </c>
      <c r="E1266" s="458">
        <f>IFERROR(__xludf.DUMMYFUNCTION("""COMPUTED_VALUE"""),0.0)</f>
        <v>0</v>
      </c>
      <c r="F1266" s="273">
        <f>IFERROR(__xludf.DUMMYFUNCTION("""COMPUTED_VALUE"""),4.0)</f>
        <v>4</v>
      </c>
      <c r="G1266" t="str">
        <f>IFERROR(__xludf.DUMMYFUNCTION("""COMPUTED_VALUE"""),"Sabun batang 1 Box ( 2 PCS )")</f>
        <v>Sabun batang 1 Box ( 2 PCS )</v>
      </c>
      <c r="H1266" s="469" t="str">
        <f>IFERROR(__xludf.DUMMYFUNCTION("""COMPUTED_VALUE"""),"Sampai")</f>
        <v>Sampai</v>
      </c>
      <c r="I1266" s="470" t="str">
        <f>IFERROR(__xludf.DUMMYFUNCTION("""COMPUTED_VALUE"""),"KIMME")</f>
        <v>KIMME</v>
      </c>
      <c r="J1266" s="471" t="str">
        <f>IFERROR(__xludf.DUMMYFUNCTION("""COMPUTED_VALUE"""),"https://vt.tiktok.com/ZS9Y5KpbQ/")</f>
        <v>https://vt.tiktok.com/ZS9Y5KpbQ/</v>
      </c>
      <c r="K1266" s="470" t="str">
        <f>IFERROR(__xludf.DUMMYFUNCTION("""COMPUTED_VALUE"""),"KIMME")</f>
        <v>KIMME</v>
      </c>
      <c r="L1266" s="471" t="str">
        <f>IFERROR(__xludf.DUMMYFUNCTION("""COMPUTED_VALUE"""),"https://vt.tiktok.com/ZS9A5a9Ph/")</f>
        <v>https://vt.tiktok.com/ZS9A5a9Ph/</v>
      </c>
      <c r="M1266" s="470"/>
      <c r="N1266" s="471" t="str">
        <f>IFERROR(__xludf.DUMMYFUNCTION("""COMPUTED_VALUE"""),"https://vt.tiktok.com/ZS9A5HjLM/")</f>
        <v>https://vt.tiktok.com/ZS9A5HjLM/</v>
      </c>
      <c r="O1266" s="470"/>
      <c r="P1266" s="471" t="str">
        <f>IFERROR(__xludf.DUMMYFUNCTION("""COMPUTED_VALUE"""),"https://vt.tiktok.com/ZSxWDUg5P/")</f>
        <v>https://vt.tiktok.com/ZSxWDUg5P/</v>
      </c>
    </row>
    <row r="1267">
      <c r="A1267" s="282" t="str">
        <f>IFERROR(__xludf.DUMMYFUNCTION("""COMPUTED_VALUE"""),"MICRO")</f>
        <v>MICRO</v>
      </c>
      <c r="B1267" s="468" t="str">
        <f>IFERROR(__xludf.DUMMYFUNCTION("""COMPUTED_VALUE"""),"Ranianggraini_5")</f>
        <v>Ranianggraini_5</v>
      </c>
      <c r="C1267" s="283" t="str">
        <f>IFERROR(__xludf.DUMMYFUNCTION("""COMPUTED_VALUE"""),"https://www.tiktok.com/@Ranianggraini_5")</f>
        <v>https://www.tiktok.com/@Ranianggraini_5</v>
      </c>
      <c r="D1267" s="273">
        <f>IFERROR(__xludf.DUMMYFUNCTION("""COMPUTED_VALUE"""),8.7832160462E10)</f>
        <v>87832160462</v>
      </c>
      <c r="E1267" s="458">
        <f>IFERROR(__xludf.DUMMYFUNCTION("""COMPUTED_VALUE"""),0.0)</f>
        <v>0</v>
      </c>
      <c r="F1267" s="273">
        <f>IFERROR(__xludf.DUMMYFUNCTION("""COMPUTED_VALUE"""),2.0)</f>
        <v>2</v>
      </c>
      <c r="G1267" t="str">
        <f>IFERROR(__xludf.DUMMYFUNCTION("""COMPUTED_VALUE"""),"Sabun batang 1 Box ( 2 PCS )")</f>
        <v>Sabun batang 1 Box ( 2 PCS )</v>
      </c>
      <c r="H1267" s="469" t="str">
        <f>IFERROR(__xludf.DUMMYFUNCTION("""COMPUTED_VALUE"""),"Sampai")</f>
        <v>Sampai</v>
      </c>
      <c r="I1267" s="470" t="str">
        <f>IFERROR(__xludf.DUMMYFUNCTION("""COMPUTED_VALUE"""),"KIMME")</f>
        <v>KIMME</v>
      </c>
      <c r="J1267" s="471" t="str">
        <f>IFERROR(__xludf.DUMMYFUNCTION("""COMPUTED_VALUE"""),"https://vt.tiktok.com/ZS9pwmKHF/")</f>
        <v>https://vt.tiktok.com/ZS9pwmKHF/</v>
      </c>
      <c r="K1267" s="470" t="str">
        <f>IFERROR(__xludf.DUMMYFUNCTION("""COMPUTED_VALUE"""),"KIMME")</f>
        <v>KIMME</v>
      </c>
      <c r="L1267" s="471" t="str">
        <f>IFERROR(__xludf.DUMMYFUNCTION("""COMPUTED_VALUE"""),"https://vt.tiktok.com/ZS9pwarUd/")</f>
        <v>https://vt.tiktok.com/ZS9pwarUd/</v>
      </c>
      <c r="M1267" s="470"/>
      <c r="N1267" s="471" t="str">
        <f>IFERROR(__xludf.DUMMYFUNCTION("""COMPUTED_VALUE"""),"https://vt.tiktok.com/ZSxWDocr2/")</f>
        <v>https://vt.tiktok.com/ZSxWDocr2/</v>
      </c>
      <c r="O1267" s="470"/>
      <c r="P1267" s="471" t="str">
        <f>IFERROR(__xludf.DUMMYFUNCTION("""COMPUTED_VALUE"""),"https://vt.tiktok.com/ZSxWUJPnb/")</f>
        <v>https://vt.tiktok.com/ZSxWUJPnb/</v>
      </c>
    </row>
    <row r="1268">
      <c r="A1268" s="282" t="str">
        <f>IFERROR(__xludf.DUMMYFUNCTION("""COMPUTED_VALUE"""),"MICRO")</f>
        <v>MICRO</v>
      </c>
      <c r="B1268" s="468" t="str">
        <f>IFERROR(__xludf.DUMMYFUNCTION("""COMPUTED_VALUE"""),"fafarorraja")</f>
        <v>fafarorraja</v>
      </c>
      <c r="C1268" s="283" t="str">
        <f>IFERROR(__xludf.DUMMYFUNCTION("""COMPUTED_VALUE"""),"https://www.tiktok.com/@fafarorraja")</f>
        <v>https://www.tiktok.com/@fafarorraja</v>
      </c>
      <c r="D1268" s="273">
        <f>IFERROR(__xludf.DUMMYFUNCTION("""COMPUTED_VALUE"""),8.820080896E11)</f>
        <v>882008089600</v>
      </c>
      <c r="E1268" s="458">
        <f>IFERROR(__xludf.DUMMYFUNCTION("""COMPUTED_VALUE"""),0.0)</f>
        <v>0</v>
      </c>
      <c r="F1268" s="273">
        <f>IFERROR(__xludf.DUMMYFUNCTION("""COMPUTED_VALUE"""),4.0)</f>
        <v>4</v>
      </c>
      <c r="G1268" t="str">
        <f>IFERROR(__xludf.DUMMYFUNCTION("""COMPUTED_VALUE"""),"Sabun batang 1 Box ( 2 PCS )")</f>
        <v>Sabun batang 1 Box ( 2 PCS )</v>
      </c>
      <c r="H1268" s="469" t="str">
        <f>IFERROR(__xludf.DUMMYFUNCTION("""COMPUTED_VALUE"""),"Sampai")</f>
        <v>Sampai</v>
      </c>
      <c r="I1268" s="470" t="str">
        <f>IFERROR(__xludf.DUMMYFUNCTION("""COMPUTED_VALUE"""),"KIMME")</f>
        <v>KIMME</v>
      </c>
      <c r="J1268" s="471" t="str">
        <f>IFERROR(__xludf.DUMMYFUNCTION("""COMPUTED_VALUE"""),"https://vt.tiktok.com/ZSxWUFkEh/")</f>
        <v>https://vt.tiktok.com/ZSxWUFkEh/</v>
      </c>
      <c r="K1268" s="470" t="str">
        <f>IFERROR(__xludf.DUMMYFUNCTION("""COMPUTED_VALUE"""),"KIMME")</f>
        <v>KIMME</v>
      </c>
      <c r="L1268" s="471" t="str">
        <f>IFERROR(__xludf.DUMMYFUNCTION("""COMPUTED_VALUE"""),"https://vt.tiktok.com/ZSxWULkuV/")</f>
        <v>https://vt.tiktok.com/ZSxWULkuV/</v>
      </c>
      <c r="M1268" s="470"/>
      <c r="N1268" s="471" t="str">
        <f>IFERROR(__xludf.DUMMYFUNCTION("""COMPUTED_VALUE"""),"https://vt.tiktok.com/ZSxWDTnou/")</f>
        <v>https://vt.tiktok.com/ZSxWDTnou/</v>
      </c>
      <c r="O1268" s="470"/>
      <c r="P1268" s="471" t="str">
        <f>IFERROR(__xludf.DUMMYFUNCTION("""COMPUTED_VALUE"""),"https://vt.tiktok.com/ZSxWD3rmu/")</f>
        <v>https://vt.tiktok.com/ZSxWD3rmu/</v>
      </c>
    </row>
    <row r="1269">
      <c r="A1269" s="282" t="str">
        <f>IFERROR(__xludf.DUMMYFUNCTION("""COMPUTED_VALUE"""),"MICRO")</f>
        <v>MICRO</v>
      </c>
      <c r="B1269" s="468" t="str">
        <f>IFERROR(__xludf.DUMMYFUNCTION("""COMPUTED_VALUE"""),"withfadilla")</f>
        <v>withfadilla</v>
      </c>
      <c r="C1269" s="283" t="str">
        <f>IFERROR(__xludf.DUMMYFUNCTION("""COMPUTED_VALUE"""),"https://www.tiktok.com/@withfadilla")</f>
        <v>https://www.tiktok.com/@withfadilla</v>
      </c>
      <c r="D1269" s="273">
        <f>IFERROR(__xludf.DUMMYFUNCTION("""COMPUTED_VALUE"""),8.5769373769E10)</f>
        <v>85769373769</v>
      </c>
      <c r="E1269" s="458">
        <f>IFERROR(__xludf.DUMMYFUNCTION("""COMPUTED_VALUE"""),0.0)</f>
        <v>0</v>
      </c>
      <c r="F1269" s="273">
        <f>IFERROR(__xludf.DUMMYFUNCTION("""COMPUTED_VALUE"""),2.0)</f>
        <v>2</v>
      </c>
      <c r="G1269" t="str">
        <f>IFERROR(__xludf.DUMMYFUNCTION("""COMPUTED_VALUE"""),"Sabun batang 1 Box ( 2 PCS )")</f>
        <v>Sabun batang 1 Box ( 2 PCS )</v>
      </c>
      <c r="H1269" s="469" t="str">
        <f>IFERROR(__xludf.DUMMYFUNCTION("""COMPUTED_VALUE"""),"Sampai")</f>
        <v>Sampai</v>
      </c>
      <c r="I1269" s="470" t="str">
        <f>IFERROR(__xludf.DUMMYFUNCTION("""COMPUTED_VALUE"""),"KIMME")</f>
        <v>KIMME</v>
      </c>
      <c r="J1269" s="471" t="str">
        <f>IFERROR(__xludf.DUMMYFUNCTION("""COMPUTED_VALUE"""),"https://vt.tiktok.com/ZSxWUJJLR/")</f>
        <v>https://vt.tiktok.com/ZSxWUJJLR/</v>
      </c>
      <c r="K1269" s="470" t="str">
        <f>IFERROR(__xludf.DUMMYFUNCTION("""COMPUTED_VALUE"""),"KIMME")</f>
        <v>KIMME</v>
      </c>
      <c r="L1269" s="471" t="str">
        <f>IFERROR(__xludf.DUMMYFUNCTION("""COMPUTED_VALUE"""),"https://vt.tiktok.com/ZSxWDcomX/")</f>
        <v>https://vt.tiktok.com/ZSxWDcomX/</v>
      </c>
      <c r="M1269" s="470"/>
      <c r="N1269" s="471" t="str">
        <f>IFERROR(__xludf.DUMMYFUNCTION("""COMPUTED_VALUE"""),"https://vt.tiktok.com/ZSxWDTVxa/")</f>
        <v>https://vt.tiktok.com/ZSxWDTVxa/</v>
      </c>
      <c r="O1269" s="470"/>
      <c r="P1269" s="471" t="str">
        <f>IFERROR(__xludf.DUMMYFUNCTION("""COMPUTED_VALUE"""),"https://vt.tiktok.com/ZSxWUJdmq/")</f>
        <v>https://vt.tiktok.com/ZSxWUJdmq/</v>
      </c>
    </row>
    <row r="1270">
      <c r="A1270" s="282" t="str">
        <f>IFERROR(__xludf.DUMMYFUNCTION("""COMPUTED_VALUE"""),"MICRO")</f>
        <v>MICRO</v>
      </c>
      <c r="B1270" s="468" t="str">
        <f>IFERROR(__xludf.DUMMYFUNCTION("""COMPUTED_VALUE"""),"Deppi_angraeni")</f>
        <v>Deppi_angraeni</v>
      </c>
      <c r="C1270" s="283" t="str">
        <f>IFERROR(__xludf.DUMMYFUNCTION("""COMPUTED_VALUE"""),"https://www.tiktok.com/@Deppi_angraeni")</f>
        <v>https://www.tiktok.com/@Deppi_angraeni</v>
      </c>
      <c r="D1270" s="273">
        <f>IFERROR(__xludf.DUMMYFUNCTION("""COMPUTED_VALUE"""),8.81022261944E11)</f>
        <v>881022261944</v>
      </c>
      <c r="E1270" s="458">
        <f>IFERROR(__xludf.DUMMYFUNCTION("""COMPUTED_VALUE"""),0.0)</f>
        <v>0</v>
      </c>
      <c r="F1270" s="273">
        <f>IFERROR(__xludf.DUMMYFUNCTION("""COMPUTED_VALUE"""),4.0)</f>
        <v>4</v>
      </c>
      <c r="G1270" t="str">
        <f>IFERROR(__xludf.DUMMYFUNCTION("""COMPUTED_VALUE"""),"Sabun batang 1 Box ( 2 PCS )")</f>
        <v>Sabun batang 1 Box ( 2 PCS )</v>
      </c>
      <c r="H1270" s="469" t="str">
        <f>IFERROR(__xludf.DUMMYFUNCTION("""COMPUTED_VALUE"""),"Sampai")</f>
        <v>Sampai</v>
      </c>
      <c r="I1270" s="470" t="str">
        <f>IFERROR(__xludf.DUMMYFUNCTION("""COMPUTED_VALUE"""),"KIMME")</f>
        <v>KIMME</v>
      </c>
      <c r="J1270" s="471" t="str">
        <f>IFERROR(__xludf.DUMMYFUNCTION("""COMPUTED_VALUE"""),"https://vt.tiktok.com/ZS9BtHDCn/")</f>
        <v>https://vt.tiktok.com/ZS9BtHDCn/</v>
      </c>
      <c r="K1270" s="470" t="str">
        <f>IFERROR(__xludf.DUMMYFUNCTION("""COMPUTED_VALUE"""),"KIMME")</f>
        <v>KIMME</v>
      </c>
      <c r="L1270" s="471" t="str">
        <f>IFERROR(__xludf.DUMMYFUNCTION("""COMPUTED_VALUE"""),"https://vt.tiktok.com/ZS9Btbnw9/")</f>
        <v>https://vt.tiktok.com/ZS9Btbnw9/</v>
      </c>
      <c r="M1270" s="470"/>
      <c r="N1270" s="471" t="str">
        <f>IFERROR(__xludf.DUMMYFUNCTION("""COMPUTED_VALUE"""),"https://vt.tiktok.com/ZSxWU2RwJ/")</f>
        <v>https://vt.tiktok.com/ZSxWU2RwJ/</v>
      </c>
      <c r="O1270" s="470"/>
      <c r="P1270" t="str">
        <f>IFERROR(__xludf.DUMMYFUNCTION("""COMPUTED_VALUE"""),"⁠https://vt.tiktok.com/ZSxWUVMmj/")</f>
        <v>⁠https://vt.tiktok.com/ZSxWUVMmj/</v>
      </c>
    </row>
    <row r="1271">
      <c r="A1271" s="282" t="str">
        <f>IFERROR(__xludf.DUMMYFUNCTION("""COMPUTED_VALUE"""),"MICRO")</f>
        <v>MICRO</v>
      </c>
      <c r="B1271" s="468" t="str">
        <f>IFERROR(__xludf.DUMMYFUNCTION("""COMPUTED_VALUE"""),"Biinbiinstore")</f>
        <v>Biinbiinstore</v>
      </c>
      <c r="C1271" s="283" t="str">
        <f>IFERROR(__xludf.DUMMYFUNCTION("""COMPUTED_VALUE"""),"https://www.tiktok.com/@Biinbiinstore")</f>
        <v>https://www.tiktok.com/@Biinbiinstore</v>
      </c>
      <c r="D1271" s="273">
        <f>IFERROR(__xludf.DUMMYFUNCTION("""COMPUTED_VALUE"""),8.1386681151E10)</f>
        <v>81386681151</v>
      </c>
      <c r="E1271" s="458">
        <f>IFERROR(__xludf.DUMMYFUNCTION("""COMPUTED_VALUE"""),0.0)</f>
        <v>0</v>
      </c>
      <c r="F1271" s="273">
        <f>IFERROR(__xludf.DUMMYFUNCTION("""COMPUTED_VALUE"""),2.0)</f>
        <v>2</v>
      </c>
      <c r="G1271" t="str">
        <f>IFERROR(__xludf.DUMMYFUNCTION("""COMPUTED_VALUE"""),"Sabun batang 1 Box ( 2 PCS )")</f>
        <v>Sabun batang 1 Box ( 2 PCS )</v>
      </c>
      <c r="H1271" s="469" t="str">
        <f>IFERROR(__xludf.DUMMYFUNCTION("""COMPUTED_VALUE"""),"Sampai")</f>
        <v>Sampai</v>
      </c>
      <c r="I1271" s="470" t="str">
        <f>IFERROR(__xludf.DUMMYFUNCTION("""COMPUTED_VALUE"""),"KIMME")</f>
        <v>KIMME</v>
      </c>
      <c r="J1271" s="471" t="str">
        <f>IFERROR(__xludf.DUMMYFUNCTION("""COMPUTED_VALUE"""),"https://vt.tiktok.com/ZSxHdMWwR/")</f>
        <v>https://vt.tiktok.com/ZSxHdMWwR/</v>
      </c>
      <c r="K1271" s="470" t="str">
        <f>IFERROR(__xludf.DUMMYFUNCTION("""COMPUTED_VALUE"""),"KIMME")</f>
        <v>KIMME</v>
      </c>
      <c r="L1271" s="471" t="str">
        <f>IFERROR(__xludf.DUMMYFUNCTION("""COMPUTED_VALUE"""),"https://vt.tiktok.com/ZS9qr62TF/")</f>
        <v>https://vt.tiktok.com/ZS9qr62TF/</v>
      </c>
      <c r="M1271" s="470"/>
      <c r="N1271" s="471" t="str">
        <f>IFERROR(__xludf.DUMMYFUNCTION("""COMPUTED_VALUE"""),"https://vt.tiktok.com/ZSxmUD5Gt/")</f>
        <v>https://vt.tiktok.com/ZSxmUD5Gt/</v>
      </c>
      <c r="O1271" s="470"/>
      <c r="P1271" t="str">
        <f>IFERROR(__xludf.DUMMYFUNCTION("""COMPUTED_VALUE"""),"⁠https://vt.tiktok.com/ZSxmUjmBm/")</f>
        <v>⁠https://vt.tiktok.com/ZSxmUjmBm/</v>
      </c>
    </row>
    <row r="1272">
      <c r="A1272" s="282" t="str">
        <f>IFERROR(__xludf.DUMMYFUNCTION("""COMPUTED_VALUE"""),"MICRO")</f>
        <v>MICRO</v>
      </c>
      <c r="B1272" s="468" t="str">
        <f>IFERROR(__xludf.DUMMYFUNCTION("""COMPUTED_VALUE"""),"Innesuw_makeup")</f>
        <v>Innesuw_makeup</v>
      </c>
      <c r="C1272" s="283" t="str">
        <f>IFERROR(__xludf.DUMMYFUNCTION("""COMPUTED_VALUE"""),"https://www.tiktok.com/@Innesuw_makeup")</f>
        <v>https://www.tiktok.com/@Innesuw_makeup</v>
      </c>
      <c r="D1272" s="273">
        <f>IFERROR(__xludf.DUMMYFUNCTION("""COMPUTED_VALUE"""),8.5860456188E10)</f>
        <v>85860456188</v>
      </c>
      <c r="E1272" s="458">
        <f>IFERROR(__xludf.DUMMYFUNCTION("""COMPUTED_VALUE"""),0.0)</f>
        <v>0</v>
      </c>
      <c r="F1272" s="273">
        <f>IFERROR(__xludf.DUMMYFUNCTION("""COMPUTED_VALUE"""),4.0)</f>
        <v>4</v>
      </c>
      <c r="G1272" t="str">
        <f>IFERROR(__xludf.DUMMYFUNCTION("""COMPUTED_VALUE"""),"Sabun batang 1 Box ( 2 PCS )")</f>
        <v>Sabun batang 1 Box ( 2 PCS )</v>
      </c>
      <c r="H1272" s="469" t="str">
        <f>IFERROR(__xludf.DUMMYFUNCTION("""COMPUTED_VALUE"""),"Sampai")</f>
        <v>Sampai</v>
      </c>
      <c r="I1272" s="470" t="str">
        <f>IFERROR(__xludf.DUMMYFUNCTION("""COMPUTED_VALUE"""),"KIMME")</f>
        <v>KIMME</v>
      </c>
      <c r="J1272" s="471" t="str">
        <f>IFERROR(__xludf.DUMMYFUNCTION("""COMPUTED_VALUE"""),"https://vt.tiktok.com/ZS9YC5HgC/")</f>
        <v>https://vt.tiktok.com/ZS9YC5HgC/</v>
      </c>
      <c r="K1272" s="470" t="str">
        <f>IFERROR(__xludf.DUMMYFUNCTION("""COMPUTED_VALUE"""),"KIMME")</f>
        <v>KIMME</v>
      </c>
      <c r="L1272" s="471" t="str">
        <f>IFERROR(__xludf.DUMMYFUNCTION("""COMPUTED_VALUE"""),"https://www.tiktok.com/@innesuw_makeup/video/7633335813224271111?_r=1&amp;u_code=dieh4ac7f41fmk&amp;region=&amp;mid=7633335852126571285&amp;preview_pb=0&amp;sharer_language=&amp;_d=0&amp;ec_shared_reflux_dynamic_params=%7B%22placeholder_material_id%22%3A%227633335813224271111%22%2C%"&amp;"22placeholder_origin_cover%22%3A%22https%253A%252F%252Fp16-sign-sg.tiktokcdn.com%252Ftos-alisg-p-0037%252Fog01hAezo3gDUHruEDA4gtLIoTX2yTeQGODhCe~tplv-tiktokx-origin.jpeg%253Fdr%253D14572%2526refresh_token%253D245166e4%2526x-expires%253D1808992800%2526x-si"&amp;"gnature%253DdAhgO3D3a3DLx%25252BIAwE4MNgSGptE%25253D%2526t%253D4d5b0474%2526ps%253D13740610%2526shp%253Dd05b14bd%2526shcp%253D34ff8df6%2526idc%253Dmy2%2526s%253DTIKTOK_AFFILIATE_VIRAL_VIDEO%22%2C%22placeholder_product_id%22%3A%221729427766722726591%22%2C%"&amp;"22placeholder_video_id%22%3A%227633335813224271111%22%7D&amp;ec_shared_reflux_scene=shop_tab_feed&amp;share_item_id=7633335813224271111&amp;source=h5_t")</f>
        <v>https://www.tiktok.com/@innesuw_makeup/video/7633335813224271111?_r=1&amp;u_code=dieh4ac7f41fmk&amp;region=&amp;mid=7633335852126571285&amp;preview_pb=0&amp;sharer_language=&amp;_d=0&amp;ec_shared_reflux_dynamic_params=%7B%22placeholder_material_id%22%3A%227633335813224271111%22%2C%22placeholder_origin_cover%22%3A%22https%253A%252F%252Fp16-sign-sg.tiktokcdn.com%252Ftos-alisg-p-0037%252Fog01hAezo3gDUHruEDA4gtLIoTX2yTeQGODhCe~tplv-tiktokx-origin.jpeg%253Fdr%253D14572%2526refresh_token%253D245166e4%2526x-expires%253D1808992800%2526x-signature%253DdAhgO3D3a3DLx%25252BIAwE4MNgSGptE%25253D%2526t%253D4d5b0474%2526ps%253D13740610%2526shp%253Dd05b14bd%2526shcp%253D34ff8df6%2526idc%253Dmy2%2526s%253DTIKTOK_AFFILIATE_VIRAL_VIDEO%22%2C%22placeholder_product_id%22%3A%221729427766722726591%22%2C%22placeholder_video_id%22%3A%227633335813224271111%22%7D&amp;ec_shared_reflux_scene=shop_tab_feed&amp;share_item_id=7633335813224271111&amp;source=h5_t</v>
      </c>
      <c r="M1272" s="470"/>
      <c r="N1272" s="471" t="str">
        <f>IFERROR(__xludf.DUMMYFUNCTION("""COMPUTED_VALUE"""),"https://vt.tiktok.com/ZS9fxN5k5/")</f>
        <v>https://vt.tiktok.com/ZS9fxN5k5/</v>
      </c>
      <c r="O1272" s="470"/>
      <c r="P1272" s="471" t="str">
        <f>IFERROR(__xludf.DUMMYFUNCTION("""COMPUTED_VALUE"""),"https://vt.tiktok.com/ZS9fxruGY/")</f>
        <v>https://vt.tiktok.com/ZS9fxruGY/</v>
      </c>
    </row>
    <row r="1273">
      <c r="A1273" s="282" t="str">
        <f>IFERROR(__xludf.DUMMYFUNCTION("""COMPUTED_VALUE"""),"MICRO")</f>
        <v>MICRO</v>
      </c>
      <c r="B1273" s="468" t="str">
        <f>IFERROR(__xludf.DUMMYFUNCTION("""COMPUTED_VALUE"""),"anggita.mrfa")</f>
        <v>anggita.mrfa</v>
      </c>
      <c r="C1273" s="283" t="str">
        <f>IFERROR(__xludf.DUMMYFUNCTION("""COMPUTED_VALUE"""),"https://www.tiktok.com/@anggita.mrfa")</f>
        <v>https://www.tiktok.com/@anggita.mrfa</v>
      </c>
      <c r="D1273" s="273">
        <f>IFERROR(__xludf.DUMMYFUNCTION("""COMPUTED_VALUE"""),8.1311468244E10)</f>
        <v>81311468244</v>
      </c>
      <c r="E1273" s="458">
        <f>IFERROR(__xludf.DUMMYFUNCTION("""COMPUTED_VALUE"""),0.0)</f>
        <v>0</v>
      </c>
      <c r="F1273" s="273">
        <f>IFERROR(__xludf.DUMMYFUNCTION("""COMPUTED_VALUE"""),2.0)</f>
        <v>2</v>
      </c>
      <c r="G1273" t="str">
        <f>IFERROR(__xludf.DUMMYFUNCTION("""COMPUTED_VALUE"""),"Sabun batang 1 Box ( 2 PCS )")</f>
        <v>Sabun batang 1 Box ( 2 PCS )</v>
      </c>
      <c r="H1273" s="469" t="str">
        <f>IFERROR(__xludf.DUMMYFUNCTION("""COMPUTED_VALUE"""),"Sampai")</f>
        <v>Sampai</v>
      </c>
      <c r="I1273" s="470" t="str">
        <f>IFERROR(__xludf.DUMMYFUNCTION("""COMPUTED_VALUE"""),"KIMME")</f>
        <v>KIMME</v>
      </c>
      <c r="J1273" s="471" t="str">
        <f>IFERROR(__xludf.DUMMYFUNCTION("""COMPUTED_VALUE"""),"https://vt.tiktok.com/ZS9jTks1k/")</f>
        <v>https://vt.tiktok.com/ZS9jTks1k/</v>
      </c>
      <c r="K1273" s="470" t="str">
        <f>IFERROR(__xludf.DUMMYFUNCTION("""COMPUTED_VALUE"""),"KIMME")</f>
        <v>KIMME</v>
      </c>
      <c r="L1273" s="471" t="str">
        <f>IFERROR(__xludf.DUMMYFUNCTION("""COMPUTED_VALUE"""),"https://vt.tiktok.com/ZS9jTyBBX/")</f>
        <v>https://vt.tiktok.com/ZS9jTyBBX/</v>
      </c>
      <c r="M1273" s="470"/>
      <c r="N1273" s="471" t="str">
        <f>IFERROR(__xludf.DUMMYFUNCTION("""COMPUTED_VALUE"""),"https://vt.tiktok.com/ZS9kJnjAS/")</f>
        <v>https://vt.tiktok.com/ZS9kJnjAS/</v>
      </c>
      <c r="O1273" s="470"/>
      <c r="P1273" s="471" t="str">
        <f>IFERROR(__xludf.DUMMYFUNCTION("""COMPUTED_VALUE"""),"https://vt.tiktok.com/ZS9kJWGRt/")</f>
        <v>https://vt.tiktok.com/ZS9kJWGRt/</v>
      </c>
    </row>
    <row r="1274">
      <c r="A1274" s="282" t="str">
        <f>IFERROR(__xludf.DUMMYFUNCTION("""COMPUTED_VALUE"""),"MICRO")</f>
        <v>MICRO</v>
      </c>
      <c r="B1274" s="468" t="str">
        <f>IFERROR(__xludf.DUMMYFUNCTION("""COMPUTED_VALUE"""),"icaluthfi2723")</f>
        <v>icaluthfi2723</v>
      </c>
      <c r="C1274" s="283" t="str">
        <f>IFERROR(__xludf.DUMMYFUNCTION("""COMPUTED_VALUE"""),"https://www.tiktok.com/@icaluthfi2723")</f>
        <v>https://www.tiktok.com/@icaluthfi2723</v>
      </c>
      <c r="D1274" s="273">
        <f>IFERROR(__xludf.DUMMYFUNCTION("""COMPUTED_VALUE"""),8.581396506E10)</f>
        <v>85813965060</v>
      </c>
      <c r="E1274" s="458">
        <f>IFERROR(__xludf.DUMMYFUNCTION("""COMPUTED_VALUE"""),0.0)</f>
        <v>0</v>
      </c>
      <c r="F1274" s="273">
        <f>IFERROR(__xludf.DUMMYFUNCTION("""COMPUTED_VALUE"""),4.0)</f>
        <v>4</v>
      </c>
      <c r="G1274" t="str">
        <f>IFERROR(__xludf.DUMMYFUNCTION("""COMPUTED_VALUE"""),"Sabun batang 1 Box ( 2 PCS )")</f>
        <v>Sabun batang 1 Box ( 2 PCS )</v>
      </c>
      <c r="H1274" s="469" t="str">
        <f>IFERROR(__xludf.DUMMYFUNCTION("""COMPUTED_VALUE"""),"Sampai")</f>
        <v>Sampai</v>
      </c>
      <c r="I1274" s="470" t="str">
        <f>IFERROR(__xludf.DUMMYFUNCTION("""COMPUTED_VALUE"""),"KIMME")</f>
        <v>KIMME</v>
      </c>
      <c r="J1274" s="471" t="str">
        <f>IFERROR(__xludf.DUMMYFUNCTION("""COMPUTED_VALUE"""),"https://vt.tiktok.com/ZS9Y5KpbQ/")</f>
        <v>https://vt.tiktok.com/ZS9Y5KpbQ/</v>
      </c>
      <c r="K1274" s="470" t="str">
        <f>IFERROR(__xludf.DUMMYFUNCTION("""COMPUTED_VALUE"""),"KIMME")</f>
        <v>KIMME</v>
      </c>
      <c r="L1274" s="471" t="str">
        <f>IFERROR(__xludf.DUMMYFUNCTION("""COMPUTED_VALUE"""),"https://vt.tiktok.com/ZS9A5a9Ph/")</f>
        <v>https://vt.tiktok.com/ZS9A5a9Ph/</v>
      </c>
      <c r="M1274" s="470"/>
      <c r="N1274" s="471" t="str">
        <f>IFERROR(__xludf.DUMMYFUNCTION("""COMPUTED_VALUE"""),"https://vt.tiktok.com/ZS9A5HjLM/")</f>
        <v>https://vt.tiktok.com/ZS9A5HjLM/</v>
      </c>
      <c r="O1274" s="470"/>
      <c r="P1274" s="471" t="str">
        <f>IFERROR(__xludf.DUMMYFUNCTION("""COMPUTED_VALUE"""),"https://vt.tiktok.com/ZSxWDuB2n/")</f>
        <v>https://vt.tiktok.com/ZSxWDuB2n/</v>
      </c>
    </row>
    <row r="1275">
      <c r="A1275" s="282" t="str">
        <f>IFERROR(__xludf.DUMMYFUNCTION("""COMPUTED_VALUE"""),"MICRO")</f>
        <v>MICRO</v>
      </c>
      <c r="B1275" s="468" t="str">
        <f>IFERROR(__xludf.DUMMYFUNCTION("""COMPUTED_VALUE"""),"pusatperabotanmurah84")</f>
        <v>pusatperabotanmurah84</v>
      </c>
      <c r="C1275" s="283" t="str">
        <f>IFERROR(__xludf.DUMMYFUNCTION("""COMPUTED_VALUE"""),"https://www.tiktok.com/@pusatperabotanmurah84")</f>
        <v>https://www.tiktok.com/@pusatperabotanmurah84</v>
      </c>
      <c r="D1275" s="273">
        <f>IFERROR(__xludf.DUMMYFUNCTION("""COMPUTED_VALUE"""),8.1327896283E10)</f>
        <v>81327896283</v>
      </c>
      <c r="E1275" s="458">
        <f>IFERROR(__xludf.DUMMYFUNCTION("""COMPUTED_VALUE"""),0.0)</f>
        <v>0</v>
      </c>
      <c r="F1275" s="273">
        <f>IFERROR(__xludf.DUMMYFUNCTION("""COMPUTED_VALUE"""),4.0)</f>
        <v>4</v>
      </c>
      <c r="G1275" t="str">
        <f>IFERROR(__xludf.DUMMYFUNCTION("""COMPUTED_VALUE"""),"Sabun batang 1 Box ( 2 PCS )")</f>
        <v>Sabun batang 1 Box ( 2 PCS )</v>
      </c>
      <c r="H1275" s="469" t="str">
        <f>IFERROR(__xludf.DUMMYFUNCTION("""COMPUTED_VALUE"""),"Sampai")</f>
        <v>Sampai</v>
      </c>
      <c r="I1275" s="470" t="str">
        <f>IFERROR(__xludf.DUMMYFUNCTION("""COMPUTED_VALUE"""),"KIMME")</f>
        <v>KIMME</v>
      </c>
      <c r="J1275" s="471" t="str">
        <f>IFERROR(__xludf.DUMMYFUNCTION("""COMPUTED_VALUE"""),"https://vt.tiktok.com/ZS9jTks1k/")</f>
        <v>https://vt.tiktok.com/ZS9jTks1k/</v>
      </c>
      <c r="K1275" s="470" t="str">
        <f>IFERROR(__xludf.DUMMYFUNCTION("""COMPUTED_VALUE"""),"KIMME")</f>
        <v>KIMME</v>
      </c>
      <c r="L1275" s="471" t="str">
        <f>IFERROR(__xludf.DUMMYFUNCTION("""COMPUTED_VALUE"""),"https://vt.tiktok.com/ZS9jTyBBX/")</f>
        <v>https://vt.tiktok.com/ZS9jTyBBX/</v>
      </c>
      <c r="M1275" s="470"/>
      <c r="N1275" s="471" t="str">
        <f>IFERROR(__xludf.DUMMYFUNCTION("""COMPUTED_VALUE"""),"https://vt.tiktok.com/ZS9kJnjAS/")</f>
        <v>https://vt.tiktok.com/ZS9kJnjAS/</v>
      </c>
      <c r="O1275" s="470"/>
      <c r="P1275" s="471" t="str">
        <f>IFERROR(__xludf.DUMMYFUNCTION("""COMPUTED_VALUE"""),"https://vt.tiktok.com/ZS9kJWGRt/")</f>
        <v>https://vt.tiktok.com/ZS9kJWGRt/</v>
      </c>
    </row>
    <row r="1276">
      <c r="A1276" s="282" t="str">
        <f>IFERROR(__xludf.DUMMYFUNCTION("""COMPUTED_VALUE"""),"MICRO")</f>
        <v>MICRO</v>
      </c>
      <c r="B1276" s="468" t="str">
        <f>IFERROR(__xludf.DUMMYFUNCTION("""COMPUTED_VALUE"""),"m_yustore")</f>
        <v>m_yustore</v>
      </c>
      <c r="C1276" s="283" t="str">
        <f>IFERROR(__xludf.DUMMYFUNCTION("""COMPUTED_VALUE"""),"https://www.tiktok.com/@m_yustore")</f>
        <v>https://www.tiktok.com/@m_yustore</v>
      </c>
      <c r="D1276" s="273">
        <f>IFERROR(__xludf.DUMMYFUNCTION("""COMPUTED_VALUE"""),8.2281815797E10)</f>
        <v>82281815797</v>
      </c>
      <c r="E1276" s="458">
        <f>IFERROR(__xludf.DUMMYFUNCTION("""COMPUTED_VALUE"""),0.0)</f>
        <v>0</v>
      </c>
      <c r="F1276" s="273">
        <f>IFERROR(__xludf.DUMMYFUNCTION("""COMPUTED_VALUE"""),4.0)</f>
        <v>4</v>
      </c>
      <c r="G1276" t="str">
        <f>IFERROR(__xludf.DUMMYFUNCTION("""COMPUTED_VALUE"""),"Sabun batang 1 Box ( 2 PCS )")</f>
        <v>Sabun batang 1 Box ( 2 PCS )</v>
      </c>
      <c r="H1276" s="469" t="str">
        <f>IFERROR(__xludf.DUMMYFUNCTION("""COMPUTED_VALUE"""),"Sampai")</f>
        <v>Sampai</v>
      </c>
      <c r="I1276" s="470" t="str">
        <f>IFERROR(__xludf.DUMMYFUNCTION("""COMPUTED_VALUE"""),"KIMME")</f>
        <v>KIMME</v>
      </c>
      <c r="J1276" s="471" t="str">
        <f>IFERROR(__xludf.DUMMYFUNCTION("""COMPUTED_VALUE"""),"https://vt.tiktok.com/ZS9Y5KpbQ/")</f>
        <v>https://vt.tiktok.com/ZS9Y5KpbQ/</v>
      </c>
      <c r="K1276" s="470" t="str">
        <f>IFERROR(__xludf.DUMMYFUNCTION("""COMPUTED_VALUE"""),"KIMME")</f>
        <v>KIMME</v>
      </c>
      <c r="L1276" s="471" t="str">
        <f>IFERROR(__xludf.DUMMYFUNCTION("""COMPUTED_VALUE"""),"https://vt.tiktok.com/ZS9A5a9Ph/")</f>
        <v>https://vt.tiktok.com/ZS9A5a9Ph/</v>
      </c>
      <c r="M1276" s="470"/>
      <c r="N1276" s="471" t="str">
        <f>IFERROR(__xludf.DUMMYFUNCTION("""COMPUTED_VALUE"""),"https://vt.tiktok.com/ZS9A5HjLM/")</f>
        <v>https://vt.tiktok.com/ZS9A5HjLM/</v>
      </c>
      <c r="O1276" s="470"/>
      <c r="P1276" s="471" t="str">
        <f>IFERROR(__xludf.DUMMYFUNCTION("""COMPUTED_VALUE"""),"https://vt.tiktok.com/ZSxWDQkga/")</f>
        <v>https://vt.tiktok.com/ZSxWDQkga/</v>
      </c>
    </row>
    <row r="1277">
      <c r="A1277" s="282" t="str">
        <f>IFERROR(__xludf.DUMMYFUNCTION("""COMPUTED_VALUE"""),"MICRO")</f>
        <v>MICRO</v>
      </c>
      <c r="B1277" s="468" t="str">
        <f>IFERROR(__xludf.DUMMYFUNCTION("""COMPUTED_VALUE"""),"nomnom_0505")</f>
        <v>nomnom_0505</v>
      </c>
      <c r="C1277" s="283" t="str">
        <f>IFERROR(__xludf.DUMMYFUNCTION("""COMPUTED_VALUE"""),"https://www.tiktok.com/@nomnom_0505")</f>
        <v>https://www.tiktok.com/@nomnom_0505</v>
      </c>
      <c r="D1277" s="273">
        <f>IFERROR(__xludf.DUMMYFUNCTION("""COMPUTED_VALUE"""),8.1350842616E10)</f>
        <v>81350842616</v>
      </c>
      <c r="E1277" s="458">
        <f>IFERROR(__xludf.DUMMYFUNCTION("""COMPUTED_VALUE"""),0.0)</f>
        <v>0</v>
      </c>
      <c r="F1277" s="273">
        <f>IFERROR(__xludf.DUMMYFUNCTION("""COMPUTED_VALUE"""),2.0)</f>
        <v>2</v>
      </c>
      <c r="G1277" t="str">
        <f>IFERROR(__xludf.DUMMYFUNCTION("""COMPUTED_VALUE"""),"Sabun batang 1 Box ( 2 PCS )")</f>
        <v>Sabun batang 1 Box ( 2 PCS )</v>
      </c>
      <c r="H1277" s="469" t="str">
        <f>IFERROR(__xludf.DUMMYFUNCTION("""COMPUTED_VALUE"""),"Sampai")</f>
        <v>Sampai</v>
      </c>
      <c r="I1277" s="470" t="str">
        <f>IFERROR(__xludf.DUMMYFUNCTION("""COMPUTED_VALUE"""),"KIMME")</f>
        <v>KIMME</v>
      </c>
      <c r="J1277" s="471" t="str">
        <f>IFERROR(__xludf.DUMMYFUNCTION("""COMPUTED_VALUE"""),"https://vt.tiktok.com/ZSxmUy732/")</f>
        <v>https://vt.tiktok.com/ZSxmUy732/</v>
      </c>
      <c r="K1277" s="470" t="str">
        <f>IFERROR(__xludf.DUMMYFUNCTION("""COMPUTED_VALUE"""),"KIMME")</f>
        <v>KIMME</v>
      </c>
      <c r="L1277" s="471" t="str">
        <f>IFERROR(__xludf.DUMMYFUNCTION("""COMPUTED_VALUE"""),"https://vt.tiktok.com/ZSxUvmjXA/")</f>
        <v>https://vt.tiktok.com/ZSxUvmjXA/</v>
      </c>
      <c r="M1277" s="470"/>
      <c r="N1277" s="471" t="str">
        <f>IFERROR(__xludf.DUMMYFUNCTION("""COMPUTED_VALUE"""),"https://vt.tiktok.com/ZSxUvX8kp/")</f>
        <v>https://vt.tiktok.com/ZSxUvX8kp/</v>
      </c>
      <c r="O1277" s="470"/>
      <c r="P1277" t="str">
        <f>IFERROR(__xludf.DUMMYFUNCTION("""COMPUTED_VALUE"""),"⁠https://vt.tiktok.com/ZSxS3T3Kn/")</f>
        <v>⁠https://vt.tiktok.com/ZSxS3T3Kn/</v>
      </c>
    </row>
    <row r="1278">
      <c r="A1278" s="282" t="str">
        <f>IFERROR(__xludf.DUMMYFUNCTION("""COMPUTED_VALUE"""),"MICRO")</f>
        <v>MICRO</v>
      </c>
      <c r="B1278" s="468" t="str">
        <f>IFERROR(__xludf.DUMMYFUNCTION("""COMPUTED_VALUE"""),"Desi.fadillah37")</f>
        <v>Desi.fadillah37</v>
      </c>
      <c r="C1278" s="283" t="str">
        <f>IFERROR(__xludf.DUMMYFUNCTION("""COMPUTED_VALUE"""),"https://www.tiktok.com/@Desi.fadillah37")</f>
        <v>https://www.tiktok.com/@Desi.fadillah37</v>
      </c>
      <c r="D1278" s="273">
        <f>IFERROR(__xludf.DUMMYFUNCTION("""COMPUTED_VALUE"""),8.95358190505E11)</f>
        <v>895358190505</v>
      </c>
      <c r="E1278" s="458">
        <f>IFERROR(__xludf.DUMMYFUNCTION("""COMPUTED_VALUE"""),0.0)</f>
        <v>0</v>
      </c>
      <c r="F1278" s="273">
        <f>IFERROR(__xludf.DUMMYFUNCTION("""COMPUTED_VALUE"""),1.0)</f>
        <v>1</v>
      </c>
      <c r="G1278" t="str">
        <f>IFERROR(__xludf.DUMMYFUNCTION("""COMPUTED_VALUE"""),"Sabun batang 1 Box ( 2 PCS )")</f>
        <v>Sabun batang 1 Box ( 2 PCS )</v>
      </c>
      <c r="H1278" s="469" t="str">
        <f>IFERROR(__xludf.DUMMYFUNCTION("""COMPUTED_VALUE"""),"Sampai")</f>
        <v>Sampai</v>
      </c>
      <c r="I1278" s="470" t="str">
        <f>IFERROR(__xludf.DUMMYFUNCTION("""COMPUTED_VALUE"""),"KIMME")</f>
        <v>KIMME</v>
      </c>
      <c r="J1278" s="471" t="str">
        <f>IFERROR(__xludf.DUMMYFUNCTION("""COMPUTED_VALUE"""),"https://vt.tiktok.com/ZSxWDqDG4/")</f>
        <v>https://vt.tiktok.com/ZSxWDqDG4/</v>
      </c>
      <c r="K1278" s="470" t="str">
        <f>IFERROR(__xludf.DUMMYFUNCTION("""COMPUTED_VALUE"""),"KIMME")</f>
        <v>KIMME</v>
      </c>
      <c r="L1278" s="471" t="str">
        <f>IFERROR(__xludf.DUMMYFUNCTION("""COMPUTED_VALUE"""),"https://vt.tiktok.com/ZSxWDs25D/")</f>
        <v>https://vt.tiktok.com/ZSxWDs25D/</v>
      </c>
      <c r="M1278" s="470"/>
      <c r="N1278" s="471" t="str">
        <f>IFERROR(__xludf.DUMMYFUNCTION("""COMPUTED_VALUE"""),"https://vt.tiktok.com/ZSxWDDpKR/")</f>
        <v>https://vt.tiktok.com/ZSxWDDpKR/</v>
      </c>
      <c r="O1278" s="470"/>
      <c r="P1278" s="471" t="str">
        <f>IFERROR(__xludf.DUMMYFUNCTION("""COMPUTED_VALUE"""),"https://vt.tiktok.com/ZSxWD5sk4/")</f>
        <v>https://vt.tiktok.com/ZSxWD5sk4/</v>
      </c>
    </row>
    <row r="1279">
      <c r="A1279" s="282" t="str">
        <f>IFERROR(__xludf.DUMMYFUNCTION("""COMPUTED_VALUE"""),"MICRO")</f>
        <v>MICRO</v>
      </c>
      <c r="B1279" s="468" t="str">
        <f>IFERROR(__xludf.DUMMYFUNCTION("""COMPUTED_VALUE"""),"bywday")</f>
        <v>bywday</v>
      </c>
      <c r="C1279" s="283" t="str">
        <f>IFERROR(__xludf.DUMMYFUNCTION("""COMPUTED_VALUE"""),"https://www.tiktok.com/@bywday")</f>
        <v>https://www.tiktok.com/@bywday</v>
      </c>
      <c r="D1279" s="273">
        <f>IFERROR(__xludf.DUMMYFUNCTION("""COMPUTED_VALUE"""),8.579945566E10)</f>
        <v>85799455660</v>
      </c>
      <c r="E1279" s="458">
        <f>IFERROR(__xludf.DUMMYFUNCTION("""COMPUTED_VALUE"""),0.0)</f>
        <v>0</v>
      </c>
      <c r="F1279" s="273">
        <f>IFERROR(__xludf.DUMMYFUNCTION("""COMPUTED_VALUE"""),3.0)</f>
        <v>3</v>
      </c>
      <c r="G1279" t="str">
        <f>IFERROR(__xludf.DUMMYFUNCTION("""COMPUTED_VALUE"""),"Sabun batang 1 Box ( 2 PCS )")</f>
        <v>Sabun batang 1 Box ( 2 PCS )</v>
      </c>
      <c r="H1279" s="469" t="str">
        <f>IFERROR(__xludf.DUMMYFUNCTION("""COMPUTED_VALUE"""),"Sampai")</f>
        <v>Sampai</v>
      </c>
      <c r="I1279" s="470" t="str">
        <f>IFERROR(__xludf.DUMMYFUNCTION("""COMPUTED_VALUE"""),"KIMME")</f>
        <v>KIMME</v>
      </c>
      <c r="J1279" s="471" t="str">
        <f>IFERROR(__xludf.DUMMYFUNCTION("""COMPUTED_VALUE"""),"https://vt.tiktok.com/ZS9fbaK1u/")</f>
        <v>https://vt.tiktok.com/ZS9fbaK1u/</v>
      </c>
      <c r="K1279" s="470" t="str">
        <f>IFERROR(__xludf.DUMMYFUNCTION("""COMPUTED_VALUE"""),"KIMME")</f>
        <v>KIMME</v>
      </c>
      <c r="L1279" s="471" t="str">
        <f>IFERROR(__xludf.DUMMYFUNCTION("""COMPUTED_VALUE"""),"https://vt.tiktok.com/ZS9fg8gBC/")</f>
        <v>https://vt.tiktok.com/ZS9fg8gBC/</v>
      </c>
      <c r="M1279" s="470"/>
      <c r="N1279" s="471" t="str">
        <f>IFERROR(__xludf.DUMMYFUNCTION("""COMPUTED_VALUE"""),"https://vt.tiktok.com/ZS9fgj8xJ/")</f>
        <v>https://vt.tiktok.com/ZS9fgj8xJ/</v>
      </c>
      <c r="O1279" s="470"/>
      <c r="P1279" s="471" t="str">
        <f>IFERROR(__xludf.DUMMYFUNCTION("""COMPUTED_VALUE"""),"https://vt.tiktok.com/ZSxWDXnxm/")</f>
        <v>https://vt.tiktok.com/ZSxWDXnxm/</v>
      </c>
    </row>
    <row r="1280">
      <c r="A1280" s="282" t="str">
        <f>IFERROR(__xludf.DUMMYFUNCTION("""COMPUTED_VALUE"""),"MICRO")</f>
        <v>MICRO</v>
      </c>
      <c r="B1280" s="468" t="str">
        <f>IFERROR(__xludf.DUMMYFUNCTION("""COMPUTED_VALUE"""),"devioktapiani17")</f>
        <v>devioktapiani17</v>
      </c>
      <c r="C1280" s="283" t="str">
        <f>IFERROR(__xludf.DUMMYFUNCTION("""COMPUTED_VALUE"""),"https://www.tiktok.com/@devioktapiani17")</f>
        <v>https://www.tiktok.com/@devioktapiani17</v>
      </c>
      <c r="D1280" s="273">
        <f>IFERROR(__xludf.DUMMYFUNCTION("""COMPUTED_VALUE"""),8.568747454E9)</f>
        <v>8568747454</v>
      </c>
      <c r="E1280" s="458">
        <f>IFERROR(__xludf.DUMMYFUNCTION("""COMPUTED_VALUE"""),0.0)</f>
        <v>0</v>
      </c>
      <c r="F1280" s="273">
        <f>IFERROR(__xludf.DUMMYFUNCTION("""COMPUTED_VALUE"""),4.0)</f>
        <v>4</v>
      </c>
      <c r="G1280" t="str">
        <f>IFERROR(__xludf.DUMMYFUNCTION("""COMPUTED_VALUE"""),"Sabun batang 1 Box ( 2 PCS )")</f>
        <v>Sabun batang 1 Box ( 2 PCS )</v>
      </c>
      <c r="H1280" s="469" t="str">
        <f>IFERROR(__xludf.DUMMYFUNCTION("""COMPUTED_VALUE"""),"Sampai")</f>
        <v>Sampai</v>
      </c>
      <c r="I1280" s="470" t="str">
        <f>IFERROR(__xludf.DUMMYFUNCTION("""COMPUTED_VALUE"""),"KIMME")</f>
        <v>KIMME</v>
      </c>
      <c r="J1280" s="471" t="str">
        <f>IFERROR(__xludf.DUMMYFUNCTION("""COMPUTED_VALUE"""),"https://vt.tiktok.com/ZSxP9rW2q/")</f>
        <v>https://vt.tiktok.com/ZSxP9rW2q/</v>
      </c>
      <c r="K1280" s="470" t="str">
        <f>IFERROR(__xludf.DUMMYFUNCTION("""COMPUTED_VALUE"""),"KIMME")</f>
        <v>KIMME</v>
      </c>
      <c r="L1280" s="471" t="str">
        <f>IFERROR(__xludf.DUMMYFUNCTION("""COMPUTED_VALUE"""),"https://vt.tiktok.com/ZSxP9MGKB/")</f>
        <v>https://vt.tiktok.com/ZSxP9MGKB/</v>
      </c>
      <c r="M1280" s="470"/>
      <c r="N1280" s="471" t="str">
        <f>IFERROR(__xludf.DUMMYFUNCTION("""COMPUTED_VALUE"""),"https://vt.tiktok.com/ZSxP9SKY8/")</f>
        <v>https://vt.tiktok.com/ZSxP9SKY8/</v>
      </c>
      <c r="O1280" s="470"/>
      <c r="P1280" s="471" t="str">
        <f>IFERROR(__xludf.DUMMYFUNCTION("""COMPUTED_VALUE"""),"https://vt.tiktok.com/ZSxP9LUYF/")</f>
        <v>https://vt.tiktok.com/ZSxP9LUYF/</v>
      </c>
    </row>
    <row r="1281">
      <c r="A1281" s="282" t="str">
        <f>IFERROR(__xludf.DUMMYFUNCTION("""COMPUTED_VALUE"""),"MICRO")</f>
        <v>MICRO</v>
      </c>
      <c r="B1281" s="468" t="str">
        <f>IFERROR(__xludf.DUMMYFUNCTION("""COMPUTED_VALUE"""),"itsdianity ")</f>
        <v>itsdianity </v>
      </c>
      <c r="C1281" s="283" t="str">
        <f>IFERROR(__xludf.DUMMYFUNCTION("""COMPUTED_VALUE"""),"https://www.tiktok.com/@itsdianity ")</f>
        <v>https://www.tiktok.com/@itsdianity </v>
      </c>
      <c r="D1281" s="273">
        <f>IFERROR(__xludf.DUMMYFUNCTION("""COMPUTED_VALUE"""),8.2385502712E10)</f>
        <v>82385502712</v>
      </c>
      <c r="E1281" s="458">
        <f>IFERROR(__xludf.DUMMYFUNCTION("""COMPUTED_VALUE"""),0.0)</f>
        <v>0</v>
      </c>
      <c r="F1281" s="273">
        <f>IFERROR(__xludf.DUMMYFUNCTION("""COMPUTED_VALUE"""),4.0)</f>
        <v>4</v>
      </c>
      <c r="G1281" t="str">
        <f>IFERROR(__xludf.DUMMYFUNCTION("""COMPUTED_VALUE"""),"Sabun batang 1 Box ( 2 PCS )")</f>
        <v>Sabun batang 1 Box ( 2 PCS )</v>
      </c>
      <c r="H1281" s="469" t="str">
        <f>IFERROR(__xludf.DUMMYFUNCTION("""COMPUTED_VALUE"""),"Sampai")</f>
        <v>Sampai</v>
      </c>
      <c r="I1281" s="470" t="str">
        <f>IFERROR(__xludf.DUMMYFUNCTION("""COMPUTED_VALUE"""),"KIMME")</f>
        <v>KIMME</v>
      </c>
      <c r="J1281" s="471" t="str">
        <f>IFERROR(__xludf.DUMMYFUNCTION("""COMPUTED_VALUE"""),"https://vt.tiktok.com/ZSx722ba3/")</f>
        <v>https://vt.tiktok.com/ZSx722ba3/</v>
      </c>
      <c r="K1281" s="470" t="str">
        <f>IFERROR(__xludf.DUMMYFUNCTION("""COMPUTED_VALUE"""),"KIMME")</f>
        <v>KIMME</v>
      </c>
      <c r="L1281" s="471" t="str">
        <f>IFERROR(__xludf.DUMMYFUNCTION("""COMPUTED_VALUE"""),"https://vt.tiktok.com/ZSx7Yn3UV/")</f>
        <v>https://vt.tiktok.com/ZSx7Yn3UV/</v>
      </c>
      <c r="M1281" s="470"/>
      <c r="N1281" s="471" t="str">
        <f>IFERROR(__xludf.DUMMYFUNCTION("""COMPUTED_VALUE"""),"https://vt.tiktok.com/ZSx72NUxQ/")</f>
        <v>https://vt.tiktok.com/ZSx72NUxQ/</v>
      </c>
      <c r="O1281" s="470"/>
      <c r="P1281" s="471" t="str">
        <f>IFERROR(__xludf.DUMMYFUNCTION("""COMPUTED_VALUE"""),"https://vt.tiktok.com/ZSx72ef3A/")</f>
        <v>https://vt.tiktok.com/ZSx72ef3A/</v>
      </c>
    </row>
    <row r="1282">
      <c r="A1282" s="282" t="str">
        <f>IFERROR(__xludf.DUMMYFUNCTION("""COMPUTED_VALUE"""),"MICRO")</f>
        <v>MICRO</v>
      </c>
      <c r="B1282" s="468" t="str">
        <f>IFERROR(__xludf.DUMMYFUNCTION("""COMPUTED_VALUE"""),"beautystore.officia")</f>
        <v>beautystore.officia</v>
      </c>
      <c r="C1282" s="283" t="str">
        <f>IFERROR(__xludf.DUMMYFUNCTION("""COMPUTED_VALUE"""),"https://www.tiktok.com/@beautystore.officia")</f>
        <v>https://www.tiktok.com/@beautystore.officia</v>
      </c>
      <c r="D1282" s="273">
        <f>IFERROR(__xludf.DUMMYFUNCTION("""COMPUTED_VALUE"""),8.5185774205E10)</f>
        <v>85185774205</v>
      </c>
      <c r="E1282" s="458">
        <f>IFERROR(__xludf.DUMMYFUNCTION("""COMPUTED_VALUE"""),0.0)</f>
        <v>0</v>
      </c>
      <c r="F1282" s="273">
        <f>IFERROR(__xludf.DUMMYFUNCTION("""COMPUTED_VALUE"""),4.0)</f>
        <v>4</v>
      </c>
      <c r="G1282" t="str">
        <f>IFERROR(__xludf.DUMMYFUNCTION("""COMPUTED_VALUE"""),"Sabun batang 1 Box ( 2 PCS )")</f>
        <v>Sabun batang 1 Box ( 2 PCS )</v>
      </c>
      <c r="H1282" s="469" t="str">
        <f>IFERROR(__xludf.DUMMYFUNCTION("""COMPUTED_VALUE"""),"Sampai")</f>
        <v>Sampai</v>
      </c>
      <c r="I1282" s="470" t="str">
        <f>IFERROR(__xludf.DUMMYFUNCTION("""COMPUTED_VALUE"""),"KIMME")</f>
        <v>KIMME</v>
      </c>
      <c r="J1282" s="471" t="str">
        <f>IFERROR(__xludf.DUMMYFUNCTION("""COMPUTED_VALUE"""),"https://vt.tiktok.com/ZS9jTks1k/")</f>
        <v>https://vt.tiktok.com/ZS9jTks1k/</v>
      </c>
      <c r="K1282" s="470" t="str">
        <f>IFERROR(__xludf.DUMMYFUNCTION("""COMPUTED_VALUE"""),"KIMME")</f>
        <v>KIMME</v>
      </c>
      <c r="L1282" s="471" t="str">
        <f>IFERROR(__xludf.DUMMYFUNCTION("""COMPUTED_VALUE"""),"https://vt.tiktok.com/ZS9jTyBBX/")</f>
        <v>https://vt.tiktok.com/ZS9jTyBBX/</v>
      </c>
      <c r="M1282" s="470"/>
      <c r="N1282" s="471" t="str">
        <f>IFERROR(__xludf.DUMMYFUNCTION("""COMPUTED_VALUE"""),"https://vt.tiktok.com/ZS9kJnjAS/")</f>
        <v>https://vt.tiktok.com/ZS9kJnjAS/</v>
      </c>
      <c r="O1282" s="470"/>
      <c r="P1282" s="471" t="str">
        <f>IFERROR(__xludf.DUMMYFUNCTION("""COMPUTED_VALUE"""),"https://vt.tiktok.com/ZS9kJWGRt/")</f>
        <v>https://vt.tiktok.com/ZS9kJWGRt/</v>
      </c>
    </row>
    <row r="1283">
      <c r="A1283" s="282" t="str">
        <f>IFERROR(__xludf.DUMMYFUNCTION("""COMPUTED_VALUE"""),"MICRO")</f>
        <v>MICRO</v>
      </c>
      <c r="B1283" s="468" t="str">
        <f>IFERROR(__xludf.DUMMYFUNCTION("""COMPUTED_VALUE"""),"Im.randia")</f>
        <v>Im.randia</v>
      </c>
      <c r="C1283" s="283" t="str">
        <f>IFERROR(__xludf.DUMMYFUNCTION("""COMPUTED_VALUE"""),"https://www.tiktok.com/@Im.randia")</f>
        <v>https://www.tiktok.com/@Im.randia</v>
      </c>
      <c r="D1283" s="273">
        <f>IFERROR(__xludf.DUMMYFUNCTION("""COMPUTED_VALUE"""),8.2279306665E10)</f>
        <v>82279306665</v>
      </c>
      <c r="E1283" s="458">
        <f>IFERROR(__xludf.DUMMYFUNCTION("""COMPUTED_VALUE"""),0.0)</f>
        <v>0</v>
      </c>
      <c r="F1283" s="273">
        <f>IFERROR(__xludf.DUMMYFUNCTION("""COMPUTED_VALUE"""),4.0)</f>
        <v>4</v>
      </c>
      <c r="G1283" t="str">
        <f>IFERROR(__xludf.DUMMYFUNCTION("""COMPUTED_VALUE"""),"Sabun batang 1 Box ( 2 PCS )")</f>
        <v>Sabun batang 1 Box ( 2 PCS )</v>
      </c>
      <c r="H1283" s="469" t="str">
        <f>IFERROR(__xludf.DUMMYFUNCTION("""COMPUTED_VALUE"""),"Sampai")</f>
        <v>Sampai</v>
      </c>
      <c r="I1283" s="470" t="str">
        <f>IFERROR(__xludf.DUMMYFUNCTION("""COMPUTED_VALUE"""),"KIMME")</f>
        <v>KIMME</v>
      </c>
      <c r="J1283" s="471" t="str">
        <f>IFERROR(__xludf.DUMMYFUNCTION("""COMPUTED_VALUE"""),"https://vt.tiktok.com/ZS9Y5KpbQ/")</f>
        <v>https://vt.tiktok.com/ZS9Y5KpbQ/</v>
      </c>
      <c r="K1283" s="470" t="str">
        <f>IFERROR(__xludf.DUMMYFUNCTION("""COMPUTED_VALUE"""),"KIMME")</f>
        <v>KIMME</v>
      </c>
      <c r="L1283" s="471" t="str">
        <f>IFERROR(__xludf.DUMMYFUNCTION("""COMPUTED_VALUE"""),"https://vt.tiktok.com/ZS9A5a9Ph/")</f>
        <v>https://vt.tiktok.com/ZS9A5a9Ph/</v>
      </c>
      <c r="M1283" s="470"/>
      <c r="N1283" s="471" t="str">
        <f>IFERROR(__xludf.DUMMYFUNCTION("""COMPUTED_VALUE"""),"https://vt.tiktok.com/ZS9A5HjLM/")</f>
        <v>https://vt.tiktok.com/ZS9A5HjLM/</v>
      </c>
      <c r="O1283" s="470"/>
      <c r="P1283" s="471" t="str">
        <f>IFERROR(__xludf.DUMMYFUNCTION("""COMPUTED_VALUE"""),"https://vt.tiktok.com/ZSx7YW8or/")</f>
        <v>https://vt.tiktok.com/ZSx7YW8or/</v>
      </c>
    </row>
    <row r="1284">
      <c r="A1284" s="282" t="str">
        <f>IFERROR(__xludf.DUMMYFUNCTION("""COMPUTED_VALUE"""),"MICRO")</f>
        <v>MICRO</v>
      </c>
      <c r="B1284" s="468" t="str">
        <f>IFERROR(__xludf.DUMMYFUNCTION("""COMPUTED_VALUE"""),"uleeen1")</f>
        <v>uleeen1</v>
      </c>
      <c r="C1284" s="283" t="str">
        <f>IFERROR(__xludf.DUMMYFUNCTION("""COMPUTED_VALUE"""),"https://www.tiktok.com/@uleeen1")</f>
        <v>https://www.tiktok.com/@uleeen1</v>
      </c>
      <c r="D1284" s="273">
        <f>IFERROR(__xludf.DUMMYFUNCTION("""COMPUTED_VALUE"""),8.9662303096E10)</f>
        <v>89662303096</v>
      </c>
      <c r="E1284" s="458">
        <f>IFERROR(__xludf.DUMMYFUNCTION("""COMPUTED_VALUE"""),0.0)</f>
        <v>0</v>
      </c>
      <c r="F1284" s="273">
        <f>IFERROR(__xludf.DUMMYFUNCTION("""COMPUTED_VALUE"""),2.0)</f>
        <v>2</v>
      </c>
      <c r="G1284" t="str">
        <f>IFERROR(__xludf.DUMMYFUNCTION("""COMPUTED_VALUE"""),"Sabun batang 1 Box ( 2 PCS )")</f>
        <v>Sabun batang 1 Box ( 2 PCS )</v>
      </c>
      <c r="H1284" s="469" t="str">
        <f>IFERROR(__xludf.DUMMYFUNCTION("""COMPUTED_VALUE"""),"Sampai")</f>
        <v>Sampai</v>
      </c>
      <c r="I1284" s="470" t="str">
        <f>IFERROR(__xludf.DUMMYFUNCTION("""COMPUTED_VALUE"""),"KIMME")</f>
        <v>KIMME</v>
      </c>
      <c r="J1284" s="471" t="str">
        <f>IFERROR(__xludf.DUMMYFUNCTION("""COMPUTED_VALUE"""),"https://vt.tiktok.com/ZSxP99c2f/")</f>
        <v>https://vt.tiktok.com/ZSxP99c2f/</v>
      </c>
      <c r="K1284" s="470" t="str">
        <f>IFERROR(__xludf.DUMMYFUNCTION("""COMPUTED_VALUE"""),"KIMME")</f>
        <v>KIMME</v>
      </c>
      <c r="L1284" s="471" t="str">
        <f>IFERROR(__xludf.DUMMYFUNCTION("""COMPUTED_VALUE"""),"https://vt.tiktok.com/ZSxP9a6Ld/")</f>
        <v>https://vt.tiktok.com/ZSxP9a6Ld/</v>
      </c>
      <c r="M1284" s="470"/>
      <c r="N1284" s="471" t="str">
        <f>IFERROR(__xludf.DUMMYFUNCTION("""COMPUTED_VALUE"""),"https://vt.tiktok.com/ZSxP99Uv4/")</f>
        <v>https://vt.tiktok.com/ZSxP99Uv4/</v>
      </c>
      <c r="O1284" s="470"/>
      <c r="P1284" s="471" t="str">
        <f>IFERROR(__xludf.DUMMYFUNCTION("""COMPUTED_VALUE"""),"https://vt.tiktok.com/ZSxP9trdm/")</f>
        <v>https://vt.tiktok.com/ZSxP9trdm/</v>
      </c>
    </row>
    <row r="1285">
      <c r="A1285" s="282" t="str">
        <f>IFERROR(__xludf.DUMMYFUNCTION("""COMPUTED_VALUE"""),"MICRO")</f>
        <v>MICRO</v>
      </c>
      <c r="B1285" s="468" t="str">
        <f>IFERROR(__xludf.DUMMYFUNCTION("""COMPUTED_VALUE"""),"Putriinabila89")</f>
        <v>Putriinabila89</v>
      </c>
      <c r="C1285" s="283" t="str">
        <f>IFERROR(__xludf.DUMMYFUNCTION("""COMPUTED_VALUE"""),"https://www.tiktok.com/@Putriinabila89")</f>
        <v>https://www.tiktok.com/@Putriinabila89</v>
      </c>
      <c r="D1285" s="273">
        <f>IFERROR(__xludf.DUMMYFUNCTION("""COMPUTED_VALUE"""),8.3148524744E10)</f>
        <v>83148524744</v>
      </c>
      <c r="E1285" s="458">
        <f>IFERROR(__xludf.DUMMYFUNCTION("""COMPUTED_VALUE"""),0.0)</f>
        <v>0</v>
      </c>
      <c r="F1285" s="273">
        <f>IFERROR(__xludf.DUMMYFUNCTION("""COMPUTED_VALUE"""),4.0)</f>
        <v>4</v>
      </c>
      <c r="G1285" t="str">
        <f>IFERROR(__xludf.DUMMYFUNCTION("""COMPUTED_VALUE"""),"Sabun batang 1 Box ( 2 PCS )")</f>
        <v>Sabun batang 1 Box ( 2 PCS )</v>
      </c>
      <c r="H1285" s="469" t="str">
        <f>IFERROR(__xludf.DUMMYFUNCTION("""COMPUTED_VALUE"""),"Sampai")</f>
        <v>Sampai</v>
      </c>
      <c r="I1285" s="470" t="str">
        <f>IFERROR(__xludf.DUMMYFUNCTION("""COMPUTED_VALUE"""),"KIMME")</f>
        <v>KIMME</v>
      </c>
      <c r="J1285" s="471" t="str">
        <f>IFERROR(__xludf.DUMMYFUNCTION("""COMPUTED_VALUE"""),"https://www.tiktok.com/@putriinabila89/video/7633477524474858773?_r=1&amp;u_code=da7h4ff96af635&amp;region=&amp;mid=7606071400499628049&amp;preview_pb=0&amp;sharer_language=&amp;_d=0&amp;ec_shared_reflux_dynamic_params=%7B%22placeholder_material_id%22%3A%227633477524474858773%22%2C%"&amp;"22placeholder_origin_cover%22%3A%22https%253A%252F%252Fp16-common-sign.tiktokcdn.com%252Ftos-alisg-p-0037%252FocpmcavldBvQ4AFRwBUQw2YCM7EUgFffN8jDEA~tplv-tiktokx-origin.jpeg%253Fdr%253D14572%2526refresh_token%253De2c0da38%2526x-expires%253D1808992800%2526"&amp;"x-signature%253D3cVGSUj85TLcBpGcV0ZSYiopNP0%25253D%2526t%253D4d5b0474%2526ps%253D13740610%2526shp%253Dd05b14bd%2526shcp%253D34ff8df6%2526idc%253Dmy2%2526s%253DTIKTOK_AFFILIATE_VIRAL_VIDEO%22%2C%22placeholder_product_id%22%3A%221729427766722726591%22%2C%22"&amp;"placeholder_video_id%22%3A%227633477524474858773%22%7D&amp;ec_shared_reflux_scene=shop_tab_feed&amp;share_item_id=7633477524474858773&amp;source=h5_t")</f>
        <v>https://www.tiktok.com/@putriinabila89/video/7633477524474858773?_r=1&amp;u_code=da7h4ff96af635&amp;region=&amp;mid=7606071400499628049&amp;preview_pb=0&amp;sharer_language=&amp;_d=0&amp;ec_shared_reflux_dynamic_params=%7B%22placeholder_material_id%22%3A%227633477524474858773%22%2C%22placeholder_origin_cover%22%3A%22https%253A%252F%252Fp16-common-sign.tiktokcdn.com%252Ftos-alisg-p-0037%252FocpmcavldBvQ4AFRwBUQw2YCM7EUgFffN8jDEA~tplv-tiktokx-origin.jpeg%253Fdr%253D14572%2526refresh_token%253De2c0da38%2526x-expires%253D1808992800%2526x-signature%253D3cVGSUj85TLcBpGcV0ZSYiopNP0%25253D%2526t%253D4d5b0474%2526ps%253D13740610%2526shp%253Dd05b14bd%2526shcp%253D34ff8df6%2526idc%253Dmy2%2526s%253DTIKTOK_AFFILIATE_VIRAL_VIDEO%22%2C%22placeholder_product_id%22%3A%221729427766722726591%22%2C%22placeholder_video_id%22%3A%227633477524474858773%22%7D&amp;ec_shared_reflux_scene=shop_tab_feed&amp;share_item_id=7633477524474858773&amp;source=h5_t</v>
      </c>
      <c r="K1285" s="470" t="str">
        <f>IFERROR(__xludf.DUMMYFUNCTION("""COMPUTED_VALUE"""),"KIMME")</f>
        <v>KIMME</v>
      </c>
      <c r="L1285" s="471" t="str">
        <f>IFERROR(__xludf.DUMMYFUNCTION("""COMPUTED_VALUE"""),"https://www.tiktok.com/@putriinabila89/video/7633478008145267988?_r=1&amp;u_code=da7h4ff96af635&amp;region=&amp;mid=7625250952261552904&amp;preview_pb=0&amp;sharer_language=&amp;_d=0&amp;ec_shared_reflux_dynamic_params=%7B%22placeholder_material_id%22%3A%227633478008145267988%22%2C%"&amp;"22placeholder_origin_cover%22%3A%22https%253A%252F%252Fp16-common-sign.tiktokcdn.com%252Ftos-alisg-p-0037%252FooEMrmQgcdAF6E4jnYRMh7f8X9DBBBfQNC9pLv~tplv-tiktokx-origin.jpeg%253Fdr%253D14572%2526refresh_token%253D75c2b7ae%2526x-expires%253D1808992800%2526"&amp;"x-signature%253DAgXBFm7Uxckmm8IVdgrM0YIxu84%25253D%2526t%253D4d5b0474%2526ps%253D13740610%2526shp%253Dd05b14bd%2526shcp%253D34ff8df6%2526idc%253Dmy2%2526s%253DTIKTOK_AFFILIATE_VIRAL_VIDEO%22%2C%22placeholder_product_id%22%3A%221729427766722726591%22%2C%22"&amp;"placeholder_video_id%22%3A%227633478008145267988%22%7D&amp;ec_shared_reflux_scene=shop_tab_feed&amp;share_item_id=7633478008145267988&amp;source=h5_t")</f>
        <v>https://www.tiktok.com/@putriinabila89/video/7633478008145267988?_r=1&amp;u_code=da7h4ff96af635&amp;region=&amp;mid=7625250952261552904&amp;preview_pb=0&amp;sharer_language=&amp;_d=0&amp;ec_shared_reflux_dynamic_params=%7B%22placeholder_material_id%22%3A%227633478008145267988%22%2C%22placeholder_origin_cover%22%3A%22https%253A%252F%252Fp16-common-sign.tiktokcdn.com%252Ftos-alisg-p-0037%252FooEMrmQgcdAF6E4jnYRMh7f8X9DBBBfQNC9pLv~tplv-tiktokx-origin.jpeg%253Fdr%253D14572%2526refresh_token%253D75c2b7ae%2526x-expires%253D1808992800%2526x-signature%253DAgXBFm7Uxckmm8IVdgrM0YIxu84%25253D%2526t%253D4d5b0474%2526ps%253D13740610%2526shp%253Dd05b14bd%2526shcp%253D34ff8df6%2526idc%253Dmy2%2526s%253DTIKTOK_AFFILIATE_VIRAL_VIDEO%22%2C%22placeholder_product_id%22%3A%221729427766722726591%22%2C%22placeholder_video_id%22%3A%227633478008145267988%22%7D&amp;ec_shared_reflux_scene=shop_tab_feed&amp;share_item_id=7633478008145267988&amp;source=h5_t</v>
      </c>
      <c r="M1285" s="470"/>
      <c r="N1285" s="471" t="str">
        <f>IFERROR(__xludf.DUMMYFUNCTION("""COMPUTED_VALUE"""),"https://www.tiktok.com/@putriinabila89/video/7636340564148899093?_r=1&amp;u_code=da7h4ff96af635&amp;region=&amp;mid=7591434567065192449&amp;preview_pb=0&amp;sharer_language=&amp;_d=0&amp;ec_shared_reflux_dynamic_params=%7B%22placeholder_material_id%22%3A%227636340564148899093%22%2C%"&amp;"22placeholder_origin_cover%22%3A%22https%253A%252F%252Fp16-common-sign.tiktokcdn.com%252Ftos-alisg-p-0037%252FosvDp1DbFouzeu5wYjmSACwITeFII4BfATbXiE~tplv-tiktokx-origin.jpeg%253Fdr%253D14572%2526refresh_token%253D512739d9%2526x-expires%253D1810116000%2526"&amp;"x-signature%253D95mujMX6Ehl%25252Fnbbn82fFLYZpAho%25253D%2526t%253D4d5b0474%2526ps%253D13740610%2526shp%253Dd05b14bd%2526shcp%253D34ff8df6%2526idc%253Dmy2%2526s%253DTIKTOK_AFFILIATE_VIRAL_VIDEO%22%2C%22placeholder_product_id%22%3A%221729427766722726591%22"&amp;"%2C%22placeholder_video_id%22%3A%227636340564148899093%22%7D&amp;ec_shared_reflux_scene=shop_tab_feed&amp;share_item_id=7636340564148899093&amp;source=h5_t")</f>
        <v>https://www.tiktok.com/@putriinabila89/video/7636340564148899093?_r=1&amp;u_code=da7h4ff96af635&amp;region=&amp;mid=7591434567065192449&amp;preview_pb=0&amp;sharer_language=&amp;_d=0&amp;ec_shared_reflux_dynamic_params=%7B%22placeholder_material_id%22%3A%227636340564148899093%22%2C%22placeholder_origin_cover%22%3A%22https%253A%252F%252Fp16-common-sign.tiktokcdn.com%252Ftos-alisg-p-0037%252FosvDp1DbFouzeu5wYjmSACwITeFII4BfATbXiE~tplv-tiktokx-origin.jpeg%253Fdr%253D14572%2526refresh_token%253D512739d9%2526x-expires%253D1810116000%2526x-signature%253D95mujMX6Ehl%25252Fnbbn82fFLYZpAho%25253D%2526t%253D4d5b0474%2526ps%253D13740610%2526shp%253Dd05b14bd%2526shcp%253D34ff8df6%2526idc%253Dmy2%2526s%253DTIKTOK_AFFILIATE_VIRAL_VIDEO%22%2C%22placeholder_product_id%22%3A%221729427766722726591%22%2C%22placeholder_video_id%22%3A%227636340564148899093%22%7D&amp;ec_shared_reflux_scene=shop_tab_feed&amp;share_item_id=7636340564148899093&amp;source=h5_t</v>
      </c>
      <c r="O1285" s="470"/>
      <c r="P1285" s="471" t="str">
        <f>IFERROR(__xludf.DUMMYFUNCTION("""COMPUTED_VALUE"""),"https://vt.tiktok.com/ZSx72MrW4/")</f>
        <v>https://vt.tiktok.com/ZSx72MrW4/</v>
      </c>
    </row>
    <row r="1286">
      <c r="A1286" s="282" t="str">
        <f>IFERROR(__xludf.DUMMYFUNCTION("""COMPUTED_VALUE"""),"MICRO")</f>
        <v>MICRO</v>
      </c>
      <c r="B1286" s="468" t="str">
        <f>IFERROR(__xludf.DUMMYFUNCTION("""COMPUTED_VALUE"""),"urlv.ikaaa")</f>
        <v>urlv.ikaaa</v>
      </c>
      <c r="C1286" s="283" t="str">
        <f>IFERROR(__xludf.DUMMYFUNCTION("""COMPUTED_VALUE"""),"https://www.tiktok.com/@urlv.ikaaa")</f>
        <v>https://www.tiktok.com/@urlv.ikaaa</v>
      </c>
      <c r="D1286" s="273">
        <f>IFERROR(__xludf.DUMMYFUNCTION("""COMPUTED_VALUE"""),8.870692559E10)</f>
        <v>88706925590</v>
      </c>
      <c r="E1286" s="458">
        <f>IFERROR(__xludf.DUMMYFUNCTION("""COMPUTED_VALUE"""),0.0)</f>
        <v>0</v>
      </c>
      <c r="F1286" s="273">
        <f>IFERROR(__xludf.DUMMYFUNCTION("""COMPUTED_VALUE"""),4.0)</f>
        <v>4</v>
      </c>
      <c r="G1286" t="str">
        <f>IFERROR(__xludf.DUMMYFUNCTION("""COMPUTED_VALUE"""),"Sabun batang 1 Box ( 2 PCS )")</f>
        <v>Sabun batang 1 Box ( 2 PCS )</v>
      </c>
      <c r="H1286" s="469" t="str">
        <f>IFERROR(__xludf.DUMMYFUNCTION("""COMPUTED_VALUE"""),"Sampai")</f>
        <v>Sampai</v>
      </c>
      <c r="I1286" s="470" t="str">
        <f>IFERROR(__xludf.DUMMYFUNCTION("""COMPUTED_VALUE"""),"KIMME")</f>
        <v>KIMME</v>
      </c>
      <c r="J1286" s="471" t="str">
        <f>IFERROR(__xludf.DUMMYFUNCTION("""COMPUTED_VALUE"""),"https://vt.tiktok.com/ZSxP9Lksq/")</f>
        <v>https://vt.tiktok.com/ZSxP9Lksq/</v>
      </c>
      <c r="K1286" s="470" t="str">
        <f>IFERROR(__xludf.DUMMYFUNCTION("""COMPUTED_VALUE"""),"KIMME")</f>
        <v>KIMME</v>
      </c>
      <c r="L1286" s="471" t="str">
        <f>IFERROR(__xludf.DUMMYFUNCTION("""COMPUTED_VALUE"""),"https://vt.tiktok.com/ZSxP9Y6jk/")</f>
        <v>https://vt.tiktok.com/ZSxP9Y6jk/</v>
      </c>
      <c r="M1286" s="470"/>
      <c r="N1286" s="471" t="str">
        <f>IFERROR(__xludf.DUMMYFUNCTION("""COMPUTED_VALUE"""),"https://vt.tiktok.com/ZSxP96fyj/")</f>
        <v>https://vt.tiktok.com/ZSxP96fyj/</v>
      </c>
      <c r="O1286" s="470"/>
      <c r="P1286" s="471" t="str">
        <f>IFERROR(__xludf.DUMMYFUNCTION("""COMPUTED_VALUE"""),"https://vt.tiktok.com/ZSxP9rAqu/")</f>
        <v>https://vt.tiktok.com/ZSxP9rAqu/</v>
      </c>
    </row>
    <row r="1287">
      <c r="A1287" s="282" t="str">
        <f>IFERROR(__xludf.DUMMYFUNCTION("""COMPUTED_VALUE"""),"MICRO")</f>
        <v>MICRO</v>
      </c>
      <c r="B1287" s="468" t="str">
        <f>IFERROR(__xludf.DUMMYFUNCTION("""COMPUTED_VALUE"""),"beningtyasw")</f>
        <v>beningtyasw</v>
      </c>
      <c r="C1287" s="283" t="str">
        <f>IFERROR(__xludf.DUMMYFUNCTION("""COMPUTED_VALUE"""),"https://www.tiktok.com/@beningtyasw")</f>
        <v>https://www.tiktok.com/@beningtyasw</v>
      </c>
      <c r="D1287" s="273">
        <f>IFERROR(__xludf.DUMMYFUNCTION("""COMPUTED_VALUE"""),8.5338144627E10)</f>
        <v>85338144627</v>
      </c>
      <c r="E1287" s="458">
        <f>IFERROR(__xludf.DUMMYFUNCTION("""COMPUTED_VALUE"""),0.0)</f>
        <v>0</v>
      </c>
      <c r="F1287" s="273">
        <f>IFERROR(__xludf.DUMMYFUNCTION("""COMPUTED_VALUE"""),4.0)</f>
        <v>4</v>
      </c>
      <c r="G1287" t="str">
        <f>IFERROR(__xludf.DUMMYFUNCTION("""COMPUTED_VALUE"""),"Sabun batang 1 Box ( 2 PCS )")</f>
        <v>Sabun batang 1 Box ( 2 PCS )</v>
      </c>
      <c r="H1287" s="469" t="str">
        <f>IFERROR(__xludf.DUMMYFUNCTION("""COMPUTED_VALUE"""),"Sampai")</f>
        <v>Sampai</v>
      </c>
      <c r="I1287" s="470" t="str">
        <f>IFERROR(__xludf.DUMMYFUNCTION("""COMPUTED_VALUE"""),"KIMME")</f>
        <v>KIMME</v>
      </c>
      <c r="J1287" t="str">
        <f>IFERROR(__xludf.DUMMYFUNCTION("""COMPUTED_VALUE"""),"⁠https://vt.tiktok.com/ZSxS3VD3V/")</f>
        <v>⁠https://vt.tiktok.com/ZSxS3VD3V/</v>
      </c>
      <c r="K1287" s="470" t="str">
        <f>IFERROR(__xludf.DUMMYFUNCTION("""COMPUTED_VALUE"""),"KIMME")</f>
        <v>KIMME</v>
      </c>
      <c r="L1287" t="str">
        <f>IFERROR(__xludf.DUMMYFUNCTION("""COMPUTED_VALUE"""),"⁠⁠https://vt.tiktok.com/ZSxS3K9JT/")</f>
        <v>⁠⁠https://vt.tiktok.com/ZSxS3K9JT/</v>
      </c>
      <c r="M1287" s="470"/>
      <c r="N1287" s="471" t="str">
        <f>IFERROR(__xludf.DUMMYFUNCTION("""COMPUTED_VALUE"""),"https://vt.tiktok.com/ZSxS3poY4/")</f>
        <v>https://vt.tiktok.com/ZSxS3poY4/</v>
      </c>
      <c r="O1287" s="470"/>
      <c r="P1287" s="471" t="str">
        <f>IFERROR(__xludf.DUMMYFUNCTION("""COMPUTED_VALUE"""),"https://vt.tiktok.com/ZSxS3K4bw/")</f>
        <v>https://vt.tiktok.com/ZSxS3K4bw/</v>
      </c>
    </row>
    <row r="1288">
      <c r="A1288" s="282" t="str">
        <f>IFERROR(__xludf.DUMMYFUNCTION("""COMPUTED_VALUE"""),"MICRO")</f>
        <v>MICRO</v>
      </c>
      <c r="B1288" s="468" t="str">
        <f>IFERROR(__xludf.DUMMYFUNCTION("""COMPUTED_VALUE"""),"sasasintya")</f>
        <v>sasasintya</v>
      </c>
      <c r="C1288" s="283" t="str">
        <f>IFERROR(__xludf.DUMMYFUNCTION("""COMPUTED_VALUE"""),"https://www.tiktok.com/@sasasintya")</f>
        <v>https://www.tiktok.com/@sasasintya</v>
      </c>
      <c r="D1288" s="273">
        <f>IFERROR(__xludf.DUMMYFUNCTION("""COMPUTED_VALUE"""),8.81011902616E11)</f>
        <v>881011902616</v>
      </c>
      <c r="E1288" s="458">
        <f>IFERROR(__xludf.DUMMYFUNCTION("""COMPUTED_VALUE"""),0.0)</f>
        <v>0</v>
      </c>
      <c r="F1288" s="273">
        <f>IFERROR(__xludf.DUMMYFUNCTION("""COMPUTED_VALUE"""),4.0)</f>
        <v>4</v>
      </c>
      <c r="G1288" t="str">
        <f>IFERROR(__xludf.DUMMYFUNCTION("""COMPUTED_VALUE"""),"Sabun batang 1 Box ( 2 PCS )")</f>
        <v>Sabun batang 1 Box ( 2 PCS )</v>
      </c>
      <c r="H1288" s="469" t="str">
        <f>IFERROR(__xludf.DUMMYFUNCTION("""COMPUTED_VALUE"""),"Sampai")</f>
        <v>Sampai</v>
      </c>
      <c r="I1288" s="470" t="str">
        <f>IFERROR(__xludf.DUMMYFUNCTION("""COMPUTED_VALUE"""),"KIMME")</f>
        <v>KIMME</v>
      </c>
      <c r="J1288" s="471" t="str">
        <f>IFERROR(__xludf.DUMMYFUNCTION("""COMPUTED_VALUE"""),"https://vt.tiktok.com/ZSx7YvEPT/")</f>
        <v>https://vt.tiktok.com/ZSx7YvEPT/</v>
      </c>
      <c r="K1288" s="470" t="str">
        <f>IFERROR(__xludf.DUMMYFUNCTION("""COMPUTED_VALUE"""),"KIMME")</f>
        <v>KIMME</v>
      </c>
      <c r="L1288" s="471" t="str">
        <f>IFERROR(__xludf.DUMMYFUNCTION("""COMPUTED_VALUE"""),"https://vt.tiktok.com/ZSx7Yn7HC/")</f>
        <v>https://vt.tiktok.com/ZSx7Yn7HC/</v>
      </c>
      <c r="M1288" s="470"/>
      <c r="N1288" s="471" t="str">
        <f>IFERROR(__xludf.DUMMYFUNCTION("""COMPUTED_VALUE"""),"https://vt.tiktok.com/ZSxnohBgY/")</f>
        <v>https://vt.tiktok.com/ZSxnohBgY/</v>
      </c>
      <c r="O1288" s="470"/>
      <c r="P1288" t="str">
        <f>IFERROR(__xludf.DUMMYFUNCTION("""COMPUTED_VALUE"""),"⁠https://vt.tiktok.com/ZSxnoC7Lg/")</f>
        <v>⁠https://vt.tiktok.com/ZSxnoC7Lg/</v>
      </c>
    </row>
    <row r="1289">
      <c r="A1289" s="282" t="str">
        <f>IFERROR(__xludf.DUMMYFUNCTION("""COMPUTED_VALUE"""),"MICRO")</f>
        <v>MICRO</v>
      </c>
      <c r="B1289" s="468" t="str">
        <f>IFERROR(__xludf.DUMMYFUNCTION("""COMPUTED_VALUE"""),"rifarm.28")</f>
        <v>rifarm.28</v>
      </c>
      <c r="C1289" s="283" t="str">
        <f>IFERROR(__xludf.DUMMYFUNCTION("""COMPUTED_VALUE"""),"https://www.tiktok.com/@rifarm.28")</f>
        <v>https://www.tiktok.com/@rifarm.28</v>
      </c>
      <c r="D1289" s="273">
        <f>IFERROR(__xludf.DUMMYFUNCTION("""COMPUTED_VALUE"""),8.1398285627E10)</f>
        <v>81398285627</v>
      </c>
      <c r="E1289" s="458">
        <f>IFERROR(__xludf.DUMMYFUNCTION("""COMPUTED_VALUE"""),0.0)</f>
        <v>0</v>
      </c>
      <c r="F1289" s="273">
        <f>IFERROR(__xludf.DUMMYFUNCTION("""COMPUTED_VALUE"""),4.0)</f>
        <v>4</v>
      </c>
      <c r="G1289" t="str">
        <f>IFERROR(__xludf.DUMMYFUNCTION("""COMPUTED_VALUE"""),"Sabun batang 1 Box ( 2 PCS )")</f>
        <v>Sabun batang 1 Box ( 2 PCS )</v>
      </c>
      <c r="H1289" s="469" t="str">
        <f>IFERROR(__xludf.DUMMYFUNCTION("""COMPUTED_VALUE"""),"Sampai")</f>
        <v>Sampai</v>
      </c>
      <c r="I1289" s="470" t="str">
        <f>IFERROR(__xludf.DUMMYFUNCTION("""COMPUTED_VALUE"""),"KIMME")</f>
        <v>KIMME</v>
      </c>
      <c r="J1289" t="str">
        <f>IFERROR(__xludf.DUMMYFUNCTION("""COMPUTED_VALUE"""),"⁠https://vt.tiktok.com/ZSxno7YnQ/")</f>
        <v>⁠https://vt.tiktok.com/ZSxno7YnQ/</v>
      </c>
      <c r="K1289" s="470" t="str">
        <f>IFERROR(__xludf.DUMMYFUNCTION("""COMPUTED_VALUE"""),"KIMME")</f>
        <v>KIMME</v>
      </c>
      <c r="L1289" t="str">
        <f>IFERROR(__xludf.DUMMYFUNCTION("""COMPUTED_VALUE"""),"⁠https://vt.tiktok.com/ZSxnosNFB/")</f>
        <v>⁠https://vt.tiktok.com/ZSxnosNFB/</v>
      </c>
      <c r="M1289" s="470"/>
      <c r="N1289" s="471" t="str">
        <f>IFERROR(__xludf.DUMMYFUNCTION("""COMPUTED_VALUE"""),"https://vt.tiktok.com/ZSxnoWp4w/")</f>
        <v>https://vt.tiktok.com/ZSxnoWp4w/</v>
      </c>
      <c r="O1289" s="470"/>
      <c r="P1289" s="471" t="str">
        <f>IFERROR(__xludf.DUMMYFUNCTION("""COMPUTED_VALUE"""),"https://vt.tiktok.com/ZSxnopeFs/")</f>
        <v>https://vt.tiktok.com/ZSxnopeFs/</v>
      </c>
    </row>
    <row r="1290">
      <c r="A1290" s="282" t="str">
        <f>IFERROR(__xludf.DUMMYFUNCTION("""COMPUTED_VALUE"""),"MICRO")</f>
        <v>MICRO</v>
      </c>
      <c r="B1290" s="468" t="str">
        <f>IFERROR(__xludf.DUMMYFUNCTION("""COMPUTED_VALUE"""),"Shelvinanaa")</f>
        <v>Shelvinanaa</v>
      </c>
      <c r="C1290" s="283" t="str">
        <f>IFERROR(__xludf.DUMMYFUNCTION("""COMPUTED_VALUE"""),"https://www.tiktok.com/@Shelvinanaa")</f>
        <v>https://www.tiktok.com/@Shelvinanaa</v>
      </c>
      <c r="D1290" s="273">
        <f>IFERROR(__xludf.DUMMYFUNCTION("""COMPUTED_VALUE"""),8.139466168E10)</f>
        <v>81394661680</v>
      </c>
      <c r="E1290" s="458">
        <f>IFERROR(__xludf.DUMMYFUNCTION("""COMPUTED_VALUE"""),0.0)</f>
        <v>0</v>
      </c>
      <c r="F1290" s="273">
        <f>IFERROR(__xludf.DUMMYFUNCTION("""COMPUTED_VALUE"""),4.0)</f>
        <v>4</v>
      </c>
      <c r="G1290" t="str">
        <f>IFERROR(__xludf.DUMMYFUNCTION("""COMPUTED_VALUE"""),"Sabun batang 1 Box ( 2 PCS )")</f>
        <v>Sabun batang 1 Box ( 2 PCS )</v>
      </c>
      <c r="H1290" s="469" t="str">
        <f>IFERROR(__xludf.DUMMYFUNCTION("""COMPUTED_VALUE"""),"Sampai")</f>
        <v>Sampai</v>
      </c>
      <c r="I1290" s="470" t="str">
        <f>IFERROR(__xludf.DUMMYFUNCTION("""COMPUTED_VALUE"""),"KIMME")</f>
        <v>KIMME</v>
      </c>
      <c r="J1290" s="471" t="str">
        <f>IFERROR(__xludf.DUMMYFUNCTION("""COMPUTED_VALUE"""),"https://vt.tiktok.com/ZS9DMeET7/")</f>
        <v>https://vt.tiktok.com/ZS9DMeET7/</v>
      </c>
      <c r="K1290" s="470" t="str">
        <f>IFERROR(__xludf.DUMMYFUNCTION("""COMPUTED_VALUE"""),"KIMME")</f>
        <v>KIMME</v>
      </c>
      <c r="L1290" s="471" t="str">
        <f>IFERROR(__xludf.DUMMYFUNCTION("""COMPUTED_VALUE"""),"https://vt.tiktok.com/ZS9UA9hX9/")</f>
        <v>https://vt.tiktok.com/ZS9UA9hX9/</v>
      </c>
      <c r="M1290" s="470"/>
      <c r="N1290" s="471" t="str">
        <f>IFERROR(__xludf.DUMMYFUNCTION("""COMPUTED_VALUE"""),"https://vt.tiktok.com/ZS9fhvRXf/")</f>
        <v>https://vt.tiktok.com/ZS9fhvRXf/</v>
      </c>
      <c r="O1290" s="470"/>
      <c r="P1290" s="471" t="str">
        <f>IFERROR(__xludf.DUMMYFUNCTION("""COMPUTED_VALUE"""),"https://vt.tiktok.com/ZS9fGJpFV/")</f>
        <v>https://vt.tiktok.com/ZS9fGJpFV/</v>
      </c>
    </row>
    <row r="1291">
      <c r="A1291" s="282" t="str">
        <f>IFERROR(__xludf.DUMMYFUNCTION("""COMPUTED_VALUE"""),"MICRO")</f>
        <v>MICRO</v>
      </c>
      <c r="B1291" s="468" t="str">
        <f>IFERROR(__xludf.DUMMYFUNCTION("""COMPUTED_VALUE"""),"dalapansalapan98")</f>
        <v>dalapansalapan98</v>
      </c>
      <c r="C1291" s="283" t="str">
        <f>IFERROR(__xludf.DUMMYFUNCTION("""COMPUTED_VALUE"""),"https://www.tiktok.com/@dalapansalapan98")</f>
        <v>https://www.tiktok.com/@dalapansalapan98</v>
      </c>
      <c r="D1291" s="273">
        <f>IFERROR(__xludf.DUMMYFUNCTION("""COMPUTED_VALUE"""),8.586179868E10)</f>
        <v>85861798680</v>
      </c>
      <c r="E1291" s="458">
        <f>IFERROR(__xludf.DUMMYFUNCTION("""COMPUTED_VALUE"""),0.0)</f>
        <v>0</v>
      </c>
      <c r="F1291" s="273">
        <f>IFERROR(__xludf.DUMMYFUNCTION("""COMPUTED_VALUE"""),1.0)</f>
        <v>1</v>
      </c>
      <c r="G1291" t="str">
        <f>IFERROR(__xludf.DUMMYFUNCTION("""COMPUTED_VALUE"""),"Sabun batang 1 Box ( 2 PCS )")</f>
        <v>Sabun batang 1 Box ( 2 PCS )</v>
      </c>
      <c r="H1291" s="469" t="str">
        <f>IFERROR(__xludf.DUMMYFUNCTION("""COMPUTED_VALUE"""),"Sampai")</f>
        <v>Sampai</v>
      </c>
      <c r="I1291" s="470" t="str">
        <f>IFERROR(__xludf.DUMMYFUNCTION("""COMPUTED_VALUE"""),"KIMME")</f>
        <v>KIMME</v>
      </c>
      <c r="J1291" s="471" t="str">
        <f>IFERROR(__xludf.DUMMYFUNCTION("""COMPUTED_VALUE"""),"https://vt.tiktok.com/ZS9kRTyMA/")</f>
        <v>https://vt.tiktok.com/ZS9kRTyMA/</v>
      </c>
      <c r="K1291" s="470" t="str">
        <f>IFERROR(__xludf.DUMMYFUNCTION("""COMPUTED_VALUE"""),"KIMME")</f>
        <v>KIMME</v>
      </c>
      <c r="L1291" t="str">
        <f>IFERROR(__xludf.DUMMYFUNCTION("""COMPUTED_VALUE"""),"⁠https://vt.tiktok.com/ZSxW1dE2r/")</f>
        <v>⁠https://vt.tiktok.com/ZSxW1dE2r/</v>
      </c>
      <c r="M1291" s="470"/>
      <c r="N1291" t="str">
        <f>IFERROR(__xludf.DUMMYFUNCTION("""COMPUTED_VALUE"""),"⁠https://vt.tiktok.com/ZSxno3xhu/")</f>
        <v>⁠https://vt.tiktok.com/ZSxno3xhu/</v>
      </c>
      <c r="O1291" s="470"/>
      <c r="P1291" t="str">
        <f>IFERROR(__xludf.DUMMYFUNCTION("""COMPUTED_VALUE"""),"⁠https://vt.tiktok.com/ZSxnoTEW8/")</f>
        <v>⁠https://vt.tiktok.com/ZSxnoTEW8/</v>
      </c>
    </row>
    <row r="1292">
      <c r="A1292" s="282" t="str">
        <f>IFERROR(__xludf.DUMMYFUNCTION("""COMPUTED_VALUE"""),"MICRO")</f>
        <v>MICRO</v>
      </c>
      <c r="B1292" s="468" t="str">
        <f>IFERROR(__xludf.DUMMYFUNCTION("""COMPUTED_VALUE"""),"Msnha92")</f>
        <v>Msnha92</v>
      </c>
      <c r="C1292" s="283" t="str">
        <f>IFERROR(__xludf.DUMMYFUNCTION("""COMPUTED_VALUE"""),"https://www.tiktok.com/@Msnha92")</f>
        <v>https://www.tiktok.com/@Msnha92</v>
      </c>
      <c r="D1292" s="273">
        <f>IFERROR(__xludf.DUMMYFUNCTION("""COMPUTED_VALUE"""),8.5814141139E10)</f>
        <v>85814141139</v>
      </c>
      <c r="E1292" s="458">
        <f>IFERROR(__xludf.DUMMYFUNCTION("""COMPUTED_VALUE"""),0.0)</f>
        <v>0</v>
      </c>
      <c r="F1292" s="273">
        <f>IFERROR(__xludf.DUMMYFUNCTION("""COMPUTED_VALUE"""),2.0)</f>
        <v>2</v>
      </c>
      <c r="G1292" t="str">
        <f>IFERROR(__xludf.DUMMYFUNCTION("""COMPUTED_VALUE"""),"Sabun batang 1 Box ( 2 PCS )")</f>
        <v>Sabun batang 1 Box ( 2 PCS )</v>
      </c>
      <c r="H1292" s="469" t="str">
        <f>IFERROR(__xludf.DUMMYFUNCTION("""COMPUTED_VALUE"""),"Sampai")</f>
        <v>Sampai</v>
      </c>
      <c r="I1292" s="470" t="str">
        <f>IFERROR(__xludf.DUMMYFUNCTION("""COMPUTED_VALUE"""),"KIMME")</f>
        <v>KIMME</v>
      </c>
      <c r="J1292" t="str">
        <f>IFERROR(__xludf.DUMMYFUNCTION("""COMPUTED_VALUE"""),"⁠https://vt.tiktok.com/ZSxnopBHh/")</f>
        <v>⁠https://vt.tiktok.com/ZSxnopBHh/</v>
      </c>
      <c r="K1292" s="470" t="str">
        <f>IFERROR(__xludf.DUMMYFUNCTION("""COMPUTED_VALUE"""),"KIMME")</f>
        <v>KIMME</v>
      </c>
      <c r="L1292" t="str">
        <f>IFERROR(__xludf.DUMMYFUNCTION("""COMPUTED_VALUE"""),"⁠https://vt.tiktok.com/ZSxW1dmry/")</f>
        <v>⁠https://vt.tiktok.com/ZSxW1dmry/</v>
      </c>
      <c r="M1292" s="470"/>
      <c r="N1292" s="471" t="str">
        <f>IFERROR(__xludf.DUMMYFUNCTION("""COMPUTED_VALUE"""),"https://vt.tiktok.com/ZSxp8aTek/")</f>
        <v>https://vt.tiktok.com/ZSxp8aTek/</v>
      </c>
      <c r="O1292" s="470"/>
      <c r="P1292" s="471" t="str">
        <f>IFERROR(__xludf.DUMMYFUNCTION("""COMPUTED_VALUE"""),"https://vt.tiktok.com/ZSxp8AS4T/")</f>
        <v>https://vt.tiktok.com/ZSxp8AS4T/</v>
      </c>
    </row>
    <row r="1293">
      <c r="A1293" s="282" t="str">
        <f>IFERROR(__xludf.DUMMYFUNCTION("""COMPUTED_VALUE"""),"MICRO")</f>
        <v>MICRO</v>
      </c>
      <c r="B1293" s="468" t="str">
        <f>IFERROR(__xludf.DUMMYFUNCTION("""COMPUTED_VALUE"""),"nianiania09")</f>
        <v>nianiania09</v>
      </c>
      <c r="C1293" s="283" t="str">
        <f>IFERROR(__xludf.DUMMYFUNCTION("""COMPUTED_VALUE"""),"https://www.tiktok.com/@nianiania09")</f>
        <v>https://www.tiktok.com/@nianiania09</v>
      </c>
      <c r="D1293" s="273">
        <f>IFERROR(__xludf.DUMMYFUNCTION("""COMPUTED_VALUE"""),8.5647174743E10)</f>
        <v>85647174743</v>
      </c>
      <c r="E1293" s="458">
        <f>IFERROR(__xludf.DUMMYFUNCTION("""COMPUTED_VALUE"""),50000.0)</f>
        <v>50000</v>
      </c>
      <c r="F1293" s="273">
        <f>IFERROR(__xludf.DUMMYFUNCTION("""COMPUTED_VALUE"""),2.0)</f>
        <v>2</v>
      </c>
      <c r="G1293" t="str">
        <f>IFERROR(__xludf.DUMMYFUNCTION("""COMPUTED_VALUE"""),"Sabun batang 1 Box ( 2 PCS )")</f>
        <v>Sabun batang 1 Box ( 2 PCS )</v>
      </c>
      <c r="H1293" s="469" t="str">
        <f>IFERROR(__xludf.DUMMYFUNCTION("""COMPUTED_VALUE"""),"Sampai")</f>
        <v>Sampai</v>
      </c>
      <c r="I1293" s="470" t="str">
        <f>IFERROR(__xludf.DUMMYFUNCTION("""COMPUTED_VALUE"""),"KIMME")</f>
        <v>KIMME</v>
      </c>
      <c r="J1293" s="471" t="str">
        <f>IFERROR(__xludf.DUMMYFUNCTION("""COMPUTED_VALUE"""),"https://vt.tiktok.com/ZS9ksB2YF/")</f>
        <v>https://vt.tiktok.com/ZS9ksB2YF/</v>
      </c>
      <c r="K1293" s="470" t="str">
        <f>IFERROR(__xludf.DUMMYFUNCTION("""COMPUTED_VALUE"""),"KIMME")</f>
        <v>KIMME</v>
      </c>
      <c r="L1293" s="471" t="str">
        <f>IFERROR(__xludf.DUMMYFUNCTION("""COMPUTED_VALUE"""),"https://vt.tiktok.com/ZS9ks4f57/")</f>
        <v>https://vt.tiktok.com/ZS9ks4f57/</v>
      </c>
      <c r="M1293" s="470"/>
      <c r="N1293" s="471" t="str">
        <f>IFERROR(__xludf.DUMMYFUNCTION("""COMPUTED_VALUE"""),"https://vt.tiktok.com/ZS9ksgkeS/")</f>
        <v>https://vt.tiktok.com/ZS9ksgkeS/</v>
      </c>
      <c r="O1293" s="470"/>
      <c r="P1293" s="471" t="str">
        <f>IFERROR(__xludf.DUMMYFUNCTION("""COMPUTED_VALUE"""),"https://vt.tiktok.com/ZS9ksThGa/")</f>
        <v>https://vt.tiktok.com/ZS9ksThGa/</v>
      </c>
    </row>
    <row r="1294">
      <c r="A1294" s="282" t="str">
        <f>IFERROR(__xludf.DUMMYFUNCTION("""COMPUTED_VALUE"""),"MICRO")</f>
        <v>MICRO</v>
      </c>
      <c r="B1294" s="468" t="str">
        <f>IFERROR(__xludf.DUMMYFUNCTION("""COMPUTED_VALUE"""),"sintiayaaabarokah")</f>
        <v>sintiayaaabarokah</v>
      </c>
      <c r="C1294" s="283" t="str">
        <f>IFERROR(__xludf.DUMMYFUNCTION("""COMPUTED_VALUE"""),"https://www.tiktok.com/@sintiayaaabarokah")</f>
        <v>https://www.tiktok.com/@sintiayaaabarokah</v>
      </c>
      <c r="D1294" s="273">
        <f>IFERROR(__xludf.DUMMYFUNCTION("""COMPUTED_VALUE"""),8.1214157515E10)</f>
        <v>81214157515</v>
      </c>
      <c r="E1294" s="458">
        <f>IFERROR(__xludf.DUMMYFUNCTION("""COMPUTED_VALUE"""),0.0)</f>
        <v>0</v>
      </c>
      <c r="F1294" s="273">
        <f>IFERROR(__xludf.DUMMYFUNCTION("""COMPUTED_VALUE"""),4.0)</f>
        <v>4</v>
      </c>
      <c r="G1294" t="str">
        <f>IFERROR(__xludf.DUMMYFUNCTION("""COMPUTED_VALUE"""),"Sabun batang 1 Box ( 2 PCS )")</f>
        <v>Sabun batang 1 Box ( 2 PCS )</v>
      </c>
      <c r="H1294" s="469" t="str">
        <f>IFERROR(__xludf.DUMMYFUNCTION("""COMPUTED_VALUE"""),"Sampai")</f>
        <v>Sampai</v>
      </c>
      <c r="I1294" s="470" t="str">
        <f>IFERROR(__xludf.DUMMYFUNCTION("""COMPUTED_VALUE"""),"KIMME")</f>
        <v>KIMME</v>
      </c>
      <c r="J1294" s="471" t="str">
        <f>IFERROR(__xludf.DUMMYFUNCTION("""COMPUTED_VALUE"""),"https://vt.tiktok.com/ZS9ksB2YF/")</f>
        <v>https://vt.tiktok.com/ZS9ksB2YF/</v>
      </c>
      <c r="K1294" s="470" t="str">
        <f>IFERROR(__xludf.DUMMYFUNCTION("""COMPUTED_VALUE"""),"KIMME")</f>
        <v>KIMME</v>
      </c>
      <c r="L1294" s="471" t="str">
        <f>IFERROR(__xludf.DUMMYFUNCTION("""COMPUTED_VALUE"""),"https://vt.tiktok.com/ZS9ks4f57/")</f>
        <v>https://vt.tiktok.com/ZS9ks4f57/</v>
      </c>
      <c r="M1294" s="470"/>
      <c r="N1294" s="471" t="str">
        <f>IFERROR(__xludf.DUMMYFUNCTION("""COMPUTED_VALUE"""),"https://vt.tiktok.com/ZS9ksgkeS/")</f>
        <v>https://vt.tiktok.com/ZS9ksgkeS/</v>
      </c>
      <c r="O1294" s="470"/>
      <c r="P1294" s="471" t="str">
        <f>IFERROR(__xludf.DUMMYFUNCTION("""COMPUTED_VALUE"""),"https://vt.tiktok.com/ZS9ksThGa/")</f>
        <v>https://vt.tiktok.com/ZS9ksThGa/</v>
      </c>
    </row>
    <row r="1295">
      <c r="A1295" s="282" t="str">
        <f>IFERROR(__xludf.DUMMYFUNCTION("""COMPUTED_VALUE"""),"MICRO")</f>
        <v>MICRO</v>
      </c>
      <c r="B1295" s="468" t="str">
        <f>IFERROR(__xludf.DUMMYFUNCTION("""COMPUTED_VALUE"""),"nuraeniaripin")</f>
        <v>nuraeniaripin</v>
      </c>
      <c r="C1295" s="283" t="str">
        <f>IFERROR(__xludf.DUMMYFUNCTION("""COMPUTED_VALUE"""),"https://www.tiktok.com/@nuraeniaripin")</f>
        <v>https://www.tiktok.com/@nuraeniaripin</v>
      </c>
      <c r="D1295" s="273">
        <f>IFERROR(__xludf.DUMMYFUNCTION("""COMPUTED_VALUE"""),8.5724130585E10)</f>
        <v>85724130585</v>
      </c>
      <c r="E1295" s="458">
        <f>IFERROR(__xludf.DUMMYFUNCTION("""COMPUTED_VALUE"""),50000.0)</f>
        <v>50000</v>
      </c>
      <c r="F1295" s="273">
        <f>IFERROR(__xludf.DUMMYFUNCTION("""COMPUTED_VALUE"""),1.0)</f>
        <v>1</v>
      </c>
      <c r="G1295" t="str">
        <f>IFERROR(__xludf.DUMMYFUNCTION("""COMPUTED_VALUE"""),"Sabun batang 1 Box ( 2 PCS )")</f>
        <v>Sabun batang 1 Box ( 2 PCS )</v>
      </c>
      <c r="H1295" s="469" t="str">
        <f>IFERROR(__xludf.DUMMYFUNCTION("""COMPUTED_VALUE"""),"Sampai")</f>
        <v>Sampai</v>
      </c>
      <c r="I1295" s="470" t="str">
        <f>IFERROR(__xludf.DUMMYFUNCTION("""COMPUTED_VALUE"""),"KIMME")</f>
        <v>KIMME</v>
      </c>
      <c r="J1295" s="471" t="str">
        <f>IFERROR(__xludf.DUMMYFUNCTION("""COMPUTED_VALUE"""),"https://www.tiktok.com/@nuraeniaripin/video/7639619430829329684?_r=1&amp;u_code=cmleee9gb9beek&amp;region=&amp;mid=7639619477902772999&amp;preview_pb=0&amp;sharer_language=&amp;_d=0&amp;ec_shared_reflux_dynamic_params=%7B%22placeholder_material_id%22%3A%227639619430829329684%22%2C%2"&amp;"2placeholder_origin_cover%22%3A%22https%253A%252F%252Fp16-common-sign.tiktokcdn.com%252Ftos-alisg-p-0037%252FowrWFAMVWcB7sEIqsBFfBBgDvYNsBLIfRRDoEz~tplv-tiktokx-origin.jpeg%253Fdr%253D14572%2526refresh_token%253Dfe694de4%2526x-expires%253D1810717200%2526x"&amp;"-signature%253DIjKAJXLjwdbc2AYNOtLY4uDUWXw%25253D%2526t%253D4d5b0474%2526ps%253D13740610%2526shp%253Dd05b14bd%2526shcp%253D34ff8df6%2526idc%253Dmy3%2526s%253DTIKTOK_AFFILIATE_VIRAL_VIDEO%22%2C%22placeholder_product_id%22%3A%221729729730555512511%22%2C%22p"&amp;"laceholder_video_id%22%3A%227639619430829329684%22%7D&amp;ec_shared_reflux_scene=shop_tab_feed&amp;share_item_id=7639619430829329684&amp;source=h5_t")</f>
        <v>https://www.tiktok.com/@nuraeniaripin/video/7639619430829329684?_r=1&amp;u_code=cmleee9gb9beek&amp;region=&amp;mid=7639619477902772999&amp;preview_pb=0&amp;sharer_language=&amp;_d=0&amp;ec_shared_reflux_dynamic_params=%7B%22placeholder_material_id%22%3A%227639619430829329684%22%2C%22placeholder_origin_cover%22%3A%22https%253A%252F%252Fp16-common-sign.tiktokcdn.com%252Ftos-alisg-p-0037%252FowrWFAMVWcB7sEIqsBFfBBgDvYNsBLIfRRDoEz~tplv-tiktokx-origin.jpeg%253Fdr%253D14572%2526refresh_token%253Dfe694de4%2526x-expires%253D1810717200%2526x-signature%253DIjKAJXLjwdbc2AYNOtLY4uDUWXw%25253D%2526t%253D4d5b0474%2526ps%253D13740610%2526shp%253Dd05b14bd%2526shcp%253D34ff8df6%2526idc%253Dmy3%2526s%253DTIKTOK_AFFILIATE_VIRAL_VIDEO%22%2C%22placeholder_product_id%22%3A%221729729730555512511%22%2C%22placeholder_video_id%22%3A%227639619430829329684%22%7D&amp;ec_shared_reflux_scene=shop_tab_feed&amp;share_item_id=7639619430829329684&amp;source=h5_t</v>
      </c>
      <c r="K1295" s="470" t="str">
        <f>IFERROR(__xludf.DUMMYFUNCTION("""COMPUTED_VALUE"""),"KIMME")</f>
        <v>KIMME</v>
      </c>
      <c r="L1295" s="471" t="str">
        <f>IFERROR(__xludf.DUMMYFUNCTION("""COMPUTED_VALUE"""),"https://vt.tiktok.com/ZSxdcwqu9/")</f>
        <v>https://vt.tiktok.com/ZSxdcwqu9/</v>
      </c>
      <c r="M1295" s="470"/>
      <c r="N1295" s="471" t="str">
        <f>IFERROR(__xludf.DUMMYFUNCTION("""COMPUTED_VALUE"""),"https://vt.tiktok.com/ZS9ksgkeS/")</f>
        <v>https://vt.tiktok.com/ZS9ksgkeS/</v>
      </c>
      <c r="O1295" s="470"/>
      <c r="P1295" s="471" t="str">
        <f>IFERROR(__xludf.DUMMYFUNCTION("""COMPUTED_VALUE"""),"https://vt.tiktok.com/ZS9ksThGa/")</f>
        <v>https://vt.tiktok.com/ZS9ksThGa/</v>
      </c>
    </row>
    <row r="1296">
      <c r="A1296" s="282" t="str">
        <f>IFERROR(__xludf.DUMMYFUNCTION("""COMPUTED_VALUE"""),"MICRO")</f>
        <v>MICRO</v>
      </c>
      <c r="B1296" s="468" t="str">
        <f>IFERROR(__xludf.DUMMYFUNCTION("""COMPUTED_VALUE"""),"ndiranavsyari ")</f>
        <v>ndiranavsyari </v>
      </c>
      <c r="C1296" s="283" t="str">
        <f>IFERROR(__xludf.DUMMYFUNCTION("""COMPUTED_VALUE"""),"https://www.tiktok.com/@ndiranavsyari ")</f>
        <v>https://www.tiktok.com/@ndiranavsyari </v>
      </c>
      <c r="D1296" s="273">
        <f>IFERROR(__xludf.DUMMYFUNCTION("""COMPUTED_VALUE"""),8.5751160469E10)</f>
        <v>85751160469</v>
      </c>
      <c r="E1296" s="458">
        <f>IFERROR(__xludf.DUMMYFUNCTION("""COMPUTED_VALUE"""),0.0)</f>
        <v>0</v>
      </c>
      <c r="F1296" s="273">
        <f>IFERROR(__xludf.DUMMYFUNCTION("""COMPUTED_VALUE"""),2.0)</f>
        <v>2</v>
      </c>
      <c r="G1296" t="str">
        <f>IFERROR(__xludf.DUMMYFUNCTION("""COMPUTED_VALUE"""),"Sabun batang 1 Box ( 2 PCS )")</f>
        <v>Sabun batang 1 Box ( 2 PCS )</v>
      </c>
      <c r="H1296" s="469" t="str">
        <f>IFERROR(__xludf.DUMMYFUNCTION("""COMPUTED_VALUE"""),"Sampai")</f>
        <v>Sampai</v>
      </c>
      <c r="I1296" s="470" t="str">
        <f>IFERROR(__xludf.DUMMYFUNCTION("""COMPUTED_VALUE"""),"KIMME")</f>
        <v>KIMME</v>
      </c>
      <c r="J1296" s="471" t="str">
        <f>IFERROR(__xludf.DUMMYFUNCTION("""COMPUTED_VALUE"""),"https://vt.tiktok.com/ZS9ksB2YF/")</f>
        <v>https://vt.tiktok.com/ZS9ksB2YF/</v>
      </c>
      <c r="K1296" s="470" t="str">
        <f>IFERROR(__xludf.DUMMYFUNCTION("""COMPUTED_VALUE"""),"KIMME")</f>
        <v>KIMME</v>
      </c>
      <c r="L1296" s="471" t="str">
        <f>IFERROR(__xludf.DUMMYFUNCTION("""COMPUTED_VALUE"""),"https://vt.tiktok.com/ZS9ks4f57/")</f>
        <v>https://vt.tiktok.com/ZS9ks4f57/</v>
      </c>
      <c r="M1296" s="470"/>
      <c r="N1296" s="471" t="str">
        <f>IFERROR(__xludf.DUMMYFUNCTION("""COMPUTED_VALUE"""),"https://vt.tiktok.com/ZS9ksgkeS/")</f>
        <v>https://vt.tiktok.com/ZS9ksgkeS/</v>
      </c>
      <c r="O1296" s="470"/>
      <c r="P1296" s="471" t="str">
        <f>IFERROR(__xludf.DUMMYFUNCTION("""COMPUTED_VALUE"""),"https://vt.tiktok.com/ZS9ksThGa/")</f>
        <v>https://vt.tiktok.com/ZS9ksThGa/</v>
      </c>
    </row>
    <row r="1297">
      <c r="A1297" s="282" t="str">
        <f>IFERROR(__xludf.DUMMYFUNCTION("""COMPUTED_VALUE"""),"MICRO")</f>
        <v>MICRO</v>
      </c>
      <c r="B1297" s="468" t="str">
        <f>IFERROR(__xludf.DUMMYFUNCTION("""COMPUTED_VALUE"""),"qrtlaenii_")</f>
        <v>qrtlaenii_</v>
      </c>
      <c r="C1297" s="283" t="str">
        <f>IFERROR(__xludf.DUMMYFUNCTION("""COMPUTED_VALUE"""),"https://www.tiktok.com/@qrtlaenii_")</f>
        <v>https://www.tiktok.com/@qrtlaenii_</v>
      </c>
      <c r="D1297" s="273">
        <f>IFERROR(__xludf.DUMMYFUNCTION("""COMPUTED_VALUE"""),8.7861632826E10)</f>
        <v>87861632826</v>
      </c>
      <c r="E1297" s="458">
        <f>IFERROR(__xludf.DUMMYFUNCTION("""COMPUTED_VALUE"""),0.0)</f>
        <v>0</v>
      </c>
      <c r="F1297" s="273">
        <f>IFERROR(__xludf.DUMMYFUNCTION("""COMPUTED_VALUE"""),2.0)</f>
        <v>2</v>
      </c>
      <c r="G1297" t="str">
        <f>IFERROR(__xludf.DUMMYFUNCTION("""COMPUTED_VALUE"""),"Sabun batang 1 Box ( 2 PCS )")</f>
        <v>Sabun batang 1 Box ( 2 PCS )</v>
      </c>
      <c r="H1297" s="469" t="str">
        <f>IFERROR(__xludf.DUMMYFUNCTION("""COMPUTED_VALUE"""),"Sampai")</f>
        <v>Sampai</v>
      </c>
      <c r="I1297" s="470" t="str">
        <f>IFERROR(__xludf.DUMMYFUNCTION("""COMPUTED_VALUE"""),"KIMME")</f>
        <v>KIMME</v>
      </c>
      <c r="J1297" s="471" t="str">
        <f>IFERROR(__xludf.DUMMYFUNCTION("""COMPUTED_VALUE"""),"https://vt.tiktok.com/ZS9ksB2YF/")</f>
        <v>https://vt.tiktok.com/ZS9ksB2YF/</v>
      </c>
      <c r="K1297" s="470" t="str">
        <f>IFERROR(__xludf.DUMMYFUNCTION("""COMPUTED_VALUE"""),"KIMME")</f>
        <v>KIMME</v>
      </c>
      <c r="L1297" s="471" t="str">
        <f>IFERROR(__xludf.DUMMYFUNCTION("""COMPUTED_VALUE"""),"https://vt.tiktok.com/ZS9ks4f57/")</f>
        <v>https://vt.tiktok.com/ZS9ks4f57/</v>
      </c>
      <c r="M1297" s="470"/>
      <c r="N1297" s="471" t="str">
        <f>IFERROR(__xludf.DUMMYFUNCTION("""COMPUTED_VALUE"""),"https://vt.tiktok.com/ZS9ksgkeS/")</f>
        <v>https://vt.tiktok.com/ZS9ksgkeS/</v>
      </c>
      <c r="O1297" s="470"/>
      <c r="P1297" s="471" t="str">
        <f>IFERROR(__xludf.DUMMYFUNCTION("""COMPUTED_VALUE"""),"https://vt.tiktok.com/ZS9ksThGa/")</f>
        <v>https://vt.tiktok.com/ZS9ksThGa/</v>
      </c>
    </row>
    <row r="1298">
      <c r="A1298" s="282" t="str">
        <f>IFERROR(__xludf.DUMMYFUNCTION("""COMPUTED_VALUE"""),"MICRO")</f>
        <v>MICRO</v>
      </c>
      <c r="B1298" s="468" t="str">
        <f>IFERROR(__xludf.DUMMYFUNCTION("""COMPUTED_VALUE"""),"Cholimahcandrawati ")</f>
        <v>Cholimahcandrawati </v>
      </c>
      <c r="C1298" s="283" t="str">
        <f>IFERROR(__xludf.DUMMYFUNCTION("""COMPUTED_VALUE"""),"https://www.tiktok.com/@Cholimahcandrawati ")</f>
        <v>https://www.tiktok.com/@Cholimahcandrawati </v>
      </c>
      <c r="D1298" s="273">
        <f>IFERROR(__xludf.DUMMYFUNCTION("""COMPUTED_VALUE"""),8.223590132E10)</f>
        <v>82235901320</v>
      </c>
      <c r="E1298" s="458">
        <f>IFERROR(__xludf.DUMMYFUNCTION("""COMPUTED_VALUE"""),0.0)</f>
        <v>0</v>
      </c>
      <c r="F1298" s="273">
        <f>IFERROR(__xludf.DUMMYFUNCTION("""COMPUTED_VALUE"""),2.0)</f>
        <v>2</v>
      </c>
      <c r="G1298" t="str">
        <f>IFERROR(__xludf.DUMMYFUNCTION("""COMPUTED_VALUE"""),"Sabun batang 1 Box ( 2 PCS )")</f>
        <v>Sabun batang 1 Box ( 2 PCS )</v>
      </c>
      <c r="H1298" s="469" t="str">
        <f>IFERROR(__xludf.DUMMYFUNCTION("""COMPUTED_VALUE"""),"Sampai")</f>
        <v>Sampai</v>
      </c>
      <c r="I1298" s="470" t="str">
        <f>IFERROR(__xludf.DUMMYFUNCTION("""COMPUTED_VALUE"""),"KIMME")</f>
        <v>KIMME</v>
      </c>
      <c r="J1298" s="471" t="str">
        <f>IFERROR(__xludf.DUMMYFUNCTION("""COMPUTED_VALUE"""),"https://vt.tiktok.com/ZS9ksB2YF/")</f>
        <v>https://vt.tiktok.com/ZS9ksB2YF/</v>
      </c>
      <c r="K1298" s="470" t="str">
        <f>IFERROR(__xludf.DUMMYFUNCTION("""COMPUTED_VALUE"""),"KIMME")</f>
        <v>KIMME</v>
      </c>
      <c r="L1298" s="471" t="str">
        <f>IFERROR(__xludf.DUMMYFUNCTION("""COMPUTED_VALUE"""),"https://vt.tiktok.com/ZS9ks4f57/")</f>
        <v>https://vt.tiktok.com/ZS9ks4f57/</v>
      </c>
      <c r="M1298" s="470"/>
      <c r="N1298" s="471" t="str">
        <f>IFERROR(__xludf.DUMMYFUNCTION("""COMPUTED_VALUE"""),"https://vt.tiktok.com/ZS9ksgkeS/")</f>
        <v>https://vt.tiktok.com/ZS9ksgkeS/</v>
      </c>
      <c r="O1298" s="470"/>
      <c r="P1298" s="471" t="str">
        <f>IFERROR(__xludf.DUMMYFUNCTION("""COMPUTED_VALUE"""),"https://vt.tiktok.com/ZS9ksThGa/")</f>
        <v>https://vt.tiktok.com/ZS9ksThGa/</v>
      </c>
    </row>
    <row r="1299">
      <c r="A1299" s="282" t="str">
        <f>IFERROR(__xludf.DUMMYFUNCTION("""COMPUTED_VALUE"""),"MICRO")</f>
        <v>MICRO</v>
      </c>
      <c r="B1299" s="468" t="str">
        <f>IFERROR(__xludf.DUMMYFUNCTION("""COMPUTED_VALUE"""),"mama.azfa28")</f>
        <v>mama.azfa28</v>
      </c>
      <c r="C1299" s="283" t="str">
        <f>IFERROR(__xludf.DUMMYFUNCTION("""COMPUTED_VALUE"""),"https://www.tiktok.com/@mama.azfa28")</f>
        <v>https://www.tiktok.com/@mama.azfa28</v>
      </c>
      <c r="D1299" s="273">
        <f>IFERROR(__xludf.DUMMYFUNCTION("""COMPUTED_VALUE"""),8.575591242E10)</f>
        <v>85755912420</v>
      </c>
      <c r="E1299" s="458">
        <f>IFERROR(__xludf.DUMMYFUNCTION("""COMPUTED_VALUE"""),0.0)</f>
        <v>0</v>
      </c>
      <c r="F1299" s="273">
        <f>IFERROR(__xludf.DUMMYFUNCTION("""COMPUTED_VALUE"""),4.0)</f>
        <v>4</v>
      </c>
      <c r="G1299" t="str">
        <f>IFERROR(__xludf.DUMMYFUNCTION("""COMPUTED_VALUE"""),"Sabun batang 1 Box ( 2 PCS )")</f>
        <v>Sabun batang 1 Box ( 2 PCS )</v>
      </c>
      <c r="H1299" s="469" t="str">
        <f>IFERROR(__xludf.DUMMYFUNCTION("""COMPUTED_VALUE"""),"Sampai")</f>
        <v>Sampai</v>
      </c>
      <c r="I1299" s="470" t="str">
        <f>IFERROR(__xludf.DUMMYFUNCTION("""COMPUTED_VALUE"""),"KIMME")</f>
        <v>KIMME</v>
      </c>
      <c r="J1299" s="471" t="str">
        <f>IFERROR(__xludf.DUMMYFUNCTION("""COMPUTED_VALUE"""),"https://vt.tiktok.com/ZS9ksB2YF/")</f>
        <v>https://vt.tiktok.com/ZS9ksB2YF/</v>
      </c>
      <c r="K1299" s="470" t="str">
        <f>IFERROR(__xludf.DUMMYFUNCTION("""COMPUTED_VALUE"""),"KIMME")</f>
        <v>KIMME</v>
      </c>
      <c r="L1299" s="471" t="str">
        <f>IFERROR(__xludf.DUMMYFUNCTION("""COMPUTED_VALUE"""),"https://vt.tiktok.com/ZS9ks4f57/")</f>
        <v>https://vt.tiktok.com/ZS9ks4f57/</v>
      </c>
      <c r="M1299" s="470"/>
      <c r="N1299" s="471" t="str">
        <f>IFERROR(__xludf.DUMMYFUNCTION("""COMPUTED_VALUE"""),"https://vt.tiktok.com/ZS9ksgkeS/")</f>
        <v>https://vt.tiktok.com/ZS9ksgkeS/</v>
      </c>
      <c r="O1299" s="470"/>
      <c r="P1299" s="471" t="str">
        <f>IFERROR(__xludf.DUMMYFUNCTION("""COMPUTED_VALUE"""),"https://vt.tiktok.com/ZS9ksThGa/")</f>
        <v>https://vt.tiktok.com/ZS9ksThGa/</v>
      </c>
    </row>
    <row r="1300">
      <c r="A1300" s="282" t="str">
        <f>IFERROR(__xludf.DUMMYFUNCTION("""COMPUTED_VALUE"""),"MICRO")</f>
        <v>MICRO</v>
      </c>
      <c r="B1300" s="468" t="str">
        <f>IFERROR(__xludf.DUMMYFUNCTION("""COMPUTED_VALUE"""),"kaaaaast ")</f>
        <v>kaaaaast </v>
      </c>
      <c r="C1300" s="283" t="str">
        <f>IFERROR(__xludf.DUMMYFUNCTION("""COMPUTED_VALUE"""),"https://www.tiktok.com/@kaaaaast ")</f>
        <v>https://www.tiktok.com/@kaaaaast </v>
      </c>
      <c r="D1300" s="273">
        <f>IFERROR(__xludf.DUMMYFUNCTION("""COMPUTED_VALUE"""),8.2243166916E10)</f>
        <v>82243166916</v>
      </c>
      <c r="E1300" s="458">
        <f>IFERROR(__xludf.DUMMYFUNCTION("""COMPUTED_VALUE"""),0.0)</f>
        <v>0</v>
      </c>
      <c r="F1300" s="273">
        <f>IFERROR(__xludf.DUMMYFUNCTION("""COMPUTED_VALUE"""),3.0)</f>
        <v>3</v>
      </c>
      <c r="G1300" t="str">
        <f>IFERROR(__xludf.DUMMYFUNCTION("""COMPUTED_VALUE"""),"Sabun batang 1 Box ( 2 PCS )")</f>
        <v>Sabun batang 1 Box ( 2 PCS )</v>
      </c>
      <c r="H1300" s="469" t="str">
        <f>IFERROR(__xludf.DUMMYFUNCTION("""COMPUTED_VALUE"""),"Sampai")</f>
        <v>Sampai</v>
      </c>
      <c r="I1300" s="470" t="str">
        <f>IFERROR(__xludf.DUMMYFUNCTION("""COMPUTED_VALUE"""),"KIMME")</f>
        <v>KIMME</v>
      </c>
      <c r="J1300" s="471" t="str">
        <f>IFERROR(__xludf.DUMMYFUNCTION("""COMPUTED_VALUE"""),"https://vt.tiktok.com/ZS9ksB2YF/")</f>
        <v>https://vt.tiktok.com/ZS9ksB2YF/</v>
      </c>
      <c r="K1300" s="470" t="str">
        <f>IFERROR(__xludf.DUMMYFUNCTION("""COMPUTED_VALUE"""),"KIMME")</f>
        <v>KIMME</v>
      </c>
      <c r="L1300" s="471" t="str">
        <f>IFERROR(__xludf.DUMMYFUNCTION("""COMPUTED_VALUE"""),"https://vt.tiktok.com/ZS9ks4f57/")</f>
        <v>https://vt.tiktok.com/ZS9ks4f57/</v>
      </c>
      <c r="M1300" s="470"/>
      <c r="N1300" s="471" t="str">
        <f>IFERROR(__xludf.DUMMYFUNCTION("""COMPUTED_VALUE"""),"https://vt.tiktok.com/ZS9ksgkeS/")</f>
        <v>https://vt.tiktok.com/ZS9ksgkeS/</v>
      </c>
      <c r="O1300" s="470"/>
      <c r="P1300" s="471" t="str">
        <f>IFERROR(__xludf.DUMMYFUNCTION("""COMPUTED_VALUE"""),"https://vt.tiktok.com/ZS9ksThGa/")</f>
        <v>https://vt.tiktok.com/ZS9ksThGa/</v>
      </c>
    </row>
    <row r="1301">
      <c r="A1301" s="282" t="str">
        <f>IFERROR(__xludf.DUMMYFUNCTION("""COMPUTED_VALUE"""),"MICRO")</f>
        <v>MICRO</v>
      </c>
      <c r="B1301" s="468" t="str">
        <f>IFERROR(__xludf.DUMMYFUNCTION("""COMPUTED_VALUE"""),"momrayyan27")</f>
        <v>momrayyan27</v>
      </c>
      <c r="C1301" s="283" t="str">
        <f>IFERROR(__xludf.DUMMYFUNCTION("""COMPUTED_VALUE"""),"https://www.tiktok.com/@momrayyan27")</f>
        <v>https://www.tiktok.com/@momrayyan27</v>
      </c>
      <c r="D1301" s="273">
        <f>IFERROR(__xludf.DUMMYFUNCTION("""COMPUTED_VALUE"""),8.1573392422E10)</f>
        <v>81573392422</v>
      </c>
      <c r="E1301" s="458">
        <f>IFERROR(__xludf.DUMMYFUNCTION("""COMPUTED_VALUE"""),0.0)</f>
        <v>0</v>
      </c>
      <c r="F1301" s="273">
        <f>IFERROR(__xludf.DUMMYFUNCTION("""COMPUTED_VALUE"""),4.0)</f>
        <v>4</v>
      </c>
      <c r="G1301" t="str">
        <f>IFERROR(__xludf.DUMMYFUNCTION("""COMPUTED_VALUE"""),"Sabun batang 1 Box ( 2 PCS )")</f>
        <v>Sabun batang 1 Box ( 2 PCS )</v>
      </c>
      <c r="H1301" s="469" t="str">
        <f>IFERROR(__xludf.DUMMYFUNCTION("""COMPUTED_VALUE"""),"Sampai")</f>
        <v>Sampai</v>
      </c>
      <c r="I1301" s="470" t="str">
        <f>IFERROR(__xludf.DUMMYFUNCTION("""COMPUTED_VALUE"""),"KIMME")</f>
        <v>KIMME</v>
      </c>
      <c r="J1301" s="471" t="str">
        <f>IFERROR(__xludf.DUMMYFUNCTION("""COMPUTED_VALUE"""),"https://vt.tiktok.com/ZS9ksB2YF/")</f>
        <v>https://vt.tiktok.com/ZS9ksB2YF/</v>
      </c>
      <c r="K1301" s="470" t="str">
        <f>IFERROR(__xludf.DUMMYFUNCTION("""COMPUTED_VALUE"""),"KIMME")</f>
        <v>KIMME</v>
      </c>
      <c r="L1301" s="471" t="str">
        <f>IFERROR(__xludf.DUMMYFUNCTION("""COMPUTED_VALUE"""),"https://vt.tiktok.com/ZS9ks4f57/")</f>
        <v>https://vt.tiktok.com/ZS9ks4f57/</v>
      </c>
      <c r="M1301" s="470"/>
      <c r="N1301" s="471" t="str">
        <f>IFERROR(__xludf.DUMMYFUNCTION("""COMPUTED_VALUE"""),"https://vt.tiktok.com/ZS9ksgkeS/")</f>
        <v>https://vt.tiktok.com/ZS9ksgkeS/</v>
      </c>
      <c r="O1301" s="470"/>
      <c r="P1301" s="471" t="str">
        <f>IFERROR(__xludf.DUMMYFUNCTION("""COMPUTED_VALUE"""),"https://vt.tiktok.com/ZS9ksThGa/")</f>
        <v>https://vt.tiktok.com/ZS9ksThGa/</v>
      </c>
    </row>
    <row r="1302">
      <c r="A1302" s="282" t="str">
        <f>IFERROR(__xludf.DUMMYFUNCTION("""COMPUTED_VALUE"""),"MICRO")</f>
        <v>MICRO</v>
      </c>
      <c r="B1302" s="468" t="str">
        <f>IFERROR(__xludf.DUMMYFUNCTION("""COMPUTED_VALUE"""),"Spill.by.lily")</f>
        <v>Spill.by.lily</v>
      </c>
      <c r="C1302" s="283" t="str">
        <f>IFERROR(__xludf.DUMMYFUNCTION("""COMPUTED_VALUE"""),"https://www.tiktok.com/@Spill.by.lily")</f>
        <v>https://www.tiktok.com/@Spill.by.lily</v>
      </c>
      <c r="D1302" s="273">
        <f>IFERROR(__xludf.DUMMYFUNCTION("""COMPUTED_VALUE"""),8.2174777716E10)</f>
        <v>82174777716</v>
      </c>
      <c r="E1302" s="458">
        <f>IFERROR(__xludf.DUMMYFUNCTION("""COMPUTED_VALUE"""),100000.0)</f>
        <v>100000</v>
      </c>
      <c r="F1302" s="273">
        <f>IFERROR(__xludf.DUMMYFUNCTION("""COMPUTED_VALUE"""),4.0)</f>
        <v>4</v>
      </c>
      <c r="G1302" t="str">
        <f>IFERROR(__xludf.DUMMYFUNCTION("""COMPUTED_VALUE"""),"Sabun batang 1 Box ( 2 PCS )")</f>
        <v>Sabun batang 1 Box ( 2 PCS )</v>
      </c>
      <c r="H1302" s="469" t="str">
        <f>IFERROR(__xludf.DUMMYFUNCTION("""COMPUTED_VALUE"""),"Sampai")</f>
        <v>Sampai</v>
      </c>
      <c r="I1302" s="470" t="str">
        <f>IFERROR(__xludf.DUMMYFUNCTION("""COMPUTED_VALUE"""),"KIMME")</f>
        <v>KIMME</v>
      </c>
      <c r="J1302" s="471" t="str">
        <f>IFERROR(__xludf.DUMMYFUNCTION("""COMPUTED_VALUE"""),"https://vt.tiktok.com/ZS9ksB2YF/")</f>
        <v>https://vt.tiktok.com/ZS9ksB2YF/</v>
      </c>
      <c r="K1302" s="470" t="str">
        <f>IFERROR(__xludf.DUMMYFUNCTION("""COMPUTED_VALUE"""),"KIMME")</f>
        <v>KIMME</v>
      </c>
      <c r="L1302" s="471" t="str">
        <f>IFERROR(__xludf.DUMMYFUNCTION("""COMPUTED_VALUE"""),"https://vt.tiktok.com/ZS9ks4f57/")</f>
        <v>https://vt.tiktok.com/ZS9ks4f57/</v>
      </c>
      <c r="M1302" s="470"/>
      <c r="N1302" s="471" t="str">
        <f>IFERROR(__xludf.DUMMYFUNCTION("""COMPUTED_VALUE"""),"https://vt.tiktok.com/ZS9ksgkeS/")</f>
        <v>https://vt.tiktok.com/ZS9ksgkeS/</v>
      </c>
      <c r="O1302" s="470"/>
      <c r="P1302" s="471" t="str">
        <f>IFERROR(__xludf.DUMMYFUNCTION("""COMPUTED_VALUE"""),"https://vt.tiktok.com/ZS9ksThGa/")</f>
        <v>https://vt.tiktok.com/ZS9ksThGa/</v>
      </c>
    </row>
    <row r="1303">
      <c r="A1303" s="282" t="str">
        <f>IFERROR(__xludf.DUMMYFUNCTION("""COMPUTED_VALUE"""),"MICRO")</f>
        <v>MICRO</v>
      </c>
      <c r="B1303" s="468" t="str">
        <f>IFERROR(__xludf.DUMMYFUNCTION("""COMPUTED_VALUE"""),"bymiawmi")</f>
        <v>bymiawmi</v>
      </c>
      <c r="C1303" s="283" t="str">
        <f>IFERROR(__xludf.DUMMYFUNCTION("""COMPUTED_VALUE"""),"https://www.tiktok.com/@bymiawmi")</f>
        <v>https://www.tiktok.com/@bymiawmi</v>
      </c>
      <c r="D1303" s="273">
        <f>IFERROR(__xludf.DUMMYFUNCTION("""COMPUTED_VALUE"""),8.2136835169E10)</f>
        <v>82136835169</v>
      </c>
      <c r="E1303" s="458">
        <f>IFERROR(__xludf.DUMMYFUNCTION("""COMPUTED_VALUE"""),200000.0)</f>
        <v>200000</v>
      </c>
      <c r="F1303" s="273">
        <f>IFERROR(__xludf.DUMMYFUNCTION("""COMPUTED_VALUE"""),1.0)</f>
        <v>1</v>
      </c>
      <c r="G1303" t="str">
        <f>IFERROR(__xludf.DUMMYFUNCTION("""COMPUTED_VALUE"""),"Sabun batang 1 Box ( 2 PCS )")</f>
        <v>Sabun batang 1 Box ( 2 PCS )</v>
      </c>
      <c r="H1303" s="469" t="str">
        <f>IFERROR(__xludf.DUMMYFUNCTION("""COMPUTED_VALUE"""),"Sampai")</f>
        <v>Sampai</v>
      </c>
      <c r="I1303" s="470" t="str">
        <f>IFERROR(__xludf.DUMMYFUNCTION("""COMPUTED_VALUE"""),"KIMME")</f>
        <v>KIMME</v>
      </c>
      <c r="J1303" s="471" t="str">
        <f>IFERROR(__xludf.DUMMYFUNCTION("""COMPUTED_VALUE"""),"https://vt.tiktok.com/ZSxp86YH2/")</f>
        <v>https://vt.tiktok.com/ZSxp86YH2/</v>
      </c>
      <c r="K1303" s="470" t="str">
        <f>IFERROR(__xludf.DUMMYFUNCTION("""COMPUTED_VALUE"""),"KIMME")</f>
        <v>KIMME</v>
      </c>
      <c r="L1303" s="471" t="str">
        <f>IFERROR(__xludf.DUMMYFUNCTION("""COMPUTED_VALUE"""),"https://vt.tiktok.com/ZSxVV4dNS/")</f>
        <v>https://vt.tiktok.com/ZSxVV4dNS/</v>
      </c>
      <c r="M1303" s="470"/>
      <c r="N1303" s="471" t="str">
        <f>IFERROR(__xludf.DUMMYFUNCTION("""COMPUTED_VALUE"""),"https://vt.tiktok.com/ZSxVVVeqr/")</f>
        <v>https://vt.tiktok.com/ZSxVVVeqr/</v>
      </c>
      <c r="O1303" s="470"/>
      <c r="P1303" s="471" t="str">
        <f>IFERROR(__xludf.DUMMYFUNCTION("""COMPUTED_VALUE"""),"https://vt.tiktok.com/ZSxVVQdmG/")</f>
        <v>https://vt.tiktok.com/ZSxVVQdmG/</v>
      </c>
    </row>
    <row r="1304">
      <c r="A1304" s="282" t="str">
        <f>IFERROR(__xludf.DUMMYFUNCTION("""COMPUTED_VALUE"""),"MICRO")</f>
        <v>MICRO</v>
      </c>
      <c r="B1304" s="468" t="str">
        <f>IFERROR(__xludf.DUMMYFUNCTION("""COMPUTED_VALUE"""),"kencanahati")</f>
        <v>kencanahati</v>
      </c>
      <c r="C1304" s="283" t="str">
        <f>IFERROR(__xludf.DUMMYFUNCTION("""COMPUTED_VALUE"""),"https://www.tiktok.com/@kencanahati")</f>
        <v>https://www.tiktok.com/@kencanahati</v>
      </c>
      <c r="D1304" s="273">
        <f>IFERROR(__xludf.DUMMYFUNCTION("""COMPUTED_VALUE"""),8.9668171316E10)</f>
        <v>89668171316</v>
      </c>
      <c r="E1304" s="458">
        <f>IFERROR(__xludf.DUMMYFUNCTION("""COMPUTED_VALUE"""),150000.0)</f>
        <v>150000</v>
      </c>
      <c r="F1304" s="273">
        <f>IFERROR(__xludf.DUMMYFUNCTION("""COMPUTED_VALUE"""),1.0)</f>
        <v>1</v>
      </c>
      <c r="G1304" t="str">
        <f>IFERROR(__xludf.DUMMYFUNCTION("""COMPUTED_VALUE"""),"Sabun batang 1 Box ( 2 PCS )")</f>
        <v>Sabun batang 1 Box ( 2 PCS )</v>
      </c>
      <c r="H1304" s="469" t="str">
        <f>IFERROR(__xludf.DUMMYFUNCTION("""COMPUTED_VALUE"""),"Sampai")</f>
        <v>Sampai</v>
      </c>
      <c r="I1304" s="470" t="str">
        <f>IFERROR(__xludf.DUMMYFUNCTION("""COMPUTED_VALUE"""),"KIMME")</f>
        <v>KIMME</v>
      </c>
      <c r="J1304" s="471" t="str">
        <f>IFERROR(__xludf.DUMMYFUNCTION("""COMPUTED_VALUE"""),"https://vt.tiktok.com/ZS9ksB2YF/")</f>
        <v>https://vt.tiktok.com/ZS9ksB2YF/</v>
      </c>
      <c r="K1304" s="470" t="str">
        <f>IFERROR(__xludf.DUMMYFUNCTION("""COMPUTED_VALUE"""),"KIMME")</f>
        <v>KIMME</v>
      </c>
      <c r="L1304" s="471" t="str">
        <f>IFERROR(__xludf.DUMMYFUNCTION("""COMPUTED_VALUE"""),"https://vt.tiktok.com/ZS9ks4f57/")</f>
        <v>https://vt.tiktok.com/ZS9ks4f57/</v>
      </c>
      <c r="M1304" s="470"/>
      <c r="N1304" s="471" t="str">
        <f>IFERROR(__xludf.DUMMYFUNCTION("""COMPUTED_VALUE"""),"https://vt.tiktok.com/ZS9ksgkeS/")</f>
        <v>https://vt.tiktok.com/ZS9ksgkeS/</v>
      </c>
      <c r="O1304" s="470"/>
      <c r="P1304" s="471" t="str">
        <f>IFERROR(__xludf.DUMMYFUNCTION("""COMPUTED_VALUE"""),"https://vt.tiktok.com/ZS9ksThGa/")</f>
        <v>https://vt.tiktok.com/ZS9ksThGa/</v>
      </c>
    </row>
    <row r="1305">
      <c r="A1305" s="282" t="str">
        <f>IFERROR(__xludf.DUMMYFUNCTION("""COMPUTED_VALUE"""),"MICRO")</f>
        <v>MICRO</v>
      </c>
      <c r="B1305" s="468" t="str">
        <f>IFERROR(__xludf.DUMMYFUNCTION("""COMPUTED_VALUE"""),"ikapujip")</f>
        <v>ikapujip</v>
      </c>
      <c r="C1305" s="283" t="str">
        <f>IFERROR(__xludf.DUMMYFUNCTION("""COMPUTED_VALUE"""),"https://www.tiktok.com/@ikapujip")</f>
        <v>https://www.tiktok.com/@ikapujip</v>
      </c>
      <c r="D1305" s="273">
        <f>IFERROR(__xludf.DUMMYFUNCTION("""COMPUTED_VALUE"""),8.1575345635E10)</f>
        <v>81575345635</v>
      </c>
      <c r="E1305" s="458">
        <f>IFERROR(__xludf.DUMMYFUNCTION("""COMPUTED_VALUE"""),0.0)</f>
        <v>0</v>
      </c>
      <c r="F1305" s="273">
        <f>IFERROR(__xludf.DUMMYFUNCTION("""COMPUTED_VALUE"""),2.0)</f>
        <v>2</v>
      </c>
      <c r="G1305" t="str">
        <f>IFERROR(__xludf.DUMMYFUNCTION("""COMPUTED_VALUE"""),"Sabun batang 1 Box ( 2 PCS )")</f>
        <v>Sabun batang 1 Box ( 2 PCS )</v>
      </c>
      <c r="H1305" s="469" t="str">
        <f>IFERROR(__xludf.DUMMYFUNCTION("""COMPUTED_VALUE"""),"Sampai")</f>
        <v>Sampai</v>
      </c>
      <c r="I1305" s="470" t="str">
        <f>IFERROR(__xludf.DUMMYFUNCTION("""COMPUTED_VALUE"""),"KIMME")</f>
        <v>KIMME</v>
      </c>
      <c r="J1305" s="471" t="str">
        <f>IFERROR(__xludf.DUMMYFUNCTION("""COMPUTED_VALUE"""),"https://vt.tiktok.com/ZS9ksB2YF/")</f>
        <v>https://vt.tiktok.com/ZS9ksB2YF/</v>
      </c>
      <c r="K1305" s="470" t="str">
        <f>IFERROR(__xludf.DUMMYFUNCTION("""COMPUTED_VALUE"""),"KIMME")</f>
        <v>KIMME</v>
      </c>
      <c r="L1305" s="471" t="str">
        <f>IFERROR(__xludf.DUMMYFUNCTION("""COMPUTED_VALUE"""),"https://vt.tiktok.com/ZS9ks4f57/")</f>
        <v>https://vt.tiktok.com/ZS9ks4f57/</v>
      </c>
      <c r="M1305" s="470"/>
      <c r="N1305" s="471" t="str">
        <f>IFERROR(__xludf.DUMMYFUNCTION("""COMPUTED_VALUE"""),"https://vt.tiktok.com/ZS9ksgkeS/")</f>
        <v>https://vt.tiktok.com/ZS9ksgkeS/</v>
      </c>
      <c r="O1305" s="470"/>
      <c r="P1305" s="471" t="str">
        <f>IFERROR(__xludf.DUMMYFUNCTION("""COMPUTED_VALUE"""),"https://vt.tiktok.com/ZS9ksThGa/")</f>
        <v>https://vt.tiktok.com/ZS9ksThGa/</v>
      </c>
    </row>
    <row r="1306">
      <c r="A1306" s="282" t="str">
        <f>IFERROR(__xludf.DUMMYFUNCTION("""COMPUTED_VALUE"""),"MICRO")</f>
        <v>MICRO</v>
      </c>
      <c r="B1306" s="468" t="str">
        <f>IFERROR(__xludf.DUMMYFUNCTION("""COMPUTED_VALUE"""),"rashafafaeyza")</f>
        <v>rashafafaeyza</v>
      </c>
      <c r="C1306" s="283" t="str">
        <f>IFERROR(__xludf.DUMMYFUNCTION("""COMPUTED_VALUE"""),"https://www.tiktok.com/@rashafafaeyza")</f>
        <v>https://www.tiktok.com/@rashafafaeyza</v>
      </c>
      <c r="D1306" s="273">
        <f>IFERROR(__xludf.DUMMYFUNCTION("""COMPUTED_VALUE"""),8.1210199082E10)</f>
        <v>81210199082</v>
      </c>
      <c r="E1306" s="458">
        <f>IFERROR(__xludf.DUMMYFUNCTION("""COMPUTED_VALUE"""),0.0)</f>
        <v>0</v>
      </c>
      <c r="F1306" s="273">
        <f>IFERROR(__xludf.DUMMYFUNCTION("""COMPUTED_VALUE"""),4.0)</f>
        <v>4</v>
      </c>
      <c r="G1306" t="str">
        <f>IFERROR(__xludf.DUMMYFUNCTION("""COMPUTED_VALUE"""),"Sabun batang 1 Box ( 2 PCS )")</f>
        <v>Sabun batang 1 Box ( 2 PCS )</v>
      </c>
      <c r="H1306" s="469" t="str">
        <f>IFERROR(__xludf.DUMMYFUNCTION("""COMPUTED_VALUE"""),"Sampai")</f>
        <v>Sampai</v>
      </c>
      <c r="I1306" s="470" t="str">
        <f>IFERROR(__xludf.DUMMYFUNCTION("""COMPUTED_VALUE"""),"KIMME")</f>
        <v>KIMME</v>
      </c>
      <c r="J1306" s="471" t="str">
        <f>IFERROR(__xludf.DUMMYFUNCTION("""COMPUTED_VALUE"""),"https://vt.tiktok.com/ZS9ksB2YF/")</f>
        <v>https://vt.tiktok.com/ZS9ksB2YF/</v>
      </c>
      <c r="K1306" s="470" t="str">
        <f>IFERROR(__xludf.DUMMYFUNCTION("""COMPUTED_VALUE"""),"KIMME")</f>
        <v>KIMME</v>
      </c>
      <c r="L1306" s="471" t="str">
        <f>IFERROR(__xludf.DUMMYFUNCTION("""COMPUTED_VALUE"""),"https://vt.tiktok.com/ZS9ks4f57/")</f>
        <v>https://vt.tiktok.com/ZS9ks4f57/</v>
      </c>
      <c r="M1306" s="470"/>
      <c r="N1306" s="471" t="str">
        <f>IFERROR(__xludf.DUMMYFUNCTION("""COMPUTED_VALUE"""),"https://vt.tiktok.com/ZS9ksgkeS/")</f>
        <v>https://vt.tiktok.com/ZS9ksgkeS/</v>
      </c>
      <c r="O1306" s="470"/>
      <c r="P1306" s="471" t="str">
        <f>IFERROR(__xludf.DUMMYFUNCTION("""COMPUTED_VALUE"""),"https://vt.tiktok.com/ZS9ksThGa/")</f>
        <v>https://vt.tiktok.com/ZS9ksThGa/</v>
      </c>
    </row>
    <row r="1307">
      <c r="A1307" s="282" t="str">
        <f>IFERROR(__xludf.DUMMYFUNCTION("""COMPUTED_VALUE"""),"MICRO")</f>
        <v>MICRO</v>
      </c>
      <c r="B1307" s="468" t="str">
        <f>IFERROR(__xludf.DUMMYFUNCTION("""COMPUTED_VALUE"""),"andinhandaauliana25 ")</f>
        <v>andinhandaauliana25 </v>
      </c>
      <c r="C1307" s="283" t="str">
        <f>IFERROR(__xludf.DUMMYFUNCTION("""COMPUTED_VALUE"""),"https://www.tiktok.com/@andinhandaauliana25 ")</f>
        <v>https://www.tiktok.com/@andinhandaauliana25 </v>
      </c>
      <c r="D1307" s="273">
        <f>IFERROR(__xludf.DUMMYFUNCTION("""COMPUTED_VALUE"""),8.7789610004E10)</f>
        <v>87789610004</v>
      </c>
      <c r="E1307" s="458">
        <f>IFERROR(__xludf.DUMMYFUNCTION("""COMPUTED_VALUE"""),0.0)</f>
        <v>0</v>
      </c>
      <c r="F1307" s="273">
        <f>IFERROR(__xludf.DUMMYFUNCTION("""COMPUTED_VALUE"""),4.0)</f>
        <v>4</v>
      </c>
      <c r="G1307" t="str">
        <f>IFERROR(__xludf.DUMMYFUNCTION("""COMPUTED_VALUE"""),"Sabun batang 1 Box ( 2 PCS )")</f>
        <v>Sabun batang 1 Box ( 2 PCS )</v>
      </c>
      <c r="H1307" s="469" t="str">
        <f>IFERROR(__xludf.DUMMYFUNCTION("""COMPUTED_VALUE"""),"Sampai")</f>
        <v>Sampai</v>
      </c>
      <c r="I1307" s="470" t="str">
        <f>IFERROR(__xludf.DUMMYFUNCTION("""COMPUTED_VALUE"""),"KIMME")</f>
        <v>KIMME</v>
      </c>
      <c r="J1307" s="471" t="str">
        <f>IFERROR(__xludf.DUMMYFUNCTION("""COMPUTED_VALUE"""),"https://vt.tiktok.com/ZS9ksB2YF/")</f>
        <v>https://vt.tiktok.com/ZS9ksB2YF/</v>
      </c>
      <c r="K1307" s="470" t="str">
        <f>IFERROR(__xludf.DUMMYFUNCTION("""COMPUTED_VALUE"""),"KIMME")</f>
        <v>KIMME</v>
      </c>
      <c r="L1307" s="471" t="str">
        <f>IFERROR(__xludf.DUMMYFUNCTION("""COMPUTED_VALUE"""),"https://vt.tiktok.com/ZS9ks4f57/")</f>
        <v>https://vt.tiktok.com/ZS9ks4f57/</v>
      </c>
      <c r="M1307" s="470"/>
      <c r="N1307" s="471" t="str">
        <f>IFERROR(__xludf.DUMMYFUNCTION("""COMPUTED_VALUE"""),"https://vt.tiktok.com/ZS9ksgkeS/")</f>
        <v>https://vt.tiktok.com/ZS9ksgkeS/</v>
      </c>
      <c r="O1307" s="470"/>
      <c r="P1307" s="471" t="str">
        <f>IFERROR(__xludf.DUMMYFUNCTION("""COMPUTED_VALUE"""),"https://vt.tiktok.com/ZS9ksThGa/")</f>
        <v>https://vt.tiktok.com/ZS9ksThGa/</v>
      </c>
    </row>
    <row r="1308">
      <c r="A1308" s="282" t="str">
        <f>IFERROR(__xludf.DUMMYFUNCTION("""COMPUTED_VALUE"""),"MICRO")</f>
        <v>MICRO</v>
      </c>
      <c r="B1308" s="468" t="str">
        <f>IFERROR(__xludf.DUMMYFUNCTION("""COMPUTED_VALUE"""),"pnyamolmol")</f>
        <v>pnyamolmol</v>
      </c>
      <c r="C1308" s="283" t="str">
        <f>IFERROR(__xludf.DUMMYFUNCTION("""COMPUTED_VALUE"""),"https://www.tiktok.com/@pnyamolmol")</f>
        <v>https://www.tiktok.com/@pnyamolmol</v>
      </c>
      <c r="D1308" s="273">
        <f>IFERROR(__xludf.DUMMYFUNCTION("""COMPUTED_VALUE"""),8.38735069E10)</f>
        <v>83873506900</v>
      </c>
      <c r="E1308" s="458">
        <f>IFERROR(__xludf.DUMMYFUNCTION("""COMPUTED_VALUE"""),0.0)</f>
        <v>0</v>
      </c>
      <c r="F1308" s="273">
        <f>IFERROR(__xludf.DUMMYFUNCTION("""COMPUTED_VALUE"""),4.0)</f>
        <v>4</v>
      </c>
      <c r="G1308" t="str">
        <f>IFERROR(__xludf.DUMMYFUNCTION("""COMPUTED_VALUE"""),"Sabun batang 1 Box ( 2 PCS )")</f>
        <v>Sabun batang 1 Box ( 2 PCS )</v>
      </c>
      <c r="H1308" s="469" t="str">
        <f>IFERROR(__xludf.DUMMYFUNCTION("""COMPUTED_VALUE"""),"Sampai")</f>
        <v>Sampai</v>
      </c>
      <c r="I1308" s="470" t="str">
        <f>IFERROR(__xludf.DUMMYFUNCTION("""COMPUTED_VALUE"""),"KIMME")</f>
        <v>KIMME</v>
      </c>
      <c r="J1308" s="471" t="str">
        <f>IFERROR(__xludf.DUMMYFUNCTION("""COMPUTED_VALUE"""),"https://vt.tiktok.com/ZS9ksB2YF/")</f>
        <v>https://vt.tiktok.com/ZS9ksB2YF/</v>
      </c>
      <c r="K1308" s="470" t="str">
        <f>IFERROR(__xludf.DUMMYFUNCTION("""COMPUTED_VALUE"""),"KIMME")</f>
        <v>KIMME</v>
      </c>
      <c r="L1308" s="471" t="str">
        <f>IFERROR(__xludf.DUMMYFUNCTION("""COMPUTED_VALUE"""),"https://vt.tiktok.com/ZS9ks4f57/")</f>
        <v>https://vt.tiktok.com/ZS9ks4f57/</v>
      </c>
      <c r="M1308" s="470"/>
      <c r="N1308" s="471" t="str">
        <f>IFERROR(__xludf.DUMMYFUNCTION("""COMPUTED_VALUE"""),"https://vt.tiktok.com/ZS9ksgkeS/")</f>
        <v>https://vt.tiktok.com/ZS9ksgkeS/</v>
      </c>
      <c r="O1308" s="470"/>
      <c r="P1308" s="471" t="str">
        <f>IFERROR(__xludf.DUMMYFUNCTION("""COMPUTED_VALUE"""),"https://vt.tiktok.com/ZS9ksThGa/")</f>
        <v>https://vt.tiktok.com/ZS9ksThGa/</v>
      </c>
    </row>
    <row r="1309">
      <c r="A1309" s="282" t="str">
        <f>IFERROR(__xludf.DUMMYFUNCTION("""COMPUTED_VALUE"""),"MICRO")</f>
        <v>MICRO</v>
      </c>
      <c r="B1309" s="468" t="str">
        <f>IFERROR(__xludf.DUMMYFUNCTION("""COMPUTED_VALUE"""),"queenrfl ")</f>
        <v>queenrfl </v>
      </c>
      <c r="C1309" s="283" t="str">
        <f>IFERROR(__xludf.DUMMYFUNCTION("""COMPUTED_VALUE"""),"https://www.tiktok.com/@queenrfl ")</f>
        <v>https://www.tiktok.com/@queenrfl </v>
      </c>
      <c r="D1309" s="273">
        <f>IFERROR(__xludf.DUMMYFUNCTION("""COMPUTED_VALUE"""),8.1210008394E10)</f>
        <v>81210008394</v>
      </c>
      <c r="E1309" s="458">
        <f>IFERROR(__xludf.DUMMYFUNCTION("""COMPUTED_VALUE"""),0.0)</f>
        <v>0</v>
      </c>
      <c r="F1309" s="273">
        <f>IFERROR(__xludf.DUMMYFUNCTION("""COMPUTED_VALUE"""),4.0)</f>
        <v>4</v>
      </c>
      <c r="G1309" t="str">
        <f>IFERROR(__xludf.DUMMYFUNCTION("""COMPUTED_VALUE"""),"Sabun batang 1 Box ( 2 PCS )")</f>
        <v>Sabun batang 1 Box ( 2 PCS )</v>
      </c>
      <c r="H1309" s="469" t="str">
        <f>IFERROR(__xludf.DUMMYFUNCTION("""COMPUTED_VALUE"""),"Sampai")</f>
        <v>Sampai</v>
      </c>
      <c r="I1309" s="470" t="str">
        <f>IFERROR(__xludf.DUMMYFUNCTION("""COMPUTED_VALUE"""),"KIMME")</f>
        <v>KIMME</v>
      </c>
      <c r="J1309" s="471" t="str">
        <f>IFERROR(__xludf.DUMMYFUNCTION("""COMPUTED_VALUE"""),"https://vt.tiktok.com/ZS9ksB2YF/")</f>
        <v>https://vt.tiktok.com/ZS9ksB2YF/</v>
      </c>
      <c r="K1309" s="470" t="str">
        <f>IFERROR(__xludf.DUMMYFUNCTION("""COMPUTED_VALUE"""),"KIMME")</f>
        <v>KIMME</v>
      </c>
      <c r="L1309" s="471" t="str">
        <f>IFERROR(__xludf.DUMMYFUNCTION("""COMPUTED_VALUE"""),"https://vt.tiktok.com/ZS9ks4f57/")</f>
        <v>https://vt.tiktok.com/ZS9ks4f57/</v>
      </c>
      <c r="M1309" s="470"/>
      <c r="N1309" s="471" t="str">
        <f>IFERROR(__xludf.DUMMYFUNCTION("""COMPUTED_VALUE"""),"https://vt.tiktok.com/ZS9ksgkeS/")</f>
        <v>https://vt.tiktok.com/ZS9ksgkeS/</v>
      </c>
      <c r="O1309" s="470"/>
      <c r="P1309" s="471" t="str">
        <f>IFERROR(__xludf.DUMMYFUNCTION("""COMPUTED_VALUE"""),"https://vt.tiktok.com/ZS9ksThGa/")</f>
        <v>https://vt.tiktok.com/ZS9ksThGa/</v>
      </c>
    </row>
    <row r="1310">
      <c r="A1310" s="282" t="str">
        <f>IFERROR(__xludf.DUMMYFUNCTION("""COMPUTED_VALUE"""),"MICRO")</f>
        <v>MICRO</v>
      </c>
      <c r="B1310" s="468" t="str">
        <f>IFERROR(__xludf.DUMMYFUNCTION("""COMPUTED_VALUE"""),"banddaneiraps")</f>
        <v>banddaneiraps</v>
      </c>
      <c r="C1310" s="283" t="str">
        <f>IFERROR(__xludf.DUMMYFUNCTION("""COMPUTED_VALUE"""),"https://www.tiktok.com/@banddaneiraps")</f>
        <v>https://www.tiktok.com/@banddaneiraps</v>
      </c>
      <c r="D1310" s="273">
        <f>IFERROR(__xludf.DUMMYFUNCTION("""COMPUTED_VALUE"""),8.1298544108E10)</f>
        <v>81298544108</v>
      </c>
      <c r="E1310" s="458">
        <f>IFERROR(__xludf.DUMMYFUNCTION("""COMPUTED_VALUE"""),0.0)</f>
        <v>0</v>
      </c>
      <c r="F1310" s="273">
        <f>IFERROR(__xludf.DUMMYFUNCTION("""COMPUTED_VALUE"""),4.0)</f>
        <v>4</v>
      </c>
      <c r="G1310" t="str">
        <f>IFERROR(__xludf.DUMMYFUNCTION("""COMPUTED_VALUE"""),"Sabun batang 1 Box ( 2 PCS )")</f>
        <v>Sabun batang 1 Box ( 2 PCS )</v>
      </c>
      <c r="H1310" s="469" t="str">
        <f>IFERROR(__xludf.DUMMYFUNCTION("""COMPUTED_VALUE"""),"Sampai")</f>
        <v>Sampai</v>
      </c>
      <c r="I1310" s="470" t="str">
        <f>IFERROR(__xludf.DUMMYFUNCTION("""COMPUTED_VALUE"""),"KIMME")</f>
        <v>KIMME</v>
      </c>
      <c r="J1310" s="471" t="str">
        <f>IFERROR(__xludf.DUMMYFUNCTION("""COMPUTED_VALUE"""),"https://vt.tiktok.com/ZS9ksB2YF/")</f>
        <v>https://vt.tiktok.com/ZS9ksB2YF/</v>
      </c>
      <c r="K1310" s="470" t="str">
        <f>IFERROR(__xludf.DUMMYFUNCTION("""COMPUTED_VALUE"""),"KIMME")</f>
        <v>KIMME</v>
      </c>
      <c r="L1310" s="471" t="str">
        <f>IFERROR(__xludf.DUMMYFUNCTION("""COMPUTED_VALUE"""),"https://vt.tiktok.com/ZS9ks4f57/")</f>
        <v>https://vt.tiktok.com/ZS9ks4f57/</v>
      </c>
      <c r="M1310" s="470"/>
      <c r="N1310" s="471" t="str">
        <f>IFERROR(__xludf.DUMMYFUNCTION("""COMPUTED_VALUE"""),"https://vt.tiktok.com/ZS9ksgkeS/")</f>
        <v>https://vt.tiktok.com/ZS9ksgkeS/</v>
      </c>
      <c r="O1310" s="470"/>
      <c r="P1310" s="471" t="str">
        <f>IFERROR(__xludf.DUMMYFUNCTION("""COMPUTED_VALUE"""),"https://vt.tiktok.com/ZS9ksThGa/")</f>
        <v>https://vt.tiktok.com/ZS9ksThGa/</v>
      </c>
    </row>
    <row r="1311">
      <c r="A1311" s="282" t="str">
        <f>IFERROR(__xludf.DUMMYFUNCTION("""COMPUTED_VALUE"""),"MICRO")</f>
        <v>MICRO</v>
      </c>
      <c r="B1311" s="468" t="str">
        <f>IFERROR(__xludf.DUMMYFUNCTION("""COMPUTED_VALUE"""),"ayulestari_ayou")</f>
        <v>ayulestari_ayou</v>
      </c>
      <c r="C1311" s="283" t="str">
        <f>IFERROR(__xludf.DUMMYFUNCTION("""COMPUTED_VALUE"""),"https://www.tiktok.com/@ayulestari_ayou")</f>
        <v>https://www.tiktok.com/@ayulestari_ayou</v>
      </c>
      <c r="D1311" s="273">
        <f>IFERROR(__xludf.DUMMYFUNCTION("""COMPUTED_VALUE"""),8.1373780107E10)</f>
        <v>81373780107</v>
      </c>
      <c r="E1311" s="458">
        <f>IFERROR(__xludf.DUMMYFUNCTION("""COMPUTED_VALUE"""),0.0)</f>
        <v>0</v>
      </c>
      <c r="F1311" s="273">
        <f>IFERROR(__xludf.DUMMYFUNCTION("""COMPUTED_VALUE"""),4.0)</f>
        <v>4</v>
      </c>
      <c r="G1311" t="str">
        <f>IFERROR(__xludf.DUMMYFUNCTION("""COMPUTED_VALUE"""),"Sabun batang 1 Box ( 2 PCS )")</f>
        <v>Sabun batang 1 Box ( 2 PCS )</v>
      </c>
      <c r="H1311" s="469" t="str">
        <f>IFERROR(__xludf.DUMMYFUNCTION("""COMPUTED_VALUE"""),"Sampai")</f>
        <v>Sampai</v>
      </c>
      <c r="I1311" s="470" t="str">
        <f>IFERROR(__xludf.DUMMYFUNCTION("""COMPUTED_VALUE"""),"KIMME")</f>
        <v>KIMME</v>
      </c>
      <c r="J1311" s="471" t="str">
        <f>IFERROR(__xludf.DUMMYFUNCTION("""COMPUTED_VALUE"""),"https://vt.tiktok.com/ZS9ksB2YF/")</f>
        <v>https://vt.tiktok.com/ZS9ksB2YF/</v>
      </c>
      <c r="K1311" s="470" t="str">
        <f>IFERROR(__xludf.DUMMYFUNCTION("""COMPUTED_VALUE"""),"KIMME")</f>
        <v>KIMME</v>
      </c>
      <c r="L1311" s="471" t="str">
        <f>IFERROR(__xludf.DUMMYFUNCTION("""COMPUTED_VALUE"""),"https://vt.tiktok.com/ZS9ks4f57/")</f>
        <v>https://vt.tiktok.com/ZS9ks4f57/</v>
      </c>
      <c r="M1311" s="470"/>
      <c r="N1311" s="471" t="str">
        <f>IFERROR(__xludf.DUMMYFUNCTION("""COMPUTED_VALUE"""),"https://vt.tiktok.com/ZS9ksgkeS/")</f>
        <v>https://vt.tiktok.com/ZS9ksgkeS/</v>
      </c>
      <c r="O1311" s="470"/>
      <c r="P1311" s="471" t="str">
        <f>IFERROR(__xludf.DUMMYFUNCTION("""COMPUTED_VALUE"""),"https://vt.tiktok.com/ZS9ksThGa/")</f>
        <v>https://vt.tiktok.com/ZS9ksThGa/</v>
      </c>
    </row>
    <row r="1312">
      <c r="A1312" s="282" t="str">
        <f>IFERROR(__xludf.DUMMYFUNCTION("""COMPUTED_VALUE"""),"MICRO")</f>
        <v>MICRO</v>
      </c>
      <c r="B1312" s="468" t="str">
        <f>IFERROR(__xludf.DUMMYFUNCTION("""COMPUTED_VALUE"""),"arikjulita")</f>
        <v>arikjulita</v>
      </c>
      <c r="C1312" s="283" t="str">
        <f>IFERROR(__xludf.DUMMYFUNCTION("""COMPUTED_VALUE"""),"https://www.tiktok.com/@arikjulita")</f>
        <v>https://www.tiktok.com/@arikjulita</v>
      </c>
      <c r="D1312" s="273">
        <f>IFERROR(__xludf.DUMMYFUNCTION("""COMPUTED_VALUE"""),8.7844043986E10)</f>
        <v>87844043986</v>
      </c>
      <c r="E1312" s="458">
        <f>IFERROR(__xludf.DUMMYFUNCTION("""COMPUTED_VALUE"""),0.0)</f>
        <v>0</v>
      </c>
      <c r="F1312" s="273">
        <f>IFERROR(__xludf.DUMMYFUNCTION("""COMPUTED_VALUE"""),4.0)</f>
        <v>4</v>
      </c>
      <c r="G1312" t="str">
        <f>IFERROR(__xludf.DUMMYFUNCTION("""COMPUTED_VALUE"""),"Sabun batang 1 Box ( 2 PCS )")</f>
        <v>Sabun batang 1 Box ( 2 PCS )</v>
      </c>
      <c r="H1312" s="469" t="str">
        <f>IFERROR(__xludf.DUMMYFUNCTION("""COMPUTED_VALUE"""),"Sampai")</f>
        <v>Sampai</v>
      </c>
      <c r="I1312" s="470" t="str">
        <f>IFERROR(__xludf.DUMMYFUNCTION("""COMPUTED_VALUE"""),"KIMME")</f>
        <v>KIMME</v>
      </c>
      <c r="J1312" s="471" t="str">
        <f>IFERROR(__xludf.DUMMYFUNCTION("""COMPUTED_VALUE"""),"https://vt.tiktok.com/ZS9ksB2YF/")</f>
        <v>https://vt.tiktok.com/ZS9ksB2YF/</v>
      </c>
      <c r="K1312" s="470" t="str">
        <f>IFERROR(__xludf.DUMMYFUNCTION("""COMPUTED_VALUE"""),"KIMME")</f>
        <v>KIMME</v>
      </c>
      <c r="L1312" s="471" t="str">
        <f>IFERROR(__xludf.DUMMYFUNCTION("""COMPUTED_VALUE"""),"https://vt.tiktok.com/ZS9ks4f57/")</f>
        <v>https://vt.tiktok.com/ZS9ks4f57/</v>
      </c>
      <c r="M1312" s="470"/>
      <c r="N1312" s="471" t="str">
        <f>IFERROR(__xludf.DUMMYFUNCTION("""COMPUTED_VALUE"""),"https://vt.tiktok.com/ZS9ksgkeS/")</f>
        <v>https://vt.tiktok.com/ZS9ksgkeS/</v>
      </c>
      <c r="O1312" s="470"/>
      <c r="P1312" s="471" t="str">
        <f>IFERROR(__xludf.DUMMYFUNCTION("""COMPUTED_VALUE"""),"https://vt.tiktok.com/ZS9ksThGa/")</f>
        <v>https://vt.tiktok.com/ZS9ksThGa/</v>
      </c>
    </row>
    <row r="1313">
      <c r="A1313" s="282" t="str">
        <f>IFERROR(__xludf.DUMMYFUNCTION("""COMPUTED_VALUE"""),"MICRO")</f>
        <v>MICRO</v>
      </c>
      <c r="B1313" s="468" t="str">
        <f>IFERROR(__xludf.DUMMYFUNCTION("""COMPUTED_VALUE"""),"jasminee2301")</f>
        <v>jasminee2301</v>
      </c>
      <c r="C1313" s="283" t="str">
        <f>IFERROR(__xludf.DUMMYFUNCTION("""COMPUTED_VALUE"""),"https://www.tiktok.com/@jasminee2301")</f>
        <v>https://www.tiktok.com/@jasminee2301</v>
      </c>
      <c r="D1313" s="273">
        <f>IFERROR(__xludf.DUMMYFUNCTION("""COMPUTED_VALUE"""),8.2386180349E10)</f>
        <v>82386180349</v>
      </c>
      <c r="E1313" s="458">
        <f>IFERROR(__xludf.DUMMYFUNCTION("""COMPUTED_VALUE"""),0.0)</f>
        <v>0</v>
      </c>
      <c r="F1313" s="273">
        <f>IFERROR(__xludf.DUMMYFUNCTION("""COMPUTED_VALUE"""),4.0)</f>
        <v>4</v>
      </c>
      <c r="G1313" t="str">
        <f>IFERROR(__xludf.DUMMYFUNCTION("""COMPUTED_VALUE"""),"Sabun batang 1 Box ( 2 PCS )")</f>
        <v>Sabun batang 1 Box ( 2 PCS )</v>
      </c>
      <c r="H1313" s="469" t="str">
        <f>IFERROR(__xludf.DUMMYFUNCTION("""COMPUTED_VALUE"""),"Sampai")</f>
        <v>Sampai</v>
      </c>
      <c r="I1313" s="470" t="str">
        <f>IFERROR(__xludf.DUMMYFUNCTION("""COMPUTED_VALUE"""),"KIMME")</f>
        <v>KIMME</v>
      </c>
      <c r="J1313" s="471" t="str">
        <f>IFERROR(__xludf.DUMMYFUNCTION("""COMPUTED_VALUE"""),"https://vt.tiktok.com/ZS9ksB2YF/")</f>
        <v>https://vt.tiktok.com/ZS9ksB2YF/</v>
      </c>
      <c r="K1313" s="470" t="str">
        <f>IFERROR(__xludf.DUMMYFUNCTION("""COMPUTED_VALUE"""),"KIMME")</f>
        <v>KIMME</v>
      </c>
      <c r="L1313" s="471" t="str">
        <f>IFERROR(__xludf.DUMMYFUNCTION("""COMPUTED_VALUE"""),"https://vt.tiktok.com/ZS9ks4f57/")</f>
        <v>https://vt.tiktok.com/ZS9ks4f57/</v>
      </c>
      <c r="M1313" s="470"/>
      <c r="N1313" s="471" t="str">
        <f>IFERROR(__xludf.DUMMYFUNCTION("""COMPUTED_VALUE"""),"https://vt.tiktok.com/ZS9ksgkeS/")</f>
        <v>https://vt.tiktok.com/ZS9ksgkeS/</v>
      </c>
      <c r="O1313" s="470"/>
      <c r="P1313" s="471" t="str">
        <f>IFERROR(__xludf.DUMMYFUNCTION("""COMPUTED_VALUE"""),"https://vt.tiktok.com/ZS9ksThGa/")</f>
        <v>https://vt.tiktok.com/ZS9ksThGa/</v>
      </c>
    </row>
    <row r="1314">
      <c r="A1314" s="282" t="str">
        <f>IFERROR(__xludf.DUMMYFUNCTION("""COMPUTED_VALUE"""),"MICRO")</f>
        <v>MICRO</v>
      </c>
      <c r="B1314" s="468" t="str">
        <f>IFERROR(__xludf.DUMMYFUNCTION("""COMPUTED_VALUE"""),"sis.915")</f>
        <v>sis.915</v>
      </c>
      <c r="C1314" s="283" t="str">
        <f>IFERROR(__xludf.DUMMYFUNCTION("""COMPUTED_VALUE"""),"https://www.tiktok.com/@sis.915")</f>
        <v>https://www.tiktok.com/@sis.915</v>
      </c>
      <c r="D1314" s="273">
        <f>IFERROR(__xludf.DUMMYFUNCTION("""COMPUTED_VALUE"""),8.5656151053E10)</f>
        <v>85656151053</v>
      </c>
      <c r="E1314" s="458">
        <f>IFERROR(__xludf.DUMMYFUNCTION("""COMPUTED_VALUE"""),0.0)</f>
        <v>0</v>
      </c>
      <c r="F1314" s="273">
        <f>IFERROR(__xludf.DUMMYFUNCTION("""COMPUTED_VALUE"""),4.0)</f>
        <v>4</v>
      </c>
      <c r="G1314" t="str">
        <f>IFERROR(__xludf.DUMMYFUNCTION("""COMPUTED_VALUE"""),"Sabun batang 1 Box ( 2 PCS )")</f>
        <v>Sabun batang 1 Box ( 2 PCS )</v>
      </c>
      <c r="H1314" s="469" t="str">
        <f>IFERROR(__xludf.DUMMYFUNCTION("""COMPUTED_VALUE"""),"Sampai")</f>
        <v>Sampai</v>
      </c>
      <c r="I1314" s="470" t="str">
        <f>IFERROR(__xludf.DUMMYFUNCTION("""COMPUTED_VALUE"""),"KIMME")</f>
        <v>KIMME</v>
      </c>
      <c r="J1314" s="471" t="str">
        <f>IFERROR(__xludf.DUMMYFUNCTION("""COMPUTED_VALUE"""),"https://vt.tiktok.com/ZS9ksB2YF/")</f>
        <v>https://vt.tiktok.com/ZS9ksB2YF/</v>
      </c>
      <c r="K1314" s="470" t="str">
        <f>IFERROR(__xludf.DUMMYFUNCTION("""COMPUTED_VALUE"""),"KIMME")</f>
        <v>KIMME</v>
      </c>
      <c r="L1314" s="471" t="str">
        <f>IFERROR(__xludf.DUMMYFUNCTION("""COMPUTED_VALUE"""),"https://vt.tiktok.com/ZS9ks4f57/")</f>
        <v>https://vt.tiktok.com/ZS9ks4f57/</v>
      </c>
      <c r="M1314" s="470"/>
      <c r="N1314" s="471" t="str">
        <f>IFERROR(__xludf.DUMMYFUNCTION("""COMPUTED_VALUE"""),"https://vt.tiktok.com/ZS9ksgkeS/")</f>
        <v>https://vt.tiktok.com/ZS9ksgkeS/</v>
      </c>
      <c r="O1314" s="470"/>
      <c r="P1314" s="471" t="str">
        <f>IFERROR(__xludf.DUMMYFUNCTION("""COMPUTED_VALUE"""),"https://vt.tiktok.com/ZS9ksThGa/")</f>
        <v>https://vt.tiktok.com/ZS9ksThGa/</v>
      </c>
    </row>
    <row r="1315">
      <c r="A1315" s="282" t="str">
        <f>IFERROR(__xludf.DUMMYFUNCTION("""COMPUTED_VALUE"""),"MICRO")</f>
        <v>MICRO</v>
      </c>
      <c r="B1315" s="468" t="str">
        <f>IFERROR(__xludf.DUMMYFUNCTION("""COMPUTED_VALUE"""),"usrabinaya
")</f>
        <v>usrabinaya
</v>
      </c>
      <c r="C1315" s="283" t="str">
        <f>IFERROR(__xludf.DUMMYFUNCTION("""COMPUTED_VALUE"""),"https://www.tiktok.com/@usrabinaya
")</f>
        <v>https://www.tiktok.com/@usrabinaya
</v>
      </c>
      <c r="D1315" s="273">
        <f>IFERROR(__xludf.DUMMYFUNCTION("""COMPUTED_VALUE"""),8.5875568073E10)</f>
        <v>85875568073</v>
      </c>
      <c r="E1315" s="458">
        <f>IFERROR(__xludf.DUMMYFUNCTION("""COMPUTED_VALUE"""),0.0)</f>
        <v>0</v>
      </c>
      <c r="F1315" s="273">
        <f>IFERROR(__xludf.DUMMYFUNCTION("""COMPUTED_VALUE"""),4.0)</f>
        <v>4</v>
      </c>
      <c r="G1315" t="str">
        <f>IFERROR(__xludf.DUMMYFUNCTION("""COMPUTED_VALUE"""),"Sabun batang 1 Box ( 2 PCS )")</f>
        <v>Sabun batang 1 Box ( 2 PCS )</v>
      </c>
      <c r="H1315" s="469" t="str">
        <f>IFERROR(__xludf.DUMMYFUNCTION("""COMPUTED_VALUE"""),"Sampai")</f>
        <v>Sampai</v>
      </c>
      <c r="I1315" s="470" t="str">
        <f>IFERROR(__xludf.DUMMYFUNCTION("""COMPUTED_VALUE"""),"KIMME")</f>
        <v>KIMME</v>
      </c>
      <c r="J1315" s="471" t="str">
        <f>IFERROR(__xludf.DUMMYFUNCTION("""COMPUTED_VALUE"""),"https://vt.tiktok.com/ZS9ksB2YF/")</f>
        <v>https://vt.tiktok.com/ZS9ksB2YF/</v>
      </c>
      <c r="K1315" s="470" t="str">
        <f>IFERROR(__xludf.DUMMYFUNCTION("""COMPUTED_VALUE"""),"KIMME")</f>
        <v>KIMME</v>
      </c>
      <c r="L1315" s="471" t="str">
        <f>IFERROR(__xludf.DUMMYFUNCTION("""COMPUTED_VALUE"""),"https://vt.tiktok.com/ZS9ks4f57/")</f>
        <v>https://vt.tiktok.com/ZS9ks4f57/</v>
      </c>
      <c r="M1315" s="470"/>
      <c r="N1315" s="471" t="str">
        <f>IFERROR(__xludf.DUMMYFUNCTION("""COMPUTED_VALUE"""),"https://vt.tiktok.com/ZS9ksgkeS/")</f>
        <v>https://vt.tiktok.com/ZS9ksgkeS/</v>
      </c>
      <c r="O1315" s="470"/>
      <c r="P1315" s="471" t="str">
        <f>IFERROR(__xludf.DUMMYFUNCTION("""COMPUTED_VALUE"""),"https://vt.tiktok.com/ZS9ksThGa/")</f>
        <v>https://vt.tiktok.com/ZS9ksThGa/</v>
      </c>
    </row>
    <row r="1316">
      <c r="A1316" s="282" t="str">
        <f>IFERROR(__xludf.DUMMYFUNCTION("""COMPUTED_VALUE"""),"MICRO")</f>
        <v>MICRO</v>
      </c>
      <c r="B1316" s="468" t="str">
        <f>IFERROR(__xludf.DUMMYFUNCTION("""COMPUTED_VALUE"""),"arini_ap6")</f>
        <v>arini_ap6</v>
      </c>
      <c r="C1316" s="283" t="str">
        <f>IFERROR(__xludf.DUMMYFUNCTION("""COMPUTED_VALUE"""),"https://www.tiktok.com/@arini_ap6")</f>
        <v>https://www.tiktok.com/@arini_ap6</v>
      </c>
      <c r="D1316" s="273">
        <f>IFERROR(__xludf.DUMMYFUNCTION("""COMPUTED_VALUE"""),8.386115575E10)</f>
        <v>83861155750</v>
      </c>
      <c r="E1316" s="458">
        <f>IFERROR(__xludf.DUMMYFUNCTION("""COMPUTED_VALUE"""),0.0)</f>
        <v>0</v>
      </c>
      <c r="F1316" s="273">
        <f>IFERROR(__xludf.DUMMYFUNCTION("""COMPUTED_VALUE"""),4.0)</f>
        <v>4</v>
      </c>
      <c r="H1316" s="469" t="str">
        <f>IFERROR(__xludf.DUMMYFUNCTION("""COMPUTED_VALUE"""),"Sampai")</f>
        <v>Sampai</v>
      </c>
      <c r="I1316" s="470" t="str">
        <f>IFERROR(__xludf.DUMMYFUNCTION("""COMPUTED_VALUE"""),"KIMME")</f>
        <v>KIMME</v>
      </c>
      <c r="J1316" s="471" t="str">
        <f>IFERROR(__xludf.DUMMYFUNCTION("""COMPUTED_VALUE"""),"https://vt.tiktok.com/ZS9uqsYvH/ ")</f>
        <v>https://vt.tiktok.com/ZS9uqsYvH/ </v>
      </c>
      <c r="K1316" s="470" t="str">
        <f>IFERROR(__xludf.DUMMYFUNCTION("""COMPUTED_VALUE"""),"KIMME")</f>
        <v>KIMME</v>
      </c>
      <c r="L1316" s="471" t="str">
        <f>IFERROR(__xludf.DUMMYFUNCTION("""COMPUTED_VALUE"""),"https://vt.tiktok.com/ZS9uqwKgb/ ")</f>
        <v>https://vt.tiktok.com/ZS9uqwKgb/ </v>
      </c>
      <c r="M1316" s="470"/>
      <c r="N1316" s="471" t="str">
        <f>IFERROR(__xludf.DUMMYFUNCTION("""COMPUTED_VALUE"""),"https://vt.tiktok.com/ZS9ubksqu/ ")</f>
        <v>https://vt.tiktok.com/ZS9ubksqu/ </v>
      </c>
      <c r="O1316" s="470"/>
      <c r="P1316" s="471" t="str">
        <f>IFERROR(__xludf.DUMMYFUNCTION("""COMPUTED_VALUE"""),"https://vt.tiktok.com/ZS9ubyr7r/")</f>
        <v>https://vt.tiktok.com/ZS9ubyr7r/</v>
      </c>
    </row>
    <row r="1317">
      <c r="A1317" s="282" t="str">
        <f>IFERROR(__xludf.DUMMYFUNCTION("""COMPUTED_VALUE"""),"MICRO")</f>
        <v>MICRO</v>
      </c>
      <c r="B1317" s="468" t="str">
        <f>IFERROR(__xludf.DUMMYFUNCTION("""COMPUTED_VALUE"""),"illa.91_")</f>
        <v>illa.91_</v>
      </c>
      <c r="C1317" s="283" t="str">
        <f>IFERROR(__xludf.DUMMYFUNCTION("""COMPUTED_VALUE"""),"https://www.tiktok.com/@illa.91_")</f>
        <v>https://www.tiktok.com/@illa.91_</v>
      </c>
      <c r="D1317" s="273">
        <f>IFERROR(__xludf.DUMMYFUNCTION("""COMPUTED_VALUE"""),8.5761110349E10)</f>
        <v>85761110349</v>
      </c>
      <c r="E1317" s="458">
        <f>IFERROR(__xludf.DUMMYFUNCTION("""COMPUTED_VALUE"""),0.0)</f>
        <v>0</v>
      </c>
      <c r="F1317" s="273">
        <f>IFERROR(__xludf.DUMMYFUNCTION("""COMPUTED_VALUE"""),4.0)</f>
        <v>4</v>
      </c>
      <c r="G1317" t="str">
        <f>IFERROR(__xludf.DUMMYFUNCTION("""COMPUTED_VALUE"""),"Sabun batang 1 Box ( 2 PCS )")</f>
        <v>Sabun batang 1 Box ( 2 PCS )</v>
      </c>
      <c r="H1317" s="469" t="str">
        <f>IFERROR(__xludf.DUMMYFUNCTION("""COMPUTED_VALUE"""),"Sampai")</f>
        <v>Sampai</v>
      </c>
      <c r="I1317" s="470" t="str">
        <f>IFERROR(__xludf.DUMMYFUNCTION("""COMPUTED_VALUE"""),"KIMME")</f>
        <v>KIMME</v>
      </c>
      <c r="J1317" s="471" t="str">
        <f>IFERROR(__xludf.DUMMYFUNCTION("""COMPUTED_VALUE"""),"https://vt.tiktok.com/ZS9ksB2YF/")</f>
        <v>https://vt.tiktok.com/ZS9ksB2YF/</v>
      </c>
      <c r="K1317" s="470" t="str">
        <f>IFERROR(__xludf.DUMMYFUNCTION("""COMPUTED_VALUE"""),"KIMME")</f>
        <v>KIMME</v>
      </c>
      <c r="L1317" s="471" t="str">
        <f>IFERROR(__xludf.DUMMYFUNCTION("""COMPUTED_VALUE"""),"https://vt.tiktok.com/ZS9ks4f57/")</f>
        <v>https://vt.tiktok.com/ZS9ks4f57/</v>
      </c>
      <c r="M1317" s="470"/>
      <c r="N1317" s="471" t="str">
        <f>IFERROR(__xludf.DUMMYFUNCTION("""COMPUTED_VALUE"""),"https://vt.tiktok.com/ZS9ksgkeS/")</f>
        <v>https://vt.tiktok.com/ZS9ksgkeS/</v>
      </c>
      <c r="O1317" s="470"/>
      <c r="P1317" s="471" t="str">
        <f>IFERROR(__xludf.DUMMYFUNCTION("""COMPUTED_VALUE"""),"https://vt.tiktok.com/ZS9ksThGa/")</f>
        <v>https://vt.tiktok.com/ZS9ksThGa/</v>
      </c>
    </row>
    <row r="1318">
      <c r="A1318" s="282" t="str">
        <f>IFERROR(__xludf.DUMMYFUNCTION("""COMPUTED_VALUE"""),"MICRO")</f>
        <v>MICRO</v>
      </c>
      <c r="B1318" s="468" t="str">
        <f>IFERROR(__xludf.DUMMYFUNCTION("""COMPUTED_VALUE"""),"Minnatika.ilfa")</f>
        <v>Minnatika.ilfa</v>
      </c>
      <c r="C1318" s="283" t="str">
        <f>IFERROR(__xludf.DUMMYFUNCTION("""COMPUTED_VALUE"""),"https://www.tiktok.com/@Minnatika.ilfa")</f>
        <v>https://www.tiktok.com/@Minnatika.ilfa</v>
      </c>
      <c r="D1318" s="273">
        <f>IFERROR(__xludf.DUMMYFUNCTION("""COMPUTED_VALUE"""),8.1293077051E10)</f>
        <v>81293077051</v>
      </c>
      <c r="E1318" s="458">
        <f>IFERROR(__xludf.DUMMYFUNCTION("""COMPUTED_VALUE"""),0.0)</f>
        <v>0</v>
      </c>
      <c r="F1318" s="273">
        <f>IFERROR(__xludf.DUMMYFUNCTION("""COMPUTED_VALUE"""),2.0)</f>
        <v>2</v>
      </c>
      <c r="G1318" t="str">
        <f>IFERROR(__xludf.DUMMYFUNCTION("""COMPUTED_VALUE"""),"Sabun batang 1 Box ( 2 PCS )")</f>
        <v>Sabun batang 1 Box ( 2 PCS )</v>
      </c>
      <c r="H1318" s="469" t="str">
        <f>IFERROR(__xludf.DUMMYFUNCTION("""COMPUTED_VALUE"""),"Sampai")</f>
        <v>Sampai</v>
      </c>
      <c r="I1318" s="470" t="str">
        <f>IFERROR(__xludf.DUMMYFUNCTION("""COMPUTED_VALUE"""),"KIMME")</f>
        <v>KIMME</v>
      </c>
      <c r="J1318" s="471" t="str">
        <f>IFERROR(__xludf.DUMMYFUNCTION("""COMPUTED_VALUE"""),"https://vt.tiktok.com/ZS9ksB2YF/")</f>
        <v>https://vt.tiktok.com/ZS9ksB2YF/</v>
      </c>
      <c r="K1318" s="470" t="str">
        <f>IFERROR(__xludf.DUMMYFUNCTION("""COMPUTED_VALUE"""),"KIMME")</f>
        <v>KIMME</v>
      </c>
      <c r="L1318" s="471" t="str">
        <f>IFERROR(__xludf.DUMMYFUNCTION("""COMPUTED_VALUE"""),"https://vt.tiktok.com/ZS9ks4f57/")</f>
        <v>https://vt.tiktok.com/ZS9ks4f57/</v>
      </c>
      <c r="M1318" s="470"/>
      <c r="N1318" s="471" t="str">
        <f>IFERROR(__xludf.DUMMYFUNCTION("""COMPUTED_VALUE"""),"https://vt.tiktok.com/ZS9ksgkeS/")</f>
        <v>https://vt.tiktok.com/ZS9ksgkeS/</v>
      </c>
      <c r="O1318" s="470"/>
      <c r="P1318" s="471" t="str">
        <f>IFERROR(__xludf.DUMMYFUNCTION("""COMPUTED_VALUE"""),"https://vt.tiktok.com/ZS9ksThGa/")</f>
        <v>https://vt.tiktok.com/ZS9ksThGa/</v>
      </c>
    </row>
    <row r="1319">
      <c r="A1319" s="282" t="str">
        <f>IFERROR(__xludf.DUMMYFUNCTION("""COMPUTED_VALUE"""),"MICRO")</f>
        <v>MICRO</v>
      </c>
      <c r="B1319" s="468" t="str">
        <f>IFERROR(__xludf.DUMMYFUNCTION("""COMPUTED_VALUE"""),"happyme11_0")</f>
        <v>happyme11_0</v>
      </c>
      <c r="C1319" s="283" t="str">
        <f>IFERROR(__xludf.DUMMYFUNCTION("""COMPUTED_VALUE"""),"https://www.tiktok.com/@happyme11_0")</f>
        <v>https://www.tiktok.com/@happyme11_0</v>
      </c>
      <c r="D1319" s="273">
        <f>IFERROR(__xludf.DUMMYFUNCTION("""COMPUTED_VALUE"""),8.3117177051E10)</f>
        <v>83117177051</v>
      </c>
      <c r="E1319" s="458">
        <f>IFERROR(__xludf.DUMMYFUNCTION("""COMPUTED_VALUE"""),0.0)</f>
        <v>0</v>
      </c>
      <c r="F1319" s="273">
        <f>IFERROR(__xludf.DUMMYFUNCTION("""COMPUTED_VALUE"""),4.0)</f>
        <v>4</v>
      </c>
      <c r="G1319" t="str">
        <f>IFERROR(__xludf.DUMMYFUNCTION("""COMPUTED_VALUE"""),"Sabun batang 1 Box ( 2 PCS )")</f>
        <v>Sabun batang 1 Box ( 2 PCS )</v>
      </c>
      <c r="H1319" s="469" t="str">
        <f>IFERROR(__xludf.DUMMYFUNCTION("""COMPUTED_VALUE"""),"Sampai")</f>
        <v>Sampai</v>
      </c>
      <c r="I1319" s="470" t="str">
        <f>IFERROR(__xludf.DUMMYFUNCTION("""COMPUTED_VALUE"""),"KIMME")</f>
        <v>KIMME</v>
      </c>
      <c r="J1319" s="471" t="str">
        <f>IFERROR(__xludf.DUMMYFUNCTION("""COMPUTED_VALUE"""),"https://vt.tiktok.com/ZS9ksB2YF/")</f>
        <v>https://vt.tiktok.com/ZS9ksB2YF/</v>
      </c>
      <c r="K1319" s="470" t="str">
        <f>IFERROR(__xludf.DUMMYFUNCTION("""COMPUTED_VALUE"""),"KIMME")</f>
        <v>KIMME</v>
      </c>
      <c r="L1319" s="471" t="str">
        <f>IFERROR(__xludf.DUMMYFUNCTION("""COMPUTED_VALUE"""),"https://vt.tiktok.com/ZS9ks4f57/")</f>
        <v>https://vt.tiktok.com/ZS9ks4f57/</v>
      </c>
      <c r="M1319" s="470"/>
      <c r="N1319" s="471" t="str">
        <f>IFERROR(__xludf.DUMMYFUNCTION("""COMPUTED_VALUE"""),"https://vt.tiktok.com/ZS9ksgkeS/")</f>
        <v>https://vt.tiktok.com/ZS9ksgkeS/</v>
      </c>
      <c r="O1319" s="470"/>
      <c r="P1319" s="471" t="str">
        <f>IFERROR(__xludf.DUMMYFUNCTION("""COMPUTED_VALUE"""),"https://vt.tiktok.com/ZS9ksThGa/")</f>
        <v>https://vt.tiktok.com/ZS9ksThGa/</v>
      </c>
    </row>
    <row r="1320">
      <c r="A1320" s="282" t="str">
        <f>IFERROR(__xludf.DUMMYFUNCTION("""COMPUTED_VALUE"""),"MICRO")</f>
        <v>MICRO</v>
      </c>
      <c r="B1320" s="468" t="str">
        <f>IFERROR(__xludf.DUMMYFUNCTION("""COMPUTED_VALUE"""),"aanitaall ")</f>
        <v>aanitaall </v>
      </c>
      <c r="C1320" s="283" t="str">
        <f>IFERROR(__xludf.DUMMYFUNCTION("""COMPUTED_VALUE"""),"https://www.tiktok.com/@aanitaall ")</f>
        <v>https://www.tiktok.com/@aanitaall </v>
      </c>
      <c r="D1320" s="273">
        <f>IFERROR(__xludf.DUMMYFUNCTION("""COMPUTED_VALUE"""),8.5867978135E10)</f>
        <v>85867978135</v>
      </c>
      <c r="E1320" s="458">
        <f>IFERROR(__xludf.DUMMYFUNCTION("""COMPUTED_VALUE"""),0.0)</f>
        <v>0</v>
      </c>
      <c r="F1320" s="273">
        <f>IFERROR(__xludf.DUMMYFUNCTION("""COMPUTED_VALUE"""),1.0)</f>
        <v>1</v>
      </c>
      <c r="G1320" t="str">
        <f>IFERROR(__xludf.DUMMYFUNCTION("""COMPUTED_VALUE"""),"Sabun batang 1 Box ( 2 PCS )")</f>
        <v>Sabun batang 1 Box ( 2 PCS )</v>
      </c>
      <c r="H1320" s="469" t="str">
        <f>IFERROR(__xludf.DUMMYFUNCTION("""COMPUTED_VALUE"""),"Sampai")</f>
        <v>Sampai</v>
      </c>
      <c r="I1320" s="470" t="str">
        <f>IFERROR(__xludf.DUMMYFUNCTION("""COMPUTED_VALUE"""),"KIMME")</f>
        <v>KIMME</v>
      </c>
      <c r="J1320" s="471" t="str">
        <f>IFERROR(__xludf.DUMMYFUNCTION("""COMPUTED_VALUE"""),"https://vt.tiktok.com/ZSxP9LMLp/")</f>
        <v>https://vt.tiktok.com/ZSxP9LMLp/</v>
      </c>
      <c r="K1320" s="470" t="str">
        <f>IFERROR(__xludf.DUMMYFUNCTION("""COMPUTED_VALUE"""),"KIMME")</f>
        <v>KIMME</v>
      </c>
      <c r="L1320" s="471" t="str">
        <f>IFERROR(__xludf.DUMMYFUNCTION("""COMPUTED_VALUE"""),"https://vt.tiktok.com/ZS9ks4f57/")</f>
        <v>https://vt.tiktok.com/ZS9ks4f57/</v>
      </c>
      <c r="M1320" s="470"/>
      <c r="N1320" s="471" t="str">
        <f>IFERROR(__xludf.DUMMYFUNCTION("""COMPUTED_VALUE"""),"https://vt.tiktok.com/ZSxme86vJ/")</f>
        <v>https://vt.tiktok.com/ZSxme86vJ/</v>
      </c>
      <c r="O1320" s="470"/>
      <c r="P1320" s="471" t="str">
        <f>IFERROR(__xludf.DUMMYFUNCTION("""COMPUTED_VALUE"""),"https://vt.tiktok.com/ZSxP9Rnxj/")</f>
        <v>https://vt.tiktok.com/ZSxP9Rnxj/</v>
      </c>
    </row>
    <row r="1321">
      <c r="A1321" s="282" t="str">
        <f>IFERROR(__xludf.DUMMYFUNCTION("""COMPUTED_VALUE"""),"MICRO")</f>
        <v>MICRO</v>
      </c>
      <c r="B1321" s="468" t="str">
        <f>IFERROR(__xludf.DUMMYFUNCTION("""COMPUTED_VALUE"""),"iyainimutiii")</f>
        <v>iyainimutiii</v>
      </c>
      <c r="C1321" s="283" t="str">
        <f>IFERROR(__xludf.DUMMYFUNCTION("""COMPUTED_VALUE"""),"https://www.tiktok.com/@iyainimutiii")</f>
        <v>https://www.tiktok.com/@iyainimutiii</v>
      </c>
      <c r="D1321" s="273">
        <f>IFERROR(__xludf.DUMMYFUNCTION("""COMPUTED_VALUE"""),8.3141036757E10)</f>
        <v>83141036757</v>
      </c>
      <c r="E1321" s="458">
        <f>IFERROR(__xludf.DUMMYFUNCTION("""COMPUTED_VALUE"""),0.0)</f>
        <v>0</v>
      </c>
      <c r="F1321" s="273">
        <f>IFERROR(__xludf.DUMMYFUNCTION("""COMPUTED_VALUE"""),4.0)</f>
        <v>4</v>
      </c>
      <c r="G1321" t="str">
        <f>IFERROR(__xludf.DUMMYFUNCTION("""COMPUTED_VALUE"""),"Sabun batang 1 Box ( 2 PCS )")</f>
        <v>Sabun batang 1 Box ( 2 PCS )</v>
      </c>
      <c r="H1321" s="469" t="str">
        <f>IFERROR(__xludf.DUMMYFUNCTION("""COMPUTED_VALUE"""),"Sampai")</f>
        <v>Sampai</v>
      </c>
      <c r="I1321" s="470" t="str">
        <f>IFERROR(__xludf.DUMMYFUNCTION("""COMPUTED_VALUE"""),"KIMME")</f>
        <v>KIMME</v>
      </c>
      <c r="J1321" s="471" t="str">
        <f>IFERROR(__xludf.DUMMYFUNCTION("""COMPUTED_VALUE"""),"https://www.tiktok.com/@iyainimutiii/video/7632566015762730260?_r=1&amp;u_code=ei699kg7kl50i4&amp;region=&amp;mid=7615505451033380880&amp;preview_pb=0&amp;sharer_language=&amp;_d=0&amp;ec_shared_reflux_dynamic_params=%7B%22placeholder_material_id%22%3A%227632566015762730260%22%2C%22"&amp;"placeholder_origin_cover%22%3A%22https%253A%252F%252Fp16-sign-sg.tiktokcdn.com%252Ftos-alisg-p-0037%252FoMgEYnF71QDk2uBAHg5gfaEEpsQbRFKBUfmFUB~tplv-tiktokx-origin.jpeg%253Fdr%253D14572%2526refresh_token%253Db8d71f92%2526x-expires%253D1808992800%2526x-sign"&amp;"ature%253DF8XOJK88ES8SAyVYwegeOT4edpA%25253D%2526t%253D4d5b0474%2526ps%253D13740610%2526shp%253Dd05b14bd%2526shcp%253D34ff8df6%2526idc%253Dmy2%2526s%253DTIKTOK_AFFILIATE_VIRAL_VIDEO%22%2C%22placeholder_product_id%22%3A%221729427766722726591%22%2C%22placeh"&amp;"older_video_id%22%3A%227632566015762730260%22%7D&amp;ec_shared_reflux_scene=shop_tab_feed&amp;share_item_id=7632566015762730260&amp;source=h5_t")</f>
        <v>https://www.tiktok.com/@iyainimutiii/video/7632566015762730260?_r=1&amp;u_code=ei699kg7kl50i4&amp;region=&amp;mid=7615505451033380880&amp;preview_pb=0&amp;sharer_language=&amp;_d=0&amp;ec_shared_reflux_dynamic_params=%7B%22placeholder_material_id%22%3A%227632566015762730260%22%2C%22placeholder_origin_cover%22%3A%22https%253A%252F%252Fp16-sign-sg.tiktokcdn.com%252Ftos-alisg-p-0037%252FoMgEYnF71QDk2uBAHg5gfaEEpsQbRFKBUfmFUB~tplv-tiktokx-origin.jpeg%253Fdr%253D14572%2526refresh_token%253Db8d71f92%2526x-expires%253D1808992800%2526x-signature%253DF8XOJK88ES8SAyVYwegeOT4edpA%25253D%2526t%253D4d5b0474%2526ps%253D13740610%2526shp%253Dd05b14bd%2526shcp%253D34ff8df6%2526idc%253Dmy2%2526s%253DTIKTOK_AFFILIATE_VIRAL_VIDEO%22%2C%22placeholder_product_id%22%3A%221729427766722726591%22%2C%22placeholder_video_id%22%3A%227632566015762730260%22%7D&amp;ec_shared_reflux_scene=shop_tab_feed&amp;share_item_id=7632566015762730260&amp;source=h5_t</v>
      </c>
      <c r="K1321" s="470" t="str">
        <f>IFERROR(__xludf.DUMMYFUNCTION("""COMPUTED_VALUE"""),"KIMME")</f>
        <v>KIMME</v>
      </c>
      <c r="L1321" s="471" t="str">
        <f>IFERROR(__xludf.DUMMYFUNCTION("""COMPUTED_VALUE"""),"https://www.tiktok.com/@iyainimutiii/video/7632825783249063188?_d=0&amp;_r=1&amp;ec_shared_reflux_dynamic_params=%7B%22placeholder_material_id%22%3A%227632825783249063188%22%2C%22placeholder_origin_cover%22%3A%22https%253A%252F%252Fp16-sign-sg.tiktokcdn.com%252Ft"&amp;"os-alisg-p-0037%252Fo0NtaD3EKkR9AIgIdBFpAPzDgfUzdBEqfT7E33~tplv-tiktokx-origin.jpeg%253Fdr%253D14572%2526refresh_token%253D4c571151%2526x-expires%253D1808992800%2526x-signature%253D3wzkET3ZkWewloaSw2yZTmMcY7Q%25253D%2526t%253D4d5b0474%2526ps%253D13740610%"&amp;"2526shp%253Dd05b14bd%2526shcp%253D34ff8df6%2526idc%253Dmy2%2526s%253DTIKTOK_AFFILIATE_VIRAL_VIDEO%22%2C%22placeholder_product_id%22%3A%221729427766722726591%22%2C%22placeholder_video_id%22%3A%227632825783249063188%22%7D&amp;ec_shared_reflux_scene=shop_tab_fee"&amp;"d&amp;mid=7576657166667467521&amp;preview_pb=0&amp;region=&amp;share_item_id=7632825783249063188&amp;sharer_language=&amp;source=h5_t&amp;u_code=ei699kg7kl50i4")</f>
        <v>https://www.tiktok.com/@iyainimutiii/video/7632825783249063188?_d=0&amp;_r=1&amp;ec_shared_reflux_dynamic_params=%7B%22placeholder_material_id%22%3A%227632825783249063188%22%2C%22placeholder_origin_cover%22%3A%22https%253A%252F%252Fp16-sign-sg.tiktokcdn.com%252Ftos-alisg-p-0037%252Fo0NtaD3EKkR9AIgIdBFpAPzDgfUzdBEqfT7E33~tplv-tiktokx-origin.jpeg%253Fdr%253D14572%2526refresh_token%253D4c571151%2526x-expires%253D1808992800%2526x-signature%253D3wzkET3ZkWewloaSw2yZTmMcY7Q%25253D%2526t%253D4d5b0474%2526ps%253D13740610%2526shp%253Dd05b14bd%2526shcp%253D34ff8df6%2526idc%253Dmy2%2526s%253DTIKTOK_AFFILIATE_VIRAL_VIDEO%22%2C%22placeholder_product_id%22%3A%221729427766722726591%22%2C%22placeholder_video_id%22%3A%227632825783249063188%22%7D&amp;ec_shared_reflux_scene=shop_tab_feed&amp;mid=7576657166667467521&amp;preview_pb=0&amp;region=&amp;share_item_id=7632825783249063188&amp;sharer_language=&amp;source=h5_t&amp;u_code=ei699kg7kl50i4</v>
      </c>
      <c r="M1321" s="470"/>
      <c r="N1321" s="471" t="str">
        <f>IFERROR(__xludf.DUMMYFUNCTION("""COMPUTED_VALUE"""),"https://vt.tiktok.com/ZSxrGUREM/")</f>
        <v>https://vt.tiktok.com/ZSxrGUREM/</v>
      </c>
      <c r="O1321" s="470"/>
      <c r="P1321" s="471" t="str">
        <f>IFERROR(__xludf.DUMMYFUNCTION("""COMPUTED_VALUE"""),"https://vt.tiktok.com/ZSxVVg9NV/")</f>
        <v>https://vt.tiktok.com/ZSxVVg9NV/</v>
      </c>
    </row>
    <row r="1322">
      <c r="A1322" s="282" t="str">
        <f>IFERROR(__xludf.DUMMYFUNCTION("""COMPUTED_VALUE"""),"MICRO")</f>
        <v>MICRO</v>
      </c>
      <c r="B1322" s="468" t="str">
        <f>IFERROR(__xludf.DUMMYFUNCTION("""COMPUTED_VALUE"""),"Jovy_beauty")</f>
        <v>Jovy_beauty</v>
      </c>
      <c r="C1322" s="283" t="str">
        <f>IFERROR(__xludf.DUMMYFUNCTION("""COMPUTED_VALUE"""),"https://www.tiktok.com/@Jovy_beauty")</f>
        <v>https://www.tiktok.com/@Jovy_beauty</v>
      </c>
      <c r="D1322" s="273">
        <f>IFERROR(__xludf.DUMMYFUNCTION("""COMPUTED_VALUE"""),8.82005110743E11)</f>
        <v>882005110743</v>
      </c>
      <c r="E1322" s="458">
        <f>IFERROR(__xludf.DUMMYFUNCTION("""COMPUTED_VALUE"""),0.0)</f>
        <v>0</v>
      </c>
      <c r="F1322" s="273">
        <f>IFERROR(__xludf.DUMMYFUNCTION("""COMPUTED_VALUE"""),4.0)</f>
        <v>4</v>
      </c>
      <c r="G1322" t="str">
        <f>IFERROR(__xludf.DUMMYFUNCTION("""COMPUTED_VALUE"""),"Sabun batang 1 Box ( 2 PCS )")</f>
        <v>Sabun batang 1 Box ( 2 PCS )</v>
      </c>
      <c r="H1322" s="469" t="str">
        <f>IFERROR(__xludf.DUMMYFUNCTION("""COMPUTED_VALUE"""),"Sampai")</f>
        <v>Sampai</v>
      </c>
      <c r="I1322" s="470" t="str">
        <f>IFERROR(__xludf.DUMMYFUNCTION("""COMPUTED_VALUE"""),"KIMME")</f>
        <v>KIMME</v>
      </c>
      <c r="J1322" s="471" t="str">
        <f>IFERROR(__xludf.DUMMYFUNCTION("""COMPUTED_VALUE"""),"https://vt.tiktok.com/ZSxVVQy1y/")</f>
        <v>https://vt.tiktok.com/ZSxVVQy1y/</v>
      </c>
      <c r="K1322" s="470" t="str">
        <f>IFERROR(__xludf.DUMMYFUNCTION("""COMPUTED_VALUE"""),"KIMME")</f>
        <v>KIMME</v>
      </c>
      <c r="L1322" s="471" t="str">
        <f>IFERROR(__xludf.DUMMYFUNCTION("""COMPUTED_VALUE"""),"https://vt.tiktok.com/ZSxGJENdJ/")</f>
        <v>https://vt.tiktok.com/ZSxGJENdJ/</v>
      </c>
      <c r="M1322" s="470"/>
      <c r="N1322" s="471" t="str">
        <f>IFERROR(__xludf.DUMMYFUNCTION("""COMPUTED_VALUE"""),"https://vt.tiktok.com/ZSxGJvvk4/")</f>
        <v>https://vt.tiktok.com/ZSxGJvvk4/</v>
      </c>
      <c r="O1322" s="470"/>
      <c r="P1322" s="471" t="str">
        <f>IFERROR(__xludf.DUMMYFUNCTION("""COMPUTED_VALUE"""),"https://vt.tiktok.com/ZSxGJtyL2/")</f>
        <v>https://vt.tiktok.com/ZSxGJtyL2/</v>
      </c>
    </row>
    <row r="1323">
      <c r="A1323" s="282" t="str">
        <f>IFERROR(__xludf.DUMMYFUNCTION("""COMPUTED_VALUE"""),"MICRO")</f>
        <v>MICRO</v>
      </c>
      <c r="B1323" s="468" t="str">
        <f>IFERROR(__xludf.DUMMYFUNCTION("""COMPUTED_VALUE"""),"rafiria1682")</f>
        <v>rafiria1682</v>
      </c>
      <c r="C1323" s="283" t="str">
        <f>IFERROR(__xludf.DUMMYFUNCTION("""COMPUTED_VALUE"""),"https://www.tiktok.com/@rafiria1682")</f>
        <v>https://www.tiktok.com/@rafiria1682</v>
      </c>
      <c r="D1323" s="273">
        <f>IFERROR(__xludf.DUMMYFUNCTION("""COMPUTED_VALUE"""),8.2310562172E10)</f>
        <v>82310562172</v>
      </c>
      <c r="E1323" s="458">
        <f>IFERROR(__xludf.DUMMYFUNCTION("""COMPUTED_VALUE"""),0.0)</f>
        <v>0</v>
      </c>
      <c r="F1323" s="273">
        <f>IFERROR(__xludf.DUMMYFUNCTION("""COMPUTED_VALUE"""),4.0)</f>
        <v>4</v>
      </c>
      <c r="G1323" t="str">
        <f>IFERROR(__xludf.DUMMYFUNCTION("""COMPUTED_VALUE"""),"Sabun batang 1 Box ( 2 PCS )")</f>
        <v>Sabun batang 1 Box ( 2 PCS )</v>
      </c>
      <c r="H1323" s="469" t="str">
        <f>IFERROR(__xludf.DUMMYFUNCTION("""COMPUTED_VALUE"""),"Sampai")</f>
        <v>Sampai</v>
      </c>
      <c r="I1323" s="470" t="str">
        <f>IFERROR(__xludf.DUMMYFUNCTION("""COMPUTED_VALUE"""),"KIMME")</f>
        <v>KIMME</v>
      </c>
      <c r="J1323" s="471" t="str">
        <f>IFERROR(__xludf.DUMMYFUNCTION("""COMPUTED_VALUE"""),"https://vt.tiktok.com/ZSxGJvYKh/")</f>
        <v>https://vt.tiktok.com/ZSxGJvYKh/</v>
      </c>
      <c r="K1323" s="470" t="str">
        <f>IFERROR(__xludf.DUMMYFUNCTION("""COMPUTED_VALUE"""),"KIMME")</f>
        <v>KIMME</v>
      </c>
      <c r="L1323" s="471" t="str">
        <f>IFERROR(__xludf.DUMMYFUNCTION("""COMPUTED_VALUE"""),"https://vt.tiktok.com/ZSxGJ3j4G/")</f>
        <v>https://vt.tiktok.com/ZSxGJ3j4G/</v>
      </c>
      <c r="M1323" s="470"/>
      <c r="N1323" s="471" t="str">
        <f>IFERROR(__xludf.DUMMYFUNCTION("""COMPUTED_VALUE"""),"https://vt.tiktok.com/ZSxGeFs88/")</f>
        <v>https://vt.tiktok.com/ZSxGeFs88/</v>
      </c>
      <c r="O1323" s="470"/>
      <c r="P1323" s="471" t="str">
        <f>IFERROR(__xludf.DUMMYFUNCTION("""COMPUTED_VALUE"""),"https://vt.tiktok.com/ZSxGeLaCo/")</f>
        <v>https://vt.tiktok.com/ZSxGeLaCo/</v>
      </c>
    </row>
    <row r="1324">
      <c r="A1324" s="282" t="str">
        <f>IFERROR(__xludf.DUMMYFUNCTION("""COMPUTED_VALUE"""),"MICRO")</f>
        <v>MICRO</v>
      </c>
      <c r="B1324" s="468" t="str">
        <f>IFERROR(__xludf.DUMMYFUNCTION("""COMPUTED_VALUE"""),"bellakhairunnisa7")</f>
        <v>bellakhairunnisa7</v>
      </c>
      <c r="C1324" s="283" t="str">
        <f>IFERROR(__xludf.DUMMYFUNCTION("""COMPUTED_VALUE"""),"https://www.tiktok.com/@bellakhairunnisa7")</f>
        <v>https://www.tiktok.com/@bellakhairunnisa7</v>
      </c>
      <c r="D1324" s="273">
        <f>IFERROR(__xludf.DUMMYFUNCTION("""COMPUTED_VALUE"""),8.9665200856E10)</f>
        <v>89665200856</v>
      </c>
      <c r="E1324" s="458">
        <f>IFERROR(__xludf.DUMMYFUNCTION("""COMPUTED_VALUE"""),0.0)</f>
        <v>0</v>
      </c>
      <c r="F1324" s="273">
        <f>IFERROR(__xludf.DUMMYFUNCTION("""COMPUTED_VALUE"""),2.0)</f>
        <v>2</v>
      </c>
      <c r="G1324" t="str">
        <f>IFERROR(__xludf.DUMMYFUNCTION("""COMPUTED_VALUE"""),"Sabun batang 1 Box ( 2 PCS )")</f>
        <v>Sabun batang 1 Box ( 2 PCS )</v>
      </c>
      <c r="H1324" s="469" t="str">
        <f>IFERROR(__xludf.DUMMYFUNCTION("""COMPUTED_VALUE"""),"Sampai")</f>
        <v>Sampai</v>
      </c>
      <c r="I1324" s="470" t="str">
        <f>IFERROR(__xludf.DUMMYFUNCTION("""COMPUTED_VALUE"""),"KIMME")</f>
        <v>KIMME</v>
      </c>
      <c r="J1324" s="471" t="str">
        <f>IFERROR(__xludf.DUMMYFUNCTION("""COMPUTED_VALUE"""),"https://vt.tiktok.com/ZS9BcWrwF/")</f>
        <v>https://vt.tiktok.com/ZS9BcWrwF/</v>
      </c>
      <c r="K1324" s="470" t="str">
        <f>IFERROR(__xludf.DUMMYFUNCTION("""COMPUTED_VALUE"""),"KIMME")</f>
        <v>KIMME</v>
      </c>
      <c r="L1324" s="471" t="str">
        <f>IFERROR(__xludf.DUMMYFUNCTION("""COMPUTED_VALUE"""),"https://vt.tiktok.com/ZSxGehykS/")</f>
        <v>https://vt.tiktok.com/ZSxGehykS/</v>
      </c>
      <c r="M1324" s="470"/>
      <c r="N1324" s="471" t="str">
        <f>IFERROR(__xludf.DUMMYFUNCTION("""COMPUTED_VALUE"""),"https://vt.tiktok.com/ZSxGeMUgV/")</f>
        <v>https://vt.tiktok.com/ZSxGeMUgV/</v>
      </c>
      <c r="O1324" s="470"/>
      <c r="P1324" s="471" t="str">
        <f>IFERROR(__xludf.DUMMYFUNCTION("""COMPUTED_VALUE"""),"https://vt.tiktok.com/ZSxptfVMG/")</f>
        <v>https://vt.tiktok.com/ZSxptfVMG/</v>
      </c>
    </row>
    <row r="1325">
      <c r="A1325" s="282" t="str">
        <f>IFERROR(__xludf.DUMMYFUNCTION("""COMPUTED_VALUE"""),"MICRO")</f>
        <v>MICRO</v>
      </c>
      <c r="B1325" s="468" t="str">
        <f>IFERROR(__xludf.DUMMYFUNCTION("""COMPUTED_VALUE"""),"mayangskincare_")</f>
        <v>mayangskincare_</v>
      </c>
      <c r="C1325" s="283" t="str">
        <f>IFERROR(__xludf.DUMMYFUNCTION("""COMPUTED_VALUE"""),"https://www.tiktok.com/@mayangskincare_")</f>
        <v>https://www.tiktok.com/@mayangskincare_</v>
      </c>
      <c r="D1325" s="273">
        <f>IFERROR(__xludf.DUMMYFUNCTION("""COMPUTED_VALUE"""),8.3831804127E10)</f>
        <v>83831804127</v>
      </c>
      <c r="E1325" s="458">
        <f>IFERROR(__xludf.DUMMYFUNCTION("""COMPUTED_VALUE"""),0.0)</f>
        <v>0</v>
      </c>
      <c r="F1325" s="273">
        <f>IFERROR(__xludf.DUMMYFUNCTION("""COMPUTED_VALUE"""),4.0)</f>
        <v>4</v>
      </c>
      <c r="G1325" t="str">
        <f>IFERROR(__xludf.DUMMYFUNCTION("""COMPUTED_VALUE"""),"Sabun batang 1 Box ( 2 PCS )")</f>
        <v>Sabun batang 1 Box ( 2 PCS )</v>
      </c>
      <c r="H1325" s="469" t="str">
        <f>IFERROR(__xludf.DUMMYFUNCTION("""COMPUTED_VALUE"""),"Sampai")</f>
        <v>Sampai</v>
      </c>
      <c r="I1325" s="470" t="str">
        <f>IFERROR(__xludf.DUMMYFUNCTION("""COMPUTED_VALUE"""),"KIMME")</f>
        <v>KIMME</v>
      </c>
      <c r="J1325" s="471" t="str">
        <f>IFERROR(__xludf.DUMMYFUNCTION("""COMPUTED_VALUE"""),"https://vt.tiktok.com/ZSxptDsMa/")</f>
        <v>https://vt.tiktok.com/ZSxptDsMa/</v>
      </c>
      <c r="K1325" s="470" t="str">
        <f>IFERROR(__xludf.DUMMYFUNCTION("""COMPUTED_VALUE"""),"KIMME")</f>
        <v>KIMME</v>
      </c>
      <c r="L1325" s="471" t="str">
        <f>IFERROR(__xludf.DUMMYFUNCTION("""COMPUTED_VALUE"""),"https://vt.tiktok.com/ZSxptycq4/")</f>
        <v>https://vt.tiktok.com/ZSxptycq4/</v>
      </c>
      <c r="M1325" s="470"/>
      <c r="N1325" s="471" t="str">
        <f>IFERROR(__xludf.DUMMYFUNCTION("""COMPUTED_VALUE"""),"https://vt.tiktok.com/ZSxptxu4a/")</f>
        <v>https://vt.tiktok.com/ZSxptxu4a/</v>
      </c>
      <c r="O1325" s="470"/>
      <c r="P1325" s="471" t="str">
        <f>IFERROR(__xludf.DUMMYFUNCTION("""COMPUTED_VALUE"""),"https://vt.tiktok.com/ZSxpt5FxK/")</f>
        <v>https://vt.tiktok.com/ZSxpt5FxK/</v>
      </c>
    </row>
    <row r="1326">
      <c r="A1326" s="282" t="str">
        <f>IFERROR(__xludf.DUMMYFUNCTION("""COMPUTED_VALUE"""),"MICRO")</f>
        <v>MICRO</v>
      </c>
      <c r="B1326" s="468" t="str">
        <f>IFERROR(__xludf.DUMMYFUNCTION("""COMPUTED_VALUE"""),"hiiyesii")</f>
        <v>hiiyesii</v>
      </c>
      <c r="C1326" s="283" t="str">
        <f>IFERROR(__xludf.DUMMYFUNCTION("""COMPUTED_VALUE"""),"https://www.tiktok.com/@hiiyesii")</f>
        <v>https://www.tiktok.com/@hiiyesii</v>
      </c>
      <c r="D1326" s="273">
        <f>IFERROR(__xludf.DUMMYFUNCTION("""COMPUTED_VALUE"""),8.7804818589E10)</f>
        <v>87804818589</v>
      </c>
      <c r="E1326" s="458">
        <f>IFERROR(__xludf.DUMMYFUNCTION("""COMPUTED_VALUE"""),200000.0)</f>
        <v>200000</v>
      </c>
      <c r="F1326" s="273">
        <f>IFERROR(__xludf.DUMMYFUNCTION("""COMPUTED_VALUE"""),4.0)</f>
        <v>4</v>
      </c>
      <c r="G1326" t="str">
        <f>IFERROR(__xludf.DUMMYFUNCTION("""COMPUTED_VALUE"""),"Sabun batang 1 Box ( 2 PCS )")</f>
        <v>Sabun batang 1 Box ( 2 PCS )</v>
      </c>
      <c r="H1326" s="469" t="str">
        <f>IFERROR(__xludf.DUMMYFUNCTION("""COMPUTED_VALUE"""),"Sampai")</f>
        <v>Sampai</v>
      </c>
      <c r="I1326" s="470" t="str">
        <f>IFERROR(__xludf.DUMMYFUNCTION("""COMPUTED_VALUE"""),"KIMME")</f>
        <v>KIMME</v>
      </c>
      <c r="J1326" s="471" t="str">
        <f>IFERROR(__xludf.DUMMYFUNCTION("""COMPUTED_VALUE"""),"https://www.tiktok.com/@hiiyesii/video/7633224622002998535?_r=1&amp;u_code=ek39caf565026d&amp;region=&amp;mid=7633224715063282433&amp;preview_pb=0&amp;sharer_language=&amp;_d=0&amp;ec_shared_reflux_dynamic_params=%7B%22placeholder_material_id%22%3A%227633224622002998535%22%2C%22plac"&amp;"eholder_origin_cover%22%3A%22https%253A%252F%252Fp16-common-sign.tiktokcdn.com%252Ftos-alisg-p-0037%252FoQ8kAfxVDBLpFUCEpuEqqFIW7BUID7MgfNRMjA~tplv-tiktokx-origin.jpeg%253Fdr%253D14572%2526refresh_token%253D0bc71195%2526x-expires%253D1808992800%2526x-sign"&amp;"ature%253DkLXTIMMVXOTcYvl8KXwepLDtNmI%25253D%2526t%253D4d5b0474%2526ps%253D13740610%2526shp%253Dd05b14bd%2526shcp%253D34ff8df6%2526idc%253Dmy2%2526s%253DTIKTOK_AFFILIATE_VIRAL_VIDEO%22%2C%22placeholder_product_id%22%3A%221729427766722726591%22%2C%22placeh"&amp;"older_video_id%22%3A%227633224622002998535%22%7D&amp;ec_shared_reflux_scene=shop_tab_feed&amp;share_item_id=7633224622002998535&amp;source=h5_t")</f>
        <v>https://www.tiktok.com/@hiiyesii/video/7633224622002998535?_r=1&amp;u_code=ek39caf565026d&amp;region=&amp;mid=7633224715063282433&amp;preview_pb=0&amp;sharer_language=&amp;_d=0&amp;ec_shared_reflux_dynamic_params=%7B%22placeholder_material_id%22%3A%227633224622002998535%22%2C%22placeholder_origin_cover%22%3A%22https%253A%252F%252Fp16-common-sign.tiktokcdn.com%252Ftos-alisg-p-0037%252FoQ8kAfxVDBLpFUCEpuEqqFIW7BUID7MgfNRMjA~tplv-tiktokx-origin.jpeg%253Fdr%253D14572%2526refresh_token%253D0bc71195%2526x-expires%253D1808992800%2526x-signature%253DkLXTIMMVXOTcYvl8KXwepLDtNmI%25253D%2526t%253D4d5b0474%2526ps%253D13740610%2526shp%253Dd05b14bd%2526shcp%253D34ff8df6%2526idc%253Dmy2%2526s%253DTIKTOK_AFFILIATE_VIRAL_VIDEO%22%2C%22placeholder_product_id%22%3A%221729427766722726591%22%2C%22placeholder_video_id%22%3A%227633224622002998535%22%7D&amp;ec_shared_reflux_scene=shop_tab_feed&amp;share_item_id=7633224622002998535&amp;source=h5_t</v>
      </c>
      <c r="K1326" s="470" t="str">
        <f>IFERROR(__xludf.DUMMYFUNCTION("""COMPUTED_VALUE"""),"KIMME")</f>
        <v>KIMME</v>
      </c>
      <c r="L1326" s="471" t="str">
        <f>IFERROR(__xludf.DUMMYFUNCTION("""COMPUTED_VALUE"""),"https://www.tiktok.com/@hiiyesii/video/7633390588234059026?_r=1&amp;u_code=ek39caf565026d&amp;region=&amp;mid=7633390654376053525&amp;preview_pb=0&amp;sharer_language=&amp;_d=0&amp;ec_shared_reflux_dynamic_params=%7B%22placeholder_material_id%22%3A%227633390588234059026%22%2C%22plac"&amp;"eholder_origin_cover%22%3A%22https%253A%252F%252Fp16-common-sign.tiktokcdn.com%252Ftos-alisg-p-0037%252FoUQFvlvArPXGJ6fYA7AGFVeeReGLvQInAIBI4Z~tplv-tiktokx-origin.jpeg%253Fdr%253D14572%2526refresh_token%253D0f0f11cf%2526x-expires%253D1808992800%2526x-sign"&amp;"ature%253DOvnYvWw%25252FxyYV30f8Hi7YW6EPLhw%25253D%2526t%253D4d5b0474%2526ps%253D13740610%2526shp%253Dd05b14bd%2526shcp%253D34ff8df6%2526idc%253Dmy2%2526s%253DTIKTOK_AFFILIATE_VIRAL_VIDEO%22%2C%22placeholder_product_id%22%3A%221729427766722726591%22%2C%22"&amp;"placeholder_video_id%22%3A%227633390588234059026%22%7D&amp;ec_shared_reflux_scene=shop_tab_feed&amp;share_item_id=7633390588234059026&amp;source=h5_t")</f>
        <v>https://www.tiktok.com/@hiiyesii/video/7633390588234059026?_r=1&amp;u_code=ek39caf565026d&amp;region=&amp;mid=7633390654376053525&amp;preview_pb=0&amp;sharer_language=&amp;_d=0&amp;ec_shared_reflux_dynamic_params=%7B%22placeholder_material_id%22%3A%227633390588234059026%22%2C%22placeholder_origin_cover%22%3A%22https%253A%252F%252Fp16-common-sign.tiktokcdn.com%252Ftos-alisg-p-0037%252FoUQFvlvArPXGJ6fYA7AGFVeeReGLvQInAIBI4Z~tplv-tiktokx-origin.jpeg%253Fdr%253D14572%2526refresh_token%253D0f0f11cf%2526x-expires%253D1808992800%2526x-signature%253DOvnYvWw%25252FxyYV30f8Hi7YW6EPLhw%25253D%2526t%253D4d5b0474%2526ps%253D13740610%2526shp%253Dd05b14bd%2526shcp%253D34ff8df6%2526idc%253Dmy2%2526s%253DTIKTOK_AFFILIATE_VIRAL_VIDEO%22%2C%22placeholder_product_id%22%3A%221729427766722726591%22%2C%22placeholder_video_id%22%3A%227633390588234059026%22%7D&amp;ec_shared_reflux_scene=shop_tab_feed&amp;share_item_id=7633390588234059026&amp;source=h5_t</v>
      </c>
      <c r="M1326" s="470"/>
      <c r="N1326" s="471" t="str">
        <f>IFERROR(__xludf.DUMMYFUNCTION("""COMPUTED_VALUE"""),"https://www.tiktok.com/@hiiyesii/video/7634068994969832722?_d=0&amp;_r=1&amp;ec_shared_reflux_dynamic_params=%7B%22placeholder_material_id%22%3A%227634068994969832722%22%2C%22placeholder_origin_cover%22%3A%22https%253A%252F%252Fp16-common-sign.tiktokcdn.com%252Ft"&amp;"os-alisg-p-0037%252Fo4VBiBMTNE0KH7SxIBAVif2lUqenpIAdyBYRgV~tplv-tiktokx-origin.jpeg%253Fdr%253D14572%2526refresh_token%253D8c186ea4%2526x-expires%253D1808992800%2526x-signature%253DJcuYPrph8OYIIG0L6mq2ztHy%25252BxI%25253D%2526t%253D4d5b0474%2526ps%253D137"&amp;"40610%2526shp%253Dd05b14bd%2526shcp%253D34ff8df6%2526idc%253Dmy2%2526s%253DTIKTOK_AFFILIATE_VIRAL_VIDEO%22%2C%22placeholder_product_id%22%3A%221729427766722726591%22%2C%22placeholder_video_id%22%3A%227634068994969832722%22%7D&amp;ec_shared_reflux_scene=shop_t"&amp;"ab_feed&amp;mid=7634069047784508161&amp;preview_pb=0&amp;region=&amp;share_item_id=7634068994969832722&amp;sharer_language=&amp;source=h5_t&amp;u_code=ek39caf565026d")</f>
        <v>https://www.tiktok.com/@hiiyesii/video/7634068994969832722?_d=0&amp;_r=1&amp;ec_shared_reflux_dynamic_params=%7B%22placeholder_material_id%22%3A%227634068994969832722%22%2C%22placeholder_origin_cover%22%3A%22https%253A%252F%252Fp16-common-sign.tiktokcdn.com%252Ftos-alisg-p-0037%252Fo4VBiBMTNE0KH7SxIBAVif2lUqenpIAdyBYRgV~tplv-tiktokx-origin.jpeg%253Fdr%253D14572%2526refresh_token%253D8c186ea4%2526x-expires%253D1808992800%2526x-signature%253DJcuYPrph8OYIIG0L6mq2ztHy%25252BxI%25253D%2526t%253D4d5b0474%2526ps%253D13740610%2526shp%253Dd05b14bd%2526shcp%253D34ff8df6%2526idc%253Dmy2%2526s%253DTIKTOK_AFFILIATE_VIRAL_VIDEO%22%2C%22placeholder_product_id%22%3A%221729427766722726591%22%2C%22placeholder_video_id%22%3A%227634068994969832722%22%7D&amp;ec_shared_reflux_scene=shop_tab_feed&amp;mid=7634069047784508161&amp;preview_pb=0&amp;region=&amp;share_item_id=7634068994969832722&amp;sharer_language=&amp;source=h5_t&amp;u_code=ek39caf565026d</v>
      </c>
      <c r="O1326" s="470"/>
      <c r="P1326" s="471" t="str">
        <f>IFERROR(__xludf.DUMMYFUNCTION("""COMPUTED_VALUE"""),"https://vt.tiktok.com/ZS9UgJ8sw/")</f>
        <v>https://vt.tiktok.com/ZS9UgJ8sw/</v>
      </c>
    </row>
    <row r="1327">
      <c r="A1327" s="282" t="str">
        <f>IFERROR(__xludf.DUMMYFUNCTION("""COMPUTED_VALUE"""),"MICRO")</f>
        <v>MICRO</v>
      </c>
      <c r="B1327" s="468" t="str">
        <f>IFERROR(__xludf.DUMMYFUNCTION("""COMPUTED_VALUE"""),"bellaisafi")</f>
        <v>bellaisafi</v>
      </c>
      <c r="C1327" s="283" t="str">
        <f>IFERROR(__xludf.DUMMYFUNCTION("""COMPUTED_VALUE"""),"https://www.tiktok.com/@bellaisafi")</f>
        <v>https://www.tiktok.com/@bellaisafi</v>
      </c>
      <c r="D1327" s="273">
        <f>IFERROR(__xludf.DUMMYFUNCTION("""COMPUTED_VALUE"""),8.95711951168E11)</f>
        <v>895711951168</v>
      </c>
      <c r="E1327" s="458">
        <f>IFERROR(__xludf.DUMMYFUNCTION("""COMPUTED_VALUE"""),0.0)</f>
        <v>0</v>
      </c>
      <c r="F1327" s="273">
        <f>IFERROR(__xludf.DUMMYFUNCTION("""COMPUTED_VALUE"""),1.0)</f>
        <v>1</v>
      </c>
      <c r="G1327" t="str">
        <f>IFERROR(__xludf.DUMMYFUNCTION("""COMPUTED_VALUE"""),"Sabun batang 1 Box ( 2 PCS )")</f>
        <v>Sabun batang 1 Box ( 2 PCS )</v>
      </c>
      <c r="H1327" s="469" t="str">
        <f>IFERROR(__xludf.DUMMYFUNCTION("""COMPUTED_VALUE"""),"Sampai")</f>
        <v>Sampai</v>
      </c>
      <c r="I1327" s="470" t="str">
        <f>IFERROR(__xludf.DUMMYFUNCTION("""COMPUTED_VALUE"""),"KIMME")</f>
        <v>KIMME</v>
      </c>
      <c r="J1327" s="471" t="str">
        <f>IFERROR(__xludf.DUMMYFUNCTION("""COMPUTED_VALUE"""),"https://vt.tiktok.com/ZSxptHdUm/")</f>
        <v>https://vt.tiktok.com/ZSxptHdUm/</v>
      </c>
      <c r="K1327" s="470" t="str">
        <f>IFERROR(__xludf.DUMMYFUNCTION("""COMPUTED_VALUE"""),"KIMME")</f>
        <v>KIMME</v>
      </c>
      <c r="L1327" s="471" t="str">
        <f>IFERROR(__xludf.DUMMYFUNCTION("""COMPUTED_VALUE"""),"https://vt.tiktok.com/ZSxptrMkk/")</f>
        <v>https://vt.tiktok.com/ZSxptrMkk/</v>
      </c>
      <c r="M1327" s="470"/>
      <c r="N1327" s="471" t="str">
        <f>IFERROR(__xludf.DUMMYFUNCTION("""COMPUTED_VALUE"""),"https://vt.tiktok.com/ZSxptSmEm/")</f>
        <v>https://vt.tiktok.com/ZSxptSmEm/</v>
      </c>
      <c r="O1327" s="470"/>
      <c r="P1327" s="471" t="str">
        <f>IFERROR(__xludf.DUMMYFUNCTION("""COMPUTED_VALUE"""),"https://vt.tiktok.com/ZSxptUWJ6/")</f>
        <v>https://vt.tiktok.com/ZSxptUWJ6/</v>
      </c>
    </row>
    <row r="1328">
      <c r="A1328" s="282" t="str">
        <f>IFERROR(__xludf.DUMMYFUNCTION("""COMPUTED_VALUE"""),"MICRO")</f>
        <v>MICRO</v>
      </c>
      <c r="B1328" s="468" t="str">
        <f>IFERROR(__xludf.DUMMYFUNCTION("""COMPUTED_VALUE"""),"mamarahma1111")</f>
        <v>mamarahma1111</v>
      </c>
      <c r="C1328" s="283" t="str">
        <f>IFERROR(__xludf.DUMMYFUNCTION("""COMPUTED_VALUE"""),"https://www.tiktok.com/@mamarahma1111")</f>
        <v>https://www.tiktok.com/@mamarahma1111</v>
      </c>
      <c r="D1328" s="273">
        <f>IFERROR(__xludf.DUMMYFUNCTION("""COMPUTED_VALUE"""),8.1211430221E10)</f>
        <v>81211430221</v>
      </c>
      <c r="E1328" s="458">
        <f>IFERROR(__xludf.DUMMYFUNCTION("""COMPUTED_VALUE"""),0.0)</f>
        <v>0</v>
      </c>
      <c r="F1328" s="273">
        <f>IFERROR(__xludf.DUMMYFUNCTION("""COMPUTED_VALUE"""),4.0)</f>
        <v>4</v>
      </c>
      <c r="G1328" t="str">
        <f>IFERROR(__xludf.DUMMYFUNCTION("""COMPUTED_VALUE"""),"Sabun batang 1 Box ( 2 PCS )")</f>
        <v>Sabun batang 1 Box ( 2 PCS )</v>
      </c>
      <c r="H1328" s="469" t="str">
        <f>IFERROR(__xludf.DUMMYFUNCTION("""COMPUTED_VALUE"""),"Sampai")</f>
        <v>Sampai</v>
      </c>
      <c r="I1328" s="470" t="str">
        <f>IFERROR(__xludf.DUMMYFUNCTION("""COMPUTED_VALUE"""),"KIMME")</f>
        <v>KIMME</v>
      </c>
      <c r="J1328" s="471" t="str">
        <f>IFERROR(__xludf.DUMMYFUNCTION("""COMPUTED_VALUE"""),"https://www.tiktok.com/@mamarahma1111/video/7642938479722106119")</f>
        <v>https://www.tiktok.com/@mamarahma1111/video/7642938479722106119</v>
      </c>
      <c r="K1328" s="470" t="str">
        <f>IFERROR(__xludf.DUMMYFUNCTION("""COMPUTED_VALUE"""),"KIMME")</f>
        <v>KIMME</v>
      </c>
      <c r="L1328" s="471" t="str">
        <f>IFERROR(__xludf.DUMMYFUNCTION("""COMPUTED_VALUE"""),"https://www.tiktok.com/@mamarahma1111/video/7641820179164384530")</f>
        <v>https://www.tiktok.com/@mamarahma1111/video/7641820179164384530</v>
      </c>
      <c r="M1328" s="470"/>
      <c r="N1328" s="471" t="str">
        <f>IFERROR(__xludf.DUMMYFUNCTION("""COMPUTED_VALUE"""),"https://www.tiktok.com/@mamarahma1111/video/7641087748761210119")</f>
        <v>https://www.tiktok.com/@mamarahma1111/video/7641087748761210119</v>
      </c>
      <c r="O1328" s="470"/>
      <c r="P1328" s="471" t="str">
        <f>IFERROR(__xludf.DUMMYFUNCTION("""COMPUTED_VALUE"""),"https://www.tiktok.com/@mamarahma1111/video/7640482493208005895")</f>
        <v>https://www.tiktok.com/@mamarahma1111/video/7640482493208005895</v>
      </c>
    </row>
    <row r="1329">
      <c r="A1329" s="282" t="str">
        <f>IFERROR(__xludf.DUMMYFUNCTION("""COMPUTED_VALUE"""),"MICRO")</f>
        <v>MICRO</v>
      </c>
      <c r="B1329" s="468" t="str">
        <f>IFERROR(__xludf.DUMMYFUNCTION("""COMPUTED_VALUE"""),"racun.beauty12")</f>
        <v>racun.beauty12</v>
      </c>
      <c r="C1329" s="283" t="str">
        <f>IFERROR(__xludf.DUMMYFUNCTION("""COMPUTED_VALUE"""),"https://www.tiktok.com/@racun.beauty12")</f>
        <v>https://www.tiktok.com/@racun.beauty12</v>
      </c>
      <c r="D1329" s="273">
        <f>IFERROR(__xludf.DUMMYFUNCTION("""COMPUTED_VALUE"""),8.3131782845E10)</f>
        <v>83131782845</v>
      </c>
      <c r="E1329" s="458">
        <f>IFERROR(__xludf.DUMMYFUNCTION("""COMPUTED_VALUE"""),0.0)</f>
        <v>0</v>
      </c>
      <c r="F1329" s="273">
        <f>IFERROR(__xludf.DUMMYFUNCTION("""COMPUTED_VALUE"""),4.0)</f>
        <v>4</v>
      </c>
      <c r="G1329" t="str">
        <f>IFERROR(__xludf.DUMMYFUNCTION("""COMPUTED_VALUE"""),"Sabun batang 1 Box ( 2 PCS )")</f>
        <v>Sabun batang 1 Box ( 2 PCS )</v>
      </c>
      <c r="H1329" s="469" t="str">
        <f>IFERROR(__xludf.DUMMYFUNCTION("""COMPUTED_VALUE"""),"Sampai")</f>
        <v>Sampai</v>
      </c>
      <c r="I1329" s="470" t="str">
        <f>IFERROR(__xludf.DUMMYFUNCTION("""COMPUTED_VALUE"""),"KIMME")</f>
        <v>KIMME</v>
      </c>
      <c r="J1329" s="471" t="str">
        <f>IFERROR(__xludf.DUMMYFUNCTION("""COMPUTED_VALUE"""),"https://vt.tiktok.com/ZSxVVAYDH/")</f>
        <v>https://vt.tiktok.com/ZSxVVAYDH/</v>
      </c>
      <c r="K1329" s="470" t="str">
        <f>IFERROR(__xludf.DUMMYFUNCTION("""COMPUTED_VALUE"""),"KIMME")</f>
        <v>KIMME</v>
      </c>
      <c r="L1329" s="471" t="str">
        <f>IFERROR(__xludf.DUMMYFUNCTION("""COMPUTED_VALUE"""),"https://vt.tiktok.com/ZSxVVScVr/")</f>
        <v>https://vt.tiktok.com/ZSxVVScVr/</v>
      </c>
      <c r="M1329" s="470"/>
      <c r="N1329" s="471" t="str">
        <f>IFERROR(__xludf.DUMMYFUNCTION("""COMPUTED_VALUE"""),"https://vt.tiktok.com/ZSxVVbQpf/")</f>
        <v>https://vt.tiktok.com/ZSxVVbQpf/</v>
      </c>
      <c r="O1329" s="470"/>
      <c r="P1329" s="471" t="str">
        <f>IFERROR(__xludf.DUMMYFUNCTION("""COMPUTED_VALUE"""),"https://vt.tiktok.com/ZSxVVXSbj/")</f>
        <v>https://vt.tiktok.com/ZSxVVXSbj/</v>
      </c>
    </row>
    <row r="1330">
      <c r="A1330" s="282" t="str">
        <f>IFERROR(__xludf.DUMMYFUNCTION("""COMPUTED_VALUE"""),"MICRO")</f>
        <v>MICRO</v>
      </c>
      <c r="B1330" s="468" t="str">
        <f>IFERROR(__xludf.DUMMYFUNCTION("""COMPUTED_VALUE"""),"sweetiepai161")</f>
        <v>sweetiepai161</v>
      </c>
      <c r="C1330" s="283" t="str">
        <f>IFERROR(__xludf.DUMMYFUNCTION("""COMPUTED_VALUE"""),"https://www.tiktok.com/@sweetiepai161")</f>
        <v>https://www.tiktok.com/@sweetiepai161</v>
      </c>
      <c r="D1330" s="273">
        <f>IFERROR(__xludf.DUMMYFUNCTION("""COMPUTED_VALUE"""),8.3813478313E10)</f>
        <v>83813478313</v>
      </c>
      <c r="E1330" s="458">
        <f>IFERROR(__xludf.DUMMYFUNCTION("""COMPUTED_VALUE"""),0.0)</f>
        <v>0</v>
      </c>
      <c r="F1330" s="273">
        <f>IFERROR(__xludf.DUMMYFUNCTION("""COMPUTED_VALUE"""),4.0)</f>
        <v>4</v>
      </c>
      <c r="G1330" t="str">
        <f>IFERROR(__xludf.DUMMYFUNCTION("""COMPUTED_VALUE"""),"Sabun batang 1 Box ( 2 PCS )")</f>
        <v>Sabun batang 1 Box ( 2 PCS )</v>
      </c>
      <c r="H1330" s="469" t="str">
        <f>IFERROR(__xludf.DUMMYFUNCTION("""COMPUTED_VALUE"""),"Sampai")</f>
        <v>Sampai</v>
      </c>
      <c r="I1330" s="470" t="str">
        <f>IFERROR(__xludf.DUMMYFUNCTION("""COMPUTED_VALUE"""),"KIMME")</f>
        <v>KIMME</v>
      </c>
      <c r="J1330" s="471" t="str">
        <f>IFERROR(__xludf.DUMMYFUNCTION("""COMPUTED_VALUE"""),"https://vt.tiktok.com/ZSxVVskAx/")</f>
        <v>https://vt.tiktok.com/ZSxVVskAx/</v>
      </c>
      <c r="K1330" s="470" t="str">
        <f>IFERROR(__xludf.DUMMYFUNCTION("""COMPUTED_VALUE"""),"KIMME")</f>
        <v>KIMME</v>
      </c>
      <c r="L1330" s="471" t="str">
        <f>IFERROR(__xludf.DUMMYFUNCTION("""COMPUTED_VALUE"""),"https://vt.tiktok.com/ZSxG64jrH/")</f>
        <v>https://vt.tiktok.com/ZSxG64jrH/</v>
      </c>
      <c r="M1330" s="470"/>
      <c r="N1330" s="471" t="str">
        <f>IFERROR(__xludf.DUMMYFUNCTION("""COMPUTED_VALUE"""),"https://vt.tiktok.com/ZSxG6b1QM/")</f>
        <v>https://vt.tiktok.com/ZSxG6b1QM/</v>
      </c>
      <c r="O1330" s="470"/>
      <c r="P1330" s="471" t="str">
        <f>IFERROR(__xludf.DUMMYFUNCTION("""COMPUTED_VALUE"""),"https://vt.tiktok.com/ZSxG6tpTc/")</f>
        <v>https://vt.tiktok.com/ZSxG6tpTc/</v>
      </c>
    </row>
    <row r="1331">
      <c r="A1331" s="282" t="str">
        <f>IFERROR(__xludf.DUMMYFUNCTION("""COMPUTED_VALUE"""),"MICRO")</f>
        <v>MICRO</v>
      </c>
      <c r="B1331" s="468" t="str">
        <f>IFERROR(__xludf.DUMMYFUNCTION("""COMPUTED_VALUE"""),"jodohmu26_10")</f>
        <v>jodohmu26_10</v>
      </c>
      <c r="C1331" s="283" t="str">
        <f>IFERROR(__xludf.DUMMYFUNCTION("""COMPUTED_VALUE"""),"https://www.tiktok.com/@jodohmu26_10")</f>
        <v>https://www.tiktok.com/@jodohmu26_10</v>
      </c>
      <c r="D1331" s="273">
        <f>IFERROR(__xludf.DUMMYFUNCTION("""COMPUTED_VALUE"""),8.5931944437E10)</f>
        <v>85931944437</v>
      </c>
      <c r="E1331" s="458">
        <f>IFERROR(__xludf.DUMMYFUNCTION("""COMPUTED_VALUE"""),0.0)</f>
        <v>0</v>
      </c>
      <c r="F1331" s="273">
        <f>IFERROR(__xludf.DUMMYFUNCTION("""COMPUTED_VALUE"""),4.0)</f>
        <v>4</v>
      </c>
      <c r="G1331" t="str">
        <f>IFERROR(__xludf.DUMMYFUNCTION("""COMPUTED_VALUE"""),"Sabun batang 1 Box ( 2 PCS )")</f>
        <v>Sabun batang 1 Box ( 2 PCS )</v>
      </c>
      <c r="H1331" s="469" t="str">
        <f>IFERROR(__xludf.DUMMYFUNCTION("""COMPUTED_VALUE"""),"Sampai")</f>
        <v>Sampai</v>
      </c>
      <c r="I1331" s="470" t="str">
        <f>IFERROR(__xludf.DUMMYFUNCTION("""COMPUTED_VALUE"""),"KIMME")</f>
        <v>KIMME</v>
      </c>
      <c r="J1331" s="471" t="str">
        <f>IFERROR(__xludf.DUMMYFUNCTION("""COMPUTED_VALUE"""),"https://vt.tiktok.com/ZSxmeHRef/")</f>
        <v>https://vt.tiktok.com/ZSxmeHRef/</v>
      </c>
      <c r="K1331" s="470" t="str">
        <f>IFERROR(__xludf.DUMMYFUNCTION("""COMPUTED_VALUE"""),"KIMME")</f>
        <v>KIMME</v>
      </c>
      <c r="L1331" s="471" t="str">
        <f>IFERROR(__xludf.DUMMYFUNCTION("""COMPUTED_VALUE"""),"https://vt.tiktok.com/ZSxmpK193/")</f>
        <v>https://vt.tiktok.com/ZSxmpK193/</v>
      </c>
      <c r="M1331" s="470"/>
      <c r="N1331" s="471" t="str">
        <f>IFERROR(__xludf.DUMMYFUNCTION("""COMPUTED_VALUE"""),"https://vt.tiktok.com/ZSxmeXeGF/")</f>
        <v>https://vt.tiktok.com/ZSxmeXeGF/</v>
      </c>
      <c r="O1331" s="470"/>
      <c r="P1331" s="471" t="str">
        <f>IFERROR(__xludf.DUMMYFUNCTION("""COMPUTED_VALUE"""),"https://vt.tiktok.com/ZSxmeG7TR/")</f>
        <v>https://vt.tiktok.com/ZSxmeG7TR/</v>
      </c>
    </row>
    <row r="1332">
      <c r="A1332" s="282" t="str">
        <f>IFERROR(__xludf.DUMMYFUNCTION("""COMPUTED_VALUE"""),"MICRO")</f>
        <v>MICRO</v>
      </c>
      <c r="B1332" s="468" t="str">
        <f>IFERROR(__xludf.DUMMYFUNCTION("""COMPUTED_VALUE"""),"chaaaajalahyah ")</f>
        <v>chaaaajalahyah </v>
      </c>
      <c r="C1332" s="283" t="str">
        <f>IFERROR(__xludf.DUMMYFUNCTION("""COMPUTED_VALUE"""),"https://www.tiktok.com/@chaaaajalahyah ")</f>
        <v>https://www.tiktok.com/@chaaaajalahyah </v>
      </c>
      <c r="D1332" s="273">
        <f>IFERROR(__xludf.DUMMYFUNCTION("""COMPUTED_VALUE"""),8.573258986E10)</f>
        <v>85732589860</v>
      </c>
      <c r="E1332" s="458">
        <f>IFERROR(__xludf.DUMMYFUNCTION("""COMPUTED_VALUE"""),0.0)</f>
        <v>0</v>
      </c>
      <c r="F1332" s="273">
        <f>IFERROR(__xludf.DUMMYFUNCTION("""COMPUTED_VALUE"""),4.0)</f>
        <v>4</v>
      </c>
      <c r="G1332" t="str">
        <f>IFERROR(__xludf.DUMMYFUNCTION("""COMPUTED_VALUE"""),"Sabun batang 1 Box ( 2 PCS )")</f>
        <v>Sabun batang 1 Box ( 2 PCS )</v>
      </c>
      <c r="H1332" s="469" t="str">
        <f>IFERROR(__xludf.DUMMYFUNCTION("""COMPUTED_VALUE"""),"Sampai")</f>
        <v>Sampai</v>
      </c>
      <c r="I1332" s="470" t="str">
        <f>IFERROR(__xludf.DUMMYFUNCTION("""COMPUTED_VALUE"""),"KIMME")</f>
        <v>KIMME</v>
      </c>
      <c r="J1332" s="471" t="str">
        <f>IFERROR(__xludf.DUMMYFUNCTION("""COMPUTED_VALUE"""),"https://vt.tiktok.com/ZSxrGBVXr/")</f>
        <v>https://vt.tiktok.com/ZSxrGBVXr/</v>
      </c>
      <c r="K1332" s="470" t="str">
        <f>IFERROR(__xludf.DUMMYFUNCTION("""COMPUTED_VALUE"""),"KIMME")</f>
        <v>KIMME</v>
      </c>
      <c r="L1332" s="471" t="str">
        <f>IFERROR(__xludf.DUMMYFUNCTION("""COMPUTED_VALUE"""),"https://vt.tiktok.com/ZSxS7jRYr/")</f>
        <v>https://vt.tiktok.com/ZSxS7jRYr/</v>
      </c>
      <c r="M1332" s="470"/>
      <c r="N1332" s="471" t="str">
        <f>IFERROR(__xludf.DUMMYFUNCTION("""COMPUTED_VALUE"""),"https://vt.tiktok.com/ZSxS7FRu2/")</f>
        <v>https://vt.tiktok.com/ZSxS7FRu2/</v>
      </c>
      <c r="O1332" s="470"/>
      <c r="P1332" s="471" t="str">
        <f>IFERROR(__xludf.DUMMYFUNCTION("""COMPUTED_VALUE"""),"https://vt.tiktok.com/ZSxS78U71/")</f>
        <v>https://vt.tiktok.com/ZSxS78U71/</v>
      </c>
    </row>
    <row r="1333">
      <c r="A1333" s="282" t="str">
        <f>IFERROR(__xludf.DUMMYFUNCTION("""COMPUTED_VALUE"""),"MICRO")</f>
        <v>MICRO</v>
      </c>
      <c r="B1333" s="468" t="str">
        <f>IFERROR(__xludf.DUMMYFUNCTION("""COMPUTED_VALUE"""),"serbaada953")</f>
        <v>serbaada953</v>
      </c>
      <c r="C1333" s="283" t="str">
        <f>IFERROR(__xludf.DUMMYFUNCTION("""COMPUTED_VALUE"""),"https://www.tiktok.com/@serbaada953")</f>
        <v>https://www.tiktok.com/@serbaada953</v>
      </c>
      <c r="D1333" s="273">
        <f>IFERROR(__xludf.DUMMYFUNCTION("""COMPUTED_VALUE"""),8.2370390366E10)</f>
        <v>82370390366</v>
      </c>
      <c r="E1333" s="458">
        <f>IFERROR(__xludf.DUMMYFUNCTION("""COMPUTED_VALUE"""),0.0)</f>
        <v>0</v>
      </c>
      <c r="F1333" s="273">
        <f>IFERROR(__xludf.DUMMYFUNCTION("""COMPUTED_VALUE"""),2.0)</f>
        <v>2</v>
      </c>
      <c r="G1333" t="str">
        <f>IFERROR(__xludf.DUMMYFUNCTION("""COMPUTED_VALUE"""),"Sabun batang 1 Box ( 2 PCS )")</f>
        <v>Sabun batang 1 Box ( 2 PCS )</v>
      </c>
      <c r="H1333" s="469" t="str">
        <f>IFERROR(__xludf.DUMMYFUNCTION("""COMPUTED_VALUE"""),"Sampai")</f>
        <v>Sampai</v>
      </c>
      <c r="I1333" s="470" t="str">
        <f>IFERROR(__xludf.DUMMYFUNCTION("""COMPUTED_VALUE"""),"KIMME")</f>
        <v>KIMME</v>
      </c>
      <c r="J1333" s="471" t="str">
        <f>IFERROR(__xludf.DUMMYFUNCTION("""COMPUTED_VALUE"""),"https://vt.tiktok.com/ZSxS7dkAF/")</f>
        <v>https://vt.tiktok.com/ZSxS7dkAF/</v>
      </c>
      <c r="K1333" s="470" t="str">
        <f>IFERROR(__xludf.DUMMYFUNCTION("""COMPUTED_VALUE"""),"KIMME")</f>
        <v>KIMME</v>
      </c>
      <c r="L1333" s="471" t="str">
        <f>IFERROR(__xludf.DUMMYFUNCTION("""COMPUTED_VALUE"""),"https://vt.tiktok.com/ZSxS78d4g/")</f>
        <v>https://vt.tiktok.com/ZSxS78d4g/</v>
      </c>
      <c r="M1333" s="470"/>
      <c r="N1333" s="471" t="str">
        <f>IFERROR(__xludf.DUMMYFUNCTION("""COMPUTED_VALUE"""),"https://vt.tiktok.com/ZSxS7RhGf/")</f>
        <v>https://vt.tiktok.com/ZSxS7RhGf/</v>
      </c>
      <c r="O1333" s="470"/>
      <c r="P1333" s="471" t="str">
        <f>IFERROR(__xludf.DUMMYFUNCTION("""COMPUTED_VALUE"""),"https://vt.tiktok.com/ZSxU3CdQq/")</f>
        <v>https://vt.tiktok.com/ZSxU3CdQq/</v>
      </c>
    </row>
    <row r="1334">
      <c r="A1334" s="282" t="str">
        <f>IFERROR(__xludf.DUMMYFUNCTION("""COMPUTED_VALUE"""),"MICRO")</f>
        <v>MICRO</v>
      </c>
      <c r="B1334" s="468" t="str">
        <f>IFERROR(__xludf.DUMMYFUNCTION("""COMPUTED_VALUE"""),"Mischaa77 ")</f>
        <v>Mischaa77 </v>
      </c>
      <c r="C1334" s="283" t="str">
        <f>IFERROR(__xludf.DUMMYFUNCTION("""COMPUTED_VALUE"""),"https://www.tiktok.com/@Mischaa77 ")</f>
        <v>https://www.tiktok.com/@Mischaa77 </v>
      </c>
      <c r="D1334" s="273">
        <f>IFERROR(__xludf.DUMMYFUNCTION("""COMPUTED_VALUE"""),8.1264278305E10)</f>
        <v>81264278305</v>
      </c>
      <c r="E1334" s="458">
        <f>IFERROR(__xludf.DUMMYFUNCTION("""COMPUTED_VALUE"""),0.0)</f>
        <v>0</v>
      </c>
      <c r="F1334" s="273">
        <f>IFERROR(__xludf.DUMMYFUNCTION("""COMPUTED_VALUE"""),4.0)</f>
        <v>4</v>
      </c>
      <c r="G1334" t="str">
        <f>IFERROR(__xludf.DUMMYFUNCTION("""COMPUTED_VALUE"""),"Sabun batang 1 Box ( 2 PCS )")</f>
        <v>Sabun batang 1 Box ( 2 PCS )</v>
      </c>
      <c r="H1334" s="469" t="str">
        <f>IFERROR(__xludf.DUMMYFUNCTION("""COMPUTED_VALUE"""),"Sampai")</f>
        <v>Sampai</v>
      </c>
      <c r="I1334" s="470" t="str">
        <f>IFERROR(__xludf.DUMMYFUNCTION("""COMPUTED_VALUE"""),"KIMME")</f>
        <v>KIMME</v>
      </c>
      <c r="J1334" s="471" t="str">
        <f>IFERROR(__xludf.DUMMYFUNCTION("""COMPUTED_VALUE"""),"https://vt.tiktok.com/ZSxU3KfDc/")</f>
        <v>https://vt.tiktok.com/ZSxU3KfDc/</v>
      </c>
      <c r="K1334" s="470" t="str">
        <f>IFERROR(__xludf.DUMMYFUNCTION("""COMPUTED_VALUE"""),"KIMME")</f>
        <v>KIMME</v>
      </c>
      <c r="L1334" s="471" t="str">
        <f>IFERROR(__xludf.DUMMYFUNCTION("""COMPUTED_VALUE"""),"https://vt.tiktok.com/ZSxU3goaL/")</f>
        <v>https://vt.tiktok.com/ZSxU3goaL/</v>
      </c>
      <c r="M1334" s="470"/>
      <c r="N1334" s="471" t="str">
        <f>IFERROR(__xludf.DUMMYFUNCTION("""COMPUTED_VALUE"""),"https://vt.tiktok.com/ZSxU37RP8/")</f>
        <v>https://vt.tiktok.com/ZSxU37RP8/</v>
      </c>
      <c r="O1334" s="470"/>
      <c r="P1334" s="471" t="str">
        <f>IFERROR(__xludf.DUMMYFUNCTION("""COMPUTED_VALUE"""),"https://vt.tiktok.com/ZSxmsETED/")</f>
        <v>https://vt.tiktok.com/ZSxmsETED/</v>
      </c>
    </row>
    <row r="1335">
      <c r="A1335" s="282" t="str">
        <f>IFERROR(__xludf.DUMMYFUNCTION("""COMPUTED_VALUE"""),"MICRO")</f>
        <v>MICRO</v>
      </c>
      <c r="B1335" s="468" t="str">
        <f>IFERROR(__xludf.DUMMYFUNCTION("""COMPUTED_VALUE"""),"titikzyp2a3")</f>
        <v>titikzyp2a3</v>
      </c>
      <c r="C1335" s="283" t="str">
        <f>IFERROR(__xludf.DUMMYFUNCTION("""COMPUTED_VALUE"""),"https://www.tiktok.com/@titikzyp2a3")</f>
        <v>https://www.tiktok.com/@titikzyp2a3</v>
      </c>
      <c r="D1335" s="273">
        <f>IFERROR(__xludf.DUMMYFUNCTION("""COMPUTED_VALUE"""),8.5233753045E10)</f>
        <v>85233753045</v>
      </c>
      <c r="E1335" s="458">
        <f>IFERROR(__xludf.DUMMYFUNCTION("""COMPUTED_VALUE"""),0.0)</f>
        <v>0</v>
      </c>
      <c r="F1335" s="273">
        <f>IFERROR(__xludf.DUMMYFUNCTION("""COMPUTED_VALUE"""),4.0)</f>
        <v>4</v>
      </c>
      <c r="G1335" t="str">
        <f>IFERROR(__xludf.DUMMYFUNCTION("""COMPUTED_VALUE"""),"Sabun batang 1 Box ( 2 PCS )")</f>
        <v>Sabun batang 1 Box ( 2 PCS )</v>
      </c>
      <c r="H1335" s="469" t="str">
        <f>IFERROR(__xludf.DUMMYFUNCTION("""COMPUTED_VALUE"""),"Sampai")</f>
        <v>Sampai</v>
      </c>
      <c r="I1335" s="470" t="str">
        <f>IFERROR(__xludf.DUMMYFUNCTION("""COMPUTED_VALUE"""),"KIMME")</f>
        <v>KIMME</v>
      </c>
      <c r="J1335" s="471" t="str">
        <f>IFERROR(__xludf.DUMMYFUNCTION("""COMPUTED_VALUE"""),"https://www.tiktok.com/@titikzyp2a3/video/7633352369392143624?_r=1&amp;u_code=e9l98g7d7h5880&amp;region=&amp;mid=7046970598518196225&amp;preview_pb=0&amp;sharer_language=&amp;_d=0&amp;ec_shared_reflux_dynamic_params=%7B%22placeholder_material_id%22%3A%227633352369392143624%22%2C%22p"&amp;"laceholder_origin_cover%22%3A%22https%253A%252F%252Fp16-common-sign.tiktokcdn.com%252Ftos-alisg-p-0037%252FoYZIAejvuANjGaSQCbwIAzCoHD3LQMkFTfr6qf~tplv-tiktokx-origin.jpeg%253Fdr%253D14572%2526refresh_token%253D920dbd62%2526x-expires%253D1808992800%2526x-s"&amp;"ignature%253D4lYxUlq0xftH2eVYy%25252BeBtAM2Uj0%25253D%2526t%253D4d5b0474%2526ps%253D13740610%2526shp%253Dd05b14bd%2526shcp%253D34ff8df6%2526idc%253Dmy2%2526s%253DTIKTOK_AFFILIATE_VIRAL_VIDEO%22%2C%22placeholder_product_id%22%3A%221729427766722726591%22%2C"&amp;"%22placeholder_video_id%22%3A%227633352369392143624%22%7D&amp;ec_shared_reflux_scene=shop_tab_feed&amp;share_item_id=7633352369392143624&amp;source=h5_t")</f>
        <v>https://www.tiktok.com/@titikzyp2a3/video/7633352369392143624?_r=1&amp;u_code=e9l98g7d7h5880&amp;region=&amp;mid=7046970598518196225&amp;preview_pb=0&amp;sharer_language=&amp;_d=0&amp;ec_shared_reflux_dynamic_params=%7B%22placeholder_material_id%22%3A%227633352369392143624%22%2C%22placeholder_origin_cover%22%3A%22https%253A%252F%252Fp16-common-sign.tiktokcdn.com%252Ftos-alisg-p-0037%252FoYZIAejvuANjGaSQCbwIAzCoHD3LQMkFTfr6qf~tplv-tiktokx-origin.jpeg%253Fdr%253D14572%2526refresh_token%253D920dbd62%2526x-expires%253D1808992800%2526x-signature%253D4lYxUlq0xftH2eVYy%25252BeBtAM2Uj0%25253D%2526t%253D4d5b0474%2526ps%253D13740610%2526shp%253Dd05b14bd%2526shcp%253D34ff8df6%2526idc%253Dmy2%2526s%253DTIKTOK_AFFILIATE_VIRAL_VIDEO%22%2C%22placeholder_product_id%22%3A%221729427766722726591%22%2C%22placeholder_video_id%22%3A%227633352369392143624%22%7D&amp;ec_shared_reflux_scene=shop_tab_feed&amp;share_item_id=7633352369392143624&amp;source=h5_t</v>
      </c>
      <c r="K1335" s="470" t="str">
        <f>IFERROR(__xludf.DUMMYFUNCTION("""COMPUTED_VALUE"""),"KIMME")</f>
        <v>KIMME</v>
      </c>
      <c r="L1335" s="471" t="str">
        <f>IFERROR(__xludf.DUMMYFUNCTION("""COMPUTED_VALUE"""),"https://www.tiktok.com/@titikzyp2a3/video/7634152791769926919?_r=1&amp;u_code=e9l98g7d7h5880&amp;region=&amp;mid=7608559003840400145&amp;preview_pb=0&amp;sharer_language=&amp;_d=0&amp;ec_shared_reflux_dynamic_params=%7B%22placeholder_material_id%22%3A%227634152791769926919%22%2C%22p"&amp;"laceholder_origin_cover%22%3A%22https%253A%252F%252Fp16-common-sign.tiktokcdn.com%252Ftos-alisg-p-0037%252FoAqU3AfdUeIBQ9RzE5g4IAiikzXXJpxYBwBPB7~tplv-tiktokx-origin.jpeg%253Fdr%253D14572%2526refresh_token%253D02603b4f%2526x-expires%253D1809507600%2526x-s"&amp;"ignature%253DVtg80E3piASOsVu%25252BGXf5Y%25252Bn0qdE%25253D%2526t%253D4d5b0474%2526ps%253D13740610%2526shp%253Dd05b14bd%2526shcp%253D34ff8df6%2526idc%253Dmy%2526s%253DTIKTOK_AFFILIATE_VIRAL_VIDEO%22%2C%22placeholder_product_id%22%3A%221729427766722726591%"&amp;"22%2C%22placeholder_video_id%22%3A%227634152791769926919%22%7D&amp;ec_shared_reflux_scene=shop_tab_feed&amp;share_item_id=7634152791769926919&amp;source=h5_t")</f>
        <v>https://www.tiktok.com/@titikzyp2a3/video/7634152791769926919?_r=1&amp;u_code=e9l98g7d7h5880&amp;region=&amp;mid=7608559003840400145&amp;preview_pb=0&amp;sharer_language=&amp;_d=0&amp;ec_shared_reflux_dynamic_params=%7B%22placeholder_material_id%22%3A%227634152791769926919%22%2C%22placeholder_origin_cover%22%3A%22https%253A%252F%252Fp16-common-sign.tiktokcdn.com%252Ftos-alisg-p-0037%252FoAqU3AfdUeIBQ9RzE5g4IAiikzXXJpxYBwBPB7~tplv-tiktokx-origin.jpeg%253Fdr%253D14572%2526refresh_token%253D02603b4f%2526x-expires%253D1809507600%2526x-signature%253DVtg80E3piASOsVu%25252BGXf5Y%25252Bn0qdE%25253D%2526t%253D4d5b0474%2526ps%253D13740610%2526shp%253Dd05b14bd%2526shcp%253D34ff8df6%2526idc%253Dmy%2526s%253DTIKTOK_AFFILIATE_VIRAL_VIDEO%22%2C%22placeholder_product_id%22%3A%221729427766722726591%22%2C%22placeholder_video_id%22%3A%227634152791769926919%22%7D&amp;ec_shared_reflux_scene=shop_tab_feed&amp;share_item_id=7634152791769926919&amp;source=h5_t</v>
      </c>
      <c r="M1335" s="470"/>
      <c r="N1335" s="471" t="str">
        <f>IFERROR(__xludf.DUMMYFUNCTION("""COMPUTED_VALUE"""),"https://www.tiktok.com/@titikzyp2a3/video/7635511746144357650?_r=1&amp;u_code=e9l98g7d7h5880&amp;region=&amp;mid=7613023919407466497&amp;preview_pb=0&amp;sharer_language=&amp;_d=0&amp;ec_shared_reflux_dynamic_params=%7B%22placeholder_material_id%22%3A%227635511746144357650%22%2C%22p"&amp;"laceholder_origin_cover%22%3A%22https%253A%252F%252Fp19-common-sign.tiktokcdn.com%252Ftos-alisg-p-0037%252FoUJ7Ge1XIIHoQwkteCTALCYtQIjZAHHIHDzpVe~tplv-tiktokx-origin.jpeg%253Fdr%253D14572%2526refresh_token%253D3cb6504e%2526x-expires%253D1809507600%2526x-s"&amp;"ignature%253DYiWJ%25252FDat3wu%25252BOqP84CvOiX4NU9o%25253D%2526t%253D4d5b0474%2526ps%253D13740610%2526shp%253Dd05b14bd%2526shcp%253D34ff8df6%2526idc%253Dmy%2526s%253DTIKTOK_AFFILIATE_VIRAL_VIDEO%22%2C%22placeholder_product_id%22%3A%221729427766722726591%"&amp;"22%2C%22placeholder_video_id%22%3A%227635511746144357650%22%7D&amp;ec_shared_reflux_scene=shop_tab_feed&amp;share_item_id=7635511746144357650&amp;source=h5_t")</f>
        <v>https://www.tiktok.com/@titikzyp2a3/video/7635511746144357650?_r=1&amp;u_code=e9l98g7d7h5880&amp;region=&amp;mid=7613023919407466497&amp;preview_pb=0&amp;sharer_language=&amp;_d=0&amp;ec_shared_reflux_dynamic_params=%7B%22placeholder_material_id%22%3A%227635511746144357650%22%2C%22placeholder_origin_cover%22%3A%22https%253A%252F%252Fp19-common-sign.tiktokcdn.com%252Ftos-alisg-p-0037%252FoUJ7Ge1XIIHoQwkteCTALCYtQIjZAHHIHDzpVe~tplv-tiktokx-origin.jpeg%253Fdr%253D14572%2526refresh_token%253D3cb6504e%2526x-expires%253D1809507600%2526x-signature%253DYiWJ%25252FDat3wu%25252BOqP84CvOiX4NU9o%25253D%2526t%253D4d5b0474%2526ps%253D13740610%2526shp%253Dd05b14bd%2526shcp%253D34ff8df6%2526idc%253Dmy%2526s%253DTIKTOK_AFFILIATE_VIRAL_VIDEO%22%2C%22placeholder_product_id%22%3A%221729427766722726591%22%2C%22placeholder_video_id%22%3A%227635511746144357650%22%7D&amp;ec_shared_reflux_scene=shop_tab_feed&amp;share_item_id=7635511746144357650&amp;source=h5_t</v>
      </c>
      <c r="O1335" s="470"/>
      <c r="P1335" s="471" t="str">
        <f>IFERROR(__xludf.DUMMYFUNCTION("""COMPUTED_VALUE"""),"https://vt.tiktok.com/ZSxmGM77p/")</f>
        <v>https://vt.tiktok.com/ZSxmGM77p/</v>
      </c>
    </row>
    <row r="1336">
      <c r="A1336" s="282" t="str">
        <f>IFERROR(__xludf.DUMMYFUNCTION("""COMPUTED_VALUE"""),"MICRO")</f>
        <v>MICRO</v>
      </c>
      <c r="B1336" s="468" t="str">
        <f>IFERROR(__xludf.DUMMYFUNCTION("""COMPUTED_VALUE"""),"nurjini1905")</f>
        <v>nurjini1905</v>
      </c>
      <c r="C1336" s="283" t="str">
        <f>IFERROR(__xludf.DUMMYFUNCTION("""COMPUTED_VALUE"""),"https://www.tiktok.com/@nurjini1905")</f>
        <v>https://www.tiktok.com/@nurjini1905</v>
      </c>
      <c r="D1336" s="273">
        <f>IFERROR(__xludf.DUMMYFUNCTION("""COMPUTED_VALUE"""),8.5229890233E10)</f>
        <v>85229890233</v>
      </c>
      <c r="E1336" s="458">
        <f>IFERROR(__xludf.DUMMYFUNCTION("""COMPUTED_VALUE"""),0.0)</f>
        <v>0</v>
      </c>
      <c r="F1336" s="273">
        <f>IFERROR(__xludf.DUMMYFUNCTION("""COMPUTED_VALUE"""),4.0)</f>
        <v>4</v>
      </c>
      <c r="G1336" t="str">
        <f>IFERROR(__xludf.DUMMYFUNCTION("""COMPUTED_VALUE"""),"Sabun batang 1 Box ( 2 PCS )")</f>
        <v>Sabun batang 1 Box ( 2 PCS )</v>
      </c>
      <c r="H1336" s="469" t="str">
        <f>IFERROR(__xludf.DUMMYFUNCTION("""COMPUTED_VALUE"""),"Sampai")</f>
        <v>Sampai</v>
      </c>
      <c r="I1336" s="470" t="str">
        <f>IFERROR(__xludf.DUMMYFUNCTION("""COMPUTED_VALUE"""),"KIMME")</f>
        <v>KIMME</v>
      </c>
      <c r="J1336" s="471" t="str">
        <f>IFERROR(__xludf.DUMMYFUNCTION("""COMPUTED_VALUE"""),"https://vt.tiktok.com/ZSx9yhjtA/")</f>
        <v>https://vt.tiktok.com/ZSx9yhjtA/</v>
      </c>
      <c r="K1336" s="470" t="str">
        <f>IFERROR(__xludf.DUMMYFUNCTION("""COMPUTED_VALUE"""),"KIMME")</f>
        <v>KIMME</v>
      </c>
      <c r="L1336" s="471" t="str">
        <f>IFERROR(__xludf.DUMMYFUNCTION("""COMPUTED_VALUE"""),"https://vt.tiktok.com/ZSx9yxHVX/")</f>
        <v>https://vt.tiktok.com/ZSx9yxHVX/</v>
      </c>
      <c r="M1336" s="470"/>
      <c r="N1336" t="str">
        <f>IFERROR(__xludf.DUMMYFUNCTION("""COMPUTED_VALUE"""),"⁠https://vt.tiktok.com/ZSx9y65va/")</f>
        <v>⁠https://vt.tiktok.com/ZSx9y65va/</v>
      </c>
      <c r="O1336" s="470"/>
      <c r="P1336" s="471" t="str">
        <f>IFERROR(__xludf.DUMMYFUNCTION("""COMPUTED_VALUE"""),"https://vt.tiktok.com/ZSx9ySUhu/")</f>
        <v>https://vt.tiktok.com/ZSx9ySUhu/</v>
      </c>
    </row>
    <row r="1337">
      <c r="A1337" s="282" t="str">
        <f>IFERROR(__xludf.DUMMYFUNCTION("""COMPUTED_VALUE"""),"MICRO")</f>
        <v>MICRO</v>
      </c>
      <c r="B1337" s="468" t="str">
        <f>IFERROR(__xludf.DUMMYFUNCTION("""COMPUTED_VALUE"""),"qwrasa")</f>
        <v>qwrasa</v>
      </c>
      <c r="C1337" s="283" t="str">
        <f>IFERROR(__xludf.DUMMYFUNCTION("""COMPUTED_VALUE"""),"https://www.tiktok.com/@qwrasa")</f>
        <v>https://www.tiktok.com/@qwrasa</v>
      </c>
      <c r="D1337" s="273">
        <f>IFERROR(__xludf.DUMMYFUNCTION("""COMPUTED_VALUE"""),8.951499657E10)</f>
        <v>89514996570</v>
      </c>
      <c r="E1337" s="458">
        <f>IFERROR(__xludf.DUMMYFUNCTION("""COMPUTED_VALUE"""),0.0)</f>
        <v>0</v>
      </c>
      <c r="F1337" s="273">
        <f>IFERROR(__xludf.DUMMYFUNCTION("""COMPUTED_VALUE"""),4.0)</f>
        <v>4</v>
      </c>
      <c r="G1337" t="str">
        <f>IFERROR(__xludf.DUMMYFUNCTION("""COMPUTED_VALUE"""),"Sabun batang 1 Box ( 2 PCS )")</f>
        <v>Sabun batang 1 Box ( 2 PCS )</v>
      </c>
      <c r="H1337" s="469" t="str">
        <f>IFERROR(__xludf.DUMMYFUNCTION("""COMPUTED_VALUE"""),"Sampai")</f>
        <v>Sampai</v>
      </c>
      <c r="I1337" s="470" t="str">
        <f>IFERROR(__xludf.DUMMYFUNCTION("""COMPUTED_VALUE"""),"KIMME")</f>
        <v>KIMME</v>
      </c>
      <c r="J1337" s="471" t="str">
        <f>IFERROR(__xludf.DUMMYFUNCTION("""COMPUTED_VALUE"""),"https://vt.tiktok.com/ZSx9yctYv/")</f>
        <v>https://vt.tiktok.com/ZSx9yctYv/</v>
      </c>
      <c r="K1337" s="470" t="str">
        <f>IFERROR(__xludf.DUMMYFUNCTION("""COMPUTED_VALUE"""),"KIMME")</f>
        <v>KIMME</v>
      </c>
      <c r="L1337" s="471" t="str">
        <f>IFERROR(__xludf.DUMMYFUNCTION("""COMPUTED_VALUE"""),"https://vt.tiktok.com/ZSx9f16Nj/")</f>
        <v>https://vt.tiktok.com/ZSx9f16Nj/</v>
      </c>
      <c r="M1337" s="470"/>
      <c r="N1337" t="str">
        <f>IFERROR(__xludf.DUMMYFUNCTION("""COMPUTED_VALUE"""),"⁠⁠⁠⁠https://vt.tiktok.com/ZSx9yWo9y/")</f>
        <v>⁠⁠⁠⁠https://vt.tiktok.com/ZSx9yWo9y/</v>
      </c>
      <c r="O1337" s="470"/>
      <c r="P1337" s="471" t="str">
        <f>IFERROR(__xludf.DUMMYFUNCTION("""COMPUTED_VALUE"""),"https://vt.tiktok.com/ZSx9yn96m/")</f>
        <v>https://vt.tiktok.com/ZSx9yn96m/</v>
      </c>
    </row>
    <row r="1338">
      <c r="A1338" s="282" t="str">
        <f>IFERROR(__xludf.DUMMYFUNCTION("""COMPUTED_VALUE"""),"MICRO")</f>
        <v>MICRO</v>
      </c>
      <c r="B1338" s="468" t="str">
        <f>IFERROR(__xludf.DUMMYFUNCTION("""COMPUTED_VALUE"""),"koh.iio")</f>
        <v>koh.iio</v>
      </c>
      <c r="C1338" s="283" t="str">
        <f>IFERROR(__xludf.DUMMYFUNCTION("""COMPUTED_VALUE"""),"https://www.tiktok.com/@koh.iio")</f>
        <v>https://www.tiktok.com/@koh.iio</v>
      </c>
      <c r="D1338" s="273">
        <f>IFERROR(__xludf.DUMMYFUNCTION("""COMPUTED_VALUE"""),8.138627815E10)</f>
        <v>81386278150</v>
      </c>
      <c r="E1338" s="458">
        <f>IFERROR(__xludf.DUMMYFUNCTION("""COMPUTED_VALUE"""),0.0)</f>
        <v>0</v>
      </c>
      <c r="F1338" s="273">
        <f>IFERROR(__xludf.DUMMYFUNCTION("""COMPUTED_VALUE"""),4.0)</f>
        <v>4</v>
      </c>
      <c r="G1338" t="str">
        <f>IFERROR(__xludf.DUMMYFUNCTION("""COMPUTED_VALUE"""),"Sabun batang 1 Box ( 2 PCS )")</f>
        <v>Sabun batang 1 Box ( 2 PCS )</v>
      </c>
      <c r="H1338" s="469" t="str">
        <f>IFERROR(__xludf.DUMMYFUNCTION("""COMPUTED_VALUE"""),"Sampai")</f>
        <v>Sampai</v>
      </c>
      <c r="I1338" s="470" t="str">
        <f>IFERROR(__xludf.DUMMYFUNCTION("""COMPUTED_VALUE"""),"KIMME")</f>
        <v>KIMME</v>
      </c>
      <c r="J1338" s="471" t="str">
        <f>IFERROR(__xludf.DUMMYFUNCTION("""COMPUTED_VALUE"""),"https://vt.tiktok.com/ZSxmeao9u/")</f>
        <v>https://vt.tiktok.com/ZSxmeao9u/</v>
      </c>
      <c r="K1338" s="470" t="str">
        <f>IFERROR(__xludf.DUMMYFUNCTION("""COMPUTED_VALUE"""),"KIMME")</f>
        <v>KIMME</v>
      </c>
      <c r="L1338" s="471" t="str">
        <f>IFERROR(__xludf.DUMMYFUNCTION("""COMPUTED_VALUE"""),"https://vt.tiktok.com/ZSxmeqoxF/")</f>
        <v>https://vt.tiktok.com/ZSxmeqoxF/</v>
      </c>
      <c r="M1338" s="470"/>
      <c r="N1338" s="471" t="str">
        <f>IFERROR(__xludf.DUMMYFUNCTION("""COMPUTED_VALUE"""),"https://vt.tiktok.com/ZSxme1sw4/")</f>
        <v>https://vt.tiktok.com/ZSxme1sw4/</v>
      </c>
      <c r="O1338" s="470"/>
      <c r="P1338" s="471" t="str">
        <f>IFERROR(__xludf.DUMMYFUNCTION("""COMPUTED_VALUE"""),"https://vt.tiktok.com/ZSxmeUUYa/")</f>
        <v>https://vt.tiktok.com/ZSxmeUUYa/</v>
      </c>
    </row>
    <row r="1339">
      <c r="A1339" s="282" t="str">
        <f>IFERROR(__xludf.DUMMYFUNCTION("""COMPUTED_VALUE"""),"MICRO")</f>
        <v>MICRO</v>
      </c>
      <c r="B1339" s="468" t="str">
        <f>IFERROR(__xludf.DUMMYFUNCTION("""COMPUTED_VALUE"""),"Sarsaparillaa ")</f>
        <v>Sarsaparillaa </v>
      </c>
      <c r="C1339" s="283" t="str">
        <f>IFERROR(__xludf.DUMMYFUNCTION("""COMPUTED_VALUE"""),"https://www.tiktok.com/@Sarsaparillaa ")</f>
        <v>https://www.tiktok.com/@Sarsaparillaa </v>
      </c>
      <c r="D1339" s="273">
        <f>IFERROR(__xludf.DUMMYFUNCTION("""COMPUTED_VALUE"""),8.98988438E9)</f>
        <v>8989884380</v>
      </c>
      <c r="E1339" s="458">
        <f>IFERROR(__xludf.DUMMYFUNCTION("""COMPUTED_VALUE"""),0.0)</f>
        <v>0</v>
      </c>
      <c r="F1339" s="273">
        <f>IFERROR(__xludf.DUMMYFUNCTION("""COMPUTED_VALUE"""),4.0)</f>
        <v>4</v>
      </c>
      <c r="G1339" t="str">
        <f>IFERROR(__xludf.DUMMYFUNCTION("""COMPUTED_VALUE"""),"Sabun batang 1 Box ( 2 PCS )")</f>
        <v>Sabun batang 1 Box ( 2 PCS )</v>
      </c>
      <c r="H1339" s="469" t="str">
        <f>IFERROR(__xludf.DUMMYFUNCTION("""COMPUTED_VALUE"""),"Sampai")</f>
        <v>Sampai</v>
      </c>
      <c r="I1339" s="470" t="str">
        <f>IFERROR(__xludf.DUMMYFUNCTION("""COMPUTED_VALUE"""),"KIMME")</f>
        <v>KIMME</v>
      </c>
      <c r="J1339" s="471" t="str">
        <f>IFERROR(__xludf.DUMMYFUNCTION("""COMPUTED_VALUE"""),"https://www.tiktok.com/@sarsaparillaa/video/7634942262597750037?_r=1&amp;u_code=6198hfcj6k43c&amp;region=&amp;mid=7619742846682400785&amp;preview_pb=0&amp;sharer_language=&amp;_d=0&amp;ec_shared_reflux_dynamic_params=%7B%22placeholder_material_id%22%3A%227634942262597750037%22%2C%22"&amp;"placeholder_origin_cover%22%3A%22https%253A%252F%252Fp16-common-sign.tiktokcdn.com%252Ftos-alisg-p-0037%252FowcNQUa7LDAxhrEeiMF9BRpCvEtgxBP9QIf5pE~tplv-tiktokx-origin.jpeg%253Fdr%253D14572%2526refresh_token%253D31cfb09e%2526x-expires%253D1809504000%2526x-"&amp;"signature%253DW0jbDihJpjiJdmv%25252FAxwl%25252FqQe8aw%25253D%2526t%253D4d5b0474%2526ps%253D13740610%2526shp%253Dd05b14bd%2526shcp%253D34ff8df6%2526idc%253Dmy%2526s%253DTIKTOK_AFFILIATE_VIRAL_VIDEO%22%2C%22placeholder_product_id%22%3A%221729427766722726591"&amp;"%22%2C%22placeholder_video_id%22%3A%227634942262597750037%22%7D&amp;ec_shared_reflux_scene=shop_tab_feed&amp;share_item_id=7634942262597750037&amp;source=h5_t")</f>
        <v>https://www.tiktok.com/@sarsaparillaa/video/7634942262597750037?_r=1&amp;u_code=6198hfcj6k43c&amp;region=&amp;mid=7619742846682400785&amp;preview_pb=0&amp;sharer_language=&amp;_d=0&amp;ec_shared_reflux_dynamic_params=%7B%22placeholder_material_id%22%3A%227634942262597750037%22%2C%22placeholder_origin_cover%22%3A%22https%253A%252F%252Fp16-common-sign.tiktokcdn.com%252Ftos-alisg-p-0037%252FowcNQUa7LDAxhrEeiMF9BRpCvEtgxBP9QIf5pE~tplv-tiktokx-origin.jpeg%253Fdr%253D14572%2526refresh_token%253D31cfb09e%2526x-expires%253D1809504000%2526x-signature%253DW0jbDihJpjiJdmv%25252FAxwl%25252FqQe8aw%25253D%2526t%253D4d5b0474%2526ps%253D13740610%2526shp%253Dd05b14bd%2526shcp%253D34ff8df6%2526idc%253Dmy%2526s%253DTIKTOK_AFFILIATE_VIRAL_VIDEO%22%2C%22placeholder_product_id%22%3A%221729427766722726591%22%2C%22placeholder_video_id%22%3A%227634942262597750037%22%7D&amp;ec_shared_reflux_scene=shop_tab_feed&amp;share_item_id=7634942262597750037&amp;source=h5_t</v>
      </c>
      <c r="K1339" s="470" t="str">
        <f>IFERROR(__xludf.DUMMYFUNCTION("""COMPUTED_VALUE"""),"KIMME")</f>
        <v>KIMME</v>
      </c>
      <c r="L1339" s="471" t="str">
        <f>IFERROR(__xludf.DUMMYFUNCTION("""COMPUTED_VALUE"""),"https://www.tiktok.com/@sarsaparillaa/video/7634977370390285589?_r=1&amp;u_code=6198hfcj6k43c&amp;region=&amp;mid=7632888350513908501&amp;preview_pb=0&amp;sharer_language=&amp;_d=0&amp;ec_shared_reflux_dynamic_params=%7B%22placeholder_material_id%22%3A%227634977370390285589%22%2C%22"&amp;"placeholder_origin_cover%22%3A%22https%253A%252F%252Fp16-common-sign.tiktokcdn.com%252Ftos-alisg-p-0037%252FoAEhSAIgUgAFCEO4LHRRq9fhFMD2BBsIfB4pM0~tplv-tiktokx-origin.jpeg%253Fdr%253D14572%2526refresh_token%253D95d46316%2526x-expires%253D1809504000%2526x-"&amp;"signature%253D0fEaBXznpOgeH2YAMtRu7%25252B3P2Y4%25253D%2526t%253D4d5b0474%2526ps%253D13740610%2526shp%253Dd05b14bd%2526shcp%253D34ff8df6%2526idc%253Dmy%2526s%253DTIKTOK_AFFILIATE_VIRAL_VIDEO%22%2C%22placeholder_product_id%22%3A%221729427766722726591%22%2C"&amp;"%22placeholder_video_id%22%3A%227634977370390285589%22%7D&amp;ec_shared_reflux_scene=shop_tab_feed&amp;share_item_id=7634977370390285589&amp;source=h5_t")</f>
        <v>https://www.tiktok.com/@sarsaparillaa/video/7634977370390285589?_r=1&amp;u_code=6198hfcj6k43c&amp;region=&amp;mid=7632888350513908501&amp;preview_pb=0&amp;sharer_language=&amp;_d=0&amp;ec_shared_reflux_dynamic_params=%7B%22placeholder_material_id%22%3A%227634977370390285589%22%2C%22placeholder_origin_cover%22%3A%22https%253A%252F%252Fp16-common-sign.tiktokcdn.com%252Ftos-alisg-p-0037%252FoAEhSAIgUgAFCEO4LHRRq9fhFMD2BBsIfB4pM0~tplv-tiktokx-origin.jpeg%253Fdr%253D14572%2526refresh_token%253D95d46316%2526x-expires%253D1809504000%2526x-signature%253D0fEaBXznpOgeH2YAMtRu7%25252B3P2Y4%25253D%2526t%253D4d5b0474%2526ps%253D13740610%2526shp%253Dd05b14bd%2526shcp%253D34ff8df6%2526idc%253Dmy%2526s%253DTIKTOK_AFFILIATE_VIRAL_VIDEO%22%2C%22placeholder_product_id%22%3A%221729427766722726591%22%2C%22placeholder_video_id%22%3A%227634977370390285589%22%7D&amp;ec_shared_reflux_scene=shop_tab_feed&amp;share_item_id=7634977370390285589&amp;source=h5_t</v>
      </c>
      <c r="M1339" s="470"/>
      <c r="N1339" s="471" t="str">
        <f>IFERROR(__xludf.DUMMYFUNCTION("""COMPUTED_VALUE"""),"https://vt.tiktok.com/ZSx9ynb5D/")</f>
        <v>https://vt.tiktok.com/ZSx9ynb5D/</v>
      </c>
      <c r="O1339" s="470"/>
      <c r="P1339" s="471" t="str">
        <f>IFERROR(__xludf.DUMMYFUNCTION("""COMPUTED_VALUE"""),"https://vt.tiktok.com/ZSxyP72BK/")</f>
        <v>https://vt.tiktok.com/ZSxyP72BK/</v>
      </c>
    </row>
    <row r="1340">
      <c r="A1340" s="282" t="str">
        <f>IFERROR(__xludf.DUMMYFUNCTION("""COMPUTED_VALUE"""),"MICRO")</f>
        <v>MICRO</v>
      </c>
      <c r="B1340" s="468" t="str">
        <f>IFERROR(__xludf.DUMMYFUNCTION("""COMPUTED_VALUE"""),"Mamaaira_19")</f>
        <v>Mamaaira_19</v>
      </c>
      <c r="C1340" s="283" t="str">
        <f>IFERROR(__xludf.DUMMYFUNCTION("""COMPUTED_VALUE"""),"https://www.tiktok.com/@Mamaaira_19")</f>
        <v>https://www.tiktok.com/@Mamaaira_19</v>
      </c>
      <c r="D1340" s="273">
        <f>IFERROR(__xludf.DUMMYFUNCTION("""COMPUTED_VALUE"""),8.5795703786E10)</f>
        <v>85795703786</v>
      </c>
      <c r="E1340" s="458">
        <f>IFERROR(__xludf.DUMMYFUNCTION("""COMPUTED_VALUE"""),0.0)</f>
        <v>0</v>
      </c>
      <c r="F1340" s="273">
        <f>IFERROR(__xludf.DUMMYFUNCTION("""COMPUTED_VALUE"""),4.0)</f>
        <v>4</v>
      </c>
      <c r="G1340" t="str">
        <f>IFERROR(__xludf.DUMMYFUNCTION("""COMPUTED_VALUE"""),"Sabun batang 1 Box ( 2 PCS )")</f>
        <v>Sabun batang 1 Box ( 2 PCS )</v>
      </c>
      <c r="H1340" s="469" t="str">
        <f>IFERROR(__xludf.DUMMYFUNCTION("""COMPUTED_VALUE"""),"Sampai")</f>
        <v>Sampai</v>
      </c>
      <c r="I1340" s="470" t="str">
        <f>IFERROR(__xludf.DUMMYFUNCTION("""COMPUTED_VALUE"""),"KIMME")</f>
        <v>KIMME</v>
      </c>
      <c r="J1340" s="471" t="str">
        <f>IFERROR(__xludf.DUMMYFUNCTION("""COMPUTED_VALUE"""),"https://vt.tiktok.com/ZSxyPy46y/")</f>
        <v>https://vt.tiktok.com/ZSxyPy46y/</v>
      </c>
      <c r="K1340" s="470" t="str">
        <f>IFERROR(__xludf.DUMMYFUNCTION("""COMPUTED_VALUE"""),"KIMME")</f>
        <v>KIMME</v>
      </c>
      <c r="L1340" s="471" t="str">
        <f>IFERROR(__xludf.DUMMYFUNCTION("""COMPUTED_VALUE"""),"https://vt.tiktok.com/ZSxyPnmbe/")</f>
        <v>https://vt.tiktok.com/ZSxyPnmbe/</v>
      </c>
      <c r="M1340" s="470"/>
      <c r="N1340" s="471" t="str">
        <f>IFERROR(__xludf.DUMMYFUNCTION("""COMPUTED_VALUE"""),"https://vt.tiktok.com/ZSxyPg4GN/")</f>
        <v>https://vt.tiktok.com/ZSxyPg4GN/</v>
      </c>
      <c r="O1340" s="470"/>
      <c r="P1340" s="471" t="str">
        <f>IFERROR(__xludf.DUMMYFUNCTION("""COMPUTED_VALUE"""),"https://vt.tiktok.com/ZSxyPgRQc/")</f>
        <v>https://vt.tiktok.com/ZSxyPgRQc/</v>
      </c>
    </row>
    <row r="1341">
      <c r="A1341" s="282" t="str">
        <f>IFERROR(__xludf.DUMMYFUNCTION("""COMPUTED_VALUE"""),"MICRO")</f>
        <v>MICRO</v>
      </c>
      <c r="B1341" s="468" t="str">
        <f>IFERROR(__xludf.DUMMYFUNCTION("""COMPUTED_VALUE"""),"asri_dira")</f>
        <v>asri_dira</v>
      </c>
      <c r="C1341" s="283" t="str">
        <f>IFERROR(__xludf.DUMMYFUNCTION("""COMPUTED_VALUE"""),"https://www.tiktok.com/@asri_dira")</f>
        <v>https://www.tiktok.com/@asri_dira</v>
      </c>
      <c r="D1341" s="273">
        <f>IFERROR(__xludf.DUMMYFUNCTION("""COMPUTED_VALUE"""),8.5922190419E10)</f>
        <v>85922190419</v>
      </c>
      <c r="E1341" s="458">
        <f>IFERROR(__xludf.DUMMYFUNCTION("""COMPUTED_VALUE"""),0.0)</f>
        <v>0</v>
      </c>
      <c r="F1341" s="273">
        <f>IFERROR(__xludf.DUMMYFUNCTION("""COMPUTED_VALUE"""),2.0)</f>
        <v>2</v>
      </c>
      <c r="G1341" t="str">
        <f>IFERROR(__xludf.DUMMYFUNCTION("""COMPUTED_VALUE"""),"Sabun batang 1 Box ( 2 PCS )")</f>
        <v>Sabun batang 1 Box ( 2 PCS )</v>
      </c>
      <c r="H1341" s="469" t="str">
        <f>IFERROR(__xludf.DUMMYFUNCTION("""COMPUTED_VALUE"""),"Sampai")</f>
        <v>Sampai</v>
      </c>
      <c r="I1341" s="470" t="str">
        <f>IFERROR(__xludf.DUMMYFUNCTION("""COMPUTED_VALUE"""),"KIMME")</f>
        <v>KIMME</v>
      </c>
      <c r="J1341" s="471" t="str">
        <f>IFERROR(__xludf.DUMMYFUNCTION("""COMPUTED_VALUE"""),"https://vt.tiktok.com/ZS9ovyYUW/")</f>
        <v>https://vt.tiktok.com/ZS9ovyYUW/</v>
      </c>
      <c r="K1341" s="470" t="str">
        <f>IFERROR(__xludf.DUMMYFUNCTION("""COMPUTED_VALUE"""),"KIMME")</f>
        <v>KIMME</v>
      </c>
      <c r="L1341" s="471" t="str">
        <f>IFERROR(__xludf.DUMMYFUNCTION("""COMPUTED_VALUE"""),"https://vt.tiktok.com/ZS9ovkvoy/")</f>
        <v>https://vt.tiktok.com/ZS9ovkvoy/</v>
      </c>
      <c r="M1341" s="470"/>
      <c r="N1341" t="str">
        <f>IFERROR(__xludf.DUMMYFUNCTION("""COMPUTED_VALUE"""),"⁠⁠https://vt.tiktok.com/ZSx9ywjLA/")</f>
        <v>⁠⁠https://vt.tiktok.com/ZSx9ywjLA/</v>
      </c>
      <c r="O1341" s="470"/>
      <c r="P1341" s="471" t="str">
        <f>IFERROR(__xludf.DUMMYFUNCTION("""COMPUTED_VALUE"""),"https://vt.tiktok.com/ZSxyPuj76/")</f>
        <v>https://vt.tiktok.com/ZSxyPuj76/</v>
      </c>
    </row>
    <row r="1342">
      <c r="A1342" s="282" t="str">
        <f>IFERROR(__xludf.DUMMYFUNCTION("""COMPUTED_VALUE"""),"MICRO")</f>
        <v>MICRO</v>
      </c>
      <c r="B1342" s="468" t="str">
        <f>IFERROR(__xludf.DUMMYFUNCTION("""COMPUTED_VALUE"""),"Cherry_maaa")</f>
        <v>Cherry_maaa</v>
      </c>
      <c r="C1342" s="283" t="str">
        <f>IFERROR(__xludf.DUMMYFUNCTION("""COMPUTED_VALUE"""),"https://www.tiktok.com/@Cherry_maaa")</f>
        <v>https://www.tiktok.com/@Cherry_maaa</v>
      </c>
      <c r="D1342" s="273">
        <f>IFERROR(__xludf.DUMMYFUNCTION("""COMPUTED_VALUE"""),8.1315786909E10)</f>
        <v>81315786909</v>
      </c>
      <c r="E1342" s="458">
        <f>IFERROR(__xludf.DUMMYFUNCTION("""COMPUTED_VALUE"""),0.0)</f>
        <v>0</v>
      </c>
      <c r="F1342" s="273">
        <f>IFERROR(__xludf.DUMMYFUNCTION("""COMPUTED_VALUE"""),1.0)</f>
        <v>1</v>
      </c>
      <c r="G1342" t="str">
        <f>IFERROR(__xludf.DUMMYFUNCTION("""COMPUTED_VALUE"""),"Sabun batang 1 Box ( 2 PCS )")</f>
        <v>Sabun batang 1 Box ( 2 PCS )</v>
      </c>
      <c r="H1342" s="469" t="str">
        <f>IFERROR(__xludf.DUMMYFUNCTION("""COMPUTED_VALUE"""),"Sampai")</f>
        <v>Sampai</v>
      </c>
      <c r="I1342" s="470" t="str">
        <f>IFERROR(__xludf.DUMMYFUNCTION("""COMPUTED_VALUE"""),"KIMME")</f>
        <v>KIMME</v>
      </c>
      <c r="J1342" s="471" t="str">
        <f>IFERROR(__xludf.DUMMYFUNCTION("""COMPUTED_VALUE"""),"https://vt.tiktok.com/ZSxyPu73N/")</f>
        <v>https://vt.tiktok.com/ZSxyPu73N/</v>
      </c>
      <c r="K1342" s="470" t="str">
        <f>IFERROR(__xludf.DUMMYFUNCTION("""COMPUTED_VALUE"""),"KIMME")</f>
        <v>KIMME</v>
      </c>
      <c r="L1342" s="471" t="str">
        <f>IFERROR(__xludf.DUMMYFUNCTION("""COMPUTED_VALUE"""),"https://vt.tiktok.com/ZSxyPpR9G/")</f>
        <v>https://vt.tiktok.com/ZSxyPpR9G/</v>
      </c>
      <c r="M1342" s="470"/>
      <c r="N1342" s="471" t="str">
        <f>IFERROR(__xludf.DUMMYFUNCTION("""COMPUTED_VALUE"""),"https://vt.tiktok.com/ZSxyPqqLS/")</f>
        <v>https://vt.tiktok.com/ZSxyPqqLS/</v>
      </c>
      <c r="O1342" s="470"/>
      <c r="P1342" s="471" t="str">
        <f>IFERROR(__xludf.DUMMYFUNCTION("""COMPUTED_VALUE"""),"https://vt.tiktok.com/ZSxyPbKba/")</f>
        <v>https://vt.tiktok.com/ZSxyPbKba/</v>
      </c>
    </row>
    <row r="1343">
      <c r="A1343" s="282" t="str">
        <f>IFERROR(__xludf.DUMMYFUNCTION("""COMPUTED_VALUE"""),"MICRO")</f>
        <v>MICRO</v>
      </c>
      <c r="B1343" s="468" t="str">
        <f>IFERROR(__xludf.DUMMYFUNCTION("""COMPUTED_VALUE"""),"ahmadlagi17")</f>
        <v>ahmadlagi17</v>
      </c>
      <c r="C1343" s="283" t="str">
        <f>IFERROR(__xludf.DUMMYFUNCTION("""COMPUTED_VALUE"""),"https://www.tiktok.com/@ahmadlagi17")</f>
        <v>https://www.tiktok.com/@ahmadlagi17</v>
      </c>
      <c r="D1343" s="273">
        <f>IFERROR(__xludf.DUMMYFUNCTION("""COMPUTED_VALUE"""),8.1274041504E10)</f>
        <v>81274041504</v>
      </c>
      <c r="E1343" s="458">
        <f>IFERROR(__xludf.DUMMYFUNCTION("""COMPUTED_VALUE"""),0.0)</f>
        <v>0</v>
      </c>
      <c r="F1343" s="273">
        <f>IFERROR(__xludf.DUMMYFUNCTION("""COMPUTED_VALUE"""),4.0)</f>
        <v>4</v>
      </c>
      <c r="G1343" t="str">
        <f>IFERROR(__xludf.DUMMYFUNCTION("""COMPUTED_VALUE"""),"Sabun batang 1 Box ( 2 PCS )")</f>
        <v>Sabun batang 1 Box ( 2 PCS )</v>
      </c>
      <c r="H1343" s="469" t="str">
        <f>IFERROR(__xludf.DUMMYFUNCTION("""COMPUTED_VALUE"""),"Sampai")</f>
        <v>Sampai</v>
      </c>
      <c r="I1343" s="470" t="str">
        <f>IFERROR(__xludf.DUMMYFUNCTION("""COMPUTED_VALUE"""),"KIMME")</f>
        <v>KIMME</v>
      </c>
      <c r="J1343" s="471" t="str">
        <f>IFERROR(__xludf.DUMMYFUNCTION("""COMPUTED_VALUE"""),"https://vt.tiktok.com/ZSxxj4Ksu/")</f>
        <v>https://vt.tiktok.com/ZSxxj4Ksu/</v>
      </c>
      <c r="K1343" s="470" t="str">
        <f>IFERROR(__xludf.DUMMYFUNCTION("""COMPUTED_VALUE"""),"KIMME")</f>
        <v>KIMME</v>
      </c>
      <c r="L1343" s="471" t="str">
        <f>IFERROR(__xludf.DUMMYFUNCTION("""COMPUTED_VALUE"""),"https://vt.tiktok.com/ZSxxjbngU/")</f>
        <v>https://vt.tiktok.com/ZSxxjbngU/</v>
      </c>
      <c r="M1343" s="470"/>
      <c r="N1343" s="471" t="str">
        <f>IFERROR(__xludf.DUMMYFUNCTION("""COMPUTED_VALUE"""),"https://vt.tiktok.com/ZSxx6r7H5/")</f>
        <v>https://vt.tiktok.com/ZSxx6r7H5/</v>
      </c>
      <c r="O1343" s="470"/>
      <c r="P1343" s="471" t="str">
        <f>IFERROR(__xludf.DUMMYFUNCTION("""COMPUTED_VALUE"""),"https://vt.tiktok.com/ZSxx62kRr/")</f>
        <v>https://vt.tiktok.com/ZSxx62kRr/</v>
      </c>
    </row>
    <row r="1344">
      <c r="A1344" s="282" t="str">
        <f>IFERROR(__xludf.DUMMYFUNCTION("""COMPUTED_VALUE"""),"MACRO")</f>
        <v>MACRO</v>
      </c>
      <c r="B1344" s="468" t="str">
        <f>IFERROR(__xludf.DUMMYFUNCTION("""COMPUTED_VALUE"""),"mamah.hemat")</f>
        <v>mamah.hemat</v>
      </c>
      <c r="C1344" s="283" t="str">
        <f>IFERROR(__xludf.DUMMYFUNCTION("""COMPUTED_VALUE"""),"https://www.tiktok.com/@mamah.hemat")</f>
        <v>https://www.tiktok.com/@mamah.hemat</v>
      </c>
      <c r="D1344" s="273">
        <f>IFERROR(__xludf.DUMMYFUNCTION("""COMPUTED_VALUE"""),8.1944350079E10)</f>
        <v>81944350079</v>
      </c>
      <c r="E1344" s="458">
        <f>IFERROR(__xludf.DUMMYFUNCTION("""COMPUTED_VALUE"""),0.0)</f>
        <v>0</v>
      </c>
      <c r="F1344" s="273">
        <f>IFERROR(__xludf.DUMMYFUNCTION("""COMPUTED_VALUE"""),4.0)</f>
        <v>4</v>
      </c>
      <c r="G1344" t="str">
        <f>IFERROR(__xludf.DUMMYFUNCTION("""COMPUTED_VALUE"""),"Sabun batang 1 Box ( 2 PCS )")</f>
        <v>Sabun batang 1 Box ( 2 PCS )</v>
      </c>
      <c r="H1344" s="469" t="str">
        <f>IFERROR(__xludf.DUMMYFUNCTION("""COMPUTED_VALUE"""),"Sampai")</f>
        <v>Sampai</v>
      </c>
      <c r="I1344" s="470" t="str">
        <f>IFERROR(__xludf.DUMMYFUNCTION("""COMPUTED_VALUE"""),"KIMME")</f>
        <v>KIMME</v>
      </c>
      <c r="J1344" s="471" t="str">
        <f>IFERROR(__xludf.DUMMYFUNCTION("""COMPUTED_VALUE"""),"https://vt.tiktok.com/ZSxx6jNG9/")</f>
        <v>https://vt.tiktok.com/ZSxx6jNG9/</v>
      </c>
      <c r="K1344" s="470" t="str">
        <f>IFERROR(__xludf.DUMMYFUNCTION("""COMPUTED_VALUE"""),"KIMME")</f>
        <v>KIMME</v>
      </c>
      <c r="L1344" s="471" t="str">
        <f>IFERROR(__xludf.DUMMYFUNCTION("""COMPUTED_VALUE"""),"https://vt.tiktok.com/ZSxx6r7MS/")</f>
        <v>https://vt.tiktok.com/ZSxx6r7MS/</v>
      </c>
      <c r="M1344" s="470"/>
      <c r="O1344" s="470"/>
    </row>
    <row r="1345">
      <c r="A1345" s="282" t="str">
        <f>IFERROR(__xludf.DUMMYFUNCTION("""COMPUTED_VALUE"""),"MICRO")</f>
        <v>MICRO</v>
      </c>
      <c r="B1345" s="468" t="str">
        <f>IFERROR(__xludf.DUMMYFUNCTION("""COMPUTED_VALUE"""),"Mama_nathan98")</f>
        <v>Mama_nathan98</v>
      </c>
      <c r="C1345" s="283" t="str">
        <f>IFERROR(__xludf.DUMMYFUNCTION("""COMPUTED_VALUE"""),"https://www.tiktok.com/@Mama_nathan98")</f>
        <v>https://www.tiktok.com/@Mama_nathan98</v>
      </c>
      <c r="D1345" s="273">
        <f>IFERROR(__xludf.DUMMYFUNCTION("""COMPUTED_VALUE"""),8.9692792752E10)</f>
        <v>89692792752</v>
      </c>
      <c r="E1345" s="458">
        <f>IFERROR(__xludf.DUMMYFUNCTION("""COMPUTED_VALUE"""),0.0)</f>
        <v>0</v>
      </c>
      <c r="F1345" s="273">
        <f>IFERROR(__xludf.DUMMYFUNCTION("""COMPUTED_VALUE"""),2.0)</f>
        <v>2</v>
      </c>
      <c r="G1345" t="str">
        <f>IFERROR(__xludf.DUMMYFUNCTION("""COMPUTED_VALUE"""),"Sabun batang 1 Box ( 2 PCS )")</f>
        <v>Sabun batang 1 Box ( 2 PCS )</v>
      </c>
      <c r="H1345" s="469" t="str">
        <f>IFERROR(__xludf.DUMMYFUNCTION("""COMPUTED_VALUE"""),"Sampai")</f>
        <v>Sampai</v>
      </c>
      <c r="I1345" s="470" t="str">
        <f>IFERROR(__xludf.DUMMYFUNCTION("""COMPUTED_VALUE"""),"KIMME")</f>
        <v>KIMME</v>
      </c>
      <c r="J1345" s="471" t="str">
        <f>IFERROR(__xludf.DUMMYFUNCTION("""COMPUTED_VALUE"""),"https://vt.tiktok.com/ZSxx6j5hP/")</f>
        <v>https://vt.tiktok.com/ZSxx6j5hP/</v>
      </c>
      <c r="K1345" s="470" t="str">
        <f>IFERROR(__xludf.DUMMYFUNCTION("""COMPUTED_VALUE"""),"KIMME")</f>
        <v>KIMME</v>
      </c>
      <c r="L1345" s="471" t="str">
        <f>IFERROR(__xludf.DUMMYFUNCTION("""COMPUTED_VALUE"""),"https://vt.tiktok.com/ZSxx6U4gV/")</f>
        <v>https://vt.tiktok.com/ZSxx6U4gV/</v>
      </c>
      <c r="M1345" s="470"/>
      <c r="N1345" s="471" t="str">
        <f>IFERROR(__xludf.DUMMYFUNCTION("""COMPUTED_VALUE"""),"https://vt.tiktok.com/ZSxx6B5N1/")</f>
        <v>https://vt.tiktok.com/ZSxx6B5N1/</v>
      </c>
      <c r="O1345" s="470"/>
      <c r="P1345" s="471" t="str">
        <f>IFERROR(__xludf.DUMMYFUNCTION("""COMPUTED_VALUE"""),"https://vt.tiktok.com/ZSxx6m5KW/")</f>
        <v>https://vt.tiktok.com/ZSxx6m5KW/</v>
      </c>
    </row>
    <row r="1346">
      <c r="A1346" s="282" t="str">
        <f>IFERROR(__xludf.DUMMYFUNCTION("""COMPUTED_VALUE"""),"MICRO")</f>
        <v>MICRO</v>
      </c>
      <c r="B1346" s="468" t="str">
        <f>IFERROR(__xludf.DUMMYFUNCTION("""COMPUTED_VALUE"""),"endah_wj")</f>
        <v>endah_wj</v>
      </c>
      <c r="C1346" s="283" t="str">
        <f>IFERROR(__xludf.DUMMYFUNCTION("""COMPUTED_VALUE"""),"https://www.tiktok.com/@endah_wj")</f>
        <v>https://www.tiktok.com/@endah_wj</v>
      </c>
      <c r="D1346" s="273">
        <f>IFERROR(__xludf.DUMMYFUNCTION("""COMPUTED_VALUE"""),8.1775741761E10)</f>
        <v>81775741761</v>
      </c>
      <c r="E1346" s="458">
        <f>IFERROR(__xludf.DUMMYFUNCTION("""COMPUTED_VALUE"""),0.0)</f>
        <v>0</v>
      </c>
      <c r="F1346" s="273">
        <f>IFERROR(__xludf.DUMMYFUNCTION("""COMPUTED_VALUE"""),4.0)</f>
        <v>4</v>
      </c>
      <c r="G1346" t="str">
        <f>IFERROR(__xludf.DUMMYFUNCTION("""COMPUTED_VALUE"""),"Sabun batang 1 Box ( 2 PCS )")</f>
        <v>Sabun batang 1 Box ( 2 PCS )</v>
      </c>
      <c r="H1346" s="469" t="str">
        <f>IFERROR(__xludf.DUMMYFUNCTION("""COMPUTED_VALUE"""),"Sampai")</f>
        <v>Sampai</v>
      </c>
      <c r="I1346" s="470" t="str">
        <f>IFERROR(__xludf.DUMMYFUNCTION("""COMPUTED_VALUE"""),"KIMME")</f>
        <v>KIMME</v>
      </c>
      <c r="J1346" s="471" t="str">
        <f>IFERROR(__xludf.DUMMYFUNCTION("""COMPUTED_VALUE"""),"https://vt.tiktok.com/ZSxmskJoN/")</f>
        <v>https://vt.tiktok.com/ZSxmskJoN/</v>
      </c>
      <c r="K1346" s="470" t="str">
        <f>IFERROR(__xludf.DUMMYFUNCTION("""COMPUTED_VALUE"""),"KIMME")</f>
        <v>KIMME</v>
      </c>
      <c r="L1346" s="471" t="str">
        <f>IFERROR(__xludf.DUMMYFUNCTION("""COMPUTED_VALUE"""),"https://vt.tiktok.com/ZSxms1GHW/")</f>
        <v>https://vt.tiktok.com/ZSxms1GHW/</v>
      </c>
      <c r="M1346" s="470"/>
      <c r="N1346" s="471" t="str">
        <f>IFERROR(__xludf.DUMMYFUNCTION("""COMPUTED_VALUE"""),"https://vt.tiktok.com/ZSxms2jf1/")</f>
        <v>https://vt.tiktok.com/ZSxms2jf1/</v>
      </c>
      <c r="O1346" s="470"/>
      <c r="P1346" s="471" t="str">
        <f>IFERROR(__xludf.DUMMYFUNCTION("""COMPUTED_VALUE"""),"https://vt.tiktok.com/ZSxmpThvU/")</f>
        <v>https://vt.tiktok.com/ZSxmpThvU/</v>
      </c>
    </row>
    <row r="1347">
      <c r="A1347" s="282" t="str">
        <f>IFERROR(__xludf.DUMMYFUNCTION("""COMPUTED_VALUE"""),"MICRO")</f>
        <v>MICRO</v>
      </c>
      <c r="B1347" s="468" t="str">
        <f>IFERROR(__xludf.DUMMYFUNCTION("""COMPUTED_VALUE"""),"xe4n008")</f>
        <v>xe4n008</v>
      </c>
      <c r="C1347" s="283" t="str">
        <f>IFERROR(__xludf.DUMMYFUNCTION("""COMPUTED_VALUE"""),"https://www.tiktok.com/@xe4n008")</f>
        <v>https://www.tiktok.com/@xe4n008</v>
      </c>
      <c r="D1347" s="273">
        <f>IFERROR(__xludf.DUMMYFUNCTION("""COMPUTED_VALUE"""),8.3836292221E10)</f>
        <v>83836292221</v>
      </c>
      <c r="E1347" s="458">
        <f>IFERROR(__xludf.DUMMYFUNCTION("""COMPUTED_VALUE"""),0.0)</f>
        <v>0</v>
      </c>
      <c r="F1347" s="273">
        <f>IFERROR(__xludf.DUMMYFUNCTION("""COMPUTED_VALUE"""),4.0)</f>
        <v>4</v>
      </c>
      <c r="G1347" t="str">
        <f>IFERROR(__xludf.DUMMYFUNCTION("""COMPUTED_VALUE"""),"Sabun batang 1 Box ( 2 PCS )")</f>
        <v>Sabun batang 1 Box ( 2 PCS )</v>
      </c>
      <c r="H1347" s="469" t="str">
        <f>IFERROR(__xludf.DUMMYFUNCTION("""COMPUTED_VALUE"""),"Sampai")</f>
        <v>Sampai</v>
      </c>
      <c r="I1347" s="470" t="str">
        <f>IFERROR(__xludf.DUMMYFUNCTION("""COMPUTED_VALUE"""),"KIMME")</f>
        <v>KIMME</v>
      </c>
      <c r="J1347" s="471" t="str">
        <f>IFERROR(__xludf.DUMMYFUNCTION("""COMPUTED_VALUE"""),"https://www.tiktok.com/@xe4n008/video/7632848222351920391?_r=1&amp;u_code=dk1933c941ebc0&amp;region=&amp;mid=7619637853471640341&amp;preview_pb=0&amp;sharer_language=&amp;_d=0&amp;ec_shared_reflux_dynamic_params=%7B%22placeholder_material_id%22%3A%227632848222351920391%22%2C%22place"&amp;"holder_origin_cover%22%3A%22https%253A%252F%252Fp16-common-sign.tiktokcdn.com%252Ftos-alisg-p-0037%252FokP1tF7AABAisiwM6tBpu0IxeIPSsUIN1iDCDl~tplv-tiktokx-origin.jpeg%253Fdr%253D14572%2526refresh_token%253Dab78dec9%2526x-expires%253D1808992800%2526x-signa"&amp;"ture%253DHAeqMxKAJ71hbe2p%25252FUQUU%25252FMLZCs%25253D%2526t%253D4d5b0474%2526ps%253D13740610%2526shp%253Dd05b14bd%2526shcp%253D34ff8df6%2526idc%253Dmy2%2526s%253DTIKTOK_AFFILIATE_VIRAL_VIDEO%22%2C%22placeholder_product_id%22%3A%221729427766722726591%22%"&amp;"2C%22placeholder_video_id%22%3A%227632848222351920391%22%7D&amp;ec_shared_reflux_scene=shop_tab_feed&amp;share_item_id=7632848222351920391&amp;source=h5_t")</f>
        <v>https://www.tiktok.com/@xe4n008/video/7632848222351920391?_r=1&amp;u_code=dk1933c941ebc0&amp;region=&amp;mid=7619637853471640341&amp;preview_pb=0&amp;sharer_language=&amp;_d=0&amp;ec_shared_reflux_dynamic_params=%7B%22placeholder_material_id%22%3A%227632848222351920391%22%2C%22placeholder_origin_cover%22%3A%22https%253A%252F%252Fp16-common-sign.tiktokcdn.com%252Ftos-alisg-p-0037%252FokP1tF7AABAisiwM6tBpu0IxeIPSsUIN1iDCDl~tplv-tiktokx-origin.jpeg%253Fdr%253D14572%2526refresh_token%253Dab78dec9%2526x-expires%253D1808992800%2526x-signature%253DHAeqMxKAJ71hbe2p%25252FUQUU%25252FMLZCs%25253D%2526t%253D4d5b0474%2526ps%253D13740610%2526shp%253Dd05b14bd%2526shcp%253D34ff8df6%2526idc%253Dmy2%2526s%253DTIKTOK_AFFILIATE_VIRAL_VIDEO%22%2C%22placeholder_product_id%22%3A%221729427766722726591%22%2C%22placeholder_video_id%22%3A%227632848222351920391%22%7D&amp;ec_shared_reflux_scene=shop_tab_feed&amp;share_item_id=7632848222351920391&amp;source=h5_t</v>
      </c>
      <c r="K1347" s="470" t="str">
        <f>IFERROR(__xludf.DUMMYFUNCTION("""COMPUTED_VALUE"""),"KIMME")</f>
        <v>KIMME</v>
      </c>
      <c r="L1347" s="471" t="str">
        <f>IFERROR(__xludf.DUMMYFUNCTION("""COMPUTED_VALUE"""),"https://www.tiktok.com/@xe4n008/video/7635990437055974663?_r=1&amp;u_code=dk1933c941ebc0&amp;region=&amp;mid=6792098716036630530&amp;preview_pb=0&amp;sharer_language=&amp;_d=0&amp;ec_shared_reflux_dynamic_params=%7B%22placeholder_material_id%22%3A%227635990437055974663%22%2C%22place"&amp;"holder_origin_cover%22%3A%22https%253A%252F%252Fp16-common-sign.tiktokcdn.com%252Ftos-alisg-p-0037%252FoAtwlFA8eAg1Kd3uCGjToNCYfID4LIfUnP8gEM~tplv-tiktokx-origin.jpeg%253Fdr%253D14572%2526refresh_token%253Dc094ebe4%2526x-expires%253D1809507600%2526x-signa"&amp;"ture%253DZARam110EeK%25252Biqd4C1fiAKifXCs%25253D%2526t%253D4d5b0474%2526ps%253D13740610%2526shp%253Dd05b14bd%2526shcp%253D34ff8df6%2526idc%253Dmy%2526s%253DTIKTOK_AFFILIATE_VIRAL_VIDEO%22%2C%22placeholder_product_id%22%3A%221729427766722726591%22%2C%22pl"&amp;"aceholder_video_id%22%3A%227635990437055974663%22%7D&amp;ec_shared_reflux_scene=shop_tab_feed&amp;share_item_id=7635990437055974663&amp;source=h5_t")</f>
        <v>https://www.tiktok.com/@xe4n008/video/7635990437055974663?_r=1&amp;u_code=dk1933c941ebc0&amp;region=&amp;mid=6792098716036630530&amp;preview_pb=0&amp;sharer_language=&amp;_d=0&amp;ec_shared_reflux_dynamic_params=%7B%22placeholder_material_id%22%3A%227635990437055974663%22%2C%22placeholder_origin_cover%22%3A%22https%253A%252F%252Fp16-common-sign.tiktokcdn.com%252Ftos-alisg-p-0037%252FoAtwlFA8eAg1Kd3uCGjToNCYfID4LIfUnP8gEM~tplv-tiktokx-origin.jpeg%253Fdr%253D14572%2526refresh_token%253Dc094ebe4%2526x-expires%253D1809507600%2526x-signature%253DZARam110EeK%25252Biqd4C1fiAKifXCs%25253D%2526t%253D4d5b0474%2526ps%253D13740610%2526shp%253Dd05b14bd%2526shcp%253D34ff8df6%2526idc%253Dmy%2526s%253DTIKTOK_AFFILIATE_VIRAL_VIDEO%22%2C%22placeholder_product_id%22%3A%221729427766722726591%22%2C%22placeholder_video_id%22%3A%227635990437055974663%22%7D&amp;ec_shared_reflux_scene=shop_tab_feed&amp;share_item_id=7635990437055974663&amp;source=h5_t</v>
      </c>
      <c r="M1347" s="470"/>
      <c r="N1347" s="471" t="str">
        <f>IFERROR(__xludf.DUMMYFUNCTION("""COMPUTED_VALUE"""),"https://vt.tiktok.com/ZS9KTSXMD/")</f>
        <v>https://vt.tiktok.com/ZS9KTSXMD/</v>
      </c>
      <c r="O1347" s="470"/>
      <c r="P1347" s="471" t="str">
        <f>IFERROR(__xludf.DUMMYFUNCTION("""COMPUTED_VALUE"""),"https://vt.tiktok.com/ZS9KTRdgA/")</f>
        <v>https://vt.tiktok.com/ZS9KTRdgA/</v>
      </c>
    </row>
    <row r="1348">
      <c r="A1348" s="282" t="str">
        <f>IFERROR(__xludf.DUMMYFUNCTION("""COMPUTED_VALUE"""),"MICRO")</f>
        <v>MICRO</v>
      </c>
      <c r="B1348" s="468" t="str">
        <f>IFERROR(__xludf.DUMMYFUNCTION("""COMPUTED_VALUE"""),"Megarizki09 ")</f>
        <v>Megarizki09 </v>
      </c>
      <c r="C1348" s="283" t="str">
        <f>IFERROR(__xludf.DUMMYFUNCTION("""COMPUTED_VALUE"""),"https://www.tiktok.com/@Megarizki09 ")</f>
        <v>https://www.tiktok.com/@Megarizki09 </v>
      </c>
      <c r="D1348" s="273">
        <f>IFERROR(__xludf.DUMMYFUNCTION("""COMPUTED_VALUE"""),8.5235970468E10)</f>
        <v>85235970468</v>
      </c>
      <c r="E1348" s="458">
        <f>IFERROR(__xludf.DUMMYFUNCTION("""COMPUTED_VALUE"""),0.0)</f>
        <v>0</v>
      </c>
      <c r="F1348" s="273">
        <f>IFERROR(__xludf.DUMMYFUNCTION("""COMPUTED_VALUE"""),4.0)</f>
        <v>4</v>
      </c>
      <c r="G1348" t="str">
        <f>IFERROR(__xludf.DUMMYFUNCTION("""COMPUTED_VALUE"""),"Sabun batang 1 Box ( 2 PCS )")</f>
        <v>Sabun batang 1 Box ( 2 PCS )</v>
      </c>
      <c r="H1348" s="469" t="str">
        <f>IFERROR(__xludf.DUMMYFUNCTION("""COMPUTED_VALUE"""),"Sampai")</f>
        <v>Sampai</v>
      </c>
      <c r="I1348" s="470" t="str">
        <f>IFERROR(__xludf.DUMMYFUNCTION("""COMPUTED_VALUE"""),"KIMME")</f>
        <v>KIMME</v>
      </c>
      <c r="J1348" s="471" t="str">
        <f>IFERROR(__xludf.DUMMYFUNCTION("""COMPUTED_VALUE"""),"https://vt.tiktok.com/ZS9AjXs61/")</f>
        <v>https://vt.tiktok.com/ZS9AjXs61/</v>
      </c>
      <c r="K1348" s="470" t="str">
        <f>IFERROR(__xludf.DUMMYFUNCTION("""COMPUTED_VALUE"""),"KIMME")</f>
        <v>KIMME</v>
      </c>
      <c r="L1348" s="471" t="str">
        <f>IFERROR(__xludf.DUMMYFUNCTION("""COMPUTED_VALUE"""),"https://www.tiktok.com/@megarizki09/video/7633453660579613959?_d=0&amp;_r=1&amp;ec_shared_reflux_dynamic_params=%7B%22placeholder_material_id%22%3A%227633453660579613959%22%2C%22placeholder_origin_cover%22%3A%22https%253A%252F%252Fp16-common-sign.tiktokcdn.com%25"&amp;"2Ftos-alisg-p-0037%252FoI4beAaFdwLBzgAnevu4GFAjeexZ45BZGjYvRX~tplv-tiktokx-origin.jpeg%253Fdr%253D14572%2526refresh_token%253D78ae5b40%2526x-expires%253D1808992800%2526x-signature%253DtFYjDS9ZUl3ExJvQVVTMtsh0Udo%25253D%2526t%253D4d5b0474%2526ps%253D137406"&amp;"10%2526shp%253Dd05b14bd%2526shcp%253D34ff8df6%2526idc%253Dmy2%2526s%253DTIKTOK_AFFILIATE_VIRAL_VIDEO%22%2C%22placeholder_product_id%22%3A%221729427766722726591%22%2C%22placeholder_video_id%22%3A%227633453660579613959%22%7D&amp;ec_shared_reflux_scene=shop_tab_"&amp;"feed&amp;mid=7633453690825394965&amp;preview_pb=0&amp;region=&amp;share_item_id=7633453660579613959&amp;sharer_language=&amp;source=h5_t&amp;u_code=dh0mmfl12gcecj")</f>
        <v>https://www.tiktok.com/@megarizki09/video/7633453660579613959?_d=0&amp;_r=1&amp;ec_shared_reflux_dynamic_params=%7B%22placeholder_material_id%22%3A%227633453660579613959%22%2C%22placeholder_origin_cover%22%3A%22https%253A%252F%252Fp16-common-sign.tiktokcdn.com%252Ftos-alisg-p-0037%252FoI4beAaFdwLBzgAnevu4GFAjeexZ45BZGjYvRX~tplv-tiktokx-origin.jpeg%253Fdr%253D14572%2526refresh_token%253D78ae5b40%2526x-expires%253D1808992800%2526x-signature%253DtFYjDS9ZUl3ExJvQVVTMtsh0Udo%25253D%2526t%253D4d5b0474%2526ps%253D13740610%2526shp%253Dd05b14bd%2526shcp%253D34ff8df6%2526idc%253Dmy2%2526s%253DTIKTOK_AFFILIATE_VIRAL_VIDEO%22%2C%22placeholder_product_id%22%3A%221729427766722726591%22%2C%22placeholder_video_id%22%3A%227633453660579613959%22%7D&amp;ec_shared_reflux_scene=shop_tab_feed&amp;mid=7633453690825394965&amp;preview_pb=0&amp;region=&amp;share_item_id=7633453660579613959&amp;sharer_language=&amp;source=h5_t&amp;u_code=dh0mmfl12gcecj</v>
      </c>
      <c r="M1348" s="470"/>
      <c r="N1348" s="471" t="str">
        <f>IFERROR(__xludf.DUMMYFUNCTION("""COMPUTED_VALUE"""),"https://vt.tiktok.com/ZS9fCQdFs/")</f>
        <v>https://vt.tiktok.com/ZS9fCQdFs/</v>
      </c>
      <c r="O1348" s="470"/>
      <c r="P1348" s="471" t="str">
        <f>IFERROR(__xludf.DUMMYFUNCTION("""COMPUTED_VALUE"""),"https://vt.tiktok.com/ZSxmsFdVt/")</f>
        <v>https://vt.tiktok.com/ZSxmsFdVt/</v>
      </c>
    </row>
    <row r="1349">
      <c r="A1349" s="282" t="str">
        <f>IFERROR(__xludf.DUMMYFUNCTION("""COMPUTED_VALUE"""),"MICRO")</f>
        <v>MICRO</v>
      </c>
      <c r="B1349" s="468" t="str">
        <f>IFERROR(__xludf.DUMMYFUNCTION("""COMPUTED_VALUE"""),"_allaboutrafa_")</f>
        <v>_allaboutrafa_</v>
      </c>
      <c r="C1349" s="283" t="str">
        <f>IFERROR(__xludf.DUMMYFUNCTION("""COMPUTED_VALUE"""),"https://www.tiktok.com/@_allaboutrafa_")</f>
        <v>https://www.tiktok.com/@_allaboutrafa_</v>
      </c>
      <c r="D1349" s="273">
        <f>IFERROR(__xludf.DUMMYFUNCTION("""COMPUTED_VALUE"""),8.1168297E9)</f>
        <v>8116829700</v>
      </c>
      <c r="E1349" s="458">
        <f>IFERROR(__xludf.DUMMYFUNCTION("""COMPUTED_VALUE"""),0.0)</f>
        <v>0</v>
      </c>
      <c r="F1349" s="273">
        <f>IFERROR(__xludf.DUMMYFUNCTION("""COMPUTED_VALUE"""),4.0)</f>
        <v>4</v>
      </c>
      <c r="G1349" t="str">
        <f>IFERROR(__xludf.DUMMYFUNCTION("""COMPUTED_VALUE"""),"Sabun batang 1 Box ( 2 PCS )")</f>
        <v>Sabun batang 1 Box ( 2 PCS )</v>
      </c>
      <c r="H1349" s="469" t="str">
        <f>IFERROR(__xludf.DUMMYFUNCTION("""COMPUTED_VALUE"""),"Sampai")</f>
        <v>Sampai</v>
      </c>
      <c r="I1349" s="470" t="str">
        <f>IFERROR(__xludf.DUMMYFUNCTION("""COMPUTED_VALUE"""),"KIMME")</f>
        <v>KIMME</v>
      </c>
      <c r="J1349" s="471" t="str">
        <f>IFERROR(__xludf.DUMMYFUNCTION("""COMPUTED_VALUE"""),"https://vt.tiktok.com/ZSxbBTGgW/")</f>
        <v>https://vt.tiktok.com/ZSxbBTGgW/</v>
      </c>
      <c r="K1349" s="470" t="str">
        <f>IFERROR(__xludf.DUMMYFUNCTION("""COMPUTED_VALUE"""),"KIMME")</f>
        <v>KIMME</v>
      </c>
      <c r="L1349" s="471" t="str">
        <f>IFERROR(__xludf.DUMMYFUNCTION("""COMPUTED_VALUE"""),"https://vt.tiktok.com/ZSxbBVmes/")</f>
        <v>https://vt.tiktok.com/ZSxbBVmes/</v>
      </c>
      <c r="M1349" s="470"/>
      <c r="N1349" s="471" t="str">
        <f>IFERROR(__xludf.DUMMYFUNCTION("""COMPUTED_VALUE"""),"https://vt.tiktok.com/ZSxbBvH9b/")</f>
        <v>https://vt.tiktok.com/ZSxbBvH9b/</v>
      </c>
      <c r="O1349" s="470"/>
      <c r="P1349" s="471" t="str">
        <f>IFERROR(__xludf.DUMMYFUNCTION("""COMPUTED_VALUE"""),"https://vt.tiktok.com/ZSxbBp9WC/")</f>
        <v>https://vt.tiktok.com/ZSxbBp9WC/</v>
      </c>
    </row>
    <row r="1350">
      <c r="A1350" s="282" t="str">
        <f>IFERROR(__xludf.DUMMYFUNCTION("""COMPUTED_VALUE"""),"MICRO")</f>
        <v>MICRO</v>
      </c>
      <c r="B1350" s="468" t="str">
        <f>IFERROR(__xludf.DUMMYFUNCTION("""COMPUTED_VALUE"""),"riznachany")</f>
        <v>riznachany</v>
      </c>
      <c r="C1350" s="283" t="str">
        <f>IFERROR(__xludf.DUMMYFUNCTION("""COMPUTED_VALUE"""),"https://www.tiktok.com/@riznachany")</f>
        <v>https://www.tiktok.com/@riznachany</v>
      </c>
      <c r="D1350" s="273">
        <f>IFERROR(__xludf.DUMMYFUNCTION("""COMPUTED_VALUE"""),8.2376403646E10)</f>
        <v>82376403646</v>
      </c>
      <c r="E1350" s="458">
        <f>IFERROR(__xludf.DUMMYFUNCTION("""COMPUTED_VALUE"""),0.0)</f>
        <v>0</v>
      </c>
      <c r="F1350" s="273">
        <f>IFERROR(__xludf.DUMMYFUNCTION("""COMPUTED_VALUE"""),4.0)</f>
        <v>4</v>
      </c>
      <c r="G1350" t="str">
        <f>IFERROR(__xludf.DUMMYFUNCTION("""COMPUTED_VALUE"""),"Sabun batang 1 Box ( 2 PCS )")</f>
        <v>Sabun batang 1 Box ( 2 PCS )</v>
      </c>
      <c r="H1350" s="469" t="str">
        <f>IFERROR(__xludf.DUMMYFUNCTION("""COMPUTED_VALUE"""),"Sampai")</f>
        <v>Sampai</v>
      </c>
      <c r="I1350" s="470" t="str">
        <f>IFERROR(__xludf.DUMMYFUNCTION("""COMPUTED_VALUE"""),"KIMME")</f>
        <v>KIMME</v>
      </c>
      <c r="J1350" s="471" t="str">
        <f>IFERROR(__xludf.DUMMYFUNCTION("""COMPUTED_VALUE"""),"https://vt.tiktok.com/ZSxbBtgf4/")</f>
        <v>https://vt.tiktok.com/ZSxbBtgf4/</v>
      </c>
      <c r="K1350" s="470" t="str">
        <f>IFERROR(__xludf.DUMMYFUNCTION("""COMPUTED_VALUE"""),"KIMME")</f>
        <v>KIMME</v>
      </c>
      <c r="L1350" s="471" t="str">
        <f>IFERROR(__xludf.DUMMYFUNCTION("""COMPUTED_VALUE"""),"https://vt.tiktok.com/ZSxbBxWBd/")</f>
        <v>https://vt.tiktok.com/ZSxbBxWBd/</v>
      </c>
      <c r="M1350" s="470"/>
      <c r="N1350" s="471" t="str">
        <f>IFERROR(__xludf.DUMMYFUNCTION("""COMPUTED_VALUE"""),"https://vt.tiktok.com/ZSxbBTra7/")</f>
        <v>https://vt.tiktok.com/ZSxbBTra7/</v>
      </c>
      <c r="O1350" s="470"/>
      <c r="P1350" s="471" t="str">
        <f>IFERROR(__xludf.DUMMYFUNCTION("""COMPUTED_VALUE"""),"https://vt.tiktok.com/ZSxbBqa6t/")</f>
        <v>https://vt.tiktok.com/ZSxbBqa6t/</v>
      </c>
    </row>
    <row r="1351">
      <c r="A1351" s="282" t="str">
        <f>IFERROR(__xludf.DUMMYFUNCTION("""COMPUTED_VALUE"""),"MICRO")</f>
        <v>MICRO</v>
      </c>
      <c r="B1351" s="468" t="str">
        <f>IFERROR(__xludf.DUMMYFUNCTION("""COMPUTED_VALUE"""),"Baby.joy")</f>
        <v>Baby.joy</v>
      </c>
      <c r="C1351" s="283" t="str">
        <f>IFERROR(__xludf.DUMMYFUNCTION("""COMPUTED_VALUE"""),"https://www.tiktok.com/@Baby.joy")</f>
        <v>https://www.tiktok.com/@Baby.joy</v>
      </c>
      <c r="D1351" s="273">
        <f>IFERROR(__xludf.DUMMYFUNCTION("""COMPUTED_VALUE"""),8.95323760128E11)</f>
        <v>895323760128</v>
      </c>
      <c r="E1351" s="458">
        <f>IFERROR(__xludf.DUMMYFUNCTION("""COMPUTED_VALUE"""),0.0)</f>
        <v>0</v>
      </c>
      <c r="F1351" s="273">
        <f>IFERROR(__xludf.DUMMYFUNCTION("""COMPUTED_VALUE"""),4.0)</f>
        <v>4</v>
      </c>
      <c r="G1351" t="str">
        <f>IFERROR(__xludf.DUMMYFUNCTION("""COMPUTED_VALUE"""),"Sabun batang 1 Box ( 2 PCS )")</f>
        <v>Sabun batang 1 Box ( 2 PCS )</v>
      </c>
      <c r="H1351" s="469" t="str">
        <f>IFERROR(__xludf.DUMMYFUNCTION("""COMPUTED_VALUE"""),"Sampai")</f>
        <v>Sampai</v>
      </c>
      <c r="I1351" s="470" t="str">
        <f>IFERROR(__xludf.DUMMYFUNCTION("""COMPUTED_VALUE"""),"KIMME")</f>
        <v>KIMME</v>
      </c>
      <c r="J1351" s="471" t="str">
        <f>IFERROR(__xludf.DUMMYFUNCTION("""COMPUTED_VALUE"""),"https://vt.tiktok.com/ZSxbBCaGH/")</f>
        <v>https://vt.tiktok.com/ZSxbBCaGH/</v>
      </c>
      <c r="K1351" s="470" t="str">
        <f>IFERROR(__xludf.DUMMYFUNCTION("""COMPUTED_VALUE"""),"KIMME")</f>
        <v>KIMME</v>
      </c>
      <c r="L1351" s="471" t="str">
        <f>IFERROR(__xludf.DUMMYFUNCTION("""COMPUTED_VALUE"""),"https://vt.tiktok.com/ZSxbBguNs/")</f>
        <v>https://vt.tiktok.com/ZSxbBguNs/</v>
      </c>
      <c r="M1351" s="470"/>
      <c r="N1351" s="471" t="str">
        <f>IFERROR(__xludf.DUMMYFUNCTION("""COMPUTED_VALUE"""),"https://vt.tiktok.com/ZSxpt55Hx/")</f>
        <v>https://vt.tiktok.com/ZSxpt55Hx/</v>
      </c>
      <c r="O1351" s="470"/>
      <c r="P1351" s="471" t="str">
        <f>IFERROR(__xludf.DUMMYFUNCTION("""COMPUTED_VALUE"""),"https://vt.tiktok.com/ZSxp8M5Kq/")</f>
        <v>https://vt.tiktok.com/ZSxp8M5Kq/</v>
      </c>
    </row>
    <row r="1352">
      <c r="A1352" s="282" t="str">
        <f>IFERROR(__xludf.DUMMYFUNCTION("""COMPUTED_VALUE"""),"MICRO")</f>
        <v>MICRO</v>
      </c>
      <c r="B1352" s="468" t="str">
        <f>IFERROR(__xludf.DUMMYFUNCTION("""COMPUTED_VALUE"""),"Harithdanmamacii")</f>
        <v>Harithdanmamacii</v>
      </c>
      <c r="C1352" s="283" t="str">
        <f>IFERROR(__xludf.DUMMYFUNCTION("""COMPUTED_VALUE"""),"https://www.tiktok.com/@Harithdanmamacii")</f>
        <v>https://www.tiktok.com/@Harithdanmamacii</v>
      </c>
      <c r="D1352" s="273">
        <f>IFERROR(__xludf.DUMMYFUNCTION("""COMPUTED_VALUE"""),8.95619961188E11)</f>
        <v>895619961188</v>
      </c>
      <c r="E1352" s="458">
        <f>IFERROR(__xludf.DUMMYFUNCTION("""COMPUTED_VALUE"""),0.0)</f>
        <v>0</v>
      </c>
      <c r="F1352" s="273">
        <f>IFERROR(__xludf.DUMMYFUNCTION("""COMPUTED_VALUE"""),4.0)</f>
        <v>4</v>
      </c>
      <c r="G1352" t="str">
        <f>IFERROR(__xludf.DUMMYFUNCTION("""COMPUTED_VALUE"""),"Sabun batang 1 Box ( 2 PCS )")</f>
        <v>Sabun batang 1 Box ( 2 PCS )</v>
      </c>
      <c r="H1352" s="469" t="str">
        <f>IFERROR(__xludf.DUMMYFUNCTION("""COMPUTED_VALUE"""),"Sampai")</f>
        <v>Sampai</v>
      </c>
      <c r="I1352" s="470" t="str">
        <f>IFERROR(__xludf.DUMMYFUNCTION("""COMPUTED_VALUE"""),"KIMME")</f>
        <v>KIMME</v>
      </c>
      <c r="J1352" s="471" t="str">
        <f>IFERROR(__xludf.DUMMYFUNCTION("""COMPUTED_VALUE"""),"https://vt.tiktok.com/ZSxubsy8K/")</f>
        <v>https://vt.tiktok.com/ZSxubsy8K/</v>
      </c>
      <c r="K1352" s="470" t="str">
        <f>IFERROR(__xludf.DUMMYFUNCTION("""COMPUTED_VALUE"""),"KIMME")</f>
        <v>KIMME</v>
      </c>
      <c r="L1352" s="471" t="str">
        <f>IFERROR(__xludf.DUMMYFUNCTION("""COMPUTED_VALUE"""),"https://vt.tiktok.com/ZSxug1bNP/")</f>
        <v>https://vt.tiktok.com/ZSxug1bNP/</v>
      </c>
      <c r="M1352" s="470"/>
      <c r="N1352" s="471" t="str">
        <f>IFERROR(__xludf.DUMMYFUNCTION("""COMPUTED_VALUE"""),"https://vt.tiktok.com/ZSxugJL3j/")</f>
        <v>https://vt.tiktok.com/ZSxugJL3j/</v>
      </c>
      <c r="O1352" s="470"/>
      <c r="P1352" s="471" t="str">
        <f>IFERROR(__xludf.DUMMYFUNCTION("""COMPUTED_VALUE"""),"https://vt.tiktok.com/ZSxub4CVL/")</f>
        <v>https://vt.tiktok.com/ZSxub4CVL/</v>
      </c>
    </row>
    <row r="1353">
      <c r="A1353" s="282" t="str">
        <f>IFERROR(__xludf.DUMMYFUNCTION("""COMPUTED_VALUE"""),"MICRO")</f>
        <v>MICRO</v>
      </c>
      <c r="B1353" s="468" t="str">
        <f>IFERROR(__xludf.DUMMYFUNCTION("""COMPUTED_VALUE"""),"me.annii")</f>
        <v>me.annii</v>
      </c>
      <c r="C1353" s="283" t="str">
        <f>IFERROR(__xludf.DUMMYFUNCTION("""COMPUTED_VALUE"""),"https://www.tiktok.com/@me.annii")</f>
        <v>https://www.tiktok.com/@me.annii</v>
      </c>
      <c r="D1353" s="273">
        <f>IFERROR(__xludf.DUMMYFUNCTION("""COMPUTED_VALUE"""),8.575583788E10)</f>
        <v>85755837880</v>
      </c>
      <c r="E1353" s="458">
        <f>IFERROR(__xludf.DUMMYFUNCTION("""COMPUTED_VALUE"""),0.0)</f>
        <v>0</v>
      </c>
      <c r="F1353" s="273">
        <f>IFERROR(__xludf.DUMMYFUNCTION("""COMPUTED_VALUE"""),4.0)</f>
        <v>4</v>
      </c>
      <c r="G1353" t="str">
        <f>IFERROR(__xludf.DUMMYFUNCTION("""COMPUTED_VALUE"""),"Sabun batang 1 Box ( 2 PCS )")</f>
        <v>Sabun batang 1 Box ( 2 PCS )</v>
      </c>
      <c r="H1353" s="469" t="str">
        <f>IFERROR(__xludf.DUMMYFUNCTION("""COMPUTED_VALUE"""),"Sampai")</f>
        <v>Sampai</v>
      </c>
      <c r="I1353" s="470" t="str">
        <f>IFERROR(__xludf.DUMMYFUNCTION("""COMPUTED_VALUE"""),"KIMME")</f>
        <v>KIMME</v>
      </c>
      <c r="J1353" s="471" t="str">
        <f>IFERROR(__xludf.DUMMYFUNCTION("""COMPUTED_VALUE"""),"https://vt.tiktok.com/ZSxp8MLnp/")</f>
        <v>https://vt.tiktok.com/ZSxp8MLnp/</v>
      </c>
      <c r="K1353" s="470" t="str">
        <f>IFERROR(__xludf.DUMMYFUNCTION("""COMPUTED_VALUE"""),"KIMME")</f>
        <v>KIMME</v>
      </c>
      <c r="L1353" s="471" t="str">
        <f>IFERROR(__xludf.DUMMYFUNCTION("""COMPUTED_VALUE"""),"https://vt.tiktok.com/ZSxp84tnU/")</f>
        <v>https://vt.tiktok.com/ZSxp84tnU/</v>
      </c>
      <c r="M1353" s="470"/>
      <c r="N1353" s="471" t="str">
        <f>IFERROR(__xludf.DUMMYFUNCTION("""COMPUTED_VALUE"""),"https://vt.tiktok.com/ZSxp84om3/")</f>
        <v>https://vt.tiktok.com/ZSxp84om3/</v>
      </c>
      <c r="O1353" s="470"/>
      <c r="P1353" s="471" t="str">
        <f>IFERROR(__xludf.DUMMYFUNCTION("""COMPUTED_VALUE"""),"https://vt.tiktok.com/ZSxp8avgt/")</f>
        <v>https://vt.tiktok.com/ZSxp8avgt/</v>
      </c>
    </row>
    <row r="1354">
      <c r="A1354" s="282" t="str">
        <f>IFERROR(__xludf.DUMMYFUNCTION("""COMPUTED_VALUE"""),"MICRO")</f>
        <v>MICRO</v>
      </c>
      <c r="B1354" s="468" t="str">
        <f>IFERROR(__xludf.DUMMYFUNCTION("""COMPUTED_VALUE"""),"callme_njani")</f>
        <v>callme_njani</v>
      </c>
      <c r="C1354" s="283" t="str">
        <f>IFERROR(__xludf.DUMMYFUNCTION("""COMPUTED_VALUE"""),"https://www.tiktok.com/@callme_njani")</f>
        <v>https://www.tiktok.com/@callme_njani</v>
      </c>
      <c r="D1354" s="273">
        <f>IFERROR(__xludf.DUMMYFUNCTION("""COMPUTED_VALUE"""),8.9526068331E10)</f>
        <v>89526068331</v>
      </c>
      <c r="E1354" s="458">
        <f>IFERROR(__xludf.DUMMYFUNCTION("""COMPUTED_VALUE"""),0.0)</f>
        <v>0</v>
      </c>
      <c r="F1354" s="273">
        <f>IFERROR(__xludf.DUMMYFUNCTION("""COMPUTED_VALUE"""),4.0)</f>
        <v>4</v>
      </c>
      <c r="G1354" t="str">
        <f>IFERROR(__xludf.DUMMYFUNCTION("""COMPUTED_VALUE"""),"Sabun batang 1 Box ( 2 PCS )")</f>
        <v>Sabun batang 1 Box ( 2 PCS )</v>
      </c>
      <c r="H1354" s="469" t="str">
        <f>IFERROR(__xludf.DUMMYFUNCTION("""COMPUTED_VALUE"""),"Sampai")</f>
        <v>Sampai</v>
      </c>
      <c r="I1354" s="470" t="str">
        <f>IFERROR(__xludf.DUMMYFUNCTION("""COMPUTED_VALUE"""),"KIMME")</f>
        <v>KIMME</v>
      </c>
      <c r="J1354" s="471" t="str">
        <f>IFERROR(__xludf.DUMMYFUNCTION("""COMPUTED_VALUE"""),"https://vt.tiktok.com/ZSxp8yfmC/")</f>
        <v>https://vt.tiktok.com/ZSxp8yfmC/</v>
      </c>
      <c r="K1354" s="470" t="str">
        <f>IFERROR(__xludf.DUMMYFUNCTION("""COMPUTED_VALUE"""),"KIMME")</f>
        <v>KIMME</v>
      </c>
      <c r="L1354" s="471" t="str">
        <f>IFERROR(__xludf.DUMMYFUNCTION("""COMPUTED_VALUE"""),"https://vt.tiktok.com/ZSxp8kFUD/")</f>
        <v>https://vt.tiktok.com/ZSxp8kFUD/</v>
      </c>
      <c r="M1354" s="470"/>
      <c r="N1354" s="471" t="str">
        <f>IFERROR(__xludf.DUMMYFUNCTION("""COMPUTED_VALUE"""),"https://vt.tiktok.com/ZSxGj9j7c/")</f>
        <v>https://vt.tiktok.com/ZSxGj9j7c/</v>
      </c>
      <c r="O1354" s="470"/>
      <c r="P1354" s="471" t="str">
        <f>IFERROR(__xludf.DUMMYFUNCTION("""COMPUTED_VALUE"""),"https://vt.tiktok.com/ZSxG6Rpc4/")</f>
        <v>https://vt.tiktok.com/ZSxG6Rpc4/</v>
      </c>
    </row>
    <row r="1355">
      <c r="A1355" s="282" t="str">
        <f>IFERROR(__xludf.DUMMYFUNCTION("""COMPUTED_VALUE"""),"MICRO")</f>
        <v>MICRO</v>
      </c>
      <c r="B1355" s="468" t="str">
        <f>IFERROR(__xludf.DUMMYFUNCTION("""COMPUTED_VALUE"""),"dewy_arviandita")</f>
        <v>dewy_arviandita</v>
      </c>
      <c r="C1355" s="283" t="str">
        <f>IFERROR(__xludf.DUMMYFUNCTION("""COMPUTED_VALUE"""),"https://www.tiktok.com/@dewy_arviandita")</f>
        <v>https://www.tiktok.com/@dewy_arviandita</v>
      </c>
      <c r="D1355" s="273">
        <f>IFERROR(__xludf.DUMMYFUNCTION("""COMPUTED_VALUE"""),8.2154249802E10)</f>
        <v>82154249802</v>
      </c>
      <c r="E1355" s="458">
        <f>IFERROR(__xludf.DUMMYFUNCTION("""COMPUTED_VALUE"""),0.0)</f>
        <v>0</v>
      </c>
      <c r="F1355" s="273">
        <f>IFERROR(__xludf.DUMMYFUNCTION("""COMPUTED_VALUE"""),4.0)</f>
        <v>4</v>
      </c>
      <c r="G1355" t="str">
        <f>IFERROR(__xludf.DUMMYFUNCTION("""COMPUTED_VALUE"""),"Sabun batang 1 Box ( 2 PCS )")</f>
        <v>Sabun batang 1 Box ( 2 PCS )</v>
      </c>
      <c r="H1355" s="469" t="str">
        <f>IFERROR(__xludf.DUMMYFUNCTION("""COMPUTED_VALUE"""),"Sampai")</f>
        <v>Sampai</v>
      </c>
      <c r="I1355" s="470" t="str">
        <f>IFERROR(__xludf.DUMMYFUNCTION("""COMPUTED_VALUE"""),"KIMME")</f>
        <v>KIMME</v>
      </c>
      <c r="J1355" s="471" t="str">
        <f>IFERROR(__xludf.DUMMYFUNCTION("""COMPUTED_VALUE"""),"https://vt.tiktok.com/ZSxubp5QB/")</f>
        <v>https://vt.tiktok.com/ZSxubp5QB/</v>
      </c>
      <c r="K1355" s="470" t="str">
        <f>IFERROR(__xludf.DUMMYFUNCTION("""COMPUTED_VALUE"""),"KIMME")</f>
        <v>KIMME</v>
      </c>
      <c r="L1355" s="471" t="str">
        <f>IFERROR(__xludf.DUMMYFUNCTION("""COMPUTED_VALUE"""),"https://vt.tiktok.com/ZSxubbwhV/")</f>
        <v>https://vt.tiktok.com/ZSxubbwhV/</v>
      </c>
      <c r="M1355" s="470"/>
      <c r="N1355" s="471" t="str">
        <f>IFERROR(__xludf.DUMMYFUNCTION("""COMPUTED_VALUE"""),"https://vt.tiktok.com/ZSxubsaAL/")</f>
        <v>https://vt.tiktok.com/ZSxubsaAL/</v>
      </c>
      <c r="O1355" s="470"/>
      <c r="P1355" s="471" t="str">
        <f>IFERROR(__xludf.DUMMYFUNCTION("""COMPUTED_VALUE"""),"https://vt.tiktok.com/ZSxubnWSw/")</f>
        <v>https://vt.tiktok.com/ZSxubnWSw/</v>
      </c>
    </row>
    <row r="1356">
      <c r="A1356" s="282" t="str">
        <f>IFERROR(__xludf.DUMMYFUNCTION("""COMPUTED_VALUE"""),"MICRO")</f>
        <v>MICRO</v>
      </c>
      <c r="B1356" s="468" t="str">
        <f>IFERROR(__xludf.DUMMYFUNCTION("""COMPUTED_VALUE"""),"bylutvii")</f>
        <v>bylutvii</v>
      </c>
      <c r="C1356" s="283" t="str">
        <f>IFERROR(__xludf.DUMMYFUNCTION("""COMPUTED_VALUE"""),"https://www.tiktok.com/@bylutvii")</f>
        <v>https://www.tiktok.com/@bylutvii</v>
      </c>
      <c r="D1356" s="273">
        <f>IFERROR(__xludf.DUMMYFUNCTION("""COMPUTED_VALUE"""),8.8971667955E10)</f>
        <v>88971667955</v>
      </c>
      <c r="E1356" s="458">
        <f>IFERROR(__xludf.DUMMYFUNCTION("""COMPUTED_VALUE"""),0.0)</f>
        <v>0</v>
      </c>
      <c r="F1356" s="273">
        <f>IFERROR(__xludf.DUMMYFUNCTION("""COMPUTED_VALUE"""),2.0)</f>
        <v>2</v>
      </c>
      <c r="G1356" t="str">
        <f>IFERROR(__xludf.DUMMYFUNCTION("""COMPUTED_VALUE"""),"Sabun batang 1 Box ( 2 PCS )")</f>
        <v>Sabun batang 1 Box ( 2 PCS )</v>
      </c>
      <c r="H1356" s="469" t="str">
        <f>IFERROR(__xludf.DUMMYFUNCTION("""COMPUTED_VALUE"""),"Sampai")</f>
        <v>Sampai</v>
      </c>
      <c r="I1356" s="470" t="str">
        <f>IFERROR(__xludf.DUMMYFUNCTION("""COMPUTED_VALUE"""),"KIMME")</f>
        <v>KIMME</v>
      </c>
      <c r="J1356" s="471" t="str">
        <f>IFERROR(__xludf.DUMMYFUNCTION("""COMPUTED_VALUE"""),"https://vt.tiktok.com/ZS9UBXmyR/")</f>
        <v>https://vt.tiktok.com/ZS9UBXmyR/</v>
      </c>
      <c r="K1356" s="470" t="str">
        <f>IFERROR(__xludf.DUMMYFUNCTION("""COMPUTED_VALUE"""),"KIMME")</f>
        <v>KIMME</v>
      </c>
      <c r="L1356" s="471" t="str">
        <f>IFERROR(__xludf.DUMMYFUNCTION("""COMPUTED_VALUE"""),"https://vt.tiktok.com/ZS95VpC57/")</f>
        <v>https://vt.tiktok.com/ZS95VpC57/</v>
      </c>
      <c r="M1356" s="470"/>
      <c r="N1356" s="471" t="str">
        <f>IFERROR(__xludf.DUMMYFUNCTION("""COMPUTED_VALUE"""),"https://vt.tiktok.com/ZSxGjqPfn/")</f>
        <v>https://vt.tiktok.com/ZSxGjqPfn/</v>
      </c>
      <c r="O1356" s="470"/>
      <c r="P1356" s="471" t="str">
        <f>IFERROR(__xludf.DUMMYFUNCTION("""COMPUTED_VALUE"""),"https://vt.tiktok.com/ZSxGj7WTh/")</f>
        <v>https://vt.tiktok.com/ZSxGj7WTh/</v>
      </c>
    </row>
    <row r="1357">
      <c r="A1357" s="282" t="str">
        <f>IFERROR(__xludf.DUMMYFUNCTION("""COMPUTED_VALUE"""),"MICRO")</f>
        <v>MICRO</v>
      </c>
      <c r="B1357" s="468" t="str">
        <f>IFERROR(__xludf.DUMMYFUNCTION("""COMPUTED_VALUE"""),"sayawulan18")</f>
        <v>sayawulan18</v>
      </c>
      <c r="C1357" s="283" t="str">
        <f>IFERROR(__xludf.DUMMYFUNCTION("""COMPUTED_VALUE"""),"https://www.tiktok.com/@sayawulan18")</f>
        <v>https://www.tiktok.com/@sayawulan18</v>
      </c>
      <c r="D1357" s="273">
        <f>IFERROR(__xludf.DUMMYFUNCTION("""COMPUTED_VALUE"""),8.95640066133E11)</f>
        <v>895640066133</v>
      </c>
      <c r="E1357" s="458">
        <f>IFERROR(__xludf.DUMMYFUNCTION("""COMPUTED_VALUE"""),0.0)</f>
        <v>0</v>
      </c>
      <c r="F1357" s="273">
        <f>IFERROR(__xludf.DUMMYFUNCTION("""COMPUTED_VALUE"""),4.0)</f>
        <v>4</v>
      </c>
      <c r="G1357" t="str">
        <f>IFERROR(__xludf.DUMMYFUNCTION("""COMPUTED_VALUE"""),"Sabun batang 1 Box ( 2 PCS )")</f>
        <v>Sabun batang 1 Box ( 2 PCS )</v>
      </c>
      <c r="H1357" s="469" t="str">
        <f>IFERROR(__xludf.DUMMYFUNCTION("""COMPUTED_VALUE"""),"Sampai")</f>
        <v>Sampai</v>
      </c>
      <c r="I1357" s="470" t="str">
        <f>IFERROR(__xludf.DUMMYFUNCTION("""COMPUTED_VALUE"""),"KIMME")</f>
        <v>KIMME</v>
      </c>
      <c r="J1357" s="471" t="str">
        <f>IFERROR(__xludf.DUMMYFUNCTION("""COMPUTED_VALUE"""),"https://vt.tiktok.com/ZSxGjGuAr/")</f>
        <v>https://vt.tiktok.com/ZSxGjGuAr/</v>
      </c>
      <c r="K1357" s="470" t="str">
        <f>IFERROR(__xludf.DUMMYFUNCTION("""COMPUTED_VALUE"""),"KIMME")</f>
        <v>KIMME</v>
      </c>
      <c r="L1357" s="471" t="str">
        <f>IFERROR(__xludf.DUMMYFUNCTION("""COMPUTED_VALUE"""),"https://vt.tiktok.com/ZSxG6NUMY/")</f>
        <v>https://vt.tiktok.com/ZSxG6NUMY/</v>
      </c>
      <c r="M1357" s="470"/>
      <c r="N1357" s="471" t="str">
        <f>IFERROR(__xludf.DUMMYFUNCTION("""COMPUTED_VALUE"""),"https://vt.tiktok.com/ZSxG6LyWt/")</f>
        <v>https://vt.tiktok.com/ZSxG6LyWt/</v>
      </c>
      <c r="O1357" s="470"/>
      <c r="P1357" s="471" t="str">
        <f>IFERROR(__xludf.DUMMYFUNCTION("""COMPUTED_VALUE"""),"https://vt.tiktok.com/ZSxWfjgXD/")</f>
        <v>https://vt.tiktok.com/ZSxWfjgXD/</v>
      </c>
    </row>
    <row r="1358">
      <c r="A1358" s="282" t="str">
        <f>IFERROR(__xludf.DUMMYFUNCTION("""COMPUTED_VALUE"""),"MICRO")</f>
        <v>MICRO</v>
      </c>
      <c r="B1358" s="468" t="str">
        <f>IFERROR(__xludf.DUMMYFUNCTION("""COMPUTED_VALUE"""),"bunazhafzee")</f>
        <v>bunazhafzee</v>
      </c>
      <c r="C1358" s="283" t="str">
        <f>IFERROR(__xludf.DUMMYFUNCTION("""COMPUTED_VALUE"""),"https://www.tiktok.com/@bunazhafzee")</f>
        <v>https://www.tiktok.com/@bunazhafzee</v>
      </c>
      <c r="D1358" s="273">
        <f>IFERROR(__xludf.DUMMYFUNCTION("""COMPUTED_VALUE"""),8.9510328025E10)</f>
        <v>89510328025</v>
      </c>
      <c r="E1358" s="458">
        <f>IFERROR(__xludf.DUMMYFUNCTION("""COMPUTED_VALUE"""),0.0)</f>
        <v>0</v>
      </c>
      <c r="F1358" s="273">
        <f>IFERROR(__xludf.DUMMYFUNCTION("""COMPUTED_VALUE"""),4.0)</f>
        <v>4</v>
      </c>
      <c r="G1358" t="str">
        <f>IFERROR(__xludf.DUMMYFUNCTION("""COMPUTED_VALUE"""),"Sabun batang 1 Box ( 2 PCS )")</f>
        <v>Sabun batang 1 Box ( 2 PCS )</v>
      </c>
      <c r="H1358" s="469" t="str">
        <f>IFERROR(__xludf.DUMMYFUNCTION("""COMPUTED_VALUE"""),"Sampai")</f>
        <v>Sampai</v>
      </c>
      <c r="I1358" s="470" t="str">
        <f>IFERROR(__xludf.DUMMYFUNCTION("""COMPUTED_VALUE"""),"KIMME")</f>
        <v>KIMME</v>
      </c>
      <c r="J1358" s="471" t="str">
        <f>IFERROR(__xludf.DUMMYFUNCTION("""COMPUTED_VALUE"""),"https://vt.tiktok.com/ZSxubwDT3/")</f>
        <v>https://vt.tiktok.com/ZSxubwDT3/</v>
      </c>
      <c r="K1358" s="470" t="str">
        <f>IFERROR(__xludf.DUMMYFUNCTION("""COMPUTED_VALUE"""),"KIMME")</f>
        <v>KIMME</v>
      </c>
      <c r="L1358" s="471" t="str">
        <f>IFERROR(__xludf.DUMMYFUNCTION("""COMPUTED_VALUE"""),"https://vt.tiktok.com/ZSxubcPP8/")</f>
        <v>https://vt.tiktok.com/ZSxubcPP8/</v>
      </c>
      <c r="M1358" s="470"/>
      <c r="N1358" s="471" t="str">
        <f>IFERROR(__xludf.DUMMYFUNCTION("""COMPUTED_VALUE"""),"https://vt.tiktok.com/ZSxmTRPTy/")</f>
        <v>https://vt.tiktok.com/ZSxmTRPTy/</v>
      </c>
      <c r="O1358" s="470"/>
      <c r="P1358" s="471" t="str">
        <f>IFERROR(__xludf.DUMMYFUNCTION("""COMPUTED_VALUE"""),"https://vt.tiktok.com/ZSxmsSdAD/")</f>
        <v>https://vt.tiktok.com/ZSxmsSdAD/</v>
      </c>
    </row>
    <row r="1359">
      <c r="A1359" s="282" t="str">
        <f>IFERROR(__xludf.DUMMYFUNCTION("""COMPUTED_VALUE"""),"MICRO")</f>
        <v>MICRO</v>
      </c>
      <c r="B1359" s="468" t="str">
        <f>IFERROR(__xludf.DUMMYFUNCTION("""COMPUTED_VALUE"""),"novnov_303")</f>
        <v>novnov_303</v>
      </c>
      <c r="C1359" s="283" t="str">
        <f>IFERROR(__xludf.DUMMYFUNCTION("""COMPUTED_VALUE"""),"https://www.tiktok.com/@novnov_303")</f>
        <v>https://www.tiktok.com/@novnov_303</v>
      </c>
      <c r="D1359" s="273">
        <f>IFERROR(__xludf.DUMMYFUNCTION("""COMPUTED_VALUE"""),8.388302096E9)</f>
        <v>8388302096</v>
      </c>
      <c r="E1359" s="458">
        <f>IFERROR(__xludf.DUMMYFUNCTION("""COMPUTED_VALUE"""),0.0)</f>
        <v>0</v>
      </c>
      <c r="F1359" s="273">
        <f>IFERROR(__xludf.DUMMYFUNCTION("""COMPUTED_VALUE"""),3.0)</f>
        <v>3</v>
      </c>
      <c r="G1359" t="str">
        <f>IFERROR(__xludf.DUMMYFUNCTION("""COMPUTED_VALUE"""),"Sabun batang 1 Box ( 2 PCS )")</f>
        <v>Sabun batang 1 Box ( 2 PCS )</v>
      </c>
      <c r="H1359" s="469" t="str">
        <f>IFERROR(__xludf.DUMMYFUNCTION("""COMPUTED_VALUE"""),"Sampai")</f>
        <v>Sampai</v>
      </c>
      <c r="I1359" s="470" t="str">
        <f>IFERROR(__xludf.DUMMYFUNCTION("""COMPUTED_VALUE"""),"KIMME")</f>
        <v>KIMME</v>
      </c>
      <c r="J1359" s="471" t="str">
        <f>IFERROR(__xludf.DUMMYFUNCTION("""COMPUTED_VALUE"""),"https://vt.tiktok.com/ZSxWfMmyj/")</f>
        <v>https://vt.tiktok.com/ZSxWfMmyj/</v>
      </c>
      <c r="K1359" s="470" t="str">
        <f>IFERROR(__xludf.DUMMYFUNCTION("""COMPUTED_VALUE"""),"KIMME")</f>
        <v>KIMME</v>
      </c>
      <c r="L1359" s="471" t="str">
        <f>IFERROR(__xludf.DUMMYFUNCTION("""COMPUTED_VALUE"""),"https://vt.tiktok.com/ZSxWfFPxQ/")</f>
        <v>https://vt.tiktok.com/ZSxWfFPxQ/</v>
      </c>
      <c r="M1359" s="470"/>
      <c r="N1359" s="471" t="str">
        <f>IFERROR(__xludf.DUMMYFUNCTION("""COMPUTED_VALUE"""),"https://vt.tiktok.com/ZSxWfjqFv/")</f>
        <v>https://vt.tiktok.com/ZSxWfjqFv/</v>
      </c>
      <c r="O1359" s="470"/>
      <c r="P1359" s="471" t="str">
        <f>IFERROR(__xludf.DUMMYFUNCTION("""COMPUTED_VALUE"""),"https://vt.tiktok.com/ZSxWfUYTx/")</f>
        <v>https://vt.tiktok.com/ZSxWfUYTx/</v>
      </c>
    </row>
    <row r="1360">
      <c r="A1360" s="282" t="str">
        <f>IFERROR(__xludf.DUMMYFUNCTION("""COMPUTED_VALUE"""),"MICRO")</f>
        <v>MICRO</v>
      </c>
      <c r="B1360" s="468" t="str">
        <f>IFERROR(__xludf.DUMMYFUNCTION("""COMPUTED_VALUE"""),"marinaddict")</f>
        <v>marinaddict</v>
      </c>
      <c r="C1360" s="283" t="str">
        <f>IFERROR(__xludf.DUMMYFUNCTION("""COMPUTED_VALUE"""),"https://www.tiktok.com/@marinaddict")</f>
        <v>https://www.tiktok.com/@marinaddict</v>
      </c>
      <c r="D1360" s="273">
        <f>IFERROR(__xludf.DUMMYFUNCTION("""COMPUTED_VALUE"""),8.3853455831E10)</f>
        <v>83853455831</v>
      </c>
      <c r="E1360" s="458">
        <f>IFERROR(__xludf.DUMMYFUNCTION("""COMPUTED_VALUE"""),0.0)</f>
        <v>0</v>
      </c>
      <c r="F1360" s="273">
        <f>IFERROR(__xludf.DUMMYFUNCTION("""COMPUTED_VALUE"""),4.0)</f>
        <v>4</v>
      </c>
      <c r="G1360" t="str">
        <f>IFERROR(__xludf.DUMMYFUNCTION("""COMPUTED_VALUE"""),"Sabun batang 1 Box ( 2 PCS )")</f>
        <v>Sabun batang 1 Box ( 2 PCS )</v>
      </c>
      <c r="H1360" s="469" t="str">
        <f>IFERROR(__xludf.DUMMYFUNCTION("""COMPUTED_VALUE"""),"Sampai")</f>
        <v>Sampai</v>
      </c>
      <c r="I1360" s="470" t="str">
        <f>IFERROR(__xludf.DUMMYFUNCTION("""COMPUTED_VALUE"""),"KIMME")</f>
        <v>KIMME</v>
      </c>
      <c r="J1360" s="471" t="str">
        <f>IFERROR(__xludf.DUMMYFUNCTION("""COMPUTED_VALUE"""),"https://vt.tiktok.com/ZS9kvvn2s/")</f>
        <v>https://vt.tiktok.com/ZS9kvvn2s/</v>
      </c>
      <c r="K1360" s="470" t="str">
        <f>IFERROR(__xludf.DUMMYFUNCTION("""COMPUTED_VALUE"""),"KIMME")</f>
        <v>KIMME</v>
      </c>
      <c r="L1360" s="471" t="str">
        <f>IFERROR(__xludf.DUMMYFUNCTION("""COMPUTED_VALUE"""),"https://vt.tiktok.com/ZS9kvKaGG/")</f>
        <v>https://vt.tiktok.com/ZS9kvKaGG/</v>
      </c>
      <c r="M1360" s="470"/>
      <c r="N1360" s="471" t="str">
        <f>IFERROR(__xludf.DUMMYFUNCTION("""COMPUTED_VALUE"""),"https://vt.tiktok.com/ZS9kcMN1p/")</f>
        <v>https://vt.tiktok.com/ZS9kcMN1p/</v>
      </c>
      <c r="O1360" s="470"/>
      <c r="P1360" s="471" t="str">
        <f>IFERROR(__xludf.DUMMYFUNCTION("""COMPUTED_VALUE"""),"https://vt.tiktok.com/ZS9PNjVgm/")</f>
        <v>https://vt.tiktok.com/ZS9PNjVgm/</v>
      </c>
    </row>
    <row r="1361">
      <c r="A1361" s="282" t="str">
        <f>IFERROR(__xludf.DUMMYFUNCTION("""COMPUTED_VALUE"""),"MICRO")</f>
        <v>MICRO</v>
      </c>
      <c r="B1361" s="468" t="str">
        <f>IFERROR(__xludf.DUMMYFUNCTION("""COMPUTED_VALUE"""),"haeeina")</f>
        <v>haeeina</v>
      </c>
      <c r="C1361" s="283" t="str">
        <f>IFERROR(__xludf.DUMMYFUNCTION("""COMPUTED_VALUE"""),"https://www.tiktok.com/@haeeina")</f>
        <v>https://www.tiktok.com/@haeeina</v>
      </c>
      <c r="D1361" s="273">
        <f>IFERROR(__xludf.DUMMYFUNCTION("""COMPUTED_VALUE"""),8.2216156036E10)</f>
        <v>82216156036</v>
      </c>
      <c r="E1361" s="458">
        <f>IFERROR(__xludf.DUMMYFUNCTION("""COMPUTED_VALUE"""),0.0)</f>
        <v>0</v>
      </c>
      <c r="F1361" s="273">
        <f>IFERROR(__xludf.DUMMYFUNCTION("""COMPUTED_VALUE"""),3.0)</f>
        <v>3</v>
      </c>
      <c r="G1361" t="str">
        <f>IFERROR(__xludf.DUMMYFUNCTION("""COMPUTED_VALUE"""),"Sabun batang 1 Box ( 2 PCS )")</f>
        <v>Sabun batang 1 Box ( 2 PCS )</v>
      </c>
      <c r="H1361" s="469" t="str">
        <f>IFERROR(__xludf.DUMMYFUNCTION("""COMPUTED_VALUE"""),"Sampai")</f>
        <v>Sampai</v>
      </c>
      <c r="I1361" s="470" t="str">
        <f>IFERROR(__xludf.DUMMYFUNCTION("""COMPUTED_VALUE"""),"KIMME")</f>
        <v>KIMME</v>
      </c>
      <c r="J1361" s="471" t="str">
        <f>IFERROR(__xludf.DUMMYFUNCTION("""COMPUTED_VALUE"""),"https://vt.tiktok.com/ZSxWfYJHG/")</f>
        <v>https://vt.tiktok.com/ZSxWfYJHG/</v>
      </c>
      <c r="K1361" s="470" t="str">
        <f>IFERROR(__xludf.DUMMYFUNCTION("""COMPUTED_VALUE"""),"KIMME")</f>
        <v>KIMME</v>
      </c>
      <c r="L1361" s="471" t="str">
        <f>IFERROR(__xludf.DUMMYFUNCTION("""COMPUTED_VALUE"""),"https://vt.tiktok.com/ZSxWfMySr/")</f>
        <v>https://vt.tiktok.com/ZSxWfMySr/</v>
      </c>
      <c r="M1361" s="470"/>
      <c r="N1361" s="471" t="str">
        <f>IFERROR(__xludf.DUMMYFUNCTION("""COMPUTED_VALUE"""),"https://vt.tiktok.com/ZSxWffone/")</f>
        <v>https://vt.tiktok.com/ZSxWffone/</v>
      </c>
      <c r="O1361" s="470"/>
      <c r="P1361" s="471" t="str">
        <f>IFERROR(__xludf.DUMMYFUNCTION("""COMPUTED_VALUE"""),"https://vt.tiktok.com/ZSxWf5rMp/")</f>
        <v>https://vt.tiktok.com/ZSxWf5rMp/</v>
      </c>
    </row>
    <row r="1362">
      <c r="A1362" s="282" t="str">
        <f>IFERROR(__xludf.DUMMYFUNCTION("""COMPUTED_VALUE"""),"MICRO")</f>
        <v>MICRO</v>
      </c>
      <c r="B1362" s="468" t="str">
        <f>IFERROR(__xludf.DUMMYFUNCTION("""COMPUTED_VALUE"""),"racundean_02")</f>
        <v>racundean_02</v>
      </c>
      <c r="C1362" s="283" t="str">
        <f>IFERROR(__xludf.DUMMYFUNCTION("""COMPUTED_VALUE"""),"https://www.tiktok.com/@racundean_02")</f>
        <v>https://www.tiktok.com/@racundean_02</v>
      </c>
      <c r="D1362" s="273">
        <f>IFERROR(__xludf.DUMMYFUNCTION("""COMPUTED_VALUE"""),8.1365410856E10)</f>
        <v>81365410856</v>
      </c>
      <c r="E1362" s="458">
        <f>IFERROR(__xludf.DUMMYFUNCTION("""COMPUTED_VALUE"""),0.0)</f>
        <v>0</v>
      </c>
      <c r="F1362" s="273">
        <f>IFERROR(__xludf.DUMMYFUNCTION("""COMPUTED_VALUE"""),4.0)</f>
        <v>4</v>
      </c>
      <c r="G1362" t="str">
        <f>IFERROR(__xludf.DUMMYFUNCTION("""COMPUTED_VALUE"""),"Sabun batang 1 Box ( 2 PCS )")</f>
        <v>Sabun batang 1 Box ( 2 PCS )</v>
      </c>
      <c r="H1362" s="469" t="str">
        <f>IFERROR(__xludf.DUMMYFUNCTION("""COMPUTED_VALUE"""),"Sampai")</f>
        <v>Sampai</v>
      </c>
      <c r="I1362" s="470" t="str">
        <f>IFERROR(__xludf.DUMMYFUNCTION("""COMPUTED_VALUE"""),"KIMME")</f>
        <v>KIMME</v>
      </c>
      <c r="J1362" s="471" t="str">
        <f>IFERROR(__xludf.DUMMYFUNCTION("""COMPUTED_VALUE"""),"https://vt.tiktok.com/ZSxWfPfKT/")</f>
        <v>https://vt.tiktok.com/ZSxWfPfKT/</v>
      </c>
      <c r="K1362" s="470" t="str">
        <f>IFERROR(__xludf.DUMMYFUNCTION("""COMPUTED_VALUE"""),"KIMME")</f>
        <v>KIMME</v>
      </c>
      <c r="L1362" s="471" t="str">
        <f>IFERROR(__xludf.DUMMYFUNCTION("""COMPUTED_VALUE"""),"https://vt.tiktok.com/ZSxWfhB9u/")</f>
        <v>https://vt.tiktok.com/ZSxWfhB9u/</v>
      </c>
      <c r="M1362" s="470"/>
      <c r="N1362" s="471" t="str">
        <f>IFERROR(__xludf.DUMMYFUNCTION("""COMPUTED_VALUE"""),"https://vt.tiktok.com/ZSxWf9QQo/")</f>
        <v>https://vt.tiktok.com/ZSxWf9QQo/</v>
      </c>
      <c r="O1362" s="470"/>
      <c r="P1362" s="471" t="str">
        <f>IFERROR(__xludf.DUMMYFUNCTION("""COMPUTED_VALUE"""),"https://vt.tiktok.com/ZSxWfu5f9/")</f>
        <v>https://vt.tiktok.com/ZSxWfu5f9/</v>
      </c>
    </row>
    <row r="1363">
      <c r="A1363" s="282" t="str">
        <f>IFERROR(__xludf.DUMMYFUNCTION("""COMPUTED_VALUE"""),"MICRO")</f>
        <v>MICRO</v>
      </c>
      <c r="B1363" s="468" t="str">
        <f>IFERROR(__xludf.DUMMYFUNCTION("""COMPUTED_VALUE"""),"racunskincare07_")</f>
        <v>racunskincare07_</v>
      </c>
      <c r="C1363" s="283" t="str">
        <f>IFERROR(__xludf.DUMMYFUNCTION("""COMPUTED_VALUE"""),"https://www.tiktok.com/@racunskincare07_")</f>
        <v>https://www.tiktok.com/@racunskincare07_</v>
      </c>
      <c r="D1363" s="273">
        <f>IFERROR(__xludf.DUMMYFUNCTION("""COMPUTED_VALUE"""),8.5257732199E10)</f>
        <v>85257732199</v>
      </c>
      <c r="E1363" s="458">
        <f>IFERROR(__xludf.DUMMYFUNCTION("""COMPUTED_VALUE"""),0.0)</f>
        <v>0</v>
      </c>
      <c r="F1363" s="273">
        <f>IFERROR(__xludf.DUMMYFUNCTION("""COMPUTED_VALUE"""),4.0)</f>
        <v>4</v>
      </c>
      <c r="G1363" t="str">
        <f>IFERROR(__xludf.DUMMYFUNCTION("""COMPUTED_VALUE"""),"Sabun batang 1 Box ( 2 PCS )")</f>
        <v>Sabun batang 1 Box ( 2 PCS )</v>
      </c>
      <c r="H1363" s="469" t="str">
        <f>IFERROR(__xludf.DUMMYFUNCTION("""COMPUTED_VALUE"""),"Sampai")</f>
        <v>Sampai</v>
      </c>
      <c r="I1363" s="470" t="str">
        <f>IFERROR(__xludf.DUMMYFUNCTION("""COMPUTED_VALUE"""),"KIMME")</f>
        <v>KIMME</v>
      </c>
      <c r="J1363" s="471" t="str">
        <f>IFERROR(__xludf.DUMMYFUNCTION("""COMPUTED_VALUE"""),"https://www.tiktok.com/@racunskincare07_/video/7633607057786047764?_r=1&amp;u_code=e9d5fc75hjj49e&amp;region=&amp;mid=7622900823151889172&amp;preview_pb=0&amp;sharer_language=&amp;_d=0&amp;ec_shared_reflux_dynamic_params=%7B%22placeholder_material_id%22%3A%227633607057786047764%22%2"&amp;"C%22placeholder_origin_cover%22%3A%22https%253A%252F%252Fp16-common-sign.tiktokcdn.com%252Ftos-alisg-p-0037%252FosfpzmTY1APjARxagIFY8BcDnfLJpTAEBEBzwI~tplv-tiktokx-origin.jpeg%253Fdr%253D14572%2526refresh_token%253D44833ffc%2526x-expires%253D1808992800%25"&amp;"26x-signature%253Dj6dVo9PFE5hbvqYdRHTPmILGlWQ%25253D%2526t%253D4d5b0474%2526ps%253D13740610%2526shp%253Dd05b14bd%2526shcp%253D34ff8df6%2526idc%253Dmy2%2526s%253DTIKTOK_AFFILIATE_VIRAL_VIDEO%22%2C%22placeholder_product_id%22%3A%221729427766722726591%22%2C%"&amp;"22placeholder_video_id%22%3A%227633607057786047764%22%7D&amp;ec_shared_reflux_scene=shop_tab_feed&amp;share_item_id=7633607057786047764&amp;source=h5_t")</f>
        <v>https://www.tiktok.com/@racunskincare07_/video/7633607057786047764?_r=1&amp;u_code=e9d5fc75hjj49e&amp;region=&amp;mid=7622900823151889172&amp;preview_pb=0&amp;sharer_language=&amp;_d=0&amp;ec_shared_reflux_dynamic_params=%7B%22placeholder_material_id%22%3A%227633607057786047764%22%2C%22placeholder_origin_cover%22%3A%22https%253A%252F%252Fp16-common-sign.tiktokcdn.com%252Ftos-alisg-p-0037%252FosfpzmTY1APjARxagIFY8BcDnfLJpTAEBEBzwI~tplv-tiktokx-origin.jpeg%253Fdr%253D14572%2526refresh_token%253D44833ffc%2526x-expires%253D1808992800%2526x-signature%253Dj6dVo9PFE5hbvqYdRHTPmILGlWQ%25253D%2526t%253D4d5b0474%2526ps%253D13740610%2526shp%253Dd05b14bd%2526shcp%253D34ff8df6%2526idc%253Dmy2%2526s%253DTIKTOK_AFFILIATE_VIRAL_VIDEO%22%2C%22placeholder_product_id%22%3A%221729427766722726591%22%2C%22placeholder_video_id%22%3A%227633607057786047764%22%7D&amp;ec_shared_reflux_scene=shop_tab_feed&amp;share_item_id=7633607057786047764&amp;source=h5_t</v>
      </c>
      <c r="K1363" s="470" t="str">
        <f>IFERROR(__xludf.DUMMYFUNCTION("""COMPUTED_VALUE"""),"KIMME")</f>
        <v>KIMME</v>
      </c>
      <c r="L1363" s="471" t="str">
        <f>IFERROR(__xludf.DUMMYFUNCTION("""COMPUTED_VALUE"""),"https://www.tiktok.com/@racunskincare07_/video/7634375152628682005?_r=1&amp;u_code=e9d5fc75hjj49e&amp;region=&amp;mid=7625512481552747271&amp;preview_pb=0&amp;sharer_language=&amp;_d=0&amp;ec_shared_reflux_dynamic_params=%7B%22placeholder_material_id%22%3A%227634375152628682005%22%2"&amp;"C%22placeholder_origin_cover%22%3A%22https%253A%252F%252Fp16-common-sign.tiktokcdn.com%252Ftos-alisg-p-0037%252FoQpSDcfD4IxGjCTIcvmeL5vXyC8AuEeOFBK3IA~tplv-tiktokx-origin.jpeg%253Fdr%253D14572%2526refresh_token%253D4fa53c56%2526x-expires%253D1809504000%25"&amp;"26x-signature%253DNfBagfv2h7h1%25252FT%25252B93LRVXtjoDko%25253D%2526t%253D4d5b0474%2526ps%253D13740610%2526shp%253Dd05b14bd%2526shcp%253D34ff8df6%2526idc%253Dmy%2526s%253DTIKTOK_AFFILIATE_VIRAL_VIDEO%22%2C%22placeholder_product_id%22%3A%22172942776672272"&amp;"6591%22%2C%22placeholder_video_id%22%3A%227634375152628682005%22%7D&amp;ec_shared_reflux_scene=shop_tab_feed&amp;share_item_id=7634375152628682005&amp;source=h5_t")</f>
        <v>https://www.tiktok.com/@racunskincare07_/video/7634375152628682005?_r=1&amp;u_code=e9d5fc75hjj49e&amp;region=&amp;mid=7625512481552747271&amp;preview_pb=0&amp;sharer_language=&amp;_d=0&amp;ec_shared_reflux_dynamic_params=%7B%22placeholder_material_id%22%3A%227634375152628682005%22%2C%22placeholder_origin_cover%22%3A%22https%253A%252F%252Fp16-common-sign.tiktokcdn.com%252Ftos-alisg-p-0037%252FoQpSDcfD4IxGjCTIcvmeL5vXyC8AuEeOFBK3IA~tplv-tiktokx-origin.jpeg%253Fdr%253D14572%2526refresh_token%253D4fa53c56%2526x-expires%253D1809504000%2526x-signature%253DNfBagfv2h7h1%25252FT%25252B93LRVXtjoDko%25253D%2526t%253D4d5b0474%2526ps%253D13740610%2526shp%253Dd05b14bd%2526shcp%253D34ff8df6%2526idc%253Dmy%2526s%253DTIKTOK_AFFILIATE_VIRAL_VIDEO%22%2C%22placeholder_product_id%22%3A%221729427766722726591%22%2C%22placeholder_video_id%22%3A%227634375152628682005%22%7D&amp;ec_shared_reflux_scene=shop_tab_feed&amp;share_item_id=7634375152628682005&amp;source=h5_t</v>
      </c>
      <c r="M1363" s="470"/>
      <c r="N1363" s="471" t="str">
        <f>IFERROR(__xludf.DUMMYFUNCTION("""COMPUTED_VALUE"""),"https://www.tiktok.com/@racunskincare07_/video/7634606434906344725?_r=1&amp;u_code=e9d5fc75hjj49e&amp;region=&amp;mid=7622900823151889172&amp;preview_pb=0&amp;sharer_language=&amp;_d=0&amp;ec_shared_reflux_dynamic_params=%7B%22placeholder_material_id%22%3A%227634606434906344725%22%2"&amp;"C%22placeholder_origin_cover%22%3A%22https%253A%252F%252Fp16-common-sign.tiktokcdn.com%252Ftos-alisg-p-0037%252Fo0mjV5IzegSIBz4iI8NpkpAIGeAhLDCfhC6TyI~tplv-tiktokx-origin.jpeg%253Fdr%253D14572%2526refresh_token%253D6051f820%2526x-expires%253D1809504000%25"&amp;"26x-signature%253DFnmdF5gC6uzT3tDCJDIiPTncyIo%25253D%2526t%253D4d5b0474%2526ps%253D13740610%2526shp%253Dd05b14bd%2526shcp%253D34ff8df6%2526idc%253Dmy%2526s%253DTIKTOK_AFFILIATE_VIRAL_VIDEO%22%2C%22placeholder_product_id%22%3A%221729427766722726591%22%2C%2"&amp;"2placeholder_video_id%22%3A%227634606434906344725%22%7D&amp;ec_shared_reflux_scene=shop_tab_feed&amp;share_item_id=7634606434906344725&amp;source=h5_t")</f>
        <v>https://www.tiktok.com/@racunskincare07_/video/7634606434906344725?_r=1&amp;u_code=e9d5fc75hjj49e&amp;region=&amp;mid=7622900823151889172&amp;preview_pb=0&amp;sharer_language=&amp;_d=0&amp;ec_shared_reflux_dynamic_params=%7B%22placeholder_material_id%22%3A%227634606434906344725%22%2C%22placeholder_origin_cover%22%3A%22https%253A%252F%252Fp16-common-sign.tiktokcdn.com%252Ftos-alisg-p-0037%252Fo0mjV5IzegSIBz4iI8NpkpAIGeAhLDCfhC6TyI~tplv-tiktokx-origin.jpeg%253Fdr%253D14572%2526refresh_token%253D6051f820%2526x-expires%253D1809504000%2526x-signature%253DFnmdF5gC6uzT3tDCJDIiPTncyIo%25253D%2526t%253D4d5b0474%2526ps%253D13740610%2526shp%253Dd05b14bd%2526shcp%253D34ff8df6%2526idc%253Dmy%2526s%253DTIKTOK_AFFILIATE_VIRAL_VIDEO%22%2C%22placeholder_product_id%22%3A%221729427766722726591%22%2C%22placeholder_video_id%22%3A%227634606434906344725%22%7D&amp;ec_shared_reflux_scene=shop_tab_feed&amp;share_item_id=7634606434906344725&amp;source=h5_t</v>
      </c>
      <c r="O1363" s="470"/>
      <c r="P1363" s="471" t="str">
        <f>IFERROR(__xludf.DUMMYFUNCTION("""COMPUTED_VALUE"""),"https://www.tiktok.com/@racunskincare07_/video/7634962928101313812?_r=1&amp;u_code=e9d5fc75hjj49e&amp;region=&amp;mid=7541117563804502790&amp;preview_pb=0&amp;sharer_language=&amp;_d=0&amp;ec_shared_reflux_dynamic_params=%7B%22placeholder_material_id%22%3A%227634962928101313812%22%2"&amp;"C%22placeholder_origin_cover%22%3A%22https%253A%252F%252Fp16-common-sign.tiktokcdn.com%252Ftos-alisg-p-0037%252Fo8islOQpeAKZBPdCi9gmHR1Bc30fI0u5EMNgIB~tplv-tiktokx-origin.jpeg%253Fdr%253D14572%2526refresh_token%253D65fb5603%2526x-expires%253D1809504000%25"&amp;"26x-signature%253DknJuq%25252Fit7oZIcNsgHihJaKFaHfo%25253D%2526t%253D4d5b0474%2526ps%253D13740610%2526shp%253Dd05b14bd%2526shcp%253D34ff8df6%2526idc%253Dmy%2526s%253DTIKTOK_AFFILIATE_VIRAL_VIDEO%22%2C%22placeholder_product_id%22%3A%221729427766722726591%2"&amp;"2%2C%22placeholder_video_id%22%3A%227634962928101313812%22%7D&amp;ec_shared_reflux_scene=shop_tab_feed&amp;share_item_id=7634962928101313812&amp;source=h5_t")</f>
        <v>https://www.tiktok.com/@racunskincare07_/video/7634962928101313812?_r=1&amp;u_code=e9d5fc75hjj49e&amp;region=&amp;mid=7541117563804502790&amp;preview_pb=0&amp;sharer_language=&amp;_d=0&amp;ec_shared_reflux_dynamic_params=%7B%22placeholder_material_id%22%3A%227634962928101313812%22%2C%22placeholder_origin_cover%22%3A%22https%253A%252F%252Fp16-common-sign.tiktokcdn.com%252Ftos-alisg-p-0037%252Fo8islOQpeAKZBPdCi9gmHR1Bc30fI0u5EMNgIB~tplv-tiktokx-origin.jpeg%253Fdr%253D14572%2526refresh_token%253D65fb5603%2526x-expires%253D1809504000%2526x-signature%253DknJuq%25252Fit7oZIcNsgHihJaKFaHfo%25253D%2526t%253D4d5b0474%2526ps%253D13740610%2526shp%253Dd05b14bd%2526shcp%253D34ff8df6%2526idc%253Dmy%2526s%253DTIKTOK_AFFILIATE_VIRAL_VIDEO%22%2C%22placeholder_product_id%22%3A%221729427766722726591%22%2C%22placeholder_video_id%22%3A%227634962928101313812%22%7D&amp;ec_shared_reflux_scene=shop_tab_feed&amp;share_item_id=7634962928101313812&amp;source=h5_t</v>
      </c>
    </row>
    <row r="1364">
      <c r="A1364" s="282" t="str">
        <f>IFERROR(__xludf.DUMMYFUNCTION("""COMPUTED_VALUE"""),"MICRO")</f>
        <v>MICRO</v>
      </c>
      <c r="B1364" s="468" t="str">
        <f>IFERROR(__xludf.DUMMYFUNCTION("""COMPUTED_VALUE"""),"ar4_aya")</f>
        <v>ar4_aya</v>
      </c>
      <c r="C1364" s="283" t="str">
        <f>IFERROR(__xludf.DUMMYFUNCTION("""COMPUTED_VALUE"""),"https://www.tiktok.com/@ar4_aya")</f>
        <v>https://www.tiktok.com/@ar4_aya</v>
      </c>
      <c r="D1364" s="273">
        <f>IFERROR(__xludf.DUMMYFUNCTION("""COMPUTED_VALUE"""),8.5846862769E10)</f>
        <v>85846862769</v>
      </c>
      <c r="E1364" s="458">
        <f>IFERROR(__xludf.DUMMYFUNCTION("""COMPUTED_VALUE"""),0.0)</f>
        <v>0</v>
      </c>
      <c r="F1364" s="273">
        <f>IFERROR(__xludf.DUMMYFUNCTION("""COMPUTED_VALUE"""),1.0)</f>
        <v>1</v>
      </c>
      <c r="G1364" t="str">
        <f>IFERROR(__xludf.DUMMYFUNCTION("""COMPUTED_VALUE"""),"Sabun batang 1 Box ( 2 PCS )")</f>
        <v>Sabun batang 1 Box ( 2 PCS )</v>
      </c>
      <c r="H1364" s="469" t="str">
        <f>IFERROR(__xludf.DUMMYFUNCTION("""COMPUTED_VALUE"""),"Sampai")</f>
        <v>Sampai</v>
      </c>
      <c r="I1364" s="470" t="str">
        <f>IFERROR(__xludf.DUMMYFUNCTION("""COMPUTED_VALUE"""),"KIMME")</f>
        <v>KIMME</v>
      </c>
      <c r="J1364" s="471" t="str">
        <f>IFERROR(__xludf.DUMMYFUNCTION("""COMPUTED_VALUE"""),"https://vt.tiktok.com/ZSxWfr2Wq/")</f>
        <v>https://vt.tiktok.com/ZSxWfr2Wq/</v>
      </c>
      <c r="K1364" s="470" t="str">
        <f>IFERROR(__xludf.DUMMYFUNCTION("""COMPUTED_VALUE"""),"KIMME")</f>
        <v>KIMME</v>
      </c>
      <c r="L1364" s="471" t="str">
        <f>IFERROR(__xludf.DUMMYFUNCTION("""COMPUTED_VALUE"""),"https://vt.tiktok.com/ZSxWf2rPL/")</f>
        <v>https://vt.tiktok.com/ZSxWf2rPL/</v>
      </c>
      <c r="M1364" s="470"/>
      <c r="N1364" s="471" t="str">
        <f>IFERROR(__xludf.DUMMYFUNCTION("""COMPUTED_VALUE"""),"https://vt.tiktok.com/ZSxWf6Gh4/")</f>
        <v>https://vt.tiktok.com/ZSxWf6Gh4/</v>
      </c>
      <c r="O1364" s="470"/>
      <c r="P1364" s="471" t="str">
        <f>IFERROR(__xludf.DUMMYFUNCTION("""COMPUTED_VALUE"""),"https://vt.tiktok.com/ZSxWfY6SC/")</f>
        <v>https://vt.tiktok.com/ZSxWfY6SC/</v>
      </c>
    </row>
    <row r="1365">
      <c r="A1365" s="282" t="str">
        <f>IFERROR(__xludf.DUMMYFUNCTION("""COMPUTED_VALUE"""),"MICRO")</f>
        <v>MICRO</v>
      </c>
      <c r="B1365" s="468" t="str">
        <f>IFERROR(__xludf.DUMMYFUNCTION("""COMPUTED_VALUE"""),"sagitariussone")</f>
        <v>sagitariussone</v>
      </c>
      <c r="C1365" s="283" t="str">
        <f>IFERROR(__xludf.DUMMYFUNCTION("""COMPUTED_VALUE"""),"https://www.tiktok.com/@sagitariussone")</f>
        <v>https://www.tiktok.com/@sagitariussone</v>
      </c>
      <c r="D1365" s="273">
        <f>IFERROR(__xludf.DUMMYFUNCTION("""COMPUTED_VALUE"""),8.571050908E10)</f>
        <v>85710509080</v>
      </c>
      <c r="E1365" s="458">
        <f>IFERROR(__xludf.DUMMYFUNCTION("""COMPUTED_VALUE"""),0.0)</f>
        <v>0</v>
      </c>
      <c r="F1365" s="273">
        <f>IFERROR(__xludf.DUMMYFUNCTION("""COMPUTED_VALUE"""),4.0)</f>
        <v>4</v>
      </c>
      <c r="G1365" t="str">
        <f>IFERROR(__xludf.DUMMYFUNCTION("""COMPUTED_VALUE"""),"Sabun batang 1 Box ( 2 PCS )")</f>
        <v>Sabun batang 1 Box ( 2 PCS )</v>
      </c>
      <c r="H1365" s="469" t="str">
        <f>IFERROR(__xludf.DUMMYFUNCTION("""COMPUTED_VALUE"""),"Sampai")</f>
        <v>Sampai</v>
      </c>
      <c r="I1365" s="470" t="str">
        <f>IFERROR(__xludf.DUMMYFUNCTION("""COMPUTED_VALUE"""),"KIMME")</f>
        <v>KIMME</v>
      </c>
      <c r="J1365" s="471" t="str">
        <f>IFERROR(__xludf.DUMMYFUNCTION("""COMPUTED_VALUE"""),"https://vt.tiktok.com/ZS9cLm5xC/")</f>
        <v>https://vt.tiktok.com/ZS9cLm5xC/</v>
      </c>
      <c r="K1365" s="470" t="str">
        <f>IFERROR(__xludf.DUMMYFUNCTION("""COMPUTED_VALUE"""),"KIMME")</f>
        <v>KIMME</v>
      </c>
      <c r="L1365" s="471" t="str">
        <f>IFERROR(__xludf.DUMMYFUNCTION("""COMPUTED_VALUE"""),"https://www.tiktok.com/@sagitariussone/video/7638239109764353288?_r=1&amp;u_code=dceg7ljggecb01&amp;region=&amp;mid=7184337289072347137&amp;preview_pb=0&amp;sharer_language=&amp;_d=0&amp;ec_shared_reflux_dynamic_params=%7B%22placeholder_material_id%22%3A%227638239109764353288%22%2C%"&amp;"22placeholder_origin_cover%22%3A%22https%253A%252F%252Fp16-common-sign.tiktokcdn.com%252Ftos-alisg-p-0037%252Fo8JDIfsAA7BjAQJgUAQo7VL5ITDA4OeeCyCkGw~tplv-tiktokx-origin.jpeg%253Fdr%253D14572%2526refresh_token%253D838d25f4%2526x-expires%253D1810116000%2526"&amp;"x-signature%253DViU7bqNUgBU50wCWPHAidSMkisk%25253D%2526t%253D4d5b0474%2526ps%253D13740610%2526shp%253Dd05b14bd%2526shcp%253D34ff8df6%2526idc%253Dmy2%2526s%253DTIKTOK_AFFILIATE_VIRAL_VIDEO%22%2C%22placeholder_product_id%22%3A%221729427766722726591%22%2C%22"&amp;"placeholder_video_id%22%3A%227638239109764353288%22%7D&amp;ec_shared_reflux_scene=shop_tab_feed&amp;share_item_id=7638239109764353288&amp;source=h5_t")</f>
        <v>https://www.tiktok.com/@sagitariussone/video/7638239109764353288?_r=1&amp;u_code=dceg7ljggecb01&amp;region=&amp;mid=7184337289072347137&amp;preview_pb=0&amp;sharer_language=&amp;_d=0&amp;ec_shared_reflux_dynamic_params=%7B%22placeholder_material_id%22%3A%227638239109764353288%22%2C%22placeholder_origin_cover%22%3A%22https%253A%252F%252Fp16-common-sign.tiktokcdn.com%252Ftos-alisg-p-0037%252Fo8JDIfsAA7BjAQJgUAQo7VL5ITDA4OeeCyCkGw~tplv-tiktokx-origin.jpeg%253Fdr%253D14572%2526refresh_token%253D838d25f4%2526x-expires%253D1810116000%2526x-signature%253DViU7bqNUgBU50wCWPHAidSMkisk%25253D%2526t%253D4d5b0474%2526ps%253D13740610%2526shp%253Dd05b14bd%2526shcp%253D34ff8df6%2526idc%253Dmy2%2526s%253DTIKTOK_AFFILIATE_VIRAL_VIDEO%22%2C%22placeholder_product_id%22%3A%221729427766722726591%22%2C%22placeholder_video_id%22%3A%227638239109764353288%22%7D&amp;ec_shared_reflux_scene=shop_tab_feed&amp;share_item_id=7638239109764353288&amp;source=h5_t</v>
      </c>
      <c r="M1365" s="470"/>
      <c r="N1365" s="471" t="str">
        <f>IFERROR(__xludf.DUMMYFUNCTION("""COMPUTED_VALUE"""),"https://vt.tiktok.com/ZSxWfjFgK/")</f>
        <v>https://vt.tiktok.com/ZSxWfjFgK/</v>
      </c>
      <c r="O1365" s="470"/>
      <c r="P1365" s="471" t="str">
        <f>IFERROR(__xludf.DUMMYFUNCTION("""COMPUTED_VALUE"""),"https://vt.tiktok.com/ZSxWf2LtE/")</f>
        <v>https://vt.tiktok.com/ZSxWf2LtE/</v>
      </c>
    </row>
    <row r="1366">
      <c r="A1366" s="282" t="str">
        <f>IFERROR(__xludf.DUMMYFUNCTION("""COMPUTED_VALUE"""),"MICRO")</f>
        <v>MICRO</v>
      </c>
      <c r="B1366" s="468" t="str">
        <f>IFERROR(__xludf.DUMMYFUNCTION("""COMPUTED_VALUE"""),"apaajaaaweee")</f>
        <v>apaajaaaweee</v>
      </c>
      <c r="C1366" s="283" t="str">
        <f>IFERROR(__xludf.DUMMYFUNCTION("""COMPUTED_VALUE"""),"https://www.tiktok.com/@apaajaaaweee")</f>
        <v>https://www.tiktok.com/@apaajaaaweee</v>
      </c>
      <c r="D1366" s="273">
        <f>IFERROR(__xludf.DUMMYFUNCTION("""COMPUTED_VALUE"""),8.3827598163E10)</f>
        <v>83827598163</v>
      </c>
      <c r="E1366" s="458">
        <f>IFERROR(__xludf.DUMMYFUNCTION("""COMPUTED_VALUE"""),0.0)</f>
        <v>0</v>
      </c>
      <c r="F1366" s="273">
        <f>IFERROR(__xludf.DUMMYFUNCTION("""COMPUTED_VALUE"""),4.0)</f>
        <v>4</v>
      </c>
      <c r="G1366" t="str">
        <f>IFERROR(__xludf.DUMMYFUNCTION("""COMPUTED_VALUE"""),"Sabun batang 1 Box ( 2 PCS )")</f>
        <v>Sabun batang 1 Box ( 2 PCS )</v>
      </c>
      <c r="H1366" s="469" t="str">
        <f>IFERROR(__xludf.DUMMYFUNCTION("""COMPUTED_VALUE"""),"Sampai")</f>
        <v>Sampai</v>
      </c>
      <c r="I1366" s="470" t="str">
        <f>IFERROR(__xludf.DUMMYFUNCTION("""COMPUTED_VALUE"""),"KIMME")</f>
        <v>KIMME</v>
      </c>
      <c r="J1366" s="471" t="str">
        <f>IFERROR(__xludf.DUMMYFUNCTION("""COMPUTED_VALUE"""),"https://vt.tiktok.com/ZS9VFAUKC/")</f>
        <v>https://vt.tiktok.com/ZS9VFAUKC/</v>
      </c>
      <c r="K1366" s="470" t="str">
        <f>IFERROR(__xludf.DUMMYFUNCTION("""COMPUTED_VALUE"""),"KIMME")</f>
        <v>KIMME</v>
      </c>
      <c r="L1366" s="471" t="str">
        <f>IFERROR(__xludf.DUMMYFUNCTION("""COMPUTED_VALUE"""),"https://www.tiktok.com/@apaajaaaweee/video/7636428159381933333?_r=1&amp;u_code=dfbdg7ca37j010&amp;region=&amp;mid=7636636696360930065&amp;preview_pb=0&amp;sharer_language=&amp;_d=0&amp;ec_shared_reflux_dynamic_params=%7B%22placeholder_material_id%22%3A%227636428159381933333%22%2C%22"&amp;"placeholder_origin_cover%22%3A%22https%253A%252F%252Fp16-common-sign.tiktokcdn.com%252Ftos-alisg-p-0037%252FowIa6TtEbCsydAri0HIAzFEDiyDrfeA1bfyYJg~tplv-tiktokx-origin.jpeg%253Fdr%253D14572%2526refresh_token%253Dd77c93f7%2526x-expires%253D1810116000%2526x-"&amp;"signature%253Drp7MIexGL0a2Nm9H3k8l3XvMS2c%25253D%2526t%253D4d5b0474%2526ps%253D13740610%2526shp%253Dd05b14bd%2526shcp%253D34ff8df6%2526idc%253Dmy2%2526s%253DTIKTOK_AFFILIATE_VIRAL_VIDEO%22%2C%22placeholder_product_id%22%3A%221729427766722726591%22%2C%22pl"&amp;"aceholder_video_id%22%3A%227636428159381933333%22%7D&amp;ec_shared_reflux_scene=shop_tab_feed&amp;share_item_id=7636428159381933333&amp;source=h5_t")</f>
        <v>https://www.tiktok.com/@apaajaaaweee/video/7636428159381933333?_r=1&amp;u_code=dfbdg7ca37j010&amp;region=&amp;mid=7636636696360930065&amp;preview_pb=0&amp;sharer_language=&amp;_d=0&amp;ec_shared_reflux_dynamic_params=%7B%22placeholder_material_id%22%3A%227636428159381933333%22%2C%22placeholder_origin_cover%22%3A%22https%253A%252F%252Fp16-common-sign.tiktokcdn.com%252Ftos-alisg-p-0037%252FowIa6TtEbCsydAri0HIAzFEDiyDrfeA1bfyYJg~tplv-tiktokx-origin.jpeg%253Fdr%253D14572%2526refresh_token%253Dd77c93f7%2526x-expires%253D1810116000%2526x-signature%253Drp7MIexGL0a2Nm9H3k8l3XvMS2c%25253D%2526t%253D4d5b0474%2526ps%253D13740610%2526shp%253Dd05b14bd%2526shcp%253D34ff8df6%2526idc%253Dmy2%2526s%253DTIKTOK_AFFILIATE_VIRAL_VIDEO%22%2C%22placeholder_product_id%22%3A%221729427766722726591%22%2C%22placeholder_video_id%22%3A%227636428159381933333%22%7D&amp;ec_shared_reflux_scene=shop_tab_feed&amp;share_item_id=7636428159381933333&amp;source=h5_t</v>
      </c>
      <c r="M1366" s="470"/>
      <c r="N1366" s="471" t="str">
        <f>IFERROR(__xludf.DUMMYFUNCTION("""COMPUTED_VALUE"""),"https://vt.tiktok.com/ZSx6FHBj6/")</f>
        <v>https://vt.tiktok.com/ZSx6FHBj6/</v>
      </c>
      <c r="O1366" s="470"/>
      <c r="P1366" s="471" t="str">
        <f>IFERROR(__xludf.DUMMYFUNCTION("""COMPUTED_VALUE"""),"https://vt.tiktok.com/ZSxWfxGUY/")</f>
        <v>https://vt.tiktok.com/ZSxWfxGUY/</v>
      </c>
    </row>
    <row r="1367">
      <c r="A1367" s="282" t="str">
        <f>IFERROR(__xludf.DUMMYFUNCTION("""COMPUTED_VALUE"""),"MICRO")</f>
        <v>MICRO</v>
      </c>
      <c r="B1367" s="468" t="str">
        <f>IFERROR(__xludf.DUMMYFUNCTION("""COMPUTED_VALUE"""),"eendha")</f>
        <v>eendha</v>
      </c>
      <c r="C1367" s="283" t="str">
        <f>IFERROR(__xludf.DUMMYFUNCTION("""COMPUTED_VALUE"""),"https://www.tiktok.com/@eendha")</f>
        <v>https://www.tiktok.com/@eendha</v>
      </c>
      <c r="D1367" s="273">
        <f>IFERROR(__xludf.DUMMYFUNCTION("""COMPUTED_VALUE"""),8.98637433E9)</f>
        <v>8986374330</v>
      </c>
      <c r="E1367" s="458">
        <f>IFERROR(__xludf.DUMMYFUNCTION("""COMPUTED_VALUE"""),0.0)</f>
        <v>0</v>
      </c>
      <c r="F1367" s="273">
        <f>IFERROR(__xludf.DUMMYFUNCTION("""COMPUTED_VALUE"""),4.0)</f>
        <v>4</v>
      </c>
      <c r="G1367" t="str">
        <f>IFERROR(__xludf.DUMMYFUNCTION("""COMPUTED_VALUE"""),"Sabun batang 1 Box ( 2 PCS )")</f>
        <v>Sabun batang 1 Box ( 2 PCS )</v>
      </c>
      <c r="H1367" s="469" t="str">
        <f>IFERROR(__xludf.DUMMYFUNCTION("""COMPUTED_VALUE"""),"Sampai")</f>
        <v>Sampai</v>
      </c>
      <c r="I1367" s="470" t="str">
        <f>IFERROR(__xludf.DUMMYFUNCTION("""COMPUTED_VALUE"""),"KIMME")</f>
        <v>KIMME</v>
      </c>
      <c r="J1367" s="471" t="str">
        <f>IFERROR(__xludf.DUMMYFUNCTION("""COMPUTED_VALUE"""),"https://vt.tiktok.com/ZS9oPeTxH/")</f>
        <v>https://vt.tiktok.com/ZS9oPeTxH/</v>
      </c>
      <c r="K1367" s="470" t="str">
        <f>IFERROR(__xludf.DUMMYFUNCTION("""COMPUTED_VALUE"""),"KIMME")</f>
        <v>KIMME</v>
      </c>
      <c r="L1367" s="471" t="str">
        <f>IFERROR(__xludf.DUMMYFUNCTION("""COMPUTED_VALUE"""),"https://vt.tiktok.com/ZS9oPdyhY/")</f>
        <v>https://vt.tiktok.com/ZS9oPdyhY/</v>
      </c>
      <c r="M1367" s="470"/>
      <c r="N1367" s="471" t="str">
        <f>IFERROR(__xludf.DUMMYFUNCTION("""COMPUTED_VALUE"""),"https://vt.tiktok.com/ZS9ofw7tD/")</f>
        <v>https://vt.tiktok.com/ZS9ofw7tD/</v>
      </c>
      <c r="O1367" s="470"/>
      <c r="P1367" s="471" t="str">
        <f>IFERROR(__xludf.DUMMYFUNCTION("""COMPUTED_VALUE"""),"https://vt.tiktok.com/ZS9ofvQAe/")</f>
        <v>https://vt.tiktok.com/ZS9ofvQAe/</v>
      </c>
    </row>
    <row r="1368">
      <c r="A1368" s="282" t="str">
        <f>IFERROR(__xludf.DUMMYFUNCTION("""COMPUTED_VALUE"""),"MICRO")</f>
        <v>MICRO</v>
      </c>
      <c r="B1368" s="468" t="str">
        <f>IFERROR(__xludf.DUMMYFUNCTION("""COMPUTED_VALUE"""),"mujii.kh")</f>
        <v>mujii.kh</v>
      </c>
      <c r="C1368" s="283" t="str">
        <f>IFERROR(__xludf.DUMMYFUNCTION("""COMPUTED_VALUE"""),"https://www.tiktok.com/@mujii.kh")</f>
        <v>https://www.tiktok.com/@mujii.kh</v>
      </c>
      <c r="D1368" s="273">
        <f>IFERROR(__xludf.DUMMYFUNCTION("""COMPUTED_VALUE"""),8.95341936715E11)</f>
        <v>895341936715</v>
      </c>
      <c r="E1368" s="458">
        <f>IFERROR(__xludf.DUMMYFUNCTION("""COMPUTED_VALUE"""),0.0)</f>
        <v>0</v>
      </c>
      <c r="F1368" s="273">
        <f>IFERROR(__xludf.DUMMYFUNCTION("""COMPUTED_VALUE"""),4.0)</f>
        <v>4</v>
      </c>
      <c r="G1368" t="str">
        <f>IFERROR(__xludf.DUMMYFUNCTION("""COMPUTED_VALUE"""),"Sabun batang 1 Box ( 2 PCS )")</f>
        <v>Sabun batang 1 Box ( 2 PCS )</v>
      </c>
      <c r="H1368" s="469" t="str">
        <f>IFERROR(__xludf.DUMMYFUNCTION("""COMPUTED_VALUE"""),"Sampai")</f>
        <v>Sampai</v>
      </c>
      <c r="I1368" s="470" t="str">
        <f>IFERROR(__xludf.DUMMYFUNCTION("""COMPUTED_VALUE"""),"KIMME")</f>
        <v>KIMME</v>
      </c>
      <c r="J1368" s="471" t="str">
        <f>IFERROR(__xludf.DUMMYFUNCTION("""COMPUTED_VALUE"""),"https://vt.tiktok.com/ZS9cLm5xC/")</f>
        <v>https://vt.tiktok.com/ZS9cLm5xC/</v>
      </c>
      <c r="K1368" s="470" t="str">
        <f>IFERROR(__xludf.DUMMYFUNCTION("""COMPUTED_VALUE"""),"KIMME")</f>
        <v>KIMME</v>
      </c>
      <c r="L1368" s="471" t="str">
        <f>IFERROR(__xludf.DUMMYFUNCTION("""COMPUTED_VALUE"""),"https://www.tiktok.com/@sagitariussone/video/7638239109764353288?_r=1&amp;u_code=dceg7ljggecb01&amp;region=&amp;mid=7184337289072347137&amp;preview_pb=0&amp;sharer_language=&amp;_d=0&amp;ec_shared_reflux_dynamic_params=%7B%22placeholder_material_id%22%3A%227638239109764353288%22%2C%"&amp;"22placeholder_origin_cover%22%3A%22https%253A%252F%252Fp16-common-sign.tiktokcdn.com%252Ftos-alisg-p-0037%252Fo8JDIfsAA7BjAQJgUAQo7VL5ITDA4OeeCyCkGw~tplv-tiktokx-origin.jpeg%253Fdr%253D14572%2526refresh_token%253D838d25f4%2526x-expires%253D1810116000%2526"&amp;"x-signature%253DViU7bqNUgBU50wCWPHAidSMkisk%25253D%2526t%253D4d5b0474%2526ps%253D13740610%2526shp%253Dd05b14bd%2526shcp%253D34ff8df6%2526idc%253Dmy2%2526s%253DTIKTOK_AFFILIATE_VIRAL_VIDEO%22%2C%22placeholder_product_id%22%3A%221729427766722726591%22%2C%22"&amp;"placeholder_video_id%22%3A%227638239109764353288%22%7D&amp;ec_shared_reflux_scene=shop_tab_feed&amp;share_item_id=7638239109764353288&amp;source=h5_t")</f>
        <v>https://www.tiktok.com/@sagitariussone/video/7638239109764353288?_r=1&amp;u_code=dceg7ljggecb01&amp;region=&amp;mid=7184337289072347137&amp;preview_pb=0&amp;sharer_language=&amp;_d=0&amp;ec_shared_reflux_dynamic_params=%7B%22placeholder_material_id%22%3A%227638239109764353288%22%2C%22placeholder_origin_cover%22%3A%22https%253A%252F%252Fp16-common-sign.tiktokcdn.com%252Ftos-alisg-p-0037%252Fo8JDIfsAA7BjAQJgUAQo7VL5ITDA4OeeCyCkGw~tplv-tiktokx-origin.jpeg%253Fdr%253D14572%2526refresh_token%253D838d25f4%2526x-expires%253D1810116000%2526x-signature%253DViU7bqNUgBU50wCWPHAidSMkisk%25253D%2526t%253D4d5b0474%2526ps%253D13740610%2526shp%253Dd05b14bd%2526shcp%253D34ff8df6%2526idc%253Dmy2%2526s%253DTIKTOK_AFFILIATE_VIRAL_VIDEO%22%2C%22placeholder_product_id%22%3A%221729427766722726591%22%2C%22placeholder_video_id%22%3A%227638239109764353288%22%7D&amp;ec_shared_reflux_scene=shop_tab_feed&amp;share_item_id=7638239109764353288&amp;source=h5_t</v>
      </c>
      <c r="M1368" s="470"/>
      <c r="N1368" s="471" t="str">
        <f>IFERROR(__xludf.DUMMYFUNCTION("""COMPUTED_VALUE"""),"https://vt.tiktok.com/ZSxWfWP3s/")</f>
        <v>https://vt.tiktok.com/ZSxWfWP3s/</v>
      </c>
      <c r="O1368" s="470"/>
      <c r="P1368" s="471" t="str">
        <f>IFERROR(__xludf.DUMMYFUNCTION("""COMPUTED_VALUE"""),"https://vt.tiktok.com/ZSxWfg1fB/")</f>
        <v>https://vt.tiktok.com/ZSxWfg1fB/</v>
      </c>
    </row>
    <row r="1369">
      <c r="A1369" s="282" t="str">
        <f>IFERROR(__xludf.DUMMYFUNCTION("""COMPUTED_VALUE"""),"MICRO")</f>
        <v>MICRO</v>
      </c>
      <c r="B1369" s="468" t="str">
        <f>IFERROR(__xludf.DUMMYFUNCTION("""COMPUTED_VALUE"""),"_qna.18")</f>
        <v>_qna.18</v>
      </c>
      <c r="C1369" s="283" t="str">
        <f>IFERROR(__xludf.DUMMYFUNCTION("""COMPUTED_VALUE"""),"https://www.tiktok.com/@_qna.18")</f>
        <v>https://www.tiktok.com/@_qna.18</v>
      </c>
      <c r="D1369" s="273">
        <f>IFERROR(__xludf.DUMMYFUNCTION("""COMPUTED_VALUE"""),8.3896059075E10)</f>
        <v>83896059075</v>
      </c>
      <c r="E1369" s="458">
        <f>IFERROR(__xludf.DUMMYFUNCTION("""COMPUTED_VALUE"""),0.0)</f>
        <v>0</v>
      </c>
      <c r="F1369" s="273">
        <f>IFERROR(__xludf.DUMMYFUNCTION("""COMPUTED_VALUE"""),4.0)</f>
        <v>4</v>
      </c>
      <c r="G1369" t="str">
        <f>IFERROR(__xludf.DUMMYFUNCTION("""COMPUTED_VALUE"""),"Sabun batang 1 Box ( 2 PCS )")</f>
        <v>Sabun batang 1 Box ( 2 PCS )</v>
      </c>
      <c r="H1369" s="469" t="str">
        <f>IFERROR(__xludf.DUMMYFUNCTION("""COMPUTED_VALUE"""),"Sampai")</f>
        <v>Sampai</v>
      </c>
      <c r="I1369" s="470" t="str">
        <f>IFERROR(__xludf.DUMMYFUNCTION("""COMPUTED_VALUE"""),"KIMME")</f>
        <v>KIMME</v>
      </c>
      <c r="J1369" s="471" t="str">
        <f>IFERROR(__xludf.DUMMYFUNCTION("""COMPUTED_VALUE"""),"https://vt.tiktok.com/ZS9VFAUKC/")</f>
        <v>https://vt.tiktok.com/ZS9VFAUKC/</v>
      </c>
      <c r="K1369" s="470" t="str">
        <f>IFERROR(__xludf.DUMMYFUNCTION("""COMPUTED_VALUE"""),"KIMME")</f>
        <v>KIMME</v>
      </c>
      <c r="L1369" s="471" t="str">
        <f>IFERROR(__xludf.DUMMYFUNCTION("""COMPUTED_VALUE"""),"https://www.tiktok.com/@apaajaaaweee/video/7636428159381933333?_r=1&amp;u_code=dfbdg7ca37j010&amp;region=&amp;mid=7636636696360930065&amp;preview_pb=0&amp;sharer_language=&amp;_d=0&amp;ec_shared_reflux_dynamic_params=%7B%22placeholder_material_id%22%3A%227636428159381933333%22%2C%22"&amp;"placeholder_origin_cover%22%3A%22https%253A%252F%252Fp16-common-sign.tiktokcdn.com%252Ftos-alisg-p-0037%252FowIa6TtEbCsydAri0HIAzFEDiyDrfeA1bfyYJg~tplv-tiktokx-origin.jpeg%253Fdr%253D14572%2526refresh_token%253Dd77c93f7%2526x-expires%253D1810116000%2526x-"&amp;"signature%253Drp7MIexGL0a2Nm9H3k8l3XvMS2c%25253D%2526t%253D4d5b0474%2526ps%253D13740610%2526shp%253Dd05b14bd%2526shcp%253D34ff8df6%2526idc%253Dmy2%2526s%253DTIKTOK_AFFILIATE_VIRAL_VIDEO%22%2C%22placeholder_product_id%22%3A%221729427766722726591%22%2C%22pl"&amp;"aceholder_video_id%22%3A%227636428159381933333%22%7D&amp;ec_shared_reflux_scene=shop_tab_feed&amp;share_item_id=7636428159381933333&amp;source=h5_t")</f>
        <v>https://www.tiktok.com/@apaajaaaweee/video/7636428159381933333?_r=1&amp;u_code=dfbdg7ca37j010&amp;region=&amp;mid=7636636696360930065&amp;preview_pb=0&amp;sharer_language=&amp;_d=0&amp;ec_shared_reflux_dynamic_params=%7B%22placeholder_material_id%22%3A%227636428159381933333%22%2C%22placeholder_origin_cover%22%3A%22https%253A%252F%252Fp16-common-sign.tiktokcdn.com%252Ftos-alisg-p-0037%252FowIa6TtEbCsydAri0HIAzFEDiyDrfeA1bfyYJg~tplv-tiktokx-origin.jpeg%253Fdr%253D14572%2526refresh_token%253Dd77c93f7%2526x-expires%253D1810116000%2526x-signature%253Drp7MIexGL0a2Nm9H3k8l3XvMS2c%25253D%2526t%253D4d5b0474%2526ps%253D13740610%2526shp%253Dd05b14bd%2526shcp%253D34ff8df6%2526idc%253Dmy2%2526s%253DTIKTOK_AFFILIATE_VIRAL_VIDEO%22%2C%22placeholder_product_id%22%3A%221729427766722726591%22%2C%22placeholder_video_id%22%3A%227636428159381933333%22%7D&amp;ec_shared_reflux_scene=shop_tab_feed&amp;share_item_id=7636428159381933333&amp;source=h5_t</v>
      </c>
      <c r="M1369" s="470"/>
      <c r="N1369" s="471" t="str">
        <f>IFERROR(__xludf.DUMMYFUNCTION("""COMPUTED_VALUE"""),"https://www.tiktok.com/@mamarahma1111/video/7639741745919511826")</f>
        <v>https://www.tiktok.com/@mamarahma1111/video/7639741745919511826</v>
      </c>
      <c r="O1369" s="470"/>
      <c r="P1369" s="471" t="str">
        <f>IFERROR(__xludf.DUMMYFUNCTION("""COMPUTED_VALUE"""),"https://vt.tiktok.com/ZSxHPrmtV/")</f>
        <v>https://vt.tiktok.com/ZSxHPrmtV/</v>
      </c>
    </row>
    <row r="1370">
      <c r="A1370" s="282" t="str">
        <f>IFERROR(__xludf.DUMMYFUNCTION("""COMPUTED_VALUE"""),"MICRO")</f>
        <v>MICRO</v>
      </c>
      <c r="B1370" s="468" t="str">
        <f>IFERROR(__xludf.DUMMYFUNCTION("""COMPUTED_VALUE"""),"Mama_ndoyinay")</f>
        <v>Mama_ndoyinay</v>
      </c>
      <c r="C1370" s="283" t="str">
        <f>IFERROR(__xludf.DUMMYFUNCTION("""COMPUTED_VALUE"""),"https://www.tiktok.com/@Mama_ndoyinay")</f>
        <v>https://www.tiktok.com/@Mama_ndoyinay</v>
      </c>
      <c r="D1370" s="273">
        <f>IFERROR(__xludf.DUMMYFUNCTION("""COMPUTED_VALUE"""),8.1366714887E10)</f>
        <v>81366714887</v>
      </c>
      <c r="E1370" s="458">
        <f>IFERROR(__xludf.DUMMYFUNCTION("""COMPUTED_VALUE"""),0.0)</f>
        <v>0</v>
      </c>
      <c r="F1370" s="273">
        <f>IFERROR(__xludf.DUMMYFUNCTION("""COMPUTED_VALUE"""),4.0)</f>
        <v>4</v>
      </c>
      <c r="G1370" t="str">
        <f>IFERROR(__xludf.DUMMYFUNCTION("""COMPUTED_VALUE"""),"Sabun batang 1 Box ( 2 PCS )")</f>
        <v>Sabun batang 1 Box ( 2 PCS )</v>
      </c>
      <c r="H1370" s="469" t="str">
        <f>IFERROR(__xludf.DUMMYFUNCTION("""COMPUTED_VALUE"""),"Sampai")</f>
        <v>Sampai</v>
      </c>
      <c r="I1370" s="470" t="str">
        <f>IFERROR(__xludf.DUMMYFUNCTION("""COMPUTED_VALUE"""),"KIMME")</f>
        <v>KIMME</v>
      </c>
      <c r="J1370" s="471" t="str">
        <f>IFERROR(__xludf.DUMMYFUNCTION("""COMPUTED_VALUE"""),"https://vt.tiktok.com/ZS9oPeTxH/")</f>
        <v>https://vt.tiktok.com/ZS9oPeTxH/</v>
      </c>
      <c r="K1370" s="470" t="str">
        <f>IFERROR(__xludf.DUMMYFUNCTION("""COMPUTED_VALUE"""),"KIMME")</f>
        <v>KIMME</v>
      </c>
      <c r="L1370" s="471" t="str">
        <f>IFERROR(__xludf.DUMMYFUNCTION("""COMPUTED_VALUE"""),"https://vt.tiktok.com/ZS9oPdyhY/")</f>
        <v>https://vt.tiktok.com/ZS9oPdyhY/</v>
      </c>
      <c r="M1370" s="470"/>
      <c r="N1370" s="471" t="str">
        <f>IFERROR(__xludf.DUMMYFUNCTION("""COMPUTED_VALUE"""),"https://vt.tiktok.com/ZS9ofw7tD/")</f>
        <v>https://vt.tiktok.com/ZS9ofw7tD/</v>
      </c>
      <c r="O1370" s="470"/>
      <c r="P1370" s="471" t="str">
        <f>IFERROR(__xludf.DUMMYFUNCTION("""COMPUTED_VALUE"""),"https://vt.tiktok.com/ZS9ofvQAe/")</f>
        <v>https://vt.tiktok.com/ZS9ofvQAe/</v>
      </c>
    </row>
    <row r="1371">
      <c r="A1371" s="282" t="str">
        <f>IFERROR(__xludf.DUMMYFUNCTION("""COMPUTED_VALUE"""),"MICRO")</f>
        <v>MICRO</v>
      </c>
      <c r="B1371" s="468" t="str">
        <f>IFERROR(__xludf.DUMMYFUNCTION("""COMPUTED_VALUE"""),"Bu.m1")</f>
        <v>Bu.m1</v>
      </c>
      <c r="C1371" s="283" t="str">
        <f>IFERROR(__xludf.DUMMYFUNCTION("""COMPUTED_VALUE"""),"https://www.tiktok.com/@Bu.m1")</f>
        <v>https://www.tiktok.com/@Bu.m1</v>
      </c>
      <c r="D1371" s="273">
        <f>IFERROR(__xludf.DUMMYFUNCTION("""COMPUTED_VALUE"""),8.3843242002E10)</f>
        <v>83843242002</v>
      </c>
      <c r="E1371" s="458">
        <f>IFERROR(__xludf.DUMMYFUNCTION("""COMPUTED_VALUE"""),0.0)</f>
        <v>0</v>
      </c>
      <c r="F1371" s="273">
        <f>IFERROR(__xludf.DUMMYFUNCTION("""COMPUTED_VALUE"""),4.0)</f>
        <v>4</v>
      </c>
      <c r="G1371" t="str">
        <f>IFERROR(__xludf.DUMMYFUNCTION("""COMPUTED_VALUE"""),"Sabun batang 1 Box ( 2 PCS )")</f>
        <v>Sabun batang 1 Box ( 2 PCS )</v>
      </c>
      <c r="H1371" s="469" t="str">
        <f>IFERROR(__xludf.DUMMYFUNCTION("""COMPUTED_VALUE"""),"Sampai")</f>
        <v>Sampai</v>
      </c>
      <c r="I1371" s="470" t="str">
        <f>IFERROR(__xludf.DUMMYFUNCTION("""COMPUTED_VALUE"""),"KIMME")</f>
        <v>KIMME</v>
      </c>
      <c r="J1371" s="471" t="str">
        <f>IFERROR(__xludf.DUMMYFUNCTION("""COMPUTED_VALUE"""),"https://vt.tiktok.com/ZS9fSvFSw/")</f>
        <v>https://vt.tiktok.com/ZS9fSvFSw/</v>
      </c>
      <c r="K1371" s="470" t="str">
        <f>IFERROR(__xludf.DUMMYFUNCTION("""COMPUTED_VALUE"""),"KIMME")</f>
        <v>KIMME</v>
      </c>
      <c r="L1371" s="471" t="str">
        <f>IFERROR(__xludf.DUMMYFUNCTION("""COMPUTED_VALUE"""),"https://vt.tiktok.com/ZS9fSWD5R/")</f>
        <v>https://vt.tiktok.com/ZS9fSWD5R/</v>
      </c>
      <c r="M1371" s="470"/>
      <c r="N1371" s="471" t="str">
        <f>IFERROR(__xludf.DUMMYFUNCTION("""COMPUTED_VALUE"""),"https://vt.tiktok.com/ZS9fA1h67/")</f>
        <v>https://vt.tiktok.com/ZS9fA1h67/</v>
      </c>
      <c r="O1371" s="470"/>
      <c r="P1371" s="471" t="str">
        <f>IFERROR(__xludf.DUMMYFUNCTION("""COMPUTED_VALUE"""),"https://vt.tiktok.com/ZS9fAF7FH/")</f>
        <v>https://vt.tiktok.com/ZS9fAF7FH/</v>
      </c>
    </row>
    <row r="1372">
      <c r="A1372" s="282" t="str">
        <f>IFERROR(__xludf.DUMMYFUNCTION("""COMPUTED_VALUE"""),"MICRO")</f>
        <v>MICRO</v>
      </c>
      <c r="B1372" s="468" t="str">
        <f>IFERROR(__xludf.DUMMYFUNCTION("""COMPUTED_VALUE"""),"jazlynes")</f>
        <v>jazlynes</v>
      </c>
      <c r="C1372" s="283" t="str">
        <f>IFERROR(__xludf.DUMMYFUNCTION("""COMPUTED_VALUE"""),"https://www.tiktok.com/@jazlynes")</f>
        <v>https://www.tiktok.com/@jazlynes</v>
      </c>
      <c r="D1372" s="273">
        <f>IFERROR(__xludf.DUMMYFUNCTION("""COMPUTED_VALUE"""),8.9671094333E10)</f>
        <v>89671094333</v>
      </c>
      <c r="E1372" s="458">
        <f>IFERROR(__xludf.DUMMYFUNCTION("""COMPUTED_VALUE"""),0.0)</f>
        <v>0</v>
      </c>
      <c r="F1372" s="273">
        <f>IFERROR(__xludf.DUMMYFUNCTION("""COMPUTED_VALUE"""),4.0)</f>
        <v>4</v>
      </c>
      <c r="G1372" t="str">
        <f>IFERROR(__xludf.DUMMYFUNCTION("""COMPUTED_VALUE"""),"Sabun batang 1 Box ( 2 PCS )")</f>
        <v>Sabun batang 1 Box ( 2 PCS )</v>
      </c>
      <c r="H1372" s="469" t="str">
        <f>IFERROR(__xludf.DUMMYFUNCTION("""COMPUTED_VALUE"""),"Sampai")</f>
        <v>Sampai</v>
      </c>
      <c r="I1372" s="470" t="str">
        <f>IFERROR(__xludf.DUMMYFUNCTION("""COMPUTED_VALUE"""),"KIMME")</f>
        <v>KIMME</v>
      </c>
      <c r="J1372" s="471" t="str">
        <f>IFERROR(__xludf.DUMMYFUNCTION("""COMPUTED_VALUE"""),"https://vt.tiktok.com/ZS9fSvFSw/")</f>
        <v>https://vt.tiktok.com/ZS9fSvFSw/</v>
      </c>
      <c r="K1372" s="470" t="str">
        <f>IFERROR(__xludf.DUMMYFUNCTION("""COMPUTED_VALUE"""),"KIMME")</f>
        <v>KIMME</v>
      </c>
      <c r="L1372" s="471" t="str">
        <f>IFERROR(__xludf.DUMMYFUNCTION("""COMPUTED_VALUE"""),"https://vt.tiktok.com/ZS9fSWD5R/")</f>
        <v>https://vt.tiktok.com/ZS9fSWD5R/</v>
      </c>
      <c r="M1372" s="470"/>
      <c r="N1372" s="471" t="str">
        <f>IFERROR(__xludf.DUMMYFUNCTION("""COMPUTED_VALUE"""),"https://vt.tiktok.com/ZS9fA1h67/")</f>
        <v>https://vt.tiktok.com/ZS9fA1h67/</v>
      </c>
      <c r="O1372" s="470"/>
      <c r="P1372" s="471" t="str">
        <f>IFERROR(__xludf.DUMMYFUNCTION("""COMPUTED_VALUE"""),"https://vt.tiktok.com/ZS9fAF7FH/")</f>
        <v>https://vt.tiktok.com/ZS9fAF7FH/</v>
      </c>
    </row>
    <row r="1373">
      <c r="A1373" s="282" t="str">
        <f>IFERROR(__xludf.DUMMYFUNCTION("""COMPUTED_VALUE"""),"MICRO")</f>
        <v>MICRO</v>
      </c>
      <c r="B1373" s="468" t="str">
        <f>IFERROR(__xludf.DUMMYFUNCTION("""COMPUTED_VALUE"""),"vinasilviaaa")</f>
        <v>vinasilviaaa</v>
      </c>
      <c r="C1373" s="283" t="str">
        <f>IFERROR(__xludf.DUMMYFUNCTION("""COMPUTED_VALUE"""),"https://www.tiktok.com/@vinasilviaaa")</f>
        <v>https://www.tiktok.com/@vinasilviaaa</v>
      </c>
      <c r="D1373" s="273">
        <f>IFERROR(__xludf.DUMMYFUNCTION("""COMPUTED_VALUE"""),8.2143181783E10)</f>
        <v>82143181783</v>
      </c>
      <c r="E1373" s="458">
        <f>IFERROR(__xludf.DUMMYFUNCTION("""COMPUTED_VALUE"""),0.0)</f>
        <v>0</v>
      </c>
      <c r="F1373" s="273">
        <f>IFERROR(__xludf.DUMMYFUNCTION("""COMPUTED_VALUE"""),4.0)</f>
        <v>4</v>
      </c>
      <c r="G1373" t="str">
        <f>IFERROR(__xludf.DUMMYFUNCTION("""COMPUTED_VALUE"""),"Sabun batang 1 Box ( 2 PCS )")</f>
        <v>Sabun batang 1 Box ( 2 PCS )</v>
      </c>
      <c r="H1373" s="469" t="str">
        <f>IFERROR(__xludf.DUMMYFUNCTION("""COMPUTED_VALUE"""),"Sampai")</f>
        <v>Sampai</v>
      </c>
      <c r="I1373" s="470" t="str">
        <f>IFERROR(__xludf.DUMMYFUNCTION("""COMPUTED_VALUE"""),"KIMME")</f>
        <v>KIMME</v>
      </c>
      <c r="J1373" s="471" t="str">
        <f>IFERROR(__xludf.DUMMYFUNCTION("""COMPUTED_VALUE"""),"https://vt.tiktok.com/ZS9fSvFSw/")</f>
        <v>https://vt.tiktok.com/ZS9fSvFSw/</v>
      </c>
      <c r="K1373" s="470" t="str">
        <f>IFERROR(__xludf.DUMMYFUNCTION("""COMPUTED_VALUE"""),"KIMME")</f>
        <v>KIMME</v>
      </c>
      <c r="L1373" s="471" t="str">
        <f>IFERROR(__xludf.DUMMYFUNCTION("""COMPUTED_VALUE"""),"https://vt.tiktok.com/ZS9fSWD5R/")</f>
        <v>https://vt.tiktok.com/ZS9fSWD5R/</v>
      </c>
      <c r="M1373" s="470"/>
      <c r="N1373" s="471" t="str">
        <f>IFERROR(__xludf.DUMMYFUNCTION("""COMPUTED_VALUE"""),"https://vt.tiktok.com/ZS9fA1h67/")</f>
        <v>https://vt.tiktok.com/ZS9fA1h67/</v>
      </c>
      <c r="O1373" s="470"/>
      <c r="P1373" s="471" t="str">
        <f>IFERROR(__xludf.DUMMYFUNCTION("""COMPUTED_VALUE"""),"https://vt.tiktok.com/ZS9fAF7FH/")</f>
        <v>https://vt.tiktok.com/ZS9fAF7FH/</v>
      </c>
    </row>
    <row r="1374">
      <c r="A1374" s="282" t="str">
        <f>IFERROR(__xludf.DUMMYFUNCTION("""COMPUTED_VALUE"""),"MICRO")</f>
        <v>MICRO</v>
      </c>
      <c r="B1374" s="468" t="str">
        <f>IFERROR(__xludf.DUMMYFUNCTION("""COMPUTED_VALUE"""),"darmabeautyaja")</f>
        <v>darmabeautyaja</v>
      </c>
      <c r="C1374" s="283" t="str">
        <f>IFERROR(__xludf.DUMMYFUNCTION("""COMPUTED_VALUE"""),"https://www.tiktok.com/@darmabeautyaja")</f>
        <v>https://www.tiktok.com/@darmabeautyaja</v>
      </c>
      <c r="D1374" s="273">
        <f>IFERROR(__xludf.DUMMYFUNCTION("""COMPUTED_VALUE"""),8.2345341442E10)</f>
        <v>82345341442</v>
      </c>
      <c r="E1374" s="458">
        <f>IFERROR(__xludf.DUMMYFUNCTION("""COMPUTED_VALUE"""),0.0)</f>
        <v>0</v>
      </c>
      <c r="F1374" s="273">
        <f>IFERROR(__xludf.DUMMYFUNCTION("""COMPUTED_VALUE"""),4.0)</f>
        <v>4</v>
      </c>
      <c r="G1374" t="str">
        <f>IFERROR(__xludf.DUMMYFUNCTION("""COMPUTED_VALUE"""),"Sabun batang 1 Box ( 2 PCS )")</f>
        <v>Sabun batang 1 Box ( 2 PCS )</v>
      </c>
      <c r="H1374" s="469" t="str">
        <f>IFERROR(__xludf.DUMMYFUNCTION("""COMPUTED_VALUE"""),"Sampai")</f>
        <v>Sampai</v>
      </c>
      <c r="I1374" s="470" t="str">
        <f>IFERROR(__xludf.DUMMYFUNCTION("""COMPUTED_VALUE"""),"KIMME")</f>
        <v>KIMME</v>
      </c>
      <c r="J1374" s="471" t="str">
        <f>IFERROR(__xludf.DUMMYFUNCTION("""COMPUTED_VALUE"""),"https://vt.tiktok.com/ZS9fSvFSw/")</f>
        <v>https://vt.tiktok.com/ZS9fSvFSw/</v>
      </c>
      <c r="K1374" s="470" t="str">
        <f>IFERROR(__xludf.DUMMYFUNCTION("""COMPUTED_VALUE"""),"KIMME")</f>
        <v>KIMME</v>
      </c>
      <c r="L1374" s="471" t="str">
        <f>IFERROR(__xludf.DUMMYFUNCTION("""COMPUTED_VALUE"""),"https://vt.tiktok.com/ZS9fSWD5R/")</f>
        <v>https://vt.tiktok.com/ZS9fSWD5R/</v>
      </c>
      <c r="M1374" s="470"/>
      <c r="N1374" s="471" t="str">
        <f>IFERROR(__xludf.DUMMYFUNCTION("""COMPUTED_VALUE"""),"https://vt.tiktok.com/ZS9fA1h67/")</f>
        <v>https://vt.tiktok.com/ZS9fA1h67/</v>
      </c>
      <c r="O1374" s="470"/>
      <c r="P1374" s="471" t="str">
        <f>IFERROR(__xludf.DUMMYFUNCTION("""COMPUTED_VALUE"""),"https://vt.tiktok.com/ZS9fAF7FH/")</f>
        <v>https://vt.tiktok.com/ZS9fAF7FH/</v>
      </c>
    </row>
    <row r="1375">
      <c r="A1375" s="282" t="str">
        <f>IFERROR(__xludf.DUMMYFUNCTION("""COMPUTED_VALUE"""),"MICRO")</f>
        <v>MICRO</v>
      </c>
      <c r="B1375" s="468" t="str">
        <f>IFERROR(__xludf.DUMMYFUNCTION("""COMPUTED_VALUE"""),"Pipi_libra021")</f>
        <v>Pipi_libra021</v>
      </c>
      <c r="C1375" s="283" t="str">
        <f>IFERROR(__xludf.DUMMYFUNCTION("""COMPUTED_VALUE"""),"https://www.tiktok.com/@Pipi_libra021")</f>
        <v>https://www.tiktok.com/@Pipi_libra021</v>
      </c>
      <c r="D1375" s="273">
        <f>IFERROR(__xludf.DUMMYFUNCTION("""COMPUTED_VALUE"""),8.567472919E9)</f>
        <v>8567472919</v>
      </c>
      <c r="E1375" s="458">
        <f>IFERROR(__xludf.DUMMYFUNCTION("""COMPUTED_VALUE"""),0.0)</f>
        <v>0</v>
      </c>
      <c r="F1375" s="273">
        <f>IFERROR(__xludf.DUMMYFUNCTION("""COMPUTED_VALUE"""),4.0)</f>
        <v>4</v>
      </c>
      <c r="G1375" t="str">
        <f>IFERROR(__xludf.DUMMYFUNCTION("""COMPUTED_VALUE"""),"Sabun batang 1 Box ( 2 PCS )")</f>
        <v>Sabun batang 1 Box ( 2 PCS )</v>
      </c>
      <c r="H1375" s="469" t="str">
        <f>IFERROR(__xludf.DUMMYFUNCTION("""COMPUTED_VALUE"""),"Sampai")</f>
        <v>Sampai</v>
      </c>
      <c r="I1375" s="470" t="str">
        <f>IFERROR(__xludf.DUMMYFUNCTION("""COMPUTED_VALUE"""),"KIMME")</f>
        <v>KIMME</v>
      </c>
      <c r="J1375" s="471" t="str">
        <f>IFERROR(__xludf.DUMMYFUNCTION("""COMPUTED_VALUE"""),"https://vt.tiktok.com/ZS9fSvFSw/")</f>
        <v>https://vt.tiktok.com/ZS9fSvFSw/</v>
      </c>
      <c r="K1375" s="470" t="str">
        <f>IFERROR(__xludf.DUMMYFUNCTION("""COMPUTED_VALUE"""),"KIMME")</f>
        <v>KIMME</v>
      </c>
      <c r="L1375" s="471" t="str">
        <f>IFERROR(__xludf.DUMMYFUNCTION("""COMPUTED_VALUE"""),"https://vt.tiktok.com/ZS9fSWD5R/")</f>
        <v>https://vt.tiktok.com/ZS9fSWD5R/</v>
      </c>
      <c r="M1375" s="470"/>
      <c r="N1375" s="471" t="str">
        <f>IFERROR(__xludf.DUMMYFUNCTION("""COMPUTED_VALUE"""),"https://vt.tiktok.com/ZS9fA1h67/")</f>
        <v>https://vt.tiktok.com/ZS9fA1h67/</v>
      </c>
      <c r="O1375" s="470"/>
      <c r="P1375" s="471" t="str">
        <f>IFERROR(__xludf.DUMMYFUNCTION("""COMPUTED_VALUE"""),"https://vt.tiktok.com/ZS9fAF7FH/")</f>
        <v>https://vt.tiktok.com/ZS9fAF7FH/</v>
      </c>
    </row>
    <row r="1376">
      <c r="A1376" s="282" t="str">
        <f>IFERROR(__xludf.DUMMYFUNCTION("""COMPUTED_VALUE"""),"MICRO")</f>
        <v>MICRO</v>
      </c>
      <c r="B1376" s="468" t="str">
        <f>IFERROR(__xludf.DUMMYFUNCTION("""COMPUTED_VALUE"""),"lidyafebriy")</f>
        <v>lidyafebriy</v>
      </c>
      <c r="C1376" s="283" t="str">
        <f>IFERROR(__xludf.DUMMYFUNCTION("""COMPUTED_VALUE"""),"https://www.tiktok.com/@lidyafebriy")</f>
        <v>https://www.tiktok.com/@lidyafebriy</v>
      </c>
      <c r="D1376" s="273">
        <f>IFERROR(__xludf.DUMMYFUNCTION("""COMPUTED_VALUE"""),8.9668607392E10)</f>
        <v>89668607392</v>
      </c>
      <c r="E1376" s="458">
        <f>IFERROR(__xludf.DUMMYFUNCTION("""COMPUTED_VALUE"""),100000.0)</f>
        <v>100000</v>
      </c>
      <c r="F1376" s="273">
        <f>IFERROR(__xludf.DUMMYFUNCTION("""COMPUTED_VALUE"""),2.0)</f>
        <v>2</v>
      </c>
      <c r="G1376" t="str">
        <f>IFERROR(__xludf.DUMMYFUNCTION("""COMPUTED_VALUE"""),"Sabun batang 1 Box ( 2 PCS )")</f>
        <v>Sabun batang 1 Box ( 2 PCS )</v>
      </c>
      <c r="H1376" s="469" t="str">
        <f>IFERROR(__xludf.DUMMYFUNCTION("""COMPUTED_VALUE"""),"Sampai")</f>
        <v>Sampai</v>
      </c>
      <c r="I1376" s="470" t="str">
        <f>IFERROR(__xludf.DUMMYFUNCTION("""COMPUTED_VALUE"""),"KIMME")</f>
        <v>KIMME</v>
      </c>
      <c r="J1376" s="471" t="str">
        <f>IFERROR(__xludf.DUMMYFUNCTION("""COMPUTED_VALUE"""),"https://vt.tiktok.com/ZS9fSvFSw/")</f>
        <v>https://vt.tiktok.com/ZS9fSvFSw/</v>
      </c>
      <c r="K1376" s="470" t="str">
        <f>IFERROR(__xludf.DUMMYFUNCTION("""COMPUTED_VALUE"""),"KIMME")</f>
        <v>KIMME</v>
      </c>
      <c r="L1376" s="471" t="str">
        <f>IFERROR(__xludf.DUMMYFUNCTION("""COMPUTED_VALUE"""),"https://vt.tiktok.com/ZS9fSWD5R/")</f>
        <v>https://vt.tiktok.com/ZS9fSWD5R/</v>
      </c>
      <c r="M1376" s="470"/>
      <c r="N1376" s="471" t="str">
        <f>IFERROR(__xludf.DUMMYFUNCTION("""COMPUTED_VALUE"""),"https://vt.tiktok.com/ZS9fA1h67/")</f>
        <v>https://vt.tiktok.com/ZS9fA1h67/</v>
      </c>
      <c r="O1376" s="470"/>
      <c r="P1376" s="471" t="str">
        <f>IFERROR(__xludf.DUMMYFUNCTION("""COMPUTED_VALUE"""),"https://vt.tiktok.com/ZS9fAF7FH/")</f>
        <v>https://vt.tiktok.com/ZS9fAF7FH/</v>
      </c>
    </row>
    <row r="1377">
      <c r="A1377" s="282" t="str">
        <f>IFERROR(__xludf.DUMMYFUNCTION("""COMPUTED_VALUE"""),"MICRO")</f>
        <v>MICRO</v>
      </c>
      <c r="B1377" s="468" t="str">
        <f>IFERROR(__xludf.DUMMYFUNCTION("""COMPUTED_VALUE"""),"hxxs1")</f>
        <v>hxxs1</v>
      </c>
      <c r="C1377" s="283" t="str">
        <f>IFERROR(__xludf.DUMMYFUNCTION("""COMPUTED_VALUE"""),"https://www.tiktok.com/@hxxs1")</f>
        <v>https://www.tiktok.com/@hxxs1</v>
      </c>
      <c r="D1377" s="273">
        <f>IFERROR(__xludf.DUMMYFUNCTION("""COMPUTED_VALUE"""),8.5720988135E10)</f>
        <v>85720988135</v>
      </c>
      <c r="E1377" s="458">
        <f>IFERROR(__xludf.DUMMYFUNCTION("""COMPUTED_VALUE"""),0.0)</f>
        <v>0</v>
      </c>
      <c r="F1377" s="273">
        <f>IFERROR(__xludf.DUMMYFUNCTION("""COMPUTED_VALUE"""),4.0)</f>
        <v>4</v>
      </c>
      <c r="G1377" t="str">
        <f>IFERROR(__xludf.DUMMYFUNCTION("""COMPUTED_VALUE"""),"Sabun batang 1 Box ( 2 PCS )")</f>
        <v>Sabun batang 1 Box ( 2 PCS )</v>
      </c>
      <c r="H1377" s="469" t="str">
        <f>IFERROR(__xludf.DUMMYFUNCTION("""COMPUTED_VALUE"""),"Sampai")</f>
        <v>Sampai</v>
      </c>
      <c r="I1377" s="470" t="str">
        <f>IFERROR(__xludf.DUMMYFUNCTION("""COMPUTED_VALUE"""),"KIMME")</f>
        <v>KIMME</v>
      </c>
      <c r="J1377" s="471" t="str">
        <f>IFERROR(__xludf.DUMMYFUNCTION("""COMPUTED_VALUE"""),"https://vt.tiktok.com/ZS9fSvFSw/")</f>
        <v>https://vt.tiktok.com/ZS9fSvFSw/</v>
      </c>
      <c r="K1377" s="470" t="str">
        <f>IFERROR(__xludf.DUMMYFUNCTION("""COMPUTED_VALUE"""),"KIMME")</f>
        <v>KIMME</v>
      </c>
      <c r="L1377" s="471" t="str">
        <f>IFERROR(__xludf.DUMMYFUNCTION("""COMPUTED_VALUE"""),"https://vt.tiktok.com/ZS9fSWD5R/")</f>
        <v>https://vt.tiktok.com/ZS9fSWD5R/</v>
      </c>
      <c r="M1377" s="470"/>
      <c r="N1377" s="471" t="str">
        <f>IFERROR(__xludf.DUMMYFUNCTION("""COMPUTED_VALUE"""),"https://vt.tiktok.com/ZS9fA1h67/")</f>
        <v>https://vt.tiktok.com/ZS9fA1h67/</v>
      </c>
      <c r="O1377" s="470"/>
      <c r="P1377" s="471" t="str">
        <f>IFERROR(__xludf.DUMMYFUNCTION("""COMPUTED_VALUE"""),"https://vt.tiktok.com/ZS9fAF7FH/")</f>
        <v>https://vt.tiktok.com/ZS9fAF7FH/</v>
      </c>
    </row>
    <row r="1378">
      <c r="A1378" s="282" t="str">
        <f>IFERROR(__xludf.DUMMYFUNCTION("""COMPUTED_VALUE"""),"MICRO")</f>
        <v>MICRO</v>
      </c>
      <c r="B1378" s="468" t="str">
        <f>IFERROR(__xludf.DUMMYFUNCTION("""COMPUTED_VALUE"""),"fbrynanisaa")</f>
        <v>fbrynanisaa</v>
      </c>
      <c r="C1378" s="283" t="str">
        <f>IFERROR(__xludf.DUMMYFUNCTION("""COMPUTED_VALUE"""),"https://www.tiktok.com/@fbrynanisaa")</f>
        <v>https://www.tiktok.com/@fbrynanisaa</v>
      </c>
      <c r="D1378" s="273">
        <f>IFERROR(__xludf.DUMMYFUNCTION("""COMPUTED_VALUE"""),8.95322062355E11)</f>
        <v>895322062355</v>
      </c>
      <c r="E1378" s="458">
        <f>IFERROR(__xludf.DUMMYFUNCTION("""COMPUTED_VALUE"""),0.0)</f>
        <v>0</v>
      </c>
      <c r="F1378" s="273">
        <f>IFERROR(__xludf.DUMMYFUNCTION("""COMPUTED_VALUE"""),4.0)</f>
        <v>4</v>
      </c>
      <c r="G1378" t="str">
        <f>IFERROR(__xludf.DUMMYFUNCTION("""COMPUTED_VALUE"""),"Sabun batang 1 Box ( 2 PCS )")</f>
        <v>Sabun batang 1 Box ( 2 PCS )</v>
      </c>
      <c r="H1378" s="469" t="str">
        <f>IFERROR(__xludf.DUMMYFUNCTION("""COMPUTED_VALUE"""),"Sampai")</f>
        <v>Sampai</v>
      </c>
      <c r="I1378" s="470" t="str">
        <f>IFERROR(__xludf.DUMMYFUNCTION("""COMPUTED_VALUE"""),"KIMME")</f>
        <v>KIMME</v>
      </c>
      <c r="J1378" s="471" t="str">
        <f>IFERROR(__xludf.DUMMYFUNCTION("""COMPUTED_VALUE"""),"https://vt.tiktok.com/ZS9yp16xC/")</f>
        <v>https://vt.tiktok.com/ZS9yp16xC/</v>
      </c>
      <c r="K1378" s="470" t="str">
        <f>IFERROR(__xludf.DUMMYFUNCTION("""COMPUTED_VALUE"""),"KIMME")</f>
        <v>KIMME</v>
      </c>
      <c r="L1378" s="471" t="str">
        <f>IFERROR(__xludf.DUMMYFUNCTION("""COMPUTED_VALUE"""),"https://vt.tiktok.com/ZS9QFXV9x/")</f>
        <v>https://vt.tiktok.com/ZS9QFXV9x/</v>
      </c>
      <c r="M1378" s="470"/>
      <c r="N1378" t="str">
        <f>IFERROR(__xludf.DUMMYFUNCTION("""COMPUTED_VALUE"""),"⁠https://vt.tiktok.com/ZS9QF95N4/")</f>
        <v>⁠https://vt.tiktok.com/ZS9QF95N4/</v>
      </c>
      <c r="O1378" s="470"/>
      <c r="P1378" t="str">
        <f>IFERROR(__xludf.DUMMYFUNCTION("""COMPUTED_VALUE"""),"⁠https://vt.tiktok.com/ZS9QFSF1C/")</f>
        <v>⁠https://vt.tiktok.com/ZS9QFSF1C/</v>
      </c>
    </row>
    <row r="1379">
      <c r="A1379" s="282" t="str">
        <f>IFERROR(__xludf.DUMMYFUNCTION("""COMPUTED_VALUE"""),"MICRO")</f>
        <v>MICRO</v>
      </c>
      <c r="B1379" s="468" t="str">
        <f>IFERROR(__xludf.DUMMYFUNCTION("""COMPUTED_VALUE"""),"nisada712")</f>
        <v>nisada712</v>
      </c>
      <c r="C1379" s="283" t="str">
        <f>IFERROR(__xludf.DUMMYFUNCTION("""COMPUTED_VALUE"""),"https://www.tiktok.com/@nisada712")</f>
        <v>https://www.tiktok.com/@nisada712</v>
      </c>
      <c r="D1379" s="273">
        <f>IFERROR(__xludf.DUMMYFUNCTION("""COMPUTED_VALUE"""),8.95391925692E11)</f>
        <v>895391925692</v>
      </c>
      <c r="E1379" s="458">
        <f>IFERROR(__xludf.DUMMYFUNCTION("""COMPUTED_VALUE"""),0.0)</f>
        <v>0</v>
      </c>
      <c r="F1379" s="273">
        <f>IFERROR(__xludf.DUMMYFUNCTION("""COMPUTED_VALUE"""),2.0)</f>
        <v>2</v>
      </c>
      <c r="G1379" t="str">
        <f>IFERROR(__xludf.DUMMYFUNCTION("""COMPUTED_VALUE"""),"Sabun batang 1 Box ( 2 PCS )")</f>
        <v>Sabun batang 1 Box ( 2 PCS )</v>
      </c>
      <c r="H1379" s="469" t="str">
        <f>IFERROR(__xludf.DUMMYFUNCTION("""COMPUTED_VALUE"""),"Sampai")</f>
        <v>Sampai</v>
      </c>
      <c r="I1379" s="470" t="str">
        <f>IFERROR(__xludf.DUMMYFUNCTION("""COMPUTED_VALUE"""),"KIMME")</f>
        <v>KIMME</v>
      </c>
      <c r="J1379" s="471" t="str">
        <f>IFERROR(__xludf.DUMMYFUNCTION("""COMPUTED_VALUE"""),"https://vt.tiktok.com/ZSx1J4NuD/")</f>
        <v>https://vt.tiktok.com/ZSx1J4NuD/</v>
      </c>
      <c r="K1379" s="470" t="str">
        <f>IFERROR(__xludf.DUMMYFUNCTION("""COMPUTED_VALUE"""),"KIMME")</f>
        <v>KIMME</v>
      </c>
      <c r="L1379" s="471" t="str">
        <f>IFERROR(__xludf.DUMMYFUNCTION("""COMPUTED_VALUE"""),"https://vt.tiktok.com/ZSxms9SvV/")</f>
        <v>https://vt.tiktok.com/ZSxms9SvV/</v>
      </c>
      <c r="M1379" s="470"/>
      <c r="N1379" s="471" t="str">
        <f>IFERROR(__xludf.DUMMYFUNCTION("""COMPUTED_VALUE"""),"https://vt.tiktok.com/ZSxWf6poM/")</f>
        <v>https://vt.tiktok.com/ZSxWf6poM/</v>
      </c>
      <c r="O1379" s="470"/>
      <c r="P1379" s="471" t="str">
        <f>IFERROR(__xludf.DUMMYFUNCTION("""COMPUTED_VALUE"""),"https://vt.tiktok.com/ZSxWfk2SA/")</f>
        <v>https://vt.tiktok.com/ZSxWfk2SA/</v>
      </c>
    </row>
    <row r="1380">
      <c r="A1380" s="282" t="str">
        <f>IFERROR(__xludf.DUMMYFUNCTION("""COMPUTED_VALUE"""),"MACRO")</f>
        <v>MACRO</v>
      </c>
      <c r="B1380" s="468" t="str">
        <f>IFERROR(__xludf.DUMMYFUNCTION("""COMPUTED_VALUE"""),"zulfafnnisa")</f>
        <v>zulfafnnisa</v>
      </c>
      <c r="C1380" s="283" t="str">
        <f>IFERROR(__xludf.DUMMYFUNCTION("""COMPUTED_VALUE"""),"https://www.tiktok.com/@zulfafnnisa")</f>
        <v>https://www.tiktok.com/@zulfafnnisa</v>
      </c>
      <c r="D1380" s="273">
        <f>IFERROR(__xludf.DUMMYFUNCTION("""COMPUTED_VALUE"""),8.2321254898E10)</f>
        <v>82321254898</v>
      </c>
      <c r="E1380" s="458">
        <f>IFERROR(__xludf.DUMMYFUNCTION("""COMPUTED_VALUE"""),0.0)</f>
        <v>0</v>
      </c>
      <c r="F1380" s="273">
        <f>IFERROR(__xludf.DUMMYFUNCTION("""COMPUTED_VALUE"""),4.0)</f>
        <v>4</v>
      </c>
      <c r="G1380" t="str">
        <f>IFERROR(__xludf.DUMMYFUNCTION("""COMPUTED_VALUE"""),"Sabun batang 1 Box ( 2 PCS )")</f>
        <v>Sabun batang 1 Box ( 2 PCS )</v>
      </c>
      <c r="H1380" s="469" t="str">
        <f>IFERROR(__xludf.DUMMYFUNCTION("""COMPUTED_VALUE"""),"Sampai")</f>
        <v>Sampai</v>
      </c>
      <c r="I1380" s="470" t="str">
        <f>IFERROR(__xludf.DUMMYFUNCTION("""COMPUTED_VALUE"""),"KIMME")</f>
        <v>KIMME</v>
      </c>
      <c r="K1380" s="470" t="str">
        <f>IFERROR(__xludf.DUMMYFUNCTION("""COMPUTED_VALUE"""),"KIMME")</f>
        <v>KIMME</v>
      </c>
      <c r="M1380" s="470"/>
      <c r="O1380" s="470"/>
    </row>
    <row r="1381">
      <c r="A1381" s="282" t="str">
        <f>IFERROR(__xludf.DUMMYFUNCTION("""COMPUTED_VALUE"""),"MICRO")</f>
        <v>MICRO</v>
      </c>
      <c r="B1381" s="468" t="str">
        <f>IFERROR(__xludf.DUMMYFUNCTION("""COMPUTED_VALUE"""),"innkartinii_")</f>
        <v>innkartinii_</v>
      </c>
      <c r="C1381" s="283" t="str">
        <f>IFERROR(__xludf.DUMMYFUNCTION("""COMPUTED_VALUE"""),"https://www.tiktok.com/@innkartinii_")</f>
        <v>https://www.tiktok.com/@innkartinii_</v>
      </c>
      <c r="D1381" s="273">
        <f>IFERROR(__xludf.DUMMYFUNCTION("""COMPUTED_VALUE"""),8.570300244E10)</f>
        <v>85703002440</v>
      </c>
      <c r="E1381" s="458">
        <f>IFERROR(__xludf.DUMMYFUNCTION("""COMPUTED_VALUE"""),0.0)</f>
        <v>0</v>
      </c>
      <c r="F1381" s="273">
        <f>IFERROR(__xludf.DUMMYFUNCTION("""COMPUTED_VALUE"""),4.0)</f>
        <v>4</v>
      </c>
      <c r="G1381" t="str">
        <f>IFERROR(__xludf.DUMMYFUNCTION("""COMPUTED_VALUE"""),"Sabun batang 1 Box ( 2 PCS )")</f>
        <v>Sabun batang 1 Box ( 2 PCS )</v>
      </c>
      <c r="H1381" s="469" t="str">
        <f>IFERROR(__xludf.DUMMYFUNCTION("""COMPUTED_VALUE"""),"Sampai")</f>
        <v>Sampai</v>
      </c>
      <c r="I1381" s="470" t="str">
        <f>IFERROR(__xludf.DUMMYFUNCTION("""COMPUTED_VALUE"""),"KIMME")</f>
        <v>KIMME</v>
      </c>
      <c r="J1381" s="471" t="str">
        <f>IFERROR(__xludf.DUMMYFUNCTION("""COMPUTED_VALUE"""),"https://vt.tiktok.com/ZS9qe6k56/")</f>
        <v>https://vt.tiktok.com/ZS9qe6k56/</v>
      </c>
      <c r="K1381" s="470" t="str">
        <f>IFERROR(__xludf.DUMMYFUNCTION("""COMPUTED_VALUE"""),"KIMME")</f>
        <v>KIMME</v>
      </c>
      <c r="L1381" s="471" t="str">
        <f>IFERROR(__xludf.DUMMYFUNCTION("""COMPUTED_VALUE"""),"https://vt.tiktok.com/ZS9qe19un/")</f>
        <v>https://vt.tiktok.com/ZS9qe19un/</v>
      </c>
      <c r="M1381" s="470"/>
      <c r="N1381" s="471" t="str">
        <f>IFERROR(__xludf.DUMMYFUNCTION("""COMPUTED_VALUE"""),"https://vt.tiktok.com/ZS9qJWkaa/")</f>
        <v>https://vt.tiktok.com/ZS9qJWkaa/</v>
      </c>
      <c r="O1381" s="470"/>
      <c r="P1381" s="471" t="str">
        <f>IFERROR(__xludf.DUMMYFUNCTION("""COMPUTED_VALUE"""),"https://vt.tiktok.com/ZSxWfhAt2/")</f>
        <v>https://vt.tiktok.com/ZSxWfhAt2/</v>
      </c>
    </row>
    <row r="1382">
      <c r="A1382" s="282" t="str">
        <f>IFERROR(__xludf.DUMMYFUNCTION("""COMPUTED_VALUE"""),"MICRO")</f>
        <v>MICRO</v>
      </c>
      <c r="B1382" s="468" t="str">
        <f>IFERROR(__xludf.DUMMYFUNCTION("""COMPUTED_VALUE"""),"atut2611")</f>
        <v>atut2611</v>
      </c>
      <c r="C1382" s="283" t="str">
        <f>IFERROR(__xludf.DUMMYFUNCTION("""COMPUTED_VALUE"""),"https://www.tiktok.com/@atut2611")</f>
        <v>https://www.tiktok.com/@atut2611</v>
      </c>
      <c r="D1382" s="273">
        <f>IFERROR(__xludf.DUMMYFUNCTION("""COMPUTED_VALUE"""),8.569343329E10)</f>
        <v>85693433290</v>
      </c>
      <c r="E1382" s="458">
        <f>IFERROR(__xludf.DUMMYFUNCTION("""COMPUTED_VALUE"""),0.0)</f>
        <v>0</v>
      </c>
      <c r="F1382" s="273">
        <f>IFERROR(__xludf.DUMMYFUNCTION("""COMPUTED_VALUE"""),4.0)</f>
        <v>4</v>
      </c>
      <c r="G1382" t="str">
        <f>IFERROR(__xludf.DUMMYFUNCTION("""COMPUTED_VALUE"""),"Sabun batang 1 Box ( 2 PCS )")</f>
        <v>Sabun batang 1 Box ( 2 PCS )</v>
      </c>
      <c r="H1382" s="469" t="str">
        <f>IFERROR(__xludf.DUMMYFUNCTION("""COMPUTED_VALUE"""),"Sampai")</f>
        <v>Sampai</v>
      </c>
      <c r="I1382" s="470" t="str">
        <f>IFERROR(__xludf.DUMMYFUNCTION("""COMPUTED_VALUE"""),"KIMME")</f>
        <v>KIMME</v>
      </c>
      <c r="J1382" s="471" t="str">
        <f>IFERROR(__xludf.DUMMYFUNCTION("""COMPUTED_VALUE"""),"https://vt.tiktok.com/ZS9yp16xC/")</f>
        <v>https://vt.tiktok.com/ZS9yp16xC/</v>
      </c>
      <c r="K1382" s="470" t="str">
        <f>IFERROR(__xludf.DUMMYFUNCTION("""COMPUTED_VALUE"""),"KIMME")</f>
        <v>KIMME</v>
      </c>
      <c r="L1382" s="471" t="str">
        <f>IFERROR(__xludf.DUMMYFUNCTION("""COMPUTED_VALUE"""),"https://vt.tiktok.com/ZS9QFXV9x/")</f>
        <v>https://vt.tiktok.com/ZS9QFXV9x/</v>
      </c>
      <c r="M1382" s="470"/>
      <c r="N1382" t="str">
        <f>IFERROR(__xludf.DUMMYFUNCTION("""COMPUTED_VALUE"""),"⁠https://vt.tiktok.com/ZS9QF95N4/")</f>
        <v>⁠https://vt.tiktok.com/ZS9QF95N4/</v>
      </c>
      <c r="O1382" s="470"/>
      <c r="P1382" t="str">
        <f>IFERROR(__xludf.DUMMYFUNCTION("""COMPUTED_VALUE"""),"⁠https://vt.tiktok.com/ZS9QFSF1C/")</f>
        <v>⁠https://vt.tiktok.com/ZS9QFSF1C/</v>
      </c>
    </row>
    <row r="1383">
      <c r="A1383" s="282" t="str">
        <f>IFERROR(__xludf.DUMMYFUNCTION("""COMPUTED_VALUE"""),"MICRO")</f>
        <v>MICRO</v>
      </c>
      <c r="B1383" s="468" t="str">
        <f>IFERROR(__xludf.DUMMYFUNCTION("""COMPUTED_VALUE"""),"mtgina")</f>
        <v>mtgina</v>
      </c>
      <c r="C1383" s="283" t="str">
        <f>IFERROR(__xludf.DUMMYFUNCTION("""COMPUTED_VALUE"""),"https://www.tiktok.com/@mtgina")</f>
        <v>https://www.tiktok.com/@mtgina</v>
      </c>
      <c r="D1383" s="273">
        <f>IFERROR(__xludf.DUMMYFUNCTION("""COMPUTED_VALUE"""),8.95332805282E11)</f>
        <v>895332805282</v>
      </c>
      <c r="E1383" s="458">
        <f>IFERROR(__xludf.DUMMYFUNCTION("""COMPUTED_VALUE"""),0.0)</f>
        <v>0</v>
      </c>
      <c r="F1383" s="273">
        <f>IFERROR(__xludf.DUMMYFUNCTION("""COMPUTED_VALUE"""),1.0)</f>
        <v>1</v>
      </c>
      <c r="G1383" t="str">
        <f>IFERROR(__xludf.DUMMYFUNCTION("""COMPUTED_VALUE"""),"Sabun batang 1 Box ( 2 PCS )")</f>
        <v>Sabun batang 1 Box ( 2 PCS )</v>
      </c>
      <c r="H1383" s="469" t="str">
        <f>IFERROR(__xludf.DUMMYFUNCTION("""COMPUTED_VALUE"""),"Sampai")</f>
        <v>Sampai</v>
      </c>
      <c r="I1383" s="470" t="str">
        <f>IFERROR(__xludf.DUMMYFUNCTION("""COMPUTED_VALUE"""),"KIMME")</f>
        <v>KIMME</v>
      </c>
      <c r="J1383" s="471" t="str">
        <f>IFERROR(__xludf.DUMMYFUNCTION("""COMPUTED_VALUE"""),"https://vt.tiktok.com/ZS9yp16xC/")</f>
        <v>https://vt.tiktok.com/ZS9yp16xC/</v>
      </c>
      <c r="K1383" s="470" t="str">
        <f>IFERROR(__xludf.DUMMYFUNCTION("""COMPUTED_VALUE"""),"KIMME")</f>
        <v>KIMME</v>
      </c>
      <c r="L1383" s="471" t="str">
        <f>IFERROR(__xludf.DUMMYFUNCTION("""COMPUTED_VALUE"""),"https://vt.tiktok.com/ZS9QFXV9x/")</f>
        <v>https://vt.tiktok.com/ZS9QFXV9x/</v>
      </c>
      <c r="M1383" s="470"/>
      <c r="N1383" t="str">
        <f>IFERROR(__xludf.DUMMYFUNCTION("""COMPUTED_VALUE"""),"⁠https://vt.tiktok.com/ZS9QF95N4/")</f>
        <v>⁠https://vt.tiktok.com/ZS9QF95N4/</v>
      </c>
      <c r="O1383" s="470"/>
      <c r="P1383" t="str">
        <f>IFERROR(__xludf.DUMMYFUNCTION("""COMPUTED_VALUE"""),"⁠https://vt.tiktok.com/ZS9QFSF1C/")</f>
        <v>⁠https://vt.tiktok.com/ZS9QFSF1C/</v>
      </c>
    </row>
    <row r="1384">
      <c r="A1384" s="282" t="str">
        <f>IFERROR(__xludf.DUMMYFUNCTION("""COMPUTED_VALUE"""),"MICRO")</f>
        <v>MICRO</v>
      </c>
      <c r="B1384" s="468" t="str">
        <f>IFERROR(__xludf.DUMMYFUNCTION("""COMPUTED_VALUE"""),"anasafitri232 ")</f>
        <v>anasafitri232 </v>
      </c>
      <c r="C1384" s="283" t="str">
        <f>IFERROR(__xludf.DUMMYFUNCTION("""COMPUTED_VALUE"""),"https://www.tiktok.com/@anasafitri232 ")</f>
        <v>https://www.tiktok.com/@anasafitri232 </v>
      </c>
      <c r="D1384" s="273">
        <f>IFERROR(__xludf.DUMMYFUNCTION("""COMPUTED_VALUE"""),8.966954232E10)</f>
        <v>89669542320</v>
      </c>
      <c r="E1384" s="458">
        <f>IFERROR(__xludf.DUMMYFUNCTION("""COMPUTED_VALUE"""),0.0)</f>
        <v>0</v>
      </c>
      <c r="F1384" s="273">
        <f>IFERROR(__xludf.DUMMYFUNCTION("""COMPUTED_VALUE"""),1.0)</f>
        <v>1</v>
      </c>
      <c r="G1384" t="str">
        <f>IFERROR(__xludf.DUMMYFUNCTION("""COMPUTED_VALUE"""),"Sabun batang 1 Box ( 2 PCS )")</f>
        <v>Sabun batang 1 Box ( 2 PCS )</v>
      </c>
      <c r="H1384" s="469" t="str">
        <f>IFERROR(__xludf.DUMMYFUNCTION("""COMPUTED_VALUE"""),"Sampai")</f>
        <v>Sampai</v>
      </c>
      <c r="I1384" s="470" t="str">
        <f>IFERROR(__xludf.DUMMYFUNCTION("""COMPUTED_VALUE"""),"KIMME")</f>
        <v>KIMME</v>
      </c>
      <c r="J1384" s="471" t="str">
        <f>IFERROR(__xludf.DUMMYFUNCTION("""COMPUTED_VALUE"""),"https://www.tiktok.com/@anasafitri232/video/7623210173884108040?_r=1&amp;u_code=dig5jf1hfecdm5&amp;region=&amp;mid=7623210216667925268&amp;preview_pb=0&amp;sharer_language=&amp;_d=0&amp;ec_shared_reflux_dynamic_params=%7B%22placeholder_material_id%22%3A%227623210173884108040%22%2C%2"&amp;"2placeholder_origin_cover%22%3A%22https%253A%252F%252Fp16-common-sign.tiktokcdn.com%252Ftos-alisg-p-0037%252Fo8EiVAaTbGM6Yk4nECIcA9vcBALBiPBrF9XsI~tplv-tiktokx-origin.jpeg%253Fdr%253D14572%2526refresh_token%253D936917fa%2526x-expires%253D1809507600%2526x-"&amp;"signature%253DKMcjtVbx%25252B7FF69VfFfWAtYrWkMQ%25253D%2526t%253D4d5b0474%2526ps%253D13740610%2526shp%253Dd05b14bd%2526shcp%253D34ff8df6%2526idc%253Dmy%2526s%253DTIKTOK_AFFILIATE_VIRAL_VIDEO%22%2C%22placeholder_product_id%22%3A%221729427766722726591%22%2C"&amp;"%22placeholder_video_id%22%3A%227623210173884108040%22%7D&amp;ec_shared_reflux_scene=shop_tab_feed&amp;share_item_id=7623210173884108040&amp;source=h5_t")</f>
        <v>https://www.tiktok.com/@anasafitri232/video/7623210173884108040?_r=1&amp;u_code=dig5jf1hfecdm5&amp;region=&amp;mid=7623210216667925268&amp;preview_pb=0&amp;sharer_language=&amp;_d=0&amp;ec_shared_reflux_dynamic_params=%7B%22placeholder_material_id%22%3A%227623210173884108040%22%2C%22placeholder_origin_cover%22%3A%22https%253A%252F%252Fp16-common-sign.tiktokcdn.com%252Ftos-alisg-p-0037%252Fo8EiVAaTbGM6Yk4nECIcA9vcBALBiPBrF9XsI~tplv-tiktokx-origin.jpeg%253Fdr%253D14572%2526refresh_token%253D936917fa%2526x-expires%253D1809507600%2526x-signature%253DKMcjtVbx%25252B7FF69VfFfWAtYrWkMQ%25253D%2526t%253D4d5b0474%2526ps%253D13740610%2526shp%253Dd05b14bd%2526shcp%253D34ff8df6%2526idc%253Dmy%2526s%253DTIKTOK_AFFILIATE_VIRAL_VIDEO%22%2C%22placeholder_product_id%22%3A%221729427766722726591%22%2C%22placeholder_video_id%22%3A%227623210173884108040%22%7D&amp;ec_shared_reflux_scene=shop_tab_feed&amp;share_item_id=7623210173884108040&amp;source=h5_t</v>
      </c>
      <c r="K1384" s="470" t="str">
        <f>IFERROR(__xludf.DUMMYFUNCTION("""COMPUTED_VALUE"""),"KIMME")</f>
        <v>KIMME</v>
      </c>
      <c r="L1384" s="471" t="str">
        <f>IFERROR(__xludf.DUMMYFUNCTION("""COMPUTED_VALUE"""),"https://www.tiktok.com/@anasafitri232/video/7628093869325864199?_r=1&amp;u_code=dig5jf1hfecdm5&amp;region=&amp;mid=7628093920806783762&amp;preview_pb=0&amp;sharer_language=&amp;_d=0&amp;ec_shared_reflux_dynamic_params=%7B%22placeholder_material_id%22%3A%227628093869325864199%22%2C%2"&amp;"2placeholder_origin_cover%22%3A%22https%253A%252F%252Fp16-common-sign.tiktokcdn.com%252Ftos-alisg-p-0037%252Fo8B0Abr3aFP0LEGBQpEDlwfyQeHgg2KuBccAkR~tplv-tiktokx-origin.jpeg%253Fdr%253D14572%2526refresh_token%253D9f75f3ee%2526x-expires%253D1809507600%2526x"&amp;"-signature%253DqliVhZM9b8CCG6%25252BVrc2Szr2NAes%25253D%2526t%253D4d5b0474%2526ps%253D13740610%2526shp%253Dd05b14bd%2526shcp%253D34ff8df6%2526idc%253Dmy%2526s%253DTIKTOK_AFFILIATE_VIRAL_VIDEO%22%2C%22placeholder_product_id%22%3A%221729427766722726591%22%2"&amp;"C%22placeholder_video_id%22%3A%227628093869325864199%22%7D&amp;ec_shared_reflux_scene=shop_tab_feed&amp;share_item_id=7628093869325864199&amp;source=h5_t")</f>
        <v>https://www.tiktok.com/@anasafitri232/video/7628093869325864199?_r=1&amp;u_code=dig5jf1hfecdm5&amp;region=&amp;mid=7628093920806783762&amp;preview_pb=0&amp;sharer_language=&amp;_d=0&amp;ec_shared_reflux_dynamic_params=%7B%22placeholder_material_id%22%3A%227628093869325864199%22%2C%22placeholder_origin_cover%22%3A%22https%253A%252F%252Fp16-common-sign.tiktokcdn.com%252Ftos-alisg-p-0037%252Fo8B0Abr3aFP0LEGBQpEDlwfyQeHgg2KuBccAkR~tplv-tiktokx-origin.jpeg%253Fdr%253D14572%2526refresh_token%253D9f75f3ee%2526x-expires%253D1809507600%2526x-signature%253DqliVhZM9b8CCG6%25252BVrc2Szr2NAes%25253D%2526t%253D4d5b0474%2526ps%253D13740610%2526shp%253Dd05b14bd%2526shcp%253D34ff8df6%2526idc%253Dmy%2526s%253DTIKTOK_AFFILIATE_VIRAL_VIDEO%22%2C%22placeholder_product_id%22%3A%221729427766722726591%22%2C%22placeholder_video_id%22%3A%227628093869325864199%22%7D&amp;ec_shared_reflux_scene=shop_tab_feed&amp;share_item_id=7628093869325864199&amp;source=h5_t</v>
      </c>
      <c r="M1384" s="470"/>
      <c r="N1384" s="471" t="str">
        <f>IFERROR(__xludf.DUMMYFUNCTION("""COMPUTED_VALUE"""),"https://vt.tiktok.com/ZSxWfhp5N/")</f>
        <v>https://vt.tiktok.com/ZSxWfhp5N/</v>
      </c>
      <c r="O1384" s="470"/>
      <c r="P1384" s="471" t="str">
        <f>IFERROR(__xludf.DUMMYFUNCTION("""COMPUTED_VALUE"""),"https://vt.tiktok.com/ZSxWfFgLy/")</f>
        <v>https://vt.tiktok.com/ZSxWfFgLy/</v>
      </c>
    </row>
    <row r="1385">
      <c r="A1385" s="282" t="str">
        <f>IFERROR(__xludf.DUMMYFUNCTION("""COMPUTED_VALUE"""),"MICRO")</f>
        <v>MICRO</v>
      </c>
      <c r="B1385" s="468" t="str">
        <f>IFERROR(__xludf.DUMMYFUNCTION("""COMPUTED_VALUE"""),"iwayhrsss ")</f>
        <v>iwayhrsss </v>
      </c>
      <c r="C1385" s="283" t="str">
        <f>IFERROR(__xludf.DUMMYFUNCTION("""COMPUTED_VALUE"""),"https://www.tiktok.com/@iwayhrsss ")</f>
        <v>https://www.tiktok.com/@iwayhrsss </v>
      </c>
      <c r="D1385" s="273">
        <f>IFERROR(__xludf.DUMMYFUNCTION("""COMPUTED_VALUE"""),8.9541404873E11)</f>
        <v>895414048730</v>
      </c>
      <c r="E1385" s="458">
        <f>IFERROR(__xludf.DUMMYFUNCTION("""COMPUTED_VALUE"""),0.0)</f>
        <v>0</v>
      </c>
      <c r="F1385" s="273">
        <f>IFERROR(__xludf.DUMMYFUNCTION("""COMPUTED_VALUE"""),2.0)</f>
        <v>2</v>
      </c>
      <c r="G1385" t="str">
        <f>IFERROR(__xludf.DUMMYFUNCTION("""COMPUTED_VALUE"""),"Sabun batang 1 Box ( 2 PCS )")</f>
        <v>Sabun batang 1 Box ( 2 PCS )</v>
      </c>
      <c r="H1385" s="469" t="str">
        <f>IFERROR(__xludf.DUMMYFUNCTION("""COMPUTED_VALUE"""),"Sampai")</f>
        <v>Sampai</v>
      </c>
      <c r="I1385" s="470" t="str">
        <f>IFERROR(__xludf.DUMMYFUNCTION("""COMPUTED_VALUE"""),"KIMME")</f>
        <v>KIMME</v>
      </c>
      <c r="J1385" s="471" t="str">
        <f>IFERROR(__xludf.DUMMYFUNCTION("""COMPUTED_VALUE"""),"https://vt.tiktok.com/ZS9yp16xC/")</f>
        <v>https://vt.tiktok.com/ZS9yp16xC/</v>
      </c>
      <c r="K1385" s="470" t="str">
        <f>IFERROR(__xludf.DUMMYFUNCTION("""COMPUTED_VALUE"""),"KIMME")</f>
        <v>KIMME</v>
      </c>
      <c r="L1385" s="471" t="str">
        <f>IFERROR(__xludf.DUMMYFUNCTION("""COMPUTED_VALUE"""),"https://vt.tiktok.com/ZS9QFXV9x/")</f>
        <v>https://vt.tiktok.com/ZS9QFXV9x/</v>
      </c>
      <c r="M1385" s="470"/>
      <c r="N1385" t="str">
        <f>IFERROR(__xludf.DUMMYFUNCTION("""COMPUTED_VALUE"""),"⁠https://vt.tiktok.com/ZS9QF95N4/")</f>
        <v>⁠https://vt.tiktok.com/ZS9QF95N4/</v>
      </c>
      <c r="O1385" s="470"/>
      <c r="P1385" t="str">
        <f>IFERROR(__xludf.DUMMYFUNCTION("""COMPUTED_VALUE"""),"⁠https://vt.tiktok.com/ZS9QFSF1C/")</f>
        <v>⁠https://vt.tiktok.com/ZS9QFSF1C/</v>
      </c>
    </row>
    <row r="1386">
      <c r="A1386" s="282" t="str">
        <f>IFERROR(__xludf.DUMMYFUNCTION("""COMPUTED_VALUE"""),"MICRO")</f>
        <v>MICRO</v>
      </c>
      <c r="B1386" s="468" t="str">
        <f>IFERROR(__xludf.DUMMYFUNCTION("""COMPUTED_VALUE"""),"philocalist_15")</f>
        <v>philocalist_15</v>
      </c>
      <c r="C1386" s="283" t="str">
        <f>IFERROR(__xludf.DUMMYFUNCTION("""COMPUTED_VALUE"""),"https://www.tiktok.com/@philocalist_15")</f>
        <v>https://www.tiktok.com/@philocalist_15</v>
      </c>
      <c r="D1386" s="273">
        <f>IFERROR(__xludf.DUMMYFUNCTION("""COMPUTED_VALUE"""),8.5157591588E10)</f>
        <v>85157591588</v>
      </c>
      <c r="E1386" s="458">
        <f>IFERROR(__xludf.DUMMYFUNCTION("""COMPUTED_VALUE"""),0.0)</f>
        <v>0</v>
      </c>
      <c r="F1386" s="273">
        <f>IFERROR(__xludf.DUMMYFUNCTION("""COMPUTED_VALUE"""),4.0)</f>
        <v>4</v>
      </c>
      <c r="G1386" t="str">
        <f>IFERROR(__xludf.DUMMYFUNCTION("""COMPUTED_VALUE"""),"Sabun batang 1 Box ( 2 PCS )")</f>
        <v>Sabun batang 1 Box ( 2 PCS )</v>
      </c>
      <c r="H1386" s="469" t="str">
        <f>IFERROR(__xludf.DUMMYFUNCTION("""COMPUTED_VALUE"""),"Sampai")</f>
        <v>Sampai</v>
      </c>
      <c r="I1386" s="470" t="str">
        <f>IFERROR(__xludf.DUMMYFUNCTION("""COMPUTED_VALUE"""),"KIMME")</f>
        <v>KIMME</v>
      </c>
      <c r="J1386" s="471" t="str">
        <f>IFERROR(__xludf.DUMMYFUNCTION("""COMPUTED_VALUE"""),"https://vt.tiktok.com/ZS9qLFXtx/")</f>
        <v>https://vt.tiktok.com/ZS9qLFXtx/</v>
      </c>
      <c r="K1386" s="470" t="str">
        <f>IFERROR(__xludf.DUMMYFUNCTION("""COMPUTED_VALUE"""),"KIMME")</f>
        <v>KIMME</v>
      </c>
      <c r="L1386" s="471" t="str">
        <f>IFERROR(__xludf.DUMMYFUNCTION("""COMPUTED_VALUE"""),"https://vt.tiktok.com/ZS9qDPqKJ/")</f>
        <v>https://vt.tiktok.com/ZS9qDPqKJ/</v>
      </c>
      <c r="M1386" s="470"/>
      <c r="N1386" s="471" t="str">
        <f>IFERROR(__xludf.DUMMYFUNCTION("""COMPUTED_VALUE"""),"https://vt.tiktok.com/ZS9q9TJFw/")</f>
        <v>https://vt.tiktok.com/ZS9q9TJFw/</v>
      </c>
      <c r="O1386" s="470"/>
      <c r="P1386" s="471" t="str">
        <f>IFERROR(__xludf.DUMMYFUNCTION("""COMPUTED_VALUE"""),"https://vt.tiktok.com/ZSxWfuW9D/")</f>
        <v>https://vt.tiktok.com/ZSxWfuW9D/</v>
      </c>
    </row>
    <row r="1387">
      <c r="A1387" s="282" t="str">
        <f>IFERROR(__xludf.DUMMYFUNCTION("""COMPUTED_VALUE"""),"MICRO")</f>
        <v>MICRO</v>
      </c>
      <c r="B1387" s="468" t="str">
        <f>IFERROR(__xludf.DUMMYFUNCTION("""COMPUTED_VALUE"""),"fssrh27")</f>
        <v>fssrh27</v>
      </c>
      <c r="C1387" s="283" t="str">
        <f>IFERROR(__xludf.DUMMYFUNCTION("""COMPUTED_VALUE"""),"https://www.tiktok.com/@fssrh27")</f>
        <v>https://www.tiktok.com/@fssrh27</v>
      </c>
      <c r="D1387" s="273">
        <f>IFERROR(__xludf.DUMMYFUNCTION("""COMPUTED_VALUE"""),8.5659439894E10)</f>
        <v>85659439894</v>
      </c>
      <c r="E1387" s="458">
        <f>IFERROR(__xludf.DUMMYFUNCTION("""COMPUTED_VALUE"""),0.0)</f>
        <v>0</v>
      </c>
      <c r="F1387" s="273">
        <f>IFERROR(__xludf.DUMMYFUNCTION("""COMPUTED_VALUE"""),2.0)</f>
        <v>2</v>
      </c>
      <c r="G1387" t="str">
        <f>IFERROR(__xludf.DUMMYFUNCTION("""COMPUTED_VALUE"""),"Sabun batang 1 Box ( 2 PCS )")</f>
        <v>Sabun batang 1 Box ( 2 PCS )</v>
      </c>
      <c r="H1387" s="469" t="str">
        <f>IFERROR(__xludf.DUMMYFUNCTION("""COMPUTED_VALUE"""),"Sampai")</f>
        <v>Sampai</v>
      </c>
      <c r="I1387" s="470" t="str">
        <f>IFERROR(__xludf.DUMMYFUNCTION("""COMPUTED_VALUE"""),"KIMME")</f>
        <v>KIMME</v>
      </c>
      <c r="J1387" s="471" t="str">
        <f>IFERROR(__xludf.DUMMYFUNCTION("""COMPUTED_VALUE"""),"https://vt.tiktok.com/ZS9yp16xC/")</f>
        <v>https://vt.tiktok.com/ZS9yp16xC/</v>
      </c>
      <c r="K1387" s="470" t="str">
        <f>IFERROR(__xludf.DUMMYFUNCTION("""COMPUTED_VALUE"""),"KIMME")</f>
        <v>KIMME</v>
      </c>
      <c r="L1387" s="471" t="str">
        <f>IFERROR(__xludf.DUMMYFUNCTION("""COMPUTED_VALUE"""),"https://vt.tiktok.com/ZS9QFXV9x/")</f>
        <v>https://vt.tiktok.com/ZS9QFXV9x/</v>
      </c>
      <c r="M1387" s="470"/>
      <c r="N1387" t="str">
        <f>IFERROR(__xludf.DUMMYFUNCTION("""COMPUTED_VALUE"""),"⁠https://vt.tiktok.com/ZS9QF95N4/")</f>
        <v>⁠https://vt.tiktok.com/ZS9QF95N4/</v>
      </c>
      <c r="O1387" s="470"/>
      <c r="P1387" t="str">
        <f>IFERROR(__xludf.DUMMYFUNCTION("""COMPUTED_VALUE"""),"⁠https://vt.tiktok.com/ZS9QFSF1C/")</f>
        <v>⁠https://vt.tiktok.com/ZS9QFSF1C/</v>
      </c>
    </row>
    <row r="1388">
      <c r="A1388" s="282" t="str">
        <f>IFERROR(__xludf.DUMMYFUNCTION("""COMPUTED_VALUE"""),"MICRO")</f>
        <v>MICRO</v>
      </c>
      <c r="B1388" s="468" t="str">
        <f>IFERROR(__xludf.DUMMYFUNCTION("""COMPUTED_VALUE"""),"styftma10")</f>
        <v>styftma10</v>
      </c>
      <c r="C1388" s="283" t="str">
        <f>IFERROR(__xludf.DUMMYFUNCTION("""COMPUTED_VALUE"""),"https://www.tiktok.com/@styftma10")</f>
        <v>https://www.tiktok.com/@styftma10</v>
      </c>
      <c r="D1388" s="273">
        <f>IFERROR(__xludf.DUMMYFUNCTION("""COMPUTED_VALUE"""),8.5723229031E10)</f>
        <v>85723229031</v>
      </c>
      <c r="E1388" s="458">
        <f>IFERROR(__xludf.DUMMYFUNCTION("""COMPUTED_VALUE"""),0.0)</f>
        <v>0</v>
      </c>
      <c r="F1388" s="273">
        <f>IFERROR(__xludf.DUMMYFUNCTION("""COMPUTED_VALUE"""),4.0)</f>
        <v>4</v>
      </c>
      <c r="G1388" t="str">
        <f>IFERROR(__xludf.DUMMYFUNCTION("""COMPUTED_VALUE"""),"Sabun batang 1 Box ( 2 PCS )")</f>
        <v>Sabun batang 1 Box ( 2 PCS )</v>
      </c>
      <c r="H1388" s="469" t="str">
        <f>IFERROR(__xludf.DUMMYFUNCTION("""COMPUTED_VALUE"""),"Sampai")</f>
        <v>Sampai</v>
      </c>
      <c r="I1388" s="470" t="str">
        <f>IFERROR(__xludf.DUMMYFUNCTION("""COMPUTED_VALUE"""),"KIMME")</f>
        <v>KIMME</v>
      </c>
      <c r="J1388" s="471" t="str">
        <f>IFERROR(__xludf.DUMMYFUNCTION("""COMPUTED_VALUE"""),"https://vt.tiktok.com/ZS9yp16xC/")</f>
        <v>https://vt.tiktok.com/ZS9yp16xC/</v>
      </c>
      <c r="K1388" s="470" t="str">
        <f>IFERROR(__xludf.DUMMYFUNCTION("""COMPUTED_VALUE"""),"KIMME")</f>
        <v>KIMME</v>
      </c>
      <c r="L1388" s="471" t="str">
        <f>IFERROR(__xludf.DUMMYFUNCTION("""COMPUTED_VALUE"""),"https://vt.tiktok.com/ZS9QFXV9x/")</f>
        <v>https://vt.tiktok.com/ZS9QFXV9x/</v>
      </c>
      <c r="M1388" s="470"/>
      <c r="N1388" t="str">
        <f>IFERROR(__xludf.DUMMYFUNCTION("""COMPUTED_VALUE"""),"⁠https://vt.tiktok.com/ZS9QF95N4/")</f>
        <v>⁠https://vt.tiktok.com/ZS9QF95N4/</v>
      </c>
      <c r="O1388" s="470"/>
      <c r="P1388" t="str">
        <f>IFERROR(__xludf.DUMMYFUNCTION("""COMPUTED_VALUE"""),"⁠https://vt.tiktok.com/ZS9QFSF1C/")</f>
        <v>⁠https://vt.tiktok.com/ZS9QFSF1C/</v>
      </c>
    </row>
    <row r="1389">
      <c r="A1389" s="282" t="str">
        <f>IFERROR(__xludf.DUMMYFUNCTION("""COMPUTED_VALUE"""),"MICRO")</f>
        <v>MICRO</v>
      </c>
      <c r="B1389" s="468" t="str">
        <f>IFERROR(__xludf.DUMMYFUNCTION("""COMPUTED_VALUE"""),"rismarezky1")</f>
        <v>rismarezky1</v>
      </c>
      <c r="C1389" s="283" t="str">
        <f>IFERROR(__xludf.DUMMYFUNCTION("""COMPUTED_VALUE"""),"https://www.tiktok.com/@rismarezky1")</f>
        <v>https://www.tiktok.com/@rismarezky1</v>
      </c>
      <c r="D1389" s="273">
        <f>IFERROR(__xludf.DUMMYFUNCTION("""COMPUTED_VALUE"""),8.5352110499E10)</f>
        <v>85352110499</v>
      </c>
      <c r="E1389" s="458">
        <f>IFERROR(__xludf.DUMMYFUNCTION("""COMPUTED_VALUE"""),0.0)</f>
        <v>0</v>
      </c>
      <c r="F1389" s="273">
        <f>IFERROR(__xludf.DUMMYFUNCTION("""COMPUTED_VALUE"""),4.0)</f>
        <v>4</v>
      </c>
      <c r="G1389" t="str">
        <f>IFERROR(__xludf.DUMMYFUNCTION("""COMPUTED_VALUE"""),"Sabun batang 1 Box ( 2 PCS )")</f>
        <v>Sabun batang 1 Box ( 2 PCS )</v>
      </c>
      <c r="H1389" s="469" t="str">
        <f>IFERROR(__xludf.DUMMYFUNCTION("""COMPUTED_VALUE"""),"Sampai")</f>
        <v>Sampai</v>
      </c>
      <c r="I1389" s="470" t="str">
        <f>IFERROR(__xludf.DUMMYFUNCTION("""COMPUTED_VALUE"""),"KIMME")</f>
        <v>KIMME</v>
      </c>
      <c r="J1389" s="471" t="str">
        <f>IFERROR(__xludf.DUMMYFUNCTION("""COMPUTED_VALUE"""),"https://vt.tiktok.com/ZS9yp16xC/")</f>
        <v>https://vt.tiktok.com/ZS9yp16xC/</v>
      </c>
      <c r="K1389" s="470" t="str">
        <f>IFERROR(__xludf.DUMMYFUNCTION("""COMPUTED_VALUE"""),"KIMME")</f>
        <v>KIMME</v>
      </c>
      <c r="L1389" s="471" t="str">
        <f>IFERROR(__xludf.DUMMYFUNCTION("""COMPUTED_VALUE"""),"https://vt.tiktok.com/ZS9QFXV9x/")</f>
        <v>https://vt.tiktok.com/ZS9QFXV9x/</v>
      </c>
      <c r="M1389" s="470"/>
      <c r="N1389" t="str">
        <f>IFERROR(__xludf.DUMMYFUNCTION("""COMPUTED_VALUE"""),"⁠https://vt.tiktok.com/ZS9QF95N4/")</f>
        <v>⁠https://vt.tiktok.com/ZS9QF95N4/</v>
      </c>
      <c r="O1389" s="470"/>
      <c r="P1389" t="str">
        <f>IFERROR(__xludf.DUMMYFUNCTION("""COMPUTED_VALUE"""),"⁠https://vt.tiktok.com/ZS9QFSF1C/")</f>
        <v>⁠https://vt.tiktok.com/ZS9QFSF1C/</v>
      </c>
    </row>
    <row r="1390">
      <c r="A1390" s="282" t="str">
        <f>IFERROR(__xludf.DUMMYFUNCTION("""COMPUTED_VALUE"""),"MICRO")</f>
        <v>MICRO</v>
      </c>
      <c r="B1390" s="468" t="str">
        <f>IFERROR(__xludf.DUMMYFUNCTION("""COMPUTED_VALUE"""),"rismaawtt ")</f>
        <v>rismaawtt </v>
      </c>
      <c r="C1390" s="283" t="str">
        <f>IFERROR(__xludf.DUMMYFUNCTION("""COMPUTED_VALUE"""),"https://www.tiktok.com/@rismaawtt ")</f>
        <v>https://www.tiktok.com/@rismaawtt </v>
      </c>
      <c r="D1390" s="273">
        <f>IFERROR(__xludf.DUMMYFUNCTION("""COMPUTED_VALUE"""),8.572733163E10)</f>
        <v>85727331630</v>
      </c>
      <c r="E1390" s="458">
        <f>IFERROR(__xludf.DUMMYFUNCTION("""COMPUTED_VALUE"""),0.0)</f>
        <v>0</v>
      </c>
      <c r="F1390" s="273">
        <f>IFERROR(__xludf.DUMMYFUNCTION("""COMPUTED_VALUE"""),4.0)</f>
        <v>4</v>
      </c>
      <c r="G1390" t="str">
        <f>IFERROR(__xludf.DUMMYFUNCTION("""COMPUTED_VALUE"""),"Sabun batang 1 Box ( 2 PCS )")</f>
        <v>Sabun batang 1 Box ( 2 PCS )</v>
      </c>
      <c r="H1390" s="469" t="str">
        <f>IFERROR(__xludf.DUMMYFUNCTION("""COMPUTED_VALUE"""),"Sampai")</f>
        <v>Sampai</v>
      </c>
      <c r="I1390" s="470" t="str">
        <f>IFERROR(__xludf.DUMMYFUNCTION("""COMPUTED_VALUE"""),"KIMME")</f>
        <v>KIMME</v>
      </c>
      <c r="J1390" s="471" t="str">
        <f>IFERROR(__xludf.DUMMYFUNCTION("""COMPUTED_VALUE"""),"https://vt.tiktok.com/ZS9yp16xC/")</f>
        <v>https://vt.tiktok.com/ZS9yp16xC/</v>
      </c>
      <c r="K1390" s="470" t="str">
        <f>IFERROR(__xludf.DUMMYFUNCTION("""COMPUTED_VALUE"""),"KIMME")</f>
        <v>KIMME</v>
      </c>
      <c r="L1390" s="471" t="str">
        <f>IFERROR(__xludf.DUMMYFUNCTION("""COMPUTED_VALUE"""),"https://vt.tiktok.com/ZS9QFXV9x/")</f>
        <v>https://vt.tiktok.com/ZS9QFXV9x/</v>
      </c>
      <c r="M1390" s="470"/>
      <c r="N1390" t="str">
        <f>IFERROR(__xludf.DUMMYFUNCTION("""COMPUTED_VALUE"""),"⁠https://vt.tiktok.com/ZS9QF95N4/")</f>
        <v>⁠https://vt.tiktok.com/ZS9QF95N4/</v>
      </c>
      <c r="O1390" s="470"/>
      <c r="P1390" t="str">
        <f>IFERROR(__xludf.DUMMYFUNCTION("""COMPUTED_VALUE"""),"⁠https://vt.tiktok.com/ZS9QFSF1C/")</f>
        <v>⁠https://vt.tiktok.com/ZS9QFSF1C/</v>
      </c>
    </row>
    <row r="1391">
      <c r="A1391" s="282" t="str">
        <f>IFERROR(__xludf.DUMMYFUNCTION("""COMPUTED_VALUE"""),"MICRO")</f>
        <v>MICRO</v>
      </c>
      <c r="B1391" s="468" t="str">
        <f>IFERROR(__xludf.DUMMYFUNCTION("""COMPUTED_VALUE"""),"liayulia.ts")</f>
        <v>liayulia.ts</v>
      </c>
      <c r="C1391" s="283" t="str">
        <f>IFERROR(__xludf.DUMMYFUNCTION("""COMPUTED_VALUE"""),"https://www.tiktok.com/@liayulia.ts")</f>
        <v>https://www.tiktok.com/@liayulia.ts</v>
      </c>
      <c r="D1391" s="273">
        <f>IFERROR(__xludf.DUMMYFUNCTION("""COMPUTED_VALUE"""),8.161765872E10)</f>
        <v>81617658720</v>
      </c>
      <c r="E1391" s="458">
        <f>IFERROR(__xludf.DUMMYFUNCTION("""COMPUTED_VALUE"""),0.0)</f>
        <v>0</v>
      </c>
      <c r="F1391" s="273">
        <f>IFERROR(__xludf.DUMMYFUNCTION("""COMPUTED_VALUE"""),4.0)</f>
        <v>4</v>
      </c>
      <c r="G1391" t="str">
        <f>IFERROR(__xludf.DUMMYFUNCTION("""COMPUTED_VALUE"""),"Sabun batang 1 Box ( 2 PCS )")</f>
        <v>Sabun batang 1 Box ( 2 PCS )</v>
      </c>
      <c r="H1391" s="469" t="str">
        <f>IFERROR(__xludf.DUMMYFUNCTION("""COMPUTED_VALUE"""),"Sampai")</f>
        <v>Sampai</v>
      </c>
      <c r="I1391" s="470" t="str">
        <f>IFERROR(__xludf.DUMMYFUNCTION("""COMPUTED_VALUE"""),"KIMME")</f>
        <v>KIMME</v>
      </c>
      <c r="J1391" s="471" t="str">
        <f>IFERROR(__xludf.DUMMYFUNCTION("""COMPUTED_VALUE"""),"https://vt.tiktok.com/ZS9yp16xC/")</f>
        <v>https://vt.tiktok.com/ZS9yp16xC/</v>
      </c>
      <c r="K1391" s="470" t="str">
        <f>IFERROR(__xludf.DUMMYFUNCTION("""COMPUTED_VALUE"""),"KIMME")</f>
        <v>KIMME</v>
      </c>
      <c r="L1391" s="471" t="str">
        <f>IFERROR(__xludf.DUMMYFUNCTION("""COMPUTED_VALUE"""),"https://vt.tiktok.com/ZS9QFXV9x/")</f>
        <v>https://vt.tiktok.com/ZS9QFXV9x/</v>
      </c>
      <c r="M1391" s="470"/>
      <c r="N1391" t="str">
        <f>IFERROR(__xludf.DUMMYFUNCTION("""COMPUTED_VALUE"""),"⁠https://vt.tiktok.com/ZS9QF95N4/")</f>
        <v>⁠https://vt.tiktok.com/ZS9QF95N4/</v>
      </c>
      <c r="O1391" s="470"/>
      <c r="P1391" t="str">
        <f>IFERROR(__xludf.DUMMYFUNCTION("""COMPUTED_VALUE"""),"⁠https://vt.tiktok.com/ZS9QFSF1C/")</f>
        <v>⁠https://vt.tiktok.com/ZS9QFSF1C/</v>
      </c>
    </row>
    <row r="1392">
      <c r="A1392" s="282" t="str">
        <f>IFERROR(__xludf.DUMMYFUNCTION("""COMPUTED_VALUE"""),"MICRO")</f>
        <v>MICRO</v>
      </c>
      <c r="B1392" s="468" t="str">
        <f>IFERROR(__xludf.DUMMYFUNCTION("""COMPUTED_VALUE"""),"aiiross2")</f>
        <v>aiiross2</v>
      </c>
      <c r="C1392" s="283" t="str">
        <f>IFERROR(__xludf.DUMMYFUNCTION("""COMPUTED_VALUE"""),"https://www.tiktok.com/@aiiross2")</f>
        <v>https://www.tiktok.com/@aiiross2</v>
      </c>
      <c r="D1392" s="273">
        <f>IFERROR(__xludf.DUMMYFUNCTION("""COMPUTED_VALUE"""),8.5219372676E10)</f>
        <v>85219372676</v>
      </c>
      <c r="E1392" s="458">
        <f>IFERROR(__xludf.DUMMYFUNCTION("""COMPUTED_VALUE"""),0.0)</f>
        <v>0</v>
      </c>
      <c r="F1392" s="273">
        <f>IFERROR(__xludf.DUMMYFUNCTION("""COMPUTED_VALUE"""),4.0)</f>
        <v>4</v>
      </c>
      <c r="G1392" t="str">
        <f>IFERROR(__xludf.DUMMYFUNCTION("""COMPUTED_VALUE"""),"Sabun batang 1 Box ( 2 PCS )")</f>
        <v>Sabun batang 1 Box ( 2 PCS )</v>
      </c>
      <c r="H1392" s="469" t="str">
        <f>IFERROR(__xludf.DUMMYFUNCTION("""COMPUTED_VALUE"""),"Sampai")</f>
        <v>Sampai</v>
      </c>
      <c r="I1392" s="470" t="str">
        <f>IFERROR(__xludf.DUMMYFUNCTION("""COMPUTED_VALUE"""),"KIMME")</f>
        <v>KIMME</v>
      </c>
      <c r="J1392" s="471" t="str">
        <f>IFERROR(__xludf.DUMMYFUNCTION("""COMPUTED_VALUE"""),"https://vt.tiktok.com/ZS9yp16xC/")</f>
        <v>https://vt.tiktok.com/ZS9yp16xC/</v>
      </c>
      <c r="K1392" s="470" t="str">
        <f>IFERROR(__xludf.DUMMYFUNCTION("""COMPUTED_VALUE"""),"KIMME")</f>
        <v>KIMME</v>
      </c>
      <c r="L1392" s="471" t="str">
        <f>IFERROR(__xludf.DUMMYFUNCTION("""COMPUTED_VALUE"""),"https://vt.tiktok.com/ZS9QFXV9x/")</f>
        <v>https://vt.tiktok.com/ZS9QFXV9x/</v>
      </c>
      <c r="M1392" s="470"/>
      <c r="N1392" t="str">
        <f>IFERROR(__xludf.DUMMYFUNCTION("""COMPUTED_VALUE"""),"⁠https://vt.tiktok.com/ZS9QF95N4/")</f>
        <v>⁠https://vt.tiktok.com/ZS9QF95N4/</v>
      </c>
      <c r="O1392" s="470"/>
      <c r="P1392" t="str">
        <f>IFERROR(__xludf.DUMMYFUNCTION("""COMPUTED_VALUE"""),"⁠https://vt.tiktok.com/ZS9QFSF1C/")</f>
        <v>⁠https://vt.tiktok.com/ZS9QFSF1C/</v>
      </c>
    </row>
    <row r="1393">
      <c r="A1393" s="282" t="str">
        <f>IFERROR(__xludf.DUMMYFUNCTION("""COMPUTED_VALUE"""),"MICRO")</f>
        <v>MICRO</v>
      </c>
      <c r="B1393" s="468" t="str">
        <f>IFERROR(__xludf.DUMMYFUNCTION("""COMPUTED_VALUE"""),"30juni_cancergirl")</f>
        <v>30juni_cancergirl</v>
      </c>
      <c r="C1393" s="283" t="str">
        <f>IFERROR(__xludf.DUMMYFUNCTION("""COMPUTED_VALUE"""),"https://www.tiktok.com/@30juni_cancergirl")</f>
        <v>https://www.tiktok.com/@30juni_cancergirl</v>
      </c>
      <c r="D1393" s="273">
        <f>IFERROR(__xludf.DUMMYFUNCTION("""COMPUTED_VALUE"""),8.2271115143E10)</f>
        <v>82271115143</v>
      </c>
      <c r="E1393" s="458">
        <f>IFERROR(__xludf.DUMMYFUNCTION("""COMPUTED_VALUE"""),0.0)</f>
        <v>0</v>
      </c>
      <c r="F1393" s="273">
        <f>IFERROR(__xludf.DUMMYFUNCTION("""COMPUTED_VALUE"""),4.0)</f>
        <v>4</v>
      </c>
      <c r="G1393" t="str">
        <f>IFERROR(__xludf.DUMMYFUNCTION("""COMPUTED_VALUE"""),"Sabun batang 1 Box ( 2 PCS )")</f>
        <v>Sabun batang 1 Box ( 2 PCS )</v>
      </c>
      <c r="H1393" s="469" t="str">
        <f>IFERROR(__xludf.DUMMYFUNCTION("""COMPUTED_VALUE"""),"Sampai")</f>
        <v>Sampai</v>
      </c>
      <c r="I1393" s="470" t="str">
        <f>IFERROR(__xludf.DUMMYFUNCTION("""COMPUTED_VALUE"""),"KIMME")</f>
        <v>KIMME</v>
      </c>
      <c r="J1393" s="471" t="str">
        <f>IFERROR(__xludf.DUMMYFUNCTION("""COMPUTED_VALUE"""),"https://vt.tiktok.com/ZS9PP3QN6/")</f>
        <v>https://vt.tiktok.com/ZS9PP3QN6/</v>
      </c>
      <c r="K1393" s="470" t="str">
        <f>IFERROR(__xludf.DUMMYFUNCTION("""COMPUTED_VALUE"""),"KIMME")</f>
        <v>KIMME</v>
      </c>
      <c r="L1393" s="471" t="str">
        <f>IFERROR(__xludf.DUMMYFUNCTION("""COMPUTED_VALUE"""),"https://vt.tiktok.com/ZS9P5uqr2/")</f>
        <v>https://vt.tiktok.com/ZS9P5uqr2/</v>
      </c>
      <c r="M1393" s="470"/>
      <c r="N1393" s="471" t="str">
        <f>IFERROR(__xludf.DUMMYFUNCTION("""COMPUTED_VALUE"""),"https://vt.tiktok.com/ZS94FpHgk/")</f>
        <v>https://vt.tiktok.com/ZS94FpHgk/</v>
      </c>
      <c r="O1393" s="470"/>
      <c r="P1393" s="471" t="str">
        <f>IFERROR(__xludf.DUMMYFUNCTION("""COMPUTED_VALUE"""),"https://vt.tiktok.com/ZS94FgD4G/")</f>
        <v>https://vt.tiktok.com/ZS94FgD4G/</v>
      </c>
    </row>
    <row r="1394">
      <c r="A1394" s="282" t="str">
        <f>IFERROR(__xludf.DUMMYFUNCTION("""COMPUTED_VALUE"""),"MICRO")</f>
        <v>MICRO</v>
      </c>
      <c r="B1394" s="468" t="str">
        <f>IFERROR(__xludf.DUMMYFUNCTION("""COMPUTED_VALUE"""),"justnedder")</f>
        <v>justnedder</v>
      </c>
      <c r="C1394" s="283" t="str">
        <f>IFERROR(__xludf.DUMMYFUNCTION("""COMPUTED_VALUE"""),"https://www.tiktok.com/@justnedder")</f>
        <v>https://www.tiktok.com/@justnedder</v>
      </c>
      <c r="D1394" s="273">
        <f>IFERROR(__xludf.DUMMYFUNCTION("""COMPUTED_VALUE"""),8.2363336649E10)</f>
        <v>82363336649</v>
      </c>
      <c r="E1394" s="458">
        <f>IFERROR(__xludf.DUMMYFUNCTION("""COMPUTED_VALUE"""),0.0)</f>
        <v>0</v>
      </c>
      <c r="F1394" s="273">
        <f>IFERROR(__xludf.DUMMYFUNCTION("""COMPUTED_VALUE"""),4.0)</f>
        <v>4</v>
      </c>
      <c r="G1394" t="str">
        <f>IFERROR(__xludf.DUMMYFUNCTION("""COMPUTED_VALUE"""),"Sabun batang 1 Box ( 2 PCS )")</f>
        <v>Sabun batang 1 Box ( 2 PCS )</v>
      </c>
      <c r="H1394" s="469" t="str">
        <f>IFERROR(__xludf.DUMMYFUNCTION("""COMPUTED_VALUE"""),"Sampai")</f>
        <v>Sampai</v>
      </c>
      <c r="I1394" s="470" t="str">
        <f>IFERROR(__xludf.DUMMYFUNCTION("""COMPUTED_VALUE"""),"KIMME")</f>
        <v>KIMME</v>
      </c>
      <c r="J1394" s="471" t="str">
        <f>IFERROR(__xludf.DUMMYFUNCTION("""COMPUTED_VALUE"""),"https://vt.tiktok.com/ZS9yp16xC/")</f>
        <v>https://vt.tiktok.com/ZS9yp16xC/</v>
      </c>
      <c r="K1394" s="470" t="str">
        <f>IFERROR(__xludf.DUMMYFUNCTION("""COMPUTED_VALUE"""),"KIMME")</f>
        <v>KIMME</v>
      </c>
      <c r="L1394" s="471" t="str">
        <f>IFERROR(__xludf.DUMMYFUNCTION("""COMPUTED_VALUE"""),"https://vt.tiktok.com/ZS9QFXV9x/")</f>
        <v>https://vt.tiktok.com/ZS9QFXV9x/</v>
      </c>
      <c r="M1394" s="470"/>
      <c r="N1394" t="str">
        <f>IFERROR(__xludf.DUMMYFUNCTION("""COMPUTED_VALUE"""),"⁠https://vt.tiktok.com/ZS9QF95N4/")</f>
        <v>⁠https://vt.tiktok.com/ZS9QF95N4/</v>
      </c>
      <c r="O1394" s="470"/>
      <c r="P1394" t="str">
        <f>IFERROR(__xludf.DUMMYFUNCTION("""COMPUTED_VALUE"""),"⁠https://vt.tiktok.com/ZS9QFSF1C/")</f>
        <v>⁠https://vt.tiktok.com/ZS9QFSF1C/</v>
      </c>
    </row>
    <row r="1395">
      <c r="A1395" s="282" t="str">
        <f>IFERROR(__xludf.DUMMYFUNCTION("""COMPUTED_VALUE"""),"MICRO")</f>
        <v>MICRO</v>
      </c>
      <c r="B1395" s="468" t="str">
        <f>IFERROR(__xludf.DUMMYFUNCTION("""COMPUTED_VALUE"""),"mittaaprilia")</f>
        <v>mittaaprilia</v>
      </c>
      <c r="C1395" s="283" t="str">
        <f>IFERROR(__xludf.DUMMYFUNCTION("""COMPUTED_VALUE"""),"https://www.tiktok.com/@mittaaprilia")</f>
        <v>https://www.tiktok.com/@mittaaprilia</v>
      </c>
      <c r="D1395" s="273">
        <f>IFERROR(__xludf.DUMMYFUNCTION("""COMPUTED_VALUE"""),8.1377813297E10)</f>
        <v>81377813297</v>
      </c>
      <c r="E1395" s="458">
        <f>IFERROR(__xludf.DUMMYFUNCTION("""COMPUTED_VALUE"""),0.0)</f>
        <v>0</v>
      </c>
      <c r="F1395" s="273">
        <f>IFERROR(__xludf.DUMMYFUNCTION("""COMPUTED_VALUE"""),4.0)</f>
        <v>4</v>
      </c>
      <c r="G1395" t="str">
        <f>IFERROR(__xludf.DUMMYFUNCTION("""COMPUTED_VALUE"""),"Sabun batang 1 Box ( 2 PCS )")</f>
        <v>Sabun batang 1 Box ( 2 PCS )</v>
      </c>
      <c r="H1395" s="469" t="str">
        <f>IFERROR(__xludf.DUMMYFUNCTION("""COMPUTED_VALUE"""),"Sampai")</f>
        <v>Sampai</v>
      </c>
      <c r="I1395" s="470" t="str">
        <f>IFERROR(__xludf.DUMMYFUNCTION("""COMPUTED_VALUE"""),"KIMME")</f>
        <v>KIMME</v>
      </c>
      <c r="J1395" s="471" t="str">
        <f>IFERROR(__xludf.DUMMYFUNCTION("""COMPUTED_VALUE"""),"https://vt.tiktok.com/ZS9yp16xC/")</f>
        <v>https://vt.tiktok.com/ZS9yp16xC/</v>
      </c>
      <c r="K1395" s="470" t="str">
        <f>IFERROR(__xludf.DUMMYFUNCTION("""COMPUTED_VALUE"""),"KIMME")</f>
        <v>KIMME</v>
      </c>
      <c r="L1395" s="471" t="str">
        <f>IFERROR(__xludf.DUMMYFUNCTION("""COMPUTED_VALUE"""),"https://vt.tiktok.com/ZS9QFXV9x/")</f>
        <v>https://vt.tiktok.com/ZS9QFXV9x/</v>
      </c>
      <c r="M1395" s="470"/>
      <c r="N1395" t="str">
        <f>IFERROR(__xludf.DUMMYFUNCTION("""COMPUTED_VALUE"""),"⁠https://vt.tiktok.com/ZS9QF95N4/")</f>
        <v>⁠https://vt.tiktok.com/ZS9QF95N4/</v>
      </c>
      <c r="O1395" s="470"/>
      <c r="P1395" t="str">
        <f>IFERROR(__xludf.DUMMYFUNCTION("""COMPUTED_VALUE"""),"⁠https://vt.tiktok.com/ZS9QFSF1C/")</f>
        <v>⁠https://vt.tiktok.com/ZS9QFSF1C/</v>
      </c>
    </row>
    <row r="1396">
      <c r="A1396" s="282" t="str">
        <f>IFERROR(__xludf.DUMMYFUNCTION("""COMPUTED_VALUE"""),"MICRO")</f>
        <v>MICRO</v>
      </c>
      <c r="B1396" s="468" t="str">
        <f>IFERROR(__xludf.DUMMYFUNCTION("""COMPUTED_VALUE"""),"nurul_aini280902")</f>
        <v>nurul_aini280902</v>
      </c>
      <c r="C1396" s="283" t="str">
        <f>IFERROR(__xludf.DUMMYFUNCTION("""COMPUTED_VALUE"""),"https://www.tiktok.com/@nurul_aini280902")</f>
        <v>https://www.tiktok.com/@nurul_aini280902</v>
      </c>
      <c r="D1396" s="273">
        <f>IFERROR(__xludf.DUMMYFUNCTION("""COMPUTED_VALUE"""),8.2325887147E10)</f>
        <v>82325887147</v>
      </c>
      <c r="E1396" s="458">
        <f>IFERROR(__xludf.DUMMYFUNCTION("""COMPUTED_VALUE"""),0.0)</f>
        <v>0</v>
      </c>
      <c r="F1396" s="273">
        <f>IFERROR(__xludf.DUMMYFUNCTION("""COMPUTED_VALUE"""),4.0)</f>
        <v>4</v>
      </c>
      <c r="G1396" t="str">
        <f>IFERROR(__xludf.DUMMYFUNCTION("""COMPUTED_VALUE"""),"Sabun batang 1 Box ( 2 PCS )")</f>
        <v>Sabun batang 1 Box ( 2 PCS )</v>
      </c>
      <c r="H1396" s="469" t="str">
        <f>IFERROR(__xludf.DUMMYFUNCTION("""COMPUTED_VALUE"""),"Sampai")</f>
        <v>Sampai</v>
      </c>
      <c r="I1396" s="470" t="str">
        <f>IFERROR(__xludf.DUMMYFUNCTION("""COMPUTED_VALUE"""),"KIMME")</f>
        <v>KIMME</v>
      </c>
      <c r="J1396" s="471" t="str">
        <f>IFERROR(__xludf.DUMMYFUNCTION("""COMPUTED_VALUE"""),"https://vt.tiktok.com/ZS9yp16xC/")</f>
        <v>https://vt.tiktok.com/ZS9yp16xC/</v>
      </c>
      <c r="K1396" s="470" t="str">
        <f>IFERROR(__xludf.DUMMYFUNCTION("""COMPUTED_VALUE"""),"KIMME")</f>
        <v>KIMME</v>
      </c>
      <c r="L1396" s="471" t="str">
        <f>IFERROR(__xludf.DUMMYFUNCTION("""COMPUTED_VALUE"""),"https://vt.tiktok.com/ZS9QFXV9x/")</f>
        <v>https://vt.tiktok.com/ZS9QFXV9x/</v>
      </c>
      <c r="M1396" s="470"/>
      <c r="N1396" t="str">
        <f>IFERROR(__xludf.DUMMYFUNCTION("""COMPUTED_VALUE"""),"⁠https://vt.tiktok.com/ZS9QF95N4/")</f>
        <v>⁠https://vt.tiktok.com/ZS9QF95N4/</v>
      </c>
      <c r="O1396" s="470"/>
      <c r="P1396" t="str">
        <f>IFERROR(__xludf.DUMMYFUNCTION("""COMPUTED_VALUE"""),"⁠https://vt.tiktok.com/ZS9QFSF1C/")</f>
        <v>⁠https://vt.tiktok.com/ZS9QFSF1C/</v>
      </c>
    </row>
    <row r="1397">
      <c r="A1397" s="282" t="str">
        <f>IFERROR(__xludf.DUMMYFUNCTION("""COMPUTED_VALUE"""),"MICRO")</f>
        <v>MICRO</v>
      </c>
      <c r="B1397" s="468" t="str">
        <f>IFERROR(__xludf.DUMMYFUNCTION("""COMPUTED_VALUE"""),"dasteranforlife")</f>
        <v>dasteranforlife</v>
      </c>
      <c r="C1397" s="283" t="str">
        <f>IFERROR(__xludf.DUMMYFUNCTION("""COMPUTED_VALUE"""),"https://www.tiktok.com/@dasteranforlife")</f>
        <v>https://www.tiktok.com/@dasteranforlife</v>
      </c>
      <c r="D1397" s="273">
        <f>IFERROR(__xludf.DUMMYFUNCTION("""COMPUTED_VALUE"""),8.5213881165E10)</f>
        <v>85213881165</v>
      </c>
      <c r="E1397" s="458">
        <f>IFERROR(__xludf.DUMMYFUNCTION("""COMPUTED_VALUE"""),0.0)</f>
        <v>0</v>
      </c>
      <c r="F1397" s="273">
        <f>IFERROR(__xludf.DUMMYFUNCTION("""COMPUTED_VALUE"""),4.0)</f>
        <v>4</v>
      </c>
      <c r="G1397" t="str">
        <f>IFERROR(__xludf.DUMMYFUNCTION("""COMPUTED_VALUE"""),"Sabun batang 1 Box ( 2 PCS )")</f>
        <v>Sabun batang 1 Box ( 2 PCS )</v>
      </c>
      <c r="H1397" s="469" t="str">
        <f>IFERROR(__xludf.DUMMYFUNCTION("""COMPUTED_VALUE"""),"Sampai")</f>
        <v>Sampai</v>
      </c>
      <c r="I1397" s="470" t="str">
        <f>IFERROR(__xludf.DUMMYFUNCTION("""COMPUTED_VALUE"""),"KIMME")</f>
        <v>KIMME</v>
      </c>
      <c r="J1397" s="471" t="str">
        <f>IFERROR(__xludf.DUMMYFUNCTION("""COMPUTED_VALUE"""),"https://vt.tiktok.com/ZS9yp16xC/")</f>
        <v>https://vt.tiktok.com/ZS9yp16xC/</v>
      </c>
      <c r="K1397" s="470" t="str">
        <f>IFERROR(__xludf.DUMMYFUNCTION("""COMPUTED_VALUE"""),"KIMME")</f>
        <v>KIMME</v>
      </c>
      <c r="L1397" s="471" t="str">
        <f>IFERROR(__xludf.DUMMYFUNCTION("""COMPUTED_VALUE"""),"https://vt.tiktok.com/ZS9QFXV9x/")</f>
        <v>https://vt.tiktok.com/ZS9QFXV9x/</v>
      </c>
      <c r="M1397" s="470"/>
      <c r="N1397" t="str">
        <f>IFERROR(__xludf.DUMMYFUNCTION("""COMPUTED_VALUE"""),"⁠https://vt.tiktok.com/ZS9QF95N4/")</f>
        <v>⁠https://vt.tiktok.com/ZS9QF95N4/</v>
      </c>
      <c r="O1397" s="470"/>
      <c r="P1397" t="str">
        <f>IFERROR(__xludf.DUMMYFUNCTION("""COMPUTED_VALUE"""),"⁠https://vt.tiktok.com/ZS9QFSF1C/")</f>
        <v>⁠https://vt.tiktok.com/ZS9QFSF1C/</v>
      </c>
    </row>
    <row r="1398">
      <c r="A1398" s="282" t="str">
        <f>IFERROR(__xludf.DUMMYFUNCTION("""COMPUTED_VALUE"""),"MICRO")</f>
        <v>MICRO</v>
      </c>
      <c r="B1398" s="468" t="str">
        <f>IFERROR(__xludf.DUMMYFUNCTION("""COMPUTED_VALUE"""),"heinia_ ")</f>
        <v>heinia_ </v>
      </c>
      <c r="C1398" s="283" t="str">
        <f>IFERROR(__xludf.DUMMYFUNCTION("""COMPUTED_VALUE"""),"https://www.tiktok.com/@heinia_ ")</f>
        <v>https://www.tiktok.com/@heinia_ </v>
      </c>
      <c r="D1398" s="273">
        <f>IFERROR(__xludf.DUMMYFUNCTION("""COMPUTED_VALUE"""),8.1336535233E10)</f>
        <v>81336535233</v>
      </c>
      <c r="E1398" s="458">
        <f>IFERROR(__xludf.DUMMYFUNCTION("""COMPUTED_VALUE"""),0.0)</f>
        <v>0</v>
      </c>
      <c r="F1398" s="273">
        <f>IFERROR(__xludf.DUMMYFUNCTION("""COMPUTED_VALUE"""),4.0)</f>
        <v>4</v>
      </c>
      <c r="G1398" t="str">
        <f>IFERROR(__xludf.DUMMYFUNCTION("""COMPUTED_VALUE"""),"Sabun batang 1 Box ( 2 PCS )")</f>
        <v>Sabun batang 1 Box ( 2 PCS )</v>
      </c>
      <c r="H1398" s="469" t="str">
        <f>IFERROR(__xludf.DUMMYFUNCTION("""COMPUTED_VALUE"""),"Sampai")</f>
        <v>Sampai</v>
      </c>
      <c r="I1398" s="470" t="str">
        <f>IFERROR(__xludf.DUMMYFUNCTION("""COMPUTED_VALUE"""),"KIMME")</f>
        <v>KIMME</v>
      </c>
      <c r="J1398" s="471" t="str">
        <f>IFERROR(__xludf.DUMMYFUNCTION("""COMPUTED_VALUE"""),"https://www.tiktok.com/@heinia_/video/7633233059671821588?_r=1&amp;u_code=e4hl6971b0dbii&amp;region=&amp;mid=7633233164576983816&amp;preview_pb=0&amp;sharer_language=&amp;_d=0&amp;ec_shared_reflux_dynamic_params=%7B%22placeholder_material_id%22%3A%227633233059671821588%22%2C%22place"&amp;"holder_origin_cover%22%3A%22https%253A%252F%252Fp16-common-sign.tiktokcdn.com%252Ftos-alisg-p-0037%252Fok5QjSeXDGY3U4EdUWL3AHQIjAzeCjxeIJCTBW~tplv-tiktokx-origin.jpeg%253Fdr%253D14572%2526refresh_token%253Db7e39556%2526x-expires%253D1809504000%2526x-signa"&amp;"ture%253DiIpzR%25252B4jaoPEpr%25252BhMem%25252BxA4%25252Bwy0%25253D%2526t%253D4d5b0474%2526ps%253D13740610%2526shp%253Dd05b14bd%2526shcp%253D34ff8df6%2526idc%253Dmy%2526s%253DTIKTOK_AFFILIATE_VIRAL_VIDEO%22%2C%22placeholder_product_id%22%3A%22172942776672"&amp;"2726591%22%2C%22placeholder_video_id%22%3A%227633233059671821588%22%7D&amp;ec_shared_reflux_scene=shop_tab_feed&amp;share_item_id=7633233059671821588&amp;source=h5_t")</f>
        <v>https://www.tiktok.com/@heinia_/video/7633233059671821588?_r=1&amp;u_code=e4hl6971b0dbii&amp;region=&amp;mid=7633233164576983816&amp;preview_pb=0&amp;sharer_language=&amp;_d=0&amp;ec_shared_reflux_dynamic_params=%7B%22placeholder_material_id%22%3A%227633233059671821588%22%2C%22placeholder_origin_cover%22%3A%22https%253A%252F%252Fp16-common-sign.tiktokcdn.com%252Ftos-alisg-p-0037%252Fok5QjSeXDGY3U4EdUWL3AHQIjAzeCjxeIJCTBW~tplv-tiktokx-origin.jpeg%253Fdr%253D14572%2526refresh_token%253Db7e39556%2526x-expires%253D1809504000%2526x-signature%253DiIpzR%25252B4jaoPEpr%25252BhMem%25252BxA4%25252Bwy0%25253D%2526t%253D4d5b0474%2526ps%253D13740610%2526shp%253Dd05b14bd%2526shcp%253D34ff8df6%2526idc%253Dmy%2526s%253DTIKTOK_AFFILIATE_VIRAL_VIDEO%22%2C%22placeholder_product_id%22%3A%221729427766722726591%22%2C%22placeholder_video_id%22%3A%227633233059671821588%22%7D&amp;ec_shared_reflux_scene=shop_tab_feed&amp;share_item_id=7633233059671821588&amp;source=h5_t</v>
      </c>
      <c r="K1398" s="470" t="str">
        <f>IFERROR(__xludf.DUMMYFUNCTION("""COMPUTED_VALUE"""),"KIMME")</f>
        <v>KIMME</v>
      </c>
      <c r="L1398" s="471" t="str">
        <f>IFERROR(__xludf.DUMMYFUNCTION("""COMPUTED_VALUE"""),"https://www.tiktok.com/@heinia_/video/7634032791340027157?_r=1&amp;u_code=e4hl6971b0dbii&amp;region=&amp;mid=7634032823510993672&amp;preview_pb=0&amp;sharer_language=&amp;_d=0&amp;ec_shared_reflux_dynamic_params=%7B%22placeholder_material_id%22%3A%227634032791340027157%22%2C%22place"&amp;"holder_origin_cover%22%3A%22https%253A%252F%252Fp16-common-sign.tiktokcdn.com%252Ftos-alisg-p-0037%252Fo0BiICADIBIuHHHkAP5ExIG30GbiUBoOfBiwAA~tplv-tiktokx-origin.jpeg%253Fdr%253D14572%2526refresh_token%253D9ad04429%2526x-expires%253D1809504000%2526x-signa"&amp;"ture%253DFLiepsU6HovUuhPDLPh%25252FVfBc0tw%25253D%2526t%253D4d5b0474%2526ps%253D13740610%2526shp%253Dd05b14bd%2526shcp%253D34ff8df6%2526idc%253Dmy%2526s%253DTIKTOK_AFFILIATE_VIRAL_VIDEO%22%2C%22placeholder_product_id%22%3A%221729427766722726591%22%2C%22pl"&amp;"aceholder_video_id%22%3A%227634032791340027157%22%7D&amp;ec_shared_reflux_scene=shop_tab_feed&amp;share_item_id=7634032791340027157&amp;source=h5_t")</f>
        <v>https://www.tiktok.com/@heinia_/video/7634032791340027157?_r=1&amp;u_code=e4hl6971b0dbii&amp;region=&amp;mid=7634032823510993672&amp;preview_pb=0&amp;sharer_language=&amp;_d=0&amp;ec_shared_reflux_dynamic_params=%7B%22placeholder_material_id%22%3A%227634032791340027157%22%2C%22placeholder_origin_cover%22%3A%22https%253A%252F%252Fp16-common-sign.tiktokcdn.com%252Ftos-alisg-p-0037%252Fo0BiICADIBIuHHHkAP5ExIG30GbiUBoOfBiwAA~tplv-tiktokx-origin.jpeg%253Fdr%253D14572%2526refresh_token%253D9ad04429%2526x-expires%253D1809504000%2526x-signature%253DFLiepsU6HovUuhPDLPh%25252FVfBc0tw%25253D%2526t%253D4d5b0474%2526ps%253D13740610%2526shp%253Dd05b14bd%2526shcp%253D34ff8df6%2526idc%253Dmy%2526s%253DTIKTOK_AFFILIATE_VIRAL_VIDEO%22%2C%22placeholder_product_id%22%3A%221729427766722726591%22%2C%22placeholder_video_id%22%3A%227634032791340027157%22%7D&amp;ec_shared_reflux_scene=shop_tab_feed&amp;share_item_id=7634032791340027157&amp;source=h5_t</v>
      </c>
      <c r="M1398" s="470"/>
      <c r="N1398" s="471" t="str">
        <f>IFERROR(__xludf.DUMMYFUNCTION("""COMPUTED_VALUE"""),"https://vt.tiktok.com/ZSxWyvu9P/")</f>
        <v>https://vt.tiktok.com/ZSxWyvu9P/</v>
      </c>
      <c r="O1398" s="470"/>
      <c r="P1398" s="471" t="str">
        <f>IFERROR(__xludf.DUMMYFUNCTION("""COMPUTED_VALUE"""),"https://vt.tiktok.com/ZSxWyobBp/.")</f>
        <v>https://vt.tiktok.com/ZSxWyobBp/.</v>
      </c>
    </row>
    <row r="1399">
      <c r="A1399" s="282" t="str">
        <f>IFERROR(__xludf.DUMMYFUNCTION("""COMPUTED_VALUE"""),"MICRO")</f>
        <v>MICRO</v>
      </c>
      <c r="B1399" s="468" t="str">
        <f>IFERROR(__xludf.DUMMYFUNCTION("""COMPUTED_VALUE"""),"a.etikk")</f>
        <v>a.etikk</v>
      </c>
      <c r="C1399" s="283" t="str">
        <f>IFERROR(__xludf.DUMMYFUNCTION("""COMPUTED_VALUE"""),"https://www.tiktok.com/@a.etikk")</f>
        <v>https://www.tiktok.com/@a.etikk</v>
      </c>
      <c r="D1399" s="273">
        <f>IFERROR(__xludf.DUMMYFUNCTION("""COMPUTED_VALUE"""),8.2191873737E10)</f>
        <v>82191873737</v>
      </c>
      <c r="E1399" s="458">
        <f>IFERROR(__xludf.DUMMYFUNCTION("""COMPUTED_VALUE"""),0.0)</f>
        <v>0</v>
      </c>
      <c r="F1399" s="273">
        <f>IFERROR(__xludf.DUMMYFUNCTION("""COMPUTED_VALUE"""),4.0)</f>
        <v>4</v>
      </c>
      <c r="G1399" t="str">
        <f>IFERROR(__xludf.DUMMYFUNCTION("""COMPUTED_VALUE"""),"Sabun batang 1 Box ( 2 PCS )")</f>
        <v>Sabun batang 1 Box ( 2 PCS )</v>
      </c>
      <c r="H1399" s="469" t="str">
        <f>IFERROR(__xludf.DUMMYFUNCTION("""COMPUTED_VALUE"""),"Sampai")</f>
        <v>Sampai</v>
      </c>
      <c r="I1399" s="470" t="str">
        <f>IFERROR(__xludf.DUMMYFUNCTION("""COMPUTED_VALUE"""),"KIMME")</f>
        <v>KIMME</v>
      </c>
      <c r="J1399" s="471" t="str">
        <f>IFERROR(__xludf.DUMMYFUNCTION("""COMPUTED_VALUE"""),"https://vt.tiktok.com/ZS9yp16xC/")</f>
        <v>https://vt.tiktok.com/ZS9yp16xC/</v>
      </c>
      <c r="K1399" s="470" t="str">
        <f>IFERROR(__xludf.DUMMYFUNCTION("""COMPUTED_VALUE"""),"KIMME")</f>
        <v>KIMME</v>
      </c>
      <c r="L1399" s="471" t="str">
        <f>IFERROR(__xludf.DUMMYFUNCTION("""COMPUTED_VALUE"""),"https://vt.tiktok.com/ZS9QFXV9x/")</f>
        <v>https://vt.tiktok.com/ZS9QFXV9x/</v>
      </c>
      <c r="M1399" s="470"/>
      <c r="N1399" t="str">
        <f>IFERROR(__xludf.DUMMYFUNCTION("""COMPUTED_VALUE"""),"⁠https://vt.tiktok.com/ZS9QF95N4/")</f>
        <v>⁠https://vt.tiktok.com/ZS9QF95N4/</v>
      </c>
      <c r="O1399" s="470"/>
      <c r="P1399" t="str">
        <f>IFERROR(__xludf.DUMMYFUNCTION("""COMPUTED_VALUE"""),"⁠https://vt.tiktok.com/ZS9QFSF1C/")</f>
        <v>⁠https://vt.tiktok.com/ZS9QFSF1C/</v>
      </c>
    </row>
    <row r="1400">
      <c r="A1400" s="282" t="str">
        <f>IFERROR(__xludf.DUMMYFUNCTION("""COMPUTED_VALUE"""),"MICRO")</f>
        <v>MICRO</v>
      </c>
      <c r="B1400" s="468" t="str">
        <f>IFERROR(__xludf.DUMMYFUNCTION("""COMPUTED_VALUE"""),"mamashanea17")</f>
        <v>mamashanea17</v>
      </c>
      <c r="C1400" s="283" t="str">
        <f>IFERROR(__xludf.DUMMYFUNCTION("""COMPUTED_VALUE"""),"https://www.tiktok.com/@mamashanea17")</f>
        <v>https://www.tiktok.com/@mamashanea17</v>
      </c>
      <c r="D1400" s="273">
        <f>IFERROR(__xludf.DUMMYFUNCTION("""COMPUTED_VALUE"""),8.9699033113E10)</f>
        <v>89699033113</v>
      </c>
      <c r="E1400" s="458">
        <f>IFERROR(__xludf.DUMMYFUNCTION("""COMPUTED_VALUE"""),0.0)</f>
        <v>0</v>
      </c>
      <c r="F1400" s="273">
        <f>IFERROR(__xludf.DUMMYFUNCTION("""COMPUTED_VALUE"""),4.0)</f>
        <v>4</v>
      </c>
      <c r="G1400" t="str">
        <f>IFERROR(__xludf.DUMMYFUNCTION("""COMPUTED_VALUE"""),"Sabun batang 1 Box ( 2 PCS )")</f>
        <v>Sabun batang 1 Box ( 2 PCS )</v>
      </c>
      <c r="H1400" s="469" t="str">
        <f>IFERROR(__xludf.DUMMYFUNCTION("""COMPUTED_VALUE"""),"Sampai")</f>
        <v>Sampai</v>
      </c>
      <c r="I1400" s="470" t="str">
        <f>IFERROR(__xludf.DUMMYFUNCTION("""COMPUTED_VALUE"""),"KIMME")</f>
        <v>KIMME</v>
      </c>
      <c r="J1400" s="471" t="str">
        <f>IFERROR(__xludf.DUMMYFUNCTION("""COMPUTED_VALUE"""),"https://vt.tiktok.com/ZS9yp16xC/")</f>
        <v>https://vt.tiktok.com/ZS9yp16xC/</v>
      </c>
      <c r="K1400" s="470" t="str">
        <f>IFERROR(__xludf.DUMMYFUNCTION("""COMPUTED_VALUE"""),"KIMME")</f>
        <v>KIMME</v>
      </c>
      <c r="L1400" s="471" t="str">
        <f>IFERROR(__xludf.DUMMYFUNCTION("""COMPUTED_VALUE"""),"https://vt.tiktok.com/ZS9QFXV9x/")</f>
        <v>https://vt.tiktok.com/ZS9QFXV9x/</v>
      </c>
      <c r="M1400" s="470"/>
      <c r="N1400" t="str">
        <f>IFERROR(__xludf.DUMMYFUNCTION("""COMPUTED_VALUE"""),"⁠https://vt.tiktok.com/ZS9QF95N4/")</f>
        <v>⁠https://vt.tiktok.com/ZS9QF95N4/</v>
      </c>
      <c r="O1400" s="470"/>
      <c r="P1400" t="str">
        <f>IFERROR(__xludf.DUMMYFUNCTION("""COMPUTED_VALUE"""),"⁠https://vt.tiktok.com/ZS9QFSF1C/")</f>
        <v>⁠https://vt.tiktok.com/ZS9QFSF1C/</v>
      </c>
    </row>
    <row r="1401">
      <c r="A1401" s="282" t="str">
        <f>IFERROR(__xludf.DUMMYFUNCTION("""COMPUTED_VALUE"""),"MICRO")</f>
        <v>MICRO</v>
      </c>
      <c r="B1401" s="468" t="str">
        <f>IFERROR(__xludf.DUMMYFUNCTION("""COMPUTED_VALUE"""),"yumnafa0411")</f>
        <v>yumnafa0411</v>
      </c>
      <c r="C1401" s="283" t="str">
        <f>IFERROR(__xludf.DUMMYFUNCTION("""COMPUTED_VALUE"""),"https://www.tiktok.com/@yumnafa0411")</f>
        <v>https://www.tiktok.com/@yumnafa0411</v>
      </c>
      <c r="D1401" s="273">
        <f>IFERROR(__xludf.DUMMYFUNCTION("""COMPUTED_VALUE"""),8.980031404E9)</f>
        <v>8980031404</v>
      </c>
      <c r="E1401" s="458">
        <f>IFERROR(__xludf.DUMMYFUNCTION("""COMPUTED_VALUE"""),0.0)</f>
        <v>0</v>
      </c>
      <c r="F1401" s="273">
        <f>IFERROR(__xludf.DUMMYFUNCTION("""COMPUTED_VALUE"""),2.0)</f>
        <v>2</v>
      </c>
      <c r="G1401" t="str">
        <f>IFERROR(__xludf.DUMMYFUNCTION("""COMPUTED_VALUE"""),"Sabun batang 1 Box ( 2 PCS )")</f>
        <v>Sabun batang 1 Box ( 2 PCS )</v>
      </c>
      <c r="H1401" s="469" t="str">
        <f>IFERROR(__xludf.DUMMYFUNCTION("""COMPUTED_VALUE"""),"Sampai")</f>
        <v>Sampai</v>
      </c>
      <c r="I1401" s="470" t="str">
        <f>IFERROR(__xludf.DUMMYFUNCTION("""COMPUTED_VALUE"""),"KIMME")</f>
        <v>KIMME</v>
      </c>
      <c r="J1401" s="471" t="str">
        <f>IFERROR(__xludf.DUMMYFUNCTION("""COMPUTED_VALUE"""),"https://vt.tiktok.com/ZS9yp16xC/")</f>
        <v>https://vt.tiktok.com/ZS9yp16xC/</v>
      </c>
      <c r="K1401" s="470" t="str">
        <f>IFERROR(__xludf.DUMMYFUNCTION("""COMPUTED_VALUE"""),"KIMME")</f>
        <v>KIMME</v>
      </c>
      <c r="L1401" s="471" t="str">
        <f>IFERROR(__xludf.DUMMYFUNCTION("""COMPUTED_VALUE"""),"https://vt.tiktok.com/ZS9QFXV9x/")</f>
        <v>https://vt.tiktok.com/ZS9QFXV9x/</v>
      </c>
      <c r="M1401" s="470"/>
      <c r="N1401" t="str">
        <f>IFERROR(__xludf.DUMMYFUNCTION("""COMPUTED_VALUE"""),"⁠https://vt.tiktok.com/ZS9QF95N4/")</f>
        <v>⁠https://vt.tiktok.com/ZS9QF95N4/</v>
      </c>
      <c r="O1401" s="470"/>
      <c r="P1401" t="str">
        <f>IFERROR(__xludf.DUMMYFUNCTION("""COMPUTED_VALUE"""),"⁠https://vt.tiktok.com/ZS9QFSF1C/")</f>
        <v>⁠https://vt.tiktok.com/ZS9QFSF1C/</v>
      </c>
    </row>
    <row r="1402">
      <c r="A1402" s="282" t="str">
        <f>IFERROR(__xludf.DUMMYFUNCTION("""COMPUTED_VALUE"""),"MICRO")</f>
        <v>MICRO</v>
      </c>
      <c r="B1402" s="468" t="str">
        <f>IFERROR(__xludf.DUMMYFUNCTION("""COMPUTED_VALUE"""),"Siska285")</f>
        <v>Siska285</v>
      </c>
      <c r="C1402" s="283" t="str">
        <f>IFERROR(__xludf.DUMMYFUNCTION("""COMPUTED_VALUE"""),"https://www.tiktok.com/@Siska285")</f>
        <v>https://www.tiktok.com/@Siska285</v>
      </c>
      <c r="D1402" s="273">
        <f>IFERROR(__xludf.DUMMYFUNCTION("""COMPUTED_VALUE"""),8.5798777778E10)</f>
        <v>85798777778</v>
      </c>
      <c r="E1402" s="458">
        <f>IFERROR(__xludf.DUMMYFUNCTION("""COMPUTED_VALUE"""),0.0)</f>
        <v>0</v>
      </c>
      <c r="F1402" s="273">
        <f>IFERROR(__xludf.DUMMYFUNCTION("""COMPUTED_VALUE"""),4.0)</f>
        <v>4</v>
      </c>
      <c r="G1402" t="str">
        <f>IFERROR(__xludf.DUMMYFUNCTION("""COMPUTED_VALUE"""),"Sabun batang 1 Box ( 2 PCS )")</f>
        <v>Sabun batang 1 Box ( 2 PCS )</v>
      </c>
      <c r="H1402" s="469" t="str">
        <f>IFERROR(__xludf.DUMMYFUNCTION("""COMPUTED_VALUE"""),"Sampai")</f>
        <v>Sampai</v>
      </c>
      <c r="I1402" s="470" t="str">
        <f>IFERROR(__xludf.DUMMYFUNCTION("""COMPUTED_VALUE"""),"KIMME")</f>
        <v>KIMME</v>
      </c>
      <c r="J1402" s="471" t="str">
        <f>IFERROR(__xludf.DUMMYFUNCTION("""COMPUTED_VALUE"""),"https://vt.tiktok.com/ZS9yp16xC/")</f>
        <v>https://vt.tiktok.com/ZS9yp16xC/</v>
      </c>
      <c r="K1402" s="470" t="str">
        <f>IFERROR(__xludf.DUMMYFUNCTION("""COMPUTED_VALUE"""),"KIMME")</f>
        <v>KIMME</v>
      </c>
      <c r="L1402" s="471" t="str">
        <f>IFERROR(__xludf.DUMMYFUNCTION("""COMPUTED_VALUE"""),"https://vt.tiktok.com/ZS9QFXV9x/")</f>
        <v>https://vt.tiktok.com/ZS9QFXV9x/</v>
      </c>
      <c r="M1402" s="470"/>
      <c r="N1402" t="str">
        <f>IFERROR(__xludf.DUMMYFUNCTION("""COMPUTED_VALUE"""),"⁠https://vt.tiktok.com/ZS9QF95N4/")</f>
        <v>⁠https://vt.tiktok.com/ZS9QF95N4/</v>
      </c>
      <c r="O1402" s="470"/>
      <c r="P1402" t="str">
        <f>IFERROR(__xludf.DUMMYFUNCTION("""COMPUTED_VALUE"""),"⁠https://vt.tiktok.com/ZS9QFSF1C/")</f>
        <v>⁠https://vt.tiktok.com/ZS9QFSF1C/</v>
      </c>
    </row>
    <row r="1403">
      <c r="A1403" s="282" t="str">
        <f>IFERROR(__xludf.DUMMYFUNCTION("""COMPUTED_VALUE"""),"MICRO")</f>
        <v>MICRO</v>
      </c>
      <c r="B1403" s="468" t="str">
        <f>IFERROR(__xludf.DUMMYFUNCTION("""COMPUTED_VALUE"""),"nurndh")</f>
        <v>nurndh</v>
      </c>
      <c r="C1403" s="283" t="str">
        <f>IFERROR(__xludf.DUMMYFUNCTION("""COMPUTED_VALUE"""),"https://www.tiktok.com/@nurndh")</f>
        <v>https://www.tiktok.com/@nurndh</v>
      </c>
      <c r="D1403" s="273">
        <f>IFERROR(__xludf.DUMMYFUNCTION("""COMPUTED_VALUE"""),8.13160652E9)</f>
        <v>8131606520</v>
      </c>
      <c r="E1403" s="458">
        <f>IFERROR(__xludf.DUMMYFUNCTION("""COMPUTED_VALUE"""),0.0)</f>
        <v>0</v>
      </c>
      <c r="F1403" s="273">
        <f>IFERROR(__xludf.DUMMYFUNCTION("""COMPUTED_VALUE"""),4.0)</f>
        <v>4</v>
      </c>
      <c r="G1403" t="str">
        <f>IFERROR(__xludf.DUMMYFUNCTION("""COMPUTED_VALUE"""),"Sabun batang 1 Box ( 2 PCS )")</f>
        <v>Sabun batang 1 Box ( 2 PCS )</v>
      </c>
      <c r="H1403" s="469" t="str">
        <f>IFERROR(__xludf.DUMMYFUNCTION("""COMPUTED_VALUE"""),"Sampai")</f>
        <v>Sampai</v>
      </c>
      <c r="I1403" s="470" t="str">
        <f>IFERROR(__xludf.DUMMYFUNCTION("""COMPUTED_VALUE"""),"KIMME")</f>
        <v>KIMME</v>
      </c>
      <c r="J1403" s="471" t="str">
        <f>IFERROR(__xludf.DUMMYFUNCTION("""COMPUTED_VALUE"""),"https://vt.tiktok.com/ZS96hwagC/")</f>
        <v>https://vt.tiktok.com/ZS96hwagC/</v>
      </c>
      <c r="K1403" s="470" t="str">
        <f>IFERROR(__xludf.DUMMYFUNCTION("""COMPUTED_VALUE"""),"KIMME")</f>
        <v>KIMME</v>
      </c>
      <c r="L1403" s="471" t="str">
        <f>IFERROR(__xludf.DUMMYFUNCTION("""COMPUTED_VALUE"""),"https://vt.tiktok.com/ZS9fsaWRX/")</f>
        <v>https://vt.tiktok.com/ZS9fsaWRX/</v>
      </c>
      <c r="M1403" s="470"/>
      <c r="N1403" s="471" t="str">
        <f>IFERROR(__xludf.DUMMYFUNCTION("""COMPUTED_VALUE"""),"https://vt.tiktok.com/ZS9aSJuyb/")</f>
        <v>https://vt.tiktok.com/ZS9aSJuyb/</v>
      </c>
      <c r="O1403" s="470"/>
      <c r="P1403" s="471" t="str">
        <f>IFERROR(__xludf.DUMMYFUNCTION("""COMPUTED_VALUE"""),"https://vt.tiktok.com/ZSxrRGgwB/")</f>
        <v>https://vt.tiktok.com/ZSxrRGgwB/</v>
      </c>
    </row>
    <row r="1404">
      <c r="A1404" s="282" t="str">
        <f>IFERROR(__xludf.DUMMYFUNCTION("""COMPUTED_VALUE"""),"MICRO")</f>
        <v>MICRO</v>
      </c>
      <c r="B1404" s="468" t="str">
        <f>IFERROR(__xludf.DUMMYFUNCTION("""COMPUTED_VALUE"""),"spalspil646")</f>
        <v>spalspil646</v>
      </c>
      <c r="C1404" s="283" t="str">
        <f>IFERROR(__xludf.DUMMYFUNCTION("""COMPUTED_VALUE"""),"https://www.tiktok.com/@spalspil646")</f>
        <v>https://www.tiktok.com/@spalspil646</v>
      </c>
      <c r="D1404" s="273">
        <f>IFERROR(__xludf.DUMMYFUNCTION("""COMPUTED_VALUE"""),8.5266541014E10)</f>
        <v>85266541014</v>
      </c>
      <c r="E1404" s="458">
        <f>IFERROR(__xludf.DUMMYFUNCTION("""COMPUTED_VALUE"""),0.0)</f>
        <v>0</v>
      </c>
      <c r="F1404" s="273">
        <f>IFERROR(__xludf.DUMMYFUNCTION("""COMPUTED_VALUE"""),4.0)</f>
        <v>4</v>
      </c>
      <c r="G1404" t="str">
        <f>IFERROR(__xludf.DUMMYFUNCTION("""COMPUTED_VALUE"""),"Sabun batang 1 Box ( 2 PCS )")</f>
        <v>Sabun batang 1 Box ( 2 PCS )</v>
      </c>
      <c r="H1404" s="469" t="str">
        <f>IFERROR(__xludf.DUMMYFUNCTION("""COMPUTED_VALUE"""),"Sampai")</f>
        <v>Sampai</v>
      </c>
      <c r="I1404" s="470" t="str">
        <f>IFERROR(__xludf.DUMMYFUNCTION("""COMPUTED_VALUE"""),"KIMME")</f>
        <v>KIMME</v>
      </c>
      <c r="J1404" s="471" t="str">
        <f>IFERROR(__xludf.DUMMYFUNCTION("""COMPUTED_VALUE"""),"https://vt.tiktok.com/ZS9jM8xdm/")</f>
        <v>https://vt.tiktok.com/ZS9jM8xdm/</v>
      </c>
      <c r="K1404" s="470" t="str">
        <f>IFERROR(__xludf.DUMMYFUNCTION("""COMPUTED_VALUE"""),"KIMME")</f>
        <v>KIMME</v>
      </c>
      <c r="L1404" s="471" t="str">
        <f>IFERROR(__xludf.DUMMYFUNCTION("""COMPUTED_VALUE"""),"https://vt.tiktok.com/ZS9MArLmp/")</f>
        <v>https://vt.tiktok.com/ZS9MArLmp/</v>
      </c>
      <c r="M1404" s="470"/>
      <c r="N1404" s="471" t="str">
        <f>IFERROR(__xludf.DUMMYFUNCTION("""COMPUTED_VALUE"""),"https://vt.tiktok.com/ZS9BbR5X2/")</f>
        <v>https://vt.tiktok.com/ZS9BbR5X2/</v>
      </c>
      <c r="O1404" s="470"/>
      <c r="P1404" s="471" t="str">
        <f>IFERROR(__xludf.DUMMYFUNCTION("""COMPUTED_VALUE"""),"https://vt.tiktok.com/ZS9ycs5oc/")</f>
        <v>https://vt.tiktok.com/ZS9ycs5oc/</v>
      </c>
    </row>
    <row r="1405">
      <c r="A1405" s="282" t="str">
        <f>IFERROR(__xludf.DUMMYFUNCTION("""COMPUTED_VALUE"""),"MICRO")</f>
        <v>MICRO</v>
      </c>
      <c r="B1405" s="468" t="str">
        <f>IFERROR(__xludf.DUMMYFUNCTION("""COMPUTED_VALUE"""),"taritaauliaa")</f>
        <v>taritaauliaa</v>
      </c>
      <c r="C1405" s="283" t="str">
        <f>IFERROR(__xludf.DUMMYFUNCTION("""COMPUTED_VALUE"""),"https://www.tiktok.com/@taritaauliaa")</f>
        <v>https://www.tiktok.com/@taritaauliaa</v>
      </c>
      <c r="D1405" s="273">
        <f>IFERROR(__xludf.DUMMYFUNCTION("""COMPUTED_VALUE"""),8.523564055E10)</f>
        <v>85235640550</v>
      </c>
      <c r="E1405" s="458">
        <f>IFERROR(__xludf.DUMMYFUNCTION("""COMPUTED_VALUE"""),0.0)</f>
        <v>0</v>
      </c>
      <c r="F1405" s="273">
        <f>IFERROR(__xludf.DUMMYFUNCTION("""COMPUTED_VALUE"""),4.0)</f>
        <v>4</v>
      </c>
      <c r="G1405" t="str">
        <f>IFERROR(__xludf.DUMMYFUNCTION("""COMPUTED_VALUE"""),"Sabun batang 1 Box ( 2 PCS )")</f>
        <v>Sabun batang 1 Box ( 2 PCS )</v>
      </c>
      <c r="H1405" s="469" t="str">
        <f>IFERROR(__xludf.DUMMYFUNCTION("""COMPUTED_VALUE"""),"Sampai")</f>
        <v>Sampai</v>
      </c>
      <c r="I1405" s="470" t="str">
        <f>IFERROR(__xludf.DUMMYFUNCTION("""COMPUTED_VALUE"""),"KIMME")</f>
        <v>KIMME</v>
      </c>
      <c r="J1405" s="471" t="str">
        <f>IFERROR(__xludf.DUMMYFUNCTION("""COMPUTED_VALUE"""),"https://vt.tiktok.com/ZS9jM8xdm/")</f>
        <v>https://vt.tiktok.com/ZS9jM8xdm/</v>
      </c>
      <c r="K1405" s="470" t="str">
        <f>IFERROR(__xludf.DUMMYFUNCTION("""COMPUTED_VALUE"""),"KIMME")</f>
        <v>KIMME</v>
      </c>
      <c r="L1405" s="471" t="str">
        <f>IFERROR(__xludf.DUMMYFUNCTION("""COMPUTED_VALUE"""),"https://vt.tiktok.com/ZS9MArLmp/")</f>
        <v>https://vt.tiktok.com/ZS9MArLmp/</v>
      </c>
      <c r="M1405" s="470"/>
      <c r="N1405" s="471" t="str">
        <f>IFERROR(__xludf.DUMMYFUNCTION("""COMPUTED_VALUE"""),"https://vt.tiktok.com/ZS9BbR5X2/")</f>
        <v>https://vt.tiktok.com/ZS9BbR5X2/</v>
      </c>
      <c r="O1405" s="470"/>
      <c r="P1405" s="471" t="str">
        <f>IFERROR(__xludf.DUMMYFUNCTION("""COMPUTED_VALUE"""),"https://vt.tiktok.com/ZS9ycs5oc/")</f>
        <v>https://vt.tiktok.com/ZS9ycs5oc/</v>
      </c>
    </row>
    <row r="1406">
      <c r="A1406" s="282" t="str">
        <f>IFERROR(__xludf.DUMMYFUNCTION("""COMPUTED_VALUE"""),"MICRO")</f>
        <v>MICRO</v>
      </c>
      <c r="B1406" s="468" t="str">
        <f>IFERROR(__xludf.DUMMYFUNCTION("""COMPUTED_VALUE"""),"kayrin_official")</f>
        <v>kayrin_official</v>
      </c>
      <c r="C1406" s="283" t="str">
        <f>IFERROR(__xludf.DUMMYFUNCTION("""COMPUTED_VALUE"""),"https://www.tiktok.com/@kayrin_official")</f>
        <v>https://www.tiktok.com/@kayrin_official</v>
      </c>
      <c r="D1406" s="273">
        <f>IFERROR(__xludf.DUMMYFUNCTION("""COMPUTED_VALUE"""),8.2124920789E10)</f>
        <v>82124920789</v>
      </c>
      <c r="E1406" s="458">
        <f>IFERROR(__xludf.DUMMYFUNCTION("""COMPUTED_VALUE"""),0.0)</f>
        <v>0</v>
      </c>
      <c r="F1406" s="273">
        <f>IFERROR(__xludf.DUMMYFUNCTION("""COMPUTED_VALUE"""),4.0)</f>
        <v>4</v>
      </c>
      <c r="G1406" t="str">
        <f>IFERROR(__xludf.DUMMYFUNCTION("""COMPUTED_VALUE"""),"Sabun batang 1 Box ( 2 PCS )")</f>
        <v>Sabun batang 1 Box ( 2 PCS )</v>
      </c>
      <c r="H1406" s="469" t="str">
        <f>IFERROR(__xludf.DUMMYFUNCTION("""COMPUTED_VALUE"""),"Sampai")</f>
        <v>Sampai</v>
      </c>
      <c r="I1406" s="470" t="str">
        <f>IFERROR(__xludf.DUMMYFUNCTION("""COMPUTED_VALUE"""),"KIMME")</f>
        <v>KIMME</v>
      </c>
      <c r="J1406" s="471" t="str">
        <f>IFERROR(__xludf.DUMMYFUNCTION("""COMPUTED_VALUE"""),"https://vt.tiktok.com/ZS9jM8xdm/")</f>
        <v>https://vt.tiktok.com/ZS9jM8xdm/</v>
      </c>
      <c r="K1406" s="470" t="str">
        <f>IFERROR(__xludf.DUMMYFUNCTION("""COMPUTED_VALUE"""),"KIMME")</f>
        <v>KIMME</v>
      </c>
      <c r="L1406" s="471" t="str">
        <f>IFERROR(__xludf.DUMMYFUNCTION("""COMPUTED_VALUE"""),"https://vt.tiktok.com/ZS9MArLmp/")</f>
        <v>https://vt.tiktok.com/ZS9MArLmp/</v>
      </c>
      <c r="M1406" s="470"/>
      <c r="N1406" s="471" t="str">
        <f>IFERROR(__xludf.DUMMYFUNCTION("""COMPUTED_VALUE"""),"https://vt.tiktok.com/ZS9BbR5X2/")</f>
        <v>https://vt.tiktok.com/ZS9BbR5X2/</v>
      </c>
      <c r="O1406" s="470"/>
      <c r="P1406" s="471" t="str">
        <f>IFERROR(__xludf.DUMMYFUNCTION("""COMPUTED_VALUE"""),"https://vt.tiktok.com/ZS9ycs5oc/")</f>
        <v>https://vt.tiktok.com/ZS9ycs5oc/</v>
      </c>
    </row>
    <row r="1407">
      <c r="A1407" s="282" t="str">
        <f>IFERROR(__xludf.DUMMYFUNCTION("""COMPUTED_VALUE"""),"MICRO")</f>
        <v>MICRO</v>
      </c>
      <c r="B1407" s="468" t="str">
        <f>IFERROR(__xludf.DUMMYFUNCTION("""COMPUTED_VALUE"""),".anismarsela14 ")</f>
        <v>.anismarsela14 </v>
      </c>
      <c r="C1407" s="283" t="str">
        <f>IFERROR(__xludf.DUMMYFUNCTION("""COMPUTED_VALUE"""),"https://www.tiktok.com/@.anismarsela14 ")</f>
        <v>https://www.tiktok.com/@.anismarsela14 </v>
      </c>
      <c r="D1407" s="273">
        <f>IFERROR(__xludf.DUMMYFUNCTION("""COMPUTED_VALUE"""),8.5624899077E10)</f>
        <v>85624899077</v>
      </c>
      <c r="E1407" s="458">
        <f>IFERROR(__xludf.DUMMYFUNCTION("""COMPUTED_VALUE"""),0.0)</f>
        <v>0</v>
      </c>
      <c r="F1407" s="273">
        <f>IFERROR(__xludf.DUMMYFUNCTION("""COMPUTED_VALUE"""),4.0)</f>
        <v>4</v>
      </c>
      <c r="G1407" t="str">
        <f>IFERROR(__xludf.DUMMYFUNCTION("""COMPUTED_VALUE"""),"Sabun batang 1 Box ( 2 PCS )")</f>
        <v>Sabun batang 1 Box ( 2 PCS )</v>
      </c>
      <c r="H1407" s="469" t="str">
        <f>IFERROR(__xludf.DUMMYFUNCTION("""COMPUTED_VALUE"""),"Sampai")</f>
        <v>Sampai</v>
      </c>
      <c r="I1407" s="470" t="str">
        <f>IFERROR(__xludf.DUMMYFUNCTION("""COMPUTED_VALUE"""),"KIMME")</f>
        <v>KIMME</v>
      </c>
      <c r="J1407" s="471" t="str">
        <f>IFERROR(__xludf.DUMMYFUNCTION("""COMPUTED_VALUE"""),"https://vt.tiktok.com/ZS9jM8xdm/")</f>
        <v>https://vt.tiktok.com/ZS9jM8xdm/</v>
      </c>
      <c r="K1407" s="470" t="str">
        <f>IFERROR(__xludf.DUMMYFUNCTION("""COMPUTED_VALUE"""),"KIMME")</f>
        <v>KIMME</v>
      </c>
      <c r="L1407" s="471" t="str">
        <f>IFERROR(__xludf.DUMMYFUNCTION("""COMPUTED_VALUE"""),"https://vt.tiktok.com/ZS9MArLmp/")</f>
        <v>https://vt.tiktok.com/ZS9MArLmp/</v>
      </c>
      <c r="M1407" s="470"/>
      <c r="N1407" s="471" t="str">
        <f>IFERROR(__xludf.DUMMYFUNCTION("""COMPUTED_VALUE"""),"https://vt.tiktok.com/ZS9BbR5X2/")</f>
        <v>https://vt.tiktok.com/ZS9BbR5X2/</v>
      </c>
      <c r="O1407" s="470"/>
      <c r="P1407" s="471" t="str">
        <f>IFERROR(__xludf.DUMMYFUNCTION("""COMPUTED_VALUE"""),"https://vt.tiktok.com/ZS9ycs5oc/")</f>
        <v>https://vt.tiktok.com/ZS9ycs5oc/</v>
      </c>
    </row>
    <row r="1408">
      <c r="A1408" s="282" t="str">
        <f>IFERROR(__xludf.DUMMYFUNCTION("""COMPUTED_VALUE"""),"MICRO")</f>
        <v>MICRO</v>
      </c>
      <c r="B1408" s="468" t="str">
        <f>IFERROR(__xludf.DUMMYFUNCTION("""COMPUTED_VALUE"""),"nv.cla")</f>
        <v>nv.cla</v>
      </c>
      <c r="C1408" s="283" t="str">
        <f>IFERROR(__xludf.DUMMYFUNCTION("""COMPUTED_VALUE"""),"https://www.tiktok.com/@nv.cla")</f>
        <v>https://www.tiktok.com/@nv.cla</v>
      </c>
      <c r="D1408" s="273">
        <f>IFERROR(__xludf.DUMMYFUNCTION("""COMPUTED_VALUE"""),8.5222433394E10)</f>
        <v>85222433394</v>
      </c>
      <c r="E1408" s="458">
        <f>IFERROR(__xludf.DUMMYFUNCTION("""COMPUTED_VALUE"""),0.0)</f>
        <v>0</v>
      </c>
      <c r="F1408" s="273">
        <f>IFERROR(__xludf.DUMMYFUNCTION("""COMPUTED_VALUE"""),2.0)</f>
        <v>2</v>
      </c>
      <c r="G1408" t="str">
        <f>IFERROR(__xludf.DUMMYFUNCTION("""COMPUTED_VALUE"""),"Sabun batang 1 Box ( 2 PCS )")</f>
        <v>Sabun batang 1 Box ( 2 PCS )</v>
      </c>
      <c r="H1408" s="469" t="str">
        <f>IFERROR(__xludf.DUMMYFUNCTION("""COMPUTED_VALUE"""),"Sampai")</f>
        <v>Sampai</v>
      </c>
      <c r="I1408" s="470" t="str">
        <f>IFERROR(__xludf.DUMMYFUNCTION("""COMPUTED_VALUE"""),"KIMME")</f>
        <v>KIMME</v>
      </c>
      <c r="J1408" s="471" t="str">
        <f>IFERROR(__xludf.DUMMYFUNCTION("""COMPUTED_VALUE"""),"https://vt.tiktok.com/ZS9jM8xdm/")</f>
        <v>https://vt.tiktok.com/ZS9jM8xdm/</v>
      </c>
      <c r="K1408" s="470" t="str">
        <f>IFERROR(__xludf.DUMMYFUNCTION("""COMPUTED_VALUE"""),"KIMME")</f>
        <v>KIMME</v>
      </c>
      <c r="L1408" s="471" t="str">
        <f>IFERROR(__xludf.DUMMYFUNCTION("""COMPUTED_VALUE"""),"https://vt.tiktok.com/ZS9MArLmp/")</f>
        <v>https://vt.tiktok.com/ZS9MArLmp/</v>
      </c>
      <c r="M1408" s="470"/>
      <c r="N1408" s="471" t="str">
        <f>IFERROR(__xludf.DUMMYFUNCTION("""COMPUTED_VALUE"""),"https://vt.tiktok.com/ZS9BbR5X2/")</f>
        <v>https://vt.tiktok.com/ZS9BbR5X2/</v>
      </c>
      <c r="O1408" s="470"/>
      <c r="P1408" s="471" t="str">
        <f>IFERROR(__xludf.DUMMYFUNCTION("""COMPUTED_VALUE"""),"https://vt.tiktok.com/ZS9ycs5oc/")</f>
        <v>https://vt.tiktok.com/ZS9ycs5oc/</v>
      </c>
    </row>
    <row r="1409">
      <c r="A1409" s="282" t="str">
        <f>IFERROR(__xludf.DUMMYFUNCTION("""COMPUTED_VALUE"""),"MACRO")</f>
        <v>MACRO</v>
      </c>
      <c r="B1409" s="468" t="str">
        <f>IFERROR(__xludf.DUMMYFUNCTION("""COMPUTED_VALUE"""),"azzallale.family")</f>
        <v>azzallale.family</v>
      </c>
      <c r="C1409" s="283" t="str">
        <f>IFERROR(__xludf.DUMMYFUNCTION("""COMPUTED_VALUE"""),"https://www.tiktok.com/@azzallale.family")</f>
        <v>https://www.tiktok.com/@azzallale.family</v>
      </c>
      <c r="D1409" s="273">
        <f>IFERROR(__xludf.DUMMYFUNCTION("""COMPUTED_VALUE"""),8.2267891442E10)</f>
        <v>82267891442</v>
      </c>
      <c r="E1409" s="458">
        <f>IFERROR(__xludf.DUMMYFUNCTION("""COMPUTED_VALUE"""),0.0)</f>
        <v>0</v>
      </c>
      <c r="F1409" s="273">
        <f>IFERROR(__xludf.DUMMYFUNCTION("""COMPUTED_VALUE"""),4.0)</f>
        <v>4</v>
      </c>
      <c r="G1409" t="str">
        <f>IFERROR(__xludf.DUMMYFUNCTION("""COMPUTED_VALUE"""),"Sabun batang 1 Box ( 2 PCS )")</f>
        <v>Sabun batang 1 Box ( 2 PCS )</v>
      </c>
      <c r="H1409" s="469" t="str">
        <f>IFERROR(__xludf.DUMMYFUNCTION("""COMPUTED_VALUE"""),"Sampai")</f>
        <v>Sampai</v>
      </c>
      <c r="I1409" s="470" t="str">
        <f>IFERROR(__xludf.DUMMYFUNCTION("""COMPUTED_VALUE"""),"KIMME")</f>
        <v>KIMME</v>
      </c>
      <c r="J1409" s="471" t="str">
        <f>IFERROR(__xludf.DUMMYFUNCTION("""COMPUTED_VALUE"""),"https://vt.tiktok.com/ZS9jM8xdm/")</f>
        <v>https://vt.tiktok.com/ZS9jM8xdm/</v>
      </c>
      <c r="K1409" s="470" t="str">
        <f>IFERROR(__xludf.DUMMYFUNCTION("""COMPUTED_VALUE"""),"KIMME")</f>
        <v>KIMME</v>
      </c>
      <c r="L1409" s="471" t="str">
        <f>IFERROR(__xludf.DUMMYFUNCTION("""COMPUTED_VALUE"""),"https://vt.tiktok.com/ZS9MArLmp/")</f>
        <v>https://vt.tiktok.com/ZS9MArLmp/</v>
      </c>
      <c r="M1409" s="470"/>
      <c r="N1409" s="471" t="str">
        <f>IFERROR(__xludf.DUMMYFUNCTION("""COMPUTED_VALUE"""),"https://vt.tiktok.com/ZS9BbR5X2/")</f>
        <v>https://vt.tiktok.com/ZS9BbR5X2/</v>
      </c>
      <c r="O1409" s="470"/>
      <c r="P1409" s="471" t="str">
        <f>IFERROR(__xludf.DUMMYFUNCTION("""COMPUTED_VALUE"""),"https://vt.tiktok.com/ZS9ycs5oc/")</f>
        <v>https://vt.tiktok.com/ZS9ycs5oc/</v>
      </c>
    </row>
    <row r="1410">
      <c r="A1410" s="282" t="str">
        <f>IFERROR(__xludf.DUMMYFUNCTION("""COMPUTED_VALUE"""),"MICRO")</f>
        <v>MICRO</v>
      </c>
      <c r="B1410" s="468" t="str">
        <f>IFERROR(__xludf.DUMMYFUNCTION("""COMPUTED_VALUE"""),"shiintamiiftaa")</f>
        <v>shiintamiiftaa</v>
      </c>
      <c r="C1410" s="283" t="str">
        <f>IFERROR(__xludf.DUMMYFUNCTION("""COMPUTED_VALUE"""),"https://www.tiktok.com/@shiintamiiftaa")</f>
        <v>https://www.tiktok.com/@shiintamiiftaa</v>
      </c>
      <c r="D1410" s="273">
        <f>IFERROR(__xludf.DUMMYFUNCTION("""COMPUTED_VALUE"""),8.5895411677E10)</f>
        <v>85895411677</v>
      </c>
      <c r="E1410" s="458">
        <f>IFERROR(__xludf.DUMMYFUNCTION("""COMPUTED_VALUE"""),0.0)</f>
        <v>0</v>
      </c>
      <c r="F1410" s="273">
        <f>IFERROR(__xludf.DUMMYFUNCTION("""COMPUTED_VALUE"""),4.0)</f>
        <v>4</v>
      </c>
      <c r="G1410" t="str">
        <f>IFERROR(__xludf.DUMMYFUNCTION("""COMPUTED_VALUE"""),"Sabun batang 1 Box ( 2 PCS )")</f>
        <v>Sabun batang 1 Box ( 2 PCS )</v>
      </c>
      <c r="H1410" s="469" t="str">
        <f>IFERROR(__xludf.DUMMYFUNCTION("""COMPUTED_VALUE"""),"Sampai")</f>
        <v>Sampai</v>
      </c>
      <c r="I1410" s="470" t="str">
        <f>IFERROR(__xludf.DUMMYFUNCTION("""COMPUTED_VALUE"""),"KIMME")</f>
        <v>KIMME</v>
      </c>
      <c r="J1410" s="471" t="str">
        <f>IFERROR(__xludf.DUMMYFUNCTION("""COMPUTED_VALUE"""),"https://vt.tiktok.com/ZS9jM8xdm/")</f>
        <v>https://vt.tiktok.com/ZS9jM8xdm/</v>
      </c>
      <c r="K1410" s="470" t="str">
        <f>IFERROR(__xludf.DUMMYFUNCTION("""COMPUTED_VALUE"""),"KIMME")</f>
        <v>KIMME</v>
      </c>
      <c r="L1410" s="471" t="str">
        <f>IFERROR(__xludf.DUMMYFUNCTION("""COMPUTED_VALUE"""),"https://vt.tiktok.com/ZS9MArLmp/")</f>
        <v>https://vt.tiktok.com/ZS9MArLmp/</v>
      </c>
      <c r="M1410" s="470"/>
      <c r="N1410" s="471" t="str">
        <f>IFERROR(__xludf.DUMMYFUNCTION("""COMPUTED_VALUE"""),"https://vt.tiktok.com/ZS9BbR5X2/")</f>
        <v>https://vt.tiktok.com/ZS9BbR5X2/</v>
      </c>
      <c r="O1410" s="470"/>
      <c r="P1410" s="471" t="str">
        <f>IFERROR(__xludf.DUMMYFUNCTION("""COMPUTED_VALUE"""),"https://vt.tiktok.com/ZS9ycs5oc/")</f>
        <v>https://vt.tiktok.com/ZS9ycs5oc/</v>
      </c>
    </row>
    <row r="1411">
      <c r="A1411" s="282" t="str">
        <f>IFERROR(__xludf.DUMMYFUNCTION("""COMPUTED_VALUE"""),"MACRO")</f>
        <v>MACRO</v>
      </c>
      <c r="B1411" s="468" t="str">
        <f>IFERROR(__xludf.DUMMYFUNCTION("""COMPUTED_VALUE"""),"dipongsyalala")</f>
        <v>dipongsyalala</v>
      </c>
      <c r="C1411" s="283" t="str">
        <f>IFERROR(__xludf.DUMMYFUNCTION("""COMPUTED_VALUE"""),"https://www.tiktok.com/@dipongsyalala")</f>
        <v>https://www.tiktok.com/@dipongsyalala</v>
      </c>
      <c r="D1411" s="273">
        <f>IFERROR(__xludf.DUMMYFUNCTION("""COMPUTED_VALUE"""),8.5263427224E10)</f>
        <v>85263427224</v>
      </c>
      <c r="E1411" s="458">
        <f>IFERROR(__xludf.DUMMYFUNCTION("""COMPUTED_VALUE"""),0.0)</f>
        <v>0</v>
      </c>
      <c r="F1411" s="273">
        <f>IFERROR(__xludf.DUMMYFUNCTION("""COMPUTED_VALUE"""),4.0)</f>
        <v>4</v>
      </c>
      <c r="G1411" t="str">
        <f>IFERROR(__xludf.DUMMYFUNCTION("""COMPUTED_VALUE"""),"Sabun batang 1 Box ( 2 PCS )")</f>
        <v>Sabun batang 1 Box ( 2 PCS )</v>
      </c>
      <c r="H1411" s="469" t="str">
        <f>IFERROR(__xludf.DUMMYFUNCTION("""COMPUTED_VALUE"""),"Sampai")</f>
        <v>Sampai</v>
      </c>
      <c r="I1411" s="470" t="str">
        <f>IFERROR(__xludf.DUMMYFUNCTION("""COMPUTED_VALUE"""),"KIMME")</f>
        <v>KIMME</v>
      </c>
      <c r="J1411" s="471" t="str">
        <f>IFERROR(__xludf.DUMMYFUNCTION("""COMPUTED_VALUE"""),"https://vt.tiktok.com/ZS9jM8xdm/")</f>
        <v>https://vt.tiktok.com/ZS9jM8xdm/</v>
      </c>
      <c r="K1411" s="470" t="str">
        <f>IFERROR(__xludf.DUMMYFUNCTION("""COMPUTED_VALUE"""),"KIMME")</f>
        <v>KIMME</v>
      </c>
      <c r="L1411" s="471" t="str">
        <f>IFERROR(__xludf.DUMMYFUNCTION("""COMPUTED_VALUE"""),"https://vt.tiktok.com/ZS9MArLmp/")</f>
        <v>https://vt.tiktok.com/ZS9MArLmp/</v>
      </c>
      <c r="M1411" s="470"/>
      <c r="N1411" s="471" t="str">
        <f>IFERROR(__xludf.DUMMYFUNCTION("""COMPUTED_VALUE"""),"https://vt.tiktok.com/ZS9BbR5X2/")</f>
        <v>https://vt.tiktok.com/ZS9BbR5X2/</v>
      </c>
      <c r="O1411" s="470"/>
      <c r="P1411" s="471" t="str">
        <f>IFERROR(__xludf.DUMMYFUNCTION("""COMPUTED_VALUE"""),"https://vt.tiktok.com/ZS9ycs5oc/")</f>
        <v>https://vt.tiktok.com/ZS9ycs5oc/</v>
      </c>
    </row>
    <row r="1412">
      <c r="A1412" s="282" t="str">
        <f>IFERROR(__xludf.DUMMYFUNCTION("""COMPUTED_VALUE"""),"MICRO")</f>
        <v>MICRO</v>
      </c>
      <c r="B1412" s="468" t="str">
        <f>IFERROR(__xludf.DUMMYFUNCTION("""COMPUTED_VALUE"""),"muhammadkevinfirdaus_")</f>
        <v>muhammadkevinfirdaus_</v>
      </c>
      <c r="C1412" s="283" t="str">
        <f>IFERROR(__xludf.DUMMYFUNCTION("""COMPUTED_VALUE"""),"https://www.tiktok.com/@muhammadkevinfirdaus_")</f>
        <v>https://www.tiktok.com/@muhammadkevinfirdaus_</v>
      </c>
      <c r="D1412" s="273">
        <f>IFERROR(__xludf.DUMMYFUNCTION("""COMPUTED_VALUE"""),8.7857499316E10)</f>
        <v>87857499316</v>
      </c>
      <c r="E1412" s="458">
        <f>IFERROR(__xludf.DUMMYFUNCTION("""COMPUTED_VALUE"""),0.0)</f>
        <v>0</v>
      </c>
      <c r="F1412" s="273">
        <f>IFERROR(__xludf.DUMMYFUNCTION("""COMPUTED_VALUE"""),4.0)</f>
        <v>4</v>
      </c>
      <c r="G1412" t="str">
        <f>IFERROR(__xludf.DUMMYFUNCTION("""COMPUTED_VALUE"""),"Sabun batang 1 Box ( 2 PCS )")</f>
        <v>Sabun batang 1 Box ( 2 PCS )</v>
      </c>
      <c r="H1412" s="469" t="str">
        <f>IFERROR(__xludf.DUMMYFUNCTION("""COMPUTED_VALUE"""),"Sampai")</f>
        <v>Sampai</v>
      </c>
      <c r="I1412" s="470" t="str">
        <f>IFERROR(__xludf.DUMMYFUNCTION("""COMPUTED_VALUE"""),"KIMME")</f>
        <v>KIMME</v>
      </c>
      <c r="J1412" s="471" t="str">
        <f>IFERROR(__xludf.DUMMYFUNCTION("""COMPUTED_VALUE"""),"https://vt.tiktok.com/ZS9jM8xdm/")</f>
        <v>https://vt.tiktok.com/ZS9jM8xdm/</v>
      </c>
      <c r="K1412" s="470" t="str">
        <f>IFERROR(__xludf.DUMMYFUNCTION("""COMPUTED_VALUE"""),"KIMME")</f>
        <v>KIMME</v>
      </c>
      <c r="L1412" s="471" t="str">
        <f>IFERROR(__xludf.DUMMYFUNCTION("""COMPUTED_VALUE"""),"https://vt.tiktok.com/ZS9MArLmp/")</f>
        <v>https://vt.tiktok.com/ZS9MArLmp/</v>
      </c>
      <c r="M1412" s="470"/>
      <c r="N1412" s="471" t="str">
        <f>IFERROR(__xludf.DUMMYFUNCTION("""COMPUTED_VALUE"""),"https://vt.tiktok.com/ZS9BbR5X2/")</f>
        <v>https://vt.tiktok.com/ZS9BbR5X2/</v>
      </c>
      <c r="O1412" s="470"/>
      <c r="P1412" s="471" t="str">
        <f>IFERROR(__xludf.DUMMYFUNCTION("""COMPUTED_VALUE"""),"https://vt.tiktok.com/ZS9ycs5oc/")</f>
        <v>https://vt.tiktok.com/ZS9ycs5oc/</v>
      </c>
    </row>
    <row r="1413">
      <c r="A1413" s="282" t="str">
        <f>IFERROR(__xludf.DUMMYFUNCTION("""COMPUTED_VALUE"""),"MICRO")</f>
        <v>MICRO</v>
      </c>
      <c r="B1413" s="468" t="str">
        <f>IFERROR(__xludf.DUMMYFUNCTION("""COMPUTED_VALUE"""),"ditaxl")</f>
        <v>ditaxl</v>
      </c>
      <c r="C1413" s="283" t="str">
        <f>IFERROR(__xludf.DUMMYFUNCTION("""COMPUTED_VALUE"""),"https://www.tiktok.com/@ditaxl")</f>
        <v>https://www.tiktok.com/@ditaxl</v>
      </c>
      <c r="D1413" s="273">
        <f>IFERROR(__xludf.DUMMYFUNCTION("""COMPUTED_VALUE"""),8.5172325012E10)</f>
        <v>85172325012</v>
      </c>
      <c r="E1413" s="458">
        <f>IFERROR(__xludf.DUMMYFUNCTION("""COMPUTED_VALUE"""),0.0)</f>
        <v>0</v>
      </c>
      <c r="F1413" s="273">
        <f>IFERROR(__xludf.DUMMYFUNCTION("""COMPUTED_VALUE"""),4.0)</f>
        <v>4</v>
      </c>
      <c r="G1413" t="str">
        <f>IFERROR(__xludf.DUMMYFUNCTION("""COMPUTED_VALUE"""),"Sabun batang 1 Box ( 2 PCS )")</f>
        <v>Sabun batang 1 Box ( 2 PCS )</v>
      </c>
      <c r="H1413" s="469" t="str">
        <f>IFERROR(__xludf.DUMMYFUNCTION("""COMPUTED_VALUE"""),"Sampai")</f>
        <v>Sampai</v>
      </c>
      <c r="I1413" s="470" t="str">
        <f>IFERROR(__xludf.DUMMYFUNCTION("""COMPUTED_VALUE"""),"KIMME")</f>
        <v>KIMME</v>
      </c>
      <c r="J1413" s="471" t="str">
        <f>IFERROR(__xludf.DUMMYFUNCTION("""COMPUTED_VALUE"""),"https://vt.tiktok.com/ZS9jM8xdm/")</f>
        <v>https://vt.tiktok.com/ZS9jM8xdm/</v>
      </c>
      <c r="K1413" s="470" t="str">
        <f>IFERROR(__xludf.DUMMYFUNCTION("""COMPUTED_VALUE"""),"KIMME")</f>
        <v>KIMME</v>
      </c>
      <c r="L1413" s="471" t="str">
        <f>IFERROR(__xludf.DUMMYFUNCTION("""COMPUTED_VALUE"""),"https://vt.tiktok.com/ZS9MArLmp/")</f>
        <v>https://vt.tiktok.com/ZS9MArLmp/</v>
      </c>
      <c r="M1413" s="470"/>
      <c r="N1413" s="471" t="str">
        <f>IFERROR(__xludf.DUMMYFUNCTION("""COMPUTED_VALUE"""),"https://vt.tiktok.com/ZS9BbR5X2/")</f>
        <v>https://vt.tiktok.com/ZS9BbR5X2/</v>
      </c>
      <c r="O1413" s="470"/>
      <c r="P1413" s="471" t="str">
        <f>IFERROR(__xludf.DUMMYFUNCTION("""COMPUTED_VALUE"""),"https://vt.tiktok.com/ZS9ycs5oc/")</f>
        <v>https://vt.tiktok.com/ZS9ycs5oc/</v>
      </c>
    </row>
    <row r="1414">
      <c r="A1414" s="282" t="str">
        <f>IFERROR(__xludf.DUMMYFUNCTION("""COMPUTED_VALUE"""),"MICRO")</f>
        <v>MICRO</v>
      </c>
      <c r="B1414" s="468" t="str">
        <f>IFERROR(__xludf.DUMMYFUNCTION("""COMPUTED_VALUE"""),"yu_ryani")</f>
        <v>yu_ryani</v>
      </c>
      <c r="C1414" s="283" t="str">
        <f>IFERROR(__xludf.DUMMYFUNCTION("""COMPUTED_VALUE"""),"https://www.tiktok.com/@yu_ryani")</f>
        <v>https://www.tiktok.com/@yu_ryani</v>
      </c>
      <c r="D1414" s="273">
        <f>IFERROR(__xludf.DUMMYFUNCTION("""COMPUTED_VALUE"""),8.2220136569E10)</f>
        <v>82220136569</v>
      </c>
      <c r="E1414" s="458">
        <f>IFERROR(__xludf.DUMMYFUNCTION("""COMPUTED_VALUE"""),0.0)</f>
        <v>0</v>
      </c>
      <c r="F1414" s="273">
        <f>IFERROR(__xludf.DUMMYFUNCTION("""COMPUTED_VALUE"""),4.0)</f>
        <v>4</v>
      </c>
      <c r="G1414" t="str">
        <f>IFERROR(__xludf.DUMMYFUNCTION("""COMPUTED_VALUE"""),"Sabun batang 1 Box ( 2 PCS )")</f>
        <v>Sabun batang 1 Box ( 2 PCS )</v>
      </c>
      <c r="H1414" s="469" t="str">
        <f>IFERROR(__xludf.DUMMYFUNCTION("""COMPUTED_VALUE"""),"Sampai")</f>
        <v>Sampai</v>
      </c>
      <c r="I1414" s="470" t="str">
        <f>IFERROR(__xludf.DUMMYFUNCTION("""COMPUTED_VALUE"""),"KIMME")</f>
        <v>KIMME</v>
      </c>
      <c r="J1414" s="471" t="str">
        <f>IFERROR(__xludf.DUMMYFUNCTION("""COMPUTED_VALUE"""),"https://vt.tiktok.com/ZS9jM8xdm/")</f>
        <v>https://vt.tiktok.com/ZS9jM8xdm/</v>
      </c>
      <c r="K1414" s="470" t="str">
        <f>IFERROR(__xludf.DUMMYFUNCTION("""COMPUTED_VALUE"""),"KIMME")</f>
        <v>KIMME</v>
      </c>
      <c r="L1414" s="471" t="str">
        <f>IFERROR(__xludf.DUMMYFUNCTION("""COMPUTED_VALUE"""),"https://vt.tiktok.com/ZS9MArLmp/")</f>
        <v>https://vt.tiktok.com/ZS9MArLmp/</v>
      </c>
      <c r="M1414" s="470"/>
      <c r="N1414" s="471" t="str">
        <f>IFERROR(__xludf.DUMMYFUNCTION("""COMPUTED_VALUE"""),"https://vt.tiktok.com/ZS9BbR5X2/")</f>
        <v>https://vt.tiktok.com/ZS9BbR5X2/</v>
      </c>
      <c r="O1414" s="470"/>
      <c r="P1414" s="471" t="str">
        <f>IFERROR(__xludf.DUMMYFUNCTION("""COMPUTED_VALUE"""),"https://vt.tiktok.com/ZS9ycs5oc/")</f>
        <v>https://vt.tiktok.com/ZS9ycs5oc/</v>
      </c>
    </row>
    <row r="1415">
      <c r="A1415" s="282" t="str">
        <f>IFERROR(__xludf.DUMMYFUNCTION("""COMPUTED_VALUE"""),"MICRO")</f>
        <v>MICRO</v>
      </c>
      <c r="B1415" s="468" t="str">
        <f>IFERROR(__xludf.DUMMYFUNCTION("""COMPUTED_VALUE"""),"mytrsyn")</f>
        <v>mytrsyn</v>
      </c>
      <c r="C1415" s="283" t="str">
        <f>IFERROR(__xludf.DUMMYFUNCTION("""COMPUTED_VALUE"""),"https://www.tiktok.com/@mytrsyn")</f>
        <v>https://www.tiktok.com/@mytrsyn</v>
      </c>
      <c r="D1415" s="273">
        <f>IFERROR(__xludf.DUMMYFUNCTION("""COMPUTED_VALUE"""),8.1807779992E10)</f>
        <v>81807779992</v>
      </c>
      <c r="E1415" s="458">
        <f>IFERROR(__xludf.DUMMYFUNCTION("""COMPUTED_VALUE"""),0.0)</f>
        <v>0</v>
      </c>
      <c r="F1415" s="273">
        <f>IFERROR(__xludf.DUMMYFUNCTION("""COMPUTED_VALUE"""),1.0)</f>
        <v>1</v>
      </c>
      <c r="G1415" t="str">
        <f>IFERROR(__xludf.DUMMYFUNCTION("""COMPUTED_VALUE"""),"Sabun batang 1 Box ( 2 PCS )")</f>
        <v>Sabun batang 1 Box ( 2 PCS )</v>
      </c>
      <c r="H1415" s="469" t="str">
        <f>IFERROR(__xludf.DUMMYFUNCTION("""COMPUTED_VALUE"""),"Sampai")</f>
        <v>Sampai</v>
      </c>
      <c r="I1415" s="470" t="str">
        <f>IFERROR(__xludf.DUMMYFUNCTION("""COMPUTED_VALUE"""),"KIMME")</f>
        <v>KIMME</v>
      </c>
      <c r="J1415" s="471" t="str">
        <f>IFERROR(__xludf.DUMMYFUNCTION("""COMPUTED_VALUE"""),"https://vt.tiktok.com/ZS9jM8xdm/")</f>
        <v>https://vt.tiktok.com/ZS9jM8xdm/</v>
      </c>
      <c r="K1415" s="470" t="str">
        <f>IFERROR(__xludf.DUMMYFUNCTION("""COMPUTED_VALUE"""),"KIMME")</f>
        <v>KIMME</v>
      </c>
      <c r="L1415" s="471" t="str">
        <f>IFERROR(__xludf.DUMMYFUNCTION("""COMPUTED_VALUE"""),"https://vt.tiktok.com/ZS9MArLmp/")</f>
        <v>https://vt.tiktok.com/ZS9MArLmp/</v>
      </c>
      <c r="M1415" s="470"/>
      <c r="N1415" s="471" t="str">
        <f>IFERROR(__xludf.DUMMYFUNCTION("""COMPUTED_VALUE"""),"https://vt.tiktok.com/ZS9BbR5X2/")</f>
        <v>https://vt.tiktok.com/ZS9BbR5X2/</v>
      </c>
      <c r="O1415" s="470"/>
      <c r="P1415" s="471" t="str">
        <f>IFERROR(__xludf.DUMMYFUNCTION("""COMPUTED_VALUE"""),"https://vt.tiktok.com/ZS9ycs5oc/")</f>
        <v>https://vt.tiktok.com/ZS9ycs5oc/</v>
      </c>
    </row>
    <row r="1416">
      <c r="A1416" s="282" t="str">
        <f>IFERROR(__xludf.DUMMYFUNCTION("""COMPUTED_VALUE"""),"MICRO")</f>
        <v>MICRO</v>
      </c>
      <c r="B1416" s="468" t="str">
        <f>IFERROR(__xludf.DUMMYFUNCTION("""COMPUTED_VALUE"""),"ruang_sehari")</f>
        <v>ruang_sehari</v>
      </c>
      <c r="C1416" s="283" t="str">
        <f>IFERROR(__xludf.DUMMYFUNCTION("""COMPUTED_VALUE"""),"https://www.tiktok.com/@ruang_sehari")</f>
        <v>https://www.tiktok.com/@ruang_sehari</v>
      </c>
      <c r="D1416" s="273">
        <f>IFERROR(__xludf.DUMMYFUNCTION("""COMPUTED_VALUE"""),8.9502003477E10)</f>
        <v>89502003477</v>
      </c>
      <c r="E1416" s="458">
        <f>IFERROR(__xludf.DUMMYFUNCTION("""COMPUTED_VALUE"""),0.0)</f>
        <v>0</v>
      </c>
      <c r="F1416" s="273">
        <f>IFERROR(__xludf.DUMMYFUNCTION("""COMPUTED_VALUE"""),4.0)</f>
        <v>4</v>
      </c>
      <c r="G1416" t="str">
        <f>IFERROR(__xludf.DUMMYFUNCTION("""COMPUTED_VALUE"""),"Sabun batang 1 Box ( 2 PCS )")</f>
        <v>Sabun batang 1 Box ( 2 PCS )</v>
      </c>
      <c r="H1416" s="469" t="str">
        <f>IFERROR(__xludf.DUMMYFUNCTION("""COMPUTED_VALUE"""),"Sampai")</f>
        <v>Sampai</v>
      </c>
      <c r="I1416" s="470" t="str">
        <f>IFERROR(__xludf.DUMMYFUNCTION("""COMPUTED_VALUE"""),"KIMME")</f>
        <v>KIMME</v>
      </c>
      <c r="J1416" s="471" t="str">
        <f>IFERROR(__xludf.DUMMYFUNCTION("""COMPUTED_VALUE"""),"https://vt.tiktok.com/ZSxv3cFoF/")</f>
        <v>https://vt.tiktok.com/ZSxv3cFoF/</v>
      </c>
      <c r="K1416" s="470" t="str">
        <f>IFERROR(__xludf.DUMMYFUNCTION("""COMPUTED_VALUE"""),"KIMME")</f>
        <v>KIMME</v>
      </c>
      <c r="L1416" s="471" t="str">
        <f>IFERROR(__xludf.DUMMYFUNCTION("""COMPUTED_VALUE"""),"https://vt.tiktok.com/ZS9MArLmp/")</f>
        <v>https://vt.tiktok.com/ZS9MArLmp/</v>
      </c>
      <c r="M1416" s="470"/>
      <c r="N1416" s="471" t="str">
        <f>IFERROR(__xludf.DUMMYFUNCTION("""COMPUTED_VALUE"""),"https://vt.tiktok.com/ZS9BbR5X2/")</f>
        <v>https://vt.tiktok.com/ZS9BbR5X2/</v>
      </c>
      <c r="O1416" s="470"/>
      <c r="P1416" s="471" t="str">
        <f>IFERROR(__xludf.DUMMYFUNCTION("""COMPUTED_VALUE"""),"https://vt.tiktok.com/ZS9ycs5oc/")</f>
        <v>https://vt.tiktok.com/ZS9ycs5oc/</v>
      </c>
    </row>
    <row r="1417">
      <c r="A1417" s="282" t="str">
        <f>IFERROR(__xludf.DUMMYFUNCTION("""COMPUTED_VALUE"""),"MICRO")</f>
        <v>MICRO</v>
      </c>
      <c r="B1417" s="468" t="str">
        <f>IFERROR(__xludf.DUMMYFUNCTION("""COMPUTED_VALUE"""),"ig._meyyyyy8")</f>
        <v>ig._meyyyyy8</v>
      </c>
      <c r="C1417" s="283" t="str">
        <f>IFERROR(__xludf.DUMMYFUNCTION("""COMPUTED_VALUE"""),"https://www.tiktok.com/@ig._meyyyyy8")</f>
        <v>https://www.tiktok.com/@ig._meyyyyy8</v>
      </c>
      <c r="D1417" s="273">
        <f>IFERROR(__xludf.DUMMYFUNCTION("""COMPUTED_VALUE"""),8.5694239617E10)</f>
        <v>85694239617</v>
      </c>
      <c r="E1417" s="458">
        <f>IFERROR(__xludf.DUMMYFUNCTION("""COMPUTED_VALUE"""),0.0)</f>
        <v>0</v>
      </c>
      <c r="F1417" s="273">
        <f>IFERROR(__xludf.DUMMYFUNCTION("""COMPUTED_VALUE"""),4.0)</f>
        <v>4</v>
      </c>
      <c r="G1417" t="str">
        <f>IFERROR(__xludf.DUMMYFUNCTION("""COMPUTED_VALUE"""),"Sabun batang 1 Box ( 2 PCS )")</f>
        <v>Sabun batang 1 Box ( 2 PCS )</v>
      </c>
      <c r="H1417" s="469" t="str">
        <f>IFERROR(__xludf.DUMMYFUNCTION("""COMPUTED_VALUE"""),"Sampai")</f>
        <v>Sampai</v>
      </c>
      <c r="I1417" s="470" t="str">
        <f>IFERROR(__xludf.DUMMYFUNCTION("""COMPUTED_VALUE"""),"KIMME")</f>
        <v>KIMME</v>
      </c>
      <c r="J1417" s="471" t="str">
        <f>IFERROR(__xludf.DUMMYFUNCTION("""COMPUTED_VALUE"""),"https://vt.tiktok.com/ZS9jM8xdm/")</f>
        <v>https://vt.tiktok.com/ZS9jM8xdm/</v>
      </c>
      <c r="K1417" s="470" t="str">
        <f>IFERROR(__xludf.DUMMYFUNCTION("""COMPUTED_VALUE"""),"KIMME")</f>
        <v>KIMME</v>
      </c>
      <c r="L1417" s="471" t="str">
        <f>IFERROR(__xludf.DUMMYFUNCTION("""COMPUTED_VALUE"""),"https://vt.tiktok.com/ZS9MArLmp/")</f>
        <v>https://vt.tiktok.com/ZS9MArLmp/</v>
      </c>
      <c r="M1417" s="470"/>
      <c r="N1417" s="471" t="str">
        <f>IFERROR(__xludf.DUMMYFUNCTION("""COMPUTED_VALUE"""),"https://vt.tiktok.com/ZS9BbR5X2/")</f>
        <v>https://vt.tiktok.com/ZS9BbR5X2/</v>
      </c>
      <c r="O1417" s="470"/>
      <c r="P1417" s="471" t="str">
        <f>IFERROR(__xludf.DUMMYFUNCTION("""COMPUTED_VALUE"""),"https://vt.tiktok.com/ZS9ycs5oc/")</f>
        <v>https://vt.tiktok.com/ZS9ycs5oc/</v>
      </c>
    </row>
    <row r="1418">
      <c r="A1418" s="282" t="str">
        <f>IFERROR(__xludf.DUMMYFUNCTION("""COMPUTED_VALUE"""),"MICRO")</f>
        <v>MICRO</v>
      </c>
      <c r="B1418" s="468" t="str">
        <f>IFERROR(__xludf.DUMMYFUNCTION("""COMPUTED_VALUE"""),"aillaptr_")</f>
        <v>aillaptr_</v>
      </c>
      <c r="C1418" s="283" t="str">
        <f>IFERROR(__xludf.DUMMYFUNCTION("""COMPUTED_VALUE"""),"https://www.tiktok.com/@aillaptr_")</f>
        <v>https://www.tiktok.com/@aillaptr_</v>
      </c>
      <c r="D1418" s="273">
        <f>IFERROR(__xludf.DUMMYFUNCTION("""COMPUTED_VALUE"""),8.8227258774E10)</f>
        <v>88227258774</v>
      </c>
      <c r="E1418" s="458">
        <f>IFERROR(__xludf.DUMMYFUNCTION("""COMPUTED_VALUE"""),0.0)</f>
        <v>0</v>
      </c>
      <c r="F1418" s="273">
        <f>IFERROR(__xludf.DUMMYFUNCTION("""COMPUTED_VALUE"""),4.0)</f>
        <v>4</v>
      </c>
      <c r="G1418" t="str">
        <f>IFERROR(__xludf.DUMMYFUNCTION("""COMPUTED_VALUE"""),"Sabun batang 1 Box ( 2 PCS )")</f>
        <v>Sabun batang 1 Box ( 2 PCS )</v>
      </c>
      <c r="H1418" s="469" t="str">
        <f>IFERROR(__xludf.DUMMYFUNCTION("""COMPUTED_VALUE"""),"Sampai")</f>
        <v>Sampai</v>
      </c>
      <c r="I1418" s="470" t="str">
        <f>IFERROR(__xludf.DUMMYFUNCTION("""COMPUTED_VALUE"""),"KIMME")</f>
        <v>KIMME</v>
      </c>
      <c r="J1418" s="471" t="str">
        <f>IFERROR(__xludf.DUMMYFUNCTION("""COMPUTED_VALUE"""),"https://vt.tiktok.com/ZS9jM8xdm/")</f>
        <v>https://vt.tiktok.com/ZS9jM8xdm/</v>
      </c>
      <c r="K1418" s="470" t="str">
        <f>IFERROR(__xludf.DUMMYFUNCTION("""COMPUTED_VALUE"""),"KIMME")</f>
        <v>KIMME</v>
      </c>
      <c r="L1418" s="471" t="str">
        <f>IFERROR(__xludf.DUMMYFUNCTION("""COMPUTED_VALUE"""),"https://vt.tiktok.com/ZS9MArLmp/")</f>
        <v>https://vt.tiktok.com/ZS9MArLmp/</v>
      </c>
      <c r="M1418" s="470"/>
      <c r="N1418" s="471" t="str">
        <f>IFERROR(__xludf.DUMMYFUNCTION("""COMPUTED_VALUE"""),"https://vt.tiktok.com/ZS9BbR5X2/")</f>
        <v>https://vt.tiktok.com/ZS9BbR5X2/</v>
      </c>
      <c r="O1418" s="470"/>
      <c r="P1418" s="471" t="str">
        <f>IFERROR(__xludf.DUMMYFUNCTION("""COMPUTED_VALUE"""),"https://vt.tiktok.com/ZS9ycs5oc/")</f>
        <v>https://vt.tiktok.com/ZS9ycs5oc/</v>
      </c>
    </row>
    <row r="1419">
      <c r="A1419" s="282" t="str">
        <f>IFERROR(__xludf.DUMMYFUNCTION("""COMPUTED_VALUE"""),"MICRO")</f>
        <v>MICRO</v>
      </c>
      <c r="B1419" s="468" t="str">
        <f>IFERROR(__xludf.DUMMYFUNCTION("""COMPUTED_VALUE"""),"amalia.aidid")</f>
        <v>amalia.aidid</v>
      </c>
      <c r="C1419" s="283" t="str">
        <f>IFERROR(__xludf.DUMMYFUNCTION("""COMPUTED_VALUE"""),"https://www.tiktok.com/@amalia.aidid")</f>
        <v>https://www.tiktok.com/@amalia.aidid</v>
      </c>
      <c r="D1419" s="273">
        <f>IFERROR(__xludf.DUMMYFUNCTION("""COMPUTED_VALUE"""),8.1336655608E10)</f>
        <v>81336655608</v>
      </c>
      <c r="E1419" s="458">
        <f>IFERROR(__xludf.DUMMYFUNCTION("""COMPUTED_VALUE"""),0.0)</f>
        <v>0</v>
      </c>
      <c r="F1419" s="273">
        <f>IFERROR(__xludf.DUMMYFUNCTION("""COMPUTED_VALUE"""),4.0)</f>
        <v>4</v>
      </c>
      <c r="G1419" t="str">
        <f>IFERROR(__xludf.DUMMYFUNCTION("""COMPUTED_VALUE"""),"Sabun batang 1 Box ( 2 PCS )")</f>
        <v>Sabun batang 1 Box ( 2 PCS )</v>
      </c>
      <c r="H1419" s="469" t="str">
        <f>IFERROR(__xludf.DUMMYFUNCTION("""COMPUTED_VALUE"""),"Sampai")</f>
        <v>Sampai</v>
      </c>
      <c r="I1419" s="470" t="str">
        <f>IFERROR(__xludf.DUMMYFUNCTION("""COMPUTED_VALUE"""),"KIMME")</f>
        <v>KIMME</v>
      </c>
      <c r="J1419" s="471" t="str">
        <f>IFERROR(__xludf.DUMMYFUNCTION("""COMPUTED_VALUE"""),"https://vt.tiktok.com/ZS9jM8xdm/")</f>
        <v>https://vt.tiktok.com/ZS9jM8xdm/</v>
      </c>
      <c r="K1419" s="470" t="str">
        <f>IFERROR(__xludf.DUMMYFUNCTION("""COMPUTED_VALUE"""),"KIMME")</f>
        <v>KIMME</v>
      </c>
      <c r="L1419" s="471" t="str">
        <f>IFERROR(__xludf.DUMMYFUNCTION("""COMPUTED_VALUE"""),"https://vt.tiktok.com/ZS9MArLmp/")</f>
        <v>https://vt.tiktok.com/ZS9MArLmp/</v>
      </c>
      <c r="M1419" s="470"/>
      <c r="N1419" s="471" t="str">
        <f>IFERROR(__xludf.DUMMYFUNCTION("""COMPUTED_VALUE"""),"https://vt.tiktok.com/ZS9BbR5X2/")</f>
        <v>https://vt.tiktok.com/ZS9BbR5X2/</v>
      </c>
      <c r="O1419" s="470"/>
      <c r="P1419" s="471" t="str">
        <f>IFERROR(__xludf.DUMMYFUNCTION("""COMPUTED_VALUE"""),"https://vt.tiktok.com/ZS9ycs5oc/")</f>
        <v>https://vt.tiktok.com/ZS9ycs5oc/</v>
      </c>
    </row>
    <row r="1420">
      <c r="A1420" s="282" t="str">
        <f>IFERROR(__xludf.DUMMYFUNCTION("""COMPUTED_VALUE"""),"MICRO")</f>
        <v>MICRO</v>
      </c>
      <c r="B1420" s="468" t="str">
        <f>IFERROR(__xludf.DUMMYFUNCTION("""COMPUTED_VALUE"""),"wdyy06_")</f>
        <v>wdyy06_</v>
      </c>
      <c r="C1420" s="283" t="str">
        <f>IFERROR(__xludf.DUMMYFUNCTION("""COMPUTED_VALUE"""),"https://www.tiktok.com/@wdyy06_")</f>
        <v>https://www.tiktok.com/@wdyy06_</v>
      </c>
      <c r="D1420" s="273">
        <f>IFERROR(__xludf.DUMMYFUNCTION("""COMPUTED_VALUE"""),8.2251665864E10)</f>
        <v>82251665864</v>
      </c>
      <c r="E1420" s="458">
        <f>IFERROR(__xludf.DUMMYFUNCTION("""COMPUTED_VALUE"""),0.0)</f>
        <v>0</v>
      </c>
      <c r="F1420" s="273">
        <f>IFERROR(__xludf.DUMMYFUNCTION("""COMPUTED_VALUE"""),4.0)</f>
        <v>4</v>
      </c>
      <c r="G1420" t="str">
        <f>IFERROR(__xludf.DUMMYFUNCTION("""COMPUTED_VALUE"""),"Sabun batang 1 Box ( 2 PCS )")</f>
        <v>Sabun batang 1 Box ( 2 PCS )</v>
      </c>
      <c r="H1420" s="469" t="str">
        <f>IFERROR(__xludf.DUMMYFUNCTION("""COMPUTED_VALUE"""),"Sampai")</f>
        <v>Sampai</v>
      </c>
      <c r="I1420" s="470" t="str">
        <f>IFERROR(__xludf.DUMMYFUNCTION("""COMPUTED_VALUE"""),"KIMME")</f>
        <v>KIMME</v>
      </c>
      <c r="J1420" s="471" t="str">
        <f>IFERROR(__xludf.DUMMYFUNCTION("""COMPUTED_VALUE"""),"https://vt.tiktok.com/ZS9jM8xdm/")</f>
        <v>https://vt.tiktok.com/ZS9jM8xdm/</v>
      </c>
      <c r="K1420" s="470" t="str">
        <f>IFERROR(__xludf.DUMMYFUNCTION("""COMPUTED_VALUE"""),"KIMME")</f>
        <v>KIMME</v>
      </c>
      <c r="L1420" s="471" t="str">
        <f>IFERROR(__xludf.DUMMYFUNCTION("""COMPUTED_VALUE"""),"https://vt.tiktok.com/ZS9MArLmp/")</f>
        <v>https://vt.tiktok.com/ZS9MArLmp/</v>
      </c>
      <c r="M1420" s="470"/>
      <c r="N1420" s="471" t="str">
        <f>IFERROR(__xludf.DUMMYFUNCTION("""COMPUTED_VALUE"""),"https://vt.tiktok.com/ZS9BbR5X2/")</f>
        <v>https://vt.tiktok.com/ZS9BbR5X2/</v>
      </c>
      <c r="O1420" s="470"/>
      <c r="P1420" s="471" t="str">
        <f>IFERROR(__xludf.DUMMYFUNCTION("""COMPUTED_VALUE"""),"https://vt.tiktok.com/ZS9ycs5oc/")</f>
        <v>https://vt.tiktok.com/ZS9ycs5oc/</v>
      </c>
    </row>
    <row r="1421">
      <c r="A1421" s="282" t="str">
        <f>IFERROR(__xludf.DUMMYFUNCTION("""COMPUTED_VALUE"""),"MICRO")</f>
        <v>MICRO</v>
      </c>
      <c r="B1421" s="468" t="str">
        <f>IFERROR(__xludf.DUMMYFUNCTION("""COMPUTED_VALUE"""),"kakak.khalid8")</f>
        <v>kakak.khalid8</v>
      </c>
      <c r="C1421" s="283" t="str">
        <f>IFERROR(__xludf.DUMMYFUNCTION("""COMPUTED_VALUE"""),"https://www.tiktok.com/@kakak.khalid8")</f>
        <v>https://www.tiktok.com/@kakak.khalid8</v>
      </c>
      <c r="D1421" s="273">
        <f>IFERROR(__xludf.DUMMYFUNCTION("""COMPUTED_VALUE"""),8.2177574225E10)</f>
        <v>82177574225</v>
      </c>
      <c r="E1421" s="458">
        <f>IFERROR(__xludf.DUMMYFUNCTION("""COMPUTED_VALUE"""),0.0)</f>
        <v>0</v>
      </c>
      <c r="F1421" s="273">
        <f>IFERROR(__xludf.DUMMYFUNCTION("""COMPUTED_VALUE"""),4.0)</f>
        <v>4</v>
      </c>
      <c r="G1421" t="str">
        <f>IFERROR(__xludf.DUMMYFUNCTION("""COMPUTED_VALUE"""),"Sabun batang 1 Box ( 2 PCS )")</f>
        <v>Sabun batang 1 Box ( 2 PCS )</v>
      </c>
      <c r="H1421" s="469" t="str">
        <f>IFERROR(__xludf.DUMMYFUNCTION("""COMPUTED_VALUE"""),"Sampai")</f>
        <v>Sampai</v>
      </c>
      <c r="I1421" s="470" t="str">
        <f>IFERROR(__xludf.DUMMYFUNCTION("""COMPUTED_VALUE"""),"KIMME")</f>
        <v>KIMME</v>
      </c>
      <c r="J1421" s="471" t="str">
        <f>IFERROR(__xludf.DUMMYFUNCTION("""COMPUTED_VALUE"""),"https://vt.tiktok.com/ZS9jM8xdm/")</f>
        <v>https://vt.tiktok.com/ZS9jM8xdm/</v>
      </c>
      <c r="K1421" s="470" t="str">
        <f>IFERROR(__xludf.DUMMYFUNCTION("""COMPUTED_VALUE"""),"KIMME")</f>
        <v>KIMME</v>
      </c>
      <c r="L1421" s="471" t="str">
        <f>IFERROR(__xludf.DUMMYFUNCTION("""COMPUTED_VALUE"""),"https://vt.tiktok.com/ZS9MArLmp/")</f>
        <v>https://vt.tiktok.com/ZS9MArLmp/</v>
      </c>
      <c r="M1421" s="470"/>
      <c r="N1421" s="471" t="str">
        <f>IFERROR(__xludf.DUMMYFUNCTION("""COMPUTED_VALUE"""),"https://vt.tiktok.com/ZS9BbR5X2/")</f>
        <v>https://vt.tiktok.com/ZS9BbR5X2/</v>
      </c>
      <c r="O1421" s="470"/>
      <c r="P1421" s="471" t="str">
        <f>IFERROR(__xludf.DUMMYFUNCTION("""COMPUTED_VALUE"""),"https://vt.tiktok.com/ZS9ycs5oc/")</f>
        <v>https://vt.tiktok.com/ZS9ycs5oc/</v>
      </c>
    </row>
    <row r="1422">
      <c r="A1422" s="282" t="str">
        <f>IFERROR(__xludf.DUMMYFUNCTION("""COMPUTED_VALUE"""),"MICRO")</f>
        <v>MICRO</v>
      </c>
      <c r="B1422" s="468" t="str">
        <f>IFERROR(__xludf.DUMMYFUNCTION("""COMPUTED_VALUE"""),"naylanayla_yh1 ")</f>
        <v>naylanayla_yh1 </v>
      </c>
      <c r="C1422" s="283" t="str">
        <f>IFERROR(__xludf.DUMMYFUNCTION("""COMPUTED_VALUE"""),"https://www.tiktok.com/@naylanayla_yh1 ")</f>
        <v>https://www.tiktok.com/@naylanayla_yh1 </v>
      </c>
      <c r="D1422" s="273">
        <f>IFERROR(__xludf.DUMMYFUNCTION("""COMPUTED_VALUE"""),8.385711493E10)</f>
        <v>83857114930</v>
      </c>
      <c r="E1422" s="458">
        <f>IFERROR(__xludf.DUMMYFUNCTION("""COMPUTED_VALUE"""),0.0)</f>
        <v>0</v>
      </c>
      <c r="F1422" s="273">
        <f>IFERROR(__xludf.DUMMYFUNCTION("""COMPUTED_VALUE"""),4.0)</f>
        <v>4</v>
      </c>
      <c r="G1422" t="str">
        <f>IFERROR(__xludf.DUMMYFUNCTION("""COMPUTED_VALUE"""),"Sabun batang 1 Box ( 2 PCS )")</f>
        <v>Sabun batang 1 Box ( 2 PCS )</v>
      </c>
      <c r="H1422" s="469" t="str">
        <f>IFERROR(__xludf.DUMMYFUNCTION("""COMPUTED_VALUE"""),"Sampai")</f>
        <v>Sampai</v>
      </c>
      <c r="I1422" s="470" t="str">
        <f>IFERROR(__xludf.DUMMYFUNCTION("""COMPUTED_VALUE"""),"KIMME")</f>
        <v>KIMME</v>
      </c>
      <c r="J1422" s="471" t="str">
        <f>IFERROR(__xludf.DUMMYFUNCTION("""COMPUTED_VALUE"""),"https://vt.tiktok.com/ZS9jM8xdm/")</f>
        <v>https://vt.tiktok.com/ZS9jM8xdm/</v>
      </c>
      <c r="K1422" s="470" t="str">
        <f>IFERROR(__xludf.DUMMYFUNCTION("""COMPUTED_VALUE"""),"KIMME")</f>
        <v>KIMME</v>
      </c>
      <c r="L1422" s="471" t="str">
        <f>IFERROR(__xludf.DUMMYFUNCTION("""COMPUTED_VALUE"""),"https://vt.tiktok.com/ZS9MArLmp/")</f>
        <v>https://vt.tiktok.com/ZS9MArLmp/</v>
      </c>
      <c r="M1422" s="470"/>
      <c r="N1422" s="471" t="str">
        <f>IFERROR(__xludf.DUMMYFUNCTION("""COMPUTED_VALUE"""),"https://vt.tiktok.com/ZS9BbR5X2/")</f>
        <v>https://vt.tiktok.com/ZS9BbR5X2/</v>
      </c>
      <c r="O1422" s="470"/>
      <c r="P1422" s="471" t="str">
        <f>IFERROR(__xludf.DUMMYFUNCTION("""COMPUTED_VALUE"""),"https://vt.tiktok.com/ZS9ycs5oc/")</f>
        <v>https://vt.tiktok.com/ZS9ycs5oc/</v>
      </c>
    </row>
    <row r="1423">
      <c r="A1423" s="282" t="str">
        <f>IFERROR(__xludf.DUMMYFUNCTION("""COMPUTED_VALUE"""),"MICRO")</f>
        <v>MICRO</v>
      </c>
      <c r="B1423" s="468" t="str">
        <f>IFERROR(__xludf.DUMMYFUNCTION("""COMPUTED_VALUE"""),"browwyyy8")</f>
        <v>browwyyy8</v>
      </c>
      <c r="C1423" s="283" t="str">
        <f>IFERROR(__xludf.DUMMYFUNCTION("""COMPUTED_VALUE"""),"https://www.tiktok.com/@browwyyy8")</f>
        <v>https://www.tiktok.com/@browwyyy8</v>
      </c>
      <c r="D1423" s="273">
        <f>IFERROR(__xludf.DUMMYFUNCTION("""COMPUTED_VALUE"""),8.5951556999E10)</f>
        <v>85951556999</v>
      </c>
      <c r="E1423" s="458">
        <f>IFERROR(__xludf.DUMMYFUNCTION("""COMPUTED_VALUE"""),0.0)</f>
        <v>0</v>
      </c>
      <c r="F1423" s="273">
        <f>IFERROR(__xludf.DUMMYFUNCTION("""COMPUTED_VALUE"""),4.0)</f>
        <v>4</v>
      </c>
      <c r="G1423" t="str">
        <f>IFERROR(__xludf.DUMMYFUNCTION("""COMPUTED_VALUE"""),"Sabun batang 1 Box ( 2 PCS )")</f>
        <v>Sabun batang 1 Box ( 2 PCS )</v>
      </c>
      <c r="H1423" s="469" t="str">
        <f>IFERROR(__xludf.DUMMYFUNCTION("""COMPUTED_VALUE"""),"Sampai")</f>
        <v>Sampai</v>
      </c>
      <c r="I1423" s="470" t="str">
        <f>IFERROR(__xludf.DUMMYFUNCTION("""COMPUTED_VALUE"""),"KIMME")</f>
        <v>KIMME</v>
      </c>
      <c r="J1423" s="471" t="str">
        <f>IFERROR(__xludf.DUMMYFUNCTION("""COMPUTED_VALUE"""),"https://vt.tiktok.com/ZS9jM8xdm/")</f>
        <v>https://vt.tiktok.com/ZS9jM8xdm/</v>
      </c>
      <c r="K1423" s="470" t="str">
        <f>IFERROR(__xludf.DUMMYFUNCTION("""COMPUTED_VALUE"""),"KIMME")</f>
        <v>KIMME</v>
      </c>
      <c r="L1423" s="471" t="str">
        <f>IFERROR(__xludf.DUMMYFUNCTION("""COMPUTED_VALUE"""),"https://vt.tiktok.com/ZS9MArLmp/")</f>
        <v>https://vt.tiktok.com/ZS9MArLmp/</v>
      </c>
      <c r="M1423" s="470"/>
      <c r="N1423" s="471" t="str">
        <f>IFERROR(__xludf.DUMMYFUNCTION("""COMPUTED_VALUE"""),"https://vt.tiktok.com/ZS9BbR5X2/")</f>
        <v>https://vt.tiktok.com/ZS9BbR5X2/</v>
      </c>
      <c r="O1423" s="470"/>
      <c r="P1423" s="471" t="str">
        <f>IFERROR(__xludf.DUMMYFUNCTION("""COMPUTED_VALUE"""),"https://vt.tiktok.com/ZS9ycs5oc/")</f>
        <v>https://vt.tiktok.com/ZS9ycs5oc/</v>
      </c>
    </row>
    <row r="1424">
      <c r="A1424" s="282" t="str">
        <f>IFERROR(__xludf.DUMMYFUNCTION("""COMPUTED_VALUE"""),"MICRO")</f>
        <v>MICRO</v>
      </c>
      <c r="B1424" s="468" t="str">
        <f>IFERROR(__xludf.DUMMYFUNCTION("""COMPUTED_VALUE"""),"selfiaberliana ")</f>
        <v>selfiaberliana </v>
      </c>
      <c r="C1424" s="283" t="str">
        <f>IFERROR(__xludf.DUMMYFUNCTION("""COMPUTED_VALUE"""),"https://www.tiktok.com/@selfiaberliana ")</f>
        <v>https://www.tiktok.com/@selfiaberliana </v>
      </c>
      <c r="D1424" s="273">
        <f>IFERROR(__xludf.DUMMYFUNCTION("""COMPUTED_VALUE"""),8.98881251E9)</f>
        <v>8988812510</v>
      </c>
      <c r="E1424" s="458">
        <f>IFERROR(__xludf.DUMMYFUNCTION("""COMPUTED_VALUE"""),0.0)</f>
        <v>0</v>
      </c>
      <c r="F1424" s="273">
        <f>IFERROR(__xludf.DUMMYFUNCTION("""COMPUTED_VALUE"""),4.0)</f>
        <v>4</v>
      </c>
      <c r="G1424" t="str">
        <f>IFERROR(__xludf.DUMMYFUNCTION("""COMPUTED_VALUE"""),"Sabun batang 1 Box ( 2 PCS )")</f>
        <v>Sabun batang 1 Box ( 2 PCS )</v>
      </c>
      <c r="H1424" s="469" t="str">
        <f>IFERROR(__xludf.DUMMYFUNCTION("""COMPUTED_VALUE"""),"Sampai")</f>
        <v>Sampai</v>
      </c>
      <c r="I1424" s="470" t="str">
        <f>IFERROR(__xludf.DUMMYFUNCTION("""COMPUTED_VALUE"""),"KIMME")</f>
        <v>KIMME</v>
      </c>
      <c r="J1424" s="471" t="str">
        <f>IFERROR(__xludf.DUMMYFUNCTION("""COMPUTED_VALUE"""),"https://vt.tiktok.com/ZS9txUWdh/")</f>
        <v>https://vt.tiktok.com/ZS9txUWdh/</v>
      </c>
      <c r="K1424" s="470" t="str">
        <f>IFERROR(__xludf.DUMMYFUNCTION("""COMPUTED_VALUE"""),"KIMME")</f>
        <v>KIMME</v>
      </c>
      <c r="L1424" s="471" t="str">
        <f>IFERROR(__xludf.DUMMYFUNCTION("""COMPUTED_VALUE"""),"https://vt.tiktok.com/ZS97UAbGe/")</f>
        <v>https://vt.tiktok.com/ZS97UAbGe/</v>
      </c>
      <c r="M1424" s="470"/>
      <c r="N1424" s="471" t="str">
        <f>IFERROR(__xludf.DUMMYFUNCTION("""COMPUTED_VALUE"""),"https://vt.tiktok.com/ZS9vJert3/")</f>
        <v>https://vt.tiktok.com/ZS9vJert3/</v>
      </c>
      <c r="O1424" s="470"/>
      <c r="P1424" s="471" t="str">
        <f>IFERROR(__xludf.DUMMYFUNCTION("""COMPUTED_VALUE"""),"https://vt.tiktok.com/ZS9vdjeay/")</f>
        <v>https://vt.tiktok.com/ZS9vdjeay/</v>
      </c>
    </row>
    <row r="1425">
      <c r="A1425" s="282" t="str">
        <f>IFERROR(__xludf.DUMMYFUNCTION("""COMPUTED_VALUE"""),"MICRO")</f>
        <v>MICRO</v>
      </c>
      <c r="B1425" s="468" t="str">
        <f>IFERROR(__xludf.DUMMYFUNCTION("""COMPUTED_VALUE"""),"pinkiesgurl")</f>
        <v>pinkiesgurl</v>
      </c>
      <c r="C1425" s="283" t="str">
        <f>IFERROR(__xludf.DUMMYFUNCTION("""COMPUTED_VALUE"""),"https://www.tiktok.com/@pinkiesgurl")</f>
        <v>https://www.tiktok.com/@pinkiesgurl</v>
      </c>
      <c r="D1425" s="273">
        <f>IFERROR(__xludf.DUMMYFUNCTION("""COMPUTED_VALUE"""),8.5798859993E10)</f>
        <v>85798859993</v>
      </c>
      <c r="E1425" s="458">
        <f>IFERROR(__xludf.DUMMYFUNCTION("""COMPUTED_VALUE"""),0.0)</f>
        <v>0</v>
      </c>
      <c r="F1425" s="273">
        <f>IFERROR(__xludf.DUMMYFUNCTION("""COMPUTED_VALUE"""),2.0)</f>
        <v>2</v>
      </c>
      <c r="G1425" t="str">
        <f>IFERROR(__xludf.DUMMYFUNCTION("""COMPUTED_VALUE"""),"Sabun batang 1 Box ( 2 PCS )")</f>
        <v>Sabun batang 1 Box ( 2 PCS )</v>
      </c>
      <c r="H1425" s="469" t="str">
        <f>IFERROR(__xludf.DUMMYFUNCTION("""COMPUTED_VALUE"""),"Sampai")</f>
        <v>Sampai</v>
      </c>
      <c r="I1425" s="470" t="str">
        <f>IFERROR(__xludf.DUMMYFUNCTION("""COMPUTED_VALUE"""),"KIMME")</f>
        <v>KIMME</v>
      </c>
      <c r="J1425" s="471" t="str">
        <f>IFERROR(__xludf.DUMMYFUNCTION("""COMPUTED_VALUE"""),"https://vt.tiktok.com/ZS9txUWdh/")</f>
        <v>https://vt.tiktok.com/ZS9txUWdh/</v>
      </c>
      <c r="K1425" s="470" t="str">
        <f>IFERROR(__xludf.DUMMYFUNCTION("""COMPUTED_VALUE"""),"KIMME")</f>
        <v>KIMME</v>
      </c>
      <c r="L1425" s="471" t="str">
        <f>IFERROR(__xludf.DUMMYFUNCTION("""COMPUTED_VALUE"""),"https://vt.tiktok.com/ZS97UAbGe/")</f>
        <v>https://vt.tiktok.com/ZS97UAbGe/</v>
      </c>
      <c r="M1425" s="470"/>
      <c r="N1425" s="471" t="str">
        <f>IFERROR(__xludf.DUMMYFUNCTION("""COMPUTED_VALUE"""),"https://vt.tiktok.com/ZS9vJert3/")</f>
        <v>https://vt.tiktok.com/ZS9vJert3/</v>
      </c>
      <c r="O1425" s="470"/>
      <c r="P1425" s="471" t="str">
        <f>IFERROR(__xludf.DUMMYFUNCTION("""COMPUTED_VALUE"""),"https://vt.tiktok.com/ZS9vdjeay/")</f>
        <v>https://vt.tiktok.com/ZS9vdjeay/</v>
      </c>
    </row>
    <row r="1426">
      <c r="A1426" s="282" t="str">
        <f>IFERROR(__xludf.DUMMYFUNCTION("""COMPUTED_VALUE"""),"MICRO")</f>
        <v>MICRO</v>
      </c>
      <c r="B1426" s="468" t="str">
        <f>IFERROR(__xludf.DUMMYFUNCTION("""COMPUTED_VALUE"""),"runqueenn")</f>
        <v>runqueenn</v>
      </c>
      <c r="C1426" s="283" t="str">
        <f>IFERROR(__xludf.DUMMYFUNCTION("""COMPUTED_VALUE"""),"https://www.tiktok.com/@runqueenn")</f>
        <v>https://www.tiktok.com/@runqueenn</v>
      </c>
      <c r="D1426" s="273">
        <f>IFERROR(__xludf.DUMMYFUNCTION("""COMPUTED_VALUE"""),8.156033552E9)</f>
        <v>8156033552</v>
      </c>
      <c r="E1426" s="458">
        <f>IFERROR(__xludf.DUMMYFUNCTION("""COMPUTED_VALUE"""),0.0)</f>
        <v>0</v>
      </c>
      <c r="F1426" s="273">
        <f>IFERROR(__xludf.DUMMYFUNCTION("""COMPUTED_VALUE"""),4.0)</f>
        <v>4</v>
      </c>
      <c r="G1426" t="str">
        <f>IFERROR(__xludf.DUMMYFUNCTION("""COMPUTED_VALUE"""),"Sabun batang 1 Box ( 2 PCS )")</f>
        <v>Sabun batang 1 Box ( 2 PCS )</v>
      </c>
      <c r="H1426" s="469" t="str">
        <f>IFERROR(__xludf.DUMMYFUNCTION("""COMPUTED_VALUE"""),"Sampai")</f>
        <v>Sampai</v>
      </c>
      <c r="I1426" s="470" t="str">
        <f>IFERROR(__xludf.DUMMYFUNCTION("""COMPUTED_VALUE"""),"KIMME")</f>
        <v>KIMME</v>
      </c>
      <c r="J1426" s="471" t="str">
        <f>IFERROR(__xludf.DUMMYFUNCTION("""COMPUTED_VALUE"""),"https://vt.tiktok.com/ZS9txUWdh/")</f>
        <v>https://vt.tiktok.com/ZS9txUWdh/</v>
      </c>
      <c r="K1426" s="470" t="str">
        <f>IFERROR(__xludf.DUMMYFUNCTION("""COMPUTED_VALUE"""),"KIMME")</f>
        <v>KIMME</v>
      </c>
      <c r="L1426" s="471" t="str">
        <f>IFERROR(__xludf.DUMMYFUNCTION("""COMPUTED_VALUE"""),"https://vt.tiktok.com/ZS97UAbGe/")</f>
        <v>https://vt.tiktok.com/ZS97UAbGe/</v>
      </c>
      <c r="M1426" s="470"/>
      <c r="N1426" s="471" t="str">
        <f>IFERROR(__xludf.DUMMYFUNCTION("""COMPUTED_VALUE"""),"https://vt.tiktok.com/ZS9vJert3/")</f>
        <v>https://vt.tiktok.com/ZS9vJert3/</v>
      </c>
      <c r="O1426" s="470"/>
      <c r="P1426" s="471" t="str">
        <f>IFERROR(__xludf.DUMMYFUNCTION("""COMPUTED_VALUE"""),"https://vt.tiktok.com/ZS9vdjeay/")</f>
        <v>https://vt.tiktok.com/ZS9vdjeay/</v>
      </c>
    </row>
    <row r="1427">
      <c r="A1427" s="282" t="str">
        <f>IFERROR(__xludf.DUMMYFUNCTION("""COMPUTED_VALUE"""),"MICRO")</f>
        <v>MICRO</v>
      </c>
      <c r="B1427" s="468" t="str">
        <f>IFERROR(__xludf.DUMMYFUNCTION("""COMPUTED_VALUE"""),"no0thinggs ")</f>
        <v>no0thinggs </v>
      </c>
      <c r="C1427" s="283" t="str">
        <f>IFERROR(__xludf.DUMMYFUNCTION("""COMPUTED_VALUE"""),"https://www.tiktok.com/@no0thinggs ")</f>
        <v>https://www.tiktok.com/@no0thinggs </v>
      </c>
      <c r="D1427" s="273">
        <f>IFERROR(__xludf.DUMMYFUNCTION("""COMPUTED_VALUE"""),8.8200798755E11)</f>
        <v>882007987550</v>
      </c>
      <c r="E1427" s="458">
        <f>IFERROR(__xludf.DUMMYFUNCTION("""COMPUTED_VALUE"""),0.0)</f>
        <v>0</v>
      </c>
      <c r="F1427" s="273">
        <f>IFERROR(__xludf.DUMMYFUNCTION("""COMPUTED_VALUE"""),4.0)</f>
        <v>4</v>
      </c>
      <c r="G1427" t="str">
        <f>IFERROR(__xludf.DUMMYFUNCTION("""COMPUTED_VALUE"""),"Sabun batang 1 Box ( 2 PCS )")</f>
        <v>Sabun batang 1 Box ( 2 PCS )</v>
      </c>
      <c r="H1427" s="469" t="str">
        <f>IFERROR(__xludf.DUMMYFUNCTION("""COMPUTED_VALUE"""),"Sampai")</f>
        <v>Sampai</v>
      </c>
      <c r="I1427" s="470" t="str">
        <f>IFERROR(__xludf.DUMMYFUNCTION("""COMPUTED_VALUE"""),"KIMME")</f>
        <v>KIMME</v>
      </c>
      <c r="J1427" s="471" t="str">
        <f>IFERROR(__xludf.DUMMYFUNCTION("""COMPUTED_VALUE"""),"https://vt.tiktok.com/ZS95KCbkf/")</f>
        <v>https://vt.tiktok.com/ZS95KCbkf/</v>
      </c>
      <c r="K1427" s="470" t="str">
        <f>IFERROR(__xludf.DUMMYFUNCTION("""COMPUTED_VALUE"""),"KIMME")</f>
        <v>KIMME</v>
      </c>
      <c r="L1427" s="471" t="str">
        <f>IFERROR(__xludf.DUMMYFUNCTION("""COMPUTED_VALUE"""),"https://vt.tiktok.com/ZS95KxVTC/")</f>
        <v>https://vt.tiktok.com/ZS95KxVTC/</v>
      </c>
      <c r="M1427" s="470"/>
      <c r="N1427" s="471" t="str">
        <f>IFERROR(__xludf.DUMMYFUNCTION("""COMPUTED_VALUE"""),"https://vt.tiktok.com/ZS9XS7ThW/")</f>
        <v>https://vt.tiktok.com/ZS9XS7ThW/</v>
      </c>
      <c r="O1427" s="470"/>
      <c r="P1427" s="471" t="str">
        <f>IFERROR(__xludf.DUMMYFUNCTION("""COMPUTED_VALUE"""),"https://vt.tiktok.com/ZS9vV3EwG/")</f>
        <v>https://vt.tiktok.com/ZS9vV3EwG/</v>
      </c>
    </row>
    <row r="1428">
      <c r="A1428" s="282" t="str">
        <f>IFERROR(__xludf.DUMMYFUNCTION("""COMPUTED_VALUE"""),"MICRO")</f>
        <v>MICRO</v>
      </c>
      <c r="B1428" s="468" t="str">
        <f>IFERROR(__xludf.DUMMYFUNCTION("""COMPUTED_VALUE"""),"jenahzhen")</f>
        <v>jenahzhen</v>
      </c>
      <c r="C1428" s="283" t="str">
        <f>IFERROR(__xludf.DUMMYFUNCTION("""COMPUTED_VALUE"""),"https://www.tiktok.com/@jenahzhen")</f>
        <v>https://www.tiktok.com/@jenahzhen</v>
      </c>
      <c r="D1428" s="273">
        <f>IFERROR(__xludf.DUMMYFUNCTION("""COMPUTED_VALUE"""),8.561472045E9)</f>
        <v>8561472045</v>
      </c>
      <c r="E1428" s="458">
        <f>IFERROR(__xludf.DUMMYFUNCTION("""COMPUTED_VALUE"""),0.0)</f>
        <v>0</v>
      </c>
      <c r="F1428" s="273">
        <f>IFERROR(__xludf.DUMMYFUNCTION("""COMPUTED_VALUE"""),4.0)</f>
        <v>4</v>
      </c>
      <c r="G1428" t="str">
        <f>IFERROR(__xludf.DUMMYFUNCTION("""COMPUTED_VALUE"""),"Sabun batang 1 Box ( 2 PCS )")</f>
        <v>Sabun batang 1 Box ( 2 PCS )</v>
      </c>
      <c r="H1428" s="469" t="str">
        <f>IFERROR(__xludf.DUMMYFUNCTION("""COMPUTED_VALUE"""),"Sampai")</f>
        <v>Sampai</v>
      </c>
      <c r="I1428" s="470" t="str">
        <f>IFERROR(__xludf.DUMMYFUNCTION("""COMPUTED_VALUE"""),"KIMME")</f>
        <v>KIMME</v>
      </c>
      <c r="J1428" s="471" t="str">
        <f>IFERROR(__xludf.DUMMYFUNCTION("""COMPUTED_VALUE"""),"https://vt.tiktok.com/ZS95KCbkf/")</f>
        <v>https://vt.tiktok.com/ZS95KCbkf/</v>
      </c>
      <c r="K1428" s="470" t="str">
        <f>IFERROR(__xludf.DUMMYFUNCTION("""COMPUTED_VALUE"""),"KIMME")</f>
        <v>KIMME</v>
      </c>
      <c r="L1428" s="471" t="str">
        <f>IFERROR(__xludf.DUMMYFUNCTION("""COMPUTED_VALUE"""),"https://vt.tiktok.com/ZS95KxVTC/")</f>
        <v>https://vt.tiktok.com/ZS95KxVTC/</v>
      </c>
      <c r="M1428" s="470"/>
      <c r="N1428" s="471" t="str">
        <f>IFERROR(__xludf.DUMMYFUNCTION("""COMPUTED_VALUE"""),"https://vt.tiktok.com/ZS9XS7ThW/")</f>
        <v>https://vt.tiktok.com/ZS9XS7ThW/</v>
      </c>
      <c r="O1428" s="470"/>
      <c r="P1428" s="471" t="str">
        <f>IFERROR(__xludf.DUMMYFUNCTION("""COMPUTED_VALUE"""),"https://vt.tiktok.com/ZS9vV3EwG/")</f>
        <v>https://vt.tiktok.com/ZS9vV3EwG/</v>
      </c>
    </row>
    <row r="1429">
      <c r="A1429" s="282" t="str">
        <f>IFERROR(__xludf.DUMMYFUNCTION("""COMPUTED_VALUE"""),"MICRO")</f>
        <v>MICRO</v>
      </c>
      <c r="B1429" s="468" t="str">
        <f>IFERROR(__xludf.DUMMYFUNCTION("""COMPUTED_VALUE"""),"bundalinn_")</f>
        <v>bundalinn_</v>
      </c>
      <c r="C1429" s="283" t="str">
        <f>IFERROR(__xludf.DUMMYFUNCTION("""COMPUTED_VALUE"""),"https://www.tiktok.com/@bundalinn_")</f>
        <v>https://www.tiktok.com/@bundalinn_</v>
      </c>
      <c r="D1429" s="273">
        <f>IFERROR(__xludf.DUMMYFUNCTION("""COMPUTED_VALUE"""),8.5817681875E10)</f>
        <v>85817681875</v>
      </c>
      <c r="E1429" s="458">
        <f>IFERROR(__xludf.DUMMYFUNCTION("""COMPUTED_VALUE"""),0.0)</f>
        <v>0</v>
      </c>
      <c r="F1429" s="273">
        <f>IFERROR(__xludf.DUMMYFUNCTION("""COMPUTED_VALUE"""),4.0)</f>
        <v>4</v>
      </c>
      <c r="G1429" t="str">
        <f>IFERROR(__xludf.DUMMYFUNCTION("""COMPUTED_VALUE"""),"Sabun batang 1 Box ( 2 PCS )")</f>
        <v>Sabun batang 1 Box ( 2 PCS )</v>
      </c>
      <c r="H1429" s="469" t="str">
        <f>IFERROR(__xludf.DUMMYFUNCTION("""COMPUTED_VALUE"""),"Sampai")</f>
        <v>Sampai</v>
      </c>
      <c r="I1429" s="470" t="str">
        <f>IFERROR(__xludf.DUMMYFUNCTION("""COMPUTED_VALUE"""),"KIMME")</f>
        <v>KIMME</v>
      </c>
      <c r="J1429" s="471" t="str">
        <f>IFERROR(__xludf.DUMMYFUNCTION("""COMPUTED_VALUE"""),"https://vt.tiktok.com/ZS95KCbkf/")</f>
        <v>https://vt.tiktok.com/ZS95KCbkf/</v>
      </c>
      <c r="K1429" s="470" t="str">
        <f>IFERROR(__xludf.DUMMYFUNCTION("""COMPUTED_VALUE"""),"KIMME")</f>
        <v>KIMME</v>
      </c>
      <c r="L1429" s="471" t="str">
        <f>IFERROR(__xludf.DUMMYFUNCTION("""COMPUTED_VALUE"""),"https://vt.tiktok.com/ZS95KxVTC/")</f>
        <v>https://vt.tiktok.com/ZS95KxVTC/</v>
      </c>
      <c r="M1429" s="470"/>
      <c r="N1429" s="471" t="str">
        <f>IFERROR(__xludf.DUMMYFUNCTION("""COMPUTED_VALUE"""),"https://vt.tiktok.com/ZS9XS7ThW/")</f>
        <v>https://vt.tiktok.com/ZS9XS7ThW/</v>
      </c>
      <c r="O1429" s="470"/>
      <c r="P1429" s="471" t="str">
        <f>IFERROR(__xludf.DUMMYFUNCTION("""COMPUTED_VALUE"""),"https://vt.tiktok.com/ZS9vV3EwG/")</f>
        <v>https://vt.tiktok.com/ZS9vV3EwG/</v>
      </c>
    </row>
    <row r="1430">
      <c r="A1430" s="282" t="str">
        <f>IFERROR(__xludf.DUMMYFUNCTION("""COMPUTED_VALUE"""),"MICRO")</f>
        <v>MICRO</v>
      </c>
      <c r="B1430" s="468" t="str">
        <f>IFERROR(__xludf.DUMMYFUNCTION("""COMPUTED_VALUE"""),"Hurihurye")</f>
        <v>Hurihurye</v>
      </c>
      <c r="C1430" s="283" t="str">
        <f>IFERROR(__xludf.DUMMYFUNCTION("""COMPUTED_VALUE"""),"https://www.tiktok.com/@Hurihurye")</f>
        <v>https://www.tiktok.com/@Hurihurye</v>
      </c>
      <c r="D1430" s="273">
        <f>IFERROR(__xludf.DUMMYFUNCTION("""COMPUTED_VALUE"""),8.5217739739E10)</f>
        <v>85217739739</v>
      </c>
      <c r="E1430" s="458">
        <f>IFERROR(__xludf.DUMMYFUNCTION("""COMPUTED_VALUE"""),0.0)</f>
        <v>0</v>
      </c>
      <c r="F1430" s="273">
        <f>IFERROR(__xludf.DUMMYFUNCTION("""COMPUTED_VALUE"""),4.0)</f>
        <v>4</v>
      </c>
      <c r="G1430" t="str">
        <f>IFERROR(__xludf.DUMMYFUNCTION("""COMPUTED_VALUE"""),"Sabun batang 1 Box ( 2 PCS )")</f>
        <v>Sabun batang 1 Box ( 2 PCS )</v>
      </c>
      <c r="H1430" s="469" t="str">
        <f>IFERROR(__xludf.DUMMYFUNCTION("""COMPUTED_VALUE"""),"Sampai")</f>
        <v>Sampai</v>
      </c>
      <c r="I1430" s="470" t="str">
        <f>IFERROR(__xludf.DUMMYFUNCTION("""COMPUTED_VALUE"""),"KIMME")</f>
        <v>KIMME</v>
      </c>
      <c r="J1430" s="471" t="str">
        <f>IFERROR(__xludf.DUMMYFUNCTION("""COMPUTED_VALUE"""),"https://vt.tiktok.com/ZS95KCbkf/")</f>
        <v>https://vt.tiktok.com/ZS95KCbkf/</v>
      </c>
      <c r="K1430" s="470" t="str">
        <f>IFERROR(__xludf.DUMMYFUNCTION("""COMPUTED_VALUE"""),"KIMME")</f>
        <v>KIMME</v>
      </c>
      <c r="L1430" s="471" t="str">
        <f>IFERROR(__xludf.DUMMYFUNCTION("""COMPUTED_VALUE"""),"https://vt.tiktok.com/ZS95KxVTC/")</f>
        <v>https://vt.tiktok.com/ZS95KxVTC/</v>
      </c>
      <c r="M1430" s="470"/>
      <c r="N1430" s="471" t="str">
        <f>IFERROR(__xludf.DUMMYFUNCTION("""COMPUTED_VALUE"""),"https://vt.tiktok.com/ZS9XS7ThW/")</f>
        <v>https://vt.tiktok.com/ZS9XS7ThW/</v>
      </c>
      <c r="O1430" s="470"/>
      <c r="P1430" s="471" t="str">
        <f>IFERROR(__xludf.DUMMYFUNCTION("""COMPUTED_VALUE"""),"https://vt.tiktok.com/ZS9vV3EwG/")</f>
        <v>https://vt.tiktok.com/ZS9vV3EwG/</v>
      </c>
    </row>
    <row r="1431">
      <c r="A1431" s="282" t="str">
        <f>IFERROR(__xludf.DUMMYFUNCTION("""COMPUTED_VALUE"""),"MICRO")</f>
        <v>MICRO</v>
      </c>
      <c r="B1431" s="468" t="str">
        <f>IFERROR(__xludf.DUMMYFUNCTION("""COMPUTED_VALUE"""),"reyfasyashop7")</f>
        <v>reyfasyashop7</v>
      </c>
      <c r="C1431" s="283" t="str">
        <f>IFERROR(__xludf.DUMMYFUNCTION("""COMPUTED_VALUE"""),"https://www.tiktok.com/@reyfasyashop7")</f>
        <v>https://www.tiktok.com/@reyfasyashop7</v>
      </c>
      <c r="D1431" s="273">
        <f>IFERROR(__xludf.DUMMYFUNCTION("""COMPUTED_VALUE"""),8.7885268779E10)</f>
        <v>87885268779</v>
      </c>
      <c r="E1431" s="458">
        <f>IFERROR(__xludf.DUMMYFUNCTION("""COMPUTED_VALUE"""),0.0)</f>
        <v>0</v>
      </c>
      <c r="F1431" s="273">
        <f>IFERROR(__xludf.DUMMYFUNCTION("""COMPUTED_VALUE"""),4.0)</f>
        <v>4</v>
      </c>
      <c r="G1431" t="str">
        <f>IFERROR(__xludf.DUMMYFUNCTION("""COMPUTED_VALUE"""),"Sabun batang 1 Box ( 2 PCS )")</f>
        <v>Sabun batang 1 Box ( 2 PCS )</v>
      </c>
      <c r="H1431" s="469" t="str">
        <f>IFERROR(__xludf.DUMMYFUNCTION("""COMPUTED_VALUE"""),"Sampai")</f>
        <v>Sampai</v>
      </c>
      <c r="I1431" s="470" t="str">
        <f>IFERROR(__xludf.DUMMYFUNCTION("""COMPUTED_VALUE"""),"KIMME")</f>
        <v>KIMME</v>
      </c>
      <c r="J1431" s="471" t="str">
        <f>IFERROR(__xludf.DUMMYFUNCTION("""COMPUTED_VALUE"""),"https://vt.tiktok.com/ZSxWyq9r2/")</f>
        <v>https://vt.tiktok.com/ZSxWyq9r2/</v>
      </c>
      <c r="K1431" s="470" t="str">
        <f>IFERROR(__xludf.DUMMYFUNCTION("""COMPUTED_VALUE"""),"KIMME")</f>
        <v>KIMME</v>
      </c>
      <c r="L1431" s="471" t="str">
        <f>IFERROR(__xludf.DUMMYFUNCTION("""COMPUTED_VALUE"""),"https://vt.tiktok.com/ZSxWyo6wS/")</f>
        <v>https://vt.tiktok.com/ZSxWyo6wS/</v>
      </c>
      <c r="M1431" s="470"/>
      <c r="N1431" s="471" t="str">
        <f>IFERROR(__xludf.DUMMYFUNCTION("""COMPUTED_VALUE"""),"https://vt.tiktok.com/ZSxWfd4DQ/")</f>
        <v>https://vt.tiktok.com/ZSxWfd4DQ/</v>
      </c>
      <c r="O1431" s="470"/>
      <c r="P1431" s="471" t="str">
        <f>IFERROR(__xludf.DUMMYFUNCTION("""COMPUTED_VALUE"""),"https://vt.tiktok.com/ZSxWfdWke/")</f>
        <v>https://vt.tiktok.com/ZSxWfdWke/</v>
      </c>
    </row>
    <row r="1432">
      <c r="A1432" s="282" t="str">
        <f>IFERROR(__xludf.DUMMYFUNCTION("""COMPUTED_VALUE"""),"MICRO")</f>
        <v>MICRO</v>
      </c>
      <c r="B1432" s="468" t="str">
        <f>IFERROR(__xludf.DUMMYFUNCTION("""COMPUTED_VALUE"""),"cococrunch13_")</f>
        <v>cococrunch13_</v>
      </c>
      <c r="C1432" s="283" t="str">
        <f>IFERROR(__xludf.DUMMYFUNCTION("""COMPUTED_VALUE"""),"https://www.tiktok.com/@cococrunch13_")</f>
        <v>https://www.tiktok.com/@cococrunch13_</v>
      </c>
      <c r="D1432" s="273">
        <f>IFERROR(__xludf.DUMMYFUNCTION("""COMPUTED_VALUE"""),8.3833866783E10)</f>
        <v>83833866783</v>
      </c>
      <c r="E1432" s="458">
        <f>IFERROR(__xludf.DUMMYFUNCTION("""COMPUTED_VALUE"""),100000.0)</f>
        <v>100000</v>
      </c>
      <c r="F1432" s="273">
        <f>IFERROR(__xludf.DUMMYFUNCTION("""COMPUTED_VALUE"""),1.0)</f>
        <v>1</v>
      </c>
      <c r="G1432" t="str">
        <f>IFERROR(__xludf.DUMMYFUNCTION("""COMPUTED_VALUE"""),"Sabun batang 1 Box ( 2 PCS )")</f>
        <v>Sabun batang 1 Box ( 2 PCS )</v>
      </c>
      <c r="H1432" s="469" t="str">
        <f>IFERROR(__xludf.DUMMYFUNCTION("""COMPUTED_VALUE"""),"Sampai")</f>
        <v>Sampai</v>
      </c>
      <c r="I1432" s="470" t="str">
        <f>IFERROR(__xludf.DUMMYFUNCTION("""COMPUTED_VALUE"""),"KIMME")</f>
        <v>KIMME</v>
      </c>
      <c r="J1432" s="471" t="str">
        <f>IFERROR(__xludf.DUMMYFUNCTION("""COMPUTED_VALUE"""),"https://vt.tiktok.com/ZS9jM8xdm/")</f>
        <v>https://vt.tiktok.com/ZS9jM8xdm/</v>
      </c>
      <c r="K1432" s="470" t="str">
        <f>IFERROR(__xludf.DUMMYFUNCTION("""COMPUTED_VALUE"""),"KIMME")</f>
        <v>KIMME</v>
      </c>
      <c r="L1432" s="471" t="str">
        <f>IFERROR(__xludf.DUMMYFUNCTION("""COMPUTED_VALUE"""),"https://vt.tiktok.com/ZS9MArLmp/")</f>
        <v>https://vt.tiktok.com/ZS9MArLmp/</v>
      </c>
      <c r="M1432" s="470"/>
      <c r="N1432" s="471" t="str">
        <f>IFERROR(__xludf.DUMMYFUNCTION("""COMPUTED_VALUE"""),"https://vt.tiktok.com/ZS9BbR5X2/")</f>
        <v>https://vt.tiktok.com/ZS9BbR5X2/</v>
      </c>
      <c r="O1432" s="470"/>
      <c r="P1432" s="471" t="str">
        <f>IFERROR(__xludf.DUMMYFUNCTION("""COMPUTED_VALUE"""),"https://vt.tiktok.com/ZS9ycs5oc/")</f>
        <v>https://vt.tiktok.com/ZS9ycs5oc/</v>
      </c>
    </row>
    <row r="1433">
      <c r="A1433" s="282" t="str">
        <f>IFERROR(__xludf.DUMMYFUNCTION("""COMPUTED_VALUE"""),"MICRO")</f>
        <v>MICRO</v>
      </c>
      <c r="B1433" s="468" t="str">
        <f>IFERROR(__xludf.DUMMYFUNCTION("""COMPUTED_VALUE"""),"promo.murah.berkualitas1")</f>
        <v>promo.murah.berkualitas1</v>
      </c>
      <c r="C1433" s="283" t="str">
        <f>IFERROR(__xludf.DUMMYFUNCTION("""COMPUTED_VALUE"""),"https://www.tiktok.com/@promo.murah.berkualitas1")</f>
        <v>https://www.tiktok.com/@promo.murah.berkualitas1</v>
      </c>
      <c r="D1433" s="273">
        <f>IFERROR(__xludf.DUMMYFUNCTION("""COMPUTED_VALUE"""),8.2147232125E10)</f>
        <v>82147232125</v>
      </c>
      <c r="E1433" s="458">
        <f>IFERROR(__xludf.DUMMYFUNCTION("""COMPUTED_VALUE"""),0.0)</f>
        <v>0</v>
      </c>
      <c r="F1433" s="273">
        <f>IFERROR(__xludf.DUMMYFUNCTION("""COMPUTED_VALUE"""),4.0)</f>
        <v>4</v>
      </c>
      <c r="G1433" t="str">
        <f>IFERROR(__xludf.DUMMYFUNCTION("""COMPUTED_VALUE"""),"Sabun batang 1 Box ( 2 PCS )")</f>
        <v>Sabun batang 1 Box ( 2 PCS )</v>
      </c>
      <c r="H1433" s="469" t="str">
        <f>IFERROR(__xludf.DUMMYFUNCTION("""COMPUTED_VALUE"""),"Sampai")</f>
        <v>Sampai</v>
      </c>
      <c r="I1433" s="470" t="str">
        <f>IFERROR(__xludf.DUMMYFUNCTION("""COMPUTED_VALUE"""),"KIMME")</f>
        <v>KIMME</v>
      </c>
      <c r="J1433" s="471" t="str">
        <f>IFERROR(__xludf.DUMMYFUNCTION("""COMPUTED_VALUE"""),"https://vt.tiktok.com/ZS9fS7WvD/")</f>
        <v>https://vt.tiktok.com/ZS9fS7WvD/</v>
      </c>
      <c r="K1433" s="470" t="str">
        <f>IFERROR(__xludf.DUMMYFUNCTION("""COMPUTED_VALUE"""),"KIMME")</f>
        <v>KIMME</v>
      </c>
      <c r="L1433" s="471" t="str">
        <f>IFERROR(__xludf.DUMMYFUNCTION("""COMPUTED_VALUE"""),"https://vt.tiktok.com/ZS9fSnqU6/")</f>
        <v>https://vt.tiktok.com/ZS9fSnqU6/</v>
      </c>
      <c r="M1433" s="470"/>
      <c r="N1433" s="471" t="str">
        <f>IFERROR(__xludf.DUMMYFUNCTION("""COMPUTED_VALUE"""),"https://vt.tiktok.com/ZS9fScfFJ/")</f>
        <v>https://vt.tiktok.com/ZS9fScfFJ/</v>
      </c>
      <c r="O1433" s="470"/>
      <c r="P1433" s="471" t="str">
        <f>IFERROR(__xludf.DUMMYFUNCTION("""COMPUTED_VALUE"""),"https://vt.tiktok.com/ZS9fSgbpB/")</f>
        <v>https://vt.tiktok.com/ZS9fSgbpB/</v>
      </c>
    </row>
    <row r="1434">
      <c r="A1434" s="282" t="str">
        <f>IFERROR(__xludf.DUMMYFUNCTION("""COMPUTED_VALUE"""),"MICRO")</f>
        <v>MICRO</v>
      </c>
      <c r="B1434" s="468" t="str">
        <f>IFERROR(__xludf.DUMMYFUNCTION("""COMPUTED_VALUE"""),"mbak_glowing")</f>
        <v>mbak_glowing</v>
      </c>
      <c r="C1434" s="283" t="str">
        <f>IFERROR(__xludf.DUMMYFUNCTION("""COMPUTED_VALUE"""),"https://www.tiktok.com/@mbak_glowing")</f>
        <v>https://www.tiktok.com/@mbak_glowing</v>
      </c>
      <c r="D1434" s="273">
        <f>IFERROR(__xludf.DUMMYFUNCTION("""COMPUTED_VALUE"""),8.1553824991E10)</f>
        <v>81553824991</v>
      </c>
      <c r="E1434" s="458">
        <f>IFERROR(__xludf.DUMMYFUNCTION("""COMPUTED_VALUE"""),0.0)</f>
        <v>0</v>
      </c>
      <c r="F1434" s="273">
        <f>IFERROR(__xludf.DUMMYFUNCTION("""COMPUTED_VALUE"""),4.0)</f>
        <v>4</v>
      </c>
      <c r="G1434" t="str">
        <f>IFERROR(__xludf.DUMMYFUNCTION("""COMPUTED_VALUE"""),"Sabun batang 1 Box ( 2 PCS )")</f>
        <v>Sabun batang 1 Box ( 2 PCS )</v>
      </c>
      <c r="H1434" s="469" t="str">
        <f>IFERROR(__xludf.DUMMYFUNCTION("""COMPUTED_VALUE"""),"Sampai")</f>
        <v>Sampai</v>
      </c>
      <c r="I1434" s="470" t="str">
        <f>IFERROR(__xludf.DUMMYFUNCTION("""COMPUTED_VALUE"""),"KIMME")</f>
        <v>KIMME</v>
      </c>
      <c r="J1434" s="471" t="str">
        <f>IFERROR(__xludf.DUMMYFUNCTION("""COMPUTED_VALUE"""),"https://vt.tiktok.com/ZS9jM8xdm/")</f>
        <v>https://vt.tiktok.com/ZS9jM8xdm/</v>
      </c>
      <c r="K1434" s="470" t="str">
        <f>IFERROR(__xludf.DUMMYFUNCTION("""COMPUTED_VALUE"""),"KIMME")</f>
        <v>KIMME</v>
      </c>
      <c r="L1434" s="471" t="str">
        <f>IFERROR(__xludf.DUMMYFUNCTION("""COMPUTED_VALUE"""),"https://vt.tiktok.com/ZS9MArLmp/")</f>
        <v>https://vt.tiktok.com/ZS9MArLmp/</v>
      </c>
      <c r="M1434" s="470"/>
      <c r="N1434" s="471" t="str">
        <f>IFERROR(__xludf.DUMMYFUNCTION("""COMPUTED_VALUE"""),"https://vt.tiktok.com/ZS9BbR5X2/")</f>
        <v>https://vt.tiktok.com/ZS9BbR5X2/</v>
      </c>
      <c r="O1434" s="470"/>
      <c r="P1434" s="471" t="str">
        <f>IFERROR(__xludf.DUMMYFUNCTION("""COMPUTED_VALUE"""),"https://vt.tiktok.com/ZS9ycs5oc/")</f>
        <v>https://vt.tiktok.com/ZS9ycs5oc/</v>
      </c>
    </row>
    <row r="1435">
      <c r="A1435" s="282" t="str">
        <f>IFERROR(__xludf.DUMMYFUNCTION("""COMPUTED_VALUE"""),"MACRO")</f>
        <v>MACRO</v>
      </c>
      <c r="B1435" s="468" t="str">
        <f>IFERROR(__xludf.DUMMYFUNCTION("""COMPUTED_VALUE"""),"putri.antris ")</f>
        <v>putri.antris </v>
      </c>
      <c r="C1435" s="283" t="str">
        <f>IFERROR(__xludf.DUMMYFUNCTION("""COMPUTED_VALUE"""),"https://www.tiktok.com/@putri.antris ")</f>
        <v>https://www.tiktok.com/@putri.antris </v>
      </c>
      <c r="D1435" s="273">
        <f>IFERROR(__xludf.DUMMYFUNCTION("""COMPUTED_VALUE"""),8.978216006E9)</f>
        <v>8978216006</v>
      </c>
      <c r="E1435" s="458">
        <f>IFERROR(__xludf.DUMMYFUNCTION("""COMPUTED_VALUE"""),0.0)</f>
        <v>0</v>
      </c>
      <c r="F1435" s="273">
        <f>IFERROR(__xludf.DUMMYFUNCTION("""COMPUTED_VALUE"""),2.0)</f>
        <v>2</v>
      </c>
      <c r="G1435" t="str">
        <f>IFERROR(__xludf.DUMMYFUNCTION("""COMPUTED_VALUE"""),"Sabun batang 1 Box ( 2 PCS )")</f>
        <v>Sabun batang 1 Box ( 2 PCS )</v>
      </c>
      <c r="H1435" s="469" t="str">
        <f>IFERROR(__xludf.DUMMYFUNCTION("""COMPUTED_VALUE"""),"Sampai")</f>
        <v>Sampai</v>
      </c>
      <c r="I1435" s="470" t="str">
        <f>IFERROR(__xludf.DUMMYFUNCTION("""COMPUTED_VALUE"""),"KIMME")</f>
        <v>KIMME</v>
      </c>
      <c r="K1435" s="470" t="str">
        <f>IFERROR(__xludf.DUMMYFUNCTION("""COMPUTED_VALUE"""),"KIMME")</f>
        <v>KIMME</v>
      </c>
      <c r="M1435" s="470"/>
      <c r="O1435" s="470"/>
    </row>
    <row r="1436">
      <c r="A1436" s="282" t="str">
        <f>IFERROR(__xludf.DUMMYFUNCTION("""COMPUTED_VALUE"""),"MICRO")</f>
        <v>MICRO</v>
      </c>
      <c r="B1436" s="468" t="str">
        <f>IFERROR(__xludf.DUMMYFUNCTION("""COMPUTED_VALUE"""),"fahmadianm")</f>
        <v>fahmadianm</v>
      </c>
      <c r="C1436" s="283" t="str">
        <f>IFERROR(__xludf.DUMMYFUNCTION("""COMPUTED_VALUE"""),"https://www.tiktok.com/@fahmadianm")</f>
        <v>https://www.tiktok.com/@fahmadianm</v>
      </c>
      <c r="D1436" s="273">
        <f>IFERROR(__xludf.DUMMYFUNCTION("""COMPUTED_VALUE"""),8.2235563516E10)</f>
        <v>82235563516</v>
      </c>
      <c r="E1436" s="458">
        <f>IFERROR(__xludf.DUMMYFUNCTION("""COMPUTED_VALUE"""),0.0)</f>
        <v>0</v>
      </c>
      <c r="F1436" s="273">
        <f>IFERROR(__xludf.DUMMYFUNCTION("""COMPUTED_VALUE"""),4.0)</f>
        <v>4</v>
      </c>
      <c r="G1436" t="str">
        <f>IFERROR(__xludf.DUMMYFUNCTION("""COMPUTED_VALUE"""),"Sabun batang 1 Box ( 2 PCS )")</f>
        <v>Sabun batang 1 Box ( 2 PCS )</v>
      </c>
      <c r="H1436" s="469" t="str">
        <f>IFERROR(__xludf.DUMMYFUNCTION("""COMPUTED_VALUE"""),"Sampai")</f>
        <v>Sampai</v>
      </c>
      <c r="I1436" s="470" t="str">
        <f>IFERROR(__xludf.DUMMYFUNCTION("""COMPUTED_VALUE"""),"KIMME")</f>
        <v>KIMME</v>
      </c>
      <c r="J1436" s="471" t="str">
        <f>IFERROR(__xludf.DUMMYFUNCTION("""COMPUTED_VALUE"""),"https://vt.tiktok.com/ZS9H2BvDV/")</f>
        <v>https://vt.tiktok.com/ZS9H2BvDV/</v>
      </c>
      <c r="K1436" s="470" t="str">
        <f>IFERROR(__xludf.DUMMYFUNCTION("""COMPUTED_VALUE"""),"KIMME")</f>
        <v>KIMME</v>
      </c>
      <c r="L1436" s="471" t="str">
        <f>IFERROR(__xludf.DUMMYFUNCTION("""COMPUTED_VALUE"""),"https://vt.tiktok.com/ZS9H2LwwK/")</f>
        <v>https://vt.tiktok.com/ZS9H2LwwK/</v>
      </c>
      <c r="M1436" s="470"/>
      <c r="N1436" s="471" t="str">
        <f>IFERROR(__xludf.DUMMYFUNCTION("""COMPUTED_VALUE"""),"https://vt.tiktok.com/ZS9H2PPny/")</f>
        <v>https://vt.tiktok.com/ZS9H2PPny/</v>
      </c>
      <c r="O1436" s="470"/>
      <c r="P1436" s="471" t="str">
        <f>IFERROR(__xludf.DUMMYFUNCTION("""COMPUTED_VALUE"""),"https://vt.tiktok.com/ZS9H2eUCb/")</f>
        <v>https://vt.tiktok.com/ZS9H2eUCb/</v>
      </c>
    </row>
    <row r="1437">
      <c r="A1437" s="282" t="str">
        <f>IFERROR(__xludf.DUMMYFUNCTION("""COMPUTED_VALUE"""),"MICRO")</f>
        <v>MICRO</v>
      </c>
      <c r="B1437" s="468" t="str">
        <f>IFERROR(__xludf.DUMMYFUNCTION("""COMPUTED_VALUE"""),"tata81692 ")</f>
        <v>tata81692 </v>
      </c>
      <c r="C1437" s="283" t="str">
        <f>IFERROR(__xludf.DUMMYFUNCTION("""COMPUTED_VALUE"""),"https://www.tiktok.com/@tata81692 ")</f>
        <v>https://www.tiktok.com/@tata81692 </v>
      </c>
      <c r="D1437" s="273">
        <f>IFERROR(__xludf.DUMMYFUNCTION("""COMPUTED_VALUE"""),8.3119038953E10)</f>
        <v>83119038953</v>
      </c>
      <c r="E1437" s="458">
        <f>IFERROR(__xludf.DUMMYFUNCTION("""COMPUTED_VALUE"""),0.0)</f>
        <v>0</v>
      </c>
      <c r="F1437" s="273">
        <f>IFERROR(__xludf.DUMMYFUNCTION("""COMPUTED_VALUE"""),4.0)</f>
        <v>4</v>
      </c>
      <c r="G1437" t="str">
        <f>IFERROR(__xludf.DUMMYFUNCTION("""COMPUTED_VALUE"""),"Sabun batang 1 Box ( 2 PCS )")</f>
        <v>Sabun batang 1 Box ( 2 PCS )</v>
      </c>
      <c r="H1437" s="469" t="str">
        <f>IFERROR(__xludf.DUMMYFUNCTION("""COMPUTED_VALUE"""),"Sampai")</f>
        <v>Sampai</v>
      </c>
      <c r="I1437" s="470" t="str">
        <f>IFERROR(__xludf.DUMMYFUNCTION("""COMPUTED_VALUE"""),"KIMME")</f>
        <v>KIMME</v>
      </c>
      <c r="J1437" s="471" t="str">
        <f>IFERROR(__xludf.DUMMYFUNCTION("""COMPUTED_VALUE"""),"https://vt.tiktok.com/ZS9H2BvDV/")</f>
        <v>https://vt.tiktok.com/ZS9H2BvDV/</v>
      </c>
      <c r="K1437" s="470" t="str">
        <f>IFERROR(__xludf.DUMMYFUNCTION("""COMPUTED_VALUE"""),"KIMME")</f>
        <v>KIMME</v>
      </c>
      <c r="L1437" s="471" t="str">
        <f>IFERROR(__xludf.DUMMYFUNCTION("""COMPUTED_VALUE"""),"https://vt.tiktok.com/ZS9H2LwwK/")</f>
        <v>https://vt.tiktok.com/ZS9H2LwwK/</v>
      </c>
      <c r="M1437" s="470"/>
      <c r="N1437" s="471" t="str">
        <f>IFERROR(__xludf.DUMMYFUNCTION("""COMPUTED_VALUE"""),"https://vt.tiktok.com/ZS9H2PPny/")</f>
        <v>https://vt.tiktok.com/ZS9H2PPny/</v>
      </c>
      <c r="O1437" s="470"/>
      <c r="P1437" s="471" t="str">
        <f>IFERROR(__xludf.DUMMYFUNCTION("""COMPUTED_VALUE"""),"https://vt.tiktok.com/ZS9H2eUCb/")</f>
        <v>https://vt.tiktok.com/ZS9H2eUCb/</v>
      </c>
    </row>
    <row r="1438">
      <c r="A1438" s="282" t="str">
        <f>IFERROR(__xludf.DUMMYFUNCTION("""COMPUTED_VALUE"""),"MICRO")</f>
        <v>MICRO</v>
      </c>
      <c r="B1438" s="468" t="str">
        <f>IFERROR(__xludf.DUMMYFUNCTION("""COMPUTED_VALUE"""),"irmaaa_nf")</f>
        <v>irmaaa_nf</v>
      </c>
      <c r="C1438" s="283" t="str">
        <f>IFERROR(__xludf.DUMMYFUNCTION("""COMPUTED_VALUE"""),"https://www.tiktok.com/@irmaaa_nf")</f>
        <v>https://www.tiktok.com/@irmaaa_nf</v>
      </c>
      <c r="D1438" s="273">
        <f>IFERROR(__xludf.DUMMYFUNCTION("""COMPUTED_VALUE"""),8.1291696337E10)</f>
        <v>81291696337</v>
      </c>
      <c r="E1438" s="458">
        <f>IFERROR(__xludf.DUMMYFUNCTION("""COMPUTED_VALUE"""),0.0)</f>
        <v>0</v>
      </c>
      <c r="F1438" s="273">
        <f>IFERROR(__xludf.DUMMYFUNCTION("""COMPUTED_VALUE"""),4.0)</f>
        <v>4</v>
      </c>
      <c r="G1438" t="str">
        <f>IFERROR(__xludf.DUMMYFUNCTION("""COMPUTED_VALUE"""),"Sabun batang 1 Box ( 2 PCS )")</f>
        <v>Sabun batang 1 Box ( 2 PCS )</v>
      </c>
      <c r="H1438" s="469" t="str">
        <f>IFERROR(__xludf.DUMMYFUNCTION("""COMPUTED_VALUE"""),"Sampai")</f>
        <v>Sampai</v>
      </c>
      <c r="I1438" s="470" t="str">
        <f>IFERROR(__xludf.DUMMYFUNCTION("""COMPUTED_VALUE"""),"KIMME")</f>
        <v>KIMME</v>
      </c>
      <c r="J1438" s="471" t="str">
        <f>IFERROR(__xludf.DUMMYFUNCTION("""COMPUTED_VALUE"""),"https://vt.tiktok.com/ZS9H2BvDV/")</f>
        <v>https://vt.tiktok.com/ZS9H2BvDV/</v>
      </c>
      <c r="K1438" s="470" t="str">
        <f>IFERROR(__xludf.DUMMYFUNCTION("""COMPUTED_VALUE"""),"KIMME")</f>
        <v>KIMME</v>
      </c>
      <c r="L1438" s="471" t="str">
        <f>IFERROR(__xludf.DUMMYFUNCTION("""COMPUTED_VALUE"""),"https://vt.tiktok.com/ZS9H2LwwK/")</f>
        <v>https://vt.tiktok.com/ZS9H2LwwK/</v>
      </c>
      <c r="M1438" s="470"/>
      <c r="N1438" s="471" t="str">
        <f>IFERROR(__xludf.DUMMYFUNCTION("""COMPUTED_VALUE"""),"https://vt.tiktok.com/ZS9H2PPny/")</f>
        <v>https://vt.tiktok.com/ZS9H2PPny/</v>
      </c>
      <c r="O1438" s="470"/>
      <c r="P1438" s="471" t="str">
        <f>IFERROR(__xludf.DUMMYFUNCTION("""COMPUTED_VALUE"""),"https://vt.tiktok.com/ZS9H2eUCb/")</f>
        <v>https://vt.tiktok.com/ZS9H2eUCb/</v>
      </c>
    </row>
    <row r="1439">
      <c r="A1439" s="282" t="str">
        <f>IFERROR(__xludf.DUMMYFUNCTION("""COMPUTED_VALUE"""),"MICRO")</f>
        <v>MICRO</v>
      </c>
      <c r="B1439" s="468" t="str">
        <f>IFERROR(__xludf.DUMMYFUNCTION("""COMPUTED_VALUE"""),"nabillmushtafa")</f>
        <v>nabillmushtafa</v>
      </c>
      <c r="C1439" s="283" t="str">
        <f>IFERROR(__xludf.DUMMYFUNCTION("""COMPUTED_VALUE"""),"https://www.tiktok.com/@nabillmushtafa")</f>
        <v>https://www.tiktok.com/@nabillmushtafa</v>
      </c>
      <c r="D1439" s="273">
        <f>IFERROR(__xludf.DUMMYFUNCTION("""COMPUTED_VALUE"""),8.5784945833E10)</f>
        <v>85784945833</v>
      </c>
      <c r="E1439" s="458">
        <f>IFERROR(__xludf.DUMMYFUNCTION("""COMPUTED_VALUE"""),0.0)</f>
        <v>0</v>
      </c>
      <c r="F1439" s="273">
        <f>IFERROR(__xludf.DUMMYFUNCTION("""COMPUTED_VALUE"""),4.0)</f>
        <v>4</v>
      </c>
      <c r="G1439" t="str">
        <f>IFERROR(__xludf.DUMMYFUNCTION("""COMPUTED_VALUE"""),"Sabun batang 1 Box ( 2 PCS )")</f>
        <v>Sabun batang 1 Box ( 2 PCS )</v>
      </c>
      <c r="H1439" s="469" t="str">
        <f>IFERROR(__xludf.DUMMYFUNCTION("""COMPUTED_VALUE"""),"Sampai")</f>
        <v>Sampai</v>
      </c>
      <c r="I1439" s="470" t="str">
        <f>IFERROR(__xludf.DUMMYFUNCTION("""COMPUTED_VALUE"""),"KIMME")</f>
        <v>KIMME</v>
      </c>
      <c r="J1439" s="471" t="str">
        <f>IFERROR(__xludf.DUMMYFUNCTION("""COMPUTED_VALUE"""),"https://vt.tiktok.com/ZS9H2BvDV/")</f>
        <v>https://vt.tiktok.com/ZS9H2BvDV/</v>
      </c>
      <c r="K1439" s="470" t="str">
        <f>IFERROR(__xludf.DUMMYFUNCTION("""COMPUTED_VALUE"""),"KIMME")</f>
        <v>KIMME</v>
      </c>
      <c r="L1439" s="471" t="str">
        <f>IFERROR(__xludf.DUMMYFUNCTION("""COMPUTED_VALUE"""),"https://vt.tiktok.com/ZS9H2LwwK/")</f>
        <v>https://vt.tiktok.com/ZS9H2LwwK/</v>
      </c>
      <c r="M1439" s="470"/>
      <c r="N1439" s="471" t="str">
        <f>IFERROR(__xludf.DUMMYFUNCTION("""COMPUTED_VALUE"""),"https://vt.tiktok.com/ZS9H2PPny/")</f>
        <v>https://vt.tiktok.com/ZS9H2PPny/</v>
      </c>
      <c r="O1439" s="470"/>
      <c r="P1439" s="471" t="str">
        <f>IFERROR(__xludf.DUMMYFUNCTION("""COMPUTED_VALUE"""),"https://vt.tiktok.com/ZS9H2eUCb/")</f>
        <v>https://vt.tiktok.com/ZS9H2eUCb/</v>
      </c>
    </row>
    <row r="1440">
      <c r="A1440" s="282" t="str">
        <f>IFERROR(__xludf.DUMMYFUNCTION("""COMPUTED_VALUE"""),"MICRO")</f>
        <v>MICRO</v>
      </c>
      <c r="B1440" s="468" t="str">
        <f>IFERROR(__xludf.DUMMYFUNCTION("""COMPUTED_VALUE"""),"wongtulus58")</f>
        <v>wongtulus58</v>
      </c>
      <c r="C1440" s="283" t="str">
        <f>IFERROR(__xludf.DUMMYFUNCTION("""COMPUTED_VALUE"""),"https://www.tiktok.com/@wongtulus58")</f>
        <v>https://www.tiktok.com/@wongtulus58</v>
      </c>
      <c r="D1440" s="273">
        <f>IFERROR(__xludf.DUMMYFUNCTION("""COMPUTED_VALUE"""),8.5755637571E10)</f>
        <v>85755637571</v>
      </c>
      <c r="E1440" s="458">
        <f>IFERROR(__xludf.DUMMYFUNCTION("""COMPUTED_VALUE"""),0.0)</f>
        <v>0</v>
      </c>
      <c r="F1440" s="273">
        <f>IFERROR(__xludf.DUMMYFUNCTION("""COMPUTED_VALUE"""),4.0)</f>
        <v>4</v>
      </c>
      <c r="G1440" t="str">
        <f>IFERROR(__xludf.DUMMYFUNCTION("""COMPUTED_VALUE"""),"Sabun batang 1 Box ( 2 PCS )")</f>
        <v>Sabun batang 1 Box ( 2 PCS )</v>
      </c>
      <c r="H1440" s="469" t="str">
        <f>IFERROR(__xludf.DUMMYFUNCTION("""COMPUTED_VALUE"""),"Sampai")</f>
        <v>Sampai</v>
      </c>
      <c r="I1440" s="470" t="str">
        <f>IFERROR(__xludf.DUMMYFUNCTION("""COMPUTED_VALUE"""),"KIMME")</f>
        <v>KIMME</v>
      </c>
      <c r="J1440" s="471" t="str">
        <f>IFERROR(__xludf.DUMMYFUNCTION("""COMPUTED_VALUE"""),"https://vt.tiktok.com/ZSxWysYCp/")</f>
        <v>https://vt.tiktok.com/ZSxWysYCp/</v>
      </c>
      <c r="K1440" s="470" t="str">
        <f>IFERROR(__xludf.DUMMYFUNCTION("""COMPUTED_VALUE"""),"KIMME")</f>
        <v>KIMME</v>
      </c>
      <c r="L1440" s="471" t="str">
        <f>IFERROR(__xludf.DUMMYFUNCTION("""COMPUTED_VALUE"""),"https://vt.tiktok.com/ZSxWyTN9c/")</f>
        <v>https://vt.tiktok.com/ZSxWyTN9c/</v>
      </c>
      <c r="M1440" s="470"/>
      <c r="N1440" s="471" t="str">
        <f>IFERROR(__xludf.DUMMYFUNCTION("""COMPUTED_VALUE"""),"https://vt.tiktok.com/ZSxWyomwB/")</f>
        <v>https://vt.tiktok.com/ZSxWyomwB/</v>
      </c>
      <c r="O1440" s="470"/>
      <c r="P1440" s="471" t="str">
        <f>IFERROR(__xludf.DUMMYFUNCTION("""COMPUTED_VALUE"""),"https://vt.tiktok.com/ZSxWyGuDM/")</f>
        <v>https://vt.tiktok.com/ZSxWyGuDM/</v>
      </c>
    </row>
    <row r="1441">
      <c r="A1441" s="282" t="str">
        <f>IFERROR(__xludf.DUMMYFUNCTION("""COMPUTED_VALUE"""),"MICRO")</f>
        <v>MICRO</v>
      </c>
      <c r="B1441" s="468" t="str">
        <f>IFERROR(__xludf.DUMMYFUNCTION("""COMPUTED_VALUE"""),"abanglelee")</f>
        <v>abanglelee</v>
      </c>
      <c r="C1441" s="283" t="str">
        <f>IFERROR(__xludf.DUMMYFUNCTION("""COMPUTED_VALUE"""),"https://www.tiktok.com/@abanglelee")</f>
        <v>https://www.tiktok.com/@abanglelee</v>
      </c>
      <c r="D1441" s="273">
        <f>IFERROR(__xludf.DUMMYFUNCTION("""COMPUTED_VALUE"""),8.9638187304E10)</f>
        <v>89638187304</v>
      </c>
      <c r="E1441" s="458">
        <f>IFERROR(__xludf.DUMMYFUNCTION("""COMPUTED_VALUE"""),0.0)</f>
        <v>0</v>
      </c>
      <c r="F1441" s="273">
        <f>IFERROR(__xludf.DUMMYFUNCTION("""COMPUTED_VALUE"""),4.0)</f>
        <v>4</v>
      </c>
      <c r="G1441" t="str">
        <f>IFERROR(__xludf.DUMMYFUNCTION("""COMPUTED_VALUE"""),"Sabun batang 1 Box ( 2 PCS )")</f>
        <v>Sabun batang 1 Box ( 2 PCS )</v>
      </c>
      <c r="H1441" s="469" t="str">
        <f>IFERROR(__xludf.DUMMYFUNCTION("""COMPUTED_VALUE"""),"Sampai")</f>
        <v>Sampai</v>
      </c>
      <c r="I1441" s="470" t="str">
        <f>IFERROR(__xludf.DUMMYFUNCTION("""COMPUTED_VALUE"""),"KIMME")</f>
        <v>KIMME</v>
      </c>
      <c r="J1441" s="471" t="str">
        <f>IFERROR(__xludf.DUMMYFUNCTION("""COMPUTED_VALUE"""),"https://vt.tiktok.com/ZS9H2BvDV/")</f>
        <v>https://vt.tiktok.com/ZS9H2BvDV/</v>
      </c>
      <c r="K1441" s="470" t="str">
        <f>IFERROR(__xludf.DUMMYFUNCTION("""COMPUTED_VALUE"""),"KIMME")</f>
        <v>KIMME</v>
      </c>
      <c r="L1441" s="471" t="str">
        <f>IFERROR(__xludf.DUMMYFUNCTION("""COMPUTED_VALUE"""),"https://vt.tiktok.com/ZS9H2LwwK/")</f>
        <v>https://vt.tiktok.com/ZS9H2LwwK/</v>
      </c>
      <c r="M1441" s="470"/>
      <c r="N1441" s="471" t="str">
        <f>IFERROR(__xludf.DUMMYFUNCTION("""COMPUTED_VALUE"""),"https://vt.tiktok.com/ZS9H2PPny/")</f>
        <v>https://vt.tiktok.com/ZS9H2PPny/</v>
      </c>
      <c r="O1441" s="470"/>
      <c r="P1441" s="471" t="str">
        <f>IFERROR(__xludf.DUMMYFUNCTION("""COMPUTED_VALUE"""),"https://vt.tiktok.com/ZS9H2eUCb/")</f>
        <v>https://vt.tiktok.com/ZS9H2eUCb/</v>
      </c>
    </row>
    <row r="1442">
      <c r="A1442" s="282" t="str">
        <f>IFERROR(__xludf.DUMMYFUNCTION("""COMPUTED_VALUE"""),"MICRO")</f>
        <v>MICRO</v>
      </c>
      <c r="B1442" s="468" t="str">
        <f>IFERROR(__xludf.DUMMYFUNCTION("""COMPUTED_VALUE"""),"setianugrahamakeup")</f>
        <v>setianugrahamakeup</v>
      </c>
      <c r="C1442" s="283" t="str">
        <f>IFERROR(__xludf.DUMMYFUNCTION("""COMPUTED_VALUE"""),"https://www.tiktok.com/@setianugrahamakeup")</f>
        <v>https://www.tiktok.com/@setianugrahamakeup</v>
      </c>
      <c r="D1442" s="273">
        <f>IFERROR(__xludf.DUMMYFUNCTION("""COMPUTED_VALUE"""),8.7743632766E10)</f>
        <v>87743632766</v>
      </c>
      <c r="E1442" s="458">
        <f>IFERROR(__xludf.DUMMYFUNCTION("""COMPUTED_VALUE"""),0.0)</f>
        <v>0</v>
      </c>
      <c r="F1442" s="273">
        <f>IFERROR(__xludf.DUMMYFUNCTION("""COMPUTED_VALUE"""),1.0)</f>
        <v>1</v>
      </c>
      <c r="G1442" t="str">
        <f>IFERROR(__xludf.DUMMYFUNCTION("""COMPUTED_VALUE"""),"Sabun batang 1 Box ( 2 PCS )")</f>
        <v>Sabun batang 1 Box ( 2 PCS )</v>
      </c>
      <c r="H1442" s="469" t="str">
        <f>IFERROR(__xludf.DUMMYFUNCTION("""COMPUTED_VALUE"""),"Sampai")</f>
        <v>Sampai</v>
      </c>
      <c r="I1442" s="470" t="str">
        <f>IFERROR(__xludf.DUMMYFUNCTION("""COMPUTED_VALUE"""),"KIMME")</f>
        <v>KIMME</v>
      </c>
      <c r="J1442" s="471" t="str">
        <f>IFERROR(__xludf.DUMMYFUNCTION("""COMPUTED_VALUE"""),"https://vt.tiktok.com/ZS9H2BvDV/")</f>
        <v>https://vt.tiktok.com/ZS9H2BvDV/</v>
      </c>
      <c r="K1442" s="470" t="str">
        <f>IFERROR(__xludf.DUMMYFUNCTION("""COMPUTED_VALUE"""),"KIMME")</f>
        <v>KIMME</v>
      </c>
      <c r="L1442" s="471" t="str">
        <f>IFERROR(__xludf.DUMMYFUNCTION("""COMPUTED_VALUE"""),"https://vt.tiktok.com/ZS9H2LwwK/")</f>
        <v>https://vt.tiktok.com/ZS9H2LwwK/</v>
      </c>
      <c r="M1442" s="470"/>
      <c r="N1442" s="471" t="str">
        <f>IFERROR(__xludf.DUMMYFUNCTION("""COMPUTED_VALUE"""),"https://vt.tiktok.com/ZS9H2PPny/")</f>
        <v>https://vt.tiktok.com/ZS9H2PPny/</v>
      </c>
      <c r="O1442" s="470"/>
      <c r="P1442" s="471" t="str">
        <f>IFERROR(__xludf.DUMMYFUNCTION("""COMPUTED_VALUE"""),"https://vt.tiktok.com/ZS9H2eUCb/")</f>
        <v>https://vt.tiktok.com/ZS9H2eUCb/</v>
      </c>
    </row>
    <row r="1443">
      <c r="A1443" s="282" t="str">
        <f>IFERROR(__xludf.DUMMYFUNCTION("""COMPUTED_VALUE"""),"MICRO")</f>
        <v>MICRO</v>
      </c>
      <c r="B1443" s="468" t="str">
        <f>IFERROR(__xludf.DUMMYFUNCTION("""COMPUTED_VALUE"""),"iniciciwww")</f>
        <v>iniciciwww</v>
      </c>
      <c r="C1443" s="283" t="str">
        <f>IFERROR(__xludf.DUMMYFUNCTION("""COMPUTED_VALUE"""),"https://www.tiktok.com/@iniciciwww")</f>
        <v>https://www.tiktok.com/@iniciciwww</v>
      </c>
      <c r="D1443" s="273">
        <f>IFERROR(__xludf.DUMMYFUNCTION("""COMPUTED_VALUE"""),8.569726142E10)</f>
        <v>85697261420</v>
      </c>
      <c r="E1443" s="458">
        <f>IFERROR(__xludf.DUMMYFUNCTION("""COMPUTED_VALUE"""),0.0)</f>
        <v>0</v>
      </c>
      <c r="F1443" s="273">
        <f>IFERROR(__xludf.DUMMYFUNCTION("""COMPUTED_VALUE"""),4.0)</f>
        <v>4</v>
      </c>
      <c r="G1443" t="str">
        <f>IFERROR(__xludf.DUMMYFUNCTION("""COMPUTED_VALUE"""),"Sabun batang 1 Box ( 2 PCS )")</f>
        <v>Sabun batang 1 Box ( 2 PCS )</v>
      </c>
      <c r="H1443" s="469" t="str">
        <f>IFERROR(__xludf.DUMMYFUNCTION("""COMPUTED_VALUE"""),"Sampai")</f>
        <v>Sampai</v>
      </c>
      <c r="I1443" s="470" t="str">
        <f>IFERROR(__xludf.DUMMYFUNCTION("""COMPUTED_VALUE"""),"KIMME")</f>
        <v>KIMME</v>
      </c>
      <c r="J1443" s="471" t="str">
        <f>IFERROR(__xludf.DUMMYFUNCTION("""COMPUTED_VALUE"""),"https://vt.tiktok.com/ZS9H2BvDV/")</f>
        <v>https://vt.tiktok.com/ZS9H2BvDV/</v>
      </c>
      <c r="K1443" s="470" t="str">
        <f>IFERROR(__xludf.DUMMYFUNCTION("""COMPUTED_VALUE"""),"KIMME")</f>
        <v>KIMME</v>
      </c>
      <c r="L1443" s="471" t="str">
        <f>IFERROR(__xludf.DUMMYFUNCTION("""COMPUTED_VALUE"""),"https://vt.tiktok.com/ZS9H2LwwK/")</f>
        <v>https://vt.tiktok.com/ZS9H2LwwK/</v>
      </c>
      <c r="M1443" s="470"/>
      <c r="N1443" s="471" t="str">
        <f>IFERROR(__xludf.DUMMYFUNCTION("""COMPUTED_VALUE"""),"https://vt.tiktok.com/ZS9H2PPny/")</f>
        <v>https://vt.tiktok.com/ZS9H2PPny/</v>
      </c>
      <c r="O1443" s="470"/>
      <c r="P1443" s="471" t="str">
        <f>IFERROR(__xludf.DUMMYFUNCTION("""COMPUTED_VALUE"""),"https://vt.tiktok.com/ZS9H2eUCb/")</f>
        <v>https://vt.tiktok.com/ZS9H2eUCb/</v>
      </c>
    </row>
    <row r="1444">
      <c r="A1444" s="282" t="str">
        <f>IFERROR(__xludf.DUMMYFUNCTION("""COMPUTED_VALUE"""),"MICRO")</f>
        <v>MICRO</v>
      </c>
      <c r="B1444" s="468" t="str">
        <f>IFERROR(__xludf.DUMMYFUNCTION("""COMPUTED_VALUE"""),"inabatul_
")</f>
        <v>inabatul_
</v>
      </c>
      <c r="C1444" s="283" t="str">
        <f>IFERROR(__xludf.DUMMYFUNCTION("""COMPUTED_VALUE"""),"https://www.tiktok.com/@inabatul_
")</f>
        <v>https://www.tiktok.com/@inabatul_
</v>
      </c>
      <c r="D1444" s="273">
        <f>IFERROR(__xludf.DUMMYFUNCTION("""COMPUTED_VALUE"""),8.8229569283E10)</f>
        <v>88229569283</v>
      </c>
      <c r="E1444" s="458">
        <f>IFERROR(__xludf.DUMMYFUNCTION("""COMPUTED_VALUE"""),0.0)</f>
        <v>0</v>
      </c>
      <c r="F1444" s="273">
        <f>IFERROR(__xludf.DUMMYFUNCTION("""COMPUTED_VALUE"""),4.0)</f>
        <v>4</v>
      </c>
      <c r="G1444" t="str">
        <f>IFERROR(__xludf.DUMMYFUNCTION("""COMPUTED_VALUE"""),"Sabun batang 1 Box ( 2 PCS )")</f>
        <v>Sabun batang 1 Box ( 2 PCS )</v>
      </c>
      <c r="H1444" s="469" t="str">
        <f>IFERROR(__xludf.DUMMYFUNCTION("""COMPUTED_VALUE"""),"Sampai")</f>
        <v>Sampai</v>
      </c>
      <c r="I1444" s="470" t="str">
        <f>IFERROR(__xludf.DUMMYFUNCTION("""COMPUTED_VALUE"""),"KIMME")</f>
        <v>KIMME</v>
      </c>
      <c r="J1444" s="471" t="str">
        <f>IFERROR(__xludf.DUMMYFUNCTION("""COMPUTED_VALUE"""),"https://vt.tiktok.com/ZS9H2BvDV/")</f>
        <v>https://vt.tiktok.com/ZS9H2BvDV/</v>
      </c>
      <c r="K1444" s="470" t="str">
        <f>IFERROR(__xludf.DUMMYFUNCTION("""COMPUTED_VALUE"""),"KIMME")</f>
        <v>KIMME</v>
      </c>
      <c r="L1444" s="471" t="str">
        <f>IFERROR(__xludf.DUMMYFUNCTION("""COMPUTED_VALUE"""),"https://vt.tiktok.com/ZS9H2LwwK/")</f>
        <v>https://vt.tiktok.com/ZS9H2LwwK/</v>
      </c>
      <c r="M1444" s="470"/>
      <c r="N1444" s="471" t="str">
        <f>IFERROR(__xludf.DUMMYFUNCTION("""COMPUTED_VALUE"""),"https://vt.tiktok.com/ZS9H2PPny/")</f>
        <v>https://vt.tiktok.com/ZS9H2PPny/</v>
      </c>
      <c r="O1444" s="470"/>
      <c r="P1444" s="471" t="str">
        <f>IFERROR(__xludf.DUMMYFUNCTION("""COMPUTED_VALUE"""),"https://vt.tiktok.com/ZS9H2eUCb/")</f>
        <v>https://vt.tiktok.com/ZS9H2eUCb/</v>
      </c>
    </row>
    <row r="1445">
      <c r="A1445" s="282" t="str">
        <f>IFERROR(__xludf.DUMMYFUNCTION("""COMPUTED_VALUE"""),"MICRO")</f>
        <v>MICRO</v>
      </c>
      <c r="B1445" s="468" t="str">
        <f>IFERROR(__xludf.DUMMYFUNCTION("""COMPUTED_VALUE"""),"disstatic")</f>
        <v>disstatic</v>
      </c>
      <c r="C1445" s="283" t="str">
        <f>IFERROR(__xludf.DUMMYFUNCTION("""COMPUTED_VALUE"""),"https://www.tiktok.com/@disstatic")</f>
        <v>https://www.tiktok.com/@disstatic</v>
      </c>
      <c r="D1445" s="273">
        <f>IFERROR(__xludf.DUMMYFUNCTION("""COMPUTED_VALUE"""),8.7775433201E10)</f>
        <v>87775433201</v>
      </c>
      <c r="E1445" s="458">
        <f>IFERROR(__xludf.DUMMYFUNCTION("""COMPUTED_VALUE"""),50000.0)</f>
        <v>50000</v>
      </c>
      <c r="F1445" s="273">
        <f>IFERROR(__xludf.DUMMYFUNCTION("""COMPUTED_VALUE"""),1.0)</f>
        <v>1</v>
      </c>
      <c r="G1445" t="str">
        <f>IFERROR(__xludf.DUMMYFUNCTION("""COMPUTED_VALUE"""),"Sabun batang 1 Box ( 2 PCS )")</f>
        <v>Sabun batang 1 Box ( 2 PCS )</v>
      </c>
      <c r="H1445" s="469" t="str">
        <f>IFERROR(__xludf.DUMMYFUNCTION("""COMPUTED_VALUE"""),"Sampai")</f>
        <v>Sampai</v>
      </c>
      <c r="I1445" s="470" t="str">
        <f>IFERROR(__xludf.DUMMYFUNCTION("""COMPUTED_VALUE"""),"KIMME")</f>
        <v>KIMME</v>
      </c>
      <c r="J1445" s="471" t="str">
        <f>IFERROR(__xludf.DUMMYFUNCTION("""COMPUTED_VALUE"""),"https://vt.tiktok.com/ZS9H2BvDV/")</f>
        <v>https://vt.tiktok.com/ZS9H2BvDV/</v>
      </c>
      <c r="K1445" s="470" t="str">
        <f>IFERROR(__xludf.DUMMYFUNCTION("""COMPUTED_VALUE"""),"KIMME")</f>
        <v>KIMME</v>
      </c>
      <c r="L1445" s="471" t="str">
        <f>IFERROR(__xludf.DUMMYFUNCTION("""COMPUTED_VALUE"""),"https://vt.tiktok.com/ZS9H2LwwK/")</f>
        <v>https://vt.tiktok.com/ZS9H2LwwK/</v>
      </c>
      <c r="M1445" s="470"/>
      <c r="N1445" s="471" t="str">
        <f>IFERROR(__xludf.DUMMYFUNCTION("""COMPUTED_VALUE"""),"https://vt.tiktok.com/ZS9H2PPny/")</f>
        <v>https://vt.tiktok.com/ZS9H2PPny/</v>
      </c>
      <c r="O1445" s="470"/>
      <c r="P1445" s="471" t="str">
        <f>IFERROR(__xludf.DUMMYFUNCTION("""COMPUTED_VALUE"""),"https://vt.tiktok.com/ZS9H2eUCb/")</f>
        <v>https://vt.tiktok.com/ZS9H2eUCb/</v>
      </c>
    </row>
    <row r="1446">
      <c r="A1446" s="282" t="str">
        <f>IFERROR(__xludf.DUMMYFUNCTION("""COMPUTED_VALUE"""),"MICRO")</f>
        <v>MICRO</v>
      </c>
      <c r="B1446" s="468" t="str">
        <f>IFERROR(__xludf.DUMMYFUNCTION("""COMPUTED_VALUE"""),"paulina_lie")</f>
        <v>paulina_lie</v>
      </c>
      <c r="C1446" s="283" t="str">
        <f>IFERROR(__xludf.DUMMYFUNCTION("""COMPUTED_VALUE"""),"https://www.tiktok.com/@paulina_lie")</f>
        <v>https://www.tiktok.com/@paulina_lie</v>
      </c>
      <c r="D1446" s="273">
        <f>IFERROR(__xludf.DUMMYFUNCTION("""COMPUTED_VALUE"""),8.2122594473E10)</f>
        <v>82122594473</v>
      </c>
      <c r="E1446" s="458">
        <f>IFERROR(__xludf.DUMMYFUNCTION("""COMPUTED_VALUE"""),0.0)</f>
        <v>0</v>
      </c>
      <c r="F1446" s="273">
        <f>IFERROR(__xludf.DUMMYFUNCTION("""COMPUTED_VALUE"""),1.0)</f>
        <v>1</v>
      </c>
      <c r="G1446" t="str">
        <f>IFERROR(__xludf.DUMMYFUNCTION("""COMPUTED_VALUE"""),"Sabun batang 1 Box ( 2 PCS )")</f>
        <v>Sabun batang 1 Box ( 2 PCS )</v>
      </c>
      <c r="H1446" s="469" t="str">
        <f>IFERROR(__xludf.DUMMYFUNCTION("""COMPUTED_VALUE"""),"Sampai")</f>
        <v>Sampai</v>
      </c>
      <c r="I1446" s="470" t="str">
        <f>IFERROR(__xludf.DUMMYFUNCTION("""COMPUTED_VALUE"""),"KIMME")</f>
        <v>KIMME</v>
      </c>
      <c r="J1446" s="471" t="str">
        <f>IFERROR(__xludf.DUMMYFUNCTION("""COMPUTED_VALUE"""),"https://vt.tiktok.com/ZS9H2BvDV/")</f>
        <v>https://vt.tiktok.com/ZS9H2BvDV/</v>
      </c>
      <c r="K1446" s="470" t="str">
        <f>IFERROR(__xludf.DUMMYFUNCTION("""COMPUTED_VALUE"""),"KIMME")</f>
        <v>KIMME</v>
      </c>
      <c r="L1446" s="471" t="str">
        <f>IFERROR(__xludf.DUMMYFUNCTION("""COMPUTED_VALUE"""),"https://vt.tiktok.com/ZS9H2LwwK/")</f>
        <v>https://vt.tiktok.com/ZS9H2LwwK/</v>
      </c>
      <c r="M1446" s="470"/>
      <c r="N1446" s="471" t="str">
        <f>IFERROR(__xludf.DUMMYFUNCTION("""COMPUTED_VALUE"""),"https://vt.tiktok.com/ZS9H2PPny/")</f>
        <v>https://vt.tiktok.com/ZS9H2PPny/</v>
      </c>
      <c r="O1446" s="470"/>
      <c r="P1446" s="471" t="str">
        <f>IFERROR(__xludf.DUMMYFUNCTION("""COMPUTED_VALUE"""),"https://vt.tiktok.com/ZS9H2eUCb/")</f>
        <v>https://vt.tiktok.com/ZS9H2eUCb/</v>
      </c>
    </row>
    <row r="1447">
      <c r="A1447" s="282" t="str">
        <f>IFERROR(__xludf.DUMMYFUNCTION("""COMPUTED_VALUE"""),"MICRO")</f>
        <v>MICRO</v>
      </c>
      <c r="B1447" s="468" t="str">
        <f>IFERROR(__xludf.DUMMYFUNCTION("""COMPUTED_VALUE"""),"_lupakasihnama")</f>
        <v>_lupakasihnama</v>
      </c>
      <c r="C1447" s="283" t="str">
        <f>IFERROR(__xludf.DUMMYFUNCTION("""COMPUTED_VALUE"""),"https://www.tiktok.com/@_lupakasihnama")</f>
        <v>https://www.tiktok.com/@_lupakasihnama</v>
      </c>
      <c r="D1447" s="273">
        <f>IFERROR(__xludf.DUMMYFUNCTION("""COMPUTED_VALUE"""),8.5798803772E10)</f>
        <v>85798803772</v>
      </c>
      <c r="E1447" s="458">
        <f>IFERROR(__xludf.DUMMYFUNCTION("""COMPUTED_VALUE"""),0.0)</f>
        <v>0</v>
      </c>
      <c r="F1447" s="273">
        <f>IFERROR(__xludf.DUMMYFUNCTION("""COMPUTED_VALUE"""),4.0)</f>
        <v>4</v>
      </c>
      <c r="G1447" t="str">
        <f>IFERROR(__xludf.DUMMYFUNCTION("""COMPUTED_VALUE"""),"Sabun batang 1 Box ( 2 PCS )")</f>
        <v>Sabun batang 1 Box ( 2 PCS )</v>
      </c>
      <c r="H1447" s="469" t="str">
        <f>IFERROR(__xludf.DUMMYFUNCTION("""COMPUTED_VALUE"""),"Sampai")</f>
        <v>Sampai</v>
      </c>
      <c r="I1447" s="470" t="str">
        <f>IFERROR(__xludf.DUMMYFUNCTION("""COMPUTED_VALUE"""),"KIMME")</f>
        <v>KIMME</v>
      </c>
      <c r="J1447" s="471" t="str">
        <f>IFERROR(__xludf.DUMMYFUNCTION("""COMPUTED_VALUE"""),"https://vt.tiktok.com/ZS9H2BvDV/")</f>
        <v>https://vt.tiktok.com/ZS9H2BvDV/</v>
      </c>
      <c r="K1447" s="470" t="str">
        <f>IFERROR(__xludf.DUMMYFUNCTION("""COMPUTED_VALUE"""),"KIMME")</f>
        <v>KIMME</v>
      </c>
      <c r="L1447" s="471" t="str">
        <f>IFERROR(__xludf.DUMMYFUNCTION("""COMPUTED_VALUE"""),"https://vt.tiktok.com/ZS9H2LwwK/")</f>
        <v>https://vt.tiktok.com/ZS9H2LwwK/</v>
      </c>
      <c r="M1447" s="470"/>
      <c r="N1447" s="471" t="str">
        <f>IFERROR(__xludf.DUMMYFUNCTION("""COMPUTED_VALUE"""),"https://vt.tiktok.com/ZS9H2PPny/")</f>
        <v>https://vt.tiktok.com/ZS9H2PPny/</v>
      </c>
      <c r="O1447" s="470"/>
      <c r="P1447" s="471" t="str">
        <f>IFERROR(__xludf.DUMMYFUNCTION("""COMPUTED_VALUE"""),"https://vt.tiktok.com/ZS9H2eUCb/")</f>
        <v>https://vt.tiktok.com/ZS9H2eUCb/</v>
      </c>
    </row>
    <row r="1448">
      <c r="A1448" s="282" t="str">
        <f>IFERROR(__xludf.DUMMYFUNCTION("""COMPUTED_VALUE"""),"MICRO")</f>
        <v>MICRO</v>
      </c>
      <c r="B1448" s="468" t="str">
        <f>IFERROR(__xludf.DUMMYFUNCTION("""COMPUTED_VALUE"""),"2noviaramadhan")</f>
        <v>2noviaramadhan</v>
      </c>
      <c r="C1448" s="283" t="str">
        <f>IFERROR(__xludf.DUMMYFUNCTION("""COMPUTED_VALUE"""),"https://www.tiktok.com/@2noviaramadhan")</f>
        <v>https://www.tiktok.com/@2noviaramadhan</v>
      </c>
      <c r="D1448" s="273">
        <f>IFERROR(__xludf.DUMMYFUNCTION("""COMPUTED_VALUE"""),8.2250508791E10)</f>
        <v>82250508791</v>
      </c>
      <c r="E1448" s="458">
        <f>IFERROR(__xludf.DUMMYFUNCTION("""COMPUTED_VALUE"""),0.0)</f>
        <v>0</v>
      </c>
      <c r="F1448" s="273">
        <f>IFERROR(__xludf.DUMMYFUNCTION("""COMPUTED_VALUE"""),2.0)</f>
        <v>2</v>
      </c>
      <c r="G1448" t="str">
        <f>IFERROR(__xludf.DUMMYFUNCTION("""COMPUTED_VALUE"""),"Sabun batang 1 Box ( 2 PCS )")</f>
        <v>Sabun batang 1 Box ( 2 PCS )</v>
      </c>
      <c r="H1448" s="469" t="str">
        <f>IFERROR(__xludf.DUMMYFUNCTION("""COMPUTED_VALUE"""),"Sampai")</f>
        <v>Sampai</v>
      </c>
      <c r="I1448" s="470" t="str">
        <f>IFERROR(__xludf.DUMMYFUNCTION("""COMPUTED_VALUE"""),"KIMME")</f>
        <v>KIMME</v>
      </c>
      <c r="J1448" s="471" t="str">
        <f>IFERROR(__xludf.DUMMYFUNCTION("""COMPUTED_VALUE"""),"https://vt.tiktok.com/ZS9H2BvDV/")</f>
        <v>https://vt.tiktok.com/ZS9H2BvDV/</v>
      </c>
      <c r="K1448" s="470" t="str">
        <f>IFERROR(__xludf.DUMMYFUNCTION("""COMPUTED_VALUE"""),"KIMME")</f>
        <v>KIMME</v>
      </c>
      <c r="L1448" s="471" t="str">
        <f>IFERROR(__xludf.DUMMYFUNCTION("""COMPUTED_VALUE"""),"https://vt.tiktok.com/ZS9H2LwwK/")</f>
        <v>https://vt.tiktok.com/ZS9H2LwwK/</v>
      </c>
      <c r="M1448" s="470"/>
      <c r="N1448" s="471" t="str">
        <f>IFERROR(__xludf.DUMMYFUNCTION("""COMPUTED_VALUE"""),"https://vt.tiktok.com/ZS9H2PPny/")</f>
        <v>https://vt.tiktok.com/ZS9H2PPny/</v>
      </c>
      <c r="O1448" s="470"/>
      <c r="P1448" s="471" t="str">
        <f>IFERROR(__xludf.DUMMYFUNCTION("""COMPUTED_VALUE"""),"https://vt.tiktok.com/ZS9H2eUCb/")</f>
        <v>https://vt.tiktok.com/ZS9H2eUCb/</v>
      </c>
    </row>
    <row r="1449">
      <c r="A1449" s="282" t="str">
        <f>IFERROR(__xludf.DUMMYFUNCTION("""COMPUTED_VALUE"""),"MICRO")</f>
        <v>MICRO</v>
      </c>
      <c r="B1449" s="468" t="str">
        <f>IFERROR(__xludf.DUMMYFUNCTION("""COMPUTED_VALUE"""),"Spilby_anisusanti")</f>
        <v>Spilby_anisusanti</v>
      </c>
      <c r="C1449" s="283" t="str">
        <f>IFERROR(__xludf.DUMMYFUNCTION("""COMPUTED_VALUE"""),"https://www.tiktok.com/@Spilby_anisusanti")</f>
        <v>https://www.tiktok.com/@Spilby_anisusanti</v>
      </c>
      <c r="D1449" s="273">
        <f>IFERROR(__xludf.DUMMYFUNCTION("""COMPUTED_VALUE"""),8.5723689189E10)</f>
        <v>85723689189</v>
      </c>
      <c r="E1449" s="458">
        <f>IFERROR(__xludf.DUMMYFUNCTION("""COMPUTED_VALUE"""),0.0)</f>
        <v>0</v>
      </c>
      <c r="F1449" s="273">
        <f>IFERROR(__xludf.DUMMYFUNCTION("""COMPUTED_VALUE"""),4.0)</f>
        <v>4</v>
      </c>
      <c r="G1449" t="str">
        <f>IFERROR(__xludf.DUMMYFUNCTION("""COMPUTED_VALUE"""),"Sabun batang 1 Box ( 2 PCS )")</f>
        <v>Sabun batang 1 Box ( 2 PCS )</v>
      </c>
      <c r="H1449" s="469" t="str">
        <f>IFERROR(__xludf.DUMMYFUNCTION("""COMPUTED_VALUE"""),"Sampai")</f>
        <v>Sampai</v>
      </c>
      <c r="I1449" s="470" t="str">
        <f>IFERROR(__xludf.DUMMYFUNCTION("""COMPUTED_VALUE"""),"KIMME")</f>
        <v>KIMME</v>
      </c>
      <c r="J1449" s="471" t="str">
        <f>IFERROR(__xludf.DUMMYFUNCTION("""COMPUTED_VALUE"""),"https://vt.tiktok.com/ZS9H2BvDV/")</f>
        <v>https://vt.tiktok.com/ZS9H2BvDV/</v>
      </c>
      <c r="K1449" s="470" t="str">
        <f>IFERROR(__xludf.DUMMYFUNCTION("""COMPUTED_VALUE"""),"KIMME")</f>
        <v>KIMME</v>
      </c>
      <c r="L1449" s="471" t="str">
        <f>IFERROR(__xludf.DUMMYFUNCTION("""COMPUTED_VALUE"""),"https://vt.tiktok.com/ZS9H2LwwK/")</f>
        <v>https://vt.tiktok.com/ZS9H2LwwK/</v>
      </c>
      <c r="M1449" s="470"/>
      <c r="N1449" s="471" t="str">
        <f>IFERROR(__xludf.DUMMYFUNCTION("""COMPUTED_VALUE"""),"https://vt.tiktok.com/ZS9H2PPny/")</f>
        <v>https://vt.tiktok.com/ZS9H2PPny/</v>
      </c>
      <c r="O1449" s="470"/>
      <c r="P1449" s="471" t="str">
        <f>IFERROR(__xludf.DUMMYFUNCTION("""COMPUTED_VALUE"""),"https://vt.tiktok.com/ZS9H2eUCb/")</f>
        <v>https://vt.tiktok.com/ZS9H2eUCb/</v>
      </c>
    </row>
    <row r="1450">
      <c r="A1450" s="282" t="str">
        <f>IFERROR(__xludf.DUMMYFUNCTION("""COMPUTED_VALUE"""),"MICRO")</f>
        <v>MICRO</v>
      </c>
      <c r="B1450" s="468" t="str">
        <f>IFERROR(__xludf.DUMMYFUNCTION("""COMPUTED_VALUE"""),"racunskincare807")</f>
        <v>racunskincare807</v>
      </c>
      <c r="C1450" s="283" t="str">
        <f>IFERROR(__xludf.DUMMYFUNCTION("""COMPUTED_VALUE"""),"https://www.tiktok.com/@racunskincare807")</f>
        <v>https://www.tiktok.com/@racunskincare807</v>
      </c>
      <c r="D1450" s="273">
        <f>IFERROR(__xludf.DUMMYFUNCTION("""COMPUTED_VALUE"""),8.2350136131E10)</f>
        <v>82350136131</v>
      </c>
      <c r="E1450" s="458">
        <f>IFERROR(__xludf.DUMMYFUNCTION("""COMPUTED_VALUE"""),0.0)</f>
        <v>0</v>
      </c>
      <c r="F1450" s="273">
        <f>IFERROR(__xludf.DUMMYFUNCTION("""COMPUTED_VALUE"""),4.0)</f>
        <v>4</v>
      </c>
      <c r="G1450" t="str">
        <f>IFERROR(__xludf.DUMMYFUNCTION("""COMPUTED_VALUE"""),"Sabun batang 1 Box ( 2 PCS )")</f>
        <v>Sabun batang 1 Box ( 2 PCS )</v>
      </c>
      <c r="H1450" s="469" t="str">
        <f>IFERROR(__xludf.DUMMYFUNCTION("""COMPUTED_VALUE"""),"Sampai")</f>
        <v>Sampai</v>
      </c>
      <c r="I1450" s="470" t="str">
        <f>IFERROR(__xludf.DUMMYFUNCTION("""COMPUTED_VALUE"""),"KIMME")</f>
        <v>KIMME</v>
      </c>
      <c r="J1450" s="471" t="str">
        <f>IFERROR(__xludf.DUMMYFUNCTION("""COMPUTED_VALUE"""),"https://vt.tiktok.com/ZS9H2BvDV/")</f>
        <v>https://vt.tiktok.com/ZS9H2BvDV/</v>
      </c>
      <c r="K1450" s="470" t="str">
        <f>IFERROR(__xludf.DUMMYFUNCTION("""COMPUTED_VALUE"""),"KIMME")</f>
        <v>KIMME</v>
      </c>
      <c r="L1450" s="471" t="str">
        <f>IFERROR(__xludf.DUMMYFUNCTION("""COMPUTED_VALUE"""),"https://vt.tiktok.com/ZS9H2LwwK/")</f>
        <v>https://vt.tiktok.com/ZS9H2LwwK/</v>
      </c>
      <c r="M1450" s="470"/>
      <c r="N1450" s="471" t="str">
        <f>IFERROR(__xludf.DUMMYFUNCTION("""COMPUTED_VALUE"""),"https://vt.tiktok.com/ZS9H2PPny/")</f>
        <v>https://vt.tiktok.com/ZS9H2PPny/</v>
      </c>
      <c r="O1450" s="470"/>
      <c r="P1450" s="471" t="str">
        <f>IFERROR(__xludf.DUMMYFUNCTION("""COMPUTED_VALUE"""),"https://vt.tiktok.com/ZS9H2eUCb/")</f>
        <v>https://vt.tiktok.com/ZS9H2eUCb/</v>
      </c>
    </row>
    <row r="1451">
      <c r="A1451" s="282" t="str">
        <f>IFERROR(__xludf.DUMMYFUNCTION("""COMPUTED_VALUE"""),"MICRO")</f>
        <v>MICRO</v>
      </c>
      <c r="B1451" s="468" t="str">
        <f>IFERROR(__xludf.DUMMYFUNCTION("""COMPUTED_VALUE"""),"vinawidyap_")</f>
        <v>vinawidyap_</v>
      </c>
      <c r="C1451" s="283" t="str">
        <f>IFERROR(__xludf.DUMMYFUNCTION("""COMPUTED_VALUE"""),"https://www.tiktok.com/@vinawidyap_")</f>
        <v>https://www.tiktok.com/@vinawidyap_</v>
      </c>
      <c r="D1451" s="273">
        <f>IFERROR(__xludf.DUMMYFUNCTION("""COMPUTED_VALUE"""),8.5846422799E10)</f>
        <v>85846422799</v>
      </c>
      <c r="E1451" s="458">
        <f>IFERROR(__xludf.DUMMYFUNCTION("""COMPUTED_VALUE"""),0.0)</f>
        <v>0</v>
      </c>
      <c r="F1451" s="273">
        <f>IFERROR(__xludf.DUMMYFUNCTION("""COMPUTED_VALUE"""),3.0)</f>
        <v>3</v>
      </c>
      <c r="G1451" t="str">
        <f>IFERROR(__xludf.DUMMYFUNCTION("""COMPUTED_VALUE"""),"Sabun batang 1 Box ( 2 PCS )")</f>
        <v>Sabun batang 1 Box ( 2 PCS )</v>
      </c>
      <c r="H1451" s="469" t="str">
        <f>IFERROR(__xludf.DUMMYFUNCTION("""COMPUTED_VALUE"""),"Sampai")</f>
        <v>Sampai</v>
      </c>
      <c r="I1451" s="470" t="str">
        <f>IFERROR(__xludf.DUMMYFUNCTION("""COMPUTED_VALUE"""),"KIMME")</f>
        <v>KIMME</v>
      </c>
      <c r="J1451" s="471" t="str">
        <f>IFERROR(__xludf.DUMMYFUNCTION("""COMPUTED_VALUE"""),"https://vt.tiktok.com/ZSQJCPG1r/")</f>
        <v>https://vt.tiktok.com/ZSQJCPG1r/</v>
      </c>
      <c r="K1451" s="470" t="str">
        <f>IFERROR(__xludf.DUMMYFUNCTION("""COMPUTED_VALUE"""),"KIMME")</f>
        <v>KIMME</v>
      </c>
      <c r="L1451" s="471" t="str">
        <f>IFERROR(__xludf.DUMMYFUNCTION("""COMPUTED_VALUE"""),"https://vt.tiktok.com/ZS9H2LwwK/")</f>
        <v>https://vt.tiktok.com/ZS9H2LwwK/</v>
      </c>
      <c r="M1451" s="470"/>
      <c r="N1451" s="471" t="str">
        <f>IFERROR(__xludf.DUMMYFUNCTION("""COMPUTED_VALUE"""),"https://vt.tiktok.com/ZS9H2PPny/")</f>
        <v>https://vt.tiktok.com/ZS9H2PPny/</v>
      </c>
      <c r="O1451" s="470"/>
      <c r="P1451" s="471" t="str">
        <f>IFERROR(__xludf.DUMMYFUNCTION("""COMPUTED_VALUE"""),"https://vt.tiktok.com/ZS9H2eUCb/")</f>
        <v>https://vt.tiktok.com/ZS9H2eUCb/</v>
      </c>
    </row>
    <row r="1452">
      <c r="A1452" s="282" t="str">
        <f>IFERROR(__xludf.DUMMYFUNCTION("""COMPUTED_VALUE"""),"MICRO")</f>
        <v>MICRO</v>
      </c>
      <c r="B1452" s="468" t="str">
        <f>IFERROR(__xludf.DUMMYFUNCTION("""COMPUTED_VALUE"""),"mamanya.absi.aksa")</f>
        <v>mamanya.absi.aksa</v>
      </c>
      <c r="C1452" s="283" t="str">
        <f>IFERROR(__xludf.DUMMYFUNCTION("""COMPUTED_VALUE"""),"https://www.tiktok.com/@mamanya.absi.aksa")</f>
        <v>https://www.tiktok.com/@mamanya.absi.aksa</v>
      </c>
      <c r="D1452" s="273">
        <f>IFERROR(__xludf.DUMMYFUNCTION("""COMPUTED_VALUE"""),8.2136624131E10)</f>
        <v>82136624131</v>
      </c>
      <c r="E1452" s="458">
        <f>IFERROR(__xludf.DUMMYFUNCTION("""COMPUTED_VALUE"""),0.0)</f>
        <v>0</v>
      </c>
      <c r="F1452" s="273">
        <f>IFERROR(__xludf.DUMMYFUNCTION("""COMPUTED_VALUE"""),4.0)</f>
        <v>4</v>
      </c>
      <c r="G1452" t="str">
        <f>IFERROR(__xludf.DUMMYFUNCTION("""COMPUTED_VALUE"""),"Sabun batang 1 Box ( 2 PCS )")</f>
        <v>Sabun batang 1 Box ( 2 PCS )</v>
      </c>
      <c r="H1452" s="469" t="str">
        <f>IFERROR(__xludf.DUMMYFUNCTION("""COMPUTED_VALUE"""),"Sampai")</f>
        <v>Sampai</v>
      </c>
      <c r="I1452" s="470" t="str">
        <f>IFERROR(__xludf.DUMMYFUNCTION("""COMPUTED_VALUE"""),"KIMME")</f>
        <v>KIMME</v>
      </c>
      <c r="J1452" s="471" t="str">
        <f>IFERROR(__xludf.DUMMYFUNCTION("""COMPUTED_VALUE"""),"https://vt.tiktok.com/ZS9H2BvDV/")</f>
        <v>https://vt.tiktok.com/ZS9H2BvDV/</v>
      </c>
      <c r="K1452" s="470" t="str">
        <f>IFERROR(__xludf.DUMMYFUNCTION("""COMPUTED_VALUE"""),"KIMME")</f>
        <v>KIMME</v>
      </c>
      <c r="L1452" s="471" t="str">
        <f>IFERROR(__xludf.DUMMYFUNCTION("""COMPUTED_VALUE"""),"https://vt.tiktok.com/ZS9H2LwwK/")</f>
        <v>https://vt.tiktok.com/ZS9H2LwwK/</v>
      </c>
      <c r="M1452" s="470"/>
      <c r="N1452" s="471" t="str">
        <f>IFERROR(__xludf.DUMMYFUNCTION("""COMPUTED_VALUE"""),"https://vt.tiktok.com/ZS9H2PPny/")</f>
        <v>https://vt.tiktok.com/ZS9H2PPny/</v>
      </c>
      <c r="O1452" s="470"/>
      <c r="P1452" s="471" t="str">
        <f>IFERROR(__xludf.DUMMYFUNCTION("""COMPUTED_VALUE"""),"https://vt.tiktok.com/ZS9H2eUCb/")</f>
        <v>https://vt.tiktok.com/ZS9H2eUCb/</v>
      </c>
    </row>
    <row r="1453">
      <c r="A1453" s="282" t="str">
        <f>IFERROR(__xludf.DUMMYFUNCTION("""COMPUTED_VALUE"""),"MICRO")</f>
        <v>MICRO</v>
      </c>
      <c r="B1453" s="468" t="str">
        <f>IFERROR(__xludf.DUMMYFUNCTION("""COMPUTED_VALUE"""),"ingetsln")</f>
        <v>ingetsln</v>
      </c>
      <c r="C1453" s="283" t="str">
        <f>IFERROR(__xludf.DUMMYFUNCTION("""COMPUTED_VALUE"""),"https://www.tiktok.com/@ingetsln")</f>
        <v>https://www.tiktok.com/@ingetsln</v>
      </c>
      <c r="D1453" s="273">
        <f>IFERROR(__xludf.DUMMYFUNCTION("""COMPUTED_VALUE"""),8.7716512439E10)</f>
        <v>87716512439</v>
      </c>
      <c r="E1453" s="458">
        <f>IFERROR(__xludf.DUMMYFUNCTION("""COMPUTED_VALUE"""),0.0)</f>
        <v>0</v>
      </c>
      <c r="F1453" s="273">
        <f>IFERROR(__xludf.DUMMYFUNCTION("""COMPUTED_VALUE"""),2.0)</f>
        <v>2</v>
      </c>
      <c r="G1453" t="str">
        <f>IFERROR(__xludf.DUMMYFUNCTION("""COMPUTED_VALUE"""),"Sabun batang 1 Box ( 2 PCS )")</f>
        <v>Sabun batang 1 Box ( 2 PCS )</v>
      </c>
      <c r="H1453" s="469" t="str">
        <f>IFERROR(__xludf.DUMMYFUNCTION("""COMPUTED_VALUE"""),"Sampai")</f>
        <v>Sampai</v>
      </c>
      <c r="I1453" s="470" t="str">
        <f>IFERROR(__xludf.DUMMYFUNCTION("""COMPUTED_VALUE"""),"KIMME")</f>
        <v>KIMME</v>
      </c>
      <c r="J1453" s="471" t="str">
        <f>IFERROR(__xludf.DUMMYFUNCTION("""COMPUTED_VALUE"""),"https://vt.tiktok.com/ZS9H2BvDV/")</f>
        <v>https://vt.tiktok.com/ZS9H2BvDV/</v>
      </c>
      <c r="K1453" s="470" t="str">
        <f>IFERROR(__xludf.DUMMYFUNCTION("""COMPUTED_VALUE"""),"KIMME")</f>
        <v>KIMME</v>
      </c>
      <c r="L1453" s="471" t="str">
        <f>IFERROR(__xludf.DUMMYFUNCTION("""COMPUTED_VALUE"""),"https://vt.tiktok.com/ZS9H2LwwK/")</f>
        <v>https://vt.tiktok.com/ZS9H2LwwK/</v>
      </c>
      <c r="M1453" s="470"/>
      <c r="N1453" s="471" t="str">
        <f>IFERROR(__xludf.DUMMYFUNCTION("""COMPUTED_VALUE"""),"https://vt.tiktok.com/ZS9H2PPny/")</f>
        <v>https://vt.tiktok.com/ZS9H2PPny/</v>
      </c>
      <c r="O1453" s="470"/>
      <c r="P1453" s="471" t="str">
        <f>IFERROR(__xludf.DUMMYFUNCTION("""COMPUTED_VALUE"""),"https://vt.tiktok.com/ZS9H2eUCb/")</f>
        <v>https://vt.tiktok.com/ZS9H2eUCb/</v>
      </c>
    </row>
    <row r="1454">
      <c r="A1454" s="282" t="str">
        <f>IFERROR(__xludf.DUMMYFUNCTION("""COMPUTED_VALUE"""),"MICRO")</f>
        <v>MICRO</v>
      </c>
      <c r="B1454" s="468" t="str">
        <f>IFERROR(__xludf.DUMMYFUNCTION("""COMPUTED_VALUE"""),"isnaenirojiah11")</f>
        <v>isnaenirojiah11</v>
      </c>
      <c r="C1454" s="283" t="str">
        <f>IFERROR(__xludf.DUMMYFUNCTION("""COMPUTED_VALUE"""),"https://www.tiktok.com/@isnaenirojiah11")</f>
        <v>https://www.tiktok.com/@isnaenirojiah11</v>
      </c>
      <c r="D1454" s="273">
        <f>IFERROR(__xludf.DUMMYFUNCTION("""COMPUTED_VALUE"""),8.9634691166E10)</f>
        <v>89634691166</v>
      </c>
      <c r="E1454" s="458">
        <f>IFERROR(__xludf.DUMMYFUNCTION("""COMPUTED_VALUE"""),0.0)</f>
        <v>0</v>
      </c>
      <c r="F1454" s="273">
        <f>IFERROR(__xludf.DUMMYFUNCTION("""COMPUTED_VALUE"""),4.0)</f>
        <v>4</v>
      </c>
      <c r="G1454" t="str">
        <f>IFERROR(__xludf.DUMMYFUNCTION("""COMPUTED_VALUE"""),"Sabun batang 1 Box ( 2 PCS )")</f>
        <v>Sabun batang 1 Box ( 2 PCS )</v>
      </c>
      <c r="H1454" s="469" t="str">
        <f>IFERROR(__xludf.DUMMYFUNCTION("""COMPUTED_VALUE"""),"Sampai")</f>
        <v>Sampai</v>
      </c>
      <c r="I1454" s="470" t="str">
        <f>IFERROR(__xludf.DUMMYFUNCTION("""COMPUTED_VALUE"""),"KIMME")</f>
        <v>KIMME</v>
      </c>
      <c r="J1454" s="471" t="str">
        <f>IFERROR(__xludf.DUMMYFUNCTION("""COMPUTED_VALUE"""),"https://vt.tiktok.com/ZS9H2BvDV/")</f>
        <v>https://vt.tiktok.com/ZS9H2BvDV/</v>
      </c>
      <c r="K1454" s="470" t="str">
        <f>IFERROR(__xludf.DUMMYFUNCTION("""COMPUTED_VALUE"""),"KIMME")</f>
        <v>KIMME</v>
      </c>
      <c r="L1454" s="471" t="str">
        <f>IFERROR(__xludf.DUMMYFUNCTION("""COMPUTED_VALUE"""),"https://vt.tiktok.com/ZS9H2LwwK/")</f>
        <v>https://vt.tiktok.com/ZS9H2LwwK/</v>
      </c>
      <c r="M1454" s="470"/>
      <c r="N1454" s="471" t="str">
        <f>IFERROR(__xludf.DUMMYFUNCTION("""COMPUTED_VALUE"""),"https://vt.tiktok.com/ZS9H2PPny/")</f>
        <v>https://vt.tiktok.com/ZS9H2PPny/</v>
      </c>
      <c r="O1454" s="470"/>
      <c r="P1454" s="471" t="str">
        <f>IFERROR(__xludf.DUMMYFUNCTION("""COMPUTED_VALUE"""),"https://vt.tiktok.com/ZS9H2eUCb/")</f>
        <v>https://vt.tiktok.com/ZS9H2eUCb/</v>
      </c>
    </row>
    <row r="1455">
      <c r="A1455" s="282" t="str">
        <f>IFERROR(__xludf.DUMMYFUNCTION("""COMPUTED_VALUE"""),"MICRO")</f>
        <v>MICRO</v>
      </c>
      <c r="B1455" s="468" t="str">
        <f>IFERROR(__xludf.DUMMYFUNCTION("""COMPUTED_VALUE"""),"nisamoo_0")</f>
        <v>nisamoo_0</v>
      </c>
      <c r="C1455" s="283" t="str">
        <f>IFERROR(__xludf.DUMMYFUNCTION("""COMPUTED_VALUE"""),"https://www.tiktok.com/@nisamoo_0")</f>
        <v>https://www.tiktok.com/@nisamoo_0</v>
      </c>
      <c r="D1455" s="273">
        <f>IFERROR(__xludf.DUMMYFUNCTION("""COMPUTED_VALUE"""),8.2197229644E10)</f>
        <v>82197229644</v>
      </c>
      <c r="E1455" s="458">
        <f>IFERROR(__xludf.DUMMYFUNCTION("""COMPUTED_VALUE"""),0.0)</f>
        <v>0</v>
      </c>
      <c r="F1455" s="273">
        <f>IFERROR(__xludf.DUMMYFUNCTION("""COMPUTED_VALUE"""),4.0)</f>
        <v>4</v>
      </c>
      <c r="G1455" t="str">
        <f>IFERROR(__xludf.DUMMYFUNCTION("""COMPUTED_VALUE"""),"Sabun batang 1 Box ( 2 PCS )")</f>
        <v>Sabun batang 1 Box ( 2 PCS )</v>
      </c>
      <c r="H1455" s="469" t="str">
        <f>IFERROR(__xludf.DUMMYFUNCTION("""COMPUTED_VALUE"""),"Sampai")</f>
        <v>Sampai</v>
      </c>
      <c r="I1455" s="470" t="str">
        <f>IFERROR(__xludf.DUMMYFUNCTION("""COMPUTED_VALUE"""),"KIMME")</f>
        <v>KIMME</v>
      </c>
      <c r="J1455" s="471" t="str">
        <f>IFERROR(__xludf.DUMMYFUNCTION("""COMPUTED_VALUE"""),"https://vt.tiktok.com/ZS9H2BvDV/")</f>
        <v>https://vt.tiktok.com/ZS9H2BvDV/</v>
      </c>
      <c r="K1455" s="470" t="str">
        <f>IFERROR(__xludf.DUMMYFUNCTION("""COMPUTED_VALUE"""),"KIMME")</f>
        <v>KIMME</v>
      </c>
      <c r="L1455" s="471" t="str">
        <f>IFERROR(__xludf.DUMMYFUNCTION("""COMPUTED_VALUE"""),"https://vt.tiktok.com/ZS9H2LwwK/")</f>
        <v>https://vt.tiktok.com/ZS9H2LwwK/</v>
      </c>
      <c r="M1455" s="470"/>
      <c r="N1455" s="471" t="str">
        <f>IFERROR(__xludf.DUMMYFUNCTION("""COMPUTED_VALUE"""),"https://vt.tiktok.com/ZS9H2PPny/")</f>
        <v>https://vt.tiktok.com/ZS9H2PPny/</v>
      </c>
      <c r="O1455" s="470"/>
      <c r="P1455" s="471" t="str">
        <f>IFERROR(__xludf.DUMMYFUNCTION("""COMPUTED_VALUE"""),"https://vt.tiktok.com/ZS9H2eUCb/")</f>
        <v>https://vt.tiktok.com/ZS9H2eUCb/</v>
      </c>
    </row>
    <row r="1456">
      <c r="A1456" s="282" t="str">
        <f>IFERROR(__xludf.DUMMYFUNCTION("""COMPUTED_VALUE"""),"MICRO")</f>
        <v>MICRO</v>
      </c>
      <c r="B1456" s="468" t="str">
        <f>IFERROR(__xludf.DUMMYFUNCTION("""COMPUTED_VALUE"""),"vanilalatte222__")</f>
        <v>vanilalatte222__</v>
      </c>
      <c r="C1456" s="283" t="str">
        <f>IFERROR(__xludf.DUMMYFUNCTION("""COMPUTED_VALUE"""),"https://www.tiktok.com/@vanilalatte222__")</f>
        <v>https://www.tiktok.com/@vanilalatte222__</v>
      </c>
      <c r="D1456" s="273">
        <f>IFERROR(__xludf.DUMMYFUNCTION("""COMPUTED_VALUE"""),8.5711462199E10)</f>
        <v>85711462199</v>
      </c>
      <c r="E1456" s="458"/>
      <c r="F1456" s="273"/>
      <c r="G1456" t="str">
        <f>IFERROR(__xludf.DUMMYFUNCTION("""COMPUTED_VALUE"""),"Sabun batang 1 Box ( 2 PCS )")</f>
        <v>Sabun batang 1 Box ( 2 PCS )</v>
      </c>
      <c r="H1456" s="469" t="str">
        <f>IFERROR(__xludf.DUMMYFUNCTION("""COMPUTED_VALUE"""),"Sampai")</f>
        <v>Sampai</v>
      </c>
      <c r="I1456" s="470" t="str">
        <f>IFERROR(__xludf.DUMMYFUNCTION("""COMPUTED_VALUE"""),"KIMME")</f>
        <v>KIMME</v>
      </c>
      <c r="J1456" s="471" t="str">
        <f>IFERROR(__xludf.DUMMYFUNCTION("""COMPUTED_VALUE"""),"https://vt.tiktok.com/ZS9H2BvDV/")</f>
        <v>https://vt.tiktok.com/ZS9H2BvDV/</v>
      </c>
      <c r="K1456" s="470" t="str">
        <f>IFERROR(__xludf.DUMMYFUNCTION("""COMPUTED_VALUE"""),"KIMME")</f>
        <v>KIMME</v>
      </c>
      <c r="L1456" s="471" t="str">
        <f>IFERROR(__xludf.DUMMYFUNCTION("""COMPUTED_VALUE"""),"https://vt.tiktok.com/ZS9H2LwwK/")</f>
        <v>https://vt.tiktok.com/ZS9H2LwwK/</v>
      </c>
      <c r="M1456" s="470"/>
      <c r="N1456" s="471" t="str">
        <f>IFERROR(__xludf.DUMMYFUNCTION("""COMPUTED_VALUE"""),"https://vt.tiktok.com/ZS9H2PPny/")</f>
        <v>https://vt.tiktok.com/ZS9H2PPny/</v>
      </c>
      <c r="O1456" s="470"/>
      <c r="P1456" s="471" t="str">
        <f>IFERROR(__xludf.DUMMYFUNCTION("""COMPUTED_VALUE"""),"https://vt.tiktok.com/ZS9H2eUCb/")</f>
        <v>https://vt.tiktok.com/ZS9H2eUCb/</v>
      </c>
    </row>
    <row r="1457">
      <c r="A1457" s="282" t="str">
        <f>IFERROR(__xludf.DUMMYFUNCTION("""COMPUTED_VALUE"""),"MICRO")</f>
        <v>MICRO</v>
      </c>
      <c r="B1457" s="468" t="str">
        <f>IFERROR(__xludf.DUMMYFUNCTION("""COMPUTED_VALUE"""),"rekomendasihanaa")</f>
        <v>rekomendasihanaa</v>
      </c>
      <c r="C1457" s="283" t="str">
        <f>IFERROR(__xludf.DUMMYFUNCTION("""COMPUTED_VALUE"""),"https://www.tiktok.com/@rekomendasihanaa")</f>
        <v>https://www.tiktok.com/@rekomendasihanaa</v>
      </c>
      <c r="D1457" s="273">
        <f>IFERROR(__xludf.DUMMYFUNCTION("""COMPUTED_VALUE"""),8.2252642348E10)</f>
        <v>82252642348</v>
      </c>
      <c r="E1457" s="458">
        <f>IFERROR(__xludf.DUMMYFUNCTION("""COMPUTED_VALUE"""),0.0)</f>
        <v>0</v>
      </c>
      <c r="F1457" s="273">
        <f>IFERROR(__xludf.DUMMYFUNCTION("""COMPUTED_VALUE"""),4.0)</f>
        <v>4</v>
      </c>
      <c r="G1457" t="str">
        <f>IFERROR(__xludf.DUMMYFUNCTION("""COMPUTED_VALUE"""),"Sabun batang 1 Box ( 2 PCS )")</f>
        <v>Sabun batang 1 Box ( 2 PCS )</v>
      </c>
      <c r="H1457" s="469" t="str">
        <f>IFERROR(__xludf.DUMMYFUNCTION("""COMPUTED_VALUE"""),"Sampai")</f>
        <v>Sampai</v>
      </c>
      <c r="I1457" s="470" t="str">
        <f>IFERROR(__xludf.DUMMYFUNCTION("""COMPUTED_VALUE"""),"KIMME")</f>
        <v>KIMME</v>
      </c>
      <c r="J1457" s="471" t="str">
        <f>IFERROR(__xludf.DUMMYFUNCTION("""COMPUTED_VALUE"""),"https://vt.tiktok.com/ZS9H2BvDV/")</f>
        <v>https://vt.tiktok.com/ZS9H2BvDV/</v>
      </c>
      <c r="K1457" s="470" t="str">
        <f>IFERROR(__xludf.DUMMYFUNCTION("""COMPUTED_VALUE"""),"KIMME")</f>
        <v>KIMME</v>
      </c>
      <c r="L1457" s="471" t="str">
        <f>IFERROR(__xludf.DUMMYFUNCTION("""COMPUTED_VALUE"""),"https://vt.tiktok.com/ZS9H2LwwK/")</f>
        <v>https://vt.tiktok.com/ZS9H2LwwK/</v>
      </c>
      <c r="M1457" s="470"/>
      <c r="N1457" s="471" t="str">
        <f>IFERROR(__xludf.DUMMYFUNCTION("""COMPUTED_VALUE"""),"https://vt.tiktok.com/ZS9H2PPny/")</f>
        <v>https://vt.tiktok.com/ZS9H2PPny/</v>
      </c>
      <c r="O1457" s="470"/>
      <c r="P1457" s="471" t="str">
        <f>IFERROR(__xludf.DUMMYFUNCTION("""COMPUTED_VALUE"""),"https://vt.tiktok.com/ZS9H2eUCb/")</f>
        <v>https://vt.tiktok.com/ZS9H2eUCb/</v>
      </c>
    </row>
    <row r="1458">
      <c r="A1458" s="282" t="str">
        <f>IFERROR(__xludf.DUMMYFUNCTION("""COMPUTED_VALUE"""),"MICRO")</f>
        <v>MICRO</v>
      </c>
      <c r="B1458" s="468" t="str">
        <f>IFERROR(__xludf.DUMMYFUNCTION("""COMPUTED_VALUE"""),"rizmalda_")</f>
        <v>rizmalda_</v>
      </c>
      <c r="C1458" s="283" t="str">
        <f>IFERROR(__xludf.DUMMYFUNCTION("""COMPUTED_VALUE"""),"https://www.tiktok.com/@rizmalda_")</f>
        <v>https://www.tiktok.com/@rizmalda_</v>
      </c>
      <c r="D1458" s="273">
        <f>IFERROR(__xludf.DUMMYFUNCTION("""COMPUTED_VALUE"""),8.1281825399E10)</f>
        <v>81281825399</v>
      </c>
      <c r="E1458" s="458">
        <f>IFERROR(__xludf.DUMMYFUNCTION("""COMPUTED_VALUE"""),0.0)</f>
        <v>0</v>
      </c>
      <c r="F1458" s="273">
        <f>IFERROR(__xludf.DUMMYFUNCTION("""COMPUTED_VALUE"""),2.0)</f>
        <v>2</v>
      </c>
      <c r="G1458" t="str">
        <f>IFERROR(__xludf.DUMMYFUNCTION("""COMPUTED_VALUE"""),"Sabun batang 1 Box ( 2 PCS )")</f>
        <v>Sabun batang 1 Box ( 2 PCS )</v>
      </c>
      <c r="H1458" s="469" t="str">
        <f>IFERROR(__xludf.DUMMYFUNCTION("""COMPUTED_VALUE"""),"Sampai")</f>
        <v>Sampai</v>
      </c>
      <c r="I1458" s="470" t="str">
        <f>IFERROR(__xludf.DUMMYFUNCTION("""COMPUTED_VALUE"""),"KIMME")</f>
        <v>KIMME</v>
      </c>
      <c r="J1458" s="471" t="str">
        <f>IFERROR(__xludf.DUMMYFUNCTION("""COMPUTED_VALUE"""),"https://vt.tiktok.com/ZS9puvt35/")</f>
        <v>https://vt.tiktok.com/ZS9puvt35/</v>
      </c>
      <c r="K1458" s="470" t="str">
        <f>IFERROR(__xludf.DUMMYFUNCTION("""COMPUTED_VALUE"""),"KIMME")</f>
        <v>KIMME</v>
      </c>
      <c r="L1458" t="str">
        <f>IFERROR(__xludf.DUMMYFUNCTION("""COMPUTED_VALUE"""),"⁠https://vt.tiktok.com/ZSxpFEG6B/")</f>
        <v>⁠https://vt.tiktok.com/ZSxpFEG6B/</v>
      </c>
      <c r="M1458" s="470"/>
      <c r="N1458" t="str">
        <f>IFERROR(__xludf.DUMMYFUNCTION("""COMPUTED_VALUE"""),"⁠https://vt.tiktok.com/ZSxpY1wdL/")</f>
        <v>⁠https://vt.tiktok.com/ZSxpY1wdL/</v>
      </c>
      <c r="O1458" s="470"/>
      <c r="P1458" t="str">
        <f>IFERROR(__xludf.DUMMYFUNCTION("""COMPUTED_VALUE"""),"⁠https://vt.tiktok.com/ZSxpYk5fn/")</f>
        <v>⁠https://vt.tiktok.com/ZSxpYk5fn/</v>
      </c>
    </row>
    <row r="1459">
      <c r="A1459" s="282" t="str">
        <f>IFERROR(__xludf.DUMMYFUNCTION("""COMPUTED_VALUE"""),"MICRO")</f>
        <v>MICRO</v>
      </c>
      <c r="B1459" s="468" t="str">
        <f>IFERROR(__xludf.DUMMYFUNCTION("""COMPUTED_VALUE"""),"sinchantattooartcirebon")</f>
        <v>sinchantattooartcirebon</v>
      </c>
      <c r="C1459" s="283" t="str">
        <f>IFERROR(__xludf.DUMMYFUNCTION("""COMPUTED_VALUE"""),"https://www.tiktok.com/@sinchantattooartcirebon")</f>
        <v>https://www.tiktok.com/@sinchantattooartcirebon</v>
      </c>
      <c r="D1459" s="273">
        <f>IFERROR(__xludf.DUMMYFUNCTION("""COMPUTED_VALUE"""),8.3806391201E10)</f>
        <v>83806391201</v>
      </c>
      <c r="E1459" s="458">
        <f>IFERROR(__xludf.DUMMYFUNCTION("""COMPUTED_VALUE"""),0.0)</f>
        <v>0</v>
      </c>
      <c r="F1459" s="273">
        <f>IFERROR(__xludf.DUMMYFUNCTION("""COMPUTED_VALUE"""),4.0)</f>
        <v>4</v>
      </c>
      <c r="G1459" t="str">
        <f>IFERROR(__xludf.DUMMYFUNCTION("""COMPUTED_VALUE"""),"Sabun batang 1 Box ( 2 PCS )")</f>
        <v>Sabun batang 1 Box ( 2 PCS )</v>
      </c>
      <c r="H1459" s="469" t="str">
        <f>IFERROR(__xludf.DUMMYFUNCTION("""COMPUTED_VALUE"""),"Sampai")</f>
        <v>Sampai</v>
      </c>
      <c r="I1459" s="470" t="str">
        <f>IFERROR(__xludf.DUMMYFUNCTION("""COMPUTED_VALUE"""),"KIMME")</f>
        <v>KIMME</v>
      </c>
      <c r="J1459" t="str">
        <f>IFERROR(__xludf.DUMMYFUNCTION("""COMPUTED_VALUE"""),"⁠https://vt.tiktok.com/ZSxpY16MT/")</f>
        <v>⁠https://vt.tiktok.com/ZSxpY16MT/</v>
      </c>
      <c r="K1459" s="470" t="str">
        <f>IFERROR(__xludf.DUMMYFUNCTION("""COMPUTED_VALUE"""),"KIMME")</f>
        <v>KIMME</v>
      </c>
      <c r="L1459" t="str">
        <f>IFERROR(__xludf.DUMMYFUNCTION("""COMPUTED_VALUE"""),"⁠https://vt.tiktok.com/ZSxpFoddc/")</f>
        <v>⁠https://vt.tiktok.com/ZSxpFoddc/</v>
      </c>
      <c r="M1459" s="470"/>
      <c r="N1459" t="str">
        <f>IFERROR(__xludf.DUMMYFUNCTION("""COMPUTED_VALUE"""),"⁠https://vt.tiktok.com/ZSxpFoeqd/")</f>
        <v>⁠https://vt.tiktok.com/ZSxpFoeqd/</v>
      </c>
      <c r="O1459" s="470"/>
      <c r="P1459" s="471" t="str">
        <f>IFERROR(__xludf.DUMMYFUNCTION("""COMPUTED_VALUE"""),"https://vt.tiktok.com/ZSxpYMGUy/")</f>
        <v>https://vt.tiktok.com/ZSxpYMGUy/</v>
      </c>
    </row>
    <row r="1460">
      <c r="A1460" s="282" t="str">
        <f>IFERROR(__xludf.DUMMYFUNCTION("""COMPUTED_VALUE"""),"MICRO")</f>
        <v>MICRO</v>
      </c>
      <c r="B1460" s="468" t="str">
        <f>IFERROR(__xludf.DUMMYFUNCTION("""COMPUTED_VALUE"""),"syawalb24")</f>
        <v>syawalb24</v>
      </c>
      <c r="C1460" s="283" t="str">
        <f>IFERROR(__xludf.DUMMYFUNCTION("""COMPUTED_VALUE"""),"https://www.tiktok.com/@syawalb24")</f>
        <v>https://www.tiktok.com/@syawalb24</v>
      </c>
      <c r="D1460" s="273">
        <f>IFERROR(__xludf.DUMMYFUNCTION("""COMPUTED_VALUE"""),8.5756678269E10)</f>
        <v>85756678269</v>
      </c>
      <c r="E1460" s="458">
        <f>IFERROR(__xludf.DUMMYFUNCTION("""COMPUTED_VALUE"""),0.0)</f>
        <v>0</v>
      </c>
      <c r="F1460" s="273">
        <f>IFERROR(__xludf.DUMMYFUNCTION("""COMPUTED_VALUE"""),4.0)</f>
        <v>4</v>
      </c>
      <c r="G1460" t="str">
        <f>IFERROR(__xludf.DUMMYFUNCTION("""COMPUTED_VALUE"""),"Sabun batang 1 Box ( 2 PCS )")</f>
        <v>Sabun batang 1 Box ( 2 PCS )</v>
      </c>
      <c r="H1460" s="469" t="str">
        <f>IFERROR(__xludf.DUMMYFUNCTION("""COMPUTED_VALUE"""),"Sampai")</f>
        <v>Sampai</v>
      </c>
      <c r="I1460" s="470" t="str">
        <f>IFERROR(__xludf.DUMMYFUNCTION("""COMPUTED_VALUE"""),"KIMME")</f>
        <v>KIMME</v>
      </c>
      <c r="J1460" s="471" t="str">
        <f>IFERROR(__xludf.DUMMYFUNCTION("""COMPUTED_VALUE"""),"https://vt.tiktok.com/ZSxWfR2Wx/")</f>
        <v>https://vt.tiktok.com/ZSxWfR2Wx/</v>
      </c>
      <c r="K1460" s="470" t="str">
        <f>IFERROR(__xludf.DUMMYFUNCTION("""COMPUTED_VALUE"""),"KIMME")</f>
        <v>KIMME</v>
      </c>
      <c r="L1460" s="471" t="str">
        <f>IFERROR(__xludf.DUMMYFUNCTION("""COMPUTED_VALUE"""),"https://vt.tiktok.com/ZSxWywusY/")</f>
        <v>https://vt.tiktok.com/ZSxWywusY/</v>
      </c>
      <c r="M1460" s="470"/>
      <c r="N1460" s="471" t="str">
        <f>IFERROR(__xludf.DUMMYFUNCTION("""COMPUTED_VALUE"""),"https://vt.tiktok.com/ZSxWyK4b1/")</f>
        <v>https://vt.tiktok.com/ZSxWyK4b1/</v>
      </c>
      <c r="O1460" s="470"/>
      <c r="P1460" s="471" t="str">
        <f>IFERROR(__xludf.DUMMYFUNCTION("""COMPUTED_VALUE"""),"https://vt.tiktok.com/ZSxWfdT7j/")</f>
        <v>https://vt.tiktok.com/ZSxWfdT7j/</v>
      </c>
    </row>
    <row r="1461">
      <c r="A1461" s="282" t="str">
        <f>IFERROR(__xludf.DUMMYFUNCTION("""COMPUTED_VALUE"""),"MICRO")</f>
        <v>MICRO</v>
      </c>
      <c r="B1461" s="468" t="str">
        <f>IFERROR(__xludf.DUMMYFUNCTION("""COMPUTED_VALUE"""),"syifasifhot22")</f>
        <v>syifasifhot22</v>
      </c>
      <c r="C1461" s="283" t="str">
        <f>IFERROR(__xludf.DUMMYFUNCTION("""COMPUTED_VALUE"""),"https://www.tiktok.com/@syifasifhot22")</f>
        <v>https://www.tiktok.com/@syifasifhot22</v>
      </c>
      <c r="D1461" s="273">
        <f>IFERROR(__xludf.DUMMYFUNCTION("""COMPUTED_VALUE"""),8.128370963E10)</f>
        <v>81283709630</v>
      </c>
      <c r="E1461" s="458">
        <f>IFERROR(__xludf.DUMMYFUNCTION("""COMPUTED_VALUE"""),0.0)</f>
        <v>0</v>
      </c>
      <c r="F1461" s="273">
        <f>IFERROR(__xludf.DUMMYFUNCTION("""COMPUTED_VALUE"""),4.0)</f>
        <v>4</v>
      </c>
      <c r="G1461" t="str">
        <f>IFERROR(__xludf.DUMMYFUNCTION("""COMPUTED_VALUE"""),"Sabun batang 1 Box ( 2 PCS )")</f>
        <v>Sabun batang 1 Box ( 2 PCS )</v>
      </c>
      <c r="H1461" s="469" t="str">
        <f>IFERROR(__xludf.DUMMYFUNCTION("""COMPUTED_VALUE"""),"Sampai")</f>
        <v>Sampai</v>
      </c>
      <c r="I1461" s="470" t="str">
        <f>IFERROR(__xludf.DUMMYFUNCTION("""COMPUTED_VALUE"""),"KIMME")</f>
        <v>KIMME</v>
      </c>
      <c r="J1461" s="471" t="str">
        <f>IFERROR(__xludf.DUMMYFUNCTION("""COMPUTED_VALUE"""),"https://vt.tiktok.com/ZS9ug9T9Y/")</f>
        <v>https://vt.tiktok.com/ZS9ug9T9Y/</v>
      </c>
      <c r="K1461" s="470" t="str">
        <f>IFERROR(__xludf.DUMMYFUNCTION("""COMPUTED_VALUE"""),"KIMME")</f>
        <v>KIMME</v>
      </c>
      <c r="L1461" s="471" t="str">
        <f>IFERROR(__xludf.DUMMYFUNCTION("""COMPUTED_VALUE"""),"https://vt.tiktok.com/ZS9Q2QdNe/")</f>
        <v>https://vt.tiktok.com/ZS9Q2QdNe/</v>
      </c>
      <c r="M1461" s="470"/>
      <c r="N1461" s="471" t="str">
        <f>IFERROR(__xludf.DUMMYFUNCTION("""COMPUTED_VALUE"""),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"&amp;"eholder_origin_cover%22%3A%22https%253A%252F%252Fp16-common-sign.tiktokcdn.com%252Ftos-alisg-p-0037%252FoA3EgLGfrEDZQgRpxGIg04CAfEgAj9kcAUeYxQ~tplv-tiktokx-origin.jpeg%253Fdr%253D14572%2526refresh_token%253D1a0d7e8f%2526x-expires%253D1810116000%2526x-sign"&amp;"ature%253Dre0XHWIjN4tDmsN3jQk1D3ufvJY%25253D%2526t%253D4d5b0474%2526ps%253D13740610%2526shp%253Dd05b14bd%2526shcp%253D34ff8df6%2526idc%253Dmy2%2526s%253DTIKTOK_AFFILIATE_VIRAL_VIDEO%22%2C%22placeholder_product_id%22%3A%221729427766722726591%22%2C%22placeh"&amp;"older_video_id%22%3A%227638267870862052628%22%7D&amp;ec_shared_reflux_scene=shop_tab_feed&amp;share_item_id=7638267870862052628&amp;source=h5_t")</f>
        <v>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</v>
      </c>
      <c r="O1461" s="470"/>
      <c r="P1461" s="471" t="str">
        <f>IFERROR(__xludf.DUMMYFUNCTION("""COMPUTED_VALUE"""),"https://vt.tiktok.com/ZS9Tk6Pm9/")</f>
        <v>https://vt.tiktok.com/ZS9Tk6Pm9/</v>
      </c>
    </row>
    <row r="1462">
      <c r="A1462" s="282" t="str">
        <f>IFERROR(__xludf.DUMMYFUNCTION("""COMPUTED_VALUE"""),"MICRO")</f>
        <v>MICRO</v>
      </c>
      <c r="B1462" s="468" t="str">
        <f>IFERROR(__xludf.DUMMYFUNCTION("""COMPUTED_VALUE"""),"elyahany")</f>
        <v>elyahany</v>
      </c>
      <c r="C1462" s="283" t="str">
        <f>IFERROR(__xludf.DUMMYFUNCTION("""COMPUTED_VALUE"""),"https://www.tiktok.com/@elyahany")</f>
        <v>https://www.tiktok.com/@elyahany</v>
      </c>
      <c r="D1462" s="273">
        <f>IFERROR(__xludf.DUMMYFUNCTION("""COMPUTED_VALUE"""),8.1229255684E10)</f>
        <v>81229255684</v>
      </c>
      <c r="E1462" s="458">
        <f>IFERROR(__xludf.DUMMYFUNCTION("""COMPUTED_VALUE"""),0.0)</f>
        <v>0</v>
      </c>
      <c r="F1462" s="273">
        <f>IFERROR(__xludf.DUMMYFUNCTION("""COMPUTED_VALUE"""),4.0)</f>
        <v>4</v>
      </c>
      <c r="G1462" t="str">
        <f>IFERROR(__xludf.DUMMYFUNCTION("""COMPUTED_VALUE"""),"Sabun batang 1 Box ( 2 PCS )")</f>
        <v>Sabun batang 1 Box ( 2 PCS )</v>
      </c>
      <c r="H1462" s="469" t="str">
        <f>IFERROR(__xludf.DUMMYFUNCTION("""COMPUTED_VALUE"""),"Sampai")</f>
        <v>Sampai</v>
      </c>
      <c r="I1462" s="470" t="str">
        <f>IFERROR(__xludf.DUMMYFUNCTION("""COMPUTED_VALUE"""),"KIMME")</f>
        <v>KIMME</v>
      </c>
      <c r="J1462" s="471" t="str">
        <f>IFERROR(__xludf.DUMMYFUNCTION("""COMPUTED_VALUE"""),"https://vt.tiktok.com/ZS9ug9T9Y/")</f>
        <v>https://vt.tiktok.com/ZS9ug9T9Y/</v>
      </c>
      <c r="K1462" s="470" t="str">
        <f>IFERROR(__xludf.DUMMYFUNCTION("""COMPUTED_VALUE"""),"KIMME")</f>
        <v>KIMME</v>
      </c>
      <c r="L1462" s="471" t="str">
        <f>IFERROR(__xludf.DUMMYFUNCTION("""COMPUTED_VALUE"""),"https://vt.tiktok.com/ZS9Q2QdNe/")</f>
        <v>https://vt.tiktok.com/ZS9Q2QdNe/</v>
      </c>
      <c r="M1462" s="470"/>
      <c r="N1462" s="471" t="str">
        <f>IFERROR(__xludf.DUMMYFUNCTION("""COMPUTED_VALUE"""),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"&amp;"eholder_origin_cover%22%3A%22https%253A%252F%252Fp16-common-sign.tiktokcdn.com%252Ftos-alisg-p-0037%252FoA3EgLGfrEDZQgRpxGIg04CAfEgAj9kcAUeYxQ~tplv-tiktokx-origin.jpeg%253Fdr%253D14572%2526refresh_token%253D1a0d7e8f%2526x-expires%253D1810116000%2526x-sign"&amp;"ature%253Dre0XHWIjN4tDmsN3jQk1D3ufvJY%25253D%2526t%253D4d5b0474%2526ps%253D13740610%2526shp%253Dd05b14bd%2526shcp%253D34ff8df6%2526idc%253Dmy2%2526s%253DTIKTOK_AFFILIATE_VIRAL_VIDEO%22%2C%22placeholder_product_id%22%3A%221729427766722726591%22%2C%22placeh"&amp;"older_video_id%22%3A%227638267870862052628%22%7D&amp;ec_shared_reflux_scene=shop_tab_feed&amp;share_item_id=7638267870862052628&amp;source=h5_t")</f>
        <v>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</v>
      </c>
      <c r="O1462" s="470"/>
      <c r="P1462" s="471" t="str">
        <f>IFERROR(__xludf.DUMMYFUNCTION("""COMPUTED_VALUE"""),"https://vt.tiktok.com/ZS9Tk6Pm9/")</f>
        <v>https://vt.tiktok.com/ZS9Tk6Pm9/</v>
      </c>
    </row>
    <row r="1463">
      <c r="A1463" s="282" t="str">
        <f>IFERROR(__xludf.DUMMYFUNCTION("""COMPUTED_VALUE"""),"MICRO")</f>
        <v>MICRO</v>
      </c>
      <c r="B1463" s="468" t="str">
        <f>IFERROR(__xludf.DUMMYFUNCTION("""COMPUTED_VALUE"""),"feronicawulandari")</f>
        <v>feronicawulandari</v>
      </c>
      <c r="C1463" s="283" t="str">
        <f>IFERROR(__xludf.DUMMYFUNCTION("""COMPUTED_VALUE"""),"https://www.tiktok.com/@feronicawulandari")</f>
        <v>https://www.tiktok.com/@feronicawulandari</v>
      </c>
      <c r="D1463" s="273">
        <f>IFERROR(__xludf.DUMMYFUNCTION("""COMPUTED_VALUE"""),8.2243401932E10)</f>
        <v>82243401932</v>
      </c>
      <c r="E1463" s="458">
        <f>IFERROR(__xludf.DUMMYFUNCTION("""COMPUTED_VALUE"""),0.0)</f>
        <v>0</v>
      </c>
      <c r="F1463" s="273">
        <f>IFERROR(__xludf.DUMMYFUNCTION("""COMPUTED_VALUE"""),4.0)</f>
        <v>4</v>
      </c>
      <c r="G1463" t="str">
        <f>IFERROR(__xludf.DUMMYFUNCTION("""COMPUTED_VALUE"""),"Sabun batang 1 Box ( 2 PCS )")</f>
        <v>Sabun batang 1 Box ( 2 PCS )</v>
      </c>
      <c r="H1463" s="469" t="str">
        <f>IFERROR(__xludf.DUMMYFUNCTION("""COMPUTED_VALUE"""),"Sampai")</f>
        <v>Sampai</v>
      </c>
      <c r="I1463" s="470" t="str">
        <f>IFERROR(__xludf.DUMMYFUNCTION("""COMPUTED_VALUE"""),"KIMME")</f>
        <v>KIMME</v>
      </c>
      <c r="J1463" s="471" t="str">
        <f>IFERROR(__xludf.DUMMYFUNCTION("""COMPUTED_VALUE"""),"https://vt.tiktok.com/ZS9ug9T9Y/")</f>
        <v>https://vt.tiktok.com/ZS9ug9T9Y/</v>
      </c>
      <c r="K1463" s="470" t="str">
        <f>IFERROR(__xludf.DUMMYFUNCTION("""COMPUTED_VALUE"""),"KIMME")</f>
        <v>KIMME</v>
      </c>
      <c r="L1463" s="471" t="str">
        <f>IFERROR(__xludf.DUMMYFUNCTION("""COMPUTED_VALUE"""),"https://vt.tiktok.com/ZS9Q2QdNe/")</f>
        <v>https://vt.tiktok.com/ZS9Q2QdNe/</v>
      </c>
      <c r="M1463" s="470"/>
      <c r="N1463" s="471" t="str">
        <f>IFERROR(__xludf.DUMMYFUNCTION("""COMPUTED_VALUE"""),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"&amp;"eholder_origin_cover%22%3A%22https%253A%252F%252Fp16-common-sign.tiktokcdn.com%252Ftos-alisg-p-0037%252FoA3EgLGfrEDZQgRpxGIg04CAfEgAj9kcAUeYxQ~tplv-tiktokx-origin.jpeg%253Fdr%253D14572%2526refresh_token%253D1a0d7e8f%2526x-expires%253D1810116000%2526x-sign"&amp;"ature%253Dre0XHWIjN4tDmsN3jQk1D3ufvJY%25253D%2526t%253D4d5b0474%2526ps%253D13740610%2526shp%253Dd05b14bd%2526shcp%253D34ff8df6%2526idc%253Dmy2%2526s%253DTIKTOK_AFFILIATE_VIRAL_VIDEO%22%2C%22placeholder_product_id%22%3A%221729427766722726591%22%2C%22placeh"&amp;"older_video_id%22%3A%227638267870862052628%22%7D&amp;ec_shared_reflux_scene=shop_tab_feed&amp;share_item_id=7638267870862052628&amp;source=h5_t")</f>
        <v>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</v>
      </c>
      <c r="O1463" s="470"/>
      <c r="P1463" s="471" t="str">
        <f>IFERROR(__xludf.DUMMYFUNCTION("""COMPUTED_VALUE"""),"https://vt.tiktok.com/ZS9Tk6Pm9/")</f>
        <v>https://vt.tiktok.com/ZS9Tk6Pm9/</v>
      </c>
    </row>
    <row r="1464">
      <c r="A1464" s="282" t="str">
        <f>IFERROR(__xludf.DUMMYFUNCTION("""COMPUTED_VALUE"""),"MICRO")</f>
        <v>MICRO</v>
      </c>
      <c r="B1464" s="468" t="str">
        <f>IFERROR(__xludf.DUMMYFUNCTION("""COMPUTED_VALUE"""),"korinirmala ")</f>
        <v>korinirmala </v>
      </c>
      <c r="C1464" s="283" t="str">
        <f>IFERROR(__xludf.DUMMYFUNCTION("""COMPUTED_VALUE"""),"https://www.tiktok.com/@korinirmala ")</f>
        <v>https://www.tiktok.com/@korinirmala </v>
      </c>
      <c r="D1464" s="273">
        <f>IFERROR(__xludf.DUMMYFUNCTION("""COMPUTED_VALUE"""),8.1287936197E10)</f>
        <v>81287936197</v>
      </c>
      <c r="E1464" s="458">
        <f>IFERROR(__xludf.DUMMYFUNCTION("""COMPUTED_VALUE"""),0.0)</f>
        <v>0</v>
      </c>
      <c r="F1464" s="273">
        <f>IFERROR(__xludf.DUMMYFUNCTION("""COMPUTED_VALUE"""),4.0)</f>
        <v>4</v>
      </c>
      <c r="G1464" t="str">
        <f>IFERROR(__xludf.DUMMYFUNCTION("""COMPUTED_VALUE"""),"Sabun batang 1 Box ( 2 PCS )")</f>
        <v>Sabun batang 1 Box ( 2 PCS )</v>
      </c>
      <c r="H1464" s="469" t="str">
        <f>IFERROR(__xludf.DUMMYFUNCTION("""COMPUTED_VALUE"""),"Sampai")</f>
        <v>Sampai</v>
      </c>
      <c r="I1464" s="470" t="str">
        <f>IFERROR(__xludf.DUMMYFUNCTION("""COMPUTED_VALUE"""),"KIMME")</f>
        <v>KIMME</v>
      </c>
      <c r="J1464" s="471" t="str">
        <f>IFERROR(__xludf.DUMMYFUNCTION("""COMPUTED_VALUE"""),"https://vt.tiktok.com/ZS9ug9T9Y/")</f>
        <v>https://vt.tiktok.com/ZS9ug9T9Y/</v>
      </c>
      <c r="K1464" s="470" t="str">
        <f>IFERROR(__xludf.DUMMYFUNCTION("""COMPUTED_VALUE"""),"KIMME")</f>
        <v>KIMME</v>
      </c>
      <c r="L1464" s="471" t="str">
        <f>IFERROR(__xludf.DUMMYFUNCTION("""COMPUTED_VALUE"""),"https://vt.tiktok.com/ZS9Q2QdNe/")</f>
        <v>https://vt.tiktok.com/ZS9Q2QdNe/</v>
      </c>
      <c r="M1464" s="470"/>
      <c r="N1464" s="471" t="str">
        <f>IFERROR(__xludf.DUMMYFUNCTION("""COMPUTED_VALUE"""),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"&amp;"eholder_origin_cover%22%3A%22https%253A%252F%252Fp16-common-sign.tiktokcdn.com%252Ftos-alisg-p-0037%252FoA3EgLGfrEDZQgRpxGIg04CAfEgAj9kcAUeYxQ~tplv-tiktokx-origin.jpeg%253Fdr%253D14572%2526refresh_token%253D1a0d7e8f%2526x-expires%253D1810116000%2526x-sign"&amp;"ature%253Dre0XHWIjN4tDmsN3jQk1D3ufvJY%25253D%2526t%253D4d5b0474%2526ps%253D13740610%2526shp%253Dd05b14bd%2526shcp%253D34ff8df6%2526idc%253Dmy2%2526s%253DTIKTOK_AFFILIATE_VIRAL_VIDEO%22%2C%22placeholder_product_id%22%3A%221729427766722726591%22%2C%22placeh"&amp;"older_video_id%22%3A%227638267870862052628%22%7D&amp;ec_shared_reflux_scene=shop_tab_feed&amp;share_item_id=7638267870862052628&amp;source=h5_t")</f>
        <v>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</v>
      </c>
      <c r="O1464" s="470"/>
      <c r="P1464" s="471" t="str">
        <f>IFERROR(__xludf.DUMMYFUNCTION("""COMPUTED_VALUE"""),"https://vt.tiktok.com/ZS9Tk6Pm9/")</f>
        <v>https://vt.tiktok.com/ZS9Tk6Pm9/</v>
      </c>
    </row>
    <row r="1465">
      <c r="A1465" s="282" t="str">
        <f>IFERROR(__xludf.DUMMYFUNCTION("""COMPUTED_VALUE"""),"MICRO")</f>
        <v>MICRO</v>
      </c>
      <c r="B1465" s="468" t="str">
        <f>IFERROR(__xludf.DUMMYFUNCTION("""COMPUTED_VALUE"""),"nialestari1404")</f>
        <v>nialestari1404</v>
      </c>
      <c r="C1465" s="283" t="str">
        <f>IFERROR(__xludf.DUMMYFUNCTION("""COMPUTED_VALUE"""),"https://www.tiktok.com/@nialestari1404")</f>
        <v>https://www.tiktok.com/@nialestari1404</v>
      </c>
      <c r="D1465" s="273">
        <f>IFERROR(__xludf.DUMMYFUNCTION("""COMPUTED_VALUE"""),8.1252813264E10)</f>
        <v>81252813264</v>
      </c>
      <c r="E1465" s="458">
        <f>IFERROR(__xludf.DUMMYFUNCTION("""COMPUTED_VALUE"""),0.0)</f>
        <v>0</v>
      </c>
      <c r="F1465" s="273">
        <f>IFERROR(__xludf.DUMMYFUNCTION("""COMPUTED_VALUE"""),4.0)</f>
        <v>4</v>
      </c>
      <c r="G1465" t="str">
        <f>IFERROR(__xludf.DUMMYFUNCTION("""COMPUTED_VALUE"""),"Sabun batang 1 Box ( 2 PCS )")</f>
        <v>Sabun batang 1 Box ( 2 PCS )</v>
      </c>
      <c r="H1465" s="469" t="str">
        <f>IFERROR(__xludf.DUMMYFUNCTION("""COMPUTED_VALUE"""),"Sampai")</f>
        <v>Sampai</v>
      </c>
      <c r="I1465" s="470" t="str">
        <f>IFERROR(__xludf.DUMMYFUNCTION("""COMPUTED_VALUE"""),"KIMME")</f>
        <v>KIMME</v>
      </c>
      <c r="J1465" s="471" t="str">
        <f>IFERROR(__xludf.DUMMYFUNCTION("""COMPUTED_VALUE"""),"https://vt.tiktok.com/ZS9ug9T9Y/")</f>
        <v>https://vt.tiktok.com/ZS9ug9T9Y/</v>
      </c>
      <c r="K1465" s="470" t="str">
        <f>IFERROR(__xludf.DUMMYFUNCTION("""COMPUTED_VALUE"""),"KIMME")</f>
        <v>KIMME</v>
      </c>
      <c r="L1465" s="471" t="str">
        <f>IFERROR(__xludf.DUMMYFUNCTION("""COMPUTED_VALUE"""),"https://vt.tiktok.com/ZS9Q2QdNe/")</f>
        <v>https://vt.tiktok.com/ZS9Q2QdNe/</v>
      </c>
      <c r="M1465" s="470"/>
      <c r="N1465" s="471" t="str">
        <f>IFERROR(__xludf.DUMMYFUNCTION("""COMPUTED_VALUE"""),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"&amp;"eholder_origin_cover%22%3A%22https%253A%252F%252Fp16-common-sign.tiktokcdn.com%252Ftos-alisg-p-0037%252FoA3EgLGfrEDZQgRpxGIg04CAfEgAj9kcAUeYxQ~tplv-tiktokx-origin.jpeg%253Fdr%253D14572%2526refresh_token%253D1a0d7e8f%2526x-expires%253D1810116000%2526x-sign"&amp;"ature%253Dre0XHWIjN4tDmsN3jQk1D3ufvJY%25253D%2526t%253D4d5b0474%2526ps%253D13740610%2526shp%253Dd05b14bd%2526shcp%253D34ff8df6%2526idc%253Dmy2%2526s%253DTIKTOK_AFFILIATE_VIRAL_VIDEO%22%2C%22placeholder_product_id%22%3A%221729427766722726591%22%2C%22placeh"&amp;"older_video_id%22%3A%227638267870862052628%22%7D&amp;ec_shared_reflux_scene=shop_tab_feed&amp;share_item_id=7638267870862052628&amp;source=h5_t")</f>
        <v>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</v>
      </c>
      <c r="O1465" s="470"/>
      <c r="P1465" s="471" t="str">
        <f>IFERROR(__xludf.DUMMYFUNCTION("""COMPUTED_VALUE"""),"https://vt.tiktok.com/ZS9Tk6Pm9/")</f>
        <v>https://vt.tiktok.com/ZS9Tk6Pm9/</v>
      </c>
    </row>
    <row r="1466">
      <c r="A1466" s="282" t="str">
        <f>IFERROR(__xludf.DUMMYFUNCTION("""COMPUTED_VALUE"""),"MICRO")</f>
        <v>MICRO</v>
      </c>
      <c r="B1466" s="468" t="str">
        <f>IFERROR(__xludf.DUMMYFUNCTION("""COMPUTED_VALUE"""),"nshpoc")</f>
        <v>nshpoc</v>
      </c>
      <c r="C1466" s="283" t="str">
        <f>IFERROR(__xludf.DUMMYFUNCTION("""COMPUTED_VALUE"""),"https://www.tiktok.com/@nshpoc")</f>
        <v>https://www.tiktok.com/@nshpoc</v>
      </c>
      <c r="D1466" s="273">
        <f>IFERROR(__xludf.DUMMYFUNCTION("""COMPUTED_VALUE"""),8.5693836233E10)</f>
        <v>85693836233</v>
      </c>
      <c r="E1466" s="458">
        <f>IFERROR(__xludf.DUMMYFUNCTION("""COMPUTED_VALUE"""),0.0)</f>
        <v>0</v>
      </c>
      <c r="F1466" s="273">
        <f>IFERROR(__xludf.DUMMYFUNCTION("""COMPUTED_VALUE"""),4.0)</f>
        <v>4</v>
      </c>
      <c r="G1466" t="str">
        <f>IFERROR(__xludf.DUMMYFUNCTION("""COMPUTED_VALUE"""),"Sabun batang 1 Box ( 2 PCS )")</f>
        <v>Sabun batang 1 Box ( 2 PCS )</v>
      </c>
      <c r="H1466" s="469" t="str">
        <f>IFERROR(__xludf.DUMMYFUNCTION("""COMPUTED_VALUE"""),"Sampai")</f>
        <v>Sampai</v>
      </c>
      <c r="I1466" s="470" t="str">
        <f>IFERROR(__xludf.DUMMYFUNCTION("""COMPUTED_VALUE"""),"KIMME")</f>
        <v>KIMME</v>
      </c>
      <c r="J1466" s="471" t="str">
        <f>IFERROR(__xludf.DUMMYFUNCTION("""COMPUTED_VALUE"""),"https://vt.tiktok.com/ZS9ug9T9Y/")</f>
        <v>https://vt.tiktok.com/ZS9ug9T9Y/</v>
      </c>
      <c r="K1466" s="470" t="str">
        <f>IFERROR(__xludf.DUMMYFUNCTION("""COMPUTED_VALUE"""),"KIMME")</f>
        <v>KIMME</v>
      </c>
      <c r="L1466" s="471" t="str">
        <f>IFERROR(__xludf.DUMMYFUNCTION("""COMPUTED_VALUE"""),"https://vt.tiktok.com/ZS9Q2QdNe/")</f>
        <v>https://vt.tiktok.com/ZS9Q2QdNe/</v>
      </c>
      <c r="M1466" s="470"/>
      <c r="N1466" s="471" t="str">
        <f>IFERROR(__xludf.DUMMYFUNCTION("""COMPUTED_VALUE"""),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"&amp;"eholder_origin_cover%22%3A%22https%253A%252F%252Fp16-common-sign.tiktokcdn.com%252Ftos-alisg-p-0037%252FoA3EgLGfrEDZQgRpxGIg04CAfEgAj9kcAUeYxQ~tplv-tiktokx-origin.jpeg%253Fdr%253D14572%2526refresh_token%253D1a0d7e8f%2526x-expires%253D1810116000%2526x-sign"&amp;"ature%253Dre0XHWIjN4tDmsN3jQk1D3ufvJY%25253D%2526t%253D4d5b0474%2526ps%253D13740610%2526shp%253Dd05b14bd%2526shcp%253D34ff8df6%2526idc%253Dmy2%2526s%253DTIKTOK_AFFILIATE_VIRAL_VIDEO%22%2C%22placeholder_product_id%22%3A%221729427766722726591%22%2C%22placeh"&amp;"older_video_id%22%3A%227638267870862052628%22%7D&amp;ec_shared_reflux_scene=shop_tab_feed&amp;share_item_id=7638267870862052628&amp;source=h5_t")</f>
        <v>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</v>
      </c>
      <c r="O1466" s="470"/>
      <c r="P1466" s="471" t="str">
        <f>IFERROR(__xludf.DUMMYFUNCTION("""COMPUTED_VALUE"""),"https://vt.tiktok.com/ZS9Tk6Pm9/")</f>
        <v>https://vt.tiktok.com/ZS9Tk6Pm9/</v>
      </c>
    </row>
    <row r="1467">
      <c r="A1467" s="282" t="str">
        <f>IFERROR(__xludf.DUMMYFUNCTION("""COMPUTED_VALUE"""),"MICRO")</f>
        <v>MICRO</v>
      </c>
      <c r="B1467" s="468" t="str">
        <f>IFERROR(__xludf.DUMMYFUNCTION("""COMPUTED_VALUE"""),"achel_79")</f>
        <v>achel_79</v>
      </c>
      <c r="C1467" s="283" t="str">
        <f>IFERROR(__xludf.DUMMYFUNCTION("""COMPUTED_VALUE"""),"https://www.tiktok.com/@achel_79")</f>
        <v>https://www.tiktok.com/@achel_79</v>
      </c>
      <c r="D1467" s="273">
        <f>IFERROR(__xludf.DUMMYFUNCTION("""COMPUTED_VALUE"""),8.9518191989E10)</f>
        <v>89518191989</v>
      </c>
      <c r="E1467" s="458">
        <f>IFERROR(__xludf.DUMMYFUNCTION("""COMPUTED_VALUE"""),0.0)</f>
        <v>0</v>
      </c>
      <c r="F1467" s="273">
        <f>IFERROR(__xludf.DUMMYFUNCTION("""COMPUTED_VALUE"""),4.0)</f>
        <v>4</v>
      </c>
      <c r="G1467" t="str">
        <f>IFERROR(__xludf.DUMMYFUNCTION("""COMPUTED_VALUE"""),"Sabun batang 1 Box ( 2 PCS )")</f>
        <v>Sabun batang 1 Box ( 2 PCS )</v>
      </c>
      <c r="H1467" s="469" t="str">
        <f>IFERROR(__xludf.DUMMYFUNCTION("""COMPUTED_VALUE"""),"Sampai")</f>
        <v>Sampai</v>
      </c>
      <c r="I1467" s="470" t="str">
        <f>IFERROR(__xludf.DUMMYFUNCTION("""COMPUTED_VALUE"""),"KIMME")</f>
        <v>KIMME</v>
      </c>
      <c r="J1467" s="471" t="str">
        <f>IFERROR(__xludf.DUMMYFUNCTION("""COMPUTED_VALUE"""),"https://vt.tiktok.com/ZS9ug9T9Y/")</f>
        <v>https://vt.tiktok.com/ZS9ug9T9Y/</v>
      </c>
      <c r="K1467" s="470" t="str">
        <f>IFERROR(__xludf.DUMMYFUNCTION("""COMPUTED_VALUE"""),"KIMME")</f>
        <v>KIMME</v>
      </c>
      <c r="L1467" s="471" t="str">
        <f>IFERROR(__xludf.DUMMYFUNCTION("""COMPUTED_VALUE"""),"https://vt.tiktok.com/ZS9Q2QdNe/")</f>
        <v>https://vt.tiktok.com/ZS9Q2QdNe/</v>
      </c>
      <c r="M1467" s="470"/>
      <c r="N1467" s="471" t="str">
        <f>IFERROR(__xludf.DUMMYFUNCTION("""COMPUTED_VALUE"""),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"&amp;"eholder_origin_cover%22%3A%22https%253A%252F%252Fp16-common-sign.tiktokcdn.com%252Ftos-alisg-p-0037%252FoA3EgLGfrEDZQgRpxGIg04CAfEgAj9kcAUeYxQ~tplv-tiktokx-origin.jpeg%253Fdr%253D14572%2526refresh_token%253D1a0d7e8f%2526x-expires%253D1810116000%2526x-sign"&amp;"ature%253Dre0XHWIjN4tDmsN3jQk1D3ufvJY%25253D%2526t%253D4d5b0474%2526ps%253D13740610%2526shp%253Dd05b14bd%2526shcp%253D34ff8df6%2526idc%253Dmy2%2526s%253DTIKTOK_AFFILIATE_VIRAL_VIDEO%22%2C%22placeholder_product_id%22%3A%221729427766722726591%22%2C%22placeh"&amp;"older_video_id%22%3A%227638267870862052628%22%7D&amp;ec_shared_reflux_scene=shop_tab_feed&amp;share_item_id=7638267870862052628&amp;source=h5_t")</f>
        <v>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</v>
      </c>
      <c r="O1467" s="470"/>
      <c r="P1467" s="471" t="str">
        <f>IFERROR(__xludf.DUMMYFUNCTION("""COMPUTED_VALUE"""),"https://vt.tiktok.com/ZS9Tk6Pm9/")</f>
        <v>https://vt.tiktok.com/ZS9Tk6Pm9/</v>
      </c>
    </row>
    <row r="1468">
      <c r="A1468" s="282" t="str">
        <f>IFERROR(__xludf.DUMMYFUNCTION("""COMPUTED_VALUE"""),"MICRO")</f>
        <v>MICRO</v>
      </c>
      <c r="B1468" s="468" t="str">
        <f>IFERROR(__xludf.DUMMYFUNCTION("""COMPUTED_VALUE"""),"fikrirena_")</f>
        <v>fikrirena_</v>
      </c>
      <c r="C1468" s="283" t="str">
        <f>IFERROR(__xludf.DUMMYFUNCTION("""COMPUTED_VALUE"""),"https://www.tiktok.com/@fikrirena_")</f>
        <v>https://www.tiktok.com/@fikrirena_</v>
      </c>
      <c r="D1468" s="273">
        <f>IFERROR(__xludf.DUMMYFUNCTION("""COMPUTED_VALUE"""),8.5266984574E10)</f>
        <v>85266984574</v>
      </c>
      <c r="E1468" s="458">
        <f>IFERROR(__xludf.DUMMYFUNCTION("""COMPUTED_VALUE"""),0.0)</f>
        <v>0</v>
      </c>
      <c r="F1468" s="273">
        <f>IFERROR(__xludf.DUMMYFUNCTION("""COMPUTED_VALUE"""),4.0)</f>
        <v>4</v>
      </c>
      <c r="G1468" t="str">
        <f>IFERROR(__xludf.DUMMYFUNCTION("""COMPUTED_VALUE"""),"Sabun batang 1 Box ( 2 PCS )")</f>
        <v>Sabun batang 1 Box ( 2 PCS )</v>
      </c>
      <c r="H1468" s="469" t="str">
        <f>IFERROR(__xludf.DUMMYFUNCTION("""COMPUTED_VALUE"""),"Sampai")</f>
        <v>Sampai</v>
      </c>
      <c r="I1468" s="470" t="str">
        <f>IFERROR(__xludf.DUMMYFUNCTION("""COMPUTED_VALUE"""),"KIMME")</f>
        <v>KIMME</v>
      </c>
      <c r="J1468" s="471" t="str">
        <f>IFERROR(__xludf.DUMMYFUNCTION("""COMPUTED_VALUE"""),"https://vt.tiktok.com/ZS9ug9T9Y/")</f>
        <v>https://vt.tiktok.com/ZS9ug9T9Y/</v>
      </c>
      <c r="K1468" s="470" t="str">
        <f>IFERROR(__xludf.DUMMYFUNCTION("""COMPUTED_VALUE"""),"KIMME")</f>
        <v>KIMME</v>
      </c>
      <c r="L1468" s="471" t="str">
        <f>IFERROR(__xludf.DUMMYFUNCTION("""COMPUTED_VALUE"""),"https://vt.tiktok.com/ZS9Q2QdNe/")</f>
        <v>https://vt.tiktok.com/ZS9Q2QdNe/</v>
      </c>
      <c r="M1468" s="470"/>
      <c r="N1468" s="471" t="str">
        <f>IFERROR(__xludf.DUMMYFUNCTION("""COMPUTED_VALUE"""),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"&amp;"eholder_origin_cover%22%3A%22https%253A%252F%252Fp16-common-sign.tiktokcdn.com%252Ftos-alisg-p-0037%252FoA3EgLGfrEDZQgRpxGIg04CAfEgAj9kcAUeYxQ~tplv-tiktokx-origin.jpeg%253Fdr%253D14572%2526refresh_token%253D1a0d7e8f%2526x-expires%253D1810116000%2526x-sign"&amp;"ature%253Dre0XHWIjN4tDmsN3jQk1D3ufvJY%25253D%2526t%253D4d5b0474%2526ps%253D13740610%2526shp%253Dd05b14bd%2526shcp%253D34ff8df6%2526idc%253Dmy2%2526s%253DTIKTOK_AFFILIATE_VIRAL_VIDEO%22%2C%22placeholder_product_id%22%3A%221729427766722726591%22%2C%22placeh"&amp;"older_video_id%22%3A%227638267870862052628%22%7D&amp;ec_shared_reflux_scene=shop_tab_feed&amp;share_item_id=7638267870862052628&amp;source=h5_t")</f>
        <v>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</v>
      </c>
      <c r="O1468" s="470"/>
      <c r="P1468" s="471" t="str">
        <f>IFERROR(__xludf.DUMMYFUNCTION("""COMPUTED_VALUE"""),"https://vt.tiktok.com/ZS9Tk6Pm9/")</f>
        <v>https://vt.tiktok.com/ZS9Tk6Pm9/</v>
      </c>
    </row>
    <row r="1469">
      <c r="A1469" s="282" t="str">
        <f>IFERROR(__xludf.DUMMYFUNCTION("""COMPUTED_VALUE"""),"MICRO")</f>
        <v>MICRO</v>
      </c>
      <c r="B1469" s="468" t="str">
        <f>IFERROR(__xludf.DUMMYFUNCTION("""COMPUTED_VALUE"""),"gendhisbeauty24")</f>
        <v>gendhisbeauty24</v>
      </c>
      <c r="C1469" s="283" t="str">
        <f>IFERROR(__xludf.DUMMYFUNCTION("""COMPUTED_VALUE"""),"https://www.tiktok.com/@gendhisbeauty24")</f>
        <v>https://www.tiktok.com/@gendhisbeauty24</v>
      </c>
      <c r="D1469" s="273">
        <f>IFERROR(__xludf.DUMMYFUNCTION("""COMPUTED_VALUE"""),8.567819276E9)</f>
        <v>8567819276</v>
      </c>
      <c r="E1469" s="458">
        <f>IFERROR(__xludf.DUMMYFUNCTION("""COMPUTED_VALUE"""),0.0)</f>
        <v>0</v>
      </c>
      <c r="F1469" s="273">
        <f>IFERROR(__xludf.DUMMYFUNCTION("""COMPUTED_VALUE"""),4.0)</f>
        <v>4</v>
      </c>
      <c r="G1469" t="str">
        <f>IFERROR(__xludf.DUMMYFUNCTION("""COMPUTED_VALUE"""),"Sabun batang 1 Box ( 2 PCS )")</f>
        <v>Sabun batang 1 Box ( 2 PCS )</v>
      </c>
      <c r="H1469" s="469" t="str">
        <f>IFERROR(__xludf.DUMMYFUNCTION("""COMPUTED_VALUE"""),"Sampai")</f>
        <v>Sampai</v>
      </c>
      <c r="I1469" s="470" t="str">
        <f>IFERROR(__xludf.DUMMYFUNCTION("""COMPUTED_VALUE"""),"KIMME")</f>
        <v>KIMME</v>
      </c>
      <c r="J1469" s="471" t="str">
        <f>IFERROR(__xludf.DUMMYFUNCTION("""COMPUTED_VALUE"""),"https://vt.tiktok.com/ZS9ug9T9Y/")</f>
        <v>https://vt.tiktok.com/ZS9ug9T9Y/</v>
      </c>
      <c r="K1469" s="470" t="str">
        <f>IFERROR(__xludf.DUMMYFUNCTION("""COMPUTED_VALUE"""),"KIMME")</f>
        <v>KIMME</v>
      </c>
      <c r="L1469" s="471" t="str">
        <f>IFERROR(__xludf.DUMMYFUNCTION("""COMPUTED_VALUE"""),"https://vt.tiktok.com/ZS9Q2QdNe/")</f>
        <v>https://vt.tiktok.com/ZS9Q2QdNe/</v>
      </c>
      <c r="M1469" s="470"/>
      <c r="N1469" s="471" t="str">
        <f>IFERROR(__xludf.DUMMYFUNCTION("""COMPUTED_VALUE"""),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"&amp;"eholder_origin_cover%22%3A%22https%253A%252F%252Fp16-common-sign.tiktokcdn.com%252Ftos-alisg-p-0037%252FoA3EgLGfrEDZQgRpxGIg04CAfEgAj9kcAUeYxQ~tplv-tiktokx-origin.jpeg%253Fdr%253D14572%2526refresh_token%253D1a0d7e8f%2526x-expires%253D1810116000%2526x-sign"&amp;"ature%253Dre0XHWIjN4tDmsN3jQk1D3ufvJY%25253D%2526t%253D4d5b0474%2526ps%253D13740610%2526shp%253Dd05b14bd%2526shcp%253D34ff8df6%2526idc%253Dmy2%2526s%253DTIKTOK_AFFILIATE_VIRAL_VIDEO%22%2C%22placeholder_product_id%22%3A%221729427766722726591%22%2C%22placeh"&amp;"older_video_id%22%3A%227638267870862052628%22%7D&amp;ec_shared_reflux_scene=shop_tab_feed&amp;share_item_id=7638267870862052628&amp;source=h5_t")</f>
        <v>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</v>
      </c>
      <c r="O1469" s="470"/>
      <c r="P1469" s="471" t="str">
        <f>IFERROR(__xludf.DUMMYFUNCTION("""COMPUTED_VALUE"""),"https://vt.tiktok.com/ZS9Tk6Pm9/")</f>
        <v>https://vt.tiktok.com/ZS9Tk6Pm9/</v>
      </c>
    </row>
    <row r="1470">
      <c r="A1470" s="282" t="str">
        <f>IFERROR(__xludf.DUMMYFUNCTION("""COMPUTED_VALUE"""),"MICRO")</f>
        <v>MICRO</v>
      </c>
      <c r="B1470" s="468" t="str">
        <f>IFERROR(__xludf.DUMMYFUNCTION("""COMPUTED_VALUE"""),"bu_asihhh")</f>
        <v>bu_asihhh</v>
      </c>
      <c r="C1470" s="283" t="str">
        <f>IFERROR(__xludf.DUMMYFUNCTION("""COMPUTED_VALUE"""),"https://www.tiktok.com/@bu_asihhh")</f>
        <v>https://www.tiktok.com/@bu_asihhh</v>
      </c>
      <c r="D1470" s="273">
        <f>IFERROR(__xludf.DUMMYFUNCTION("""COMPUTED_VALUE"""),8.5647355653E10)</f>
        <v>85647355653</v>
      </c>
      <c r="E1470" s="458"/>
      <c r="F1470" s="273"/>
      <c r="G1470" t="str">
        <f>IFERROR(__xludf.DUMMYFUNCTION("""COMPUTED_VALUE"""),"Sabun batang 1 Box ( 2 PCS )")</f>
        <v>Sabun batang 1 Box ( 2 PCS )</v>
      </c>
      <c r="H1470" s="469" t="str">
        <f>IFERROR(__xludf.DUMMYFUNCTION("""COMPUTED_VALUE"""),"Sampai")</f>
        <v>Sampai</v>
      </c>
      <c r="I1470" s="470" t="str">
        <f>IFERROR(__xludf.DUMMYFUNCTION("""COMPUTED_VALUE"""),"KIMME")</f>
        <v>KIMME</v>
      </c>
      <c r="J1470" s="471" t="str">
        <f>IFERROR(__xludf.DUMMYFUNCTION("""COMPUTED_VALUE"""),"https://vt.tiktok.com/ZS9ug9T9Y/")</f>
        <v>https://vt.tiktok.com/ZS9ug9T9Y/</v>
      </c>
      <c r="K1470" s="470" t="str">
        <f>IFERROR(__xludf.DUMMYFUNCTION("""COMPUTED_VALUE"""),"KIMME")</f>
        <v>KIMME</v>
      </c>
      <c r="L1470" s="471" t="str">
        <f>IFERROR(__xludf.DUMMYFUNCTION("""COMPUTED_VALUE"""),"https://vt.tiktok.com/ZS9Q2QdNe/")</f>
        <v>https://vt.tiktok.com/ZS9Q2QdNe/</v>
      </c>
      <c r="M1470" s="470"/>
      <c r="N1470" s="471" t="str">
        <f>IFERROR(__xludf.DUMMYFUNCTION("""COMPUTED_VALUE"""),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"&amp;"eholder_origin_cover%22%3A%22https%253A%252F%252Fp16-common-sign.tiktokcdn.com%252Ftos-alisg-p-0037%252FoA3EgLGfrEDZQgRpxGIg04CAfEgAj9kcAUeYxQ~tplv-tiktokx-origin.jpeg%253Fdr%253D14572%2526refresh_token%253D1a0d7e8f%2526x-expires%253D1810116000%2526x-sign"&amp;"ature%253Dre0XHWIjN4tDmsN3jQk1D3ufvJY%25253D%2526t%253D4d5b0474%2526ps%253D13740610%2526shp%253Dd05b14bd%2526shcp%253D34ff8df6%2526idc%253Dmy2%2526s%253DTIKTOK_AFFILIATE_VIRAL_VIDEO%22%2C%22placeholder_product_id%22%3A%221729427766722726591%22%2C%22placeh"&amp;"older_video_id%22%3A%227638267870862052628%22%7D&amp;ec_shared_reflux_scene=shop_tab_feed&amp;share_item_id=7638267870862052628&amp;source=h5_t")</f>
        <v>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</v>
      </c>
      <c r="O1470" s="470"/>
      <c r="P1470" s="471" t="str">
        <f>IFERROR(__xludf.DUMMYFUNCTION("""COMPUTED_VALUE"""),"https://vt.tiktok.com/ZS9Tk6Pm9/")</f>
        <v>https://vt.tiktok.com/ZS9Tk6Pm9/</v>
      </c>
    </row>
    <row r="1471">
      <c r="A1471" s="282" t="str">
        <f>IFERROR(__xludf.DUMMYFUNCTION("""COMPUTED_VALUE"""),"MICRO")</f>
        <v>MICRO</v>
      </c>
      <c r="B1471" s="468" t="str">
        <f>IFERROR(__xludf.DUMMYFUNCTION("""COMPUTED_VALUE"""),"nengmoy0109")</f>
        <v>nengmoy0109</v>
      </c>
      <c r="C1471" s="283" t="str">
        <f>IFERROR(__xludf.DUMMYFUNCTION("""COMPUTED_VALUE"""),"https://www.tiktok.com/@nengmoy0109")</f>
        <v>https://www.tiktok.com/@nengmoy0109</v>
      </c>
      <c r="D1471" s="273">
        <f>IFERROR(__xludf.DUMMYFUNCTION("""COMPUTED_VALUE"""),8.3117956025E10)</f>
        <v>83117956025</v>
      </c>
      <c r="E1471" s="458">
        <f>IFERROR(__xludf.DUMMYFUNCTION("""COMPUTED_VALUE"""),0.0)</f>
        <v>0</v>
      </c>
      <c r="F1471" s="273">
        <f>IFERROR(__xludf.DUMMYFUNCTION("""COMPUTED_VALUE"""),4.0)</f>
        <v>4</v>
      </c>
      <c r="G1471" t="str">
        <f>IFERROR(__xludf.DUMMYFUNCTION("""COMPUTED_VALUE"""),"Sabun batang 1 Box ( 2 PCS )")</f>
        <v>Sabun batang 1 Box ( 2 PCS )</v>
      </c>
      <c r="H1471" s="469" t="str">
        <f>IFERROR(__xludf.DUMMYFUNCTION("""COMPUTED_VALUE"""),"Sampai")</f>
        <v>Sampai</v>
      </c>
      <c r="I1471" s="470" t="str">
        <f>IFERROR(__xludf.DUMMYFUNCTION("""COMPUTED_VALUE"""),"KIMME")</f>
        <v>KIMME</v>
      </c>
      <c r="J1471" s="471" t="str">
        <f>IFERROR(__xludf.DUMMYFUNCTION("""COMPUTED_VALUE"""),"https://vt.tiktok.com/ZS9ug9T9Y/")</f>
        <v>https://vt.tiktok.com/ZS9ug9T9Y/</v>
      </c>
      <c r="K1471" s="470" t="str">
        <f>IFERROR(__xludf.DUMMYFUNCTION("""COMPUTED_VALUE"""),"KIMME")</f>
        <v>KIMME</v>
      </c>
      <c r="L1471" s="471" t="str">
        <f>IFERROR(__xludf.DUMMYFUNCTION("""COMPUTED_VALUE"""),"https://vt.tiktok.com/ZS9Q2QdNe/")</f>
        <v>https://vt.tiktok.com/ZS9Q2QdNe/</v>
      </c>
      <c r="M1471" s="470"/>
      <c r="N1471" s="471" t="str">
        <f>IFERROR(__xludf.DUMMYFUNCTION("""COMPUTED_VALUE"""),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"&amp;"eholder_origin_cover%22%3A%22https%253A%252F%252Fp16-common-sign.tiktokcdn.com%252Ftos-alisg-p-0037%252FoA3EgLGfrEDZQgRpxGIg04CAfEgAj9kcAUeYxQ~tplv-tiktokx-origin.jpeg%253Fdr%253D14572%2526refresh_token%253D1a0d7e8f%2526x-expires%253D1810116000%2526x-sign"&amp;"ature%253Dre0XHWIjN4tDmsN3jQk1D3ufvJY%25253D%2526t%253D4d5b0474%2526ps%253D13740610%2526shp%253Dd05b14bd%2526shcp%253D34ff8df6%2526idc%253Dmy2%2526s%253DTIKTOK_AFFILIATE_VIRAL_VIDEO%22%2C%22placeholder_product_id%22%3A%221729427766722726591%22%2C%22placeh"&amp;"older_video_id%22%3A%227638267870862052628%22%7D&amp;ec_shared_reflux_scene=shop_tab_feed&amp;share_item_id=7638267870862052628&amp;source=h5_t")</f>
        <v>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</v>
      </c>
      <c r="O1471" s="470"/>
      <c r="P1471" s="471" t="str">
        <f>IFERROR(__xludf.DUMMYFUNCTION("""COMPUTED_VALUE"""),"https://vt.tiktok.com/ZS9Tk6Pm9/")</f>
        <v>https://vt.tiktok.com/ZS9Tk6Pm9/</v>
      </c>
    </row>
    <row r="1472">
      <c r="A1472" s="282" t="str">
        <f>IFERROR(__xludf.DUMMYFUNCTION("""COMPUTED_VALUE"""),"MICRO")</f>
        <v>MICRO</v>
      </c>
      <c r="B1472" s="468" t="str">
        <f>IFERROR(__xludf.DUMMYFUNCTION("""COMPUTED_VALUE"""),"hillah027")</f>
        <v>hillah027</v>
      </c>
      <c r="C1472" s="283" t="str">
        <f>IFERROR(__xludf.DUMMYFUNCTION("""COMPUTED_VALUE"""),"https://www.tiktok.com/@hillah027")</f>
        <v>https://www.tiktok.com/@hillah027</v>
      </c>
      <c r="D1472" s="273">
        <f>IFERROR(__xludf.DUMMYFUNCTION("""COMPUTED_VALUE"""),8.1563302749E10)</f>
        <v>81563302749</v>
      </c>
      <c r="E1472" s="458">
        <f>IFERROR(__xludf.DUMMYFUNCTION("""COMPUTED_VALUE"""),0.0)</f>
        <v>0</v>
      </c>
      <c r="F1472" s="273">
        <f>IFERROR(__xludf.DUMMYFUNCTION("""COMPUTED_VALUE"""),4.0)</f>
        <v>4</v>
      </c>
      <c r="G1472" t="str">
        <f>IFERROR(__xludf.DUMMYFUNCTION("""COMPUTED_VALUE"""),"Sabun batang 1 Box ( 2 PCS )")</f>
        <v>Sabun batang 1 Box ( 2 PCS )</v>
      </c>
      <c r="H1472" s="469" t="str">
        <f>IFERROR(__xludf.DUMMYFUNCTION("""COMPUTED_VALUE"""),"Sampai")</f>
        <v>Sampai</v>
      </c>
      <c r="I1472" s="470" t="str">
        <f>IFERROR(__xludf.DUMMYFUNCTION("""COMPUTED_VALUE"""),"KIMME")</f>
        <v>KIMME</v>
      </c>
      <c r="J1472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472" s="470" t="str">
        <f>IFERROR(__xludf.DUMMYFUNCTION("""COMPUTED_VALUE"""),"KIMME")</f>
        <v>KIMME</v>
      </c>
      <c r="L1472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472" s="470"/>
      <c r="N1472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472" s="470"/>
      <c r="P1472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473">
      <c r="A1473" s="282" t="str">
        <f>IFERROR(__xludf.DUMMYFUNCTION("""COMPUTED_VALUE"""),"MICRO")</f>
        <v>MICRO</v>
      </c>
      <c r="B1473" s="468" t="str">
        <f>IFERROR(__xludf.DUMMYFUNCTION("""COMPUTED_VALUE"""),"onlyoupretty")</f>
        <v>onlyoupretty</v>
      </c>
      <c r="C1473" s="283" t="str">
        <f>IFERROR(__xludf.DUMMYFUNCTION("""COMPUTED_VALUE"""),"https://www.tiktok.com/@onlyoupretty")</f>
        <v>https://www.tiktok.com/@onlyoupretty</v>
      </c>
      <c r="D1473" s="273">
        <f>IFERROR(__xludf.DUMMYFUNCTION("""COMPUTED_VALUE"""),8.215297886E10)</f>
        <v>82152978860</v>
      </c>
      <c r="E1473" s="458">
        <f>IFERROR(__xludf.DUMMYFUNCTION("""COMPUTED_VALUE"""),0.0)</f>
        <v>0</v>
      </c>
      <c r="F1473" s="273">
        <f>IFERROR(__xludf.DUMMYFUNCTION("""COMPUTED_VALUE"""),4.0)</f>
        <v>4</v>
      </c>
      <c r="G1473" t="str">
        <f>IFERROR(__xludf.DUMMYFUNCTION("""COMPUTED_VALUE"""),"Sabun batang 1 Box ( 2 PCS )")</f>
        <v>Sabun batang 1 Box ( 2 PCS )</v>
      </c>
      <c r="H1473" s="469" t="str">
        <f>IFERROR(__xludf.DUMMYFUNCTION("""COMPUTED_VALUE"""),"Sampai")</f>
        <v>Sampai</v>
      </c>
      <c r="I1473" s="470" t="str">
        <f>IFERROR(__xludf.DUMMYFUNCTION("""COMPUTED_VALUE"""),"KIMME")</f>
        <v>KIMME</v>
      </c>
      <c r="J1473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473" s="470" t="str">
        <f>IFERROR(__xludf.DUMMYFUNCTION("""COMPUTED_VALUE"""),"KIMME")</f>
        <v>KIMME</v>
      </c>
      <c r="L1473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473" s="470"/>
      <c r="N1473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473" s="470"/>
      <c r="P1473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474">
      <c r="A1474" s="282" t="str">
        <f>IFERROR(__xludf.DUMMYFUNCTION("""COMPUTED_VALUE"""),"MICRO")</f>
        <v>MICRO</v>
      </c>
      <c r="B1474" s="468" t="str">
        <f>IFERROR(__xludf.DUMMYFUNCTION("""COMPUTED_VALUE"""),"scorpioogirlsl")</f>
        <v>scorpioogirlsl</v>
      </c>
      <c r="C1474" s="283" t="str">
        <f>IFERROR(__xludf.DUMMYFUNCTION("""COMPUTED_VALUE"""),"https://www.tiktok.com/@scorpioogirlsl")</f>
        <v>https://www.tiktok.com/@scorpioogirlsl</v>
      </c>
      <c r="D1474" s="273">
        <f>IFERROR(__xludf.DUMMYFUNCTION("""COMPUTED_VALUE"""),8.82005079242E11)</f>
        <v>882005079242</v>
      </c>
      <c r="E1474" s="458">
        <f>IFERROR(__xludf.DUMMYFUNCTION("""COMPUTED_VALUE"""),0.0)</f>
        <v>0</v>
      </c>
      <c r="F1474" s="273">
        <f>IFERROR(__xludf.DUMMYFUNCTION("""COMPUTED_VALUE"""),2.0)</f>
        <v>2</v>
      </c>
      <c r="G1474" t="str">
        <f>IFERROR(__xludf.DUMMYFUNCTION("""COMPUTED_VALUE"""),"Sabun batang 1 Box ( 2 PCS )")</f>
        <v>Sabun batang 1 Box ( 2 PCS )</v>
      </c>
      <c r="H1474" s="469" t="str">
        <f>IFERROR(__xludf.DUMMYFUNCTION("""COMPUTED_VALUE"""),"Sampai")</f>
        <v>Sampai</v>
      </c>
      <c r="I1474" s="470" t="str">
        <f>IFERROR(__xludf.DUMMYFUNCTION("""COMPUTED_VALUE"""),"KIMME")</f>
        <v>KIMME</v>
      </c>
      <c r="J1474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474" s="470" t="str">
        <f>IFERROR(__xludf.DUMMYFUNCTION("""COMPUTED_VALUE"""),"KIMME")</f>
        <v>KIMME</v>
      </c>
      <c r="L1474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474" s="470"/>
      <c r="N1474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474" s="470"/>
      <c r="P1474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475">
      <c r="A1475" s="282" t="str">
        <f>IFERROR(__xludf.DUMMYFUNCTION("""COMPUTED_VALUE"""),"MICRO")</f>
        <v>MICRO</v>
      </c>
      <c r="B1475" s="468" t="str">
        <f>IFERROR(__xludf.DUMMYFUNCTION("""COMPUTED_VALUE"""),"racuninskincareviral")</f>
        <v>racuninskincareviral</v>
      </c>
      <c r="C1475" s="283" t="str">
        <f>IFERROR(__xludf.DUMMYFUNCTION("""COMPUTED_VALUE"""),"https://www.tiktok.com/@racuninskincareviral")</f>
        <v>https://www.tiktok.com/@racuninskincareviral</v>
      </c>
      <c r="D1475" s="273">
        <f>IFERROR(__xludf.DUMMYFUNCTION("""COMPUTED_VALUE"""),8.1353919127E10)</f>
        <v>81353919127</v>
      </c>
      <c r="E1475" s="458">
        <f>IFERROR(__xludf.DUMMYFUNCTION("""COMPUTED_VALUE"""),0.0)</f>
        <v>0</v>
      </c>
      <c r="F1475" s="273">
        <f>IFERROR(__xludf.DUMMYFUNCTION("""COMPUTED_VALUE"""),4.0)</f>
        <v>4</v>
      </c>
      <c r="G1475" t="str">
        <f>IFERROR(__xludf.DUMMYFUNCTION("""COMPUTED_VALUE"""),"Sabun batang 1 Box ( 2 PCS )")</f>
        <v>Sabun batang 1 Box ( 2 PCS )</v>
      </c>
      <c r="H1475" s="469" t="str">
        <f>IFERROR(__xludf.DUMMYFUNCTION("""COMPUTED_VALUE"""),"Sampai")</f>
        <v>Sampai</v>
      </c>
      <c r="I1475" s="470" t="str">
        <f>IFERROR(__xludf.DUMMYFUNCTION("""COMPUTED_VALUE"""),"KIMME")</f>
        <v>KIMME</v>
      </c>
      <c r="J1475" s="471" t="str">
        <f>IFERROR(__xludf.DUMMYFUNCTION("""COMPUTED_VALUE"""),"https://vt.tiktok.com/ZS9ug9T9Y/")</f>
        <v>https://vt.tiktok.com/ZS9ug9T9Y/</v>
      </c>
      <c r="K1475" s="470" t="str">
        <f>IFERROR(__xludf.DUMMYFUNCTION("""COMPUTED_VALUE"""),"KIMME")</f>
        <v>KIMME</v>
      </c>
      <c r="L1475" s="471" t="str">
        <f>IFERROR(__xludf.DUMMYFUNCTION("""COMPUTED_VALUE"""),"https://vt.tiktok.com/ZS9Q2QdNe/")</f>
        <v>https://vt.tiktok.com/ZS9Q2QdNe/</v>
      </c>
      <c r="M1475" s="470"/>
      <c r="N1475" s="471" t="str">
        <f>IFERROR(__xludf.DUMMYFUNCTION("""COMPUTED_VALUE"""),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"&amp;"eholder_origin_cover%22%3A%22https%253A%252F%252Fp16-common-sign.tiktokcdn.com%252Ftos-alisg-p-0037%252FoA3EgLGfrEDZQgRpxGIg04CAfEgAj9kcAUeYxQ~tplv-tiktokx-origin.jpeg%253Fdr%253D14572%2526refresh_token%253D1a0d7e8f%2526x-expires%253D1810116000%2526x-sign"&amp;"ature%253Dre0XHWIjN4tDmsN3jQk1D3ufvJY%25253D%2526t%253D4d5b0474%2526ps%253D13740610%2526shp%253Dd05b14bd%2526shcp%253D34ff8df6%2526idc%253Dmy2%2526s%253DTIKTOK_AFFILIATE_VIRAL_VIDEO%22%2C%22placeholder_product_id%22%3A%221729427766722726591%22%2C%22placeh"&amp;"older_video_id%22%3A%227638267870862052628%22%7D&amp;ec_shared_reflux_scene=shop_tab_feed&amp;share_item_id=7638267870862052628&amp;source=h5_t")</f>
        <v>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</v>
      </c>
      <c r="O1475" s="470"/>
      <c r="P1475" s="471" t="str">
        <f>IFERROR(__xludf.DUMMYFUNCTION("""COMPUTED_VALUE"""),"https://vt.tiktok.com/ZS9Tk6Pm9/")</f>
        <v>https://vt.tiktok.com/ZS9Tk6Pm9/</v>
      </c>
    </row>
    <row r="1476">
      <c r="A1476" s="282" t="str">
        <f>IFERROR(__xludf.DUMMYFUNCTION("""COMPUTED_VALUE"""),"MICRO")</f>
        <v>MICRO</v>
      </c>
      <c r="B1476" s="468" t="str">
        <f>IFERROR(__xludf.DUMMYFUNCTION("""COMPUTED_VALUE"""),"Racunskincare ")</f>
        <v>Racunskincare </v>
      </c>
      <c r="C1476" s="283" t="str">
        <f>IFERROR(__xludf.DUMMYFUNCTION("""COMPUTED_VALUE"""),"https://www.tiktok.com/@Racunskincare ")</f>
        <v>https://www.tiktok.com/@Racunskincare </v>
      </c>
      <c r="D1476" s="273">
        <f>IFERROR(__xludf.DUMMYFUNCTION("""COMPUTED_VALUE"""),8.3896754472E10)</f>
        <v>83896754472</v>
      </c>
      <c r="E1476" s="458">
        <f>IFERROR(__xludf.DUMMYFUNCTION("""COMPUTED_VALUE"""),0.0)</f>
        <v>0</v>
      </c>
      <c r="F1476" s="273">
        <f>IFERROR(__xludf.DUMMYFUNCTION("""COMPUTED_VALUE"""),4.0)</f>
        <v>4</v>
      </c>
      <c r="G1476" t="str">
        <f>IFERROR(__xludf.DUMMYFUNCTION("""COMPUTED_VALUE"""),"Sabun batang 1 Box ( 2 PCS )")</f>
        <v>Sabun batang 1 Box ( 2 PCS )</v>
      </c>
      <c r="H1476" s="469" t="str">
        <f>IFERROR(__xludf.DUMMYFUNCTION("""COMPUTED_VALUE"""),"Sampai")</f>
        <v>Sampai</v>
      </c>
      <c r="I1476" s="470" t="str">
        <f>IFERROR(__xludf.DUMMYFUNCTION("""COMPUTED_VALUE"""),"KIMME")</f>
        <v>KIMME</v>
      </c>
      <c r="J1476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476" s="470" t="str">
        <f>IFERROR(__xludf.DUMMYFUNCTION("""COMPUTED_VALUE"""),"KIMME")</f>
        <v>KIMME</v>
      </c>
      <c r="L1476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476" s="470"/>
      <c r="N1476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476" s="470"/>
      <c r="P1476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477">
      <c r="A1477" s="282" t="str">
        <f>IFERROR(__xludf.DUMMYFUNCTION("""COMPUTED_VALUE"""),"MICRO")</f>
        <v>MICRO</v>
      </c>
      <c r="B1477" s="468" t="str">
        <f>IFERROR(__xludf.DUMMYFUNCTION("""COMPUTED_VALUE"""),"dindaangraeniputri")</f>
        <v>dindaangraeniputri</v>
      </c>
      <c r="C1477" s="283" t="str">
        <f>IFERROR(__xludf.DUMMYFUNCTION("""COMPUTED_VALUE"""),"https://www.tiktok.com/@dindaangraeniputri")</f>
        <v>https://www.tiktok.com/@dindaangraeniputri</v>
      </c>
      <c r="D1477" s="273">
        <f>IFERROR(__xludf.DUMMYFUNCTION("""COMPUTED_VALUE"""),8.95346314173E11)</f>
        <v>895346314173</v>
      </c>
      <c r="E1477" s="458">
        <f>IFERROR(__xludf.DUMMYFUNCTION("""COMPUTED_VALUE"""),0.0)</f>
        <v>0</v>
      </c>
      <c r="F1477" s="273">
        <f>IFERROR(__xludf.DUMMYFUNCTION("""COMPUTED_VALUE"""),4.0)</f>
        <v>4</v>
      </c>
      <c r="G1477" t="str">
        <f>IFERROR(__xludf.DUMMYFUNCTION("""COMPUTED_VALUE"""),"Sabun batang 1 Box ( 2 PCS )")</f>
        <v>Sabun batang 1 Box ( 2 PCS )</v>
      </c>
      <c r="H1477" s="469" t="str">
        <f>IFERROR(__xludf.DUMMYFUNCTION("""COMPUTED_VALUE"""),"Sampai")</f>
        <v>Sampai</v>
      </c>
      <c r="I1477" s="470" t="str">
        <f>IFERROR(__xludf.DUMMYFUNCTION("""COMPUTED_VALUE"""),"KIMME")</f>
        <v>KIMME</v>
      </c>
      <c r="J1477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477" s="470" t="str">
        <f>IFERROR(__xludf.DUMMYFUNCTION("""COMPUTED_VALUE"""),"KIMME")</f>
        <v>KIMME</v>
      </c>
      <c r="L1477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477" s="470"/>
      <c r="N1477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477" s="470"/>
      <c r="P1477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478">
      <c r="A1478" s="282" t="str">
        <f>IFERROR(__xludf.DUMMYFUNCTION("""COMPUTED_VALUE"""),"MICRO")</f>
        <v>MICRO</v>
      </c>
      <c r="B1478" s="468" t="str">
        <f>IFERROR(__xludf.DUMMYFUNCTION("""COMPUTED_VALUE"""),"mbk_ye")</f>
        <v>mbk_ye</v>
      </c>
      <c r="C1478" s="283" t="str">
        <f>IFERROR(__xludf.DUMMYFUNCTION("""COMPUTED_VALUE"""),"https://www.tiktok.com/@mbk_ye")</f>
        <v>https://www.tiktok.com/@mbk_ye</v>
      </c>
      <c r="D1478" s="273">
        <f>IFERROR(__xludf.DUMMYFUNCTION("""COMPUTED_VALUE"""),8.2230409131E10)</f>
        <v>82230409131</v>
      </c>
      <c r="E1478" s="458">
        <f>IFERROR(__xludf.DUMMYFUNCTION("""COMPUTED_VALUE"""),0.0)</f>
        <v>0</v>
      </c>
      <c r="F1478" s="273">
        <f>IFERROR(__xludf.DUMMYFUNCTION("""COMPUTED_VALUE"""),4.0)</f>
        <v>4</v>
      </c>
      <c r="G1478" t="str">
        <f>IFERROR(__xludf.DUMMYFUNCTION("""COMPUTED_VALUE"""),"Sabun batang 1 Box ( 2 PCS )")</f>
        <v>Sabun batang 1 Box ( 2 PCS )</v>
      </c>
      <c r="H1478" s="469" t="str">
        <f>IFERROR(__xludf.DUMMYFUNCTION("""COMPUTED_VALUE"""),"Sampai")</f>
        <v>Sampai</v>
      </c>
      <c r="I1478" s="470" t="str">
        <f>IFERROR(__xludf.DUMMYFUNCTION("""COMPUTED_VALUE"""),"KIMME")</f>
        <v>KIMME</v>
      </c>
      <c r="J1478" s="471" t="str">
        <f>IFERROR(__xludf.DUMMYFUNCTION("""COMPUTED_VALUE"""),"https://vt.tiktok.com/ZS9ug9T9Y/")</f>
        <v>https://vt.tiktok.com/ZS9ug9T9Y/</v>
      </c>
      <c r="K1478" s="470" t="str">
        <f>IFERROR(__xludf.DUMMYFUNCTION("""COMPUTED_VALUE"""),"KIMME")</f>
        <v>KIMME</v>
      </c>
      <c r="L1478" s="471" t="str">
        <f>IFERROR(__xludf.DUMMYFUNCTION("""COMPUTED_VALUE"""),"https://vt.tiktok.com/ZS9Q2QdNe/")</f>
        <v>https://vt.tiktok.com/ZS9Q2QdNe/</v>
      </c>
      <c r="M1478" s="470"/>
      <c r="N1478" s="471" t="str">
        <f>IFERROR(__xludf.DUMMYFUNCTION("""COMPUTED_VALUE"""),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"&amp;"eholder_origin_cover%22%3A%22https%253A%252F%252Fp16-common-sign.tiktokcdn.com%252Ftos-alisg-p-0037%252FoA3EgLGfrEDZQgRpxGIg04CAfEgAj9kcAUeYxQ~tplv-tiktokx-origin.jpeg%253Fdr%253D14572%2526refresh_token%253D1a0d7e8f%2526x-expires%253D1810116000%2526x-sign"&amp;"ature%253Dre0XHWIjN4tDmsN3jQk1D3ufvJY%25253D%2526t%253D4d5b0474%2526ps%253D13740610%2526shp%253Dd05b14bd%2526shcp%253D34ff8df6%2526idc%253Dmy2%2526s%253DTIKTOK_AFFILIATE_VIRAL_VIDEO%22%2C%22placeholder_product_id%22%3A%221729427766722726591%22%2C%22placeh"&amp;"older_video_id%22%3A%227638267870862052628%22%7D&amp;ec_shared_reflux_scene=shop_tab_feed&amp;share_item_id=7638267870862052628&amp;source=h5_t")</f>
        <v>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</v>
      </c>
      <c r="O1478" s="470"/>
      <c r="P1478" s="471" t="str">
        <f>IFERROR(__xludf.DUMMYFUNCTION("""COMPUTED_VALUE"""),"https://vt.tiktok.com/ZS9Tk6Pm9/")</f>
        <v>https://vt.tiktok.com/ZS9Tk6Pm9/</v>
      </c>
    </row>
    <row r="1479">
      <c r="A1479" s="282" t="str">
        <f>IFERROR(__xludf.DUMMYFUNCTION("""COMPUTED_VALUE"""),"MICRO")</f>
        <v>MICRO</v>
      </c>
      <c r="B1479" s="468" t="str">
        <f>IFERROR(__xludf.DUMMYFUNCTION("""COMPUTED_VALUE"""),"hellonovyy")</f>
        <v>hellonovyy</v>
      </c>
      <c r="C1479" s="283" t="str">
        <f>IFERROR(__xludf.DUMMYFUNCTION("""COMPUTED_VALUE"""),"https://www.tiktok.com/@hellonovyy")</f>
        <v>https://www.tiktok.com/@hellonovyy</v>
      </c>
      <c r="D1479" s="273">
        <f>IFERROR(__xludf.DUMMYFUNCTION("""COMPUTED_VALUE"""),8.5643171944E10)</f>
        <v>85643171944</v>
      </c>
      <c r="E1479" s="458">
        <f>IFERROR(__xludf.DUMMYFUNCTION("""COMPUTED_VALUE"""),0.0)</f>
        <v>0</v>
      </c>
      <c r="F1479" s="273">
        <f>IFERROR(__xludf.DUMMYFUNCTION("""COMPUTED_VALUE"""),4.0)</f>
        <v>4</v>
      </c>
      <c r="G1479" t="str">
        <f>IFERROR(__xludf.DUMMYFUNCTION("""COMPUTED_VALUE"""),"Sabun batang 1 Box ( 2 PCS )")</f>
        <v>Sabun batang 1 Box ( 2 PCS )</v>
      </c>
      <c r="H1479" s="469" t="str">
        <f>IFERROR(__xludf.DUMMYFUNCTION("""COMPUTED_VALUE"""),"Sampai")</f>
        <v>Sampai</v>
      </c>
      <c r="I1479" s="470" t="str">
        <f>IFERROR(__xludf.DUMMYFUNCTION("""COMPUTED_VALUE"""),"KIMME")</f>
        <v>KIMME</v>
      </c>
      <c r="J1479" s="471" t="str">
        <f>IFERROR(__xludf.DUMMYFUNCTION("""COMPUTED_VALUE"""),"https://vt.tiktok.com/ZSxH1mytA/")</f>
        <v>https://vt.tiktok.com/ZSxH1mytA/</v>
      </c>
      <c r="K1479" s="470" t="str">
        <f>IFERROR(__xludf.DUMMYFUNCTION("""COMPUTED_VALUE"""),"KIMME")</f>
        <v>KIMME</v>
      </c>
      <c r="L1479" s="471" t="str">
        <f>IFERROR(__xludf.DUMMYFUNCTION("""COMPUTED_VALUE"""),"https://vt.tiktok.com/ZSxH1xGfU/")</f>
        <v>https://vt.tiktok.com/ZSxH1xGfU/</v>
      </c>
      <c r="M1479" s="470"/>
      <c r="N1479" s="471" t="str">
        <f>IFERROR(__xludf.DUMMYFUNCTION("""COMPUTED_VALUE"""),"https://vt.tiktok.com/ZSxQhkemB/")</f>
        <v>https://vt.tiktok.com/ZSxQhkemB/</v>
      </c>
      <c r="O1479" s="470"/>
      <c r="P1479" s="471" t="str">
        <f>IFERROR(__xludf.DUMMYFUNCTION("""COMPUTED_VALUE"""),"https://vt.tiktok.com/ZSxQhfTPM/")</f>
        <v>https://vt.tiktok.com/ZSxQhfTPM/</v>
      </c>
    </row>
    <row r="1480">
      <c r="A1480" s="282" t="str">
        <f>IFERROR(__xludf.DUMMYFUNCTION("""COMPUTED_VALUE"""),"MICRO")</f>
        <v>MICRO</v>
      </c>
      <c r="B1480" s="468" t="str">
        <f>IFERROR(__xludf.DUMMYFUNCTION("""COMPUTED_VALUE"""),"mochiberrybee ")</f>
        <v>mochiberrybee </v>
      </c>
      <c r="C1480" s="283" t="str">
        <f>IFERROR(__xludf.DUMMYFUNCTION("""COMPUTED_VALUE"""),"https://www.tiktok.com/@mochiberrybee ")</f>
        <v>https://www.tiktok.com/@mochiberrybee </v>
      </c>
      <c r="D1480" s="273">
        <f>IFERROR(__xludf.DUMMYFUNCTION("""COMPUTED_VALUE"""),8.5117332836E10)</f>
        <v>85117332836</v>
      </c>
      <c r="E1480" s="458">
        <f>IFERROR(__xludf.DUMMYFUNCTION("""COMPUTED_VALUE"""),50000.0)</f>
        <v>50000</v>
      </c>
      <c r="F1480" s="273">
        <f>IFERROR(__xludf.DUMMYFUNCTION("""COMPUTED_VALUE"""),1.0)</f>
        <v>1</v>
      </c>
      <c r="G1480" t="str">
        <f>IFERROR(__xludf.DUMMYFUNCTION("""COMPUTED_VALUE"""),"Sabun batang 1 Box ( 2 PCS )")</f>
        <v>Sabun batang 1 Box ( 2 PCS )</v>
      </c>
      <c r="H1480" s="469" t="str">
        <f>IFERROR(__xludf.DUMMYFUNCTION("""COMPUTED_VALUE"""),"Sampai")</f>
        <v>Sampai</v>
      </c>
      <c r="I1480" s="470" t="str">
        <f>IFERROR(__xludf.DUMMYFUNCTION("""COMPUTED_VALUE"""),"KIMME")</f>
        <v>KIMME</v>
      </c>
      <c r="J1480" s="471" t="str">
        <f>IFERROR(__xludf.DUMMYFUNCTION("""COMPUTED_VALUE"""),"https://vt.tiktok.com/ZS9ug9T9Y/")</f>
        <v>https://vt.tiktok.com/ZS9ug9T9Y/</v>
      </c>
      <c r="K1480" s="470" t="str">
        <f>IFERROR(__xludf.DUMMYFUNCTION("""COMPUTED_VALUE"""),"KIMME")</f>
        <v>KIMME</v>
      </c>
      <c r="L1480" s="471" t="str">
        <f>IFERROR(__xludf.DUMMYFUNCTION("""COMPUTED_VALUE"""),"https://vt.tiktok.com/ZS9Q2QdNe/")</f>
        <v>https://vt.tiktok.com/ZS9Q2QdNe/</v>
      </c>
      <c r="M1480" s="470"/>
      <c r="N1480" s="471" t="str">
        <f>IFERROR(__xludf.DUMMYFUNCTION("""COMPUTED_VALUE"""),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"&amp;"eholder_origin_cover%22%3A%22https%253A%252F%252Fp16-common-sign.tiktokcdn.com%252Ftos-alisg-p-0037%252FoA3EgLGfrEDZQgRpxGIg04CAfEgAj9kcAUeYxQ~tplv-tiktokx-origin.jpeg%253Fdr%253D14572%2526refresh_token%253D1a0d7e8f%2526x-expires%253D1810116000%2526x-sign"&amp;"ature%253Dre0XHWIjN4tDmsN3jQk1D3ufvJY%25253D%2526t%253D4d5b0474%2526ps%253D13740610%2526shp%253Dd05b14bd%2526shcp%253D34ff8df6%2526idc%253Dmy2%2526s%253DTIKTOK_AFFILIATE_VIRAL_VIDEO%22%2C%22placeholder_product_id%22%3A%221729427766722726591%22%2C%22placeh"&amp;"older_video_id%22%3A%227638267870862052628%22%7D&amp;ec_shared_reflux_scene=shop_tab_feed&amp;share_item_id=7638267870862052628&amp;source=h5_t")</f>
        <v>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</v>
      </c>
      <c r="O1480" s="470"/>
      <c r="P1480" s="471" t="str">
        <f>IFERROR(__xludf.DUMMYFUNCTION("""COMPUTED_VALUE"""),"https://vt.tiktok.com/ZS9Tk6Pm9/")</f>
        <v>https://vt.tiktok.com/ZS9Tk6Pm9/</v>
      </c>
    </row>
    <row r="1481">
      <c r="A1481" s="282" t="str">
        <f>IFERROR(__xludf.DUMMYFUNCTION("""COMPUTED_VALUE"""),"MICRO")</f>
        <v>MICRO</v>
      </c>
      <c r="B1481" s="468" t="str">
        <f>IFERROR(__xludf.DUMMYFUNCTION("""COMPUTED_VALUE"""),"lidyazhop")</f>
        <v>lidyazhop</v>
      </c>
      <c r="C1481" s="283" t="str">
        <f>IFERROR(__xludf.DUMMYFUNCTION("""COMPUTED_VALUE"""),"https://www.tiktok.com/@lidyazhop")</f>
        <v>https://www.tiktok.com/@lidyazhop</v>
      </c>
      <c r="D1481" s="273">
        <f>IFERROR(__xludf.DUMMYFUNCTION("""COMPUTED_VALUE"""),8.5240072123E10)</f>
        <v>85240072123</v>
      </c>
      <c r="E1481" s="458">
        <f>IFERROR(__xludf.DUMMYFUNCTION("""COMPUTED_VALUE"""),0.0)</f>
        <v>0</v>
      </c>
      <c r="F1481" s="273">
        <f>IFERROR(__xludf.DUMMYFUNCTION("""COMPUTED_VALUE"""),4.0)</f>
        <v>4</v>
      </c>
      <c r="G1481" t="str">
        <f>IFERROR(__xludf.DUMMYFUNCTION("""COMPUTED_VALUE"""),"Sabun batang 1 Box ( 2 PCS )")</f>
        <v>Sabun batang 1 Box ( 2 PCS )</v>
      </c>
      <c r="H1481" s="469" t="str">
        <f>IFERROR(__xludf.DUMMYFUNCTION("""COMPUTED_VALUE"""),"Sampai")</f>
        <v>Sampai</v>
      </c>
      <c r="I1481" s="470" t="str">
        <f>IFERROR(__xludf.DUMMYFUNCTION("""COMPUTED_VALUE"""),"KIMME")</f>
        <v>KIMME</v>
      </c>
      <c r="J1481" s="471" t="str">
        <f>IFERROR(__xludf.DUMMYFUNCTION("""COMPUTED_VALUE"""),"https://vt.tiktok.com/ZS9ug9T9Y/")</f>
        <v>https://vt.tiktok.com/ZS9ug9T9Y/</v>
      </c>
      <c r="K1481" s="470" t="str">
        <f>IFERROR(__xludf.DUMMYFUNCTION("""COMPUTED_VALUE"""),"KIMME")</f>
        <v>KIMME</v>
      </c>
      <c r="L1481" s="471" t="str">
        <f>IFERROR(__xludf.DUMMYFUNCTION("""COMPUTED_VALUE"""),"https://vt.tiktok.com/ZS9Q2QdNe/")</f>
        <v>https://vt.tiktok.com/ZS9Q2QdNe/</v>
      </c>
      <c r="M1481" s="470"/>
      <c r="N1481" s="471" t="str">
        <f>IFERROR(__xludf.DUMMYFUNCTION("""COMPUTED_VALUE"""),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"&amp;"eholder_origin_cover%22%3A%22https%253A%252F%252Fp16-common-sign.tiktokcdn.com%252Ftos-alisg-p-0037%252FoA3EgLGfrEDZQgRpxGIg04CAfEgAj9kcAUeYxQ~tplv-tiktokx-origin.jpeg%253Fdr%253D14572%2526refresh_token%253D1a0d7e8f%2526x-expires%253D1810116000%2526x-sign"&amp;"ature%253Dre0XHWIjN4tDmsN3jQk1D3ufvJY%25253D%2526t%253D4d5b0474%2526ps%253D13740610%2526shp%253Dd05b14bd%2526shcp%253D34ff8df6%2526idc%253Dmy2%2526s%253DTIKTOK_AFFILIATE_VIRAL_VIDEO%22%2C%22placeholder_product_id%22%3A%221729427766722726591%22%2C%22placeh"&amp;"older_video_id%22%3A%227638267870862052628%22%7D&amp;ec_shared_reflux_scene=shop_tab_feed&amp;share_item_id=7638267870862052628&amp;source=h5_t")</f>
        <v>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</v>
      </c>
      <c r="O1481" s="470"/>
      <c r="P1481" s="471" t="str">
        <f>IFERROR(__xludf.DUMMYFUNCTION("""COMPUTED_VALUE"""),"https://vt.tiktok.com/ZS9Tk6Pm9/")</f>
        <v>https://vt.tiktok.com/ZS9Tk6Pm9/</v>
      </c>
    </row>
    <row r="1482">
      <c r="A1482" s="282" t="str">
        <f>IFERROR(__xludf.DUMMYFUNCTION("""COMPUTED_VALUE"""),"MICRO")</f>
        <v>MICRO</v>
      </c>
      <c r="B1482" s="468" t="str">
        <f>IFERROR(__xludf.DUMMYFUNCTION("""COMPUTED_VALUE"""),"dewi130405")</f>
        <v>dewi130405</v>
      </c>
      <c r="C1482" s="283" t="str">
        <f>IFERROR(__xludf.DUMMYFUNCTION("""COMPUTED_VALUE"""),"https://www.tiktok.com/@dewi130405")</f>
        <v>https://www.tiktok.com/@dewi130405</v>
      </c>
      <c r="D1482" s="273">
        <f>IFERROR(__xludf.DUMMYFUNCTION("""COMPUTED_VALUE"""),8.95321533678E11)</f>
        <v>895321533678</v>
      </c>
      <c r="E1482" s="458">
        <f>IFERROR(__xludf.DUMMYFUNCTION("""COMPUTED_VALUE"""),0.0)</f>
        <v>0</v>
      </c>
      <c r="F1482" s="273">
        <f>IFERROR(__xludf.DUMMYFUNCTION("""COMPUTED_VALUE"""),4.0)</f>
        <v>4</v>
      </c>
      <c r="G1482" t="str">
        <f>IFERROR(__xludf.DUMMYFUNCTION("""COMPUTED_VALUE"""),"Sabun batang 1 Box ( 2 PCS )")</f>
        <v>Sabun batang 1 Box ( 2 PCS )</v>
      </c>
      <c r="H1482" s="469" t="str">
        <f>IFERROR(__xludf.DUMMYFUNCTION("""COMPUTED_VALUE"""),"Sampai")</f>
        <v>Sampai</v>
      </c>
      <c r="I1482" s="470" t="str">
        <f>IFERROR(__xludf.DUMMYFUNCTION("""COMPUTED_VALUE"""),"KIMME")</f>
        <v>KIMME</v>
      </c>
      <c r="J1482" s="471" t="str">
        <f>IFERROR(__xludf.DUMMYFUNCTION("""COMPUTED_VALUE"""),"https://vt.tiktok.com/ZS9ug9T9Y/")</f>
        <v>https://vt.tiktok.com/ZS9ug9T9Y/</v>
      </c>
      <c r="K1482" s="470" t="str">
        <f>IFERROR(__xludf.DUMMYFUNCTION("""COMPUTED_VALUE"""),"KIMME")</f>
        <v>KIMME</v>
      </c>
      <c r="L1482" s="471" t="str">
        <f>IFERROR(__xludf.DUMMYFUNCTION("""COMPUTED_VALUE"""),"https://vt.tiktok.com/ZS9Q2QdNe/")</f>
        <v>https://vt.tiktok.com/ZS9Q2QdNe/</v>
      </c>
      <c r="M1482" s="470"/>
      <c r="N1482" s="471" t="str">
        <f>IFERROR(__xludf.DUMMYFUNCTION("""COMPUTED_VALUE"""),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"&amp;"eholder_origin_cover%22%3A%22https%253A%252F%252Fp16-common-sign.tiktokcdn.com%252Ftos-alisg-p-0037%252FoA3EgLGfrEDZQgRpxGIg04CAfEgAj9kcAUeYxQ~tplv-tiktokx-origin.jpeg%253Fdr%253D14572%2526refresh_token%253D1a0d7e8f%2526x-expires%253D1810116000%2526x-sign"&amp;"ature%253Dre0XHWIjN4tDmsN3jQk1D3ufvJY%25253D%2526t%253D4d5b0474%2526ps%253D13740610%2526shp%253Dd05b14bd%2526shcp%253D34ff8df6%2526idc%253Dmy2%2526s%253DTIKTOK_AFFILIATE_VIRAL_VIDEO%22%2C%22placeholder_product_id%22%3A%221729427766722726591%22%2C%22placeh"&amp;"older_video_id%22%3A%227638267870862052628%22%7D&amp;ec_shared_reflux_scene=shop_tab_feed&amp;share_item_id=7638267870862052628&amp;source=h5_t")</f>
        <v>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</v>
      </c>
      <c r="O1482" s="470"/>
      <c r="P1482" s="471" t="str">
        <f>IFERROR(__xludf.DUMMYFUNCTION("""COMPUTED_VALUE"""),"https://vt.tiktok.com/ZS9Tk6Pm9/")</f>
        <v>https://vt.tiktok.com/ZS9Tk6Pm9/</v>
      </c>
    </row>
    <row r="1483">
      <c r="A1483" s="282" t="str">
        <f>IFERROR(__xludf.DUMMYFUNCTION("""COMPUTED_VALUE"""),"MICRO")</f>
        <v>MICRO</v>
      </c>
      <c r="B1483" s="468" t="str">
        <f>IFERROR(__xludf.DUMMYFUNCTION("""COMPUTED_VALUE"""),"scorpiogurls26_")</f>
        <v>scorpiogurls26_</v>
      </c>
      <c r="C1483" s="283" t="str">
        <f>IFERROR(__xludf.DUMMYFUNCTION("""COMPUTED_VALUE"""),"https://www.tiktok.com/@scorpiogurls26_")</f>
        <v>https://www.tiktok.com/@scorpiogurls26_</v>
      </c>
      <c r="D1483" s="273">
        <f>IFERROR(__xludf.DUMMYFUNCTION("""COMPUTED_VALUE"""),8.2162580022E10)</f>
        <v>82162580022</v>
      </c>
      <c r="E1483" s="458">
        <f>IFERROR(__xludf.DUMMYFUNCTION("""COMPUTED_VALUE"""),0.0)</f>
        <v>0</v>
      </c>
      <c r="F1483" s="273">
        <f>IFERROR(__xludf.DUMMYFUNCTION("""COMPUTED_VALUE"""),4.0)</f>
        <v>4</v>
      </c>
      <c r="G1483" t="str">
        <f>IFERROR(__xludf.DUMMYFUNCTION("""COMPUTED_VALUE"""),"Sabun batang 1 Box ( 2 PCS )")</f>
        <v>Sabun batang 1 Box ( 2 PCS )</v>
      </c>
      <c r="H1483" s="469" t="str">
        <f>IFERROR(__xludf.DUMMYFUNCTION("""COMPUTED_VALUE"""),"Sampai")</f>
        <v>Sampai</v>
      </c>
      <c r="I1483" s="470" t="str">
        <f>IFERROR(__xludf.DUMMYFUNCTION("""COMPUTED_VALUE"""),"KIMME")</f>
        <v>KIMME</v>
      </c>
      <c r="J1483" s="471" t="str">
        <f>IFERROR(__xludf.DUMMYFUNCTION("""COMPUTED_VALUE"""),"https://vt.tiktok.com/ZS9ug9T9Y/")</f>
        <v>https://vt.tiktok.com/ZS9ug9T9Y/</v>
      </c>
      <c r="K1483" s="470" t="str">
        <f>IFERROR(__xludf.DUMMYFUNCTION("""COMPUTED_VALUE"""),"KIMME")</f>
        <v>KIMME</v>
      </c>
      <c r="L1483" s="471" t="str">
        <f>IFERROR(__xludf.DUMMYFUNCTION("""COMPUTED_VALUE"""),"https://vt.tiktok.com/ZS9Q2QdNe/")</f>
        <v>https://vt.tiktok.com/ZS9Q2QdNe/</v>
      </c>
      <c r="M1483" s="470"/>
      <c r="N1483" s="471" t="str">
        <f>IFERROR(__xludf.DUMMYFUNCTION("""COMPUTED_VALUE"""),"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"&amp;"eholder_origin_cover%22%3A%22https%253A%252F%252Fp16-common-sign.tiktokcdn.com%252Ftos-alisg-p-0037%252FoA3EgLGfrEDZQgRpxGIg04CAfEgAj9kcAUeYxQ~tplv-tiktokx-origin.jpeg%253Fdr%253D14572%2526refresh_token%253D1a0d7e8f%2526x-expires%253D1810116000%2526x-sign"&amp;"ature%253Dre0XHWIjN4tDmsN3jQk1D3ufvJY%25253D%2526t%253D4d5b0474%2526ps%253D13740610%2526shp%253Dd05b14bd%2526shcp%253D34ff8df6%2526idc%253Dmy2%2526s%253DTIKTOK_AFFILIATE_VIRAL_VIDEO%22%2C%22placeholder_product_id%22%3A%221729427766722726591%22%2C%22placeh"&amp;"older_video_id%22%3A%227638267870862052628%22%7D&amp;ec_shared_reflux_scene=shop_tab_feed&amp;share_item_id=7638267870862052628&amp;source=h5_t")</f>
        <v>https://www.tiktok.com/@elyahany/video/7638267870862052628?_r=1&amp;u_code=e56hbm9ld1gh51&amp;region=&amp;mid=7555811958251850513&amp;preview_pb=0&amp;sharer_language=&amp;_d=0&amp;ec_shared_reflux_dynamic_params=%7B%22placeholder_material_id%22%3A%227638267870862052628%22%2C%22placeholder_origin_cover%22%3A%22https%253A%252F%252Fp16-common-sign.tiktokcdn.com%252Ftos-alisg-p-0037%252FoA3EgLGfrEDZQgRpxGIg04CAfEgAj9kcAUeYxQ~tplv-tiktokx-origin.jpeg%253Fdr%253D14572%2526refresh_token%253D1a0d7e8f%2526x-expires%253D1810116000%2526x-signature%253Dre0XHWIjN4tDmsN3jQk1D3ufvJY%25253D%2526t%253D4d5b0474%2526ps%253D13740610%2526shp%253Dd05b14bd%2526shcp%253D34ff8df6%2526idc%253Dmy2%2526s%253DTIKTOK_AFFILIATE_VIRAL_VIDEO%22%2C%22placeholder_product_id%22%3A%221729427766722726591%22%2C%22placeholder_video_id%22%3A%227638267870862052628%22%7D&amp;ec_shared_reflux_scene=shop_tab_feed&amp;share_item_id=7638267870862052628&amp;source=h5_t</v>
      </c>
      <c r="O1483" s="470"/>
      <c r="P1483" s="471" t="str">
        <f>IFERROR(__xludf.DUMMYFUNCTION("""COMPUTED_VALUE"""),"https://vt.tiktok.com/ZS9Tk6Pm9/")</f>
        <v>https://vt.tiktok.com/ZS9Tk6Pm9/</v>
      </c>
    </row>
    <row r="1484">
      <c r="A1484" s="282" t="str">
        <f>IFERROR(__xludf.DUMMYFUNCTION("""COMPUTED_VALUE"""),"MICRO")</f>
        <v>MICRO</v>
      </c>
      <c r="B1484" s="468" t="str">
        <f>IFERROR(__xludf.DUMMYFUNCTION("""COMPUTED_VALUE"""),"aisulistiaaolshop")</f>
        <v>aisulistiaaolshop</v>
      </c>
      <c r="C1484" s="283" t="str">
        <f>IFERROR(__xludf.DUMMYFUNCTION("""COMPUTED_VALUE"""),"https://www.tiktok.com/@aisulistiaaolshop")</f>
        <v>https://www.tiktok.com/@aisulistiaaolshop</v>
      </c>
      <c r="D1484" s="273">
        <f>IFERROR(__xludf.DUMMYFUNCTION("""COMPUTED_VALUE"""),8.7838935136E10)</f>
        <v>87838935136</v>
      </c>
      <c r="E1484" s="458">
        <f>IFERROR(__xludf.DUMMYFUNCTION("""COMPUTED_VALUE"""),0.0)</f>
        <v>0</v>
      </c>
      <c r="F1484" s="273">
        <f>IFERROR(__xludf.DUMMYFUNCTION("""COMPUTED_VALUE"""),4.0)</f>
        <v>4</v>
      </c>
      <c r="G1484" t="str">
        <f>IFERROR(__xludf.DUMMYFUNCTION("""COMPUTED_VALUE"""),"Sabun batang 1 Box ( 2 PCS )")</f>
        <v>Sabun batang 1 Box ( 2 PCS )</v>
      </c>
      <c r="H1484" s="469" t="str">
        <f>IFERROR(__xludf.DUMMYFUNCTION("""COMPUTED_VALUE"""),"Sampai")</f>
        <v>Sampai</v>
      </c>
      <c r="I1484" s="470" t="str">
        <f>IFERROR(__xludf.DUMMYFUNCTION("""COMPUTED_VALUE"""),"KIMME")</f>
        <v>KIMME</v>
      </c>
      <c r="J1484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484" s="470" t="str">
        <f>IFERROR(__xludf.DUMMYFUNCTION("""COMPUTED_VALUE"""),"KIMME")</f>
        <v>KIMME</v>
      </c>
      <c r="L1484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484" s="470"/>
      <c r="N1484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484" s="470"/>
      <c r="P1484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485">
      <c r="A1485" s="282" t="str">
        <f>IFERROR(__xludf.DUMMYFUNCTION("""COMPUTED_VALUE"""),"MICRO")</f>
        <v>MICRO</v>
      </c>
      <c r="B1485" s="468" t="str">
        <f>IFERROR(__xludf.DUMMYFUNCTION("""COMPUTED_VALUE"""),"nurma.yunita595")</f>
        <v>nurma.yunita595</v>
      </c>
      <c r="C1485" s="283" t="str">
        <f>IFERROR(__xludf.DUMMYFUNCTION("""COMPUTED_VALUE"""),"https://www.tiktok.com/@nurma.yunita595")</f>
        <v>https://www.tiktok.com/@nurma.yunita595</v>
      </c>
      <c r="D1485" s="273">
        <f>IFERROR(__xludf.DUMMYFUNCTION("""COMPUTED_VALUE"""),8.2241579745E10)</f>
        <v>82241579745</v>
      </c>
      <c r="E1485" s="458">
        <f>IFERROR(__xludf.DUMMYFUNCTION("""COMPUTED_VALUE"""),0.0)</f>
        <v>0</v>
      </c>
      <c r="F1485" s="273">
        <f>IFERROR(__xludf.DUMMYFUNCTION("""COMPUTED_VALUE"""),4.0)</f>
        <v>4</v>
      </c>
      <c r="G1485" t="str">
        <f>IFERROR(__xludf.DUMMYFUNCTION("""COMPUTED_VALUE"""),"Sabun batang 1 Box ( 2 PCS )")</f>
        <v>Sabun batang 1 Box ( 2 PCS )</v>
      </c>
      <c r="H1485" s="469" t="str">
        <f>IFERROR(__xludf.DUMMYFUNCTION("""COMPUTED_VALUE"""),"Sampai")</f>
        <v>Sampai</v>
      </c>
      <c r="I1485" s="470" t="str">
        <f>IFERROR(__xludf.DUMMYFUNCTION("""COMPUTED_VALUE"""),"KIMME")</f>
        <v>KIMME</v>
      </c>
      <c r="J1485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485" s="470" t="str">
        <f>IFERROR(__xludf.DUMMYFUNCTION("""COMPUTED_VALUE"""),"KIMME")</f>
        <v>KIMME</v>
      </c>
      <c r="L1485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485" s="470"/>
      <c r="N1485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485" s="470"/>
      <c r="P1485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486">
      <c r="A1486" s="282" t="str">
        <f>IFERROR(__xludf.DUMMYFUNCTION("""COMPUTED_VALUE"""),"MICRO")</f>
        <v>MICRO</v>
      </c>
      <c r="B1486" s="468" t="str">
        <f>IFERROR(__xludf.DUMMYFUNCTION("""COMPUTED_VALUE"""),"pitriwdy")</f>
        <v>pitriwdy</v>
      </c>
      <c r="C1486" s="283" t="str">
        <f>IFERROR(__xludf.DUMMYFUNCTION("""COMPUTED_VALUE"""),"https://www.tiktok.com/@pitriwdy")</f>
        <v>https://www.tiktok.com/@pitriwdy</v>
      </c>
      <c r="D1486" s="273">
        <f>IFERROR(__xludf.DUMMYFUNCTION("""COMPUTED_VALUE"""),8.9637040772E10)</f>
        <v>89637040772</v>
      </c>
      <c r="E1486" s="458">
        <f>IFERROR(__xludf.DUMMYFUNCTION("""COMPUTED_VALUE"""),0.0)</f>
        <v>0</v>
      </c>
      <c r="F1486" s="273">
        <f>IFERROR(__xludf.DUMMYFUNCTION("""COMPUTED_VALUE"""),4.0)</f>
        <v>4</v>
      </c>
      <c r="G1486" t="str">
        <f>IFERROR(__xludf.DUMMYFUNCTION("""COMPUTED_VALUE"""),"Sabun batang 1 Box ( 2 PCS )")</f>
        <v>Sabun batang 1 Box ( 2 PCS )</v>
      </c>
      <c r="H1486" s="469" t="str">
        <f>IFERROR(__xludf.DUMMYFUNCTION("""COMPUTED_VALUE"""),"Sampai")</f>
        <v>Sampai</v>
      </c>
      <c r="I1486" s="470" t="str">
        <f>IFERROR(__xludf.DUMMYFUNCTION("""COMPUTED_VALUE"""),"KIMME")</f>
        <v>KIMME</v>
      </c>
      <c r="J1486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486" s="470" t="str">
        <f>IFERROR(__xludf.DUMMYFUNCTION("""COMPUTED_VALUE"""),"KIMME")</f>
        <v>KIMME</v>
      </c>
      <c r="L1486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486" s="470"/>
      <c r="N1486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486" s="470"/>
      <c r="P1486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487">
      <c r="A1487" s="282" t="str">
        <f>IFERROR(__xludf.DUMMYFUNCTION("""COMPUTED_VALUE"""),"MICRO")</f>
        <v>MICRO</v>
      </c>
      <c r="B1487" s="468" t="str">
        <f>IFERROR(__xludf.DUMMYFUNCTION("""COMPUTED_VALUE"""),"sii.lifa")</f>
        <v>sii.lifa</v>
      </c>
      <c r="C1487" s="283" t="str">
        <f>IFERROR(__xludf.DUMMYFUNCTION("""COMPUTED_VALUE"""),"https://www.tiktok.com/@sii.lifa")</f>
        <v>https://www.tiktok.com/@sii.lifa</v>
      </c>
      <c r="D1487" s="273">
        <f>IFERROR(__xludf.DUMMYFUNCTION("""COMPUTED_VALUE"""),8.7882729825E10)</f>
        <v>87882729825</v>
      </c>
      <c r="E1487" s="458">
        <f>IFERROR(__xludf.DUMMYFUNCTION("""COMPUTED_VALUE"""),100000.0)</f>
        <v>100000</v>
      </c>
      <c r="F1487" s="273">
        <f>IFERROR(__xludf.DUMMYFUNCTION("""COMPUTED_VALUE"""),1.0)</f>
        <v>1</v>
      </c>
      <c r="G1487" t="str">
        <f>IFERROR(__xludf.DUMMYFUNCTION("""COMPUTED_VALUE"""),"Sabun batang 1 Box ( 2 PCS )")</f>
        <v>Sabun batang 1 Box ( 2 PCS )</v>
      </c>
      <c r="H1487" s="469" t="str">
        <f>IFERROR(__xludf.DUMMYFUNCTION("""COMPUTED_VALUE"""),"Sampai")</f>
        <v>Sampai</v>
      </c>
      <c r="I1487" s="470" t="str">
        <f>IFERROR(__xludf.DUMMYFUNCTION("""COMPUTED_VALUE"""),"KIMME")</f>
        <v>KIMME</v>
      </c>
      <c r="J1487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487" s="470" t="str">
        <f>IFERROR(__xludf.DUMMYFUNCTION("""COMPUTED_VALUE"""),"KIMME")</f>
        <v>KIMME</v>
      </c>
      <c r="L1487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487" s="470"/>
      <c r="N1487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487" s="470"/>
      <c r="P1487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488">
      <c r="A1488" s="282" t="str">
        <f>IFERROR(__xludf.DUMMYFUNCTION("""COMPUTED_VALUE"""),"MICRO")</f>
        <v>MICRO</v>
      </c>
      <c r="B1488" s="468" t="str">
        <f>IFERROR(__xludf.DUMMYFUNCTION("""COMPUTED_VALUE"""),"zrly__ ")</f>
        <v>zrly__ </v>
      </c>
      <c r="C1488" s="283" t="str">
        <f>IFERROR(__xludf.DUMMYFUNCTION("""COMPUTED_VALUE"""),"https://www.tiktok.com/@zrly__ ")</f>
        <v>https://www.tiktok.com/@zrly__ </v>
      </c>
      <c r="D1488" s="273">
        <f>IFERROR(__xludf.DUMMYFUNCTION("""COMPUTED_VALUE"""),8.5179695112E10)</f>
        <v>85179695112</v>
      </c>
      <c r="E1488" s="458">
        <f>IFERROR(__xludf.DUMMYFUNCTION("""COMPUTED_VALUE"""),0.0)</f>
        <v>0</v>
      </c>
      <c r="F1488" s="273">
        <f>IFERROR(__xludf.DUMMYFUNCTION("""COMPUTED_VALUE"""),4.0)</f>
        <v>4</v>
      </c>
      <c r="G1488" t="str">
        <f>IFERROR(__xludf.DUMMYFUNCTION("""COMPUTED_VALUE"""),"Sabun batang 1 Box ( 2 PCS )")</f>
        <v>Sabun batang 1 Box ( 2 PCS )</v>
      </c>
      <c r="H1488" s="469" t="str">
        <f>IFERROR(__xludf.DUMMYFUNCTION("""COMPUTED_VALUE"""),"Sampai")</f>
        <v>Sampai</v>
      </c>
      <c r="I1488" s="470" t="str">
        <f>IFERROR(__xludf.DUMMYFUNCTION("""COMPUTED_VALUE"""),"KIMME")</f>
        <v>KIMME</v>
      </c>
      <c r="J1488" s="471" t="str">
        <f>IFERROR(__xludf.DUMMYFUNCTION("""COMPUTED_VALUE"""),"https://www.tiktok.com/@zrly__/video/7634802931325259028?_r=1&amp;u_code=e4mgb5262agic7&amp;region=&amp;mid=7432577275431750405&amp;preview_pb=0&amp;sharer_language=&amp;_d=0&amp;ec_shared_reflux_dynamic_params=%7B%22placeholder_material_id%22%3A%227634802931325259028%22%2C%22placeh"&amp;"older_origin_cover%22%3A%22https%253A%252F%252Fp16-common-sign.tiktokcdn.com%252Ftos-alisg-p-0037%252Fo00aFdqERQwAOUEf6fQC5nDpj4wFEBmEBg9SR9~tplv-tiktokx-origin.jpeg%253Fdr%253D14572%2526refresh_token%253Dc4f6d06a%2526x-expires%253D1809507600%2526x-signat"&amp;"ure%253DHkNIXfcKJkcDn%25252FAnq9CXDcgYt8c%25253D%2526t%253D4d5b0474%2526ps%253D13740610%2526shp%253Dd05b14bd%2526shcp%253D34ff8df6%2526idc%253Dmy%2526s%253DTIKTOK_AFFILIATE_VIRAL_VIDEO%22%2C%22placeholder_product_id%22%3A%221729427766722726591%22%2C%22pla"&amp;"ceholder_video_id%22%3A%227634802931325259028%22%7D&amp;ec_shared_reflux_scene=shop_tab_feed&amp;share_item_id=7634802931325259028&amp;source=h5_t")</f>
        <v>https://www.tiktok.com/@zrly__/video/7634802931325259028?_r=1&amp;u_code=e4mgb5262agic7&amp;region=&amp;mid=7432577275431750405&amp;preview_pb=0&amp;sharer_language=&amp;_d=0&amp;ec_shared_reflux_dynamic_params=%7B%22placeholder_material_id%22%3A%227634802931325259028%22%2C%22placeholder_origin_cover%22%3A%22https%253A%252F%252Fp16-common-sign.tiktokcdn.com%252Ftos-alisg-p-0037%252Fo00aFdqERQwAOUEf6fQC5nDpj4wFEBmEBg9SR9~tplv-tiktokx-origin.jpeg%253Fdr%253D14572%2526refresh_token%253Dc4f6d06a%2526x-expires%253D1809507600%2526x-signature%253DHkNIXfcKJkcDn%25252FAnq9CXDcgYt8c%25253D%2526t%253D4d5b0474%2526ps%253D13740610%2526shp%253Dd05b14bd%2526shcp%253D34ff8df6%2526idc%253Dmy%2526s%253DTIKTOK_AFFILIATE_VIRAL_VIDEO%22%2C%22placeholder_product_id%22%3A%221729427766722726591%22%2C%22placeholder_video_id%22%3A%227634802931325259028%22%7D&amp;ec_shared_reflux_scene=shop_tab_feed&amp;share_item_id=7634802931325259028&amp;source=h5_t</v>
      </c>
      <c r="K1488" s="470" t="str">
        <f>IFERROR(__xludf.DUMMYFUNCTION("""COMPUTED_VALUE"""),"KIMME")</f>
        <v>KIMME</v>
      </c>
      <c r="L1488" t="str">
        <f>IFERROR(__xludf.DUMMYFUNCTION("""COMPUTED_VALUE"""),"⁠https://vt.tiktok.com/ZSxpYFXvD/")</f>
        <v>⁠https://vt.tiktok.com/ZSxpYFXvD/</v>
      </c>
      <c r="M1488" s="470"/>
      <c r="N1488" t="str">
        <f>IFERROR(__xludf.DUMMYFUNCTION("""COMPUTED_VALUE"""),"⁠https://vt.tiktok.com/ZSxpYJ4xF/")</f>
        <v>⁠https://vt.tiktok.com/ZSxpYJ4xF/</v>
      </c>
      <c r="O1488" s="470"/>
      <c r="P1488" t="str">
        <f>IFERROR(__xludf.DUMMYFUNCTION("""COMPUTED_VALUE"""),"⁠https://vt.tiktok.com/ZSxpYYRA4/")</f>
        <v>⁠https://vt.tiktok.com/ZSxpYYRA4/</v>
      </c>
    </row>
    <row r="1489">
      <c r="A1489" s="282" t="str">
        <f>IFERROR(__xludf.DUMMYFUNCTION("""COMPUTED_VALUE"""),"MICRO")</f>
        <v>MICRO</v>
      </c>
      <c r="B1489" s="468" t="str">
        <f>IFERROR(__xludf.DUMMYFUNCTION("""COMPUTED_VALUE"""),"restistrhmw_")</f>
        <v>restistrhmw_</v>
      </c>
      <c r="C1489" s="283" t="str">
        <f>IFERROR(__xludf.DUMMYFUNCTION("""COMPUTED_VALUE"""),"https://www.tiktok.com/@restistrhmw_")</f>
        <v>https://www.tiktok.com/@restistrhmw_</v>
      </c>
      <c r="D1489" s="273">
        <f>IFERROR(__xludf.DUMMYFUNCTION("""COMPUTED_VALUE"""),8.1546426011E10)</f>
        <v>81546426011</v>
      </c>
      <c r="E1489" s="458">
        <f>IFERROR(__xludf.DUMMYFUNCTION("""COMPUTED_VALUE"""),0.0)</f>
        <v>0</v>
      </c>
      <c r="F1489" s="273">
        <f>IFERROR(__xludf.DUMMYFUNCTION("""COMPUTED_VALUE"""),1.0)</f>
        <v>1</v>
      </c>
      <c r="G1489" t="str">
        <f>IFERROR(__xludf.DUMMYFUNCTION("""COMPUTED_VALUE"""),"Sabun batang 1 Box ( 2 PCS )")</f>
        <v>Sabun batang 1 Box ( 2 PCS )</v>
      </c>
      <c r="H1489" s="469" t="str">
        <f>IFERROR(__xludf.DUMMYFUNCTION("""COMPUTED_VALUE"""),"Sampai")</f>
        <v>Sampai</v>
      </c>
      <c r="I1489" s="470" t="str">
        <f>IFERROR(__xludf.DUMMYFUNCTION("""COMPUTED_VALUE"""),"KIMME")</f>
        <v>KIMME</v>
      </c>
      <c r="J1489" t="str">
        <f>IFERROR(__xludf.DUMMYFUNCTION("""COMPUTED_VALUE"""),"⁠https://vt.tiktok.com/ZSxpY8Cqk/")</f>
        <v>⁠https://vt.tiktok.com/ZSxpY8Cqk/</v>
      </c>
      <c r="K1489" s="470" t="str">
        <f>IFERROR(__xludf.DUMMYFUNCTION("""COMPUTED_VALUE"""),"KIMME")</f>
        <v>KIMME</v>
      </c>
      <c r="L1489" t="str">
        <f>IFERROR(__xludf.DUMMYFUNCTION("""COMPUTED_VALUE"""),"⁠https://vt.tiktok.com/ZSxpYLBnF/")</f>
        <v>⁠https://vt.tiktok.com/ZSxpYLBnF/</v>
      </c>
      <c r="M1489" s="470"/>
      <c r="N1489" s="471" t="str">
        <f>IFERROR(__xludf.DUMMYFUNCTION("""COMPUTED_VALUE"""),"https://vt.tiktok.com/ZSxpFECK1/")</f>
        <v>https://vt.tiktok.com/ZSxpFECK1/</v>
      </c>
      <c r="O1489" s="470"/>
      <c r="P1489" s="471" t="str">
        <f>IFERROR(__xludf.DUMMYFUNCTION("""COMPUTED_VALUE"""),"https://vt.tiktok.com/ZSxpYrwPT/")</f>
        <v>https://vt.tiktok.com/ZSxpYrwPT/</v>
      </c>
    </row>
    <row r="1490">
      <c r="A1490" s="282" t="str">
        <f>IFERROR(__xludf.DUMMYFUNCTION("""COMPUTED_VALUE"""),"MICRO")</f>
        <v>MICRO</v>
      </c>
      <c r="B1490" s="468" t="str">
        <f>IFERROR(__xludf.DUMMYFUNCTION("""COMPUTED_VALUE"""),"cntk_id5")</f>
        <v>cntk_id5</v>
      </c>
      <c r="C1490" s="283" t="str">
        <f>IFERROR(__xludf.DUMMYFUNCTION("""COMPUTED_VALUE"""),"https://www.tiktok.com/@cntk_id5")</f>
        <v>https://www.tiktok.com/@cntk_id5</v>
      </c>
      <c r="D1490" s="273">
        <f>IFERROR(__xludf.DUMMYFUNCTION("""COMPUTED_VALUE"""),8.1233654315E10)</f>
        <v>81233654315</v>
      </c>
      <c r="E1490" s="458">
        <f>IFERROR(__xludf.DUMMYFUNCTION("""COMPUTED_VALUE"""),0.0)</f>
        <v>0</v>
      </c>
      <c r="F1490" s="273">
        <f>IFERROR(__xludf.DUMMYFUNCTION("""COMPUTED_VALUE"""),4.0)</f>
        <v>4</v>
      </c>
      <c r="G1490" t="str">
        <f>IFERROR(__xludf.DUMMYFUNCTION("""COMPUTED_VALUE"""),"Sabun batang 1 Box ( 2 PCS )")</f>
        <v>Sabun batang 1 Box ( 2 PCS )</v>
      </c>
      <c r="H1490" s="469" t="str">
        <f>IFERROR(__xludf.DUMMYFUNCTION("""COMPUTED_VALUE"""),"Sampai")</f>
        <v>Sampai</v>
      </c>
      <c r="I1490" s="470" t="str">
        <f>IFERROR(__xludf.DUMMYFUNCTION("""COMPUTED_VALUE"""),"KIMME")</f>
        <v>KIMME</v>
      </c>
      <c r="J1490" s="471" t="str">
        <f>IFERROR(__xludf.DUMMYFUNCTION("""COMPUTED_VALUE"""),"https://vt.tiktok.com/ZS9HRrB2a/")</f>
        <v>https://vt.tiktok.com/ZS9HRrB2a/</v>
      </c>
      <c r="K1490" s="470" t="str">
        <f>IFERROR(__xludf.DUMMYFUNCTION("""COMPUTED_VALUE"""),"KIMME")</f>
        <v>KIMME</v>
      </c>
      <c r="L1490" s="471" t="str">
        <f>IFERROR(__xludf.DUMMYFUNCTION("""COMPUTED_VALUE"""),"https://vt.tiktok.com/ZS9HRA3o4/")</f>
        <v>https://vt.tiktok.com/ZS9HRA3o4/</v>
      </c>
      <c r="M1490" s="470"/>
      <c r="N1490" s="471" t="str">
        <f>IFERROR(__xludf.DUMMYFUNCTION("""COMPUTED_VALUE"""),"https://vt.tiktok.com/ZS9HRBPvh/")</f>
        <v>https://vt.tiktok.com/ZS9HRBPvh/</v>
      </c>
      <c r="O1490" s="470"/>
      <c r="P1490" s="471" t="str">
        <f>IFERROR(__xludf.DUMMYFUNCTION("""COMPUTED_VALUE"""),"https://vt.tiktok.com/ZS9oQnBrj/")</f>
        <v>https://vt.tiktok.com/ZS9oQnBrj/</v>
      </c>
    </row>
    <row r="1491">
      <c r="A1491" s="282" t="str">
        <f>IFERROR(__xludf.DUMMYFUNCTION("""COMPUTED_VALUE"""),"MICRO")</f>
        <v>MICRO</v>
      </c>
      <c r="B1491" s="468" t="str">
        <f>IFERROR(__xludf.DUMMYFUNCTION("""COMPUTED_VALUE"""),"renast_s")</f>
        <v>renast_s</v>
      </c>
      <c r="C1491" s="283" t="str">
        <f>IFERROR(__xludf.DUMMYFUNCTION("""COMPUTED_VALUE"""),"https://www.tiktok.com/@renast_s")</f>
        <v>https://www.tiktok.com/@renast_s</v>
      </c>
      <c r="D1491" s="273">
        <f>IFERROR(__xludf.DUMMYFUNCTION("""COMPUTED_VALUE"""),8.5864361531E10)</f>
        <v>85864361531</v>
      </c>
      <c r="E1491" s="458">
        <f>IFERROR(__xludf.DUMMYFUNCTION("""COMPUTED_VALUE"""),50000.0)</f>
        <v>50000</v>
      </c>
      <c r="F1491" s="273">
        <f>IFERROR(__xludf.DUMMYFUNCTION("""COMPUTED_VALUE"""),1.0)</f>
        <v>1</v>
      </c>
      <c r="G1491" t="str">
        <f>IFERROR(__xludf.DUMMYFUNCTION("""COMPUTED_VALUE"""),"Sabun batang 1 Box ( 2 PCS )")</f>
        <v>Sabun batang 1 Box ( 2 PCS )</v>
      </c>
      <c r="H1491" s="469" t="str">
        <f>IFERROR(__xludf.DUMMYFUNCTION("""COMPUTED_VALUE"""),"Sampai")</f>
        <v>Sampai</v>
      </c>
      <c r="I1491" s="470" t="str">
        <f>IFERROR(__xludf.DUMMYFUNCTION("""COMPUTED_VALUE"""),"KIMME")</f>
        <v>KIMME</v>
      </c>
      <c r="J1491" s="471" t="str">
        <f>IFERROR(__xludf.DUMMYFUNCTION("""COMPUTED_VALUE"""),"https://vt.tiktok.com/ZSxyAAgvA/")</f>
        <v>https://vt.tiktok.com/ZSxyAAgvA/</v>
      </c>
      <c r="K1491" s="470" t="str">
        <f>IFERROR(__xludf.DUMMYFUNCTION("""COMPUTED_VALUE"""),"KIMME")</f>
        <v>KIMME</v>
      </c>
      <c r="L1491" s="471" t="str">
        <f>IFERROR(__xludf.DUMMYFUNCTION("""COMPUTED_VALUE"""),"https://vt.tiktok.com/ZSxyA5Dpm/")</f>
        <v>https://vt.tiktok.com/ZSxyA5Dpm/</v>
      </c>
      <c r="M1491" s="470"/>
      <c r="N1491" s="471" t="str">
        <f>IFERROR(__xludf.DUMMYFUNCTION("""COMPUTED_VALUE"""),"https://vt.tiktok.com/ZSxyAmmXk/")</f>
        <v>https://vt.tiktok.com/ZSxyAmmXk/</v>
      </c>
      <c r="O1491" s="470"/>
      <c r="P1491" s="471" t="str">
        <f>IFERROR(__xludf.DUMMYFUNCTION("""COMPUTED_VALUE"""),"https://vt.tiktok.com/ZSxHPNp3H/")</f>
        <v>https://vt.tiktok.com/ZSxHPNp3H/</v>
      </c>
    </row>
    <row r="1492">
      <c r="A1492" s="282" t="str">
        <f>IFERROR(__xludf.DUMMYFUNCTION("""COMPUTED_VALUE"""),"MICRO")</f>
        <v>MICRO</v>
      </c>
      <c r="B1492" s="468" t="str">
        <f>IFERROR(__xludf.DUMMYFUNCTION("""COMPUTED_VALUE"""),"firlinda01")</f>
        <v>firlinda01</v>
      </c>
      <c r="C1492" s="283" t="str">
        <f>IFERROR(__xludf.DUMMYFUNCTION("""COMPUTED_VALUE"""),"https://www.tiktok.com/@firlinda01")</f>
        <v>https://www.tiktok.com/@firlinda01</v>
      </c>
      <c r="D1492" s="273">
        <f>IFERROR(__xludf.DUMMYFUNCTION("""COMPUTED_VALUE"""),8.3878199174E10)</f>
        <v>83878199174</v>
      </c>
      <c r="E1492" s="458">
        <f>IFERROR(__xludf.DUMMYFUNCTION("""COMPUTED_VALUE"""),100000.0)</f>
        <v>100000</v>
      </c>
      <c r="F1492" s="273">
        <f>IFERROR(__xludf.DUMMYFUNCTION("""COMPUTED_VALUE"""),1.0)</f>
        <v>1</v>
      </c>
      <c r="G1492" t="str">
        <f>IFERROR(__xludf.DUMMYFUNCTION("""COMPUTED_VALUE"""),"Sabun batang 1 Box ( 2 PCS )")</f>
        <v>Sabun batang 1 Box ( 2 PCS )</v>
      </c>
      <c r="H1492" s="469" t="str">
        <f>IFERROR(__xludf.DUMMYFUNCTION("""COMPUTED_VALUE"""),"Sampai")</f>
        <v>Sampai</v>
      </c>
      <c r="I1492" s="470" t="str">
        <f>IFERROR(__xludf.DUMMYFUNCTION("""COMPUTED_VALUE"""),"KIMME")</f>
        <v>KIMME</v>
      </c>
      <c r="J1492" s="471" t="str">
        <f>IFERROR(__xludf.DUMMYFUNCTION("""COMPUTED_VALUE"""),"https://vt.tiktok.com/ZS9HqkM7U/ ")</f>
        <v>https://vt.tiktok.com/ZS9HqkM7U/ </v>
      </c>
      <c r="K1492" s="470" t="str">
        <f>IFERROR(__xludf.DUMMYFUNCTION("""COMPUTED_VALUE"""),"KIMME")</f>
        <v>KIMME</v>
      </c>
      <c r="L1492" s="471" t="str">
        <f>IFERROR(__xludf.DUMMYFUNCTION("""COMPUTED_VALUE"""),"https://vt.tiktok.com/ZSxHPDfwU/")</f>
        <v>https://vt.tiktok.com/ZSxHPDfwU/</v>
      </c>
      <c r="M1492" s="470"/>
      <c r="N1492" s="471" t="str">
        <f>IFERROR(__xludf.DUMMYFUNCTION("""COMPUTED_VALUE"""),"https://vt.tiktok.com/ZSxHPnRos/")</f>
        <v>https://vt.tiktok.com/ZSxHPnRos/</v>
      </c>
      <c r="O1492" s="470"/>
      <c r="P1492" s="471" t="str">
        <f>IFERROR(__xludf.DUMMYFUNCTION("""COMPUTED_VALUE"""),"https://vt.tiktok.com/ZSxHPsjGm/")</f>
        <v>https://vt.tiktok.com/ZSxHPsjGm/</v>
      </c>
    </row>
    <row r="1493">
      <c r="A1493" s="282" t="str">
        <f>IFERROR(__xludf.DUMMYFUNCTION("""COMPUTED_VALUE"""),"MICRO")</f>
        <v>MICRO</v>
      </c>
      <c r="B1493" s="468" t="str">
        <f>IFERROR(__xludf.DUMMYFUNCTION("""COMPUTED_VALUE"""),"bananapancake_00")</f>
        <v>bananapancake_00</v>
      </c>
      <c r="C1493" s="283" t="str">
        <f>IFERROR(__xludf.DUMMYFUNCTION("""COMPUTED_VALUE"""),"https://www.tiktok.com/@bananapancake_00")</f>
        <v>https://www.tiktok.com/@bananapancake_00</v>
      </c>
      <c r="D1493" s="273">
        <f>IFERROR(__xludf.DUMMYFUNCTION("""COMPUTED_VALUE"""),8.2316505074E10)</f>
        <v>82316505074</v>
      </c>
      <c r="E1493" s="458">
        <f>IFERROR(__xludf.DUMMYFUNCTION("""COMPUTED_VALUE"""),0.0)</f>
        <v>0</v>
      </c>
      <c r="F1493" s="273">
        <f>IFERROR(__xludf.DUMMYFUNCTION("""COMPUTED_VALUE"""),4.0)</f>
        <v>4</v>
      </c>
      <c r="G1493" t="str">
        <f>IFERROR(__xludf.DUMMYFUNCTION("""COMPUTED_VALUE"""),"Sabun batang 1 Box ( 2 PCS )")</f>
        <v>Sabun batang 1 Box ( 2 PCS )</v>
      </c>
      <c r="H1493" s="469" t="str">
        <f>IFERROR(__xludf.DUMMYFUNCTION("""COMPUTED_VALUE"""),"Sampai")</f>
        <v>Sampai</v>
      </c>
      <c r="I1493" s="470" t="str">
        <f>IFERROR(__xludf.DUMMYFUNCTION("""COMPUTED_VALUE"""),"KIMME")</f>
        <v>KIMME</v>
      </c>
      <c r="J1493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493" s="470" t="str">
        <f>IFERROR(__xludf.DUMMYFUNCTION("""COMPUTED_VALUE"""),"KIMME")</f>
        <v>KIMME</v>
      </c>
      <c r="L1493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493" s="470"/>
      <c r="N1493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493" s="470"/>
      <c r="P1493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494">
      <c r="A1494" s="282" t="str">
        <f>IFERROR(__xludf.DUMMYFUNCTION("""COMPUTED_VALUE"""),"MICRO")</f>
        <v>MICRO</v>
      </c>
      <c r="B1494" s="468" t="str">
        <f>IFERROR(__xludf.DUMMYFUNCTION("""COMPUTED_VALUE"""),"mala_imeldayunus22")</f>
        <v>mala_imeldayunus22</v>
      </c>
      <c r="C1494" s="283" t="str">
        <f>IFERROR(__xludf.DUMMYFUNCTION("""COMPUTED_VALUE"""),"https://www.tiktok.com/@mala_imeldayunus22")</f>
        <v>https://www.tiktok.com/@mala_imeldayunus22</v>
      </c>
      <c r="D1494" s="273">
        <f>IFERROR(__xludf.DUMMYFUNCTION("""COMPUTED_VALUE"""),8.2177795171E10)</f>
        <v>82177795171</v>
      </c>
      <c r="E1494" s="458">
        <f>IFERROR(__xludf.DUMMYFUNCTION("""COMPUTED_VALUE"""),0.0)</f>
        <v>0</v>
      </c>
      <c r="F1494" s="273">
        <f>IFERROR(__xludf.DUMMYFUNCTION("""COMPUTED_VALUE"""),4.0)</f>
        <v>4</v>
      </c>
      <c r="G1494" t="str">
        <f>IFERROR(__xludf.DUMMYFUNCTION("""COMPUTED_VALUE"""),"Sabun batang 1 Box ( 2 PCS )")</f>
        <v>Sabun batang 1 Box ( 2 PCS )</v>
      </c>
      <c r="H1494" s="469" t="str">
        <f>IFERROR(__xludf.DUMMYFUNCTION("""COMPUTED_VALUE"""),"Sampai")</f>
        <v>Sampai</v>
      </c>
      <c r="I1494" s="470" t="str">
        <f>IFERROR(__xludf.DUMMYFUNCTION("""COMPUTED_VALUE"""),"KIMME")</f>
        <v>KIMME</v>
      </c>
      <c r="J1494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494" s="470" t="str">
        <f>IFERROR(__xludf.DUMMYFUNCTION("""COMPUTED_VALUE"""),"KIMME")</f>
        <v>KIMME</v>
      </c>
      <c r="L1494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494" s="470"/>
      <c r="N1494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494" s="470"/>
      <c r="P1494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495">
      <c r="A1495" s="282" t="str">
        <f>IFERROR(__xludf.DUMMYFUNCTION("""COMPUTED_VALUE"""),"MICRO")</f>
        <v>MICRO</v>
      </c>
      <c r="B1495" s="468" t="str">
        <f>IFERROR(__xludf.DUMMYFUNCTION("""COMPUTED_VALUE"""),"racunmaknita")</f>
        <v>racunmaknita</v>
      </c>
      <c r="C1495" s="283" t="str">
        <f>IFERROR(__xludf.DUMMYFUNCTION("""COMPUTED_VALUE"""),"https://www.tiktok.com/@racunmaknita")</f>
        <v>https://www.tiktok.com/@racunmaknita</v>
      </c>
      <c r="D1495" s="273">
        <f>IFERROR(__xludf.DUMMYFUNCTION("""COMPUTED_VALUE"""),8.8210302474E10)</f>
        <v>88210302474</v>
      </c>
      <c r="E1495" s="458">
        <f>IFERROR(__xludf.DUMMYFUNCTION("""COMPUTED_VALUE"""),0.0)</f>
        <v>0</v>
      </c>
      <c r="F1495" s="273">
        <f>IFERROR(__xludf.DUMMYFUNCTION("""COMPUTED_VALUE"""),4.0)</f>
        <v>4</v>
      </c>
      <c r="G1495" t="str">
        <f>IFERROR(__xludf.DUMMYFUNCTION("""COMPUTED_VALUE"""),"Sabun batang 1 Box ( 2 PCS )")</f>
        <v>Sabun batang 1 Box ( 2 PCS )</v>
      </c>
      <c r="H1495" s="469" t="str">
        <f>IFERROR(__xludf.DUMMYFUNCTION("""COMPUTED_VALUE"""),"Sampai")</f>
        <v>Sampai</v>
      </c>
      <c r="I1495" s="470" t="str">
        <f>IFERROR(__xludf.DUMMYFUNCTION("""COMPUTED_VALUE"""),"KIMME")</f>
        <v>KIMME</v>
      </c>
      <c r="J1495" s="471" t="str">
        <f>IFERROR(__xludf.DUMMYFUNCTION("""COMPUTED_VALUE"""),"https://vt.tiktok.com/ZS9HRrB2a/")</f>
        <v>https://vt.tiktok.com/ZS9HRrB2a/</v>
      </c>
      <c r="K1495" s="470" t="str">
        <f>IFERROR(__xludf.DUMMYFUNCTION("""COMPUTED_VALUE"""),"KIMME")</f>
        <v>KIMME</v>
      </c>
      <c r="L1495" s="471" t="str">
        <f>IFERROR(__xludf.DUMMYFUNCTION("""COMPUTED_VALUE"""),"https://vt.tiktok.com/ZS9HRA3o4/")</f>
        <v>https://vt.tiktok.com/ZS9HRA3o4/</v>
      </c>
      <c r="M1495" s="470"/>
      <c r="N1495" s="471" t="str">
        <f>IFERROR(__xludf.DUMMYFUNCTION("""COMPUTED_VALUE"""),"https://vt.tiktok.com/ZS9HRBPvh/")</f>
        <v>https://vt.tiktok.com/ZS9HRBPvh/</v>
      </c>
      <c r="O1495" s="470"/>
      <c r="P1495" s="471" t="str">
        <f>IFERROR(__xludf.DUMMYFUNCTION("""COMPUTED_VALUE"""),"https://vt.tiktok.com/ZSxHPvXuP/")</f>
        <v>https://vt.tiktok.com/ZSxHPvXuP/</v>
      </c>
    </row>
    <row r="1496">
      <c r="A1496" s="282" t="str">
        <f>IFERROR(__xludf.DUMMYFUNCTION("""COMPUTED_VALUE"""),"MICRO")</f>
        <v>MICRO</v>
      </c>
      <c r="B1496" s="468" t="str">
        <f>IFERROR(__xludf.DUMMYFUNCTION("""COMPUTED_VALUE"""),"asmorobeauty")</f>
        <v>asmorobeauty</v>
      </c>
      <c r="C1496" s="283" t="str">
        <f>IFERROR(__xludf.DUMMYFUNCTION("""COMPUTED_VALUE"""),"https://www.tiktok.com/@asmorobeauty")</f>
        <v>https://www.tiktok.com/@asmorobeauty</v>
      </c>
      <c r="D1496" s="273">
        <f>IFERROR(__xludf.DUMMYFUNCTION("""COMPUTED_VALUE"""),8.568383894E9)</f>
        <v>8568383894</v>
      </c>
      <c r="E1496" s="458">
        <f>IFERROR(__xludf.DUMMYFUNCTION("""COMPUTED_VALUE"""),0.0)</f>
        <v>0</v>
      </c>
      <c r="F1496" s="273">
        <f>IFERROR(__xludf.DUMMYFUNCTION("""COMPUTED_VALUE"""),4.0)</f>
        <v>4</v>
      </c>
      <c r="G1496" t="str">
        <f>IFERROR(__xludf.DUMMYFUNCTION("""COMPUTED_VALUE"""),"Sabun batang 1 Box ( 2 PCS )")</f>
        <v>Sabun batang 1 Box ( 2 PCS )</v>
      </c>
      <c r="H1496" s="469" t="str">
        <f>IFERROR(__xludf.DUMMYFUNCTION("""COMPUTED_VALUE"""),"Sampai")</f>
        <v>Sampai</v>
      </c>
      <c r="I1496" s="470" t="str">
        <f>IFERROR(__xludf.DUMMYFUNCTION("""COMPUTED_VALUE"""),"KIMME")</f>
        <v>KIMME</v>
      </c>
      <c r="J1496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496" s="470" t="str">
        <f>IFERROR(__xludf.DUMMYFUNCTION("""COMPUTED_VALUE"""),"KIMME")</f>
        <v>KIMME</v>
      </c>
      <c r="L1496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496" s="470"/>
      <c r="N1496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496" s="470"/>
      <c r="P1496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497">
      <c r="A1497" s="282" t="str">
        <f>IFERROR(__xludf.DUMMYFUNCTION("""COMPUTED_VALUE"""),"MICRO")</f>
        <v>MICRO</v>
      </c>
      <c r="B1497" s="468" t="str">
        <f>IFERROR(__xludf.DUMMYFUNCTION("""COMPUTED_VALUE"""),"saachristy")</f>
        <v>saachristy</v>
      </c>
      <c r="C1497" s="283" t="str">
        <f>IFERROR(__xludf.DUMMYFUNCTION("""COMPUTED_VALUE"""),"https://www.tiktok.com/@saachristy")</f>
        <v>https://www.tiktok.com/@saachristy</v>
      </c>
      <c r="D1497" s="273">
        <f>IFERROR(__xludf.DUMMYFUNCTION("""COMPUTED_VALUE"""),8.3838632006E10)</f>
        <v>83838632006</v>
      </c>
      <c r="E1497" s="458">
        <f>IFERROR(__xludf.DUMMYFUNCTION("""COMPUTED_VALUE"""),0.0)</f>
        <v>0</v>
      </c>
      <c r="F1497" s="273">
        <f>IFERROR(__xludf.DUMMYFUNCTION("""COMPUTED_VALUE"""),4.0)</f>
        <v>4</v>
      </c>
      <c r="G1497" t="str">
        <f>IFERROR(__xludf.DUMMYFUNCTION("""COMPUTED_VALUE"""),"Sabun batang 1 Box ( 2 PCS )")</f>
        <v>Sabun batang 1 Box ( 2 PCS )</v>
      </c>
      <c r="H1497" s="469" t="str">
        <f>IFERROR(__xludf.DUMMYFUNCTION("""COMPUTED_VALUE"""),"Sampai")</f>
        <v>Sampai</v>
      </c>
      <c r="I1497" s="470" t="str">
        <f>IFERROR(__xludf.DUMMYFUNCTION("""COMPUTED_VALUE"""),"KIMME")</f>
        <v>KIMME</v>
      </c>
      <c r="J1497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497" s="470" t="str">
        <f>IFERROR(__xludf.DUMMYFUNCTION("""COMPUTED_VALUE"""),"KIMME")</f>
        <v>KIMME</v>
      </c>
      <c r="L1497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497" s="470"/>
      <c r="N1497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497" s="470"/>
      <c r="P1497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498">
      <c r="A1498" s="282" t="str">
        <f>IFERROR(__xludf.DUMMYFUNCTION("""COMPUTED_VALUE"""),"MICRO")</f>
        <v>MICRO</v>
      </c>
      <c r="B1498" s="468" t="str">
        <f>IFERROR(__xludf.DUMMYFUNCTION("""COMPUTED_VALUE"""),"ammard1306")</f>
        <v>ammard1306</v>
      </c>
      <c r="C1498" s="283" t="str">
        <f>IFERROR(__xludf.DUMMYFUNCTION("""COMPUTED_VALUE"""),"https://www.tiktok.com/@ammard1306")</f>
        <v>https://www.tiktok.com/@ammard1306</v>
      </c>
      <c r="D1498" s="273">
        <f>IFERROR(__xludf.DUMMYFUNCTION("""COMPUTED_VALUE"""),8.1546277348E10)</f>
        <v>81546277348</v>
      </c>
      <c r="E1498" s="458">
        <f>IFERROR(__xludf.DUMMYFUNCTION("""COMPUTED_VALUE"""),0.0)</f>
        <v>0</v>
      </c>
      <c r="F1498" s="273">
        <f>IFERROR(__xludf.DUMMYFUNCTION("""COMPUTED_VALUE"""),4.0)</f>
        <v>4</v>
      </c>
      <c r="G1498" t="str">
        <f>IFERROR(__xludf.DUMMYFUNCTION("""COMPUTED_VALUE"""),"Sabun batang 1 Box ( 2 PCS )")</f>
        <v>Sabun batang 1 Box ( 2 PCS )</v>
      </c>
      <c r="H1498" s="469" t="str">
        <f>IFERROR(__xludf.DUMMYFUNCTION("""COMPUTED_VALUE"""),"Sampai")</f>
        <v>Sampai</v>
      </c>
      <c r="I1498" s="470" t="str">
        <f>IFERROR(__xludf.DUMMYFUNCTION("""COMPUTED_VALUE"""),"KIMME")</f>
        <v>KIMME</v>
      </c>
      <c r="J1498" s="471" t="str">
        <f>IFERROR(__xludf.DUMMYFUNCTION("""COMPUTED_VALUE"""),"https://vt.tiktok.com/ZS9HRrB2a/")</f>
        <v>https://vt.tiktok.com/ZS9HRrB2a/</v>
      </c>
      <c r="K1498" s="470" t="str">
        <f>IFERROR(__xludf.DUMMYFUNCTION("""COMPUTED_VALUE"""),"KIMME")</f>
        <v>KIMME</v>
      </c>
      <c r="L1498" s="471" t="str">
        <f>IFERROR(__xludf.DUMMYFUNCTION("""COMPUTED_VALUE"""),"https://vt.tiktok.com/ZS9HRA3o4/")</f>
        <v>https://vt.tiktok.com/ZS9HRA3o4/</v>
      </c>
      <c r="M1498" s="470"/>
      <c r="N1498" s="471" t="str">
        <f>IFERROR(__xludf.DUMMYFUNCTION("""COMPUTED_VALUE"""),"https://vt.tiktok.com/ZS9HRBPvh/")</f>
        <v>https://vt.tiktok.com/ZS9HRBPvh/</v>
      </c>
      <c r="O1498" s="470"/>
      <c r="P1498" s="471" t="str">
        <f>IFERROR(__xludf.DUMMYFUNCTION("""COMPUTED_VALUE"""),"https://vt.tiktok.com/ZSxHPGgb6/")</f>
        <v>https://vt.tiktok.com/ZSxHPGgb6/</v>
      </c>
    </row>
    <row r="1499">
      <c r="A1499" s="282" t="str">
        <f>IFERROR(__xludf.DUMMYFUNCTION("""COMPUTED_VALUE"""),"MICRO")</f>
        <v>MICRO</v>
      </c>
      <c r="B1499" s="468" t="str">
        <f>IFERROR(__xludf.DUMMYFUNCTION("""COMPUTED_VALUE"""),"Spillbyputri4")</f>
        <v>Spillbyputri4</v>
      </c>
      <c r="C1499" s="283" t="str">
        <f>IFERROR(__xludf.DUMMYFUNCTION("""COMPUTED_VALUE"""),"https://www.tiktok.com/@Spillbyputri4")</f>
        <v>https://www.tiktok.com/@Spillbyputri4</v>
      </c>
      <c r="D1499" s="273">
        <f>IFERROR(__xludf.DUMMYFUNCTION("""COMPUTED_VALUE"""),8.3815444388E10)</f>
        <v>83815444388</v>
      </c>
      <c r="E1499" s="458">
        <f>IFERROR(__xludf.DUMMYFUNCTION("""COMPUTED_VALUE"""),0.0)</f>
        <v>0</v>
      </c>
      <c r="F1499" s="273">
        <f>IFERROR(__xludf.DUMMYFUNCTION("""COMPUTED_VALUE"""),4.0)</f>
        <v>4</v>
      </c>
      <c r="G1499" t="str">
        <f>IFERROR(__xludf.DUMMYFUNCTION("""COMPUTED_VALUE"""),"Sabun batang 1 Box ( 2 PCS )")</f>
        <v>Sabun batang 1 Box ( 2 PCS )</v>
      </c>
      <c r="H1499" s="469" t="str">
        <f>IFERROR(__xludf.DUMMYFUNCTION("""COMPUTED_VALUE"""),"Sampai")</f>
        <v>Sampai</v>
      </c>
      <c r="I1499" s="470" t="str">
        <f>IFERROR(__xludf.DUMMYFUNCTION("""COMPUTED_VALUE"""),"KIMME")</f>
        <v>KIMME</v>
      </c>
      <c r="J1499" s="471" t="str">
        <f>IFERROR(__xludf.DUMMYFUNCTION("""COMPUTED_VALUE"""),"https://vt.tiktok.com/ZS9HRrB2a/")</f>
        <v>https://vt.tiktok.com/ZS9HRrB2a/</v>
      </c>
      <c r="K1499" s="470" t="str">
        <f>IFERROR(__xludf.DUMMYFUNCTION("""COMPUTED_VALUE"""),"KIMME")</f>
        <v>KIMME</v>
      </c>
      <c r="L1499" s="471" t="str">
        <f>IFERROR(__xludf.DUMMYFUNCTION("""COMPUTED_VALUE"""),"https://vt.tiktok.com/ZS9HRA3o4/")</f>
        <v>https://vt.tiktok.com/ZS9HRA3o4/</v>
      </c>
      <c r="M1499" s="470"/>
      <c r="N1499" s="471" t="str">
        <f>IFERROR(__xludf.DUMMYFUNCTION("""COMPUTED_VALUE"""),"https://vt.tiktok.com/ZS9HRBPvh/")</f>
        <v>https://vt.tiktok.com/ZS9HRBPvh/</v>
      </c>
      <c r="O1499" s="470"/>
      <c r="P1499" s="471" t="str">
        <f>IFERROR(__xludf.DUMMYFUNCTION("""COMPUTED_VALUE"""),"https://vt.tiktok.com/ZSxWfWgDd/")</f>
        <v>https://vt.tiktok.com/ZSxWfWgDd/</v>
      </c>
    </row>
    <row r="1500">
      <c r="A1500" s="282" t="str">
        <f>IFERROR(__xludf.DUMMYFUNCTION("""COMPUTED_VALUE"""),"MICRO")</f>
        <v>MICRO</v>
      </c>
      <c r="B1500" s="468" t="str">
        <f>IFERROR(__xludf.DUMMYFUNCTION("""COMPUTED_VALUE"""),"idaroyani096")</f>
        <v>idaroyani096</v>
      </c>
      <c r="C1500" s="283" t="str">
        <f>IFERROR(__xludf.DUMMYFUNCTION("""COMPUTED_VALUE"""),"https://www.tiktok.com/@idaroyani096")</f>
        <v>https://www.tiktok.com/@idaroyani096</v>
      </c>
      <c r="D1500" s="273">
        <f>IFERROR(__xludf.DUMMYFUNCTION("""COMPUTED_VALUE"""),8.7853847994E10)</f>
        <v>87853847994</v>
      </c>
      <c r="E1500" s="458">
        <f>IFERROR(__xludf.DUMMYFUNCTION("""COMPUTED_VALUE"""),0.0)</f>
        <v>0</v>
      </c>
      <c r="F1500" s="273">
        <f>IFERROR(__xludf.DUMMYFUNCTION("""COMPUTED_VALUE"""),4.0)</f>
        <v>4</v>
      </c>
      <c r="G1500" t="str">
        <f>IFERROR(__xludf.DUMMYFUNCTION("""COMPUTED_VALUE"""),"Sabun batang 1 Box ( 2 PCS )")</f>
        <v>Sabun batang 1 Box ( 2 PCS )</v>
      </c>
      <c r="H1500" s="469" t="str">
        <f>IFERROR(__xludf.DUMMYFUNCTION("""COMPUTED_VALUE"""),"Sampai")</f>
        <v>Sampai</v>
      </c>
      <c r="I1500" s="470" t="str">
        <f>IFERROR(__xludf.DUMMYFUNCTION("""COMPUTED_VALUE"""),"KIMME")</f>
        <v>KIMME</v>
      </c>
      <c r="J1500" s="471" t="str">
        <f>IFERROR(__xludf.DUMMYFUNCTION("""COMPUTED_VALUE"""),"https://vt.tiktok.com/ZS9HRrB2a/")</f>
        <v>https://vt.tiktok.com/ZS9HRrB2a/</v>
      </c>
      <c r="K1500" s="470" t="str">
        <f>IFERROR(__xludf.DUMMYFUNCTION("""COMPUTED_VALUE"""),"KIMME")</f>
        <v>KIMME</v>
      </c>
      <c r="L1500" s="471" t="str">
        <f>IFERROR(__xludf.DUMMYFUNCTION("""COMPUTED_VALUE"""),"https://vt.tiktok.com/ZS9HRA3o4/")</f>
        <v>https://vt.tiktok.com/ZS9HRA3o4/</v>
      </c>
      <c r="M1500" s="470"/>
      <c r="N1500" s="471" t="str">
        <f>IFERROR(__xludf.DUMMYFUNCTION("""COMPUTED_VALUE"""),"https://vt.tiktok.com/ZS9HRBPvh/")</f>
        <v>https://vt.tiktok.com/ZS9HRBPvh/</v>
      </c>
      <c r="O1500" s="470"/>
      <c r="P1500" s="471" t="str">
        <f>IFERROR(__xludf.DUMMYFUNCTION("""COMPUTED_VALUE"""),"https://vt.tiktok.com/ZSxWftKEx/")</f>
        <v>https://vt.tiktok.com/ZSxWftKEx/</v>
      </c>
    </row>
    <row r="1501">
      <c r="A1501" s="282" t="str">
        <f>IFERROR(__xludf.DUMMYFUNCTION("""COMPUTED_VALUE"""),"MICRO")</f>
        <v>MICRO</v>
      </c>
      <c r="B1501" s="468" t="str">
        <f>IFERROR(__xludf.DUMMYFUNCTION("""COMPUTED_VALUE"""),"dimarcebbing")</f>
        <v>dimarcebbing</v>
      </c>
      <c r="C1501" s="283" t="str">
        <f>IFERROR(__xludf.DUMMYFUNCTION("""COMPUTED_VALUE"""),"https://www.tiktok.com/@dimarcebbing")</f>
        <v>https://www.tiktok.com/@dimarcebbing</v>
      </c>
      <c r="D1501" s="273">
        <f>IFERROR(__xludf.DUMMYFUNCTION("""COMPUTED_VALUE"""),8.7894361574E10)</f>
        <v>87894361574</v>
      </c>
      <c r="E1501" s="458">
        <f>IFERROR(__xludf.DUMMYFUNCTION("""COMPUTED_VALUE"""),0.0)</f>
        <v>0</v>
      </c>
      <c r="F1501" s="273">
        <f>IFERROR(__xludf.DUMMYFUNCTION("""COMPUTED_VALUE"""),4.0)</f>
        <v>4</v>
      </c>
      <c r="G1501" t="str">
        <f>IFERROR(__xludf.DUMMYFUNCTION("""COMPUTED_VALUE"""),"Sabun batang 1 Box ( 2 PCS )")</f>
        <v>Sabun batang 1 Box ( 2 PCS )</v>
      </c>
      <c r="H1501" s="469" t="str">
        <f>IFERROR(__xludf.DUMMYFUNCTION("""COMPUTED_VALUE"""),"Sampai")</f>
        <v>Sampai</v>
      </c>
      <c r="I1501" s="470" t="str">
        <f>IFERROR(__xludf.DUMMYFUNCTION("""COMPUTED_VALUE"""),"KIMME")</f>
        <v>KIMME</v>
      </c>
      <c r="J1501" s="471" t="str">
        <f>IFERROR(__xludf.DUMMYFUNCTION("""COMPUTED_VALUE"""),"https://vt.tiktok.com/ZS9HRrB2a/")</f>
        <v>https://vt.tiktok.com/ZS9HRrB2a/</v>
      </c>
      <c r="K1501" s="470" t="str">
        <f>IFERROR(__xludf.DUMMYFUNCTION("""COMPUTED_VALUE"""),"KIMME")</f>
        <v>KIMME</v>
      </c>
      <c r="L1501" s="471" t="str">
        <f>IFERROR(__xludf.DUMMYFUNCTION("""COMPUTED_VALUE"""),"https://vt.tiktok.com/ZS9HRA3o4/")</f>
        <v>https://vt.tiktok.com/ZS9HRA3o4/</v>
      </c>
      <c r="M1501" s="470"/>
      <c r="N1501" s="471" t="str">
        <f>IFERROR(__xludf.DUMMYFUNCTION("""COMPUTED_VALUE"""),"https://vt.tiktok.com/ZS9HRBPvh/")</f>
        <v>https://vt.tiktok.com/ZS9HRBPvh/</v>
      </c>
      <c r="O1501" s="470"/>
      <c r="P1501" t="str">
        <f>IFERROR(__xludf.DUMMYFUNCTION("""COMPUTED_VALUE"""),"⁠https://vt.tiktok.com/ZSxy6UWFo/")</f>
        <v>⁠https://vt.tiktok.com/ZSxy6UWFo/</v>
      </c>
    </row>
    <row r="1502">
      <c r="A1502" s="282" t="str">
        <f>IFERROR(__xludf.DUMMYFUNCTION("""COMPUTED_VALUE"""),"MICRO")</f>
        <v>MICRO</v>
      </c>
      <c r="B1502" s="468" t="str">
        <f>IFERROR(__xludf.DUMMYFUNCTION("""COMPUTED_VALUE"""),"alkhaira99")</f>
        <v>alkhaira99</v>
      </c>
      <c r="C1502" s="283" t="str">
        <f>IFERROR(__xludf.DUMMYFUNCTION("""COMPUTED_VALUE"""),"https://www.tiktok.com/@alkhaira99")</f>
        <v>https://www.tiktok.com/@alkhaira99</v>
      </c>
      <c r="D1502" s="273">
        <f>IFERROR(__xludf.DUMMYFUNCTION("""COMPUTED_VALUE"""),8.1271433947E10)</f>
        <v>81271433947</v>
      </c>
      <c r="E1502" s="458">
        <f>IFERROR(__xludf.DUMMYFUNCTION("""COMPUTED_VALUE"""),0.0)</f>
        <v>0</v>
      </c>
      <c r="F1502" s="273">
        <f>IFERROR(__xludf.DUMMYFUNCTION("""COMPUTED_VALUE"""),4.0)</f>
        <v>4</v>
      </c>
      <c r="G1502" t="str">
        <f>IFERROR(__xludf.DUMMYFUNCTION("""COMPUTED_VALUE"""),"Sabun batang 1 Box ( 2 PCS )")</f>
        <v>Sabun batang 1 Box ( 2 PCS )</v>
      </c>
      <c r="H1502" s="469" t="str">
        <f>IFERROR(__xludf.DUMMYFUNCTION("""COMPUTED_VALUE"""),"Sampai")</f>
        <v>Sampai</v>
      </c>
      <c r="I1502" s="470" t="str">
        <f>IFERROR(__xludf.DUMMYFUNCTION("""COMPUTED_VALUE"""),"KIMME")</f>
        <v>KIMME</v>
      </c>
      <c r="J1502" s="471" t="str">
        <f>IFERROR(__xludf.DUMMYFUNCTION("""COMPUTED_VALUE"""),"https://vt.tiktok.com/ZS9HRrB2a/")</f>
        <v>https://vt.tiktok.com/ZS9HRrB2a/</v>
      </c>
      <c r="K1502" s="470" t="str">
        <f>IFERROR(__xludf.DUMMYFUNCTION("""COMPUTED_VALUE"""),"KIMME")</f>
        <v>KIMME</v>
      </c>
      <c r="L1502" s="471" t="str">
        <f>IFERROR(__xludf.DUMMYFUNCTION("""COMPUTED_VALUE"""),"https://vt.tiktok.com/ZS9HRA3o4/")</f>
        <v>https://vt.tiktok.com/ZS9HRA3o4/</v>
      </c>
      <c r="M1502" s="470"/>
      <c r="N1502" s="471" t="str">
        <f>IFERROR(__xludf.DUMMYFUNCTION("""COMPUTED_VALUE"""),"https://vt.tiktok.com/ZS9HRBPvh/")</f>
        <v>https://vt.tiktok.com/ZS9HRBPvh/</v>
      </c>
      <c r="O1502" s="470"/>
      <c r="P1502" t="str">
        <f>IFERROR(__xludf.DUMMYFUNCTION("""COMPUTED_VALUE"""),"⁠https://vt.tiktok.com/ZSxghbF31/")</f>
        <v>⁠https://vt.tiktok.com/ZSxghbF31/</v>
      </c>
    </row>
    <row r="1503">
      <c r="A1503" s="282" t="str">
        <f>IFERROR(__xludf.DUMMYFUNCTION("""COMPUTED_VALUE"""),"MICRO")</f>
        <v>MICRO</v>
      </c>
      <c r="B1503" s="468" t="str">
        <f>IFERROR(__xludf.DUMMYFUNCTION("""COMPUTED_VALUE"""),"iluhhh09")</f>
        <v>iluhhh09</v>
      </c>
      <c r="C1503" s="283" t="str">
        <f>IFERROR(__xludf.DUMMYFUNCTION("""COMPUTED_VALUE"""),"https://www.tiktok.com/@iluhhh09")</f>
        <v>https://www.tiktok.com/@iluhhh09</v>
      </c>
      <c r="D1503" s="273">
        <f>IFERROR(__xludf.DUMMYFUNCTION("""COMPUTED_VALUE"""),8.7762386023E10)</f>
        <v>87762386023</v>
      </c>
      <c r="E1503" s="458">
        <f>IFERROR(__xludf.DUMMYFUNCTION("""COMPUTED_VALUE"""),0.0)</f>
        <v>0</v>
      </c>
      <c r="F1503" s="273">
        <f>IFERROR(__xludf.DUMMYFUNCTION("""COMPUTED_VALUE"""),4.0)</f>
        <v>4</v>
      </c>
      <c r="G1503" t="str">
        <f>IFERROR(__xludf.DUMMYFUNCTION("""COMPUTED_VALUE"""),"Sabun batang 1 Box ( 2 PCS )")</f>
        <v>Sabun batang 1 Box ( 2 PCS )</v>
      </c>
      <c r="H1503" s="469" t="str">
        <f>IFERROR(__xludf.DUMMYFUNCTION("""COMPUTED_VALUE"""),"Sampai")</f>
        <v>Sampai</v>
      </c>
      <c r="I1503" s="470" t="str">
        <f>IFERROR(__xludf.DUMMYFUNCTION("""COMPUTED_VALUE"""),"KIMME")</f>
        <v>KIMME</v>
      </c>
      <c r="J1503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03" s="470" t="str">
        <f>IFERROR(__xludf.DUMMYFUNCTION("""COMPUTED_VALUE"""),"KIMME")</f>
        <v>KIMME</v>
      </c>
      <c r="L1503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03" s="470"/>
      <c r="N1503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03" s="470"/>
      <c r="P1503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04">
      <c r="A1504" s="282" t="str">
        <f>IFERROR(__xludf.DUMMYFUNCTION("""COMPUTED_VALUE"""),"MICRO")</f>
        <v>MICRO</v>
      </c>
      <c r="B1504" s="468" t="str">
        <f>IFERROR(__xludf.DUMMYFUNCTION("""COMPUTED_VALUE"""),"tianurocta")</f>
        <v>tianurocta</v>
      </c>
      <c r="C1504" s="283" t="str">
        <f>IFERROR(__xludf.DUMMYFUNCTION("""COMPUTED_VALUE"""),"https://www.tiktok.com/@tianurocta")</f>
        <v>https://www.tiktok.com/@tianurocta</v>
      </c>
      <c r="D1504" s="273">
        <f>IFERROR(__xludf.DUMMYFUNCTION("""COMPUTED_VALUE"""),8.5727174115E10)</f>
        <v>85727174115</v>
      </c>
      <c r="E1504" s="458">
        <f>IFERROR(__xludf.DUMMYFUNCTION("""COMPUTED_VALUE"""),0.0)</f>
        <v>0</v>
      </c>
      <c r="F1504" s="273">
        <f>IFERROR(__xludf.DUMMYFUNCTION("""COMPUTED_VALUE"""),1.0)</f>
        <v>1</v>
      </c>
      <c r="G1504" t="str">
        <f>IFERROR(__xludf.DUMMYFUNCTION("""COMPUTED_VALUE"""),"Sabun batang 1 Box ( 2 PCS )")</f>
        <v>Sabun batang 1 Box ( 2 PCS )</v>
      </c>
      <c r="H1504" s="469" t="str">
        <f>IFERROR(__xludf.DUMMYFUNCTION("""COMPUTED_VALUE"""),"Sampai")</f>
        <v>Sampai</v>
      </c>
      <c r="I1504" s="470" t="str">
        <f>IFERROR(__xludf.DUMMYFUNCTION("""COMPUTED_VALUE"""),"KIMME")</f>
        <v>KIMME</v>
      </c>
      <c r="J1504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04" s="470" t="str">
        <f>IFERROR(__xludf.DUMMYFUNCTION("""COMPUTED_VALUE"""),"KIMME")</f>
        <v>KIMME</v>
      </c>
      <c r="L1504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04" s="470"/>
      <c r="N1504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04" s="470"/>
      <c r="P1504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05">
      <c r="A1505" s="282" t="str">
        <f>IFERROR(__xludf.DUMMYFUNCTION("""COMPUTED_VALUE"""),"MICRO")</f>
        <v>MICRO</v>
      </c>
      <c r="B1505" s="468" t="str">
        <f>IFERROR(__xludf.DUMMYFUNCTION("""COMPUTED_VALUE"""),"racunbyjes")</f>
        <v>racunbyjes</v>
      </c>
      <c r="C1505" s="283" t="str">
        <f>IFERROR(__xludf.DUMMYFUNCTION("""COMPUTED_VALUE"""),"https://www.tiktok.com/@racunbyjes")</f>
        <v>https://www.tiktok.com/@racunbyjes</v>
      </c>
      <c r="D1505" s="273">
        <f>IFERROR(__xludf.DUMMYFUNCTION("""COMPUTED_VALUE"""),8.99346288E9)</f>
        <v>8993462880</v>
      </c>
      <c r="E1505" s="458">
        <f>IFERROR(__xludf.DUMMYFUNCTION("""COMPUTED_VALUE"""),0.0)</f>
        <v>0</v>
      </c>
      <c r="F1505" s="273">
        <f>IFERROR(__xludf.DUMMYFUNCTION("""COMPUTED_VALUE"""),4.0)</f>
        <v>4</v>
      </c>
      <c r="G1505" t="str">
        <f>IFERROR(__xludf.DUMMYFUNCTION("""COMPUTED_VALUE"""),"Sabun batang 1 Box ( 2 PCS )")</f>
        <v>Sabun batang 1 Box ( 2 PCS )</v>
      </c>
      <c r="H1505" s="469" t="str">
        <f>IFERROR(__xludf.DUMMYFUNCTION("""COMPUTED_VALUE"""),"Sampai")</f>
        <v>Sampai</v>
      </c>
      <c r="I1505" s="470" t="str">
        <f>IFERROR(__xludf.DUMMYFUNCTION("""COMPUTED_VALUE"""),"KIMME")</f>
        <v>KIMME</v>
      </c>
      <c r="J1505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05" s="470" t="str">
        <f>IFERROR(__xludf.DUMMYFUNCTION("""COMPUTED_VALUE"""),"KIMME")</f>
        <v>KIMME</v>
      </c>
      <c r="L1505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05" s="470"/>
      <c r="N1505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05" s="470"/>
      <c r="P1505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06">
      <c r="A1506" s="282" t="str">
        <f>IFERROR(__xludf.DUMMYFUNCTION("""COMPUTED_VALUE"""),"MICRO")</f>
        <v>MICRO</v>
      </c>
      <c r="B1506" s="468" t="str">
        <f>IFERROR(__xludf.DUMMYFUNCTION("""COMPUTED_VALUE"""),"annisaistiqomahh1")</f>
        <v>annisaistiqomahh1</v>
      </c>
      <c r="C1506" s="283" t="str">
        <f>IFERROR(__xludf.DUMMYFUNCTION("""COMPUTED_VALUE"""),"https://www.tiktok.com/@annisaistiqomahh1")</f>
        <v>https://www.tiktok.com/@annisaistiqomahh1</v>
      </c>
      <c r="D1506" s="273">
        <f>IFERROR(__xludf.DUMMYFUNCTION("""COMPUTED_VALUE"""),8.1293412805E10)</f>
        <v>81293412805</v>
      </c>
      <c r="E1506" s="458">
        <f>IFERROR(__xludf.DUMMYFUNCTION("""COMPUTED_VALUE"""),0.0)</f>
        <v>0</v>
      </c>
      <c r="F1506" s="273">
        <f>IFERROR(__xludf.DUMMYFUNCTION("""COMPUTED_VALUE"""),4.0)</f>
        <v>4</v>
      </c>
      <c r="G1506" t="str">
        <f>IFERROR(__xludf.DUMMYFUNCTION("""COMPUTED_VALUE"""),"Sabun batang 1 Box ( 2 PCS )")</f>
        <v>Sabun batang 1 Box ( 2 PCS )</v>
      </c>
      <c r="H1506" s="469" t="str">
        <f>IFERROR(__xludf.DUMMYFUNCTION("""COMPUTED_VALUE"""),"Sampai")</f>
        <v>Sampai</v>
      </c>
      <c r="I1506" s="470" t="str">
        <f>IFERROR(__xludf.DUMMYFUNCTION("""COMPUTED_VALUE"""),"KIMME")</f>
        <v>KIMME</v>
      </c>
      <c r="J1506" s="471" t="str">
        <f>IFERROR(__xludf.DUMMYFUNCTION("""COMPUTED_VALUE"""),"https://www.tiktok.com/@annisaistiqomahh1/video/7636754468352036116?_r=1&amp;u_code=d8i26fa18b5a65&amp;region=&amp;mid=7543865832670710534&amp;preview_pb=0&amp;sharer_language=&amp;_d=0&amp;ec_shared_reflux_dynamic_params=%7B%22placeholder_material_id%22%3A%227636754468352036116%22%"&amp;"2C%22placeholder_origin_cover%22%3A%22https%253A%252F%252Fp16-common-sign.tiktokcdn.com%252Ftos-alisg-p-0037%252FoEFwfADeMMfD8FjTT1EkODoIAQx7ChRQo5kzEn~tplv-tiktokx-origin.jpeg%253Fdr%253D14572%2526refresh_token%253D9a8d1404%2526x-expires%253D1810116000%2"&amp;"526x-signature%253D2RifNgYpp7hCMRUpIPDrtZFfY%25252Fo%25253D%2526t%253D4d5b0474%2526ps%253D13740610%2526shp%253Dd05b14bd%2526shcp%253D34ff8df6%2526idc%253Dmy2%2526s%253DTIKTOK_AFFILIATE_VIRAL_VIDEO%22%2C%22placeholder_product_id%22%3A%221729427766722726591"&amp;"%22%2C%22placeholder_video_id%22%3A%227636754468352036116%22%7D&amp;ec_shared_reflux_scene=shop_tab_feed&amp;share_item_id=7636754468352036116&amp;source=h5_t")</f>
        <v>https://www.tiktok.com/@annisaistiqomahh1/video/7636754468352036116?_r=1&amp;u_code=d8i26fa18b5a65&amp;region=&amp;mid=7543865832670710534&amp;preview_pb=0&amp;sharer_language=&amp;_d=0&amp;ec_shared_reflux_dynamic_params=%7B%22placeholder_material_id%22%3A%227636754468352036116%22%2C%22placeholder_origin_cover%22%3A%22https%253A%252F%252Fp16-common-sign.tiktokcdn.com%252Ftos-alisg-p-0037%252FoEFwfADeMMfD8FjTT1EkODoIAQx7ChRQo5kzEn~tplv-tiktokx-origin.jpeg%253Fdr%253D14572%2526refresh_token%253D9a8d1404%2526x-expires%253D1810116000%2526x-signature%253D2RifNgYpp7hCMRUpIPDrtZFfY%25252Fo%25253D%2526t%253D4d5b0474%2526ps%253D13740610%2526shp%253Dd05b14bd%2526shcp%253D34ff8df6%2526idc%253Dmy2%2526s%253DTIKTOK_AFFILIATE_VIRAL_VIDEO%22%2C%22placeholder_product_id%22%3A%221729427766722726591%22%2C%22placeholder_video_id%22%3A%227636754468352036116%22%7D&amp;ec_shared_reflux_scene=shop_tab_feed&amp;share_item_id=7636754468352036116&amp;source=h5_t</v>
      </c>
      <c r="K1506" s="470" t="str">
        <f>IFERROR(__xludf.DUMMYFUNCTION("""COMPUTED_VALUE"""),"KIMME")</f>
        <v>KIMME</v>
      </c>
      <c r="L1506" s="471" t="str">
        <f>IFERROR(__xludf.DUMMYFUNCTION("""COMPUTED_VALUE"""),"https://www.tiktok.com/@annisaistiqomahh1/video/7637136147533008148?_r=1&amp;u_code=d8i26fa18b5a65&amp;region=&amp;mid=7632577313817447189&amp;preview_pb=0&amp;sharer_language=&amp;_d=0&amp;ec_shared_reflux_dynamic_params=%7B%22placeholder_material_id%22%3A%227637136147533008148%22%"&amp;"2C%22placeholder_origin_cover%22%3A%22https%253A%252F%252Fp16-common-sign.tiktokcdn.com%252Ftos-alisg-p-0037%252Fokfz8AMeZHfGcWGgndytxLwRABl5FxSAkf8RQ6~tplv-tiktokx-origin.jpeg%253Fdr%253D14572%2526refresh_token%253Ddc4f4ec3%2526x-expires%253D1810116000%2"&amp;"526x-signature%253DSKHhNszlAgLpPZBFS9YLp1KX32Y%25253D%2526t%253D4d5b0474%2526ps%253D13740610%2526shp%253Dd05b14bd%2526shcp%253D34ff8df6%2526idc%253Dmy2%2526s%253DTIKTOK_AFFILIATE_VIRAL_VIDEO%22%2C%22placeholder_product_id%22%3A%221729427766722726591%22%2C"&amp;"%22placeholder_video_id%22%3A%227637136147533008148%22%7D&amp;ec_shared_reflux_scene=shop_tab_feed&amp;share_item_id=7637136147533008148&amp;source=h5_t")</f>
        <v>https://www.tiktok.com/@annisaistiqomahh1/video/7637136147533008148?_r=1&amp;u_code=d8i26fa18b5a65&amp;region=&amp;mid=7632577313817447189&amp;preview_pb=0&amp;sharer_language=&amp;_d=0&amp;ec_shared_reflux_dynamic_params=%7B%22placeholder_material_id%22%3A%227637136147533008148%22%2C%22placeholder_origin_cover%22%3A%22https%253A%252F%252Fp16-common-sign.tiktokcdn.com%252Ftos-alisg-p-0037%252Fokfz8AMeZHfGcWGgndytxLwRABl5FxSAkf8RQ6~tplv-tiktokx-origin.jpeg%253Fdr%253D14572%2526refresh_token%253Ddc4f4ec3%2526x-expires%253D1810116000%2526x-signature%253DSKHhNszlAgLpPZBFS9YLp1KX32Y%25253D%2526t%253D4d5b0474%2526ps%253D13740610%2526shp%253Dd05b14bd%2526shcp%253D34ff8df6%2526idc%253Dmy2%2526s%253DTIKTOK_AFFILIATE_VIRAL_VIDEO%22%2C%22placeholder_product_id%22%3A%221729427766722726591%22%2C%22placeholder_video_id%22%3A%227637136147533008148%22%7D&amp;ec_shared_reflux_scene=shop_tab_feed&amp;share_item_id=7637136147533008148&amp;source=h5_t</v>
      </c>
      <c r="M1506" s="470"/>
      <c r="N1506" s="471" t="str">
        <f>IFERROR(__xludf.DUMMYFUNCTION("""COMPUTED_VALUE"""),"https://www.tiktok.com/@annisaistiqomahh1/video/7637489989797858581?_r=1&amp;u_code=d8i26fa18b5a65&amp;region=&amp;mid=7628927071062493200&amp;preview_pb=0&amp;sharer_language=&amp;_d=0&amp;ec_shared_reflux_dynamic_params=%7B%22placeholder_material_id%22%3A%227637489989797858581%22%"&amp;"2C%22placeholder_origin_cover%22%3A%22https%253A%252F%252Fp19-common-sign.tiktokcdn.com%252Ftos-alisg-p-0037%252FoMTLI9qIADEYcAdY108CfFLjCD4LWI56jdffaB~tplv-tiktokx-origin.jpeg%253Fdr%253D14572%2526refresh_token%253D02147cfd%2526x-expires%253D1810116000%2"&amp;"526x-signature%253DkbSnRUAGGQjZOoG2j%25252F7WWHa3v9s%25253D%2526t%253D4d5b0474%2526ps%253D13740610%2526shp%253Dd05b14bd%2526shcp%253D34ff8df6%2526idc%253Dmy2%2526s%253DTIKTOK_AFFILIATE_VIRAL_VIDEO%22%2C%22placeholder_product_id%22%3A%221729427766722726591"&amp;"%22%2C%22placeholder_video_id%22%3A%227637489989797858581%22%7D&amp;ec_shared_reflux_scene=shop_tab_feed&amp;share_item_id=7637489989797858581&amp;source=h5_t")</f>
        <v>https://www.tiktok.com/@annisaistiqomahh1/video/7637489989797858581?_r=1&amp;u_code=d8i26fa18b5a65&amp;region=&amp;mid=7628927071062493200&amp;preview_pb=0&amp;sharer_language=&amp;_d=0&amp;ec_shared_reflux_dynamic_params=%7B%22placeholder_material_id%22%3A%227637489989797858581%22%2C%22placeholder_origin_cover%22%3A%22https%253A%252F%252Fp19-common-sign.tiktokcdn.com%252Ftos-alisg-p-0037%252FoMTLI9qIADEYcAdY108CfFLjCD4LWI56jdffaB~tplv-tiktokx-origin.jpeg%253Fdr%253D14572%2526refresh_token%253D02147cfd%2526x-expires%253D1810116000%2526x-signature%253DkbSnRUAGGQjZOoG2j%25252F7WWHa3v9s%25253D%2526t%253D4d5b0474%2526ps%253D13740610%2526shp%253Dd05b14bd%2526shcp%253D34ff8df6%2526idc%253Dmy2%2526s%253DTIKTOK_AFFILIATE_VIRAL_VIDEO%22%2C%22placeholder_product_id%22%3A%221729427766722726591%22%2C%22placeholder_video_id%22%3A%227637489989797858581%22%7D&amp;ec_shared_reflux_scene=shop_tab_feed&amp;share_item_id=7637489989797858581&amp;source=h5_t</v>
      </c>
      <c r="O1506" s="470"/>
      <c r="P1506" s="471" t="str">
        <f>IFERROR(__xludf.DUMMYFUNCTION("""COMPUTED_VALUE"""),"https://www.tiktok.com/@annisaistiqomahh1/video/7637875082156723477?_r=1&amp;u_code=d8i26fa18b5a65&amp;region=&amp;mid=7617088734676552456&amp;preview_pb=0&amp;sharer_language=&amp;_d=0&amp;ec_shared_reflux_dynamic_params=%7B%22placeholder_material_id%22%3A%227637875082156723477%22%"&amp;"2C%22placeholder_origin_cover%22%3A%22https%253A%252F%252Fp16-common-sign.tiktokcdn.com%252Ftos-alisg-p-0037%252FoYEC2GeIWAfvnzMQsQF2GeAddQQmLKRDGdnlLf~tplv-tiktokx-origin.jpeg%253Fdr%253D14572%2526refresh_token%253D0fba5401%2526x-expires%253D1810116000%2"&amp;"526x-signature%253DqJu9wtBQrIDRIIrSw8OLOWrdRHI%25253D%2526t%253D4d5b0474%2526ps%253D13740610%2526shp%253Dd05b14bd%2526shcp%253D34ff8df6%2526idc%253Dmy2%2526s%253DTIKTOK_AFFILIATE_VIRAL_VIDEO%22%2C%22placeholder_product_id%22%3A%221729427766722726591%22%2C"&amp;"%22placeholder_video_id%22%3A%227637875082156723477%22%7D&amp;ec_shared_reflux_scene=shop_tab_feed&amp;share_item_id=7637875082156723477&amp;source=h5_t")</f>
        <v>https://www.tiktok.com/@annisaistiqomahh1/video/7637875082156723477?_r=1&amp;u_code=d8i26fa18b5a65&amp;region=&amp;mid=7617088734676552456&amp;preview_pb=0&amp;sharer_language=&amp;_d=0&amp;ec_shared_reflux_dynamic_params=%7B%22placeholder_material_id%22%3A%227637875082156723477%22%2C%22placeholder_origin_cover%22%3A%22https%253A%252F%252Fp16-common-sign.tiktokcdn.com%252Ftos-alisg-p-0037%252FoYEC2GeIWAfvnzMQsQF2GeAddQQmLKRDGdnlLf~tplv-tiktokx-origin.jpeg%253Fdr%253D14572%2526refresh_token%253D0fba5401%2526x-expires%253D1810116000%2526x-signature%253DqJu9wtBQrIDRIIrSw8OLOWrdRHI%25253D%2526t%253D4d5b0474%2526ps%253D13740610%2526shp%253Dd05b14bd%2526shcp%253D34ff8df6%2526idc%253Dmy2%2526s%253DTIKTOK_AFFILIATE_VIRAL_VIDEO%22%2C%22placeholder_product_id%22%3A%221729427766722726591%22%2C%22placeholder_video_id%22%3A%227637875082156723477%22%7D&amp;ec_shared_reflux_scene=shop_tab_feed&amp;share_item_id=7637875082156723477&amp;source=h5_t</v>
      </c>
    </row>
    <row r="1507">
      <c r="A1507" s="282" t="str">
        <f>IFERROR(__xludf.DUMMYFUNCTION("""COMPUTED_VALUE"""),"MICRO")</f>
        <v>MICRO</v>
      </c>
      <c r="B1507" s="468" t="str">
        <f>IFERROR(__xludf.DUMMYFUNCTION("""COMPUTED_VALUE"""),"wulansari120993")</f>
        <v>wulansari120993</v>
      </c>
      <c r="C1507" s="283" t="str">
        <f>IFERROR(__xludf.DUMMYFUNCTION("""COMPUTED_VALUE"""),"https://www.tiktok.com/@wulansari120993")</f>
        <v>https://www.tiktok.com/@wulansari120993</v>
      </c>
      <c r="D1507" s="273">
        <f>IFERROR(__xludf.DUMMYFUNCTION("""COMPUTED_VALUE"""),8.7842342236E10)</f>
        <v>87842342236</v>
      </c>
      <c r="E1507" s="458">
        <f>IFERROR(__xludf.DUMMYFUNCTION("""COMPUTED_VALUE"""),0.0)</f>
        <v>0</v>
      </c>
      <c r="F1507" s="273">
        <f>IFERROR(__xludf.DUMMYFUNCTION("""COMPUTED_VALUE"""),4.0)</f>
        <v>4</v>
      </c>
      <c r="G1507" t="str">
        <f>IFERROR(__xludf.DUMMYFUNCTION("""COMPUTED_VALUE"""),"Sabun batang 1 Box ( 2 PCS )")</f>
        <v>Sabun batang 1 Box ( 2 PCS )</v>
      </c>
      <c r="H1507" s="469" t="str">
        <f>IFERROR(__xludf.DUMMYFUNCTION("""COMPUTED_VALUE"""),"Sampai")</f>
        <v>Sampai</v>
      </c>
      <c r="I1507" s="470" t="str">
        <f>IFERROR(__xludf.DUMMYFUNCTION("""COMPUTED_VALUE"""),"KIMME")</f>
        <v>KIMME</v>
      </c>
      <c r="J1507" t="str">
        <f>IFERROR(__xludf.DUMMYFUNCTION("""COMPUTED_VALUE"""),"⁠https://vt.tiktok.com/ZSxyewv1k/")</f>
        <v>⁠https://vt.tiktok.com/ZSxyewv1k/</v>
      </c>
      <c r="K1507" s="470" t="str">
        <f>IFERROR(__xludf.DUMMYFUNCTION("""COMPUTED_VALUE"""),"KIMME")</f>
        <v>KIMME</v>
      </c>
      <c r="L1507" s="471" t="str">
        <f>IFERROR(__xludf.DUMMYFUNCTION("""COMPUTED_VALUE"""),"https://vt.tiktok.com/ZSxgxcQFG/")</f>
        <v>https://vt.tiktok.com/ZSxgxcQFG/</v>
      </c>
      <c r="M1507" s="470"/>
      <c r="N1507" t="str">
        <f>IFERROR(__xludf.DUMMYFUNCTION("""COMPUTED_VALUE"""),"⁠https://vt.tiktok.com/ZSxDoHLnA/")</f>
        <v>⁠https://vt.tiktok.com/ZSxDoHLnA/</v>
      </c>
      <c r="O1507" s="470"/>
      <c r="P1507" s="471" t="str">
        <f>IFERROR(__xludf.DUMMYFUNCTION("""COMPUTED_VALUE"""),"https://vt.tiktok.com/ZSxgha845/")</f>
        <v>https://vt.tiktok.com/ZSxgha845/</v>
      </c>
    </row>
    <row r="1508">
      <c r="A1508" s="282" t="str">
        <f>IFERROR(__xludf.DUMMYFUNCTION("""COMPUTED_VALUE"""),"MICRO")</f>
        <v>MICRO</v>
      </c>
      <c r="B1508" s="468" t="str">
        <f>IFERROR(__xludf.DUMMYFUNCTION("""COMPUTED_VALUE"""),"momyratu134")</f>
        <v>momyratu134</v>
      </c>
      <c r="C1508" s="283" t="str">
        <f>IFERROR(__xludf.DUMMYFUNCTION("""COMPUTED_VALUE"""),"https://www.tiktok.com/@momyratu134")</f>
        <v>https://www.tiktok.com/@momyratu134</v>
      </c>
      <c r="D1508" s="273">
        <f>IFERROR(__xludf.DUMMYFUNCTION("""COMPUTED_VALUE"""),8.5723840863E10)</f>
        <v>85723840863</v>
      </c>
      <c r="E1508" s="458">
        <f>IFERROR(__xludf.DUMMYFUNCTION("""COMPUTED_VALUE"""),0.0)</f>
        <v>0</v>
      </c>
      <c r="F1508" s="273">
        <f>IFERROR(__xludf.DUMMYFUNCTION("""COMPUTED_VALUE"""),4.0)</f>
        <v>4</v>
      </c>
      <c r="G1508" t="str">
        <f>IFERROR(__xludf.DUMMYFUNCTION("""COMPUTED_VALUE"""),"Sabun batang 1 Box ( 2 PCS )")</f>
        <v>Sabun batang 1 Box ( 2 PCS )</v>
      </c>
      <c r="H1508" s="469" t="str">
        <f>IFERROR(__xludf.DUMMYFUNCTION("""COMPUTED_VALUE"""),"Sampai")</f>
        <v>Sampai</v>
      </c>
      <c r="I1508" s="470" t="str">
        <f>IFERROR(__xludf.DUMMYFUNCTION("""COMPUTED_VALUE"""),"KIMME")</f>
        <v>KIMME</v>
      </c>
      <c r="J1508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08" s="470" t="str">
        <f>IFERROR(__xludf.DUMMYFUNCTION("""COMPUTED_VALUE"""),"KIMME")</f>
        <v>KIMME</v>
      </c>
      <c r="L1508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08" s="470"/>
      <c r="N1508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08" s="470"/>
      <c r="P1508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09">
      <c r="A1509" s="282" t="str">
        <f>IFERROR(__xludf.DUMMYFUNCTION("""COMPUTED_VALUE"""),"MICRO")</f>
        <v>MICRO</v>
      </c>
      <c r="B1509" s="468" t="str">
        <f>IFERROR(__xludf.DUMMYFUNCTION("""COMPUTED_VALUE"""),"oviamalia123")</f>
        <v>oviamalia123</v>
      </c>
      <c r="C1509" s="283" t="str">
        <f>IFERROR(__xludf.DUMMYFUNCTION("""COMPUTED_VALUE"""),"https://www.tiktok.com/@oviamalia123")</f>
        <v>https://www.tiktok.com/@oviamalia123</v>
      </c>
      <c r="D1509" s="273">
        <f>IFERROR(__xludf.DUMMYFUNCTION("""COMPUTED_VALUE"""),8.1284423944E10)</f>
        <v>81284423944</v>
      </c>
      <c r="E1509" s="458">
        <f>IFERROR(__xludf.DUMMYFUNCTION("""COMPUTED_VALUE"""),0.0)</f>
        <v>0</v>
      </c>
      <c r="F1509" s="273">
        <f>IFERROR(__xludf.DUMMYFUNCTION("""COMPUTED_VALUE"""),4.0)</f>
        <v>4</v>
      </c>
      <c r="G1509" t="str">
        <f>IFERROR(__xludf.DUMMYFUNCTION("""COMPUTED_VALUE"""),"Sabun batang 1 Box ( 2 PCS )")</f>
        <v>Sabun batang 1 Box ( 2 PCS )</v>
      </c>
      <c r="H1509" s="469" t="str">
        <f>IFERROR(__xludf.DUMMYFUNCTION("""COMPUTED_VALUE"""),"Sampai")</f>
        <v>Sampai</v>
      </c>
      <c r="I1509" s="470" t="str">
        <f>IFERROR(__xludf.DUMMYFUNCTION("""COMPUTED_VALUE"""),"KIMME")</f>
        <v>KIMME</v>
      </c>
      <c r="J1509" s="471" t="str">
        <f>IFERROR(__xludf.DUMMYFUNCTION("""COMPUTED_VALUE"""),"https://vt.tiktok.com/ZS9oMhaP9/")</f>
        <v>https://vt.tiktok.com/ZS9oMhaP9/</v>
      </c>
      <c r="K1509" s="470" t="str">
        <f>IFERROR(__xludf.DUMMYFUNCTION("""COMPUTED_VALUE"""),"KIMME")</f>
        <v>KIMME</v>
      </c>
      <c r="L1509" s="471" t="str">
        <f>IFERROR(__xludf.DUMMYFUNCTION("""COMPUTED_VALUE"""),"https://vt.tiktok.com/ZS9o6vWjL/")</f>
        <v>https://vt.tiktok.com/ZS9o6vWjL/</v>
      </c>
      <c r="M1509" s="470"/>
      <c r="N1509" s="471" t="str">
        <f>IFERROR(__xludf.DUMMYFUNCTION("""COMPUTED_VALUE"""),"https://vt.tiktok.com/ZS9o6o8RF/")</f>
        <v>https://vt.tiktok.com/ZS9o6o8RF/</v>
      </c>
      <c r="O1509" s="470"/>
      <c r="P1509" s="471" t="str">
        <f>IFERROR(__xludf.DUMMYFUNCTION("""COMPUTED_VALUE"""),"https://vt.tiktok.com/ZS9oMDkoM/")</f>
        <v>https://vt.tiktok.com/ZS9oMDkoM/</v>
      </c>
    </row>
    <row r="1510">
      <c r="A1510" s="282" t="str">
        <f>IFERROR(__xludf.DUMMYFUNCTION("""COMPUTED_VALUE"""),"MICRO")</f>
        <v>MICRO</v>
      </c>
      <c r="B1510" s="468" t="str">
        <f>IFERROR(__xludf.DUMMYFUNCTION("""COMPUTED_VALUE"""),"Nahdiah51")</f>
        <v>Nahdiah51</v>
      </c>
      <c r="C1510" s="283" t="str">
        <f>IFERROR(__xludf.DUMMYFUNCTION("""COMPUTED_VALUE"""),"https://www.tiktok.com/@Nahdiah51")</f>
        <v>https://www.tiktok.com/@Nahdiah51</v>
      </c>
      <c r="D1510" s="273">
        <f>IFERROR(__xludf.DUMMYFUNCTION("""COMPUTED_VALUE"""),8.3191762813E10)</f>
        <v>83191762813</v>
      </c>
      <c r="E1510" s="458">
        <f>IFERROR(__xludf.DUMMYFUNCTION("""COMPUTED_VALUE"""),50000.0)</f>
        <v>50000</v>
      </c>
      <c r="F1510" s="273">
        <f>IFERROR(__xludf.DUMMYFUNCTION("""COMPUTED_VALUE"""),1.0)</f>
        <v>1</v>
      </c>
      <c r="G1510" t="str">
        <f>IFERROR(__xludf.DUMMYFUNCTION("""COMPUTED_VALUE"""),"Sabun batang 1 Box ( 2 PCS )")</f>
        <v>Sabun batang 1 Box ( 2 PCS )</v>
      </c>
      <c r="H1510" s="469" t="str">
        <f>IFERROR(__xludf.DUMMYFUNCTION("""COMPUTED_VALUE"""),"Sampai")</f>
        <v>Sampai</v>
      </c>
      <c r="I1510" s="470" t="str">
        <f>IFERROR(__xludf.DUMMYFUNCTION("""COMPUTED_VALUE"""),"KIMME")</f>
        <v>KIMME</v>
      </c>
      <c r="J1510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10" s="470" t="str">
        <f>IFERROR(__xludf.DUMMYFUNCTION("""COMPUTED_VALUE"""),"KIMME")</f>
        <v>KIMME</v>
      </c>
      <c r="L1510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10" s="470"/>
      <c r="N1510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10" s="470"/>
      <c r="P1510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11">
      <c r="A1511" s="282" t="str">
        <f>IFERROR(__xludf.DUMMYFUNCTION("""COMPUTED_VALUE"""),"MICRO")</f>
        <v>MICRO</v>
      </c>
      <c r="B1511" s="468" t="str">
        <f>IFERROR(__xludf.DUMMYFUNCTION("""COMPUTED_VALUE"""),"ameliahmusthofa")</f>
        <v>ameliahmusthofa</v>
      </c>
      <c r="C1511" s="283" t="str">
        <f>IFERROR(__xludf.DUMMYFUNCTION("""COMPUTED_VALUE"""),"https://www.tiktok.com/@ameliahmusthofa")</f>
        <v>https://www.tiktok.com/@ameliahmusthofa</v>
      </c>
      <c r="D1511" s="273">
        <f>IFERROR(__xludf.DUMMYFUNCTION("""COMPUTED_VALUE"""),8.1952906667E10)</f>
        <v>81952906667</v>
      </c>
      <c r="E1511" s="458">
        <f>IFERROR(__xludf.DUMMYFUNCTION("""COMPUTED_VALUE"""),0.0)</f>
        <v>0</v>
      </c>
      <c r="F1511" s="273">
        <f>IFERROR(__xludf.DUMMYFUNCTION("""COMPUTED_VALUE"""),4.0)</f>
        <v>4</v>
      </c>
      <c r="G1511" t="str">
        <f>IFERROR(__xludf.DUMMYFUNCTION("""COMPUTED_VALUE"""),"Sabun batang 1 Box ( 2 PCS )")</f>
        <v>Sabun batang 1 Box ( 2 PCS )</v>
      </c>
      <c r="H1511" s="469" t="str">
        <f>IFERROR(__xludf.DUMMYFUNCTION("""COMPUTED_VALUE"""),"Sampai")</f>
        <v>Sampai</v>
      </c>
      <c r="I1511" s="470" t="str">
        <f>IFERROR(__xludf.DUMMYFUNCTION("""COMPUTED_VALUE"""),"KIMME")</f>
        <v>KIMME</v>
      </c>
      <c r="J1511" s="471" t="str">
        <f>IFERROR(__xludf.DUMMYFUNCTION("""COMPUTED_VALUE"""),"https://vt.tiktok.com/ZS9oMhaP9/")</f>
        <v>https://vt.tiktok.com/ZS9oMhaP9/</v>
      </c>
      <c r="K1511" s="470" t="str">
        <f>IFERROR(__xludf.DUMMYFUNCTION("""COMPUTED_VALUE"""),"KIMME")</f>
        <v>KIMME</v>
      </c>
      <c r="L1511" s="471" t="str">
        <f>IFERROR(__xludf.DUMMYFUNCTION("""COMPUTED_VALUE"""),"https://vt.tiktok.com/ZS9o6vWjL/")</f>
        <v>https://vt.tiktok.com/ZS9o6vWjL/</v>
      </c>
      <c r="M1511" s="470"/>
      <c r="N1511" s="471" t="str">
        <f>IFERROR(__xludf.DUMMYFUNCTION("""COMPUTED_VALUE"""),"https://vt.tiktok.com/ZS9o6o8RF/")</f>
        <v>https://vt.tiktok.com/ZS9o6o8RF/</v>
      </c>
      <c r="O1511" s="470"/>
      <c r="P1511" s="471" t="str">
        <f>IFERROR(__xludf.DUMMYFUNCTION("""COMPUTED_VALUE"""),"https://vt.tiktok.com/ZS9oMDkoM/")</f>
        <v>https://vt.tiktok.com/ZS9oMDkoM/</v>
      </c>
    </row>
    <row r="1512">
      <c r="A1512" s="282" t="str">
        <f>IFERROR(__xludf.DUMMYFUNCTION("""COMPUTED_VALUE"""),"MICRO")</f>
        <v>MICRO</v>
      </c>
      <c r="B1512" s="468" t="str">
        <f>IFERROR(__xludf.DUMMYFUNCTION("""COMPUTED_VALUE"""),"alwayzika56")</f>
        <v>alwayzika56</v>
      </c>
      <c r="C1512" s="283" t="str">
        <f>IFERROR(__xludf.DUMMYFUNCTION("""COMPUTED_VALUE"""),"https://www.tiktok.com/@alwayzika56")</f>
        <v>https://www.tiktok.com/@alwayzika56</v>
      </c>
      <c r="D1512" s="273">
        <f>IFERROR(__xludf.DUMMYFUNCTION("""COMPUTED_VALUE"""),8.8224104776E10)</f>
        <v>88224104776</v>
      </c>
      <c r="E1512" s="458">
        <f>IFERROR(__xludf.DUMMYFUNCTION("""COMPUTED_VALUE"""),0.0)</f>
        <v>0</v>
      </c>
      <c r="F1512" s="273">
        <f>IFERROR(__xludf.DUMMYFUNCTION("""COMPUTED_VALUE"""),4.0)</f>
        <v>4</v>
      </c>
      <c r="G1512" t="str">
        <f>IFERROR(__xludf.DUMMYFUNCTION("""COMPUTED_VALUE"""),"Sabun batang 1 Box ( 2 PCS )")</f>
        <v>Sabun batang 1 Box ( 2 PCS )</v>
      </c>
      <c r="H1512" s="469" t="str">
        <f>IFERROR(__xludf.DUMMYFUNCTION("""COMPUTED_VALUE"""),"Sampai")</f>
        <v>Sampai</v>
      </c>
      <c r="I1512" s="470" t="str">
        <f>IFERROR(__xludf.DUMMYFUNCTION("""COMPUTED_VALUE"""),"KIMME")</f>
        <v>KIMME</v>
      </c>
      <c r="J1512" s="471" t="str">
        <f>IFERROR(__xludf.DUMMYFUNCTION("""COMPUTED_VALUE"""),"https://www.tiktok.com/@shadowbeauty94/video/7638170743083257106?_r=1&amp;u_code=ea7741h4k28gma&amp;region=&amp;mid=7618434961690970881&amp;preview_pb=0&amp;sharer_language=&amp;_d=0&amp;ec_shared_reflux_dynamic_params=%7B%22placeholder_material_id%22%3A%227638170743083257106%22%2C%"&amp;"22placeholder_origin_cover%22%3A%22https%253A%252F%252Fp16-common-sign.tiktokcdn.com%252Ftos-alisg-p-0037%252FoYAX75BpwDIC9i2AgMc5BYBIuEOrTABkAiJva~tplv-tiktokx-origin.jpeg%253Fdr%253D14572%2526refresh_token%253D2971e64a%2526x-expires%253D1810116000%2526x"&amp;"-signature%253DAwm7Q1gfDH3uIKi29VUBuXP3ha0%25253D%2526t%253D4d5b0474%2526ps%253D13740610%2526shp%253Dd05b14bd%2526shcp%253D34ff8df6%2526idc%253Dmy2%2526s%253DTIKTOK_AFFILIATE_VIRAL_VIDEO%22%2C%22placeholder_product_id%22%3A%221729427766722726591%22%2C%22p"&amp;"laceholder_video_id%22%3A%227638170743083257106%22%7D&amp;ec_shared_reflux_scene=shop_tab_feed&amp;share_item_id=7638170743083257106&amp;source=h5_t")</f>
        <v>https://www.tiktok.com/@shadowbeauty94/video/7638170743083257106?_r=1&amp;u_code=ea7741h4k28gma&amp;region=&amp;mid=7618434961690970881&amp;preview_pb=0&amp;sharer_language=&amp;_d=0&amp;ec_shared_reflux_dynamic_params=%7B%22placeholder_material_id%22%3A%227638170743083257106%22%2C%22placeholder_origin_cover%22%3A%22https%253A%252F%252Fp16-common-sign.tiktokcdn.com%252Ftos-alisg-p-0037%252FoYAX75BpwDIC9i2AgMc5BYBIuEOrTABkAiJva~tplv-tiktokx-origin.jpeg%253Fdr%253D14572%2526refresh_token%253D2971e64a%2526x-expires%253D1810116000%2526x-signature%253DAwm7Q1gfDH3uIKi29VUBuXP3ha0%25253D%2526t%253D4d5b0474%2526ps%253D13740610%2526shp%253Dd05b14bd%2526shcp%253D34ff8df6%2526idc%253Dmy2%2526s%253DTIKTOK_AFFILIATE_VIRAL_VIDEO%22%2C%22placeholder_product_id%22%3A%221729427766722726591%22%2C%22placeholder_video_id%22%3A%227638170743083257106%22%7D&amp;ec_shared_reflux_scene=shop_tab_feed&amp;share_item_id=7638170743083257106&amp;source=h5_t</v>
      </c>
      <c r="K1512" s="470" t="str">
        <f>IFERROR(__xludf.DUMMYFUNCTION("""COMPUTED_VALUE"""),"KIMME")</f>
        <v>KIMME</v>
      </c>
      <c r="L1512" s="471" t="str">
        <f>IFERROR(__xludf.DUMMYFUNCTION("""COMPUTED_VALUE"""),"https://www.tiktok.com/@shadowbeauty94/video/7638230278741429522?_r=1&amp;u_code=ea7741h4k28gma&amp;region=&amp;mid=7630404661434664977&amp;preview_pb=0&amp;sharer_language=&amp;_d=0&amp;ec_shared_reflux_dynamic_params=%7B%22placeholder_material_id%22%3A%227638230278741429522%22%2C%"&amp;"22placeholder_origin_cover%22%3A%22https%253A%252F%252Fp16-common-sign.tiktokcdn.com%252Ftos-alisg-p-0037%252FoEXP6BGgwPpEGcIax8BpVBAJiiSFCYBAgIwAO~tplv-tiktokx-origin.jpeg%253Fdr%253D14572%2526refresh_token%253Dd78747c1%2526x-expires%253D1810116000%2526x"&amp;"-signature%253DcTiyyBcqUoYKb1Urwqi6B%25252BPAYao%25253D%2526t%253D4d5b0474%2526ps%253D13740610%2526shp%253Dd05b14bd%2526shcp%253D34ff8df6%2526idc%253Dmy2%2526s%253DTIKTOK_AFFILIATE_VIRAL_VIDEO%22%2C%22placeholder_product_id%22%3A%221729427766722726591%22%"&amp;"2C%22placeholder_video_id%22%3A%227638230278741429522%22%7D&amp;ec_shared_reflux_scene=shop_tab_feed&amp;share_item_id=7638230278741429522&amp;source=h5_t")</f>
        <v>https://www.tiktok.com/@shadowbeauty94/video/7638230278741429522?_r=1&amp;u_code=ea7741h4k28gma&amp;region=&amp;mid=7630404661434664977&amp;preview_pb=0&amp;sharer_language=&amp;_d=0&amp;ec_shared_reflux_dynamic_params=%7B%22placeholder_material_id%22%3A%227638230278741429522%22%2C%22placeholder_origin_cover%22%3A%22https%253A%252F%252Fp16-common-sign.tiktokcdn.com%252Ftos-alisg-p-0037%252FoEXP6BGgwPpEGcIax8BpVBAJiiSFCYBAgIwAO~tplv-tiktokx-origin.jpeg%253Fdr%253D14572%2526refresh_token%253Dd78747c1%2526x-expires%253D1810116000%2526x-signature%253DcTiyyBcqUoYKb1Urwqi6B%25252BPAYao%25253D%2526t%253D4d5b0474%2526ps%253D13740610%2526shp%253Dd05b14bd%2526shcp%253D34ff8df6%2526idc%253Dmy2%2526s%253DTIKTOK_AFFILIATE_VIRAL_VIDEO%22%2C%22placeholder_product_id%22%3A%221729427766722726591%22%2C%22placeholder_video_id%22%3A%227638230278741429522%22%7D&amp;ec_shared_reflux_scene=shop_tab_feed&amp;share_item_id=7638230278741429522&amp;source=h5_t</v>
      </c>
      <c r="M1512" s="470"/>
      <c r="N1512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12" s="470"/>
      <c r="P1512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13">
      <c r="A1513" s="282" t="str">
        <f>IFERROR(__xludf.DUMMYFUNCTION("""COMPUTED_VALUE"""),"MICRO")</f>
        <v>MICRO</v>
      </c>
      <c r="B1513" s="468" t="str">
        <f>IFERROR(__xludf.DUMMYFUNCTION("""COMPUTED_VALUE"""),"dinarecha_
")</f>
        <v>dinarecha_
</v>
      </c>
      <c r="C1513" s="283" t="str">
        <f>IFERROR(__xludf.DUMMYFUNCTION("""COMPUTED_VALUE"""),"https://www.tiktok.com/@dinarecha_
")</f>
        <v>https://www.tiktok.com/@dinarecha_
</v>
      </c>
      <c r="D1513" s="273">
        <f>IFERROR(__xludf.DUMMYFUNCTION("""COMPUTED_VALUE"""),8.532065437E10)</f>
        <v>85320654370</v>
      </c>
      <c r="E1513" s="458">
        <f>IFERROR(__xludf.DUMMYFUNCTION("""COMPUTED_VALUE"""),0.0)</f>
        <v>0</v>
      </c>
      <c r="F1513" s="273">
        <f>IFERROR(__xludf.DUMMYFUNCTION("""COMPUTED_VALUE"""),4.0)</f>
        <v>4</v>
      </c>
      <c r="G1513" t="str">
        <f>IFERROR(__xludf.DUMMYFUNCTION("""COMPUTED_VALUE"""),"Sabun batang 1 Box ( 2 PCS )")</f>
        <v>Sabun batang 1 Box ( 2 PCS )</v>
      </c>
      <c r="H1513" s="469" t="str">
        <f>IFERROR(__xludf.DUMMYFUNCTION("""COMPUTED_VALUE"""),"Sampai")</f>
        <v>Sampai</v>
      </c>
      <c r="I1513" s="470" t="str">
        <f>IFERROR(__xludf.DUMMYFUNCTION("""COMPUTED_VALUE"""),"KIMME")</f>
        <v>KIMME</v>
      </c>
      <c r="J1513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13" s="470" t="str">
        <f>IFERROR(__xludf.DUMMYFUNCTION("""COMPUTED_VALUE"""),"KIMME")</f>
        <v>KIMME</v>
      </c>
      <c r="L1513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13" s="470"/>
      <c r="N1513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13" s="470"/>
      <c r="P1513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14">
      <c r="A1514" s="282" t="str">
        <f>IFERROR(__xludf.DUMMYFUNCTION("""COMPUTED_VALUE"""),"MICRO")</f>
        <v>MICRO</v>
      </c>
      <c r="B1514" s="468" t="str">
        <f>IFERROR(__xludf.DUMMYFUNCTION("""COMPUTED_VALUE"""),"beautyshsha")</f>
        <v>beautyshsha</v>
      </c>
      <c r="C1514" s="283" t="str">
        <f>IFERROR(__xludf.DUMMYFUNCTION("""COMPUTED_VALUE"""),"https://www.tiktok.com/@beautyshsha")</f>
        <v>https://www.tiktok.com/@beautyshsha</v>
      </c>
      <c r="D1514" s="273">
        <f>IFERROR(__xludf.DUMMYFUNCTION("""COMPUTED_VALUE"""),8.5716402434E10)</f>
        <v>85716402434</v>
      </c>
      <c r="E1514" s="458">
        <f>IFERROR(__xludf.DUMMYFUNCTION("""COMPUTED_VALUE"""),0.0)</f>
        <v>0</v>
      </c>
      <c r="F1514" s="273">
        <f>IFERROR(__xludf.DUMMYFUNCTION("""COMPUTED_VALUE"""),4.0)</f>
        <v>4</v>
      </c>
      <c r="G1514" t="str">
        <f>IFERROR(__xludf.DUMMYFUNCTION("""COMPUTED_VALUE"""),"Sabun batang 1 Box ( 2 PCS )")</f>
        <v>Sabun batang 1 Box ( 2 PCS )</v>
      </c>
      <c r="H1514" s="469" t="str">
        <f>IFERROR(__xludf.DUMMYFUNCTION("""COMPUTED_VALUE"""),"Sampai")</f>
        <v>Sampai</v>
      </c>
      <c r="I1514" s="470" t="str">
        <f>IFERROR(__xludf.DUMMYFUNCTION("""COMPUTED_VALUE"""),"KIMME")</f>
        <v>KIMME</v>
      </c>
      <c r="J1514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14" s="470" t="str">
        <f>IFERROR(__xludf.DUMMYFUNCTION("""COMPUTED_VALUE"""),"KIMME")</f>
        <v>KIMME</v>
      </c>
      <c r="L1514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14" s="470"/>
      <c r="N1514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14" s="470"/>
      <c r="P1514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15">
      <c r="A1515" s="282" t="str">
        <f>IFERROR(__xludf.DUMMYFUNCTION("""COMPUTED_VALUE"""),"MICRO")</f>
        <v>MICRO</v>
      </c>
      <c r="B1515" s="468" t="str">
        <f>IFERROR(__xludf.DUMMYFUNCTION("""COMPUTED_VALUE"""),"spillbycill")</f>
        <v>spillbycill</v>
      </c>
      <c r="C1515" s="283" t="str">
        <f>IFERROR(__xludf.DUMMYFUNCTION("""COMPUTED_VALUE"""),"https://www.tiktok.com/@spillbycill")</f>
        <v>https://www.tiktok.com/@spillbycill</v>
      </c>
      <c r="D1515" s="273">
        <f>IFERROR(__xludf.DUMMYFUNCTION("""COMPUTED_VALUE"""),8.95349870413E11)</f>
        <v>895349870413</v>
      </c>
      <c r="E1515" s="458">
        <f>IFERROR(__xludf.DUMMYFUNCTION("""COMPUTED_VALUE"""),0.0)</f>
        <v>0</v>
      </c>
      <c r="F1515" s="273">
        <f>IFERROR(__xludf.DUMMYFUNCTION("""COMPUTED_VALUE"""),4.0)</f>
        <v>4</v>
      </c>
      <c r="G1515" t="str">
        <f>IFERROR(__xludf.DUMMYFUNCTION("""COMPUTED_VALUE"""),"Sabun batang 1 Box ( 2 PCS )")</f>
        <v>Sabun batang 1 Box ( 2 PCS )</v>
      </c>
      <c r="H1515" s="469" t="str">
        <f>IFERROR(__xludf.DUMMYFUNCTION("""COMPUTED_VALUE"""),"Sampai")</f>
        <v>Sampai</v>
      </c>
      <c r="I1515" s="470" t="str">
        <f>IFERROR(__xludf.DUMMYFUNCTION("""COMPUTED_VALUE"""),"KIMME")</f>
        <v>KIMME</v>
      </c>
      <c r="J1515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15" s="470" t="str">
        <f>IFERROR(__xludf.DUMMYFUNCTION("""COMPUTED_VALUE"""),"KIMME")</f>
        <v>KIMME</v>
      </c>
      <c r="L1515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15" s="470"/>
      <c r="N1515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15" s="470"/>
      <c r="P1515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16">
      <c r="A1516" s="282" t="str">
        <f>IFERROR(__xludf.DUMMYFUNCTION("""COMPUTED_VALUE"""),"MICRO")</f>
        <v>MICRO</v>
      </c>
      <c r="B1516" s="468" t="str">
        <f>IFERROR(__xludf.DUMMYFUNCTION("""COMPUTED_VALUE"""),"irma.wtii")</f>
        <v>irma.wtii</v>
      </c>
      <c r="C1516" s="283" t="str">
        <f>IFERROR(__xludf.DUMMYFUNCTION("""COMPUTED_VALUE"""),"https://www.tiktok.com/@irma.wtii")</f>
        <v>https://www.tiktok.com/@irma.wtii</v>
      </c>
      <c r="D1516" s="273">
        <f>IFERROR(__xludf.DUMMYFUNCTION("""COMPUTED_VALUE"""),8.9684128758E10)</f>
        <v>89684128758</v>
      </c>
      <c r="E1516" s="458">
        <f>IFERROR(__xludf.DUMMYFUNCTION("""COMPUTED_VALUE"""),0.0)</f>
        <v>0</v>
      </c>
      <c r="F1516" s="273">
        <f>IFERROR(__xludf.DUMMYFUNCTION("""COMPUTED_VALUE"""),4.0)</f>
        <v>4</v>
      </c>
      <c r="G1516" t="str">
        <f>IFERROR(__xludf.DUMMYFUNCTION("""COMPUTED_VALUE"""),"Sabun batang 1 Box ( 2 PCS )")</f>
        <v>Sabun batang 1 Box ( 2 PCS )</v>
      </c>
      <c r="H1516" s="469" t="str">
        <f>IFERROR(__xludf.DUMMYFUNCTION("""COMPUTED_VALUE"""),"Sampai")</f>
        <v>Sampai</v>
      </c>
      <c r="I1516" s="470" t="str">
        <f>IFERROR(__xludf.DUMMYFUNCTION("""COMPUTED_VALUE"""),"KIMME")</f>
        <v>KIMME</v>
      </c>
      <c r="J1516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16" s="470" t="str">
        <f>IFERROR(__xludf.DUMMYFUNCTION("""COMPUTED_VALUE"""),"KIMME")</f>
        <v>KIMME</v>
      </c>
      <c r="L1516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16" s="470"/>
      <c r="N1516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16" s="470"/>
      <c r="P1516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17">
      <c r="A1517" s="282" t="str">
        <f>IFERROR(__xludf.DUMMYFUNCTION("""COMPUTED_VALUE"""),"MICRO")</f>
        <v>MICRO</v>
      </c>
      <c r="B1517" s="468" t="str">
        <f>IFERROR(__xludf.DUMMYFUNCTION("""COMPUTED_VALUE"""),"salwasauda")</f>
        <v>salwasauda</v>
      </c>
      <c r="C1517" s="283" t="str">
        <f>IFERROR(__xludf.DUMMYFUNCTION("""COMPUTED_VALUE"""),"https://www.tiktok.com/@salwasauda")</f>
        <v>https://www.tiktok.com/@salwasauda</v>
      </c>
      <c r="D1517" s="273">
        <f>IFERROR(__xludf.DUMMYFUNCTION("""COMPUTED_VALUE"""),8.5726141992E10)</f>
        <v>85726141992</v>
      </c>
      <c r="E1517" s="458">
        <f>IFERROR(__xludf.DUMMYFUNCTION("""COMPUTED_VALUE"""),0.0)</f>
        <v>0</v>
      </c>
      <c r="F1517" s="273">
        <f>IFERROR(__xludf.DUMMYFUNCTION("""COMPUTED_VALUE"""),4.0)</f>
        <v>4</v>
      </c>
      <c r="G1517" t="str">
        <f>IFERROR(__xludf.DUMMYFUNCTION("""COMPUTED_VALUE"""),"Sabun batang 1 Box ( 2 PCS )")</f>
        <v>Sabun batang 1 Box ( 2 PCS )</v>
      </c>
      <c r="H1517" s="469" t="str">
        <f>IFERROR(__xludf.DUMMYFUNCTION("""COMPUTED_VALUE"""),"Sampai")</f>
        <v>Sampai</v>
      </c>
      <c r="I1517" s="470" t="str">
        <f>IFERROR(__xludf.DUMMYFUNCTION("""COMPUTED_VALUE"""),"KIMME")</f>
        <v>KIMME</v>
      </c>
      <c r="J1517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17" s="470" t="str">
        <f>IFERROR(__xludf.DUMMYFUNCTION("""COMPUTED_VALUE"""),"KIMME")</f>
        <v>KIMME</v>
      </c>
      <c r="L1517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17" s="470"/>
      <c r="N1517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17" s="470"/>
      <c r="P1517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18">
      <c r="A1518" s="282" t="str">
        <f>IFERROR(__xludf.DUMMYFUNCTION("""COMPUTED_VALUE"""),"MICRO")</f>
        <v>MICRO</v>
      </c>
      <c r="B1518" s="468" t="str">
        <f>IFERROR(__xludf.DUMMYFUNCTION("""COMPUTED_VALUE"""),"ideoutfitmu")</f>
        <v>ideoutfitmu</v>
      </c>
      <c r="C1518" s="283" t="str">
        <f>IFERROR(__xludf.DUMMYFUNCTION("""COMPUTED_VALUE"""),"https://www.tiktok.com/@ideoutfitmu")</f>
        <v>https://www.tiktok.com/@ideoutfitmu</v>
      </c>
      <c r="D1518" s="273">
        <f>IFERROR(__xludf.DUMMYFUNCTION("""COMPUTED_VALUE"""),8.9678727485E10)</f>
        <v>89678727485</v>
      </c>
      <c r="E1518" s="458">
        <f>IFERROR(__xludf.DUMMYFUNCTION("""COMPUTED_VALUE"""),0.0)</f>
        <v>0</v>
      </c>
      <c r="F1518" s="273">
        <f>IFERROR(__xludf.DUMMYFUNCTION("""COMPUTED_VALUE"""),4.0)</f>
        <v>4</v>
      </c>
      <c r="G1518" t="str">
        <f>IFERROR(__xludf.DUMMYFUNCTION("""COMPUTED_VALUE"""),"Sabun batang 1 Box ( 2 PCS )")</f>
        <v>Sabun batang 1 Box ( 2 PCS )</v>
      </c>
      <c r="H1518" s="469" t="str">
        <f>IFERROR(__xludf.DUMMYFUNCTION("""COMPUTED_VALUE"""),"Sampai")</f>
        <v>Sampai</v>
      </c>
      <c r="I1518" s="470" t="str">
        <f>IFERROR(__xludf.DUMMYFUNCTION("""COMPUTED_VALUE"""),"KIMME")</f>
        <v>KIMME</v>
      </c>
      <c r="J1518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18" s="470" t="str">
        <f>IFERROR(__xludf.DUMMYFUNCTION("""COMPUTED_VALUE"""),"KIMME")</f>
        <v>KIMME</v>
      </c>
      <c r="L1518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18" s="470"/>
      <c r="N1518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18" s="470"/>
      <c r="P1518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19">
      <c r="A1519" s="282" t="str">
        <f>IFERROR(__xludf.DUMMYFUNCTION("""COMPUTED_VALUE"""),"MICRO")</f>
        <v>MICRO</v>
      </c>
      <c r="B1519" s="468" t="str">
        <f>IFERROR(__xludf.DUMMYFUNCTION("""COMPUTED_VALUE"""),"bimaya07")</f>
        <v>bimaya07</v>
      </c>
      <c r="C1519" s="283" t="str">
        <f>IFERROR(__xludf.DUMMYFUNCTION("""COMPUTED_VALUE"""),"https://www.tiktok.com/@bimaya07")</f>
        <v>https://www.tiktok.com/@bimaya07</v>
      </c>
      <c r="D1519" s="273">
        <f>IFERROR(__xludf.DUMMYFUNCTION("""COMPUTED_VALUE"""),8.2297497611E10)</f>
        <v>82297497611</v>
      </c>
      <c r="E1519" s="458">
        <f>IFERROR(__xludf.DUMMYFUNCTION("""COMPUTED_VALUE"""),0.0)</f>
        <v>0</v>
      </c>
      <c r="F1519" s="273">
        <f>IFERROR(__xludf.DUMMYFUNCTION("""COMPUTED_VALUE"""),4.0)</f>
        <v>4</v>
      </c>
      <c r="G1519" t="str">
        <f>IFERROR(__xludf.DUMMYFUNCTION("""COMPUTED_VALUE"""),"Sabun batang 1 Box ( 2 PCS )")</f>
        <v>Sabun batang 1 Box ( 2 PCS )</v>
      </c>
      <c r="H1519" s="469" t="str">
        <f>IFERROR(__xludf.DUMMYFUNCTION("""COMPUTED_VALUE"""),"Sampai")</f>
        <v>Sampai</v>
      </c>
      <c r="I1519" s="470" t="str">
        <f>IFERROR(__xludf.DUMMYFUNCTION("""COMPUTED_VALUE"""),"KIMME")</f>
        <v>KIMME</v>
      </c>
      <c r="J1519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19" s="470" t="str">
        <f>IFERROR(__xludf.DUMMYFUNCTION("""COMPUTED_VALUE"""),"KIMME")</f>
        <v>KIMME</v>
      </c>
      <c r="L1519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19" s="470"/>
      <c r="N1519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19" s="470"/>
      <c r="P1519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20">
      <c r="A1520" s="282" t="str">
        <f>IFERROR(__xludf.DUMMYFUNCTION("""COMPUTED_VALUE"""),"MICRO")</f>
        <v>MICRO</v>
      </c>
      <c r="B1520" s="468" t="str">
        <f>IFERROR(__xludf.DUMMYFUNCTION("""COMPUTED_VALUE"""),"lia.racuntiktok")</f>
        <v>lia.racuntiktok</v>
      </c>
      <c r="C1520" s="283" t="str">
        <f>IFERROR(__xludf.DUMMYFUNCTION("""COMPUTED_VALUE"""),"https://www.tiktok.com/@lia.racuntiktok")</f>
        <v>https://www.tiktok.com/@lia.racuntiktok</v>
      </c>
      <c r="D1520" s="273">
        <f>IFERROR(__xludf.DUMMYFUNCTION("""COMPUTED_VALUE"""),8.3814142297E10)</f>
        <v>83814142297</v>
      </c>
      <c r="E1520" s="458">
        <f>IFERROR(__xludf.DUMMYFUNCTION("""COMPUTED_VALUE"""),0.0)</f>
        <v>0</v>
      </c>
      <c r="F1520" s="273">
        <f>IFERROR(__xludf.DUMMYFUNCTION("""COMPUTED_VALUE"""),4.0)</f>
        <v>4</v>
      </c>
      <c r="G1520" t="str">
        <f>IFERROR(__xludf.DUMMYFUNCTION("""COMPUTED_VALUE"""),"Sabun batang 1 Box ( 2 PCS )")</f>
        <v>Sabun batang 1 Box ( 2 PCS )</v>
      </c>
      <c r="H1520" s="469" t="str">
        <f>IFERROR(__xludf.DUMMYFUNCTION("""COMPUTED_VALUE"""),"Sampai")</f>
        <v>Sampai</v>
      </c>
      <c r="I1520" s="470" t="str">
        <f>IFERROR(__xludf.DUMMYFUNCTION("""COMPUTED_VALUE"""),"KIMME")</f>
        <v>KIMME</v>
      </c>
      <c r="J1520" s="471" t="str">
        <f>IFERROR(__xludf.DUMMYFUNCTION("""COMPUTED_VALUE"""),"https://vt.tiktok.com/ZS9JHoL3a/")</f>
        <v>https://vt.tiktok.com/ZS9JHoL3a/</v>
      </c>
      <c r="K1520" s="470" t="str">
        <f>IFERROR(__xludf.DUMMYFUNCTION("""COMPUTED_VALUE"""),"KIMME")</f>
        <v>KIMME</v>
      </c>
      <c r="L1520" t="str">
        <f>IFERROR(__xludf.DUMMYFUNCTION("""COMPUTED_VALUE"""),"⁠https://vt.tiktok.com/ZSxPSeN6X/")</f>
        <v>⁠https://vt.tiktok.com/ZSxPSeN6X/</v>
      </c>
      <c r="M1520" s="470"/>
      <c r="N1520" s="471" t="str">
        <f>IFERROR(__xludf.DUMMYFUNCTION("""COMPUTED_VALUE"""),"https://vt.tiktok.com/ZSxguQLfY/")</f>
        <v>https://vt.tiktok.com/ZSxguQLfY/</v>
      </c>
      <c r="O1520" s="470"/>
      <c r="P1520" s="471" t="str">
        <f>IFERROR(__xludf.DUMMYFUNCTION("""COMPUTED_VALUE"""),"https://vt.tiktok.com/ZSxfGX3SF/")</f>
        <v>https://vt.tiktok.com/ZSxfGX3SF/</v>
      </c>
    </row>
    <row r="1521">
      <c r="A1521" s="282" t="str">
        <f>IFERROR(__xludf.DUMMYFUNCTION("""COMPUTED_VALUE"""),"MICRO")</f>
        <v>MICRO</v>
      </c>
      <c r="B1521" s="468" t="str">
        <f>IFERROR(__xludf.DUMMYFUNCTION("""COMPUTED_VALUE"""),"akunkeduaema_")</f>
        <v>akunkeduaema_</v>
      </c>
      <c r="C1521" s="283" t="str">
        <f>IFERROR(__xludf.DUMMYFUNCTION("""COMPUTED_VALUE"""),"https://www.tiktok.com/@akunkeduaema_")</f>
        <v>https://www.tiktok.com/@akunkeduaema_</v>
      </c>
      <c r="D1521" s="273">
        <f>IFERROR(__xludf.DUMMYFUNCTION("""COMPUTED_VALUE"""),8.7897732204E10)</f>
        <v>87897732204</v>
      </c>
      <c r="E1521" s="458">
        <f>IFERROR(__xludf.DUMMYFUNCTION("""COMPUTED_VALUE"""),0.0)</f>
        <v>0</v>
      </c>
      <c r="F1521" s="273">
        <f>IFERROR(__xludf.DUMMYFUNCTION("""COMPUTED_VALUE"""),1.0)</f>
        <v>1</v>
      </c>
      <c r="G1521" t="str">
        <f>IFERROR(__xludf.DUMMYFUNCTION("""COMPUTED_VALUE"""),"Sabun batang 1 Box ( 2 PCS )")</f>
        <v>Sabun batang 1 Box ( 2 PCS )</v>
      </c>
      <c r="H1521" s="469" t="str">
        <f>IFERROR(__xludf.DUMMYFUNCTION("""COMPUTED_VALUE"""),"Sampai")</f>
        <v>Sampai</v>
      </c>
      <c r="I1521" s="470" t="str">
        <f>IFERROR(__xludf.DUMMYFUNCTION("""COMPUTED_VALUE"""),"KIMME")</f>
        <v>KIMME</v>
      </c>
      <c r="J1521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21" s="470" t="str">
        <f>IFERROR(__xludf.DUMMYFUNCTION("""COMPUTED_VALUE"""),"KIMME")</f>
        <v>KIMME</v>
      </c>
      <c r="L1521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21" s="470"/>
      <c r="N1521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21" s="470"/>
      <c r="P1521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22">
      <c r="A1522" s="282" t="str">
        <f>IFERROR(__xludf.DUMMYFUNCTION("""COMPUTED_VALUE"""),"MICRO")</f>
        <v>MICRO</v>
      </c>
      <c r="B1522" s="468" t="str">
        <f>IFERROR(__xludf.DUMMYFUNCTION("""COMPUTED_VALUE"""),"notnotstore_")</f>
        <v>notnotstore_</v>
      </c>
      <c r="C1522" s="283" t="str">
        <f>IFERROR(__xludf.DUMMYFUNCTION("""COMPUTED_VALUE"""),"https://www.tiktok.com/@notnotstore_")</f>
        <v>https://www.tiktok.com/@notnotstore_</v>
      </c>
      <c r="D1522" s="273">
        <f>IFERROR(__xludf.DUMMYFUNCTION("""COMPUTED_VALUE"""),8.5147758862E10)</f>
        <v>85147758862</v>
      </c>
      <c r="E1522" s="458">
        <f>IFERROR(__xludf.DUMMYFUNCTION("""COMPUTED_VALUE"""),0.0)</f>
        <v>0</v>
      </c>
      <c r="F1522" s="273">
        <f>IFERROR(__xludf.DUMMYFUNCTION("""COMPUTED_VALUE"""),4.0)</f>
        <v>4</v>
      </c>
      <c r="G1522" t="str">
        <f>IFERROR(__xludf.DUMMYFUNCTION("""COMPUTED_VALUE"""),"Sabun batang 1 Box ( 2 PCS )")</f>
        <v>Sabun batang 1 Box ( 2 PCS )</v>
      </c>
      <c r="H1522" s="469" t="str">
        <f>IFERROR(__xludf.DUMMYFUNCTION("""COMPUTED_VALUE"""),"Sampai")</f>
        <v>Sampai</v>
      </c>
      <c r="I1522" s="470" t="str">
        <f>IFERROR(__xludf.DUMMYFUNCTION("""COMPUTED_VALUE"""),"KIMME")</f>
        <v>KIMME</v>
      </c>
      <c r="J1522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22" s="470" t="str">
        <f>IFERROR(__xludf.DUMMYFUNCTION("""COMPUTED_VALUE"""),"KIMME")</f>
        <v>KIMME</v>
      </c>
      <c r="L1522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22" s="470"/>
      <c r="N1522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22" s="470"/>
      <c r="P1522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23">
      <c r="A1523" s="282" t="str">
        <f>IFERROR(__xludf.DUMMYFUNCTION("""COMPUTED_VALUE"""),"MICRO")</f>
        <v>MICRO</v>
      </c>
      <c r="B1523" s="468" t="str">
        <f>IFERROR(__xludf.DUMMYFUNCTION("""COMPUTED_VALUE"""),"anggi_ningsih")</f>
        <v>anggi_ningsih</v>
      </c>
      <c r="C1523" s="283" t="str">
        <f>IFERROR(__xludf.DUMMYFUNCTION("""COMPUTED_VALUE"""),"https://www.tiktok.com/@anggi_ningsih")</f>
        <v>https://www.tiktok.com/@anggi_ningsih</v>
      </c>
      <c r="D1523" s="273">
        <f>IFERROR(__xludf.DUMMYFUNCTION("""COMPUTED_VALUE"""),8.5329347471E10)</f>
        <v>85329347471</v>
      </c>
      <c r="E1523" s="458">
        <f>IFERROR(__xludf.DUMMYFUNCTION("""COMPUTED_VALUE"""),0.0)</f>
        <v>0</v>
      </c>
      <c r="F1523" s="273">
        <f>IFERROR(__xludf.DUMMYFUNCTION("""COMPUTED_VALUE"""),4.0)</f>
        <v>4</v>
      </c>
      <c r="G1523" t="str">
        <f>IFERROR(__xludf.DUMMYFUNCTION("""COMPUTED_VALUE"""),"Sabun batang 1 Box ( 2 PCS )")</f>
        <v>Sabun batang 1 Box ( 2 PCS )</v>
      </c>
      <c r="H1523" s="469" t="str">
        <f>IFERROR(__xludf.DUMMYFUNCTION("""COMPUTED_VALUE"""),"Sampai")</f>
        <v>Sampai</v>
      </c>
      <c r="I1523" s="470" t="str">
        <f>IFERROR(__xludf.DUMMYFUNCTION("""COMPUTED_VALUE"""),"KIMME")</f>
        <v>KIMME</v>
      </c>
      <c r="J1523" s="471" t="str">
        <f>IFERROR(__xludf.DUMMYFUNCTION("""COMPUTED_VALUE"""),"https://www.tiktok.com/@shadowbeauty94/video/7638170743083257106?_r=1&amp;u_code=ea7741h4k28gma&amp;region=&amp;mid=7618434961690970881&amp;preview_pb=0&amp;sharer_language=&amp;_d=0&amp;ec_shared_reflux_dynamic_params=%7B%22placeholder_material_id%22%3A%227638170743083257106%22%2C%"&amp;"22placeholder_origin_cover%22%3A%22https%253A%252F%252Fp16-common-sign.tiktokcdn.com%252Ftos-alisg-p-0037%252FoYAX75BpwDIC9i2AgMc5BYBIuEOrTABkAiJva~tplv-tiktokx-origin.jpeg%253Fdr%253D14572%2526refresh_token%253D2971e64a%2526x-expires%253D1810116000%2526x"&amp;"-signature%253DAwm7Q1gfDH3uIKi29VUBuXP3ha0%25253D%2526t%253D4d5b0474%2526ps%253D13740610%2526shp%253Dd05b14bd%2526shcp%253D34ff8df6%2526idc%253Dmy2%2526s%253DTIKTOK_AFFILIATE_VIRAL_VIDEO%22%2C%22placeholder_product_id%22%3A%221729427766722726591%22%2C%22p"&amp;"laceholder_video_id%22%3A%227638170743083257106%22%7D&amp;ec_shared_reflux_scene=shop_tab_feed&amp;share_item_id=7638170743083257106&amp;source=h5_t")</f>
        <v>https://www.tiktok.com/@shadowbeauty94/video/7638170743083257106?_r=1&amp;u_code=ea7741h4k28gma&amp;region=&amp;mid=7618434961690970881&amp;preview_pb=0&amp;sharer_language=&amp;_d=0&amp;ec_shared_reflux_dynamic_params=%7B%22placeholder_material_id%22%3A%227638170743083257106%22%2C%22placeholder_origin_cover%22%3A%22https%253A%252F%252Fp16-common-sign.tiktokcdn.com%252Ftos-alisg-p-0037%252FoYAX75BpwDIC9i2AgMc5BYBIuEOrTABkAiJva~tplv-tiktokx-origin.jpeg%253Fdr%253D14572%2526refresh_token%253D2971e64a%2526x-expires%253D1810116000%2526x-signature%253DAwm7Q1gfDH3uIKi29VUBuXP3ha0%25253D%2526t%253D4d5b0474%2526ps%253D13740610%2526shp%253Dd05b14bd%2526shcp%253D34ff8df6%2526idc%253Dmy2%2526s%253DTIKTOK_AFFILIATE_VIRAL_VIDEO%22%2C%22placeholder_product_id%22%3A%221729427766722726591%22%2C%22placeholder_video_id%22%3A%227638170743083257106%22%7D&amp;ec_shared_reflux_scene=shop_tab_feed&amp;share_item_id=7638170743083257106&amp;source=h5_t</v>
      </c>
      <c r="K1523" s="470" t="str">
        <f>IFERROR(__xludf.DUMMYFUNCTION("""COMPUTED_VALUE"""),"KIMME")</f>
        <v>KIMME</v>
      </c>
      <c r="L1523" s="471" t="str">
        <f>IFERROR(__xludf.DUMMYFUNCTION("""COMPUTED_VALUE"""),"https://www.tiktok.com/@shadowbeauty94/video/7638230278741429522?_r=1&amp;u_code=ea7741h4k28gma&amp;region=&amp;mid=7630404661434664977&amp;preview_pb=0&amp;sharer_language=&amp;_d=0&amp;ec_shared_reflux_dynamic_params=%7B%22placeholder_material_id%22%3A%227638230278741429522%22%2C%"&amp;"22placeholder_origin_cover%22%3A%22https%253A%252F%252Fp16-common-sign.tiktokcdn.com%252Ftos-alisg-p-0037%252FoEXP6BGgwPpEGcIax8BpVBAJiiSFCYBAgIwAO~tplv-tiktokx-origin.jpeg%253Fdr%253D14572%2526refresh_token%253Dd78747c1%2526x-expires%253D1810116000%2526x"&amp;"-signature%253DcTiyyBcqUoYKb1Urwqi6B%25252BPAYao%25253D%2526t%253D4d5b0474%2526ps%253D13740610%2526shp%253Dd05b14bd%2526shcp%253D34ff8df6%2526idc%253Dmy2%2526s%253DTIKTOK_AFFILIATE_VIRAL_VIDEO%22%2C%22placeholder_product_id%22%3A%221729427766722726591%22%"&amp;"2C%22placeholder_video_id%22%3A%227638230278741429522%22%7D&amp;ec_shared_reflux_scene=shop_tab_feed&amp;share_item_id=7638230278741429522&amp;source=h5_t")</f>
        <v>https://www.tiktok.com/@shadowbeauty94/video/7638230278741429522?_r=1&amp;u_code=ea7741h4k28gma&amp;region=&amp;mid=7630404661434664977&amp;preview_pb=0&amp;sharer_language=&amp;_d=0&amp;ec_shared_reflux_dynamic_params=%7B%22placeholder_material_id%22%3A%227638230278741429522%22%2C%22placeholder_origin_cover%22%3A%22https%253A%252F%252Fp16-common-sign.tiktokcdn.com%252Ftos-alisg-p-0037%252FoEXP6BGgwPpEGcIax8BpVBAJiiSFCYBAgIwAO~tplv-tiktokx-origin.jpeg%253Fdr%253D14572%2526refresh_token%253Dd78747c1%2526x-expires%253D1810116000%2526x-signature%253DcTiyyBcqUoYKb1Urwqi6B%25252BPAYao%25253D%2526t%253D4d5b0474%2526ps%253D13740610%2526shp%253Dd05b14bd%2526shcp%253D34ff8df6%2526idc%253Dmy2%2526s%253DTIKTOK_AFFILIATE_VIRAL_VIDEO%22%2C%22placeholder_product_id%22%3A%221729427766722726591%22%2C%22placeholder_video_id%22%3A%227638230278741429522%22%7D&amp;ec_shared_reflux_scene=shop_tab_feed&amp;share_item_id=7638230278741429522&amp;source=h5_t</v>
      </c>
      <c r="M1523" s="470"/>
      <c r="N1523" t="str">
        <f>IFERROR(__xludf.DUMMYFUNCTION("""COMPUTED_VALUE"""),"⁠https://vt.tiktok.com/ZSxDofG7u/")</f>
        <v>⁠https://vt.tiktok.com/ZSxDofG7u/</v>
      </c>
      <c r="O1523" s="470"/>
      <c r="P1523" s="471" t="str">
        <f>IFERROR(__xludf.DUMMYFUNCTION("""COMPUTED_VALUE"""),"https://vt.tiktok.com/ZSxgxw8UX/")</f>
        <v>https://vt.tiktok.com/ZSxgxw8UX/</v>
      </c>
    </row>
    <row r="1524">
      <c r="A1524" s="282" t="str">
        <f>IFERROR(__xludf.DUMMYFUNCTION("""COMPUTED_VALUE"""),"MICRO")</f>
        <v>MICRO</v>
      </c>
      <c r="B1524" s="468" t="str">
        <f>IFERROR(__xludf.DUMMYFUNCTION("""COMPUTED_VALUE"""),"risachristy15")</f>
        <v>risachristy15</v>
      </c>
      <c r="C1524" s="283" t="str">
        <f>IFERROR(__xludf.DUMMYFUNCTION("""COMPUTED_VALUE"""),"https://www.tiktok.com/@risachristy15")</f>
        <v>https://www.tiktok.com/@risachristy15</v>
      </c>
      <c r="D1524" s="273">
        <f>IFERROR(__xludf.DUMMYFUNCTION("""COMPUTED_VALUE"""),8.3838632006E10)</f>
        <v>83838632006</v>
      </c>
      <c r="E1524" s="458">
        <f>IFERROR(__xludf.DUMMYFUNCTION("""COMPUTED_VALUE"""),0.0)</f>
        <v>0</v>
      </c>
      <c r="F1524" s="273">
        <f>IFERROR(__xludf.DUMMYFUNCTION("""COMPUTED_VALUE"""),4.0)</f>
        <v>4</v>
      </c>
      <c r="G1524" t="str">
        <f>IFERROR(__xludf.DUMMYFUNCTION("""COMPUTED_VALUE"""),"Sabun batang 1 Box ( 2 PCS )")</f>
        <v>Sabun batang 1 Box ( 2 PCS )</v>
      </c>
      <c r="H1524" s="469" t="str">
        <f>IFERROR(__xludf.DUMMYFUNCTION("""COMPUTED_VALUE"""),"Sampai")</f>
        <v>Sampai</v>
      </c>
      <c r="I1524" s="470" t="str">
        <f>IFERROR(__xludf.DUMMYFUNCTION("""COMPUTED_VALUE"""),"KIMME")</f>
        <v>KIMME</v>
      </c>
      <c r="J1524" s="471" t="str">
        <f>IFERROR(__xludf.DUMMYFUNCTION("""COMPUTED_VALUE"""),"https://vt.tiktok.com/ZSxLs1e6a/")</f>
        <v>https://vt.tiktok.com/ZSxLs1e6a/</v>
      </c>
      <c r="K1524" s="470" t="str">
        <f>IFERROR(__xludf.DUMMYFUNCTION("""COMPUTED_VALUE"""),"KIMME")</f>
        <v>KIMME</v>
      </c>
      <c r="L1524" s="471" t="str">
        <f>IFERROR(__xludf.DUMMYFUNCTION("""COMPUTED_VALUE"""),"https://vt.tiktok.com/ZSxjJrLqY/")</f>
        <v>https://vt.tiktok.com/ZSxjJrLqY/</v>
      </c>
      <c r="M1524" s="470"/>
      <c r="N1524" s="471" t="str">
        <f>IFERROR(__xludf.DUMMYFUNCTION("""COMPUTED_VALUE"""),"https://vt.tiktok.com/ZSxjJqvN6/")</f>
        <v>https://vt.tiktok.com/ZSxjJqvN6/</v>
      </c>
      <c r="O1524" s="470"/>
      <c r="P1524" s="471" t="str">
        <f>IFERROR(__xludf.DUMMYFUNCTION("""COMPUTED_VALUE"""),"https://vt.tiktok.com/ZSxM1FxR9/")</f>
        <v>https://vt.tiktok.com/ZSxM1FxR9/</v>
      </c>
    </row>
    <row r="1525">
      <c r="A1525" s="282" t="str">
        <f>IFERROR(__xludf.DUMMYFUNCTION("""COMPUTED_VALUE"""),"MICRO")</f>
        <v>MICRO</v>
      </c>
      <c r="B1525" s="468" t="str">
        <f>IFERROR(__xludf.DUMMYFUNCTION("""COMPUTED_VALUE"""),"dai.putrii")</f>
        <v>dai.putrii</v>
      </c>
      <c r="C1525" s="283" t="str">
        <f>IFERROR(__xludf.DUMMYFUNCTION("""COMPUTED_VALUE"""),"https://www.tiktok.com/@dai.putrii")</f>
        <v>https://www.tiktok.com/@dai.putrii</v>
      </c>
      <c r="D1525" s="273">
        <f>IFERROR(__xludf.DUMMYFUNCTION("""COMPUTED_VALUE"""),8.1545426087E10)</f>
        <v>81545426087</v>
      </c>
      <c r="E1525" s="458">
        <f>IFERROR(__xludf.DUMMYFUNCTION("""COMPUTED_VALUE"""),0.0)</f>
        <v>0</v>
      </c>
      <c r="F1525" s="273">
        <f>IFERROR(__xludf.DUMMYFUNCTION("""COMPUTED_VALUE"""),4.0)</f>
        <v>4</v>
      </c>
      <c r="G1525" t="str">
        <f>IFERROR(__xludf.DUMMYFUNCTION("""COMPUTED_VALUE"""),"Sabun batang 1 Box ( 2 PCS )")</f>
        <v>Sabun batang 1 Box ( 2 PCS )</v>
      </c>
      <c r="H1525" s="469" t="str">
        <f>IFERROR(__xludf.DUMMYFUNCTION("""COMPUTED_VALUE"""),"Sampai")</f>
        <v>Sampai</v>
      </c>
      <c r="I1525" s="470" t="str">
        <f>IFERROR(__xludf.DUMMYFUNCTION("""COMPUTED_VALUE"""),"KIMME")</f>
        <v>KIMME</v>
      </c>
      <c r="J1525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25" s="470" t="str">
        <f>IFERROR(__xludf.DUMMYFUNCTION("""COMPUTED_VALUE"""),"KIMME")</f>
        <v>KIMME</v>
      </c>
      <c r="L1525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25" s="470"/>
      <c r="N1525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25" s="470"/>
      <c r="P1525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26">
      <c r="A1526" s="282" t="str">
        <f>IFERROR(__xludf.DUMMYFUNCTION("""COMPUTED_VALUE"""),"MICRO")</f>
        <v>MICRO</v>
      </c>
      <c r="B1526" s="468" t="str">
        <f>IFERROR(__xludf.DUMMYFUNCTION("""COMPUTED_VALUE"""),"hadooo27")</f>
        <v>hadooo27</v>
      </c>
      <c r="C1526" s="283" t="str">
        <f>IFERROR(__xludf.DUMMYFUNCTION("""COMPUTED_VALUE"""),"https://www.tiktok.com/@hadooo27")</f>
        <v>https://www.tiktok.com/@hadooo27</v>
      </c>
      <c r="D1526" s="273">
        <f>IFERROR(__xludf.DUMMYFUNCTION("""COMPUTED_VALUE"""),8.5664547785E10)</f>
        <v>85664547785</v>
      </c>
      <c r="E1526" s="458">
        <f>IFERROR(__xludf.DUMMYFUNCTION("""COMPUTED_VALUE"""),0.0)</f>
        <v>0</v>
      </c>
      <c r="F1526" s="273">
        <f>IFERROR(__xludf.DUMMYFUNCTION("""COMPUTED_VALUE"""),1.0)</f>
        <v>1</v>
      </c>
      <c r="G1526" t="str">
        <f>IFERROR(__xludf.DUMMYFUNCTION("""COMPUTED_VALUE"""),"Sabun batang 1 Box ( 2 PCS )")</f>
        <v>Sabun batang 1 Box ( 2 PCS )</v>
      </c>
      <c r="H1526" s="469" t="str">
        <f>IFERROR(__xludf.DUMMYFUNCTION("""COMPUTED_VALUE"""),"Sampai")</f>
        <v>Sampai</v>
      </c>
      <c r="I1526" s="470" t="str">
        <f>IFERROR(__xludf.DUMMYFUNCTION("""COMPUTED_VALUE"""),"KIMME")</f>
        <v>KIMME</v>
      </c>
      <c r="J1526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26" s="470" t="str">
        <f>IFERROR(__xludf.DUMMYFUNCTION("""COMPUTED_VALUE"""),"KIMME")</f>
        <v>KIMME</v>
      </c>
      <c r="L1526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26" s="470"/>
      <c r="N1526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26" s="470"/>
      <c r="P1526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27">
      <c r="A1527" s="282" t="str">
        <f>IFERROR(__xludf.DUMMYFUNCTION("""COMPUTED_VALUE"""),"MICRO")</f>
        <v>MICRO</v>
      </c>
      <c r="B1527" s="468" t="str">
        <f>IFERROR(__xludf.DUMMYFUNCTION("""COMPUTED_VALUE"""),"matchamellowww")</f>
        <v>matchamellowww</v>
      </c>
      <c r="C1527" s="283" t="str">
        <f>IFERROR(__xludf.DUMMYFUNCTION("""COMPUTED_VALUE"""),"https://www.tiktok.com/@matchamellowww")</f>
        <v>https://www.tiktok.com/@matchamellowww</v>
      </c>
      <c r="D1527" s="273">
        <f>IFERROR(__xludf.DUMMYFUNCTION("""COMPUTED_VALUE"""),8.5885859906E10)</f>
        <v>85885859906</v>
      </c>
      <c r="E1527" s="458">
        <f>IFERROR(__xludf.DUMMYFUNCTION("""COMPUTED_VALUE"""),0.0)</f>
        <v>0</v>
      </c>
      <c r="F1527" s="273">
        <f>IFERROR(__xludf.DUMMYFUNCTION("""COMPUTED_VALUE"""),4.0)</f>
        <v>4</v>
      </c>
      <c r="G1527" t="str">
        <f>IFERROR(__xludf.DUMMYFUNCTION("""COMPUTED_VALUE"""),"Sabun batang 1 Box ( 2 PCS )")</f>
        <v>Sabun batang 1 Box ( 2 PCS )</v>
      </c>
      <c r="H1527" s="469" t="str">
        <f>IFERROR(__xludf.DUMMYFUNCTION("""COMPUTED_VALUE"""),"Sampai")</f>
        <v>Sampai</v>
      </c>
      <c r="I1527" s="470" t="str">
        <f>IFERROR(__xludf.DUMMYFUNCTION("""COMPUTED_VALUE"""),"KIMME")</f>
        <v>KIMME</v>
      </c>
      <c r="J1527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27" s="470" t="str">
        <f>IFERROR(__xludf.DUMMYFUNCTION("""COMPUTED_VALUE"""),"KIMME")</f>
        <v>KIMME</v>
      </c>
      <c r="L1527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27" s="470"/>
      <c r="N1527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27" s="470"/>
      <c r="P1527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28">
      <c r="A1528" s="282" t="str">
        <f>IFERROR(__xludf.DUMMYFUNCTION("""COMPUTED_VALUE"""),"MICRO")</f>
        <v>MICRO</v>
      </c>
      <c r="B1528" s="468" t="str">
        <f>IFERROR(__xludf.DUMMYFUNCTION("""COMPUTED_VALUE"""),"bywindaaa")</f>
        <v>bywindaaa</v>
      </c>
      <c r="C1528" s="283" t="str">
        <f>IFERROR(__xludf.DUMMYFUNCTION("""COMPUTED_VALUE"""),"https://www.tiktok.com/@bywindaaa")</f>
        <v>https://www.tiktok.com/@bywindaaa</v>
      </c>
      <c r="D1528" s="273">
        <f>IFERROR(__xludf.DUMMYFUNCTION("""COMPUTED_VALUE"""),8.5219337403E10)</f>
        <v>85219337403</v>
      </c>
      <c r="E1528" s="458">
        <f>IFERROR(__xludf.DUMMYFUNCTION("""COMPUTED_VALUE"""),0.0)</f>
        <v>0</v>
      </c>
      <c r="F1528" s="273">
        <f>IFERROR(__xludf.DUMMYFUNCTION("""COMPUTED_VALUE"""),4.0)</f>
        <v>4</v>
      </c>
      <c r="G1528" t="str">
        <f>IFERROR(__xludf.DUMMYFUNCTION("""COMPUTED_VALUE"""),"Sabun batang 1 Box ( 2 PCS )")</f>
        <v>Sabun batang 1 Box ( 2 PCS )</v>
      </c>
      <c r="H1528" s="469" t="str">
        <f>IFERROR(__xludf.DUMMYFUNCTION("""COMPUTED_VALUE"""),"Sampai")</f>
        <v>Sampai</v>
      </c>
      <c r="I1528" s="470" t="str">
        <f>IFERROR(__xludf.DUMMYFUNCTION("""COMPUTED_VALUE"""),"KIMME")</f>
        <v>KIMME</v>
      </c>
      <c r="J1528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28" s="470" t="str">
        <f>IFERROR(__xludf.DUMMYFUNCTION("""COMPUTED_VALUE"""),"KIMME")</f>
        <v>KIMME</v>
      </c>
      <c r="L1528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28" s="470"/>
      <c r="N1528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28" s="470"/>
      <c r="P1528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29">
      <c r="A1529" s="282" t="str">
        <f>IFERROR(__xludf.DUMMYFUNCTION("""COMPUTED_VALUE"""),"MICRO")</f>
        <v>MICRO</v>
      </c>
      <c r="B1529" s="468" t="str">
        <f>IFERROR(__xludf.DUMMYFUNCTION("""COMPUTED_VALUE"""),"yanti_lontar")</f>
        <v>yanti_lontar</v>
      </c>
      <c r="C1529" s="283" t="str">
        <f>IFERROR(__xludf.DUMMYFUNCTION("""COMPUTED_VALUE"""),"https://www.tiktok.com/@yanti_lontar")</f>
        <v>https://www.tiktok.com/@yanti_lontar</v>
      </c>
      <c r="D1529" s="273">
        <f>IFERROR(__xludf.DUMMYFUNCTION("""COMPUTED_VALUE"""),8.2177858585E10)</f>
        <v>82177858585</v>
      </c>
      <c r="E1529" s="458">
        <f>IFERROR(__xludf.DUMMYFUNCTION("""COMPUTED_VALUE"""),0.0)</f>
        <v>0</v>
      </c>
      <c r="F1529" s="273">
        <f>IFERROR(__xludf.DUMMYFUNCTION("""COMPUTED_VALUE"""),1.0)</f>
        <v>1</v>
      </c>
      <c r="G1529" t="str">
        <f>IFERROR(__xludf.DUMMYFUNCTION("""COMPUTED_VALUE"""),"Sabun batang 1 Box ( 2 PCS )")</f>
        <v>Sabun batang 1 Box ( 2 PCS )</v>
      </c>
      <c r="H1529" s="469" t="str">
        <f>IFERROR(__xludf.DUMMYFUNCTION("""COMPUTED_VALUE"""),"Sampai")</f>
        <v>Sampai</v>
      </c>
      <c r="I1529" s="470" t="str">
        <f>IFERROR(__xludf.DUMMYFUNCTION("""COMPUTED_VALUE"""),"KIMME")</f>
        <v>KIMME</v>
      </c>
      <c r="J1529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29" s="470" t="str">
        <f>IFERROR(__xludf.DUMMYFUNCTION("""COMPUTED_VALUE"""),"KIMME")</f>
        <v>KIMME</v>
      </c>
      <c r="L1529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29" s="470"/>
      <c r="N1529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29" s="470"/>
      <c r="P1529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30">
      <c r="A1530" s="282" t="str">
        <f>IFERROR(__xludf.DUMMYFUNCTION("""COMPUTED_VALUE"""),"MICRO")</f>
        <v>MICRO</v>
      </c>
      <c r="B1530" s="468" t="str">
        <f>IFERROR(__xludf.DUMMYFUNCTION("""COMPUTED_VALUE"""),"bbeyllvaa")</f>
        <v>bbeyllvaa</v>
      </c>
      <c r="C1530" s="283" t="str">
        <f>IFERROR(__xludf.DUMMYFUNCTION("""COMPUTED_VALUE"""),"https://www.tiktok.com/@bbeyllvaa")</f>
        <v>https://www.tiktok.com/@bbeyllvaa</v>
      </c>
      <c r="D1530" s="273">
        <f>IFERROR(__xludf.DUMMYFUNCTION("""COMPUTED_VALUE"""),8.5954640492E10)</f>
        <v>85954640492</v>
      </c>
      <c r="E1530" s="458">
        <f>IFERROR(__xludf.DUMMYFUNCTION("""COMPUTED_VALUE"""),0.0)</f>
        <v>0</v>
      </c>
      <c r="F1530" s="273">
        <f>IFERROR(__xludf.DUMMYFUNCTION("""COMPUTED_VALUE"""),4.0)</f>
        <v>4</v>
      </c>
      <c r="G1530" t="str">
        <f>IFERROR(__xludf.DUMMYFUNCTION("""COMPUTED_VALUE"""),"Sabun batang 1 Box ( 2 PCS )")</f>
        <v>Sabun batang 1 Box ( 2 PCS )</v>
      </c>
      <c r="H1530" s="469" t="str">
        <f>IFERROR(__xludf.DUMMYFUNCTION("""COMPUTED_VALUE"""),"Sampai")</f>
        <v>Sampai</v>
      </c>
      <c r="I1530" s="470" t="str">
        <f>IFERROR(__xludf.DUMMYFUNCTION("""COMPUTED_VALUE"""),"KIMME")</f>
        <v>KIMME</v>
      </c>
      <c r="J1530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30" s="470" t="str">
        <f>IFERROR(__xludf.DUMMYFUNCTION("""COMPUTED_VALUE"""),"KIMME")</f>
        <v>KIMME</v>
      </c>
      <c r="L1530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30" s="470"/>
      <c r="N1530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30" s="470"/>
      <c r="P1530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31">
      <c r="A1531" s="282" t="str">
        <f>IFERROR(__xludf.DUMMYFUNCTION("""COMPUTED_VALUE"""),"MICRO")</f>
        <v>MICRO</v>
      </c>
      <c r="B1531" s="468" t="str">
        <f>IFERROR(__xludf.DUMMYFUNCTION("""COMPUTED_VALUE"""),"newbie30_")</f>
        <v>newbie30_</v>
      </c>
      <c r="C1531" s="283" t="str">
        <f>IFERROR(__xludf.DUMMYFUNCTION("""COMPUTED_VALUE"""),"https://www.tiktok.com/@newbie30_")</f>
        <v>https://www.tiktok.com/@newbie30_</v>
      </c>
      <c r="D1531" s="273">
        <f>IFERROR(__xludf.DUMMYFUNCTION("""COMPUTED_VALUE"""),8.9539045012E11)</f>
        <v>895390450120</v>
      </c>
      <c r="E1531" s="458">
        <f>IFERROR(__xludf.DUMMYFUNCTION("""COMPUTED_VALUE"""),0.0)</f>
        <v>0</v>
      </c>
      <c r="F1531" s="273">
        <f>IFERROR(__xludf.DUMMYFUNCTION("""COMPUTED_VALUE"""),4.0)</f>
        <v>4</v>
      </c>
      <c r="G1531" t="str">
        <f>IFERROR(__xludf.DUMMYFUNCTION("""COMPUTED_VALUE"""),"Sabun batang 1 Box ( 2 PCS )")</f>
        <v>Sabun batang 1 Box ( 2 PCS )</v>
      </c>
      <c r="H1531" s="469" t="str">
        <f>IFERROR(__xludf.DUMMYFUNCTION("""COMPUTED_VALUE"""),"Sampai")</f>
        <v>Sampai</v>
      </c>
      <c r="I1531" s="470" t="str">
        <f>IFERROR(__xludf.DUMMYFUNCTION("""COMPUTED_VALUE"""),"KIMME")</f>
        <v>KIMME</v>
      </c>
      <c r="J1531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31" s="470" t="str">
        <f>IFERROR(__xludf.DUMMYFUNCTION("""COMPUTED_VALUE"""),"KIMME")</f>
        <v>KIMME</v>
      </c>
      <c r="L1531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31" s="470"/>
      <c r="N1531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31" s="470"/>
      <c r="P1531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32">
      <c r="A1532" s="282" t="str">
        <f>IFERROR(__xludf.DUMMYFUNCTION("""COMPUTED_VALUE"""),"MICRO")</f>
        <v>MICRO</v>
      </c>
      <c r="B1532" s="468" t="str">
        <f>IFERROR(__xludf.DUMMYFUNCTION("""COMPUTED_VALUE"""),"wennyislami_")</f>
        <v>wennyislami_</v>
      </c>
      <c r="C1532" s="283" t="str">
        <f>IFERROR(__xludf.DUMMYFUNCTION("""COMPUTED_VALUE"""),"https://www.tiktok.com/@wennyislami_")</f>
        <v>https://www.tiktok.com/@wennyislami_</v>
      </c>
      <c r="D1532" s="273">
        <f>IFERROR(__xludf.DUMMYFUNCTION("""COMPUTED_VALUE"""),8.5710476736E10)</f>
        <v>85710476736</v>
      </c>
      <c r="E1532" s="458">
        <f>IFERROR(__xludf.DUMMYFUNCTION("""COMPUTED_VALUE"""),0.0)</f>
        <v>0</v>
      </c>
      <c r="F1532" s="273">
        <f>IFERROR(__xludf.DUMMYFUNCTION("""COMPUTED_VALUE"""),4.0)</f>
        <v>4</v>
      </c>
      <c r="G1532" t="str">
        <f>IFERROR(__xludf.DUMMYFUNCTION("""COMPUTED_VALUE"""),"Sabun batang 1 Box ( 2 PCS )")</f>
        <v>Sabun batang 1 Box ( 2 PCS )</v>
      </c>
      <c r="H1532" s="469" t="str">
        <f>IFERROR(__xludf.DUMMYFUNCTION("""COMPUTED_VALUE"""),"Sampai")</f>
        <v>Sampai</v>
      </c>
      <c r="I1532" s="470" t="str">
        <f>IFERROR(__xludf.DUMMYFUNCTION("""COMPUTED_VALUE"""),"KIMME")</f>
        <v>KIMME</v>
      </c>
      <c r="J1532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32" s="470" t="str">
        <f>IFERROR(__xludf.DUMMYFUNCTION("""COMPUTED_VALUE"""),"KIMME")</f>
        <v>KIMME</v>
      </c>
      <c r="L1532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32" s="470"/>
      <c r="N1532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32" s="470"/>
      <c r="P1532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33">
      <c r="A1533" s="282" t="str">
        <f>IFERROR(__xludf.DUMMYFUNCTION("""COMPUTED_VALUE"""),"MICRO")</f>
        <v>MICRO</v>
      </c>
      <c r="B1533" s="468" t="str">
        <f>IFERROR(__xludf.DUMMYFUNCTION("""COMPUTED_VALUE"""),"auliaagnn")</f>
        <v>auliaagnn</v>
      </c>
      <c r="C1533" s="283" t="str">
        <f>IFERROR(__xludf.DUMMYFUNCTION("""COMPUTED_VALUE"""),"https://www.tiktok.com/@auliaagnn")</f>
        <v>https://www.tiktok.com/@auliaagnn</v>
      </c>
      <c r="D1533" s="273">
        <f>IFERROR(__xludf.DUMMYFUNCTION("""COMPUTED_VALUE"""),8.95411842319E11)</f>
        <v>895411842319</v>
      </c>
      <c r="E1533" s="458">
        <f>IFERROR(__xludf.DUMMYFUNCTION("""COMPUTED_VALUE"""),0.0)</f>
        <v>0</v>
      </c>
      <c r="F1533" s="273">
        <f>IFERROR(__xludf.DUMMYFUNCTION("""COMPUTED_VALUE"""),4.0)</f>
        <v>4</v>
      </c>
      <c r="G1533" t="str">
        <f>IFERROR(__xludf.DUMMYFUNCTION("""COMPUTED_VALUE"""),"Sabun batang 1 Box ( 2 PCS )")</f>
        <v>Sabun batang 1 Box ( 2 PCS )</v>
      </c>
      <c r="H1533" s="469" t="str">
        <f>IFERROR(__xludf.DUMMYFUNCTION("""COMPUTED_VALUE"""),"Sampai")</f>
        <v>Sampai</v>
      </c>
      <c r="I1533" s="470" t="str">
        <f>IFERROR(__xludf.DUMMYFUNCTION("""COMPUTED_VALUE"""),"KIMME")</f>
        <v>KIMME</v>
      </c>
      <c r="J1533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33" s="470" t="str">
        <f>IFERROR(__xludf.DUMMYFUNCTION("""COMPUTED_VALUE"""),"KIMME")</f>
        <v>KIMME</v>
      </c>
      <c r="L1533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33" s="470"/>
      <c r="N1533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33" s="470"/>
      <c r="P1533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34">
      <c r="A1534" s="282" t="str">
        <f>IFERROR(__xludf.DUMMYFUNCTION("""COMPUTED_VALUE"""),"MICRO")</f>
        <v>MICRO</v>
      </c>
      <c r="B1534" s="468" t="str">
        <f>IFERROR(__xludf.DUMMYFUNCTION("""COMPUTED_VALUE"""),"by.ciicii")</f>
        <v>by.ciicii</v>
      </c>
      <c r="C1534" s="283" t="str">
        <f>IFERROR(__xludf.DUMMYFUNCTION("""COMPUTED_VALUE"""),"https://www.tiktok.com/@by.ciicii")</f>
        <v>https://www.tiktok.com/@by.ciicii</v>
      </c>
      <c r="D1534" s="273">
        <f>IFERROR(__xludf.DUMMYFUNCTION("""COMPUTED_VALUE"""),8.95336319394E11)</f>
        <v>895336319394</v>
      </c>
      <c r="E1534" s="458">
        <f>IFERROR(__xludf.DUMMYFUNCTION("""COMPUTED_VALUE"""),0.0)</f>
        <v>0</v>
      </c>
      <c r="F1534" s="273">
        <f>IFERROR(__xludf.DUMMYFUNCTION("""COMPUTED_VALUE"""),4.0)</f>
        <v>4</v>
      </c>
      <c r="G1534" t="str">
        <f>IFERROR(__xludf.DUMMYFUNCTION("""COMPUTED_VALUE"""),"Sabun batang 1 Box ( 2 PCS )")</f>
        <v>Sabun batang 1 Box ( 2 PCS )</v>
      </c>
      <c r="H1534" s="469" t="str">
        <f>IFERROR(__xludf.DUMMYFUNCTION("""COMPUTED_VALUE"""),"Sampai")</f>
        <v>Sampai</v>
      </c>
      <c r="I1534" s="470" t="str">
        <f>IFERROR(__xludf.DUMMYFUNCTION("""COMPUTED_VALUE"""),"KIMME")</f>
        <v>KIMME</v>
      </c>
      <c r="J1534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34" s="470" t="str">
        <f>IFERROR(__xludf.DUMMYFUNCTION("""COMPUTED_VALUE"""),"KIMME")</f>
        <v>KIMME</v>
      </c>
      <c r="L1534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34" s="470"/>
      <c r="N1534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34" s="470"/>
      <c r="P1534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35">
      <c r="A1535" s="282" t="str">
        <f>IFERROR(__xludf.DUMMYFUNCTION("""COMPUTED_VALUE"""),"MICRO")</f>
        <v>MICRO</v>
      </c>
      <c r="B1535" s="468" t="str">
        <f>IFERROR(__xludf.DUMMYFUNCTION("""COMPUTED_VALUE"""),"cahyaa102 ")</f>
        <v>cahyaa102 </v>
      </c>
      <c r="C1535" s="283" t="str">
        <f>IFERROR(__xludf.DUMMYFUNCTION("""COMPUTED_VALUE"""),"https://www.tiktok.com/@cahyaa102 ")</f>
        <v>https://www.tiktok.com/@cahyaa102 </v>
      </c>
      <c r="D1535" s="273">
        <f>IFERROR(__xludf.DUMMYFUNCTION("""COMPUTED_VALUE"""),8.8806328326E10)</f>
        <v>88806328326</v>
      </c>
      <c r="E1535" s="458">
        <f>IFERROR(__xludf.DUMMYFUNCTION("""COMPUTED_VALUE"""),0.0)</f>
        <v>0</v>
      </c>
      <c r="F1535" s="273">
        <f>IFERROR(__xludf.DUMMYFUNCTION("""COMPUTED_VALUE"""),2.0)</f>
        <v>2</v>
      </c>
      <c r="G1535" t="str">
        <f>IFERROR(__xludf.DUMMYFUNCTION("""COMPUTED_VALUE"""),"Sabun batang 1 Box ( 2 PCS )")</f>
        <v>Sabun batang 1 Box ( 2 PCS )</v>
      </c>
      <c r="H1535" s="469" t="str">
        <f>IFERROR(__xludf.DUMMYFUNCTION("""COMPUTED_VALUE"""),"Sampai")</f>
        <v>Sampai</v>
      </c>
      <c r="I1535" s="470" t="str">
        <f>IFERROR(__xludf.DUMMYFUNCTION("""COMPUTED_VALUE"""),"KIMME")</f>
        <v>KIMME</v>
      </c>
      <c r="J1535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35" s="470" t="str">
        <f>IFERROR(__xludf.DUMMYFUNCTION("""COMPUTED_VALUE"""),"KIMME")</f>
        <v>KIMME</v>
      </c>
      <c r="L1535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35" s="470"/>
      <c r="N1535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35" s="470"/>
      <c r="P1535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36">
      <c r="A1536" s="282" t="str">
        <f>IFERROR(__xludf.DUMMYFUNCTION("""COMPUTED_VALUE"""),"MICRO")</f>
        <v>MICRO</v>
      </c>
      <c r="B1536" s="468" t="str">
        <f>IFERROR(__xludf.DUMMYFUNCTION("""COMPUTED_VALUE"""),"tarayuditya")</f>
        <v>tarayuditya</v>
      </c>
      <c r="C1536" s="283" t="str">
        <f>IFERROR(__xludf.DUMMYFUNCTION("""COMPUTED_VALUE"""),"https://www.tiktok.com/@tarayuditya")</f>
        <v>https://www.tiktok.com/@tarayuditya</v>
      </c>
      <c r="D1536" s="273">
        <f>IFERROR(__xludf.DUMMYFUNCTION("""COMPUTED_VALUE"""),8.2132392148E10)</f>
        <v>82132392148</v>
      </c>
      <c r="E1536" s="458">
        <f>IFERROR(__xludf.DUMMYFUNCTION("""COMPUTED_VALUE"""),0.0)</f>
        <v>0</v>
      </c>
      <c r="F1536" s="273">
        <f>IFERROR(__xludf.DUMMYFUNCTION("""COMPUTED_VALUE"""),4.0)</f>
        <v>4</v>
      </c>
      <c r="G1536" t="str">
        <f>IFERROR(__xludf.DUMMYFUNCTION("""COMPUTED_VALUE"""),"Sabun batang 1 Box ( 2 PCS )")</f>
        <v>Sabun batang 1 Box ( 2 PCS )</v>
      </c>
      <c r="H1536" s="469" t="str">
        <f>IFERROR(__xludf.DUMMYFUNCTION("""COMPUTED_VALUE"""),"Sampai")</f>
        <v>Sampai</v>
      </c>
      <c r="I1536" s="470" t="str">
        <f>IFERROR(__xludf.DUMMYFUNCTION("""COMPUTED_VALUE"""),"KIMME")</f>
        <v>KIMME</v>
      </c>
      <c r="J1536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36" s="470" t="str">
        <f>IFERROR(__xludf.DUMMYFUNCTION("""COMPUTED_VALUE"""),"KIMME")</f>
        <v>KIMME</v>
      </c>
      <c r="L1536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36" s="470"/>
      <c r="N1536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36" s="470"/>
      <c r="P1536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37">
      <c r="A1537" s="282" t="str">
        <f>IFERROR(__xludf.DUMMYFUNCTION("""COMPUTED_VALUE"""),"MICRO")</f>
        <v>MICRO</v>
      </c>
      <c r="B1537" s="468" t="str">
        <f>IFERROR(__xludf.DUMMYFUNCTION("""COMPUTED_VALUE"""),"wiwin_is31")</f>
        <v>wiwin_is31</v>
      </c>
      <c r="C1537" s="283" t="str">
        <f>IFERROR(__xludf.DUMMYFUNCTION("""COMPUTED_VALUE"""),"https://www.tiktok.com/@wiwin_is31")</f>
        <v>https://www.tiktok.com/@wiwin_is31</v>
      </c>
      <c r="D1537" s="273">
        <f>IFERROR(__xludf.DUMMYFUNCTION("""COMPUTED_VALUE"""),8.1932035949E10)</f>
        <v>81932035949</v>
      </c>
      <c r="E1537" s="458">
        <f>IFERROR(__xludf.DUMMYFUNCTION("""COMPUTED_VALUE"""),100000.0)</f>
        <v>100000</v>
      </c>
      <c r="F1537" s="273">
        <f>IFERROR(__xludf.DUMMYFUNCTION("""COMPUTED_VALUE"""),1.0)</f>
        <v>1</v>
      </c>
      <c r="G1537" t="str">
        <f>IFERROR(__xludf.DUMMYFUNCTION("""COMPUTED_VALUE"""),"Sabun batang 1 Box ( 2 PCS )")</f>
        <v>Sabun batang 1 Box ( 2 PCS )</v>
      </c>
      <c r="H1537" s="469" t="str">
        <f>IFERROR(__xludf.DUMMYFUNCTION("""COMPUTED_VALUE"""),"Sampai")</f>
        <v>Sampai</v>
      </c>
      <c r="I1537" s="470" t="str">
        <f>IFERROR(__xludf.DUMMYFUNCTION("""COMPUTED_VALUE"""),"KIMME")</f>
        <v>KIMME</v>
      </c>
      <c r="J1537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37" s="470" t="str">
        <f>IFERROR(__xludf.DUMMYFUNCTION("""COMPUTED_VALUE"""),"KIMME")</f>
        <v>KIMME</v>
      </c>
      <c r="L1537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37" s="470"/>
      <c r="N1537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37" s="470"/>
      <c r="P1537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38">
      <c r="A1538" s="282" t="str">
        <f>IFERROR(__xludf.DUMMYFUNCTION("""COMPUTED_VALUE"""),"MICRO")</f>
        <v>MICRO</v>
      </c>
      <c r="B1538" s="468" t="str">
        <f>IFERROR(__xludf.DUMMYFUNCTION("""COMPUTED_VALUE"""),"nidayanti123")</f>
        <v>nidayanti123</v>
      </c>
      <c r="C1538" s="283" t="str">
        <f>IFERROR(__xludf.DUMMYFUNCTION("""COMPUTED_VALUE"""),"https://www.tiktok.com/@nidayanti123")</f>
        <v>https://www.tiktok.com/@nidayanti123</v>
      </c>
      <c r="D1538" s="273">
        <f>IFERROR(__xludf.DUMMYFUNCTION("""COMPUTED_VALUE"""),8.5787753714E10)</f>
        <v>85787753714</v>
      </c>
      <c r="E1538" s="458">
        <f>IFERROR(__xludf.DUMMYFUNCTION("""COMPUTED_VALUE"""),0.0)</f>
        <v>0</v>
      </c>
      <c r="F1538" s="273">
        <f>IFERROR(__xludf.DUMMYFUNCTION("""COMPUTED_VALUE"""),4.0)</f>
        <v>4</v>
      </c>
      <c r="G1538" t="str">
        <f>IFERROR(__xludf.DUMMYFUNCTION("""COMPUTED_VALUE"""),"Sabun batang 1 Box ( 2 PCS )")</f>
        <v>Sabun batang 1 Box ( 2 PCS )</v>
      </c>
      <c r="H1538" s="469" t="str">
        <f>IFERROR(__xludf.DUMMYFUNCTION("""COMPUTED_VALUE"""),"Sampai")</f>
        <v>Sampai</v>
      </c>
      <c r="I1538" s="470" t="str">
        <f>IFERROR(__xludf.DUMMYFUNCTION("""COMPUTED_VALUE"""),"KIMME")</f>
        <v>KIMME</v>
      </c>
      <c r="J1538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38" s="470" t="str">
        <f>IFERROR(__xludf.DUMMYFUNCTION("""COMPUTED_VALUE"""),"KIMME")</f>
        <v>KIMME</v>
      </c>
      <c r="L1538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38" s="470"/>
      <c r="N1538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38" s="470"/>
      <c r="P1538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39">
      <c r="A1539" s="282" t="str">
        <f>IFERROR(__xludf.DUMMYFUNCTION("""COMPUTED_VALUE"""),"MICRO")</f>
        <v>MICRO</v>
      </c>
      <c r="B1539" s="468" t="str">
        <f>IFERROR(__xludf.DUMMYFUNCTION("""COMPUTED_VALUE"""),"usersamuelmanurung")</f>
        <v>usersamuelmanurung</v>
      </c>
      <c r="C1539" s="283" t="str">
        <f>IFERROR(__xludf.DUMMYFUNCTION("""COMPUTED_VALUE"""),"https://www.tiktok.com/@usersamuelmanurung")</f>
        <v>https://www.tiktok.com/@usersamuelmanurung</v>
      </c>
      <c r="D1539" s="273">
        <f>IFERROR(__xludf.DUMMYFUNCTION("""COMPUTED_VALUE"""),8.1262012825E10)</f>
        <v>81262012825</v>
      </c>
      <c r="E1539" s="458">
        <f>IFERROR(__xludf.DUMMYFUNCTION("""COMPUTED_VALUE"""),0.0)</f>
        <v>0</v>
      </c>
      <c r="F1539" s="273"/>
      <c r="G1539" t="str">
        <f>IFERROR(__xludf.DUMMYFUNCTION("""COMPUTED_VALUE"""),"Sabun batang 1 Box ( 2 PCS )")</f>
        <v>Sabun batang 1 Box ( 2 PCS )</v>
      </c>
      <c r="H1539" s="469" t="str">
        <f>IFERROR(__xludf.DUMMYFUNCTION("""COMPUTED_VALUE"""),"Sampai")</f>
        <v>Sampai</v>
      </c>
      <c r="I1539" s="470" t="str">
        <f>IFERROR(__xludf.DUMMYFUNCTION("""COMPUTED_VALUE"""),"KIMME")</f>
        <v>KIMME</v>
      </c>
      <c r="J1539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39" s="470" t="str">
        <f>IFERROR(__xludf.DUMMYFUNCTION("""COMPUTED_VALUE"""),"KIMME")</f>
        <v>KIMME</v>
      </c>
      <c r="L1539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39" s="470"/>
      <c r="N1539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39" s="470"/>
      <c r="P1539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40">
      <c r="A1540" s="282" t="str">
        <f>IFERROR(__xludf.DUMMYFUNCTION("""COMPUTED_VALUE"""),"MICRO")</f>
        <v>MICRO</v>
      </c>
      <c r="B1540" s="468" t="str">
        <f>IFERROR(__xludf.DUMMYFUNCTION("""COMPUTED_VALUE"""),"galeritasya
")</f>
        <v>galeritasya
</v>
      </c>
      <c r="C1540" s="283" t="str">
        <f>IFERROR(__xludf.DUMMYFUNCTION("""COMPUTED_VALUE"""),"https://www.tiktok.com/@galeritasya
")</f>
        <v>https://www.tiktok.com/@galeritasya
</v>
      </c>
      <c r="D1540" s="273">
        <f>IFERROR(__xludf.DUMMYFUNCTION("""COMPUTED_VALUE"""),8.1317743459E10)</f>
        <v>81317743459</v>
      </c>
      <c r="E1540" s="458">
        <f>IFERROR(__xludf.DUMMYFUNCTION("""COMPUTED_VALUE"""),0.0)</f>
        <v>0</v>
      </c>
      <c r="F1540" s="273">
        <f>IFERROR(__xludf.DUMMYFUNCTION("""COMPUTED_VALUE"""),4.0)</f>
        <v>4</v>
      </c>
      <c r="G1540" t="str">
        <f>IFERROR(__xludf.DUMMYFUNCTION("""COMPUTED_VALUE"""),"Sabun batang 1 Box ( 2 PCS )")</f>
        <v>Sabun batang 1 Box ( 2 PCS )</v>
      </c>
      <c r="H1540" s="469" t="str">
        <f>IFERROR(__xludf.DUMMYFUNCTION("""COMPUTED_VALUE"""),"Sampai")</f>
        <v>Sampai</v>
      </c>
      <c r="I1540" s="470" t="str">
        <f>IFERROR(__xludf.DUMMYFUNCTION("""COMPUTED_VALUE"""),"KIMME")</f>
        <v>KIMME</v>
      </c>
      <c r="J1540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40" s="470" t="str">
        <f>IFERROR(__xludf.DUMMYFUNCTION("""COMPUTED_VALUE"""),"KIMME")</f>
        <v>KIMME</v>
      </c>
      <c r="L1540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40" s="470"/>
      <c r="N1540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40" s="470"/>
      <c r="P1540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41">
      <c r="A1541" s="282" t="str">
        <f>IFERROR(__xludf.DUMMYFUNCTION("""COMPUTED_VALUE"""),"MICRO")</f>
        <v>MICRO</v>
      </c>
      <c r="B1541" s="468" t="str">
        <f>IFERROR(__xludf.DUMMYFUNCTION("""COMPUTED_VALUE"""),"strawberry_avoc")</f>
        <v>strawberry_avoc</v>
      </c>
      <c r="C1541" s="283" t="str">
        <f>IFERROR(__xludf.DUMMYFUNCTION("""COMPUTED_VALUE"""),"https://www.tiktok.com/@strawberry_avoc")</f>
        <v>https://www.tiktok.com/@strawberry_avoc</v>
      </c>
      <c r="D1541" s="273">
        <f>IFERROR(__xludf.DUMMYFUNCTION("""COMPUTED_VALUE"""),8.2389491855E10)</f>
        <v>82389491855</v>
      </c>
      <c r="E1541" s="458">
        <f>IFERROR(__xludf.DUMMYFUNCTION("""COMPUTED_VALUE"""),0.0)</f>
        <v>0</v>
      </c>
      <c r="F1541" s="273">
        <f>IFERROR(__xludf.DUMMYFUNCTION("""COMPUTED_VALUE"""),4.0)</f>
        <v>4</v>
      </c>
      <c r="G1541" t="str">
        <f>IFERROR(__xludf.DUMMYFUNCTION("""COMPUTED_VALUE"""),"Sabun batang 1 Box ( 2 PCS )")</f>
        <v>Sabun batang 1 Box ( 2 PCS )</v>
      </c>
      <c r="H1541" s="469" t="str">
        <f>IFERROR(__xludf.DUMMYFUNCTION("""COMPUTED_VALUE"""),"Sampai")</f>
        <v>Sampai</v>
      </c>
      <c r="I1541" s="470" t="str">
        <f>IFERROR(__xludf.DUMMYFUNCTION("""COMPUTED_VALUE"""),"KIMME")</f>
        <v>KIMME</v>
      </c>
      <c r="J1541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41" s="470" t="str">
        <f>IFERROR(__xludf.DUMMYFUNCTION("""COMPUTED_VALUE"""),"KIMME")</f>
        <v>KIMME</v>
      </c>
      <c r="L1541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41" s="470"/>
      <c r="N1541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41" s="470"/>
      <c r="P1541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42">
      <c r="A1542" s="282" t="str">
        <f>IFERROR(__xludf.DUMMYFUNCTION("""COMPUTED_VALUE"""),"MICRO")</f>
        <v>MICRO</v>
      </c>
      <c r="B1542" s="468" t="str">
        <f>IFERROR(__xludf.DUMMYFUNCTION("""COMPUTED_VALUE"""),"vanuzella_")</f>
        <v>vanuzella_</v>
      </c>
      <c r="C1542" s="283" t="str">
        <f>IFERROR(__xludf.DUMMYFUNCTION("""COMPUTED_VALUE"""),"https://www.tiktok.com/@vanuzella_")</f>
        <v>https://www.tiktok.com/@vanuzella_</v>
      </c>
      <c r="D1542" s="273">
        <f>IFERROR(__xludf.DUMMYFUNCTION("""COMPUTED_VALUE"""),8.572455673E10)</f>
        <v>85724556730</v>
      </c>
      <c r="E1542" s="458">
        <f>IFERROR(__xludf.DUMMYFUNCTION("""COMPUTED_VALUE"""),0.0)</f>
        <v>0</v>
      </c>
      <c r="F1542" s="273">
        <f>IFERROR(__xludf.DUMMYFUNCTION("""COMPUTED_VALUE"""),4.0)</f>
        <v>4</v>
      </c>
      <c r="G1542" t="str">
        <f>IFERROR(__xludf.DUMMYFUNCTION("""COMPUTED_VALUE"""),"Sabun batang 1 Box ( 2 PCS )")</f>
        <v>Sabun batang 1 Box ( 2 PCS )</v>
      </c>
      <c r="H1542" s="469" t="str">
        <f>IFERROR(__xludf.DUMMYFUNCTION("""COMPUTED_VALUE"""),"Sampai")</f>
        <v>Sampai</v>
      </c>
      <c r="I1542" s="470" t="str">
        <f>IFERROR(__xludf.DUMMYFUNCTION("""COMPUTED_VALUE"""),"KIMME")</f>
        <v>KIMME</v>
      </c>
      <c r="J1542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42" s="470" t="str">
        <f>IFERROR(__xludf.DUMMYFUNCTION("""COMPUTED_VALUE"""),"KIMME")</f>
        <v>KIMME</v>
      </c>
      <c r="L1542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42" s="470"/>
      <c r="N1542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42" s="470"/>
      <c r="P1542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43">
      <c r="A1543" s="282" t="str">
        <f>IFERROR(__xludf.DUMMYFUNCTION("""COMPUTED_VALUE"""),"MICRO")</f>
        <v>MICRO</v>
      </c>
      <c r="B1543" s="468" t="str">
        <f>IFERROR(__xludf.DUMMYFUNCTION("""COMPUTED_VALUE"""),"aishasyana93")</f>
        <v>aishasyana93</v>
      </c>
      <c r="C1543" s="283" t="str">
        <f>IFERROR(__xludf.DUMMYFUNCTION("""COMPUTED_VALUE"""),"https://www.tiktok.com/@aishasyana93")</f>
        <v>https://www.tiktok.com/@aishasyana93</v>
      </c>
      <c r="D1543" s="273">
        <f>IFERROR(__xludf.DUMMYFUNCTION("""COMPUTED_VALUE"""),8.2243973239E10)</f>
        <v>82243973239</v>
      </c>
      <c r="E1543" s="458">
        <f>IFERROR(__xludf.DUMMYFUNCTION("""COMPUTED_VALUE"""),0.0)</f>
        <v>0</v>
      </c>
      <c r="F1543" s="273">
        <f>IFERROR(__xludf.DUMMYFUNCTION("""COMPUTED_VALUE"""),4.0)</f>
        <v>4</v>
      </c>
      <c r="G1543" t="str">
        <f>IFERROR(__xludf.DUMMYFUNCTION("""COMPUTED_VALUE"""),"Sabun batang 1 Box ( 2 PCS )")</f>
        <v>Sabun batang 1 Box ( 2 PCS )</v>
      </c>
      <c r="H1543" s="469" t="str">
        <f>IFERROR(__xludf.DUMMYFUNCTION("""COMPUTED_VALUE"""),"Sampai")</f>
        <v>Sampai</v>
      </c>
      <c r="I1543" s="470" t="str">
        <f>IFERROR(__xludf.DUMMYFUNCTION("""COMPUTED_VALUE"""),"KIMME")</f>
        <v>KIMME</v>
      </c>
      <c r="J1543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43" s="470" t="str">
        <f>IFERROR(__xludf.DUMMYFUNCTION("""COMPUTED_VALUE"""),"KIMME")</f>
        <v>KIMME</v>
      </c>
      <c r="L1543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43" s="470"/>
      <c r="N1543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43" s="470"/>
      <c r="P1543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44">
      <c r="A1544" s="282" t="str">
        <f>IFERROR(__xludf.DUMMYFUNCTION("""COMPUTED_VALUE"""),"MICRO")</f>
        <v>MICRO</v>
      </c>
      <c r="B1544" s="468" t="str">
        <f>IFERROR(__xludf.DUMMYFUNCTION("""COMPUTED_VALUE"""),"viana27_91")</f>
        <v>viana27_91</v>
      </c>
      <c r="C1544" s="283" t="str">
        <f>IFERROR(__xludf.DUMMYFUNCTION("""COMPUTED_VALUE"""),"https://www.tiktok.com/@viana27_91")</f>
        <v>https://www.tiktok.com/@viana27_91</v>
      </c>
      <c r="D1544" s="273">
        <f>IFERROR(__xludf.DUMMYFUNCTION("""COMPUTED_VALUE"""),8.1292798623E10)</f>
        <v>81292798623</v>
      </c>
      <c r="E1544" s="458">
        <f>IFERROR(__xludf.DUMMYFUNCTION("""COMPUTED_VALUE"""),0.0)</f>
        <v>0</v>
      </c>
      <c r="F1544" s="273">
        <f>IFERROR(__xludf.DUMMYFUNCTION("""COMPUTED_VALUE"""),4.0)</f>
        <v>4</v>
      </c>
      <c r="G1544" t="str">
        <f>IFERROR(__xludf.DUMMYFUNCTION("""COMPUTED_VALUE"""),"Sabun batang 1 Box ( 2 PCS )")</f>
        <v>Sabun batang 1 Box ( 2 PCS )</v>
      </c>
      <c r="H1544" s="469" t="str">
        <f>IFERROR(__xludf.DUMMYFUNCTION("""COMPUTED_VALUE"""),"Sampai")</f>
        <v>Sampai</v>
      </c>
      <c r="I1544" s="470" t="str">
        <f>IFERROR(__xludf.DUMMYFUNCTION("""COMPUTED_VALUE"""),"KIMME")</f>
        <v>KIMME</v>
      </c>
      <c r="J1544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44" s="470" t="str">
        <f>IFERROR(__xludf.DUMMYFUNCTION("""COMPUTED_VALUE"""),"KIMME")</f>
        <v>KIMME</v>
      </c>
      <c r="L1544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44" s="470"/>
      <c r="N1544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44" s="470"/>
      <c r="P1544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45">
      <c r="A1545" s="282" t="str">
        <f>IFERROR(__xludf.DUMMYFUNCTION("""COMPUTED_VALUE"""),"MICRO")</f>
        <v>MICRO</v>
      </c>
      <c r="B1545" s="468" t="str">
        <f>IFERROR(__xludf.DUMMYFUNCTION("""COMPUTED_VALUE"""),"irene.liu13")</f>
        <v>irene.liu13</v>
      </c>
      <c r="C1545" s="283" t="str">
        <f>IFERROR(__xludf.DUMMYFUNCTION("""COMPUTED_VALUE"""),"https://www.tiktok.com/@irene.liu13")</f>
        <v>https://www.tiktok.com/@irene.liu13</v>
      </c>
      <c r="D1545" s="273">
        <f>IFERROR(__xludf.DUMMYFUNCTION("""COMPUTED_VALUE"""),8.237225033E10)</f>
        <v>82372250330</v>
      </c>
      <c r="E1545" s="458">
        <f>IFERROR(__xludf.DUMMYFUNCTION("""COMPUTED_VALUE"""),0.0)</f>
        <v>0</v>
      </c>
      <c r="F1545" s="273"/>
      <c r="G1545" t="str">
        <f>IFERROR(__xludf.DUMMYFUNCTION("""COMPUTED_VALUE"""),"Sabun batang 1 Box ( 2 PCS )")</f>
        <v>Sabun batang 1 Box ( 2 PCS )</v>
      </c>
      <c r="H1545" s="469" t="str">
        <f>IFERROR(__xludf.DUMMYFUNCTION("""COMPUTED_VALUE"""),"Sampai")</f>
        <v>Sampai</v>
      </c>
      <c r="I1545" s="470" t="str">
        <f>IFERROR(__xludf.DUMMYFUNCTION("""COMPUTED_VALUE"""),"KIMME")</f>
        <v>KIMME</v>
      </c>
      <c r="J1545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45" s="470" t="str">
        <f>IFERROR(__xludf.DUMMYFUNCTION("""COMPUTED_VALUE"""),"KIMME")</f>
        <v>KIMME</v>
      </c>
      <c r="L1545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45" s="470"/>
      <c r="N1545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45" s="470"/>
      <c r="P1545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46">
      <c r="A1546" s="282" t="str">
        <f>IFERROR(__xludf.DUMMYFUNCTION("""COMPUTED_VALUE"""),"MICRO")</f>
        <v>MICRO</v>
      </c>
      <c r="B1546" s="468" t="str">
        <f>IFERROR(__xludf.DUMMYFUNCTION("""COMPUTED_VALUE"""),"rivin_tv")</f>
        <v>rivin_tv</v>
      </c>
      <c r="C1546" s="283" t="str">
        <f>IFERROR(__xludf.DUMMYFUNCTION("""COMPUTED_VALUE"""),"https://www.tiktok.com/@rivin_tv")</f>
        <v>https://www.tiktok.com/@rivin_tv</v>
      </c>
      <c r="D1546" s="273">
        <f>IFERROR(__xludf.DUMMYFUNCTION("""COMPUTED_VALUE"""),8.5320013838E10)</f>
        <v>85320013838</v>
      </c>
      <c r="E1546" s="458">
        <f>IFERROR(__xludf.DUMMYFUNCTION("""COMPUTED_VALUE"""),0.0)</f>
        <v>0</v>
      </c>
      <c r="F1546" s="273">
        <f>IFERROR(__xludf.DUMMYFUNCTION("""COMPUTED_VALUE"""),4.0)</f>
        <v>4</v>
      </c>
      <c r="G1546" t="str">
        <f>IFERROR(__xludf.DUMMYFUNCTION("""COMPUTED_VALUE"""),"Sabun batang 1 Box ( 2 PCS )")</f>
        <v>Sabun batang 1 Box ( 2 PCS )</v>
      </c>
      <c r="H1546" s="469" t="str">
        <f>IFERROR(__xludf.DUMMYFUNCTION("""COMPUTED_VALUE"""),"Sampai")</f>
        <v>Sampai</v>
      </c>
      <c r="I1546" s="470" t="str">
        <f>IFERROR(__xludf.DUMMYFUNCTION("""COMPUTED_VALUE"""),"KIMME")</f>
        <v>KIMME</v>
      </c>
      <c r="J1546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46" s="470" t="str">
        <f>IFERROR(__xludf.DUMMYFUNCTION("""COMPUTED_VALUE"""),"KIMME")</f>
        <v>KIMME</v>
      </c>
      <c r="L1546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46" s="470"/>
      <c r="N1546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46" s="470"/>
      <c r="P1546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47">
      <c r="A1547" s="282" t="str">
        <f>IFERROR(__xludf.DUMMYFUNCTION("""COMPUTED_VALUE"""),"MICRO")</f>
        <v>MICRO</v>
      </c>
      <c r="B1547" s="468" t="str">
        <f>IFERROR(__xludf.DUMMYFUNCTION("""COMPUTED_VALUE"""),"arikwsmth")</f>
        <v>arikwsmth</v>
      </c>
      <c r="C1547" s="283" t="str">
        <f>IFERROR(__xludf.DUMMYFUNCTION("""COMPUTED_VALUE"""),"https://www.tiktok.com/@arikwsmth")</f>
        <v>https://www.tiktok.com/@arikwsmth</v>
      </c>
      <c r="D1547" s="273">
        <f>IFERROR(__xludf.DUMMYFUNCTION("""COMPUTED_VALUE"""),8.2335167474E10)</f>
        <v>82335167474</v>
      </c>
      <c r="E1547" s="458">
        <f>IFERROR(__xludf.DUMMYFUNCTION("""COMPUTED_VALUE"""),0.0)</f>
        <v>0</v>
      </c>
      <c r="F1547" s="273">
        <f>IFERROR(__xludf.DUMMYFUNCTION("""COMPUTED_VALUE"""),4.0)</f>
        <v>4</v>
      </c>
      <c r="G1547" t="str">
        <f>IFERROR(__xludf.DUMMYFUNCTION("""COMPUTED_VALUE"""),"Sabun batang 1 Box ( 2 PCS )")</f>
        <v>Sabun batang 1 Box ( 2 PCS )</v>
      </c>
      <c r="H1547" s="469" t="str">
        <f>IFERROR(__xludf.DUMMYFUNCTION("""COMPUTED_VALUE"""),"Sampai")</f>
        <v>Sampai</v>
      </c>
      <c r="I1547" s="470" t="str">
        <f>IFERROR(__xludf.DUMMYFUNCTION("""COMPUTED_VALUE"""),"KIMME")</f>
        <v>KIMME</v>
      </c>
      <c r="J1547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47" s="470" t="str">
        <f>IFERROR(__xludf.DUMMYFUNCTION("""COMPUTED_VALUE"""),"KIMME")</f>
        <v>KIMME</v>
      </c>
      <c r="L1547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47" s="470"/>
      <c r="N1547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47" s="470"/>
      <c r="P1547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48">
      <c r="A1548" s="282" t="str">
        <f>IFERROR(__xludf.DUMMYFUNCTION("""COMPUTED_VALUE"""),"MICRO")</f>
        <v>MICRO</v>
      </c>
      <c r="B1548" s="468" t="str">
        <f>IFERROR(__xludf.DUMMYFUNCTION("""COMPUTED_VALUE"""),"d_i0205")</f>
        <v>d_i0205</v>
      </c>
      <c r="C1548" s="283" t="str">
        <f>IFERROR(__xludf.DUMMYFUNCTION("""COMPUTED_VALUE"""),"https://www.tiktok.com/@d_i0205")</f>
        <v>https://www.tiktok.com/@d_i0205</v>
      </c>
      <c r="D1548" s="273">
        <f>IFERROR(__xludf.DUMMYFUNCTION("""COMPUTED_VALUE"""),8.5707558476E10)</f>
        <v>85707558476</v>
      </c>
      <c r="E1548" s="458">
        <f>IFERROR(__xludf.DUMMYFUNCTION("""COMPUTED_VALUE"""),0.0)</f>
        <v>0</v>
      </c>
      <c r="F1548" s="273">
        <f>IFERROR(__xludf.DUMMYFUNCTION("""COMPUTED_VALUE"""),4.0)</f>
        <v>4</v>
      </c>
      <c r="G1548" t="str">
        <f>IFERROR(__xludf.DUMMYFUNCTION("""COMPUTED_VALUE"""),"Sabun batang 1 Box ( 2 PCS )")</f>
        <v>Sabun batang 1 Box ( 2 PCS )</v>
      </c>
      <c r="H1548" s="469" t="str">
        <f>IFERROR(__xludf.DUMMYFUNCTION("""COMPUTED_VALUE"""),"Sampai")</f>
        <v>Sampai</v>
      </c>
      <c r="I1548" s="470" t="str">
        <f>IFERROR(__xludf.DUMMYFUNCTION("""COMPUTED_VALUE"""),"KIMME")</f>
        <v>KIMME</v>
      </c>
      <c r="J1548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48" s="470" t="str">
        <f>IFERROR(__xludf.DUMMYFUNCTION("""COMPUTED_VALUE"""),"KIMME")</f>
        <v>KIMME</v>
      </c>
      <c r="L1548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48" s="470"/>
      <c r="N1548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48" s="470"/>
      <c r="P1548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49">
      <c r="A1549" s="282" t="str">
        <f>IFERROR(__xludf.DUMMYFUNCTION("""COMPUTED_VALUE"""),"MICRO")</f>
        <v>MICRO</v>
      </c>
      <c r="B1549" s="468" t="str">
        <f>IFERROR(__xludf.DUMMYFUNCTION("""COMPUTED_VALUE"""),"aaayy908")</f>
        <v>aaayy908</v>
      </c>
      <c r="C1549" s="283" t="str">
        <f>IFERROR(__xludf.DUMMYFUNCTION("""COMPUTED_VALUE"""),"https://www.tiktok.com/@aaayy908")</f>
        <v>https://www.tiktok.com/@aaayy908</v>
      </c>
      <c r="D1549" s="273">
        <f>IFERROR(__xludf.DUMMYFUNCTION("""COMPUTED_VALUE"""),8.3844692347E10)</f>
        <v>83844692347</v>
      </c>
      <c r="E1549" s="458"/>
      <c r="F1549" s="273">
        <f>IFERROR(__xludf.DUMMYFUNCTION("""COMPUTED_VALUE"""),1.0)</f>
        <v>1</v>
      </c>
      <c r="G1549" t="str">
        <f>IFERROR(__xludf.DUMMYFUNCTION("""COMPUTED_VALUE"""),"Sabun batang 1 Box ( 2 PCS )")</f>
        <v>Sabun batang 1 Box ( 2 PCS )</v>
      </c>
      <c r="H1549" s="469" t="str">
        <f>IFERROR(__xludf.DUMMYFUNCTION("""COMPUTED_VALUE"""),"Sampai")</f>
        <v>Sampai</v>
      </c>
      <c r="I1549" s="470" t="str">
        <f>IFERROR(__xludf.DUMMYFUNCTION("""COMPUTED_VALUE"""),"KIMME")</f>
        <v>KIMME</v>
      </c>
      <c r="J1549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49" s="470" t="str">
        <f>IFERROR(__xludf.DUMMYFUNCTION("""COMPUTED_VALUE"""),"KIMME")</f>
        <v>KIMME</v>
      </c>
      <c r="L1549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49" s="470"/>
      <c r="N1549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49" s="470"/>
      <c r="P1549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50">
      <c r="A1550" s="282" t="str">
        <f>IFERROR(__xludf.DUMMYFUNCTION("""COMPUTED_VALUE"""),"MICRO")</f>
        <v>MICRO</v>
      </c>
      <c r="B1550" s="468" t="str">
        <f>IFERROR(__xludf.DUMMYFUNCTION("""COMPUTED_VALUE"""),"ajierehannah")</f>
        <v>ajierehannah</v>
      </c>
      <c r="C1550" s="283" t="str">
        <f>IFERROR(__xludf.DUMMYFUNCTION("""COMPUTED_VALUE"""),"https://www.tiktok.com/@ajierehannah")</f>
        <v>https://www.tiktok.com/@ajierehannah</v>
      </c>
      <c r="D1550" s="273">
        <f>IFERROR(__xludf.DUMMYFUNCTION("""COMPUTED_VALUE"""),8.784600851E10)</f>
        <v>87846008510</v>
      </c>
      <c r="E1550" s="458">
        <f>IFERROR(__xludf.DUMMYFUNCTION("""COMPUTED_VALUE"""),0.0)</f>
        <v>0</v>
      </c>
      <c r="F1550" s="273">
        <f>IFERROR(__xludf.DUMMYFUNCTION("""COMPUTED_VALUE"""),4.0)</f>
        <v>4</v>
      </c>
      <c r="G1550" t="str">
        <f>IFERROR(__xludf.DUMMYFUNCTION("""COMPUTED_VALUE"""),"Sabun batang 1 Box ( 2 PCS )")</f>
        <v>Sabun batang 1 Box ( 2 PCS )</v>
      </c>
      <c r="H1550" s="469" t="str">
        <f>IFERROR(__xludf.DUMMYFUNCTION("""COMPUTED_VALUE"""),"Sampai")</f>
        <v>Sampai</v>
      </c>
      <c r="I1550" s="470" t="str">
        <f>IFERROR(__xludf.DUMMYFUNCTION("""COMPUTED_VALUE"""),"KIMME")</f>
        <v>KIMME</v>
      </c>
      <c r="J1550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50" s="470" t="str">
        <f>IFERROR(__xludf.DUMMYFUNCTION("""COMPUTED_VALUE"""),"KIMME")</f>
        <v>KIMME</v>
      </c>
      <c r="L1550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50" s="470"/>
      <c r="N1550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50" s="470"/>
      <c r="P1550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51">
      <c r="A1551" s="282" t="str">
        <f>IFERROR(__xludf.DUMMYFUNCTION("""COMPUTED_VALUE"""),"MICRO")</f>
        <v>MICRO</v>
      </c>
      <c r="B1551" s="468" t="str">
        <f>IFERROR(__xludf.DUMMYFUNCTION("""COMPUTED_VALUE"""),"selin_ayu
")</f>
        <v>selin_ayu
</v>
      </c>
      <c r="C1551" s="283" t="str">
        <f>IFERROR(__xludf.DUMMYFUNCTION("""COMPUTED_VALUE"""),"https://www.tiktok.com/@selin_ayu
")</f>
        <v>https://www.tiktok.com/@selin_ayu
</v>
      </c>
      <c r="D1551" s="273">
        <f>IFERROR(__xludf.DUMMYFUNCTION("""COMPUTED_VALUE"""),8.5947516207E10)</f>
        <v>85947516207</v>
      </c>
      <c r="E1551" s="458">
        <f>IFERROR(__xludf.DUMMYFUNCTION("""COMPUTED_VALUE"""),0.0)</f>
        <v>0</v>
      </c>
      <c r="F1551" s="273">
        <f>IFERROR(__xludf.DUMMYFUNCTION("""COMPUTED_VALUE"""),4.0)</f>
        <v>4</v>
      </c>
      <c r="G1551" t="str">
        <f>IFERROR(__xludf.DUMMYFUNCTION("""COMPUTED_VALUE"""),"Sabun batang 1 Box ( 2 PCS )")</f>
        <v>Sabun batang 1 Box ( 2 PCS )</v>
      </c>
      <c r="H1551" s="469" t="str">
        <f>IFERROR(__xludf.DUMMYFUNCTION("""COMPUTED_VALUE"""),"Sampai")</f>
        <v>Sampai</v>
      </c>
      <c r="I1551" s="470" t="str">
        <f>IFERROR(__xludf.DUMMYFUNCTION("""COMPUTED_VALUE"""),"KIMME")</f>
        <v>KIMME</v>
      </c>
      <c r="J1551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51" s="470" t="str">
        <f>IFERROR(__xludf.DUMMYFUNCTION("""COMPUTED_VALUE"""),"KIMME")</f>
        <v>KIMME</v>
      </c>
      <c r="L1551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51" s="470"/>
      <c r="N1551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51" s="470"/>
      <c r="P1551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52">
      <c r="A1552" s="282" t="str">
        <f>IFERROR(__xludf.DUMMYFUNCTION("""COMPUTED_VALUE"""),"MICRO")</f>
        <v>MICRO</v>
      </c>
      <c r="B1552" s="468" t="str">
        <f>IFERROR(__xludf.DUMMYFUNCTION("""COMPUTED_VALUE"""),"mardianagueen")</f>
        <v>mardianagueen</v>
      </c>
      <c r="C1552" s="283" t="str">
        <f>IFERROR(__xludf.DUMMYFUNCTION("""COMPUTED_VALUE"""),"https://www.tiktok.com/@mardianagueen")</f>
        <v>https://www.tiktok.com/@mardianagueen</v>
      </c>
      <c r="D1552" s="273">
        <f>IFERROR(__xludf.DUMMYFUNCTION("""COMPUTED_VALUE"""),8.5656561791E10)</f>
        <v>85656561791</v>
      </c>
      <c r="E1552" s="458">
        <f>IFERROR(__xludf.DUMMYFUNCTION("""COMPUTED_VALUE"""),0.0)</f>
        <v>0</v>
      </c>
      <c r="F1552" s="273">
        <f>IFERROR(__xludf.DUMMYFUNCTION("""COMPUTED_VALUE"""),4.0)</f>
        <v>4</v>
      </c>
      <c r="G1552" t="str">
        <f>IFERROR(__xludf.DUMMYFUNCTION("""COMPUTED_VALUE"""),"Sabun batang 1 Box ( 2 PCS )")</f>
        <v>Sabun batang 1 Box ( 2 PCS )</v>
      </c>
      <c r="H1552" s="469" t="str">
        <f>IFERROR(__xludf.DUMMYFUNCTION("""COMPUTED_VALUE"""),"Sampai")</f>
        <v>Sampai</v>
      </c>
      <c r="I1552" s="470" t="str">
        <f>IFERROR(__xludf.DUMMYFUNCTION("""COMPUTED_VALUE"""),"KIMME")</f>
        <v>KIMME</v>
      </c>
      <c r="J1552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52" s="470" t="str">
        <f>IFERROR(__xludf.DUMMYFUNCTION("""COMPUTED_VALUE"""),"KIMME")</f>
        <v>KIMME</v>
      </c>
      <c r="L1552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52" s="470"/>
      <c r="N1552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52" s="470"/>
      <c r="P1552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53">
      <c r="A1553" s="282" t="str">
        <f>IFERROR(__xludf.DUMMYFUNCTION("""COMPUTED_VALUE"""),"MICRO")</f>
        <v>MICRO</v>
      </c>
      <c r="B1553" s="468" t="str">
        <f>IFERROR(__xludf.DUMMYFUNCTION("""COMPUTED_VALUE"""),"anisatulm902")</f>
        <v>anisatulm902</v>
      </c>
      <c r="C1553" s="283" t="str">
        <f>IFERROR(__xludf.DUMMYFUNCTION("""COMPUTED_VALUE"""),"https://www.tiktok.com/@anisatulm902")</f>
        <v>https://www.tiktok.com/@anisatulm902</v>
      </c>
      <c r="D1553" s="273">
        <f>IFERROR(__xludf.DUMMYFUNCTION("""COMPUTED_VALUE"""),8.1335464289E10)</f>
        <v>81335464289</v>
      </c>
      <c r="E1553" s="458">
        <f>IFERROR(__xludf.DUMMYFUNCTION("""COMPUTED_VALUE"""),0.0)</f>
        <v>0</v>
      </c>
      <c r="F1553" s="273">
        <f>IFERROR(__xludf.DUMMYFUNCTION("""COMPUTED_VALUE"""),4.0)</f>
        <v>4</v>
      </c>
      <c r="G1553" t="str">
        <f>IFERROR(__xludf.DUMMYFUNCTION("""COMPUTED_VALUE"""),"Sabun batang 1 Box ( 2 PCS )")</f>
        <v>Sabun batang 1 Box ( 2 PCS )</v>
      </c>
      <c r="H1553" s="469" t="str">
        <f>IFERROR(__xludf.DUMMYFUNCTION("""COMPUTED_VALUE"""),"Sampai")</f>
        <v>Sampai</v>
      </c>
      <c r="I1553" s="470" t="str">
        <f>IFERROR(__xludf.DUMMYFUNCTION("""COMPUTED_VALUE"""),"KIMME")</f>
        <v>KIMME</v>
      </c>
      <c r="J1553" s="471" t="str">
        <f>IFERROR(__xludf.DUMMYFUNCTION("""COMPUTED_VALUE"""),"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"&amp;"laceholder_origin_cover%22%3A%22https%253A%252F%252Fp19-common-sign.tiktokcdn.com%252Ftos-alisg-p-0037%252FoU2EIK2IjofeeCD52ADbzIP7IAkTQJGlQxGDLC~tplv-tiktokx-origin.jpeg%253Fdr%253D14572%2526refresh_token%253D9f11a9f9%2526x-expires%253D1809504000%2526x-s"&amp;"ignature%253D3AMNfJhsP70B8VMkBEA4quZdp4I%25253D%2526t%253D4d5b0474%2526ps%253D13740610%2526shp%253Dd05b14bd%2526shcp%253D34ff8df6%2526idc%253Dmy%2526s%253DTIKTOK_AFFILIATE_VIRAL_VIDEO%22%2C%22placeholder_product_id%22%3A%221729427766722726591%22%2C%22plac"&amp;"eholder_video_id%22%3A%227635528131515845895%22%7D&amp;ec_shared_reflux_scene=shop_tab_feed&amp;share_item_id=7635528131515845895&amp;source=h5_t")</f>
        <v>https://www.tiktok.com/@alwayzika56/video/7635528131515845895?_r=1&amp;u_code=dm5512gkaak88g&amp;region=&amp;mid=7615289737934899217&amp;preview_pb=0&amp;sharer_language=&amp;_d=0&amp;ec_shared_reflux_dynamic_params=%7B%22placeholder_material_id%22%3A%227635528131515845895%22%2C%22placeholder_origin_cover%22%3A%22https%253A%252F%252Fp19-common-sign.tiktokcdn.com%252Ftos-alisg-p-0037%252FoU2EIK2IjofeeCD52ADbzIP7IAkTQJGlQxGDLC~tplv-tiktokx-origin.jpeg%253Fdr%253D14572%2526refresh_token%253D9f11a9f9%2526x-expires%253D1809504000%2526x-signature%253D3AMNfJhsP70B8VMkBEA4quZdp4I%25253D%2526t%253D4d5b0474%2526ps%253D13740610%2526shp%253Dd05b14bd%2526shcp%253D34ff8df6%2526idc%253Dmy%2526s%253DTIKTOK_AFFILIATE_VIRAL_VIDEO%22%2C%22placeholder_product_id%22%3A%221729427766722726591%22%2C%22placeholder_video_id%22%3A%227635528131515845895%22%7D&amp;ec_shared_reflux_scene=shop_tab_feed&amp;share_item_id=7635528131515845895&amp;source=h5_t</v>
      </c>
      <c r="K1553" s="470" t="str">
        <f>IFERROR(__xludf.DUMMYFUNCTION("""COMPUTED_VALUE"""),"KIMME")</f>
        <v>KIMME</v>
      </c>
      <c r="L1553" s="471" t="str">
        <f>IFERROR(__xludf.DUMMYFUNCTION("""COMPUTED_VALUE"""),"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"&amp;"laceholder_origin_cover%22%3A%22https%253A%252F%252Fp16-common-sign.tiktokcdn.com%252Ftos-alisg-p-0037%252FosA6DI6ToIPC1jtI7B4eCLb8bG0meNIwqCgpeA~tplv-tiktokx-origin.jpeg%253Fdr%253D14572%2526refresh_token%253D122657b3%2526x-expires%253D1809504000%2526x-s"&amp;"ignature%253DyOvCHKNJrZ8f7CFUpZnS%25252FSd8z%25252Bo%25253D%2526t%253D4d5b0474%2526ps%253D13740610%2526shp%253Dd05b14bd%2526shcp%253D34ff8df6%2526idc%253Dmy%2526s%253DTIKTOK_AFFILIATE_VIRAL_VIDEO%22%2C%22placeholder_product_id%22%3A%221729427766722726591%"&amp;"22%2C%22placeholder_video_id%22%3A%227635975888491793672%22%7D&amp;ec_shared_reflux_scene=shop_tab_feed&amp;share_item_id=7635975888491793672&amp;source=h5_t")</f>
        <v>https://www.tiktok.com/@alwayzika56/video/7635975888491793672?_r=1&amp;u_code=dm5512gkaak88g&amp;region=&amp;mid=7615505674093234177&amp;preview_pb=0&amp;sharer_language=&amp;_d=0&amp;ec_shared_reflux_dynamic_params=%7B%22placeholder_material_id%22%3A%227635975888491793672%22%2C%22placeholder_origin_cover%22%3A%22https%253A%252F%252Fp16-common-sign.tiktokcdn.com%252Ftos-alisg-p-0037%252FosA6DI6ToIPC1jtI7B4eCLb8bG0meNIwqCgpeA~tplv-tiktokx-origin.jpeg%253Fdr%253D14572%2526refresh_token%253D122657b3%2526x-expires%253D1809504000%2526x-signature%253DyOvCHKNJrZ8f7CFUpZnS%25252FSd8z%25252Bo%25253D%2526t%253D4d5b0474%2526ps%253D13740610%2526shp%253Dd05b14bd%2526shcp%253D34ff8df6%2526idc%253Dmy%2526s%253DTIKTOK_AFFILIATE_VIRAL_VIDEO%22%2C%22placeholder_product_id%22%3A%221729427766722726591%22%2C%22placeholder_video_id%22%3A%227635975888491793672%22%7D&amp;ec_shared_reflux_scene=shop_tab_feed&amp;share_item_id=7635975888491793672&amp;source=h5_t</v>
      </c>
      <c r="M1553" s="470"/>
      <c r="N1553" s="471" t="str">
        <f>IFERROR(__xludf.DUMMYFUNCTION("""COMPUTED_VALUE"""),"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"&amp;"laceholder_origin_cover%22%3A%22https%253A%252F%252Fp16-common-sign.tiktokcdn.com%252Ftos-alisg-p-0037%252FoYI7IDDjjEYeAWDTYFLAf3whfNhINEIAosx2CU~tplv-tiktokx-origin.jpeg%253Fdr%253D14572%2526refresh_token%253De4e1c4e0%2526x-expires%253D1810116000%2526x-s"&amp;"ignature%253DXz6nvzuRKAGIfXn2wEHdpjIj2g8%25253D%2526t%253D4d5b0474%2526ps%253D13740610%2526shp%253Dd05b14bd%2526shcp%253D34ff8df6%2526idc%253Dmy2%2526s%253DTIKTOK_AFFILIATE_VIRAL_VIDEO%22%2C%22placeholder_product_id%22%3A%221729427766722726591%22%2C%22pla"&amp;"ceholder_video_id%22%3A%227636718880945163528%22%7D&amp;ec_shared_reflux_scene=shop_tab_feed&amp;share_item_id=7636718880945163528&amp;source=h5_t")</f>
        <v>https://www.tiktok.com/@alwayzika56/video/7636718880945163528?_r=1&amp;u_code=dm5512gkaak88g&amp;region=&amp;mid=7631905035121395728&amp;preview_pb=0&amp;sharer_language=&amp;_d=0&amp;ec_shared_reflux_dynamic_params=%7B%22placeholder_material_id%22%3A%227636718880945163528%22%2C%22placeholder_origin_cover%22%3A%22https%253A%252F%252Fp16-common-sign.tiktokcdn.com%252Ftos-alisg-p-0037%252FoYI7IDDjjEYeAWDTYFLAf3whfNhINEIAosx2CU~tplv-tiktokx-origin.jpeg%253Fdr%253D14572%2526refresh_token%253De4e1c4e0%2526x-expires%253D1810116000%2526x-signature%253DXz6nvzuRKAGIfXn2wEHdpjIj2g8%25253D%2526t%253D4d5b0474%2526ps%253D13740610%2526shp%253Dd05b14bd%2526shcp%253D34ff8df6%2526idc%253Dmy2%2526s%253DTIKTOK_AFFILIATE_VIRAL_VIDEO%22%2C%22placeholder_product_id%22%3A%221729427766722726591%22%2C%22placeholder_video_id%22%3A%227636718880945163528%22%7D&amp;ec_shared_reflux_scene=shop_tab_feed&amp;share_item_id=7636718880945163528&amp;source=h5_t</v>
      </c>
      <c r="O1553" s="470"/>
      <c r="P1553" s="471" t="str">
        <f>IFERROR(__xludf.DUMMYFUNCTION("""COMPUTED_VALUE"""),"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"&amp;"laceholder_origin_cover%22%3A%22https%253A%252F%252Fp16-common-sign.tiktokcdn.com%252Ftos-alisg-p-0037%252FosudIhBEjoff3foTqAB0lIbAIA3U2kDzz1ADFC~tplv-tiktokx-origin.jpeg%253Fdr%253D14572%2526refresh_token%253D4e989d98%2526x-expires%253D1810116000%2526x-s"&amp;"ignature%253DO9gbgDguYWvq0ABDnaaL88%25252FINvo%25253D%2526t%253D4d5b0474%2526ps%253D13740610%2526shp%253Dd05b14bd%2526shcp%253D34ff8df6%2526idc%253Dmy2%2526s%253DTIKTOK_AFFILIATE_VIRAL_VIDEO%22%2C%22placeholder_product_id%22%3A%221729427766722726591%22%2C"&amp;"%22placeholder_video_id%22%3A%227638571181934660882%22%7D&amp;ec_shared_reflux_scene=shop_tab_feed&amp;share_item_id=7638571181934660882&amp;source=h5_t")</f>
        <v>https://www.tiktok.com/@alwayzika56/video/7638571181934660882?_r=1&amp;u_code=dm5512gkaak88g&amp;region=&amp;mid=7615505674093234177&amp;preview_pb=0&amp;sharer_language=&amp;_d=0&amp;ec_shared_reflux_dynamic_params=%7B%22placeholder_material_id%22%3A%227638571181934660882%22%2C%22placeholder_origin_cover%22%3A%22https%253A%252F%252Fp16-common-sign.tiktokcdn.com%252Ftos-alisg-p-0037%252FosudIhBEjoff3foTqAB0lIbAIA3U2kDzz1ADFC~tplv-tiktokx-origin.jpeg%253Fdr%253D14572%2526refresh_token%253D4e989d98%2526x-expires%253D1810116000%2526x-signature%253DO9gbgDguYWvq0ABDnaaL88%25252FINvo%25253D%2526t%253D4d5b0474%2526ps%253D13740610%2526shp%253Dd05b14bd%2526shcp%253D34ff8df6%2526idc%253Dmy2%2526s%253DTIKTOK_AFFILIATE_VIRAL_VIDEO%22%2C%22placeholder_product_id%22%3A%221729427766722726591%22%2C%22placeholder_video_id%22%3A%227638571181934660882%22%7D&amp;ec_shared_reflux_scene=shop_tab_feed&amp;share_item_id=7638571181934660882&amp;source=h5_t</v>
      </c>
    </row>
    <row r="1554">
      <c r="A1554" s="282" t="str">
        <f>IFERROR(__xludf.DUMMYFUNCTION("""COMPUTED_VALUE"""),"MICRO")</f>
        <v>MICRO</v>
      </c>
      <c r="B1554" s="468" t="str">
        <f>IFERROR(__xludf.DUMMYFUNCTION("""COMPUTED_VALUE"""),"anitanjung11")</f>
        <v>anitanjung11</v>
      </c>
      <c r="C1554" s="283" t="str">
        <f>IFERROR(__xludf.DUMMYFUNCTION("""COMPUTED_VALUE"""),"https://www.tiktok.com/@anitanjung11")</f>
        <v>https://www.tiktok.com/@anitanjung11</v>
      </c>
      <c r="D1554" s="273">
        <f>IFERROR(__xludf.DUMMYFUNCTION("""COMPUTED_VALUE"""),8.5813639193E10)</f>
        <v>85813639193</v>
      </c>
      <c r="E1554" s="458">
        <f>IFERROR(__xludf.DUMMYFUNCTION("""COMPUTED_VALUE"""),0.0)</f>
        <v>0</v>
      </c>
      <c r="F1554" s="273">
        <f>IFERROR(__xludf.DUMMYFUNCTION("""COMPUTED_VALUE"""),4.0)</f>
        <v>4</v>
      </c>
      <c r="G1554" t="str">
        <f>IFERROR(__xludf.DUMMYFUNCTION("""COMPUTED_VALUE"""),"Sabun batang 1 Box ( 2 PCS )")</f>
        <v>Sabun batang 1 Box ( 2 PCS )</v>
      </c>
      <c r="H1554" s="469" t="str">
        <f>IFERROR(__xludf.DUMMYFUNCTION("""COMPUTED_VALUE"""),"Sampai")</f>
        <v>Sampai</v>
      </c>
      <c r="I1554" s="470" t="str">
        <f>IFERROR(__xludf.DUMMYFUNCTION("""COMPUTED_VALUE"""),"KIMME")</f>
        <v>KIMME</v>
      </c>
      <c r="J1554" s="471" t="str">
        <f>IFERROR(__xludf.DUMMYFUNCTION("""COMPUTED_VALUE"""),"https://vt.tiktok.com/ZSxqL6ms3/")</f>
        <v>https://vt.tiktok.com/ZSxqL6ms3/</v>
      </c>
      <c r="K1554" s="470" t="str">
        <f>IFERROR(__xludf.DUMMYFUNCTION("""COMPUTED_VALUE"""),"KIMME")</f>
        <v>KIMME</v>
      </c>
      <c r="L1554" s="471" t="str">
        <f>IFERROR(__xludf.DUMMYFUNCTION("""COMPUTED_VALUE"""),"https://vt.tiktok.com/ZSxWfWm1x/")</f>
        <v>https://vt.tiktok.com/ZSxWfWm1x/</v>
      </c>
      <c r="M1554" s="470"/>
      <c r="N1554" s="471" t="str">
        <f>IFERROR(__xludf.DUMMYFUNCTION("""COMPUTED_VALUE"""),"https://vt.tiktok.com/ZSxWfw8XJ/")</f>
        <v>https://vt.tiktok.com/ZSxWfw8XJ/</v>
      </c>
      <c r="O1554" s="470"/>
      <c r="P1554" s="471" t="str">
        <f>IFERROR(__xludf.DUMMYFUNCTION("""COMPUTED_VALUE"""),"https://vt.tiktok.com/ZSxWfbMSR/")</f>
        <v>https://vt.tiktok.com/ZSxWfbMSR/</v>
      </c>
    </row>
    <row r="1555">
      <c r="A1555" s="282" t="str">
        <f>IFERROR(__xludf.DUMMYFUNCTION("""COMPUTED_VALUE"""),"MICRO")</f>
        <v>MICRO</v>
      </c>
      <c r="B1555" s="468" t="str">
        <f>IFERROR(__xludf.DUMMYFUNCTION("""COMPUTED_VALUE"""),"itamaemanah")</f>
        <v>itamaemanah</v>
      </c>
      <c r="C1555" s="283" t="str">
        <f>IFERROR(__xludf.DUMMYFUNCTION("""COMPUTED_VALUE"""),"https://www.tiktok.com/@itamaemanah")</f>
        <v>https://www.tiktok.com/@itamaemanah</v>
      </c>
      <c r="D1555" s="273">
        <f>IFERROR(__xludf.DUMMYFUNCTION("""COMPUTED_VALUE"""),8.5708789816E10)</f>
        <v>85708789816</v>
      </c>
      <c r="E1555" s="458">
        <f>IFERROR(__xludf.DUMMYFUNCTION("""COMPUTED_VALUE"""),0.0)</f>
        <v>0</v>
      </c>
      <c r="F1555" s="273">
        <f>IFERROR(__xludf.DUMMYFUNCTION("""COMPUTED_VALUE"""),1.0)</f>
        <v>1</v>
      </c>
      <c r="G1555" t="str">
        <f>IFERROR(__xludf.DUMMYFUNCTION("""COMPUTED_VALUE"""),"Sabun batang 1 Box ( 2 PCS )")</f>
        <v>Sabun batang 1 Box ( 2 PCS )</v>
      </c>
      <c r="H1555" s="469" t="str">
        <f>IFERROR(__xludf.DUMMYFUNCTION("""COMPUTED_VALUE"""),"Sampai")</f>
        <v>Sampai</v>
      </c>
      <c r="I1555" s="470" t="str">
        <f>IFERROR(__xludf.DUMMYFUNCTION("""COMPUTED_VALUE"""),"KIMME")</f>
        <v>KIMME</v>
      </c>
      <c r="J1555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55" s="470" t="str">
        <f>IFERROR(__xludf.DUMMYFUNCTION("""COMPUTED_VALUE"""),"KIMME")</f>
        <v>KIMME</v>
      </c>
      <c r="L1555" s="471" t="str">
        <f>IFERROR(__xludf.DUMMYFUNCTION("""COMPUTED_VALUE"""),"https://vt.tiktok.com/ZS9fARK72/")</f>
        <v>https://vt.tiktok.com/ZS9fARK72/</v>
      </c>
      <c r="M1555" s="470"/>
      <c r="N1555" s="471" t="str">
        <f>IFERROR(__xludf.DUMMYFUNCTION("""COMPUTED_VALUE"""),"https://vt.tiktok.com/ZS9fAeqYT/")</f>
        <v>https://vt.tiktok.com/ZS9fAeqYT/</v>
      </c>
      <c r="O1555" s="470"/>
      <c r="P1555" s="471" t="str">
        <f>IFERROR(__xludf.DUMMYFUNCTION("""COMPUTED_VALUE"""),"https://vt.tiktok.com/ZS9fSTq7R/")</f>
        <v>https://vt.tiktok.com/ZS9fSTq7R/</v>
      </c>
    </row>
    <row r="1556">
      <c r="A1556" s="282" t="str">
        <f>IFERROR(__xludf.DUMMYFUNCTION("""COMPUTED_VALUE"""),"MICRO")</f>
        <v>MICRO</v>
      </c>
      <c r="B1556" s="468" t="str">
        <f>IFERROR(__xludf.DUMMYFUNCTION("""COMPUTED_VALUE"""),"sary8185")</f>
        <v>sary8185</v>
      </c>
      <c r="C1556" s="283" t="str">
        <f>IFERROR(__xludf.DUMMYFUNCTION("""COMPUTED_VALUE"""),"https://www.tiktok.com/@sary8185")</f>
        <v>https://www.tiktok.com/@sary8185</v>
      </c>
      <c r="D1556" s="273">
        <f>IFERROR(__xludf.DUMMYFUNCTION("""COMPUTED_VALUE"""),8.1221632587E10)</f>
        <v>81221632587</v>
      </c>
      <c r="E1556" s="458">
        <f>IFERROR(__xludf.DUMMYFUNCTION("""COMPUTED_VALUE"""),0.0)</f>
        <v>0</v>
      </c>
      <c r="F1556" s="273">
        <f>IFERROR(__xludf.DUMMYFUNCTION("""COMPUTED_VALUE"""),4.0)</f>
        <v>4</v>
      </c>
      <c r="G1556" t="str">
        <f>IFERROR(__xludf.DUMMYFUNCTION("""COMPUTED_VALUE"""),"Sabun batang 1 Box ( 2 PCS )")</f>
        <v>Sabun batang 1 Box ( 2 PCS )</v>
      </c>
      <c r="H1556" s="469" t="str">
        <f>IFERROR(__xludf.DUMMYFUNCTION("""COMPUTED_VALUE"""),"Sampai")</f>
        <v>Sampai</v>
      </c>
      <c r="I1556" s="470" t="str">
        <f>IFERROR(__xludf.DUMMYFUNCTION("""COMPUTED_VALUE"""),"KIMME")</f>
        <v>KIMME</v>
      </c>
      <c r="J1556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56" s="470" t="str">
        <f>IFERROR(__xludf.DUMMYFUNCTION("""COMPUTED_VALUE"""),"KIMME")</f>
        <v>KIMME</v>
      </c>
      <c r="L1556" s="471" t="str">
        <f>IFERROR(__xludf.DUMMYFUNCTION("""COMPUTED_VALUE"""),"https://vt.tiktok.com/ZS9fARK72/")</f>
        <v>https://vt.tiktok.com/ZS9fARK72/</v>
      </c>
      <c r="M1556" s="470"/>
      <c r="N1556" s="471" t="str">
        <f>IFERROR(__xludf.DUMMYFUNCTION("""COMPUTED_VALUE"""),"https://vt.tiktok.com/ZS9fAeqYT/")</f>
        <v>https://vt.tiktok.com/ZS9fAeqYT/</v>
      </c>
      <c r="O1556" s="470"/>
      <c r="P1556" s="471" t="str">
        <f>IFERROR(__xludf.DUMMYFUNCTION("""COMPUTED_VALUE"""),"https://vt.tiktok.com/ZS9fSTq7R/")</f>
        <v>https://vt.tiktok.com/ZS9fSTq7R/</v>
      </c>
    </row>
    <row r="1557">
      <c r="A1557" s="282" t="str">
        <f>IFERROR(__xludf.DUMMYFUNCTION("""COMPUTED_VALUE"""),"MICRO")</f>
        <v>MICRO</v>
      </c>
      <c r="B1557" s="468" t="str">
        <f>IFERROR(__xludf.DUMMYFUNCTION("""COMPUTED_VALUE"""),"rinduaisyah01")</f>
        <v>rinduaisyah01</v>
      </c>
      <c r="C1557" s="283" t="str">
        <f>IFERROR(__xludf.DUMMYFUNCTION("""COMPUTED_VALUE"""),"https://www.tiktok.com/@rinduaisyah01")</f>
        <v>https://www.tiktok.com/@rinduaisyah01</v>
      </c>
      <c r="D1557" s="273">
        <f>IFERROR(__xludf.DUMMYFUNCTION("""COMPUTED_VALUE"""),8.5890924782E10)</f>
        <v>85890924782</v>
      </c>
      <c r="E1557" s="458">
        <f>IFERROR(__xludf.DUMMYFUNCTION("""COMPUTED_VALUE"""),0.0)</f>
        <v>0</v>
      </c>
      <c r="F1557" s="273">
        <f>IFERROR(__xludf.DUMMYFUNCTION("""COMPUTED_VALUE"""),4.0)</f>
        <v>4</v>
      </c>
      <c r="G1557" t="str">
        <f>IFERROR(__xludf.DUMMYFUNCTION("""COMPUTED_VALUE"""),"Sabun batang 1 Box ( 2 PCS )")</f>
        <v>Sabun batang 1 Box ( 2 PCS )</v>
      </c>
      <c r="H1557" s="469" t="str">
        <f>IFERROR(__xludf.DUMMYFUNCTION("""COMPUTED_VALUE"""),"Sampai")</f>
        <v>Sampai</v>
      </c>
      <c r="I1557" s="470" t="str">
        <f>IFERROR(__xludf.DUMMYFUNCTION("""COMPUTED_VALUE"""),"KIMME")</f>
        <v>KIMME</v>
      </c>
      <c r="J1557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57" s="470" t="str">
        <f>IFERROR(__xludf.DUMMYFUNCTION("""COMPUTED_VALUE"""),"KIMME")</f>
        <v>KIMME</v>
      </c>
      <c r="L1557" s="471" t="str">
        <f>IFERROR(__xludf.DUMMYFUNCTION("""COMPUTED_VALUE"""),"https://vt.tiktok.com/ZS9fARK72/")</f>
        <v>https://vt.tiktok.com/ZS9fARK72/</v>
      </c>
      <c r="M1557" s="470"/>
      <c r="N1557" s="471" t="str">
        <f>IFERROR(__xludf.DUMMYFUNCTION("""COMPUTED_VALUE"""),"https://vt.tiktok.com/ZS9fAeqYT/")</f>
        <v>https://vt.tiktok.com/ZS9fAeqYT/</v>
      </c>
      <c r="O1557" s="470"/>
      <c r="P1557" s="471" t="str">
        <f>IFERROR(__xludf.DUMMYFUNCTION("""COMPUTED_VALUE"""),"https://vt.tiktok.com/ZS9fSTq7R/")</f>
        <v>https://vt.tiktok.com/ZS9fSTq7R/</v>
      </c>
    </row>
    <row r="1558">
      <c r="A1558" s="282" t="str">
        <f>IFERROR(__xludf.DUMMYFUNCTION("""COMPUTED_VALUE"""),"MICRO")</f>
        <v>MICRO</v>
      </c>
      <c r="B1558" s="468" t="str">
        <f>IFERROR(__xludf.DUMMYFUNCTION("""COMPUTED_VALUE"""),"kristianaditia_")</f>
        <v>kristianaditia_</v>
      </c>
      <c r="C1558" s="283" t="str">
        <f>IFERROR(__xludf.DUMMYFUNCTION("""COMPUTED_VALUE"""),"https://www.tiktok.com/@kristianaditia_")</f>
        <v>https://www.tiktok.com/@kristianaditia_</v>
      </c>
      <c r="D1558" s="273">
        <f>IFERROR(__xludf.DUMMYFUNCTION("""COMPUTED_VALUE"""),8.3121526514E10)</f>
        <v>83121526514</v>
      </c>
      <c r="E1558" s="458">
        <f>IFERROR(__xludf.DUMMYFUNCTION("""COMPUTED_VALUE"""),0.0)</f>
        <v>0</v>
      </c>
      <c r="F1558" s="273">
        <f>IFERROR(__xludf.DUMMYFUNCTION("""COMPUTED_VALUE"""),4.0)</f>
        <v>4</v>
      </c>
      <c r="G1558" t="str">
        <f>IFERROR(__xludf.DUMMYFUNCTION("""COMPUTED_VALUE"""),"Sabun batang 1 Box ( 2 PCS )")</f>
        <v>Sabun batang 1 Box ( 2 PCS )</v>
      </c>
      <c r="H1558" s="469" t="str">
        <f>IFERROR(__xludf.DUMMYFUNCTION("""COMPUTED_VALUE"""),"Sampai")</f>
        <v>Sampai</v>
      </c>
      <c r="I1558" s="470" t="str">
        <f>IFERROR(__xludf.DUMMYFUNCTION("""COMPUTED_VALUE"""),"KIMME")</f>
        <v>KIMME</v>
      </c>
      <c r="J1558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58" s="470" t="str">
        <f>IFERROR(__xludf.DUMMYFUNCTION("""COMPUTED_VALUE"""),"KIMME")</f>
        <v>KIMME</v>
      </c>
      <c r="L1558" s="471" t="str">
        <f>IFERROR(__xludf.DUMMYFUNCTION("""COMPUTED_VALUE"""),"https://vt.tiktok.com/ZS9fARK72/")</f>
        <v>https://vt.tiktok.com/ZS9fARK72/</v>
      </c>
      <c r="M1558" s="470"/>
      <c r="N1558" s="471" t="str">
        <f>IFERROR(__xludf.DUMMYFUNCTION("""COMPUTED_VALUE"""),"https://vt.tiktok.com/ZS9fAeqYT/")</f>
        <v>https://vt.tiktok.com/ZS9fAeqYT/</v>
      </c>
      <c r="O1558" s="470"/>
      <c r="P1558" s="471" t="str">
        <f>IFERROR(__xludf.DUMMYFUNCTION("""COMPUTED_VALUE"""),"https://vt.tiktok.com/ZS9fSTq7R/")</f>
        <v>https://vt.tiktok.com/ZS9fSTq7R/</v>
      </c>
    </row>
    <row r="1559">
      <c r="A1559" s="282" t="str">
        <f>IFERROR(__xludf.DUMMYFUNCTION("""COMPUTED_VALUE"""),"MICRO")</f>
        <v>MICRO</v>
      </c>
      <c r="B1559" s="468" t="str">
        <f>IFERROR(__xludf.DUMMYFUNCTION("""COMPUTED_VALUE"""),"maymunaa96")</f>
        <v>maymunaa96</v>
      </c>
      <c r="C1559" s="283" t="str">
        <f>IFERROR(__xludf.DUMMYFUNCTION("""COMPUTED_VALUE"""),"https://www.tiktok.com/@maymunaa96")</f>
        <v>https://www.tiktok.com/@maymunaa96</v>
      </c>
      <c r="D1559" s="273">
        <f>IFERROR(__xludf.DUMMYFUNCTION("""COMPUTED_VALUE"""),8.5775456596E10)</f>
        <v>85775456596</v>
      </c>
      <c r="E1559" s="458">
        <f>IFERROR(__xludf.DUMMYFUNCTION("""COMPUTED_VALUE"""),0.0)</f>
        <v>0</v>
      </c>
      <c r="F1559" s="273">
        <f>IFERROR(__xludf.DUMMYFUNCTION("""COMPUTED_VALUE"""),4.0)</f>
        <v>4</v>
      </c>
      <c r="G1559" t="str">
        <f>IFERROR(__xludf.DUMMYFUNCTION("""COMPUTED_VALUE"""),"Sabun batang 1 Box ( 2 PCS )")</f>
        <v>Sabun batang 1 Box ( 2 PCS )</v>
      </c>
      <c r="H1559" s="469" t="str">
        <f>IFERROR(__xludf.DUMMYFUNCTION("""COMPUTED_VALUE"""),"Sampai")</f>
        <v>Sampai</v>
      </c>
      <c r="I1559" s="470" t="str">
        <f>IFERROR(__xludf.DUMMYFUNCTION("""COMPUTED_VALUE"""),"KIMME")</f>
        <v>KIMME</v>
      </c>
      <c r="J1559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59" s="470" t="str">
        <f>IFERROR(__xludf.DUMMYFUNCTION("""COMPUTED_VALUE"""),"KIMME")</f>
        <v>KIMME</v>
      </c>
      <c r="L1559" s="471" t="str">
        <f>IFERROR(__xludf.DUMMYFUNCTION("""COMPUTED_VALUE"""),"https://vt.tiktok.com/ZS9fARK72/")</f>
        <v>https://vt.tiktok.com/ZS9fARK72/</v>
      </c>
      <c r="M1559" s="470"/>
      <c r="N1559" s="471" t="str">
        <f>IFERROR(__xludf.DUMMYFUNCTION("""COMPUTED_VALUE"""),"https://vt.tiktok.com/ZS9fAeqYT/")</f>
        <v>https://vt.tiktok.com/ZS9fAeqYT/</v>
      </c>
      <c r="O1559" s="470"/>
      <c r="P1559" s="471" t="str">
        <f>IFERROR(__xludf.DUMMYFUNCTION("""COMPUTED_VALUE"""),"https://vt.tiktok.com/ZS9fSTq7R/")</f>
        <v>https://vt.tiktok.com/ZS9fSTq7R/</v>
      </c>
    </row>
    <row r="1560">
      <c r="A1560" s="282" t="str">
        <f>IFERROR(__xludf.DUMMYFUNCTION("""COMPUTED_VALUE"""),"MICRO")</f>
        <v>MICRO</v>
      </c>
      <c r="B1560" s="468" t="str">
        <f>IFERROR(__xludf.DUMMYFUNCTION("""COMPUTED_VALUE"""),"rekaaprilianti98")</f>
        <v>rekaaprilianti98</v>
      </c>
      <c r="C1560" s="283" t="str">
        <f>IFERROR(__xludf.DUMMYFUNCTION("""COMPUTED_VALUE"""),"https://www.tiktok.com/@rekaaprilianti98")</f>
        <v>https://www.tiktok.com/@rekaaprilianti98</v>
      </c>
      <c r="D1560" s="273">
        <f>IFERROR(__xludf.DUMMYFUNCTION("""COMPUTED_VALUE"""),8.9516873948E10)</f>
        <v>89516873948</v>
      </c>
      <c r="E1560" s="458">
        <f>IFERROR(__xludf.DUMMYFUNCTION("""COMPUTED_VALUE"""),0.0)</f>
        <v>0</v>
      </c>
      <c r="F1560" s="273">
        <f>IFERROR(__xludf.DUMMYFUNCTION("""COMPUTED_VALUE"""),4.0)</f>
        <v>4</v>
      </c>
      <c r="G1560" t="str">
        <f>IFERROR(__xludf.DUMMYFUNCTION("""COMPUTED_VALUE"""),"Sabun batang 1 Box ( 2 PCS )")</f>
        <v>Sabun batang 1 Box ( 2 PCS )</v>
      </c>
      <c r="H1560" s="469" t="str">
        <f>IFERROR(__xludf.DUMMYFUNCTION("""COMPUTED_VALUE"""),"Sampai")</f>
        <v>Sampai</v>
      </c>
      <c r="I1560" s="470" t="str">
        <f>IFERROR(__xludf.DUMMYFUNCTION("""COMPUTED_VALUE"""),"KIMME")</f>
        <v>KIMME</v>
      </c>
      <c r="J1560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60" s="470" t="str">
        <f>IFERROR(__xludf.DUMMYFUNCTION("""COMPUTED_VALUE"""),"KIMME")</f>
        <v>KIMME</v>
      </c>
      <c r="L1560" s="471" t="str">
        <f>IFERROR(__xludf.DUMMYFUNCTION("""COMPUTED_VALUE"""),"https://vt.tiktok.com/ZS9fARK72/")</f>
        <v>https://vt.tiktok.com/ZS9fARK72/</v>
      </c>
      <c r="M1560" s="470"/>
      <c r="N1560" s="471" t="str">
        <f>IFERROR(__xludf.DUMMYFUNCTION("""COMPUTED_VALUE"""),"https://vt.tiktok.com/ZS9fAeqYT/")</f>
        <v>https://vt.tiktok.com/ZS9fAeqYT/</v>
      </c>
      <c r="O1560" s="470"/>
      <c r="P1560" s="471" t="str">
        <f>IFERROR(__xludf.DUMMYFUNCTION("""COMPUTED_VALUE"""),"https://vt.tiktok.com/ZS9fSTq7R/")</f>
        <v>https://vt.tiktok.com/ZS9fSTq7R/</v>
      </c>
    </row>
    <row r="1561">
      <c r="A1561" s="282" t="str">
        <f>IFERROR(__xludf.DUMMYFUNCTION("""COMPUTED_VALUE"""),"MICRO")</f>
        <v>MICRO</v>
      </c>
      <c r="B1561" s="468" t="str">
        <f>IFERROR(__xludf.DUMMYFUNCTION("""COMPUTED_VALUE"""),"rinamardiana.rt4")</f>
        <v>rinamardiana.rt4</v>
      </c>
      <c r="C1561" s="283" t="str">
        <f>IFERROR(__xludf.DUMMYFUNCTION("""COMPUTED_VALUE"""),"https://www.tiktok.com/@rinamardiana.rt4")</f>
        <v>https://www.tiktok.com/@rinamardiana.rt4</v>
      </c>
      <c r="D1561" s="273">
        <f>IFERROR(__xludf.DUMMYFUNCTION("""COMPUTED_VALUE"""),8.2370992563E10)</f>
        <v>82370992563</v>
      </c>
      <c r="E1561" s="458">
        <f>IFERROR(__xludf.DUMMYFUNCTION("""COMPUTED_VALUE"""),0.0)</f>
        <v>0</v>
      </c>
      <c r="F1561" s="273">
        <f>IFERROR(__xludf.DUMMYFUNCTION("""COMPUTED_VALUE"""),4.0)</f>
        <v>4</v>
      </c>
      <c r="G1561" t="str">
        <f>IFERROR(__xludf.DUMMYFUNCTION("""COMPUTED_VALUE"""),"Sabun batang 1 Box ( 2 PCS )")</f>
        <v>Sabun batang 1 Box ( 2 PCS )</v>
      </c>
      <c r="H1561" s="469" t="str">
        <f>IFERROR(__xludf.DUMMYFUNCTION("""COMPUTED_VALUE"""),"Sampai")</f>
        <v>Sampai</v>
      </c>
      <c r="I1561" s="470" t="str">
        <f>IFERROR(__xludf.DUMMYFUNCTION("""COMPUTED_VALUE"""),"KIMME")</f>
        <v>KIMME</v>
      </c>
      <c r="J1561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61" s="470" t="str">
        <f>IFERROR(__xludf.DUMMYFUNCTION("""COMPUTED_VALUE"""),"KIMME")</f>
        <v>KIMME</v>
      </c>
      <c r="L1561" s="471" t="str">
        <f>IFERROR(__xludf.DUMMYFUNCTION("""COMPUTED_VALUE"""),"https://vt.tiktok.com/ZS9fARK72/")</f>
        <v>https://vt.tiktok.com/ZS9fARK72/</v>
      </c>
      <c r="M1561" s="470"/>
      <c r="N1561" s="471" t="str">
        <f>IFERROR(__xludf.DUMMYFUNCTION("""COMPUTED_VALUE"""),"https://vt.tiktok.com/ZS9fAeqYT/")</f>
        <v>https://vt.tiktok.com/ZS9fAeqYT/</v>
      </c>
      <c r="O1561" s="470"/>
      <c r="P1561" s="471" t="str">
        <f>IFERROR(__xludf.DUMMYFUNCTION("""COMPUTED_VALUE"""),"https://vt.tiktok.com/ZS9fSTq7R/")</f>
        <v>https://vt.tiktok.com/ZS9fSTq7R/</v>
      </c>
    </row>
    <row r="1562">
      <c r="A1562" s="282" t="str">
        <f>IFERROR(__xludf.DUMMYFUNCTION("""COMPUTED_VALUE"""),"MICRO")</f>
        <v>MICRO</v>
      </c>
      <c r="B1562" s="468" t="str">
        <f>IFERROR(__xludf.DUMMYFUNCTION("""COMPUTED_VALUE"""),"vivitavita06")</f>
        <v>vivitavita06</v>
      </c>
      <c r="C1562" s="283" t="str">
        <f>IFERROR(__xludf.DUMMYFUNCTION("""COMPUTED_VALUE"""),"https://www.tiktok.com/@vivitavita06")</f>
        <v>https://www.tiktok.com/@vivitavita06</v>
      </c>
      <c r="D1562" s="273">
        <f>IFERROR(__xludf.DUMMYFUNCTION("""COMPUTED_VALUE"""),8.5606378616E10)</f>
        <v>85606378616</v>
      </c>
      <c r="E1562" s="458">
        <f>IFERROR(__xludf.DUMMYFUNCTION("""COMPUTED_VALUE"""),0.0)</f>
        <v>0</v>
      </c>
      <c r="F1562" s="273">
        <f>IFERROR(__xludf.DUMMYFUNCTION("""COMPUTED_VALUE"""),4.0)</f>
        <v>4</v>
      </c>
      <c r="G1562" t="str">
        <f>IFERROR(__xludf.DUMMYFUNCTION("""COMPUTED_VALUE"""),"Sabun batang 1 Box ( 2 PCS )")</f>
        <v>Sabun batang 1 Box ( 2 PCS )</v>
      </c>
      <c r="H1562" s="469" t="str">
        <f>IFERROR(__xludf.DUMMYFUNCTION("""COMPUTED_VALUE"""),"Sampai")</f>
        <v>Sampai</v>
      </c>
      <c r="I1562" s="470" t="str">
        <f>IFERROR(__xludf.DUMMYFUNCTION("""COMPUTED_VALUE"""),"KIMME")</f>
        <v>KIMME</v>
      </c>
      <c r="J1562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62" s="470" t="str">
        <f>IFERROR(__xludf.DUMMYFUNCTION("""COMPUTED_VALUE"""),"KIMME")</f>
        <v>KIMME</v>
      </c>
      <c r="L1562" s="471" t="str">
        <f>IFERROR(__xludf.DUMMYFUNCTION("""COMPUTED_VALUE"""),"https://vt.tiktok.com/ZS9fARK72/")</f>
        <v>https://vt.tiktok.com/ZS9fARK72/</v>
      </c>
      <c r="M1562" s="470"/>
      <c r="N1562" s="471" t="str">
        <f>IFERROR(__xludf.DUMMYFUNCTION("""COMPUTED_VALUE"""),"https://vt.tiktok.com/ZS9fAeqYT/")</f>
        <v>https://vt.tiktok.com/ZS9fAeqYT/</v>
      </c>
      <c r="O1562" s="470"/>
      <c r="P1562" s="471" t="str">
        <f>IFERROR(__xludf.DUMMYFUNCTION("""COMPUTED_VALUE"""),"https://vt.tiktok.com/ZS9fSTq7R/")</f>
        <v>https://vt.tiktok.com/ZS9fSTq7R/</v>
      </c>
    </row>
    <row r="1563">
      <c r="A1563" s="282" t="str">
        <f>IFERROR(__xludf.DUMMYFUNCTION("""COMPUTED_VALUE"""),"MICRO")</f>
        <v>MICRO</v>
      </c>
      <c r="B1563" s="468" t="str">
        <f>IFERROR(__xludf.DUMMYFUNCTION("""COMPUTED_VALUE"""),"dessssssssii")</f>
        <v>dessssssssii</v>
      </c>
      <c r="C1563" s="283" t="str">
        <f>IFERROR(__xludf.DUMMYFUNCTION("""COMPUTED_VALUE"""),"https://www.tiktok.com/@dessssssssii")</f>
        <v>https://www.tiktok.com/@dessssssssii</v>
      </c>
      <c r="D1563" s="273">
        <f>IFERROR(__xludf.DUMMYFUNCTION("""COMPUTED_VALUE"""),8.5842719132E10)</f>
        <v>85842719132</v>
      </c>
      <c r="E1563" s="458">
        <f>IFERROR(__xludf.DUMMYFUNCTION("""COMPUTED_VALUE"""),0.0)</f>
        <v>0</v>
      </c>
      <c r="F1563" s="273">
        <f>IFERROR(__xludf.DUMMYFUNCTION("""COMPUTED_VALUE"""),1.0)</f>
        <v>1</v>
      </c>
      <c r="G1563" t="str">
        <f>IFERROR(__xludf.DUMMYFUNCTION("""COMPUTED_VALUE"""),"Sabun batang 1 Box ( 2 PCS )")</f>
        <v>Sabun batang 1 Box ( 2 PCS )</v>
      </c>
      <c r="H1563" s="469" t="str">
        <f>IFERROR(__xludf.DUMMYFUNCTION("""COMPUTED_VALUE"""),"Sampai")</f>
        <v>Sampai</v>
      </c>
      <c r="I1563" s="470" t="str">
        <f>IFERROR(__xludf.DUMMYFUNCTION("""COMPUTED_VALUE"""),"KIMME")</f>
        <v>KIMME</v>
      </c>
      <c r="J1563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63" s="470" t="str">
        <f>IFERROR(__xludf.DUMMYFUNCTION("""COMPUTED_VALUE"""),"KIMME")</f>
        <v>KIMME</v>
      </c>
      <c r="L1563" s="471" t="str">
        <f>IFERROR(__xludf.DUMMYFUNCTION("""COMPUTED_VALUE"""),"https://vt.tiktok.com/ZS9fARK72/")</f>
        <v>https://vt.tiktok.com/ZS9fARK72/</v>
      </c>
      <c r="M1563" s="470"/>
      <c r="N1563" s="471" t="str">
        <f>IFERROR(__xludf.DUMMYFUNCTION("""COMPUTED_VALUE"""),"https://vt.tiktok.com/ZS9fAeqYT/")</f>
        <v>https://vt.tiktok.com/ZS9fAeqYT/</v>
      </c>
      <c r="O1563" s="470"/>
      <c r="P1563" s="471" t="str">
        <f>IFERROR(__xludf.DUMMYFUNCTION("""COMPUTED_VALUE"""),"https://vt.tiktok.com/ZS9fSTq7R/")</f>
        <v>https://vt.tiktok.com/ZS9fSTq7R/</v>
      </c>
    </row>
    <row r="1564">
      <c r="A1564" s="282" t="str">
        <f>IFERROR(__xludf.DUMMYFUNCTION("""COMPUTED_VALUE"""),"MICRO")</f>
        <v>MICRO</v>
      </c>
      <c r="B1564" s="468" t="str">
        <f>IFERROR(__xludf.DUMMYFUNCTION("""COMPUTED_VALUE"""),"aniirohaeti02")</f>
        <v>aniirohaeti02</v>
      </c>
      <c r="C1564" s="283" t="str">
        <f>IFERROR(__xludf.DUMMYFUNCTION("""COMPUTED_VALUE"""),"https://www.tiktok.com/@aniirohaeti02")</f>
        <v>https://www.tiktok.com/@aniirohaeti02</v>
      </c>
      <c r="D1564" s="273">
        <f>IFERROR(__xludf.DUMMYFUNCTION("""COMPUTED_VALUE"""),8.7825200818E10)</f>
        <v>87825200818</v>
      </c>
      <c r="E1564" s="458">
        <f>IFERROR(__xludf.DUMMYFUNCTION("""COMPUTED_VALUE"""),0.0)</f>
        <v>0</v>
      </c>
      <c r="F1564" s="273">
        <f>IFERROR(__xludf.DUMMYFUNCTION("""COMPUTED_VALUE"""),4.0)</f>
        <v>4</v>
      </c>
      <c r="G1564" t="str">
        <f>IFERROR(__xludf.DUMMYFUNCTION("""COMPUTED_VALUE"""),"Sabun batang 1 Box ( 2 PCS )")</f>
        <v>Sabun batang 1 Box ( 2 PCS )</v>
      </c>
      <c r="H1564" s="469" t="str">
        <f>IFERROR(__xludf.DUMMYFUNCTION("""COMPUTED_VALUE"""),"Sampai")</f>
        <v>Sampai</v>
      </c>
      <c r="I1564" s="470" t="str">
        <f>IFERROR(__xludf.DUMMYFUNCTION("""COMPUTED_VALUE"""),"KIMME")</f>
        <v>KIMME</v>
      </c>
      <c r="J1564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64" s="470" t="str">
        <f>IFERROR(__xludf.DUMMYFUNCTION("""COMPUTED_VALUE"""),"KIMME")</f>
        <v>KIMME</v>
      </c>
      <c r="L1564" s="471" t="str">
        <f>IFERROR(__xludf.DUMMYFUNCTION("""COMPUTED_VALUE"""),"https://vt.tiktok.com/ZS9fARK72/")</f>
        <v>https://vt.tiktok.com/ZS9fARK72/</v>
      </c>
      <c r="M1564" s="470"/>
      <c r="N1564" s="471" t="str">
        <f>IFERROR(__xludf.DUMMYFUNCTION("""COMPUTED_VALUE"""),"https://vt.tiktok.com/ZS9fAeqYT/")</f>
        <v>https://vt.tiktok.com/ZS9fAeqYT/</v>
      </c>
      <c r="O1564" s="470"/>
      <c r="P1564" s="471" t="str">
        <f>IFERROR(__xludf.DUMMYFUNCTION("""COMPUTED_VALUE"""),"https://vt.tiktok.com/ZS9fSTq7R/")</f>
        <v>https://vt.tiktok.com/ZS9fSTq7R/</v>
      </c>
    </row>
    <row r="1565">
      <c r="A1565" s="282" t="str">
        <f>IFERROR(__xludf.DUMMYFUNCTION("""COMPUTED_VALUE"""),"MICRO")</f>
        <v>MICRO</v>
      </c>
      <c r="B1565" s="468" t="str">
        <f>IFERROR(__xludf.DUMMYFUNCTION("""COMPUTED_VALUE"""),"jardinat.official")</f>
        <v>jardinat.official</v>
      </c>
      <c r="C1565" s="283" t="str">
        <f>IFERROR(__xludf.DUMMYFUNCTION("""COMPUTED_VALUE"""),"https://www.tiktok.com/@jardinat.official")</f>
        <v>https://www.tiktok.com/@jardinat.official</v>
      </c>
      <c r="D1565" s="273">
        <f>IFERROR(__xludf.DUMMYFUNCTION("""COMPUTED_VALUE"""),8.2143171496E10)</f>
        <v>82143171496</v>
      </c>
      <c r="E1565" s="458">
        <f>IFERROR(__xludf.DUMMYFUNCTION("""COMPUTED_VALUE"""),0.0)</f>
        <v>0</v>
      </c>
      <c r="F1565" s="273">
        <f>IFERROR(__xludf.DUMMYFUNCTION("""COMPUTED_VALUE"""),4.0)</f>
        <v>4</v>
      </c>
      <c r="G1565" t="str">
        <f>IFERROR(__xludf.DUMMYFUNCTION("""COMPUTED_VALUE"""),"Sabun batang 1 Box ( 2 PCS )")</f>
        <v>Sabun batang 1 Box ( 2 PCS )</v>
      </c>
      <c r="H1565" s="469" t="str">
        <f>IFERROR(__xludf.DUMMYFUNCTION("""COMPUTED_VALUE"""),"Sampai")</f>
        <v>Sampai</v>
      </c>
      <c r="I1565" s="470" t="str">
        <f>IFERROR(__xludf.DUMMYFUNCTION("""COMPUTED_VALUE"""),"KIMME")</f>
        <v>KIMME</v>
      </c>
      <c r="J1565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65" s="470" t="str">
        <f>IFERROR(__xludf.DUMMYFUNCTION("""COMPUTED_VALUE"""),"KIMME")</f>
        <v>KIMME</v>
      </c>
      <c r="L1565" s="471" t="str">
        <f>IFERROR(__xludf.DUMMYFUNCTION("""COMPUTED_VALUE"""),"https://vt.tiktok.com/ZS9fARK72/")</f>
        <v>https://vt.tiktok.com/ZS9fARK72/</v>
      </c>
      <c r="M1565" s="470"/>
      <c r="N1565" s="471" t="str">
        <f>IFERROR(__xludf.DUMMYFUNCTION("""COMPUTED_VALUE"""),"https://vt.tiktok.com/ZS9fAeqYT/")</f>
        <v>https://vt.tiktok.com/ZS9fAeqYT/</v>
      </c>
      <c r="O1565" s="470"/>
      <c r="P1565" s="471" t="str">
        <f>IFERROR(__xludf.DUMMYFUNCTION("""COMPUTED_VALUE"""),"https://vt.tiktok.com/ZS9fSTq7R/")</f>
        <v>https://vt.tiktok.com/ZS9fSTq7R/</v>
      </c>
    </row>
    <row r="1566">
      <c r="A1566" s="282" t="str">
        <f>IFERROR(__xludf.DUMMYFUNCTION("""COMPUTED_VALUE"""),"MICRO")</f>
        <v>MICRO</v>
      </c>
      <c r="B1566" s="468" t="str">
        <f>IFERROR(__xludf.DUMMYFUNCTION("""COMPUTED_VALUE"""),"bynaiilaa")</f>
        <v>bynaiilaa</v>
      </c>
      <c r="C1566" s="283" t="str">
        <f>IFERROR(__xludf.DUMMYFUNCTION("""COMPUTED_VALUE"""),"https://www.tiktok.com/@bynaiilaa")</f>
        <v>https://www.tiktok.com/@bynaiilaa</v>
      </c>
      <c r="D1566" s="273">
        <f>IFERROR(__xludf.DUMMYFUNCTION("""COMPUTED_VALUE"""),8.7866248188E10)</f>
        <v>87866248188</v>
      </c>
      <c r="E1566" s="458">
        <f>IFERROR(__xludf.DUMMYFUNCTION("""COMPUTED_VALUE"""),0.0)</f>
        <v>0</v>
      </c>
      <c r="F1566" s="273">
        <f>IFERROR(__xludf.DUMMYFUNCTION("""COMPUTED_VALUE"""),4.0)</f>
        <v>4</v>
      </c>
      <c r="G1566" t="str">
        <f>IFERROR(__xludf.DUMMYFUNCTION("""COMPUTED_VALUE"""),"Sabun batang 1 Box ( 2 PCS )")</f>
        <v>Sabun batang 1 Box ( 2 PCS )</v>
      </c>
      <c r="H1566" s="469" t="str">
        <f>IFERROR(__xludf.DUMMYFUNCTION("""COMPUTED_VALUE"""),"Sampai")</f>
        <v>Sampai</v>
      </c>
      <c r="I1566" s="470" t="str">
        <f>IFERROR(__xludf.DUMMYFUNCTION("""COMPUTED_VALUE"""),"KIMME")</f>
        <v>KIMME</v>
      </c>
      <c r="J1566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66" s="470" t="str">
        <f>IFERROR(__xludf.DUMMYFUNCTION("""COMPUTED_VALUE"""),"KIMME")</f>
        <v>KIMME</v>
      </c>
      <c r="L1566" s="471" t="str">
        <f>IFERROR(__xludf.DUMMYFUNCTION("""COMPUTED_VALUE"""),"https://vt.tiktok.com/ZS9fARK72/")</f>
        <v>https://vt.tiktok.com/ZS9fARK72/</v>
      </c>
      <c r="M1566" s="470"/>
      <c r="N1566" s="471" t="str">
        <f>IFERROR(__xludf.DUMMYFUNCTION("""COMPUTED_VALUE"""),"https://vt.tiktok.com/ZS9fAeqYT/")</f>
        <v>https://vt.tiktok.com/ZS9fAeqYT/</v>
      </c>
      <c r="O1566" s="470"/>
      <c r="P1566" s="471" t="str">
        <f>IFERROR(__xludf.DUMMYFUNCTION("""COMPUTED_VALUE"""),"https://vt.tiktok.com/ZS9fSTq7R/")</f>
        <v>https://vt.tiktok.com/ZS9fSTq7R/</v>
      </c>
    </row>
    <row r="1567">
      <c r="A1567" s="282" t="str">
        <f>IFERROR(__xludf.DUMMYFUNCTION("""COMPUTED_VALUE"""),"MICRO")</f>
        <v>MICRO</v>
      </c>
      <c r="B1567" s="468" t="str">
        <f>IFERROR(__xludf.DUMMYFUNCTION("""COMPUTED_VALUE"""),"bellendanandaputra")</f>
        <v>bellendanandaputra</v>
      </c>
      <c r="C1567" s="283" t="str">
        <f>IFERROR(__xludf.DUMMYFUNCTION("""COMPUTED_VALUE"""),"https://www.tiktok.com/@bellendanandaputra")</f>
        <v>https://www.tiktok.com/@bellendanandaputra</v>
      </c>
      <c r="D1567" s="273">
        <f>IFERROR(__xludf.DUMMYFUNCTION("""COMPUTED_VALUE"""),8.5649767008E10)</f>
        <v>85649767008</v>
      </c>
      <c r="E1567" s="458">
        <f>IFERROR(__xludf.DUMMYFUNCTION("""COMPUTED_VALUE"""),0.0)</f>
        <v>0</v>
      </c>
      <c r="F1567" s="273">
        <f>IFERROR(__xludf.DUMMYFUNCTION("""COMPUTED_VALUE"""),4.0)</f>
        <v>4</v>
      </c>
      <c r="G1567" t="str">
        <f>IFERROR(__xludf.DUMMYFUNCTION("""COMPUTED_VALUE"""),"Sabun batang 1 Box ( 2 PCS )")</f>
        <v>Sabun batang 1 Box ( 2 PCS )</v>
      </c>
      <c r="H1567" s="469" t="str">
        <f>IFERROR(__xludf.DUMMYFUNCTION("""COMPUTED_VALUE"""),"Sampai")</f>
        <v>Sampai</v>
      </c>
      <c r="I1567" s="470" t="str">
        <f>IFERROR(__xludf.DUMMYFUNCTION("""COMPUTED_VALUE"""),"KIMME")</f>
        <v>KIMME</v>
      </c>
      <c r="J1567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67" s="470" t="str">
        <f>IFERROR(__xludf.DUMMYFUNCTION("""COMPUTED_VALUE"""),"KIMME")</f>
        <v>KIMME</v>
      </c>
      <c r="L1567" s="471" t="str">
        <f>IFERROR(__xludf.DUMMYFUNCTION("""COMPUTED_VALUE"""),"https://vt.tiktok.com/ZS9fARK72/")</f>
        <v>https://vt.tiktok.com/ZS9fARK72/</v>
      </c>
      <c r="M1567" s="470"/>
      <c r="N1567" s="471" t="str">
        <f>IFERROR(__xludf.DUMMYFUNCTION("""COMPUTED_VALUE"""),"https://vt.tiktok.com/ZS9fAeqYT/")</f>
        <v>https://vt.tiktok.com/ZS9fAeqYT/</v>
      </c>
      <c r="O1567" s="470"/>
      <c r="P1567" s="471" t="str">
        <f>IFERROR(__xludf.DUMMYFUNCTION("""COMPUTED_VALUE"""),"https://vt.tiktok.com/ZS9fSTq7R/")</f>
        <v>https://vt.tiktok.com/ZS9fSTq7R/</v>
      </c>
    </row>
    <row r="1568">
      <c r="A1568" s="282" t="str">
        <f>IFERROR(__xludf.DUMMYFUNCTION("""COMPUTED_VALUE"""),"MICRO")</f>
        <v>MICRO</v>
      </c>
      <c r="B1568" s="468" t="str">
        <f>IFERROR(__xludf.DUMMYFUNCTION("""COMPUTED_VALUE"""),"eza.ezaaaa")</f>
        <v>eza.ezaaaa</v>
      </c>
      <c r="C1568" s="283" t="str">
        <f>IFERROR(__xludf.DUMMYFUNCTION("""COMPUTED_VALUE"""),"https://www.tiktok.com/@eza.ezaaaa")</f>
        <v>https://www.tiktok.com/@eza.ezaaaa</v>
      </c>
      <c r="D1568" s="273">
        <f>IFERROR(__xludf.DUMMYFUNCTION("""COMPUTED_VALUE"""),8.232524902E10)</f>
        <v>82325249020</v>
      </c>
      <c r="E1568" s="458">
        <f>IFERROR(__xludf.DUMMYFUNCTION("""COMPUTED_VALUE"""),0.0)</f>
        <v>0</v>
      </c>
      <c r="F1568" s="273">
        <f>IFERROR(__xludf.DUMMYFUNCTION("""COMPUTED_VALUE"""),1.0)</f>
        <v>1</v>
      </c>
      <c r="G1568" t="str">
        <f>IFERROR(__xludf.DUMMYFUNCTION("""COMPUTED_VALUE"""),"Sabun batang 1 Box ( 2 PCS )")</f>
        <v>Sabun batang 1 Box ( 2 PCS )</v>
      </c>
      <c r="H1568" s="469" t="str">
        <f>IFERROR(__xludf.DUMMYFUNCTION("""COMPUTED_VALUE"""),"Sampai")</f>
        <v>Sampai</v>
      </c>
      <c r="I1568" s="470" t="str">
        <f>IFERROR(__xludf.DUMMYFUNCTION("""COMPUTED_VALUE"""),"KIMME")</f>
        <v>KIMME</v>
      </c>
      <c r="J1568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68" s="470" t="str">
        <f>IFERROR(__xludf.DUMMYFUNCTION("""COMPUTED_VALUE"""),"KIMME")</f>
        <v>KIMME</v>
      </c>
      <c r="L1568" s="471" t="str">
        <f>IFERROR(__xludf.DUMMYFUNCTION("""COMPUTED_VALUE"""),"https://vt.tiktok.com/ZS9fARK72/")</f>
        <v>https://vt.tiktok.com/ZS9fARK72/</v>
      </c>
      <c r="M1568" s="470"/>
      <c r="N1568" s="471" t="str">
        <f>IFERROR(__xludf.DUMMYFUNCTION("""COMPUTED_VALUE"""),"https://vt.tiktok.com/ZS9fAeqYT/")</f>
        <v>https://vt.tiktok.com/ZS9fAeqYT/</v>
      </c>
      <c r="O1568" s="470"/>
      <c r="P1568" s="471" t="str">
        <f>IFERROR(__xludf.DUMMYFUNCTION("""COMPUTED_VALUE"""),"https://vt.tiktok.com/ZS9fSTq7R/")</f>
        <v>https://vt.tiktok.com/ZS9fSTq7R/</v>
      </c>
    </row>
    <row r="1569">
      <c r="A1569" s="282" t="str">
        <f>IFERROR(__xludf.DUMMYFUNCTION("""COMPUTED_VALUE"""),"MICRO")</f>
        <v>MICRO</v>
      </c>
      <c r="B1569" s="468" t="str">
        <f>IFERROR(__xludf.DUMMYFUNCTION("""COMPUTED_VALUE"""),"rikaamelia68175")</f>
        <v>rikaamelia68175</v>
      </c>
      <c r="C1569" s="283" t="str">
        <f>IFERROR(__xludf.DUMMYFUNCTION("""COMPUTED_VALUE"""),"https://www.tiktok.com/@rikaamelia68175")</f>
        <v>https://www.tiktok.com/@rikaamelia68175</v>
      </c>
      <c r="D1569" s="273">
        <f>IFERROR(__xludf.DUMMYFUNCTION("""COMPUTED_VALUE"""),8.986261353E9)</f>
        <v>8986261353</v>
      </c>
      <c r="E1569" s="458">
        <f>IFERROR(__xludf.DUMMYFUNCTION("""COMPUTED_VALUE"""),0.0)</f>
        <v>0</v>
      </c>
      <c r="F1569" s="273">
        <f>IFERROR(__xludf.DUMMYFUNCTION("""COMPUTED_VALUE"""),4.0)</f>
        <v>4</v>
      </c>
      <c r="G1569" t="str">
        <f>IFERROR(__xludf.DUMMYFUNCTION("""COMPUTED_VALUE"""),"Sabun batang 1 Box ( 2 PCS )")</f>
        <v>Sabun batang 1 Box ( 2 PCS )</v>
      </c>
      <c r="H1569" s="469" t="str">
        <f>IFERROR(__xludf.DUMMYFUNCTION("""COMPUTED_VALUE"""),"Sampai")</f>
        <v>Sampai</v>
      </c>
      <c r="I1569" s="470" t="str">
        <f>IFERROR(__xludf.DUMMYFUNCTION("""COMPUTED_VALUE"""),"KIMME")</f>
        <v>KIMME</v>
      </c>
      <c r="J1569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69" s="470" t="str">
        <f>IFERROR(__xludf.DUMMYFUNCTION("""COMPUTED_VALUE"""),"KIMME")</f>
        <v>KIMME</v>
      </c>
      <c r="L1569" s="471" t="str">
        <f>IFERROR(__xludf.DUMMYFUNCTION("""COMPUTED_VALUE"""),"https://vt.tiktok.com/ZS9fARK72/")</f>
        <v>https://vt.tiktok.com/ZS9fARK72/</v>
      </c>
      <c r="M1569" s="470"/>
      <c r="N1569" s="471" t="str">
        <f>IFERROR(__xludf.DUMMYFUNCTION("""COMPUTED_VALUE"""),"https://vt.tiktok.com/ZS9fAeqYT/")</f>
        <v>https://vt.tiktok.com/ZS9fAeqYT/</v>
      </c>
      <c r="O1569" s="470"/>
      <c r="P1569" s="471" t="str">
        <f>IFERROR(__xludf.DUMMYFUNCTION("""COMPUTED_VALUE"""),"https://vt.tiktok.com/ZS9fSTq7R/")</f>
        <v>https://vt.tiktok.com/ZS9fSTq7R/</v>
      </c>
    </row>
    <row r="1570">
      <c r="A1570" s="282" t="str">
        <f>IFERROR(__xludf.DUMMYFUNCTION("""COMPUTED_VALUE"""),"MICRO")</f>
        <v>MICRO</v>
      </c>
      <c r="B1570" s="468" t="str">
        <f>IFERROR(__xludf.DUMMYFUNCTION("""COMPUTED_VALUE"""),"capucinoo.77")</f>
        <v>capucinoo.77</v>
      </c>
      <c r="C1570" s="283" t="str">
        <f>IFERROR(__xludf.DUMMYFUNCTION("""COMPUTED_VALUE"""),"https://www.tiktok.com/@capucinoo.77")</f>
        <v>https://www.tiktok.com/@capucinoo.77</v>
      </c>
      <c r="D1570" s="273">
        <f>IFERROR(__xludf.DUMMYFUNCTION("""COMPUTED_VALUE"""),8.2169548901E10)</f>
        <v>82169548901</v>
      </c>
      <c r="E1570" s="458">
        <f>IFERROR(__xludf.DUMMYFUNCTION("""COMPUTED_VALUE"""),0.0)</f>
        <v>0</v>
      </c>
      <c r="F1570" s="273">
        <f>IFERROR(__xludf.DUMMYFUNCTION("""COMPUTED_VALUE"""),4.0)</f>
        <v>4</v>
      </c>
      <c r="G1570" t="str">
        <f>IFERROR(__xludf.DUMMYFUNCTION("""COMPUTED_VALUE"""),"Sabun batang 1 Box ( 2 PCS )")</f>
        <v>Sabun batang 1 Box ( 2 PCS )</v>
      </c>
      <c r="H1570" s="469" t="str">
        <f>IFERROR(__xludf.DUMMYFUNCTION("""COMPUTED_VALUE"""),"Sampai")</f>
        <v>Sampai</v>
      </c>
      <c r="I1570" s="470" t="str">
        <f>IFERROR(__xludf.DUMMYFUNCTION("""COMPUTED_VALUE"""),"KIMME")</f>
        <v>KIMME</v>
      </c>
      <c r="J1570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70" s="470" t="str">
        <f>IFERROR(__xludf.DUMMYFUNCTION("""COMPUTED_VALUE"""),"KIMME")</f>
        <v>KIMME</v>
      </c>
      <c r="L1570" s="471" t="str">
        <f>IFERROR(__xludf.DUMMYFUNCTION("""COMPUTED_VALUE"""),"https://vt.tiktok.com/ZS9fARK72/")</f>
        <v>https://vt.tiktok.com/ZS9fARK72/</v>
      </c>
      <c r="M1570" s="470"/>
      <c r="N1570" s="471" t="str">
        <f>IFERROR(__xludf.DUMMYFUNCTION("""COMPUTED_VALUE"""),"https://vt.tiktok.com/ZS9fAeqYT/")</f>
        <v>https://vt.tiktok.com/ZS9fAeqYT/</v>
      </c>
      <c r="O1570" s="470"/>
      <c r="P1570" s="471" t="str">
        <f>IFERROR(__xludf.DUMMYFUNCTION("""COMPUTED_VALUE"""),"https://vt.tiktok.com/ZS9fSTq7R/")</f>
        <v>https://vt.tiktok.com/ZS9fSTq7R/</v>
      </c>
    </row>
    <row r="1571">
      <c r="A1571" s="282" t="str">
        <f>IFERROR(__xludf.DUMMYFUNCTION("""COMPUTED_VALUE"""),"MICRO")</f>
        <v>MICRO</v>
      </c>
      <c r="B1571" s="468" t="str">
        <f>IFERROR(__xludf.DUMMYFUNCTION("""COMPUTED_VALUE"""),"turtllee97 ")</f>
        <v>turtllee97 </v>
      </c>
      <c r="C1571" s="283" t="str">
        <f>IFERROR(__xludf.DUMMYFUNCTION("""COMPUTED_VALUE"""),"https://www.tiktok.com/@turtllee97 ")</f>
        <v>https://www.tiktok.com/@turtllee97 </v>
      </c>
      <c r="D1571" s="273">
        <f>IFERROR(__xludf.DUMMYFUNCTION("""COMPUTED_VALUE"""),8.5695843134E10)</f>
        <v>85695843134</v>
      </c>
      <c r="E1571" s="458">
        <f>IFERROR(__xludf.DUMMYFUNCTION("""COMPUTED_VALUE"""),0.0)</f>
        <v>0</v>
      </c>
      <c r="F1571" s="273">
        <f>IFERROR(__xludf.DUMMYFUNCTION("""COMPUTED_VALUE"""),4.0)</f>
        <v>4</v>
      </c>
      <c r="G1571" t="str">
        <f>IFERROR(__xludf.DUMMYFUNCTION("""COMPUTED_VALUE"""),"Sabun batang 1 Box ( 2 PCS )")</f>
        <v>Sabun batang 1 Box ( 2 PCS )</v>
      </c>
      <c r="H1571" s="469" t="str">
        <f>IFERROR(__xludf.DUMMYFUNCTION("""COMPUTED_VALUE"""),"Sampai")</f>
        <v>Sampai</v>
      </c>
      <c r="I1571" s="470" t="str">
        <f>IFERROR(__xludf.DUMMYFUNCTION("""COMPUTED_VALUE"""),"KIMME")</f>
        <v>KIMME</v>
      </c>
      <c r="J1571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71" s="470" t="str">
        <f>IFERROR(__xludf.DUMMYFUNCTION("""COMPUTED_VALUE"""),"KIMME")</f>
        <v>KIMME</v>
      </c>
      <c r="L1571" s="471" t="str">
        <f>IFERROR(__xludf.DUMMYFUNCTION("""COMPUTED_VALUE"""),"https://vt.tiktok.com/ZS9fARK72/")</f>
        <v>https://vt.tiktok.com/ZS9fARK72/</v>
      </c>
      <c r="M1571" s="470"/>
      <c r="N1571" s="471" t="str">
        <f>IFERROR(__xludf.DUMMYFUNCTION("""COMPUTED_VALUE"""),"https://vt.tiktok.com/ZS9fAeqYT/")</f>
        <v>https://vt.tiktok.com/ZS9fAeqYT/</v>
      </c>
      <c r="O1571" s="470"/>
      <c r="P1571" s="471" t="str">
        <f>IFERROR(__xludf.DUMMYFUNCTION("""COMPUTED_VALUE"""),"https://vt.tiktok.com/ZS9fSTq7R/")</f>
        <v>https://vt.tiktok.com/ZS9fSTq7R/</v>
      </c>
    </row>
    <row r="1572">
      <c r="A1572" s="282" t="str">
        <f>IFERROR(__xludf.DUMMYFUNCTION("""COMPUTED_VALUE"""),"MICRO")</f>
        <v>MICRO</v>
      </c>
      <c r="B1572" s="468" t="str">
        <f>IFERROR(__xludf.DUMMYFUNCTION("""COMPUTED_VALUE"""),"dhayumhi
")</f>
        <v>dhayumhi
</v>
      </c>
      <c r="C1572" s="283" t="str">
        <f>IFERROR(__xludf.DUMMYFUNCTION("""COMPUTED_VALUE"""),"https://www.tiktok.com/@dhayumhi
")</f>
        <v>https://www.tiktok.com/@dhayumhi
</v>
      </c>
      <c r="D1572" s="273">
        <f>IFERROR(__xludf.DUMMYFUNCTION("""COMPUTED_VALUE"""),8.2316192005E10)</f>
        <v>82316192005</v>
      </c>
      <c r="E1572" s="458">
        <f>IFERROR(__xludf.DUMMYFUNCTION("""COMPUTED_VALUE"""),0.0)</f>
        <v>0</v>
      </c>
      <c r="F1572" s="273">
        <f>IFERROR(__xludf.DUMMYFUNCTION("""COMPUTED_VALUE"""),4.0)</f>
        <v>4</v>
      </c>
      <c r="G1572" t="str">
        <f>IFERROR(__xludf.DUMMYFUNCTION("""COMPUTED_VALUE"""),"Sabun batang 1 Box ( 2 PCS )")</f>
        <v>Sabun batang 1 Box ( 2 PCS )</v>
      </c>
      <c r="H1572" s="469" t="str">
        <f>IFERROR(__xludf.DUMMYFUNCTION("""COMPUTED_VALUE"""),"Sampai")</f>
        <v>Sampai</v>
      </c>
      <c r="I1572" s="470" t="str">
        <f>IFERROR(__xludf.DUMMYFUNCTION("""COMPUTED_VALUE"""),"KIMME")</f>
        <v>KIMME</v>
      </c>
      <c r="J1572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72" s="470" t="str">
        <f>IFERROR(__xludf.DUMMYFUNCTION("""COMPUTED_VALUE"""),"KIMME")</f>
        <v>KIMME</v>
      </c>
      <c r="L1572" s="471" t="str">
        <f>IFERROR(__xludf.DUMMYFUNCTION("""COMPUTED_VALUE"""),"https://vt.tiktok.com/ZS9fARK72/")</f>
        <v>https://vt.tiktok.com/ZS9fARK72/</v>
      </c>
      <c r="M1572" s="470"/>
      <c r="N1572" s="471" t="str">
        <f>IFERROR(__xludf.DUMMYFUNCTION("""COMPUTED_VALUE"""),"https://vt.tiktok.com/ZS9fAeqYT/")</f>
        <v>https://vt.tiktok.com/ZS9fAeqYT/</v>
      </c>
      <c r="O1572" s="470"/>
      <c r="P1572" s="471" t="str">
        <f>IFERROR(__xludf.DUMMYFUNCTION("""COMPUTED_VALUE"""),"https://vt.tiktok.com/ZS9fSTq7R/")</f>
        <v>https://vt.tiktok.com/ZS9fSTq7R/</v>
      </c>
    </row>
    <row r="1573">
      <c r="A1573" s="282" t="str">
        <f>IFERROR(__xludf.DUMMYFUNCTION("""COMPUTED_VALUE"""),"MICRO")</f>
        <v>MICRO</v>
      </c>
      <c r="B1573" s="468" t="str">
        <f>IFERROR(__xludf.DUMMYFUNCTION("""COMPUTED_VALUE"""),"racunicaaa_")</f>
        <v>racunicaaa_</v>
      </c>
      <c r="C1573" s="283" t="str">
        <f>IFERROR(__xludf.DUMMYFUNCTION("""COMPUTED_VALUE"""),"https://www.tiktok.com/@racunicaaa_")</f>
        <v>https://www.tiktok.com/@racunicaaa_</v>
      </c>
      <c r="D1573" s="273">
        <f>IFERROR(__xludf.DUMMYFUNCTION("""COMPUTED_VALUE"""),8.1281643234E10)</f>
        <v>81281643234</v>
      </c>
      <c r="E1573" s="458">
        <f>IFERROR(__xludf.DUMMYFUNCTION("""COMPUTED_VALUE"""),0.0)</f>
        <v>0</v>
      </c>
      <c r="F1573" s="273">
        <f>IFERROR(__xludf.DUMMYFUNCTION("""COMPUTED_VALUE"""),4.0)</f>
        <v>4</v>
      </c>
      <c r="G1573" t="str">
        <f>IFERROR(__xludf.DUMMYFUNCTION("""COMPUTED_VALUE"""),"Sabun batang 1 Box ( 2 PCS )")</f>
        <v>Sabun batang 1 Box ( 2 PCS )</v>
      </c>
      <c r="H1573" s="469" t="str">
        <f>IFERROR(__xludf.DUMMYFUNCTION("""COMPUTED_VALUE"""),"Sampai")</f>
        <v>Sampai</v>
      </c>
      <c r="I1573" s="470" t="str">
        <f>IFERROR(__xludf.DUMMYFUNCTION("""COMPUTED_VALUE"""),"KIMME")</f>
        <v>KIMME</v>
      </c>
      <c r="J1573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73" s="470" t="str">
        <f>IFERROR(__xludf.DUMMYFUNCTION("""COMPUTED_VALUE"""),"KIMME")</f>
        <v>KIMME</v>
      </c>
      <c r="L1573" s="471" t="str">
        <f>IFERROR(__xludf.DUMMYFUNCTION("""COMPUTED_VALUE"""),"https://vt.tiktok.com/ZS9fARK72/")</f>
        <v>https://vt.tiktok.com/ZS9fARK72/</v>
      </c>
      <c r="M1573" s="470"/>
      <c r="N1573" s="471" t="str">
        <f>IFERROR(__xludf.DUMMYFUNCTION("""COMPUTED_VALUE"""),"https://vt.tiktok.com/ZS9fAeqYT/")</f>
        <v>https://vt.tiktok.com/ZS9fAeqYT/</v>
      </c>
      <c r="O1573" s="470"/>
      <c r="P1573" s="471" t="str">
        <f>IFERROR(__xludf.DUMMYFUNCTION("""COMPUTED_VALUE"""),"https://vt.tiktok.com/ZS9fSTq7R/")</f>
        <v>https://vt.tiktok.com/ZS9fSTq7R/</v>
      </c>
    </row>
    <row r="1574">
      <c r="A1574" s="282" t="str">
        <f>IFERROR(__xludf.DUMMYFUNCTION("""COMPUTED_VALUE"""),"MICRO")</f>
        <v>MICRO</v>
      </c>
      <c r="B1574" s="468" t="str">
        <f>IFERROR(__xludf.DUMMYFUNCTION("""COMPUTED_VALUE"""),"kianaska")</f>
        <v>kianaska</v>
      </c>
      <c r="C1574" s="283" t="str">
        <f>IFERROR(__xludf.DUMMYFUNCTION("""COMPUTED_VALUE"""),"https://www.tiktok.com/@kianaska")</f>
        <v>https://www.tiktok.com/@kianaska</v>
      </c>
      <c r="D1574" s="273">
        <f>IFERROR(__xludf.DUMMYFUNCTION("""COMPUTED_VALUE"""),8.5792354148E10)</f>
        <v>85792354148</v>
      </c>
      <c r="E1574" s="458">
        <f>IFERROR(__xludf.DUMMYFUNCTION("""COMPUTED_VALUE"""),0.0)</f>
        <v>0</v>
      </c>
      <c r="F1574" s="273">
        <f>IFERROR(__xludf.DUMMYFUNCTION("""COMPUTED_VALUE"""),4.0)</f>
        <v>4</v>
      </c>
      <c r="G1574" t="str">
        <f>IFERROR(__xludf.DUMMYFUNCTION("""COMPUTED_VALUE"""),"Sabun batang 1 Box ( 2 PCS )")</f>
        <v>Sabun batang 1 Box ( 2 PCS )</v>
      </c>
      <c r="H1574" s="469" t="str">
        <f>IFERROR(__xludf.DUMMYFUNCTION("""COMPUTED_VALUE"""),"Sampai")</f>
        <v>Sampai</v>
      </c>
      <c r="I1574" s="470" t="str">
        <f>IFERROR(__xludf.DUMMYFUNCTION("""COMPUTED_VALUE"""),"KIMME")</f>
        <v>KIMME</v>
      </c>
      <c r="J1574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74" s="470" t="str">
        <f>IFERROR(__xludf.DUMMYFUNCTION("""COMPUTED_VALUE"""),"KIMME")</f>
        <v>KIMME</v>
      </c>
      <c r="L1574" s="471" t="str">
        <f>IFERROR(__xludf.DUMMYFUNCTION("""COMPUTED_VALUE"""),"https://vt.tiktok.com/ZS9fARK72/")</f>
        <v>https://vt.tiktok.com/ZS9fARK72/</v>
      </c>
      <c r="M1574" s="470"/>
      <c r="N1574" s="471" t="str">
        <f>IFERROR(__xludf.DUMMYFUNCTION("""COMPUTED_VALUE"""),"https://vt.tiktok.com/ZS9fAeqYT/")</f>
        <v>https://vt.tiktok.com/ZS9fAeqYT/</v>
      </c>
      <c r="O1574" s="470"/>
      <c r="P1574" s="471" t="str">
        <f>IFERROR(__xludf.DUMMYFUNCTION("""COMPUTED_VALUE"""),"https://vt.tiktok.com/ZS9fSTq7R/")</f>
        <v>https://vt.tiktok.com/ZS9fSTq7R/</v>
      </c>
    </row>
    <row r="1575">
      <c r="A1575" s="282" t="str">
        <f>IFERROR(__xludf.DUMMYFUNCTION("""COMPUTED_VALUE"""),"MICRO")</f>
        <v>MICRO</v>
      </c>
      <c r="B1575" s="468" t="str">
        <f>IFERROR(__xludf.DUMMYFUNCTION("""COMPUTED_VALUE"""),"metatriananta0")</f>
        <v>metatriananta0</v>
      </c>
      <c r="C1575" s="283" t="str">
        <f>IFERROR(__xludf.DUMMYFUNCTION("""COMPUTED_VALUE"""),"https://www.tiktok.com/@metatriananta0")</f>
        <v>https://www.tiktok.com/@metatriananta0</v>
      </c>
      <c r="D1575" s="273">
        <f>IFERROR(__xludf.DUMMYFUNCTION("""COMPUTED_VALUE"""),8.5778287975E10)</f>
        <v>85778287975</v>
      </c>
      <c r="E1575" s="458">
        <f>IFERROR(__xludf.DUMMYFUNCTION("""COMPUTED_VALUE"""),0.0)</f>
        <v>0</v>
      </c>
      <c r="F1575" s="273">
        <f>IFERROR(__xludf.DUMMYFUNCTION("""COMPUTED_VALUE"""),4.0)</f>
        <v>4</v>
      </c>
      <c r="G1575" t="str">
        <f>IFERROR(__xludf.DUMMYFUNCTION("""COMPUTED_VALUE"""),"Sabun batang 1 Box ( 2 PCS )")</f>
        <v>Sabun batang 1 Box ( 2 PCS )</v>
      </c>
      <c r="H1575" s="469" t="str">
        <f>IFERROR(__xludf.DUMMYFUNCTION("""COMPUTED_VALUE"""),"Sampai")</f>
        <v>Sampai</v>
      </c>
      <c r="I1575" s="470" t="str">
        <f>IFERROR(__xludf.DUMMYFUNCTION("""COMPUTED_VALUE"""),"KIMME")</f>
        <v>KIMME</v>
      </c>
      <c r="J1575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75" s="470" t="str">
        <f>IFERROR(__xludf.DUMMYFUNCTION("""COMPUTED_VALUE"""),"KIMME")</f>
        <v>KIMME</v>
      </c>
      <c r="L1575" s="471" t="str">
        <f>IFERROR(__xludf.DUMMYFUNCTION("""COMPUTED_VALUE"""),"https://vt.tiktok.com/ZS9fARK72/")</f>
        <v>https://vt.tiktok.com/ZS9fARK72/</v>
      </c>
      <c r="M1575" s="470"/>
      <c r="N1575" s="471" t="str">
        <f>IFERROR(__xludf.DUMMYFUNCTION("""COMPUTED_VALUE"""),"https://vt.tiktok.com/ZS9fAeqYT/")</f>
        <v>https://vt.tiktok.com/ZS9fAeqYT/</v>
      </c>
      <c r="O1575" s="470"/>
      <c r="P1575" s="471" t="str">
        <f>IFERROR(__xludf.DUMMYFUNCTION("""COMPUTED_VALUE"""),"https://vt.tiktok.com/ZS9fSTq7R/")</f>
        <v>https://vt.tiktok.com/ZS9fSTq7R/</v>
      </c>
    </row>
    <row r="1576">
      <c r="A1576" s="282" t="str">
        <f>IFERROR(__xludf.DUMMYFUNCTION("""COMPUTED_VALUE"""),"MICRO")</f>
        <v>MICRO</v>
      </c>
      <c r="B1576" s="468" t="str">
        <f>IFERROR(__xludf.DUMMYFUNCTION("""COMPUTED_VALUE"""),"pipit.msr")</f>
        <v>pipit.msr</v>
      </c>
      <c r="C1576" s="283" t="str">
        <f>IFERROR(__xludf.DUMMYFUNCTION("""COMPUTED_VALUE"""),"https://www.tiktok.com/@pipit.msr")</f>
        <v>https://www.tiktok.com/@pipit.msr</v>
      </c>
      <c r="D1576" s="273">
        <f>IFERROR(__xludf.DUMMYFUNCTION("""COMPUTED_VALUE"""),8.9510721582E10)</f>
        <v>89510721582</v>
      </c>
      <c r="E1576" s="458">
        <f>IFERROR(__xludf.DUMMYFUNCTION("""COMPUTED_VALUE"""),0.0)</f>
        <v>0</v>
      </c>
      <c r="F1576" s="273">
        <f>IFERROR(__xludf.DUMMYFUNCTION("""COMPUTED_VALUE"""),4.0)</f>
        <v>4</v>
      </c>
      <c r="G1576" t="str">
        <f>IFERROR(__xludf.DUMMYFUNCTION("""COMPUTED_VALUE"""),"Sabun batang 1 Box ( 2 PCS )")</f>
        <v>Sabun batang 1 Box ( 2 PCS )</v>
      </c>
      <c r="H1576" s="469" t="str">
        <f>IFERROR(__xludf.DUMMYFUNCTION("""COMPUTED_VALUE"""),"Sampai")</f>
        <v>Sampai</v>
      </c>
      <c r="I1576" s="470" t="str">
        <f>IFERROR(__xludf.DUMMYFUNCTION("""COMPUTED_VALUE"""),"KIMME")</f>
        <v>KIMME</v>
      </c>
      <c r="J1576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76" s="470" t="str">
        <f>IFERROR(__xludf.DUMMYFUNCTION("""COMPUTED_VALUE"""),"KIMME")</f>
        <v>KIMME</v>
      </c>
      <c r="L1576" s="471" t="str">
        <f>IFERROR(__xludf.DUMMYFUNCTION("""COMPUTED_VALUE"""),"https://vt.tiktok.com/ZS9fARK72/")</f>
        <v>https://vt.tiktok.com/ZS9fARK72/</v>
      </c>
      <c r="M1576" s="470"/>
      <c r="N1576" s="471" t="str">
        <f>IFERROR(__xludf.DUMMYFUNCTION("""COMPUTED_VALUE"""),"https://vt.tiktok.com/ZS9fAeqYT/")</f>
        <v>https://vt.tiktok.com/ZS9fAeqYT/</v>
      </c>
      <c r="O1576" s="470"/>
      <c r="P1576" s="471" t="str">
        <f>IFERROR(__xludf.DUMMYFUNCTION("""COMPUTED_VALUE"""),"https://vt.tiktok.com/ZS9fSTq7R/")</f>
        <v>https://vt.tiktok.com/ZS9fSTq7R/</v>
      </c>
    </row>
    <row r="1577">
      <c r="A1577" s="282" t="str">
        <f>IFERROR(__xludf.DUMMYFUNCTION("""COMPUTED_VALUE"""),"MICRO")</f>
        <v>MICRO</v>
      </c>
      <c r="B1577" s="468" t="str">
        <f>IFERROR(__xludf.DUMMYFUNCTION("""COMPUTED_VALUE"""),"fitriandriyani559")</f>
        <v>fitriandriyani559</v>
      </c>
      <c r="C1577" s="283" t="str">
        <f>IFERROR(__xludf.DUMMYFUNCTION("""COMPUTED_VALUE"""),"https://www.tiktok.com/@fitriandriyani559")</f>
        <v>https://www.tiktok.com/@fitriandriyani559</v>
      </c>
      <c r="D1577" s="273">
        <f>IFERROR(__xludf.DUMMYFUNCTION("""COMPUTED_VALUE"""),8.129242404E10)</f>
        <v>81292424040</v>
      </c>
      <c r="E1577" s="458">
        <f>IFERROR(__xludf.DUMMYFUNCTION("""COMPUTED_VALUE"""),0.0)</f>
        <v>0</v>
      </c>
      <c r="F1577" s="273">
        <f>IFERROR(__xludf.DUMMYFUNCTION("""COMPUTED_VALUE"""),4.0)</f>
        <v>4</v>
      </c>
      <c r="G1577" t="str">
        <f>IFERROR(__xludf.DUMMYFUNCTION("""COMPUTED_VALUE"""),"Sabun batang 1 Box ( 2 PCS )")</f>
        <v>Sabun batang 1 Box ( 2 PCS )</v>
      </c>
      <c r="H1577" s="469" t="str">
        <f>IFERROR(__xludf.DUMMYFUNCTION("""COMPUTED_VALUE"""),"Sampai")</f>
        <v>Sampai</v>
      </c>
      <c r="I1577" s="470" t="str">
        <f>IFERROR(__xludf.DUMMYFUNCTION("""COMPUTED_VALUE"""),"KIMME")</f>
        <v>KIMME</v>
      </c>
      <c r="J1577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77" s="470" t="str">
        <f>IFERROR(__xludf.DUMMYFUNCTION("""COMPUTED_VALUE"""),"KIMME")</f>
        <v>KIMME</v>
      </c>
      <c r="L1577" s="471" t="str">
        <f>IFERROR(__xludf.DUMMYFUNCTION("""COMPUTED_VALUE"""),"https://vt.tiktok.com/ZS9fARK72/")</f>
        <v>https://vt.tiktok.com/ZS9fARK72/</v>
      </c>
      <c r="M1577" s="470"/>
      <c r="N1577" s="471" t="str">
        <f>IFERROR(__xludf.DUMMYFUNCTION("""COMPUTED_VALUE"""),"https://vt.tiktok.com/ZS9fAeqYT/")</f>
        <v>https://vt.tiktok.com/ZS9fAeqYT/</v>
      </c>
      <c r="O1577" s="470"/>
      <c r="P1577" s="471" t="str">
        <f>IFERROR(__xludf.DUMMYFUNCTION("""COMPUTED_VALUE"""),"https://vt.tiktok.com/ZS9fSTq7R/")</f>
        <v>https://vt.tiktok.com/ZS9fSTq7R/</v>
      </c>
    </row>
    <row r="1578">
      <c r="A1578" s="282" t="str">
        <f>IFERROR(__xludf.DUMMYFUNCTION("""COMPUTED_VALUE"""),"MICRO")</f>
        <v>MICRO</v>
      </c>
      <c r="B1578" s="468" t="str">
        <f>IFERROR(__xludf.DUMMYFUNCTION("""COMPUTED_VALUE"""),"indahazizahm")</f>
        <v>indahazizahm</v>
      </c>
      <c r="C1578" s="283" t="str">
        <f>IFERROR(__xludf.DUMMYFUNCTION("""COMPUTED_VALUE"""),"https://www.tiktok.com/@indahazizahm")</f>
        <v>https://www.tiktok.com/@indahazizahm</v>
      </c>
      <c r="D1578" s="273">
        <f>IFERROR(__xludf.DUMMYFUNCTION("""COMPUTED_VALUE"""),8.1546053062E10)</f>
        <v>81546053062</v>
      </c>
      <c r="E1578" s="458">
        <f>IFERROR(__xludf.DUMMYFUNCTION("""COMPUTED_VALUE"""),0.0)</f>
        <v>0</v>
      </c>
      <c r="F1578" s="273">
        <f>IFERROR(__xludf.DUMMYFUNCTION("""COMPUTED_VALUE"""),4.0)</f>
        <v>4</v>
      </c>
      <c r="G1578" t="str">
        <f>IFERROR(__xludf.DUMMYFUNCTION("""COMPUTED_VALUE"""),"Sabun batang 1 Box ( 2 PCS )")</f>
        <v>Sabun batang 1 Box ( 2 PCS )</v>
      </c>
      <c r="H1578" s="469" t="str">
        <f>IFERROR(__xludf.DUMMYFUNCTION("""COMPUTED_VALUE"""),"Sampai")</f>
        <v>Sampai</v>
      </c>
      <c r="I1578" s="470" t="str">
        <f>IFERROR(__xludf.DUMMYFUNCTION("""COMPUTED_VALUE"""),"KIMME")</f>
        <v>KIMME</v>
      </c>
      <c r="J1578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78" s="470" t="str">
        <f>IFERROR(__xludf.DUMMYFUNCTION("""COMPUTED_VALUE"""),"KIMME")</f>
        <v>KIMME</v>
      </c>
      <c r="L1578" s="471" t="str">
        <f>IFERROR(__xludf.DUMMYFUNCTION("""COMPUTED_VALUE"""),"https://vt.tiktok.com/ZS9fARK72/")</f>
        <v>https://vt.tiktok.com/ZS9fARK72/</v>
      </c>
      <c r="M1578" s="470"/>
      <c r="N1578" s="471" t="str">
        <f>IFERROR(__xludf.DUMMYFUNCTION("""COMPUTED_VALUE"""),"https://vt.tiktok.com/ZS9fAeqYT/")</f>
        <v>https://vt.tiktok.com/ZS9fAeqYT/</v>
      </c>
      <c r="O1578" s="470"/>
      <c r="P1578" s="471" t="str">
        <f>IFERROR(__xludf.DUMMYFUNCTION("""COMPUTED_VALUE"""),"https://vt.tiktok.com/ZS9fSTq7R/")</f>
        <v>https://vt.tiktok.com/ZS9fSTq7R/</v>
      </c>
    </row>
    <row r="1579">
      <c r="A1579" s="282" t="str">
        <f>IFERROR(__xludf.DUMMYFUNCTION("""COMPUTED_VALUE"""),"MICRO")</f>
        <v>MICRO</v>
      </c>
      <c r="B1579" s="468" t="str">
        <f>IFERROR(__xludf.DUMMYFUNCTION("""COMPUTED_VALUE"""),"triastore27")</f>
        <v>triastore27</v>
      </c>
      <c r="C1579" s="283" t="str">
        <f>IFERROR(__xludf.DUMMYFUNCTION("""COMPUTED_VALUE"""),"https://www.tiktok.com/@triastore27")</f>
        <v>https://www.tiktok.com/@triastore27</v>
      </c>
      <c r="D1579" s="273">
        <f>IFERROR(__xludf.DUMMYFUNCTION("""COMPUTED_VALUE"""),8.1384710127E10)</f>
        <v>81384710127</v>
      </c>
      <c r="E1579" s="458">
        <f>IFERROR(__xludf.DUMMYFUNCTION("""COMPUTED_VALUE"""),0.0)</f>
        <v>0</v>
      </c>
      <c r="F1579" s="273">
        <f>IFERROR(__xludf.DUMMYFUNCTION("""COMPUTED_VALUE"""),2.0)</f>
        <v>2</v>
      </c>
      <c r="G1579" t="str">
        <f>IFERROR(__xludf.DUMMYFUNCTION("""COMPUTED_VALUE"""),"Sabun batang 1 Box ( 2 PCS )")</f>
        <v>Sabun batang 1 Box ( 2 PCS )</v>
      </c>
      <c r="H1579" s="469" t="str">
        <f>IFERROR(__xludf.DUMMYFUNCTION("""COMPUTED_VALUE"""),"Sampai")</f>
        <v>Sampai</v>
      </c>
      <c r="I1579" s="470" t="str">
        <f>IFERROR(__xludf.DUMMYFUNCTION("""COMPUTED_VALUE"""),"KIMME")</f>
        <v>KIMME</v>
      </c>
      <c r="J1579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79" s="470" t="str">
        <f>IFERROR(__xludf.DUMMYFUNCTION("""COMPUTED_VALUE"""),"KIMME")</f>
        <v>KIMME</v>
      </c>
      <c r="L1579" s="471" t="str">
        <f>IFERROR(__xludf.DUMMYFUNCTION("""COMPUTED_VALUE"""),"https://vt.tiktok.com/ZS9fARK72/")</f>
        <v>https://vt.tiktok.com/ZS9fARK72/</v>
      </c>
      <c r="M1579" s="470"/>
      <c r="N1579" s="471" t="str">
        <f>IFERROR(__xludf.DUMMYFUNCTION("""COMPUTED_VALUE"""),"https://vt.tiktok.com/ZS9fAeqYT/")</f>
        <v>https://vt.tiktok.com/ZS9fAeqYT/</v>
      </c>
      <c r="O1579" s="470"/>
      <c r="P1579" s="471" t="str">
        <f>IFERROR(__xludf.DUMMYFUNCTION("""COMPUTED_VALUE"""),"https://vt.tiktok.com/ZS9fSTq7R/")</f>
        <v>https://vt.tiktok.com/ZS9fSTq7R/</v>
      </c>
    </row>
    <row r="1580">
      <c r="A1580" s="282" t="str">
        <f>IFERROR(__xludf.DUMMYFUNCTION("""COMPUTED_VALUE"""),"MICRO")</f>
        <v>MICRO</v>
      </c>
      <c r="B1580" s="468" t="str">
        <f>IFERROR(__xludf.DUMMYFUNCTION("""COMPUTED_VALUE"""),"cinunk09
")</f>
        <v>cinunk09
</v>
      </c>
      <c r="C1580" s="283" t="str">
        <f>IFERROR(__xludf.DUMMYFUNCTION("""COMPUTED_VALUE"""),"https://www.tiktok.com/@cinunk09
")</f>
        <v>https://www.tiktok.com/@cinunk09
</v>
      </c>
      <c r="D1580" s="273">
        <f>IFERROR(__xludf.DUMMYFUNCTION("""COMPUTED_VALUE"""),8.3850204358E10)</f>
        <v>83850204358</v>
      </c>
      <c r="E1580" s="458">
        <f>IFERROR(__xludf.DUMMYFUNCTION("""COMPUTED_VALUE"""),0.0)</f>
        <v>0</v>
      </c>
      <c r="F1580" s="273">
        <f>IFERROR(__xludf.DUMMYFUNCTION("""COMPUTED_VALUE"""),4.0)</f>
        <v>4</v>
      </c>
      <c r="G1580" t="str">
        <f>IFERROR(__xludf.DUMMYFUNCTION("""COMPUTED_VALUE"""),"Sabun batang 1 Box ( 2 PCS )")</f>
        <v>Sabun batang 1 Box ( 2 PCS )</v>
      </c>
      <c r="H1580" s="469" t="str">
        <f>IFERROR(__xludf.DUMMYFUNCTION("""COMPUTED_VALUE"""),"Sampai")</f>
        <v>Sampai</v>
      </c>
      <c r="I1580" s="470" t="str">
        <f>IFERROR(__xludf.DUMMYFUNCTION("""COMPUTED_VALUE"""),"KIMME")</f>
        <v>KIMME</v>
      </c>
      <c r="J1580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80" s="470" t="str">
        <f>IFERROR(__xludf.DUMMYFUNCTION("""COMPUTED_VALUE"""),"KIMME")</f>
        <v>KIMME</v>
      </c>
      <c r="L1580" s="471" t="str">
        <f>IFERROR(__xludf.DUMMYFUNCTION("""COMPUTED_VALUE"""),"https://vt.tiktok.com/ZS9fARK72/")</f>
        <v>https://vt.tiktok.com/ZS9fARK72/</v>
      </c>
      <c r="M1580" s="470"/>
      <c r="N1580" s="471" t="str">
        <f>IFERROR(__xludf.DUMMYFUNCTION("""COMPUTED_VALUE"""),"https://vt.tiktok.com/ZS9fAeqYT/")</f>
        <v>https://vt.tiktok.com/ZS9fAeqYT/</v>
      </c>
      <c r="O1580" s="470"/>
      <c r="P1580" s="471" t="str">
        <f>IFERROR(__xludf.DUMMYFUNCTION("""COMPUTED_VALUE"""),"https://vt.tiktok.com/ZS9fSTq7R/")</f>
        <v>https://vt.tiktok.com/ZS9fSTq7R/</v>
      </c>
    </row>
    <row r="1581">
      <c r="A1581" s="282" t="str">
        <f>IFERROR(__xludf.DUMMYFUNCTION("""COMPUTED_VALUE"""),"MACRO")</f>
        <v>MACRO</v>
      </c>
      <c r="B1581" s="468" t="str">
        <f>IFERROR(__xludf.DUMMYFUNCTION("""COMPUTED_VALUE"""),"h0lavn")</f>
        <v>h0lavn</v>
      </c>
      <c r="C1581" s="283" t="str">
        <f>IFERROR(__xludf.DUMMYFUNCTION("""COMPUTED_VALUE"""),"https://www.tiktok.com/@h0lavn")</f>
        <v>https://www.tiktok.com/@h0lavn</v>
      </c>
      <c r="D1581" s="273">
        <f>IFERROR(__xludf.DUMMYFUNCTION("""COMPUTED_VALUE"""),8.517538291E10)</f>
        <v>85175382910</v>
      </c>
      <c r="E1581" s="458">
        <f>IFERROR(__xludf.DUMMYFUNCTION("""COMPUTED_VALUE"""),0.0)</f>
        <v>0</v>
      </c>
      <c r="F1581" s="273">
        <f>IFERROR(__xludf.DUMMYFUNCTION("""COMPUTED_VALUE"""),4.0)</f>
        <v>4</v>
      </c>
      <c r="G1581" t="str">
        <f>IFERROR(__xludf.DUMMYFUNCTION("""COMPUTED_VALUE"""),"Sabun batang 1 Box ( 2 PCS )")</f>
        <v>Sabun batang 1 Box ( 2 PCS )</v>
      </c>
      <c r="H1581" s="469" t="str">
        <f>IFERROR(__xludf.DUMMYFUNCTION("""COMPUTED_VALUE"""),"Sampai")</f>
        <v>Sampai</v>
      </c>
      <c r="I1581" s="470" t="str">
        <f>IFERROR(__xludf.DUMMYFUNCTION("""COMPUTED_VALUE"""),"KIMME")</f>
        <v>KIMME</v>
      </c>
      <c r="J1581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81" s="470" t="str">
        <f>IFERROR(__xludf.DUMMYFUNCTION("""COMPUTED_VALUE"""),"KIMME")</f>
        <v>KIMME</v>
      </c>
      <c r="L1581" s="471" t="str">
        <f>IFERROR(__xludf.DUMMYFUNCTION("""COMPUTED_VALUE"""),"https://vt.tiktok.com/ZS9fARK72/")</f>
        <v>https://vt.tiktok.com/ZS9fARK72/</v>
      </c>
      <c r="M1581" s="470"/>
      <c r="N1581" s="471" t="str">
        <f>IFERROR(__xludf.DUMMYFUNCTION("""COMPUTED_VALUE"""),"https://vt.tiktok.com/ZS9fAeqYT/")</f>
        <v>https://vt.tiktok.com/ZS9fAeqYT/</v>
      </c>
      <c r="O1581" s="470"/>
      <c r="P1581" s="471" t="str">
        <f>IFERROR(__xludf.DUMMYFUNCTION("""COMPUTED_VALUE"""),"https://vt.tiktok.com/ZS9fSTq7R/")</f>
        <v>https://vt.tiktok.com/ZS9fSTq7R/</v>
      </c>
    </row>
    <row r="1582">
      <c r="A1582" s="282" t="str">
        <f>IFERROR(__xludf.DUMMYFUNCTION("""COMPUTED_VALUE"""),"MICRO")</f>
        <v>MICRO</v>
      </c>
      <c r="B1582" s="468" t="str">
        <f>IFERROR(__xludf.DUMMYFUNCTION("""COMPUTED_VALUE"""),"hairgrow.up")</f>
        <v>hairgrow.up</v>
      </c>
      <c r="C1582" s="283" t="str">
        <f>IFERROR(__xludf.DUMMYFUNCTION("""COMPUTED_VALUE"""),"https://www.tiktok.com/@hairgrow.up")</f>
        <v>https://www.tiktok.com/@hairgrow.up</v>
      </c>
      <c r="D1582" s="273"/>
      <c r="E1582" s="458">
        <f>IFERROR(__xludf.DUMMYFUNCTION("""COMPUTED_VALUE"""),0.0)</f>
        <v>0</v>
      </c>
      <c r="F1582" s="273">
        <f>IFERROR(__xludf.DUMMYFUNCTION("""COMPUTED_VALUE"""),1.0)</f>
        <v>1</v>
      </c>
      <c r="G1582" t="str">
        <f>IFERROR(__xludf.DUMMYFUNCTION("""COMPUTED_VALUE"""),"Sabun batang 1 Box ( 2 PCS )")</f>
        <v>Sabun batang 1 Box ( 2 PCS )</v>
      </c>
      <c r="H1582" s="469" t="str">
        <f>IFERROR(__xludf.DUMMYFUNCTION("""COMPUTED_VALUE"""),"Sampai")</f>
        <v>Sampai</v>
      </c>
      <c r="I1582" s="470" t="str">
        <f>IFERROR(__xludf.DUMMYFUNCTION("""COMPUTED_VALUE"""),"KIMME")</f>
        <v>KIMME</v>
      </c>
      <c r="J1582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82" s="470" t="str">
        <f>IFERROR(__xludf.DUMMYFUNCTION("""COMPUTED_VALUE"""),"KIMME")</f>
        <v>KIMME</v>
      </c>
      <c r="L1582" s="471" t="str">
        <f>IFERROR(__xludf.DUMMYFUNCTION("""COMPUTED_VALUE"""),"https://vt.tiktok.com/ZS9fARK72/")</f>
        <v>https://vt.tiktok.com/ZS9fARK72/</v>
      </c>
      <c r="M1582" s="470"/>
      <c r="N1582" s="471" t="str">
        <f>IFERROR(__xludf.DUMMYFUNCTION("""COMPUTED_VALUE"""),"https://vt.tiktok.com/ZS9fAeqYT/")</f>
        <v>https://vt.tiktok.com/ZS9fAeqYT/</v>
      </c>
      <c r="O1582" s="470"/>
      <c r="P1582" s="471" t="str">
        <f>IFERROR(__xludf.DUMMYFUNCTION("""COMPUTED_VALUE"""),"https://vt.tiktok.com/ZS9fSTq7R/")</f>
        <v>https://vt.tiktok.com/ZS9fSTq7R/</v>
      </c>
    </row>
    <row r="1583">
      <c r="A1583" s="282" t="str">
        <f>IFERROR(__xludf.DUMMYFUNCTION("""COMPUTED_VALUE"""),"MICRO")</f>
        <v>MICRO</v>
      </c>
      <c r="B1583" s="468" t="str">
        <f>IFERROR(__xludf.DUMMYFUNCTION("""COMPUTED_VALUE"""),"dewiisapitrii_")</f>
        <v>dewiisapitrii_</v>
      </c>
      <c r="C1583" s="283" t="str">
        <f>IFERROR(__xludf.DUMMYFUNCTION("""COMPUTED_VALUE"""),"https://www.tiktok.com/@dewiisapitrii_")</f>
        <v>https://www.tiktok.com/@dewiisapitrii_</v>
      </c>
      <c r="D1583" s="273"/>
      <c r="E1583" s="458">
        <f>IFERROR(__xludf.DUMMYFUNCTION("""COMPUTED_VALUE"""),0.0)</f>
        <v>0</v>
      </c>
      <c r="F1583" s="273">
        <f>IFERROR(__xludf.DUMMYFUNCTION("""COMPUTED_VALUE"""),1.0)</f>
        <v>1</v>
      </c>
      <c r="G1583" t="str">
        <f>IFERROR(__xludf.DUMMYFUNCTION("""COMPUTED_VALUE"""),"Sabun batang 1 Box ( 2 PCS )")</f>
        <v>Sabun batang 1 Box ( 2 PCS )</v>
      </c>
      <c r="H1583" s="469" t="str">
        <f>IFERROR(__xludf.DUMMYFUNCTION("""COMPUTED_VALUE"""),"Sampai")</f>
        <v>Sampai</v>
      </c>
      <c r="I1583" s="470" t="str">
        <f>IFERROR(__xludf.DUMMYFUNCTION("""COMPUTED_VALUE"""),"KIMME")</f>
        <v>KIMME</v>
      </c>
      <c r="J1583" s="471" t="str">
        <f>IFERROR(__xludf.DUMMYFUNCTION("""COMPUTED_VALUE"""),"https://www.tiktok.com/@dewiisapitrii_/video/7626215161455594760?_r=1&amp;u_code=dg6305dj44k6hd&amp;region=&amp;mid=7533505717987805200&amp;preview_pb=0&amp;sharer_language=&amp;_d=0&amp;ec_shared_reflux_dynamic_params=%7B%22placeholder_material_id%22%3A%227626215161455594760%22%2C%"&amp;"22placeholder_origin_cover%22%3A%22https%253A%252F%252Fp16-common-sign.tiktokcdn.com%252Ftos-alisg-p-0037%252Fog1DONTeChj7IRHIL4AuXQQGrA14qZsCgleeKF~tplv-tiktokx-origin.jpeg%253Fdr%253D14572%2526refresh_token%253D6ce1537f%2526x-expires%253D1808204400%2526"&amp;"x-signature%253DrYxJ5BNvhhTtOrqF3GgJV%25252FjlW6I%25253D%2526t%253D4d5b0474%2526ps%253D13740610%2526shp%253Dd05b14bd%2526shcp%253D34ff8df6%2526idc%253Dmy3%2526s%253DTIKTOK_AFFILIATE_VIRAL_VIDEO%22%2C%22placeholder_product_id%22%3A%221729427766722726591%22"&amp;"%2C%22placeholder_video_id%22%3A%227626215161455594760%22%7D&amp;ec_shared_reflux_scene=shop_tab_feed&amp;share_item_id=7626215161455594760&amp;source=h5_t")</f>
        <v>https://www.tiktok.com/@dewiisapitrii_/video/7626215161455594760?_r=1&amp;u_code=dg6305dj44k6hd&amp;region=&amp;mid=7533505717987805200&amp;preview_pb=0&amp;sharer_language=&amp;_d=0&amp;ec_shared_reflux_dynamic_params=%7B%22placeholder_material_id%22%3A%227626215161455594760%22%2C%22placeholder_origin_cover%22%3A%22https%253A%252F%252Fp16-common-sign.tiktokcdn.com%252Ftos-alisg-p-0037%252Fog1DONTeChj7IRHIL4AuXQQGrA14qZsCgleeKF~tplv-tiktokx-origin.jpeg%253Fdr%253D14572%2526refresh_token%253D6ce1537f%2526x-expires%253D1808204400%2526x-signature%253DrYxJ5BNvhhTtOrqF3GgJV%25252FjlW6I%25253D%2526t%253D4d5b0474%2526ps%253D13740610%2526shp%253Dd05b14bd%2526shcp%253D34ff8df6%2526idc%253Dmy3%2526s%253DTIKTOK_AFFILIATE_VIRAL_VIDEO%22%2C%22placeholder_product_id%22%3A%221729427766722726591%22%2C%22placeholder_video_id%22%3A%227626215161455594760%22%7D&amp;ec_shared_reflux_scene=shop_tab_feed&amp;share_item_id=7626215161455594760&amp;source=h5_t</v>
      </c>
      <c r="K1583" s="470" t="str">
        <f>IFERROR(__xludf.DUMMYFUNCTION("""COMPUTED_VALUE"""),"KIMME")</f>
        <v>KIMME</v>
      </c>
      <c r="L1583" t="str">
        <f>IFERROR(__xludf.DUMMYFUNCTION("""COMPUTED_VALUE"""),"⁠https://vt.tiktok.com/ZSxpYGjVA/")</f>
        <v>⁠https://vt.tiktok.com/ZSxpYGjVA/</v>
      </c>
      <c r="M1583" s="470"/>
      <c r="N1583" s="471" t="str">
        <f>IFERROR(__xludf.DUMMYFUNCTION("""COMPUTED_VALUE"""),"https://vt.tiktok.com/ZSxpYyGa9/")</f>
        <v>https://vt.tiktok.com/ZSxpYyGa9/</v>
      </c>
      <c r="O1583" s="470"/>
      <c r="P1583" s="471" t="str">
        <f>IFERROR(__xludf.DUMMYFUNCTION("""COMPUTED_VALUE"""),"https://vt.tiktok.com/ZSxpYg4Tb/")</f>
        <v>https://vt.tiktok.com/ZSxpYg4Tb/</v>
      </c>
    </row>
    <row r="1584">
      <c r="A1584" s="282" t="str">
        <f>IFERROR(__xludf.DUMMYFUNCTION("""COMPUTED_VALUE"""),"MACRO")</f>
        <v>MACRO</v>
      </c>
      <c r="B1584" s="468" t="str">
        <f>IFERROR(__xludf.DUMMYFUNCTION("""COMPUTED_VALUE"""),"anguni.wulandari")</f>
        <v>anguni.wulandari</v>
      </c>
      <c r="C1584" s="283" t="str">
        <f>IFERROR(__xludf.DUMMYFUNCTION("""COMPUTED_VALUE"""),"https://www.tiktok.com/@anguni.wulandari")</f>
        <v>https://www.tiktok.com/@anguni.wulandari</v>
      </c>
      <c r="D1584" s="273"/>
      <c r="E1584" s="458">
        <f>IFERROR(__xludf.DUMMYFUNCTION("""COMPUTED_VALUE"""),0.0)</f>
        <v>0</v>
      </c>
      <c r="F1584" s="273">
        <f>IFERROR(__xludf.DUMMYFUNCTION("""COMPUTED_VALUE"""),1.0)</f>
        <v>1</v>
      </c>
      <c r="G1584" t="str">
        <f>IFERROR(__xludf.DUMMYFUNCTION("""COMPUTED_VALUE"""),"Sabun batang 1 Box ( 2 PCS )")</f>
        <v>Sabun batang 1 Box ( 2 PCS )</v>
      </c>
      <c r="H1584" s="469" t="str">
        <f>IFERROR(__xludf.DUMMYFUNCTION("""COMPUTED_VALUE"""),"Sampai")</f>
        <v>Sampai</v>
      </c>
      <c r="I1584" s="470" t="str">
        <f>IFERROR(__xludf.DUMMYFUNCTION("""COMPUTED_VALUE"""),"KIMME")</f>
        <v>KIMME</v>
      </c>
      <c r="J1584" s="471" t="str">
        <f>IFERROR(__xludf.DUMMYFUNCTION("""COMPUTED_VALUE"""),"https://www.tiktok.com/@anguni.wulandari/video/7626221019090390279?_r=1&amp;u_code=dhaa4e1i8g976b&amp;region=&amp;mid=6692683186809359108&amp;preview_pb=0&amp;sharer_language=&amp;_d=0&amp;ec_shared_reflux_dynamic_params=%7B%22placeholder_material_id%22%3A%227626221019090390279%22%2"&amp;"C%22placeholder_origin_cover%22%3A%22https%253A%252F%252Fp16-sign-sg.tiktokcdn.com%252Ftos-alisg-p-0037%252Fo89dIUUW1DA6x6URucFoBRpBzEDgoBF1IffGVE~tplv-tiktokx-origin.jpeg%253Fdr%253D14572%2526refresh_token%253D938a7597%2526x-expires%253D1808208000%2526x-"&amp;"signature%253DGf%25252BtPmUdOf0t3g67eDcG81BbFgc%25253D%2526t%253D4d5b0474%2526ps%253D13740610%2526shp%253Dd05b14bd%2526shcp%253D34ff8df6%2526idc%253Dmy3%2526s%253DTIKTOK_AFFILIATE_VIRAL_VIDEO%22%2C%22placeholder_product_id%22%3A%221729427766722726591%22%2"&amp;"C%22placeholder_video_id%22%3A%227626221019090390279%22%7D&amp;ec_shared_reflux_scene=shop_tab_feed&amp;share_item_id=7626221019090390279&amp;source=h5_t")</f>
        <v>https://www.tiktok.com/@anguni.wulandari/video/7626221019090390279?_r=1&amp;u_code=dhaa4e1i8g976b&amp;region=&amp;mid=6692683186809359108&amp;preview_pb=0&amp;sharer_language=&amp;_d=0&amp;ec_shared_reflux_dynamic_params=%7B%22placeholder_material_id%22%3A%227626221019090390279%22%2C%22placeholder_origin_cover%22%3A%22https%253A%252F%252Fp16-sign-sg.tiktokcdn.com%252Ftos-alisg-p-0037%252Fo89dIUUW1DA6x6URucFoBRpBzEDgoBF1IffGVE~tplv-tiktokx-origin.jpeg%253Fdr%253D14572%2526refresh_token%253D938a7597%2526x-expires%253D1808208000%2526x-signature%253DGf%25252BtPmUdOf0t3g67eDcG81BbFgc%25253D%2526t%253D4d5b0474%2526ps%253D13740610%2526shp%253Dd05b14bd%2526shcp%253D34ff8df6%2526idc%253Dmy3%2526s%253DTIKTOK_AFFILIATE_VIRAL_VIDEO%22%2C%22placeholder_product_id%22%3A%221729427766722726591%22%2C%22placeholder_video_id%22%3A%227626221019090390279%22%7D&amp;ec_shared_reflux_scene=shop_tab_feed&amp;share_item_id=7626221019090390279&amp;source=h5_t</v>
      </c>
      <c r="K1584" s="470" t="str">
        <f>IFERROR(__xludf.DUMMYFUNCTION("""COMPUTED_VALUE"""),"KIMME")</f>
        <v>KIMME</v>
      </c>
      <c r="M1584" s="470"/>
      <c r="O1584" s="470"/>
    </row>
    <row r="1585">
      <c r="A1585" s="282" t="str">
        <f>IFERROR(__xludf.DUMMYFUNCTION("""COMPUTED_VALUE"""),"MICRO")</f>
        <v>MICRO</v>
      </c>
      <c r="B1585" s="468" t="str">
        <f>IFERROR(__xludf.DUMMYFUNCTION("""COMPUTED_VALUE"""),"itsmeavinvin")</f>
        <v>itsmeavinvin</v>
      </c>
      <c r="C1585" s="283" t="str">
        <f>IFERROR(__xludf.DUMMYFUNCTION("""COMPUTED_VALUE"""),"https://www.tiktok.com/@itsmeavinvin")</f>
        <v>https://www.tiktok.com/@itsmeavinvin</v>
      </c>
      <c r="D1585" s="273"/>
      <c r="E1585" s="458">
        <f>IFERROR(__xludf.DUMMYFUNCTION("""COMPUTED_VALUE"""),0.0)</f>
        <v>0</v>
      </c>
      <c r="F1585" s="273">
        <f>IFERROR(__xludf.DUMMYFUNCTION("""COMPUTED_VALUE"""),1.0)</f>
        <v>1</v>
      </c>
      <c r="G1585" t="str">
        <f>IFERROR(__xludf.DUMMYFUNCTION("""COMPUTED_VALUE"""),"Sabun batang 1 Box ( 2 PCS )")</f>
        <v>Sabun batang 1 Box ( 2 PCS )</v>
      </c>
      <c r="H1585" s="469" t="str">
        <f>IFERROR(__xludf.DUMMYFUNCTION("""COMPUTED_VALUE"""),"Sampai")</f>
        <v>Sampai</v>
      </c>
      <c r="I1585" s="470" t="str">
        <f>IFERROR(__xludf.DUMMYFUNCTION("""COMPUTED_VALUE"""),"KIMME")</f>
        <v>KIMME</v>
      </c>
      <c r="J1585" s="471" t="str">
        <f>IFERROR(__xludf.DUMMYFUNCTION("""COMPUTED_VALUE"""),"https://www.tiktok.com/@itsmeavinvin/video/7627086684038974740?_r=1&amp;u_code=d3hac44m7ha2fl&amp;region=&amp;mid=7627086728456588040&amp;preview_pb=0&amp;sharer_language=&amp;_d=0&amp;ec_shared_reflux_dynamic_params=%7B%22placeholder_material_id%22%3A%227627086684038974740%22%2C%22"&amp;"placeholder_origin_cover%22%3A%22https%253A%252F%252Fp16-common-sign.tiktokcdn.com%252Ftos-alisg-p-0037%252FoAvQAIRBjTlQTA2eYgSsfbvCte6GICL1ojgD0N~tplv-tiktokx-origin.jpeg%253Fdr%253D14572%2526refresh_token%253Ddf1f0b30%2526x-expires%253D1808208000%2526x-"&amp;"signature%253DssukUNqraSvG3VNxCxw8LWtza8A%25253D%2526t%253D4d5b0474%2526ps%253D13740610%2526shp%253Dd05b14bd%2526shcp%253D34ff8df6%2526idc%253Dmy3%2526s%253DTIKTOK_AFFILIATE_VIRAL_VIDEO%22%2C%22placeholder_product_id%22%3A%221729427766722726591%22%2C%22pl"&amp;"aceholder_video_id%22%3A%227627086684038974740%22%7D&amp;ec_shared_reflux_scene=shop_tab_feed&amp;share_item_id=7627086684038974740&amp;source=h5_t")</f>
        <v>https://www.tiktok.com/@itsmeavinvin/video/7627086684038974740?_r=1&amp;u_code=d3hac44m7ha2fl&amp;region=&amp;mid=7627086728456588040&amp;preview_pb=0&amp;sharer_language=&amp;_d=0&amp;ec_shared_reflux_dynamic_params=%7B%22placeholder_material_id%22%3A%227627086684038974740%22%2C%22placeholder_origin_cover%22%3A%22https%253A%252F%252Fp16-common-sign.tiktokcdn.com%252Ftos-alisg-p-0037%252FoAvQAIRBjTlQTA2eYgSsfbvCte6GICL1ojgD0N~tplv-tiktokx-origin.jpeg%253Fdr%253D14572%2526refresh_token%253Ddf1f0b30%2526x-expires%253D1808208000%2526x-signature%253DssukUNqraSvG3VNxCxw8LWtza8A%25253D%2526t%253D4d5b0474%2526ps%253D13740610%2526shp%253Dd05b14bd%2526shcp%253D34ff8df6%2526idc%253Dmy3%2526s%253DTIKTOK_AFFILIATE_VIRAL_VIDEO%22%2C%22placeholder_product_id%22%3A%221729427766722726591%22%2C%22placeholder_video_id%22%3A%227627086684038974740%22%7D&amp;ec_shared_reflux_scene=shop_tab_feed&amp;share_item_id=7627086684038974740&amp;source=h5_t</v>
      </c>
      <c r="K1585" s="470" t="str">
        <f>IFERROR(__xludf.DUMMYFUNCTION("""COMPUTED_VALUE"""),"KIMME")</f>
        <v>KIMME</v>
      </c>
      <c r="L1585" s="471" t="str">
        <f>IFERROR(__xludf.DUMMYFUNCTION("""COMPUTED_VALUE"""),"https://www.tiktok.com/@itsmeavinvin/video/7634020526695943445?_r=1&amp;u_code=d3hac44m7ha2fl&amp;region=&amp;mid=7634020559583529735&amp;preview_pb=0&amp;sharer_language=&amp;_d=0&amp;ec_shared_reflux_dynamic_params=%7B%22placeholder_material_id%22%3A%227634020526695943445%22%2C%22"&amp;"placeholder_origin_cover%22%3A%22https%253A%252F%252Fp16-common-sign.tiktokcdn.com%252Ftos-alisg-p-0037%252Fo0HQUQfEgAphBs49RFfWXpDBJD8YYEEHU1XqCi~tplv-tiktokx-origin.jpeg%253Fdr%253D14572%2526refresh_token%253Dd5ea17e8%2526x-expires%253D1809511200%2526x-"&amp;"signature%253DL%25252BB4ZmpUjTtNKaDnPYimN96gYGU%25253D%2526t%253D4d5b0474%2526ps%253D13740610%2526shp%253Dd05b14bd%2526shcp%253D34ff8df6%2526idc%253Dmy%2526s%253DTIKTOK_AFFILIATE_VIRAL_VIDEO%22%2C%22placeholder_product_id%22%3A%221729427766722726591%22%2C"&amp;"%22placeholder_video_id%22%3A%227634020526695943445%22%7D&amp;ec_shared_reflux_scene=shop_tab_feed&amp;share_item_id=7634020526695943445&amp;source=h5_t")</f>
        <v>https://www.tiktok.com/@itsmeavinvin/video/7634020526695943445?_r=1&amp;u_code=d3hac44m7ha2fl&amp;region=&amp;mid=7634020559583529735&amp;preview_pb=0&amp;sharer_language=&amp;_d=0&amp;ec_shared_reflux_dynamic_params=%7B%22placeholder_material_id%22%3A%227634020526695943445%22%2C%22placeholder_origin_cover%22%3A%22https%253A%252F%252Fp16-common-sign.tiktokcdn.com%252Ftos-alisg-p-0037%252Fo0HQUQfEgAphBs49RFfWXpDBJD8YYEEHU1XqCi~tplv-tiktokx-origin.jpeg%253Fdr%253D14572%2526refresh_token%253Dd5ea17e8%2526x-expires%253D1809511200%2526x-signature%253DL%25252BB4ZmpUjTtNKaDnPYimN96gYGU%25253D%2526t%253D4d5b0474%2526ps%253D13740610%2526shp%253Dd05b14bd%2526shcp%253D34ff8df6%2526idc%253Dmy%2526s%253DTIKTOK_AFFILIATE_VIRAL_VIDEO%22%2C%22placeholder_product_id%22%3A%221729427766722726591%22%2C%22placeholder_video_id%22%3A%227634020526695943445%22%7D&amp;ec_shared_reflux_scene=shop_tab_feed&amp;share_item_id=7634020526695943445&amp;source=h5_t</v>
      </c>
      <c r="M1585" s="470"/>
      <c r="N1585" s="471" t="str">
        <f>IFERROR(__xludf.DUMMYFUNCTION("""COMPUTED_VALUE"""),"https://vt.tiktok.com/ZSxpYCbwy/")</f>
        <v>https://vt.tiktok.com/ZSxpYCbwy/</v>
      </c>
      <c r="O1585" s="470"/>
      <c r="P1585" t="str">
        <f>IFERROR(__xludf.DUMMYFUNCTION("""COMPUTED_VALUE"""),"⁠https://vt.tiktok.com/ZSxpYUmK9/")</f>
        <v>⁠https://vt.tiktok.com/ZSxpYUmK9/</v>
      </c>
    </row>
    <row r="1586">
      <c r="A1586" s="282" t="str">
        <f>IFERROR(__xludf.DUMMYFUNCTION("""COMPUTED_VALUE"""),"MICRO")</f>
        <v>MICRO</v>
      </c>
      <c r="B1586" s="468" t="str">
        <f>IFERROR(__xludf.DUMMYFUNCTION("""COMPUTED_VALUE"""),"masheddpootato")</f>
        <v>masheddpootato</v>
      </c>
      <c r="C1586" s="283" t="str">
        <f>IFERROR(__xludf.DUMMYFUNCTION("""COMPUTED_VALUE"""),"https://www.tiktok.com/@masheddpootato")</f>
        <v>https://www.tiktok.com/@masheddpootato</v>
      </c>
      <c r="D1586" s="273"/>
      <c r="E1586" s="458">
        <f>IFERROR(__xludf.DUMMYFUNCTION("""COMPUTED_VALUE"""),0.0)</f>
        <v>0</v>
      </c>
      <c r="F1586" s="273">
        <f>IFERROR(__xludf.DUMMYFUNCTION("""COMPUTED_VALUE"""),1.0)</f>
        <v>1</v>
      </c>
      <c r="G1586" t="str">
        <f>IFERROR(__xludf.DUMMYFUNCTION("""COMPUTED_VALUE"""),"Sabun batang 1 Box ( 2 PCS )")</f>
        <v>Sabun batang 1 Box ( 2 PCS )</v>
      </c>
      <c r="H1586" s="469" t="str">
        <f>IFERROR(__xludf.DUMMYFUNCTION("""COMPUTED_VALUE"""),"Sampai")</f>
        <v>Sampai</v>
      </c>
      <c r="I1586" s="470" t="str">
        <f>IFERROR(__xludf.DUMMYFUNCTION("""COMPUTED_VALUE"""),"KIMME")</f>
        <v>KIMME</v>
      </c>
      <c r="J1586" s="471" t="str">
        <f>IFERROR(__xludf.DUMMYFUNCTION("""COMPUTED_VALUE"""),"https://www.tiktok.com/@masheddpootato/video/7612712635775192341?_r=1&amp;u_code=emlkb18cm5c4bi&amp;region=&amp;mid=7505029365265876993&amp;preview_pb=0&amp;sharer_language=&amp;_d=0&amp;ec_shared_reflux_dynamic_params=%7B%22placeholder_material_id%22%3A%227612712635775192341%22%2C%"&amp;"22placeholder_origin_cover%22%3A%22https%253A%252F%252Fp16-common-sign.tiktokcdn.com%252Ftos-alisg-p-0037%252FoIWIdTxFABy0OuklHxiOwSIiIA40BhyfCKA0Fu~tplv-tiktokx-origin.jpeg%253Fdr%253D14572%2526refresh_token%253D46cce25e%2526x-expires%253D1808208000%2526"&amp;"x-signature%253DrTkpDorIHOzcnJWKU8t8qdejIcE%25253D%2526t%253D4d5b0474%2526ps%253D13740610%2526shp%253Dd05b14bd%2526shcp%253D34ff8df6%2526idc%253Dmy3%2526s%253DTIKTOK_AFFILIATE_VIRAL_VIDEO%22%2C%22placeholder_product_id%22%3A%221729427766722726591%22%2C%22"&amp;"placeholder_video_id%22%3A%227612712635775192341%22%7D&amp;ec_shared_reflux_scene=shop_tab_feed&amp;share_item_id=7612712635775192341&amp;source=h5_t")</f>
        <v>https://www.tiktok.com/@masheddpootato/video/7612712635775192341?_r=1&amp;u_code=emlkb18cm5c4bi&amp;region=&amp;mid=7505029365265876993&amp;preview_pb=0&amp;sharer_language=&amp;_d=0&amp;ec_shared_reflux_dynamic_params=%7B%22placeholder_material_id%22%3A%227612712635775192341%22%2C%22placeholder_origin_cover%22%3A%22https%253A%252F%252Fp16-common-sign.tiktokcdn.com%252Ftos-alisg-p-0037%252FoIWIdTxFABy0OuklHxiOwSIiIA40BhyfCKA0Fu~tplv-tiktokx-origin.jpeg%253Fdr%253D14572%2526refresh_token%253D46cce25e%2526x-expires%253D1808208000%2526x-signature%253DrTkpDorIHOzcnJWKU8t8qdejIcE%25253D%2526t%253D4d5b0474%2526ps%253D13740610%2526shp%253Dd05b14bd%2526shcp%253D34ff8df6%2526idc%253Dmy3%2526s%253DTIKTOK_AFFILIATE_VIRAL_VIDEO%22%2C%22placeholder_product_id%22%3A%221729427766722726591%22%2C%22placeholder_video_id%22%3A%227612712635775192341%22%7D&amp;ec_shared_reflux_scene=shop_tab_feed&amp;share_item_id=7612712635775192341&amp;source=h5_t</v>
      </c>
      <c r="K1586" s="470" t="str">
        <f>IFERROR(__xludf.DUMMYFUNCTION("""COMPUTED_VALUE"""),"KIMME")</f>
        <v>KIMME</v>
      </c>
      <c r="L1586" t="str">
        <f>IFERROR(__xludf.DUMMYFUNCTION("""COMPUTED_VALUE"""),"⁠https://vt.tiktok.com/ZSxpYC2cg/")</f>
        <v>⁠https://vt.tiktok.com/ZSxpYC2cg/</v>
      </c>
      <c r="M1586" s="470"/>
      <c r="N1586" t="str">
        <f>IFERROR(__xludf.DUMMYFUNCTION("""COMPUTED_VALUE"""),"⁠https://vt.tiktok.com/ZSxpYqhJd/")</f>
        <v>⁠https://vt.tiktok.com/ZSxpYqhJd/</v>
      </c>
      <c r="O1586" s="470"/>
      <c r="P1586" s="471" t="str">
        <f>IFERROR(__xludf.DUMMYFUNCTION("""COMPUTED_VALUE"""),"https://vt.tiktok.com/ZSxpYHa9E/")</f>
        <v>https://vt.tiktok.com/ZSxpYHa9E/</v>
      </c>
    </row>
    <row r="1587">
      <c r="A1587" s="282" t="str">
        <f>IFERROR(__xludf.DUMMYFUNCTION("""COMPUTED_VALUE"""),"MACRO")</f>
        <v>MACRO</v>
      </c>
      <c r="B1587" s="468" t="str">
        <f>IFERROR(__xludf.DUMMYFUNCTION("""COMPUTED_VALUE"""),"anisyah_makeup")</f>
        <v>anisyah_makeup</v>
      </c>
      <c r="C1587" s="283" t="str">
        <f>IFERROR(__xludf.DUMMYFUNCTION("""COMPUTED_VALUE"""),"https://www.tiktok.com/@anisyah_makeup")</f>
        <v>https://www.tiktok.com/@anisyah_makeup</v>
      </c>
      <c r="D1587" s="273">
        <f>IFERROR(__xludf.DUMMYFUNCTION("""COMPUTED_VALUE"""),8.3817230011E10)</f>
        <v>83817230011</v>
      </c>
      <c r="E1587" s="458">
        <f>IFERROR(__xludf.DUMMYFUNCTION("""COMPUTED_VALUE"""),0.0)</f>
        <v>0</v>
      </c>
      <c r="F1587" s="273">
        <f>IFERROR(__xludf.DUMMYFUNCTION("""COMPUTED_VALUE"""),4.0)</f>
        <v>4</v>
      </c>
      <c r="G1587" t="str">
        <f>IFERROR(__xludf.DUMMYFUNCTION("""COMPUTED_VALUE"""),"Sabun batang 1 Box ( 2 PCS )")</f>
        <v>Sabun batang 1 Box ( 2 PCS )</v>
      </c>
      <c r="H1587" s="469" t="str">
        <f>IFERROR(__xludf.DUMMYFUNCTION("""COMPUTED_VALUE"""),"Sampai")</f>
        <v>Sampai</v>
      </c>
      <c r="I1587" s="470" t="str">
        <f>IFERROR(__xludf.DUMMYFUNCTION("""COMPUTED_VALUE"""),"KIMME")</f>
        <v>KIMME</v>
      </c>
      <c r="J1587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87" s="470" t="str">
        <f>IFERROR(__xludf.DUMMYFUNCTION("""COMPUTED_VALUE"""),"KIMME")</f>
        <v>KIMME</v>
      </c>
      <c r="L1587" s="471" t="str">
        <f>IFERROR(__xludf.DUMMYFUNCTION("""COMPUTED_VALUE"""),"https://vt.tiktok.com/ZS9fARK72/")</f>
        <v>https://vt.tiktok.com/ZS9fARK72/</v>
      </c>
      <c r="M1587" s="470"/>
      <c r="N1587" s="471" t="str">
        <f>IFERROR(__xludf.DUMMYFUNCTION("""COMPUTED_VALUE"""),"https://vt.tiktok.com/ZS9fAeqYT/")</f>
        <v>https://vt.tiktok.com/ZS9fAeqYT/</v>
      </c>
      <c r="O1587" s="470"/>
      <c r="P1587" s="471" t="str">
        <f>IFERROR(__xludf.DUMMYFUNCTION("""COMPUTED_VALUE"""),"https://vt.tiktok.com/ZS9fSTq7R/")</f>
        <v>https://vt.tiktok.com/ZS9fSTq7R/</v>
      </c>
    </row>
    <row r="1588">
      <c r="A1588" s="282" t="str">
        <f>IFERROR(__xludf.DUMMYFUNCTION("""COMPUTED_VALUE"""),"MACRO")</f>
        <v>MACRO</v>
      </c>
      <c r="B1588" s="468" t="str">
        <f>IFERROR(__xludf.DUMMYFUNCTION("""COMPUTED_VALUE"""),"hanimsf")</f>
        <v>hanimsf</v>
      </c>
      <c r="C1588" s="283" t="str">
        <f>IFERROR(__xludf.DUMMYFUNCTION("""COMPUTED_VALUE"""),"https://www.tiktok.com/@hanimsf")</f>
        <v>https://www.tiktok.com/@hanimsf</v>
      </c>
      <c r="D1588" s="273">
        <f>IFERROR(__xludf.DUMMYFUNCTION("""COMPUTED_VALUE"""),8.81026838897E11)</f>
        <v>881026838897</v>
      </c>
      <c r="E1588" s="458">
        <f>IFERROR(__xludf.DUMMYFUNCTION("""COMPUTED_VALUE"""),0.0)</f>
        <v>0</v>
      </c>
      <c r="F1588" s="273">
        <f>IFERROR(__xludf.DUMMYFUNCTION("""COMPUTED_VALUE"""),4.0)</f>
        <v>4</v>
      </c>
      <c r="G1588" t="str">
        <f>IFERROR(__xludf.DUMMYFUNCTION("""COMPUTED_VALUE"""),"Sabun batang 1 Box ( 2 PCS )")</f>
        <v>Sabun batang 1 Box ( 2 PCS )</v>
      </c>
      <c r="H1588" s="469" t="str">
        <f>IFERROR(__xludf.DUMMYFUNCTION("""COMPUTED_VALUE"""),"Sampai")</f>
        <v>Sampai</v>
      </c>
      <c r="I1588" s="470" t="str">
        <f>IFERROR(__xludf.DUMMYFUNCTION("""COMPUTED_VALUE"""),"KIMME")</f>
        <v>KIMME</v>
      </c>
      <c r="J1588" s="471" t="str">
        <f>IFERROR(__xludf.DUMMYFUNCTION("""COMPUTED_VALUE"""),"https://www.tiktok.com/@dewiisapitrii_/video/7626215161455594760?_r=1&amp;u_code=dg6305dj44k6hd&amp;region=&amp;mid=7533505717987805200&amp;preview_pb=0&amp;sharer_language=&amp;_d=0&amp;ec_shared_reflux_dynamic_params=%7B%22placeholder_material_id%22%3A%227626215161455594760%22%2C%"&amp;"22placeholder_origin_cover%22%3A%22https%253A%252F%252Fp16-common-sign.tiktokcdn.com%252Ftos-alisg-p-0037%252Fog1DONTeChj7IRHIL4AuXQQGrA14qZsCgleeKF~tplv-tiktokx-origin.jpeg%253Fdr%253D14572%2526refresh_token%253D6ce1537f%2526x-expires%253D1808204400%2526"&amp;"x-signature%253DrYxJ5BNvhhTtOrqF3GgJV%25252FjlW6I%25253D%2526t%253D4d5b0474%2526ps%253D13740610%2526shp%253Dd05b14bd%2526shcp%253D34ff8df6%2526idc%253Dmy3%2526s%253DTIKTOK_AFFILIATE_VIRAL_VIDEO%22%2C%22placeholder_product_id%22%3A%221729427766722726591%22"&amp;"%2C%22placeholder_video_id%22%3A%227626215161455594760%22%7D&amp;ec_shared_reflux_scene=shop_tab_feed&amp;share_item_id=7626215161455594760&amp;source=h5_t")</f>
        <v>https://www.tiktok.com/@dewiisapitrii_/video/7626215161455594760?_r=1&amp;u_code=dg6305dj44k6hd&amp;region=&amp;mid=7533505717987805200&amp;preview_pb=0&amp;sharer_language=&amp;_d=0&amp;ec_shared_reflux_dynamic_params=%7B%22placeholder_material_id%22%3A%227626215161455594760%22%2C%22placeholder_origin_cover%22%3A%22https%253A%252F%252Fp16-common-sign.tiktokcdn.com%252Ftos-alisg-p-0037%252Fog1DONTeChj7IRHIL4AuXQQGrA14qZsCgleeKF~tplv-tiktokx-origin.jpeg%253Fdr%253D14572%2526refresh_token%253D6ce1537f%2526x-expires%253D1808204400%2526x-signature%253DrYxJ5BNvhhTtOrqF3GgJV%25252FjlW6I%25253D%2526t%253D4d5b0474%2526ps%253D13740610%2526shp%253Dd05b14bd%2526shcp%253D34ff8df6%2526idc%253Dmy3%2526s%253DTIKTOK_AFFILIATE_VIRAL_VIDEO%22%2C%22placeholder_product_id%22%3A%221729427766722726591%22%2C%22placeholder_video_id%22%3A%227626215161455594760%22%7D&amp;ec_shared_reflux_scene=shop_tab_feed&amp;share_item_id=7626215161455594760&amp;source=h5_t</v>
      </c>
      <c r="K1588" s="470" t="str">
        <f>IFERROR(__xludf.DUMMYFUNCTION("""COMPUTED_VALUE"""),"KIMME")</f>
        <v>KIMME</v>
      </c>
      <c r="M1588" s="470"/>
      <c r="O1588" s="470"/>
    </row>
    <row r="1589">
      <c r="A1589" s="282" t="str">
        <f>IFERROR(__xludf.DUMMYFUNCTION("""COMPUTED_VALUE"""),"MACRO")</f>
        <v>MACRO</v>
      </c>
      <c r="B1589" s="468" t="str">
        <f>IFERROR(__xludf.DUMMYFUNCTION("""COMPUTED_VALUE"""),"ayobeli12")</f>
        <v>ayobeli12</v>
      </c>
      <c r="C1589" s="283" t="str">
        <f>IFERROR(__xludf.DUMMYFUNCTION("""COMPUTED_VALUE"""),"https://www.tiktok.com/@ayobeli12")</f>
        <v>https://www.tiktok.com/@ayobeli12</v>
      </c>
      <c r="D1589" s="273">
        <f>IFERROR(__xludf.DUMMYFUNCTION("""COMPUTED_VALUE"""),8.583816996E10)</f>
        <v>85838169960</v>
      </c>
      <c r="E1589" s="458">
        <f>IFERROR(__xludf.DUMMYFUNCTION("""COMPUTED_VALUE"""),0.0)</f>
        <v>0</v>
      </c>
      <c r="F1589" s="273">
        <f>IFERROR(__xludf.DUMMYFUNCTION("""COMPUTED_VALUE"""),4.0)</f>
        <v>4</v>
      </c>
      <c r="G1589" t="str">
        <f>IFERROR(__xludf.DUMMYFUNCTION("""COMPUTED_VALUE"""),"Sabun batang 1 Box ( 2 PCS )")</f>
        <v>Sabun batang 1 Box ( 2 PCS )</v>
      </c>
      <c r="H1589" s="469" t="str">
        <f>IFERROR(__xludf.DUMMYFUNCTION("""COMPUTED_VALUE"""),"Sampai")</f>
        <v>Sampai</v>
      </c>
      <c r="I1589" s="470" t="str">
        <f>IFERROR(__xludf.DUMMYFUNCTION("""COMPUTED_VALUE"""),"KIMME")</f>
        <v>KIMME</v>
      </c>
      <c r="J1589" s="471" t="str">
        <f>IFERROR(__xludf.DUMMYFUNCTION("""COMPUTED_VALUE"""),"https://www.tiktok.com/@anguni.wulandari/video/7626221019090390279?_r=1&amp;u_code=dhaa4e1i8g976b&amp;region=&amp;mid=6692683186809359108&amp;preview_pb=0&amp;sharer_language=&amp;_d=0&amp;ec_shared_reflux_dynamic_params=%7B%22placeholder_material_id%22%3A%227626221019090390279%22%2"&amp;"C%22placeholder_origin_cover%22%3A%22https%253A%252F%252Fp16-sign-sg.tiktokcdn.com%252Ftos-alisg-p-0037%252Fo89dIUUW1DA6x6URucFoBRpBzEDgoBF1IffGVE~tplv-tiktokx-origin.jpeg%253Fdr%253D14572%2526refresh_token%253D938a7597%2526x-expires%253D1808208000%2526x-"&amp;"signature%253DGf%25252BtPmUdOf0t3g67eDcG81BbFgc%25253D%2526t%253D4d5b0474%2526ps%253D13740610%2526shp%253Dd05b14bd%2526shcp%253D34ff8df6%2526idc%253Dmy3%2526s%253DTIKTOK_AFFILIATE_VIRAL_VIDEO%22%2C%22placeholder_product_id%22%3A%221729427766722726591%22%2"&amp;"C%22placeholder_video_id%22%3A%227626221019090390279%22%7D&amp;ec_shared_reflux_scene=shop_tab_feed&amp;share_item_id=7626221019090390279&amp;source=h5_t")</f>
        <v>https://www.tiktok.com/@anguni.wulandari/video/7626221019090390279?_r=1&amp;u_code=dhaa4e1i8g976b&amp;region=&amp;mid=6692683186809359108&amp;preview_pb=0&amp;sharer_language=&amp;_d=0&amp;ec_shared_reflux_dynamic_params=%7B%22placeholder_material_id%22%3A%227626221019090390279%22%2C%22placeholder_origin_cover%22%3A%22https%253A%252F%252Fp16-sign-sg.tiktokcdn.com%252Ftos-alisg-p-0037%252Fo89dIUUW1DA6x6URucFoBRpBzEDgoBF1IffGVE~tplv-tiktokx-origin.jpeg%253Fdr%253D14572%2526refresh_token%253D938a7597%2526x-expires%253D1808208000%2526x-signature%253DGf%25252BtPmUdOf0t3g67eDcG81BbFgc%25253D%2526t%253D4d5b0474%2526ps%253D13740610%2526shp%253Dd05b14bd%2526shcp%253D34ff8df6%2526idc%253Dmy3%2526s%253DTIKTOK_AFFILIATE_VIRAL_VIDEO%22%2C%22placeholder_product_id%22%3A%221729427766722726591%22%2C%22placeholder_video_id%22%3A%227626221019090390279%22%7D&amp;ec_shared_reflux_scene=shop_tab_feed&amp;share_item_id=7626221019090390279&amp;source=h5_t</v>
      </c>
      <c r="K1589" s="470" t="str">
        <f>IFERROR(__xludf.DUMMYFUNCTION("""COMPUTED_VALUE"""),"KIMME")</f>
        <v>KIMME</v>
      </c>
      <c r="M1589" s="470"/>
      <c r="O1589" s="470"/>
    </row>
    <row r="1590">
      <c r="A1590" s="282" t="str">
        <f>IFERROR(__xludf.DUMMYFUNCTION("""COMPUTED_VALUE"""),"MACRO")</f>
        <v>MACRO</v>
      </c>
      <c r="B1590" s="468" t="str">
        <f>IFERROR(__xludf.DUMMYFUNCTION("""COMPUTED_VALUE"""),"ig.lidiaanggarita19")</f>
        <v>ig.lidiaanggarita19</v>
      </c>
      <c r="C1590" s="283" t="str">
        <f>IFERROR(__xludf.DUMMYFUNCTION("""COMPUTED_VALUE"""),"https://www.tiktok.com/@ig.lidiaanggarita19")</f>
        <v>https://www.tiktok.com/@ig.lidiaanggarita19</v>
      </c>
      <c r="D1590" s="273">
        <f>IFERROR(__xludf.DUMMYFUNCTION("""COMPUTED_VALUE"""),8.5776203549E10)</f>
        <v>85776203549</v>
      </c>
      <c r="E1590" s="458">
        <f>IFERROR(__xludf.DUMMYFUNCTION("""COMPUTED_VALUE"""),0.0)</f>
        <v>0</v>
      </c>
      <c r="F1590" s="273">
        <f>IFERROR(__xludf.DUMMYFUNCTION("""COMPUTED_VALUE"""),4.0)</f>
        <v>4</v>
      </c>
      <c r="G1590" t="str">
        <f>IFERROR(__xludf.DUMMYFUNCTION("""COMPUTED_VALUE"""),"Sabun batang 1 Box ( 2 PCS )")</f>
        <v>Sabun batang 1 Box ( 2 PCS )</v>
      </c>
      <c r="H1590" s="469" t="str">
        <f>IFERROR(__xludf.DUMMYFUNCTION("""COMPUTED_VALUE"""),"Sampai")</f>
        <v>Sampai</v>
      </c>
      <c r="I1590" s="470" t="str">
        <f>IFERROR(__xludf.DUMMYFUNCTION("""COMPUTED_VALUE"""),"KIMME")</f>
        <v>KIMME</v>
      </c>
      <c r="J1590" s="471" t="str">
        <f>IFERROR(__xludf.DUMMYFUNCTION("""COMPUTED_VALUE"""),"https://www.tiktok.com/@itsmeavinvin/video/7627086684038974740?_r=1&amp;u_code=d3hac44m7ha2fl&amp;region=&amp;mid=7627086728456588040&amp;preview_pb=0&amp;sharer_language=&amp;_d=0&amp;ec_shared_reflux_dynamic_params=%7B%22placeholder_material_id%22%3A%227627086684038974740%22%2C%22"&amp;"placeholder_origin_cover%22%3A%22https%253A%252F%252Fp16-common-sign.tiktokcdn.com%252Ftos-alisg-p-0037%252FoAvQAIRBjTlQTA2eYgSsfbvCte6GICL1ojgD0N~tplv-tiktokx-origin.jpeg%253Fdr%253D14572%2526refresh_token%253Ddf1f0b30%2526x-expires%253D1808208000%2526x-"&amp;"signature%253DssukUNqraSvG3VNxCxw8LWtza8A%25253D%2526t%253D4d5b0474%2526ps%253D13740610%2526shp%253Dd05b14bd%2526shcp%253D34ff8df6%2526idc%253Dmy3%2526s%253DTIKTOK_AFFILIATE_VIRAL_VIDEO%22%2C%22placeholder_product_id%22%3A%221729427766722726591%22%2C%22pl"&amp;"aceholder_video_id%22%3A%227627086684038974740%22%7D&amp;ec_shared_reflux_scene=shop_tab_feed&amp;share_item_id=7627086684038974740&amp;source=h5_t")</f>
        <v>https://www.tiktok.com/@itsmeavinvin/video/7627086684038974740?_r=1&amp;u_code=d3hac44m7ha2fl&amp;region=&amp;mid=7627086728456588040&amp;preview_pb=0&amp;sharer_language=&amp;_d=0&amp;ec_shared_reflux_dynamic_params=%7B%22placeholder_material_id%22%3A%227627086684038974740%22%2C%22placeholder_origin_cover%22%3A%22https%253A%252F%252Fp16-common-sign.tiktokcdn.com%252Ftos-alisg-p-0037%252FoAvQAIRBjTlQTA2eYgSsfbvCte6GICL1ojgD0N~tplv-tiktokx-origin.jpeg%253Fdr%253D14572%2526refresh_token%253Ddf1f0b30%2526x-expires%253D1808208000%2526x-signature%253DssukUNqraSvG3VNxCxw8LWtza8A%25253D%2526t%253D4d5b0474%2526ps%253D13740610%2526shp%253Dd05b14bd%2526shcp%253D34ff8df6%2526idc%253Dmy3%2526s%253DTIKTOK_AFFILIATE_VIRAL_VIDEO%22%2C%22placeholder_product_id%22%3A%221729427766722726591%22%2C%22placeholder_video_id%22%3A%227627086684038974740%22%7D&amp;ec_shared_reflux_scene=shop_tab_feed&amp;share_item_id=7627086684038974740&amp;source=h5_t</v>
      </c>
      <c r="K1590" s="470" t="str">
        <f>IFERROR(__xludf.DUMMYFUNCTION("""COMPUTED_VALUE"""),"KIMME")</f>
        <v>KIMME</v>
      </c>
      <c r="L1590" s="471" t="str">
        <f>IFERROR(__xludf.DUMMYFUNCTION("""COMPUTED_VALUE"""),"https://www.tiktok.com/@itsmeavinvin/video/7634020526695943445?_r=1&amp;u_code=d3hac44m7ha2fl&amp;region=&amp;mid=7634020559583529735&amp;preview_pb=0&amp;sharer_language=&amp;_d=0&amp;ec_shared_reflux_dynamic_params=%7B%22placeholder_material_id%22%3A%227634020526695943445%22%2C%22"&amp;"placeholder_origin_cover%22%3A%22https%253A%252F%252Fp16-common-sign.tiktokcdn.com%252Ftos-alisg-p-0037%252Fo0HQUQfEgAphBs49RFfWXpDBJD8YYEEHU1XqCi~tplv-tiktokx-origin.jpeg%253Fdr%253D14572%2526refresh_token%253Dd5ea17e8%2526x-expires%253D1809511200%2526x-"&amp;"signature%253DL%25252BB4ZmpUjTtNKaDnPYimN96gYGU%25253D%2526t%253D4d5b0474%2526ps%253D13740610%2526shp%253Dd05b14bd%2526shcp%253D34ff8df6%2526idc%253Dmy%2526s%253DTIKTOK_AFFILIATE_VIRAL_VIDEO%22%2C%22placeholder_product_id%22%3A%221729427766722726591%22%2C"&amp;"%22placeholder_video_id%22%3A%227634020526695943445%22%7D&amp;ec_shared_reflux_scene=shop_tab_feed&amp;share_item_id=7634020526695943445&amp;source=h5_t")</f>
        <v>https://www.tiktok.com/@itsmeavinvin/video/7634020526695943445?_r=1&amp;u_code=d3hac44m7ha2fl&amp;region=&amp;mid=7634020559583529735&amp;preview_pb=0&amp;sharer_language=&amp;_d=0&amp;ec_shared_reflux_dynamic_params=%7B%22placeholder_material_id%22%3A%227634020526695943445%22%2C%22placeholder_origin_cover%22%3A%22https%253A%252F%252Fp16-common-sign.tiktokcdn.com%252Ftos-alisg-p-0037%252Fo0HQUQfEgAphBs49RFfWXpDBJD8YYEEHU1XqCi~tplv-tiktokx-origin.jpeg%253Fdr%253D14572%2526refresh_token%253Dd5ea17e8%2526x-expires%253D1809511200%2526x-signature%253DL%25252BB4ZmpUjTtNKaDnPYimN96gYGU%25253D%2526t%253D4d5b0474%2526ps%253D13740610%2526shp%253Dd05b14bd%2526shcp%253D34ff8df6%2526idc%253Dmy%2526s%253DTIKTOK_AFFILIATE_VIRAL_VIDEO%22%2C%22placeholder_product_id%22%3A%221729427766722726591%22%2C%22placeholder_video_id%22%3A%227634020526695943445%22%7D&amp;ec_shared_reflux_scene=shop_tab_feed&amp;share_item_id=7634020526695943445&amp;source=h5_t</v>
      </c>
      <c r="M1590" s="470"/>
      <c r="O1590" s="470"/>
    </row>
    <row r="1591">
      <c r="A1591" s="282" t="str">
        <f>IFERROR(__xludf.DUMMYFUNCTION("""COMPUTED_VALUE"""),"MACRO")</f>
        <v>MACRO</v>
      </c>
      <c r="B1591" s="468" t="str">
        <f>IFERROR(__xludf.DUMMYFUNCTION("""COMPUTED_VALUE"""),"rere_renitaa")</f>
        <v>rere_renitaa</v>
      </c>
      <c r="C1591" s="283" t="str">
        <f>IFERROR(__xludf.DUMMYFUNCTION("""COMPUTED_VALUE"""),"https://www.tiktok.com/@rere_renitaa")</f>
        <v>https://www.tiktok.com/@rere_renitaa</v>
      </c>
      <c r="D1591" s="273">
        <f>IFERROR(__xludf.DUMMYFUNCTION("""COMPUTED_VALUE"""),8.562400246E10)</f>
        <v>85624002460</v>
      </c>
      <c r="E1591" s="458">
        <f>IFERROR(__xludf.DUMMYFUNCTION("""COMPUTED_VALUE"""),0.0)</f>
        <v>0</v>
      </c>
      <c r="F1591" s="273">
        <f>IFERROR(__xludf.DUMMYFUNCTION("""COMPUTED_VALUE"""),4.0)</f>
        <v>4</v>
      </c>
      <c r="G1591" t="str">
        <f>IFERROR(__xludf.DUMMYFUNCTION("""COMPUTED_VALUE"""),"Sabun batang 1 Box ( 2 PCS )")</f>
        <v>Sabun batang 1 Box ( 2 PCS )</v>
      </c>
      <c r="H1591" s="469" t="str">
        <f>IFERROR(__xludf.DUMMYFUNCTION("""COMPUTED_VALUE"""),"Sampai")</f>
        <v>Sampai</v>
      </c>
      <c r="I1591" s="470" t="str">
        <f>IFERROR(__xludf.DUMMYFUNCTION("""COMPUTED_VALUE"""),"KIMME")</f>
        <v>KIMME</v>
      </c>
      <c r="J1591" s="471" t="str">
        <f>IFERROR(__xludf.DUMMYFUNCTION("""COMPUTED_VALUE"""),"https://www.tiktok.com/@masheddpootato/video/7612712635775192341?_r=1&amp;u_code=emlkb18cm5c4bi&amp;region=&amp;mid=7505029365265876993&amp;preview_pb=0&amp;sharer_language=&amp;_d=0&amp;ec_shared_reflux_dynamic_params=%7B%22placeholder_material_id%22%3A%227612712635775192341%22%2C%"&amp;"22placeholder_origin_cover%22%3A%22https%253A%252F%252Fp16-common-sign.tiktokcdn.com%252Ftos-alisg-p-0037%252FoIWIdTxFABy0OuklHxiOwSIiIA40BhyfCKA0Fu~tplv-tiktokx-origin.jpeg%253Fdr%253D14572%2526refresh_token%253D46cce25e%2526x-expires%253D1808208000%2526"&amp;"x-signature%253DrTkpDorIHOzcnJWKU8t8qdejIcE%25253D%2526t%253D4d5b0474%2526ps%253D13740610%2526shp%253Dd05b14bd%2526shcp%253D34ff8df6%2526idc%253Dmy3%2526s%253DTIKTOK_AFFILIATE_VIRAL_VIDEO%22%2C%22placeholder_product_id%22%3A%221729427766722726591%22%2C%22"&amp;"placeholder_video_id%22%3A%227612712635775192341%22%7D&amp;ec_shared_reflux_scene=shop_tab_feed&amp;share_item_id=7612712635775192341&amp;source=h5_t")</f>
        <v>https://www.tiktok.com/@masheddpootato/video/7612712635775192341?_r=1&amp;u_code=emlkb18cm5c4bi&amp;region=&amp;mid=7505029365265876993&amp;preview_pb=0&amp;sharer_language=&amp;_d=0&amp;ec_shared_reflux_dynamic_params=%7B%22placeholder_material_id%22%3A%227612712635775192341%22%2C%22placeholder_origin_cover%22%3A%22https%253A%252F%252Fp16-common-sign.tiktokcdn.com%252Ftos-alisg-p-0037%252FoIWIdTxFABy0OuklHxiOwSIiIA40BhyfCKA0Fu~tplv-tiktokx-origin.jpeg%253Fdr%253D14572%2526refresh_token%253D46cce25e%2526x-expires%253D1808208000%2526x-signature%253DrTkpDorIHOzcnJWKU8t8qdejIcE%25253D%2526t%253D4d5b0474%2526ps%253D13740610%2526shp%253Dd05b14bd%2526shcp%253D34ff8df6%2526idc%253Dmy3%2526s%253DTIKTOK_AFFILIATE_VIRAL_VIDEO%22%2C%22placeholder_product_id%22%3A%221729427766722726591%22%2C%22placeholder_video_id%22%3A%227612712635775192341%22%7D&amp;ec_shared_reflux_scene=shop_tab_feed&amp;share_item_id=7612712635775192341&amp;source=h5_t</v>
      </c>
      <c r="K1591" s="470" t="str">
        <f>IFERROR(__xludf.DUMMYFUNCTION("""COMPUTED_VALUE"""),"KIMME")</f>
        <v>KIMME</v>
      </c>
      <c r="M1591" s="470"/>
      <c r="O1591" s="470"/>
    </row>
    <row r="1592">
      <c r="A1592" s="282" t="str">
        <f>IFERROR(__xludf.DUMMYFUNCTION("""COMPUTED_VALUE"""),"MACRO")</f>
        <v>MACRO</v>
      </c>
      <c r="B1592" s="468" t="str">
        <f>IFERROR(__xludf.DUMMYFUNCTION("""COMPUTED_VALUE"""),"amelinda.frederica")</f>
        <v>amelinda.frederica</v>
      </c>
      <c r="C1592" s="283" t="str">
        <f>IFERROR(__xludf.DUMMYFUNCTION("""COMPUTED_VALUE"""),"https://www.tiktok.com/@amelinda.frederica")</f>
        <v>https://www.tiktok.com/@amelinda.frederica</v>
      </c>
      <c r="D1592" s="273">
        <f>IFERROR(__xludf.DUMMYFUNCTION("""COMPUTED_VALUE"""),8.1287277512E10)</f>
        <v>81287277512</v>
      </c>
      <c r="E1592" s="458">
        <f>IFERROR(__xludf.DUMMYFUNCTION("""COMPUTED_VALUE"""),0.0)</f>
        <v>0</v>
      </c>
      <c r="F1592" s="273">
        <f>IFERROR(__xludf.DUMMYFUNCTION("""COMPUTED_VALUE"""),4.0)</f>
        <v>4</v>
      </c>
      <c r="G1592" t="str">
        <f>IFERROR(__xludf.DUMMYFUNCTION("""COMPUTED_VALUE"""),"Sabun batang 1 Box ( 2 PCS )")</f>
        <v>Sabun batang 1 Box ( 2 PCS )</v>
      </c>
      <c r="H1592" s="469" t="str">
        <f>IFERROR(__xludf.DUMMYFUNCTION("""COMPUTED_VALUE"""),"Sampai")</f>
        <v>Sampai</v>
      </c>
      <c r="I1592" s="470" t="str">
        <f>IFERROR(__xludf.DUMMYFUNCTION("""COMPUTED_VALUE"""),"KIMME")</f>
        <v>KIMME</v>
      </c>
      <c r="J1592" s="471" t="str">
        <f>IFERROR(__xludf.DUMMYFUNCTION("""COMPUTED_VALUE"""),"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"&amp;"laceholder_origin_cover%22%3A%22https%253A%252F%252Fp16-common-sign.tiktokcdn.com%252Ftos-alisg-p-0037%252FoUBMoCWYpmBaPy68ByFEgjDQE3ARfMNQQBftch~tplv-tiktokx-origin.jpeg%253Fdr%253D14572%2526refresh_token%253Dec724f07%2526x-expires%253D1808204400%2526x-s"&amp;"ignature%253D7i1vQdcBDO6cxNoLND1NOGXlI3c%25253D%2526t%253D4d5b0474%2526ps%253D13740610%2526shp%253Dd05b14bd%2526shcp%253D34ff8df6%2526idc%253Dmy3%2526s%253DTIKTOK_AFFILIATE_VIRAL_VIDEO%22%2C%22placeholder_product_id%22%3A%221729427766722726591%22%2C%22pla"&amp;"ceholder_video_id%22%3A%227628562529077300501%22%7D&amp;ec_shared_reflux_scene=shop_tab_feed&amp;share_item_id=7628562529077300501&amp;source=h5_t")</f>
        <v>https://www.tiktok.com/@hairgrow.up/video/7628562529077300501?_r=1&amp;u_code=d90kf16d1a6b0i&amp;region=&amp;mid=7016196298517563393&amp;preview_pb=0&amp;sharer_language=&amp;_d=0&amp;ec_shared_reflux_dynamic_params=%7B%22placeholder_material_id%22%3A%227628562529077300501%22%2C%22placeholder_origin_cover%22%3A%22https%253A%252F%252Fp16-common-sign.tiktokcdn.com%252Ftos-alisg-p-0037%252FoUBMoCWYpmBaPy68ByFEgjDQE3ARfMNQQBftch~tplv-tiktokx-origin.jpeg%253Fdr%253D14572%2526refresh_token%253Dec724f07%2526x-expires%253D1808204400%2526x-signature%253D7i1vQdcBDO6cxNoLND1NOGXlI3c%25253D%2526t%253D4d5b0474%2526ps%253D13740610%2526shp%253Dd05b14bd%2526shcp%253D34ff8df6%2526idc%253Dmy3%2526s%253DTIKTOK_AFFILIATE_VIRAL_VIDEO%22%2C%22placeholder_product_id%22%3A%221729427766722726591%22%2C%22placeholder_video_id%22%3A%227628562529077300501%22%7D&amp;ec_shared_reflux_scene=shop_tab_feed&amp;share_item_id=7628562529077300501&amp;source=h5_t</v>
      </c>
      <c r="K1592" s="470" t="str">
        <f>IFERROR(__xludf.DUMMYFUNCTION("""COMPUTED_VALUE"""),"KIMME")</f>
        <v>KIMME</v>
      </c>
      <c r="L1592" s="471" t="str">
        <f>IFERROR(__xludf.DUMMYFUNCTION("""COMPUTED_VALUE"""),"https://vt.tiktok.com/ZS9fARK72/")</f>
        <v>https://vt.tiktok.com/ZS9fARK72/</v>
      </c>
      <c r="M1592" s="470"/>
      <c r="N1592" s="471" t="str">
        <f>IFERROR(__xludf.DUMMYFUNCTION("""COMPUTED_VALUE"""),"https://vt.tiktok.com/ZS9fAeqYT/")</f>
        <v>https://vt.tiktok.com/ZS9fAeqYT/</v>
      </c>
      <c r="O1592" s="470"/>
      <c r="P1592" s="471" t="str">
        <f>IFERROR(__xludf.DUMMYFUNCTION("""COMPUTED_VALUE"""),"https://vt.tiktok.com/ZS9fSTq7R/")</f>
        <v>https://vt.tiktok.com/ZS9fSTq7R/</v>
      </c>
    </row>
    <row r="1593">
      <c r="A1593" s="282" t="str">
        <f>IFERROR(__xludf.DUMMYFUNCTION("""COMPUTED_VALUE"""),"MACRO")</f>
        <v>MACRO</v>
      </c>
      <c r="B1593" s="468" t="str">
        <f>IFERROR(__xludf.DUMMYFUNCTION("""COMPUTED_VALUE"""),"sugirafasa")</f>
        <v>sugirafasa</v>
      </c>
      <c r="C1593" s="283" t="str">
        <f>IFERROR(__xludf.DUMMYFUNCTION("""COMPUTED_VALUE"""),"https://www.tiktok.com/@sugirafasa")</f>
        <v>https://www.tiktok.com/@sugirafasa</v>
      </c>
      <c r="D1593" s="273">
        <f>IFERROR(__xludf.DUMMYFUNCTION("""COMPUTED_VALUE"""),8.1266240005E10)</f>
        <v>81266240005</v>
      </c>
      <c r="E1593" s="458">
        <f>IFERROR(__xludf.DUMMYFUNCTION("""COMPUTED_VALUE"""),0.0)</f>
        <v>0</v>
      </c>
      <c r="F1593" s="273">
        <f>IFERROR(__xludf.DUMMYFUNCTION("""COMPUTED_VALUE"""),4.0)</f>
        <v>4</v>
      </c>
      <c r="G1593" t="str">
        <f>IFERROR(__xludf.DUMMYFUNCTION("""COMPUTED_VALUE"""),"Sabun batang 1 Box ( 2 PCS )")</f>
        <v>Sabun batang 1 Box ( 2 PCS )</v>
      </c>
      <c r="H1593" s="469" t="str">
        <f>IFERROR(__xludf.DUMMYFUNCTION("""COMPUTED_VALUE"""),"Sampai")</f>
        <v>Sampai</v>
      </c>
      <c r="I1593" s="470" t="str">
        <f>IFERROR(__xludf.DUMMYFUNCTION("""COMPUTED_VALUE"""),"KIMME")</f>
        <v>KIMME</v>
      </c>
      <c r="J1593" s="471" t="str">
        <f>IFERROR(__xludf.DUMMYFUNCTION("""COMPUTED_VALUE"""),"https://www.tiktok.com/@dewiisapitrii_/video/7626215161455594760?_r=1&amp;u_code=dg6305dj44k6hd&amp;region=&amp;mid=7533505717987805200&amp;preview_pb=0&amp;sharer_language=&amp;_d=0&amp;ec_shared_reflux_dynamic_params=%7B%22placeholder_material_id%22%3A%227626215161455594760%22%2C%"&amp;"22placeholder_origin_cover%22%3A%22https%253A%252F%252Fp16-common-sign.tiktokcdn.com%252Ftos-alisg-p-0037%252Fog1DONTeChj7IRHIL4AuXQQGrA14qZsCgleeKF~tplv-tiktokx-origin.jpeg%253Fdr%253D14572%2526refresh_token%253D6ce1537f%2526x-expires%253D1808204400%2526"&amp;"x-signature%253DrYxJ5BNvhhTtOrqF3GgJV%25252FjlW6I%25253D%2526t%253D4d5b0474%2526ps%253D13740610%2526shp%253Dd05b14bd%2526shcp%253D34ff8df6%2526idc%253Dmy3%2526s%253DTIKTOK_AFFILIATE_VIRAL_VIDEO%22%2C%22placeholder_product_id%22%3A%221729427766722726591%22"&amp;"%2C%22placeholder_video_id%22%3A%227626215161455594760%22%7D&amp;ec_shared_reflux_scene=shop_tab_feed&amp;share_item_id=7626215161455594760&amp;source=h5_t")</f>
        <v>https://www.tiktok.com/@dewiisapitrii_/video/7626215161455594760?_r=1&amp;u_code=dg6305dj44k6hd&amp;region=&amp;mid=7533505717987805200&amp;preview_pb=0&amp;sharer_language=&amp;_d=0&amp;ec_shared_reflux_dynamic_params=%7B%22placeholder_material_id%22%3A%227626215161455594760%22%2C%22placeholder_origin_cover%22%3A%22https%253A%252F%252Fp16-common-sign.tiktokcdn.com%252Ftos-alisg-p-0037%252Fog1DONTeChj7IRHIL4AuXQQGrA14qZsCgleeKF~tplv-tiktokx-origin.jpeg%253Fdr%253D14572%2526refresh_token%253D6ce1537f%2526x-expires%253D1808204400%2526x-signature%253DrYxJ5BNvhhTtOrqF3GgJV%25252FjlW6I%25253D%2526t%253D4d5b0474%2526ps%253D13740610%2526shp%253Dd05b14bd%2526shcp%253D34ff8df6%2526idc%253Dmy3%2526s%253DTIKTOK_AFFILIATE_VIRAL_VIDEO%22%2C%22placeholder_product_id%22%3A%221729427766722726591%22%2C%22placeholder_video_id%22%3A%227626215161455594760%22%7D&amp;ec_shared_reflux_scene=shop_tab_feed&amp;share_item_id=7626215161455594760&amp;source=h5_t</v>
      </c>
      <c r="K1593" s="470" t="str">
        <f>IFERROR(__xludf.DUMMYFUNCTION("""COMPUTED_VALUE"""),"KIMME")</f>
        <v>KIMME</v>
      </c>
      <c r="M1593" s="470"/>
      <c r="O1593" s="470"/>
    </row>
    <row r="1594">
      <c r="A1594" s="282" t="str">
        <f>IFERROR(__xludf.DUMMYFUNCTION("""COMPUTED_VALUE"""),"MACRO")</f>
        <v>MACRO</v>
      </c>
      <c r="B1594" s="468" t="str">
        <f>IFERROR(__xludf.DUMMYFUNCTION("""COMPUTED_VALUE"""),"dheadhelfira_")</f>
        <v>dheadhelfira_</v>
      </c>
      <c r="C1594" s="283" t="str">
        <f>IFERROR(__xludf.DUMMYFUNCTION("""COMPUTED_VALUE"""),"https://www.tiktok.com/@dheadhelfira_")</f>
        <v>https://www.tiktok.com/@dheadhelfira_</v>
      </c>
      <c r="D1594" s="273">
        <f>IFERROR(__xludf.DUMMYFUNCTION("""COMPUTED_VALUE"""),8.1944018028E10)</f>
        <v>81944018028</v>
      </c>
      <c r="E1594" s="458">
        <f>IFERROR(__xludf.DUMMYFUNCTION("""COMPUTED_VALUE"""),0.0)</f>
        <v>0</v>
      </c>
      <c r="F1594" s="273">
        <f>IFERROR(__xludf.DUMMYFUNCTION("""COMPUTED_VALUE"""),4.0)</f>
        <v>4</v>
      </c>
      <c r="G1594" t="str">
        <f>IFERROR(__xludf.DUMMYFUNCTION("""COMPUTED_VALUE"""),"Sabun batang 1 Box ( 2 PCS )")</f>
        <v>Sabun batang 1 Box ( 2 PCS )</v>
      </c>
      <c r="H1594" s="469" t="str">
        <f>IFERROR(__xludf.DUMMYFUNCTION("""COMPUTED_VALUE"""),"Sampai")</f>
        <v>Sampai</v>
      </c>
      <c r="I1594" s="470" t="str">
        <f>IFERROR(__xludf.DUMMYFUNCTION("""COMPUTED_VALUE"""),"KIMME")</f>
        <v>KIMME</v>
      </c>
      <c r="K1594" s="470" t="str">
        <f>IFERROR(__xludf.DUMMYFUNCTION("""COMPUTED_VALUE"""),"KIMME")</f>
        <v>KIMME</v>
      </c>
      <c r="M1594" s="470"/>
      <c r="O1594" s="470"/>
    </row>
    <row r="1595">
      <c r="A1595" s="282" t="str">
        <f>IFERROR(__xludf.DUMMYFUNCTION("""COMPUTED_VALUE"""),"MACRO")</f>
        <v>MACRO</v>
      </c>
      <c r="B1595" s="468" t="str">
        <f>IFERROR(__xludf.DUMMYFUNCTION("""COMPUTED_VALUE"""),"fierda.amelia")</f>
        <v>fierda.amelia</v>
      </c>
      <c r="C1595" s="283" t="str">
        <f>IFERROR(__xludf.DUMMYFUNCTION("""COMPUTED_VALUE"""),"https://www.tiktok.com/@fierda.amelia")</f>
        <v>https://www.tiktok.com/@fierda.amelia</v>
      </c>
      <c r="D1595" s="273">
        <f>IFERROR(__xludf.DUMMYFUNCTION("""COMPUTED_VALUE"""),8.95375559995E11)</f>
        <v>895375559995</v>
      </c>
      <c r="E1595" s="458">
        <f>IFERROR(__xludf.DUMMYFUNCTION("""COMPUTED_VALUE"""),0.0)</f>
        <v>0</v>
      </c>
      <c r="F1595" s="273">
        <f>IFERROR(__xludf.DUMMYFUNCTION("""COMPUTED_VALUE"""),1.0)</f>
        <v>1</v>
      </c>
      <c r="G1595" t="str">
        <f>IFERROR(__xludf.DUMMYFUNCTION("""COMPUTED_VALUE"""),"Sabun batang 1 Box ( 2 PCS )")</f>
        <v>Sabun batang 1 Box ( 2 PCS )</v>
      </c>
      <c r="H1595" s="469" t="str">
        <f>IFERROR(__xludf.DUMMYFUNCTION("""COMPUTED_VALUE"""),"Sampai")</f>
        <v>Sampai</v>
      </c>
      <c r="I1595" s="470" t="str">
        <f>IFERROR(__xludf.DUMMYFUNCTION("""COMPUTED_VALUE"""),"KIMME")</f>
        <v>KIMME</v>
      </c>
      <c r="K1595" s="470" t="str">
        <f>IFERROR(__xludf.DUMMYFUNCTION("""COMPUTED_VALUE"""),"KIMME")</f>
        <v>KIMME</v>
      </c>
      <c r="M1595" s="470"/>
      <c r="O1595" s="470"/>
    </row>
    <row r="1596">
      <c r="A1596" s="282" t="str">
        <f>IFERROR(__xludf.DUMMYFUNCTION("""COMPUTED_VALUE"""),"MACRO")</f>
        <v>MACRO</v>
      </c>
      <c r="B1596" s="468" t="str">
        <f>IFERROR(__xludf.DUMMYFUNCTION("""COMPUTED_VALUE"""),"ujanghusen")</f>
        <v>ujanghusen</v>
      </c>
      <c r="C1596" s="283" t="str">
        <f>IFERROR(__xludf.DUMMYFUNCTION("""COMPUTED_VALUE"""),"https://www.tiktok.com/@ujanghusen")</f>
        <v>https://www.tiktok.com/@ujanghusen</v>
      </c>
      <c r="D1596" s="273">
        <f>IFERROR(__xludf.DUMMYFUNCTION("""COMPUTED_VALUE"""),8.5846738912E10)</f>
        <v>85846738912</v>
      </c>
      <c r="E1596" s="458">
        <f>IFERROR(__xludf.DUMMYFUNCTION("""COMPUTED_VALUE"""),0.0)</f>
        <v>0</v>
      </c>
      <c r="F1596" s="273">
        <f>IFERROR(__xludf.DUMMYFUNCTION("""COMPUTED_VALUE"""),4.0)</f>
        <v>4</v>
      </c>
      <c r="G1596" t="str">
        <f>IFERROR(__xludf.DUMMYFUNCTION("""COMPUTED_VALUE"""),"Sabun batang 1 Box ( 2 PCS )")</f>
        <v>Sabun batang 1 Box ( 2 PCS )</v>
      </c>
      <c r="H1596" s="469" t="str">
        <f>IFERROR(__xludf.DUMMYFUNCTION("""COMPUTED_VALUE"""),"Sampai")</f>
        <v>Sampai</v>
      </c>
      <c r="I1596" s="470" t="str">
        <f>IFERROR(__xludf.DUMMYFUNCTION("""COMPUTED_VALUE"""),"KIMME")</f>
        <v>KIMME</v>
      </c>
      <c r="K1596" s="470" t="str">
        <f>IFERROR(__xludf.DUMMYFUNCTION("""COMPUTED_VALUE"""),"KIMME")</f>
        <v>KIMME</v>
      </c>
      <c r="M1596" s="470"/>
      <c r="O1596" s="470"/>
    </row>
    <row r="1597">
      <c r="A1597" s="282" t="str">
        <f>IFERROR(__xludf.DUMMYFUNCTION("""COMPUTED_VALUE"""),"MICRO")</f>
        <v>MICRO</v>
      </c>
      <c r="B1597" s="468" t="str">
        <f>IFERROR(__xludf.DUMMYFUNCTION("""COMPUTED_VALUE"""),"emirhabibi89")</f>
        <v>emirhabibi89</v>
      </c>
      <c r="C1597" s="283" t="str">
        <f>IFERROR(__xludf.DUMMYFUNCTION("""COMPUTED_VALUE"""),"https://www.tiktok.com/@emirhabibi89")</f>
        <v>https://www.tiktok.com/@emirhabibi89</v>
      </c>
      <c r="D1597" s="273">
        <f>IFERROR(__xludf.DUMMYFUNCTION("""COMPUTED_VALUE"""),8.2314166642E10)</f>
        <v>82314166642</v>
      </c>
      <c r="E1597" s="458">
        <f>IFERROR(__xludf.DUMMYFUNCTION("""COMPUTED_VALUE"""),0.0)</f>
        <v>0</v>
      </c>
      <c r="F1597" s="273">
        <f>IFERROR(__xludf.DUMMYFUNCTION("""COMPUTED_VALUE"""),4.0)</f>
        <v>4</v>
      </c>
      <c r="G1597" t="str">
        <f>IFERROR(__xludf.DUMMYFUNCTION("""COMPUTED_VALUE"""),"Sabun batang 1 Box ( 2 PCS )")</f>
        <v>Sabun batang 1 Box ( 2 PCS )</v>
      </c>
      <c r="H1597" s="469" t="str">
        <f>IFERROR(__xludf.DUMMYFUNCTION("""COMPUTED_VALUE"""),"Sampai")</f>
        <v>Sampai</v>
      </c>
      <c r="I1597" s="470" t="str">
        <f>IFERROR(__xludf.DUMMYFUNCTION("""COMPUTED_VALUE"""),"KIMME")</f>
        <v>KIMME</v>
      </c>
      <c r="K1597" s="470" t="str">
        <f>IFERROR(__xludf.DUMMYFUNCTION("""COMPUTED_VALUE"""),"KIMME")</f>
        <v>KIMME</v>
      </c>
      <c r="M1597" s="470"/>
      <c r="O1597" s="470"/>
    </row>
    <row r="1598">
      <c r="A1598" s="282" t="str">
        <f>IFERROR(__xludf.DUMMYFUNCTION("""COMPUTED_VALUE"""),"MACRO")</f>
        <v>MACRO</v>
      </c>
      <c r="B1598" s="468" t="str">
        <f>IFERROR(__xludf.DUMMYFUNCTION("""COMPUTED_VALUE"""),"ruthtarigann01")</f>
        <v>ruthtarigann01</v>
      </c>
      <c r="C1598" s="283" t="str">
        <f>IFERROR(__xludf.DUMMYFUNCTION("""COMPUTED_VALUE"""),"https://www.tiktok.com/@ruthtarigann01")</f>
        <v>https://www.tiktok.com/@ruthtarigann01</v>
      </c>
      <c r="D1598" s="273">
        <f>IFERROR(__xludf.DUMMYFUNCTION("""COMPUTED_VALUE"""),8.1360604442E10)</f>
        <v>81360604442</v>
      </c>
      <c r="E1598" s="458">
        <f>IFERROR(__xludf.DUMMYFUNCTION("""COMPUTED_VALUE"""),100000.0)</f>
        <v>100000</v>
      </c>
      <c r="F1598" s="273">
        <f>IFERROR(__xludf.DUMMYFUNCTION("""COMPUTED_VALUE"""),1.0)</f>
        <v>1</v>
      </c>
      <c r="G1598" t="str">
        <f>IFERROR(__xludf.DUMMYFUNCTION("""COMPUTED_VALUE"""),"Sabun batang 1 Box ( 2 PCS )")</f>
        <v>Sabun batang 1 Box ( 2 PCS )</v>
      </c>
      <c r="H1598" s="469" t="str">
        <f>IFERROR(__xludf.DUMMYFUNCTION("""COMPUTED_VALUE"""),"Sampai")</f>
        <v>Sampai</v>
      </c>
      <c r="I1598" s="470" t="str">
        <f>IFERROR(__xludf.DUMMYFUNCTION("""COMPUTED_VALUE"""),"KIMME")</f>
        <v>KIMME</v>
      </c>
      <c r="K1598" s="470" t="str">
        <f>IFERROR(__xludf.DUMMYFUNCTION("""COMPUTED_VALUE"""),"KIMME")</f>
        <v>KIMME</v>
      </c>
      <c r="M1598" s="470"/>
      <c r="O1598" s="470"/>
    </row>
    <row r="1599">
      <c r="A1599" s="282" t="str">
        <f>IFERROR(__xludf.DUMMYFUNCTION("""COMPUTED_VALUE"""),"MACRO")</f>
        <v>MACRO</v>
      </c>
      <c r="B1599" s="468" t="str">
        <f>IFERROR(__xludf.DUMMYFUNCTION("""COMPUTED_VALUE"""),"haibrobrobro")</f>
        <v>haibrobrobro</v>
      </c>
      <c r="C1599" s="283" t="str">
        <f>IFERROR(__xludf.DUMMYFUNCTION("""COMPUTED_VALUE"""),"https://www.tiktok.com/@haibrobrobro")</f>
        <v>https://www.tiktok.com/@haibrobrobro</v>
      </c>
      <c r="D1599" s="273">
        <f>IFERROR(__xludf.DUMMYFUNCTION("""COMPUTED_VALUE"""),8.7875077132E10)</f>
        <v>87875077132</v>
      </c>
      <c r="E1599" s="458">
        <f>IFERROR(__xludf.DUMMYFUNCTION("""COMPUTED_VALUE"""),350000.0)</f>
        <v>350000</v>
      </c>
      <c r="F1599" s="273">
        <f>IFERROR(__xludf.DUMMYFUNCTION("""COMPUTED_VALUE"""),1.0)</f>
        <v>1</v>
      </c>
      <c r="G1599" t="str">
        <f>IFERROR(__xludf.DUMMYFUNCTION("""COMPUTED_VALUE"""),"Sabun batang 1 Box ( 2 PCS )")</f>
        <v>Sabun batang 1 Box ( 2 PCS )</v>
      </c>
      <c r="H1599" s="469" t="str">
        <f>IFERROR(__xludf.DUMMYFUNCTION("""COMPUTED_VALUE"""),"Sampai")</f>
        <v>Sampai</v>
      </c>
      <c r="I1599" s="470" t="str">
        <f>IFERROR(__xludf.DUMMYFUNCTION("""COMPUTED_VALUE"""),"KIMME")</f>
        <v>KIMME</v>
      </c>
      <c r="K1599" s="470" t="str">
        <f>IFERROR(__xludf.DUMMYFUNCTION("""COMPUTED_VALUE"""),"KIMME")</f>
        <v>KIMME</v>
      </c>
      <c r="M1599" s="470"/>
      <c r="O1599" s="470"/>
    </row>
    <row r="1600">
      <c r="A1600" s="282" t="str">
        <f>IFERROR(__xludf.DUMMYFUNCTION("""COMPUTED_VALUE"""),"MACRO")</f>
        <v>MACRO</v>
      </c>
      <c r="B1600" s="468" t="str">
        <f>IFERROR(__xludf.DUMMYFUNCTION("""COMPUTED_VALUE"""),"kisnalogy")</f>
        <v>kisnalogy</v>
      </c>
      <c r="C1600" s="283" t="str">
        <f>IFERROR(__xludf.DUMMYFUNCTION("""COMPUTED_VALUE"""),"https://www.tiktok.com/@kisnalogy")</f>
        <v>https://www.tiktok.com/@kisnalogy</v>
      </c>
      <c r="D1600" s="273">
        <f>IFERROR(__xludf.DUMMYFUNCTION("""COMPUTED_VALUE"""),8.1233058569E10)</f>
        <v>81233058569</v>
      </c>
      <c r="E1600" s="458">
        <f>IFERROR(__xludf.DUMMYFUNCTION("""COMPUTED_VALUE"""),0.0)</f>
        <v>0</v>
      </c>
      <c r="F1600" s="273">
        <f>IFERROR(__xludf.DUMMYFUNCTION("""COMPUTED_VALUE"""),4.0)</f>
        <v>4</v>
      </c>
      <c r="G1600" t="str">
        <f>IFERROR(__xludf.DUMMYFUNCTION("""COMPUTED_VALUE"""),"Sabun batang 1 Box ( 2 PCS )")</f>
        <v>Sabun batang 1 Box ( 2 PCS )</v>
      </c>
      <c r="H1600" s="469" t="str">
        <f>IFERROR(__xludf.DUMMYFUNCTION("""COMPUTED_VALUE"""),"Sampai")</f>
        <v>Sampai</v>
      </c>
      <c r="I1600" s="470" t="str">
        <f>IFERROR(__xludf.DUMMYFUNCTION("""COMPUTED_VALUE"""),"KIMME")</f>
        <v>KIMME</v>
      </c>
      <c r="K1600" s="470" t="str">
        <f>IFERROR(__xludf.DUMMYFUNCTION("""COMPUTED_VALUE"""),"KIMME")</f>
        <v>KIMME</v>
      </c>
      <c r="M1600" s="470"/>
      <c r="O1600" s="470"/>
    </row>
    <row r="1601">
      <c r="A1601" s="282" t="str">
        <f>IFERROR(__xludf.DUMMYFUNCTION("""COMPUTED_VALUE"""),"MACRO")</f>
        <v>MACRO</v>
      </c>
      <c r="B1601" s="468" t="str">
        <f>IFERROR(__xludf.DUMMYFUNCTION("""COMPUTED_VALUE"""),"nurulhsn.fs")</f>
        <v>nurulhsn.fs</v>
      </c>
      <c r="C1601" s="283" t="str">
        <f>IFERROR(__xludf.DUMMYFUNCTION("""COMPUTED_VALUE"""),"https://www.tiktok.com/@nurulhsn.fs")</f>
        <v>https://www.tiktok.com/@nurulhsn.fs</v>
      </c>
      <c r="D1601" s="273">
        <f>IFERROR(__xludf.DUMMYFUNCTION("""COMPUTED_VALUE"""),8.7812664879E10)</f>
        <v>87812664879</v>
      </c>
      <c r="E1601" s="458"/>
      <c r="F1601" s="273"/>
      <c r="G1601" t="str">
        <f>IFERROR(__xludf.DUMMYFUNCTION("""COMPUTED_VALUE"""),"Sabun batang 1 Box ( 2 PCS )")</f>
        <v>Sabun batang 1 Box ( 2 PCS )</v>
      </c>
      <c r="H1601" s="469" t="str">
        <f>IFERROR(__xludf.DUMMYFUNCTION("""COMPUTED_VALUE"""),"Sampai")</f>
        <v>Sampai</v>
      </c>
      <c r="I1601" s="470" t="str">
        <f>IFERROR(__xludf.DUMMYFUNCTION("""COMPUTED_VALUE"""),"KIMME")</f>
        <v>KIMME</v>
      </c>
      <c r="K1601" s="470" t="str">
        <f>IFERROR(__xludf.DUMMYFUNCTION("""COMPUTED_VALUE"""),"KIMME")</f>
        <v>KIMME</v>
      </c>
      <c r="M1601" s="470"/>
      <c r="O1601" s="470"/>
    </row>
    <row r="1602">
      <c r="A1602" s="282" t="str">
        <f>IFERROR(__xludf.DUMMYFUNCTION("""COMPUTED_VALUE"""),"MACRO")</f>
        <v>MACRO</v>
      </c>
      <c r="B1602" s="468" t="str">
        <f>IFERROR(__xludf.DUMMYFUNCTION("""COMPUTED_VALUE"""),"skittles0_05")</f>
        <v>skittles0_05</v>
      </c>
      <c r="C1602" s="283" t="str">
        <f>IFERROR(__xludf.DUMMYFUNCTION("""COMPUTED_VALUE"""),"https://www.tiktok.com/@skittles0_05")</f>
        <v>https://www.tiktok.com/@skittles0_05</v>
      </c>
      <c r="D1602" s="273">
        <f>IFERROR(__xludf.DUMMYFUNCTION("""COMPUTED_VALUE"""),8.2286628125E10)</f>
        <v>82286628125</v>
      </c>
      <c r="E1602" s="458">
        <f>IFERROR(__xludf.DUMMYFUNCTION("""COMPUTED_VALUE"""),0.0)</f>
        <v>0</v>
      </c>
      <c r="F1602" s="273">
        <f>IFERROR(__xludf.DUMMYFUNCTION("""COMPUTED_VALUE"""),1.0)</f>
        <v>1</v>
      </c>
      <c r="G1602" t="str">
        <f>IFERROR(__xludf.DUMMYFUNCTION("""COMPUTED_VALUE"""),"Sabun batang 1 Box ( 2 PCS )")</f>
        <v>Sabun batang 1 Box ( 2 PCS )</v>
      </c>
      <c r="H1602" s="469" t="str">
        <f>IFERROR(__xludf.DUMMYFUNCTION("""COMPUTED_VALUE"""),"Sampai")</f>
        <v>Sampai</v>
      </c>
      <c r="I1602" s="470" t="str">
        <f>IFERROR(__xludf.DUMMYFUNCTION("""COMPUTED_VALUE"""),"KIMME")</f>
        <v>KIMME</v>
      </c>
      <c r="K1602" s="470" t="str">
        <f>IFERROR(__xludf.DUMMYFUNCTION("""COMPUTED_VALUE"""),"KIMME")</f>
        <v>KIMME</v>
      </c>
      <c r="M1602" s="470"/>
      <c r="O1602" s="470"/>
    </row>
    <row r="1603">
      <c r="A1603" s="282" t="str">
        <f>IFERROR(__xludf.DUMMYFUNCTION("""COMPUTED_VALUE"""),"MACRO")</f>
        <v>MACRO</v>
      </c>
      <c r="B1603" s="468" t="str">
        <f>IFERROR(__xludf.DUMMYFUNCTION("""COMPUTED_VALUE"""),"ciproet92")</f>
        <v>ciproet92</v>
      </c>
      <c r="C1603" s="283" t="str">
        <f>IFERROR(__xludf.DUMMYFUNCTION("""COMPUTED_VALUE"""),"https://www.tiktok.com/@ciproet92")</f>
        <v>https://www.tiktok.com/@ciproet92</v>
      </c>
      <c r="D1603" s="273">
        <f>IFERROR(__xludf.DUMMYFUNCTION("""COMPUTED_VALUE"""),8.581225362E10)</f>
        <v>85812253620</v>
      </c>
      <c r="E1603" s="458">
        <f>IFERROR(__xludf.DUMMYFUNCTION("""COMPUTED_VALUE"""),0.0)</f>
        <v>0</v>
      </c>
      <c r="F1603" s="273">
        <f>IFERROR(__xludf.DUMMYFUNCTION("""COMPUTED_VALUE"""),4.0)</f>
        <v>4</v>
      </c>
      <c r="G1603" t="str">
        <f>IFERROR(__xludf.DUMMYFUNCTION("""COMPUTED_VALUE"""),"Sabun batang 1 Box ( 2 PCS )")</f>
        <v>Sabun batang 1 Box ( 2 PCS )</v>
      </c>
      <c r="H1603" s="469" t="str">
        <f>IFERROR(__xludf.DUMMYFUNCTION("""COMPUTED_VALUE"""),"Sampai")</f>
        <v>Sampai</v>
      </c>
      <c r="I1603" s="470" t="str">
        <f>IFERROR(__xludf.DUMMYFUNCTION("""COMPUTED_VALUE"""),"KIMME")</f>
        <v>KIMME</v>
      </c>
      <c r="K1603" s="470" t="str">
        <f>IFERROR(__xludf.DUMMYFUNCTION("""COMPUTED_VALUE"""),"KIMME")</f>
        <v>KIMME</v>
      </c>
      <c r="M1603" s="470"/>
      <c r="O1603" s="470"/>
    </row>
    <row r="1604">
      <c r="A1604" s="282" t="str">
        <f>IFERROR(__xludf.DUMMYFUNCTION("""COMPUTED_VALUE"""),"MACRO")</f>
        <v>MACRO</v>
      </c>
      <c r="B1604" s="468" t="str">
        <f>IFERROR(__xludf.DUMMYFUNCTION("""COMPUTED_VALUE"""),"auliarhmaadnii")</f>
        <v>auliarhmaadnii</v>
      </c>
      <c r="C1604" s="283" t="str">
        <f>IFERROR(__xludf.DUMMYFUNCTION("""COMPUTED_VALUE"""),"https://www.tiktok.com/@auliarhmaadnii")</f>
        <v>https://www.tiktok.com/@auliarhmaadnii</v>
      </c>
      <c r="D1604" s="273">
        <f>IFERROR(__xludf.DUMMYFUNCTION("""COMPUTED_VALUE"""),8.3128536158E10)</f>
        <v>83128536158</v>
      </c>
      <c r="E1604" s="458">
        <f>IFERROR(__xludf.DUMMYFUNCTION("""COMPUTED_VALUE"""),0.0)</f>
        <v>0</v>
      </c>
      <c r="F1604" s="273">
        <f>IFERROR(__xludf.DUMMYFUNCTION("""COMPUTED_VALUE"""),2.0)</f>
        <v>2</v>
      </c>
      <c r="G1604" t="str">
        <f>IFERROR(__xludf.DUMMYFUNCTION("""COMPUTED_VALUE"""),"Sabun batang 1 Box ( 2 PCS )")</f>
        <v>Sabun batang 1 Box ( 2 PCS )</v>
      </c>
      <c r="H1604" s="469" t="str">
        <f>IFERROR(__xludf.DUMMYFUNCTION("""COMPUTED_VALUE"""),"Sampai")</f>
        <v>Sampai</v>
      </c>
      <c r="I1604" s="470" t="str">
        <f>IFERROR(__xludf.DUMMYFUNCTION("""COMPUTED_VALUE"""),"KIMME")</f>
        <v>KIMME</v>
      </c>
      <c r="K1604" s="470" t="str">
        <f>IFERROR(__xludf.DUMMYFUNCTION("""COMPUTED_VALUE"""),"KIMME")</f>
        <v>KIMME</v>
      </c>
      <c r="M1604" s="470"/>
      <c r="O1604" s="470"/>
    </row>
    <row r="1605">
      <c r="A1605" s="282" t="str">
        <f>IFERROR(__xludf.DUMMYFUNCTION("""COMPUTED_VALUE"""),"MICRO")</f>
        <v>MICRO</v>
      </c>
      <c r="B1605" s="468" t="str">
        <f>IFERROR(__xludf.DUMMYFUNCTION("""COMPUTED_VALUE"""),"bundadarikiky")</f>
        <v>bundadarikiky</v>
      </c>
      <c r="C1605" s="283" t="str">
        <f>IFERROR(__xludf.DUMMYFUNCTION("""COMPUTED_VALUE"""),"https://www.tiktok.com/@bundadarikiky")</f>
        <v>https://www.tiktok.com/@bundadarikiky</v>
      </c>
      <c r="D1605" s="273">
        <f>IFERROR(__xludf.DUMMYFUNCTION("""COMPUTED_VALUE"""),8.532022232E10)</f>
        <v>85320222320</v>
      </c>
      <c r="E1605" s="458">
        <f>IFERROR(__xludf.DUMMYFUNCTION("""COMPUTED_VALUE"""),0.0)</f>
        <v>0</v>
      </c>
      <c r="F1605" s="273">
        <f>IFERROR(__xludf.DUMMYFUNCTION("""COMPUTED_VALUE"""),3.0)</f>
        <v>3</v>
      </c>
      <c r="G1605" t="str">
        <f>IFERROR(__xludf.DUMMYFUNCTION("""COMPUTED_VALUE"""),"Sabun batang 1 Box ( 2 PCS )")</f>
        <v>Sabun batang 1 Box ( 2 PCS )</v>
      </c>
      <c r="H1605" s="469" t="str">
        <f>IFERROR(__xludf.DUMMYFUNCTION("""COMPUTED_VALUE"""),"Sampai")</f>
        <v>Sampai</v>
      </c>
      <c r="I1605" s="470" t="str">
        <f>IFERROR(__xludf.DUMMYFUNCTION("""COMPUTED_VALUE"""),"KIMME")</f>
        <v>KIMME</v>
      </c>
      <c r="J1605" s="471" t="str">
        <f>IFERROR(__xludf.DUMMYFUNCTION("""COMPUTED_VALUE"""),"https://vt.tiktok.com/ZS9eV59WU/")</f>
        <v>https://vt.tiktok.com/ZS9eV59WU/</v>
      </c>
      <c r="K1605" s="470" t="str">
        <f>IFERROR(__xludf.DUMMYFUNCTION("""COMPUTED_VALUE"""),"KIMME")</f>
        <v>KIMME</v>
      </c>
      <c r="L1605" s="471" t="str">
        <f>IFERROR(__xludf.DUMMYFUNCTION("""COMPUTED_VALUE"""),"https://vt.tiktok.com/ZS9eVPFWc/")</f>
        <v>https://vt.tiktok.com/ZS9eVPFWc/</v>
      </c>
      <c r="M1605" s="470"/>
      <c r="N1605" s="471" t="str">
        <f>IFERROR(__xludf.DUMMYFUNCTION("""COMPUTED_VALUE"""),"https://vt.tiktok.com/ZS9eVYnh4/")</f>
        <v>https://vt.tiktok.com/ZS9eVYnh4/</v>
      </c>
      <c r="O1605" s="470"/>
      <c r="P1605" s="471" t="str">
        <f>IFERROR(__xludf.DUMMYFUNCTION("""COMPUTED_VALUE"""),"https://vt.tiktok.com/ZS9eVfgqV/")</f>
        <v>https://vt.tiktok.com/ZS9eVfgqV/</v>
      </c>
    </row>
    <row r="1606">
      <c r="A1606" s="282" t="str">
        <f>IFERROR(__xludf.DUMMYFUNCTION("""COMPUTED_VALUE"""),"MICRO")</f>
        <v>MICRO</v>
      </c>
      <c r="B1606" s="468" t="str">
        <f>IFERROR(__xludf.DUMMYFUNCTION("""COMPUTED_VALUE"""),"azniirubyzhafira")</f>
        <v>azniirubyzhafira</v>
      </c>
      <c r="C1606" s="283" t="str">
        <f>IFERROR(__xludf.DUMMYFUNCTION("""COMPUTED_VALUE"""),"https://www.tiktok.com/@azniirubyzhafira")</f>
        <v>https://www.tiktok.com/@azniirubyzhafira</v>
      </c>
      <c r="D1606" s="273">
        <f>IFERROR(__xludf.DUMMYFUNCTION("""COMPUTED_VALUE"""),8.174862677E9)</f>
        <v>8174862677</v>
      </c>
      <c r="E1606" s="458">
        <f>IFERROR(__xludf.DUMMYFUNCTION("""COMPUTED_VALUE"""),0.0)</f>
        <v>0</v>
      </c>
      <c r="F1606" s="273">
        <f>IFERROR(__xludf.DUMMYFUNCTION("""COMPUTED_VALUE"""),4.0)</f>
        <v>4</v>
      </c>
      <c r="G1606" t="str">
        <f>IFERROR(__xludf.DUMMYFUNCTION("""COMPUTED_VALUE"""),"Sabun batang 1 Box ( 2 PCS )")</f>
        <v>Sabun batang 1 Box ( 2 PCS )</v>
      </c>
      <c r="H1606" s="469" t="str">
        <f>IFERROR(__xludf.DUMMYFUNCTION("""COMPUTED_VALUE"""),"Sampai")</f>
        <v>Sampai</v>
      </c>
      <c r="I1606" s="470" t="str">
        <f>IFERROR(__xludf.DUMMYFUNCTION("""COMPUTED_VALUE"""),"KIMME")</f>
        <v>KIMME</v>
      </c>
      <c r="J1606" s="471" t="str">
        <f>IFERROR(__xludf.DUMMYFUNCTION("""COMPUTED_VALUE"""),"https://vt.tiktok.com/ZS9eqh363/")</f>
        <v>https://vt.tiktok.com/ZS9eqh363/</v>
      </c>
      <c r="K1606" s="470" t="str">
        <f>IFERROR(__xludf.DUMMYFUNCTION("""COMPUTED_VALUE"""),"KIMME")</f>
        <v>KIMME</v>
      </c>
      <c r="L1606" s="471" t="str">
        <f>IFERROR(__xludf.DUMMYFUNCTION("""COMPUTED_VALUE"""),"https://vt.tiktok.com/ZS9eqFr6W/")</f>
        <v>https://vt.tiktok.com/ZS9eqFr6W/</v>
      </c>
      <c r="M1606" s="470"/>
      <c r="N1606" s="471" t="str">
        <f>IFERROR(__xludf.DUMMYFUNCTION("""COMPUTED_VALUE"""),"https://vt.tiktok.com/ZS9eqk3fq/")</f>
        <v>https://vt.tiktok.com/ZS9eqk3fq/</v>
      </c>
      <c r="O1606" s="470"/>
      <c r="P1606" s="471" t="str">
        <f>IFERROR(__xludf.DUMMYFUNCTION("""COMPUTED_VALUE"""),"https://vt.tiktok.com/ZS98NGqCr/")</f>
        <v>https://vt.tiktok.com/ZS98NGqCr/</v>
      </c>
    </row>
    <row r="1607">
      <c r="A1607" s="282" t="str">
        <f>IFERROR(__xludf.DUMMYFUNCTION("""COMPUTED_VALUE"""),"MICRO")</f>
        <v>MICRO</v>
      </c>
      <c r="B1607" s="468" t="str">
        <f>IFERROR(__xludf.DUMMYFUNCTION("""COMPUTED_VALUE"""),"spalspilwithpatun_")</f>
        <v>spalspilwithpatun_</v>
      </c>
      <c r="C1607" s="283" t="str">
        <f>IFERROR(__xludf.DUMMYFUNCTION("""COMPUTED_VALUE"""),"https://www.tiktok.com/@spalspilwithpatun_")</f>
        <v>https://www.tiktok.com/@spalspilwithpatun_</v>
      </c>
      <c r="D1607" s="273">
        <f>IFERROR(__xludf.DUMMYFUNCTION("""COMPUTED_VALUE"""),8.2279314382E10)</f>
        <v>82279314382</v>
      </c>
      <c r="E1607" s="458">
        <f>IFERROR(__xludf.DUMMYFUNCTION("""COMPUTED_VALUE"""),0.0)</f>
        <v>0</v>
      </c>
      <c r="F1607" s="273">
        <f>IFERROR(__xludf.DUMMYFUNCTION("""COMPUTED_VALUE"""),4.0)</f>
        <v>4</v>
      </c>
      <c r="G1607" t="str">
        <f>IFERROR(__xludf.DUMMYFUNCTION("""COMPUTED_VALUE"""),"Sabun batang 1 Box ( 2 PCS )")</f>
        <v>Sabun batang 1 Box ( 2 PCS )</v>
      </c>
      <c r="H1607" s="469" t="str">
        <f>IFERROR(__xludf.DUMMYFUNCTION("""COMPUTED_VALUE"""),"Sampai")</f>
        <v>Sampai</v>
      </c>
      <c r="I1607" s="470" t="str">
        <f>IFERROR(__xludf.DUMMYFUNCTION("""COMPUTED_VALUE"""),"KIMME")</f>
        <v>KIMME</v>
      </c>
      <c r="J1607" s="471" t="str">
        <f>IFERROR(__xludf.DUMMYFUNCTION("""COMPUTED_VALUE"""),"https://www.tiktok.com/@meituni29/video/7635176906274426133?_r=1&amp;u_code=dibcckj1hfg2cm&amp;region=&amp;mid=6981828410792216577&amp;preview_pb=0&amp;sharer_language=&amp;_d=0&amp;ec_shared_reflux_dynamic_params=%7B%22placeholder_material_id%22%3A%227635176906274426133%22%2C%22pla"&amp;"ceholder_origin_cover%22%3A%22https%253A%252F%252Fp16-common-sign.tiktokcdn.com%252Ftos-alisg-p-0037%252Fo8I1IBACIm4fAkB00iHDvYJ1uX5C5iEwqRWPAQ~tplv-tiktokx-origin.jpeg%253Fdr%253D14572%2526refresh_token%253D20d2b8ab%2526x-expires%253D1809504000%2526x-sig"&amp;"nature%253DtiX4Czx15w%25252BdaCy5Z%25252BA8oVJ0md4%25253D%2526t%253D4d5b0474%2526ps%253D13740610%2526shp%253Dd05b14bd%2526shcp%253D34ff8df6%2526idc%253Dmy%2526s%253DTIKTOK_AFFILIATE_VIRAL_VIDEO%22%2C%22placeholder_product_id%22%3A%221729427766722726591%22"&amp;"%2C%22placeholder_video_id%22%3A%227635176906274426133%22%7D&amp;ec_shared_reflux_scene=shop_tab_feed&amp;share_item_id=7635176906274426133&amp;source=h5_t")</f>
        <v>https://www.tiktok.com/@meituni29/video/7635176906274426133?_r=1&amp;u_code=dibcckj1hfg2cm&amp;region=&amp;mid=6981828410792216577&amp;preview_pb=0&amp;sharer_language=&amp;_d=0&amp;ec_shared_reflux_dynamic_params=%7B%22placeholder_material_id%22%3A%227635176906274426133%22%2C%22placeholder_origin_cover%22%3A%22https%253A%252F%252Fp16-common-sign.tiktokcdn.com%252Ftos-alisg-p-0037%252Fo8I1IBACIm4fAkB00iHDvYJ1uX5C5iEwqRWPAQ~tplv-tiktokx-origin.jpeg%253Fdr%253D14572%2526refresh_token%253D20d2b8ab%2526x-expires%253D1809504000%2526x-signature%253DtiX4Czx15w%25252BdaCy5Z%25252BA8oVJ0md4%25253D%2526t%253D4d5b0474%2526ps%253D13740610%2526shp%253Dd05b14bd%2526shcp%253D34ff8df6%2526idc%253Dmy%2526s%253DTIKTOK_AFFILIATE_VIRAL_VIDEO%22%2C%22placeholder_product_id%22%3A%221729427766722726591%22%2C%22placeholder_video_id%22%3A%227635176906274426133%22%7D&amp;ec_shared_reflux_scene=shop_tab_feed&amp;share_item_id=7635176906274426133&amp;source=h5_t</v>
      </c>
      <c r="K1607" s="470" t="str">
        <f>IFERROR(__xludf.DUMMYFUNCTION("""COMPUTED_VALUE"""),"KIMME")</f>
        <v>KIMME</v>
      </c>
      <c r="L1607" s="471" t="str">
        <f>IFERROR(__xludf.DUMMYFUNCTION("""COMPUTED_VALUE"""),"https://www.tiktok.com/@meituni29/video/7635265293807389973?_r=1&amp;u_code=dibcckj1hfg2cm&amp;region=&amp;mid=7605117866958358529&amp;preview_pb=0&amp;sharer_language=&amp;_d=0&amp;ec_shared_reflux_dynamic_params=%7B%22placeholder_material_id%22%3A%227635265293807389973%22%2C%22pla"&amp;"ceholder_origin_cover%22%3A%22https%253A%252F%252Fp19-common-sign.tiktokcdn.com%252Ftos-alisg-p-0037%252Fos7GLC6f9IezVjK1IBOVIe9Xo66qTIAQXD4jAs~tplv-tiktokx-origin.jpeg%253Fdr%253D14572%2526refresh_token%253Daad2a06c%2526x-expires%253D1809504000%2526x-sig"&amp;"nature%253Dtz%25252F0JgNDpQjJ3%25252Bci7tl0vsuN9QM%25253D%2526t%253D4d5b0474%2526ps%253D13740610%2526shp%253Dd05b14bd%2526shcp%253D34ff8df6%2526idc%253Dmy%2526s%253DTIKTOK_AFFILIATE_VIRAL_VIDEO%22%2C%22placeholder_product_id%22%3A%221729729730555512511%22"&amp;"%2C%22placeholder_video_id%22%3A%227635265293807389973%22%7D&amp;ec_shared_reflux_scene=shop_tab_feed&amp;share_item_id=7635265293807389973&amp;source=h5_t")</f>
        <v>https://www.tiktok.com/@meituni29/video/7635265293807389973?_r=1&amp;u_code=dibcckj1hfg2cm&amp;region=&amp;mid=7605117866958358529&amp;preview_pb=0&amp;sharer_language=&amp;_d=0&amp;ec_shared_reflux_dynamic_params=%7B%22placeholder_material_id%22%3A%227635265293807389973%22%2C%22placeholder_origin_cover%22%3A%22https%253A%252F%252Fp19-common-sign.tiktokcdn.com%252Ftos-alisg-p-0037%252Fos7GLC6f9IezVjK1IBOVIe9Xo66qTIAQXD4jAs~tplv-tiktokx-origin.jpeg%253Fdr%253D14572%2526refresh_token%253Daad2a06c%2526x-expires%253D1809504000%2526x-signature%253Dtz%25252F0JgNDpQjJ3%25252Bci7tl0vsuN9QM%25253D%2526t%253D4d5b0474%2526ps%253D13740610%2526shp%253Dd05b14bd%2526shcp%253D34ff8df6%2526idc%253Dmy%2526s%253DTIKTOK_AFFILIATE_VIRAL_VIDEO%22%2C%22placeholder_product_id%22%3A%221729729730555512511%22%2C%22placeholder_video_id%22%3A%227635265293807389973%22%7D&amp;ec_shared_reflux_scene=shop_tab_feed&amp;share_item_id=7635265293807389973&amp;source=h5_t</v>
      </c>
      <c r="M1607" s="470"/>
      <c r="N1607" s="471" t="str">
        <f>IFERROR(__xludf.DUMMYFUNCTION("""COMPUTED_VALUE"""),"https://www.tiktok.com/@meituni29/video/7635297460130270485?_r=1&amp;u_code=dibcckj1hfg2cm&amp;region=&amp;mid=7397818121896593424&amp;preview_pb=0&amp;sharer_language=&amp;_d=0&amp;ec_shared_reflux_dynamic_params=%7B%22placeholder_material_id%22%3A%227635297460130270485%22%2C%22pla"&amp;"ceholder_origin_cover%22%3A%22https%253A%252F%252Fp16-common-sign.tiktokcdn.com%252Ftos-alisg-p-0037%252Foc2Ug9DBTIpdFvZYSUfBRebIqmDHBgEbAEBKPI~tplv-tiktokx-origin.jpeg%253Fdr%253D14572%2526refresh_token%253D165fe96c%2526x-expires%253D1809504000%2526x-sig"&amp;"nature%253D3vF6R6JXSOiE833lngAENSEoStE%25253D%2526t%253D4d5b0474%2526ps%253D13740610%2526shp%253Dd05b14bd%2526shcp%253D34ff8df6%2526idc%253Dmy%2526s%253DTIKTOK_AFFILIATE_VIRAL_VIDEO%22%2C%22placeholder_product_id%22%3A%221729427766722726591%22%2C%22placeh"&amp;"older_video_id%22%3A%227635297460130270485%22%7D&amp;ec_shared_reflux_scene=shop_tab_feed&amp;share_item_id=7635297460130270485&amp;source=h5_t")</f>
        <v>https://www.tiktok.com/@meituni29/video/7635297460130270485?_r=1&amp;u_code=dibcckj1hfg2cm&amp;region=&amp;mid=7397818121896593424&amp;preview_pb=0&amp;sharer_language=&amp;_d=0&amp;ec_shared_reflux_dynamic_params=%7B%22placeholder_material_id%22%3A%227635297460130270485%22%2C%22placeholder_origin_cover%22%3A%22https%253A%252F%252Fp16-common-sign.tiktokcdn.com%252Ftos-alisg-p-0037%252Foc2Ug9DBTIpdFvZYSUfBRebIqmDHBgEbAEBKPI~tplv-tiktokx-origin.jpeg%253Fdr%253D14572%2526refresh_token%253D165fe96c%2526x-expires%253D1809504000%2526x-signature%253D3vF6R6JXSOiE833lngAENSEoStE%25253D%2526t%253D4d5b0474%2526ps%253D13740610%2526shp%253Dd05b14bd%2526shcp%253D34ff8df6%2526idc%253Dmy%2526s%253DTIKTOK_AFFILIATE_VIRAL_VIDEO%22%2C%22placeholder_product_id%22%3A%221729427766722726591%22%2C%22placeholder_video_id%22%3A%227635297460130270485%22%7D&amp;ec_shared_reflux_scene=shop_tab_feed&amp;share_item_id=7635297460130270485&amp;source=h5_t</v>
      </c>
      <c r="O1607" s="470"/>
      <c r="P1607" s="471" t="str">
        <f>IFERROR(__xludf.DUMMYFUNCTION("""COMPUTED_VALUE"""),"https://vt.tiktok.com/ZS9ojERFm/")</f>
        <v>https://vt.tiktok.com/ZS9ojERFm/</v>
      </c>
    </row>
    <row r="1608">
      <c r="A1608" s="282" t="str">
        <f>IFERROR(__xludf.DUMMYFUNCTION("""COMPUTED_VALUE"""),"MICRO")</f>
        <v>MICRO</v>
      </c>
      <c r="B1608" s="468" t="str">
        <f>IFERROR(__xludf.DUMMYFUNCTION("""COMPUTED_VALUE"""),"mezamahira")</f>
        <v>mezamahira</v>
      </c>
      <c r="C1608" s="283" t="str">
        <f>IFERROR(__xludf.DUMMYFUNCTION("""COMPUTED_VALUE"""),"https://www.tiktok.com/@mezamahira")</f>
        <v>https://www.tiktok.com/@mezamahira</v>
      </c>
      <c r="D1608" s="273">
        <f>IFERROR(__xludf.DUMMYFUNCTION("""COMPUTED_VALUE"""),8.2166398794E10)</f>
        <v>82166398794</v>
      </c>
      <c r="E1608" s="458">
        <f>IFERROR(__xludf.DUMMYFUNCTION("""COMPUTED_VALUE"""),0.0)</f>
        <v>0</v>
      </c>
      <c r="F1608" s="273">
        <f>IFERROR(__xludf.DUMMYFUNCTION("""COMPUTED_VALUE"""),4.0)</f>
        <v>4</v>
      </c>
      <c r="G1608" t="str">
        <f>IFERROR(__xludf.DUMMYFUNCTION("""COMPUTED_VALUE"""),"Sabun batang 1 Box ( 2 PCS )")</f>
        <v>Sabun batang 1 Box ( 2 PCS )</v>
      </c>
      <c r="H1608" s="469" t="str">
        <f>IFERROR(__xludf.DUMMYFUNCTION("""COMPUTED_VALUE"""),"Sampai")</f>
        <v>Sampai</v>
      </c>
      <c r="I1608" s="470" t="str">
        <f>IFERROR(__xludf.DUMMYFUNCTION("""COMPUTED_VALUE"""),"KIMME")</f>
        <v>KIMME</v>
      </c>
      <c r="J1608" s="471" t="str">
        <f>IFERROR(__xludf.DUMMYFUNCTION("""COMPUTED_VALUE"""),"https://vt.tiktok.com/ZS9eV59WU/")</f>
        <v>https://vt.tiktok.com/ZS9eV59WU/</v>
      </c>
      <c r="K1608" s="470" t="str">
        <f>IFERROR(__xludf.DUMMYFUNCTION("""COMPUTED_VALUE"""),"KIMME")</f>
        <v>KIMME</v>
      </c>
      <c r="L1608" s="471" t="str">
        <f>IFERROR(__xludf.DUMMYFUNCTION("""COMPUTED_VALUE"""),"https://vt.tiktok.com/ZS9eVPFWc/")</f>
        <v>https://vt.tiktok.com/ZS9eVPFWc/</v>
      </c>
      <c r="M1608" s="470"/>
      <c r="N1608" s="471" t="str">
        <f>IFERROR(__xludf.DUMMYFUNCTION("""COMPUTED_VALUE"""),"https://vt.tiktok.com/ZS9eVYnh4/")</f>
        <v>https://vt.tiktok.com/ZS9eVYnh4/</v>
      </c>
      <c r="O1608" s="470"/>
      <c r="P1608" s="471" t="str">
        <f>IFERROR(__xludf.DUMMYFUNCTION("""COMPUTED_VALUE"""),"https://vt.tiktok.com/ZS9eVfgqV/")</f>
        <v>https://vt.tiktok.com/ZS9eVfgqV/</v>
      </c>
    </row>
    <row r="1609">
      <c r="A1609" s="282" t="str">
        <f>IFERROR(__xludf.DUMMYFUNCTION("""COMPUTED_VALUE"""),"MICRO")</f>
        <v>MICRO</v>
      </c>
      <c r="B1609" s="468" t="str">
        <f>IFERROR(__xludf.DUMMYFUNCTION("""COMPUTED_VALUE"""),"itsagatta")</f>
        <v>itsagatta</v>
      </c>
      <c r="C1609" s="283" t="str">
        <f>IFERROR(__xludf.DUMMYFUNCTION("""COMPUTED_VALUE"""),"https://www.tiktok.com/@itsagatta")</f>
        <v>https://www.tiktok.com/@itsagatta</v>
      </c>
      <c r="D1609" s="273">
        <f>IFERROR(__xludf.DUMMYFUNCTION("""COMPUTED_VALUE"""),8.7808075753E10)</f>
        <v>87808075753</v>
      </c>
      <c r="E1609" s="458">
        <f>IFERROR(__xludf.DUMMYFUNCTION("""COMPUTED_VALUE"""),0.0)</f>
        <v>0</v>
      </c>
      <c r="F1609" s="273">
        <f>IFERROR(__xludf.DUMMYFUNCTION("""COMPUTED_VALUE"""),2.0)</f>
        <v>2</v>
      </c>
      <c r="G1609" t="str">
        <f>IFERROR(__xludf.DUMMYFUNCTION("""COMPUTED_VALUE"""),"Sabun batang 1 Box ( 2 PCS )")</f>
        <v>Sabun batang 1 Box ( 2 PCS )</v>
      </c>
      <c r="H1609" s="469" t="str">
        <f>IFERROR(__xludf.DUMMYFUNCTION("""COMPUTED_VALUE"""),"Sampai")</f>
        <v>Sampai</v>
      </c>
      <c r="I1609" s="470" t="str">
        <f>IFERROR(__xludf.DUMMYFUNCTION("""COMPUTED_VALUE"""),"KIMME")</f>
        <v>KIMME</v>
      </c>
      <c r="J1609" s="471" t="str">
        <f>IFERROR(__xludf.DUMMYFUNCTION("""COMPUTED_VALUE"""),"https://vt.tiktok.com/ZS9eqh363/")</f>
        <v>https://vt.tiktok.com/ZS9eqh363/</v>
      </c>
      <c r="K1609" s="470" t="str">
        <f>IFERROR(__xludf.DUMMYFUNCTION("""COMPUTED_VALUE"""),"KIMME")</f>
        <v>KIMME</v>
      </c>
      <c r="L1609" s="471" t="str">
        <f>IFERROR(__xludf.DUMMYFUNCTION("""COMPUTED_VALUE"""),"https://vt.tiktok.com/ZS9eqFr6W/")</f>
        <v>https://vt.tiktok.com/ZS9eqFr6W/</v>
      </c>
      <c r="M1609" s="470"/>
      <c r="N1609" s="471" t="str">
        <f>IFERROR(__xludf.DUMMYFUNCTION("""COMPUTED_VALUE"""),"https://vt.tiktok.com/ZS9eqk3fq/")</f>
        <v>https://vt.tiktok.com/ZS9eqk3fq/</v>
      </c>
      <c r="O1609" s="470"/>
      <c r="P1609" s="471" t="str">
        <f>IFERROR(__xludf.DUMMYFUNCTION("""COMPUTED_VALUE"""),"https://vt.tiktok.com/ZS98NGqCr/")</f>
        <v>https://vt.tiktok.com/ZS98NGqCr/</v>
      </c>
    </row>
    <row r="1610">
      <c r="A1610" s="282" t="str">
        <f>IFERROR(__xludf.DUMMYFUNCTION("""COMPUTED_VALUE"""),"MICRO")</f>
        <v>MICRO</v>
      </c>
      <c r="B1610" s="468" t="str">
        <f>IFERROR(__xludf.DUMMYFUNCTION("""COMPUTED_VALUE"""),"queen_olshop_lampung")</f>
        <v>queen_olshop_lampung</v>
      </c>
      <c r="C1610" s="283" t="str">
        <f>IFERROR(__xludf.DUMMYFUNCTION("""COMPUTED_VALUE"""),"https://www.tiktok.com/@queen_olshop_lampung")</f>
        <v>https://www.tiktok.com/@queen_olshop_lampung</v>
      </c>
      <c r="D1610" s="273">
        <f>IFERROR(__xludf.DUMMYFUNCTION("""COMPUTED_VALUE"""),8.5268828434E10)</f>
        <v>85268828434</v>
      </c>
      <c r="E1610" s="458">
        <f>IFERROR(__xludf.DUMMYFUNCTION("""COMPUTED_VALUE"""),0.0)</f>
        <v>0</v>
      </c>
      <c r="F1610" s="273">
        <f>IFERROR(__xludf.DUMMYFUNCTION("""COMPUTED_VALUE"""),4.0)</f>
        <v>4</v>
      </c>
      <c r="G1610" t="str">
        <f>IFERROR(__xludf.DUMMYFUNCTION("""COMPUTED_VALUE"""),"Sabun batang 1 Box ( 2 PCS )")</f>
        <v>Sabun batang 1 Box ( 2 PCS )</v>
      </c>
      <c r="H1610" s="469" t="str">
        <f>IFERROR(__xludf.DUMMYFUNCTION("""COMPUTED_VALUE"""),"Sampai")</f>
        <v>Sampai</v>
      </c>
      <c r="I1610" s="470" t="str">
        <f>IFERROR(__xludf.DUMMYFUNCTION("""COMPUTED_VALUE"""),"KIMME")</f>
        <v>KIMME</v>
      </c>
      <c r="J1610" s="471" t="str">
        <f>IFERROR(__xludf.DUMMYFUNCTION("""COMPUTED_VALUE"""),"https://www.tiktok.com/@meituni29/video/7635176906274426133?_r=1&amp;u_code=dibcckj1hfg2cm&amp;region=&amp;mid=6981828410792216577&amp;preview_pb=0&amp;sharer_language=&amp;_d=0&amp;ec_shared_reflux_dynamic_params=%7B%22placeholder_material_id%22%3A%227635176906274426133%22%2C%22pla"&amp;"ceholder_origin_cover%22%3A%22https%253A%252F%252Fp16-common-sign.tiktokcdn.com%252Ftos-alisg-p-0037%252Fo8I1IBACIm4fAkB00iHDvYJ1uX5C5iEwqRWPAQ~tplv-tiktokx-origin.jpeg%253Fdr%253D14572%2526refresh_token%253D20d2b8ab%2526x-expires%253D1809504000%2526x-sig"&amp;"nature%253DtiX4Czx15w%25252BdaCy5Z%25252BA8oVJ0md4%25253D%2526t%253D4d5b0474%2526ps%253D13740610%2526shp%253Dd05b14bd%2526shcp%253D34ff8df6%2526idc%253Dmy%2526s%253DTIKTOK_AFFILIATE_VIRAL_VIDEO%22%2C%22placeholder_product_id%22%3A%221729427766722726591%22"&amp;"%2C%22placeholder_video_id%22%3A%227635176906274426133%22%7D&amp;ec_shared_reflux_scene=shop_tab_feed&amp;share_item_id=7635176906274426133&amp;source=h5_t")</f>
        <v>https://www.tiktok.com/@meituni29/video/7635176906274426133?_r=1&amp;u_code=dibcckj1hfg2cm&amp;region=&amp;mid=6981828410792216577&amp;preview_pb=0&amp;sharer_language=&amp;_d=0&amp;ec_shared_reflux_dynamic_params=%7B%22placeholder_material_id%22%3A%227635176906274426133%22%2C%22placeholder_origin_cover%22%3A%22https%253A%252F%252Fp16-common-sign.tiktokcdn.com%252Ftos-alisg-p-0037%252Fo8I1IBACIm4fAkB00iHDvYJ1uX5C5iEwqRWPAQ~tplv-tiktokx-origin.jpeg%253Fdr%253D14572%2526refresh_token%253D20d2b8ab%2526x-expires%253D1809504000%2526x-signature%253DtiX4Czx15w%25252BdaCy5Z%25252BA8oVJ0md4%25253D%2526t%253D4d5b0474%2526ps%253D13740610%2526shp%253Dd05b14bd%2526shcp%253D34ff8df6%2526idc%253Dmy%2526s%253DTIKTOK_AFFILIATE_VIRAL_VIDEO%22%2C%22placeholder_product_id%22%3A%221729427766722726591%22%2C%22placeholder_video_id%22%3A%227635176906274426133%22%7D&amp;ec_shared_reflux_scene=shop_tab_feed&amp;share_item_id=7635176906274426133&amp;source=h5_t</v>
      </c>
      <c r="K1610" s="470" t="str">
        <f>IFERROR(__xludf.DUMMYFUNCTION("""COMPUTED_VALUE"""),"KIMME")</f>
        <v>KIMME</v>
      </c>
      <c r="L1610" s="471" t="str">
        <f>IFERROR(__xludf.DUMMYFUNCTION("""COMPUTED_VALUE"""),"https://www.tiktok.com/@meituni29/video/7635265293807389973?_r=1&amp;u_code=dibcckj1hfg2cm&amp;region=&amp;mid=7605117866958358529&amp;preview_pb=0&amp;sharer_language=&amp;_d=0&amp;ec_shared_reflux_dynamic_params=%7B%22placeholder_material_id%22%3A%227635265293807389973%22%2C%22pla"&amp;"ceholder_origin_cover%22%3A%22https%253A%252F%252Fp19-common-sign.tiktokcdn.com%252Ftos-alisg-p-0037%252Fos7GLC6f9IezVjK1IBOVIe9Xo66qTIAQXD4jAs~tplv-tiktokx-origin.jpeg%253Fdr%253D14572%2526refresh_token%253Daad2a06c%2526x-expires%253D1809504000%2526x-sig"&amp;"nature%253Dtz%25252F0JgNDpQjJ3%25252Bci7tl0vsuN9QM%25253D%2526t%253D4d5b0474%2526ps%253D13740610%2526shp%253Dd05b14bd%2526shcp%253D34ff8df6%2526idc%253Dmy%2526s%253DTIKTOK_AFFILIATE_VIRAL_VIDEO%22%2C%22placeholder_product_id%22%3A%221729729730555512511%22"&amp;"%2C%22placeholder_video_id%22%3A%227635265293807389973%22%7D&amp;ec_shared_reflux_scene=shop_tab_feed&amp;share_item_id=7635265293807389973&amp;source=h5_t")</f>
        <v>https://www.tiktok.com/@meituni29/video/7635265293807389973?_r=1&amp;u_code=dibcckj1hfg2cm&amp;region=&amp;mid=7605117866958358529&amp;preview_pb=0&amp;sharer_language=&amp;_d=0&amp;ec_shared_reflux_dynamic_params=%7B%22placeholder_material_id%22%3A%227635265293807389973%22%2C%22placeholder_origin_cover%22%3A%22https%253A%252F%252Fp19-common-sign.tiktokcdn.com%252Ftos-alisg-p-0037%252Fos7GLC6f9IezVjK1IBOVIe9Xo66qTIAQXD4jAs~tplv-tiktokx-origin.jpeg%253Fdr%253D14572%2526refresh_token%253Daad2a06c%2526x-expires%253D1809504000%2526x-signature%253Dtz%25252F0JgNDpQjJ3%25252Bci7tl0vsuN9QM%25253D%2526t%253D4d5b0474%2526ps%253D13740610%2526shp%253Dd05b14bd%2526shcp%253D34ff8df6%2526idc%253Dmy%2526s%253DTIKTOK_AFFILIATE_VIRAL_VIDEO%22%2C%22placeholder_product_id%22%3A%221729729730555512511%22%2C%22placeholder_video_id%22%3A%227635265293807389973%22%7D&amp;ec_shared_reflux_scene=shop_tab_feed&amp;share_item_id=7635265293807389973&amp;source=h5_t</v>
      </c>
      <c r="M1610" s="470"/>
      <c r="N1610" s="471" t="str">
        <f>IFERROR(__xludf.DUMMYFUNCTION("""COMPUTED_VALUE"""),"https://www.tiktok.com/@meituni29/video/7635297460130270485?_r=1&amp;u_code=dibcckj1hfg2cm&amp;region=&amp;mid=7397818121896593424&amp;preview_pb=0&amp;sharer_language=&amp;_d=0&amp;ec_shared_reflux_dynamic_params=%7B%22placeholder_material_id%22%3A%227635297460130270485%22%2C%22pla"&amp;"ceholder_origin_cover%22%3A%22https%253A%252F%252Fp16-common-sign.tiktokcdn.com%252Ftos-alisg-p-0037%252Foc2Ug9DBTIpdFvZYSUfBRebIqmDHBgEbAEBKPI~tplv-tiktokx-origin.jpeg%253Fdr%253D14572%2526refresh_token%253D165fe96c%2526x-expires%253D1809504000%2526x-sig"&amp;"nature%253D3vF6R6JXSOiE833lngAENSEoStE%25253D%2526t%253D4d5b0474%2526ps%253D13740610%2526shp%253Dd05b14bd%2526shcp%253D34ff8df6%2526idc%253Dmy%2526s%253DTIKTOK_AFFILIATE_VIRAL_VIDEO%22%2C%22placeholder_product_id%22%3A%221729427766722726591%22%2C%22placeh"&amp;"older_video_id%22%3A%227635297460130270485%22%7D&amp;ec_shared_reflux_scene=shop_tab_feed&amp;share_item_id=7635297460130270485&amp;source=h5_t")</f>
        <v>https://www.tiktok.com/@meituni29/video/7635297460130270485?_r=1&amp;u_code=dibcckj1hfg2cm&amp;region=&amp;mid=7397818121896593424&amp;preview_pb=0&amp;sharer_language=&amp;_d=0&amp;ec_shared_reflux_dynamic_params=%7B%22placeholder_material_id%22%3A%227635297460130270485%22%2C%22placeholder_origin_cover%22%3A%22https%253A%252F%252Fp16-common-sign.tiktokcdn.com%252Ftos-alisg-p-0037%252Foc2Ug9DBTIpdFvZYSUfBRebIqmDHBgEbAEBKPI~tplv-tiktokx-origin.jpeg%253Fdr%253D14572%2526refresh_token%253D165fe96c%2526x-expires%253D1809504000%2526x-signature%253D3vF6R6JXSOiE833lngAENSEoStE%25253D%2526t%253D4d5b0474%2526ps%253D13740610%2526shp%253Dd05b14bd%2526shcp%253D34ff8df6%2526idc%253Dmy%2526s%253DTIKTOK_AFFILIATE_VIRAL_VIDEO%22%2C%22placeholder_product_id%22%3A%221729427766722726591%22%2C%22placeholder_video_id%22%3A%227635297460130270485%22%7D&amp;ec_shared_reflux_scene=shop_tab_feed&amp;share_item_id=7635297460130270485&amp;source=h5_t</v>
      </c>
      <c r="O1610" s="470"/>
      <c r="P1610" s="471" t="str">
        <f>IFERROR(__xludf.DUMMYFUNCTION("""COMPUTED_VALUE"""),"https://vt.tiktok.com/ZS9ojERFm/")</f>
        <v>https://vt.tiktok.com/ZS9ojERFm/</v>
      </c>
    </row>
    <row r="1611">
      <c r="A1611" s="282" t="str">
        <f>IFERROR(__xludf.DUMMYFUNCTION("""COMPUTED_VALUE"""),"MICRO")</f>
        <v>MICRO</v>
      </c>
      <c r="B1611" s="468" t="str">
        <f>IFERROR(__xludf.DUMMYFUNCTION("""COMPUTED_VALUE"""),"cahayabodycare")</f>
        <v>cahayabodycare</v>
      </c>
      <c r="C1611" s="283" t="str">
        <f>IFERROR(__xludf.DUMMYFUNCTION("""COMPUTED_VALUE"""),"https://www.tiktok.com/@cahayabodycare")</f>
        <v>https://www.tiktok.com/@cahayabodycare</v>
      </c>
      <c r="D1611" s="273">
        <f>IFERROR(__xludf.DUMMYFUNCTION("""COMPUTED_VALUE"""),8.7858402903E10)</f>
        <v>87858402903</v>
      </c>
      <c r="E1611" s="458">
        <f>IFERROR(__xludf.DUMMYFUNCTION("""COMPUTED_VALUE"""),0.0)</f>
        <v>0</v>
      </c>
      <c r="F1611" s="273">
        <f>IFERROR(__xludf.DUMMYFUNCTION("""COMPUTED_VALUE"""),4.0)</f>
        <v>4</v>
      </c>
      <c r="G1611" t="str">
        <f>IFERROR(__xludf.DUMMYFUNCTION("""COMPUTED_VALUE"""),"Sabun batang 1 Box ( 2 PCS )")</f>
        <v>Sabun batang 1 Box ( 2 PCS )</v>
      </c>
      <c r="H1611" s="469" t="str">
        <f>IFERROR(__xludf.DUMMYFUNCTION("""COMPUTED_VALUE"""),"Sampai")</f>
        <v>Sampai</v>
      </c>
      <c r="I1611" s="470" t="str">
        <f>IFERROR(__xludf.DUMMYFUNCTION("""COMPUTED_VALUE"""),"KIMME")</f>
        <v>KIMME</v>
      </c>
      <c r="J1611" s="471" t="str">
        <f>IFERROR(__xludf.DUMMYFUNCTION("""COMPUTED_VALUE"""),"https://vt.tiktok.com/ZS9eV59WU/")</f>
        <v>https://vt.tiktok.com/ZS9eV59WU/</v>
      </c>
      <c r="K1611" s="470" t="str">
        <f>IFERROR(__xludf.DUMMYFUNCTION("""COMPUTED_VALUE"""),"KIMME")</f>
        <v>KIMME</v>
      </c>
      <c r="L1611" s="471" t="str">
        <f>IFERROR(__xludf.DUMMYFUNCTION("""COMPUTED_VALUE"""),"https://vt.tiktok.com/ZS9eVPFWc/")</f>
        <v>https://vt.tiktok.com/ZS9eVPFWc/</v>
      </c>
      <c r="M1611" s="470"/>
      <c r="N1611" s="471" t="str">
        <f>IFERROR(__xludf.DUMMYFUNCTION("""COMPUTED_VALUE"""),"https://vt.tiktok.com/ZS9eVYnh4/")</f>
        <v>https://vt.tiktok.com/ZS9eVYnh4/</v>
      </c>
      <c r="O1611" s="470"/>
      <c r="P1611" s="471" t="str">
        <f>IFERROR(__xludf.DUMMYFUNCTION("""COMPUTED_VALUE"""),"https://vt.tiktok.com/ZS9eVfgqV/")</f>
        <v>https://vt.tiktok.com/ZS9eVfgqV/</v>
      </c>
    </row>
    <row r="1612">
      <c r="A1612" s="282" t="str">
        <f>IFERROR(__xludf.DUMMYFUNCTION("""COMPUTED_VALUE"""),"MICRO")</f>
        <v>MICRO</v>
      </c>
      <c r="B1612" s="468" t="str">
        <f>IFERROR(__xludf.DUMMYFUNCTION("""COMPUTED_VALUE"""),"liwiastor")</f>
        <v>liwiastor</v>
      </c>
      <c r="C1612" s="283" t="str">
        <f>IFERROR(__xludf.DUMMYFUNCTION("""COMPUTED_VALUE"""),"https://www.tiktok.com/@liwiastor")</f>
        <v>https://www.tiktok.com/@liwiastor</v>
      </c>
      <c r="D1612" s="273">
        <f>IFERROR(__xludf.DUMMYFUNCTION("""COMPUTED_VALUE"""),8.1282832245E10)</f>
        <v>81282832245</v>
      </c>
      <c r="E1612" s="458">
        <f>IFERROR(__xludf.DUMMYFUNCTION("""COMPUTED_VALUE"""),0.0)</f>
        <v>0</v>
      </c>
      <c r="F1612" s="273">
        <f>IFERROR(__xludf.DUMMYFUNCTION("""COMPUTED_VALUE"""),4.0)</f>
        <v>4</v>
      </c>
      <c r="G1612" t="str">
        <f>IFERROR(__xludf.DUMMYFUNCTION("""COMPUTED_VALUE"""),"Sabun batang 1 Box ( 2 PCS )")</f>
        <v>Sabun batang 1 Box ( 2 PCS )</v>
      </c>
      <c r="H1612" s="469" t="str">
        <f>IFERROR(__xludf.DUMMYFUNCTION("""COMPUTED_VALUE"""),"Sampai")</f>
        <v>Sampai</v>
      </c>
      <c r="I1612" s="470" t="str">
        <f>IFERROR(__xludf.DUMMYFUNCTION("""COMPUTED_VALUE"""),"KIMME")</f>
        <v>KIMME</v>
      </c>
      <c r="J1612" s="471" t="str">
        <f>IFERROR(__xludf.DUMMYFUNCTION("""COMPUTED_VALUE"""),"https://vt.tiktok.com/ZS9eqh363/")</f>
        <v>https://vt.tiktok.com/ZS9eqh363/</v>
      </c>
      <c r="K1612" s="470" t="str">
        <f>IFERROR(__xludf.DUMMYFUNCTION("""COMPUTED_VALUE"""),"KIMME")</f>
        <v>KIMME</v>
      </c>
      <c r="L1612" s="471" t="str">
        <f>IFERROR(__xludf.DUMMYFUNCTION("""COMPUTED_VALUE"""),"https://vt.tiktok.com/ZS9eqFr6W/")</f>
        <v>https://vt.tiktok.com/ZS9eqFr6W/</v>
      </c>
      <c r="M1612" s="470"/>
      <c r="N1612" s="471" t="str">
        <f>IFERROR(__xludf.DUMMYFUNCTION("""COMPUTED_VALUE"""),"https://vt.tiktok.com/ZS9eqk3fq/")</f>
        <v>https://vt.tiktok.com/ZS9eqk3fq/</v>
      </c>
      <c r="O1612" s="470"/>
      <c r="P1612" s="471" t="str">
        <f>IFERROR(__xludf.DUMMYFUNCTION("""COMPUTED_VALUE"""),"https://vt.tiktok.com/ZS98NGqCr/")</f>
        <v>https://vt.tiktok.com/ZS98NGqCr/</v>
      </c>
    </row>
    <row r="1613">
      <c r="A1613" s="282" t="str">
        <f>IFERROR(__xludf.DUMMYFUNCTION("""COMPUTED_VALUE"""),"MICRO")</f>
        <v>MICRO</v>
      </c>
      <c r="B1613" s="468" t="str">
        <f>IFERROR(__xludf.DUMMYFUNCTION("""COMPUTED_VALUE"""),"swestiii")</f>
        <v>swestiii</v>
      </c>
      <c r="C1613" s="283" t="str">
        <f>IFERROR(__xludf.DUMMYFUNCTION("""COMPUTED_VALUE"""),"https://www.tiktok.com/@swestiii")</f>
        <v>https://www.tiktok.com/@swestiii</v>
      </c>
      <c r="D1613" s="273">
        <f>IFERROR(__xludf.DUMMYFUNCTION("""COMPUTED_VALUE"""),8.81036759576E11)</f>
        <v>881036759576</v>
      </c>
      <c r="E1613" s="458">
        <f>IFERROR(__xludf.DUMMYFUNCTION("""COMPUTED_VALUE"""),0.0)</f>
        <v>0</v>
      </c>
      <c r="F1613" s="273">
        <f>IFERROR(__xludf.DUMMYFUNCTION("""COMPUTED_VALUE"""),4.0)</f>
        <v>4</v>
      </c>
      <c r="G1613" t="str">
        <f>IFERROR(__xludf.DUMMYFUNCTION("""COMPUTED_VALUE"""),"Sabun batang 1 Box ( 2 PCS )")</f>
        <v>Sabun batang 1 Box ( 2 PCS )</v>
      </c>
      <c r="H1613" s="469" t="str">
        <f>IFERROR(__xludf.DUMMYFUNCTION("""COMPUTED_VALUE"""),"Sampai")</f>
        <v>Sampai</v>
      </c>
      <c r="I1613" s="470" t="str">
        <f>IFERROR(__xludf.DUMMYFUNCTION("""COMPUTED_VALUE"""),"KIMME")</f>
        <v>KIMME</v>
      </c>
      <c r="J1613" s="471" t="str">
        <f>IFERROR(__xludf.DUMMYFUNCTION("""COMPUTED_VALUE"""),"https://www.tiktok.com/@meituni29/video/7635176906274426133?_r=1&amp;u_code=dibcckj1hfg2cm&amp;region=&amp;mid=6981828410792216577&amp;preview_pb=0&amp;sharer_language=&amp;_d=0&amp;ec_shared_reflux_dynamic_params=%7B%22placeholder_material_id%22%3A%227635176906274426133%22%2C%22pla"&amp;"ceholder_origin_cover%22%3A%22https%253A%252F%252Fp16-common-sign.tiktokcdn.com%252Ftos-alisg-p-0037%252Fo8I1IBACIm4fAkB00iHDvYJ1uX5C5iEwqRWPAQ~tplv-tiktokx-origin.jpeg%253Fdr%253D14572%2526refresh_token%253D20d2b8ab%2526x-expires%253D1809504000%2526x-sig"&amp;"nature%253DtiX4Czx15w%25252BdaCy5Z%25252BA8oVJ0md4%25253D%2526t%253D4d5b0474%2526ps%253D13740610%2526shp%253Dd05b14bd%2526shcp%253D34ff8df6%2526idc%253Dmy%2526s%253DTIKTOK_AFFILIATE_VIRAL_VIDEO%22%2C%22placeholder_product_id%22%3A%221729427766722726591%22"&amp;"%2C%22placeholder_video_id%22%3A%227635176906274426133%22%7D&amp;ec_shared_reflux_scene=shop_tab_feed&amp;share_item_id=7635176906274426133&amp;source=h5_t")</f>
        <v>https://www.tiktok.com/@meituni29/video/7635176906274426133?_r=1&amp;u_code=dibcckj1hfg2cm&amp;region=&amp;mid=6981828410792216577&amp;preview_pb=0&amp;sharer_language=&amp;_d=0&amp;ec_shared_reflux_dynamic_params=%7B%22placeholder_material_id%22%3A%227635176906274426133%22%2C%22placeholder_origin_cover%22%3A%22https%253A%252F%252Fp16-common-sign.tiktokcdn.com%252Ftos-alisg-p-0037%252Fo8I1IBACIm4fAkB00iHDvYJ1uX5C5iEwqRWPAQ~tplv-tiktokx-origin.jpeg%253Fdr%253D14572%2526refresh_token%253D20d2b8ab%2526x-expires%253D1809504000%2526x-signature%253DtiX4Czx15w%25252BdaCy5Z%25252BA8oVJ0md4%25253D%2526t%253D4d5b0474%2526ps%253D13740610%2526shp%253Dd05b14bd%2526shcp%253D34ff8df6%2526idc%253Dmy%2526s%253DTIKTOK_AFFILIATE_VIRAL_VIDEO%22%2C%22placeholder_product_id%22%3A%221729427766722726591%22%2C%22placeholder_video_id%22%3A%227635176906274426133%22%7D&amp;ec_shared_reflux_scene=shop_tab_feed&amp;share_item_id=7635176906274426133&amp;source=h5_t</v>
      </c>
      <c r="K1613" s="470" t="str">
        <f>IFERROR(__xludf.DUMMYFUNCTION("""COMPUTED_VALUE"""),"KIMME")</f>
        <v>KIMME</v>
      </c>
      <c r="L1613" s="471" t="str">
        <f>IFERROR(__xludf.DUMMYFUNCTION("""COMPUTED_VALUE"""),"https://www.tiktok.com/@meituni29/video/7635265293807389973?_r=1&amp;u_code=dibcckj1hfg2cm&amp;region=&amp;mid=7605117866958358529&amp;preview_pb=0&amp;sharer_language=&amp;_d=0&amp;ec_shared_reflux_dynamic_params=%7B%22placeholder_material_id%22%3A%227635265293807389973%22%2C%22pla"&amp;"ceholder_origin_cover%22%3A%22https%253A%252F%252Fp19-common-sign.tiktokcdn.com%252Ftos-alisg-p-0037%252Fos7GLC6f9IezVjK1IBOVIe9Xo66qTIAQXD4jAs~tplv-tiktokx-origin.jpeg%253Fdr%253D14572%2526refresh_token%253Daad2a06c%2526x-expires%253D1809504000%2526x-sig"&amp;"nature%253Dtz%25252F0JgNDpQjJ3%25252Bci7tl0vsuN9QM%25253D%2526t%253D4d5b0474%2526ps%253D13740610%2526shp%253Dd05b14bd%2526shcp%253D34ff8df6%2526idc%253Dmy%2526s%253DTIKTOK_AFFILIATE_VIRAL_VIDEO%22%2C%22placeholder_product_id%22%3A%221729729730555512511%22"&amp;"%2C%22placeholder_video_id%22%3A%227635265293807389973%22%7D&amp;ec_shared_reflux_scene=shop_tab_feed&amp;share_item_id=7635265293807389973&amp;source=h5_t")</f>
        <v>https://www.tiktok.com/@meituni29/video/7635265293807389973?_r=1&amp;u_code=dibcckj1hfg2cm&amp;region=&amp;mid=7605117866958358529&amp;preview_pb=0&amp;sharer_language=&amp;_d=0&amp;ec_shared_reflux_dynamic_params=%7B%22placeholder_material_id%22%3A%227635265293807389973%22%2C%22placeholder_origin_cover%22%3A%22https%253A%252F%252Fp19-common-sign.tiktokcdn.com%252Ftos-alisg-p-0037%252Fos7GLC6f9IezVjK1IBOVIe9Xo66qTIAQXD4jAs~tplv-tiktokx-origin.jpeg%253Fdr%253D14572%2526refresh_token%253Daad2a06c%2526x-expires%253D1809504000%2526x-signature%253Dtz%25252F0JgNDpQjJ3%25252Bci7tl0vsuN9QM%25253D%2526t%253D4d5b0474%2526ps%253D13740610%2526shp%253Dd05b14bd%2526shcp%253D34ff8df6%2526idc%253Dmy%2526s%253DTIKTOK_AFFILIATE_VIRAL_VIDEO%22%2C%22placeholder_product_id%22%3A%221729729730555512511%22%2C%22placeholder_video_id%22%3A%227635265293807389973%22%7D&amp;ec_shared_reflux_scene=shop_tab_feed&amp;share_item_id=7635265293807389973&amp;source=h5_t</v>
      </c>
      <c r="M1613" s="470"/>
      <c r="N1613" s="471" t="str">
        <f>IFERROR(__xludf.DUMMYFUNCTION("""COMPUTED_VALUE"""),"https://www.tiktok.com/@meituni29/video/7635297460130270485?_r=1&amp;u_code=dibcckj1hfg2cm&amp;region=&amp;mid=7397818121896593424&amp;preview_pb=0&amp;sharer_language=&amp;_d=0&amp;ec_shared_reflux_dynamic_params=%7B%22placeholder_material_id%22%3A%227635297460130270485%22%2C%22pla"&amp;"ceholder_origin_cover%22%3A%22https%253A%252F%252Fp16-common-sign.tiktokcdn.com%252Ftos-alisg-p-0037%252Foc2Ug9DBTIpdFvZYSUfBRebIqmDHBgEbAEBKPI~tplv-tiktokx-origin.jpeg%253Fdr%253D14572%2526refresh_token%253D165fe96c%2526x-expires%253D1809504000%2526x-sig"&amp;"nature%253D3vF6R6JXSOiE833lngAENSEoStE%25253D%2526t%253D4d5b0474%2526ps%253D13740610%2526shp%253Dd05b14bd%2526shcp%253D34ff8df6%2526idc%253Dmy%2526s%253DTIKTOK_AFFILIATE_VIRAL_VIDEO%22%2C%22placeholder_product_id%22%3A%221729427766722726591%22%2C%22placeh"&amp;"older_video_id%22%3A%227635297460130270485%22%7D&amp;ec_shared_reflux_scene=shop_tab_feed&amp;share_item_id=7635297460130270485&amp;source=h5_t")</f>
        <v>https://www.tiktok.com/@meituni29/video/7635297460130270485?_r=1&amp;u_code=dibcckj1hfg2cm&amp;region=&amp;mid=7397818121896593424&amp;preview_pb=0&amp;sharer_language=&amp;_d=0&amp;ec_shared_reflux_dynamic_params=%7B%22placeholder_material_id%22%3A%227635297460130270485%22%2C%22placeholder_origin_cover%22%3A%22https%253A%252F%252Fp16-common-sign.tiktokcdn.com%252Ftos-alisg-p-0037%252Foc2Ug9DBTIpdFvZYSUfBRebIqmDHBgEbAEBKPI~tplv-tiktokx-origin.jpeg%253Fdr%253D14572%2526refresh_token%253D165fe96c%2526x-expires%253D1809504000%2526x-signature%253D3vF6R6JXSOiE833lngAENSEoStE%25253D%2526t%253D4d5b0474%2526ps%253D13740610%2526shp%253Dd05b14bd%2526shcp%253D34ff8df6%2526idc%253Dmy%2526s%253DTIKTOK_AFFILIATE_VIRAL_VIDEO%22%2C%22placeholder_product_id%22%3A%221729427766722726591%22%2C%22placeholder_video_id%22%3A%227635297460130270485%22%7D&amp;ec_shared_reflux_scene=shop_tab_feed&amp;share_item_id=7635297460130270485&amp;source=h5_t</v>
      </c>
      <c r="O1613" s="470"/>
      <c r="P1613" s="471" t="str">
        <f>IFERROR(__xludf.DUMMYFUNCTION("""COMPUTED_VALUE"""),"https://vt.tiktok.com/ZS9ojERFm/")</f>
        <v>https://vt.tiktok.com/ZS9ojERFm/</v>
      </c>
    </row>
    <row r="1614">
      <c r="A1614" s="282" t="str">
        <f>IFERROR(__xludf.DUMMYFUNCTION("""COMPUTED_VALUE"""),"MICRO")</f>
        <v>MICRO</v>
      </c>
      <c r="B1614" s="468" t="str">
        <f>IFERROR(__xludf.DUMMYFUNCTION("""COMPUTED_VALUE"""),"by_malissa")</f>
        <v>by_malissa</v>
      </c>
      <c r="C1614" s="283" t="str">
        <f>IFERROR(__xludf.DUMMYFUNCTION("""COMPUTED_VALUE"""),"https://www.tiktok.com/@by_malissa")</f>
        <v>https://www.tiktok.com/@by_malissa</v>
      </c>
      <c r="D1614" s="273">
        <f>IFERROR(__xludf.DUMMYFUNCTION("""COMPUTED_VALUE"""),8.9530878007E10)</f>
        <v>89530878007</v>
      </c>
      <c r="E1614" s="458">
        <f>IFERROR(__xludf.DUMMYFUNCTION("""COMPUTED_VALUE"""),0.0)</f>
        <v>0</v>
      </c>
      <c r="F1614" s="273">
        <f>IFERROR(__xludf.DUMMYFUNCTION("""COMPUTED_VALUE"""),4.0)</f>
        <v>4</v>
      </c>
      <c r="G1614" t="str">
        <f>IFERROR(__xludf.DUMMYFUNCTION("""COMPUTED_VALUE"""),"Sabun batang 1 Box ( 2 PCS )")</f>
        <v>Sabun batang 1 Box ( 2 PCS )</v>
      </c>
      <c r="H1614" s="469" t="str">
        <f>IFERROR(__xludf.DUMMYFUNCTION("""COMPUTED_VALUE"""),"Sampai")</f>
        <v>Sampai</v>
      </c>
      <c r="I1614" s="470" t="str">
        <f>IFERROR(__xludf.DUMMYFUNCTION("""COMPUTED_VALUE"""),"KIMME")</f>
        <v>KIMME</v>
      </c>
      <c r="J1614" t="str">
        <f>IFERROR(__xludf.DUMMYFUNCTION("""COMPUTED_VALUE"""),"⁠https://vt.tiktok.com/ZSxpYUyhG/")</f>
        <v>⁠https://vt.tiktok.com/ZSxpYUyhG/</v>
      </c>
      <c r="K1614" s="470" t="str">
        <f>IFERROR(__xludf.DUMMYFUNCTION("""COMPUTED_VALUE"""),"KIMME")</f>
        <v>KIMME</v>
      </c>
      <c r="L1614" t="str">
        <f>IFERROR(__xludf.DUMMYFUNCTION("""COMPUTED_VALUE"""),"⁠https://vt.tiktok.com/ZSxpYbnGL/")</f>
        <v>⁠https://vt.tiktok.com/ZSxpYbnGL/</v>
      </c>
      <c r="M1614" s="470"/>
      <c r="N1614" s="471" t="str">
        <f>IFERROR(__xludf.DUMMYFUNCTION("""COMPUTED_VALUE"""),"https://vt.tiktok.com/ZSxWoo5G1/")</f>
        <v>https://vt.tiktok.com/ZSxWoo5G1/</v>
      </c>
      <c r="O1614" s="470"/>
      <c r="P1614" t="str">
        <f>IFERROR(__xludf.DUMMYFUNCTION("""COMPUTED_VALUE"""),"⁠https://vt.tiktok.com/ZSxWoK8bG/")</f>
        <v>⁠https://vt.tiktok.com/ZSxWoK8bG/</v>
      </c>
    </row>
    <row r="1615">
      <c r="A1615" s="282" t="str">
        <f>IFERROR(__xludf.DUMMYFUNCTION("""COMPUTED_VALUE"""),"MACRO")</f>
        <v>MACRO</v>
      </c>
      <c r="B1615" s="468" t="str">
        <f>IFERROR(__xludf.DUMMYFUNCTION("""COMPUTED_VALUE"""),"yessaels")</f>
        <v>yessaels</v>
      </c>
      <c r="C1615" s="283" t="str">
        <f>IFERROR(__xludf.DUMMYFUNCTION("""COMPUTED_VALUE"""),"https://www.tiktok.com/@yessaels")</f>
        <v>https://www.tiktok.com/@yessaels</v>
      </c>
      <c r="D1615" s="273">
        <f>IFERROR(__xludf.DUMMYFUNCTION("""COMPUTED_VALUE"""),8.5697411667E10)</f>
        <v>85697411667</v>
      </c>
      <c r="E1615" s="458">
        <f>IFERROR(__xludf.DUMMYFUNCTION("""COMPUTED_VALUE"""),0.0)</f>
        <v>0</v>
      </c>
      <c r="F1615" s="273">
        <f>IFERROR(__xludf.DUMMYFUNCTION("""COMPUTED_VALUE"""),1.0)</f>
        <v>1</v>
      </c>
      <c r="G1615" t="str">
        <f>IFERROR(__xludf.DUMMYFUNCTION("""COMPUTED_VALUE"""),"Sabun batang 1 Box ( 2 PCS )")</f>
        <v>Sabun batang 1 Box ( 2 PCS )</v>
      </c>
      <c r="H1615" s="469" t="str">
        <f>IFERROR(__xludf.DUMMYFUNCTION("""COMPUTED_VALUE"""),"Sampai")</f>
        <v>Sampai</v>
      </c>
      <c r="I1615" s="470" t="str">
        <f>IFERROR(__xludf.DUMMYFUNCTION("""COMPUTED_VALUE"""),"KIMME")</f>
        <v>KIMME</v>
      </c>
      <c r="K1615" s="470" t="str">
        <f>IFERROR(__xludf.DUMMYFUNCTION("""COMPUTED_VALUE"""),"KIMME")</f>
        <v>KIMME</v>
      </c>
      <c r="M1615" s="470"/>
      <c r="O1615" s="470"/>
    </row>
    <row r="1616">
      <c r="A1616" s="282" t="str">
        <f>IFERROR(__xludf.DUMMYFUNCTION("""COMPUTED_VALUE"""),"MICRO")</f>
        <v>MICRO</v>
      </c>
      <c r="B1616" s="468" t="str">
        <f>IFERROR(__xludf.DUMMYFUNCTION("""COMPUTED_VALUE"""),"qoryrnf")</f>
        <v>qoryrnf</v>
      </c>
      <c r="C1616" s="283" t="str">
        <f>IFERROR(__xludf.DUMMYFUNCTION("""COMPUTED_VALUE"""),"https://www.tiktok.com/@qoryrnf")</f>
        <v>https://www.tiktok.com/@qoryrnf</v>
      </c>
      <c r="D1616" s="273">
        <f>IFERROR(__xludf.DUMMYFUNCTION("""COMPUTED_VALUE"""),8.2117348509E10)</f>
        <v>82117348509</v>
      </c>
      <c r="E1616" s="458">
        <f>IFERROR(__xludf.DUMMYFUNCTION("""COMPUTED_VALUE"""),0.0)</f>
        <v>0</v>
      </c>
      <c r="F1616" s="273">
        <f>IFERROR(__xludf.DUMMYFUNCTION("""COMPUTED_VALUE"""),4.0)</f>
        <v>4</v>
      </c>
      <c r="G1616" t="str">
        <f>IFERROR(__xludf.DUMMYFUNCTION("""COMPUTED_VALUE"""),"Sabun batang 1 Box ( 2 PCS )")</f>
        <v>Sabun batang 1 Box ( 2 PCS )</v>
      </c>
      <c r="H1616" s="469" t="str">
        <f>IFERROR(__xludf.DUMMYFUNCTION("""COMPUTED_VALUE"""),"Sampai")</f>
        <v>Sampai</v>
      </c>
      <c r="I1616" s="470" t="str">
        <f>IFERROR(__xludf.DUMMYFUNCTION("""COMPUTED_VALUE"""),"KIMME")</f>
        <v>KIMME</v>
      </c>
      <c r="J1616" s="471" t="str">
        <f>IFERROR(__xludf.DUMMYFUNCTION("""COMPUTED_VALUE"""),"https://vt.tiktok.com/ZS9eV59WU/")</f>
        <v>https://vt.tiktok.com/ZS9eV59WU/</v>
      </c>
      <c r="K1616" s="470" t="str">
        <f>IFERROR(__xludf.DUMMYFUNCTION("""COMPUTED_VALUE"""),"KIMME")</f>
        <v>KIMME</v>
      </c>
      <c r="L1616" s="471" t="str">
        <f>IFERROR(__xludf.DUMMYFUNCTION("""COMPUTED_VALUE"""),"https://vt.tiktok.com/ZS9eVPFWc/")</f>
        <v>https://vt.tiktok.com/ZS9eVPFWc/</v>
      </c>
      <c r="M1616" s="470"/>
      <c r="N1616" s="471" t="str">
        <f>IFERROR(__xludf.DUMMYFUNCTION("""COMPUTED_VALUE"""),"https://vt.tiktok.com/ZS9eVYnh4/")</f>
        <v>https://vt.tiktok.com/ZS9eVYnh4/</v>
      </c>
      <c r="O1616" s="470"/>
      <c r="P1616" s="471" t="str">
        <f>IFERROR(__xludf.DUMMYFUNCTION("""COMPUTED_VALUE"""),"https://vt.tiktok.com/ZS9eVfgqV/")</f>
        <v>https://vt.tiktok.com/ZS9eVfgqV/</v>
      </c>
    </row>
    <row r="1617">
      <c r="A1617" s="282" t="str">
        <f>IFERROR(__xludf.DUMMYFUNCTION("""COMPUTED_VALUE"""),"MICRO")</f>
        <v>MICRO</v>
      </c>
      <c r="B1617" s="468" t="str">
        <f>IFERROR(__xludf.DUMMYFUNCTION("""COMPUTED_VALUE"""),"pinkroseparadise")</f>
        <v>pinkroseparadise</v>
      </c>
      <c r="C1617" s="283" t="str">
        <f>IFERROR(__xludf.DUMMYFUNCTION("""COMPUTED_VALUE"""),"https://www.tiktok.com/@pinkroseparadise")</f>
        <v>https://www.tiktok.com/@pinkroseparadise</v>
      </c>
      <c r="D1617" s="273">
        <f>IFERROR(__xludf.DUMMYFUNCTION("""COMPUTED_VALUE"""),8.5713006026E10)</f>
        <v>85713006026</v>
      </c>
      <c r="E1617" s="458">
        <f>IFERROR(__xludf.DUMMYFUNCTION("""COMPUTED_VALUE"""),0.0)</f>
        <v>0</v>
      </c>
      <c r="F1617" s="273">
        <f>IFERROR(__xludf.DUMMYFUNCTION("""COMPUTED_VALUE"""),4.0)</f>
        <v>4</v>
      </c>
      <c r="G1617" t="str">
        <f>IFERROR(__xludf.DUMMYFUNCTION("""COMPUTED_VALUE"""),"Sabun batang 1 Box ( 2 PCS )")</f>
        <v>Sabun batang 1 Box ( 2 PCS )</v>
      </c>
      <c r="H1617" s="469" t="str">
        <f>IFERROR(__xludf.DUMMYFUNCTION("""COMPUTED_VALUE"""),"Sampai")</f>
        <v>Sampai</v>
      </c>
      <c r="I1617" s="470" t="str">
        <f>IFERROR(__xludf.DUMMYFUNCTION("""COMPUTED_VALUE"""),"KIMME")</f>
        <v>KIMME</v>
      </c>
      <c r="J1617" s="471" t="str">
        <f>IFERROR(__xludf.DUMMYFUNCTION("""COMPUTED_VALUE"""),"https://vt.tiktok.com/ZS9eqh363/")</f>
        <v>https://vt.tiktok.com/ZS9eqh363/</v>
      </c>
      <c r="K1617" s="470" t="str">
        <f>IFERROR(__xludf.DUMMYFUNCTION("""COMPUTED_VALUE"""),"KIMME")</f>
        <v>KIMME</v>
      </c>
      <c r="L1617" s="471" t="str">
        <f>IFERROR(__xludf.DUMMYFUNCTION("""COMPUTED_VALUE"""),"https://vt.tiktok.com/ZS9eqFr6W/")</f>
        <v>https://vt.tiktok.com/ZS9eqFr6W/</v>
      </c>
      <c r="M1617" s="470"/>
      <c r="N1617" s="471" t="str">
        <f>IFERROR(__xludf.DUMMYFUNCTION("""COMPUTED_VALUE"""),"https://vt.tiktok.com/ZS9eqk3fq/")</f>
        <v>https://vt.tiktok.com/ZS9eqk3fq/</v>
      </c>
      <c r="O1617" s="470"/>
      <c r="P1617" s="471" t="str">
        <f>IFERROR(__xludf.DUMMYFUNCTION("""COMPUTED_VALUE"""),"https://vt.tiktok.com/ZS98NGqCr/")</f>
        <v>https://vt.tiktok.com/ZS98NGqCr/</v>
      </c>
    </row>
    <row r="1618">
      <c r="A1618" s="282" t="str">
        <f>IFERROR(__xludf.DUMMYFUNCTION("""COMPUTED_VALUE"""),"MICRO")</f>
        <v>MICRO</v>
      </c>
      <c r="B1618" s="468" t="str">
        <f>IFERROR(__xludf.DUMMYFUNCTION("""COMPUTED_VALUE"""),"aaaaarunika")</f>
        <v>aaaaarunika</v>
      </c>
      <c r="C1618" s="283" t="str">
        <f>IFERROR(__xludf.DUMMYFUNCTION("""COMPUTED_VALUE"""),"https://www.tiktok.com/@aaaaarunika")</f>
        <v>https://www.tiktok.com/@aaaaarunika</v>
      </c>
      <c r="D1618" s="273">
        <f>IFERROR(__xludf.DUMMYFUNCTION("""COMPUTED_VALUE"""),8.8239282343E10)</f>
        <v>88239282343</v>
      </c>
      <c r="E1618" s="458">
        <f>IFERROR(__xludf.DUMMYFUNCTION("""COMPUTED_VALUE"""),0.0)</f>
        <v>0</v>
      </c>
      <c r="F1618" s="273">
        <f>IFERROR(__xludf.DUMMYFUNCTION("""COMPUTED_VALUE"""),4.0)</f>
        <v>4</v>
      </c>
      <c r="G1618" t="str">
        <f>IFERROR(__xludf.DUMMYFUNCTION("""COMPUTED_VALUE"""),"Sabun batang 1 Box ( 2 PCS )")</f>
        <v>Sabun batang 1 Box ( 2 PCS )</v>
      </c>
      <c r="H1618" s="469" t="str">
        <f>IFERROR(__xludf.DUMMYFUNCTION("""COMPUTED_VALUE"""),"Sampai")</f>
        <v>Sampai</v>
      </c>
      <c r="I1618" s="470" t="str">
        <f>IFERROR(__xludf.DUMMYFUNCTION("""COMPUTED_VALUE"""),"KIMME")</f>
        <v>KIMME</v>
      </c>
      <c r="J1618" s="471" t="str">
        <f>IFERROR(__xludf.DUMMYFUNCTION("""COMPUTED_VALUE"""),"https://www.tiktok.com/@meituni29/video/7635176906274426133?_r=1&amp;u_code=dibcckj1hfg2cm&amp;region=&amp;mid=6981828410792216577&amp;preview_pb=0&amp;sharer_language=&amp;_d=0&amp;ec_shared_reflux_dynamic_params=%7B%22placeholder_material_id%22%3A%227635176906274426133%22%2C%22pla"&amp;"ceholder_origin_cover%22%3A%22https%253A%252F%252Fp16-common-sign.tiktokcdn.com%252Ftos-alisg-p-0037%252Fo8I1IBACIm4fAkB00iHDvYJ1uX5C5iEwqRWPAQ~tplv-tiktokx-origin.jpeg%253Fdr%253D14572%2526refresh_token%253D20d2b8ab%2526x-expires%253D1809504000%2526x-sig"&amp;"nature%253DtiX4Czx15w%25252BdaCy5Z%25252BA8oVJ0md4%25253D%2526t%253D4d5b0474%2526ps%253D13740610%2526shp%253Dd05b14bd%2526shcp%253D34ff8df6%2526idc%253Dmy%2526s%253DTIKTOK_AFFILIATE_VIRAL_VIDEO%22%2C%22placeholder_product_id%22%3A%221729427766722726591%22"&amp;"%2C%22placeholder_video_id%22%3A%227635176906274426133%22%7D&amp;ec_shared_reflux_scene=shop_tab_feed&amp;share_item_id=7635176906274426133&amp;source=h5_t")</f>
        <v>https://www.tiktok.com/@meituni29/video/7635176906274426133?_r=1&amp;u_code=dibcckj1hfg2cm&amp;region=&amp;mid=6981828410792216577&amp;preview_pb=0&amp;sharer_language=&amp;_d=0&amp;ec_shared_reflux_dynamic_params=%7B%22placeholder_material_id%22%3A%227635176906274426133%22%2C%22placeholder_origin_cover%22%3A%22https%253A%252F%252Fp16-common-sign.tiktokcdn.com%252Ftos-alisg-p-0037%252Fo8I1IBACIm4fAkB00iHDvYJ1uX5C5iEwqRWPAQ~tplv-tiktokx-origin.jpeg%253Fdr%253D14572%2526refresh_token%253D20d2b8ab%2526x-expires%253D1809504000%2526x-signature%253DtiX4Czx15w%25252BdaCy5Z%25252BA8oVJ0md4%25253D%2526t%253D4d5b0474%2526ps%253D13740610%2526shp%253Dd05b14bd%2526shcp%253D34ff8df6%2526idc%253Dmy%2526s%253DTIKTOK_AFFILIATE_VIRAL_VIDEO%22%2C%22placeholder_product_id%22%3A%221729427766722726591%22%2C%22placeholder_video_id%22%3A%227635176906274426133%22%7D&amp;ec_shared_reflux_scene=shop_tab_feed&amp;share_item_id=7635176906274426133&amp;source=h5_t</v>
      </c>
      <c r="K1618" s="470" t="str">
        <f>IFERROR(__xludf.DUMMYFUNCTION("""COMPUTED_VALUE"""),"KIMME")</f>
        <v>KIMME</v>
      </c>
      <c r="L1618" s="471" t="str">
        <f>IFERROR(__xludf.DUMMYFUNCTION("""COMPUTED_VALUE"""),"https://www.tiktok.com/@meituni29/video/7635265293807389973?_r=1&amp;u_code=dibcckj1hfg2cm&amp;region=&amp;mid=7605117866958358529&amp;preview_pb=0&amp;sharer_language=&amp;_d=0&amp;ec_shared_reflux_dynamic_params=%7B%22placeholder_material_id%22%3A%227635265293807389973%22%2C%22pla"&amp;"ceholder_origin_cover%22%3A%22https%253A%252F%252Fp19-common-sign.tiktokcdn.com%252Ftos-alisg-p-0037%252Fos7GLC6f9IezVjK1IBOVIe9Xo66qTIAQXD4jAs~tplv-tiktokx-origin.jpeg%253Fdr%253D14572%2526refresh_token%253Daad2a06c%2526x-expires%253D1809504000%2526x-sig"&amp;"nature%253Dtz%25252F0JgNDpQjJ3%25252Bci7tl0vsuN9QM%25253D%2526t%253D4d5b0474%2526ps%253D13740610%2526shp%253Dd05b14bd%2526shcp%253D34ff8df6%2526idc%253Dmy%2526s%253DTIKTOK_AFFILIATE_VIRAL_VIDEO%22%2C%22placeholder_product_id%22%3A%221729729730555512511%22"&amp;"%2C%22placeholder_video_id%22%3A%227635265293807389973%22%7D&amp;ec_shared_reflux_scene=shop_tab_feed&amp;share_item_id=7635265293807389973&amp;source=h5_t")</f>
        <v>https://www.tiktok.com/@meituni29/video/7635265293807389973?_r=1&amp;u_code=dibcckj1hfg2cm&amp;region=&amp;mid=7605117866958358529&amp;preview_pb=0&amp;sharer_language=&amp;_d=0&amp;ec_shared_reflux_dynamic_params=%7B%22placeholder_material_id%22%3A%227635265293807389973%22%2C%22placeholder_origin_cover%22%3A%22https%253A%252F%252Fp19-common-sign.tiktokcdn.com%252Ftos-alisg-p-0037%252Fos7GLC6f9IezVjK1IBOVIe9Xo66qTIAQXD4jAs~tplv-tiktokx-origin.jpeg%253Fdr%253D14572%2526refresh_token%253Daad2a06c%2526x-expires%253D1809504000%2526x-signature%253Dtz%25252F0JgNDpQjJ3%25252Bci7tl0vsuN9QM%25253D%2526t%253D4d5b0474%2526ps%253D13740610%2526shp%253Dd05b14bd%2526shcp%253D34ff8df6%2526idc%253Dmy%2526s%253DTIKTOK_AFFILIATE_VIRAL_VIDEO%22%2C%22placeholder_product_id%22%3A%221729729730555512511%22%2C%22placeholder_video_id%22%3A%227635265293807389973%22%7D&amp;ec_shared_reflux_scene=shop_tab_feed&amp;share_item_id=7635265293807389973&amp;source=h5_t</v>
      </c>
      <c r="M1618" s="470"/>
      <c r="N1618" s="471" t="str">
        <f>IFERROR(__xludf.DUMMYFUNCTION("""COMPUTED_VALUE"""),"https://www.tiktok.com/@meituni29/video/7635297460130270485?_r=1&amp;u_code=dibcckj1hfg2cm&amp;region=&amp;mid=7397818121896593424&amp;preview_pb=0&amp;sharer_language=&amp;_d=0&amp;ec_shared_reflux_dynamic_params=%7B%22placeholder_material_id%22%3A%227635297460130270485%22%2C%22pla"&amp;"ceholder_origin_cover%22%3A%22https%253A%252F%252Fp16-common-sign.tiktokcdn.com%252Ftos-alisg-p-0037%252Foc2Ug9DBTIpdFvZYSUfBRebIqmDHBgEbAEBKPI~tplv-tiktokx-origin.jpeg%253Fdr%253D14572%2526refresh_token%253D165fe96c%2526x-expires%253D1809504000%2526x-sig"&amp;"nature%253D3vF6R6JXSOiE833lngAENSEoStE%25253D%2526t%253D4d5b0474%2526ps%253D13740610%2526shp%253Dd05b14bd%2526shcp%253D34ff8df6%2526idc%253Dmy%2526s%253DTIKTOK_AFFILIATE_VIRAL_VIDEO%22%2C%22placeholder_product_id%22%3A%221729427766722726591%22%2C%22placeh"&amp;"older_video_id%22%3A%227635297460130270485%22%7D&amp;ec_shared_reflux_scene=shop_tab_feed&amp;share_item_id=7635297460130270485&amp;source=h5_t")</f>
        <v>https://www.tiktok.com/@meituni29/video/7635297460130270485?_r=1&amp;u_code=dibcckj1hfg2cm&amp;region=&amp;mid=7397818121896593424&amp;preview_pb=0&amp;sharer_language=&amp;_d=0&amp;ec_shared_reflux_dynamic_params=%7B%22placeholder_material_id%22%3A%227635297460130270485%22%2C%22placeholder_origin_cover%22%3A%22https%253A%252F%252Fp16-common-sign.tiktokcdn.com%252Ftos-alisg-p-0037%252Foc2Ug9DBTIpdFvZYSUfBRebIqmDHBgEbAEBKPI~tplv-tiktokx-origin.jpeg%253Fdr%253D14572%2526refresh_token%253D165fe96c%2526x-expires%253D1809504000%2526x-signature%253D3vF6R6JXSOiE833lngAENSEoStE%25253D%2526t%253D4d5b0474%2526ps%253D13740610%2526shp%253Dd05b14bd%2526shcp%253D34ff8df6%2526idc%253Dmy%2526s%253DTIKTOK_AFFILIATE_VIRAL_VIDEO%22%2C%22placeholder_product_id%22%3A%221729427766722726591%22%2C%22placeholder_video_id%22%3A%227635297460130270485%22%7D&amp;ec_shared_reflux_scene=shop_tab_feed&amp;share_item_id=7635297460130270485&amp;source=h5_t</v>
      </c>
      <c r="O1618" s="470"/>
      <c r="P1618" s="471" t="str">
        <f>IFERROR(__xludf.DUMMYFUNCTION("""COMPUTED_VALUE"""),"https://vt.tiktok.com/ZS9ojERFm/")</f>
        <v>https://vt.tiktok.com/ZS9ojERFm/</v>
      </c>
    </row>
    <row r="1619">
      <c r="A1619" s="282" t="str">
        <f>IFERROR(__xludf.DUMMYFUNCTION("""COMPUTED_VALUE"""),"MACRO")</f>
        <v>MACRO</v>
      </c>
      <c r="B1619" s="468" t="str">
        <f>IFERROR(__xludf.DUMMYFUNCTION("""COMPUTED_VALUE"""),"amayrzki ")</f>
        <v>amayrzki </v>
      </c>
      <c r="C1619" s="283" t="str">
        <f>IFERROR(__xludf.DUMMYFUNCTION("""COMPUTED_VALUE"""),"https://www.tiktok.com/@amayrzki ")</f>
        <v>https://www.tiktok.com/@amayrzki </v>
      </c>
      <c r="D1619" s="273">
        <f>IFERROR(__xludf.DUMMYFUNCTION("""COMPUTED_VALUE"""),8.7841227598E10)</f>
        <v>87841227598</v>
      </c>
      <c r="E1619" s="458">
        <f>IFERROR(__xludf.DUMMYFUNCTION("""COMPUTED_VALUE"""),0.0)</f>
        <v>0</v>
      </c>
      <c r="F1619" s="273">
        <f>IFERROR(__xludf.DUMMYFUNCTION("""COMPUTED_VALUE"""),4.0)</f>
        <v>4</v>
      </c>
      <c r="G1619" t="str">
        <f>IFERROR(__xludf.DUMMYFUNCTION("""COMPUTED_VALUE"""),"Sabun batang 1 Box ( 2 PCS )")</f>
        <v>Sabun batang 1 Box ( 2 PCS )</v>
      </c>
      <c r="H1619" s="469" t="str">
        <f>IFERROR(__xludf.DUMMYFUNCTION("""COMPUTED_VALUE"""),"Sampai")</f>
        <v>Sampai</v>
      </c>
      <c r="I1619" s="470" t="str">
        <f>IFERROR(__xludf.DUMMYFUNCTION("""COMPUTED_VALUE"""),"KIMME")</f>
        <v>KIMME</v>
      </c>
      <c r="K1619" s="470" t="str">
        <f>IFERROR(__xludf.DUMMYFUNCTION("""COMPUTED_VALUE"""),"KIMME")</f>
        <v>KIMME</v>
      </c>
      <c r="M1619" s="470"/>
      <c r="O1619" s="470"/>
    </row>
    <row r="1620">
      <c r="A1620" s="282" t="str">
        <f>IFERROR(__xludf.DUMMYFUNCTION("""COMPUTED_VALUE"""),"MICRO")</f>
        <v>MICRO</v>
      </c>
      <c r="B1620" s="468" t="str">
        <f>IFERROR(__xludf.DUMMYFUNCTION("""COMPUTED_VALUE"""),"ninasara75")</f>
        <v>ninasara75</v>
      </c>
      <c r="C1620" s="283" t="str">
        <f>IFERROR(__xludf.DUMMYFUNCTION("""COMPUTED_VALUE"""),"https://www.tiktok.com/@ninasara75")</f>
        <v>https://www.tiktok.com/@ninasara75</v>
      </c>
      <c r="D1620" s="273">
        <f>IFERROR(__xludf.DUMMYFUNCTION("""COMPUTED_VALUE"""),8.5321501355E10)</f>
        <v>85321501355</v>
      </c>
      <c r="E1620" s="458">
        <f>IFERROR(__xludf.DUMMYFUNCTION("""COMPUTED_VALUE"""),0.0)</f>
        <v>0</v>
      </c>
      <c r="F1620" s="273">
        <f>IFERROR(__xludf.DUMMYFUNCTION("""COMPUTED_VALUE"""),4.0)</f>
        <v>4</v>
      </c>
      <c r="G1620" t="str">
        <f>IFERROR(__xludf.DUMMYFUNCTION("""COMPUTED_VALUE"""),"Sabun batang 1 Box ( 2 PCS )")</f>
        <v>Sabun batang 1 Box ( 2 PCS )</v>
      </c>
      <c r="H1620" s="469" t="str">
        <f>IFERROR(__xludf.DUMMYFUNCTION("""COMPUTED_VALUE"""),"Sampai")</f>
        <v>Sampai</v>
      </c>
      <c r="I1620" s="470" t="str">
        <f>IFERROR(__xludf.DUMMYFUNCTION("""COMPUTED_VALUE"""),"KIMME")</f>
        <v>KIMME</v>
      </c>
      <c r="J1620" s="471" t="str">
        <f>IFERROR(__xludf.DUMMYFUNCTION("""COMPUTED_VALUE"""),"https://vt.tiktok.com/ZS9eV59WU/")</f>
        <v>https://vt.tiktok.com/ZS9eV59WU/</v>
      </c>
      <c r="K1620" s="470" t="str">
        <f>IFERROR(__xludf.DUMMYFUNCTION("""COMPUTED_VALUE"""),"KIMME")</f>
        <v>KIMME</v>
      </c>
      <c r="L1620" s="471" t="str">
        <f>IFERROR(__xludf.DUMMYFUNCTION("""COMPUTED_VALUE"""),"https://vt.tiktok.com/ZS9eVPFWc/")</f>
        <v>https://vt.tiktok.com/ZS9eVPFWc/</v>
      </c>
      <c r="M1620" s="470"/>
      <c r="N1620" s="471" t="str">
        <f>IFERROR(__xludf.DUMMYFUNCTION("""COMPUTED_VALUE"""),"https://vt.tiktok.com/ZS9eVYnh4/")</f>
        <v>https://vt.tiktok.com/ZS9eVYnh4/</v>
      </c>
      <c r="O1620" s="470"/>
      <c r="P1620" s="471" t="str">
        <f>IFERROR(__xludf.DUMMYFUNCTION("""COMPUTED_VALUE"""),"https://vt.tiktok.com/ZS9eVfgqV/")</f>
        <v>https://vt.tiktok.com/ZS9eVfgqV/</v>
      </c>
    </row>
    <row r="1621">
      <c r="A1621" s="282" t="str">
        <f>IFERROR(__xludf.DUMMYFUNCTION("""COMPUTED_VALUE"""),"MICRO")</f>
        <v>MICRO</v>
      </c>
      <c r="B1621" s="468" t="str">
        <f>IFERROR(__xludf.DUMMYFUNCTION("""COMPUTED_VALUE"""),"mellan99")</f>
        <v>mellan99</v>
      </c>
      <c r="C1621" s="283" t="str">
        <f>IFERROR(__xludf.DUMMYFUNCTION("""COMPUTED_VALUE"""),"https://www.tiktok.com/@mellan99")</f>
        <v>https://www.tiktok.com/@mellan99</v>
      </c>
      <c r="D1621" s="273">
        <f>IFERROR(__xludf.DUMMYFUNCTION("""COMPUTED_VALUE"""),8.8224131036E10)</f>
        <v>88224131036</v>
      </c>
      <c r="E1621" s="458">
        <f>IFERROR(__xludf.DUMMYFUNCTION("""COMPUTED_VALUE"""),0.0)</f>
        <v>0</v>
      </c>
      <c r="F1621" s="273">
        <f>IFERROR(__xludf.DUMMYFUNCTION("""COMPUTED_VALUE"""),4.0)</f>
        <v>4</v>
      </c>
      <c r="G1621" t="str">
        <f>IFERROR(__xludf.DUMMYFUNCTION("""COMPUTED_VALUE"""),"Sabun batang 1 Box ( 2 PCS )")</f>
        <v>Sabun batang 1 Box ( 2 PCS )</v>
      </c>
      <c r="H1621" s="469" t="str">
        <f>IFERROR(__xludf.DUMMYFUNCTION("""COMPUTED_VALUE"""),"Sampai")</f>
        <v>Sampai</v>
      </c>
      <c r="I1621" s="470" t="str">
        <f>IFERROR(__xludf.DUMMYFUNCTION("""COMPUTED_VALUE"""),"KIMME")</f>
        <v>KIMME</v>
      </c>
      <c r="J1621" s="471" t="str">
        <f>IFERROR(__xludf.DUMMYFUNCTION("""COMPUTED_VALUE"""),"https://vt.tiktok.com/ZS9eV59WU/")</f>
        <v>https://vt.tiktok.com/ZS9eV59WU/</v>
      </c>
      <c r="K1621" s="470" t="str">
        <f>IFERROR(__xludf.DUMMYFUNCTION("""COMPUTED_VALUE"""),"KIMME")</f>
        <v>KIMME</v>
      </c>
      <c r="L1621" s="471" t="str">
        <f>IFERROR(__xludf.DUMMYFUNCTION("""COMPUTED_VALUE"""),"https://vt.tiktok.com/ZS9eVPFWc/")</f>
        <v>https://vt.tiktok.com/ZS9eVPFWc/</v>
      </c>
      <c r="M1621" s="470"/>
      <c r="N1621" s="471" t="str">
        <f>IFERROR(__xludf.DUMMYFUNCTION("""COMPUTED_VALUE"""),"https://vt.tiktok.com/ZS9eVYnh4/")</f>
        <v>https://vt.tiktok.com/ZS9eVYnh4/</v>
      </c>
      <c r="O1621" s="470"/>
      <c r="P1621" s="471" t="str">
        <f>IFERROR(__xludf.DUMMYFUNCTION("""COMPUTED_VALUE"""),"https://vt.tiktok.com/ZS9eVfgqV/")</f>
        <v>https://vt.tiktok.com/ZS9eVfgqV/</v>
      </c>
    </row>
    <row r="1622">
      <c r="A1622" s="282" t="str">
        <f>IFERROR(__xludf.DUMMYFUNCTION("""COMPUTED_VALUE"""),"MICRO")</f>
        <v>MICRO</v>
      </c>
      <c r="B1622" s="468" t="str">
        <f>IFERROR(__xludf.DUMMYFUNCTION("""COMPUTED_VALUE"""),"raraorsalwaa")</f>
        <v>raraorsalwaa</v>
      </c>
      <c r="C1622" s="283" t="str">
        <f>IFERROR(__xludf.DUMMYFUNCTION("""COMPUTED_VALUE"""),"https://www.tiktok.com/@raraorsalwaa")</f>
        <v>https://www.tiktok.com/@raraorsalwaa</v>
      </c>
      <c r="D1622" s="273">
        <f>IFERROR(__xludf.DUMMYFUNCTION("""COMPUTED_VALUE"""),8.1554251477E10)</f>
        <v>81554251477</v>
      </c>
      <c r="E1622" s="458">
        <f>IFERROR(__xludf.DUMMYFUNCTION("""COMPUTED_VALUE"""),0.0)</f>
        <v>0</v>
      </c>
      <c r="F1622" s="273">
        <f>IFERROR(__xludf.DUMMYFUNCTION("""COMPUTED_VALUE"""),4.0)</f>
        <v>4</v>
      </c>
      <c r="G1622" t="str">
        <f>IFERROR(__xludf.DUMMYFUNCTION("""COMPUTED_VALUE"""),"Sabun batang 1 Box ( 2 PCS )")</f>
        <v>Sabun batang 1 Box ( 2 PCS )</v>
      </c>
      <c r="H1622" s="469" t="str">
        <f>IFERROR(__xludf.DUMMYFUNCTION("""COMPUTED_VALUE"""),"Sampai")</f>
        <v>Sampai</v>
      </c>
      <c r="I1622" s="470" t="str">
        <f>IFERROR(__xludf.DUMMYFUNCTION("""COMPUTED_VALUE"""),"KIMME")</f>
        <v>KIMME</v>
      </c>
      <c r="J1622" s="471" t="str">
        <f>IFERROR(__xludf.DUMMYFUNCTION("""COMPUTED_VALUE"""),"https://vt.tiktok.com/ZS9eqh363/")</f>
        <v>https://vt.tiktok.com/ZS9eqh363/</v>
      </c>
      <c r="K1622" s="470" t="str">
        <f>IFERROR(__xludf.DUMMYFUNCTION("""COMPUTED_VALUE"""),"KIMME")</f>
        <v>KIMME</v>
      </c>
      <c r="L1622" s="471" t="str">
        <f>IFERROR(__xludf.DUMMYFUNCTION("""COMPUTED_VALUE"""),"https://vt.tiktok.com/ZS9eqFr6W/")</f>
        <v>https://vt.tiktok.com/ZS9eqFr6W/</v>
      </c>
      <c r="M1622" s="470"/>
      <c r="N1622" s="471" t="str">
        <f>IFERROR(__xludf.DUMMYFUNCTION("""COMPUTED_VALUE"""),"https://vt.tiktok.com/ZS9eqk3fq/")</f>
        <v>https://vt.tiktok.com/ZS9eqk3fq/</v>
      </c>
      <c r="O1622" s="470"/>
      <c r="P1622" s="471" t="str">
        <f>IFERROR(__xludf.DUMMYFUNCTION("""COMPUTED_VALUE"""),"https://vt.tiktok.com/ZS98NGqCr/")</f>
        <v>https://vt.tiktok.com/ZS98NGqCr/</v>
      </c>
    </row>
    <row r="1623">
      <c r="A1623" s="282" t="str">
        <f>IFERROR(__xludf.DUMMYFUNCTION("""COMPUTED_VALUE"""),"MICRO")</f>
        <v>MICRO</v>
      </c>
      <c r="B1623" s="468" t="str">
        <f>IFERROR(__xludf.DUMMYFUNCTION("""COMPUTED_VALUE"""),"elsadwiy17")</f>
        <v>elsadwiy17</v>
      </c>
      <c r="C1623" s="283" t="str">
        <f>IFERROR(__xludf.DUMMYFUNCTION("""COMPUTED_VALUE"""),"https://www.tiktok.com/@elsadwiy17")</f>
        <v>https://www.tiktok.com/@elsadwiy17</v>
      </c>
      <c r="D1623" s="273">
        <f>IFERROR(__xludf.DUMMYFUNCTION("""COMPUTED_VALUE"""),8.95378194477E11)</f>
        <v>895378194477</v>
      </c>
      <c r="E1623" s="458">
        <f>IFERROR(__xludf.DUMMYFUNCTION("""COMPUTED_VALUE"""),0.0)</f>
        <v>0</v>
      </c>
      <c r="F1623" s="273">
        <f>IFERROR(__xludf.DUMMYFUNCTION("""COMPUTED_VALUE"""),1.0)</f>
        <v>1</v>
      </c>
      <c r="G1623" t="str">
        <f>IFERROR(__xludf.DUMMYFUNCTION("""COMPUTED_VALUE"""),"Sabun batang 1 Box ( 2 PCS )")</f>
        <v>Sabun batang 1 Box ( 2 PCS )</v>
      </c>
      <c r="H1623" s="469" t="str">
        <f>IFERROR(__xludf.DUMMYFUNCTION("""COMPUTED_VALUE"""),"Sampai")</f>
        <v>Sampai</v>
      </c>
      <c r="I1623" s="470" t="str">
        <f>IFERROR(__xludf.DUMMYFUNCTION("""COMPUTED_VALUE"""),"KIMME")</f>
        <v>KIMME</v>
      </c>
      <c r="J1623" s="471" t="str">
        <f>IFERROR(__xludf.DUMMYFUNCTION("""COMPUTED_VALUE"""),"https://www.tiktok.com/@meituni29/video/7635176906274426133?_r=1&amp;u_code=dibcckj1hfg2cm&amp;region=&amp;mid=6981828410792216577&amp;preview_pb=0&amp;sharer_language=&amp;_d=0&amp;ec_shared_reflux_dynamic_params=%7B%22placeholder_material_id%22%3A%227635176906274426133%22%2C%22pla"&amp;"ceholder_origin_cover%22%3A%22https%253A%252F%252Fp16-common-sign.tiktokcdn.com%252Ftos-alisg-p-0037%252Fo8I1IBACIm4fAkB00iHDvYJ1uX5C5iEwqRWPAQ~tplv-tiktokx-origin.jpeg%253Fdr%253D14572%2526refresh_token%253D20d2b8ab%2526x-expires%253D1809504000%2526x-sig"&amp;"nature%253DtiX4Czx15w%25252BdaCy5Z%25252BA8oVJ0md4%25253D%2526t%253D4d5b0474%2526ps%253D13740610%2526shp%253Dd05b14bd%2526shcp%253D34ff8df6%2526idc%253Dmy%2526s%253DTIKTOK_AFFILIATE_VIRAL_VIDEO%22%2C%22placeholder_product_id%22%3A%221729427766722726591%22"&amp;"%2C%22placeholder_video_id%22%3A%227635176906274426133%22%7D&amp;ec_shared_reflux_scene=shop_tab_feed&amp;share_item_id=7635176906274426133&amp;source=h5_t")</f>
        <v>https://www.tiktok.com/@meituni29/video/7635176906274426133?_r=1&amp;u_code=dibcckj1hfg2cm&amp;region=&amp;mid=6981828410792216577&amp;preview_pb=0&amp;sharer_language=&amp;_d=0&amp;ec_shared_reflux_dynamic_params=%7B%22placeholder_material_id%22%3A%227635176906274426133%22%2C%22placeholder_origin_cover%22%3A%22https%253A%252F%252Fp16-common-sign.tiktokcdn.com%252Ftos-alisg-p-0037%252Fo8I1IBACIm4fAkB00iHDvYJ1uX5C5iEwqRWPAQ~tplv-tiktokx-origin.jpeg%253Fdr%253D14572%2526refresh_token%253D20d2b8ab%2526x-expires%253D1809504000%2526x-signature%253DtiX4Czx15w%25252BdaCy5Z%25252BA8oVJ0md4%25253D%2526t%253D4d5b0474%2526ps%253D13740610%2526shp%253Dd05b14bd%2526shcp%253D34ff8df6%2526idc%253Dmy%2526s%253DTIKTOK_AFFILIATE_VIRAL_VIDEO%22%2C%22placeholder_product_id%22%3A%221729427766722726591%22%2C%22placeholder_video_id%22%3A%227635176906274426133%22%7D&amp;ec_shared_reflux_scene=shop_tab_feed&amp;share_item_id=7635176906274426133&amp;source=h5_t</v>
      </c>
      <c r="K1623" s="470" t="str">
        <f>IFERROR(__xludf.DUMMYFUNCTION("""COMPUTED_VALUE"""),"KIMME")</f>
        <v>KIMME</v>
      </c>
      <c r="L1623" s="471" t="str">
        <f>IFERROR(__xludf.DUMMYFUNCTION("""COMPUTED_VALUE"""),"https://www.tiktok.com/@meituni29/video/7635265293807389973?_r=1&amp;u_code=dibcckj1hfg2cm&amp;region=&amp;mid=7605117866958358529&amp;preview_pb=0&amp;sharer_language=&amp;_d=0&amp;ec_shared_reflux_dynamic_params=%7B%22placeholder_material_id%22%3A%227635265293807389973%22%2C%22pla"&amp;"ceholder_origin_cover%22%3A%22https%253A%252F%252Fp19-common-sign.tiktokcdn.com%252Ftos-alisg-p-0037%252Fos7GLC6f9IezVjK1IBOVIe9Xo66qTIAQXD4jAs~tplv-tiktokx-origin.jpeg%253Fdr%253D14572%2526refresh_token%253Daad2a06c%2526x-expires%253D1809504000%2526x-sig"&amp;"nature%253Dtz%25252F0JgNDpQjJ3%25252Bci7tl0vsuN9QM%25253D%2526t%253D4d5b0474%2526ps%253D13740610%2526shp%253Dd05b14bd%2526shcp%253D34ff8df6%2526idc%253Dmy%2526s%253DTIKTOK_AFFILIATE_VIRAL_VIDEO%22%2C%22placeholder_product_id%22%3A%221729729730555512511%22"&amp;"%2C%22placeholder_video_id%22%3A%227635265293807389973%22%7D&amp;ec_shared_reflux_scene=shop_tab_feed&amp;share_item_id=7635265293807389973&amp;source=h5_t")</f>
        <v>https://www.tiktok.com/@meituni29/video/7635265293807389973?_r=1&amp;u_code=dibcckj1hfg2cm&amp;region=&amp;mid=7605117866958358529&amp;preview_pb=0&amp;sharer_language=&amp;_d=0&amp;ec_shared_reflux_dynamic_params=%7B%22placeholder_material_id%22%3A%227635265293807389973%22%2C%22placeholder_origin_cover%22%3A%22https%253A%252F%252Fp19-common-sign.tiktokcdn.com%252Ftos-alisg-p-0037%252Fos7GLC6f9IezVjK1IBOVIe9Xo66qTIAQXD4jAs~tplv-tiktokx-origin.jpeg%253Fdr%253D14572%2526refresh_token%253Daad2a06c%2526x-expires%253D1809504000%2526x-signature%253Dtz%25252F0JgNDpQjJ3%25252Bci7tl0vsuN9QM%25253D%2526t%253D4d5b0474%2526ps%253D13740610%2526shp%253Dd05b14bd%2526shcp%253D34ff8df6%2526idc%253Dmy%2526s%253DTIKTOK_AFFILIATE_VIRAL_VIDEO%22%2C%22placeholder_product_id%22%3A%221729729730555512511%22%2C%22placeholder_video_id%22%3A%227635265293807389973%22%7D&amp;ec_shared_reflux_scene=shop_tab_feed&amp;share_item_id=7635265293807389973&amp;source=h5_t</v>
      </c>
      <c r="M1623" s="470"/>
      <c r="N1623" s="471" t="str">
        <f>IFERROR(__xludf.DUMMYFUNCTION("""COMPUTED_VALUE"""),"https://www.tiktok.com/@meituni29/video/7635297460130270485?_r=1&amp;u_code=dibcckj1hfg2cm&amp;region=&amp;mid=7397818121896593424&amp;preview_pb=0&amp;sharer_language=&amp;_d=0&amp;ec_shared_reflux_dynamic_params=%7B%22placeholder_material_id%22%3A%227635297460130270485%22%2C%22pla"&amp;"ceholder_origin_cover%22%3A%22https%253A%252F%252Fp16-common-sign.tiktokcdn.com%252Ftos-alisg-p-0037%252Foc2Ug9DBTIpdFvZYSUfBRebIqmDHBgEbAEBKPI~tplv-tiktokx-origin.jpeg%253Fdr%253D14572%2526refresh_token%253D165fe96c%2526x-expires%253D1809504000%2526x-sig"&amp;"nature%253D3vF6R6JXSOiE833lngAENSEoStE%25253D%2526t%253D4d5b0474%2526ps%253D13740610%2526shp%253Dd05b14bd%2526shcp%253D34ff8df6%2526idc%253Dmy%2526s%253DTIKTOK_AFFILIATE_VIRAL_VIDEO%22%2C%22placeholder_product_id%22%3A%221729427766722726591%22%2C%22placeh"&amp;"older_video_id%22%3A%227635297460130270485%22%7D&amp;ec_shared_reflux_scene=shop_tab_feed&amp;share_item_id=7635297460130270485&amp;source=h5_t")</f>
        <v>https://www.tiktok.com/@meituni29/video/7635297460130270485?_r=1&amp;u_code=dibcckj1hfg2cm&amp;region=&amp;mid=7397818121896593424&amp;preview_pb=0&amp;sharer_language=&amp;_d=0&amp;ec_shared_reflux_dynamic_params=%7B%22placeholder_material_id%22%3A%227635297460130270485%22%2C%22placeholder_origin_cover%22%3A%22https%253A%252F%252Fp16-common-sign.tiktokcdn.com%252Ftos-alisg-p-0037%252Foc2Ug9DBTIpdFvZYSUfBRebIqmDHBgEbAEBKPI~tplv-tiktokx-origin.jpeg%253Fdr%253D14572%2526refresh_token%253D165fe96c%2526x-expires%253D1809504000%2526x-signature%253D3vF6R6JXSOiE833lngAENSEoStE%25253D%2526t%253D4d5b0474%2526ps%253D13740610%2526shp%253Dd05b14bd%2526shcp%253D34ff8df6%2526idc%253Dmy%2526s%253DTIKTOK_AFFILIATE_VIRAL_VIDEO%22%2C%22placeholder_product_id%22%3A%221729427766722726591%22%2C%22placeholder_video_id%22%3A%227635297460130270485%22%7D&amp;ec_shared_reflux_scene=shop_tab_feed&amp;share_item_id=7635297460130270485&amp;source=h5_t</v>
      </c>
      <c r="O1623" s="470"/>
      <c r="P1623" s="471" t="str">
        <f>IFERROR(__xludf.DUMMYFUNCTION("""COMPUTED_VALUE"""),"https://vt.tiktok.com/ZS9ojERFm/")</f>
        <v>https://vt.tiktok.com/ZS9ojERFm/</v>
      </c>
    </row>
    <row r="1624">
      <c r="A1624" s="282" t="str">
        <f>IFERROR(__xludf.DUMMYFUNCTION("""COMPUTED_VALUE"""),"MICRO")</f>
        <v>MICRO</v>
      </c>
      <c r="B1624" s="468" t="str">
        <f>IFERROR(__xludf.DUMMYFUNCTION("""COMPUTED_VALUE"""),"latriftby2")</f>
        <v>latriftby2</v>
      </c>
      <c r="C1624" s="283" t="str">
        <f>IFERROR(__xludf.DUMMYFUNCTION("""COMPUTED_VALUE"""),"https://www.tiktok.com/@latriftby2")</f>
        <v>https://www.tiktok.com/@latriftby2</v>
      </c>
      <c r="D1624" s="273">
        <f>IFERROR(__xludf.DUMMYFUNCTION("""COMPUTED_VALUE"""),8.5855253609E10)</f>
        <v>85855253609</v>
      </c>
      <c r="E1624" s="458">
        <f>IFERROR(__xludf.DUMMYFUNCTION("""COMPUTED_VALUE"""),750000.0)</f>
        <v>750000</v>
      </c>
      <c r="F1624" s="273">
        <f>IFERROR(__xludf.DUMMYFUNCTION("""COMPUTED_VALUE"""),4.0)</f>
        <v>4</v>
      </c>
      <c r="G1624" t="str">
        <f>IFERROR(__xludf.DUMMYFUNCTION("""COMPUTED_VALUE"""),"Sabun batang 1 Box ( 2 PCS )")</f>
        <v>Sabun batang 1 Box ( 2 PCS )</v>
      </c>
      <c r="H1624" s="469" t="str">
        <f>IFERROR(__xludf.DUMMYFUNCTION("""COMPUTED_VALUE"""),"Sampai")</f>
        <v>Sampai</v>
      </c>
      <c r="I1624" s="470" t="str">
        <f>IFERROR(__xludf.DUMMYFUNCTION("""COMPUTED_VALUE"""),"KIMME")</f>
        <v>KIMME</v>
      </c>
      <c r="J1624" s="471" t="str">
        <f>IFERROR(__xludf.DUMMYFUNCTION("""COMPUTED_VALUE"""),"https://vt.tiktok.com/ZS9eV59WU/")</f>
        <v>https://vt.tiktok.com/ZS9eV59WU/</v>
      </c>
      <c r="K1624" s="470" t="str">
        <f>IFERROR(__xludf.DUMMYFUNCTION("""COMPUTED_VALUE"""),"KIMME")</f>
        <v>KIMME</v>
      </c>
      <c r="L1624" s="471" t="str">
        <f>IFERROR(__xludf.DUMMYFUNCTION("""COMPUTED_VALUE"""),"https://vt.tiktok.com/ZS9eVPFWc/")</f>
        <v>https://vt.tiktok.com/ZS9eVPFWc/</v>
      </c>
      <c r="M1624" s="470"/>
      <c r="N1624" s="471" t="str">
        <f>IFERROR(__xludf.DUMMYFUNCTION("""COMPUTED_VALUE"""),"https://vt.tiktok.com/ZS9eVYnh4/")</f>
        <v>https://vt.tiktok.com/ZS9eVYnh4/</v>
      </c>
      <c r="O1624" s="470"/>
      <c r="P1624" s="471" t="str">
        <f>IFERROR(__xludf.DUMMYFUNCTION("""COMPUTED_VALUE"""),"https://vt.tiktok.com/ZS9eVfgqV/")</f>
        <v>https://vt.tiktok.com/ZS9eVfgqV/</v>
      </c>
    </row>
    <row r="1625">
      <c r="A1625" s="282" t="str">
        <f>IFERROR(__xludf.DUMMYFUNCTION("""COMPUTED_VALUE"""),"MICRO")</f>
        <v>MICRO</v>
      </c>
      <c r="B1625" s="468" t="str">
        <f>IFERROR(__xludf.DUMMYFUNCTION("""COMPUTED_VALUE"""),"hayakuelaaaa")</f>
        <v>hayakuelaaaa</v>
      </c>
      <c r="C1625" s="283" t="str">
        <f>IFERROR(__xludf.DUMMYFUNCTION("""COMPUTED_VALUE"""),"https://www.tiktok.com/@hayakuelaaaa")</f>
        <v>https://www.tiktok.com/@hayakuelaaaa</v>
      </c>
      <c r="D1625" s="273">
        <f>IFERROR(__xludf.DUMMYFUNCTION("""COMPUTED_VALUE"""),8.5855253609E10)</f>
        <v>85855253609</v>
      </c>
      <c r="E1625" s="458">
        <f>IFERROR(__xludf.DUMMYFUNCTION("""COMPUTED_VALUE"""),750000.0)</f>
        <v>750000</v>
      </c>
      <c r="F1625" s="273">
        <f>IFERROR(__xludf.DUMMYFUNCTION("""COMPUTED_VALUE"""),4.0)</f>
        <v>4</v>
      </c>
      <c r="G1625" t="str">
        <f>IFERROR(__xludf.DUMMYFUNCTION("""COMPUTED_VALUE"""),"Sabun batang 1 Box ( 2 PCS )")</f>
        <v>Sabun batang 1 Box ( 2 PCS )</v>
      </c>
      <c r="H1625" s="469" t="str">
        <f>IFERROR(__xludf.DUMMYFUNCTION("""COMPUTED_VALUE"""),"Sampai")</f>
        <v>Sampai</v>
      </c>
      <c r="I1625" s="470" t="str">
        <f>IFERROR(__xludf.DUMMYFUNCTION("""COMPUTED_VALUE"""),"KIMME")</f>
        <v>KIMME</v>
      </c>
      <c r="J1625" s="471" t="str">
        <f>IFERROR(__xludf.DUMMYFUNCTION("""COMPUTED_VALUE"""),"https://vt.tiktok.com/ZS9eqh363/")</f>
        <v>https://vt.tiktok.com/ZS9eqh363/</v>
      </c>
      <c r="K1625" s="470" t="str">
        <f>IFERROR(__xludf.DUMMYFUNCTION("""COMPUTED_VALUE"""),"KIMME")</f>
        <v>KIMME</v>
      </c>
      <c r="L1625" s="471" t="str">
        <f>IFERROR(__xludf.DUMMYFUNCTION("""COMPUTED_VALUE"""),"https://vt.tiktok.com/ZS9eqFr6W/")</f>
        <v>https://vt.tiktok.com/ZS9eqFr6W/</v>
      </c>
      <c r="M1625" s="470"/>
      <c r="N1625" s="471" t="str">
        <f>IFERROR(__xludf.DUMMYFUNCTION("""COMPUTED_VALUE"""),"https://vt.tiktok.com/ZS9eqk3fq/")</f>
        <v>https://vt.tiktok.com/ZS9eqk3fq/</v>
      </c>
      <c r="O1625" s="470"/>
      <c r="P1625" s="471" t="str">
        <f>IFERROR(__xludf.DUMMYFUNCTION("""COMPUTED_VALUE"""),"https://vt.tiktok.com/ZS98NGqCr/")</f>
        <v>https://vt.tiktok.com/ZS98NGqCr/</v>
      </c>
    </row>
    <row r="1626">
      <c r="A1626" s="282" t="str">
        <f>IFERROR(__xludf.DUMMYFUNCTION("""COMPUTED_VALUE"""),"MICRO")</f>
        <v>MICRO</v>
      </c>
      <c r="B1626" s="468" t="str">
        <f>IFERROR(__xludf.DUMMYFUNCTION("""COMPUTED_VALUE"""),"meituni29")</f>
        <v>meituni29</v>
      </c>
      <c r="C1626" s="283" t="str">
        <f>IFERROR(__xludf.DUMMYFUNCTION("""COMPUTED_VALUE"""),"https://www.tiktok.com/@meituni29")</f>
        <v>https://www.tiktok.com/@meituni29</v>
      </c>
      <c r="D1626" s="273">
        <f>IFERROR(__xludf.DUMMYFUNCTION("""COMPUTED_VALUE"""),8.1322076542E10)</f>
        <v>81322076542</v>
      </c>
      <c r="E1626" s="458">
        <f>IFERROR(__xludf.DUMMYFUNCTION("""COMPUTED_VALUE"""),0.0)</f>
        <v>0</v>
      </c>
      <c r="F1626" s="273">
        <f>IFERROR(__xludf.DUMMYFUNCTION("""COMPUTED_VALUE"""),4.0)</f>
        <v>4</v>
      </c>
      <c r="G1626" t="str">
        <f>IFERROR(__xludf.DUMMYFUNCTION("""COMPUTED_VALUE"""),"Sabun batang 1 Box ( 2 PCS )")</f>
        <v>Sabun batang 1 Box ( 2 PCS )</v>
      </c>
      <c r="H1626" s="469" t="str">
        <f>IFERROR(__xludf.DUMMYFUNCTION("""COMPUTED_VALUE"""),"Sampai")</f>
        <v>Sampai</v>
      </c>
      <c r="I1626" s="470" t="str">
        <f>IFERROR(__xludf.DUMMYFUNCTION("""COMPUTED_VALUE"""),"KIMME")</f>
        <v>KIMME</v>
      </c>
      <c r="J1626" s="471" t="str">
        <f>IFERROR(__xludf.DUMMYFUNCTION("""COMPUTED_VALUE"""),"https://www.tiktok.com/@meituni29/video/7635176906274426133?_r=1&amp;u_code=dibcckj1hfg2cm&amp;region=&amp;mid=6981828410792216577&amp;preview_pb=0&amp;sharer_language=&amp;_d=0&amp;ec_shared_reflux_dynamic_params=%7B%22placeholder_material_id%22%3A%227635176906274426133%22%2C%22pla"&amp;"ceholder_origin_cover%22%3A%22https%253A%252F%252Fp16-common-sign.tiktokcdn.com%252Ftos-alisg-p-0037%252Fo8I1IBACIm4fAkB00iHDvYJ1uX5C5iEwqRWPAQ~tplv-tiktokx-origin.jpeg%253Fdr%253D14572%2526refresh_token%253D20d2b8ab%2526x-expires%253D1809504000%2526x-sig"&amp;"nature%253DtiX4Czx15w%25252BdaCy5Z%25252BA8oVJ0md4%25253D%2526t%253D4d5b0474%2526ps%253D13740610%2526shp%253Dd05b14bd%2526shcp%253D34ff8df6%2526idc%253Dmy%2526s%253DTIKTOK_AFFILIATE_VIRAL_VIDEO%22%2C%22placeholder_product_id%22%3A%221729427766722726591%22"&amp;"%2C%22placeholder_video_id%22%3A%227635176906274426133%22%7D&amp;ec_shared_reflux_scene=shop_tab_feed&amp;share_item_id=7635176906274426133&amp;source=h5_t")</f>
        <v>https://www.tiktok.com/@meituni29/video/7635176906274426133?_r=1&amp;u_code=dibcckj1hfg2cm&amp;region=&amp;mid=6981828410792216577&amp;preview_pb=0&amp;sharer_language=&amp;_d=0&amp;ec_shared_reflux_dynamic_params=%7B%22placeholder_material_id%22%3A%227635176906274426133%22%2C%22placeholder_origin_cover%22%3A%22https%253A%252F%252Fp16-common-sign.tiktokcdn.com%252Ftos-alisg-p-0037%252Fo8I1IBACIm4fAkB00iHDvYJ1uX5C5iEwqRWPAQ~tplv-tiktokx-origin.jpeg%253Fdr%253D14572%2526refresh_token%253D20d2b8ab%2526x-expires%253D1809504000%2526x-signature%253DtiX4Czx15w%25252BdaCy5Z%25252BA8oVJ0md4%25253D%2526t%253D4d5b0474%2526ps%253D13740610%2526shp%253Dd05b14bd%2526shcp%253D34ff8df6%2526idc%253Dmy%2526s%253DTIKTOK_AFFILIATE_VIRAL_VIDEO%22%2C%22placeholder_product_id%22%3A%221729427766722726591%22%2C%22placeholder_video_id%22%3A%227635176906274426133%22%7D&amp;ec_shared_reflux_scene=shop_tab_feed&amp;share_item_id=7635176906274426133&amp;source=h5_t</v>
      </c>
      <c r="K1626" s="470" t="str">
        <f>IFERROR(__xludf.DUMMYFUNCTION("""COMPUTED_VALUE"""),"KIMME")</f>
        <v>KIMME</v>
      </c>
      <c r="L1626" s="471" t="str">
        <f>IFERROR(__xludf.DUMMYFUNCTION("""COMPUTED_VALUE"""),"https://www.tiktok.com/@meituni29/video/7635265293807389973?_r=1&amp;u_code=dibcckj1hfg2cm&amp;region=&amp;mid=7605117866958358529&amp;preview_pb=0&amp;sharer_language=&amp;_d=0&amp;ec_shared_reflux_dynamic_params=%7B%22placeholder_material_id%22%3A%227635265293807389973%22%2C%22pla"&amp;"ceholder_origin_cover%22%3A%22https%253A%252F%252Fp19-common-sign.tiktokcdn.com%252Ftos-alisg-p-0037%252Fos7GLC6f9IezVjK1IBOVIe9Xo66qTIAQXD4jAs~tplv-tiktokx-origin.jpeg%253Fdr%253D14572%2526refresh_token%253Daad2a06c%2526x-expires%253D1809504000%2526x-sig"&amp;"nature%253Dtz%25252F0JgNDpQjJ3%25252Bci7tl0vsuN9QM%25253D%2526t%253D4d5b0474%2526ps%253D13740610%2526shp%253Dd05b14bd%2526shcp%253D34ff8df6%2526idc%253Dmy%2526s%253DTIKTOK_AFFILIATE_VIRAL_VIDEO%22%2C%22placeholder_product_id%22%3A%221729729730555512511%22"&amp;"%2C%22placeholder_video_id%22%3A%227635265293807389973%22%7D&amp;ec_shared_reflux_scene=shop_tab_feed&amp;share_item_id=7635265293807389973&amp;source=h5_t")</f>
        <v>https://www.tiktok.com/@meituni29/video/7635265293807389973?_r=1&amp;u_code=dibcckj1hfg2cm&amp;region=&amp;mid=7605117866958358529&amp;preview_pb=0&amp;sharer_language=&amp;_d=0&amp;ec_shared_reflux_dynamic_params=%7B%22placeholder_material_id%22%3A%227635265293807389973%22%2C%22placeholder_origin_cover%22%3A%22https%253A%252F%252Fp19-common-sign.tiktokcdn.com%252Ftos-alisg-p-0037%252Fos7GLC6f9IezVjK1IBOVIe9Xo66qTIAQXD4jAs~tplv-tiktokx-origin.jpeg%253Fdr%253D14572%2526refresh_token%253Daad2a06c%2526x-expires%253D1809504000%2526x-signature%253Dtz%25252F0JgNDpQjJ3%25252Bci7tl0vsuN9QM%25253D%2526t%253D4d5b0474%2526ps%253D13740610%2526shp%253Dd05b14bd%2526shcp%253D34ff8df6%2526idc%253Dmy%2526s%253DTIKTOK_AFFILIATE_VIRAL_VIDEO%22%2C%22placeholder_product_id%22%3A%221729729730555512511%22%2C%22placeholder_video_id%22%3A%227635265293807389973%22%7D&amp;ec_shared_reflux_scene=shop_tab_feed&amp;share_item_id=7635265293807389973&amp;source=h5_t</v>
      </c>
      <c r="M1626" s="470"/>
      <c r="N1626" s="471" t="str">
        <f>IFERROR(__xludf.DUMMYFUNCTION("""COMPUTED_VALUE"""),"https://www.tiktok.com/@meituni29/video/7635297460130270485?_r=1&amp;u_code=dibcckj1hfg2cm&amp;region=&amp;mid=7397818121896593424&amp;preview_pb=0&amp;sharer_language=&amp;_d=0&amp;ec_shared_reflux_dynamic_params=%7B%22placeholder_material_id%22%3A%227635297460130270485%22%2C%22pla"&amp;"ceholder_origin_cover%22%3A%22https%253A%252F%252Fp16-common-sign.tiktokcdn.com%252Ftos-alisg-p-0037%252Foc2Ug9DBTIpdFvZYSUfBRebIqmDHBgEbAEBKPI~tplv-tiktokx-origin.jpeg%253Fdr%253D14572%2526refresh_token%253D165fe96c%2526x-expires%253D1809504000%2526x-sig"&amp;"nature%253D3vF6R6JXSOiE833lngAENSEoStE%25253D%2526t%253D4d5b0474%2526ps%253D13740610%2526shp%253Dd05b14bd%2526shcp%253D34ff8df6%2526idc%253Dmy%2526s%253DTIKTOK_AFFILIATE_VIRAL_VIDEO%22%2C%22placeholder_product_id%22%3A%221729427766722726591%22%2C%22placeh"&amp;"older_video_id%22%3A%227635297460130270485%22%7D&amp;ec_shared_reflux_scene=shop_tab_feed&amp;share_item_id=7635297460130270485&amp;source=h5_t")</f>
        <v>https://www.tiktok.com/@meituni29/video/7635297460130270485?_r=1&amp;u_code=dibcckj1hfg2cm&amp;region=&amp;mid=7397818121896593424&amp;preview_pb=0&amp;sharer_language=&amp;_d=0&amp;ec_shared_reflux_dynamic_params=%7B%22placeholder_material_id%22%3A%227635297460130270485%22%2C%22placeholder_origin_cover%22%3A%22https%253A%252F%252Fp16-common-sign.tiktokcdn.com%252Ftos-alisg-p-0037%252Foc2Ug9DBTIpdFvZYSUfBRebIqmDHBgEbAEBKPI~tplv-tiktokx-origin.jpeg%253Fdr%253D14572%2526refresh_token%253D165fe96c%2526x-expires%253D1809504000%2526x-signature%253D3vF6R6JXSOiE833lngAENSEoStE%25253D%2526t%253D4d5b0474%2526ps%253D13740610%2526shp%253Dd05b14bd%2526shcp%253D34ff8df6%2526idc%253Dmy%2526s%253DTIKTOK_AFFILIATE_VIRAL_VIDEO%22%2C%22placeholder_product_id%22%3A%221729427766722726591%22%2C%22placeholder_video_id%22%3A%227635297460130270485%22%7D&amp;ec_shared_reflux_scene=shop_tab_feed&amp;share_item_id=7635297460130270485&amp;source=h5_t</v>
      </c>
      <c r="O1626" s="470"/>
      <c r="P1626" s="471" t="str">
        <f>IFERROR(__xludf.DUMMYFUNCTION("""COMPUTED_VALUE"""),"https://vt.tiktok.com/ZS9ojERFm/")</f>
        <v>https://vt.tiktok.com/ZS9ojERFm/</v>
      </c>
    </row>
    <row r="1627">
      <c r="A1627" s="282" t="str">
        <f>IFERROR(__xludf.DUMMYFUNCTION("""COMPUTED_VALUE"""),"MICRO")</f>
        <v>MICRO</v>
      </c>
      <c r="B1627" s="468" t="str">
        <f>IFERROR(__xludf.DUMMYFUNCTION("""COMPUTED_VALUE"""),"Pisceanrick")</f>
        <v>Pisceanrick</v>
      </c>
      <c r="C1627" s="283" t="str">
        <f>IFERROR(__xludf.DUMMYFUNCTION("""COMPUTED_VALUE"""),"https://www.tiktok.com/@Pisceanrick")</f>
        <v>https://www.tiktok.com/@Pisceanrick</v>
      </c>
      <c r="D1627" s="273">
        <f>IFERROR(__xludf.DUMMYFUNCTION("""COMPUTED_VALUE"""),8.5266987808E10)</f>
        <v>85266987808</v>
      </c>
      <c r="E1627" s="458">
        <f>IFERROR(__xludf.DUMMYFUNCTION("""COMPUTED_VALUE"""),0.0)</f>
        <v>0</v>
      </c>
      <c r="F1627" s="273">
        <f>IFERROR(__xludf.DUMMYFUNCTION("""COMPUTED_VALUE"""),4.0)</f>
        <v>4</v>
      </c>
      <c r="G1627" t="str">
        <f>IFERROR(__xludf.DUMMYFUNCTION("""COMPUTED_VALUE"""),"Sabun batang 1 Box ( 2 PCS )")</f>
        <v>Sabun batang 1 Box ( 2 PCS )</v>
      </c>
      <c r="H1627" s="469" t="str">
        <f>IFERROR(__xludf.DUMMYFUNCTION("""COMPUTED_VALUE"""),"Sampai")</f>
        <v>Sampai</v>
      </c>
      <c r="I1627" s="470" t="str">
        <f>IFERROR(__xludf.DUMMYFUNCTION("""COMPUTED_VALUE"""),"KIMME")</f>
        <v>KIMME</v>
      </c>
      <c r="J1627" s="471" t="str">
        <f>IFERROR(__xludf.DUMMYFUNCTION("""COMPUTED_VALUE"""),"https://vt.tiktok.com/ZSxJ4NHpR/")</f>
        <v>https://vt.tiktok.com/ZSxJ4NHpR/</v>
      </c>
      <c r="K1627" s="470" t="str">
        <f>IFERROR(__xludf.DUMMYFUNCTION("""COMPUTED_VALUE"""),"KIMME")</f>
        <v>KIMME</v>
      </c>
      <c r="L1627" s="471" t="str">
        <f>IFERROR(__xludf.DUMMYFUNCTION("""COMPUTED_VALUE"""),"https://vt.tiktok.com/ZSxdWPU5U/")</f>
        <v>https://vt.tiktok.com/ZSxdWPU5U/</v>
      </c>
      <c r="M1627" s="470"/>
      <c r="N1627" s="471" t="str">
        <f>IFERROR(__xludf.DUMMYFUNCTION("""COMPUTED_VALUE"""),"https://www.tiktok.com/@pisceanrick/video/7641278248575438098?_r=1&amp;u_code=dlfic596iblb23&amp;region=&amp;mid=6618871733141113604&amp;preview_pb=0&amp;sharer_language=&amp;_d=0&amp;ec_shared_reflux_dynamic_params=%7B%22placeholder_material_id%22%3A%227641278248575438098%22%2C%22p"&amp;"laceholder_origin_cover%22%3A%22https%253A%252F%252Fp16-common-sign.tiktokcdn.com%252Ftos-alisg-p-0037%252FoUEvQcsf0hFQs7ERMRCqrCFUsfrDgQgBArgzLB~tplv-tiktokx-origin.jpeg%253Fdr%253D14572%2526refresh_token%253D1e42a5c8%2526x-expires%253D1810717200%2526x-s"&amp;"ignature%253DcB3oXhhHluxrJlENmAUrfIa10sE%25253D%2526t%253D4d5b0474%2526ps%253D13740610%2526shp%253Dd05b14bd%2526shcp%253D34ff8df6%2526idc%253Dmy3%2526s%253DTIKTOK_AFFILIATE_VIRAL_VIDEO%22%2C%22placeholder_product_id%22%3A%221729427766722726591%22%2C%22pla"&amp;"ceholder_video_id%22%3A%227641278248575438098%22%7D&amp;ec_shared_reflux_scene=shop_tab_feed&amp;share_item_id=7641278248575438098&amp;source=h5_t")</f>
        <v>https://www.tiktok.com/@pisceanrick/video/7641278248575438098?_r=1&amp;u_code=dlfic596iblb23&amp;region=&amp;mid=6618871733141113604&amp;preview_pb=0&amp;sharer_language=&amp;_d=0&amp;ec_shared_reflux_dynamic_params=%7B%22placeholder_material_id%22%3A%227641278248575438098%22%2C%22placeholder_origin_cover%22%3A%22https%253A%252F%252Fp16-common-sign.tiktokcdn.com%252Ftos-alisg-p-0037%252FoUEvQcsf0hFQs7ERMRCqrCFUsfrDgQgBArgzLB~tplv-tiktokx-origin.jpeg%253Fdr%253D14572%2526refresh_token%253D1e42a5c8%2526x-expires%253D1810717200%2526x-signature%253DcB3oXhhHluxrJlENmAUrfIa10sE%25253D%2526t%253D4d5b0474%2526ps%253D13740610%2526shp%253Dd05b14bd%2526shcp%253D34ff8df6%2526idc%253Dmy3%2526s%253DTIKTOK_AFFILIATE_VIRAL_VIDEO%22%2C%22placeholder_product_id%22%3A%221729427766722726591%22%2C%22placeholder_video_id%22%3A%227641278248575438098%22%7D&amp;ec_shared_reflux_scene=shop_tab_feed&amp;share_item_id=7641278248575438098&amp;source=h5_t</v>
      </c>
      <c r="O1627" s="470"/>
      <c r="P1627" s="471" t="str">
        <f>IFERROR(__xludf.DUMMYFUNCTION("""COMPUTED_VALUE"""),"https://vt.tiktok.com/ZSxWfV3CM/")</f>
        <v>https://vt.tiktok.com/ZSxWfV3CM/</v>
      </c>
    </row>
    <row r="1628">
      <c r="A1628" s="282" t="str">
        <f>IFERROR(__xludf.DUMMYFUNCTION("""COMPUTED_VALUE"""),"MICRO")</f>
        <v>MICRO</v>
      </c>
      <c r="B1628" s="468" t="str">
        <f>IFERROR(__xludf.DUMMYFUNCTION("""COMPUTED_VALUE"""),"cicikkarinn ")</f>
        <v>cicikkarinn </v>
      </c>
      <c r="C1628" s="283" t="str">
        <f>IFERROR(__xludf.DUMMYFUNCTION("""COMPUTED_VALUE"""),"https://www.tiktok.com/@cicikkarinn ")</f>
        <v>https://www.tiktok.com/@cicikkarinn </v>
      </c>
      <c r="D1628" s="273">
        <f>IFERROR(__xludf.DUMMYFUNCTION("""COMPUTED_VALUE"""),8.952458446E10)</f>
        <v>89524584460</v>
      </c>
      <c r="E1628" s="458">
        <f>IFERROR(__xludf.DUMMYFUNCTION("""COMPUTED_VALUE"""),0.0)</f>
        <v>0</v>
      </c>
      <c r="F1628" s="273">
        <f>IFERROR(__xludf.DUMMYFUNCTION("""COMPUTED_VALUE"""),4.0)</f>
        <v>4</v>
      </c>
      <c r="G1628" t="str">
        <f>IFERROR(__xludf.DUMMYFUNCTION("""COMPUTED_VALUE"""),"Sabun batang 1 Box ( 2 PCS )")</f>
        <v>Sabun batang 1 Box ( 2 PCS )</v>
      </c>
      <c r="H1628" s="469" t="str">
        <f>IFERROR(__xludf.DUMMYFUNCTION("""COMPUTED_VALUE"""),"Sampai")</f>
        <v>Sampai</v>
      </c>
      <c r="I1628" s="470" t="str">
        <f>IFERROR(__xludf.DUMMYFUNCTION("""COMPUTED_VALUE"""),"KIMME")</f>
        <v>KIMME</v>
      </c>
      <c r="J1628" t="str">
        <f>IFERROR(__xludf.DUMMYFUNCTION("""COMPUTED_VALUE"""),"⁠https://vt.tiktok.com/ZSxAXfpSG/")</f>
        <v>⁠https://vt.tiktok.com/ZSxAXfpSG/</v>
      </c>
      <c r="K1628" s="470" t="str">
        <f>IFERROR(__xludf.DUMMYFUNCTION("""COMPUTED_VALUE"""),"KIMME")</f>
        <v>KIMME</v>
      </c>
      <c r="L1628" s="471" t="str">
        <f>IFERROR(__xludf.DUMMYFUNCTION("""COMPUTED_VALUE"""),"https://vt.tiktok.com/ZSxrxHvUh/")</f>
        <v>https://vt.tiktok.com/ZSxrxHvUh/</v>
      </c>
      <c r="M1628" s="470"/>
      <c r="N1628" s="471" t="str">
        <f>IFERROR(__xludf.DUMMYFUNCTION("""COMPUTED_VALUE"""),"https://vt.tiktok.com/ZSxSew8Tj/")</f>
        <v>https://vt.tiktok.com/ZSxSew8Tj/</v>
      </c>
      <c r="O1628" s="470"/>
      <c r="P1628" t="str">
        <f>IFERROR(__xludf.DUMMYFUNCTION("""COMPUTED_VALUE"""),"⁠https://vt.tiktok.com/ZSxSdRffP/")</f>
        <v>⁠https://vt.tiktok.com/ZSxSdRffP/</v>
      </c>
    </row>
    <row r="1629">
      <c r="A1629" s="282" t="str">
        <f>IFERROR(__xludf.DUMMYFUNCTION("""COMPUTED_VALUE"""),"MICRO")</f>
        <v>MICRO</v>
      </c>
      <c r="B1629" s="468" t="str">
        <f>IFERROR(__xludf.DUMMYFUNCTION("""COMPUTED_VALUE"""),"sarahmarsandaa")</f>
        <v>sarahmarsandaa</v>
      </c>
      <c r="C1629" s="283" t="str">
        <f>IFERROR(__xludf.DUMMYFUNCTION("""COMPUTED_VALUE"""),"https://www.tiktok.com/@sarahmarsandaa")</f>
        <v>https://www.tiktok.com/@sarahmarsandaa</v>
      </c>
      <c r="D1629" s="273">
        <f>IFERROR(__xludf.DUMMYFUNCTION("""COMPUTED_VALUE"""),8.1373084491E10)</f>
        <v>81373084491</v>
      </c>
      <c r="E1629" s="458">
        <f>IFERROR(__xludf.DUMMYFUNCTION("""COMPUTED_VALUE"""),0.0)</f>
        <v>0</v>
      </c>
      <c r="F1629" s="273">
        <f>IFERROR(__xludf.DUMMYFUNCTION("""COMPUTED_VALUE"""),4.0)</f>
        <v>4</v>
      </c>
      <c r="G1629" t="str">
        <f>IFERROR(__xludf.DUMMYFUNCTION("""COMPUTED_VALUE"""),"Sabun batang 1 Box ( 2 PCS )")</f>
        <v>Sabun batang 1 Box ( 2 PCS )</v>
      </c>
      <c r="H1629" s="469" t="str">
        <f>IFERROR(__xludf.DUMMYFUNCTION("""COMPUTED_VALUE"""),"Sampai")</f>
        <v>Sampai</v>
      </c>
      <c r="I1629" s="470" t="str">
        <f>IFERROR(__xludf.DUMMYFUNCTION("""COMPUTED_VALUE"""),"KIMME")</f>
        <v>KIMME</v>
      </c>
      <c r="J1629" s="471" t="str">
        <f>IFERROR(__xludf.DUMMYFUNCTION("""COMPUTED_VALUE"""),"https://vt.tiktok.com/ZSxAUrDpY/")</f>
        <v>https://vt.tiktok.com/ZSxAUrDpY/</v>
      </c>
      <c r="K1629" s="470" t="str">
        <f>IFERROR(__xludf.DUMMYFUNCTION("""COMPUTED_VALUE"""),"KIMME")</f>
        <v>KIMME</v>
      </c>
      <c r="L1629" t="str">
        <f>IFERROR(__xludf.DUMMYFUNCTION("""COMPUTED_VALUE"""),"⁠https://vt.tiktok.com/ZSxAuxydq/")</f>
        <v>⁠https://vt.tiktok.com/ZSxAuxydq/</v>
      </c>
      <c r="M1629" s="470"/>
      <c r="N1629" s="471" t="str">
        <f>IFERROR(__xludf.DUMMYFUNCTION("""COMPUTED_VALUE"""),"https://vt.tiktok.com/ZS9vJkG2n/")</f>
        <v>https://vt.tiktok.com/ZS9vJkG2n/</v>
      </c>
      <c r="O1629" s="470"/>
      <c r="P1629" s="471" t="str">
        <f>IFERROR(__xludf.DUMMYFUNCTION("""COMPUTED_VALUE"""),"https://vt.tiktok.com/ZS9vJMtMf/")</f>
        <v>https://vt.tiktok.com/ZS9vJMtMf/</v>
      </c>
    </row>
    <row r="1630">
      <c r="A1630" s="282" t="str">
        <f>IFERROR(__xludf.DUMMYFUNCTION("""COMPUTED_VALUE"""),"MICRO")</f>
        <v>MICRO</v>
      </c>
      <c r="B1630" s="468" t="str">
        <f>IFERROR(__xludf.DUMMYFUNCTION("""COMPUTED_VALUE"""),"_0.0.04
")</f>
        <v>_0.0.04
</v>
      </c>
      <c r="C1630" s="283" t="str">
        <f>IFERROR(__xludf.DUMMYFUNCTION("""COMPUTED_VALUE"""),"https://www.tiktok.com/@_0.0.04
")</f>
        <v>https://www.tiktok.com/@_0.0.04
</v>
      </c>
      <c r="D1630" s="273">
        <f>IFERROR(__xludf.DUMMYFUNCTION("""COMPUTED_VALUE"""),8.1328077831E10)</f>
        <v>81328077831</v>
      </c>
      <c r="E1630" s="458">
        <f>IFERROR(__xludf.DUMMYFUNCTION("""COMPUTED_VALUE"""),0.0)</f>
        <v>0</v>
      </c>
      <c r="F1630" s="273">
        <f>IFERROR(__xludf.DUMMYFUNCTION("""COMPUTED_VALUE"""),4.0)</f>
        <v>4</v>
      </c>
      <c r="G1630" t="str">
        <f>IFERROR(__xludf.DUMMYFUNCTION("""COMPUTED_VALUE"""),"Sabun batang 1 Box ( 2 PCS )")</f>
        <v>Sabun batang 1 Box ( 2 PCS )</v>
      </c>
      <c r="H1630" s="469" t="str">
        <f>IFERROR(__xludf.DUMMYFUNCTION("""COMPUTED_VALUE"""),"Sampai")</f>
        <v>Sampai</v>
      </c>
      <c r="I1630" s="470" t="str">
        <f>IFERROR(__xludf.DUMMYFUNCTION("""COMPUTED_VALUE"""),"KIMME")</f>
        <v>KIMME</v>
      </c>
      <c r="J1630" s="471" t="str">
        <f>IFERROR(__xludf.DUMMYFUNCTION("""COMPUTED_VALUE"""),"https://vt.tiktok.com/ZS9uq13up/")</f>
        <v>https://vt.tiktok.com/ZS9uq13up/</v>
      </c>
      <c r="K1630" s="470" t="str">
        <f>IFERROR(__xludf.DUMMYFUNCTION("""COMPUTED_VALUE"""),"KIMME")</f>
        <v>KIMME</v>
      </c>
      <c r="L1630" s="471" t="str">
        <f>IFERROR(__xludf.DUMMYFUNCTION("""COMPUTED_VALUE"""),"https://vt.tiktok.com/ZS9Hhmxec/")</f>
        <v>https://vt.tiktok.com/ZS9Hhmxec/</v>
      </c>
      <c r="M1630" s="470"/>
      <c r="N1630" s="471" t="str">
        <f>IFERROR(__xludf.DUMMYFUNCTION("""COMPUTED_VALUE"""),"https://vt.tiktok.com/ZS9QTCav9/")</f>
        <v>https://vt.tiktok.com/ZS9QTCav9/</v>
      </c>
      <c r="O1630" s="470"/>
      <c r="P1630" s="471" t="str">
        <f>IFERROR(__xludf.DUMMYFUNCTION("""COMPUTED_VALUE"""),"https://vt.tiktok.com/ZS9okAFtg/")</f>
        <v>https://vt.tiktok.com/ZS9okAFtg/</v>
      </c>
    </row>
    <row r="1631">
      <c r="A1631" s="282" t="str">
        <f>IFERROR(__xludf.DUMMYFUNCTION("""COMPUTED_VALUE"""),"MICRO")</f>
        <v>MICRO</v>
      </c>
      <c r="B1631" s="468" t="str">
        <f>IFERROR(__xludf.DUMMYFUNCTION("""COMPUTED_VALUE"""),"devitaa_1")</f>
        <v>devitaa_1</v>
      </c>
      <c r="C1631" s="283" t="str">
        <f>IFERROR(__xludf.DUMMYFUNCTION("""COMPUTED_VALUE"""),"https://www.tiktok.com/@devitaa_1")</f>
        <v>https://www.tiktok.com/@devitaa_1</v>
      </c>
      <c r="D1631" s="273">
        <f>IFERROR(__xludf.DUMMYFUNCTION("""COMPUTED_VALUE"""),8.2268741144E10)</f>
        <v>82268741144</v>
      </c>
      <c r="E1631" s="458">
        <f>IFERROR(__xludf.DUMMYFUNCTION("""COMPUTED_VALUE"""),0.0)</f>
        <v>0</v>
      </c>
      <c r="F1631" s="273">
        <f>IFERROR(__xludf.DUMMYFUNCTION("""COMPUTED_VALUE"""),4.0)</f>
        <v>4</v>
      </c>
      <c r="G1631" t="str">
        <f>IFERROR(__xludf.DUMMYFUNCTION("""COMPUTED_VALUE"""),"Sabun batang 1 Box ( 2 PCS )")</f>
        <v>Sabun batang 1 Box ( 2 PCS )</v>
      </c>
      <c r="H1631" s="469" t="str">
        <f>IFERROR(__xludf.DUMMYFUNCTION("""COMPUTED_VALUE"""),"Sampai")</f>
        <v>Sampai</v>
      </c>
      <c r="I1631" s="470" t="str">
        <f>IFERROR(__xludf.DUMMYFUNCTION("""COMPUTED_VALUE"""),"KIMME")</f>
        <v>KIMME</v>
      </c>
      <c r="J1631" s="471" t="str">
        <f>IFERROR(__xludf.DUMMYFUNCTION("""COMPUTED_VALUE"""),"https://vt.tiktok.com/ZS9o6fNFS/")</f>
        <v>https://vt.tiktok.com/ZS9o6fNFS/</v>
      </c>
      <c r="K1631" s="470" t="str">
        <f>IFERROR(__xludf.DUMMYFUNCTION("""COMPUTED_VALUE"""),"KIMME")</f>
        <v>KIMME</v>
      </c>
      <c r="L1631" s="471" t="str">
        <f>IFERROR(__xludf.DUMMYFUNCTION("""COMPUTED_VALUE"""),"https://vt.tiktok.com/ZSx2byw4X/")</f>
        <v>https://vt.tiktok.com/ZSx2byw4X/</v>
      </c>
      <c r="M1631" s="470"/>
      <c r="N1631" s="471" t="str">
        <f>IFERROR(__xludf.DUMMYFUNCTION("""COMPUTED_VALUE"""),"https://vt.tiktok.com/ZSxHjjHSL/")</f>
        <v>https://vt.tiktok.com/ZSxHjjHSL/</v>
      </c>
      <c r="O1631" s="470"/>
      <c r="P1631" s="471" t="str">
        <f>IFERROR(__xludf.DUMMYFUNCTION("""COMPUTED_VALUE"""),"https://vt.tiktok.com/ZSxtMVgsC/")</f>
        <v>https://vt.tiktok.com/ZSxtMVgsC/</v>
      </c>
    </row>
    <row r="1632">
      <c r="A1632" s="282" t="str">
        <f>IFERROR(__xludf.DUMMYFUNCTION("""COMPUTED_VALUE"""),"MICRO")</f>
        <v>MICRO</v>
      </c>
      <c r="B1632" s="468" t="str">
        <f>IFERROR(__xludf.DUMMYFUNCTION("""COMPUTED_VALUE"""),"giovanitrishna")</f>
        <v>giovanitrishna</v>
      </c>
      <c r="C1632" s="283" t="str">
        <f>IFERROR(__xludf.DUMMYFUNCTION("""COMPUTED_VALUE"""),"https://www.tiktok.com/@giovanitrishna")</f>
        <v>https://www.tiktok.com/@giovanitrishna</v>
      </c>
      <c r="D1632" s="273">
        <f>IFERROR(__xludf.DUMMYFUNCTION("""COMPUTED_VALUE"""),8.95328292017E11)</f>
        <v>895328292017</v>
      </c>
      <c r="E1632" s="458">
        <f>IFERROR(__xludf.DUMMYFUNCTION("""COMPUTED_VALUE"""),0.0)</f>
        <v>0</v>
      </c>
      <c r="F1632" s="273">
        <f>IFERROR(__xludf.DUMMYFUNCTION("""COMPUTED_VALUE"""),4.0)</f>
        <v>4</v>
      </c>
      <c r="G1632" t="str">
        <f>IFERROR(__xludf.DUMMYFUNCTION("""COMPUTED_VALUE"""),"Sabun batang 1 Box ( 2 PCS )")</f>
        <v>Sabun batang 1 Box ( 2 PCS )</v>
      </c>
      <c r="H1632" s="469" t="str">
        <f>IFERROR(__xludf.DUMMYFUNCTION("""COMPUTED_VALUE"""),"Sampai")</f>
        <v>Sampai</v>
      </c>
      <c r="I1632" s="470" t="str">
        <f>IFERROR(__xludf.DUMMYFUNCTION("""COMPUTED_VALUE"""),"KIMME")</f>
        <v>KIMME</v>
      </c>
      <c r="J1632" s="471" t="str">
        <f>IFERROR(__xludf.DUMMYFUNCTION("""COMPUTED_VALUE"""),"https://vt.tiktok.com/ZSxgQFwg1/")</f>
        <v>https://vt.tiktok.com/ZSxgQFwg1/</v>
      </c>
      <c r="K1632" s="470" t="str">
        <f>IFERROR(__xludf.DUMMYFUNCTION("""COMPUTED_VALUE"""),"KIMME")</f>
        <v>KIMME</v>
      </c>
      <c r="L1632" t="str">
        <f>IFERROR(__xludf.DUMMYFUNCTION("""COMPUTED_VALUE"""),"⁠https://vt.tiktok.com/ZSxAXfpSG/")</f>
        <v>⁠https://vt.tiktok.com/ZSxAXfpSG/</v>
      </c>
      <c r="M1632" s="470"/>
      <c r="N1632" s="471" t="str">
        <f>IFERROR(__xludf.DUMMYFUNCTION("""COMPUTED_VALUE"""),"https://vt.tiktok.com/ZSxqLjsME/")</f>
        <v>https://vt.tiktok.com/ZSxqLjsME/</v>
      </c>
      <c r="O1632" s="470"/>
      <c r="P1632" s="471" t="str">
        <f>IFERROR(__xludf.DUMMYFUNCTION("""COMPUTED_VALUE"""),"https://vt.tiktok.com/ZSxPpjVBK/")</f>
        <v>https://vt.tiktok.com/ZSxPpjVBK/</v>
      </c>
    </row>
    <row r="1633">
      <c r="A1633" s="282" t="str">
        <f>IFERROR(__xludf.DUMMYFUNCTION("""COMPUTED_VALUE"""),"MICRO")</f>
        <v>MICRO</v>
      </c>
      <c r="B1633" s="468" t="str">
        <f>IFERROR(__xludf.DUMMYFUNCTION("""COMPUTED_VALUE"""),"Cece_koko333 ")</f>
        <v>Cece_koko333 </v>
      </c>
      <c r="C1633" s="283" t="str">
        <f>IFERROR(__xludf.DUMMYFUNCTION("""COMPUTED_VALUE"""),"https://www.tiktok.com/@Cece_koko333 ")</f>
        <v>https://www.tiktok.com/@Cece_koko333 </v>
      </c>
      <c r="D1633" s="273">
        <f>IFERROR(__xludf.DUMMYFUNCTION("""COMPUTED_VALUE"""),8.9523120507E10)</f>
        <v>89523120507</v>
      </c>
      <c r="E1633" s="458">
        <f>IFERROR(__xludf.DUMMYFUNCTION("""COMPUTED_VALUE"""),0.0)</f>
        <v>0</v>
      </c>
      <c r="F1633" s="273">
        <f>IFERROR(__xludf.DUMMYFUNCTION("""COMPUTED_VALUE"""),4.0)</f>
        <v>4</v>
      </c>
      <c r="G1633" t="str">
        <f>IFERROR(__xludf.DUMMYFUNCTION("""COMPUTED_VALUE"""),"Sabun batang 1 Box ( 2 PCS )")</f>
        <v>Sabun batang 1 Box ( 2 PCS )</v>
      </c>
      <c r="H1633" s="469" t="str">
        <f>IFERROR(__xludf.DUMMYFUNCTION("""COMPUTED_VALUE"""),"Sampai")</f>
        <v>Sampai</v>
      </c>
      <c r="I1633" s="470" t="str">
        <f>IFERROR(__xludf.DUMMYFUNCTION("""COMPUTED_VALUE"""),"KIMME")</f>
        <v>KIMME</v>
      </c>
      <c r="J1633" s="471" t="str">
        <f>IFERROR(__xludf.DUMMYFUNCTION("""COMPUTED_VALUE"""),"https://vt.tiktok.com/ZS9H2BvDV/")</f>
        <v>https://vt.tiktok.com/ZS9H2BvDV/</v>
      </c>
      <c r="K1633" s="470" t="str">
        <f>IFERROR(__xludf.DUMMYFUNCTION("""COMPUTED_VALUE"""),"KIMME")</f>
        <v>KIMME</v>
      </c>
      <c r="L1633" s="471" t="str">
        <f>IFERROR(__xludf.DUMMYFUNCTION("""COMPUTED_VALUE"""),"https://vt.tiktok.com/ZS9H2LwwK/")</f>
        <v>https://vt.tiktok.com/ZS9H2LwwK/</v>
      </c>
      <c r="M1633" s="470"/>
      <c r="N1633" s="471" t="str">
        <f>IFERROR(__xludf.DUMMYFUNCTION("""COMPUTED_VALUE"""),"https://vt.tiktok.com/ZS9H2PPny/")</f>
        <v>https://vt.tiktok.com/ZS9H2PPny/</v>
      </c>
      <c r="O1633" s="470"/>
      <c r="P1633" s="471" t="str">
        <f>IFERROR(__xludf.DUMMYFUNCTION("""COMPUTED_VALUE"""),"https://vt.tiktok.com/ZS9H2eUCb/")</f>
        <v>https://vt.tiktok.com/ZS9H2eUCb/</v>
      </c>
    </row>
    <row r="1634">
      <c r="A1634" s="282" t="str">
        <f>IFERROR(__xludf.DUMMYFUNCTION("""COMPUTED_VALUE"""),"MICRO")</f>
        <v>MICRO</v>
      </c>
      <c r="B1634" s="468" t="str">
        <f>IFERROR(__xludf.DUMMYFUNCTION("""COMPUTED_VALUE"""),"carissanz31")</f>
        <v>carissanz31</v>
      </c>
      <c r="C1634" s="283" t="str">
        <f>IFERROR(__xludf.DUMMYFUNCTION("""COMPUTED_VALUE"""),"https://www.tiktok.com/@carissanz31")</f>
        <v>https://www.tiktok.com/@carissanz31</v>
      </c>
      <c r="D1634" s="273">
        <f>IFERROR(__xludf.DUMMYFUNCTION("""COMPUTED_VALUE"""),8.5697367279E10)</f>
        <v>85697367279</v>
      </c>
      <c r="E1634" s="458">
        <f>IFERROR(__xludf.DUMMYFUNCTION("""COMPUTED_VALUE"""),0.0)</f>
        <v>0</v>
      </c>
      <c r="F1634" s="273">
        <f>IFERROR(__xludf.DUMMYFUNCTION("""COMPUTED_VALUE"""),4.0)</f>
        <v>4</v>
      </c>
      <c r="G1634" t="str">
        <f>IFERROR(__xludf.DUMMYFUNCTION("""COMPUTED_VALUE"""),"Sabun batang 1 Box ( 2 PCS )")</f>
        <v>Sabun batang 1 Box ( 2 PCS )</v>
      </c>
      <c r="H1634" s="469" t="str">
        <f>IFERROR(__xludf.DUMMYFUNCTION("""COMPUTED_VALUE"""),"Sampai")</f>
        <v>Sampai</v>
      </c>
      <c r="I1634" s="470" t="str">
        <f>IFERROR(__xludf.DUMMYFUNCTION("""COMPUTED_VALUE"""),"KIMME")</f>
        <v>KIMME</v>
      </c>
      <c r="J1634" s="471" t="str">
        <f>IFERROR(__xludf.DUMMYFUNCTION("""COMPUTED_VALUE"""),"https://vt.tiktok.com/ZS9H2BvDV/")</f>
        <v>https://vt.tiktok.com/ZS9H2BvDV/</v>
      </c>
      <c r="K1634" s="470" t="str">
        <f>IFERROR(__xludf.DUMMYFUNCTION("""COMPUTED_VALUE"""),"KIMME")</f>
        <v>KIMME</v>
      </c>
      <c r="L1634" s="471" t="str">
        <f>IFERROR(__xludf.DUMMYFUNCTION("""COMPUTED_VALUE"""),"https://vt.tiktok.com/ZS9H2LwwK/")</f>
        <v>https://vt.tiktok.com/ZS9H2LwwK/</v>
      </c>
      <c r="M1634" s="470"/>
      <c r="N1634" s="471" t="str">
        <f>IFERROR(__xludf.DUMMYFUNCTION("""COMPUTED_VALUE"""),"https://vt.tiktok.com/ZS9H2PPny/")</f>
        <v>https://vt.tiktok.com/ZS9H2PPny/</v>
      </c>
      <c r="O1634" s="470"/>
      <c r="P1634" s="471" t="str">
        <f>IFERROR(__xludf.DUMMYFUNCTION("""COMPUTED_VALUE"""),"https://vt.tiktok.com/ZS9H2eUCb/")</f>
        <v>https://vt.tiktok.com/ZS9H2eUCb/</v>
      </c>
    </row>
    <row r="1635">
      <c r="A1635" s="282" t="str">
        <f>IFERROR(__xludf.DUMMYFUNCTION("""COMPUTED_VALUE"""),"MICRO")</f>
        <v>MICRO</v>
      </c>
      <c r="B1635" s="468" t="str">
        <f>IFERROR(__xludf.DUMMYFUNCTION("""COMPUTED_VALUE"""),"taabeauty2")</f>
        <v>taabeauty2</v>
      </c>
      <c r="C1635" s="283" t="str">
        <f>IFERROR(__xludf.DUMMYFUNCTION("""COMPUTED_VALUE"""),"https://www.tiktok.com/@taabeauty2")</f>
        <v>https://www.tiktok.com/@taabeauty2</v>
      </c>
      <c r="D1635" s="273">
        <f>IFERROR(__xludf.DUMMYFUNCTION("""COMPUTED_VALUE"""),8.5746664993E10)</f>
        <v>85746664993</v>
      </c>
      <c r="E1635" s="458">
        <f>IFERROR(__xludf.DUMMYFUNCTION("""COMPUTED_VALUE"""),0.0)</f>
        <v>0</v>
      </c>
      <c r="F1635" s="273">
        <f>IFERROR(__xludf.DUMMYFUNCTION("""COMPUTED_VALUE"""),4.0)</f>
        <v>4</v>
      </c>
      <c r="G1635" t="str">
        <f>IFERROR(__xludf.DUMMYFUNCTION("""COMPUTED_VALUE"""),"Sabun batang 1 Box ( 2 PCS )")</f>
        <v>Sabun batang 1 Box ( 2 PCS )</v>
      </c>
      <c r="H1635" s="469" t="str">
        <f>IFERROR(__xludf.DUMMYFUNCTION("""COMPUTED_VALUE"""),"Sampai")</f>
        <v>Sampai</v>
      </c>
      <c r="I1635" s="470" t="str">
        <f>IFERROR(__xludf.DUMMYFUNCTION("""COMPUTED_VALUE"""),"KIMME")</f>
        <v>KIMME</v>
      </c>
      <c r="J1635" s="471" t="str">
        <f>IFERROR(__xludf.DUMMYFUNCTION("""COMPUTED_VALUE"""),"https://vt.tiktok.com/ZS9H2BvDV/")</f>
        <v>https://vt.tiktok.com/ZS9H2BvDV/</v>
      </c>
      <c r="K1635" s="470" t="str">
        <f>IFERROR(__xludf.DUMMYFUNCTION("""COMPUTED_VALUE"""),"KIMME")</f>
        <v>KIMME</v>
      </c>
      <c r="L1635" s="471" t="str">
        <f>IFERROR(__xludf.DUMMYFUNCTION("""COMPUTED_VALUE"""),"https://vt.tiktok.com/ZS9H2LwwK/")</f>
        <v>https://vt.tiktok.com/ZS9H2LwwK/</v>
      </c>
      <c r="M1635" s="470"/>
      <c r="N1635" s="471" t="str">
        <f>IFERROR(__xludf.DUMMYFUNCTION("""COMPUTED_VALUE"""),"https://vt.tiktok.com/ZS9H2PPny/")</f>
        <v>https://vt.tiktok.com/ZS9H2PPny/</v>
      </c>
      <c r="O1635" s="470"/>
      <c r="P1635" s="471" t="str">
        <f>IFERROR(__xludf.DUMMYFUNCTION("""COMPUTED_VALUE"""),"https://vt.tiktok.com/ZS9H2eUCb/")</f>
        <v>https://vt.tiktok.com/ZS9H2eUCb/</v>
      </c>
    </row>
    <row r="1636">
      <c r="A1636" s="282" t="str">
        <f>IFERROR(__xludf.DUMMYFUNCTION("""COMPUTED_VALUE"""),"MICRO")</f>
        <v>MICRO</v>
      </c>
      <c r="B1636" s="468" t="str">
        <f>IFERROR(__xludf.DUMMYFUNCTION("""COMPUTED_VALUE"""),"liiisssaaaaaaaaaaaa")</f>
        <v>liiisssaaaaaaaaaaaa</v>
      </c>
      <c r="C1636" s="283" t="str">
        <f>IFERROR(__xludf.DUMMYFUNCTION("""COMPUTED_VALUE"""),"https://www.tiktok.com/@liiisssaaaaaaaaaaaa")</f>
        <v>https://www.tiktok.com/@liiisssaaaaaaaaaaaa</v>
      </c>
      <c r="D1636" s="273">
        <f>IFERROR(__xludf.DUMMYFUNCTION("""COMPUTED_VALUE"""),8.9649858865E10)</f>
        <v>89649858865</v>
      </c>
      <c r="E1636" s="458">
        <f>IFERROR(__xludf.DUMMYFUNCTION("""COMPUTED_VALUE"""),0.0)</f>
        <v>0</v>
      </c>
      <c r="F1636" s="273">
        <f>IFERROR(__xludf.DUMMYFUNCTION("""COMPUTED_VALUE"""),4.0)</f>
        <v>4</v>
      </c>
      <c r="G1636" t="str">
        <f>IFERROR(__xludf.DUMMYFUNCTION("""COMPUTED_VALUE"""),"Sabun batang 1 Box ( 2 PCS )")</f>
        <v>Sabun batang 1 Box ( 2 PCS )</v>
      </c>
      <c r="H1636" s="469" t="str">
        <f>IFERROR(__xludf.DUMMYFUNCTION("""COMPUTED_VALUE"""),"Sampai")</f>
        <v>Sampai</v>
      </c>
      <c r="I1636" s="470" t="str">
        <f>IFERROR(__xludf.DUMMYFUNCTION("""COMPUTED_VALUE"""),"KIMME")</f>
        <v>KIMME</v>
      </c>
      <c r="J1636" s="471" t="str">
        <f>IFERROR(__xludf.DUMMYFUNCTION("""COMPUTED_VALUE"""),"https://vt.tiktok.com/ZS9H2BvDV/")</f>
        <v>https://vt.tiktok.com/ZS9H2BvDV/</v>
      </c>
      <c r="K1636" s="470" t="str">
        <f>IFERROR(__xludf.DUMMYFUNCTION("""COMPUTED_VALUE"""),"KIMME")</f>
        <v>KIMME</v>
      </c>
      <c r="L1636" s="471" t="str">
        <f>IFERROR(__xludf.DUMMYFUNCTION("""COMPUTED_VALUE"""),"https://vt.tiktok.com/ZS9H2LwwK/")</f>
        <v>https://vt.tiktok.com/ZS9H2LwwK/</v>
      </c>
      <c r="M1636" s="470"/>
      <c r="N1636" s="471" t="str">
        <f>IFERROR(__xludf.DUMMYFUNCTION("""COMPUTED_VALUE"""),"https://vt.tiktok.com/ZS9H2PPny/")</f>
        <v>https://vt.tiktok.com/ZS9H2PPny/</v>
      </c>
      <c r="O1636" s="470"/>
      <c r="P1636" s="471" t="str">
        <f>IFERROR(__xludf.DUMMYFUNCTION("""COMPUTED_VALUE"""),"https://vt.tiktok.com/ZS9H2eUCb/")</f>
        <v>https://vt.tiktok.com/ZS9H2eUCb/</v>
      </c>
    </row>
    <row r="1637">
      <c r="A1637" s="282" t="str">
        <f>IFERROR(__xludf.DUMMYFUNCTION("""COMPUTED_VALUE"""),"MICRO")</f>
        <v>MICRO</v>
      </c>
      <c r="B1637" s="468" t="str">
        <f>IFERROR(__xludf.DUMMYFUNCTION("""COMPUTED_VALUE"""),"vinamrntca01")</f>
        <v>vinamrntca01</v>
      </c>
      <c r="C1637" s="283" t="str">
        <f>IFERROR(__xludf.DUMMYFUNCTION("""COMPUTED_VALUE"""),"https://www.tiktok.com/@vinamrntca01")</f>
        <v>https://www.tiktok.com/@vinamrntca01</v>
      </c>
      <c r="D1637" s="273">
        <f>IFERROR(__xludf.DUMMYFUNCTION("""COMPUTED_VALUE"""),8.2269870245E10)</f>
        <v>82269870245</v>
      </c>
      <c r="E1637" s="458">
        <f>IFERROR(__xludf.DUMMYFUNCTION("""COMPUTED_VALUE"""),0.0)</f>
        <v>0</v>
      </c>
      <c r="F1637" s="273">
        <f>IFERROR(__xludf.DUMMYFUNCTION("""COMPUTED_VALUE"""),4.0)</f>
        <v>4</v>
      </c>
      <c r="G1637" t="str">
        <f>IFERROR(__xludf.DUMMYFUNCTION("""COMPUTED_VALUE"""),"Sabun batang 1 Box ( 2 PCS )")</f>
        <v>Sabun batang 1 Box ( 2 PCS )</v>
      </c>
      <c r="H1637" s="469" t="str">
        <f>IFERROR(__xludf.DUMMYFUNCTION("""COMPUTED_VALUE"""),"Sampai")</f>
        <v>Sampai</v>
      </c>
      <c r="I1637" s="470" t="str">
        <f>IFERROR(__xludf.DUMMYFUNCTION("""COMPUTED_VALUE"""),"KIMME")</f>
        <v>KIMME</v>
      </c>
      <c r="J1637" s="471" t="str">
        <f>IFERROR(__xludf.DUMMYFUNCTION("""COMPUTED_VALUE"""),"https://vt.tiktok.com/ZS9H2BvDV/")</f>
        <v>https://vt.tiktok.com/ZS9H2BvDV/</v>
      </c>
      <c r="K1637" s="470" t="str">
        <f>IFERROR(__xludf.DUMMYFUNCTION("""COMPUTED_VALUE"""),"KIMME")</f>
        <v>KIMME</v>
      </c>
      <c r="L1637" s="471" t="str">
        <f>IFERROR(__xludf.DUMMYFUNCTION("""COMPUTED_VALUE"""),"https://vt.tiktok.com/ZS9H2LwwK/")</f>
        <v>https://vt.tiktok.com/ZS9H2LwwK/</v>
      </c>
      <c r="M1637" s="470"/>
      <c r="N1637" s="471" t="str">
        <f>IFERROR(__xludf.DUMMYFUNCTION("""COMPUTED_VALUE"""),"https://vt.tiktok.com/ZS9H2PPny/")</f>
        <v>https://vt.tiktok.com/ZS9H2PPny/</v>
      </c>
      <c r="O1637" s="470"/>
      <c r="P1637" s="471" t="str">
        <f>IFERROR(__xludf.DUMMYFUNCTION("""COMPUTED_VALUE"""),"https://vt.tiktok.com/ZS9H2eUCb/")</f>
        <v>https://vt.tiktok.com/ZS9H2eUCb/</v>
      </c>
    </row>
    <row r="1638">
      <c r="A1638" s="282" t="str">
        <f>IFERROR(__xludf.DUMMYFUNCTION("""COMPUTED_VALUE"""),"MICRO")</f>
        <v>MICRO</v>
      </c>
      <c r="B1638" s="468" t="str">
        <f>IFERROR(__xludf.DUMMYFUNCTION("""COMPUTED_VALUE"""),"ikanopiaa")</f>
        <v>ikanopiaa</v>
      </c>
      <c r="C1638" s="283" t="str">
        <f>IFERROR(__xludf.DUMMYFUNCTION("""COMPUTED_VALUE"""),"https://www.tiktok.com/@ikanopiaa")</f>
        <v>https://www.tiktok.com/@ikanopiaa</v>
      </c>
      <c r="D1638" s="273">
        <f>IFERROR(__xludf.DUMMYFUNCTION("""COMPUTED_VALUE"""),8.5770337424E10)</f>
        <v>85770337424</v>
      </c>
      <c r="E1638" s="458">
        <f>IFERROR(__xludf.DUMMYFUNCTION("""COMPUTED_VALUE"""),0.0)</f>
        <v>0</v>
      </c>
      <c r="F1638" s="273">
        <f>IFERROR(__xludf.DUMMYFUNCTION("""COMPUTED_VALUE"""),4.0)</f>
        <v>4</v>
      </c>
      <c r="G1638" t="str">
        <f>IFERROR(__xludf.DUMMYFUNCTION("""COMPUTED_VALUE"""),"Sabun batang 1 Box ( 2 PCS )")</f>
        <v>Sabun batang 1 Box ( 2 PCS )</v>
      </c>
      <c r="H1638" s="469" t="str">
        <f>IFERROR(__xludf.DUMMYFUNCTION("""COMPUTED_VALUE"""),"Sampai")</f>
        <v>Sampai</v>
      </c>
      <c r="I1638" s="470" t="str">
        <f>IFERROR(__xludf.DUMMYFUNCTION("""COMPUTED_VALUE"""),"KIMME")</f>
        <v>KIMME</v>
      </c>
      <c r="J1638" s="471" t="str">
        <f>IFERROR(__xludf.DUMMYFUNCTION("""COMPUTED_VALUE"""),"https://vt.tiktok.com/ZS9H2BvDV/")</f>
        <v>https://vt.tiktok.com/ZS9H2BvDV/</v>
      </c>
      <c r="K1638" s="470" t="str">
        <f>IFERROR(__xludf.DUMMYFUNCTION("""COMPUTED_VALUE"""),"KIMME")</f>
        <v>KIMME</v>
      </c>
      <c r="L1638" s="471" t="str">
        <f>IFERROR(__xludf.DUMMYFUNCTION("""COMPUTED_VALUE"""),"https://vt.tiktok.com/ZS9H2LwwK/")</f>
        <v>https://vt.tiktok.com/ZS9H2LwwK/</v>
      </c>
      <c r="M1638" s="470"/>
      <c r="N1638" s="471" t="str">
        <f>IFERROR(__xludf.DUMMYFUNCTION("""COMPUTED_VALUE"""),"https://vt.tiktok.com/ZS9H2PPny/")</f>
        <v>https://vt.tiktok.com/ZS9H2PPny/</v>
      </c>
      <c r="O1638" s="470"/>
      <c r="P1638" s="471" t="str">
        <f>IFERROR(__xludf.DUMMYFUNCTION("""COMPUTED_VALUE"""),"https://vt.tiktok.com/ZS9H2eUCb/")</f>
        <v>https://vt.tiktok.com/ZS9H2eUCb/</v>
      </c>
    </row>
    <row r="1639">
      <c r="A1639" s="282" t="str">
        <f>IFERROR(__xludf.DUMMYFUNCTION("""COMPUTED_VALUE"""),"MICRO")</f>
        <v>MICRO</v>
      </c>
      <c r="B1639" s="468" t="str">
        <f>IFERROR(__xludf.DUMMYFUNCTION("""COMPUTED_VALUE"""),"jelitadiary")</f>
        <v>jelitadiary</v>
      </c>
      <c r="C1639" s="283" t="str">
        <f>IFERROR(__xludf.DUMMYFUNCTION("""COMPUTED_VALUE"""),"https://www.tiktok.com/@jelitadiary")</f>
        <v>https://www.tiktok.com/@jelitadiary</v>
      </c>
      <c r="D1639" s="273">
        <f>IFERROR(__xludf.DUMMYFUNCTION("""COMPUTED_VALUE"""),8.1332255279E10)</f>
        <v>81332255279</v>
      </c>
      <c r="E1639" s="458">
        <f>IFERROR(__xludf.DUMMYFUNCTION("""COMPUTED_VALUE"""),0.0)</f>
        <v>0</v>
      </c>
      <c r="F1639" s="273">
        <f>IFERROR(__xludf.DUMMYFUNCTION("""COMPUTED_VALUE"""),4.0)</f>
        <v>4</v>
      </c>
      <c r="G1639" t="str">
        <f>IFERROR(__xludf.DUMMYFUNCTION("""COMPUTED_VALUE"""),"Sabun batang 1 Box ( 2 PCS )")</f>
        <v>Sabun batang 1 Box ( 2 PCS )</v>
      </c>
      <c r="H1639" s="469" t="str">
        <f>IFERROR(__xludf.DUMMYFUNCTION("""COMPUTED_VALUE"""),"Sampai")</f>
        <v>Sampai</v>
      </c>
      <c r="I1639" s="470" t="str">
        <f>IFERROR(__xludf.DUMMYFUNCTION("""COMPUTED_VALUE"""),"KIMME")</f>
        <v>KIMME</v>
      </c>
      <c r="J1639" s="471" t="str">
        <f>IFERROR(__xludf.DUMMYFUNCTION("""COMPUTED_VALUE"""),"https://vt.tiktok.com/ZS9H2BvDV/")</f>
        <v>https://vt.tiktok.com/ZS9H2BvDV/</v>
      </c>
      <c r="K1639" s="470" t="str">
        <f>IFERROR(__xludf.DUMMYFUNCTION("""COMPUTED_VALUE"""),"KIMME")</f>
        <v>KIMME</v>
      </c>
      <c r="L1639" s="471" t="str">
        <f>IFERROR(__xludf.DUMMYFUNCTION("""COMPUTED_VALUE"""),"https://vt.tiktok.com/ZS9H2LwwK/")</f>
        <v>https://vt.tiktok.com/ZS9H2LwwK/</v>
      </c>
      <c r="M1639" s="470"/>
      <c r="N1639" s="471" t="str">
        <f>IFERROR(__xludf.DUMMYFUNCTION("""COMPUTED_VALUE"""),"https://vt.tiktok.com/ZS9H2PPny/")</f>
        <v>https://vt.tiktok.com/ZS9H2PPny/</v>
      </c>
      <c r="O1639" s="470"/>
      <c r="P1639" s="471" t="str">
        <f>IFERROR(__xludf.DUMMYFUNCTION("""COMPUTED_VALUE"""),"https://vt.tiktok.com/ZS9H2eUCb/")</f>
        <v>https://vt.tiktok.com/ZS9H2eUCb/</v>
      </c>
    </row>
    <row r="1640">
      <c r="A1640" s="282" t="str">
        <f>IFERROR(__xludf.DUMMYFUNCTION("""COMPUTED_VALUE"""),"MICRO")</f>
        <v>MICRO</v>
      </c>
      <c r="B1640" s="468" t="str">
        <f>IFERROR(__xludf.DUMMYFUNCTION("""COMPUTED_VALUE"""),"glowbyputricantik")</f>
        <v>glowbyputricantik</v>
      </c>
      <c r="C1640" s="283" t="str">
        <f>IFERROR(__xludf.DUMMYFUNCTION("""COMPUTED_VALUE"""),"https://www.tiktok.com/@glowbyputricantik")</f>
        <v>https://www.tiktok.com/@glowbyputricantik</v>
      </c>
      <c r="D1640" s="273">
        <f>IFERROR(__xludf.DUMMYFUNCTION("""COMPUTED_VALUE"""),8.5819300001E10)</f>
        <v>85819300001</v>
      </c>
      <c r="E1640" s="458">
        <f>IFERROR(__xludf.DUMMYFUNCTION("""COMPUTED_VALUE"""),0.0)</f>
        <v>0</v>
      </c>
      <c r="F1640" s="273">
        <f>IFERROR(__xludf.DUMMYFUNCTION("""COMPUTED_VALUE"""),4.0)</f>
        <v>4</v>
      </c>
      <c r="G1640" t="str">
        <f>IFERROR(__xludf.DUMMYFUNCTION("""COMPUTED_VALUE"""),"Sabun batang 1 Box ( 2 PCS )")</f>
        <v>Sabun batang 1 Box ( 2 PCS )</v>
      </c>
      <c r="H1640" s="469" t="str">
        <f>IFERROR(__xludf.DUMMYFUNCTION("""COMPUTED_VALUE"""),"Sampai")</f>
        <v>Sampai</v>
      </c>
      <c r="I1640" s="470" t="str">
        <f>IFERROR(__xludf.DUMMYFUNCTION("""COMPUTED_VALUE"""),"KIMME")</f>
        <v>KIMME</v>
      </c>
      <c r="J1640" s="471" t="str">
        <f>IFERROR(__xludf.DUMMYFUNCTION("""COMPUTED_VALUE"""),"https://vt.tiktok.com/ZS9H2BvDV/")</f>
        <v>https://vt.tiktok.com/ZS9H2BvDV/</v>
      </c>
      <c r="K1640" s="470" t="str">
        <f>IFERROR(__xludf.DUMMYFUNCTION("""COMPUTED_VALUE"""),"KIMME")</f>
        <v>KIMME</v>
      </c>
      <c r="L1640" s="471" t="str">
        <f>IFERROR(__xludf.DUMMYFUNCTION("""COMPUTED_VALUE"""),"https://vt.tiktok.com/ZS9H2LwwK/")</f>
        <v>https://vt.tiktok.com/ZS9H2LwwK/</v>
      </c>
      <c r="M1640" s="470"/>
      <c r="N1640" s="471" t="str">
        <f>IFERROR(__xludf.DUMMYFUNCTION("""COMPUTED_VALUE"""),"https://vt.tiktok.com/ZS9H2PPny/")</f>
        <v>https://vt.tiktok.com/ZS9H2PPny/</v>
      </c>
      <c r="O1640" s="470"/>
      <c r="P1640" s="471" t="str">
        <f>IFERROR(__xludf.DUMMYFUNCTION("""COMPUTED_VALUE"""),"https://vt.tiktok.com/ZS9H2eUCb/")</f>
        <v>https://vt.tiktok.com/ZS9H2eUCb/</v>
      </c>
    </row>
    <row r="1641">
      <c r="A1641" s="282" t="str">
        <f>IFERROR(__xludf.DUMMYFUNCTION("""COMPUTED_VALUE"""),"MICRO")</f>
        <v>MICRO</v>
      </c>
      <c r="B1641" s="468" t="str">
        <f>IFERROR(__xludf.DUMMYFUNCTION("""COMPUTED_VALUE"""),"dailykontenalmia")</f>
        <v>dailykontenalmia</v>
      </c>
      <c r="C1641" s="283" t="str">
        <f>IFERROR(__xludf.DUMMYFUNCTION("""COMPUTED_VALUE"""),"https://www.tiktok.com/@dailykontenalmia")</f>
        <v>https://www.tiktok.com/@dailykontenalmia</v>
      </c>
      <c r="D1641" s="273">
        <f>IFERROR(__xludf.DUMMYFUNCTION("""COMPUTED_VALUE"""),8.2116947814E10)</f>
        <v>82116947814</v>
      </c>
      <c r="E1641" s="458">
        <f>IFERROR(__xludf.DUMMYFUNCTION("""COMPUTED_VALUE"""),0.0)</f>
        <v>0</v>
      </c>
      <c r="F1641" s="273">
        <f>IFERROR(__xludf.DUMMYFUNCTION("""COMPUTED_VALUE"""),4.0)</f>
        <v>4</v>
      </c>
      <c r="G1641" t="str">
        <f>IFERROR(__xludf.DUMMYFUNCTION("""COMPUTED_VALUE"""),"Sabun batang 1 Box ( 2 PCS )")</f>
        <v>Sabun batang 1 Box ( 2 PCS )</v>
      </c>
      <c r="H1641" s="469" t="str">
        <f>IFERROR(__xludf.DUMMYFUNCTION("""COMPUTED_VALUE"""),"Sampai")</f>
        <v>Sampai</v>
      </c>
      <c r="I1641" s="470" t="str">
        <f>IFERROR(__xludf.DUMMYFUNCTION("""COMPUTED_VALUE"""),"KIMME")</f>
        <v>KIMME</v>
      </c>
      <c r="J1641" s="471" t="str">
        <f>IFERROR(__xludf.DUMMYFUNCTION("""COMPUTED_VALUE"""),"https://vt.tiktok.com/ZS9H2BvDV/")</f>
        <v>https://vt.tiktok.com/ZS9H2BvDV/</v>
      </c>
      <c r="K1641" s="470" t="str">
        <f>IFERROR(__xludf.DUMMYFUNCTION("""COMPUTED_VALUE"""),"KIMME")</f>
        <v>KIMME</v>
      </c>
      <c r="L1641" s="471" t="str">
        <f>IFERROR(__xludf.DUMMYFUNCTION("""COMPUTED_VALUE"""),"https://vt.tiktok.com/ZS9H2LwwK/")</f>
        <v>https://vt.tiktok.com/ZS9H2LwwK/</v>
      </c>
      <c r="M1641" s="470"/>
      <c r="N1641" s="471" t="str">
        <f>IFERROR(__xludf.DUMMYFUNCTION("""COMPUTED_VALUE"""),"https://vt.tiktok.com/ZS9H2PPny/")</f>
        <v>https://vt.tiktok.com/ZS9H2PPny/</v>
      </c>
      <c r="O1641" s="470"/>
      <c r="P1641" s="471" t="str">
        <f>IFERROR(__xludf.DUMMYFUNCTION("""COMPUTED_VALUE"""),"https://vt.tiktok.com/ZS9H2eUCb/")</f>
        <v>https://vt.tiktok.com/ZS9H2eUCb/</v>
      </c>
    </row>
    <row r="1642">
      <c r="A1642" s="282" t="str">
        <f>IFERROR(__xludf.DUMMYFUNCTION("""COMPUTED_VALUE"""),"MICRO")</f>
        <v>MICRO</v>
      </c>
      <c r="B1642" s="468" t="str">
        <f>IFERROR(__xludf.DUMMYFUNCTION("""COMPUTED_VALUE"""),"Fedrickskincarefashion")</f>
        <v>Fedrickskincarefashion</v>
      </c>
      <c r="C1642" s="283" t="str">
        <f>IFERROR(__xludf.DUMMYFUNCTION("""COMPUTED_VALUE"""),"https://www.tiktok.com/@Fedrickskincarefashion")</f>
        <v>https://www.tiktok.com/@Fedrickskincarefashion</v>
      </c>
      <c r="D1642" s="273">
        <f>IFERROR(__xludf.DUMMYFUNCTION("""COMPUTED_VALUE"""),8.7824081986E10)</f>
        <v>87824081986</v>
      </c>
      <c r="E1642" s="458">
        <f>IFERROR(__xludf.DUMMYFUNCTION("""COMPUTED_VALUE"""),0.0)</f>
        <v>0</v>
      </c>
      <c r="F1642" s="273">
        <f>IFERROR(__xludf.DUMMYFUNCTION("""COMPUTED_VALUE"""),4.0)</f>
        <v>4</v>
      </c>
      <c r="G1642" t="str">
        <f>IFERROR(__xludf.DUMMYFUNCTION("""COMPUTED_VALUE"""),"Sabun batang 1 Box ( 2 PCS )")</f>
        <v>Sabun batang 1 Box ( 2 PCS )</v>
      </c>
      <c r="H1642" s="469" t="str">
        <f>IFERROR(__xludf.DUMMYFUNCTION("""COMPUTED_VALUE"""),"Sampai")</f>
        <v>Sampai</v>
      </c>
      <c r="I1642" s="470" t="str">
        <f>IFERROR(__xludf.DUMMYFUNCTION("""COMPUTED_VALUE"""),"KIMME")</f>
        <v>KIMME</v>
      </c>
      <c r="J1642" s="471" t="str">
        <f>IFERROR(__xludf.DUMMYFUNCTION("""COMPUTED_VALUE"""),"https://vt.tiktok.com/ZS9H2BvDV/")</f>
        <v>https://vt.tiktok.com/ZS9H2BvDV/</v>
      </c>
      <c r="K1642" s="470" t="str">
        <f>IFERROR(__xludf.DUMMYFUNCTION("""COMPUTED_VALUE"""),"KIMME")</f>
        <v>KIMME</v>
      </c>
      <c r="L1642" s="471" t="str">
        <f>IFERROR(__xludf.DUMMYFUNCTION("""COMPUTED_VALUE"""),"https://vt.tiktok.com/ZS9H2LwwK/")</f>
        <v>https://vt.tiktok.com/ZS9H2LwwK/</v>
      </c>
      <c r="M1642" s="470"/>
      <c r="N1642" s="471" t="str">
        <f>IFERROR(__xludf.DUMMYFUNCTION("""COMPUTED_VALUE"""),"https://vt.tiktok.com/ZS9H2PPny/")</f>
        <v>https://vt.tiktok.com/ZS9H2PPny/</v>
      </c>
      <c r="O1642" s="470"/>
      <c r="P1642" s="471" t="str">
        <f>IFERROR(__xludf.DUMMYFUNCTION("""COMPUTED_VALUE"""),"https://vt.tiktok.com/ZS9H2eUCb/")</f>
        <v>https://vt.tiktok.com/ZS9H2eUCb/</v>
      </c>
    </row>
    <row r="1643">
      <c r="A1643" s="282" t="str">
        <f>IFERROR(__xludf.DUMMYFUNCTION("""COMPUTED_VALUE"""),"MICRO")</f>
        <v>MICRO</v>
      </c>
      <c r="B1643" s="468" t="str">
        <f>IFERROR(__xludf.DUMMYFUNCTION("""COMPUTED_VALUE"""),"Aprilavv2")</f>
        <v>Aprilavv2</v>
      </c>
      <c r="C1643" s="283" t="str">
        <f>IFERROR(__xludf.DUMMYFUNCTION("""COMPUTED_VALUE"""),"https://www.tiktok.com/@Aprilavv2")</f>
        <v>https://www.tiktok.com/@Aprilavv2</v>
      </c>
      <c r="D1643" s="273">
        <f>IFERROR(__xludf.DUMMYFUNCTION("""COMPUTED_VALUE"""),8.2264415202E10)</f>
        <v>82264415202</v>
      </c>
      <c r="E1643" s="458">
        <f>IFERROR(__xludf.DUMMYFUNCTION("""COMPUTED_VALUE"""),0.0)</f>
        <v>0</v>
      </c>
      <c r="F1643" s="273">
        <f>IFERROR(__xludf.DUMMYFUNCTION("""COMPUTED_VALUE"""),4.0)</f>
        <v>4</v>
      </c>
      <c r="G1643" t="str">
        <f>IFERROR(__xludf.DUMMYFUNCTION("""COMPUTED_VALUE"""),"Sabun batang 1 Box ( 2 PCS )")</f>
        <v>Sabun batang 1 Box ( 2 PCS )</v>
      </c>
      <c r="H1643" s="469" t="str">
        <f>IFERROR(__xludf.DUMMYFUNCTION("""COMPUTED_VALUE"""),"Sampai")</f>
        <v>Sampai</v>
      </c>
      <c r="I1643" s="470" t="str">
        <f>IFERROR(__xludf.DUMMYFUNCTION("""COMPUTED_VALUE"""),"KIMME")</f>
        <v>KIMME</v>
      </c>
      <c r="J1643" s="471" t="str">
        <f>IFERROR(__xludf.DUMMYFUNCTION("""COMPUTED_VALUE"""),"https://vt.tiktok.com/ZS9H2BvDV/")</f>
        <v>https://vt.tiktok.com/ZS9H2BvDV/</v>
      </c>
      <c r="K1643" s="470" t="str">
        <f>IFERROR(__xludf.DUMMYFUNCTION("""COMPUTED_VALUE"""),"KIMME")</f>
        <v>KIMME</v>
      </c>
      <c r="L1643" s="471" t="str">
        <f>IFERROR(__xludf.DUMMYFUNCTION("""COMPUTED_VALUE"""),"https://vt.tiktok.com/ZS9H2LwwK/")</f>
        <v>https://vt.tiktok.com/ZS9H2LwwK/</v>
      </c>
      <c r="M1643" s="470"/>
      <c r="N1643" s="471" t="str">
        <f>IFERROR(__xludf.DUMMYFUNCTION("""COMPUTED_VALUE"""),"https://vt.tiktok.com/ZS9H2PPny/")</f>
        <v>https://vt.tiktok.com/ZS9H2PPny/</v>
      </c>
      <c r="O1643" s="470"/>
      <c r="P1643" s="471" t="str">
        <f>IFERROR(__xludf.DUMMYFUNCTION("""COMPUTED_VALUE"""),"https://vt.tiktok.com/ZS9H2eUCb/")</f>
        <v>https://vt.tiktok.com/ZS9H2eUCb/</v>
      </c>
    </row>
    <row r="1644">
      <c r="A1644" s="282" t="str">
        <f>IFERROR(__xludf.DUMMYFUNCTION("""COMPUTED_VALUE"""),"MICRO")</f>
        <v>MICRO</v>
      </c>
      <c r="B1644" s="468" t="str">
        <f>IFERROR(__xludf.DUMMYFUNCTION("""COMPUTED_VALUE"""),"brrrhm")</f>
        <v>brrrhm</v>
      </c>
      <c r="C1644" s="283" t="str">
        <f>IFERROR(__xludf.DUMMYFUNCTION("""COMPUTED_VALUE"""),"https://www.tiktok.com/@brrrhm")</f>
        <v>https://www.tiktok.com/@brrrhm</v>
      </c>
      <c r="D1644" s="273">
        <f>IFERROR(__xludf.DUMMYFUNCTION("""COMPUTED_VALUE"""),8.2327420334E10)</f>
        <v>82327420334</v>
      </c>
      <c r="E1644" s="458">
        <f>IFERROR(__xludf.DUMMYFUNCTION("""COMPUTED_VALUE"""),0.0)</f>
        <v>0</v>
      </c>
      <c r="F1644" s="273">
        <f>IFERROR(__xludf.DUMMYFUNCTION("""COMPUTED_VALUE"""),4.0)</f>
        <v>4</v>
      </c>
      <c r="G1644" t="str">
        <f>IFERROR(__xludf.DUMMYFUNCTION("""COMPUTED_VALUE"""),"Sabun batang 1 Box ( 2 PCS )")</f>
        <v>Sabun batang 1 Box ( 2 PCS )</v>
      </c>
      <c r="H1644" s="469" t="str">
        <f>IFERROR(__xludf.DUMMYFUNCTION("""COMPUTED_VALUE"""),"Sampai")</f>
        <v>Sampai</v>
      </c>
      <c r="I1644" s="470" t="str">
        <f>IFERROR(__xludf.DUMMYFUNCTION("""COMPUTED_VALUE"""),"KIMME")</f>
        <v>KIMME</v>
      </c>
      <c r="J1644" s="471" t="str">
        <f>IFERROR(__xludf.DUMMYFUNCTION("""COMPUTED_VALUE"""),"https://vt.tiktok.com/ZS9H2BvDV/")</f>
        <v>https://vt.tiktok.com/ZS9H2BvDV/</v>
      </c>
      <c r="K1644" s="470" t="str">
        <f>IFERROR(__xludf.DUMMYFUNCTION("""COMPUTED_VALUE"""),"KIMME")</f>
        <v>KIMME</v>
      </c>
      <c r="L1644" s="471" t="str">
        <f>IFERROR(__xludf.DUMMYFUNCTION("""COMPUTED_VALUE"""),"https://vt.tiktok.com/ZS9H2LwwK/")</f>
        <v>https://vt.tiktok.com/ZS9H2LwwK/</v>
      </c>
      <c r="M1644" s="470"/>
      <c r="N1644" s="471" t="str">
        <f>IFERROR(__xludf.DUMMYFUNCTION("""COMPUTED_VALUE"""),"https://vt.tiktok.com/ZS9H2PPny/")</f>
        <v>https://vt.tiktok.com/ZS9H2PPny/</v>
      </c>
      <c r="O1644" s="470"/>
      <c r="P1644" s="471" t="str">
        <f>IFERROR(__xludf.DUMMYFUNCTION("""COMPUTED_VALUE"""),"https://vt.tiktok.com/ZS9H2eUCb/")</f>
        <v>https://vt.tiktok.com/ZS9H2eUCb/</v>
      </c>
    </row>
    <row r="1645">
      <c r="A1645" s="282" t="str">
        <f>IFERROR(__xludf.DUMMYFUNCTION("""COMPUTED_VALUE"""),"MICRO")</f>
        <v>MICRO</v>
      </c>
      <c r="B1645" s="468" t="str">
        <f>IFERROR(__xludf.DUMMYFUNCTION("""COMPUTED_VALUE"""),"emma011090")</f>
        <v>emma011090</v>
      </c>
      <c r="C1645" s="283" t="str">
        <f>IFERROR(__xludf.DUMMYFUNCTION("""COMPUTED_VALUE"""),"https://www.tiktok.com/@emma011090")</f>
        <v>https://www.tiktok.com/@emma011090</v>
      </c>
      <c r="D1645" s="273">
        <f>IFERROR(__xludf.DUMMYFUNCTION("""COMPUTED_VALUE"""),8.2210485639E10)</f>
        <v>82210485639</v>
      </c>
      <c r="E1645" s="458">
        <f>IFERROR(__xludf.DUMMYFUNCTION("""COMPUTED_VALUE"""),0.0)</f>
        <v>0</v>
      </c>
      <c r="F1645" s="273">
        <f>IFERROR(__xludf.DUMMYFUNCTION("""COMPUTED_VALUE"""),4.0)</f>
        <v>4</v>
      </c>
      <c r="G1645" t="str">
        <f>IFERROR(__xludf.DUMMYFUNCTION("""COMPUTED_VALUE"""),"Sabun batang 1 Box ( 2 PCS )")</f>
        <v>Sabun batang 1 Box ( 2 PCS )</v>
      </c>
      <c r="H1645" s="469" t="str">
        <f>IFERROR(__xludf.DUMMYFUNCTION("""COMPUTED_VALUE"""),"Sampai")</f>
        <v>Sampai</v>
      </c>
      <c r="I1645" s="470" t="str">
        <f>IFERROR(__xludf.DUMMYFUNCTION("""COMPUTED_VALUE"""),"KIMME")</f>
        <v>KIMME</v>
      </c>
      <c r="J1645" s="471" t="str">
        <f>IFERROR(__xludf.DUMMYFUNCTION("""COMPUTED_VALUE"""),"https://vt.tiktok.com/ZS9H2BvDV/")</f>
        <v>https://vt.tiktok.com/ZS9H2BvDV/</v>
      </c>
      <c r="K1645" s="470" t="str">
        <f>IFERROR(__xludf.DUMMYFUNCTION("""COMPUTED_VALUE"""),"KIMME")</f>
        <v>KIMME</v>
      </c>
      <c r="L1645" s="471" t="str">
        <f>IFERROR(__xludf.DUMMYFUNCTION("""COMPUTED_VALUE"""),"https://vt.tiktok.com/ZS9H2LwwK/")</f>
        <v>https://vt.tiktok.com/ZS9H2LwwK/</v>
      </c>
      <c r="M1645" s="470"/>
      <c r="N1645" s="471" t="str">
        <f>IFERROR(__xludf.DUMMYFUNCTION("""COMPUTED_VALUE"""),"https://vt.tiktok.com/ZS9H2PPny/")</f>
        <v>https://vt.tiktok.com/ZS9H2PPny/</v>
      </c>
      <c r="O1645" s="470"/>
      <c r="P1645" s="471" t="str">
        <f>IFERROR(__xludf.DUMMYFUNCTION("""COMPUTED_VALUE"""),"https://vt.tiktok.com/ZS9H2eUCb/")</f>
        <v>https://vt.tiktok.com/ZS9H2eUCb/</v>
      </c>
    </row>
    <row r="1646">
      <c r="A1646" s="282" t="str">
        <f>IFERROR(__xludf.DUMMYFUNCTION("""COMPUTED_VALUE"""),"MICRO")</f>
        <v>MICRO</v>
      </c>
      <c r="B1646" s="468" t="str">
        <f>IFERROR(__xludf.DUMMYFUNCTION("""COMPUTED_VALUE"""),".yaaaaa_1055")</f>
        <v>.yaaaaa_1055</v>
      </c>
      <c r="C1646" s="283" t="str">
        <f>IFERROR(__xludf.DUMMYFUNCTION("""COMPUTED_VALUE"""),"https://www.tiktok.com/@.yaaaaa_1055")</f>
        <v>https://www.tiktok.com/@.yaaaaa_1055</v>
      </c>
      <c r="D1646" s="273">
        <f>IFERROR(__xludf.DUMMYFUNCTION("""COMPUTED_VALUE"""),8.3865430307E10)</f>
        <v>83865430307</v>
      </c>
      <c r="E1646" s="458">
        <f>IFERROR(__xludf.DUMMYFUNCTION("""COMPUTED_VALUE"""),0.0)</f>
        <v>0</v>
      </c>
      <c r="F1646" s="273">
        <f>IFERROR(__xludf.DUMMYFUNCTION("""COMPUTED_VALUE"""),4.0)</f>
        <v>4</v>
      </c>
      <c r="G1646" t="str">
        <f>IFERROR(__xludf.DUMMYFUNCTION("""COMPUTED_VALUE"""),"Sabun batang 1 Box ( 2 PCS )")</f>
        <v>Sabun batang 1 Box ( 2 PCS )</v>
      </c>
      <c r="H1646" s="469" t="str">
        <f>IFERROR(__xludf.DUMMYFUNCTION("""COMPUTED_VALUE"""),"Sampai")</f>
        <v>Sampai</v>
      </c>
      <c r="I1646" s="470" t="str">
        <f>IFERROR(__xludf.DUMMYFUNCTION("""COMPUTED_VALUE"""),"KIMME")</f>
        <v>KIMME</v>
      </c>
      <c r="J1646" s="471" t="str">
        <f>IFERROR(__xludf.DUMMYFUNCTION("""COMPUTED_VALUE"""),"https://vt.tiktok.com/ZS9H2BvDV/")</f>
        <v>https://vt.tiktok.com/ZS9H2BvDV/</v>
      </c>
      <c r="K1646" s="470" t="str">
        <f>IFERROR(__xludf.DUMMYFUNCTION("""COMPUTED_VALUE"""),"KIMME")</f>
        <v>KIMME</v>
      </c>
      <c r="L1646" s="471" t="str">
        <f>IFERROR(__xludf.DUMMYFUNCTION("""COMPUTED_VALUE"""),"https://vt.tiktok.com/ZS9H2LwwK/")</f>
        <v>https://vt.tiktok.com/ZS9H2LwwK/</v>
      </c>
      <c r="M1646" s="470"/>
      <c r="N1646" s="471" t="str">
        <f>IFERROR(__xludf.DUMMYFUNCTION("""COMPUTED_VALUE"""),"https://vt.tiktok.com/ZS9H2PPny/")</f>
        <v>https://vt.tiktok.com/ZS9H2PPny/</v>
      </c>
      <c r="O1646" s="470"/>
      <c r="P1646" s="471" t="str">
        <f>IFERROR(__xludf.DUMMYFUNCTION("""COMPUTED_VALUE"""),"https://vt.tiktok.com/ZS9H2eUCb/")</f>
        <v>https://vt.tiktok.com/ZS9H2eUCb/</v>
      </c>
    </row>
    <row r="1647">
      <c r="A1647" s="282" t="str">
        <f>IFERROR(__xludf.DUMMYFUNCTION("""COMPUTED_VALUE"""),"MACRO")</f>
        <v>MACRO</v>
      </c>
      <c r="B1647" s="468" t="str">
        <f>IFERROR(__xludf.DUMMYFUNCTION("""COMPUTED_VALUE"""),"Almaidahlinda2")</f>
        <v>Almaidahlinda2</v>
      </c>
      <c r="C1647" s="283" t="str">
        <f>IFERROR(__xludf.DUMMYFUNCTION("""COMPUTED_VALUE"""),"https://www.tiktok.com/@Almaidahlinda2")</f>
        <v>https://www.tiktok.com/@Almaidahlinda2</v>
      </c>
      <c r="D1647" s="273">
        <f>IFERROR(__xludf.DUMMYFUNCTION("""COMPUTED_VALUE"""),8.7777680885E10)</f>
        <v>87777680885</v>
      </c>
      <c r="E1647" s="458">
        <f>IFERROR(__xludf.DUMMYFUNCTION("""COMPUTED_VALUE"""),0.0)</f>
        <v>0</v>
      </c>
      <c r="F1647" s="273">
        <f>IFERROR(__xludf.DUMMYFUNCTION("""COMPUTED_VALUE"""),4.0)</f>
        <v>4</v>
      </c>
      <c r="G1647" t="str">
        <f>IFERROR(__xludf.DUMMYFUNCTION("""COMPUTED_VALUE"""),"Sabun batang 1 Box ( 2 PCS )")</f>
        <v>Sabun batang 1 Box ( 2 PCS )</v>
      </c>
      <c r="H1647" s="469" t="str">
        <f>IFERROR(__xludf.DUMMYFUNCTION("""COMPUTED_VALUE"""),"Sampai")</f>
        <v>Sampai</v>
      </c>
      <c r="I1647" s="470" t="str">
        <f>IFERROR(__xludf.DUMMYFUNCTION("""COMPUTED_VALUE"""),"KIMME")</f>
        <v>KIMME</v>
      </c>
      <c r="J1647" s="471" t="str">
        <f>IFERROR(__xludf.DUMMYFUNCTION("""COMPUTED_VALUE"""),"https://vt.tiktok.com/ZS9H2BvDV/")</f>
        <v>https://vt.tiktok.com/ZS9H2BvDV/</v>
      </c>
      <c r="K1647" s="470" t="str">
        <f>IFERROR(__xludf.DUMMYFUNCTION("""COMPUTED_VALUE"""),"KIMME")</f>
        <v>KIMME</v>
      </c>
      <c r="L1647" s="471" t="str">
        <f>IFERROR(__xludf.DUMMYFUNCTION("""COMPUTED_VALUE"""),"https://vt.tiktok.com/ZS9H2LwwK/")</f>
        <v>https://vt.tiktok.com/ZS9H2LwwK/</v>
      </c>
      <c r="M1647" s="470"/>
      <c r="N1647" s="471" t="str">
        <f>IFERROR(__xludf.DUMMYFUNCTION("""COMPUTED_VALUE"""),"https://vt.tiktok.com/ZS9H2PPny/")</f>
        <v>https://vt.tiktok.com/ZS9H2PPny/</v>
      </c>
      <c r="O1647" s="470"/>
      <c r="P1647" s="471" t="str">
        <f>IFERROR(__xludf.DUMMYFUNCTION("""COMPUTED_VALUE"""),"https://vt.tiktok.com/ZS9H2eUCb/")</f>
        <v>https://vt.tiktok.com/ZS9H2eUCb/</v>
      </c>
    </row>
    <row r="1648">
      <c r="A1648" s="282" t="str">
        <f>IFERROR(__xludf.DUMMYFUNCTION("""COMPUTED_VALUE"""),"MICRO")</f>
        <v>MICRO</v>
      </c>
      <c r="B1648" s="468" t="str">
        <f>IFERROR(__xludf.DUMMYFUNCTION("""COMPUTED_VALUE"""),"Cahaya.putih24 ")</f>
        <v>Cahaya.putih24 </v>
      </c>
      <c r="C1648" s="283" t="str">
        <f>IFERROR(__xludf.DUMMYFUNCTION("""COMPUTED_VALUE"""),"https://www.tiktok.com/@Cahaya.putih24 ")</f>
        <v>https://www.tiktok.com/@Cahaya.putih24 </v>
      </c>
      <c r="D1648" s="273">
        <f>IFERROR(__xludf.DUMMYFUNCTION("""COMPUTED_VALUE"""),8.7737706848E10)</f>
        <v>87737706848</v>
      </c>
      <c r="E1648" s="458">
        <f>IFERROR(__xludf.DUMMYFUNCTION("""COMPUTED_VALUE"""),0.0)</f>
        <v>0</v>
      </c>
      <c r="F1648" s="273">
        <f>IFERROR(__xludf.DUMMYFUNCTION("""COMPUTED_VALUE"""),4.0)</f>
        <v>4</v>
      </c>
      <c r="G1648" t="str">
        <f>IFERROR(__xludf.DUMMYFUNCTION("""COMPUTED_VALUE"""),"Sabun batang 1 Box ( 2 PCS )")</f>
        <v>Sabun batang 1 Box ( 2 PCS )</v>
      </c>
      <c r="H1648" s="469" t="str">
        <f>IFERROR(__xludf.DUMMYFUNCTION("""COMPUTED_VALUE"""),"Sampai")</f>
        <v>Sampai</v>
      </c>
      <c r="I1648" s="470" t="str">
        <f>IFERROR(__xludf.DUMMYFUNCTION("""COMPUTED_VALUE"""),"KIMME")</f>
        <v>KIMME</v>
      </c>
      <c r="J1648" s="471" t="str">
        <f>IFERROR(__xludf.DUMMYFUNCTION("""COMPUTED_VALUE"""),"https://vt.tiktok.com/ZS9H2BvDV/")</f>
        <v>https://vt.tiktok.com/ZS9H2BvDV/</v>
      </c>
      <c r="K1648" s="470" t="str">
        <f>IFERROR(__xludf.DUMMYFUNCTION("""COMPUTED_VALUE"""),"KIMME")</f>
        <v>KIMME</v>
      </c>
      <c r="L1648" s="471" t="str">
        <f>IFERROR(__xludf.DUMMYFUNCTION("""COMPUTED_VALUE"""),"https://vt.tiktok.com/ZS9H2LwwK/")</f>
        <v>https://vt.tiktok.com/ZS9H2LwwK/</v>
      </c>
      <c r="M1648" s="470"/>
      <c r="N1648" s="471" t="str">
        <f>IFERROR(__xludf.DUMMYFUNCTION("""COMPUTED_VALUE"""),"https://vt.tiktok.com/ZS9H2PPny/")</f>
        <v>https://vt.tiktok.com/ZS9H2PPny/</v>
      </c>
      <c r="O1648" s="470"/>
      <c r="P1648" s="471" t="str">
        <f>IFERROR(__xludf.DUMMYFUNCTION("""COMPUTED_VALUE"""),"https://vt.tiktok.com/ZS9H2eUCb/")</f>
        <v>https://vt.tiktok.com/ZS9H2eUCb/</v>
      </c>
    </row>
    <row r="1649">
      <c r="A1649" s="282" t="str">
        <f>IFERROR(__xludf.DUMMYFUNCTION("""COMPUTED_VALUE"""),"MICRO")</f>
        <v>MICRO</v>
      </c>
      <c r="B1649" s="468" t="str">
        <f>IFERROR(__xludf.DUMMYFUNCTION("""COMPUTED_VALUE"""),"lailafitryh_")</f>
        <v>lailafitryh_</v>
      </c>
      <c r="C1649" s="283" t="str">
        <f>IFERROR(__xludf.DUMMYFUNCTION("""COMPUTED_VALUE"""),"https://www.tiktok.com/@lailafitryh_")</f>
        <v>https://www.tiktok.com/@lailafitryh_</v>
      </c>
      <c r="D1649" s="273">
        <f>IFERROR(__xludf.DUMMYFUNCTION("""COMPUTED_VALUE"""),8.5233937934E10)</f>
        <v>85233937934</v>
      </c>
      <c r="E1649" s="458">
        <f>IFERROR(__xludf.DUMMYFUNCTION("""COMPUTED_VALUE"""),0.0)</f>
        <v>0</v>
      </c>
      <c r="F1649" s="273">
        <f>IFERROR(__xludf.DUMMYFUNCTION("""COMPUTED_VALUE"""),4.0)</f>
        <v>4</v>
      </c>
      <c r="G1649" t="str">
        <f>IFERROR(__xludf.DUMMYFUNCTION("""COMPUTED_VALUE"""),"Sabun batang 1 Box ( 2 PCS )")</f>
        <v>Sabun batang 1 Box ( 2 PCS )</v>
      </c>
      <c r="H1649" s="469" t="str">
        <f>IFERROR(__xludf.DUMMYFUNCTION("""COMPUTED_VALUE"""),"Sampai")</f>
        <v>Sampai</v>
      </c>
      <c r="I1649" s="470" t="str">
        <f>IFERROR(__xludf.DUMMYFUNCTION("""COMPUTED_VALUE"""),"KIMME")</f>
        <v>KIMME</v>
      </c>
      <c r="J1649" s="471" t="str">
        <f>IFERROR(__xludf.DUMMYFUNCTION("""COMPUTED_VALUE"""),"https://vt.tiktok.com/ZS9H2BvDV/")</f>
        <v>https://vt.tiktok.com/ZS9H2BvDV/</v>
      </c>
      <c r="K1649" s="470" t="str">
        <f>IFERROR(__xludf.DUMMYFUNCTION("""COMPUTED_VALUE"""),"KIMME")</f>
        <v>KIMME</v>
      </c>
      <c r="L1649" s="471" t="str">
        <f>IFERROR(__xludf.DUMMYFUNCTION("""COMPUTED_VALUE"""),"https://vt.tiktok.com/ZS9H2LwwK/")</f>
        <v>https://vt.tiktok.com/ZS9H2LwwK/</v>
      </c>
      <c r="M1649" s="470"/>
      <c r="N1649" s="471" t="str">
        <f>IFERROR(__xludf.DUMMYFUNCTION("""COMPUTED_VALUE"""),"https://vt.tiktok.com/ZS9H2PPny/")</f>
        <v>https://vt.tiktok.com/ZS9H2PPny/</v>
      </c>
      <c r="O1649" s="470"/>
      <c r="P1649" s="471" t="str">
        <f>IFERROR(__xludf.DUMMYFUNCTION("""COMPUTED_VALUE"""),"https://vt.tiktok.com/ZS9H2eUCb/")</f>
        <v>https://vt.tiktok.com/ZS9H2eUCb/</v>
      </c>
    </row>
    <row r="1650">
      <c r="A1650" s="282" t="str">
        <f>IFERROR(__xludf.DUMMYFUNCTION("""COMPUTED_VALUE"""),"MICRO")</f>
        <v>MICRO</v>
      </c>
      <c r="B1650" s="468" t="str">
        <f>IFERROR(__xludf.DUMMYFUNCTION("""COMPUTED_VALUE"""),"zzahraura")</f>
        <v>zzahraura</v>
      </c>
      <c r="C1650" s="283" t="str">
        <f>IFERROR(__xludf.DUMMYFUNCTION("""COMPUTED_VALUE"""),"https://www.tiktok.com/@zzahraura")</f>
        <v>https://www.tiktok.com/@zzahraura</v>
      </c>
      <c r="D1650" s="273">
        <f>IFERROR(__xludf.DUMMYFUNCTION("""COMPUTED_VALUE"""),8.9666257136E10)</f>
        <v>89666257136</v>
      </c>
      <c r="E1650" s="458">
        <f>IFERROR(__xludf.DUMMYFUNCTION("""COMPUTED_VALUE"""),0.0)</f>
        <v>0</v>
      </c>
      <c r="F1650" s="273">
        <f>IFERROR(__xludf.DUMMYFUNCTION("""COMPUTED_VALUE"""),4.0)</f>
        <v>4</v>
      </c>
      <c r="G1650" t="str">
        <f>IFERROR(__xludf.DUMMYFUNCTION("""COMPUTED_VALUE"""),"Sabun batang 1 Box ( 2 PCS )")</f>
        <v>Sabun batang 1 Box ( 2 PCS )</v>
      </c>
      <c r="H1650" s="469" t="str">
        <f>IFERROR(__xludf.DUMMYFUNCTION("""COMPUTED_VALUE"""),"Sampai")</f>
        <v>Sampai</v>
      </c>
      <c r="I1650" s="470" t="str">
        <f>IFERROR(__xludf.DUMMYFUNCTION("""COMPUTED_VALUE"""),"KIMME")</f>
        <v>KIMME</v>
      </c>
      <c r="J1650" s="471" t="str">
        <f>IFERROR(__xludf.DUMMYFUNCTION("""COMPUTED_VALUE"""),"https://vt.tiktok.com/ZS9H2BvDV/")</f>
        <v>https://vt.tiktok.com/ZS9H2BvDV/</v>
      </c>
      <c r="K1650" s="470" t="str">
        <f>IFERROR(__xludf.DUMMYFUNCTION("""COMPUTED_VALUE"""),"KIMME")</f>
        <v>KIMME</v>
      </c>
      <c r="L1650" s="471" t="str">
        <f>IFERROR(__xludf.DUMMYFUNCTION("""COMPUTED_VALUE"""),"https://vt.tiktok.com/ZS9H2LwwK/")</f>
        <v>https://vt.tiktok.com/ZS9H2LwwK/</v>
      </c>
      <c r="M1650" s="470"/>
      <c r="N1650" s="471" t="str">
        <f>IFERROR(__xludf.DUMMYFUNCTION("""COMPUTED_VALUE"""),"https://vt.tiktok.com/ZS9H2PPny/")</f>
        <v>https://vt.tiktok.com/ZS9H2PPny/</v>
      </c>
      <c r="O1650" s="470"/>
      <c r="P1650" s="471" t="str">
        <f>IFERROR(__xludf.DUMMYFUNCTION("""COMPUTED_VALUE"""),"https://vt.tiktok.com/ZS9H2eUCb/")</f>
        <v>https://vt.tiktok.com/ZS9H2eUCb/</v>
      </c>
    </row>
    <row r="1651">
      <c r="A1651" s="282" t="str">
        <f>IFERROR(__xludf.DUMMYFUNCTION("""COMPUTED_VALUE"""),"MICRO")</f>
        <v>MICRO</v>
      </c>
      <c r="B1651" s="468" t="str">
        <f>IFERROR(__xludf.DUMMYFUNCTION("""COMPUTED_VALUE"""),"allaboutskincare0711")</f>
        <v>allaboutskincare0711</v>
      </c>
      <c r="C1651" s="283" t="str">
        <f>IFERROR(__xludf.DUMMYFUNCTION("""COMPUTED_VALUE"""),"https://www.tiktok.com/@allaboutskincare0711")</f>
        <v>https://www.tiktok.com/@allaboutskincare0711</v>
      </c>
      <c r="D1651" s="273">
        <f>IFERROR(__xludf.DUMMYFUNCTION("""COMPUTED_VALUE"""),8.1361364237E10)</f>
        <v>81361364237</v>
      </c>
      <c r="E1651" s="458">
        <f>IFERROR(__xludf.DUMMYFUNCTION("""COMPUTED_VALUE"""),0.0)</f>
        <v>0</v>
      </c>
      <c r="F1651" s="273">
        <f>IFERROR(__xludf.DUMMYFUNCTION("""COMPUTED_VALUE"""),4.0)</f>
        <v>4</v>
      </c>
      <c r="G1651" t="str">
        <f>IFERROR(__xludf.DUMMYFUNCTION("""COMPUTED_VALUE"""),"Sabun batang 1 Box ( 2 PCS )")</f>
        <v>Sabun batang 1 Box ( 2 PCS )</v>
      </c>
      <c r="H1651" s="469" t="str">
        <f>IFERROR(__xludf.DUMMYFUNCTION("""COMPUTED_VALUE"""),"Sampai")</f>
        <v>Sampai</v>
      </c>
      <c r="I1651" s="470" t="str">
        <f>IFERROR(__xludf.DUMMYFUNCTION("""COMPUTED_VALUE"""),"KIMME")</f>
        <v>KIMME</v>
      </c>
      <c r="J1651" s="471" t="str">
        <f>IFERROR(__xludf.DUMMYFUNCTION("""COMPUTED_VALUE"""),"https://vt.tiktok.com/ZS9H2BvDV/")</f>
        <v>https://vt.tiktok.com/ZS9H2BvDV/</v>
      </c>
      <c r="K1651" s="470" t="str">
        <f>IFERROR(__xludf.DUMMYFUNCTION("""COMPUTED_VALUE"""),"KIMME")</f>
        <v>KIMME</v>
      </c>
      <c r="L1651" s="471" t="str">
        <f>IFERROR(__xludf.DUMMYFUNCTION("""COMPUTED_VALUE"""),"https://vt.tiktok.com/ZS9H2LwwK/")</f>
        <v>https://vt.tiktok.com/ZS9H2LwwK/</v>
      </c>
      <c r="M1651" s="470"/>
      <c r="N1651" s="471" t="str">
        <f>IFERROR(__xludf.DUMMYFUNCTION("""COMPUTED_VALUE"""),"https://vt.tiktok.com/ZS9H2PPny/")</f>
        <v>https://vt.tiktok.com/ZS9H2PPny/</v>
      </c>
      <c r="O1651" s="470"/>
      <c r="P1651" s="471" t="str">
        <f>IFERROR(__xludf.DUMMYFUNCTION("""COMPUTED_VALUE"""),"https://vt.tiktok.com/ZS9H2eUCb/")</f>
        <v>https://vt.tiktok.com/ZS9H2eUCb/</v>
      </c>
    </row>
    <row r="1652">
      <c r="A1652" s="282" t="str">
        <f>IFERROR(__xludf.DUMMYFUNCTION("""COMPUTED_VALUE"""),"MICRO")</f>
        <v>MICRO</v>
      </c>
      <c r="B1652" s="468" t="str">
        <f>IFERROR(__xludf.DUMMYFUNCTION("""COMPUTED_VALUE"""),"itsme_indahhh1")</f>
        <v>itsme_indahhh1</v>
      </c>
      <c r="C1652" s="283" t="str">
        <f>IFERROR(__xludf.DUMMYFUNCTION("""COMPUTED_VALUE"""),"https://www.tiktok.com/@itsme_indahhh1")</f>
        <v>https://www.tiktok.com/@itsme_indahhh1</v>
      </c>
      <c r="D1652" s="273"/>
      <c r="E1652" s="458">
        <f>IFERROR(__xludf.DUMMYFUNCTION("""COMPUTED_VALUE"""),0.0)</f>
        <v>0</v>
      </c>
      <c r="F1652" s="273">
        <f>IFERROR(__xludf.DUMMYFUNCTION("""COMPUTED_VALUE"""),1.0)</f>
        <v>1</v>
      </c>
      <c r="G1652" t="str">
        <f>IFERROR(__xludf.DUMMYFUNCTION("""COMPUTED_VALUE"""),"Sabun batang 1 Box ( 2 PCS )")</f>
        <v>Sabun batang 1 Box ( 2 PCS )</v>
      </c>
      <c r="H1652" s="469" t="str">
        <f>IFERROR(__xludf.DUMMYFUNCTION("""COMPUTED_VALUE"""),"Sampai")</f>
        <v>Sampai</v>
      </c>
      <c r="I1652" s="470" t="str">
        <f>IFERROR(__xludf.DUMMYFUNCTION("""COMPUTED_VALUE"""),"KIMME")</f>
        <v>KIMME</v>
      </c>
      <c r="J1652" s="471" t="str">
        <f>IFERROR(__xludf.DUMMYFUNCTION("""COMPUTED_VALUE"""),"https://www.tiktok.com/@itsme_indahhh1/video/7630795356304919826?_r=1&amp;u_code=ebfl0073gl26bh&amp;region=&amp;mid=7628208877490391815&amp;preview_pb=0&amp;sharer_language=&amp;_d=0&amp;ec_shared_reflux_dynamic_params=%7B%22placeholder_material_id%22%3A%227630795356304919826%22%2C%"&amp;"22placeholder_origin_cover%22%3A%22https%253A%252F%252Fp16-common-sign.tiktokcdn.com%252Ftos-alisg-p-0037%252FoEACuy0fnMVTFDAuQefcjDJDAE0IowCmTrzwQH~tplv-tiktokx-origin.jpeg%253Fdr%253D14572%2526refresh_token%253D964f7a06%2526x-expires%253D1808301600%2526"&amp;"x-signature%253DFtc8OISFkbE4uSBaBHzk2dLz%25252B7I%25253D%2526t%253D4d5b0474%2526ps%253D13740610%2526shp%253Dd05b14bd%2526shcp%253D34ff8df6%2526idc%253Dmy3%2526s%253DTIKTOK_AFFILIATE_VIRAL_VIDEO%22%2C%22placeholder_product_id%22%3A%221729427766722726591%22"&amp;"%2C%22placeholder_video_id%22%3A%227630795356304919826%22%7D&amp;ec_shared_reflux_scene=shop_tab_feed&amp;share_item_id=7630795356304919826&amp;source=h5_t")</f>
        <v>https://www.tiktok.com/@itsme_indahhh1/video/7630795356304919826?_r=1&amp;u_code=ebfl0073gl26bh&amp;region=&amp;mid=7628208877490391815&amp;preview_pb=0&amp;sharer_language=&amp;_d=0&amp;ec_shared_reflux_dynamic_params=%7B%22placeholder_material_id%22%3A%227630795356304919826%22%2C%22placeholder_origin_cover%22%3A%22https%253A%252F%252Fp16-common-sign.tiktokcdn.com%252Ftos-alisg-p-0037%252FoEACuy0fnMVTFDAuQefcjDJDAE0IowCmTrzwQH~tplv-tiktokx-origin.jpeg%253Fdr%253D14572%2526refresh_token%253D964f7a06%2526x-expires%253D1808301600%2526x-signature%253DFtc8OISFkbE4uSBaBHzk2dLz%25252B7I%25253D%2526t%253D4d5b0474%2526ps%253D13740610%2526shp%253Dd05b14bd%2526shcp%253D34ff8df6%2526idc%253Dmy3%2526s%253DTIKTOK_AFFILIATE_VIRAL_VIDEO%22%2C%22placeholder_product_id%22%3A%221729427766722726591%22%2C%22placeholder_video_id%22%3A%227630795356304919826%22%7D&amp;ec_shared_reflux_scene=shop_tab_feed&amp;share_item_id=7630795356304919826&amp;source=h5_t</v>
      </c>
      <c r="K1652" s="470" t="str">
        <f>IFERROR(__xludf.DUMMYFUNCTION("""COMPUTED_VALUE"""),"KIMME")</f>
        <v>KIMME</v>
      </c>
      <c r="L1652" s="471" t="str">
        <f>IFERROR(__xludf.DUMMYFUNCTION("""COMPUTED_VALUE"""),"https://vt.tiktok.com/ZSxStWv3n/")</f>
        <v>https://vt.tiktok.com/ZSxStWv3n/</v>
      </c>
      <c r="M1652" s="470"/>
      <c r="N1652" s="471" t="str">
        <f>IFERROR(__xludf.DUMMYFUNCTION("""COMPUTED_VALUE"""),"https://vt.tiktok.com/ZSxSt4SSV/")</f>
        <v>https://vt.tiktok.com/ZSxSt4SSV/</v>
      </c>
      <c r="O1652" s="470"/>
      <c r="P1652" s="471" t="str">
        <f>IFERROR(__xludf.DUMMYFUNCTION("""COMPUTED_VALUE"""),"https://vt.tiktok.com/ZSxStsYL6/")</f>
        <v>https://vt.tiktok.com/ZSxStsYL6/</v>
      </c>
    </row>
    <row r="1653">
      <c r="A1653" s="282" t="str">
        <f>IFERROR(__xludf.DUMMYFUNCTION("""COMPUTED_VALUE"""),"MICRO")</f>
        <v>MICRO</v>
      </c>
      <c r="B1653" s="468" t="str">
        <f>IFERROR(__xludf.DUMMYFUNCTION("""COMPUTED_VALUE"""),"nonazawaa2")</f>
        <v>nonazawaa2</v>
      </c>
      <c r="C1653" s="283" t="str">
        <f>IFERROR(__xludf.DUMMYFUNCTION("""COMPUTED_VALUE"""),"https://www.tiktok.com/@nonazawaa2")</f>
        <v>https://www.tiktok.com/@nonazawaa2</v>
      </c>
      <c r="D1653" s="273"/>
      <c r="E1653" s="458">
        <f>IFERROR(__xludf.DUMMYFUNCTION("""COMPUTED_VALUE"""),0.0)</f>
        <v>0</v>
      </c>
      <c r="F1653" s="273">
        <f>IFERROR(__xludf.DUMMYFUNCTION("""COMPUTED_VALUE"""),1.0)</f>
        <v>1</v>
      </c>
      <c r="G1653" t="str">
        <f>IFERROR(__xludf.DUMMYFUNCTION("""COMPUTED_VALUE"""),"Sabun batang 1 Box ( 2 PCS )")</f>
        <v>Sabun batang 1 Box ( 2 PCS )</v>
      </c>
      <c r="H1653" s="469" t="str">
        <f>IFERROR(__xludf.DUMMYFUNCTION("""COMPUTED_VALUE"""),"Sampai")</f>
        <v>Sampai</v>
      </c>
      <c r="I1653" s="470" t="str">
        <f>IFERROR(__xludf.DUMMYFUNCTION("""COMPUTED_VALUE"""),"KIMME")</f>
        <v>KIMME</v>
      </c>
      <c r="J1653" s="471" t="str">
        <f>IFERROR(__xludf.DUMMYFUNCTION("""COMPUTED_VALUE"""),"https://www.tiktok.com/@nonazawaa2/video/7630372143372586261")</f>
        <v>https://www.tiktok.com/@nonazawaa2/video/7630372143372586261</v>
      </c>
      <c r="K1653" s="470" t="str">
        <f>IFERROR(__xludf.DUMMYFUNCTION("""COMPUTED_VALUE"""),"KIMME")</f>
        <v>KIMME</v>
      </c>
      <c r="L1653" s="471" t="str">
        <f>IFERROR(__xludf.DUMMYFUNCTION("""COMPUTED_VALUE"""),"https://www.tiktok.com/@nonazawa/video/7633777472047156500?_r=1&amp;u_code=d9liaile8494g1&amp;region=&amp;mid=7570280394625469200&amp;preview_pb=0&amp;sharer_language=&amp;_d=0&amp;ec_shared_reflux_dynamic_params=%7B%22placeholder_material_id%22%3A%227633777472047156500%22%2C%22plac"&amp;"eholder_origin_cover%22%3A%22https%253A%252F%252Fp16-sign-sg.tiktokcdn.com%252Ftos-alisg-p-0037%252FowRwRJQNpQUJEpBqoB8F2fzEQ3DCzFA7igfODj~tplv-tiktokx-origin.jpeg%253Fdr%253D14572%2526refresh_token%253Df3ccfe4e%2526x-expires%253D1809507600%2526x-signatur"&amp;"e%253DSggr3U6yvXpTX%25252BiIpf9oL8mecVI%25253D%2526t%253D4d5b0474%2526ps%253D13740610%2526shp%253Dd05b14bd%2526shcp%253D34ff8df6%2526idc%253Dmy%2526s%253DTIKTOK_AFFILIATE_VIRAL_VIDEO%22%2C%22placeholder_product_id%22%3A%221729427766722726591%22%2C%22place"&amp;"holder_video_id%22%3A%227633777472047156500%22%7D&amp;ec_shared_reflux_scene=shop_tab_feed&amp;share_item_id=7633777472047156500&amp;source=h5_t")</f>
        <v>https://www.tiktok.com/@nonazawa/video/7633777472047156500?_r=1&amp;u_code=d9liaile8494g1&amp;region=&amp;mid=7570280394625469200&amp;preview_pb=0&amp;sharer_language=&amp;_d=0&amp;ec_shared_reflux_dynamic_params=%7B%22placeholder_material_id%22%3A%227633777472047156500%22%2C%22placeholder_origin_cover%22%3A%22https%253A%252F%252Fp16-sign-sg.tiktokcdn.com%252Ftos-alisg-p-0037%252FowRwRJQNpQUJEpBqoB8F2fzEQ3DCzFA7igfODj~tplv-tiktokx-origin.jpeg%253Fdr%253D14572%2526refresh_token%253Df3ccfe4e%2526x-expires%253D1809507600%2526x-signature%253DSggr3U6yvXpTX%25252BiIpf9oL8mecVI%25253D%2526t%253D4d5b0474%2526ps%253D13740610%2526shp%253Dd05b14bd%2526shcp%253D34ff8df6%2526idc%253Dmy%2526s%253DTIKTOK_AFFILIATE_VIRAL_VIDEO%22%2C%22placeholder_product_id%22%3A%221729427766722726591%22%2C%22placeholder_video_id%22%3A%227633777472047156500%22%7D&amp;ec_shared_reflux_scene=shop_tab_feed&amp;share_item_id=7633777472047156500&amp;source=h5_t</v>
      </c>
      <c r="M1653" s="470"/>
      <c r="N1653" s="471" t="str">
        <f>IFERROR(__xludf.DUMMYFUNCTION("""COMPUTED_VALUE"""),"https://vt.tiktok.com/ZSxStbvyJ/")</f>
        <v>https://vt.tiktok.com/ZSxStbvyJ/</v>
      </c>
      <c r="O1653" s="470"/>
      <c r="P1653" t="str">
        <f>IFERROR(__xludf.DUMMYFUNCTION("""COMPUTED_VALUE"""),"⁠https://vt.tiktok.com/ZSx71N4GS/")</f>
        <v>⁠https://vt.tiktok.com/ZSx71N4GS/</v>
      </c>
    </row>
    <row r="1654">
      <c r="A1654" s="282" t="str">
        <f>IFERROR(__xludf.DUMMYFUNCTION("""COMPUTED_VALUE"""),"MICRO")</f>
        <v>MICRO</v>
      </c>
      <c r="B1654" s="468" t="str">
        <f>IFERROR(__xludf.DUMMYFUNCTION("""COMPUTED_VALUE"""),"florida5257")</f>
        <v>florida5257</v>
      </c>
      <c r="C1654" s="283" t="str">
        <f>IFERROR(__xludf.DUMMYFUNCTION("""COMPUTED_VALUE"""),"https://www.tiktok.com/@florida5257")</f>
        <v>https://www.tiktok.com/@florida5257</v>
      </c>
      <c r="D1654" s="273">
        <f>IFERROR(__xludf.DUMMYFUNCTION("""COMPUTED_VALUE"""),8.5607609059E10)</f>
        <v>85607609059</v>
      </c>
      <c r="E1654" s="458">
        <f>IFERROR(__xludf.DUMMYFUNCTION("""COMPUTED_VALUE"""),0.0)</f>
        <v>0</v>
      </c>
      <c r="F1654" s="273">
        <f>IFERROR(__xludf.DUMMYFUNCTION("""COMPUTED_VALUE"""),4.0)</f>
        <v>4</v>
      </c>
      <c r="G1654" t="str">
        <f>IFERROR(__xludf.DUMMYFUNCTION("""COMPUTED_VALUE"""),"Sabun batang 1 Box ( 2 PCS )")</f>
        <v>Sabun batang 1 Box ( 2 PCS )</v>
      </c>
      <c r="H1654" s="469" t="str">
        <f>IFERROR(__xludf.DUMMYFUNCTION("""COMPUTED_VALUE"""),"Sampai")</f>
        <v>Sampai</v>
      </c>
      <c r="I1654" s="470" t="str">
        <f>IFERROR(__xludf.DUMMYFUNCTION("""COMPUTED_VALUE"""),"KIMME")</f>
        <v>KIMME</v>
      </c>
      <c r="J1654" s="471" t="str">
        <f>IFERROR(__xludf.DUMMYFUNCTION("""COMPUTED_VALUE"""),"https://vt.tiktok.com/ZS9H2BvDV/")</f>
        <v>https://vt.tiktok.com/ZS9H2BvDV/</v>
      </c>
      <c r="K1654" s="470" t="str">
        <f>IFERROR(__xludf.DUMMYFUNCTION("""COMPUTED_VALUE"""),"KIMME")</f>
        <v>KIMME</v>
      </c>
      <c r="L1654" s="471" t="str">
        <f>IFERROR(__xludf.DUMMYFUNCTION("""COMPUTED_VALUE"""),"https://vt.tiktok.com/ZS9H2LwwK/")</f>
        <v>https://vt.tiktok.com/ZS9H2LwwK/</v>
      </c>
      <c r="M1654" s="470"/>
      <c r="N1654" s="471" t="str">
        <f>IFERROR(__xludf.DUMMYFUNCTION("""COMPUTED_VALUE"""),"https://vt.tiktok.com/ZS9H2PPny/")</f>
        <v>https://vt.tiktok.com/ZS9H2PPny/</v>
      </c>
      <c r="O1654" s="470"/>
      <c r="P1654" s="471" t="str">
        <f>IFERROR(__xludf.DUMMYFUNCTION("""COMPUTED_VALUE"""),"https://vt.tiktok.com/ZS9H2eUCb/")</f>
        <v>https://vt.tiktok.com/ZS9H2eUCb/</v>
      </c>
    </row>
    <row r="1655">
      <c r="A1655" s="282" t="str">
        <f>IFERROR(__xludf.DUMMYFUNCTION("""COMPUTED_VALUE"""),"MACRO")</f>
        <v>MACRO</v>
      </c>
      <c r="B1655" s="468" t="str">
        <f>IFERROR(__xludf.DUMMYFUNCTION("""COMPUTED_VALUE"""),"astry.id")</f>
        <v>astry.id</v>
      </c>
      <c r="C1655" s="283" t="str">
        <f>IFERROR(__xludf.DUMMYFUNCTION("""COMPUTED_VALUE"""),"https://www.tiktok.com/@astry.id")</f>
        <v>https://www.tiktok.com/@astry.id</v>
      </c>
      <c r="D1655" s="273">
        <f>IFERROR(__xludf.DUMMYFUNCTION("""COMPUTED_VALUE"""),8.7784445008E10)</f>
        <v>87784445008</v>
      </c>
      <c r="E1655" s="458">
        <f>IFERROR(__xludf.DUMMYFUNCTION("""COMPUTED_VALUE"""),0.0)</f>
        <v>0</v>
      </c>
      <c r="F1655" s="273">
        <f>IFERROR(__xludf.DUMMYFUNCTION("""COMPUTED_VALUE"""),4.0)</f>
        <v>4</v>
      </c>
      <c r="G1655" t="str">
        <f>IFERROR(__xludf.DUMMYFUNCTION("""COMPUTED_VALUE"""),"Sabun batang 1 Box ( 2 PCS )")</f>
        <v>Sabun batang 1 Box ( 2 PCS )</v>
      </c>
      <c r="H1655" s="469" t="str">
        <f>IFERROR(__xludf.DUMMYFUNCTION("""COMPUTED_VALUE"""),"Sampai")</f>
        <v>Sampai</v>
      </c>
      <c r="I1655" s="470" t="str">
        <f>IFERROR(__xludf.DUMMYFUNCTION("""COMPUTED_VALUE"""),"KIMME")</f>
        <v>KIMME</v>
      </c>
      <c r="J1655" s="471" t="str">
        <f>IFERROR(__xludf.DUMMYFUNCTION("""COMPUTED_VALUE"""),"https://vt.tiktok.com/ZS9H2BvDV/")</f>
        <v>https://vt.tiktok.com/ZS9H2BvDV/</v>
      </c>
      <c r="K1655" s="470" t="str">
        <f>IFERROR(__xludf.DUMMYFUNCTION("""COMPUTED_VALUE"""),"KIMME")</f>
        <v>KIMME</v>
      </c>
      <c r="L1655" s="471" t="str">
        <f>IFERROR(__xludf.DUMMYFUNCTION("""COMPUTED_VALUE"""),"https://vt.tiktok.com/ZS9H2LwwK/")</f>
        <v>https://vt.tiktok.com/ZS9H2LwwK/</v>
      </c>
      <c r="M1655" s="470"/>
      <c r="N1655" s="471" t="str">
        <f>IFERROR(__xludf.DUMMYFUNCTION("""COMPUTED_VALUE"""),"https://vt.tiktok.com/ZS9H2PPny/")</f>
        <v>https://vt.tiktok.com/ZS9H2PPny/</v>
      </c>
      <c r="O1655" s="470"/>
      <c r="P1655" s="471" t="str">
        <f>IFERROR(__xludf.DUMMYFUNCTION("""COMPUTED_VALUE"""),"https://vt.tiktok.com/ZS9H2eUCb/")</f>
        <v>https://vt.tiktok.com/ZS9H2eUCb/</v>
      </c>
    </row>
    <row r="1656">
      <c r="A1656" s="282" t="str">
        <f>IFERROR(__xludf.DUMMYFUNCTION("""COMPUTED_VALUE"""),"MICRO")</f>
        <v>MICRO</v>
      </c>
      <c r="B1656" s="468" t="str">
        <f>IFERROR(__xludf.DUMMYFUNCTION("""COMPUTED_VALUE"""),"yunicraft_")</f>
        <v>yunicraft_</v>
      </c>
      <c r="C1656" s="283" t="str">
        <f>IFERROR(__xludf.DUMMYFUNCTION("""COMPUTED_VALUE"""),"https://www.tiktok.com/@yunicraft_")</f>
        <v>https://www.tiktok.com/@yunicraft_</v>
      </c>
      <c r="D1656" s="273">
        <f>IFERROR(__xludf.DUMMYFUNCTION("""COMPUTED_VALUE"""),8.5774496346E10)</f>
        <v>85774496346</v>
      </c>
      <c r="E1656" s="458">
        <f>IFERROR(__xludf.DUMMYFUNCTION("""COMPUTED_VALUE"""),0.0)</f>
        <v>0</v>
      </c>
      <c r="F1656" s="273">
        <f>IFERROR(__xludf.DUMMYFUNCTION("""COMPUTED_VALUE"""),4.0)</f>
        <v>4</v>
      </c>
      <c r="G1656" t="str">
        <f>IFERROR(__xludf.DUMMYFUNCTION("""COMPUTED_VALUE"""),"Sabun batang 1 Box ( 2 PCS )")</f>
        <v>Sabun batang 1 Box ( 2 PCS )</v>
      </c>
      <c r="H1656" s="469" t="str">
        <f>IFERROR(__xludf.DUMMYFUNCTION("""COMPUTED_VALUE"""),"Sampai")</f>
        <v>Sampai</v>
      </c>
      <c r="I1656" s="470" t="str">
        <f>IFERROR(__xludf.DUMMYFUNCTION("""COMPUTED_VALUE"""),"KIMME")</f>
        <v>KIMME</v>
      </c>
      <c r="J1656" s="471" t="str">
        <f>IFERROR(__xludf.DUMMYFUNCTION("""COMPUTED_VALUE"""),"https://vt.tiktok.com/ZS9H2BvDV/")</f>
        <v>https://vt.tiktok.com/ZS9H2BvDV/</v>
      </c>
      <c r="K1656" s="470" t="str">
        <f>IFERROR(__xludf.DUMMYFUNCTION("""COMPUTED_VALUE"""),"KIMME")</f>
        <v>KIMME</v>
      </c>
      <c r="L1656" s="471" t="str">
        <f>IFERROR(__xludf.DUMMYFUNCTION("""COMPUTED_VALUE"""),"https://vt.tiktok.com/ZS9H2LwwK/")</f>
        <v>https://vt.tiktok.com/ZS9H2LwwK/</v>
      </c>
      <c r="M1656" s="470"/>
      <c r="N1656" s="471" t="str">
        <f>IFERROR(__xludf.DUMMYFUNCTION("""COMPUTED_VALUE"""),"https://vt.tiktok.com/ZS9H2PPny/")</f>
        <v>https://vt.tiktok.com/ZS9H2PPny/</v>
      </c>
      <c r="O1656" s="470"/>
      <c r="P1656" s="471" t="str">
        <f>IFERROR(__xludf.DUMMYFUNCTION("""COMPUTED_VALUE"""),"https://vt.tiktok.com/ZS9H2eUCb/")</f>
        <v>https://vt.tiktok.com/ZS9H2eUCb/</v>
      </c>
    </row>
    <row r="1657">
      <c r="A1657" s="282" t="str">
        <f>IFERROR(__xludf.DUMMYFUNCTION("""COMPUTED_VALUE"""),"MACRO")</f>
        <v>MACRO</v>
      </c>
      <c r="B1657" s="468" t="str">
        <f>IFERROR(__xludf.DUMMYFUNCTION("""COMPUTED_VALUE"""),"littleboy0103")</f>
        <v>littleboy0103</v>
      </c>
      <c r="C1657" s="283" t="str">
        <f>IFERROR(__xludf.DUMMYFUNCTION("""COMPUTED_VALUE"""),"https://www.tiktok.com/@littleboy0103")</f>
        <v>https://www.tiktok.com/@littleboy0103</v>
      </c>
      <c r="D1657" s="273">
        <f>IFERROR(__xludf.DUMMYFUNCTION("""COMPUTED_VALUE"""),8.7731128125E10)</f>
        <v>87731128125</v>
      </c>
      <c r="E1657" s="458">
        <f>IFERROR(__xludf.DUMMYFUNCTION("""COMPUTED_VALUE"""),0.0)</f>
        <v>0</v>
      </c>
      <c r="F1657" s="273">
        <f>IFERROR(__xludf.DUMMYFUNCTION("""COMPUTED_VALUE"""),4.0)</f>
        <v>4</v>
      </c>
      <c r="G1657" t="str">
        <f>IFERROR(__xludf.DUMMYFUNCTION("""COMPUTED_VALUE"""),"Sabun batang 1 Box ( 2 PCS )")</f>
        <v>Sabun batang 1 Box ( 2 PCS )</v>
      </c>
      <c r="H1657" s="469" t="str">
        <f>IFERROR(__xludf.DUMMYFUNCTION("""COMPUTED_VALUE"""),"Sampai")</f>
        <v>Sampai</v>
      </c>
      <c r="I1657" s="470" t="str">
        <f>IFERROR(__xludf.DUMMYFUNCTION("""COMPUTED_VALUE"""),"KIMME")</f>
        <v>KIMME</v>
      </c>
      <c r="J1657" s="471" t="str">
        <f>IFERROR(__xludf.DUMMYFUNCTION("""COMPUTED_VALUE"""),"https://vt.tiktok.com/ZS9H2BvDV/")</f>
        <v>https://vt.tiktok.com/ZS9H2BvDV/</v>
      </c>
      <c r="K1657" s="470" t="str">
        <f>IFERROR(__xludf.DUMMYFUNCTION("""COMPUTED_VALUE"""),"KIMME")</f>
        <v>KIMME</v>
      </c>
      <c r="L1657" s="471" t="str">
        <f>IFERROR(__xludf.DUMMYFUNCTION("""COMPUTED_VALUE"""),"https://vt.tiktok.com/ZS9H2LwwK/")</f>
        <v>https://vt.tiktok.com/ZS9H2LwwK/</v>
      </c>
      <c r="M1657" s="470"/>
      <c r="N1657" s="471" t="str">
        <f>IFERROR(__xludf.DUMMYFUNCTION("""COMPUTED_VALUE"""),"https://vt.tiktok.com/ZS9H2PPny/")</f>
        <v>https://vt.tiktok.com/ZS9H2PPny/</v>
      </c>
      <c r="O1657" s="470"/>
      <c r="P1657" s="471" t="str">
        <f>IFERROR(__xludf.DUMMYFUNCTION("""COMPUTED_VALUE"""),"https://vt.tiktok.com/ZS9H2eUCb/")</f>
        <v>https://vt.tiktok.com/ZS9H2eUCb/</v>
      </c>
    </row>
    <row r="1658">
      <c r="A1658" s="282" t="str">
        <f>IFERROR(__xludf.DUMMYFUNCTION("""COMPUTED_VALUE"""),"MICRO")</f>
        <v>MICRO</v>
      </c>
      <c r="B1658" s="468" t="str">
        <f>IFERROR(__xludf.DUMMYFUNCTION("""COMPUTED_VALUE"""),"momybabyid")</f>
        <v>momybabyid</v>
      </c>
      <c r="C1658" s="283" t="str">
        <f>IFERROR(__xludf.DUMMYFUNCTION("""COMPUTED_VALUE"""),"https://www.tiktok.com/@momybabyid")</f>
        <v>https://www.tiktok.com/@momybabyid</v>
      </c>
      <c r="D1658" s="273">
        <f>IFERROR(__xludf.DUMMYFUNCTION("""COMPUTED_VALUE"""),8.199597363E10)</f>
        <v>81995973630</v>
      </c>
      <c r="E1658" s="458">
        <f>IFERROR(__xludf.DUMMYFUNCTION("""COMPUTED_VALUE"""),0.0)</f>
        <v>0</v>
      </c>
      <c r="F1658" s="273">
        <f>IFERROR(__xludf.DUMMYFUNCTION("""COMPUTED_VALUE"""),4.0)</f>
        <v>4</v>
      </c>
      <c r="G1658" t="str">
        <f>IFERROR(__xludf.DUMMYFUNCTION("""COMPUTED_VALUE"""),"Sabun batang 1 Box ( 2 PCS )")</f>
        <v>Sabun batang 1 Box ( 2 PCS )</v>
      </c>
      <c r="H1658" s="469" t="str">
        <f>IFERROR(__xludf.DUMMYFUNCTION("""COMPUTED_VALUE"""),"Sampai")</f>
        <v>Sampai</v>
      </c>
      <c r="I1658" s="470" t="str">
        <f>IFERROR(__xludf.DUMMYFUNCTION("""COMPUTED_VALUE"""),"KIMME")</f>
        <v>KIMME</v>
      </c>
      <c r="J1658" s="471" t="str">
        <f>IFERROR(__xludf.DUMMYFUNCTION("""COMPUTED_VALUE"""),"https://vt.tiktok.com/ZSxWotVSo/")</f>
        <v>https://vt.tiktok.com/ZSxWotVSo/</v>
      </c>
      <c r="K1658" s="470" t="str">
        <f>IFERROR(__xludf.DUMMYFUNCTION("""COMPUTED_VALUE"""),"KIMME")</f>
        <v>KIMME</v>
      </c>
      <c r="L1658" s="471" t="str">
        <f>IFERROR(__xludf.DUMMYFUNCTION("""COMPUTED_VALUE"""),"https://vt.tiktok.com/ZSxQWMws5/")</f>
        <v>https://vt.tiktok.com/ZSxQWMws5/</v>
      </c>
      <c r="M1658" s="470"/>
      <c r="N1658" s="471" t="str">
        <f>IFERROR(__xludf.DUMMYFUNCTION("""COMPUTED_VALUE"""),"https://vt.tiktok.com/ZSxa5EoRv/")</f>
        <v>https://vt.tiktok.com/ZSxa5EoRv/</v>
      </c>
      <c r="O1658" s="470"/>
      <c r="P1658" s="471" t="str">
        <f>IFERROR(__xludf.DUMMYFUNCTION("""COMPUTED_VALUE"""),"https://vt.tiktok.com/ZSxqLHDgG/")</f>
        <v>https://vt.tiktok.com/ZSxqLHDgG/</v>
      </c>
    </row>
    <row r="1659">
      <c r="A1659" s="282" t="str">
        <f>IFERROR(__xludf.DUMMYFUNCTION("""COMPUTED_VALUE"""),"MACRO")</f>
        <v>MACRO</v>
      </c>
      <c r="B1659" s="468" t="str">
        <f>IFERROR(__xludf.DUMMYFUNCTION("""COMPUTED_VALUE"""),"_anggiyuliani")</f>
        <v>_anggiyuliani</v>
      </c>
      <c r="C1659" s="283" t="str">
        <f>IFERROR(__xludf.DUMMYFUNCTION("""COMPUTED_VALUE"""),"https://www.tiktok.com/@_anggiyuliani")</f>
        <v>https://www.tiktok.com/@_anggiyuliani</v>
      </c>
      <c r="D1659" s="273">
        <f>IFERROR(__xludf.DUMMYFUNCTION("""COMPUTED_VALUE"""),8.2130820398E10)</f>
        <v>82130820398</v>
      </c>
      <c r="E1659" s="458">
        <f>IFERROR(__xludf.DUMMYFUNCTION("""COMPUTED_VALUE"""),0.0)</f>
        <v>0</v>
      </c>
      <c r="F1659" s="273">
        <f>IFERROR(__xludf.DUMMYFUNCTION("""COMPUTED_VALUE"""),4.0)</f>
        <v>4</v>
      </c>
      <c r="G1659" t="str">
        <f>IFERROR(__xludf.DUMMYFUNCTION("""COMPUTED_VALUE"""),"Sabun batang 1 Box ( 2 PCS )")</f>
        <v>Sabun batang 1 Box ( 2 PCS )</v>
      </c>
      <c r="H1659" s="469" t="str">
        <f>IFERROR(__xludf.DUMMYFUNCTION("""COMPUTED_VALUE"""),"Sampai")</f>
        <v>Sampai</v>
      </c>
      <c r="I1659" s="470" t="str">
        <f>IFERROR(__xludf.DUMMYFUNCTION("""COMPUTED_VALUE"""),"KIMME")</f>
        <v>KIMME</v>
      </c>
      <c r="K1659" s="470" t="str">
        <f>IFERROR(__xludf.DUMMYFUNCTION("""COMPUTED_VALUE"""),"KIMME")</f>
        <v>KIMME</v>
      </c>
      <c r="M1659" s="470"/>
      <c r="O1659" s="470"/>
    </row>
    <row r="1660">
      <c r="A1660" s="282" t="str">
        <f>IFERROR(__xludf.DUMMYFUNCTION("""COMPUTED_VALUE"""),"MICRO")</f>
        <v>MICRO</v>
      </c>
      <c r="B1660" s="468" t="str">
        <f>IFERROR(__xludf.DUMMYFUNCTION("""COMPUTED_VALUE"""),"hellomyskin0")</f>
        <v>hellomyskin0</v>
      </c>
      <c r="C1660" s="283" t="str">
        <f>IFERROR(__xludf.DUMMYFUNCTION("""COMPUTED_VALUE"""),"https://www.tiktok.com/@hellomyskin0")</f>
        <v>https://www.tiktok.com/@hellomyskin0</v>
      </c>
      <c r="D1660" s="273">
        <f>IFERROR(__xludf.DUMMYFUNCTION("""COMPUTED_VALUE"""),8.13104449E10)</f>
        <v>81310444900</v>
      </c>
      <c r="E1660" s="458">
        <f>IFERROR(__xludf.DUMMYFUNCTION("""COMPUTED_VALUE"""),0.0)</f>
        <v>0</v>
      </c>
      <c r="F1660" s="273"/>
      <c r="G1660" t="str">
        <f>IFERROR(__xludf.DUMMYFUNCTION("""COMPUTED_VALUE"""),"Sabun batang 1 Box ( 2 PCS )")</f>
        <v>Sabun batang 1 Box ( 2 PCS )</v>
      </c>
      <c r="H1660" s="469" t="str">
        <f>IFERROR(__xludf.DUMMYFUNCTION("""COMPUTED_VALUE"""),"Sampai")</f>
        <v>Sampai</v>
      </c>
      <c r="I1660" s="470" t="str">
        <f>IFERROR(__xludf.DUMMYFUNCTION("""COMPUTED_VALUE"""),"KIMME")</f>
        <v>KIMME</v>
      </c>
      <c r="J1660" s="471" t="str">
        <f>IFERROR(__xludf.DUMMYFUNCTION("""COMPUTED_VALUE"""),"https://vt.tiktok.com/ZS9H2BvDV/")</f>
        <v>https://vt.tiktok.com/ZS9H2BvDV/</v>
      </c>
      <c r="K1660" s="470" t="str">
        <f>IFERROR(__xludf.DUMMYFUNCTION("""COMPUTED_VALUE"""),"KIMME")</f>
        <v>KIMME</v>
      </c>
      <c r="L1660" s="471" t="str">
        <f>IFERROR(__xludf.DUMMYFUNCTION("""COMPUTED_VALUE"""),"https://vt.tiktok.com/ZS9H2LwwK/")</f>
        <v>https://vt.tiktok.com/ZS9H2LwwK/</v>
      </c>
      <c r="M1660" s="470"/>
      <c r="N1660" s="471" t="str">
        <f>IFERROR(__xludf.DUMMYFUNCTION("""COMPUTED_VALUE"""),"https://vt.tiktok.com/ZS9H2PPny/")</f>
        <v>https://vt.tiktok.com/ZS9H2PPny/</v>
      </c>
      <c r="O1660" s="470"/>
      <c r="P1660" s="471" t="str">
        <f>IFERROR(__xludf.DUMMYFUNCTION("""COMPUTED_VALUE"""),"https://vt.tiktok.com/ZS9H2eUCb/")</f>
        <v>https://vt.tiktok.com/ZS9H2eUCb/</v>
      </c>
    </row>
    <row r="1661">
      <c r="A1661" s="282" t="str">
        <f>IFERROR(__xludf.DUMMYFUNCTION("""COMPUTED_VALUE"""),"MICRO")</f>
        <v>MICRO</v>
      </c>
      <c r="B1661" s="468" t="str">
        <f>IFERROR(__xludf.DUMMYFUNCTION("""COMPUTED_VALUE"""),"thonesachw ")</f>
        <v>thonesachw </v>
      </c>
      <c r="C1661" s="283" t="str">
        <f>IFERROR(__xludf.DUMMYFUNCTION("""COMPUTED_VALUE"""),"https://www.tiktok.com/@thonesachw ")</f>
        <v>https://www.tiktok.com/@thonesachw </v>
      </c>
      <c r="D1661" s="273">
        <f>IFERROR(__xludf.DUMMYFUNCTION("""COMPUTED_VALUE"""),8.2186354519E10)</f>
        <v>82186354519</v>
      </c>
      <c r="E1661" s="458">
        <f>IFERROR(__xludf.DUMMYFUNCTION("""COMPUTED_VALUE"""),0.0)</f>
        <v>0</v>
      </c>
      <c r="F1661" s="273">
        <f>IFERROR(__xludf.DUMMYFUNCTION("""COMPUTED_VALUE"""),4.0)</f>
        <v>4</v>
      </c>
      <c r="G1661" t="str">
        <f>IFERROR(__xludf.DUMMYFUNCTION("""COMPUTED_VALUE"""),"Sabun batang 1 Box ( 2 PCS )")</f>
        <v>Sabun batang 1 Box ( 2 PCS )</v>
      </c>
      <c r="H1661" s="469" t="str">
        <f>IFERROR(__xludf.DUMMYFUNCTION("""COMPUTED_VALUE"""),"Sampai")</f>
        <v>Sampai</v>
      </c>
      <c r="I1661" s="470" t="str">
        <f>IFERROR(__xludf.DUMMYFUNCTION("""COMPUTED_VALUE"""),"KIMME")</f>
        <v>KIMME</v>
      </c>
      <c r="J1661" s="471" t="str">
        <f>IFERROR(__xludf.DUMMYFUNCTION("""COMPUTED_VALUE"""),"https://vt.tiktok.com/ZS9H2BvDV/")</f>
        <v>https://vt.tiktok.com/ZS9H2BvDV/</v>
      </c>
      <c r="K1661" s="470" t="str">
        <f>IFERROR(__xludf.DUMMYFUNCTION("""COMPUTED_VALUE"""),"KIMME")</f>
        <v>KIMME</v>
      </c>
      <c r="L1661" s="471" t="str">
        <f>IFERROR(__xludf.DUMMYFUNCTION("""COMPUTED_VALUE"""),"https://vt.tiktok.com/ZS9H2LwwK/")</f>
        <v>https://vt.tiktok.com/ZS9H2LwwK/</v>
      </c>
      <c r="M1661" s="470"/>
      <c r="N1661" s="471" t="str">
        <f>IFERROR(__xludf.DUMMYFUNCTION("""COMPUTED_VALUE"""),"https://vt.tiktok.com/ZS9H2PPny/")</f>
        <v>https://vt.tiktok.com/ZS9H2PPny/</v>
      </c>
      <c r="O1661" s="470"/>
      <c r="P1661" s="471" t="str">
        <f>IFERROR(__xludf.DUMMYFUNCTION("""COMPUTED_VALUE"""),"https://vt.tiktok.com/ZS9H2eUCb/")</f>
        <v>https://vt.tiktok.com/ZS9H2eUCb/</v>
      </c>
    </row>
    <row r="1662">
      <c r="A1662" s="282" t="str">
        <f>IFERROR(__xludf.DUMMYFUNCTION("""COMPUTED_VALUE"""),"MICRO")</f>
        <v>MICRO</v>
      </c>
      <c r="B1662" s="468" t="str">
        <f>IFERROR(__xludf.DUMMYFUNCTION("""COMPUTED_VALUE"""),"intanayulaksmi ")</f>
        <v>intanayulaksmi </v>
      </c>
      <c r="C1662" s="283" t="str">
        <f>IFERROR(__xludf.DUMMYFUNCTION("""COMPUTED_VALUE"""),"https://www.tiktok.com/@intanayulaksmi ")</f>
        <v>https://www.tiktok.com/@intanayulaksmi </v>
      </c>
      <c r="D1662" s="273">
        <f>IFERROR(__xludf.DUMMYFUNCTION("""COMPUTED_VALUE"""),8.2214548809E10)</f>
        <v>82214548809</v>
      </c>
      <c r="E1662" s="458">
        <f>IFERROR(__xludf.DUMMYFUNCTION("""COMPUTED_VALUE"""),0.0)</f>
        <v>0</v>
      </c>
      <c r="F1662" s="273">
        <f>IFERROR(__xludf.DUMMYFUNCTION("""COMPUTED_VALUE"""),4.0)</f>
        <v>4</v>
      </c>
      <c r="G1662" t="str">
        <f>IFERROR(__xludf.DUMMYFUNCTION("""COMPUTED_VALUE"""),"Sabun batang 1 Box ( 2 PCS )")</f>
        <v>Sabun batang 1 Box ( 2 PCS )</v>
      </c>
      <c r="H1662" s="469" t="str">
        <f>IFERROR(__xludf.DUMMYFUNCTION("""COMPUTED_VALUE"""),"Sampai")</f>
        <v>Sampai</v>
      </c>
      <c r="I1662" s="470" t="str">
        <f>IFERROR(__xludf.DUMMYFUNCTION("""COMPUTED_VALUE"""),"KIMME")</f>
        <v>KIMME</v>
      </c>
      <c r="J1662" s="471" t="str">
        <f>IFERROR(__xludf.DUMMYFUNCTION("""COMPUTED_VALUE"""),"https://vt.tiktok.com/ZS9H2BvDV/")</f>
        <v>https://vt.tiktok.com/ZS9H2BvDV/</v>
      </c>
      <c r="K1662" s="470" t="str">
        <f>IFERROR(__xludf.DUMMYFUNCTION("""COMPUTED_VALUE"""),"KIMME")</f>
        <v>KIMME</v>
      </c>
      <c r="L1662" s="471" t="str">
        <f>IFERROR(__xludf.DUMMYFUNCTION("""COMPUTED_VALUE"""),"https://vt.tiktok.com/ZS9H2LwwK/")</f>
        <v>https://vt.tiktok.com/ZS9H2LwwK/</v>
      </c>
      <c r="M1662" s="470"/>
      <c r="N1662" s="471" t="str">
        <f>IFERROR(__xludf.DUMMYFUNCTION("""COMPUTED_VALUE"""),"https://vt.tiktok.com/ZS9H2PPny/")</f>
        <v>https://vt.tiktok.com/ZS9H2PPny/</v>
      </c>
      <c r="O1662" s="470"/>
      <c r="P1662" s="471" t="str">
        <f>IFERROR(__xludf.DUMMYFUNCTION("""COMPUTED_VALUE"""),"https://vt.tiktok.com/ZS9H2eUCb/")</f>
        <v>https://vt.tiktok.com/ZS9H2eUCb/</v>
      </c>
    </row>
    <row r="1663">
      <c r="A1663" s="282" t="str">
        <f>IFERROR(__xludf.DUMMYFUNCTION("""COMPUTED_VALUE"""),"MICRO")</f>
        <v>MICRO</v>
      </c>
      <c r="B1663" s="468" t="str">
        <f>IFERROR(__xludf.DUMMYFUNCTION("""COMPUTED_VALUE"""),"uchariski20")</f>
        <v>uchariski20</v>
      </c>
      <c r="C1663" s="283" t="str">
        <f>IFERROR(__xludf.DUMMYFUNCTION("""COMPUTED_VALUE"""),"https://www.tiktok.com/@uchariski20")</f>
        <v>https://www.tiktok.com/@uchariski20</v>
      </c>
      <c r="D1663" s="273">
        <f>IFERROR(__xludf.DUMMYFUNCTION("""COMPUTED_VALUE"""),8.2245579828E10)</f>
        <v>82245579828</v>
      </c>
      <c r="E1663" s="458">
        <f>IFERROR(__xludf.DUMMYFUNCTION("""COMPUTED_VALUE"""),0.0)</f>
        <v>0</v>
      </c>
      <c r="F1663" s="273">
        <f>IFERROR(__xludf.DUMMYFUNCTION("""COMPUTED_VALUE"""),4.0)</f>
        <v>4</v>
      </c>
      <c r="G1663" t="str">
        <f>IFERROR(__xludf.DUMMYFUNCTION("""COMPUTED_VALUE"""),"Sabun batang 1 Box ( 2 PCS )")</f>
        <v>Sabun batang 1 Box ( 2 PCS )</v>
      </c>
      <c r="H1663" s="469" t="str">
        <f>IFERROR(__xludf.DUMMYFUNCTION("""COMPUTED_VALUE"""),"Sampai")</f>
        <v>Sampai</v>
      </c>
      <c r="I1663" s="470" t="str">
        <f>IFERROR(__xludf.DUMMYFUNCTION("""COMPUTED_VALUE"""),"KIMME")</f>
        <v>KIMME</v>
      </c>
      <c r="J1663" s="471" t="str">
        <f>IFERROR(__xludf.DUMMYFUNCTION("""COMPUTED_VALUE"""),"https://vt.tiktok.com/ZS9H2BvDV/")</f>
        <v>https://vt.tiktok.com/ZS9H2BvDV/</v>
      </c>
      <c r="K1663" s="470" t="str">
        <f>IFERROR(__xludf.DUMMYFUNCTION("""COMPUTED_VALUE"""),"KIMME")</f>
        <v>KIMME</v>
      </c>
      <c r="L1663" s="471" t="str">
        <f>IFERROR(__xludf.DUMMYFUNCTION("""COMPUTED_VALUE"""),"https://vt.tiktok.com/ZS9H2LwwK/")</f>
        <v>https://vt.tiktok.com/ZS9H2LwwK/</v>
      </c>
      <c r="M1663" s="470"/>
      <c r="N1663" s="471" t="str">
        <f>IFERROR(__xludf.DUMMYFUNCTION("""COMPUTED_VALUE"""),"https://vt.tiktok.com/ZS9H2PPny/")</f>
        <v>https://vt.tiktok.com/ZS9H2PPny/</v>
      </c>
      <c r="O1663" s="470"/>
      <c r="P1663" s="471" t="str">
        <f>IFERROR(__xludf.DUMMYFUNCTION("""COMPUTED_VALUE"""),"https://vt.tiktok.com/ZS9H2eUCb/")</f>
        <v>https://vt.tiktok.com/ZS9H2eUCb/</v>
      </c>
    </row>
    <row r="1664">
      <c r="A1664" s="282" t="str">
        <f>IFERROR(__xludf.DUMMYFUNCTION("""COMPUTED_VALUE"""),"MACRO")</f>
        <v>MACRO</v>
      </c>
      <c r="B1664" s="468" t="str">
        <f>IFERROR(__xludf.DUMMYFUNCTION("""COMPUTED_VALUE"""),"tia.amalia05")</f>
        <v>tia.amalia05</v>
      </c>
      <c r="C1664" s="283" t="str">
        <f>IFERROR(__xludf.DUMMYFUNCTION("""COMPUTED_VALUE"""),"https://www.tiktok.com/@tia.amalia05")</f>
        <v>https://www.tiktok.com/@tia.amalia05</v>
      </c>
      <c r="D1664" s="273">
        <f>IFERROR(__xludf.DUMMYFUNCTION("""COMPUTED_VALUE"""),8.99333133E9)</f>
        <v>8993331330</v>
      </c>
      <c r="E1664" s="458">
        <f>IFERROR(__xludf.DUMMYFUNCTION("""COMPUTED_VALUE"""),0.0)</f>
        <v>0</v>
      </c>
      <c r="F1664" s="273">
        <f>IFERROR(__xludf.DUMMYFUNCTION("""COMPUTED_VALUE"""),1.0)</f>
        <v>1</v>
      </c>
      <c r="G1664" t="str">
        <f>IFERROR(__xludf.DUMMYFUNCTION("""COMPUTED_VALUE"""),"Sabun batang 1 Box ( 2 PCS )")</f>
        <v>Sabun batang 1 Box ( 2 PCS )</v>
      </c>
      <c r="H1664" s="469" t="str">
        <f>IFERROR(__xludf.DUMMYFUNCTION("""COMPUTED_VALUE"""),"Sampai")</f>
        <v>Sampai</v>
      </c>
      <c r="I1664" s="470" t="str">
        <f>IFERROR(__xludf.DUMMYFUNCTION("""COMPUTED_VALUE"""),"KIMME")</f>
        <v>KIMME</v>
      </c>
      <c r="K1664" s="470" t="str">
        <f>IFERROR(__xludf.DUMMYFUNCTION("""COMPUTED_VALUE"""),"KIMME")</f>
        <v>KIMME</v>
      </c>
      <c r="M1664" s="470"/>
      <c r="O1664" s="470"/>
    </row>
    <row r="1665">
      <c r="A1665" s="282" t="str">
        <f>IFERROR(__xludf.DUMMYFUNCTION("""COMPUTED_VALUE"""),"MACRO")</f>
        <v>MACRO</v>
      </c>
      <c r="B1665" s="468" t="str">
        <f>IFERROR(__xludf.DUMMYFUNCTION("""COMPUTED_VALUE"""),"skinby_sindy")</f>
        <v>skinby_sindy</v>
      </c>
      <c r="C1665" s="283" t="str">
        <f>IFERROR(__xludf.DUMMYFUNCTION("""COMPUTED_VALUE"""),"https://www.tiktok.com/@skinby_sindy")</f>
        <v>https://www.tiktok.com/@skinby_sindy</v>
      </c>
      <c r="D1665" s="273">
        <f>IFERROR(__xludf.DUMMYFUNCTION("""COMPUTED_VALUE"""),8.7782689899E10)</f>
        <v>87782689899</v>
      </c>
      <c r="E1665" s="458">
        <f>IFERROR(__xludf.DUMMYFUNCTION("""COMPUTED_VALUE"""),0.0)</f>
        <v>0</v>
      </c>
      <c r="F1665" s="273">
        <f>IFERROR(__xludf.DUMMYFUNCTION("""COMPUTED_VALUE"""),4.0)</f>
        <v>4</v>
      </c>
      <c r="G1665" t="str">
        <f>IFERROR(__xludf.DUMMYFUNCTION("""COMPUTED_VALUE"""),"Sabun batang 1 Box ( 2 PCS )")</f>
        <v>Sabun batang 1 Box ( 2 PCS )</v>
      </c>
      <c r="H1665" s="469" t="str">
        <f>IFERROR(__xludf.DUMMYFUNCTION("""COMPUTED_VALUE"""),"Sampai")</f>
        <v>Sampai</v>
      </c>
      <c r="I1665" s="470" t="str">
        <f>IFERROR(__xludf.DUMMYFUNCTION("""COMPUTED_VALUE"""),"KIMME")</f>
        <v>KIMME</v>
      </c>
      <c r="J1665" s="471" t="str">
        <f>IFERROR(__xludf.DUMMYFUNCTION("""COMPUTED_VALUE"""),"https://vt.tiktok.com/ZS9H2BvDV/")</f>
        <v>https://vt.tiktok.com/ZS9H2BvDV/</v>
      </c>
      <c r="K1665" s="470" t="str">
        <f>IFERROR(__xludf.DUMMYFUNCTION("""COMPUTED_VALUE"""),"KIMME")</f>
        <v>KIMME</v>
      </c>
      <c r="L1665" s="471" t="str">
        <f>IFERROR(__xludf.DUMMYFUNCTION("""COMPUTED_VALUE"""),"https://vt.tiktok.com/ZS9H2LwwK/")</f>
        <v>https://vt.tiktok.com/ZS9H2LwwK/</v>
      </c>
      <c r="M1665" s="470"/>
      <c r="N1665" s="471" t="str">
        <f>IFERROR(__xludf.DUMMYFUNCTION("""COMPUTED_VALUE"""),"https://vt.tiktok.com/ZS9H2PPny/")</f>
        <v>https://vt.tiktok.com/ZS9H2PPny/</v>
      </c>
      <c r="O1665" s="470"/>
      <c r="P1665" s="471" t="str">
        <f>IFERROR(__xludf.DUMMYFUNCTION("""COMPUTED_VALUE"""),"https://vt.tiktok.com/ZS9H2eUCb/")</f>
        <v>https://vt.tiktok.com/ZS9H2eUCb/</v>
      </c>
    </row>
    <row r="1666">
      <c r="A1666" s="282" t="str">
        <f>IFERROR(__xludf.DUMMYFUNCTION("""COMPUTED_VALUE"""),"MICRO")</f>
        <v>MICRO</v>
      </c>
      <c r="B1666" s="468" t="str">
        <f>IFERROR(__xludf.DUMMYFUNCTION("""COMPUTED_VALUE"""),"riskikiki001")</f>
        <v>riskikiki001</v>
      </c>
      <c r="C1666" s="283" t="str">
        <f>IFERROR(__xludf.DUMMYFUNCTION("""COMPUTED_VALUE"""),"https://www.tiktok.com/@riskikiki001")</f>
        <v>https://www.tiktok.com/@riskikiki001</v>
      </c>
      <c r="D1666" s="273">
        <f>IFERROR(__xludf.DUMMYFUNCTION("""COMPUTED_VALUE"""),8.123758034E10)</f>
        <v>81237580340</v>
      </c>
      <c r="E1666" s="458">
        <f>IFERROR(__xludf.DUMMYFUNCTION("""COMPUTED_VALUE"""),0.0)</f>
        <v>0</v>
      </c>
      <c r="F1666" s="273">
        <f>IFERROR(__xludf.DUMMYFUNCTION("""COMPUTED_VALUE"""),4.0)</f>
        <v>4</v>
      </c>
      <c r="G1666" t="str">
        <f>IFERROR(__xludf.DUMMYFUNCTION("""COMPUTED_VALUE"""),"Sabun batang 1 Box ( 2 PCS )")</f>
        <v>Sabun batang 1 Box ( 2 PCS )</v>
      </c>
      <c r="H1666" s="469" t="str">
        <f>IFERROR(__xludf.DUMMYFUNCTION("""COMPUTED_VALUE"""),"Sampai")</f>
        <v>Sampai</v>
      </c>
      <c r="I1666" s="470" t="str">
        <f>IFERROR(__xludf.DUMMYFUNCTION("""COMPUTED_VALUE"""),"KIMME")</f>
        <v>KIMME</v>
      </c>
      <c r="J1666" s="471" t="str">
        <f>IFERROR(__xludf.DUMMYFUNCTION("""COMPUTED_VALUE"""),"https://vt.tiktok.com/ZS9H2BvDV/")</f>
        <v>https://vt.tiktok.com/ZS9H2BvDV/</v>
      </c>
      <c r="K1666" s="470" t="str">
        <f>IFERROR(__xludf.DUMMYFUNCTION("""COMPUTED_VALUE"""),"KIMME")</f>
        <v>KIMME</v>
      </c>
      <c r="L1666" s="471" t="str">
        <f>IFERROR(__xludf.DUMMYFUNCTION("""COMPUTED_VALUE"""),"https://vt.tiktok.com/ZS9H2LwwK/")</f>
        <v>https://vt.tiktok.com/ZS9H2LwwK/</v>
      </c>
      <c r="M1666" s="470"/>
      <c r="N1666" s="471" t="str">
        <f>IFERROR(__xludf.DUMMYFUNCTION("""COMPUTED_VALUE"""),"https://vt.tiktok.com/ZS9H2PPny/")</f>
        <v>https://vt.tiktok.com/ZS9H2PPny/</v>
      </c>
      <c r="O1666" s="470"/>
      <c r="P1666" s="471" t="str">
        <f>IFERROR(__xludf.DUMMYFUNCTION("""COMPUTED_VALUE"""),"https://vt.tiktok.com/ZS9H2eUCb/")</f>
        <v>https://vt.tiktok.com/ZS9H2eUCb/</v>
      </c>
    </row>
    <row r="1667">
      <c r="A1667" s="282" t="str">
        <f>IFERROR(__xludf.DUMMYFUNCTION("""COMPUTED_VALUE"""),"MACRO")</f>
        <v>MACRO</v>
      </c>
      <c r="B1667" s="468" t="str">
        <f>IFERROR(__xludf.DUMMYFUNCTION("""COMPUTED_VALUE"""),"utbahatsatsah")</f>
        <v>utbahatsatsah</v>
      </c>
      <c r="C1667" s="283" t="str">
        <f>IFERROR(__xludf.DUMMYFUNCTION("""COMPUTED_VALUE"""),"https://www.tiktok.com/@utbahatsatsah")</f>
        <v>https://www.tiktok.com/@utbahatsatsah</v>
      </c>
      <c r="D1667" s="273">
        <f>IFERROR(__xludf.DUMMYFUNCTION("""COMPUTED_VALUE"""),8.1320534893E10)</f>
        <v>81320534893</v>
      </c>
      <c r="E1667" s="458">
        <f>IFERROR(__xludf.DUMMYFUNCTION("""COMPUTED_VALUE"""),0.0)</f>
        <v>0</v>
      </c>
      <c r="F1667" s="273">
        <f>IFERROR(__xludf.DUMMYFUNCTION("""COMPUTED_VALUE"""),4.0)</f>
        <v>4</v>
      </c>
      <c r="G1667" t="str">
        <f>IFERROR(__xludf.DUMMYFUNCTION("""COMPUTED_VALUE"""),"Sabun batang 1 Box ( 2 PCS )")</f>
        <v>Sabun batang 1 Box ( 2 PCS )</v>
      </c>
      <c r="H1667" s="469" t="str">
        <f>IFERROR(__xludf.DUMMYFUNCTION("""COMPUTED_VALUE"""),"Sampai")</f>
        <v>Sampai</v>
      </c>
      <c r="I1667" s="470" t="str">
        <f>IFERROR(__xludf.DUMMYFUNCTION("""COMPUTED_VALUE"""),"KIMME")</f>
        <v>KIMME</v>
      </c>
      <c r="J1667" s="471" t="str">
        <f>IFERROR(__xludf.DUMMYFUNCTION("""COMPUTED_VALUE"""),"https://vt.tiktok.com/ZS9H2BvDV/")</f>
        <v>https://vt.tiktok.com/ZS9H2BvDV/</v>
      </c>
      <c r="K1667" s="470" t="str">
        <f>IFERROR(__xludf.DUMMYFUNCTION("""COMPUTED_VALUE"""),"KIMME")</f>
        <v>KIMME</v>
      </c>
      <c r="L1667" s="471" t="str">
        <f>IFERROR(__xludf.DUMMYFUNCTION("""COMPUTED_VALUE"""),"https://vt.tiktok.com/ZS9H2LwwK/")</f>
        <v>https://vt.tiktok.com/ZS9H2LwwK/</v>
      </c>
      <c r="M1667" s="470"/>
      <c r="N1667" s="471" t="str">
        <f>IFERROR(__xludf.DUMMYFUNCTION("""COMPUTED_VALUE"""),"https://vt.tiktok.com/ZS9H2PPny/")</f>
        <v>https://vt.tiktok.com/ZS9H2PPny/</v>
      </c>
      <c r="O1667" s="470"/>
      <c r="P1667" s="471" t="str">
        <f>IFERROR(__xludf.DUMMYFUNCTION("""COMPUTED_VALUE"""),"https://vt.tiktok.com/ZS9H2eUCb/")</f>
        <v>https://vt.tiktok.com/ZS9H2eUCb/</v>
      </c>
    </row>
    <row r="1668">
      <c r="A1668" s="282" t="str">
        <f>IFERROR(__xludf.DUMMYFUNCTION("""COMPUTED_VALUE"""),"MICRO")</f>
        <v>MICRO</v>
      </c>
      <c r="B1668" s="468" t="str">
        <f>IFERROR(__xludf.DUMMYFUNCTION("""COMPUTED_VALUE"""),"lalanrmyap")</f>
        <v>lalanrmyap</v>
      </c>
      <c r="C1668" s="283" t="str">
        <f>IFERROR(__xludf.DUMMYFUNCTION("""COMPUTED_VALUE"""),"https://www.tiktok.com/@lalanrmyap")</f>
        <v>https://www.tiktok.com/@lalanrmyap</v>
      </c>
      <c r="D1668" s="273">
        <f>IFERROR(__xludf.DUMMYFUNCTION("""COMPUTED_VALUE"""),8.1617055571E10)</f>
        <v>81617055571</v>
      </c>
      <c r="E1668" s="458">
        <f>IFERROR(__xludf.DUMMYFUNCTION("""COMPUTED_VALUE"""),0.0)</f>
        <v>0</v>
      </c>
      <c r="F1668" s="273">
        <f>IFERROR(__xludf.DUMMYFUNCTION("""COMPUTED_VALUE"""),4.0)</f>
        <v>4</v>
      </c>
      <c r="G1668" t="str">
        <f>IFERROR(__xludf.DUMMYFUNCTION("""COMPUTED_VALUE"""),"Sabun batang 1 Box ( 2 PCS )")</f>
        <v>Sabun batang 1 Box ( 2 PCS )</v>
      </c>
      <c r="H1668" s="469" t="str">
        <f>IFERROR(__xludf.DUMMYFUNCTION("""COMPUTED_VALUE"""),"Sampai")</f>
        <v>Sampai</v>
      </c>
      <c r="I1668" s="470" t="str">
        <f>IFERROR(__xludf.DUMMYFUNCTION("""COMPUTED_VALUE"""),"KIMME")</f>
        <v>KIMME</v>
      </c>
      <c r="J1668" s="471" t="str">
        <f>IFERROR(__xludf.DUMMYFUNCTION("""COMPUTED_VALUE"""),"https://vt.tiktok.com/ZS9H2BvDV/")</f>
        <v>https://vt.tiktok.com/ZS9H2BvDV/</v>
      </c>
      <c r="K1668" s="470" t="str">
        <f>IFERROR(__xludf.DUMMYFUNCTION("""COMPUTED_VALUE"""),"KIMME")</f>
        <v>KIMME</v>
      </c>
      <c r="L1668" s="471" t="str">
        <f>IFERROR(__xludf.DUMMYFUNCTION("""COMPUTED_VALUE"""),"https://vt.tiktok.com/ZS9H2LwwK/")</f>
        <v>https://vt.tiktok.com/ZS9H2LwwK/</v>
      </c>
      <c r="M1668" s="470"/>
      <c r="N1668" s="471" t="str">
        <f>IFERROR(__xludf.DUMMYFUNCTION("""COMPUTED_VALUE"""),"https://vt.tiktok.com/ZS9H2PPny/")</f>
        <v>https://vt.tiktok.com/ZS9H2PPny/</v>
      </c>
      <c r="O1668" s="470"/>
      <c r="P1668" s="471" t="str">
        <f>IFERROR(__xludf.DUMMYFUNCTION("""COMPUTED_VALUE"""),"https://vt.tiktok.com/ZS9H2eUCb/")</f>
        <v>https://vt.tiktok.com/ZS9H2eUCb/</v>
      </c>
    </row>
    <row r="1669">
      <c r="A1669" s="282" t="str">
        <f>IFERROR(__xludf.DUMMYFUNCTION("""COMPUTED_VALUE"""),"MACRO")</f>
        <v>MACRO</v>
      </c>
      <c r="B1669" s="468" t="str">
        <f>IFERROR(__xludf.DUMMYFUNCTION("""COMPUTED_VALUE"""),"ayumeilinah_")</f>
        <v>ayumeilinah_</v>
      </c>
      <c r="C1669" s="283" t="str">
        <f>IFERROR(__xludf.DUMMYFUNCTION("""COMPUTED_VALUE"""),"https://www.tiktok.com/@ayumeilinah_")</f>
        <v>https://www.tiktok.com/@ayumeilinah_</v>
      </c>
      <c r="D1669" s="273">
        <f>IFERROR(__xludf.DUMMYFUNCTION("""COMPUTED_VALUE"""),8.9580508706E11)</f>
        <v>895805087060</v>
      </c>
      <c r="E1669" s="458">
        <f>IFERROR(__xludf.DUMMYFUNCTION("""COMPUTED_VALUE"""),0.0)</f>
        <v>0</v>
      </c>
      <c r="F1669" s="273">
        <f>IFERROR(__xludf.DUMMYFUNCTION("""COMPUTED_VALUE"""),4.0)</f>
        <v>4</v>
      </c>
      <c r="G1669" t="str">
        <f>IFERROR(__xludf.DUMMYFUNCTION("""COMPUTED_VALUE"""),"Sabun batang 1 Box ( 2 PCS )")</f>
        <v>Sabun batang 1 Box ( 2 PCS )</v>
      </c>
      <c r="H1669" s="469" t="str">
        <f>IFERROR(__xludf.DUMMYFUNCTION("""COMPUTED_VALUE"""),"Sampai")</f>
        <v>Sampai</v>
      </c>
      <c r="I1669" s="470" t="str">
        <f>IFERROR(__xludf.DUMMYFUNCTION("""COMPUTED_VALUE"""),"KIMME")</f>
        <v>KIMME</v>
      </c>
      <c r="J1669" s="471" t="str">
        <f>IFERROR(__xludf.DUMMYFUNCTION("""COMPUTED_VALUE"""),"https://vt.tiktok.com/ZS9H2BvDV/")</f>
        <v>https://vt.tiktok.com/ZS9H2BvDV/</v>
      </c>
      <c r="K1669" s="470" t="str">
        <f>IFERROR(__xludf.DUMMYFUNCTION("""COMPUTED_VALUE"""),"KIMME")</f>
        <v>KIMME</v>
      </c>
      <c r="L1669" s="471" t="str">
        <f>IFERROR(__xludf.DUMMYFUNCTION("""COMPUTED_VALUE"""),"https://vt.tiktok.com/ZS9H2LwwK/")</f>
        <v>https://vt.tiktok.com/ZS9H2LwwK/</v>
      </c>
      <c r="M1669" s="470"/>
      <c r="N1669" s="471" t="str">
        <f>IFERROR(__xludf.DUMMYFUNCTION("""COMPUTED_VALUE"""),"https://vt.tiktok.com/ZS9H2PPny/")</f>
        <v>https://vt.tiktok.com/ZS9H2PPny/</v>
      </c>
      <c r="O1669" s="470"/>
      <c r="P1669" s="471" t="str">
        <f>IFERROR(__xludf.DUMMYFUNCTION("""COMPUTED_VALUE"""),"https://vt.tiktok.com/ZS9H2eUCb/")</f>
        <v>https://vt.tiktok.com/ZS9H2eUCb/</v>
      </c>
    </row>
    <row r="1670">
      <c r="A1670" s="282" t="str">
        <f>IFERROR(__xludf.DUMMYFUNCTION("""COMPUTED_VALUE"""),"MICRO")</f>
        <v>MICRO</v>
      </c>
      <c r="B1670" s="468" t="str">
        <f>IFERROR(__xludf.DUMMYFUNCTION("""COMPUTED_VALUE"""),"tiaraftyas")</f>
        <v>tiaraftyas</v>
      </c>
      <c r="C1670" s="283" t="str">
        <f>IFERROR(__xludf.DUMMYFUNCTION("""COMPUTED_VALUE"""),"https://www.tiktok.com/@tiaraftyas")</f>
        <v>https://www.tiktok.com/@tiaraftyas</v>
      </c>
      <c r="D1670" s="273">
        <f>IFERROR(__xludf.DUMMYFUNCTION("""COMPUTED_VALUE"""),8.1225111294E10)</f>
        <v>81225111294</v>
      </c>
      <c r="E1670" s="458">
        <f>IFERROR(__xludf.DUMMYFUNCTION("""COMPUTED_VALUE"""),50000.0)</f>
        <v>50000</v>
      </c>
      <c r="F1670" s="273">
        <f>IFERROR(__xludf.DUMMYFUNCTION("""COMPUTED_VALUE"""),1.0)</f>
        <v>1</v>
      </c>
      <c r="G1670" t="str">
        <f>IFERROR(__xludf.DUMMYFUNCTION("""COMPUTED_VALUE"""),"Sabun batang 1 Box ( 2 PCS )")</f>
        <v>Sabun batang 1 Box ( 2 PCS )</v>
      </c>
      <c r="H1670" s="469" t="str">
        <f>IFERROR(__xludf.DUMMYFUNCTION("""COMPUTED_VALUE"""),"Sampai")</f>
        <v>Sampai</v>
      </c>
      <c r="I1670" s="470" t="str">
        <f>IFERROR(__xludf.DUMMYFUNCTION("""COMPUTED_VALUE"""),"KIMME")</f>
        <v>KIMME</v>
      </c>
      <c r="J1670" s="471" t="str">
        <f>IFERROR(__xludf.DUMMYFUNCTION("""COMPUTED_VALUE"""),"https://vt.tiktok.com/ZS9H2BvDV/")</f>
        <v>https://vt.tiktok.com/ZS9H2BvDV/</v>
      </c>
      <c r="K1670" s="470" t="str">
        <f>IFERROR(__xludf.DUMMYFUNCTION("""COMPUTED_VALUE"""),"KIMME")</f>
        <v>KIMME</v>
      </c>
      <c r="L1670" s="471" t="str">
        <f>IFERROR(__xludf.DUMMYFUNCTION("""COMPUTED_VALUE"""),"https://vt.tiktok.com/ZS9H2LwwK/")</f>
        <v>https://vt.tiktok.com/ZS9H2LwwK/</v>
      </c>
      <c r="M1670" s="470"/>
      <c r="N1670" s="471" t="str">
        <f>IFERROR(__xludf.DUMMYFUNCTION("""COMPUTED_VALUE"""),"https://vt.tiktok.com/ZS9H2PPny/")</f>
        <v>https://vt.tiktok.com/ZS9H2PPny/</v>
      </c>
      <c r="O1670" s="470"/>
      <c r="P1670" s="471" t="str">
        <f>IFERROR(__xludf.DUMMYFUNCTION("""COMPUTED_VALUE"""),"https://vt.tiktok.com/ZS9H2eUCb/")</f>
        <v>https://vt.tiktok.com/ZS9H2eUCb/</v>
      </c>
    </row>
    <row r="1671">
      <c r="A1671" s="282" t="str">
        <f>IFERROR(__xludf.DUMMYFUNCTION("""COMPUTED_VALUE"""),"MACRO")</f>
        <v>MACRO</v>
      </c>
      <c r="B1671" s="468" t="str">
        <f>IFERROR(__xludf.DUMMYFUNCTION("""COMPUTED_VALUE"""),"edelweiss.sharma")</f>
        <v>edelweiss.sharma</v>
      </c>
      <c r="C1671" s="283" t="str">
        <f>IFERROR(__xludf.DUMMYFUNCTION("""COMPUTED_VALUE"""),"https://www.tiktok.com/@edelweiss.sharma")</f>
        <v>https://www.tiktok.com/@edelweiss.sharma</v>
      </c>
      <c r="D1671" s="273">
        <f>IFERROR(__xludf.DUMMYFUNCTION("""COMPUTED_VALUE"""),8.2310268988E10)</f>
        <v>82310268988</v>
      </c>
      <c r="E1671" s="458">
        <f>IFERROR(__xludf.DUMMYFUNCTION("""COMPUTED_VALUE"""),200000.0)</f>
        <v>200000</v>
      </c>
      <c r="F1671" s="273">
        <f>IFERROR(__xludf.DUMMYFUNCTION("""COMPUTED_VALUE"""),2.0)</f>
        <v>2</v>
      </c>
      <c r="G1671" t="str">
        <f>IFERROR(__xludf.DUMMYFUNCTION("""COMPUTED_VALUE"""),"Sabun batang 1 Box ( 2 PCS )")</f>
        <v>Sabun batang 1 Box ( 2 PCS )</v>
      </c>
      <c r="H1671" s="469" t="str">
        <f>IFERROR(__xludf.DUMMYFUNCTION("""COMPUTED_VALUE"""),"Sampai")</f>
        <v>Sampai</v>
      </c>
      <c r="I1671" s="470" t="str">
        <f>IFERROR(__xludf.DUMMYFUNCTION("""COMPUTED_VALUE"""),"KIMME")</f>
        <v>KIMME</v>
      </c>
      <c r="K1671" s="470" t="str">
        <f>IFERROR(__xludf.DUMMYFUNCTION("""COMPUTED_VALUE"""),"KIMME")</f>
        <v>KIMME</v>
      </c>
      <c r="M1671" s="470"/>
      <c r="O1671" s="470"/>
    </row>
    <row r="1672">
      <c r="A1672" s="282" t="str">
        <f>IFERROR(__xludf.DUMMYFUNCTION("""COMPUTED_VALUE"""),"MICRO")</f>
        <v>MICRO</v>
      </c>
      <c r="B1672" s="468" t="str">
        <f>IFERROR(__xludf.DUMMYFUNCTION("""COMPUTED_VALUE"""),"racunciwiciwi99")</f>
        <v>racunciwiciwi99</v>
      </c>
      <c r="C1672" s="283" t="str">
        <f>IFERROR(__xludf.DUMMYFUNCTION("""COMPUTED_VALUE"""),"https://www.tiktok.com/@racunciwiciwi99")</f>
        <v>https://www.tiktok.com/@racunciwiciwi99</v>
      </c>
      <c r="D1672" s="273">
        <f>IFERROR(__xludf.DUMMYFUNCTION("""COMPUTED_VALUE"""),8.2197229644E10)</f>
        <v>82197229644</v>
      </c>
      <c r="E1672" s="458">
        <f>IFERROR(__xludf.DUMMYFUNCTION("""COMPUTED_VALUE"""),0.0)</f>
        <v>0</v>
      </c>
      <c r="F1672" s="273">
        <f>IFERROR(__xludf.DUMMYFUNCTION("""COMPUTED_VALUE"""),1.0)</f>
        <v>1</v>
      </c>
      <c r="G1672" t="str">
        <f>IFERROR(__xludf.DUMMYFUNCTION("""COMPUTED_VALUE"""),"Sabun batang 1 Box ( 2 PCS )")</f>
        <v>Sabun batang 1 Box ( 2 PCS )</v>
      </c>
      <c r="H1672" s="469" t="str">
        <f>IFERROR(__xludf.DUMMYFUNCTION("""COMPUTED_VALUE"""),"Sampai")</f>
        <v>Sampai</v>
      </c>
      <c r="I1672" s="470" t="str">
        <f>IFERROR(__xludf.DUMMYFUNCTION("""COMPUTED_VALUE"""),"KIMME")</f>
        <v>KIMME</v>
      </c>
      <c r="J1672" s="471" t="str">
        <f>IFERROR(__xludf.DUMMYFUNCTION("""COMPUTED_VALUE"""),"https://vt.tiktok.com/ZS9RCs9Rd/")</f>
        <v>https://vt.tiktok.com/ZS9RCs9Rd/</v>
      </c>
      <c r="K1672" s="470" t="str">
        <f>IFERROR(__xludf.DUMMYFUNCTION("""COMPUTED_VALUE"""),"KIMME")</f>
        <v>KIMME</v>
      </c>
      <c r="L1672" s="471" t="str">
        <f>IFERROR(__xludf.DUMMYFUNCTION("""COMPUTED_VALUE"""),"https://vt.tiktok.com/ZSxa57L7J/")</f>
        <v>https://vt.tiktok.com/ZSxa57L7J/</v>
      </c>
      <c r="M1672" s="470"/>
      <c r="N1672" s="471" t="str">
        <f>IFERROR(__xludf.DUMMYFUNCTION("""COMPUTED_VALUE"""),"https://vt.tiktok.com/ZSxQWkQYJ/")</f>
        <v>https://vt.tiktok.com/ZSxQWkQYJ/</v>
      </c>
      <c r="O1672" s="470"/>
      <c r="P1672" s="471" t="str">
        <f>IFERROR(__xludf.DUMMYFUNCTION("""COMPUTED_VALUE"""),"https://vt.tiktok.com/ZSxPpf5Fn/")</f>
        <v>https://vt.tiktok.com/ZSxPpf5Fn/</v>
      </c>
    </row>
    <row r="1673">
      <c r="A1673" s="282" t="str">
        <f>IFERROR(__xludf.DUMMYFUNCTION("""COMPUTED_VALUE"""),"MICRO")</f>
        <v>MICRO</v>
      </c>
      <c r="B1673" s="468" t="str">
        <f>IFERROR(__xludf.DUMMYFUNCTION("""COMPUTED_VALUE"""),"daily_bynancy")</f>
        <v>daily_bynancy</v>
      </c>
      <c r="C1673" s="283" t="str">
        <f>IFERROR(__xludf.DUMMYFUNCTION("""COMPUTED_VALUE"""),"https://www.tiktok.com/@daily_bynancy")</f>
        <v>https://www.tiktok.com/@daily_bynancy</v>
      </c>
      <c r="D1673" s="273">
        <f>IFERROR(__xludf.DUMMYFUNCTION("""COMPUTED_VALUE"""),8.1362494379E10)</f>
        <v>81362494379</v>
      </c>
      <c r="E1673" s="458">
        <f>IFERROR(__xludf.DUMMYFUNCTION("""COMPUTED_VALUE"""),0.0)</f>
        <v>0</v>
      </c>
      <c r="F1673" s="273">
        <f>IFERROR(__xludf.DUMMYFUNCTION("""COMPUTED_VALUE"""),2.0)</f>
        <v>2</v>
      </c>
      <c r="G1673" t="str">
        <f>IFERROR(__xludf.DUMMYFUNCTION("""COMPUTED_VALUE"""),"Sabun batang 1 Box ( 2 PCS )")</f>
        <v>Sabun batang 1 Box ( 2 PCS )</v>
      </c>
      <c r="H1673" s="469" t="str">
        <f>IFERROR(__xludf.DUMMYFUNCTION("""COMPUTED_VALUE"""),"Sampai")</f>
        <v>Sampai</v>
      </c>
      <c r="I1673" s="470" t="str">
        <f>IFERROR(__xludf.DUMMYFUNCTION("""COMPUTED_VALUE"""),"KIMME")</f>
        <v>KIMME</v>
      </c>
      <c r="J1673" t="str">
        <f>IFERROR(__xludf.DUMMYFUNCTION("""COMPUTED_VALUE"""),"⁠https://vt.tiktok.com/ZSxSd8hEN/")</f>
        <v>⁠https://vt.tiktok.com/ZSxSd8hEN/</v>
      </c>
      <c r="K1673" s="470" t="str">
        <f>IFERROR(__xludf.DUMMYFUNCTION("""COMPUTED_VALUE"""),"KIMME")</f>
        <v>KIMME</v>
      </c>
      <c r="L1673" t="str">
        <f>IFERROR(__xludf.DUMMYFUNCTION("""COMPUTED_VALUE"""),"⁠https://vt.tiktok.com/ZSxSe7NpG/")</f>
        <v>⁠https://vt.tiktok.com/ZSxSe7NpG/</v>
      </c>
      <c r="M1673" s="470"/>
      <c r="N1673" t="str">
        <f>IFERROR(__xludf.DUMMYFUNCTION("""COMPUTED_VALUE"""),"⁠https://vt.tiktok.com/ZSxD6Uwp6/")</f>
        <v>⁠https://vt.tiktok.com/ZSxD6Uwp6/</v>
      </c>
      <c r="O1673" s="470"/>
      <c r="P1673" t="str">
        <f>IFERROR(__xludf.DUMMYFUNCTION("""COMPUTED_VALUE"""),"⁠https://vt.tiktok.com/ZSxD6Ucfd/")</f>
        <v>⁠https://vt.tiktok.com/ZSxD6Ucfd/</v>
      </c>
    </row>
    <row r="1674">
      <c r="A1674" s="282" t="str">
        <f>IFERROR(__xludf.DUMMYFUNCTION("""COMPUTED_VALUE"""),"MICRO")</f>
        <v>MICRO</v>
      </c>
      <c r="B1674" s="468" t="str">
        <f>IFERROR(__xludf.DUMMYFUNCTION("""COMPUTED_VALUE"""),"Daisy_sthetic")</f>
        <v>Daisy_sthetic</v>
      </c>
      <c r="C1674" s="283" t="str">
        <f>IFERROR(__xludf.DUMMYFUNCTION("""COMPUTED_VALUE"""),"https://www.tiktok.com/@Daisy_sthetic")</f>
        <v>https://www.tiktok.com/@Daisy_sthetic</v>
      </c>
      <c r="D1674" s="273">
        <f>IFERROR(__xludf.DUMMYFUNCTION("""COMPUTED_VALUE"""),8.9694391498E10)</f>
        <v>89694391498</v>
      </c>
      <c r="E1674" s="458">
        <f>IFERROR(__xludf.DUMMYFUNCTION("""COMPUTED_VALUE"""),0.0)</f>
        <v>0</v>
      </c>
      <c r="F1674" s="273">
        <f>IFERROR(__xludf.DUMMYFUNCTION("""COMPUTED_VALUE"""),2.0)</f>
        <v>2</v>
      </c>
      <c r="G1674" t="str">
        <f>IFERROR(__xludf.DUMMYFUNCTION("""COMPUTED_VALUE"""),"Sabun batang 1 Box ( 2 PCS )")</f>
        <v>Sabun batang 1 Box ( 2 PCS )</v>
      </c>
      <c r="H1674" s="469" t="str">
        <f>IFERROR(__xludf.DUMMYFUNCTION("""COMPUTED_VALUE"""),"Sampai")</f>
        <v>Sampai</v>
      </c>
      <c r="I1674" s="470" t="str">
        <f>IFERROR(__xludf.DUMMYFUNCTION("""COMPUTED_VALUE"""),"KIMME")</f>
        <v>KIMME</v>
      </c>
      <c r="J1674" s="471" t="str">
        <f>IFERROR(__xludf.DUMMYFUNCTION("""COMPUTED_VALUE"""),"https://vt.tiktok.com/ZSxpUvNqF/")</f>
        <v>https://vt.tiktok.com/ZSxpUvNqF/</v>
      </c>
      <c r="K1674" s="470" t="str">
        <f>IFERROR(__xludf.DUMMYFUNCTION("""COMPUTED_VALUE"""),"KIMME")</f>
        <v>KIMME</v>
      </c>
      <c r="L1674" s="471" t="str">
        <f>IFERROR(__xludf.DUMMYFUNCTION("""COMPUTED_VALUE"""),"https://vt.tiktok.com/ZSxpXSbA8/")</f>
        <v>https://vt.tiktok.com/ZSxpXSbA8/</v>
      </c>
      <c r="M1674" s="470"/>
      <c r="N1674" t="str">
        <f>IFERROR(__xludf.DUMMYFUNCTION("""COMPUTED_VALUE"""),"⁠https://vt.tiktok.com/ZSxD6kDXH/")</f>
        <v>⁠https://vt.tiktok.com/ZSxD6kDXH/</v>
      </c>
      <c r="O1674" s="470"/>
      <c r="P1674" t="str">
        <f>IFERROR(__xludf.DUMMYFUNCTION("""COMPUTED_VALUE"""),"⁠https://vt.tiktok.com/ZSxD6BwK5/")</f>
        <v>⁠https://vt.tiktok.com/ZSxD6BwK5/</v>
      </c>
    </row>
    <row r="1675">
      <c r="A1675" s="282" t="str">
        <f>IFERROR(__xludf.DUMMYFUNCTION("""COMPUTED_VALUE"""),"MICRO")</f>
        <v>MICRO</v>
      </c>
      <c r="B1675" s="468" t="str">
        <f>IFERROR(__xludf.DUMMYFUNCTION("""COMPUTED_VALUE"""),"anilistiyani37")</f>
        <v>anilistiyani37</v>
      </c>
      <c r="C1675" s="283" t="str">
        <f>IFERROR(__xludf.DUMMYFUNCTION("""COMPUTED_VALUE"""),"https://www.tiktok.com/@anilistiyani37")</f>
        <v>https://www.tiktok.com/@anilistiyani37</v>
      </c>
      <c r="D1675" s="273">
        <f>IFERROR(__xludf.DUMMYFUNCTION("""COMPUTED_VALUE"""),8.3151028304E10)</f>
        <v>83151028304</v>
      </c>
      <c r="E1675" s="458">
        <f>IFERROR(__xludf.DUMMYFUNCTION("""COMPUTED_VALUE"""),0.0)</f>
        <v>0</v>
      </c>
      <c r="F1675" s="273">
        <f>IFERROR(__xludf.DUMMYFUNCTION("""COMPUTED_VALUE"""),2.0)</f>
        <v>2</v>
      </c>
      <c r="G1675" t="str">
        <f>IFERROR(__xludf.DUMMYFUNCTION("""COMPUTED_VALUE"""),"Sabun batang 1 Box ( 2 PCS )")</f>
        <v>Sabun batang 1 Box ( 2 PCS )</v>
      </c>
      <c r="H1675" s="469" t="str">
        <f>IFERROR(__xludf.DUMMYFUNCTION("""COMPUTED_VALUE"""),"Sampai")</f>
        <v>Sampai</v>
      </c>
      <c r="I1675" s="470" t="str">
        <f>IFERROR(__xludf.DUMMYFUNCTION("""COMPUTED_VALUE"""),"KIMME")</f>
        <v>KIMME</v>
      </c>
      <c r="J1675" s="471" t="str">
        <f>IFERROR(__xludf.DUMMYFUNCTION("""COMPUTED_VALUE"""),"https://vt.tiktok.com/ZSxrxHvUh/")</f>
        <v>https://vt.tiktok.com/ZSxrxHvUh/</v>
      </c>
      <c r="K1675" s="470" t="str">
        <f>IFERROR(__xludf.DUMMYFUNCTION("""COMPUTED_VALUE"""),"KIMME")</f>
        <v>KIMME</v>
      </c>
      <c r="L1675" t="str">
        <f>IFERROR(__xludf.DUMMYFUNCTION("""COMPUTED_VALUE"""),"⁠https://vt.tiktok.com/ZSxSdrAHa/")</f>
        <v>⁠https://vt.tiktok.com/ZSxSdrAHa/</v>
      </c>
      <c r="M1675" s="470"/>
      <c r="N1675" s="471" t="str">
        <f>IFERROR(__xludf.DUMMYFUNCTION("""COMPUTED_VALUE"""),"https://vt.tiktok.com/ZSxD6fGsq/")</f>
        <v>https://vt.tiktok.com/ZSxD6fGsq/</v>
      </c>
      <c r="O1675" s="470"/>
      <c r="P1675" t="str">
        <f>IFERROR(__xludf.DUMMYFUNCTION("""COMPUTED_VALUE"""),"⁠https://vt.tiktok.com/ZSxD6DeXN/")</f>
        <v>⁠https://vt.tiktok.com/ZSxD6DeXN/</v>
      </c>
    </row>
    <row r="1676">
      <c r="A1676" s="282" t="str">
        <f>IFERROR(__xludf.DUMMYFUNCTION("""COMPUTED_VALUE"""),"MICRO")</f>
        <v>MICRO</v>
      </c>
      <c r="B1676" s="468" t="str">
        <f>IFERROR(__xludf.DUMMYFUNCTION("""COMPUTED_VALUE"""),"Mila77073")</f>
        <v>Mila77073</v>
      </c>
      <c r="C1676" s="283" t="str">
        <f>IFERROR(__xludf.DUMMYFUNCTION("""COMPUTED_VALUE"""),"https://www.tiktok.com/@Mila77073")</f>
        <v>https://www.tiktok.com/@Mila77073</v>
      </c>
      <c r="D1676" s="273">
        <f>IFERROR(__xludf.DUMMYFUNCTION("""COMPUTED_VALUE"""),8.5754575492E10)</f>
        <v>85754575492</v>
      </c>
      <c r="E1676" s="458">
        <f>IFERROR(__xludf.DUMMYFUNCTION("""COMPUTED_VALUE"""),0.0)</f>
        <v>0</v>
      </c>
      <c r="F1676" s="273">
        <f>IFERROR(__xludf.DUMMYFUNCTION("""COMPUTED_VALUE"""),2.0)</f>
        <v>2</v>
      </c>
      <c r="G1676" t="str">
        <f>IFERROR(__xludf.DUMMYFUNCTION("""COMPUTED_VALUE"""),"Sabun batang 1 Box ( 2 PCS )")</f>
        <v>Sabun batang 1 Box ( 2 PCS )</v>
      </c>
      <c r="H1676" s="469" t="str">
        <f>IFERROR(__xludf.DUMMYFUNCTION("""COMPUTED_VALUE"""),"Sampai")</f>
        <v>Sampai</v>
      </c>
      <c r="I1676" s="470" t="str">
        <f>IFERROR(__xludf.DUMMYFUNCTION("""COMPUTED_VALUE"""),"KIMME")</f>
        <v>KIMME</v>
      </c>
      <c r="J1676" t="str">
        <f>IFERROR(__xludf.DUMMYFUNCTION("""COMPUTED_VALUE"""),"⁠https://vt.tiktok.com/ZSxAuVSTE/")</f>
        <v>⁠https://vt.tiktok.com/ZSxAuVSTE/</v>
      </c>
      <c r="K1676" s="470" t="str">
        <f>IFERROR(__xludf.DUMMYFUNCTION("""COMPUTED_VALUE"""),"KIMME")</f>
        <v>KIMME</v>
      </c>
      <c r="L1676" t="str">
        <f>IFERROR(__xludf.DUMMYFUNCTION("""COMPUTED_VALUE"""),"⁠https://vt.tiktok.com/ZSxAuX9rm/")</f>
        <v>⁠https://vt.tiktok.com/ZSxAuX9rm/</v>
      </c>
      <c r="M1676" s="470"/>
      <c r="N1676" t="str">
        <f>IFERROR(__xludf.DUMMYFUNCTION("""COMPUTED_VALUE"""),"⁠https://vt.tiktok.com/ZSxD6PYc2/")</f>
        <v>⁠https://vt.tiktok.com/ZSxD6PYc2/</v>
      </c>
      <c r="O1676" s="470"/>
      <c r="P1676" t="str">
        <f>IFERROR(__xludf.DUMMYFUNCTION("""COMPUTED_VALUE"""),"⁠https://vt.tiktok.com/ZSxD6A7p2/")</f>
        <v>⁠https://vt.tiktok.com/ZSxD6A7p2/</v>
      </c>
    </row>
    <row r="1677">
      <c r="A1677" s="282" t="str">
        <f>IFERROR(__xludf.DUMMYFUNCTION("""COMPUTED_VALUE"""),"MICRO")</f>
        <v>MICRO</v>
      </c>
      <c r="B1677" s="468" t="str">
        <f>IFERROR(__xludf.DUMMYFUNCTION("""COMPUTED_VALUE"""),"dyaahrtna")</f>
        <v>dyaahrtna</v>
      </c>
      <c r="C1677" s="283" t="str">
        <f>IFERROR(__xludf.DUMMYFUNCTION("""COMPUTED_VALUE"""),"https://www.tiktok.com/@dyaahrtna")</f>
        <v>https://www.tiktok.com/@dyaahrtna</v>
      </c>
      <c r="D1677" s="273">
        <f>IFERROR(__xludf.DUMMYFUNCTION("""COMPUTED_VALUE"""),8.5778282409E10)</f>
        <v>85778282409</v>
      </c>
      <c r="E1677" s="458">
        <f>IFERROR(__xludf.DUMMYFUNCTION("""COMPUTED_VALUE"""),0.0)</f>
        <v>0</v>
      </c>
      <c r="F1677" s="273">
        <f>IFERROR(__xludf.DUMMYFUNCTION("""COMPUTED_VALUE"""),2.0)</f>
        <v>2</v>
      </c>
      <c r="G1677" t="str">
        <f>IFERROR(__xludf.DUMMYFUNCTION("""COMPUTED_VALUE"""),"Sabun batang 1 Box ( 2 PCS )")</f>
        <v>Sabun batang 1 Box ( 2 PCS )</v>
      </c>
      <c r="H1677" s="469" t="str">
        <f>IFERROR(__xludf.DUMMYFUNCTION("""COMPUTED_VALUE"""),"Sampai")</f>
        <v>Sampai</v>
      </c>
      <c r="I1677" s="470" t="str">
        <f>IFERROR(__xludf.DUMMYFUNCTION("""COMPUTED_VALUE"""),"KIMME")</f>
        <v>KIMME</v>
      </c>
      <c r="J1677" s="471" t="str">
        <f>IFERROR(__xludf.DUMMYFUNCTION("""COMPUTED_VALUE"""),"https://vt.tiktok.com/ZSxRL5DcX/")</f>
        <v>https://vt.tiktok.com/ZSxRL5DcX/</v>
      </c>
      <c r="K1677" s="470" t="str">
        <f>IFERROR(__xludf.DUMMYFUNCTION("""COMPUTED_VALUE"""),"KIMME")</f>
        <v>KIMME</v>
      </c>
      <c r="L1677" s="471" t="str">
        <f>IFERROR(__xludf.DUMMYFUNCTION("""COMPUTED_VALUE"""),"https://vt.tiktok.com/ZSxRLQQTT/")</f>
        <v>https://vt.tiktok.com/ZSxRLQQTT/</v>
      </c>
      <c r="M1677" s="470"/>
      <c r="N1677" t="str">
        <f>IFERROR(__xludf.DUMMYFUNCTION("""COMPUTED_VALUE"""),"⁠https://vt.tiktok.com/ZSxD6RXRJ/")</f>
        <v>⁠https://vt.tiktok.com/ZSxD6RXRJ/</v>
      </c>
      <c r="O1677" s="470"/>
      <c r="P1677" s="471" t="str">
        <f>IFERROR(__xludf.DUMMYFUNCTION("""COMPUTED_VALUE"""),"https://vt.tiktok.com/ZSxD6rQto/")</f>
        <v>https://vt.tiktok.com/ZSxD6rQto/</v>
      </c>
    </row>
    <row r="1678">
      <c r="A1678" s="282" t="str">
        <f>IFERROR(__xludf.DUMMYFUNCTION("""COMPUTED_VALUE"""),"MICRO")</f>
        <v>MICRO</v>
      </c>
      <c r="B1678" s="468" t="str">
        <f>IFERROR(__xludf.DUMMYFUNCTION("""COMPUTED_VALUE"""),"fhie2501")</f>
        <v>fhie2501</v>
      </c>
      <c r="C1678" s="283" t="str">
        <f>IFERROR(__xludf.DUMMYFUNCTION("""COMPUTED_VALUE"""),"https://www.tiktok.com/@fhie2501")</f>
        <v>https://www.tiktok.com/@fhie2501</v>
      </c>
      <c r="D1678" s="273">
        <f>IFERROR(__xludf.DUMMYFUNCTION("""COMPUTED_VALUE"""),8.1930539847E10)</f>
        <v>81930539847</v>
      </c>
      <c r="E1678" s="458">
        <f>IFERROR(__xludf.DUMMYFUNCTION("""COMPUTED_VALUE"""),0.0)</f>
        <v>0</v>
      </c>
      <c r="F1678" s="273">
        <f>IFERROR(__xludf.DUMMYFUNCTION("""COMPUTED_VALUE"""),2.0)</f>
        <v>2</v>
      </c>
      <c r="G1678" t="str">
        <f>IFERROR(__xludf.DUMMYFUNCTION("""COMPUTED_VALUE"""),"Sabun batang 1 Box ( 2 PCS )")</f>
        <v>Sabun batang 1 Box ( 2 PCS )</v>
      </c>
      <c r="H1678" s="469" t="str">
        <f>IFERROR(__xludf.DUMMYFUNCTION("""COMPUTED_VALUE"""),"Sampai")</f>
        <v>Sampai</v>
      </c>
      <c r="I1678" s="470" t="str">
        <f>IFERROR(__xludf.DUMMYFUNCTION("""COMPUTED_VALUE"""),"KIMME")</f>
        <v>KIMME</v>
      </c>
      <c r="J1678" s="471" t="str">
        <f>IFERROR(__xludf.DUMMYFUNCTION("""COMPUTED_VALUE"""),"https://www.tiktok.com/@fhie2501/video/7638429393269951752?_r=1&amp;u_code=d3f6k3i3b9i83j&amp;region=&amp;mid=7631905035121395728&amp;preview_pb=0&amp;sharer_language=&amp;_d=0&amp;ec_shared_reflux_dynamic_params=%7B%22placeholder_material_id%22%3A%227638429393269951752%22%2C%22plac"&amp;"eholder_origin_cover%22%3A%22https%253A%252F%252Fp19-common-sign.tiktokcdn.com%252Ftos-alisg-p-0037%252Fo0iBfWwAvAIl8LAUBBI1BxAwJiAqiC5GwJbI4x~tplv-tiktokx-origin.jpeg%253Fdr%253D14572%2526refresh_token%253D8954c604%2526x-expires%253D1810116000%2526x-sign"&amp;"ature%253DbkKH%25252FNlUMbr4ynDmrIfTdHeQegc%25253D%2526t%253D4d5b0474%2526ps%253D13740610%2526shp%253Dd05b14bd%2526shcp%253D34ff8df6%2526idc%253Dmy2%2526s%253DTIKTOK_AFFILIATE_VIRAL_VIDEO%22%2C%22placeholder_product_id%22%3A%221729427766722726591%22%2C%22"&amp;"placeholder_video_id%22%3A%227638429393269951752%22%7D&amp;ec_shared_reflux_scene=shop_tab_feed&amp;share_item_id=7638429393269951752&amp;source=h5_t")</f>
        <v>https://www.tiktok.com/@fhie2501/video/7638429393269951752?_r=1&amp;u_code=d3f6k3i3b9i83j&amp;region=&amp;mid=7631905035121395728&amp;preview_pb=0&amp;sharer_language=&amp;_d=0&amp;ec_shared_reflux_dynamic_params=%7B%22placeholder_material_id%22%3A%227638429393269951752%22%2C%22placeholder_origin_cover%22%3A%22https%253A%252F%252Fp19-common-sign.tiktokcdn.com%252Ftos-alisg-p-0037%252Fo0iBfWwAvAIl8LAUBBI1BxAwJiAqiC5GwJbI4x~tplv-tiktokx-origin.jpeg%253Fdr%253D14572%2526refresh_token%253D8954c604%2526x-expires%253D1810116000%2526x-signature%253DbkKH%25252FNlUMbr4ynDmrIfTdHeQegc%25253D%2526t%253D4d5b0474%2526ps%253D13740610%2526shp%253Dd05b14bd%2526shcp%253D34ff8df6%2526idc%253Dmy2%2526s%253DTIKTOK_AFFILIATE_VIRAL_VIDEO%22%2C%22placeholder_product_id%22%3A%221729427766722726591%22%2C%22placeholder_video_id%22%3A%227638429393269951752%22%7D&amp;ec_shared_reflux_scene=shop_tab_feed&amp;share_item_id=7638429393269951752&amp;source=h5_t</v>
      </c>
      <c r="K1678" s="470" t="str">
        <f>IFERROR(__xludf.DUMMYFUNCTION("""COMPUTED_VALUE"""),"KIMME")</f>
        <v>KIMME</v>
      </c>
      <c r="L1678" s="471" t="str">
        <f>IFERROR(__xludf.DUMMYFUNCTION("""COMPUTED_VALUE"""),"https://www.tiktok.com/@fhie2501/video/7639219591574572296?_r=1&amp;u_code=d3f6k3i3b9i83j&amp;region=&amp;mid=7635698982078221076&amp;preview_pb=0&amp;sharer_language=&amp;_d=0&amp;ec_shared_reflux_dynamic_params=%7B%22placeholder_material_id%22%3A%227639219591574572296%22%2C%22plac"&amp;"eholder_origin_cover%22%3A%22https%253A%252F%252Fp16-common-sign.tiktokcdn.com%252Ftos-alisg-p-0037%252FoEUfRnEQQDAU2bBfV9FoD24kucRdzIAXDCfjCv~tplv-tiktokx-origin.jpeg%253Fdr%253D14572%2526refresh_token%253D5b5c4c5c%2526x-expires%253D1810195200%2526x-sign"&amp;"ature%253DP8%25252FbUVcu5IXTXpFgAN41QxfhXxM%25253D%2526t%253D4d5b0474%2526ps%253D13740610%2526shp%253Dd05b14bd%2526shcp%253D34ff8df6%2526idc%253Dmy2%2526s%253DTIKTOK_AFFILIATE_VIRAL_VIDEO%22%2C%22placeholder_product_id%22%3A%221729427766722726591%22%2C%22"&amp;"placeholder_video_id%22%3A%227639219591574572296%22%7D&amp;ec_shared_reflux_scene=shop_tab_feed&amp;share_item_id=7639219591574572296&amp;source=h5_t")</f>
        <v>https://www.tiktok.com/@fhie2501/video/7639219591574572296?_r=1&amp;u_code=d3f6k3i3b9i83j&amp;region=&amp;mid=7635698982078221076&amp;preview_pb=0&amp;sharer_language=&amp;_d=0&amp;ec_shared_reflux_dynamic_params=%7B%22placeholder_material_id%22%3A%227639219591574572296%22%2C%22placeholder_origin_cover%22%3A%22https%253A%252F%252Fp16-common-sign.tiktokcdn.com%252Ftos-alisg-p-0037%252FoEUfRnEQQDAU2bBfV9FoD24kucRdzIAXDCfjCv~tplv-tiktokx-origin.jpeg%253Fdr%253D14572%2526refresh_token%253D5b5c4c5c%2526x-expires%253D1810195200%2526x-signature%253DP8%25252FbUVcu5IXTXpFgAN41QxfhXxM%25253D%2526t%253D4d5b0474%2526ps%253D13740610%2526shp%253Dd05b14bd%2526shcp%253D34ff8df6%2526idc%253Dmy2%2526s%253DTIKTOK_AFFILIATE_VIRAL_VIDEO%22%2C%22placeholder_product_id%22%3A%221729427766722726591%22%2C%22placeholder_video_id%22%3A%227639219591574572296%22%7D&amp;ec_shared_reflux_scene=shop_tab_feed&amp;share_item_id=7639219591574572296&amp;source=h5_t</v>
      </c>
      <c r="M1678" s="470"/>
      <c r="N1678" s="471" t="str">
        <f>IFERROR(__xludf.DUMMYFUNCTION("""COMPUTED_VALUE"""),"https://vt.tiktok.com/ZS9TdxXx1/")</f>
        <v>https://vt.tiktok.com/ZS9TdxXx1/</v>
      </c>
      <c r="O1678" s="470"/>
      <c r="P1678" s="471" t="str">
        <f>IFERROR(__xludf.DUMMYFUNCTION("""COMPUTED_VALUE"""),"https://vt.tiktok.com/ZS9o47s6u/")</f>
        <v>https://vt.tiktok.com/ZS9o47s6u/</v>
      </c>
    </row>
    <row r="1679">
      <c r="A1679" s="282" t="str">
        <f>IFERROR(__xludf.DUMMYFUNCTION("""COMPUTED_VALUE"""),"MICRO")</f>
        <v>MICRO</v>
      </c>
      <c r="B1679" s="468" t="str">
        <f>IFERROR(__xludf.DUMMYFUNCTION("""COMPUTED_VALUE"""),"yen2309")</f>
        <v>yen2309</v>
      </c>
      <c r="C1679" s="283" t="str">
        <f>IFERROR(__xludf.DUMMYFUNCTION("""COMPUTED_VALUE"""),"https://www.tiktok.com/@yen2309")</f>
        <v>https://www.tiktok.com/@yen2309</v>
      </c>
      <c r="D1679" s="273">
        <f>IFERROR(__xludf.DUMMYFUNCTION("""COMPUTED_VALUE"""),8.124125437E10)</f>
        <v>81241254370</v>
      </c>
      <c r="E1679" s="458">
        <f>IFERROR(__xludf.DUMMYFUNCTION("""COMPUTED_VALUE"""),0.0)</f>
        <v>0</v>
      </c>
      <c r="F1679" s="273">
        <f>IFERROR(__xludf.DUMMYFUNCTION("""COMPUTED_VALUE"""),2.0)</f>
        <v>2</v>
      </c>
      <c r="G1679" t="str">
        <f>IFERROR(__xludf.DUMMYFUNCTION("""COMPUTED_VALUE"""),"Sabun batang 1 Box ( 2 PCS )")</f>
        <v>Sabun batang 1 Box ( 2 PCS )</v>
      </c>
      <c r="H1679" s="469" t="str">
        <f>IFERROR(__xludf.DUMMYFUNCTION("""COMPUTED_VALUE"""),"Sampai")</f>
        <v>Sampai</v>
      </c>
      <c r="I1679" s="470" t="str">
        <f>IFERROR(__xludf.DUMMYFUNCTION("""COMPUTED_VALUE"""),"KIMME")</f>
        <v>KIMME</v>
      </c>
      <c r="J1679" s="471" t="str">
        <f>IFERROR(__xludf.DUMMYFUNCTION("""COMPUTED_VALUE"""),"https://vt.tiktok.com/ZSxuWEdX6/")</f>
        <v>https://vt.tiktok.com/ZSxuWEdX6/</v>
      </c>
      <c r="K1679" s="470" t="str">
        <f>IFERROR(__xludf.DUMMYFUNCTION("""COMPUTED_VALUE"""),"KIMME")</f>
        <v>KIMME</v>
      </c>
      <c r="L1679" s="471" t="str">
        <f>IFERROR(__xludf.DUMMYFUNCTION("""COMPUTED_VALUE"""),"https://vt.tiktok.com/ZSxu7MLNB/")</f>
        <v>https://vt.tiktok.com/ZSxu7MLNB/</v>
      </c>
      <c r="M1679" s="470"/>
      <c r="N1679" s="471" t="str">
        <f>IFERROR(__xludf.DUMMYFUNCTION("""COMPUTED_VALUE"""),"https://vt.tiktok.com/ZS9TdxXx1/")</f>
        <v>https://vt.tiktok.com/ZS9TdxXx1/</v>
      </c>
      <c r="O1679" s="470"/>
      <c r="P1679" s="471" t="str">
        <f>IFERROR(__xludf.DUMMYFUNCTION("""COMPUTED_VALUE"""),"https://vt.tiktok.com/ZS9o47s6u/")</f>
        <v>https://vt.tiktok.com/ZS9o47s6u/</v>
      </c>
    </row>
    <row r="1680">
      <c r="A1680" s="282" t="str">
        <f>IFERROR(__xludf.DUMMYFUNCTION("""COMPUTED_VALUE"""),"MICRO")</f>
        <v>MICRO</v>
      </c>
      <c r="B1680" s="468" t="str">
        <f>IFERROR(__xludf.DUMMYFUNCTION("""COMPUTED_VALUE"""),"el_zdh")</f>
        <v>el_zdh</v>
      </c>
      <c r="C1680" s="283" t="str">
        <f>IFERROR(__xludf.DUMMYFUNCTION("""COMPUTED_VALUE"""),"https://www.tiktok.com/@el_zdh")</f>
        <v>https://www.tiktok.com/@el_zdh</v>
      </c>
      <c r="D1680" s="273">
        <f>IFERROR(__xludf.DUMMYFUNCTION("""COMPUTED_VALUE"""),8.8902871373E10)</f>
        <v>88902871373</v>
      </c>
      <c r="E1680" s="458">
        <f>IFERROR(__xludf.DUMMYFUNCTION("""COMPUTED_VALUE"""),0.0)</f>
        <v>0</v>
      </c>
      <c r="F1680" s="273">
        <f>IFERROR(__xludf.DUMMYFUNCTION("""COMPUTED_VALUE"""),2.0)</f>
        <v>2</v>
      </c>
      <c r="G1680" t="str">
        <f>IFERROR(__xludf.DUMMYFUNCTION("""COMPUTED_VALUE"""),"Sabun batang 1 Box ( 2 PCS )")</f>
        <v>Sabun batang 1 Box ( 2 PCS )</v>
      </c>
      <c r="H1680" s="469" t="str">
        <f>IFERROR(__xludf.DUMMYFUNCTION("""COMPUTED_VALUE"""),"Sampai")</f>
        <v>Sampai</v>
      </c>
      <c r="I1680" s="470" t="str">
        <f>IFERROR(__xludf.DUMMYFUNCTION("""COMPUTED_VALUE"""),"KIMME")</f>
        <v>KIMME</v>
      </c>
      <c r="J1680" s="471" t="str">
        <f>IFERROR(__xludf.DUMMYFUNCTION("""COMPUTED_VALUE"""),"https://www.tiktok.com/@el_zdh/video/7637554764598758677?_r=1&amp;u_code=ddaacf8fb57c1a&amp;region=&amp;mid=7598220421232102166&amp;preview_pb=0&amp;sharer_language=&amp;_d=0&amp;ec_shared_reflux_dynamic_params=%7B%22placeholder_material_id%22%3A%227637554764598758677%22%2C%22placeh"&amp;"older_origin_cover%22%3A%22https%253A%252F%252Fp16-common-sign.tiktokcdn.com%252Ftos-alisg-p-0037%252Fo8fY8FrADCCEZWAB0fD84TQ0fQHtMFjggF4I34~tplv-tiktokx-origin.jpeg%253Fdr%253D14572%2526refresh_token%253D57e340c8%2526x-expires%253D1810116000%2526x-signat"&amp;"ure%253DR3fKFfC2yijT%25252FhOzeyTOho5zDI4%25253D%2526t%253D4d5b0474%2526ps%253D13740610%2526shp%253Dd05b14bd%2526shcp%253D34ff8df6%2526idc%253Dmy2%2526s%253DTIKTOK_AFFILIATE_VIRAL_VIDEO%22%2C%22placeholder_product_id%22%3A%221729427766722726591%22%2C%22pl"&amp;"aceholder_video_id%22%3A%227637554764598758677%22%7D&amp;ec_shared_reflux_scene=shop_tab_feed&amp;share_item_id=7637554764598758677&amp;source=h5_t")</f>
        <v>https://www.tiktok.com/@el_zdh/video/7637554764598758677?_r=1&amp;u_code=ddaacf8fb57c1a&amp;region=&amp;mid=7598220421232102166&amp;preview_pb=0&amp;sharer_language=&amp;_d=0&amp;ec_shared_reflux_dynamic_params=%7B%22placeholder_material_id%22%3A%227637554764598758677%22%2C%22placeholder_origin_cover%22%3A%22https%253A%252F%252Fp16-common-sign.tiktokcdn.com%252Ftos-alisg-p-0037%252Fo8fY8FrADCCEZWAB0fD84TQ0fQHtMFjggF4I34~tplv-tiktokx-origin.jpeg%253Fdr%253D14572%2526refresh_token%253D57e340c8%2526x-expires%253D1810116000%2526x-signature%253DR3fKFfC2yijT%25252FhOzeyTOho5zDI4%25253D%2526t%253D4d5b0474%2526ps%253D13740610%2526shp%253Dd05b14bd%2526shcp%253D34ff8df6%2526idc%253Dmy2%2526s%253DTIKTOK_AFFILIATE_VIRAL_VIDEO%22%2C%22placeholder_product_id%22%3A%221729427766722726591%22%2C%22placeholder_video_id%22%3A%227637554764598758677%22%7D&amp;ec_shared_reflux_scene=shop_tab_feed&amp;share_item_id=7637554764598758677&amp;source=h5_t</v>
      </c>
      <c r="K1680" s="470" t="str">
        <f>IFERROR(__xludf.DUMMYFUNCTION("""COMPUTED_VALUE"""),"KIMME")</f>
        <v>KIMME</v>
      </c>
      <c r="L1680" s="471" t="str">
        <f>IFERROR(__xludf.DUMMYFUNCTION("""COMPUTED_VALUE"""),"https://www.tiktok.com/@el_zdh/video/7638260474638978325?_r=1&amp;u_code=ddaacf8fb57c1a&amp;region=&amp;mid=7566193440287918865&amp;preview_pb=0&amp;sharer_language=&amp;_d=0&amp;ec_shared_reflux_dynamic_params=%7B%22placeholder_material_id%22%3A%227638260474638978325%22%2C%22placeh"&amp;"older_origin_cover%22%3A%22https%253A%252F%252Fp16-common-sign.tiktokcdn.com%252Ftos-alisg-p-0037%252FoswAZXBdiIqlAjADCIsEAA7Cw3RIIuBfw1EL0i~tplv-tiktokx-origin.jpeg%253Fdr%253D14572%2526refresh_token%253D87922046%2526x-expires%253D1810116000%2526x-signat"&amp;"ure%253Dr9Ai1YL4MtfZZieILkyhCRNc6Qw%25253D%2526t%253D4d5b0474%2526ps%253D13740610%2526shp%253Dd05b14bd%2526shcp%253D34ff8df6%2526idc%253Dmy2%2526s%253DTIKTOK_AFFILIATE_VIRAL_VIDEO%22%2C%22placeholder_product_id%22%3A%221729427766722726591%22%2C%22placehol"&amp;"der_video_id%22%3A%227638260474638978325%22%7D&amp;ec_shared_reflux_scene=shop_tab_feed&amp;share_item_id=7638260474638978325&amp;source=h5_t")</f>
        <v>https://www.tiktok.com/@el_zdh/video/7638260474638978325?_r=1&amp;u_code=ddaacf8fb57c1a&amp;region=&amp;mid=7566193440287918865&amp;preview_pb=0&amp;sharer_language=&amp;_d=0&amp;ec_shared_reflux_dynamic_params=%7B%22placeholder_material_id%22%3A%227638260474638978325%22%2C%22placeholder_origin_cover%22%3A%22https%253A%252F%252Fp16-common-sign.tiktokcdn.com%252Ftos-alisg-p-0037%252FoswAZXBdiIqlAjADCIsEAA7Cw3RIIuBfw1EL0i~tplv-tiktokx-origin.jpeg%253Fdr%253D14572%2526refresh_token%253D87922046%2526x-expires%253D1810116000%2526x-signature%253Dr9Ai1YL4MtfZZieILkyhCRNc6Qw%25253D%2526t%253D4d5b0474%2526ps%253D13740610%2526shp%253Dd05b14bd%2526shcp%253D34ff8df6%2526idc%253Dmy2%2526s%253DTIKTOK_AFFILIATE_VIRAL_VIDEO%22%2C%22placeholder_product_id%22%3A%221729427766722726591%22%2C%22placeholder_video_id%22%3A%227638260474638978325%22%7D&amp;ec_shared_reflux_scene=shop_tab_feed&amp;share_item_id=7638260474638978325&amp;source=h5_t</v>
      </c>
      <c r="M1680" s="470"/>
      <c r="N1680" s="471" t="str">
        <f>IFERROR(__xludf.DUMMYFUNCTION("""COMPUTED_VALUE"""),"https://vt.tiktok.com/ZS9Td2xT3/")</f>
        <v>https://vt.tiktok.com/ZS9Td2xT3/</v>
      </c>
      <c r="O1680" s="470"/>
      <c r="P1680" s="471" t="str">
        <f>IFERROR(__xludf.DUMMYFUNCTION("""COMPUTED_VALUE"""),"https://vt.tiktok.com/ZS9TdP25k/")</f>
        <v>https://vt.tiktok.com/ZS9TdP25k/</v>
      </c>
    </row>
    <row r="1681">
      <c r="A1681" s="282" t="str">
        <f>IFERROR(__xludf.DUMMYFUNCTION("""COMPUTED_VALUE"""),"MICRO")</f>
        <v>MICRO</v>
      </c>
      <c r="B1681" s="468" t="str">
        <f>IFERROR(__xludf.DUMMYFUNCTION("""COMPUTED_VALUE"""),"racun_viydwi")</f>
        <v>racun_viydwi</v>
      </c>
      <c r="C1681" s="283" t="str">
        <f>IFERROR(__xludf.DUMMYFUNCTION("""COMPUTED_VALUE"""),"https://www.tiktok.com/@racun_viydwi")</f>
        <v>https://www.tiktok.com/@racun_viydwi</v>
      </c>
      <c r="D1681" s="273">
        <f>IFERROR(__xludf.DUMMYFUNCTION("""COMPUTED_VALUE"""),8.3176490294E10)</f>
        <v>83176490294</v>
      </c>
      <c r="E1681" s="458">
        <f>IFERROR(__xludf.DUMMYFUNCTION("""COMPUTED_VALUE"""),0.0)</f>
        <v>0</v>
      </c>
      <c r="F1681" s="273">
        <f>IFERROR(__xludf.DUMMYFUNCTION("""COMPUTED_VALUE"""),2.0)</f>
        <v>2</v>
      </c>
      <c r="G1681" t="str">
        <f>IFERROR(__xludf.DUMMYFUNCTION("""COMPUTED_VALUE"""),"Sabun batang 1 Box ( 2 PCS )")</f>
        <v>Sabun batang 1 Box ( 2 PCS )</v>
      </c>
      <c r="H1681" s="469" t="str">
        <f>IFERROR(__xludf.DUMMYFUNCTION("""COMPUTED_VALUE"""),"Sampai")</f>
        <v>Sampai</v>
      </c>
      <c r="I1681" s="470" t="str">
        <f>IFERROR(__xludf.DUMMYFUNCTION("""COMPUTED_VALUE"""),"KIMME")</f>
        <v>KIMME</v>
      </c>
      <c r="J1681" s="471" t="str">
        <f>IFERROR(__xludf.DUMMYFUNCTION("""COMPUTED_VALUE"""),"https://vt.tiktok.com/ZSxU6UTBX/")</f>
        <v>https://vt.tiktok.com/ZSxU6UTBX/</v>
      </c>
      <c r="K1681" s="470" t="str">
        <f>IFERROR(__xludf.DUMMYFUNCTION("""COMPUTED_VALUE"""),"KIMME")</f>
        <v>KIMME</v>
      </c>
      <c r="L1681" s="471" t="str">
        <f>IFERROR(__xludf.DUMMYFUNCTION("""COMPUTED_VALUE"""),"https://vt.tiktok.com/ZSxU663LP/")</f>
        <v>https://vt.tiktok.com/ZSxU663LP/</v>
      </c>
      <c r="M1681" s="470"/>
      <c r="N1681" s="471" t="str">
        <f>IFERROR(__xludf.DUMMYFUNCTION("""COMPUTED_VALUE"""),"https://vt.tiktok.com/ZS9TdxXx1/")</f>
        <v>https://vt.tiktok.com/ZS9TdxXx1/</v>
      </c>
      <c r="O1681" s="470"/>
      <c r="P1681" s="471" t="str">
        <f>IFERROR(__xludf.DUMMYFUNCTION("""COMPUTED_VALUE"""),"https://vt.tiktok.com/ZS9o47s6u/")</f>
        <v>https://vt.tiktok.com/ZS9o47s6u/</v>
      </c>
    </row>
    <row r="1682">
      <c r="A1682" s="282" t="str">
        <f>IFERROR(__xludf.DUMMYFUNCTION("""COMPUTED_VALUE"""),"MICRO")</f>
        <v>MICRO</v>
      </c>
      <c r="B1682" s="468" t="str">
        <f>IFERROR(__xludf.DUMMYFUNCTION("""COMPUTED_VALUE"""),"naadeblue ")</f>
        <v>naadeblue </v>
      </c>
      <c r="C1682" s="283" t="str">
        <f>IFERROR(__xludf.DUMMYFUNCTION("""COMPUTED_VALUE"""),"https://www.tiktok.com/@naadeblue ")</f>
        <v>https://www.tiktok.com/@naadeblue </v>
      </c>
      <c r="D1682" s="273">
        <f>IFERROR(__xludf.DUMMYFUNCTION("""COMPUTED_VALUE"""),8.5747947988E10)</f>
        <v>85747947988</v>
      </c>
      <c r="E1682" s="458">
        <f>IFERROR(__xludf.DUMMYFUNCTION("""COMPUTED_VALUE"""),0.0)</f>
        <v>0</v>
      </c>
      <c r="F1682" s="273">
        <f>IFERROR(__xludf.DUMMYFUNCTION("""COMPUTED_VALUE"""),2.0)</f>
        <v>2</v>
      </c>
      <c r="G1682" t="str">
        <f>IFERROR(__xludf.DUMMYFUNCTION("""COMPUTED_VALUE"""),"Sabun batang 1 Box ( 2 PCS )")</f>
        <v>Sabun batang 1 Box ( 2 PCS )</v>
      </c>
      <c r="H1682" s="469" t="str">
        <f>IFERROR(__xludf.DUMMYFUNCTION("""COMPUTED_VALUE"""),"Sampai")</f>
        <v>Sampai</v>
      </c>
      <c r="I1682" s="470" t="str">
        <f>IFERROR(__xludf.DUMMYFUNCTION("""COMPUTED_VALUE"""),"KIMME")</f>
        <v>KIMME</v>
      </c>
      <c r="J1682" s="471" t="str">
        <f>IFERROR(__xludf.DUMMYFUNCTION("""COMPUTED_VALUE"""),"https://vt.tiktok.com/ZSxMrVxtA/")</f>
        <v>https://vt.tiktok.com/ZSxMrVxtA/</v>
      </c>
      <c r="K1682" s="470" t="str">
        <f>IFERROR(__xludf.DUMMYFUNCTION("""COMPUTED_VALUE"""),"KIMME")</f>
        <v>KIMME</v>
      </c>
      <c r="L1682" t="str">
        <f>IFERROR(__xludf.DUMMYFUNCTION("""COMPUTED_VALUE"""),"⁠https://vt.tiktok.com/ZSxAutPa7/")</f>
        <v>⁠https://vt.tiktok.com/ZSxAutPa7/</v>
      </c>
      <c r="M1682" s="470"/>
      <c r="N1682" t="str">
        <f>IFERROR(__xludf.DUMMYFUNCTION("""COMPUTED_VALUE"""),"⁠https://vt.tiktok.com/ZSxAUY4B2/")</f>
        <v>⁠https://vt.tiktok.com/ZSxAUY4B2/</v>
      </c>
      <c r="O1682" s="470"/>
      <c r="P1682" t="str">
        <f>IFERROR(__xludf.DUMMYFUNCTION("""COMPUTED_VALUE"""),"⁠https://vt.tiktok.com/ZSxAU9urt/")</f>
        <v>⁠https://vt.tiktok.com/ZSxAU9urt/</v>
      </c>
    </row>
    <row r="1683">
      <c r="A1683" s="282" t="str">
        <f>IFERROR(__xludf.DUMMYFUNCTION("""COMPUTED_VALUE"""),"MICRO")</f>
        <v>MICRO</v>
      </c>
      <c r="B1683" s="468" t="str">
        <f>IFERROR(__xludf.DUMMYFUNCTION("""COMPUTED_VALUE"""),".halimah_2")</f>
        <v>.halimah_2</v>
      </c>
      <c r="C1683" s="283" t="str">
        <f>IFERROR(__xludf.DUMMYFUNCTION("""COMPUTED_VALUE"""),"https://www.tiktok.com/@.halimah_2")</f>
        <v>https://www.tiktok.com/@.halimah_2</v>
      </c>
      <c r="D1683" s="273">
        <f>IFERROR(__xludf.DUMMYFUNCTION("""COMPUTED_VALUE"""),8.1939349142E10)</f>
        <v>81939349142</v>
      </c>
      <c r="E1683" s="458">
        <f>IFERROR(__xludf.DUMMYFUNCTION("""COMPUTED_VALUE"""),0.0)</f>
        <v>0</v>
      </c>
      <c r="F1683" s="273">
        <f>IFERROR(__xludf.DUMMYFUNCTION("""COMPUTED_VALUE"""),2.0)</f>
        <v>2</v>
      </c>
      <c r="G1683" t="str">
        <f>IFERROR(__xludf.DUMMYFUNCTION("""COMPUTED_VALUE"""),"Sabun batang 1 Box ( 2 PCS )")</f>
        <v>Sabun batang 1 Box ( 2 PCS )</v>
      </c>
      <c r="H1683" s="469" t="str">
        <f>IFERROR(__xludf.DUMMYFUNCTION("""COMPUTED_VALUE"""),"Sampai")</f>
        <v>Sampai</v>
      </c>
      <c r="I1683" s="470" t="str">
        <f>IFERROR(__xludf.DUMMYFUNCTION("""COMPUTED_VALUE"""),"KIMME")</f>
        <v>KIMME</v>
      </c>
      <c r="J1683" s="471" t="str">
        <f>IFERROR(__xludf.DUMMYFUNCTION("""COMPUTED_VALUE"""),"https://www.tiktok.com/@.halimah_2/video/7638531652397927700?_r=1&amp;u_code=ei02eelhh42629&amp;region=&amp;mid=7636983236326804231&amp;preview_pb=0&amp;sharer_language=&amp;_d=0&amp;ec_shared_reflux_dynamic_params=%7B%22placeholder_material_id%22%3A%227638531652397927700%22%2C%22pl"&amp;"aceholder_origin_cover%22%3A%22https%253A%252F%252Fp16-common-sign.tiktokcdn.com%252Ftos-alisg-p-0037%252FoQDDjUYzQBjAyQEtDfRCEbuBeJdqYgcyBoANFq~tplv-tiktokx-origin.jpeg%253Fdr%253D14572%2526refresh_token%253Dc16f31c2%2526x-expires%253D1810116000%2526x-si"&amp;"gnature%253D6r4laLBObFujm6l1kKvmcVbyljg%25253D%2526t%253D4d5b0474%2526ps%253D13740610%2526shp%253Dd05b14bd%2526shcp%253D34ff8df6%2526idc%253Dmy2%2526s%253DTIKTOK_AFFILIATE_VIRAL_VIDEO%22%2C%22placeholder_product_id%22%3A%221729427766722726591%22%2C%22plac"&amp;"eholder_video_id%22%3A%227638531652397927700%22%7D&amp;ec_shared_reflux_scene=shop_tab_feed&amp;share_item_id=7638531652397927700&amp;source=h5_t")</f>
        <v>https://www.tiktok.com/@.halimah_2/video/7638531652397927700?_r=1&amp;u_code=ei02eelhh42629&amp;region=&amp;mid=7636983236326804231&amp;preview_pb=0&amp;sharer_language=&amp;_d=0&amp;ec_shared_reflux_dynamic_params=%7B%22placeholder_material_id%22%3A%227638531652397927700%22%2C%22placeholder_origin_cover%22%3A%22https%253A%252F%252Fp16-common-sign.tiktokcdn.com%252Ftos-alisg-p-0037%252FoQDDjUYzQBjAyQEtDfRCEbuBeJdqYgcyBoANFq~tplv-tiktokx-origin.jpeg%253Fdr%253D14572%2526refresh_token%253Dc16f31c2%2526x-expires%253D1810116000%2526x-signature%253D6r4laLBObFujm6l1kKvmcVbyljg%25253D%2526t%253D4d5b0474%2526ps%253D13740610%2526shp%253Dd05b14bd%2526shcp%253D34ff8df6%2526idc%253Dmy2%2526s%253DTIKTOK_AFFILIATE_VIRAL_VIDEO%22%2C%22placeholder_product_id%22%3A%221729427766722726591%22%2C%22placeholder_video_id%22%3A%227638531652397927700%22%7D&amp;ec_shared_reflux_scene=shop_tab_feed&amp;share_item_id=7638531652397927700&amp;source=h5_t</v>
      </c>
      <c r="K1683" s="470" t="str">
        <f>IFERROR(__xludf.DUMMYFUNCTION("""COMPUTED_VALUE"""),"KIMME")</f>
        <v>KIMME</v>
      </c>
      <c r="L1683" s="471" t="str">
        <f>IFERROR(__xludf.DUMMYFUNCTION("""COMPUTED_VALUE"""),"https://vt.tiktok.com/ZS93nvb2D/")</f>
        <v>https://vt.tiktok.com/ZS93nvb2D/</v>
      </c>
      <c r="M1683" s="470"/>
      <c r="N1683" s="471" t="str">
        <f>IFERROR(__xludf.DUMMYFUNCTION("""COMPUTED_VALUE"""),"https://vt.tiktok.com/ZSxMrVxtA/")</f>
        <v>https://vt.tiktok.com/ZSxMrVxtA/</v>
      </c>
      <c r="O1683" s="470"/>
      <c r="P1683" t="str">
        <f>IFERROR(__xludf.DUMMYFUNCTION("""COMPUTED_VALUE"""),"⁠https://vt.tiktok.com/ZSxAUjKmW/")</f>
        <v>⁠https://vt.tiktok.com/ZSxAUjKmW/</v>
      </c>
    </row>
    <row r="1684">
      <c r="A1684" s="282" t="str">
        <f>IFERROR(__xludf.DUMMYFUNCTION("""COMPUTED_VALUE"""),"MICRO")</f>
        <v>MICRO</v>
      </c>
      <c r="B1684" s="468" t="str">
        <f>IFERROR(__xludf.DUMMYFUNCTION("""COMPUTED_VALUE"""),"cnrdaa_")</f>
        <v>cnrdaa_</v>
      </c>
      <c r="C1684" s="283" t="str">
        <f>IFERROR(__xludf.DUMMYFUNCTION("""COMPUTED_VALUE"""),"https://www.tiktok.com/@cnrdaa_")</f>
        <v>https://www.tiktok.com/@cnrdaa_</v>
      </c>
      <c r="D1684" s="273">
        <f>IFERROR(__xludf.DUMMYFUNCTION("""COMPUTED_VALUE"""),8.5730508959E10)</f>
        <v>85730508959</v>
      </c>
      <c r="E1684" s="458">
        <f>IFERROR(__xludf.DUMMYFUNCTION("""COMPUTED_VALUE"""),0.0)</f>
        <v>0</v>
      </c>
      <c r="F1684" s="273">
        <f>IFERROR(__xludf.DUMMYFUNCTION("""COMPUTED_VALUE"""),2.0)</f>
        <v>2</v>
      </c>
      <c r="G1684" t="str">
        <f>IFERROR(__xludf.DUMMYFUNCTION("""COMPUTED_VALUE"""),"Sabun batang 1 Box ( 2 PCS )")</f>
        <v>Sabun batang 1 Box ( 2 PCS )</v>
      </c>
      <c r="H1684" s="469" t="str">
        <f>IFERROR(__xludf.DUMMYFUNCTION("""COMPUTED_VALUE"""),"Sampai")</f>
        <v>Sampai</v>
      </c>
      <c r="I1684" s="470" t="str">
        <f>IFERROR(__xludf.DUMMYFUNCTION("""COMPUTED_VALUE"""),"KIMME")</f>
        <v>KIMME</v>
      </c>
      <c r="J1684" s="471" t="str">
        <f>IFERROR(__xludf.DUMMYFUNCTION("""COMPUTED_VALUE"""),"https://www.tiktok.com/@robiatul.adawiyah410/video/7637702818954071317?_r=1&amp;u_code=df95mmc52h46ge&amp;region=&amp;mid=7559668009858631696&amp;preview_pb=0&amp;sharer_language=&amp;_d=0&amp;ec_shared_reflux_dynamic_params=%7B%22placeholder_material_id%22%3A%227637702818954071317%"&amp;"22%2C%22placeholder_origin_cover%22%3A%22https%253A%252F%252Fp16-common-sign.tiktokcdn.com%252Ftos-alisg-p-0037%252FoAD4FEmFIQJfpFGIU4ffHiqJcOjoCjA79TQpAD~tplv-tiktokx-origin.jpeg%253Fdr%253D14572%2526refresh_token%253Da6e5e2a7%2526x-expires%253D181011600"&amp;"0%2526x-signature%253D29I6PN7JqXyiU4JBoNzS%25252Fv8%25252BZzM%25253D%2526t%253D4d5b0474%2526ps%253D13740610%2526shp%253Dd05b14bd%2526shcp%253D34ff8df6%2526idc%253Dmy2%2526s%253DTIKTOK_AFFILIATE_VIRAL_VIDEO%22%2C%22placeholder_product_id%22%3A%221729427766"&amp;"722726591%22%2C%22placeholder_video_id%22%3A%227637702818954071317%22%7D&amp;ec_shared_reflux_scene=shop_tab_feed&amp;share_item_id=7637702818954071317&amp;source=h5_t")</f>
        <v>https://www.tiktok.com/@robiatul.adawiyah410/video/7637702818954071317?_r=1&amp;u_code=df95mmc52h46ge&amp;region=&amp;mid=7559668009858631696&amp;preview_pb=0&amp;sharer_language=&amp;_d=0&amp;ec_shared_reflux_dynamic_params=%7B%22placeholder_material_id%22%3A%227637702818954071317%22%2C%22placeholder_origin_cover%22%3A%22https%253A%252F%252Fp16-common-sign.tiktokcdn.com%252Ftos-alisg-p-0037%252FoAD4FEmFIQJfpFGIU4ffHiqJcOjoCjA79TQpAD~tplv-tiktokx-origin.jpeg%253Fdr%253D14572%2526refresh_token%253Da6e5e2a7%2526x-expires%253D1810116000%2526x-signature%253D29I6PN7JqXyiU4JBoNzS%25252Fv8%25252BZzM%25253D%2526t%253D4d5b0474%2526ps%253D13740610%2526shp%253Dd05b14bd%2526shcp%253D34ff8df6%2526idc%253Dmy2%2526s%253DTIKTOK_AFFILIATE_VIRAL_VIDEO%22%2C%22placeholder_product_id%22%3A%221729427766722726591%22%2C%22placeholder_video_id%22%3A%227637702818954071317%22%7D&amp;ec_shared_reflux_scene=shop_tab_feed&amp;share_item_id=7637702818954071317&amp;source=h5_t</v>
      </c>
      <c r="K1684" s="470" t="str">
        <f>IFERROR(__xludf.DUMMYFUNCTION("""COMPUTED_VALUE"""),"KIMME")</f>
        <v>KIMME</v>
      </c>
      <c r="L1684" s="471" t="str">
        <f>IFERROR(__xludf.DUMMYFUNCTION("""COMPUTED_VALUE"""),"https://www.tiktok.com/@robiatul.adawiyah410/video/7638125977171725588?_r=1&amp;u_code=df95mmc52h46ge&amp;region=&amp;mid=7613789554936416273&amp;preview_pb=0&amp;sharer_language=&amp;_d=0&amp;ec_shared_reflux_dynamic_params=%7B%22placeholder_material_id%22%3A%227638125977171725588%"&amp;"22%2C%22placeholder_origin_cover%22%3A%22https%253A%252F%252Fp16-common-sign.tiktokcdn.com%252Ftos-alisg-p-0037%252FocIFAvCEYAdIE0JQXAjiiigybjBaugAZBuR4E~tplv-tiktokx-origin.jpeg%253Fdr%253D14572%2526refresh_token%253D58742b2c%2526x-expires%253D1810116000"&amp;"%2526x-signature%253Dn0vQxH6vriTfCwN2xluDY4gHn%25252Fw%25253D%2526t%253D4d5b0474%2526ps%253D13740610%2526shp%253Dd05b14bd%2526shcp%253D34ff8df6%2526idc%253Dmy2%2526s%253DTIKTOK_AFFILIATE_VIRAL_VIDEO%22%2C%22placeholder_product_id%22%3A%2217294277667227265"&amp;"91%22%2C%22placeholder_video_id%22%3A%227638125977171725588%22%7D&amp;ec_shared_reflux_scene=shop_tab_feed&amp;share_item_id=7638125977171725588&amp;source=h5_t")</f>
        <v>https://www.tiktok.com/@robiatul.adawiyah410/video/7638125977171725588?_r=1&amp;u_code=df95mmc52h46ge&amp;region=&amp;mid=7613789554936416273&amp;preview_pb=0&amp;sharer_language=&amp;_d=0&amp;ec_shared_reflux_dynamic_params=%7B%22placeholder_material_id%22%3A%227638125977171725588%22%2C%22placeholder_origin_cover%22%3A%22https%253A%252F%252Fp16-common-sign.tiktokcdn.com%252Ftos-alisg-p-0037%252FocIFAvCEYAdIE0JQXAjiiigybjBaugAZBuR4E~tplv-tiktokx-origin.jpeg%253Fdr%253D14572%2526refresh_token%253D58742b2c%2526x-expires%253D1810116000%2526x-signature%253Dn0vQxH6vriTfCwN2xluDY4gHn%25252Fw%25253D%2526t%253D4d5b0474%2526ps%253D13740610%2526shp%253Dd05b14bd%2526shcp%253D34ff8df6%2526idc%253Dmy2%2526s%253DTIKTOK_AFFILIATE_VIRAL_VIDEO%22%2C%22placeholder_product_id%22%3A%221729427766722726591%22%2C%22placeholder_video_id%22%3A%227638125977171725588%22%7D&amp;ec_shared_reflux_scene=shop_tab_feed&amp;share_item_id=7638125977171725588&amp;source=h5_t</v>
      </c>
      <c r="M1684" s="470"/>
      <c r="N1684" s="471" t="str">
        <f>IFERROR(__xludf.DUMMYFUNCTION("""COMPUTED_VALUE"""),"https://vt.tiktok.com/ZS9n9YLfk/")</f>
        <v>https://vt.tiktok.com/ZS9n9YLfk/</v>
      </c>
      <c r="O1684" s="470"/>
      <c r="P1684" s="471" t="str">
        <f>IFERROR(__xludf.DUMMYFUNCTION("""COMPUTED_VALUE"""),"https://vt.tiktok.com/ZS9c6Hkag/")</f>
        <v>https://vt.tiktok.com/ZS9c6Hkag/</v>
      </c>
    </row>
    <row r="1685">
      <c r="A1685" s="282" t="str">
        <f>IFERROR(__xludf.DUMMYFUNCTION("""COMPUTED_VALUE"""),"MICRO")</f>
        <v>MICRO</v>
      </c>
      <c r="B1685" s="468" t="str">
        <f>IFERROR(__xludf.DUMMYFUNCTION("""COMPUTED_VALUE"""),"robiatul.adawiyah410")</f>
        <v>robiatul.adawiyah410</v>
      </c>
      <c r="C1685" s="283" t="str">
        <f>IFERROR(__xludf.DUMMYFUNCTION("""COMPUTED_VALUE"""),"https://www.tiktok.com/@robiatul.adawiyah410")</f>
        <v>https://www.tiktok.com/@robiatul.adawiyah410</v>
      </c>
      <c r="D1685" s="273">
        <f>IFERROR(__xludf.DUMMYFUNCTION("""COMPUTED_VALUE"""),8.571690604E10)</f>
        <v>85716906040</v>
      </c>
      <c r="E1685" s="458">
        <f>IFERROR(__xludf.DUMMYFUNCTION("""COMPUTED_VALUE"""),0.0)</f>
        <v>0</v>
      </c>
      <c r="F1685" s="273">
        <f>IFERROR(__xludf.DUMMYFUNCTION("""COMPUTED_VALUE"""),2.0)</f>
        <v>2</v>
      </c>
      <c r="G1685" t="str">
        <f>IFERROR(__xludf.DUMMYFUNCTION("""COMPUTED_VALUE"""),"Sabun batang 1 Box ( 2 PCS )")</f>
        <v>Sabun batang 1 Box ( 2 PCS )</v>
      </c>
      <c r="H1685" s="469" t="str">
        <f>IFERROR(__xludf.DUMMYFUNCTION("""COMPUTED_VALUE"""),"Sampai")</f>
        <v>Sampai</v>
      </c>
      <c r="I1685" s="470" t="str">
        <f>IFERROR(__xludf.DUMMYFUNCTION("""COMPUTED_VALUE"""),"KIMME")</f>
        <v>KIMME</v>
      </c>
      <c r="J1685" s="471" t="str">
        <f>IFERROR(__xludf.DUMMYFUNCTION("""COMPUTED_VALUE"""),"https://vt.tiktok.com/ZS9n9YLfk/")</f>
        <v>https://vt.tiktok.com/ZS9n9YLfk/</v>
      </c>
      <c r="K1685" s="470" t="str">
        <f>IFERROR(__xludf.DUMMYFUNCTION("""COMPUTED_VALUE"""),"KIMME")</f>
        <v>KIMME</v>
      </c>
      <c r="L1685" s="471" t="str">
        <f>IFERROR(__xludf.DUMMYFUNCTION("""COMPUTED_VALUE"""),"https://vt.tiktok.com/ZS9c6Hkag/")</f>
        <v>https://vt.tiktok.com/ZS9c6Hkag/</v>
      </c>
      <c r="M1685" s="470"/>
      <c r="N1685" s="471" t="str">
        <f>IFERROR(__xludf.DUMMYFUNCTION("""COMPUTED_VALUE"""),"https://vt.tiktok.com/ZS9n9YLfk/")</f>
        <v>https://vt.tiktok.com/ZS9n9YLfk/</v>
      </c>
      <c r="O1685" s="470"/>
      <c r="P1685" s="471" t="str">
        <f>IFERROR(__xludf.DUMMYFUNCTION("""COMPUTED_VALUE"""),"https://vt.tiktok.com/ZS9c6Hkag/")</f>
        <v>https://vt.tiktok.com/ZS9c6Hkag/</v>
      </c>
    </row>
    <row r="1686">
      <c r="A1686" s="282" t="str">
        <f>IFERROR(__xludf.DUMMYFUNCTION("""COMPUTED_VALUE"""),"MICRO")</f>
        <v>MICRO</v>
      </c>
      <c r="B1686" s="468" t="str">
        <f>IFERROR(__xludf.DUMMYFUNCTION("""COMPUTED_VALUE"""),"rayadanzoya")</f>
        <v>rayadanzoya</v>
      </c>
      <c r="C1686" s="283" t="str">
        <f>IFERROR(__xludf.DUMMYFUNCTION("""COMPUTED_VALUE"""),"https://www.tiktok.com/@rayadanzoya")</f>
        <v>https://www.tiktok.com/@rayadanzoya</v>
      </c>
      <c r="D1686" s="273">
        <f>IFERROR(__xludf.DUMMYFUNCTION("""COMPUTED_VALUE"""),8.5755322448E10)</f>
        <v>85755322448</v>
      </c>
      <c r="E1686" s="458">
        <f>IFERROR(__xludf.DUMMYFUNCTION("""COMPUTED_VALUE"""),0.0)</f>
        <v>0</v>
      </c>
      <c r="F1686" s="273">
        <f>IFERROR(__xludf.DUMMYFUNCTION("""COMPUTED_VALUE"""),2.0)</f>
        <v>2</v>
      </c>
      <c r="G1686" t="str">
        <f>IFERROR(__xludf.DUMMYFUNCTION("""COMPUTED_VALUE"""),"Sabun batang 1 Box ( 2 PCS )")</f>
        <v>Sabun batang 1 Box ( 2 PCS )</v>
      </c>
      <c r="H1686" s="469" t="str">
        <f>IFERROR(__xludf.DUMMYFUNCTION("""COMPUTED_VALUE"""),"Sampai")</f>
        <v>Sampai</v>
      </c>
      <c r="I1686" s="470" t="str">
        <f>IFERROR(__xludf.DUMMYFUNCTION("""COMPUTED_VALUE"""),"KIMME")</f>
        <v>KIMME</v>
      </c>
      <c r="J1686" s="471" t="str">
        <f>IFERROR(__xludf.DUMMYFUNCTION("""COMPUTED_VALUE"""),"https://vt.tiktok.com/ZSxM7NQLW/")</f>
        <v>https://vt.tiktok.com/ZSxM7NQLW/</v>
      </c>
      <c r="K1686" s="470" t="str">
        <f>IFERROR(__xludf.DUMMYFUNCTION("""COMPUTED_VALUE"""),"KIMME")</f>
        <v>KIMME</v>
      </c>
      <c r="L1686" s="471" t="str">
        <f>IFERROR(__xludf.DUMMYFUNCTION("""COMPUTED_VALUE"""),"https://vt.tiktok.com/ZSx5S1t2H/")</f>
        <v>https://vt.tiktok.com/ZSx5S1t2H/</v>
      </c>
      <c r="M1686" s="470"/>
      <c r="N1686" t="str">
        <f>IFERROR(__xludf.DUMMYFUNCTION("""COMPUTED_VALUE"""),"⁠https://vt.tiktok.com/ZSxAUBrSp/")</f>
        <v>⁠https://vt.tiktok.com/ZSxAUBrSp/</v>
      </c>
      <c r="O1686" s="470"/>
      <c r="P1686" t="str">
        <f>IFERROR(__xludf.DUMMYFUNCTION("""COMPUTED_VALUE"""),"⁠https://vt.tiktok.com/ZSxAUrURu/")</f>
        <v>⁠https://vt.tiktok.com/ZSxAUrURu/</v>
      </c>
    </row>
    <row r="1687">
      <c r="A1687" s="282" t="str">
        <f>IFERROR(__xludf.DUMMYFUNCTION("""COMPUTED_VALUE"""),"MICRO")</f>
        <v>MICRO</v>
      </c>
      <c r="B1687" s="468" t="str">
        <f>IFERROR(__xludf.DUMMYFUNCTION("""COMPUTED_VALUE"""),"Fitriahmad.888")</f>
        <v>Fitriahmad.888</v>
      </c>
      <c r="C1687" s="283" t="str">
        <f>IFERROR(__xludf.DUMMYFUNCTION("""COMPUTED_VALUE"""),"https://www.tiktok.com/@Fitriahmad.888")</f>
        <v>https://www.tiktok.com/@Fitriahmad.888</v>
      </c>
      <c r="D1687" s="273">
        <f>IFERROR(__xludf.DUMMYFUNCTION("""COMPUTED_VALUE"""),8.5710130406E10)</f>
        <v>85710130406</v>
      </c>
      <c r="E1687" s="458">
        <f>IFERROR(__xludf.DUMMYFUNCTION("""COMPUTED_VALUE"""),0.0)</f>
        <v>0</v>
      </c>
      <c r="F1687" s="273">
        <f>IFERROR(__xludf.DUMMYFUNCTION("""COMPUTED_VALUE"""),2.0)</f>
        <v>2</v>
      </c>
      <c r="G1687" t="str">
        <f>IFERROR(__xludf.DUMMYFUNCTION("""COMPUTED_VALUE"""),"Sabun batang 1 Box ( 2 PCS )")</f>
        <v>Sabun batang 1 Box ( 2 PCS )</v>
      </c>
      <c r="H1687" s="469" t="str">
        <f>IFERROR(__xludf.DUMMYFUNCTION("""COMPUTED_VALUE"""),"Sampai")</f>
        <v>Sampai</v>
      </c>
      <c r="I1687" s="470" t="str">
        <f>IFERROR(__xludf.DUMMYFUNCTION("""COMPUTED_VALUE"""),"KIMME")</f>
        <v>KIMME</v>
      </c>
      <c r="J1687" s="471" t="str">
        <f>IFERROR(__xludf.DUMMYFUNCTION("""COMPUTED_VALUE"""),"https://www.tiktok.com/@fitriahmad.888/video/7637530494795582728?_r=1&amp;u_code=ec5368bfg8m7df&amp;region=&amp;mid=7632536758063909648&amp;preview_pb=0&amp;sharer_language=&amp;_d=0&amp;ec_shared_reflux_dynamic_params=%7B%22placeholder_material_id%22%3A%227637530494795582728%22%2C%"&amp;"22placeholder_origin_cover%22%3A%22https%253A%252F%252Fp16-common-sign.tiktokcdn.com%252Ftos-alisg-p-0037%252FokQDDqQQEvtBIYFAntuAU9ffsVuGFuRe9IG2eX~tplv-tiktokx-origin.jpeg%253Fdr%253D14572%2526refresh_token%253D43f0e983%2526x-expires%253D1810116000%2526"&amp;"x-signature%253DJZgqth%25252BFWnV3ARTduyrNER6jsn8%25253D%2526t%253D4d5b0474%2526ps%253D13740610%2526shp%253Dd05b14bd%2526shcp%253D34ff8df6%2526idc%253Dmy2%2526s%253DTIKTOK_AFFILIATE_VIRAL_VIDEO%22%2C%22placeholder_product_id%22%3A%221729427766722726591%22"&amp;"%2C%22placeholder_video_id%22%3A%227637530494795582728%22%7D&amp;ec_shared_reflux_scene=shop_tab_feed&amp;share_item_id=7637530494795582728&amp;source=h5_t")</f>
        <v>https://www.tiktok.com/@fitriahmad.888/video/7637530494795582728?_r=1&amp;u_code=ec5368bfg8m7df&amp;region=&amp;mid=7632536758063909648&amp;preview_pb=0&amp;sharer_language=&amp;_d=0&amp;ec_shared_reflux_dynamic_params=%7B%22placeholder_material_id%22%3A%227637530494795582728%22%2C%22placeholder_origin_cover%22%3A%22https%253A%252F%252Fp16-common-sign.tiktokcdn.com%252Ftos-alisg-p-0037%252FokQDDqQQEvtBIYFAntuAU9ffsVuGFuRe9IG2eX~tplv-tiktokx-origin.jpeg%253Fdr%253D14572%2526refresh_token%253D43f0e983%2526x-expires%253D1810116000%2526x-signature%253DJZgqth%25252BFWnV3ARTduyrNER6jsn8%25253D%2526t%253D4d5b0474%2526ps%253D13740610%2526shp%253Dd05b14bd%2526shcp%253D34ff8df6%2526idc%253Dmy2%2526s%253DTIKTOK_AFFILIATE_VIRAL_VIDEO%22%2C%22placeholder_product_id%22%3A%221729427766722726591%22%2C%22placeholder_video_id%22%3A%227637530494795582728%22%7D&amp;ec_shared_reflux_scene=shop_tab_feed&amp;share_item_id=7637530494795582728&amp;source=h5_t</v>
      </c>
      <c r="K1687" s="470" t="str">
        <f>IFERROR(__xludf.DUMMYFUNCTION("""COMPUTED_VALUE"""),"KIMME")</f>
        <v>KIMME</v>
      </c>
      <c r="L1687" s="471" t="str">
        <f>IFERROR(__xludf.DUMMYFUNCTION("""COMPUTED_VALUE"""),"https://www.tiktok.com/@fitriahmad.888/video/7638273533956672776?_r=1&amp;u_code=ec5368bfg8m7df&amp;region=&amp;mid=7634107877507140372&amp;preview_pb=0&amp;sharer_language=&amp;_d=0&amp;ec_shared_reflux_dynamic_params=%7B%22placeholder_material_id%22%3A%227638273533956672776%22%2C%"&amp;"22placeholder_origin_cover%22%3A%22https%253A%252F%252Fp16-common-sign.tiktokcdn.com%252Ftos-alisg-p-0037%252FocgJcEJMqBpdmGR7ADB6Q12AFBkIUIfRVEsvAf~tplv-tiktokx-origin.jpeg%253Fdr%253D14572%2526refresh_token%253Dc5a5dda4%2526x-expires%253D1810116000%2526"&amp;"x-signature%253Dc43aXkpATHgL6OlFcRAV%25252Bv%25252FbmxE%25253D%2526t%253D4d5b0474%2526ps%253D13740610%2526shp%253Dd05b14bd%2526shcp%253D34ff8df6%2526idc%253Dmy2%2526s%253DTIKTOK_AFFILIATE_VIRAL_VIDEO%22%2C%22placeholder_product_id%22%3A%221729427766722726"&amp;"591%22%2C%22placeholder_video_id%22%3A%227638273533956672776%22%7D&amp;ec_shared_reflux_scene=shop_tab_feed&amp;share_item_id=7638273533956672776&amp;source=h5_t")</f>
        <v>https://www.tiktok.com/@fitriahmad.888/video/7638273533956672776?_r=1&amp;u_code=ec5368bfg8m7df&amp;region=&amp;mid=7634107877507140372&amp;preview_pb=0&amp;sharer_language=&amp;_d=0&amp;ec_shared_reflux_dynamic_params=%7B%22placeholder_material_id%22%3A%227638273533956672776%22%2C%22placeholder_origin_cover%22%3A%22https%253A%252F%252Fp16-common-sign.tiktokcdn.com%252Ftos-alisg-p-0037%252FocgJcEJMqBpdmGR7ADB6Q12AFBkIUIfRVEsvAf~tplv-tiktokx-origin.jpeg%253Fdr%253D14572%2526refresh_token%253Dc5a5dda4%2526x-expires%253D1810116000%2526x-signature%253Dc43aXkpATHgL6OlFcRAV%25252Bv%25252FbmxE%25253D%2526t%253D4d5b0474%2526ps%253D13740610%2526shp%253Dd05b14bd%2526shcp%253D34ff8df6%2526idc%253Dmy2%2526s%253DTIKTOK_AFFILIATE_VIRAL_VIDEO%22%2C%22placeholder_product_id%22%3A%221729427766722726591%22%2C%22placeholder_video_id%22%3A%227638273533956672776%22%7D&amp;ec_shared_reflux_scene=shop_tab_feed&amp;share_item_id=7638273533956672776&amp;source=h5_t</v>
      </c>
      <c r="M1687" s="470"/>
      <c r="N1687" s="471" t="str">
        <f>IFERROR(__xludf.DUMMYFUNCTION("""COMPUTED_VALUE"""),"https://www.tiktok.com/@fitriahmad.888/video/7638655698372414727?_r=1&amp;u_code=ec5368bfg8m7df&amp;region=&amp;mid=7315537737233942529&amp;preview_pb=0&amp;sharer_language=&amp;_d=0&amp;ec_shared_reflux_dynamic_params=%7B%22placeholder_material_id%22%3A%227638655698372414727%22%2C%"&amp;"22placeholder_origin_cover%22%3A%22https%253A%252F%252Fp16-common-sign.tiktokcdn.com%252Ftos-alisg-p-0037%252FoYOCAAbq7IAP7Wm2hu9pBfBj8wix6AB41IEIIi~tplv-tiktokx-origin.jpeg%253Fdr%253D14572%2526refresh_token%253Da5d24f21%2526x-expires%253D1810116000%2526"&amp;"x-signature%253DUFfQQdoPZr6MBvIkMNtfBxPVTuU%25253D%2526t%253D4d5b0474%2526ps%253D13740610%2526shp%253Dd05b14bd%2526shcp%253D34ff8df6%2526idc%253Dmy2%2526s%253DTIKTOK_AFFILIATE_VIRAL_VIDEO%22%2C%22placeholder_product_id%22%3A%221729427766722726591%22%2C%22"&amp;"placeholder_video_id%22%3A%227638655698372414727%22%7D&amp;ec_shared_reflux_scene=shop_tab_feed&amp;share_item_id=7638655698372414727&amp;source=h5_t")</f>
        <v>https://www.tiktok.com/@fitriahmad.888/video/7638655698372414727?_r=1&amp;u_code=ec5368bfg8m7df&amp;region=&amp;mid=7315537737233942529&amp;preview_pb=0&amp;sharer_language=&amp;_d=0&amp;ec_shared_reflux_dynamic_params=%7B%22placeholder_material_id%22%3A%227638655698372414727%22%2C%22placeholder_origin_cover%22%3A%22https%253A%252F%252Fp16-common-sign.tiktokcdn.com%252Ftos-alisg-p-0037%252FoYOCAAbq7IAP7Wm2hu9pBfBj8wix6AB41IEIIi~tplv-tiktokx-origin.jpeg%253Fdr%253D14572%2526refresh_token%253Da5d24f21%2526x-expires%253D1810116000%2526x-signature%253DUFfQQdoPZr6MBvIkMNtfBxPVTuU%25253D%2526t%253D4d5b0474%2526ps%253D13740610%2526shp%253Dd05b14bd%2526shcp%253D34ff8df6%2526idc%253Dmy2%2526s%253DTIKTOK_AFFILIATE_VIRAL_VIDEO%22%2C%22placeholder_product_id%22%3A%221729427766722726591%22%2C%22placeholder_video_id%22%3A%227638655698372414727%22%7D&amp;ec_shared_reflux_scene=shop_tab_feed&amp;share_item_id=7638655698372414727&amp;source=h5_t</v>
      </c>
      <c r="O1687" s="470"/>
      <c r="P1687" s="471" t="str">
        <f>IFERROR(__xludf.DUMMYFUNCTION("""COMPUTED_VALUE"""),"https://vt.tiktok.com/ZS931qXPu/")</f>
        <v>https://vt.tiktok.com/ZS931qXPu/</v>
      </c>
    </row>
    <row r="1688">
      <c r="A1688" s="282" t="str">
        <f>IFERROR(__xludf.DUMMYFUNCTION("""COMPUTED_VALUE"""),"MICRO")</f>
        <v>MICRO</v>
      </c>
      <c r="B1688" s="468" t="str">
        <f>IFERROR(__xludf.DUMMYFUNCTION("""COMPUTED_VALUE"""),"Nuyuydyn")</f>
        <v>Nuyuydyn</v>
      </c>
      <c r="C1688" s="283" t="str">
        <f>IFERROR(__xludf.DUMMYFUNCTION("""COMPUTED_VALUE"""),"https://www.tiktok.com/@Nuyuydyn")</f>
        <v>https://www.tiktok.com/@Nuyuydyn</v>
      </c>
      <c r="D1688" s="273">
        <f>IFERROR(__xludf.DUMMYFUNCTION("""COMPUTED_VALUE"""),8.95414377061E11)</f>
        <v>895414377061</v>
      </c>
      <c r="E1688" s="458">
        <f>IFERROR(__xludf.DUMMYFUNCTION("""COMPUTED_VALUE"""),0.0)</f>
        <v>0</v>
      </c>
      <c r="F1688" s="273">
        <f>IFERROR(__xludf.DUMMYFUNCTION("""COMPUTED_VALUE"""),2.0)</f>
        <v>2</v>
      </c>
      <c r="G1688" t="str">
        <f>IFERROR(__xludf.DUMMYFUNCTION("""COMPUTED_VALUE"""),"Sabun batang 1 Box ( 2 PCS )")</f>
        <v>Sabun batang 1 Box ( 2 PCS )</v>
      </c>
      <c r="H1688" s="469" t="str">
        <f>IFERROR(__xludf.DUMMYFUNCTION("""COMPUTED_VALUE"""),"Sampai")</f>
        <v>Sampai</v>
      </c>
      <c r="I1688" s="470" t="str">
        <f>IFERROR(__xludf.DUMMYFUNCTION("""COMPUTED_VALUE"""),"KIMME")</f>
        <v>KIMME</v>
      </c>
      <c r="J1688" s="471" t="str">
        <f>IFERROR(__xludf.DUMMYFUNCTION("""COMPUTED_VALUE"""),"https://www.tiktok.com/@robiatul.adawiyah410/video/7637702818954071317?_r=1&amp;u_code=df95mmc52h46ge&amp;region=&amp;mid=7559668009858631696&amp;preview_pb=0&amp;sharer_language=&amp;_d=0&amp;ec_shared_reflux_dynamic_params=%7B%22placeholder_material_id%22%3A%227637702818954071317%"&amp;"22%2C%22placeholder_origin_cover%22%3A%22https%253A%252F%252Fp16-common-sign.tiktokcdn.com%252Ftos-alisg-p-0037%252FoAD4FEmFIQJfpFGIU4ffHiqJcOjoCjA79TQpAD~tplv-tiktokx-origin.jpeg%253Fdr%253D14572%2526refresh_token%253Da6e5e2a7%2526x-expires%253D181011600"&amp;"0%2526x-signature%253D29I6PN7JqXyiU4JBoNzS%25252Fv8%25252BZzM%25253D%2526t%253D4d5b0474%2526ps%253D13740610%2526shp%253Dd05b14bd%2526shcp%253D34ff8df6%2526idc%253Dmy2%2526s%253DTIKTOK_AFFILIATE_VIRAL_VIDEO%22%2C%22placeholder_product_id%22%3A%221729427766"&amp;"722726591%22%2C%22placeholder_video_id%22%3A%227637702818954071317%22%7D&amp;ec_shared_reflux_scene=shop_tab_feed&amp;share_item_id=7637702818954071317&amp;source=h5_t")</f>
        <v>https://www.tiktok.com/@robiatul.adawiyah410/video/7637702818954071317?_r=1&amp;u_code=df95mmc52h46ge&amp;region=&amp;mid=7559668009858631696&amp;preview_pb=0&amp;sharer_language=&amp;_d=0&amp;ec_shared_reflux_dynamic_params=%7B%22placeholder_material_id%22%3A%227637702818954071317%22%2C%22placeholder_origin_cover%22%3A%22https%253A%252F%252Fp16-common-sign.tiktokcdn.com%252Ftos-alisg-p-0037%252FoAD4FEmFIQJfpFGIU4ffHiqJcOjoCjA79TQpAD~tplv-tiktokx-origin.jpeg%253Fdr%253D14572%2526refresh_token%253Da6e5e2a7%2526x-expires%253D1810116000%2526x-signature%253D29I6PN7JqXyiU4JBoNzS%25252Fv8%25252BZzM%25253D%2526t%253D4d5b0474%2526ps%253D13740610%2526shp%253Dd05b14bd%2526shcp%253D34ff8df6%2526idc%253Dmy2%2526s%253DTIKTOK_AFFILIATE_VIRAL_VIDEO%22%2C%22placeholder_product_id%22%3A%221729427766722726591%22%2C%22placeholder_video_id%22%3A%227637702818954071317%22%7D&amp;ec_shared_reflux_scene=shop_tab_feed&amp;share_item_id=7637702818954071317&amp;source=h5_t</v>
      </c>
      <c r="K1688" s="470" t="str">
        <f>IFERROR(__xludf.DUMMYFUNCTION("""COMPUTED_VALUE"""),"KIMME")</f>
        <v>KIMME</v>
      </c>
      <c r="L1688" s="471" t="str">
        <f>IFERROR(__xludf.DUMMYFUNCTION("""COMPUTED_VALUE"""),"https://www.tiktok.com/@robiatul.adawiyah410/video/7638125977171725588?_r=1&amp;u_code=df95mmc52h46ge&amp;region=&amp;mid=7613789554936416273&amp;preview_pb=0&amp;sharer_language=&amp;_d=0&amp;ec_shared_reflux_dynamic_params=%7B%22placeholder_material_id%22%3A%227638125977171725588%"&amp;"22%2C%22placeholder_origin_cover%22%3A%22https%253A%252F%252Fp16-common-sign.tiktokcdn.com%252Ftos-alisg-p-0037%252FocIFAvCEYAdIE0JQXAjiiigybjBaugAZBuR4E~tplv-tiktokx-origin.jpeg%253Fdr%253D14572%2526refresh_token%253D58742b2c%2526x-expires%253D1810116000"&amp;"%2526x-signature%253Dn0vQxH6vriTfCwN2xluDY4gHn%25252Fw%25253D%2526t%253D4d5b0474%2526ps%253D13740610%2526shp%253Dd05b14bd%2526shcp%253D34ff8df6%2526idc%253Dmy2%2526s%253DTIKTOK_AFFILIATE_VIRAL_VIDEO%22%2C%22placeholder_product_id%22%3A%2217294277667227265"&amp;"91%22%2C%22placeholder_video_id%22%3A%227638125977171725588%22%7D&amp;ec_shared_reflux_scene=shop_tab_feed&amp;share_item_id=7638125977171725588&amp;source=h5_t")</f>
        <v>https://www.tiktok.com/@robiatul.adawiyah410/video/7638125977171725588?_r=1&amp;u_code=df95mmc52h46ge&amp;region=&amp;mid=7613789554936416273&amp;preview_pb=0&amp;sharer_language=&amp;_d=0&amp;ec_shared_reflux_dynamic_params=%7B%22placeholder_material_id%22%3A%227638125977171725588%22%2C%22placeholder_origin_cover%22%3A%22https%253A%252F%252Fp16-common-sign.tiktokcdn.com%252Ftos-alisg-p-0037%252FocIFAvCEYAdIE0JQXAjiiigybjBaugAZBuR4E~tplv-tiktokx-origin.jpeg%253Fdr%253D14572%2526refresh_token%253D58742b2c%2526x-expires%253D1810116000%2526x-signature%253Dn0vQxH6vriTfCwN2xluDY4gHn%25252Fw%25253D%2526t%253D4d5b0474%2526ps%253D13740610%2526shp%253Dd05b14bd%2526shcp%253D34ff8df6%2526idc%253Dmy2%2526s%253DTIKTOK_AFFILIATE_VIRAL_VIDEO%22%2C%22placeholder_product_id%22%3A%221729427766722726591%22%2C%22placeholder_video_id%22%3A%227638125977171725588%22%7D&amp;ec_shared_reflux_scene=shop_tab_feed&amp;share_item_id=7638125977171725588&amp;source=h5_t</v>
      </c>
      <c r="M1688" s="470"/>
      <c r="N1688" s="471" t="str">
        <f>IFERROR(__xludf.DUMMYFUNCTION("""COMPUTED_VALUE"""),"https://vt.tiktok.com/ZS9n9YLfk/")</f>
        <v>https://vt.tiktok.com/ZS9n9YLfk/</v>
      </c>
      <c r="O1688" s="470"/>
      <c r="P1688" s="471" t="str">
        <f>IFERROR(__xludf.DUMMYFUNCTION("""COMPUTED_VALUE"""),"https://vt.tiktok.com/ZS9c6Hkag/")</f>
        <v>https://vt.tiktok.com/ZS9c6Hkag/</v>
      </c>
    </row>
    <row r="1689">
      <c r="A1689" s="282" t="str">
        <f>IFERROR(__xludf.DUMMYFUNCTION("""COMPUTED_VALUE"""),"MICRO")</f>
        <v>MICRO</v>
      </c>
      <c r="B1689" s="468" t="str">
        <f>IFERROR(__xludf.DUMMYFUNCTION("""COMPUTED_VALUE"""),"rf.1924")</f>
        <v>rf.1924</v>
      </c>
      <c r="C1689" s="283" t="str">
        <f>IFERROR(__xludf.DUMMYFUNCTION("""COMPUTED_VALUE"""),"https://www.tiktok.com/@rf.1924")</f>
        <v>https://www.tiktok.com/@rf.1924</v>
      </c>
      <c r="D1689" s="273">
        <f>IFERROR(__xludf.DUMMYFUNCTION("""COMPUTED_VALUE"""),8.2322346779E10)</f>
        <v>82322346779</v>
      </c>
      <c r="E1689" s="458">
        <f>IFERROR(__xludf.DUMMYFUNCTION("""COMPUTED_VALUE"""),0.0)</f>
        <v>0</v>
      </c>
      <c r="F1689" s="273">
        <f>IFERROR(__xludf.DUMMYFUNCTION("""COMPUTED_VALUE"""),2.0)</f>
        <v>2</v>
      </c>
      <c r="G1689" t="str">
        <f>IFERROR(__xludf.DUMMYFUNCTION("""COMPUTED_VALUE"""),"Sabun batang 1 Box ( 2 PCS )")</f>
        <v>Sabun batang 1 Box ( 2 PCS )</v>
      </c>
      <c r="H1689" s="469" t="str">
        <f>IFERROR(__xludf.DUMMYFUNCTION("""COMPUTED_VALUE"""),"Sampai")</f>
        <v>Sampai</v>
      </c>
      <c r="I1689" s="470" t="str">
        <f>IFERROR(__xludf.DUMMYFUNCTION("""COMPUTED_VALUE"""),"KIMME")</f>
        <v>KIMME</v>
      </c>
      <c r="J1689" s="471" t="str">
        <f>IFERROR(__xludf.DUMMYFUNCTION("""COMPUTED_VALUE"""),"https://www.tiktok.com/@rf.1924/video/7639590144869289236?_r=1&amp;u_code=dk2km1e81fh51j&amp;region=ID&amp;mid=7633025529696897041&amp;preview_pb=0&amp;sharer_language=id&amp;_d=f036h3hd30d7ba&amp;share_item_id=7639590144869289236&amp;source=h5_t&amp;timestamp=1778730741&amp;user_id=69935390960"&amp;"86807554&amp;sec_user_id=MS4wLjABAAAA_btqfHxVXjYeUYzFQaHktUtoG-ByGBb4p93KngVyxkyKfXpN0eZ5Hu_1ndqaxSWK&amp;item_author_type=1&amp;social_share_type=0&amp;utm_source=copy&amp;utm_campaign=client_share&amp;utm_medium=android&amp;share_iid=7636960786519721744&amp;share_link_id=4c606305-655e"&amp;"-4e54-9fa9-c58382425477&amp;share_app_id=1180&amp;ugbiz_name=MAIN&amp;ug_btm=b2001&amp;sp_root_share_link_id=4c606305-655e-4e54-9fa9-c58382425477&amp;link_reflow_popup_iteration_sharer=%7B%22click_empty_to_play%22%3A1%2C%22dynamic_cover%22%3A1%2C%22follow_to_play_duration%22"&amp;"%3A-1.0%2C%22profile_clickable%22%3A1%7D&amp;enable_checksum=1&amp;sp_level=1&amp;sp_root_u=dk2km1e81fh51j&amp;sp_root_d=f036h3hd30d7ba")</f>
        <v>https://www.tiktok.com/@rf.1924/video/7639590144869289236?_r=1&amp;u_code=dk2km1e81fh51j&amp;region=ID&amp;mid=7633025529696897041&amp;preview_pb=0&amp;sharer_language=id&amp;_d=f036h3hd30d7ba&amp;share_item_id=7639590144869289236&amp;source=h5_t&amp;timestamp=1778730741&amp;user_id=6993539096086807554&amp;sec_user_id=MS4wLjABAAAA_btqfHxVXjYeUYzFQaHktUtoG-ByGBb4p93KngVyxkyKfXpN0eZ5Hu_1ndqaxSWK&amp;item_author_type=1&amp;social_share_type=0&amp;utm_source=copy&amp;utm_campaign=client_share&amp;utm_medium=android&amp;share_iid=7636960786519721744&amp;share_link_id=4c606305-655e-4e54-9fa9-c58382425477&amp;share_app_id=1180&amp;ugbiz_name=MAIN&amp;ug_btm=b2001&amp;sp_root_share_link_id=4c606305-655e-4e54-9fa9-c58382425477&amp;link_reflow_popup_iteration_sharer=%7B%22click_empty_to_play%22%3A1%2C%22dynamic_cover%22%3A1%2C%22follow_to_play_duration%22%3A-1.0%2C%22profile_clickable%22%3A1%7D&amp;enable_checksum=1&amp;sp_level=1&amp;sp_root_u=dk2km1e81fh51j&amp;sp_root_d=f036h3hd30d7ba</v>
      </c>
      <c r="K1689" s="470" t="str">
        <f>IFERROR(__xludf.DUMMYFUNCTION("""COMPUTED_VALUE"""),"KIMME")</f>
        <v>KIMME</v>
      </c>
      <c r="L1689" s="471" t="str">
        <f>IFERROR(__xludf.DUMMYFUNCTION("""COMPUTED_VALUE"""),"https://www.tiktok.com/@rf.1924/video/7639590144869289236?_r=1&amp;u_code=dk2km1e81fh51j&amp;region=ID&amp;mid=7633025529696897041&amp;preview_pb=0&amp;sharer_language=id&amp;_d=f036h3hd30d7ba&amp;share_item_id=7639590144869289236&amp;source=h5_t&amp;timestamp=1778730741&amp;user_id=69935390960"&amp;"86807554&amp;sec_user_id=MS4wLjABAAAA_btqfHxVXjYeUYzFQaHktUtoG-ByGBb4p93KngVyxkyKfXpN0eZ5Hu_1ndqaxSWK&amp;item_author_type=1&amp;social_share_type=0&amp;utm_source=copy&amp;utm_campaign=client_share&amp;utm_medium=android&amp;share_iid=7636960786519721744&amp;share_link_id=4c606305-655e"&amp;"-4e54-9fa9-c58382425477&amp;share_app_id=1180&amp;ugbiz_name=MAIN&amp;ug_btm=b2001&amp;sp_root_share_link_id=4c606305-655e-4e54-9fa9-c58382425477&amp;link_reflow_popup_iteration_sharer=%7B%22click_empty_to_play%22%3A1%2C%22dynamic_cover%22%3A1%2C%22follow_to_play_duration%22"&amp;"%3A-1.0%2C%22profile_clickable%22%3A1%7D&amp;enable_checksum=1&amp;sp_level=1&amp;sp_root_u=dk2km1e81fh51j&amp;sp_root_d=f036h3hd30d7ba")</f>
        <v>https://www.tiktok.com/@rf.1924/video/7639590144869289236?_r=1&amp;u_code=dk2km1e81fh51j&amp;region=ID&amp;mid=7633025529696897041&amp;preview_pb=0&amp;sharer_language=id&amp;_d=f036h3hd30d7ba&amp;share_item_id=7639590144869289236&amp;source=h5_t&amp;timestamp=1778730741&amp;user_id=6993539096086807554&amp;sec_user_id=MS4wLjABAAAA_btqfHxVXjYeUYzFQaHktUtoG-ByGBb4p93KngVyxkyKfXpN0eZ5Hu_1ndqaxSWK&amp;item_author_type=1&amp;social_share_type=0&amp;utm_source=copy&amp;utm_campaign=client_share&amp;utm_medium=android&amp;share_iid=7636960786519721744&amp;share_link_id=4c606305-655e-4e54-9fa9-c58382425477&amp;share_app_id=1180&amp;ugbiz_name=MAIN&amp;ug_btm=b2001&amp;sp_root_share_link_id=4c606305-655e-4e54-9fa9-c58382425477&amp;link_reflow_popup_iteration_sharer=%7B%22click_empty_to_play%22%3A1%2C%22dynamic_cover%22%3A1%2C%22follow_to_play_duration%22%3A-1.0%2C%22profile_clickable%22%3A1%7D&amp;enable_checksum=1&amp;sp_level=1&amp;sp_root_u=dk2km1e81fh51j&amp;sp_root_d=f036h3hd30d7ba</v>
      </c>
      <c r="M1689" s="470"/>
      <c r="N1689" s="471" t="str">
        <f>IFERROR(__xludf.DUMMYFUNCTION("""COMPUTED_VALUE"""),"https://vt.tiktok.com/ZSx4akLVU/")</f>
        <v>https://vt.tiktok.com/ZSx4akLVU/</v>
      </c>
      <c r="O1689" s="470"/>
      <c r="P1689" t="str">
        <f>IFERROR(__xludf.DUMMYFUNCTION("""COMPUTED_VALUE"""),"⁠https://vt.tiktok.com/ZSxAD3JLq/")</f>
        <v>⁠https://vt.tiktok.com/ZSxAD3JLq/</v>
      </c>
    </row>
    <row r="1690">
      <c r="A1690" s="282" t="str">
        <f>IFERROR(__xludf.DUMMYFUNCTION("""COMPUTED_VALUE"""),"MICRO")</f>
        <v>MICRO</v>
      </c>
      <c r="B1690" s="468" t="str">
        <f>IFERROR(__xludf.DUMMYFUNCTION("""COMPUTED_VALUE"""),"pinkky430")</f>
        <v>pinkky430</v>
      </c>
      <c r="C1690" s="283" t="str">
        <f>IFERROR(__xludf.DUMMYFUNCTION("""COMPUTED_VALUE"""),"https://www.tiktok.com/@pinkky430")</f>
        <v>https://www.tiktok.com/@pinkky430</v>
      </c>
      <c r="D1690" s="273">
        <f>IFERROR(__xludf.DUMMYFUNCTION("""COMPUTED_VALUE"""),8.586177867E10)</f>
        <v>85861778670</v>
      </c>
      <c r="E1690" s="458">
        <f>IFERROR(__xludf.DUMMYFUNCTION("""COMPUTED_VALUE"""),0.0)</f>
        <v>0</v>
      </c>
      <c r="F1690" s="273">
        <f>IFERROR(__xludf.DUMMYFUNCTION("""COMPUTED_VALUE"""),2.0)</f>
        <v>2</v>
      </c>
      <c r="G1690" t="str">
        <f>IFERROR(__xludf.DUMMYFUNCTION("""COMPUTED_VALUE"""),"Sabun batang 1 Box ( 2 PCS )")</f>
        <v>Sabun batang 1 Box ( 2 PCS )</v>
      </c>
      <c r="H1690" s="469" t="str">
        <f>IFERROR(__xludf.DUMMYFUNCTION("""COMPUTED_VALUE"""),"Sampai")</f>
        <v>Sampai</v>
      </c>
      <c r="I1690" s="470" t="str">
        <f>IFERROR(__xludf.DUMMYFUNCTION("""COMPUTED_VALUE"""),"KIMME")</f>
        <v>KIMME</v>
      </c>
      <c r="J1690" s="471" t="str">
        <f>IFERROR(__xludf.DUMMYFUNCTION("""COMPUTED_VALUE"""),"https://www.tiktok.com/@pinkky430/video/7641426181090331911?_r=1&amp;u_code=df51dbgkhamkj5&amp;region=&amp;mid=7633007995021970183&amp;preview_pb=0&amp;sharer_language=&amp;_d=0&amp;ec_shared_reflux_dynamic_params=%7B%22placeholder_material_id%22%3A%227641426181090331911%22%2C%22pla"&amp;"ceholder_origin_cover%22%3A%22https%253A%252F%252Fp16-common-sign.tiktokcdn.com%252Ftos-alisg-p-0037%252FoILEIYBgt8wA8L3iOzja5VA1AKP4Bvi8vuIug~tplv-tiktokx-origin.jpeg%253Fdr%253D14572%2526refresh_token%253Da814c2f3%2526x-expires%253D1810717200%2526x-sign"&amp;"ature%253DFXP3PNVSGqkVm6GgMRs%25252FBn4UIW8%25253D%2526t%253D4d5b0474%2526ps%253D13740610%2526shp%253Dd05b14bd%2526shcp%253D34ff8df6%2526idc%253Dmy3%2526s%253DTIKTOK_AFFILIATE_VIRAL_VIDEO%22%2C%22placeholder_product_id%22%3A%221729427766722726591%22%2C%22"&amp;"placeholder_video_id%22%3A%227641426181090331911%22%7D&amp;ec_shared_reflux_scene=shop_tab_feed&amp;share_item_id=7641426181090331911&amp;source=h5_t")</f>
        <v>https://www.tiktok.com/@pinkky430/video/7641426181090331911?_r=1&amp;u_code=df51dbgkhamkj5&amp;region=&amp;mid=7633007995021970183&amp;preview_pb=0&amp;sharer_language=&amp;_d=0&amp;ec_shared_reflux_dynamic_params=%7B%22placeholder_material_id%22%3A%227641426181090331911%22%2C%22placeholder_origin_cover%22%3A%22https%253A%252F%252Fp16-common-sign.tiktokcdn.com%252Ftos-alisg-p-0037%252FoILEIYBgt8wA8L3iOzja5VA1AKP4Bvi8vuIug~tplv-tiktokx-origin.jpeg%253Fdr%253D14572%2526refresh_token%253Da814c2f3%2526x-expires%253D1810717200%2526x-signature%253DFXP3PNVSGqkVm6GgMRs%25252FBn4UIW8%25253D%2526t%253D4d5b0474%2526ps%253D13740610%2526shp%253Dd05b14bd%2526shcp%253D34ff8df6%2526idc%253Dmy3%2526s%253DTIKTOK_AFFILIATE_VIRAL_VIDEO%22%2C%22placeholder_product_id%22%3A%221729427766722726591%22%2C%22placeholder_video_id%22%3A%227641426181090331911%22%7D&amp;ec_shared_reflux_scene=shop_tab_feed&amp;share_item_id=7641426181090331911&amp;source=h5_t</v>
      </c>
      <c r="K1690" s="470" t="str">
        <f>IFERROR(__xludf.DUMMYFUNCTION("""COMPUTED_VALUE"""),"KIMME")</f>
        <v>KIMME</v>
      </c>
      <c r="L1690" t="str">
        <f>IFERROR(__xludf.DUMMYFUNCTION("""COMPUTED_VALUE"""),"⁠https://vt.tiktok.com/ZSxAuXGTx/")</f>
        <v>⁠https://vt.tiktok.com/ZSxAuXGTx/</v>
      </c>
      <c r="M1690" s="470"/>
      <c r="N1690" t="str">
        <f>IFERROR(__xludf.DUMMYFUNCTION("""COMPUTED_VALUE"""),"⁠https://vt.tiktok.com/ZSxADGaxo/")</f>
        <v>⁠https://vt.tiktok.com/ZSxADGaxo/</v>
      </c>
      <c r="O1690" s="470"/>
      <c r="P1690" t="str">
        <f>IFERROR(__xludf.DUMMYFUNCTION("""COMPUTED_VALUE"""),"⁠https://vt.tiktok.com/ZSxADoB8J/")</f>
        <v>⁠https://vt.tiktok.com/ZSxADoB8J/</v>
      </c>
    </row>
    <row r="1691">
      <c r="A1691" s="282" t="str">
        <f>IFERROR(__xludf.DUMMYFUNCTION("""COMPUTED_VALUE"""),"MICRO")</f>
        <v>MICRO</v>
      </c>
      <c r="B1691" s="468" t="str">
        <f>IFERROR(__xludf.DUMMYFUNCTION("""COMPUTED_VALUE"""),"Elvbryss_")</f>
        <v>Elvbryss_</v>
      </c>
      <c r="C1691" s="283" t="str">
        <f>IFERROR(__xludf.DUMMYFUNCTION("""COMPUTED_VALUE"""),"https://www.tiktok.com/@Elvbryss_")</f>
        <v>https://www.tiktok.com/@Elvbryss_</v>
      </c>
      <c r="D1691" s="273">
        <f>IFERROR(__xludf.DUMMYFUNCTION("""COMPUTED_VALUE"""),8.5742631921E10)</f>
        <v>85742631921</v>
      </c>
      <c r="E1691" s="458">
        <f>IFERROR(__xludf.DUMMYFUNCTION("""COMPUTED_VALUE"""),0.0)</f>
        <v>0</v>
      </c>
      <c r="F1691" s="273">
        <f>IFERROR(__xludf.DUMMYFUNCTION("""COMPUTED_VALUE"""),2.0)</f>
        <v>2</v>
      </c>
      <c r="G1691" t="str">
        <f>IFERROR(__xludf.DUMMYFUNCTION("""COMPUTED_VALUE"""),"Sabun batang 1 Box ( 2 PCS )")</f>
        <v>Sabun batang 1 Box ( 2 PCS )</v>
      </c>
      <c r="H1691" s="469" t="str">
        <f>IFERROR(__xludf.DUMMYFUNCTION("""COMPUTED_VALUE"""),"Sampai")</f>
        <v>Sampai</v>
      </c>
      <c r="I1691" s="470" t="str">
        <f>IFERROR(__xludf.DUMMYFUNCTION("""COMPUTED_VALUE"""),"KIMME")</f>
        <v>KIMME</v>
      </c>
      <c r="J1691" s="471" t="str">
        <f>IFERROR(__xludf.DUMMYFUNCTION("""COMPUTED_VALUE"""),"https://www.tiktok.com/@elvbryss_/video/7637871082502032648?_r=1&amp;u_code=e5acj8kam4kg3g&amp;region=&amp;mid=7537634583521871889&amp;preview_pb=0&amp;sharer_language=&amp;_d=0&amp;ec_shared_reflux_dynamic_params=%7B%22placeholder_material_id%22%3A%227637871082502032648%22%2C%22pla"&amp;"ceholder_origin_cover%22%3A%22https%253A%252F%252Fp16-common-sign.tiktokcdn.com%252Ftos-alisg-p-0037%252FoUnfwQnQGysYlFKrAIe0A5CXYLVmcnGRHfoGOf~tplv-tiktokx-origin.jpeg%253Fdr%253D14572%2526refresh_token%253D1a141f59%2526x-expires%253D1810116000%2526x-sig"&amp;"nature%253DRiw6pTOkErulVnTMQikYhx8HRNo%25253D%2526t%253D4d5b0474%2526ps%253D13740610%2526shp%253Dd05b14bd%2526shcp%253D34ff8df6%2526idc%253Dmy2%2526s%253DTIKTOK_AFFILIATE_VIRAL_VIDEO%22%2C%22placeholder_product_id%22%3A%221729729730555512511%22%2C%22place"&amp;"holder_video_id%22%3A%227637871082502032648%22%7D&amp;ec_shared_reflux_scene=shop_tab_feed&amp;share_item_id=7637871082502032648&amp;source=h5_t")</f>
        <v>https://www.tiktok.com/@elvbryss_/video/7637871082502032648?_r=1&amp;u_code=e5acj8kam4kg3g&amp;region=&amp;mid=7537634583521871889&amp;preview_pb=0&amp;sharer_language=&amp;_d=0&amp;ec_shared_reflux_dynamic_params=%7B%22placeholder_material_id%22%3A%227637871082502032648%22%2C%22placeholder_origin_cover%22%3A%22https%253A%252F%252Fp16-common-sign.tiktokcdn.com%252Ftos-alisg-p-0037%252FoUnfwQnQGysYlFKrAIe0A5CXYLVmcnGRHfoGOf~tplv-tiktokx-origin.jpeg%253Fdr%253D14572%2526refresh_token%253D1a141f59%2526x-expires%253D1810116000%2526x-signature%253DRiw6pTOkErulVnTMQikYhx8HRNo%25253D%2526t%253D4d5b0474%2526ps%253D13740610%2526shp%253Dd05b14bd%2526shcp%253D34ff8df6%2526idc%253Dmy2%2526s%253DTIKTOK_AFFILIATE_VIRAL_VIDEO%22%2C%22placeholder_product_id%22%3A%221729729730555512511%22%2C%22placeholder_video_id%22%3A%227637871082502032648%22%7D&amp;ec_shared_reflux_scene=shop_tab_feed&amp;share_item_id=7637871082502032648&amp;source=h5_t</v>
      </c>
      <c r="K1691" s="470" t="str">
        <f>IFERROR(__xludf.DUMMYFUNCTION("""COMPUTED_VALUE"""),"KIMME")</f>
        <v>KIMME</v>
      </c>
      <c r="L1691" s="471" t="str">
        <f>IFERROR(__xludf.DUMMYFUNCTION("""COMPUTED_VALUE"""),"https://www.tiktok.com/@elvbryss_/video/7638116167537806610?_r=1&amp;u_code=e5acj8kam4kg3g&amp;region=&amp;mid=7395415388382824464&amp;preview_pb=0&amp;sharer_language=&amp;_d=0&amp;ec_shared_reflux_dynamic_params=%7B%22placeholder_material_id%22%3A%227638116167537806610%22%2C%22pla"&amp;"ceholder_origin_cover%22%3A%22https%253A%252F%252Fp16-common-sign.tiktokcdn.com%252Ftos-alisg-p-0037%252Fo4aAPAQyjIYgsBVMn8ipKi8BIECdBDsAAK2aX~tplv-tiktokx-origin.jpeg%253Fdr%253D14572%2526refresh_token%253De6592efa%2526x-expires%253D1810116000%2526x-sign"&amp;"ature%253DZO%25252BRgTMF5A15OfbVp%25252BumE%25252FS%25252Fzq0%25253D%2526t%253D4d5b0474%2526ps%253D13740610%2526shp%253Dd05b14bd%2526shcp%253D34ff8df6%2526idc%253Dmy2%2526s%253DTIKTOK_AFFILIATE_VIRAL_VIDEO%22%2C%22placeholder_product_id%22%3A%221729729730"&amp;"555512511%22%2C%22placeholder_video_id%22%3A%227638116167537806610%22%7D&amp;ec_shared_reflux_scene=shop_tab_feed&amp;share_item_id=7638116167537806610&amp;source=h5_t")</f>
        <v>https://www.tiktok.com/@elvbryss_/video/7638116167537806610?_r=1&amp;u_code=e5acj8kam4kg3g&amp;region=&amp;mid=7395415388382824464&amp;preview_pb=0&amp;sharer_language=&amp;_d=0&amp;ec_shared_reflux_dynamic_params=%7B%22placeholder_material_id%22%3A%227638116167537806610%22%2C%22placeholder_origin_cover%22%3A%22https%253A%252F%252Fp16-common-sign.tiktokcdn.com%252Ftos-alisg-p-0037%252Fo4aAPAQyjIYgsBVMn8ipKi8BIECdBDsAAK2aX~tplv-tiktokx-origin.jpeg%253Fdr%253D14572%2526refresh_token%253De6592efa%2526x-expires%253D1810116000%2526x-signature%253DZO%25252BRgTMF5A15OfbVp%25252BumE%25252FS%25252Fzq0%25253D%2526t%253D4d5b0474%2526ps%253D13740610%2526shp%253Dd05b14bd%2526shcp%253D34ff8df6%2526idc%253Dmy2%2526s%253DTIKTOK_AFFILIATE_VIRAL_VIDEO%22%2C%22placeholder_product_id%22%3A%221729729730555512511%22%2C%22placeholder_video_id%22%3A%227638116167537806610%22%7D&amp;ec_shared_reflux_scene=shop_tab_feed&amp;share_item_id=7638116167537806610&amp;source=h5_t</v>
      </c>
      <c r="M1691" s="470"/>
      <c r="N1691" s="471" t="str">
        <f>IFERROR(__xludf.DUMMYFUNCTION("""COMPUTED_VALUE"""),"https://www.tiktok.com/@elvbryss_/video/7639217170785799442?_r=1&amp;u_code=e5acj8kam4kg3g&amp;region=&amp;mid=7484196974293649424&amp;preview_pb=0&amp;sharer_language=&amp;_d=0&amp;ec_shared_reflux_dynamic_params=%7B%22placeholder_material_id%22%3A%227639217170785799442%22%2C%22pla"&amp;"ceholder_origin_cover%22%3A%22https%253A%252F%252Fp16-common-sign.tiktokcdn.com%252Ftos-alisg-p-0037%252FocKIAEfBjJWIUA8fDVpBQf5UpqPDICFq47LDuK~tplv-tiktokx-origin.jpeg%253Fdr%253D14572%2526refresh_token%253D2cfbcecf%2526x-expires%253D1810195200%2526x-sig"&amp;"nature%253DsEMwAK1v5qEMVQe2XrGlj%25252B1W4tk%25253D%2526t%253D4d5b0474%2526ps%253D13740610%2526shp%253Dd05b14bd%2526shcp%253D34ff8df6%2526idc%253Dmy2%2526s%253DTIKTOK_AFFILIATE_VIRAL_VIDEO%22%2C%22placeholder_product_id%22%3A%221729729730555512511%22%2C%2"&amp;"2placeholder_video_id%22%3A%227639217170785799442%22%7D&amp;ec_shared_reflux_scene=shop_tab_feed&amp;share_item_id=7639217170785799442&amp;source=h5_t")</f>
        <v>https://www.tiktok.com/@elvbryss_/video/7639217170785799442?_r=1&amp;u_code=e5acj8kam4kg3g&amp;region=&amp;mid=7484196974293649424&amp;preview_pb=0&amp;sharer_language=&amp;_d=0&amp;ec_shared_reflux_dynamic_params=%7B%22placeholder_material_id%22%3A%227639217170785799442%22%2C%22placeholder_origin_cover%22%3A%22https%253A%252F%252Fp16-common-sign.tiktokcdn.com%252Ftos-alisg-p-0037%252FocKIAEfBjJWIUA8fDVpBQf5UpqPDICFq47LDuK~tplv-tiktokx-origin.jpeg%253Fdr%253D14572%2526refresh_token%253D2cfbcecf%2526x-expires%253D1810195200%2526x-signature%253DsEMwAK1v5qEMVQe2XrGlj%25252B1W4tk%25253D%2526t%253D4d5b0474%2526ps%253D13740610%2526shp%253Dd05b14bd%2526shcp%253D34ff8df6%2526idc%253Dmy2%2526s%253DTIKTOK_AFFILIATE_VIRAL_VIDEO%22%2C%22placeholder_product_id%22%3A%221729729730555512511%22%2C%22placeholder_video_id%22%3A%227639217170785799442%22%7D&amp;ec_shared_reflux_scene=shop_tab_feed&amp;share_item_id=7639217170785799442&amp;source=h5_t</v>
      </c>
      <c r="O1691" s="470"/>
      <c r="P1691" s="471" t="str">
        <f>IFERROR(__xludf.DUMMYFUNCTION("""COMPUTED_VALUE"""),"https://www.tiktok.com/@elvbryss_/video/7639598981466606855?_r=1&amp;u_code=e5acj8kam4kg3g&amp;region=&amp;mid=7514003816174454785&amp;preview_pb=0&amp;sharer_language=&amp;_d=0&amp;ec_shared_reflux_dynamic_params=%7B%22placeholder_material_id%22%3A%227639598981466606855%22%2C%22pla"&amp;"ceholder_origin_cover%22%3A%22https%253A%252F%252Fp16-common-sign.tiktokcdn.com%252Ftos-alisg-p-0037%252FoMpFRRwAfAIS2cILBBI1rtAhTiAqiCqwsqtIQ7~tplv-tiktokx-origin.jpeg%253Fdr%253D14572%2526refresh_token%253D9012c93c%2526x-expires%253D1810717200%2526x-sig"&amp;"nature%253DSlbLntQ7rWyx7GlwaUR0bmXJ%25252FBE%25253D%2526t%253D4d5b0474%2526ps%253D13740610%2526shp%253Dd05b14bd%2526shcp%253D34ff8df6%2526idc%253Dmy3%2526s%253DTIKTOK_AFFILIATE_VIRAL_VIDEO%22%2C%22placeholder_product_id%22%3A%221729729730555512511%22%2C%2"&amp;"2placeholder_video_id%22%3A%227639598981466606855%22%7D&amp;ec_shared_reflux_scene=shop_tab_feed&amp;share_item_id=7639598981466606855&amp;source=h5_t")</f>
        <v>https://www.tiktok.com/@elvbryss_/video/7639598981466606855?_r=1&amp;u_code=e5acj8kam4kg3g&amp;region=&amp;mid=7514003816174454785&amp;preview_pb=0&amp;sharer_language=&amp;_d=0&amp;ec_shared_reflux_dynamic_params=%7B%22placeholder_material_id%22%3A%227639598981466606855%22%2C%22placeholder_origin_cover%22%3A%22https%253A%252F%252Fp16-common-sign.tiktokcdn.com%252Ftos-alisg-p-0037%252FoMpFRRwAfAIS2cILBBI1rtAhTiAqiCqwsqtIQ7~tplv-tiktokx-origin.jpeg%253Fdr%253D14572%2526refresh_token%253D9012c93c%2526x-expires%253D1810717200%2526x-signature%253DSlbLntQ7rWyx7GlwaUR0bmXJ%25252FBE%25253D%2526t%253D4d5b0474%2526ps%253D13740610%2526shp%253Dd05b14bd%2526shcp%253D34ff8df6%2526idc%253Dmy3%2526s%253DTIKTOK_AFFILIATE_VIRAL_VIDEO%22%2C%22placeholder_product_id%22%3A%221729729730555512511%22%2C%22placeholder_video_id%22%3A%227639598981466606855%22%7D&amp;ec_shared_reflux_scene=shop_tab_feed&amp;share_item_id=7639598981466606855&amp;source=h5_t</v>
      </c>
    </row>
    <row r="1692">
      <c r="A1692" s="282" t="str">
        <f>IFERROR(__xludf.DUMMYFUNCTION("""COMPUTED_VALUE"""),"MICRO")</f>
        <v>MICRO</v>
      </c>
      <c r="B1692" s="468" t="str">
        <f>IFERROR(__xludf.DUMMYFUNCTION("""COMPUTED_VALUE"""),"ms_prillll")</f>
        <v>ms_prillll</v>
      </c>
      <c r="C1692" s="283" t="str">
        <f>IFERROR(__xludf.DUMMYFUNCTION("""COMPUTED_VALUE"""),"https://www.tiktok.com/@ms_prillll")</f>
        <v>https://www.tiktok.com/@ms_prillll</v>
      </c>
      <c r="D1692" s="273">
        <f>IFERROR(__xludf.DUMMYFUNCTION("""COMPUTED_VALUE"""),8.217130559E10)</f>
        <v>82171305590</v>
      </c>
      <c r="E1692" s="458">
        <f>IFERROR(__xludf.DUMMYFUNCTION("""COMPUTED_VALUE"""),0.0)</f>
        <v>0</v>
      </c>
      <c r="F1692" s="273">
        <f>IFERROR(__xludf.DUMMYFUNCTION("""COMPUTED_VALUE"""),2.0)</f>
        <v>2</v>
      </c>
      <c r="G1692" t="str">
        <f>IFERROR(__xludf.DUMMYFUNCTION("""COMPUTED_VALUE"""),"Sabun batang 1 Box ( 2 PCS )")</f>
        <v>Sabun batang 1 Box ( 2 PCS )</v>
      </c>
      <c r="H1692" s="469" t="str">
        <f>IFERROR(__xludf.DUMMYFUNCTION("""COMPUTED_VALUE"""),"Sampai")</f>
        <v>Sampai</v>
      </c>
      <c r="I1692" s="470" t="str">
        <f>IFERROR(__xludf.DUMMYFUNCTION("""COMPUTED_VALUE"""),"KIMME")</f>
        <v>KIMME</v>
      </c>
      <c r="J1692" s="471" t="str">
        <f>IFERROR(__xludf.DUMMYFUNCTION("""COMPUTED_VALUE"""),"https://vt.tiktok.com/ZSxAu9C4E/")</f>
        <v>https://vt.tiktok.com/ZSxAu9C4E/</v>
      </c>
      <c r="K1692" s="470" t="str">
        <f>IFERROR(__xludf.DUMMYFUNCTION("""COMPUTED_VALUE"""),"KIMME")</f>
        <v>KIMME</v>
      </c>
      <c r="L1692" t="str">
        <f>IFERROR(__xludf.DUMMYFUNCTION("""COMPUTED_VALUE"""),"⁠https://vt.tiktok.com/ZSxAuqb9P/")</f>
        <v>⁠https://vt.tiktok.com/ZSxAuqb9P/</v>
      </c>
      <c r="M1692" s="470"/>
      <c r="N1692" s="471" t="str">
        <f>IFERROR(__xludf.DUMMYFUNCTION("""COMPUTED_VALUE"""),"https://vt.tiktok.com/ZSxADTre5/")</f>
        <v>https://vt.tiktok.com/ZSxADTre5/</v>
      </c>
      <c r="O1692" s="470"/>
      <c r="P1692" t="str">
        <f>IFERROR(__xludf.DUMMYFUNCTION("""COMPUTED_VALUE"""),"⁠https://vt.tiktok.com/ZSxAuKcUk/")</f>
        <v>⁠https://vt.tiktok.com/ZSxAuKcUk/</v>
      </c>
    </row>
    <row r="1693">
      <c r="A1693" s="282" t="str">
        <f>IFERROR(__xludf.DUMMYFUNCTION("""COMPUTED_VALUE"""),"MICRO")</f>
        <v>MICRO</v>
      </c>
      <c r="B1693" s="468" t="str">
        <f>IFERROR(__xludf.DUMMYFUNCTION("""COMPUTED_VALUE"""),"Adaunie ")</f>
        <v>Adaunie </v>
      </c>
      <c r="C1693" s="283" t="str">
        <f>IFERROR(__xludf.DUMMYFUNCTION("""COMPUTED_VALUE"""),"https://www.tiktok.com/@Adaunie ")</f>
        <v>https://www.tiktok.com/@Adaunie </v>
      </c>
      <c r="D1693" s="273">
        <f>IFERROR(__xludf.DUMMYFUNCTION("""COMPUTED_VALUE"""),8.5231648163E10)</f>
        <v>85231648163</v>
      </c>
      <c r="E1693" s="458">
        <f>IFERROR(__xludf.DUMMYFUNCTION("""COMPUTED_VALUE"""),0.0)</f>
        <v>0</v>
      </c>
      <c r="F1693" s="273">
        <f>IFERROR(__xludf.DUMMYFUNCTION("""COMPUTED_VALUE"""),2.0)</f>
        <v>2</v>
      </c>
      <c r="G1693" t="str">
        <f>IFERROR(__xludf.DUMMYFUNCTION("""COMPUTED_VALUE"""),"Sabun batang 1 Box ( 2 PCS )")</f>
        <v>Sabun batang 1 Box ( 2 PCS )</v>
      </c>
      <c r="H1693" s="469" t="str">
        <f>IFERROR(__xludf.DUMMYFUNCTION("""COMPUTED_VALUE"""),"Sampai")</f>
        <v>Sampai</v>
      </c>
      <c r="I1693" s="470" t="str">
        <f>IFERROR(__xludf.DUMMYFUNCTION("""COMPUTED_VALUE"""),"KIMME")</f>
        <v>KIMME</v>
      </c>
      <c r="J1693" s="471" t="str">
        <f>IFERROR(__xludf.DUMMYFUNCTION("""COMPUTED_VALUE"""),"https://vt.tiktok.com/ZSxAJgWFN/")</f>
        <v>https://vt.tiktok.com/ZSxAJgWFN/</v>
      </c>
      <c r="K1693" s="470" t="str">
        <f>IFERROR(__xludf.DUMMYFUNCTION("""COMPUTED_VALUE"""),"KIMME")</f>
        <v>KIMME</v>
      </c>
      <c r="L1693" s="471" t="str">
        <f>IFERROR(__xludf.DUMMYFUNCTION("""COMPUTED_VALUE"""),"https://vt.tiktok.com/ZSxAJvEPP/")</f>
        <v>https://vt.tiktok.com/ZSxAJvEPP/</v>
      </c>
      <c r="M1693" s="470"/>
      <c r="N1693" s="471" t="str">
        <f>IFERROR(__xludf.DUMMYFUNCTION("""COMPUTED_VALUE"""),"https://vt.tiktok.com/ZSxAu7wfB/")</f>
        <v>https://vt.tiktok.com/ZSxAu7wfB/</v>
      </c>
      <c r="O1693" s="470"/>
      <c r="P1693" t="str">
        <f>IFERROR(__xludf.DUMMYFUNCTION("""COMPUTED_VALUE"""),"⁠https://vt.tiktok.com/ZSxAuQ195/")</f>
        <v>⁠https://vt.tiktok.com/ZSxAuQ195/</v>
      </c>
    </row>
    <row r="1694">
      <c r="A1694" s="282" t="str">
        <f>IFERROR(__xludf.DUMMYFUNCTION("""COMPUTED_VALUE"""),"MICRO")</f>
        <v>MICRO</v>
      </c>
      <c r="B1694" s="468" t="str">
        <f>IFERROR(__xludf.DUMMYFUNCTION("""COMPUTED_VALUE"""),"Intanputri373 ")</f>
        <v>Intanputri373 </v>
      </c>
      <c r="C1694" s="283" t="str">
        <f>IFERROR(__xludf.DUMMYFUNCTION("""COMPUTED_VALUE"""),"https://www.tiktok.com/@Intanputri373 ")</f>
        <v>https://www.tiktok.com/@Intanputri373 </v>
      </c>
      <c r="D1694" s="273">
        <f>IFERROR(__xludf.DUMMYFUNCTION("""COMPUTED_VALUE"""),8.1318026708E10)</f>
        <v>81318026708</v>
      </c>
      <c r="E1694" s="458">
        <f>IFERROR(__xludf.DUMMYFUNCTION("""COMPUTED_VALUE"""),0.0)</f>
        <v>0</v>
      </c>
      <c r="F1694" s="273">
        <f>IFERROR(__xludf.DUMMYFUNCTION("""COMPUTED_VALUE"""),2.0)</f>
        <v>2</v>
      </c>
      <c r="G1694" t="str">
        <f>IFERROR(__xludf.DUMMYFUNCTION("""COMPUTED_VALUE"""),"Sabun batang 1 Box ( 2 PCS )")</f>
        <v>Sabun batang 1 Box ( 2 PCS )</v>
      </c>
      <c r="H1694" s="469" t="str">
        <f>IFERROR(__xludf.DUMMYFUNCTION("""COMPUTED_VALUE"""),"Sampai")</f>
        <v>Sampai</v>
      </c>
      <c r="I1694" s="470" t="str">
        <f>IFERROR(__xludf.DUMMYFUNCTION("""COMPUTED_VALUE"""),"KIMME")</f>
        <v>KIMME</v>
      </c>
      <c r="J1694" s="471" t="str">
        <f>IFERROR(__xludf.DUMMYFUNCTION("""COMPUTED_VALUE"""),"https://vt.tiktok.com/ZSxLT6QDB/")</f>
        <v>https://vt.tiktok.com/ZSxLT6QDB/</v>
      </c>
      <c r="K1694" s="470" t="str">
        <f>IFERROR(__xludf.DUMMYFUNCTION("""COMPUTED_VALUE"""),"KIMME")</f>
        <v>KIMME</v>
      </c>
      <c r="L1694" s="471" t="str">
        <f>IFERROR(__xludf.DUMMYFUNCTION("""COMPUTED_VALUE"""),"https://vt.tiktok.com/ZSxNdmVV7/")</f>
        <v>https://vt.tiktok.com/ZSxNdmVV7/</v>
      </c>
      <c r="M1694" s="470"/>
      <c r="N1694" s="471" t="str">
        <f>IFERROR(__xludf.DUMMYFUNCTION("""COMPUTED_VALUE"""),"https://www.tiktok.com/@intanputri373/video/7640332404812533012?_r=1&amp;u_code=egb5b18la7cca4&amp;region=&amp;mid=7573147731105270535&amp;preview_pb=0&amp;sharer_language=&amp;_d=0&amp;ec_shared_reflux_dynamic_params=%7B%22placeholder_material_id%22%3A%227640332404812533012%22%2C%2"&amp;"2placeholder_origin_cover%22%3A%22https%253A%252F%252Fp16-common-sign.tiktokcdn.com%252Ftos-alisg-p-0037%252Foo8UBfEWDDQUFmYIEPE0eFQeDC4QUEZAlajMnA~tplv-tiktokx-origin.jpeg%253Fdr%253D14572%2526refresh_token%253Deb198377%2526x-expires%253D1810717200%2526x"&amp;"-signature%253DflCHnMszwhUffNPREETcno0AYXI%25253D%2526t%253D4d5b0474%2526ps%253D13740610%2526shp%253Dd05b14bd%2526shcp%253D34ff8df6%2526idc%253Dmy3%2526s%253DTIKTOK_AFFILIATE_VIRAL_VIDEO%22%2C%22placeholder_product_id%22%3A%221729427766722726591%22%2C%22p"&amp;"laceholder_video_id%22%3A%227640332404812533012%22%7D&amp;ec_shared_reflux_scene=shop_tab_feed&amp;share_item_id=7640332404812533012&amp;source=h5_t")</f>
        <v>https://www.tiktok.com/@intanputri373/video/7640332404812533012?_r=1&amp;u_code=egb5b18la7cca4&amp;region=&amp;mid=7573147731105270535&amp;preview_pb=0&amp;sharer_language=&amp;_d=0&amp;ec_shared_reflux_dynamic_params=%7B%22placeholder_material_id%22%3A%227640332404812533012%22%2C%22placeholder_origin_cover%22%3A%22https%253A%252F%252Fp16-common-sign.tiktokcdn.com%252Ftos-alisg-p-0037%252Foo8UBfEWDDQUFmYIEPE0eFQeDC4QUEZAlajMnA~tplv-tiktokx-origin.jpeg%253Fdr%253D14572%2526refresh_token%253Deb198377%2526x-expires%253D1810717200%2526x-signature%253DflCHnMszwhUffNPREETcno0AYXI%25253D%2526t%253D4d5b0474%2526ps%253D13740610%2526shp%253Dd05b14bd%2526shcp%253D34ff8df6%2526idc%253Dmy3%2526s%253DTIKTOK_AFFILIATE_VIRAL_VIDEO%22%2C%22placeholder_product_id%22%3A%221729427766722726591%22%2C%22placeholder_video_id%22%3A%227640332404812533012%22%7D&amp;ec_shared_reflux_scene=shop_tab_feed&amp;share_item_id=7640332404812533012&amp;source=h5_t</v>
      </c>
      <c r="O1694" s="470"/>
      <c r="P1694" s="471" t="str">
        <f>IFERROR(__xludf.DUMMYFUNCTION("""COMPUTED_VALUE"""),"https://www.tiktok.com/@intanputri373/video/7640373927658654996?_r=1&amp;u_code=egb5b18la7cca4&amp;region=&amp;mid=7533087197386394374&amp;preview_pb=0&amp;sharer_language=&amp;_d=0&amp;ec_shared_reflux_dynamic_params=%7B%22placeholder_material_id%22%3A%227640373927658654996%22%2C%2"&amp;"2placeholder_origin_cover%22%3A%22https%253A%252F%252Fp16-common-sign.tiktokcdn.com%252Ftos-alisg-p-0037%252FoU6MQ4FPeP4SSEcIDCDAQeEnjZUADCAIjBEWfH~tplv-tiktokx-origin.jpeg%253Fdr%253D14572%2526refresh_token%253D6bb79174%2526x-expires%253D1810717200%2526x"&amp;"-signature%253D8%25252BuZ6cQm%25252BffXM5YAzesYHUqfu6g%25253D%2526t%253D4d5b0474%2526ps%253D13740610%2526shp%253Dd05b14bd%2526shcp%253D34ff8df6%2526idc%253Dmy3%2526s%253DTIKTOK_AFFILIATE_VIRAL_VIDEO%22%2C%22placeholder_product_id%22%3A%2217294277667227265"&amp;"91%22%2C%22placeholder_video_id%22%3A%227640373927658654996%22%7D&amp;ec_shared_reflux_scene=shop_tab_feed&amp;share_item_id=7640373927658654996&amp;source=h5_t")</f>
        <v>https://www.tiktok.com/@intanputri373/video/7640373927658654996?_r=1&amp;u_code=egb5b18la7cca4&amp;region=&amp;mid=7533087197386394374&amp;preview_pb=0&amp;sharer_language=&amp;_d=0&amp;ec_shared_reflux_dynamic_params=%7B%22placeholder_material_id%22%3A%227640373927658654996%22%2C%22placeholder_origin_cover%22%3A%22https%253A%252F%252Fp16-common-sign.tiktokcdn.com%252Ftos-alisg-p-0037%252FoU6MQ4FPeP4SSEcIDCDAQeEnjZUADCAIjBEWfH~tplv-tiktokx-origin.jpeg%253Fdr%253D14572%2526refresh_token%253D6bb79174%2526x-expires%253D1810717200%2526x-signature%253D8%25252BuZ6cQm%25252BffXM5YAzesYHUqfu6g%25253D%2526t%253D4d5b0474%2526ps%253D13740610%2526shp%253Dd05b14bd%2526shcp%253D34ff8df6%2526idc%253Dmy3%2526s%253DTIKTOK_AFFILIATE_VIRAL_VIDEO%22%2C%22placeholder_product_id%22%3A%221729427766722726591%22%2C%22placeholder_video_id%22%3A%227640373927658654996%22%7D&amp;ec_shared_reflux_scene=shop_tab_feed&amp;share_item_id=7640373927658654996&amp;source=h5_t</v>
      </c>
    </row>
    <row r="1695">
      <c r="A1695" s="282" t="str">
        <f>IFERROR(__xludf.DUMMYFUNCTION("""COMPUTED_VALUE"""),"MICRO")</f>
        <v>MICRO</v>
      </c>
      <c r="B1695" s="468" t="str">
        <f>IFERROR(__xludf.DUMMYFUNCTION("""COMPUTED_VALUE"""),"piscesmaret1701")</f>
        <v>piscesmaret1701</v>
      </c>
      <c r="C1695" s="283" t="str">
        <f>IFERROR(__xludf.DUMMYFUNCTION("""COMPUTED_VALUE"""),"https://www.tiktok.com/@piscesmaret1701")</f>
        <v>https://www.tiktok.com/@piscesmaret1701</v>
      </c>
      <c r="D1695" s="273">
        <f>IFERROR(__xludf.DUMMYFUNCTION("""COMPUTED_VALUE"""),8.573219836E10)</f>
        <v>85732198360</v>
      </c>
      <c r="E1695" s="458">
        <f>IFERROR(__xludf.DUMMYFUNCTION("""COMPUTED_VALUE"""),0.0)</f>
        <v>0</v>
      </c>
      <c r="F1695" s="273">
        <f>IFERROR(__xludf.DUMMYFUNCTION("""COMPUTED_VALUE"""),2.0)</f>
        <v>2</v>
      </c>
      <c r="G1695" t="str">
        <f>IFERROR(__xludf.DUMMYFUNCTION("""COMPUTED_VALUE"""),"Sabun batang 1 Box ( 2 PCS )")</f>
        <v>Sabun batang 1 Box ( 2 PCS )</v>
      </c>
      <c r="H1695" s="469" t="str">
        <f>IFERROR(__xludf.DUMMYFUNCTION("""COMPUTED_VALUE"""),"Sampai")</f>
        <v>Sampai</v>
      </c>
      <c r="I1695" s="470" t="str">
        <f>IFERROR(__xludf.DUMMYFUNCTION("""COMPUTED_VALUE"""),"KIMME")</f>
        <v>KIMME</v>
      </c>
      <c r="J1695" s="471" t="str">
        <f>IFERROR(__xludf.DUMMYFUNCTION("""COMPUTED_VALUE"""),"https://vt.tiktok.com/ZS9H2BvDV/")</f>
        <v>https://vt.tiktok.com/ZS9H2BvDV/</v>
      </c>
      <c r="K1695" s="470" t="str">
        <f>IFERROR(__xludf.DUMMYFUNCTION("""COMPUTED_VALUE"""),"KIMME")</f>
        <v>KIMME</v>
      </c>
      <c r="L1695" s="471" t="str">
        <f>IFERROR(__xludf.DUMMYFUNCTION("""COMPUTED_VALUE"""),"https://vt.tiktok.com/ZS9H2LwwK/")</f>
        <v>https://vt.tiktok.com/ZS9H2LwwK/</v>
      </c>
      <c r="M1695" s="470"/>
      <c r="N1695" s="471" t="str">
        <f>IFERROR(__xludf.DUMMYFUNCTION("""COMPUTED_VALUE"""),"https://vt.tiktok.com/ZS9H2PPny/")</f>
        <v>https://vt.tiktok.com/ZS9H2PPny/</v>
      </c>
      <c r="O1695" s="470"/>
      <c r="P1695" s="471" t="str">
        <f>IFERROR(__xludf.DUMMYFUNCTION("""COMPUTED_VALUE"""),"https://vt.tiktok.com/ZS9H2eUCb/")</f>
        <v>https://vt.tiktok.com/ZS9H2eUCb/</v>
      </c>
    </row>
    <row r="1696">
      <c r="A1696" s="282" t="str">
        <f>IFERROR(__xludf.DUMMYFUNCTION("""COMPUTED_VALUE"""),"MICRO")</f>
        <v>MICRO</v>
      </c>
      <c r="B1696" s="468" t="str">
        <f>IFERROR(__xludf.DUMMYFUNCTION("""COMPUTED_VALUE"""),"norhayaani")</f>
        <v>norhayaani</v>
      </c>
      <c r="C1696" s="283" t="str">
        <f>IFERROR(__xludf.DUMMYFUNCTION("""COMPUTED_VALUE"""),"https://www.tiktok.com/@norhayaani")</f>
        <v>https://www.tiktok.com/@norhayaani</v>
      </c>
      <c r="D1696" s="273">
        <f>IFERROR(__xludf.DUMMYFUNCTION("""COMPUTED_VALUE"""),8.315062636E10)</f>
        <v>83150626360</v>
      </c>
      <c r="E1696" s="458">
        <f>IFERROR(__xludf.DUMMYFUNCTION("""COMPUTED_VALUE"""),0.0)</f>
        <v>0</v>
      </c>
      <c r="F1696" s="273">
        <f>IFERROR(__xludf.DUMMYFUNCTION("""COMPUTED_VALUE"""),2.0)</f>
        <v>2</v>
      </c>
      <c r="G1696" t="str">
        <f>IFERROR(__xludf.DUMMYFUNCTION("""COMPUTED_VALUE"""),"Sabun batang 1 Box ( 2 PCS )")</f>
        <v>Sabun batang 1 Box ( 2 PCS )</v>
      </c>
      <c r="H1696" s="469" t="str">
        <f>IFERROR(__xludf.DUMMYFUNCTION("""COMPUTED_VALUE"""),"Sampai")</f>
        <v>Sampai</v>
      </c>
      <c r="I1696" s="470" t="str">
        <f>IFERROR(__xludf.DUMMYFUNCTION("""COMPUTED_VALUE"""),"KIMME")</f>
        <v>KIMME</v>
      </c>
      <c r="J1696" s="471" t="str">
        <f>IFERROR(__xludf.DUMMYFUNCTION("""COMPUTED_VALUE"""),"https://vt.tiktok.com/ZS9H2BvDV/")</f>
        <v>https://vt.tiktok.com/ZS9H2BvDV/</v>
      </c>
      <c r="K1696" s="470" t="str">
        <f>IFERROR(__xludf.DUMMYFUNCTION("""COMPUTED_VALUE"""),"KIMME")</f>
        <v>KIMME</v>
      </c>
      <c r="L1696" s="471" t="str">
        <f>IFERROR(__xludf.DUMMYFUNCTION("""COMPUTED_VALUE"""),"https://vt.tiktok.com/ZS9H2LwwK/")</f>
        <v>https://vt.tiktok.com/ZS9H2LwwK/</v>
      </c>
      <c r="M1696" s="470"/>
      <c r="N1696" s="471" t="str">
        <f>IFERROR(__xludf.DUMMYFUNCTION("""COMPUTED_VALUE"""),"https://vt.tiktok.com/ZS9H2PPny/")</f>
        <v>https://vt.tiktok.com/ZS9H2PPny/</v>
      </c>
      <c r="O1696" s="470"/>
      <c r="P1696" s="471" t="str">
        <f>IFERROR(__xludf.DUMMYFUNCTION("""COMPUTED_VALUE"""),"https://vt.tiktok.com/ZS9H2eUCb/")</f>
        <v>https://vt.tiktok.com/ZS9H2eUCb/</v>
      </c>
    </row>
    <row r="1697">
      <c r="A1697" s="282" t="str">
        <f>IFERROR(__xludf.DUMMYFUNCTION("""COMPUTED_VALUE"""),"MICRO")</f>
        <v>MICRO</v>
      </c>
      <c r="B1697" s="468" t="str">
        <f>IFERROR(__xludf.DUMMYFUNCTION("""COMPUTED_VALUE"""),"alfidaaaa_")</f>
        <v>alfidaaaa_</v>
      </c>
      <c r="C1697" s="283" t="str">
        <f>IFERROR(__xludf.DUMMYFUNCTION("""COMPUTED_VALUE"""),"https://www.tiktok.com/@alfidaaaa_")</f>
        <v>https://www.tiktok.com/@alfidaaaa_</v>
      </c>
      <c r="D1697" s="273">
        <f>IFERROR(__xludf.DUMMYFUNCTION("""COMPUTED_VALUE"""),8.3829532285E10)</f>
        <v>83829532285</v>
      </c>
      <c r="E1697" s="458">
        <f>IFERROR(__xludf.DUMMYFUNCTION("""COMPUTED_VALUE"""),0.0)</f>
        <v>0</v>
      </c>
      <c r="F1697" s="273">
        <f>IFERROR(__xludf.DUMMYFUNCTION("""COMPUTED_VALUE"""),2.0)</f>
        <v>2</v>
      </c>
      <c r="G1697" t="str">
        <f>IFERROR(__xludf.DUMMYFUNCTION("""COMPUTED_VALUE"""),"Sabun batang 1 Box ( 2 PCS )")</f>
        <v>Sabun batang 1 Box ( 2 PCS )</v>
      </c>
      <c r="H1697" s="469" t="str">
        <f>IFERROR(__xludf.DUMMYFUNCTION("""COMPUTED_VALUE"""),"Sampai")</f>
        <v>Sampai</v>
      </c>
      <c r="I1697" s="470" t="str">
        <f>IFERROR(__xludf.DUMMYFUNCTION("""COMPUTED_VALUE"""),"KIMME")</f>
        <v>KIMME</v>
      </c>
      <c r="J1697" s="471" t="str">
        <f>IFERROR(__xludf.DUMMYFUNCTION("""COMPUTED_VALUE"""),"https://vt.tiktok.com/ZS9H2BvDV/")</f>
        <v>https://vt.tiktok.com/ZS9H2BvDV/</v>
      </c>
      <c r="K1697" s="470" t="str">
        <f>IFERROR(__xludf.DUMMYFUNCTION("""COMPUTED_VALUE"""),"KIMME")</f>
        <v>KIMME</v>
      </c>
      <c r="L1697" s="471" t="str">
        <f>IFERROR(__xludf.DUMMYFUNCTION("""COMPUTED_VALUE"""),"https://vt.tiktok.com/ZS9H2LwwK/")</f>
        <v>https://vt.tiktok.com/ZS9H2LwwK/</v>
      </c>
      <c r="M1697" s="470"/>
      <c r="N1697" s="471" t="str">
        <f>IFERROR(__xludf.DUMMYFUNCTION("""COMPUTED_VALUE"""),"https://vt.tiktok.com/ZS9H2PPny/")</f>
        <v>https://vt.tiktok.com/ZS9H2PPny/</v>
      </c>
      <c r="O1697" s="470"/>
      <c r="P1697" s="471" t="str">
        <f>IFERROR(__xludf.DUMMYFUNCTION("""COMPUTED_VALUE"""),"https://vt.tiktok.com/ZS9H2eUCb/")</f>
        <v>https://vt.tiktok.com/ZS9H2eUCb/</v>
      </c>
    </row>
    <row r="1698">
      <c r="A1698" s="282" t="str">
        <f>IFERROR(__xludf.DUMMYFUNCTION("""COMPUTED_VALUE"""),"MICRO")</f>
        <v>MICRO</v>
      </c>
      <c r="B1698" s="468" t="str">
        <f>IFERROR(__xludf.DUMMYFUNCTION("""COMPUTED_VALUE"""),"novaa1611")</f>
        <v>novaa1611</v>
      </c>
      <c r="C1698" s="283" t="str">
        <f>IFERROR(__xludf.DUMMYFUNCTION("""COMPUTED_VALUE"""),"https://www.tiktok.com/@novaa1611")</f>
        <v>https://www.tiktok.com/@novaa1611</v>
      </c>
      <c r="D1698" s="273">
        <f>IFERROR(__xludf.DUMMYFUNCTION("""COMPUTED_VALUE"""),8.9519188608E10)</f>
        <v>89519188608</v>
      </c>
      <c r="E1698" s="458">
        <f>IFERROR(__xludf.DUMMYFUNCTION("""COMPUTED_VALUE"""),0.0)</f>
        <v>0</v>
      </c>
      <c r="F1698" s="273">
        <f>IFERROR(__xludf.DUMMYFUNCTION("""COMPUTED_VALUE"""),2.0)</f>
        <v>2</v>
      </c>
      <c r="G1698" t="str">
        <f>IFERROR(__xludf.DUMMYFUNCTION("""COMPUTED_VALUE"""),"Sabun batang 1 Box ( 2 PCS )")</f>
        <v>Sabun batang 1 Box ( 2 PCS )</v>
      </c>
      <c r="H1698" s="469" t="str">
        <f>IFERROR(__xludf.DUMMYFUNCTION("""COMPUTED_VALUE"""),"Sampai")</f>
        <v>Sampai</v>
      </c>
      <c r="I1698" s="470" t="str">
        <f>IFERROR(__xludf.DUMMYFUNCTION("""COMPUTED_VALUE"""),"KIMME")</f>
        <v>KIMME</v>
      </c>
      <c r="J1698" s="471" t="str">
        <f>IFERROR(__xludf.DUMMYFUNCTION("""COMPUTED_VALUE"""),"https://vt.tiktok.com/ZS9H2BvDV/")</f>
        <v>https://vt.tiktok.com/ZS9H2BvDV/</v>
      </c>
      <c r="K1698" s="470" t="str">
        <f>IFERROR(__xludf.DUMMYFUNCTION("""COMPUTED_VALUE"""),"KIMME")</f>
        <v>KIMME</v>
      </c>
      <c r="L1698" s="471" t="str">
        <f>IFERROR(__xludf.DUMMYFUNCTION("""COMPUTED_VALUE"""),"https://vt.tiktok.com/ZS9H2LwwK/")</f>
        <v>https://vt.tiktok.com/ZS9H2LwwK/</v>
      </c>
      <c r="M1698" s="470"/>
      <c r="N1698" s="471" t="str">
        <f>IFERROR(__xludf.DUMMYFUNCTION("""COMPUTED_VALUE"""),"https://vt.tiktok.com/ZS9H2PPny/")</f>
        <v>https://vt.tiktok.com/ZS9H2PPny/</v>
      </c>
      <c r="O1698" s="470"/>
      <c r="P1698" s="471" t="str">
        <f>IFERROR(__xludf.DUMMYFUNCTION("""COMPUTED_VALUE"""),"https://vt.tiktok.com/ZS9H2eUCb/")</f>
        <v>https://vt.tiktok.com/ZS9H2eUCb/</v>
      </c>
    </row>
    <row r="1699">
      <c r="A1699" s="282" t="str">
        <f>IFERROR(__xludf.DUMMYFUNCTION("""COMPUTED_VALUE"""),"MICRO")</f>
        <v>MICRO</v>
      </c>
      <c r="B1699" s="468" t="str">
        <f>IFERROR(__xludf.DUMMYFUNCTION("""COMPUTED_VALUE"""),"vina.angel26")</f>
        <v>vina.angel26</v>
      </c>
      <c r="C1699" s="283" t="str">
        <f>IFERROR(__xludf.DUMMYFUNCTION("""COMPUTED_VALUE"""),"https://www.tiktok.com/@vina.angel26")</f>
        <v>https://www.tiktok.com/@vina.angel26</v>
      </c>
      <c r="D1699" s="273">
        <f>IFERROR(__xludf.DUMMYFUNCTION("""COMPUTED_VALUE"""),8.9510895013E10)</f>
        <v>89510895013</v>
      </c>
      <c r="E1699" s="458">
        <f>IFERROR(__xludf.DUMMYFUNCTION("""COMPUTED_VALUE"""),0.0)</f>
        <v>0</v>
      </c>
      <c r="F1699" s="273">
        <f>IFERROR(__xludf.DUMMYFUNCTION("""COMPUTED_VALUE"""),2.0)</f>
        <v>2</v>
      </c>
      <c r="G1699" t="str">
        <f>IFERROR(__xludf.DUMMYFUNCTION("""COMPUTED_VALUE"""),"Sabun batang 1 Box ( 2 PCS )")</f>
        <v>Sabun batang 1 Box ( 2 PCS )</v>
      </c>
      <c r="H1699" s="469" t="str">
        <f>IFERROR(__xludf.DUMMYFUNCTION("""COMPUTED_VALUE"""),"Sampai")</f>
        <v>Sampai</v>
      </c>
      <c r="I1699" s="470" t="str">
        <f>IFERROR(__xludf.DUMMYFUNCTION("""COMPUTED_VALUE"""),"KIMME")</f>
        <v>KIMME</v>
      </c>
      <c r="J1699" s="471" t="str">
        <f>IFERROR(__xludf.DUMMYFUNCTION("""COMPUTED_VALUE"""),"https://vt.tiktok.com/ZS9H2BvDV/")</f>
        <v>https://vt.tiktok.com/ZS9H2BvDV/</v>
      </c>
      <c r="K1699" s="470" t="str">
        <f>IFERROR(__xludf.DUMMYFUNCTION("""COMPUTED_VALUE"""),"KIMME")</f>
        <v>KIMME</v>
      </c>
      <c r="L1699" s="471" t="str">
        <f>IFERROR(__xludf.DUMMYFUNCTION("""COMPUTED_VALUE"""),"https://vt.tiktok.com/ZS9H2LwwK/")</f>
        <v>https://vt.tiktok.com/ZS9H2LwwK/</v>
      </c>
      <c r="M1699" s="470"/>
      <c r="N1699" s="471" t="str">
        <f>IFERROR(__xludf.DUMMYFUNCTION("""COMPUTED_VALUE"""),"https://vt.tiktok.com/ZS9H2PPny/")</f>
        <v>https://vt.tiktok.com/ZS9H2PPny/</v>
      </c>
      <c r="O1699" s="470"/>
      <c r="P1699" s="471" t="str">
        <f>IFERROR(__xludf.DUMMYFUNCTION("""COMPUTED_VALUE"""),"https://vt.tiktok.com/ZS9H2eUCb/")</f>
        <v>https://vt.tiktok.com/ZS9H2eUCb/</v>
      </c>
    </row>
    <row r="1700">
      <c r="A1700" s="282" t="str">
        <f>IFERROR(__xludf.DUMMYFUNCTION("""COMPUTED_VALUE"""),"MICRO")</f>
        <v>MICRO</v>
      </c>
      <c r="B1700" s="468" t="str">
        <f>IFERROR(__xludf.DUMMYFUNCTION("""COMPUTED_VALUE"""),"dewiimma03")</f>
        <v>dewiimma03</v>
      </c>
      <c r="C1700" s="283" t="str">
        <f>IFERROR(__xludf.DUMMYFUNCTION("""COMPUTED_VALUE"""),"https://www.tiktok.com/@dewiimma03")</f>
        <v>https://www.tiktok.com/@dewiimma03</v>
      </c>
      <c r="D1700" s="273">
        <f>IFERROR(__xludf.DUMMYFUNCTION("""COMPUTED_VALUE"""),8.2354109831E10)</f>
        <v>82354109831</v>
      </c>
      <c r="E1700" s="458">
        <f>IFERROR(__xludf.DUMMYFUNCTION("""COMPUTED_VALUE"""),0.0)</f>
        <v>0</v>
      </c>
      <c r="F1700" s="273">
        <f>IFERROR(__xludf.DUMMYFUNCTION("""COMPUTED_VALUE"""),4.0)</f>
        <v>4</v>
      </c>
      <c r="G1700" t="str">
        <f>IFERROR(__xludf.DUMMYFUNCTION("""COMPUTED_VALUE"""),"Sabun batang 1 Box ( 2 PCS )")</f>
        <v>Sabun batang 1 Box ( 2 PCS )</v>
      </c>
      <c r="H1700" s="469" t="str">
        <f>IFERROR(__xludf.DUMMYFUNCTION("""COMPUTED_VALUE"""),"Sampai")</f>
        <v>Sampai</v>
      </c>
      <c r="I1700" s="470" t="str">
        <f>IFERROR(__xludf.DUMMYFUNCTION("""COMPUTED_VALUE"""),"KIMME")</f>
        <v>KIMME</v>
      </c>
      <c r="J1700" s="471" t="str">
        <f>IFERROR(__xludf.DUMMYFUNCTION("""COMPUTED_VALUE"""),"https://vt.tiktok.com/ZS9H2BvDV/")</f>
        <v>https://vt.tiktok.com/ZS9H2BvDV/</v>
      </c>
      <c r="K1700" s="470" t="str">
        <f>IFERROR(__xludf.DUMMYFUNCTION("""COMPUTED_VALUE"""),"KIMME")</f>
        <v>KIMME</v>
      </c>
      <c r="L1700" s="471" t="str">
        <f>IFERROR(__xludf.DUMMYFUNCTION("""COMPUTED_VALUE"""),"https://vt.tiktok.com/ZS9H2LwwK/")</f>
        <v>https://vt.tiktok.com/ZS9H2LwwK/</v>
      </c>
      <c r="M1700" s="470"/>
      <c r="N1700" s="471" t="str">
        <f>IFERROR(__xludf.DUMMYFUNCTION("""COMPUTED_VALUE"""),"https://vt.tiktok.com/ZS9H2PPny/")</f>
        <v>https://vt.tiktok.com/ZS9H2PPny/</v>
      </c>
      <c r="O1700" s="470"/>
      <c r="P1700" s="471" t="str">
        <f>IFERROR(__xludf.DUMMYFUNCTION("""COMPUTED_VALUE"""),"https://vt.tiktok.com/ZS9H2eUCb/")</f>
        <v>https://vt.tiktok.com/ZS9H2eUCb/</v>
      </c>
    </row>
    <row r="1701">
      <c r="A1701" s="282" t="str">
        <f>IFERROR(__xludf.DUMMYFUNCTION("""COMPUTED_VALUE"""),"MICRO")</f>
        <v>MICRO</v>
      </c>
      <c r="B1701" s="468" t="str">
        <f>IFERROR(__xludf.DUMMYFUNCTION("""COMPUTED_VALUE"""),"jajandiskonan")</f>
        <v>jajandiskonan</v>
      </c>
      <c r="C1701" s="283" t="str">
        <f>IFERROR(__xludf.DUMMYFUNCTION("""COMPUTED_VALUE"""),"https://www.tiktok.com/@jajandiskonan")</f>
        <v>https://www.tiktok.com/@jajandiskonan</v>
      </c>
      <c r="D1701" s="273">
        <f>IFERROR(__xludf.DUMMYFUNCTION("""COMPUTED_VALUE"""),8.1559861155E10)</f>
        <v>81559861155</v>
      </c>
      <c r="E1701" s="458">
        <f>IFERROR(__xludf.DUMMYFUNCTION("""COMPUTED_VALUE"""),0.0)</f>
        <v>0</v>
      </c>
      <c r="F1701" s="273">
        <f>IFERROR(__xludf.DUMMYFUNCTION("""COMPUTED_VALUE"""),4.0)</f>
        <v>4</v>
      </c>
      <c r="G1701" t="str">
        <f>IFERROR(__xludf.DUMMYFUNCTION("""COMPUTED_VALUE"""),"Sabun batang 1 Box ( 2 PCS )")</f>
        <v>Sabun batang 1 Box ( 2 PCS )</v>
      </c>
      <c r="H1701" s="469" t="str">
        <f>IFERROR(__xludf.DUMMYFUNCTION("""COMPUTED_VALUE"""),"Sampai")</f>
        <v>Sampai</v>
      </c>
      <c r="I1701" s="470" t="str">
        <f>IFERROR(__xludf.DUMMYFUNCTION("""COMPUTED_VALUE"""),"KIMME")</f>
        <v>KIMME</v>
      </c>
      <c r="J1701" s="471" t="str">
        <f>IFERROR(__xludf.DUMMYFUNCTION("""COMPUTED_VALUE"""),"https://vt.tiktok.com/ZS9H2BvDV/")</f>
        <v>https://vt.tiktok.com/ZS9H2BvDV/</v>
      </c>
      <c r="K1701" s="470" t="str">
        <f>IFERROR(__xludf.DUMMYFUNCTION("""COMPUTED_VALUE"""),"KIMME")</f>
        <v>KIMME</v>
      </c>
      <c r="L1701" s="471" t="str">
        <f>IFERROR(__xludf.DUMMYFUNCTION("""COMPUTED_VALUE"""),"https://vt.tiktok.com/ZS9H2LwwK/")</f>
        <v>https://vt.tiktok.com/ZS9H2LwwK/</v>
      </c>
      <c r="M1701" s="470"/>
      <c r="N1701" s="471" t="str">
        <f>IFERROR(__xludf.DUMMYFUNCTION("""COMPUTED_VALUE"""),"https://vt.tiktok.com/ZS9H2PPny/")</f>
        <v>https://vt.tiktok.com/ZS9H2PPny/</v>
      </c>
      <c r="O1701" s="470"/>
      <c r="P1701" s="471" t="str">
        <f>IFERROR(__xludf.DUMMYFUNCTION("""COMPUTED_VALUE"""),"https://vt.tiktok.com/ZS9H2eUCb/")</f>
        <v>https://vt.tiktok.com/ZS9H2eUCb/</v>
      </c>
    </row>
    <row r="1702">
      <c r="A1702" s="282" t="str">
        <f>IFERROR(__xludf.DUMMYFUNCTION("""COMPUTED_VALUE"""),"MICRO")</f>
        <v>MICRO</v>
      </c>
      <c r="B1702" s="468" t="str">
        <f>IFERROR(__xludf.DUMMYFUNCTION("""COMPUTED_VALUE"""),"sestifitriasih808")</f>
        <v>sestifitriasih808</v>
      </c>
      <c r="C1702" s="283" t="str">
        <f>IFERROR(__xludf.DUMMYFUNCTION("""COMPUTED_VALUE"""),"https://www.tiktok.com/@sestifitriasih808")</f>
        <v>https://www.tiktok.com/@sestifitriasih808</v>
      </c>
      <c r="D1702" s="273">
        <f>IFERROR(__xludf.DUMMYFUNCTION("""COMPUTED_VALUE"""),8.8227263741E10)</f>
        <v>88227263741</v>
      </c>
      <c r="E1702" s="458">
        <f>IFERROR(__xludf.DUMMYFUNCTION("""COMPUTED_VALUE"""),0.0)</f>
        <v>0</v>
      </c>
      <c r="F1702" s="273">
        <f>IFERROR(__xludf.DUMMYFUNCTION("""COMPUTED_VALUE"""),4.0)</f>
        <v>4</v>
      </c>
      <c r="G1702" t="str">
        <f>IFERROR(__xludf.DUMMYFUNCTION("""COMPUTED_VALUE"""),"Sabun batang 1 Box ( 2 PCS )")</f>
        <v>Sabun batang 1 Box ( 2 PCS )</v>
      </c>
      <c r="H1702" s="469" t="str">
        <f>IFERROR(__xludf.DUMMYFUNCTION("""COMPUTED_VALUE"""),"Sampai")</f>
        <v>Sampai</v>
      </c>
      <c r="I1702" s="470" t="str">
        <f>IFERROR(__xludf.DUMMYFUNCTION("""COMPUTED_VALUE"""),"KIMME")</f>
        <v>KIMME</v>
      </c>
      <c r="J1702" s="471" t="str">
        <f>IFERROR(__xludf.DUMMYFUNCTION("""COMPUTED_VALUE"""),"https://vt.tiktok.com/ZSxQWDHGY/")</f>
        <v>https://vt.tiktok.com/ZSxQWDHGY/</v>
      </c>
      <c r="K1702" s="470" t="str">
        <f>IFERROR(__xludf.DUMMYFUNCTION("""COMPUTED_VALUE"""),"KIMME")</f>
        <v>KIMME</v>
      </c>
      <c r="L1702" s="471" t="str">
        <f>IFERROR(__xludf.DUMMYFUNCTION("""COMPUTED_VALUE"""),"https://vt.tiktok.com/ZSxyx75Lw/")</f>
        <v>https://vt.tiktok.com/ZSxyx75Lw/</v>
      </c>
      <c r="M1702" s="470"/>
      <c r="N1702" s="471" t="str">
        <f>IFERROR(__xludf.DUMMYFUNCTION("""COMPUTED_VALUE"""),"https://vt.tiktok.com/ZSxQnpH25/")</f>
        <v>https://vt.tiktok.com/ZSxQnpH25/</v>
      </c>
      <c r="O1702" s="470"/>
      <c r="P1702" s="471" t="str">
        <f>IFERROR(__xludf.DUMMYFUNCTION("""COMPUTED_VALUE"""),"https://vt.tiktok.com/ZSxxAAWqq/")</f>
        <v>https://vt.tiktok.com/ZSxxAAWqq/</v>
      </c>
    </row>
    <row r="1703">
      <c r="A1703" s="282" t="str">
        <f>IFERROR(__xludf.DUMMYFUNCTION("""COMPUTED_VALUE"""),"MICRO")</f>
        <v>MICRO</v>
      </c>
      <c r="B1703" s="468" t="str">
        <f>IFERROR(__xludf.DUMMYFUNCTION("""COMPUTED_VALUE"""),"ainunzrhh")</f>
        <v>ainunzrhh</v>
      </c>
      <c r="C1703" s="283" t="str">
        <f>IFERROR(__xludf.DUMMYFUNCTION("""COMPUTED_VALUE"""),"https://www.tiktok.com/@ainunzrhh")</f>
        <v>https://www.tiktok.com/@ainunzrhh</v>
      </c>
      <c r="D1703" s="273">
        <f>IFERROR(__xludf.DUMMYFUNCTION("""COMPUTED_VALUE"""),8.9688989737E10)</f>
        <v>89688989737</v>
      </c>
      <c r="E1703" s="458">
        <f>IFERROR(__xludf.DUMMYFUNCTION("""COMPUTED_VALUE"""),0.0)</f>
        <v>0</v>
      </c>
      <c r="F1703" s="273">
        <f>IFERROR(__xludf.DUMMYFUNCTION("""COMPUTED_VALUE"""),4.0)</f>
        <v>4</v>
      </c>
      <c r="G1703" t="str">
        <f>IFERROR(__xludf.DUMMYFUNCTION("""COMPUTED_VALUE"""),"Sabun batang 1 Box ( 2 PCS )")</f>
        <v>Sabun batang 1 Box ( 2 PCS )</v>
      </c>
      <c r="H1703" s="469" t="str">
        <f>IFERROR(__xludf.DUMMYFUNCTION("""COMPUTED_VALUE"""),"Sampai")</f>
        <v>Sampai</v>
      </c>
      <c r="I1703" s="470" t="str">
        <f>IFERROR(__xludf.DUMMYFUNCTION("""COMPUTED_VALUE"""),"KIMME")</f>
        <v>KIMME</v>
      </c>
      <c r="J1703" s="471" t="str">
        <f>IFERROR(__xludf.DUMMYFUNCTION("""COMPUTED_VALUE"""),"https://vt.tiktok.com/ZS9H2BvDV/")</f>
        <v>https://vt.tiktok.com/ZS9H2BvDV/</v>
      </c>
      <c r="K1703" s="470" t="str">
        <f>IFERROR(__xludf.DUMMYFUNCTION("""COMPUTED_VALUE"""),"KIMME")</f>
        <v>KIMME</v>
      </c>
      <c r="L1703" s="471" t="str">
        <f>IFERROR(__xludf.DUMMYFUNCTION("""COMPUTED_VALUE"""),"https://vt.tiktok.com/ZS9H2LwwK/")</f>
        <v>https://vt.tiktok.com/ZS9H2LwwK/</v>
      </c>
      <c r="M1703" s="470"/>
      <c r="N1703" s="471" t="str">
        <f>IFERROR(__xludf.DUMMYFUNCTION("""COMPUTED_VALUE"""),"https://vt.tiktok.com/ZS9H2PPny/")</f>
        <v>https://vt.tiktok.com/ZS9H2PPny/</v>
      </c>
      <c r="O1703" s="470"/>
      <c r="P1703" s="471" t="str">
        <f>IFERROR(__xludf.DUMMYFUNCTION("""COMPUTED_VALUE"""),"https://vt.tiktok.com/ZS9H2eUCb/")</f>
        <v>https://vt.tiktok.com/ZS9H2eUCb/</v>
      </c>
    </row>
    <row r="1704">
      <c r="A1704" s="282" t="str">
        <f>IFERROR(__xludf.DUMMYFUNCTION("""COMPUTED_VALUE"""),"MICRO")</f>
        <v>MICRO</v>
      </c>
      <c r="B1704" s="468" t="str">
        <f>IFERROR(__xludf.DUMMYFUNCTION("""COMPUTED_VALUE"""),"ahdamyshop")</f>
        <v>ahdamyshop</v>
      </c>
      <c r="C1704" s="283" t="str">
        <f>IFERROR(__xludf.DUMMYFUNCTION("""COMPUTED_VALUE"""),"https://www.tiktok.com/@ahdamyshop")</f>
        <v>https://www.tiktok.com/@ahdamyshop</v>
      </c>
      <c r="D1704" s="273">
        <f>IFERROR(__xludf.DUMMYFUNCTION("""COMPUTED_VALUE"""),8.1944164876E10)</f>
        <v>81944164876</v>
      </c>
      <c r="E1704" s="458">
        <f>IFERROR(__xludf.DUMMYFUNCTION("""COMPUTED_VALUE"""),0.0)</f>
        <v>0</v>
      </c>
      <c r="F1704" s="273">
        <f>IFERROR(__xludf.DUMMYFUNCTION("""COMPUTED_VALUE"""),4.0)</f>
        <v>4</v>
      </c>
      <c r="G1704" t="str">
        <f>IFERROR(__xludf.DUMMYFUNCTION("""COMPUTED_VALUE"""),"Sabun batang 1 Box ( 2 PCS )")</f>
        <v>Sabun batang 1 Box ( 2 PCS )</v>
      </c>
      <c r="H1704" s="469" t="str">
        <f>IFERROR(__xludf.DUMMYFUNCTION("""COMPUTED_VALUE"""),"Sampai")</f>
        <v>Sampai</v>
      </c>
      <c r="I1704" s="470" t="str">
        <f>IFERROR(__xludf.DUMMYFUNCTION("""COMPUTED_VALUE"""),"KIMME")</f>
        <v>KIMME</v>
      </c>
      <c r="J1704" s="471" t="str">
        <f>IFERROR(__xludf.DUMMYFUNCTION("""COMPUTED_VALUE"""),"https://vt.tiktok.com/ZS9H2BvDV/")</f>
        <v>https://vt.tiktok.com/ZS9H2BvDV/</v>
      </c>
      <c r="K1704" s="470" t="str">
        <f>IFERROR(__xludf.DUMMYFUNCTION("""COMPUTED_VALUE"""),"KIMME")</f>
        <v>KIMME</v>
      </c>
      <c r="L1704" s="471" t="str">
        <f>IFERROR(__xludf.DUMMYFUNCTION("""COMPUTED_VALUE"""),"https://vt.tiktok.com/ZS9H2LwwK/")</f>
        <v>https://vt.tiktok.com/ZS9H2LwwK/</v>
      </c>
      <c r="M1704" s="470"/>
      <c r="N1704" s="471" t="str">
        <f>IFERROR(__xludf.DUMMYFUNCTION("""COMPUTED_VALUE"""),"https://vt.tiktok.com/ZS9H2PPny/")</f>
        <v>https://vt.tiktok.com/ZS9H2PPny/</v>
      </c>
      <c r="O1704" s="470"/>
      <c r="P1704" s="471" t="str">
        <f>IFERROR(__xludf.DUMMYFUNCTION("""COMPUTED_VALUE"""),"https://vt.tiktok.com/ZS9H2eUCb/")</f>
        <v>https://vt.tiktok.com/ZS9H2eUCb/</v>
      </c>
    </row>
    <row r="1705">
      <c r="A1705" s="282" t="str">
        <f>IFERROR(__xludf.DUMMYFUNCTION("""COMPUTED_VALUE"""),"MICRO")</f>
        <v>MICRO</v>
      </c>
      <c r="B1705" s="468" t="str">
        <f>IFERROR(__xludf.DUMMYFUNCTION("""COMPUTED_VALUE"""),"glowing.kosmetik1")</f>
        <v>glowing.kosmetik1</v>
      </c>
      <c r="C1705" s="283" t="str">
        <f>IFERROR(__xludf.DUMMYFUNCTION("""COMPUTED_VALUE"""),"https://www.tiktok.com/@glowing.kosmetik1")</f>
        <v>https://www.tiktok.com/@glowing.kosmetik1</v>
      </c>
      <c r="D1705" s="273">
        <f>IFERROR(__xludf.DUMMYFUNCTION("""COMPUTED_VALUE"""),8.7887917471E10)</f>
        <v>87887917471</v>
      </c>
      <c r="E1705" s="458">
        <f>IFERROR(__xludf.DUMMYFUNCTION("""COMPUTED_VALUE"""),0.0)</f>
        <v>0</v>
      </c>
      <c r="F1705" s="273">
        <f>IFERROR(__xludf.DUMMYFUNCTION("""COMPUTED_VALUE"""),4.0)</f>
        <v>4</v>
      </c>
      <c r="G1705" t="str">
        <f>IFERROR(__xludf.DUMMYFUNCTION("""COMPUTED_VALUE"""),"Sabun batang 1 Box ( 2 PCS )")</f>
        <v>Sabun batang 1 Box ( 2 PCS )</v>
      </c>
      <c r="H1705" s="469" t="str">
        <f>IFERROR(__xludf.DUMMYFUNCTION("""COMPUTED_VALUE"""),"Sampai")</f>
        <v>Sampai</v>
      </c>
      <c r="I1705" s="470" t="str">
        <f>IFERROR(__xludf.DUMMYFUNCTION("""COMPUTED_VALUE"""),"KIMME")</f>
        <v>KIMME</v>
      </c>
      <c r="J1705" s="471" t="str">
        <f>IFERROR(__xludf.DUMMYFUNCTION("""COMPUTED_VALUE"""),"https://vt.tiktok.com/ZS9H2BvDV/")</f>
        <v>https://vt.tiktok.com/ZS9H2BvDV/</v>
      </c>
      <c r="K1705" s="470" t="str">
        <f>IFERROR(__xludf.DUMMYFUNCTION("""COMPUTED_VALUE"""),"KIMME")</f>
        <v>KIMME</v>
      </c>
      <c r="L1705" s="471" t="str">
        <f>IFERROR(__xludf.DUMMYFUNCTION("""COMPUTED_VALUE"""),"https://vt.tiktok.com/ZS9H2LwwK/")</f>
        <v>https://vt.tiktok.com/ZS9H2LwwK/</v>
      </c>
      <c r="M1705" s="470"/>
      <c r="N1705" s="471" t="str">
        <f>IFERROR(__xludf.DUMMYFUNCTION("""COMPUTED_VALUE"""),"https://vt.tiktok.com/ZS9H2PPny/")</f>
        <v>https://vt.tiktok.com/ZS9H2PPny/</v>
      </c>
      <c r="O1705" s="470"/>
      <c r="P1705" s="471" t="str">
        <f>IFERROR(__xludf.DUMMYFUNCTION("""COMPUTED_VALUE"""),"https://vt.tiktok.com/ZS9H2eUCb/")</f>
        <v>https://vt.tiktok.com/ZS9H2eUCb/</v>
      </c>
    </row>
    <row r="1706">
      <c r="A1706" s="282" t="str">
        <f>IFERROR(__xludf.DUMMYFUNCTION("""COMPUTED_VALUE"""),"MICRO")</f>
        <v>MICRO</v>
      </c>
      <c r="B1706" s="468" t="str">
        <f>IFERROR(__xludf.DUMMYFUNCTION("""COMPUTED_VALUE"""),"windhiaviva")</f>
        <v>windhiaviva</v>
      </c>
      <c r="C1706" s="283" t="str">
        <f>IFERROR(__xludf.DUMMYFUNCTION("""COMPUTED_VALUE"""),"https://www.tiktok.com/@windhiaviva")</f>
        <v>https://www.tiktok.com/@windhiaviva</v>
      </c>
      <c r="D1706" s="273">
        <f>IFERROR(__xludf.DUMMYFUNCTION("""COMPUTED_VALUE"""),8.5785213478E10)</f>
        <v>85785213478</v>
      </c>
      <c r="E1706" s="458">
        <f>IFERROR(__xludf.DUMMYFUNCTION("""COMPUTED_VALUE"""),0.0)</f>
        <v>0</v>
      </c>
      <c r="F1706" s="273">
        <f>IFERROR(__xludf.DUMMYFUNCTION("""COMPUTED_VALUE"""),4.0)</f>
        <v>4</v>
      </c>
      <c r="G1706" t="str">
        <f>IFERROR(__xludf.DUMMYFUNCTION("""COMPUTED_VALUE"""),"Sabun batang 1 Box ( 2 PCS )")</f>
        <v>Sabun batang 1 Box ( 2 PCS )</v>
      </c>
      <c r="H1706" s="469" t="str">
        <f>IFERROR(__xludf.DUMMYFUNCTION("""COMPUTED_VALUE"""),"Sampai")</f>
        <v>Sampai</v>
      </c>
      <c r="I1706" s="470" t="str">
        <f>IFERROR(__xludf.DUMMYFUNCTION("""COMPUTED_VALUE"""),"KIMME")</f>
        <v>KIMME</v>
      </c>
      <c r="J1706" s="471" t="str">
        <f>IFERROR(__xludf.DUMMYFUNCTION("""COMPUTED_VALUE"""),"https://vt.tiktok.com/ZS9H2BvDV/")</f>
        <v>https://vt.tiktok.com/ZS9H2BvDV/</v>
      </c>
      <c r="K1706" s="470" t="str">
        <f>IFERROR(__xludf.DUMMYFUNCTION("""COMPUTED_VALUE"""),"KIMME")</f>
        <v>KIMME</v>
      </c>
      <c r="L1706" s="471" t="str">
        <f>IFERROR(__xludf.DUMMYFUNCTION("""COMPUTED_VALUE"""),"https://vt.tiktok.com/ZS9H2LwwK/")</f>
        <v>https://vt.tiktok.com/ZS9H2LwwK/</v>
      </c>
      <c r="M1706" s="470"/>
      <c r="N1706" s="471" t="str">
        <f>IFERROR(__xludf.DUMMYFUNCTION("""COMPUTED_VALUE"""),"https://vt.tiktok.com/ZS9H2PPny/")</f>
        <v>https://vt.tiktok.com/ZS9H2PPny/</v>
      </c>
      <c r="O1706" s="470"/>
      <c r="P1706" s="471" t="str">
        <f>IFERROR(__xludf.DUMMYFUNCTION("""COMPUTED_VALUE"""),"https://vt.tiktok.com/ZS9H2eUCb/")</f>
        <v>https://vt.tiktok.com/ZS9H2eUCb/</v>
      </c>
    </row>
    <row r="1707">
      <c r="A1707" s="282" t="str">
        <f>IFERROR(__xludf.DUMMYFUNCTION("""COMPUTED_VALUE"""),"MICRO")</f>
        <v>MICRO</v>
      </c>
      <c r="B1707" s="468" t="str">
        <f>IFERROR(__xludf.DUMMYFUNCTION("""COMPUTED_VALUE"""),"storybeauty4")</f>
        <v>storybeauty4</v>
      </c>
      <c r="C1707" s="283" t="str">
        <f>IFERROR(__xludf.DUMMYFUNCTION("""COMPUTED_VALUE"""),"https://www.tiktok.com/@storybeauty4")</f>
        <v>https://www.tiktok.com/@storybeauty4</v>
      </c>
      <c r="D1707" s="273">
        <f>IFERROR(__xludf.DUMMYFUNCTION("""COMPUTED_VALUE"""),8.5257252528E10)</f>
        <v>85257252528</v>
      </c>
      <c r="E1707" s="458"/>
      <c r="F1707" s="273"/>
      <c r="G1707" t="str">
        <f>IFERROR(__xludf.DUMMYFUNCTION("""COMPUTED_VALUE"""),"Sabun batang 1 Box ( 2 PCS )")</f>
        <v>Sabun batang 1 Box ( 2 PCS )</v>
      </c>
      <c r="H1707" s="469" t="str">
        <f>IFERROR(__xludf.DUMMYFUNCTION("""COMPUTED_VALUE"""),"Sampai")</f>
        <v>Sampai</v>
      </c>
      <c r="I1707" s="470" t="str">
        <f>IFERROR(__xludf.DUMMYFUNCTION("""COMPUTED_VALUE"""),"KIMME")</f>
        <v>KIMME</v>
      </c>
      <c r="J1707" s="471" t="str">
        <f>IFERROR(__xludf.DUMMYFUNCTION("""COMPUTED_VALUE"""),"https://vt.tiktok.com/ZS9H2BvDV/")</f>
        <v>https://vt.tiktok.com/ZS9H2BvDV/</v>
      </c>
      <c r="K1707" s="470" t="str">
        <f>IFERROR(__xludf.DUMMYFUNCTION("""COMPUTED_VALUE"""),"KIMME")</f>
        <v>KIMME</v>
      </c>
      <c r="L1707" s="471" t="str">
        <f>IFERROR(__xludf.DUMMYFUNCTION("""COMPUTED_VALUE"""),"https://vt.tiktok.com/ZS9H2LwwK/")</f>
        <v>https://vt.tiktok.com/ZS9H2LwwK/</v>
      </c>
      <c r="M1707" s="470"/>
      <c r="N1707" s="471" t="str">
        <f>IFERROR(__xludf.DUMMYFUNCTION("""COMPUTED_VALUE"""),"https://vt.tiktok.com/ZS9H2PPny/")</f>
        <v>https://vt.tiktok.com/ZS9H2PPny/</v>
      </c>
      <c r="O1707" s="470"/>
      <c r="P1707" s="471" t="str">
        <f>IFERROR(__xludf.DUMMYFUNCTION("""COMPUTED_VALUE"""),"https://vt.tiktok.com/ZS9H2eUCb/")</f>
        <v>https://vt.tiktok.com/ZS9H2eUCb/</v>
      </c>
    </row>
    <row r="1708">
      <c r="A1708" s="282" t="str">
        <f>IFERROR(__xludf.DUMMYFUNCTION("""COMPUTED_VALUE"""),"MICRO")</f>
        <v>MICRO</v>
      </c>
      <c r="B1708" s="468" t="str">
        <f>IFERROR(__xludf.DUMMYFUNCTION("""COMPUTED_VALUE"""),"alnazamshop")</f>
        <v>alnazamshop</v>
      </c>
      <c r="C1708" s="283" t="str">
        <f>IFERROR(__xludf.DUMMYFUNCTION("""COMPUTED_VALUE"""),"https://www.tiktok.com/@alnazamshop")</f>
        <v>https://www.tiktok.com/@alnazamshop</v>
      </c>
      <c r="D1708" s="273">
        <f>IFERROR(__xludf.DUMMYFUNCTION("""COMPUTED_VALUE"""),8.5330209733E10)</f>
        <v>85330209733</v>
      </c>
      <c r="E1708" s="458">
        <f>IFERROR(__xludf.DUMMYFUNCTION("""COMPUTED_VALUE"""),0.0)</f>
        <v>0</v>
      </c>
      <c r="F1708" s="273">
        <f>IFERROR(__xludf.DUMMYFUNCTION("""COMPUTED_VALUE"""),4.0)</f>
        <v>4</v>
      </c>
      <c r="G1708" t="str">
        <f>IFERROR(__xludf.DUMMYFUNCTION("""COMPUTED_VALUE"""),"Sabun batang 1 Box ( 2 PCS )")</f>
        <v>Sabun batang 1 Box ( 2 PCS )</v>
      </c>
      <c r="H1708" s="469" t="str">
        <f>IFERROR(__xludf.DUMMYFUNCTION("""COMPUTED_VALUE"""),"Sampai")</f>
        <v>Sampai</v>
      </c>
      <c r="I1708" s="470" t="str">
        <f>IFERROR(__xludf.DUMMYFUNCTION("""COMPUTED_VALUE"""),"KIMME")</f>
        <v>KIMME</v>
      </c>
      <c r="J1708" s="471" t="str">
        <f>IFERROR(__xludf.DUMMYFUNCTION("""COMPUTED_VALUE"""),"https://vt.tiktok.com/ZS9H2BvDV/")</f>
        <v>https://vt.tiktok.com/ZS9H2BvDV/</v>
      </c>
      <c r="K1708" s="470" t="str">
        <f>IFERROR(__xludf.DUMMYFUNCTION("""COMPUTED_VALUE"""),"KIMME")</f>
        <v>KIMME</v>
      </c>
      <c r="L1708" s="471" t="str">
        <f>IFERROR(__xludf.DUMMYFUNCTION("""COMPUTED_VALUE"""),"https://vt.tiktok.com/ZS9H2LwwK/")</f>
        <v>https://vt.tiktok.com/ZS9H2LwwK/</v>
      </c>
      <c r="M1708" s="470"/>
      <c r="N1708" s="471" t="str">
        <f>IFERROR(__xludf.DUMMYFUNCTION("""COMPUTED_VALUE"""),"https://vt.tiktok.com/ZS9H2PPny/")</f>
        <v>https://vt.tiktok.com/ZS9H2PPny/</v>
      </c>
      <c r="O1708" s="470"/>
      <c r="P1708" s="471" t="str">
        <f>IFERROR(__xludf.DUMMYFUNCTION("""COMPUTED_VALUE"""),"https://vt.tiktok.com/ZS9H2eUCb/")</f>
        <v>https://vt.tiktok.com/ZS9H2eUCb/</v>
      </c>
    </row>
    <row r="1709">
      <c r="A1709" s="282" t="str">
        <f>IFERROR(__xludf.DUMMYFUNCTION("""COMPUTED_VALUE"""),"MICRO")</f>
        <v>MICRO</v>
      </c>
      <c r="B1709" s="468" t="str">
        <f>IFERROR(__xludf.DUMMYFUNCTION("""COMPUTED_VALUE"""),"jutsfun234_mans")</f>
        <v>jutsfun234_mans</v>
      </c>
      <c r="C1709" s="283" t="str">
        <f>IFERROR(__xludf.DUMMYFUNCTION("""COMPUTED_VALUE"""),"https://www.tiktok.com/@jutsfun234_mans")</f>
        <v>https://www.tiktok.com/@jutsfun234_mans</v>
      </c>
      <c r="D1709" s="273">
        <f>IFERROR(__xludf.DUMMYFUNCTION("""COMPUTED_VALUE"""),8.2127102779E10)</f>
        <v>82127102779</v>
      </c>
      <c r="E1709" s="458">
        <f>IFERROR(__xludf.DUMMYFUNCTION("""COMPUTED_VALUE"""),100000.0)</f>
        <v>100000</v>
      </c>
      <c r="F1709" s="273">
        <f>IFERROR(__xludf.DUMMYFUNCTION("""COMPUTED_VALUE"""),1.0)</f>
        <v>1</v>
      </c>
      <c r="G1709" t="str">
        <f>IFERROR(__xludf.DUMMYFUNCTION("""COMPUTED_VALUE"""),"Sabun batang 1 Box ( 2 PCS )")</f>
        <v>Sabun batang 1 Box ( 2 PCS )</v>
      </c>
      <c r="H1709" s="469" t="str">
        <f>IFERROR(__xludf.DUMMYFUNCTION("""COMPUTED_VALUE"""),"Sampai")</f>
        <v>Sampai</v>
      </c>
      <c r="I1709" s="470" t="str">
        <f>IFERROR(__xludf.DUMMYFUNCTION("""COMPUTED_VALUE"""),"KIMME")</f>
        <v>KIMME</v>
      </c>
      <c r="J1709" s="471" t="str">
        <f>IFERROR(__xludf.DUMMYFUNCTION("""COMPUTED_VALUE"""),"https://vt.tiktok.com/ZS9H2BvDV/")</f>
        <v>https://vt.tiktok.com/ZS9H2BvDV/</v>
      </c>
      <c r="K1709" s="470" t="str">
        <f>IFERROR(__xludf.DUMMYFUNCTION("""COMPUTED_VALUE"""),"KIMME")</f>
        <v>KIMME</v>
      </c>
      <c r="L1709" s="471" t="str">
        <f>IFERROR(__xludf.DUMMYFUNCTION("""COMPUTED_VALUE"""),"https://vt.tiktok.com/ZS9H2LwwK/")</f>
        <v>https://vt.tiktok.com/ZS9H2LwwK/</v>
      </c>
      <c r="M1709" s="470"/>
      <c r="N1709" s="471" t="str">
        <f>IFERROR(__xludf.DUMMYFUNCTION("""COMPUTED_VALUE"""),"https://vt.tiktok.com/ZS9H2PPny/")</f>
        <v>https://vt.tiktok.com/ZS9H2PPny/</v>
      </c>
      <c r="O1709" s="470"/>
      <c r="P1709" s="471" t="str">
        <f>IFERROR(__xludf.DUMMYFUNCTION("""COMPUTED_VALUE"""),"https://vt.tiktok.com/ZS9H2eUCb/")</f>
        <v>https://vt.tiktok.com/ZS9H2eUCb/</v>
      </c>
    </row>
    <row r="1710">
      <c r="A1710" s="282" t="str">
        <f>IFERROR(__xludf.DUMMYFUNCTION("""COMPUTED_VALUE"""),"MACRO")</f>
        <v>MACRO</v>
      </c>
      <c r="B1710" s="468" t="str">
        <f>IFERROR(__xludf.DUMMYFUNCTION("""COMPUTED_VALUE"""),"yuliastinpuspitas")</f>
        <v>yuliastinpuspitas</v>
      </c>
      <c r="C1710" s="283" t="str">
        <f>IFERROR(__xludf.DUMMYFUNCTION("""COMPUTED_VALUE"""),"https://www.tiktok.com/@yuliastinpuspitas")</f>
        <v>https://www.tiktok.com/@yuliastinpuspitas</v>
      </c>
      <c r="D1710" s="273">
        <f>IFERROR(__xludf.DUMMYFUNCTION("""COMPUTED_VALUE"""),8.233268013E10)</f>
        <v>82332680130</v>
      </c>
      <c r="E1710" s="458"/>
      <c r="F1710" s="273"/>
      <c r="G1710" t="str">
        <f>IFERROR(__xludf.DUMMYFUNCTION("""COMPUTED_VALUE"""),"Sabun batang 1 Box ( 2 PCS )")</f>
        <v>Sabun batang 1 Box ( 2 PCS )</v>
      </c>
      <c r="H1710" s="469" t="str">
        <f>IFERROR(__xludf.DUMMYFUNCTION("""COMPUTED_VALUE"""),"Sampai")</f>
        <v>Sampai</v>
      </c>
      <c r="I1710" s="470" t="str">
        <f>IFERROR(__xludf.DUMMYFUNCTION("""COMPUTED_VALUE"""),"KIMME")</f>
        <v>KIMME</v>
      </c>
      <c r="J1710" s="471" t="str">
        <f>IFERROR(__xludf.DUMMYFUNCTION("""COMPUTED_VALUE"""),"https://vt.tiktok.com/ZS9H2BvDV/")</f>
        <v>https://vt.tiktok.com/ZS9H2BvDV/</v>
      </c>
      <c r="K1710" s="470" t="str">
        <f>IFERROR(__xludf.DUMMYFUNCTION("""COMPUTED_VALUE"""),"KIMME")</f>
        <v>KIMME</v>
      </c>
      <c r="L1710" s="471" t="str">
        <f>IFERROR(__xludf.DUMMYFUNCTION("""COMPUTED_VALUE"""),"https://vt.tiktok.com/ZS9H2LwwK/")</f>
        <v>https://vt.tiktok.com/ZS9H2LwwK/</v>
      </c>
      <c r="M1710" s="470"/>
      <c r="O1710" s="470"/>
    </row>
    <row r="1711">
      <c r="A1711" s="282" t="str">
        <f>IFERROR(__xludf.DUMMYFUNCTION("""COMPUTED_VALUE"""),"MICRO")</f>
        <v>MICRO</v>
      </c>
      <c r="B1711" s="468" t="str">
        <f>IFERROR(__xludf.DUMMYFUNCTION("""COMPUTED_VALUE"""),"gleenshaff")</f>
        <v>gleenshaff</v>
      </c>
      <c r="C1711" s="283" t="str">
        <f>IFERROR(__xludf.DUMMYFUNCTION("""COMPUTED_VALUE"""),"https://www.tiktok.com/@gleenshaff")</f>
        <v>https://www.tiktok.com/@gleenshaff</v>
      </c>
      <c r="D1711" s="273">
        <f>IFERROR(__xludf.DUMMYFUNCTION("""COMPUTED_VALUE"""),8.8215985536E10)</f>
        <v>88215985536</v>
      </c>
      <c r="E1711" s="458">
        <f>IFERROR(__xludf.DUMMYFUNCTION("""COMPUTED_VALUE"""),0.0)</f>
        <v>0</v>
      </c>
      <c r="F1711" s="273">
        <f>IFERROR(__xludf.DUMMYFUNCTION("""COMPUTED_VALUE"""),4.0)</f>
        <v>4</v>
      </c>
      <c r="G1711" t="str">
        <f>IFERROR(__xludf.DUMMYFUNCTION("""COMPUTED_VALUE"""),"Sabun batang 1 Box ( 2 PCS )")</f>
        <v>Sabun batang 1 Box ( 2 PCS )</v>
      </c>
      <c r="H1711" s="469" t="str">
        <f>IFERROR(__xludf.DUMMYFUNCTION("""COMPUTED_VALUE"""),"Sampai")</f>
        <v>Sampai</v>
      </c>
      <c r="I1711" s="470" t="str">
        <f>IFERROR(__xludf.DUMMYFUNCTION("""COMPUTED_VALUE"""),"KIMME")</f>
        <v>KIMME</v>
      </c>
      <c r="J1711" s="471" t="str">
        <f>IFERROR(__xludf.DUMMYFUNCTION("""COMPUTED_VALUE"""),"https://vt.tiktok.com/ZS9H2BvDV/")</f>
        <v>https://vt.tiktok.com/ZS9H2BvDV/</v>
      </c>
      <c r="K1711" s="470" t="str">
        <f>IFERROR(__xludf.DUMMYFUNCTION("""COMPUTED_VALUE"""),"KIMME")</f>
        <v>KIMME</v>
      </c>
      <c r="L1711" s="471" t="str">
        <f>IFERROR(__xludf.DUMMYFUNCTION("""COMPUTED_VALUE"""),"https://vt.tiktok.com/ZS9H2LwwK/")</f>
        <v>https://vt.tiktok.com/ZS9H2LwwK/</v>
      </c>
      <c r="M1711" s="470"/>
      <c r="N1711" s="471" t="str">
        <f>IFERROR(__xludf.DUMMYFUNCTION("""COMPUTED_VALUE"""),"https://vt.tiktok.com/ZS9H2PPny/")</f>
        <v>https://vt.tiktok.com/ZS9H2PPny/</v>
      </c>
      <c r="O1711" s="470"/>
      <c r="P1711" s="471" t="str">
        <f>IFERROR(__xludf.DUMMYFUNCTION("""COMPUTED_VALUE"""),"https://vt.tiktok.com/ZS9H2eUCb/")</f>
        <v>https://vt.tiktok.com/ZS9H2eUCb/</v>
      </c>
    </row>
    <row r="1712">
      <c r="A1712" s="282" t="str">
        <f>IFERROR(__xludf.DUMMYFUNCTION("""COMPUTED_VALUE"""),"MICRO")</f>
        <v>MICRO</v>
      </c>
      <c r="B1712" s="468" t="str">
        <f>IFERROR(__xludf.DUMMYFUNCTION("""COMPUTED_VALUE"""),"wahyubella24")</f>
        <v>wahyubella24</v>
      </c>
      <c r="C1712" s="283" t="str">
        <f>IFERROR(__xludf.DUMMYFUNCTION("""COMPUTED_VALUE"""),"https://www.tiktok.com/@wahyubella24")</f>
        <v>https://www.tiktok.com/@wahyubella24</v>
      </c>
      <c r="D1712" s="273">
        <f>IFERROR(__xludf.DUMMYFUNCTION("""COMPUTED_VALUE"""),8.9532053387E11)</f>
        <v>895320533870</v>
      </c>
      <c r="E1712" s="458">
        <f>IFERROR(__xludf.DUMMYFUNCTION("""COMPUTED_VALUE"""),0.0)</f>
        <v>0</v>
      </c>
      <c r="F1712" s="273">
        <f>IFERROR(__xludf.DUMMYFUNCTION("""COMPUTED_VALUE"""),4.0)</f>
        <v>4</v>
      </c>
      <c r="G1712" t="str">
        <f>IFERROR(__xludf.DUMMYFUNCTION("""COMPUTED_VALUE"""),"Sabun batang 1 Box ( 2 PCS )")</f>
        <v>Sabun batang 1 Box ( 2 PCS )</v>
      </c>
      <c r="H1712" s="469" t="str">
        <f>IFERROR(__xludf.DUMMYFUNCTION("""COMPUTED_VALUE"""),"Sampai")</f>
        <v>Sampai</v>
      </c>
      <c r="I1712" s="470" t="str">
        <f>IFERROR(__xludf.DUMMYFUNCTION("""COMPUTED_VALUE"""),"KIMME")</f>
        <v>KIMME</v>
      </c>
      <c r="J1712" s="471" t="str">
        <f>IFERROR(__xludf.DUMMYFUNCTION("""COMPUTED_VALUE"""),"https://vt.tiktok.com/ZS9H2BvDV/")</f>
        <v>https://vt.tiktok.com/ZS9H2BvDV/</v>
      </c>
      <c r="K1712" s="470" t="str">
        <f>IFERROR(__xludf.DUMMYFUNCTION("""COMPUTED_VALUE"""),"KIMME")</f>
        <v>KIMME</v>
      </c>
      <c r="L1712" s="471" t="str">
        <f>IFERROR(__xludf.DUMMYFUNCTION("""COMPUTED_VALUE"""),"https://vt.tiktok.com/ZS9H2LwwK/")</f>
        <v>https://vt.tiktok.com/ZS9H2LwwK/</v>
      </c>
      <c r="M1712" s="470"/>
      <c r="N1712" s="471" t="str">
        <f>IFERROR(__xludf.DUMMYFUNCTION("""COMPUTED_VALUE"""),"https://vt.tiktok.com/ZS9H2PPny/")</f>
        <v>https://vt.tiktok.com/ZS9H2PPny/</v>
      </c>
      <c r="O1712" s="470"/>
      <c r="P1712" s="471" t="str">
        <f>IFERROR(__xludf.DUMMYFUNCTION("""COMPUTED_VALUE"""),"https://vt.tiktok.com/ZS9H2eUCb/")</f>
        <v>https://vt.tiktok.com/ZS9H2eUCb/</v>
      </c>
    </row>
    <row r="1713">
      <c r="A1713" s="282" t="str">
        <f>IFERROR(__xludf.DUMMYFUNCTION("""COMPUTED_VALUE"""),"MICRO")</f>
        <v>MICRO</v>
      </c>
      <c r="B1713" s="468" t="str">
        <f>IFERROR(__xludf.DUMMYFUNCTION("""COMPUTED_VALUE"""),"widiwanali")</f>
        <v>widiwanali</v>
      </c>
      <c r="C1713" s="283" t="str">
        <f>IFERROR(__xludf.DUMMYFUNCTION("""COMPUTED_VALUE"""),"https://www.tiktok.com/@widiwanali")</f>
        <v>https://www.tiktok.com/@widiwanali</v>
      </c>
      <c r="D1713" s="273">
        <f>IFERROR(__xludf.DUMMYFUNCTION("""COMPUTED_VALUE"""),8.2121628215E10)</f>
        <v>82121628215</v>
      </c>
      <c r="E1713" s="458"/>
      <c r="F1713" s="273"/>
      <c r="G1713" t="str">
        <f>IFERROR(__xludf.DUMMYFUNCTION("""COMPUTED_VALUE"""),"Sabun batang 1 Box ( 2 PCS )")</f>
        <v>Sabun batang 1 Box ( 2 PCS )</v>
      </c>
      <c r="H1713" s="469" t="str">
        <f>IFERROR(__xludf.DUMMYFUNCTION("""COMPUTED_VALUE"""),"Sampai")</f>
        <v>Sampai</v>
      </c>
      <c r="I1713" s="470" t="str">
        <f>IFERROR(__xludf.DUMMYFUNCTION("""COMPUTED_VALUE"""),"KIMME")</f>
        <v>KIMME</v>
      </c>
      <c r="J1713" s="471" t="str">
        <f>IFERROR(__xludf.DUMMYFUNCTION("""COMPUTED_VALUE"""),"https://vt.tiktok.com/ZS9H2BvDV/")</f>
        <v>https://vt.tiktok.com/ZS9H2BvDV/</v>
      </c>
      <c r="K1713" s="470" t="str">
        <f>IFERROR(__xludf.DUMMYFUNCTION("""COMPUTED_VALUE"""),"KIMME")</f>
        <v>KIMME</v>
      </c>
      <c r="L1713" s="471" t="str">
        <f>IFERROR(__xludf.DUMMYFUNCTION("""COMPUTED_VALUE"""),"https://vt.tiktok.com/ZS9H2LwwK/")</f>
        <v>https://vt.tiktok.com/ZS9H2LwwK/</v>
      </c>
      <c r="M1713" s="470"/>
      <c r="N1713" s="471" t="str">
        <f>IFERROR(__xludf.DUMMYFUNCTION("""COMPUTED_VALUE"""),"https://vt.tiktok.com/ZS9H2PPny/")</f>
        <v>https://vt.tiktok.com/ZS9H2PPny/</v>
      </c>
      <c r="O1713" s="470"/>
      <c r="P1713" s="471" t="str">
        <f>IFERROR(__xludf.DUMMYFUNCTION("""COMPUTED_VALUE"""),"https://vt.tiktok.com/ZS9H2eUCb/")</f>
        <v>https://vt.tiktok.com/ZS9H2eUCb/</v>
      </c>
    </row>
    <row r="1714">
      <c r="A1714" s="282" t="str">
        <f>IFERROR(__xludf.DUMMYFUNCTION("""COMPUTED_VALUE"""),"MICRO")</f>
        <v>MICRO</v>
      </c>
      <c r="B1714" s="468" t="str">
        <f>IFERROR(__xludf.DUMMYFUNCTION("""COMPUTED_VALUE"""),"nay_naima")</f>
        <v>nay_naima</v>
      </c>
      <c r="C1714" s="283" t="str">
        <f>IFERROR(__xludf.DUMMYFUNCTION("""COMPUTED_VALUE"""),"https://www.tiktok.com/@nay_naima")</f>
        <v>https://www.tiktok.com/@nay_naima</v>
      </c>
      <c r="D1714" s="273">
        <f>IFERROR(__xludf.DUMMYFUNCTION("""COMPUTED_VALUE"""),8.582203729E10)</f>
        <v>85822037290</v>
      </c>
      <c r="E1714" s="458">
        <f>IFERROR(__xludf.DUMMYFUNCTION("""COMPUTED_VALUE"""),0.0)</f>
        <v>0</v>
      </c>
      <c r="F1714" s="273">
        <f>IFERROR(__xludf.DUMMYFUNCTION("""COMPUTED_VALUE"""),4.0)</f>
        <v>4</v>
      </c>
      <c r="G1714" t="str">
        <f>IFERROR(__xludf.DUMMYFUNCTION("""COMPUTED_VALUE"""),"Sabun batang 1 Box ( 2 PCS )")</f>
        <v>Sabun batang 1 Box ( 2 PCS )</v>
      </c>
      <c r="H1714" s="469" t="str">
        <f>IFERROR(__xludf.DUMMYFUNCTION("""COMPUTED_VALUE"""),"Sampai")</f>
        <v>Sampai</v>
      </c>
      <c r="I1714" s="470" t="str">
        <f>IFERROR(__xludf.DUMMYFUNCTION("""COMPUTED_VALUE"""),"KIMME")</f>
        <v>KIMME</v>
      </c>
      <c r="J1714" s="471" t="str">
        <f>IFERROR(__xludf.DUMMYFUNCTION("""COMPUTED_VALUE"""),"https://vt.tiktok.com/ZS9H2BvDV/")</f>
        <v>https://vt.tiktok.com/ZS9H2BvDV/</v>
      </c>
      <c r="K1714" s="470" t="str">
        <f>IFERROR(__xludf.DUMMYFUNCTION("""COMPUTED_VALUE"""),"KIMME")</f>
        <v>KIMME</v>
      </c>
      <c r="L1714" s="471" t="str">
        <f>IFERROR(__xludf.DUMMYFUNCTION("""COMPUTED_VALUE"""),"https://vt.tiktok.com/ZS9H2LwwK/")</f>
        <v>https://vt.tiktok.com/ZS9H2LwwK/</v>
      </c>
      <c r="M1714" s="470"/>
      <c r="N1714" s="471" t="str">
        <f>IFERROR(__xludf.DUMMYFUNCTION("""COMPUTED_VALUE"""),"https://vt.tiktok.com/ZS9H2PPny/")</f>
        <v>https://vt.tiktok.com/ZS9H2PPny/</v>
      </c>
      <c r="O1714" s="470"/>
      <c r="P1714" s="471" t="str">
        <f>IFERROR(__xludf.DUMMYFUNCTION("""COMPUTED_VALUE"""),"https://vt.tiktok.com/ZS9H2eUCb/")</f>
        <v>https://vt.tiktok.com/ZS9H2eUCb/</v>
      </c>
    </row>
    <row r="1715">
      <c r="A1715" s="282" t="str">
        <f>IFERROR(__xludf.DUMMYFUNCTION("""COMPUTED_VALUE"""),"MICRO")</f>
        <v>MICRO</v>
      </c>
      <c r="B1715" s="468" t="str">
        <f>IFERROR(__xludf.DUMMYFUNCTION("""COMPUTED_VALUE"""),"dhea.fa1")</f>
        <v>dhea.fa1</v>
      </c>
      <c r="C1715" s="283" t="str">
        <f>IFERROR(__xludf.DUMMYFUNCTION("""COMPUTED_VALUE"""),"https://www.tiktok.com/@dhea.fa1")</f>
        <v>https://www.tiktok.com/@dhea.fa1</v>
      </c>
      <c r="D1715" s="273">
        <f>IFERROR(__xludf.DUMMYFUNCTION("""COMPUTED_VALUE"""),8.5752670789E10)</f>
        <v>85752670789</v>
      </c>
      <c r="E1715" s="458">
        <f>IFERROR(__xludf.DUMMYFUNCTION("""COMPUTED_VALUE"""),0.0)</f>
        <v>0</v>
      </c>
      <c r="F1715" s="273">
        <f>IFERROR(__xludf.DUMMYFUNCTION("""COMPUTED_VALUE"""),4.0)</f>
        <v>4</v>
      </c>
      <c r="G1715" t="str">
        <f>IFERROR(__xludf.DUMMYFUNCTION("""COMPUTED_VALUE"""),"Sabun batang 1 Box ( 2 PCS )")</f>
        <v>Sabun batang 1 Box ( 2 PCS )</v>
      </c>
      <c r="H1715" s="469" t="str">
        <f>IFERROR(__xludf.DUMMYFUNCTION("""COMPUTED_VALUE"""),"Sampai")</f>
        <v>Sampai</v>
      </c>
      <c r="I1715" s="470" t="str">
        <f>IFERROR(__xludf.DUMMYFUNCTION("""COMPUTED_VALUE"""),"KIMME")</f>
        <v>KIMME</v>
      </c>
      <c r="J1715" s="471" t="str">
        <f>IFERROR(__xludf.DUMMYFUNCTION("""COMPUTED_VALUE"""),"https://vt.tiktok.com/ZS9H2BvDV/")</f>
        <v>https://vt.tiktok.com/ZS9H2BvDV/</v>
      </c>
      <c r="K1715" s="470" t="str">
        <f>IFERROR(__xludf.DUMMYFUNCTION("""COMPUTED_VALUE"""),"KIMME")</f>
        <v>KIMME</v>
      </c>
      <c r="L1715" s="471" t="str">
        <f>IFERROR(__xludf.DUMMYFUNCTION("""COMPUTED_VALUE"""),"https://vt.tiktok.com/ZS9H2LwwK/")</f>
        <v>https://vt.tiktok.com/ZS9H2LwwK/</v>
      </c>
      <c r="M1715" s="470"/>
      <c r="N1715" s="471" t="str">
        <f>IFERROR(__xludf.DUMMYFUNCTION("""COMPUTED_VALUE"""),"https://vt.tiktok.com/ZS9H2PPny/")</f>
        <v>https://vt.tiktok.com/ZS9H2PPny/</v>
      </c>
      <c r="O1715" s="470"/>
      <c r="P1715" s="471" t="str">
        <f>IFERROR(__xludf.DUMMYFUNCTION("""COMPUTED_VALUE"""),"https://vt.tiktok.com/ZS9H2eUCb/")</f>
        <v>https://vt.tiktok.com/ZS9H2eUCb/</v>
      </c>
    </row>
    <row r="1716">
      <c r="A1716" s="282" t="str">
        <f>IFERROR(__xludf.DUMMYFUNCTION("""COMPUTED_VALUE"""),"MICRO")</f>
        <v>MICRO</v>
      </c>
      <c r="B1716" s="468" t="str">
        <f>IFERROR(__xludf.DUMMYFUNCTION("""COMPUTED_VALUE"""),"faizareva7")</f>
        <v>faizareva7</v>
      </c>
      <c r="C1716" s="283" t="str">
        <f>IFERROR(__xludf.DUMMYFUNCTION("""COMPUTED_VALUE"""),"https://www.tiktok.com/@faizareva7")</f>
        <v>https://www.tiktok.com/@faizareva7</v>
      </c>
      <c r="D1716" s="273">
        <f>IFERROR(__xludf.DUMMYFUNCTION("""COMPUTED_VALUE"""),8.5750363544E10)</f>
        <v>85750363544</v>
      </c>
      <c r="E1716" s="458">
        <f>IFERROR(__xludf.DUMMYFUNCTION("""COMPUTED_VALUE"""),0.0)</f>
        <v>0</v>
      </c>
      <c r="F1716" s="273">
        <f>IFERROR(__xludf.DUMMYFUNCTION("""COMPUTED_VALUE"""),4.0)</f>
        <v>4</v>
      </c>
      <c r="G1716" t="str">
        <f>IFERROR(__xludf.DUMMYFUNCTION("""COMPUTED_VALUE"""),"Sabun batang 1 Box ( 2 PCS )")</f>
        <v>Sabun batang 1 Box ( 2 PCS )</v>
      </c>
      <c r="H1716" s="469" t="str">
        <f>IFERROR(__xludf.DUMMYFUNCTION("""COMPUTED_VALUE"""),"Sampai")</f>
        <v>Sampai</v>
      </c>
      <c r="I1716" s="470" t="str">
        <f>IFERROR(__xludf.DUMMYFUNCTION("""COMPUTED_VALUE"""),"KIMME")</f>
        <v>KIMME</v>
      </c>
      <c r="J1716" s="471" t="str">
        <f>IFERROR(__xludf.DUMMYFUNCTION("""COMPUTED_VALUE"""),"https://vt.tiktok.com/ZS9H2BvDV/")</f>
        <v>https://vt.tiktok.com/ZS9H2BvDV/</v>
      </c>
      <c r="K1716" s="470" t="str">
        <f>IFERROR(__xludf.DUMMYFUNCTION("""COMPUTED_VALUE"""),"KIMME")</f>
        <v>KIMME</v>
      </c>
      <c r="L1716" s="471" t="str">
        <f>IFERROR(__xludf.DUMMYFUNCTION("""COMPUTED_VALUE"""),"https://vt.tiktok.com/ZS9H2LwwK/")</f>
        <v>https://vt.tiktok.com/ZS9H2LwwK/</v>
      </c>
      <c r="M1716" s="470"/>
      <c r="N1716" s="471" t="str">
        <f>IFERROR(__xludf.DUMMYFUNCTION("""COMPUTED_VALUE"""),"https://vt.tiktok.com/ZS9H2PPny/")</f>
        <v>https://vt.tiktok.com/ZS9H2PPny/</v>
      </c>
      <c r="O1716" s="470"/>
      <c r="P1716" s="471" t="str">
        <f>IFERROR(__xludf.DUMMYFUNCTION("""COMPUTED_VALUE"""),"https://vt.tiktok.com/ZS9H2eUCb/")</f>
        <v>https://vt.tiktok.com/ZS9H2eUCb/</v>
      </c>
    </row>
    <row r="1717">
      <c r="A1717" s="282" t="str">
        <f>IFERROR(__xludf.DUMMYFUNCTION("""COMPUTED_VALUE"""),"MICRO")</f>
        <v>MICRO</v>
      </c>
      <c r="B1717" s="468" t="str">
        <f>IFERROR(__xludf.DUMMYFUNCTION("""COMPUTED_VALUE"""),"ninaherlina1657")</f>
        <v>ninaherlina1657</v>
      </c>
      <c r="C1717" s="283" t="str">
        <f>IFERROR(__xludf.DUMMYFUNCTION("""COMPUTED_VALUE"""),"https://www.tiktok.com/@ninaherlina1657")</f>
        <v>https://www.tiktok.com/@ninaherlina1657</v>
      </c>
      <c r="D1717" s="273">
        <f>IFERROR(__xludf.DUMMYFUNCTION("""COMPUTED_VALUE"""),8.5872525492E10)</f>
        <v>85872525492</v>
      </c>
      <c r="E1717" s="458">
        <f>IFERROR(__xludf.DUMMYFUNCTION("""COMPUTED_VALUE"""),0.0)</f>
        <v>0</v>
      </c>
      <c r="F1717" s="273">
        <f>IFERROR(__xludf.DUMMYFUNCTION("""COMPUTED_VALUE"""),4.0)</f>
        <v>4</v>
      </c>
      <c r="G1717" t="str">
        <f>IFERROR(__xludf.DUMMYFUNCTION("""COMPUTED_VALUE"""),"Sabun batang 1 Box ( 2 PCS )")</f>
        <v>Sabun batang 1 Box ( 2 PCS )</v>
      </c>
      <c r="H1717" s="469" t="str">
        <f>IFERROR(__xludf.DUMMYFUNCTION("""COMPUTED_VALUE"""),"Sampai")</f>
        <v>Sampai</v>
      </c>
      <c r="I1717" s="470" t="str">
        <f>IFERROR(__xludf.DUMMYFUNCTION("""COMPUTED_VALUE"""),"KIMME")</f>
        <v>KIMME</v>
      </c>
      <c r="J1717" s="471" t="str">
        <f>IFERROR(__xludf.DUMMYFUNCTION("""COMPUTED_VALUE"""),"https://vt.tiktok.com/ZS9H2BvDV/")</f>
        <v>https://vt.tiktok.com/ZS9H2BvDV/</v>
      </c>
      <c r="K1717" s="470" t="str">
        <f>IFERROR(__xludf.DUMMYFUNCTION("""COMPUTED_VALUE"""),"KIMME")</f>
        <v>KIMME</v>
      </c>
      <c r="L1717" s="471" t="str">
        <f>IFERROR(__xludf.DUMMYFUNCTION("""COMPUTED_VALUE"""),"https://vt.tiktok.com/ZS9H2LwwK/")</f>
        <v>https://vt.tiktok.com/ZS9H2LwwK/</v>
      </c>
      <c r="M1717" s="470"/>
      <c r="N1717" s="471" t="str">
        <f>IFERROR(__xludf.DUMMYFUNCTION("""COMPUTED_VALUE"""),"https://vt.tiktok.com/ZS9H2PPny/")</f>
        <v>https://vt.tiktok.com/ZS9H2PPny/</v>
      </c>
      <c r="O1717" s="470"/>
      <c r="P1717" s="471" t="str">
        <f>IFERROR(__xludf.DUMMYFUNCTION("""COMPUTED_VALUE"""),"https://vt.tiktok.com/ZS9H2eUCb/")</f>
        <v>https://vt.tiktok.com/ZS9H2eUCb/</v>
      </c>
    </row>
    <row r="1718">
      <c r="A1718" s="282" t="str">
        <f>IFERROR(__xludf.DUMMYFUNCTION("""COMPUTED_VALUE"""),"MICRO")</f>
        <v>MICRO</v>
      </c>
      <c r="B1718" s="468" t="str">
        <f>IFERROR(__xludf.DUMMYFUNCTION("""COMPUTED_VALUE"""),"panggilsajadewi24")</f>
        <v>panggilsajadewi24</v>
      </c>
      <c r="C1718" s="283" t="str">
        <f>IFERROR(__xludf.DUMMYFUNCTION("""COMPUTED_VALUE"""),"https://www.tiktok.com/@panggilsajadewi24")</f>
        <v>https://www.tiktok.com/@panggilsajadewi24</v>
      </c>
      <c r="D1718" s="273">
        <f>IFERROR(__xludf.DUMMYFUNCTION("""COMPUTED_VALUE"""),8.5226178434E10)</f>
        <v>85226178434</v>
      </c>
      <c r="E1718" s="458">
        <f>IFERROR(__xludf.DUMMYFUNCTION("""COMPUTED_VALUE"""),0.0)</f>
        <v>0</v>
      </c>
      <c r="F1718" s="273">
        <f>IFERROR(__xludf.DUMMYFUNCTION("""COMPUTED_VALUE"""),2.0)</f>
        <v>2</v>
      </c>
      <c r="G1718" t="str">
        <f>IFERROR(__xludf.DUMMYFUNCTION("""COMPUTED_VALUE"""),"Sabun batang 1 Box ( 2 PCS )")</f>
        <v>Sabun batang 1 Box ( 2 PCS )</v>
      </c>
      <c r="H1718" s="469" t="str">
        <f>IFERROR(__xludf.DUMMYFUNCTION("""COMPUTED_VALUE"""),"Sampai")</f>
        <v>Sampai</v>
      </c>
      <c r="I1718" s="470" t="str">
        <f>IFERROR(__xludf.DUMMYFUNCTION("""COMPUTED_VALUE"""),"KIMME")</f>
        <v>KIMME</v>
      </c>
      <c r="J1718" s="471" t="str">
        <f>IFERROR(__xludf.DUMMYFUNCTION("""COMPUTED_VALUE"""),"https://vt.tiktok.com/ZS9H2BvDV/")</f>
        <v>https://vt.tiktok.com/ZS9H2BvDV/</v>
      </c>
      <c r="K1718" s="470" t="str">
        <f>IFERROR(__xludf.DUMMYFUNCTION("""COMPUTED_VALUE"""),"KIMME")</f>
        <v>KIMME</v>
      </c>
      <c r="L1718" s="471" t="str">
        <f>IFERROR(__xludf.DUMMYFUNCTION("""COMPUTED_VALUE"""),"https://vt.tiktok.com/ZS9H2LwwK/")</f>
        <v>https://vt.tiktok.com/ZS9H2LwwK/</v>
      </c>
      <c r="M1718" s="470"/>
      <c r="N1718" s="471" t="str">
        <f>IFERROR(__xludf.DUMMYFUNCTION("""COMPUTED_VALUE"""),"https://vt.tiktok.com/ZS9H2PPny/")</f>
        <v>https://vt.tiktok.com/ZS9H2PPny/</v>
      </c>
      <c r="O1718" s="470"/>
      <c r="P1718" s="471" t="str">
        <f>IFERROR(__xludf.DUMMYFUNCTION("""COMPUTED_VALUE"""),"https://vt.tiktok.com/ZS9H2eUCb/")</f>
        <v>https://vt.tiktok.com/ZS9H2eUCb/</v>
      </c>
    </row>
    <row r="1719">
      <c r="A1719" s="282" t="str">
        <f>IFERROR(__xludf.DUMMYFUNCTION("""COMPUTED_VALUE"""),"MICRO")</f>
        <v>MICRO</v>
      </c>
      <c r="B1719" s="468" t="str">
        <f>IFERROR(__xludf.DUMMYFUNCTION("""COMPUTED_VALUE"""),"izzabheel")</f>
        <v>izzabheel</v>
      </c>
      <c r="C1719" s="283" t="str">
        <f>IFERROR(__xludf.DUMMYFUNCTION("""COMPUTED_VALUE"""),"https://www.tiktok.com/@izzabheel")</f>
        <v>https://www.tiktok.com/@izzabheel</v>
      </c>
      <c r="D1719" s="273">
        <f>IFERROR(__xludf.DUMMYFUNCTION("""COMPUTED_VALUE"""),8.2328120711E10)</f>
        <v>82328120711</v>
      </c>
      <c r="E1719" s="458"/>
      <c r="F1719" s="273"/>
      <c r="G1719" t="str">
        <f>IFERROR(__xludf.DUMMYFUNCTION("""COMPUTED_VALUE"""),"Sabun batang 1 Box ( 2 PCS )")</f>
        <v>Sabun batang 1 Box ( 2 PCS )</v>
      </c>
      <c r="H1719" s="469" t="str">
        <f>IFERROR(__xludf.DUMMYFUNCTION("""COMPUTED_VALUE"""),"Sampai")</f>
        <v>Sampai</v>
      </c>
      <c r="I1719" s="470" t="str">
        <f>IFERROR(__xludf.DUMMYFUNCTION("""COMPUTED_VALUE"""),"KIMME")</f>
        <v>KIMME</v>
      </c>
      <c r="J1719" s="471" t="str">
        <f>IFERROR(__xludf.DUMMYFUNCTION("""COMPUTED_VALUE"""),"https://vt.tiktok.com/ZS9H2BvDV/")</f>
        <v>https://vt.tiktok.com/ZS9H2BvDV/</v>
      </c>
      <c r="K1719" s="470" t="str">
        <f>IFERROR(__xludf.DUMMYFUNCTION("""COMPUTED_VALUE"""),"KIMME")</f>
        <v>KIMME</v>
      </c>
      <c r="L1719" s="471" t="str">
        <f>IFERROR(__xludf.DUMMYFUNCTION("""COMPUTED_VALUE"""),"https://vt.tiktok.com/ZS9H2LwwK/")</f>
        <v>https://vt.tiktok.com/ZS9H2LwwK/</v>
      </c>
      <c r="M1719" s="470"/>
      <c r="N1719" s="471" t="str">
        <f>IFERROR(__xludf.DUMMYFUNCTION("""COMPUTED_VALUE"""),"https://vt.tiktok.com/ZS9H2PPny/")</f>
        <v>https://vt.tiktok.com/ZS9H2PPny/</v>
      </c>
      <c r="O1719" s="470"/>
      <c r="P1719" s="471" t="str">
        <f>IFERROR(__xludf.DUMMYFUNCTION("""COMPUTED_VALUE"""),"https://vt.tiktok.com/ZS9H2eUCb/")</f>
        <v>https://vt.tiktok.com/ZS9H2eUCb/</v>
      </c>
    </row>
    <row r="1720">
      <c r="A1720" s="282" t="str">
        <f>IFERROR(__xludf.DUMMYFUNCTION("""COMPUTED_VALUE"""),"MICRO")</f>
        <v>MICRO</v>
      </c>
      <c r="B1720" s="468" t="str">
        <f>IFERROR(__xludf.DUMMYFUNCTION("""COMPUTED_VALUE"""),"zeynfakur")</f>
        <v>zeynfakur</v>
      </c>
      <c r="C1720" s="283" t="str">
        <f>IFERROR(__xludf.DUMMYFUNCTION("""COMPUTED_VALUE"""),"https://www.tiktok.com/@zeynfakur")</f>
        <v>https://www.tiktok.com/@zeynfakur</v>
      </c>
      <c r="D1720" s="273">
        <f>IFERROR(__xludf.DUMMYFUNCTION("""COMPUTED_VALUE"""),8.3145052966E10)</f>
        <v>83145052966</v>
      </c>
      <c r="E1720" s="458">
        <f>IFERROR(__xludf.DUMMYFUNCTION("""COMPUTED_VALUE"""),0.0)</f>
        <v>0</v>
      </c>
      <c r="F1720" s="273">
        <f>IFERROR(__xludf.DUMMYFUNCTION("""COMPUTED_VALUE"""),4.0)</f>
        <v>4</v>
      </c>
      <c r="G1720" t="str">
        <f>IFERROR(__xludf.DUMMYFUNCTION("""COMPUTED_VALUE"""),"Sabun batang 1 Box ( 2 PCS )")</f>
        <v>Sabun batang 1 Box ( 2 PCS )</v>
      </c>
      <c r="H1720" s="469" t="str">
        <f>IFERROR(__xludf.DUMMYFUNCTION("""COMPUTED_VALUE"""),"Sampai")</f>
        <v>Sampai</v>
      </c>
      <c r="I1720" s="470" t="str">
        <f>IFERROR(__xludf.DUMMYFUNCTION("""COMPUTED_VALUE"""),"KIMME")</f>
        <v>KIMME</v>
      </c>
      <c r="J1720" s="471" t="str">
        <f>IFERROR(__xludf.DUMMYFUNCTION("""COMPUTED_VALUE"""),"https://vt.tiktok.com/ZS9H2BvDV/")</f>
        <v>https://vt.tiktok.com/ZS9H2BvDV/</v>
      </c>
      <c r="K1720" s="470" t="str">
        <f>IFERROR(__xludf.DUMMYFUNCTION("""COMPUTED_VALUE"""),"KIMME")</f>
        <v>KIMME</v>
      </c>
      <c r="L1720" s="471" t="str">
        <f>IFERROR(__xludf.DUMMYFUNCTION("""COMPUTED_VALUE"""),"https://vt.tiktok.com/ZS9H2LwwK/")</f>
        <v>https://vt.tiktok.com/ZS9H2LwwK/</v>
      </c>
      <c r="M1720" s="470"/>
      <c r="N1720" s="471" t="str">
        <f>IFERROR(__xludf.DUMMYFUNCTION("""COMPUTED_VALUE"""),"https://vt.tiktok.com/ZS9H2PPny/")</f>
        <v>https://vt.tiktok.com/ZS9H2PPny/</v>
      </c>
      <c r="O1720" s="470"/>
      <c r="P1720" s="471" t="str">
        <f>IFERROR(__xludf.DUMMYFUNCTION("""COMPUTED_VALUE"""),"https://vt.tiktok.com/ZS9H2eUCb/")</f>
        <v>https://vt.tiktok.com/ZS9H2eUCb/</v>
      </c>
    </row>
    <row r="1721">
      <c r="A1721" s="282" t="str">
        <f>IFERROR(__xludf.DUMMYFUNCTION("""COMPUTED_VALUE"""),"MICRO")</f>
        <v>MICRO</v>
      </c>
      <c r="B1721" s="468" t="str">
        <f>IFERROR(__xludf.DUMMYFUNCTION("""COMPUTED_VALUE"""),"inaraffiandra5")</f>
        <v>inaraffiandra5</v>
      </c>
      <c r="C1721" s="283" t="str">
        <f>IFERROR(__xludf.DUMMYFUNCTION("""COMPUTED_VALUE"""),"https://www.tiktok.com/@inaraffiandra5")</f>
        <v>https://www.tiktok.com/@inaraffiandra5</v>
      </c>
      <c r="D1721" s="273">
        <f>IFERROR(__xludf.DUMMYFUNCTION("""COMPUTED_VALUE"""),8.3892073084E10)</f>
        <v>83892073084</v>
      </c>
      <c r="E1721" s="458">
        <f>IFERROR(__xludf.DUMMYFUNCTION("""COMPUTED_VALUE"""),0.0)</f>
        <v>0</v>
      </c>
      <c r="F1721" s="273">
        <f>IFERROR(__xludf.DUMMYFUNCTION("""COMPUTED_VALUE"""),4.0)</f>
        <v>4</v>
      </c>
      <c r="G1721" t="str">
        <f>IFERROR(__xludf.DUMMYFUNCTION("""COMPUTED_VALUE"""),"Sabun batang 1 Box ( 2 PCS )")</f>
        <v>Sabun batang 1 Box ( 2 PCS )</v>
      </c>
      <c r="H1721" s="469" t="str">
        <f>IFERROR(__xludf.DUMMYFUNCTION("""COMPUTED_VALUE"""),"Sampai")</f>
        <v>Sampai</v>
      </c>
      <c r="I1721" s="470" t="str">
        <f>IFERROR(__xludf.DUMMYFUNCTION("""COMPUTED_VALUE"""),"KIMME")</f>
        <v>KIMME</v>
      </c>
      <c r="J1721" s="471" t="str">
        <f>IFERROR(__xludf.DUMMYFUNCTION("""COMPUTED_VALUE"""),"https://vt.tiktok.com/ZS9H2BvDV/")</f>
        <v>https://vt.tiktok.com/ZS9H2BvDV/</v>
      </c>
      <c r="K1721" s="470" t="str">
        <f>IFERROR(__xludf.DUMMYFUNCTION("""COMPUTED_VALUE"""),"KIMME")</f>
        <v>KIMME</v>
      </c>
      <c r="L1721" s="471" t="str">
        <f>IFERROR(__xludf.DUMMYFUNCTION("""COMPUTED_VALUE"""),"https://vt.tiktok.com/ZS9H2LwwK/")</f>
        <v>https://vt.tiktok.com/ZS9H2LwwK/</v>
      </c>
      <c r="M1721" s="470"/>
      <c r="N1721" s="471" t="str">
        <f>IFERROR(__xludf.DUMMYFUNCTION("""COMPUTED_VALUE"""),"https://vt.tiktok.com/ZS9H2PPny/")</f>
        <v>https://vt.tiktok.com/ZS9H2PPny/</v>
      </c>
      <c r="O1721" s="470"/>
      <c r="P1721" s="471" t="str">
        <f>IFERROR(__xludf.DUMMYFUNCTION("""COMPUTED_VALUE"""),"https://vt.tiktok.com/ZS9H2eUCb/")</f>
        <v>https://vt.tiktok.com/ZS9H2eUCb/</v>
      </c>
    </row>
    <row r="1722">
      <c r="A1722" s="282" t="str">
        <f>IFERROR(__xludf.DUMMYFUNCTION("""COMPUTED_VALUE"""),"MICRO")</f>
        <v>MICRO</v>
      </c>
      <c r="B1722" s="468" t="str">
        <f>IFERROR(__xludf.DUMMYFUNCTION("""COMPUTED_VALUE"""),"29_fitrya")</f>
        <v>29_fitrya</v>
      </c>
      <c r="C1722" s="283" t="str">
        <f>IFERROR(__xludf.DUMMYFUNCTION("""COMPUTED_VALUE"""),"https://www.tiktok.com/@29_fitrya")</f>
        <v>https://www.tiktok.com/@29_fitrya</v>
      </c>
      <c r="D1722" s="273"/>
      <c r="E1722" s="458">
        <f>IFERROR(__xludf.DUMMYFUNCTION("""COMPUTED_VALUE"""),0.0)</f>
        <v>0</v>
      </c>
      <c r="F1722" s="273">
        <f>IFERROR(__xludf.DUMMYFUNCTION("""COMPUTED_VALUE"""),4.0)</f>
        <v>4</v>
      </c>
      <c r="G1722" t="str">
        <f>IFERROR(__xludf.DUMMYFUNCTION("""COMPUTED_VALUE"""),"Sabun batang 1 Box ( 2 PCS )")</f>
        <v>Sabun batang 1 Box ( 2 PCS )</v>
      </c>
      <c r="H1722" s="469" t="str">
        <f>IFERROR(__xludf.DUMMYFUNCTION("""COMPUTED_VALUE"""),"Sampai")</f>
        <v>Sampai</v>
      </c>
      <c r="I1722" s="470" t="str">
        <f>IFERROR(__xludf.DUMMYFUNCTION("""COMPUTED_VALUE"""),"KIMME")</f>
        <v>KIMME</v>
      </c>
      <c r="J1722" s="471" t="str">
        <f>IFERROR(__xludf.DUMMYFUNCTION("""COMPUTED_VALUE"""),"https://vt.tiktok.com/ZS9H2BvDV/")</f>
        <v>https://vt.tiktok.com/ZS9H2BvDV/</v>
      </c>
      <c r="K1722" s="470" t="str">
        <f>IFERROR(__xludf.DUMMYFUNCTION("""COMPUTED_VALUE"""),"KIMME")</f>
        <v>KIMME</v>
      </c>
      <c r="L1722" s="471" t="str">
        <f>IFERROR(__xludf.DUMMYFUNCTION("""COMPUTED_VALUE"""),"https://vt.tiktok.com/ZS9H2LwwK/")</f>
        <v>https://vt.tiktok.com/ZS9H2LwwK/</v>
      </c>
      <c r="M1722" s="470"/>
      <c r="N1722" s="471" t="str">
        <f>IFERROR(__xludf.DUMMYFUNCTION("""COMPUTED_VALUE"""),"https://vt.tiktok.com/ZS9H2PPny/")</f>
        <v>https://vt.tiktok.com/ZS9H2PPny/</v>
      </c>
      <c r="O1722" s="470"/>
      <c r="P1722" s="471" t="str">
        <f>IFERROR(__xludf.DUMMYFUNCTION("""COMPUTED_VALUE"""),"https://vt.tiktok.com/ZS9H2eUCb/")</f>
        <v>https://vt.tiktok.com/ZS9H2eUCb/</v>
      </c>
    </row>
    <row r="1723">
      <c r="A1723" s="282" t="str">
        <f>IFERROR(__xludf.DUMMYFUNCTION("""COMPUTED_VALUE"""),"MICRO")</f>
        <v>MICRO</v>
      </c>
      <c r="B1723" s="468" t="str">
        <f>IFERROR(__xludf.DUMMYFUNCTION("""COMPUTED_VALUE"""),"aswanah22")</f>
        <v>aswanah22</v>
      </c>
      <c r="C1723" s="283" t="str">
        <f>IFERROR(__xludf.DUMMYFUNCTION("""COMPUTED_VALUE"""),"https://www.tiktok.com/@aswanah22")</f>
        <v>https://www.tiktok.com/@aswanah22</v>
      </c>
      <c r="D1723" s="273">
        <f>IFERROR(__xludf.DUMMYFUNCTION("""COMPUTED_VALUE"""),8.8290545182E10)</f>
        <v>88290545182</v>
      </c>
      <c r="E1723" s="458">
        <f>IFERROR(__xludf.DUMMYFUNCTION("""COMPUTED_VALUE"""),0.0)</f>
        <v>0</v>
      </c>
      <c r="F1723" s="273">
        <f>IFERROR(__xludf.DUMMYFUNCTION("""COMPUTED_VALUE"""),4.0)</f>
        <v>4</v>
      </c>
      <c r="G1723" t="str">
        <f>IFERROR(__xludf.DUMMYFUNCTION("""COMPUTED_VALUE"""),"Sabun batang 1 Box ( 2 PCS )")</f>
        <v>Sabun batang 1 Box ( 2 PCS )</v>
      </c>
      <c r="H1723" s="469" t="str">
        <f>IFERROR(__xludf.DUMMYFUNCTION("""COMPUTED_VALUE"""),"Sampai")</f>
        <v>Sampai</v>
      </c>
      <c r="I1723" s="470" t="str">
        <f>IFERROR(__xludf.DUMMYFUNCTION("""COMPUTED_VALUE"""),"KIMME")</f>
        <v>KIMME</v>
      </c>
      <c r="J1723" s="471" t="str">
        <f>IFERROR(__xludf.DUMMYFUNCTION("""COMPUTED_VALUE"""),"https://vt.tiktok.com/ZS9H2BvDV/")</f>
        <v>https://vt.tiktok.com/ZS9H2BvDV/</v>
      </c>
      <c r="K1723" s="470" t="str">
        <f>IFERROR(__xludf.DUMMYFUNCTION("""COMPUTED_VALUE"""),"KIMME")</f>
        <v>KIMME</v>
      </c>
      <c r="L1723" s="471" t="str">
        <f>IFERROR(__xludf.DUMMYFUNCTION("""COMPUTED_VALUE"""),"https://vt.tiktok.com/ZS9H2LwwK/")</f>
        <v>https://vt.tiktok.com/ZS9H2LwwK/</v>
      </c>
      <c r="M1723" s="470"/>
      <c r="N1723" s="471" t="str">
        <f>IFERROR(__xludf.DUMMYFUNCTION("""COMPUTED_VALUE"""),"https://vt.tiktok.com/ZS9H2PPny/")</f>
        <v>https://vt.tiktok.com/ZS9H2PPny/</v>
      </c>
      <c r="O1723" s="470"/>
      <c r="P1723" s="471" t="str">
        <f>IFERROR(__xludf.DUMMYFUNCTION("""COMPUTED_VALUE"""),"https://vt.tiktok.com/ZS9H2eUCb/")</f>
        <v>https://vt.tiktok.com/ZS9H2eUCb/</v>
      </c>
    </row>
    <row r="1724">
      <c r="A1724" s="282" t="str">
        <f>IFERROR(__xludf.DUMMYFUNCTION("""COMPUTED_VALUE"""),"MICRO")</f>
        <v>MICRO</v>
      </c>
      <c r="B1724" s="468" t="str">
        <f>IFERROR(__xludf.DUMMYFUNCTION("""COMPUTED_VALUE"""),"lestarie467")</f>
        <v>lestarie467</v>
      </c>
      <c r="C1724" s="283" t="str">
        <f>IFERROR(__xludf.DUMMYFUNCTION("""COMPUTED_VALUE"""),"https://www.tiktok.com/@lestarie467")</f>
        <v>https://www.tiktok.com/@lestarie467</v>
      </c>
      <c r="D1724" s="273">
        <f>IFERROR(__xludf.DUMMYFUNCTION("""COMPUTED_VALUE"""),8.129644932E10)</f>
        <v>81296449320</v>
      </c>
      <c r="E1724" s="458">
        <f>IFERROR(__xludf.DUMMYFUNCTION("""COMPUTED_VALUE"""),0.0)</f>
        <v>0</v>
      </c>
      <c r="F1724" s="273">
        <f>IFERROR(__xludf.DUMMYFUNCTION("""COMPUTED_VALUE"""),4.0)</f>
        <v>4</v>
      </c>
      <c r="G1724" t="str">
        <f>IFERROR(__xludf.DUMMYFUNCTION("""COMPUTED_VALUE"""),"Sabun batang 1 Box ( 2 PCS )")</f>
        <v>Sabun batang 1 Box ( 2 PCS )</v>
      </c>
      <c r="H1724" s="469" t="str">
        <f>IFERROR(__xludf.DUMMYFUNCTION("""COMPUTED_VALUE"""),"Sampai")</f>
        <v>Sampai</v>
      </c>
      <c r="I1724" s="470" t="str">
        <f>IFERROR(__xludf.DUMMYFUNCTION("""COMPUTED_VALUE"""),"KIMME")</f>
        <v>KIMME</v>
      </c>
      <c r="J1724" s="471" t="str">
        <f>IFERROR(__xludf.DUMMYFUNCTION("""COMPUTED_VALUE"""),"https://vt.tiktok.com/ZS9H2BvDV/")</f>
        <v>https://vt.tiktok.com/ZS9H2BvDV/</v>
      </c>
      <c r="K1724" s="470" t="str">
        <f>IFERROR(__xludf.DUMMYFUNCTION("""COMPUTED_VALUE"""),"KIMME")</f>
        <v>KIMME</v>
      </c>
      <c r="L1724" s="471" t="str">
        <f>IFERROR(__xludf.DUMMYFUNCTION("""COMPUTED_VALUE"""),"https://vt.tiktok.com/ZS9H2LwwK/")</f>
        <v>https://vt.tiktok.com/ZS9H2LwwK/</v>
      </c>
      <c r="M1724" s="470"/>
      <c r="N1724" s="471" t="str">
        <f>IFERROR(__xludf.DUMMYFUNCTION("""COMPUTED_VALUE"""),"https://vt.tiktok.com/ZS9H2PPny/")</f>
        <v>https://vt.tiktok.com/ZS9H2PPny/</v>
      </c>
      <c r="O1724" s="470"/>
      <c r="P1724" s="471" t="str">
        <f>IFERROR(__xludf.DUMMYFUNCTION("""COMPUTED_VALUE"""),"https://vt.tiktok.com/ZS9H2eUCb/")</f>
        <v>https://vt.tiktok.com/ZS9H2eUCb/</v>
      </c>
    </row>
    <row r="1725">
      <c r="A1725" s="282" t="str">
        <f>IFERROR(__xludf.DUMMYFUNCTION("""COMPUTED_VALUE"""),"MICRO")</f>
        <v>MICRO</v>
      </c>
      <c r="B1725" s="468" t="str">
        <f>IFERROR(__xludf.DUMMYFUNCTION("""COMPUTED_VALUE"""),"srihartinisr12")</f>
        <v>srihartinisr12</v>
      </c>
      <c r="C1725" s="283" t="str">
        <f>IFERROR(__xludf.DUMMYFUNCTION("""COMPUTED_VALUE"""),"https://www.tiktok.com/@srihartinisr12")</f>
        <v>https://www.tiktok.com/@srihartinisr12</v>
      </c>
      <c r="D1725" s="273">
        <f>IFERROR(__xludf.DUMMYFUNCTION("""COMPUTED_VALUE"""),8.996859692E9)</f>
        <v>8996859692</v>
      </c>
      <c r="E1725" s="458">
        <f>IFERROR(__xludf.DUMMYFUNCTION("""COMPUTED_VALUE"""),0.0)</f>
        <v>0</v>
      </c>
      <c r="F1725" s="273">
        <f>IFERROR(__xludf.DUMMYFUNCTION("""COMPUTED_VALUE"""),4.0)</f>
        <v>4</v>
      </c>
      <c r="G1725" t="str">
        <f>IFERROR(__xludf.DUMMYFUNCTION("""COMPUTED_VALUE"""),"Sabun batang 1 Box ( 2 PCS )")</f>
        <v>Sabun batang 1 Box ( 2 PCS )</v>
      </c>
      <c r="H1725" s="469" t="str">
        <f>IFERROR(__xludf.DUMMYFUNCTION("""COMPUTED_VALUE"""),"Sampai")</f>
        <v>Sampai</v>
      </c>
      <c r="I1725" s="470" t="str">
        <f>IFERROR(__xludf.DUMMYFUNCTION("""COMPUTED_VALUE"""),"KIMME")</f>
        <v>KIMME</v>
      </c>
      <c r="J1725" s="471" t="str">
        <f>IFERROR(__xludf.DUMMYFUNCTION("""COMPUTED_VALUE"""),"https://vt.tiktok.com/ZS9H2BvDV/")</f>
        <v>https://vt.tiktok.com/ZS9H2BvDV/</v>
      </c>
      <c r="K1725" s="470" t="str">
        <f>IFERROR(__xludf.DUMMYFUNCTION("""COMPUTED_VALUE"""),"KIMME")</f>
        <v>KIMME</v>
      </c>
      <c r="L1725" s="471" t="str">
        <f>IFERROR(__xludf.DUMMYFUNCTION("""COMPUTED_VALUE"""),"https://vt.tiktok.com/ZS9H2LwwK/")</f>
        <v>https://vt.tiktok.com/ZS9H2LwwK/</v>
      </c>
      <c r="M1725" s="470"/>
      <c r="N1725" s="471" t="str">
        <f>IFERROR(__xludf.DUMMYFUNCTION("""COMPUTED_VALUE"""),"https://vt.tiktok.com/ZS9H2PPny/")</f>
        <v>https://vt.tiktok.com/ZS9H2PPny/</v>
      </c>
      <c r="O1725" s="470"/>
      <c r="P1725" s="471" t="str">
        <f>IFERROR(__xludf.DUMMYFUNCTION("""COMPUTED_VALUE"""),"https://vt.tiktok.com/ZS9H2eUCb/")</f>
        <v>https://vt.tiktok.com/ZS9H2eUCb/</v>
      </c>
    </row>
    <row r="1726">
      <c r="A1726" s="282" t="str">
        <f>IFERROR(__xludf.DUMMYFUNCTION("""COMPUTED_VALUE"""),"MICRO")</f>
        <v>MICRO</v>
      </c>
      <c r="B1726" s="468" t="str">
        <f>IFERROR(__xludf.DUMMYFUNCTION("""COMPUTED_VALUE"""),"shopadiba17")</f>
        <v>shopadiba17</v>
      </c>
      <c r="C1726" s="283" t="str">
        <f>IFERROR(__xludf.DUMMYFUNCTION("""COMPUTED_VALUE"""),"https://www.tiktok.com/@shopadiba17")</f>
        <v>https://www.tiktok.com/@shopadiba17</v>
      </c>
      <c r="D1726" s="273">
        <f>IFERROR(__xludf.DUMMYFUNCTION("""COMPUTED_VALUE"""),8.5814828329E10)</f>
        <v>85814828329</v>
      </c>
      <c r="E1726" s="458">
        <f>IFERROR(__xludf.DUMMYFUNCTION("""COMPUTED_VALUE"""),0.0)</f>
        <v>0</v>
      </c>
      <c r="F1726" s="273">
        <f>IFERROR(__xludf.DUMMYFUNCTION("""COMPUTED_VALUE"""),3.0)</f>
        <v>3</v>
      </c>
      <c r="G1726" t="str">
        <f>IFERROR(__xludf.DUMMYFUNCTION("""COMPUTED_VALUE"""),"Sabun batang 1 Box ( 2 PCS )")</f>
        <v>Sabun batang 1 Box ( 2 PCS )</v>
      </c>
      <c r="H1726" s="469" t="str">
        <f>IFERROR(__xludf.DUMMYFUNCTION("""COMPUTED_VALUE"""),"Sampai")</f>
        <v>Sampai</v>
      </c>
      <c r="I1726" s="470" t="str">
        <f>IFERROR(__xludf.DUMMYFUNCTION("""COMPUTED_VALUE"""),"KIMME")</f>
        <v>KIMME</v>
      </c>
      <c r="J1726" s="471" t="str">
        <f>IFERROR(__xludf.DUMMYFUNCTION("""COMPUTED_VALUE"""),"https://vt.tiktok.com/ZS9H2BvDV/")</f>
        <v>https://vt.tiktok.com/ZS9H2BvDV/</v>
      </c>
      <c r="K1726" s="470" t="str">
        <f>IFERROR(__xludf.DUMMYFUNCTION("""COMPUTED_VALUE"""),"KIMME")</f>
        <v>KIMME</v>
      </c>
      <c r="L1726" s="471" t="str">
        <f>IFERROR(__xludf.DUMMYFUNCTION("""COMPUTED_VALUE"""),"https://vt.tiktok.com/ZS9H2LwwK/")</f>
        <v>https://vt.tiktok.com/ZS9H2LwwK/</v>
      </c>
      <c r="M1726" s="470"/>
      <c r="N1726" s="471" t="str">
        <f>IFERROR(__xludf.DUMMYFUNCTION("""COMPUTED_VALUE"""),"https://vt.tiktok.com/ZS9H2PPny/")</f>
        <v>https://vt.tiktok.com/ZS9H2PPny/</v>
      </c>
      <c r="O1726" s="470"/>
      <c r="P1726" s="471" t="str">
        <f>IFERROR(__xludf.DUMMYFUNCTION("""COMPUTED_VALUE"""),"https://vt.tiktok.com/ZS9H2eUCb/")</f>
        <v>https://vt.tiktok.com/ZS9H2eUCb/</v>
      </c>
    </row>
    <row r="1727">
      <c r="A1727" s="282" t="str">
        <f>IFERROR(__xludf.DUMMYFUNCTION("""COMPUTED_VALUE"""),"MICRO")</f>
        <v>MICRO</v>
      </c>
      <c r="B1727" s="468" t="str">
        <f>IFERROR(__xludf.DUMMYFUNCTION("""COMPUTED_VALUE"""),"lina.ema23")</f>
        <v>lina.ema23</v>
      </c>
      <c r="C1727" s="283" t="str">
        <f>IFERROR(__xludf.DUMMYFUNCTION("""COMPUTED_VALUE"""),"https://www.tiktok.com/@lina.ema23")</f>
        <v>https://www.tiktok.com/@lina.ema23</v>
      </c>
      <c r="D1727" s="273">
        <f>IFERROR(__xludf.DUMMYFUNCTION("""COMPUTED_VALUE"""),8.2357203508E10)</f>
        <v>82357203508</v>
      </c>
      <c r="E1727" s="458">
        <f>IFERROR(__xludf.DUMMYFUNCTION("""COMPUTED_VALUE"""),0.0)</f>
        <v>0</v>
      </c>
      <c r="F1727" s="273">
        <f>IFERROR(__xludf.DUMMYFUNCTION("""COMPUTED_VALUE"""),4.0)</f>
        <v>4</v>
      </c>
      <c r="G1727" t="str">
        <f>IFERROR(__xludf.DUMMYFUNCTION("""COMPUTED_VALUE"""),"Sabun batang 1 Box ( 2 PCS )")</f>
        <v>Sabun batang 1 Box ( 2 PCS )</v>
      </c>
      <c r="H1727" s="469" t="str">
        <f>IFERROR(__xludf.DUMMYFUNCTION("""COMPUTED_VALUE"""),"Sampai")</f>
        <v>Sampai</v>
      </c>
      <c r="I1727" s="470" t="str">
        <f>IFERROR(__xludf.DUMMYFUNCTION("""COMPUTED_VALUE"""),"KIMME")</f>
        <v>KIMME</v>
      </c>
      <c r="J1727" s="471" t="str">
        <f>IFERROR(__xludf.DUMMYFUNCTION("""COMPUTED_VALUE"""),"https://vt.tiktok.com/ZS9H2BvDV/")</f>
        <v>https://vt.tiktok.com/ZS9H2BvDV/</v>
      </c>
      <c r="K1727" s="470" t="str">
        <f>IFERROR(__xludf.DUMMYFUNCTION("""COMPUTED_VALUE"""),"KIMME")</f>
        <v>KIMME</v>
      </c>
      <c r="L1727" s="471" t="str">
        <f>IFERROR(__xludf.DUMMYFUNCTION("""COMPUTED_VALUE"""),"https://vt.tiktok.com/ZS9H2LwwK/")</f>
        <v>https://vt.tiktok.com/ZS9H2LwwK/</v>
      </c>
      <c r="M1727" s="470"/>
      <c r="N1727" s="471" t="str">
        <f>IFERROR(__xludf.DUMMYFUNCTION("""COMPUTED_VALUE"""),"https://vt.tiktok.com/ZS9H2PPny/")</f>
        <v>https://vt.tiktok.com/ZS9H2PPny/</v>
      </c>
      <c r="O1727" s="470"/>
      <c r="P1727" s="471" t="str">
        <f>IFERROR(__xludf.DUMMYFUNCTION("""COMPUTED_VALUE"""),"https://vt.tiktok.com/ZS9H2eUCb/")</f>
        <v>https://vt.tiktok.com/ZS9H2eUCb/</v>
      </c>
    </row>
    <row r="1728">
      <c r="A1728" s="282" t="str">
        <f>IFERROR(__xludf.DUMMYFUNCTION("""COMPUTED_VALUE"""),"MICRO")</f>
        <v>MICRO</v>
      </c>
      <c r="B1728" s="468" t="str">
        <f>IFERROR(__xludf.DUMMYFUNCTION("""COMPUTED_VALUE"""),"yayaaaaa2019")</f>
        <v>yayaaaaa2019</v>
      </c>
      <c r="C1728" s="283" t="str">
        <f>IFERROR(__xludf.DUMMYFUNCTION("""COMPUTED_VALUE"""),"https://www.tiktok.com/@yayaaaaa2019")</f>
        <v>https://www.tiktok.com/@yayaaaaa2019</v>
      </c>
      <c r="D1728" s="273">
        <f>IFERROR(__xludf.DUMMYFUNCTION("""COMPUTED_VALUE"""),8.1261643506E10)</f>
        <v>81261643506</v>
      </c>
      <c r="E1728" s="458">
        <f>IFERROR(__xludf.DUMMYFUNCTION("""COMPUTED_VALUE"""),0.0)</f>
        <v>0</v>
      </c>
      <c r="F1728" s="273">
        <f>IFERROR(__xludf.DUMMYFUNCTION("""COMPUTED_VALUE"""),4.0)</f>
        <v>4</v>
      </c>
      <c r="G1728" t="str">
        <f>IFERROR(__xludf.DUMMYFUNCTION("""COMPUTED_VALUE"""),"Sabun batang 1 Box ( 2 PCS )")</f>
        <v>Sabun batang 1 Box ( 2 PCS )</v>
      </c>
      <c r="H1728" s="469" t="str">
        <f>IFERROR(__xludf.DUMMYFUNCTION("""COMPUTED_VALUE"""),"Sampai")</f>
        <v>Sampai</v>
      </c>
      <c r="I1728" s="470" t="str">
        <f>IFERROR(__xludf.DUMMYFUNCTION("""COMPUTED_VALUE"""),"KIMME")</f>
        <v>KIMME</v>
      </c>
      <c r="J1728" s="471" t="str">
        <f>IFERROR(__xludf.DUMMYFUNCTION("""COMPUTED_VALUE"""),"https://vt.tiktok.com/ZS9H2BvDV/")</f>
        <v>https://vt.tiktok.com/ZS9H2BvDV/</v>
      </c>
      <c r="K1728" s="470" t="str">
        <f>IFERROR(__xludf.DUMMYFUNCTION("""COMPUTED_VALUE"""),"KIMME")</f>
        <v>KIMME</v>
      </c>
      <c r="L1728" s="471" t="str">
        <f>IFERROR(__xludf.DUMMYFUNCTION("""COMPUTED_VALUE"""),"https://vt.tiktok.com/ZS9H2LwwK/")</f>
        <v>https://vt.tiktok.com/ZS9H2LwwK/</v>
      </c>
      <c r="M1728" s="470"/>
      <c r="N1728" s="471" t="str">
        <f>IFERROR(__xludf.DUMMYFUNCTION("""COMPUTED_VALUE"""),"https://vt.tiktok.com/ZS9H2PPny/")</f>
        <v>https://vt.tiktok.com/ZS9H2PPny/</v>
      </c>
      <c r="O1728" s="470"/>
      <c r="P1728" s="471" t="str">
        <f>IFERROR(__xludf.DUMMYFUNCTION("""COMPUTED_VALUE"""),"https://vt.tiktok.com/ZS9H2eUCb/")</f>
        <v>https://vt.tiktok.com/ZS9H2eUCb/</v>
      </c>
    </row>
    <row r="1729">
      <c r="A1729" s="282" t="str">
        <f>IFERROR(__xludf.DUMMYFUNCTION("""COMPUTED_VALUE"""),"MICRO")</f>
        <v>MICRO</v>
      </c>
      <c r="B1729" s="468" t="str">
        <f>IFERROR(__xludf.DUMMYFUNCTION("""COMPUTED_VALUE"""),"tomatt41")</f>
        <v>tomatt41</v>
      </c>
      <c r="C1729" s="283" t="str">
        <f>IFERROR(__xludf.DUMMYFUNCTION("""COMPUTED_VALUE"""),"https://www.tiktok.com/@tomatt41")</f>
        <v>https://www.tiktok.com/@tomatt41</v>
      </c>
      <c r="D1729" s="273">
        <f>IFERROR(__xludf.DUMMYFUNCTION("""COMPUTED_VALUE"""),8.7853583613E10)</f>
        <v>87853583613</v>
      </c>
      <c r="E1729" s="458">
        <f>IFERROR(__xludf.DUMMYFUNCTION("""COMPUTED_VALUE"""),0.0)</f>
        <v>0</v>
      </c>
      <c r="F1729" s="273">
        <f>IFERROR(__xludf.DUMMYFUNCTION("""COMPUTED_VALUE"""),4.0)</f>
        <v>4</v>
      </c>
      <c r="G1729" t="str">
        <f>IFERROR(__xludf.DUMMYFUNCTION("""COMPUTED_VALUE"""),"Sabun batang 1 Box ( 2 PCS )")</f>
        <v>Sabun batang 1 Box ( 2 PCS )</v>
      </c>
      <c r="H1729" s="469" t="str">
        <f>IFERROR(__xludf.DUMMYFUNCTION("""COMPUTED_VALUE"""),"Sampai")</f>
        <v>Sampai</v>
      </c>
      <c r="I1729" s="470" t="str">
        <f>IFERROR(__xludf.DUMMYFUNCTION("""COMPUTED_VALUE"""),"KIMME")</f>
        <v>KIMME</v>
      </c>
      <c r="J1729" s="471" t="str">
        <f>IFERROR(__xludf.DUMMYFUNCTION("""COMPUTED_VALUE"""),"https://vt.tiktok.com/ZS9H2BvDV/")</f>
        <v>https://vt.tiktok.com/ZS9H2BvDV/</v>
      </c>
      <c r="K1729" s="470" t="str">
        <f>IFERROR(__xludf.DUMMYFUNCTION("""COMPUTED_VALUE"""),"KIMME")</f>
        <v>KIMME</v>
      </c>
      <c r="L1729" s="471" t="str">
        <f>IFERROR(__xludf.DUMMYFUNCTION("""COMPUTED_VALUE"""),"https://vt.tiktok.com/ZS9H2LwwK/")</f>
        <v>https://vt.tiktok.com/ZS9H2LwwK/</v>
      </c>
      <c r="M1729" s="470"/>
      <c r="N1729" s="471" t="str">
        <f>IFERROR(__xludf.DUMMYFUNCTION("""COMPUTED_VALUE"""),"https://vt.tiktok.com/ZS9H2PPny/")</f>
        <v>https://vt.tiktok.com/ZS9H2PPny/</v>
      </c>
      <c r="O1729" s="470"/>
      <c r="P1729" s="471" t="str">
        <f>IFERROR(__xludf.DUMMYFUNCTION("""COMPUTED_VALUE"""),"https://vt.tiktok.com/ZS9H2eUCb/")</f>
        <v>https://vt.tiktok.com/ZS9H2eUCb/</v>
      </c>
    </row>
    <row r="1730">
      <c r="A1730" s="282" t="str">
        <f>IFERROR(__xludf.DUMMYFUNCTION("""COMPUTED_VALUE"""),"MICRO")</f>
        <v>MICRO</v>
      </c>
      <c r="B1730" s="468" t="str">
        <f>IFERROR(__xludf.DUMMYFUNCTION("""COMPUTED_VALUE"""),"elvanofaezyaapryl")</f>
        <v>elvanofaezyaapryl</v>
      </c>
      <c r="C1730" s="283" t="str">
        <f>IFERROR(__xludf.DUMMYFUNCTION("""COMPUTED_VALUE"""),"https://www.tiktok.com/@elvanofaezyaapryl")</f>
        <v>https://www.tiktok.com/@elvanofaezyaapryl</v>
      </c>
      <c r="D1730" s="273">
        <f>IFERROR(__xludf.DUMMYFUNCTION("""COMPUTED_VALUE"""),8.1912921421E10)</f>
        <v>81912921421</v>
      </c>
      <c r="E1730" s="458">
        <f>IFERROR(__xludf.DUMMYFUNCTION("""COMPUTED_VALUE"""),0.0)</f>
        <v>0</v>
      </c>
      <c r="F1730" s="273">
        <f>IFERROR(__xludf.DUMMYFUNCTION("""COMPUTED_VALUE"""),4.0)</f>
        <v>4</v>
      </c>
      <c r="G1730" t="str">
        <f>IFERROR(__xludf.DUMMYFUNCTION("""COMPUTED_VALUE"""),"Sabun batang 1 Box ( 2 PCS )")</f>
        <v>Sabun batang 1 Box ( 2 PCS )</v>
      </c>
      <c r="H1730" s="469" t="str">
        <f>IFERROR(__xludf.DUMMYFUNCTION("""COMPUTED_VALUE"""),"Sampai")</f>
        <v>Sampai</v>
      </c>
      <c r="I1730" s="470" t="str">
        <f>IFERROR(__xludf.DUMMYFUNCTION("""COMPUTED_VALUE"""),"KIMME")</f>
        <v>KIMME</v>
      </c>
      <c r="J1730" s="471" t="str">
        <f>IFERROR(__xludf.DUMMYFUNCTION("""COMPUTED_VALUE"""),"https://vt.tiktok.com/ZS9H2BvDV/")</f>
        <v>https://vt.tiktok.com/ZS9H2BvDV/</v>
      </c>
      <c r="K1730" s="470" t="str">
        <f>IFERROR(__xludf.DUMMYFUNCTION("""COMPUTED_VALUE"""),"KIMME")</f>
        <v>KIMME</v>
      </c>
      <c r="L1730" s="471" t="str">
        <f>IFERROR(__xludf.DUMMYFUNCTION("""COMPUTED_VALUE"""),"https://vt.tiktok.com/ZS9H2LwwK/")</f>
        <v>https://vt.tiktok.com/ZS9H2LwwK/</v>
      </c>
      <c r="M1730" s="470"/>
      <c r="N1730" s="471" t="str">
        <f>IFERROR(__xludf.DUMMYFUNCTION("""COMPUTED_VALUE"""),"https://vt.tiktok.com/ZS9H2PPny/")</f>
        <v>https://vt.tiktok.com/ZS9H2PPny/</v>
      </c>
      <c r="O1730" s="470"/>
      <c r="P1730" s="471" t="str">
        <f>IFERROR(__xludf.DUMMYFUNCTION("""COMPUTED_VALUE"""),"https://vt.tiktok.com/ZS9H2eUCb/")</f>
        <v>https://vt.tiktok.com/ZS9H2eUCb/</v>
      </c>
    </row>
    <row r="1731">
      <c r="A1731" s="282" t="str">
        <f>IFERROR(__xludf.DUMMYFUNCTION("""COMPUTED_VALUE"""),"MICRO")</f>
        <v>MICRO</v>
      </c>
      <c r="B1731" s="468" t="str">
        <f>IFERROR(__xludf.DUMMYFUNCTION("""COMPUTED_VALUE"""),"liafitria53")</f>
        <v>liafitria53</v>
      </c>
      <c r="C1731" s="283" t="str">
        <f>IFERROR(__xludf.DUMMYFUNCTION("""COMPUTED_VALUE"""),"https://www.tiktok.com/@liafitria53")</f>
        <v>https://www.tiktok.com/@liafitria53</v>
      </c>
      <c r="D1731" s="273">
        <f>IFERROR(__xludf.DUMMYFUNCTION("""COMPUTED_VALUE"""),8.7700325703E10)</f>
        <v>87700325703</v>
      </c>
      <c r="E1731" s="458">
        <f>IFERROR(__xludf.DUMMYFUNCTION("""COMPUTED_VALUE"""),0.0)</f>
        <v>0</v>
      </c>
      <c r="F1731" s="273">
        <f>IFERROR(__xludf.DUMMYFUNCTION("""COMPUTED_VALUE"""),4.0)</f>
        <v>4</v>
      </c>
      <c r="G1731" t="str">
        <f>IFERROR(__xludf.DUMMYFUNCTION("""COMPUTED_VALUE"""),"Sabun batang 1 Box ( 2 PCS )")</f>
        <v>Sabun batang 1 Box ( 2 PCS )</v>
      </c>
      <c r="H1731" s="469" t="str">
        <f>IFERROR(__xludf.DUMMYFUNCTION("""COMPUTED_VALUE"""),"Sampai")</f>
        <v>Sampai</v>
      </c>
      <c r="I1731" s="470" t="str">
        <f>IFERROR(__xludf.DUMMYFUNCTION("""COMPUTED_VALUE"""),"KIMME")</f>
        <v>KIMME</v>
      </c>
      <c r="J1731" s="471" t="str">
        <f>IFERROR(__xludf.DUMMYFUNCTION("""COMPUTED_VALUE"""),"https://vt.tiktok.com/ZS9H2BvDV/")</f>
        <v>https://vt.tiktok.com/ZS9H2BvDV/</v>
      </c>
      <c r="K1731" s="470" t="str">
        <f>IFERROR(__xludf.DUMMYFUNCTION("""COMPUTED_VALUE"""),"KIMME")</f>
        <v>KIMME</v>
      </c>
      <c r="L1731" s="471" t="str">
        <f>IFERROR(__xludf.DUMMYFUNCTION("""COMPUTED_VALUE"""),"https://vt.tiktok.com/ZS9H2LwwK/")</f>
        <v>https://vt.tiktok.com/ZS9H2LwwK/</v>
      </c>
      <c r="M1731" s="470"/>
      <c r="N1731" s="471" t="str">
        <f>IFERROR(__xludf.DUMMYFUNCTION("""COMPUTED_VALUE"""),"https://vt.tiktok.com/ZS9H2PPny/")</f>
        <v>https://vt.tiktok.com/ZS9H2PPny/</v>
      </c>
      <c r="O1731" s="470"/>
      <c r="P1731" s="471" t="str">
        <f>IFERROR(__xludf.DUMMYFUNCTION("""COMPUTED_VALUE"""),"https://vt.tiktok.com/ZS9H2eUCb/")</f>
        <v>https://vt.tiktok.com/ZS9H2eUCb/</v>
      </c>
    </row>
    <row r="1732">
      <c r="A1732" s="282" t="str">
        <f>IFERROR(__xludf.DUMMYFUNCTION("""COMPUTED_VALUE"""),"MICRO")</f>
        <v>MICRO</v>
      </c>
      <c r="B1732" s="468" t="str">
        <f>IFERROR(__xludf.DUMMYFUNCTION("""COMPUTED_VALUE"""),"apriliana.ds")</f>
        <v>apriliana.ds</v>
      </c>
      <c r="C1732" s="283" t="str">
        <f>IFERROR(__xludf.DUMMYFUNCTION("""COMPUTED_VALUE"""),"https://www.tiktok.com/@apriliana.ds")</f>
        <v>https://www.tiktok.com/@apriliana.ds</v>
      </c>
      <c r="D1732" s="273">
        <f>IFERROR(__xludf.DUMMYFUNCTION("""COMPUTED_VALUE"""),8.1513682955E10)</f>
        <v>81513682955</v>
      </c>
      <c r="E1732" s="458">
        <f>IFERROR(__xludf.DUMMYFUNCTION("""COMPUTED_VALUE"""),0.0)</f>
        <v>0</v>
      </c>
      <c r="F1732" s="273">
        <f>IFERROR(__xludf.DUMMYFUNCTION("""COMPUTED_VALUE"""),4.0)</f>
        <v>4</v>
      </c>
      <c r="G1732" t="str">
        <f>IFERROR(__xludf.DUMMYFUNCTION("""COMPUTED_VALUE"""),"Sabun batang 1 Box ( 2 PCS )")</f>
        <v>Sabun batang 1 Box ( 2 PCS )</v>
      </c>
      <c r="H1732" s="469" t="str">
        <f>IFERROR(__xludf.DUMMYFUNCTION("""COMPUTED_VALUE"""),"Sampai")</f>
        <v>Sampai</v>
      </c>
      <c r="I1732" s="470" t="str">
        <f>IFERROR(__xludf.DUMMYFUNCTION("""COMPUTED_VALUE"""),"KIMME")</f>
        <v>KIMME</v>
      </c>
      <c r="J1732" s="471" t="str">
        <f>IFERROR(__xludf.DUMMYFUNCTION("""COMPUTED_VALUE"""),"https://vt.tiktok.com/ZS9H2BvDV/")</f>
        <v>https://vt.tiktok.com/ZS9H2BvDV/</v>
      </c>
      <c r="K1732" s="470" t="str">
        <f>IFERROR(__xludf.DUMMYFUNCTION("""COMPUTED_VALUE"""),"KIMME")</f>
        <v>KIMME</v>
      </c>
      <c r="L1732" s="471" t="str">
        <f>IFERROR(__xludf.DUMMYFUNCTION("""COMPUTED_VALUE"""),"https://vt.tiktok.com/ZS9H2LwwK/")</f>
        <v>https://vt.tiktok.com/ZS9H2LwwK/</v>
      </c>
      <c r="M1732" s="470"/>
      <c r="N1732" s="471" t="str">
        <f>IFERROR(__xludf.DUMMYFUNCTION("""COMPUTED_VALUE"""),"https://vt.tiktok.com/ZS9H2PPny/")</f>
        <v>https://vt.tiktok.com/ZS9H2PPny/</v>
      </c>
      <c r="O1732" s="470"/>
      <c r="P1732" s="471" t="str">
        <f>IFERROR(__xludf.DUMMYFUNCTION("""COMPUTED_VALUE"""),"https://vt.tiktok.com/ZS9H2eUCb/")</f>
        <v>https://vt.tiktok.com/ZS9H2eUCb/</v>
      </c>
    </row>
    <row r="1733">
      <c r="A1733" s="282" t="str">
        <f>IFERROR(__xludf.DUMMYFUNCTION("""COMPUTED_VALUE"""),"MICRO")</f>
        <v>MICRO</v>
      </c>
      <c r="B1733" s="468" t="str">
        <f>IFERROR(__xludf.DUMMYFUNCTION("""COMPUTED_VALUE"""),"haaafiz123_")</f>
        <v>haaafiz123_</v>
      </c>
      <c r="C1733" s="283" t="str">
        <f>IFERROR(__xludf.DUMMYFUNCTION("""COMPUTED_VALUE"""),"https://www.tiktok.com/@haaafiz123_")</f>
        <v>https://www.tiktok.com/@haaafiz123_</v>
      </c>
      <c r="D1733" s="273">
        <f>IFERROR(__xludf.DUMMYFUNCTION("""COMPUTED_VALUE"""),8.3197332971E10)</f>
        <v>83197332971</v>
      </c>
      <c r="E1733" s="458"/>
      <c r="F1733" s="273"/>
      <c r="G1733" t="str">
        <f>IFERROR(__xludf.DUMMYFUNCTION("""COMPUTED_VALUE"""),"Sabun batang 1 Box ( 2 PCS )")</f>
        <v>Sabun batang 1 Box ( 2 PCS )</v>
      </c>
      <c r="H1733" s="469" t="str">
        <f>IFERROR(__xludf.DUMMYFUNCTION("""COMPUTED_VALUE"""),"Sampai")</f>
        <v>Sampai</v>
      </c>
      <c r="I1733" s="470" t="str">
        <f>IFERROR(__xludf.DUMMYFUNCTION("""COMPUTED_VALUE"""),"KIMME")</f>
        <v>KIMME</v>
      </c>
      <c r="J1733" s="471" t="str">
        <f>IFERROR(__xludf.DUMMYFUNCTION("""COMPUTED_VALUE"""),"https://vt.tiktok.com/ZS9H2BvDV/")</f>
        <v>https://vt.tiktok.com/ZS9H2BvDV/</v>
      </c>
      <c r="K1733" s="470" t="str">
        <f>IFERROR(__xludf.DUMMYFUNCTION("""COMPUTED_VALUE"""),"KIMME")</f>
        <v>KIMME</v>
      </c>
      <c r="L1733" s="471" t="str">
        <f>IFERROR(__xludf.DUMMYFUNCTION("""COMPUTED_VALUE"""),"https://vt.tiktok.com/ZS9H2LwwK/")</f>
        <v>https://vt.tiktok.com/ZS9H2LwwK/</v>
      </c>
      <c r="M1733" s="470"/>
      <c r="N1733" s="471" t="str">
        <f>IFERROR(__xludf.DUMMYFUNCTION("""COMPUTED_VALUE"""),"https://vt.tiktok.com/ZS9H2PPny/")</f>
        <v>https://vt.tiktok.com/ZS9H2PPny/</v>
      </c>
      <c r="O1733" s="470"/>
      <c r="P1733" s="471" t="str">
        <f>IFERROR(__xludf.DUMMYFUNCTION("""COMPUTED_VALUE"""),"https://vt.tiktok.com/ZS9H2eUCb/")</f>
        <v>https://vt.tiktok.com/ZS9H2eUCb/</v>
      </c>
    </row>
    <row r="1734">
      <c r="A1734" s="282" t="str">
        <f>IFERROR(__xludf.DUMMYFUNCTION("""COMPUTED_VALUE"""),"MICRO")</f>
        <v>MICRO</v>
      </c>
      <c r="B1734" s="468" t="str">
        <f>IFERROR(__xludf.DUMMYFUNCTION("""COMPUTED_VALUE"""),"umiaisyahser1skincer")</f>
        <v>umiaisyahser1skincer</v>
      </c>
      <c r="C1734" s="283" t="str">
        <f>IFERROR(__xludf.DUMMYFUNCTION("""COMPUTED_VALUE"""),"https://www.tiktok.com/@umiaisyahser1skincer")</f>
        <v>https://www.tiktok.com/@umiaisyahser1skincer</v>
      </c>
      <c r="D1734" s="273">
        <f>IFERROR(__xludf.DUMMYFUNCTION("""COMPUTED_VALUE"""),8.5850163894E10)</f>
        <v>85850163894</v>
      </c>
      <c r="E1734" s="458">
        <f>IFERROR(__xludf.DUMMYFUNCTION("""COMPUTED_VALUE"""),0.0)</f>
        <v>0</v>
      </c>
      <c r="F1734" s="273">
        <f>IFERROR(__xludf.DUMMYFUNCTION("""COMPUTED_VALUE"""),4.0)</f>
        <v>4</v>
      </c>
      <c r="G1734" t="str">
        <f>IFERROR(__xludf.DUMMYFUNCTION("""COMPUTED_VALUE"""),"Sabun batang 1 Box ( 2 PCS )")</f>
        <v>Sabun batang 1 Box ( 2 PCS )</v>
      </c>
      <c r="H1734" s="469" t="str">
        <f>IFERROR(__xludf.DUMMYFUNCTION("""COMPUTED_VALUE"""),"Sampai")</f>
        <v>Sampai</v>
      </c>
      <c r="I1734" s="470" t="str">
        <f>IFERROR(__xludf.DUMMYFUNCTION("""COMPUTED_VALUE"""),"KIMME")</f>
        <v>KIMME</v>
      </c>
      <c r="J1734" s="471" t="str">
        <f>IFERROR(__xludf.DUMMYFUNCTION("""COMPUTED_VALUE"""),"https://vt.tiktok.com/ZSxmeHRef/")</f>
        <v>https://vt.tiktok.com/ZSxmeHRef/</v>
      </c>
      <c r="K1734" s="470" t="str">
        <f>IFERROR(__xludf.DUMMYFUNCTION("""COMPUTED_VALUE"""),"KIMME")</f>
        <v>KIMME</v>
      </c>
      <c r="L1734" s="471" t="str">
        <f>IFERROR(__xludf.DUMMYFUNCTION("""COMPUTED_VALUE"""),"https://vt.tiktok.com/ZSxmpK193/")</f>
        <v>https://vt.tiktok.com/ZSxmpK193/</v>
      </c>
      <c r="M1734" s="470"/>
      <c r="N1734" s="471" t="str">
        <f>IFERROR(__xludf.DUMMYFUNCTION("""COMPUTED_VALUE"""),"https://vt.tiktok.com/ZSxmeXeGF/")</f>
        <v>https://vt.tiktok.com/ZSxmeXeGF/</v>
      </c>
      <c r="O1734" s="470"/>
      <c r="P1734" s="471" t="str">
        <f>IFERROR(__xludf.DUMMYFUNCTION("""COMPUTED_VALUE"""),"https://vt.tiktok.com/ZSxmeG7TR/")</f>
        <v>https://vt.tiktok.com/ZSxmeG7TR/</v>
      </c>
    </row>
    <row r="1735">
      <c r="A1735" s="282" t="str">
        <f>IFERROR(__xludf.DUMMYFUNCTION("""COMPUTED_VALUE"""),"MICRO")</f>
        <v>MICRO</v>
      </c>
      <c r="B1735" s="468" t="str">
        <f>IFERROR(__xludf.DUMMYFUNCTION("""COMPUTED_VALUE"""),"prestiapriliani")</f>
        <v>prestiapriliani</v>
      </c>
      <c r="C1735" s="283" t="str">
        <f>IFERROR(__xludf.DUMMYFUNCTION("""COMPUTED_VALUE"""),"https://www.tiktok.com/@prestiapriliani")</f>
        <v>https://www.tiktok.com/@prestiapriliani</v>
      </c>
      <c r="D1735" s="273">
        <f>IFERROR(__xludf.DUMMYFUNCTION("""COMPUTED_VALUE"""),8.8239784587E10)</f>
        <v>88239784587</v>
      </c>
      <c r="E1735" s="458">
        <f>IFERROR(__xludf.DUMMYFUNCTION("""COMPUTED_VALUE"""),0.0)</f>
        <v>0</v>
      </c>
      <c r="F1735" s="273">
        <f>IFERROR(__xludf.DUMMYFUNCTION("""COMPUTED_VALUE"""),4.0)</f>
        <v>4</v>
      </c>
      <c r="G1735" t="str">
        <f>IFERROR(__xludf.DUMMYFUNCTION("""COMPUTED_VALUE"""),"Sabun batang 1 Box ( 2 PCS )")</f>
        <v>Sabun batang 1 Box ( 2 PCS )</v>
      </c>
      <c r="H1735" s="469" t="str">
        <f>IFERROR(__xludf.DUMMYFUNCTION("""COMPUTED_VALUE"""),"Sampai")</f>
        <v>Sampai</v>
      </c>
      <c r="I1735" s="470" t="str">
        <f>IFERROR(__xludf.DUMMYFUNCTION("""COMPUTED_VALUE"""),"KIMME")</f>
        <v>KIMME</v>
      </c>
      <c r="J1735" s="471" t="str">
        <f>IFERROR(__xludf.DUMMYFUNCTION("""COMPUTED_VALUE"""),"https://vt.tiktok.com/ZSxrGBVXr/")</f>
        <v>https://vt.tiktok.com/ZSxrGBVXr/</v>
      </c>
      <c r="K1735" s="470" t="str">
        <f>IFERROR(__xludf.DUMMYFUNCTION("""COMPUTED_VALUE"""),"KIMME")</f>
        <v>KIMME</v>
      </c>
      <c r="L1735" s="471" t="str">
        <f>IFERROR(__xludf.DUMMYFUNCTION("""COMPUTED_VALUE"""),"https://vt.tiktok.com/ZSxS7jRYr/")</f>
        <v>https://vt.tiktok.com/ZSxS7jRYr/</v>
      </c>
      <c r="M1735" s="470"/>
      <c r="N1735" s="471" t="str">
        <f>IFERROR(__xludf.DUMMYFUNCTION("""COMPUTED_VALUE"""),"https://vt.tiktok.com/ZSxS7FRu2/")</f>
        <v>https://vt.tiktok.com/ZSxS7FRu2/</v>
      </c>
      <c r="O1735" s="470"/>
      <c r="P1735" s="471" t="str">
        <f>IFERROR(__xludf.DUMMYFUNCTION("""COMPUTED_VALUE"""),"https://vt.tiktok.com/ZSxS78U71/")</f>
        <v>https://vt.tiktok.com/ZSxS78U71/</v>
      </c>
    </row>
    <row r="1736">
      <c r="A1736" s="282" t="str">
        <f>IFERROR(__xludf.DUMMYFUNCTION("""COMPUTED_VALUE"""),"MICRO")</f>
        <v>MICRO</v>
      </c>
      <c r="B1736" s="468" t="str">
        <f>IFERROR(__xludf.DUMMYFUNCTION("""COMPUTED_VALUE"""),"reskyimma")</f>
        <v>reskyimma</v>
      </c>
      <c r="C1736" s="283" t="str">
        <f>IFERROR(__xludf.DUMMYFUNCTION("""COMPUTED_VALUE"""),"https://www.tiktok.com/@reskyimma")</f>
        <v>https://www.tiktok.com/@reskyimma</v>
      </c>
      <c r="D1736" s="273">
        <f>IFERROR(__xludf.DUMMYFUNCTION("""COMPUTED_VALUE"""),8.87436929303E11)</f>
        <v>887436929303</v>
      </c>
      <c r="E1736" s="458">
        <f>IFERROR(__xludf.DUMMYFUNCTION("""COMPUTED_VALUE"""),0.0)</f>
        <v>0</v>
      </c>
      <c r="F1736" s="273">
        <f>IFERROR(__xludf.DUMMYFUNCTION("""COMPUTED_VALUE"""),4.0)</f>
        <v>4</v>
      </c>
      <c r="G1736" t="str">
        <f>IFERROR(__xludf.DUMMYFUNCTION("""COMPUTED_VALUE"""),"Sabun batang 1 Box ( 2 PCS )")</f>
        <v>Sabun batang 1 Box ( 2 PCS )</v>
      </c>
      <c r="H1736" s="469" t="str">
        <f>IFERROR(__xludf.DUMMYFUNCTION("""COMPUTED_VALUE"""),"Sampai")</f>
        <v>Sampai</v>
      </c>
      <c r="I1736" s="470" t="str">
        <f>IFERROR(__xludf.DUMMYFUNCTION("""COMPUTED_VALUE"""),"KIMME")</f>
        <v>KIMME</v>
      </c>
      <c r="J1736" s="471" t="str">
        <f>IFERROR(__xludf.DUMMYFUNCTION("""COMPUTED_VALUE"""),"https://vt.tiktok.com/ZSxS7dkAF/")</f>
        <v>https://vt.tiktok.com/ZSxS7dkAF/</v>
      </c>
      <c r="K1736" s="470" t="str">
        <f>IFERROR(__xludf.DUMMYFUNCTION("""COMPUTED_VALUE"""),"KIMME")</f>
        <v>KIMME</v>
      </c>
      <c r="L1736" s="471" t="str">
        <f>IFERROR(__xludf.DUMMYFUNCTION("""COMPUTED_VALUE"""),"https://vt.tiktok.com/ZSxS78d4g/")</f>
        <v>https://vt.tiktok.com/ZSxS78d4g/</v>
      </c>
      <c r="M1736" s="470"/>
      <c r="N1736" s="471" t="str">
        <f>IFERROR(__xludf.DUMMYFUNCTION("""COMPUTED_VALUE"""),"https://vt.tiktok.com/ZSxS7RhGf/")</f>
        <v>https://vt.tiktok.com/ZSxS7RhGf/</v>
      </c>
      <c r="O1736" s="470"/>
      <c r="P1736" s="471" t="str">
        <f>IFERROR(__xludf.DUMMYFUNCTION("""COMPUTED_VALUE"""),"https://vt.tiktok.com/ZSxU3CdQq/")</f>
        <v>https://vt.tiktok.com/ZSxU3CdQq/</v>
      </c>
    </row>
    <row r="1737">
      <c r="A1737" s="282" t="str">
        <f>IFERROR(__xludf.DUMMYFUNCTION("""COMPUTED_VALUE"""),"MICRO")</f>
        <v>MICRO</v>
      </c>
      <c r="B1737" s="468" t="str">
        <f>IFERROR(__xludf.DUMMYFUNCTION("""COMPUTED_VALUE"""),"mamanur_shop")</f>
        <v>mamanur_shop</v>
      </c>
      <c r="C1737" s="283" t="str">
        <f>IFERROR(__xludf.DUMMYFUNCTION("""COMPUTED_VALUE"""),"https://www.tiktok.com/@mamanur_shop")</f>
        <v>https://www.tiktok.com/@mamanur_shop</v>
      </c>
      <c r="D1737" s="273">
        <f>IFERROR(__xludf.DUMMYFUNCTION("""COMPUTED_VALUE"""),8.575510288E9)</f>
        <v>8575510288</v>
      </c>
      <c r="E1737" s="458">
        <f>IFERROR(__xludf.DUMMYFUNCTION("""COMPUTED_VALUE"""),0.0)</f>
        <v>0</v>
      </c>
      <c r="F1737" s="273">
        <f>IFERROR(__xludf.DUMMYFUNCTION("""COMPUTED_VALUE"""),4.0)</f>
        <v>4</v>
      </c>
      <c r="G1737" t="str">
        <f>IFERROR(__xludf.DUMMYFUNCTION("""COMPUTED_VALUE"""),"Sabun batang 1 Box ( 2 PCS )")</f>
        <v>Sabun batang 1 Box ( 2 PCS )</v>
      </c>
      <c r="H1737" s="469" t="str">
        <f>IFERROR(__xludf.DUMMYFUNCTION("""COMPUTED_VALUE"""),"Sampai")</f>
        <v>Sampai</v>
      </c>
      <c r="I1737" s="470" t="str">
        <f>IFERROR(__xludf.DUMMYFUNCTION("""COMPUTED_VALUE"""),"KIMME")</f>
        <v>KIMME</v>
      </c>
      <c r="J1737" s="471" t="str">
        <f>IFERROR(__xludf.DUMMYFUNCTION("""COMPUTED_VALUE"""),"https://vt.tiktok.com/ZSxU3KfDc/")</f>
        <v>https://vt.tiktok.com/ZSxU3KfDc/</v>
      </c>
      <c r="K1737" s="470" t="str">
        <f>IFERROR(__xludf.DUMMYFUNCTION("""COMPUTED_VALUE"""),"KIMME")</f>
        <v>KIMME</v>
      </c>
      <c r="L1737" s="471" t="str">
        <f>IFERROR(__xludf.DUMMYFUNCTION("""COMPUTED_VALUE"""),"https://vt.tiktok.com/ZSxU3goaL/")</f>
        <v>https://vt.tiktok.com/ZSxU3goaL/</v>
      </c>
      <c r="M1737" s="470"/>
      <c r="N1737" s="471" t="str">
        <f>IFERROR(__xludf.DUMMYFUNCTION("""COMPUTED_VALUE"""),"https://vt.tiktok.com/ZSxU37RP8/")</f>
        <v>https://vt.tiktok.com/ZSxU37RP8/</v>
      </c>
      <c r="O1737" s="470"/>
      <c r="P1737" s="471" t="str">
        <f>IFERROR(__xludf.DUMMYFUNCTION("""COMPUTED_VALUE"""),"https://vt.tiktok.com/ZSxmsETED/")</f>
        <v>https://vt.tiktok.com/ZSxmsETED/</v>
      </c>
    </row>
    <row r="1738">
      <c r="A1738" s="282" t="str">
        <f>IFERROR(__xludf.DUMMYFUNCTION("""COMPUTED_VALUE"""),"MICRO")</f>
        <v>MICRO</v>
      </c>
      <c r="B1738" s="468" t="str">
        <f>IFERROR(__xludf.DUMMYFUNCTION("""COMPUTED_VALUE"""),"vilmeeeeeee")</f>
        <v>vilmeeeeeee</v>
      </c>
      <c r="C1738" s="283" t="str">
        <f>IFERROR(__xludf.DUMMYFUNCTION("""COMPUTED_VALUE"""),"https://www.tiktok.com/@vilmeeeeeee")</f>
        <v>https://www.tiktok.com/@vilmeeeeeee</v>
      </c>
      <c r="D1738" s="273">
        <f>IFERROR(__xludf.DUMMYFUNCTION("""COMPUTED_VALUE"""),8.8290933809E10)</f>
        <v>88290933809</v>
      </c>
      <c r="E1738" s="458">
        <f>IFERROR(__xludf.DUMMYFUNCTION("""COMPUTED_VALUE"""),0.0)</f>
        <v>0</v>
      </c>
      <c r="F1738" s="273">
        <f>IFERROR(__xludf.DUMMYFUNCTION("""COMPUTED_VALUE"""),4.0)</f>
        <v>4</v>
      </c>
      <c r="G1738" t="str">
        <f>IFERROR(__xludf.DUMMYFUNCTION("""COMPUTED_VALUE"""),"Sabun batang 1 Box ( 2 PCS )")</f>
        <v>Sabun batang 1 Box ( 2 PCS )</v>
      </c>
      <c r="H1738" s="469" t="str">
        <f>IFERROR(__xludf.DUMMYFUNCTION("""COMPUTED_VALUE"""),"Sampai")</f>
        <v>Sampai</v>
      </c>
      <c r="I1738" s="470" t="str">
        <f>IFERROR(__xludf.DUMMYFUNCTION("""COMPUTED_VALUE"""),"KIMME")</f>
        <v>KIMME</v>
      </c>
      <c r="J1738" s="471" t="str">
        <f>IFERROR(__xludf.DUMMYFUNCTION("""COMPUTED_VALUE"""),"https://www.tiktok.com/@titikzyp2a3/video/7633352369392143624?_r=1&amp;u_code=e9l98g7d7h5880&amp;region=&amp;mid=7046970598518196225&amp;preview_pb=0&amp;sharer_language=&amp;_d=0&amp;ec_shared_reflux_dynamic_params=%7B%22placeholder_material_id%22%3A%227633352369392143624%22%2C%22p"&amp;"laceholder_origin_cover%22%3A%22https%253A%252F%252Fp16-common-sign.tiktokcdn.com%252Ftos-alisg-p-0037%252FoYZIAejvuANjGaSQCbwIAzCoHD3LQMkFTfr6qf~tplv-tiktokx-origin.jpeg%253Fdr%253D14572%2526refresh_token%253D920dbd62%2526x-expires%253D1808992800%2526x-s"&amp;"ignature%253D4lYxUlq0xftH2eVYy%25252BeBtAM2Uj0%25253D%2526t%253D4d5b0474%2526ps%253D13740610%2526shp%253Dd05b14bd%2526shcp%253D34ff8df6%2526idc%253Dmy2%2526s%253DTIKTOK_AFFILIATE_VIRAL_VIDEO%22%2C%22placeholder_product_id%22%3A%221729427766722726591%22%2C"&amp;"%22placeholder_video_id%22%3A%227633352369392143624%22%7D&amp;ec_shared_reflux_scene=shop_tab_feed&amp;share_item_id=7633352369392143624&amp;source=h5_t")</f>
        <v>https://www.tiktok.com/@titikzyp2a3/video/7633352369392143624?_r=1&amp;u_code=e9l98g7d7h5880&amp;region=&amp;mid=7046970598518196225&amp;preview_pb=0&amp;sharer_language=&amp;_d=0&amp;ec_shared_reflux_dynamic_params=%7B%22placeholder_material_id%22%3A%227633352369392143624%22%2C%22placeholder_origin_cover%22%3A%22https%253A%252F%252Fp16-common-sign.tiktokcdn.com%252Ftos-alisg-p-0037%252FoYZIAejvuANjGaSQCbwIAzCoHD3LQMkFTfr6qf~tplv-tiktokx-origin.jpeg%253Fdr%253D14572%2526refresh_token%253D920dbd62%2526x-expires%253D1808992800%2526x-signature%253D4lYxUlq0xftH2eVYy%25252BeBtAM2Uj0%25253D%2526t%253D4d5b0474%2526ps%253D13740610%2526shp%253Dd05b14bd%2526shcp%253D34ff8df6%2526idc%253Dmy2%2526s%253DTIKTOK_AFFILIATE_VIRAL_VIDEO%22%2C%22placeholder_product_id%22%3A%221729427766722726591%22%2C%22placeholder_video_id%22%3A%227633352369392143624%22%7D&amp;ec_shared_reflux_scene=shop_tab_feed&amp;share_item_id=7633352369392143624&amp;source=h5_t</v>
      </c>
      <c r="K1738" s="470" t="str">
        <f>IFERROR(__xludf.DUMMYFUNCTION("""COMPUTED_VALUE"""),"KIMME")</f>
        <v>KIMME</v>
      </c>
      <c r="L1738" s="471" t="str">
        <f>IFERROR(__xludf.DUMMYFUNCTION("""COMPUTED_VALUE"""),"https://www.tiktok.com/@titikzyp2a3/video/7634152791769926919?_r=1&amp;u_code=e9l98g7d7h5880&amp;region=&amp;mid=7608559003840400145&amp;preview_pb=0&amp;sharer_language=&amp;_d=0&amp;ec_shared_reflux_dynamic_params=%7B%22placeholder_material_id%22%3A%227634152791769926919%22%2C%22p"&amp;"laceholder_origin_cover%22%3A%22https%253A%252F%252Fp16-common-sign.tiktokcdn.com%252Ftos-alisg-p-0037%252FoAqU3AfdUeIBQ9RzE5g4IAiikzXXJpxYBwBPB7~tplv-tiktokx-origin.jpeg%253Fdr%253D14572%2526refresh_token%253D02603b4f%2526x-expires%253D1809507600%2526x-s"&amp;"ignature%253DVtg80E3piASOsVu%25252BGXf5Y%25252Bn0qdE%25253D%2526t%253D4d5b0474%2526ps%253D13740610%2526shp%253Dd05b14bd%2526shcp%253D34ff8df6%2526idc%253Dmy%2526s%253DTIKTOK_AFFILIATE_VIRAL_VIDEO%22%2C%22placeholder_product_id%22%3A%221729427766722726591%"&amp;"22%2C%22placeholder_video_id%22%3A%227634152791769926919%22%7D&amp;ec_shared_reflux_scene=shop_tab_feed&amp;share_item_id=7634152791769926919&amp;source=h5_t")</f>
        <v>https://www.tiktok.com/@titikzyp2a3/video/7634152791769926919?_r=1&amp;u_code=e9l98g7d7h5880&amp;region=&amp;mid=7608559003840400145&amp;preview_pb=0&amp;sharer_language=&amp;_d=0&amp;ec_shared_reflux_dynamic_params=%7B%22placeholder_material_id%22%3A%227634152791769926919%22%2C%22placeholder_origin_cover%22%3A%22https%253A%252F%252Fp16-common-sign.tiktokcdn.com%252Ftos-alisg-p-0037%252FoAqU3AfdUeIBQ9RzE5g4IAiikzXXJpxYBwBPB7~tplv-tiktokx-origin.jpeg%253Fdr%253D14572%2526refresh_token%253D02603b4f%2526x-expires%253D1809507600%2526x-signature%253DVtg80E3piASOsVu%25252BGXf5Y%25252Bn0qdE%25253D%2526t%253D4d5b0474%2526ps%253D13740610%2526shp%253Dd05b14bd%2526shcp%253D34ff8df6%2526idc%253Dmy%2526s%253DTIKTOK_AFFILIATE_VIRAL_VIDEO%22%2C%22placeholder_product_id%22%3A%221729427766722726591%22%2C%22placeholder_video_id%22%3A%227634152791769926919%22%7D&amp;ec_shared_reflux_scene=shop_tab_feed&amp;share_item_id=7634152791769926919&amp;source=h5_t</v>
      </c>
      <c r="M1738" s="470"/>
      <c r="N1738" s="471" t="str">
        <f>IFERROR(__xludf.DUMMYFUNCTION("""COMPUTED_VALUE"""),"https://www.tiktok.com/@titikzyp2a3/video/7635511746144357650?_r=1&amp;u_code=e9l98g7d7h5880&amp;region=&amp;mid=7613023919407466497&amp;preview_pb=0&amp;sharer_language=&amp;_d=0&amp;ec_shared_reflux_dynamic_params=%7B%22placeholder_material_id%22%3A%227635511746144357650%22%2C%22p"&amp;"laceholder_origin_cover%22%3A%22https%253A%252F%252Fp19-common-sign.tiktokcdn.com%252Ftos-alisg-p-0037%252FoUJ7Ge1XIIHoQwkteCTALCYtQIjZAHHIHDzpVe~tplv-tiktokx-origin.jpeg%253Fdr%253D14572%2526refresh_token%253D3cb6504e%2526x-expires%253D1809507600%2526x-s"&amp;"ignature%253DYiWJ%25252FDat3wu%25252BOqP84CvOiX4NU9o%25253D%2526t%253D4d5b0474%2526ps%253D13740610%2526shp%253Dd05b14bd%2526shcp%253D34ff8df6%2526idc%253Dmy%2526s%253DTIKTOK_AFFILIATE_VIRAL_VIDEO%22%2C%22placeholder_product_id%22%3A%221729427766722726591%"&amp;"22%2C%22placeholder_video_id%22%3A%227635511746144357650%22%7D&amp;ec_shared_reflux_scene=shop_tab_feed&amp;share_item_id=7635511746144357650&amp;source=h5_t")</f>
        <v>https://www.tiktok.com/@titikzyp2a3/video/7635511746144357650?_r=1&amp;u_code=e9l98g7d7h5880&amp;region=&amp;mid=7613023919407466497&amp;preview_pb=0&amp;sharer_language=&amp;_d=0&amp;ec_shared_reflux_dynamic_params=%7B%22placeholder_material_id%22%3A%227635511746144357650%22%2C%22placeholder_origin_cover%22%3A%22https%253A%252F%252Fp19-common-sign.tiktokcdn.com%252Ftos-alisg-p-0037%252FoUJ7Ge1XIIHoQwkteCTALCYtQIjZAHHIHDzpVe~tplv-tiktokx-origin.jpeg%253Fdr%253D14572%2526refresh_token%253D3cb6504e%2526x-expires%253D1809507600%2526x-signature%253DYiWJ%25252FDat3wu%25252BOqP84CvOiX4NU9o%25253D%2526t%253D4d5b0474%2526ps%253D13740610%2526shp%253Dd05b14bd%2526shcp%253D34ff8df6%2526idc%253Dmy%2526s%253DTIKTOK_AFFILIATE_VIRAL_VIDEO%22%2C%22placeholder_product_id%22%3A%221729427766722726591%22%2C%22placeholder_video_id%22%3A%227635511746144357650%22%7D&amp;ec_shared_reflux_scene=shop_tab_feed&amp;share_item_id=7635511746144357650&amp;source=h5_t</v>
      </c>
      <c r="O1738" s="470"/>
      <c r="P1738" s="471" t="str">
        <f>IFERROR(__xludf.DUMMYFUNCTION("""COMPUTED_VALUE"""),"https://vt.tiktok.com/ZSxmGM77p/")</f>
        <v>https://vt.tiktok.com/ZSxmGM77p/</v>
      </c>
    </row>
    <row r="1739">
      <c r="A1739" s="282" t="str">
        <f>IFERROR(__xludf.DUMMYFUNCTION("""COMPUTED_VALUE"""),"MICRO")</f>
        <v>MICRO</v>
      </c>
      <c r="B1739" s="468" t="str">
        <f>IFERROR(__xludf.DUMMYFUNCTION("""COMPUTED_VALUE"""),"caretips4")</f>
        <v>caretips4</v>
      </c>
      <c r="C1739" s="283" t="str">
        <f>IFERROR(__xludf.DUMMYFUNCTION("""COMPUTED_VALUE"""),"https://www.tiktok.com/@caretips4")</f>
        <v>https://www.tiktok.com/@caretips4</v>
      </c>
      <c r="D1739" s="273">
        <f>IFERROR(__xludf.DUMMYFUNCTION("""COMPUTED_VALUE"""),8.7753486284E10)</f>
        <v>87753486284</v>
      </c>
      <c r="E1739" s="458">
        <f>IFERROR(__xludf.DUMMYFUNCTION("""COMPUTED_VALUE"""),0.0)</f>
        <v>0</v>
      </c>
      <c r="F1739" s="273">
        <f>IFERROR(__xludf.DUMMYFUNCTION("""COMPUTED_VALUE"""),4.0)</f>
        <v>4</v>
      </c>
      <c r="G1739" t="str">
        <f>IFERROR(__xludf.DUMMYFUNCTION("""COMPUTED_VALUE"""),"Sabun batang 1 Box ( 2 PCS )")</f>
        <v>Sabun batang 1 Box ( 2 PCS )</v>
      </c>
      <c r="H1739" s="469" t="str">
        <f>IFERROR(__xludf.DUMMYFUNCTION("""COMPUTED_VALUE"""),"Sampai")</f>
        <v>Sampai</v>
      </c>
      <c r="I1739" s="470" t="str">
        <f>IFERROR(__xludf.DUMMYFUNCTION("""COMPUTED_VALUE"""),"KIMME")</f>
        <v>KIMME</v>
      </c>
      <c r="J1739" s="471" t="str">
        <f>IFERROR(__xludf.DUMMYFUNCTION("""COMPUTED_VALUE"""),"https://vt.tiktok.com/ZSx9yhjtA/")</f>
        <v>https://vt.tiktok.com/ZSx9yhjtA/</v>
      </c>
      <c r="K1739" s="470" t="str">
        <f>IFERROR(__xludf.DUMMYFUNCTION("""COMPUTED_VALUE"""),"KIMME")</f>
        <v>KIMME</v>
      </c>
      <c r="L1739" s="471" t="str">
        <f>IFERROR(__xludf.DUMMYFUNCTION("""COMPUTED_VALUE"""),"https://vt.tiktok.com/ZSx9yxHVX/")</f>
        <v>https://vt.tiktok.com/ZSx9yxHVX/</v>
      </c>
      <c r="M1739" s="470"/>
      <c r="N1739" t="str">
        <f>IFERROR(__xludf.DUMMYFUNCTION("""COMPUTED_VALUE"""),"⁠https://vt.tiktok.com/ZSx9y65va/")</f>
        <v>⁠https://vt.tiktok.com/ZSx9y65va/</v>
      </c>
      <c r="O1739" s="470"/>
      <c r="P1739" s="471" t="str">
        <f>IFERROR(__xludf.DUMMYFUNCTION("""COMPUTED_VALUE"""),"https://vt.tiktok.com/ZSx9ySUhu/")</f>
        <v>https://vt.tiktok.com/ZSx9ySUhu/</v>
      </c>
    </row>
    <row r="1740">
      <c r="A1740" s="282" t="str">
        <f>IFERROR(__xludf.DUMMYFUNCTION("""COMPUTED_VALUE"""),"MICRO")</f>
        <v>MICRO</v>
      </c>
      <c r="B1740" s="468" t="str">
        <f>IFERROR(__xludf.DUMMYFUNCTION("""COMPUTED_VALUE"""),"acita27")</f>
        <v>acita27</v>
      </c>
      <c r="C1740" s="283" t="str">
        <f>IFERROR(__xludf.DUMMYFUNCTION("""COMPUTED_VALUE"""),"https://www.tiktok.com/@acita27")</f>
        <v>https://www.tiktok.com/@acita27</v>
      </c>
      <c r="D1740" s="273">
        <f>IFERROR(__xludf.DUMMYFUNCTION("""COMPUTED_VALUE"""),8.1290851916E10)</f>
        <v>81290851916</v>
      </c>
      <c r="E1740" s="458">
        <f>IFERROR(__xludf.DUMMYFUNCTION("""COMPUTED_VALUE"""),0.0)</f>
        <v>0</v>
      </c>
      <c r="F1740" s="273">
        <f>IFERROR(__xludf.DUMMYFUNCTION("""COMPUTED_VALUE"""),4.0)</f>
        <v>4</v>
      </c>
      <c r="G1740" t="str">
        <f>IFERROR(__xludf.DUMMYFUNCTION("""COMPUTED_VALUE"""),"Sabun batang 1 Box ( 2 PCS )")</f>
        <v>Sabun batang 1 Box ( 2 PCS )</v>
      </c>
      <c r="H1740" s="469" t="str">
        <f>IFERROR(__xludf.DUMMYFUNCTION("""COMPUTED_VALUE"""),"Sampai")</f>
        <v>Sampai</v>
      </c>
      <c r="I1740" s="470" t="str">
        <f>IFERROR(__xludf.DUMMYFUNCTION("""COMPUTED_VALUE"""),"KIMME")</f>
        <v>KIMME</v>
      </c>
      <c r="J1740" s="471" t="str">
        <f>IFERROR(__xludf.DUMMYFUNCTION("""COMPUTED_VALUE"""),"https://vt.tiktok.com/ZSx9yctYv/")</f>
        <v>https://vt.tiktok.com/ZSx9yctYv/</v>
      </c>
      <c r="K1740" s="470" t="str">
        <f>IFERROR(__xludf.DUMMYFUNCTION("""COMPUTED_VALUE"""),"KIMME")</f>
        <v>KIMME</v>
      </c>
      <c r="L1740" s="471" t="str">
        <f>IFERROR(__xludf.DUMMYFUNCTION("""COMPUTED_VALUE"""),"https://vt.tiktok.com/ZSx9f16Nj/")</f>
        <v>https://vt.tiktok.com/ZSx9f16Nj/</v>
      </c>
      <c r="M1740" s="470"/>
      <c r="N1740" t="str">
        <f>IFERROR(__xludf.DUMMYFUNCTION("""COMPUTED_VALUE"""),"⁠⁠⁠⁠https://vt.tiktok.com/ZSx9yWo9y/")</f>
        <v>⁠⁠⁠⁠https://vt.tiktok.com/ZSx9yWo9y/</v>
      </c>
      <c r="O1740" s="470"/>
      <c r="P1740" s="471" t="str">
        <f>IFERROR(__xludf.DUMMYFUNCTION("""COMPUTED_VALUE"""),"https://vt.tiktok.com/ZSx9yn96m/")</f>
        <v>https://vt.tiktok.com/ZSx9yn96m/</v>
      </c>
    </row>
    <row r="1741">
      <c r="A1741" s="282" t="str">
        <f>IFERROR(__xludf.DUMMYFUNCTION("""COMPUTED_VALUE"""),"MICRO")</f>
        <v>MICRO</v>
      </c>
      <c r="B1741" s="468" t="str">
        <f>IFERROR(__xludf.DUMMYFUNCTION("""COMPUTED_VALUE"""),"cintiashop22")</f>
        <v>cintiashop22</v>
      </c>
      <c r="C1741" s="283" t="str">
        <f>IFERROR(__xludf.DUMMYFUNCTION("""COMPUTED_VALUE"""),"https://www.tiktok.com/@cintiashop22")</f>
        <v>https://www.tiktok.com/@cintiashop22</v>
      </c>
      <c r="D1741" s="273">
        <f>IFERROR(__xludf.DUMMYFUNCTION("""COMPUTED_VALUE"""),8.51613036E10)</f>
        <v>85161303600</v>
      </c>
      <c r="E1741" s="458">
        <f>IFERROR(__xludf.DUMMYFUNCTION("""COMPUTED_VALUE"""),0.0)</f>
        <v>0</v>
      </c>
      <c r="F1741" s="273">
        <f>IFERROR(__xludf.DUMMYFUNCTION("""COMPUTED_VALUE"""),4.0)</f>
        <v>4</v>
      </c>
      <c r="G1741" t="str">
        <f>IFERROR(__xludf.DUMMYFUNCTION("""COMPUTED_VALUE"""),"Sabun batang 1 Box ( 2 PCS )")</f>
        <v>Sabun batang 1 Box ( 2 PCS )</v>
      </c>
      <c r="H1741" s="469" t="str">
        <f>IFERROR(__xludf.DUMMYFUNCTION("""COMPUTED_VALUE"""),"Sampai")</f>
        <v>Sampai</v>
      </c>
      <c r="I1741" s="470" t="str">
        <f>IFERROR(__xludf.DUMMYFUNCTION("""COMPUTED_VALUE"""),"KIMME")</f>
        <v>KIMME</v>
      </c>
      <c r="J1741" s="471" t="str">
        <f>IFERROR(__xludf.DUMMYFUNCTION("""COMPUTED_VALUE"""),"https://vt.tiktok.com/ZSxmeao9u/")</f>
        <v>https://vt.tiktok.com/ZSxmeao9u/</v>
      </c>
      <c r="K1741" s="470" t="str">
        <f>IFERROR(__xludf.DUMMYFUNCTION("""COMPUTED_VALUE"""),"KIMME")</f>
        <v>KIMME</v>
      </c>
      <c r="L1741" s="471" t="str">
        <f>IFERROR(__xludf.DUMMYFUNCTION("""COMPUTED_VALUE"""),"https://vt.tiktok.com/ZSxmeqoxF/")</f>
        <v>https://vt.tiktok.com/ZSxmeqoxF/</v>
      </c>
      <c r="M1741" s="470"/>
      <c r="N1741" s="471" t="str">
        <f>IFERROR(__xludf.DUMMYFUNCTION("""COMPUTED_VALUE"""),"https://vt.tiktok.com/ZSxme1sw4/")</f>
        <v>https://vt.tiktok.com/ZSxme1sw4/</v>
      </c>
      <c r="O1741" s="470"/>
      <c r="P1741" s="471" t="str">
        <f>IFERROR(__xludf.DUMMYFUNCTION("""COMPUTED_VALUE"""),"https://vt.tiktok.com/ZSxmeUUYa/")</f>
        <v>https://vt.tiktok.com/ZSxmeUUYa/</v>
      </c>
    </row>
    <row r="1742">
      <c r="A1742" s="282" t="str">
        <f>IFERROR(__xludf.DUMMYFUNCTION("""COMPUTED_VALUE"""),"MICRO")</f>
        <v>MICRO</v>
      </c>
      <c r="B1742" s="468" t="str">
        <f>IFERROR(__xludf.DUMMYFUNCTION("""COMPUTED_VALUE"""),"sipin_13")</f>
        <v>sipin_13</v>
      </c>
      <c r="C1742" s="283" t="str">
        <f>IFERROR(__xludf.DUMMYFUNCTION("""COMPUTED_VALUE"""),"https://www.tiktok.com/@sipin_13")</f>
        <v>https://www.tiktok.com/@sipin_13</v>
      </c>
      <c r="D1742" s="273">
        <f>IFERROR(__xludf.DUMMYFUNCTION("""COMPUTED_VALUE"""),8.9683940505E10)</f>
        <v>89683940505</v>
      </c>
      <c r="E1742" s="458">
        <f>IFERROR(__xludf.DUMMYFUNCTION("""COMPUTED_VALUE"""),0.0)</f>
        <v>0</v>
      </c>
      <c r="F1742" s="273">
        <f>IFERROR(__xludf.DUMMYFUNCTION("""COMPUTED_VALUE"""),4.0)</f>
        <v>4</v>
      </c>
      <c r="G1742" t="str">
        <f>IFERROR(__xludf.DUMMYFUNCTION("""COMPUTED_VALUE"""),"Sabun batang 1 Box ( 2 PCS )")</f>
        <v>Sabun batang 1 Box ( 2 PCS )</v>
      </c>
      <c r="H1742" s="469" t="str">
        <f>IFERROR(__xludf.DUMMYFUNCTION("""COMPUTED_VALUE"""),"Sampai")</f>
        <v>Sampai</v>
      </c>
      <c r="I1742" s="470" t="str">
        <f>IFERROR(__xludf.DUMMYFUNCTION("""COMPUTED_VALUE"""),"KIMME")</f>
        <v>KIMME</v>
      </c>
      <c r="J1742" s="471" t="str">
        <f>IFERROR(__xludf.DUMMYFUNCTION("""COMPUTED_VALUE"""),"https://www.tiktok.com/@sarsaparillaa/video/7634942262597750037?_r=1&amp;u_code=6198hfcj6k43c&amp;region=&amp;mid=7619742846682400785&amp;preview_pb=0&amp;sharer_language=&amp;_d=0&amp;ec_shared_reflux_dynamic_params=%7B%22placeholder_material_id%22%3A%227634942262597750037%22%2C%22"&amp;"placeholder_origin_cover%22%3A%22https%253A%252F%252Fp16-common-sign.tiktokcdn.com%252Ftos-alisg-p-0037%252FowcNQUa7LDAxhrEeiMF9BRpCvEtgxBP9QIf5pE~tplv-tiktokx-origin.jpeg%253Fdr%253D14572%2526refresh_token%253D31cfb09e%2526x-expires%253D1809504000%2526x-"&amp;"signature%253DW0jbDihJpjiJdmv%25252FAxwl%25252FqQe8aw%25253D%2526t%253D4d5b0474%2526ps%253D13740610%2526shp%253Dd05b14bd%2526shcp%253D34ff8df6%2526idc%253Dmy%2526s%253DTIKTOK_AFFILIATE_VIRAL_VIDEO%22%2C%22placeholder_product_id%22%3A%221729427766722726591"&amp;"%22%2C%22placeholder_video_id%22%3A%227634942262597750037%22%7D&amp;ec_shared_reflux_scene=shop_tab_feed&amp;share_item_id=7634942262597750037&amp;source=h5_t")</f>
        <v>https://www.tiktok.com/@sarsaparillaa/video/7634942262597750037?_r=1&amp;u_code=6198hfcj6k43c&amp;region=&amp;mid=7619742846682400785&amp;preview_pb=0&amp;sharer_language=&amp;_d=0&amp;ec_shared_reflux_dynamic_params=%7B%22placeholder_material_id%22%3A%227634942262597750037%22%2C%22placeholder_origin_cover%22%3A%22https%253A%252F%252Fp16-common-sign.tiktokcdn.com%252Ftos-alisg-p-0037%252FowcNQUa7LDAxhrEeiMF9BRpCvEtgxBP9QIf5pE~tplv-tiktokx-origin.jpeg%253Fdr%253D14572%2526refresh_token%253D31cfb09e%2526x-expires%253D1809504000%2526x-signature%253DW0jbDihJpjiJdmv%25252FAxwl%25252FqQe8aw%25253D%2526t%253D4d5b0474%2526ps%253D13740610%2526shp%253Dd05b14bd%2526shcp%253D34ff8df6%2526idc%253Dmy%2526s%253DTIKTOK_AFFILIATE_VIRAL_VIDEO%22%2C%22placeholder_product_id%22%3A%221729427766722726591%22%2C%22placeholder_video_id%22%3A%227634942262597750037%22%7D&amp;ec_shared_reflux_scene=shop_tab_feed&amp;share_item_id=7634942262597750037&amp;source=h5_t</v>
      </c>
      <c r="K1742" s="470" t="str">
        <f>IFERROR(__xludf.DUMMYFUNCTION("""COMPUTED_VALUE"""),"KIMME")</f>
        <v>KIMME</v>
      </c>
      <c r="L1742" s="471" t="str">
        <f>IFERROR(__xludf.DUMMYFUNCTION("""COMPUTED_VALUE"""),"https://www.tiktok.com/@sarsaparillaa/video/7634977370390285589?_r=1&amp;u_code=6198hfcj6k43c&amp;region=&amp;mid=7632888350513908501&amp;preview_pb=0&amp;sharer_language=&amp;_d=0&amp;ec_shared_reflux_dynamic_params=%7B%22placeholder_material_id%22%3A%227634977370390285589%22%2C%22"&amp;"placeholder_origin_cover%22%3A%22https%253A%252F%252Fp16-common-sign.tiktokcdn.com%252Ftos-alisg-p-0037%252FoAEhSAIgUgAFCEO4LHRRq9fhFMD2BBsIfB4pM0~tplv-tiktokx-origin.jpeg%253Fdr%253D14572%2526refresh_token%253D95d46316%2526x-expires%253D1809504000%2526x-"&amp;"signature%253D0fEaBXznpOgeH2YAMtRu7%25252B3P2Y4%25253D%2526t%253D4d5b0474%2526ps%253D13740610%2526shp%253Dd05b14bd%2526shcp%253D34ff8df6%2526idc%253Dmy%2526s%253DTIKTOK_AFFILIATE_VIRAL_VIDEO%22%2C%22placeholder_product_id%22%3A%221729427766722726591%22%2C"&amp;"%22placeholder_video_id%22%3A%227634977370390285589%22%7D&amp;ec_shared_reflux_scene=shop_tab_feed&amp;share_item_id=7634977370390285589&amp;source=h5_t")</f>
        <v>https://www.tiktok.com/@sarsaparillaa/video/7634977370390285589?_r=1&amp;u_code=6198hfcj6k43c&amp;region=&amp;mid=7632888350513908501&amp;preview_pb=0&amp;sharer_language=&amp;_d=0&amp;ec_shared_reflux_dynamic_params=%7B%22placeholder_material_id%22%3A%227634977370390285589%22%2C%22placeholder_origin_cover%22%3A%22https%253A%252F%252Fp16-common-sign.tiktokcdn.com%252Ftos-alisg-p-0037%252FoAEhSAIgUgAFCEO4LHRRq9fhFMD2BBsIfB4pM0~tplv-tiktokx-origin.jpeg%253Fdr%253D14572%2526refresh_token%253D95d46316%2526x-expires%253D1809504000%2526x-signature%253D0fEaBXznpOgeH2YAMtRu7%25252B3P2Y4%25253D%2526t%253D4d5b0474%2526ps%253D13740610%2526shp%253Dd05b14bd%2526shcp%253D34ff8df6%2526idc%253Dmy%2526s%253DTIKTOK_AFFILIATE_VIRAL_VIDEO%22%2C%22placeholder_product_id%22%3A%221729427766722726591%22%2C%22placeholder_video_id%22%3A%227634977370390285589%22%7D&amp;ec_shared_reflux_scene=shop_tab_feed&amp;share_item_id=7634977370390285589&amp;source=h5_t</v>
      </c>
      <c r="M1742" s="470"/>
      <c r="N1742" s="471" t="str">
        <f>IFERROR(__xludf.DUMMYFUNCTION("""COMPUTED_VALUE"""),"https://vt.tiktok.com/ZSx9ynb5D/")</f>
        <v>https://vt.tiktok.com/ZSx9ynb5D/</v>
      </c>
      <c r="O1742" s="470"/>
      <c r="P1742" s="471" t="str">
        <f>IFERROR(__xludf.DUMMYFUNCTION("""COMPUTED_VALUE"""),"https://vt.tiktok.com/ZSxyP72BK/")</f>
        <v>https://vt.tiktok.com/ZSxyP72BK/</v>
      </c>
    </row>
    <row r="1743">
      <c r="A1743" s="282" t="str">
        <f>IFERROR(__xludf.DUMMYFUNCTION("""COMPUTED_VALUE"""),"MICRO")</f>
        <v>MICRO</v>
      </c>
      <c r="B1743" s="468" t="str">
        <f>IFERROR(__xludf.DUMMYFUNCTION("""COMPUTED_VALUE"""),"rismaracing87")</f>
        <v>rismaracing87</v>
      </c>
      <c r="C1743" s="283" t="str">
        <f>IFERROR(__xludf.DUMMYFUNCTION("""COMPUTED_VALUE"""),"https://www.tiktok.com/@rismaracing87")</f>
        <v>https://www.tiktok.com/@rismaracing87</v>
      </c>
      <c r="D1743" s="273">
        <f>IFERROR(__xludf.DUMMYFUNCTION("""COMPUTED_VALUE"""),8.1283544547E10)</f>
        <v>81283544547</v>
      </c>
      <c r="E1743" s="458">
        <f>IFERROR(__xludf.DUMMYFUNCTION("""COMPUTED_VALUE"""),0.0)</f>
        <v>0</v>
      </c>
      <c r="F1743" s="273">
        <f>IFERROR(__xludf.DUMMYFUNCTION("""COMPUTED_VALUE"""),4.0)</f>
        <v>4</v>
      </c>
      <c r="G1743" t="str">
        <f>IFERROR(__xludf.DUMMYFUNCTION("""COMPUTED_VALUE"""),"Sabun batang 1 Box ( 2 PCS )")</f>
        <v>Sabun batang 1 Box ( 2 PCS )</v>
      </c>
      <c r="H1743" s="469" t="str">
        <f>IFERROR(__xludf.DUMMYFUNCTION("""COMPUTED_VALUE"""),"Sampai")</f>
        <v>Sampai</v>
      </c>
      <c r="I1743" s="470" t="str">
        <f>IFERROR(__xludf.DUMMYFUNCTION("""COMPUTED_VALUE"""),"KIMME")</f>
        <v>KIMME</v>
      </c>
      <c r="J1743" s="471" t="str">
        <f>IFERROR(__xludf.DUMMYFUNCTION("""COMPUTED_VALUE"""),"https://vt.tiktok.com/ZSxyPy46y/")</f>
        <v>https://vt.tiktok.com/ZSxyPy46y/</v>
      </c>
      <c r="K1743" s="470" t="str">
        <f>IFERROR(__xludf.DUMMYFUNCTION("""COMPUTED_VALUE"""),"KIMME")</f>
        <v>KIMME</v>
      </c>
      <c r="L1743" s="471" t="str">
        <f>IFERROR(__xludf.DUMMYFUNCTION("""COMPUTED_VALUE"""),"https://vt.tiktok.com/ZSxyPnmbe/")</f>
        <v>https://vt.tiktok.com/ZSxyPnmbe/</v>
      </c>
      <c r="M1743" s="470"/>
      <c r="N1743" s="471" t="str">
        <f>IFERROR(__xludf.DUMMYFUNCTION("""COMPUTED_VALUE"""),"https://vt.tiktok.com/ZSxyPg4GN/")</f>
        <v>https://vt.tiktok.com/ZSxyPg4GN/</v>
      </c>
      <c r="O1743" s="470"/>
      <c r="P1743" s="471" t="str">
        <f>IFERROR(__xludf.DUMMYFUNCTION("""COMPUTED_VALUE"""),"https://vt.tiktok.com/ZSxyPgRQc/")</f>
        <v>https://vt.tiktok.com/ZSxyPgRQc/</v>
      </c>
    </row>
    <row r="1744">
      <c r="A1744" s="282" t="str">
        <f>IFERROR(__xludf.DUMMYFUNCTION("""COMPUTED_VALUE"""),"MICRO")</f>
        <v>MICRO</v>
      </c>
      <c r="B1744" s="468" t="str">
        <f>IFERROR(__xludf.DUMMYFUNCTION("""COMPUTED_VALUE"""),"inafauziyah28")</f>
        <v>inafauziyah28</v>
      </c>
      <c r="C1744" s="283" t="str">
        <f>IFERROR(__xludf.DUMMYFUNCTION("""COMPUTED_VALUE"""),"https://www.tiktok.com/@inafauziyah28")</f>
        <v>https://www.tiktok.com/@inafauziyah28</v>
      </c>
      <c r="D1744" s="273">
        <f>IFERROR(__xludf.DUMMYFUNCTION("""COMPUTED_VALUE"""),8.1312344868E10)</f>
        <v>81312344868</v>
      </c>
      <c r="E1744" s="458">
        <f>IFERROR(__xludf.DUMMYFUNCTION("""COMPUTED_VALUE"""),0.0)</f>
        <v>0</v>
      </c>
      <c r="F1744" s="273">
        <f>IFERROR(__xludf.DUMMYFUNCTION("""COMPUTED_VALUE"""),4.0)</f>
        <v>4</v>
      </c>
      <c r="G1744" t="str">
        <f>IFERROR(__xludf.DUMMYFUNCTION("""COMPUTED_VALUE"""),"Sabun batang 1 Box ( 2 PCS )")</f>
        <v>Sabun batang 1 Box ( 2 PCS )</v>
      </c>
      <c r="H1744" s="469" t="str">
        <f>IFERROR(__xludf.DUMMYFUNCTION("""COMPUTED_VALUE"""),"Sampai")</f>
        <v>Sampai</v>
      </c>
      <c r="I1744" s="470" t="str">
        <f>IFERROR(__xludf.DUMMYFUNCTION("""COMPUTED_VALUE"""),"KIMME")</f>
        <v>KIMME</v>
      </c>
      <c r="J1744" s="471" t="str">
        <f>IFERROR(__xludf.DUMMYFUNCTION("""COMPUTED_VALUE"""),"https://vt.tiktok.com/ZS9ovyYUW/")</f>
        <v>https://vt.tiktok.com/ZS9ovyYUW/</v>
      </c>
      <c r="K1744" s="470" t="str">
        <f>IFERROR(__xludf.DUMMYFUNCTION("""COMPUTED_VALUE"""),"KIMME")</f>
        <v>KIMME</v>
      </c>
      <c r="L1744" s="471" t="str">
        <f>IFERROR(__xludf.DUMMYFUNCTION("""COMPUTED_VALUE"""),"https://vt.tiktok.com/ZS9ovkvoy/")</f>
        <v>https://vt.tiktok.com/ZS9ovkvoy/</v>
      </c>
      <c r="M1744" s="470"/>
      <c r="N1744" t="str">
        <f>IFERROR(__xludf.DUMMYFUNCTION("""COMPUTED_VALUE"""),"⁠⁠https://vt.tiktok.com/ZSx9ywjLA/")</f>
        <v>⁠⁠https://vt.tiktok.com/ZSx9ywjLA/</v>
      </c>
      <c r="O1744" s="470"/>
      <c r="P1744" s="471" t="str">
        <f>IFERROR(__xludf.DUMMYFUNCTION("""COMPUTED_VALUE"""),"https://vt.tiktok.com/ZSxyPuj76/")</f>
        <v>https://vt.tiktok.com/ZSxyPuj76/</v>
      </c>
    </row>
    <row r="1745">
      <c r="A1745" s="282" t="str">
        <f>IFERROR(__xludf.DUMMYFUNCTION("""COMPUTED_VALUE"""),"MICRO")</f>
        <v>MICRO</v>
      </c>
      <c r="B1745" s="468" t="str">
        <f>IFERROR(__xludf.DUMMYFUNCTION("""COMPUTED_VALUE"""),"irhamramadhan0310")</f>
        <v>irhamramadhan0310</v>
      </c>
      <c r="C1745" s="283" t="str">
        <f>IFERROR(__xludf.DUMMYFUNCTION("""COMPUTED_VALUE"""),"https://www.tiktok.com/@irhamramadhan0310")</f>
        <v>https://www.tiktok.com/@irhamramadhan0310</v>
      </c>
      <c r="D1745" s="273">
        <f>IFERROR(__xludf.DUMMYFUNCTION("""COMPUTED_VALUE"""),8.5773073331E10)</f>
        <v>85773073331</v>
      </c>
      <c r="E1745" s="458">
        <f>IFERROR(__xludf.DUMMYFUNCTION("""COMPUTED_VALUE"""),0.0)</f>
        <v>0</v>
      </c>
      <c r="F1745" s="273">
        <f>IFERROR(__xludf.DUMMYFUNCTION("""COMPUTED_VALUE"""),4.0)</f>
        <v>4</v>
      </c>
      <c r="G1745" t="str">
        <f>IFERROR(__xludf.DUMMYFUNCTION("""COMPUTED_VALUE"""),"Sabun batang 1 Box ( 2 PCS )")</f>
        <v>Sabun batang 1 Box ( 2 PCS )</v>
      </c>
      <c r="H1745" s="469" t="str">
        <f>IFERROR(__xludf.DUMMYFUNCTION("""COMPUTED_VALUE"""),"Sampai")</f>
        <v>Sampai</v>
      </c>
      <c r="I1745" s="470" t="str">
        <f>IFERROR(__xludf.DUMMYFUNCTION("""COMPUTED_VALUE"""),"KIMME")</f>
        <v>KIMME</v>
      </c>
      <c r="J1745" s="471" t="str">
        <f>IFERROR(__xludf.DUMMYFUNCTION("""COMPUTED_VALUE"""),"https://vt.tiktok.com/ZSxyPu73N/")</f>
        <v>https://vt.tiktok.com/ZSxyPu73N/</v>
      </c>
      <c r="K1745" s="470" t="str">
        <f>IFERROR(__xludf.DUMMYFUNCTION("""COMPUTED_VALUE"""),"KIMME")</f>
        <v>KIMME</v>
      </c>
      <c r="L1745" s="471" t="str">
        <f>IFERROR(__xludf.DUMMYFUNCTION("""COMPUTED_VALUE"""),"https://vt.tiktok.com/ZSxyPpR9G/")</f>
        <v>https://vt.tiktok.com/ZSxyPpR9G/</v>
      </c>
      <c r="M1745" s="470"/>
      <c r="N1745" s="471" t="str">
        <f>IFERROR(__xludf.DUMMYFUNCTION("""COMPUTED_VALUE"""),"https://vt.tiktok.com/ZSxyPqqLS/")</f>
        <v>https://vt.tiktok.com/ZSxyPqqLS/</v>
      </c>
      <c r="O1745" s="470"/>
      <c r="P1745" s="471" t="str">
        <f>IFERROR(__xludf.DUMMYFUNCTION("""COMPUTED_VALUE"""),"https://vt.tiktok.com/ZSxyPbKba/")</f>
        <v>https://vt.tiktok.com/ZSxyPbKba/</v>
      </c>
    </row>
    <row r="1746">
      <c r="A1746" s="282" t="str">
        <f>IFERROR(__xludf.DUMMYFUNCTION("""COMPUTED_VALUE"""),"MICRO")</f>
        <v>MICRO</v>
      </c>
      <c r="B1746" s="468" t="str">
        <f>IFERROR(__xludf.DUMMYFUNCTION("""COMPUTED_VALUE"""),"lifestyle_shop116")</f>
        <v>lifestyle_shop116</v>
      </c>
      <c r="C1746" s="283" t="str">
        <f>IFERROR(__xludf.DUMMYFUNCTION("""COMPUTED_VALUE"""),"https://www.tiktok.com/@lifestyle_shop116")</f>
        <v>https://www.tiktok.com/@lifestyle_shop116</v>
      </c>
      <c r="D1746" s="273">
        <f>IFERROR(__xludf.DUMMYFUNCTION("""COMPUTED_VALUE"""),8.7770096306E10)</f>
        <v>87770096306</v>
      </c>
      <c r="E1746" s="458">
        <f>IFERROR(__xludf.DUMMYFUNCTION("""COMPUTED_VALUE"""),0.0)</f>
        <v>0</v>
      </c>
      <c r="F1746" s="273">
        <f>IFERROR(__xludf.DUMMYFUNCTION("""COMPUTED_VALUE"""),4.0)</f>
        <v>4</v>
      </c>
      <c r="G1746" t="str">
        <f>IFERROR(__xludf.DUMMYFUNCTION("""COMPUTED_VALUE"""),"Sabun batang 1 Box ( 2 PCS )")</f>
        <v>Sabun batang 1 Box ( 2 PCS )</v>
      </c>
      <c r="H1746" s="469" t="str">
        <f>IFERROR(__xludf.DUMMYFUNCTION("""COMPUTED_VALUE"""),"Sampai")</f>
        <v>Sampai</v>
      </c>
      <c r="I1746" s="470" t="str">
        <f>IFERROR(__xludf.DUMMYFUNCTION("""COMPUTED_VALUE"""),"KIMME")</f>
        <v>KIMME</v>
      </c>
      <c r="J1746" s="471" t="str">
        <f>IFERROR(__xludf.DUMMYFUNCTION("""COMPUTED_VALUE"""),"https://vt.tiktok.com/ZSxxj4Ksu/")</f>
        <v>https://vt.tiktok.com/ZSxxj4Ksu/</v>
      </c>
      <c r="K1746" s="470" t="str">
        <f>IFERROR(__xludf.DUMMYFUNCTION("""COMPUTED_VALUE"""),"KIMME")</f>
        <v>KIMME</v>
      </c>
      <c r="L1746" s="471" t="str">
        <f>IFERROR(__xludf.DUMMYFUNCTION("""COMPUTED_VALUE"""),"https://vt.tiktok.com/ZSxxjbngU/")</f>
        <v>https://vt.tiktok.com/ZSxxjbngU/</v>
      </c>
      <c r="M1746" s="470"/>
      <c r="N1746" s="471" t="str">
        <f>IFERROR(__xludf.DUMMYFUNCTION("""COMPUTED_VALUE"""),"https://vt.tiktok.com/ZSxx6r7H5/")</f>
        <v>https://vt.tiktok.com/ZSxx6r7H5/</v>
      </c>
      <c r="O1746" s="470"/>
      <c r="P1746" s="471" t="str">
        <f>IFERROR(__xludf.DUMMYFUNCTION("""COMPUTED_VALUE"""),"https://vt.tiktok.com/ZSxx62kRr/")</f>
        <v>https://vt.tiktok.com/ZSxx62kRr/</v>
      </c>
    </row>
    <row r="1747">
      <c r="A1747" s="282" t="str">
        <f>IFERROR(__xludf.DUMMYFUNCTION("""COMPUTED_VALUE"""),"MICRO")</f>
        <v>MICRO</v>
      </c>
      <c r="B1747" s="468" t="str">
        <f>IFERROR(__xludf.DUMMYFUNCTION("""COMPUTED_VALUE"""),"alfianii.1")</f>
        <v>alfianii.1</v>
      </c>
      <c r="C1747" s="283" t="str">
        <f>IFERROR(__xludf.DUMMYFUNCTION("""COMPUTED_VALUE"""),"https://www.tiktok.com/@alfianii.1")</f>
        <v>https://www.tiktok.com/@alfianii.1</v>
      </c>
      <c r="D1747" s="273">
        <f>IFERROR(__xludf.DUMMYFUNCTION("""COMPUTED_VALUE"""),8.1328164098E10)</f>
        <v>81328164098</v>
      </c>
      <c r="E1747" s="458">
        <f>IFERROR(__xludf.DUMMYFUNCTION("""COMPUTED_VALUE"""),0.0)</f>
        <v>0</v>
      </c>
      <c r="F1747" s="273">
        <f>IFERROR(__xludf.DUMMYFUNCTION("""COMPUTED_VALUE"""),1.0)</f>
        <v>1</v>
      </c>
      <c r="G1747" t="str">
        <f>IFERROR(__xludf.DUMMYFUNCTION("""COMPUTED_VALUE"""),"Sabun batang 1 Box ( 2 PCS )")</f>
        <v>Sabun batang 1 Box ( 2 PCS )</v>
      </c>
      <c r="H1747" s="469" t="str">
        <f>IFERROR(__xludf.DUMMYFUNCTION("""COMPUTED_VALUE"""),"Sampai")</f>
        <v>Sampai</v>
      </c>
      <c r="I1747" s="470" t="str">
        <f>IFERROR(__xludf.DUMMYFUNCTION("""COMPUTED_VALUE"""),"KIMME")</f>
        <v>KIMME</v>
      </c>
      <c r="J1747" s="471" t="str">
        <f>IFERROR(__xludf.DUMMYFUNCTION("""COMPUTED_VALUE"""),"https://vt.tiktok.com/ZSxmeHRef/")</f>
        <v>https://vt.tiktok.com/ZSxmeHRef/</v>
      </c>
      <c r="K1747" s="470" t="str">
        <f>IFERROR(__xludf.DUMMYFUNCTION("""COMPUTED_VALUE"""),"KIMME")</f>
        <v>KIMME</v>
      </c>
      <c r="L1747" s="471" t="str">
        <f>IFERROR(__xludf.DUMMYFUNCTION("""COMPUTED_VALUE"""),"https://vt.tiktok.com/ZSxmpK193/")</f>
        <v>https://vt.tiktok.com/ZSxmpK193/</v>
      </c>
      <c r="M1747" s="470"/>
      <c r="N1747" s="471" t="str">
        <f>IFERROR(__xludf.DUMMYFUNCTION("""COMPUTED_VALUE"""),"https://vt.tiktok.com/ZSxmeXeGF/")</f>
        <v>https://vt.tiktok.com/ZSxmeXeGF/</v>
      </c>
      <c r="O1747" s="470"/>
      <c r="P1747" s="471" t="str">
        <f>IFERROR(__xludf.DUMMYFUNCTION("""COMPUTED_VALUE"""),"https://vt.tiktok.com/ZSxmeG7TR/")</f>
        <v>https://vt.tiktok.com/ZSxmeG7TR/</v>
      </c>
    </row>
    <row r="1748">
      <c r="A1748" s="282" t="str">
        <f>IFERROR(__xludf.DUMMYFUNCTION("""COMPUTED_VALUE"""),"MICRO")</f>
        <v>MICRO</v>
      </c>
      <c r="B1748" s="468" t="str">
        <f>IFERROR(__xludf.DUMMYFUNCTION("""COMPUTED_VALUE"""),"faaull_22")</f>
        <v>faaull_22</v>
      </c>
      <c r="C1748" s="283" t="str">
        <f>IFERROR(__xludf.DUMMYFUNCTION("""COMPUTED_VALUE"""),"https://www.tiktok.com/@faaull_22")</f>
        <v>https://www.tiktok.com/@faaull_22</v>
      </c>
      <c r="D1748" s="273">
        <f>IFERROR(__xludf.DUMMYFUNCTION("""COMPUTED_VALUE"""),8.2337759796E10)</f>
        <v>82337759796</v>
      </c>
      <c r="E1748" s="458">
        <f>IFERROR(__xludf.DUMMYFUNCTION("""COMPUTED_VALUE"""),0.0)</f>
        <v>0</v>
      </c>
      <c r="F1748" s="273">
        <f>IFERROR(__xludf.DUMMYFUNCTION("""COMPUTED_VALUE"""),4.0)</f>
        <v>4</v>
      </c>
      <c r="G1748" t="str">
        <f>IFERROR(__xludf.DUMMYFUNCTION("""COMPUTED_VALUE"""),"Sabun batang 1 Box ( 2 PCS )")</f>
        <v>Sabun batang 1 Box ( 2 PCS )</v>
      </c>
      <c r="H1748" s="469" t="str">
        <f>IFERROR(__xludf.DUMMYFUNCTION("""COMPUTED_VALUE"""),"Sampai")</f>
        <v>Sampai</v>
      </c>
      <c r="I1748" s="470" t="str">
        <f>IFERROR(__xludf.DUMMYFUNCTION("""COMPUTED_VALUE"""),"KIMME")</f>
        <v>KIMME</v>
      </c>
      <c r="J1748" s="471" t="str">
        <f>IFERROR(__xludf.DUMMYFUNCTION("""COMPUTED_VALUE"""),"https://vt.tiktok.com/ZSxrGBVXr/")</f>
        <v>https://vt.tiktok.com/ZSxrGBVXr/</v>
      </c>
      <c r="K1748" s="470" t="str">
        <f>IFERROR(__xludf.DUMMYFUNCTION("""COMPUTED_VALUE"""),"KIMME")</f>
        <v>KIMME</v>
      </c>
      <c r="L1748" s="471" t="str">
        <f>IFERROR(__xludf.DUMMYFUNCTION("""COMPUTED_VALUE"""),"https://vt.tiktok.com/ZSxS7jRYr/")</f>
        <v>https://vt.tiktok.com/ZSxS7jRYr/</v>
      </c>
      <c r="M1748" s="470"/>
      <c r="N1748" s="471" t="str">
        <f>IFERROR(__xludf.DUMMYFUNCTION("""COMPUTED_VALUE"""),"https://vt.tiktok.com/ZSxS7FRu2/")</f>
        <v>https://vt.tiktok.com/ZSxS7FRu2/</v>
      </c>
      <c r="O1748" s="470"/>
      <c r="P1748" s="471" t="str">
        <f>IFERROR(__xludf.DUMMYFUNCTION("""COMPUTED_VALUE"""),"https://vt.tiktok.com/ZSxS78U71/")</f>
        <v>https://vt.tiktok.com/ZSxS78U71/</v>
      </c>
    </row>
    <row r="1749">
      <c r="A1749" s="282" t="str">
        <f>IFERROR(__xludf.DUMMYFUNCTION("""COMPUTED_VALUE"""),"MICRO")</f>
        <v>MICRO</v>
      </c>
      <c r="B1749" s="468" t="str">
        <f>IFERROR(__xludf.DUMMYFUNCTION("""COMPUTED_VALUE"""),"vialutvia_")</f>
        <v>vialutvia_</v>
      </c>
      <c r="C1749" s="283" t="str">
        <f>IFERROR(__xludf.DUMMYFUNCTION("""COMPUTED_VALUE"""),"https://www.tiktok.com/@vialutvia_")</f>
        <v>https://www.tiktok.com/@vialutvia_</v>
      </c>
      <c r="D1749" s="273">
        <f>IFERROR(__xludf.DUMMYFUNCTION("""COMPUTED_VALUE"""),8.5784271062E10)</f>
        <v>85784271062</v>
      </c>
      <c r="E1749" s="458">
        <f>IFERROR(__xludf.DUMMYFUNCTION("""COMPUTED_VALUE"""),0.0)</f>
        <v>0</v>
      </c>
      <c r="F1749" s="273">
        <f>IFERROR(__xludf.DUMMYFUNCTION("""COMPUTED_VALUE"""),4.0)</f>
        <v>4</v>
      </c>
      <c r="G1749" t="str">
        <f>IFERROR(__xludf.DUMMYFUNCTION("""COMPUTED_VALUE"""),"Sabun batang 1 Box ( 2 PCS )")</f>
        <v>Sabun batang 1 Box ( 2 PCS )</v>
      </c>
      <c r="H1749" s="469" t="str">
        <f>IFERROR(__xludf.DUMMYFUNCTION("""COMPUTED_VALUE"""),"Sampai")</f>
        <v>Sampai</v>
      </c>
      <c r="I1749" s="470" t="str">
        <f>IFERROR(__xludf.DUMMYFUNCTION("""COMPUTED_VALUE"""),"KIMME")</f>
        <v>KIMME</v>
      </c>
      <c r="J1749" s="471" t="str">
        <f>IFERROR(__xludf.DUMMYFUNCTION("""COMPUTED_VALUE"""),"https://vt.tiktok.com/ZSxS7dkAF/")</f>
        <v>https://vt.tiktok.com/ZSxS7dkAF/</v>
      </c>
      <c r="K1749" s="470" t="str">
        <f>IFERROR(__xludf.DUMMYFUNCTION("""COMPUTED_VALUE"""),"KIMME")</f>
        <v>KIMME</v>
      </c>
      <c r="L1749" s="471" t="str">
        <f>IFERROR(__xludf.DUMMYFUNCTION("""COMPUTED_VALUE"""),"https://vt.tiktok.com/ZSxS78d4g/")</f>
        <v>https://vt.tiktok.com/ZSxS78d4g/</v>
      </c>
      <c r="M1749" s="470"/>
      <c r="N1749" s="471" t="str">
        <f>IFERROR(__xludf.DUMMYFUNCTION("""COMPUTED_VALUE"""),"https://vt.tiktok.com/ZSxS7RhGf/")</f>
        <v>https://vt.tiktok.com/ZSxS7RhGf/</v>
      </c>
      <c r="O1749" s="470"/>
      <c r="P1749" s="471" t="str">
        <f>IFERROR(__xludf.DUMMYFUNCTION("""COMPUTED_VALUE"""),"https://vt.tiktok.com/ZSxU3CdQq/")</f>
        <v>https://vt.tiktok.com/ZSxU3CdQq/</v>
      </c>
    </row>
    <row r="1750">
      <c r="A1750" s="282" t="str">
        <f>IFERROR(__xludf.DUMMYFUNCTION("""COMPUTED_VALUE"""),"MICRO")</f>
        <v>MICRO</v>
      </c>
      <c r="B1750" s="468" t="str">
        <f>IFERROR(__xludf.DUMMYFUNCTION("""COMPUTED_VALUE"""),"itser97")</f>
        <v>itser97</v>
      </c>
      <c r="C1750" s="283" t="str">
        <f>IFERROR(__xludf.DUMMYFUNCTION("""COMPUTED_VALUE"""),"https://www.tiktok.com/@itser97")</f>
        <v>https://www.tiktok.com/@itser97</v>
      </c>
      <c r="D1750" s="273">
        <f>IFERROR(__xludf.DUMMYFUNCTION("""COMPUTED_VALUE"""),8.1286625311E10)</f>
        <v>81286625311</v>
      </c>
      <c r="E1750" s="458">
        <f>IFERROR(__xludf.DUMMYFUNCTION("""COMPUTED_VALUE"""),0.0)</f>
        <v>0</v>
      </c>
      <c r="F1750" s="273">
        <f>IFERROR(__xludf.DUMMYFUNCTION("""COMPUTED_VALUE"""),4.0)</f>
        <v>4</v>
      </c>
      <c r="G1750" t="str">
        <f>IFERROR(__xludf.DUMMYFUNCTION("""COMPUTED_VALUE"""),"Sabun batang 1 Box ( 2 PCS )")</f>
        <v>Sabun batang 1 Box ( 2 PCS )</v>
      </c>
      <c r="H1750" s="469" t="str">
        <f>IFERROR(__xludf.DUMMYFUNCTION("""COMPUTED_VALUE"""),"Sampai")</f>
        <v>Sampai</v>
      </c>
      <c r="I1750" s="470" t="str">
        <f>IFERROR(__xludf.DUMMYFUNCTION("""COMPUTED_VALUE"""),"KIMME")</f>
        <v>KIMME</v>
      </c>
      <c r="J1750" s="471" t="str">
        <f>IFERROR(__xludf.DUMMYFUNCTION("""COMPUTED_VALUE"""),"https://vt.tiktok.com/ZSxU3KfDc/")</f>
        <v>https://vt.tiktok.com/ZSxU3KfDc/</v>
      </c>
      <c r="K1750" s="470" t="str">
        <f>IFERROR(__xludf.DUMMYFUNCTION("""COMPUTED_VALUE"""),"KIMME")</f>
        <v>KIMME</v>
      </c>
      <c r="L1750" s="471" t="str">
        <f>IFERROR(__xludf.DUMMYFUNCTION("""COMPUTED_VALUE"""),"https://vt.tiktok.com/ZSxU3goaL/")</f>
        <v>https://vt.tiktok.com/ZSxU3goaL/</v>
      </c>
      <c r="M1750" s="470"/>
      <c r="N1750" s="471" t="str">
        <f>IFERROR(__xludf.DUMMYFUNCTION("""COMPUTED_VALUE"""),"https://vt.tiktok.com/ZSxU37RP8/")</f>
        <v>https://vt.tiktok.com/ZSxU37RP8/</v>
      </c>
      <c r="O1750" s="470"/>
      <c r="P1750" s="471" t="str">
        <f>IFERROR(__xludf.DUMMYFUNCTION("""COMPUTED_VALUE"""),"https://vt.tiktok.com/ZSxmsETED/")</f>
        <v>https://vt.tiktok.com/ZSxmsETED/</v>
      </c>
    </row>
    <row r="1751">
      <c r="A1751" s="282" t="str">
        <f>IFERROR(__xludf.DUMMYFUNCTION("""COMPUTED_VALUE"""),"MICRO")</f>
        <v>MICRO</v>
      </c>
      <c r="B1751" s="468" t="str">
        <f>IFERROR(__xludf.DUMMYFUNCTION("""COMPUTED_VALUE"""),"sovashwa14")</f>
        <v>sovashwa14</v>
      </c>
      <c r="C1751" s="283" t="str">
        <f>IFERROR(__xludf.DUMMYFUNCTION("""COMPUTED_VALUE"""),"https://www.tiktok.com/@sovashwa14")</f>
        <v>https://www.tiktok.com/@sovashwa14</v>
      </c>
      <c r="D1751" s="273">
        <f>IFERROR(__xludf.DUMMYFUNCTION("""COMPUTED_VALUE"""),8.5624206093E10)</f>
        <v>85624206093</v>
      </c>
      <c r="E1751" s="458">
        <f>IFERROR(__xludf.DUMMYFUNCTION("""COMPUTED_VALUE"""),0.0)</f>
        <v>0</v>
      </c>
      <c r="F1751" s="273">
        <f>IFERROR(__xludf.DUMMYFUNCTION("""COMPUTED_VALUE"""),1.0)</f>
        <v>1</v>
      </c>
      <c r="G1751" t="str">
        <f>IFERROR(__xludf.DUMMYFUNCTION("""COMPUTED_VALUE"""),"Sabun batang 1 Box ( 2 PCS )")</f>
        <v>Sabun batang 1 Box ( 2 PCS )</v>
      </c>
      <c r="H1751" s="469" t="str">
        <f>IFERROR(__xludf.DUMMYFUNCTION("""COMPUTED_VALUE"""),"Sampai")</f>
        <v>Sampai</v>
      </c>
      <c r="I1751" s="470" t="str">
        <f>IFERROR(__xludf.DUMMYFUNCTION("""COMPUTED_VALUE"""),"KIMME")</f>
        <v>KIMME</v>
      </c>
      <c r="J1751" s="471" t="str">
        <f>IFERROR(__xludf.DUMMYFUNCTION("""COMPUTED_VALUE"""),"https://www.tiktok.com/@titikzyp2a3/video/7633352369392143624?_r=1&amp;u_code=e9l98g7d7h5880&amp;region=&amp;mid=7046970598518196225&amp;preview_pb=0&amp;sharer_language=&amp;_d=0&amp;ec_shared_reflux_dynamic_params=%7B%22placeholder_material_id%22%3A%227633352369392143624%22%2C%22p"&amp;"laceholder_origin_cover%22%3A%22https%253A%252F%252Fp16-common-sign.tiktokcdn.com%252Ftos-alisg-p-0037%252FoYZIAejvuANjGaSQCbwIAzCoHD3LQMkFTfr6qf~tplv-tiktokx-origin.jpeg%253Fdr%253D14572%2526refresh_token%253D920dbd62%2526x-expires%253D1808992800%2526x-s"&amp;"ignature%253D4lYxUlq0xftH2eVYy%25252BeBtAM2Uj0%25253D%2526t%253D4d5b0474%2526ps%253D13740610%2526shp%253Dd05b14bd%2526shcp%253D34ff8df6%2526idc%253Dmy2%2526s%253DTIKTOK_AFFILIATE_VIRAL_VIDEO%22%2C%22placeholder_product_id%22%3A%221729427766722726591%22%2C"&amp;"%22placeholder_video_id%22%3A%227633352369392143624%22%7D&amp;ec_shared_reflux_scene=shop_tab_feed&amp;share_item_id=7633352369392143624&amp;source=h5_t")</f>
        <v>https://www.tiktok.com/@titikzyp2a3/video/7633352369392143624?_r=1&amp;u_code=e9l98g7d7h5880&amp;region=&amp;mid=7046970598518196225&amp;preview_pb=0&amp;sharer_language=&amp;_d=0&amp;ec_shared_reflux_dynamic_params=%7B%22placeholder_material_id%22%3A%227633352369392143624%22%2C%22placeholder_origin_cover%22%3A%22https%253A%252F%252Fp16-common-sign.tiktokcdn.com%252Ftos-alisg-p-0037%252FoYZIAejvuANjGaSQCbwIAzCoHD3LQMkFTfr6qf~tplv-tiktokx-origin.jpeg%253Fdr%253D14572%2526refresh_token%253D920dbd62%2526x-expires%253D1808992800%2526x-signature%253D4lYxUlq0xftH2eVYy%25252BeBtAM2Uj0%25253D%2526t%253D4d5b0474%2526ps%253D13740610%2526shp%253Dd05b14bd%2526shcp%253D34ff8df6%2526idc%253Dmy2%2526s%253DTIKTOK_AFFILIATE_VIRAL_VIDEO%22%2C%22placeholder_product_id%22%3A%221729427766722726591%22%2C%22placeholder_video_id%22%3A%227633352369392143624%22%7D&amp;ec_shared_reflux_scene=shop_tab_feed&amp;share_item_id=7633352369392143624&amp;source=h5_t</v>
      </c>
      <c r="K1751" s="470" t="str">
        <f>IFERROR(__xludf.DUMMYFUNCTION("""COMPUTED_VALUE"""),"KIMME")</f>
        <v>KIMME</v>
      </c>
      <c r="L1751" s="471" t="str">
        <f>IFERROR(__xludf.DUMMYFUNCTION("""COMPUTED_VALUE"""),"https://www.tiktok.com/@titikzyp2a3/video/7634152791769926919?_r=1&amp;u_code=e9l98g7d7h5880&amp;region=&amp;mid=7608559003840400145&amp;preview_pb=0&amp;sharer_language=&amp;_d=0&amp;ec_shared_reflux_dynamic_params=%7B%22placeholder_material_id%22%3A%227634152791769926919%22%2C%22p"&amp;"laceholder_origin_cover%22%3A%22https%253A%252F%252Fp16-common-sign.tiktokcdn.com%252Ftos-alisg-p-0037%252FoAqU3AfdUeIBQ9RzE5g4IAiikzXXJpxYBwBPB7~tplv-tiktokx-origin.jpeg%253Fdr%253D14572%2526refresh_token%253D02603b4f%2526x-expires%253D1809507600%2526x-s"&amp;"ignature%253DVtg80E3piASOsVu%25252BGXf5Y%25252Bn0qdE%25253D%2526t%253D4d5b0474%2526ps%253D13740610%2526shp%253Dd05b14bd%2526shcp%253D34ff8df6%2526idc%253Dmy%2526s%253DTIKTOK_AFFILIATE_VIRAL_VIDEO%22%2C%22placeholder_product_id%22%3A%221729427766722726591%"&amp;"22%2C%22placeholder_video_id%22%3A%227634152791769926919%22%7D&amp;ec_shared_reflux_scene=shop_tab_feed&amp;share_item_id=7634152791769926919&amp;source=h5_t")</f>
        <v>https://www.tiktok.com/@titikzyp2a3/video/7634152791769926919?_r=1&amp;u_code=e9l98g7d7h5880&amp;region=&amp;mid=7608559003840400145&amp;preview_pb=0&amp;sharer_language=&amp;_d=0&amp;ec_shared_reflux_dynamic_params=%7B%22placeholder_material_id%22%3A%227634152791769926919%22%2C%22placeholder_origin_cover%22%3A%22https%253A%252F%252Fp16-common-sign.tiktokcdn.com%252Ftos-alisg-p-0037%252FoAqU3AfdUeIBQ9RzE5g4IAiikzXXJpxYBwBPB7~tplv-tiktokx-origin.jpeg%253Fdr%253D14572%2526refresh_token%253D02603b4f%2526x-expires%253D1809507600%2526x-signature%253DVtg80E3piASOsVu%25252BGXf5Y%25252Bn0qdE%25253D%2526t%253D4d5b0474%2526ps%253D13740610%2526shp%253Dd05b14bd%2526shcp%253D34ff8df6%2526idc%253Dmy%2526s%253DTIKTOK_AFFILIATE_VIRAL_VIDEO%22%2C%22placeholder_product_id%22%3A%221729427766722726591%22%2C%22placeholder_video_id%22%3A%227634152791769926919%22%7D&amp;ec_shared_reflux_scene=shop_tab_feed&amp;share_item_id=7634152791769926919&amp;source=h5_t</v>
      </c>
      <c r="M1751" s="470"/>
      <c r="N1751" s="471" t="str">
        <f>IFERROR(__xludf.DUMMYFUNCTION("""COMPUTED_VALUE"""),"https://www.tiktok.com/@titikzyp2a3/video/7635511746144357650?_r=1&amp;u_code=e9l98g7d7h5880&amp;region=&amp;mid=7613023919407466497&amp;preview_pb=0&amp;sharer_language=&amp;_d=0&amp;ec_shared_reflux_dynamic_params=%7B%22placeholder_material_id%22%3A%227635511746144357650%22%2C%22p"&amp;"laceholder_origin_cover%22%3A%22https%253A%252F%252Fp19-common-sign.tiktokcdn.com%252Ftos-alisg-p-0037%252FoUJ7Ge1XIIHoQwkteCTALCYtQIjZAHHIHDzpVe~tplv-tiktokx-origin.jpeg%253Fdr%253D14572%2526refresh_token%253D3cb6504e%2526x-expires%253D1809507600%2526x-s"&amp;"ignature%253DYiWJ%25252FDat3wu%25252BOqP84CvOiX4NU9o%25253D%2526t%253D4d5b0474%2526ps%253D13740610%2526shp%253Dd05b14bd%2526shcp%253D34ff8df6%2526idc%253Dmy%2526s%253DTIKTOK_AFFILIATE_VIRAL_VIDEO%22%2C%22placeholder_product_id%22%3A%221729427766722726591%"&amp;"22%2C%22placeholder_video_id%22%3A%227635511746144357650%22%7D&amp;ec_shared_reflux_scene=shop_tab_feed&amp;share_item_id=7635511746144357650&amp;source=h5_t")</f>
        <v>https://www.tiktok.com/@titikzyp2a3/video/7635511746144357650?_r=1&amp;u_code=e9l98g7d7h5880&amp;region=&amp;mid=7613023919407466497&amp;preview_pb=0&amp;sharer_language=&amp;_d=0&amp;ec_shared_reflux_dynamic_params=%7B%22placeholder_material_id%22%3A%227635511746144357650%22%2C%22placeholder_origin_cover%22%3A%22https%253A%252F%252Fp19-common-sign.tiktokcdn.com%252Ftos-alisg-p-0037%252FoUJ7Ge1XIIHoQwkteCTALCYtQIjZAHHIHDzpVe~tplv-tiktokx-origin.jpeg%253Fdr%253D14572%2526refresh_token%253D3cb6504e%2526x-expires%253D1809507600%2526x-signature%253DYiWJ%25252FDat3wu%25252BOqP84CvOiX4NU9o%25253D%2526t%253D4d5b0474%2526ps%253D13740610%2526shp%253Dd05b14bd%2526shcp%253D34ff8df6%2526idc%253Dmy%2526s%253DTIKTOK_AFFILIATE_VIRAL_VIDEO%22%2C%22placeholder_product_id%22%3A%221729427766722726591%22%2C%22placeholder_video_id%22%3A%227635511746144357650%22%7D&amp;ec_shared_reflux_scene=shop_tab_feed&amp;share_item_id=7635511746144357650&amp;source=h5_t</v>
      </c>
      <c r="O1751" s="470"/>
      <c r="P1751" s="471" t="str">
        <f>IFERROR(__xludf.DUMMYFUNCTION("""COMPUTED_VALUE"""),"https://vt.tiktok.com/ZSxmGM77p/")</f>
        <v>https://vt.tiktok.com/ZSxmGM77p/</v>
      </c>
    </row>
    <row r="1752">
      <c r="A1752" s="282" t="str">
        <f>IFERROR(__xludf.DUMMYFUNCTION("""COMPUTED_VALUE"""),"MICRO")</f>
        <v>MICRO</v>
      </c>
      <c r="B1752" s="468" t="str">
        <f>IFERROR(__xludf.DUMMYFUNCTION("""COMPUTED_VALUE"""),"aleansyah02")</f>
        <v>aleansyah02</v>
      </c>
      <c r="C1752" s="283" t="str">
        <f>IFERROR(__xludf.DUMMYFUNCTION("""COMPUTED_VALUE"""),"https://www.tiktok.com/@aleansyah02")</f>
        <v>https://www.tiktok.com/@aleansyah02</v>
      </c>
      <c r="D1752" s="273">
        <f>IFERROR(__xludf.DUMMYFUNCTION("""COMPUTED_VALUE"""),8.5706451308E10)</f>
        <v>85706451308</v>
      </c>
      <c r="E1752" s="458">
        <f>IFERROR(__xludf.DUMMYFUNCTION("""COMPUTED_VALUE"""),0.0)</f>
        <v>0</v>
      </c>
      <c r="F1752" s="273">
        <f>IFERROR(__xludf.DUMMYFUNCTION("""COMPUTED_VALUE"""),4.0)</f>
        <v>4</v>
      </c>
      <c r="G1752" t="str">
        <f>IFERROR(__xludf.DUMMYFUNCTION("""COMPUTED_VALUE"""),"Sabun batang 1 Box ( 2 PCS )")</f>
        <v>Sabun batang 1 Box ( 2 PCS )</v>
      </c>
      <c r="H1752" s="469" t="str">
        <f>IFERROR(__xludf.DUMMYFUNCTION("""COMPUTED_VALUE"""),"Sampai")</f>
        <v>Sampai</v>
      </c>
      <c r="I1752" s="470" t="str">
        <f>IFERROR(__xludf.DUMMYFUNCTION("""COMPUTED_VALUE"""),"KIMME")</f>
        <v>KIMME</v>
      </c>
      <c r="J1752" s="471" t="str">
        <f>IFERROR(__xludf.DUMMYFUNCTION("""COMPUTED_VALUE"""),"https://vt.tiktok.com/ZSx9yhjtA/")</f>
        <v>https://vt.tiktok.com/ZSx9yhjtA/</v>
      </c>
      <c r="K1752" s="470" t="str">
        <f>IFERROR(__xludf.DUMMYFUNCTION("""COMPUTED_VALUE"""),"KIMME")</f>
        <v>KIMME</v>
      </c>
      <c r="L1752" s="471" t="str">
        <f>IFERROR(__xludf.DUMMYFUNCTION("""COMPUTED_VALUE"""),"https://vt.tiktok.com/ZSx9yxHVX/")</f>
        <v>https://vt.tiktok.com/ZSx9yxHVX/</v>
      </c>
      <c r="M1752" s="470"/>
      <c r="N1752" t="str">
        <f>IFERROR(__xludf.DUMMYFUNCTION("""COMPUTED_VALUE"""),"⁠https://vt.tiktok.com/ZSx9y65va/")</f>
        <v>⁠https://vt.tiktok.com/ZSx9y65va/</v>
      </c>
      <c r="O1752" s="470"/>
      <c r="P1752" s="471" t="str">
        <f>IFERROR(__xludf.DUMMYFUNCTION("""COMPUTED_VALUE"""),"https://vt.tiktok.com/ZSx9ySUhu/")</f>
        <v>https://vt.tiktok.com/ZSx9ySUhu/</v>
      </c>
    </row>
    <row r="1753">
      <c r="A1753" s="282" t="str">
        <f>IFERROR(__xludf.DUMMYFUNCTION("""COMPUTED_VALUE"""),"MICRO")</f>
        <v>MICRO</v>
      </c>
      <c r="B1753" s="468" t="str">
        <f>IFERROR(__xludf.DUMMYFUNCTION("""COMPUTED_VALUE"""),"nunaaaptr
")</f>
        <v>nunaaaptr
</v>
      </c>
      <c r="C1753" s="283" t="str">
        <f>IFERROR(__xludf.DUMMYFUNCTION("""COMPUTED_VALUE"""),"https://www.tiktok.com/@nunaaaptr
")</f>
        <v>https://www.tiktok.com/@nunaaaptr
</v>
      </c>
      <c r="D1753" s="273">
        <f>IFERROR(__xludf.DUMMYFUNCTION("""COMPUTED_VALUE"""),8.1545812057E10)</f>
        <v>81545812057</v>
      </c>
      <c r="E1753" s="458">
        <f>IFERROR(__xludf.DUMMYFUNCTION("""COMPUTED_VALUE"""),0.0)</f>
        <v>0</v>
      </c>
      <c r="F1753" s="273">
        <f>IFERROR(__xludf.DUMMYFUNCTION("""COMPUTED_VALUE"""),4.0)</f>
        <v>4</v>
      </c>
      <c r="G1753" t="str">
        <f>IFERROR(__xludf.DUMMYFUNCTION("""COMPUTED_VALUE"""),"Sabun batang 1 Box ( 2 PCS )")</f>
        <v>Sabun batang 1 Box ( 2 PCS )</v>
      </c>
      <c r="H1753" s="469" t="str">
        <f>IFERROR(__xludf.DUMMYFUNCTION("""COMPUTED_VALUE"""),"Sampai")</f>
        <v>Sampai</v>
      </c>
      <c r="I1753" s="470" t="str">
        <f>IFERROR(__xludf.DUMMYFUNCTION("""COMPUTED_VALUE"""),"KIMME")</f>
        <v>KIMME</v>
      </c>
      <c r="J1753" s="471" t="str">
        <f>IFERROR(__xludf.DUMMYFUNCTION("""COMPUTED_VALUE"""),"https://vt.tiktok.com/ZSx9yctYv/")</f>
        <v>https://vt.tiktok.com/ZSx9yctYv/</v>
      </c>
      <c r="K1753" s="470" t="str">
        <f>IFERROR(__xludf.DUMMYFUNCTION("""COMPUTED_VALUE"""),"KIMME")</f>
        <v>KIMME</v>
      </c>
      <c r="L1753" s="471" t="str">
        <f>IFERROR(__xludf.DUMMYFUNCTION("""COMPUTED_VALUE"""),"https://vt.tiktok.com/ZSx9f16Nj/")</f>
        <v>https://vt.tiktok.com/ZSx9f16Nj/</v>
      </c>
      <c r="M1753" s="470"/>
      <c r="N1753" t="str">
        <f>IFERROR(__xludf.DUMMYFUNCTION("""COMPUTED_VALUE"""),"⁠⁠⁠⁠https://vt.tiktok.com/ZSx9yWo9y/")</f>
        <v>⁠⁠⁠⁠https://vt.tiktok.com/ZSx9yWo9y/</v>
      </c>
      <c r="O1753" s="470"/>
      <c r="P1753" s="471" t="str">
        <f>IFERROR(__xludf.DUMMYFUNCTION("""COMPUTED_VALUE"""),"https://vt.tiktok.com/ZSx9yn96m/")</f>
        <v>https://vt.tiktok.com/ZSx9yn96m/</v>
      </c>
    </row>
    <row r="1754">
      <c r="A1754" s="282" t="str">
        <f>IFERROR(__xludf.DUMMYFUNCTION("""COMPUTED_VALUE"""),"MICRO")</f>
        <v>MICRO</v>
      </c>
      <c r="B1754" s="468" t="str">
        <f>IFERROR(__xludf.DUMMYFUNCTION("""COMPUTED_VALUE"""),"elsamora324")</f>
        <v>elsamora324</v>
      </c>
      <c r="C1754" s="283" t="str">
        <f>IFERROR(__xludf.DUMMYFUNCTION("""COMPUTED_VALUE"""),"https://www.tiktok.com/@elsamora324")</f>
        <v>https://www.tiktok.com/@elsamora324</v>
      </c>
      <c r="D1754" s="273">
        <f>IFERROR(__xludf.DUMMYFUNCTION("""COMPUTED_VALUE"""),8.1283611848E10)</f>
        <v>81283611848</v>
      </c>
      <c r="E1754" s="458"/>
      <c r="F1754" s="273"/>
      <c r="G1754" t="str">
        <f>IFERROR(__xludf.DUMMYFUNCTION("""COMPUTED_VALUE"""),"Sabun batang 1 Box ( 2 PCS )")</f>
        <v>Sabun batang 1 Box ( 2 PCS )</v>
      </c>
      <c r="H1754" s="469" t="str">
        <f>IFERROR(__xludf.DUMMYFUNCTION("""COMPUTED_VALUE"""),"Sampai")</f>
        <v>Sampai</v>
      </c>
      <c r="I1754" s="470" t="str">
        <f>IFERROR(__xludf.DUMMYFUNCTION("""COMPUTED_VALUE"""),"KIMME")</f>
        <v>KIMME</v>
      </c>
      <c r="J1754" s="471" t="str">
        <f>IFERROR(__xludf.DUMMYFUNCTION("""COMPUTED_VALUE"""),"https://vt.tiktok.com/ZSxmeao9u/")</f>
        <v>https://vt.tiktok.com/ZSxmeao9u/</v>
      </c>
      <c r="K1754" s="470" t="str">
        <f>IFERROR(__xludf.DUMMYFUNCTION("""COMPUTED_VALUE"""),"KIMME")</f>
        <v>KIMME</v>
      </c>
      <c r="L1754" s="471" t="str">
        <f>IFERROR(__xludf.DUMMYFUNCTION("""COMPUTED_VALUE"""),"https://vt.tiktok.com/ZSxmeqoxF/")</f>
        <v>https://vt.tiktok.com/ZSxmeqoxF/</v>
      </c>
      <c r="M1754" s="470"/>
      <c r="N1754" s="471" t="str">
        <f>IFERROR(__xludf.DUMMYFUNCTION("""COMPUTED_VALUE"""),"https://vt.tiktok.com/ZSxme1sw4/")</f>
        <v>https://vt.tiktok.com/ZSxme1sw4/</v>
      </c>
      <c r="O1754" s="470"/>
      <c r="P1754" s="471" t="str">
        <f>IFERROR(__xludf.DUMMYFUNCTION("""COMPUTED_VALUE"""),"https://vt.tiktok.com/ZSxmeUUYa/")</f>
        <v>https://vt.tiktok.com/ZSxmeUUYa/</v>
      </c>
    </row>
    <row r="1755">
      <c r="A1755" s="282" t="str">
        <f>IFERROR(__xludf.DUMMYFUNCTION("""COMPUTED_VALUE"""),"MICRO")</f>
        <v>MICRO</v>
      </c>
      <c r="B1755" s="468" t="str">
        <f>IFERROR(__xludf.DUMMYFUNCTION("""COMPUTED_VALUE"""),"dinaa123_")</f>
        <v>dinaa123_</v>
      </c>
      <c r="C1755" s="283" t="str">
        <f>IFERROR(__xludf.DUMMYFUNCTION("""COMPUTED_VALUE"""),"https://www.tiktok.com/@dinaa123_")</f>
        <v>https://www.tiktok.com/@dinaa123_</v>
      </c>
      <c r="D1755" s="273">
        <f>IFERROR(__xludf.DUMMYFUNCTION("""COMPUTED_VALUE"""),8.2118404607E10)</f>
        <v>82118404607</v>
      </c>
      <c r="E1755" s="458">
        <f>IFERROR(__xludf.DUMMYFUNCTION("""COMPUTED_VALUE"""),0.0)</f>
        <v>0</v>
      </c>
      <c r="F1755" s="273">
        <f>IFERROR(__xludf.DUMMYFUNCTION("""COMPUTED_VALUE"""),4.0)</f>
        <v>4</v>
      </c>
      <c r="G1755" t="str">
        <f>IFERROR(__xludf.DUMMYFUNCTION("""COMPUTED_VALUE"""),"Sabun batang 1 Box ( 2 PCS )")</f>
        <v>Sabun batang 1 Box ( 2 PCS )</v>
      </c>
      <c r="H1755" s="469" t="str">
        <f>IFERROR(__xludf.DUMMYFUNCTION("""COMPUTED_VALUE"""),"Sampai")</f>
        <v>Sampai</v>
      </c>
      <c r="I1755" s="470" t="str">
        <f>IFERROR(__xludf.DUMMYFUNCTION("""COMPUTED_VALUE"""),"KIMME")</f>
        <v>KIMME</v>
      </c>
      <c r="J1755" s="471" t="str">
        <f>IFERROR(__xludf.DUMMYFUNCTION("""COMPUTED_VALUE"""),"https://www.tiktok.com/@sarsaparillaa/video/7634942262597750037?_r=1&amp;u_code=6198hfcj6k43c&amp;region=&amp;mid=7619742846682400785&amp;preview_pb=0&amp;sharer_language=&amp;_d=0&amp;ec_shared_reflux_dynamic_params=%7B%22placeholder_material_id%22%3A%227634942262597750037%22%2C%22"&amp;"placeholder_origin_cover%22%3A%22https%253A%252F%252Fp16-common-sign.tiktokcdn.com%252Ftos-alisg-p-0037%252FowcNQUa7LDAxhrEeiMF9BRpCvEtgxBP9QIf5pE~tplv-tiktokx-origin.jpeg%253Fdr%253D14572%2526refresh_token%253D31cfb09e%2526x-expires%253D1809504000%2526x-"&amp;"signature%253DW0jbDihJpjiJdmv%25252FAxwl%25252FqQe8aw%25253D%2526t%253D4d5b0474%2526ps%253D13740610%2526shp%253Dd05b14bd%2526shcp%253D34ff8df6%2526idc%253Dmy%2526s%253DTIKTOK_AFFILIATE_VIRAL_VIDEO%22%2C%22placeholder_product_id%22%3A%221729427766722726591"&amp;"%22%2C%22placeholder_video_id%22%3A%227634942262597750037%22%7D&amp;ec_shared_reflux_scene=shop_tab_feed&amp;share_item_id=7634942262597750037&amp;source=h5_t")</f>
        <v>https://www.tiktok.com/@sarsaparillaa/video/7634942262597750037?_r=1&amp;u_code=6198hfcj6k43c&amp;region=&amp;mid=7619742846682400785&amp;preview_pb=0&amp;sharer_language=&amp;_d=0&amp;ec_shared_reflux_dynamic_params=%7B%22placeholder_material_id%22%3A%227634942262597750037%22%2C%22placeholder_origin_cover%22%3A%22https%253A%252F%252Fp16-common-sign.tiktokcdn.com%252Ftos-alisg-p-0037%252FowcNQUa7LDAxhrEeiMF9BRpCvEtgxBP9QIf5pE~tplv-tiktokx-origin.jpeg%253Fdr%253D14572%2526refresh_token%253D31cfb09e%2526x-expires%253D1809504000%2526x-signature%253DW0jbDihJpjiJdmv%25252FAxwl%25252FqQe8aw%25253D%2526t%253D4d5b0474%2526ps%253D13740610%2526shp%253Dd05b14bd%2526shcp%253D34ff8df6%2526idc%253Dmy%2526s%253DTIKTOK_AFFILIATE_VIRAL_VIDEO%22%2C%22placeholder_product_id%22%3A%221729427766722726591%22%2C%22placeholder_video_id%22%3A%227634942262597750037%22%7D&amp;ec_shared_reflux_scene=shop_tab_feed&amp;share_item_id=7634942262597750037&amp;source=h5_t</v>
      </c>
      <c r="K1755" s="470" t="str">
        <f>IFERROR(__xludf.DUMMYFUNCTION("""COMPUTED_VALUE"""),"KIMME")</f>
        <v>KIMME</v>
      </c>
      <c r="L1755" s="471" t="str">
        <f>IFERROR(__xludf.DUMMYFUNCTION("""COMPUTED_VALUE"""),"https://www.tiktok.com/@sarsaparillaa/video/7634977370390285589?_r=1&amp;u_code=6198hfcj6k43c&amp;region=&amp;mid=7632888350513908501&amp;preview_pb=0&amp;sharer_language=&amp;_d=0&amp;ec_shared_reflux_dynamic_params=%7B%22placeholder_material_id%22%3A%227634977370390285589%22%2C%22"&amp;"placeholder_origin_cover%22%3A%22https%253A%252F%252Fp16-common-sign.tiktokcdn.com%252Ftos-alisg-p-0037%252FoAEhSAIgUgAFCEO4LHRRq9fhFMD2BBsIfB4pM0~tplv-tiktokx-origin.jpeg%253Fdr%253D14572%2526refresh_token%253D95d46316%2526x-expires%253D1809504000%2526x-"&amp;"signature%253D0fEaBXznpOgeH2YAMtRu7%25252B3P2Y4%25253D%2526t%253D4d5b0474%2526ps%253D13740610%2526shp%253Dd05b14bd%2526shcp%253D34ff8df6%2526idc%253Dmy%2526s%253DTIKTOK_AFFILIATE_VIRAL_VIDEO%22%2C%22placeholder_product_id%22%3A%221729427766722726591%22%2C"&amp;"%22placeholder_video_id%22%3A%227634977370390285589%22%7D&amp;ec_shared_reflux_scene=shop_tab_feed&amp;share_item_id=7634977370390285589&amp;source=h5_t")</f>
        <v>https://www.tiktok.com/@sarsaparillaa/video/7634977370390285589?_r=1&amp;u_code=6198hfcj6k43c&amp;region=&amp;mid=7632888350513908501&amp;preview_pb=0&amp;sharer_language=&amp;_d=0&amp;ec_shared_reflux_dynamic_params=%7B%22placeholder_material_id%22%3A%227634977370390285589%22%2C%22placeholder_origin_cover%22%3A%22https%253A%252F%252Fp16-common-sign.tiktokcdn.com%252Ftos-alisg-p-0037%252FoAEhSAIgUgAFCEO4LHRRq9fhFMD2BBsIfB4pM0~tplv-tiktokx-origin.jpeg%253Fdr%253D14572%2526refresh_token%253D95d46316%2526x-expires%253D1809504000%2526x-signature%253D0fEaBXznpOgeH2YAMtRu7%25252B3P2Y4%25253D%2526t%253D4d5b0474%2526ps%253D13740610%2526shp%253Dd05b14bd%2526shcp%253D34ff8df6%2526idc%253Dmy%2526s%253DTIKTOK_AFFILIATE_VIRAL_VIDEO%22%2C%22placeholder_product_id%22%3A%221729427766722726591%22%2C%22placeholder_video_id%22%3A%227634977370390285589%22%7D&amp;ec_shared_reflux_scene=shop_tab_feed&amp;share_item_id=7634977370390285589&amp;source=h5_t</v>
      </c>
      <c r="M1755" s="470"/>
      <c r="N1755" s="471" t="str">
        <f>IFERROR(__xludf.DUMMYFUNCTION("""COMPUTED_VALUE"""),"https://vt.tiktok.com/ZSx9ynb5D/")</f>
        <v>https://vt.tiktok.com/ZSx9ynb5D/</v>
      </c>
      <c r="O1755" s="470"/>
      <c r="P1755" s="471" t="str">
        <f>IFERROR(__xludf.DUMMYFUNCTION("""COMPUTED_VALUE"""),"https://vt.tiktok.com/ZSxyP72BK/")</f>
        <v>https://vt.tiktok.com/ZSxyP72BK/</v>
      </c>
    </row>
    <row r="1756">
      <c r="A1756" s="282" t="str">
        <f>IFERROR(__xludf.DUMMYFUNCTION("""COMPUTED_VALUE"""),"MICRO")</f>
        <v>MICRO</v>
      </c>
      <c r="B1756" s="468" t="str">
        <f>IFERROR(__xludf.DUMMYFUNCTION("""COMPUTED_VALUE"""),"reendy_21")</f>
        <v>reendy_21</v>
      </c>
      <c r="C1756" s="283" t="str">
        <f>IFERROR(__xludf.DUMMYFUNCTION("""COMPUTED_VALUE"""),"https://www.tiktok.com/@reendy_21")</f>
        <v>https://www.tiktok.com/@reendy_21</v>
      </c>
      <c r="D1756" s="273">
        <f>IFERROR(__xludf.DUMMYFUNCTION("""COMPUTED_VALUE"""),8.5776900638E10)</f>
        <v>85776900638</v>
      </c>
      <c r="E1756" s="458">
        <f>IFERROR(__xludf.DUMMYFUNCTION("""COMPUTED_VALUE"""),0.0)</f>
        <v>0</v>
      </c>
      <c r="F1756" s="273">
        <f>IFERROR(__xludf.DUMMYFUNCTION("""COMPUTED_VALUE"""),4.0)</f>
        <v>4</v>
      </c>
      <c r="G1756" t="str">
        <f>IFERROR(__xludf.DUMMYFUNCTION("""COMPUTED_VALUE"""),"Sabun batang 1 Box ( 2 PCS )")</f>
        <v>Sabun batang 1 Box ( 2 PCS )</v>
      </c>
      <c r="H1756" s="469" t="str">
        <f>IFERROR(__xludf.DUMMYFUNCTION("""COMPUTED_VALUE"""),"Sampai")</f>
        <v>Sampai</v>
      </c>
      <c r="I1756" s="470" t="str">
        <f>IFERROR(__xludf.DUMMYFUNCTION("""COMPUTED_VALUE"""),"KIMME")</f>
        <v>KIMME</v>
      </c>
      <c r="J1756" s="471" t="str">
        <f>IFERROR(__xludf.DUMMYFUNCTION("""COMPUTED_VALUE"""),"https://vt.tiktok.com/ZSxyPy46y/")</f>
        <v>https://vt.tiktok.com/ZSxyPy46y/</v>
      </c>
      <c r="K1756" s="470" t="str">
        <f>IFERROR(__xludf.DUMMYFUNCTION("""COMPUTED_VALUE"""),"KIMME")</f>
        <v>KIMME</v>
      </c>
      <c r="L1756" s="471" t="str">
        <f>IFERROR(__xludf.DUMMYFUNCTION("""COMPUTED_VALUE"""),"https://vt.tiktok.com/ZSxyPnmbe/")</f>
        <v>https://vt.tiktok.com/ZSxyPnmbe/</v>
      </c>
      <c r="M1756" s="470"/>
      <c r="N1756" s="471" t="str">
        <f>IFERROR(__xludf.DUMMYFUNCTION("""COMPUTED_VALUE"""),"https://vt.tiktok.com/ZSxyPg4GN/")</f>
        <v>https://vt.tiktok.com/ZSxyPg4GN/</v>
      </c>
      <c r="O1756" s="470"/>
      <c r="P1756" s="471" t="str">
        <f>IFERROR(__xludf.DUMMYFUNCTION("""COMPUTED_VALUE"""),"https://vt.tiktok.com/ZSxyPgRQc/")</f>
        <v>https://vt.tiktok.com/ZSxyPgRQc/</v>
      </c>
    </row>
    <row r="1757">
      <c r="A1757" s="282" t="str">
        <f>IFERROR(__xludf.DUMMYFUNCTION("""COMPUTED_VALUE"""),"MICRO")</f>
        <v>MICRO</v>
      </c>
      <c r="B1757" s="468" t="str">
        <f>IFERROR(__xludf.DUMMYFUNCTION("""COMPUTED_VALUE"""),"ayangpuput_")</f>
        <v>ayangpuput_</v>
      </c>
      <c r="C1757" s="283" t="str">
        <f>IFERROR(__xludf.DUMMYFUNCTION("""COMPUTED_VALUE"""),"https://www.tiktok.com/@ayangpuput_")</f>
        <v>https://www.tiktok.com/@ayangpuput_</v>
      </c>
      <c r="D1757" s="273">
        <f>IFERROR(__xludf.DUMMYFUNCTION("""COMPUTED_VALUE"""),8.95326395843E11)</f>
        <v>895326395843</v>
      </c>
      <c r="E1757" s="458">
        <f>IFERROR(__xludf.DUMMYFUNCTION("""COMPUTED_VALUE"""),0.0)</f>
        <v>0</v>
      </c>
      <c r="F1757" s="273">
        <f>IFERROR(__xludf.DUMMYFUNCTION("""COMPUTED_VALUE"""),4.0)</f>
        <v>4</v>
      </c>
      <c r="G1757" t="str">
        <f>IFERROR(__xludf.DUMMYFUNCTION("""COMPUTED_VALUE"""),"Sabun batang 1 Box ( 2 PCS )")</f>
        <v>Sabun batang 1 Box ( 2 PCS )</v>
      </c>
      <c r="H1757" s="469" t="str">
        <f>IFERROR(__xludf.DUMMYFUNCTION("""COMPUTED_VALUE"""),"Sampai")</f>
        <v>Sampai</v>
      </c>
      <c r="I1757" s="470" t="str">
        <f>IFERROR(__xludf.DUMMYFUNCTION("""COMPUTED_VALUE"""),"KIMME")</f>
        <v>KIMME</v>
      </c>
      <c r="J1757" s="471" t="str">
        <f>IFERROR(__xludf.DUMMYFUNCTION("""COMPUTED_VALUE"""),"https://vt.tiktok.com/ZS9ovyYUW/")</f>
        <v>https://vt.tiktok.com/ZS9ovyYUW/</v>
      </c>
      <c r="K1757" s="470" t="str">
        <f>IFERROR(__xludf.DUMMYFUNCTION("""COMPUTED_VALUE"""),"KIMME")</f>
        <v>KIMME</v>
      </c>
      <c r="L1757" s="471" t="str">
        <f>IFERROR(__xludf.DUMMYFUNCTION("""COMPUTED_VALUE"""),"https://vt.tiktok.com/ZS9ovkvoy/")</f>
        <v>https://vt.tiktok.com/ZS9ovkvoy/</v>
      </c>
      <c r="M1757" s="470"/>
      <c r="N1757" t="str">
        <f>IFERROR(__xludf.DUMMYFUNCTION("""COMPUTED_VALUE"""),"⁠⁠https://vt.tiktok.com/ZSx9ywjLA/")</f>
        <v>⁠⁠https://vt.tiktok.com/ZSx9ywjLA/</v>
      </c>
      <c r="O1757" s="470"/>
      <c r="P1757" s="471" t="str">
        <f>IFERROR(__xludf.DUMMYFUNCTION("""COMPUTED_VALUE"""),"https://vt.tiktok.com/ZSxyPuj76/")</f>
        <v>https://vt.tiktok.com/ZSxyPuj76/</v>
      </c>
    </row>
    <row r="1758">
      <c r="A1758" s="282" t="str">
        <f>IFERROR(__xludf.DUMMYFUNCTION("""COMPUTED_VALUE"""),"MICRO")</f>
        <v>MICRO</v>
      </c>
      <c r="B1758" s="468" t="str">
        <f>IFERROR(__xludf.DUMMYFUNCTION("""COMPUTED_VALUE"""),"afidah277")</f>
        <v>afidah277</v>
      </c>
      <c r="C1758" s="283" t="str">
        <f>IFERROR(__xludf.DUMMYFUNCTION("""COMPUTED_VALUE"""),"https://www.tiktok.com/@afidah277")</f>
        <v>https://www.tiktok.com/@afidah277</v>
      </c>
      <c r="D1758" s="273">
        <f>IFERROR(__xludf.DUMMYFUNCTION("""COMPUTED_VALUE"""),8.1229907147E10)</f>
        <v>81229907147</v>
      </c>
      <c r="E1758" s="458">
        <f>IFERROR(__xludf.DUMMYFUNCTION("""COMPUTED_VALUE"""),0.0)</f>
        <v>0</v>
      </c>
      <c r="F1758" s="273">
        <f>IFERROR(__xludf.DUMMYFUNCTION("""COMPUTED_VALUE"""),4.0)</f>
        <v>4</v>
      </c>
      <c r="G1758" t="str">
        <f>IFERROR(__xludf.DUMMYFUNCTION("""COMPUTED_VALUE"""),"Sabun batang 1 Box ( 2 PCS )")</f>
        <v>Sabun batang 1 Box ( 2 PCS )</v>
      </c>
      <c r="H1758" s="469" t="str">
        <f>IFERROR(__xludf.DUMMYFUNCTION("""COMPUTED_VALUE"""),"Sampai")</f>
        <v>Sampai</v>
      </c>
      <c r="I1758" s="470" t="str">
        <f>IFERROR(__xludf.DUMMYFUNCTION("""COMPUTED_VALUE"""),"KIMME")</f>
        <v>KIMME</v>
      </c>
      <c r="J1758" s="471" t="str">
        <f>IFERROR(__xludf.DUMMYFUNCTION("""COMPUTED_VALUE"""),"https://vt.tiktok.com/ZSxyPu73N/")</f>
        <v>https://vt.tiktok.com/ZSxyPu73N/</v>
      </c>
      <c r="K1758" s="470" t="str">
        <f>IFERROR(__xludf.DUMMYFUNCTION("""COMPUTED_VALUE"""),"KIMME")</f>
        <v>KIMME</v>
      </c>
      <c r="L1758" s="471" t="str">
        <f>IFERROR(__xludf.DUMMYFUNCTION("""COMPUTED_VALUE"""),"https://vt.tiktok.com/ZSxyPpR9G/")</f>
        <v>https://vt.tiktok.com/ZSxyPpR9G/</v>
      </c>
      <c r="M1758" s="470"/>
      <c r="N1758" s="471" t="str">
        <f>IFERROR(__xludf.DUMMYFUNCTION("""COMPUTED_VALUE"""),"https://vt.tiktok.com/ZSxyPqqLS/")</f>
        <v>https://vt.tiktok.com/ZSxyPqqLS/</v>
      </c>
      <c r="O1758" s="470"/>
      <c r="P1758" s="471" t="str">
        <f>IFERROR(__xludf.DUMMYFUNCTION("""COMPUTED_VALUE"""),"https://vt.tiktok.com/ZSxyPbKba/")</f>
        <v>https://vt.tiktok.com/ZSxyPbKba/</v>
      </c>
    </row>
    <row r="1759">
      <c r="A1759" s="282" t="str">
        <f>IFERROR(__xludf.DUMMYFUNCTION("""COMPUTED_VALUE"""),"MICRO")</f>
        <v>MICRO</v>
      </c>
      <c r="B1759" s="468" t="str">
        <f>IFERROR(__xludf.DUMMYFUNCTION("""COMPUTED_VALUE"""),"mamahdefa90")</f>
        <v>mamahdefa90</v>
      </c>
      <c r="C1759" s="283" t="str">
        <f>IFERROR(__xludf.DUMMYFUNCTION("""COMPUTED_VALUE"""),"https://www.tiktok.com/@mamahdefa90")</f>
        <v>https://www.tiktok.com/@mamahdefa90</v>
      </c>
      <c r="D1759" s="273">
        <f>IFERROR(__xludf.DUMMYFUNCTION("""COMPUTED_VALUE"""),8.560326963E10)</f>
        <v>85603269630</v>
      </c>
      <c r="E1759" s="458">
        <f>IFERROR(__xludf.DUMMYFUNCTION("""COMPUTED_VALUE"""),0.0)</f>
        <v>0</v>
      </c>
      <c r="F1759" s="273">
        <f>IFERROR(__xludf.DUMMYFUNCTION("""COMPUTED_VALUE"""),4.0)</f>
        <v>4</v>
      </c>
      <c r="G1759" t="str">
        <f>IFERROR(__xludf.DUMMYFUNCTION("""COMPUTED_VALUE"""),"Sabun batang 1 Box ( 2 PCS )")</f>
        <v>Sabun batang 1 Box ( 2 PCS )</v>
      </c>
      <c r="H1759" s="469" t="str">
        <f>IFERROR(__xludf.DUMMYFUNCTION("""COMPUTED_VALUE"""),"Sampai")</f>
        <v>Sampai</v>
      </c>
      <c r="I1759" s="470" t="str">
        <f>IFERROR(__xludf.DUMMYFUNCTION("""COMPUTED_VALUE"""),"KIMME")</f>
        <v>KIMME</v>
      </c>
      <c r="J1759" s="471" t="str">
        <f>IFERROR(__xludf.DUMMYFUNCTION("""COMPUTED_VALUE"""),"https://vt.tiktok.com/ZSxxj4Ksu/")</f>
        <v>https://vt.tiktok.com/ZSxxj4Ksu/</v>
      </c>
      <c r="K1759" s="470" t="str">
        <f>IFERROR(__xludf.DUMMYFUNCTION("""COMPUTED_VALUE"""),"KIMME")</f>
        <v>KIMME</v>
      </c>
      <c r="L1759" s="471" t="str">
        <f>IFERROR(__xludf.DUMMYFUNCTION("""COMPUTED_VALUE"""),"https://vt.tiktok.com/ZSxxjbngU/")</f>
        <v>https://vt.tiktok.com/ZSxxjbngU/</v>
      </c>
      <c r="M1759" s="470"/>
      <c r="N1759" s="471" t="str">
        <f>IFERROR(__xludf.DUMMYFUNCTION("""COMPUTED_VALUE"""),"https://vt.tiktok.com/ZSxx6r7H5/")</f>
        <v>https://vt.tiktok.com/ZSxx6r7H5/</v>
      </c>
      <c r="O1759" s="470"/>
      <c r="P1759" s="471" t="str">
        <f>IFERROR(__xludf.DUMMYFUNCTION("""COMPUTED_VALUE"""),"https://vt.tiktok.com/ZSxx62kRr/")</f>
        <v>https://vt.tiktok.com/ZSxx62kRr/</v>
      </c>
    </row>
    <row r="1760">
      <c r="A1760" s="282" t="str">
        <f>IFERROR(__xludf.DUMMYFUNCTION("""COMPUTED_VALUE"""),"MICRO")</f>
        <v>MICRO</v>
      </c>
      <c r="B1760" s="468" t="str">
        <f>IFERROR(__xludf.DUMMYFUNCTION("""COMPUTED_VALUE"""),"lalapgncantik")</f>
        <v>lalapgncantik</v>
      </c>
      <c r="C1760" s="283" t="str">
        <f>IFERROR(__xludf.DUMMYFUNCTION("""COMPUTED_VALUE"""),"https://www.tiktok.com/@lalapgncantik")</f>
        <v>https://www.tiktok.com/@lalapgncantik</v>
      </c>
      <c r="D1760" s="273">
        <f>IFERROR(__xludf.DUMMYFUNCTION("""COMPUTED_VALUE"""),8.2332292328E10)</f>
        <v>82332292328</v>
      </c>
      <c r="E1760" s="458">
        <f>IFERROR(__xludf.DUMMYFUNCTION("""COMPUTED_VALUE"""),0.0)</f>
        <v>0</v>
      </c>
      <c r="F1760" s="273">
        <f>IFERROR(__xludf.DUMMYFUNCTION("""COMPUTED_VALUE"""),1.0)</f>
        <v>1</v>
      </c>
      <c r="G1760" t="str">
        <f>IFERROR(__xludf.DUMMYFUNCTION("""COMPUTED_VALUE"""),"Sabun batang 1 Box ( 2 PCS )")</f>
        <v>Sabun batang 1 Box ( 2 PCS )</v>
      </c>
      <c r="H1760" s="469" t="str">
        <f>IFERROR(__xludf.DUMMYFUNCTION("""COMPUTED_VALUE"""),"Sampai")</f>
        <v>Sampai</v>
      </c>
      <c r="I1760" s="470" t="str">
        <f>IFERROR(__xludf.DUMMYFUNCTION("""COMPUTED_VALUE"""),"KIMME")</f>
        <v>KIMME</v>
      </c>
      <c r="J1760" s="471" t="str">
        <f>IFERROR(__xludf.DUMMYFUNCTION("""COMPUTED_VALUE"""),"https://vt.tiktok.com/ZSxQnbAQA/")</f>
        <v>https://vt.tiktok.com/ZSxQnbAQA/</v>
      </c>
      <c r="K1760" s="470" t="str">
        <f>IFERROR(__xludf.DUMMYFUNCTION("""COMPUTED_VALUE"""),"KIMME")</f>
        <v>KIMME</v>
      </c>
      <c r="L1760" s="471" t="str">
        <f>IFERROR(__xludf.DUMMYFUNCTION("""COMPUTED_VALUE"""),"https://vt.tiktok.com/ZSxyxAq9A/")</f>
        <v>https://vt.tiktok.com/ZSxyxAq9A/</v>
      </c>
      <c r="M1760" s="470"/>
      <c r="N1760" s="471" t="str">
        <f>IFERROR(__xludf.DUMMYFUNCTION("""COMPUTED_VALUE"""),"https://vt.tiktok.com/ZSxyACb5D/")</f>
        <v>https://vt.tiktok.com/ZSxyACb5D/</v>
      </c>
      <c r="O1760" s="470"/>
      <c r="P1760" t="str">
        <f>IFERROR(__xludf.DUMMYFUNCTION("""COMPUTED_VALUE"""),"⁠https://vt.tiktok.com/ZSxgHDuv8/")</f>
        <v>⁠https://vt.tiktok.com/ZSxgHDuv8/</v>
      </c>
    </row>
    <row r="1761">
      <c r="A1761" s="282" t="str">
        <f>IFERROR(__xludf.DUMMYFUNCTION("""COMPUTED_VALUE"""),"MICRO")</f>
        <v>MICRO</v>
      </c>
      <c r="B1761" s="468" t="str">
        <f>IFERROR(__xludf.DUMMYFUNCTION("""COMPUTED_VALUE"""),"iam.tehdian")</f>
        <v>iam.tehdian</v>
      </c>
      <c r="C1761" s="283" t="str">
        <f>IFERROR(__xludf.DUMMYFUNCTION("""COMPUTED_VALUE"""),"https://www.tiktok.com/@iam.tehdian")</f>
        <v>https://www.tiktok.com/@iam.tehdian</v>
      </c>
      <c r="D1761" s="273">
        <f>IFERROR(__xludf.DUMMYFUNCTION("""COMPUTED_VALUE"""),8.1912555584E10)</f>
        <v>81912555584</v>
      </c>
      <c r="E1761" s="458">
        <f>IFERROR(__xludf.DUMMYFUNCTION("""COMPUTED_VALUE"""),0.0)</f>
        <v>0</v>
      </c>
      <c r="F1761" s="273">
        <f>IFERROR(__xludf.DUMMYFUNCTION("""COMPUTED_VALUE"""),4.0)</f>
        <v>4</v>
      </c>
      <c r="G1761" t="str">
        <f>IFERROR(__xludf.DUMMYFUNCTION("""COMPUTED_VALUE"""),"Sabun batang 1 Box ( 2 PCS )")</f>
        <v>Sabun batang 1 Box ( 2 PCS )</v>
      </c>
      <c r="H1761" s="469" t="str">
        <f>IFERROR(__xludf.DUMMYFUNCTION("""COMPUTED_VALUE"""),"Sampai")</f>
        <v>Sampai</v>
      </c>
      <c r="I1761" s="470" t="str">
        <f>IFERROR(__xludf.DUMMYFUNCTION("""COMPUTED_VALUE"""),"KIMME")</f>
        <v>KIMME</v>
      </c>
      <c r="J1761" s="471" t="str">
        <f>IFERROR(__xludf.DUMMYFUNCTION("""COMPUTED_VALUE"""),"https://vt.tiktok.com/ZS9fXPByN/ ")</f>
        <v>https://vt.tiktok.com/ZS9fXPByN/ </v>
      </c>
      <c r="K1761" s="470" t="str">
        <f>IFERROR(__xludf.DUMMYFUNCTION("""COMPUTED_VALUE"""),"KIMME")</f>
        <v>KIMME</v>
      </c>
      <c r="L1761" s="471" t="str">
        <f>IFERROR(__xludf.DUMMYFUNCTION("""COMPUTED_VALUE"""),"https://vt.tiktok.com/ZS9fXPD9x/ ")</f>
        <v>https://vt.tiktok.com/ZS9fXPD9x/ </v>
      </c>
      <c r="M1761" s="470"/>
      <c r="N1761" s="471" t="str">
        <f>IFERROR(__xludf.DUMMYFUNCTION("""COMPUTED_VALUE"""),"https://vt.tiktok.com/ZS9fXEaYN/ ")</f>
        <v>https://vt.tiktok.com/ZS9fXEaYN/ </v>
      </c>
      <c r="O1761" s="470"/>
      <c r="P1761" s="471" t="str">
        <f>IFERROR(__xludf.DUMMYFUNCTION("""COMPUTED_VALUE"""),"https://vt.tiktok.com/ZS9fXvH5a/ ")</f>
        <v>https://vt.tiktok.com/ZS9fXvH5a/ </v>
      </c>
    </row>
    <row r="1762">
      <c r="A1762" s="282" t="str">
        <f>IFERROR(__xludf.DUMMYFUNCTION("""COMPUTED_VALUE"""),"MICRO")</f>
        <v>MICRO</v>
      </c>
      <c r="B1762" s="468" t="str">
        <f>IFERROR(__xludf.DUMMYFUNCTION("""COMPUTED_VALUE"""),"emyanisa0910")</f>
        <v>emyanisa0910</v>
      </c>
      <c r="C1762" s="283" t="str">
        <f>IFERROR(__xludf.DUMMYFUNCTION("""COMPUTED_VALUE"""),"https://www.tiktok.com/@emyanisa0910")</f>
        <v>https://www.tiktok.com/@emyanisa0910</v>
      </c>
      <c r="D1762" s="273">
        <f>IFERROR(__xludf.DUMMYFUNCTION("""COMPUTED_VALUE"""),8.2176653827E10)</f>
        <v>82176653827</v>
      </c>
      <c r="E1762" s="458">
        <f>IFERROR(__xludf.DUMMYFUNCTION("""COMPUTED_VALUE"""),0.0)</f>
        <v>0</v>
      </c>
      <c r="F1762" s="273">
        <f>IFERROR(__xludf.DUMMYFUNCTION("""COMPUTED_VALUE"""),4.0)</f>
        <v>4</v>
      </c>
      <c r="G1762" t="str">
        <f>IFERROR(__xludf.DUMMYFUNCTION("""COMPUTED_VALUE"""),"Sabun batang 1 Box ( 2 PCS )")</f>
        <v>Sabun batang 1 Box ( 2 PCS )</v>
      </c>
      <c r="H1762" s="469" t="str">
        <f>IFERROR(__xludf.DUMMYFUNCTION("""COMPUTED_VALUE"""),"Sampai")</f>
        <v>Sampai</v>
      </c>
      <c r="I1762" s="470" t="str">
        <f>IFERROR(__xludf.DUMMYFUNCTION("""COMPUTED_VALUE"""),"KIMME")</f>
        <v>KIMME</v>
      </c>
      <c r="J1762" s="471" t="str">
        <f>IFERROR(__xludf.DUMMYFUNCTION("""COMPUTED_VALUE"""),"https://vt.tiktok.com/ZS9fXPByN/ ")</f>
        <v>https://vt.tiktok.com/ZS9fXPByN/ </v>
      </c>
      <c r="K1762" s="470" t="str">
        <f>IFERROR(__xludf.DUMMYFUNCTION("""COMPUTED_VALUE"""),"KIMME")</f>
        <v>KIMME</v>
      </c>
      <c r="L1762" s="471" t="str">
        <f>IFERROR(__xludf.DUMMYFUNCTION("""COMPUTED_VALUE"""),"https://vt.tiktok.com/ZS9fXPD9x/ ")</f>
        <v>https://vt.tiktok.com/ZS9fXPD9x/ </v>
      </c>
      <c r="M1762" s="470"/>
      <c r="N1762" s="471" t="str">
        <f>IFERROR(__xludf.DUMMYFUNCTION("""COMPUTED_VALUE"""),"https://vt.tiktok.com/ZS9fXEaYN/ ")</f>
        <v>https://vt.tiktok.com/ZS9fXEaYN/ </v>
      </c>
      <c r="O1762" s="470"/>
      <c r="P1762" s="471" t="str">
        <f>IFERROR(__xludf.DUMMYFUNCTION("""COMPUTED_VALUE"""),"https://vt.tiktok.com/ZS9fXvH5a/ ")</f>
        <v>https://vt.tiktok.com/ZS9fXvH5a/ </v>
      </c>
    </row>
    <row r="1763">
      <c r="A1763" s="282" t="str">
        <f>IFERROR(__xludf.DUMMYFUNCTION("""COMPUTED_VALUE"""),"MICRO")</f>
        <v>MICRO</v>
      </c>
      <c r="B1763" s="468" t="str">
        <f>IFERROR(__xludf.DUMMYFUNCTION("""COMPUTED_VALUE"""),"ayahnyazahir")</f>
        <v>ayahnyazahir</v>
      </c>
      <c r="C1763" s="283" t="str">
        <f>IFERROR(__xludf.DUMMYFUNCTION("""COMPUTED_VALUE"""),"https://www.tiktok.com/@ayahnyazahir")</f>
        <v>https://www.tiktok.com/@ayahnyazahir</v>
      </c>
      <c r="D1763" s="273">
        <f>IFERROR(__xludf.DUMMYFUNCTION("""COMPUTED_VALUE"""),8.5777163774E10)</f>
        <v>85777163774</v>
      </c>
      <c r="E1763" s="458">
        <f>IFERROR(__xludf.DUMMYFUNCTION("""COMPUTED_VALUE"""),0.0)</f>
        <v>0</v>
      </c>
      <c r="F1763" s="273">
        <f>IFERROR(__xludf.DUMMYFUNCTION("""COMPUTED_VALUE"""),4.0)</f>
        <v>4</v>
      </c>
      <c r="G1763" t="str">
        <f>IFERROR(__xludf.DUMMYFUNCTION("""COMPUTED_VALUE"""),"Sabun batang 1 Box ( 2 PCS )")</f>
        <v>Sabun batang 1 Box ( 2 PCS )</v>
      </c>
      <c r="H1763" s="469" t="str">
        <f>IFERROR(__xludf.DUMMYFUNCTION("""COMPUTED_VALUE"""),"Sampai")</f>
        <v>Sampai</v>
      </c>
      <c r="I1763" s="470" t="str">
        <f>IFERROR(__xludf.DUMMYFUNCTION("""COMPUTED_VALUE"""),"KIMME")</f>
        <v>KIMME</v>
      </c>
      <c r="J1763" s="471" t="str">
        <f>IFERROR(__xludf.DUMMYFUNCTION("""COMPUTED_VALUE"""),"https://vt.tiktok.com/ZS9fXPByN/ ")</f>
        <v>https://vt.tiktok.com/ZS9fXPByN/ </v>
      </c>
      <c r="K1763" s="470" t="str">
        <f>IFERROR(__xludf.DUMMYFUNCTION("""COMPUTED_VALUE"""),"KIMME")</f>
        <v>KIMME</v>
      </c>
      <c r="L1763" s="471" t="str">
        <f>IFERROR(__xludf.DUMMYFUNCTION("""COMPUTED_VALUE"""),"https://vt.tiktok.com/ZS9fXPD9x/ ")</f>
        <v>https://vt.tiktok.com/ZS9fXPD9x/ </v>
      </c>
      <c r="M1763" s="470"/>
      <c r="N1763" s="471" t="str">
        <f>IFERROR(__xludf.DUMMYFUNCTION("""COMPUTED_VALUE"""),"https://vt.tiktok.com/ZS9fXEaYN/ ")</f>
        <v>https://vt.tiktok.com/ZS9fXEaYN/ </v>
      </c>
      <c r="O1763" s="470"/>
      <c r="P1763" s="471" t="str">
        <f>IFERROR(__xludf.DUMMYFUNCTION("""COMPUTED_VALUE"""),"https://vt.tiktok.com/ZS9fXvH5a/ ")</f>
        <v>https://vt.tiktok.com/ZS9fXvH5a/ </v>
      </c>
    </row>
    <row r="1764">
      <c r="A1764" s="282" t="str">
        <f>IFERROR(__xludf.DUMMYFUNCTION("""COMPUTED_VALUE"""),"MICRO")</f>
        <v>MICRO</v>
      </c>
      <c r="B1764" s="468" t="str">
        <f>IFERROR(__xludf.DUMMYFUNCTION("""COMPUTED_VALUE"""),"septiana2250")</f>
        <v>septiana2250</v>
      </c>
      <c r="C1764" s="283" t="str">
        <f>IFERROR(__xludf.DUMMYFUNCTION("""COMPUTED_VALUE"""),"https://www.tiktok.com/@septiana2250")</f>
        <v>https://www.tiktok.com/@septiana2250</v>
      </c>
      <c r="D1764" s="273">
        <f>IFERROR(__xludf.DUMMYFUNCTION("""COMPUTED_VALUE"""),8.1368919092E10)</f>
        <v>81368919092</v>
      </c>
      <c r="E1764" s="458"/>
      <c r="F1764" s="273"/>
      <c r="G1764" t="str">
        <f>IFERROR(__xludf.DUMMYFUNCTION("""COMPUTED_VALUE"""),"Sabun batang 1 Box ( 2 PCS )")</f>
        <v>Sabun batang 1 Box ( 2 PCS )</v>
      </c>
      <c r="H1764" s="469" t="str">
        <f>IFERROR(__xludf.DUMMYFUNCTION("""COMPUTED_VALUE"""),"Sampai")</f>
        <v>Sampai</v>
      </c>
      <c r="I1764" s="470" t="str">
        <f>IFERROR(__xludf.DUMMYFUNCTION("""COMPUTED_VALUE"""),"KIMME")</f>
        <v>KIMME</v>
      </c>
      <c r="J1764" s="471" t="str">
        <f>IFERROR(__xludf.DUMMYFUNCTION("""COMPUTED_VALUE"""),"https://vt.tiktok.com/ZS9fXPByN/ ")</f>
        <v>https://vt.tiktok.com/ZS9fXPByN/ </v>
      </c>
      <c r="K1764" s="470" t="str">
        <f>IFERROR(__xludf.DUMMYFUNCTION("""COMPUTED_VALUE"""),"KIMME")</f>
        <v>KIMME</v>
      </c>
      <c r="L1764" s="471" t="str">
        <f>IFERROR(__xludf.DUMMYFUNCTION("""COMPUTED_VALUE"""),"https://vt.tiktok.com/ZS9fXPD9x/ ")</f>
        <v>https://vt.tiktok.com/ZS9fXPD9x/ </v>
      </c>
      <c r="M1764" s="470"/>
      <c r="N1764" s="471" t="str">
        <f>IFERROR(__xludf.DUMMYFUNCTION("""COMPUTED_VALUE"""),"https://vt.tiktok.com/ZS9fXEaYN/ ")</f>
        <v>https://vt.tiktok.com/ZS9fXEaYN/ </v>
      </c>
      <c r="O1764" s="470"/>
      <c r="P1764" s="471" t="str">
        <f>IFERROR(__xludf.DUMMYFUNCTION("""COMPUTED_VALUE"""),"https://vt.tiktok.com/ZS9fXvH5a/ ")</f>
        <v>https://vt.tiktok.com/ZS9fXvH5a/ </v>
      </c>
    </row>
    <row r="1765">
      <c r="A1765" s="282" t="str">
        <f>IFERROR(__xludf.DUMMYFUNCTION("""COMPUTED_VALUE"""),"MICRO")</f>
        <v>MICRO</v>
      </c>
      <c r="B1765" s="468" t="str">
        <f>IFERROR(__xludf.DUMMYFUNCTION("""COMPUTED_VALUE"""),"bayusamudro677")</f>
        <v>bayusamudro677</v>
      </c>
      <c r="C1765" s="283" t="str">
        <f>IFERROR(__xludf.DUMMYFUNCTION("""COMPUTED_VALUE"""),"https://www.tiktok.com/@bayusamudro677")</f>
        <v>https://www.tiktok.com/@bayusamudro677</v>
      </c>
      <c r="D1765" s="273">
        <f>IFERROR(__xludf.DUMMYFUNCTION("""COMPUTED_VALUE"""),8.8226473014E10)</f>
        <v>88226473014</v>
      </c>
      <c r="E1765" s="458">
        <f>IFERROR(__xludf.DUMMYFUNCTION("""COMPUTED_VALUE"""),0.0)</f>
        <v>0</v>
      </c>
      <c r="F1765" s="273">
        <f>IFERROR(__xludf.DUMMYFUNCTION("""COMPUTED_VALUE"""),4.0)</f>
        <v>4</v>
      </c>
      <c r="G1765" t="str">
        <f>IFERROR(__xludf.DUMMYFUNCTION("""COMPUTED_VALUE"""),"Sabun batang 1 Box ( 2 PCS )")</f>
        <v>Sabun batang 1 Box ( 2 PCS )</v>
      </c>
      <c r="H1765" s="469" t="str">
        <f>IFERROR(__xludf.DUMMYFUNCTION("""COMPUTED_VALUE"""),"Sampai")</f>
        <v>Sampai</v>
      </c>
      <c r="I1765" s="470" t="str">
        <f>IFERROR(__xludf.DUMMYFUNCTION("""COMPUTED_VALUE"""),"KIMME")</f>
        <v>KIMME</v>
      </c>
      <c r="J1765" s="471" t="str">
        <f>IFERROR(__xludf.DUMMYFUNCTION("""COMPUTED_VALUE"""),"https://vt.tiktok.com/ZS9fXPByN/ ")</f>
        <v>https://vt.tiktok.com/ZS9fXPByN/ </v>
      </c>
      <c r="K1765" s="470" t="str">
        <f>IFERROR(__xludf.DUMMYFUNCTION("""COMPUTED_VALUE"""),"KIMME")</f>
        <v>KIMME</v>
      </c>
      <c r="L1765" s="471" t="str">
        <f>IFERROR(__xludf.DUMMYFUNCTION("""COMPUTED_VALUE"""),"https://vt.tiktok.com/ZS9fXPD9x/ ")</f>
        <v>https://vt.tiktok.com/ZS9fXPD9x/ </v>
      </c>
      <c r="M1765" s="470"/>
      <c r="N1765" s="471" t="str">
        <f>IFERROR(__xludf.DUMMYFUNCTION("""COMPUTED_VALUE"""),"https://vt.tiktok.com/ZS9fXEaYN/ ")</f>
        <v>https://vt.tiktok.com/ZS9fXEaYN/ </v>
      </c>
      <c r="O1765" s="470"/>
      <c r="P1765" s="471" t="str">
        <f>IFERROR(__xludf.DUMMYFUNCTION("""COMPUTED_VALUE"""),"https://vt.tiktok.com/ZS9fXvH5a/ ")</f>
        <v>https://vt.tiktok.com/ZS9fXvH5a/ </v>
      </c>
    </row>
    <row r="1766">
      <c r="A1766" s="282" t="str">
        <f>IFERROR(__xludf.DUMMYFUNCTION("""COMPUTED_VALUE"""),"MICRO")</f>
        <v>MICRO</v>
      </c>
      <c r="B1766" s="468" t="str">
        <f>IFERROR(__xludf.DUMMYFUNCTION("""COMPUTED_VALUE"""),"zia.fajriya")</f>
        <v>zia.fajriya</v>
      </c>
      <c r="C1766" s="283" t="str">
        <f>IFERROR(__xludf.DUMMYFUNCTION("""COMPUTED_VALUE"""),"https://www.tiktok.com/@zia.fajriya")</f>
        <v>https://www.tiktok.com/@zia.fajriya</v>
      </c>
      <c r="D1766" s="273">
        <f>IFERROR(__xludf.DUMMYFUNCTION("""COMPUTED_VALUE"""),8.8802203433E10)</f>
        <v>88802203433</v>
      </c>
      <c r="E1766" s="458">
        <f>IFERROR(__xludf.DUMMYFUNCTION("""COMPUTED_VALUE"""),0.0)</f>
        <v>0</v>
      </c>
      <c r="F1766" s="273">
        <f>IFERROR(__xludf.DUMMYFUNCTION("""COMPUTED_VALUE"""),4.0)</f>
        <v>4</v>
      </c>
      <c r="G1766" t="str">
        <f>IFERROR(__xludf.DUMMYFUNCTION("""COMPUTED_VALUE"""),"Sabun batang 1 Box ( 2 PCS )")</f>
        <v>Sabun batang 1 Box ( 2 PCS )</v>
      </c>
      <c r="H1766" s="469" t="str">
        <f>IFERROR(__xludf.DUMMYFUNCTION("""COMPUTED_VALUE"""),"Sampai")</f>
        <v>Sampai</v>
      </c>
      <c r="I1766" s="470" t="str">
        <f>IFERROR(__xludf.DUMMYFUNCTION("""COMPUTED_VALUE"""),"KIMME")</f>
        <v>KIMME</v>
      </c>
      <c r="J1766" s="471" t="str">
        <f>IFERROR(__xludf.DUMMYFUNCTION("""COMPUTED_VALUE"""),"https://vt.tiktok.com/ZS9fXPByN/ ")</f>
        <v>https://vt.tiktok.com/ZS9fXPByN/ </v>
      </c>
      <c r="K1766" s="470" t="str">
        <f>IFERROR(__xludf.DUMMYFUNCTION("""COMPUTED_VALUE"""),"KIMME")</f>
        <v>KIMME</v>
      </c>
      <c r="L1766" s="471" t="str">
        <f>IFERROR(__xludf.DUMMYFUNCTION("""COMPUTED_VALUE"""),"https://vt.tiktok.com/ZS9fXPD9x/ ")</f>
        <v>https://vt.tiktok.com/ZS9fXPD9x/ </v>
      </c>
      <c r="M1766" s="470"/>
      <c r="N1766" s="471" t="str">
        <f>IFERROR(__xludf.DUMMYFUNCTION("""COMPUTED_VALUE"""),"https://vt.tiktok.com/ZS9fXEaYN/ ")</f>
        <v>https://vt.tiktok.com/ZS9fXEaYN/ </v>
      </c>
      <c r="O1766" s="470"/>
      <c r="P1766" s="471" t="str">
        <f>IFERROR(__xludf.DUMMYFUNCTION("""COMPUTED_VALUE"""),"https://vt.tiktok.com/ZS9fXvH5a/ ")</f>
        <v>https://vt.tiktok.com/ZS9fXvH5a/ </v>
      </c>
    </row>
    <row r="1767">
      <c r="A1767" s="282" t="str">
        <f>IFERROR(__xludf.DUMMYFUNCTION("""COMPUTED_VALUE"""),"MACRO")</f>
        <v>MACRO</v>
      </c>
      <c r="B1767" s="468" t="str">
        <f>IFERROR(__xludf.DUMMYFUNCTION("""COMPUTED_VALUE"""),"millaashter1922 ")</f>
        <v>millaashter1922 </v>
      </c>
      <c r="C1767" s="283" t="str">
        <f>IFERROR(__xludf.DUMMYFUNCTION("""COMPUTED_VALUE"""),"https://www.tiktok.com/@millaashter1922 ")</f>
        <v>https://www.tiktok.com/@millaashter1922 </v>
      </c>
      <c r="D1767" s="273">
        <f>IFERROR(__xludf.DUMMYFUNCTION("""COMPUTED_VALUE"""),8.5785161534E10)</f>
        <v>85785161534</v>
      </c>
      <c r="E1767" s="458">
        <f>IFERROR(__xludf.DUMMYFUNCTION("""COMPUTED_VALUE"""),0.0)</f>
        <v>0</v>
      </c>
      <c r="F1767" s="273">
        <f>IFERROR(__xludf.DUMMYFUNCTION("""COMPUTED_VALUE"""),4.0)</f>
        <v>4</v>
      </c>
      <c r="G1767" t="str">
        <f>IFERROR(__xludf.DUMMYFUNCTION("""COMPUTED_VALUE"""),"Sabun batang 1 Box ( 2 PCS )")</f>
        <v>Sabun batang 1 Box ( 2 PCS )</v>
      </c>
      <c r="H1767" s="469" t="str">
        <f>IFERROR(__xludf.DUMMYFUNCTION("""COMPUTED_VALUE"""),"Sampai")</f>
        <v>Sampai</v>
      </c>
      <c r="I1767" s="470" t="str">
        <f>IFERROR(__xludf.DUMMYFUNCTION("""COMPUTED_VALUE"""),"KIMME")</f>
        <v>KIMME</v>
      </c>
      <c r="J1767" s="471" t="str">
        <f>IFERROR(__xludf.DUMMYFUNCTION("""COMPUTED_VALUE"""),"https://vt.tiktok.com/ZS9fXPByN/ ")</f>
        <v>https://vt.tiktok.com/ZS9fXPByN/ </v>
      </c>
      <c r="K1767" s="470" t="str">
        <f>IFERROR(__xludf.DUMMYFUNCTION("""COMPUTED_VALUE"""),"KIMME")</f>
        <v>KIMME</v>
      </c>
      <c r="L1767" s="471" t="str">
        <f>IFERROR(__xludf.DUMMYFUNCTION("""COMPUTED_VALUE"""),"https://vt.tiktok.com/ZS9fXPD9x/ ")</f>
        <v>https://vt.tiktok.com/ZS9fXPD9x/ </v>
      </c>
      <c r="M1767" s="470"/>
      <c r="N1767" s="471" t="str">
        <f>IFERROR(__xludf.DUMMYFUNCTION("""COMPUTED_VALUE"""),"https://vt.tiktok.com/ZS9fXEaYN/ ")</f>
        <v>https://vt.tiktok.com/ZS9fXEaYN/ </v>
      </c>
      <c r="O1767" s="470"/>
      <c r="P1767" s="471" t="str">
        <f>IFERROR(__xludf.DUMMYFUNCTION("""COMPUTED_VALUE"""),"https://vt.tiktok.com/ZS9fXvH5a/ ")</f>
        <v>https://vt.tiktok.com/ZS9fXvH5a/ </v>
      </c>
    </row>
    <row r="1768">
      <c r="A1768" s="282" t="str">
        <f>IFERROR(__xludf.DUMMYFUNCTION("""COMPUTED_VALUE"""),"MACRO")</f>
        <v>MACRO</v>
      </c>
      <c r="B1768" s="468" t="str">
        <f>IFERROR(__xludf.DUMMYFUNCTION("""COMPUTED_VALUE"""),"nengimel5758 ")</f>
        <v>nengimel5758 </v>
      </c>
      <c r="C1768" s="283" t="str">
        <f>IFERROR(__xludf.DUMMYFUNCTION("""COMPUTED_VALUE"""),"https://www.tiktok.com/@nengimel5758 ")</f>
        <v>https://www.tiktok.com/@nengimel5758 </v>
      </c>
      <c r="D1768" s="273">
        <f>IFERROR(__xludf.DUMMYFUNCTION("""COMPUTED_VALUE"""),8.2132598204E10)</f>
        <v>82132598204</v>
      </c>
      <c r="E1768" s="458"/>
      <c r="F1768" s="273"/>
      <c r="G1768" t="str">
        <f>IFERROR(__xludf.DUMMYFUNCTION("""COMPUTED_VALUE"""),"Sabun batang 1 Box ( 2 PCS )")</f>
        <v>Sabun batang 1 Box ( 2 PCS )</v>
      </c>
      <c r="H1768" s="469" t="str">
        <f>IFERROR(__xludf.DUMMYFUNCTION("""COMPUTED_VALUE"""),"Sampai")</f>
        <v>Sampai</v>
      </c>
      <c r="I1768" s="470" t="str">
        <f>IFERROR(__xludf.DUMMYFUNCTION("""COMPUTED_VALUE"""),"KIMME")</f>
        <v>KIMME</v>
      </c>
      <c r="J1768" s="471" t="str">
        <f>IFERROR(__xludf.DUMMYFUNCTION("""COMPUTED_VALUE"""),"https://vt.tiktok.com/ZS9fXPByN/ ")</f>
        <v>https://vt.tiktok.com/ZS9fXPByN/ </v>
      </c>
      <c r="K1768" s="470" t="str">
        <f>IFERROR(__xludf.DUMMYFUNCTION("""COMPUTED_VALUE"""),"KIMME")</f>
        <v>KIMME</v>
      </c>
      <c r="L1768" s="471" t="str">
        <f>IFERROR(__xludf.DUMMYFUNCTION("""COMPUTED_VALUE"""),"https://vt.tiktok.com/ZS9fXPD9x/ ")</f>
        <v>https://vt.tiktok.com/ZS9fXPD9x/ </v>
      </c>
      <c r="M1768" s="470"/>
      <c r="N1768" s="471" t="str">
        <f>IFERROR(__xludf.DUMMYFUNCTION("""COMPUTED_VALUE"""),"https://vt.tiktok.com/ZS9fXEaYN/ ")</f>
        <v>https://vt.tiktok.com/ZS9fXEaYN/ </v>
      </c>
      <c r="O1768" s="470"/>
      <c r="P1768" s="471" t="str">
        <f>IFERROR(__xludf.DUMMYFUNCTION("""COMPUTED_VALUE"""),"https://vt.tiktok.com/ZS9fXvH5a/ ")</f>
        <v>https://vt.tiktok.com/ZS9fXvH5a/ </v>
      </c>
    </row>
    <row r="1769">
      <c r="A1769" s="282" t="str">
        <f>IFERROR(__xludf.DUMMYFUNCTION("""COMPUTED_VALUE"""),"MICRO")</f>
        <v>MICRO</v>
      </c>
      <c r="B1769" s="468" t="str">
        <f>IFERROR(__xludf.DUMMYFUNCTION("""COMPUTED_VALUE"""),"mrsnovika")</f>
        <v>mrsnovika</v>
      </c>
      <c r="C1769" s="283" t="str">
        <f>IFERROR(__xludf.DUMMYFUNCTION("""COMPUTED_VALUE"""),"https://www.tiktok.com/@mrsnovika")</f>
        <v>https://www.tiktok.com/@mrsnovika</v>
      </c>
      <c r="D1769" s="273">
        <f>IFERROR(__xludf.DUMMYFUNCTION("""COMPUTED_VALUE"""),8.2240917157E10)</f>
        <v>82240917157</v>
      </c>
      <c r="E1769" s="458">
        <f>IFERROR(__xludf.DUMMYFUNCTION("""COMPUTED_VALUE"""),50000.0)</f>
        <v>50000</v>
      </c>
      <c r="F1769" s="273">
        <f>IFERROR(__xludf.DUMMYFUNCTION("""COMPUTED_VALUE"""),1.0)</f>
        <v>1</v>
      </c>
      <c r="G1769" t="str">
        <f>IFERROR(__xludf.DUMMYFUNCTION("""COMPUTED_VALUE"""),"Sabun batang 1 Box ( 2 PCS )")</f>
        <v>Sabun batang 1 Box ( 2 PCS )</v>
      </c>
      <c r="H1769" s="469" t="str">
        <f>IFERROR(__xludf.DUMMYFUNCTION("""COMPUTED_VALUE"""),"Sampai")</f>
        <v>Sampai</v>
      </c>
      <c r="I1769" s="470" t="str">
        <f>IFERROR(__xludf.DUMMYFUNCTION("""COMPUTED_VALUE"""),"KIMME")</f>
        <v>KIMME</v>
      </c>
      <c r="J1769" s="471" t="str">
        <f>IFERROR(__xludf.DUMMYFUNCTION("""COMPUTED_VALUE"""),"https://vt.tiktok.com/ZS9fXPByN/ ")</f>
        <v>https://vt.tiktok.com/ZS9fXPByN/ </v>
      </c>
      <c r="K1769" s="470" t="str">
        <f>IFERROR(__xludf.DUMMYFUNCTION("""COMPUTED_VALUE"""),"KIMME")</f>
        <v>KIMME</v>
      </c>
      <c r="L1769" s="471" t="str">
        <f>IFERROR(__xludf.DUMMYFUNCTION("""COMPUTED_VALUE"""),"https://vt.tiktok.com/ZS9fXPD9x/ ")</f>
        <v>https://vt.tiktok.com/ZS9fXPD9x/ </v>
      </c>
      <c r="M1769" s="470"/>
      <c r="N1769" s="471" t="str">
        <f>IFERROR(__xludf.DUMMYFUNCTION("""COMPUTED_VALUE"""),"https://vt.tiktok.com/ZS9fXEaYN/ ")</f>
        <v>https://vt.tiktok.com/ZS9fXEaYN/ </v>
      </c>
      <c r="O1769" s="470"/>
      <c r="P1769" s="471" t="str">
        <f>IFERROR(__xludf.DUMMYFUNCTION("""COMPUTED_VALUE"""),"https://vt.tiktok.com/ZS9fXvH5a/ ")</f>
        <v>https://vt.tiktok.com/ZS9fXvH5a/ </v>
      </c>
    </row>
    <row r="1770">
      <c r="A1770" s="282" t="str">
        <f>IFERROR(__xludf.DUMMYFUNCTION("""COMPUTED_VALUE"""),"MICRO")</f>
        <v>MICRO</v>
      </c>
      <c r="B1770" s="468" t="str">
        <f>IFERROR(__xludf.DUMMYFUNCTION("""COMPUTED_VALUE"""),"Chubby_kuh01")</f>
        <v>Chubby_kuh01</v>
      </c>
      <c r="C1770" s="283" t="str">
        <f>IFERROR(__xludf.DUMMYFUNCTION("""COMPUTED_VALUE"""),"https://www.tiktok.com/@Chubby_kuh01")</f>
        <v>https://www.tiktok.com/@Chubby_kuh01</v>
      </c>
      <c r="D1770" s="273"/>
      <c r="E1770" s="458">
        <f>IFERROR(__xludf.DUMMYFUNCTION("""COMPUTED_VALUE"""),0.0)</f>
        <v>0</v>
      </c>
      <c r="F1770" s="273">
        <f>IFERROR(__xludf.DUMMYFUNCTION("""COMPUTED_VALUE"""),2.0)</f>
        <v>2</v>
      </c>
      <c r="G1770" t="str">
        <f>IFERROR(__xludf.DUMMYFUNCTION("""COMPUTED_VALUE"""),"Sabun batang 1 Box ( 2 PCS )")</f>
        <v>Sabun batang 1 Box ( 2 PCS )</v>
      </c>
      <c r="H1770" s="469" t="str">
        <f>IFERROR(__xludf.DUMMYFUNCTION("""COMPUTED_VALUE"""),"Sampai")</f>
        <v>Sampai</v>
      </c>
      <c r="I1770" s="470" t="str">
        <f>IFERROR(__xludf.DUMMYFUNCTION("""COMPUTED_VALUE"""),"KIMME")</f>
        <v>KIMME</v>
      </c>
      <c r="J1770" s="471" t="str">
        <f>IFERROR(__xludf.DUMMYFUNCTION("""COMPUTED_VALUE"""),"https://www.tiktok.com/@chubby_kuh01/video/7640616618065808648?_r=1&amp;u_code=ebf49mll4d8hla&amp;region=&amp;mid=7615505674093234177&amp;preview_pb=0&amp;sharer_language=&amp;_d=0&amp;ec_shared_reflux_dynamic_params=%7B%22placeholder_material_id%22%3A%227640616618065808648%22%2C%22"&amp;"placeholder_origin_cover%22%3A%22https%253A%252F%252Fp19-common-sign.tiktokcdn.com%252Ftos-alisg-p-0037%252Fo0qWUxRvOBhQOAFR3BxQkLfC2CEFg6fo4x2DEA~tplv-tiktokx-origin.jpeg%253Fdr%253D14572%2526refresh_token%253Da5cccc42%2526x-expires%253D1810717200%2526x-"&amp;"signature%253D4CJPtNIix6%25252FFluTPstXXnlJo9E0%25253D%2526t%253D4d5b0474%2526ps%253D13740610%2526shp%253Dd05b14bd%2526shcp%253D34ff8df6%2526idc%253Dmy3%2526s%253DTIKTOK_AFFILIATE_VIRAL_VIDEO%22%2C%22placeholder_product_id%22%3A%221729427766722726591%22%2"&amp;"C%22placeholder_video_id%22%3A%227640616618065808648%22%7D&amp;ec_shared_reflux_scene=shop_tab_feed&amp;share_item_id=7640616618065808648&amp;source=h5_t")</f>
        <v>https://www.tiktok.com/@chubby_kuh01/video/7640616618065808648?_r=1&amp;u_code=ebf49mll4d8hla&amp;region=&amp;mid=7615505674093234177&amp;preview_pb=0&amp;sharer_language=&amp;_d=0&amp;ec_shared_reflux_dynamic_params=%7B%22placeholder_material_id%22%3A%227640616618065808648%22%2C%22placeholder_origin_cover%22%3A%22https%253A%252F%252Fp19-common-sign.tiktokcdn.com%252Ftos-alisg-p-0037%252Fo0qWUxRvOBhQOAFR3BxQkLfC2CEFg6fo4x2DEA~tplv-tiktokx-origin.jpeg%253Fdr%253D14572%2526refresh_token%253Da5cccc42%2526x-expires%253D1810717200%2526x-signature%253D4CJPtNIix6%25252FFluTPstXXnlJo9E0%25253D%2526t%253D4d5b0474%2526ps%253D13740610%2526shp%253Dd05b14bd%2526shcp%253D34ff8df6%2526idc%253Dmy3%2526s%253DTIKTOK_AFFILIATE_VIRAL_VIDEO%22%2C%22placeholder_product_id%22%3A%221729427766722726591%22%2C%22placeholder_video_id%22%3A%227640616618065808648%22%7D&amp;ec_shared_reflux_scene=shop_tab_feed&amp;share_item_id=7640616618065808648&amp;source=h5_t</v>
      </c>
      <c r="K1770" s="470" t="str">
        <f>IFERROR(__xludf.DUMMYFUNCTION("""COMPUTED_VALUE"""),"KIMME")</f>
        <v>KIMME</v>
      </c>
      <c r="L1770" s="471" t="str">
        <f>IFERROR(__xludf.DUMMYFUNCTION("""COMPUTED_VALUE"""),"https://vt.tiktok.com/ZSxhdtcnM/")</f>
        <v>https://vt.tiktok.com/ZSxhdtcnM/</v>
      </c>
      <c r="M1770" s="470"/>
      <c r="N1770" s="471" t="str">
        <f>IFERROR(__xludf.DUMMYFUNCTION("""COMPUTED_VALUE"""),"https://vt.tiktok.com/ZSxHab9vo/")</f>
        <v>https://vt.tiktok.com/ZSxHab9vo/</v>
      </c>
      <c r="O1770" s="470"/>
      <c r="P1770" s="471" t="str">
        <f>IFERROR(__xludf.DUMMYFUNCTION("""COMPUTED_VALUE"""),"https://vt.tiktok.com/ZSxHab7L8/")</f>
        <v>https://vt.tiktok.com/ZSxHab7L8/</v>
      </c>
    </row>
    <row r="1771">
      <c r="A1771" s="282" t="str">
        <f>IFERROR(__xludf.DUMMYFUNCTION("""COMPUTED_VALUE"""),"MICRO")</f>
        <v>MICRO</v>
      </c>
      <c r="B1771" s="468" t="str">
        <f>IFERROR(__xludf.DUMMYFUNCTION("""COMPUTED_VALUE"""),"disasalsabila00")</f>
        <v>disasalsabila00</v>
      </c>
      <c r="C1771" s="283" t="str">
        <f>IFERROR(__xludf.DUMMYFUNCTION("""COMPUTED_VALUE"""),"https://www.tiktok.com/@disasalsabila00")</f>
        <v>https://www.tiktok.com/@disasalsabila00</v>
      </c>
      <c r="D1771" s="273"/>
      <c r="E1771" s="458">
        <f>IFERROR(__xludf.DUMMYFUNCTION("""COMPUTED_VALUE"""),0.0)</f>
        <v>0</v>
      </c>
      <c r="F1771" s="273">
        <f>IFERROR(__xludf.DUMMYFUNCTION("""COMPUTED_VALUE"""),2.0)</f>
        <v>2</v>
      </c>
      <c r="G1771" t="str">
        <f>IFERROR(__xludf.DUMMYFUNCTION("""COMPUTED_VALUE"""),"Sabun batang 1 Box ( 2 PCS )")</f>
        <v>Sabun batang 1 Box ( 2 PCS )</v>
      </c>
      <c r="H1771" s="469" t="str">
        <f>IFERROR(__xludf.DUMMYFUNCTION("""COMPUTED_VALUE"""),"Sampai")</f>
        <v>Sampai</v>
      </c>
      <c r="I1771" s="470" t="str">
        <f>IFERROR(__xludf.DUMMYFUNCTION("""COMPUTED_VALUE"""),"KIMME")</f>
        <v>KIMME</v>
      </c>
      <c r="J1771" s="471" t="str">
        <f>IFERROR(__xludf.DUMMYFUNCTION("""COMPUTED_VALUE"""),"https://vt.tiktok.com/ZSxdpSNQr/")</f>
        <v>https://vt.tiktok.com/ZSxdpSNQr/</v>
      </c>
      <c r="K1771" s="470" t="str">
        <f>IFERROR(__xludf.DUMMYFUNCTION("""COMPUTED_VALUE"""),"KIMME")</f>
        <v>KIMME</v>
      </c>
      <c r="L1771" s="471" t="str">
        <f>IFERROR(__xludf.DUMMYFUNCTION("""COMPUTED_VALUE"""),"https://vt.tiktok.com/ZSxdpVaau/")</f>
        <v>https://vt.tiktok.com/ZSxdpVaau/</v>
      </c>
      <c r="M1771" s="470"/>
      <c r="N1771" s="471" t="str">
        <f>IFERROR(__xludf.DUMMYFUNCTION("""COMPUTED_VALUE"""),"https://vt.tiktok.com/ZSxHaXk9Y/")</f>
        <v>https://vt.tiktok.com/ZSxHaXk9Y/</v>
      </c>
      <c r="O1771" s="470"/>
      <c r="P1771" s="471" t="str">
        <f>IFERROR(__xludf.DUMMYFUNCTION("""COMPUTED_VALUE"""),"https://vt.tiktok.com/ZSxHaaM3x/")</f>
        <v>https://vt.tiktok.com/ZSxHaaM3x/</v>
      </c>
    </row>
    <row r="1772">
      <c r="A1772" s="282" t="str">
        <f>IFERROR(__xludf.DUMMYFUNCTION("""COMPUTED_VALUE"""),"MICRO")</f>
        <v>MICRO</v>
      </c>
      <c r="B1772" s="468" t="str">
        <f>IFERROR(__xludf.DUMMYFUNCTION("""COMPUTED_VALUE"""),"audriaa14")</f>
        <v>audriaa14</v>
      </c>
      <c r="C1772" s="283" t="str">
        <f>IFERROR(__xludf.DUMMYFUNCTION("""COMPUTED_VALUE"""),"https://www.tiktok.com/@audriaa14")</f>
        <v>https://www.tiktok.com/@audriaa14</v>
      </c>
      <c r="D1772" s="273"/>
      <c r="E1772" s="458">
        <f>IFERROR(__xludf.DUMMYFUNCTION("""COMPUTED_VALUE"""),0.0)</f>
        <v>0</v>
      </c>
      <c r="F1772" s="273">
        <f>IFERROR(__xludf.DUMMYFUNCTION("""COMPUTED_VALUE"""),2.0)</f>
        <v>2</v>
      </c>
      <c r="G1772" t="str">
        <f>IFERROR(__xludf.DUMMYFUNCTION("""COMPUTED_VALUE"""),"Sabun batang 1 Box ( 2 PCS )")</f>
        <v>Sabun batang 1 Box ( 2 PCS )</v>
      </c>
      <c r="H1772" s="469" t="str">
        <f>IFERROR(__xludf.DUMMYFUNCTION("""COMPUTED_VALUE"""),"Sampai")</f>
        <v>Sampai</v>
      </c>
      <c r="I1772" s="470" t="str">
        <f>IFERROR(__xludf.DUMMYFUNCTION("""COMPUTED_VALUE"""),"KIMME")</f>
        <v>KIMME</v>
      </c>
      <c r="J1772" s="471" t="str">
        <f>IFERROR(__xludf.DUMMYFUNCTION("""COMPUTED_VALUE"""),"https://vt.tiktok.com/ZSxYm5vkj/")</f>
        <v>https://vt.tiktok.com/ZSxYm5vkj/</v>
      </c>
      <c r="K1772" s="470" t="str">
        <f>IFERROR(__xludf.DUMMYFUNCTION("""COMPUTED_VALUE"""),"KIMME")</f>
        <v>KIMME</v>
      </c>
      <c r="L1772" s="471" t="str">
        <f>IFERROR(__xludf.DUMMYFUNCTION("""COMPUTED_VALUE"""),"https://vt.tiktok.com/ZSxMWFq9o/")</f>
        <v>https://vt.tiktok.com/ZSxMWFq9o/</v>
      </c>
      <c r="M1772" s="470"/>
      <c r="N1772" s="471" t="str">
        <f>IFERROR(__xludf.DUMMYFUNCTION("""COMPUTED_VALUE"""),"https://vt.tiktok.com/ZSxHabTGx/")</f>
        <v>https://vt.tiktok.com/ZSxHabTGx/</v>
      </c>
      <c r="O1772" s="470"/>
      <c r="P1772" s="471" t="str">
        <f>IFERROR(__xludf.DUMMYFUNCTION("""COMPUTED_VALUE"""),"https://vt.tiktok.com/ZSxHaCDq4/")</f>
        <v>https://vt.tiktok.com/ZSxHaCDq4/</v>
      </c>
    </row>
    <row r="1773">
      <c r="A1773" s="282" t="str">
        <f>IFERROR(__xludf.DUMMYFUNCTION("""COMPUTED_VALUE"""),"MICRO")</f>
        <v>MICRO</v>
      </c>
      <c r="B1773" s="468" t="str">
        <f>IFERROR(__xludf.DUMMYFUNCTION("""COMPUTED_VALUE"""),"ny.aldihad")</f>
        <v>ny.aldihad</v>
      </c>
      <c r="C1773" s="283" t="str">
        <f>IFERROR(__xludf.DUMMYFUNCTION("""COMPUTED_VALUE"""),"https://www.tiktok.com/@ny.aldihad")</f>
        <v>https://www.tiktok.com/@ny.aldihad</v>
      </c>
      <c r="D1773" s="273"/>
      <c r="E1773" s="458">
        <f>IFERROR(__xludf.DUMMYFUNCTION("""COMPUTED_VALUE"""),0.0)</f>
        <v>0</v>
      </c>
      <c r="F1773" s="273">
        <f>IFERROR(__xludf.DUMMYFUNCTION("""COMPUTED_VALUE"""),2.0)</f>
        <v>2</v>
      </c>
      <c r="G1773" t="str">
        <f>IFERROR(__xludf.DUMMYFUNCTION("""COMPUTED_VALUE"""),"Sabun batang 1 Box ( 2 PCS )")</f>
        <v>Sabun batang 1 Box ( 2 PCS )</v>
      </c>
      <c r="H1773" s="469" t="str">
        <f>IFERROR(__xludf.DUMMYFUNCTION("""COMPUTED_VALUE"""),"Sampai")</f>
        <v>Sampai</v>
      </c>
      <c r="I1773" s="470" t="str">
        <f>IFERROR(__xludf.DUMMYFUNCTION("""COMPUTED_VALUE"""),"KIMME")</f>
        <v>KIMME</v>
      </c>
      <c r="J1773" s="471" t="str">
        <f>IFERROR(__xludf.DUMMYFUNCTION("""COMPUTED_VALUE"""),"https://vt.tiktok.com/ZSx21VwBg/")</f>
        <v>https://vt.tiktok.com/ZSx21VwBg/</v>
      </c>
      <c r="K1773" s="470" t="str">
        <f>IFERROR(__xludf.DUMMYFUNCTION("""COMPUTED_VALUE"""),"KIMME")</f>
        <v>KIMME</v>
      </c>
      <c r="L1773" s="471" t="str">
        <f>IFERROR(__xludf.DUMMYFUNCTION("""COMPUTED_VALUE"""),"https://vt.tiktok.com/ZSxupt6Ks/")</f>
        <v>https://vt.tiktok.com/ZSxupt6Ks/</v>
      </c>
      <c r="M1773" s="470"/>
      <c r="N1773" s="471" t="str">
        <f>IFERROR(__xludf.DUMMYFUNCTION("""COMPUTED_VALUE"""),"https://vt.tiktok.com/ZSxHaBLcK/")</f>
        <v>https://vt.tiktok.com/ZSxHaBLcK/</v>
      </c>
      <c r="O1773" s="470"/>
      <c r="P1773" s="471" t="str">
        <f>IFERROR(__xludf.DUMMYFUNCTION("""COMPUTED_VALUE"""),"https://vt.tiktok.com/ZSxHaS3Gu/")</f>
        <v>https://vt.tiktok.com/ZSxHaS3Gu/</v>
      </c>
    </row>
    <row r="1774">
      <c r="A1774" s="282" t="str">
        <f>IFERROR(__xludf.DUMMYFUNCTION("""COMPUTED_VALUE"""),"MICRO")</f>
        <v>MICRO</v>
      </c>
      <c r="B1774" s="468" t="str">
        <f>IFERROR(__xludf.DUMMYFUNCTION("""COMPUTED_VALUE"""),"co.byaa1")</f>
        <v>co.byaa1</v>
      </c>
      <c r="C1774" s="283" t="str">
        <f>IFERROR(__xludf.DUMMYFUNCTION("""COMPUTED_VALUE"""),"https://www.tiktok.com/@co.byaa1")</f>
        <v>https://www.tiktok.com/@co.byaa1</v>
      </c>
      <c r="D1774" s="273"/>
      <c r="E1774" s="458">
        <f>IFERROR(__xludf.DUMMYFUNCTION("""COMPUTED_VALUE"""),0.0)</f>
        <v>0</v>
      </c>
      <c r="F1774" s="273">
        <f>IFERROR(__xludf.DUMMYFUNCTION("""COMPUTED_VALUE"""),2.0)</f>
        <v>2</v>
      </c>
      <c r="G1774" t="str">
        <f>IFERROR(__xludf.DUMMYFUNCTION("""COMPUTED_VALUE"""),"Sabun batang 1 Box ( 2 PCS )")</f>
        <v>Sabun batang 1 Box ( 2 PCS )</v>
      </c>
      <c r="H1774" s="469" t="str">
        <f>IFERROR(__xludf.DUMMYFUNCTION("""COMPUTED_VALUE"""),"Sampai")</f>
        <v>Sampai</v>
      </c>
      <c r="I1774" s="470" t="str">
        <f>IFERROR(__xludf.DUMMYFUNCTION("""COMPUTED_VALUE"""),"KIMME")</f>
        <v>KIMME</v>
      </c>
      <c r="J1774" s="471" t="str">
        <f>IFERROR(__xludf.DUMMYFUNCTION("""COMPUTED_VALUE"""),"https://vt.tiktok.com/ZSxNH9Ed3/")</f>
        <v>https://vt.tiktok.com/ZSxNH9Ed3/</v>
      </c>
      <c r="K1774" s="470" t="str">
        <f>IFERROR(__xludf.DUMMYFUNCTION("""COMPUTED_VALUE"""),"KIMME")</f>
        <v>KIMME</v>
      </c>
      <c r="L1774" s="471" t="str">
        <f>IFERROR(__xludf.DUMMYFUNCTION("""COMPUTED_VALUE"""),"https://vt.tiktok.com/ZSxNHWqR6/")</f>
        <v>https://vt.tiktok.com/ZSxNHWqR6/</v>
      </c>
      <c r="M1774" s="470"/>
      <c r="N1774" s="471" t="str">
        <f>IFERROR(__xludf.DUMMYFUNCTION("""COMPUTED_VALUE"""),"https://vt.tiktok.com/ZSxHayYgs/")</f>
        <v>https://vt.tiktok.com/ZSxHayYgs/</v>
      </c>
      <c r="O1774" s="470"/>
      <c r="P1774" s="471" t="str">
        <f>IFERROR(__xludf.DUMMYFUNCTION("""COMPUTED_VALUE"""),"https://vt.tiktok.com/ZSxHaPMfN/")</f>
        <v>https://vt.tiktok.com/ZSxHaPMfN/</v>
      </c>
    </row>
    <row r="1775">
      <c r="A1775" s="282" t="str">
        <f>IFERROR(__xludf.DUMMYFUNCTION("""COMPUTED_VALUE"""),"MICRO")</f>
        <v>MICRO</v>
      </c>
      <c r="B1775" s="468" t="str">
        <f>IFERROR(__xludf.DUMMYFUNCTION("""COMPUTED_VALUE"""),"Spalspill5512")</f>
        <v>Spalspill5512</v>
      </c>
      <c r="C1775" s="283" t="str">
        <f>IFERROR(__xludf.DUMMYFUNCTION("""COMPUTED_VALUE"""),"https://www.tiktok.com/@Spalspill5512")</f>
        <v>https://www.tiktok.com/@Spalspill5512</v>
      </c>
      <c r="D1775" s="273"/>
      <c r="E1775" s="458">
        <f>IFERROR(__xludf.DUMMYFUNCTION("""COMPUTED_VALUE"""),0.0)</f>
        <v>0</v>
      </c>
      <c r="F1775" s="273">
        <f>IFERROR(__xludf.DUMMYFUNCTION("""COMPUTED_VALUE"""),2.0)</f>
        <v>2</v>
      </c>
      <c r="G1775" t="str">
        <f>IFERROR(__xludf.DUMMYFUNCTION("""COMPUTED_VALUE"""),"Sabun batang 1 Box ( 2 PCS )")</f>
        <v>Sabun batang 1 Box ( 2 PCS )</v>
      </c>
      <c r="H1775" s="469" t="str">
        <f>IFERROR(__xludf.DUMMYFUNCTION("""COMPUTED_VALUE"""),"Sampai")</f>
        <v>Sampai</v>
      </c>
      <c r="I1775" s="470" t="str">
        <f>IFERROR(__xludf.DUMMYFUNCTION("""COMPUTED_VALUE"""),"KIMME")</f>
        <v>KIMME</v>
      </c>
      <c r="J1775" s="471" t="str">
        <f>IFERROR(__xludf.DUMMYFUNCTION("""COMPUTED_VALUE"""),"https://www.tiktok.com/@spalspill5512/video/7647415404628888839?_r=1&amp;u_code=e9165de9bm7maj&amp;region=&amp;mid=7604469021722200065&amp;preview_pb=0&amp;sharer_language=&amp;_d=0&amp;ec_shared_reflux_dynamic_params=%7B%22placeholder_material_id%22%3A%227647415404628888839%22%2C%2"&amp;"2placeholder_origin_cover%22%3A%22https%253A%252F%252Fp16-common-sign.tiktokcdn.com%252Ftos-alisg-p-0037%252Foghg4gJSAAVWDaGqjLe6iUGCfeQV0II46LSLEC~tplv-tiktokx-origin.jpeg%253Fdr%253D14572%2526refresh_token%253D9e77115b%2526x-expires%253D1812099600%2526x"&amp;"-signature%253DHQUWQ%25252FIob4soIep%25252B1MQLhWQN9ek%25253D%2526t%253D4d5b0474%2526ps%253D13740610%2526shp%253Dd05b14bd%2526shcp%253D34ff8df6%2526idc%253Dmy%2526s%253DTIKTOK_AFFILIATE_VIRAL_VIDEO%22%2C%22placeholder_product_id%22%3A%22172942776672272659"&amp;"1%22%2C%22placeholder_video_id%22%3A%227647415404628888839%22%7D&amp;ec_shared_reflux_scene=shop_tab_feed&amp;share_item_id=7647415404628888839&amp;source=h5_t")</f>
        <v>https://www.tiktok.com/@spalspill5512/video/7647415404628888839?_r=1&amp;u_code=e9165de9bm7maj&amp;region=&amp;mid=7604469021722200065&amp;preview_pb=0&amp;sharer_language=&amp;_d=0&amp;ec_shared_reflux_dynamic_params=%7B%22placeholder_material_id%22%3A%227647415404628888839%22%2C%22placeholder_origin_cover%22%3A%22https%253A%252F%252Fp16-common-sign.tiktokcdn.com%252Ftos-alisg-p-0037%252Foghg4gJSAAVWDaGqjLe6iUGCfeQV0II46LSLEC~tplv-tiktokx-origin.jpeg%253Fdr%253D14572%2526refresh_token%253D9e77115b%2526x-expires%253D1812099600%2526x-signature%253DHQUWQ%25252FIob4soIep%25252B1MQLhWQN9ek%25253D%2526t%253D4d5b0474%2526ps%253D13740610%2526shp%253Dd05b14bd%2526shcp%253D34ff8df6%2526idc%253Dmy%2526s%253DTIKTOK_AFFILIATE_VIRAL_VIDEO%22%2C%22placeholder_product_id%22%3A%221729427766722726591%22%2C%22placeholder_video_id%22%3A%227647415404628888839%22%7D&amp;ec_shared_reflux_scene=shop_tab_feed&amp;share_item_id=7647415404628888839&amp;source=h5_t</v>
      </c>
      <c r="K1775" s="470" t="str">
        <f>IFERROR(__xludf.DUMMYFUNCTION("""COMPUTED_VALUE"""),"KIMME")</f>
        <v>KIMME</v>
      </c>
      <c r="L1775" s="471" t="str">
        <f>IFERROR(__xludf.DUMMYFUNCTION("""COMPUTED_VALUE"""),"https://www.tiktok.com/@spalspill5512/video/7647419440472001800?_r=1&amp;u_code=e9165de9bm7maj&amp;region=&amp;mid=7591434567065192449&amp;preview_pb=0&amp;sharer_language=&amp;_d=0&amp;ec_shared_reflux_dynamic_params=%7B%22placeholder_material_id%22%3A%227647419440472001800%22%2C%2"&amp;"2placeholder_origin_cover%22%3A%22https%253A%252F%252Fp16-common-sign.tiktokcdn.com%252Ftos-alisg-p-0037%252FocAOI0CIjoZeqlpgLADiNQtQQAeUmnGelLwDLC~tplv-tiktokx-origin.jpeg%253Fdr%253D14572%2526refresh_token%253D6edcfd8d%2526x-expires%253D1812099600%2526x"&amp;"-signature%253D2ERgEKwPuSkKIZPwK5OkIxcM58A%25253D%2526t%253D4d5b0474%2526ps%253D13740610%2526shp%253Dd05b14bd%2526shcp%253D34ff8df6%2526idc%253Dmy%2526s%253DTIKTOK_AFFILIATE_VIRAL_VIDEO%22%2C%22placeholder_product_id%22%3A%221729427766722726591%22%2C%22pl"&amp;"aceholder_video_id%22%3A%227647419440472001800%22%7D&amp;ec_shared_reflux_scene=shop_tab_feed&amp;share_item_id=7647419440472001800&amp;source=h5_t")</f>
        <v>https://www.tiktok.com/@spalspill5512/video/7647419440472001800?_r=1&amp;u_code=e9165de9bm7maj&amp;region=&amp;mid=7591434567065192449&amp;preview_pb=0&amp;sharer_language=&amp;_d=0&amp;ec_shared_reflux_dynamic_params=%7B%22placeholder_material_id%22%3A%227647419440472001800%22%2C%22placeholder_origin_cover%22%3A%22https%253A%252F%252Fp16-common-sign.tiktokcdn.com%252Ftos-alisg-p-0037%252FocAOI0CIjoZeqlpgLADiNQtQQAeUmnGelLwDLC~tplv-tiktokx-origin.jpeg%253Fdr%253D14572%2526refresh_token%253D6edcfd8d%2526x-expires%253D1812099600%2526x-signature%253D2ERgEKwPuSkKIZPwK5OkIxcM58A%25253D%2526t%253D4d5b0474%2526ps%253D13740610%2526shp%253Dd05b14bd%2526shcp%253D34ff8df6%2526idc%253Dmy%2526s%253DTIKTOK_AFFILIATE_VIRAL_VIDEO%22%2C%22placeholder_product_id%22%3A%221729427766722726591%22%2C%22placeholder_video_id%22%3A%227647419440472001800%22%7D&amp;ec_shared_reflux_scene=shop_tab_feed&amp;share_item_id=7647419440472001800&amp;source=h5_t</v>
      </c>
      <c r="M1775" s="470"/>
      <c r="N1775" s="471" t="str">
        <f>IFERROR(__xludf.DUMMYFUNCTION("""COMPUTED_VALUE"""),"https://vt.tiktok.com/ZSxHabCmU/")</f>
        <v>https://vt.tiktok.com/ZSxHabCmU/</v>
      </c>
      <c r="O1775" s="470"/>
      <c r="P1775" s="471" t="str">
        <f>IFERROR(__xludf.DUMMYFUNCTION("""COMPUTED_VALUE"""),"https://vt.tiktok.com/ZSxHa9G1r/")</f>
        <v>https://vt.tiktok.com/ZSxHa9G1r/</v>
      </c>
    </row>
    <row r="1776">
      <c r="A1776" s="282" t="str">
        <f>IFERROR(__xludf.DUMMYFUNCTION("""COMPUTED_VALUE"""),"MICRO")</f>
        <v>MICRO</v>
      </c>
      <c r="B1776" s="468" t="str">
        <f>IFERROR(__xludf.DUMMYFUNCTION("""COMPUTED_VALUE"""),"M3lanyy_020")</f>
        <v>M3lanyy_020</v>
      </c>
      <c r="C1776" s="283" t="str">
        <f>IFERROR(__xludf.DUMMYFUNCTION("""COMPUTED_VALUE"""),"https://www.tiktok.com/@M3lanyy_020")</f>
        <v>https://www.tiktok.com/@M3lanyy_020</v>
      </c>
      <c r="D1776" s="273"/>
      <c r="E1776" s="458">
        <f>IFERROR(__xludf.DUMMYFUNCTION("""COMPUTED_VALUE"""),0.0)</f>
        <v>0</v>
      </c>
      <c r="F1776" s="273">
        <f>IFERROR(__xludf.DUMMYFUNCTION("""COMPUTED_VALUE"""),2.0)</f>
        <v>2</v>
      </c>
      <c r="G1776" t="str">
        <f>IFERROR(__xludf.DUMMYFUNCTION("""COMPUTED_VALUE"""),"Sabun batang 1 Box ( 2 PCS )")</f>
        <v>Sabun batang 1 Box ( 2 PCS )</v>
      </c>
      <c r="H1776" s="469" t="str">
        <f>IFERROR(__xludf.DUMMYFUNCTION("""COMPUTED_VALUE"""),"Sampai")</f>
        <v>Sampai</v>
      </c>
      <c r="I1776" s="470" t="str">
        <f>IFERROR(__xludf.DUMMYFUNCTION("""COMPUTED_VALUE"""),"KIMME")</f>
        <v>KIMME</v>
      </c>
      <c r="J1776" s="471" t="str">
        <f>IFERROR(__xludf.DUMMYFUNCTION("""COMPUTED_VALUE"""),"https://vt.tiktok.com/ZSxhdsLxY/")</f>
        <v>https://vt.tiktok.com/ZSxhdsLxY/</v>
      </c>
      <c r="K1776" s="470" t="str">
        <f>IFERROR(__xludf.DUMMYFUNCTION("""COMPUTED_VALUE"""),"KIMME")</f>
        <v>KIMME</v>
      </c>
      <c r="L1776" s="471" t="str">
        <f>IFERROR(__xludf.DUMMYFUNCTION("""COMPUTED_VALUE"""),"https://vt.tiktok.com/ZSxhdTkdV/")</f>
        <v>https://vt.tiktok.com/ZSxhdTkdV/</v>
      </c>
      <c r="M1776" s="470"/>
      <c r="N1776" s="471" t="str">
        <f>IFERROR(__xludf.DUMMYFUNCTION("""COMPUTED_VALUE"""),"https://vt.tiktok.com/ZSxHaXGoc/")</f>
        <v>https://vt.tiktok.com/ZSxHaXGoc/</v>
      </c>
      <c r="O1776" s="470"/>
      <c r="P1776" s="471" t="str">
        <f>IFERROR(__xludf.DUMMYFUNCTION("""COMPUTED_VALUE"""),"https://vt.tiktok.com/ZSxHaPjHD/")</f>
        <v>https://vt.tiktok.com/ZSxHaPjHD/</v>
      </c>
    </row>
    <row r="1777">
      <c r="A1777" s="282" t="str">
        <f>IFERROR(__xludf.DUMMYFUNCTION("""COMPUTED_VALUE"""),"MICRO")</f>
        <v>MICRO</v>
      </c>
      <c r="B1777" s="468" t="str">
        <f>IFERROR(__xludf.DUMMYFUNCTION("""COMPUTED_VALUE"""),"cutttmutia ")</f>
        <v>cutttmutia </v>
      </c>
      <c r="C1777" s="283" t="str">
        <f>IFERROR(__xludf.DUMMYFUNCTION("""COMPUTED_VALUE"""),"https://www.tiktok.com/@cutttmutia ")</f>
        <v>https://www.tiktok.com/@cutttmutia </v>
      </c>
      <c r="D1777" s="273"/>
      <c r="E1777" s="458">
        <f>IFERROR(__xludf.DUMMYFUNCTION("""COMPUTED_VALUE"""),0.0)</f>
        <v>0</v>
      </c>
      <c r="F1777" s="273">
        <f>IFERROR(__xludf.DUMMYFUNCTION("""COMPUTED_VALUE"""),2.0)</f>
        <v>2</v>
      </c>
      <c r="G1777" t="str">
        <f>IFERROR(__xludf.DUMMYFUNCTION("""COMPUTED_VALUE"""),"Sabun batang 1 Box ( 2 PCS )")</f>
        <v>Sabun batang 1 Box ( 2 PCS )</v>
      </c>
      <c r="H1777" s="469" t="str">
        <f>IFERROR(__xludf.DUMMYFUNCTION("""COMPUTED_VALUE"""),"Sampai")</f>
        <v>Sampai</v>
      </c>
      <c r="I1777" s="470" t="str">
        <f>IFERROR(__xludf.DUMMYFUNCTION("""COMPUTED_VALUE"""),"KIMME")</f>
        <v>KIMME</v>
      </c>
      <c r="J1777" s="471" t="str">
        <f>IFERROR(__xludf.DUMMYFUNCTION("""COMPUTED_VALUE"""),"https://vt.tiktok.com/ZSxhd3pun/")</f>
        <v>https://vt.tiktok.com/ZSxhd3pun/</v>
      </c>
      <c r="K1777" s="470" t="str">
        <f>IFERROR(__xludf.DUMMYFUNCTION("""COMPUTED_VALUE"""),"KIMME")</f>
        <v>KIMME</v>
      </c>
      <c r="L1777" s="471" t="str">
        <f>IFERROR(__xludf.DUMMYFUNCTION("""COMPUTED_VALUE"""),"https://vt.tiktok.com/ZSxhdvscC/")</f>
        <v>https://vt.tiktok.com/ZSxhdvscC/</v>
      </c>
      <c r="M1777" s="470"/>
      <c r="N1777" s="471" t="str">
        <f>IFERROR(__xludf.DUMMYFUNCTION("""COMPUTED_VALUE"""),"https://vt.tiktok.com/ZSxHaXvVq/")</f>
        <v>https://vt.tiktok.com/ZSxHaXvVq/</v>
      </c>
      <c r="O1777" s="470"/>
      <c r="P1777" s="471" t="str">
        <f>IFERROR(__xludf.DUMMYFUNCTION("""COMPUTED_VALUE"""),"https://vt.tiktok.com/ZSxHaXvVq/")</f>
        <v>https://vt.tiktok.com/ZSxHaXvVq/</v>
      </c>
    </row>
    <row r="1778">
      <c r="A1778" s="282" t="str">
        <f>IFERROR(__xludf.DUMMYFUNCTION("""COMPUTED_VALUE"""),"MICRO")</f>
        <v>MICRO</v>
      </c>
      <c r="B1778" s="468" t="str">
        <f>IFERROR(__xludf.DUMMYFUNCTION("""COMPUTED_VALUE"""),"kak.uung")</f>
        <v>kak.uung</v>
      </c>
      <c r="C1778" s="283" t="str">
        <f>IFERROR(__xludf.DUMMYFUNCTION("""COMPUTED_VALUE"""),"https://www.tiktok.com/@kak.uung")</f>
        <v>https://www.tiktok.com/@kak.uung</v>
      </c>
      <c r="D1778" s="273"/>
      <c r="E1778" s="458">
        <f>IFERROR(__xludf.DUMMYFUNCTION("""COMPUTED_VALUE"""),0.0)</f>
        <v>0</v>
      </c>
      <c r="F1778" s="273">
        <f>IFERROR(__xludf.DUMMYFUNCTION("""COMPUTED_VALUE"""),2.0)</f>
        <v>2</v>
      </c>
      <c r="G1778" t="str">
        <f>IFERROR(__xludf.DUMMYFUNCTION("""COMPUTED_VALUE"""),"Sabun batang 1 Box ( 2 PCS )")</f>
        <v>Sabun batang 1 Box ( 2 PCS )</v>
      </c>
      <c r="H1778" s="469" t="str">
        <f>IFERROR(__xludf.DUMMYFUNCTION("""COMPUTED_VALUE"""),"Sampai")</f>
        <v>Sampai</v>
      </c>
      <c r="I1778" s="470" t="str">
        <f>IFERROR(__xludf.DUMMYFUNCTION("""COMPUTED_VALUE"""),"KIMME")</f>
        <v>KIMME</v>
      </c>
      <c r="J1778" s="471" t="str">
        <f>IFERROR(__xludf.DUMMYFUNCTION("""COMPUTED_VALUE"""),"https://vt.tiktok.com/ZSxhdoHxo/")</f>
        <v>https://vt.tiktok.com/ZSxhdoHxo/</v>
      </c>
      <c r="K1778" s="470" t="str">
        <f>IFERROR(__xludf.DUMMYFUNCTION("""COMPUTED_VALUE"""),"KIMME")</f>
        <v>KIMME</v>
      </c>
      <c r="L1778" s="471" t="str">
        <f>IFERROR(__xludf.DUMMYFUNCTION("""COMPUTED_VALUE"""),"https://vt.tiktok.com/ZSxhReepJ/")</f>
        <v>https://vt.tiktok.com/ZSxhReepJ/</v>
      </c>
      <c r="M1778" s="470"/>
      <c r="N1778" s="471" t="str">
        <f>IFERROR(__xludf.DUMMYFUNCTION("""COMPUTED_VALUE"""),"https://vt.tiktok.com/ZSxHaP4Ld/")</f>
        <v>https://vt.tiktok.com/ZSxHaP4Ld/</v>
      </c>
      <c r="O1778" s="470"/>
      <c r="P1778" s="471" t="str">
        <f>IFERROR(__xludf.DUMMYFUNCTION("""COMPUTED_VALUE"""),"https://vt.tiktok.com/ZSxHaQcdw/")</f>
        <v>https://vt.tiktok.com/ZSxHaQcdw/</v>
      </c>
    </row>
    <row r="1779">
      <c r="A1779" s="282" t="str">
        <f>IFERROR(__xludf.DUMMYFUNCTION("""COMPUTED_VALUE"""),"MICRO")</f>
        <v>MICRO</v>
      </c>
      <c r="B1779" s="468" t="str">
        <f>IFERROR(__xludf.DUMMYFUNCTION("""COMPUTED_VALUE"""),"mbak_is16")</f>
        <v>mbak_is16</v>
      </c>
      <c r="C1779" s="283" t="str">
        <f>IFERROR(__xludf.DUMMYFUNCTION("""COMPUTED_VALUE"""),"https://www.tiktok.com/@mbak_is16")</f>
        <v>https://www.tiktok.com/@mbak_is16</v>
      </c>
      <c r="D1779" s="273"/>
      <c r="E1779" s="458">
        <f>IFERROR(__xludf.DUMMYFUNCTION("""COMPUTED_VALUE"""),0.0)</f>
        <v>0</v>
      </c>
      <c r="F1779" s="273">
        <f>IFERROR(__xludf.DUMMYFUNCTION("""COMPUTED_VALUE"""),2.0)</f>
        <v>2</v>
      </c>
      <c r="G1779" t="str">
        <f>IFERROR(__xludf.DUMMYFUNCTION("""COMPUTED_VALUE"""),"Sabun batang 1 Box ( 2 PCS )")</f>
        <v>Sabun batang 1 Box ( 2 PCS )</v>
      </c>
      <c r="H1779" s="469" t="str">
        <f>IFERROR(__xludf.DUMMYFUNCTION("""COMPUTED_VALUE"""),"Sampai")</f>
        <v>Sampai</v>
      </c>
      <c r="I1779" s="470" t="str">
        <f>IFERROR(__xludf.DUMMYFUNCTION("""COMPUTED_VALUE"""),"KIMME")</f>
        <v>KIMME</v>
      </c>
      <c r="J1779" s="471" t="str">
        <f>IFERROR(__xludf.DUMMYFUNCTION("""COMPUTED_VALUE"""),"https://vt.tiktok.com/ZS9vJMtMf/")</f>
        <v>https://vt.tiktok.com/ZS9vJMtMf/</v>
      </c>
      <c r="K1779" s="470" t="str">
        <f>IFERROR(__xludf.DUMMYFUNCTION("""COMPUTED_VALUE"""),"KIMME")</f>
        <v>KIMME</v>
      </c>
      <c r="L1779" s="471" t="str">
        <f>IFERROR(__xludf.DUMMYFUNCTION("""COMPUTED_VALUE"""),"https://vt.tiktok.com/ZS9vJkG2n/")</f>
        <v>https://vt.tiktok.com/ZS9vJkG2n/</v>
      </c>
      <c r="M1779" s="470"/>
      <c r="N1779" s="471" t="str">
        <f>IFERROR(__xludf.DUMMYFUNCTION("""COMPUTED_VALUE"""),"https://vt.tiktok.com/ZSxHahUQS/")</f>
        <v>https://vt.tiktok.com/ZSxHahUQS/</v>
      </c>
      <c r="O1779" s="470"/>
      <c r="P1779" s="471" t="str">
        <f>IFERROR(__xludf.DUMMYFUNCTION("""COMPUTED_VALUE"""),"https://vt.tiktok.com/ZSxHamq71/")</f>
        <v>https://vt.tiktok.com/ZSxHamq71/</v>
      </c>
    </row>
    <row r="1780">
      <c r="A1780" s="282" t="str">
        <f>IFERROR(__xludf.DUMMYFUNCTION("""COMPUTED_VALUE"""),"MICRO")</f>
        <v>MICRO</v>
      </c>
      <c r="B1780" s="468" t="str">
        <f>IFERROR(__xludf.DUMMYFUNCTION("""COMPUTED_VALUE"""),"racunlidyas")</f>
        <v>racunlidyas</v>
      </c>
      <c r="C1780" s="283" t="str">
        <f>IFERROR(__xludf.DUMMYFUNCTION("""COMPUTED_VALUE"""),"https://www.tiktok.com/@racunlidyas")</f>
        <v>https://www.tiktok.com/@racunlidyas</v>
      </c>
      <c r="D1780" s="273"/>
      <c r="E1780" s="458">
        <f>IFERROR(__xludf.DUMMYFUNCTION("""COMPUTED_VALUE"""),0.0)</f>
        <v>0</v>
      </c>
      <c r="F1780" s="273">
        <f>IFERROR(__xludf.DUMMYFUNCTION("""COMPUTED_VALUE"""),2.0)</f>
        <v>2</v>
      </c>
      <c r="G1780" t="str">
        <f>IFERROR(__xludf.DUMMYFUNCTION("""COMPUTED_VALUE"""),"Sabun batang 1 Box ( 2 PCS )")</f>
        <v>Sabun batang 1 Box ( 2 PCS )</v>
      </c>
      <c r="H1780" s="469" t="str">
        <f>IFERROR(__xludf.DUMMYFUNCTION("""COMPUTED_VALUE"""),"Sampai")</f>
        <v>Sampai</v>
      </c>
      <c r="I1780" s="470" t="str">
        <f>IFERROR(__xludf.DUMMYFUNCTION("""COMPUTED_VALUE"""),"KIMME")</f>
        <v>KIMME</v>
      </c>
      <c r="J1780" s="471" t="str">
        <f>IFERROR(__xludf.DUMMYFUNCTION("""COMPUTED_VALUE"""),"https://vt.tiktok.com/ZSxhR2a2m/")</f>
        <v>https://vt.tiktok.com/ZSxhR2a2m/</v>
      </c>
      <c r="K1780" s="470" t="str">
        <f>IFERROR(__xludf.DUMMYFUNCTION("""COMPUTED_VALUE"""),"KIMME")</f>
        <v>KIMME</v>
      </c>
      <c r="L1780" s="471" t="str">
        <f>IFERROR(__xludf.DUMMYFUNCTION("""COMPUTED_VALUE"""),"https://vt.tiktok.com/ZSxhRYbcK/")</f>
        <v>https://vt.tiktok.com/ZSxhRYbcK/</v>
      </c>
      <c r="M1780" s="470"/>
      <c r="N1780" s="471" t="str">
        <f>IFERROR(__xludf.DUMMYFUNCTION("""COMPUTED_VALUE"""),"https://vt.tiktok.com/ZSxHakhxD/")</f>
        <v>https://vt.tiktok.com/ZSxHakhxD/</v>
      </c>
      <c r="O1780" s="470"/>
      <c r="P1780" s="471" t="str">
        <f>IFERROR(__xludf.DUMMYFUNCTION("""COMPUTED_VALUE"""),"https://vt.tiktok.com/ZSxH5o2jm/")</f>
        <v>https://vt.tiktok.com/ZSxH5o2jm/</v>
      </c>
    </row>
    <row r="1781">
      <c r="A1781" s="282" t="str">
        <f>IFERROR(__xludf.DUMMYFUNCTION("""COMPUTED_VALUE"""),"MICRO")</f>
        <v>MICRO</v>
      </c>
      <c r="B1781" s="468" t="str">
        <f>IFERROR(__xludf.DUMMYFUNCTION("""COMPUTED_VALUE"""),"megamardasari")</f>
        <v>megamardasari</v>
      </c>
      <c r="C1781" s="283" t="str">
        <f>IFERROR(__xludf.DUMMYFUNCTION("""COMPUTED_VALUE"""),"https://www.tiktok.com/@megamardasari")</f>
        <v>https://www.tiktok.com/@megamardasari</v>
      </c>
      <c r="D1781" s="273"/>
      <c r="E1781" s="458">
        <f>IFERROR(__xludf.DUMMYFUNCTION("""COMPUTED_VALUE"""),0.0)</f>
        <v>0</v>
      </c>
      <c r="F1781" s="273">
        <f>IFERROR(__xludf.DUMMYFUNCTION("""COMPUTED_VALUE"""),2.0)</f>
        <v>2</v>
      </c>
      <c r="G1781" t="str">
        <f>IFERROR(__xludf.DUMMYFUNCTION("""COMPUTED_VALUE"""),"Sabun batang 1 Box ( 2 PCS )")</f>
        <v>Sabun batang 1 Box ( 2 PCS )</v>
      </c>
      <c r="H1781" s="469" t="str">
        <f>IFERROR(__xludf.DUMMYFUNCTION("""COMPUTED_VALUE"""),"Sampai")</f>
        <v>Sampai</v>
      </c>
      <c r="I1781" s="470" t="str">
        <f>IFERROR(__xludf.DUMMYFUNCTION("""COMPUTED_VALUE"""),"KIMME")</f>
        <v>KIMME</v>
      </c>
      <c r="J1781" s="471" t="str">
        <f>IFERROR(__xludf.DUMMYFUNCTION("""COMPUTED_VALUE"""),"https://vt.tiktok.com/ZSxhR2HAv/")</f>
        <v>https://vt.tiktok.com/ZSxhR2HAv/</v>
      </c>
      <c r="K1781" s="470" t="str">
        <f>IFERROR(__xludf.DUMMYFUNCTION("""COMPUTED_VALUE"""),"KIMME")</f>
        <v>KIMME</v>
      </c>
      <c r="L1781" s="471" t="str">
        <f>IFERROR(__xludf.DUMMYFUNCTION("""COMPUTED_VALUE"""),"https://vt.tiktok.com/ZSxhd35dw/")</f>
        <v>https://vt.tiktok.com/ZSxhd35dw/</v>
      </c>
      <c r="M1781" s="470"/>
      <c r="N1781" s="471" t="str">
        <f>IFERROR(__xludf.DUMMYFUNCTION("""COMPUTED_VALUE"""),"https://vt.tiktok.com/ZSxHaJM2s/")</f>
        <v>https://vt.tiktok.com/ZSxHaJM2s/</v>
      </c>
      <c r="O1781" s="470"/>
      <c r="P1781" s="471" t="str">
        <f>IFERROR(__xludf.DUMMYFUNCTION("""COMPUTED_VALUE"""),"https://vt.tiktok.com/ZSxHaMdK3/")</f>
        <v>https://vt.tiktok.com/ZSxHaMdK3/</v>
      </c>
    </row>
    <row r="1782">
      <c r="A1782" s="282" t="str">
        <f>IFERROR(__xludf.DUMMYFUNCTION("""COMPUTED_VALUE"""),"MICRO")</f>
        <v>MICRO</v>
      </c>
      <c r="B1782" s="468" t="str">
        <f>IFERROR(__xludf.DUMMYFUNCTION("""COMPUTED_VALUE"""),"R_riska3")</f>
        <v>R_riska3</v>
      </c>
      <c r="C1782" s="283" t="str">
        <f>IFERROR(__xludf.DUMMYFUNCTION("""COMPUTED_VALUE"""),"https://www.tiktok.com/@R_riska3")</f>
        <v>https://www.tiktok.com/@R_riska3</v>
      </c>
      <c r="D1782" s="273"/>
      <c r="E1782" s="458">
        <f>IFERROR(__xludf.DUMMYFUNCTION("""COMPUTED_VALUE"""),0.0)</f>
        <v>0</v>
      </c>
      <c r="F1782" s="273">
        <f>IFERROR(__xludf.DUMMYFUNCTION("""COMPUTED_VALUE"""),2.0)</f>
        <v>2</v>
      </c>
      <c r="G1782" t="str">
        <f>IFERROR(__xludf.DUMMYFUNCTION("""COMPUTED_VALUE"""),"Sabun batang 1 Box ( 2 PCS )")</f>
        <v>Sabun batang 1 Box ( 2 PCS )</v>
      </c>
      <c r="H1782" s="469" t="str">
        <f>IFERROR(__xludf.DUMMYFUNCTION("""COMPUTED_VALUE"""),"Sampai")</f>
        <v>Sampai</v>
      </c>
      <c r="I1782" s="470" t="str">
        <f>IFERROR(__xludf.DUMMYFUNCTION("""COMPUTED_VALUE"""),"KIMME")</f>
        <v>KIMME</v>
      </c>
      <c r="J1782" s="471" t="str">
        <f>IFERROR(__xludf.DUMMYFUNCTION("""COMPUTED_VALUE"""),"https://vt.tiktok.com/ZSxhRNKvs/")</f>
        <v>https://vt.tiktok.com/ZSxhRNKvs/</v>
      </c>
      <c r="K1782" s="470" t="str">
        <f>IFERROR(__xludf.DUMMYFUNCTION("""COMPUTED_VALUE"""),"KIMME")</f>
        <v>KIMME</v>
      </c>
      <c r="L1782" s="471" t="str">
        <f>IFERROR(__xludf.DUMMYFUNCTION("""COMPUTED_VALUE"""),"https://vt.tiktok.com/ZSxhRLKLv/")</f>
        <v>https://vt.tiktok.com/ZSxhRLKLv/</v>
      </c>
      <c r="M1782" s="470"/>
      <c r="N1782" s="471" t="str">
        <f>IFERROR(__xludf.DUMMYFUNCTION("""COMPUTED_VALUE"""),"https://vt.tiktok.com/ZSxH5cNfS/")</f>
        <v>https://vt.tiktok.com/ZSxH5cNfS/</v>
      </c>
      <c r="O1782" s="470"/>
      <c r="P1782" s="471" t="str">
        <f>IFERROR(__xludf.DUMMYFUNCTION("""COMPUTED_VALUE"""),"https://vt.tiktok.com/ZSxHaNm6C/")</f>
        <v>https://vt.tiktok.com/ZSxHaNm6C/</v>
      </c>
    </row>
    <row r="1783">
      <c r="A1783" s="282" t="str">
        <f>IFERROR(__xludf.DUMMYFUNCTION("""COMPUTED_VALUE"""),"MICRO")</f>
        <v>MICRO</v>
      </c>
      <c r="B1783" s="468" t="str">
        <f>IFERROR(__xludf.DUMMYFUNCTION("""COMPUTED_VALUE"""),"Sikffh")</f>
        <v>Sikffh</v>
      </c>
      <c r="C1783" s="283" t="str">
        <f>IFERROR(__xludf.DUMMYFUNCTION("""COMPUTED_VALUE"""),"https://www.tiktok.com/@Sikffh")</f>
        <v>https://www.tiktok.com/@Sikffh</v>
      </c>
      <c r="D1783" s="273"/>
      <c r="E1783" s="458">
        <f>IFERROR(__xludf.DUMMYFUNCTION("""COMPUTED_VALUE"""),0.0)</f>
        <v>0</v>
      </c>
      <c r="F1783" s="273">
        <f>IFERROR(__xludf.DUMMYFUNCTION("""COMPUTED_VALUE"""),2.0)</f>
        <v>2</v>
      </c>
      <c r="G1783" t="str">
        <f>IFERROR(__xludf.DUMMYFUNCTION("""COMPUTED_VALUE"""),"Sabun batang 1 Box ( 2 PCS )")</f>
        <v>Sabun batang 1 Box ( 2 PCS )</v>
      </c>
      <c r="H1783" s="469" t="str">
        <f>IFERROR(__xludf.DUMMYFUNCTION("""COMPUTED_VALUE"""),"Sampai")</f>
        <v>Sampai</v>
      </c>
      <c r="I1783" s="470" t="str">
        <f>IFERROR(__xludf.DUMMYFUNCTION("""COMPUTED_VALUE"""),"KIMME")</f>
        <v>KIMME</v>
      </c>
      <c r="J1783" s="471" t="str">
        <f>IFERROR(__xludf.DUMMYFUNCTION("""COMPUTED_VALUE"""),"https://vt.tiktok.com/ZSxhRYXP9/")</f>
        <v>https://vt.tiktok.com/ZSxhRYXP9/</v>
      </c>
      <c r="K1783" s="470" t="str">
        <f>IFERROR(__xludf.DUMMYFUNCTION("""COMPUTED_VALUE"""),"KIMME")</f>
        <v>KIMME</v>
      </c>
      <c r="L1783" s="471" t="str">
        <f>IFERROR(__xludf.DUMMYFUNCTION("""COMPUTED_VALUE"""),"https://vt.tiktok.com/ZSxhRLJSX/")</f>
        <v>https://vt.tiktok.com/ZSxhRLJSX/</v>
      </c>
      <c r="M1783" s="470"/>
      <c r="N1783" s="471" t="str">
        <f>IFERROR(__xludf.DUMMYFUNCTION("""COMPUTED_VALUE"""),"https://vt.tiktok.com/ZSxH5KwrJ/")</f>
        <v>https://vt.tiktok.com/ZSxH5KwrJ/</v>
      </c>
      <c r="O1783" s="470"/>
      <c r="P1783" s="471" t="str">
        <f>IFERROR(__xludf.DUMMYFUNCTION("""COMPUTED_VALUE"""),"https://vt.tiktok.com/ZSxHa18ee/")</f>
        <v>https://vt.tiktok.com/ZSxHa18ee/</v>
      </c>
    </row>
    <row r="1784">
      <c r="A1784" s="282" t="str">
        <f>IFERROR(__xludf.DUMMYFUNCTION("""COMPUTED_VALUE"""),"MICRO")</f>
        <v>MICRO</v>
      </c>
      <c r="B1784" s="468" t="str">
        <f>IFERROR(__xludf.DUMMYFUNCTION("""COMPUTED_VALUE"""),"Nadienyulistiani99 ")</f>
        <v>Nadienyulistiani99 </v>
      </c>
      <c r="C1784" s="283" t="str">
        <f>IFERROR(__xludf.DUMMYFUNCTION("""COMPUTED_VALUE"""),"https://www.tiktok.com/@Nadienyulistiani99 ")</f>
        <v>https://www.tiktok.com/@Nadienyulistiani99 </v>
      </c>
      <c r="D1784" s="273"/>
      <c r="E1784" s="458">
        <f>IFERROR(__xludf.DUMMYFUNCTION("""COMPUTED_VALUE"""),0.0)</f>
        <v>0</v>
      </c>
      <c r="F1784" s="273">
        <f>IFERROR(__xludf.DUMMYFUNCTION("""COMPUTED_VALUE"""),2.0)</f>
        <v>2</v>
      </c>
      <c r="G1784" t="str">
        <f>IFERROR(__xludf.DUMMYFUNCTION("""COMPUTED_VALUE"""),"Sabun batang 1 Box ( 2 PCS )")</f>
        <v>Sabun batang 1 Box ( 2 PCS )</v>
      </c>
      <c r="H1784" s="469" t="str">
        <f>IFERROR(__xludf.DUMMYFUNCTION("""COMPUTED_VALUE"""),"Sampai")</f>
        <v>Sampai</v>
      </c>
      <c r="I1784" s="470" t="str">
        <f>IFERROR(__xludf.DUMMYFUNCTION("""COMPUTED_VALUE"""),"KIMME")</f>
        <v>KIMME</v>
      </c>
      <c r="J1784" s="471" t="str">
        <f>IFERROR(__xludf.DUMMYFUNCTION("""COMPUTED_VALUE"""),"https://vt.tiktok.com/ZSxhdcyTF/")</f>
        <v>https://vt.tiktok.com/ZSxhdcyTF/</v>
      </c>
      <c r="K1784" s="470" t="str">
        <f>IFERROR(__xludf.DUMMYFUNCTION("""COMPUTED_VALUE"""),"KIMME")</f>
        <v>KIMME</v>
      </c>
      <c r="L1784" s="471" t="str">
        <f>IFERROR(__xludf.DUMMYFUNCTION("""COMPUTED_VALUE"""),"https://vt.tiktok.com/ZSxhd37MK/")</f>
        <v>https://vt.tiktok.com/ZSxhd37MK/</v>
      </c>
      <c r="M1784" s="470"/>
      <c r="N1784" s="471" t="str">
        <f>IFERROR(__xludf.DUMMYFUNCTION("""COMPUTED_VALUE"""),"https://vt.tiktok.com/ZSxH5v2a5/")</f>
        <v>https://vt.tiktok.com/ZSxH5v2a5/</v>
      </c>
      <c r="O1784" s="470"/>
      <c r="P1784" s="471" t="str">
        <f>IFERROR(__xludf.DUMMYFUNCTION("""COMPUTED_VALUE"""),"https://vt.tiktok.com/ZSxHaYjWQ/")</f>
        <v>https://vt.tiktok.com/ZSxHaYjWQ/</v>
      </c>
    </row>
    <row r="1785">
      <c r="A1785" s="282" t="str">
        <f>IFERROR(__xludf.DUMMYFUNCTION("""COMPUTED_VALUE"""),"MICRO")</f>
        <v>MICRO</v>
      </c>
      <c r="B1785" s="468" t="str">
        <f>IFERROR(__xludf.DUMMYFUNCTION("""COMPUTED_VALUE"""),"by.asviaaa")</f>
        <v>by.asviaaa</v>
      </c>
      <c r="C1785" s="283" t="str">
        <f>IFERROR(__xludf.DUMMYFUNCTION("""COMPUTED_VALUE"""),"https://www.tiktok.com/@by.asviaaa")</f>
        <v>https://www.tiktok.com/@by.asviaaa</v>
      </c>
      <c r="D1785" s="273"/>
      <c r="E1785" s="458">
        <f>IFERROR(__xludf.DUMMYFUNCTION("""COMPUTED_VALUE"""),0.0)</f>
        <v>0</v>
      </c>
      <c r="F1785" s="273">
        <f>IFERROR(__xludf.DUMMYFUNCTION("""COMPUTED_VALUE"""),2.0)</f>
        <v>2</v>
      </c>
      <c r="G1785" t="str">
        <f>IFERROR(__xludf.DUMMYFUNCTION("""COMPUTED_VALUE"""),"Sabun batang 1 Box ( 2 PCS )")</f>
        <v>Sabun batang 1 Box ( 2 PCS )</v>
      </c>
      <c r="H1785" s="469" t="str">
        <f>IFERROR(__xludf.DUMMYFUNCTION("""COMPUTED_VALUE"""),"Sampai")</f>
        <v>Sampai</v>
      </c>
      <c r="I1785" s="470" t="str">
        <f>IFERROR(__xludf.DUMMYFUNCTION("""COMPUTED_VALUE"""),"KIMME")</f>
        <v>KIMME</v>
      </c>
      <c r="J1785" s="471" t="str">
        <f>IFERROR(__xludf.DUMMYFUNCTION("""COMPUTED_VALUE"""),"https://vt.tiktok.com/ZSxhRU24S/")</f>
        <v>https://vt.tiktok.com/ZSxhRU24S/</v>
      </c>
      <c r="K1785" s="470" t="str">
        <f>IFERROR(__xludf.DUMMYFUNCTION("""COMPUTED_VALUE"""),"KIMME")</f>
        <v>KIMME</v>
      </c>
      <c r="L1785" s="471" t="str">
        <f>IFERROR(__xludf.DUMMYFUNCTION("""COMPUTED_VALUE"""),"https://vt.tiktok.com/ZSxhRySxD/")</f>
        <v>https://vt.tiktok.com/ZSxhRySxD/</v>
      </c>
      <c r="M1785" s="470"/>
      <c r="N1785" s="471" t="str">
        <f>IFERROR(__xludf.DUMMYFUNCTION("""COMPUTED_VALUE"""),"https://vt.tiktok.com/ZSxHa2FVw/")</f>
        <v>https://vt.tiktok.com/ZSxHa2FVw/</v>
      </c>
      <c r="O1785" s="470"/>
      <c r="P1785" s="471" t="str">
        <f>IFERROR(__xludf.DUMMYFUNCTION("""COMPUTED_VALUE"""),"https://vt.tiktok.com/ZSxH5wHPB/")</f>
        <v>https://vt.tiktok.com/ZSxH5wHPB/</v>
      </c>
    </row>
    <row r="1786">
      <c r="A1786" s="282" t="str">
        <f>IFERROR(__xludf.DUMMYFUNCTION("""COMPUTED_VALUE"""),"MICRO")</f>
        <v>MICRO</v>
      </c>
      <c r="B1786" s="468" t="str">
        <f>IFERROR(__xludf.DUMMYFUNCTION("""COMPUTED_VALUE"""),"nurulaini280902")</f>
        <v>nurulaini280902</v>
      </c>
      <c r="C1786" s="283" t="str">
        <f>IFERROR(__xludf.DUMMYFUNCTION("""COMPUTED_VALUE"""),"https://www.tiktok.com/@nurulaini280902")</f>
        <v>https://www.tiktok.com/@nurulaini280902</v>
      </c>
      <c r="D1786" s="273"/>
      <c r="E1786" s="458">
        <f>IFERROR(__xludf.DUMMYFUNCTION("""COMPUTED_VALUE"""),0.0)</f>
        <v>0</v>
      </c>
      <c r="F1786" s="273">
        <f>IFERROR(__xludf.DUMMYFUNCTION("""COMPUTED_VALUE"""),2.0)</f>
        <v>2</v>
      </c>
      <c r="G1786" t="str">
        <f>IFERROR(__xludf.DUMMYFUNCTION("""COMPUTED_VALUE"""),"Sabun batang 1 Box ( 2 PCS )")</f>
        <v>Sabun batang 1 Box ( 2 PCS )</v>
      </c>
      <c r="H1786" s="469" t="str">
        <f>IFERROR(__xludf.DUMMYFUNCTION("""COMPUTED_VALUE"""),"Sampai")</f>
        <v>Sampai</v>
      </c>
      <c r="I1786" s="470" t="str">
        <f>IFERROR(__xludf.DUMMYFUNCTION("""COMPUTED_VALUE"""),"KIMME")</f>
        <v>KIMME</v>
      </c>
      <c r="J1786" s="471" t="str">
        <f>IFERROR(__xludf.DUMMYFUNCTION("""COMPUTED_VALUE"""),"https://vt.tiktok.com/ZSxkwPP7H/")</f>
        <v>https://vt.tiktok.com/ZSxkwPP7H/</v>
      </c>
      <c r="K1786" s="470" t="str">
        <f>IFERROR(__xludf.DUMMYFUNCTION("""COMPUTED_VALUE"""),"KIMME")</f>
        <v>KIMME</v>
      </c>
      <c r="L1786" s="471" t="str">
        <f>IFERROR(__xludf.DUMMYFUNCTION("""COMPUTED_VALUE"""),"https://vt.tiktok.com/ZSxkw53mD/")</f>
        <v>https://vt.tiktok.com/ZSxkw53mD/</v>
      </c>
      <c r="M1786" s="470"/>
      <c r="N1786" s="471" t="str">
        <f>IFERROR(__xludf.DUMMYFUNCTION("""COMPUTED_VALUE"""),"https://vt.tiktok.com/ZSxH5W6r2/")</f>
        <v>https://vt.tiktok.com/ZSxH5W6r2/</v>
      </c>
      <c r="O1786" s="470"/>
      <c r="P1786" s="471" t="str">
        <f>IFERROR(__xludf.DUMMYFUNCTION("""COMPUTED_VALUE"""),"https://vt.tiktok.com/ZSxHaNG2B/")</f>
        <v>https://vt.tiktok.com/ZSxHaNG2B/</v>
      </c>
    </row>
    <row r="1787">
      <c r="A1787" s="282" t="str">
        <f>IFERROR(__xludf.DUMMYFUNCTION("""COMPUTED_VALUE"""),"MICRO")</f>
        <v>MICRO</v>
      </c>
      <c r="B1787" s="468" t="str">
        <f>IFERROR(__xludf.DUMMYFUNCTION("""COMPUTED_VALUE"""),"Klikszaa22 ")</f>
        <v>Klikszaa22 </v>
      </c>
      <c r="C1787" s="283" t="str">
        <f>IFERROR(__xludf.DUMMYFUNCTION("""COMPUTED_VALUE"""),"https://www.tiktok.com/@Klikszaa22 ")</f>
        <v>https://www.tiktok.com/@Klikszaa22 </v>
      </c>
      <c r="D1787" s="273"/>
      <c r="E1787" s="458">
        <f>IFERROR(__xludf.DUMMYFUNCTION("""COMPUTED_VALUE"""),0.0)</f>
        <v>0</v>
      </c>
      <c r="F1787" s="273">
        <f>IFERROR(__xludf.DUMMYFUNCTION("""COMPUTED_VALUE"""),2.0)</f>
        <v>2</v>
      </c>
      <c r="G1787" t="str">
        <f>IFERROR(__xludf.DUMMYFUNCTION("""COMPUTED_VALUE"""),"Sabun batang 1 Box ( 2 PCS )")</f>
        <v>Sabun batang 1 Box ( 2 PCS )</v>
      </c>
      <c r="H1787" s="469" t="str">
        <f>IFERROR(__xludf.DUMMYFUNCTION("""COMPUTED_VALUE"""),"Sampai")</f>
        <v>Sampai</v>
      </c>
      <c r="I1787" s="470" t="str">
        <f>IFERROR(__xludf.DUMMYFUNCTION("""COMPUTED_VALUE"""),"KIMME")</f>
        <v>KIMME</v>
      </c>
      <c r="J1787" s="471" t="str">
        <f>IFERROR(__xludf.DUMMYFUNCTION("""COMPUTED_VALUE"""),"https://vt.tiktok.com/ZSxkwQdMm/")</f>
        <v>https://vt.tiktok.com/ZSxkwQdMm/</v>
      </c>
      <c r="K1787" s="470" t="str">
        <f>IFERROR(__xludf.DUMMYFUNCTION("""COMPUTED_VALUE"""),"KIMME")</f>
        <v>KIMME</v>
      </c>
      <c r="L1787" s="471" t="str">
        <f>IFERROR(__xludf.DUMMYFUNCTION("""COMPUTED_VALUE"""),"https://vt.tiktok.com/ZSxkwmXmH/")</f>
        <v>https://vt.tiktok.com/ZSxkwmXmH/</v>
      </c>
      <c r="M1787" s="470"/>
      <c r="N1787" s="471" t="str">
        <f>IFERROR(__xludf.DUMMYFUNCTION("""COMPUTED_VALUE"""),"https://vt.tiktok.com/ZSxH5wMax/")</f>
        <v>https://vt.tiktok.com/ZSxH5wMax/</v>
      </c>
      <c r="O1787" s="470"/>
      <c r="P1787" s="471" t="str">
        <f>IFERROR(__xludf.DUMMYFUNCTION("""COMPUTED_VALUE"""),"https://vt.tiktok.com/ZSxH5TFfk/")</f>
        <v>https://vt.tiktok.com/ZSxH5TFfk/</v>
      </c>
    </row>
    <row r="1788">
      <c r="A1788" s="282" t="str">
        <f>IFERROR(__xludf.DUMMYFUNCTION("""COMPUTED_VALUE"""),"MICRO")</f>
        <v>MICRO</v>
      </c>
      <c r="B1788" s="468" t="str">
        <f>IFERROR(__xludf.DUMMYFUNCTION("""COMPUTED_VALUE"""),"vanyasatuu ")</f>
        <v>vanyasatuu </v>
      </c>
      <c r="C1788" s="283" t="str">
        <f>IFERROR(__xludf.DUMMYFUNCTION("""COMPUTED_VALUE"""),"https://www.tiktok.com/@vanyasatuu ")</f>
        <v>https://www.tiktok.com/@vanyasatuu </v>
      </c>
      <c r="D1788" s="273"/>
      <c r="E1788" s="458">
        <f>IFERROR(__xludf.DUMMYFUNCTION("""COMPUTED_VALUE"""),0.0)</f>
        <v>0</v>
      </c>
      <c r="F1788" s="273">
        <f>IFERROR(__xludf.DUMMYFUNCTION("""COMPUTED_VALUE"""),2.0)</f>
        <v>2</v>
      </c>
      <c r="G1788" t="str">
        <f>IFERROR(__xludf.DUMMYFUNCTION("""COMPUTED_VALUE"""),"Sabun batang 1 Box ( 2 PCS )")</f>
        <v>Sabun batang 1 Box ( 2 PCS )</v>
      </c>
      <c r="H1788" s="469" t="str">
        <f>IFERROR(__xludf.DUMMYFUNCTION("""COMPUTED_VALUE"""),"Sampai")</f>
        <v>Sampai</v>
      </c>
      <c r="I1788" s="470" t="str">
        <f>IFERROR(__xludf.DUMMYFUNCTION("""COMPUTED_VALUE"""),"KIMME")</f>
        <v>KIMME</v>
      </c>
      <c r="J1788" s="471" t="str">
        <f>IFERROR(__xludf.DUMMYFUNCTION("""COMPUTED_VALUE"""),"https://vt.tiktok.com/ZSxkwqg95/")</f>
        <v>https://vt.tiktok.com/ZSxkwqg95/</v>
      </c>
      <c r="K1788" s="470" t="str">
        <f>IFERROR(__xludf.DUMMYFUNCTION("""COMPUTED_VALUE"""),"KIMME")</f>
        <v>KIMME</v>
      </c>
      <c r="L1788" s="471" t="str">
        <f>IFERROR(__xludf.DUMMYFUNCTION("""COMPUTED_VALUE"""),"https://vt.tiktok.com/ZSxkwnsVu/")</f>
        <v>https://vt.tiktok.com/ZSxkwnsVu/</v>
      </c>
      <c r="M1788" s="470"/>
      <c r="N1788" s="471" t="str">
        <f>IFERROR(__xludf.DUMMYFUNCTION("""COMPUTED_VALUE"""),"https://vt.tiktok.com/ZSxHajme1/")</f>
        <v>https://vt.tiktok.com/ZSxHajme1/</v>
      </c>
      <c r="O1788" s="470"/>
      <c r="P1788" s="471" t="str">
        <f>IFERROR(__xludf.DUMMYFUNCTION("""COMPUTED_VALUE"""),"https://vt.tiktok.com/ZSxHa8ApF/")</f>
        <v>https://vt.tiktok.com/ZSxHa8ApF/</v>
      </c>
    </row>
    <row r="1789">
      <c r="A1789" s="282" t="str">
        <f>IFERROR(__xludf.DUMMYFUNCTION("""COMPUTED_VALUE"""),"MICRO")</f>
        <v>MICRO</v>
      </c>
      <c r="B1789" s="468" t="str">
        <f>IFERROR(__xludf.DUMMYFUNCTION("""COMPUTED_VALUE"""),"winaseptiani_24")</f>
        <v>winaseptiani_24</v>
      </c>
      <c r="C1789" s="283" t="str">
        <f>IFERROR(__xludf.DUMMYFUNCTION("""COMPUTED_VALUE"""),"https://www.tiktok.com/@winaseptiani_24")</f>
        <v>https://www.tiktok.com/@winaseptiani_24</v>
      </c>
      <c r="D1789" s="273"/>
      <c r="E1789" s="458">
        <f>IFERROR(__xludf.DUMMYFUNCTION("""COMPUTED_VALUE"""),0.0)</f>
        <v>0</v>
      </c>
      <c r="F1789" s="273">
        <f>IFERROR(__xludf.DUMMYFUNCTION("""COMPUTED_VALUE"""),2.0)</f>
        <v>2</v>
      </c>
      <c r="G1789" t="str">
        <f>IFERROR(__xludf.DUMMYFUNCTION("""COMPUTED_VALUE"""),"Sabun batang 1 Box ( 2 PCS )")</f>
        <v>Sabun batang 1 Box ( 2 PCS )</v>
      </c>
      <c r="H1789" s="469" t="str">
        <f>IFERROR(__xludf.DUMMYFUNCTION("""COMPUTED_VALUE"""),"Sampai")</f>
        <v>Sampai</v>
      </c>
      <c r="I1789" s="470" t="str">
        <f>IFERROR(__xludf.DUMMYFUNCTION("""COMPUTED_VALUE"""),"KIMME")</f>
        <v>KIMME</v>
      </c>
      <c r="J1789" s="471" t="str">
        <f>IFERROR(__xludf.DUMMYFUNCTION("""COMPUTED_VALUE"""),"https://vt.tiktok.com/ZSxkwcN4T/")</f>
        <v>https://vt.tiktok.com/ZSxkwcN4T/</v>
      </c>
      <c r="K1789" s="470" t="str">
        <f>IFERROR(__xludf.DUMMYFUNCTION("""COMPUTED_VALUE"""),"KIMME")</f>
        <v>KIMME</v>
      </c>
      <c r="L1789" s="471" t="str">
        <f>IFERROR(__xludf.DUMMYFUNCTION("""COMPUTED_VALUE"""),"https://vt.tiktok.com/ZSxkKNy8f/")</f>
        <v>https://vt.tiktok.com/ZSxkKNy8f/</v>
      </c>
      <c r="M1789" s="470"/>
      <c r="N1789" s="471" t="str">
        <f>IFERROR(__xludf.DUMMYFUNCTION("""COMPUTED_VALUE"""),"https://vt.tiktok.com/ZSxH5WSHC/")</f>
        <v>https://vt.tiktok.com/ZSxH5WSHC/</v>
      </c>
      <c r="O1789" s="470"/>
      <c r="P1789" s="471" t="str">
        <f>IFERROR(__xludf.DUMMYFUNCTION("""COMPUTED_VALUE"""),"https://vt.tiktok.com/ZSxH5WYbA/")</f>
        <v>https://vt.tiktok.com/ZSxH5WYbA/</v>
      </c>
    </row>
    <row r="1790">
      <c r="A1790" s="282" t="str">
        <f>IFERROR(__xludf.DUMMYFUNCTION("""COMPUTED_VALUE"""),"MICRO")</f>
        <v>MICRO</v>
      </c>
      <c r="B1790" s="468" t="str">
        <f>IFERROR(__xludf.DUMMYFUNCTION("""COMPUTED_VALUE"""),"Rifdahfirj")</f>
        <v>Rifdahfirj</v>
      </c>
      <c r="C1790" s="283" t="str">
        <f>IFERROR(__xludf.DUMMYFUNCTION("""COMPUTED_VALUE"""),"https://www.tiktok.com/@Rifdahfirj")</f>
        <v>https://www.tiktok.com/@Rifdahfirj</v>
      </c>
      <c r="D1790" s="273"/>
      <c r="E1790" s="458">
        <f>IFERROR(__xludf.DUMMYFUNCTION("""COMPUTED_VALUE"""),0.0)</f>
        <v>0</v>
      </c>
      <c r="F1790" s="273">
        <f>IFERROR(__xludf.DUMMYFUNCTION("""COMPUTED_VALUE"""),2.0)</f>
        <v>2</v>
      </c>
      <c r="G1790" t="str">
        <f>IFERROR(__xludf.DUMMYFUNCTION("""COMPUTED_VALUE"""),"Sabun batang 1 Box ( 2 PCS )")</f>
        <v>Sabun batang 1 Box ( 2 PCS )</v>
      </c>
      <c r="H1790" s="469" t="str">
        <f>IFERROR(__xludf.DUMMYFUNCTION("""COMPUTED_VALUE"""),"Sampai")</f>
        <v>Sampai</v>
      </c>
      <c r="I1790" s="470" t="str">
        <f>IFERROR(__xludf.DUMMYFUNCTION("""COMPUTED_VALUE"""),"KIMME")</f>
        <v>KIMME</v>
      </c>
      <c r="J1790" s="471" t="str">
        <f>IFERROR(__xludf.DUMMYFUNCTION("""COMPUTED_VALUE"""),"https://vt.tiktok.com/ZSxyNu88Y/")</f>
        <v>https://vt.tiktok.com/ZSxyNu88Y/</v>
      </c>
      <c r="K1790" s="470" t="str">
        <f>IFERROR(__xludf.DUMMYFUNCTION("""COMPUTED_VALUE"""),"KIMME")</f>
        <v>KIMME</v>
      </c>
      <c r="L1790" s="471" t="str">
        <f>IFERROR(__xludf.DUMMYFUNCTION("""COMPUTED_VALUE"""),"https://vt.tiktok.com/ZSxyNcHmw/")</f>
        <v>https://vt.tiktok.com/ZSxyNcHmw/</v>
      </c>
      <c r="M1790" s="470"/>
      <c r="N1790" s="471" t="str">
        <f>IFERROR(__xludf.DUMMYFUNCTION("""COMPUTED_VALUE"""),"https://vt.tiktok.com/ZSxHajx72/")</f>
        <v>https://vt.tiktok.com/ZSxHajx72/</v>
      </c>
      <c r="O1790" s="470"/>
      <c r="P1790" s="471" t="str">
        <f>IFERROR(__xludf.DUMMYFUNCTION("""COMPUTED_VALUE"""),"https://vt.tiktok.com/ZSxH5EJWb/")</f>
        <v>https://vt.tiktok.com/ZSxH5EJWb/</v>
      </c>
    </row>
    <row r="1791">
      <c r="A1791" s="282" t="str">
        <f>IFERROR(__xludf.DUMMYFUNCTION("""COMPUTED_VALUE"""),"MICRO")</f>
        <v>MICRO</v>
      </c>
      <c r="B1791" s="468" t="str">
        <f>IFERROR(__xludf.DUMMYFUNCTION("""COMPUTED_VALUE"""),"Kopiiiluakk")</f>
        <v>Kopiiiluakk</v>
      </c>
      <c r="C1791" s="283" t="str">
        <f>IFERROR(__xludf.DUMMYFUNCTION("""COMPUTED_VALUE"""),"https://www.tiktok.com/@Kopiiiluakk")</f>
        <v>https://www.tiktok.com/@Kopiiiluakk</v>
      </c>
      <c r="D1791" s="273"/>
      <c r="E1791" s="458">
        <f>IFERROR(__xludf.DUMMYFUNCTION("""COMPUTED_VALUE"""),0.0)</f>
        <v>0</v>
      </c>
      <c r="F1791" s="273">
        <f>IFERROR(__xludf.DUMMYFUNCTION("""COMPUTED_VALUE"""),2.0)</f>
        <v>2</v>
      </c>
      <c r="G1791" t="str">
        <f>IFERROR(__xludf.DUMMYFUNCTION("""COMPUTED_VALUE"""),"Sabun batang 1 Box ( 2 PCS )")</f>
        <v>Sabun batang 1 Box ( 2 PCS )</v>
      </c>
      <c r="H1791" s="469" t="str">
        <f>IFERROR(__xludf.DUMMYFUNCTION("""COMPUTED_VALUE"""),"Sampai")</f>
        <v>Sampai</v>
      </c>
      <c r="I1791" s="470" t="str">
        <f>IFERROR(__xludf.DUMMYFUNCTION("""COMPUTED_VALUE"""),"KIMME")</f>
        <v>KIMME</v>
      </c>
      <c r="J1791" s="471" t="str">
        <f>IFERROR(__xludf.DUMMYFUNCTION("""COMPUTED_VALUE"""),"https://vt.tiktok.com/ZSxyNsxaf/")</f>
        <v>https://vt.tiktok.com/ZSxyNsxaf/</v>
      </c>
      <c r="K1791" s="470" t="str">
        <f>IFERROR(__xludf.DUMMYFUNCTION("""COMPUTED_VALUE"""),"KIMME")</f>
        <v>KIMME</v>
      </c>
      <c r="L1791" s="471" t="str">
        <f>IFERROR(__xludf.DUMMYFUNCTION("""COMPUTED_VALUE"""),"https://vt.tiktok.com/ZSxyNWmgV/")</f>
        <v>https://vt.tiktok.com/ZSxyNWmgV/</v>
      </c>
      <c r="M1791" s="470"/>
      <c r="N1791" s="471" t="str">
        <f>IFERROR(__xludf.DUMMYFUNCTION("""COMPUTED_VALUE"""),"https://vt.tiktok.com/ZSxHaYstx/")</f>
        <v>https://vt.tiktok.com/ZSxHaYstx/</v>
      </c>
      <c r="O1791" s="470"/>
      <c r="P1791" s="471" t="str">
        <f>IFERROR(__xludf.DUMMYFUNCTION("""COMPUTED_VALUE"""),"https://vt.tiktok.com/ZSxH5TVG8/")</f>
        <v>https://vt.tiktok.com/ZSxH5TVG8/</v>
      </c>
    </row>
    <row r="1792">
      <c r="A1792" s="282" t="str">
        <f>IFERROR(__xludf.DUMMYFUNCTION("""COMPUTED_VALUE"""),"MICRO")</f>
        <v>MICRO</v>
      </c>
      <c r="B1792" s="468" t="str">
        <f>IFERROR(__xludf.DUMMYFUNCTION("""COMPUTED_VALUE"""),"alfashopseller ")</f>
        <v>alfashopseller </v>
      </c>
      <c r="C1792" s="283" t="str">
        <f>IFERROR(__xludf.DUMMYFUNCTION("""COMPUTED_VALUE"""),"https://www.tiktok.com/@alfashopseller ")</f>
        <v>https://www.tiktok.com/@alfashopseller </v>
      </c>
      <c r="D1792" s="273"/>
      <c r="E1792" s="458">
        <f>IFERROR(__xludf.DUMMYFUNCTION("""COMPUTED_VALUE"""),0.0)</f>
        <v>0</v>
      </c>
      <c r="F1792" s="273">
        <f>IFERROR(__xludf.DUMMYFUNCTION("""COMPUTED_VALUE"""),2.0)</f>
        <v>2</v>
      </c>
      <c r="G1792" t="str">
        <f>IFERROR(__xludf.DUMMYFUNCTION("""COMPUTED_VALUE"""),"Sabun batang 1 Box ( 2 PCS )")</f>
        <v>Sabun batang 1 Box ( 2 PCS )</v>
      </c>
      <c r="H1792" s="469" t="str">
        <f>IFERROR(__xludf.DUMMYFUNCTION("""COMPUTED_VALUE"""),"Sampai")</f>
        <v>Sampai</v>
      </c>
      <c r="I1792" s="470" t="str">
        <f>IFERROR(__xludf.DUMMYFUNCTION("""COMPUTED_VALUE"""),"KIMME")</f>
        <v>KIMME</v>
      </c>
      <c r="J1792" s="471" t="str">
        <f>IFERROR(__xludf.DUMMYFUNCTION("""COMPUTED_VALUE"""),"https://vt.tiktok.com/ZSxyYGauG/")</f>
        <v>https://vt.tiktok.com/ZSxyYGauG/</v>
      </c>
      <c r="K1792" s="470" t="str">
        <f>IFERROR(__xludf.DUMMYFUNCTION("""COMPUTED_VALUE"""),"KIMME")</f>
        <v>KIMME</v>
      </c>
      <c r="L1792" s="471" t="str">
        <f>IFERROR(__xludf.DUMMYFUNCTION("""COMPUTED_VALUE"""),"https://vt.tiktok.com/ZSxy28Vek/")</f>
        <v>https://vt.tiktok.com/ZSxy28Vek/</v>
      </c>
      <c r="M1792" s="470"/>
      <c r="N1792" s="471" t="str">
        <f>IFERROR(__xludf.DUMMYFUNCTION("""COMPUTED_VALUE"""),"https://vt.tiktok.com/ZSxH5vwWL/")</f>
        <v>https://vt.tiktok.com/ZSxH5vwWL/</v>
      </c>
      <c r="O1792" s="470"/>
      <c r="P1792" s="471" t="str">
        <f>IFERROR(__xludf.DUMMYFUNCTION("""COMPUTED_VALUE"""),"https://vt.tiktok.com/ZSxH5tY6X/")</f>
        <v>https://vt.tiktok.com/ZSxH5tY6X/</v>
      </c>
    </row>
    <row r="1793">
      <c r="A1793" s="282" t="str">
        <f>IFERROR(__xludf.DUMMYFUNCTION("""COMPUTED_VALUE"""),"MICRO")</f>
        <v>MICRO</v>
      </c>
      <c r="B1793" s="468" t="str">
        <f>IFERROR(__xludf.DUMMYFUNCTION("""COMPUTED_VALUE"""),"tokomuu4")</f>
        <v>tokomuu4</v>
      </c>
      <c r="C1793" s="283" t="str">
        <f>IFERROR(__xludf.DUMMYFUNCTION("""COMPUTED_VALUE"""),"https://www.tiktok.com/@tokomuu4")</f>
        <v>https://www.tiktok.com/@tokomuu4</v>
      </c>
      <c r="D1793" s="273"/>
      <c r="E1793" s="458">
        <f>IFERROR(__xludf.DUMMYFUNCTION("""COMPUTED_VALUE"""),0.0)</f>
        <v>0</v>
      </c>
      <c r="F1793" s="273">
        <f>IFERROR(__xludf.DUMMYFUNCTION("""COMPUTED_VALUE"""),2.0)</f>
        <v>2</v>
      </c>
      <c r="G1793" t="str">
        <f>IFERROR(__xludf.DUMMYFUNCTION("""COMPUTED_VALUE"""),"Sabun batang 1 Box ( 2 PCS )")</f>
        <v>Sabun batang 1 Box ( 2 PCS )</v>
      </c>
      <c r="H1793" s="469" t="str">
        <f>IFERROR(__xludf.DUMMYFUNCTION("""COMPUTED_VALUE"""),"Sampai")</f>
        <v>Sampai</v>
      </c>
      <c r="I1793" s="470" t="str">
        <f>IFERROR(__xludf.DUMMYFUNCTION("""COMPUTED_VALUE"""),"KIMME")</f>
        <v>KIMME</v>
      </c>
      <c r="J1793" s="471" t="str">
        <f>IFERROR(__xludf.DUMMYFUNCTION("""COMPUTED_VALUE"""),"https://vt.tiktok.com/ZSxy2Sc7g/")</f>
        <v>https://vt.tiktok.com/ZSxy2Sc7g/</v>
      </c>
      <c r="K1793" s="470" t="str">
        <f>IFERROR(__xludf.DUMMYFUNCTION("""COMPUTED_VALUE"""),"KIMME")</f>
        <v>KIMME</v>
      </c>
      <c r="L1793" s="471" t="str">
        <f>IFERROR(__xludf.DUMMYFUNCTION("""COMPUTED_VALUE"""),"https://vt.tiktok.com/ZSxy29LjS/")</f>
        <v>https://vt.tiktok.com/ZSxy29LjS/</v>
      </c>
      <c r="M1793" s="470"/>
      <c r="N1793" s="471" t="str">
        <f>IFERROR(__xludf.DUMMYFUNCTION("""COMPUTED_VALUE"""),"https://vt.tiktok.com/ZSxH5gcLJ/")</f>
        <v>https://vt.tiktok.com/ZSxH5gcLJ/</v>
      </c>
      <c r="O1793" s="470"/>
      <c r="P1793" s="471" t="str">
        <f>IFERROR(__xludf.DUMMYFUNCTION("""COMPUTED_VALUE"""),"https://vt.tiktok.com/ZSxH5QEyE/")</f>
        <v>https://vt.tiktok.com/ZSxH5QEyE/</v>
      </c>
    </row>
    <row r="1794">
      <c r="A1794" s="282" t="str">
        <f>IFERROR(__xludf.DUMMYFUNCTION("""COMPUTED_VALUE"""),"MICRO")</f>
        <v>MICRO</v>
      </c>
      <c r="B1794" s="468" t="str">
        <f>IFERROR(__xludf.DUMMYFUNCTION("""COMPUTED_VALUE"""),"hikari.ella_")</f>
        <v>hikari.ella_</v>
      </c>
      <c r="C1794" s="283" t="str">
        <f>IFERROR(__xludf.DUMMYFUNCTION("""COMPUTED_VALUE"""),"https://www.tiktok.com/@hikari.ella_")</f>
        <v>https://www.tiktok.com/@hikari.ella_</v>
      </c>
      <c r="D1794" s="273"/>
      <c r="E1794" s="458">
        <f>IFERROR(__xludf.DUMMYFUNCTION("""COMPUTED_VALUE"""),0.0)</f>
        <v>0</v>
      </c>
      <c r="F1794" s="273">
        <f>IFERROR(__xludf.DUMMYFUNCTION("""COMPUTED_VALUE"""),2.0)</f>
        <v>2</v>
      </c>
      <c r="G1794" t="str">
        <f>IFERROR(__xludf.DUMMYFUNCTION("""COMPUTED_VALUE"""),"Sabun batang 1 Box ( 2 PCS )")</f>
        <v>Sabun batang 1 Box ( 2 PCS )</v>
      </c>
      <c r="H1794" s="469" t="str">
        <f>IFERROR(__xludf.DUMMYFUNCTION("""COMPUTED_VALUE"""),"Sampai")</f>
        <v>Sampai</v>
      </c>
      <c r="I1794" s="470" t="str">
        <f>IFERROR(__xludf.DUMMYFUNCTION("""COMPUTED_VALUE"""),"KIMME")</f>
        <v>KIMME</v>
      </c>
      <c r="J1794" s="471" t="str">
        <f>IFERROR(__xludf.DUMMYFUNCTION("""COMPUTED_VALUE"""),"https://vt.tiktok.com/ZSxy2xanu/")</f>
        <v>https://vt.tiktok.com/ZSxy2xanu/</v>
      </c>
      <c r="K1794" s="470" t="str">
        <f>IFERROR(__xludf.DUMMYFUNCTION("""COMPUTED_VALUE"""),"KIMME")</f>
        <v>KIMME</v>
      </c>
      <c r="L1794" s="471" t="str">
        <f>IFERROR(__xludf.DUMMYFUNCTION("""COMPUTED_VALUE"""),"https://vt.tiktok.com/ZSxy2M8GP/")</f>
        <v>https://vt.tiktok.com/ZSxy2M8GP/</v>
      </c>
      <c r="M1794" s="470"/>
      <c r="N1794" s="471" t="str">
        <f>IFERROR(__xludf.DUMMYFUNCTION("""COMPUTED_VALUE"""),"https://vt.tiktok.com/ZSxH5xcnv/")</f>
        <v>https://vt.tiktok.com/ZSxH5xcnv/</v>
      </c>
      <c r="O1794" s="470"/>
      <c r="P1794" s="471" t="str">
        <f>IFERROR(__xludf.DUMMYFUNCTION("""COMPUTED_VALUE"""),"https://vt.tiktok.com/ZSxH5q8j4/")</f>
        <v>https://vt.tiktok.com/ZSxH5q8j4/</v>
      </c>
    </row>
    <row r="1795">
      <c r="A1795" s="282" t="str">
        <f>IFERROR(__xludf.DUMMYFUNCTION("""COMPUTED_VALUE"""),"MICRO")</f>
        <v>MICRO</v>
      </c>
      <c r="B1795" s="468" t="str">
        <f>IFERROR(__xludf.DUMMYFUNCTION("""COMPUTED_VALUE"""),"mamabakolkosmetik123")</f>
        <v>mamabakolkosmetik123</v>
      </c>
      <c r="C1795" s="283" t="str">
        <f>IFERROR(__xludf.DUMMYFUNCTION("""COMPUTED_VALUE"""),"https://www.tiktok.com/@mamabakolkosmetik123")</f>
        <v>https://www.tiktok.com/@mamabakolkosmetik123</v>
      </c>
      <c r="D1795" s="273"/>
      <c r="E1795" s="458">
        <f>IFERROR(__xludf.DUMMYFUNCTION("""COMPUTED_VALUE"""),0.0)</f>
        <v>0</v>
      </c>
      <c r="F1795" s="273">
        <f>IFERROR(__xludf.DUMMYFUNCTION("""COMPUTED_VALUE"""),2.0)</f>
        <v>2</v>
      </c>
      <c r="G1795" t="str">
        <f>IFERROR(__xludf.DUMMYFUNCTION("""COMPUTED_VALUE"""),"Sabun batang 1 Box ( 2 PCS )")</f>
        <v>Sabun batang 1 Box ( 2 PCS )</v>
      </c>
      <c r="H1795" s="469" t="str">
        <f>IFERROR(__xludf.DUMMYFUNCTION("""COMPUTED_VALUE"""),"Sampai")</f>
        <v>Sampai</v>
      </c>
      <c r="I1795" s="470" t="str">
        <f>IFERROR(__xludf.DUMMYFUNCTION("""COMPUTED_VALUE"""),"KIMME")</f>
        <v>KIMME</v>
      </c>
      <c r="J1795" s="471" t="str">
        <f>IFERROR(__xludf.DUMMYFUNCTION("""COMPUTED_VALUE"""),"https://vt.tiktok.com/ZSxy2HF47/")</f>
        <v>https://vt.tiktok.com/ZSxy2HF47/</v>
      </c>
      <c r="K1795" s="470" t="str">
        <f>IFERROR(__xludf.DUMMYFUNCTION("""COMPUTED_VALUE"""),"KIMME")</f>
        <v>KIMME</v>
      </c>
      <c r="L1795" s="471" t="str">
        <f>IFERROR(__xludf.DUMMYFUNCTION("""COMPUTED_VALUE"""),"https://vt.tiktok.com/ZSxy2Sd52/")</f>
        <v>https://vt.tiktok.com/ZSxy2Sd52/</v>
      </c>
      <c r="M1795" s="470"/>
      <c r="N1795" s="471" t="str">
        <f>IFERROR(__xludf.DUMMYFUNCTION("""COMPUTED_VALUE"""),"https://vt.tiktok.com/ZSxH5XhYn/")</f>
        <v>https://vt.tiktok.com/ZSxH5XhYn/</v>
      </c>
      <c r="O1795" s="470"/>
      <c r="P1795" s="471" t="str">
        <f>IFERROR(__xludf.DUMMYFUNCTION("""COMPUTED_VALUE"""),"https://vt.tiktok.com/ZSxH5snFU/")</f>
        <v>https://vt.tiktok.com/ZSxH5snFU/</v>
      </c>
    </row>
    <row r="1796">
      <c r="A1796" s="282" t="str">
        <f>IFERROR(__xludf.DUMMYFUNCTION("""COMPUTED_VALUE"""),"MICRO")</f>
        <v>MICRO</v>
      </c>
      <c r="B1796" s="468" t="str">
        <f>IFERROR(__xludf.DUMMYFUNCTION("""COMPUTED_VALUE"""),"Wulansipalingmakeup ")</f>
        <v>Wulansipalingmakeup </v>
      </c>
      <c r="C1796" s="283" t="str">
        <f>IFERROR(__xludf.DUMMYFUNCTION("""COMPUTED_VALUE"""),"https://www.tiktok.com/@Wulansipalingmakeup ")</f>
        <v>https://www.tiktok.com/@Wulansipalingmakeup </v>
      </c>
      <c r="D1796" s="273"/>
      <c r="E1796" s="458">
        <f>IFERROR(__xludf.DUMMYFUNCTION("""COMPUTED_VALUE"""),0.0)</f>
        <v>0</v>
      </c>
      <c r="F1796" s="273">
        <f>IFERROR(__xludf.DUMMYFUNCTION("""COMPUTED_VALUE"""),2.0)</f>
        <v>2</v>
      </c>
      <c r="G1796" t="str">
        <f>IFERROR(__xludf.DUMMYFUNCTION("""COMPUTED_VALUE"""),"Sabun batang 1 Box ( 2 PCS )")</f>
        <v>Sabun batang 1 Box ( 2 PCS )</v>
      </c>
      <c r="H1796" s="469" t="str">
        <f>IFERROR(__xludf.DUMMYFUNCTION("""COMPUTED_VALUE"""),"Sampai")</f>
        <v>Sampai</v>
      </c>
      <c r="I1796" s="470" t="str">
        <f>IFERROR(__xludf.DUMMYFUNCTION("""COMPUTED_VALUE"""),"KIMME")</f>
        <v>KIMME</v>
      </c>
      <c r="J1796" s="471" t="str">
        <f>IFERROR(__xludf.DUMMYFUNCTION("""COMPUTED_VALUE"""),"https://vt.tiktok.com/ZSxy2r2wx/")</f>
        <v>https://vt.tiktok.com/ZSxy2r2wx/</v>
      </c>
      <c r="K1796" s="470" t="str">
        <f>IFERROR(__xludf.DUMMYFUNCTION("""COMPUTED_VALUE"""),"KIMME")</f>
        <v>KIMME</v>
      </c>
      <c r="L1796" s="471" t="str">
        <f>IFERROR(__xludf.DUMMYFUNCTION("""COMPUTED_VALUE"""),"https://vt.tiktok.com/ZSxULgt9T/")</f>
        <v>https://vt.tiktok.com/ZSxULgt9T/</v>
      </c>
      <c r="M1796" s="470"/>
      <c r="N1796" s="471" t="str">
        <f>IFERROR(__xludf.DUMMYFUNCTION("""COMPUTED_VALUE"""),"https://vt.tiktok.com/ZSxH5XEQU/")</f>
        <v>https://vt.tiktok.com/ZSxH5XEQU/</v>
      </c>
      <c r="O1796" s="470"/>
      <c r="P1796" s="471" t="str">
        <f>IFERROR(__xludf.DUMMYFUNCTION("""COMPUTED_VALUE"""),"https://vt.tiktok.com/ZSxH5uwB6/")</f>
        <v>https://vt.tiktok.com/ZSxH5uwB6/</v>
      </c>
    </row>
    <row r="1797">
      <c r="A1797" s="282" t="str">
        <f>IFERROR(__xludf.DUMMYFUNCTION("""COMPUTED_VALUE"""),"MICRO")</f>
        <v>MICRO</v>
      </c>
      <c r="B1797" s="468" t="str">
        <f>IFERROR(__xludf.DUMMYFUNCTION("""COMPUTED_VALUE"""),"lyyyyyyyyyy8989")</f>
        <v>lyyyyyyyyyy8989</v>
      </c>
      <c r="C1797" s="283" t="str">
        <f>IFERROR(__xludf.DUMMYFUNCTION("""COMPUTED_VALUE"""),"https://www.tiktok.com/@lyyyyyyyyyy8989")</f>
        <v>https://www.tiktok.com/@lyyyyyyyyyy8989</v>
      </c>
      <c r="D1797" s="273"/>
      <c r="E1797" s="458">
        <f>IFERROR(__xludf.DUMMYFUNCTION("""COMPUTED_VALUE"""),0.0)</f>
        <v>0</v>
      </c>
      <c r="F1797" s="273">
        <f>IFERROR(__xludf.DUMMYFUNCTION("""COMPUTED_VALUE"""),2.0)</f>
        <v>2</v>
      </c>
      <c r="G1797" t="str">
        <f>IFERROR(__xludf.DUMMYFUNCTION("""COMPUTED_VALUE"""),"Sabun batang 1 Box ( 2 PCS )")</f>
        <v>Sabun batang 1 Box ( 2 PCS )</v>
      </c>
      <c r="H1797" s="469" t="str">
        <f>IFERROR(__xludf.DUMMYFUNCTION("""COMPUTED_VALUE"""),"Sampai")</f>
        <v>Sampai</v>
      </c>
      <c r="I1797" s="470" t="str">
        <f>IFERROR(__xludf.DUMMYFUNCTION("""COMPUTED_VALUE"""),"KIMME")</f>
        <v>KIMME</v>
      </c>
      <c r="J1797" s="471" t="str">
        <f>IFERROR(__xludf.DUMMYFUNCTION("""COMPUTED_VALUE"""),"https://vt.tiktok.com/ZSxyNfmb1/")</f>
        <v>https://vt.tiktok.com/ZSxyNfmb1/</v>
      </c>
      <c r="K1797" s="470" t="str">
        <f>IFERROR(__xludf.DUMMYFUNCTION("""COMPUTED_VALUE"""),"KIMME")</f>
        <v>KIMME</v>
      </c>
      <c r="L1797" s="471" t="str">
        <f>IFERROR(__xludf.DUMMYFUNCTION("""COMPUTED_VALUE"""),"https://vt.tiktok.com/ZSxyNd1RU/")</f>
        <v>https://vt.tiktok.com/ZSxyNd1RU/</v>
      </c>
      <c r="M1797" s="470"/>
      <c r="N1797" s="471" t="str">
        <f>IFERROR(__xludf.DUMMYFUNCTION("""COMPUTED_VALUE"""),"https://vt.tiktok.com/ZSxH5smt4/")</f>
        <v>https://vt.tiktok.com/ZSxH5smt4/</v>
      </c>
      <c r="O1797" s="470"/>
      <c r="P1797" s="471" t="str">
        <f>IFERROR(__xludf.DUMMYFUNCTION("""COMPUTED_VALUE"""),"https://vt.tiktok.com/ZSxH5H6BK/")</f>
        <v>https://vt.tiktok.com/ZSxH5H6BK/</v>
      </c>
    </row>
    <row r="1798">
      <c r="A1798" s="282" t="str">
        <f>IFERROR(__xludf.DUMMYFUNCTION("""COMPUTED_VALUE"""),"MICRO")</f>
        <v>MICRO</v>
      </c>
      <c r="B1798" s="468" t="str">
        <f>IFERROR(__xludf.DUMMYFUNCTION("""COMPUTED_VALUE"""),"piespage ")</f>
        <v>piespage </v>
      </c>
      <c r="C1798" s="283" t="str">
        <f>IFERROR(__xludf.DUMMYFUNCTION("""COMPUTED_VALUE"""),"https://www.tiktok.com/@piespage ")</f>
        <v>https://www.tiktok.com/@piespage </v>
      </c>
      <c r="D1798" s="273"/>
      <c r="E1798" s="458">
        <f>IFERROR(__xludf.DUMMYFUNCTION("""COMPUTED_VALUE"""),0.0)</f>
        <v>0</v>
      </c>
      <c r="F1798" s="273">
        <f>IFERROR(__xludf.DUMMYFUNCTION("""COMPUTED_VALUE"""),2.0)</f>
        <v>2</v>
      </c>
      <c r="G1798" t="str">
        <f>IFERROR(__xludf.DUMMYFUNCTION("""COMPUTED_VALUE"""),"Sabun batang 1 Box ( 2 PCS )")</f>
        <v>Sabun batang 1 Box ( 2 PCS )</v>
      </c>
      <c r="H1798" s="469" t="str">
        <f>IFERROR(__xludf.DUMMYFUNCTION("""COMPUTED_VALUE"""),"Sampai")</f>
        <v>Sampai</v>
      </c>
      <c r="I1798" s="470" t="str">
        <f>IFERROR(__xludf.DUMMYFUNCTION("""COMPUTED_VALUE"""),"KIMME")</f>
        <v>KIMME</v>
      </c>
      <c r="J1798" s="471" t="str">
        <f>IFERROR(__xludf.DUMMYFUNCTION("""COMPUTED_VALUE"""),"https://vt.tiktok.com/ZSxyNdgym/")</f>
        <v>https://vt.tiktok.com/ZSxyNdgym/</v>
      </c>
      <c r="K1798" s="470" t="str">
        <f>IFERROR(__xludf.DUMMYFUNCTION("""COMPUTED_VALUE"""),"KIMME")</f>
        <v>KIMME</v>
      </c>
      <c r="L1798" s="471" t="str">
        <f>IFERROR(__xludf.DUMMYFUNCTION("""COMPUTED_VALUE"""),"https://vt.tiktok.com/ZSxyNAuRp/")</f>
        <v>https://vt.tiktok.com/ZSxyNAuRp/</v>
      </c>
      <c r="M1798" s="470"/>
      <c r="N1798" s="471" t="str">
        <f>IFERROR(__xludf.DUMMYFUNCTION("""COMPUTED_VALUE"""),"https://vt.tiktok.com/ZSxH5V23Y/")</f>
        <v>https://vt.tiktok.com/ZSxH5V23Y/</v>
      </c>
      <c r="O1798" s="470"/>
      <c r="P1798" s="471" t="str">
        <f>IFERROR(__xludf.DUMMYFUNCTION("""COMPUTED_VALUE"""),"https://vt.tiktok.com/ZSxH5NcYs/")</f>
        <v>https://vt.tiktok.com/ZSxH5NcYs/</v>
      </c>
    </row>
    <row r="1799">
      <c r="A1799" s="282" t="str">
        <f>IFERROR(__xludf.DUMMYFUNCTION("""COMPUTED_VALUE"""),"MICRO")</f>
        <v>MICRO</v>
      </c>
      <c r="B1799" s="468" t="str">
        <f>IFERROR(__xludf.DUMMYFUNCTION("""COMPUTED_VALUE"""),"yourgirll297")</f>
        <v>yourgirll297</v>
      </c>
      <c r="C1799" s="283" t="str">
        <f>IFERROR(__xludf.DUMMYFUNCTION("""COMPUTED_VALUE"""),"https://www.tiktok.com/@yourgirll297")</f>
        <v>https://www.tiktok.com/@yourgirll297</v>
      </c>
      <c r="D1799" s="273"/>
      <c r="E1799" s="458">
        <f>IFERROR(__xludf.DUMMYFUNCTION("""COMPUTED_VALUE"""),0.0)</f>
        <v>0</v>
      </c>
      <c r="F1799" s="273">
        <f>IFERROR(__xludf.DUMMYFUNCTION("""COMPUTED_VALUE"""),2.0)</f>
        <v>2</v>
      </c>
      <c r="G1799" t="str">
        <f>IFERROR(__xludf.DUMMYFUNCTION("""COMPUTED_VALUE"""),"Sabun batang 1 Box ( 2 PCS )")</f>
        <v>Sabun batang 1 Box ( 2 PCS )</v>
      </c>
      <c r="H1799" s="469" t="str">
        <f>IFERROR(__xludf.DUMMYFUNCTION("""COMPUTED_VALUE"""),"Sampai")</f>
        <v>Sampai</v>
      </c>
      <c r="I1799" s="470" t="str">
        <f>IFERROR(__xludf.DUMMYFUNCTION("""COMPUTED_VALUE"""),"KIMME")</f>
        <v>KIMME</v>
      </c>
      <c r="J1799" s="471" t="str">
        <f>IFERROR(__xludf.DUMMYFUNCTION("""COMPUTED_VALUE"""),"https://vt.tiktok.com/ZSxyNj2q3/")</f>
        <v>https://vt.tiktok.com/ZSxyNj2q3/</v>
      </c>
      <c r="K1799" s="470" t="str">
        <f>IFERROR(__xludf.DUMMYFUNCTION("""COMPUTED_VALUE"""),"KIMME")</f>
        <v>KIMME</v>
      </c>
      <c r="L1799" s="471" t="str">
        <f>IFERROR(__xludf.DUMMYFUNCTION("""COMPUTED_VALUE"""),"https://vt.tiktok.com/ZSxyN6XRE/")</f>
        <v>https://vt.tiktok.com/ZSxyN6XRE/</v>
      </c>
      <c r="M1799" s="470"/>
      <c r="N1799" s="471" t="str">
        <f>IFERROR(__xludf.DUMMYFUNCTION("""COMPUTED_VALUE"""),"https://vt.tiktok.com/ZSxHPoM7J/")</f>
        <v>https://vt.tiktok.com/ZSxHPoM7J/</v>
      </c>
      <c r="O1799" s="470"/>
      <c r="P1799" s="471" t="str">
        <f>IFERROR(__xludf.DUMMYFUNCTION("""COMPUTED_VALUE"""),"https://vt.tiktok.com/ZSxH5YJsG/")</f>
        <v>https://vt.tiktok.com/ZSxH5YJsG/</v>
      </c>
    </row>
    <row r="1800">
      <c r="A1800" s="282" t="str">
        <f>IFERROR(__xludf.DUMMYFUNCTION("""COMPUTED_VALUE"""),"MICRO")</f>
        <v>MICRO</v>
      </c>
      <c r="B1800" s="468" t="str">
        <f>IFERROR(__xludf.DUMMYFUNCTION("""COMPUTED_VALUE"""),"mahkota.najwa")</f>
        <v>mahkota.najwa</v>
      </c>
      <c r="C1800" s="283" t="str">
        <f>IFERROR(__xludf.DUMMYFUNCTION("""COMPUTED_VALUE"""),"https://www.tiktok.com/@mahkota.najwa")</f>
        <v>https://www.tiktok.com/@mahkota.najwa</v>
      </c>
      <c r="D1800" s="273"/>
      <c r="E1800" s="458">
        <f>IFERROR(__xludf.DUMMYFUNCTION("""COMPUTED_VALUE"""),0.0)</f>
        <v>0</v>
      </c>
      <c r="F1800" s="273">
        <f>IFERROR(__xludf.DUMMYFUNCTION("""COMPUTED_VALUE"""),2.0)</f>
        <v>2</v>
      </c>
      <c r="G1800" t="str">
        <f>IFERROR(__xludf.DUMMYFUNCTION("""COMPUTED_VALUE"""),"Sabun batang 1 Box ( 2 PCS )")</f>
        <v>Sabun batang 1 Box ( 2 PCS )</v>
      </c>
      <c r="H1800" s="469" t="str">
        <f>IFERROR(__xludf.DUMMYFUNCTION("""COMPUTED_VALUE"""),"Sampai")</f>
        <v>Sampai</v>
      </c>
      <c r="I1800" s="470" t="str">
        <f>IFERROR(__xludf.DUMMYFUNCTION("""COMPUTED_VALUE"""),"KIMME")</f>
        <v>KIMME</v>
      </c>
      <c r="J1800" s="471" t="str">
        <f>IFERROR(__xludf.DUMMYFUNCTION("""COMPUTED_VALUE"""),"https://vt.tiktok.com/ZSxyNXkke/")</f>
        <v>https://vt.tiktok.com/ZSxyNXkke/</v>
      </c>
      <c r="K1800" s="470" t="str">
        <f>IFERROR(__xludf.DUMMYFUNCTION("""COMPUTED_VALUE"""),"KIMME")</f>
        <v>KIMME</v>
      </c>
      <c r="L1800" s="471" t="str">
        <f>IFERROR(__xludf.DUMMYFUNCTION("""COMPUTED_VALUE"""),"https://vt.tiktok.com/ZSxyNqeos/")</f>
        <v>https://vt.tiktok.com/ZSxyNqeos/</v>
      </c>
      <c r="M1800" s="470"/>
      <c r="N1800" s="471" t="str">
        <f>IFERROR(__xludf.DUMMYFUNCTION("""COMPUTED_VALUE"""),"https://vt.tiktok.com/ZSxH58bpc/")</f>
        <v>https://vt.tiktok.com/ZSxH58bpc/</v>
      </c>
      <c r="O1800" s="470"/>
      <c r="P1800" s="471" t="str">
        <f>IFERROR(__xludf.DUMMYFUNCTION("""COMPUTED_VALUE"""),"https://vt.tiktok.com/ZSxH52eFq/")</f>
        <v>https://vt.tiktok.com/ZSxH52eFq/</v>
      </c>
    </row>
    <row r="1801">
      <c r="A1801" s="282" t="str">
        <f>IFERROR(__xludf.DUMMYFUNCTION("""COMPUTED_VALUE"""),"MICRO")</f>
        <v>MICRO</v>
      </c>
      <c r="B1801" s="468" t="str">
        <f>IFERROR(__xludf.DUMMYFUNCTION("""COMPUTED_VALUE"""),"yuliiasari.ollshop")</f>
        <v>yuliiasari.ollshop</v>
      </c>
      <c r="C1801" s="283" t="str">
        <f>IFERROR(__xludf.DUMMYFUNCTION("""COMPUTED_VALUE"""),"https://www.tiktok.com/@yuliiasari.ollshop")</f>
        <v>https://www.tiktok.com/@yuliiasari.ollshop</v>
      </c>
      <c r="D1801" s="273"/>
      <c r="E1801" s="458">
        <f>IFERROR(__xludf.DUMMYFUNCTION("""COMPUTED_VALUE"""),0.0)</f>
        <v>0</v>
      </c>
      <c r="F1801" s="273">
        <f>IFERROR(__xludf.DUMMYFUNCTION("""COMPUTED_VALUE"""),2.0)</f>
        <v>2</v>
      </c>
      <c r="G1801" t="str">
        <f>IFERROR(__xludf.DUMMYFUNCTION("""COMPUTED_VALUE"""),"Sabun batang 1 Box ( 2 PCS )")</f>
        <v>Sabun batang 1 Box ( 2 PCS )</v>
      </c>
      <c r="H1801" s="469" t="str">
        <f>IFERROR(__xludf.DUMMYFUNCTION("""COMPUTED_VALUE"""),"Sampai")</f>
        <v>Sampai</v>
      </c>
      <c r="I1801" s="470" t="str">
        <f>IFERROR(__xludf.DUMMYFUNCTION("""COMPUTED_VALUE"""),"KIMME")</f>
        <v>KIMME</v>
      </c>
      <c r="J1801" s="471" t="str">
        <f>IFERROR(__xludf.DUMMYFUNCTION("""COMPUTED_VALUE"""),"https://vt.tiktok.com/ZSxyNvkQ4/")</f>
        <v>https://vt.tiktok.com/ZSxyNvkQ4/</v>
      </c>
      <c r="K1801" s="470" t="str">
        <f>IFERROR(__xludf.DUMMYFUNCTION("""COMPUTED_VALUE"""),"KIMME")</f>
        <v>KIMME</v>
      </c>
      <c r="L1801" s="471" t="str">
        <f>IFERROR(__xludf.DUMMYFUNCTION("""COMPUTED_VALUE"""),"https://vt.tiktok.com/ZSxyNQkmh/")</f>
        <v>https://vt.tiktok.com/ZSxyNQkmh/</v>
      </c>
      <c r="M1801" s="470"/>
      <c r="N1801" s="471" t="str">
        <f>IFERROR(__xludf.DUMMYFUNCTION("""COMPUTED_VALUE"""),"https://vt.tiktok.com/ZSxH5F59a/")</f>
        <v>https://vt.tiktok.com/ZSxH5F59a/</v>
      </c>
      <c r="O1801" s="470"/>
      <c r="P1801" s="471" t="str">
        <f>IFERROR(__xludf.DUMMYFUNCTION("""COMPUTED_VALUE"""),"https://vt.tiktok.com/ZSxH5FNW4/")</f>
        <v>https://vt.tiktok.com/ZSxH5FNW4/</v>
      </c>
    </row>
    <row r="1802">
      <c r="A1802" s="282" t="str">
        <f>IFERROR(__xludf.DUMMYFUNCTION("""COMPUTED_VALUE"""),"MICRO")</f>
        <v>MICRO</v>
      </c>
      <c r="B1802" s="468" t="str">
        <f>IFERROR(__xludf.DUMMYFUNCTION("""COMPUTED_VALUE"""),"cinonngggg ")</f>
        <v>cinonngggg </v>
      </c>
      <c r="C1802" s="283" t="str">
        <f>IFERROR(__xludf.DUMMYFUNCTION("""COMPUTED_VALUE"""),"https://www.tiktok.com/@cinonngggg ")</f>
        <v>https://www.tiktok.com/@cinonngggg </v>
      </c>
      <c r="D1802" s="273"/>
      <c r="E1802" s="458">
        <f>IFERROR(__xludf.DUMMYFUNCTION("""COMPUTED_VALUE"""),0.0)</f>
        <v>0</v>
      </c>
      <c r="F1802" s="273">
        <f>IFERROR(__xludf.DUMMYFUNCTION("""COMPUTED_VALUE"""),2.0)</f>
        <v>2</v>
      </c>
      <c r="G1802" t="str">
        <f>IFERROR(__xludf.DUMMYFUNCTION("""COMPUTED_VALUE"""),"Sabun batang 1 Box ( 2 PCS )")</f>
        <v>Sabun batang 1 Box ( 2 PCS )</v>
      </c>
      <c r="H1802" s="469" t="str">
        <f>IFERROR(__xludf.DUMMYFUNCTION("""COMPUTED_VALUE"""),"Sampai")</f>
        <v>Sampai</v>
      </c>
      <c r="I1802" s="470" t="str">
        <f>IFERROR(__xludf.DUMMYFUNCTION("""COMPUTED_VALUE"""),"KIMME")</f>
        <v>KIMME</v>
      </c>
      <c r="J1802" s="471" t="str">
        <f>IFERROR(__xludf.DUMMYFUNCTION("""COMPUTED_VALUE"""),"https://vt.tiktok.com/ZSxyNG2f5/")</f>
        <v>https://vt.tiktok.com/ZSxyNG2f5/</v>
      </c>
      <c r="K1802" s="470" t="str">
        <f>IFERROR(__xludf.DUMMYFUNCTION("""COMPUTED_VALUE"""),"KIMME")</f>
        <v>KIMME</v>
      </c>
      <c r="L1802" s="471" t="str">
        <f>IFERROR(__xludf.DUMMYFUNCTION("""COMPUTED_VALUE"""),"https://vt.tiktok.com/ZSxyNtyTk/")</f>
        <v>https://vt.tiktok.com/ZSxyNtyTk/</v>
      </c>
      <c r="M1802" s="470"/>
      <c r="N1802" s="471" t="str">
        <f>IFERROR(__xludf.DUMMYFUNCTION("""COMPUTED_VALUE"""),"https://vt.tiktok.com/ZSxH5KCJV/")</f>
        <v>https://vt.tiktok.com/ZSxH5KCJV/</v>
      </c>
      <c r="O1802" s="470"/>
      <c r="P1802" s="471" t="str">
        <f>IFERROR(__xludf.DUMMYFUNCTION("""COMPUTED_VALUE"""),"https://vt.tiktok.com/ZSxH5En3S/")</f>
        <v>https://vt.tiktok.com/ZSxH5En3S/</v>
      </c>
    </row>
    <row r="1803">
      <c r="A1803" s="282" t="str">
        <f>IFERROR(__xludf.DUMMYFUNCTION("""COMPUTED_VALUE"""),"MICRO")</f>
        <v>MICRO</v>
      </c>
      <c r="B1803" s="468" t="str">
        <f>IFERROR(__xludf.DUMMYFUNCTION("""COMPUTED_VALUE"""),"izza____26")</f>
        <v>izza____26</v>
      </c>
      <c r="C1803" s="283" t="str">
        <f>IFERROR(__xludf.DUMMYFUNCTION("""COMPUTED_VALUE"""),"https://www.tiktok.com/@izza____26")</f>
        <v>https://www.tiktok.com/@izza____26</v>
      </c>
      <c r="D1803" s="273"/>
      <c r="E1803" s="458">
        <f>IFERROR(__xludf.DUMMYFUNCTION("""COMPUTED_VALUE"""),0.0)</f>
        <v>0</v>
      </c>
      <c r="F1803" s="273">
        <f>IFERROR(__xludf.DUMMYFUNCTION("""COMPUTED_VALUE"""),1.0)</f>
        <v>1</v>
      </c>
      <c r="G1803" t="str">
        <f>IFERROR(__xludf.DUMMYFUNCTION("""COMPUTED_VALUE"""),"Sabun batang 1 Box ( 2 PCS )")</f>
        <v>Sabun batang 1 Box ( 2 PCS )</v>
      </c>
      <c r="H1803" s="469" t="str">
        <f>IFERROR(__xludf.DUMMYFUNCTION("""COMPUTED_VALUE"""),"Sampai")</f>
        <v>Sampai</v>
      </c>
      <c r="I1803" s="470" t="str">
        <f>IFERROR(__xludf.DUMMYFUNCTION("""COMPUTED_VALUE"""),"KIMME")</f>
        <v>KIMME</v>
      </c>
      <c r="J1803" s="471" t="str">
        <f>IFERROR(__xludf.DUMMYFUNCTION("""COMPUTED_VALUE"""),"https://www.tiktok.com/@izza____26/video/7631733275945438471?_r=1&amp;u_code=e541hj83h2a9f1&amp;region=&amp;mid=7631733314960804626&amp;preview_pb=0&amp;sharer_language=&amp;_d=0&amp;ec_shared_reflux_dynamic_params=%7B%22placeholder_material_id%22%3A%227631733275945438471%22%2C%22pl"&amp;"aceholder_origin_cover%22%3A%22https%253A%252F%252Fp16-common-sign.tiktokcdn.com%252Ftos-alisg-p-0037%252FoEaBAyppCXRTEtPEFVAnjQQDpgxU6etBGXfGQp~tplv-tiktokx-origin.jpeg%253Fdr%253D14572%2526refresh_token%253D2032f75d%2526x-expires%253D1808470800%2526x-si"&amp;"gnature%253D71Vm6T7gzQK0qNQfcql3tFc4uL8%25253D%2526t%253D4d5b0474%2526ps%253D13740610%2526shp%253Dd05b14bd%2526shcp%253D34ff8df6%2526idc%253Dmy3%2526s%253DTIKTOK_AFFILIATE_VIRAL_VIDEO%22%2C%22placeholder_product_id%22%3A%221729427766722726591%22%2C%22plac"&amp;"eholder_video_id%22%3A%227631733275945438471%22%7D&amp;ec_shared_reflux_scene=shop_tab_feed&amp;share_item_id=7631733275945438471&amp;source=h5_t")</f>
        <v>https://www.tiktok.com/@izza____26/video/7631733275945438471?_r=1&amp;u_code=e541hj83h2a9f1&amp;region=&amp;mid=7631733314960804626&amp;preview_pb=0&amp;sharer_language=&amp;_d=0&amp;ec_shared_reflux_dynamic_params=%7B%22placeholder_material_id%22%3A%227631733275945438471%22%2C%22placeholder_origin_cover%22%3A%22https%253A%252F%252Fp16-common-sign.tiktokcdn.com%252Ftos-alisg-p-0037%252FoEaBAyppCXRTEtPEFVAnjQQDpgxU6etBGXfGQp~tplv-tiktokx-origin.jpeg%253Fdr%253D14572%2526refresh_token%253D2032f75d%2526x-expires%253D1808470800%2526x-signature%253D71Vm6T7gzQK0qNQfcql3tFc4uL8%25253D%2526t%253D4d5b0474%2526ps%253D13740610%2526shp%253Dd05b14bd%2526shcp%253D34ff8df6%2526idc%253Dmy3%2526s%253DTIKTOK_AFFILIATE_VIRAL_VIDEO%22%2C%22placeholder_product_id%22%3A%221729427766722726591%22%2C%22placeholder_video_id%22%3A%227631733275945438471%22%7D&amp;ec_shared_reflux_scene=shop_tab_feed&amp;share_item_id=7631733275945438471&amp;source=h5_t</v>
      </c>
      <c r="K1803" s="470" t="str">
        <f>IFERROR(__xludf.DUMMYFUNCTION("""COMPUTED_VALUE"""),"KIMME")</f>
        <v>KIMME</v>
      </c>
      <c r="L1803" s="471" t="str">
        <f>IFERROR(__xludf.DUMMYFUNCTION("""COMPUTED_VALUE"""),"https://www.tiktok.com/@izza____26/video/7632105056267013384?_r=1&amp;u_code=e541hj83h2a9f1&amp;region=&amp;mid=7632105101057936146&amp;preview_pb=0&amp;sharer_language=&amp;_d=0&amp;ec_shared_reflux_dynamic_params=%7B%22placeholder_material_id%22%3A%227632105056267013384%22%2C%22pl"&amp;"aceholder_origin_cover%22%3A%22https%253A%252F%252Fp16-common-sign.tiktokcdn.com%252Ftos-alisg-p-0037%252Fo4VfqF7XAyeRmDjyI8rBOA20zjEE6p6cgBBqIE~tplv-tiktokx-origin.jpeg%253Fdr%253D14572%2526refresh_token%253Df59cf6ec%2526x-expires%253D1808992800%2526x-si"&amp;"gnature%253DKjQAbpYkAAwTS9Ve1ywbqrO4ASs%25253D%2526t%253D4d5b0474%2526ps%253D13740610%2526shp%253Dd05b14bd%2526shcp%253D34ff8df6%2526idc%253Dmy2%2526s%253DTIKTOK_AFFILIATE_VIRAL_VIDEO%22%2C%22placeholder_product_id%22%3A%221729427766722726591%22%2C%22plac"&amp;"eholder_video_id%22%3A%227632105056267013384%22%7D&amp;ec_shared_reflux_scene=shop_tab_feed&amp;share_item_id=7632105056267013384&amp;source=h5_t")</f>
        <v>https://www.tiktok.com/@izza____26/video/7632105056267013384?_r=1&amp;u_code=e541hj83h2a9f1&amp;region=&amp;mid=7632105101057936146&amp;preview_pb=0&amp;sharer_language=&amp;_d=0&amp;ec_shared_reflux_dynamic_params=%7B%22placeholder_material_id%22%3A%227632105056267013384%22%2C%22placeholder_origin_cover%22%3A%22https%253A%252F%252Fp16-common-sign.tiktokcdn.com%252Ftos-alisg-p-0037%252Fo4VfqF7XAyeRmDjyI8rBOA20zjEE6p6cgBBqIE~tplv-tiktokx-origin.jpeg%253Fdr%253D14572%2526refresh_token%253Df59cf6ec%2526x-expires%253D1808992800%2526x-signature%253DKjQAbpYkAAwTS9Ve1ywbqrO4ASs%25253D%2526t%253D4d5b0474%2526ps%253D13740610%2526shp%253Dd05b14bd%2526shcp%253D34ff8df6%2526idc%253Dmy2%2526s%253DTIKTOK_AFFILIATE_VIRAL_VIDEO%22%2C%22placeholder_product_id%22%3A%221729427766722726591%22%2C%22placeholder_video_id%22%3A%227632105056267013384%22%7D&amp;ec_shared_reflux_scene=shop_tab_feed&amp;share_item_id=7632105056267013384&amp;source=h5_t</v>
      </c>
      <c r="M1803" s="470"/>
      <c r="N1803" s="471" t="str">
        <f>IFERROR(__xludf.DUMMYFUNCTION("""COMPUTED_VALUE"""),"https://www.tiktok.com/@izza____26/video/7632492805071326471?_r=1&amp;u_code=e541hj83h2a9f1&amp;region=&amp;mid=7632492847914732309&amp;preview_pb=0&amp;sharer_language=&amp;_d=0&amp;ec_shared_reflux_dynamic_params=%7B%22placeholder_material_id%22%3A%227632492805071326471%22%2C%22pl"&amp;"aceholder_origin_cover%22%3A%22https%253A%252F%252Fp16-common-sign.tiktokcdn.com%252Ftos-alisg-p-0037%252FoUq8sAMRAUB3jiIp77ifBBg19Dhye7IcRNBxE8~tplv-tiktokx-origin.jpeg%253Fdr%253D14572%2526refresh_token%253Dc6bd83fd%2526x-expires%253D1808992800%2526x-si"&amp;"gnature%253D%25252F3z5ZGQTDPaQg6XGDMOylOOV4gg%25253D%2526t%253D4d5b0474%2526ps%253D13740610%2526shp%253Dd05b14bd%2526shcp%253D34ff8df6%2526idc%253Dmy2%2526s%253DTIKTOK_AFFILIATE_VIRAL_VIDEO%22%2C%22placeholder_product_id%22%3A%221729427766722726591%22%2C%"&amp;"22placeholder_video_id%22%3A%227632492805071326471%22%7D&amp;ec_shared_reflux_scene=shop_tab_feed&amp;share_item_id=7632492805071326471&amp;source=h5_t")</f>
        <v>https://www.tiktok.com/@izza____26/video/7632492805071326471?_r=1&amp;u_code=e541hj83h2a9f1&amp;region=&amp;mid=7632492847914732309&amp;preview_pb=0&amp;sharer_language=&amp;_d=0&amp;ec_shared_reflux_dynamic_params=%7B%22placeholder_material_id%22%3A%227632492805071326471%22%2C%22placeholder_origin_cover%22%3A%22https%253A%252F%252Fp16-common-sign.tiktokcdn.com%252Ftos-alisg-p-0037%252FoUq8sAMRAUB3jiIp77ifBBg19Dhye7IcRNBxE8~tplv-tiktokx-origin.jpeg%253Fdr%253D14572%2526refresh_token%253Dc6bd83fd%2526x-expires%253D1808992800%2526x-signature%253D%25252F3z5ZGQTDPaQg6XGDMOylOOV4gg%25253D%2526t%253D4d5b0474%2526ps%253D13740610%2526shp%253Dd05b14bd%2526shcp%253D34ff8df6%2526idc%253Dmy2%2526s%253DTIKTOK_AFFILIATE_VIRAL_VIDEO%22%2C%22placeholder_product_id%22%3A%221729427766722726591%22%2C%22placeholder_video_id%22%3A%227632492805071326471%22%7D&amp;ec_shared_reflux_scene=shop_tab_feed&amp;share_item_id=7632492805071326471&amp;source=h5_t</v>
      </c>
      <c r="O1803" s="470"/>
      <c r="P1803" s="471" t="str">
        <f>IFERROR(__xludf.DUMMYFUNCTION("""COMPUTED_VALUE"""),"https://www.tiktok.com/@izza____26/video/7633276012775869714?_r=1&amp;u_code=e541hj83h2a9f1&amp;region=&amp;mid=7633276065426918160&amp;preview_pb=0&amp;sharer_language=&amp;_d=0&amp;ec_shared_reflux_dynamic_params=%7B%22placeholder_material_id%22%3A%227633276012775869714%22%2C%22pl"&amp;"aceholder_origin_cover%22%3A%22https%253A%252F%252Fp19-common-sign.tiktokcdn.com%252Ftos-alisg-p-0037%252FoYgeuTMIUCbxgAjqGRgAfLIDA2GAI3DcQe8dC4~tplv-tiktokx-origin.jpeg%253Fdr%253D14572%2526refresh_token%253D8d9b6f53%2526x-expires%253D1808992800%2526x-si"&amp;"gnature%253DOc4B0xkN%25252FqXcR98J64Y1I6GBlBo%25253D%2526t%253D4d5b0474%2526ps%253D13740610%2526shp%253Dd05b14bd%2526shcp%253D34ff8df6%2526idc%253Dmy2%2526s%253DTIKTOK_AFFILIATE_VIRAL_VIDEO%22%2C%22placeholder_product_id%22%3A%221729427766722726591%22%2C%"&amp;"22placeholder_video_id%22%3A%227633276012775869714%22%7D&amp;ec_shared_reflux_scene=shop_tab_feed&amp;share_item_id=7633276012775869714&amp;source=h5_t")</f>
        <v>https://www.tiktok.com/@izza____26/video/7633276012775869714?_r=1&amp;u_code=e541hj83h2a9f1&amp;region=&amp;mid=7633276065426918160&amp;preview_pb=0&amp;sharer_language=&amp;_d=0&amp;ec_shared_reflux_dynamic_params=%7B%22placeholder_material_id%22%3A%227633276012775869714%22%2C%22placeholder_origin_cover%22%3A%22https%253A%252F%252Fp19-common-sign.tiktokcdn.com%252Ftos-alisg-p-0037%252FoYgeuTMIUCbxgAjqGRgAfLIDA2GAI3DcQe8dC4~tplv-tiktokx-origin.jpeg%253Fdr%253D14572%2526refresh_token%253D8d9b6f53%2526x-expires%253D1808992800%2526x-signature%253DOc4B0xkN%25252FqXcR98J64Y1I6GBlBo%25253D%2526t%253D4d5b0474%2526ps%253D13740610%2526shp%253Dd05b14bd%2526shcp%253D34ff8df6%2526idc%253Dmy2%2526s%253DTIKTOK_AFFILIATE_VIRAL_VIDEO%22%2C%22placeholder_product_id%22%3A%221729427766722726591%22%2C%22placeholder_video_id%22%3A%227633276012775869714%22%7D&amp;ec_shared_reflux_scene=shop_tab_feed&amp;share_item_id=7633276012775869714&amp;source=h5_t</v>
      </c>
    </row>
    <row r="1804">
      <c r="A1804" s="282" t="str">
        <f>IFERROR(__xludf.DUMMYFUNCTION("""COMPUTED_VALUE"""),"MICRO")</f>
        <v>MICRO</v>
      </c>
      <c r="B1804" s="468" t="str">
        <f>IFERROR(__xludf.DUMMYFUNCTION("""COMPUTED_VALUE"""),"bang.fine")</f>
        <v>bang.fine</v>
      </c>
      <c r="C1804" s="283" t="str">
        <f>IFERROR(__xludf.DUMMYFUNCTION("""COMPUTED_VALUE"""),"https://www.tiktok.com/@bang.fine")</f>
        <v>https://www.tiktok.com/@bang.fine</v>
      </c>
      <c r="D1804" s="273"/>
      <c r="E1804" s="458">
        <f>IFERROR(__xludf.DUMMYFUNCTION("""COMPUTED_VALUE"""),0.0)</f>
        <v>0</v>
      </c>
      <c r="F1804" s="273">
        <f>IFERROR(__xludf.DUMMYFUNCTION("""COMPUTED_VALUE"""),1.0)</f>
        <v>1</v>
      </c>
      <c r="G1804" t="str">
        <f>IFERROR(__xludf.DUMMYFUNCTION("""COMPUTED_VALUE"""),"Sabun batang 1 Box ( 2 PCS )")</f>
        <v>Sabun batang 1 Box ( 2 PCS )</v>
      </c>
      <c r="H1804" s="469" t="str">
        <f>IFERROR(__xludf.DUMMYFUNCTION("""COMPUTED_VALUE"""),"Sampai")</f>
        <v>Sampai</v>
      </c>
      <c r="I1804" s="470" t="str">
        <f>IFERROR(__xludf.DUMMYFUNCTION("""COMPUTED_VALUE"""),"KIMME")</f>
        <v>KIMME</v>
      </c>
      <c r="J1804" s="471" t="str">
        <f>IFERROR(__xludf.DUMMYFUNCTION("""COMPUTED_VALUE"""),"https://www.tiktok.com/@bang.fine/video/7631215544573709575?_r=1&amp;u_code=e8k6ahi7ek94cj&amp;region=&amp;mid=7573609115340326929&amp;preview_pb=0&amp;sharer_language=&amp;_d=0&amp;ec_shared_reflux_dynamic_params=%7B%22placeholder_material_id%22%3A%227631215544573709575%22%2C%22pla"&amp;"ceholder_origin_cover%22%3A%22https%253A%252F%252Fp16-sign-sg.tiktokcdn.com%252Ftos-alisg-p-0037%252Fo8rIqIh4wALjA4xEIivb80BAL98rKiCBiVteBn~tplv-tiktokx-origin.jpeg%253Fdr%253D14572%2526refresh_token%253Dcb6b2f94%2526x-expires%253D1808474400%2526x-signatu"&amp;"re%253DOaVybupq7OL27qAF5DVZuClYm7k%25253D%2526t%253D4d5b0474%2526ps%253D13740610%2526shp%253Dd05b14bd%2526shcp%253D34ff8df6%2526idc%253Dmy3%2526s%253DTIKTOK_AFFILIATE_VIRAL_VIDEO%22%2C%22placeholder_product_id%22%3A%221729427766722726591%22%2C%22placehold"&amp;"er_video_id%22%3A%227631215544573709575%22%7D&amp;ec_shared_reflux_scene=shop_tab_feed&amp;share_item_id=7631215544573709575&amp;source=h5_t")</f>
        <v>https://www.tiktok.com/@bang.fine/video/7631215544573709575?_r=1&amp;u_code=e8k6ahi7ek94cj&amp;region=&amp;mid=7573609115340326929&amp;preview_pb=0&amp;sharer_language=&amp;_d=0&amp;ec_shared_reflux_dynamic_params=%7B%22placeholder_material_id%22%3A%227631215544573709575%22%2C%22placeholder_origin_cover%22%3A%22https%253A%252F%252Fp16-sign-sg.tiktokcdn.com%252Ftos-alisg-p-0037%252Fo8rIqIh4wALjA4xEIivb80BAL98rKiCBiVteBn~tplv-tiktokx-origin.jpeg%253Fdr%253D14572%2526refresh_token%253Dcb6b2f94%2526x-expires%253D1808474400%2526x-signature%253DOaVybupq7OL27qAF5DVZuClYm7k%25253D%2526t%253D4d5b0474%2526ps%253D13740610%2526shp%253Dd05b14bd%2526shcp%253D34ff8df6%2526idc%253Dmy3%2526s%253DTIKTOK_AFFILIATE_VIRAL_VIDEO%22%2C%22placeholder_product_id%22%3A%221729427766722726591%22%2C%22placeholder_video_id%22%3A%227631215544573709575%22%7D&amp;ec_shared_reflux_scene=shop_tab_feed&amp;share_item_id=7631215544573709575&amp;source=h5_t</v>
      </c>
      <c r="K1804" s="470" t="str">
        <f>IFERROR(__xludf.DUMMYFUNCTION("""COMPUTED_VALUE"""),"KIMME")</f>
        <v>KIMME</v>
      </c>
      <c r="L1804" s="471" t="str">
        <f>IFERROR(__xludf.DUMMYFUNCTION("""COMPUTED_VALUE"""),"https://vt.tiktok.com/ZSxyNsAmS/")</f>
        <v>https://vt.tiktok.com/ZSxyNsAmS/</v>
      </c>
      <c r="M1804" s="470"/>
      <c r="N1804" s="471" t="str">
        <f>IFERROR(__xludf.DUMMYFUNCTION("""COMPUTED_VALUE"""),"https://vt.tiktok.com/ZSxULkUcX/")</f>
        <v>https://vt.tiktok.com/ZSxULkUcX/</v>
      </c>
      <c r="O1804" s="470"/>
      <c r="P1804" s="471" t="str">
        <f>IFERROR(__xludf.DUMMYFUNCTION("""COMPUTED_VALUE"""),"https://vt.tiktok.com/ZSxULmoba/")</f>
        <v>https://vt.tiktok.com/ZSxULmoba/</v>
      </c>
    </row>
    <row r="1805">
      <c r="A1805" s="282" t="str">
        <f>IFERROR(__xludf.DUMMYFUNCTION("""COMPUTED_VALUE"""),"MICRO")</f>
        <v>MICRO</v>
      </c>
      <c r="B1805" s="468" t="str">
        <f>IFERROR(__xludf.DUMMYFUNCTION("""COMPUTED_VALUE"""),"salhaamlly")</f>
        <v>salhaamlly</v>
      </c>
      <c r="C1805" s="283" t="str">
        <f>IFERROR(__xludf.DUMMYFUNCTION("""COMPUTED_VALUE"""),"https://www.tiktok.com/@salhaamlly")</f>
        <v>https://www.tiktok.com/@salhaamlly</v>
      </c>
      <c r="D1805" s="273">
        <f>IFERROR(__xludf.DUMMYFUNCTION("""COMPUTED_VALUE"""),8.3829924033E10)</f>
        <v>83829924033</v>
      </c>
      <c r="E1805" s="458">
        <f>IFERROR(__xludf.DUMMYFUNCTION("""COMPUTED_VALUE"""),0.0)</f>
        <v>0</v>
      </c>
      <c r="F1805" s="273">
        <f>IFERROR(__xludf.DUMMYFUNCTION("""COMPUTED_VALUE"""),4.0)</f>
        <v>4</v>
      </c>
      <c r="G1805" t="str">
        <f>IFERROR(__xludf.DUMMYFUNCTION("""COMPUTED_VALUE"""),"Sabun batang 1 Box ( 2 PCS )")</f>
        <v>Sabun batang 1 Box ( 2 PCS )</v>
      </c>
      <c r="H1805" s="469" t="str">
        <f>IFERROR(__xludf.DUMMYFUNCTION("""COMPUTED_VALUE"""),"Sampai")</f>
        <v>Sampai</v>
      </c>
      <c r="I1805" s="470" t="str">
        <f>IFERROR(__xludf.DUMMYFUNCTION("""COMPUTED_VALUE"""),"KIMME")</f>
        <v>KIMME</v>
      </c>
      <c r="J1805" s="471" t="str">
        <f>IFERROR(__xludf.DUMMYFUNCTION("""COMPUTED_VALUE"""),"https://vt.tiktok.com/ZSxmeHRef/")</f>
        <v>https://vt.tiktok.com/ZSxmeHRef/</v>
      </c>
      <c r="K1805" s="470" t="str">
        <f>IFERROR(__xludf.DUMMYFUNCTION("""COMPUTED_VALUE"""),"KIMME")</f>
        <v>KIMME</v>
      </c>
      <c r="L1805" s="471" t="str">
        <f>IFERROR(__xludf.DUMMYFUNCTION("""COMPUTED_VALUE"""),"https://vt.tiktok.com/ZSxmpK193/")</f>
        <v>https://vt.tiktok.com/ZSxmpK193/</v>
      </c>
      <c r="M1805" s="470"/>
      <c r="N1805" s="471" t="str">
        <f>IFERROR(__xludf.DUMMYFUNCTION("""COMPUTED_VALUE"""),"https://vt.tiktok.com/ZSxmeXeGF/")</f>
        <v>https://vt.tiktok.com/ZSxmeXeGF/</v>
      </c>
      <c r="O1805" s="470"/>
      <c r="P1805" s="471" t="str">
        <f>IFERROR(__xludf.DUMMYFUNCTION("""COMPUTED_VALUE"""),"https://vt.tiktok.com/ZSxmeG7TR/")</f>
        <v>https://vt.tiktok.com/ZSxmeG7TR/</v>
      </c>
    </row>
    <row r="1806">
      <c r="A1806" s="282" t="str">
        <f>IFERROR(__xludf.DUMMYFUNCTION("""COMPUTED_VALUE"""),"MICRO")</f>
        <v>MICRO</v>
      </c>
      <c r="B1806" s="468" t="str">
        <f>IFERROR(__xludf.DUMMYFUNCTION("""COMPUTED_VALUE"""),"vannox_beutyy")</f>
        <v>vannox_beutyy</v>
      </c>
      <c r="C1806" s="283" t="str">
        <f>IFERROR(__xludf.DUMMYFUNCTION("""COMPUTED_VALUE"""),"https://www.tiktok.com/@vannox_beutyy")</f>
        <v>https://www.tiktok.com/@vannox_beutyy</v>
      </c>
      <c r="D1806" s="273">
        <f>IFERROR(__xludf.DUMMYFUNCTION("""COMPUTED_VALUE"""),8.2364381163E10)</f>
        <v>82364381163</v>
      </c>
      <c r="E1806" s="458">
        <f>IFERROR(__xludf.DUMMYFUNCTION("""COMPUTED_VALUE"""),0.0)</f>
        <v>0</v>
      </c>
      <c r="F1806" s="273">
        <f>IFERROR(__xludf.DUMMYFUNCTION("""COMPUTED_VALUE"""),4.0)</f>
        <v>4</v>
      </c>
      <c r="G1806" t="str">
        <f>IFERROR(__xludf.DUMMYFUNCTION("""COMPUTED_VALUE"""),"Sabun batang 1 Box ( 2 PCS )")</f>
        <v>Sabun batang 1 Box ( 2 PCS )</v>
      </c>
      <c r="H1806" s="469" t="str">
        <f>IFERROR(__xludf.DUMMYFUNCTION("""COMPUTED_VALUE"""),"Sampai")</f>
        <v>Sampai</v>
      </c>
      <c r="I1806" s="470" t="str">
        <f>IFERROR(__xludf.DUMMYFUNCTION("""COMPUTED_VALUE"""),"KIMME")</f>
        <v>KIMME</v>
      </c>
      <c r="J1806" s="471" t="str">
        <f>IFERROR(__xludf.DUMMYFUNCTION("""COMPUTED_VALUE"""),"https://vt.tiktok.com/ZSxrGBVXr/")</f>
        <v>https://vt.tiktok.com/ZSxrGBVXr/</v>
      </c>
      <c r="K1806" s="470" t="str">
        <f>IFERROR(__xludf.DUMMYFUNCTION("""COMPUTED_VALUE"""),"KIMME")</f>
        <v>KIMME</v>
      </c>
      <c r="L1806" s="471" t="str">
        <f>IFERROR(__xludf.DUMMYFUNCTION("""COMPUTED_VALUE"""),"https://vt.tiktok.com/ZSxS7jRYr/")</f>
        <v>https://vt.tiktok.com/ZSxS7jRYr/</v>
      </c>
      <c r="M1806" s="470"/>
      <c r="N1806" s="471" t="str">
        <f>IFERROR(__xludf.DUMMYFUNCTION("""COMPUTED_VALUE"""),"https://vt.tiktok.com/ZSxS7FRu2/")</f>
        <v>https://vt.tiktok.com/ZSxS7FRu2/</v>
      </c>
      <c r="O1806" s="470"/>
      <c r="P1806" s="471" t="str">
        <f>IFERROR(__xludf.DUMMYFUNCTION("""COMPUTED_VALUE"""),"https://vt.tiktok.com/ZSxS78U71/")</f>
        <v>https://vt.tiktok.com/ZSxS78U71/</v>
      </c>
    </row>
    <row r="1807">
      <c r="A1807" s="282" t="str">
        <f>IFERROR(__xludf.DUMMYFUNCTION("""COMPUTED_VALUE"""),"MICRO")</f>
        <v>MICRO</v>
      </c>
      <c r="B1807" s="468" t="str">
        <f>IFERROR(__xludf.DUMMYFUNCTION("""COMPUTED_VALUE"""),"abouteverything1_")</f>
        <v>abouteverything1_</v>
      </c>
      <c r="C1807" s="283" t="str">
        <f>IFERROR(__xludf.DUMMYFUNCTION("""COMPUTED_VALUE"""),"https://www.tiktok.com/@abouteverything1_")</f>
        <v>https://www.tiktok.com/@abouteverything1_</v>
      </c>
      <c r="D1807" s="273">
        <f>IFERROR(__xludf.DUMMYFUNCTION("""COMPUTED_VALUE"""),8.5792427767E10)</f>
        <v>85792427767</v>
      </c>
      <c r="E1807" s="458">
        <f>IFERROR(__xludf.DUMMYFUNCTION("""COMPUTED_VALUE"""),0.0)</f>
        <v>0</v>
      </c>
      <c r="F1807" s="273">
        <f>IFERROR(__xludf.DUMMYFUNCTION("""COMPUTED_VALUE"""),4.0)</f>
        <v>4</v>
      </c>
      <c r="G1807" t="str">
        <f>IFERROR(__xludf.DUMMYFUNCTION("""COMPUTED_VALUE"""),"Sabun batang 1 Box ( 2 PCS )")</f>
        <v>Sabun batang 1 Box ( 2 PCS )</v>
      </c>
      <c r="H1807" s="469" t="str">
        <f>IFERROR(__xludf.DUMMYFUNCTION("""COMPUTED_VALUE"""),"Sampai")</f>
        <v>Sampai</v>
      </c>
      <c r="I1807" s="470" t="str">
        <f>IFERROR(__xludf.DUMMYFUNCTION("""COMPUTED_VALUE"""),"KIMME")</f>
        <v>KIMME</v>
      </c>
      <c r="J1807" s="471" t="str">
        <f>IFERROR(__xludf.DUMMYFUNCTION("""COMPUTED_VALUE"""),"https://vt.tiktok.com/ZSxS7dkAF/")</f>
        <v>https://vt.tiktok.com/ZSxS7dkAF/</v>
      </c>
      <c r="K1807" s="470" t="str">
        <f>IFERROR(__xludf.DUMMYFUNCTION("""COMPUTED_VALUE"""),"KIMME")</f>
        <v>KIMME</v>
      </c>
      <c r="L1807" s="471" t="str">
        <f>IFERROR(__xludf.DUMMYFUNCTION("""COMPUTED_VALUE"""),"https://vt.tiktok.com/ZSxS78d4g/")</f>
        <v>https://vt.tiktok.com/ZSxS78d4g/</v>
      </c>
      <c r="M1807" s="470"/>
      <c r="N1807" s="471" t="str">
        <f>IFERROR(__xludf.DUMMYFUNCTION("""COMPUTED_VALUE"""),"https://vt.tiktok.com/ZSxS7RhGf/")</f>
        <v>https://vt.tiktok.com/ZSxS7RhGf/</v>
      </c>
      <c r="O1807" s="470"/>
      <c r="P1807" s="471" t="str">
        <f>IFERROR(__xludf.DUMMYFUNCTION("""COMPUTED_VALUE"""),"https://vt.tiktok.com/ZSxU3CdQq/")</f>
        <v>https://vt.tiktok.com/ZSxU3CdQq/</v>
      </c>
    </row>
    <row r="1808">
      <c r="A1808" s="282" t="str">
        <f>IFERROR(__xludf.DUMMYFUNCTION("""COMPUTED_VALUE"""),"MICRO")</f>
        <v>MICRO</v>
      </c>
      <c r="B1808" s="468" t="str">
        <f>IFERROR(__xludf.DUMMYFUNCTION("""COMPUTED_VALUE"""),"intanopando")</f>
        <v>intanopando</v>
      </c>
      <c r="C1808" s="283" t="str">
        <f>IFERROR(__xludf.DUMMYFUNCTION("""COMPUTED_VALUE"""),"https://www.tiktok.com/@intanopando")</f>
        <v>https://www.tiktok.com/@intanopando</v>
      </c>
      <c r="D1808" s="273">
        <f>IFERROR(__xludf.DUMMYFUNCTION("""COMPUTED_VALUE"""),8.5803007657E10)</f>
        <v>85803007657</v>
      </c>
      <c r="E1808" s="458">
        <f>IFERROR(__xludf.DUMMYFUNCTION("""COMPUTED_VALUE"""),0.0)</f>
        <v>0</v>
      </c>
      <c r="F1808" s="273">
        <f>IFERROR(__xludf.DUMMYFUNCTION("""COMPUTED_VALUE"""),4.0)</f>
        <v>4</v>
      </c>
      <c r="G1808" t="str">
        <f>IFERROR(__xludf.DUMMYFUNCTION("""COMPUTED_VALUE"""),"Sabun batang 1 Box ( 2 PCS )")</f>
        <v>Sabun batang 1 Box ( 2 PCS )</v>
      </c>
      <c r="H1808" s="469" t="str">
        <f>IFERROR(__xludf.DUMMYFUNCTION("""COMPUTED_VALUE"""),"Sampai")</f>
        <v>Sampai</v>
      </c>
      <c r="I1808" s="470" t="str">
        <f>IFERROR(__xludf.DUMMYFUNCTION("""COMPUTED_VALUE"""),"KIMME")</f>
        <v>KIMME</v>
      </c>
      <c r="J1808" s="471" t="str">
        <f>IFERROR(__xludf.DUMMYFUNCTION("""COMPUTED_VALUE"""),"https://vt.tiktok.com/ZSxU3KfDc/")</f>
        <v>https://vt.tiktok.com/ZSxU3KfDc/</v>
      </c>
      <c r="K1808" s="470" t="str">
        <f>IFERROR(__xludf.DUMMYFUNCTION("""COMPUTED_VALUE"""),"KIMME")</f>
        <v>KIMME</v>
      </c>
      <c r="L1808" s="471" t="str">
        <f>IFERROR(__xludf.DUMMYFUNCTION("""COMPUTED_VALUE"""),"https://vt.tiktok.com/ZSxU3goaL/")</f>
        <v>https://vt.tiktok.com/ZSxU3goaL/</v>
      </c>
      <c r="M1808" s="470"/>
      <c r="N1808" s="471" t="str">
        <f>IFERROR(__xludf.DUMMYFUNCTION("""COMPUTED_VALUE"""),"https://vt.tiktok.com/ZSxU37RP8/")</f>
        <v>https://vt.tiktok.com/ZSxU37RP8/</v>
      </c>
      <c r="O1808" s="470"/>
      <c r="P1808" s="471" t="str">
        <f>IFERROR(__xludf.DUMMYFUNCTION("""COMPUTED_VALUE"""),"https://vt.tiktok.com/ZSxmsETED/")</f>
        <v>https://vt.tiktok.com/ZSxmsETED/</v>
      </c>
    </row>
    <row r="1809">
      <c r="A1809" s="282" t="str">
        <f>IFERROR(__xludf.DUMMYFUNCTION("""COMPUTED_VALUE"""),"MICRO")</f>
        <v>MICRO</v>
      </c>
      <c r="B1809" s="468" t="str">
        <f>IFERROR(__xludf.DUMMYFUNCTION("""COMPUTED_VALUE"""),"fatkeinad")</f>
        <v>fatkeinad</v>
      </c>
      <c r="C1809" s="283" t="str">
        <f>IFERROR(__xludf.DUMMYFUNCTION("""COMPUTED_VALUE"""),"https://www.tiktok.com/@fatkeinad")</f>
        <v>https://www.tiktok.com/@fatkeinad</v>
      </c>
      <c r="D1809" s="273">
        <f>IFERROR(__xludf.DUMMYFUNCTION("""COMPUTED_VALUE"""),8.2211911238E10)</f>
        <v>82211911238</v>
      </c>
      <c r="E1809" s="458"/>
      <c r="F1809" s="273"/>
      <c r="G1809" t="str">
        <f>IFERROR(__xludf.DUMMYFUNCTION("""COMPUTED_VALUE"""),"Sabun batang 1 Box ( 2 PCS )")</f>
        <v>Sabun batang 1 Box ( 2 PCS )</v>
      </c>
      <c r="H1809" s="469" t="str">
        <f>IFERROR(__xludf.DUMMYFUNCTION("""COMPUTED_VALUE"""),"Sampai")</f>
        <v>Sampai</v>
      </c>
      <c r="I1809" s="470" t="str">
        <f>IFERROR(__xludf.DUMMYFUNCTION("""COMPUTED_VALUE"""),"KIMME")</f>
        <v>KIMME</v>
      </c>
      <c r="J1809" s="471" t="str">
        <f>IFERROR(__xludf.DUMMYFUNCTION("""COMPUTED_VALUE"""),"https://www.tiktok.com/@titikzyp2a3/video/7633352369392143624?_r=1&amp;u_code=e9l98g7d7h5880&amp;region=&amp;mid=7046970598518196225&amp;preview_pb=0&amp;sharer_language=&amp;_d=0&amp;ec_shared_reflux_dynamic_params=%7B%22placeholder_material_id%22%3A%227633352369392143624%22%2C%22p"&amp;"laceholder_origin_cover%22%3A%22https%253A%252F%252Fp16-common-sign.tiktokcdn.com%252Ftos-alisg-p-0037%252FoYZIAejvuANjGaSQCbwIAzCoHD3LQMkFTfr6qf~tplv-tiktokx-origin.jpeg%253Fdr%253D14572%2526refresh_token%253D920dbd62%2526x-expires%253D1808992800%2526x-s"&amp;"ignature%253D4lYxUlq0xftH2eVYy%25252BeBtAM2Uj0%25253D%2526t%253D4d5b0474%2526ps%253D13740610%2526shp%253Dd05b14bd%2526shcp%253D34ff8df6%2526idc%253Dmy2%2526s%253DTIKTOK_AFFILIATE_VIRAL_VIDEO%22%2C%22placeholder_product_id%22%3A%221729427766722726591%22%2C"&amp;"%22placeholder_video_id%22%3A%227633352369392143624%22%7D&amp;ec_shared_reflux_scene=shop_tab_feed&amp;share_item_id=7633352369392143624&amp;source=h5_t")</f>
        <v>https://www.tiktok.com/@titikzyp2a3/video/7633352369392143624?_r=1&amp;u_code=e9l98g7d7h5880&amp;region=&amp;mid=7046970598518196225&amp;preview_pb=0&amp;sharer_language=&amp;_d=0&amp;ec_shared_reflux_dynamic_params=%7B%22placeholder_material_id%22%3A%227633352369392143624%22%2C%22placeholder_origin_cover%22%3A%22https%253A%252F%252Fp16-common-sign.tiktokcdn.com%252Ftos-alisg-p-0037%252FoYZIAejvuANjGaSQCbwIAzCoHD3LQMkFTfr6qf~tplv-tiktokx-origin.jpeg%253Fdr%253D14572%2526refresh_token%253D920dbd62%2526x-expires%253D1808992800%2526x-signature%253D4lYxUlq0xftH2eVYy%25252BeBtAM2Uj0%25253D%2526t%253D4d5b0474%2526ps%253D13740610%2526shp%253Dd05b14bd%2526shcp%253D34ff8df6%2526idc%253Dmy2%2526s%253DTIKTOK_AFFILIATE_VIRAL_VIDEO%22%2C%22placeholder_product_id%22%3A%221729427766722726591%22%2C%22placeholder_video_id%22%3A%227633352369392143624%22%7D&amp;ec_shared_reflux_scene=shop_tab_feed&amp;share_item_id=7633352369392143624&amp;source=h5_t</v>
      </c>
      <c r="K1809" s="470" t="str">
        <f>IFERROR(__xludf.DUMMYFUNCTION("""COMPUTED_VALUE"""),"KIMME")</f>
        <v>KIMME</v>
      </c>
      <c r="L1809" s="471" t="str">
        <f>IFERROR(__xludf.DUMMYFUNCTION("""COMPUTED_VALUE"""),"https://www.tiktok.com/@titikzyp2a3/video/7634152791769926919?_r=1&amp;u_code=e9l98g7d7h5880&amp;region=&amp;mid=7608559003840400145&amp;preview_pb=0&amp;sharer_language=&amp;_d=0&amp;ec_shared_reflux_dynamic_params=%7B%22placeholder_material_id%22%3A%227634152791769926919%22%2C%22p"&amp;"laceholder_origin_cover%22%3A%22https%253A%252F%252Fp16-common-sign.tiktokcdn.com%252Ftos-alisg-p-0037%252FoAqU3AfdUeIBQ9RzE5g4IAiikzXXJpxYBwBPB7~tplv-tiktokx-origin.jpeg%253Fdr%253D14572%2526refresh_token%253D02603b4f%2526x-expires%253D1809507600%2526x-s"&amp;"ignature%253DVtg80E3piASOsVu%25252BGXf5Y%25252Bn0qdE%25253D%2526t%253D4d5b0474%2526ps%253D13740610%2526shp%253Dd05b14bd%2526shcp%253D34ff8df6%2526idc%253Dmy%2526s%253DTIKTOK_AFFILIATE_VIRAL_VIDEO%22%2C%22placeholder_product_id%22%3A%221729427766722726591%"&amp;"22%2C%22placeholder_video_id%22%3A%227634152791769926919%22%7D&amp;ec_shared_reflux_scene=shop_tab_feed&amp;share_item_id=7634152791769926919&amp;source=h5_t")</f>
        <v>https://www.tiktok.com/@titikzyp2a3/video/7634152791769926919?_r=1&amp;u_code=e9l98g7d7h5880&amp;region=&amp;mid=7608559003840400145&amp;preview_pb=0&amp;sharer_language=&amp;_d=0&amp;ec_shared_reflux_dynamic_params=%7B%22placeholder_material_id%22%3A%227634152791769926919%22%2C%22placeholder_origin_cover%22%3A%22https%253A%252F%252Fp16-common-sign.tiktokcdn.com%252Ftos-alisg-p-0037%252FoAqU3AfdUeIBQ9RzE5g4IAiikzXXJpxYBwBPB7~tplv-tiktokx-origin.jpeg%253Fdr%253D14572%2526refresh_token%253D02603b4f%2526x-expires%253D1809507600%2526x-signature%253DVtg80E3piASOsVu%25252BGXf5Y%25252Bn0qdE%25253D%2526t%253D4d5b0474%2526ps%253D13740610%2526shp%253Dd05b14bd%2526shcp%253D34ff8df6%2526idc%253Dmy%2526s%253DTIKTOK_AFFILIATE_VIRAL_VIDEO%22%2C%22placeholder_product_id%22%3A%221729427766722726591%22%2C%22placeholder_video_id%22%3A%227634152791769926919%22%7D&amp;ec_shared_reflux_scene=shop_tab_feed&amp;share_item_id=7634152791769926919&amp;source=h5_t</v>
      </c>
      <c r="M1809" s="470"/>
      <c r="N1809" s="471" t="str">
        <f>IFERROR(__xludf.DUMMYFUNCTION("""COMPUTED_VALUE"""),"https://www.tiktok.com/@titikzyp2a3/video/7635511746144357650?_r=1&amp;u_code=e9l98g7d7h5880&amp;region=&amp;mid=7613023919407466497&amp;preview_pb=0&amp;sharer_language=&amp;_d=0&amp;ec_shared_reflux_dynamic_params=%7B%22placeholder_material_id%22%3A%227635511746144357650%22%2C%22p"&amp;"laceholder_origin_cover%22%3A%22https%253A%252F%252Fp19-common-sign.tiktokcdn.com%252Ftos-alisg-p-0037%252FoUJ7Ge1XIIHoQwkteCTALCYtQIjZAHHIHDzpVe~tplv-tiktokx-origin.jpeg%253Fdr%253D14572%2526refresh_token%253D3cb6504e%2526x-expires%253D1809507600%2526x-s"&amp;"ignature%253DYiWJ%25252FDat3wu%25252BOqP84CvOiX4NU9o%25253D%2526t%253D4d5b0474%2526ps%253D13740610%2526shp%253Dd05b14bd%2526shcp%253D34ff8df6%2526idc%253Dmy%2526s%253DTIKTOK_AFFILIATE_VIRAL_VIDEO%22%2C%22placeholder_product_id%22%3A%221729427766722726591%"&amp;"22%2C%22placeholder_video_id%22%3A%227635511746144357650%22%7D&amp;ec_shared_reflux_scene=shop_tab_feed&amp;share_item_id=7635511746144357650&amp;source=h5_t")</f>
        <v>https://www.tiktok.com/@titikzyp2a3/video/7635511746144357650?_r=1&amp;u_code=e9l98g7d7h5880&amp;region=&amp;mid=7613023919407466497&amp;preview_pb=0&amp;sharer_language=&amp;_d=0&amp;ec_shared_reflux_dynamic_params=%7B%22placeholder_material_id%22%3A%227635511746144357650%22%2C%22placeholder_origin_cover%22%3A%22https%253A%252F%252Fp19-common-sign.tiktokcdn.com%252Ftos-alisg-p-0037%252FoUJ7Ge1XIIHoQwkteCTALCYtQIjZAHHIHDzpVe~tplv-tiktokx-origin.jpeg%253Fdr%253D14572%2526refresh_token%253D3cb6504e%2526x-expires%253D1809507600%2526x-signature%253DYiWJ%25252FDat3wu%25252BOqP84CvOiX4NU9o%25253D%2526t%253D4d5b0474%2526ps%253D13740610%2526shp%253Dd05b14bd%2526shcp%253D34ff8df6%2526idc%253Dmy%2526s%253DTIKTOK_AFFILIATE_VIRAL_VIDEO%22%2C%22placeholder_product_id%22%3A%221729427766722726591%22%2C%22placeholder_video_id%22%3A%227635511746144357650%22%7D&amp;ec_shared_reflux_scene=shop_tab_feed&amp;share_item_id=7635511746144357650&amp;source=h5_t</v>
      </c>
      <c r="O1809" s="470"/>
      <c r="P1809" s="471" t="str">
        <f>IFERROR(__xludf.DUMMYFUNCTION("""COMPUTED_VALUE"""),"https://vt.tiktok.com/ZSxmGM77p/")</f>
        <v>https://vt.tiktok.com/ZSxmGM77p/</v>
      </c>
    </row>
    <row r="1810">
      <c r="A1810" s="282" t="str">
        <f>IFERROR(__xludf.DUMMYFUNCTION("""COMPUTED_VALUE"""),"MICRO")</f>
        <v>MICRO</v>
      </c>
      <c r="B1810" s="468" t="str">
        <f>IFERROR(__xludf.DUMMYFUNCTION("""COMPUTED_VALUE"""),"sonyaaa.yl")</f>
        <v>sonyaaa.yl</v>
      </c>
      <c r="C1810" s="283" t="str">
        <f>IFERROR(__xludf.DUMMYFUNCTION("""COMPUTED_VALUE"""),"https://www.tiktok.com/@sonyaaa.yl")</f>
        <v>https://www.tiktok.com/@sonyaaa.yl</v>
      </c>
      <c r="D1810" s="273">
        <f>IFERROR(__xludf.DUMMYFUNCTION("""COMPUTED_VALUE"""),8.5695393204E10)</f>
        <v>85695393204</v>
      </c>
      <c r="E1810" s="458">
        <f>IFERROR(__xludf.DUMMYFUNCTION("""COMPUTED_VALUE"""),0.0)</f>
        <v>0</v>
      </c>
      <c r="F1810" s="273">
        <f>IFERROR(__xludf.DUMMYFUNCTION("""COMPUTED_VALUE"""),4.0)</f>
        <v>4</v>
      </c>
      <c r="G1810" t="str">
        <f>IFERROR(__xludf.DUMMYFUNCTION("""COMPUTED_VALUE"""),"Sabun batang 1 Box ( 2 PCS )")</f>
        <v>Sabun batang 1 Box ( 2 PCS )</v>
      </c>
      <c r="H1810" s="469" t="str">
        <f>IFERROR(__xludf.DUMMYFUNCTION("""COMPUTED_VALUE"""),"Sampai")</f>
        <v>Sampai</v>
      </c>
      <c r="I1810" s="470" t="str">
        <f>IFERROR(__xludf.DUMMYFUNCTION("""COMPUTED_VALUE"""),"KIMME")</f>
        <v>KIMME</v>
      </c>
      <c r="J1810" s="471" t="str">
        <f>IFERROR(__xludf.DUMMYFUNCTION("""COMPUTED_VALUE"""),"https://vt.tiktok.com/ZSx9yhjtA/")</f>
        <v>https://vt.tiktok.com/ZSx9yhjtA/</v>
      </c>
      <c r="K1810" s="470" t="str">
        <f>IFERROR(__xludf.DUMMYFUNCTION("""COMPUTED_VALUE"""),"KIMME")</f>
        <v>KIMME</v>
      </c>
      <c r="L1810" s="471" t="str">
        <f>IFERROR(__xludf.DUMMYFUNCTION("""COMPUTED_VALUE"""),"https://vt.tiktok.com/ZSx9yxHVX/")</f>
        <v>https://vt.tiktok.com/ZSx9yxHVX/</v>
      </c>
      <c r="M1810" s="470"/>
      <c r="N1810" t="str">
        <f>IFERROR(__xludf.DUMMYFUNCTION("""COMPUTED_VALUE"""),"⁠https://vt.tiktok.com/ZSx9y65va/")</f>
        <v>⁠https://vt.tiktok.com/ZSx9y65va/</v>
      </c>
      <c r="O1810" s="470"/>
      <c r="P1810" s="471" t="str">
        <f>IFERROR(__xludf.DUMMYFUNCTION("""COMPUTED_VALUE"""),"https://vt.tiktok.com/ZSx9ySUhu/")</f>
        <v>https://vt.tiktok.com/ZSx9ySUhu/</v>
      </c>
    </row>
    <row r="1811">
      <c r="A1811" s="282" t="str">
        <f>IFERROR(__xludf.DUMMYFUNCTION("""COMPUTED_VALUE"""),"MICRO")</f>
        <v>MICRO</v>
      </c>
      <c r="B1811" s="468" t="str">
        <f>IFERROR(__xludf.DUMMYFUNCTION("""COMPUTED_VALUE"""),"ir.tyh")</f>
        <v>ir.tyh</v>
      </c>
      <c r="C1811" s="283" t="str">
        <f>IFERROR(__xludf.DUMMYFUNCTION("""COMPUTED_VALUE"""),"https://www.tiktok.com/@ir.tyh")</f>
        <v>https://www.tiktok.com/@ir.tyh</v>
      </c>
      <c r="D1811" s="273">
        <f>IFERROR(__xludf.DUMMYFUNCTION("""COMPUTED_VALUE"""),8.95370325865E11)</f>
        <v>895370325865</v>
      </c>
      <c r="E1811" s="458">
        <f>IFERROR(__xludf.DUMMYFUNCTION("""COMPUTED_VALUE"""),0.0)</f>
        <v>0</v>
      </c>
      <c r="F1811" s="273">
        <f>IFERROR(__xludf.DUMMYFUNCTION("""COMPUTED_VALUE"""),4.0)</f>
        <v>4</v>
      </c>
      <c r="G1811" t="str">
        <f>IFERROR(__xludf.DUMMYFUNCTION("""COMPUTED_VALUE"""),"Sabun batang 1 Box ( 2 PCS )")</f>
        <v>Sabun batang 1 Box ( 2 PCS )</v>
      </c>
      <c r="H1811" s="469" t="str">
        <f>IFERROR(__xludf.DUMMYFUNCTION("""COMPUTED_VALUE"""),"Sampai")</f>
        <v>Sampai</v>
      </c>
      <c r="I1811" s="470" t="str">
        <f>IFERROR(__xludf.DUMMYFUNCTION("""COMPUTED_VALUE"""),"KIMME")</f>
        <v>KIMME</v>
      </c>
      <c r="J1811" s="471" t="str">
        <f>IFERROR(__xludf.DUMMYFUNCTION("""COMPUTED_VALUE"""),"https://vt.tiktok.com/ZSx9yctYv/")</f>
        <v>https://vt.tiktok.com/ZSx9yctYv/</v>
      </c>
      <c r="K1811" s="470" t="str">
        <f>IFERROR(__xludf.DUMMYFUNCTION("""COMPUTED_VALUE"""),"KIMME")</f>
        <v>KIMME</v>
      </c>
      <c r="L1811" s="471" t="str">
        <f>IFERROR(__xludf.DUMMYFUNCTION("""COMPUTED_VALUE"""),"https://vt.tiktok.com/ZSx9f16Nj/")</f>
        <v>https://vt.tiktok.com/ZSx9f16Nj/</v>
      </c>
      <c r="M1811" s="470"/>
      <c r="N1811" t="str">
        <f>IFERROR(__xludf.DUMMYFUNCTION("""COMPUTED_VALUE"""),"⁠⁠⁠⁠https://vt.tiktok.com/ZSx9yWo9y/")</f>
        <v>⁠⁠⁠⁠https://vt.tiktok.com/ZSx9yWo9y/</v>
      </c>
      <c r="O1811" s="470"/>
      <c r="P1811" s="471" t="str">
        <f>IFERROR(__xludf.DUMMYFUNCTION("""COMPUTED_VALUE"""),"https://vt.tiktok.com/ZSx9yn96m/")</f>
        <v>https://vt.tiktok.com/ZSx9yn96m/</v>
      </c>
    </row>
    <row r="1812">
      <c r="A1812" s="282" t="str">
        <f>IFERROR(__xludf.DUMMYFUNCTION("""COMPUTED_VALUE"""),"MICRO")</f>
        <v>MICRO</v>
      </c>
      <c r="B1812" s="468" t="str">
        <f>IFERROR(__xludf.DUMMYFUNCTION("""COMPUTED_VALUE"""),"fadhilatft")</f>
        <v>fadhilatft</v>
      </c>
      <c r="C1812" s="283" t="str">
        <f>IFERROR(__xludf.DUMMYFUNCTION("""COMPUTED_VALUE"""),"https://www.tiktok.com/@fadhilatft")</f>
        <v>https://www.tiktok.com/@fadhilatft</v>
      </c>
      <c r="D1812" s="273">
        <f>IFERROR(__xludf.DUMMYFUNCTION("""COMPUTED_VALUE"""),8.2179860266E10)</f>
        <v>82179860266</v>
      </c>
      <c r="E1812" s="458">
        <f>IFERROR(__xludf.DUMMYFUNCTION("""COMPUTED_VALUE"""),0.0)</f>
        <v>0</v>
      </c>
      <c r="F1812" s="273">
        <f>IFERROR(__xludf.DUMMYFUNCTION("""COMPUTED_VALUE"""),4.0)</f>
        <v>4</v>
      </c>
      <c r="G1812" t="str">
        <f>IFERROR(__xludf.DUMMYFUNCTION("""COMPUTED_VALUE"""),"Sabun batang 1 Box ( 2 PCS )")</f>
        <v>Sabun batang 1 Box ( 2 PCS )</v>
      </c>
      <c r="H1812" s="469" t="str">
        <f>IFERROR(__xludf.DUMMYFUNCTION("""COMPUTED_VALUE"""),"Sampai")</f>
        <v>Sampai</v>
      </c>
      <c r="I1812" s="470" t="str">
        <f>IFERROR(__xludf.DUMMYFUNCTION("""COMPUTED_VALUE"""),"KIMME")</f>
        <v>KIMME</v>
      </c>
      <c r="J1812" s="471" t="str">
        <f>IFERROR(__xludf.DUMMYFUNCTION("""COMPUTED_VALUE"""),"https://vt.tiktok.com/ZSxmeao9u/")</f>
        <v>https://vt.tiktok.com/ZSxmeao9u/</v>
      </c>
      <c r="K1812" s="470" t="str">
        <f>IFERROR(__xludf.DUMMYFUNCTION("""COMPUTED_VALUE"""),"KIMME")</f>
        <v>KIMME</v>
      </c>
      <c r="L1812" s="471" t="str">
        <f>IFERROR(__xludf.DUMMYFUNCTION("""COMPUTED_VALUE"""),"https://vt.tiktok.com/ZSxmeqoxF/")</f>
        <v>https://vt.tiktok.com/ZSxmeqoxF/</v>
      </c>
      <c r="M1812" s="470"/>
      <c r="N1812" s="471" t="str">
        <f>IFERROR(__xludf.DUMMYFUNCTION("""COMPUTED_VALUE"""),"https://vt.tiktok.com/ZSxme1sw4/")</f>
        <v>https://vt.tiktok.com/ZSxme1sw4/</v>
      </c>
      <c r="O1812" s="470"/>
      <c r="P1812" s="471" t="str">
        <f>IFERROR(__xludf.DUMMYFUNCTION("""COMPUTED_VALUE"""),"https://vt.tiktok.com/ZSxmeUUYa/")</f>
        <v>https://vt.tiktok.com/ZSxmeUUYa/</v>
      </c>
    </row>
    <row r="1813">
      <c r="A1813" s="282" t="str">
        <f>IFERROR(__xludf.DUMMYFUNCTION("""COMPUTED_VALUE"""),"MICRO")</f>
        <v>MICRO</v>
      </c>
      <c r="B1813" s="468" t="str">
        <f>IFERROR(__xludf.DUMMYFUNCTION("""COMPUTED_VALUE"""),"ur3451")</f>
        <v>ur3451</v>
      </c>
      <c r="C1813" s="283" t="str">
        <f>IFERROR(__xludf.DUMMYFUNCTION("""COMPUTED_VALUE"""),"https://www.tiktok.com/@ur3451")</f>
        <v>https://www.tiktok.com/@ur3451</v>
      </c>
      <c r="D1813" s="273">
        <f>IFERROR(__xludf.DUMMYFUNCTION("""COMPUTED_VALUE"""),8.5800519119E10)</f>
        <v>85800519119</v>
      </c>
      <c r="E1813" s="458">
        <f>IFERROR(__xludf.DUMMYFUNCTION("""COMPUTED_VALUE"""),0.0)</f>
        <v>0</v>
      </c>
      <c r="F1813" s="273">
        <f>IFERROR(__xludf.DUMMYFUNCTION("""COMPUTED_VALUE"""),4.0)</f>
        <v>4</v>
      </c>
      <c r="G1813" t="str">
        <f>IFERROR(__xludf.DUMMYFUNCTION("""COMPUTED_VALUE"""),"Sabun batang 1 Box ( 2 PCS )")</f>
        <v>Sabun batang 1 Box ( 2 PCS )</v>
      </c>
      <c r="H1813" s="469" t="str">
        <f>IFERROR(__xludf.DUMMYFUNCTION("""COMPUTED_VALUE"""),"Sampai")</f>
        <v>Sampai</v>
      </c>
      <c r="I1813" s="470" t="str">
        <f>IFERROR(__xludf.DUMMYFUNCTION("""COMPUTED_VALUE"""),"KIMME")</f>
        <v>KIMME</v>
      </c>
      <c r="J1813" s="471" t="str">
        <f>IFERROR(__xludf.DUMMYFUNCTION("""COMPUTED_VALUE"""),"https://www.tiktok.com/@sarsaparillaa/video/7634942262597750037?_r=1&amp;u_code=6198hfcj6k43c&amp;region=&amp;mid=7619742846682400785&amp;preview_pb=0&amp;sharer_language=&amp;_d=0&amp;ec_shared_reflux_dynamic_params=%7B%22placeholder_material_id%22%3A%227634942262597750037%22%2C%22"&amp;"placeholder_origin_cover%22%3A%22https%253A%252F%252Fp16-common-sign.tiktokcdn.com%252Ftos-alisg-p-0037%252FowcNQUa7LDAxhrEeiMF9BRpCvEtgxBP9QIf5pE~tplv-tiktokx-origin.jpeg%253Fdr%253D14572%2526refresh_token%253D31cfb09e%2526x-expires%253D1809504000%2526x-"&amp;"signature%253DW0jbDihJpjiJdmv%25252FAxwl%25252FqQe8aw%25253D%2526t%253D4d5b0474%2526ps%253D13740610%2526shp%253Dd05b14bd%2526shcp%253D34ff8df6%2526idc%253Dmy%2526s%253DTIKTOK_AFFILIATE_VIRAL_VIDEO%22%2C%22placeholder_product_id%22%3A%221729427766722726591"&amp;"%22%2C%22placeholder_video_id%22%3A%227634942262597750037%22%7D&amp;ec_shared_reflux_scene=shop_tab_feed&amp;share_item_id=7634942262597750037&amp;source=h5_t")</f>
        <v>https://www.tiktok.com/@sarsaparillaa/video/7634942262597750037?_r=1&amp;u_code=6198hfcj6k43c&amp;region=&amp;mid=7619742846682400785&amp;preview_pb=0&amp;sharer_language=&amp;_d=0&amp;ec_shared_reflux_dynamic_params=%7B%22placeholder_material_id%22%3A%227634942262597750037%22%2C%22placeholder_origin_cover%22%3A%22https%253A%252F%252Fp16-common-sign.tiktokcdn.com%252Ftos-alisg-p-0037%252FowcNQUa7LDAxhrEeiMF9BRpCvEtgxBP9QIf5pE~tplv-tiktokx-origin.jpeg%253Fdr%253D14572%2526refresh_token%253D31cfb09e%2526x-expires%253D1809504000%2526x-signature%253DW0jbDihJpjiJdmv%25252FAxwl%25252FqQe8aw%25253D%2526t%253D4d5b0474%2526ps%253D13740610%2526shp%253Dd05b14bd%2526shcp%253D34ff8df6%2526idc%253Dmy%2526s%253DTIKTOK_AFFILIATE_VIRAL_VIDEO%22%2C%22placeholder_product_id%22%3A%221729427766722726591%22%2C%22placeholder_video_id%22%3A%227634942262597750037%22%7D&amp;ec_shared_reflux_scene=shop_tab_feed&amp;share_item_id=7634942262597750037&amp;source=h5_t</v>
      </c>
      <c r="K1813" s="470" t="str">
        <f>IFERROR(__xludf.DUMMYFUNCTION("""COMPUTED_VALUE"""),"KIMME")</f>
        <v>KIMME</v>
      </c>
      <c r="L1813" s="471" t="str">
        <f>IFERROR(__xludf.DUMMYFUNCTION("""COMPUTED_VALUE"""),"https://www.tiktok.com/@sarsaparillaa/video/7634977370390285589?_r=1&amp;u_code=6198hfcj6k43c&amp;region=&amp;mid=7632888350513908501&amp;preview_pb=0&amp;sharer_language=&amp;_d=0&amp;ec_shared_reflux_dynamic_params=%7B%22placeholder_material_id%22%3A%227634977370390285589%22%2C%22"&amp;"placeholder_origin_cover%22%3A%22https%253A%252F%252Fp16-common-sign.tiktokcdn.com%252Ftos-alisg-p-0037%252FoAEhSAIgUgAFCEO4LHRRq9fhFMD2BBsIfB4pM0~tplv-tiktokx-origin.jpeg%253Fdr%253D14572%2526refresh_token%253D95d46316%2526x-expires%253D1809504000%2526x-"&amp;"signature%253D0fEaBXznpOgeH2YAMtRu7%25252B3P2Y4%25253D%2526t%253D4d5b0474%2526ps%253D13740610%2526shp%253Dd05b14bd%2526shcp%253D34ff8df6%2526idc%253Dmy%2526s%253DTIKTOK_AFFILIATE_VIRAL_VIDEO%22%2C%22placeholder_product_id%22%3A%221729427766722726591%22%2C"&amp;"%22placeholder_video_id%22%3A%227634977370390285589%22%7D&amp;ec_shared_reflux_scene=shop_tab_feed&amp;share_item_id=7634977370390285589&amp;source=h5_t")</f>
        <v>https://www.tiktok.com/@sarsaparillaa/video/7634977370390285589?_r=1&amp;u_code=6198hfcj6k43c&amp;region=&amp;mid=7632888350513908501&amp;preview_pb=0&amp;sharer_language=&amp;_d=0&amp;ec_shared_reflux_dynamic_params=%7B%22placeholder_material_id%22%3A%227634977370390285589%22%2C%22placeholder_origin_cover%22%3A%22https%253A%252F%252Fp16-common-sign.tiktokcdn.com%252Ftos-alisg-p-0037%252FoAEhSAIgUgAFCEO4LHRRq9fhFMD2BBsIfB4pM0~tplv-tiktokx-origin.jpeg%253Fdr%253D14572%2526refresh_token%253D95d46316%2526x-expires%253D1809504000%2526x-signature%253D0fEaBXznpOgeH2YAMtRu7%25252B3P2Y4%25253D%2526t%253D4d5b0474%2526ps%253D13740610%2526shp%253Dd05b14bd%2526shcp%253D34ff8df6%2526idc%253Dmy%2526s%253DTIKTOK_AFFILIATE_VIRAL_VIDEO%22%2C%22placeholder_product_id%22%3A%221729427766722726591%22%2C%22placeholder_video_id%22%3A%227634977370390285589%22%7D&amp;ec_shared_reflux_scene=shop_tab_feed&amp;share_item_id=7634977370390285589&amp;source=h5_t</v>
      </c>
      <c r="M1813" s="470"/>
      <c r="N1813" s="471" t="str">
        <f>IFERROR(__xludf.DUMMYFUNCTION("""COMPUTED_VALUE"""),"https://vt.tiktok.com/ZSx9ynb5D/")</f>
        <v>https://vt.tiktok.com/ZSx9ynb5D/</v>
      </c>
      <c r="O1813" s="470"/>
      <c r="P1813" s="471" t="str">
        <f>IFERROR(__xludf.DUMMYFUNCTION("""COMPUTED_VALUE"""),"https://vt.tiktok.com/ZSxyP72BK/")</f>
        <v>https://vt.tiktok.com/ZSxyP72BK/</v>
      </c>
    </row>
    <row r="1814">
      <c r="A1814" s="282" t="str">
        <f>IFERROR(__xludf.DUMMYFUNCTION("""COMPUTED_VALUE"""),"MICRO")</f>
        <v>MICRO</v>
      </c>
      <c r="B1814" s="468" t="str">
        <f>IFERROR(__xludf.DUMMYFUNCTION("""COMPUTED_VALUE"""),"devipurnami29")</f>
        <v>devipurnami29</v>
      </c>
      <c r="C1814" s="283" t="str">
        <f>IFERROR(__xludf.DUMMYFUNCTION("""COMPUTED_VALUE"""),"https://www.tiktok.com/@devipurnami29")</f>
        <v>https://www.tiktok.com/@devipurnami29</v>
      </c>
      <c r="D1814" s="273">
        <f>IFERROR(__xludf.DUMMYFUNCTION("""COMPUTED_VALUE"""),8.579345427E10)</f>
        <v>85793454270</v>
      </c>
      <c r="E1814" s="458">
        <f>IFERROR(__xludf.DUMMYFUNCTION("""COMPUTED_VALUE"""),0.0)</f>
        <v>0</v>
      </c>
      <c r="F1814" s="273">
        <f>IFERROR(__xludf.DUMMYFUNCTION("""COMPUTED_VALUE"""),4.0)</f>
        <v>4</v>
      </c>
      <c r="G1814" t="str">
        <f>IFERROR(__xludf.DUMMYFUNCTION("""COMPUTED_VALUE"""),"Sabun batang 1 Box ( 2 PCS )")</f>
        <v>Sabun batang 1 Box ( 2 PCS )</v>
      </c>
      <c r="H1814" s="469" t="str">
        <f>IFERROR(__xludf.DUMMYFUNCTION("""COMPUTED_VALUE"""),"Sampai")</f>
        <v>Sampai</v>
      </c>
      <c r="I1814" s="470" t="str">
        <f>IFERROR(__xludf.DUMMYFUNCTION("""COMPUTED_VALUE"""),"KIMME")</f>
        <v>KIMME</v>
      </c>
      <c r="J1814" s="471" t="str">
        <f>IFERROR(__xludf.DUMMYFUNCTION("""COMPUTED_VALUE"""),"https://vt.tiktok.com/ZSxyPy46y/")</f>
        <v>https://vt.tiktok.com/ZSxyPy46y/</v>
      </c>
      <c r="K1814" s="470" t="str">
        <f>IFERROR(__xludf.DUMMYFUNCTION("""COMPUTED_VALUE"""),"KIMME")</f>
        <v>KIMME</v>
      </c>
      <c r="L1814" s="471" t="str">
        <f>IFERROR(__xludf.DUMMYFUNCTION("""COMPUTED_VALUE"""),"https://vt.tiktok.com/ZSxyPnmbe/")</f>
        <v>https://vt.tiktok.com/ZSxyPnmbe/</v>
      </c>
      <c r="M1814" s="470"/>
      <c r="N1814" s="471" t="str">
        <f>IFERROR(__xludf.DUMMYFUNCTION("""COMPUTED_VALUE"""),"https://vt.tiktok.com/ZSxyPg4GN/")</f>
        <v>https://vt.tiktok.com/ZSxyPg4GN/</v>
      </c>
      <c r="O1814" s="470"/>
      <c r="P1814" s="471" t="str">
        <f>IFERROR(__xludf.DUMMYFUNCTION("""COMPUTED_VALUE"""),"https://vt.tiktok.com/ZSxyPgRQc/")</f>
        <v>https://vt.tiktok.com/ZSxyPgRQc/</v>
      </c>
    </row>
    <row r="1815">
      <c r="A1815" s="282" t="str">
        <f>IFERROR(__xludf.DUMMYFUNCTION("""COMPUTED_VALUE"""),"MICRO")</f>
        <v>MICRO</v>
      </c>
      <c r="B1815" s="468" t="str">
        <f>IFERROR(__xludf.DUMMYFUNCTION("""COMPUTED_VALUE"""),"calliaputri16")</f>
        <v>calliaputri16</v>
      </c>
      <c r="C1815" s="283" t="str">
        <f>IFERROR(__xludf.DUMMYFUNCTION("""COMPUTED_VALUE"""),"https://www.tiktok.com/@calliaputri16")</f>
        <v>https://www.tiktok.com/@calliaputri16</v>
      </c>
      <c r="D1815" s="273">
        <f>IFERROR(__xludf.DUMMYFUNCTION("""COMPUTED_VALUE"""),8.1939268123E10)</f>
        <v>81939268123</v>
      </c>
      <c r="E1815" s="458">
        <f>IFERROR(__xludf.DUMMYFUNCTION("""COMPUTED_VALUE"""),0.0)</f>
        <v>0</v>
      </c>
      <c r="F1815" s="273">
        <f>IFERROR(__xludf.DUMMYFUNCTION("""COMPUTED_VALUE"""),4.0)</f>
        <v>4</v>
      </c>
      <c r="G1815" t="str">
        <f>IFERROR(__xludf.DUMMYFUNCTION("""COMPUTED_VALUE"""),"Sabun batang 1 Box ( 2 PCS )")</f>
        <v>Sabun batang 1 Box ( 2 PCS )</v>
      </c>
      <c r="H1815" s="469" t="str">
        <f>IFERROR(__xludf.DUMMYFUNCTION("""COMPUTED_VALUE"""),"Sampai")</f>
        <v>Sampai</v>
      </c>
      <c r="I1815" s="470" t="str">
        <f>IFERROR(__xludf.DUMMYFUNCTION("""COMPUTED_VALUE"""),"KIMME")</f>
        <v>KIMME</v>
      </c>
      <c r="J1815" s="471" t="str">
        <f>IFERROR(__xludf.DUMMYFUNCTION("""COMPUTED_VALUE"""),"https://vt.tiktok.com/ZS9ovyYUW/")</f>
        <v>https://vt.tiktok.com/ZS9ovyYUW/</v>
      </c>
      <c r="K1815" s="470" t="str">
        <f>IFERROR(__xludf.DUMMYFUNCTION("""COMPUTED_VALUE"""),"KIMME")</f>
        <v>KIMME</v>
      </c>
      <c r="L1815" s="471" t="str">
        <f>IFERROR(__xludf.DUMMYFUNCTION("""COMPUTED_VALUE"""),"https://vt.tiktok.com/ZS9ovkvoy/")</f>
        <v>https://vt.tiktok.com/ZS9ovkvoy/</v>
      </c>
      <c r="M1815" s="470"/>
      <c r="N1815" t="str">
        <f>IFERROR(__xludf.DUMMYFUNCTION("""COMPUTED_VALUE"""),"⁠⁠https://vt.tiktok.com/ZSx9ywjLA/")</f>
        <v>⁠⁠https://vt.tiktok.com/ZSx9ywjLA/</v>
      </c>
      <c r="O1815" s="470"/>
      <c r="P1815" s="471" t="str">
        <f>IFERROR(__xludf.DUMMYFUNCTION("""COMPUTED_VALUE"""),"https://vt.tiktok.com/ZSxyPuj76/")</f>
        <v>https://vt.tiktok.com/ZSxyPuj76/</v>
      </c>
    </row>
    <row r="1816">
      <c r="A1816" s="282" t="str">
        <f>IFERROR(__xludf.DUMMYFUNCTION("""COMPUTED_VALUE"""),"MICRO")</f>
        <v>MICRO</v>
      </c>
      <c r="B1816" s="468" t="str">
        <f>IFERROR(__xludf.DUMMYFUNCTION("""COMPUTED_VALUE"""),"yudyhadi")</f>
        <v>yudyhadi</v>
      </c>
      <c r="C1816" s="283" t="str">
        <f>IFERROR(__xludf.DUMMYFUNCTION("""COMPUTED_VALUE"""),"https://www.tiktok.com/@yudyhadi")</f>
        <v>https://www.tiktok.com/@yudyhadi</v>
      </c>
      <c r="D1816" s="273">
        <f>IFERROR(__xludf.DUMMYFUNCTION("""COMPUTED_VALUE"""),8.156890757E9)</f>
        <v>8156890757</v>
      </c>
      <c r="E1816" s="458">
        <f>IFERROR(__xludf.DUMMYFUNCTION("""COMPUTED_VALUE"""),0.0)</f>
        <v>0</v>
      </c>
      <c r="F1816" s="273">
        <f>IFERROR(__xludf.DUMMYFUNCTION("""COMPUTED_VALUE"""),4.0)</f>
        <v>4</v>
      </c>
      <c r="G1816" t="str">
        <f>IFERROR(__xludf.DUMMYFUNCTION("""COMPUTED_VALUE"""),"Sabun batang 1 Box ( 2 PCS )")</f>
        <v>Sabun batang 1 Box ( 2 PCS )</v>
      </c>
      <c r="H1816" s="469" t="str">
        <f>IFERROR(__xludf.DUMMYFUNCTION("""COMPUTED_VALUE"""),"Sampai")</f>
        <v>Sampai</v>
      </c>
      <c r="I1816" s="470" t="str">
        <f>IFERROR(__xludf.DUMMYFUNCTION("""COMPUTED_VALUE"""),"KIMME")</f>
        <v>KIMME</v>
      </c>
      <c r="J1816" s="471" t="str">
        <f>IFERROR(__xludf.DUMMYFUNCTION("""COMPUTED_VALUE"""),"https://vt.tiktok.com/ZSxyPu73N/")</f>
        <v>https://vt.tiktok.com/ZSxyPu73N/</v>
      </c>
      <c r="K1816" s="470" t="str">
        <f>IFERROR(__xludf.DUMMYFUNCTION("""COMPUTED_VALUE"""),"KIMME")</f>
        <v>KIMME</v>
      </c>
      <c r="L1816" s="471" t="str">
        <f>IFERROR(__xludf.DUMMYFUNCTION("""COMPUTED_VALUE"""),"https://vt.tiktok.com/ZSxyPpR9G/")</f>
        <v>https://vt.tiktok.com/ZSxyPpR9G/</v>
      </c>
      <c r="M1816" s="470"/>
      <c r="N1816" s="471" t="str">
        <f>IFERROR(__xludf.DUMMYFUNCTION("""COMPUTED_VALUE"""),"https://vt.tiktok.com/ZSxyPqqLS/")</f>
        <v>https://vt.tiktok.com/ZSxyPqqLS/</v>
      </c>
      <c r="O1816" s="470"/>
      <c r="P1816" s="471" t="str">
        <f>IFERROR(__xludf.DUMMYFUNCTION("""COMPUTED_VALUE"""),"https://vt.tiktok.com/ZSxyPbKba/")</f>
        <v>https://vt.tiktok.com/ZSxyPbKba/</v>
      </c>
    </row>
    <row r="1817">
      <c r="A1817" s="282" t="str">
        <f>IFERROR(__xludf.DUMMYFUNCTION("""COMPUTED_VALUE"""),"MICRO")</f>
        <v>MICRO</v>
      </c>
      <c r="B1817" s="468" t="str">
        <f>IFERROR(__xludf.DUMMYFUNCTION("""COMPUTED_VALUE"""),"masukmaa03")</f>
        <v>masukmaa03</v>
      </c>
      <c r="C1817" s="283" t="str">
        <f>IFERROR(__xludf.DUMMYFUNCTION("""COMPUTED_VALUE"""),"https://www.tiktok.com/@masukmaa03")</f>
        <v>https://www.tiktok.com/@masukmaa03</v>
      </c>
      <c r="D1817" s="273">
        <f>IFERROR(__xludf.DUMMYFUNCTION("""COMPUTED_VALUE"""),8.2229561901E10)</f>
        <v>82229561901</v>
      </c>
      <c r="E1817" s="458">
        <f>IFERROR(__xludf.DUMMYFUNCTION("""COMPUTED_VALUE"""),0.0)</f>
        <v>0</v>
      </c>
      <c r="F1817" s="273">
        <f>IFERROR(__xludf.DUMMYFUNCTION("""COMPUTED_VALUE"""),4.0)</f>
        <v>4</v>
      </c>
      <c r="G1817" t="str">
        <f>IFERROR(__xludf.DUMMYFUNCTION("""COMPUTED_VALUE"""),"Sabun batang 1 Box ( 2 PCS )")</f>
        <v>Sabun batang 1 Box ( 2 PCS )</v>
      </c>
      <c r="H1817" s="469" t="str">
        <f>IFERROR(__xludf.DUMMYFUNCTION("""COMPUTED_VALUE"""),"Sampai")</f>
        <v>Sampai</v>
      </c>
      <c r="I1817" s="470" t="str">
        <f>IFERROR(__xludf.DUMMYFUNCTION("""COMPUTED_VALUE"""),"KIMME")</f>
        <v>KIMME</v>
      </c>
      <c r="J1817" s="471" t="str">
        <f>IFERROR(__xludf.DUMMYFUNCTION("""COMPUTED_VALUE"""),"https://vt.tiktok.com/ZSxxj4Ksu/")</f>
        <v>https://vt.tiktok.com/ZSxxj4Ksu/</v>
      </c>
      <c r="K1817" s="470" t="str">
        <f>IFERROR(__xludf.DUMMYFUNCTION("""COMPUTED_VALUE"""),"KIMME")</f>
        <v>KIMME</v>
      </c>
      <c r="L1817" s="471" t="str">
        <f>IFERROR(__xludf.DUMMYFUNCTION("""COMPUTED_VALUE"""),"https://vt.tiktok.com/ZSxxjbngU/")</f>
        <v>https://vt.tiktok.com/ZSxxjbngU/</v>
      </c>
      <c r="M1817" s="470"/>
      <c r="N1817" s="471" t="str">
        <f>IFERROR(__xludf.DUMMYFUNCTION("""COMPUTED_VALUE"""),"https://vt.tiktok.com/ZSxx6r7H5/")</f>
        <v>https://vt.tiktok.com/ZSxx6r7H5/</v>
      </c>
      <c r="O1817" s="470"/>
      <c r="P1817" s="471" t="str">
        <f>IFERROR(__xludf.DUMMYFUNCTION("""COMPUTED_VALUE"""),"https://vt.tiktok.com/ZSxx62kRr/")</f>
        <v>https://vt.tiktok.com/ZSxx62kRr/</v>
      </c>
    </row>
    <row r="1818">
      <c r="A1818" s="282" t="str">
        <f>IFERROR(__xludf.DUMMYFUNCTION("""COMPUTED_VALUE"""),"MICRO")</f>
        <v>MICRO</v>
      </c>
      <c r="B1818" s="468" t="str">
        <f>IFERROR(__xludf.DUMMYFUNCTION("""COMPUTED_VALUE"""),"satujanuari98_")</f>
        <v>satujanuari98_</v>
      </c>
      <c r="C1818" s="283" t="str">
        <f>IFERROR(__xludf.DUMMYFUNCTION("""COMPUTED_VALUE"""),"https://www.tiktok.com/@satujanuari98_")</f>
        <v>https://www.tiktok.com/@satujanuari98_</v>
      </c>
      <c r="D1818" s="273">
        <f>IFERROR(__xludf.DUMMYFUNCTION("""COMPUTED_VALUE"""),8.1574815205E10)</f>
        <v>81574815205</v>
      </c>
      <c r="E1818" s="458">
        <f>IFERROR(__xludf.DUMMYFUNCTION("""COMPUTED_VALUE"""),0.0)</f>
        <v>0</v>
      </c>
      <c r="F1818" s="273">
        <f>IFERROR(__xludf.DUMMYFUNCTION("""COMPUTED_VALUE"""),4.0)</f>
        <v>4</v>
      </c>
      <c r="G1818" t="str">
        <f>IFERROR(__xludf.DUMMYFUNCTION("""COMPUTED_VALUE"""),"Sabun batang 1 Box ( 2 PCS )")</f>
        <v>Sabun batang 1 Box ( 2 PCS )</v>
      </c>
      <c r="H1818" s="469" t="str">
        <f>IFERROR(__xludf.DUMMYFUNCTION("""COMPUTED_VALUE"""),"Sampai")</f>
        <v>Sampai</v>
      </c>
      <c r="I1818" s="470" t="str">
        <f>IFERROR(__xludf.DUMMYFUNCTION("""COMPUTED_VALUE"""),"KIMME")</f>
        <v>KIMME</v>
      </c>
      <c r="J1818" s="471" t="str">
        <f>IFERROR(__xludf.DUMMYFUNCTION("""COMPUTED_VALUE"""),"https://vt.tiktok.com/ZS9DPUo5R/")</f>
        <v>https://vt.tiktok.com/ZS9DPUo5R/</v>
      </c>
      <c r="K1818" s="470" t="str">
        <f>IFERROR(__xludf.DUMMYFUNCTION("""COMPUTED_VALUE"""),"KIMME")</f>
        <v>KIMME</v>
      </c>
      <c r="L1818" s="471" t="str">
        <f>IFERROR(__xludf.DUMMYFUNCTION("""COMPUTED_VALUE"""),"https://vt.tiktok.com/ZS9DPDvFU/")</f>
        <v>https://vt.tiktok.com/ZS9DPDvFU/</v>
      </c>
      <c r="M1818" s="470"/>
      <c r="N1818" s="471" t="str">
        <f>IFERROR(__xludf.DUMMYFUNCTION("""COMPUTED_VALUE"""),"https://vt.tiktok.com/ZS9DP67g8/")</f>
        <v>https://vt.tiktok.com/ZS9DP67g8/</v>
      </c>
      <c r="O1818" s="470"/>
      <c r="P1818" s="471" t="str">
        <f>IFERROR(__xludf.DUMMYFUNCTION("""COMPUTED_VALUE"""),"https://vt.tiktok.com/ZS9DPmU5N/")</f>
        <v>https://vt.tiktok.com/ZS9DPmU5N/</v>
      </c>
    </row>
    <row r="1819">
      <c r="A1819" s="282" t="str">
        <f>IFERROR(__xludf.DUMMYFUNCTION("""COMPUTED_VALUE"""),"MICRO")</f>
        <v>MICRO</v>
      </c>
      <c r="B1819" s="468" t="str">
        <f>IFERROR(__xludf.DUMMYFUNCTION("""COMPUTED_VALUE"""),"heinashop")</f>
        <v>heinashop</v>
      </c>
      <c r="C1819" s="283" t="str">
        <f>IFERROR(__xludf.DUMMYFUNCTION("""COMPUTED_VALUE"""),"https://www.tiktok.com/@heinashop")</f>
        <v>https://www.tiktok.com/@heinashop</v>
      </c>
      <c r="D1819" s="273">
        <f>IFERROR(__xludf.DUMMYFUNCTION("""COMPUTED_VALUE"""),8.3138045044E10)</f>
        <v>83138045044</v>
      </c>
      <c r="E1819" s="458">
        <f>IFERROR(__xludf.DUMMYFUNCTION("""COMPUTED_VALUE"""),0.0)</f>
        <v>0</v>
      </c>
      <c r="F1819" s="273">
        <f>IFERROR(__xludf.DUMMYFUNCTION("""COMPUTED_VALUE"""),4.0)</f>
        <v>4</v>
      </c>
      <c r="G1819" t="str">
        <f>IFERROR(__xludf.DUMMYFUNCTION("""COMPUTED_VALUE"""),"Sabun batang 1 Box ( 2 PCS )")</f>
        <v>Sabun batang 1 Box ( 2 PCS )</v>
      </c>
      <c r="H1819" s="469" t="str">
        <f>IFERROR(__xludf.DUMMYFUNCTION("""COMPUTED_VALUE"""),"Sampai")</f>
        <v>Sampai</v>
      </c>
      <c r="I1819" s="470" t="str">
        <f>IFERROR(__xludf.DUMMYFUNCTION("""COMPUTED_VALUE"""),"KIMME")</f>
        <v>KIMME</v>
      </c>
      <c r="J1819" s="471" t="str">
        <f>IFERROR(__xludf.DUMMYFUNCTION("""COMPUTED_VALUE"""),"https://vt.tiktok.com/ZS9DP2wff/")</f>
        <v>https://vt.tiktok.com/ZS9DP2wff/</v>
      </c>
      <c r="K1819" s="470" t="str">
        <f>IFERROR(__xludf.DUMMYFUNCTION("""COMPUTED_VALUE"""),"KIMME")</f>
        <v>KIMME</v>
      </c>
      <c r="L1819" s="471" t="str">
        <f>IFERROR(__xludf.DUMMYFUNCTION("""COMPUTED_VALUE"""),"https://vt.tiktok.com/ZS9DP9gUq/")</f>
        <v>https://vt.tiktok.com/ZS9DP9gUq/</v>
      </c>
      <c r="M1819" s="470"/>
      <c r="N1819" s="471" t="str">
        <f>IFERROR(__xludf.DUMMYFUNCTION("""COMPUTED_VALUE"""),"https://vt.tiktok.com/ZS9DPPrEn/")</f>
        <v>https://vt.tiktok.com/ZS9DPPrEn/</v>
      </c>
      <c r="O1819" s="470"/>
      <c r="P1819" s="471" t="str">
        <f>IFERROR(__xludf.DUMMYFUNCTION("""COMPUTED_VALUE"""),"https://vt.tiktok.com/ZS959tdWy/")</f>
        <v>https://vt.tiktok.com/ZS959tdWy/</v>
      </c>
    </row>
    <row r="1820">
      <c r="A1820" s="282" t="str">
        <f>IFERROR(__xludf.DUMMYFUNCTION("""COMPUTED_VALUE"""),"MICRO")</f>
        <v>MICRO</v>
      </c>
      <c r="B1820" s="468" t="str">
        <f>IFERROR(__xludf.DUMMYFUNCTION("""COMPUTED_VALUE"""),"qiqilucki__")</f>
        <v>qiqilucki__</v>
      </c>
      <c r="C1820" s="283" t="str">
        <f>IFERROR(__xludf.DUMMYFUNCTION("""COMPUTED_VALUE"""),"https://www.tiktok.com/@qiqilucki__")</f>
        <v>https://www.tiktok.com/@qiqilucki__</v>
      </c>
      <c r="D1820" s="273">
        <f>IFERROR(__xludf.DUMMYFUNCTION("""COMPUTED_VALUE"""),8.528258943E10)</f>
        <v>85282589430</v>
      </c>
      <c r="E1820" s="458">
        <f>IFERROR(__xludf.DUMMYFUNCTION("""COMPUTED_VALUE"""),0.0)</f>
        <v>0</v>
      </c>
      <c r="F1820" s="273">
        <f>IFERROR(__xludf.DUMMYFUNCTION("""COMPUTED_VALUE"""),4.0)</f>
        <v>4</v>
      </c>
      <c r="G1820" t="str">
        <f>IFERROR(__xludf.DUMMYFUNCTION("""COMPUTED_VALUE"""),"Sabun batang 1 Box ( 2 PCS )")</f>
        <v>Sabun batang 1 Box ( 2 PCS )</v>
      </c>
      <c r="H1820" s="469" t="str">
        <f>IFERROR(__xludf.DUMMYFUNCTION("""COMPUTED_VALUE"""),"Sampai")</f>
        <v>Sampai</v>
      </c>
      <c r="I1820" s="470" t="str">
        <f>IFERROR(__xludf.DUMMYFUNCTION("""COMPUTED_VALUE"""),"KIMME")</f>
        <v>KIMME</v>
      </c>
      <c r="J1820" s="471" t="str">
        <f>IFERROR(__xludf.DUMMYFUNCTION("""COMPUTED_VALUE"""),"https://vt.tiktok.com/ZSxyASNre/")</f>
        <v>https://vt.tiktok.com/ZSxyASNre/</v>
      </c>
      <c r="K1820" s="470" t="str">
        <f>IFERROR(__xludf.DUMMYFUNCTION("""COMPUTED_VALUE"""),"KIMME")</f>
        <v>KIMME</v>
      </c>
      <c r="L1820" s="471" t="str">
        <f>IFERROR(__xludf.DUMMYFUNCTION("""COMPUTED_VALUE"""),"https://vt.tiktok.com/ZSxgHegHn/")</f>
        <v>https://vt.tiktok.com/ZSxgHegHn/</v>
      </c>
      <c r="M1820" s="470"/>
      <c r="N1820" s="471" t="str">
        <f>IFERROR(__xludf.DUMMYFUNCTION("""COMPUTED_VALUE"""),"https://vt.tiktok.com/ZSxPMNRYe/")</f>
        <v>https://vt.tiktok.com/ZSxPMNRYe/</v>
      </c>
      <c r="O1820" s="470"/>
      <c r="P1820" s="471" t="str">
        <f>IFERROR(__xludf.DUMMYFUNCTION("""COMPUTED_VALUE"""),"https://vt.tiktok.com/ZSxQnQTV2/")</f>
        <v>https://vt.tiktok.com/ZSxQnQTV2/</v>
      </c>
    </row>
    <row r="1821">
      <c r="A1821" s="282" t="str">
        <f>IFERROR(__xludf.DUMMYFUNCTION("""COMPUTED_VALUE"""),"MICRO")</f>
        <v>MICRO</v>
      </c>
      <c r="B1821" s="468" t="str">
        <f>IFERROR(__xludf.DUMMYFUNCTION("""COMPUTED_VALUE"""),"ariantiw_")</f>
        <v>ariantiw_</v>
      </c>
      <c r="C1821" s="283" t="str">
        <f>IFERROR(__xludf.DUMMYFUNCTION("""COMPUTED_VALUE"""),"https://www.tiktok.com/@ariantiw_")</f>
        <v>https://www.tiktok.com/@ariantiw_</v>
      </c>
      <c r="D1821" s="273">
        <f>IFERROR(__xludf.DUMMYFUNCTION("""COMPUTED_VALUE"""),8.9695237529E10)</f>
        <v>89695237529</v>
      </c>
      <c r="E1821" s="458">
        <f>IFERROR(__xludf.DUMMYFUNCTION("""COMPUTED_VALUE"""),0.0)</f>
        <v>0</v>
      </c>
      <c r="F1821" s="273">
        <f>IFERROR(__xludf.DUMMYFUNCTION("""COMPUTED_VALUE"""),4.0)</f>
        <v>4</v>
      </c>
      <c r="G1821" t="str">
        <f>IFERROR(__xludf.DUMMYFUNCTION("""COMPUTED_VALUE"""),"Sabun batang 1 Box ( 2 PCS )")</f>
        <v>Sabun batang 1 Box ( 2 PCS )</v>
      </c>
      <c r="H1821" s="469" t="str">
        <f>IFERROR(__xludf.DUMMYFUNCTION("""COMPUTED_VALUE"""),"Sampai")</f>
        <v>Sampai</v>
      </c>
      <c r="I1821" s="470" t="str">
        <f>IFERROR(__xludf.DUMMYFUNCTION("""COMPUTED_VALUE"""),"KIMME")</f>
        <v>KIMME</v>
      </c>
      <c r="J1821" s="471" t="str">
        <f>IFERROR(__xludf.DUMMYFUNCTION("""COMPUTED_VALUE"""),"https://vt.tiktok.com/ZSxyAaoJY/")</f>
        <v>https://vt.tiktok.com/ZSxyAaoJY/</v>
      </c>
      <c r="K1821" s="470" t="str">
        <f>IFERROR(__xludf.DUMMYFUNCTION("""COMPUTED_VALUE"""),"KIMME")</f>
        <v>KIMME</v>
      </c>
      <c r="L1821" s="471" t="str">
        <f>IFERROR(__xludf.DUMMYFUNCTION("""COMPUTED_VALUE"""),"https://vt.tiktok.com/ZSxyAM14h/")</f>
        <v>https://vt.tiktok.com/ZSxyAM14h/</v>
      </c>
      <c r="M1821" s="470"/>
      <c r="N1821" s="471" t="str">
        <f>IFERROR(__xludf.DUMMYFUNCTION("""COMPUTED_VALUE"""),"https://vt.tiktok.com/ZSxgHAC8x/")</f>
        <v>https://vt.tiktok.com/ZSxgHAC8x/</v>
      </c>
      <c r="O1821" s="470"/>
      <c r="P1821" t="str">
        <f>IFERROR(__xludf.DUMMYFUNCTION("""COMPUTED_VALUE"""),"⁠https://vt.tiktok.com/ZSxgHUbme/")</f>
        <v>⁠https://vt.tiktok.com/ZSxgHUbme/</v>
      </c>
    </row>
    <row r="1822">
      <c r="A1822" s="282" t="str">
        <f>IFERROR(__xludf.DUMMYFUNCTION("""COMPUTED_VALUE"""),"MICRO")</f>
        <v>MICRO</v>
      </c>
      <c r="B1822" s="468" t="str">
        <f>IFERROR(__xludf.DUMMYFUNCTION("""COMPUTED_VALUE"""),"anang3005")</f>
        <v>anang3005</v>
      </c>
      <c r="C1822" s="283" t="str">
        <f>IFERROR(__xludf.DUMMYFUNCTION("""COMPUTED_VALUE"""),"https://www.tiktok.com/@anang3005")</f>
        <v>https://www.tiktok.com/@anang3005</v>
      </c>
      <c r="D1822" s="273">
        <f>IFERROR(__xludf.DUMMYFUNCTION("""COMPUTED_VALUE"""),8.5601748634E10)</f>
        <v>85601748634</v>
      </c>
      <c r="E1822" s="458">
        <f>IFERROR(__xludf.DUMMYFUNCTION("""COMPUTED_VALUE"""),0.0)</f>
        <v>0</v>
      </c>
      <c r="F1822" s="273">
        <f>IFERROR(__xludf.DUMMYFUNCTION("""COMPUTED_VALUE"""),4.0)</f>
        <v>4</v>
      </c>
      <c r="G1822" t="str">
        <f>IFERROR(__xludf.DUMMYFUNCTION("""COMPUTED_VALUE"""),"Sabun batang 1 Box ( 2 PCS )")</f>
        <v>Sabun batang 1 Box ( 2 PCS )</v>
      </c>
      <c r="H1822" s="469" t="str">
        <f>IFERROR(__xludf.DUMMYFUNCTION("""COMPUTED_VALUE"""),"Sampai")</f>
        <v>Sampai</v>
      </c>
      <c r="I1822" s="470" t="str">
        <f>IFERROR(__xludf.DUMMYFUNCTION("""COMPUTED_VALUE"""),"KIMME")</f>
        <v>KIMME</v>
      </c>
      <c r="J1822" t="str">
        <f>IFERROR(__xludf.DUMMYFUNCTION("""COMPUTED_VALUE"""),"⁠https://vt.tiktok.com/ZSxgHdXFN/")</f>
        <v>⁠https://vt.tiktok.com/ZSxgHdXFN/</v>
      </c>
      <c r="K1822" s="470" t="str">
        <f>IFERROR(__xludf.DUMMYFUNCTION("""COMPUTED_VALUE"""),"KIMME")</f>
        <v>KIMME</v>
      </c>
      <c r="L1822" s="471" t="str">
        <f>IFERROR(__xludf.DUMMYFUNCTION("""COMPUTED_VALUE"""),"https://vt.tiktok.com/ZSxyAAgvA/")</f>
        <v>https://vt.tiktok.com/ZSxyAAgvA/</v>
      </c>
      <c r="M1822" s="470"/>
      <c r="N1822" t="str">
        <f>IFERROR(__xludf.DUMMYFUNCTION("""COMPUTED_VALUE"""),"⁠https://vt.tiktok.com/ZSxgHkGq5/")</f>
        <v>⁠https://vt.tiktok.com/ZSxgHkGq5/</v>
      </c>
      <c r="O1822" s="470"/>
      <c r="P1822" s="471" t="str">
        <f>IFERROR(__xludf.DUMMYFUNCTION("""COMPUTED_VALUE"""),"https://vt.tiktok.com/ZSxyA5nwF/")</f>
        <v>https://vt.tiktok.com/ZSxyA5nwF/</v>
      </c>
    </row>
    <row r="1823">
      <c r="A1823" s="282" t="str">
        <f>IFERROR(__xludf.DUMMYFUNCTION("""COMPUTED_VALUE"""),"MICRO")</f>
        <v>MICRO</v>
      </c>
      <c r="B1823" s="468" t="str">
        <f>IFERROR(__xludf.DUMMYFUNCTION("""COMPUTED_VALUE"""),"denis_rafashaaa")</f>
        <v>denis_rafashaaa</v>
      </c>
      <c r="C1823" s="283" t="str">
        <f>IFERROR(__xludf.DUMMYFUNCTION("""COMPUTED_VALUE"""),"https://www.tiktok.com/@denis_rafashaaa")</f>
        <v>https://www.tiktok.com/@denis_rafashaaa</v>
      </c>
      <c r="D1823" s="273">
        <f>IFERROR(__xludf.DUMMYFUNCTION("""COMPUTED_VALUE"""),8.5882488506E10)</f>
        <v>85882488506</v>
      </c>
      <c r="E1823" s="458">
        <f>IFERROR(__xludf.DUMMYFUNCTION("""COMPUTED_VALUE"""),0.0)</f>
        <v>0</v>
      </c>
      <c r="F1823" s="273">
        <f>IFERROR(__xludf.DUMMYFUNCTION("""COMPUTED_VALUE"""),4.0)</f>
        <v>4</v>
      </c>
      <c r="G1823" t="str">
        <f>IFERROR(__xludf.DUMMYFUNCTION("""COMPUTED_VALUE"""),"Sabun batang 1 Box ( 2 PCS )")</f>
        <v>Sabun batang 1 Box ( 2 PCS )</v>
      </c>
      <c r="H1823" s="469" t="str">
        <f>IFERROR(__xludf.DUMMYFUNCTION("""COMPUTED_VALUE"""),"Sampai")</f>
        <v>Sampai</v>
      </c>
      <c r="I1823" s="470" t="str">
        <f>IFERROR(__xludf.DUMMYFUNCTION("""COMPUTED_VALUE"""),"KIMME")</f>
        <v>KIMME</v>
      </c>
      <c r="J1823" s="471" t="str">
        <f>IFERROR(__xludf.DUMMYFUNCTION("""COMPUTED_VALUE"""),"https://vt.tiktok.com/ZS9DPUo5R/")</f>
        <v>https://vt.tiktok.com/ZS9DPUo5R/</v>
      </c>
      <c r="K1823" s="470" t="str">
        <f>IFERROR(__xludf.DUMMYFUNCTION("""COMPUTED_VALUE"""),"KIMME")</f>
        <v>KIMME</v>
      </c>
      <c r="L1823" s="471" t="str">
        <f>IFERROR(__xludf.DUMMYFUNCTION("""COMPUTED_VALUE"""),"https://vt.tiktok.com/ZS9DPDvFU/")</f>
        <v>https://vt.tiktok.com/ZS9DPDvFU/</v>
      </c>
      <c r="M1823" s="470"/>
      <c r="N1823" s="471" t="str">
        <f>IFERROR(__xludf.DUMMYFUNCTION("""COMPUTED_VALUE"""),"https://vt.tiktok.com/ZS9DP67g8/")</f>
        <v>https://vt.tiktok.com/ZS9DP67g8/</v>
      </c>
      <c r="O1823" s="470"/>
      <c r="P1823" s="471" t="str">
        <f>IFERROR(__xludf.DUMMYFUNCTION("""COMPUTED_VALUE"""),"https://vt.tiktok.com/ZS9DPmU5N/")</f>
        <v>https://vt.tiktok.com/ZS9DPmU5N/</v>
      </c>
    </row>
    <row r="1824">
      <c r="A1824" s="282" t="str">
        <f>IFERROR(__xludf.DUMMYFUNCTION("""COMPUTED_VALUE"""),"MICRO")</f>
        <v>MICRO</v>
      </c>
      <c r="B1824" s="468" t="str">
        <f>IFERROR(__xludf.DUMMYFUNCTION("""COMPUTED_VALUE"""),"siiusiiii")</f>
        <v>siiusiiii</v>
      </c>
      <c r="C1824" s="283" t="str">
        <f>IFERROR(__xludf.DUMMYFUNCTION("""COMPUTED_VALUE"""),"https://www.tiktok.com/@siiusiiii")</f>
        <v>https://www.tiktok.com/@siiusiiii</v>
      </c>
      <c r="D1824" s="273">
        <f>IFERROR(__xludf.DUMMYFUNCTION("""COMPUTED_VALUE"""),8.222440943E10)</f>
        <v>82224409430</v>
      </c>
      <c r="E1824" s="458">
        <f>IFERROR(__xludf.DUMMYFUNCTION("""COMPUTED_VALUE"""),0.0)</f>
        <v>0</v>
      </c>
      <c r="F1824" s="273">
        <f>IFERROR(__xludf.DUMMYFUNCTION("""COMPUTED_VALUE"""),4.0)</f>
        <v>4</v>
      </c>
      <c r="G1824" t="str">
        <f>IFERROR(__xludf.DUMMYFUNCTION("""COMPUTED_VALUE"""),"Sabun batang 1 Box ( 2 PCS )")</f>
        <v>Sabun batang 1 Box ( 2 PCS )</v>
      </c>
      <c r="H1824" s="469" t="str">
        <f>IFERROR(__xludf.DUMMYFUNCTION("""COMPUTED_VALUE"""),"Sampai")</f>
        <v>Sampai</v>
      </c>
      <c r="I1824" s="470" t="str">
        <f>IFERROR(__xludf.DUMMYFUNCTION("""COMPUTED_VALUE"""),"KIMME")</f>
        <v>KIMME</v>
      </c>
      <c r="J1824" s="471" t="str">
        <f>IFERROR(__xludf.DUMMYFUNCTION("""COMPUTED_VALUE"""),"https://vt.tiktok.com/ZS9DP2wff/")</f>
        <v>https://vt.tiktok.com/ZS9DP2wff/</v>
      </c>
      <c r="K1824" s="470" t="str">
        <f>IFERROR(__xludf.DUMMYFUNCTION("""COMPUTED_VALUE"""),"KIMME")</f>
        <v>KIMME</v>
      </c>
      <c r="L1824" s="471" t="str">
        <f>IFERROR(__xludf.DUMMYFUNCTION("""COMPUTED_VALUE"""),"https://vt.tiktok.com/ZS9DP9gUq/")</f>
        <v>https://vt.tiktok.com/ZS9DP9gUq/</v>
      </c>
      <c r="M1824" s="470"/>
      <c r="N1824" s="471" t="str">
        <f>IFERROR(__xludf.DUMMYFUNCTION("""COMPUTED_VALUE"""),"https://vt.tiktok.com/ZS9DPPrEn/")</f>
        <v>https://vt.tiktok.com/ZS9DPPrEn/</v>
      </c>
      <c r="O1824" s="470"/>
      <c r="P1824" s="471" t="str">
        <f>IFERROR(__xludf.DUMMYFUNCTION("""COMPUTED_VALUE"""),"https://vt.tiktok.com/ZS959tdWy/")</f>
        <v>https://vt.tiktok.com/ZS959tdWy/</v>
      </c>
    </row>
    <row r="1825">
      <c r="A1825" s="282" t="str">
        <f>IFERROR(__xludf.DUMMYFUNCTION("""COMPUTED_VALUE"""),"MICRO")</f>
        <v>MICRO</v>
      </c>
      <c r="B1825" s="468" t="str">
        <f>IFERROR(__xludf.DUMMYFUNCTION("""COMPUTED_VALUE"""),"nadillala24")</f>
        <v>nadillala24</v>
      </c>
      <c r="C1825" s="283" t="str">
        <f>IFERROR(__xludf.DUMMYFUNCTION("""COMPUTED_VALUE"""),"https://www.tiktok.com/@nadillala24")</f>
        <v>https://www.tiktok.com/@nadillala24</v>
      </c>
      <c r="D1825" s="273">
        <f>IFERROR(__xludf.DUMMYFUNCTION("""COMPUTED_VALUE"""),8.585630093E10)</f>
        <v>85856300930</v>
      </c>
      <c r="E1825" s="458">
        <f>IFERROR(__xludf.DUMMYFUNCTION("""COMPUTED_VALUE"""),0.0)</f>
        <v>0</v>
      </c>
      <c r="F1825" s="273">
        <f>IFERROR(__xludf.DUMMYFUNCTION("""COMPUTED_VALUE"""),4.0)</f>
        <v>4</v>
      </c>
      <c r="G1825" t="str">
        <f>IFERROR(__xludf.DUMMYFUNCTION("""COMPUTED_VALUE"""),"Sabun batang 1 Box ( 2 PCS )")</f>
        <v>Sabun batang 1 Box ( 2 PCS )</v>
      </c>
      <c r="H1825" s="469" t="str">
        <f>IFERROR(__xludf.DUMMYFUNCTION("""COMPUTED_VALUE"""),"Sampai")</f>
        <v>Sampai</v>
      </c>
      <c r="I1825" s="470" t="str">
        <f>IFERROR(__xludf.DUMMYFUNCTION("""COMPUTED_VALUE"""),"KIMME")</f>
        <v>KIMME</v>
      </c>
      <c r="J1825" s="471" t="str">
        <f>IFERROR(__xludf.DUMMYFUNCTION("""COMPUTED_VALUE"""),"https://vt.tiktok.com/ZS9DPUo5R/")</f>
        <v>https://vt.tiktok.com/ZS9DPUo5R/</v>
      </c>
      <c r="K1825" s="470" t="str">
        <f>IFERROR(__xludf.DUMMYFUNCTION("""COMPUTED_VALUE"""),"KIMME")</f>
        <v>KIMME</v>
      </c>
      <c r="L1825" s="471" t="str">
        <f>IFERROR(__xludf.DUMMYFUNCTION("""COMPUTED_VALUE"""),"https://vt.tiktok.com/ZS9DPDvFU/")</f>
        <v>https://vt.tiktok.com/ZS9DPDvFU/</v>
      </c>
      <c r="M1825" s="470"/>
      <c r="N1825" s="471" t="str">
        <f>IFERROR(__xludf.DUMMYFUNCTION("""COMPUTED_VALUE"""),"https://vt.tiktok.com/ZS9DP67g8/")</f>
        <v>https://vt.tiktok.com/ZS9DP67g8/</v>
      </c>
      <c r="O1825" s="470"/>
      <c r="P1825" s="471" t="str">
        <f>IFERROR(__xludf.DUMMYFUNCTION("""COMPUTED_VALUE"""),"https://vt.tiktok.com/ZS9DPmU5N/")</f>
        <v>https://vt.tiktok.com/ZS9DPmU5N/</v>
      </c>
    </row>
    <row r="1826">
      <c r="A1826" s="282" t="str">
        <f>IFERROR(__xludf.DUMMYFUNCTION("""COMPUTED_VALUE"""),"MICRO")</f>
        <v>MICRO</v>
      </c>
      <c r="B1826" s="468" t="str">
        <f>IFERROR(__xludf.DUMMYFUNCTION("""COMPUTED_VALUE"""),"firza.999")</f>
        <v>firza.999</v>
      </c>
      <c r="C1826" s="283" t="str">
        <f>IFERROR(__xludf.DUMMYFUNCTION("""COMPUTED_VALUE"""),"https://www.tiktok.com/@firza.999")</f>
        <v>https://www.tiktok.com/@firza.999</v>
      </c>
      <c r="D1826" s="273">
        <f>IFERROR(__xludf.DUMMYFUNCTION("""COMPUTED_VALUE"""),8.9637326433E10)</f>
        <v>89637326433</v>
      </c>
      <c r="E1826" s="458">
        <f>IFERROR(__xludf.DUMMYFUNCTION("""COMPUTED_VALUE"""),0.0)</f>
        <v>0</v>
      </c>
      <c r="F1826" s="273">
        <f>IFERROR(__xludf.DUMMYFUNCTION("""COMPUTED_VALUE"""),4.0)</f>
        <v>4</v>
      </c>
      <c r="G1826" t="str">
        <f>IFERROR(__xludf.DUMMYFUNCTION("""COMPUTED_VALUE"""),"Sabun batang 1 Box ( 2 PCS )")</f>
        <v>Sabun batang 1 Box ( 2 PCS )</v>
      </c>
      <c r="H1826" s="469" t="str">
        <f>IFERROR(__xludf.DUMMYFUNCTION("""COMPUTED_VALUE"""),"Sampai")</f>
        <v>Sampai</v>
      </c>
      <c r="I1826" s="470" t="str">
        <f>IFERROR(__xludf.DUMMYFUNCTION("""COMPUTED_VALUE"""),"KIMME")</f>
        <v>KIMME</v>
      </c>
      <c r="J1826" s="471" t="str">
        <f>IFERROR(__xludf.DUMMYFUNCTION("""COMPUTED_VALUE"""),"https://vt.tiktok.com/ZS9DP2wff/")</f>
        <v>https://vt.tiktok.com/ZS9DP2wff/</v>
      </c>
      <c r="K1826" s="470" t="str">
        <f>IFERROR(__xludf.DUMMYFUNCTION("""COMPUTED_VALUE"""),"KIMME")</f>
        <v>KIMME</v>
      </c>
      <c r="L1826" s="471" t="str">
        <f>IFERROR(__xludf.DUMMYFUNCTION("""COMPUTED_VALUE"""),"https://vt.tiktok.com/ZS9DP9gUq/")</f>
        <v>https://vt.tiktok.com/ZS9DP9gUq/</v>
      </c>
      <c r="M1826" s="470"/>
      <c r="N1826" s="471" t="str">
        <f>IFERROR(__xludf.DUMMYFUNCTION("""COMPUTED_VALUE"""),"https://vt.tiktok.com/ZS9DPPrEn/")</f>
        <v>https://vt.tiktok.com/ZS9DPPrEn/</v>
      </c>
      <c r="O1826" s="470"/>
      <c r="P1826" s="471" t="str">
        <f>IFERROR(__xludf.DUMMYFUNCTION("""COMPUTED_VALUE"""),"https://vt.tiktok.com/ZS959tdWy/")</f>
        <v>https://vt.tiktok.com/ZS959tdWy/</v>
      </c>
    </row>
    <row r="1827">
      <c r="A1827" s="282" t="str">
        <f>IFERROR(__xludf.DUMMYFUNCTION("""COMPUTED_VALUE"""),"MICRO")</f>
        <v>MICRO</v>
      </c>
      <c r="B1827" s="468" t="str">
        <f>IFERROR(__xludf.DUMMYFUNCTION("""COMPUTED_VALUE"""),"irfnrzki25")</f>
        <v>irfnrzki25</v>
      </c>
      <c r="C1827" s="283" t="str">
        <f>IFERROR(__xludf.DUMMYFUNCTION("""COMPUTED_VALUE"""),"https://www.tiktok.com/@irfnrzki25")</f>
        <v>https://www.tiktok.com/@irfnrzki25</v>
      </c>
      <c r="D1827" s="273">
        <f>IFERROR(__xludf.DUMMYFUNCTION("""COMPUTED_VALUE"""),8.7869923155E10)</f>
        <v>87869923155</v>
      </c>
      <c r="E1827" s="458">
        <f>IFERROR(__xludf.DUMMYFUNCTION("""COMPUTED_VALUE"""),0.0)</f>
        <v>0</v>
      </c>
      <c r="F1827" s="273">
        <f>IFERROR(__xludf.DUMMYFUNCTION("""COMPUTED_VALUE"""),4.0)</f>
        <v>4</v>
      </c>
      <c r="G1827" t="str">
        <f>IFERROR(__xludf.DUMMYFUNCTION("""COMPUTED_VALUE"""),"Sabun batang 1 Box ( 2 PCS )")</f>
        <v>Sabun batang 1 Box ( 2 PCS )</v>
      </c>
      <c r="H1827" s="469" t="str">
        <f>IFERROR(__xludf.DUMMYFUNCTION("""COMPUTED_VALUE"""),"Sampai")</f>
        <v>Sampai</v>
      </c>
      <c r="I1827" s="470" t="str">
        <f>IFERROR(__xludf.DUMMYFUNCTION("""COMPUTED_VALUE"""),"KIMME")</f>
        <v>KIMME</v>
      </c>
      <c r="J1827" s="471" t="str">
        <f>IFERROR(__xludf.DUMMYFUNCTION("""COMPUTED_VALUE"""),"https://vt.tiktok.com/ZS9DPUo5R/")</f>
        <v>https://vt.tiktok.com/ZS9DPUo5R/</v>
      </c>
      <c r="K1827" s="470" t="str">
        <f>IFERROR(__xludf.DUMMYFUNCTION("""COMPUTED_VALUE"""),"KIMME")</f>
        <v>KIMME</v>
      </c>
      <c r="L1827" s="471" t="str">
        <f>IFERROR(__xludf.DUMMYFUNCTION("""COMPUTED_VALUE"""),"https://vt.tiktok.com/ZS9DPDvFU/")</f>
        <v>https://vt.tiktok.com/ZS9DPDvFU/</v>
      </c>
      <c r="M1827" s="470"/>
      <c r="N1827" s="471" t="str">
        <f>IFERROR(__xludf.DUMMYFUNCTION("""COMPUTED_VALUE"""),"https://vt.tiktok.com/ZS9DP67g8/")</f>
        <v>https://vt.tiktok.com/ZS9DP67g8/</v>
      </c>
      <c r="O1827" s="470"/>
      <c r="P1827" s="471" t="str">
        <f>IFERROR(__xludf.DUMMYFUNCTION("""COMPUTED_VALUE"""),"https://vt.tiktok.com/ZS9DPmU5N/")</f>
        <v>https://vt.tiktok.com/ZS9DPmU5N/</v>
      </c>
    </row>
    <row r="1828">
      <c r="A1828" s="282" t="str">
        <f>IFERROR(__xludf.DUMMYFUNCTION("""COMPUTED_VALUE"""),"MICRO")</f>
        <v>MICRO</v>
      </c>
      <c r="B1828" s="468" t="str">
        <f>IFERROR(__xludf.DUMMYFUNCTION("""COMPUTED_VALUE"""),"hi_aay")</f>
        <v>hi_aay</v>
      </c>
      <c r="C1828" s="283" t="str">
        <f>IFERROR(__xludf.DUMMYFUNCTION("""COMPUTED_VALUE"""),"https://www.tiktok.com/@hi_aay")</f>
        <v>https://www.tiktok.com/@hi_aay</v>
      </c>
      <c r="D1828" s="273">
        <f>IFERROR(__xludf.DUMMYFUNCTION("""COMPUTED_VALUE"""),8.1522927858E10)</f>
        <v>81522927858</v>
      </c>
      <c r="E1828" s="458">
        <f>IFERROR(__xludf.DUMMYFUNCTION("""COMPUTED_VALUE"""),0.0)</f>
        <v>0</v>
      </c>
      <c r="F1828" s="273">
        <f>IFERROR(__xludf.DUMMYFUNCTION("""COMPUTED_VALUE"""),2.0)</f>
        <v>2</v>
      </c>
      <c r="G1828" t="str">
        <f>IFERROR(__xludf.DUMMYFUNCTION("""COMPUTED_VALUE"""),"Sabun batang 1 Box ( 2 PCS )")</f>
        <v>Sabun batang 1 Box ( 2 PCS )</v>
      </c>
      <c r="H1828" s="469" t="str">
        <f>IFERROR(__xludf.DUMMYFUNCTION("""COMPUTED_VALUE"""),"Sampai")</f>
        <v>Sampai</v>
      </c>
      <c r="I1828" s="470" t="str">
        <f>IFERROR(__xludf.DUMMYFUNCTION("""COMPUTED_VALUE"""),"KIMME")</f>
        <v>KIMME</v>
      </c>
      <c r="J1828" s="471" t="str">
        <f>IFERROR(__xludf.DUMMYFUNCTION("""COMPUTED_VALUE"""),"https://vt.tiktok.com/ZS9DP2wff/")</f>
        <v>https://vt.tiktok.com/ZS9DP2wff/</v>
      </c>
      <c r="K1828" s="470" t="str">
        <f>IFERROR(__xludf.DUMMYFUNCTION("""COMPUTED_VALUE"""),"KIMME")</f>
        <v>KIMME</v>
      </c>
      <c r="L1828" s="471" t="str">
        <f>IFERROR(__xludf.DUMMYFUNCTION("""COMPUTED_VALUE"""),"https://vt.tiktok.com/ZS9DP9gUq/")</f>
        <v>https://vt.tiktok.com/ZS9DP9gUq/</v>
      </c>
      <c r="M1828" s="470"/>
      <c r="N1828" s="471" t="str">
        <f>IFERROR(__xludf.DUMMYFUNCTION("""COMPUTED_VALUE"""),"https://vt.tiktok.com/ZS9DPPrEn/")</f>
        <v>https://vt.tiktok.com/ZS9DPPrEn/</v>
      </c>
      <c r="O1828" s="470"/>
      <c r="P1828" s="471" t="str">
        <f>IFERROR(__xludf.DUMMYFUNCTION("""COMPUTED_VALUE"""),"https://vt.tiktok.com/ZS959tdWy/")</f>
        <v>https://vt.tiktok.com/ZS959tdWy/</v>
      </c>
    </row>
    <row r="1829">
      <c r="A1829" s="282" t="str">
        <f>IFERROR(__xludf.DUMMYFUNCTION("""COMPUTED_VALUE"""),"MICRO")</f>
        <v>MICRO</v>
      </c>
      <c r="B1829" s="468" t="str">
        <f>IFERROR(__xludf.DUMMYFUNCTION("""COMPUTED_VALUE"""),"atldrp")</f>
        <v>atldrp</v>
      </c>
      <c r="C1829" s="283" t="str">
        <f>IFERROR(__xludf.DUMMYFUNCTION("""COMPUTED_VALUE"""),"https://www.tiktok.com/@atldrp")</f>
        <v>https://www.tiktok.com/@atldrp</v>
      </c>
      <c r="D1829" s="273">
        <f>IFERROR(__xludf.DUMMYFUNCTION("""COMPUTED_VALUE"""),8.5713903522E10)</f>
        <v>85713903522</v>
      </c>
      <c r="E1829" s="458"/>
      <c r="F1829" s="273"/>
      <c r="G1829" t="str">
        <f>IFERROR(__xludf.DUMMYFUNCTION("""COMPUTED_VALUE"""),"Sabun batang 1 Box ( 2 PCS )")</f>
        <v>Sabun batang 1 Box ( 2 PCS )</v>
      </c>
      <c r="H1829" s="469" t="str">
        <f>IFERROR(__xludf.DUMMYFUNCTION("""COMPUTED_VALUE"""),"Sampai")</f>
        <v>Sampai</v>
      </c>
      <c r="I1829" s="470" t="str">
        <f>IFERROR(__xludf.DUMMYFUNCTION("""COMPUTED_VALUE"""),"KIMME")</f>
        <v>KIMME</v>
      </c>
      <c r="J1829" s="471" t="str">
        <f>IFERROR(__xludf.DUMMYFUNCTION("""COMPUTED_VALUE"""),"https://vt.tiktok.com/ZS9DPUo5R/")</f>
        <v>https://vt.tiktok.com/ZS9DPUo5R/</v>
      </c>
      <c r="K1829" s="470" t="str">
        <f>IFERROR(__xludf.DUMMYFUNCTION("""COMPUTED_VALUE"""),"KIMME")</f>
        <v>KIMME</v>
      </c>
      <c r="L1829" s="471" t="str">
        <f>IFERROR(__xludf.DUMMYFUNCTION("""COMPUTED_VALUE"""),"https://vt.tiktok.com/ZS9DPDvFU/")</f>
        <v>https://vt.tiktok.com/ZS9DPDvFU/</v>
      </c>
      <c r="M1829" s="470"/>
      <c r="N1829" s="471" t="str">
        <f>IFERROR(__xludf.DUMMYFUNCTION("""COMPUTED_VALUE"""),"https://vt.tiktok.com/ZS9DP67g8/")</f>
        <v>https://vt.tiktok.com/ZS9DP67g8/</v>
      </c>
      <c r="O1829" s="470"/>
      <c r="P1829" s="471" t="str">
        <f>IFERROR(__xludf.DUMMYFUNCTION("""COMPUTED_VALUE"""),"https://vt.tiktok.com/ZS9DPmU5N/")</f>
        <v>https://vt.tiktok.com/ZS9DPmU5N/</v>
      </c>
    </row>
    <row r="1830">
      <c r="A1830" s="282" t="str">
        <f>IFERROR(__xludf.DUMMYFUNCTION("""COMPUTED_VALUE"""),"MICRO")</f>
        <v>MICRO</v>
      </c>
      <c r="B1830" s="468" t="str">
        <f>IFERROR(__xludf.DUMMYFUNCTION("""COMPUTED_VALUE"""),"egvn293")</f>
        <v>egvn293</v>
      </c>
      <c r="C1830" s="283" t="str">
        <f>IFERROR(__xludf.DUMMYFUNCTION("""COMPUTED_VALUE"""),"https://www.tiktok.com/@egvn293")</f>
        <v>https://www.tiktok.com/@egvn293</v>
      </c>
      <c r="D1830" s="273">
        <f>IFERROR(__xludf.DUMMYFUNCTION("""COMPUTED_VALUE"""),8.82005972309E11)</f>
        <v>882005972309</v>
      </c>
      <c r="E1830" s="458">
        <f>IFERROR(__xludf.DUMMYFUNCTION("""COMPUTED_VALUE"""),0.0)</f>
        <v>0</v>
      </c>
      <c r="F1830" s="273">
        <f>IFERROR(__xludf.DUMMYFUNCTION("""COMPUTED_VALUE"""),4.0)</f>
        <v>4</v>
      </c>
      <c r="G1830" t="str">
        <f>IFERROR(__xludf.DUMMYFUNCTION("""COMPUTED_VALUE"""),"Sabun batang 1 Box ( 2 PCS )")</f>
        <v>Sabun batang 1 Box ( 2 PCS )</v>
      </c>
      <c r="H1830" s="469" t="str">
        <f>IFERROR(__xludf.DUMMYFUNCTION("""COMPUTED_VALUE"""),"Sampai")</f>
        <v>Sampai</v>
      </c>
      <c r="I1830" s="470" t="str">
        <f>IFERROR(__xludf.DUMMYFUNCTION("""COMPUTED_VALUE"""),"KIMME")</f>
        <v>KIMME</v>
      </c>
      <c r="J1830" s="471" t="str">
        <f>IFERROR(__xludf.DUMMYFUNCTION("""COMPUTED_VALUE"""),"https://vt.tiktok.com/ZS9DP2wff/")</f>
        <v>https://vt.tiktok.com/ZS9DP2wff/</v>
      </c>
      <c r="K1830" s="470" t="str">
        <f>IFERROR(__xludf.DUMMYFUNCTION("""COMPUTED_VALUE"""),"KIMME")</f>
        <v>KIMME</v>
      </c>
      <c r="L1830" s="471" t="str">
        <f>IFERROR(__xludf.DUMMYFUNCTION("""COMPUTED_VALUE"""),"https://vt.tiktok.com/ZS9DP9gUq/")</f>
        <v>https://vt.tiktok.com/ZS9DP9gUq/</v>
      </c>
      <c r="M1830" s="470"/>
      <c r="N1830" s="471" t="str">
        <f>IFERROR(__xludf.DUMMYFUNCTION("""COMPUTED_VALUE"""),"https://vt.tiktok.com/ZS9DPPrEn/")</f>
        <v>https://vt.tiktok.com/ZS9DPPrEn/</v>
      </c>
      <c r="O1830" s="470"/>
      <c r="P1830" s="471" t="str">
        <f>IFERROR(__xludf.DUMMYFUNCTION("""COMPUTED_VALUE"""),"https://vt.tiktok.com/ZS959tdWy/")</f>
        <v>https://vt.tiktok.com/ZS959tdWy/</v>
      </c>
    </row>
    <row r="1831">
      <c r="A1831" s="282" t="str">
        <f>IFERROR(__xludf.DUMMYFUNCTION("""COMPUTED_VALUE"""),"MICRO")</f>
        <v>MICRO</v>
      </c>
      <c r="B1831" s="468" t="str">
        <f>IFERROR(__xludf.DUMMYFUNCTION("""COMPUTED_VALUE"""),"_vinvin80")</f>
        <v>_vinvin80</v>
      </c>
      <c r="C1831" s="283" t="str">
        <f>IFERROR(__xludf.DUMMYFUNCTION("""COMPUTED_VALUE"""),"https://www.tiktok.com/@_vinvin80")</f>
        <v>https://www.tiktok.com/@_vinvin80</v>
      </c>
      <c r="D1831" s="273">
        <f>IFERROR(__xludf.DUMMYFUNCTION("""COMPUTED_VALUE"""),8.1298740432E10)</f>
        <v>81298740432</v>
      </c>
      <c r="E1831" s="458">
        <f>IFERROR(__xludf.DUMMYFUNCTION("""COMPUTED_VALUE"""),0.0)</f>
        <v>0</v>
      </c>
      <c r="F1831" s="273">
        <f>IFERROR(__xludf.DUMMYFUNCTION("""COMPUTED_VALUE"""),4.0)</f>
        <v>4</v>
      </c>
      <c r="G1831" t="str">
        <f>IFERROR(__xludf.DUMMYFUNCTION("""COMPUTED_VALUE"""),"Sabun batang 1 Box ( 2 PCS )")</f>
        <v>Sabun batang 1 Box ( 2 PCS )</v>
      </c>
      <c r="H1831" s="469" t="str">
        <f>IFERROR(__xludf.DUMMYFUNCTION("""COMPUTED_VALUE"""),"Sampai")</f>
        <v>Sampai</v>
      </c>
      <c r="I1831" s="470" t="str">
        <f>IFERROR(__xludf.DUMMYFUNCTION("""COMPUTED_VALUE"""),"KIMME")</f>
        <v>KIMME</v>
      </c>
      <c r="J1831" s="471" t="str">
        <f>IFERROR(__xludf.DUMMYFUNCTION("""COMPUTED_VALUE"""),"https://vt.tiktok.com/ZS9DPUo5R/")</f>
        <v>https://vt.tiktok.com/ZS9DPUo5R/</v>
      </c>
      <c r="K1831" s="470" t="str">
        <f>IFERROR(__xludf.DUMMYFUNCTION("""COMPUTED_VALUE"""),"KIMME")</f>
        <v>KIMME</v>
      </c>
      <c r="L1831" s="471" t="str">
        <f>IFERROR(__xludf.DUMMYFUNCTION("""COMPUTED_VALUE"""),"https://vt.tiktok.com/ZS9DPDvFU/")</f>
        <v>https://vt.tiktok.com/ZS9DPDvFU/</v>
      </c>
      <c r="M1831" s="470"/>
      <c r="N1831" s="471" t="str">
        <f>IFERROR(__xludf.DUMMYFUNCTION("""COMPUTED_VALUE"""),"https://vt.tiktok.com/ZS9DP67g8/")</f>
        <v>https://vt.tiktok.com/ZS9DP67g8/</v>
      </c>
      <c r="O1831" s="470"/>
      <c r="P1831" s="471" t="str">
        <f>IFERROR(__xludf.DUMMYFUNCTION("""COMPUTED_VALUE"""),"https://vt.tiktok.com/ZS9DPmU5N/")</f>
        <v>https://vt.tiktok.com/ZS9DPmU5N/</v>
      </c>
    </row>
    <row r="1832">
      <c r="A1832" s="282" t="str">
        <f>IFERROR(__xludf.DUMMYFUNCTION("""COMPUTED_VALUE"""),"MICRO")</f>
        <v>MICRO</v>
      </c>
      <c r="B1832" s="468" t="str">
        <f>IFERROR(__xludf.DUMMYFUNCTION("""COMPUTED_VALUE"""),"missaquarius222")</f>
        <v>missaquarius222</v>
      </c>
      <c r="C1832" s="283" t="str">
        <f>IFERROR(__xludf.DUMMYFUNCTION("""COMPUTED_VALUE"""),"https://www.tiktok.com/@missaquarius222")</f>
        <v>https://www.tiktok.com/@missaquarius222</v>
      </c>
      <c r="D1832" s="273">
        <f>IFERROR(__xludf.DUMMYFUNCTION("""COMPUTED_VALUE"""),8.2362229669E10)</f>
        <v>82362229669</v>
      </c>
      <c r="E1832" s="458">
        <f>IFERROR(__xludf.DUMMYFUNCTION("""COMPUTED_VALUE"""),0.0)</f>
        <v>0</v>
      </c>
      <c r="F1832" s="273">
        <f>IFERROR(__xludf.DUMMYFUNCTION("""COMPUTED_VALUE"""),4.0)</f>
        <v>4</v>
      </c>
      <c r="G1832" t="str">
        <f>IFERROR(__xludf.DUMMYFUNCTION("""COMPUTED_VALUE"""),"Sabun batang 1 Box ( 2 PCS )")</f>
        <v>Sabun batang 1 Box ( 2 PCS )</v>
      </c>
      <c r="H1832" s="469" t="str">
        <f>IFERROR(__xludf.DUMMYFUNCTION("""COMPUTED_VALUE"""),"Sampai")</f>
        <v>Sampai</v>
      </c>
      <c r="I1832" s="470" t="str">
        <f>IFERROR(__xludf.DUMMYFUNCTION("""COMPUTED_VALUE"""),"KIMME")</f>
        <v>KIMME</v>
      </c>
      <c r="J1832" s="471" t="str">
        <f>IFERROR(__xludf.DUMMYFUNCTION("""COMPUTED_VALUE"""),"https://vt.tiktok.com/ZS9DP2wff/")</f>
        <v>https://vt.tiktok.com/ZS9DP2wff/</v>
      </c>
      <c r="K1832" s="470" t="str">
        <f>IFERROR(__xludf.DUMMYFUNCTION("""COMPUTED_VALUE"""),"KIMME")</f>
        <v>KIMME</v>
      </c>
      <c r="L1832" s="471" t="str">
        <f>IFERROR(__xludf.DUMMYFUNCTION("""COMPUTED_VALUE"""),"https://vt.tiktok.com/ZS9DP9gUq/")</f>
        <v>https://vt.tiktok.com/ZS9DP9gUq/</v>
      </c>
      <c r="M1832" s="470"/>
      <c r="N1832" s="471" t="str">
        <f>IFERROR(__xludf.DUMMYFUNCTION("""COMPUTED_VALUE"""),"https://vt.tiktok.com/ZS9DPPrEn/")</f>
        <v>https://vt.tiktok.com/ZS9DPPrEn/</v>
      </c>
      <c r="O1832" s="470"/>
      <c r="P1832" s="471" t="str">
        <f>IFERROR(__xludf.DUMMYFUNCTION("""COMPUTED_VALUE"""),"https://vt.tiktok.com/ZS959tdWy/")</f>
        <v>https://vt.tiktok.com/ZS959tdWy/</v>
      </c>
    </row>
    <row r="1833">
      <c r="A1833" s="282" t="str">
        <f>IFERROR(__xludf.DUMMYFUNCTION("""COMPUTED_VALUE"""),"MICRO")</f>
        <v>MICRO</v>
      </c>
      <c r="B1833" s="468" t="str">
        <f>IFERROR(__xludf.DUMMYFUNCTION("""COMPUTED_VALUE"""),"leehyu_04")</f>
        <v>leehyu_04</v>
      </c>
      <c r="C1833" s="283" t="str">
        <f>IFERROR(__xludf.DUMMYFUNCTION("""COMPUTED_VALUE"""),"https://www.tiktok.com/@leehyu_04")</f>
        <v>https://www.tiktok.com/@leehyu_04</v>
      </c>
      <c r="D1833" s="273">
        <f>IFERROR(__xludf.DUMMYFUNCTION("""COMPUTED_VALUE"""),8.95386691957E11)</f>
        <v>895386691957</v>
      </c>
      <c r="E1833" s="458">
        <f>IFERROR(__xludf.DUMMYFUNCTION("""COMPUTED_VALUE"""),0.0)</f>
        <v>0</v>
      </c>
      <c r="F1833" s="273">
        <f>IFERROR(__xludf.DUMMYFUNCTION("""COMPUTED_VALUE"""),4.0)</f>
        <v>4</v>
      </c>
      <c r="G1833" t="str">
        <f>IFERROR(__xludf.DUMMYFUNCTION("""COMPUTED_VALUE"""),"Sabun batang 1 Box ( 2 PCS )")</f>
        <v>Sabun batang 1 Box ( 2 PCS )</v>
      </c>
      <c r="H1833" s="469" t="str">
        <f>IFERROR(__xludf.DUMMYFUNCTION("""COMPUTED_VALUE"""),"Sampai")</f>
        <v>Sampai</v>
      </c>
      <c r="I1833" s="470" t="str">
        <f>IFERROR(__xludf.DUMMYFUNCTION("""COMPUTED_VALUE"""),"KIMME")</f>
        <v>KIMME</v>
      </c>
      <c r="J1833" s="471" t="str">
        <f>IFERROR(__xludf.DUMMYFUNCTION("""COMPUTED_VALUE"""),"https://vt.tiktok.com/ZS9DPUo5R/")</f>
        <v>https://vt.tiktok.com/ZS9DPUo5R/</v>
      </c>
      <c r="K1833" s="470" t="str">
        <f>IFERROR(__xludf.DUMMYFUNCTION("""COMPUTED_VALUE"""),"KIMME")</f>
        <v>KIMME</v>
      </c>
      <c r="L1833" s="471" t="str">
        <f>IFERROR(__xludf.DUMMYFUNCTION("""COMPUTED_VALUE"""),"https://vt.tiktok.com/ZS9DPDvFU/")</f>
        <v>https://vt.tiktok.com/ZS9DPDvFU/</v>
      </c>
      <c r="M1833" s="470"/>
      <c r="N1833" s="471" t="str">
        <f>IFERROR(__xludf.DUMMYFUNCTION("""COMPUTED_VALUE"""),"https://vt.tiktok.com/ZS9DP67g8/")</f>
        <v>https://vt.tiktok.com/ZS9DP67g8/</v>
      </c>
      <c r="O1833" s="470"/>
      <c r="P1833" s="471" t="str">
        <f>IFERROR(__xludf.DUMMYFUNCTION("""COMPUTED_VALUE"""),"https://vt.tiktok.com/ZS9DPmU5N/")</f>
        <v>https://vt.tiktok.com/ZS9DPmU5N/</v>
      </c>
    </row>
    <row r="1834">
      <c r="A1834" s="282" t="str">
        <f>IFERROR(__xludf.DUMMYFUNCTION("""COMPUTED_VALUE"""),"MICRO")</f>
        <v>MICRO</v>
      </c>
      <c r="B1834" s="468" t="str">
        <f>IFERROR(__xludf.DUMMYFUNCTION("""COMPUTED_VALUE"""),"kmallasary_")</f>
        <v>kmallasary_</v>
      </c>
      <c r="C1834" s="283" t="str">
        <f>IFERROR(__xludf.DUMMYFUNCTION("""COMPUTED_VALUE"""),"https://www.tiktok.com/@kmallasary_")</f>
        <v>https://www.tiktok.com/@kmallasary_</v>
      </c>
      <c r="D1834" s="273">
        <f>IFERROR(__xludf.DUMMYFUNCTION("""COMPUTED_VALUE"""),8.3191643287E10)</f>
        <v>83191643287</v>
      </c>
      <c r="E1834" s="458">
        <f>IFERROR(__xludf.DUMMYFUNCTION("""COMPUTED_VALUE"""),0.0)</f>
        <v>0</v>
      </c>
      <c r="F1834" s="273">
        <f>IFERROR(__xludf.DUMMYFUNCTION("""COMPUTED_VALUE"""),3.0)</f>
        <v>3</v>
      </c>
      <c r="G1834" t="str">
        <f>IFERROR(__xludf.DUMMYFUNCTION("""COMPUTED_VALUE"""),"Sabun batang 1 Box ( 2 PCS )")</f>
        <v>Sabun batang 1 Box ( 2 PCS )</v>
      </c>
      <c r="H1834" s="469" t="str">
        <f>IFERROR(__xludf.DUMMYFUNCTION("""COMPUTED_VALUE"""),"Sampai")</f>
        <v>Sampai</v>
      </c>
      <c r="I1834" s="470" t="str">
        <f>IFERROR(__xludf.DUMMYFUNCTION("""COMPUTED_VALUE"""),"KIMME")</f>
        <v>KIMME</v>
      </c>
      <c r="J1834" s="471" t="str">
        <f>IFERROR(__xludf.DUMMYFUNCTION("""COMPUTED_VALUE"""),"https://vt.tiktok.com/ZS9DP2wff/")</f>
        <v>https://vt.tiktok.com/ZS9DP2wff/</v>
      </c>
      <c r="K1834" s="470" t="str">
        <f>IFERROR(__xludf.DUMMYFUNCTION("""COMPUTED_VALUE"""),"KIMME")</f>
        <v>KIMME</v>
      </c>
      <c r="L1834" s="471" t="str">
        <f>IFERROR(__xludf.DUMMYFUNCTION("""COMPUTED_VALUE"""),"https://vt.tiktok.com/ZS9DP9gUq/")</f>
        <v>https://vt.tiktok.com/ZS9DP9gUq/</v>
      </c>
      <c r="M1834" s="470"/>
      <c r="N1834" s="471" t="str">
        <f>IFERROR(__xludf.DUMMYFUNCTION("""COMPUTED_VALUE"""),"https://vt.tiktok.com/ZS9DPPrEn/")</f>
        <v>https://vt.tiktok.com/ZS9DPPrEn/</v>
      </c>
      <c r="O1834" s="470"/>
      <c r="P1834" s="471" t="str">
        <f>IFERROR(__xludf.DUMMYFUNCTION("""COMPUTED_VALUE"""),"https://vt.tiktok.com/ZS959tdWy/")</f>
        <v>https://vt.tiktok.com/ZS959tdWy/</v>
      </c>
    </row>
    <row r="1835">
      <c r="A1835" s="282" t="str">
        <f>IFERROR(__xludf.DUMMYFUNCTION("""COMPUTED_VALUE"""),"MICRO")</f>
        <v>MICRO</v>
      </c>
      <c r="B1835" s="468" t="str">
        <f>IFERROR(__xludf.DUMMYFUNCTION("""COMPUTED_VALUE"""),"ecil95")</f>
        <v>ecil95</v>
      </c>
      <c r="C1835" s="283" t="str">
        <f>IFERROR(__xludf.DUMMYFUNCTION("""COMPUTED_VALUE"""),"https://www.tiktok.com/@ecil95")</f>
        <v>https://www.tiktok.com/@ecil95</v>
      </c>
      <c r="D1835" s="273">
        <f>IFERROR(__xludf.DUMMYFUNCTION("""COMPUTED_VALUE"""),8.5892645698E10)</f>
        <v>85892645698</v>
      </c>
      <c r="E1835" s="458">
        <f>IFERROR(__xludf.DUMMYFUNCTION("""COMPUTED_VALUE"""),0.0)</f>
        <v>0</v>
      </c>
      <c r="F1835" s="273">
        <f>IFERROR(__xludf.DUMMYFUNCTION("""COMPUTED_VALUE"""),4.0)</f>
        <v>4</v>
      </c>
      <c r="G1835" t="str">
        <f>IFERROR(__xludf.DUMMYFUNCTION("""COMPUTED_VALUE"""),"Sabun batang 1 Box ( 2 PCS )")</f>
        <v>Sabun batang 1 Box ( 2 PCS )</v>
      </c>
      <c r="H1835" s="469" t="str">
        <f>IFERROR(__xludf.DUMMYFUNCTION("""COMPUTED_VALUE"""),"Sampai")</f>
        <v>Sampai</v>
      </c>
      <c r="I1835" s="470" t="str">
        <f>IFERROR(__xludf.DUMMYFUNCTION("""COMPUTED_VALUE"""),"KIMME")</f>
        <v>KIMME</v>
      </c>
      <c r="J1835" s="471" t="str">
        <f>IFERROR(__xludf.DUMMYFUNCTION("""COMPUTED_VALUE"""),"https://vt.tiktok.com/ZS9DPUo5R/")</f>
        <v>https://vt.tiktok.com/ZS9DPUo5R/</v>
      </c>
      <c r="K1835" s="470" t="str">
        <f>IFERROR(__xludf.DUMMYFUNCTION("""COMPUTED_VALUE"""),"KIMME")</f>
        <v>KIMME</v>
      </c>
      <c r="L1835" s="471" t="str">
        <f>IFERROR(__xludf.DUMMYFUNCTION("""COMPUTED_VALUE"""),"https://vt.tiktok.com/ZS9DPDvFU/")</f>
        <v>https://vt.tiktok.com/ZS9DPDvFU/</v>
      </c>
      <c r="M1835" s="470"/>
      <c r="N1835" s="471" t="str">
        <f>IFERROR(__xludf.DUMMYFUNCTION("""COMPUTED_VALUE"""),"https://vt.tiktok.com/ZS9DP67g8/")</f>
        <v>https://vt.tiktok.com/ZS9DP67g8/</v>
      </c>
      <c r="O1835" s="470"/>
      <c r="P1835" s="471" t="str">
        <f>IFERROR(__xludf.DUMMYFUNCTION("""COMPUTED_VALUE"""),"https://vt.tiktok.com/ZS9DPmU5N/")</f>
        <v>https://vt.tiktok.com/ZS9DPmU5N/</v>
      </c>
    </row>
    <row r="1836">
      <c r="A1836" s="282" t="str">
        <f>IFERROR(__xludf.DUMMYFUNCTION("""COMPUTED_VALUE"""),"MICRO")</f>
        <v>MICRO</v>
      </c>
      <c r="B1836" s="468" t="str">
        <f>IFERROR(__xludf.DUMMYFUNCTION("""COMPUTED_VALUE"""),"marimas7025")</f>
        <v>marimas7025</v>
      </c>
      <c r="C1836" s="283" t="str">
        <f>IFERROR(__xludf.DUMMYFUNCTION("""COMPUTED_VALUE"""),"https://www.tiktok.com/@marimas7025")</f>
        <v>https://www.tiktok.com/@marimas7025</v>
      </c>
      <c r="D1836" s="273">
        <f>IFERROR(__xludf.DUMMYFUNCTION("""COMPUTED_VALUE"""),8.1331644028E10)</f>
        <v>81331644028</v>
      </c>
      <c r="E1836" s="458">
        <f>IFERROR(__xludf.DUMMYFUNCTION("""COMPUTED_VALUE"""),0.0)</f>
        <v>0</v>
      </c>
      <c r="F1836" s="273">
        <f>IFERROR(__xludf.DUMMYFUNCTION("""COMPUTED_VALUE"""),4.0)</f>
        <v>4</v>
      </c>
      <c r="G1836" t="str">
        <f>IFERROR(__xludf.DUMMYFUNCTION("""COMPUTED_VALUE"""),"Sabun batang 1 Box ( 2 PCS )")</f>
        <v>Sabun batang 1 Box ( 2 PCS )</v>
      </c>
      <c r="H1836" s="469" t="str">
        <f>IFERROR(__xludf.DUMMYFUNCTION("""COMPUTED_VALUE"""),"Sampai")</f>
        <v>Sampai</v>
      </c>
      <c r="I1836" s="470" t="str">
        <f>IFERROR(__xludf.DUMMYFUNCTION("""COMPUTED_VALUE"""),"KIMME")</f>
        <v>KIMME</v>
      </c>
      <c r="J1836" s="471" t="str">
        <f>IFERROR(__xludf.DUMMYFUNCTION("""COMPUTED_VALUE"""),"https://vt.tiktok.com/ZS9DP2wff/")</f>
        <v>https://vt.tiktok.com/ZS9DP2wff/</v>
      </c>
      <c r="K1836" s="470" t="str">
        <f>IFERROR(__xludf.DUMMYFUNCTION("""COMPUTED_VALUE"""),"KIMME")</f>
        <v>KIMME</v>
      </c>
      <c r="L1836" s="471" t="str">
        <f>IFERROR(__xludf.DUMMYFUNCTION("""COMPUTED_VALUE"""),"https://vt.tiktok.com/ZS9DP9gUq/")</f>
        <v>https://vt.tiktok.com/ZS9DP9gUq/</v>
      </c>
      <c r="M1836" s="470"/>
      <c r="N1836" s="471" t="str">
        <f>IFERROR(__xludf.DUMMYFUNCTION("""COMPUTED_VALUE"""),"https://vt.tiktok.com/ZS9DPPrEn/")</f>
        <v>https://vt.tiktok.com/ZS9DPPrEn/</v>
      </c>
      <c r="O1836" s="470"/>
      <c r="P1836" s="471" t="str">
        <f>IFERROR(__xludf.DUMMYFUNCTION("""COMPUTED_VALUE"""),"https://vt.tiktok.com/ZS959tdWy/")</f>
        <v>https://vt.tiktok.com/ZS959tdWy/</v>
      </c>
    </row>
    <row r="1837">
      <c r="A1837" s="282" t="str">
        <f>IFERROR(__xludf.DUMMYFUNCTION("""COMPUTED_VALUE"""),"MICRO")</f>
        <v>MICRO</v>
      </c>
      <c r="B1837" s="468" t="str">
        <f>IFERROR(__xludf.DUMMYFUNCTION("""COMPUTED_VALUE"""),"yourlovelyy99")</f>
        <v>yourlovelyy99</v>
      </c>
      <c r="C1837" s="283" t="str">
        <f>IFERROR(__xludf.DUMMYFUNCTION("""COMPUTED_VALUE"""),"https://www.tiktok.com/@yourlovelyy99")</f>
        <v>https://www.tiktok.com/@yourlovelyy99</v>
      </c>
      <c r="D1837" s="273">
        <f>IFERROR(__xludf.DUMMYFUNCTION("""COMPUTED_VALUE"""),8.971717816E9)</f>
        <v>8971717816</v>
      </c>
      <c r="E1837" s="458">
        <f>IFERROR(__xludf.DUMMYFUNCTION("""COMPUTED_VALUE"""),0.0)</f>
        <v>0</v>
      </c>
      <c r="F1837" s="273">
        <f>IFERROR(__xludf.DUMMYFUNCTION("""COMPUTED_VALUE"""),4.0)</f>
        <v>4</v>
      </c>
      <c r="G1837" t="str">
        <f>IFERROR(__xludf.DUMMYFUNCTION("""COMPUTED_VALUE"""),"Sabun batang 1 Box ( 2 PCS )")</f>
        <v>Sabun batang 1 Box ( 2 PCS )</v>
      </c>
      <c r="H1837" s="469" t="str">
        <f>IFERROR(__xludf.DUMMYFUNCTION("""COMPUTED_VALUE"""),"Sampai")</f>
        <v>Sampai</v>
      </c>
      <c r="I1837" s="470" t="str">
        <f>IFERROR(__xludf.DUMMYFUNCTION("""COMPUTED_VALUE"""),"KIMME")</f>
        <v>KIMME</v>
      </c>
      <c r="J1837" s="471" t="str">
        <f>IFERROR(__xludf.DUMMYFUNCTION("""COMPUTED_VALUE"""),"https://vt.tiktok.com/ZS9DPUo5R/")</f>
        <v>https://vt.tiktok.com/ZS9DPUo5R/</v>
      </c>
      <c r="K1837" s="470" t="str">
        <f>IFERROR(__xludf.DUMMYFUNCTION("""COMPUTED_VALUE"""),"KIMME")</f>
        <v>KIMME</v>
      </c>
      <c r="L1837" s="471" t="str">
        <f>IFERROR(__xludf.DUMMYFUNCTION("""COMPUTED_VALUE"""),"https://vt.tiktok.com/ZS9DPDvFU/")</f>
        <v>https://vt.tiktok.com/ZS9DPDvFU/</v>
      </c>
      <c r="M1837" s="470"/>
      <c r="N1837" s="471" t="str">
        <f>IFERROR(__xludf.DUMMYFUNCTION("""COMPUTED_VALUE"""),"https://vt.tiktok.com/ZS9DP67g8/")</f>
        <v>https://vt.tiktok.com/ZS9DP67g8/</v>
      </c>
      <c r="O1837" s="470"/>
      <c r="P1837" s="471" t="str">
        <f>IFERROR(__xludf.DUMMYFUNCTION("""COMPUTED_VALUE"""),"https://vt.tiktok.com/ZS9DPmU5N/")</f>
        <v>https://vt.tiktok.com/ZS9DPmU5N/</v>
      </c>
    </row>
    <row r="1838">
      <c r="A1838" s="282" t="str">
        <f>IFERROR(__xludf.DUMMYFUNCTION("""COMPUTED_VALUE"""),"MICRO")</f>
        <v>MICRO</v>
      </c>
      <c r="B1838" s="468" t="str">
        <f>IFERROR(__xludf.DUMMYFUNCTION("""COMPUTED_VALUE"""),"vhiaamora_5")</f>
        <v>vhiaamora_5</v>
      </c>
      <c r="C1838" s="283" t="str">
        <f>IFERROR(__xludf.DUMMYFUNCTION("""COMPUTED_VALUE"""),"https://www.tiktok.com/@vhiaamora_5")</f>
        <v>https://www.tiktok.com/@vhiaamora_5</v>
      </c>
      <c r="D1838" s="273">
        <f>IFERROR(__xludf.DUMMYFUNCTION("""COMPUTED_VALUE"""),8.593611285E10)</f>
        <v>85936112850</v>
      </c>
      <c r="E1838" s="458">
        <f>IFERROR(__xludf.DUMMYFUNCTION("""COMPUTED_VALUE"""),0.0)</f>
        <v>0</v>
      </c>
      <c r="F1838" s="273">
        <f>IFERROR(__xludf.DUMMYFUNCTION("""COMPUTED_VALUE"""),4.0)</f>
        <v>4</v>
      </c>
      <c r="G1838" t="str">
        <f>IFERROR(__xludf.DUMMYFUNCTION("""COMPUTED_VALUE"""),"Sabun batang 1 Box ( 2 PCS )")</f>
        <v>Sabun batang 1 Box ( 2 PCS )</v>
      </c>
      <c r="H1838" s="469" t="str">
        <f>IFERROR(__xludf.DUMMYFUNCTION("""COMPUTED_VALUE"""),"Sampai")</f>
        <v>Sampai</v>
      </c>
      <c r="I1838" s="470" t="str">
        <f>IFERROR(__xludf.DUMMYFUNCTION("""COMPUTED_VALUE"""),"KIMME")</f>
        <v>KIMME</v>
      </c>
      <c r="J1838" s="471" t="str">
        <f>IFERROR(__xludf.DUMMYFUNCTION("""COMPUTED_VALUE"""),"https://vt.tiktok.com/ZS9DP2wff/")</f>
        <v>https://vt.tiktok.com/ZS9DP2wff/</v>
      </c>
      <c r="K1838" s="470" t="str">
        <f>IFERROR(__xludf.DUMMYFUNCTION("""COMPUTED_VALUE"""),"KIMME")</f>
        <v>KIMME</v>
      </c>
      <c r="L1838" s="471" t="str">
        <f>IFERROR(__xludf.DUMMYFUNCTION("""COMPUTED_VALUE"""),"https://vt.tiktok.com/ZS9DP9gUq/")</f>
        <v>https://vt.tiktok.com/ZS9DP9gUq/</v>
      </c>
      <c r="M1838" s="470"/>
      <c r="N1838" s="471" t="str">
        <f>IFERROR(__xludf.DUMMYFUNCTION("""COMPUTED_VALUE"""),"https://vt.tiktok.com/ZS9DPPrEn/")</f>
        <v>https://vt.tiktok.com/ZS9DPPrEn/</v>
      </c>
      <c r="O1838" s="470"/>
      <c r="P1838" s="471" t="str">
        <f>IFERROR(__xludf.DUMMYFUNCTION("""COMPUTED_VALUE"""),"https://vt.tiktok.com/ZS959tdWy/")</f>
        <v>https://vt.tiktok.com/ZS959tdWy/</v>
      </c>
    </row>
    <row r="1839">
      <c r="A1839" s="282" t="str">
        <f>IFERROR(__xludf.DUMMYFUNCTION("""COMPUTED_VALUE"""),"MICRO")</f>
        <v>MICRO</v>
      </c>
      <c r="B1839" s="468" t="str">
        <f>IFERROR(__xludf.DUMMYFUNCTION("""COMPUTED_VALUE"""),"nnalaaas")</f>
        <v>nnalaaas</v>
      </c>
      <c r="C1839" s="283" t="str">
        <f>IFERROR(__xludf.DUMMYFUNCTION("""COMPUTED_VALUE"""),"https://www.tiktok.com/@nnalaaas")</f>
        <v>https://www.tiktok.com/@nnalaaas</v>
      </c>
      <c r="D1839" s="273">
        <f>IFERROR(__xludf.DUMMYFUNCTION("""COMPUTED_VALUE"""),8.5717051246E10)</f>
        <v>85717051246</v>
      </c>
      <c r="E1839" s="458">
        <f>IFERROR(__xludf.DUMMYFUNCTION("""COMPUTED_VALUE"""),0.0)</f>
        <v>0</v>
      </c>
      <c r="F1839" s="273">
        <f>IFERROR(__xludf.DUMMYFUNCTION("""COMPUTED_VALUE"""),4.0)</f>
        <v>4</v>
      </c>
      <c r="G1839" t="str">
        <f>IFERROR(__xludf.DUMMYFUNCTION("""COMPUTED_VALUE"""),"Sabun batang 1 Box ( 2 PCS )")</f>
        <v>Sabun batang 1 Box ( 2 PCS )</v>
      </c>
      <c r="H1839" s="469" t="str">
        <f>IFERROR(__xludf.DUMMYFUNCTION("""COMPUTED_VALUE"""),"Sampai")</f>
        <v>Sampai</v>
      </c>
      <c r="I1839" s="470" t="str">
        <f>IFERROR(__xludf.DUMMYFUNCTION("""COMPUTED_VALUE"""),"KIMME")</f>
        <v>KIMME</v>
      </c>
      <c r="J1839" s="471" t="str">
        <f>IFERROR(__xludf.DUMMYFUNCTION("""COMPUTED_VALUE"""),"https://vt.tiktok.com/ZS9DPUo5R/")</f>
        <v>https://vt.tiktok.com/ZS9DPUo5R/</v>
      </c>
      <c r="K1839" s="470" t="str">
        <f>IFERROR(__xludf.DUMMYFUNCTION("""COMPUTED_VALUE"""),"KIMME")</f>
        <v>KIMME</v>
      </c>
      <c r="L1839" s="471" t="str">
        <f>IFERROR(__xludf.DUMMYFUNCTION("""COMPUTED_VALUE"""),"https://vt.tiktok.com/ZS9DPDvFU/")</f>
        <v>https://vt.tiktok.com/ZS9DPDvFU/</v>
      </c>
      <c r="M1839" s="470"/>
      <c r="N1839" s="471" t="str">
        <f>IFERROR(__xludf.DUMMYFUNCTION("""COMPUTED_VALUE"""),"https://vt.tiktok.com/ZS9DP67g8/")</f>
        <v>https://vt.tiktok.com/ZS9DP67g8/</v>
      </c>
      <c r="O1839" s="470"/>
      <c r="P1839" s="471" t="str">
        <f>IFERROR(__xludf.DUMMYFUNCTION("""COMPUTED_VALUE"""),"https://vt.tiktok.com/ZS9DPmU5N/")</f>
        <v>https://vt.tiktok.com/ZS9DPmU5N/</v>
      </c>
    </row>
    <row r="1840">
      <c r="A1840" s="282" t="str">
        <f>IFERROR(__xludf.DUMMYFUNCTION("""COMPUTED_VALUE"""),"MICRO")</f>
        <v>MICRO</v>
      </c>
      <c r="B1840" s="468" t="str">
        <f>IFERROR(__xludf.DUMMYFUNCTION("""COMPUTED_VALUE"""),"elis_dmytt")</f>
        <v>elis_dmytt</v>
      </c>
      <c r="C1840" s="283" t="str">
        <f>IFERROR(__xludf.DUMMYFUNCTION("""COMPUTED_VALUE"""),"https://www.tiktok.com/@elis_dmytt")</f>
        <v>https://www.tiktok.com/@elis_dmytt</v>
      </c>
      <c r="D1840" s="273">
        <f>IFERROR(__xludf.DUMMYFUNCTION("""COMPUTED_VALUE"""),8.5719424024E10)</f>
        <v>85719424024</v>
      </c>
      <c r="E1840" s="458"/>
      <c r="F1840" s="273"/>
      <c r="G1840" t="str">
        <f>IFERROR(__xludf.DUMMYFUNCTION("""COMPUTED_VALUE"""),"Sabun batang 1 Box ( 2 PCS )")</f>
        <v>Sabun batang 1 Box ( 2 PCS )</v>
      </c>
      <c r="H1840" s="469" t="str">
        <f>IFERROR(__xludf.DUMMYFUNCTION("""COMPUTED_VALUE"""),"Sampai")</f>
        <v>Sampai</v>
      </c>
      <c r="I1840" s="470" t="str">
        <f>IFERROR(__xludf.DUMMYFUNCTION("""COMPUTED_VALUE"""),"KIMME")</f>
        <v>KIMME</v>
      </c>
      <c r="J1840" s="471" t="str">
        <f>IFERROR(__xludf.DUMMYFUNCTION("""COMPUTED_VALUE"""),"https://vt.tiktok.com/ZS9DP2wff/")</f>
        <v>https://vt.tiktok.com/ZS9DP2wff/</v>
      </c>
      <c r="K1840" s="470" t="str">
        <f>IFERROR(__xludf.DUMMYFUNCTION("""COMPUTED_VALUE"""),"KIMME")</f>
        <v>KIMME</v>
      </c>
      <c r="L1840" s="471" t="str">
        <f>IFERROR(__xludf.DUMMYFUNCTION("""COMPUTED_VALUE"""),"https://vt.tiktok.com/ZS9DP9gUq/")</f>
        <v>https://vt.tiktok.com/ZS9DP9gUq/</v>
      </c>
      <c r="M1840" s="470"/>
      <c r="N1840" s="471" t="str">
        <f>IFERROR(__xludf.DUMMYFUNCTION("""COMPUTED_VALUE"""),"https://vt.tiktok.com/ZS9DPPrEn/")</f>
        <v>https://vt.tiktok.com/ZS9DPPrEn/</v>
      </c>
      <c r="O1840" s="470"/>
      <c r="P1840" s="471" t="str">
        <f>IFERROR(__xludf.DUMMYFUNCTION("""COMPUTED_VALUE"""),"https://vt.tiktok.com/ZS959tdWy/")</f>
        <v>https://vt.tiktok.com/ZS959tdWy/</v>
      </c>
    </row>
    <row r="1841">
      <c r="A1841" s="282" t="str">
        <f>IFERROR(__xludf.DUMMYFUNCTION("""COMPUTED_VALUE"""),"MICRO")</f>
        <v>MICRO</v>
      </c>
      <c r="B1841" s="468" t="str">
        <f>IFERROR(__xludf.DUMMYFUNCTION("""COMPUTED_VALUE"""),"n.o.v.i.l.i.a")</f>
        <v>n.o.v.i.l.i.a</v>
      </c>
      <c r="C1841" s="283" t="str">
        <f>IFERROR(__xludf.DUMMYFUNCTION("""COMPUTED_VALUE"""),"https://www.tiktok.com/@n.o.v.i.l.i.a")</f>
        <v>https://www.tiktok.com/@n.o.v.i.l.i.a</v>
      </c>
      <c r="D1841" s="273">
        <f>IFERROR(__xludf.DUMMYFUNCTION("""COMPUTED_VALUE"""),8.3848450066E10)</f>
        <v>83848450066</v>
      </c>
      <c r="E1841" s="458">
        <f>IFERROR(__xludf.DUMMYFUNCTION("""COMPUTED_VALUE"""),0.0)</f>
        <v>0</v>
      </c>
      <c r="F1841" s="273">
        <f>IFERROR(__xludf.DUMMYFUNCTION("""COMPUTED_VALUE"""),4.0)</f>
        <v>4</v>
      </c>
      <c r="G1841" t="str">
        <f>IFERROR(__xludf.DUMMYFUNCTION("""COMPUTED_VALUE"""),"Sabun batang 1 Box ( 2 PCS )")</f>
        <v>Sabun batang 1 Box ( 2 PCS )</v>
      </c>
      <c r="H1841" s="469" t="str">
        <f>IFERROR(__xludf.DUMMYFUNCTION("""COMPUTED_VALUE"""),"Sampai")</f>
        <v>Sampai</v>
      </c>
      <c r="I1841" s="470" t="str">
        <f>IFERROR(__xludf.DUMMYFUNCTION("""COMPUTED_VALUE"""),"KIMME")</f>
        <v>KIMME</v>
      </c>
      <c r="J1841" s="471" t="str">
        <f>IFERROR(__xludf.DUMMYFUNCTION("""COMPUTED_VALUE"""),"https://vt.tiktok.com/ZS9DPUo5R/")</f>
        <v>https://vt.tiktok.com/ZS9DPUo5R/</v>
      </c>
      <c r="K1841" s="470" t="str">
        <f>IFERROR(__xludf.DUMMYFUNCTION("""COMPUTED_VALUE"""),"KIMME")</f>
        <v>KIMME</v>
      </c>
      <c r="L1841" s="471" t="str">
        <f>IFERROR(__xludf.DUMMYFUNCTION("""COMPUTED_VALUE"""),"https://vt.tiktok.com/ZS9DPDvFU/")</f>
        <v>https://vt.tiktok.com/ZS9DPDvFU/</v>
      </c>
      <c r="M1841" s="470"/>
      <c r="N1841" s="471" t="str">
        <f>IFERROR(__xludf.DUMMYFUNCTION("""COMPUTED_VALUE"""),"https://vt.tiktok.com/ZS9DP67g8/")</f>
        <v>https://vt.tiktok.com/ZS9DP67g8/</v>
      </c>
      <c r="O1841" s="470"/>
      <c r="P1841" s="471" t="str">
        <f>IFERROR(__xludf.DUMMYFUNCTION("""COMPUTED_VALUE"""),"https://vt.tiktok.com/ZS9DPmU5N/")</f>
        <v>https://vt.tiktok.com/ZS9DPmU5N/</v>
      </c>
    </row>
    <row r="1842">
      <c r="A1842" s="282" t="str">
        <f>IFERROR(__xludf.DUMMYFUNCTION("""COMPUTED_VALUE"""),"MICRO")</f>
        <v>MICRO</v>
      </c>
      <c r="B1842" s="468" t="str">
        <f>IFERROR(__xludf.DUMMYFUNCTION("""COMPUTED_VALUE"""),"agij_")</f>
        <v>agij_</v>
      </c>
      <c r="C1842" s="283" t="str">
        <f>IFERROR(__xludf.DUMMYFUNCTION("""COMPUTED_VALUE"""),"https://www.tiktok.com/@agij_")</f>
        <v>https://www.tiktok.com/@agij_</v>
      </c>
      <c r="D1842" s="273">
        <f>IFERROR(__xludf.DUMMYFUNCTION("""COMPUTED_VALUE"""),8.5879580238E10)</f>
        <v>85879580238</v>
      </c>
      <c r="E1842" s="458">
        <f>IFERROR(__xludf.DUMMYFUNCTION("""COMPUTED_VALUE"""),0.0)</f>
        <v>0</v>
      </c>
      <c r="F1842" s="273">
        <f>IFERROR(__xludf.DUMMYFUNCTION("""COMPUTED_VALUE"""),4.0)</f>
        <v>4</v>
      </c>
      <c r="G1842" t="str">
        <f>IFERROR(__xludf.DUMMYFUNCTION("""COMPUTED_VALUE"""),"Sabun batang 1 Box ( 2 PCS )")</f>
        <v>Sabun batang 1 Box ( 2 PCS )</v>
      </c>
      <c r="H1842" s="469" t="str">
        <f>IFERROR(__xludf.DUMMYFUNCTION("""COMPUTED_VALUE"""),"Sampai")</f>
        <v>Sampai</v>
      </c>
      <c r="I1842" s="470" t="str">
        <f>IFERROR(__xludf.DUMMYFUNCTION("""COMPUTED_VALUE"""),"KIMME")</f>
        <v>KIMME</v>
      </c>
      <c r="J1842" s="471" t="str">
        <f>IFERROR(__xludf.DUMMYFUNCTION("""COMPUTED_VALUE"""),"https://vt.tiktok.com/ZS9DP2wff/")</f>
        <v>https://vt.tiktok.com/ZS9DP2wff/</v>
      </c>
      <c r="K1842" s="470" t="str">
        <f>IFERROR(__xludf.DUMMYFUNCTION("""COMPUTED_VALUE"""),"KIMME")</f>
        <v>KIMME</v>
      </c>
      <c r="L1842" s="471" t="str">
        <f>IFERROR(__xludf.DUMMYFUNCTION("""COMPUTED_VALUE"""),"https://vt.tiktok.com/ZS9DP9gUq/")</f>
        <v>https://vt.tiktok.com/ZS9DP9gUq/</v>
      </c>
      <c r="M1842" s="470"/>
      <c r="N1842" s="471" t="str">
        <f>IFERROR(__xludf.DUMMYFUNCTION("""COMPUTED_VALUE"""),"https://vt.tiktok.com/ZS9DPPrEn/")</f>
        <v>https://vt.tiktok.com/ZS9DPPrEn/</v>
      </c>
      <c r="O1842" s="470"/>
      <c r="P1842" s="471" t="str">
        <f>IFERROR(__xludf.DUMMYFUNCTION("""COMPUTED_VALUE"""),"https://vt.tiktok.com/ZS959tdWy/")</f>
        <v>https://vt.tiktok.com/ZS959tdWy/</v>
      </c>
    </row>
    <row r="1843">
      <c r="A1843" s="282" t="str">
        <f>IFERROR(__xludf.DUMMYFUNCTION("""COMPUTED_VALUE"""),"MICRO")</f>
        <v>MICRO</v>
      </c>
      <c r="B1843" s="468" t="str">
        <f>IFERROR(__xludf.DUMMYFUNCTION("""COMPUTED_VALUE"""),"inasitinurjanah30")</f>
        <v>inasitinurjanah30</v>
      </c>
      <c r="C1843" s="283" t="str">
        <f>IFERROR(__xludf.DUMMYFUNCTION("""COMPUTED_VALUE"""),"https://www.tiktok.com/@inasitinurjanah30")</f>
        <v>https://www.tiktok.com/@inasitinurjanah30</v>
      </c>
      <c r="D1843" s="273">
        <f>IFERROR(__xludf.DUMMYFUNCTION("""COMPUTED_VALUE"""),8.2130751806E10)</f>
        <v>82130751806</v>
      </c>
      <c r="E1843" s="458">
        <f>IFERROR(__xludf.DUMMYFUNCTION("""COMPUTED_VALUE"""),0.0)</f>
        <v>0</v>
      </c>
      <c r="F1843" s="273">
        <f>IFERROR(__xludf.DUMMYFUNCTION("""COMPUTED_VALUE"""),2.0)</f>
        <v>2</v>
      </c>
      <c r="G1843" t="str">
        <f>IFERROR(__xludf.DUMMYFUNCTION("""COMPUTED_VALUE"""),"Sabun batang 1 Box ( 2 PCS )")</f>
        <v>Sabun batang 1 Box ( 2 PCS )</v>
      </c>
      <c r="H1843" s="469" t="str">
        <f>IFERROR(__xludf.DUMMYFUNCTION("""COMPUTED_VALUE"""),"Sampai")</f>
        <v>Sampai</v>
      </c>
      <c r="I1843" s="470" t="str">
        <f>IFERROR(__xludf.DUMMYFUNCTION("""COMPUTED_VALUE"""),"KIMME")</f>
        <v>KIMME</v>
      </c>
      <c r="J1843" s="471" t="str">
        <f>IFERROR(__xludf.DUMMYFUNCTION("""COMPUTED_VALUE"""),"https://vt.tiktok.com/ZS9DPUo5R/")</f>
        <v>https://vt.tiktok.com/ZS9DPUo5R/</v>
      </c>
      <c r="K1843" s="470" t="str">
        <f>IFERROR(__xludf.DUMMYFUNCTION("""COMPUTED_VALUE"""),"KIMME")</f>
        <v>KIMME</v>
      </c>
      <c r="L1843" s="471" t="str">
        <f>IFERROR(__xludf.DUMMYFUNCTION("""COMPUTED_VALUE"""),"https://vt.tiktok.com/ZS9DPDvFU/")</f>
        <v>https://vt.tiktok.com/ZS9DPDvFU/</v>
      </c>
      <c r="M1843" s="470"/>
      <c r="N1843" s="471" t="str">
        <f>IFERROR(__xludf.DUMMYFUNCTION("""COMPUTED_VALUE"""),"https://vt.tiktok.com/ZS9DP67g8/")</f>
        <v>https://vt.tiktok.com/ZS9DP67g8/</v>
      </c>
      <c r="O1843" s="470"/>
      <c r="P1843" s="471" t="str">
        <f>IFERROR(__xludf.DUMMYFUNCTION("""COMPUTED_VALUE"""),"https://vt.tiktok.com/ZS9DPmU5N/")</f>
        <v>https://vt.tiktok.com/ZS9DPmU5N/</v>
      </c>
    </row>
    <row r="1844">
      <c r="A1844" s="282" t="str">
        <f>IFERROR(__xludf.DUMMYFUNCTION("""COMPUTED_VALUE"""),"MICRO")</f>
        <v>MICRO</v>
      </c>
      <c r="B1844" s="468" t="str">
        <f>IFERROR(__xludf.DUMMYFUNCTION("""COMPUTED_VALUE"""),"isti_qomah617")</f>
        <v>isti_qomah617</v>
      </c>
      <c r="C1844" s="283" t="str">
        <f>IFERROR(__xludf.DUMMYFUNCTION("""COMPUTED_VALUE"""),"https://www.tiktok.com/@isti_qomah617")</f>
        <v>https://www.tiktok.com/@isti_qomah617</v>
      </c>
      <c r="D1844" s="273">
        <f>IFERROR(__xludf.DUMMYFUNCTION("""COMPUTED_VALUE"""),8.82003313238E11)</f>
        <v>882003313238</v>
      </c>
      <c r="E1844" s="458">
        <f>IFERROR(__xludf.DUMMYFUNCTION("""COMPUTED_VALUE"""),0.0)</f>
        <v>0</v>
      </c>
      <c r="F1844" s="273">
        <f>IFERROR(__xludf.DUMMYFUNCTION("""COMPUTED_VALUE"""),4.0)</f>
        <v>4</v>
      </c>
      <c r="G1844" t="str">
        <f>IFERROR(__xludf.DUMMYFUNCTION("""COMPUTED_VALUE"""),"Sabun batang 1 Box ( 2 PCS )")</f>
        <v>Sabun batang 1 Box ( 2 PCS )</v>
      </c>
      <c r="H1844" s="469" t="str">
        <f>IFERROR(__xludf.DUMMYFUNCTION("""COMPUTED_VALUE"""),"Sampai")</f>
        <v>Sampai</v>
      </c>
      <c r="I1844" s="470" t="str">
        <f>IFERROR(__xludf.DUMMYFUNCTION("""COMPUTED_VALUE"""),"KIMME")</f>
        <v>KIMME</v>
      </c>
      <c r="J1844" s="471" t="str">
        <f>IFERROR(__xludf.DUMMYFUNCTION("""COMPUTED_VALUE"""),"https://vt.tiktok.com/ZS9DP2wff/")</f>
        <v>https://vt.tiktok.com/ZS9DP2wff/</v>
      </c>
      <c r="K1844" s="470" t="str">
        <f>IFERROR(__xludf.DUMMYFUNCTION("""COMPUTED_VALUE"""),"KIMME")</f>
        <v>KIMME</v>
      </c>
      <c r="L1844" s="471" t="str">
        <f>IFERROR(__xludf.DUMMYFUNCTION("""COMPUTED_VALUE"""),"https://vt.tiktok.com/ZS9DP9gUq/")</f>
        <v>https://vt.tiktok.com/ZS9DP9gUq/</v>
      </c>
      <c r="M1844" s="470"/>
      <c r="N1844" s="471" t="str">
        <f>IFERROR(__xludf.DUMMYFUNCTION("""COMPUTED_VALUE"""),"https://vt.tiktok.com/ZS9DPPrEn/")</f>
        <v>https://vt.tiktok.com/ZS9DPPrEn/</v>
      </c>
      <c r="O1844" s="470"/>
      <c r="P1844" s="471" t="str">
        <f>IFERROR(__xludf.DUMMYFUNCTION("""COMPUTED_VALUE"""),"https://vt.tiktok.com/ZS959tdWy/")</f>
        <v>https://vt.tiktok.com/ZS959tdWy/</v>
      </c>
    </row>
    <row r="1845">
      <c r="A1845" s="282" t="str">
        <f>IFERROR(__xludf.DUMMYFUNCTION("""COMPUTED_VALUE"""),"MICRO")</f>
        <v>MICRO</v>
      </c>
      <c r="B1845" s="468" t="str">
        <f>IFERROR(__xludf.DUMMYFUNCTION("""COMPUTED_VALUE"""),"shinnn_9604")</f>
        <v>shinnn_9604</v>
      </c>
      <c r="C1845" s="283" t="str">
        <f>IFERROR(__xludf.DUMMYFUNCTION("""COMPUTED_VALUE"""),"https://www.tiktok.com/@shinnn_9604")</f>
        <v>https://www.tiktok.com/@shinnn_9604</v>
      </c>
      <c r="D1845" s="273">
        <f>IFERROR(__xludf.DUMMYFUNCTION("""COMPUTED_VALUE"""),8.5270254407E10)</f>
        <v>85270254407</v>
      </c>
      <c r="E1845" s="458">
        <f>IFERROR(__xludf.DUMMYFUNCTION("""COMPUTED_VALUE"""),0.0)</f>
        <v>0</v>
      </c>
      <c r="F1845" s="273">
        <f>IFERROR(__xludf.DUMMYFUNCTION("""COMPUTED_VALUE"""),4.0)</f>
        <v>4</v>
      </c>
      <c r="G1845" t="str">
        <f>IFERROR(__xludf.DUMMYFUNCTION("""COMPUTED_VALUE"""),"Sabun batang 1 Box ( 2 PCS )")</f>
        <v>Sabun batang 1 Box ( 2 PCS )</v>
      </c>
      <c r="H1845" s="469" t="str">
        <f>IFERROR(__xludf.DUMMYFUNCTION("""COMPUTED_VALUE"""),"Sampai")</f>
        <v>Sampai</v>
      </c>
      <c r="I1845" s="470" t="str">
        <f>IFERROR(__xludf.DUMMYFUNCTION("""COMPUTED_VALUE"""),"KIMME")</f>
        <v>KIMME</v>
      </c>
      <c r="J1845" s="471" t="str">
        <f>IFERROR(__xludf.DUMMYFUNCTION("""COMPUTED_VALUE"""),"https://vt.tiktok.com/ZS9DPUo5R/")</f>
        <v>https://vt.tiktok.com/ZS9DPUo5R/</v>
      </c>
      <c r="K1845" s="470" t="str">
        <f>IFERROR(__xludf.DUMMYFUNCTION("""COMPUTED_VALUE"""),"KIMME")</f>
        <v>KIMME</v>
      </c>
      <c r="L1845" s="471" t="str">
        <f>IFERROR(__xludf.DUMMYFUNCTION("""COMPUTED_VALUE"""),"https://vt.tiktok.com/ZS9DPDvFU/")</f>
        <v>https://vt.tiktok.com/ZS9DPDvFU/</v>
      </c>
      <c r="M1845" s="470"/>
      <c r="N1845" s="471" t="str">
        <f>IFERROR(__xludf.DUMMYFUNCTION("""COMPUTED_VALUE"""),"https://vt.tiktok.com/ZS9DP67g8/")</f>
        <v>https://vt.tiktok.com/ZS9DP67g8/</v>
      </c>
      <c r="O1845" s="470"/>
      <c r="P1845" s="471" t="str">
        <f>IFERROR(__xludf.DUMMYFUNCTION("""COMPUTED_VALUE"""),"https://vt.tiktok.com/ZS9DPmU5N/")</f>
        <v>https://vt.tiktok.com/ZS9DPmU5N/</v>
      </c>
    </row>
    <row r="1846">
      <c r="A1846" s="282" t="str">
        <f>IFERROR(__xludf.DUMMYFUNCTION("""COMPUTED_VALUE"""),"MICRO")</f>
        <v>MICRO</v>
      </c>
      <c r="B1846" s="468" t="str">
        <f>IFERROR(__xludf.DUMMYFUNCTION("""COMPUTED_VALUE"""),"thaliaaprilia12")</f>
        <v>thaliaaprilia12</v>
      </c>
      <c r="C1846" s="283" t="str">
        <f>IFERROR(__xludf.DUMMYFUNCTION("""COMPUTED_VALUE"""),"https://www.tiktok.com/@thaliaaprilia12")</f>
        <v>https://www.tiktok.com/@thaliaaprilia12</v>
      </c>
      <c r="D1846" s="273">
        <f>IFERROR(__xludf.DUMMYFUNCTION("""COMPUTED_VALUE"""),8.9649194466E10)</f>
        <v>89649194466</v>
      </c>
      <c r="E1846" s="458">
        <f>IFERROR(__xludf.DUMMYFUNCTION("""COMPUTED_VALUE"""),0.0)</f>
        <v>0</v>
      </c>
      <c r="F1846" s="273">
        <f>IFERROR(__xludf.DUMMYFUNCTION("""COMPUTED_VALUE"""),4.0)</f>
        <v>4</v>
      </c>
      <c r="G1846" t="str">
        <f>IFERROR(__xludf.DUMMYFUNCTION("""COMPUTED_VALUE"""),"Sabun batang 1 Box ( 2 PCS )")</f>
        <v>Sabun batang 1 Box ( 2 PCS )</v>
      </c>
      <c r="H1846" s="469" t="str">
        <f>IFERROR(__xludf.DUMMYFUNCTION("""COMPUTED_VALUE"""),"Sampai")</f>
        <v>Sampai</v>
      </c>
      <c r="I1846" s="470" t="str">
        <f>IFERROR(__xludf.DUMMYFUNCTION("""COMPUTED_VALUE"""),"KIMME")</f>
        <v>KIMME</v>
      </c>
      <c r="J1846" s="471" t="str">
        <f>IFERROR(__xludf.DUMMYFUNCTION("""COMPUTED_VALUE"""),"https://vt.tiktok.com/ZS9DP2wff/")</f>
        <v>https://vt.tiktok.com/ZS9DP2wff/</v>
      </c>
      <c r="K1846" s="470" t="str">
        <f>IFERROR(__xludf.DUMMYFUNCTION("""COMPUTED_VALUE"""),"KIMME")</f>
        <v>KIMME</v>
      </c>
      <c r="L1846" s="471" t="str">
        <f>IFERROR(__xludf.DUMMYFUNCTION("""COMPUTED_VALUE"""),"https://vt.tiktok.com/ZS9DP9gUq/")</f>
        <v>https://vt.tiktok.com/ZS9DP9gUq/</v>
      </c>
      <c r="M1846" s="470"/>
      <c r="N1846" s="471" t="str">
        <f>IFERROR(__xludf.DUMMYFUNCTION("""COMPUTED_VALUE"""),"https://vt.tiktok.com/ZS9DPPrEn/")</f>
        <v>https://vt.tiktok.com/ZS9DPPrEn/</v>
      </c>
      <c r="O1846" s="470"/>
      <c r="P1846" s="471" t="str">
        <f>IFERROR(__xludf.DUMMYFUNCTION("""COMPUTED_VALUE"""),"https://vt.tiktok.com/ZS959tdWy/")</f>
        <v>https://vt.tiktok.com/ZS959tdWy/</v>
      </c>
    </row>
    <row r="1847">
      <c r="A1847" s="282" t="str">
        <f>IFERROR(__xludf.DUMMYFUNCTION("""COMPUTED_VALUE"""),"MICRO")</f>
        <v>MICRO</v>
      </c>
      <c r="B1847" s="468" t="str">
        <f>IFERROR(__xludf.DUMMYFUNCTION("""COMPUTED_VALUE"""),"bywakreh")</f>
        <v>bywakreh</v>
      </c>
      <c r="C1847" s="283" t="str">
        <f>IFERROR(__xludf.DUMMYFUNCTION("""COMPUTED_VALUE"""),"https://www.tiktok.com/@bywakreh")</f>
        <v>https://www.tiktok.com/@bywakreh</v>
      </c>
      <c r="D1847" s="273">
        <f>IFERROR(__xludf.DUMMYFUNCTION("""COMPUTED_VALUE"""),8.384274208E10)</f>
        <v>83842742080</v>
      </c>
      <c r="E1847" s="458">
        <f>IFERROR(__xludf.DUMMYFUNCTION("""COMPUTED_VALUE"""),0.0)</f>
        <v>0</v>
      </c>
      <c r="F1847" s="273">
        <f>IFERROR(__xludf.DUMMYFUNCTION("""COMPUTED_VALUE"""),4.0)</f>
        <v>4</v>
      </c>
      <c r="G1847" t="str">
        <f>IFERROR(__xludf.DUMMYFUNCTION("""COMPUTED_VALUE"""),"Sabun batang 1 Box ( 2 PCS )")</f>
        <v>Sabun batang 1 Box ( 2 PCS )</v>
      </c>
      <c r="H1847" s="469" t="str">
        <f>IFERROR(__xludf.DUMMYFUNCTION("""COMPUTED_VALUE"""),"Sampai")</f>
        <v>Sampai</v>
      </c>
      <c r="I1847" s="470" t="str">
        <f>IFERROR(__xludf.DUMMYFUNCTION("""COMPUTED_VALUE"""),"KIMME")</f>
        <v>KIMME</v>
      </c>
      <c r="J1847" s="471" t="str">
        <f>IFERROR(__xludf.DUMMYFUNCTION("""COMPUTED_VALUE"""),"https://vt.tiktok.com/ZS9DPUo5R/")</f>
        <v>https://vt.tiktok.com/ZS9DPUo5R/</v>
      </c>
      <c r="K1847" s="470" t="str">
        <f>IFERROR(__xludf.DUMMYFUNCTION("""COMPUTED_VALUE"""),"KIMME")</f>
        <v>KIMME</v>
      </c>
      <c r="L1847" s="471" t="str">
        <f>IFERROR(__xludf.DUMMYFUNCTION("""COMPUTED_VALUE"""),"https://vt.tiktok.com/ZS9DPDvFU/")</f>
        <v>https://vt.tiktok.com/ZS9DPDvFU/</v>
      </c>
      <c r="M1847" s="470"/>
      <c r="N1847" s="471" t="str">
        <f>IFERROR(__xludf.DUMMYFUNCTION("""COMPUTED_VALUE"""),"https://vt.tiktok.com/ZS9DP67g8/")</f>
        <v>https://vt.tiktok.com/ZS9DP67g8/</v>
      </c>
      <c r="O1847" s="470"/>
      <c r="P1847" s="471" t="str">
        <f>IFERROR(__xludf.DUMMYFUNCTION("""COMPUTED_VALUE"""),"https://vt.tiktok.com/ZS9DPmU5N/")</f>
        <v>https://vt.tiktok.com/ZS9DPmU5N/</v>
      </c>
    </row>
    <row r="1848">
      <c r="A1848" s="282" t="str">
        <f>IFERROR(__xludf.DUMMYFUNCTION("""COMPUTED_VALUE"""),"MICRO")</f>
        <v>MICRO</v>
      </c>
      <c r="B1848" s="468" t="str">
        <f>IFERROR(__xludf.DUMMYFUNCTION("""COMPUTED_VALUE"""),"lovingcs1")</f>
        <v>lovingcs1</v>
      </c>
      <c r="C1848" s="283" t="str">
        <f>IFERROR(__xludf.DUMMYFUNCTION("""COMPUTED_VALUE"""),"https://www.tiktok.com/@lovingcs1")</f>
        <v>https://www.tiktok.com/@lovingcs1</v>
      </c>
      <c r="D1848" s="273">
        <f>IFERROR(__xludf.DUMMYFUNCTION("""COMPUTED_VALUE"""),8.3825381887E10)</f>
        <v>83825381887</v>
      </c>
      <c r="E1848" s="458">
        <f>IFERROR(__xludf.DUMMYFUNCTION("""COMPUTED_VALUE"""),0.0)</f>
        <v>0</v>
      </c>
      <c r="F1848" s="273">
        <f>IFERROR(__xludf.DUMMYFUNCTION("""COMPUTED_VALUE"""),4.0)</f>
        <v>4</v>
      </c>
      <c r="G1848" t="str">
        <f>IFERROR(__xludf.DUMMYFUNCTION("""COMPUTED_VALUE"""),"Sabun batang 1 Box ( 2 PCS )")</f>
        <v>Sabun batang 1 Box ( 2 PCS )</v>
      </c>
      <c r="H1848" s="469" t="str">
        <f>IFERROR(__xludf.DUMMYFUNCTION("""COMPUTED_VALUE"""),"Sampai")</f>
        <v>Sampai</v>
      </c>
      <c r="I1848" s="470" t="str">
        <f>IFERROR(__xludf.DUMMYFUNCTION("""COMPUTED_VALUE"""),"KIMME")</f>
        <v>KIMME</v>
      </c>
      <c r="J1848" s="471" t="str">
        <f>IFERROR(__xludf.DUMMYFUNCTION("""COMPUTED_VALUE"""),"https://vt.tiktok.com/ZS9DP2wff/")</f>
        <v>https://vt.tiktok.com/ZS9DP2wff/</v>
      </c>
      <c r="K1848" s="470" t="str">
        <f>IFERROR(__xludf.DUMMYFUNCTION("""COMPUTED_VALUE"""),"KIMME")</f>
        <v>KIMME</v>
      </c>
      <c r="L1848" s="471" t="str">
        <f>IFERROR(__xludf.DUMMYFUNCTION("""COMPUTED_VALUE"""),"https://vt.tiktok.com/ZS9DP9gUq/")</f>
        <v>https://vt.tiktok.com/ZS9DP9gUq/</v>
      </c>
      <c r="M1848" s="470"/>
      <c r="N1848" s="471" t="str">
        <f>IFERROR(__xludf.DUMMYFUNCTION("""COMPUTED_VALUE"""),"https://vt.tiktok.com/ZS9DPPrEn/")</f>
        <v>https://vt.tiktok.com/ZS9DPPrEn/</v>
      </c>
      <c r="O1848" s="470"/>
      <c r="P1848" s="471" t="str">
        <f>IFERROR(__xludf.DUMMYFUNCTION("""COMPUTED_VALUE"""),"https://vt.tiktok.com/ZS959tdWy/")</f>
        <v>https://vt.tiktok.com/ZS959tdWy/</v>
      </c>
    </row>
    <row r="1849">
      <c r="A1849" s="282" t="str">
        <f>IFERROR(__xludf.DUMMYFUNCTION("""COMPUTED_VALUE"""),"MICRO")</f>
        <v>MICRO</v>
      </c>
      <c r="B1849" s="468" t="str">
        <f>IFERROR(__xludf.DUMMYFUNCTION("""COMPUTED_VALUE"""),"thebestsil")</f>
        <v>thebestsil</v>
      </c>
      <c r="C1849" s="283" t="str">
        <f>IFERROR(__xludf.DUMMYFUNCTION("""COMPUTED_VALUE"""),"https://www.tiktok.com/@thebestsil")</f>
        <v>https://www.tiktok.com/@thebestsil</v>
      </c>
      <c r="D1849" s="273">
        <f>IFERROR(__xludf.DUMMYFUNCTION("""COMPUTED_VALUE"""),8.7896783378E10)</f>
        <v>87896783378</v>
      </c>
      <c r="E1849" s="458">
        <f>IFERROR(__xludf.DUMMYFUNCTION("""COMPUTED_VALUE"""),50000.0)</f>
        <v>50000</v>
      </c>
      <c r="F1849" s="273">
        <f>IFERROR(__xludf.DUMMYFUNCTION("""COMPUTED_VALUE"""),2.0)</f>
        <v>2</v>
      </c>
      <c r="G1849" t="str">
        <f>IFERROR(__xludf.DUMMYFUNCTION("""COMPUTED_VALUE"""),"Sabun batang 1 Box ( 2 PCS )")</f>
        <v>Sabun batang 1 Box ( 2 PCS )</v>
      </c>
      <c r="H1849" s="469" t="str">
        <f>IFERROR(__xludf.DUMMYFUNCTION("""COMPUTED_VALUE"""),"Sampai")</f>
        <v>Sampai</v>
      </c>
      <c r="I1849" s="470" t="str">
        <f>IFERROR(__xludf.DUMMYFUNCTION("""COMPUTED_VALUE"""),"KIMME")</f>
        <v>KIMME</v>
      </c>
      <c r="J1849" s="471" t="str">
        <f>IFERROR(__xludf.DUMMYFUNCTION("""COMPUTED_VALUE"""),"https://vt.tiktok.com/ZS9DPUo5R/")</f>
        <v>https://vt.tiktok.com/ZS9DPUo5R/</v>
      </c>
      <c r="K1849" s="470" t="str">
        <f>IFERROR(__xludf.DUMMYFUNCTION("""COMPUTED_VALUE"""),"KIMME")</f>
        <v>KIMME</v>
      </c>
      <c r="L1849" s="471" t="str">
        <f>IFERROR(__xludf.DUMMYFUNCTION("""COMPUTED_VALUE"""),"https://vt.tiktok.com/ZS9DPDvFU/")</f>
        <v>https://vt.tiktok.com/ZS9DPDvFU/</v>
      </c>
      <c r="M1849" s="470"/>
      <c r="N1849" s="471" t="str">
        <f>IFERROR(__xludf.DUMMYFUNCTION("""COMPUTED_VALUE"""),"https://vt.tiktok.com/ZS9DP67g8/")</f>
        <v>https://vt.tiktok.com/ZS9DP67g8/</v>
      </c>
      <c r="O1849" s="470"/>
      <c r="P1849" s="471" t="str">
        <f>IFERROR(__xludf.DUMMYFUNCTION("""COMPUTED_VALUE"""),"https://vt.tiktok.com/ZS9DPmU5N/")</f>
        <v>https://vt.tiktok.com/ZS9DPmU5N/</v>
      </c>
    </row>
    <row r="1850">
      <c r="A1850" s="282" t="str">
        <f>IFERROR(__xludf.DUMMYFUNCTION("""COMPUTED_VALUE"""),"MICRO")</f>
        <v>MICRO</v>
      </c>
      <c r="B1850" s="468" t="str">
        <f>IFERROR(__xludf.DUMMYFUNCTION("""COMPUTED_VALUE"""),"yaelahsiska")</f>
        <v>yaelahsiska</v>
      </c>
      <c r="C1850" s="283" t="str">
        <f>IFERROR(__xludf.DUMMYFUNCTION("""COMPUTED_VALUE"""),"https://www.tiktok.com/@yaelahsiska")</f>
        <v>https://www.tiktok.com/@yaelahsiska</v>
      </c>
      <c r="D1850" s="273">
        <f>IFERROR(__xludf.DUMMYFUNCTION("""COMPUTED_VALUE"""),8.5659001859E10)</f>
        <v>85659001859</v>
      </c>
      <c r="E1850" s="458">
        <f>IFERROR(__xludf.DUMMYFUNCTION("""COMPUTED_VALUE"""),0.0)</f>
        <v>0</v>
      </c>
      <c r="F1850" s="273">
        <f>IFERROR(__xludf.DUMMYFUNCTION("""COMPUTED_VALUE"""),4.0)</f>
        <v>4</v>
      </c>
      <c r="G1850" t="str">
        <f>IFERROR(__xludf.DUMMYFUNCTION("""COMPUTED_VALUE"""),"Sabun batang 1 Box ( 2 PCS )")</f>
        <v>Sabun batang 1 Box ( 2 PCS )</v>
      </c>
      <c r="H1850" s="469" t="str">
        <f>IFERROR(__xludf.DUMMYFUNCTION("""COMPUTED_VALUE"""),"Sampai")</f>
        <v>Sampai</v>
      </c>
      <c r="I1850" s="470" t="str">
        <f>IFERROR(__xludf.DUMMYFUNCTION("""COMPUTED_VALUE"""),"KIMME")</f>
        <v>KIMME</v>
      </c>
      <c r="J1850" s="471" t="str">
        <f>IFERROR(__xludf.DUMMYFUNCTION("""COMPUTED_VALUE"""),"https://vt.tiktok.com/ZS9DP2wff/")</f>
        <v>https://vt.tiktok.com/ZS9DP2wff/</v>
      </c>
      <c r="K1850" s="470" t="str">
        <f>IFERROR(__xludf.DUMMYFUNCTION("""COMPUTED_VALUE"""),"KIMME")</f>
        <v>KIMME</v>
      </c>
      <c r="L1850" s="471" t="str">
        <f>IFERROR(__xludf.DUMMYFUNCTION("""COMPUTED_VALUE"""),"https://vt.tiktok.com/ZS9DP9gUq/")</f>
        <v>https://vt.tiktok.com/ZS9DP9gUq/</v>
      </c>
      <c r="M1850" s="470"/>
      <c r="N1850" s="471" t="str">
        <f>IFERROR(__xludf.DUMMYFUNCTION("""COMPUTED_VALUE"""),"https://vt.tiktok.com/ZS9DPPrEn/")</f>
        <v>https://vt.tiktok.com/ZS9DPPrEn/</v>
      </c>
      <c r="O1850" s="470"/>
      <c r="P1850" s="471" t="str">
        <f>IFERROR(__xludf.DUMMYFUNCTION("""COMPUTED_VALUE"""),"https://vt.tiktok.com/ZS959tdWy/")</f>
        <v>https://vt.tiktok.com/ZS959tdWy/</v>
      </c>
    </row>
    <row r="1851">
      <c r="A1851" s="282" t="str">
        <f>IFERROR(__xludf.DUMMYFUNCTION("""COMPUTED_VALUE"""),"MICRO")</f>
        <v>MICRO</v>
      </c>
      <c r="B1851" s="468" t="str">
        <f>IFERROR(__xludf.DUMMYFUNCTION("""COMPUTED_VALUE"""),"a_lkan9")</f>
        <v>a_lkan9</v>
      </c>
      <c r="C1851" s="283" t="str">
        <f>IFERROR(__xludf.DUMMYFUNCTION("""COMPUTED_VALUE"""),"https://www.tiktok.com/@a_lkan9")</f>
        <v>https://www.tiktok.com/@a_lkan9</v>
      </c>
      <c r="D1851" s="273">
        <f>IFERROR(__xludf.DUMMYFUNCTION("""COMPUTED_VALUE"""),8.1324404182E10)</f>
        <v>81324404182</v>
      </c>
      <c r="E1851" s="458">
        <f>IFERROR(__xludf.DUMMYFUNCTION("""COMPUTED_VALUE"""),0.0)</f>
        <v>0</v>
      </c>
      <c r="F1851" s="273">
        <f>IFERROR(__xludf.DUMMYFUNCTION("""COMPUTED_VALUE"""),4.0)</f>
        <v>4</v>
      </c>
      <c r="G1851" t="str">
        <f>IFERROR(__xludf.DUMMYFUNCTION("""COMPUTED_VALUE"""),"Sabun batang 1 Box ( 2 PCS )")</f>
        <v>Sabun batang 1 Box ( 2 PCS )</v>
      </c>
      <c r="H1851" s="469" t="str">
        <f>IFERROR(__xludf.DUMMYFUNCTION("""COMPUTED_VALUE"""),"Sampai")</f>
        <v>Sampai</v>
      </c>
      <c r="I1851" s="470" t="str">
        <f>IFERROR(__xludf.DUMMYFUNCTION("""COMPUTED_VALUE"""),"KIMME")</f>
        <v>KIMME</v>
      </c>
      <c r="J1851" s="471" t="str">
        <f>IFERROR(__xludf.DUMMYFUNCTION("""COMPUTED_VALUE"""),"https://vt.tiktok.com/ZS9DPUo5R/")</f>
        <v>https://vt.tiktok.com/ZS9DPUo5R/</v>
      </c>
      <c r="K1851" s="470" t="str">
        <f>IFERROR(__xludf.DUMMYFUNCTION("""COMPUTED_VALUE"""),"KIMME")</f>
        <v>KIMME</v>
      </c>
      <c r="L1851" s="471" t="str">
        <f>IFERROR(__xludf.DUMMYFUNCTION("""COMPUTED_VALUE"""),"https://vt.tiktok.com/ZS9DPDvFU/")</f>
        <v>https://vt.tiktok.com/ZS9DPDvFU/</v>
      </c>
      <c r="M1851" s="470"/>
      <c r="N1851" s="471" t="str">
        <f>IFERROR(__xludf.DUMMYFUNCTION("""COMPUTED_VALUE"""),"https://vt.tiktok.com/ZS9DP67g8/")</f>
        <v>https://vt.tiktok.com/ZS9DP67g8/</v>
      </c>
      <c r="O1851" s="470"/>
      <c r="P1851" s="471" t="str">
        <f>IFERROR(__xludf.DUMMYFUNCTION("""COMPUTED_VALUE"""),"https://vt.tiktok.com/ZS9DPmU5N/")</f>
        <v>https://vt.tiktok.com/ZS9DPmU5N/</v>
      </c>
    </row>
    <row r="1852">
      <c r="A1852" s="282" t="str">
        <f>IFERROR(__xludf.DUMMYFUNCTION("""COMPUTED_VALUE"""),"MICRO")</f>
        <v>MICRO</v>
      </c>
      <c r="B1852" s="468" t="str">
        <f>IFERROR(__xludf.DUMMYFUNCTION("""COMPUTED_VALUE"""),"zhafranstore25")</f>
        <v>zhafranstore25</v>
      </c>
      <c r="C1852" s="283" t="str">
        <f>IFERROR(__xludf.DUMMYFUNCTION("""COMPUTED_VALUE"""),"https://www.tiktok.com/@zhafranstore25")</f>
        <v>https://www.tiktok.com/@zhafranstore25</v>
      </c>
      <c r="D1852" s="273">
        <f>IFERROR(__xludf.DUMMYFUNCTION("""COMPUTED_VALUE"""),8.5225304848E10)</f>
        <v>85225304848</v>
      </c>
      <c r="E1852" s="458">
        <f>IFERROR(__xludf.DUMMYFUNCTION("""COMPUTED_VALUE"""),0.0)</f>
        <v>0</v>
      </c>
      <c r="F1852" s="273">
        <f>IFERROR(__xludf.DUMMYFUNCTION("""COMPUTED_VALUE"""),4.0)</f>
        <v>4</v>
      </c>
      <c r="G1852" t="str">
        <f>IFERROR(__xludf.DUMMYFUNCTION("""COMPUTED_VALUE"""),"Sabun batang 1 Box ( 2 PCS )")</f>
        <v>Sabun batang 1 Box ( 2 PCS )</v>
      </c>
      <c r="H1852" s="469" t="str">
        <f>IFERROR(__xludf.DUMMYFUNCTION("""COMPUTED_VALUE"""),"Sampai")</f>
        <v>Sampai</v>
      </c>
      <c r="I1852" s="470" t="str">
        <f>IFERROR(__xludf.DUMMYFUNCTION("""COMPUTED_VALUE"""),"KIMME")</f>
        <v>KIMME</v>
      </c>
      <c r="J1852" s="471" t="str">
        <f>IFERROR(__xludf.DUMMYFUNCTION("""COMPUTED_VALUE"""),"https://vt.tiktok.com/ZS9DP2wff/")</f>
        <v>https://vt.tiktok.com/ZS9DP2wff/</v>
      </c>
      <c r="K1852" s="470" t="str">
        <f>IFERROR(__xludf.DUMMYFUNCTION("""COMPUTED_VALUE"""),"KIMME")</f>
        <v>KIMME</v>
      </c>
      <c r="L1852" s="471" t="str">
        <f>IFERROR(__xludf.DUMMYFUNCTION("""COMPUTED_VALUE"""),"https://vt.tiktok.com/ZS9DP9gUq/")</f>
        <v>https://vt.tiktok.com/ZS9DP9gUq/</v>
      </c>
      <c r="M1852" s="470"/>
      <c r="N1852" s="471" t="str">
        <f>IFERROR(__xludf.DUMMYFUNCTION("""COMPUTED_VALUE"""),"https://vt.tiktok.com/ZS9DPPrEn/")</f>
        <v>https://vt.tiktok.com/ZS9DPPrEn/</v>
      </c>
      <c r="O1852" s="470"/>
      <c r="P1852" s="471" t="str">
        <f>IFERROR(__xludf.DUMMYFUNCTION("""COMPUTED_VALUE"""),"https://vt.tiktok.com/ZS959tdWy/")</f>
        <v>https://vt.tiktok.com/ZS959tdWy/</v>
      </c>
    </row>
    <row r="1853">
      <c r="A1853" s="282" t="str">
        <f>IFERROR(__xludf.DUMMYFUNCTION("""COMPUTED_VALUE"""),"MICRO")</f>
        <v>MICRO</v>
      </c>
      <c r="B1853" s="468" t="str">
        <f>IFERROR(__xludf.DUMMYFUNCTION("""COMPUTED_VALUE"""),"izzaaiindahh_")</f>
        <v>izzaaiindahh_</v>
      </c>
      <c r="C1853" s="283" t="str">
        <f>IFERROR(__xludf.DUMMYFUNCTION("""COMPUTED_VALUE"""),"https://www.tiktok.com/@izzaaiindahh_")</f>
        <v>https://www.tiktok.com/@izzaaiindahh_</v>
      </c>
      <c r="D1853" s="273">
        <f>IFERROR(__xludf.DUMMYFUNCTION("""COMPUTED_VALUE"""),8.5646547056E10)</f>
        <v>85646547056</v>
      </c>
      <c r="E1853" s="458">
        <f>IFERROR(__xludf.DUMMYFUNCTION("""COMPUTED_VALUE"""),0.0)</f>
        <v>0</v>
      </c>
      <c r="F1853" s="273">
        <f>IFERROR(__xludf.DUMMYFUNCTION("""COMPUTED_VALUE"""),4.0)</f>
        <v>4</v>
      </c>
      <c r="G1853" t="str">
        <f>IFERROR(__xludf.DUMMYFUNCTION("""COMPUTED_VALUE"""),"Sabun batang 1 Box ( 2 PCS )")</f>
        <v>Sabun batang 1 Box ( 2 PCS )</v>
      </c>
      <c r="H1853" s="469" t="str">
        <f>IFERROR(__xludf.DUMMYFUNCTION("""COMPUTED_VALUE"""),"Sampai")</f>
        <v>Sampai</v>
      </c>
      <c r="I1853" s="470" t="str">
        <f>IFERROR(__xludf.DUMMYFUNCTION("""COMPUTED_VALUE"""),"KIMME")</f>
        <v>KIMME</v>
      </c>
      <c r="J1853" s="471" t="str">
        <f>IFERROR(__xludf.DUMMYFUNCTION("""COMPUTED_VALUE"""),"https://vt.tiktok.com/ZS9DPUo5R/")</f>
        <v>https://vt.tiktok.com/ZS9DPUo5R/</v>
      </c>
      <c r="K1853" s="470" t="str">
        <f>IFERROR(__xludf.DUMMYFUNCTION("""COMPUTED_VALUE"""),"KIMME")</f>
        <v>KIMME</v>
      </c>
      <c r="L1853" s="471" t="str">
        <f>IFERROR(__xludf.DUMMYFUNCTION("""COMPUTED_VALUE"""),"https://vt.tiktok.com/ZS9DPDvFU/")</f>
        <v>https://vt.tiktok.com/ZS9DPDvFU/</v>
      </c>
      <c r="M1853" s="470"/>
      <c r="N1853" s="471" t="str">
        <f>IFERROR(__xludf.DUMMYFUNCTION("""COMPUTED_VALUE"""),"https://vt.tiktok.com/ZS9DP67g8/")</f>
        <v>https://vt.tiktok.com/ZS9DP67g8/</v>
      </c>
      <c r="O1853" s="470"/>
      <c r="P1853" s="471" t="str">
        <f>IFERROR(__xludf.DUMMYFUNCTION("""COMPUTED_VALUE"""),"https://vt.tiktok.com/ZS9DPmU5N/")</f>
        <v>https://vt.tiktok.com/ZS9DPmU5N/</v>
      </c>
    </row>
    <row r="1854">
      <c r="A1854" s="282" t="str">
        <f>IFERROR(__xludf.DUMMYFUNCTION("""COMPUTED_VALUE"""),"MACRO")</f>
        <v>MACRO</v>
      </c>
      <c r="B1854" s="468" t="str">
        <f>IFERROR(__xludf.DUMMYFUNCTION("""COMPUTED_VALUE"""),"annnauna23")</f>
        <v>annnauna23</v>
      </c>
      <c r="C1854" s="283" t="str">
        <f>IFERROR(__xludf.DUMMYFUNCTION("""COMPUTED_VALUE"""),"https://www.tiktok.com/@annnauna23")</f>
        <v>https://www.tiktok.com/@annnauna23</v>
      </c>
      <c r="D1854" s="273">
        <f>IFERROR(__xludf.DUMMYFUNCTION("""COMPUTED_VALUE"""),8.2111100651E10)</f>
        <v>82111100651</v>
      </c>
      <c r="E1854" s="458">
        <f>IFERROR(__xludf.DUMMYFUNCTION("""COMPUTED_VALUE"""),200000.0)</f>
        <v>200000</v>
      </c>
      <c r="F1854" s="273">
        <f>IFERROR(__xludf.DUMMYFUNCTION("""COMPUTED_VALUE"""),1.0)</f>
        <v>1</v>
      </c>
      <c r="G1854" t="str">
        <f>IFERROR(__xludf.DUMMYFUNCTION("""COMPUTED_VALUE"""),"Sabun batang 1 Box ( 2 PCS )")</f>
        <v>Sabun batang 1 Box ( 2 PCS )</v>
      </c>
      <c r="H1854" s="469" t="str">
        <f>IFERROR(__xludf.DUMMYFUNCTION("""COMPUTED_VALUE"""),"Sampai")</f>
        <v>Sampai</v>
      </c>
      <c r="I1854" s="470"/>
      <c r="K1854" s="470"/>
      <c r="M1854" s="470"/>
      <c r="O1854" s="470"/>
    </row>
    <row r="1855">
      <c r="A1855" s="282" t="str">
        <f>IFERROR(__xludf.DUMMYFUNCTION("""COMPUTED_VALUE"""),"MICRO")</f>
        <v>MICRO</v>
      </c>
      <c r="B1855" s="468" t="str">
        <f>IFERROR(__xludf.DUMMYFUNCTION("""COMPUTED_VALUE"""),"karinkarin012")</f>
        <v>karinkarin012</v>
      </c>
      <c r="C1855" s="283" t="str">
        <f>IFERROR(__xludf.DUMMYFUNCTION("""COMPUTED_VALUE"""),"https://www.tiktok.com/@karinkarin012")</f>
        <v>https://www.tiktok.com/@karinkarin012</v>
      </c>
      <c r="D1855" s="273">
        <f>IFERROR(__xludf.DUMMYFUNCTION("""COMPUTED_VALUE"""),8.7812675219E10)</f>
        <v>87812675219</v>
      </c>
      <c r="E1855" s="458">
        <f>IFERROR(__xludf.DUMMYFUNCTION("""COMPUTED_VALUE"""),0.0)</f>
        <v>0</v>
      </c>
      <c r="F1855" s="273">
        <f>IFERROR(__xludf.DUMMYFUNCTION("""COMPUTED_VALUE"""),4.0)</f>
        <v>4</v>
      </c>
      <c r="G1855" t="str">
        <f>IFERROR(__xludf.DUMMYFUNCTION("""COMPUTED_VALUE"""),"Sabun batang 1 Box ( 2 PCS )")</f>
        <v>Sabun batang 1 Box ( 2 PCS )</v>
      </c>
      <c r="H1855" s="469" t="str">
        <f>IFERROR(__xludf.DUMMYFUNCTION("""COMPUTED_VALUE"""),"Sampai")</f>
        <v>Sampai</v>
      </c>
      <c r="I1855" s="470"/>
      <c r="J1855" t="str">
        <f>IFERROR(__xludf.DUMMYFUNCTION("""COMPUTED_VALUE"""),"⁠https://vt.tiktok.com/ZSxgHrtXv/")</f>
        <v>⁠https://vt.tiktok.com/ZSxgHrtXv/</v>
      </c>
      <c r="K1855" s="470"/>
      <c r="L1855" t="str">
        <f>IFERROR(__xludf.DUMMYFUNCTION("""COMPUTED_VALUE"""),"⁠https://vt.tiktok.com/ZSxgHybpG/")</f>
        <v>⁠https://vt.tiktok.com/ZSxgHybpG/</v>
      </c>
      <c r="M1855" s="470"/>
      <c r="N1855" s="471" t="str">
        <f>IFERROR(__xludf.DUMMYFUNCTION("""COMPUTED_VALUE"""),"https://vt.tiktok.com/ZSxyAmmXk/")</f>
        <v>https://vt.tiktok.com/ZSxyAmmXk/</v>
      </c>
      <c r="O1855" s="470"/>
      <c r="P1855" t="str">
        <f>IFERROR(__xludf.DUMMYFUNCTION("""COMPUTED_VALUE"""),"⁠https://vt.tiktok.com/ZSxP64vTG/")</f>
        <v>⁠https://vt.tiktok.com/ZSxP64vTG/</v>
      </c>
    </row>
    <row r="1856">
      <c r="A1856" s="282" t="str">
        <f>IFERROR(__xludf.DUMMYFUNCTION("""COMPUTED_VALUE"""),"MICRO")</f>
        <v>MICRO</v>
      </c>
      <c r="B1856" s="468" t="str">
        <f>IFERROR(__xludf.DUMMYFUNCTION("""COMPUTED_VALUE"""),"wina.widiansyah")</f>
        <v>wina.widiansyah</v>
      </c>
      <c r="C1856" s="283" t="str">
        <f>IFERROR(__xludf.DUMMYFUNCTION("""COMPUTED_VALUE"""),"https://www.tiktok.com/@wina.widiansyah")</f>
        <v>https://www.tiktok.com/@wina.widiansyah</v>
      </c>
      <c r="D1856" s="273">
        <f>IFERROR(__xludf.DUMMYFUNCTION("""COMPUTED_VALUE"""),8.57712333E10)</f>
        <v>85771233300</v>
      </c>
      <c r="E1856" s="458">
        <f>IFERROR(__xludf.DUMMYFUNCTION("""COMPUTED_VALUE"""),0.0)</f>
        <v>0</v>
      </c>
      <c r="F1856" s="273">
        <f>IFERROR(__xludf.DUMMYFUNCTION("""COMPUTED_VALUE"""),4.0)</f>
        <v>4</v>
      </c>
      <c r="G1856" t="str">
        <f>IFERROR(__xludf.DUMMYFUNCTION("""COMPUTED_VALUE"""),"Sabun batang 1 Box ( 2 PCS )")</f>
        <v>Sabun batang 1 Box ( 2 PCS )</v>
      </c>
      <c r="H1856" s="469" t="str">
        <f>IFERROR(__xludf.DUMMYFUNCTION("""COMPUTED_VALUE"""),"Sampai")</f>
        <v>Sampai</v>
      </c>
      <c r="I1856" s="470"/>
      <c r="J1856" t="str">
        <f>IFERROR(__xludf.DUMMYFUNCTION("""COMPUTED_VALUE"""),"⁠https://vt.tiktok.com/ZSxgH74AE/")</f>
        <v>⁠https://vt.tiktok.com/ZSxgH74AE/</v>
      </c>
      <c r="K1856" s="470"/>
      <c r="L1856" t="str">
        <f>IFERROR(__xludf.DUMMYFUNCTION("""COMPUTED_VALUE"""),"⁠⁠⁠https://vt.tiktok.com/ZSxPMjBS1/")</f>
        <v>⁠⁠⁠https://vt.tiktok.com/ZSxPMjBS1/</v>
      </c>
      <c r="M1856" s="470"/>
      <c r="N1856" s="471" t="str">
        <f>IFERROR(__xludf.DUMMYFUNCTION("""COMPUTED_VALUE"""),"https://vt.tiktok.com/ZSxgHCTwN/")</f>
        <v>https://vt.tiktok.com/ZSxgHCTwN/</v>
      </c>
      <c r="O1856" s="470"/>
      <c r="P1856" t="str">
        <f>IFERROR(__xludf.DUMMYFUNCTION("""COMPUTED_VALUE"""),"⁠https://vt.tiktok.com/ZSxPMjnf2/")</f>
        <v>⁠https://vt.tiktok.com/ZSxPMjnf2/</v>
      </c>
    </row>
    <row r="1857">
      <c r="A1857" s="282" t="str">
        <f>IFERROR(__xludf.DUMMYFUNCTION("""COMPUTED_VALUE"""),"MICRO")</f>
        <v>MICRO</v>
      </c>
      <c r="B1857" s="468" t="str">
        <f>IFERROR(__xludf.DUMMYFUNCTION("""COMPUTED_VALUE"""),"karepewssssssss")</f>
        <v>karepewssssssss</v>
      </c>
      <c r="C1857" s="283" t="str">
        <f>IFERROR(__xludf.DUMMYFUNCTION("""COMPUTED_VALUE"""),"https://www.tiktok.com/@karepewssssssss")</f>
        <v>https://www.tiktok.com/@karepewssssssss</v>
      </c>
      <c r="D1857" s="273">
        <f>IFERROR(__xludf.DUMMYFUNCTION("""COMPUTED_VALUE"""),8.5706303746E10)</f>
        <v>85706303746</v>
      </c>
      <c r="E1857" s="458">
        <f>IFERROR(__xludf.DUMMYFUNCTION("""COMPUTED_VALUE"""),0.0)</f>
        <v>0</v>
      </c>
      <c r="F1857" s="273">
        <f>IFERROR(__xludf.DUMMYFUNCTION("""COMPUTED_VALUE"""),4.0)</f>
        <v>4</v>
      </c>
      <c r="G1857" t="str">
        <f>IFERROR(__xludf.DUMMYFUNCTION("""COMPUTED_VALUE"""),"Sabun batang 1 Box ( 2 PCS )")</f>
        <v>Sabun batang 1 Box ( 2 PCS )</v>
      </c>
      <c r="H1857" s="469" t="str">
        <f>IFERROR(__xludf.DUMMYFUNCTION("""COMPUTED_VALUE"""),"Sampai")</f>
        <v>Sampai</v>
      </c>
      <c r="I1857" s="470"/>
      <c r="J1857" s="471" t="str">
        <f>IFERROR(__xludf.DUMMYFUNCTION("""COMPUTED_VALUE"""),"https://vt.tiktok.com/ZSxULLE8C/")</f>
        <v>https://vt.tiktok.com/ZSxULLE8C/</v>
      </c>
      <c r="K1857" s="470"/>
      <c r="L1857" s="471" t="str">
        <f>IFERROR(__xludf.DUMMYFUNCTION("""COMPUTED_VALUE"""),"https://vt.tiktok.com/ZSxWsbuHL/")</f>
        <v>https://vt.tiktok.com/ZSxWsbuHL/</v>
      </c>
      <c r="M1857" s="470"/>
      <c r="N1857" s="471" t="str">
        <f>IFERROR(__xludf.DUMMYFUNCTION("""COMPUTED_VALUE"""),"https://vt.tiktok.com/ZSxWQNn8a/")</f>
        <v>https://vt.tiktok.com/ZSxWQNn8a/</v>
      </c>
      <c r="O1857" s="470"/>
      <c r="P1857" s="471" t="str">
        <f>IFERROR(__xludf.DUMMYFUNCTION("""COMPUTED_VALUE"""),"https://vt.tiktok.com/ZSxWQYHPL/")</f>
        <v>https://vt.tiktok.com/ZSxWQYHPL/</v>
      </c>
    </row>
    <row r="1858">
      <c r="A1858" s="282" t="str">
        <f>IFERROR(__xludf.DUMMYFUNCTION("""COMPUTED_VALUE"""),"MICRO")</f>
        <v>MICRO</v>
      </c>
      <c r="B1858" s="468" t="str">
        <f>IFERROR(__xludf.DUMMYFUNCTION("""COMPUTED_VALUE"""),"ikkasaja")</f>
        <v>ikkasaja</v>
      </c>
      <c r="C1858" s="283" t="str">
        <f>IFERROR(__xludf.DUMMYFUNCTION("""COMPUTED_VALUE"""),"https://www.tiktok.com/@ikkasaja")</f>
        <v>https://www.tiktok.com/@ikkasaja</v>
      </c>
      <c r="D1858" s="273">
        <f>IFERROR(__xludf.DUMMYFUNCTION("""COMPUTED_VALUE"""),8.312377189E10)</f>
        <v>83123771890</v>
      </c>
      <c r="E1858" s="458">
        <f>IFERROR(__xludf.DUMMYFUNCTION("""COMPUTED_VALUE"""),0.0)</f>
        <v>0</v>
      </c>
      <c r="F1858" s="273">
        <f>IFERROR(__xludf.DUMMYFUNCTION("""COMPUTED_VALUE"""),4.0)</f>
        <v>4</v>
      </c>
      <c r="G1858" t="str">
        <f>IFERROR(__xludf.DUMMYFUNCTION("""COMPUTED_VALUE"""),"Sabun batang 1 Box ( 2 PCS )")</f>
        <v>Sabun batang 1 Box ( 2 PCS )</v>
      </c>
      <c r="H1858" s="469" t="str">
        <f>IFERROR(__xludf.DUMMYFUNCTION("""COMPUTED_VALUE"""),"Sampai")</f>
        <v>Sampai</v>
      </c>
      <c r="I1858" s="470"/>
      <c r="J1858" s="471" t="str">
        <f>IFERROR(__xludf.DUMMYFUNCTION("""COMPUTED_VALUE"""),"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"&amp;"aceholder_origin_cover%22%3A%22https%253A%252F%252Fp16-common-sign.tiktokcdn.com%252Ftos-alisg-p-0037%252FocT3fUyagtsUCPXIgtfvGDAQDjLK9oeTHAQG2I~tplv-tiktokx-origin.jpeg%253Fdr%253D14572%2526refresh_token%253D13d7c298%2526x-expires%253D1808992800%2526x-si"&amp;"gnature%253Dm1yuhUo4JC1EwMfosEQhUBd56yw%25253D%2526t%253D4d5b0474%2526ps%253D13740610%2526shp%253Dd05b14bd%2526shcp%253D34ff8df6%2526idc%253Dmy2%2526s%253DTIKTOK_AFFILIATE_VIRAL_VIDEO%22%2C%22placeholder_product_id%22%3A%221729427766722726591%22%2C%22plac"&amp;"eholder_video_id%22%3A%227633434949797858581%22%7D&amp;ec_shared_reflux_scene=shop_tab_feed&amp;share_item_id=7633434949797858581&amp;source=h5_t")</f>
        <v>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aceholder_origin_cover%22%3A%22https%253A%252F%252Fp16-common-sign.tiktokcdn.com%252Ftos-alisg-p-0037%252FocT3fUyagtsUCPXIgtfvGDAQDjLK9oeTHAQG2I~tplv-tiktokx-origin.jpeg%253Fdr%253D14572%2526refresh_token%253D13d7c298%2526x-expires%253D1808992800%2526x-signature%253Dm1yuhUo4JC1EwMfosEQhUBd56yw%25253D%2526t%253D4d5b0474%2526ps%253D13740610%2526shp%253Dd05b14bd%2526shcp%253D34ff8df6%2526idc%253Dmy2%2526s%253DTIKTOK_AFFILIATE_VIRAL_VIDEO%22%2C%22placeholder_product_id%22%3A%221729427766722726591%22%2C%22placeholder_video_id%22%3A%227633434949797858581%22%7D&amp;ec_shared_reflux_scene=shop_tab_feed&amp;share_item_id=7633434949797858581&amp;source=h5_t</v>
      </c>
      <c r="K1858" s="470"/>
      <c r="L1858" s="471" t="str">
        <f>IFERROR(__xludf.DUMMYFUNCTION("""COMPUTED_VALUE"""),"https://vt.tiktok.com/ZSxfQGEgj/")</f>
        <v>https://vt.tiktok.com/ZSxfQGEgj/</v>
      </c>
      <c r="M1858" s="470"/>
      <c r="N1858" s="471" t="str">
        <f>IFERROR(__xludf.DUMMYFUNCTION("""COMPUTED_VALUE"""),"https://vt.tiktok.com/ZSxDYhccb/")</f>
        <v>https://vt.tiktok.com/ZSxDYhccb/</v>
      </c>
      <c r="O1858" s="470"/>
      <c r="P1858" s="471" t="str">
        <f>IFERROR(__xludf.DUMMYFUNCTION("""COMPUTED_VALUE"""),"https://vt.tiktok.com/ZSxDYQyTW/")</f>
        <v>https://vt.tiktok.com/ZSxDYQyTW/</v>
      </c>
    </row>
    <row r="1859">
      <c r="A1859" s="282" t="str">
        <f>IFERROR(__xludf.DUMMYFUNCTION("""COMPUTED_VALUE"""),"MICRO")</f>
        <v>MICRO</v>
      </c>
      <c r="B1859" s="468" t="str">
        <f>IFERROR(__xludf.DUMMYFUNCTION("""COMPUTED_VALUE"""),"soniadiash")</f>
        <v>soniadiash</v>
      </c>
      <c r="C1859" s="283" t="str">
        <f>IFERROR(__xludf.DUMMYFUNCTION("""COMPUTED_VALUE"""),"https://www.tiktok.com/@soniadiash")</f>
        <v>https://www.tiktok.com/@soniadiash</v>
      </c>
      <c r="D1859" s="273">
        <f>IFERROR(__xludf.DUMMYFUNCTION("""COMPUTED_VALUE"""),8.1809038581E10)</f>
        <v>81809038581</v>
      </c>
      <c r="E1859" s="458">
        <f>IFERROR(__xludf.DUMMYFUNCTION("""COMPUTED_VALUE"""),0.0)</f>
        <v>0</v>
      </c>
      <c r="F1859" s="273">
        <f>IFERROR(__xludf.DUMMYFUNCTION("""COMPUTED_VALUE"""),4.0)</f>
        <v>4</v>
      </c>
      <c r="G1859" t="str">
        <f>IFERROR(__xludf.DUMMYFUNCTION("""COMPUTED_VALUE"""),"Sabun batang 1 Box ( 2 PCS )")</f>
        <v>Sabun batang 1 Box ( 2 PCS )</v>
      </c>
      <c r="H1859" s="469" t="str">
        <f>IFERROR(__xludf.DUMMYFUNCTION("""COMPUTED_VALUE"""),"Sampai")</f>
        <v>Sampai</v>
      </c>
      <c r="I1859" s="470"/>
      <c r="J1859" s="471" t="str">
        <f>IFERROR(__xludf.DUMMYFUNCTION("""COMPUTED_VALUE"""),"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"&amp;"22placeholder_origin_cover%22%3A%22https%253A%252F%252Fp16-common-sign.tiktokcdn.com%252Ftos-alisg-p-0037%252Fo8fO8AM1hZeDgXj1TZgNKQoIABetCT1Aj7WrQE~tplv-tiktokx-origin.jpeg%253Fdr%253D14572%2526refresh_token%253Db34d4f83%2526x-expires%253D1808992800%2526"&amp;"x-signature%253D5d%25252BwOsNi1vQGg3hT4qvK4L51k%25252FQ%25253D%2526t%253D4d5b0474%2526ps%253D13740610%2526shp%253Dd05b14bd%2526shcp%253D34ff8df6%2526idc%253Dmy2%2526s%253DTIKTOK_AFFILIATE_VIRAL_VIDEO%22%2C%22placeholder_product_id%22%3A%221729427766722726"&amp;"591%22%2C%22placeholder_video_id%22%3A%227632292373736803591%22%7D&amp;ec_shared_reflux_scene=shop_tab_feed&amp;share_item_id=7632292373736803591&amp;source=h5_t")</f>
        <v>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22placeholder_origin_cover%22%3A%22https%253A%252F%252Fp16-common-sign.tiktokcdn.com%252Ftos-alisg-p-0037%252Fo8fO8AM1hZeDgXj1TZgNKQoIABetCT1Aj7WrQE~tplv-tiktokx-origin.jpeg%253Fdr%253D14572%2526refresh_token%253Db34d4f83%2526x-expires%253D1808992800%2526x-signature%253D5d%25252BwOsNi1vQGg3hT4qvK4L51k%25252FQ%25253D%2526t%253D4d5b0474%2526ps%253D13740610%2526shp%253Dd05b14bd%2526shcp%253D34ff8df6%2526idc%253Dmy2%2526s%253DTIKTOK_AFFILIATE_VIRAL_VIDEO%22%2C%22placeholder_product_id%22%3A%221729427766722726591%22%2C%22placeholder_video_id%22%3A%227632292373736803591%22%7D&amp;ec_shared_reflux_scene=shop_tab_feed&amp;share_item_id=7632292373736803591&amp;source=h5_t</v>
      </c>
      <c r="K1859" s="470"/>
      <c r="L1859" s="471" t="str">
        <f>IFERROR(__xludf.DUMMYFUNCTION("""COMPUTED_VALUE"""),"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"&amp;"22placeholder_origin_cover%22%3A%22https%253A%252F%252Fp16-common-sign.tiktokcdn.com%252Ftos-alisg-p-0037%252FogtrPig6fAI1VtrDCBRpT4Bw9iBciEOXRfDIQy~tplv-tiktokx-origin.jpeg%253Fdr%253D14572%2526refresh_token%253Da7dfb7b6%2526x-expires%253D1808992800%2526"&amp;"x-signature%253DBLfnFU%25252FucpfNa%25252FqJkuXBbFXM3IE%25253D%2526t%253D4d5b0474%2526ps%253D13740610%2526shp%253Dd05b14bd%2526shcp%253D34ff8df6%2526idc%253Dmy2%2526s%253DTIKTOK_AFFILIATE_VIRAL_VIDEO%22%2C%22placeholder_product_id%22%3A%221729427766722726"&amp;"591%22%2C%22placeholder_video_id%22%3A%227632466134771453202%22%7D&amp;ec_shared_reflux_scene=shop_tab_feed&amp;share_item_id=7632466134771453202&amp;source=h5_t")</f>
        <v>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22placeholder_origin_cover%22%3A%22https%253A%252F%252Fp16-common-sign.tiktokcdn.com%252Ftos-alisg-p-0037%252FogtrPig6fAI1VtrDCBRpT4Bw9iBciEOXRfDIQy~tplv-tiktokx-origin.jpeg%253Fdr%253D14572%2526refresh_token%253Da7dfb7b6%2526x-expires%253D1808992800%2526x-signature%253DBLfnFU%25252FucpfNa%25252FqJkuXBbFXM3IE%25253D%2526t%253D4d5b0474%2526ps%253D13740610%2526shp%253Dd05b14bd%2526shcp%253D34ff8df6%2526idc%253Dmy2%2526s%253DTIKTOK_AFFILIATE_VIRAL_VIDEO%22%2C%22placeholder_product_id%22%3A%221729427766722726591%22%2C%22placeholder_video_id%22%3A%227632466134771453202%22%7D&amp;ec_shared_reflux_scene=shop_tab_feed&amp;share_item_id=7632466134771453202&amp;source=h5_t</v>
      </c>
      <c r="M1859" s="470"/>
      <c r="N1859" s="471" t="str">
        <f>IFERROR(__xludf.DUMMYFUNCTION("""COMPUTED_VALUE"""),"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"&amp;"22placeholder_origin_cover%22%3A%22https%253A%252F%252Fp16-common-sign.tiktokcdn.com%252Ftos-alisg-p-0037%252Fow724I9IGp8GJCSiAIeZAtCBfL0WETDI55ejBs~tplv-tiktokx-origin.jpeg%253Fdr%253D14572%2526refresh_token%253D974a53c8%2526x-expires%253D1808992800%2526"&amp;"x-signature%253DbBhbMoNFUGaDXGV%25252F1hVcSOsTVPM%25253D%2526t%253D4d5b0474%2526ps%253D13740610%2526shp%253Dd05b14bd%2526shcp%253D34ff8df6%2526idc%253Dmy2%2526s%253DTIKTOK_AFFILIATE_VIRAL_VIDEO%22%2C%22placeholder_product_id%22%3A%221729427766722726591%22"&amp;"%2C%22placeholder_video_id%22%3A%227632556344465231122%22%7D&amp;ec_shared_reflux_scene=shop_tab_feed&amp;share_item_id=7632556344465231122&amp;source=h5_t")</f>
        <v>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22placeholder_origin_cover%22%3A%22https%253A%252F%252Fp16-common-sign.tiktokcdn.com%252Ftos-alisg-p-0037%252Fow724I9IGp8GJCSiAIeZAtCBfL0WETDI55ejBs~tplv-tiktokx-origin.jpeg%253Fdr%253D14572%2526refresh_token%253D974a53c8%2526x-expires%253D1808992800%2526x-signature%253DbBhbMoNFUGaDXGV%25252F1hVcSOsTVPM%25253D%2526t%253D4d5b0474%2526ps%253D13740610%2526shp%253Dd05b14bd%2526shcp%253D34ff8df6%2526idc%253Dmy2%2526s%253DTIKTOK_AFFILIATE_VIRAL_VIDEO%22%2C%22placeholder_product_id%22%3A%221729427766722726591%22%2C%22placeholder_video_id%22%3A%227632556344465231122%22%7D&amp;ec_shared_reflux_scene=shop_tab_feed&amp;share_item_id=7632556344465231122&amp;source=h5_t</v>
      </c>
      <c r="O1859" s="470"/>
      <c r="P1859" s="471" t="str">
        <f>IFERROR(__xludf.DUMMYFUNCTION("""COMPUTED_VALUE"""),"https://www.tiktok.com/@rositaramdani7/video/7632840621039914248?_d=0&amp;_r=1&amp;ec_shared_reflux_dynamic_params=%7B%22placeholder_material_id%22%3A%227632840621039914248%22%2C%22placeholder_origin_cover%22%3A%22https%253A%252F%252Fp16-common-sign.tiktokcdn.com"&amp;"%252Ftos-alisg-p-0037%252Fo4Tq0AI4XCBVwjAWIYrCAIztJuiCI9hiVLCQfh~tplv-tiktokx-origin.jpeg%253Fdr%253D14572%2526refresh_token%253D142f2fad%2526x-expires%253D1808992800%2526x-signature%253DHpeIR5KLtc6wc1RTiJXRcQO8fOs%25253D%2526t%253D4d5b0474%2526ps%253D137"&amp;"40610%2526shp%253Dd05b14bd%2526shcp%253D34ff8df6%2526idc%253Dmy2%2526s%253DTIKTOK_AFFILIATE_VIRAL_VIDEO%22%2C%22placeholder_product_id%22%3A%221729427766722726591%22%2C%22placeholder_video_id%22%3A%227632840621039914248%22%7D&amp;ec_shared_reflux_scene=shop_t"&amp;"ab_feed&amp;mid=7591377536513985281&amp;preview_pb=0&amp;region=&amp;share_item_id=7632840621039914248&amp;sharer_language=&amp;source=h5_t&amp;u_code=f1489jb4bi84e9")</f>
        <v>https://www.tiktok.com/@rositaramdani7/video/7632840621039914248?_d=0&amp;_r=1&amp;ec_shared_reflux_dynamic_params=%7B%22placeholder_material_id%22%3A%227632840621039914248%22%2C%22placeholder_origin_cover%22%3A%22https%253A%252F%252Fp16-common-sign.tiktokcdn.com%252Ftos-alisg-p-0037%252Fo4Tq0AI4XCBVwjAWIYrCAIztJuiCI9hiVLCQfh~tplv-tiktokx-origin.jpeg%253Fdr%253D14572%2526refresh_token%253D142f2fad%2526x-expires%253D1808992800%2526x-signature%253DHpeIR5KLtc6wc1RTiJXRcQO8fOs%25253D%2526t%253D4d5b0474%2526ps%253D13740610%2526shp%253Dd05b14bd%2526shcp%253D34ff8df6%2526idc%253Dmy2%2526s%253DTIKTOK_AFFILIATE_VIRAL_VIDEO%22%2C%22placeholder_product_id%22%3A%221729427766722726591%22%2C%22placeholder_video_id%22%3A%227632840621039914248%22%7D&amp;ec_shared_reflux_scene=shop_tab_feed&amp;mid=7591377536513985281&amp;preview_pb=0&amp;region=&amp;share_item_id=7632840621039914248&amp;sharer_language=&amp;source=h5_t&amp;u_code=f1489jb4bi84e9</v>
      </c>
    </row>
    <row r="1860">
      <c r="A1860" s="282" t="str">
        <f>IFERROR(__xludf.DUMMYFUNCTION("""COMPUTED_VALUE"""),"MICRO")</f>
        <v>MICRO</v>
      </c>
      <c r="B1860" s="468" t="str">
        <f>IFERROR(__xludf.DUMMYFUNCTION("""COMPUTED_VALUE"""),"kelilingskincare")</f>
        <v>kelilingskincare</v>
      </c>
      <c r="C1860" s="283" t="str">
        <f>IFERROR(__xludf.DUMMYFUNCTION("""COMPUTED_VALUE"""),"https://www.tiktok.com/@kelilingskincare")</f>
        <v>https://www.tiktok.com/@kelilingskincare</v>
      </c>
      <c r="D1860" s="273">
        <f>IFERROR(__xludf.DUMMYFUNCTION("""COMPUTED_VALUE"""),8.2123426123E10)</f>
        <v>82123426123</v>
      </c>
      <c r="E1860" s="458">
        <f>IFERROR(__xludf.DUMMYFUNCTION("""COMPUTED_VALUE"""),0.0)</f>
        <v>0</v>
      </c>
      <c r="F1860" s="273">
        <f>IFERROR(__xludf.DUMMYFUNCTION("""COMPUTED_VALUE"""),4.0)</f>
        <v>4</v>
      </c>
      <c r="G1860" t="str">
        <f>IFERROR(__xludf.DUMMYFUNCTION("""COMPUTED_VALUE"""),"Sabun batang 1 Box ( 2 PCS )")</f>
        <v>Sabun batang 1 Box ( 2 PCS )</v>
      </c>
      <c r="H1860" s="469" t="str">
        <f>IFERROR(__xludf.DUMMYFUNCTION("""COMPUTED_VALUE"""),"Sampai")</f>
        <v>Sampai</v>
      </c>
      <c r="I1860" s="470"/>
      <c r="J1860" s="471" t="str">
        <f>IFERROR(__xludf.DUMMYFUNCTION("""COMPUTED_VALUE"""),"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"&amp;"eholder_origin_cover%22%3A%22https%253A%252F%252Fp16-common-sign.tiktokcdn.com%252Ftos-alisg-p-0037%252Fokej83InNuARId4oIVGPkcAQGeAeLDBS0CHTZQ~tplv-tiktokx-origin.jpeg%253Fdr%253D14572%2526refresh_token%253D3b7eb85d%2526x-expires%253D1808992800%2526x-sign"&amp;"ature%253DzhyQY%25252Bd9E%25252FZMgX7MRj4vEnlPr%25252BI%25253D%2526t%253D4d5b0474%2526ps%253D13740610%2526shp%253Dd05b14bd%2526shcp%253D34ff8df6%2526idc%253Dmy2%2526s%253DTIKTOK_AFFILIATE_VIRAL_VIDEO%22%2C%22placeholder_product_id%22%3A%221729427766722726"&amp;"591%22%2C%22placeholder_video_id%22%3A%227633259666696391954%22%7D&amp;ec_shared_reflux_scene=shop_tab_feed&amp;share_item_id=7633259666696391954&amp;source=h5_t")</f>
        <v>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eholder_origin_cover%22%3A%22https%253A%252F%252Fp16-common-sign.tiktokcdn.com%252Ftos-alisg-p-0037%252Fokej83InNuARId4oIVGPkcAQGeAeLDBS0CHTZQ~tplv-tiktokx-origin.jpeg%253Fdr%253D14572%2526refresh_token%253D3b7eb85d%2526x-expires%253D1808992800%2526x-signature%253DzhyQY%25252Bd9E%25252FZMgX7MRj4vEnlPr%25252BI%25253D%2526t%253D4d5b0474%2526ps%253D13740610%2526shp%253Dd05b14bd%2526shcp%253D34ff8df6%2526idc%253Dmy2%2526s%253DTIKTOK_AFFILIATE_VIRAL_VIDEO%22%2C%22placeholder_product_id%22%3A%221729427766722726591%22%2C%22placeholder_video_id%22%3A%227633259666696391954%22%7D&amp;ec_shared_reflux_scene=shop_tab_feed&amp;share_item_id=7633259666696391954&amp;source=h5_t</v>
      </c>
      <c r="K1860" s="470"/>
      <c r="L1860" s="471" t="str">
        <f>IFERROR(__xludf.DUMMYFUNCTION("""COMPUTED_VALUE"""),"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"&amp;"eholder_origin_cover%22%3A%22https%253A%252F%252Fp16-common-sign.tiktokcdn.com%252Ftos-alisg-p-0037%252FoEvtB2BmQIJJbKvDCITIgGKC4QfW4c8eAAeLPj~tplv-tiktokx-origin.jpeg%253Fdr%253D14572%2526refresh_token%253D14b8e5a1%2526x-expires%253D1808992800%2526x-sign"&amp;"ature%253DsBKNRZM9NlGgABGP%25252Bi5CuTVSWFg%25253D%2526t%253D4d5b0474%2526ps%253D13740610%2526shp%253Dd05b14bd%2526shcp%253D34ff8df6%2526idc%253Dmy2%2526s%253DTIKTOK_AFFILIATE_VIRAL_VIDEO%22%2C%22placeholder_product_id%22%3A%221729427766722726591%22%2C%22"&amp;"placeholder_video_id%22%3A%227633619284236799240%22%7D&amp;ec_shared_reflux_scene=shop_tab_feed&amp;share_item_id=7633619284236799240&amp;source=h5_t")</f>
        <v>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eholder_origin_cover%22%3A%22https%253A%252F%252Fp16-common-sign.tiktokcdn.com%252Ftos-alisg-p-0037%252FoEvtB2BmQIJJbKvDCITIgGKC4QfW4c8eAAeLPj~tplv-tiktokx-origin.jpeg%253Fdr%253D14572%2526refresh_token%253D14b8e5a1%2526x-expires%253D1808992800%2526x-signature%253DsBKNRZM9NlGgABGP%25252Bi5CuTVSWFg%25253D%2526t%253D4d5b0474%2526ps%253D13740610%2526shp%253Dd05b14bd%2526shcp%253D34ff8df6%2526idc%253Dmy2%2526s%253DTIKTOK_AFFILIATE_VIRAL_VIDEO%22%2C%22placeholder_product_id%22%3A%221729427766722726591%22%2C%22placeholder_video_id%22%3A%227633619284236799240%22%7D&amp;ec_shared_reflux_scene=shop_tab_feed&amp;share_item_id=7633619284236799240&amp;source=h5_t</v>
      </c>
      <c r="M1860" s="470"/>
      <c r="N1860" s="471" t="str">
        <f>IFERROR(__xludf.DUMMYFUNCTION("""COMPUTED_VALUE"""),"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"&amp;"eholder_origin_cover%22%3A%22https%253A%252F%252Fp16-sign-sg.tiktokcdn.com%252Ftos-alisg-p-0037%252Fo03hfABezYXBDiRNp9OP7BUEgIxxBiEINkwKiH~tplv-tiktokx-origin.jpeg%253Fdr%253D14572%2526refresh_token%253D2b3edbd9%2526x-expires%253D1808992800%2526x-signatur"&amp;"e%253DuF7qjx32DHmqMM4GzKo0wROx5Eg%25253D%2526t%253D4d5b0474%2526ps%253D13740610%2526shp%253Dd05b14bd%2526shcp%253D34ff8df6%2526idc%253Dmy2%2526s%253DTIKTOK_AFFILIATE_VIRAL_VIDEO%22%2C%22placeholder_product_id%22%3A%221729427766722726591%22%2C%22placeholde"&amp;"r_video_id%22%3A%227633988561930423560%22%7D&amp;ec_shared_reflux_scene=shop_tab_feed&amp;share_item_id=7633988561930423560&amp;source=h5_t")</f>
        <v>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eholder_origin_cover%22%3A%22https%253A%252F%252Fp16-sign-sg.tiktokcdn.com%252Ftos-alisg-p-0037%252Fo03hfABezYXBDiRNp9OP7BUEgIxxBiEINkwKiH~tplv-tiktokx-origin.jpeg%253Fdr%253D14572%2526refresh_token%253D2b3edbd9%2526x-expires%253D1808992800%2526x-signature%253DuF7qjx32DHmqMM4GzKo0wROx5Eg%25253D%2526t%253D4d5b0474%2526ps%253D13740610%2526shp%253Dd05b14bd%2526shcp%253D34ff8df6%2526idc%253Dmy2%2526s%253DTIKTOK_AFFILIATE_VIRAL_VIDEO%22%2C%22placeholder_product_id%22%3A%221729427766722726591%22%2C%22placeholder_video_id%22%3A%227633988561930423560%22%7D&amp;ec_shared_reflux_scene=shop_tab_feed&amp;share_item_id=7633988561930423560&amp;source=h5_t</v>
      </c>
      <c r="O1860" s="470"/>
      <c r="P1860" s="471" t="str">
        <f>IFERROR(__xludf.DUMMYFUNCTION("""COMPUTED_VALUE"""),"https://vt.tiktok.com/ZSxfCLAv5/")</f>
        <v>https://vt.tiktok.com/ZSxfCLAv5/</v>
      </c>
    </row>
    <row r="1861">
      <c r="A1861" s="282" t="str">
        <f>IFERROR(__xludf.DUMMYFUNCTION("""COMPUTED_VALUE"""),"MICRO")</f>
        <v>MICRO</v>
      </c>
      <c r="B1861" s="468" t="str">
        <f>IFERROR(__xludf.DUMMYFUNCTION("""COMPUTED_VALUE"""),"fhantri88")</f>
        <v>fhantri88</v>
      </c>
      <c r="C1861" s="283" t="str">
        <f>IFERROR(__xludf.DUMMYFUNCTION("""COMPUTED_VALUE"""),"https://www.tiktok.com/@fhantri88")</f>
        <v>https://www.tiktok.com/@fhantri88</v>
      </c>
      <c r="D1861" s="273">
        <f>IFERROR(__xludf.DUMMYFUNCTION("""COMPUTED_VALUE"""),8.5355983557E10)</f>
        <v>85355983557</v>
      </c>
      <c r="E1861" s="458">
        <f>IFERROR(__xludf.DUMMYFUNCTION("""COMPUTED_VALUE"""),0.0)</f>
        <v>0</v>
      </c>
      <c r="F1861" s="273">
        <f>IFERROR(__xludf.DUMMYFUNCTION("""COMPUTED_VALUE"""),4.0)</f>
        <v>4</v>
      </c>
      <c r="G1861" t="str">
        <f>IFERROR(__xludf.DUMMYFUNCTION("""COMPUTED_VALUE"""),"Sabun batang 1 Box ( 2 PCS )")</f>
        <v>Sabun batang 1 Box ( 2 PCS )</v>
      </c>
      <c r="H1861" s="469" t="str">
        <f>IFERROR(__xludf.DUMMYFUNCTION("""COMPUTED_VALUE"""),"Sampai")</f>
        <v>Sampai</v>
      </c>
      <c r="I1861" s="470"/>
      <c r="J1861" s="471" t="str">
        <f>IFERROR(__xludf.DUMMYFUNCTION("""COMPUTED_VALUE"""),"https://www.tiktok.com/@belanja_hemat.shop/video/7629926744312548615?_r=1&amp;u_code=ek6h2252jijmih&amp;region=&amp;mid=7395415388382824464&amp;preview_pb=0&amp;sharer_language=&amp;_d=0&amp;ec_shared_reflux_dynamic_params=%7B%22placeholder_material_id%22%3A%227629926744312548615%22"&amp;"%2C%22placeholder_origin_cover%22%3A%22https%253A%252F%252Fp16-sign-sg.tiktokcdn.com%252Ftos-alisg-p-0037%252FogARLXupOi5fMxsvG8GFedRoAQQmGeGAPnfVBh~tplv-tiktokx-origin.jpeg%253Fdr%253D14572%2526refresh_token%253D0bc3ef94%2526x-expires%253D1808992800%2526"&amp;"x-signature%253DCbDvTxf0YgqWOaOAOjYGyzVeMR4%25253D%2526t%253D4d5b0474%2526ps%253D13740610%2526shp%253Dd05b14bd%2526shcp%253D34ff8df6%2526idc%253Dmy2%2526s%253DTIKTOK_AFFILIATE_VIRAL_VIDEO%22%2C%22placeholder_product_id%22%3A%221729427766722726591%22%2C%22"&amp;"placeholder_video_id%22%3A%227629926744312548615%22%7D&amp;ec_shared_reflux_scene=shop_tab_feed&amp;share_item_id=7629926744312548615&amp;source=h5_t")</f>
        <v>https://www.tiktok.com/@belanja_hemat.shop/video/7629926744312548615?_r=1&amp;u_code=ek6h2252jijmih&amp;region=&amp;mid=7395415388382824464&amp;preview_pb=0&amp;sharer_language=&amp;_d=0&amp;ec_shared_reflux_dynamic_params=%7B%22placeholder_material_id%22%3A%227629926744312548615%22%2C%22placeholder_origin_cover%22%3A%22https%253A%252F%252Fp16-sign-sg.tiktokcdn.com%252Ftos-alisg-p-0037%252FogARLXupOi5fMxsvG8GFedRoAQQmGeGAPnfVBh~tplv-tiktokx-origin.jpeg%253Fdr%253D14572%2526refresh_token%253D0bc3ef94%2526x-expires%253D1808992800%2526x-signature%253DCbDvTxf0YgqWOaOAOjYGyzVeMR4%25253D%2526t%253D4d5b0474%2526ps%253D13740610%2526shp%253Dd05b14bd%2526shcp%253D34ff8df6%2526idc%253Dmy2%2526s%253DTIKTOK_AFFILIATE_VIRAL_VIDEO%22%2C%22placeholder_product_id%22%3A%221729427766722726591%22%2C%22placeholder_video_id%22%3A%227629926744312548615%22%7D&amp;ec_shared_reflux_scene=shop_tab_feed&amp;share_item_id=7629926744312548615&amp;source=h5_t</v>
      </c>
      <c r="K1861" s="470"/>
      <c r="L1861" s="471" t="str">
        <f>IFERROR(__xludf.DUMMYFUNCTION("""COMPUTED_VALUE"""),"https://www.tiktok.com/@belanja_hemat.shop/video/7630068304346074375?_r=1&amp;u_code=ek6h2252jijmih&amp;region=&amp;mid=7502446149192567607&amp;preview_pb=0&amp;sharer_language=&amp;_d=0&amp;ec_shared_reflux_dynamic_params=%7B%22placeholder_material_id%22%3A%227630068304346074375%22"&amp;"%2C%22placeholder_origin_cover%22%3A%22https%253A%252F%252Fp16-common-sign.tiktokcdn.com%252Ftos-alisg-p-0037%252FoY0jIj6CABiiHw6UKcYAvir4yAqkkIDPINeK4B~tplv-tiktokx-origin.jpeg%253Fdr%253D14572%2526refresh_token%253Dc394bf07%2526x-expires%253D1808992800%"&amp;"2526x-signature%253D%25252FXFHLg710N9EHbaT4qukgslNM%25252F0%25253D%2526t%253D4d5b0474%2526ps%253D13740610%2526shp%253Dd05b14bd%2526shcp%253D34ff8df6%2526idc%253Dmy2%2526s%253DTIKTOK_AFFILIATE_VIRAL_VIDEO%22%2C%22placeholder_product_id%22%3A%22172942776672"&amp;"2726591%22%2C%22placeholder_video_id%22%3A%227630068304346074375%22%7D&amp;ec_shared_reflux_scene=shop_tab_feed&amp;share_item_id=7630068304346074375&amp;source=h5_t")</f>
        <v>https://www.tiktok.com/@belanja_hemat.shop/video/7630068304346074375?_r=1&amp;u_code=ek6h2252jijmih&amp;region=&amp;mid=7502446149192567607&amp;preview_pb=0&amp;sharer_language=&amp;_d=0&amp;ec_shared_reflux_dynamic_params=%7B%22placeholder_material_id%22%3A%227630068304346074375%22%2C%22placeholder_origin_cover%22%3A%22https%253A%252F%252Fp16-common-sign.tiktokcdn.com%252Ftos-alisg-p-0037%252FoY0jIj6CABiiHw6UKcYAvir4yAqkkIDPINeK4B~tplv-tiktokx-origin.jpeg%253Fdr%253D14572%2526refresh_token%253Dc394bf07%2526x-expires%253D1808992800%2526x-signature%253D%25252FXFHLg710N9EHbaT4qukgslNM%25252F0%25253D%2526t%253D4d5b0474%2526ps%253D13740610%2526shp%253Dd05b14bd%2526shcp%253D34ff8df6%2526idc%253Dmy2%2526s%253DTIKTOK_AFFILIATE_VIRAL_VIDEO%22%2C%22placeholder_product_id%22%3A%221729427766722726591%22%2C%22placeholder_video_id%22%3A%227630068304346074375%22%7D&amp;ec_shared_reflux_scene=shop_tab_feed&amp;share_item_id=7630068304346074375&amp;source=h5_t</v>
      </c>
      <c r="M1861" s="470"/>
      <c r="N1861" s="471" t="str">
        <f>IFERROR(__xludf.DUMMYFUNCTION("""COMPUTED_VALUE"""),"https://www.tiktok.com/@belanja_hemat.shop/video/7630083439080852744?_r=1&amp;u_code=ek6h2252jijmih&amp;region=&amp;mid=7502446149192567607&amp;preview_pb=0&amp;sharer_language=&amp;_d=0&amp;ec_shared_reflux_dynamic_params=%7B%22placeholder_material_id%22%3A%227630083439080852744%22"&amp;"%2C%22placeholder_origin_cover%22%3A%22https%253A%252F%252Fp16-common-sign.tiktokcdn.com%252Ftos-alisg-p-0037%252FoEONqiBlICA7hICZgjiI3AAAgBswH8WOe0PpIT~tplv-tiktokx-origin.jpeg%253Fdr%253D14572%2526refresh_token%253Dc5a3bd01%2526x-expires%253D1808992800%"&amp;"2526x-signature%253DmHrmToRfBoDI76E5SnS33jucUxo%25253D%2526t%253D4d5b0474%2526ps%253D13740610%2526shp%253Dd05b14bd%2526shcp%253D34ff8df6%2526idc%253Dmy2%2526s%253DTIKTOK_AFFILIATE_VIRAL_VIDEO%22%2C%22placeholder_product_id%22%3A%221729427766722726591%22%2"&amp;"C%22placeholder_video_id%22%3A%227630083439080852744%22%7D&amp;ec_shared_reflux_scene=shop_tab_feed&amp;share_item_id=7630083439080852744&amp;source=h5_t")</f>
        <v>https://www.tiktok.com/@belanja_hemat.shop/video/7630083439080852744?_r=1&amp;u_code=ek6h2252jijmih&amp;region=&amp;mid=7502446149192567607&amp;preview_pb=0&amp;sharer_language=&amp;_d=0&amp;ec_shared_reflux_dynamic_params=%7B%22placeholder_material_id%22%3A%227630083439080852744%22%2C%22placeholder_origin_cover%22%3A%22https%253A%252F%252Fp16-common-sign.tiktokcdn.com%252Ftos-alisg-p-0037%252FoEONqiBlICA7hICZgjiI3AAAgBswH8WOe0PpIT~tplv-tiktokx-origin.jpeg%253Fdr%253D14572%2526refresh_token%253Dc5a3bd01%2526x-expires%253D1808992800%2526x-signature%253DmHrmToRfBoDI76E5SnS33jucUxo%25253D%2526t%253D4d5b0474%2526ps%253D13740610%2526shp%253Dd05b14bd%2526shcp%253D34ff8df6%2526idc%253Dmy2%2526s%253DTIKTOK_AFFILIATE_VIRAL_VIDEO%22%2C%22placeholder_product_id%22%3A%221729427766722726591%22%2C%22placeholder_video_id%22%3A%227630083439080852744%22%7D&amp;ec_shared_reflux_scene=shop_tab_feed&amp;share_item_id=7630083439080852744&amp;source=h5_t</v>
      </c>
      <c r="O1861" s="470"/>
      <c r="P1861" s="471" t="str">
        <f>IFERROR(__xludf.DUMMYFUNCTION("""COMPUTED_VALUE"""),"https://www.tiktok.com/@belanja_hemat.shop/video/7630283480441621767?_r=1&amp;u_code=ek6h2252jijmih&amp;region=&amp;mid=7615963521880558357&amp;preview_pb=0&amp;sharer_language=&amp;_d=0&amp;ec_shared_reflux_dynamic_params=%7B%22placeholder_material_id%22%3A%227630283480441621767%22"&amp;"%2C%22placeholder_origin_cover%22%3A%22https%253A%252F%252Fp16-sign-sg.tiktokcdn.com%252Ftos-alisg-p-0037%252FowLgThbTAvZEDmUpRgqBBrYOOEQeQEFIpPa5fD~tplv-tiktokx-origin.jpeg%253Fdr%253D14572%2526refresh_token%253D7028f3e9%2526x-expires%253D1808992800%2526"&amp;"x-signature%253Dm8NIDbYtD8vdd9sCzAcHHhWysZQ%25253D%2526t%253D4d5b0474%2526ps%253D13740610%2526shp%253Dd05b14bd%2526shcp%253D34ff8df6%2526idc%253Dmy2%2526s%253DTIKTOK_AFFILIATE_VIRAL_VIDEO%22%2C%22placeholder_product_id%22%3A%221729427766722726591%22%2C%22"&amp;"placeholder_video_id%22%3A%227630283480441621767%22%7D&amp;ec_shared_reflux_scene=shop_tab_feed&amp;share_item_id=7630283480441621767&amp;source=h5_t")</f>
        <v>https://www.tiktok.com/@belanja_hemat.shop/video/7630283480441621767?_r=1&amp;u_code=ek6h2252jijmih&amp;region=&amp;mid=7615963521880558357&amp;preview_pb=0&amp;sharer_language=&amp;_d=0&amp;ec_shared_reflux_dynamic_params=%7B%22placeholder_material_id%22%3A%227630283480441621767%22%2C%22placeholder_origin_cover%22%3A%22https%253A%252F%252Fp16-sign-sg.tiktokcdn.com%252Ftos-alisg-p-0037%252FowLgThbTAvZEDmUpRgqBBrYOOEQeQEFIpPa5fD~tplv-tiktokx-origin.jpeg%253Fdr%253D14572%2526refresh_token%253D7028f3e9%2526x-expires%253D1808992800%2526x-signature%253Dm8NIDbYtD8vdd9sCzAcHHhWysZQ%25253D%2526t%253D4d5b0474%2526ps%253D13740610%2526shp%253Dd05b14bd%2526shcp%253D34ff8df6%2526idc%253Dmy2%2526s%253DTIKTOK_AFFILIATE_VIRAL_VIDEO%22%2C%22placeholder_product_id%22%3A%221729427766722726591%22%2C%22placeholder_video_id%22%3A%227630283480441621767%22%7D&amp;ec_shared_reflux_scene=shop_tab_feed&amp;share_item_id=7630283480441621767&amp;source=h5_t</v>
      </c>
    </row>
    <row r="1862">
      <c r="A1862" s="282" t="str">
        <f>IFERROR(__xludf.DUMMYFUNCTION("""COMPUTED_VALUE"""),"MICRO")</f>
        <v>MICRO</v>
      </c>
      <c r="B1862" s="468" t="str">
        <f>IFERROR(__xludf.DUMMYFUNCTION("""COMPUTED_VALUE"""),"marissakhalisa5")</f>
        <v>marissakhalisa5</v>
      </c>
      <c r="C1862" s="283" t="str">
        <f>IFERROR(__xludf.DUMMYFUNCTION("""COMPUTED_VALUE"""),"https://www.tiktok.com/@marissakhalisa5")</f>
        <v>https://www.tiktok.com/@marissakhalisa5</v>
      </c>
      <c r="D1862" s="273">
        <f>IFERROR(__xludf.DUMMYFUNCTION("""COMPUTED_VALUE"""),8.9630120395E10)</f>
        <v>89630120395</v>
      </c>
      <c r="E1862" s="458">
        <f>IFERROR(__xludf.DUMMYFUNCTION("""COMPUTED_VALUE"""),0.0)</f>
        <v>0</v>
      </c>
      <c r="F1862" s="273">
        <f>IFERROR(__xludf.DUMMYFUNCTION("""COMPUTED_VALUE"""),4.0)</f>
        <v>4</v>
      </c>
      <c r="G1862" t="str">
        <f>IFERROR(__xludf.DUMMYFUNCTION("""COMPUTED_VALUE"""),"Sabun batang 1 Box ( 2 PCS )")</f>
        <v>Sabun batang 1 Box ( 2 PCS )</v>
      </c>
      <c r="H1862" s="469" t="str">
        <f>IFERROR(__xludf.DUMMYFUNCTION("""COMPUTED_VALUE"""),"Sampai")</f>
        <v>Sampai</v>
      </c>
      <c r="I1862" s="470"/>
      <c r="J1862" s="471" t="str">
        <f>IFERROR(__xludf.DUMMYFUNCTION("""COMPUTED_VALUE"""),"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"&amp;"aceholder_origin_cover%22%3A%22https%253A%252F%252Fp16-common-sign.tiktokcdn.com%252Ftos-alisg-p-0037%252FocT3fUyagtsUCPXIgtfvGDAQDjLK9oeTHAQG2I~tplv-tiktokx-origin.jpeg%253Fdr%253D14572%2526refresh_token%253D13d7c298%2526x-expires%253D1808992800%2526x-si"&amp;"gnature%253Dm1yuhUo4JC1EwMfosEQhUBd56yw%25253D%2526t%253D4d5b0474%2526ps%253D13740610%2526shp%253Dd05b14bd%2526shcp%253D34ff8df6%2526idc%253Dmy2%2526s%253DTIKTOK_AFFILIATE_VIRAL_VIDEO%22%2C%22placeholder_product_id%22%3A%221729427766722726591%22%2C%22plac"&amp;"eholder_video_id%22%3A%227633434949797858581%22%7D&amp;ec_shared_reflux_scene=shop_tab_feed&amp;share_item_id=7633434949797858581&amp;source=h5_t")</f>
        <v>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aceholder_origin_cover%22%3A%22https%253A%252F%252Fp16-common-sign.tiktokcdn.com%252Ftos-alisg-p-0037%252FocT3fUyagtsUCPXIgtfvGDAQDjLK9oeTHAQG2I~tplv-tiktokx-origin.jpeg%253Fdr%253D14572%2526refresh_token%253D13d7c298%2526x-expires%253D1808992800%2526x-signature%253Dm1yuhUo4JC1EwMfosEQhUBd56yw%25253D%2526t%253D4d5b0474%2526ps%253D13740610%2526shp%253Dd05b14bd%2526shcp%253D34ff8df6%2526idc%253Dmy2%2526s%253DTIKTOK_AFFILIATE_VIRAL_VIDEO%22%2C%22placeholder_product_id%22%3A%221729427766722726591%22%2C%22placeholder_video_id%22%3A%227633434949797858581%22%7D&amp;ec_shared_reflux_scene=shop_tab_feed&amp;share_item_id=7633434949797858581&amp;source=h5_t</v>
      </c>
      <c r="K1862" s="470"/>
      <c r="L1862" s="471" t="str">
        <f>IFERROR(__xludf.DUMMYFUNCTION("""COMPUTED_VALUE"""),"https://vt.tiktok.com/ZSxfQGEgj/")</f>
        <v>https://vt.tiktok.com/ZSxfQGEgj/</v>
      </c>
      <c r="M1862" s="470"/>
      <c r="N1862" s="471" t="str">
        <f>IFERROR(__xludf.DUMMYFUNCTION("""COMPUTED_VALUE"""),"https://vt.tiktok.com/ZSxDYhccb/")</f>
        <v>https://vt.tiktok.com/ZSxDYhccb/</v>
      </c>
      <c r="O1862" s="470"/>
      <c r="P1862" s="471" t="str">
        <f>IFERROR(__xludf.DUMMYFUNCTION("""COMPUTED_VALUE"""),"https://vt.tiktok.com/ZSxDYQyTW/")</f>
        <v>https://vt.tiktok.com/ZSxDYQyTW/</v>
      </c>
    </row>
    <row r="1863">
      <c r="A1863" s="282" t="str">
        <f>IFERROR(__xludf.DUMMYFUNCTION("""COMPUTED_VALUE"""),"MICRO")</f>
        <v>MICRO</v>
      </c>
      <c r="B1863" s="468" t="str">
        <f>IFERROR(__xludf.DUMMYFUNCTION("""COMPUTED_VALUE"""),"nenuyasmara")</f>
        <v>nenuyasmara</v>
      </c>
      <c r="C1863" s="283" t="str">
        <f>IFERROR(__xludf.DUMMYFUNCTION("""COMPUTED_VALUE"""),"https://www.tiktok.com/@nenuyasmara")</f>
        <v>https://www.tiktok.com/@nenuyasmara</v>
      </c>
      <c r="D1863" s="273">
        <f>IFERROR(__xludf.DUMMYFUNCTION("""COMPUTED_VALUE"""),8.5913136697E11)</f>
        <v>859131366970</v>
      </c>
      <c r="E1863" s="458">
        <f>IFERROR(__xludf.DUMMYFUNCTION("""COMPUTED_VALUE"""),0.0)</f>
        <v>0</v>
      </c>
      <c r="F1863" s="273">
        <f>IFERROR(__xludf.DUMMYFUNCTION("""COMPUTED_VALUE"""),4.0)</f>
        <v>4</v>
      </c>
      <c r="G1863" t="str">
        <f>IFERROR(__xludf.DUMMYFUNCTION("""COMPUTED_VALUE"""),"Sabun batang 1 Box ( 2 PCS )")</f>
        <v>Sabun batang 1 Box ( 2 PCS )</v>
      </c>
      <c r="H1863" s="469" t="str">
        <f>IFERROR(__xludf.DUMMYFUNCTION("""COMPUTED_VALUE"""),"Sampai")</f>
        <v>Sampai</v>
      </c>
      <c r="I1863" s="470"/>
      <c r="J1863" s="471" t="str">
        <f>IFERROR(__xludf.DUMMYFUNCTION("""COMPUTED_VALUE"""),"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"&amp;"22placeholder_origin_cover%22%3A%22https%253A%252F%252Fp16-common-sign.tiktokcdn.com%252Ftos-alisg-p-0037%252Fo8fO8AM1hZeDgXj1TZgNKQoIABetCT1Aj7WrQE~tplv-tiktokx-origin.jpeg%253Fdr%253D14572%2526refresh_token%253Db34d4f83%2526x-expires%253D1808992800%2526"&amp;"x-signature%253D5d%25252BwOsNi1vQGg3hT4qvK4L51k%25252FQ%25253D%2526t%253D4d5b0474%2526ps%253D13740610%2526shp%253Dd05b14bd%2526shcp%253D34ff8df6%2526idc%253Dmy2%2526s%253DTIKTOK_AFFILIATE_VIRAL_VIDEO%22%2C%22placeholder_product_id%22%3A%221729427766722726"&amp;"591%22%2C%22placeholder_video_id%22%3A%227632292373736803591%22%7D&amp;ec_shared_reflux_scene=shop_tab_feed&amp;share_item_id=7632292373736803591&amp;source=h5_t")</f>
        <v>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22placeholder_origin_cover%22%3A%22https%253A%252F%252Fp16-common-sign.tiktokcdn.com%252Ftos-alisg-p-0037%252Fo8fO8AM1hZeDgXj1TZgNKQoIABetCT1Aj7WrQE~tplv-tiktokx-origin.jpeg%253Fdr%253D14572%2526refresh_token%253Db34d4f83%2526x-expires%253D1808992800%2526x-signature%253D5d%25252BwOsNi1vQGg3hT4qvK4L51k%25252FQ%25253D%2526t%253D4d5b0474%2526ps%253D13740610%2526shp%253Dd05b14bd%2526shcp%253D34ff8df6%2526idc%253Dmy2%2526s%253DTIKTOK_AFFILIATE_VIRAL_VIDEO%22%2C%22placeholder_product_id%22%3A%221729427766722726591%22%2C%22placeholder_video_id%22%3A%227632292373736803591%22%7D&amp;ec_shared_reflux_scene=shop_tab_feed&amp;share_item_id=7632292373736803591&amp;source=h5_t</v>
      </c>
      <c r="K1863" s="470"/>
      <c r="L1863" s="471" t="str">
        <f>IFERROR(__xludf.DUMMYFUNCTION("""COMPUTED_VALUE"""),"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"&amp;"22placeholder_origin_cover%22%3A%22https%253A%252F%252Fp16-common-sign.tiktokcdn.com%252Ftos-alisg-p-0037%252FogtrPig6fAI1VtrDCBRpT4Bw9iBciEOXRfDIQy~tplv-tiktokx-origin.jpeg%253Fdr%253D14572%2526refresh_token%253Da7dfb7b6%2526x-expires%253D1808992800%2526"&amp;"x-signature%253DBLfnFU%25252FucpfNa%25252FqJkuXBbFXM3IE%25253D%2526t%253D4d5b0474%2526ps%253D13740610%2526shp%253Dd05b14bd%2526shcp%253D34ff8df6%2526idc%253Dmy2%2526s%253DTIKTOK_AFFILIATE_VIRAL_VIDEO%22%2C%22placeholder_product_id%22%3A%221729427766722726"&amp;"591%22%2C%22placeholder_video_id%22%3A%227632466134771453202%22%7D&amp;ec_shared_reflux_scene=shop_tab_feed&amp;share_item_id=7632466134771453202&amp;source=h5_t")</f>
        <v>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22placeholder_origin_cover%22%3A%22https%253A%252F%252Fp16-common-sign.tiktokcdn.com%252Ftos-alisg-p-0037%252FogtrPig6fAI1VtrDCBRpT4Bw9iBciEOXRfDIQy~tplv-tiktokx-origin.jpeg%253Fdr%253D14572%2526refresh_token%253Da7dfb7b6%2526x-expires%253D1808992800%2526x-signature%253DBLfnFU%25252FucpfNa%25252FqJkuXBbFXM3IE%25253D%2526t%253D4d5b0474%2526ps%253D13740610%2526shp%253Dd05b14bd%2526shcp%253D34ff8df6%2526idc%253Dmy2%2526s%253DTIKTOK_AFFILIATE_VIRAL_VIDEO%22%2C%22placeholder_product_id%22%3A%221729427766722726591%22%2C%22placeholder_video_id%22%3A%227632466134771453202%22%7D&amp;ec_shared_reflux_scene=shop_tab_feed&amp;share_item_id=7632466134771453202&amp;source=h5_t</v>
      </c>
      <c r="M1863" s="470"/>
      <c r="N1863" s="471" t="str">
        <f>IFERROR(__xludf.DUMMYFUNCTION("""COMPUTED_VALUE"""),"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"&amp;"22placeholder_origin_cover%22%3A%22https%253A%252F%252Fp16-common-sign.tiktokcdn.com%252Ftos-alisg-p-0037%252Fow724I9IGp8GJCSiAIeZAtCBfL0WETDI55ejBs~tplv-tiktokx-origin.jpeg%253Fdr%253D14572%2526refresh_token%253D974a53c8%2526x-expires%253D1808992800%2526"&amp;"x-signature%253DbBhbMoNFUGaDXGV%25252F1hVcSOsTVPM%25253D%2526t%253D4d5b0474%2526ps%253D13740610%2526shp%253Dd05b14bd%2526shcp%253D34ff8df6%2526idc%253Dmy2%2526s%253DTIKTOK_AFFILIATE_VIRAL_VIDEO%22%2C%22placeholder_product_id%22%3A%221729427766722726591%22"&amp;"%2C%22placeholder_video_id%22%3A%227632556344465231122%22%7D&amp;ec_shared_reflux_scene=shop_tab_feed&amp;share_item_id=7632556344465231122&amp;source=h5_t")</f>
        <v>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22placeholder_origin_cover%22%3A%22https%253A%252F%252Fp16-common-sign.tiktokcdn.com%252Ftos-alisg-p-0037%252Fow724I9IGp8GJCSiAIeZAtCBfL0WETDI55ejBs~tplv-tiktokx-origin.jpeg%253Fdr%253D14572%2526refresh_token%253D974a53c8%2526x-expires%253D1808992800%2526x-signature%253DbBhbMoNFUGaDXGV%25252F1hVcSOsTVPM%25253D%2526t%253D4d5b0474%2526ps%253D13740610%2526shp%253Dd05b14bd%2526shcp%253D34ff8df6%2526idc%253Dmy2%2526s%253DTIKTOK_AFFILIATE_VIRAL_VIDEO%22%2C%22placeholder_product_id%22%3A%221729427766722726591%22%2C%22placeholder_video_id%22%3A%227632556344465231122%22%7D&amp;ec_shared_reflux_scene=shop_tab_feed&amp;share_item_id=7632556344465231122&amp;source=h5_t</v>
      </c>
      <c r="O1863" s="470"/>
      <c r="P1863" s="471" t="str">
        <f>IFERROR(__xludf.DUMMYFUNCTION("""COMPUTED_VALUE"""),"https://www.tiktok.com/@rositaramdani7/video/7632840621039914248?_d=0&amp;_r=1&amp;ec_shared_reflux_dynamic_params=%7B%22placeholder_material_id%22%3A%227632840621039914248%22%2C%22placeholder_origin_cover%22%3A%22https%253A%252F%252Fp16-common-sign.tiktokcdn.com"&amp;"%252Ftos-alisg-p-0037%252Fo4Tq0AI4XCBVwjAWIYrCAIztJuiCI9hiVLCQfh~tplv-tiktokx-origin.jpeg%253Fdr%253D14572%2526refresh_token%253D142f2fad%2526x-expires%253D1808992800%2526x-signature%253DHpeIR5KLtc6wc1RTiJXRcQO8fOs%25253D%2526t%253D4d5b0474%2526ps%253D137"&amp;"40610%2526shp%253Dd05b14bd%2526shcp%253D34ff8df6%2526idc%253Dmy2%2526s%253DTIKTOK_AFFILIATE_VIRAL_VIDEO%22%2C%22placeholder_product_id%22%3A%221729427766722726591%22%2C%22placeholder_video_id%22%3A%227632840621039914248%22%7D&amp;ec_shared_reflux_scene=shop_t"&amp;"ab_feed&amp;mid=7591377536513985281&amp;preview_pb=0&amp;region=&amp;share_item_id=7632840621039914248&amp;sharer_language=&amp;source=h5_t&amp;u_code=f1489jb4bi84e10")</f>
        <v>https://www.tiktok.com/@rositaramdani7/video/7632840621039914248?_d=0&amp;_r=1&amp;ec_shared_reflux_dynamic_params=%7B%22placeholder_material_id%22%3A%227632840621039914248%22%2C%22placeholder_origin_cover%22%3A%22https%253A%252F%252Fp16-common-sign.tiktokcdn.com%252Ftos-alisg-p-0037%252Fo4Tq0AI4XCBVwjAWIYrCAIztJuiCI9hiVLCQfh~tplv-tiktokx-origin.jpeg%253Fdr%253D14572%2526refresh_token%253D142f2fad%2526x-expires%253D1808992800%2526x-signature%253DHpeIR5KLtc6wc1RTiJXRcQO8fOs%25253D%2526t%253D4d5b0474%2526ps%253D13740610%2526shp%253Dd05b14bd%2526shcp%253D34ff8df6%2526idc%253Dmy2%2526s%253DTIKTOK_AFFILIATE_VIRAL_VIDEO%22%2C%22placeholder_product_id%22%3A%221729427766722726591%22%2C%22placeholder_video_id%22%3A%227632840621039914248%22%7D&amp;ec_shared_reflux_scene=shop_tab_feed&amp;mid=7591377536513985281&amp;preview_pb=0&amp;region=&amp;share_item_id=7632840621039914248&amp;sharer_language=&amp;source=h5_t&amp;u_code=f1489jb4bi84e10</v>
      </c>
    </row>
    <row r="1864">
      <c r="A1864" s="282" t="str">
        <f>IFERROR(__xludf.DUMMYFUNCTION("""COMPUTED_VALUE"""),"MICRO")</f>
        <v>MICRO</v>
      </c>
      <c r="B1864" s="468" t="str">
        <f>IFERROR(__xludf.DUMMYFUNCTION("""COMPUTED_VALUE"""),"alissaa1133")</f>
        <v>alissaa1133</v>
      </c>
      <c r="C1864" s="283" t="str">
        <f>IFERROR(__xludf.DUMMYFUNCTION("""COMPUTED_VALUE"""),"https://www.tiktok.com/@alissaa1133")</f>
        <v>https://www.tiktok.com/@alissaa1133</v>
      </c>
      <c r="D1864" s="273">
        <f>IFERROR(__xludf.DUMMYFUNCTION("""COMPUTED_VALUE"""),8.9644810837E10)</f>
        <v>89644810837</v>
      </c>
      <c r="E1864" s="458">
        <f>IFERROR(__xludf.DUMMYFUNCTION("""COMPUTED_VALUE"""),0.0)</f>
        <v>0</v>
      </c>
      <c r="F1864" s="273">
        <f>IFERROR(__xludf.DUMMYFUNCTION("""COMPUTED_VALUE"""),4.0)</f>
        <v>4</v>
      </c>
      <c r="G1864" t="str">
        <f>IFERROR(__xludf.DUMMYFUNCTION("""COMPUTED_VALUE"""),"Sabun batang 1 Box ( 2 PCS )")</f>
        <v>Sabun batang 1 Box ( 2 PCS )</v>
      </c>
      <c r="H1864" s="469" t="str">
        <f>IFERROR(__xludf.DUMMYFUNCTION("""COMPUTED_VALUE"""),"Sampai")</f>
        <v>Sampai</v>
      </c>
      <c r="I1864" s="470"/>
      <c r="J1864" s="471" t="str">
        <f>IFERROR(__xludf.DUMMYFUNCTION("""COMPUTED_VALUE"""),"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"&amp;"eholder_origin_cover%22%3A%22https%253A%252F%252Fp16-common-sign.tiktokcdn.com%252Ftos-alisg-p-0037%252Fokej83InNuARId4oIVGPkcAQGeAeLDBS0CHTZQ~tplv-tiktokx-origin.jpeg%253Fdr%253D14572%2526refresh_token%253D3b7eb85d%2526x-expires%253D1808992800%2526x-sign"&amp;"ature%253DzhyQY%25252Bd9E%25252FZMgX7MRj4vEnlPr%25252BI%25253D%2526t%253D4d5b0474%2526ps%253D13740610%2526shp%253Dd05b14bd%2526shcp%253D34ff8df6%2526idc%253Dmy2%2526s%253DTIKTOK_AFFILIATE_VIRAL_VIDEO%22%2C%22placeholder_product_id%22%3A%221729427766722726"&amp;"591%22%2C%22placeholder_video_id%22%3A%227633259666696391954%22%7D&amp;ec_shared_reflux_scene=shop_tab_feed&amp;share_item_id=7633259666696391954&amp;source=h5_t")</f>
        <v>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eholder_origin_cover%22%3A%22https%253A%252F%252Fp16-common-sign.tiktokcdn.com%252Ftos-alisg-p-0037%252Fokej83InNuARId4oIVGPkcAQGeAeLDBS0CHTZQ~tplv-tiktokx-origin.jpeg%253Fdr%253D14572%2526refresh_token%253D3b7eb85d%2526x-expires%253D1808992800%2526x-signature%253DzhyQY%25252Bd9E%25252FZMgX7MRj4vEnlPr%25252BI%25253D%2526t%253D4d5b0474%2526ps%253D13740610%2526shp%253Dd05b14bd%2526shcp%253D34ff8df6%2526idc%253Dmy2%2526s%253DTIKTOK_AFFILIATE_VIRAL_VIDEO%22%2C%22placeholder_product_id%22%3A%221729427766722726591%22%2C%22placeholder_video_id%22%3A%227633259666696391954%22%7D&amp;ec_shared_reflux_scene=shop_tab_feed&amp;share_item_id=7633259666696391954&amp;source=h5_t</v>
      </c>
      <c r="K1864" s="470"/>
      <c r="L1864" s="471" t="str">
        <f>IFERROR(__xludf.DUMMYFUNCTION("""COMPUTED_VALUE"""),"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"&amp;"eholder_origin_cover%22%3A%22https%253A%252F%252Fp16-common-sign.tiktokcdn.com%252Ftos-alisg-p-0037%252FoEvtB2BmQIJJbKvDCITIgGKC4QfW4c8eAAeLPj~tplv-tiktokx-origin.jpeg%253Fdr%253D14572%2526refresh_token%253D14b8e5a1%2526x-expires%253D1808992800%2526x-sign"&amp;"ature%253DsBKNRZM9NlGgABGP%25252Bi5CuTVSWFg%25253D%2526t%253D4d5b0474%2526ps%253D13740610%2526shp%253Dd05b14bd%2526shcp%253D34ff8df6%2526idc%253Dmy2%2526s%253DTIKTOK_AFFILIATE_VIRAL_VIDEO%22%2C%22placeholder_product_id%22%3A%221729427766722726591%22%2C%22"&amp;"placeholder_video_id%22%3A%227633619284236799240%22%7D&amp;ec_shared_reflux_scene=shop_tab_feed&amp;share_item_id=7633619284236799240&amp;source=h5_t")</f>
        <v>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eholder_origin_cover%22%3A%22https%253A%252F%252Fp16-common-sign.tiktokcdn.com%252Ftos-alisg-p-0037%252FoEvtB2BmQIJJbKvDCITIgGKC4QfW4c8eAAeLPj~tplv-tiktokx-origin.jpeg%253Fdr%253D14572%2526refresh_token%253D14b8e5a1%2526x-expires%253D1808992800%2526x-signature%253DsBKNRZM9NlGgABGP%25252Bi5CuTVSWFg%25253D%2526t%253D4d5b0474%2526ps%253D13740610%2526shp%253Dd05b14bd%2526shcp%253D34ff8df6%2526idc%253Dmy2%2526s%253DTIKTOK_AFFILIATE_VIRAL_VIDEO%22%2C%22placeholder_product_id%22%3A%221729427766722726591%22%2C%22placeholder_video_id%22%3A%227633619284236799240%22%7D&amp;ec_shared_reflux_scene=shop_tab_feed&amp;share_item_id=7633619284236799240&amp;source=h5_t</v>
      </c>
      <c r="M1864" s="470"/>
      <c r="N1864" s="471" t="str">
        <f>IFERROR(__xludf.DUMMYFUNCTION("""COMPUTED_VALUE"""),"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"&amp;"eholder_origin_cover%22%3A%22https%253A%252F%252Fp16-sign-sg.tiktokcdn.com%252Ftos-alisg-p-0037%252Fo03hfABezYXBDiRNp9OP7BUEgIxxBiEINkwKiH~tplv-tiktokx-origin.jpeg%253Fdr%253D14572%2526refresh_token%253D2b3edbd9%2526x-expires%253D1808992800%2526x-signatur"&amp;"e%253DuF7qjx32DHmqMM4GzKo0wROx5Eg%25253D%2526t%253D4d5b0474%2526ps%253D13740610%2526shp%253Dd05b14bd%2526shcp%253D34ff8df6%2526idc%253Dmy2%2526s%253DTIKTOK_AFFILIATE_VIRAL_VIDEO%22%2C%22placeholder_product_id%22%3A%221729427766722726591%22%2C%22placeholde"&amp;"r_video_id%22%3A%227633988561930423560%22%7D&amp;ec_shared_reflux_scene=shop_tab_feed&amp;share_item_id=7633988561930423560&amp;source=h5_t")</f>
        <v>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eholder_origin_cover%22%3A%22https%253A%252F%252Fp16-sign-sg.tiktokcdn.com%252Ftos-alisg-p-0037%252Fo03hfABezYXBDiRNp9OP7BUEgIxxBiEINkwKiH~tplv-tiktokx-origin.jpeg%253Fdr%253D14572%2526refresh_token%253D2b3edbd9%2526x-expires%253D1808992800%2526x-signature%253DuF7qjx32DHmqMM4GzKo0wROx5Eg%25253D%2526t%253D4d5b0474%2526ps%253D13740610%2526shp%253Dd05b14bd%2526shcp%253D34ff8df6%2526idc%253Dmy2%2526s%253DTIKTOK_AFFILIATE_VIRAL_VIDEO%22%2C%22placeholder_product_id%22%3A%221729427766722726591%22%2C%22placeholder_video_id%22%3A%227633988561930423560%22%7D&amp;ec_shared_reflux_scene=shop_tab_feed&amp;share_item_id=7633988561930423560&amp;source=h5_t</v>
      </c>
      <c r="O1864" s="470"/>
      <c r="P1864" s="471" t="str">
        <f>IFERROR(__xludf.DUMMYFUNCTION("""COMPUTED_VALUE"""),"https://vt.tiktok.com/ZSxfCLAv5/")</f>
        <v>https://vt.tiktok.com/ZSxfCLAv5/</v>
      </c>
    </row>
    <row r="1865">
      <c r="A1865" s="282" t="str">
        <f>IFERROR(__xludf.DUMMYFUNCTION("""COMPUTED_VALUE"""),"MICRO")</f>
        <v>MICRO</v>
      </c>
      <c r="B1865" s="468" t="str">
        <f>IFERROR(__xludf.DUMMYFUNCTION("""COMPUTED_VALUE"""),"mbakujik")</f>
        <v>mbakujik</v>
      </c>
      <c r="C1865" s="283" t="str">
        <f>IFERROR(__xludf.DUMMYFUNCTION("""COMPUTED_VALUE"""),"https://www.tiktok.com/@mbakujik")</f>
        <v>https://www.tiktok.com/@mbakujik</v>
      </c>
      <c r="D1865" s="273">
        <f>IFERROR(__xludf.DUMMYFUNCTION("""COMPUTED_VALUE"""),8.9697522235E10)</f>
        <v>89697522235</v>
      </c>
      <c r="E1865" s="458"/>
      <c r="F1865" s="273"/>
      <c r="G1865" t="str">
        <f>IFERROR(__xludf.DUMMYFUNCTION("""COMPUTED_VALUE"""),"Sabun batang 1 Box ( 2 PCS )")</f>
        <v>Sabun batang 1 Box ( 2 PCS )</v>
      </c>
      <c r="H1865" s="469" t="str">
        <f>IFERROR(__xludf.DUMMYFUNCTION("""COMPUTED_VALUE"""),"Sampai")</f>
        <v>Sampai</v>
      </c>
      <c r="I1865" s="470"/>
      <c r="J1865" s="471" t="str">
        <f>IFERROR(__xludf.DUMMYFUNCTION("""COMPUTED_VALUE"""),"https://www.tiktok.com/@belanja_hemat.shop/video/7629926744312548615?_r=1&amp;u_code=ek6h2252jijmih&amp;region=&amp;mid=7395415388382824464&amp;preview_pb=0&amp;sharer_language=&amp;_d=0&amp;ec_shared_reflux_dynamic_params=%7B%22placeholder_material_id%22%3A%227629926744312548615%22"&amp;"%2C%22placeholder_origin_cover%22%3A%22https%253A%252F%252Fp16-sign-sg.tiktokcdn.com%252Ftos-alisg-p-0037%252FogARLXupOi5fMxsvG8GFedRoAQQmGeGAPnfVBh~tplv-tiktokx-origin.jpeg%253Fdr%253D14572%2526refresh_token%253D0bc3ef94%2526x-expires%253D1808992800%2526"&amp;"x-signature%253DCbDvTxf0YgqWOaOAOjYGyzVeMR4%25253D%2526t%253D4d5b0474%2526ps%253D13740610%2526shp%253Dd05b14bd%2526shcp%253D34ff8df6%2526idc%253Dmy2%2526s%253DTIKTOK_AFFILIATE_VIRAL_VIDEO%22%2C%22placeholder_product_id%22%3A%221729427766722726591%22%2C%22"&amp;"placeholder_video_id%22%3A%227629926744312548615%22%7D&amp;ec_shared_reflux_scene=shop_tab_feed&amp;share_item_id=7629926744312548615&amp;source=h5_t")</f>
        <v>https://www.tiktok.com/@belanja_hemat.shop/video/7629926744312548615?_r=1&amp;u_code=ek6h2252jijmih&amp;region=&amp;mid=7395415388382824464&amp;preview_pb=0&amp;sharer_language=&amp;_d=0&amp;ec_shared_reflux_dynamic_params=%7B%22placeholder_material_id%22%3A%227629926744312548615%22%2C%22placeholder_origin_cover%22%3A%22https%253A%252F%252Fp16-sign-sg.tiktokcdn.com%252Ftos-alisg-p-0037%252FogARLXupOi5fMxsvG8GFedRoAQQmGeGAPnfVBh~tplv-tiktokx-origin.jpeg%253Fdr%253D14572%2526refresh_token%253D0bc3ef94%2526x-expires%253D1808992800%2526x-signature%253DCbDvTxf0YgqWOaOAOjYGyzVeMR4%25253D%2526t%253D4d5b0474%2526ps%253D13740610%2526shp%253Dd05b14bd%2526shcp%253D34ff8df6%2526idc%253Dmy2%2526s%253DTIKTOK_AFFILIATE_VIRAL_VIDEO%22%2C%22placeholder_product_id%22%3A%221729427766722726591%22%2C%22placeholder_video_id%22%3A%227629926744312548615%22%7D&amp;ec_shared_reflux_scene=shop_tab_feed&amp;share_item_id=7629926744312548615&amp;source=h5_t</v>
      </c>
      <c r="K1865" s="470"/>
      <c r="L1865" s="471" t="str">
        <f>IFERROR(__xludf.DUMMYFUNCTION("""COMPUTED_VALUE"""),"https://www.tiktok.com/@belanja_hemat.shop/video/7630068304346074375?_r=1&amp;u_code=ek6h2252jijmih&amp;region=&amp;mid=7502446149192567607&amp;preview_pb=0&amp;sharer_language=&amp;_d=0&amp;ec_shared_reflux_dynamic_params=%7B%22placeholder_material_id%22%3A%227630068304346074375%22"&amp;"%2C%22placeholder_origin_cover%22%3A%22https%253A%252F%252Fp16-common-sign.tiktokcdn.com%252Ftos-alisg-p-0037%252FoY0jIj6CABiiHw6UKcYAvir4yAqkkIDPINeK4B~tplv-tiktokx-origin.jpeg%253Fdr%253D14572%2526refresh_token%253Dc394bf07%2526x-expires%253D1808992800%"&amp;"2526x-signature%253D%25252FXFHLg710N9EHbaT4qukgslNM%25252F0%25253D%2526t%253D4d5b0474%2526ps%253D13740610%2526shp%253Dd05b14bd%2526shcp%253D34ff8df6%2526idc%253Dmy2%2526s%253DTIKTOK_AFFILIATE_VIRAL_VIDEO%22%2C%22placeholder_product_id%22%3A%22172942776672"&amp;"2726591%22%2C%22placeholder_video_id%22%3A%227630068304346074375%22%7D&amp;ec_shared_reflux_scene=shop_tab_feed&amp;share_item_id=7630068304346074375&amp;source=h5_t")</f>
        <v>https://www.tiktok.com/@belanja_hemat.shop/video/7630068304346074375?_r=1&amp;u_code=ek6h2252jijmih&amp;region=&amp;mid=7502446149192567607&amp;preview_pb=0&amp;sharer_language=&amp;_d=0&amp;ec_shared_reflux_dynamic_params=%7B%22placeholder_material_id%22%3A%227630068304346074375%22%2C%22placeholder_origin_cover%22%3A%22https%253A%252F%252Fp16-common-sign.tiktokcdn.com%252Ftos-alisg-p-0037%252FoY0jIj6CABiiHw6UKcYAvir4yAqkkIDPINeK4B~tplv-tiktokx-origin.jpeg%253Fdr%253D14572%2526refresh_token%253Dc394bf07%2526x-expires%253D1808992800%2526x-signature%253D%25252FXFHLg710N9EHbaT4qukgslNM%25252F0%25253D%2526t%253D4d5b0474%2526ps%253D13740610%2526shp%253Dd05b14bd%2526shcp%253D34ff8df6%2526idc%253Dmy2%2526s%253DTIKTOK_AFFILIATE_VIRAL_VIDEO%22%2C%22placeholder_product_id%22%3A%221729427766722726591%22%2C%22placeholder_video_id%22%3A%227630068304346074375%22%7D&amp;ec_shared_reflux_scene=shop_tab_feed&amp;share_item_id=7630068304346074375&amp;source=h5_t</v>
      </c>
      <c r="M1865" s="470"/>
      <c r="N1865" s="471" t="str">
        <f>IFERROR(__xludf.DUMMYFUNCTION("""COMPUTED_VALUE"""),"https://www.tiktok.com/@belanja_hemat.shop/video/7630083439080852744?_r=1&amp;u_code=ek6h2252jijmih&amp;region=&amp;mid=7502446149192567607&amp;preview_pb=0&amp;sharer_language=&amp;_d=0&amp;ec_shared_reflux_dynamic_params=%7B%22placeholder_material_id%22%3A%227630083439080852744%22"&amp;"%2C%22placeholder_origin_cover%22%3A%22https%253A%252F%252Fp16-common-sign.tiktokcdn.com%252Ftos-alisg-p-0037%252FoEONqiBlICA7hICZgjiI3AAAgBswH8WOe0PpIT~tplv-tiktokx-origin.jpeg%253Fdr%253D14572%2526refresh_token%253Dc5a3bd01%2526x-expires%253D1808992800%"&amp;"2526x-signature%253DmHrmToRfBoDI76E5SnS33jucUxo%25253D%2526t%253D4d5b0474%2526ps%253D13740610%2526shp%253Dd05b14bd%2526shcp%253D34ff8df6%2526idc%253Dmy2%2526s%253DTIKTOK_AFFILIATE_VIRAL_VIDEO%22%2C%22placeholder_product_id%22%3A%221729427766722726591%22%2"&amp;"C%22placeholder_video_id%22%3A%227630083439080852744%22%7D&amp;ec_shared_reflux_scene=shop_tab_feed&amp;share_item_id=7630083439080852744&amp;source=h5_t")</f>
        <v>https://www.tiktok.com/@belanja_hemat.shop/video/7630083439080852744?_r=1&amp;u_code=ek6h2252jijmih&amp;region=&amp;mid=7502446149192567607&amp;preview_pb=0&amp;sharer_language=&amp;_d=0&amp;ec_shared_reflux_dynamic_params=%7B%22placeholder_material_id%22%3A%227630083439080852744%22%2C%22placeholder_origin_cover%22%3A%22https%253A%252F%252Fp16-common-sign.tiktokcdn.com%252Ftos-alisg-p-0037%252FoEONqiBlICA7hICZgjiI3AAAgBswH8WOe0PpIT~tplv-tiktokx-origin.jpeg%253Fdr%253D14572%2526refresh_token%253Dc5a3bd01%2526x-expires%253D1808992800%2526x-signature%253DmHrmToRfBoDI76E5SnS33jucUxo%25253D%2526t%253D4d5b0474%2526ps%253D13740610%2526shp%253Dd05b14bd%2526shcp%253D34ff8df6%2526idc%253Dmy2%2526s%253DTIKTOK_AFFILIATE_VIRAL_VIDEO%22%2C%22placeholder_product_id%22%3A%221729427766722726591%22%2C%22placeholder_video_id%22%3A%227630083439080852744%22%7D&amp;ec_shared_reflux_scene=shop_tab_feed&amp;share_item_id=7630083439080852744&amp;source=h5_t</v>
      </c>
      <c r="O1865" s="470"/>
      <c r="P1865" s="471" t="str">
        <f>IFERROR(__xludf.DUMMYFUNCTION("""COMPUTED_VALUE"""),"https://www.tiktok.com/@belanja_hemat.shop/video/7630283480441621767?_r=1&amp;u_code=ek6h2252jijmih&amp;region=&amp;mid=7615963521880558357&amp;preview_pb=0&amp;sharer_language=&amp;_d=0&amp;ec_shared_reflux_dynamic_params=%7B%22placeholder_material_id%22%3A%227630283480441621767%22"&amp;"%2C%22placeholder_origin_cover%22%3A%22https%253A%252F%252Fp16-sign-sg.tiktokcdn.com%252Ftos-alisg-p-0037%252FowLgThbTAvZEDmUpRgqBBrYOOEQeQEFIpPa5fD~tplv-tiktokx-origin.jpeg%253Fdr%253D14572%2526refresh_token%253D7028f3e9%2526x-expires%253D1808992800%2526"&amp;"x-signature%253Dm8NIDbYtD8vdd9sCzAcHHhWysZQ%25253D%2526t%253D4d5b0474%2526ps%253D13740610%2526shp%253Dd05b14bd%2526shcp%253D34ff8df6%2526idc%253Dmy2%2526s%253DTIKTOK_AFFILIATE_VIRAL_VIDEO%22%2C%22placeholder_product_id%22%3A%221729427766722726591%22%2C%22"&amp;"placeholder_video_id%22%3A%227630283480441621767%22%7D&amp;ec_shared_reflux_scene=shop_tab_feed&amp;share_item_id=7630283480441621767&amp;source=h5_t")</f>
        <v>https://www.tiktok.com/@belanja_hemat.shop/video/7630283480441621767?_r=1&amp;u_code=ek6h2252jijmih&amp;region=&amp;mid=7615963521880558357&amp;preview_pb=0&amp;sharer_language=&amp;_d=0&amp;ec_shared_reflux_dynamic_params=%7B%22placeholder_material_id%22%3A%227630283480441621767%22%2C%22placeholder_origin_cover%22%3A%22https%253A%252F%252Fp16-sign-sg.tiktokcdn.com%252Ftos-alisg-p-0037%252FowLgThbTAvZEDmUpRgqBBrYOOEQeQEFIpPa5fD~tplv-tiktokx-origin.jpeg%253Fdr%253D14572%2526refresh_token%253D7028f3e9%2526x-expires%253D1808992800%2526x-signature%253Dm8NIDbYtD8vdd9sCzAcHHhWysZQ%25253D%2526t%253D4d5b0474%2526ps%253D13740610%2526shp%253Dd05b14bd%2526shcp%253D34ff8df6%2526idc%253Dmy2%2526s%253DTIKTOK_AFFILIATE_VIRAL_VIDEO%22%2C%22placeholder_product_id%22%3A%221729427766722726591%22%2C%22placeholder_video_id%22%3A%227630283480441621767%22%7D&amp;ec_shared_reflux_scene=shop_tab_feed&amp;share_item_id=7630283480441621767&amp;source=h5_t</v>
      </c>
    </row>
    <row r="1866">
      <c r="A1866" s="282" t="str">
        <f>IFERROR(__xludf.DUMMYFUNCTION("""COMPUTED_VALUE"""),"MICRO")</f>
        <v>MICRO</v>
      </c>
      <c r="B1866" s="468" t="str">
        <f>IFERROR(__xludf.DUMMYFUNCTION("""COMPUTED_VALUE"""),"_itsimon00")</f>
        <v>_itsimon00</v>
      </c>
      <c r="C1866" s="283" t="str">
        <f>IFERROR(__xludf.DUMMYFUNCTION("""COMPUTED_VALUE"""),"https://www.tiktok.com/@_itsimon00")</f>
        <v>https://www.tiktok.com/@_itsimon00</v>
      </c>
      <c r="D1866" s="273">
        <f>IFERROR(__xludf.DUMMYFUNCTION("""COMPUTED_VALUE"""),8.1240201873E10)</f>
        <v>81240201873</v>
      </c>
      <c r="E1866" s="458"/>
      <c r="F1866" s="273"/>
      <c r="G1866" t="str">
        <f>IFERROR(__xludf.DUMMYFUNCTION("""COMPUTED_VALUE"""),"Sabun batang 1 Box ( 2 PCS )")</f>
        <v>Sabun batang 1 Box ( 2 PCS )</v>
      </c>
      <c r="H1866" s="469" t="str">
        <f>IFERROR(__xludf.DUMMYFUNCTION("""COMPUTED_VALUE"""),"Sampai")</f>
        <v>Sampai</v>
      </c>
      <c r="I1866" s="470"/>
      <c r="J1866" s="471" t="str">
        <f>IFERROR(__xludf.DUMMYFUNCTION("""COMPUTED_VALUE"""),"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"&amp;"aceholder_origin_cover%22%3A%22https%253A%252F%252Fp16-common-sign.tiktokcdn.com%252Ftos-alisg-p-0037%252FocT3fUyagtsUCPXIgtfvGDAQDjLK9oeTHAQG2I~tplv-tiktokx-origin.jpeg%253Fdr%253D14572%2526refresh_token%253D13d7c298%2526x-expires%253D1808992800%2526x-si"&amp;"gnature%253Dm1yuhUo4JC1EwMfosEQhUBd56yw%25253D%2526t%253D4d5b0474%2526ps%253D13740610%2526shp%253Dd05b14bd%2526shcp%253D34ff8df6%2526idc%253Dmy2%2526s%253DTIKTOK_AFFILIATE_VIRAL_VIDEO%22%2C%22placeholder_product_id%22%3A%221729427766722726591%22%2C%22plac"&amp;"eholder_video_id%22%3A%227633434949797858581%22%7D&amp;ec_shared_reflux_scene=shop_tab_feed&amp;share_item_id=7633434949797858581&amp;source=h5_t")</f>
        <v>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aceholder_origin_cover%22%3A%22https%253A%252F%252Fp16-common-sign.tiktokcdn.com%252Ftos-alisg-p-0037%252FocT3fUyagtsUCPXIgtfvGDAQDjLK9oeTHAQG2I~tplv-tiktokx-origin.jpeg%253Fdr%253D14572%2526refresh_token%253D13d7c298%2526x-expires%253D1808992800%2526x-signature%253Dm1yuhUo4JC1EwMfosEQhUBd56yw%25253D%2526t%253D4d5b0474%2526ps%253D13740610%2526shp%253Dd05b14bd%2526shcp%253D34ff8df6%2526idc%253Dmy2%2526s%253DTIKTOK_AFFILIATE_VIRAL_VIDEO%22%2C%22placeholder_product_id%22%3A%221729427766722726591%22%2C%22placeholder_video_id%22%3A%227633434949797858581%22%7D&amp;ec_shared_reflux_scene=shop_tab_feed&amp;share_item_id=7633434949797858581&amp;source=h5_t</v>
      </c>
      <c r="K1866" s="470"/>
      <c r="L1866" s="471" t="str">
        <f>IFERROR(__xludf.DUMMYFUNCTION("""COMPUTED_VALUE"""),"https://vt.tiktok.com/ZSxfQGEgj/")</f>
        <v>https://vt.tiktok.com/ZSxfQGEgj/</v>
      </c>
      <c r="M1866" s="470"/>
      <c r="N1866" s="471" t="str">
        <f>IFERROR(__xludf.DUMMYFUNCTION("""COMPUTED_VALUE"""),"https://vt.tiktok.com/ZSxDYhccb/")</f>
        <v>https://vt.tiktok.com/ZSxDYhccb/</v>
      </c>
      <c r="O1866" s="470"/>
      <c r="P1866" s="471" t="str">
        <f>IFERROR(__xludf.DUMMYFUNCTION("""COMPUTED_VALUE"""),"https://vt.tiktok.com/ZSxDYQyTW/")</f>
        <v>https://vt.tiktok.com/ZSxDYQyTW/</v>
      </c>
    </row>
    <row r="1867">
      <c r="A1867" s="282" t="str">
        <f>IFERROR(__xludf.DUMMYFUNCTION("""COMPUTED_VALUE"""),"MICRO")</f>
        <v>MICRO</v>
      </c>
      <c r="B1867" s="468" t="str">
        <f>IFERROR(__xludf.DUMMYFUNCTION("""COMPUTED_VALUE"""),"vinaarya10")</f>
        <v>vinaarya10</v>
      </c>
      <c r="C1867" s="283" t="str">
        <f>IFERROR(__xludf.DUMMYFUNCTION("""COMPUTED_VALUE"""),"https://www.tiktok.com/@vinaarya10")</f>
        <v>https://www.tiktok.com/@vinaarya10</v>
      </c>
      <c r="D1867" s="273">
        <f>IFERROR(__xludf.DUMMYFUNCTION("""COMPUTED_VALUE"""),8.5954515053E10)</f>
        <v>85954515053</v>
      </c>
      <c r="E1867" s="458">
        <f>IFERROR(__xludf.DUMMYFUNCTION("""COMPUTED_VALUE"""),0.0)</f>
        <v>0</v>
      </c>
      <c r="F1867" s="273">
        <f>IFERROR(__xludf.DUMMYFUNCTION("""COMPUTED_VALUE"""),4.0)</f>
        <v>4</v>
      </c>
      <c r="G1867" t="str">
        <f>IFERROR(__xludf.DUMMYFUNCTION("""COMPUTED_VALUE"""),"Sabun batang 1 Box ( 2 PCS )")</f>
        <v>Sabun batang 1 Box ( 2 PCS )</v>
      </c>
      <c r="H1867" s="469" t="str">
        <f>IFERROR(__xludf.DUMMYFUNCTION("""COMPUTED_VALUE"""),"Sampai")</f>
        <v>Sampai</v>
      </c>
      <c r="I1867" s="470"/>
      <c r="J1867" s="471" t="str">
        <f>IFERROR(__xludf.DUMMYFUNCTION("""COMPUTED_VALUE"""),"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"&amp;"22placeholder_origin_cover%22%3A%22https%253A%252F%252Fp16-common-sign.tiktokcdn.com%252Ftos-alisg-p-0037%252Fo8fO8AM1hZeDgXj1TZgNKQoIABetCT1Aj7WrQE~tplv-tiktokx-origin.jpeg%253Fdr%253D14572%2526refresh_token%253Db34d4f83%2526x-expires%253D1808992800%2526"&amp;"x-signature%253D5d%25252BwOsNi1vQGg3hT4qvK4L51k%25252FQ%25253D%2526t%253D4d5b0474%2526ps%253D13740610%2526shp%253Dd05b14bd%2526shcp%253D34ff8df6%2526idc%253Dmy2%2526s%253DTIKTOK_AFFILIATE_VIRAL_VIDEO%22%2C%22placeholder_product_id%22%3A%221729427766722726"&amp;"591%22%2C%22placeholder_video_id%22%3A%227632292373736803591%22%7D&amp;ec_shared_reflux_scene=shop_tab_feed&amp;share_item_id=7632292373736803591&amp;source=h5_t")</f>
        <v>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22placeholder_origin_cover%22%3A%22https%253A%252F%252Fp16-common-sign.tiktokcdn.com%252Ftos-alisg-p-0037%252Fo8fO8AM1hZeDgXj1TZgNKQoIABetCT1Aj7WrQE~tplv-tiktokx-origin.jpeg%253Fdr%253D14572%2526refresh_token%253Db34d4f83%2526x-expires%253D1808992800%2526x-signature%253D5d%25252BwOsNi1vQGg3hT4qvK4L51k%25252FQ%25253D%2526t%253D4d5b0474%2526ps%253D13740610%2526shp%253Dd05b14bd%2526shcp%253D34ff8df6%2526idc%253Dmy2%2526s%253DTIKTOK_AFFILIATE_VIRAL_VIDEO%22%2C%22placeholder_product_id%22%3A%221729427766722726591%22%2C%22placeholder_video_id%22%3A%227632292373736803591%22%7D&amp;ec_shared_reflux_scene=shop_tab_feed&amp;share_item_id=7632292373736803591&amp;source=h5_t</v>
      </c>
      <c r="K1867" s="470"/>
      <c r="L1867" s="471" t="str">
        <f>IFERROR(__xludf.DUMMYFUNCTION("""COMPUTED_VALUE"""),"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"&amp;"22placeholder_origin_cover%22%3A%22https%253A%252F%252Fp16-common-sign.tiktokcdn.com%252Ftos-alisg-p-0037%252FogtrPig6fAI1VtrDCBRpT4Bw9iBciEOXRfDIQy~tplv-tiktokx-origin.jpeg%253Fdr%253D14572%2526refresh_token%253Da7dfb7b6%2526x-expires%253D1808992800%2526"&amp;"x-signature%253DBLfnFU%25252FucpfNa%25252FqJkuXBbFXM3IE%25253D%2526t%253D4d5b0474%2526ps%253D13740610%2526shp%253Dd05b14bd%2526shcp%253D34ff8df6%2526idc%253Dmy2%2526s%253DTIKTOK_AFFILIATE_VIRAL_VIDEO%22%2C%22placeholder_product_id%22%3A%221729427766722726"&amp;"591%22%2C%22placeholder_video_id%22%3A%227632466134771453202%22%7D&amp;ec_shared_reflux_scene=shop_tab_feed&amp;share_item_id=7632466134771453202&amp;source=h5_t")</f>
        <v>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22placeholder_origin_cover%22%3A%22https%253A%252F%252Fp16-common-sign.tiktokcdn.com%252Ftos-alisg-p-0037%252FogtrPig6fAI1VtrDCBRpT4Bw9iBciEOXRfDIQy~tplv-tiktokx-origin.jpeg%253Fdr%253D14572%2526refresh_token%253Da7dfb7b6%2526x-expires%253D1808992800%2526x-signature%253DBLfnFU%25252FucpfNa%25252FqJkuXBbFXM3IE%25253D%2526t%253D4d5b0474%2526ps%253D13740610%2526shp%253Dd05b14bd%2526shcp%253D34ff8df6%2526idc%253Dmy2%2526s%253DTIKTOK_AFFILIATE_VIRAL_VIDEO%22%2C%22placeholder_product_id%22%3A%221729427766722726591%22%2C%22placeholder_video_id%22%3A%227632466134771453202%22%7D&amp;ec_shared_reflux_scene=shop_tab_feed&amp;share_item_id=7632466134771453202&amp;source=h5_t</v>
      </c>
      <c r="M1867" s="470"/>
      <c r="N1867" s="471" t="str">
        <f>IFERROR(__xludf.DUMMYFUNCTION("""COMPUTED_VALUE"""),"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"&amp;"22placeholder_origin_cover%22%3A%22https%253A%252F%252Fp16-common-sign.tiktokcdn.com%252Ftos-alisg-p-0037%252Fow724I9IGp8GJCSiAIeZAtCBfL0WETDI55ejBs~tplv-tiktokx-origin.jpeg%253Fdr%253D14572%2526refresh_token%253D974a53c8%2526x-expires%253D1808992800%2526"&amp;"x-signature%253DbBhbMoNFUGaDXGV%25252F1hVcSOsTVPM%25253D%2526t%253D4d5b0474%2526ps%253D13740610%2526shp%253Dd05b14bd%2526shcp%253D34ff8df6%2526idc%253Dmy2%2526s%253DTIKTOK_AFFILIATE_VIRAL_VIDEO%22%2C%22placeholder_product_id%22%3A%221729427766722726591%22"&amp;"%2C%22placeholder_video_id%22%3A%227632556344465231122%22%7D&amp;ec_shared_reflux_scene=shop_tab_feed&amp;share_item_id=7632556344465231122&amp;source=h5_t")</f>
        <v>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22placeholder_origin_cover%22%3A%22https%253A%252F%252Fp16-common-sign.tiktokcdn.com%252Ftos-alisg-p-0037%252Fow724I9IGp8GJCSiAIeZAtCBfL0WETDI55ejBs~tplv-tiktokx-origin.jpeg%253Fdr%253D14572%2526refresh_token%253D974a53c8%2526x-expires%253D1808992800%2526x-signature%253DbBhbMoNFUGaDXGV%25252F1hVcSOsTVPM%25253D%2526t%253D4d5b0474%2526ps%253D13740610%2526shp%253Dd05b14bd%2526shcp%253D34ff8df6%2526idc%253Dmy2%2526s%253DTIKTOK_AFFILIATE_VIRAL_VIDEO%22%2C%22placeholder_product_id%22%3A%221729427766722726591%22%2C%22placeholder_video_id%22%3A%227632556344465231122%22%7D&amp;ec_shared_reflux_scene=shop_tab_feed&amp;share_item_id=7632556344465231122&amp;source=h5_t</v>
      </c>
      <c r="O1867" s="470"/>
      <c r="P1867" s="471" t="str">
        <f>IFERROR(__xludf.DUMMYFUNCTION("""COMPUTED_VALUE"""),"https://www.tiktok.com/@rositaramdani7/video/7632840621039914248?_d=0&amp;_r=1&amp;ec_shared_reflux_dynamic_params=%7B%22placeholder_material_id%22%3A%227632840621039914248%22%2C%22placeholder_origin_cover%22%3A%22https%253A%252F%252Fp16-common-sign.tiktokcdn.com"&amp;"%252Ftos-alisg-p-0037%252Fo4Tq0AI4XCBVwjAWIYrCAIztJuiCI9hiVLCQfh~tplv-tiktokx-origin.jpeg%253Fdr%253D14572%2526refresh_token%253D142f2fad%2526x-expires%253D1808992800%2526x-signature%253DHpeIR5KLtc6wc1RTiJXRcQO8fOs%25253D%2526t%253D4d5b0474%2526ps%253D137"&amp;"40610%2526shp%253Dd05b14bd%2526shcp%253D34ff8df6%2526idc%253Dmy2%2526s%253DTIKTOK_AFFILIATE_VIRAL_VIDEO%22%2C%22placeholder_product_id%22%3A%221729427766722726591%22%2C%22placeholder_video_id%22%3A%227632840621039914248%22%7D&amp;ec_shared_reflux_scene=shop_t"&amp;"ab_feed&amp;mid=7591377536513985281&amp;preview_pb=0&amp;region=&amp;share_item_id=7632840621039914248&amp;sharer_language=&amp;source=h5_t&amp;u_code=f1489jb4bi84e11")</f>
        <v>https://www.tiktok.com/@rositaramdani7/video/7632840621039914248?_d=0&amp;_r=1&amp;ec_shared_reflux_dynamic_params=%7B%22placeholder_material_id%22%3A%227632840621039914248%22%2C%22placeholder_origin_cover%22%3A%22https%253A%252F%252Fp16-common-sign.tiktokcdn.com%252Ftos-alisg-p-0037%252Fo4Tq0AI4XCBVwjAWIYrCAIztJuiCI9hiVLCQfh~tplv-tiktokx-origin.jpeg%253Fdr%253D14572%2526refresh_token%253D142f2fad%2526x-expires%253D1808992800%2526x-signature%253DHpeIR5KLtc6wc1RTiJXRcQO8fOs%25253D%2526t%253D4d5b0474%2526ps%253D13740610%2526shp%253Dd05b14bd%2526shcp%253D34ff8df6%2526idc%253Dmy2%2526s%253DTIKTOK_AFFILIATE_VIRAL_VIDEO%22%2C%22placeholder_product_id%22%3A%221729427766722726591%22%2C%22placeholder_video_id%22%3A%227632840621039914248%22%7D&amp;ec_shared_reflux_scene=shop_tab_feed&amp;mid=7591377536513985281&amp;preview_pb=0&amp;region=&amp;share_item_id=7632840621039914248&amp;sharer_language=&amp;source=h5_t&amp;u_code=f1489jb4bi84e11</v>
      </c>
    </row>
    <row r="1868">
      <c r="A1868" s="282" t="str">
        <f>IFERROR(__xludf.DUMMYFUNCTION("""COMPUTED_VALUE"""),"MICRO")</f>
        <v>MICRO</v>
      </c>
      <c r="B1868" s="468" t="str">
        <f>IFERROR(__xludf.DUMMYFUNCTION("""COMPUTED_VALUE"""),"officialsang9")</f>
        <v>officialsang9</v>
      </c>
      <c r="C1868" s="283" t="str">
        <f>IFERROR(__xludf.DUMMYFUNCTION("""COMPUTED_VALUE"""),"https://www.tiktok.com/@officialsang9")</f>
        <v>https://www.tiktok.com/@officialsang9</v>
      </c>
      <c r="D1868" s="273">
        <f>IFERROR(__xludf.DUMMYFUNCTION("""COMPUTED_VALUE"""),8.3895297928E10)</f>
        <v>83895297928</v>
      </c>
      <c r="E1868" s="458">
        <f>IFERROR(__xludf.DUMMYFUNCTION("""COMPUTED_VALUE"""),0.0)</f>
        <v>0</v>
      </c>
      <c r="F1868" s="273">
        <f>IFERROR(__xludf.DUMMYFUNCTION("""COMPUTED_VALUE"""),4.0)</f>
        <v>4</v>
      </c>
      <c r="G1868" t="str">
        <f>IFERROR(__xludf.DUMMYFUNCTION("""COMPUTED_VALUE"""),"Sabun batang 1 Box ( 2 PCS )")</f>
        <v>Sabun batang 1 Box ( 2 PCS )</v>
      </c>
      <c r="H1868" s="469" t="str">
        <f>IFERROR(__xludf.DUMMYFUNCTION("""COMPUTED_VALUE"""),"Sampai")</f>
        <v>Sampai</v>
      </c>
      <c r="I1868" s="470"/>
      <c r="J1868" s="471" t="str">
        <f>IFERROR(__xludf.DUMMYFUNCTION("""COMPUTED_VALUE"""),"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"&amp;"eholder_origin_cover%22%3A%22https%253A%252F%252Fp16-common-sign.tiktokcdn.com%252Ftos-alisg-p-0037%252Fokej83InNuARId4oIVGPkcAQGeAeLDBS0CHTZQ~tplv-tiktokx-origin.jpeg%253Fdr%253D14572%2526refresh_token%253D3b7eb85d%2526x-expires%253D1808992800%2526x-sign"&amp;"ature%253DzhyQY%25252Bd9E%25252FZMgX7MRj4vEnlPr%25252BI%25253D%2526t%253D4d5b0474%2526ps%253D13740610%2526shp%253Dd05b14bd%2526shcp%253D34ff8df6%2526idc%253Dmy2%2526s%253DTIKTOK_AFFILIATE_VIRAL_VIDEO%22%2C%22placeholder_product_id%22%3A%221729427766722726"&amp;"591%22%2C%22placeholder_video_id%22%3A%227633259666696391954%22%7D&amp;ec_shared_reflux_scene=shop_tab_feed&amp;share_item_id=7633259666696391954&amp;source=h5_t")</f>
        <v>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eholder_origin_cover%22%3A%22https%253A%252F%252Fp16-common-sign.tiktokcdn.com%252Ftos-alisg-p-0037%252Fokej83InNuARId4oIVGPkcAQGeAeLDBS0CHTZQ~tplv-tiktokx-origin.jpeg%253Fdr%253D14572%2526refresh_token%253D3b7eb85d%2526x-expires%253D1808992800%2526x-signature%253DzhyQY%25252Bd9E%25252FZMgX7MRj4vEnlPr%25252BI%25253D%2526t%253D4d5b0474%2526ps%253D13740610%2526shp%253Dd05b14bd%2526shcp%253D34ff8df6%2526idc%253Dmy2%2526s%253DTIKTOK_AFFILIATE_VIRAL_VIDEO%22%2C%22placeholder_product_id%22%3A%221729427766722726591%22%2C%22placeholder_video_id%22%3A%227633259666696391954%22%7D&amp;ec_shared_reflux_scene=shop_tab_feed&amp;share_item_id=7633259666696391954&amp;source=h5_t</v>
      </c>
      <c r="K1868" s="470"/>
      <c r="L1868" s="471" t="str">
        <f>IFERROR(__xludf.DUMMYFUNCTION("""COMPUTED_VALUE"""),"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"&amp;"eholder_origin_cover%22%3A%22https%253A%252F%252Fp16-common-sign.tiktokcdn.com%252Ftos-alisg-p-0037%252FoEvtB2BmQIJJbKvDCITIgGKC4QfW4c8eAAeLPj~tplv-tiktokx-origin.jpeg%253Fdr%253D14572%2526refresh_token%253D14b8e5a1%2526x-expires%253D1808992800%2526x-sign"&amp;"ature%253DsBKNRZM9NlGgABGP%25252Bi5CuTVSWFg%25253D%2526t%253D4d5b0474%2526ps%253D13740610%2526shp%253Dd05b14bd%2526shcp%253D34ff8df6%2526idc%253Dmy2%2526s%253DTIKTOK_AFFILIATE_VIRAL_VIDEO%22%2C%22placeholder_product_id%22%3A%221729427766722726591%22%2C%22"&amp;"placeholder_video_id%22%3A%227633619284236799240%22%7D&amp;ec_shared_reflux_scene=shop_tab_feed&amp;share_item_id=7633619284236799240&amp;source=h5_t")</f>
        <v>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eholder_origin_cover%22%3A%22https%253A%252F%252Fp16-common-sign.tiktokcdn.com%252Ftos-alisg-p-0037%252FoEvtB2BmQIJJbKvDCITIgGKC4QfW4c8eAAeLPj~tplv-tiktokx-origin.jpeg%253Fdr%253D14572%2526refresh_token%253D14b8e5a1%2526x-expires%253D1808992800%2526x-signature%253DsBKNRZM9NlGgABGP%25252Bi5CuTVSWFg%25253D%2526t%253D4d5b0474%2526ps%253D13740610%2526shp%253Dd05b14bd%2526shcp%253D34ff8df6%2526idc%253Dmy2%2526s%253DTIKTOK_AFFILIATE_VIRAL_VIDEO%22%2C%22placeholder_product_id%22%3A%221729427766722726591%22%2C%22placeholder_video_id%22%3A%227633619284236799240%22%7D&amp;ec_shared_reflux_scene=shop_tab_feed&amp;share_item_id=7633619284236799240&amp;source=h5_t</v>
      </c>
      <c r="M1868" s="470"/>
      <c r="N1868" s="471" t="str">
        <f>IFERROR(__xludf.DUMMYFUNCTION("""COMPUTED_VALUE"""),"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"&amp;"eholder_origin_cover%22%3A%22https%253A%252F%252Fp16-sign-sg.tiktokcdn.com%252Ftos-alisg-p-0037%252Fo03hfABezYXBDiRNp9OP7BUEgIxxBiEINkwKiH~tplv-tiktokx-origin.jpeg%253Fdr%253D14572%2526refresh_token%253D2b3edbd9%2526x-expires%253D1808992800%2526x-signatur"&amp;"e%253DuF7qjx32DHmqMM4GzKo0wROx5Eg%25253D%2526t%253D4d5b0474%2526ps%253D13740610%2526shp%253Dd05b14bd%2526shcp%253D34ff8df6%2526idc%253Dmy2%2526s%253DTIKTOK_AFFILIATE_VIRAL_VIDEO%22%2C%22placeholder_product_id%22%3A%221729427766722726591%22%2C%22placeholde"&amp;"r_video_id%22%3A%227633988561930423560%22%7D&amp;ec_shared_reflux_scene=shop_tab_feed&amp;share_item_id=7633988561930423560&amp;source=h5_t")</f>
        <v>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eholder_origin_cover%22%3A%22https%253A%252F%252Fp16-sign-sg.tiktokcdn.com%252Ftos-alisg-p-0037%252Fo03hfABezYXBDiRNp9OP7BUEgIxxBiEINkwKiH~tplv-tiktokx-origin.jpeg%253Fdr%253D14572%2526refresh_token%253D2b3edbd9%2526x-expires%253D1808992800%2526x-signature%253DuF7qjx32DHmqMM4GzKo0wROx5Eg%25253D%2526t%253D4d5b0474%2526ps%253D13740610%2526shp%253Dd05b14bd%2526shcp%253D34ff8df6%2526idc%253Dmy2%2526s%253DTIKTOK_AFFILIATE_VIRAL_VIDEO%22%2C%22placeholder_product_id%22%3A%221729427766722726591%22%2C%22placeholder_video_id%22%3A%227633988561930423560%22%7D&amp;ec_shared_reflux_scene=shop_tab_feed&amp;share_item_id=7633988561930423560&amp;source=h5_t</v>
      </c>
      <c r="O1868" s="470"/>
      <c r="P1868" s="471" t="str">
        <f>IFERROR(__xludf.DUMMYFUNCTION("""COMPUTED_VALUE"""),"https://vt.tiktok.com/ZSxfCLAv5/")</f>
        <v>https://vt.tiktok.com/ZSxfCLAv5/</v>
      </c>
    </row>
    <row r="1869">
      <c r="A1869" s="282" t="str">
        <f>IFERROR(__xludf.DUMMYFUNCTION("""COMPUTED_VALUE"""),"MICRO")</f>
        <v>MICRO</v>
      </c>
      <c r="B1869" s="468" t="str">
        <f>IFERROR(__xludf.DUMMYFUNCTION("""COMPUTED_VALUE"""),"bismillahberkah.1")</f>
        <v>bismillahberkah.1</v>
      </c>
      <c r="C1869" s="283" t="str">
        <f>IFERROR(__xludf.DUMMYFUNCTION("""COMPUTED_VALUE"""),"https://www.tiktok.com/@bismillahberkah.1")</f>
        <v>https://www.tiktok.com/@bismillahberkah.1</v>
      </c>
      <c r="D1869" s="273">
        <f>IFERROR(__xludf.DUMMYFUNCTION("""COMPUTED_VALUE"""),8.1809558862E10)</f>
        <v>81809558862</v>
      </c>
      <c r="E1869" s="458"/>
      <c r="F1869" s="273"/>
      <c r="G1869" t="str">
        <f>IFERROR(__xludf.DUMMYFUNCTION("""COMPUTED_VALUE"""),"Sabun batang 1 Box ( 2 PCS )")</f>
        <v>Sabun batang 1 Box ( 2 PCS )</v>
      </c>
      <c r="H1869" s="469" t="str">
        <f>IFERROR(__xludf.DUMMYFUNCTION("""COMPUTED_VALUE"""),"Sampai")</f>
        <v>Sampai</v>
      </c>
      <c r="I1869" s="470"/>
      <c r="J1869" s="471" t="str">
        <f>IFERROR(__xludf.DUMMYFUNCTION("""COMPUTED_VALUE"""),"https://www.tiktok.com/@belanja_hemat.shop/video/7629926744312548615?_r=1&amp;u_code=ek6h2252jijmih&amp;region=&amp;mid=7395415388382824464&amp;preview_pb=0&amp;sharer_language=&amp;_d=0&amp;ec_shared_reflux_dynamic_params=%7B%22placeholder_material_id%22%3A%227629926744312548615%22"&amp;"%2C%22placeholder_origin_cover%22%3A%22https%253A%252F%252Fp16-sign-sg.tiktokcdn.com%252Ftos-alisg-p-0037%252FogARLXupOi5fMxsvG8GFedRoAQQmGeGAPnfVBh~tplv-tiktokx-origin.jpeg%253Fdr%253D14572%2526refresh_token%253D0bc3ef94%2526x-expires%253D1808992800%2526"&amp;"x-signature%253DCbDvTxf0YgqWOaOAOjYGyzVeMR4%25253D%2526t%253D4d5b0474%2526ps%253D13740610%2526shp%253Dd05b14bd%2526shcp%253D34ff8df6%2526idc%253Dmy2%2526s%253DTIKTOK_AFFILIATE_VIRAL_VIDEO%22%2C%22placeholder_product_id%22%3A%221729427766722726591%22%2C%22"&amp;"placeholder_video_id%22%3A%227629926744312548615%22%7D&amp;ec_shared_reflux_scene=shop_tab_feed&amp;share_item_id=7629926744312548615&amp;source=h5_t")</f>
        <v>https://www.tiktok.com/@belanja_hemat.shop/video/7629926744312548615?_r=1&amp;u_code=ek6h2252jijmih&amp;region=&amp;mid=7395415388382824464&amp;preview_pb=0&amp;sharer_language=&amp;_d=0&amp;ec_shared_reflux_dynamic_params=%7B%22placeholder_material_id%22%3A%227629926744312548615%22%2C%22placeholder_origin_cover%22%3A%22https%253A%252F%252Fp16-sign-sg.tiktokcdn.com%252Ftos-alisg-p-0037%252FogARLXupOi5fMxsvG8GFedRoAQQmGeGAPnfVBh~tplv-tiktokx-origin.jpeg%253Fdr%253D14572%2526refresh_token%253D0bc3ef94%2526x-expires%253D1808992800%2526x-signature%253DCbDvTxf0YgqWOaOAOjYGyzVeMR4%25253D%2526t%253D4d5b0474%2526ps%253D13740610%2526shp%253Dd05b14bd%2526shcp%253D34ff8df6%2526idc%253Dmy2%2526s%253DTIKTOK_AFFILIATE_VIRAL_VIDEO%22%2C%22placeholder_product_id%22%3A%221729427766722726591%22%2C%22placeholder_video_id%22%3A%227629926744312548615%22%7D&amp;ec_shared_reflux_scene=shop_tab_feed&amp;share_item_id=7629926744312548615&amp;source=h5_t</v>
      </c>
      <c r="K1869" s="470"/>
      <c r="L1869" s="471" t="str">
        <f>IFERROR(__xludf.DUMMYFUNCTION("""COMPUTED_VALUE"""),"https://www.tiktok.com/@belanja_hemat.shop/video/7630068304346074375?_r=1&amp;u_code=ek6h2252jijmih&amp;region=&amp;mid=7502446149192567607&amp;preview_pb=0&amp;sharer_language=&amp;_d=0&amp;ec_shared_reflux_dynamic_params=%7B%22placeholder_material_id%22%3A%227630068304346074375%22"&amp;"%2C%22placeholder_origin_cover%22%3A%22https%253A%252F%252Fp16-common-sign.tiktokcdn.com%252Ftos-alisg-p-0037%252FoY0jIj6CABiiHw6UKcYAvir4yAqkkIDPINeK4B~tplv-tiktokx-origin.jpeg%253Fdr%253D14572%2526refresh_token%253Dc394bf07%2526x-expires%253D1808992800%"&amp;"2526x-signature%253D%25252FXFHLg710N9EHbaT4qukgslNM%25252F0%25253D%2526t%253D4d5b0474%2526ps%253D13740610%2526shp%253Dd05b14bd%2526shcp%253D34ff8df6%2526idc%253Dmy2%2526s%253DTIKTOK_AFFILIATE_VIRAL_VIDEO%22%2C%22placeholder_product_id%22%3A%22172942776672"&amp;"2726591%22%2C%22placeholder_video_id%22%3A%227630068304346074375%22%7D&amp;ec_shared_reflux_scene=shop_tab_feed&amp;share_item_id=7630068304346074375&amp;source=h5_t")</f>
        <v>https://www.tiktok.com/@belanja_hemat.shop/video/7630068304346074375?_r=1&amp;u_code=ek6h2252jijmih&amp;region=&amp;mid=7502446149192567607&amp;preview_pb=0&amp;sharer_language=&amp;_d=0&amp;ec_shared_reflux_dynamic_params=%7B%22placeholder_material_id%22%3A%227630068304346074375%22%2C%22placeholder_origin_cover%22%3A%22https%253A%252F%252Fp16-common-sign.tiktokcdn.com%252Ftos-alisg-p-0037%252FoY0jIj6CABiiHw6UKcYAvir4yAqkkIDPINeK4B~tplv-tiktokx-origin.jpeg%253Fdr%253D14572%2526refresh_token%253Dc394bf07%2526x-expires%253D1808992800%2526x-signature%253D%25252FXFHLg710N9EHbaT4qukgslNM%25252F0%25253D%2526t%253D4d5b0474%2526ps%253D13740610%2526shp%253Dd05b14bd%2526shcp%253D34ff8df6%2526idc%253Dmy2%2526s%253DTIKTOK_AFFILIATE_VIRAL_VIDEO%22%2C%22placeholder_product_id%22%3A%221729427766722726591%22%2C%22placeholder_video_id%22%3A%227630068304346074375%22%7D&amp;ec_shared_reflux_scene=shop_tab_feed&amp;share_item_id=7630068304346074375&amp;source=h5_t</v>
      </c>
      <c r="M1869" s="470"/>
      <c r="N1869" s="471" t="str">
        <f>IFERROR(__xludf.DUMMYFUNCTION("""COMPUTED_VALUE"""),"https://www.tiktok.com/@belanja_hemat.shop/video/7630083439080852744?_r=1&amp;u_code=ek6h2252jijmih&amp;region=&amp;mid=7502446149192567607&amp;preview_pb=0&amp;sharer_language=&amp;_d=0&amp;ec_shared_reflux_dynamic_params=%7B%22placeholder_material_id%22%3A%227630083439080852744%22"&amp;"%2C%22placeholder_origin_cover%22%3A%22https%253A%252F%252Fp16-common-sign.tiktokcdn.com%252Ftos-alisg-p-0037%252FoEONqiBlICA7hICZgjiI3AAAgBswH8WOe0PpIT~tplv-tiktokx-origin.jpeg%253Fdr%253D14572%2526refresh_token%253Dc5a3bd01%2526x-expires%253D1808992800%"&amp;"2526x-signature%253DmHrmToRfBoDI76E5SnS33jucUxo%25253D%2526t%253D4d5b0474%2526ps%253D13740610%2526shp%253Dd05b14bd%2526shcp%253D34ff8df6%2526idc%253Dmy2%2526s%253DTIKTOK_AFFILIATE_VIRAL_VIDEO%22%2C%22placeholder_product_id%22%3A%221729427766722726591%22%2"&amp;"C%22placeholder_video_id%22%3A%227630083439080852744%22%7D&amp;ec_shared_reflux_scene=shop_tab_feed&amp;share_item_id=7630083439080852744&amp;source=h5_t")</f>
        <v>https://www.tiktok.com/@belanja_hemat.shop/video/7630083439080852744?_r=1&amp;u_code=ek6h2252jijmih&amp;region=&amp;mid=7502446149192567607&amp;preview_pb=0&amp;sharer_language=&amp;_d=0&amp;ec_shared_reflux_dynamic_params=%7B%22placeholder_material_id%22%3A%227630083439080852744%22%2C%22placeholder_origin_cover%22%3A%22https%253A%252F%252Fp16-common-sign.tiktokcdn.com%252Ftos-alisg-p-0037%252FoEONqiBlICA7hICZgjiI3AAAgBswH8WOe0PpIT~tplv-tiktokx-origin.jpeg%253Fdr%253D14572%2526refresh_token%253Dc5a3bd01%2526x-expires%253D1808992800%2526x-signature%253DmHrmToRfBoDI76E5SnS33jucUxo%25253D%2526t%253D4d5b0474%2526ps%253D13740610%2526shp%253Dd05b14bd%2526shcp%253D34ff8df6%2526idc%253Dmy2%2526s%253DTIKTOK_AFFILIATE_VIRAL_VIDEO%22%2C%22placeholder_product_id%22%3A%221729427766722726591%22%2C%22placeholder_video_id%22%3A%227630083439080852744%22%7D&amp;ec_shared_reflux_scene=shop_tab_feed&amp;share_item_id=7630083439080852744&amp;source=h5_t</v>
      </c>
      <c r="O1869" s="470"/>
      <c r="P1869" s="471" t="str">
        <f>IFERROR(__xludf.DUMMYFUNCTION("""COMPUTED_VALUE"""),"https://www.tiktok.com/@belanja_hemat.shop/video/7630283480441621767?_r=1&amp;u_code=ek6h2252jijmih&amp;region=&amp;mid=7615963521880558357&amp;preview_pb=0&amp;sharer_language=&amp;_d=0&amp;ec_shared_reflux_dynamic_params=%7B%22placeholder_material_id%22%3A%227630283480441621767%22"&amp;"%2C%22placeholder_origin_cover%22%3A%22https%253A%252F%252Fp16-sign-sg.tiktokcdn.com%252Ftos-alisg-p-0037%252FowLgThbTAvZEDmUpRgqBBrYOOEQeQEFIpPa5fD~tplv-tiktokx-origin.jpeg%253Fdr%253D14572%2526refresh_token%253D7028f3e9%2526x-expires%253D1808992800%2526"&amp;"x-signature%253Dm8NIDbYtD8vdd9sCzAcHHhWysZQ%25253D%2526t%253D4d5b0474%2526ps%253D13740610%2526shp%253Dd05b14bd%2526shcp%253D34ff8df6%2526idc%253Dmy2%2526s%253DTIKTOK_AFFILIATE_VIRAL_VIDEO%22%2C%22placeholder_product_id%22%3A%221729427766722726591%22%2C%22"&amp;"placeholder_video_id%22%3A%227630283480441621767%22%7D&amp;ec_shared_reflux_scene=shop_tab_feed&amp;share_item_id=7630283480441621767&amp;source=h5_t")</f>
        <v>https://www.tiktok.com/@belanja_hemat.shop/video/7630283480441621767?_r=1&amp;u_code=ek6h2252jijmih&amp;region=&amp;mid=7615963521880558357&amp;preview_pb=0&amp;sharer_language=&amp;_d=0&amp;ec_shared_reflux_dynamic_params=%7B%22placeholder_material_id%22%3A%227630283480441621767%22%2C%22placeholder_origin_cover%22%3A%22https%253A%252F%252Fp16-sign-sg.tiktokcdn.com%252Ftos-alisg-p-0037%252FowLgThbTAvZEDmUpRgqBBrYOOEQeQEFIpPa5fD~tplv-tiktokx-origin.jpeg%253Fdr%253D14572%2526refresh_token%253D7028f3e9%2526x-expires%253D1808992800%2526x-signature%253Dm8NIDbYtD8vdd9sCzAcHHhWysZQ%25253D%2526t%253D4d5b0474%2526ps%253D13740610%2526shp%253Dd05b14bd%2526shcp%253D34ff8df6%2526idc%253Dmy2%2526s%253DTIKTOK_AFFILIATE_VIRAL_VIDEO%22%2C%22placeholder_product_id%22%3A%221729427766722726591%22%2C%22placeholder_video_id%22%3A%227630283480441621767%22%7D&amp;ec_shared_reflux_scene=shop_tab_feed&amp;share_item_id=7630283480441621767&amp;source=h5_t</v>
      </c>
    </row>
    <row r="1870">
      <c r="A1870" s="282" t="str">
        <f>IFERROR(__xludf.DUMMYFUNCTION("""COMPUTED_VALUE"""),"MICRO")</f>
        <v>MICRO</v>
      </c>
      <c r="B1870" s="468" t="str">
        <f>IFERROR(__xludf.DUMMYFUNCTION("""COMPUTED_VALUE"""),"abdir__ar")</f>
        <v>abdir__ar</v>
      </c>
      <c r="C1870" s="283" t="str">
        <f>IFERROR(__xludf.DUMMYFUNCTION("""COMPUTED_VALUE"""),"https://www.tiktok.com/@abdir__ar")</f>
        <v>https://www.tiktok.com/@abdir__ar</v>
      </c>
      <c r="D1870" s="273">
        <f>IFERROR(__xludf.DUMMYFUNCTION("""COMPUTED_VALUE"""),8.9671867996E10)</f>
        <v>89671867996</v>
      </c>
      <c r="E1870" s="458">
        <f>IFERROR(__xludf.DUMMYFUNCTION("""COMPUTED_VALUE"""),0.0)</f>
        <v>0</v>
      </c>
      <c r="F1870" s="273">
        <f>IFERROR(__xludf.DUMMYFUNCTION("""COMPUTED_VALUE"""),4.0)</f>
        <v>4</v>
      </c>
      <c r="G1870" t="str">
        <f>IFERROR(__xludf.DUMMYFUNCTION("""COMPUTED_VALUE"""),"Sabun batang 1 Box ( 2 PCS )")</f>
        <v>Sabun batang 1 Box ( 2 PCS )</v>
      </c>
      <c r="H1870" s="469" t="str">
        <f>IFERROR(__xludf.DUMMYFUNCTION("""COMPUTED_VALUE"""),"Sampai")</f>
        <v>Sampai</v>
      </c>
      <c r="I1870" s="470"/>
      <c r="J1870" s="471" t="str">
        <f>IFERROR(__xludf.DUMMYFUNCTION("""COMPUTED_VALUE"""),"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"&amp;"aceholder_origin_cover%22%3A%22https%253A%252F%252Fp16-common-sign.tiktokcdn.com%252Ftos-alisg-p-0037%252FocT3fUyagtsUCPXIgtfvGDAQDjLK9oeTHAQG2I~tplv-tiktokx-origin.jpeg%253Fdr%253D14572%2526refresh_token%253D13d7c298%2526x-expires%253D1808992800%2526x-si"&amp;"gnature%253Dm1yuhUo4JC1EwMfosEQhUBd56yw%25253D%2526t%253D4d5b0474%2526ps%253D13740610%2526shp%253Dd05b14bd%2526shcp%253D34ff8df6%2526idc%253Dmy2%2526s%253DTIKTOK_AFFILIATE_VIRAL_VIDEO%22%2C%22placeholder_product_id%22%3A%221729427766722726591%22%2C%22plac"&amp;"eholder_video_id%22%3A%227633434949797858581%22%7D&amp;ec_shared_reflux_scene=shop_tab_feed&amp;share_item_id=7633434949797858581&amp;source=h5_t")</f>
        <v>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aceholder_origin_cover%22%3A%22https%253A%252F%252Fp16-common-sign.tiktokcdn.com%252Ftos-alisg-p-0037%252FocT3fUyagtsUCPXIgtfvGDAQDjLK9oeTHAQG2I~tplv-tiktokx-origin.jpeg%253Fdr%253D14572%2526refresh_token%253D13d7c298%2526x-expires%253D1808992800%2526x-signature%253Dm1yuhUo4JC1EwMfosEQhUBd56yw%25253D%2526t%253D4d5b0474%2526ps%253D13740610%2526shp%253Dd05b14bd%2526shcp%253D34ff8df6%2526idc%253Dmy2%2526s%253DTIKTOK_AFFILIATE_VIRAL_VIDEO%22%2C%22placeholder_product_id%22%3A%221729427766722726591%22%2C%22placeholder_video_id%22%3A%227633434949797858581%22%7D&amp;ec_shared_reflux_scene=shop_tab_feed&amp;share_item_id=7633434949797858581&amp;source=h5_t</v>
      </c>
      <c r="K1870" s="470"/>
      <c r="L1870" s="471" t="str">
        <f>IFERROR(__xludf.DUMMYFUNCTION("""COMPUTED_VALUE"""),"https://vt.tiktok.com/ZSxfQGEgj/")</f>
        <v>https://vt.tiktok.com/ZSxfQGEgj/</v>
      </c>
      <c r="M1870" s="470"/>
      <c r="N1870" s="471" t="str">
        <f>IFERROR(__xludf.DUMMYFUNCTION("""COMPUTED_VALUE"""),"https://vt.tiktok.com/ZSxDYhccb/")</f>
        <v>https://vt.tiktok.com/ZSxDYhccb/</v>
      </c>
      <c r="O1870" s="470"/>
      <c r="P1870" s="471" t="str">
        <f>IFERROR(__xludf.DUMMYFUNCTION("""COMPUTED_VALUE"""),"https://vt.tiktok.com/ZSxDYQyTW/")</f>
        <v>https://vt.tiktok.com/ZSxDYQyTW/</v>
      </c>
    </row>
    <row r="1871">
      <c r="A1871" s="282" t="str">
        <f>IFERROR(__xludf.DUMMYFUNCTION("""COMPUTED_VALUE"""),"MICRO")</f>
        <v>MICRO</v>
      </c>
      <c r="B1871" s="468" t="str">
        <f>IFERROR(__xludf.DUMMYFUNCTION("""COMPUTED_VALUE"""),"ndapopow")</f>
        <v>ndapopow</v>
      </c>
      <c r="C1871" s="283" t="str">
        <f>IFERROR(__xludf.DUMMYFUNCTION("""COMPUTED_VALUE"""),"https://www.tiktok.com/@ndapopow")</f>
        <v>https://www.tiktok.com/@ndapopow</v>
      </c>
      <c r="D1871" s="273">
        <f>IFERROR(__xludf.DUMMYFUNCTION("""COMPUTED_VALUE"""),8.3873096145E10)</f>
        <v>83873096145</v>
      </c>
      <c r="E1871" s="458">
        <f>IFERROR(__xludf.DUMMYFUNCTION("""COMPUTED_VALUE"""),0.0)</f>
        <v>0</v>
      </c>
      <c r="F1871" s="273">
        <f>IFERROR(__xludf.DUMMYFUNCTION("""COMPUTED_VALUE"""),4.0)</f>
        <v>4</v>
      </c>
      <c r="G1871" t="str">
        <f>IFERROR(__xludf.DUMMYFUNCTION("""COMPUTED_VALUE"""),"Sabun batang 1 Box ( 2 PCS )")</f>
        <v>Sabun batang 1 Box ( 2 PCS )</v>
      </c>
      <c r="H1871" s="469" t="str">
        <f>IFERROR(__xludf.DUMMYFUNCTION("""COMPUTED_VALUE"""),"Sampai")</f>
        <v>Sampai</v>
      </c>
      <c r="I1871" s="470"/>
      <c r="J1871" s="471" t="str">
        <f>IFERROR(__xludf.DUMMYFUNCTION("""COMPUTED_VALUE"""),"https://vt.tiktok.com/ZSxW9d7V7/")</f>
        <v>https://vt.tiktok.com/ZSxW9d7V7/</v>
      </c>
      <c r="K1871" s="470"/>
      <c r="L1871" s="471" t="str">
        <f>IFERROR(__xludf.DUMMYFUNCTION("""COMPUTED_VALUE"""),"https://vt.tiktok.com/ZSxWH11t7/")</f>
        <v>https://vt.tiktok.com/ZSxWH11t7/</v>
      </c>
      <c r="M1871" s="470"/>
      <c r="N1871" s="471" t="str">
        <f>IFERROR(__xludf.DUMMYFUNCTION("""COMPUTED_VALUE"""),"https://vt.tiktok.com/ZSxWmQBRq/")</f>
        <v>https://vt.tiktok.com/ZSxWmQBRq/</v>
      </c>
      <c r="O1871" s="470"/>
      <c r="P1871" s="471" t="str">
        <f>IFERROR(__xludf.DUMMYFUNCTION("""COMPUTED_VALUE"""),"https://vt.tiktok.com/ZSxWmXmaN/")</f>
        <v>https://vt.tiktok.com/ZSxWmXmaN/</v>
      </c>
    </row>
    <row r="1872">
      <c r="A1872" s="282" t="str">
        <f>IFERROR(__xludf.DUMMYFUNCTION("""COMPUTED_VALUE"""),"MICRO")</f>
        <v>MICRO</v>
      </c>
      <c r="B1872" s="468" t="str">
        <f>IFERROR(__xludf.DUMMYFUNCTION("""COMPUTED_VALUE"""),"dianselfcare_")</f>
        <v>dianselfcare_</v>
      </c>
      <c r="C1872" s="283" t="str">
        <f>IFERROR(__xludf.DUMMYFUNCTION("""COMPUTED_VALUE"""),"https://www.tiktok.com/@dianselfcare_")</f>
        <v>https://www.tiktok.com/@dianselfcare_</v>
      </c>
      <c r="D1872" s="273">
        <f>IFERROR(__xludf.DUMMYFUNCTION("""COMPUTED_VALUE"""),8.551719581E9)</f>
        <v>8551719581</v>
      </c>
      <c r="E1872" s="458">
        <f>IFERROR(__xludf.DUMMYFUNCTION("""COMPUTED_VALUE"""),0.0)</f>
        <v>0</v>
      </c>
      <c r="F1872" s="273">
        <f>IFERROR(__xludf.DUMMYFUNCTION("""COMPUTED_VALUE"""),4.0)</f>
        <v>4</v>
      </c>
      <c r="G1872" t="str">
        <f>IFERROR(__xludf.DUMMYFUNCTION("""COMPUTED_VALUE"""),"Sabun batang 1 Box ( 2 PCS )")</f>
        <v>Sabun batang 1 Box ( 2 PCS )</v>
      </c>
      <c r="H1872" s="469" t="str">
        <f>IFERROR(__xludf.DUMMYFUNCTION("""COMPUTED_VALUE"""),"Sampai")</f>
        <v>Sampai</v>
      </c>
      <c r="I1872" s="470"/>
      <c r="J1872" s="471" t="str">
        <f>IFERROR(__xludf.DUMMYFUNCTION("""COMPUTED_VALUE"""),"https://vt.tiktok.com/ZS9fXPByN/ ")</f>
        <v>https://vt.tiktok.com/ZS9fXPByN/ </v>
      </c>
      <c r="K1872" s="470"/>
      <c r="L1872" s="471" t="str">
        <f>IFERROR(__xludf.DUMMYFUNCTION("""COMPUTED_VALUE"""),"https://vt.tiktok.com/ZS9fXPD9x/ ")</f>
        <v>https://vt.tiktok.com/ZS9fXPD9x/ </v>
      </c>
      <c r="M1872" s="470"/>
      <c r="N1872" s="471" t="str">
        <f>IFERROR(__xludf.DUMMYFUNCTION("""COMPUTED_VALUE"""),"https://vt.tiktok.com/ZS9fXEaYN/ ")</f>
        <v>https://vt.tiktok.com/ZS9fXEaYN/ </v>
      </c>
      <c r="O1872" s="470"/>
      <c r="P1872" s="471" t="str">
        <f>IFERROR(__xludf.DUMMYFUNCTION("""COMPUTED_VALUE"""),"https://vt.tiktok.com/ZS9fXvH5a/ ")</f>
        <v>https://vt.tiktok.com/ZS9fXvH5a/ </v>
      </c>
    </row>
    <row r="1873">
      <c r="A1873" s="282" t="str">
        <f>IFERROR(__xludf.DUMMYFUNCTION("""COMPUTED_VALUE"""),"MICRO")</f>
        <v>MICRO</v>
      </c>
      <c r="B1873" s="468" t="str">
        <f>IFERROR(__xludf.DUMMYFUNCTION("""COMPUTED_VALUE"""),"theycallme_jeyy")</f>
        <v>theycallme_jeyy</v>
      </c>
      <c r="C1873" s="283" t="str">
        <f>IFERROR(__xludf.DUMMYFUNCTION("""COMPUTED_VALUE"""),"https://www.tiktok.com/@theycallme_jeyy")</f>
        <v>https://www.tiktok.com/@theycallme_jeyy</v>
      </c>
      <c r="D1873" s="273">
        <f>IFERROR(__xludf.DUMMYFUNCTION("""COMPUTED_VALUE"""),8.7790006909E10)</f>
        <v>87790006909</v>
      </c>
      <c r="E1873" s="458">
        <f>IFERROR(__xludf.DUMMYFUNCTION("""COMPUTED_VALUE"""),0.0)</f>
        <v>0</v>
      </c>
      <c r="F1873" s="273">
        <f>IFERROR(__xludf.DUMMYFUNCTION("""COMPUTED_VALUE"""),4.0)</f>
        <v>4</v>
      </c>
      <c r="G1873" t="str">
        <f>IFERROR(__xludf.DUMMYFUNCTION("""COMPUTED_VALUE"""),"Sabun batang 1 Box ( 2 PCS )")</f>
        <v>Sabun batang 1 Box ( 2 PCS )</v>
      </c>
      <c r="H1873" s="469" t="str">
        <f>IFERROR(__xludf.DUMMYFUNCTION("""COMPUTED_VALUE"""),"Sampai")</f>
        <v>Sampai</v>
      </c>
      <c r="I1873" s="470"/>
      <c r="J1873" s="471" t="str">
        <f>IFERROR(__xludf.DUMMYFUNCTION("""COMPUTED_VALUE"""),"https://vt.tiktok.com/ZS9fXPByN/ ")</f>
        <v>https://vt.tiktok.com/ZS9fXPByN/ </v>
      </c>
      <c r="K1873" s="470"/>
      <c r="L1873" s="471" t="str">
        <f>IFERROR(__xludf.DUMMYFUNCTION("""COMPUTED_VALUE"""),"https://vt.tiktok.com/ZS9fXPD9x/ ")</f>
        <v>https://vt.tiktok.com/ZS9fXPD9x/ </v>
      </c>
      <c r="M1873" s="470"/>
      <c r="N1873" s="471" t="str">
        <f>IFERROR(__xludf.DUMMYFUNCTION("""COMPUTED_VALUE"""),"https://vt.tiktok.com/ZS9fXEaYN/ ")</f>
        <v>https://vt.tiktok.com/ZS9fXEaYN/ </v>
      </c>
      <c r="O1873" s="470"/>
      <c r="P1873" s="471" t="str">
        <f>IFERROR(__xludf.DUMMYFUNCTION("""COMPUTED_VALUE"""),"https://vt.tiktok.com/ZS9fXvH5a/ ")</f>
        <v>https://vt.tiktok.com/ZS9fXvH5a/ </v>
      </c>
    </row>
    <row r="1874">
      <c r="A1874" s="282" t="str">
        <f>IFERROR(__xludf.DUMMYFUNCTION("""COMPUTED_VALUE"""),"MICRO")</f>
        <v>MICRO</v>
      </c>
      <c r="B1874" s="468" t="str">
        <f>IFERROR(__xludf.DUMMYFUNCTION("""COMPUTED_VALUE"""),"ibu_kenanzhafir")</f>
        <v>ibu_kenanzhafir</v>
      </c>
      <c r="C1874" s="283" t="str">
        <f>IFERROR(__xludf.DUMMYFUNCTION("""COMPUTED_VALUE"""),"https://www.tiktok.com/@ibu_kenanzhafir")</f>
        <v>https://www.tiktok.com/@ibu_kenanzhafir</v>
      </c>
      <c r="D1874" s="273">
        <f>IFERROR(__xludf.DUMMYFUNCTION("""COMPUTED_VALUE"""),8.8216744004E10)</f>
        <v>88216744004</v>
      </c>
      <c r="E1874" s="458">
        <f>IFERROR(__xludf.DUMMYFUNCTION("""COMPUTED_VALUE"""),0.0)</f>
        <v>0</v>
      </c>
      <c r="F1874" s="273">
        <f>IFERROR(__xludf.DUMMYFUNCTION("""COMPUTED_VALUE"""),2.0)</f>
        <v>2</v>
      </c>
      <c r="G1874" t="str">
        <f>IFERROR(__xludf.DUMMYFUNCTION("""COMPUTED_VALUE"""),"Sabun batang 1 Box ( 2 PCS )")</f>
        <v>Sabun batang 1 Box ( 2 PCS )</v>
      </c>
      <c r="H1874" s="469" t="str">
        <f>IFERROR(__xludf.DUMMYFUNCTION("""COMPUTED_VALUE"""),"Sampai")</f>
        <v>Sampai</v>
      </c>
      <c r="I1874" s="470"/>
      <c r="J1874" s="471" t="str">
        <f>IFERROR(__xludf.DUMMYFUNCTION("""COMPUTED_VALUE"""),"https://vt.tiktok.com/ZS9fXPByN/ ")</f>
        <v>https://vt.tiktok.com/ZS9fXPByN/ </v>
      </c>
      <c r="K1874" s="470"/>
      <c r="L1874" s="471" t="str">
        <f>IFERROR(__xludf.DUMMYFUNCTION("""COMPUTED_VALUE"""),"https://vt.tiktok.com/ZS9fXPD9x/ ")</f>
        <v>https://vt.tiktok.com/ZS9fXPD9x/ </v>
      </c>
      <c r="M1874" s="470"/>
      <c r="N1874" s="471" t="str">
        <f>IFERROR(__xludf.DUMMYFUNCTION("""COMPUTED_VALUE"""),"https://vt.tiktok.com/ZS9fXEaYN/ ")</f>
        <v>https://vt.tiktok.com/ZS9fXEaYN/ </v>
      </c>
      <c r="O1874" s="470"/>
      <c r="P1874" s="471" t="str">
        <f>IFERROR(__xludf.DUMMYFUNCTION("""COMPUTED_VALUE"""),"https://vt.tiktok.com/ZS9fXvH5a/ ")</f>
        <v>https://vt.tiktok.com/ZS9fXvH5a/ </v>
      </c>
    </row>
    <row r="1875">
      <c r="A1875" s="282" t="str">
        <f>IFERROR(__xludf.DUMMYFUNCTION("""COMPUTED_VALUE"""),"MICRO")</f>
        <v>MICRO</v>
      </c>
      <c r="B1875" s="468" t="str">
        <f>IFERROR(__xludf.DUMMYFUNCTION("""COMPUTED_VALUE"""),"novi_lutfiah")</f>
        <v>novi_lutfiah</v>
      </c>
      <c r="C1875" s="283" t="str">
        <f>IFERROR(__xludf.DUMMYFUNCTION("""COMPUTED_VALUE"""),"https://www.tiktok.com/@novi_lutfiah")</f>
        <v>https://www.tiktok.com/@novi_lutfiah</v>
      </c>
      <c r="D1875" s="273">
        <f>IFERROR(__xludf.DUMMYFUNCTION("""COMPUTED_VALUE"""),8.3148346618E10)</f>
        <v>83148346618</v>
      </c>
      <c r="E1875" s="458">
        <f>IFERROR(__xludf.DUMMYFUNCTION("""COMPUTED_VALUE"""),0.0)</f>
        <v>0</v>
      </c>
      <c r="F1875" s="273">
        <f>IFERROR(__xludf.DUMMYFUNCTION("""COMPUTED_VALUE"""),4.0)</f>
        <v>4</v>
      </c>
      <c r="G1875" t="str">
        <f>IFERROR(__xludf.DUMMYFUNCTION("""COMPUTED_VALUE"""),"Sabun batang 1 Box ( 2 PCS )")</f>
        <v>Sabun batang 1 Box ( 2 PCS )</v>
      </c>
      <c r="H1875" s="469" t="str">
        <f>IFERROR(__xludf.DUMMYFUNCTION("""COMPUTED_VALUE"""),"Sampai")</f>
        <v>Sampai</v>
      </c>
      <c r="I1875" s="470"/>
      <c r="J1875" s="471" t="str">
        <f>IFERROR(__xludf.DUMMYFUNCTION("""COMPUTED_VALUE"""),"https://vt.tiktok.com/ZS9fXPByN/ ")</f>
        <v>https://vt.tiktok.com/ZS9fXPByN/ </v>
      </c>
      <c r="K1875" s="470"/>
      <c r="L1875" s="471" t="str">
        <f>IFERROR(__xludf.DUMMYFUNCTION("""COMPUTED_VALUE"""),"https://vt.tiktok.com/ZS9fXPD9x/ ")</f>
        <v>https://vt.tiktok.com/ZS9fXPD9x/ </v>
      </c>
      <c r="M1875" s="470"/>
      <c r="N1875" s="471" t="str">
        <f>IFERROR(__xludf.DUMMYFUNCTION("""COMPUTED_VALUE"""),"https://vt.tiktok.com/ZS9fXEaYN/ ")</f>
        <v>https://vt.tiktok.com/ZS9fXEaYN/ </v>
      </c>
      <c r="O1875" s="470"/>
      <c r="P1875" s="471" t="str">
        <f>IFERROR(__xludf.DUMMYFUNCTION("""COMPUTED_VALUE"""),"https://vt.tiktok.com/ZS9fXvH5a/ ")</f>
        <v>https://vt.tiktok.com/ZS9fXvH5a/ </v>
      </c>
    </row>
    <row r="1876">
      <c r="A1876" s="282" t="str">
        <f>IFERROR(__xludf.DUMMYFUNCTION("""COMPUTED_VALUE"""),"MICRO")</f>
        <v>MICRO</v>
      </c>
      <c r="B1876" s="468" t="str">
        <f>IFERROR(__xludf.DUMMYFUNCTION("""COMPUTED_VALUE"""),"dnberliani")</f>
        <v>dnberliani</v>
      </c>
      <c r="C1876" s="283" t="str">
        <f>IFERROR(__xludf.DUMMYFUNCTION("""COMPUTED_VALUE"""),"https://www.tiktok.com/@dnberliani")</f>
        <v>https://www.tiktok.com/@dnberliani</v>
      </c>
      <c r="D1876" s="273">
        <f>IFERROR(__xludf.DUMMYFUNCTION("""COMPUTED_VALUE"""),8.5860680157E10)</f>
        <v>85860680157</v>
      </c>
      <c r="E1876" s="458">
        <f>IFERROR(__xludf.DUMMYFUNCTION("""COMPUTED_VALUE"""),50000.0)</f>
        <v>50000</v>
      </c>
      <c r="F1876" s="273">
        <f>IFERROR(__xludf.DUMMYFUNCTION("""COMPUTED_VALUE"""),1.0)</f>
        <v>1</v>
      </c>
      <c r="G1876" t="str">
        <f>IFERROR(__xludf.DUMMYFUNCTION("""COMPUTED_VALUE"""),"Sabun batang 1 Box ( 2 PCS )")</f>
        <v>Sabun batang 1 Box ( 2 PCS )</v>
      </c>
      <c r="H1876" s="469" t="str">
        <f>IFERROR(__xludf.DUMMYFUNCTION("""COMPUTED_VALUE"""),"Sampai")</f>
        <v>Sampai</v>
      </c>
      <c r="I1876" s="470"/>
      <c r="J1876" s="471" t="str">
        <f>IFERROR(__xludf.DUMMYFUNCTION("""COMPUTED_VALUE"""),"https://vt.tiktok.com/ZS9fXPByN/ ")</f>
        <v>https://vt.tiktok.com/ZS9fXPByN/ </v>
      </c>
      <c r="K1876" s="470"/>
      <c r="L1876" s="471" t="str">
        <f>IFERROR(__xludf.DUMMYFUNCTION("""COMPUTED_VALUE"""),"https://vt.tiktok.com/ZS9fXPD9x/ ")</f>
        <v>https://vt.tiktok.com/ZS9fXPD9x/ </v>
      </c>
      <c r="M1876" s="470"/>
      <c r="N1876" s="471" t="str">
        <f>IFERROR(__xludf.DUMMYFUNCTION("""COMPUTED_VALUE"""),"https://vt.tiktok.com/ZS9fXEaYN/ ")</f>
        <v>https://vt.tiktok.com/ZS9fXEaYN/ </v>
      </c>
      <c r="O1876" s="470"/>
      <c r="P1876" s="471" t="str">
        <f>IFERROR(__xludf.DUMMYFUNCTION("""COMPUTED_VALUE"""),"https://vt.tiktok.com/ZS9fXvH5a/ ")</f>
        <v>https://vt.tiktok.com/ZS9fXvH5a/ </v>
      </c>
    </row>
    <row r="1877">
      <c r="A1877" s="282" t="str">
        <f>IFERROR(__xludf.DUMMYFUNCTION("""COMPUTED_VALUE"""),"MICRO")</f>
        <v>MICRO</v>
      </c>
      <c r="B1877" s="468" t="str">
        <f>IFERROR(__xludf.DUMMYFUNCTION("""COMPUTED_VALUE"""),"danya9648")</f>
        <v>danya9648</v>
      </c>
      <c r="C1877" s="283" t="str">
        <f>IFERROR(__xludf.DUMMYFUNCTION("""COMPUTED_VALUE"""),"https://www.tiktok.com/@danya9648")</f>
        <v>https://www.tiktok.com/@danya9648</v>
      </c>
      <c r="D1877" s="273">
        <f>IFERROR(__xludf.DUMMYFUNCTION("""COMPUTED_VALUE"""),8.2225975859E10)</f>
        <v>82225975859</v>
      </c>
      <c r="E1877" s="458">
        <f>IFERROR(__xludf.DUMMYFUNCTION("""COMPUTED_VALUE"""),0.0)</f>
        <v>0</v>
      </c>
      <c r="F1877" s="273">
        <f>IFERROR(__xludf.DUMMYFUNCTION("""COMPUTED_VALUE"""),4.0)</f>
        <v>4</v>
      </c>
      <c r="G1877" t="str">
        <f>IFERROR(__xludf.DUMMYFUNCTION("""COMPUTED_VALUE"""),"Sabun batang 1 Box ( 2 PCS )")</f>
        <v>Sabun batang 1 Box ( 2 PCS )</v>
      </c>
      <c r="H1877" s="469" t="str">
        <f>IFERROR(__xludf.DUMMYFUNCTION("""COMPUTED_VALUE"""),"Sampai")</f>
        <v>Sampai</v>
      </c>
      <c r="I1877" s="470"/>
      <c r="J1877" s="471" t="str">
        <f>IFERROR(__xludf.DUMMYFUNCTION("""COMPUTED_VALUE"""),"https://vt.tiktok.com/ZS9fXPByN/ ")</f>
        <v>https://vt.tiktok.com/ZS9fXPByN/ </v>
      </c>
      <c r="K1877" s="470"/>
      <c r="L1877" s="471" t="str">
        <f>IFERROR(__xludf.DUMMYFUNCTION("""COMPUTED_VALUE"""),"https://vt.tiktok.com/ZS9fXPD9x/ ")</f>
        <v>https://vt.tiktok.com/ZS9fXPD9x/ </v>
      </c>
      <c r="M1877" s="470"/>
      <c r="N1877" s="471" t="str">
        <f>IFERROR(__xludf.DUMMYFUNCTION("""COMPUTED_VALUE"""),"https://vt.tiktok.com/ZS9fXEaYN/ ")</f>
        <v>https://vt.tiktok.com/ZS9fXEaYN/ </v>
      </c>
      <c r="O1877" s="470"/>
      <c r="P1877" s="471" t="str">
        <f>IFERROR(__xludf.DUMMYFUNCTION("""COMPUTED_VALUE"""),"https://vt.tiktok.com/ZS9fXvH5a/ ")</f>
        <v>https://vt.tiktok.com/ZS9fXvH5a/ </v>
      </c>
    </row>
    <row r="1878">
      <c r="A1878" s="282" t="str">
        <f>IFERROR(__xludf.DUMMYFUNCTION("""COMPUTED_VALUE"""),"MICRO")</f>
        <v>MICRO</v>
      </c>
      <c r="B1878" s="468" t="str">
        <f>IFERROR(__xludf.DUMMYFUNCTION("""COMPUTED_VALUE"""),"niklabela09")</f>
        <v>niklabela09</v>
      </c>
      <c r="C1878" s="283" t="str">
        <f>IFERROR(__xludf.DUMMYFUNCTION("""COMPUTED_VALUE"""),"https://www.tiktok.com/@niklabela09")</f>
        <v>https://www.tiktok.com/@niklabela09</v>
      </c>
      <c r="D1878" s="273">
        <f>IFERROR(__xludf.DUMMYFUNCTION("""COMPUTED_VALUE"""),8.578396709E10)</f>
        <v>85783967090</v>
      </c>
      <c r="E1878" s="458">
        <f>IFERROR(__xludf.DUMMYFUNCTION("""COMPUTED_VALUE"""),0.0)</f>
        <v>0</v>
      </c>
      <c r="F1878" s="273">
        <f>IFERROR(__xludf.DUMMYFUNCTION("""COMPUTED_VALUE"""),4.0)</f>
        <v>4</v>
      </c>
      <c r="G1878" t="str">
        <f>IFERROR(__xludf.DUMMYFUNCTION("""COMPUTED_VALUE"""),"Sabun batang 1 Box ( 2 PCS )")</f>
        <v>Sabun batang 1 Box ( 2 PCS )</v>
      </c>
      <c r="H1878" s="469" t="str">
        <f>IFERROR(__xludf.DUMMYFUNCTION("""COMPUTED_VALUE"""),"Sampai")</f>
        <v>Sampai</v>
      </c>
      <c r="I1878" s="470"/>
      <c r="J1878" s="471" t="str">
        <f>IFERROR(__xludf.DUMMYFUNCTION("""COMPUTED_VALUE"""),"https://vt.tiktok.com/ZS9fXPByN/ ")</f>
        <v>https://vt.tiktok.com/ZS9fXPByN/ </v>
      </c>
      <c r="K1878" s="470"/>
      <c r="L1878" s="471" t="str">
        <f>IFERROR(__xludf.DUMMYFUNCTION("""COMPUTED_VALUE"""),"https://vt.tiktok.com/ZS9fXPD9x/ ")</f>
        <v>https://vt.tiktok.com/ZS9fXPD9x/ </v>
      </c>
      <c r="M1878" s="470"/>
      <c r="N1878" s="471" t="str">
        <f>IFERROR(__xludf.DUMMYFUNCTION("""COMPUTED_VALUE"""),"https://vt.tiktok.com/ZS9fXEaYN/ ")</f>
        <v>https://vt.tiktok.com/ZS9fXEaYN/ </v>
      </c>
      <c r="O1878" s="470"/>
      <c r="P1878" s="471" t="str">
        <f>IFERROR(__xludf.DUMMYFUNCTION("""COMPUTED_VALUE"""),"https://vt.tiktok.com/ZS9fXvH5a/ ")</f>
        <v>https://vt.tiktok.com/ZS9fXvH5a/ </v>
      </c>
    </row>
    <row r="1879">
      <c r="A1879" s="282" t="str">
        <f>IFERROR(__xludf.DUMMYFUNCTION("""COMPUTED_VALUE"""),"MICRO")</f>
        <v>MICRO</v>
      </c>
      <c r="B1879" s="468" t="str">
        <f>IFERROR(__xludf.DUMMYFUNCTION("""COMPUTED_VALUE"""),"putciew")</f>
        <v>putciew</v>
      </c>
      <c r="C1879" s="283" t="str">
        <f>IFERROR(__xludf.DUMMYFUNCTION("""COMPUTED_VALUE"""),"https://www.tiktok.com/@putciew")</f>
        <v>https://www.tiktok.com/@putciew</v>
      </c>
      <c r="D1879" s="273">
        <f>IFERROR(__xludf.DUMMYFUNCTION("""COMPUTED_VALUE"""),8.5742000917E10)</f>
        <v>85742000917</v>
      </c>
      <c r="E1879" s="458">
        <f>IFERROR(__xludf.DUMMYFUNCTION("""COMPUTED_VALUE"""),0.0)</f>
        <v>0</v>
      </c>
      <c r="F1879" s="273">
        <f>IFERROR(__xludf.DUMMYFUNCTION("""COMPUTED_VALUE"""),2.0)</f>
        <v>2</v>
      </c>
      <c r="G1879" t="str">
        <f>IFERROR(__xludf.DUMMYFUNCTION("""COMPUTED_VALUE"""),"Sabun batang 1 Box ( 2 PCS )")</f>
        <v>Sabun batang 1 Box ( 2 PCS )</v>
      </c>
      <c r="H1879" s="469" t="str">
        <f>IFERROR(__xludf.DUMMYFUNCTION("""COMPUTED_VALUE"""),"Sampai")</f>
        <v>Sampai</v>
      </c>
      <c r="I1879" s="470"/>
      <c r="J1879" s="471" t="str">
        <f>IFERROR(__xludf.DUMMYFUNCTION("""COMPUTED_VALUE"""),"https://vt.tiktok.com/ZS9fXPByN/ ")</f>
        <v>https://vt.tiktok.com/ZS9fXPByN/ </v>
      </c>
      <c r="K1879" s="470"/>
      <c r="L1879" s="471" t="str">
        <f>IFERROR(__xludf.DUMMYFUNCTION("""COMPUTED_VALUE"""),"https://vt.tiktok.com/ZS9fXPD9x/ ")</f>
        <v>https://vt.tiktok.com/ZS9fXPD9x/ </v>
      </c>
      <c r="M1879" s="470"/>
      <c r="N1879" s="471" t="str">
        <f>IFERROR(__xludf.DUMMYFUNCTION("""COMPUTED_VALUE"""),"https://vt.tiktok.com/ZS9fXEaYN/ ")</f>
        <v>https://vt.tiktok.com/ZS9fXEaYN/ </v>
      </c>
      <c r="O1879" s="470"/>
      <c r="P1879" s="471" t="str">
        <f>IFERROR(__xludf.DUMMYFUNCTION("""COMPUTED_VALUE"""),"https://vt.tiktok.com/ZS9fXvH5a/ ")</f>
        <v>https://vt.tiktok.com/ZS9fXvH5a/ </v>
      </c>
    </row>
    <row r="1880">
      <c r="A1880" s="282" t="str">
        <f>IFERROR(__xludf.DUMMYFUNCTION("""COMPUTED_VALUE"""),"MICRO")</f>
        <v>MICRO</v>
      </c>
      <c r="B1880" s="468" t="str">
        <f>IFERROR(__xludf.DUMMYFUNCTION("""COMPUTED_VALUE"""),"skincaredaily96")</f>
        <v>skincaredaily96</v>
      </c>
      <c r="C1880" s="283" t="str">
        <f>IFERROR(__xludf.DUMMYFUNCTION("""COMPUTED_VALUE"""),"https://www.tiktok.com/@skincaredaily96")</f>
        <v>https://www.tiktok.com/@skincaredaily96</v>
      </c>
      <c r="D1880" s="273">
        <f>IFERROR(__xludf.DUMMYFUNCTION("""COMPUTED_VALUE"""),8.5773624738E10)</f>
        <v>85773624738</v>
      </c>
      <c r="E1880" s="458">
        <f>IFERROR(__xludf.DUMMYFUNCTION("""COMPUTED_VALUE"""),0.0)</f>
        <v>0</v>
      </c>
      <c r="F1880" s="273">
        <f>IFERROR(__xludf.DUMMYFUNCTION("""COMPUTED_VALUE"""),4.0)</f>
        <v>4</v>
      </c>
      <c r="G1880" t="str">
        <f>IFERROR(__xludf.DUMMYFUNCTION("""COMPUTED_VALUE"""),"Sabun batang 1 Box ( 2 PCS )")</f>
        <v>Sabun batang 1 Box ( 2 PCS )</v>
      </c>
      <c r="H1880" s="469" t="str">
        <f>IFERROR(__xludf.DUMMYFUNCTION("""COMPUTED_VALUE"""),"Sampai")</f>
        <v>Sampai</v>
      </c>
      <c r="I1880" s="470"/>
      <c r="J1880" s="471" t="str">
        <f>IFERROR(__xludf.DUMMYFUNCTION("""COMPUTED_VALUE"""),"https://vt.tiktok.com/ZS9fXPByN/ ")</f>
        <v>https://vt.tiktok.com/ZS9fXPByN/ </v>
      </c>
      <c r="K1880" s="470"/>
      <c r="L1880" s="471" t="str">
        <f>IFERROR(__xludf.DUMMYFUNCTION("""COMPUTED_VALUE"""),"https://vt.tiktok.com/ZS9fXPD9x/ ")</f>
        <v>https://vt.tiktok.com/ZS9fXPD9x/ </v>
      </c>
      <c r="M1880" s="470"/>
      <c r="N1880" s="471" t="str">
        <f>IFERROR(__xludf.DUMMYFUNCTION("""COMPUTED_VALUE"""),"https://vt.tiktok.com/ZS9fXEaYN/ ")</f>
        <v>https://vt.tiktok.com/ZS9fXEaYN/ </v>
      </c>
      <c r="O1880" s="470"/>
      <c r="P1880" s="471" t="str">
        <f>IFERROR(__xludf.DUMMYFUNCTION("""COMPUTED_VALUE"""),"https://vt.tiktok.com/ZS9fXvH5a/ ")</f>
        <v>https://vt.tiktok.com/ZS9fXvH5a/ </v>
      </c>
    </row>
    <row r="1881">
      <c r="A1881" s="282" t="str">
        <f>IFERROR(__xludf.DUMMYFUNCTION("""COMPUTED_VALUE"""),"MICRO")</f>
        <v>MICRO</v>
      </c>
      <c r="B1881" s="468" t="str">
        <f>IFERROR(__xludf.DUMMYFUNCTION("""COMPUTED_VALUE"""),"hanyabadutmmu")</f>
        <v>hanyabadutmmu</v>
      </c>
      <c r="C1881" s="283" t="str">
        <f>IFERROR(__xludf.DUMMYFUNCTION("""COMPUTED_VALUE"""),"https://www.tiktok.com/@hanyabadutmmu")</f>
        <v>https://www.tiktok.com/@hanyabadutmmu</v>
      </c>
      <c r="D1881" s="273">
        <f>IFERROR(__xludf.DUMMYFUNCTION("""COMPUTED_VALUE"""),8.778581423E10)</f>
        <v>87785814230</v>
      </c>
      <c r="E1881" s="458">
        <f>IFERROR(__xludf.DUMMYFUNCTION("""COMPUTED_VALUE"""),0.0)</f>
        <v>0</v>
      </c>
      <c r="F1881" s="273">
        <f>IFERROR(__xludf.DUMMYFUNCTION("""COMPUTED_VALUE"""),4.0)</f>
        <v>4</v>
      </c>
      <c r="G1881" t="str">
        <f>IFERROR(__xludf.DUMMYFUNCTION("""COMPUTED_VALUE"""),"Sabun batang 1 Box ( 2 PCS )")</f>
        <v>Sabun batang 1 Box ( 2 PCS )</v>
      </c>
      <c r="H1881" s="469" t="str">
        <f>IFERROR(__xludf.DUMMYFUNCTION("""COMPUTED_VALUE"""),"Sampai")</f>
        <v>Sampai</v>
      </c>
      <c r="I1881" s="470"/>
      <c r="J1881" s="471" t="str">
        <f>IFERROR(__xludf.DUMMYFUNCTION("""COMPUTED_VALUE"""),"https://vt.tiktok.com/ZS9fXPByN/ ")</f>
        <v>https://vt.tiktok.com/ZS9fXPByN/ </v>
      </c>
      <c r="K1881" s="470"/>
      <c r="L1881" s="471" t="str">
        <f>IFERROR(__xludf.DUMMYFUNCTION("""COMPUTED_VALUE"""),"https://vt.tiktok.com/ZS9fXPD9x/ ")</f>
        <v>https://vt.tiktok.com/ZS9fXPD9x/ </v>
      </c>
      <c r="M1881" s="470"/>
      <c r="N1881" s="471" t="str">
        <f>IFERROR(__xludf.DUMMYFUNCTION("""COMPUTED_VALUE"""),"https://vt.tiktok.com/ZS9fXEaYN/ ")</f>
        <v>https://vt.tiktok.com/ZS9fXEaYN/ </v>
      </c>
      <c r="O1881" s="470"/>
      <c r="P1881" s="471" t="str">
        <f>IFERROR(__xludf.DUMMYFUNCTION("""COMPUTED_VALUE"""),"https://vt.tiktok.com/ZS9fXvH5a/ ")</f>
        <v>https://vt.tiktok.com/ZS9fXvH5a/ </v>
      </c>
    </row>
    <row r="1882">
      <c r="A1882" s="282" t="str">
        <f>IFERROR(__xludf.DUMMYFUNCTION("""COMPUTED_VALUE"""),"MICRO")</f>
        <v>MICRO</v>
      </c>
      <c r="B1882" s="468" t="str">
        <f>IFERROR(__xludf.DUMMYFUNCTION("""COMPUTED_VALUE"""),"dmyntilstri6")</f>
        <v>dmyntilstri6</v>
      </c>
      <c r="C1882" s="283" t="str">
        <f>IFERROR(__xludf.DUMMYFUNCTION("""COMPUTED_VALUE"""),"https://www.tiktok.com/@dmyntilstri6")</f>
        <v>https://www.tiktok.com/@dmyntilstri6</v>
      </c>
      <c r="D1882" s="273">
        <f>IFERROR(__xludf.DUMMYFUNCTION("""COMPUTED_VALUE"""),8.3127325309E10)</f>
        <v>83127325309</v>
      </c>
      <c r="E1882" s="458">
        <f>IFERROR(__xludf.DUMMYFUNCTION("""COMPUTED_VALUE"""),0.0)</f>
        <v>0</v>
      </c>
      <c r="F1882" s="273">
        <f>IFERROR(__xludf.DUMMYFUNCTION("""COMPUTED_VALUE"""),4.0)</f>
        <v>4</v>
      </c>
      <c r="G1882" t="str">
        <f>IFERROR(__xludf.DUMMYFUNCTION("""COMPUTED_VALUE"""),"Sabun batang 1 Box ( 2 PCS )")</f>
        <v>Sabun batang 1 Box ( 2 PCS )</v>
      </c>
      <c r="H1882" s="469" t="str">
        <f>IFERROR(__xludf.DUMMYFUNCTION("""COMPUTED_VALUE"""),"Sampai")</f>
        <v>Sampai</v>
      </c>
      <c r="I1882" s="470"/>
      <c r="J1882" s="471" t="str">
        <f>IFERROR(__xludf.DUMMYFUNCTION("""COMPUTED_VALUE"""),"https://vt.tiktok.com/ZS9fXPByN/ ")</f>
        <v>https://vt.tiktok.com/ZS9fXPByN/ </v>
      </c>
      <c r="K1882" s="470"/>
      <c r="L1882" s="471" t="str">
        <f>IFERROR(__xludf.DUMMYFUNCTION("""COMPUTED_VALUE"""),"https://vt.tiktok.com/ZS9fXPD9x/ ")</f>
        <v>https://vt.tiktok.com/ZS9fXPD9x/ </v>
      </c>
      <c r="M1882" s="470"/>
      <c r="N1882" s="471" t="str">
        <f>IFERROR(__xludf.DUMMYFUNCTION("""COMPUTED_VALUE"""),"https://vt.tiktok.com/ZS9fXEaYN/ ")</f>
        <v>https://vt.tiktok.com/ZS9fXEaYN/ </v>
      </c>
      <c r="O1882" s="470"/>
      <c r="P1882" s="471" t="str">
        <f>IFERROR(__xludf.DUMMYFUNCTION("""COMPUTED_VALUE"""),"https://vt.tiktok.com/ZS9fXvH5a/ ")</f>
        <v>https://vt.tiktok.com/ZS9fXvH5a/ </v>
      </c>
    </row>
    <row r="1883">
      <c r="A1883" s="282" t="str">
        <f>IFERROR(__xludf.DUMMYFUNCTION("""COMPUTED_VALUE"""),"MICRO")</f>
        <v>MICRO</v>
      </c>
      <c r="B1883" s="468" t="str">
        <f>IFERROR(__xludf.DUMMYFUNCTION("""COMPUTED_VALUE"""),"rra_xyzz")</f>
        <v>rra_xyzz</v>
      </c>
      <c r="C1883" s="283" t="str">
        <f>IFERROR(__xludf.DUMMYFUNCTION("""COMPUTED_VALUE"""),"https://www.tiktok.com/@rra_xyzz")</f>
        <v>https://www.tiktok.com/@rra_xyzz</v>
      </c>
      <c r="D1883" s="273">
        <f>IFERROR(__xludf.DUMMYFUNCTION("""COMPUTED_VALUE"""),8.3195637009E10)</f>
        <v>83195637009</v>
      </c>
      <c r="E1883" s="458">
        <f>IFERROR(__xludf.DUMMYFUNCTION("""COMPUTED_VALUE"""),250000.0)</f>
        <v>250000</v>
      </c>
      <c r="F1883" s="273">
        <f>IFERROR(__xludf.DUMMYFUNCTION("""COMPUTED_VALUE"""),2.0)</f>
        <v>2</v>
      </c>
      <c r="G1883" t="str">
        <f>IFERROR(__xludf.DUMMYFUNCTION("""COMPUTED_VALUE"""),"Sabun batang 1 Box ( 2 PCS )")</f>
        <v>Sabun batang 1 Box ( 2 PCS )</v>
      </c>
      <c r="H1883" s="469" t="str">
        <f>IFERROR(__xludf.DUMMYFUNCTION("""COMPUTED_VALUE"""),"Sampai")</f>
        <v>Sampai</v>
      </c>
      <c r="I1883" s="470"/>
      <c r="J1883" s="471" t="str">
        <f>IFERROR(__xludf.DUMMYFUNCTION("""COMPUTED_VALUE"""),"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"&amp;"aceholder_origin_cover%22%3A%22https%253A%252F%252Fp16-common-sign.tiktokcdn.com%252Ftos-alisg-p-0037%252FocT3fUyagtsUCPXIgtfvGDAQDjLK9oeTHAQG2I~tplv-tiktokx-origin.jpeg%253Fdr%253D14572%2526refresh_token%253D13d7c298%2526x-expires%253D1808992800%2526x-si"&amp;"gnature%253Dm1yuhUo4JC1EwMfosEQhUBd56yw%25253D%2526t%253D4d5b0474%2526ps%253D13740610%2526shp%253Dd05b14bd%2526shcp%253D34ff8df6%2526idc%253Dmy2%2526s%253DTIKTOK_AFFILIATE_VIRAL_VIDEO%22%2C%22placeholder_product_id%22%3A%221729427766722726591%22%2C%22plac"&amp;"eholder_video_id%22%3A%227633434949797858581%22%7D&amp;ec_shared_reflux_scene=shop_tab_feed&amp;share_item_id=7633434949797858581&amp;source=h5_t")</f>
        <v>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aceholder_origin_cover%22%3A%22https%253A%252F%252Fp16-common-sign.tiktokcdn.com%252Ftos-alisg-p-0037%252FocT3fUyagtsUCPXIgtfvGDAQDjLK9oeTHAQG2I~tplv-tiktokx-origin.jpeg%253Fdr%253D14572%2526refresh_token%253D13d7c298%2526x-expires%253D1808992800%2526x-signature%253Dm1yuhUo4JC1EwMfosEQhUBd56yw%25253D%2526t%253D4d5b0474%2526ps%253D13740610%2526shp%253Dd05b14bd%2526shcp%253D34ff8df6%2526idc%253Dmy2%2526s%253DTIKTOK_AFFILIATE_VIRAL_VIDEO%22%2C%22placeholder_product_id%22%3A%221729427766722726591%22%2C%22placeholder_video_id%22%3A%227633434949797858581%22%7D&amp;ec_shared_reflux_scene=shop_tab_feed&amp;share_item_id=7633434949797858581&amp;source=h5_t</v>
      </c>
      <c r="K1883" s="470"/>
      <c r="L1883" s="471" t="str">
        <f>IFERROR(__xludf.DUMMYFUNCTION("""COMPUTED_VALUE"""),"https://vt.tiktok.com/ZSxfQGEgj/")</f>
        <v>https://vt.tiktok.com/ZSxfQGEgj/</v>
      </c>
      <c r="M1883" s="470"/>
      <c r="N1883" s="471" t="str">
        <f>IFERROR(__xludf.DUMMYFUNCTION("""COMPUTED_VALUE"""),"https://vt.tiktok.com/ZSxDYhccb/")</f>
        <v>https://vt.tiktok.com/ZSxDYhccb/</v>
      </c>
      <c r="O1883" s="470"/>
      <c r="P1883" s="471" t="str">
        <f>IFERROR(__xludf.DUMMYFUNCTION("""COMPUTED_VALUE"""),"https://vt.tiktok.com/ZSxDYQyTW/")</f>
        <v>https://vt.tiktok.com/ZSxDYQyTW/</v>
      </c>
    </row>
    <row r="1884">
      <c r="A1884" s="282" t="str">
        <f>IFERROR(__xludf.DUMMYFUNCTION("""COMPUTED_VALUE"""),"MICRO")</f>
        <v>MICRO</v>
      </c>
      <c r="B1884" s="468" t="str">
        <f>IFERROR(__xludf.DUMMYFUNCTION("""COMPUTED_VALUE"""),"fashion_outfit2")</f>
        <v>fashion_outfit2</v>
      </c>
      <c r="C1884" s="283" t="str">
        <f>IFERROR(__xludf.DUMMYFUNCTION("""COMPUTED_VALUE"""),"https://www.tiktok.com/@fashion_outfit2")</f>
        <v>https://www.tiktok.com/@fashion_outfit2</v>
      </c>
      <c r="D1884" s="273">
        <f>IFERROR(__xludf.DUMMYFUNCTION("""COMPUTED_VALUE"""),8.1255194772E10)</f>
        <v>81255194772</v>
      </c>
      <c r="E1884" s="458">
        <f>IFERROR(__xludf.DUMMYFUNCTION("""COMPUTED_VALUE"""),0.0)</f>
        <v>0</v>
      </c>
      <c r="F1884" s="273">
        <f>IFERROR(__xludf.DUMMYFUNCTION("""COMPUTED_VALUE"""),4.0)</f>
        <v>4</v>
      </c>
      <c r="G1884" t="str">
        <f>IFERROR(__xludf.DUMMYFUNCTION("""COMPUTED_VALUE"""),"Sabun batang 1 Box ( 2 PCS )")</f>
        <v>Sabun batang 1 Box ( 2 PCS )</v>
      </c>
      <c r="H1884" s="469" t="str">
        <f>IFERROR(__xludf.DUMMYFUNCTION("""COMPUTED_VALUE"""),"Sampai")</f>
        <v>Sampai</v>
      </c>
      <c r="I1884" s="470"/>
      <c r="J1884" s="471" t="str">
        <f>IFERROR(__xludf.DUMMYFUNCTION("""COMPUTED_VALUE"""),"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"&amp;"22placeholder_origin_cover%22%3A%22https%253A%252F%252Fp16-common-sign.tiktokcdn.com%252Ftos-alisg-p-0037%252Fo8fO8AM1hZeDgXj1TZgNKQoIABetCT1Aj7WrQE~tplv-tiktokx-origin.jpeg%253Fdr%253D14572%2526refresh_token%253Db34d4f83%2526x-expires%253D1808992800%2526"&amp;"x-signature%253D5d%25252BwOsNi1vQGg3hT4qvK4L51k%25252FQ%25253D%2526t%253D4d5b0474%2526ps%253D13740610%2526shp%253Dd05b14bd%2526shcp%253D34ff8df6%2526idc%253Dmy2%2526s%253DTIKTOK_AFFILIATE_VIRAL_VIDEO%22%2C%22placeholder_product_id%22%3A%221729427766722726"&amp;"591%22%2C%22placeholder_video_id%22%3A%227632292373736803591%22%7D&amp;ec_shared_reflux_scene=shop_tab_feed&amp;share_item_id=7632292373736803591&amp;source=h5_t")</f>
        <v>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22placeholder_origin_cover%22%3A%22https%253A%252F%252Fp16-common-sign.tiktokcdn.com%252Ftos-alisg-p-0037%252Fo8fO8AM1hZeDgXj1TZgNKQoIABetCT1Aj7WrQE~tplv-tiktokx-origin.jpeg%253Fdr%253D14572%2526refresh_token%253Db34d4f83%2526x-expires%253D1808992800%2526x-signature%253D5d%25252BwOsNi1vQGg3hT4qvK4L51k%25252FQ%25253D%2526t%253D4d5b0474%2526ps%253D13740610%2526shp%253Dd05b14bd%2526shcp%253D34ff8df6%2526idc%253Dmy2%2526s%253DTIKTOK_AFFILIATE_VIRAL_VIDEO%22%2C%22placeholder_product_id%22%3A%221729427766722726591%22%2C%22placeholder_video_id%22%3A%227632292373736803591%22%7D&amp;ec_shared_reflux_scene=shop_tab_feed&amp;share_item_id=7632292373736803591&amp;source=h5_t</v>
      </c>
      <c r="K1884" s="470"/>
      <c r="L1884" s="471" t="str">
        <f>IFERROR(__xludf.DUMMYFUNCTION("""COMPUTED_VALUE"""),"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"&amp;"22placeholder_origin_cover%22%3A%22https%253A%252F%252Fp16-common-sign.tiktokcdn.com%252Ftos-alisg-p-0037%252FogtrPig6fAI1VtrDCBRpT4Bw9iBciEOXRfDIQy~tplv-tiktokx-origin.jpeg%253Fdr%253D14572%2526refresh_token%253Da7dfb7b6%2526x-expires%253D1808992800%2526"&amp;"x-signature%253DBLfnFU%25252FucpfNa%25252FqJkuXBbFXM3IE%25253D%2526t%253D4d5b0474%2526ps%253D13740610%2526shp%253Dd05b14bd%2526shcp%253D34ff8df6%2526idc%253Dmy2%2526s%253DTIKTOK_AFFILIATE_VIRAL_VIDEO%22%2C%22placeholder_product_id%22%3A%221729427766722726"&amp;"591%22%2C%22placeholder_video_id%22%3A%227632466134771453202%22%7D&amp;ec_shared_reflux_scene=shop_tab_feed&amp;share_item_id=7632466134771453202&amp;source=h5_t")</f>
        <v>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22placeholder_origin_cover%22%3A%22https%253A%252F%252Fp16-common-sign.tiktokcdn.com%252Ftos-alisg-p-0037%252FogtrPig6fAI1VtrDCBRpT4Bw9iBciEOXRfDIQy~tplv-tiktokx-origin.jpeg%253Fdr%253D14572%2526refresh_token%253Da7dfb7b6%2526x-expires%253D1808992800%2526x-signature%253DBLfnFU%25252FucpfNa%25252FqJkuXBbFXM3IE%25253D%2526t%253D4d5b0474%2526ps%253D13740610%2526shp%253Dd05b14bd%2526shcp%253D34ff8df6%2526idc%253Dmy2%2526s%253DTIKTOK_AFFILIATE_VIRAL_VIDEO%22%2C%22placeholder_product_id%22%3A%221729427766722726591%22%2C%22placeholder_video_id%22%3A%227632466134771453202%22%7D&amp;ec_shared_reflux_scene=shop_tab_feed&amp;share_item_id=7632466134771453202&amp;source=h5_t</v>
      </c>
      <c r="M1884" s="470"/>
      <c r="N1884" s="471" t="str">
        <f>IFERROR(__xludf.DUMMYFUNCTION("""COMPUTED_VALUE"""),"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"&amp;"22placeholder_origin_cover%22%3A%22https%253A%252F%252Fp16-common-sign.tiktokcdn.com%252Ftos-alisg-p-0037%252Fow724I9IGp8GJCSiAIeZAtCBfL0WETDI55ejBs~tplv-tiktokx-origin.jpeg%253Fdr%253D14572%2526refresh_token%253D974a53c8%2526x-expires%253D1808992800%2526"&amp;"x-signature%253DbBhbMoNFUGaDXGV%25252F1hVcSOsTVPM%25253D%2526t%253D4d5b0474%2526ps%253D13740610%2526shp%253Dd05b14bd%2526shcp%253D34ff8df6%2526idc%253Dmy2%2526s%253DTIKTOK_AFFILIATE_VIRAL_VIDEO%22%2C%22placeholder_product_id%22%3A%221729427766722726591%22"&amp;"%2C%22placeholder_video_id%22%3A%227632556344465231122%22%7D&amp;ec_shared_reflux_scene=shop_tab_feed&amp;share_item_id=7632556344465231122&amp;source=h5_t")</f>
        <v>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22placeholder_origin_cover%22%3A%22https%253A%252F%252Fp16-common-sign.tiktokcdn.com%252Ftos-alisg-p-0037%252Fow724I9IGp8GJCSiAIeZAtCBfL0WETDI55ejBs~tplv-tiktokx-origin.jpeg%253Fdr%253D14572%2526refresh_token%253D974a53c8%2526x-expires%253D1808992800%2526x-signature%253DbBhbMoNFUGaDXGV%25252F1hVcSOsTVPM%25253D%2526t%253D4d5b0474%2526ps%253D13740610%2526shp%253Dd05b14bd%2526shcp%253D34ff8df6%2526idc%253Dmy2%2526s%253DTIKTOK_AFFILIATE_VIRAL_VIDEO%22%2C%22placeholder_product_id%22%3A%221729427766722726591%22%2C%22placeholder_video_id%22%3A%227632556344465231122%22%7D&amp;ec_shared_reflux_scene=shop_tab_feed&amp;share_item_id=7632556344465231122&amp;source=h5_t</v>
      </c>
      <c r="O1884" s="470"/>
      <c r="P1884" s="471" t="str">
        <f>IFERROR(__xludf.DUMMYFUNCTION("""COMPUTED_VALUE"""),"https://www.tiktok.com/@rositaramdani7/video/7632840621039914248?_d=0&amp;_r=1&amp;ec_shared_reflux_dynamic_params=%7B%22placeholder_material_id%22%3A%227632840621039914248%22%2C%22placeholder_origin_cover%22%3A%22https%253A%252F%252Fp16-common-sign.tiktokcdn.com"&amp;"%252Ftos-alisg-p-0037%252Fo4Tq0AI4XCBVwjAWIYrCAIztJuiCI9hiVLCQfh~tplv-tiktokx-origin.jpeg%253Fdr%253D14572%2526refresh_token%253D142f2fad%2526x-expires%253D1808992800%2526x-signature%253DHpeIR5KLtc6wc1RTiJXRcQO8fOs%25253D%2526t%253D4d5b0474%2526ps%253D137"&amp;"40610%2526shp%253Dd05b14bd%2526shcp%253D34ff8df6%2526idc%253Dmy2%2526s%253DTIKTOK_AFFILIATE_VIRAL_VIDEO%22%2C%22placeholder_product_id%22%3A%221729427766722726591%22%2C%22placeholder_video_id%22%3A%227632840621039914248%22%7D&amp;ec_shared_reflux_scene=shop_t"&amp;"ab_feed&amp;mid=7591377536513985281&amp;preview_pb=0&amp;region=&amp;share_item_id=7632840621039914248&amp;sharer_language=&amp;source=h5_t&amp;u_code=f1489jb4bi84e9")</f>
        <v>https://www.tiktok.com/@rositaramdani7/video/7632840621039914248?_d=0&amp;_r=1&amp;ec_shared_reflux_dynamic_params=%7B%22placeholder_material_id%22%3A%227632840621039914248%22%2C%22placeholder_origin_cover%22%3A%22https%253A%252F%252Fp16-common-sign.tiktokcdn.com%252Ftos-alisg-p-0037%252Fo4Tq0AI4XCBVwjAWIYrCAIztJuiCI9hiVLCQfh~tplv-tiktokx-origin.jpeg%253Fdr%253D14572%2526refresh_token%253D142f2fad%2526x-expires%253D1808992800%2526x-signature%253DHpeIR5KLtc6wc1RTiJXRcQO8fOs%25253D%2526t%253D4d5b0474%2526ps%253D13740610%2526shp%253Dd05b14bd%2526shcp%253D34ff8df6%2526idc%253Dmy2%2526s%253DTIKTOK_AFFILIATE_VIRAL_VIDEO%22%2C%22placeholder_product_id%22%3A%221729427766722726591%22%2C%22placeholder_video_id%22%3A%227632840621039914248%22%7D&amp;ec_shared_reflux_scene=shop_tab_feed&amp;mid=7591377536513985281&amp;preview_pb=0&amp;region=&amp;share_item_id=7632840621039914248&amp;sharer_language=&amp;source=h5_t&amp;u_code=f1489jb4bi84e9</v>
      </c>
    </row>
    <row r="1885">
      <c r="A1885" s="282" t="str">
        <f>IFERROR(__xludf.DUMMYFUNCTION("""COMPUTED_VALUE"""),"MICRO")</f>
        <v>MICRO</v>
      </c>
      <c r="B1885" s="468" t="str">
        <f>IFERROR(__xludf.DUMMYFUNCTION("""COMPUTED_VALUE"""),"putrifatihahrizqi28")</f>
        <v>putrifatihahrizqi28</v>
      </c>
      <c r="C1885" s="283" t="str">
        <f>IFERROR(__xludf.DUMMYFUNCTION("""COMPUTED_VALUE"""),"https://www.tiktok.com/@putrifatihahrizqi28")</f>
        <v>https://www.tiktok.com/@putrifatihahrizqi28</v>
      </c>
      <c r="D1885" s="273">
        <f>IFERROR(__xludf.DUMMYFUNCTION("""COMPUTED_VALUE"""),8.7770467991E10)</f>
        <v>87770467991</v>
      </c>
      <c r="E1885" s="458">
        <f>IFERROR(__xludf.DUMMYFUNCTION("""COMPUTED_VALUE"""),0.0)</f>
        <v>0</v>
      </c>
      <c r="F1885" s="273">
        <f>IFERROR(__xludf.DUMMYFUNCTION("""COMPUTED_VALUE"""),4.0)</f>
        <v>4</v>
      </c>
      <c r="G1885" t="str">
        <f>IFERROR(__xludf.DUMMYFUNCTION("""COMPUTED_VALUE"""),"Sabun batang 1 Box ( 2 PCS )")</f>
        <v>Sabun batang 1 Box ( 2 PCS )</v>
      </c>
      <c r="H1885" s="469" t="str">
        <f>IFERROR(__xludf.DUMMYFUNCTION("""COMPUTED_VALUE"""),"Sampai")</f>
        <v>Sampai</v>
      </c>
      <c r="I1885" s="470"/>
      <c r="J1885" s="471" t="str">
        <f>IFERROR(__xludf.DUMMYFUNCTION("""COMPUTED_VALUE"""),"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"&amp;"eholder_origin_cover%22%3A%22https%253A%252F%252Fp16-common-sign.tiktokcdn.com%252Ftos-alisg-p-0037%252Fokej83InNuARId4oIVGPkcAQGeAeLDBS0CHTZQ~tplv-tiktokx-origin.jpeg%253Fdr%253D14572%2526refresh_token%253D3b7eb85d%2526x-expires%253D1808992800%2526x-sign"&amp;"ature%253DzhyQY%25252Bd9E%25252FZMgX7MRj4vEnlPr%25252BI%25253D%2526t%253D4d5b0474%2526ps%253D13740610%2526shp%253Dd05b14bd%2526shcp%253D34ff8df6%2526idc%253Dmy2%2526s%253DTIKTOK_AFFILIATE_VIRAL_VIDEO%22%2C%22placeholder_product_id%22%3A%221729427766722726"&amp;"591%22%2C%22placeholder_video_id%22%3A%227633259666696391954%22%7D&amp;ec_shared_reflux_scene=shop_tab_feed&amp;share_item_id=7633259666696391954&amp;source=h5_t")</f>
        <v>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eholder_origin_cover%22%3A%22https%253A%252F%252Fp16-common-sign.tiktokcdn.com%252Ftos-alisg-p-0037%252Fokej83InNuARId4oIVGPkcAQGeAeLDBS0CHTZQ~tplv-tiktokx-origin.jpeg%253Fdr%253D14572%2526refresh_token%253D3b7eb85d%2526x-expires%253D1808992800%2526x-signature%253DzhyQY%25252Bd9E%25252FZMgX7MRj4vEnlPr%25252BI%25253D%2526t%253D4d5b0474%2526ps%253D13740610%2526shp%253Dd05b14bd%2526shcp%253D34ff8df6%2526idc%253Dmy2%2526s%253DTIKTOK_AFFILIATE_VIRAL_VIDEO%22%2C%22placeholder_product_id%22%3A%221729427766722726591%22%2C%22placeholder_video_id%22%3A%227633259666696391954%22%7D&amp;ec_shared_reflux_scene=shop_tab_feed&amp;share_item_id=7633259666696391954&amp;source=h5_t</v>
      </c>
      <c r="K1885" s="470"/>
      <c r="L1885" s="471" t="str">
        <f>IFERROR(__xludf.DUMMYFUNCTION("""COMPUTED_VALUE"""),"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"&amp;"eholder_origin_cover%22%3A%22https%253A%252F%252Fp16-common-sign.tiktokcdn.com%252Ftos-alisg-p-0037%252FoEvtB2BmQIJJbKvDCITIgGKC4QfW4c8eAAeLPj~tplv-tiktokx-origin.jpeg%253Fdr%253D14572%2526refresh_token%253D14b8e5a1%2526x-expires%253D1808992800%2526x-sign"&amp;"ature%253DsBKNRZM9NlGgABGP%25252Bi5CuTVSWFg%25253D%2526t%253D4d5b0474%2526ps%253D13740610%2526shp%253Dd05b14bd%2526shcp%253D34ff8df6%2526idc%253Dmy2%2526s%253DTIKTOK_AFFILIATE_VIRAL_VIDEO%22%2C%22placeholder_product_id%22%3A%221729427766722726591%22%2C%22"&amp;"placeholder_video_id%22%3A%227633619284236799240%22%7D&amp;ec_shared_reflux_scene=shop_tab_feed&amp;share_item_id=7633619284236799240&amp;source=h5_t")</f>
        <v>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eholder_origin_cover%22%3A%22https%253A%252F%252Fp16-common-sign.tiktokcdn.com%252Ftos-alisg-p-0037%252FoEvtB2BmQIJJbKvDCITIgGKC4QfW4c8eAAeLPj~tplv-tiktokx-origin.jpeg%253Fdr%253D14572%2526refresh_token%253D14b8e5a1%2526x-expires%253D1808992800%2526x-signature%253DsBKNRZM9NlGgABGP%25252Bi5CuTVSWFg%25253D%2526t%253D4d5b0474%2526ps%253D13740610%2526shp%253Dd05b14bd%2526shcp%253D34ff8df6%2526idc%253Dmy2%2526s%253DTIKTOK_AFFILIATE_VIRAL_VIDEO%22%2C%22placeholder_product_id%22%3A%221729427766722726591%22%2C%22placeholder_video_id%22%3A%227633619284236799240%22%7D&amp;ec_shared_reflux_scene=shop_tab_feed&amp;share_item_id=7633619284236799240&amp;source=h5_t</v>
      </c>
      <c r="M1885" s="470"/>
      <c r="N1885" s="471" t="str">
        <f>IFERROR(__xludf.DUMMYFUNCTION("""COMPUTED_VALUE"""),"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"&amp;"eholder_origin_cover%22%3A%22https%253A%252F%252Fp16-sign-sg.tiktokcdn.com%252Ftos-alisg-p-0037%252Fo03hfABezYXBDiRNp9OP7BUEgIxxBiEINkwKiH~tplv-tiktokx-origin.jpeg%253Fdr%253D14572%2526refresh_token%253D2b3edbd9%2526x-expires%253D1808992800%2526x-signatur"&amp;"e%253DuF7qjx32DHmqMM4GzKo0wROx5Eg%25253D%2526t%253D4d5b0474%2526ps%253D13740610%2526shp%253Dd05b14bd%2526shcp%253D34ff8df6%2526idc%253Dmy2%2526s%253DTIKTOK_AFFILIATE_VIRAL_VIDEO%22%2C%22placeholder_product_id%22%3A%221729427766722726591%22%2C%22placeholde"&amp;"r_video_id%22%3A%227633988561930423560%22%7D&amp;ec_shared_reflux_scene=shop_tab_feed&amp;share_item_id=7633988561930423560&amp;source=h5_t")</f>
        <v>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eholder_origin_cover%22%3A%22https%253A%252F%252Fp16-sign-sg.tiktokcdn.com%252Ftos-alisg-p-0037%252Fo03hfABezYXBDiRNp9OP7BUEgIxxBiEINkwKiH~tplv-tiktokx-origin.jpeg%253Fdr%253D14572%2526refresh_token%253D2b3edbd9%2526x-expires%253D1808992800%2526x-signature%253DuF7qjx32DHmqMM4GzKo0wROx5Eg%25253D%2526t%253D4d5b0474%2526ps%253D13740610%2526shp%253Dd05b14bd%2526shcp%253D34ff8df6%2526idc%253Dmy2%2526s%253DTIKTOK_AFFILIATE_VIRAL_VIDEO%22%2C%22placeholder_product_id%22%3A%221729427766722726591%22%2C%22placeholder_video_id%22%3A%227633988561930423560%22%7D&amp;ec_shared_reflux_scene=shop_tab_feed&amp;share_item_id=7633988561930423560&amp;source=h5_t</v>
      </c>
      <c r="O1885" s="470"/>
      <c r="P1885" s="471" t="str">
        <f>IFERROR(__xludf.DUMMYFUNCTION("""COMPUTED_VALUE"""),"https://vt.tiktok.com/ZSxfCLAv5/")</f>
        <v>https://vt.tiktok.com/ZSxfCLAv5/</v>
      </c>
    </row>
    <row r="1886">
      <c r="A1886" s="282" t="str">
        <f>IFERROR(__xludf.DUMMYFUNCTION("""COMPUTED_VALUE"""),"MICRO")</f>
        <v>MICRO</v>
      </c>
      <c r="B1886" s="468" t="str">
        <f>IFERROR(__xludf.DUMMYFUNCTION("""COMPUTED_VALUE"""),"nyakriana")</f>
        <v>nyakriana</v>
      </c>
      <c r="C1886" s="283" t="str">
        <f>IFERROR(__xludf.DUMMYFUNCTION("""COMPUTED_VALUE"""),"https://www.tiktok.com/@nyakriana")</f>
        <v>https://www.tiktok.com/@nyakriana</v>
      </c>
      <c r="D1886" s="273">
        <f>IFERROR(__xludf.DUMMYFUNCTION("""COMPUTED_VALUE"""),8.2277448221E10)</f>
        <v>82277448221</v>
      </c>
      <c r="E1886" s="458">
        <f>IFERROR(__xludf.DUMMYFUNCTION("""COMPUTED_VALUE"""),0.0)</f>
        <v>0</v>
      </c>
      <c r="F1886" s="273">
        <f>IFERROR(__xludf.DUMMYFUNCTION("""COMPUTED_VALUE"""),4.0)</f>
        <v>4</v>
      </c>
      <c r="G1886" t="str">
        <f>IFERROR(__xludf.DUMMYFUNCTION("""COMPUTED_VALUE"""),"Sabun batang 1 Box ( 2 PCS )")</f>
        <v>Sabun batang 1 Box ( 2 PCS )</v>
      </c>
      <c r="H1886" s="469" t="str">
        <f>IFERROR(__xludf.DUMMYFUNCTION("""COMPUTED_VALUE"""),"Sampai")</f>
        <v>Sampai</v>
      </c>
      <c r="I1886" s="470"/>
      <c r="J1886" s="471" t="str">
        <f>IFERROR(__xludf.DUMMYFUNCTION("""COMPUTED_VALUE"""),"https://www.tiktok.com/@belanja_hemat.shop/video/7629926744312548615?_r=1&amp;u_code=ek6h2252jijmih&amp;region=&amp;mid=7395415388382824464&amp;preview_pb=0&amp;sharer_language=&amp;_d=0&amp;ec_shared_reflux_dynamic_params=%7B%22placeholder_material_id%22%3A%227629926744312548615%22"&amp;"%2C%22placeholder_origin_cover%22%3A%22https%253A%252F%252Fp16-sign-sg.tiktokcdn.com%252Ftos-alisg-p-0037%252FogARLXupOi5fMxsvG8GFedRoAQQmGeGAPnfVBh~tplv-tiktokx-origin.jpeg%253Fdr%253D14572%2526refresh_token%253D0bc3ef94%2526x-expires%253D1808992800%2526"&amp;"x-signature%253DCbDvTxf0YgqWOaOAOjYGyzVeMR4%25253D%2526t%253D4d5b0474%2526ps%253D13740610%2526shp%253Dd05b14bd%2526shcp%253D34ff8df6%2526idc%253Dmy2%2526s%253DTIKTOK_AFFILIATE_VIRAL_VIDEO%22%2C%22placeholder_product_id%22%3A%221729427766722726591%22%2C%22"&amp;"placeholder_video_id%22%3A%227629926744312548615%22%7D&amp;ec_shared_reflux_scene=shop_tab_feed&amp;share_item_id=7629926744312548615&amp;source=h5_t")</f>
        <v>https://www.tiktok.com/@belanja_hemat.shop/video/7629926744312548615?_r=1&amp;u_code=ek6h2252jijmih&amp;region=&amp;mid=7395415388382824464&amp;preview_pb=0&amp;sharer_language=&amp;_d=0&amp;ec_shared_reflux_dynamic_params=%7B%22placeholder_material_id%22%3A%227629926744312548615%22%2C%22placeholder_origin_cover%22%3A%22https%253A%252F%252Fp16-sign-sg.tiktokcdn.com%252Ftos-alisg-p-0037%252FogARLXupOi5fMxsvG8GFedRoAQQmGeGAPnfVBh~tplv-tiktokx-origin.jpeg%253Fdr%253D14572%2526refresh_token%253D0bc3ef94%2526x-expires%253D1808992800%2526x-signature%253DCbDvTxf0YgqWOaOAOjYGyzVeMR4%25253D%2526t%253D4d5b0474%2526ps%253D13740610%2526shp%253Dd05b14bd%2526shcp%253D34ff8df6%2526idc%253Dmy2%2526s%253DTIKTOK_AFFILIATE_VIRAL_VIDEO%22%2C%22placeholder_product_id%22%3A%221729427766722726591%22%2C%22placeholder_video_id%22%3A%227629926744312548615%22%7D&amp;ec_shared_reflux_scene=shop_tab_feed&amp;share_item_id=7629926744312548615&amp;source=h5_t</v>
      </c>
      <c r="K1886" s="470"/>
      <c r="L1886" s="471" t="str">
        <f>IFERROR(__xludf.DUMMYFUNCTION("""COMPUTED_VALUE"""),"https://www.tiktok.com/@belanja_hemat.shop/video/7630068304346074375?_r=1&amp;u_code=ek6h2252jijmih&amp;region=&amp;mid=7502446149192567607&amp;preview_pb=0&amp;sharer_language=&amp;_d=0&amp;ec_shared_reflux_dynamic_params=%7B%22placeholder_material_id%22%3A%227630068304346074375%22"&amp;"%2C%22placeholder_origin_cover%22%3A%22https%253A%252F%252Fp16-common-sign.tiktokcdn.com%252Ftos-alisg-p-0037%252FoY0jIj6CABiiHw6UKcYAvir4yAqkkIDPINeK4B~tplv-tiktokx-origin.jpeg%253Fdr%253D14572%2526refresh_token%253Dc394bf07%2526x-expires%253D1808992800%"&amp;"2526x-signature%253D%25252FXFHLg710N9EHbaT4qukgslNM%25252F0%25253D%2526t%253D4d5b0474%2526ps%253D13740610%2526shp%253Dd05b14bd%2526shcp%253D34ff8df6%2526idc%253Dmy2%2526s%253DTIKTOK_AFFILIATE_VIRAL_VIDEO%22%2C%22placeholder_product_id%22%3A%22172942776672"&amp;"2726591%22%2C%22placeholder_video_id%22%3A%227630068304346074375%22%7D&amp;ec_shared_reflux_scene=shop_tab_feed&amp;share_item_id=7630068304346074375&amp;source=h5_t")</f>
        <v>https://www.tiktok.com/@belanja_hemat.shop/video/7630068304346074375?_r=1&amp;u_code=ek6h2252jijmih&amp;region=&amp;mid=7502446149192567607&amp;preview_pb=0&amp;sharer_language=&amp;_d=0&amp;ec_shared_reflux_dynamic_params=%7B%22placeholder_material_id%22%3A%227630068304346074375%22%2C%22placeholder_origin_cover%22%3A%22https%253A%252F%252Fp16-common-sign.tiktokcdn.com%252Ftos-alisg-p-0037%252FoY0jIj6CABiiHw6UKcYAvir4yAqkkIDPINeK4B~tplv-tiktokx-origin.jpeg%253Fdr%253D14572%2526refresh_token%253Dc394bf07%2526x-expires%253D1808992800%2526x-signature%253D%25252FXFHLg710N9EHbaT4qukgslNM%25252F0%25253D%2526t%253D4d5b0474%2526ps%253D13740610%2526shp%253Dd05b14bd%2526shcp%253D34ff8df6%2526idc%253Dmy2%2526s%253DTIKTOK_AFFILIATE_VIRAL_VIDEO%22%2C%22placeholder_product_id%22%3A%221729427766722726591%22%2C%22placeholder_video_id%22%3A%227630068304346074375%22%7D&amp;ec_shared_reflux_scene=shop_tab_feed&amp;share_item_id=7630068304346074375&amp;source=h5_t</v>
      </c>
      <c r="M1886" s="470"/>
      <c r="N1886" s="471" t="str">
        <f>IFERROR(__xludf.DUMMYFUNCTION("""COMPUTED_VALUE"""),"https://www.tiktok.com/@belanja_hemat.shop/video/7630083439080852744?_r=1&amp;u_code=ek6h2252jijmih&amp;region=&amp;mid=7502446149192567607&amp;preview_pb=0&amp;sharer_language=&amp;_d=0&amp;ec_shared_reflux_dynamic_params=%7B%22placeholder_material_id%22%3A%227630083439080852744%22"&amp;"%2C%22placeholder_origin_cover%22%3A%22https%253A%252F%252Fp16-common-sign.tiktokcdn.com%252Ftos-alisg-p-0037%252FoEONqiBlICA7hICZgjiI3AAAgBswH8WOe0PpIT~tplv-tiktokx-origin.jpeg%253Fdr%253D14572%2526refresh_token%253Dc5a3bd01%2526x-expires%253D1808992800%"&amp;"2526x-signature%253DmHrmToRfBoDI76E5SnS33jucUxo%25253D%2526t%253D4d5b0474%2526ps%253D13740610%2526shp%253Dd05b14bd%2526shcp%253D34ff8df6%2526idc%253Dmy2%2526s%253DTIKTOK_AFFILIATE_VIRAL_VIDEO%22%2C%22placeholder_product_id%22%3A%221729427766722726591%22%2"&amp;"C%22placeholder_video_id%22%3A%227630083439080852744%22%7D&amp;ec_shared_reflux_scene=shop_tab_feed&amp;share_item_id=7630083439080852744&amp;source=h5_t")</f>
        <v>https://www.tiktok.com/@belanja_hemat.shop/video/7630083439080852744?_r=1&amp;u_code=ek6h2252jijmih&amp;region=&amp;mid=7502446149192567607&amp;preview_pb=0&amp;sharer_language=&amp;_d=0&amp;ec_shared_reflux_dynamic_params=%7B%22placeholder_material_id%22%3A%227630083439080852744%22%2C%22placeholder_origin_cover%22%3A%22https%253A%252F%252Fp16-common-sign.tiktokcdn.com%252Ftos-alisg-p-0037%252FoEONqiBlICA7hICZgjiI3AAAgBswH8WOe0PpIT~tplv-tiktokx-origin.jpeg%253Fdr%253D14572%2526refresh_token%253Dc5a3bd01%2526x-expires%253D1808992800%2526x-signature%253DmHrmToRfBoDI76E5SnS33jucUxo%25253D%2526t%253D4d5b0474%2526ps%253D13740610%2526shp%253Dd05b14bd%2526shcp%253D34ff8df6%2526idc%253Dmy2%2526s%253DTIKTOK_AFFILIATE_VIRAL_VIDEO%22%2C%22placeholder_product_id%22%3A%221729427766722726591%22%2C%22placeholder_video_id%22%3A%227630083439080852744%22%7D&amp;ec_shared_reflux_scene=shop_tab_feed&amp;share_item_id=7630083439080852744&amp;source=h5_t</v>
      </c>
      <c r="O1886" s="470"/>
      <c r="P1886" s="471" t="str">
        <f>IFERROR(__xludf.DUMMYFUNCTION("""COMPUTED_VALUE"""),"https://www.tiktok.com/@belanja_hemat.shop/video/7630283480441621767?_r=1&amp;u_code=ek6h2252jijmih&amp;region=&amp;mid=7615963521880558357&amp;preview_pb=0&amp;sharer_language=&amp;_d=0&amp;ec_shared_reflux_dynamic_params=%7B%22placeholder_material_id%22%3A%227630283480441621767%22"&amp;"%2C%22placeholder_origin_cover%22%3A%22https%253A%252F%252Fp16-sign-sg.tiktokcdn.com%252Ftos-alisg-p-0037%252FowLgThbTAvZEDmUpRgqBBrYOOEQeQEFIpPa5fD~tplv-tiktokx-origin.jpeg%253Fdr%253D14572%2526refresh_token%253D7028f3e9%2526x-expires%253D1808992800%2526"&amp;"x-signature%253Dm8NIDbYtD8vdd9sCzAcHHhWysZQ%25253D%2526t%253D4d5b0474%2526ps%253D13740610%2526shp%253Dd05b14bd%2526shcp%253D34ff8df6%2526idc%253Dmy2%2526s%253DTIKTOK_AFFILIATE_VIRAL_VIDEO%22%2C%22placeholder_product_id%22%3A%221729427766722726591%22%2C%22"&amp;"placeholder_video_id%22%3A%227630283480441621767%22%7D&amp;ec_shared_reflux_scene=shop_tab_feed&amp;share_item_id=7630283480441621767&amp;source=h5_t")</f>
        <v>https://www.tiktok.com/@belanja_hemat.shop/video/7630283480441621767?_r=1&amp;u_code=ek6h2252jijmih&amp;region=&amp;mid=7615963521880558357&amp;preview_pb=0&amp;sharer_language=&amp;_d=0&amp;ec_shared_reflux_dynamic_params=%7B%22placeholder_material_id%22%3A%227630283480441621767%22%2C%22placeholder_origin_cover%22%3A%22https%253A%252F%252Fp16-sign-sg.tiktokcdn.com%252Ftos-alisg-p-0037%252FowLgThbTAvZEDmUpRgqBBrYOOEQeQEFIpPa5fD~tplv-tiktokx-origin.jpeg%253Fdr%253D14572%2526refresh_token%253D7028f3e9%2526x-expires%253D1808992800%2526x-signature%253Dm8NIDbYtD8vdd9sCzAcHHhWysZQ%25253D%2526t%253D4d5b0474%2526ps%253D13740610%2526shp%253Dd05b14bd%2526shcp%253D34ff8df6%2526idc%253Dmy2%2526s%253DTIKTOK_AFFILIATE_VIRAL_VIDEO%22%2C%22placeholder_product_id%22%3A%221729427766722726591%22%2C%22placeholder_video_id%22%3A%227630283480441621767%22%7D&amp;ec_shared_reflux_scene=shop_tab_feed&amp;share_item_id=7630283480441621767&amp;source=h5_t</v>
      </c>
    </row>
    <row r="1887">
      <c r="A1887" s="282" t="str">
        <f>IFERROR(__xludf.DUMMYFUNCTION("""COMPUTED_VALUE"""),"MICRO")</f>
        <v>MICRO</v>
      </c>
      <c r="B1887" s="468" t="str">
        <f>IFERROR(__xludf.DUMMYFUNCTION("""COMPUTED_VALUE"""),"fashionkuuuu_")</f>
        <v>fashionkuuuu_</v>
      </c>
      <c r="C1887" s="283" t="str">
        <f>IFERROR(__xludf.DUMMYFUNCTION("""COMPUTED_VALUE"""),"https://www.tiktok.com/@fashionkuuuu_")</f>
        <v>https://www.tiktok.com/@fashionkuuuu_</v>
      </c>
      <c r="D1887" s="273">
        <f>IFERROR(__xludf.DUMMYFUNCTION("""COMPUTED_VALUE"""),8.9624837339E10)</f>
        <v>89624837339</v>
      </c>
      <c r="E1887" s="458">
        <f>IFERROR(__xludf.DUMMYFUNCTION("""COMPUTED_VALUE"""),0.0)</f>
        <v>0</v>
      </c>
      <c r="F1887" s="273">
        <f>IFERROR(__xludf.DUMMYFUNCTION("""COMPUTED_VALUE"""),4.0)</f>
        <v>4</v>
      </c>
      <c r="G1887" t="str">
        <f>IFERROR(__xludf.DUMMYFUNCTION("""COMPUTED_VALUE"""),"Sabun batang 1 Box ( 2 PCS )")</f>
        <v>Sabun batang 1 Box ( 2 PCS )</v>
      </c>
      <c r="H1887" s="469" t="str">
        <f>IFERROR(__xludf.DUMMYFUNCTION("""COMPUTED_VALUE"""),"Sampai")</f>
        <v>Sampai</v>
      </c>
      <c r="I1887" s="470"/>
      <c r="J1887" s="471" t="str">
        <f>IFERROR(__xludf.DUMMYFUNCTION("""COMPUTED_VALUE"""),"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"&amp;"aceholder_origin_cover%22%3A%22https%253A%252F%252Fp16-common-sign.tiktokcdn.com%252Ftos-alisg-p-0037%252FocT3fUyagtsUCPXIgtfvGDAQDjLK9oeTHAQG2I~tplv-tiktokx-origin.jpeg%253Fdr%253D14572%2526refresh_token%253D13d7c298%2526x-expires%253D1808992800%2526x-si"&amp;"gnature%253Dm1yuhUo4JC1EwMfosEQhUBd56yw%25253D%2526t%253D4d5b0474%2526ps%253D13740610%2526shp%253Dd05b14bd%2526shcp%253D34ff8df6%2526idc%253Dmy2%2526s%253DTIKTOK_AFFILIATE_VIRAL_VIDEO%22%2C%22placeholder_product_id%22%3A%221729427766722726591%22%2C%22plac"&amp;"eholder_video_id%22%3A%227633434949797858581%22%7D&amp;ec_shared_reflux_scene=shop_tab_feed&amp;share_item_id=7633434949797858581&amp;source=h5_t")</f>
        <v>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aceholder_origin_cover%22%3A%22https%253A%252F%252Fp16-common-sign.tiktokcdn.com%252Ftos-alisg-p-0037%252FocT3fUyagtsUCPXIgtfvGDAQDjLK9oeTHAQG2I~tplv-tiktokx-origin.jpeg%253Fdr%253D14572%2526refresh_token%253D13d7c298%2526x-expires%253D1808992800%2526x-signature%253Dm1yuhUo4JC1EwMfosEQhUBd56yw%25253D%2526t%253D4d5b0474%2526ps%253D13740610%2526shp%253Dd05b14bd%2526shcp%253D34ff8df6%2526idc%253Dmy2%2526s%253DTIKTOK_AFFILIATE_VIRAL_VIDEO%22%2C%22placeholder_product_id%22%3A%221729427766722726591%22%2C%22placeholder_video_id%22%3A%227633434949797858581%22%7D&amp;ec_shared_reflux_scene=shop_tab_feed&amp;share_item_id=7633434949797858581&amp;source=h5_t</v>
      </c>
      <c r="K1887" s="470"/>
      <c r="L1887" s="471" t="str">
        <f>IFERROR(__xludf.DUMMYFUNCTION("""COMPUTED_VALUE"""),"https://vt.tiktok.com/ZSxfQGEgj/")</f>
        <v>https://vt.tiktok.com/ZSxfQGEgj/</v>
      </c>
      <c r="M1887" s="470"/>
      <c r="N1887" s="471" t="str">
        <f>IFERROR(__xludf.DUMMYFUNCTION("""COMPUTED_VALUE"""),"https://vt.tiktok.com/ZSxDYhccb/")</f>
        <v>https://vt.tiktok.com/ZSxDYhccb/</v>
      </c>
      <c r="O1887" s="470"/>
      <c r="P1887" s="471" t="str">
        <f>IFERROR(__xludf.DUMMYFUNCTION("""COMPUTED_VALUE"""),"https://vt.tiktok.com/ZSxDYQyTW/")</f>
        <v>https://vt.tiktok.com/ZSxDYQyTW/</v>
      </c>
    </row>
    <row r="1888">
      <c r="A1888" s="282" t="str">
        <f>IFERROR(__xludf.DUMMYFUNCTION("""COMPUTED_VALUE"""),"MICRO")</f>
        <v>MICRO</v>
      </c>
      <c r="B1888" s="468" t="str">
        <f>IFERROR(__xludf.DUMMYFUNCTION("""COMPUTED_VALUE"""),"_lvmtcha0")</f>
        <v>_lvmtcha0</v>
      </c>
      <c r="C1888" s="283" t="str">
        <f>IFERROR(__xludf.DUMMYFUNCTION("""COMPUTED_VALUE"""),"https://www.tiktok.com/@_lvmtcha0")</f>
        <v>https://www.tiktok.com/@_lvmtcha0</v>
      </c>
      <c r="D1888" s="273">
        <f>IFERROR(__xludf.DUMMYFUNCTION("""COMPUTED_VALUE"""),8.1213711755E10)</f>
        <v>81213711755</v>
      </c>
      <c r="E1888" s="458">
        <f>IFERROR(__xludf.DUMMYFUNCTION("""COMPUTED_VALUE"""),0.0)</f>
        <v>0</v>
      </c>
      <c r="F1888" s="273">
        <f>IFERROR(__xludf.DUMMYFUNCTION("""COMPUTED_VALUE"""),4.0)</f>
        <v>4</v>
      </c>
      <c r="G1888" t="str">
        <f>IFERROR(__xludf.DUMMYFUNCTION("""COMPUTED_VALUE"""),"Sabun batang 1 Box ( 2 PCS )")</f>
        <v>Sabun batang 1 Box ( 2 PCS )</v>
      </c>
      <c r="H1888" s="469" t="str">
        <f>IFERROR(__xludf.DUMMYFUNCTION("""COMPUTED_VALUE"""),"Sampai")</f>
        <v>Sampai</v>
      </c>
      <c r="I1888" s="470"/>
      <c r="J1888" s="471" t="str">
        <f>IFERROR(__xludf.DUMMYFUNCTION("""COMPUTED_VALUE"""),"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"&amp;"22placeholder_origin_cover%22%3A%22https%253A%252F%252Fp16-common-sign.tiktokcdn.com%252Ftos-alisg-p-0037%252Fo8fO8AM1hZeDgXj1TZgNKQoIABetCT1Aj7WrQE~tplv-tiktokx-origin.jpeg%253Fdr%253D14572%2526refresh_token%253Db34d4f83%2526x-expires%253D1808992800%2526"&amp;"x-signature%253D5d%25252BwOsNi1vQGg3hT4qvK4L51k%25252FQ%25253D%2526t%253D4d5b0474%2526ps%253D13740610%2526shp%253Dd05b14bd%2526shcp%253D34ff8df6%2526idc%253Dmy2%2526s%253DTIKTOK_AFFILIATE_VIRAL_VIDEO%22%2C%22placeholder_product_id%22%3A%221729427766722726"&amp;"591%22%2C%22placeholder_video_id%22%3A%227632292373736803591%22%7D&amp;ec_shared_reflux_scene=shop_tab_feed&amp;share_item_id=7632292373736803591&amp;source=h5_t")</f>
        <v>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22placeholder_origin_cover%22%3A%22https%253A%252F%252Fp16-common-sign.tiktokcdn.com%252Ftos-alisg-p-0037%252Fo8fO8AM1hZeDgXj1TZgNKQoIABetCT1Aj7WrQE~tplv-tiktokx-origin.jpeg%253Fdr%253D14572%2526refresh_token%253Db34d4f83%2526x-expires%253D1808992800%2526x-signature%253D5d%25252BwOsNi1vQGg3hT4qvK4L51k%25252FQ%25253D%2526t%253D4d5b0474%2526ps%253D13740610%2526shp%253Dd05b14bd%2526shcp%253D34ff8df6%2526idc%253Dmy2%2526s%253DTIKTOK_AFFILIATE_VIRAL_VIDEO%22%2C%22placeholder_product_id%22%3A%221729427766722726591%22%2C%22placeholder_video_id%22%3A%227632292373736803591%22%7D&amp;ec_shared_reflux_scene=shop_tab_feed&amp;share_item_id=7632292373736803591&amp;source=h5_t</v>
      </c>
      <c r="K1888" s="470"/>
      <c r="L1888" s="471" t="str">
        <f>IFERROR(__xludf.DUMMYFUNCTION("""COMPUTED_VALUE"""),"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"&amp;"22placeholder_origin_cover%22%3A%22https%253A%252F%252Fp16-common-sign.tiktokcdn.com%252Ftos-alisg-p-0037%252FogtrPig6fAI1VtrDCBRpT4Bw9iBciEOXRfDIQy~tplv-tiktokx-origin.jpeg%253Fdr%253D14572%2526refresh_token%253Da7dfb7b6%2526x-expires%253D1808992800%2526"&amp;"x-signature%253DBLfnFU%25252FucpfNa%25252FqJkuXBbFXM3IE%25253D%2526t%253D4d5b0474%2526ps%253D13740610%2526shp%253Dd05b14bd%2526shcp%253D34ff8df6%2526idc%253Dmy2%2526s%253DTIKTOK_AFFILIATE_VIRAL_VIDEO%22%2C%22placeholder_product_id%22%3A%221729427766722726"&amp;"591%22%2C%22placeholder_video_id%22%3A%227632466134771453202%22%7D&amp;ec_shared_reflux_scene=shop_tab_feed&amp;share_item_id=7632466134771453202&amp;source=h5_t")</f>
        <v>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22placeholder_origin_cover%22%3A%22https%253A%252F%252Fp16-common-sign.tiktokcdn.com%252Ftos-alisg-p-0037%252FogtrPig6fAI1VtrDCBRpT4Bw9iBciEOXRfDIQy~tplv-tiktokx-origin.jpeg%253Fdr%253D14572%2526refresh_token%253Da7dfb7b6%2526x-expires%253D1808992800%2526x-signature%253DBLfnFU%25252FucpfNa%25252FqJkuXBbFXM3IE%25253D%2526t%253D4d5b0474%2526ps%253D13740610%2526shp%253Dd05b14bd%2526shcp%253D34ff8df6%2526idc%253Dmy2%2526s%253DTIKTOK_AFFILIATE_VIRAL_VIDEO%22%2C%22placeholder_product_id%22%3A%221729427766722726591%22%2C%22placeholder_video_id%22%3A%227632466134771453202%22%7D&amp;ec_shared_reflux_scene=shop_tab_feed&amp;share_item_id=7632466134771453202&amp;source=h5_t</v>
      </c>
      <c r="M1888" s="470"/>
      <c r="N1888" s="471" t="str">
        <f>IFERROR(__xludf.DUMMYFUNCTION("""COMPUTED_VALUE"""),"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"&amp;"22placeholder_origin_cover%22%3A%22https%253A%252F%252Fp16-common-sign.tiktokcdn.com%252Ftos-alisg-p-0037%252Fow724I9IGp8GJCSiAIeZAtCBfL0WETDI55ejBs~tplv-tiktokx-origin.jpeg%253Fdr%253D14572%2526refresh_token%253D974a53c8%2526x-expires%253D1808992800%2526"&amp;"x-signature%253DbBhbMoNFUGaDXGV%25252F1hVcSOsTVPM%25253D%2526t%253D4d5b0474%2526ps%253D13740610%2526shp%253Dd05b14bd%2526shcp%253D34ff8df6%2526idc%253Dmy2%2526s%253DTIKTOK_AFFILIATE_VIRAL_VIDEO%22%2C%22placeholder_product_id%22%3A%221729427766722726591%22"&amp;"%2C%22placeholder_video_id%22%3A%227632556344465231122%22%7D&amp;ec_shared_reflux_scene=shop_tab_feed&amp;share_item_id=7632556344465231122&amp;source=h5_t")</f>
        <v>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22placeholder_origin_cover%22%3A%22https%253A%252F%252Fp16-common-sign.tiktokcdn.com%252Ftos-alisg-p-0037%252Fow724I9IGp8GJCSiAIeZAtCBfL0WETDI55ejBs~tplv-tiktokx-origin.jpeg%253Fdr%253D14572%2526refresh_token%253D974a53c8%2526x-expires%253D1808992800%2526x-signature%253DbBhbMoNFUGaDXGV%25252F1hVcSOsTVPM%25253D%2526t%253D4d5b0474%2526ps%253D13740610%2526shp%253Dd05b14bd%2526shcp%253D34ff8df6%2526idc%253Dmy2%2526s%253DTIKTOK_AFFILIATE_VIRAL_VIDEO%22%2C%22placeholder_product_id%22%3A%221729427766722726591%22%2C%22placeholder_video_id%22%3A%227632556344465231122%22%7D&amp;ec_shared_reflux_scene=shop_tab_feed&amp;share_item_id=7632556344465231122&amp;source=h5_t</v>
      </c>
      <c r="O1888" s="470"/>
      <c r="P1888" s="471" t="str">
        <f>IFERROR(__xludf.DUMMYFUNCTION("""COMPUTED_VALUE"""),"https://www.tiktok.com/@rositaramdani7/video/7632840621039914248?_d=0&amp;_r=1&amp;ec_shared_reflux_dynamic_params=%7B%22placeholder_material_id%22%3A%227632840621039914248%22%2C%22placeholder_origin_cover%22%3A%22https%253A%252F%252Fp16-common-sign.tiktokcdn.com"&amp;"%252Ftos-alisg-p-0037%252Fo4Tq0AI4XCBVwjAWIYrCAIztJuiCI9hiVLCQfh~tplv-tiktokx-origin.jpeg%253Fdr%253D14572%2526refresh_token%253D142f2fad%2526x-expires%253D1808992800%2526x-signature%253DHpeIR5KLtc6wc1RTiJXRcQO8fOs%25253D%2526t%253D4d5b0474%2526ps%253D137"&amp;"40610%2526shp%253Dd05b14bd%2526shcp%253D34ff8df6%2526idc%253Dmy2%2526s%253DTIKTOK_AFFILIATE_VIRAL_VIDEO%22%2C%22placeholder_product_id%22%3A%221729427766722726591%22%2C%22placeholder_video_id%22%3A%227632840621039914248%22%7D&amp;ec_shared_reflux_scene=shop_t"&amp;"ab_feed&amp;mid=7591377536513985281&amp;preview_pb=0&amp;region=&amp;share_item_id=7632840621039914248&amp;sharer_language=&amp;source=h5_t&amp;u_code=f1489jb4bi84e10")</f>
        <v>https://www.tiktok.com/@rositaramdani7/video/7632840621039914248?_d=0&amp;_r=1&amp;ec_shared_reflux_dynamic_params=%7B%22placeholder_material_id%22%3A%227632840621039914248%22%2C%22placeholder_origin_cover%22%3A%22https%253A%252F%252Fp16-common-sign.tiktokcdn.com%252Ftos-alisg-p-0037%252Fo4Tq0AI4XCBVwjAWIYrCAIztJuiCI9hiVLCQfh~tplv-tiktokx-origin.jpeg%253Fdr%253D14572%2526refresh_token%253D142f2fad%2526x-expires%253D1808992800%2526x-signature%253DHpeIR5KLtc6wc1RTiJXRcQO8fOs%25253D%2526t%253D4d5b0474%2526ps%253D13740610%2526shp%253Dd05b14bd%2526shcp%253D34ff8df6%2526idc%253Dmy2%2526s%253DTIKTOK_AFFILIATE_VIRAL_VIDEO%22%2C%22placeholder_product_id%22%3A%221729427766722726591%22%2C%22placeholder_video_id%22%3A%227632840621039914248%22%7D&amp;ec_shared_reflux_scene=shop_tab_feed&amp;mid=7591377536513985281&amp;preview_pb=0&amp;region=&amp;share_item_id=7632840621039914248&amp;sharer_language=&amp;source=h5_t&amp;u_code=f1489jb4bi84e10</v>
      </c>
    </row>
    <row r="1889">
      <c r="A1889" s="282" t="str">
        <f>IFERROR(__xludf.DUMMYFUNCTION("""COMPUTED_VALUE"""),"MICRO")</f>
        <v>MICRO</v>
      </c>
      <c r="B1889" s="468" t="str">
        <f>IFERROR(__xludf.DUMMYFUNCTION("""COMPUTED_VALUE"""),"apaajauy26")</f>
        <v>apaajauy26</v>
      </c>
      <c r="C1889" s="283" t="str">
        <f>IFERROR(__xludf.DUMMYFUNCTION("""COMPUTED_VALUE"""),"https://www.tiktok.com/@apaajauy26")</f>
        <v>https://www.tiktok.com/@apaajauy26</v>
      </c>
      <c r="D1889" s="273">
        <f>IFERROR(__xludf.DUMMYFUNCTION("""COMPUTED_VALUE"""),8.1559646919E10)</f>
        <v>81559646919</v>
      </c>
      <c r="E1889" s="458">
        <f>IFERROR(__xludf.DUMMYFUNCTION("""COMPUTED_VALUE"""),0.0)</f>
        <v>0</v>
      </c>
      <c r="F1889" s="273">
        <f>IFERROR(__xludf.DUMMYFUNCTION("""COMPUTED_VALUE"""),4.0)</f>
        <v>4</v>
      </c>
      <c r="G1889" t="str">
        <f>IFERROR(__xludf.DUMMYFUNCTION("""COMPUTED_VALUE"""),"Sabun batang 1 Box ( 2 PCS )")</f>
        <v>Sabun batang 1 Box ( 2 PCS )</v>
      </c>
      <c r="H1889" s="469" t="str">
        <f>IFERROR(__xludf.DUMMYFUNCTION("""COMPUTED_VALUE"""),"Sampai")</f>
        <v>Sampai</v>
      </c>
      <c r="I1889" s="470"/>
      <c r="J1889" s="471" t="str">
        <f>IFERROR(__xludf.DUMMYFUNCTION("""COMPUTED_VALUE"""),"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"&amp;"eholder_origin_cover%22%3A%22https%253A%252F%252Fp16-common-sign.tiktokcdn.com%252Ftos-alisg-p-0037%252Fokej83InNuARId4oIVGPkcAQGeAeLDBS0CHTZQ~tplv-tiktokx-origin.jpeg%253Fdr%253D14572%2526refresh_token%253D3b7eb85d%2526x-expires%253D1808992800%2526x-sign"&amp;"ature%253DzhyQY%25252Bd9E%25252FZMgX7MRj4vEnlPr%25252BI%25253D%2526t%253D4d5b0474%2526ps%253D13740610%2526shp%253Dd05b14bd%2526shcp%253D34ff8df6%2526idc%253Dmy2%2526s%253DTIKTOK_AFFILIATE_VIRAL_VIDEO%22%2C%22placeholder_product_id%22%3A%221729427766722726"&amp;"591%22%2C%22placeholder_video_id%22%3A%227633259666696391954%22%7D&amp;ec_shared_reflux_scene=shop_tab_feed&amp;share_item_id=7633259666696391954&amp;source=h5_t")</f>
        <v>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eholder_origin_cover%22%3A%22https%253A%252F%252Fp16-common-sign.tiktokcdn.com%252Ftos-alisg-p-0037%252Fokej83InNuARId4oIVGPkcAQGeAeLDBS0CHTZQ~tplv-tiktokx-origin.jpeg%253Fdr%253D14572%2526refresh_token%253D3b7eb85d%2526x-expires%253D1808992800%2526x-signature%253DzhyQY%25252Bd9E%25252FZMgX7MRj4vEnlPr%25252BI%25253D%2526t%253D4d5b0474%2526ps%253D13740610%2526shp%253Dd05b14bd%2526shcp%253D34ff8df6%2526idc%253Dmy2%2526s%253DTIKTOK_AFFILIATE_VIRAL_VIDEO%22%2C%22placeholder_product_id%22%3A%221729427766722726591%22%2C%22placeholder_video_id%22%3A%227633259666696391954%22%7D&amp;ec_shared_reflux_scene=shop_tab_feed&amp;share_item_id=7633259666696391954&amp;source=h5_t</v>
      </c>
      <c r="K1889" s="470"/>
      <c r="L1889" s="471" t="str">
        <f>IFERROR(__xludf.DUMMYFUNCTION("""COMPUTED_VALUE"""),"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"&amp;"eholder_origin_cover%22%3A%22https%253A%252F%252Fp16-common-sign.tiktokcdn.com%252Ftos-alisg-p-0037%252FoEvtB2BmQIJJbKvDCITIgGKC4QfW4c8eAAeLPj~tplv-tiktokx-origin.jpeg%253Fdr%253D14572%2526refresh_token%253D14b8e5a1%2526x-expires%253D1808992800%2526x-sign"&amp;"ature%253DsBKNRZM9NlGgABGP%25252Bi5CuTVSWFg%25253D%2526t%253D4d5b0474%2526ps%253D13740610%2526shp%253Dd05b14bd%2526shcp%253D34ff8df6%2526idc%253Dmy2%2526s%253DTIKTOK_AFFILIATE_VIRAL_VIDEO%22%2C%22placeholder_product_id%22%3A%221729427766722726591%22%2C%22"&amp;"placeholder_video_id%22%3A%227633619284236799240%22%7D&amp;ec_shared_reflux_scene=shop_tab_feed&amp;share_item_id=7633619284236799240&amp;source=h5_t")</f>
        <v>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eholder_origin_cover%22%3A%22https%253A%252F%252Fp16-common-sign.tiktokcdn.com%252Ftos-alisg-p-0037%252FoEvtB2BmQIJJbKvDCITIgGKC4QfW4c8eAAeLPj~tplv-tiktokx-origin.jpeg%253Fdr%253D14572%2526refresh_token%253D14b8e5a1%2526x-expires%253D1808992800%2526x-signature%253DsBKNRZM9NlGgABGP%25252Bi5CuTVSWFg%25253D%2526t%253D4d5b0474%2526ps%253D13740610%2526shp%253Dd05b14bd%2526shcp%253D34ff8df6%2526idc%253Dmy2%2526s%253DTIKTOK_AFFILIATE_VIRAL_VIDEO%22%2C%22placeholder_product_id%22%3A%221729427766722726591%22%2C%22placeholder_video_id%22%3A%227633619284236799240%22%7D&amp;ec_shared_reflux_scene=shop_tab_feed&amp;share_item_id=7633619284236799240&amp;source=h5_t</v>
      </c>
      <c r="M1889" s="470"/>
      <c r="N1889" s="471" t="str">
        <f>IFERROR(__xludf.DUMMYFUNCTION("""COMPUTED_VALUE"""),"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"&amp;"eholder_origin_cover%22%3A%22https%253A%252F%252Fp16-sign-sg.tiktokcdn.com%252Ftos-alisg-p-0037%252Fo03hfABezYXBDiRNp9OP7BUEgIxxBiEINkwKiH~tplv-tiktokx-origin.jpeg%253Fdr%253D14572%2526refresh_token%253D2b3edbd9%2526x-expires%253D1808992800%2526x-signatur"&amp;"e%253DuF7qjx32DHmqMM4GzKo0wROx5Eg%25253D%2526t%253D4d5b0474%2526ps%253D13740610%2526shp%253Dd05b14bd%2526shcp%253D34ff8df6%2526idc%253Dmy2%2526s%253DTIKTOK_AFFILIATE_VIRAL_VIDEO%22%2C%22placeholder_product_id%22%3A%221729427766722726591%22%2C%22placeholde"&amp;"r_video_id%22%3A%227633988561930423560%22%7D&amp;ec_shared_reflux_scene=shop_tab_feed&amp;share_item_id=7633988561930423560&amp;source=h5_t")</f>
        <v>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eholder_origin_cover%22%3A%22https%253A%252F%252Fp16-sign-sg.tiktokcdn.com%252Ftos-alisg-p-0037%252Fo03hfABezYXBDiRNp9OP7BUEgIxxBiEINkwKiH~tplv-tiktokx-origin.jpeg%253Fdr%253D14572%2526refresh_token%253D2b3edbd9%2526x-expires%253D1808992800%2526x-signature%253DuF7qjx32DHmqMM4GzKo0wROx5Eg%25253D%2526t%253D4d5b0474%2526ps%253D13740610%2526shp%253Dd05b14bd%2526shcp%253D34ff8df6%2526idc%253Dmy2%2526s%253DTIKTOK_AFFILIATE_VIRAL_VIDEO%22%2C%22placeholder_product_id%22%3A%221729427766722726591%22%2C%22placeholder_video_id%22%3A%227633988561930423560%22%7D&amp;ec_shared_reflux_scene=shop_tab_feed&amp;share_item_id=7633988561930423560&amp;source=h5_t</v>
      </c>
      <c r="O1889" s="470"/>
      <c r="P1889" s="471" t="str">
        <f>IFERROR(__xludf.DUMMYFUNCTION("""COMPUTED_VALUE"""),"https://vt.tiktok.com/ZSxfCLAv5/")</f>
        <v>https://vt.tiktok.com/ZSxfCLAv5/</v>
      </c>
    </row>
    <row r="1890">
      <c r="A1890" s="282" t="str">
        <f>IFERROR(__xludf.DUMMYFUNCTION("""COMPUTED_VALUE"""),"MICRO")</f>
        <v>MICRO</v>
      </c>
      <c r="B1890" s="468" t="str">
        <f>IFERROR(__xludf.DUMMYFUNCTION("""COMPUTED_VALUE"""),"dindaaaaaaaaa_____")</f>
        <v>dindaaaaaaaaa_____</v>
      </c>
      <c r="C1890" s="283" t="str">
        <f>IFERROR(__xludf.DUMMYFUNCTION("""COMPUTED_VALUE"""),"https://www.tiktok.com/@dindaaaaaaaaa_____")</f>
        <v>https://www.tiktok.com/@dindaaaaaaaaa_____</v>
      </c>
      <c r="D1890" s="273">
        <f>IFERROR(__xludf.DUMMYFUNCTION("""COMPUTED_VALUE"""),8.5719216803E10)</f>
        <v>85719216803</v>
      </c>
      <c r="E1890" s="458">
        <f>IFERROR(__xludf.DUMMYFUNCTION("""COMPUTED_VALUE"""),0.0)</f>
        <v>0</v>
      </c>
      <c r="F1890" s="273">
        <f>IFERROR(__xludf.DUMMYFUNCTION("""COMPUTED_VALUE"""),4.0)</f>
        <v>4</v>
      </c>
      <c r="G1890" t="str">
        <f>IFERROR(__xludf.DUMMYFUNCTION("""COMPUTED_VALUE"""),"Sabun batang 1 Box ( 2 PCS )")</f>
        <v>Sabun batang 1 Box ( 2 PCS )</v>
      </c>
      <c r="H1890" s="469" t="str">
        <f>IFERROR(__xludf.DUMMYFUNCTION("""COMPUTED_VALUE"""),"Sampai")</f>
        <v>Sampai</v>
      </c>
      <c r="I1890" s="470"/>
      <c r="J1890" s="471" t="str">
        <f>IFERROR(__xludf.DUMMYFUNCTION("""COMPUTED_VALUE"""),"https://www.tiktok.com/@belanja_hemat.shop/video/7629926744312548615?_r=1&amp;u_code=ek6h2252jijmih&amp;region=&amp;mid=7395415388382824464&amp;preview_pb=0&amp;sharer_language=&amp;_d=0&amp;ec_shared_reflux_dynamic_params=%7B%22placeholder_material_id%22%3A%227629926744312548615%22"&amp;"%2C%22placeholder_origin_cover%22%3A%22https%253A%252F%252Fp16-sign-sg.tiktokcdn.com%252Ftos-alisg-p-0037%252FogARLXupOi5fMxsvG8GFedRoAQQmGeGAPnfVBh~tplv-tiktokx-origin.jpeg%253Fdr%253D14572%2526refresh_token%253D0bc3ef94%2526x-expires%253D1808992800%2526"&amp;"x-signature%253DCbDvTxf0YgqWOaOAOjYGyzVeMR4%25253D%2526t%253D4d5b0474%2526ps%253D13740610%2526shp%253Dd05b14bd%2526shcp%253D34ff8df6%2526idc%253Dmy2%2526s%253DTIKTOK_AFFILIATE_VIRAL_VIDEO%22%2C%22placeholder_product_id%22%3A%221729427766722726591%22%2C%22"&amp;"placeholder_video_id%22%3A%227629926744312548615%22%7D&amp;ec_shared_reflux_scene=shop_tab_feed&amp;share_item_id=7629926744312548615&amp;source=h5_t")</f>
        <v>https://www.tiktok.com/@belanja_hemat.shop/video/7629926744312548615?_r=1&amp;u_code=ek6h2252jijmih&amp;region=&amp;mid=7395415388382824464&amp;preview_pb=0&amp;sharer_language=&amp;_d=0&amp;ec_shared_reflux_dynamic_params=%7B%22placeholder_material_id%22%3A%227629926744312548615%22%2C%22placeholder_origin_cover%22%3A%22https%253A%252F%252Fp16-sign-sg.tiktokcdn.com%252Ftos-alisg-p-0037%252FogARLXupOi5fMxsvG8GFedRoAQQmGeGAPnfVBh~tplv-tiktokx-origin.jpeg%253Fdr%253D14572%2526refresh_token%253D0bc3ef94%2526x-expires%253D1808992800%2526x-signature%253DCbDvTxf0YgqWOaOAOjYGyzVeMR4%25253D%2526t%253D4d5b0474%2526ps%253D13740610%2526shp%253Dd05b14bd%2526shcp%253D34ff8df6%2526idc%253Dmy2%2526s%253DTIKTOK_AFFILIATE_VIRAL_VIDEO%22%2C%22placeholder_product_id%22%3A%221729427766722726591%22%2C%22placeholder_video_id%22%3A%227629926744312548615%22%7D&amp;ec_shared_reflux_scene=shop_tab_feed&amp;share_item_id=7629926744312548615&amp;source=h5_t</v>
      </c>
      <c r="K1890" s="470"/>
      <c r="L1890" s="471" t="str">
        <f>IFERROR(__xludf.DUMMYFUNCTION("""COMPUTED_VALUE"""),"https://www.tiktok.com/@belanja_hemat.shop/video/7630068304346074375?_r=1&amp;u_code=ek6h2252jijmih&amp;region=&amp;mid=7502446149192567607&amp;preview_pb=0&amp;sharer_language=&amp;_d=0&amp;ec_shared_reflux_dynamic_params=%7B%22placeholder_material_id%22%3A%227630068304346074375%22"&amp;"%2C%22placeholder_origin_cover%22%3A%22https%253A%252F%252Fp16-common-sign.tiktokcdn.com%252Ftos-alisg-p-0037%252FoY0jIj6CABiiHw6UKcYAvir4yAqkkIDPINeK4B~tplv-tiktokx-origin.jpeg%253Fdr%253D14572%2526refresh_token%253Dc394bf07%2526x-expires%253D1808992800%"&amp;"2526x-signature%253D%25252FXFHLg710N9EHbaT4qukgslNM%25252F0%25253D%2526t%253D4d5b0474%2526ps%253D13740610%2526shp%253Dd05b14bd%2526shcp%253D34ff8df6%2526idc%253Dmy2%2526s%253DTIKTOK_AFFILIATE_VIRAL_VIDEO%22%2C%22placeholder_product_id%22%3A%22172942776672"&amp;"2726591%22%2C%22placeholder_video_id%22%3A%227630068304346074375%22%7D&amp;ec_shared_reflux_scene=shop_tab_feed&amp;share_item_id=7630068304346074375&amp;source=h5_t")</f>
        <v>https://www.tiktok.com/@belanja_hemat.shop/video/7630068304346074375?_r=1&amp;u_code=ek6h2252jijmih&amp;region=&amp;mid=7502446149192567607&amp;preview_pb=0&amp;sharer_language=&amp;_d=0&amp;ec_shared_reflux_dynamic_params=%7B%22placeholder_material_id%22%3A%227630068304346074375%22%2C%22placeholder_origin_cover%22%3A%22https%253A%252F%252Fp16-common-sign.tiktokcdn.com%252Ftos-alisg-p-0037%252FoY0jIj6CABiiHw6UKcYAvir4yAqkkIDPINeK4B~tplv-tiktokx-origin.jpeg%253Fdr%253D14572%2526refresh_token%253Dc394bf07%2526x-expires%253D1808992800%2526x-signature%253D%25252FXFHLg710N9EHbaT4qukgslNM%25252F0%25253D%2526t%253D4d5b0474%2526ps%253D13740610%2526shp%253Dd05b14bd%2526shcp%253D34ff8df6%2526idc%253Dmy2%2526s%253DTIKTOK_AFFILIATE_VIRAL_VIDEO%22%2C%22placeholder_product_id%22%3A%221729427766722726591%22%2C%22placeholder_video_id%22%3A%227630068304346074375%22%7D&amp;ec_shared_reflux_scene=shop_tab_feed&amp;share_item_id=7630068304346074375&amp;source=h5_t</v>
      </c>
      <c r="M1890" s="470"/>
      <c r="N1890" s="471" t="str">
        <f>IFERROR(__xludf.DUMMYFUNCTION("""COMPUTED_VALUE"""),"https://www.tiktok.com/@belanja_hemat.shop/video/7630083439080852744?_r=1&amp;u_code=ek6h2252jijmih&amp;region=&amp;mid=7502446149192567607&amp;preview_pb=0&amp;sharer_language=&amp;_d=0&amp;ec_shared_reflux_dynamic_params=%7B%22placeholder_material_id%22%3A%227630083439080852744%22"&amp;"%2C%22placeholder_origin_cover%22%3A%22https%253A%252F%252Fp16-common-sign.tiktokcdn.com%252Ftos-alisg-p-0037%252FoEONqiBlICA7hICZgjiI3AAAgBswH8WOe0PpIT~tplv-tiktokx-origin.jpeg%253Fdr%253D14572%2526refresh_token%253Dc5a3bd01%2526x-expires%253D1808992800%"&amp;"2526x-signature%253DmHrmToRfBoDI76E5SnS33jucUxo%25253D%2526t%253D4d5b0474%2526ps%253D13740610%2526shp%253Dd05b14bd%2526shcp%253D34ff8df6%2526idc%253Dmy2%2526s%253DTIKTOK_AFFILIATE_VIRAL_VIDEO%22%2C%22placeholder_product_id%22%3A%221729427766722726591%22%2"&amp;"C%22placeholder_video_id%22%3A%227630083439080852744%22%7D&amp;ec_shared_reflux_scene=shop_tab_feed&amp;share_item_id=7630083439080852744&amp;source=h5_t")</f>
        <v>https://www.tiktok.com/@belanja_hemat.shop/video/7630083439080852744?_r=1&amp;u_code=ek6h2252jijmih&amp;region=&amp;mid=7502446149192567607&amp;preview_pb=0&amp;sharer_language=&amp;_d=0&amp;ec_shared_reflux_dynamic_params=%7B%22placeholder_material_id%22%3A%227630083439080852744%22%2C%22placeholder_origin_cover%22%3A%22https%253A%252F%252Fp16-common-sign.tiktokcdn.com%252Ftos-alisg-p-0037%252FoEONqiBlICA7hICZgjiI3AAAgBswH8WOe0PpIT~tplv-tiktokx-origin.jpeg%253Fdr%253D14572%2526refresh_token%253Dc5a3bd01%2526x-expires%253D1808992800%2526x-signature%253DmHrmToRfBoDI76E5SnS33jucUxo%25253D%2526t%253D4d5b0474%2526ps%253D13740610%2526shp%253Dd05b14bd%2526shcp%253D34ff8df6%2526idc%253Dmy2%2526s%253DTIKTOK_AFFILIATE_VIRAL_VIDEO%22%2C%22placeholder_product_id%22%3A%221729427766722726591%22%2C%22placeholder_video_id%22%3A%227630083439080852744%22%7D&amp;ec_shared_reflux_scene=shop_tab_feed&amp;share_item_id=7630083439080852744&amp;source=h5_t</v>
      </c>
      <c r="O1890" s="470"/>
      <c r="P1890" s="471" t="str">
        <f>IFERROR(__xludf.DUMMYFUNCTION("""COMPUTED_VALUE"""),"https://www.tiktok.com/@belanja_hemat.shop/video/7630283480441621767?_r=1&amp;u_code=ek6h2252jijmih&amp;region=&amp;mid=7615963521880558357&amp;preview_pb=0&amp;sharer_language=&amp;_d=0&amp;ec_shared_reflux_dynamic_params=%7B%22placeholder_material_id%22%3A%227630283480441621767%22"&amp;"%2C%22placeholder_origin_cover%22%3A%22https%253A%252F%252Fp16-sign-sg.tiktokcdn.com%252Ftos-alisg-p-0037%252FowLgThbTAvZEDmUpRgqBBrYOOEQeQEFIpPa5fD~tplv-tiktokx-origin.jpeg%253Fdr%253D14572%2526refresh_token%253D7028f3e9%2526x-expires%253D1808992800%2526"&amp;"x-signature%253Dm8NIDbYtD8vdd9sCzAcHHhWysZQ%25253D%2526t%253D4d5b0474%2526ps%253D13740610%2526shp%253Dd05b14bd%2526shcp%253D34ff8df6%2526idc%253Dmy2%2526s%253DTIKTOK_AFFILIATE_VIRAL_VIDEO%22%2C%22placeholder_product_id%22%3A%221729427766722726591%22%2C%22"&amp;"placeholder_video_id%22%3A%227630283480441621767%22%7D&amp;ec_shared_reflux_scene=shop_tab_feed&amp;share_item_id=7630283480441621767&amp;source=h5_t")</f>
        <v>https://www.tiktok.com/@belanja_hemat.shop/video/7630283480441621767?_r=1&amp;u_code=ek6h2252jijmih&amp;region=&amp;mid=7615963521880558357&amp;preview_pb=0&amp;sharer_language=&amp;_d=0&amp;ec_shared_reflux_dynamic_params=%7B%22placeholder_material_id%22%3A%227630283480441621767%22%2C%22placeholder_origin_cover%22%3A%22https%253A%252F%252Fp16-sign-sg.tiktokcdn.com%252Ftos-alisg-p-0037%252FowLgThbTAvZEDmUpRgqBBrYOOEQeQEFIpPa5fD~tplv-tiktokx-origin.jpeg%253Fdr%253D14572%2526refresh_token%253D7028f3e9%2526x-expires%253D1808992800%2526x-signature%253Dm8NIDbYtD8vdd9sCzAcHHhWysZQ%25253D%2526t%253D4d5b0474%2526ps%253D13740610%2526shp%253Dd05b14bd%2526shcp%253D34ff8df6%2526idc%253Dmy2%2526s%253DTIKTOK_AFFILIATE_VIRAL_VIDEO%22%2C%22placeholder_product_id%22%3A%221729427766722726591%22%2C%22placeholder_video_id%22%3A%227630283480441621767%22%7D&amp;ec_shared_reflux_scene=shop_tab_feed&amp;share_item_id=7630283480441621767&amp;source=h5_t</v>
      </c>
    </row>
    <row r="1891">
      <c r="A1891" s="282" t="str">
        <f>IFERROR(__xludf.DUMMYFUNCTION("""COMPUTED_VALUE"""),"MICRO")</f>
        <v>MICRO</v>
      </c>
      <c r="B1891" s="468" t="str">
        <f>IFERROR(__xludf.DUMMYFUNCTION("""COMPUTED_VALUE"""),"sevenaque_")</f>
        <v>sevenaque_</v>
      </c>
      <c r="C1891" s="283" t="str">
        <f>IFERROR(__xludf.DUMMYFUNCTION("""COMPUTED_VALUE"""),"https://www.tiktok.com/@sevenaque_")</f>
        <v>https://www.tiktok.com/@sevenaque_</v>
      </c>
      <c r="D1891" s="273">
        <f>IFERROR(__xludf.DUMMYFUNCTION("""COMPUTED_VALUE"""),8.5837846836E10)</f>
        <v>85837846836</v>
      </c>
      <c r="E1891" s="458">
        <f>IFERROR(__xludf.DUMMYFUNCTION("""COMPUTED_VALUE"""),0.0)</f>
        <v>0</v>
      </c>
      <c r="F1891" s="273">
        <f>IFERROR(__xludf.DUMMYFUNCTION("""COMPUTED_VALUE"""),2.0)</f>
        <v>2</v>
      </c>
      <c r="G1891" t="str">
        <f>IFERROR(__xludf.DUMMYFUNCTION("""COMPUTED_VALUE"""),"Sabun batang 1 Box ( 2 PCS )")</f>
        <v>Sabun batang 1 Box ( 2 PCS )</v>
      </c>
      <c r="H1891" s="469" t="str">
        <f>IFERROR(__xludf.DUMMYFUNCTION("""COMPUTED_VALUE"""),"Sampai")</f>
        <v>Sampai</v>
      </c>
      <c r="I1891" s="470"/>
      <c r="J1891" s="471" t="str">
        <f>IFERROR(__xludf.DUMMYFUNCTION("""COMPUTED_VALUE"""),"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"&amp;"aceholder_origin_cover%22%3A%22https%253A%252F%252Fp16-common-sign.tiktokcdn.com%252Ftos-alisg-p-0037%252FocT3fUyagtsUCPXIgtfvGDAQDjLK9oeTHAQG2I~tplv-tiktokx-origin.jpeg%253Fdr%253D14572%2526refresh_token%253D13d7c298%2526x-expires%253D1808992800%2526x-si"&amp;"gnature%253Dm1yuhUo4JC1EwMfosEQhUBd56yw%25253D%2526t%253D4d5b0474%2526ps%253D13740610%2526shp%253Dd05b14bd%2526shcp%253D34ff8df6%2526idc%253Dmy2%2526s%253DTIKTOK_AFFILIATE_VIRAL_VIDEO%22%2C%22placeholder_product_id%22%3A%221729427766722726591%22%2C%22plac"&amp;"eholder_video_id%22%3A%227633434949797858581%22%7D&amp;ec_shared_reflux_scene=shop_tab_feed&amp;share_item_id=7633434949797858581&amp;source=h5_t")</f>
        <v>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aceholder_origin_cover%22%3A%22https%253A%252F%252Fp16-common-sign.tiktokcdn.com%252Ftos-alisg-p-0037%252FocT3fUyagtsUCPXIgtfvGDAQDjLK9oeTHAQG2I~tplv-tiktokx-origin.jpeg%253Fdr%253D14572%2526refresh_token%253D13d7c298%2526x-expires%253D1808992800%2526x-signature%253Dm1yuhUo4JC1EwMfosEQhUBd56yw%25253D%2526t%253D4d5b0474%2526ps%253D13740610%2526shp%253Dd05b14bd%2526shcp%253D34ff8df6%2526idc%253Dmy2%2526s%253DTIKTOK_AFFILIATE_VIRAL_VIDEO%22%2C%22placeholder_product_id%22%3A%221729427766722726591%22%2C%22placeholder_video_id%22%3A%227633434949797858581%22%7D&amp;ec_shared_reflux_scene=shop_tab_feed&amp;share_item_id=7633434949797858581&amp;source=h5_t</v>
      </c>
      <c r="K1891" s="470"/>
      <c r="L1891" s="471" t="str">
        <f>IFERROR(__xludf.DUMMYFUNCTION("""COMPUTED_VALUE"""),"https://vt.tiktok.com/ZSxfQGEgj/")</f>
        <v>https://vt.tiktok.com/ZSxfQGEgj/</v>
      </c>
      <c r="M1891" s="470"/>
      <c r="N1891" s="471" t="str">
        <f>IFERROR(__xludf.DUMMYFUNCTION("""COMPUTED_VALUE"""),"https://vt.tiktok.com/ZSxDYhccb/")</f>
        <v>https://vt.tiktok.com/ZSxDYhccb/</v>
      </c>
      <c r="O1891" s="470"/>
      <c r="P1891" s="471" t="str">
        <f>IFERROR(__xludf.DUMMYFUNCTION("""COMPUTED_VALUE"""),"https://vt.tiktok.com/ZSxDYQyTW/")</f>
        <v>https://vt.tiktok.com/ZSxDYQyTW/</v>
      </c>
    </row>
    <row r="1892">
      <c r="A1892" s="282" t="str">
        <f>IFERROR(__xludf.DUMMYFUNCTION("""COMPUTED_VALUE"""),"MICRO")</f>
        <v>MICRO</v>
      </c>
      <c r="B1892" s="468" t="str">
        <f>IFERROR(__xludf.DUMMYFUNCTION("""COMPUTED_VALUE"""),"elfss_i")</f>
        <v>elfss_i</v>
      </c>
      <c r="C1892" s="283" t="str">
        <f>IFERROR(__xludf.DUMMYFUNCTION("""COMPUTED_VALUE"""),"https://www.tiktok.com/@elfss_i")</f>
        <v>https://www.tiktok.com/@elfss_i</v>
      </c>
      <c r="D1892" s="273">
        <f>IFERROR(__xludf.DUMMYFUNCTION("""COMPUTED_VALUE"""),8.587062556E10)</f>
        <v>85870625560</v>
      </c>
      <c r="E1892" s="458">
        <f>IFERROR(__xludf.DUMMYFUNCTION("""COMPUTED_VALUE"""),0.0)</f>
        <v>0</v>
      </c>
      <c r="F1892" s="273">
        <f>IFERROR(__xludf.DUMMYFUNCTION("""COMPUTED_VALUE"""),4.0)</f>
        <v>4</v>
      </c>
      <c r="G1892" t="str">
        <f>IFERROR(__xludf.DUMMYFUNCTION("""COMPUTED_VALUE"""),"Sabun batang 1 Box ( 2 PCS )")</f>
        <v>Sabun batang 1 Box ( 2 PCS )</v>
      </c>
      <c r="H1892" s="469" t="str">
        <f>IFERROR(__xludf.DUMMYFUNCTION("""COMPUTED_VALUE"""),"Sampai")</f>
        <v>Sampai</v>
      </c>
      <c r="I1892" s="470"/>
      <c r="J1892" s="471" t="str">
        <f>IFERROR(__xludf.DUMMYFUNCTION("""COMPUTED_VALUE"""),"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"&amp;"22placeholder_origin_cover%22%3A%22https%253A%252F%252Fp16-common-sign.tiktokcdn.com%252Ftos-alisg-p-0037%252Fo8fO8AM1hZeDgXj1TZgNKQoIABetCT1Aj7WrQE~tplv-tiktokx-origin.jpeg%253Fdr%253D14572%2526refresh_token%253Db34d4f83%2526x-expires%253D1808992800%2526"&amp;"x-signature%253D5d%25252BwOsNi1vQGg3hT4qvK4L51k%25252FQ%25253D%2526t%253D4d5b0474%2526ps%253D13740610%2526shp%253Dd05b14bd%2526shcp%253D34ff8df6%2526idc%253Dmy2%2526s%253DTIKTOK_AFFILIATE_VIRAL_VIDEO%22%2C%22placeholder_product_id%22%3A%221729427766722726"&amp;"591%22%2C%22placeholder_video_id%22%3A%227632292373736803591%22%7D&amp;ec_shared_reflux_scene=shop_tab_feed&amp;share_item_id=7632292373736803591&amp;source=h5_t")</f>
        <v>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22placeholder_origin_cover%22%3A%22https%253A%252F%252Fp16-common-sign.tiktokcdn.com%252Ftos-alisg-p-0037%252Fo8fO8AM1hZeDgXj1TZgNKQoIABetCT1Aj7WrQE~tplv-tiktokx-origin.jpeg%253Fdr%253D14572%2526refresh_token%253Db34d4f83%2526x-expires%253D1808992800%2526x-signature%253D5d%25252BwOsNi1vQGg3hT4qvK4L51k%25252FQ%25253D%2526t%253D4d5b0474%2526ps%253D13740610%2526shp%253Dd05b14bd%2526shcp%253D34ff8df6%2526idc%253Dmy2%2526s%253DTIKTOK_AFFILIATE_VIRAL_VIDEO%22%2C%22placeholder_product_id%22%3A%221729427766722726591%22%2C%22placeholder_video_id%22%3A%227632292373736803591%22%7D&amp;ec_shared_reflux_scene=shop_tab_feed&amp;share_item_id=7632292373736803591&amp;source=h5_t</v>
      </c>
      <c r="K1892" s="470"/>
      <c r="L1892" s="471" t="str">
        <f>IFERROR(__xludf.DUMMYFUNCTION("""COMPUTED_VALUE"""),"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"&amp;"22placeholder_origin_cover%22%3A%22https%253A%252F%252Fp16-common-sign.tiktokcdn.com%252Ftos-alisg-p-0037%252FogtrPig6fAI1VtrDCBRpT4Bw9iBciEOXRfDIQy~tplv-tiktokx-origin.jpeg%253Fdr%253D14572%2526refresh_token%253Da7dfb7b6%2526x-expires%253D1808992800%2526"&amp;"x-signature%253DBLfnFU%25252FucpfNa%25252FqJkuXBbFXM3IE%25253D%2526t%253D4d5b0474%2526ps%253D13740610%2526shp%253Dd05b14bd%2526shcp%253D34ff8df6%2526idc%253Dmy2%2526s%253DTIKTOK_AFFILIATE_VIRAL_VIDEO%22%2C%22placeholder_product_id%22%3A%221729427766722726"&amp;"591%22%2C%22placeholder_video_id%22%3A%227632466134771453202%22%7D&amp;ec_shared_reflux_scene=shop_tab_feed&amp;share_item_id=7632466134771453202&amp;source=h5_t")</f>
        <v>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22placeholder_origin_cover%22%3A%22https%253A%252F%252Fp16-common-sign.tiktokcdn.com%252Ftos-alisg-p-0037%252FogtrPig6fAI1VtrDCBRpT4Bw9iBciEOXRfDIQy~tplv-tiktokx-origin.jpeg%253Fdr%253D14572%2526refresh_token%253Da7dfb7b6%2526x-expires%253D1808992800%2526x-signature%253DBLfnFU%25252FucpfNa%25252FqJkuXBbFXM3IE%25253D%2526t%253D4d5b0474%2526ps%253D13740610%2526shp%253Dd05b14bd%2526shcp%253D34ff8df6%2526idc%253Dmy2%2526s%253DTIKTOK_AFFILIATE_VIRAL_VIDEO%22%2C%22placeholder_product_id%22%3A%221729427766722726591%22%2C%22placeholder_video_id%22%3A%227632466134771453202%22%7D&amp;ec_shared_reflux_scene=shop_tab_feed&amp;share_item_id=7632466134771453202&amp;source=h5_t</v>
      </c>
      <c r="M1892" s="470"/>
      <c r="N1892" s="471" t="str">
        <f>IFERROR(__xludf.DUMMYFUNCTION("""COMPUTED_VALUE"""),"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"&amp;"22placeholder_origin_cover%22%3A%22https%253A%252F%252Fp16-common-sign.tiktokcdn.com%252Ftos-alisg-p-0037%252Fow724I9IGp8GJCSiAIeZAtCBfL0WETDI55ejBs~tplv-tiktokx-origin.jpeg%253Fdr%253D14572%2526refresh_token%253D974a53c8%2526x-expires%253D1808992800%2526"&amp;"x-signature%253DbBhbMoNFUGaDXGV%25252F1hVcSOsTVPM%25253D%2526t%253D4d5b0474%2526ps%253D13740610%2526shp%253Dd05b14bd%2526shcp%253D34ff8df6%2526idc%253Dmy2%2526s%253DTIKTOK_AFFILIATE_VIRAL_VIDEO%22%2C%22placeholder_product_id%22%3A%221729427766722726591%22"&amp;"%2C%22placeholder_video_id%22%3A%227632556344465231122%22%7D&amp;ec_shared_reflux_scene=shop_tab_feed&amp;share_item_id=7632556344465231122&amp;source=h5_t")</f>
        <v>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22placeholder_origin_cover%22%3A%22https%253A%252F%252Fp16-common-sign.tiktokcdn.com%252Ftos-alisg-p-0037%252Fow724I9IGp8GJCSiAIeZAtCBfL0WETDI55ejBs~tplv-tiktokx-origin.jpeg%253Fdr%253D14572%2526refresh_token%253D974a53c8%2526x-expires%253D1808992800%2526x-signature%253DbBhbMoNFUGaDXGV%25252F1hVcSOsTVPM%25253D%2526t%253D4d5b0474%2526ps%253D13740610%2526shp%253Dd05b14bd%2526shcp%253D34ff8df6%2526idc%253Dmy2%2526s%253DTIKTOK_AFFILIATE_VIRAL_VIDEO%22%2C%22placeholder_product_id%22%3A%221729427766722726591%22%2C%22placeholder_video_id%22%3A%227632556344465231122%22%7D&amp;ec_shared_reflux_scene=shop_tab_feed&amp;share_item_id=7632556344465231122&amp;source=h5_t</v>
      </c>
      <c r="O1892" s="470"/>
      <c r="P1892" s="471" t="str">
        <f>IFERROR(__xludf.DUMMYFUNCTION("""COMPUTED_VALUE"""),"https://www.tiktok.com/@rositaramdani7/video/7632840621039914248?_d=0&amp;_r=1&amp;ec_shared_reflux_dynamic_params=%7B%22placeholder_material_id%22%3A%227632840621039914248%22%2C%22placeholder_origin_cover%22%3A%22https%253A%252F%252Fp16-common-sign.tiktokcdn.com"&amp;"%252Ftos-alisg-p-0037%252Fo4Tq0AI4XCBVwjAWIYrCAIztJuiCI9hiVLCQfh~tplv-tiktokx-origin.jpeg%253Fdr%253D14572%2526refresh_token%253D142f2fad%2526x-expires%253D1808992800%2526x-signature%253DHpeIR5KLtc6wc1RTiJXRcQO8fOs%25253D%2526t%253D4d5b0474%2526ps%253D137"&amp;"40610%2526shp%253Dd05b14bd%2526shcp%253D34ff8df6%2526idc%253Dmy2%2526s%253DTIKTOK_AFFILIATE_VIRAL_VIDEO%22%2C%22placeholder_product_id%22%3A%221729427766722726591%22%2C%22placeholder_video_id%22%3A%227632840621039914248%22%7D&amp;ec_shared_reflux_scene=shop_t"&amp;"ab_feed&amp;mid=7591377536513985281&amp;preview_pb=0&amp;region=&amp;share_item_id=7632840621039914248&amp;sharer_language=&amp;source=h5_t&amp;u_code=f1489jb4bi84e11")</f>
        <v>https://www.tiktok.com/@rositaramdani7/video/7632840621039914248?_d=0&amp;_r=1&amp;ec_shared_reflux_dynamic_params=%7B%22placeholder_material_id%22%3A%227632840621039914248%22%2C%22placeholder_origin_cover%22%3A%22https%253A%252F%252Fp16-common-sign.tiktokcdn.com%252Ftos-alisg-p-0037%252Fo4Tq0AI4XCBVwjAWIYrCAIztJuiCI9hiVLCQfh~tplv-tiktokx-origin.jpeg%253Fdr%253D14572%2526refresh_token%253D142f2fad%2526x-expires%253D1808992800%2526x-signature%253DHpeIR5KLtc6wc1RTiJXRcQO8fOs%25253D%2526t%253D4d5b0474%2526ps%253D13740610%2526shp%253Dd05b14bd%2526shcp%253D34ff8df6%2526idc%253Dmy2%2526s%253DTIKTOK_AFFILIATE_VIRAL_VIDEO%22%2C%22placeholder_product_id%22%3A%221729427766722726591%22%2C%22placeholder_video_id%22%3A%227632840621039914248%22%7D&amp;ec_shared_reflux_scene=shop_tab_feed&amp;mid=7591377536513985281&amp;preview_pb=0&amp;region=&amp;share_item_id=7632840621039914248&amp;sharer_language=&amp;source=h5_t&amp;u_code=f1489jb4bi84e11</v>
      </c>
    </row>
    <row r="1893">
      <c r="A1893" s="282" t="str">
        <f>IFERROR(__xludf.DUMMYFUNCTION("""COMPUTED_VALUE"""),"MICRO")</f>
        <v>MICRO</v>
      </c>
      <c r="B1893" s="468" t="str">
        <f>IFERROR(__xludf.DUMMYFUNCTION("""COMPUTED_VALUE"""),"spillbylisaa")</f>
        <v>spillbylisaa</v>
      </c>
      <c r="C1893" s="283" t="str">
        <f>IFERROR(__xludf.DUMMYFUNCTION("""COMPUTED_VALUE"""),"https://www.tiktok.com/@spillbylisaa")</f>
        <v>https://www.tiktok.com/@spillbylisaa</v>
      </c>
      <c r="D1893" s="273">
        <f>IFERROR(__xludf.DUMMYFUNCTION("""COMPUTED_VALUE"""),8.2360946977E10)</f>
        <v>82360946977</v>
      </c>
      <c r="E1893" s="458">
        <f>IFERROR(__xludf.DUMMYFUNCTION("""COMPUTED_VALUE"""),0.0)</f>
        <v>0</v>
      </c>
      <c r="F1893" s="273">
        <f>IFERROR(__xludf.DUMMYFUNCTION("""COMPUTED_VALUE"""),4.0)</f>
        <v>4</v>
      </c>
      <c r="G1893" t="str">
        <f>IFERROR(__xludf.DUMMYFUNCTION("""COMPUTED_VALUE"""),"Sabun batang 1 Box ( 2 PCS )")</f>
        <v>Sabun batang 1 Box ( 2 PCS )</v>
      </c>
      <c r="H1893" s="469" t="str">
        <f>IFERROR(__xludf.DUMMYFUNCTION("""COMPUTED_VALUE"""),"Sampai")</f>
        <v>Sampai</v>
      </c>
      <c r="I1893" s="470"/>
      <c r="J1893" s="471" t="str">
        <f>IFERROR(__xludf.DUMMYFUNCTION("""COMPUTED_VALUE"""),"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"&amp;"eholder_origin_cover%22%3A%22https%253A%252F%252Fp16-common-sign.tiktokcdn.com%252Ftos-alisg-p-0037%252Fokej83InNuARId4oIVGPkcAQGeAeLDBS0CHTZQ~tplv-tiktokx-origin.jpeg%253Fdr%253D14572%2526refresh_token%253D3b7eb85d%2526x-expires%253D1808992800%2526x-sign"&amp;"ature%253DzhyQY%25252Bd9E%25252FZMgX7MRj4vEnlPr%25252BI%25253D%2526t%253D4d5b0474%2526ps%253D13740610%2526shp%253Dd05b14bd%2526shcp%253D34ff8df6%2526idc%253Dmy2%2526s%253DTIKTOK_AFFILIATE_VIRAL_VIDEO%22%2C%22placeholder_product_id%22%3A%221729427766722726"&amp;"591%22%2C%22placeholder_video_id%22%3A%227633259666696391954%22%7D&amp;ec_shared_reflux_scene=shop_tab_feed&amp;share_item_id=7633259666696391954&amp;source=h5_t")</f>
        <v>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eholder_origin_cover%22%3A%22https%253A%252F%252Fp16-common-sign.tiktokcdn.com%252Ftos-alisg-p-0037%252Fokej83InNuARId4oIVGPkcAQGeAeLDBS0CHTZQ~tplv-tiktokx-origin.jpeg%253Fdr%253D14572%2526refresh_token%253D3b7eb85d%2526x-expires%253D1808992800%2526x-signature%253DzhyQY%25252Bd9E%25252FZMgX7MRj4vEnlPr%25252BI%25253D%2526t%253D4d5b0474%2526ps%253D13740610%2526shp%253Dd05b14bd%2526shcp%253D34ff8df6%2526idc%253Dmy2%2526s%253DTIKTOK_AFFILIATE_VIRAL_VIDEO%22%2C%22placeholder_product_id%22%3A%221729427766722726591%22%2C%22placeholder_video_id%22%3A%227633259666696391954%22%7D&amp;ec_shared_reflux_scene=shop_tab_feed&amp;share_item_id=7633259666696391954&amp;source=h5_t</v>
      </c>
      <c r="K1893" s="470"/>
      <c r="L1893" s="471" t="str">
        <f>IFERROR(__xludf.DUMMYFUNCTION("""COMPUTED_VALUE"""),"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"&amp;"eholder_origin_cover%22%3A%22https%253A%252F%252Fp16-common-sign.tiktokcdn.com%252Ftos-alisg-p-0037%252FoEvtB2BmQIJJbKvDCITIgGKC4QfW4c8eAAeLPj~tplv-tiktokx-origin.jpeg%253Fdr%253D14572%2526refresh_token%253D14b8e5a1%2526x-expires%253D1808992800%2526x-sign"&amp;"ature%253DsBKNRZM9NlGgABGP%25252Bi5CuTVSWFg%25253D%2526t%253D4d5b0474%2526ps%253D13740610%2526shp%253Dd05b14bd%2526shcp%253D34ff8df6%2526idc%253Dmy2%2526s%253DTIKTOK_AFFILIATE_VIRAL_VIDEO%22%2C%22placeholder_product_id%22%3A%221729427766722726591%22%2C%22"&amp;"placeholder_video_id%22%3A%227633619284236799240%22%7D&amp;ec_shared_reflux_scene=shop_tab_feed&amp;share_item_id=7633619284236799240&amp;source=h5_t")</f>
        <v>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eholder_origin_cover%22%3A%22https%253A%252F%252Fp16-common-sign.tiktokcdn.com%252Ftos-alisg-p-0037%252FoEvtB2BmQIJJbKvDCITIgGKC4QfW4c8eAAeLPj~tplv-tiktokx-origin.jpeg%253Fdr%253D14572%2526refresh_token%253D14b8e5a1%2526x-expires%253D1808992800%2526x-signature%253DsBKNRZM9NlGgABGP%25252Bi5CuTVSWFg%25253D%2526t%253D4d5b0474%2526ps%253D13740610%2526shp%253Dd05b14bd%2526shcp%253D34ff8df6%2526idc%253Dmy2%2526s%253DTIKTOK_AFFILIATE_VIRAL_VIDEO%22%2C%22placeholder_product_id%22%3A%221729427766722726591%22%2C%22placeholder_video_id%22%3A%227633619284236799240%22%7D&amp;ec_shared_reflux_scene=shop_tab_feed&amp;share_item_id=7633619284236799240&amp;source=h5_t</v>
      </c>
      <c r="M1893" s="470"/>
      <c r="N1893" s="471" t="str">
        <f>IFERROR(__xludf.DUMMYFUNCTION("""COMPUTED_VALUE"""),"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"&amp;"eholder_origin_cover%22%3A%22https%253A%252F%252Fp16-sign-sg.tiktokcdn.com%252Ftos-alisg-p-0037%252Fo03hfABezYXBDiRNp9OP7BUEgIxxBiEINkwKiH~tplv-tiktokx-origin.jpeg%253Fdr%253D14572%2526refresh_token%253D2b3edbd9%2526x-expires%253D1808992800%2526x-signatur"&amp;"e%253DuF7qjx32DHmqMM4GzKo0wROx5Eg%25253D%2526t%253D4d5b0474%2526ps%253D13740610%2526shp%253Dd05b14bd%2526shcp%253D34ff8df6%2526idc%253Dmy2%2526s%253DTIKTOK_AFFILIATE_VIRAL_VIDEO%22%2C%22placeholder_product_id%22%3A%221729427766722726591%22%2C%22placeholde"&amp;"r_video_id%22%3A%227633988561930423560%22%7D&amp;ec_shared_reflux_scene=shop_tab_feed&amp;share_item_id=7633988561930423560&amp;source=h5_t")</f>
        <v>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eholder_origin_cover%22%3A%22https%253A%252F%252Fp16-sign-sg.tiktokcdn.com%252Ftos-alisg-p-0037%252Fo03hfABezYXBDiRNp9OP7BUEgIxxBiEINkwKiH~tplv-tiktokx-origin.jpeg%253Fdr%253D14572%2526refresh_token%253D2b3edbd9%2526x-expires%253D1808992800%2526x-signature%253DuF7qjx32DHmqMM4GzKo0wROx5Eg%25253D%2526t%253D4d5b0474%2526ps%253D13740610%2526shp%253Dd05b14bd%2526shcp%253D34ff8df6%2526idc%253Dmy2%2526s%253DTIKTOK_AFFILIATE_VIRAL_VIDEO%22%2C%22placeholder_product_id%22%3A%221729427766722726591%22%2C%22placeholder_video_id%22%3A%227633988561930423560%22%7D&amp;ec_shared_reflux_scene=shop_tab_feed&amp;share_item_id=7633988561930423560&amp;source=h5_t</v>
      </c>
      <c r="O1893" s="470"/>
      <c r="P1893" s="471" t="str">
        <f>IFERROR(__xludf.DUMMYFUNCTION("""COMPUTED_VALUE"""),"https://vt.tiktok.com/ZSxfCLAv5/")</f>
        <v>https://vt.tiktok.com/ZSxfCLAv5/</v>
      </c>
    </row>
    <row r="1894">
      <c r="A1894" s="282" t="str">
        <f>IFERROR(__xludf.DUMMYFUNCTION("""COMPUTED_VALUE"""),"MICRO")</f>
        <v>MICRO</v>
      </c>
      <c r="B1894" s="468" t="str">
        <f>IFERROR(__xludf.DUMMYFUNCTION("""COMPUTED_VALUE"""),"fashion_cantik999")</f>
        <v>fashion_cantik999</v>
      </c>
      <c r="C1894" s="283" t="str">
        <f>IFERROR(__xludf.DUMMYFUNCTION("""COMPUTED_VALUE"""),"https://www.tiktok.com/@fashion_cantik999")</f>
        <v>https://www.tiktok.com/@fashion_cantik999</v>
      </c>
      <c r="D1894" s="273">
        <f>IFERROR(__xludf.DUMMYFUNCTION("""COMPUTED_VALUE"""),8.2278411113E10)</f>
        <v>82278411113</v>
      </c>
      <c r="E1894" s="458">
        <f>IFERROR(__xludf.DUMMYFUNCTION("""COMPUTED_VALUE"""),0.0)</f>
        <v>0</v>
      </c>
      <c r="F1894" s="273">
        <f>IFERROR(__xludf.DUMMYFUNCTION("""COMPUTED_VALUE"""),4.0)</f>
        <v>4</v>
      </c>
      <c r="G1894" t="str">
        <f>IFERROR(__xludf.DUMMYFUNCTION("""COMPUTED_VALUE"""),"Sabun batang 1 Box ( 2 PCS )")</f>
        <v>Sabun batang 1 Box ( 2 PCS )</v>
      </c>
      <c r="H1894" s="469" t="str">
        <f>IFERROR(__xludf.DUMMYFUNCTION("""COMPUTED_VALUE"""),"Sampai")</f>
        <v>Sampai</v>
      </c>
      <c r="I1894" s="470"/>
      <c r="J1894" s="471" t="str">
        <f>IFERROR(__xludf.DUMMYFUNCTION("""COMPUTED_VALUE"""),"https://www.tiktok.com/@belanja_hemat.shop/video/7629926744312548615?_r=1&amp;u_code=ek6h2252jijmih&amp;region=&amp;mid=7395415388382824464&amp;preview_pb=0&amp;sharer_language=&amp;_d=0&amp;ec_shared_reflux_dynamic_params=%7B%22placeholder_material_id%22%3A%227629926744312548615%22"&amp;"%2C%22placeholder_origin_cover%22%3A%22https%253A%252F%252Fp16-sign-sg.tiktokcdn.com%252Ftos-alisg-p-0037%252FogARLXupOi5fMxsvG8GFedRoAQQmGeGAPnfVBh~tplv-tiktokx-origin.jpeg%253Fdr%253D14572%2526refresh_token%253D0bc3ef94%2526x-expires%253D1808992800%2526"&amp;"x-signature%253DCbDvTxf0YgqWOaOAOjYGyzVeMR4%25253D%2526t%253D4d5b0474%2526ps%253D13740610%2526shp%253Dd05b14bd%2526shcp%253D34ff8df6%2526idc%253Dmy2%2526s%253DTIKTOK_AFFILIATE_VIRAL_VIDEO%22%2C%22placeholder_product_id%22%3A%221729427766722726591%22%2C%22"&amp;"placeholder_video_id%22%3A%227629926744312548615%22%7D&amp;ec_shared_reflux_scene=shop_tab_feed&amp;share_item_id=7629926744312548615&amp;source=h5_t")</f>
        <v>https://www.tiktok.com/@belanja_hemat.shop/video/7629926744312548615?_r=1&amp;u_code=ek6h2252jijmih&amp;region=&amp;mid=7395415388382824464&amp;preview_pb=0&amp;sharer_language=&amp;_d=0&amp;ec_shared_reflux_dynamic_params=%7B%22placeholder_material_id%22%3A%227629926744312548615%22%2C%22placeholder_origin_cover%22%3A%22https%253A%252F%252Fp16-sign-sg.tiktokcdn.com%252Ftos-alisg-p-0037%252FogARLXupOi5fMxsvG8GFedRoAQQmGeGAPnfVBh~tplv-tiktokx-origin.jpeg%253Fdr%253D14572%2526refresh_token%253D0bc3ef94%2526x-expires%253D1808992800%2526x-signature%253DCbDvTxf0YgqWOaOAOjYGyzVeMR4%25253D%2526t%253D4d5b0474%2526ps%253D13740610%2526shp%253Dd05b14bd%2526shcp%253D34ff8df6%2526idc%253Dmy2%2526s%253DTIKTOK_AFFILIATE_VIRAL_VIDEO%22%2C%22placeholder_product_id%22%3A%221729427766722726591%22%2C%22placeholder_video_id%22%3A%227629926744312548615%22%7D&amp;ec_shared_reflux_scene=shop_tab_feed&amp;share_item_id=7629926744312548615&amp;source=h5_t</v>
      </c>
      <c r="K1894" s="470"/>
      <c r="L1894" s="471" t="str">
        <f>IFERROR(__xludf.DUMMYFUNCTION("""COMPUTED_VALUE"""),"https://www.tiktok.com/@belanja_hemat.shop/video/7630068304346074375?_r=1&amp;u_code=ek6h2252jijmih&amp;region=&amp;mid=7502446149192567607&amp;preview_pb=0&amp;sharer_language=&amp;_d=0&amp;ec_shared_reflux_dynamic_params=%7B%22placeholder_material_id%22%3A%227630068304346074375%22"&amp;"%2C%22placeholder_origin_cover%22%3A%22https%253A%252F%252Fp16-common-sign.tiktokcdn.com%252Ftos-alisg-p-0037%252FoY0jIj6CABiiHw6UKcYAvir4yAqkkIDPINeK4B~tplv-tiktokx-origin.jpeg%253Fdr%253D14572%2526refresh_token%253Dc394bf07%2526x-expires%253D1808992800%"&amp;"2526x-signature%253D%25252FXFHLg710N9EHbaT4qukgslNM%25252F0%25253D%2526t%253D4d5b0474%2526ps%253D13740610%2526shp%253Dd05b14bd%2526shcp%253D34ff8df6%2526idc%253Dmy2%2526s%253DTIKTOK_AFFILIATE_VIRAL_VIDEO%22%2C%22placeholder_product_id%22%3A%22172942776672"&amp;"2726591%22%2C%22placeholder_video_id%22%3A%227630068304346074375%22%7D&amp;ec_shared_reflux_scene=shop_tab_feed&amp;share_item_id=7630068304346074375&amp;source=h5_t")</f>
        <v>https://www.tiktok.com/@belanja_hemat.shop/video/7630068304346074375?_r=1&amp;u_code=ek6h2252jijmih&amp;region=&amp;mid=7502446149192567607&amp;preview_pb=0&amp;sharer_language=&amp;_d=0&amp;ec_shared_reflux_dynamic_params=%7B%22placeholder_material_id%22%3A%227630068304346074375%22%2C%22placeholder_origin_cover%22%3A%22https%253A%252F%252Fp16-common-sign.tiktokcdn.com%252Ftos-alisg-p-0037%252FoY0jIj6CABiiHw6UKcYAvir4yAqkkIDPINeK4B~tplv-tiktokx-origin.jpeg%253Fdr%253D14572%2526refresh_token%253Dc394bf07%2526x-expires%253D1808992800%2526x-signature%253D%25252FXFHLg710N9EHbaT4qukgslNM%25252F0%25253D%2526t%253D4d5b0474%2526ps%253D13740610%2526shp%253Dd05b14bd%2526shcp%253D34ff8df6%2526idc%253Dmy2%2526s%253DTIKTOK_AFFILIATE_VIRAL_VIDEO%22%2C%22placeholder_product_id%22%3A%221729427766722726591%22%2C%22placeholder_video_id%22%3A%227630068304346074375%22%7D&amp;ec_shared_reflux_scene=shop_tab_feed&amp;share_item_id=7630068304346074375&amp;source=h5_t</v>
      </c>
      <c r="M1894" s="470"/>
      <c r="N1894" s="471" t="str">
        <f>IFERROR(__xludf.DUMMYFUNCTION("""COMPUTED_VALUE"""),"https://www.tiktok.com/@belanja_hemat.shop/video/7630083439080852744?_r=1&amp;u_code=ek6h2252jijmih&amp;region=&amp;mid=7502446149192567607&amp;preview_pb=0&amp;sharer_language=&amp;_d=0&amp;ec_shared_reflux_dynamic_params=%7B%22placeholder_material_id%22%3A%227630083439080852744%22"&amp;"%2C%22placeholder_origin_cover%22%3A%22https%253A%252F%252Fp16-common-sign.tiktokcdn.com%252Ftos-alisg-p-0037%252FoEONqiBlICA7hICZgjiI3AAAgBswH8WOe0PpIT~tplv-tiktokx-origin.jpeg%253Fdr%253D14572%2526refresh_token%253Dc5a3bd01%2526x-expires%253D1808992800%"&amp;"2526x-signature%253DmHrmToRfBoDI76E5SnS33jucUxo%25253D%2526t%253D4d5b0474%2526ps%253D13740610%2526shp%253Dd05b14bd%2526shcp%253D34ff8df6%2526idc%253Dmy2%2526s%253DTIKTOK_AFFILIATE_VIRAL_VIDEO%22%2C%22placeholder_product_id%22%3A%221729427766722726591%22%2"&amp;"C%22placeholder_video_id%22%3A%227630083439080852744%22%7D&amp;ec_shared_reflux_scene=shop_tab_feed&amp;share_item_id=7630083439080852744&amp;source=h5_t")</f>
        <v>https://www.tiktok.com/@belanja_hemat.shop/video/7630083439080852744?_r=1&amp;u_code=ek6h2252jijmih&amp;region=&amp;mid=7502446149192567607&amp;preview_pb=0&amp;sharer_language=&amp;_d=0&amp;ec_shared_reflux_dynamic_params=%7B%22placeholder_material_id%22%3A%227630083439080852744%22%2C%22placeholder_origin_cover%22%3A%22https%253A%252F%252Fp16-common-sign.tiktokcdn.com%252Ftos-alisg-p-0037%252FoEONqiBlICA7hICZgjiI3AAAgBswH8WOe0PpIT~tplv-tiktokx-origin.jpeg%253Fdr%253D14572%2526refresh_token%253Dc5a3bd01%2526x-expires%253D1808992800%2526x-signature%253DmHrmToRfBoDI76E5SnS33jucUxo%25253D%2526t%253D4d5b0474%2526ps%253D13740610%2526shp%253Dd05b14bd%2526shcp%253D34ff8df6%2526idc%253Dmy2%2526s%253DTIKTOK_AFFILIATE_VIRAL_VIDEO%22%2C%22placeholder_product_id%22%3A%221729427766722726591%22%2C%22placeholder_video_id%22%3A%227630083439080852744%22%7D&amp;ec_shared_reflux_scene=shop_tab_feed&amp;share_item_id=7630083439080852744&amp;source=h5_t</v>
      </c>
      <c r="O1894" s="470"/>
      <c r="P1894" s="471" t="str">
        <f>IFERROR(__xludf.DUMMYFUNCTION("""COMPUTED_VALUE"""),"https://www.tiktok.com/@belanja_hemat.shop/video/7630283480441621767?_r=1&amp;u_code=ek6h2252jijmih&amp;region=&amp;mid=7615963521880558357&amp;preview_pb=0&amp;sharer_language=&amp;_d=0&amp;ec_shared_reflux_dynamic_params=%7B%22placeholder_material_id%22%3A%227630283480441621767%22"&amp;"%2C%22placeholder_origin_cover%22%3A%22https%253A%252F%252Fp16-sign-sg.tiktokcdn.com%252Ftos-alisg-p-0037%252FowLgThbTAvZEDmUpRgqBBrYOOEQeQEFIpPa5fD~tplv-tiktokx-origin.jpeg%253Fdr%253D14572%2526refresh_token%253D7028f3e9%2526x-expires%253D1808992800%2526"&amp;"x-signature%253Dm8NIDbYtD8vdd9sCzAcHHhWysZQ%25253D%2526t%253D4d5b0474%2526ps%253D13740610%2526shp%253Dd05b14bd%2526shcp%253D34ff8df6%2526idc%253Dmy2%2526s%253DTIKTOK_AFFILIATE_VIRAL_VIDEO%22%2C%22placeholder_product_id%22%3A%221729427766722726591%22%2C%22"&amp;"placeholder_video_id%22%3A%227630283480441621767%22%7D&amp;ec_shared_reflux_scene=shop_tab_feed&amp;share_item_id=7630283480441621767&amp;source=h5_t")</f>
        <v>https://www.tiktok.com/@belanja_hemat.shop/video/7630283480441621767?_r=1&amp;u_code=ek6h2252jijmih&amp;region=&amp;mid=7615963521880558357&amp;preview_pb=0&amp;sharer_language=&amp;_d=0&amp;ec_shared_reflux_dynamic_params=%7B%22placeholder_material_id%22%3A%227630283480441621767%22%2C%22placeholder_origin_cover%22%3A%22https%253A%252F%252Fp16-sign-sg.tiktokcdn.com%252Ftos-alisg-p-0037%252FowLgThbTAvZEDmUpRgqBBrYOOEQeQEFIpPa5fD~tplv-tiktokx-origin.jpeg%253Fdr%253D14572%2526refresh_token%253D7028f3e9%2526x-expires%253D1808992800%2526x-signature%253Dm8NIDbYtD8vdd9sCzAcHHhWysZQ%25253D%2526t%253D4d5b0474%2526ps%253D13740610%2526shp%253Dd05b14bd%2526shcp%253D34ff8df6%2526idc%253Dmy2%2526s%253DTIKTOK_AFFILIATE_VIRAL_VIDEO%22%2C%22placeholder_product_id%22%3A%221729427766722726591%22%2C%22placeholder_video_id%22%3A%227630283480441621767%22%7D&amp;ec_shared_reflux_scene=shop_tab_feed&amp;share_item_id=7630283480441621767&amp;source=h5_t</v>
      </c>
    </row>
    <row r="1895">
      <c r="A1895" s="282" t="str">
        <f>IFERROR(__xludf.DUMMYFUNCTION("""COMPUTED_VALUE"""),"MICRO")</f>
        <v>MICRO</v>
      </c>
      <c r="B1895" s="468" t="str">
        <f>IFERROR(__xludf.DUMMYFUNCTION("""COMPUTED_VALUE"""),"dewiisartika2910")</f>
        <v>dewiisartika2910</v>
      </c>
      <c r="C1895" s="283" t="str">
        <f>IFERROR(__xludf.DUMMYFUNCTION("""COMPUTED_VALUE"""),"https://www.tiktok.com/@dewiisartika2910")</f>
        <v>https://www.tiktok.com/@dewiisartika2910</v>
      </c>
      <c r="D1895" s="273">
        <f>IFERROR(__xludf.DUMMYFUNCTION("""COMPUTED_VALUE"""),8.1349637153E10)</f>
        <v>81349637153</v>
      </c>
      <c r="E1895" s="458">
        <f>IFERROR(__xludf.DUMMYFUNCTION("""COMPUTED_VALUE"""),0.0)</f>
        <v>0</v>
      </c>
      <c r="F1895" s="273">
        <f>IFERROR(__xludf.DUMMYFUNCTION("""COMPUTED_VALUE"""),4.0)</f>
        <v>4</v>
      </c>
      <c r="G1895" t="str">
        <f>IFERROR(__xludf.DUMMYFUNCTION("""COMPUTED_VALUE"""),"Sabun batang 1 Box ( 2 PCS )")</f>
        <v>Sabun batang 1 Box ( 2 PCS )</v>
      </c>
      <c r="H1895" s="469" t="str">
        <f>IFERROR(__xludf.DUMMYFUNCTION("""COMPUTED_VALUE"""),"Sampai")</f>
        <v>Sampai</v>
      </c>
      <c r="I1895" s="470"/>
      <c r="J1895" s="471" t="str">
        <f>IFERROR(__xludf.DUMMYFUNCTION("""COMPUTED_VALUE"""),"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"&amp;"aceholder_origin_cover%22%3A%22https%253A%252F%252Fp16-common-sign.tiktokcdn.com%252Ftos-alisg-p-0037%252FocT3fUyagtsUCPXIgtfvGDAQDjLK9oeTHAQG2I~tplv-tiktokx-origin.jpeg%253Fdr%253D14572%2526refresh_token%253D13d7c298%2526x-expires%253D1808992800%2526x-si"&amp;"gnature%253Dm1yuhUo4JC1EwMfosEQhUBd56yw%25253D%2526t%253D4d5b0474%2526ps%253D13740610%2526shp%253Dd05b14bd%2526shcp%253D34ff8df6%2526idc%253Dmy2%2526s%253DTIKTOK_AFFILIATE_VIRAL_VIDEO%22%2C%22placeholder_product_id%22%3A%221729427766722726591%22%2C%22plac"&amp;"eholder_video_id%22%3A%227633434949797858581%22%7D&amp;ec_shared_reflux_scene=shop_tab_feed&amp;share_item_id=7633434949797858581&amp;source=h5_t")</f>
        <v>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aceholder_origin_cover%22%3A%22https%253A%252F%252Fp16-common-sign.tiktokcdn.com%252Ftos-alisg-p-0037%252FocT3fUyagtsUCPXIgtfvGDAQDjLK9oeTHAQG2I~tplv-tiktokx-origin.jpeg%253Fdr%253D14572%2526refresh_token%253D13d7c298%2526x-expires%253D1808992800%2526x-signature%253Dm1yuhUo4JC1EwMfosEQhUBd56yw%25253D%2526t%253D4d5b0474%2526ps%253D13740610%2526shp%253Dd05b14bd%2526shcp%253D34ff8df6%2526idc%253Dmy2%2526s%253DTIKTOK_AFFILIATE_VIRAL_VIDEO%22%2C%22placeholder_product_id%22%3A%221729427766722726591%22%2C%22placeholder_video_id%22%3A%227633434949797858581%22%7D&amp;ec_shared_reflux_scene=shop_tab_feed&amp;share_item_id=7633434949797858581&amp;source=h5_t</v>
      </c>
      <c r="K1895" s="470"/>
      <c r="L1895" s="471" t="str">
        <f>IFERROR(__xludf.DUMMYFUNCTION("""COMPUTED_VALUE"""),"https://vt.tiktok.com/ZSxfQGEgj/")</f>
        <v>https://vt.tiktok.com/ZSxfQGEgj/</v>
      </c>
      <c r="M1895" s="470"/>
      <c r="N1895" s="471" t="str">
        <f>IFERROR(__xludf.DUMMYFUNCTION("""COMPUTED_VALUE"""),"https://vt.tiktok.com/ZSxDYhccb/")</f>
        <v>https://vt.tiktok.com/ZSxDYhccb/</v>
      </c>
      <c r="O1895" s="470"/>
      <c r="P1895" s="471" t="str">
        <f>IFERROR(__xludf.DUMMYFUNCTION("""COMPUTED_VALUE"""),"https://vt.tiktok.com/ZSxDYQyTW/")</f>
        <v>https://vt.tiktok.com/ZSxDYQyTW/</v>
      </c>
    </row>
    <row r="1896">
      <c r="A1896" s="282" t="str">
        <f>IFERROR(__xludf.DUMMYFUNCTION("""COMPUTED_VALUE"""),"MICRO")</f>
        <v>MICRO</v>
      </c>
      <c r="B1896" s="468" t="str">
        <f>IFERROR(__xludf.DUMMYFUNCTION("""COMPUTED_VALUE"""),"y0urgirls8")</f>
        <v>y0urgirls8</v>
      </c>
      <c r="C1896" s="283" t="str">
        <f>IFERROR(__xludf.DUMMYFUNCTION("""COMPUTED_VALUE"""),"https://www.tiktok.com/@y0urgirls8")</f>
        <v>https://www.tiktok.com/@y0urgirls8</v>
      </c>
      <c r="D1896" s="273">
        <f>IFERROR(__xludf.DUMMYFUNCTION("""COMPUTED_VALUE"""),8.5607002936E10)</f>
        <v>85607002936</v>
      </c>
      <c r="E1896" s="458">
        <f>IFERROR(__xludf.DUMMYFUNCTION("""COMPUTED_VALUE"""),0.0)</f>
        <v>0</v>
      </c>
      <c r="F1896" s="273">
        <f>IFERROR(__xludf.DUMMYFUNCTION("""COMPUTED_VALUE"""),4.0)</f>
        <v>4</v>
      </c>
      <c r="G1896" t="str">
        <f>IFERROR(__xludf.DUMMYFUNCTION("""COMPUTED_VALUE"""),"Sabun batang 1 Box ( 2 PCS )")</f>
        <v>Sabun batang 1 Box ( 2 PCS )</v>
      </c>
      <c r="H1896" s="469" t="str">
        <f>IFERROR(__xludf.DUMMYFUNCTION("""COMPUTED_VALUE"""),"Sampai")</f>
        <v>Sampai</v>
      </c>
      <c r="I1896" s="470"/>
      <c r="J1896" s="471" t="str">
        <f>IFERROR(__xludf.DUMMYFUNCTION("""COMPUTED_VALUE"""),"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"&amp;"22placeholder_origin_cover%22%3A%22https%253A%252F%252Fp16-common-sign.tiktokcdn.com%252Ftos-alisg-p-0037%252Fo8fO8AM1hZeDgXj1TZgNKQoIABetCT1Aj7WrQE~tplv-tiktokx-origin.jpeg%253Fdr%253D14572%2526refresh_token%253Db34d4f83%2526x-expires%253D1808992800%2526"&amp;"x-signature%253D5d%25252BwOsNi1vQGg3hT4qvK4L51k%25252FQ%25253D%2526t%253D4d5b0474%2526ps%253D13740610%2526shp%253Dd05b14bd%2526shcp%253D34ff8df6%2526idc%253Dmy2%2526s%253DTIKTOK_AFFILIATE_VIRAL_VIDEO%22%2C%22placeholder_product_id%22%3A%221729427766722726"&amp;"591%22%2C%22placeholder_video_id%22%3A%227632292373736803591%22%7D&amp;ec_shared_reflux_scene=shop_tab_feed&amp;share_item_id=7632292373736803591&amp;source=h5_t")</f>
        <v>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22placeholder_origin_cover%22%3A%22https%253A%252F%252Fp16-common-sign.tiktokcdn.com%252Ftos-alisg-p-0037%252Fo8fO8AM1hZeDgXj1TZgNKQoIABetCT1Aj7WrQE~tplv-tiktokx-origin.jpeg%253Fdr%253D14572%2526refresh_token%253Db34d4f83%2526x-expires%253D1808992800%2526x-signature%253D5d%25252BwOsNi1vQGg3hT4qvK4L51k%25252FQ%25253D%2526t%253D4d5b0474%2526ps%253D13740610%2526shp%253Dd05b14bd%2526shcp%253D34ff8df6%2526idc%253Dmy2%2526s%253DTIKTOK_AFFILIATE_VIRAL_VIDEO%22%2C%22placeholder_product_id%22%3A%221729427766722726591%22%2C%22placeholder_video_id%22%3A%227632292373736803591%22%7D&amp;ec_shared_reflux_scene=shop_tab_feed&amp;share_item_id=7632292373736803591&amp;source=h5_t</v>
      </c>
      <c r="K1896" s="470"/>
      <c r="L1896" s="471" t="str">
        <f>IFERROR(__xludf.DUMMYFUNCTION("""COMPUTED_VALUE"""),"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"&amp;"22placeholder_origin_cover%22%3A%22https%253A%252F%252Fp16-common-sign.tiktokcdn.com%252Ftos-alisg-p-0037%252FogtrPig6fAI1VtrDCBRpT4Bw9iBciEOXRfDIQy~tplv-tiktokx-origin.jpeg%253Fdr%253D14572%2526refresh_token%253Da7dfb7b6%2526x-expires%253D1808992800%2526"&amp;"x-signature%253DBLfnFU%25252FucpfNa%25252FqJkuXBbFXM3IE%25253D%2526t%253D4d5b0474%2526ps%253D13740610%2526shp%253Dd05b14bd%2526shcp%253D34ff8df6%2526idc%253Dmy2%2526s%253DTIKTOK_AFFILIATE_VIRAL_VIDEO%22%2C%22placeholder_product_id%22%3A%221729427766722726"&amp;"591%22%2C%22placeholder_video_id%22%3A%227632466134771453202%22%7D&amp;ec_shared_reflux_scene=shop_tab_feed&amp;share_item_id=7632466134771453202&amp;source=h5_t")</f>
        <v>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22placeholder_origin_cover%22%3A%22https%253A%252F%252Fp16-common-sign.tiktokcdn.com%252Ftos-alisg-p-0037%252FogtrPig6fAI1VtrDCBRpT4Bw9iBciEOXRfDIQy~tplv-tiktokx-origin.jpeg%253Fdr%253D14572%2526refresh_token%253Da7dfb7b6%2526x-expires%253D1808992800%2526x-signature%253DBLfnFU%25252FucpfNa%25252FqJkuXBbFXM3IE%25253D%2526t%253D4d5b0474%2526ps%253D13740610%2526shp%253Dd05b14bd%2526shcp%253D34ff8df6%2526idc%253Dmy2%2526s%253DTIKTOK_AFFILIATE_VIRAL_VIDEO%22%2C%22placeholder_product_id%22%3A%221729427766722726591%22%2C%22placeholder_video_id%22%3A%227632466134771453202%22%7D&amp;ec_shared_reflux_scene=shop_tab_feed&amp;share_item_id=7632466134771453202&amp;source=h5_t</v>
      </c>
      <c r="M1896" s="470"/>
      <c r="N1896" s="471" t="str">
        <f>IFERROR(__xludf.DUMMYFUNCTION("""COMPUTED_VALUE"""),"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"&amp;"22placeholder_origin_cover%22%3A%22https%253A%252F%252Fp16-common-sign.tiktokcdn.com%252Ftos-alisg-p-0037%252Fow724I9IGp8GJCSiAIeZAtCBfL0WETDI55ejBs~tplv-tiktokx-origin.jpeg%253Fdr%253D14572%2526refresh_token%253D974a53c8%2526x-expires%253D1808992800%2526"&amp;"x-signature%253DbBhbMoNFUGaDXGV%25252F1hVcSOsTVPM%25253D%2526t%253D4d5b0474%2526ps%253D13740610%2526shp%253Dd05b14bd%2526shcp%253D34ff8df6%2526idc%253Dmy2%2526s%253DTIKTOK_AFFILIATE_VIRAL_VIDEO%22%2C%22placeholder_product_id%22%3A%221729427766722726591%22"&amp;"%2C%22placeholder_video_id%22%3A%227632556344465231122%22%7D&amp;ec_shared_reflux_scene=shop_tab_feed&amp;share_item_id=7632556344465231122&amp;source=h5_t")</f>
        <v>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22placeholder_origin_cover%22%3A%22https%253A%252F%252Fp16-common-sign.tiktokcdn.com%252Ftos-alisg-p-0037%252Fow724I9IGp8GJCSiAIeZAtCBfL0WETDI55ejBs~tplv-tiktokx-origin.jpeg%253Fdr%253D14572%2526refresh_token%253D974a53c8%2526x-expires%253D1808992800%2526x-signature%253DbBhbMoNFUGaDXGV%25252F1hVcSOsTVPM%25253D%2526t%253D4d5b0474%2526ps%253D13740610%2526shp%253Dd05b14bd%2526shcp%253D34ff8df6%2526idc%253Dmy2%2526s%253DTIKTOK_AFFILIATE_VIRAL_VIDEO%22%2C%22placeholder_product_id%22%3A%221729427766722726591%22%2C%22placeholder_video_id%22%3A%227632556344465231122%22%7D&amp;ec_shared_reflux_scene=shop_tab_feed&amp;share_item_id=7632556344465231122&amp;source=h5_t</v>
      </c>
      <c r="O1896" s="470"/>
      <c r="P1896" s="471" t="str">
        <f>IFERROR(__xludf.DUMMYFUNCTION("""COMPUTED_VALUE"""),"https://www.tiktok.com/@rositaramdani7/video/7632840621039914248?_d=0&amp;_r=1&amp;ec_shared_reflux_dynamic_params=%7B%22placeholder_material_id%22%3A%227632840621039914248%22%2C%22placeholder_origin_cover%22%3A%22https%253A%252F%252Fp16-common-sign.tiktokcdn.com"&amp;"%252Ftos-alisg-p-0037%252Fo4Tq0AI4XCBVwjAWIYrCAIztJuiCI9hiVLCQfh~tplv-tiktokx-origin.jpeg%253Fdr%253D14572%2526refresh_token%253D142f2fad%2526x-expires%253D1808992800%2526x-signature%253DHpeIR5KLtc6wc1RTiJXRcQO8fOs%25253D%2526t%253D4d5b0474%2526ps%253D137"&amp;"40610%2526shp%253Dd05b14bd%2526shcp%253D34ff8df6%2526idc%253Dmy2%2526s%253DTIKTOK_AFFILIATE_VIRAL_VIDEO%22%2C%22placeholder_product_id%22%3A%221729427766722726591%22%2C%22placeholder_video_id%22%3A%227632840621039914248%22%7D&amp;ec_shared_reflux_scene=shop_t"&amp;"ab_feed&amp;mid=7591377536513985281&amp;preview_pb=0&amp;region=&amp;share_item_id=7632840621039914248&amp;sharer_language=&amp;source=h5_t&amp;u_code=f1489jb4bi84e12")</f>
        <v>https://www.tiktok.com/@rositaramdani7/video/7632840621039914248?_d=0&amp;_r=1&amp;ec_shared_reflux_dynamic_params=%7B%22placeholder_material_id%22%3A%227632840621039914248%22%2C%22placeholder_origin_cover%22%3A%22https%253A%252F%252Fp16-common-sign.tiktokcdn.com%252Ftos-alisg-p-0037%252Fo4Tq0AI4XCBVwjAWIYrCAIztJuiCI9hiVLCQfh~tplv-tiktokx-origin.jpeg%253Fdr%253D14572%2526refresh_token%253D142f2fad%2526x-expires%253D1808992800%2526x-signature%253DHpeIR5KLtc6wc1RTiJXRcQO8fOs%25253D%2526t%253D4d5b0474%2526ps%253D13740610%2526shp%253Dd05b14bd%2526shcp%253D34ff8df6%2526idc%253Dmy2%2526s%253DTIKTOK_AFFILIATE_VIRAL_VIDEO%22%2C%22placeholder_product_id%22%3A%221729427766722726591%22%2C%22placeholder_video_id%22%3A%227632840621039914248%22%7D&amp;ec_shared_reflux_scene=shop_tab_feed&amp;mid=7591377536513985281&amp;preview_pb=0&amp;region=&amp;share_item_id=7632840621039914248&amp;sharer_language=&amp;source=h5_t&amp;u_code=f1489jb4bi84e12</v>
      </c>
    </row>
    <row r="1897">
      <c r="A1897" s="282" t="str">
        <f>IFERROR(__xludf.DUMMYFUNCTION("""COMPUTED_VALUE"""),"MICRO")</f>
        <v>MICRO</v>
      </c>
      <c r="B1897" s="468" t="str">
        <f>IFERROR(__xludf.DUMMYFUNCTION("""COMPUTED_VALUE"""),"mawarindah8798")</f>
        <v>mawarindah8798</v>
      </c>
      <c r="C1897" s="283" t="str">
        <f>IFERROR(__xludf.DUMMYFUNCTION("""COMPUTED_VALUE"""),"https://www.tiktok.com/@mawarindah8798")</f>
        <v>https://www.tiktok.com/@mawarindah8798</v>
      </c>
      <c r="D1897" s="273">
        <f>IFERROR(__xludf.DUMMYFUNCTION("""COMPUTED_VALUE"""),8.1249923562E10)</f>
        <v>81249923562</v>
      </c>
      <c r="E1897" s="458">
        <f>IFERROR(__xludf.DUMMYFUNCTION("""COMPUTED_VALUE"""),0.0)</f>
        <v>0</v>
      </c>
      <c r="F1897" s="273">
        <f>IFERROR(__xludf.DUMMYFUNCTION("""COMPUTED_VALUE"""),4.0)</f>
        <v>4</v>
      </c>
      <c r="G1897" t="str">
        <f>IFERROR(__xludf.DUMMYFUNCTION("""COMPUTED_VALUE"""),"Sabun batang 1 Box ( 2 PCS )")</f>
        <v>Sabun batang 1 Box ( 2 PCS )</v>
      </c>
      <c r="H1897" s="469" t="str">
        <f>IFERROR(__xludf.DUMMYFUNCTION("""COMPUTED_VALUE"""),"Sampai")</f>
        <v>Sampai</v>
      </c>
      <c r="I1897" s="470"/>
      <c r="J1897" s="471" t="str">
        <f>IFERROR(__xludf.DUMMYFUNCTION("""COMPUTED_VALUE"""),"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"&amp;"eholder_origin_cover%22%3A%22https%253A%252F%252Fp16-common-sign.tiktokcdn.com%252Ftos-alisg-p-0037%252Fokej83InNuARId4oIVGPkcAQGeAeLDBS0CHTZQ~tplv-tiktokx-origin.jpeg%253Fdr%253D14572%2526refresh_token%253D3b7eb85d%2526x-expires%253D1808992800%2526x-sign"&amp;"ature%253DzhyQY%25252Bd9E%25252FZMgX7MRj4vEnlPr%25252BI%25253D%2526t%253D4d5b0474%2526ps%253D13740610%2526shp%253Dd05b14bd%2526shcp%253D34ff8df6%2526idc%253Dmy2%2526s%253DTIKTOK_AFFILIATE_VIRAL_VIDEO%22%2C%22placeholder_product_id%22%3A%221729427766722726"&amp;"591%22%2C%22placeholder_video_id%22%3A%227633259666696391954%22%7D&amp;ec_shared_reflux_scene=shop_tab_feed&amp;share_item_id=7633259666696391954&amp;source=h5_t")</f>
        <v>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eholder_origin_cover%22%3A%22https%253A%252F%252Fp16-common-sign.tiktokcdn.com%252Ftos-alisg-p-0037%252Fokej83InNuARId4oIVGPkcAQGeAeLDBS0CHTZQ~tplv-tiktokx-origin.jpeg%253Fdr%253D14572%2526refresh_token%253D3b7eb85d%2526x-expires%253D1808992800%2526x-signature%253DzhyQY%25252Bd9E%25252FZMgX7MRj4vEnlPr%25252BI%25253D%2526t%253D4d5b0474%2526ps%253D13740610%2526shp%253Dd05b14bd%2526shcp%253D34ff8df6%2526idc%253Dmy2%2526s%253DTIKTOK_AFFILIATE_VIRAL_VIDEO%22%2C%22placeholder_product_id%22%3A%221729427766722726591%22%2C%22placeholder_video_id%22%3A%227633259666696391954%22%7D&amp;ec_shared_reflux_scene=shop_tab_feed&amp;share_item_id=7633259666696391954&amp;source=h5_t</v>
      </c>
      <c r="K1897" s="470"/>
      <c r="L1897" s="471" t="str">
        <f>IFERROR(__xludf.DUMMYFUNCTION("""COMPUTED_VALUE"""),"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"&amp;"eholder_origin_cover%22%3A%22https%253A%252F%252Fp16-common-sign.tiktokcdn.com%252Ftos-alisg-p-0037%252FoEvtB2BmQIJJbKvDCITIgGKC4QfW4c8eAAeLPj~tplv-tiktokx-origin.jpeg%253Fdr%253D14572%2526refresh_token%253D14b8e5a1%2526x-expires%253D1808992800%2526x-sign"&amp;"ature%253DsBKNRZM9NlGgABGP%25252Bi5CuTVSWFg%25253D%2526t%253D4d5b0474%2526ps%253D13740610%2526shp%253Dd05b14bd%2526shcp%253D34ff8df6%2526idc%253Dmy2%2526s%253DTIKTOK_AFFILIATE_VIRAL_VIDEO%22%2C%22placeholder_product_id%22%3A%221729427766722726591%22%2C%22"&amp;"placeholder_video_id%22%3A%227633619284236799240%22%7D&amp;ec_shared_reflux_scene=shop_tab_feed&amp;share_item_id=7633619284236799240&amp;source=h5_t")</f>
        <v>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eholder_origin_cover%22%3A%22https%253A%252F%252Fp16-common-sign.tiktokcdn.com%252Ftos-alisg-p-0037%252FoEvtB2BmQIJJbKvDCITIgGKC4QfW4c8eAAeLPj~tplv-tiktokx-origin.jpeg%253Fdr%253D14572%2526refresh_token%253D14b8e5a1%2526x-expires%253D1808992800%2526x-signature%253DsBKNRZM9NlGgABGP%25252Bi5CuTVSWFg%25253D%2526t%253D4d5b0474%2526ps%253D13740610%2526shp%253Dd05b14bd%2526shcp%253D34ff8df6%2526idc%253Dmy2%2526s%253DTIKTOK_AFFILIATE_VIRAL_VIDEO%22%2C%22placeholder_product_id%22%3A%221729427766722726591%22%2C%22placeholder_video_id%22%3A%227633619284236799240%22%7D&amp;ec_shared_reflux_scene=shop_tab_feed&amp;share_item_id=7633619284236799240&amp;source=h5_t</v>
      </c>
      <c r="M1897" s="470"/>
      <c r="N1897" s="471" t="str">
        <f>IFERROR(__xludf.DUMMYFUNCTION("""COMPUTED_VALUE"""),"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"&amp;"eholder_origin_cover%22%3A%22https%253A%252F%252Fp16-sign-sg.tiktokcdn.com%252Ftos-alisg-p-0037%252Fo03hfABezYXBDiRNp9OP7BUEgIxxBiEINkwKiH~tplv-tiktokx-origin.jpeg%253Fdr%253D14572%2526refresh_token%253D2b3edbd9%2526x-expires%253D1808992800%2526x-signatur"&amp;"e%253DuF7qjx32DHmqMM4GzKo0wROx5Eg%25253D%2526t%253D4d5b0474%2526ps%253D13740610%2526shp%253Dd05b14bd%2526shcp%253D34ff8df6%2526idc%253Dmy2%2526s%253DTIKTOK_AFFILIATE_VIRAL_VIDEO%22%2C%22placeholder_product_id%22%3A%221729427766722726591%22%2C%22placeholde"&amp;"r_video_id%22%3A%227633988561930423560%22%7D&amp;ec_shared_reflux_scene=shop_tab_feed&amp;share_item_id=7633988561930423560&amp;source=h5_t")</f>
        <v>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eholder_origin_cover%22%3A%22https%253A%252F%252Fp16-sign-sg.tiktokcdn.com%252Ftos-alisg-p-0037%252Fo03hfABezYXBDiRNp9OP7BUEgIxxBiEINkwKiH~tplv-tiktokx-origin.jpeg%253Fdr%253D14572%2526refresh_token%253D2b3edbd9%2526x-expires%253D1808992800%2526x-signature%253DuF7qjx32DHmqMM4GzKo0wROx5Eg%25253D%2526t%253D4d5b0474%2526ps%253D13740610%2526shp%253Dd05b14bd%2526shcp%253D34ff8df6%2526idc%253Dmy2%2526s%253DTIKTOK_AFFILIATE_VIRAL_VIDEO%22%2C%22placeholder_product_id%22%3A%221729427766722726591%22%2C%22placeholder_video_id%22%3A%227633988561930423560%22%7D&amp;ec_shared_reflux_scene=shop_tab_feed&amp;share_item_id=7633988561930423560&amp;source=h5_t</v>
      </c>
      <c r="O1897" s="470"/>
      <c r="P1897" s="471" t="str">
        <f>IFERROR(__xludf.DUMMYFUNCTION("""COMPUTED_VALUE"""),"https://vt.tiktok.com/ZSxfCLAv5/")</f>
        <v>https://vt.tiktok.com/ZSxfCLAv5/</v>
      </c>
    </row>
    <row r="1898">
      <c r="A1898" s="282" t="str">
        <f>IFERROR(__xludf.DUMMYFUNCTION("""COMPUTED_VALUE"""),"MICRO")</f>
        <v>MICRO</v>
      </c>
      <c r="B1898" s="468" t="str">
        <f>IFERROR(__xludf.DUMMYFUNCTION("""COMPUTED_VALUE"""),"fashiontrenda")</f>
        <v>fashiontrenda</v>
      </c>
      <c r="C1898" s="283" t="str">
        <f>IFERROR(__xludf.DUMMYFUNCTION("""COMPUTED_VALUE"""),"https://www.tiktok.com/@fashiontrenda")</f>
        <v>https://www.tiktok.com/@fashiontrenda</v>
      </c>
      <c r="D1898" s="273">
        <f>IFERROR(__xludf.DUMMYFUNCTION("""COMPUTED_VALUE"""),8.8274312711E10)</f>
        <v>88274312711</v>
      </c>
      <c r="E1898" s="458">
        <f>IFERROR(__xludf.DUMMYFUNCTION("""COMPUTED_VALUE"""),0.0)</f>
        <v>0</v>
      </c>
      <c r="F1898" s="273">
        <f>IFERROR(__xludf.DUMMYFUNCTION("""COMPUTED_VALUE"""),4.0)</f>
        <v>4</v>
      </c>
      <c r="G1898" t="str">
        <f>IFERROR(__xludf.DUMMYFUNCTION("""COMPUTED_VALUE"""),"Sabun batang 1 Box ( 2 PCS )")</f>
        <v>Sabun batang 1 Box ( 2 PCS )</v>
      </c>
      <c r="H1898" s="469" t="str">
        <f>IFERROR(__xludf.DUMMYFUNCTION("""COMPUTED_VALUE"""),"Sampai")</f>
        <v>Sampai</v>
      </c>
      <c r="I1898" s="470"/>
      <c r="J1898" s="471" t="str">
        <f>IFERROR(__xludf.DUMMYFUNCTION("""COMPUTED_VALUE"""),"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"&amp;"aceholder_origin_cover%22%3A%22https%253A%252F%252Fp16-common-sign.tiktokcdn.com%252Ftos-alisg-p-0037%252FocT3fUyagtsUCPXIgtfvGDAQDjLK9oeTHAQG2I~tplv-tiktokx-origin.jpeg%253Fdr%253D14572%2526refresh_token%253D13d7c298%2526x-expires%253D1808992800%2526x-si"&amp;"gnature%253Dm1yuhUo4JC1EwMfosEQhUBd56yw%25253D%2526t%253D4d5b0474%2526ps%253D13740610%2526shp%253Dd05b14bd%2526shcp%253D34ff8df6%2526idc%253Dmy2%2526s%253DTIKTOK_AFFILIATE_VIRAL_VIDEO%22%2C%22placeholder_product_id%22%3A%221729427766722726591%22%2C%22plac"&amp;"eholder_video_id%22%3A%227633434949797858581%22%7D&amp;ec_shared_reflux_scene=shop_tab_feed&amp;share_item_id=7633434949797858581&amp;source=h5_t")</f>
        <v>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aceholder_origin_cover%22%3A%22https%253A%252F%252Fp16-common-sign.tiktokcdn.com%252Ftos-alisg-p-0037%252FocT3fUyagtsUCPXIgtfvGDAQDjLK9oeTHAQG2I~tplv-tiktokx-origin.jpeg%253Fdr%253D14572%2526refresh_token%253D13d7c298%2526x-expires%253D1808992800%2526x-signature%253Dm1yuhUo4JC1EwMfosEQhUBd56yw%25253D%2526t%253D4d5b0474%2526ps%253D13740610%2526shp%253Dd05b14bd%2526shcp%253D34ff8df6%2526idc%253Dmy2%2526s%253DTIKTOK_AFFILIATE_VIRAL_VIDEO%22%2C%22placeholder_product_id%22%3A%221729427766722726591%22%2C%22placeholder_video_id%22%3A%227633434949797858581%22%7D&amp;ec_shared_reflux_scene=shop_tab_feed&amp;share_item_id=7633434949797858581&amp;source=h5_t</v>
      </c>
      <c r="K1898" s="470"/>
      <c r="L1898" s="471" t="str">
        <f>IFERROR(__xludf.DUMMYFUNCTION("""COMPUTED_VALUE"""),"https://vt.tiktok.com/ZSxfQGEgj/")</f>
        <v>https://vt.tiktok.com/ZSxfQGEgj/</v>
      </c>
      <c r="M1898" s="470"/>
      <c r="N1898" s="471" t="str">
        <f>IFERROR(__xludf.DUMMYFUNCTION("""COMPUTED_VALUE"""),"https://vt.tiktok.com/ZSxDYhccb/")</f>
        <v>https://vt.tiktok.com/ZSxDYhccb/</v>
      </c>
      <c r="O1898" s="470"/>
      <c r="P1898" s="471" t="str">
        <f>IFERROR(__xludf.DUMMYFUNCTION("""COMPUTED_VALUE"""),"https://vt.tiktok.com/ZSxDYQyTW/")</f>
        <v>https://vt.tiktok.com/ZSxDYQyTW/</v>
      </c>
    </row>
    <row r="1899">
      <c r="A1899" s="282" t="str">
        <f>IFERROR(__xludf.DUMMYFUNCTION("""COMPUTED_VALUE"""),"MICRO")</f>
        <v>MICRO</v>
      </c>
      <c r="B1899" s="468" t="str">
        <f>IFERROR(__xludf.DUMMYFUNCTION("""COMPUTED_VALUE"""),"arficoo")</f>
        <v>arficoo</v>
      </c>
      <c r="C1899" s="283" t="str">
        <f>IFERROR(__xludf.DUMMYFUNCTION("""COMPUTED_VALUE"""),"https://www.tiktok.com/@arficoo")</f>
        <v>https://www.tiktok.com/@arficoo</v>
      </c>
      <c r="D1899" s="273">
        <f>IFERROR(__xludf.DUMMYFUNCTION("""COMPUTED_VALUE"""),8.9659326644E10)</f>
        <v>89659326644</v>
      </c>
      <c r="E1899" s="458">
        <f>IFERROR(__xludf.DUMMYFUNCTION("""COMPUTED_VALUE"""),0.0)</f>
        <v>0</v>
      </c>
      <c r="F1899" s="273">
        <f>IFERROR(__xludf.DUMMYFUNCTION("""COMPUTED_VALUE"""),4.0)</f>
        <v>4</v>
      </c>
      <c r="G1899" t="str">
        <f>IFERROR(__xludf.DUMMYFUNCTION("""COMPUTED_VALUE"""),"Sabun batang 1 Box ( 2 PCS )")</f>
        <v>Sabun batang 1 Box ( 2 PCS )</v>
      </c>
      <c r="H1899" s="469" t="str">
        <f>IFERROR(__xludf.DUMMYFUNCTION("""COMPUTED_VALUE"""),"Sampai")</f>
        <v>Sampai</v>
      </c>
      <c r="I1899" s="470"/>
      <c r="J1899" s="471" t="str">
        <f>IFERROR(__xludf.DUMMYFUNCTION("""COMPUTED_VALUE"""),"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"&amp;"22placeholder_origin_cover%22%3A%22https%253A%252F%252Fp16-common-sign.tiktokcdn.com%252Ftos-alisg-p-0037%252Fo8fO8AM1hZeDgXj1TZgNKQoIABetCT1Aj7WrQE~tplv-tiktokx-origin.jpeg%253Fdr%253D14572%2526refresh_token%253Db34d4f83%2526x-expires%253D1808992800%2526"&amp;"x-signature%253D5d%25252BwOsNi1vQGg3hT4qvK4L51k%25252FQ%25253D%2526t%253D4d5b0474%2526ps%253D13740610%2526shp%253Dd05b14bd%2526shcp%253D34ff8df6%2526idc%253Dmy2%2526s%253DTIKTOK_AFFILIATE_VIRAL_VIDEO%22%2C%22placeholder_product_id%22%3A%221729427766722726"&amp;"591%22%2C%22placeholder_video_id%22%3A%227632292373736803591%22%7D&amp;ec_shared_reflux_scene=shop_tab_feed&amp;share_item_id=7632292373736803591&amp;source=h5_t")</f>
        <v>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22placeholder_origin_cover%22%3A%22https%253A%252F%252Fp16-common-sign.tiktokcdn.com%252Ftos-alisg-p-0037%252Fo8fO8AM1hZeDgXj1TZgNKQoIABetCT1Aj7WrQE~tplv-tiktokx-origin.jpeg%253Fdr%253D14572%2526refresh_token%253Db34d4f83%2526x-expires%253D1808992800%2526x-signature%253D5d%25252BwOsNi1vQGg3hT4qvK4L51k%25252FQ%25253D%2526t%253D4d5b0474%2526ps%253D13740610%2526shp%253Dd05b14bd%2526shcp%253D34ff8df6%2526idc%253Dmy2%2526s%253DTIKTOK_AFFILIATE_VIRAL_VIDEO%22%2C%22placeholder_product_id%22%3A%221729427766722726591%22%2C%22placeholder_video_id%22%3A%227632292373736803591%22%7D&amp;ec_shared_reflux_scene=shop_tab_feed&amp;share_item_id=7632292373736803591&amp;source=h5_t</v>
      </c>
      <c r="K1899" s="470"/>
      <c r="L1899" s="471" t="str">
        <f>IFERROR(__xludf.DUMMYFUNCTION("""COMPUTED_VALUE"""),"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"&amp;"22placeholder_origin_cover%22%3A%22https%253A%252F%252Fp16-common-sign.tiktokcdn.com%252Ftos-alisg-p-0037%252FogtrPig6fAI1VtrDCBRpT4Bw9iBciEOXRfDIQy~tplv-tiktokx-origin.jpeg%253Fdr%253D14572%2526refresh_token%253Da7dfb7b6%2526x-expires%253D1808992800%2526"&amp;"x-signature%253DBLfnFU%25252FucpfNa%25252FqJkuXBbFXM3IE%25253D%2526t%253D4d5b0474%2526ps%253D13740610%2526shp%253Dd05b14bd%2526shcp%253D34ff8df6%2526idc%253Dmy2%2526s%253DTIKTOK_AFFILIATE_VIRAL_VIDEO%22%2C%22placeholder_product_id%22%3A%221729427766722726"&amp;"591%22%2C%22placeholder_video_id%22%3A%227632466134771453202%22%7D&amp;ec_shared_reflux_scene=shop_tab_feed&amp;share_item_id=7632466134771453202&amp;source=h5_t")</f>
        <v>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22placeholder_origin_cover%22%3A%22https%253A%252F%252Fp16-common-sign.tiktokcdn.com%252Ftos-alisg-p-0037%252FogtrPig6fAI1VtrDCBRpT4Bw9iBciEOXRfDIQy~tplv-tiktokx-origin.jpeg%253Fdr%253D14572%2526refresh_token%253Da7dfb7b6%2526x-expires%253D1808992800%2526x-signature%253DBLfnFU%25252FucpfNa%25252FqJkuXBbFXM3IE%25253D%2526t%253D4d5b0474%2526ps%253D13740610%2526shp%253Dd05b14bd%2526shcp%253D34ff8df6%2526idc%253Dmy2%2526s%253DTIKTOK_AFFILIATE_VIRAL_VIDEO%22%2C%22placeholder_product_id%22%3A%221729427766722726591%22%2C%22placeholder_video_id%22%3A%227632466134771453202%22%7D&amp;ec_shared_reflux_scene=shop_tab_feed&amp;share_item_id=7632466134771453202&amp;source=h5_t</v>
      </c>
      <c r="M1899" s="470"/>
      <c r="N1899" s="471" t="str">
        <f>IFERROR(__xludf.DUMMYFUNCTION("""COMPUTED_VALUE"""),"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"&amp;"22placeholder_origin_cover%22%3A%22https%253A%252F%252Fp16-common-sign.tiktokcdn.com%252Ftos-alisg-p-0037%252Fow724I9IGp8GJCSiAIeZAtCBfL0WETDI55ejBs~tplv-tiktokx-origin.jpeg%253Fdr%253D14572%2526refresh_token%253D974a53c8%2526x-expires%253D1808992800%2526"&amp;"x-signature%253DbBhbMoNFUGaDXGV%25252F1hVcSOsTVPM%25253D%2526t%253D4d5b0474%2526ps%253D13740610%2526shp%253Dd05b14bd%2526shcp%253D34ff8df6%2526idc%253Dmy2%2526s%253DTIKTOK_AFFILIATE_VIRAL_VIDEO%22%2C%22placeholder_product_id%22%3A%221729427766722726591%22"&amp;"%2C%22placeholder_video_id%22%3A%227632556344465231122%22%7D&amp;ec_shared_reflux_scene=shop_tab_feed&amp;share_item_id=7632556344465231122&amp;source=h5_t")</f>
        <v>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22placeholder_origin_cover%22%3A%22https%253A%252F%252Fp16-common-sign.tiktokcdn.com%252Ftos-alisg-p-0037%252Fow724I9IGp8GJCSiAIeZAtCBfL0WETDI55ejBs~tplv-tiktokx-origin.jpeg%253Fdr%253D14572%2526refresh_token%253D974a53c8%2526x-expires%253D1808992800%2526x-signature%253DbBhbMoNFUGaDXGV%25252F1hVcSOsTVPM%25253D%2526t%253D4d5b0474%2526ps%253D13740610%2526shp%253Dd05b14bd%2526shcp%253D34ff8df6%2526idc%253Dmy2%2526s%253DTIKTOK_AFFILIATE_VIRAL_VIDEO%22%2C%22placeholder_product_id%22%3A%221729427766722726591%22%2C%22placeholder_video_id%22%3A%227632556344465231122%22%7D&amp;ec_shared_reflux_scene=shop_tab_feed&amp;share_item_id=7632556344465231122&amp;source=h5_t</v>
      </c>
      <c r="O1899" s="470"/>
      <c r="P1899" s="471" t="str">
        <f>IFERROR(__xludf.DUMMYFUNCTION("""COMPUTED_VALUE"""),"https://www.tiktok.com/@rositaramdani7/video/7632840621039914248?_d=0&amp;_r=1&amp;ec_shared_reflux_dynamic_params=%7B%22placeholder_material_id%22%3A%227632840621039914248%22%2C%22placeholder_origin_cover%22%3A%22https%253A%252F%252Fp16-common-sign.tiktokcdn.com"&amp;"%252Ftos-alisg-p-0037%252Fo4Tq0AI4XCBVwjAWIYrCAIztJuiCI9hiVLCQfh~tplv-tiktokx-origin.jpeg%253Fdr%253D14572%2526refresh_token%253D142f2fad%2526x-expires%253D1808992800%2526x-signature%253DHpeIR5KLtc6wc1RTiJXRcQO8fOs%25253D%2526t%253D4d5b0474%2526ps%253D137"&amp;"40610%2526shp%253Dd05b14bd%2526shcp%253D34ff8df6%2526idc%253Dmy2%2526s%253DTIKTOK_AFFILIATE_VIRAL_VIDEO%22%2C%22placeholder_product_id%22%3A%221729427766722726591%22%2C%22placeholder_video_id%22%3A%227632840621039914248%22%7D&amp;ec_shared_reflux_scene=shop_t"&amp;"ab_feed&amp;mid=7591377536513985281&amp;preview_pb=0&amp;region=&amp;share_item_id=7632840621039914248&amp;sharer_language=&amp;source=h5_t&amp;u_code=f1489jb4bi84e10")</f>
        <v>https://www.tiktok.com/@rositaramdani7/video/7632840621039914248?_d=0&amp;_r=1&amp;ec_shared_reflux_dynamic_params=%7B%22placeholder_material_id%22%3A%227632840621039914248%22%2C%22placeholder_origin_cover%22%3A%22https%253A%252F%252Fp16-common-sign.tiktokcdn.com%252Ftos-alisg-p-0037%252Fo4Tq0AI4XCBVwjAWIYrCAIztJuiCI9hiVLCQfh~tplv-tiktokx-origin.jpeg%253Fdr%253D14572%2526refresh_token%253D142f2fad%2526x-expires%253D1808992800%2526x-signature%253DHpeIR5KLtc6wc1RTiJXRcQO8fOs%25253D%2526t%253D4d5b0474%2526ps%253D13740610%2526shp%253Dd05b14bd%2526shcp%253D34ff8df6%2526idc%253Dmy2%2526s%253DTIKTOK_AFFILIATE_VIRAL_VIDEO%22%2C%22placeholder_product_id%22%3A%221729427766722726591%22%2C%22placeholder_video_id%22%3A%227632840621039914248%22%7D&amp;ec_shared_reflux_scene=shop_tab_feed&amp;mid=7591377536513985281&amp;preview_pb=0&amp;region=&amp;share_item_id=7632840621039914248&amp;sharer_language=&amp;source=h5_t&amp;u_code=f1489jb4bi84e10</v>
      </c>
    </row>
    <row r="1900">
      <c r="A1900" s="282" t="str">
        <f>IFERROR(__xludf.DUMMYFUNCTION("""COMPUTED_VALUE"""),"MICRO")</f>
        <v>MICRO</v>
      </c>
      <c r="B1900" s="468" t="str">
        <f>IFERROR(__xludf.DUMMYFUNCTION("""COMPUTED_VALUE"""),"officialakang_")</f>
        <v>officialakang_</v>
      </c>
      <c r="C1900" s="283" t="str">
        <f>IFERROR(__xludf.DUMMYFUNCTION("""COMPUTED_VALUE"""),"https://www.tiktok.com/@officialakang_")</f>
        <v>https://www.tiktok.com/@officialakang_</v>
      </c>
      <c r="D1900" s="273">
        <f>IFERROR(__xludf.DUMMYFUNCTION("""COMPUTED_VALUE"""),8.9526835823E10)</f>
        <v>89526835823</v>
      </c>
      <c r="E1900" s="458">
        <f>IFERROR(__xludf.DUMMYFUNCTION("""COMPUTED_VALUE"""),0.0)</f>
        <v>0</v>
      </c>
      <c r="F1900" s="273">
        <f>IFERROR(__xludf.DUMMYFUNCTION("""COMPUTED_VALUE"""),4.0)</f>
        <v>4</v>
      </c>
      <c r="G1900" t="str">
        <f>IFERROR(__xludf.DUMMYFUNCTION("""COMPUTED_VALUE"""),"Sabun batang 1 Box ( 2 PCS )")</f>
        <v>Sabun batang 1 Box ( 2 PCS )</v>
      </c>
      <c r="H1900" s="469" t="str">
        <f>IFERROR(__xludf.DUMMYFUNCTION("""COMPUTED_VALUE"""),"Sampai")</f>
        <v>Sampai</v>
      </c>
      <c r="I1900" s="470"/>
      <c r="J1900" s="471" t="str">
        <f>IFERROR(__xludf.DUMMYFUNCTION("""COMPUTED_VALUE"""),"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"&amp;"eholder_origin_cover%22%3A%22https%253A%252F%252Fp16-common-sign.tiktokcdn.com%252Ftos-alisg-p-0037%252Fokej83InNuARId4oIVGPkcAQGeAeLDBS0CHTZQ~tplv-tiktokx-origin.jpeg%253Fdr%253D14572%2526refresh_token%253D3b7eb85d%2526x-expires%253D1808992800%2526x-sign"&amp;"ature%253DzhyQY%25252Bd9E%25252FZMgX7MRj4vEnlPr%25252BI%25253D%2526t%253D4d5b0474%2526ps%253D13740610%2526shp%253Dd05b14bd%2526shcp%253D34ff8df6%2526idc%253Dmy2%2526s%253DTIKTOK_AFFILIATE_VIRAL_VIDEO%22%2C%22placeholder_product_id%22%3A%221729427766722726"&amp;"591%22%2C%22placeholder_video_id%22%3A%227633259666696391954%22%7D&amp;ec_shared_reflux_scene=shop_tab_feed&amp;share_item_id=7633259666696391954&amp;source=h5_t")</f>
        <v>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eholder_origin_cover%22%3A%22https%253A%252F%252Fp16-common-sign.tiktokcdn.com%252Ftos-alisg-p-0037%252Fokej83InNuARId4oIVGPkcAQGeAeLDBS0CHTZQ~tplv-tiktokx-origin.jpeg%253Fdr%253D14572%2526refresh_token%253D3b7eb85d%2526x-expires%253D1808992800%2526x-signature%253DzhyQY%25252Bd9E%25252FZMgX7MRj4vEnlPr%25252BI%25253D%2526t%253D4d5b0474%2526ps%253D13740610%2526shp%253Dd05b14bd%2526shcp%253D34ff8df6%2526idc%253Dmy2%2526s%253DTIKTOK_AFFILIATE_VIRAL_VIDEO%22%2C%22placeholder_product_id%22%3A%221729427766722726591%22%2C%22placeholder_video_id%22%3A%227633259666696391954%22%7D&amp;ec_shared_reflux_scene=shop_tab_feed&amp;share_item_id=7633259666696391954&amp;source=h5_t</v>
      </c>
      <c r="K1900" s="470"/>
      <c r="L1900" s="471" t="str">
        <f>IFERROR(__xludf.DUMMYFUNCTION("""COMPUTED_VALUE"""),"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"&amp;"eholder_origin_cover%22%3A%22https%253A%252F%252Fp16-common-sign.tiktokcdn.com%252Ftos-alisg-p-0037%252FoEvtB2BmQIJJbKvDCITIgGKC4QfW4c8eAAeLPj~tplv-tiktokx-origin.jpeg%253Fdr%253D14572%2526refresh_token%253D14b8e5a1%2526x-expires%253D1808992800%2526x-sign"&amp;"ature%253DsBKNRZM9NlGgABGP%25252Bi5CuTVSWFg%25253D%2526t%253D4d5b0474%2526ps%253D13740610%2526shp%253Dd05b14bd%2526shcp%253D34ff8df6%2526idc%253Dmy2%2526s%253DTIKTOK_AFFILIATE_VIRAL_VIDEO%22%2C%22placeholder_product_id%22%3A%221729427766722726591%22%2C%22"&amp;"placeholder_video_id%22%3A%227633619284236799240%22%7D&amp;ec_shared_reflux_scene=shop_tab_feed&amp;share_item_id=7633619284236799240&amp;source=h5_t")</f>
        <v>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eholder_origin_cover%22%3A%22https%253A%252F%252Fp16-common-sign.tiktokcdn.com%252Ftos-alisg-p-0037%252FoEvtB2BmQIJJbKvDCITIgGKC4QfW4c8eAAeLPj~tplv-tiktokx-origin.jpeg%253Fdr%253D14572%2526refresh_token%253D14b8e5a1%2526x-expires%253D1808992800%2526x-signature%253DsBKNRZM9NlGgABGP%25252Bi5CuTVSWFg%25253D%2526t%253D4d5b0474%2526ps%253D13740610%2526shp%253Dd05b14bd%2526shcp%253D34ff8df6%2526idc%253Dmy2%2526s%253DTIKTOK_AFFILIATE_VIRAL_VIDEO%22%2C%22placeholder_product_id%22%3A%221729427766722726591%22%2C%22placeholder_video_id%22%3A%227633619284236799240%22%7D&amp;ec_shared_reflux_scene=shop_tab_feed&amp;share_item_id=7633619284236799240&amp;source=h5_t</v>
      </c>
      <c r="M1900" s="470"/>
      <c r="N1900" s="471" t="str">
        <f>IFERROR(__xludf.DUMMYFUNCTION("""COMPUTED_VALUE"""),"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"&amp;"eholder_origin_cover%22%3A%22https%253A%252F%252Fp16-sign-sg.tiktokcdn.com%252Ftos-alisg-p-0037%252Fo03hfABezYXBDiRNp9OP7BUEgIxxBiEINkwKiH~tplv-tiktokx-origin.jpeg%253Fdr%253D14572%2526refresh_token%253D2b3edbd9%2526x-expires%253D1808992800%2526x-signatur"&amp;"e%253DuF7qjx32DHmqMM4GzKo0wROx5Eg%25253D%2526t%253D4d5b0474%2526ps%253D13740610%2526shp%253Dd05b14bd%2526shcp%253D34ff8df6%2526idc%253Dmy2%2526s%253DTIKTOK_AFFILIATE_VIRAL_VIDEO%22%2C%22placeholder_product_id%22%3A%221729427766722726591%22%2C%22placeholde"&amp;"r_video_id%22%3A%227633988561930423560%22%7D&amp;ec_shared_reflux_scene=shop_tab_feed&amp;share_item_id=7633988561930423560&amp;source=h5_t")</f>
        <v>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eholder_origin_cover%22%3A%22https%253A%252F%252Fp16-sign-sg.tiktokcdn.com%252Ftos-alisg-p-0037%252Fo03hfABezYXBDiRNp9OP7BUEgIxxBiEINkwKiH~tplv-tiktokx-origin.jpeg%253Fdr%253D14572%2526refresh_token%253D2b3edbd9%2526x-expires%253D1808992800%2526x-signature%253DuF7qjx32DHmqMM4GzKo0wROx5Eg%25253D%2526t%253D4d5b0474%2526ps%253D13740610%2526shp%253Dd05b14bd%2526shcp%253D34ff8df6%2526idc%253Dmy2%2526s%253DTIKTOK_AFFILIATE_VIRAL_VIDEO%22%2C%22placeholder_product_id%22%3A%221729427766722726591%22%2C%22placeholder_video_id%22%3A%227633988561930423560%22%7D&amp;ec_shared_reflux_scene=shop_tab_feed&amp;share_item_id=7633988561930423560&amp;source=h5_t</v>
      </c>
      <c r="O1900" s="470"/>
      <c r="P1900" s="471" t="str">
        <f>IFERROR(__xludf.DUMMYFUNCTION("""COMPUTED_VALUE"""),"https://vt.tiktok.com/ZSxfCLAv5/")</f>
        <v>https://vt.tiktok.com/ZSxfCLAv5/</v>
      </c>
    </row>
    <row r="1901">
      <c r="A1901" s="282" t="str">
        <f>IFERROR(__xludf.DUMMYFUNCTION("""COMPUTED_VALUE"""),"MICRO")</f>
        <v>MICRO</v>
      </c>
      <c r="B1901" s="468" t="str">
        <f>IFERROR(__xludf.DUMMYFUNCTION("""COMPUTED_VALUE"""),"atiek_tikkk")</f>
        <v>atiek_tikkk</v>
      </c>
      <c r="C1901" s="283" t="str">
        <f>IFERROR(__xludf.DUMMYFUNCTION("""COMPUTED_VALUE"""),"https://www.tiktok.com/@atiek_tikkk")</f>
        <v>https://www.tiktok.com/@atiek_tikkk</v>
      </c>
      <c r="D1901" s="273">
        <f>IFERROR(__xludf.DUMMYFUNCTION("""COMPUTED_VALUE"""),8.3863593273E10)</f>
        <v>83863593273</v>
      </c>
      <c r="E1901" s="458">
        <f>IFERROR(__xludf.DUMMYFUNCTION("""COMPUTED_VALUE"""),0.0)</f>
        <v>0</v>
      </c>
      <c r="F1901" s="273">
        <f>IFERROR(__xludf.DUMMYFUNCTION("""COMPUTED_VALUE"""),4.0)</f>
        <v>4</v>
      </c>
      <c r="G1901" t="str">
        <f>IFERROR(__xludf.DUMMYFUNCTION("""COMPUTED_VALUE"""),"Sabun batang 1 Box ( 2 PCS )")</f>
        <v>Sabun batang 1 Box ( 2 PCS )</v>
      </c>
      <c r="H1901" s="469" t="str">
        <f>IFERROR(__xludf.DUMMYFUNCTION("""COMPUTED_VALUE"""),"Sampai")</f>
        <v>Sampai</v>
      </c>
      <c r="I1901" s="470"/>
      <c r="J1901" s="471" t="str">
        <f>IFERROR(__xludf.DUMMYFUNCTION("""COMPUTED_VALUE"""),"https://www.tiktok.com/@belanja_hemat.shop/video/7629926744312548615?_r=1&amp;u_code=ek6h2252jijmih&amp;region=&amp;mid=7395415388382824464&amp;preview_pb=0&amp;sharer_language=&amp;_d=0&amp;ec_shared_reflux_dynamic_params=%7B%22placeholder_material_id%22%3A%227629926744312548615%22"&amp;"%2C%22placeholder_origin_cover%22%3A%22https%253A%252F%252Fp16-sign-sg.tiktokcdn.com%252Ftos-alisg-p-0037%252FogARLXupOi5fMxsvG8GFedRoAQQmGeGAPnfVBh~tplv-tiktokx-origin.jpeg%253Fdr%253D14572%2526refresh_token%253D0bc3ef94%2526x-expires%253D1808992800%2526"&amp;"x-signature%253DCbDvTxf0YgqWOaOAOjYGyzVeMR4%25253D%2526t%253D4d5b0474%2526ps%253D13740610%2526shp%253Dd05b14bd%2526shcp%253D34ff8df6%2526idc%253Dmy2%2526s%253DTIKTOK_AFFILIATE_VIRAL_VIDEO%22%2C%22placeholder_product_id%22%3A%221729427766722726591%22%2C%22"&amp;"placeholder_video_id%22%3A%227629926744312548615%22%7D&amp;ec_shared_reflux_scene=shop_tab_feed&amp;share_item_id=7629926744312548615&amp;source=h5_t")</f>
        <v>https://www.tiktok.com/@belanja_hemat.shop/video/7629926744312548615?_r=1&amp;u_code=ek6h2252jijmih&amp;region=&amp;mid=7395415388382824464&amp;preview_pb=0&amp;sharer_language=&amp;_d=0&amp;ec_shared_reflux_dynamic_params=%7B%22placeholder_material_id%22%3A%227629926744312548615%22%2C%22placeholder_origin_cover%22%3A%22https%253A%252F%252Fp16-sign-sg.tiktokcdn.com%252Ftos-alisg-p-0037%252FogARLXupOi5fMxsvG8GFedRoAQQmGeGAPnfVBh~tplv-tiktokx-origin.jpeg%253Fdr%253D14572%2526refresh_token%253D0bc3ef94%2526x-expires%253D1808992800%2526x-signature%253DCbDvTxf0YgqWOaOAOjYGyzVeMR4%25253D%2526t%253D4d5b0474%2526ps%253D13740610%2526shp%253Dd05b14bd%2526shcp%253D34ff8df6%2526idc%253Dmy2%2526s%253DTIKTOK_AFFILIATE_VIRAL_VIDEO%22%2C%22placeholder_product_id%22%3A%221729427766722726591%22%2C%22placeholder_video_id%22%3A%227629926744312548615%22%7D&amp;ec_shared_reflux_scene=shop_tab_feed&amp;share_item_id=7629926744312548615&amp;source=h5_t</v>
      </c>
      <c r="K1901" s="470"/>
      <c r="L1901" s="471" t="str">
        <f>IFERROR(__xludf.DUMMYFUNCTION("""COMPUTED_VALUE"""),"https://www.tiktok.com/@belanja_hemat.shop/video/7630068304346074375?_r=1&amp;u_code=ek6h2252jijmih&amp;region=&amp;mid=7502446149192567607&amp;preview_pb=0&amp;sharer_language=&amp;_d=0&amp;ec_shared_reflux_dynamic_params=%7B%22placeholder_material_id%22%3A%227630068304346074375%22"&amp;"%2C%22placeholder_origin_cover%22%3A%22https%253A%252F%252Fp16-common-sign.tiktokcdn.com%252Ftos-alisg-p-0037%252FoY0jIj6CABiiHw6UKcYAvir4yAqkkIDPINeK4B~tplv-tiktokx-origin.jpeg%253Fdr%253D14572%2526refresh_token%253Dc394bf07%2526x-expires%253D1808992800%"&amp;"2526x-signature%253D%25252FXFHLg710N9EHbaT4qukgslNM%25252F0%25253D%2526t%253D4d5b0474%2526ps%253D13740610%2526shp%253Dd05b14bd%2526shcp%253D34ff8df6%2526idc%253Dmy2%2526s%253DTIKTOK_AFFILIATE_VIRAL_VIDEO%22%2C%22placeholder_product_id%22%3A%22172942776672"&amp;"2726591%22%2C%22placeholder_video_id%22%3A%227630068304346074375%22%7D&amp;ec_shared_reflux_scene=shop_tab_feed&amp;share_item_id=7630068304346074375&amp;source=h5_t")</f>
        <v>https://www.tiktok.com/@belanja_hemat.shop/video/7630068304346074375?_r=1&amp;u_code=ek6h2252jijmih&amp;region=&amp;mid=7502446149192567607&amp;preview_pb=0&amp;sharer_language=&amp;_d=0&amp;ec_shared_reflux_dynamic_params=%7B%22placeholder_material_id%22%3A%227630068304346074375%22%2C%22placeholder_origin_cover%22%3A%22https%253A%252F%252Fp16-common-sign.tiktokcdn.com%252Ftos-alisg-p-0037%252FoY0jIj6CABiiHw6UKcYAvir4yAqkkIDPINeK4B~tplv-tiktokx-origin.jpeg%253Fdr%253D14572%2526refresh_token%253Dc394bf07%2526x-expires%253D1808992800%2526x-signature%253D%25252FXFHLg710N9EHbaT4qukgslNM%25252F0%25253D%2526t%253D4d5b0474%2526ps%253D13740610%2526shp%253Dd05b14bd%2526shcp%253D34ff8df6%2526idc%253Dmy2%2526s%253DTIKTOK_AFFILIATE_VIRAL_VIDEO%22%2C%22placeholder_product_id%22%3A%221729427766722726591%22%2C%22placeholder_video_id%22%3A%227630068304346074375%22%7D&amp;ec_shared_reflux_scene=shop_tab_feed&amp;share_item_id=7630068304346074375&amp;source=h5_t</v>
      </c>
      <c r="M1901" s="470"/>
      <c r="N1901" s="471" t="str">
        <f>IFERROR(__xludf.DUMMYFUNCTION("""COMPUTED_VALUE"""),"https://www.tiktok.com/@belanja_hemat.shop/video/7630083439080852744?_r=1&amp;u_code=ek6h2252jijmih&amp;region=&amp;mid=7502446149192567607&amp;preview_pb=0&amp;sharer_language=&amp;_d=0&amp;ec_shared_reflux_dynamic_params=%7B%22placeholder_material_id%22%3A%227630083439080852744%22"&amp;"%2C%22placeholder_origin_cover%22%3A%22https%253A%252F%252Fp16-common-sign.tiktokcdn.com%252Ftos-alisg-p-0037%252FoEONqiBlICA7hICZgjiI3AAAgBswH8WOe0PpIT~tplv-tiktokx-origin.jpeg%253Fdr%253D14572%2526refresh_token%253Dc5a3bd01%2526x-expires%253D1808992800%"&amp;"2526x-signature%253DmHrmToRfBoDI76E5SnS33jucUxo%25253D%2526t%253D4d5b0474%2526ps%253D13740610%2526shp%253Dd05b14bd%2526shcp%253D34ff8df6%2526idc%253Dmy2%2526s%253DTIKTOK_AFFILIATE_VIRAL_VIDEO%22%2C%22placeholder_product_id%22%3A%221729427766722726591%22%2"&amp;"C%22placeholder_video_id%22%3A%227630083439080852744%22%7D&amp;ec_shared_reflux_scene=shop_tab_feed&amp;share_item_id=7630083439080852744&amp;source=h5_t")</f>
        <v>https://www.tiktok.com/@belanja_hemat.shop/video/7630083439080852744?_r=1&amp;u_code=ek6h2252jijmih&amp;region=&amp;mid=7502446149192567607&amp;preview_pb=0&amp;sharer_language=&amp;_d=0&amp;ec_shared_reflux_dynamic_params=%7B%22placeholder_material_id%22%3A%227630083439080852744%22%2C%22placeholder_origin_cover%22%3A%22https%253A%252F%252Fp16-common-sign.tiktokcdn.com%252Ftos-alisg-p-0037%252FoEONqiBlICA7hICZgjiI3AAAgBswH8WOe0PpIT~tplv-tiktokx-origin.jpeg%253Fdr%253D14572%2526refresh_token%253Dc5a3bd01%2526x-expires%253D1808992800%2526x-signature%253DmHrmToRfBoDI76E5SnS33jucUxo%25253D%2526t%253D4d5b0474%2526ps%253D13740610%2526shp%253Dd05b14bd%2526shcp%253D34ff8df6%2526idc%253Dmy2%2526s%253DTIKTOK_AFFILIATE_VIRAL_VIDEO%22%2C%22placeholder_product_id%22%3A%221729427766722726591%22%2C%22placeholder_video_id%22%3A%227630083439080852744%22%7D&amp;ec_shared_reflux_scene=shop_tab_feed&amp;share_item_id=7630083439080852744&amp;source=h5_t</v>
      </c>
      <c r="O1901" s="470"/>
      <c r="P1901" s="471" t="str">
        <f>IFERROR(__xludf.DUMMYFUNCTION("""COMPUTED_VALUE"""),"https://www.tiktok.com/@belanja_hemat.shop/video/7630283480441621767?_r=1&amp;u_code=ek6h2252jijmih&amp;region=&amp;mid=7615963521880558357&amp;preview_pb=0&amp;sharer_language=&amp;_d=0&amp;ec_shared_reflux_dynamic_params=%7B%22placeholder_material_id%22%3A%227630283480441621767%22"&amp;"%2C%22placeholder_origin_cover%22%3A%22https%253A%252F%252Fp16-sign-sg.tiktokcdn.com%252Ftos-alisg-p-0037%252FowLgThbTAvZEDmUpRgqBBrYOOEQeQEFIpPa5fD~tplv-tiktokx-origin.jpeg%253Fdr%253D14572%2526refresh_token%253D7028f3e9%2526x-expires%253D1808992800%2526"&amp;"x-signature%253Dm8NIDbYtD8vdd9sCzAcHHhWysZQ%25253D%2526t%253D4d5b0474%2526ps%253D13740610%2526shp%253Dd05b14bd%2526shcp%253D34ff8df6%2526idc%253Dmy2%2526s%253DTIKTOK_AFFILIATE_VIRAL_VIDEO%22%2C%22placeholder_product_id%22%3A%221729427766722726591%22%2C%22"&amp;"placeholder_video_id%22%3A%227630283480441621767%22%7D&amp;ec_shared_reflux_scene=shop_tab_feed&amp;share_item_id=7630283480441621767&amp;source=h5_t")</f>
        <v>https://www.tiktok.com/@belanja_hemat.shop/video/7630283480441621767?_r=1&amp;u_code=ek6h2252jijmih&amp;region=&amp;mid=7615963521880558357&amp;preview_pb=0&amp;sharer_language=&amp;_d=0&amp;ec_shared_reflux_dynamic_params=%7B%22placeholder_material_id%22%3A%227630283480441621767%22%2C%22placeholder_origin_cover%22%3A%22https%253A%252F%252Fp16-sign-sg.tiktokcdn.com%252Ftos-alisg-p-0037%252FowLgThbTAvZEDmUpRgqBBrYOOEQeQEFIpPa5fD~tplv-tiktokx-origin.jpeg%253Fdr%253D14572%2526refresh_token%253D7028f3e9%2526x-expires%253D1808992800%2526x-signature%253Dm8NIDbYtD8vdd9sCzAcHHhWysZQ%25253D%2526t%253D4d5b0474%2526ps%253D13740610%2526shp%253Dd05b14bd%2526shcp%253D34ff8df6%2526idc%253Dmy2%2526s%253DTIKTOK_AFFILIATE_VIRAL_VIDEO%22%2C%22placeholder_product_id%22%3A%221729427766722726591%22%2C%22placeholder_video_id%22%3A%227630283480441621767%22%7D&amp;ec_shared_reflux_scene=shop_tab_feed&amp;share_item_id=7630283480441621767&amp;source=h5_t</v>
      </c>
    </row>
    <row r="1902">
      <c r="A1902" s="282" t="str">
        <f>IFERROR(__xludf.DUMMYFUNCTION("""COMPUTED_VALUE"""),"MICRO")</f>
        <v>MICRO</v>
      </c>
      <c r="B1902" s="468" t="str">
        <f>IFERROR(__xludf.DUMMYFUNCTION("""COMPUTED_VALUE"""),"itsyourvinn_")</f>
        <v>itsyourvinn_</v>
      </c>
      <c r="C1902" s="283" t="str">
        <f>IFERROR(__xludf.DUMMYFUNCTION("""COMPUTED_VALUE"""),"https://www.tiktok.com/@itsyourvinn_")</f>
        <v>https://www.tiktok.com/@itsyourvinn_</v>
      </c>
      <c r="D1902" s="273">
        <f>IFERROR(__xludf.DUMMYFUNCTION("""COMPUTED_VALUE"""),8.5885985778E10)</f>
        <v>85885985778</v>
      </c>
      <c r="E1902" s="458">
        <f>IFERROR(__xludf.DUMMYFUNCTION("""COMPUTED_VALUE"""),0.0)</f>
        <v>0</v>
      </c>
      <c r="F1902" s="273">
        <f>IFERROR(__xludf.DUMMYFUNCTION("""COMPUTED_VALUE"""),2.0)</f>
        <v>2</v>
      </c>
      <c r="G1902" t="str">
        <f>IFERROR(__xludf.DUMMYFUNCTION("""COMPUTED_VALUE"""),"Sabun batang 1 Box ( 2 PCS )")</f>
        <v>Sabun batang 1 Box ( 2 PCS )</v>
      </c>
      <c r="H1902" s="469" t="str">
        <f>IFERROR(__xludf.DUMMYFUNCTION("""COMPUTED_VALUE"""),"Sampai")</f>
        <v>Sampai</v>
      </c>
      <c r="I1902" s="470"/>
      <c r="J1902" s="471" t="str">
        <f>IFERROR(__xludf.DUMMYFUNCTION("""COMPUTED_VALUE"""),"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"&amp;"aceholder_origin_cover%22%3A%22https%253A%252F%252Fp16-common-sign.tiktokcdn.com%252Ftos-alisg-p-0037%252FocT3fUyagtsUCPXIgtfvGDAQDjLK9oeTHAQG2I~tplv-tiktokx-origin.jpeg%253Fdr%253D14572%2526refresh_token%253D13d7c298%2526x-expires%253D1808992800%2526x-si"&amp;"gnature%253Dm1yuhUo4JC1EwMfosEQhUBd56yw%25253D%2526t%253D4d5b0474%2526ps%253D13740610%2526shp%253Dd05b14bd%2526shcp%253D34ff8df6%2526idc%253Dmy2%2526s%253DTIKTOK_AFFILIATE_VIRAL_VIDEO%22%2C%22placeholder_product_id%22%3A%221729427766722726591%22%2C%22plac"&amp;"eholder_video_id%22%3A%227633434949797858581%22%7D&amp;ec_shared_reflux_scene=shop_tab_feed&amp;share_item_id=7633434949797858581&amp;source=h5_t")</f>
        <v>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aceholder_origin_cover%22%3A%22https%253A%252F%252Fp16-common-sign.tiktokcdn.com%252Ftos-alisg-p-0037%252FocT3fUyagtsUCPXIgtfvGDAQDjLK9oeTHAQG2I~tplv-tiktokx-origin.jpeg%253Fdr%253D14572%2526refresh_token%253D13d7c298%2526x-expires%253D1808992800%2526x-signature%253Dm1yuhUo4JC1EwMfosEQhUBd56yw%25253D%2526t%253D4d5b0474%2526ps%253D13740610%2526shp%253Dd05b14bd%2526shcp%253D34ff8df6%2526idc%253Dmy2%2526s%253DTIKTOK_AFFILIATE_VIRAL_VIDEO%22%2C%22placeholder_product_id%22%3A%221729427766722726591%22%2C%22placeholder_video_id%22%3A%227633434949797858581%22%7D&amp;ec_shared_reflux_scene=shop_tab_feed&amp;share_item_id=7633434949797858581&amp;source=h5_t</v>
      </c>
      <c r="K1902" s="470"/>
      <c r="L1902" s="471" t="str">
        <f>IFERROR(__xludf.DUMMYFUNCTION("""COMPUTED_VALUE"""),"https://vt.tiktok.com/ZSxfQGEgj/")</f>
        <v>https://vt.tiktok.com/ZSxfQGEgj/</v>
      </c>
      <c r="M1902" s="470"/>
      <c r="N1902" s="471" t="str">
        <f>IFERROR(__xludf.DUMMYFUNCTION("""COMPUTED_VALUE"""),"https://vt.tiktok.com/ZSxDYhccb/")</f>
        <v>https://vt.tiktok.com/ZSxDYhccb/</v>
      </c>
      <c r="O1902" s="470"/>
      <c r="P1902" s="471" t="str">
        <f>IFERROR(__xludf.DUMMYFUNCTION("""COMPUTED_VALUE"""),"https://vt.tiktok.com/ZSxDYQyTW/")</f>
        <v>https://vt.tiktok.com/ZSxDYQyTW/</v>
      </c>
    </row>
    <row r="1903">
      <c r="A1903" s="282" t="str">
        <f>IFERROR(__xludf.DUMMYFUNCTION("""COMPUTED_VALUE"""),"MICRO")</f>
        <v>MICRO</v>
      </c>
      <c r="B1903" s="468" t="str">
        <f>IFERROR(__xludf.DUMMYFUNCTION("""COMPUTED_VALUE"""),"ainnie241513")</f>
        <v>ainnie241513</v>
      </c>
      <c r="C1903" s="283" t="str">
        <f>IFERROR(__xludf.DUMMYFUNCTION("""COMPUTED_VALUE"""),"https://www.tiktok.com/@ainnie241513")</f>
        <v>https://www.tiktok.com/@ainnie241513</v>
      </c>
      <c r="D1903" s="273">
        <f>IFERROR(__xludf.DUMMYFUNCTION("""COMPUTED_VALUE"""),8.5770450871E10)</f>
        <v>85770450871</v>
      </c>
      <c r="E1903" s="458">
        <f>IFERROR(__xludf.DUMMYFUNCTION("""COMPUTED_VALUE"""),0.0)</f>
        <v>0</v>
      </c>
      <c r="F1903" s="273">
        <f>IFERROR(__xludf.DUMMYFUNCTION("""COMPUTED_VALUE"""),4.0)</f>
        <v>4</v>
      </c>
      <c r="G1903" t="str">
        <f>IFERROR(__xludf.DUMMYFUNCTION("""COMPUTED_VALUE"""),"Sabun batang 1 Box ( 2 PCS )")</f>
        <v>Sabun batang 1 Box ( 2 PCS )</v>
      </c>
      <c r="H1903" s="469" t="str">
        <f>IFERROR(__xludf.DUMMYFUNCTION("""COMPUTED_VALUE"""),"Sampai")</f>
        <v>Sampai</v>
      </c>
      <c r="I1903" s="470"/>
      <c r="J1903" s="471" t="str">
        <f>IFERROR(__xludf.DUMMYFUNCTION("""COMPUTED_VALUE"""),"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"&amp;"22placeholder_origin_cover%22%3A%22https%253A%252F%252Fp16-common-sign.tiktokcdn.com%252Ftos-alisg-p-0037%252Fo8fO8AM1hZeDgXj1TZgNKQoIABetCT1Aj7WrQE~tplv-tiktokx-origin.jpeg%253Fdr%253D14572%2526refresh_token%253Db34d4f83%2526x-expires%253D1808992800%2526"&amp;"x-signature%253D5d%25252BwOsNi1vQGg3hT4qvK4L51k%25252FQ%25253D%2526t%253D4d5b0474%2526ps%253D13740610%2526shp%253Dd05b14bd%2526shcp%253D34ff8df6%2526idc%253Dmy2%2526s%253DTIKTOK_AFFILIATE_VIRAL_VIDEO%22%2C%22placeholder_product_id%22%3A%221729427766722726"&amp;"591%22%2C%22placeholder_video_id%22%3A%227632292373736803591%22%7D&amp;ec_shared_reflux_scene=shop_tab_feed&amp;share_item_id=7632292373736803591&amp;source=h5_t")</f>
        <v>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22placeholder_origin_cover%22%3A%22https%253A%252F%252Fp16-common-sign.tiktokcdn.com%252Ftos-alisg-p-0037%252Fo8fO8AM1hZeDgXj1TZgNKQoIABetCT1Aj7WrQE~tplv-tiktokx-origin.jpeg%253Fdr%253D14572%2526refresh_token%253Db34d4f83%2526x-expires%253D1808992800%2526x-signature%253D5d%25252BwOsNi1vQGg3hT4qvK4L51k%25252FQ%25253D%2526t%253D4d5b0474%2526ps%253D13740610%2526shp%253Dd05b14bd%2526shcp%253D34ff8df6%2526idc%253Dmy2%2526s%253DTIKTOK_AFFILIATE_VIRAL_VIDEO%22%2C%22placeholder_product_id%22%3A%221729427766722726591%22%2C%22placeholder_video_id%22%3A%227632292373736803591%22%7D&amp;ec_shared_reflux_scene=shop_tab_feed&amp;share_item_id=7632292373736803591&amp;source=h5_t</v>
      </c>
      <c r="K1903" s="470"/>
      <c r="L1903" s="471" t="str">
        <f>IFERROR(__xludf.DUMMYFUNCTION("""COMPUTED_VALUE"""),"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"&amp;"22placeholder_origin_cover%22%3A%22https%253A%252F%252Fp16-common-sign.tiktokcdn.com%252Ftos-alisg-p-0037%252FogtrPig6fAI1VtrDCBRpT4Bw9iBciEOXRfDIQy~tplv-tiktokx-origin.jpeg%253Fdr%253D14572%2526refresh_token%253Da7dfb7b6%2526x-expires%253D1808992800%2526"&amp;"x-signature%253DBLfnFU%25252FucpfNa%25252FqJkuXBbFXM3IE%25253D%2526t%253D4d5b0474%2526ps%253D13740610%2526shp%253Dd05b14bd%2526shcp%253D34ff8df6%2526idc%253Dmy2%2526s%253DTIKTOK_AFFILIATE_VIRAL_VIDEO%22%2C%22placeholder_product_id%22%3A%221729427766722726"&amp;"591%22%2C%22placeholder_video_id%22%3A%227632466134771453202%22%7D&amp;ec_shared_reflux_scene=shop_tab_feed&amp;share_item_id=7632466134771453202&amp;source=h5_t")</f>
        <v>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22placeholder_origin_cover%22%3A%22https%253A%252F%252Fp16-common-sign.tiktokcdn.com%252Ftos-alisg-p-0037%252FogtrPig6fAI1VtrDCBRpT4Bw9iBciEOXRfDIQy~tplv-tiktokx-origin.jpeg%253Fdr%253D14572%2526refresh_token%253Da7dfb7b6%2526x-expires%253D1808992800%2526x-signature%253DBLfnFU%25252FucpfNa%25252FqJkuXBbFXM3IE%25253D%2526t%253D4d5b0474%2526ps%253D13740610%2526shp%253Dd05b14bd%2526shcp%253D34ff8df6%2526idc%253Dmy2%2526s%253DTIKTOK_AFFILIATE_VIRAL_VIDEO%22%2C%22placeholder_product_id%22%3A%221729427766722726591%22%2C%22placeholder_video_id%22%3A%227632466134771453202%22%7D&amp;ec_shared_reflux_scene=shop_tab_feed&amp;share_item_id=7632466134771453202&amp;source=h5_t</v>
      </c>
      <c r="M1903" s="470"/>
      <c r="N1903" s="471" t="str">
        <f>IFERROR(__xludf.DUMMYFUNCTION("""COMPUTED_VALUE"""),"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"&amp;"22placeholder_origin_cover%22%3A%22https%253A%252F%252Fp16-common-sign.tiktokcdn.com%252Ftos-alisg-p-0037%252Fow724I9IGp8GJCSiAIeZAtCBfL0WETDI55ejBs~tplv-tiktokx-origin.jpeg%253Fdr%253D14572%2526refresh_token%253D974a53c8%2526x-expires%253D1808992800%2526"&amp;"x-signature%253DbBhbMoNFUGaDXGV%25252F1hVcSOsTVPM%25253D%2526t%253D4d5b0474%2526ps%253D13740610%2526shp%253Dd05b14bd%2526shcp%253D34ff8df6%2526idc%253Dmy2%2526s%253DTIKTOK_AFFILIATE_VIRAL_VIDEO%22%2C%22placeholder_product_id%22%3A%221729427766722726591%22"&amp;"%2C%22placeholder_video_id%22%3A%227632556344465231122%22%7D&amp;ec_shared_reflux_scene=shop_tab_feed&amp;share_item_id=7632556344465231122&amp;source=h5_t")</f>
        <v>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22placeholder_origin_cover%22%3A%22https%253A%252F%252Fp16-common-sign.tiktokcdn.com%252Ftos-alisg-p-0037%252Fow724I9IGp8GJCSiAIeZAtCBfL0WETDI55ejBs~tplv-tiktokx-origin.jpeg%253Fdr%253D14572%2526refresh_token%253D974a53c8%2526x-expires%253D1808992800%2526x-signature%253DbBhbMoNFUGaDXGV%25252F1hVcSOsTVPM%25253D%2526t%253D4d5b0474%2526ps%253D13740610%2526shp%253Dd05b14bd%2526shcp%253D34ff8df6%2526idc%253Dmy2%2526s%253DTIKTOK_AFFILIATE_VIRAL_VIDEO%22%2C%22placeholder_product_id%22%3A%221729427766722726591%22%2C%22placeholder_video_id%22%3A%227632556344465231122%22%7D&amp;ec_shared_reflux_scene=shop_tab_feed&amp;share_item_id=7632556344465231122&amp;source=h5_t</v>
      </c>
      <c r="O1903" s="470"/>
      <c r="P1903" s="471" t="str">
        <f>IFERROR(__xludf.DUMMYFUNCTION("""COMPUTED_VALUE"""),"https://www.tiktok.com/@rositaramdani7/video/7632840621039914248?_d=0&amp;_r=1&amp;ec_shared_reflux_dynamic_params=%7B%22placeholder_material_id%22%3A%227632840621039914248%22%2C%22placeholder_origin_cover%22%3A%22https%253A%252F%252Fp16-common-sign.tiktokcdn.com"&amp;"%252Ftos-alisg-p-0037%252Fo4Tq0AI4XCBVwjAWIYrCAIztJuiCI9hiVLCQfh~tplv-tiktokx-origin.jpeg%253Fdr%253D14572%2526refresh_token%253D142f2fad%2526x-expires%253D1808992800%2526x-signature%253DHpeIR5KLtc6wc1RTiJXRcQO8fOs%25253D%2526t%253D4d5b0474%2526ps%253D137"&amp;"40610%2526shp%253Dd05b14bd%2526shcp%253D34ff8df6%2526idc%253Dmy2%2526s%253DTIKTOK_AFFILIATE_VIRAL_VIDEO%22%2C%22placeholder_product_id%22%3A%221729427766722726591%22%2C%22placeholder_video_id%22%3A%227632840621039914248%22%7D&amp;ec_shared_reflux_scene=shop_t"&amp;"ab_feed&amp;mid=7591377536513985281&amp;preview_pb=0&amp;region=&amp;share_item_id=7632840621039914248&amp;sharer_language=&amp;source=h5_t&amp;u_code=f1489jb4bi84e11")</f>
        <v>https://www.tiktok.com/@rositaramdani7/video/7632840621039914248?_d=0&amp;_r=1&amp;ec_shared_reflux_dynamic_params=%7B%22placeholder_material_id%22%3A%227632840621039914248%22%2C%22placeholder_origin_cover%22%3A%22https%253A%252F%252Fp16-common-sign.tiktokcdn.com%252Ftos-alisg-p-0037%252Fo4Tq0AI4XCBVwjAWIYrCAIztJuiCI9hiVLCQfh~tplv-tiktokx-origin.jpeg%253Fdr%253D14572%2526refresh_token%253D142f2fad%2526x-expires%253D1808992800%2526x-signature%253DHpeIR5KLtc6wc1RTiJXRcQO8fOs%25253D%2526t%253D4d5b0474%2526ps%253D13740610%2526shp%253Dd05b14bd%2526shcp%253D34ff8df6%2526idc%253Dmy2%2526s%253DTIKTOK_AFFILIATE_VIRAL_VIDEO%22%2C%22placeholder_product_id%22%3A%221729427766722726591%22%2C%22placeholder_video_id%22%3A%227632840621039914248%22%7D&amp;ec_shared_reflux_scene=shop_tab_feed&amp;mid=7591377536513985281&amp;preview_pb=0&amp;region=&amp;share_item_id=7632840621039914248&amp;sharer_language=&amp;source=h5_t&amp;u_code=f1489jb4bi84e11</v>
      </c>
    </row>
    <row r="1904">
      <c r="A1904" s="282" t="str">
        <f>IFERROR(__xludf.DUMMYFUNCTION("""COMPUTED_VALUE"""),"MICRO")</f>
        <v>MICRO</v>
      </c>
      <c r="B1904" s="468" t="str">
        <f>IFERROR(__xludf.DUMMYFUNCTION("""COMPUTED_VALUE"""),"yulia_yyla")</f>
        <v>yulia_yyla</v>
      </c>
      <c r="C1904" s="283" t="str">
        <f>IFERROR(__xludf.DUMMYFUNCTION("""COMPUTED_VALUE"""),"https://www.tiktok.com/@yulia_yyla")</f>
        <v>https://www.tiktok.com/@yulia_yyla</v>
      </c>
      <c r="D1904" s="273">
        <f>IFERROR(__xludf.DUMMYFUNCTION("""COMPUTED_VALUE"""),8.1285729586E10)</f>
        <v>81285729586</v>
      </c>
      <c r="E1904" s="458">
        <f>IFERROR(__xludf.DUMMYFUNCTION("""COMPUTED_VALUE"""),80000.0)</f>
        <v>80000</v>
      </c>
      <c r="F1904" s="273">
        <f>IFERROR(__xludf.DUMMYFUNCTION("""COMPUTED_VALUE"""),1.0)</f>
        <v>1</v>
      </c>
      <c r="G1904" t="str">
        <f>IFERROR(__xludf.DUMMYFUNCTION("""COMPUTED_VALUE"""),"Sabun batang 1 Box ( 2 PCS )")</f>
        <v>Sabun batang 1 Box ( 2 PCS )</v>
      </c>
      <c r="H1904" s="469" t="str">
        <f>IFERROR(__xludf.DUMMYFUNCTION("""COMPUTED_VALUE"""),"Sampai")</f>
        <v>Sampai</v>
      </c>
      <c r="I1904" s="470"/>
      <c r="J1904" s="471" t="str">
        <f>IFERROR(__xludf.DUMMYFUNCTION("""COMPUTED_VALUE"""),"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"&amp;"eholder_origin_cover%22%3A%22https%253A%252F%252Fp16-common-sign.tiktokcdn.com%252Ftos-alisg-p-0037%252Fokej83InNuARId4oIVGPkcAQGeAeLDBS0CHTZQ~tplv-tiktokx-origin.jpeg%253Fdr%253D14572%2526refresh_token%253D3b7eb85d%2526x-expires%253D1808992800%2526x-sign"&amp;"ature%253DzhyQY%25252Bd9E%25252FZMgX7MRj4vEnlPr%25252BI%25253D%2526t%253D4d5b0474%2526ps%253D13740610%2526shp%253Dd05b14bd%2526shcp%253D34ff8df6%2526idc%253Dmy2%2526s%253DTIKTOK_AFFILIATE_VIRAL_VIDEO%22%2C%22placeholder_product_id%22%3A%221729427766722726"&amp;"591%22%2C%22placeholder_video_id%22%3A%227633259666696391954%22%7D&amp;ec_shared_reflux_scene=shop_tab_feed&amp;share_item_id=7633259666696391954&amp;source=h5_t")</f>
        <v>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eholder_origin_cover%22%3A%22https%253A%252F%252Fp16-common-sign.tiktokcdn.com%252Ftos-alisg-p-0037%252Fokej83InNuARId4oIVGPkcAQGeAeLDBS0CHTZQ~tplv-tiktokx-origin.jpeg%253Fdr%253D14572%2526refresh_token%253D3b7eb85d%2526x-expires%253D1808992800%2526x-signature%253DzhyQY%25252Bd9E%25252FZMgX7MRj4vEnlPr%25252BI%25253D%2526t%253D4d5b0474%2526ps%253D13740610%2526shp%253Dd05b14bd%2526shcp%253D34ff8df6%2526idc%253Dmy2%2526s%253DTIKTOK_AFFILIATE_VIRAL_VIDEO%22%2C%22placeholder_product_id%22%3A%221729427766722726591%22%2C%22placeholder_video_id%22%3A%227633259666696391954%22%7D&amp;ec_shared_reflux_scene=shop_tab_feed&amp;share_item_id=7633259666696391954&amp;source=h5_t</v>
      </c>
      <c r="K1904" s="470"/>
      <c r="L1904" s="471" t="str">
        <f>IFERROR(__xludf.DUMMYFUNCTION("""COMPUTED_VALUE"""),"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"&amp;"eholder_origin_cover%22%3A%22https%253A%252F%252Fp16-common-sign.tiktokcdn.com%252Ftos-alisg-p-0037%252FoEvtB2BmQIJJbKvDCITIgGKC4QfW4c8eAAeLPj~tplv-tiktokx-origin.jpeg%253Fdr%253D14572%2526refresh_token%253D14b8e5a1%2526x-expires%253D1808992800%2526x-sign"&amp;"ature%253DsBKNRZM9NlGgABGP%25252Bi5CuTVSWFg%25253D%2526t%253D4d5b0474%2526ps%253D13740610%2526shp%253Dd05b14bd%2526shcp%253D34ff8df6%2526idc%253Dmy2%2526s%253DTIKTOK_AFFILIATE_VIRAL_VIDEO%22%2C%22placeholder_product_id%22%3A%221729427766722726591%22%2C%22"&amp;"placeholder_video_id%22%3A%227633619284236799240%22%7D&amp;ec_shared_reflux_scene=shop_tab_feed&amp;share_item_id=7633619284236799240&amp;source=h5_t")</f>
        <v>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eholder_origin_cover%22%3A%22https%253A%252F%252Fp16-common-sign.tiktokcdn.com%252Ftos-alisg-p-0037%252FoEvtB2BmQIJJbKvDCITIgGKC4QfW4c8eAAeLPj~tplv-tiktokx-origin.jpeg%253Fdr%253D14572%2526refresh_token%253D14b8e5a1%2526x-expires%253D1808992800%2526x-signature%253DsBKNRZM9NlGgABGP%25252Bi5CuTVSWFg%25253D%2526t%253D4d5b0474%2526ps%253D13740610%2526shp%253Dd05b14bd%2526shcp%253D34ff8df6%2526idc%253Dmy2%2526s%253DTIKTOK_AFFILIATE_VIRAL_VIDEO%22%2C%22placeholder_product_id%22%3A%221729427766722726591%22%2C%22placeholder_video_id%22%3A%227633619284236799240%22%7D&amp;ec_shared_reflux_scene=shop_tab_feed&amp;share_item_id=7633619284236799240&amp;source=h5_t</v>
      </c>
      <c r="M1904" s="470"/>
      <c r="N1904" s="471" t="str">
        <f>IFERROR(__xludf.DUMMYFUNCTION("""COMPUTED_VALUE"""),"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"&amp;"eholder_origin_cover%22%3A%22https%253A%252F%252Fp16-sign-sg.tiktokcdn.com%252Ftos-alisg-p-0037%252Fo03hfABezYXBDiRNp9OP7BUEgIxxBiEINkwKiH~tplv-tiktokx-origin.jpeg%253Fdr%253D14572%2526refresh_token%253D2b3edbd9%2526x-expires%253D1808992800%2526x-signatur"&amp;"e%253DuF7qjx32DHmqMM4GzKo0wROx5Eg%25253D%2526t%253D4d5b0474%2526ps%253D13740610%2526shp%253Dd05b14bd%2526shcp%253D34ff8df6%2526idc%253Dmy2%2526s%253DTIKTOK_AFFILIATE_VIRAL_VIDEO%22%2C%22placeholder_product_id%22%3A%221729427766722726591%22%2C%22placeholde"&amp;"r_video_id%22%3A%227633988561930423560%22%7D&amp;ec_shared_reflux_scene=shop_tab_feed&amp;share_item_id=7633988561930423560&amp;source=h5_t")</f>
        <v>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eholder_origin_cover%22%3A%22https%253A%252F%252Fp16-sign-sg.tiktokcdn.com%252Ftos-alisg-p-0037%252Fo03hfABezYXBDiRNp9OP7BUEgIxxBiEINkwKiH~tplv-tiktokx-origin.jpeg%253Fdr%253D14572%2526refresh_token%253D2b3edbd9%2526x-expires%253D1808992800%2526x-signature%253DuF7qjx32DHmqMM4GzKo0wROx5Eg%25253D%2526t%253D4d5b0474%2526ps%253D13740610%2526shp%253Dd05b14bd%2526shcp%253D34ff8df6%2526idc%253Dmy2%2526s%253DTIKTOK_AFFILIATE_VIRAL_VIDEO%22%2C%22placeholder_product_id%22%3A%221729427766722726591%22%2C%22placeholder_video_id%22%3A%227633988561930423560%22%7D&amp;ec_shared_reflux_scene=shop_tab_feed&amp;share_item_id=7633988561930423560&amp;source=h5_t</v>
      </c>
      <c r="O1904" s="470"/>
      <c r="P1904" s="471" t="str">
        <f>IFERROR(__xludf.DUMMYFUNCTION("""COMPUTED_VALUE"""),"https://vt.tiktok.com/ZSxfCLAv5/")</f>
        <v>https://vt.tiktok.com/ZSxfCLAv5/</v>
      </c>
    </row>
    <row r="1905">
      <c r="A1905" s="282" t="str">
        <f>IFERROR(__xludf.DUMMYFUNCTION("""COMPUTED_VALUE"""),"MICRO")</f>
        <v>MICRO</v>
      </c>
      <c r="B1905" s="468" t="str">
        <f>IFERROR(__xludf.DUMMYFUNCTION("""COMPUTED_VALUE"""),"fashionbyvaraa")</f>
        <v>fashionbyvaraa</v>
      </c>
      <c r="C1905" s="283" t="str">
        <f>IFERROR(__xludf.DUMMYFUNCTION("""COMPUTED_VALUE"""),"https://www.tiktok.com/@fashionbyvaraa")</f>
        <v>https://www.tiktok.com/@fashionbyvaraa</v>
      </c>
      <c r="D1905" s="273">
        <f>IFERROR(__xludf.DUMMYFUNCTION("""COMPUTED_VALUE"""),8.5824973169E10)</f>
        <v>85824973169</v>
      </c>
      <c r="E1905" s="458">
        <f>IFERROR(__xludf.DUMMYFUNCTION("""COMPUTED_VALUE"""),0.0)</f>
        <v>0</v>
      </c>
      <c r="F1905" s="273">
        <f>IFERROR(__xludf.DUMMYFUNCTION("""COMPUTED_VALUE"""),4.0)</f>
        <v>4</v>
      </c>
      <c r="G1905" t="str">
        <f>IFERROR(__xludf.DUMMYFUNCTION("""COMPUTED_VALUE"""),"Sabun batang 1 Box ( 2 PCS )")</f>
        <v>Sabun batang 1 Box ( 2 PCS )</v>
      </c>
      <c r="H1905" s="469" t="str">
        <f>IFERROR(__xludf.DUMMYFUNCTION("""COMPUTED_VALUE"""),"Sampai")</f>
        <v>Sampai</v>
      </c>
      <c r="I1905" s="470"/>
      <c r="J1905" s="471" t="str">
        <f>IFERROR(__xludf.DUMMYFUNCTION("""COMPUTED_VALUE"""),"https://vt.tiktok.com/ZSxWosDRR/")</f>
        <v>https://vt.tiktok.com/ZSxWosDRR/</v>
      </c>
      <c r="K1905" s="470"/>
      <c r="L1905" t="str">
        <f>IFERROR(__xludf.DUMMYFUNCTION("""COMPUTED_VALUE"""),"⁠⁠⁠⁠https://vt.tiktok.com/ZSxWowxje/")</f>
        <v>⁠⁠⁠⁠https://vt.tiktok.com/ZSxWowxje/</v>
      </c>
      <c r="M1905" s="470"/>
      <c r="N1905" s="471" t="str">
        <f>IFERROR(__xludf.DUMMYFUNCTION("""COMPUTED_VALUE"""),"https://vt.tiktok.com/ZSx71Lr8N/")</f>
        <v>https://vt.tiktok.com/ZSx71Lr8N/</v>
      </c>
      <c r="O1905" s="470"/>
      <c r="P1905" s="471" t="str">
        <f>IFERROR(__xludf.DUMMYFUNCTION("""COMPUTED_VALUE"""),"https://vt.tiktok.com/ZSx71JdgB/")</f>
        <v>https://vt.tiktok.com/ZSx71JdgB/</v>
      </c>
    </row>
    <row r="1906">
      <c r="A1906" s="282" t="str">
        <f>IFERROR(__xludf.DUMMYFUNCTION("""COMPUTED_VALUE"""),"MICRO")</f>
        <v>MICRO</v>
      </c>
      <c r="B1906" s="468" t="str">
        <f>IFERROR(__xludf.DUMMYFUNCTION("""COMPUTED_VALUE"""),"silatmadura")</f>
        <v>silatmadura</v>
      </c>
      <c r="C1906" s="283" t="str">
        <f>IFERROR(__xludf.DUMMYFUNCTION("""COMPUTED_VALUE"""),"https://www.tiktok.com/@silatmadura")</f>
        <v>https://www.tiktok.com/@silatmadura</v>
      </c>
      <c r="D1906" s="273">
        <f>IFERROR(__xludf.DUMMYFUNCTION("""COMPUTED_VALUE"""),8.5924527588E10)</f>
        <v>85924527588</v>
      </c>
      <c r="E1906" s="458">
        <f>IFERROR(__xludf.DUMMYFUNCTION("""COMPUTED_VALUE"""),0.0)</f>
        <v>0</v>
      </c>
      <c r="F1906" s="273">
        <f>IFERROR(__xludf.DUMMYFUNCTION("""COMPUTED_VALUE"""),4.0)</f>
        <v>4</v>
      </c>
      <c r="G1906" t="str">
        <f>IFERROR(__xludf.DUMMYFUNCTION("""COMPUTED_VALUE"""),"Sabun batang 1 Box ( 2 PCS )")</f>
        <v>Sabun batang 1 Box ( 2 PCS )</v>
      </c>
      <c r="H1906" s="469" t="str">
        <f>IFERROR(__xludf.DUMMYFUNCTION("""COMPUTED_VALUE"""),"Sampai")</f>
        <v>Sampai</v>
      </c>
      <c r="I1906" s="470"/>
      <c r="J1906" t="str">
        <f>IFERROR(__xludf.DUMMYFUNCTION("""COMPUTED_VALUE"""),"⁠⁠https://vt.tiktok.com/ZSxWoETxW/")</f>
        <v>⁠⁠https://vt.tiktok.com/ZSxWoETxW/</v>
      </c>
      <c r="K1906" s="470"/>
      <c r="L1906" s="471" t="str">
        <f>IFERROR(__xludf.DUMMYFUNCTION("""COMPUTED_VALUE"""),"https://vt.tiktok.com/ZSxWo3kkR/")</f>
        <v>https://vt.tiktok.com/ZSxWo3kkR/</v>
      </c>
      <c r="M1906" s="470"/>
      <c r="N1906" s="471" t="str">
        <f>IFERROR(__xludf.DUMMYFUNCTION("""COMPUTED_VALUE"""),"https://vt.tiktok.com/ZSxtqSTk6/")</f>
        <v>https://vt.tiktok.com/ZSxtqSTk6/</v>
      </c>
      <c r="O1906" s="470"/>
      <c r="P1906" s="471" t="str">
        <f>IFERROR(__xludf.DUMMYFUNCTION("""COMPUTED_VALUE"""),"https://vt.tiktok.com/ZSxtq5nfL/")</f>
        <v>https://vt.tiktok.com/ZSxtq5nfL/</v>
      </c>
    </row>
    <row r="1907">
      <c r="A1907" s="282" t="str">
        <f>IFERROR(__xludf.DUMMYFUNCTION("""COMPUTED_VALUE"""),"MICRO")</f>
        <v>MICRO</v>
      </c>
      <c r="B1907" s="468" t="str">
        <f>IFERROR(__xludf.DUMMYFUNCTION("""COMPUTED_VALUE"""),"ccute_girll")</f>
        <v>ccute_girll</v>
      </c>
      <c r="C1907" s="283" t="str">
        <f>IFERROR(__xludf.DUMMYFUNCTION("""COMPUTED_VALUE"""),"https://www.tiktok.com/@ccute_girll")</f>
        <v>https://www.tiktok.com/@ccute_girll</v>
      </c>
      <c r="D1907" s="273">
        <f>IFERROR(__xludf.DUMMYFUNCTION("""COMPUTED_VALUE"""),8.95347415672E11)</f>
        <v>895347415672</v>
      </c>
      <c r="E1907" s="458">
        <f>IFERROR(__xludf.DUMMYFUNCTION("""COMPUTED_VALUE"""),0.0)</f>
        <v>0</v>
      </c>
      <c r="F1907" s="273">
        <f>IFERROR(__xludf.DUMMYFUNCTION("""COMPUTED_VALUE"""),4.0)</f>
        <v>4</v>
      </c>
      <c r="G1907" t="str">
        <f>IFERROR(__xludf.DUMMYFUNCTION("""COMPUTED_VALUE"""),"Sabun batang 1 Box ( 2 PCS )")</f>
        <v>Sabun batang 1 Box ( 2 PCS )</v>
      </c>
      <c r="H1907" s="469" t="str">
        <f>IFERROR(__xludf.DUMMYFUNCTION("""COMPUTED_VALUE"""),"Sampai")</f>
        <v>Sampai</v>
      </c>
      <c r="I1907" s="470"/>
      <c r="J1907" s="471" t="str">
        <f>IFERROR(__xludf.DUMMYFUNCTION("""COMPUTED_VALUE"""),"https://vt.tiktok.com/ZSxtqSRWW/")</f>
        <v>https://vt.tiktok.com/ZSxtqSRWW/</v>
      </c>
      <c r="K1907" s="470"/>
      <c r="L1907" s="471" t="str">
        <f>IFERROR(__xludf.DUMMYFUNCTION("""COMPUTED_VALUE"""),"https://vt.tiktok.com/ZSxtqbnkD/")</f>
        <v>https://vt.tiktok.com/ZSxtqbnkD/</v>
      </c>
      <c r="M1907" s="470"/>
      <c r="N1907" s="471" t="str">
        <f>IFERROR(__xludf.DUMMYFUNCTION("""COMPUTED_VALUE"""),"https://vt.tiktok.com/ZSxtq4Gb3/")</f>
        <v>https://vt.tiktok.com/ZSxtq4Gb3/</v>
      </c>
      <c r="O1907" s="470"/>
      <c r="P1907" s="471" t="str">
        <f>IFERROR(__xludf.DUMMYFUNCTION("""COMPUTED_VALUE"""),"https://vt.tiktok.com/ZSxtqU1ty/")</f>
        <v>https://vt.tiktok.com/ZSxtqU1ty/</v>
      </c>
    </row>
    <row r="1908">
      <c r="A1908" s="282" t="str">
        <f>IFERROR(__xludf.DUMMYFUNCTION("""COMPUTED_VALUE"""),"MICRO")</f>
        <v>MICRO</v>
      </c>
      <c r="B1908" s="468" t="str">
        <f>IFERROR(__xludf.DUMMYFUNCTION("""COMPUTED_VALUE"""),"fashion_vibe5")</f>
        <v>fashion_vibe5</v>
      </c>
      <c r="C1908" s="283" t="str">
        <f>IFERROR(__xludf.DUMMYFUNCTION("""COMPUTED_VALUE"""),"https://www.tiktok.com/@fashion_vibe5")</f>
        <v>https://www.tiktok.com/@fashion_vibe5</v>
      </c>
      <c r="D1908" s="273">
        <f>IFERROR(__xludf.DUMMYFUNCTION("""COMPUTED_VALUE"""),8.1269849136E10)</f>
        <v>81269849136</v>
      </c>
      <c r="E1908" s="458">
        <f>IFERROR(__xludf.DUMMYFUNCTION("""COMPUTED_VALUE"""),0.0)</f>
        <v>0</v>
      </c>
      <c r="F1908" s="273">
        <f>IFERROR(__xludf.DUMMYFUNCTION("""COMPUTED_VALUE"""),4.0)</f>
        <v>4</v>
      </c>
      <c r="G1908" t="str">
        <f>IFERROR(__xludf.DUMMYFUNCTION("""COMPUTED_VALUE"""),"Sabun batang 1 Box ( 2 PCS )")</f>
        <v>Sabun batang 1 Box ( 2 PCS )</v>
      </c>
      <c r="H1908" s="469" t="str">
        <f>IFERROR(__xludf.DUMMYFUNCTION("""COMPUTED_VALUE"""),"Sampai")</f>
        <v>Sampai</v>
      </c>
      <c r="I1908" s="470"/>
      <c r="J1908" s="471" t="str">
        <f>IFERROR(__xludf.DUMMYFUNCTION("""COMPUTED_VALUE"""),"https://vt.tiktok.com/ZSxtqDhhS/")</f>
        <v>https://vt.tiktok.com/ZSxtqDhhS/</v>
      </c>
      <c r="K1908" s="470"/>
      <c r="L1908" s="471" t="str">
        <f>IFERROR(__xludf.DUMMYFUNCTION("""COMPUTED_VALUE"""),"https://vt.tiktok.com/ZSxtqx55M/")</f>
        <v>https://vt.tiktok.com/ZSxtqx55M/</v>
      </c>
      <c r="M1908" s="470"/>
      <c r="N1908" s="471" t="str">
        <f>IFERROR(__xludf.DUMMYFUNCTION("""COMPUTED_VALUE"""),"https://vt.tiktok.com/ZSxnuyQyD/")</f>
        <v>https://vt.tiktok.com/ZSxnuyQyD/</v>
      </c>
      <c r="O1908" s="470"/>
      <c r="P1908" s="471" t="str">
        <f>IFERROR(__xludf.DUMMYFUNCTION("""COMPUTED_VALUE"""),"https://vt.tiktok.com/ZSxn9Yo6Q/")</f>
        <v>https://vt.tiktok.com/ZSxn9Yo6Q/</v>
      </c>
    </row>
    <row r="1909">
      <c r="A1909" s="282" t="str">
        <f>IFERROR(__xludf.DUMMYFUNCTION("""COMPUTED_VALUE"""),"MICRO")</f>
        <v>MICRO</v>
      </c>
      <c r="B1909" s="468" t="str">
        <f>IFERROR(__xludf.DUMMYFUNCTION("""COMPUTED_VALUE"""),"tyaaayy")</f>
        <v>tyaaayy</v>
      </c>
      <c r="C1909" s="283" t="str">
        <f>IFERROR(__xludf.DUMMYFUNCTION("""COMPUTED_VALUE"""),"https://www.tiktok.com/@tyaaayy")</f>
        <v>https://www.tiktok.com/@tyaaayy</v>
      </c>
      <c r="D1909" s="273">
        <f>IFERROR(__xludf.DUMMYFUNCTION("""COMPUTED_VALUE"""),8.979343206E9)</f>
        <v>8979343206</v>
      </c>
      <c r="E1909" s="458">
        <f>IFERROR(__xludf.DUMMYFUNCTION("""COMPUTED_VALUE"""),0.0)</f>
        <v>0</v>
      </c>
      <c r="F1909" s="273">
        <f>IFERROR(__xludf.DUMMYFUNCTION("""COMPUTED_VALUE"""),4.0)</f>
        <v>4</v>
      </c>
      <c r="G1909" t="str">
        <f>IFERROR(__xludf.DUMMYFUNCTION("""COMPUTED_VALUE"""),"Sabun batang 1 Box ( 2 PCS )")</f>
        <v>Sabun batang 1 Box ( 2 PCS )</v>
      </c>
      <c r="H1909" s="469" t="str">
        <f>IFERROR(__xludf.DUMMYFUNCTION("""COMPUTED_VALUE"""),"Sampai")</f>
        <v>Sampai</v>
      </c>
      <c r="I1909" s="470"/>
      <c r="J1909" s="471" t="str">
        <f>IFERROR(__xludf.DUMMYFUNCTION("""COMPUTED_VALUE"""),"https://vt.tiktok.com/ZSxn9AxY2/")</f>
        <v>https://vt.tiktok.com/ZSxn9AxY2/</v>
      </c>
      <c r="K1909" s="470"/>
      <c r="L1909" s="471" t="str">
        <f>IFERROR(__xludf.DUMMYFUNCTION("""COMPUTED_VALUE"""),"https://vt.tiktok.com/ZSxn9f6b5/")</f>
        <v>https://vt.tiktok.com/ZSxn9f6b5/</v>
      </c>
      <c r="M1909" s="470"/>
      <c r="N1909" s="471" t="str">
        <f>IFERROR(__xludf.DUMMYFUNCTION("""COMPUTED_VALUE"""),"https://vt.tiktok.com/ZSxn9FUwo/")</f>
        <v>https://vt.tiktok.com/ZSxn9FUwo/</v>
      </c>
      <c r="O1909" s="470"/>
      <c r="P1909" s="471" t="str">
        <f>IFERROR(__xludf.DUMMYFUNCTION("""COMPUTED_VALUE"""),"https://vt.tiktok.com/ZSxn9Arbj29/")</f>
        <v>https://vt.tiktok.com/ZSxn9Arbj29/</v>
      </c>
    </row>
    <row r="1910">
      <c r="A1910" s="282" t="str">
        <f>IFERROR(__xludf.DUMMYFUNCTION("""COMPUTED_VALUE"""),"MICRO")</f>
        <v>MICRO</v>
      </c>
      <c r="B1910" s="468" t="str">
        <f>IFERROR(__xludf.DUMMYFUNCTION("""COMPUTED_VALUE"""),"nolisnurjanah21")</f>
        <v>nolisnurjanah21</v>
      </c>
      <c r="C1910" s="283" t="str">
        <f>IFERROR(__xludf.DUMMYFUNCTION("""COMPUTED_VALUE"""),"https://www.tiktok.com/@nolisnurjanah21")</f>
        <v>https://www.tiktok.com/@nolisnurjanah21</v>
      </c>
      <c r="D1910" s="273">
        <f>IFERROR(__xludf.DUMMYFUNCTION("""COMPUTED_VALUE"""),8.9646308571E10)</f>
        <v>89646308571</v>
      </c>
      <c r="E1910" s="458">
        <f>IFERROR(__xludf.DUMMYFUNCTION("""COMPUTED_VALUE"""),750000.0)</f>
        <v>750000</v>
      </c>
      <c r="F1910" s="273">
        <f>IFERROR(__xludf.DUMMYFUNCTION("""COMPUTED_VALUE"""),4.0)</f>
        <v>4</v>
      </c>
      <c r="G1910" t="str">
        <f>IFERROR(__xludf.DUMMYFUNCTION("""COMPUTED_VALUE"""),"Sabun batang 1 Box ( 2 PCS )")</f>
        <v>Sabun batang 1 Box ( 2 PCS )</v>
      </c>
      <c r="H1910" s="469" t="str">
        <f>IFERROR(__xludf.DUMMYFUNCTION("""COMPUTED_VALUE"""),"Sampai")</f>
        <v>Sampai</v>
      </c>
      <c r="I1910" s="470"/>
      <c r="J1910" s="471" t="str">
        <f>IFERROR(__xludf.DUMMYFUNCTION("""COMPUTED_VALUE"""),"https://vt.tiktok.com/ZS9DPUo5R/")</f>
        <v>https://vt.tiktok.com/ZS9DPUo5R/</v>
      </c>
      <c r="K1910" s="470"/>
      <c r="L1910" s="471" t="str">
        <f>IFERROR(__xludf.DUMMYFUNCTION("""COMPUTED_VALUE"""),"https://vt.tiktok.com/ZS9DPDvFU/")</f>
        <v>https://vt.tiktok.com/ZS9DPDvFU/</v>
      </c>
      <c r="M1910" s="470"/>
      <c r="N1910" s="471" t="str">
        <f>IFERROR(__xludf.DUMMYFUNCTION("""COMPUTED_VALUE"""),"https://vt.tiktok.com/ZS9DP67g8/")</f>
        <v>https://vt.tiktok.com/ZS9DP67g8/</v>
      </c>
      <c r="O1910" s="470"/>
      <c r="P1910" s="471" t="str">
        <f>IFERROR(__xludf.DUMMYFUNCTION("""COMPUTED_VALUE"""),"https://vt.tiktok.com/ZS9DPmU5N/")</f>
        <v>https://vt.tiktok.com/ZS9DPmU5N/</v>
      </c>
    </row>
    <row r="1911">
      <c r="A1911" s="282" t="str">
        <f>IFERROR(__xludf.DUMMYFUNCTION("""COMPUTED_VALUE"""),"MICRO")</f>
        <v>MICRO</v>
      </c>
      <c r="B1911" s="468" t="str">
        <f>IFERROR(__xludf.DUMMYFUNCTION("""COMPUTED_VALUE"""),"racun_spalspil12")</f>
        <v>racun_spalspil12</v>
      </c>
      <c r="C1911" s="283" t="str">
        <f>IFERROR(__xludf.DUMMYFUNCTION("""COMPUTED_VALUE"""),"https://www.tiktok.com/@racun_spalspil12")</f>
        <v>https://www.tiktok.com/@racun_spalspil12</v>
      </c>
      <c r="D1911" s="273">
        <f>IFERROR(__xludf.DUMMYFUNCTION("""COMPUTED_VALUE"""),8.9646308571E10)</f>
        <v>89646308571</v>
      </c>
      <c r="E1911" s="458">
        <f>IFERROR(__xludf.DUMMYFUNCTION("""COMPUTED_VALUE"""),750000.0)</f>
        <v>750000</v>
      </c>
      <c r="F1911" s="273">
        <f>IFERROR(__xludf.DUMMYFUNCTION("""COMPUTED_VALUE"""),4.0)</f>
        <v>4</v>
      </c>
      <c r="G1911" t="str">
        <f>IFERROR(__xludf.DUMMYFUNCTION("""COMPUTED_VALUE"""),"Sabun batang 1 Box ( 2 PCS )")</f>
        <v>Sabun batang 1 Box ( 2 PCS )</v>
      </c>
      <c r="H1911" s="469" t="str">
        <f>IFERROR(__xludf.DUMMYFUNCTION("""COMPUTED_VALUE"""),"Sampai")</f>
        <v>Sampai</v>
      </c>
      <c r="I1911" s="470"/>
      <c r="J1911" s="471" t="str">
        <f>IFERROR(__xludf.DUMMYFUNCTION("""COMPUTED_VALUE"""),"https://vt.tiktok.com/ZS9DP2wff/")</f>
        <v>https://vt.tiktok.com/ZS9DP2wff/</v>
      </c>
      <c r="K1911" s="470"/>
      <c r="L1911" s="471" t="str">
        <f>IFERROR(__xludf.DUMMYFUNCTION("""COMPUTED_VALUE"""),"https://vt.tiktok.com/ZS9DP9gUq/")</f>
        <v>https://vt.tiktok.com/ZS9DP9gUq/</v>
      </c>
      <c r="M1911" s="470"/>
      <c r="N1911" s="471" t="str">
        <f>IFERROR(__xludf.DUMMYFUNCTION("""COMPUTED_VALUE"""),"https://vt.tiktok.com/ZS9DPPrEn/")</f>
        <v>https://vt.tiktok.com/ZS9DPPrEn/</v>
      </c>
      <c r="O1911" s="470"/>
      <c r="P1911" s="471" t="str">
        <f>IFERROR(__xludf.DUMMYFUNCTION("""COMPUTED_VALUE"""),"https://vt.tiktok.com/ZS959tdWy/")</f>
        <v>https://vt.tiktok.com/ZS959tdWy/</v>
      </c>
    </row>
    <row r="1912">
      <c r="A1912" s="282" t="str">
        <f>IFERROR(__xludf.DUMMYFUNCTION("""COMPUTED_VALUE"""),"MICRO")</f>
        <v>MICRO</v>
      </c>
      <c r="B1912" s="468" t="str">
        <f>IFERROR(__xludf.DUMMYFUNCTION("""COMPUTED_VALUE"""),"dont.look.at.me222")</f>
        <v>dont.look.at.me222</v>
      </c>
      <c r="C1912" s="283" t="str">
        <f>IFERROR(__xludf.DUMMYFUNCTION("""COMPUTED_VALUE"""),"https://www.tiktok.com/@dont.look.at.me222")</f>
        <v>https://www.tiktok.com/@dont.look.at.me222</v>
      </c>
      <c r="D1912" s="273">
        <f>IFERROR(__xludf.DUMMYFUNCTION("""COMPUTED_VALUE"""),8.2254600505E10)</f>
        <v>82254600505</v>
      </c>
      <c r="E1912" s="458">
        <f>IFERROR(__xludf.DUMMYFUNCTION("""COMPUTED_VALUE"""),0.0)</f>
        <v>0</v>
      </c>
      <c r="F1912" s="273">
        <f>IFERROR(__xludf.DUMMYFUNCTION("""COMPUTED_VALUE"""),4.0)</f>
        <v>4</v>
      </c>
      <c r="G1912" t="str">
        <f>IFERROR(__xludf.DUMMYFUNCTION("""COMPUTED_VALUE"""),"Sabun batang 1 Box ( 2 PCS )")</f>
        <v>Sabun batang 1 Box ( 2 PCS )</v>
      </c>
      <c r="H1912" s="469" t="str">
        <f>IFERROR(__xludf.DUMMYFUNCTION("""COMPUTED_VALUE"""),"Sampai")</f>
        <v>Sampai</v>
      </c>
      <c r="I1912" s="470"/>
      <c r="J1912" s="471" t="str">
        <f>IFERROR(__xludf.DUMMYFUNCTION("""COMPUTED_VALUE"""),"https://vt.tiktok.com/ZS9DPUo5R/")</f>
        <v>https://vt.tiktok.com/ZS9DPUo5R/</v>
      </c>
      <c r="K1912" s="470"/>
      <c r="L1912" s="471" t="str">
        <f>IFERROR(__xludf.DUMMYFUNCTION("""COMPUTED_VALUE"""),"https://vt.tiktok.com/ZS9DPDvFU/")</f>
        <v>https://vt.tiktok.com/ZS9DPDvFU/</v>
      </c>
      <c r="M1912" s="470"/>
      <c r="N1912" s="471" t="str">
        <f>IFERROR(__xludf.DUMMYFUNCTION("""COMPUTED_VALUE"""),"https://vt.tiktok.com/ZS9DP67g8/")</f>
        <v>https://vt.tiktok.com/ZS9DP67g8/</v>
      </c>
      <c r="O1912" s="470"/>
      <c r="P1912" s="471" t="str">
        <f>IFERROR(__xludf.DUMMYFUNCTION("""COMPUTED_VALUE"""),"https://vt.tiktok.com/ZS9DPmU5N/")</f>
        <v>https://vt.tiktok.com/ZS9DPmU5N/</v>
      </c>
    </row>
    <row r="1913">
      <c r="A1913" s="282" t="str">
        <f>IFERROR(__xludf.DUMMYFUNCTION("""COMPUTED_VALUE"""),"MICRO")</f>
        <v>MICRO</v>
      </c>
      <c r="B1913" s="468" t="str">
        <f>IFERROR(__xludf.DUMMYFUNCTION("""COMPUTED_VALUE"""),"twix.angel")</f>
        <v>twix.angel</v>
      </c>
      <c r="C1913" s="283" t="str">
        <f>IFERROR(__xludf.DUMMYFUNCTION("""COMPUTED_VALUE"""),"https://www.tiktok.com/@twix.angel")</f>
        <v>https://www.tiktok.com/@twix.angel</v>
      </c>
      <c r="D1913" s="273">
        <f>IFERROR(__xludf.DUMMYFUNCTION("""COMPUTED_VALUE"""),8.95702071525E11)</f>
        <v>895702071525</v>
      </c>
      <c r="E1913" s="458">
        <f>IFERROR(__xludf.DUMMYFUNCTION("""COMPUTED_VALUE"""),0.0)</f>
        <v>0</v>
      </c>
      <c r="F1913" s="273">
        <f>IFERROR(__xludf.DUMMYFUNCTION("""COMPUTED_VALUE"""),4.0)</f>
        <v>4</v>
      </c>
      <c r="G1913" t="str">
        <f>IFERROR(__xludf.DUMMYFUNCTION("""COMPUTED_VALUE"""),"Sabun batang 1 Box ( 2 PCS )")</f>
        <v>Sabun batang 1 Box ( 2 PCS )</v>
      </c>
      <c r="H1913" s="469" t="str">
        <f>IFERROR(__xludf.DUMMYFUNCTION("""COMPUTED_VALUE"""),"Sampai")</f>
        <v>Sampai</v>
      </c>
      <c r="I1913" s="470"/>
      <c r="J1913" s="471" t="str">
        <f>IFERROR(__xludf.DUMMYFUNCTION("""COMPUTED_VALUE"""),"https://vt.tiktok.com/ZS9DP2wff/")</f>
        <v>https://vt.tiktok.com/ZS9DP2wff/</v>
      </c>
      <c r="K1913" s="470"/>
      <c r="L1913" s="471" t="str">
        <f>IFERROR(__xludf.DUMMYFUNCTION("""COMPUTED_VALUE"""),"https://vt.tiktok.com/ZS9DP9gUq/")</f>
        <v>https://vt.tiktok.com/ZS9DP9gUq/</v>
      </c>
      <c r="M1913" s="470"/>
      <c r="N1913" s="471" t="str">
        <f>IFERROR(__xludf.DUMMYFUNCTION("""COMPUTED_VALUE"""),"https://vt.tiktok.com/ZS9DPPrEn/")</f>
        <v>https://vt.tiktok.com/ZS9DPPrEn/</v>
      </c>
      <c r="O1913" s="470"/>
      <c r="P1913" s="471" t="str">
        <f>IFERROR(__xludf.DUMMYFUNCTION("""COMPUTED_VALUE"""),"https://vt.tiktok.com/ZS959tdWy/")</f>
        <v>https://vt.tiktok.com/ZS959tdWy/</v>
      </c>
    </row>
    <row r="1914">
      <c r="A1914" s="282" t="str">
        <f>IFERROR(__xludf.DUMMYFUNCTION("""COMPUTED_VALUE"""),"MICRO")</f>
        <v>MICRO</v>
      </c>
      <c r="B1914" s="468" t="str">
        <f>IFERROR(__xludf.DUMMYFUNCTION("""COMPUTED_VALUE"""),"ibu_inara23")</f>
        <v>ibu_inara23</v>
      </c>
      <c r="C1914" s="283" t="str">
        <f>IFERROR(__xludf.DUMMYFUNCTION("""COMPUTED_VALUE"""),"https://www.tiktok.com/@ibu_inara23")</f>
        <v>https://www.tiktok.com/@ibu_inara23</v>
      </c>
      <c r="D1914" s="273">
        <f>IFERROR(__xludf.DUMMYFUNCTION("""COMPUTED_VALUE"""),8.5294618416E10)</f>
        <v>85294618416</v>
      </c>
      <c r="E1914" s="458">
        <f>IFERROR(__xludf.DUMMYFUNCTION("""COMPUTED_VALUE"""),0.0)</f>
        <v>0</v>
      </c>
      <c r="F1914" s="273">
        <f>IFERROR(__xludf.DUMMYFUNCTION("""COMPUTED_VALUE"""),4.0)</f>
        <v>4</v>
      </c>
      <c r="G1914" t="str">
        <f>IFERROR(__xludf.DUMMYFUNCTION("""COMPUTED_VALUE"""),"Sabun batang 1 Box ( 2 PCS )")</f>
        <v>Sabun batang 1 Box ( 2 PCS )</v>
      </c>
      <c r="H1914" s="469" t="str">
        <f>IFERROR(__xludf.DUMMYFUNCTION("""COMPUTED_VALUE"""),"Sampai")</f>
        <v>Sampai</v>
      </c>
      <c r="I1914" s="470"/>
      <c r="J1914" s="471" t="str">
        <f>IFERROR(__xludf.DUMMYFUNCTION("""COMPUTED_VALUE"""),"https://vt.tiktok.com/ZS9DPUo5R/")</f>
        <v>https://vt.tiktok.com/ZS9DPUo5R/</v>
      </c>
      <c r="K1914" s="470"/>
      <c r="L1914" s="471" t="str">
        <f>IFERROR(__xludf.DUMMYFUNCTION("""COMPUTED_VALUE"""),"https://vt.tiktok.com/ZS9DPDvFU/")</f>
        <v>https://vt.tiktok.com/ZS9DPDvFU/</v>
      </c>
      <c r="M1914" s="470"/>
      <c r="N1914" s="471" t="str">
        <f>IFERROR(__xludf.DUMMYFUNCTION("""COMPUTED_VALUE"""),"https://vt.tiktok.com/ZS9DP67g8/")</f>
        <v>https://vt.tiktok.com/ZS9DP67g8/</v>
      </c>
      <c r="O1914" s="470"/>
      <c r="P1914" s="471" t="str">
        <f>IFERROR(__xludf.DUMMYFUNCTION("""COMPUTED_VALUE"""),"https://vt.tiktok.com/ZS9DPmU5N/")</f>
        <v>https://vt.tiktok.com/ZS9DPmU5N/</v>
      </c>
    </row>
    <row r="1915">
      <c r="A1915" s="282" t="str">
        <f>IFERROR(__xludf.DUMMYFUNCTION("""COMPUTED_VALUE"""),"MICRO")</f>
        <v>MICRO</v>
      </c>
      <c r="B1915" s="468" t="str">
        <f>IFERROR(__xludf.DUMMYFUNCTION("""COMPUTED_VALUE"""),"cutbulann")</f>
        <v>cutbulann</v>
      </c>
      <c r="C1915" s="283" t="str">
        <f>IFERROR(__xludf.DUMMYFUNCTION("""COMPUTED_VALUE"""),"https://www.tiktok.com/@cutbulann")</f>
        <v>https://www.tiktok.com/@cutbulann</v>
      </c>
      <c r="D1915" s="273">
        <f>IFERROR(__xludf.DUMMYFUNCTION("""COMPUTED_VALUE"""),8.3136593379E10)</f>
        <v>83136593379</v>
      </c>
      <c r="E1915" s="458">
        <f>IFERROR(__xludf.DUMMYFUNCTION("""COMPUTED_VALUE"""),0.0)</f>
        <v>0</v>
      </c>
      <c r="F1915" s="273">
        <f>IFERROR(__xludf.DUMMYFUNCTION("""COMPUTED_VALUE"""),4.0)</f>
        <v>4</v>
      </c>
      <c r="G1915" t="str">
        <f>IFERROR(__xludf.DUMMYFUNCTION("""COMPUTED_VALUE"""),"Sabun batang 1 Box ( 2 PCS )")</f>
        <v>Sabun batang 1 Box ( 2 PCS )</v>
      </c>
      <c r="H1915" s="469" t="str">
        <f>IFERROR(__xludf.DUMMYFUNCTION("""COMPUTED_VALUE"""),"Sampai")</f>
        <v>Sampai</v>
      </c>
      <c r="I1915" s="470"/>
      <c r="J1915" s="471" t="str">
        <f>IFERROR(__xludf.DUMMYFUNCTION("""COMPUTED_VALUE"""),"https://vt.tiktok.com/ZS9DP2wff/")</f>
        <v>https://vt.tiktok.com/ZS9DP2wff/</v>
      </c>
      <c r="K1915" s="470"/>
      <c r="L1915" s="471" t="str">
        <f>IFERROR(__xludf.DUMMYFUNCTION("""COMPUTED_VALUE"""),"https://vt.tiktok.com/ZS9DP9gUq/")</f>
        <v>https://vt.tiktok.com/ZS9DP9gUq/</v>
      </c>
      <c r="M1915" s="470"/>
      <c r="N1915" s="471" t="str">
        <f>IFERROR(__xludf.DUMMYFUNCTION("""COMPUTED_VALUE"""),"https://vt.tiktok.com/ZS9DPPrEn/")</f>
        <v>https://vt.tiktok.com/ZS9DPPrEn/</v>
      </c>
      <c r="O1915" s="470"/>
      <c r="P1915" s="471" t="str">
        <f>IFERROR(__xludf.DUMMYFUNCTION("""COMPUTED_VALUE"""),"https://vt.tiktok.com/ZS959tdWy/")</f>
        <v>https://vt.tiktok.com/ZS959tdWy/</v>
      </c>
    </row>
    <row r="1916">
      <c r="A1916" s="282" t="str">
        <f>IFERROR(__xludf.DUMMYFUNCTION("""COMPUTED_VALUE"""),"MICRO")</f>
        <v>MICRO</v>
      </c>
      <c r="B1916" s="468" t="str">
        <f>IFERROR(__xludf.DUMMYFUNCTION("""COMPUTED_VALUE"""),"_faizz06")</f>
        <v>_faizz06</v>
      </c>
      <c r="C1916" s="283" t="str">
        <f>IFERROR(__xludf.DUMMYFUNCTION("""COMPUTED_VALUE"""),"https://www.tiktok.com/@_faizz06")</f>
        <v>https://www.tiktok.com/@_faizz06</v>
      </c>
      <c r="D1916" s="273">
        <f>IFERROR(__xludf.DUMMYFUNCTION("""COMPUTED_VALUE"""),8.9536066907E11)</f>
        <v>895360669070</v>
      </c>
      <c r="E1916" s="458">
        <f>IFERROR(__xludf.DUMMYFUNCTION("""COMPUTED_VALUE"""),0.0)</f>
        <v>0</v>
      </c>
      <c r="F1916" s="273">
        <f>IFERROR(__xludf.DUMMYFUNCTION("""COMPUTED_VALUE"""),4.0)</f>
        <v>4</v>
      </c>
      <c r="G1916" t="str">
        <f>IFERROR(__xludf.DUMMYFUNCTION("""COMPUTED_VALUE"""),"Sabun batang 1 Box ( 2 PCS )")</f>
        <v>Sabun batang 1 Box ( 2 PCS )</v>
      </c>
      <c r="H1916" s="469" t="str">
        <f>IFERROR(__xludf.DUMMYFUNCTION("""COMPUTED_VALUE"""),"Sampai")</f>
        <v>Sampai</v>
      </c>
      <c r="I1916" s="470"/>
      <c r="J1916" s="471" t="str">
        <f>IFERROR(__xludf.DUMMYFUNCTION("""COMPUTED_VALUE"""),"https://vt.tiktok.com/ZS9DPUo5R/")</f>
        <v>https://vt.tiktok.com/ZS9DPUo5R/</v>
      </c>
      <c r="K1916" s="470"/>
      <c r="L1916" s="471" t="str">
        <f>IFERROR(__xludf.DUMMYFUNCTION("""COMPUTED_VALUE"""),"https://vt.tiktok.com/ZS9DPDvFU/")</f>
        <v>https://vt.tiktok.com/ZS9DPDvFU/</v>
      </c>
      <c r="M1916" s="470"/>
      <c r="N1916" s="471" t="str">
        <f>IFERROR(__xludf.DUMMYFUNCTION("""COMPUTED_VALUE"""),"https://vt.tiktok.com/ZS9DP67g8/")</f>
        <v>https://vt.tiktok.com/ZS9DP67g8/</v>
      </c>
      <c r="O1916" s="470"/>
      <c r="P1916" s="471" t="str">
        <f>IFERROR(__xludf.DUMMYFUNCTION("""COMPUTED_VALUE"""),"https://vt.tiktok.com/ZS9DPmU5N/")</f>
        <v>https://vt.tiktok.com/ZS9DPmU5N/</v>
      </c>
    </row>
    <row r="1917">
      <c r="A1917" s="282" t="str">
        <f>IFERROR(__xludf.DUMMYFUNCTION("""COMPUTED_VALUE"""),"MICRO")</f>
        <v>MICRO</v>
      </c>
      <c r="B1917" s="468" t="str">
        <f>IFERROR(__xludf.DUMMYFUNCTION("""COMPUTED_VALUE"""),"mommy_nafisah")</f>
        <v>mommy_nafisah</v>
      </c>
      <c r="C1917" s="283" t="str">
        <f>IFERROR(__xludf.DUMMYFUNCTION("""COMPUTED_VALUE"""),"https://www.tiktok.com/@mommy_nafisah")</f>
        <v>https://www.tiktok.com/@mommy_nafisah</v>
      </c>
      <c r="D1917" s="273">
        <f>IFERROR(__xludf.DUMMYFUNCTION("""COMPUTED_VALUE"""),8.155077017E9)</f>
        <v>8155077017</v>
      </c>
      <c r="E1917" s="458">
        <f>IFERROR(__xludf.DUMMYFUNCTION("""COMPUTED_VALUE"""),0.0)</f>
        <v>0</v>
      </c>
      <c r="F1917" s="273">
        <f>IFERROR(__xludf.DUMMYFUNCTION("""COMPUTED_VALUE"""),4.0)</f>
        <v>4</v>
      </c>
      <c r="G1917" t="str">
        <f>IFERROR(__xludf.DUMMYFUNCTION("""COMPUTED_VALUE"""),"Sabun batang 1 Box ( 2 PCS )")</f>
        <v>Sabun batang 1 Box ( 2 PCS )</v>
      </c>
      <c r="H1917" s="469" t="str">
        <f>IFERROR(__xludf.DUMMYFUNCTION("""COMPUTED_VALUE"""),"Sampai")</f>
        <v>Sampai</v>
      </c>
      <c r="I1917" s="470"/>
      <c r="J1917" s="471" t="str">
        <f>IFERROR(__xludf.DUMMYFUNCTION("""COMPUTED_VALUE"""),"https://vt.tiktok.com/ZS9DP2wff/")</f>
        <v>https://vt.tiktok.com/ZS9DP2wff/</v>
      </c>
      <c r="K1917" s="470"/>
      <c r="L1917" s="471" t="str">
        <f>IFERROR(__xludf.DUMMYFUNCTION("""COMPUTED_VALUE"""),"https://vt.tiktok.com/ZS9DP9gUq/")</f>
        <v>https://vt.tiktok.com/ZS9DP9gUq/</v>
      </c>
      <c r="M1917" s="470"/>
      <c r="N1917" s="471" t="str">
        <f>IFERROR(__xludf.DUMMYFUNCTION("""COMPUTED_VALUE"""),"https://vt.tiktok.com/ZS9DPPrEn/")</f>
        <v>https://vt.tiktok.com/ZS9DPPrEn/</v>
      </c>
      <c r="O1917" s="470"/>
      <c r="P1917" s="471" t="str">
        <f>IFERROR(__xludf.DUMMYFUNCTION("""COMPUTED_VALUE"""),"https://vt.tiktok.com/ZS959tdWy/")</f>
        <v>https://vt.tiktok.com/ZS959tdWy/</v>
      </c>
    </row>
    <row r="1918">
      <c r="A1918" s="282" t="str">
        <f>IFERROR(__xludf.DUMMYFUNCTION("""COMPUTED_VALUE"""),"MICRO")</f>
        <v>MICRO</v>
      </c>
      <c r="B1918" s="468" t="str">
        <f>IFERROR(__xludf.DUMMYFUNCTION("""COMPUTED_VALUE"""),"9santuy")</f>
        <v>9santuy</v>
      </c>
      <c r="C1918" s="283" t="str">
        <f>IFERROR(__xludf.DUMMYFUNCTION("""COMPUTED_VALUE"""),"https://www.tiktok.com/@9santuy")</f>
        <v>https://www.tiktok.com/@9santuy</v>
      </c>
      <c r="D1918" s="273">
        <f>IFERROR(__xludf.DUMMYFUNCTION("""COMPUTED_VALUE"""),8.1528780108E10)</f>
        <v>81528780108</v>
      </c>
      <c r="E1918" s="458">
        <f>IFERROR(__xludf.DUMMYFUNCTION("""COMPUTED_VALUE"""),0.0)</f>
        <v>0</v>
      </c>
      <c r="F1918" s="273">
        <f>IFERROR(__xludf.DUMMYFUNCTION("""COMPUTED_VALUE"""),4.0)</f>
        <v>4</v>
      </c>
      <c r="G1918" t="str">
        <f>IFERROR(__xludf.DUMMYFUNCTION("""COMPUTED_VALUE"""),"Sabun batang 1 Box ( 2 PCS )")</f>
        <v>Sabun batang 1 Box ( 2 PCS )</v>
      </c>
      <c r="H1918" s="469" t="str">
        <f>IFERROR(__xludf.DUMMYFUNCTION("""COMPUTED_VALUE"""),"Sampai")</f>
        <v>Sampai</v>
      </c>
      <c r="I1918" s="470"/>
      <c r="J1918" s="471" t="str">
        <f>IFERROR(__xludf.DUMMYFUNCTION("""COMPUTED_VALUE"""),"https://vt.tiktok.com/ZS9DPUo5R/")</f>
        <v>https://vt.tiktok.com/ZS9DPUo5R/</v>
      </c>
      <c r="K1918" s="470"/>
      <c r="L1918" s="471" t="str">
        <f>IFERROR(__xludf.DUMMYFUNCTION("""COMPUTED_VALUE"""),"https://vt.tiktok.com/ZS9DPDvFU/")</f>
        <v>https://vt.tiktok.com/ZS9DPDvFU/</v>
      </c>
      <c r="M1918" s="470"/>
      <c r="N1918" s="471" t="str">
        <f>IFERROR(__xludf.DUMMYFUNCTION("""COMPUTED_VALUE"""),"https://vt.tiktok.com/ZS9DP67g8/")</f>
        <v>https://vt.tiktok.com/ZS9DP67g8/</v>
      </c>
      <c r="O1918" s="470"/>
      <c r="P1918" s="471" t="str">
        <f>IFERROR(__xludf.DUMMYFUNCTION("""COMPUTED_VALUE"""),"https://vt.tiktok.com/ZS9DPmU5N/")</f>
        <v>https://vt.tiktok.com/ZS9DPmU5N/</v>
      </c>
    </row>
    <row r="1919">
      <c r="A1919" s="282" t="str">
        <f>IFERROR(__xludf.DUMMYFUNCTION("""COMPUTED_VALUE"""),"MICRO")</f>
        <v>MICRO</v>
      </c>
      <c r="B1919" s="468" t="str">
        <f>IFERROR(__xludf.DUMMYFUNCTION("""COMPUTED_VALUE"""),"naura_syifa3")</f>
        <v>naura_syifa3</v>
      </c>
      <c r="C1919" s="283" t="str">
        <f>IFERROR(__xludf.DUMMYFUNCTION("""COMPUTED_VALUE"""),"https://www.tiktok.com/@naura_syifa3")</f>
        <v>https://www.tiktok.com/@naura_syifa3</v>
      </c>
      <c r="D1919" s="273">
        <f>IFERROR(__xludf.DUMMYFUNCTION("""COMPUTED_VALUE"""),8.5697269599E10)</f>
        <v>85697269599</v>
      </c>
      <c r="E1919" s="458">
        <f>IFERROR(__xludf.DUMMYFUNCTION("""COMPUTED_VALUE"""),0.0)</f>
        <v>0</v>
      </c>
      <c r="F1919" s="273">
        <f>IFERROR(__xludf.DUMMYFUNCTION("""COMPUTED_VALUE"""),4.0)</f>
        <v>4</v>
      </c>
      <c r="G1919" t="str">
        <f>IFERROR(__xludf.DUMMYFUNCTION("""COMPUTED_VALUE"""),"Sabun batang 1 Box ( 2 PCS )")</f>
        <v>Sabun batang 1 Box ( 2 PCS )</v>
      </c>
      <c r="H1919" s="469" t="str">
        <f>IFERROR(__xludf.DUMMYFUNCTION("""COMPUTED_VALUE"""),"Sampai")</f>
        <v>Sampai</v>
      </c>
      <c r="I1919" s="470"/>
      <c r="J1919" s="471" t="str">
        <f>IFERROR(__xludf.DUMMYFUNCTION("""COMPUTED_VALUE"""),"https://vt.tiktok.com/ZS9DP2wff/")</f>
        <v>https://vt.tiktok.com/ZS9DP2wff/</v>
      </c>
      <c r="K1919" s="470"/>
      <c r="L1919" s="471" t="str">
        <f>IFERROR(__xludf.DUMMYFUNCTION("""COMPUTED_VALUE"""),"https://vt.tiktok.com/ZS9DP9gUq/")</f>
        <v>https://vt.tiktok.com/ZS9DP9gUq/</v>
      </c>
      <c r="M1919" s="470"/>
      <c r="N1919" s="471" t="str">
        <f>IFERROR(__xludf.DUMMYFUNCTION("""COMPUTED_VALUE"""),"https://vt.tiktok.com/ZS9DPPrEn/")</f>
        <v>https://vt.tiktok.com/ZS9DPPrEn/</v>
      </c>
      <c r="O1919" s="470"/>
      <c r="P1919" s="471" t="str">
        <f>IFERROR(__xludf.DUMMYFUNCTION("""COMPUTED_VALUE"""),"https://vt.tiktok.com/ZS959tdWy/")</f>
        <v>https://vt.tiktok.com/ZS959tdWy/</v>
      </c>
    </row>
    <row r="1920">
      <c r="A1920" s="282" t="str">
        <f>IFERROR(__xludf.DUMMYFUNCTION("""COMPUTED_VALUE"""),"MICRO")</f>
        <v>MICRO</v>
      </c>
      <c r="B1920" s="468" t="str">
        <f>IFERROR(__xludf.DUMMYFUNCTION("""COMPUTED_VALUE"""),"deasyfr_ww")</f>
        <v>deasyfr_ww</v>
      </c>
      <c r="C1920" s="283" t="str">
        <f>IFERROR(__xludf.DUMMYFUNCTION("""COMPUTED_VALUE"""),"https://www.tiktok.com/@deasyfr_ww")</f>
        <v>https://www.tiktok.com/@deasyfr_ww</v>
      </c>
      <c r="D1920" s="273">
        <f>IFERROR(__xludf.DUMMYFUNCTION("""COMPUTED_VALUE"""),8.5791333317E10)</f>
        <v>85791333317</v>
      </c>
      <c r="E1920" s="458">
        <f>IFERROR(__xludf.DUMMYFUNCTION("""COMPUTED_VALUE"""),0.0)</f>
        <v>0</v>
      </c>
      <c r="F1920" s="273">
        <f>IFERROR(__xludf.DUMMYFUNCTION("""COMPUTED_VALUE"""),4.0)</f>
        <v>4</v>
      </c>
      <c r="G1920" t="str">
        <f>IFERROR(__xludf.DUMMYFUNCTION("""COMPUTED_VALUE"""),"Sabun batang 1 Box ( 2 PCS )")</f>
        <v>Sabun batang 1 Box ( 2 PCS )</v>
      </c>
      <c r="H1920" s="469" t="str">
        <f>IFERROR(__xludf.DUMMYFUNCTION("""COMPUTED_VALUE"""),"Sampai")</f>
        <v>Sampai</v>
      </c>
      <c r="I1920" s="470"/>
      <c r="J1920" s="471" t="str">
        <f>IFERROR(__xludf.DUMMYFUNCTION("""COMPUTED_VALUE"""),"https://vt.tiktok.com/ZS9DPUo5R/")</f>
        <v>https://vt.tiktok.com/ZS9DPUo5R/</v>
      </c>
      <c r="K1920" s="470"/>
      <c r="L1920" s="471" t="str">
        <f>IFERROR(__xludf.DUMMYFUNCTION("""COMPUTED_VALUE"""),"https://vt.tiktok.com/ZS9DPDvFU/")</f>
        <v>https://vt.tiktok.com/ZS9DPDvFU/</v>
      </c>
      <c r="M1920" s="470"/>
      <c r="N1920" s="471" t="str">
        <f>IFERROR(__xludf.DUMMYFUNCTION("""COMPUTED_VALUE"""),"https://vt.tiktok.com/ZS9DP67g8/")</f>
        <v>https://vt.tiktok.com/ZS9DP67g8/</v>
      </c>
      <c r="O1920" s="470"/>
      <c r="P1920" s="471" t="str">
        <f>IFERROR(__xludf.DUMMYFUNCTION("""COMPUTED_VALUE"""),"https://vt.tiktok.com/ZS9DPmU5N/")</f>
        <v>https://vt.tiktok.com/ZS9DPmU5N/</v>
      </c>
    </row>
    <row r="1921">
      <c r="A1921" s="282" t="str">
        <f>IFERROR(__xludf.DUMMYFUNCTION("""COMPUTED_VALUE"""),"MICRO")</f>
        <v>MICRO</v>
      </c>
      <c r="B1921" s="468" t="str">
        <f>IFERROR(__xludf.DUMMYFUNCTION("""COMPUTED_VALUE"""),"aisstore96")</f>
        <v>aisstore96</v>
      </c>
      <c r="C1921" s="283" t="str">
        <f>IFERROR(__xludf.DUMMYFUNCTION("""COMPUTED_VALUE"""),"https://www.tiktok.com/@aisstore96")</f>
        <v>https://www.tiktok.com/@aisstore96</v>
      </c>
      <c r="D1921" s="273">
        <f>IFERROR(__xludf.DUMMYFUNCTION("""COMPUTED_VALUE"""),8.7776331221E10)</f>
        <v>87776331221</v>
      </c>
      <c r="E1921" s="458">
        <f>IFERROR(__xludf.DUMMYFUNCTION("""COMPUTED_VALUE"""),0.0)</f>
        <v>0</v>
      </c>
      <c r="F1921" s="273">
        <f>IFERROR(__xludf.DUMMYFUNCTION("""COMPUTED_VALUE"""),4.0)</f>
        <v>4</v>
      </c>
      <c r="G1921" t="str">
        <f>IFERROR(__xludf.DUMMYFUNCTION("""COMPUTED_VALUE"""),"Sabun batang 1 Box ( 2 PCS )")</f>
        <v>Sabun batang 1 Box ( 2 PCS )</v>
      </c>
      <c r="H1921" s="469" t="str">
        <f>IFERROR(__xludf.DUMMYFUNCTION("""COMPUTED_VALUE"""),"Sampai")</f>
        <v>Sampai</v>
      </c>
      <c r="I1921" s="470"/>
      <c r="J1921" s="471" t="str">
        <f>IFERROR(__xludf.DUMMYFUNCTION("""COMPUTED_VALUE"""),"https://vt.tiktok.com/ZS9DP2wff/")</f>
        <v>https://vt.tiktok.com/ZS9DP2wff/</v>
      </c>
      <c r="K1921" s="470"/>
      <c r="L1921" s="471" t="str">
        <f>IFERROR(__xludf.DUMMYFUNCTION("""COMPUTED_VALUE"""),"https://vt.tiktok.com/ZS9DP9gUq/")</f>
        <v>https://vt.tiktok.com/ZS9DP9gUq/</v>
      </c>
      <c r="M1921" s="470"/>
      <c r="N1921" s="471" t="str">
        <f>IFERROR(__xludf.DUMMYFUNCTION("""COMPUTED_VALUE"""),"https://vt.tiktok.com/ZS9DPPrEn/")</f>
        <v>https://vt.tiktok.com/ZS9DPPrEn/</v>
      </c>
      <c r="O1921" s="470"/>
      <c r="P1921" s="471" t="str">
        <f>IFERROR(__xludf.DUMMYFUNCTION("""COMPUTED_VALUE"""),"https://vt.tiktok.com/ZS959tdWy/")</f>
        <v>https://vt.tiktok.com/ZS959tdWy/</v>
      </c>
    </row>
    <row r="1922">
      <c r="A1922" s="282" t="str">
        <f>IFERROR(__xludf.DUMMYFUNCTION("""COMPUTED_VALUE"""),"MICRO")</f>
        <v>MICRO</v>
      </c>
      <c r="B1922" s="468" t="str">
        <f>IFERROR(__xludf.DUMMYFUNCTION("""COMPUTED_VALUE"""),"sitimakiah559")</f>
        <v>sitimakiah559</v>
      </c>
      <c r="C1922" s="283" t="str">
        <f>IFERROR(__xludf.DUMMYFUNCTION("""COMPUTED_VALUE"""),"https://www.tiktok.com/@sitimakiah559")</f>
        <v>https://www.tiktok.com/@sitimakiah559</v>
      </c>
      <c r="D1922" s="273">
        <f>IFERROR(__xludf.DUMMYFUNCTION("""COMPUTED_VALUE"""),8.380526329E10)</f>
        <v>83805263290</v>
      </c>
      <c r="E1922" s="458">
        <f>IFERROR(__xludf.DUMMYFUNCTION("""COMPUTED_VALUE"""),0.0)</f>
        <v>0</v>
      </c>
      <c r="F1922" s="273">
        <f>IFERROR(__xludf.DUMMYFUNCTION("""COMPUTED_VALUE"""),4.0)</f>
        <v>4</v>
      </c>
      <c r="G1922" t="str">
        <f>IFERROR(__xludf.DUMMYFUNCTION("""COMPUTED_VALUE"""),"Sabun batang 1 Box ( 2 PCS )")</f>
        <v>Sabun batang 1 Box ( 2 PCS )</v>
      </c>
      <c r="H1922" s="469" t="str">
        <f>IFERROR(__xludf.DUMMYFUNCTION("""COMPUTED_VALUE"""),"Sampai")</f>
        <v>Sampai</v>
      </c>
      <c r="I1922" s="470"/>
      <c r="J1922" s="471" t="str">
        <f>IFERROR(__xludf.DUMMYFUNCTION("""COMPUTED_VALUE"""),"https://vt.tiktok.com/ZSxWmVpSu/")</f>
        <v>https://vt.tiktok.com/ZSxWmVpSu/</v>
      </c>
      <c r="K1922" s="470"/>
      <c r="L1922" s="471" t="str">
        <f>IFERROR(__xludf.DUMMYFUNCTION("""COMPUTED_VALUE"""),"https://vt.tiktok.com/ZSxWm9KEU/")</f>
        <v>https://vt.tiktok.com/ZSxWm9KEU/</v>
      </c>
      <c r="M1922" s="470"/>
      <c r="N1922" s="471" t="str">
        <f>IFERROR(__xludf.DUMMYFUNCTION("""COMPUTED_VALUE"""),"https://vt.tiktok.com/ZSxWmmQ7H/")</f>
        <v>https://vt.tiktok.com/ZSxWmmQ7H/</v>
      </c>
      <c r="O1922" s="470"/>
      <c r="P1922" s="471" t="str">
        <f>IFERROR(__xludf.DUMMYFUNCTION("""COMPUTED_VALUE"""),"https://vt.tiktok.com/ZSxnsjofG/")</f>
        <v>https://vt.tiktok.com/ZSxnsjofG/</v>
      </c>
    </row>
    <row r="1923">
      <c r="A1923" s="282" t="str">
        <f>IFERROR(__xludf.DUMMYFUNCTION("""COMPUTED_VALUE"""),"MICRO")</f>
        <v>MICRO</v>
      </c>
      <c r="B1923" s="468" t="str">
        <f>IFERROR(__xludf.DUMMYFUNCTION("""COMPUTED_VALUE"""),"lathifaaa__")</f>
        <v>lathifaaa__</v>
      </c>
      <c r="C1923" s="283" t="str">
        <f>IFERROR(__xludf.DUMMYFUNCTION("""COMPUTED_VALUE"""),"https://www.tiktok.com/@lathifaaa__")</f>
        <v>https://www.tiktok.com/@lathifaaa__</v>
      </c>
      <c r="D1923" s="273">
        <f>IFERROR(__xludf.DUMMYFUNCTION("""COMPUTED_VALUE"""),8.1554783809E10)</f>
        <v>81554783809</v>
      </c>
      <c r="E1923" s="458">
        <f>IFERROR(__xludf.DUMMYFUNCTION("""COMPUTED_VALUE"""),0.0)</f>
        <v>0</v>
      </c>
      <c r="F1923" s="273">
        <f>IFERROR(__xludf.DUMMYFUNCTION("""COMPUTED_VALUE"""),4.0)</f>
        <v>4</v>
      </c>
      <c r="G1923" t="str">
        <f>IFERROR(__xludf.DUMMYFUNCTION("""COMPUTED_VALUE"""),"Sabun batang 1 Box ( 2 PCS )")</f>
        <v>Sabun batang 1 Box ( 2 PCS )</v>
      </c>
      <c r="H1923" s="469" t="str">
        <f>IFERROR(__xludf.DUMMYFUNCTION("""COMPUTED_VALUE"""),"Sampai")</f>
        <v>Sampai</v>
      </c>
      <c r="I1923" s="470"/>
      <c r="J1923" s="471" t="str">
        <f>IFERROR(__xludf.DUMMYFUNCTION("""COMPUTED_VALUE"""),"https://vt.tiktok.com/ZSxnKnFGS/")</f>
        <v>https://vt.tiktok.com/ZSxnKnFGS/</v>
      </c>
      <c r="K1923" s="470"/>
      <c r="L1923" s="471" t="str">
        <f>IFERROR(__xludf.DUMMYFUNCTION("""COMPUTED_VALUE"""),"https://vt.tiktok.com/ZSxnKnFGS/")</f>
        <v>https://vt.tiktok.com/ZSxnKnFGS/</v>
      </c>
      <c r="M1923" s="470"/>
      <c r="N1923" s="471" t="str">
        <f>IFERROR(__xludf.DUMMYFUNCTION("""COMPUTED_VALUE"""),"https://vt.tiktok.com/ZSxnPMWfn/")</f>
        <v>https://vt.tiktok.com/ZSxnPMWfn/</v>
      </c>
      <c r="O1923" s="470"/>
      <c r="P1923" s="471" t="str">
        <f>IFERROR(__xludf.DUMMYFUNCTION("""COMPUTED_VALUE"""),"https://vt.tiktok.com/ZSxnP2RoC/")</f>
        <v>https://vt.tiktok.com/ZSxnP2RoC/</v>
      </c>
    </row>
    <row r="1924">
      <c r="A1924" s="282" t="str">
        <f>IFERROR(__xludf.DUMMYFUNCTION("""COMPUTED_VALUE"""),"MICRO")</f>
        <v>MICRO</v>
      </c>
      <c r="B1924" s="468" t="str">
        <f>IFERROR(__xludf.DUMMYFUNCTION("""COMPUTED_VALUE"""),"hilmaanrph")</f>
        <v>hilmaanrph</v>
      </c>
      <c r="C1924" s="283" t="str">
        <f>IFERROR(__xludf.DUMMYFUNCTION("""COMPUTED_VALUE"""),"https://www.tiktok.com/@hilmaanrph")</f>
        <v>https://www.tiktok.com/@hilmaanrph</v>
      </c>
      <c r="D1924" s="273">
        <f>IFERROR(__xludf.DUMMYFUNCTION("""COMPUTED_VALUE"""),8.1223341417E10)</f>
        <v>81223341417</v>
      </c>
      <c r="E1924" s="458">
        <f>IFERROR(__xludf.DUMMYFUNCTION("""COMPUTED_VALUE"""),0.0)</f>
        <v>0</v>
      </c>
      <c r="F1924" s="273">
        <f>IFERROR(__xludf.DUMMYFUNCTION("""COMPUTED_VALUE"""),4.0)</f>
        <v>4</v>
      </c>
      <c r="G1924" t="str">
        <f>IFERROR(__xludf.DUMMYFUNCTION("""COMPUTED_VALUE"""),"Sabun batang 1 Box ( 2 PCS )")</f>
        <v>Sabun batang 1 Box ( 2 PCS )</v>
      </c>
      <c r="H1924" s="469" t="str">
        <f>IFERROR(__xludf.DUMMYFUNCTION("""COMPUTED_VALUE"""),"Sampai")</f>
        <v>Sampai</v>
      </c>
      <c r="I1924" s="470"/>
      <c r="J1924" s="471" t="str">
        <f>IFERROR(__xludf.DUMMYFUNCTION("""COMPUTED_VALUE"""),"https://vt.tiktok.com/ZSxnMM5pa/")</f>
        <v>https://vt.tiktok.com/ZSxnMM5pa/</v>
      </c>
      <c r="K1924" s="470"/>
      <c r="L1924" s="471" t="str">
        <f>IFERROR(__xludf.DUMMYFUNCTION("""COMPUTED_VALUE"""),"https://vt.tiktok.com/ZSxnMDLCH/")</f>
        <v>https://vt.tiktok.com/ZSxnMDLCH/</v>
      </c>
      <c r="M1924" s="470"/>
      <c r="N1924" s="471" t="str">
        <f>IFERROR(__xludf.DUMMYFUNCTION("""COMPUTED_VALUE"""),"https://vt.tiktok.com/ZSxnMRVuL/")</f>
        <v>https://vt.tiktok.com/ZSxnMRVuL/</v>
      </c>
      <c r="O1924" s="470"/>
      <c r="P1924" s="471" t="str">
        <f>IFERROR(__xludf.DUMMYFUNCTION("""COMPUTED_VALUE"""),"https://vt.tiktok.com/ZSxnMSbu2/")</f>
        <v>https://vt.tiktok.com/ZSxnMSbu2/</v>
      </c>
    </row>
    <row r="1925">
      <c r="A1925" s="282" t="str">
        <f>IFERROR(__xludf.DUMMYFUNCTION("""COMPUTED_VALUE"""),"MICRO")</f>
        <v>MICRO</v>
      </c>
      <c r="B1925" s="468" t="str">
        <f>IFERROR(__xludf.DUMMYFUNCTION("""COMPUTED_VALUE"""),"uniqueitem_")</f>
        <v>uniqueitem_</v>
      </c>
      <c r="C1925" s="283" t="str">
        <f>IFERROR(__xludf.DUMMYFUNCTION("""COMPUTED_VALUE"""),"https://www.tiktok.com/@uniqueitem_")</f>
        <v>https://www.tiktok.com/@uniqueitem_</v>
      </c>
      <c r="D1925" s="273">
        <f>IFERROR(__xludf.DUMMYFUNCTION("""COMPUTED_VALUE"""),8.9654561563E10)</f>
        <v>89654561563</v>
      </c>
      <c r="E1925" s="458">
        <f>IFERROR(__xludf.DUMMYFUNCTION("""COMPUTED_VALUE"""),0.0)</f>
        <v>0</v>
      </c>
      <c r="F1925" s="273">
        <f>IFERROR(__xludf.DUMMYFUNCTION("""COMPUTED_VALUE"""),4.0)</f>
        <v>4</v>
      </c>
      <c r="G1925" t="str">
        <f>IFERROR(__xludf.DUMMYFUNCTION("""COMPUTED_VALUE"""),"Sabun batang 1 Box ( 2 PCS )")</f>
        <v>Sabun batang 1 Box ( 2 PCS )</v>
      </c>
      <c r="H1925" s="469" t="str">
        <f>IFERROR(__xludf.DUMMYFUNCTION("""COMPUTED_VALUE"""),"Sampai")</f>
        <v>Sampai</v>
      </c>
      <c r="I1925" s="470"/>
      <c r="J1925" s="471" t="str">
        <f>IFERROR(__xludf.DUMMYFUNCTION("""COMPUTED_VALUE"""),"https://vt.tiktok.com/ZSxnMeSUv/")</f>
        <v>https://vt.tiktok.com/ZSxnMeSUv/</v>
      </c>
      <c r="K1925" s="470"/>
      <c r="L1925" s="471" t="str">
        <f>IFERROR(__xludf.DUMMYFUNCTION("""COMPUTED_VALUE"""),"https://vt.tiktok.com/ZSxnMego4/")</f>
        <v>https://vt.tiktok.com/ZSxnMego4/</v>
      </c>
      <c r="M1925" s="470"/>
      <c r="N1925" s="471" t="str">
        <f>IFERROR(__xludf.DUMMYFUNCTION("""COMPUTED_VALUE"""),"https://vt.tiktok.com/ZSxnMLWAL/")</f>
        <v>https://vt.tiktok.com/ZSxnMLWAL/</v>
      </c>
      <c r="O1925" s="470"/>
      <c r="P1925" s="471" t="str">
        <f>IFERROR(__xludf.DUMMYFUNCTION("""COMPUTED_VALUE"""),"https://vt.tiktok.com/ZSxnMfuyU/")</f>
        <v>https://vt.tiktok.com/ZSxnMfuyU/</v>
      </c>
    </row>
    <row r="1926">
      <c r="A1926" s="282" t="str">
        <f>IFERROR(__xludf.DUMMYFUNCTION("""COMPUTED_VALUE"""),"MICRO")</f>
        <v>MICRO</v>
      </c>
      <c r="B1926" s="468" t="str">
        <f>IFERROR(__xludf.DUMMYFUNCTION("""COMPUTED_VALUE"""),"kaalilaamtz")</f>
        <v>kaalilaamtz</v>
      </c>
      <c r="C1926" s="283" t="str">
        <f>IFERROR(__xludf.DUMMYFUNCTION("""COMPUTED_VALUE"""),"https://www.tiktok.com/@kaalilaamtz")</f>
        <v>https://www.tiktok.com/@kaalilaamtz</v>
      </c>
      <c r="D1926" s="273">
        <f>IFERROR(__xludf.DUMMYFUNCTION("""COMPUTED_VALUE"""),8.5771556377E10)</f>
        <v>85771556377</v>
      </c>
      <c r="E1926" s="458">
        <f>IFERROR(__xludf.DUMMYFUNCTION("""COMPUTED_VALUE"""),0.0)</f>
        <v>0</v>
      </c>
      <c r="F1926" s="273">
        <f>IFERROR(__xludf.DUMMYFUNCTION("""COMPUTED_VALUE"""),4.0)</f>
        <v>4</v>
      </c>
      <c r="G1926" t="str">
        <f>IFERROR(__xludf.DUMMYFUNCTION("""COMPUTED_VALUE"""),"Sabun batang 1 Box ( 2 PCS )")</f>
        <v>Sabun batang 1 Box ( 2 PCS )</v>
      </c>
      <c r="H1926" s="469" t="str">
        <f>IFERROR(__xludf.DUMMYFUNCTION("""COMPUTED_VALUE"""),"Sampai")</f>
        <v>Sampai</v>
      </c>
      <c r="I1926" s="470"/>
      <c r="J1926" s="471" t="str">
        <f>IFERROR(__xludf.DUMMYFUNCTION("""COMPUTED_VALUE"""),"https://vt.tiktok.com/ZSxnM2KS6/")</f>
        <v>https://vt.tiktok.com/ZSxnM2KS6/</v>
      </c>
      <c r="K1926" s="470"/>
      <c r="L1926" s="471" t="str">
        <f>IFERROR(__xludf.DUMMYFUNCTION("""COMPUTED_VALUE"""),"https://vt.tiktok.com/ZSxtqvaJE/")</f>
        <v>https://vt.tiktok.com/ZSxtqvaJE/</v>
      </c>
      <c r="M1926" s="470"/>
      <c r="N1926" s="471" t="str">
        <f>IFERROR(__xludf.DUMMYFUNCTION("""COMPUTED_VALUE"""),"https://vt.tiktok.com/ZSxtq7TAb/")</f>
        <v>https://vt.tiktok.com/ZSxtq7TAb/</v>
      </c>
      <c r="O1926" s="470"/>
      <c r="P1926" s="471" t="str">
        <f>IFERROR(__xludf.DUMMYFUNCTION("""COMPUTED_VALUE"""),"https://vt.tiktok.com/ZSxtq7b8K/")</f>
        <v>https://vt.tiktok.com/ZSxtq7b8K/</v>
      </c>
    </row>
    <row r="1927">
      <c r="A1927" s="282" t="str">
        <f>IFERROR(__xludf.DUMMYFUNCTION("""COMPUTED_VALUE"""),"MICRO")</f>
        <v>MICRO</v>
      </c>
      <c r="B1927" s="468" t="str">
        <f>IFERROR(__xludf.DUMMYFUNCTION("""COMPUTED_VALUE"""),"ningtiasss_")</f>
        <v>ningtiasss_</v>
      </c>
      <c r="C1927" s="283" t="str">
        <f>IFERROR(__xludf.DUMMYFUNCTION("""COMPUTED_VALUE"""),"https://www.tiktok.com/@ningtiasss_")</f>
        <v>https://www.tiktok.com/@ningtiasss_</v>
      </c>
      <c r="D1927" s="273">
        <f>IFERROR(__xludf.DUMMYFUNCTION("""COMPUTED_VALUE"""),8.1617377441E10)</f>
        <v>81617377441</v>
      </c>
      <c r="E1927" s="458">
        <f>IFERROR(__xludf.DUMMYFUNCTION("""COMPUTED_VALUE"""),0.0)</f>
        <v>0</v>
      </c>
      <c r="F1927" s="273">
        <f>IFERROR(__xludf.DUMMYFUNCTION("""COMPUTED_VALUE"""),4.0)</f>
        <v>4</v>
      </c>
      <c r="G1927" t="str">
        <f>IFERROR(__xludf.DUMMYFUNCTION("""COMPUTED_VALUE"""),"Sabun batang 1 Box ( 2 PCS )")</f>
        <v>Sabun batang 1 Box ( 2 PCS )</v>
      </c>
      <c r="H1927" s="469"/>
      <c r="I1927" s="470"/>
      <c r="J1927" s="471" t="str">
        <f>IFERROR(__xludf.DUMMYFUNCTION("""COMPUTED_VALUE"""),"https://vt.tiktok.com/ZSxQnncn9/")</f>
        <v>https://vt.tiktok.com/ZSxQnncn9/</v>
      </c>
      <c r="K1927" s="470"/>
      <c r="L1927" s="471" t="str">
        <f>IFERROR(__xludf.DUMMYFUNCTION("""COMPUTED_VALUE"""),"https://vt.tiktok.com/ZSxP6omDK/")</f>
        <v>https://vt.tiktok.com/ZSxP6omDK/</v>
      </c>
      <c r="M1927" s="470"/>
      <c r="N1927" t="str">
        <f>IFERROR(__xludf.DUMMYFUNCTION("""COMPUTED_VALUE"""),"⁠https://vt.tiktok.com/ZSxPMS28d/")</f>
        <v>⁠https://vt.tiktok.com/ZSxPMS28d/</v>
      </c>
      <c r="O1927" s="470"/>
      <c r="P1927" s="471" t="str">
        <f>IFERROR(__xludf.DUMMYFUNCTION("""COMPUTED_VALUE"""),"https://www.tiktok.com/@productskincare/video/7633960819922865415?_r=1&amp;u_code=dkcmglg7ehgljg&amp;region=&amp;mid=7627393047289989909&amp;preview_pb=0&amp;sharer_language=&amp;_d=0&amp;ec_shared_reflux_dynamic_params=%7B%22placeholder_material_id%22%3A%227633960819922865415%22%2C"&amp;"%22placeholder_origin_cover%22%3A%22https%253A%252F%252Fp16-common-sign.tiktokcdn.com%252Ftos-alisg-p-0037%252Fo4UEf8BbaFYwABcFsp5gRWgSbEIEfBwDIxRvPpp~tplv-tiktokx-origin.jpeg%253Fdr%253D14572%2526refresh_token%253Dfa6f8baf%2526x-expires%253D1810198800%25"&amp;"26x-signature%253D1E3T2pvjHgE3nEISV%25252FCwL9UsawQ%25253D%2526t%253D4d5b0474%2526ps%253D13740610%2526shp%253Dd05b14bd%2526shcp%253D34ff8df6%2526idc%253Dmy2%2526s%253DTIKTOK_AFFILIATE_VIRAL_VIDEO%22%2C%22placeholder_product_id%22%3A%221729427766722726591%"&amp;"22%2C%22placeholder_video_id%22%3A%227633960819922865415%22%7D&amp;ec_shared_reflux_scene=shop_tab_feed&amp;share_item_id=7633960819922865415&amp;source=h5_t")</f>
        <v>https://www.tiktok.com/@productskincare/video/7633960819922865415?_r=1&amp;u_code=dkcmglg7ehgljg&amp;region=&amp;mid=7627393047289989909&amp;preview_pb=0&amp;sharer_language=&amp;_d=0&amp;ec_shared_reflux_dynamic_params=%7B%22placeholder_material_id%22%3A%227633960819922865415%22%2C%22placeholder_origin_cover%22%3A%22https%253A%252F%252Fp16-common-sign.tiktokcdn.com%252Ftos-alisg-p-0037%252Fo4UEf8BbaFYwABcFsp5gRWgSbEIEfBwDIxRvPpp~tplv-tiktokx-origin.jpeg%253Fdr%253D14572%2526refresh_token%253Dfa6f8baf%2526x-expires%253D1810198800%2526x-signature%253D1E3T2pvjHgE3nEISV%25252FCwL9UsawQ%25253D%2526t%253D4d5b0474%2526ps%253D13740610%2526shp%253Dd05b14bd%2526shcp%253D34ff8df6%2526idc%253Dmy2%2526s%253DTIKTOK_AFFILIATE_VIRAL_VIDEO%22%2C%22placeholder_product_id%22%3A%221729427766722726591%22%2C%22placeholder_video_id%22%3A%227633960819922865415%22%7D&amp;ec_shared_reflux_scene=shop_tab_feed&amp;share_item_id=7633960819922865415&amp;source=h5_t</v>
      </c>
    </row>
    <row r="1928">
      <c r="A1928" s="282" t="str">
        <f>IFERROR(__xludf.DUMMYFUNCTION("""COMPUTED_VALUE"""),"MICRO")</f>
        <v>MICRO</v>
      </c>
      <c r="B1928" s="468" t="str">
        <f>IFERROR(__xludf.DUMMYFUNCTION("""COMPUTED_VALUE"""),"mozza_store30")</f>
        <v>mozza_store30</v>
      </c>
      <c r="C1928" s="283" t="str">
        <f>IFERROR(__xludf.DUMMYFUNCTION("""COMPUTED_VALUE"""),"https://www.tiktok.com/@mozza_store30")</f>
        <v>https://www.tiktok.com/@mozza_store30</v>
      </c>
      <c r="D1928" s="273">
        <f>IFERROR(__xludf.DUMMYFUNCTION("""COMPUTED_VALUE"""),8.7738561903E10)</f>
        <v>87738561903</v>
      </c>
      <c r="E1928" s="458">
        <f>IFERROR(__xludf.DUMMYFUNCTION("""COMPUTED_VALUE"""),0.0)</f>
        <v>0</v>
      </c>
      <c r="F1928" s="273">
        <f>IFERROR(__xludf.DUMMYFUNCTION("""COMPUTED_VALUE"""),4.0)</f>
        <v>4</v>
      </c>
      <c r="G1928" t="str">
        <f>IFERROR(__xludf.DUMMYFUNCTION("""COMPUTED_VALUE"""),"Sabun batang 1 Box ( 2 PCS )")</f>
        <v>Sabun batang 1 Box ( 2 PCS )</v>
      </c>
      <c r="H1928" s="469"/>
      <c r="I1928" s="470"/>
      <c r="J1928" s="471" t="str">
        <f>IFERROR(__xludf.DUMMYFUNCTION("""COMPUTED_VALUE"""),"https://vt.tiktok.com/ZS9xsCevJ/")</f>
        <v>https://vt.tiktok.com/ZS9xsCevJ/</v>
      </c>
      <c r="K1928" s="470"/>
      <c r="L1928" s="471" t="str">
        <f>IFERROR(__xludf.DUMMYFUNCTION("""COMPUTED_VALUE"""),"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"&amp;"eholder_origin_cover%22%3A%22https%253A%252F%252Fp16-common-sign.tiktokcdn.com%252Ftos-alisg-p-0037%252FosGxxDBwTfDJxuTtCzLIAbGVI7Aj4f9ggQey4c~tplv-tiktokx-origin.jpeg%253Fdr%253D14572%2526refresh_token%253D8a3c5d69%2526x-expires%253D1809504000%2526x-sign"&amp;"ature%253DlASmPH53f5P2NU2PkB05ZaXJVsk%25253D%2526t%253D4d5b0474%2526ps%253D13740610%2526shp%253Dd05b14bd%2526shcp%253D34ff8df6%2526idc%253Dmy%2526s%253DTIKTOK_AFFILIATE_VIRAL_VIDEO%22%2C%22placeholder_product_id%22%3A%221729427766722726591%22%2C%22placeho"&amp;"lder_video_id%22%3A%227635540386219396360%22%7D&amp;ec_shared_reflux_scene=shop_tab_feed&amp;share_item_id=7635540386219396360&amp;source=h5_t")</f>
        <v>https://www.tiktok.com/@sinbel28/video/7635540386219396360?_r=1&amp;u_code=d054de3ejd5k82&amp;region=&amp;mid=7186279778969340674&amp;preview_pb=0&amp;sharer_language=&amp;_d=0&amp;ec_shared_reflux_dynamic_params=%7B%22placeholder_material_id%22%3A%227635540386219396360%22%2C%22placeholder_origin_cover%22%3A%22https%253A%252F%252Fp16-common-sign.tiktokcdn.com%252Ftos-alisg-p-0037%252FosGxxDBwTfDJxuTtCzLIAbGVI7Aj4f9ggQey4c~tplv-tiktokx-origin.jpeg%253Fdr%253D14572%2526refresh_token%253D8a3c5d69%2526x-expires%253D1809504000%2526x-signature%253DlASmPH53f5P2NU2PkB05ZaXJVsk%25253D%2526t%253D4d5b0474%2526ps%253D13740610%2526shp%253Dd05b14bd%2526shcp%253D34ff8df6%2526idc%253Dmy%2526s%253DTIKTOK_AFFILIATE_VIRAL_VIDEO%22%2C%22placeholder_product_id%22%3A%221729427766722726591%22%2C%22placeholder_video_id%22%3A%227635540386219396360%22%7D&amp;ec_shared_reflux_scene=shop_tab_feed&amp;share_item_id=7635540386219396360&amp;source=h5_t</v>
      </c>
      <c r="M1928" s="470"/>
      <c r="N1928" s="471" t="str">
        <f>IFERROR(__xludf.DUMMYFUNCTION("""COMPUTED_VALUE"""),"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"&amp;"eholder_origin_cover%22%3A%22https%253A%252F%252Fp16-common-sign.tiktokcdn.com%252Ftos-alisg-p-0037%252FoofGYgAmBbnFT6RIAFbW9wtri2J2nG45efAfun~tplv-tiktokx-origin.jpeg%253Fdr%253D14572%2526refresh_token%253D9aec4cb5%2526x-expires%253D1809504000%2526x-sign"&amp;"ature%253DvctWyysZiUs5n87SRHe%25252BG3XeDeI%25253D%2526t%253D4d5b0474%2526ps%253D13740610%2526shp%253Dd05b14bd%2526shcp%253D34ff8df6%2526idc%253Dmy%2526s%253DTIKTOK_AFFILIATE_VIRAL_VIDEO%22%2C%22placeholder_product_id%22%3A%221729427766722726591%22%2C%22p"&amp;"laceholder_video_id%22%3A%227635544313203576082%22%7D&amp;ec_shared_reflux_scene=shop_tab_feed&amp;share_item_id=7635544313203576082&amp;source=h5_t")</f>
        <v>https://www.tiktok.com/@sinbel28/video/7635544313203576082?_r=1&amp;u_code=d054de3ejd5k82&amp;region=&amp;mid=7136445672676411393&amp;preview_pb=0&amp;sharer_language=&amp;_d=0&amp;ec_shared_reflux_dynamic_params=%7B%22placeholder_material_id%22%3A%227635544313203576082%22%2C%22placeholder_origin_cover%22%3A%22https%253A%252F%252Fp16-common-sign.tiktokcdn.com%252Ftos-alisg-p-0037%252FoofGYgAmBbnFT6RIAFbW9wtri2J2nG45efAfun~tplv-tiktokx-origin.jpeg%253Fdr%253D14572%2526refresh_token%253D9aec4cb5%2526x-expires%253D1809504000%2526x-signature%253DvctWyysZiUs5n87SRHe%25252BG3XeDeI%25253D%2526t%253D4d5b0474%2526ps%253D13740610%2526shp%253Dd05b14bd%2526shcp%253D34ff8df6%2526idc%253Dmy%2526s%253DTIKTOK_AFFILIATE_VIRAL_VIDEO%22%2C%22placeholder_product_id%22%3A%221729427766722726591%22%2C%22placeholder_video_id%22%3A%227635544313203576082%22%7D&amp;ec_shared_reflux_scene=shop_tab_feed&amp;share_item_id=7635544313203576082&amp;source=h5_t</v>
      </c>
      <c r="O1928" s="470"/>
      <c r="P1928" s="471" t="str">
        <f>IFERROR(__xludf.DUMMYFUNCTION("""COMPUTED_VALUE"""),"https://vt.tiktok.com/ZSxq61XAe/")</f>
        <v>https://vt.tiktok.com/ZSxq61XAe/</v>
      </c>
    </row>
    <row r="1929">
      <c r="A1929" s="282" t="str">
        <f>IFERROR(__xludf.DUMMYFUNCTION("""COMPUTED_VALUE"""),"MICRO")</f>
        <v>MICRO</v>
      </c>
      <c r="B1929" s="468" t="str">
        <f>IFERROR(__xludf.DUMMYFUNCTION("""COMPUTED_VALUE"""),"iniyaya95")</f>
        <v>iniyaya95</v>
      </c>
      <c r="C1929" s="283" t="str">
        <f>IFERROR(__xludf.DUMMYFUNCTION("""COMPUTED_VALUE"""),"https://www.tiktok.com/@iniyaya95")</f>
        <v>https://www.tiktok.com/@iniyaya95</v>
      </c>
      <c r="D1929" s="273">
        <f>IFERROR(__xludf.DUMMYFUNCTION("""COMPUTED_VALUE"""),8.7756851364E10)</f>
        <v>87756851364</v>
      </c>
      <c r="E1929" s="458">
        <f>IFERROR(__xludf.DUMMYFUNCTION("""COMPUTED_VALUE"""),0.0)</f>
        <v>0</v>
      </c>
      <c r="F1929" s="273">
        <f>IFERROR(__xludf.DUMMYFUNCTION("""COMPUTED_VALUE"""),4.0)</f>
        <v>4</v>
      </c>
      <c r="G1929" t="str">
        <f>IFERROR(__xludf.DUMMYFUNCTION("""COMPUTED_VALUE"""),"Sabun batang 1 Box ( 2 PCS )")</f>
        <v>Sabun batang 1 Box ( 2 PCS )</v>
      </c>
      <c r="H1929" s="469"/>
      <c r="I1929" s="470"/>
      <c r="J1929" s="471" t="str">
        <f>IFERROR(__xludf.DUMMYFUNCTION("""COMPUTED_VALUE"""),"https://vt.tiktok.com/ZSxGXyFnE/")</f>
        <v>https://vt.tiktok.com/ZSxGXyFnE/</v>
      </c>
      <c r="K1929" s="470"/>
      <c r="L1929" s="471" t="str">
        <f>IFERROR(__xludf.DUMMYFUNCTION("""COMPUTED_VALUE"""),"https://vt.tiktok.com/ZSxvNVhGD/")</f>
        <v>https://vt.tiktok.com/ZSxvNVhGD/</v>
      </c>
      <c r="M1929" s="470"/>
      <c r="N1929" s="471" t="str">
        <f>IFERROR(__xludf.DUMMYFUNCTION("""COMPUTED_VALUE"""),"https://vt.tiktok.com/ZS9QfND8q/")</f>
        <v>https://vt.tiktok.com/ZS9QfND8q/</v>
      </c>
      <c r="O1929" s="470"/>
      <c r="P1929" s="471" t="str">
        <f>IFERROR(__xludf.DUMMYFUNCTION("""COMPUTED_VALUE"""),"https://vt.tiktok.com/ZSxHfhRkg/")</f>
        <v>https://vt.tiktok.com/ZSxHfhRkg/</v>
      </c>
    </row>
    <row r="1930">
      <c r="A1930" s="282" t="str">
        <f>IFERROR(__xludf.DUMMYFUNCTION("""COMPUTED_VALUE"""),"MICRO")</f>
        <v>MICRO</v>
      </c>
      <c r="B1930" s="468" t="str">
        <f>IFERROR(__xludf.DUMMYFUNCTION("""COMPUTED_VALUE"""),"fashiontokoorange")</f>
        <v>fashiontokoorange</v>
      </c>
      <c r="C1930" s="283" t="str">
        <f>IFERROR(__xludf.DUMMYFUNCTION("""COMPUTED_VALUE"""),"https://www.tiktok.com/@fashiontokoorange")</f>
        <v>https://www.tiktok.com/@fashiontokoorange</v>
      </c>
      <c r="D1930" s="273">
        <f>IFERROR(__xludf.DUMMYFUNCTION("""COMPUTED_VALUE"""),8.582769543E10)</f>
        <v>85827695430</v>
      </c>
      <c r="E1930" s="458">
        <f>IFERROR(__xludf.DUMMYFUNCTION("""COMPUTED_VALUE"""),0.0)</f>
        <v>0</v>
      </c>
      <c r="F1930" s="273">
        <f>IFERROR(__xludf.DUMMYFUNCTION("""COMPUTED_VALUE"""),4.0)</f>
        <v>4</v>
      </c>
      <c r="G1930" t="str">
        <f>IFERROR(__xludf.DUMMYFUNCTION("""COMPUTED_VALUE"""),"Sabun batang 1 Box ( 2 PCS )")</f>
        <v>Sabun batang 1 Box ( 2 PCS )</v>
      </c>
      <c r="H1930" s="469"/>
      <c r="I1930" s="470"/>
      <c r="J1930" s="471" t="str">
        <f>IFERROR(__xludf.DUMMYFUNCTION("""COMPUTED_VALUE"""),"https://vt.tiktok.com/ZSxHf2vUF/")</f>
        <v>https://vt.tiktok.com/ZSxHf2vUF/</v>
      </c>
      <c r="K1930" s="470"/>
      <c r="L1930" s="471" t="str">
        <f>IFERROR(__xludf.DUMMYFUNCTION("""COMPUTED_VALUE"""),"https://vt.tiktok.com/ZS9Qf1BbT/")</f>
        <v>https://vt.tiktok.com/ZS9Qf1BbT/</v>
      </c>
      <c r="M1930" s="470"/>
      <c r="N1930" t="str">
        <f>IFERROR(__xludf.DUMMYFUNCTION("""COMPUTED_VALUE"""),"⁠https://vt.tiktok.com/ZSxkratY1/")</f>
        <v>⁠https://vt.tiktok.com/ZSxkratY1/</v>
      </c>
      <c r="O1930" s="470"/>
      <c r="P1930" s="471" t="str">
        <f>IFERROR(__xludf.DUMMYFUNCTION("""COMPUTED_VALUE"""),"https://vt.tiktok.com/ZSxgh6vsG/")</f>
        <v>https://vt.tiktok.com/ZSxgh6vsG/</v>
      </c>
    </row>
    <row r="1931">
      <c r="A1931" s="282" t="str">
        <f>IFERROR(__xludf.DUMMYFUNCTION("""COMPUTED_VALUE"""),"MICRO")</f>
        <v>MICRO</v>
      </c>
      <c r="B1931" s="468" t="str">
        <f>IFERROR(__xludf.DUMMYFUNCTION("""COMPUTED_VALUE"""),"mylanioky")</f>
        <v>mylanioky</v>
      </c>
      <c r="C1931" s="283" t="str">
        <f>IFERROR(__xludf.DUMMYFUNCTION("""COMPUTED_VALUE"""),"https://www.tiktok.com/@mylanioky")</f>
        <v>https://www.tiktok.com/@mylanioky</v>
      </c>
      <c r="D1931" s="273">
        <f>IFERROR(__xludf.DUMMYFUNCTION("""COMPUTED_VALUE"""),8.384817795E10)</f>
        <v>83848177950</v>
      </c>
      <c r="E1931" s="458">
        <f>IFERROR(__xludf.DUMMYFUNCTION("""COMPUTED_VALUE"""),0.0)</f>
        <v>0</v>
      </c>
      <c r="F1931" s="273">
        <f>IFERROR(__xludf.DUMMYFUNCTION("""COMPUTED_VALUE"""),4.0)</f>
        <v>4</v>
      </c>
      <c r="G1931" t="str">
        <f>IFERROR(__xludf.DUMMYFUNCTION("""COMPUTED_VALUE"""),"Sabun batang 1 Box ( 2 PCS )")</f>
        <v>Sabun batang 1 Box ( 2 PCS )</v>
      </c>
      <c r="H1931" s="469"/>
      <c r="I1931" s="470"/>
      <c r="J1931" s="471" t="str">
        <f>IFERROR(__xludf.DUMMYFUNCTION("""COMPUTED_VALUE"""),"https://vt.tiktok.com/ZSxmgTewb/")</f>
        <v>https://vt.tiktok.com/ZSxmgTewb/</v>
      </c>
      <c r="K1931" s="470"/>
      <c r="L1931" s="471" t="str">
        <f>IFERROR(__xludf.DUMMYFUNCTION("""COMPUTED_VALUE"""),"https://vt.tiktok.com/ZSxHD12UC/")</f>
        <v>https://vt.tiktok.com/ZSxHD12UC/</v>
      </c>
      <c r="M1931" s="470"/>
      <c r="N1931" s="471" t="str">
        <f>IFERROR(__xludf.DUMMYFUNCTION("""COMPUTED_VALUE"""),"https://vt.tiktok.com/ZSxHD8hdM/")</f>
        <v>https://vt.tiktok.com/ZSxHD8hdM/</v>
      </c>
      <c r="O1931" s="470"/>
      <c r="P1931" s="471" t="str">
        <f>IFERROR(__xludf.DUMMYFUNCTION("""COMPUTED_VALUE"""),"https://vt.tiktok.com/ZSxyASNre/")</f>
        <v>https://vt.tiktok.com/ZSxyASNre/</v>
      </c>
    </row>
    <row r="1932">
      <c r="A1932" s="282" t="str">
        <f>IFERROR(__xludf.DUMMYFUNCTION("""COMPUTED_VALUE"""),"MICRO")</f>
        <v>MICRO</v>
      </c>
      <c r="B1932" s="468" t="str">
        <f>IFERROR(__xludf.DUMMYFUNCTION("""COMPUTED_VALUE"""),"shaniaazzahraa_")</f>
        <v>shaniaazzahraa_</v>
      </c>
      <c r="C1932" s="283" t="str">
        <f>IFERROR(__xludf.DUMMYFUNCTION("""COMPUTED_VALUE"""),"https://www.tiktok.com/@shaniaazzahraa_")</f>
        <v>https://www.tiktok.com/@shaniaazzahraa_</v>
      </c>
      <c r="D1932" s="273">
        <f>IFERROR(__xludf.DUMMYFUNCTION("""COMPUTED_VALUE"""),8.3801605533E10)</f>
        <v>83801605533</v>
      </c>
      <c r="E1932" s="458">
        <f>IFERROR(__xludf.DUMMYFUNCTION("""COMPUTED_VALUE"""),0.0)</f>
        <v>0</v>
      </c>
      <c r="F1932" s="273">
        <f>IFERROR(__xludf.DUMMYFUNCTION("""COMPUTED_VALUE"""),4.0)</f>
        <v>4</v>
      </c>
      <c r="G1932" t="str">
        <f>IFERROR(__xludf.DUMMYFUNCTION("""COMPUTED_VALUE"""),"Sabun batang 1 Box ( 2 PCS )")</f>
        <v>Sabun batang 1 Box ( 2 PCS )</v>
      </c>
      <c r="H1932" s="469"/>
      <c r="I1932" s="470"/>
      <c r="J1932" s="471" t="str">
        <f>IFERROR(__xludf.DUMMYFUNCTION("""COMPUTED_VALUE"""),"https://vt.tiktok.com/ZSxHPvuK9/")</f>
        <v>https://vt.tiktok.com/ZSxHPvuK9/</v>
      </c>
      <c r="K1932" s="470"/>
      <c r="L1932" s="471" t="str">
        <f>IFERROR(__xludf.DUMMYFUNCTION("""COMPUTED_VALUE"""),"https://vt.tiktok.com/ZSxHPGqSd/")</f>
        <v>https://vt.tiktok.com/ZSxHPGqSd/</v>
      </c>
      <c r="M1932" s="470"/>
      <c r="N1932" s="471" t="str">
        <f>IFERROR(__xludf.DUMMYFUNCTION("""COMPUTED_VALUE"""),"https://vt.tiktok.com/ZSxHP9Kkk/")</f>
        <v>https://vt.tiktok.com/ZSxHP9Kkk/</v>
      </c>
      <c r="O1932" s="470"/>
      <c r="P1932" s="471" t="str">
        <f>IFERROR(__xludf.DUMMYFUNCTION("""COMPUTED_VALUE"""),"https://vt.tiktok.com/ZSxHPv1Ak/")</f>
        <v>https://vt.tiktok.com/ZSxHPv1Ak/</v>
      </c>
    </row>
    <row r="1933">
      <c r="A1933" s="282" t="str">
        <f>IFERROR(__xludf.DUMMYFUNCTION("""COMPUTED_VALUE"""),"MICRO")</f>
        <v>MICRO</v>
      </c>
      <c r="B1933" s="468" t="str">
        <f>IFERROR(__xludf.DUMMYFUNCTION("""COMPUTED_VALUE"""),"brian.id1702")</f>
        <v>brian.id1702</v>
      </c>
      <c r="C1933" s="283" t="str">
        <f>IFERROR(__xludf.DUMMYFUNCTION("""COMPUTED_VALUE"""),"https://www.tiktok.com/@brian.id1702")</f>
        <v>https://www.tiktok.com/@brian.id1702</v>
      </c>
      <c r="D1933" s="273">
        <f>IFERROR(__xludf.DUMMYFUNCTION("""COMPUTED_VALUE"""),8.5216602563E10)</f>
        <v>85216602563</v>
      </c>
      <c r="E1933" s="458">
        <f>IFERROR(__xludf.DUMMYFUNCTION("""COMPUTED_VALUE"""),0.0)</f>
        <v>0</v>
      </c>
      <c r="F1933" s="273">
        <f>IFERROR(__xludf.DUMMYFUNCTION("""COMPUTED_VALUE"""),4.0)</f>
        <v>4</v>
      </c>
      <c r="G1933" t="str">
        <f>IFERROR(__xludf.DUMMYFUNCTION("""COMPUTED_VALUE"""),"Sabun batang 1 Box ( 2 PCS )")</f>
        <v>Sabun batang 1 Box ( 2 PCS )</v>
      </c>
      <c r="H1933" s="469"/>
      <c r="I1933" s="470"/>
      <c r="J1933" s="471" t="str">
        <f>IFERROR(__xludf.DUMMYFUNCTION("""COMPUTED_VALUE"""),"https://vt.tiktok.com/ZSxHPRUwt/")</f>
        <v>https://vt.tiktok.com/ZSxHPRUwt/</v>
      </c>
      <c r="K1933" s="470"/>
      <c r="L1933" s="471" t="str">
        <f>IFERROR(__xludf.DUMMYFUNCTION("""COMPUTED_VALUE"""),"https://vt.tiktok.com/ZSxHPvptF/")</f>
        <v>https://vt.tiktok.com/ZSxHPvptF/</v>
      </c>
      <c r="M1933" s="470"/>
      <c r="N1933" s="471" t="str">
        <f>IFERROR(__xludf.DUMMYFUNCTION("""COMPUTED_VALUE"""),"https://vt.tiktok.com/ZSxHP4Pbt/")</f>
        <v>https://vt.tiktok.com/ZSxHP4Pbt/</v>
      </c>
      <c r="O1933" s="470"/>
      <c r="P1933" s="471" t="str">
        <f>IFERROR(__xludf.DUMMYFUNCTION("""COMPUTED_VALUE"""),"https://vt.tiktok.com/ZSxy2AXjc/")</f>
        <v>https://vt.tiktok.com/ZSxy2AXjc/</v>
      </c>
    </row>
    <row r="1934">
      <c r="A1934" s="282" t="str">
        <f>IFERROR(__xludf.DUMMYFUNCTION("""COMPUTED_VALUE"""),"MICRO")</f>
        <v>MICRO</v>
      </c>
      <c r="B1934" s="468" t="str">
        <f>IFERROR(__xludf.DUMMYFUNCTION("""COMPUTED_VALUE"""),"lusianaa87")</f>
        <v>lusianaa87</v>
      </c>
      <c r="C1934" s="283" t="str">
        <f>IFERROR(__xludf.DUMMYFUNCTION("""COMPUTED_VALUE"""),"https://www.tiktok.com/@lusianaa87")</f>
        <v>https://www.tiktok.com/@lusianaa87</v>
      </c>
      <c r="D1934" s="273">
        <f>IFERROR(__xludf.DUMMYFUNCTION("""COMPUTED_VALUE"""),8.3106420522E10)</f>
        <v>83106420522</v>
      </c>
      <c r="E1934" s="458">
        <f>IFERROR(__xludf.DUMMYFUNCTION("""COMPUTED_VALUE"""),0.0)</f>
        <v>0</v>
      </c>
      <c r="F1934" s="273">
        <f>IFERROR(__xludf.DUMMYFUNCTION("""COMPUTED_VALUE"""),3.0)</f>
        <v>3</v>
      </c>
      <c r="G1934" t="str">
        <f>IFERROR(__xludf.DUMMYFUNCTION("""COMPUTED_VALUE"""),"Sabun batang 1 Box ( 2 PCS )")</f>
        <v>Sabun batang 1 Box ( 2 PCS )</v>
      </c>
      <c r="H1934" s="469"/>
      <c r="I1934" s="470"/>
      <c r="J1934" s="471" t="str">
        <f>IFERROR(__xludf.DUMMYFUNCTION("""COMPUTED_VALUE"""),"https://vt.tiktok.com/ZSxhdcss4/")</f>
        <v>https://vt.tiktok.com/ZSxhdcss4/</v>
      </c>
      <c r="K1934" s="470"/>
      <c r="L1934" s="471" t="str">
        <f>IFERROR(__xludf.DUMMYFUNCTION("""COMPUTED_VALUE"""),"https://vt.tiktok.com/ZSQdx1F6L/")</f>
        <v>https://vt.tiktok.com/ZSQdx1F6L/</v>
      </c>
      <c r="M1934" s="470"/>
      <c r="N1934" t="str">
        <f>IFERROR(__xludf.DUMMYFUNCTION("""COMPUTED_VALUE"""),"⁠https://vt.tiktok.com/ZSQd9E2pY/")</f>
        <v>⁠https://vt.tiktok.com/ZSQd9E2pY/</v>
      </c>
      <c r="O1934" s="470"/>
      <c r="P1934" t="str">
        <f>IFERROR(__xludf.DUMMYFUNCTION("""COMPUTED_VALUE"""),"⁠https://vt.tiktok.com/ZSQdxBMBS/")</f>
        <v>⁠https://vt.tiktok.com/ZSQdxBMBS/</v>
      </c>
    </row>
    <row r="1935">
      <c r="A1935" s="282" t="str">
        <f>IFERROR(__xludf.DUMMYFUNCTION("""COMPUTED_VALUE"""),"MICRO")</f>
        <v>MICRO</v>
      </c>
      <c r="B1935" s="468" t="str">
        <f>IFERROR(__xludf.DUMMYFUNCTION("""COMPUTED_VALUE"""),"oktaviaaa11_")</f>
        <v>oktaviaaa11_</v>
      </c>
      <c r="C1935" s="283" t="str">
        <f>IFERROR(__xludf.DUMMYFUNCTION("""COMPUTED_VALUE"""),"https://www.tiktok.com/@oktaviaaa11_")</f>
        <v>https://www.tiktok.com/@oktaviaaa11_</v>
      </c>
      <c r="D1935" s="273">
        <f>IFERROR(__xludf.DUMMYFUNCTION("""COMPUTED_VALUE"""),8.5786359257E10)</f>
        <v>85786359257</v>
      </c>
      <c r="E1935" s="458">
        <f>IFERROR(__xludf.DUMMYFUNCTION("""COMPUTED_VALUE"""),0.0)</f>
        <v>0</v>
      </c>
      <c r="F1935" s="273">
        <f>IFERROR(__xludf.DUMMYFUNCTION("""COMPUTED_VALUE"""),4.0)</f>
        <v>4</v>
      </c>
      <c r="G1935" t="str">
        <f>IFERROR(__xludf.DUMMYFUNCTION("""COMPUTED_VALUE"""),"Sabun batang 1 Box ( 2 PCS )")</f>
        <v>Sabun batang 1 Box ( 2 PCS )</v>
      </c>
      <c r="H1935" s="469"/>
      <c r="I1935" s="470"/>
      <c r="J1935" t="str">
        <f>IFERROR(__xludf.DUMMYFUNCTION("""COMPUTED_VALUE"""),"⁠https://vt.tiktok.com/ZSQdxJkWv/")</f>
        <v>⁠https://vt.tiktok.com/ZSQdxJkWv/</v>
      </c>
      <c r="K1935" s="470"/>
      <c r="L1935" s="471" t="str">
        <f>IFERROR(__xludf.DUMMYFUNCTION("""COMPUTED_VALUE"""),"https://vt.tiktok.com/ZSQdxLMa6/")</f>
        <v>https://vt.tiktok.com/ZSQdxLMa6/</v>
      </c>
      <c r="M1935" s="470"/>
      <c r="N1935" t="str">
        <f>IFERROR(__xludf.DUMMYFUNCTION("""COMPUTED_VALUE"""),"⁠https://vt.tiktok.com/ZSQdxNsas/")</f>
        <v>⁠https://vt.tiktok.com/ZSQdxNsas/</v>
      </c>
      <c r="O1935" s="470"/>
      <c r="P1935" t="str">
        <f>IFERROR(__xludf.DUMMYFUNCTION("""COMPUTED_VALUE"""),"⁠https://vt.tiktok.com/ZSQdxFp5Q/")</f>
        <v>⁠https://vt.tiktok.com/ZSQdxFp5Q/</v>
      </c>
    </row>
    <row r="1936">
      <c r="A1936" s="282" t="str">
        <f>IFERROR(__xludf.DUMMYFUNCTION("""COMPUTED_VALUE"""),"MICRO")</f>
        <v>MICRO</v>
      </c>
      <c r="B1936" s="468" t="str">
        <f>IFERROR(__xludf.DUMMYFUNCTION("""COMPUTED_VALUE"""),"haiakusyifa")</f>
        <v>haiakusyifa</v>
      </c>
      <c r="C1936" s="283" t="str">
        <f>IFERROR(__xludf.DUMMYFUNCTION("""COMPUTED_VALUE"""),"https://www.tiktok.com/@haiakusyifa")</f>
        <v>https://www.tiktok.com/@haiakusyifa</v>
      </c>
      <c r="D1936" s="273">
        <f>IFERROR(__xludf.DUMMYFUNCTION("""COMPUTED_VALUE"""),8.9527131474E10)</f>
        <v>89527131474</v>
      </c>
      <c r="E1936" s="458">
        <f>IFERROR(__xludf.DUMMYFUNCTION("""COMPUTED_VALUE"""),0.0)</f>
        <v>0</v>
      </c>
      <c r="F1936" s="273">
        <f>IFERROR(__xludf.DUMMYFUNCTION("""COMPUTED_VALUE"""),4.0)</f>
        <v>4</v>
      </c>
      <c r="G1936" t="str">
        <f>IFERROR(__xludf.DUMMYFUNCTION("""COMPUTED_VALUE"""),"Sabun batang 1 Box ( 2 PCS )")</f>
        <v>Sabun batang 1 Box ( 2 PCS )</v>
      </c>
      <c r="H1936" s="469"/>
      <c r="I1936" s="470"/>
      <c r="J1936" s="471" t="str">
        <f>IFERROR(__xludf.DUMMYFUNCTION("""COMPUTED_VALUE"""),"https://vt.tiktok.com/ZSQd9EQNV/")</f>
        <v>https://vt.tiktok.com/ZSQd9EQNV/</v>
      </c>
      <c r="K1936" s="470"/>
      <c r="L1936" t="str">
        <f>IFERROR(__xludf.DUMMYFUNCTION("""COMPUTED_VALUE"""),"⁠https://vt.tiktok.com/ZSQdxFSCo/")</f>
        <v>⁠https://vt.tiktok.com/ZSQdxFSCo/</v>
      </c>
      <c r="M1936" s="470"/>
      <c r="N1936" s="471" t="str">
        <f>IFERROR(__xludf.DUMMYFUNCTION("""COMPUTED_VALUE"""),"https://vt.tiktok.com/ZSQdxAxNo/")</f>
        <v>https://vt.tiktok.com/ZSQdxAxNo/</v>
      </c>
      <c r="O1936" s="470"/>
      <c r="P1936" s="471" t="str">
        <f>IFERROR(__xludf.DUMMYFUNCTION("""COMPUTED_VALUE"""),"https://vt.tiktok.com/ZSx7GTkA6/")</f>
        <v>https://vt.tiktok.com/ZSx7GTkA6/</v>
      </c>
    </row>
    <row r="1937">
      <c r="A1937" s="282" t="str">
        <f>IFERROR(__xludf.DUMMYFUNCTION("""COMPUTED_VALUE"""),"MICRO")</f>
        <v>MICRO</v>
      </c>
      <c r="B1937" s="468" t="str">
        <f>IFERROR(__xludf.DUMMYFUNCTION("""COMPUTED_VALUE"""),"ig_cindy13")</f>
        <v>ig_cindy13</v>
      </c>
      <c r="C1937" s="283" t="str">
        <f>IFERROR(__xludf.DUMMYFUNCTION("""COMPUTED_VALUE"""),"https://www.tiktok.com/@ig_cindy13")</f>
        <v>https://www.tiktok.com/@ig_cindy13</v>
      </c>
      <c r="D1937" s="273">
        <f>IFERROR(__xludf.DUMMYFUNCTION("""COMPUTED_VALUE"""),8.5174108172E10)</f>
        <v>85174108172</v>
      </c>
      <c r="E1937" s="458">
        <f>IFERROR(__xludf.DUMMYFUNCTION("""COMPUTED_VALUE"""),0.0)</f>
        <v>0</v>
      </c>
      <c r="F1937" s="273">
        <f>IFERROR(__xludf.DUMMYFUNCTION("""COMPUTED_VALUE"""),4.0)</f>
        <v>4</v>
      </c>
      <c r="G1937" t="str">
        <f>IFERROR(__xludf.DUMMYFUNCTION("""COMPUTED_VALUE"""),"Sabun batang 1 Box ( 2 PCS )")</f>
        <v>Sabun batang 1 Box ( 2 PCS )</v>
      </c>
      <c r="H1937" s="469"/>
      <c r="I1937" s="470"/>
      <c r="J1937" s="471" t="str">
        <f>IFERROR(__xludf.DUMMYFUNCTION("""COMPUTED_VALUE"""),"https://vt.tiktok.com/ZSx7GTkA6/")</f>
        <v>https://vt.tiktok.com/ZSx7GTkA6/</v>
      </c>
      <c r="K1937" s="470"/>
      <c r="L1937" s="471" t="str">
        <f>IFERROR(__xludf.DUMMYFUNCTION("""COMPUTED_VALUE"""),"https://vt.tiktok.com/ZSx7GKh6h/")</f>
        <v>https://vt.tiktok.com/ZSx7GKh6h/</v>
      </c>
      <c r="M1937" s="470"/>
      <c r="N1937" s="471" t="str">
        <f>IFERROR(__xludf.DUMMYFUNCTION("""COMPUTED_VALUE"""),"https://vt.tiktok.com/ZSx7tjtyg/")</f>
        <v>https://vt.tiktok.com/ZSx7tjtyg/</v>
      </c>
      <c r="O1937" s="470"/>
      <c r="P1937" s="471" t="str">
        <f>IFERROR(__xludf.DUMMYFUNCTION("""COMPUTED_VALUE"""),"https://vt.tiktok.com/ZSx7t2xhA/")</f>
        <v>https://vt.tiktok.com/ZSx7t2xhA/</v>
      </c>
    </row>
    <row r="1938">
      <c r="A1938" s="282" t="str">
        <f>IFERROR(__xludf.DUMMYFUNCTION("""COMPUTED_VALUE"""),"MICRO")</f>
        <v>MICRO</v>
      </c>
      <c r="B1938" s="468" t="str">
        <f>IFERROR(__xludf.DUMMYFUNCTION("""COMPUTED_VALUE"""),"produk_pati6")</f>
        <v>produk_pati6</v>
      </c>
      <c r="C1938" s="283" t="str">
        <f>IFERROR(__xludf.DUMMYFUNCTION("""COMPUTED_VALUE"""),"https://www.tiktok.com/@produk_pati6")</f>
        <v>https://www.tiktok.com/@produk_pati6</v>
      </c>
      <c r="D1938" s="273">
        <f>IFERROR(__xludf.DUMMYFUNCTION("""COMPUTED_VALUE"""),8.7839005938E10)</f>
        <v>87839005938</v>
      </c>
      <c r="E1938" s="458">
        <f>IFERROR(__xludf.DUMMYFUNCTION("""COMPUTED_VALUE"""),0.0)</f>
        <v>0</v>
      </c>
      <c r="F1938" s="273">
        <f>IFERROR(__xludf.DUMMYFUNCTION("""COMPUTED_VALUE"""),4.0)</f>
        <v>4</v>
      </c>
      <c r="G1938" t="str">
        <f>IFERROR(__xludf.DUMMYFUNCTION("""COMPUTED_VALUE"""),"Sabun batang 1 Box ( 2 PCS )")</f>
        <v>Sabun batang 1 Box ( 2 PCS )</v>
      </c>
      <c r="H1938" s="469"/>
      <c r="I1938" s="470"/>
      <c r="J1938" t="str">
        <f>IFERROR(__xludf.DUMMYFUNCTION("""COMPUTED_VALUE"""),"⁠https://vt.tiktok.com/ZSx7t12Bo/")</f>
        <v>⁠https://vt.tiktok.com/ZSx7t12Bo/</v>
      </c>
      <c r="K1938" s="470"/>
      <c r="L1938" t="str">
        <f>IFERROR(__xludf.DUMMYFUNCTION("""COMPUTED_VALUE"""),"⁠https://vt.tiktok.com/ZSx7GEYmN/")</f>
        <v>⁠https://vt.tiktok.com/ZSx7GEYmN/</v>
      </c>
      <c r="M1938" s="470"/>
      <c r="N1938" t="str">
        <f>IFERROR(__xludf.DUMMYFUNCTION("""COMPUTED_VALUE"""),"⁠https://vt.tiktok.com/ZSx7trMpD/")</f>
        <v>⁠https://vt.tiktok.com/ZSx7trMpD/</v>
      </c>
      <c r="O1938" s="470"/>
      <c r="P1938" t="str">
        <f>IFERROR(__xludf.DUMMYFUNCTION("""COMPUTED_VALUE"""),"⁠https://vt.tiktok.com/ZSx7GnWpt/")</f>
        <v>⁠https://vt.tiktok.com/ZSx7GnWpt/</v>
      </c>
    </row>
    <row r="1939">
      <c r="A1939" s="282" t="str">
        <f>IFERROR(__xludf.DUMMYFUNCTION("""COMPUTED_VALUE"""),"MICRO")</f>
        <v>MICRO</v>
      </c>
      <c r="B1939" s="468" t="str">
        <f>IFERROR(__xludf.DUMMYFUNCTION("""COMPUTED_VALUE"""),"cuba_cubiii")</f>
        <v>cuba_cubiii</v>
      </c>
      <c r="C1939" s="283" t="str">
        <f>IFERROR(__xludf.DUMMYFUNCTION("""COMPUTED_VALUE"""),"https://www.tiktok.com/@cuba_cubiii")</f>
        <v>https://www.tiktok.com/@cuba_cubiii</v>
      </c>
      <c r="D1939" s="273">
        <f>IFERROR(__xludf.DUMMYFUNCTION("""COMPUTED_VALUE"""),8.5693422588E10)</f>
        <v>85693422588</v>
      </c>
      <c r="E1939" s="458">
        <f>IFERROR(__xludf.DUMMYFUNCTION("""COMPUTED_VALUE"""),0.0)</f>
        <v>0</v>
      </c>
      <c r="F1939" s="273">
        <f>IFERROR(__xludf.DUMMYFUNCTION("""COMPUTED_VALUE"""),4.0)</f>
        <v>4</v>
      </c>
      <c r="G1939" t="str">
        <f>IFERROR(__xludf.DUMMYFUNCTION("""COMPUTED_VALUE"""),"Sabun batang 1 Box ( 2 PCS )")</f>
        <v>Sabun batang 1 Box ( 2 PCS )</v>
      </c>
      <c r="H1939" s="469"/>
      <c r="I1939" s="470"/>
      <c r="J1939" s="471" t="str">
        <f>IFERROR(__xludf.DUMMYFUNCTION("""COMPUTED_VALUE"""),"https://vt.tiktok.com/ZSx7tL5yo/")</f>
        <v>https://vt.tiktok.com/ZSx7tL5yo/</v>
      </c>
      <c r="K1939" s="470"/>
      <c r="L1939" s="471" t="str">
        <f>IFERROR(__xludf.DUMMYFUNCTION("""COMPUTED_VALUE"""),"https://vt.tiktok.com/ZSQeDLwsh/")</f>
        <v>https://vt.tiktok.com/ZSQeDLwsh/</v>
      </c>
      <c r="M1939" s="470"/>
      <c r="N1939" s="471" t="str">
        <f>IFERROR(__xludf.DUMMYFUNCTION("""COMPUTED_VALUE"""),"https://vt.tiktok.com/ZSQeD1po5/")</f>
        <v>https://vt.tiktok.com/ZSQeD1po5/</v>
      </c>
      <c r="O1939" s="470"/>
      <c r="P1939" s="471" t="str">
        <f>IFERROR(__xludf.DUMMYFUNCTION("""COMPUTED_VALUE"""),"https://vt.tiktok.com/ZSQJa6mg1/")</f>
        <v>https://vt.tiktok.com/ZSQJa6mg1/</v>
      </c>
    </row>
    <row r="1940">
      <c r="A1940" s="282" t="str">
        <f>IFERROR(__xludf.DUMMYFUNCTION("""COMPUTED_VALUE"""),"MICRO")</f>
        <v>MICRO</v>
      </c>
      <c r="B1940" s="468" t="str">
        <f>IFERROR(__xludf.DUMMYFUNCTION("""COMPUTED_VALUE"""),"reresolshop")</f>
        <v>reresolshop</v>
      </c>
      <c r="C1940" s="283" t="str">
        <f>IFERROR(__xludf.DUMMYFUNCTION("""COMPUTED_VALUE"""),"https://www.tiktok.com/@reresolshop")</f>
        <v>https://www.tiktok.com/@reresolshop</v>
      </c>
      <c r="D1940" s="273">
        <f>IFERROR(__xludf.DUMMYFUNCTION("""COMPUTED_VALUE"""),8.1802103363E10)</f>
        <v>81802103363</v>
      </c>
      <c r="E1940" s="458">
        <f>IFERROR(__xludf.DUMMYFUNCTION("""COMPUTED_VALUE"""),0.0)</f>
        <v>0</v>
      </c>
      <c r="F1940" s="273">
        <f>IFERROR(__xludf.DUMMYFUNCTION("""COMPUTED_VALUE"""),4.0)</f>
        <v>4</v>
      </c>
      <c r="G1940" t="str">
        <f>IFERROR(__xludf.DUMMYFUNCTION("""COMPUTED_VALUE"""),"Sabun batang 1 Box ( 2 PCS )")</f>
        <v>Sabun batang 1 Box ( 2 PCS )</v>
      </c>
      <c r="H1940" s="469"/>
      <c r="I1940" s="470"/>
      <c r="J1940" s="471" t="str">
        <f>IFERROR(__xludf.DUMMYFUNCTION("""COMPUTED_VALUE"""),"https://vt.tiktok.com/ZSQeD4PUr/")</f>
        <v>https://vt.tiktok.com/ZSQeD4PUr/</v>
      </c>
      <c r="K1940" s="470"/>
      <c r="L1940" t="str">
        <f>IFERROR(__xludf.DUMMYFUNCTION("""COMPUTED_VALUE"""),"⁠https://vt.tiktok.com/ZSQeDtcH7/")</f>
        <v>⁠https://vt.tiktok.com/ZSQeDtcH7/</v>
      </c>
      <c r="M1940" s="470"/>
      <c r="N1940" t="str">
        <f>IFERROR(__xludf.DUMMYFUNCTION("""COMPUTED_VALUE"""),"⁠https://vt.tiktok.com/ZSQJ5EKwS/")</f>
        <v>⁠https://vt.tiktok.com/ZSQJ5EKwS/</v>
      </c>
      <c r="O1940" s="470"/>
      <c r="P1940" t="str">
        <f>IFERROR(__xludf.DUMMYFUNCTION("""COMPUTED_VALUE"""),"⁠https://vt.tiktok.com/ZSxoE6dNA/")</f>
        <v>⁠https://vt.tiktok.com/ZSxoE6dNA/</v>
      </c>
    </row>
    <row r="1941">
      <c r="A1941" s="282" t="str">
        <f>IFERROR(__xludf.DUMMYFUNCTION("""COMPUTED_VALUE"""),"MICRO")</f>
        <v>MICRO</v>
      </c>
      <c r="B1941" s="468" t="str">
        <f>IFERROR(__xludf.DUMMYFUNCTION("""COMPUTED_VALUE"""),"fashionnew.ootd")</f>
        <v>fashionnew.ootd</v>
      </c>
      <c r="C1941" s="283" t="str">
        <f>IFERROR(__xludf.DUMMYFUNCTION("""COMPUTED_VALUE"""),"https://www.tiktok.com/@fashionnew.ootd")</f>
        <v>https://www.tiktok.com/@fashionnew.ootd</v>
      </c>
      <c r="D1941" s="273">
        <f>IFERROR(__xludf.DUMMYFUNCTION("""COMPUTED_VALUE"""),8.1210835211E10)</f>
        <v>81210835211</v>
      </c>
      <c r="E1941" s="458">
        <f>IFERROR(__xludf.DUMMYFUNCTION("""COMPUTED_VALUE"""),0.0)</f>
        <v>0</v>
      </c>
      <c r="F1941" s="273">
        <f>IFERROR(__xludf.DUMMYFUNCTION("""COMPUTED_VALUE"""),4.0)</f>
        <v>4</v>
      </c>
      <c r="G1941" t="str">
        <f>IFERROR(__xludf.DUMMYFUNCTION("""COMPUTED_VALUE"""),"Sabun batang 1 Box ( 2 PCS )")</f>
        <v>Sabun batang 1 Box ( 2 PCS )</v>
      </c>
      <c r="H1941" s="469"/>
      <c r="I1941" s="470"/>
      <c r="J1941" t="str">
        <f>IFERROR(__xludf.DUMMYFUNCTION("""COMPUTED_VALUE"""),"⁠https://vt.tiktok.com/ZSxoEkfam/")</f>
        <v>⁠https://vt.tiktok.com/ZSxoEkfam/</v>
      </c>
      <c r="K1941" s="470"/>
      <c r="L1941" t="str">
        <f>IFERROR(__xludf.DUMMYFUNCTION("""COMPUTED_VALUE"""),"⁠https://vt.tiktok.com/ZSxoEraRR/")</f>
        <v>⁠https://vt.tiktok.com/ZSxoEraRR/</v>
      </c>
      <c r="M1941" s="470"/>
      <c r="N1941" t="str">
        <f>IFERROR(__xludf.DUMMYFUNCTION("""COMPUTED_VALUE"""),"⁠https://vt.tiktok.com/ZSxoEJwfc/")</f>
        <v>⁠https://vt.tiktok.com/ZSxoEJwfc/</v>
      </c>
      <c r="O1941" s="470"/>
      <c r="P1941" t="str">
        <f>IFERROR(__xludf.DUMMYFUNCTION("""COMPUTED_VALUE"""),"⁠https://vt.tiktok.com/ZSQdJ7yKs/")</f>
        <v>⁠https://vt.tiktok.com/ZSQdJ7yKs/</v>
      </c>
    </row>
    <row r="1942">
      <c r="A1942" s="282" t="str">
        <f>IFERROR(__xludf.DUMMYFUNCTION("""COMPUTED_VALUE"""),"MICRO")</f>
        <v>MICRO</v>
      </c>
      <c r="B1942" s="468" t="str">
        <f>IFERROR(__xludf.DUMMYFUNCTION("""COMPUTED_VALUE"""),"yaris_296")</f>
        <v>yaris_296</v>
      </c>
      <c r="C1942" s="283" t="str">
        <f>IFERROR(__xludf.DUMMYFUNCTION("""COMPUTED_VALUE"""),"https://www.tiktok.com/@yaris_296")</f>
        <v>https://www.tiktok.com/@yaris_296</v>
      </c>
      <c r="D1942" s="273">
        <f>IFERROR(__xludf.DUMMYFUNCTION("""COMPUTED_VALUE"""),8.1233455566E10)</f>
        <v>81233455566</v>
      </c>
      <c r="E1942" s="458">
        <f>IFERROR(__xludf.DUMMYFUNCTION("""COMPUTED_VALUE"""),0.0)</f>
        <v>0</v>
      </c>
      <c r="F1942" s="273">
        <f>IFERROR(__xludf.DUMMYFUNCTION("""COMPUTED_VALUE"""),2.0)</f>
        <v>2</v>
      </c>
      <c r="G1942" t="str">
        <f>IFERROR(__xludf.DUMMYFUNCTION("""COMPUTED_VALUE"""),"Sabun batang 1 Box ( 2 PCS )")</f>
        <v>Sabun batang 1 Box ( 2 PCS )</v>
      </c>
      <c r="H1942" s="469"/>
      <c r="I1942" s="470"/>
      <c r="J1942" t="str">
        <f>IFERROR(__xludf.DUMMYFUNCTION("""COMPUTED_VALUE"""),"⁠https://vt.tiktok.com/ZSQdJpxfq/")</f>
        <v>⁠https://vt.tiktok.com/ZSQdJpxfq/</v>
      </c>
      <c r="K1942" s="470"/>
      <c r="L1942" t="str">
        <f>IFERROR(__xludf.DUMMYFUNCTION("""COMPUTED_VALUE"""),"⁠https://vt.tiktok.com/ZSQdJXnYD/")</f>
        <v>⁠https://vt.tiktok.com/ZSQdJXnYD/</v>
      </c>
      <c r="M1942" s="470"/>
      <c r="N1942" t="str">
        <f>IFERROR(__xludf.DUMMYFUNCTION("""COMPUTED_VALUE"""),"⁠https://vt.tiktok.com/ZSQdJbK6w/")</f>
        <v>⁠https://vt.tiktok.com/ZSQdJbK6w/</v>
      </c>
      <c r="O1942" s="470"/>
      <c r="P1942" t="str">
        <f>IFERROR(__xludf.DUMMYFUNCTION("""COMPUTED_VALUE"""),"⁠https://vt.tiktok.com/ZSxoEyuf9/")</f>
        <v>⁠https://vt.tiktok.com/ZSxoEyuf9/</v>
      </c>
    </row>
    <row r="1943">
      <c r="A1943" s="282" t="str">
        <f>IFERROR(__xludf.DUMMYFUNCTION("""COMPUTED_VALUE"""),"MICRO")</f>
        <v>MICRO</v>
      </c>
      <c r="B1943" s="468" t="str">
        <f>IFERROR(__xludf.DUMMYFUNCTION("""COMPUTED_VALUE"""),"ngantoronlinecuy")</f>
        <v>ngantoronlinecuy</v>
      </c>
      <c r="C1943" s="283" t="str">
        <f>IFERROR(__xludf.DUMMYFUNCTION("""COMPUTED_VALUE"""),"https://www.tiktok.com/@ngantoronlinecuy")</f>
        <v>https://www.tiktok.com/@ngantoronlinecuy</v>
      </c>
      <c r="D1943" s="273">
        <f>IFERROR(__xludf.DUMMYFUNCTION("""COMPUTED_VALUE"""),8.78251306E10)</f>
        <v>87825130600</v>
      </c>
      <c r="E1943" s="458">
        <f>IFERROR(__xludf.DUMMYFUNCTION("""COMPUTED_VALUE"""),0.0)</f>
        <v>0</v>
      </c>
      <c r="F1943" s="273">
        <f>IFERROR(__xludf.DUMMYFUNCTION("""COMPUTED_VALUE"""),4.0)</f>
        <v>4</v>
      </c>
      <c r="G1943" t="str">
        <f>IFERROR(__xludf.DUMMYFUNCTION("""COMPUTED_VALUE"""),"Sabun batang 1 Box ( 2 PCS )")</f>
        <v>Sabun batang 1 Box ( 2 PCS )</v>
      </c>
      <c r="H1943" s="469"/>
      <c r="I1943" s="470"/>
      <c r="J1943" t="str">
        <f>IFERROR(__xludf.DUMMYFUNCTION("""COMPUTED_VALUE"""),"⁠https://vt.tiktok.com/ZSxoEgLe1/")</f>
        <v>⁠https://vt.tiktok.com/ZSxoEgLe1/</v>
      </c>
      <c r="K1943" s="470"/>
      <c r="L1943" s="471" t="str">
        <f>IFERROR(__xludf.DUMMYFUNCTION("""COMPUTED_VALUE"""),"https://vt.tiktok.com/ZSxoEUk9c/")</f>
        <v>https://vt.tiktok.com/ZSxoEUk9c/</v>
      </c>
      <c r="M1943" s="470"/>
      <c r="N1943" t="str">
        <f>IFERROR(__xludf.DUMMYFUNCTION("""COMPUTED_VALUE"""),"⁠https://vt.tiktok.com/ZSxoEW8oj/")</f>
        <v>⁠https://vt.tiktok.com/ZSxoEW8oj/</v>
      </c>
      <c r="O1943" s="470"/>
      <c r="P1943" t="str">
        <f>IFERROR(__xludf.DUMMYFUNCTION("""COMPUTED_VALUE"""),"⁠https://vt.tiktok.com/ZSQdRPax9/")</f>
        <v>⁠https://vt.tiktok.com/ZSQdRPax9/</v>
      </c>
    </row>
    <row r="1944">
      <c r="A1944" s="282" t="str">
        <f>IFERROR(__xludf.DUMMYFUNCTION("""COMPUTED_VALUE"""),"MICRO")</f>
        <v>MICRO</v>
      </c>
      <c r="B1944" s="468" t="str">
        <f>IFERROR(__xludf.DUMMYFUNCTION("""COMPUTED_VALUE"""),"galuhhhhhhhhh")</f>
        <v>galuhhhhhhhhh</v>
      </c>
      <c r="C1944" s="283" t="str">
        <f>IFERROR(__xludf.DUMMYFUNCTION("""COMPUTED_VALUE"""),"https://www.tiktok.com/@galuhhhhhhhhh")</f>
        <v>https://www.tiktok.com/@galuhhhhhhhhh</v>
      </c>
      <c r="D1944" s="273">
        <f>IFERROR(__xludf.DUMMYFUNCTION("""COMPUTED_VALUE"""),8.5878412157E10)</f>
        <v>85878412157</v>
      </c>
      <c r="E1944" s="458">
        <f>IFERROR(__xludf.DUMMYFUNCTION("""COMPUTED_VALUE"""),0.0)</f>
        <v>0</v>
      </c>
      <c r="F1944" s="273">
        <f>IFERROR(__xludf.DUMMYFUNCTION("""COMPUTED_VALUE"""),4.0)</f>
        <v>4</v>
      </c>
      <c r="G1944" t="str">
        <f>IFERROR(__xludf.DUMMYFUNCTION("""COMPUTED_VALUE"""),"Sabun batang 1 Box ( 2 PCS )")</f>
        <v>Sabun batang 1 Box ( 2 PCS )</v>
      </c>
      <c r="H1944" s="469"/>
      <c r="I1944" s="470"/>
      <c r="J1944" t="str">
        <f>IFERROR(__xludf.DUMMYFUNCTION("""COMPUTED_VALUE"""),"⁠https://vt.tiktok.com/ZSQdRp9p3/")</f>
        <v>⁠https://vt.tiktok.com/ZSQdRp9p3/</v>
      </c>
      <c r="K1944" s="470"/>
      <c r="L1944" t="str">
        <f>IFERROR(__xludf.DUMMYFUNCTION("""COMPUTED_VALUE"""),"⁠https://vt.tiktok.com/ZSQdRygAq/")</f>
        <v>⁠https://vt.tiktok.com/ZSQdRygAq/</v>
      </c>
      <c r="M1944" s="470"/>
      <c r="N1944" t="str">
        <f>IFERROR(__xludf.DUMMYFUNCTION("""COMPUTED_VALUE"""),"⁠https://vt.tiktok.com/ZSQdRu91C/")</f>
        <v>⁠https://vt.tiktok.com/ZSQdRu91C/</v>
      </c>
      <c r="O1944" s="470"/>
      <c r="P1944" t="str">
        <f>IFERROR(__xludf.DUMMYFUNCTION("""COMPUTED_VALUE"""),"⁠https://vt.tiktok.com/ZSQdeuGNG/")</f>
        <v>⁠https://vt.tiktok.com/ZSQdeuGNG/</v>
      </c>
    </row>
    <row r="1945">
      <c r="A1945" s="282" t="str">
        <f>IFERROR(__xludf.DUMMYFUNCTION("""COMPUTED_VALUE"""),"MICRO")</f>
        <v>MICRO</v>
      </c>
      <c r="B1945" s="468" t="str">
        <f>IFERROR(__xludf.DUMMYFUNCTION("""COMPUTED_VALUE"""),"linaanaps")</f>
        <v>linaanaps</v>
      </c>
      <c r="C1945" s="283" t="str">
        <f>IFERROR(__xludf.DUMMYFUNCTION("""COMPUTED_VALUE"""),"https://www.tiktok.com/@linaanaps")</f>
        <v>https://www.tiktok.com/@linaanaps</v>
      </c>
      <c r="D1945" s="273">
        <f>IFERROR(__xludf.DUMMYFUNCTION("""COMPUTED_VALUE"""),8.526449339E10)</f>
        <v>85264493390</v>
      </c>
      <c r="E1945" s="458">
        <f>IFERROR(__xludf.DUMMYFUNCTION("""COMPUTED_VALUE"""),0.0)</f>
        <v>0</v>
      </c>
      <c r="F1945" s="273">
        <f>IFERROR(__xludf.DUMMYFUNCTION("""COMPUTED_VALUE"""),4.0)</f>
        <v>4</v>
      </c>
      <c r="G1945" t="str">
        <f>IFERROR(__xludf.DUMMYFUNCTION("""COMPUTED_VALUE"""),"Sabun batang 1 Box ( 2 PCS )")</f>
        <v>Sabun batang 1 Box ( 2 PCS )</v>
      </c>
      <c r="H1945" s="469"/>
      <c r="I1945" s="470"/>
      <c r="J1945" s="471" t="str">
        <f>IFERROR(__xludf.DUMMYFUNCTION("""COMPUTED_VALUE"""),"https://vt.tiktok.com/ZSQd82cwM/")</f>
        <v>https://vt.tiktok.com/ZSQd82cwM/</v>
      </c>
      <c r="K1945" s="470"/>
      <c r="L1945" s="471" t="str">
        <f>IFERROR(__xludf.DUMMYFUNCTION("""COMPUTED_VALUE"""),"https://vt.tiktok.com/ZSQdeEBtF/")</f>
        <v>https://vt.tiktok.com/ZSQdeEBtF/</v>
      </c>
      <c r="M1945" s="470"/>
      <c r="N1945" t="str">
        <f>IFERROR(__xludf.DUMMYFUNCTION("""COMPUTED_VALUE"""),"⁠https://vt.tiktok.com/ZSQdevswS/")</f>
        <v>⁠https://vt.tiktok.com/ZSQdevswS/</v>
      </c>
      <c r="O1945" s="470"/>
      <c r="P1945" s="471" t="str">
        <f>IFERROR(__xludf.DUMMYFUNCTION("""COMPUTED_VALUE"""),"https://vt.tiktok.com/ZSQdevPEA/")</f>
        <v>https://vt.tiktok.com/ZSQdevPEA/</v>
      </c>
    </row>
    <row r="1946">
      <c r="A1946" s="282" t="str">
        <f>IFERROR(__xludf.DUMMYFUNCTION("""COMPUTED_VALUE"""),"MICRO")</f>
        <v>MICRO</v>
      </c>
      <c r="B1946" s="468" t="str">
        <f>IFERROR(__xludf.DUMMYFUNCTION("""COMPUTED_VALUE"""),"jessanycalissta")</f>
        <v>jessanycalissta</v>
      </c>
      <c r="C1946" s="283" t="str">
        <f>IFERROR(__xludf.DUMMYFUNCTION("""COMPUTED_VALUE"""),"https://www.tiktok.com/@jessanycalissta")</f>
        <v>https://www.tiktok.com/@jessanycalissta</v>
      </c>
      <c r="D1946" s="273">
        <f>IFERROR(__xludf.DUMMYFUNCTION("""COMPUTED_VALUE"""),8.316830533E10)</f>
        <v>83168305330</v>
      </c>
      <c r="E1946" s="458">
        <f>IFERROR(__xludf.DUMMYFUNCTION("""COMPUTED_VALUE"""),0.0)</f>
        <v>0</v>
      </c>
      <c r="F1946" s="273">
        <f>IFERROR(__xludf.DUMMYFUNCTION("""COMPUTED_VALUE"""),4.0)</f>
        <v>4</v>
      </c>
      <c r="G1946" t="str">
        <f>IFERROR(__xludf.DUMMYFUNCTION("""COMPUTED_VALUE"""),"Sabun batang 1 Box ( 2 PCS )")</f>
        <v>Sabun batang 1 Box ( 2 PCS )</v>
      </c>
      <c r="H1946" s="469"/>
      <c r="I1946" s="470"/>
      <c r="J1946" t="str">
        <f>IFERROR(__xludf.DUMMYFUNCTION("""COMPUTED_VALUE"""),"⁠https://vt.tiktok.com/ZSQdec99A/")</f>
        <v>⁠https://vt.tiktok.com/ZSQdec99A/</v>
      </c>
      <c r="K1946" s="470"/>
      <c r="L1946" t="str">
        <f>IFERROR(__xludf.DUMMYFUNCTION("""COMPUTED_VALUE"""),"⁠https://vt.tiktok.com/ZSQdeKAjd/")</f>
        <v>⁠https://vt.tiktok.com/ZSQdeKAjd/</v>
      </c>
      <c r="M1946" s="470"/>
      <c r="N1946" s="471" t="str">
        <f>IFERROR(__xludf.DUMMYFUNCTION("""COMPUTED_VALUE"""),"https://vt.tiktok.com/ZSQdepmcn/")</f>
        <v>https://vt.tiktok.com/ZSQdepmcn/</v>
      </c>
      <c r="O1946" s="470"/>
      <c r="P1946" s="471" t="str">
        <f>IFERROR(__xludf.DUMMYFUNCTION("""COMPUTED_VALUE"""),"https://vt.tiktok.com/ZSQeUV1K7/")</f>
        <v>https://vt.tiktok.com/ZSQeUV1K7/</v>
      </c>
    </row>
    <row r="1947">
      <c r="A1947" s="282" t="str">
        <f>IFERROR(__xludf.DUMMYFUNCTION("""COMPUTED_VALUE"""),"MICRO")</f>
        <v>MICRO</v>
      </c>
      <c r="B1947" s="468" t="str">
        <f>IFERROR(__xludf.DUMMYFUNCTION("""COMPUTED_VALUE"""),"ekayuni170")</f>
        <v>ekayuni170</v>
      </c>
      <c r="C1947" s="283" t="str">
        <f>IFERROR(__xludf.DUMMYFUNCTION("""COMPUTED_VALUE"""),"https://www.tiktok.com/@ekayuni170")</f>
        <v>https://www.tiktok.com/@ekayuni170</v>
      </c>
      <c r="D1947" s="273">
        <f>IFERROR(__xludf.DUMMYFUNCTION("""COMPUTED_VALUE"""),8.52188837E10)</f>
        <v>85218883700</v>
      </c>
      <c r="E1947" s="458">
        <f>IFERROR(__xludf.DUMMYFUNCTION("""COMPUTED_VALUE"""),0.0)</f>
        <v>0</v>
      </c>
      <c r="F1947" s="273">
        <f>IFERROR(__xludf.DUMMYFUNCTION("""COMPUTED_VALUE"""),4.0)</f>
        <v>4</v>
      </c>
      <c r="G1947" t="str">
        <f>IFERROR(__xludf.DUMMYFUNCTION("""COMPUTED_VALUE"""),"Sabun batang 1 Box ( 2 PCS )")</f>
        <v>Sabun batang 1 Box ( 2 PCS )</v>
      </c>
      <c r="H1947" s="469"/>
      <c r="I1947" s="470"/>
      <c r="J1947" t="str">
        <f>IFERROR(__xludf.DUMMYFUNCTION("""COMPUTED_VALUE"""),"⁠https://vt.tiktok.com/ZSQdeVDhd/")</f>
        <v>⁠https://vt.tiktok.com/ZSQdeVDhd/</v>
      </c>
      <c r="K1947" s="470"/>
      <c r="L1947" s="471" t="str">
        <f>IFERROR(__xludf.DUMMYFUNCTION("""COMPUTED_VALUE"""),"https://vt.tiktok.com/ZSQdeHmu2/")</f>
        <v>https://vt.tiktok.com/ZSQdeHmu2/</v>
      </c>
      <c r="M1947" s="470"/>
      <c r="N1947" s="471" t="str">
        <f>IFERROR(__xludf.DUMMYFUNCTION("""COMPUTED_VALUE"""),"https://vt.tiktok.com/ZSQeUPN5H/")</f>
        <v>https://vt.tiktok.com/ZSQeUPN5H/</v>
      </c>
      <c r="O1947" s="470"/>
      <c r="P1947" s="471" t="str">
        <f>IFERROR(__xludf.DUMMYFUNCTION("""COMPUTED_VALUE"""),"https://vt.tiktok.com/ZSQedRcHJ/")</f>
        <v>https://vt.tiktok.com/ZSQedRcHJ/</v>
      </c>
    </row>
    <row r="1948">
      <c r="A1948" s="282" t="str">
        <f>IFERROR(__xludf.DUMMYFUNCTION("""COMPUTED_VALUE"""),"MICRO")</f>
        <v>MICRO</v>
      </c>
      <c r="B1948" s="468" t="str">
        <f>IFERROR(__xludf.DUMMYFUNCTION("""COMPUTED_VALUE"""),"noerhfizah")</f>
        <v>noerhfizah</v>
      </c>
      <c r="C1948" s="283" t="str">
        <f>IFERROR(__xludf.DUMMYFUNCTION("""COMPUTED_VALUE"""),"https://www.tiktok.com/@noerhfizah")</f>
        <v>https://www.tiktok.com/@noerhfizah</v>
      </c>
      <c r="D1948" s="273">
        <f>IFERROR(__xludf.DUMMYFUNCTION("""COMPUTED_VALUE"""),8.5764232913E10)</f>
        <v>85764232913</v>
      </c>
      <c r="E1948" s="458">
        <f>IFERROR(__xludf.DUMMYFUNCTION("""COMPUTED_VALUE"""),0.0)</f>
        <v>0</v>
      </c>
      <c r="F1948" s="273">
        <f>IFERROR(__xludf.DUMMYFUNCTION("""COMPUTED_VALUE"""),4.0)</f>
        <v>4</v>
      </c>
      <c r="G1948" t="str">
        <f>IFERROR(__xludf.DUMMYFUNCTION("""COMPUTED_VALUE"""),"Sabun batang 1 Box ( 2 PCS )")</f>
        <v>Sabun batang 1 Box ( 2 PCS )</v>
      </c>
      <c r="H1948" s="469"/>
      <c r="I1948" s="470"/>
      <c r="J1948" s="471" t="str">
        <f>IFERROR(__xludf.DUMMYFUNCTION("""COMPUTED_VALUE"""),"https://vt.tiktok.com/ZSQeyFwvo/")</f>
        <v>https://vt.tiktok.com/ZSQeyFwvo/</v>
      </c>
      <c r="K1948" s="470"/>
      <c r="L1948" s="471" t="str">
        <f>IFERROR(__xludf.DUMMYFUNCTION("""COMPUTED_VALUE"""),"https://vt.tiktok.com/ZSQeyeDm9/")</f>
        <v>https://vt.tiktok.com/ZSQeyeDm9/</v>
      </c>
      <c r="M1948" s="470"/>
      <c r="N1948" s="471" t="str">
        <f>IFERROR(__xludf.DUMMYFUNCTION("""COMPUTED_VALUE"""),"https://vt.tiktok.com/ZSQedDWvr/")</f>
        <v>https://vt.tiktok.com/ZSQedDWvr/</v>
      </c>
      <c r="O1948" s="470"/>
      <c r="P1948" s="471" t="str">
        <f>IFERROR(__xludf.DUMMYFUNCTION("""COMPUTED_VALUE"""),"https://vt.tiktok.com/ZSQedqjqN/")</f>
        <v>https://vt.tiktok.com/ZSQedqjqN/</v>
      </c>
    </row>
    <row r="1949">
      <c r="A1949" s="282" t="str">
        <f>IFERROR(__xludf.DUMMYFUNCTION("""COMPUTED_VALUE"""),"MICRO")</f>
        <v>MICRO</v>
      </c>
      <c r="B1949" s="468" t="str">
        <f>IFERROR(__xludf.DUMMYFUNCTION("""COMPUTED_VALUE"""),"_ekapuspitaaaa")</f>
        <v>_ekapuspitaaaa</v>
      </c>
      <c r="C1949" s="283" t="str">
        <f>IFERROR(__xludf.DUMMYFUNCTION("""COMPUTED_VALUE"""),"https://www.tiktok.com/@_ekapuspitaaaa")</f>
        <v>https://www.tiktok.com/@_ekapuspitaaaa</v>
      </c>
      <c r="D1949" s="273">
        <f>IFERROR(__xludf.DUMMYFUNCTION("""COMPUTED_VALUE"""),8.2280699204E10)</f>
        <v>82280699204</v>
      </c>
      <c r="E1949" s="458">
        <f>IFERROR(__xludf.DUMMYFUNCTION("""COMPUTED_VALUE"""),0.0)</f>
        <v>0</v>
      </c>
      <c r="F1949" s="273">
        <f>IFERROR(__xludf.DUMMYFUNCTION("""COMPUTED_VALUE"""),3.0)</f>
        <v>3</v>
      </c>
      <c r="G1949" t="str">
        <f>IFERROR(__xludf.DUMMYFUNCTION("""COMPUTED_VALUE"""),"Sabun batang 1 Box ( 2 PCS )")</f>
        <v>Sabun batang 1 Box ( 2 PCS )</v>
      </c>
      <c r="H1949" s="469"/>
      <c r="I1949" s="470"/>
      <c r="J1949" s="471" t="str">
        <f>IFERROR(__xludf.DUMMYFUNCTION("""COMPUTED_VALUE"""),"https://vt.tiktok.com/ZSQed92uH/")</f>
        <v>https://vt.tiktok.com/ZSQed92uH/</v>
      </c>
      <c r="K1949" s="470"/>
      <c r="L1949" s="471" t="str">
        <f>IFERROR(__xludf.DUMMYFUNCTION("""COMPUTED_VALUE"""),"https://vt.tiktok.com/ZSQed4HbR/")</f>
        <v>https://vt.tiktok.com/ZSQed4HbR/</v>
      </c>
      <c r="M1949" s="470"/>
      <c r="N1949" s="471" t="str">
        <f>IFERROR(__xludf.DUMMYFUNCTION("""COMPUTED_VALUE"""),"https://vt.tiktok.com/ZSQedWCL2/")</f>
        <v>https://vt.tiktok.com/ZSQedWCL2/</v>
      </c>
      <c r="O1949" s="470"/>
      <c r="P1949" s="471" t="str">
        <f>IFERROR(__xludf.DUMMYFUNCTION("""COMPUTED_VALUE"""),"https://vt.tiktok.com/ZSQeRrfHx/")</f>
        <v>https://vt.tiktok.com/ZSQeRrfHx/</v>
      </c>
    </row>
    <row r="1950">
      <c r="A1950" s="282" t="str">
        <f>IFERROR(__xludf.DUMMYFUNCTION("""COMPUTED_VALUE"""),"MICRO")</f>
        <v>MICRO</v>
      </c>
      <c r="B1950" s="468" t="str">
        <f>IFERROR(__xludf.DUMMYFUNCTION("""COMPUTED_VALUE"""),"lenny_wardani ")</f>
        <v>lenny_wardani </v>
      </c>
      <c r="C1950" s="283" t="str">
        <f>IFERROR(__xludf.DUMMYFUNCTION("""COMPUTED_VALUE"""),"https://www.tiktok.com/@lenny_wardani ")</f>
        <v>https://www.tiktok.com/@lenny_wardani </v>
      </c>
      <c r="D1950" s="273">
        <f>IFERROR(__xludf.DUMMYFUNCTION("""COMPUTED_VALUE"""),8.5740003009E10)</f>
        <v>85740003009</v>
      </c>
      <c r="E1950" s="458">
        <f>IFERROR(__xludf.DUMMYFUNCTION("""COMPUTED_VALUE"""),0.0)</f>
        <v>0</v>
      </c>
      <c r="F1950" s="273">
        <f>IFERROR(__xludf.DUMMYFUNCTION("""COMPUTED_VALUE"""),3.0)</f>
        <v>3</v>
      </c>
      <c r="G1950" t="str">
        <f>IFERROR(__xludf.DUMMYFUNCTION("""COMPUTED_VALUE"""),"Sabun batang 1 Box ( 2 PCS )")</f>
        <v>Sabun batang 1 Box ( 2 PCS )</v>
      </c>
      <c r="H1950" s="469"/>
      <c r="I1950" s="470"/>
      <c r="J1950" s="471" t="str">
        <f>IFERROR(__xludf.DUMMYFUNCTION("""COMPUTED_VALUE"""),"https://vt.tiktok.com/ZSQeR61yS/")</f>
        <v>https://vt.tiktok.com/ZSQeR61yS/</v>
      </c>
      <c r="K1950" s="470"/>
      <c r="L1950" s="471" t="str">
        <f>IFERROR(__xludf.DUMMYFUNCTION("""COMPUTED_VALUE"""),"https://vt.tiktok.com/ZSQedEqLA/")</f>
        <v>https://vt.tiktok.com/ZSQedEqLA/</v>
      </c>
      <c r="M1950" s="470"/>
      <c r="N1950" s="471" t="str">
        <f>IFERROR(__xludf.DUMMYFUNCTION("""COMPUTED_VALUE"""),"https://vt.tiktok.com/ZSQeRjkQh/")</f>
        <v>https://vt.tiktok.com/ZSQeRjkQh/</v>
      </c>
      <c r="O1950" s="470"/>
      <c r="P1950" t="str">
        <f>IFERROR(__xludf.DUMMYFUNCTION("""COMPUTED_VALUE"""),"⁠https://vt.tiktok.com/ZSQJaJ5tt/")</f>
        <v>⁠https://vt.tiktok.com/ZSQJaJ5tt/</v>
      </c>
    </row>
    <row r="1951">
      <c r="A1951" s="282" t="str">
        <f>IFERROR(__xludf.DUMMYFUNCTION("""COMPUTED_VALUE"""),"MICRO")</f>
        <v>MICRO</v>
      </c>
      <c r="B1951" s="468" t="str">
        <f>IFERROR(__xludf.DUMMYFUNCTION("""COMPUTED_VALUE"""),"deksiti164")</f>
        <v>deksiti164</v>
      </c>
      <c r="C1951" s="283" t="str">
        <f>IFERROR(__xludf.DUMMYFUNCTION("""COMPUTED_VALUE"""),"https://www.tiktok.com/@deksiti164")</f>
        <v>https://www.tiktok.com/@deksiti164</v>
      </c>
      <c r="D1951" s="273">
        <f>IFERROR(__xludf.DUMMYFUNCTION("""COMPUTED_VALUE"""),8.2275634637E10)</f>
        <v>82275634637</v>
      </c>
      <c r="E1951" s="458">
        <f>IFERROR(__xludf.DUMMYFUNCTION("""COMPUTED_VALUE"""),0.0)</f>
        <v>0</v>
      </c>
      <c r="F1951" s="273">
        <f>IFERROR(__xludf.DUMMYFUNCTION("""COMPUTED_VALUE"""),3.0)</f>
        <v>3</v>
      </c>
      <c r="G1951" t="str">
        <f>IFERROR(__xludf.DUMMYFUNCTION("""COMPUTED_VALUE"""),"Sabun batang 1 Box ( 2 PCS )")</f>
        <v>Sabun batang 1 Box ( 2 PCS )</v>
      </c>
      <c r="H1951" s="469"/>
      <c r="I1951" s="470"/>
      <c r="J1951" s="471" t="str">
        <f>IFERROR(__xludf.DUMMYFUNCTION("""COMPUTED_VALUE"""),"https://vt.tiktok.com/ZSQJa6wAu/")</f>
        <v>https://vt.tiktok.com/ZSQJa6wAu/</v>
      </c>
      <c r="K1951" s="470"/>
      <c r="L1951" s="471" t="str">
        <f>IFERROR(__xludf.DUMMYFUNCTION("""COMPUTED_VALUE"""),"https://vt.tiktok.com/ZSQeU4y78/")</f>
        <v>https://vt.tiktok.com/ZSQeU4y78/</v>
      </c>
      <c r="M1951" s="470"/>
      <c r="N1951" t="str">
        <f>IFERROR(__xludf.DUMMYFUNCTION("""COMPUTED_VALUE"""),"⁠https://vt.tiktok.com/ZSQdRUBq2/")</f>
        <v>⁠https://vt.tiktok.com/ZSQdRUBq2/</v>
      </c>
      <c r="O1951" s="470"/>
      <c r="P1951" t="str">
        <f>IFERROR(__xludf.DUMMYFUNCTION("""COMPUTED_VALUE"""),"⁠https://vt.tiktok.com/ZSxoERD3k/")</f>
        <v>⁠https://vt.tiktok.com/ZSxoERD3k/</v>
      </c>
    </row>
    <row r="1952">
      <c r="A1952" s="282" t="str">
        <f>IFERROR(__xludf.DUMMYFUNCTION("""COMPUTED_VALUE"""),"MICRO")</f>
        <v>MICRO</v>
      </c>
      <c r="B1952" s="468" t="str">
        <f>IFERROR(__xludf.DUMMYFUNCTION("""COMPUTED_VALUE"""),"gendhis798")</f>
        <v>gendhis798</v>
      </c>
      <c r="C1952" s="283" t="str">
        <f>IFERROR(__xludf.DUMMYFUNCTION("""COMPUTED_VALUE"""),"https://www.tiktok.com/@gendhis798")</f>
        <v>https://www.tiktok.com/@gendhis798</v>
      </c>
      <c r="D1952" s="273">
        <f>IFERROR(__xludf.DUMMYFUNCTION("""COMPUTED_VALUE"""),8.969594418E10)</f>
        <v>89695944180</v>
      </c>
      <c r="E1952" s="458">
        <f>IFERROR(__xludf.DUMMYFUNCTION("""COMPUTED_VALUE"""),0.0)</f>
        <v>0</v>
      </c>
      <c r="F1952" s="273">
        <f>IFERROR(__xludf.DUMMYFUNCTION("""COMPUTED_VALUE"""),2.0)</f>
        <v>2</v>
      </c>
      <c r="G1952" t="str">
        <f>IFERROR(__xludf.DUMMYFUNCTION("""COMPUTED_VALUE"""),"Sabun batang 1 Box ( 2 PCS )")</f>
        <v>Sabun batang 1 Box ( 2 PCS )</v>
      </c>
      <c r="H1952" s="469"/>
      <c r="I1952" s="470"/>
      <c r="J1952" t="str">
        <f>IFERROR(__xludf.DUMMYFUNCTION("""COMPUTED_VALUE"""),"⁠https://vt.tiktok.com/ZSxoEh7qW/")</f>
        <v>⁠https://vt.tiktok.com/ZSxoEh7qW/</v>
      </c>
      <c r="K1952" s="470"/>
      <c r="L1952" s="471" t="str">
        <f>IFERROR(__xludf.DUMMYFUNCTION("""COMPUTED_VALUE"""),"https://vt.tiktok.com/ZSQedyPMq/")</f>
        <v>https://vt.tiktok.com/ZSQedyPMq/</v>
      </c>
      <c r="M1952" s="470"/>
      <c r="N1952" t="str">
        <f>IFERROR(__xludf.DUMMYFUNCTION("""COMPUTED_VALUE"""),"⁠https://vt.tiktok.com/ZSQdeGhPK/")</f>
        <v>⁠https://vt.tiktok.com/ZSQdeGhPK/</v>
      </c>
      <c r="O1952" s="470"/>
      <c r="P1952" t="str">
        <f>IFERROR(__xludf.DUMMYFUNCTION("""COMPUTED_VALUE"""),"⁠https://vt.tiktok.com/ZSQdJKeUR/")</f>
        <v>⁠https://vt.tiktok.com/ZSQdJKeUR/</v>
      </c>
    </row>
    <row r="1953">
      <c r="A1953" s="282" t="str">
        <f>IFERROR(__xludf.DUMMYFUNCTION("""COMPUTED_VALUE"""),"MICRO")</f>
        <v>MICRO</v>
      </c>
      <c r="B1953" s="468" t="str">
        <f>IFERROR(__xludf.DUMMYFUNCTION("""COMPUTED_VALUE"""),"fashiongirl5_")</f>
        <v>fashiongirl5_</v>
      </c>
      <c r="C1953" s="283" t="str">
        <f>IFERROR(__xludf.DUMMYFUNCTION("""COMPUTED_VALUE"""),"https://www.tiktok.com/@fashiongirl5_")</f>
        <v>https://www.tiktok.com/@fashiongirl5_</v>
      </c>
      <c r="D1953" s="273">
        <f>IFERROR(__xludf.DUMMYFUNCTION("""COMPUTED_VALUE"""),8.1299455274E10)</f>
        <v>81299455274</v>
      </c>
      <c r="E1953" s="458">
        <f>IFERROR(__xludf.DUMMYFUNCTION("""COMPUTED_VALUE"""),0.0)</f>
        <v>0</v>
      </c>
      <c r="F1953" s="273">
        <f>IFERROR(__xludf.DUMMYFUNCTION("""COMPUTED_VALUE"""),4.0)</f>
        <v>4</v>
      </c>
      <c r="G1953" t="str">
        <f>IFERROR(__xludf.DUMMYFUNCTION("""COMPUTED_VALUE"""),"Sabun batang 1 Box ( 2 PCS )")</f>
        <v>Sabun batang 1 Box ( 2 PCS )</v>
      </c>
      <c r="H1953" s="469"/>
      <c r="I1953" s="470"/>
      <c r="J1953" t="str">
        <f>IFERROR(__xludf.DUMMYFUNCTION("""COMPUTED_VALUE"""),"⁠https://vt.tiktok.com/ZSQdJKm8t/")</f>
        <v>⁠https://vt.tiktok.com/ZSQdJKm8t/</v>
      </c>
      <c r="K1953" s="470"/>
      <c r="L1953" s="471" t="str">
        <f>IFERROR(__xludf.DUMMYFUNCTION("""COMPUTED_VALUE"""),"https://vt.tiktok.com/ZSQednrCd/")</f>
        <v>https://vt.tiktok.com/ZSQednrCd/</v>
      </c>
      <c r="M1953" s="470"/>
      <c r="N1953" t="str">
        <f>IFERROR(__xludf.DUMMYFUNCTION("""COMPUTED_VALUE"""),"⁠https://vt.tiktok.com/ZSQde7dcU/")</f>
        <v>⁠https://vt.tiktok.com/ZSQde7dcU/</v>
      </c>
      <c r="O1953" s="470"/>
      <c r="P1953" t="str">
        <f>IFERROR(__xludf.DUMMYFUNCTION("""COMPUTED_VALUE"""),"⁠https://vt.tiktok.com/ZSxoE4rWx/")</f>
        <v>⁠https://vt.tiktok.com/ZSxoE4rWx/</v>
      </c>
    </row>
    <row r="1954">
      <c r="A1954" s="282" t="str">
        <f>IFERROR(__xludf.DUMMYFUNCTION("""COMPUTED_VALUE"""),"MICRO")</f>
        <v>MICRO</v>
      </c>
      <c r="B1954" s="468" t="str">
        <f>IFERROR(__xludf.DUMMYFUNCTION("""COMPUTED_VALUE"""),"onlyurpain")</f>
        <v>onlyurpain</v>
      </c>
      <c r="C1954" s="283" t="str">
        <f>IFERROR(__xludf.DUMMYFUNCTION("""COMPUTED_VALUE"""),"https://www.tiktok.com/@onlyurpain")</f>
        <v>https://www.tiktok.com/@onlyurpain</v>
      </c>
      <c r="D1954" s="273"/>
      <c r="E1954" s="458">
        <f>IFERROR(__xludf.DUMMYFUNCTION("""COMPUTED_VALUE"""),0.0)</f>
        <v>0</v>
      </c>
      <c r="F1954" s="273">
        <f>IFERROR(__xludf.DUMMYFUNCTION("""COMPUTED_VALUE"""),1.0)</f>
        <v>1</v>
      </c>
      <c r="G1954" t="str">
        <f>IFERROR(__xludf.DUMMYFUNCTION("""COMPUTED_VALUE"""),"Sabun batang 1 Box ( 2 PCS )")</f>
        <v>Sabun batang 1 Box ( 2 PCS )</v>
      </c>
      <c r="H1954" s="469"/>
      <c r="I1954" s="470"/>
      <c r="J1954" s="471" t="str">
        <f>IFERROR(__xludf.DUMMYFUNCTION("""COMPUTED_VALUE"""),"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"&amp;"aceholder_origin_cover%22%3A%22https%253A%252F%252Fp16-common-sign.tiktokcdn.com%252Ftos-alisg-p-0037%252FocT3fUyagtsUCPXIgtfvGDAQDjLK9oeTHAQG2I~tplv-tiktokx-origin.jpeg%253Fdr%253D14572%2526refresh_token%253D13d7c298%2526x-expires%253D1808992800%2526x-si"&amp;"gnature%253Dm1yuhUo4JC1EwMfosEQhUBd56yw%25253D%2526t%253D4d5b0474%2526ps%253D13740610%2526shp%253Dd05b14bd%2526shcp%253D34ff8df6%2526idc%253Dmy2%2526s%253DTIKTOK_AFFILIATE_VIRAL_VIDEO%22%2C%22placeholder_product_id%22%3A%221729427766722726591%22%2C%22plac"&amp;"eholder_video_id%22%3A%227633434949797858581%22%7D&amp;ec_shared_reflux_scene=shop_tab_feed&amp;share_item_id=7633434949797858581&amp;source=h5_t")</f>
        <v>https://www.tiktok.com/@onlyurpain/video/7633434949797858581?_r=1&amp;u_code=d1e9kjgkedl7b2&amp;region=&amp;mid=7633434998070741768&amp;preview_pb=0&amp;sharer_language=&amp;_d=0&amp;ec_shared_reflux_dynamic_params=%7B%22placeholder_material_id%22%3A%227633434949797858581%22%2C%22placeholder_origin_cover%22%3A%22https%253A%252F%252Fp16-common-sign.tiktokcdn.com%252Ftos-alisg-p-0037%252FocT3fUyagtsUCPXIgtfvGDAQDjLK9oeTHAQG2I~tplv-tiktokx-origin.jpeg%253Fdr%253D14572%2526refresh_token%253D13d7c298%2526x-expires%253D1808992800%2526x-signature%253Dm1yuhUo4JC1EwMfosEQhUBd56yw%25253D%2526t%253D4d5b0474%2526ps%253D13740610%2526shp%253Dd05b14bd%2526shcp%253D34ff8df6%2526idc%253Dmy2%2526s%253DTIKTOK_AFFILIATE_VIRAL_VIDEO%22%2C%22placeholder_product_id%22%3A%221729427766722726591%22%2C%22placeholder_video_id%22%3A%227633434949797858581%22%7D&amp;ec_shared_reflux_scene=shop_tab_feed&amp;share_item_id=7633434949797858581&amp;source=h5_t</v>
      </c>
      <c r="K1954" s="470"/>
      <c r="L1954" s="471" t="str">
        <f>IFERROR(__xludf.DUMMYFUNCTION("""COMPUTED_VALUE"""),"https://vt.tiktok.com/ZSxfQGEgj/")</f>
        <v>https://vt.tiktok.com/ZSxfQGEgj/</v>
      </c>
      <c r="M1954" s="470"/>
      <c r="N1954" s="471" t="str">
        <f>IFERROR(__xludf.DUMMYFUNCTION("""COMPUTED_VALUE"""),"https://vt.tiktok.com/ZSxDYhccb/")</f>
        <v>https://vt.tiktok.com/ZSxDYhccb/</v>
      </c>
      <c r="O1954" s="470"/>
      <c r="P1954" s="471" t="str">
        <f>IFERROR(__xludf.DUMMYFUNCTION("""COMPUTED_VALUE"""),"https://vt.tiktok.com/ZSxDYQyTW/")</f>
        <v>https://vt.tiktok.com/ZSxDYQyTW/</v>
      </c>
    </row>
    <row r="1955">
      <c r="A1955" s="282" t="str">
        <f>IFERROR(__xludf.DUMMYFUNCTION("""COMPUTED_VALUE"""),"MICRO")</f>
        <v>MICRO</v>
      </c>
      <c r="B1955" s="468" t="str">
        <f>IFERROR(__xludf.DUMMYFUNCTION("""COMPUTED_VALUE"""),"rositaramdani7")</f>
        <v>rositaramdani7</v>
      </c>
      <c r="C1955" s="283" t="str">
        <f>IFERROR(__xludf.DUMMYFUNCTION("""COMPUTED_VALUE"""),"https://www.tiktok.com/@rositaramdani7")</f>
        <v>https://www.tiktok.com/@rositaramdani7</v>
      </c>
      <c r="D1955" s="273"/>
      <c r="E1955" s="458">
        <f>IFERROR(__xludf.DUMMYFUNCTION("""COMPUTED_VALUE"""),0.0)</f>
        <v>0</v>
      </c>
      <c r="F1955" s="273">
        <f>IFERROR(__xludf.DUMMYFUNCTION("""COMPUTED_VALUE"""),4.0)</f>
        <v>4</v>
      </c>
      <c r="G1955" t="str">
        <f>IFERROR(__xludf.DUMMYFUNCTION("""COMPUTED_VALUE"""),"Sabun batang 1 Box ( 2 PCS )")</f>
        <v>Sabun batang 1 Box ( 2 PCS )</v>
      </c>
      <c r="H1955" s="469"/>
      <c r="I1955" s="470"/>
      <c r="J1955" s="471" t="str">
        <f>IFERROR(__xludf.DUMMYFUNCTION("""COMPUTED_VALUE"""),"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"&amp;"22placeholder_origin_cover%22%3A%22https%253A%252F%252Fp16-common-sign.tiktokcdn.com%252Ftos-alisg-p-0037%252Fo8fO8AM1hZeDgXj1TZgNKQoIABetCT1Aj7WrQE~tplv-tiktokx-origin.jpeg%253Fdr%253D14572%2526refresh_token%253Db34d4f83%2526x-expires%253D1808992800%2526"&amp;"x-signature%253D5d%25252BwOsNi1vQGg3hT4qvK4L51k%25252FQ%25253D%2526t%253D4d5b0474%2526ps%253D13740610%2526shp%253Dd05b14bd%2526shcp%253D34ff8df6%2526idc%253Dmy2%2526s%253DTIKTOK_AFFILIATE_VIRAL_VIDEO%22%2C%22placeholder_product_id%22%3A%221729427766722726"&amp;"591%22%2C%22placeholder_video_id%22%3A%227632292373736803591%22%7D&amp;ec_shared_reflux_scene=shop_tab_feed&amp;share_item_id=7632292373736803591&amp;source=h5_t")</f>
        <v>https://www.tiktok.com/@rositaramdani7/video/7632292373736803591?_r=1&amp;u_code=f1489jb4bi84e9&amp;region=&amp;mid=7541117563804502790&amp;preview_pb=0&amp;sharer_language=&amp;_d=0&amp;ec_shared_reflux_dynamic_params=%7B%22placeholder_material_id%22%3A%227632292373736803591%22%2C%22placeholder_origin_cover%22%3A%22https%253A%252F%252Fp16-common-sign.tiktokcdn.com%252Ftos-alisg-p-0037%252Fo8fO8AM1hZeDgXj1TZgNKQoIABetCT1Aj7WrQE~tplv-tiktokx-origin.jpeg%253Fdr%253D14572%2526refresh_token%253Db34d4f83%2526x-expires%253D1808992800%2526x-signature%253D5d%25252BwOsNi1vQGg3hT4qvK4L51k%25252FQ%25253D%2526t%253D4d5b0474%2526ps%253D13740610%2526shp%253Dd05b14bd%2526shcp%253D34ff8df6%2526idc%253Dmy2%2526s%253DTIKTOK_AFFILIATE_VIRAL_VIDEO%22%2C%22placeholder_product_id%22%3A%221729427766722726591%22%2C%22placeholder_video_id%22%3A%227632292373736803591%22%7D&amp;ec_shared_reflux_scene=shop_tab_feed&amp;share_item_id=7632292373736803591&amp;source=h5_t</v>
      </c>
      <c r="K1955" s="470"/>
      <c r="L1955" s="471" t="str">
        <f>IFERROR(__xludf.DUMMYFUNCTION("""COMPUTED_VALUE"""),"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"&amp;"22placeholder_origin_cover%22%3A%22https%253A%252F%252Fp16-common-sign.tiktokcdn.com%252Ftos-alisg-p-0037%252FogtrPig6fAI1VtrDCBRpT4Bw9iBciEOXRfDIQy~tplv-tiktokx-origin.jpeg%253Fdr%253D14572%2526refresh_token%253Da7dfb7b6%2526x-expires%253D1808992800%2526"&amp;"x-signature%253DBLfnFU%25252FucpfNa%25252FqJkuXBbFXM3IE%25253D%2526t%253D4d5b0474%2526ps%253D13740610%2526shp%253Dd05b14bd%2526shcp%253D34ff8df6%2526idc%253Dmy2%2526s%253DTIKTOK_AFFILIATE_VIRAL_VIDEO%22%2C%22placeholder_product_id%22%3A%221729427766722726"&amp;"591%22%2C%22placeholder_video_id%22%3A%227632466134771453202%22%7D&amp;ec_shared_reflux_scene=shop_tab_feed&amp;share_item_id=7632466134771453202&amp;source=h5_t")</f>
        <v>https://www.tiktok.com/@rositaramdani7/video/7632466134771453202?_r=1&amp;u_code=f1489jb4bi84e9&amp;region=&amp;mid=7591377536513985281&amp;preview_pb=0&amp;sharer_language=&amp;_d=0&amp;ec_shared_reflux_dynamic_params=%7B%22placeholder_material_id%22%3A%227632466134771453202%22%2C%22placeholder_origin_cover%22%3A%22https%253A%252F%252Fp16-common-sign.tiktokcdn.com%252Ftos-alisg-p-0037%252FogtrPig6fAI1VtrDCBRpT4Bw9iBciEOXRfDIQy~tplv-tiktokx-origin.jpeg%253Fdr%253D14572%2526refresh_token%253Da7dfb7b6%2526x-expires%253D1808992800%2526x-signature%253DBLfnFU%25252FucpfNa%25252FqJkuXBbFXM3IE%25253D%2526t%253D4d5b0474%2526ps%253D13740610%2526shp%253Dd05b14bd%2526shcp%253D34ff8df6%2526idc%253Dmy2%2526s%253DTIKTOK_AFFILIATE_VIRAL_VIDEO%22%2C%22placeholder_product_id%22%3A%221729427766722726591%22%2C%22placeholder_video_id%22%3A%227632466134771453202%22%7D&amp;ec_shared_reflux_scene=shop_tab_feed&amp;share_item_id=7632466134771453202&amp;source=h5_t</v>
      </c>
      <c r="M1955" s="470"/>
      <c r="N1955" s="471" t="str">
        <f>IFERROR(__xludf.DUMMYFUNCTION("""COMPUTED_VALUE"""),"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"&amp;"22placeholder_origin_cover%22%3A%22https%253A%252F%252Fp16-common-sign.tiktokcdn.com%252Ftos-alisg-p-0037%252Fow724I9IGp8GJCSiAIeZAtCBfL0WETDI55ejBs~tplv-tiktokx-origin.jpeg%253Fdr%253D14572%2526refresh_token%253D974a53c8%2526x-expires%253D1808992800%2526"&amp;"x-signature%253DbBhbMoNFUGaDXGV%25252F1hVcSOsTVPM%25253D%2526t%253D4d5b0474%2526ps%253D13740610%2526shp%253Dd05b14bd%2526shcp%253D34ff8df6%2526idc%253Dmy2%2526s%253DTIKTOK_AFFILIATE_VIRAL_VIDEO%22%2C%22placeholder_product_id%22%3A%221729427766722726591%22"&amp;"%2C%22placeholder_video_id%22%3A%227632556344465231122%22%7D&amp;ec_shared_reflux_scene=shop_tab_feed&amp;share_item_id=7632556344465231122&amp;source=h5_t")</f>
        <v>https://www.tiktok.com/@rositaramdani7/video/7632556344465231122?_r=1&amp;u_code=f1489jb4bi84e9&amp;region=&amp;mid=7523278045806905345&amp;preview_pb=0&amp;sharer_language=&amp;_d=0&amp;ec_shared_reflux_dynamic_params=%7B%22placeholder_material_id%22%3A%227632556344465231122%22%2C%22placeholder_origin_cover%22%3A%22https%253A%252F%252Fp16-common-sign.tiktokcdn.com%252Ftos-alisg-p-0037%252Fow724I9IGp8GJCSiAIeZAtCBfL0WETDI55ejBs~tplv-tiktokx-origin.jpeg%253Fdr%253D14572%2526refresh_token%253D974a53c8%2526x-expires%253D1808992800%2526x-signature%253DbBhbMoNFUGaDXGV%25252F1hVcSOsTVPM%25253D%2526t%253D4d5b0474%2526ps%253D13740610%2526shp%253Dd05b14bd%2526shcp%253D34ff8df6%2526idc%253Dmy2%2526s%253DTIKTOK_AFFILIATE_VIRAL_VIDEO%22%2C%22placeholder_product_id%22%3A%221729427766722726591%22%2C%22placeholder_video_id%22%3A%227632556344465231122%22%7D&amp;ec_shared_reflux_scene=shop_tab_feed&amp;share_item_id=7632556344465231122&amp;source=h5_t</v>
      </c>
      <c r="O1955" s="470"/>
      <c r="P1955" s="471" t="str">
        <f>IFERROR(__xludf.DUMMYFUNCTION("""COMPUTED_VALUE"""),"https://www.tiktok.com/@rositaramdani7/video/7632840621039914248?_d=0&amp;_r=1&amp;ec_shared_reflux_dynamic_params=%7B%22placeholder_material_id%22%3A%227632840621039914248%22%2C%22placeholder_origin_cover%22%3A%22https%253A%252F%252Fp16-common-sign.tiktokcdn.com"&amp;"%252Ftos-alisg-p-0037%252Fo4Tq0AI4XCBVwjAWIYrCAIztJuiCI9hiVLCQfh~tplv-tiktokx-origin.jpeg%253Fdr%253D14572%2526refresh_token%253D142f2fad%2526x-expires%253D1808992800%2526x-signature%253DHpeIR5KLtc6wc1RTiJXRcQO8fOs%25253D%2526t%253D4d5b0474%2526ps%253D137"&amp;"40610%2526shp%253Dd05b14bd%2526shcp%253D34ff8df6%2526idc%253Dmy2%2526s%253DTIKTOK_AFFILIATE_VIRAL_VIDEO%22%2C%22placeholder_product_id%22%3A%221729427766722726591%22%2C%22placeholder_video_id%22%3A%227632840621039914248%22%7D&amp;ec_shared_reflux_scene=shop_t"&amp;"ab_feed&amp;mid=7591377536513985281&amp;preview_pb=0&amp;region=&amp;share_item_id=7632840621039914248&amp;sharer_language=&amp;source=h5_t&amp;u_code=f1489jb4bi84e9")</f>
        <v>https://www.tiktok.com/@rositaramdani7/video/7632840621039914248?_d=0&amp;_r=1&amp;ec_shared_reflux_dynamic_params=%7B%22placeholder_material_id%22%3A%227632840621039914248%22%2C%22placeholder_origin_cover%22%3A%22https%253A%252F%252Fp16-common-sign.tiktokcdn.com%252Ftos-alisg-p-0037%252Fo4Tq0AI4XCBVwjAWIYrCAIztJuiCI9hiVLCQfh~tplv-tiktokx-origin.jpeg%253Fdr%253D14572%2526refresh_token%253D142f2fad%2526x-expires%253D1808992800%2526x-signature%253DHpeIR5KLtc6wc1RTiJXRcQO8fOs%25253D%2526t%253D4d5b0474%2526ps%253D13740610%2526shp%253Dd05b14bd%2526shcp%253D34ff8df6%2526idc%253Dmy2%2526s%253DTIKTOK_AFFILIATE_VIRAL_VIDEO%22%2C%22placeholder_product_id%22%3A%221729427766722726591%22%2C%22placeholder_video_id%22%3A%227632840621039914248%22%7D&amp;ec_shared_reflux_scene=shop_tab_feed&amp;mid=7591377536513985281&amp;preview_pb=0&amp;region=&amp;share_item_id=7632840621039914248&amp;sharer_language=&amp;source=h5_t&amp;u_code=f1489jb4bi84e9</v>
      </c>
    </row>
    <row r="1956">
      <c r="A1956" s="282" t="str">
        <f>IFERROR(__xludf.DUMMYFUNCTION("""COMPUTED_VALUE"""),"MICRO")</f>
        <v>MICRO</v>
      </c>
      <c r="B1956" s="468" t="str">
        <f>IFERROR(__xludf.DUMMYFUNCTION("""COMPUTED_VALUE"""),"r4ch3l97")</f>
        <v>r4ch3l97</v>
      </c>
      <c r="C1956" s="283" t="str">
        <f>IFERROR(__xludf.DUMMYFUNCTION("""COMPUTED_VALUE"""),"https://www.tiktok.com/@r4ch3l97")</f>
        <v>https://www.tiktok.com/@r4ch3l97</v>
      </c>
      <c r="D1956" s="273"/>
      <c r="E1956" s="458">
        <f>IFERROR(__xludf.DUMMYFUNCTION("""COMPUTED_VALUE"""),0.0)</f>
        <v>0</v>
      </c>
      <c r="F1956" s="273">
        <f>IFERROR(__xludf.DUMMYFUNCTION("""COMPUTED_VALUE"""),3.0)</f>
        <v>3</v>
      </c>
      <c r="G1956" t="str">
        <f>IFERROR(__xludf.DUMMYFUNCTION("""COMPUTED_VALUE"""),"Sabun batang 1 Box ( 2 PCS )")</f>
        <v>Sabun batang 1 Box ( 2 PCS )</v>
      </c>
      <c r="H1956" s="469"/>
      <c r="I1956" s="470"/>
      <c r="J1956" s="471" t="str">
        <f>IFERROR(__xludf.DUMMYFUNCTION("""COMPUTED_VALUE"""),"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"&amp;"eholder_origin_cover%22%3A%22https%253A%252F%252Fp16-common-sign.tiktokcdn.com%252Ftos-alisg-p-0037%252Fokej83InNuARId4oIVGPkcAQGeAeLDBS0CHTZQ~tplv-tiktokx-origin.jpeg%253Fdr%253D14572%2526refresh_token%253D3b7eb85d%2526x-expires%253D1808992800%2526x-sign"&amp;"ature%253DzhyQY%25252Bd9E%25252FZMgX7MRj4vEnlPr%25252BI%25253D%2526t%253D4d5b0474%2526ps%253D13740610%2526shp%253Dd05b14bd%2526shcp%253D34ff8df6%2526idc%253Dmy2%2526s%253DTIKTOK_AFFILIATE_VIRAL_VIDEO%22%2C%22placeholder_product_id%22%3A%221729427766722726"&amp;"591%22%2C%22placeholder_video_id%22%3A%227633259666696391954%22%7D&amp;ec_shared_reflux_scene=shop_tab_feed&amp;share_item_id=7633259666696391954&amp;source=h5_t")</f>
        <v>https://www.tiktok.com/@r4ch3l97/video/7633259666696391954?_r=1&amp;u_code=cldmi5jk2e7aaf&amp;region=&amp;mid=7633259722779085575&amp;preview_pb=0&amp;sharer_language=&amp;_d=0&amp;ec_shared_reflux_dynamic_params=%7B%22placeholder_material_id%22%3A%227633259666696391954%22%2C%22placeholder_origin_cover%22%3A%22https%253A%252F%252Fp16-common-sign.tiktokcdn.com%252Ftos-alisg-p-0037%252Fokej83InNuARId4oIVGPkcAQGeAeLDBS0CHTZQ~tplv-tiktokx-origin.jpeg%253Fdr%253D14572%2526refresh_token%253D3b7eb85d%2526x-expires%253D1808992800%2526x-signature%253DzhyQY%25252Bd9E%25252FZMgX7MRj4vEnlPr%25252BI%25253D%2526t%253D4d5b0474%2526ps%253D13740610%2526shp%253Dd05b14bd%2526shcp%253D34ff8df6%2526idc%253Dmy2%2526s%253DTIKTOK_AFFILIATE_VIRAL_VIDEO%22%2C%22placeholder_product_id%22%3A%221729427766722726591%22%2C%22placeholder_video_id%22%3A%227633259666696391954%22%7D&amp;ec_shared_reflux_scene=shop_tab_feed&amp;share_item_id=7633259666696391954&amp;source=h5_t</v>
      </c>
      <c r="K1956" s="470"/>
      <c r="L1956" s="471" t="str">
        <f>IFERROR(__xludf.DUMMYFUNCTION("""COMPUTED_VALUE"""),"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"&amp;"eholder_origin_cover%22%3A%22https%253A%252F%252Fp16-common-sign.tiktokcdn.com%252Ftos-alisg-p-0037%252FoEvtB2BmQIJJbKvDCITIgGKC4QfW4c8eAAeLPj~tplv-tiktokx-origin.jpeg%253Fdr%253D14572%2526refresh_token%253D14b8e5a1%2526x-expires%253D1808992800%2526x-sign"&amp;"ature%253DsBKNRZM9NlGgABGP%25252Bi5CuTVSWFg%25253D%2526t%253D4d5b0474%2526ps%253D13740610%2526shp%253Dd05b14bd%2526shcp%253D34ff8df6%2526idc%253Dmy2%2526s%253DTIKTOK_AFFILIATE_VIRAL_VIDEO%22%2C%22placeholder_product_id%22%3A%221729427766722726591%22%2C%22"&amp;"placeholder_video_id%22%3A%227633619284236799240%22%7D&amp;ec_shared_reflux_scene=shop_tab_feed&amp;share_item_id=7633619284236799240&amp;source=h5_t")</f>
        <v>https://www.tiktok.com/@r4ch3l97/video/7633619284236799240?_r=1&amp;u_code=cldmi5jk2e7aaf&amp;region=&amp;mid=7573609115340326929&amp;preview_pb=0&amp;sharer_language=&amp;_d=0&amp;ec_shared_reflux_dynamic_params=%7B%22placeholder_material_id%22%3A%227633619284236799240%22%2C%22placeholder_origin_cover%22%3A%22https%253A%252F%252Fp16-common-sign.tiktokcdn.com%252Ftos-alisg-p-0037%252FoEvtB2BmQIJJbKvDCITIgGKC4QfW4c8eAAeLPj~tplv-tiktokx-origin.jpeg%253Fdr%253D14572%2526refresh_token%253D14b8e5a1%2526x-expires%253D1808992800%2526x-signature%253DsBKNRZM9NlGgABGP%25252Bi5CuTVSWFg%25253D%2526t%253D4d5b0474%2526ps%253D13740610%2526shp%253Dd05b14bd%2526shcp%253D34ff8df6%2526idc%253Dmy2%2526s%253DTIKTOK_AFFILIATE_VIRAL_VIDEO%22%2C%22placeholder_product_id%22%3A%221729427766722726591%22%2C%22placeholder_video_id%22%3A%227633619284236799240%22%7D&amp;ec_shared_reflux_scene=shop_tab_feed&amp;share_item_id=7633619284236799240&amp;source=h5_t</v>
      </c>
      <c r="M1956" s="470"/>
      <c r="N1956" s="471" t="str">
        <f>IFERROR(__xludf.DUMMYFUNCTION("""COMPUTED_VALUE"""),"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"&amp;"eholder_origin_cover%22%3A%22https%253A%252F%252Fp16-sign-sg.tiktokcdn.com%252Ftos-alisg-p-0037%252Fo03hfABezYXBDiRNp9OP7BUEgIxxBiEINkwKiH~tplv-tiktokx-origin.jpeg%253Fdr%253D14572%2526refresh_token%253D2b3edbd9%2526x-expires%253D1808992800%2526x-signatur"&amp;"e%253DuF7qjx32DHmqMM4GzKo0wROx5Eg%25253D%2526t%253D4d5b0474%2526ps%253D13740610%2526shp%253Dd05b14bd%2526shcp%253D34ff8df6%2526idc%253Dmy2%2526s%253DTIKTOK_AFFILIATE_VIRAL_VIDEO%22%2C%22placeholder_product_id%22%3A%221729427766722726591%22%2C%22placeholde"&amp;"r_video_id%22%3A%227633988561930423560%22%7D&amp;ec_shared_reflux_scene=shop_tab_feed&amp;share_item_id=7633988561930423560&amp;source=h5_t")</f>
        <v>https://www.tiktok.com/@r4ch3l97/video/7633988561930423560?_r=1&amp;u_code=cldmi5jk2e7aaf&amp;region=&amp;mid=7633988619037215506&amp;preview_pb=0&amp;sharer_language=&amp;_d=0&amp;ec_shared_reflux_dynamic_params=%7B%22placeholder_material_id%22%3A%227633988561930423560%22%2C%22placeholder_origin_cover%22%3A%22https%253A%252F%252Fp16-sign-sg.tiktokcdn.com%252Ftos-alisg-p-0037%252Fo03hfABezYXBDiRNp9OP7BUEgIxxBiEINkwKiH~tplv-tiktokx-origin.jpeg%253Fdr%253D14572%2526refresh_token%253D2b3edbd9%2526x-expires%253D1808992800%2526x-signature%253DuF7qjx32DHmqMM4GzKo0wROx5Eg%25253D%2526t%253D4d5b0474%2526ps%253D13740610%2526shp%253Dd05b14bd%2526shcp%253D34ff8df6%2526idc%253Dmy2%2526s%253DTIKTOK_AFFILIATE_VIRAL_VIDEO%22%2C%22placeholder_product_id%22%3A%221729427766722726591%22%2C%22placeholder_video_id%22%3A%227633988561930423560%22%7D&amp;ec_shared_reflux_scene=shop_tab_feed&amp;share_item_id=7633988561930423560&amp;source=h5_t</v>
      </c>
      <c r="O1956" s="470"/>
      <c r="P1956" s="471" t="str">
        <f>IFERROR(__xludf.DUMMYFUNCTION("""COMPUTED_VALUE"""),"https://vt.tiktok.com/ZSxfCLAv5/")</f>
        <v>https://vt.tiktok.com/ZSxfCLAv5/</v>
      </c>
    </row>
    <row r="1957">
      <c r="A1957" s="282" t="str">
        <f>IFERROR(__xludf.DUMMYFUNCTION("""COMPUTED_VALUE"""),"MICRO")</f>
        <v>MICRO</v>
      </c>
      <c r="B1957" s="468" t="str">
        <f>IFERROR(__xludf.DUMMYFUNCTION("""COMPUTED_VALUE"""),"belanja_hemat.shop
")</f>
        <v>belanja_hemat.shop
</v>
      </c>
      <c r="C1957" s="283" t="str">
        <f>IFERROR(__xludf.DUMMYFUNCTION("""COMPUTED_VALUE"""),"https://www.tiktok.com/@belanja_hemat.shop
")</f>
        <v>https://www.tiktok.com/@belanja_hemat.shop
</v>
      </c>
      <c r="D1957" s="273"/>
      <c r="E1957" s="458">
        <f>IFERROR(__xludf.DUMMYFUNCTION("""COMPUTED_VALUE"""),0.0)</f>
        <v>0</v>
      </c>
      <c r="F1957" s="273">
        <f>IFERROR(__xludf.DUMMYFUNCTION("""COMPUTED_VALUE"""),4.0)</f>
        <v>4</v>
      </c>
      <c r="G1957" t="str">
        <f>IFERROR(__xludf.DUMMYFUNCTION("""COMPUTED_VALUE"""),"Sabun batang 1 Box ( 2 PCS )")</f>
        <v>Sabun batang 1 Box ( 2 PCS )</v>
      </c>
      <c r="H1957" s="469"/>
      <c r="I1957" s="470"/>
      <c r="J1957" s="471" t="str">
        <f>IFERROR(__xludf.DUMMYFUNCTION("""COMPUTED_VALUE"""),"https://www.tiktok.com/@belanja_hemat.shop/video/7629926744312548615?_r=1&amp;u_code=ek6h2252jijmih&amp;region=&amp;mid=7395415388382824464&amp;preview_pb=0&amp;sharer_language=&amp;_d=0&amp;ec_shared_reflux_dynamic_params=%7B%22placeholder_material_id%22%3A%227629926744312548615%22"&amp;"%2C%22placeholder_origin_cover%22%3A%22https%253A%252F%252Fp16-sign-sg.tiktokcdn.com%252Ftos-alisg-p-0037%252FogARLXupOi5fMxsvG8GFedRoAQQmGeGAPnfVBh~tplv-tiktokx-origin.jpeg%253Fdr%253D14572%2526refresh_token%253D0bc3ef94%2526x-expires%253D1808992800%2526"&amp;"x-signature%253DCbDvTxf0YgqWOaOAOjYGyzVeMR4%25253D%2526t%253D4d5b0474%2526ps%253D13740610%2526shp%253Dd05b14bd%2526shcp%253D34ff8df6%2526idc%253Dmy2%2526s%253DTIKTOK_AFFILIATE_VIRAL_VIDEO%22%2C%22placeholder_product_id%22%3A%221729427766722726591%22%2C%22"&amp;"placeholder_video_id%22%3A%227629926744312548615%22%7D&amp;ec_shared_reflux_scene=shop_tab_feed&amp;share_item_id=7629926744312548615&amp;source=h5_t")</f>
        <v>https://www.tiktok.com/@belanja_hemat.shop/video/7629926744312548615?_r=1&amp;u_code=ek6h2252jijmih&amp;region=&amp;mid=7395415388382824464&amp;preview_pb=0&amp;sharer_language=&amp;_d=0&amp;ec_shared_reflux_dynamic_params=%7B%22placeholder_material_id%22%3A%227629926744312548615%22%2C%22placeholder_origin_cover%22%3A%22https%253A%252F%252Fp16-sign-sg.tiktokcdn.com%252Ftos-alisg-p-0037%252FogARLXupOi5fMxsvG8GFedRoAQQmGeGAPnfVBh~tplv-tiktokx-origin.jpeg%253Fdr%253D14572%2526refresh_token%253D0bc3ef94%2526x-expires%253D1808992800%2526x-signature%253DCbDvTxf0YgqWOaOAOjYGyzVeMR4%25253D%2526t%253D4d5b0474%2526ps%253D13740610%2526shp%253Dd05b14bd%2526shcp%253D34ff8df6%2526idc%253Dmy2%2526s%253DTIKTOK_AFFILIATE_VIRAL_VIDEO%22%2C%22placeholder_product_id%22%3A%221729427766722726591%22%2C%22placeholder_video_id%22%3A%227629926744312548615%22%7D&amp;ec_shared_reflux_scene=shop_tab_feed&amp;share_item_id=7629926744312548615&amp;source=h5_t</v>
      </c>
      <c r="K1957" s="470"/>
      <c r="L1957" s="471" t="str">
        <f>IFERROR(__xludf.DUMMYFUNCTION("""COMPUTED_VALUE"""),"https://www.tiktok.com/@belanja_hemat.shop/video/7630068304346074375?_r=1&amp;u_code=ek6h2252jijmih&amp;region=&amp;mid=7502446149192567607&amp;preview_pb=0&amp;sharer_language=&amp;_d=0&amp;ec_shared_reflux_dynamic_params=%7B%22placeholder_material_id%22%3A%227630068304346074375%22"&amp;"%2C%22placeholder_origin_cover%22%3A%22https%253A%252F%252Fp16-common-sign.tiktokcdn.com%252Ftos-alisg-p-0037%252FoY0jIj6CABiiHw6UKcYAvir4yAqkkIDPINeK4B~tplv-tiktokx-origin.jpeg%253Fdr%253D14572%2526refresh_token%253Dc394bf07%2526x-expires%253D1808992800%"&amp;"2526x-signature%253D%25252FXFHLg710N9EHbaT4qukgslNM%25252F0%25253D%2526t%253D4d5b0474%2526ps%253D13740610%2526shp%253Dd05b14bd%2526shcp%253D34ff8df6%2526idc%253Dmy2%2526s%253DTIKTOK_AFFILIATE_VIRAL_VIDEO%22%2C%22placeholder_product_id%22%3A%22172942776672"&amp;"2726591%22%2C%22placeholder_video_id%22%3A%227630068304346074375%22%7D&amp;ec_shared_reflux_scene=shop_tab_feed&amp;share_item_id=7630068304346074375&amp;source=h5_t")</f>
        <v>https://www.tiktok.com/@belanja_hemat.shop/video/7630068304346074375?_r=1&amp;u_code=ek6h2252jijmih&amp;region=&amp;mid=7502446149192567607&amp;preview_pb=0&amp;sharer_language=&amp;_d=0&amp;ec_shared_reflux_dynamic_params=%7B%22placeholder_material_id%22%3A%227630068304346074375%22%2C%22placeholder_origin_cover%22%3A%22https%253A%252F%252Fp16-common-sign.tiktokcdn.com%252Ftos-alisg-p-0037%252FoY0jIj6CABiiHw6UKcYAvir4yAqkkIDPINeK4B~tplv-tiktokx-origin.jpeg%253Fdr%253D14572%2526refresh_token%253Dc394bf07%2526x-expires%253D1808992800%2526x-signature%253D%25252FXFHLg710N9EHbaT4qukgslNM%25252F0%25253D%2526t%253D4d5b0474%2526ps%253D13740610%2526shp%253Dd05b14bd%2526shcp%253D34ff8df6%2526idc%253Dmy2%2526s%253DTIKTOK_AFFILIATE_VIRAL_VIDEO%22%2C%22placeholder_product_id%22%3A%221729427766722726591%22%2C%22placeholder_video_id%22%3A%227630068304346074375%22%7D&amp;ec_shared_reflux_scene=shop_tab_feed&amp;share_item_id=7630068304346074375&amp;source=h5_t</v>
      </c>
      <c r="M1957" s="470"/>
      <c r="N1957" s="471" t="str">
        <f>IFERROR(__xludf.DUMMYFUNCTION("""COMPUTED_VALUE"""),"https://www.tiktok.com/@belanja_hemat.shop/video/7630083439080852744?_r=1&amp;u_code=ek6h2252jijmih&amp;region=&amp;mid=7502446149192567607&amp;preview_pb=0&amp;sharer_language=&amp;_d=0&amp;ec_shared_reflux_dynamic_params=%7B%22placeholder_material_id%22%3A%227630083439080852744%22"&amp;"%2C%22placeholder_origin_cover%22%3A%22https%253A%252F%252Fp16-common-sign.tiktokcdn.com%252Ftos-alisg-p-0037%252FoEONqiBlICA7hICZgjiI3AAAgBswH8WOe0PpIT~tplv-tiktokx-origin.jpeg%253Fdr%253D14572%2526refresh_token%253Dc5a3bd01%2526x-expires%253D1808992800%"&amp;"2526x-signature%253DmHrmToRfBoDI76E5SnS33jucUxo%25253D%2526t%253D4d5b0474%2526ps%253D13740610%2526shp%253Dd05b14bd%2526shcp%253D34ff8df6%2526idc%253Dmy2%2526s%253DTIKTOK_AFFILIATE_VIRAL_VIDEO%22%2C%22placeholder_product_id%22%3A%221729427766722726591%22%2"&amp;"C%22placeholder_video_id%22%3A%227630083439080852744%22%7D&amp;ec_shared_reflux_scene=shop_tab_feed&amp;share_item_id=7630083439080852744&amp;source=h5_t")</f>
        <v>https://www.tiktok.com/@belanja_hemat.shop/video/7630083439080852744?_r=1&amp;u_code=ek6h2252jijmih&amp;region=&amp;mid=7502446149192567607&amp;preview_pb=0&amp;sharer_language=&amp;_d=0&amp;ec_shared_reflux_dynamic_params=%7B%22placeholder_material_id%22%3A%227630083439080852744%22%2C%22placeholder_origin_cover%22%3A%22https%253A%252F%252Fp16-common-sign.tiktokcdn.com%252Ftos-alisg-p-0037%252FoEONqiBlICA7hICZgjiI3AAAgBswH8WOe0PpIT~tplv-tiktokx-origin.jpeg%253Fdr%253D14572%2526refresh_token%253Dc5a3bd01%2526x-expires%253D1808992800%2526x-signature%253DmHrmToRfBoDI76E5SnS33jucUxo%25253D%2526t%253D4d5b0474%2526ps%253D13740610%2526shp%253Dd05b14bd%2526shcp%253D34ff8df6%2526idc%253Dmy2%2526s%253DTIKTOK_AFFILIATE_VIRAL_VIDEO%22%2C%22placeholder_product_id%22%3A%221729427766722726591%22%2C%22placeholder_video_id%22%3A%227630083439080852744%22%7D&amp;ec_shared_reflux_scene=shop_tab_feed&amp;share_item_id=7630083439080852744&amp;source=h5_t</v>
      </c>
      <c r="O1957" s="470"/>
      <c r="P1957" s="471" t="str">
        <f>IFERROR(__xludf.DUMMYFUNCTION("""COMPUTED_VALUE"""),"https://www.tiktok.com/@belanja_hemat.shop/video/7630283480441621767?_r=1&amp;u_code=ek6h2252jijmih&amp;region=&amp;mid=7615963521880558357&amp;preview_pb=0&amp;sharer_language=&amp;_d=0&amp;ec_shared_reflux_dynamic_params=%7B%22placeholder_material_id%22%3A%227630283480441621767%22"&amp;"%2C%22placeholder_origin_cover%22%3A%22https%253A%252F%252Fp16-sign-sg.tiktokcdn.com%252Ftos-alisg-p-0037%252FowLgThbTAvZEDmUpRgqBBrYOOEQeQEFIpPa5fD~tplv-tiktokx-origin.jpeg%253Fdr%253D14572%2526refresh_token%253D7028f3e9%2526x-expires%253D1808992800%2526"&amp;"x-signature%253Dm8NIDbYtD8vdd9sCzAcHHhWysZQ%25253D%2526t%253D4d5b0474%2526ps%253D13740610%2526shp%253Dd05b14bd%2526shcp%253D34ff8df6%2526idc%253Dmy2%2526s%253DTIKTOK_AFFILIATE_VIRAL_VIDEO%22%2C%22placeholder_product_id%22%3A%221729427766722726591%22%2C%22"&amp;"placeholder_video_id%22%3A%227630283480441621767%22%7D&amp;ec_shared_reflux_scene=shop_tab_feed&amp;share_item_id=7630283480441621767&amp;source=h5_t")</f>
        <v>https://www.tiktok.com/@belanja_hemat.shop/video/7630283480441621767?_r=1&amp;u_code=ek6h2252jijmih&amp;region=&amp;mid=7615963521880558357&amp;preview_pb=0&amp;sharer_language=&amp;_d=0&amp;ec_shared_reflux_dynamic_params=%7B%22placeholder_material_id%22%3A%227630283480441621767%22%2C%22placeholder_origin_cover%22%3A%22https%253A%252F%252Fp16-sign-sg.tiktokcdn.com%252Ftos-alisg-p-0037%252FowLgThbTAvZEDmUpRgqBBrYOOEQeQEFIpPa5fD~tplv-tiktokx-origin.jpeg%253Fdr%253D14572%2526refresh_token%253D7028f3e9%2526x-expires%253D1808992800%2526x-signature%253Dm8NIDbYtD8vdd9sCzAcHHhWysZQ%25253D%2526t%253D4d5b0474%2526ps%253D13740610%2526shp%253Dd05b14bd%2526shcp%253D34ff8df6%2526idc%253Dmy2%2526s%253DTIKTOK_AFFILIATE_VIRAL_VIDEO%22%2C%22placeholder_product_id%22%3A%221729427766722726591%22%2C%22placeholder_video_id%22%3A%227630283480441621767%22%7D&amp;ec_shared_reflux_scene=shop_tab_feed&amp;share_item_id=7630283480441621767&amp;source=h5_t</v>
      </c>
    </row>
    <row r="1958">
      <c r="A1958" s="282" t="str">
        <f>IFERROR(__xludf.DUMMYFUNCTION("""COMPUTED_VALUE"""),"MICRO")</f>
        <v>MICRO</v>
      </c>
      <c r="B1958" s="468" t="str">
        <f>IFERROR(__xludf.DUMMYFUNCTION("""COMPUTED_VALUE"""),"delladewintaaa ")</f>
        <v>delladewintaaa </v>
      </c>
      <c r="C1958" s="283" t="str">
        <f>IFERROR(__xludf.DUMMYFUNCTION("""COMPUTED_VALUE"""),"https://www.tiktok.com/@delladewintaaa ")</f>
        <v>https://www.tiktok.com/@delladewintaaa </v>
      </c>
      <c r="D1958" s="273">
        <f>IFERROR(__xludf.DUMMYFUNCTION("""COMPUTED_VALUE"""),8.5793590723E10)</f>
        <v>85793590723</v>
      </c>
      <c r="E1958" s="458">
        <f>IFERROR(__xludf.DUMMYFUNCTION("""COMPUTED_VALUE"""),0.0)</f>
        <v>0</v>
      </c>
      <c r="F1958" s="273">
        <f>IFERROR(__xludf.DUMMYFUNCTION("""COMPUTED_VALUE"""),2.0)</f>
        <v>2</v>
      </c>
      <c r="G1958" t="str">
        <f>IFERROR(__xludf.DUMMYFUNCTION("""COMPUTED_VALUE"""),"Sabun batang 1 Box ( 2 PCS )")</f>
        <v>Sabun batang 1 Box ( 2 PCS )</v>
      </c>
      <c r="H1958" s="469"/>
      <c r="I1958" s="470"/>
      <c r="J1958" t="str">
        <f>IFERROR(__xludf.DUMMYFUNCTION("""COMPUTED_VALUE"""),"⁠https://vt.tiktok.com/ZSQeAKRfH/")</f>
        <v>⁠https://vt.tiktok.com/ZSQeAKRfH/</v>
      </c>
      <c r="K1958" s="470"/>
      <c r="L1958" s="471" t="str">
        <f>IFERROR(__xludf.DUMMYFUNCTION("""COMPUTED_VALUE"""),"https://vt.tiktok.com/ZSQeDFYer/")</f>
        <v>https://vt.tiktok.com/ZSQeDFYer/</v>
      </c>
      <c r="M1958" s="470"/>
      <c r="N1958" t="str">
        <f>IFERROR(__xludf.DUMMYFUNCTION("""COMPUTED_VALUE"""),"⁠https://vt.tiktok.com/ZSQeAwXho/")</f>
        <v>⁠https://vt.tiktok.com/ZSQeAwXho/</v>
      </c>
      <c r="O1958" s="470"/>
      <c r="P1958" s="471" t="str">
        <f>IFERROR(__xludf.DUMMYFUNCTION("""COMPUTED_VALUE"""),"https://vt.tiktok.com/ZSQeDRTFh/")</f>
        <v>https://vt.tiktok.com/ZSQeDRTFh/</v>
      </c>
    </row>
    <row r="1959">
      <c r="A1959" s="282" t="str">
        <f>IFERROR(__xludf.DUMMYFUNCTION("""COMPUTED_VALUE"""),"MICRO")</f>
        <v>MICRO</v>
      </c>
      <c r="B1959" s="468" t="str">
        <f>IFERROR(__xludf.DUMMYFUNCTION("""COMPUTED_VALUE"""),"estehmatchaaa._")</f>
        <v>estehmatchaaa._</v>
      </c>
      <c r="C1959" s="283" t="str">
        <f>IFERROR(__xludf.DUMMYFUNCTION("""COMPUTED_VALUE"""),"https://www.tiktok.com/@estehmatchaaa._")</f>
        <v>https://www.tiktok.com/@estehmatchaaa._</v>
      </c>
      <c r="D1959" s="273">
        <f>IFERROR(__xludf.DUMMYFUNCTION("""COMPUTED_VALUE"""),8.5382444201E10)</f>
        <v>85382444201</v>
      </c>
      <c r="E1959" s="458">
        <f>IFERROR(__xludf.DUMMYFUNCTION("""COMPUTED_VALUE"""),0.0)</f>
        <v>0</v>
      </c>
      <c r="F1959" s="273">
        <f>IFERROR(__xludf.DUMMYFUNCTION("""COMPUTED_VALUE"""),3.0)</f>
        <v>3</v>
      </c>
      <c r="G1959" t="str">
        <f>IFERROR(__xludf.DUMMYFUNCTION("""COMPUTED_VALUE"""),"Sabun batang 1 Box ( 2 PCS )")</f>
        <v>Sabun batang 1 Box ( 2 PCS )</v>
      </c>
      <c r="H1959" s="469"/>
      <c r="I1959" s="470"/>
      <c r="J1959" t="str">
        <f>IFERROR(__xludf.DUMMYFUNCTION("""COMPUTED_VALUE"""),"⁠https://vt.tiktok.com/ZSxoEYCUB/")</f>
        <v>⁠https://vt.tiktok.com/ZSxoEYCUB/</v>
      </c>
      <c r="K1959" s="470"/>
      <c r="L1959" t="str">
        <f>IFERROR(__xludf.DUMMYFUNCTION("""COMPUTED_VALUE"""),"⁠https://vt.tiktok.com/ZSxoEdceB/")</f>
        <v>⁠https://vt.tiktok.com/ZSxoEdceB/</v>
      </c>
      <c r="M1959" s="470"/>
      <c r="N1959" s="471" t="str">
        <f>IFERROR(__xludf.DUMMYFUNCTION("""COMPUTED_VALUE"""),"https://vt.tiktok.com/ZSxoKK763/")</f>
        <v>https://vt.tiktok.com/ZSxoKK763/</v>
      </c>
      <c r="O1959" s="470"/>
      <c r="P1959" t="str">
        <f>IFERROR(__xludf.DUMMYFUNCTION("""COMPUTED_VALUE"""),"⁠https://vt.tiktok.com/ZSQJ5oBsW/")</f>
        <v>⁠https://vt.tiktok.com/ZSQJ5oBsW/</v>
      </c>
    </row>
    <row r="1960">
      <c r="A1960" s="282" t="str">
        <f>IFERROR(__xludf.DUMMYFUNCTION("""COMPUTED_VALUE"""),"MICRO")</f>
        <v>MICRO</v>
      </c>
      <c r="B1960" s="468" t="str">
        <f>IFERROR(__xludf.DUMMYFUNCTION("""COMPUTED_VALUE"""),"by.shaka07")</f>
        <v>by.shaka07</v>
      </c>
      <c r="C1960" s="283" t="str">
        <f>IFERROR(__xludf.DUMMYFUNCTION("""COMPUTED_VALUE"""),"https://www.tiktok.com/@by.shaka07")</f>
        <v>https://www.tiktok.com/@by.shaka07</v>
      </c>
      <c r="D1960" s="273">
        <f>IFERROR(__xludf.DUMMYFUNCTION("""COMPUTED_VALUE"""),8.7883734459E10)</f>
        <v>87883734459</v>
      </c>
      <c r="E1960" s="458">
        <f>IFERROR(__xludf.DUMMYFUNCTION("""COMPUTED_VALUE"""),0.0)</f>
        <v>0</v>
      </c>
      <c r="F1960" s="273">
        <f>IFERROR(__xludf.DUMMYFUNCTION("""COMPUTED_VALUE"""),4.0)</f>
        <v>4</v>
      </c>
      <c r="G1960" t="str">
        <f>IFERROR(__xludf.DUMMYFUNCTION("""COMPUTED_VALUE"""),"Sabun batang 1 Box ( 2 PCS )")</f>
        <v>Sabun batang 1 Box ( 2 PCS )</v>
      </c>
      <c r="H1960" s="469"/>
      <c r="I1960" s="470"/>
      <c r="J1960" s="471" t="str">
        <f>IFERROR(__xludf.DUMMYFUNCTION("""COMPUTED_VALUE"""),"https://vt.tiktok.com/ZSQde1b4j/")</f>
        <v>https://vt.tiktok.com/ZSQde1b4j/</v>
      </c>
      <c r="K1960" s="470"/>
      <c r="L1960" t="str">
        <f>IFERROR(__xludf.DUMMYFUNCTION("""COMPUTED_VALUE"""),"⁠https://vt.tiktok.com/ZSQdJp43q/")</f>
        <v>⁠https://vt.tiktok.com/ZSQdJp43q/</v>
      </c>
      <c r="M1960" s="470"/>
      <c r="N1960" t="str">
        <f>IFERROR(__xludf.DUMMYFUNCTION("""COMPUTED_VALUE"""),"⁠https://vt.tiktok.com/ZSxoKE7YL/")</f>
        <v>⁠https://vt.tiktok.com/ZSxoKE7YL/</v>
      </c>
      <c r="O1960" s="470"/>
      <c r="P1960" t="str">
        <f>IFERROR(__xludf.DUMMYFUNCTION("""COMPUTED_VALUE"""),"⁠https://vt.tiktok.com/ZSxoEdBrW/")</f>
        <v>⁠https://vt.tiktok.com/ZSxoEdBrW/</v>
      </c>
    </row>
    <row r="1961">
      <c r="A1961" s="282" t="str">
        <f>IFERROR(__xludf.DUMMYFUNCTION("""COMPUTED_VALUE"""),"MICRO")</f>
        <v>MICRO</v>
      </c>
      <c r="B1961" s="468" t="str">
        <f>IFERROR(__xludf.DUMMYFUNCTION("""COMPUTED_VALUE"""),"dyla_store1 ")</f>
        <v>dyla_store1 </v>
      </c>
      <c r="C1961" s="283" t="str">
        <f>IFERROR(__xludf.DUMMYFUNCTION("""COMPUTED_VALUE"""),"https://www.tiktok.com/@dyla_store1 ")</f>
        <v>https://www.tiktok.com/@dyla_store1 </v>
      </c>
      <c r="D1961" s="273">
        <f>IFERROR(__xludf.DUMMYFUNCTION("""COMPUTED_VALUE"""),8.2141381443E10)</f>
        <v>82141381443</v>
      </c>
      <c r="E1961" s="458">
        <f>IFERROR(__xludf.DUMMYFUNCTION("""COMPUTED_VALUE"""),0.0)</f>
        <v>0</v>
      </c>
      <c r="F1961" s="273">
        <f>IFERROR(__xludf.DUMMYFUNCTION("""COMPUTED_VALUE"""),4.0)</f>
        <v>4</v>
      </c>
      <c r="G1961" t="str">
        <f>IFERROR(__xludf.DUMMYFUNCTION("""COMPUTED_VALUE"""),"Sabun batang 1 Box ( 2 PCS )")</f>
        <v>Sabun batang 1 Box ( 2 PCS )</v>
      </c>
      <c r="H1961" s="469"/>
      <c r="I1961" s="470"/>
      <c r="J1961" s="471" t="str">
        <f>IFERROR(__xludf.DUMMYFUNCTION("""COMPUTED_VALUE"""),"https://vt.tiktok.com/ZSxoEt32j/")</f>
        <v>https://vt.tiktok.com/ZSxoEt32j/</v>
      </c>
      <c r="K1961" s="470"/>
      <c r="L1961" t="str">
        <f>IFERROR(__xludf.DUMMYFUNCTION("""COMPUTED_VALUE"""),"⁠https://vt.tiktok.com/ZSQdeUqTt/")</f>
        <v>⁠https://vt.tiktok.com/ZSQdeUqTt/</v>
      </c>
      <c r="M1961" s="470"/>
      <c r="N1961" t="str">
        <f>IFERROR(__xludf.DUMMYFUNCTION("""COMPUTED_VALUE"""),"⁠https://vt.tiktok.com/ZSQder3As/")</f>
        <v>⁠https://vt.tiktok.com/ZSQder3As/</v>
      </c>
      <c r="O1961" s="470"/>
      <c r="P1961" t="str">
        <f>IFERROR(__xludf.DUMMYFUNCTION("""COMPUTED_VALUE"""),"⁠https://vt.tiktok.com/ZSQdem3Pd/")</f>
        <v>⁠https://vt.tiktok.com/ZSQdem3Pd/</v>
      </c>
    </row>
    <row r="1962">
      <c r="A1962" s="282" t="str">
        <f>IFERROR(__xludf.DUMMYFUNCTION("""COMPUTED_VALUE"""),"MICRO")</f>
        <v>MICRO</v>
      </c>
      <c r="B1962" s="468" t="str">
        <f>IFERROR(__xludf.DUMMYFUNCTION("""COMPUTED_VALUE"""),"dreamm.png")</f>
        <v>dreamm.png</v>
      </c>
      <c r="C1962" s="283" t="str">
        <f>IFERROR(__xludf.DUMMYFUNCTION("""COMPUTED_VALUE"""),"https://www.tiktok.com/@dreamm.png")</f>
        <v>https://www.tiktok.com/@dreamm.png</v>
      </c>
      <c r="D1962" s="273">
        <f>IFERROR(__xludf.DUMMYFUNCTION("""COMPUTED_VALUE"""),8.5926503288E10)</f>
        <v>85926503288</v>
      </c>
      <c r="E1962" s="458">
        <f>IFERROR(__xludf.DUMMYFUNCTION("""COMPUTED_VALUE"""),0.0)</f>
        <v>0</v>
      </c>
      <c r="F1962" s="273">
        <f>IFERROR(__xludf.DUMMYFUNCTION("""COMPUTED_VALUE"""),4.0)</f>
        <v>4</v>
      </c>
      <c r="G1962" t="str">
        <f>IFERROR(__xludf.DUMMYFUNCTION("""COMPUTED_VALUE"""),"Sabun batang 1 Box ( 2 PCS )")</f>
        <v>Sabun batang 1 Box ( 2 PCS )</v>
      </c>
      <c r="H1962" s="469"/>
      <c r="I1962" s="470"/>
      <c r="J1962" t="str">
        <f>IFERROR(__xludf.DUMMYFUNCTION("""COMPUTED_VALUE"""),"⁠https://vt.tiktok.com/ZSQdRMsqx/")</f>
        <v>⁠https://vt.tiktok.com/ZSQdRMsqx/</v>
      </c>
      <c r="K1962" s="470"/>
      <c r="L1962" s="471" t="str">
        <f>IFERROR(__xludf.DUMMYFUNCTION("""COMPUTED_VALUE"""),"https://vt.tiktok.com/ZSxooJSSS/")</f>
        <v>https://vt.tiktok.com/ZSxooJSSS/</v>
      </c>
      <c r="M1962" s="470"/>
      <c r="N1962" t="str">
        <f>IFERROR(__xludf.DUMMYFUNCTION("""COMPUTED_VALUE"""),"⁠https://vt.tiktok.com/ZSxoEcf2U/")</f>
        <v>⁠https://vt.tiktok.com/ZSxoEcf2U/</v>
      </c>
      <c r="O1962" s="470"/>
      <c r="P1962" t="str">
        <f>IFERROR(__xludf.DUMMYFUNCTION("""COMPUTED_VALUE"""),"⁠https://vt.tiktok.com/ZSxoE3wGX/")</f>
        <v>⁠https://vt.tiktok.com/ZSxoE3wGX/</v>
      </c>
    </row>
    <row r="1963">
      <c r="A1963" s="282" t="str">
        <f>IFERROR(__xludf.DUMMYFUNCTION("""COMPUTED_VALUE"""),"MICRO")</f>
        <v>MICRO</v>
      </c>
      <c r="B1963" s="468" t="str">
        <f>IFERROR(__xludf.DUMMYFUNCTION("""COMPUTED_VALUE"""),"sekaaulia2")</f>
        <v>sekaaulia2</v>
      </c>
      <c r="C1963" s="283" t="str">
        <f>IFERROR(__xludf.DUMMYFUNCTION("""COMPUTED_VALUE"""),"https://www.tiktok.com/@sekaaulia2")</f>
        <v>https://www.tiktok.com/@sekaaulia2</v>
      </c>
      <c r="D1963" s="273">
        <f>IFERROR(__xludf.DUMMYFUNCTION("""COMPUTED_VALUE"""),8.1224952636E10)</f>
        <v>81224952636</v>
      </c>
      <c r="E1963" s="458">
        <f>IFERROR(__xludf.DUMMYFUNCTION("""COMPUTED_VALUE"""),0.0)</f>
        <v>0</v>
      </c>
      <c r="F1963" s="273">
        <f>IFERROR(__xludf.DUMMYFUNCTION("""COMPUTED_VALUE"""),3.0)</f>
        <v>3</v>
      </c>
      <c r="G1963" t="str">
        <f>IFERROR(__xludf.DUMMYFUNCTION("""COMPUTED_VALUE"""),"Sabun batang 1 Box ( 2 PCS )")</f>
        <v>Sabun batang 1 Box ( 2 PCS )</v>
      </c>
      <c r="H1963" s="469"/>
      <c r="I1963" s="470"/>
      <c r="J1963" t="str">
        <f>IFERROR(__xludf.DUMMYFUNCTION("""COMPUTED_VALUE"""),"⁠https://vt.tiktok.com/ZSQd81e3B/")</f>
        <v>⁠https://vt.tiktok.com/ZSQd81e3B/</v>
      </c>
      <c r="K1963" s="470"/>
      <c r="L1963" t="str">
        <f>IFERROR(__xludf.DUMMYFUNCTION("""COMPUTED_VALUE"""),"⁠https://vt.tiktok.com/ZSQd86yS9/")</f>
        <v>⁠https://vt.tiktok.com/ZSQd86yS9/</v>
      </c>
      <c r="M1963" s="470"/>
      <c r="N1963" s="471" t="str">
        <f>IFERROR(__xludf.DUMMYFUNCTION("""COMPUTED_VALUE"""),"https://vt.tiktok.com/ZSQdRyd6W/")</f>
        <v>https://vt.tiktok.com/ZSQdRyd6W/</v>
      </c>
      <c r="O1963" s="470"/>
      <c r="P1963" t="str">
        <f>IFERROR(__xludf.DUMMYFUNCTION("""COMPUTED_VALUE"""),"⁠https://vt.tiktok.com/ZSQdRuxYk/")</f>
        <v>⁠https://vt.tiktok.com/ZSQdRuxYk/</v>
      </c>
    </row>
    <row r="1964">
      <c r="A1964" s="282" t="str">
        <f>IFERROR(__xludf.DUMMYFUNCTION("""COMPUTED_VALUE"""),"MICRO")</f>
        <v>MICRO</v>
      </c>
      <c r="B1964" s="468" t="str">
        <f>IFERROR(__xludf.DUMMYFUNCTION("""COMPUTED_VALUE"""),"irsa.amores ")</f>
        <v>irsa.amores </v>
      </c>
      <c r="C1964" s="283" t="str">
        <f>IFERROR(__xludf.DUMMYFUNCTION("""COMPUTED_VALUE"""),"https://www.tiktok.com/@irsa.amores ")</f>
        <v>https://www.tiktok.com/@irsa.amores </v>
      </c>
      <c r="D1964" s="273">
        <f>IFERROR(__xludf.DUMMYFUNCTION("""COMPUTED_VALUE"""),8.5872022495E10)</f>
        <v>85872022495</v>
      </c>
      <c r="E1964" s="458">
        <f>IFERROR(__xludf.DUMMYFUNCTION("""COMPUTED_VALUE"""),0.0)</f>
        <v>0</v>
      </c>
      <c r="F1964" s="273">
        <f>IFERROR(__xludf.DUMMYFUNCTION("""COMPUTED_VALUE"""),3.0)</f>
        <v>3</v>
      </c>
      <c r="G1964" t="str">
        <f>IFERROR(__xludf.DUMMYFUNCTION("""COMPUTED_VALUE"""),"Sabun batang 1 Box ( 2 PCS )")</f>
        <v>Sabun batang 1 Box ( 2 PCS )</v>
      </c>
      <c r="H1964" s="469"/>
      <c r="I1964" s="470"/>
      <c r="J1964" t="str">
        <f>IFERROR(__xludf.DUMMYFUNCTION("""COMPUTED_VALUE"""),"⁠https://vt.tiktok.com/ZSQdeCEnw/")</f>
        <v>⁠https://vt.tiktok.com/ZSQdeCEnw/</v>
      </c>
      <c r="K1964" s="470"/>
      <c r="L1964" s="471" t="str">
        <f>IFERROR(__xludf.DUMMYFUNCTION("""COMPUTED_VALUE"""),"https://vt.tiktok.com/ZSQde3f37/")</f>
        <v>https://vt.tiktok.com/ZSQde3f37/</v>
      </c>
      <c r="M1964" s="470"/>
      <c r="N1964" t="str">
        <f>IFERROR(__xludf.DUMMYFUNCTION("""COMPUTED_VALUE"""),"⁠https://vt.tiktok.com/ZSQdew9P1/")</f>
        <v>⁠https://vt.tiktok.com/ZSQdew9P1/</v>
      </c>
      <c r="O1964" s="470"/>
      <c r="P1964" s="471" t="str">
        <f>IFERROR(__xludf.DUMMYFUNCTION("""COMPUTED_VALUE"""),"https://vt.tiktok.com/ZSQdes1nX/")</f>
        <v>https://vt.tiktok.com/ZSQdes1nX/</v>
      </c>
    </row>
    <row r="1965">
      <c r="A1965" s="282" t="str">
        <f>IFERROR(__xludf.DUMMYFUNCTION("""COMPUTED_VALUE"""),"MICRO")</f>
        <v>MICRO</v>
      </c>
      <c r="B1965" s="468" t="str">
        <f>IFERROR(__xludf.DUMMYFUNCTION("""COMPUTED_VALUE"""),"putri.wangi26")</f>
        <v>putri.wangi26</v>
      </c>
      <c r="C1965" s="283" t="str">
        <f>IFERROR(__xludf.DUMMYFUNCTION("""COMPUTED_VALUE"""),"https://www.tiktok.com/@putri.wangi26")</f>
        <v>https://www.tiktok.com/@putri.wangi26</v>
      </c>
      <c r="D1965" s="273">
        <f>IFERROR(__xludf.DUMMYFUNCTION("""COMPUTED_VALUE"""),8.8293954453E10)</f>
        <v>88293954453</v>
      </c>
      <c r="E1965" s="458">
        <f>IFERROR(__xludf.DUMMYFUNCTION("""COMPUTED_VALUE"""),0.0)</f>
        <v>0</v>
      </c>
      <c r="F1965" s="273">
        <f>IFERROR(__xludf.DUMMYFUNCTION("""COMPUTED_VALUE"""),4.0)</f>
        <v>4</v>
      </c>
      <c r="G1965" t="str">
        <f>IFERROR(__xludf.DUMMYFUNCTION("""COMPUTED_VALUE"""),"Sabun batang 1 Box ( 2 PCS )")</f>
        <v>Sabun batang 1 Box ( 2 PCS )</v>
      </c>
      <c r="H1965" s="469"/>
      <c r="I1965" s="470"/>
      <c r="J1965" t="str">
        <f>IFERROR(__xludf.DUMMYFUNCTION("""COMPUTED_VALUE"""),"⁠https://vt.tiktok.com/ZSQde9wsT/")</f>
        <v>⁠https://vt.tiktok.com/ZSQde9wsT/</v>
      </c>
      <c r="K1965" s="470"/>
      <c r="L1965" s="471" t="str">
        <f>IFERROR(__xludf.DUMMYFUNCTION("""COMPUTED_VALUE"""),"https://vt.tiktok.com/ZSQdeXERM/")</f>
        <v>https://vt.tiktok.com/ZSQdeXERM/</v>
      </c>
      <c r="M1965" s="470"/>
      <c r="N1965" t="str">
        <f>IFERROR(__xludf.DUMMYFUNCTION("""COMPUTED_VALUE"""),"⁠https://vt.tiktok.com/ZSQdebv1M/")</f>
        <v>⁠https://vt.tiktok.com/ZSQdebv1M/</v>
      </c>
      <c r="O1965" s="470"/>
      <c r="P1965" t="str">
        <f>IFERROR(__xludf.DUMMYFUNCTION("""COMPUTED_VALUE"""),"⁠https://vt.tiktok.com/ZSQdeTSHw/")</f>
        <v>⁠https://vt.tiktok.com/ZSQdeTSHw/</v>
      </c>
    </row>
    <row r="1966">
      <c r="A1966" s="282" t="str">
        <f>IFERROR(__xludf.DUMMYFUNCTION("""COMPUTED_VALUE"""),"MICRO")</f>
        <v>MICRO</v>
      </c>
      <c r="B1966" s="468" t="str">
        <f>IFERROR(__xludf.DUMMYFUNCTION("""COMPUTED_VALUE"""),"raniifashion_")</f>
        <v>raniifashion_</v>
      </c>
      <c r="C1966" s="283" t="str">
        <f>IFERROR(__xludf.DUMMYFUNCTION("""COMPUTED_VALUE"""),"https://www.tiktok.com/@raniifashion_")</f>
        <v>https://www.tiktok.com/@raniifashion_</v>
      </c>
      <c r="D1966" s="273">
        <f>IFERROR(__xludf.DUMMYFUNCTION("""COMPUTED_VALUE"""),8.3143239791E10)</f>
        <v>83143239791</v>
      </c>
      <c r="E1966" s="458">
        <f>IFERROR(__xludf.DUMMYFUNCTION("""COMPUTED_VALUE"""),0.0)</f>
        <v>0</v>
      </c>
      <c r="F1966" s="273">
        <f>IFERROR(__xludf.DUMMYFUNCTION("""COMPUTED_VALUE"""),4.0)</f>
        <v>4</v>
      </c>
      <c r="G1966" t="str">
        <f>IFERROR(__xludf.DUMMYFUNCTION("""COMPUTED_VALUE"""),"Sabun batang 1 Box ( 2 PCS )")</f>
        <v>Sabun batang 1 Box ( 2 PCS )</v>
      </c>
      <c r="H1966" s="469"/>
      <c r="I1966" s="470"/>
      <c r="J1966" s="471" t="str">
        <f>IFERROR(__xludf.DUMMYFUNCTION("""COMPUTED_VALUE"""),"https://vt.tiktok.com/ZSQeUvEHF/")</f>
        <v>https://vt.tiktok.com/ZSQeUvEHF/</v>
      </c>
      <c r="K1966" s="470"/>
      <c r="L1966" s="471" t="str">
        <f>IFERROR(__xludf.DUMMYFUNCTION("""COMPUTED_VALUE"""),"https://vt.tiktok.com/ZSQeyeH1U/")</f>
        <v>https://vt.tiktok.com/ZSQeyeH1U/</v>
      </c>
      <c r="M1966" s="470"/>
      <c r="N1966" s="471" t="str">
        <f>IFERROR(__xludf.DUMMYFUNCTION("""COMPUTED_VALUE"""),"https://vt.tiktok.com/ZSQeUwFFQ/")</f>
        <v>https://vt.tiktok.com/ZSQeUwFFQ/</v>
      </c>
      <c r="O1966" s="470"/>
      <c r="P1966" s="471" t="str">
        <f>IFERROR(__xludf.DUMMYFUNCTION("""COMPUTED_VALUE"""),"https://vt.tiktok.com/ZSQey1MLq/")</f>
        <v>https://vt.tiktok.com/ZSQey1MLq/</v>
      </c>
    </row>
    <row r="1967">
      <c r="A1967" s="282" t="str">
        <f>IFERROR(__xludf.DUMMYFUNCTION("""COMPUTED_VALUE"""),"MICRO")</f>
        <v>MICRO</v>
      </c>
      <c r="B1967" s="468" t="str">
        <f>IFERROR(__xludf.DUMMYFUNCTION("""COMPUTED_VALUE"""),"usahabesertadoa")</f>
        <v>usahabesertadoa</v>
      </c>
      <c r="C1967" s="283" t="str">
        <f>IFERROR(__xludf.DUMMYFUNCTION("""COMPUTED_VALUE"""),"https://www.tiktok.com/@usahabesertadoa")</f>
        <v>https://www.tiktok.com/@usahabesertadoa</v>
      </c>
      <c r="D1967" s="273">
        <f>IFERROR(__xludf.DUMMYFUNCTION("""COMPUTED_VALUE"""),8.2363626814E10)</f>
        <v>82363626814</v>
      </c>
      <c r="E1967" s="458">
        <f>IFERROR(__xludf.DUMMYFUNCTION("""COMPUTED_VALUE"""),0.0)</f>
        <v>0</v>
      </c>
      <c r="F1967" s="273">
        <f>IFERROR(__xludf.DUMMYFUNCTION("""COMPUTED_VALUE"""),4.0)</f>
        <v>4</v>
      </c>
      <c r="G1967" t="str">
        <f>IFERROR(__xludf.DUMMYFUNCTION("""COMPUTED_VALUE"""),"Sabun batang 1 Box ( 2 PCS )")</f>
        <v>Sabun batang 1 Box ( 2 PCS )</v>
      </c>
      <c r="H1967" s="469"/>
      <c r="I1967" s="470"/>
      <c r="J1967" s="471" t="str">
        <f>IFERROR(__xludf.DUMMYFUNCTION("""COMPUTED_VALUE"""),"https://vt.tiktok.com/ZSQed7n3Q/")</f>
        <v>https://vt.tiktok.com/ZSQed7n3Q/</v>
      </c>
      <c r="K1967" s="470"/>
      <c r="L1967" s="471" t="str">
        <f>IFERROR(__xludf.DUMMYFUNCTION("""COMPUTED_VALUE"""),"https://vt.tiktok.com/ZSQedGJEv/")</f>
        <v>https://vt.tiktok.com/ZSQedGJEv/</v>
      </c>
      <c r="M1967" s="470"/>
      <c r="N1967" s="471" t="str">
        <f>IFERROR(__xludf.DUMMYFUNCTION("""COMPUTED_VALUE"""),"https://vt.tiktok.com/ZSQedq9uK/")</f>
        <v>https://vt.tiktok.com/ZSQedq9uK/</v>
      </c>
      <c r="O1967" s="470"/>
      <c r="P1967" s="471" t="str">
        <f>IFERROR(__xludf.DUMMYFUNCTION("""COMPUTED_VALUE"""),"https://vt.tiktok.com/ZSQedgELt/")</f>
        <v>https://vt.tiktok.com/ZSQedgELt/</v>
      </c>
    </row>
    <row r="1968">
      <c r="A1968" s="282" t="str">
        <f>IFERROR(__xludf.DUMMYFUNCTION("""COMPUTED_VALUE"""),"MICRO")</f>
        <v>MICRO</v>
      </c>
      <c r="B1968" s="468" t="str">
        <f>IFERROR(__xludf.DUMMYFUNCTION("""COMPUTED_VALUE"""),"marlina1927")</f>
        <v>marlina1927</v>
      </c>
      <c r="C1968" s="283" t="str">
        <f>IFERROR(__xludf.DUMMYFUNCTION("""COMPUTED_VALUE"""),"https://www.tiktok.com/@marlina1927")</f>
        <v>https://www.tiktok.com/@marlina1927</v>
      </c>
      <c r="D1968" s="273">
        <f>IFERROR(__xludf.DUMMYFUNCTION("""COMPUTED_VALUE"""),8.5256265068E10)</f>
        <v>85256265068</v>
      </c>
      <c r="E1968" s="458">
        <f>IFERROR(__xludf.DUMMYFUNCTION("""COMPUTED_VALUE"""),0.0)</f>
        <v>0</v>
      </c>
      <c r="F1968" s="273">
        <f>IFERROR(__xludf.DUMMYFUNCTION("""COMPUTED_VALUE"""),4.0)</f>
        <v>4</v>
      </c>
      <c r="G1968" t="str">
        <f>IFERROR(__xludf.DUMMYFUNCTION("""COMPUTED_VALUE"""),"Sabun batang 1 Box ( 2 PCS )")</f>
        <v>Sabun batang 1 Box ( 2 PCS )</v>
      </c>
      <c r="H1968" s="469"/>
      <c r="I1968" s="470"/>
      <c r="J1968" s="471" t="str">
        <f>IFERROR(__xludf.DUMMYFUNCTION("""COMPUTED_VALUE"""),"https://vt.tiktok.com/ZSQeRdj3t/")</f>
        <v>https://vt.tiktok.com/ZSQeRdj3t/</v>
      </c>
      <c r="K1968" s="470"/>
      <c r="L1968" s="471" t="str">
        <f>IFERROR(__xludf.DUMMYFUNCTION("""COMPUTED_VALUE"""),"https://vt.tiktok.com/ZSQeRFtQh/")</f>
        <v>https://vt.tiktok.com/ZSQeRFtQh/</v>
      </c>
      <c r="M1968" s="470"/>
      <c r="N1968" s="471" t="str">
        <f>IFERROR(__xludf.DUMMYFUNCTION("""COMPUTED_VALUE"""),"https://vt.tiktok.com/ZSQeRYFut/")</f>
        <v>https://vt.tiktok.com/ZSQeRYFut/</v>
      </c>
      <c r="O1968" s="470"/>
      <c r="P1968" s="471" t="str">
        <f>IFERROR(__xludf.DUMMYFUNCTION("""COMPUTED_VALUE"""),"https://vt.tiktok.com/ZSQedwCwn/")</f>
        <v>https://vt.tiktok.com/ZSQedwCwn/</v>
      </c>
    </row>
    <row r="1969">
      <c r="A1969" s="282" t="str">
        <f>IFERROR(__xludf.DUMMYFUNCTION("""COMPUTED_VALUE"""),"MICRO")</f>
        <v>MICRO</v>
      </c>
      <c r="B1969" s="468" t="str">
        <f>IFERROR(__xludf.DUMMYFUNCTION("""COMPUTED_VALUE"""),"prettyshoes02")</f>
        <v>prettyshoes02</v>
      </c>
      <c r="C1969" s="283" t="str">
        <f>IFERROR(__xludf.DUMMYFUNCTION("""COMPUTED_VALUE"""),"https://www.tiktok.com/@prettyshoes02")</f>
        <v>https://www.tiktok.com/@prettyshoes02</v>
      </c>
      <c r="D1969" s="273">
        <f>IFERROR(__xludf.DUMMYFUNCTION("""COMPUTED_VALUE"""),8.1573939046E10)</f>
        <v>81573939046</v>
      </c>
      <c r="E1969" s="458">
        <f>IFERROR(__xludf.DUMMYFUNCTION("""COMPUTED_VALUE"""),0.0)</f>
        <v>0</v>
      </c>
      <c r="F1969" s="273">
        <f>IFERROR(__xludf.DUMMYFUNCTION("""COMPUTED_VALUE"""),4.0)</f>
        <v>4</v>
      </c>
      <c r="G1969" t="str">
        <f>IFERROR(__xludf.DUMMYFUNCTION("""COMPUTED_VALUE"""),"Sabun batang 1 Box ( 2 PCS )")</f>
        <v>Sabun batang 1 Box ( 2 PCS )</v>
      </c>
      <c r="H1969" s="469"/>
      <c r="I1969" s="470"/>
      <c r="J1969" t="str">
        <f>IFERROR(__xludf.DUMMYFUNCTION("""COMPUTED_VALUE"""),"⁠https://vt.tiktok.com/ZSQeDj2eK/")</f>
        <v>⁠https://vt.tiktok.com/ZSQeDj2eK/</v>
      </c>
      <c r="K1969" s="470"/>
      <c r="L1969" t="str">
        <f>IFERROR(__xludf.DUMMYFUNCTION("""COMPUTED_VALUE"""),"⁠https://vt.tiktok.com/ZSxoE9KdT/")</f>
        <v>⁠https://vt.tiktok.com/ZSxoE9KdT/</v>
      </c>
      <c r="M1969" s="470"/>
      <c r="N1969" t="str">
        <f>IFERROR(__xludf.DUMMYFUNCTION("""COMPUTED_VALUE"""),"⁠https://vt.tiktok.com/ZSQJa6Fvv/")</f>
        <v>⁠https://vt.tiktok.com/ZSQJa6Fvv/</v>
      </c>
      <c r="O1969" s="470"/>
      <c r="P1969" s="471" t="str">
        <f>IFERROR(__xludf.DUMMYFUNCTION("""COMPUTED_VALUE"""),"https://vt.tiktok.com/ZSQJ5wLLP/")</f>
        <v>https://vt.tiktok.com/ZSQJ5wLLP/</v>
      </c>
    </row>
    <row r="1970">
      <c r="A1970" s="282" t="str">
        <f>IFERROR(__xludf.DUMMYFUNCTION("""COMPUTED_VALUE"""),"MICRO")</f>
        <v>MICRO</v>
      </c>
      <c r="B1970" s="468" t="str">
        <f>IFERROR(__xludf.DUMMYFUNCTION("""COMPUTED_VALUE"""),"tokorofie")</f>
        <v>tokorofie</v>
      </c>
      <c r="C1970" s="283" t="str">
        <f>IFERROR(__xludf.DUMMYFUNCTION("""COMPUTED_VALUE"""),"https://www.tiktok.com/@tokorofie")</f>
        <v>https://www.tiktok.com/@tokorofie</v>
      </c>
      <c r="D1970" s="273">
        <f>IFERROR(__xludf.DUMMYFUNCTION("""COMPUTED_VALUE"""),8.131188345E10)</f>
        <v>81311883450</v>
      </c>
      <c r="E1970" s="458">
        <f>IFERROR(__xludf.DUMMYFUNCTION("""COMPUTED_VALUE"""),0.0)</f>
        <v>0</v>
      </c>
      <c r="F1970" s="273">
        <f>IFERROR(__xludf.DUMMYFUNCTION("""COMPUTED_VALUE"""),4.0)</f>
        <v>4</v>
      </c>
      <c r="G1970" t="str">
        <f>IFERROR(__xludf.DUMMYFUNCTION("""COMPUTED_VALUE"""),"Sabun batang 1 Box ( 2 PCS )")</f>
        <v>Sabun batang 1 Box ( 2 PCS )</v>
      </c>
      <c r="H1970" s="469"/>
      <c r="I1970" s="470"/>
      <c r="J1970" t="str">
        <f>IFERROR(__xludf.DUMMYFUNCTION("""COMPUTED_VALUE"""),"⁠https://vt.tiktok.com/ZSQJaepwN/")</f>
        <v>⁠https://vt.tiktok.com/ZSQJaepwN/</v>
      </c>
      <c r="K1970" s="470"/>
      <c r="L1970" s="471" t="str">
        <f>IFERROR(__xludf.DUMMYFUNCTION("""COMPUTED_VALUE"""),"https://vt.tiktok.com/ZSQdRbc7B/")</f>
        <v>https://vt.tiktok.com/ZSQdRbc7B/</v>
      </c>
      <c r="M1970" s="470"/>
      <c r="N1970" t="str">
        <f>IFERROR(__xludf.DUMMYFUNCTION("""COMPUTED_VALUE"""),"⁠https://vt.tiktok.com/ZSxoEDLTv/")</f>
        <v>⁠https://vt.tiktok.com/ZSxoEDLTv/</v>
      </c>
      <c r="O1970" s="470"/>
      <c r="P1970" t="str">
        <f>IFERROR(__xludf.DUMMYFUNCTION("""COMPUTED_VALUE"""),"⁠https://vt.tiktok.com/ZSxoEMGbc/")</f>
        <v>⁠https://vt.tiktok.com/ZSxoEMGbc/</v>
      </c>
    </row>
    <row r="1971">
      <c r="A1971" s="282" t="str">
        <f>IFERROR(__xludf.DUMMYFUNCTION("""COMPUTED_VALUE"""),"MICRO")</f>
        <v>MICRO</v>
      </c>
      <c r="B1971" s="468" t="str">
        <f>IFERROR(__xludf.DUMMYFUNCTION("""COMPUTED_VALUE"""),"magialist52")</f>
        <v>magialist52</v>
      </c>
      <c r="C1971" s="283" t="str">
        <f>IFERROR(__xludf.DUMMYFUNCTION("""COMPUTED_VALUE"""),"https://www.tiktok.com/@magialist52")</f>
        <v>https://www.tiktok.com/@magialist52</v>
      </c>
      <c r="D1971" s="273">
        <f>IFERROR(__xludf.DUMMYFUNCTION("""COMPUTED_VALUE"""),8.5176761052E10)</f>
        <v>85176761052</v>
      </c>
      <c r="E1971" s="458">
        <f>IFERROR(__xludf.DUMMYFUNCTION("""COMPUTED_VALUE"""),0.0)</f>
        <v>0</v>
      </c>
      <c r="F1971" s="273">
        <f>IFERROR(__xludf.DUMMYFUNCTION("""COMPUTED_VALUE"""),4.0)</f>
        <v>4</v>
      </c>
      <c r="G1971" t="str">
        <f>IFERROR(__xludf.DUMMYFUNCTION("""COMPUTED_VALUE"""),"Sabun batang 1 Box ( 2 PCS )")</f>
        <v>Sabun batang 1 Box ( 2 PCS )</v>
      </c>
      <c r="H1971" s="469"/>
      <c r="I1971" s="470"/>
      <c r="J1971" t="str">
        <f>IFERROR(__xludf.DUMMYFUNCTION("""COMPUTED_VALUE"""),"⁠https://vt.tiktok.com/ZSxoE6B77/")</f>
        <v>⁠https://vt.tiktok.com/ZSxoE6B77/</v>
      </c>
      <c r="K1971" s="470"/>
      <c r="L1971" s="471" t="str">
        <f>IFERROR(__xludf.DUMMYFUNCTION("""COMPUTED_VALUE"""),"https://vt.tiktok.com/ZSQde96Ar/")</f>
        <v>https://vt.tiktok.com/ZSQde96Ar/</v>
      </c>
      <c r="M1971" s="470"/>
      <c r="N1971" t="str">
        <f>IFERROR(__xludf.DUMMYFUNCTION("""COMPUTED_VALUE"""),"⁠https://vt.tiktok.com/ZSQdJwpX9/")</f>
        <v>⁠https://vt.tiktok.com/ZSQdJwpX9/</v>
      </c>
      <c r="O1971" s="470"/>
      <c r="P1971" t="str">
        <f>IFERROR(__xludf.DUMMYFUNCTION("""COMPUTED_VALUE"""),"⁠https://vt.tiktok.com/ZSQdJbm27/")</f>
        <v>⁠https://vt.tiktok.com/ZSQdJbm27/</v>
      </c>
    </row>
    <row r="1972">
      <c r="A1972" s="282" t="str">
        <f>IFERROR(__xludf.DUMMYFUNCTION("""COMPUTED_VALUE"""),"MICRO")</f>
        <v>MICRO</v>
      </c>
      <c r="B1972" s="468" t="str">
        <f>IFERROR(__xludf.DUMMYFUNCTION("""COMPUTED_VALUE"""),"shelfw")</f>
        <v>shelfw</v>
      </c>
      <c r="C1972" s="283" t="str">
        <f>IFERROR(__xludf.DUMMYFUNCTION("""COMPUTED_VALUE"""),"https://www.tiktok.com/@shelfw")</f>
        <v>https://www.tiktok.com/@shelfw</v>
      </c>
      <c r="D1972" s="273">
        <f>IFERROR(__xludf.DUMMYFUNCTION("""COMPUTED_VALUE"""),8.5728129959E10)</f>
        <v>85728129959</v>
      </c>
      <c r="E1972" s="458">
        <f>IFERROR(__xludf.DUMMYFUNCTION("""COMPUTED_VALUE"""),0.0)</f>
        <v>0</v>
      </c>
      <c r="F1972" s="273">
        <f>IFERROR(__xludf.DUMMYFUNCTION("""COMPUTED_VALUE"""),4.0)</f>
        <v>4</v>
      </c>
      <c r="G1972" t="str">
        <f>IFERROR(__xludf.DUMMYFUNCTION("""COMPUTED_VALUE"""),"Sabun batang 1 Box ( 2 PCS )")</f>
        <v>Sabun batang 1 Box ( 2 PCS )</v>
      </c>
      <c r="H1972" s="469"/>
      <c r="I1972" s="470"/>
      <c r="J1972" t="str">
        <f>IFERROR(__xludf.DUMMYFUNCTION("""COMPUTED_VALUE"""),"⁠https://vt.tiktok.com/ZSQdeNbQG/")</f>
        <v>⁠https://vt.tiktok.com/ZSQdeNbQG/</v>
      </c>
      <c r="K1972" s="470"/>
      <c r="L1972" t="str">
        <f>IFERROR(__xludf.DUMMYFUNCTION("""COMPUTED_VALUE"""),"⁠https://vt.tiktok.com/ZSQde4P1M/")</f>
        <v>⁠https://vt.tiktok.com/ZSQde4P1M/</v>
      </c>
      <c r="M1972" s="470"/>
      <c r="N1972" t="str">
        <f>IFERROR(__xludf.DUMMYFUNCTION("""COMPUTED_VALUE"""),"⁠https://vt.tiktok.com/ZSxoExDAg/")</f>
        <v>⁠https://vt.tiktok.com/ZSxoExDAg/</v>
      </c>
      <c r="O1972" s="470"/>
      <c r="P1972" t="str">
        <f>IFERROR(__xludf.DUMMYFUNCTION("""COMPUTED_VALUE"""),"⁠https://vt.tiktok.com/ZSxoEp7uv/")</f>
        <v>⁠https://vt.tiktok.com/ZSxoEp7uv/</v>
      </c>
    </row>
    <row r="1973">
      <c r="A1973" s="282" t="str">
        <f>IFERROR(__xludf.DUMMYFUNCTION("""COMPUTED_VALUE"""),"MICRO")</f>
        <v>MICRO</v>
      </c>
      <c r="B1973" s="468" t="str">
        <f>IFERROR(__xludf.DUMMYFUNCTION("""COMPUTED_VALUE"""),"gex_fika")</f>
        <v>gex_fika</v>
      </c>
      <c r="C1973" s="283" t="str">
        <f>IFERROR(__xludf.DUMMYFUNCTION("""COMPUTED_VALUE"""),"https://www.tiktok.com/@gex_fika")</f>
        <v>https://www.tiktok.com/@gex_fika</v>
      </c>
      <c r="D1973" s="273">
        <f>IFERROR(__xludf.DUMMYFUNCTION("""COMPUTED_VALUE"""),8.5733364391E10)</f>
        <v>85733364391</v>
      </c>
      <c r="E1973" s="458">
        <f>IFERROR(__xludf.DUMMYFUNCTION("""COMPUTED_VALUE"""),0.0)</f>
        <v>0</v>
      </c>
      <c r="F1973" s="273">
        <f>IFERROR(__xludf.DUMMYFUNCTION("""COMPUTED_VALUE"""),4.0)</f>
        <v>4</v>
      </c>
      <c r="G1973" t="str">
        <f>IFERROR(__xludf.DUMMYFUNCTION("""COMPUTED_VALUE"""),"Sabun batang 1 Box ( 2 PCS )")</f>
        <v>Sabun batang 1 Box ( 2 PCS )</v>
      </c>
      <c r="H1973" s="469"/>
      <c r="I1973" s="470"/>
      <c r="J1973" t="str">
        <f>IFERROR(__xludf.DUMMYFUNCTION("""COMPUTED_VALUE"""),"⁠https://vt.tiktok.com/ZSxoEHnwq/")</f>
        <v>⁠https://vt.tiktok.com/ZSxoEHnwq/</v>
      </c>
      <c r="K1973" s="470"/>
      <c r="L1973" s="471" t="str">
        <f>IFERROR(__xludf.DUMMYFUNCTION("""COMPUTED_VALUE"""),"https://vt.tiktok.com/ZSQeUQpDy/")</f>
        <v>https://vt.tiktok.com/ZSQeUQpDy/</v>
      </c>
      <c r="M1973" s="470"/>
      <c r="N1973" t="str">
        <f>IFERROR(__xludf.DUMMYFUNCTION("""COMPUTED_VALUE"""),"⁠https://vt.tiktok.com/ZSQdR9eR8/")</f>
        <v>⁠https://vt.tiktok.com/ZSQdR9eR8/</v>
      </c>
      <c r="O1973" s="470"/>
      <c r="P1973" t="str">
        <f>IFERROR(__xludf.DUMMYFUNCTION("""COMPUTED_VALUE"""),"⁠https://vt.tiktok.com/ZSQdRPLCm/")</f>
        <v>⁠https://vt.tiktok.com/ZSQdRPLCm/</v>
      </c>
    </row>
    <row r="1974">
      <c r="A1974" s="282" t="str">
        <f>IFERROR(__xludf.DUMMYFUNCTION("""COMPUTED_VALUE"""),"MICRO")</f>
        <v>MICRO</v>
      </c>
      <c r="B1974" s="468" t="str">
        <f>IFERROR(__xludf.DUMMYFUNCTION("""COMPUTED_VALUE"""),"happymamaaaa")</f>
        <v>happymamaaaa</v>
      </c>
      <c r="C1974" s="283" t="str">
        <f>IFERROR(__xludf.DUMMYFUNCTION("""COMPUTED_VALUE"""),"https://www.tiktok.com/@happymamaaaa")</f>
        <v>https://www.tiktok.com/@happymamaaaa</v>
      </c>
      <c r="D1974" s="273">
        <f>IFERROR(__xludf.DUMMYFUNCTION("""COMPUTED_VALUE"""),8.1232894691E10)</f>
        <v>81232894691</v>
      </c>
      <c r="E1974" s="458">
        <f>IFERROR(__xludf.DUMMYFUNCTION("""COMPUTED_VALUE"""),0.0)</f>
        <v>0</v>
      </c>
      <c r="F1974" s="273">
        <f>IFERROR(__xludf.DUMMYFUNCTION("""COMPUTED_VALUE"""),4.0)</f>
        <v>4</v>
      </c>
      <c r="G1974" t="str">
        <f>IFERROR(__xludf.DUMMYFUNCTION("""COMPUTED_VALUE"""),"Sabun batang 1 Box ( 2 PCS )")</f>
        <v>Sabun batang 1 Box ( 2 PCS )</v>
      </c>
      <c r="H1974" s="469"/>
      <c r="I1974" s="470"/>
      <c r="J1974" t="str">
        <f>IFERROR(__xludf.DUMMYFUNCTION("""COMPUTED_VALUE"""),"⁠https://vt.tiktok.com/ZSQdRPaSa/")</f>
        <v>⁠https://vt.tiktok.com/ZSQdRPaSa/</v>
      </c>
      <c r="K1974" s="470"/>
      <c r="L1974" s="471" t="str">
        <f>IFERROR(__xludf.DUMMYFUNCTION("""COMPUTED_VALUE"""),"https://vt.tiktok.com/ZSQedFpdW/")</f>
        <v>https://vt.tiktok.com/ZSQedFpdW/</v>
      </c>
      <c r="M1974" s="470"/>
      <c r="N1974" t="str">
        <f>IFERROR(__xludf.DUMMYFUNCTION("""COMPUTED_VALUE"""),"⁠https://vt.tiktok.com/ZSQdecT9Y/")</f>
        <v>⁠https://vt.tiktok.com/ZSQdecT9Y/</v>
      </c>
      <c r="O1974" s="470"/>
      <c r="P1974" t="str">
        <f>IFERROR(__xludf.DUMMYFUNCTION("""COMPUTED_VALUE"""),"⁠https://vt.tiktok.com/ZSQdex5pw/")</f>
        <v>⁠https://vt.tiktok.com/ZSQdex5pw/</v>
      </c>
    </row>
    <row r="1975">
      <c r="A1975" s="282" t="str">
        <f>IFERROR(__xludf.DUMMYFUNCTION("""COMPUTED_VALUE"""),"MICRO")</f>
        <v>MICRO</v>
      </c>
      <c r="B1975" s="468" t="str">
        <f>IFERROR(__xludf.DUMMYFUNCTION("""COMPUTED_VALUE"""),"gilangyunia")</f>
        <v>gilangyunia</v>
      </c>
      <c r="C1975" s="283" t="str">
        <f>IFERROR(__xludf.DUMMYFUNCTION("""COMPUTED_VALUE"""),"https://www.tiktok.com/@gilangyunia")</f>
        <v>https://www.tiktok.com/@gilangyunia</v>
      </c>
      <c r="D1975" s="273">
        <f>IFERROR(__xludf.DUMMYFUNCTION("""COMPUTED_VALUE"""),8.9538306923E11)</f>
        <v>895383069230</v>
      </c>
      <c r="E1975" s="458">
        <f>IFERROR(__xludf.DUMMYFUNCTION("""COMPUTED_VALUE"""),0.0)</f>
        <v>0</v>
      </c>
      <c r="F1975" s="273">
        <f>IFERROR(__xludf.DUMMYFUNCTION("""COMPUTED_VALUE"""),4.0)</f>
        <v>4</v>
      </c>
      <c r="G1975" t="str">
        <f>IFERROR(__xludf.DUMMYFUNCTION("""COMPUTED_VALUE"""),"Sabun batang 1 Box ( 2 PCS )")</f>
        <v>Sabun batang 1 Box ( 2 PCS )</v>
      </c>
      <c r="H1975" s="469"/>
      <c r="I1975" s="470"/>
      <c r="J1975" s="471" t="str">
        <f>IFERROR(__xludf.DUMMYFUNCTION("""COMPUTED_VALUE"""),"https://vt.tiktok.com/ZSQdengMv/")</f>
        <v>https://vt.tiktok.com/ZSQdengMv/</v>
      </c>
      <c r="K1975" s="470"/>
      <c r="L1975" s="471" t="str">
        <f>IFERROR(__xludf.DUMMYFUNCTION("""COMPUTED_VALUE"""),"https://vt.tiktok.com/ZSQedCB3M/")</f>
        <v>https://vt.tiktok.com/ZSQedCB3M/</v>
      </c>
      <c r="M1975" s="470"/>
      <c r="N1975" t="str">
        <f>IFERROR(__xludf.DUMMYFUNCTION("""COMPUTED_VALUE"""),"⁠https://vt.tiktok.com/ZSQdeHRuf/")</f>
        <v>⁠https://vt.tiktok.com/ZSQdeHRuf/</v>
      </c>
      <c r="O1975" s="470"/>
      <c r="P1975" t="str">
        <f>IFERROR(__xludf.DUMMYFUNCTION("""COMPUTED_VALUE"""),"⁠https://vt.tiktok.com/ZSQdeKTwf/")</f>
        <v>⁠https://vt.tiktok.com/ZSQdeKTwf/</v>
      </c>
    </row>
    <row r="1976">
      <c r="A1976" s="282" t="str">
        <f>IFERROR(__xludf.DUMMYFUNCTION("""COMPUTED_VALUE"""),"MICRO")</f>
        <v>MICRO</v>
      </c>
      <c r="B1976" s="468" t="str">
        <f>IFERROR(__xludf.DUMMYFUNCTION("""COMPUTED_VALUE"""),"syifaputri115")</f>
        <v>syifaputri115</v>
      </c>
      <c r="C1976" s="283" t="str">
        <f>IFERROR(__xludf.DUMMYFUNCTION("""COMPUTED_VALUE"""),"https://www.tiktok.com/@syifaputri115")</f>
        <v>https://www.tiktok.com/@syifaputri115</v>
      </c>
      <c r="D1976" s="273">
        <f>IFERROR(__xludf.DUMMYFUNCTION("""COMPUTED_VALUE"""),8.1546715097E10)</f>
        <v>81546715097</v>
      </c>
      <c r="E1976" s="458">
        <f>IFERROR(__xludf.DUMMYFUNCTION("""COMPUTED_VALUE"""),0.0)</f>
        <v>0</v>
      </c>
      <c r="F1976" s="273">
        <f>IFERROR(__xludf.DUMMYFUNCTION("""COMPUTED_VALUE"""),4.0)</f>
        <v>4</v>
      </c>
      <c r="G1976" t="str">
        <f>IFERROR(__xludf.DUMMYFUNCTION("""COMPUTED_VALUE"""),"Sabun batang 1 Box ( 2 PCS )")</f>
        <v>Sabun batang 1 Box ( 2 PCS )</v>
      </c>
      <c r="H1976" s="469"/>
      <c r="I1976" s="470"/>
      <c r="J1976" t="str">
        <f>IFERROR(__xludf.DUMMYFUNCTION("""COMPUTED_VALUE"""),"⁠https://vt.tiktok.com/ZSQdebScT/")</f>
        <v>⁠https://vt.tiktok.com/ZSQdebScT/</v>
      </c>
      <c r="K1976" s="470"/>
      <c r="L1976" s="471" t="str">
        <f>IFERROR(__xludf.DUMMYFUNCTION("""COMPUTED_VALUE"""),"https://vt.tiktok.com/ZSQedjYAv/")</f>
        <v>https://vt.tiktok.com/ZSQedjYAv/</v>
      </c>
      <c r="M1976" s="470"/>
      <c r="N1976" s="471" t="str">
        <f>IFERROR(__xludf.DUMMYFUNCTION("""COMPUTED_VALUE"""),"https://vt.tiktok.com/ZSQeUxTUe/")</f>
        <v>https://vt.tiktok.com/ZSQeUxTUe/</v>
      </c>
      <c r="O1976" s="470"/>
      <c r="P1976" s="471" t="str">
        <f>IFERROR(__xludf.DUMMYFUNCTION("""COMPUTED_VALUE"""),"https://vt.tiktok.com/ZSQeUC1RU/")</f>
        <v>https://vt.tiktok.com/ZSQeUC1RU/</v>
      </c>
    </row>
    <row r="1977">
      <c r="A1977" s="282" t="str">
        <f>IFERROR(__xludf.DUMMYFUNCTION("""COMPUTED_VALUE"""),"MICRO")</f>
        <v>MICRO</v>
      </c>
      <c r="B1977" s="468" t="str">
        <f>IFERROR(__xludf.DUMMYFUNCTION("""COMPUTED_VALUE"""),"nurulfitriya_2")</f>
        <v>nurulfitriya_2</v>
      </c>
      <c r="C1977" s="283" t="str">
        <f>IFERROR(__xludf.DUMMYFUNCTION("""COMPUTED_VALUE"""),"https://www.tiktok.com/@nurulfitriya_2")</f>
        <v>https://www.tiktok.com/@nurulfitriya_2</v>
      </c>
      <c r="D1977" s="273">
        <f>IFERROR(__xludf.DUMMYFUNCTION("""COMPUTED_VALUE"""),8.2259524993E10)</f>
        <v>82259524993</v>
      </c>
      <c r="E1977" s="458">
        <f>IFERROR(__xludf.DUMMYFUNCTION("""COMPUTED_VALUE"""),0.0)</f>
        <v>0</v>
      </c>
      <c r="F1977" s="273">
        <f>IFERROR(__xludf.DUMMYFUNCTION("""COMPUTED_VALUE"""),4.0)</f>
        <v>4</v>
      </c>
      <c r="G1977" t="str">
        <f>IFERROR(__xludf.DUMMYFUNCTION("""COMPUTED_VALUE"""),"Sabun batang 1 Box ( 2 PCS )")</f>
        <v>Sabun batang 1 Box ( 2 PCS )</v>
      </c>
      <c r="H1977" s="469"/>
      <c r="I1977" s="470"/>
      <c r="J1977" s="471" t="str">
        <f>IFERROR(__xludf.DUMMYFUNCTION("""COMPUTED_VALUE"""),"https://vt.tiktok.com/ZSQeUSkws/")</f>
        <v>https://vt.tiktok.com/ZSQeUSkws/</v>
      </c>
      <c r="K1977" s="470"/>
      <c r="L1977" s="471" t="str">
        <f>IFERROR(__xludf.DUMMYFUNCTION("""COMPUTED_VALUE"""),"https://vt.tiktok.com/ZSQedgfFS/")</f>
        <v>https://vt.tiktok.com/ZSQedgfFS/</v>
      </c>
      <c r="M1977" s="470"/>
      <c r="N1977" s="471" t="str">
        <f>IFERROR(__xludf.DUMMYFUNCTION("""COMPUTED_VALUE"""),"https://vt.tiktok.com/ZSQedmWUM/")</f>
        <v>https://vt.tiktok.com/ZSQedmWUM/</v>
      </c>
      <c r="O1977" s="470"/>
      <c r="P1977" s="471" t="str">
        <f>IFERROR(__xludf.DUMMYFUNCTION("""COMPUTED_VALUE"""),"https://vt.tiktok.com/ZSQedVfK1/")</f>
        <v>https://vt.tiktok.com/ZSQedVfK1/</v>
      </c>
    </row>
    <row r="1978">
      <c r="A1978" s="282" t="str">
        <f>IFERROR(__xludf.DUMMYFUNCTION("""COMPUTED_VALUE"""),"MICRO")</f>
        <v>MICRO</v>
      </c>
      <c r="B1978" s="468" t="str">
        <f>IFERROR(__xludf.DUMMYFUNCTION("""COMPUTED_VALUE"""),"chinbel_")</f>
        <v>chinbel_</v>
      </c>
      <c r="C1978" s="283" t="str">
        <f>IFERROR(__xludf.DUMMYFUNCTION("""COMPUTED_VALUE"""),"https://www.tiktok.com/@chinbel_")</f>
        <v>https://www.tiktok.com/@chinbel_</v>
      </c>
      <c r="D1978" s="273"/>
      <c r="E1978" s="458">
        <f>IFERROR(__xludf.DUMMYFUNCTION("""COMPUTED_VALUE"""),0.0)</f>
        <v>0</v>
      </c>
      <c r="F1978" s="273">
        <f>IFERROR(__xludf.DUMMYFUNCTION("""COMPUTED_VALUE"""),4.0)</f>
        <v>4</v>
      </c>
      <c r="G1978" t="str">
        <f>IFERROR(__xludf.DUMMYFUNCTION("""COMPUTED_VALUE"""),"Sabun batang 1 Box ( 2 PCS )")</f>
        <v>Sabun batang 1 Box ( 2 PCS )</v>
      </c>
      <c r="H1978" s="469"/>
      <c r="I1978" s="470"/>
      <c r="J1978" s="471" t="str">
        <f>IFERROR(__xludf.DUMMYFUNCTION("""COMPUTED_VALUE"""),"https://vt.tiktok.com/ZSxgDrdus/")</f>
        <v>https://vt.tiktok.com/ZSxgDrdus/</v>
      </c>
      <c r="K1978" s="470"/>
      <c r="L1978" s="471" t="str">
        <f>IFERROR(__xludf.DUMMYFUNCTION("""COMPUTED_VALUE"""),"https://vt.tiktok.com/ZSx7PYE4k/")</f>
        <v>https://vt.tiktok.com/ZSx7PYE4k/</v>
      </c>
      <c r="M1978" s="470"/>
      <c r="N1978" s="471" t="str">
        <f>IFERROR(__xludf.DUMMYFUNCTION("""COMPUTED_VALUE"""),"https://vt.tiktok.com/ZSxaW7m5v/")</f>
        <v>https://vt.tiktok.com/ZSxaW7m5v/</v>
      </c>
      <c r="O1978" s="470"/>
      <c r="P1978" s="471" t="str">
        <f>IFERROR(__xludf.DUMMYFUNCTION("""COMPUTED_VALUE"""),"https://vt.tiktok.com/ZSxayL4XY/")</f>
        <v>https://vt.tiktok.com/ZSxayL4XY/</v>
      </c>
    </row>
    <row r="1979">
      <c r="A1979" s="282" t="str">
        <f>IFERROR(__xludf.DUMMYFUNCTION("""COMPUTED_VALUE"""),"MICRO")</f>
        <v>MICRO</v>
      </c>
      <c r="B1979" s="468" t="str">
        <f>IFERROR(__xludf.DUMMYFUNCTION("""COMPUTED_VALUE"""),"Racuntiktok_3")</f>
        <v>Racuntiktok_3</v>
      </c>
      <c r="C1979" s="283" t="str">
        <f>IFERROR(__xludf.DUMMYFUNCTION("""COMPUTED_VALUE"""),"https://www.tiktok.com/@Racuntiktok_3")</f>
        <v>https://www.tiktok.com/@Racuntiktok_3</v>
      </c>
      <c r="D1979" s="273"/>
      <c r="E1979" s="458">
        <f>IFERROR(__xludf.DUMMYFUNCTION("""COMPUTED_VALUE"""),0.0)</f>
        <v>0</v>
      </c>
      <c r="F1979" s="273">
        <f>IFERROR(__xludf.DUMMYFUNCTION("""COMPUTED_VALUE"""),4.0)</f>
        <v>4</v>
      </c>
      <c r="G1979" t="str">
        <f>IFERROR(__xludf.DUMMYFUNCTION("""COMPUTED_VALUE"""),"Sabun batang 1 Box ( 2 PCS )")</f>
        <v>Sabun batang 1 Box ( 2 PCS )</v>
      </c>
      <c r="H1979" s="469"/>
      <c r="I1979" s="470"/>
      <c r="J1979" t="str">
        <f>IFERROR(__xludf.DUMMYFUNCTION("""COMPUTED_VALUE"""),"⁠https://vt.tiktok.com/ZSxgHH575/")</f>
        <v>⁠https://vt.tiktok.com/ZSxgHH575/</v>
      </c>
      <c r="K1979" s="470"/>
      <c r="L1979" t="str">
        <f>IFERROR(__xludf.DUMMYFUNCTION("""COMPUTED_VALUE"""),"⁠https://vt.tiktok.com/ZSxP6omDK/")</f>
        <v>⁠https://vt.tiktok.com/ZSxP6omDK/</v>
      </c>
      <c r="M1979" s="470"/>
      <c r="N1979" s="471" t="str">
        <f>IFERROR(__xludf.DUMMYFUNCTION("""COMPUTED_VALUE"""),"https://vt.tiktok.com/ZSxfySq18/")</f>
        <v>https://vt.tiktok.com/ZSxfySq18/</v>
      </c>
      <c r="O1979" s="470"/>
      <c r="P1979" s="471" t="str">
        <f>IFERROR(__xludf.DUMMYFUNCTION("""COMPUTED_VALUE"""),"https://vt.tiktok.com/ZSxUQpeKS/")</f>
        <v>https://vt.tiktok.com/ZSxUQpeKS/</v>
      </c>
    </row>
    <row r="1980">
      <c r="A1980" s="282" t="str">
        <f>IFERROR(__xludf.DUMMYFUNCTION("""COMPUTED_VALUE"""),"MICRO")</f>
        <v>MICRO</v>
      </c>
      <c r="B1980" s="468" t="str">
        <f>IFERROR(__xludf.DUMMYFUNCTION("""COMPUTED_VALUE"""),"rrsqinuriza20_")</f>
        <v>rrsqinuriza20_</v>
      </c>
      <c r="C1980" s="283" t="str">
        <f>IFERROR(__xludf.DUMMYFUNCTION("""COMPUTED_VALUE"""),"https://www.tiktok.com/@rrsqinuriza20_")</f>
        <v>https://www.tiktok.com/@rrsqinuriza20_</v>
      </c>
      <c r="D1980" s="273"/>
      <c r="E1980" s="458">
        <f>IFERROR(__xludf.DUMMYFUNCTION("""COMPUTED_VALUE"""),0.0)</f>
        <v>0</v>
      </c>
      <c r="F1980" s="273">
        <f>IFERROR(__xludf.DUMMYFUNCTION("""COMPUTED_VALUE"""),4.0)</f>
        <v>4</v>
      </c>
      <c r="G1980" t="str">
        <f>IFERROR(__xludf.DUMMYFUNCTION("""COMPUTED_VALUE"""),"Sabun batang 1 Box ( 2 PCS )")</f>
        <v>Sabun batang 1 Box ( 2 PCS )</v>
      </c>
      <c r="H1980" s="469"/>
      <c r="I1980" s="470"/>
      <c r="J1980" s="471" t="str">
        <f>IFERROR(__xludf.DUMMYFUNCTION("""COMPUTED_VALUE"""),"https://vt.tiktok.com/ZSxTUCNGP/")</f>
        <v>https://vt.tiktok.com/ZSxTUCNGP/</v>
      </c>
      <c r="K1980" s="470"/>
      <c r="L1980" s="471" t="str">
        <f>IFERROR(__xludf.DUMMYFUNCTION("""COMPUTED_VALUE"""),"https://vt.tiktok.com/ZSxTUkMh3/")</f>
        <v>https://vt.tiktok.com/ZSxTUkMh3/</v>
      </c>
      <c r="M1980" s="470"/>
      <c r="N1980" s="471" t="str">
        <f>IFERROR(__xludf.DUMMYFUNCTION("""COMPUTED_VALUE"""),"https://vt.tiktok.com/ZSxDopKCa/")</f>
        <v>https://vt.tiktok.com/ZSxDopKCa/</v>
      </c>
      <c r="O1980" s="470"/>
      <c r="P1980" s="471" t="str">
        <f>IFERROR(__xludf.DUMMYFUNCTION("""COMPUTED_VALUE"""),"https://vt.tiktok.com/ZSxA2ubKN/")</f>
        <v>https://vt.tiktok.com/ZSxA2ubKN/</v>
      </c>
    </row>
    <row r="1981">
      <c r="A1981" s="282" t="str">
        <f>IFERROR(__xludf.DUMMYFUNCTION("""COMPUTED_VALUE"""),"MICRO")</f>
        <v>MICRO</v>
      </c>
      <c r="B1981" s="468" t="str">
        <f>IFERROR(__xludf.DUMMYFUNCTION("""COMPUTED_VALUE"""),"lilisshop80")</f>
        <v>lilisshop80</v>
      </c>
      <c r="C1981" s="283" t="str">
        <f>IFERROR(__xludf.DUMMYFUNCTION("""COMPUTED_VALUE"""),"https://www.tiktok.com/@lilisshop80")</f>
        <v>https://www.tiktok.com/@lilisshop80</v>
      </c>
      <c r="D1981" s="273"/>
      <c r="E1981" s="458">
        <f>IFERROR(__xludf.DUMMYFUNCTION("""COMPUTED_VALUE"""),0.0)</f>
        <v>0</v>
      </c>
      <c r="F1981" s="273">
        <f>IFERROR(__xludf.DUMMYFUNCTION("""COMPUTED_VALUE"""),4.0)</f>
        <v>4</v>
      </c>
      <c r="G1981" t="str">
        <f>IFERROR(__xludf.DUMMYFUNCTION("""COMPUTED_VALUE"""),"Sabun batang 1 Box ( 2 PCS )")</f>
        <v>Sabun batang 1 Box ( 2 PCS )</v>
      </c>
      <c r="H1981" s="469"/>
      <c r="I1981" s="470"/>
      <c r="J1981" s="471" t="str">
        <f>IFERROR(__xludf.DUMMYFUNCTION("""COMPUTED_VALUE"""),"https://vt.tiktok.com/ZSxbE8uxh/")</f>
        <v>https://vt.tiktok.com/ZSxbE8uxh/</v>
      </c>
      <c r="K1981" s="470"/>
      <c r="L1981" s="471" t="str">
        <f>IFERROR(__xludf.DUMMYFUNCTION("""COMPUTED_VALUE"""),"https://vt.tiktok.com/ZSxboQyXH/")</f>
        <v>https://vt.tiktok.com/ZSxboQyXH/</v>
      </c>
      <c r="M1981" s="470"/>
      <c r="N1981" s="471" t="str">
        <f>IFERROR(__xludf.DUMMYFUNCTION("""COMPUTED_VALUE"""),"https://vt.tiktok.com/ZSxxwxMtg/")</f>
        <v>https://vt.tiktok.com/ZSxxwxMtg/</v>
      </c>
      <c r="O1981" s="470"/>
      <c r="P1981" s="471" t="str">
        <f>IFERROR(__xludf.DUMMYFUNCTION("""COMPUTED_VALUE"""),"https://vt.tiktok.com/ZSxHkwbPr/")</f>
        <v>https://vt.tiktok.com/ZSxHkwbPr/</v>
      </c>
    </row>
    <row r="1982">
      <c r="A1982" s="282" t="str">
        <f>IFERROR(__xludf.DUMMYFUNCTION("""COMPUTED_VALUE"""),"MICRO")</f>
        <v>MICRO</v>
      </c>
      <c r="B1982" s="468" t="str">
        <f>IFERROR(__xludf.DUMMYFUNCTION("""COMPUTED_VALUE"""),"trianurmldh ")</f>
        <v>trianurmldh </v>
      </c>
      <c r="C1982" s="283" t="str">
        <f>IFERROR(__xludf.DUMMYFUNCTION("""COMPUTED_VALUE"""),"https://www.tiktok.com/@trianurmldh ")</f>
        <v>https://www.tiktok.com/@trianurmldh </v>
      </c>
      <c r="D1982" s="273"/>
      <c r="E1982" s="458">
        <f>IFERROR(__xludf.DUMMYFUNCTION("""COMPUTED_VALUE"""),0.0)</f>
        <v>0</v>
      </c>
      <c r="F1982" s="273">
        <f>IFERROR(__xludf.DUMMYFUNCTION("""COMPUTED_VALUE"""),4.0)</f>
        <v>4</v>
      </c>
      <c r="G1982" t="str">
        <f>IFERROR(__xludf.DUMMYFUNCTION("""COMPUTED_VALUE"""),"Sabun batang 1 Box ( 2 PCS )")</f>
        <v>Sabun batang 1 Box ( 2 PCS )</v>
      </c>
      <c r="H1982" s="469"/>
      <c r="I1982" s="470"/>
      <c r="J1982" s="471" t="str">
        <f>IFERROR(__xludf.DUMMYFUNCTION("""COMPUTED_VALUE"""),"https://vt.tiktok.com/ZSxgHHC3D/")</f>
        <v>https://vt.tiktok.com/ZSxgHHC3D/</v>
      </c>
      <c r="K1982" s="470"/>
      <c r="L1982" t="str">
        <f>IFERROR(__xludf.DUMMYFUNCTION("""COMPUTED_VALUE"""),"⁠https://vt.tiktok.com/ZSxP6gJkT/")</f>
        <v>⁠https://vt.tiktok.com/ZSxP6gJkT/</v>
      </c>
      <c r="M1982" s="470"/>
      <c r="N1982" s="471" t="str">
        <f>IFERROR(__xludf.DUMMYFUNCTION("""COMPUTED_VALUE"""),"https://vt.tiktok.com/ZSxuq6H1a/")</f>
        <v>https://vt.tiktok.com/ZSxuq6H1a/</v>
      </c>
      <c r="O1982" s="470"/>
      <c r="P1982" s="471" t="str">
        <f>IFERROR(__xludf.DUMMYFUNCTION("""COMPUTED_VALUE"""),"https://vt.tiktok.com/ZSxaXYJHp/")</f>
        <v>https://vt.tiktok.com/ZSxaXYJHp/</v>
      </c>
    </row>
    <row r="1983">
      <c r="A1983" s="282" t="str">
        <f>IFERROR(__xludf.DUMMYFUNCTION("""COMPUTED_VALUE"""),"MICRO")</f>
        <v>MICRO</v>
      </c>
      <c r="B1983" s="468" t="str">
        <f>IFERROR(__xludf.DUMMYFUNCTION("""COMPUTED_VALUE"""),"Elmi_151")</f>
        <v>Elmi_151</v>
      </c>
      <c r="C1983" s="283" t="str">
        <f>IFERROR(__xludf.DUMMYFUNCTION("""COMPUTED_VALUE"""),"https://www.tiktok.com/@Elmi_151")</f>
        <v>https://www.tiktok.com/@Elmi_151</v>
      </c>
      <c r="D1983" s="273"/>
      <c r="E1983" s="458">
        <f>IFERROR(__xludf.DUMMYFUNCTION("""COMPUTED_VALUE"""),0.0)</f>
        <v>0</v>
      </c>
      <c r="F1983" s="273">
        <f>IFERROR(__xludf.DUMMYFUNCTION("""COMPUTED_VALUE"""),4.0)</f>
        <v>4</v>
      </c>
      <c r="G1983" t="str">
        <f>IFERROR(__xludf.DUMMYFUNCTION("""COMPUTED_VALUE"""),"Sabun batang 1 Box ( 2 PCS )")</f>
        <v>Sabun batang 1 Box ( 2 PCS )</v>
      </c>
      <c r="H1983" s="469"/>
      <c r="I1983" s="470"/>
      <c r="J1983" t="str">
        <f>IFERROR(__xludf.DUMMYFUNCTION("""COMPUTED_VALUE"""),"⁠https://vt.tiktok.com/ZSxgHgGob/")</f>
        <v>⁠https://vt.tiktok.com/ZSxgHgGob/</v>
      </c>
      <c r="K1983" s="470"/>
      <c r="L1983" s="471" t="str">
        <f>IFERROR(__xludf.DUMMYFUNCTION("""COMPUTED_VALUE"""),"https://vt.tiktok.com/ZSxyAbQhe/")</f>
        <v>https://vt.tiktok.com/ZSxyAbQhe/</v>
      </c>
      <c r="M1983" s="470"/>
      <c r="N1983" s="471" t="str">
        <f>IFERROR(__xludf.DUMMYFUNCTION("""COMPUTED_VALUE"""),"https://vt.tiktok.com/ZSxPkP3Tg/")</f>
        <v>https://vt.tiktok.com/ZSxPkP3Tg/</v>
      </c>
      <c r="O1983" s="470"/>
      <c r="P1983" s="471" t="str">
        <f>IFERROR(__xludf.DUMMYFUNCTION("""COMPUTED_VALUE"""),"https://vt.tiktok.com/ZSxSTt9bR/")</f>
        <v>https://vt.tiktok.com/ZSxSTt9bR/</v>
      </c>
    </row>
    <row r="1984">
      <c r="A1984" s="282" t="str">
        <f>IFERROR(__xludf.DUMMYFUNCTION("""COMPUTED_VALUE"""),"MICRO")</f>
        <v>MICRO</v>
      </c>
      <c r="B1984" s="468" t="str">
        <f>IFERROR(__xludf.DUMMYFUNCTION("""COMPUTED_VALUE"""),"Yucunya")</f>
        <v>Yucunya</v>
      </c>
      <c r="C1984" s="283" t="str">
        <f>IFERROR(__xludf.DUMMYFUNCTION("""COMPUTED_VALUE"""),"https://www.tiktok.com/@Yucunya")</f>
        <v>https://www.tiktok.com/@Yucunya</v>
      </c>
      <c r="D1984" s="273"/>
      <c r="E1984" s="458">
        <f>IFERROR(__xludf.DUMMYFUNCTION("""COMPUTED_VALUE"""),0.0)</f>
        <v>0</v>
      </c>
      <c r="F1984" s="273">
        <f>IFERROR(__xludf.DUMMYFUNCTION("""COMPUTED_VALUE"""),4.0)</f>
        <v>4</v>
      </c>
      <c r="G1984" t="str">
        <f>IFERROR(__xludf.DUMMYFUNCTION("""COMPUTED_VALUE"""),"Sabun batang 1 Box ( 2 PCS )")</f>
        <v>Sabun batang 1 Box ( 2 PCS )</v>
      </c>
      <c r="H1984" s="469"/>
      <c r="I1984" s="470"/>
      <c r="J1984" t="str">
        <f>IFERROR(__xludf.DUMMYFUNCTION("""COMPUTED_VALUE"""),"⁠https://vt.tiktok.com/ZSxgHHkFP/")</f>
        <v>⁠https://vt.tiktok.com/ZSxgHHkFP/</v>
      </c>
      <c r="K1984" s="470"/>
      <c r="L1984" s="471" t="str">
        <f>IFERROR(__xludf.DUMMYFUNCTION("""COMPUTED_VALUE"""),"https://vt.tiktok.com/ZSxyAHpv9/")</f>
        <v>https://vt.tiktok.com/ZSxyAHpv9/</v>
      </c>
      <c r="M1984" s="470"/>
      <c r="N1984" s="471" t="str">
        <f>IFERROR(__xludf.DUMMYFUNCTION("""COMPUTED_VALUE"""),"https://vt.tiktok.com/ZSxxBbr8A/")</f>
        <v>https://vt.tiktok.com/ZSxxBbr8A/</v>
      </c>
      <c r="O1984" s="470"/>
      <c r="P1984" s="471" t="str">
        <f>IFERROR(__xludf.DUMMYFUNCTION("""COMPUTED_VALUE"""),"https://vt.tiktok.com/ZSxxBoQsq/")</f>
        <v>https://vt.tiktok.com/ZSxxBoQsq/</v>
      </c>
    </row>
    <row r="1985">
      <c r="A1985" s="282" t="str">
        <f>IFERROR(__xludf.DUMMYFUNCTION("""COMPUTED_VALUE"""),"MICRO")</f>
        <v>MICRO</v>
      </c>
      <c r="B1985" s="468" t="str">
        <f>IFERROR(__xludf.DUMMYFUNCTION("""COMPUTED_VALUE"""),"ayuzakia10")</f>
        <v>ayuzakia10</v>
      </c>
      <c r="C1985" s="283" t="str">
        <f>IFERROR(__xludf.DUMMYFUNCTION("""COMPUTED_VALUE"""),"https://www.tiktok.com/@ayuzakia10")</f>
        <v>https://www.tiktok.com/@ayuzakia10</v>
      </c>
      <c r="D1985" s="273"/>
      <c r="E1985" s="458">
        <f>IFERROR(__xludf.DUMMYFUNCTION("""COMPUTED_VALUE"""),0.0)</f>
        <v>0</v>
      </c>
      <c r="F1985" s="273">
        <f>IFERROR(__xludf.DUMMYFUNCTION("""COMPUTED_VALUE"""),4.0)</f>
        <v>4</v>
      </c>
      <c r="G1985" t="str">
        <f>IFERROR(__xludf.DUMMYFUNCTION("""COMPUTED_VALUE"""),"Sabun batang 1 Box ( 2 PCS )")</f>
        <v>Sabun batang 1 Box ( 2 PCS )</v>
      </c>
      <c r="H1985" s="469"/>
      <c r="I1985" s="470"/>
      <c r="J1985" t="str">
        <f>IFERROR(__xludf.DUMMYFUNCTION("""COMPUTED_VALUE"""),"⁠https://vt.tiktok.com/ZSxgHWTDe/")</f>
        <v>⁠https://vt.tiktok.com/ZSxgHWTDe/</v>
      </c>
      <c r="K1985" s="470"/>
      <c r="L1985" s="471" t="str">
        <f>IFERROR(__xludf.DUMMYFUNCTION("""COMPUTED_VALUE"""),"https://vt.tiktok.com/ZSxyAaAv6/")</f>
        <v>https://vt.tiktok.com/ZSxyAaAv6/</v>
      </c>
      <c r="M1985" s="470"/>
      <c r="N1985" s="471" t="str">
        <f>IFERROR(__xludf.DUMMYFUNCTION("""COMPUTED_VALUE"""),"https://vt.tiktok.com/ZSxxBwseS/")</f>
        <v>https://vt.tiktok.com/ZSxxBwseS/</v>
      </c>
      <c r="O1985" s="470"/>
      <c r="P1985" s="471" t="str">
        <f>IFERROR(__xludf.DUMMYFUNCTION("""COMPUTED_VALUE"""),"https://vt.tiktok.com/ZSxxBbQhN/")</f>
        <v>https://vt.tiktok.com/ZSxxBbQhN/</v>
      </c>
    </row>
    <row r="1986">
      <c r="A1986" s="282" t="str">
        <f>IFERROR(__xludf.DUMMYFUNCTION("""COMPUTED_VALUE"""),"MICRO")</f>
        <v>MICRO</v>
      </c>
      <c r="B1986" s="468" t="str">
        <f>IFERROR(__xludf.DUMMYFUNCTION("""COMPUTED_VALUE"""),"mia_sihite")</f>
        <v>mia_sihite</v>
      </c>
      <c r="C1986" s="283" t="str">
        <f>IFERROR(__xludf.DUMMYFUNCTION("""COMPUTED_VALUE"""),"https://www.tiktok.com/@mia_sihite")</f>
        <v>https://www.tiktok.com/@mia_sihite</v>
      </c>
      <c r="D1986" s="273"/>
      <c r="E1986" s="458">
        <f>IFERROR(__xludf.DUMMYFUNCTION("""COMPUTED_VALUE"""),0.0)</f>
        <v>0</v>
      </c>
      <c r="F1986" s="273">
        <f>IFERROR(__xludf.DUMMYFUNCTION("""COMPUTED_VALUE"""),4.0)</f>
        <v>4</v>
      </c>
      <c r="G1986" t="str">
        <f>IFERROR(__xludf.DUMMYFUNCTION("""COMPUTED_VALUE"""),"Sabun batang 1 Box ( 2 PCS )")</f>
        <v>Sabun batang 1 Box ( 2 PCS )</v>
      </c>
      <c r="H1986" s="469"/>
      <c r="I1986" s="470"/>
      <c r="J1986" t="str">
        <f>IFERROR(__xludf.DUMMYFUNCTION("""COMPUTED_VALUE"""),"⁠https://vt.tiktok.com/ZSxgHQsFS/")</f>
        <v>⁠https://vt.tiktok.com/ZSxgHQsFS/</v>
      </c>
      <c r="K1986" s="470"/>
      <c r="L1986" s="471" t="str">
        <f>IFERROR(__xludf.DUMMYFUNCTION("""COMPUTED_VALUE"""),"https://vt.tiktok.com/ZSxyAXXLK/")</f>
        <v>https://vt.tiktok.com/ZSxyAXXLK/</v>
      </c>
      <c r="M1986" s="470"/>
      <c r="N1986" t="str">
        <f>IFERROR(__xludf.DUMMYFUNCTION("""COMPUTED_VALUE"""),"⁠https://vt.tiktok.com/ZSxxBqVrB/")</f>
        <v>⁠https://vt.tiktok.com/ZSxxBqVrB/</v>
      </c>
      <c r="O1986" s="470"/>
      <c r="P1986" t="str">
        <f>IFERROR(__xludf.DUMMYFUNCTION("""COMPUTED_VALUE"""),"⁠⁠⁠⁠https://vt.tiktok.com/ZSxxBpVAw/")</f>
        <v>⁠⁠⁠⁠https://vt.tiktok.com/ZSxxBpVAw/</v>
      </c>
    </row>
    <row r="1987">
      <c r="A1987" s="282" t="str">
        <f>IFERROR(__xludf.DUMMYFUNCTION("""COMPUTED_VALUE"""),"MICRO")</f>
        <v>MICRO</v>
      </c>
      <c r="B1987" s="468" t="str">
        <f>IFERROR(__xludf.DUMMYFUNCTION("""COMPUTED_VALUE"""),"annyeongitskaa")</f>
        <v>annyeongitskaa</v>
      </c>
      <c r="C1987" s="283" t="str">
        <f>IFERROR(__xludf.DUMMYFUNCTION("""COMPUTED_VALUE"""),"https://www.tiktok.com/@annyeongitskaa")</f>
        <v>https://www.tiktok.com/@annyeongitskaa</v>
      </c>
      <c r="D1987" s="273"/>
      <c r="E1987" s="458">
        <f>IFERROR(__xludf.DUMMYFUNCTION("""COMPUTED_VALUE"""),0.0)</f>
        <v>0</v>
      </c>
      <c r="F1987" s="273">
        <f>IFERROR(__xludf.DUMMYFUNCTION("""COMPUTED_VALUE"""),4.0)</f>
        <v>4</v>
      </c>
      <c r="G1987" t="str">
        <f>IFERROR(__xludf.DUMMYFUNCTION("""COMPUTED_VALUE"""),"Sabun batang 1 Box ( 2 PCS )")</f>
        <v>Sabun batang 1 Box ( 2 PCS )</v>
      </c>
      <c r="H1987" s="469"/>
      <c r="I1987" s="470"/>
      <c r="J1987" t="str">
        <f>IFERROR(__xludf.DUMMYFUNCTION("""COMPUTED_VALUE"""),"⁠https://vt.tiktok.com/ZSxgHRvcN/")</f>
        <v>⁠https://vt.tiktok.com/ZSxgHRvcN/</v>
      </c>
      <c r="K1987" s="470"/>
      <c r="L1987" s="471" t="str">
        <f>IFERROR(__xludf.DUMMYFUNCTION("""COMPUTED_VALUE"""),"https://vt.tiktok.com/ZSxyA5Dpm/")</f>
        <v>https://vt.tiktok.com/ZSxyA5Dpm/</v>
      </c>
      <c r="M1987" s="470"/>
      <c r="N1987" s="471" t="str">
        <f>IFERROR(__xludf.DUMMYFUNCTION("""COMPUTED_VALUE"""),"https://vt.tiktok.com/ZSxxBvrKW/")</f>
        <v>https://vt.tiktok.com/ZSxxBvrKW/</v>
      </c>
      <c r="O1987" s="470"/>
      <c r="P1987" s="471" t="str">
        <f>IFERROR(__xludf.DUMMYFUNCTION("""COMPUTED_VALUE"""),"https://vt.tiktok.com/ZSxxBw3D7/")</f>
        <v>https://vt.tiktok.com/ZSxxBw3D7/</v>
      </c>
    </row>
    <row r="1988">
      <c r="A1988" s="282" t="str">
        <f>IFERROR(__xludf.DUMMYFUNCTION("""COMPUTED_VALUE"""),"MICRO")</f>
        <v>MICRO</v>
      </c>
      <c r="B1988" s="468" t="str">
        <f>IFERROR(__xludf.DUMMYFUNCTION("""COMPUTED_VALUE"""),"dewishopp02 ")</f>
        <v>dewishopp02 </v>
      </c>
      <c r="C1988" s="283" t="str">
        <f>IFERROR(__xludf.DUMMYFUNCTION("""COMPUTED_VALUE"""),"https://www.tiktok.com/@dewishopp02 ")</f>
        <v>https://www.tiktok.com/@dewishopp02 </v>
      </c>
      <c r="D1988" s="273"/>
      <c r="E1988" s="458">
        <f>IFERROR(__xludf.DUMMYFUNCTION("""COMPUTED_VALUE"""),0.0)</f>
        <v>0</v>
      </c>
      <c r="F1988" s="273">
        <f>IFERROR(__xludf.DUMMYFUNCTION("""COMPUTED_VALUE"""),4.0)</f>
        <v>4</v>
      </c>
      <c r="G1988" t="str">
        <f>IFERROR(__xludf.DUMMYFUNCTION("""COMPUTED_VALUE"""),"Sabun batang 1 Box ( 2 PCS )")</f>
        <v>Sabun batang 1 Box ( 2 PCS )</v>
      </c>
      <c r="H1988" s="469"/>
      <c r="I1988" s="470"/>
      <c r="J1988" s="471" t="str">
        <f>IFERROR(__xludf.DUMMYFUNCTION("""COMPUTED_VALUE"""),"https://vt.tiktok.com/ZSxTAr5aJ/")</f>
        <v>https://vt.tiktok.com/ZSxTAr5aJ/</v>
      </c>
      <c r="K1988" s="470"/>
      <c r="L1988" s="471" t="str">
        <f>IFERROR(__xludf.DUMMYFUNCTION("""COMPUTED_VALUE"""),"https://vt.tiktok.com/ZSxwYrUcU/")</f>
        <v>https://vt.tiktok.com/ZSxwYrUcU/</v>
      </c>
      <c r="M1988" s="470"/>
      <c r="N1988" s="471" t="str">
        <f>IFERROR(__xludf.DUMMYFUNCTION("""COMPUTED_VALUE"""),"https://vt.tiktok.com/ZSxxBT9x4/")</f>
        <v>https://vt.tiktok.com/ZSxxBT9x4/</v>
      </c>
      <c r="O1988" s="470"/>
      <c r="P1988" t="str">
        <f>IFERROR(__xludf.DUMMYFUNCTION("""COMPUTED_VALUE"""),"⁠https://vt.tiktok.com/ZSxPMNRYe/")</f>
        <v>⁠https://vt.tiktok.com/ZSxPMNRYe/</v>
      </c>
    </row>
    <row r="1989">
      <c r="A1989" s="282" t="str">
        <f>IFERROR(__xludf.DUMMYFUNCTION("""COMPUTED_VALUE"""),"MICRO")</f>
        <v>MICRO</v>
      </c>
      <c r="B1989" s="468" t="str">
        <f>IFERROR(__xludf.DUMMYFUNCTION("""COMPUTED_VALUE"""),"cxyzcyy")</f>
        <v>cxyzcyy</v>
      </c>
      <c r="C1989" s="283" t="str">
        <f>IFERROR(__xludf.DUMMYFUNCTION("""COMPUTED_VALUE"""),"https://www.tiktok.com/@cxyzcyy")</f>
        <v>https://www.tiktok.com/@cxyzcyy</v>
      </c>
      <c r="D1989" s="273"/>
      <c r="E1989" s="458">
        <f>IFERROR(__xludf.DUMMYFUNCTION("""COMPUTED_VALUE"""),0.0)</f>
        <v>0</v>
      </c>
      <c r="F1989" s="273">
        <f>IFERROR(__xludf.DUMMYFUNCTION("""COMPUTED_VALUE"""),4.0)</f>
        <v>4</v>
      </c>
      <c r="G1989" t="str">
        <f>IFERROR(__xludf.DUMMYFUNCTION("""COMPUTED_VALUE"""),"Sabun batang 1 Box ( 2 PCS )")</f>
        <v>Sabun batang 1 Box ( 2 PCS )</v>
      </c>
      <c r="H1989" s="469"/>
      <c r="I1989" s="470"/>
      <c r="J1989" s="471" t="str">
        <f>IFERROR(__xludf.DUMMYFUNCTION("""COMPUTED_VALUE"""),"https://vt.tiktok.com/ZSxKqT4Jg/")</f>
        <v>https://vt.tiktok.com/ZSxKqT4Jg/</v>
      </c>
      <c r="K1989" s="470"/>
      <c r="L1989" s="471" t="str">
        <f>IFERROR(__xludf.DUMMYFUNCTION("""COMPUTED_VALUE"""),"https://vt.tiktok.com/ZSxKbSCsx/")</f>
        <v>https://vt.tiktok.com/ZSxKbSCsx/</v>
      </c>
      <c r="M1989" s="470"/>
      <c r="N1989" s="471" t="str">
        <f>IFERROR(__xludf.DUMMYFUNCTION("""COMPUTED_VALUE"""),"https://www.tiktok.com/@cxyzcyy/video/7646325011774524690?_r=1&amp;u_code=db3d092ae7eihl&amp;region=&amp;mid=7634882836981369601&amp;preview_pb=0&amp;sharer_language=&amp;_d=0&amp;ec_shared_reflux_dynamic_params=%7B%22placeholder_material_id%22%3A%227646325011774524690%22%2C%22place"&amp;"holder_origin_cover%22%3A%22https%253A%252F%252Fp16-common-sign.tiktokcdn.com%252Ftos-alisg-p-0037%252FooVY0I8BPBNAvvwwAapnAEVVqCd0iihdIIBCU~tplv-tiktokx-origin.jpeg%253Fdr%253D14572%2526refresh_token%253D2c89ad5f%2526x-expires%253D1812099600%2526x-signat"&amp;"ure%253DZ9sgHVYsKVDPSeC%25252BMa4PbcOGm7Q%25253D%2526t%253D4d5b0474%2526ps%253D13740610%2526shp%253Dd05b14bd%2526shcp%253D34ff8df6%2526idc%253Dmy%2526s%253DTIKTOK_AFFILIATE_VIRAL_VIDEO%22%2C%22placeholder_product_id%22%3A%221729729730555512511%22%2C%22pla"&amp;"ceholder_video_id%22%3A%227646325011774524690%22%7D&amp;ec_shared_reflux_scene=shop_tab_feed&amp;share_item_id=7646325011774524690&amp;source=h5_t")</f>
        <v>https://www.tiktok.com/@cxyzcyy/video/7646325011774524690?_r=1&amp;u_code=db3d092ae7eihl&amp;region=&amp;mid=7634882836981369601&amp;preview_pb=0&amp;sharer_language=&amp;_d=0&amp;ec_shared_reflux_dynamic_params=%7B%22placeholder_material_id%22%3A%227646325011774524690%22%2C%22placeholder_origin_cover%22%3A%22https%253A%252F%252Fp16-common-sign.tiktokcdn.com%252Ftos-alisg-p-0037%252FooVY0I8BPBNAvvwwAapnAEVVqCd0iihdIIBCU~tplv-tiktokx-origin.jpeg%253Fdr%253D14572%2526refresh_token%253D2c89ad5f%2526x-expires%253D1812099600%2526x-signature%253DZ9sgHVYsKVDPSeC%25252BMa4PbcOGm7Q%25253D%2526t%253D4d5b0474%2526ps%253D13740610%2526shp%253Dd05b14bd%2526shcp%253D34ff8df6%2526idc%253Dmy%2526s%253DTIKTOK_AFFILIATE_VIRAL_VIDEO%22%2C%22placeholder_product_id%22%3A%221729729730555512511%22%2C%22placeholder_video_id%22%3A%227646325011774524690%22%7D&amp;ec_shared_reflux_scene=shop_tab_feed&amp;share_item_id=7646325011774524690&amp;source=h5_t</v>
      </c>
      <c r="O1989" s="470"/>
      <c r="P1989" t="str">
        <f>IFERROR(__xludf.DUMMYFUNCTION("""COMPUTED_VALUE"""),"⁠⁠⁠https://vt.tiktok.com/ZSxPMU3BH/")</f>
        <v>⁠⁠⁠https://vt.tiktok.com/ZSxPMU3BH/</v>
      </c>
    </row>
    <row r="1990">
      <c r="A1990" s="282" t="str">
        <f>IFERROR(__xludf.DUMMYFUNCTION("""COMPUTED_VALUE"""),"MICRO")</f>
        <v>MICRO</v>
      </c>
      <c r="B1990" s="468" t="str">
        <f>IFERROR(__xludf.DUMMYFUNCTION("""COMPUTED_VALUE"""),"Lidiyakhw1")</f>
        <v>Lidiyakhw1</v>
      </c>
      <c r="C1990" s="283" t="str">
        <f>IFERROR(__xludf.DUMMYFUNCTION("""COMPUTED_VALUE"""),"https://www.tiktok.com/@Lidiyakhw1")</f>
        <v>https://www.tiktok.com/@Lidiyakhw1</v>
      </c>
      <c r="D1990" s="273"/>
      <c r="E1990" s="458">
        <f>IFERROR(__xludf.DUMMYFUNCTION("""COMPUTED_VALUE"""),0.0)</f>
        <v>0</v>
      </c>
      <c r="F1990" s="273">
        <f>IFERROR(__xludf.DUMMYFUNCTION("""COMPUTED_VALUE"""),4.0)</f>
        <v>4</v>
      </c>
      <c r="G1990" t="str">
        <f>IFERROR(__xludf.DUMMYFUNCTION("""COMPUTED_VALUE"""),"Sabun batang 1 Box ( 2 PCS )")</f>
        <v>Sabun batang 1 Box ( 2 PCS )</v>
      </c>
      <c r="H1990" s="469"/>
      <c r="I1990" s="470"/>
      <c r="J1990" s="471" t="str">
        <f>IFERROR(__xludf.DUMMYFUNCTION("""COMPUTED_VALUE"""),"https://vt.tiktok.com/ZSxgaK3aR/")</f>
        <v>https://vt.tiktok.com/ZSxgaK3aR/</v>
      </c>
      <c r="K1990" s="470"/>
      <c r="L1990" s="471" t="str">
        <f>IFERROR(__xludf.DUMMYFUNCTION("""COMPUTED_VALUE"""),"https://vt.tiktok.com/ZSxgvj9C1/")</f>
        <v>https://vt.tiktok.com/ZSxgvj9C1/</v>
      </c>
      <c r="M1990" s="470"/>
      <c r="N1990" s="471" t="str">
        <f>IFERROR(__xludf.DUMMYFUNCTION("""COMPUTED_VALUE"""),"https://vt.tiktok.com/ZSxyANDsv/")</f>
        <v>https://vt.tiktok.com/ZSxyANDsv/</v>
      </c>
      <c r="O1990" s="470"/>
      <c r="P1990" t="str">
        <f>IFERROR(__xludf.DUMMYFUNCTION("""COMPUTED_VALUE"""),"⁠https://vt.tiktok.com/ZSxP6oLWr/")</f>
        <v>⁠https://vt.tiktok.com/ZSxP6oLWr/</v>
      </c>
    </row>
    <row r="1991">
      <c r="A1991" s="282" t="str">
        <f>IFERROR(__xludf.DUMMYFUNCTION("""COMPUTED_VALUE"""),"MICRO")</f>
        <v>MICRO</v>
      </c>
      <c r="B1991" s="468" t="str">
        <f>IFERROR(__xludf.DUMMYFUNCTION("""COMPUTED_VALUE"""),"Dita.susi")</f>
        <v>Dita.susi</v>
      </c>
      <c r="C1991" s="283" t="str">
        <f>IFERROR(__xludf.DUMMYFUNCTION("""COMPUTED_VALUE"""),"https://www.tiktok.com/@Dita.susi")</f>
        <v>https://www.tiktok.com/@Dita.susi</v>
      </c>
      <c r="D1991" s="273"/>
      <c r="E1991" s="458">
        <f>IFERROR(__xludf.DUMMYFUNCTION("""COMPUTED_VALUE"""),0.0)</f>
        <v>0</v>
      </c>
      <c r="F1991" s="273">
        <f>IFERROR(__xludf.DUMMYFUNCTION("""COMPUTED_VALUE"""),4.0)</f>
        <v>4</v>
      </c>
      <c r="G1991" t="str">
        <f>IFERROR(__xludf.DUMMYFUNCTION("""COMPUTED_VALUE"""),"Sabun batang 1 Box ( 2 PCS )")</f>
        <v>Sabun batang 1 Box ( 2 PCS )</v>
      </c>
      <c r="H1991" s="469"/>
      <c r="I1991" s="470"/>
      <c r="J1991" s="471" t="str">
        <f>IFERROR(__xludf.DUMMYFUNCTION("""COMPUTED_VALUE"""),"https://vt.tiktok.com/ZSxKXUMYT/")</f>
        <v>https://vt.tiktok.com/ZSxKXUMYT/</v>
      </c>
      <c r="K1991" s="470"/>
      <c r="L1991" s="471" t="str">
        <f>IFERROR(__xludf.DUMMYFUNCTION("""COMPUTED_VALUE"""),"https://vt.tiktok.com/ZSxK4946c/")</f>
        <v>https://vt.tiktok.com/ZSxK4946c/</v>
      </c>
      <c r="M1991" s="470"/>
      <c r="N1991" s="471" t="str">
        <f>IFERROR(__xludf.DUMMYFUNCTION("""COMPUTED_VALUE"""),"https://vt.tiktok.com/ZSxyAMGFy/")</f>
        <v>https://vt.tiktok.com/ZSxyAMGFy/</v>
      </c>
      <c r="O1991" s="470"/>
      <c r="P1991" t="str">
        <f>IFERROR(__xludf.DUMMYFUNCTION("""COMPUTED_VALUE"""),"⁠⁠⁠⁠https://vt.tiktok.com/ZSxPMk6T7/")</f>
        <v>⁠⁠⁠⁠https://vt.tiktok.com/ZSxPMk6T7/</v>
      </c>
    </row>
    <row r="1992">
      <c r="A1992" s="282" t="str">
        <f>IFERROR(__xludf.DUMMYFUNCTION("""COMPUTED_VALUE"""),"MICRO")</f>
        <v>MICRO</v>
      </c>
      <c r="B1992" s="468" t="str">
        <f>IFERROR(__xludf.DUMMYFUNCTION("""COMPUTED_VALUE"""),"siti305_")</f>
        <v>siti305_</v>
      </c>
      <c r="C1992" s="283" t="str">
        <f>IFERROR(__xludf.DUMMYFUNCTION("""COMPUTED_VALUE"""),"https://www.tiktok.com/@siti305_")</f>
        <v>https://www.tiktok.com/@siti305_</v>
      </c>
      <c r="D1992" s="273"/>
      <c r="E1992" s="458">
        <f>IFERROR(__xludf.DUMMYFUNCTION("""COMPUTED_VALUE"""),0.0)</f>
        <v>0</v>
      </c>
      <c r="F1992" s="273">
        <f>IFERROR(__xludf.DUMMYFUNCTION("""COMPUTED_VALUE"""),4.0)</f>
        <v>4</v>
      </c>
      <c r="G1992" t="str">
        <f>IFERROR(__xludf.DUMMYFUNCTION("""COMPUTED_VALUE"""),"Sabun batang 1 Box ( 2 PCS )")</f>
        <v>Sabun batang 1 Box ( 2 PCS )</v>
      </c>
      <c r="H1992" s="469"/>
      <c r="I1992" s="470"/>
      <c r="J1992" s="471" t="str">
        <f>IFERROR(__xludf.DUMMYFUNCTION("""COMPUTED_VALUE"""),"https://vt.tiktok.com/ZSxt8gLkC/")</f>
        <v>https://vt.tiktok.com/ZSxt8gLkC/</v>
      </c>
      <c r="K1992" s="470"/>
      <c r="L1992" s="471" t="str">
        <f>IFERROR(__xludf.DUMMYFUNCTION("""COMPUTED_VALUE"""),"https://vt.tiktok.com/ZSxt8nUYS/")</f>
        <v>https://vt.tiktok.com/ZSxt8nUYS/</v>
      </c>
      <c r="M1992" s="470"/>
      <c r="N1992" s="471" t="str">
        <f>IFERROR(__xludf.DUMMYFUNCTION("""COMPUTED_VALUE"""),"https://vt.tiktok.com/ZSxySoVWA/")</f>
        <v>https://vt.tiktok.com/ZSxySoVWA/</v>
      </c>
      <c r="O1992" s="470"/>
      <c r="P1992" s="471" t="str">
        <f>IFERROR(__xludf.DUMMYFUNCTION("""COMPUTED_VALUE"""),"https://vt.tiktok.com/ZSxyANvXC/")</f>
        <v>https://vt.tiktok.com/ZSxyANvXC/</v>
      </c>
    </row>
    <row r="1993">
      <c r="A1993" s="282" t="str">
        <f>IFERROR(__xludf.DUMMYFUNCTION("""COMPUTED_VALUE"""),"MICRO")</f>
        <v>MICRO</v>
      </c>
      <c r="B1993" s="468" t="str">
        <f>IFERROR(__xludf.DUMMYFUNCTION("""COMPUTED_VALUE"""),"zyfanstore")</f>
        <v>zyfanstore</v>
      </c>
      <c r="C1993" s="283" t="str">
        <f>IFERROR(__xludf.DUMMYFUNCTION("""COMPUTED_VALUE"""),"https://www.tiktok.com/@zyfanstore")</f>
        <v>https://www.tiktok.com/@zyfanstore</v>
      </c>
      <c r="D1993" s="273"/>
      <c r="E1993" s="458">
        <f>IFERROR(__xludf.DUMMYFUNCTION("""COMPUTED_VALUE"""),0.0)</f>
        <v>0</v>
      </c>
      <c r="F1993" s="273">
        <f>IFERROR(__xludf.DUMMYFUNCTION("""COMPUTED_VALUE"""),4.0)</f>
        <v>4</v>
      </c>
      <c r="G1993" t="str">
        <f>IFERROR(__xludf.DUMMYFUNCTION("""COMPUTED_VALUE"""),"Sabun batang 1 Box ( 2 PCS )")</f>
        <v>Sabun batang 1 Box ( 2 PCS )</v>
      </c>
      <c r="H1993" s="469"/>
      <c r="I1993" s="470"/>
      <c r="J1993" s="471" t="str">
        <f>IFERROR(__xludf.DUMMYFUNCTION("""COMPUTED_VALUE"""),"https://vt.tiktok.com/ZSxsx3agV/")</f>
        <v>https://vt.tiktok.com/ZSxsx3agV/</v>
      </c>
      <c r="K1993" s="470"/>
      <c r="L1993" s="471" t="str">
        <f>IFERROR(__xludf.DUMMYFUNCTION("""COMPUTED_VALUE"""),"https://vt.tiktok.com/ZSxsQdrhU/")</f>
        <v>https://vt.tiktok.com/ZSxsQdrhU/</v>
      </c>
      <c r="M1993" s="470"/>
      <c r="N1993" s="471" t="str">
        <f>IFERROR(__xludf.DUMMYFUNCTION("""COMPUTED_VALUE"""),"https://vt.tiktok.com/ZSxyA8wRx/")</f>
        <v>https://vt.tiktok.com/ZSxyA8wRx/</v>
      </c>
      <c r="O1993" s="470"/>
      <c r="P1993" s="471" t="str">
        <f>IFERROR(__xludf.DUMMYFUNCTION("""COMPUTED_VALUE"""),"https://vt.tiktok.com/ZSxyAr3NU/")</f>
        <v>https://vt.tiktok.com/ZSxyAr3NU/</v>
      </c>
    </row>
    <row r="1994">
      <c r="A1994" s="282" t="str">
        <f>IFERROR(__xludf.DUMMYFUNCTION("""COMPUTED_VALUE"""),"MICRO")</f>
        <v>MICRO</v>
      </c>
      <c r="B1994" s="468" t="str">
        <f>IFERROR(__xludf.DUMMYFUNCTION("""COMPUTED_VALUE"""),"itts.naiii")</f>
        <v>itts.naiii</v>
      </c>
      <c r="C1994" s="283" t="str">
        <f>IFERROR(__xludf.DUMMYFUNCTION("""COMPUTED_VALUE"""),"https://www.tiktok.com/@itts.naiii")</f>
        <v>https://www.tiktok.com/@itts.naiii</v>
      </c>
      <c r="D1994" s="273"/>
      <c r="E1994" s="458">
        <f>IFERROR(__xludf.DUMMYFUNCTION("""COMPUTED_VALUE"""),0.0)</f>
        <v>0</v>
      </c>
      <c r="F1994" s="273">
        <f>IFERROR(__xludf.DUMMYFUNCTION("""COMPUTED_VALUE"""),4.0)</f>
        <v>4</v>
      </c>
      <c r="G1994" t="str">
        <f>IFERROR(__xludf.DUMMYFUNCTION("""COMPUTED_VALUE"""),"Sabun batang 1 Box ( 2 PCS )")</f>
        <v>Sabun batang 1 Box ( 2 PCS )</v>
      </c>
      <c r="H1994" s="469"/>
      <c r="I1994" s="470"/>
      <c r="J1994" s="471" t="str">
        <f>IFERROR(__xludf.DUMMYFUNCTION("""COMPUTED_VALUE"""),"https://vt.tiktok.com/ZSxg7bQDQ/")</f>
        <v>https://vt.tiktok.com/ZSxg7bQDQ/</v>
      </c>
      <c r="K1994" s="470"/>
      <c r="L1994" s="471" t="str">
        <f>IFERROR(__xludf.DUMMYFUNCTION("""COMPUTED_VALUE"""),"https://vt.tiktok.com/ZSxpDGxNF/")</f>
        <v>https://vt.tiktok.com/ZSxpDGxNF/</v>
      </c>
      <c r="M1994" s="470"/>
      <c r="N1994" s="471" t="str">
        <f>IFERROR(__xludf.DUMMYFUNCTION("""COMPUTED_VALUE"""),"https://vt.tiktok.com/ZSxyS3jRk/")</f>
        <v>https://vt.tiktok.com/ZSxyS3jRk/</v>
      </c>
      <c r="O1994" s="470"/>
      <c r="P1994" s="471" t="str">
        <f>IFERROR(__xludf.DUMMYFUNCTION("""COMPUTED_VALUE"""),"https://vt.tiktok.com/ZSxyABeba/")</f>
        <v>https://vt.tiktok.com/ZSxyABeba/</v>
      </c>
    </row>
    <row r="1995">
      <c r="A1995" s="282" t="str">
        <f>IFERROR(__xludf.DUMMYFUNCTION("""COMPUTED_VALUE"""),"MICRO")</f>
        <v>MICRO</v>
      </c>
      <c r="B1995" s="468" t="str">
        <f>IFERROR(__xludf.DUMMYFUNCTION("""COMPUTED_VALUE"""),"yayayanggggggggggggggggg")</f>
        <v>yayayanggggggggggggggggg</v>
      </c>
      <c r="C1995" s="283" t="str">
        <f>IFERROR(__xludf.DUMMYFUNCTION("""COMPUTED_VALUE"""),"https://www.tiktok.com/@yayayanggggggggggggggggg")</f>
        <v>https://www.tiktok.com/@yayayanggggggggggggggggg</v>
      </c>
      <c r="D1995" s="273"/>
      <c r="E1995" s="458">
        <f>IFERROR(__xludf.DUMMYFUNCTION("""COMPUTED_VALUE"""),0.0)</f>
        <v>0</v>
      </c>
      <c r="F1995" s="273">
        <f>IFERROR(__xludf.DUMMYFUNCTION("""COMPUTED_VALUE"""),4.0)</f>
        <v>4</v>
      </c>
      <c r="G1995" t="str">
        <f>IFERROR(__xludf.DUMMYFUNCTION("""COMPUTED_VALUE"""),"Sabun batang 1 Box ( 2 PCS )")</f>
        <v>Sabun batang 1 Box ( 2 PCS )</v>
      </c>
      <c r="H1995" s="469"/>
      <c r="I1995" s="470"/>
      <c r="J1995" s="471" t="str">
        <f>IFERROR(__xludf.DUMMYFUNCTION("""COMPUTED_VALUE"""),"https://vt.tiktok.com/ZSxnosLAe/")</f>
        <v>https://vt.tiktok.com/ZSxnosLAe/</v>
      </c>
      <c r="K1995" s="470"/>
      <c r="L1995" s="471" t="str">
        <f>IFERROR(__xludf.DUMMYFUNCTION("""COMPUTED_VALUE"""),"https://vt.tiktok.com/ZSxcSXJct/")</f>
        <v>https://vt.tiktok.com/ZSxcSXJct/</v>
      </c>
      <c r="M1995" s="470"/>
      <c r="N1995" s="471" t="str">
        <f>IFERROR(__xludf.DUMMYFUNCTION("""COMPUTED_VALUE"""),"https://vt.tiktok.com/ZSxPMS28d/")</f>
        <v>https://vt.tiktok.com/ZSxPMS28d/</v>
      </c>
      <c r="O1995" s="470"/>
      <c r="P1995" t="str">
        <f>IFERROR(__xludf.DUMMYFUNCTION("""COMPUTED_VALUE"""),"⁠⁠https://vt.tiktok.com/ZSxPMU3BH/")</f>
        <v>⁠⁠https://vt.tiktok.com/ZSxPMU3BH/</v>
      </c>
    </row>
    <row r="1996">
      <c r="A1996" s="282" t="str">
        <f>IFERROR(__xludf.DUMMYFUNCTION("""COMPUTED_VALUE"""),"MICRO")</f>
        <v>MICRO</v>
      </c>
      <c r="B1996" s="468" t="str">
        <f>IFERROR(__xludf.DUMMYFUNCTION("""COMPUTED_VALUE"""),"Naladhipa2822")</f>
        <v>Naladhipa2822</v>
      </c>
      <c r="C1996" s="283" t="str">
        <f>IFERROR(__xludf.DUMMYFUNCTION("""COMPUTED_VALUE"""),"https://www.tiktok.com/@Naladhipa2822")</f>
        <v>https://www.tiktok.com/@Naladhipa2822</v>
      </c>
      <c r="D1996" s="273"/>
      <c r="E1996" s="458">
        <f>IFERROR(__xludf.DUMMYFUNCTION("""COMPUTED_VALUE"""),0.0)</f>
        <v>0</v>
      </c>
      <c r="F1996" s="273">
        <f>IFERROR(__xludf.DUMMYFUNCTION("""COMPUTED_VALUE"""),4.0)</f>
        <v>4</v>
      </c>
      <c r="G1996" t="str">
        <f>IFERROR(__xludf.DUMMYFUNCTION("""COMPUTED_VALUE"""),"Sabun batang 1 Box ( 2 PCS )")</f>
        <v>Sabun batang 1 Box ( 2 PCS )</v>
      </c>
      <c r="H1996" s="469"/>
      <c r="I1996" s="470"/>
      <c r="J1996" t="str">
        <f>IFERROR(__xludf.DUMMYFUNCTION("""COMPUTED_VALUE"""),"⁠https://vt.tiktok.com/ZSxghQWAA/")</f>
        <v>⁠https://vt.tiktok.com/ZSxghQWAA/</v>
      </c>
      <c r="K1996" s="470"/>
      <c r="L1996" s="471" t="str">
        <f>IFERROR(__xludf.DUMMYFUNCTION("""COMPUTED_VALUE"""),"https://vt.tiktok.com/ZSxP6oLWr/")</f>
        <v>https://vt.tiktok.com/ZSxP6oLWr/</v>
      </c>
      <c r="M1996" s="470"/>
      <c r="N1996" t="str">
        <f>IFERROR(__xludf.DUMMYFUNCTION("""COMPUTED_VALUE"""),"⁠⁠⁠https://vt.tiktok.com/ZSxPMk6T7/")</f>
        <v>⁠⁠⁠https://vt.tiktok.com/ZSxPMk6T7/</v>
      </c>
      <c r="O1996" s="470"/>
      <c r="P1996" s="471" t="str">
        <f>IFERROR(__xludf.DUMMYFUNCTION("""COMPUTED_VALUE"""),"https://vt.tiktok.com/ZSxPMjnf2/")</f>
        <v>https://vt.tiktok.com/ZSxPMjnf2/</v>
      </c>
    </row>
    <row r="1997">
      <c r="A1997" s="282" t="str">
        <f>IFERROR(__xludf.DUMMYFUNCTION("""COMPUTED_VALUE"""),"MICRO")</f>
        <v>MICRO</v>
      </c>
      <c r="B1997" s="468" t="str">
        <f>IFERROR(__xludf.DUMMYFUNCTION("""COMPUTED_VALUE"""),"Asri_enp")</f>
        <v>Asri_enp</v>
      </c>
      <c r="C1997" s="283" t="str">
        <f>IFERROR(__xludf.DUMMYFUNCTION("""COMPUTED_VALUE"""),"https://www.tiktok.com/@Asri_enp")</f>
        <v>https://www.tiktok.com/@Asri_enp</v>
      </c>
      <c r="D1997" s="273"/>
      <c r="E1997" s="458">
        <f>IFERROR(__xludf.DUMMYFUNCTION("""COMPUTED_VALUE"""),0.0)</f>
        <v>0</v>
      </c>
      <c r="F1997" s="273">
        <f>IFERROR(__xludf.DUMMYFUNCTION("""COMPUTED_VALUE"""),4.0)</f>
        <v>4</v>
      </c>
      <c r="G1997" t="str">
        <f>IFERROR(__xludf.DUMMYFUNCTION("""COMPUTED_VALUE"""),"Sabun batang 1 Box ( 2 PCS )")</f>
        <v>Sabun batang 1 Box ( 2 PCS )</v>
      </c>
      <c r="H1997" s="469"/>
      <c r="I1997" s="470"/>
      <c r="J1997" s="471" t="str">
        <f>IFERROR(__xludf.DUMMYFUNCTION("""COMPUTED_VALUE"""),"https://www.tiktok.com/@asri_enp/video/7647100221654355218?_r=1&amp;u_code=ed1mbmhe6jea26&amp;region=&amp;mid=7633721667046836241&amp;preview_pb=0&amp;sharer_language=&amp;_d=0&amp;ec_shared_reflux_dynamic_params=%7B%22placeholder_material_id%22%3A%227647100221654355218%22%2C%22plac"&amp;"eholder_origin_cover%22%3A%22https%253A%252F%252Fp16-common-sign.tiktokcdn.com%252Ftos-alisg-p-0037%252FoorgAQsCNI8gQA68fAMfxemXXLNMiKXJgfXMf2~tplv-tiktokx-origin.jpeg%253Fdr%253D14572%2526refresh_token%253D5b7b7f7f%2526x-expires%253D1812099600%2526x-sign"&amp;"ature%253Dzybez5f9YfVX%25252FpZmjqkfOaxiUPY%25253D%2526t%253D4d5b0474%2526ps%253D13740610%2526shp%253Dd05b14bd%2526shcp%253D34ff8df6%2526idc%253Dmy%2526s%253DTIKTOK_AFFILIATE_VIRAL_VIDEO%22%2C%22placeholder_product_id%22%3A%221729427766722726591%22%2C%22p"&amp;"laceholder_video_id%22%3A%227647100221654355218%22%7D&amp;ec_shared_reflux_scene=shop_tab_feed&amp;share_item_id=7647100221654355218&amp;source=h5_t")</f>
        <v>https://www.tiktok.com/@asri_enp/video/7647100221654355218?_r=1&amp;u_code=ed1mbmhe6jea26&amp;region=&amp;mid=7633721667046836241&amp;preview_pb=0&amp;sharer_language=&amp;_d=0&amp;ec_shared_reflux_dynamic_params=%7B%22placeholder_material_id%22%3A%227647100221654355218%22%2C%22placeholder_origin_cover%22%3A%22https%253A%252F%252Fp16-common-sign.tiktokcdn.com%252Ftos-alisg-p-0037%252FoorgAQsCNI8gQA68fAMfxemXXLNMiKXJgfXMf2~tplv-tiktokx-origin.jpeg%253Fdr%253D14572%2526refresh_token%253D5b7b7f7f%2526x-expires%253D1812099600%2526x-signature%253Dzybez5f9YfVX%25252FpZmjqkfOaxiUPY%25253D%2526t%253D4d5b0474%2526ps%253D13740610%2526shp%253Dd05b14bd%2526shcp%253D34ff8df6%2526idc%253Dmy%2526s%253DTIKTOK_AFFILIATE_VIRAL_VIDEO%22%2C%22placeholder_product_id%22%3A%221729427766722726591%22%2C%22placeholder_video_id%22%3A%227647100221654355218%22%7D&amp;ec_shared_reflux_scene=shop_tab_feed&amp;share_item_id=7647100221654355218&amp;source=h5_t</v>
      </c>
      <c r="K1997" s="470"/>
      <c r="L1997" s="471" t="str">
        <f>IFERROR(__xludf.DUMMYFUNCTION("""COMPUTED_VALUE"""),"https://www.tiktok.com/@asri_enp/video/7647100276452625671?_r=1&amp;u_code=ed1mbmhe6jea26&amp;region=&amp;mid=7643041749132135185&amp;preview_pb=0&amp;sharer_language=&amp;_d=0&amp;ec_shared_reflux_dynamic_params=%7B%22placeholder_material_id%22%3A%227647100276452625671%22%2C%22plac"&amp;"eholder_origin_cover%22%3A%22https%253A%252F%252Fp16-common-sign.tiktokcdn.com%252Ftos-alisg-p-0037%252Fo4RfggngGQUjeK6uAIemAfDscLci9QMiizENNf~tplv-tiktokx-origin.jpeg%253Fdr%253D14572%2526refresh_token%253D9ee90fcf%2526x-expires%253D1812099600%2526x-sign"&amp;"ature%253DlqpJvuEoreunCWhll78seNGC3uU%25253D%2526t%253D4d5b0474%2526ps%253D13740610%2526shp%253Dd05b14bd%2526shcp%253D34ff8df6%2526idc%253Dmy%2526s%253DTIKTOK_AFFILIATE_VIRAL_VIDEO%22%2C%22placeholder_product_id%22%3A%221729427766722726591%22%2C%22placeho"&amp;"lder_video_id%22%3A%227647100276452625671%22%7D&amp;ec_shared_reflux_scene=shop_tab_feed&amp;share_item_id=7647100276452625671&amp;source=h5_t")</f>
        <v>https://www.tiktok.com/@asri_enp/video/7647100276452625671?_r=1&amp;u_code=ed1mbmhe6jea26&amp;region=&amp;mid=7643041749132135185&amp;preview_pb=0&amp;sharer_language=&amp;_d=0&amp;ec_shared_reflux_dynamic_params=%7B%22placeholder_material_id%22%3A%227647100276452625671%22%2C%22placeholder_origin_cover%22%3A%22https%253A%252F%252Fp16-common-sign.tiktokcdn.com%252Ftos-alisg-p-0037%252Fo4RfggngGQUjeK6uAIemAfDscLci9QMiizENNf~tplv-tiktokx-origin.jpeg%253Fdr%253D14572%2526refresh_token%253D9ee90fcf%2526x-expires%253D1812099600%2526x-signature%253DlqpJvuEoreunCWhll78seNGC3uU%25253D%2526t%253D4d5b0474%2526ps%253D13740610%2526shp%253Dd05b14bd%2526shcp%253D34ff8df6%2526idc%253Dmy%2526s%253DTIKTOK_AFFILIATE_VIRAL_VIDEO%22%2C%22placeholder_product_id%22%3A%221729427766722726591%22%2C%22placeholder_video_id%22%3A%227647100276452625671%22%7D&amp;ec_shared_reflux_scene=shop_tab_feed&amp;share_item_id=7647100276452625671&amp;source=h5_t</v>
      </c>
      <c r="M1997" s="470"/>
      <c r="N1997" t="str">
        <f>IFERROR(__xludf.DUMMYFUNCTION("""COMPUTED_VALUE"""),"⁠⁠https://vt.tiktok.com/ZSxPMjBS1/")</f>
        <v>⁠⁠https://vt.tiktok.com/ZSxPMjBS1/</v>
      </c>
      <c r="O1997" s="470"/>
      <c r="P1997" s="471" t="str">
        <f>IFERROR(__xludf.DUMMYFUNCTION("""COMPUTED_VALUE"""),"https://vt.tiktok.com/ZSxP64vTG/")</f>
        <v>https://vt.tiktok.com/ZSxP64vTG/</v>
      </c>
    </row>
    <row r="1998">
      <c r="A1998" s="282" t="str">
        <f>IFERROR(__xludf.DUMMYFUNCTION("""COMPUTED_VALUE"""),"MICRO")</f>
        <v>MICRO</v>
      </c>
      <c r="B1998" s="468" t="str">
        <f>IFERROR(__xludf.DUMMYFUNCTION("""COMPUTED_VALUE"""),"febri.nia4")</f>
        <v>febri.nia4</v>
      </c>
      <c r="C1998" s="283" t="str">
        <f>IFERROR(__xludf.DUMMYFUNCTION("""COMPUTED_VALUE"""),"https://www.tiktok.com/@febri.nia4")</f>
        <v>https://www.tiktok.com/@febri.nia4</v>
      </c>
      <c r="D1998" s="273"/>
      <c r="E1998" s="458">
        <f>IFERROR(__xludf.DUMMYFUNCTION("""COMPUTED_VALUE"""),0.0)</f>
        <v>0</v>
      </c>
      <c r="F1998" s="273">
        <f>IFERROR(__xludf.DUMMYFUNCTION("""COMPUTED_VALUE"""),4.0)</f>
        <v>4</v>
      </c>
      <c r="G1998" t="str">
        <f>IFERROR(__xludf.DUMMYFUNCTION("""COMPUTED_VALUE"""),"Sabun batang 1 Box ( 2 PCS )")</f>
        <v>Sabun batang 1 Box ( 2 PCS )</v>
      </c>
      <c r="H1998" s="469"/>
      <c r="I1998" s="470"/>
      <c r="J1998" s="471" t="str">
        <f>IFERROR(__xludf.DUMMYFUNCTION("""COMPUTED_VALUE"""),"https://vt.tiktok.com/ZSxQnqjba/")</f>
        <v>https://vt.tiktok.com/ZSxQnqjba/</v>
      </c>
      <c r="K1998" s="470"/>
      <c r="L1998" s="471" t="str">
        <f>IFERROR(__xludf.DUMMYFUNCTION("""COMPUTED_VALUE"""),"https://vt.tiktok.com/ZSxP6gJkT/")</f>
        <v>https://vt.tiktok.com/ZSxP6gJkT/</v>
      </c>
      <c r="M1998" s="470"/>
      <c r="N1998" s="471" t="str">
        <f>IFERROR(__xludf.DUMMYFUNCTION("""COMPUTED_VALUE"""),"https://vt.tiktok.com/ZSxyx5nWJ/")</f>
        <v>https://vt.tiktok.com/ZSxyx5nWJ/</v>
      </c>
      <c r="O1998" s="470"/>
      <c r="P1998" s="471" t="str">
        <f>IFERROR(__xludf.DUMMYFUNCTION("""COMPUTED_VALUE"""),"https://vt.tiktok.com/ZSxyx5HuN/")</f>
        <v>https://vt.tiktok.com/ZSxyx5HuN/</v>
      </c>
    </row>
    <row r="1999">
      <c r="A1999" s="282" t="str">
        <f>IFERROR(__xludf.DUMMYFUNCTION("""COMPUTED_VALUE"""),"MICRO")</f>
        <v>MICRO</v>
      </c>
      <c r="B1999" s="468" t="str">
        <f>IFERROR(__xludf.DUMMYFUNCTION("""COMPUTED_VALUE"""),"Wdzz99")</f>
        <v>Wdzz99</v>
      </c>
      <c r="C1999" s="283" t="str">
        <f>IFERROR(__xludf.DUMMYFUNCTION("""COMPUTED_VALUE"""),"https://www.tiktok.com/@Wdzz99")</f>
        <v>https://www.tiktok.com/@Wdzz99</v>
      </c>
      <c r="D1999" s="273"/>
      <c r="E1999" s="458">
        <f>IFERROR(__xludf.DUMMYFUNCTION("""COMPUTED_VALUE"""),0.0)</f>
        <v>0</v>
      </c>
      <c r="F1999" s="273">
        <f>IFERROR(__xludf.DUMMYFUNCTION("""COMPUTED_VALUE"""),4.0)</f>
        <v>4</v>
      </c>
      <c r="G1999" t="str">
        <f>IFERROR(__xludf.DUMMYFUNCTION("""COMPUTED_VALUE"""),"Sabun batang 1 Box ( 2 PCS )")</f>
        <v>Sabun batang 1 Box ( 2 PCS )</v>
      </c>
      <c r="H1999" s="469"/>
      <c r="I1999" s="470"/>
      <c r="J1999" s="471" t="str">
        <f>IFERROR(__xludf.DUMMYFUNCTION("""COMPUTED_VALUE"""),"https://vt.tiktok.com/ZSxGyNfvp/")</f>
        <v>https://vt.tiktok.com/ZSxGyNfvp/</v>
      </c>
      <c r="K1999" s="470"/>
      <c r="L1999" s="471" t="str">
        <f>IFERROR(__xludf.DUMMYFUNCTION("""COMPUTED_VALUE"""),"https://vt.tiktok.com/ZSxcxQqfw/")</f>
        <v>https://vt.tiktok.com/ZSxcxQqfw/</v>
      </c>
      <c r="M1999" s="470"/>
      <c r="N1999" s="471" t="str">
        <f>IFERROR(__xludf.DUMMYFUNCTION("""COMPUTED_VALUE"""),"https://vt.tiktok.com/ZSxyxxXYU/")</f>
        <v>https://vt.tiktok.com/ZSxyxxXYU/</v>
      </c>
      <c r="O1999" s="470"/>
      <c r="P1999" s="471" t="str">
        <f>IFERROR(__xludf.DUMMYFUNCTION("""COMPUTED_VALUE"""),"https://vt.tiktok.com/ZSxyxUat5/")</f>
        <v>https://vt.tiktok.com/ZSxyxUat5/</v>
      </c>
    </row>
    <row r="2000">
      <c r="A2000" s="282" t="str">
        <f>IFERROR(__xludf.DUMMYFUNCTION("""COMPUTED_VALUE"""),"MICRO")</f>
        <v>MICRO</v>
      </c>
      <c r="B2000" s="468" t="str">
        <f>IFERROR(__xludf.DUMMYFUNCTION("""COMPUTED_VALUE"""),"mybyrrrrrrr.is")</f>
        <v>mybyrrrrrrr.is</v>
      </c>
      <c r="C2000" s="283" t="str">
        <f>IFERROR(__xludf.DUMMYFUNCTION("""COMPUTED_VALUE"""),"https://www.tiktok.com/@mybyrrrrrrr.is")</f>
        <v>https://www.tiktok.com/@mybyrrrrrrr.is</v>
      </c>
      <c r="D2000" s="273"/>
      <c r="E2000" s="458">
        <f>IFERROR(__xludf.DUMMYFUNCTION("""COMPUTED_VALUE"""),0.0)</f>
        <v>0</v>
      </c>
      <c r="F2000" s="273">
        <f>IFERROR(__xludf.DUMMYFUNCTION("""COMPUTED_VALUE"""),4.0)</f>
        <v>4</v>
      </c>
      <c r="G2000" t="str">
        <f>IFERROR(__xludf.DUMMYFUNCTION("""COMPUTED_VALUE"""),"Sabun batang 1 Box ( 2 PCS )")</f>
        <v>Sabun batang 1 Box ( 2 PCS )</v>
      </c>
      <c r="H2000" s="469"/>
      <c r="I2000" s="470"/>
      <c r="J2000" s="471" t="str">
        <f>IFERROR(__xludf.DUMMYFUNCTION("""COMPUTED_VALUE"""),"https://vt.tiktok.com/ZSxQWeBck/")</f>
        <v>https://vt.tiktok.com/ZSxQWeBck/</v>
      </c>
      <c r="K2000" s="470"/>
      <c r="L2000" s="471" t="str">
        <f>IFERROR(__xludf.DUMMYFUNCTION("""COMPUTED_VALUE"""),"https://vt.tiktok.com/ZSxHeUeXW/")</f>
        <v>https://vt.tiktok.com/ZSxHeUeXW/</v>
      </c>
      <c r="M2000" s="470"/>
      <c r="N2000" s="471" t="str">
        <f>IFERROR(__xludf.DUMMYFUNCTION("""COMPUTED_VALUE"""),"https://vt.tiktok.com/ZSxHedLMp/")</f>
        <v>https://vt.tiktok.com/ZSxHedLMp/</v>
      </c>
      <c r="O2000" s="470"/>
      <c r="P2000" s="471" t="str">
        <f>IFERROR(__xludf.DUMMYFUNCTION("""COMPUTED_VALUE"""),"https://vt.tiktok.com/ZSxHeJrnB/")</f>
        <v>https://vt.tiktok.com/ZSxHeJrnB/</v>
      </c>
    </row>
    <row r="2001">
      <c r="A2001" s="282" t="str">
        <f>IFERROR(__xludf.DUMMYFUNCTION("""COMPUTED_VALUE"""),"MICRO")</f>
        <v>MICRO</v>
      </c>
      <c r="B2001" s="468" t="str">
        <f>IFERROR(__xludf.DUMMYFUNCTION("""COMPUTED_VALUE"""),"Spillbyima_")</f>
        <v>Spillbyima_</v>
      </c>
      <c r="C2001" s="283" t="str">
        <f>IFERROR(__xludf.DUMMYFUNCTION("""COMPUTED_VALUE"""),"https://www.tiktok.com/@Spillbyima_")</f>
        <v>https://www.tiktok.com/@Spillbyima_</v>
      </c>
      <c r="D2001" s="273"/>
      <c r="E2001" s="458">
        <f>IFERROR(__xludf.DUMMYFUNCTION("""COMPUTED_VALUE"""),0.0)</f>
        <v>0</v>
      </c>
      <c r="F2001" s="273">
        <f>IFERROR(__xludf.DUMMYFUNCTION("""COMPUTED_VALUE"""),4.0)</f>
        <v>4</v>
      </c>
      <c r="G2001" t="str">
        <f>IFERROR(__xludf.DUMMYFUNCTION("""COMPUTED_VALUE"""),"Sabun batang 1 Box ( 2 PCS )")</f>
        <v>Sabun batang 1 Box ( 2 PCS )</v>
      </c>
      <c r="H2001" s="469"/>
      <c r="I2001" s="470"/>
      <c r="J2001" s="471" t="str">
        <f>IFERROR(__xludf.DUMMYFUNCTION("""COMPUTED_VALUE"""),"https://vt.tiktok.com/ZSxgB1mxK/")</f>
        <v>https://vt.tiktok.com/ZSxgB1mxK/</v>
      </c>
      <c r="K2001" s="470"/>
      <c r="L2001" s="471" t="str">
        <f>IFERROR(__xludf.DUMMYFUNCTION("""COMPUTED_VALUE"""),"https://vt.tiktok.com/ZSxgBoQF4/")</f>
        <v>https://vt.tiktok.com/ZSxgBoQF4/</v>
      </c>
      <c r="M2001" s="470"/>
      <c r="N2001" s="471" t="str">
        <f>IFERROR(__xludf.DUMMYFUNCTION("""COMPUTED_VALUE"""),"https://vt.tiktok.com/ZSxxA63h2/")</f>
        <v>https://vt.tiktok.com/ZSxxA63h2/</v>
      </c>
      <c r="O2001" s="470"/>
      <c r="P2001" s="471" t="str">
        <f>IFERROR(__xludf.DUMMYFUNCTION("""COMPUTED_VALUE"""),"https://vt.tiktok.com/ZSxxAJCby/")</f>
        <v>https://vt.tiktok.com/ZSxxAJCby/</v>
      </c>
    </row>
    <row r="2002">
      <c r="A2002" s="282" t="str">
        <f>IFERROR(__xludf.DUMMYFUNCTION("""COMPUTED_VALUE"""),"MICRO")</f>
        <v>MICRO</v>
      </c>
      <c r="B2002" s="468" t="str">
        <f>IFERROR(__xludf.DUMMYFUNCTION("""COMPUTED_VALUE"""),"aydach_zubaa95")</f>
        <v>aydach_zubaa95</v>
      </c>
      <c r="C2002" s="283" t="str">
        <f>IFERROR(__xludf.DUMMYFUNCTION("""COMPUTED_VALUE"""),"https://www.tiktok.com/@aydach_zubaa95")</f>
        <v>https://www.tiktok.com/@aydach_zubaa95</v>
      </c>
      <c r="D2002" s="273"/>
      <c r="E2002" s="458">
        <f>IFERROR(__xludf.DUMMYFUNCTION("""COMPUTED_VALUE"""),0.0)</f>
        <v>0</v>
      </c>
      <c r="F2002" s="273">
        <f>IFERROR(__xludf.DUMMYFUNCTION("""COMPUTED_VALUE"""),4.0)</f>
        <v>4</v>
      </c>
      <c r="G2002" t="str">
        <f>IFERROR(__xludf.DUMMYFUNCTION("""COMPUTED_VALUE"""),"Sabun batang 1 Box ( 2 PCS )")</f>
        <v>Sabun batang 1 Box ( 2 PCS )</v>
      </c>
      <c r="H2002" s="469"/>
      <c r="I2002" s="470"/>
      <c r="J2002" s="471" t="str">
        <f>IFERROR(__xludf.DUMMYFUNCTION("""COMPUTED_VALUE"""),"https://vt.tiktok.com/ZSxvCpQnJ/")</f>
        <v>https://vt.tiktok.com/ZSxvCpQnJ/</v>
      </c>
      <c r="K2002" s="470"/>
      <c r="L2002" s="471" t="str">
        <f>IFERROR(__xludf.DUMMYFUNCTION("""COMPUTED_VALUE"""),"https://vt.tiktok.com/ZSxvCTDxU/")</f>
        <v>https://vt.tiktok.com/ZSxvCTDxU/</v>
      </c>
      <c r="M2002" s="470"/>
      <c r="N2002" s="471" t="str">
        <f>IFERROR(__xludf.DUMMYFUNCTION("""COMPUTED_VALUE"""),"https://vt.tiktok.com/ZSxyQ1jbe/")</f>
        <v>https://vt.tiktok.com/ZSxyQ1jbe/</v>
      </c>
      <c r="O2002" s="470"/>
      <c r="P2002" s="471" t="str">
        <f>IFERROR(__xludf.DUMMYFUNCTION("""COMPUTED_VALUE"""),"https://vt.tiktok.com/ZSxyxGUKC/")</f>
        <v>https://vt.tiktok.com/ZSxyxGUKC/</v>
      </c>
    </row>
    <row r="2003">
      <c r="A2003" s="282" t="str">
        <f>IFERROR(__xludf.DUMMYFUNCTION("""COMPUTED_VALUE"""),"MICRO")</f>
        <v>MICRO</v>
      </c>
      <c r="B2003" s="468" t="str">
        <f>IFERROR(__xludf.DUMMYFUNCTION("""COMPUTED_VALUE"""),"nayiiewa")</f>
        <v>nayiiewa</v>
      </c>
      <c r="C2003" s="283" t="str">
        <f>IFERROR(__xludf.DUMMYFUNCTION("""COMPUTED_VALUE"""),"https://www.tiktok.com/@nayiiewa")</f>
        <v>https://www.tiktok.com/@nayiiewa</v>
      </c>
      <c r="D2003" s="273"/>
      <c r="E2003" s="458">
        <f>IFERROR(__xludf.DUMMYFUNCTION("""COMPUTED_VALUE"""),0.0)</f>
        <v>0</v>
      </c>
      <c r="F2003" s="273">
        <f>IFERROR(__xludf.DUMMYFUNCTION("""COMPUTED_VALUE"""),4.0)</f>
        <v>4</v>
      </c>
      <c r="G2003" t="str">
        <f>IFERROR(__xludf.DUMMYFUNCTION("""COMPUTED_VALUE"""),"Sabun batang 1 Box ( 2 PCS )")</f>
        <v>Sabun batang 1 Box ( 2 PCS )</v>
      </c>
      <c r="H2003" s="469"/>
      <c r="I2003" s="470"/>
      <c r="J2003" s="471" t="str">
        <f>IFERROR(__xludf.DUMMYFUNCTION("""COMPUTED_VALUE"""),"https://vt.tiktok.com/ZSxQWdxXX/")</f>
        <v>https://vt.tiktok.com/ZSxQWdxXX/</v>
      </c>
      <c r="K2003" s="470"/>
      <c r="L2003" s="471" t="str">
        <f>IFERROR(__xludf.DUMMYFUNCTION("""COMPUTED_VALUE"""),"https://vt.tiktok.com/ZSxyQJh1Y/")</f>
        <v>https://vt.tiktok.com/ZSxyQJh1Y/</v>
      </c>
      <c r="M2003" s="470"/>
      <c r="N2003" s="471" t="str">
        <f>IFERROR(__xludf.DUMMYFUNCTION("""COMPUTED_VALUE"""),"https://vt.tiktok.com/ZSxPpU9Np/")</f>
        <v>https://vt.tiktok.com/ZSxPpU9Np/</v>
      </c>
      <c r="O2003" s="470"/>
      <c r="P2003" s="471" t="str">
        <f>IFERROR(__xludf.DUMMYFUNCTION("""COMPUTED_VALUE"""),"https://vt.tiktok.com/ZSxyxo8rj/")</f>
        <v>https://vt.tiktok.com/ZSxyxo8rj/</v>
      </c>
    </row>
    <row r="2004">
      <c r="A2004" s="282" t="str">
        <f>IFERROR(__xludf.DUMMYFUNCTION("""COMPUTED_VALUE"""),"MICRO")</f>
        <v>MICRO</v>
      </c>
      <c r="B2004" s="468" t="str">
        <f>IFERROR(__xludf.DUMMYFUNCTION("""COMPUTED_VALUE"""),"iloveilaaaaaaaaa")</f>
        <v>iloveilaaaaaaaaa</v>
      </c>
      <c r="C2004" s="283" t="str">
        <f>IFERROR(__xludf.DUMMYFUNCTION("""COMPUTED_VALUE"""),"https://www.tiktok.com/@iloveilaaaaaaaaa")</f>
        <v>https://www.tiktok.com/@iloveilaaaaaaaaa</v>
      </c>
      <c r="D2004" s="273"/>
      <c r="E2004" s="458">
        <f>IFERROR(__xludf.DUMMYFUNCTION("""COMPUTED_VALUE"""),0.0)</f>
        <v>0</v>
      </c>
      <c r="F2004" s="273">
        <f>IFERROR(__xludf.DUMMYFUNCTION("""COMPUTED_VALUE"""),4.0)</f>
        <v>4</v>
      </c>
      <c r="G2004" t="str">
        <f>IFERROR(__xludf.DUMMYFUNCTION("""COMPUTED_VALUE"""),"Sabun batang 1 Box ( 2 PCS )")</f>
        <v>Sabun batang 1 Box ( 2 PCS )</v>
      </c>
      <c r="H2004" s="469"/>
      <c r="I2004" s="470"/>
      <c r="J2004" s="471" t="str">
        <f>IFERROR(__xludf.DUMMYFUNCTION("""COMPUTED_VALUE"""),"https://vt.tiktok.com/ZSxGv2agT/")</f>
        <v>https://vt.tiktok.com/ZSxGv2agT/</v>
      </c>
      <c r="K2004" s="470"/>
      <c r="L2004" s="471" t="str">
        <f>IFERROR(__xludf.DUMMYFUNCTION("""COMPUTED_VALUE"""),"https://vt.tiktok.com/ZSxG3XFER/")</f>
        <v>https://vt.tiktok.com/ZSxG3XFER/</v>
      </c>
      <c r="M2004" s="470"/>
      <c r="N2004" s="471" t="str">
        <f>IFERROR(__xludf.DUMMYFUNCTION("""COMPUTED_VALUE"""),"https://vt.tiktok.com/ZSxPpeF5E/")</f>
        <v>https://vt.tiktok.com/ZSxPpeF5E/</v>
      </c>
      <c r="O2004" s="470"/>
      <c r="P2004" s="471" t="str">
        <f>IFERROR(__xludf.DUMMYFUNCTION("""COMPUTED_VALUE"""),"https://vt.tiktok.com/ZSxPpMccN/")</f>
        <v>https://vt.tiktok.com/ZSxPpMccN/</v>
      </c>
    </row>
    <row r="2005">
      <c r="A2005" s="282" t="str">
        <f>IFERROR(__xludf.DUMMYFUNCTION("""COMPUTED_VALUE"""),"MICRO")</f>
        <v>MICRO</v>
      </c>
      <c r="B2005" s="468" t="str">
        <f>IFERROR(__xludf.DUMMYFUNCTION("""COMPUTED_VALUE"""),"deang342")</f>
        <v>deang342</v>
      </c>
      <c r="C2005" s="283" t="str">
        <f>IFERROR(__xludf.DUMMYFUNCTION("""COMPUTED_VALUE"""),"https://www.tiktok.com/@deang342")</f>
        <v>https://www.tiktok.com/@deang342</v>
      </c>
      <c r="D2005" s="273"/>
      <c r="E2005" s="458">
        <f>IFERROR(__xludf.DUMMYFUNCTION("""COMPUTED_VALUE"""),0.0)</f>
        <v>0</v>
      </c>
      <c r="F2005" s="273">
        <f>IFERROR(__xludf.DUMMYFUNCTION("""COMPUTED_VALUE"""),4.0)</f>
        <v>4</v>
      </c>
      <c r="G2005" t="str">
        <f>IFERROR(__xludf.DUMMYFUNCTION("""COMPUTED_VALUE"""),"Sabun batang 1 Box ( 2 PCS )")</f>
        <v>Sabun batang 1 Box ( 2 PCS )</v>
      </c>
      <c r="H2005" s="469"/>
      <c r="I2005" s="470"/>
      <c r="J2005" s="471" t="str">
        <f>IFERROR(__xludf.DUMMYFUNCTION("""COMPUTED_VALUE"""),"https://vt.tiktok.com/ZSxqnRbKg/")</f>
        <v>https://vt.tiktok.com/ZSxqnRbKg/</v>
      </c>
      <c r="K2005" s="470"/>
      <c r="L2005" s="471" t="str">
        <f>IFERROR(__xludf.DUMMYFUNCTION("""COMPUTED_VALUE"""),"https://vt.tiktok.com/ZSxqtKgme/")</f>
        <v>https://vt.tiktok.com/ZSxqtKgme/</v>
      </c>
      <c r="M2005" s="470"/>
      <c r="N2005" s="471" t="str">
        <f>IFERROR(__xludf.DUMMYFUNCTION("""COMPUTED_VALUE"""),"https://vt.tiktok.com/ZSxa5TdoQ/")</f>
        <v>https://vt.tiktok.com/ZSxa5TdoQ/</v>
      </c>
      <c r="O2005" s="470"/>
      <c r="P2005" s="471" t="str">
        <f>IFERROR(__xludf.DUMMYFUNCTION("""COMPUTED_VALUE"""),"https://vt.tiktok.com/ZSxa5vrjw/")</f>
        <v>https://vt.tiktok.com/ZSxa5vrjw/</v>
      </c>
    </row>
    <row r="2006">
      <c r="A2006" s="282" t="str">
        <f>IFERROR(__xludf.DUMMYFUNCTION("""COMPUTED_VALUE"""),"MICRO")</f>
        <v>MICRO</v>
      </c>
      <c r="B2006" s="468" t="str">
        <f>IFERROR(__xludf.DUMMYFUNCTION("""COMPUTED_VALUE"""),"beautifulblinkeu ")</f>
        <v>beautifulblinkeu </v>
      </c>
      <c r="C2006" s="283" t="str">
        <f>IFERROR(__xludf.DUMMYFUNCTION("""COMPUTED_VALUE"""),"https://www.tiktok.com/@beautifulblinkeu ")</f>
        <v>https://www.tiktok.com/@beautifulblinkeu </v>
      </c>
      <c r="D2006" s="273"/>
      <c r="E2006" s="458">
        <f>IFERROR(__xludf.DUMMYFUNCTION("""COMPUTED_VALUE"""),0.0)</f>
        <v>0</v>
      </c>
      <c r="F2006" s="273">
        <f>IFERROR(__xludf.DUMMYFUNCTION("""COMPUTED_VALUE"""),4.0)</f>
        <v>4</v>
      </c>
      <c r="G2006" t="str">
        <f>IFERROR(__xludf.DUMMYFUNCTION("""COMPUTED_VALUE"""),"Sabun batang 1 Box ( 2 PCS )")</f>
        <v>Sabun batang 1 Box ( 2 PCS )</v>
      </c>
      <c r="H2006" s="469"/>
      <c r="I2006" s="470"/>
      <c r="J2006" s="471" t="str">
        <f>IFERROR(__xludf.DUMMYFUNCTION("""COMPUTED_VALUE"""),"https://vt.tiktok.com/ZSxThurs8/")</f>
        <v>https://vt.tiktok.com/ZSxThurs8/</v>
      </c>
      <c r="K2006" s="470"/>
      <c r="L2006" s="471" t="str">
        <f>IFERROR(__xludf.DUMMYFUNCTION("""COMPUTED_VALUE"""),"https://vt.tiktok.com/ZSxwj6o47/")</f>
        <v>https://vt.tiktok.com/ZSxwj6o47/</v>
      </c>
      <c r="M2006" s="470"/>
      <c r="N2006" s="471" t="str">
        <f>IFERROR(__xludf.DUMMYFUNCTION("""COMPUTED_VALUE"""),"https://vt.tiktok.com/ZSxa53Ywg/")</f>
        <v>https://vt.tiktok.com/ZSxa53Ywg/</v>
      </c>
      <c r="O2006" s="470"/>
      <c r="P2006" s="471" t="str">
        <f>IFERROR(__xludf.DUMMYFUNCTION("""COMPUTED_VALUE"""),"https://vt.tiktok.com/ZSxa5nWHg/")</f>
        <v>https://vt.tiktok.com/ZSxa5nWHg/</v>
      </c>
    </row>
    <row r="2007">
      <c r="A2007" s="282" t="str">
        <f>IFERROR(__xludf.DUMMYFUNCTION("""COMPUTED_VALUE"""),"MICRO")</f>
        <v>MICRO</v>
      </c>
      <c r="B2007" s="468" t="str">
        <f>IFERROR(__xludf.DUMMYFUNCTION("""COMPUTED_VALUE"""),"riakhairiyah4 ")</f>
        <v>riakhairiyah4 </v>
      </c>
      <c r="C2007" s="283" t="str">
        <f>IFERROR(__xludf.DUMMYFUNCTION("""COMPUTED_VALUE"""),"https://www.tiktok.com/@riakhairiyah4 ")</f>
        <v>https://www.tiktok.com/@riakhairiyah4 </v>
      </c>
      <c r="D2007" s="273"/>
      <c r="E2007" s="458">
        <f>IFERROR(__xludf.DUMMYFUNCTION("""COMPUTED_VALUE"""),0.0)</f>
        <v>0</v>
      </c>
      <c r="F2007" s="273">
        <f>IFERROR(__xludf.DUMMYFUNCTION("""COMPUTED_VALUE"""),4.0)</f>
        <v>4</v>
      </c>
      <c r="G2007" t="str">
        <f>IFERROR(__xludf.DUMMYFUNCTION("""COMPUTED_VALUE"""),"Sabun batang 1 Box ( 2 PCS )")</f>
        <v>Sabun batang 1 Box ( 2 PCS )</v>
      </c>
      <c r="H2007" s="469"/>
      <c r="I2007" s="470"/>
      <c r="J2007" s="471" t="str">
        <f>IFERROR(__xludf.DUMMYFUNCTION("""COMPUTED_VALUE""")," https://vt.tiktok.com/ZSxgbbr5R/")</f>
        <v> https://vt.tiktok.com/ZSxgbbr5R/</v>
      </c>
      <c r="K2007" s="470"/>
      <c r="L2007" s="471" t="str">
        <f>IFERROR(__xludf.DUMMYFUNCTION("""COMPUTED_VALUE""")," https://vt.tiktok.com/ZSxwyArTP/")</f>
        <v> https://vt.tiktok.com/ZSxwyArTP/</v>
      </c>
      <c r="M2007" s="470"/>
      <c r="N2007" s="471" t="str">
        <f>IFERROR(__xludf.DUMMYFUNCTION("""COMPUTED_VALUE"""),"https://vt.tiktok.com/ZSxa57FcD/")</f>
        <v>https://vt.tiktok.com/ZSxa57FcD/</v>
      </c>
      <c r="O2007" s="470"/>
      <c r="P2007" s="471" t="str">
        <f>IFERROR(__xludf.DUMMYFUNCTION("""COMPUTED_VALUE"""),"https://vt.tiktok.com/ZSxa5tkgL/")</f>
        <v>https://vt.tiktok.com/ZSxa5tkgL/</v>
      </c>
    </row>
    <row r="2008">
      <c r="A2008" s="282" t="str">
        <f>IFERROR(__xludf.DUMMYFUNCTION("""COMPUTED_VALUE"""),"MICRO")</f>
        <v>MICRO</v>
      </c>
      <c r="B2008" s="468" t="str">
        <f>IFERROR(__xludf.DUMMYFUNCTION("""COMPUTED_VALUE"""),"ranggaasyra ")</f>
        <v>ranggaasyra </v>
      </c>
      <c r="C2008" s="283" t="str">
        <f>IFERROR(__xludf.DUMMYFUNCTION("""COMPUTED_VALUE"""),"https://www.tiktok.com/@ranggaasyra ")</f>
        <v>https://www.tiktok.com/@ranggaasyra </v>
      </c>
      <c r="D2008" s="273"/>
      <c r="E2008" s="458">
        <f>IFERROR(__xludf.DUMMYFUNCTION("""COMPUTED_VALUE"""),0.0)</f>
        <v>0</v>
      </c>
      <c r="F2008" s="273">
        <f>IFERROR(__xludf.DUMMYFUNCTION("""COMPUTED_VALUE"""),4.0)</f>
        <v>4</v>
      </c>
      <c r="G2008" t="str">
        <f>IFERROR(__xludf.DUMMYFUNCTION("""COMPUTED_VALUE"""),"Sabun batang 1 Box ( 2 PCS )")</f>
        <v>Sabun batang 1 Box ( 2 PCS )</v>
      </c>
      <c r="H2008" s="469"/>
      <c r="I2008" s="470"/>
      <c r="J2008" s="471" t="str">
        <f>IFERROR(__xludf.DUMMYFUNCTION("""COMPUTED_VALUE"""),"https://vt.tiktok.com/ZSxqL5Vfr/")</f>
        <v>https://vt.tiktok.com/ZSxqL5Vfr/</v>
      </c>
      <c r="K2008" s="470"/>
      <c r="L2008" t="str">
        <f>IFERROR(__xludf.DUMMYFUNCTION("""COMPUTED_VALUE"""),"⁠https://vt.tiktok.com/ZSxAXVq3a/")</f>
        <v>⁠https://vt.tiktok.com/ZSxAXVq3a/</v>
      </c>
      <c r="M2008" s="470"/>
      <c r="N2008" s="471" t="str">
        <f>IFERROR(__xludf.DUMMYFUNCTION("""COMPUTED_VALUE"""),"https://vt.tiktok.com/ZSxPp8EP7/")</f>
        <v>https://vt.tiktok.com/ZSxPp8EP7/</v>
      </c>
      <c r="O2008" s="470"/>
      <c r="P2008" s="471" t="str">
        <f>IFERROR(__xludf.DUMMYFUNCTION("""COMPUTED_VALUE"""),"https://vt.tiktok.com/ZSxPpBfEw/")</f>
        <v>https://vt.tiktok.com/ZSxPpBfEw/</v>
      </c>
    </row>
    <row r="2009">
      <c r="A2009" s="282" t="str">
        <f>IFERROR(__xludf.DUMMYFUNCTION("""COMPUTED_VALUE"""),"MICRO")</f>
        <v>MICRO</v>
      </c>
      <c r="B2009" s="468" t="str">
        <f>IFERROR(__xludf.DUMMYFUNCTION("""COMPUTED_VALUE"""),"Mimi-pisces1")</f>
        <v>Mimi-pisces1</v>
      </c>
      <c r="C2009" s="283" t="str">
        <f>IFERROR(__xludf.DUMMYFUNCTION("""COMPUTED_VALUE"""),"https://www.tiktok.com/@Mimi-pisces1")</f>
        <v>https://www.tiktok.com/@Mimi-pisces1</v>
      </c>
      <c r="D2009" s="273"/>
      <c r="E2009" s="458">
        <f>IFERROR(__xludf.DUMMYFUNCTION("""COMPUTED_VALUE"""),0.0)</f>
        <v>0</v>
      </c>
      <c r="F2009" s="273">
        <f>IFERROR(__xludf.DUMMYFUNCTION("""COMPUTED_VALUE"""),4.0)</f>
        <v>4</v>
      </c>
      <c r="G2009" t="str">
        <f>IFERROR(__xludf.DUMMYFUNCTION("""COMPUTED_VALUE"""),"Sabun batang 1 Box ( 2 PCS )")</f>
        <v>Sabun batang 1 Box ( 2 PCS )</v>
      </c>
      <c r="H2009" s="469"/>
      <c r="I2009" s="470"/>
      <c r="J2009" s="471" t="str">
        <f>IFERROR(__xludf.DUMMYFUNCTION("""COMPUTED_VALUE"""),"https://vt.tiktok.com/ZSxqLNsc6/")</f>
        <v>https://vt.tiktok.com/ZSxqLNsc6/</v>
      </c>
      <c r="K2009" s="470"/>
      <c r="L2009" s="471" t="str">
        <f>IFERROR(__xludf.DUMMYFUNCTION("""COMPUTED_VALUE"""),"https://vt.tiktok.com/ZSxPpFppo/")</f>
        <v>https://vt.tiktok.com/ZSxPpFppo/</v>
      </c>
      <c r="M2009" s="470"/>
      <c r="N2009" s="471" t="str">
        <f>IFERROR(__xludf.DUMMYFUNCTION("""COMPUTED_VALUE"""),"https://vt.tiktok.com/ZSxPpN1KB/")</f>
        <v>https://vt.tiktok.com/ZSxPpN1KB/</v>
      </c>
      <c r="O2009" s="470"/>
      <c r="P2009" s="471" t="str">
        <f>IFERROR(__xludf.DUMMYFUNCTION("""COMPUTED_VALUE"""),"https://vt.tiktok.com/ZSxPpSfmT/")</f>
        <v>https://vt.tiktok.com/ZSxPpSfmT/</v>
      </c>
    </row>
    <row r="2010">
      <c r="A2010" s="282" t="str">
        <f>IFERROR(__xludf.DUMMYFUNCTION("""COMPUTED_VALUE"""),"MICRO")</f>
        <v>MICRO</v>
      </c>
      <c r="B2010" s="468" t="str">
        <f>IFERROR(__xludf.DUMMYFUNCTION("""COMPUTED_VALUE"""),"Yesinta_ns")</f>
        <v>Yesinta_ns</v>
      </c>
      <c r="C2010" s="283" t="str">
        <f>IFERROR(__xludf.DUMMYFUNCTION("""COMPUTED_VALUE"""),"https://www.tiktok.com/@Yesinta_ns")</f>
        <v>https://www.tiktok.com/@Yesinta_ns</v>
      </c>
      <c r="D2010" s="273"/>
      <c r="E2010" s="458">
        <f>IFERROR(__xludf.DUMMYFUNCTION("""COMPUTED_VALUE"""),0.0)</f>
        <v>0</v>
      </c>
      <c r="F2010" s="273">
        <f>IFERROR(__xludf.DUMMYFUNCTION("""COMPUTED_VALUE"""),4.0)</f>
        <v>4</v>
      </c>
      <c r="G2010" t="str">
        <f>IFERROR(__xludf.DUMMYFUNCTION("""COMPUTED_VALUE"""),"Sabun batang 1 Box ( 2 PCS )")</f>
        <v>Sabun batang 1 Box ( 2 PCS )</v>
      </c>
      <c r="H2010" s="469"/>
      <c r="I2010" s="470"/>
      <c r="J2010" s="471" t="str">
        <f>IFERROR(__xludf.DUMMYFUNCTION("""COMPUTED_VALUE"""),"https://vt.tiktok.com/ZSxg4MP2B/")</f>
        <v>https://vt.tiktok.com/ZSxg4MP2B/</v>
      </c>
      <c r="K2010" s="470"/>
      <c r="L2010" s="471" t="str">
        <f>IFERROR(__xludf.DUMMYFUNCTION("""COMPUTED_VALUE"""),"https://vt.tiktok.com/ZSxGLf9sR/")</f>
        <v>https://vt.tiktok.com/ZSxGLf9sR/</v>
      </c>
      <c r="M2010" s="470"/>
      <c r="N2010" t="str">
        <f>IFERROR(__xludf.DUMMYFUNCTION("""COMPUTED_VALUE"""),"⁠https://vt.tiktok.com/ZSxAXcGEH/")</f>
        <v>⁠https://vt.tiktok.com/ZSxAXcGEH/</v>
      </c>
      <c r="O2010" s="470"/>
      <c r="P2010" t="str">
        <f>IFERROR(__xludf.DUMMYFUNCTION("""COMPUTED_VALUE"""),"⁠https://vt.tiktok.com/ZSxAX7x13/")</f>
        <v>⁠https://vt.tiktok.com/ZSxAX7x13/</v>
      </c>
    </row>
    <row r="2011">
      <c r="A2011" s="282" t="str">
        <f>IFERROR(__xludf.DUMMYFUNCTION("""COMPUTED_VALUE"""),"MICRO")</f>
        <v>MICRO</v>
      </c>
      <c r="B2011" s="468" t="str">
        <f>IFERROR(__xludf.DUMMYFUNCTION("""COMPUTED_VALUE"""),"marianhlz")</f>
        <v>marianhlz</v>
      </c>
      <c r="C2011" s="283" t="str">
        <f>IFERROR(__xludf.DUMMYFUNCTION("""COMPUTED_VALUE"""),"https://www.tiktok.com/@marianhlz")</f>
        <v>https://www.tiktok.com/@marianhlz</v>
      </c>
      <c r="D2011" s="273"/>
      <c r="E2011" s="458">
        <f>IFERROR(__xludf.DUMMYFUNCTION("""COMPUTED_VALUE"""),0.0)</f>
        <v>0</v>
      </c>
      <c r="F2011" s="273">
        <f>IFERROR(__xludf.DUMMYFUNCTION("""COMPUTED_VALUE"""),4.0)</f>
        <v>4</v>
      </c>
      <c r="G2011" t="str">
        <f>IFERROR(__xludf.DUMMYFUNCTION("""COMPUTED_VALUE"""),"Sabun batang 1 Box ( 2 PCS )")</f>
        <v>Sabun batang 1 Box ( 2 PCS )</v>
      </c>
      <c r="H2011" s="469"/>
      <c r="I2011" s="470"/>
      <c r="J2011" s="471" t="str">
        <f>IFERROR(__xludf.DUMMYFUNCTION("""COMPUTED_VALUE"""),"https://vt.tiktok.com/ZSxqLrG6Y/")</f>
        <v>https://vt.tiktok.com/ZSxqLrG6Y/</v>
      </c>
      <c r="K2011" s="470"/>
      <c r="L2011" t="str">
        <f>IFERROR(__xludf.DUMMYFUNCTION("""COMPUTED_VALUE"""),"⁠https://vt.tiktok.com/ZSxAX5yLL/")</f>
        <v>⁠https://vt.tiktok.com/ZSxAX5yLL/</v>
      </c>
      <c r="M2011" s="470"/>
      <c r="N2011" t="str">
        <f>IFERROR(__xludf.DUMMYFUNCTION("""COMPUTED_VALUE"""),"⁠https://vt.tiktok.com/ZSxAXdjWa/")</f>
        <v>⁠https://vt.tiktok.com/ZSxAXdjWa/</v>
      </c>
      <c r="O2011" s="470"/>
      <c r="P2011" t="str">
        <f>IFERROR(__xludf.DUMMYFUNCTION("""COMPUTED_VALUE"""),"⁠https://vt.tiktok.com/ZSxAX5xys/")</f>
        <v>⁠https://vt.tiktok.com/ZSxAX5xys/</v>
      </c>
    </row>
    <row r="2012">
      <c r="A2012" s="282" t="str">
        <f>IFERROR(__xludf.DUMMYFUNCTION("""COMPUTED_VALUE"""),"MICRO")</f>
        <v>MICRO</v>
      </c>
      <c r="B2012" s="468" t="str">
        <f>IFERROR(__xludf.DUMMYFUNCTION("""COMPUTED_VALUE"""),"lola.safitri6")</f>
        <v>lola.safitri6</v>
      </c>
      <c r="C2012" s="283" t="str">
        <f>IFERROR(__xludf.DUMMYFUNCTION("""COMPUTED_VALUE"""),"https://www.tiktok.com/@lola.safitri6")</f>
        <v>https://www.tiktok.com/@lola.safitri6</v>
      </c>
      <c r="D2012" s="273"/>
      <c r="E2012" s="458">
        <f>IFERROR(__xludf.DUMMYFUNCTION("""COMPUTED_VALUE"""),0.0)</f>
        <v>0</v>
      </c>
      <c r="F2012" s="273">
        <f>IFERROR(__xludf.DUMMYFUNCTION("""COMPUTED_VALUE"""),4.0)</f>
        <v>4</v>
      </c>
      <c r="G2012" t="str">
        <f>IFERROR(__xludf.DUMMYFUNCTION("""COMPUTED_VALUE"""),"Sabun batang 1 Box ( 2 PCS )")</f>
        <v>Sabun batang 1 Box ( 2 PCS )</v>
      </c>
      <c r="H2012" s="469"/>
      <c r="I2012" s="470"/>
      <c r="J2012" s="471" t="str">
        <f>IFERROR(__xludf.DUMMYFUNCTION("""COMPUTED_VALUE"""),"https://vt.tiktok.com/ZSxqLPKND/")</f>
        <v>https://vt.tiktok.com/ZSxqLPKND/</v>
      </c>
      <c r="K2012" s="470"/>
      <c r="L2012" s="471" t="str">
        <f>IFERROR(__xludf.DUMMYFUNCTION("""COMPUTED_VALUE"""),"https://vt.tiktok.com/ZSxAXk2Gh/")</f>
        <v>https://vt.tiktok.com/ZSxAXk2Gh/</v>
      </c>
      <c r="M2012" s="470"/>
      <c r="N2012" t="str">
        <f>IFERROR(__xludf.DUMMYFUNCTION("""COMPUTED_VALUE"""),"⁠https://vt.tiktok.com/ZSxAX6J91/")</f>
        <v>⁠https://vt.tiktok.com/ZSxAX6J91/</v>
      </c>
      <c r="O2012" s="470"/>
      <c r="P2012" t="str">
        <f>IFERROR(__xludf.DUMMYFUNCTION("""COMPUTED_VALUE"""),"⁠https://vt.tiktok.com/ZSxAXMbmh/")</f>
        <v>⁠https://vt.tiktok.com/ZSxAXMbmh/</v>
      </c>
    </row>
    <row r="2013">
      <c r="A2013" s="282" t="str">
        <f>IFERROR(__xludf.DUMMYFUNCTION("""COMPUTED_VALUE"""),"MICRO")</f>
        <v>MICRO</v>
      </c>
      <c r="B2013" s="468" t="str">
        <f>IFERROR(__xludf.DUMMYFUNCTION("""COMPUTED_VALUE"""),"Ayangkirei")</f>
        <v>Ayangkirei</v>
      </c>
      <c r="C2013" s="283" t="str">
        <f>IFERROR(__xludf.DUMMYFUNCTION("""COMPUTED_VALUE"""),"https://www.tiktok.com/@Ayangkirei")</f>
        <v>https://www.tiktok.com/@Ayangkirei</v>
      </c>
      <c r="D2013" s="273"/>
      <c r="E2013" s="458">
        <f>IFERROR(__xludf.DUMMYFUNCTION("""COMPUTED_VALUE"""),0.0)</f>
        <v>0</v>
      </c>
      <c r="F2013" s="273">
        <f>IFERROR(__xludf.DUMMYFUNCTION("""COMPUTED_VALUE"""),4.0)</f>
        <v>4</v>
      </c>
      <c r="G2013" t="str">
        <f>IFERROR(__xludf.DUMMYFUNCTION("""COMPUTED_VALUE"""),"Sabun batang 1 Box ( 2 PCS )")</f>
        <v>Sabun batang 1 Box ( 2 PCS )</v>
      </c>
      <c r="H2013" s="469"/>
      <c r="I2013" s="470"/>
      <c r="J2013" s="471" t="str">
        <f>IFERROR(__xludf.DUMMYFUNCTION("""COMPUTED_VALUE"""),"https://vt.tiktok.com/ZSxqLkbAa/")</f>
        <v>https://vt.tiktok.com/ZSxqLkbAa/</v>
      </c>
      <c r="K2013" s="470"/>
      <c r="L2013" s="471" t="str">
        <f>IFERROR(__xludf.DUMMYFUNCTION("""COMPUTED_VALUE"""),"https://vt.tiktok.com/ZSxmH9TTF/")</f>
        <v>https://vt.tiktok.com/ZSxmH9TTF/</v>
      </c>
      <c r="M2013" s="470"/>
      <c r="N2013" s="471" t="str">
        <f>IFERROR(__xludf.DUMMYFUNCTION("""COMPUTED_VALUE"""),"https://vt.tiktok.com/ZSxaaFcVS/")</f>
        <v>https://vt.tiktok.com/ZSxaaFcVS/</v>
      </c>
      <c r="O2013" s="470"/>
      <c r="P2013" s="471" t="str">
        <f>IFERROR(__xludf.DUMMYFUNCTION("""COMPUTED_VALUE"""),"https://vt.tiktok.com/ZSxaaj6Cy/")</f>
        <v>https://vt.tiktok.com/ZSxaaj6Cy/</v>
      </c>
    </row>
    <row r="2014">
      <c r="A2014" s="282" t="str">
        <f>IFERROR(__xludf.DUMMYFUNCTION("""COMPUTED_VALUE"""),"MICRO")</f>
        <v>MICRO</v>
      </c>
      <c r="B2014" s="468" t="str">
        <f>IFERROR(__xludf.DUMMYFUNCTION("""COMPUTED_VALUE"""),"endukrizqi ")</f>
        <v>endukrizqi </v>
      </c>
      <c r="C2014" s="283" t="str">
        <f>IFERROR(__xludf.DUMMYFUNCTION("""COMPUTED_VALUE"""),"https://www.tiktok.com/@endukrizqi ")</f>
        <v>https://www.tiktok.com/@endukrizqi </v>
      </c>
      <c r="D2014" s="273"/>
      <c r="E2014" s="458">
        <f>IFERROR(__xludf.DUMMYFUNCTION("""COMPUTED_VALUE"""),0.0)</f>
        <v>0</v>
      </c>
      <c r="F2014" s="273">
        <f>IFERROR(__xludf.DUMMYFUNCTION("""COMPUTED_VALUE"""),4.0)</f>
        <v>4</v>
      </c>
      <c r="G2014" t="str">
        <f>IFERROR(__xludf.DUMMYFUNCTION("""COMPUTED_VALUE"""),"Sabun batang 1 Box ( 2 PCS )")</f>
        <v>Sabun batang 1 Box ( 2 PCS )</v>
      </c>
      <c r="H2014" s="469"/>
      <c r="I2014" s="470"/>
      <c r="J2014" s="471" t="str">
        <f>IFERROR(__xludf.DUMMYFUNCTION("""COMPUTED_VALUE"""),"https://vt.tiktok.com/ZSxWKh4Vh/")</f>
        <v>https://vt.tiktok.com/ZSxWKh4Vh/</v>
      </c>
      <c r="K2014" s="470"/>
      <c r="L2014" s="471" t="str">
        <f>IFERROR(__xludf.DUMMYFUNCTION("""COMPUTED_VALUE"""),"https://vt.tiktok.com/ZSxWKpm1s/")</f>
        <v>https://vt.tiktok.com/ZSxWKpm1s/</v>
      </c>
      <c r="M2014" s="470"/>
      <c r="N2014" s="471" t="str">
        <f>IFERROR(__xludf.DUMMYFUNCTION("""COMPUTED_VALUE"""),"https://vt.tiktok.com/ZSxmHpNte/")</f>
        <v>https://vt.tiktok.com/ZSxmHpNte/</v>
      </c>
      <c r="O2014" s="470"/>
      <c r="P2014" s="471" t="str">
        <f>IFERROR(__xludf.DUMMYFUNCTION("""COMPUTED_VALUE"""),"https://vt.tiktok.com/ZSxmHcwrW/")</f>
        <v>https://vt.tiktok.com/ZSxmHcwrW/</v>
      </c>
    </row>
    <row r="2015">
      <c r="A2015" s="282" t="str">
        <f>IFERROR(__xludf.DUMMYFUNCTION("""COMPUTED_VALUE"""),"MICRO")</f>
        <v>MICRO</v>
      </c>
      <c r="B2015" s="468" t="str">
        <f>IFERROR(__xludf.DUMMYFUNCTION("""COMPUTED_VALUE"""),"ita_ra")</f>
        <v>ita_ra</v>
      </c>
      <c r="C2015" s="283" t="str">
        <f>IFERROR(__xludf.DUMMYFUNCTION("""COMPUTED_VALUE"""),"https://www.tiktok.com/@ita_ra")</f>
        <v>https://www.tiktok.com/@ita_ra</v>
      </c>
      <c r="D2015" s="273"/>
      <c r="E2015" s="458">
        <f>IFERROR(__xludf.DUMMYFUNCTION("""COMPUTED_VALUE"""),0.0)</f>
        <v>0</v>
      </c>
      <c r="F2015" s="273">
        <f>IFERROR(__xludf.DUMMYFUNCTION("""COMPUTED_VALUE"""),4.0)</f>
        <v>4</v>
      </c>
      <c r="G2015" t="str">
        <f>IFERROR(__xludf.DUMMYFUNCTION("""COMPUTED_VALUE"""),"Sabun batang 1 Box ( 2 PCS )")</f>
        <v>Sabun batang 1 Box ( 2 PCS )</v>
      </c>
      <c r="H2015" s="469"/>
      <c r="I2015" s="470"/>
      <c r="J2015" s="471" t="str">
        <f>IFERROR(__xludf.DUMMYFUNCTION("""COMPUTED_VALUE"""),"https://vt.tiktok.com/ZSxqLL7Dg/")</f>
        <v>https://vt.tiktok.com/ZSxqLL7Dg/</v>
      </c>
      <c r="K2015" s="470"/>
      <c r="L2015" s="471" t="str">
        <f>IFERROR(__xludf.DUMMYFUNCTION("""COMPUTED_VALUE"""),"https://vt.tiktok.com/ZSxftN8G4/")</f>
        <v>https://vt.tiktok.com/ZSxftN8G4/</v>
      </c>
      <c r="M2015" s="470"/>
      <c r="N2015" s="471" t="str">
        <f>IFERROR(__xludf.DUMMYFUNCTION("""COMPUTED_VALUE"""),"https://vt.tiktok.com/ZSxfGUSGG/")</f>
        <v>https://vt.tiktok.com/ZSxfGUSGG/</v>
      </c>
      <c r="O2015" s="470"/>
      <c r="P2015" t="str">
        <f>IFERROR(__xludf.DUMMYFUNCTION("""COMPUTED_VALUE"""),"⁠https://vt.tiktok.com/ZSxyXFGyL/")</f>
        <v>⁠https://vt.tiktok.com/ZSxyXFGyL/</v>
      </c>
    </row>
    <row r="2016">
      <c r="A2016" s="282" t="str">
        <f>IFERROR(__xludf.DUMMYFUNCTION("""COMPUTED_VALUE"""),"MICRO")</f>
        <v>MICRO</v>
      </c>
      <c r="B2016" s="468" t="str">
        <f>IFERROR(__xludf.DUMMYFUNCTION("""COMPUTED_VALUE"""),"ririarct")</f>
        <v>ririarct</v>
      </c>
      <c r="C2016" s="283" t="str">
        <f>IFERROR(__xludf.DUMMYFUNCTION("""COMPUTED_VALUE"""),"https://www.tiktok.com/@ririarct")</f>
        <v>https://www.tiktok.com/@ririarct</v>
      </c>
      <c r="D2016" s="273"/>
      <c r="E2016" s="458">
        <f>IFERROR(__xludf.DUMMYFUNCTION("""COMPUTED_VALUE"""),0.0)</f>
        <v>0</v>
      </c>
      <c r="F2016" s="273">
        <f>IFERROR(__xludf.DUMMYFUNCTION("""COMPUTED_VALUE"""),4.0)</f>
        <v>4</v>
      </c>
      <c r="G2016" t="str">
        <f>IFERROR(__xludf.DUMMYFUNCTION("""COMPUTED_VALUE"""),"Sabun batang 1 Box ( 2 PCS )")</f>
        <v>Sabun batang 1 Box ( 2 PCS )</v>
      </c>
      <c r="H2016" s="469"/>
      <c r="I2016" s="470"/>
      <c r="J2016" s="471" t="str">
        <f>IFERROR(__xludf.DUMMYFUNCTION("""COMPUTED_VALUE"""),"https://vt.tiktok.com/ZSxE8jS2v/")</f>
        <v>https://vt.tiktok.com/ZSxE8jS2v/</v>
      </c>
      <c r="K2016" s="470"/>
      <c r="L2016" s="471" t="str">
        <f>IFERROR(__xludf.DUMMYFUNCTION("""COMPUTED_VALUE"""),"https://vt.tiktok.com/ZSxE8b31a/")</f>
        <v>https://vt.tiktok.com/ZSxE8b31a/</v>
      </c>
      <c r="M2016" s="470"/>
      <c r="N2016" t="str">
        <f>IFERROR(__xludf.DUMMYFUNCTION("""COMPUTED_VALUE"""),"⁠https://vt.tiktok.com/ZSxPB3F88/")</f>
        <v>⁠https://vt.tiktok.com/ZSxPB3F88/</v>
      </c>
      <c r="O2016" s="470"/>
      <c r="P2016" t="str">
        <f>IFERROR(__xludf.DUMMYFUNCTION("""COMPUTED_VALUE"""),"⁠https://vt.tiktok.com/ZSxPS6Ck2/")</f>
        <v>⁠https://vt.tiktok.com/ZSxPS6Ck2/</v>
      </c>
    </row>
    <row r="2017">
      <c r="A2017" s="282" t="str">
        <f>IFERROR(__xludf.DUMMYFUNCTION("""COMPUTED_VALUE"""),"MICRO")</f>
        <v>MICRO</v>
      </c>
      <c r="B2017" s="468" t="str">
        <f>IFERROR(__xludf.DUMMYFUNCTION("""COMPUTED_VALUE"""),"ayuckmua")</f>
        <v>ayuckmua</v>
      </c>
      <c r="C2017" s="283" t="str">
        <f>IFERROR(__xludf.DUMMYFUNCTION("""COMPUTED_VALUE"""),"https://www.tiktok.com/@ayuckmua")</f>
        <v>https://www.tiktok.com/@ayuckmua</v>
      </c>
      <c r="D2017" s="273">
        <f>IFERROR(__xludf.DUMMYFUNCTION("""COMPUTED_VALUE"""),8.775550751E10)</f>
        <v>87755507510</v>
      </c>
      <c r="E2017" s="458">
        <f>IFERROR(__xludf.DUMMYFUNCTION("""COMPUTED_VALUE"""),0.0)</f>
        <v>0</v>
      </c>
      <c r="F2017" s="273">
        <f>IFERROR(__xludf.DUMMYFUNCTION("""COMPUTED_VALUE"""),4.0)</f>
        <v>4</v>
      </c>
      <c r="G2017" t="str">
        <f>IFERROR(__xludf.DUMMYFUNCTION("""COMPUTED_VALUE"""),"Sabun batang 1 Box ( 2 PCS )")</f>
        <v>Sabun batang 1 Box ( 2 PCS )</v>
      </c>
      <c r="H2017" s="469"/>
      <c r="I2017" s="470"/>
      <c r="J2017" s="471" t="str">
        <f>IFERROR(__xludf.DUMMYFUNCTION("""COMPUTED_VALUE"""),"https://vt.tiktok.com/ZSxguN966/")</f>
        <v>https://vt.tiktok.com/ZSxguN966/</v>
      </c>
      <c r="K2017" s="470"/>
      <c r="L2017" t="str">
        <f>IFERROR(__xludf.DUMMYFUNCTION("""COMPUTED_VALUE"""),"⁠https://vt.tiktok.com/ZSx5D7vRL/")</f>
        <v>⁠https://vt.tiktok.com/ZSx5D7vRL/</v>
      </c>
      <c r="M2017" s="470"/>
      <c r="N2017" t="str">
        <f>IFERROR(__xludf.DUMMYFUNCTION("""COMPUTED_VALUE"""),"⁠https://vt.tiktok.com/ZSx5Dp7cB/")</f>
        <v>⁠https://vt.tiktok.com/ZSx5Dp7cB/</v>
      </c>
      <c r="O2017" s="470"/>
      <c r="P2017" s="471" t="str">
        <f>IFERROR(__xludf.DUMMYFUNCTION("""COMPUTED_VALUE"""),"https://vt.tiktok.com/ZSxPXXgsD/")</f>
        <v>https://vt.tiktok.com/ZSxPXXgsD/</v>
      </c>
    </row>
    <row r="2018">
      <c r="A2018" s="282" t="str">
        <f>IFERROR(__xludf.DUMMYFUNCTION("""COMPUTED_VALUE"""),"MICRO")</f>
        <v>MICRO</v>
      </c>
      <c r="B2018" s="468" t="str">
        <f>IFERROR(__xludf.DUMMYFUNCTION("""COMPUTED_VALUE"""),"gestifff")</f>
        <v>gestifff</v>
      </c>
      <c r="C2018" s="283" t="str">
        <f>IFERROR(__xludf.DUMMYFUNCTION("""COMPUTED_VALUE"""),"https://www.tiktok.com/@gestifff")</f>
        <v>https://www.tiktok.com/@gestifff</v>
      </c>
      <c r="D2018" s="273"/>
      <c r="E2018" s="458">
        <f>IFERROR(__xludf.DUMMYFUNCTION("""COMPUTED_VALUE"""),0.0)</f>
        <v>0</v>
      </c>
      <c r="F2018" s="273">
        <f>IFERROR(__xludf.DUMMYFUNCTION("""COMPUTED_VALUE"""),4.0)</f>
        <v>4</v>
      </c>
      <c r="G2018" t="str">
        <f>IFERROR(__xludf.DUMMYFUNCTION("""COMPUTED_VALUE"""),"Sabun batang 1 Box ( 2 PCS )")</f>
        <v>Sabun batang 1 Box ( 2 PCS )</v>
      </c>
      <c r="H2018" s="469"/>
      <c r="I2018" s="470"/>
      <c r="J2018" s="471" t="str">
        <f>IFERROR(__xludf.DUMMYFUNCTION("""COMPUTED_VALUE"""),"https://vt.tiktok.com/ZSxgQd6b4/")</f>
        <v>https://vt.tiktok.com/ZSxgQd6b4/</v>
      </c>
      <c r="K2018" s="470"/>
      <c r="L2018" s="471" t="str">
        <f>IFERROR(__xludf.DUMMYFUNCTION("""COMPUTED_VALUE"""),"https://vt.tiktok.com/ZSxa6UVeT/")</f>
        <v>https://vt.tiktok.com/ZSxa6UVeT/</v>
      </c>
      <c r="M2018" s="470"/>
      <c r="N2018" s="471" t="str">
        <f>IFERROR(__xludf.DUMMYFUNCTION("""COMPUTED_VALUE"""),"https://vt.tiktok.com/ZSxajGbaM/")</f>
        <v>https://vt.tiktok.com/ZSxajGbaM/</v>
      </c>
      <c r="O2018" s="470"/>
      <c r="P2018" t="str">
        <f>IFERROR(__xludf.DUMMYFUNCTION("""COMPUTED_VALUE"""),"⁠https://vt.tiktok.com/ZSx5URWtn/")</f>
        <v>⁠https://vt.tiktok.com/ZSx5URWtn/</v>
      </c>
    </row>
    <row r="2019">
      <c r="A2019" s="282" t="str">
        <f>IFERROR(__xludf.DUMMYFUNCTION("""COMPUTED_VALUE"""),"MICRO")</f>
        <v>MICRO</v>
      </c>
      <c r="B2019" s="468" t="str">
        <f>IFERROR(__xludf.DUMMYFUNCTION("""COMPUTED_VALUE"""),"zulaikhah881")</f>
        <v>zulaikhah881</v>
      </c>
      <c r="C2019" s="283" t="str">
        <f>IFERROR(__xludf.DUMMYFUNCTION("""COMPUTED_VALUE"""),"https://www.tiktok.com/@zulaikhah881")</f>
        <v>https://www.tiktok.com/@zulaikhah881</v>
      </c>
      <c r="D2019" s="273"/>
      <c r="E2019" s="458">
        <f>IFERROR(__xludf.DUMMYFUNCTION("""COMPUTED_VALUE"""),0.0)</f>
        <v>0</v>
      </c>
      <c r="F2019" s="273">
        <f>IFERROR(__xludf.DUMMYFUNCTION("""COMPUTED_VALUE"""),4.0)</f>
        <v>4</v>
      </c>
      <c r="G2019" t="str">
        <f>IFERROR(__xludf.DUMMYFUNCTION("""COMPUTED_VALUE"""),"Sabun batang 1 Box ( 2 PCS )")</f>
        <v>Sabun batang 1 Box ( 2 PCS )</v>
      </c>
      <c r="H2019" s="469"/>
      <c r="I2019" s="470"/>
      <c r="J2019" s="471" t="str">
        <f>IFERROR(__xludf.DUMMYFUNCTION("""COMPUTED_VALUE"""),"https://vt.tiktok.com/ZSxTsfw6q/")</f>
        <v>https://vt.tiktok.com/ZSxTsfw6q/</v>
      </c>
      <c r="K2019" s="470"/>
      <c r="L2019" s="471" t="str">
        <f>IFERROR(__xludf.DUMMYFUNCTION("""COMPUTED_VALUE"""),"https://vt.tiktok.com/ZSxTsaLt3/")</f>
        <v>https://vt.tiktok.com/ZSxTsaLt3/</v>
      </c>
      <c r="M2019" s="470"/>
      <c r="N2019" t="str">
        <f>IFERROR(__xludf.DUMMYFUNCTION("""COMPUTED_VALUE"""),"⁠https://vt.tiktok.com/ZSxyXRxYQ/")</f>
        <v>⁠https://vt.tiktok.com/ZSxyXRxYQ/</v>
      </c>
      <c r="O2019" s="470"/>
      <c r="P2019" t="str">
        <f>IFERROR(__xludf.DUMMYFUNCTION("""COMPUTED_VALUE"""),"⁠https://vt.tiktok.com/ZSxyXhHq3/")</f>
        <v>⁠https://vt.tiktok.com/ZSxyXhHq3/</v>
      </c>
    </row>
    <row r="2020">
      <c r="A2020" s="282" t="str">
        <f>IFERROR(__xludf.DUMMYFUNCTION("""COMPUTED_VALUE"""),"MICRO")</f>
        <v>MICRO</v>
      </c>
      <c r="B2020" s="468" t="str">
        <f>IFERROR(__xludf.DUMMYFUNCTION("""COMPUTED_VALUE"""),"fbydnita_")</f>
        <v>fbydnita_</v>
      </c>
      <c r="C2020" s="283" t="str">
        <f>IFERROR(__xludf.DUMMYFUNCTION("""COMPUTED_VALUE"""),"https://www.tiktok.com/@fbydnita_")</f>
        <v>https://www.tiktok.com/@fbydnita_</v>
      </c>
      <c r="D2020" s="273"/>
      <c r="E2020" s="458">
        <f>IFERROR(__xludf.DUMMYFUNCTION("""COMPUTED_VALUE"""),0.0)</f>
        <v>0</v>
      </c>
      <c r="F2020" s="273">
        <f>IFERROR(__xludf.DUMMYFUNCTION("""COMPUTED_VALUE"""),4.0)</f>
        <v>4</v>
      </c>
      <c r="G2020" t="str">
        <f>IFERROR(__xludf.DUMMYFUNCTION("""COMPUTED_VALUE"""),"Sabun batang 1 Box ( 2 PCS )")</f>
        <v>Sabun batang 1 Box ( 2 PCS )</v>
      </c>
      <c r="H2020" s="469"/>
      <c r="I2020" s="470"/>
      <c r="J2020" s="471" t="str">
        <f>IFERROR(__xludf.DUMMYFUNCTION("""COMPUTED_VALUE"""),"https://vt.tiktok.com/ZSxTH6bMx/")</f>
        <v>https://vt.tiktok.com/ZSxTH6bMx/</v>
      </c>
      <c r="K2020" s="470"/>
      <c r="L2020" s="471" t="str">
        <f>IFERROR(__xludf.DUMMYFUNCTION("""COMPUTED_VALUE"""),"https://vt.tiktok.com/ZSxTHt8WB/")</f>
        <v>https://vt.tiktok.com/ZSxTHt8WB/</v>
      </c>
      <c r="M2020" s="470"/>
      <c r="N2020" t="str">
        <f>IFERROR(__xludf.DUMMYFUNCTION("""COMPUTED_VALUE"""),"⁠https://vt.tiktok.com/ZSxyd5GXM/")</f>
        <v>⁠https://vt.tiktok.com/ZSxyd5GXM/</v>
      </c>
      <c r="O2020" s="470"/>
      <c r="P2020" t="str">
        <f>IFERROR(__xludf.DUMMYFUNCTION("""COMPUTED_VALUE"""),"⁠https://vt.tiktok.com/ZSxydyGHt/")</f>
        <v>⁠https://vt.tiktok.com/ZSxydyGHt/</v>
      </c>
    </row>
    <row r="2021">
      <c r="A2021" s="282" t="str">
        <f>IFERROR(__xludf.DUMMYFUNCTION("""COMPUTED_VALUE"""),"MICRO")</f>
        <v>MICRO</v>
      </c>
      <c r="B2021" s="468" t="str">
        <f>IFERROR(__xludf.DUMMYFUNCTION("""COMPUTED_VALUE"""),"nimadewahyunii")</f>
        <v>nimadewahyunii</v>
      </c>
      <c r="C2021" s="283" t="str">
        <f>IFERROR(__xludf.DUMMYFUNCTION("""COMPUTED_VALUE"""),"https://www.tiktok.com/@nimadewahyunii")</f>
        <v>https://www.tiktok.com/@nimadewahyunii</v>
      </c>
      <c r="D2021" s="273"/>
      <c r="E2021" s="458">
        <f>IFERROR(__xludf.DUMMYFUNCTION("""COMPUTED_VALUE"""),0.0)</f>
        <v>0</v>
      </c>
      <c r="F2021" s="273">
        <f>IFERROR(__xludf.DUMMYFUNCTION("""COMPUTED_VALUE"""),4.0)</f>
        <v>4</v>
      </c>
      <c r="G2021" t="str">
        <f>IFERROR(__xludf.DUMMYFUNCTION("""COMPUTED_VALUE"""),"Sabun batang 1 Box ( 2 PCS )")</f>
        <v>Sabun batang 1 Box ( 2 PCS )</v>
      </c>
      <c r="H2021" s="469"/>
      <c r="I2021" s="470"/>
      <c r="J2021" s="471" t="str">
        <f>IFERROR(__xludf.DUMMYFUNCTION("""COMPUTED_VALUE"""),"https://vt.tiktok.com/ZSxWt2RJg/")</f>
        <v>https://vt.tiktok.com/ZSxWt2RJg/</v>
      </c>
      <c r="K2021" s="470"/>
      <c r="L2021" s="471" t="str">
        <f>IFERROR(__xludf.DUMMYFUNCTION("""COMPUTED_VALUE"""),"https://vt.tiktok.com/ZSxWtYUXp/")</f>
        <v>https://vt.tiktok.com/ZSxWtYUXp/</v>
      </c>
      <c r="M2021" s="470"/>
      <c r="N2021" s="471" t="str">
        <f>IFERROR(__xludf.DUMMYFUNCTION("""COMPUTED_VALUE"""),"https://vt.tiktok.com/ZSxUUmbHr/")</f>
        <v>https://vt.tiktok.com/ZSxUUmbHr/</v>
      </c>
      <c r="O2021" s="470"/>
      <c r="P2021" t="str">
        <f>IFERROR(__xludf.DUMMYFUNCTION("""COMPUTED_VALUE"""),"⁠https://vt.tiktok.com/ZSxydRV14/")</f>
        <v>⁠https://vt.tiktok.com/ZSxydRV14/</v>
      </c>
    </row>
    <row r="2022">
      <c r="A2022" s="282" t="str">
        <f>IFERROR(__xludf.DUMMYFUNCTION("""COMPUTED_VALUE"""),"MICRO")</f>
        <v>MICRO</v>
      </c>
      <c r="B2022" s="468" t="str">
        <f>IFERROR(__xludf.DUMMYFUNCTION("""COMPUTED_VALUE"""),"Ve_mhw")</f>
        <v>Ve_mhw</v>
      </c>
      <c r="C2022" s="283" t="str">
        <f>IFERROR(__xludf.DUMMYFUNCTION("""COMPUTED_VALUE"""),"https://www.tiktok.com/@Ve_mhw")</f>
        <v>https://www.tiktok.com/@Ve_mhw</v>
      </c>
      <c r="D2022" s="273"/>
      <c r="E2022" s="458">
        <f>IFERROR(__xludf.DUMMYFUNCTION("""COMPUTED_VALUE"""),0.0)</f>
        <v>0</v>
      </c>
      <c r="F2022" s="273">
        <f>IFERROR(__xludf.DUMMYFUNCTION("""COMPUTED_VALUE"""),4.0)</f>
        <v>4</v>
      </c>
      <c r="G2022" t="str">
        <f>IFERROR(__xludf.DUMMYFUNCTION("""COMPUTED_VALUE"""),"Sabun batang 1 Box ( 2 PCS )")</f>
        <v>Sabun batang 1 Box ( 2 PCS )</v>
      </c>
      <c r="H2022" s="469"/>
      <c r="I2022" s="470"/>
      <c r="J2022" s="471" t="str">
        <f>IFERROR(__xludf.DUMMYFUNCTION("""COMPUTED_VALUE"""),"https://vt.tiktok.com/ZSxppjWYc/")</f>
        <v>https://vt.tiktok.com/ZSxppjWYc/</v>
      </c>
      <c r="K2022" s="470"/>
      <c r="L2022" s="471" t="str">
        <f>IFERROR(__xludf.DUMMYFUNCTION("""COMPUTED_VALUE"""),"https://vt.tiktok.com/ZSxppSyMK/")</f>
        <v>https://vt.tiktok.com/ZSxppSyMK/</v>
      </c>
      <c r="M2022" s="470"/>
      <c r="N2022" t="str">
        <f>IFERROR(__xludf.DUMMYFUNCTION("""COMPUTED_VALUE"""),"⁠https://vt.tiktok.com/ZSxDoydHU/")</f>
        <v>⁠https://vt.tiktok.com/ZSxDoydHU/</v>
      </c>
      <c r="O2022" s="470"/>
      <c r="P2022" t="str">
        <f>IFERROR(__xludf.DUMMYFUNCTION("""COMPUTED_VALUE"""),"⁠https://vt.tiktok.com/ZSxDoaJFr/")</f>
        <v>⁠https://vt.tiktok.com/ZSxDoaJFr/</v>
      </c>
    </row>
    <row r="2023">
      <c r="A2023" s="282" t="str">
        <f>IFERROR(__xludf.DUMMYFUNCTION("""COMPUTED_VALUE"""),"MICRO")</f>
        <v>MICRO</v>
      </c>
      <c r="B2023" s="468" t="str">
        <f>IFERROR(__xludf.DUMMYFUNCTION("""COMPUTED_VALUE"""),"Claretaratuazzura")</f>
        <v>Claretaratuazzura</v>
      </c>
      <c r="C2023" s="283" t="str">
        <f>IFERROR(__xludf.DUMMYFUNCTION("""COMPUTED_VALUE"""),"https://www.tiktok.com/@Claretaratuazzura")</f>
        <v>https://www.tiktok.com/@Claretaratuazzura</v>
      </c>
      <c r="D2023" s="273"/>
      <c r="E2023" s="458">
        <f>IFERROR(__xludf.DUMMYFUNCTION("""COMPUTED_VALUE"""),0.0)</f>
        <v>0</v>
      </c>
      <c r="F2023" s="273">
        <f>IFERROR(__xludf.DUMMYFUNCTION("""COMPUTED_VALUE"""),4.0)</f>
        <v>4</v>
      </c>
      <c r="G2023" t="str">
        <f>IFERROR(__xludf.DUMMYFUNCTION("""COMPUTED_VALUE"""),"Sabun batang 1 Box ( 2 PCS )")</f>
        <v>Sabun batang 1 Box ( 2 PCS )</v>
      </c>
      <c r="H2023" s="469"/>
      <c r="I2023" s="470"/>
      <c r="J2023" t="str">
        <f>IFERROR(__xludf.DUMMYFUNCTION("""COMPUTED_VALUE"""),"⁠⁠https://vt.tiktok.com/ZSxghASny/")</f>
        <v>⁠⁠https://vt.tiktok.com/ZSxghASny/</v>
      </c>
      <c r="K2023" s="470"/>
      <c r="L2023" t="str">
        <f>IFERROR(__xludf.DUMMYFUNCTION("""COMPUTED_VALUE"""),"⁠https://vt.tiktok.com/ZSxADoc4c/")</f>
        <v>⁠https://vt.tiktok.com/ZSxADoc4c/</v>
      </c>
      <c r="M2023" s="470"/>
      <c r="N2023" t="str">
        <f>IFERROR(__xludf.DUMMYFUNCTION("""COMPUTED_VALUE"""),"⁠https://vt.tiktok.com/ZSxAUD42L/")</f>
        <v>⁠https://vt.tiktok.com/ZSxAUD42L/</v>
      </c>
      <c r="O2023" s="470"/>
      <c r="P2023" t="str">
        <f>IFERROR(__xludf.DUMMYFUNCTION("""COMPUTED_VALUE"""),"⁠https://vt.tiktok.com/ZSxDouqHq/")</f>
        <v>⁠https://vt.tiktok.com/ZSxDouqHq/</v>
      </c>
    </row>
    <row r="2024">
      <c r="A2024" s="282" t="str">
        <f>IFERROR(__xludf.DUMMYFUNCTION("""COMPUTED_VALUE"""),"MICRO")</f>
        <v>MICRO</v>
      </c>
      <c r="B2024" s="468" t="str">
        <f>IFERROR(__xludf.DUMMYFUNCTION("""COMPUTED_VALUE"""),"Naayla11")</f>
        <v>Naayla11</v>
      </c>
      <c r="C2024" s="283" t="str">
        <f>IFERROR(__xludf.DUMMYFUNCTION("""COMPUTED_VALUE"""),"https://www.tiktok.com/@Naayla11")</f>
        <v>https://www.tiktok.com/@Naayla11</v>
      </c>
      <c r="D2024" s="273"/>
      <c r="E2024" s="458">
        <f>IFERROR(__xludf.DUMMYFUNCTION("""COMPUTED_VALUE"""),0.0)</f>
        <v>0</v>
      </c>
      <c r="F2024" s="273">
        <f>IFERROR(__xludf.DUMMYFUNCTION("""COMPUTED_VALUE"""),4.0)</f>
        <v>4</v>
      </c>
      <c r="G2024" t="str">
        <f>IFERROR(__xludf.DUMMYFUNCTION("""COMPUTED_VALUE"""),"Sabun batang 1 Box ( 2 PCS )")</f>
        <v>Sabun batang 1 Box ( 2 PCS )</v>
      </c>
      <c r="H2024" s="469"/>
      <c r="I2024" s="470"/>
      <c r="J2024" s="471" t="str">
        <f>IFERROR(__xludf.DUMMYFUNCTION("""COMPUTED_VALUE"""),"https://vt.tiktok.com/ZSxgQd9Cn/")</f>
        <v>https://vt.tiktok.com/ZSxgQd9Cn/</v>
      </c>
      <c r="K2024" s="470"/>
      <c r="L2024" s="471" t="str">
        <f>IFERROR(__xludf.DUMMYFUNCTION("""COMPUTED_VALUE"""),"https://vt.tiktok.com/ZSxm9kGUC/")</f>
        <v>https://vt.tiktok.com/ZSxm9kGUC/</v>
      </c>
      <c r="M2024" s="470"/>
      <c r="N2024" s="471" t="str">
        <f>IFERROR(__xludf.DUMMYFUNCTION("""COMPUTED_VALUE"""),"https://vt.tiktok.com/ZSxSx3B87/")</f>
        <v>https://vt.tiktok.com/ZSxSx3B87/</v>
      </c>
      <c r="O2024" s="470"/>
      <c r="P2024" s="471" t="str">
        <f>IFERROR(__xludf.DUMMYFUNCTION("""COMPUTED_VALUE"""),"https://vt.tiktok.com/ZSxAU1gJD/")</f>
        <v>https://vt.tiktok.com/ZSxAU1gJD/</v>
      </c>
    </row>
    <row r="2025">
      <c r="A2025" s="282" t="str">
        <f>IFERROR(__xludf.DUMMYFUNCTION("""COMPUTED_VALUE"""),"MICRO")</f>
        <v>MICRO</v>
      </c>
      <c r="B2025" s="468" t="str">
        <f>IFERROR(__xludf.DUMMYFUNCTION("""COMPUTED_VALUE"""),"iesloav.id")</f>
        <v>iesloav.id</v>
      </c>
      <c r="C2025" s="283" t="str">
        <f>IFERROR(__xludf.DUMMYFUNCTION("""COMPUTED_VALUE"""),"https://www.tiktok.com/@iesloav.id")</f>
        <v>https://www.tiktok.com/@iesloav.id</v>
      </c>
      <c r="D2025" s="273"/>
      <c r="E2025" s="458">
        <f>IFERROR(__xludf.DUMMYFUNCTION("""COMPUTED_VALUE"""),0.0)</f>
        <v>0</v>
      </c>
      <c r="F2025" s="273">
        <f>IFERROR(__xludf.DUMMYFUNCTION("""COMPUTED_VALUE"""),4.0)</f>
        <v>4</v>
      </c>
      <c r="G2025" t="str">
        <f>IFERROR(__xludf.DUMMYFUNCTION("""COMPUTED_VALUE"""),"Sabun batang 1 Box ( 2 PCS )")</f>
        <v>Sabun batang 1 Box ( 2 PCS )</v>
      </c>
      <c r="H2025" s="469"/>
      <c r="I2025" s="470"/>
      <c r="J2025" s="471" t="str">
        <f>IFERROR(__xludf.DUMMYFUNCTION("""COMPUTED_VALUE"""),"https://vt.tiktok.com/ZSxghR6vx/")</f>
        <v>https://vt.tiktok.com/ZSxghR6vx/</v>
      </c>
      <c r="K2025" s="470"/>
      <c r="L2025" s="471" t="str">
        <f>IFERROR(__xludf.DUMMYFUNCTION("""COMPUTED_VALUE"""),"https://vt.tiktok.com/ZSxmH5JxH/")</f>
        <v>https://vt.tiktok.com/ZSxmH5JxH/</v>
      </c>
      <c r="M2025" s="470"/>
      <c r="N2025" s="471" t="str">
        <f>IFERROR(__xludf.DUMMYFUNCTION("""COMPUTED_VALUE"""),"https://vt.tiktok.com/ZSxm96283/")</f>
        <v>https://vt.tiktok.com/ZSxm96283/</v>
      </c>
      <c r="O2025" s="470"/>
      <c r="P2025" s="471" t="str">
        <f>IFERROR(__xludf.DUMMYFUNCTION("""COMPUTED_VALUE"""),"https://vt.tiktok.com/ZSxAUJdRK/")</f>
        <v>https://vt.tiktok.com/ZSxAUJdRK/</v>
      </c>
    </row>
    <row r="2026">
      <c r="A2026" s="282" t="str">
        <f>IFERROR(__xludf.DUMMYFUNCTION("""COMPUTED_VALUE"""),"MICRO")</f>
        <v>MICRO</v>
      </c>
      <c r="B2026" s="468" t="str">
        <f>IFERROR(__xludf.DUMMYFUNCTION("""COMPUTED_VALUE"""),"mamanyalisa__")</f>
        <v>mamanyalisa__</v>
      </c>
      <c r="C2026" s="283" t="str">
        <f>IFERROR(__xludf.DUMMYFUNCTION("""COMPUTED_VALUE"""),"https://www.tiktok.com/@mamanyalisa__")</f>
        <v>https://www.tiktok.com/@mamanyalisa__</v>
      </c>
      <c r="D2026" s="273"/>
      <c r="E2026" s="458">
        <f>IFERROR(__xludf.DUMMYFUNCTION("""COMPUTED_VALUE"""),0.0)</f>
        <v>0</v>
      </c>
      <c r="F2026" s="273">
        <f>IFERROR(__xludf.DUMMYFUNCTION("""COMPUTED_VALUE"""),4.0)</f>
        <v>4</v>
      </c>
      <c r="G2026" t="str">
        <f>IFERROR(__xludf.DUMMYFUNCTION("""COMPUTED_VALUE"""),"Sabun batang 1 Box ( 2 PCS )")</f>
        <v>Sabun batang 1 Box ( 2 PCS )</v>
      </c>
      <c r="H2026" s="469"/>
      <c r="I2026" s="470"/>
      <c r="J2026" t="str">
        <f>IFERROR(__xludf.DUMMYFUNCTION("""COMPUTED_VALUE"""),"⁠⁠https://vt.tiktok.com/ZSxghdhcD/")</f>
        <v>⁠⁠https://vt.tiktok.com/ZSxghdhcD/</v>
      </c>
      <c r="K2026" s="470"/>
      <c r="L2026" s="471" t="str">
        <f>IFERROR(__xludf.DUMMYFUNCTION("""COMPUTED_VALUE"""),"https://vt.tiktok.com/ZSxmHqDUn/")</f>
        <v>https://vt.tiktok.com/ZSxmHqDUn/</v>
      </c>
      <c r="M2026" s="470"/>
      <c r="N2026" s="471" t="str">
        <f>IFERROR(__xludf.DUMMYFUNCTION("""COMPUTED_VALUE"""),"https://vt.tiktok.com/ZSxmHo95u/")</f>
        <v>https://vt.tiktok.com/ZSxmHo95u/</v>
      </c>
      <c r="O2026" s="470"/>
      <c r="P2026" t="str">
        <f>IFERROR(__xludf.DUMMYFUNCTION("""COMPUTED_VALUE"""),"⁠https://vt.tiktok.com/ZSxADcBJt/")</f>
        <v>⁠https://vt.tiktok.com/ZSxADcBJt/</v>
      </c>
    </row>
    <row r="2027">
      <c r="A2027" s="282" t="str">
        <f>IFERROR(__xludf.DUMMYFUNCTION("""COMPUTED_VALUE"""),"MICRO")</f>
        <v>MICRO</v>
      </c>
      <c r="B2027" s="468" t="str">
        <f>IFERROR(__xludf.DUMMYFUNCTION("""COMPUTED_VALUE"""),"Iniayunizh")</f>
        <v>Iniayunizh</v>
      </c>
      <c r="C2027" s="283" t="str">
        <f>IFERROR(__xludf.DUMMYFUNCTION("""COMPUTED_VALUE"""),"https://www.tiktok.com/@Iniayunizh")</f>
        <v>https://www.tiktok.com/@Iniayunizh</v>
      </c>
      <c r="D2027" s="273"/>
      <c r="E2027" s="458">
        <f>IFERROR(__xludf.DUMMYFUNCTION("""COMPUTED_VALUE"""),0.0)</f>
        <v>0</v>
      </c>
      <c r="F2027" s="273">
        <f>IFERROR(__xludf.DUMMYFUNCTION("""COMPUTED_VALUE"""),4.0)</f>
        <v>4</v>
      </c>
      <c r="G2027" t="str">
        <f>IFERROR(__xludf.DUMMYFUNCTION("""COMPUTED_VALUE"""),"Sabun batang 1 Box ( 2 PCS )")</f>
        <v>Sabun batang 1 Box ( 2 PCS )</v>
      </c>
      <c r="H2027" s="469"/>
      <c r="I2027" s="470"/>
      <c r="J2027" s="471" t="str">
        <f>IFERROR(__xludf.DUMMYFUNCTION("""COMPUTED_VALUE"""),"https://vt.tiktok.com/ZSxgQ2ssu/")</f>
        <v>https://vt.tiktok.com/ZSxgQ2ssu/</v>
      </c>
      <c r="K2027" s="470"/>
      <c r="L2027" s="471" t="str">
        <f>IFERROR(__xludf.DUMMYFUNCTION("""COMPUTED_VALUE"""),"https://vt.tiktok.com/ZSxmHmx4M/")</f>
        <v>https://vt.tiktok.com/ZSxmHmx4M/</v>
      </c>
      <c r="M2027" s="470"/>
      <c r="N2027" s="471" t="str">
        <f>IFERROR(__xludf.DUMMYFUNCTION("""COMPUTED_VALUE"""),"https://vt.tiktok.com/ZSxmHTVuq/")</f>
        <v>https://vt.tiktok.com/ZSxmHTVuq/</v>
      </c>
      <c r="O2027" s="470"/>
      <c r="P2027" s="471" t="str">
        <f>IFERROR(__xludf.DUMMYFUNCTION("""COMPUTED_VALUE"""),"https://vt.tiktok.com/ZSxSQN5aQ/")</f>
        <v>https://vt.tiktok.com/ZSxSQN5aQ/</v>
      </c>
    </row>
    <row r="2028">
      <c r="A2028" s="282" t="str">
        <f>IFERROR(__xludf.DUMMYFUNCTION("""COMPUTED_VALUE"""),"MICRO")</f>
        <v>MICRO</v>
      </c>
      <c r="B2028" s="468" t="str">
        <f>IFERROR(__xludf.DUMMYFUNCTION("""COMPUTED_VALUE"""),"_bulan05")</f>
        <v>_bulan05</v>
      </c>
      <c r="C2028" s="283" t="str">
        <f>IFERROR(__xludf.DUMMYFUNCTION("""COMPUTED_VALUE"""),"https://www.tiktok.com/@_bulan05")</f>
        <v>https://www.tiktok.com/@_bulan05</v>
      </c>
      <c r="D2028" s="273">
        <f>IFERROR(__xludf.DUMMYFUNCTION("""COMPUTED_VALUE"""),8.5716836896E10)</f>
        <v>85716836896</v>
      </c>
      <c r="E2028" s="458">
        <f>IFERROR(__xludf.DUMMYFUNCTION("""COMPUTED_VALUE"""),0.0)</f>
        <v>0</v>
      </c>
      <c r="F2028" s="273">
        <f>IFERROR(__xludf.DUMMYFUNCTION("""COMPUTED_VALUE"""),2.0)</f>
        <v>2</v>
      </c>
      <c r="G2028" t="str">
        <f>IFERROR(__xludf.DUMMYFUNCTION("""COMPUTED_VALUE"""),"Sabun batang 1 Box ( 2 PCS )")</f>
        <v>Sabun batang 1 Box ( 2 PCS )</v>
      </c>
      <c r="H2028" s="469"/>
      <c r="I2028" s="470"/>
      <c r="J2028" s="471" t="str">
        <f>IFERROR(__xludf.DUMMYFUNCTION("""COMPUTED_VALUE"""),"https://vt.tiktok.com/ZSxgQ16eQ/")</f>
        <v>https://vt.tiktok.com/ZSxgQ16eQ/</v>
      </c>
      <c r="K2028" s="470"/>
      <c r="L2028" s="471" t="str">
        <f>IFERROR(__xludf.DUMMYFUNCTION("""COMPUTED_VALUE"""),"https://vt.tiktok.com/ZSxHjTVgR/")</f>
        <v>https://vt.tiktok.com/ZSxHjTVgR/</v>
      </c>
      <c r="M2028" s="470"/>
      <c r="N2028" s="471" t="str">
        <f>IFERROR(__xludf.DUMMYFUNCTION("""COMPUTED_VALUE"""),"https://vt.tiktok.com/ZSxQhkUNG/")</f>
        <v>https://vt.tiktok.com/ZSxQhkUNG/</v>
      </c>
      <c r="O2028" s="470"/>
      <c r="P2028" s="471" t="str">
        <f>IFERROR(__xludf.DUMMYFUNCTION("""COMPUTED_VALUE"""),"https://vt.tiktok.com/ZSxQhhB24/")</f>
        <v>https://vt.tiktok.com/ZSxQhhB24/</v>
      </c>
    </row>
    <row r="2029">
      <c r="A2029" s="282" t="str">
        <f>IFERROR(__xludf.DUMMYFUNCTION("""COMPUTED_VALUE"""),"MICRO")</f>
        <v>MICRO</v>
      </c>
      <c r="B2029" s="468" t="str">
        <f>IFERROR(__xludf.DUMMYFUNCTION("""COMPUTED_VALUE"""),"mina175900")</f>
        <v>mina175900</v>
      </c>
      <c r="C2029" s="283" t="str">
        <f>IFERROR(__xludf.DUMMYFUNCTION("""COMPUTED_VALUE"""),"https://www.tiktok.com/@mina175900")</f>
        <v>https://www.tiktok.com/@mina175900</v>
      </c>
      <c r="D2029" s="273">
        <f>IFERROR(__xludf.DUMMYFUNCTION("""COMPUTED_VALUE"""),8.381147618E10)</f>
        <v>83811476180</v>
      </c>
      <c r="E2029" s="458">
        <f>IFERROR(__xludf.DUMMYFUNCTION("""COMPUTED_VALUE"""),0.0)</f>
        <v>0</v>
      </c>
      <c r="F2029" s="273">
        <f>IFERROR(__xludf.DUMMYFUNCTION("""COMPUTED_VALUE"""),2.0)</f>
        <v>2</v>
      </c>
      <c r="G2029" t="str">
        <f>IFERROR(__xludf.DUMMYFUNCTION("""COMPUTED_VALUE"""),"Sabun batang 1 Box ( 2 PCS )")</f>
        <v>Sabun batang 1 Box ( 2 PCS )</v>
      </c>
      <c r="H2029" s="469"/>
      <c r="I2029" s="470"/>
      <c r="J2029" s="471" t="str">
        <f>IFERROR(__xludf.DUMMYFUNCTION("""COMPUTED_VALUE"""),"https://vt.tiktok.com/ZSxgrKu13/")</f>
        <v>https://vt.tiktok.com/ZSxgrKu13/</v>
      </c>
      <c r="K2029" s="470"/>
      <c r="L2029" s="471" t="str">
        <f>IFERROR(__xludf.DUMMYFUNCTION("""COMPUTED_VALUE"""),"https://vt.tiktok.com/ZSxmg7f8r/")</f>
        <v>https://vt.tiktok.com/ZSxmg7f8r/</v>
      </c>
      <c r="M2029" s="470"/>
      <c r="N2029" s="471" t="str">
        <f>IFERROR(__xludf.DUMMYFUNCTION("""COMPUTED_VALUE"""),"https://vt.tiktok.com/ZSxQhBKBY/")</f>
        <v>https://vt.tiktok.com/ZSxQhBKBY/</v>
      </c>
      <c r="O2029" s="470"/>
      <c r="P2029" s="471" t="str">
        <f>IFERROR(__xludf.DUMMYFUNCTION("""COMPUTED_VALUE"""),"https://vt.tiktok.com/ZSxQhP2Q8/")</f>
        <v>https://vt.tiktok.com/ZSxQhP2Q8/</v>
      </c>
    </row>
    <row r="2030">
      <c r="A2030" s="282" t="str">
        <f>IFERROR(__xludf.DUMMYFUNCTION("""COMPUTED_VALUE"""),"MICRO")</f>
        <v>MICRO</v>
      </c>
      <c r="B2030" s="468" t="str">
        <f>IFERROR(__xludf.DUMMYFUNCTION("""COMPUTED_VALUE"""),"st_zahara99")</f>
        <v>st_zahara99</v>
      </c>
      <c r="C2030" s="283" t="str">
        <f>IFERROR(__xludf.DUMMYFUNCTION("""COMPUTED_VALUE"""),"https://www.tiktok.com/@st_zahara99")</f>
        <v>https://www.tiktok.com/@st_zahara99</v>
      </c>
      <c r="D2030" s="273">
        <f>IFERROR(__xludf.DUMMYFUNCTION("""COMPUTED_VALUE"""),8.227379022E10)</f>
        <v>82273790220</v>
      </c>
      <c r="E2030" s="458">
        <f>IFERROR(__xludf.DUMMYFUNCTION("""COMPUTED_VALUE"""),0.0)</f>
        <v>0</v>
      </c>
      <c r="F2030" s="273">
        <f>IFERROR(__xludf.DUMMYFUNCTION("""COMPUTED_VALUE"""),2.0)</f>
        <v>2</v>
      </c>
      <c r="G2030" t="str">
        <f>IFERROR(__xludf.DUMMYFUNCTION("""COMPUTED_VALUE"""),"Sabun batang 1 Box ( 2 PCS )")</f>
        <v>Sabun batang 1 Box ( 2 PCS )</v>
      </c>
      <c r="H2030" s="469"/>
      <c r="I2030" s="470"/>
      <c r="J2030" s="471" t="str">
        <f>IFERROR(__xludf.DUMMYFUNCTION("""COMPUTED_VALUE"""),"https://vt.tiktok.com/ZSxgxnSod/")</f>
        <v>https://vt.tiktok.com/ZSxgxnSod/</v>
      </c>
      <c r="K2030" s="470"/>
      <c r="L2030" s="471" t="str">
        <f>IFERROR(__xludf.DUMMYFUNCTION("""COMPUTED_VALUE"""),"https://vt.tiktok.com/ZSxmgwh26/")</f>
        <v>https://vt.tiktok.com/ZSxmgwh26/</v>
      </c>
      <c r="M2030" s="470"/>
      <c r="N2030" s="471" t="str">
        <f>IFERROR(__xludf.DUMMYFUNCTION("""COMPUTED_VALUE"""),"https://vt.tiktok.com/ZSxQhm3PY/")</f>
        <v>https://vt.tiktok.com/ZSxQhm3PY/</v>
      </c>
      <c r="O2030" s="470"/>
      <c r="P2030" s="471" t="str">
        <f>IFERROR(__xludf.DUMMYFUNCTION("""COMPUTED_VALUE"""),"https://vt.tiktok.com/ZSxQhr3Rr/")</f>
        <v>https://vt.tiktok.com/ZSxQhr3Rr/</v>
      </c>
    </row>
    <row r="2031">
      <c r="A2031" s="282" t="str">
        <f>IFERROR(__xludf.DUMMYFUNCTION("""COMPUTED_VALUE"""),"MICRO")</f>
        <v>MICRO</v>
      </c>
      <c r="B2031" s="468" t="str">
        <f>IFERROR(__xludf.DUMMYFUNCTION("""COMPUTED_VALUE"""),"aesthetic.girlsyaa")</f>
        <v>aesthetic.girlsyaa</v>
      </c>
      <c r="C2031" s="283" t="str">
        <f>IFERROR(__xludf.DUMMYFUNCTION("""COMPUTED_VALUE"""),"https://www.tiktok.com/@aesthetic.girlsyaa")</f>
        <v>https://www.tiktok.com/@aesthetic.girlsyaa</v>
      </c>
      <c r="D2031" s="273">
        <f>IFERROR(__xludf.DUMMYFUNCTION("""COMPUTED_VALUE"""),8.3169026626E10)</f>
        <v>83169026626</v>
      </c>
      <c r="E2031" s="458">
        <f>IFERROR(__xludf.DUMMYFUNCTION("""COMPUTED_VALUE"""),0.0)</f>
        <v>0</v>
      </c>
      <c r="F2031" s="273">
        <f>IFERROR(__xludf.DUMMYFUNCTION("""COMPUTED_VALUE"""),2.0)</f>
        <v>2</v>
      </c>
      <c r="G2031" t="str">
        <f>IFERROR(__xludf.DUMMYFUNCTION("""COMPUTED_VALUE"""),"Sabun batang 1 Box ( 2 PCS )")</f>
        <v>Sabun batang 1 Box ( 2 PCS )</v>
      </c>
      <c r="H2031" s="469"/>
      <c r="I2031" s="470"/>
      <c r="J2031" t="str">
        <f>IFERROR(__xludf.DUMMYFUNCTION("""COMPUTED_VALUE"""),"⁠⁠https://vt.tiktok.com/ZSxgrEPBj/")</f>
        <v>⁠⁠https://vt.tiktok.com/ZSxgrEPBj/</v>
      </c>
      <c r="K2031" s="470"/>
      <c r="L2031" s="471" t="str">
        <f>IFERROR(__xludf.DUMMYFUNCTION("""COMPUTED_VALUE"""),"https://vt.tiktok.com/ZSxmgbN6s/")</f>
        <v>https://vt.tiktok.com/ZSxmgbN6s/</v>
      </c>
      <c r="M2031" s="470"/>
      <c r="N2031" s="471" t="str">
        <f>IFERROR(__xludf.DUMMYFUNCTION("""COMPUTED_VALUE"""),"https://vt.tiktok.com/ZSxQhuQMr/")</f>
        <v>https://vt.tiktok.com/ZSxQhuQMr/</v>
      </c>
      <c r="O2031" s="470"/>
      <c r="P2031" s="471" t="str">
        <f>IFERROR(__xludf.DUMMYFUNCTION("""COMPUTED_VALUE"""),"https://vt.tiktok.com/ZSxHGYrTv/")</f>
        <v>https://vt.tiktok.com/ZSxHGYrTv/</v>
      </c>
    </row>
    <row r="2032">
      <c r="A2032" s="282" t="str">
        <f>IFERROR(__xludf.DUMMYFUNCTION("""COMPUTED_VALUE"""),"MICRO")</f>
        <v>MICRO</v>
      </c>
      <c r="B2032" s="468" t="str">
        <f>IFERROR(__xludf.DUMMYFUNCTION("""COMPUTED_VALUE"""),"Nvstore8")</f>
        <v>Nvstore8</v>
      </c>
      <c r="C2032" s="283" t="str">
        <f>IFERROR(__xludf.DUMMYFUNCTION("""COMPUTED_VALUE"""),"https://www.tiktok.com/@Nvstore8")</f>
        <v>https://www.tiktok.com/@Nvstore8</v>
      </c>
      <c r="D2032" s="273">
        <f>IFERROR(__xludf.DUMMYFUNCTION("""COMPUTED_VALUE"""),8.95331097013E11)</f>
        <v>895331097013</v>
      </c>
      <c r="E2032" s="458">
        <f>IFERROR(__xludf.DUMMYFUNCTION("""COMPUTED_VALUE"""),0.0)</f>
        <v>0</v>
      </c>
      <c r="F2032" s="273">
        <f>IFERROR(__xludf.DUMMYFUNCTION("""COMPUTED_VALUE"""),2.0)</f>
        <v>2</v>
      </c>
      <c r="G2032" t="str">
        <f>IFERROR(__xludf.DUMMYFUNCTION("""COMPUTED_VALUE"""),"Sabun batang 1 Box ( 2 PCS )")</f>
        <v>Sabun batang 1 Box ( 2 PCS )</v>
      </c>
      <c r="H2032" s="469"/>
      <c r="I2032" s="470"/>
      <c r="J2032" s="471" t="str">
        <f>IFERROR(__xludf.DUMMYFUNCTION("""COMPUTED_VALUE"""),"https://www.tiktok.com/@nvstore8/video/7645587935957388564?_r=1&amp;u_code=e3f7kg1b98d074&amp;region=&amp;mid=7640817124251863825&amp;preview_pb=0&amp;sharer_language=&amp;_d=0&amp;ec_shared_reflux_dynamic_params=%7B%22placeholder_material_id%22%3A%227645587935957388564%22%2C%22plac"&amp;"eholder_origin_cover%22%3A%22https%253A%252F%252Fp16-common-sign.tiktokcdn.com%252Ftos-alisg-p-0037%252FogPEgYPaABla6XcB7dEVIabqVbqE8hAiBILAi~tplv-tiktokx-origin.jpeg%253Fdr%253D14572%2526refresh_token%253D60cb94e4%2526x-expires%253D1812099600%2526x-signa"&amp;"ture%253DHvurNLgEge%25252Fq4v%25252FZtQD%25252BhQME%25252Bo4%25253D%2526t%253D4d5b0474%2526ps%253D13740610%2526shp%253Dd05b14bd%2526shcp%253D34ff8df6%2526idc%253Dmy%2526s%253DTIKTOK_AFFILIATE_VIRAL_VIDEO%22%2C%22placeholder_product_id%22%3A%22172942776672"&amp;"2726591%22%2C%22placeholder_video_id%22%3A%227645587935957388564%22%7D&amp;ec_shared_reflux_scene=shop_tab_feed&amp;share_item_id=7645587935957388564&amp;source=h5_t")</f>
        <v>https://www.tiktok.com/@nvstore8/video/7645587935957388564?_r=1&amp;u_code=e3f7kg1b98d074&amp;region=&amp;mid=7640817124251863825&amp;preview_pb=0&amp;sharer_language=&amp;_d=0&amp;ec_shared_reflux_dynamic_params=%7B%22placeholder_material_id%22%3A%227645587935957388564%22%2C%22placeholder_origin_cover%22%3A%22https%253A%252F%252Fp16-common-sign.tiktokcdn.com%252Ftos-alisg-p-0037%252FogPEgYPaABla6XcB7dEVIabqVbqE8hAiBILAi~tplv-tiktokx-origin.jpeg%253Fdr%253D14572%2526refresh_token%253D60cb94e4%2526x-expires%253D1812099600%2526x-signature%253DHvurNLgEge%25252Fq4v%25252FZtQD%25252BhQME%25252Bo4%25253D%2526t%253D4d5b0474%2526ps%253D13740610%2526shp%253Dd05b14bd%2526shcp%253D34ff8df6%2526idc%253Dmy%2526s%253DTIKTOK_AFFILIATE_VIRAL_VIDEO%22%2C%22placeholder_product_id%22%3A%221729427766722726591%22%2C%22placeholder_video_id%22%3A%227645587935957388564%22%7D&amp;ec_shared_reflux_scene=shop_tab_feed&amp;share_item_id=7645587935957388564&amp;source=h5_t</v>
      </c>
      <c r="K2032" s="470"/>
      <c r="L2032" s="471" t="str">
        <f>IFERROR(__xludf.DUMMYFUNCTION("""COMPUTED_VALUE"""),"https://www.tiktok.com/@nvstore8/video/7645853573569350932?_r=1&amp;u_code=e3f7kg1b98d074&amp;region=&amp;mid=7631575464502512392&amp;preview_pb=0&amp;sharer_language=&amp;_d=0&amp;ec_shared_reflux_dynamic_params=%7B%22placeholder_material_id%22%3A%227645853573569350932%22%2C%22plac"&amp;"eholder_origin_cover%22%3A%22https%253A%252F%252Fp19-common-sign.tiktokcdn.com%252Ftos-alisg-p-0037%252FooLbwS3PmVvEGhNiu113IMYhBBIaAi4HSBiAI~tplv-tiktokx-origin.jpeg%253Fdr%253D14572%2526refresh_token%253Dde4c1faf%2526x-expires%253D1812099600%2526x-signa"&amp;"ture%253DKw2Ykj2B71VTvzeMcLBN1wlWhIw%25253D%2526t%253D4d5b0474%2526ps%253D13740610%2526shp%253Dd05b14bd%2526shcp%253D34ff8df6%2526idc%253Dmy%2526s%253DTIKTOK_AFFILIATE_VIRAL_VIDEO%22%2C%22placeholder_product_id%22%3A%221729427766722726591%22%2C%22placehol"&amp;"der_video_id%22%3A%227645853573569350932%22%7D&amp;ec_shared_reflux_scene=shop_tab_feed&amp;share_item_id=7645853573569350932&amp;source=h5_t")</f>
        <v>https://www.tiktok.com/@nvstore8/video/7645853573569350932?_r=1&amp;u_code=e3f7kg1b98d074&amp;region=&amp;mid=7631575464502512392&amp;preview_pb=0&amp;sharer_language=&amp;_d=0&amp;ec_shared_reflux_dynamic_params=%7B%22placeholder_material_id%22%3A%227645853573569350932%22%2C%22placeholder_origin_cover%22%3A%22https%253A%252F%252Fp19-common-sign.tiktokcdn.com%252Ftos-alisg-p-0037%252FooLbwS3PmVvEGhNiu113IMYhBBIaAi4HSBiAI~tplv-tiktokx-origin.jpeg%253Fdr%253D14572%2526refresh_token%253Dde4c1faf%2526x-expires%253D1812099600%2526x-signature%253DKw2Ykj2B71VTvzeMcLBN1wlWhIw%25253D%2526t%253D4d5b0474%2526ps%253D13740610%2526shp%253Dd05b14bd%2526shcp%253D34ff8df6%2526idc%253Dmy%2526s%253DTIKTOK_AFFILIATE_VIRAL_VIDEO%22%2C%22placeholder_product_id%22%3A%221729427766722726591%22%2C%22placeholder_video_id%22%3A%227645853573569350932%22%7D&amp;ec_shared_reflux_scene=shop_tab_feed&amp;share_item_id=7645853573569350932&amp;source=h5_t</v>
      </c>
      <c r="M2032" s="470"/>
      <c r="N2032" s="471" t="str">
        <f>IFERROR(__xludf.DUMMYFUNCTION("""COMPUTED_VALUE"""),"https://www.tiktok.com/@nvstore8/video/7646546197276019988?_r=1&amp;u_code=e3f7kg1b98d074&amp;region=&amp;mid=7639132186302335751&amp;preview_pb=0&amp;sharer_language=&amp;_d=0&amp;ec_shared_reflux_dynamic_params=%7B%22placeholder_material_id%22%3A%227646546197276019988%22%2C%22plac"&amp;"eholder_origin_cover%22%3A%22https%253A%252F%252Fp19-common-sign.tiktokcdn.com%252Ftos-alisg-p-0037%252FooodxMreAefRF1ARBF73fGACKGWpsQ84iAmMoQ~tplv-tiktokx-origin.jpeg%253Fdr%253D14572%2526refresh_token%253Df6e02880%2526x-expires%253D1812099600%2526x-sign"&amp;"ature%253DZ5CBfO1RPYNTe3qTiMK9oUcGdJg%25253D%2526t%253D4d5b0474%2526ps%253D13740610%2526shp%253Dd05b14bd%2526shcp%253D34ff8df6%2526idc%253Dmy%2526s%253DTIKTOK_AFFILIATE_VIRAL_VIDEO%22%2C%22placeholder_product_id%22%3A%221729427766722726591%22%2C%22placeho"&amp;"lder_video_id%22%3A%227646546197276019988%22%7D&amp;ec_shared_reflux_scene=shop_tab_feed&amp;share_item_id=7646546197276019988&amp;source=h5_t")</f>
        <v>https://www.tiktok.com/@nvstore8/video/7646546197276019988?_r=1&amp;u_code=e3f7kg1b98d074&amp;region=&amp;mid=7639132186302335751&amp;preview_pb=0&amp;sharer_language=&amp;_d=0&amp;ec_shared_reflux_dynamic_params=%7B%22placeholder_material_id%22%3A%227646546197276019988%22%2C%22placeholder_origin_cover%22%3A%22https%253A%252F%252Fp19-common-sign.tiktokcdn.com%252Ftos-alisg-p-0037%252FooodxMreAefRF1ARBF73fGACKGWpsQ84iAmMoQ~tplv-tiktokx-origin.jpeg%253Fdr%253D14572%2526refresh_token%253Df6e02880%2526x-expires%253D1812099600%2526x-signature%253DZ5CBfO1RPYNTe3qTiMK9oUcGdJg%25253D%2526t%253D4d5b0474%2526ps%253D13740610%2526shp%253Dd05b14bd%2526shcp%253D34ff8df6%2526idc%253Dmy%2526s%253DTIKTOK_AFFILIATE_VIRAL_VIDEO%22%2C%22placeholder_product_id%22%3A%221729427766722726591%22%2C%22placeholder_video_id%22%3A%227646546197276019988%22%7D&amp;ec_shared_reflux_scene=shop_tab_feed&amp;share_item_id=7646546197276019988&amp;source=h5_t</v>
      </c>
      <c r="O2032" s="470"/>
      <c r="P2032" s="471" t="str">
        <f>IFERROR(__xludf.DUMMYFUNCTION("""COMPUTED_VALUE"""),"https://www.tiktok.com/@nvstore8/video/7647078848743443732?_r=1&amp;u_code=e3f7kg1b98d074&amp;region=&amp;mid=7615505451033380880&amp;preview_pb=0&amp;sharer_language=&amp;_d=0&amp;ec_shared_reflux_dynamic_params=%7B%22placeholder_material_id%22%3A%227647078848743443732%22%2C%22plac"&amp;"eholder_origin_cover%22%3A%22https%253A%252F%252Fp19-common-sign.tiktokcdn.com%252Ftos-alisg-p-0037%252FowIEEfS7DD4UFywIefE48DQbPCoQHotAhujVJA~tplv-tiktokx-origin.jpeg%253Fdr%253D14572%2526refresh_token%253D4ee390d8%2526x-expires%253D1812099600%2526x-sign"&amp;"ature%253D%25252Fmb33O1Ndo52aULFAorlWv5bLNs%25253D%2526t%253D4d5b0474%2526ps%253D13740610%2526shp%253Dd05b14bd%2526shcp%253D34ff8df6%2526idc%253Dmy%2526s%253DTIKTOK_AFFILIATE_VIRAL_VIDEO%22%2C%22placeholder_product_id%22%3A%221729427766722726591%22%2C%22p"&amp;"laceholder_video_id%22%3A%227647078848743443732%22%7D&amp;ec_shared_reflux_scene=shop_tab_feed&amp;share_item_id=7647078848743443732&amp;source=h5_t")</f>
        <v>https://www.tiktok.com/@nvstore8/video/7647078848743443732?_r=1&amp;u_code=e3f7kg1b98d074&amp;region=&amp;mid=7615505451033380880&amp;preview_pb=0&amp;sharer_language=&amp;_d=0&amp;ec_shared_reflux_dynamic_params=%7B%22placeholder_material_id%22%3A%227647078848743443732%22%2C%22placeholder_origin_cover%22%3A%22https%253A%252F%252Fp19-common-sign.tiktokcdn.com%252Ftos-alisg-p-0037%252FowIEEfS7DD4UFywIefE48DQbPCoQHotAhujVJA~tplv-tiktokx-origin.jpeg%253Fdr%253D14572%2526refresh_token%253D4ee390d8%2526x-expires%253D1812099600%2526x-signature%253D%25252Fmb33O1Ndo52aULFAorlWv5bLNs%25253D%2526t%253D4d5b0474%2526ps%253D13740610%2526shp%253Dd05b14bd%2526shcp%253D34ff8df6%2526idc%253Dmy%2526s%253DTIKTOK_AFFILIATE_VIRAL_VIDEO%22%2C%22placeholder_product_id%22%3A%221729427766722726591%22%2C%22placeholder_video_id%22%3A%227647078848743443732%22%7D&amp;ec_shared_reflux_scene=shop_tab_feed&amp;share_item_id=7647078848743443732&amp;source=h5_t</v>
      </c>
    </row>
    <row r="2033">
      <c r="A2033" s="282" t="str">
        <f>IFERROR(__xludf.DUMMYFUNCTION("""COMPUTED_VALUE"""),"MICRO")</f>
        <v>MICRO</v>
      </c>
      <c r="B2033" s="468" t="str">
        <f>IFERROR(__xludf.DUMMYFUNCTION("""COMPUTED_VALUE"""),"Nggia51 ")</f>
        <v>Nggia51 </v>
      </c>
      <c r="C2033" s="283" t="str">
        <f>IFERROR(__xludf.DUMMYFUNCTION("""COMPUTED_VALUE"""),"https://www.tiktok.com/@Nggia51 ")</f>
        <v>https://www.tiktok.com/@Nggia51 </v>
      </c>
      <c r="D2033" s="273">
        <f>IFERROR(__xludf.DUMMYFUNCTION("""COMPUTED_VALUE"""),8.3856814594E10)</f>
        <v>83856814594</v>
      </c>
      <c r="E2033" s="458">
        <f>IFERROR(__xludf.DUMMYFUNCTION("""COMPUTED_VALUE"""),0.0)</f>
        <v>0</v>
      </c>
      <c r="F2033" s="273">
        <f>IFERROR(__xludf.DUMMYFUNCTION("""COMPUTED_VALUE"""),2.0)</f>
        <v>2</v>
      </c>
      <c r="G2033" t="str">
        <f>IFERROR(__xludf.DUMMYFUNCTION("""COMPUTED_VALUE"""),"Sabun batang 1 Box ( 2 PCS )")</f>
        <v>Sabun batang 1 Box ( 2 PCS )</v>
      </c>
      <c r="H2033" s="469"/>
      <c r="I2033" s="470"/>
      <c r="J2033" s="471" t="str">
        <f>IFERROR(__xludf.DUMMYFUNCTION("""COMPUTED_VALUE"""),"https://vt.tiktok.com/ZSxGxy822/")</f>
        <v>https://vt.tiktok.com/ZSxGxy822/</v>
      </c>
      <c r="K2033" s="470"/>
      <c r="L2033" s="471" t="str">
        <f>IFERROR(__xludf.DUMMYFUNCTION("""COMPUTED_VALUE"""),"https://vt.tiktok.com/ZSxmgwRyc/")</f>
        <v>https://vt.tiktok.com/ZSxmgwRyc/</v>
      </c>
      <c r="M2033" s="470"/>
      <c r="N2033" s="471" t="str">
        <f>IFERROR(__xludf.DUMMYFUNCTION("""COMPUTED_VALUE"""),"https://vt.tiktok.com/ZSxHD64FN/")</f>
        <v>https://vt.tiktok.com/ZSxHD64FN/</v>
      </c>
      <c r="O2033" s="470"/>
      <c r="P2033" s="471" t="str">
        <f>IFERROR(__xludf.DUMMYFUNCTION("""COMPUTED_VALUE"""),"https://vt.tiktok.com/ZSxHA3DfJ/")</f>
        <v>https://vt.tiktok.com/ZSxHA3DfJ/</v>
      </c>
    </row>
    <row r="2034">
      <c r="A2034" s="282" t="str">
        <f>IFERROR(__xludf.DUMMYFUNCTION("""COMPUTED_VALUE"""),"MICRO")</f>
        <v>MICRO</v>
      </c>
      <c r="B2034" s="468" t="str">
        <f>IFERROR(__xludf.DUMMYFUNCTION("""COMPUTED_VALUE"""),"indahkanezya2")</f>
        <v>indahkanezya2</v>
      </c>
      <c r="C2034" s="283" t="str">
        <f>IFERROR(__xludf.DUMMYFUNCTION("""COMPUTED_VALUE"""),"https://www.tiktok.com/@indahkanezya2")</f>
        <v>https://www.tiktok.com/@indahkanezya2</v>
      </c>
      <c r="D2034" s="273">
        <f>IFERROR(__xludf.DUMMYFUNCTION("""COMPUTED_VALUE"""),8.2136366923E10)</f>
        <v>82136366923</v>
      </c>
      <c r="E2034" s="458">
        <f>IFERROR(__xludf.DUMMYFUNCTION("""COMPUTED_VALUE"""),0.0)</f>
        <v>0</v>
      </c>
      <c r="F2034" s="273">
        <f>IFERROR(__xludf.DUMMYFUNCTION("""COMPUTED_VALUE"""),2.0)</f>
        <v>2</v>
      </c>
      <c r="G2034" t="str">
        <f>IFERROR(__xludf.DUMMYFUNCTION("""COMPUTED_VALUE"""),"Sabun batang 1 Box ( 2 PCS )")</f>
        <v>Sabun batang 1 Box ( 2 PCS )</v>
      </c>
      <c r="H2034" s="469"/>
      <c r="I2034" s="470"/>
      <c r="J2034" s="471" t="str">
        <f>IFERROR(__xludf.DUMMYFUNCTION("""COMPUTED_VALUE"""),"https://vt.tiktok.com/ZSxgQYwGK/")</f>
        <v>https://vt.tiktok.com/ZSxgQYwGK/</v>
      </c>
      <c r="K2034" s="470"/>
      <c r="L2034" s="471" t="str">
        <f>IFERROR(__xludf.DUMMYFUNCTION("""COMPUTED_VALUE"""),"https://vt.tiktok.com/ZSx5A7cuf/")</f>
        <v>https://vt.tiktok.com/ZSx5A7cuf/</v>
      </c>
      <c r="M2034" s="470"/>
      <c r="N2034" s="471" t="str">
        <f>IFERROR(__xludf.DUMMYFUNCTION("""COMPUTED_VALUE"""),"https://vt.tiktok.com/ZSxHjXDBD/")</f>
        <v>https://vt.tiktok.com/ZSxHjXDBD/</v>
      </c>
      <c r="O2034" s="470"/>
      <c r="P2034" s="471" t="str">
        <f>IFERROR(__xludf.DUMMYFUNCTION("""COMPUTED_VALUE"""),"https://vt.tiktok.com/ZSxHxPhbn/")</f>
        <v>https://vt.tiktok.com/ZSxHxPhbn/</v>
      </c>
    </row>
    <row r="2035">
      <c r="A2035" s="282" t="str">
        <f>IFERROR(__xludf.DUMMYFUNCTION("""COMPUTED_VALUE"""),"MICRO")</f>
        <v>MICRO</v>
      </c>
      <c r="B2035" s="468" t="str">
        <f>IFERROR(__xludf.DUMMYFUNCTION("""COMPUTED_VALUE"""),"rikaksmn")</f>
        <v>rikaksmn</v>
      </c>
      <c r="C2035" s="283" t="str">
        <f>IFERROR(__xludf.DUMMYFUNCTION("""COMPUTED_VALUE"""),"https://www.tiktok.com/@rikaksmn")</f>
        <v>https://www.tiktok.com/@rikaksmn</v>
      </c>
      <c r="D2035" s="273">
        <f>IFERROR(__xludf.DUMMYFUNCTION("""COMPUTED_VALUE"""),8.5298745724E10)</f>
        <v>85298745724</v>
      </c>
      <c r="E2035" s="458">
        <f>IFERROR(__xludf.DUMMYFUNCTION("""COMPUTED_VALUE"""),0.0)</f>
        <v>0</v>
      </c>
      <c r="F2035" s="273">
        <f>IFERROR(__xludf.DUMMYFUNCTION("""COMPUTED_VALUE"""),2.0)</f>
        <v>2</v>
      </c>
      <c r="G2035" t="str">
        <f>IFERROR(__xludf.DUMMYFUNCTION("""COMPUTED_VALUE"""),"Sabun batang 1 Box ( 2 PCS )")</f>
        <v>Sabun batang 1 Box ( 2 PCS )</v>
      </c>
      <c r="H2035" s="469"/>
      <c r="I2035" s="470"/>
      <c r="J2035" s="471" t="str">
        <f>IFERROR(__xludf.DUMMYFUNCTION("""COMPUTED_VALUE"""),"https://vt.tiktok.com/ZSxgherS2/")</f>
        <v>https://vt.tiktok.com/ZSxgherS2/</v>
      </c>
      <c r="K2035" s="470"/>
      <c r="L2035" s="471" t="str">
        <f>IFERROR(__xludf.DUMMYFUNCTION("""COMPUTED_VALUE"""),"https://vt.tiktok.com/ZSx5DeVTu/")</f>
        <v>https://vt.tiktok.com/ZSx5DeVTu/</v>
      </c>
      <c r="M2035" s="470"/>
      <c r="N2035" s="471" t="str">
        <f>IFERROR(__xludf.DUMMYFUNCTION("""COMPUTED_VALUE"""),"https://vt.tiktok.com/ZSxHGRRh5/")</f>
        <v>https://vt.tiktok.com/ZSxHGRRh5/</v>
      </c>
      <c r="O2035" s="470"/>
      <c r="P2035" s="471" t="str">
        <f>IFERROR(__xludf.DUMMYFUNCTION("""COMPUTED_VALUE"""),"https://vt.tiktok.com/ZSxHxPQwp/")</f>
        <v>https://vt.tiktok.com/ZSxHxPQwp/</v>
      </c>
    </row>
    <row r="2036">
      <c r="A2036" s="282" t="str">
        <f>IFERROR(__xludf.DUMMYFUNCTION("""COMPUTED_VALUE"""),"MICRO")</f>
        <v>MICRO</v>
      </c>
      <c r="B2036" s="468" t="str">
        <f>IFERROR(__xludf.DUMMYFUNCTION("""COMPUTED_VALUE"""),"Infoskincareviral")</f>
        <v>Infoskincareviral</v>
      </c>
      <c r="C2036" s="283" t="str">
        <f>IFERROR(__xludf.DUMMYFUNCTION("""COMPUTED_VALUE"""),"https://www.tiktok.com/@Infoskincareviral")</f>
        <v>https://www.tiktok.com/@Infoskincareviral</v>
      </c>
      <c r="D2036" s="273">
        <f>IFERROR(__xludf.DUMMYFUNCTION("""COMPUTED_VALUE"""),8.2162580022E10)</f>
        <v>82162580022</v>
      </c>
      <c r="E2036" s="458">
        <f>IFERROR(__xludf.DUMMYFUNCTION("""COMPUTED_VALUE"""),0.0)</f>
        <v>0</v>
      </c>
      <c r="F2036" s="273">
        <f>IFERROR(__xludf.DUMMYFUNCTION("""COMPUTED_VALUE"""),4.0)</f>
        <v>4</v>
      </c>
      <c r="G2036" t="str">
        <f>IFERROR(__xludf.DUMMYFUNCTION("""COMPUTED_VALUE"""),"Sabun batang 1 Box ( 2 PCS )")</f>
        <v>Sabun batang 1 Box ( 2 PCS )</v>
      </c>
      <c r="H2036" s="469"/>
      <c r="I2036" s="470"/>
      <c r="J2036" t="str">
        <f>IFERROR(__xludf.DUMMYFUNCTION("""COMPUTED_VALUE"""),"⁠https://vt.tiktok.com/ZSQeDhwND/")</f>
        <v>⁠https://vt.tiktok.com/ZSQeDhwND/</v>
      </c>
      <c r="K2036" s="470"/>
      <c r="M2036" s="470"/>
      <c r="O2036" s="470"/>
    </row>
    <row r="2037">
      <c r="A2037" s="282" t="str">
        <f>IFERROR(__xludf.DUMMYFUNCTION("""COMPUTED_VALUE"""),"MICRO")</f>
        <v>MICRO</v>
      </c>
      <c r="B2037" s="468" t="str">
        <f>IFERROR(__xludf.DUMMYFUNCTION("""COMPUTED_VALUE"""),"diyah28077")</f>
        <v>diyah28077</v>
      </c>
      <c r="C2037" s="283" t="str">
        <f>IFERROR(__xludf.DUMMYFUNCTION("""COMPUTED_VALUE"""),"https://www.tiktok.com/@diyah28077")</f>
        <v>https://www.tiktok.com/@diyah28077</v>
      </c>
      <c r="D2037" s="273">
        <f>IFERROR(__xludf.DUMMYFUNCTION("""COMPUTED_VALUE"""),8.3191762813E10)</f>
        <v>83191762813</v>
      </c>
      <c r="E2037" s="458">
        <f>IFERROR(__xludf.DUMMYFUNCTION("""COMPUTED_VALUE"""),0.0)</f>
        <v>0</v>
      </c>
      <c r="F2037" s="273">
        <f>IFERROR(__xludf.DUMMYFUNCTION("""COMPUTED_VALUE"""),4.0)</f>
        <v>4</v>
      </c>
      <c r="G2037" t="str">
        <f>IFERROR(__xludf.DUMMYFUNCTION("""COMPUTED_VALUE"""),"Sabun batang 1 Box ( 2 PCS )")</f>
        <v>Sabun batang 1 Box ( 2 PCS )</v>
      </c>
      <c r="H2037" s="469"/>
      <c r="I2037" s="470"/>
      <c r="J2037" t="str">
        <f>IFERROR(__xludf.DUMMYFUNCTION("""COMPUTED_VALUE"""),"⁠https://vt.tiktok.com/ZSQJadR8k/")</f>
        <v>⁠https://vt.tiktok.com/ZSQJadR8k/</v>
      </c>
      <c r="K2037" s="470"/>
      <c r="M2037" s="470"/>
      <c r="O2037" s="470"/>
    </row>
    <row r="2038">
      <c r="A2038" s="282" t="str">
        <f>IFERROR(__xludf.DUMMYFUNCTION("""COMPUTED_VALUE"""),"MICRO")</f>
        <v>MICRO</v>
      </c>
      <c r="B2038" s="468" t="str">
        <f>IFERROR(__xludf.DUMMYFUNCTION("""COMPUTED_VALUE"""),"rainnbowf")</f>
        <v>rainnbowf</v>
      </c>
      <c r="C2038" s="283" t="str">
        <f>IFERROR(__xludf.DUMMYFUNCTION("""COMPUTED_VALUE"""),"https://www.tiktok.com/@rainnbowf")</f>
        <v>https://www.tiktok.com/@rainnbowf</v>
      </c>
      <c r="D2038" s="273">
        <f>IFERROR(__xludf.DUMMYFUNCTION("""COMPUTED_VALUE"""),8.2143365316E10)</f>
        <v>82143365316</v>
      </c>
      <c r="E2038" s="458">
        <f>IFERROR(__xludf.DUMMYFUNCTION("""COMPUTED_VALUE"""),0.0)</f>
        <v>0</v>
      </c>
      <c r="F2038" s="273">
        <f>IFERROR(__xludf.DUMMYFUNCTION("""COMPUTED_VALUE"""),4.0)</f>
        <v>4</v>
      </c>
      <c r="G2038" t="str">
        <f>IFERROR(__xludf.DUMMYFUNCTION("""COMPUTED_VALUE"""),"Sabun batang 1 Box ( 2 PCS )")</f>
        <v>Sabun batang 1 Box ( 2 PCS )</v>
      </c>
      <c r="H2038" s="469"/>
      <c r="I2038" s="470"/>
      <c r="J2038" s="471" t="str">
        <f>IFERROR(__xludf.DUMMYFUNCTION("""COMPUTED_VALUE"""),"https://vt.tiktok.com/ZSxoE1vBx/")</f>
        <v>https://vt.tiktok.com/ZSxoE1vBx/</v>
      </c>
      <c r="K2038" s="470"/>
      <c r="M2038" s="470"/>
      <c r="O2038" s="470"/>
    </row>
    <row r="2039">
      <c r="A2039" s="282" t="str">
        <f>IFERROR(__xludf.DUMMYFUNCTION("""COMPUTED_VALUE"""),"MICRO")</f>
        <v>MICRO</v>
      </c>
      <c r="B2039" s="468" t="str">
        <f>IFERROR(__xludf.DUMMYFUNCTION("""COMPUTED_VALUE"""),"mell.nt")</f>
        <v>mell.nt</v>
      </c>
      <c r="C2039" s="283" t="str">
        <f>IFERROR(__xludf.DUMMYFUNCTION("""COMPUTED_VALUE"""),"https://www.tiktok.com/@mell.nt")</f>
        <v>https://www.tiktok.com/@mell.nt</v>
      </c>
      <c r="D2039" s="273">
        <f>IFERROR(__xludf.DUMMYFUNCTION("""COMPUTED_VALUE"""),8.1399166275E10)</f>
        <v>81399166275</v>
      </c>
      <c r="E2039" s="458">
        <f>IFERROR(__xludf.DUMMYFUNCTION("""COMPUTED_VALUE"""),0.0)</f>
        <v>0</v>
      </c>
      <c r="F2039" s="273">
        <f>IFERROR(__xludf.DUMMYFUNCTION("""COMPUTED_VALUE"""),4.0)</f>
        <v>4</v>
      </c>
      <c r="G2039" t="str">
        <f>IFERROR(__xludf.DUMMYFUNCTION("""COMPUTED_VALUE"""),"Sabun batang 1 Box ( 2 PCS )")</f>
        <v>Sabun batang 1 Box ( 2 PCS )</v>
      </c>
      <c r="H2039" s="469"/>
      <c r="I2039" s="470"/>
      <c r="J2039" t="str">
        <f>IFERROR(__xludf.DUMMYFUNCTION("""COMPUTED_VALUE"""),"⁠https://vt.tiktok.com/ZSQdJ38rd/")</f>
        <v>⁠https://vt.tiktok.com/ZSQdJ38rd/</v>
      </c>
      <c r="K2039" s="470"/>
      <c r="M2039" s="470"/>
      <c r="O2039" s="470"/>
    </row>
    <row r="2040">
      <c r="A2040" s="282" t="str">
        <f>IFERROR(__xludf.DUMMYFUNCTION("""COMPUTED_VALUE"""),"MICRO")</f>
        <v>MICRO</v>
      </c>
      <c r="B2040" s="468" t="str">
        <f>IFERROR(__xludf.DUMMYFUNCTION("""COMPUTED_VALUE"""),"Upikabu999")</f>
        <v>Upikabu999</v>
      </c>
      <c r="C2040" s="283" t="str">
        <f>IFERROR(__xludf.DUMMYFUNCTION("""COMPUTED_VALUE"""),"https://www.tiktok.com/@Upikabu999")</f>
        <v>https://www.tiktok.com/@Upikabu999</v>
      </c>
      <c r="D2040" s="273">
        <f>IFERROR(__xludf.DUMMYFUNCTION("""COMPUTED_VALUE"""),8.1285526288E10)</f>
        <v>81285526288</v>
      </c>
      <c r="E2040" s="458">
        <f>IFERROR(__xludf.DUMMYFUNCTION("""COMPUTED_VALUE"""),0.0)</f>
        <v>0</v>
      </c>
      <c r="F2040" s="273">
        <f>IFERROR(__xludf.DUMMYFUNCTION("""COMPUTED_VALUE"""),4.0)</f>
        <v>4</v>
      </c>
      <c r="G2040" t="str">
        <f>IFERROR(__xludf.DUMMYFUNCTION("""COMPUTED_VALUE"""),"Sabun batang 1 Box ( 2 PCS )")</f>
        <v>Sabun batang 1 Box ( 2 PCS )</v>
      </c>
      <c r="H2040" s="469"/>
      <c r="I2040" s="470"/>
      <c r="J2040" t="str">
        <f>IFERROR(__xludf.DUMMYFUNCTION("""COMPUTED_VALUE"""),"⁠https://vt.tiktok.com/ZSxoEUvLq/")</f>
        <v>⁠https://vt.tiktok.com/ZSxoEUvLq/</v>
      </c>
      <c r="K2040" s="470"/>
      <c r="M2040" s="470"/>
      <c r="O2040" s="470"/>
    </row>
    <row r="2041">
      <c r="A2041" s="282" t="str">
        <f>IFERROR(__xludf.DUMMYFUNCTION("""COMPUTED_VALUE"""),"MICRO")</f>
        <v>MICRO</v>
      </c>
      <c r="B2041" s="468" t="str">
        <f>IFERROR(__xludf.DUMMYFUNCTION("""COMPUTED_VALUE"""),"marcella_harini")</f>
        <v>marcella_harini</v>
      </c>
      <c r="C2041" s="283" t="str">
        <f>IFERROR(__xludf.DUMMYFUNCTION("""COMPUTED_VALUE"""),"https://www.tiktok.com/@marcella_harini")</f>
        <v>https://www.tiktok.com/@marcella_harini</v>
      </c>
      <c r="D2041" s="273">
        <f>IFERROR(__xludf.DUMMYFUNCTION("""COMPUTED_VALUE"""),8.575852717E10)</f>
        <v>85758527170</v>
      </c>
      <c r="E2041" s="458">
        <f>IFERROR(__xludf.DUMMYFUNCTION("""COMPUTED_VALUE"""),0.0)</f>
        <v>0</v>
      </c>
      <c r="F2041" s="273">
        <f>IFERROR(__xludf.DUMMYFUNCTION("""COMPUTED_VALUE"""),4.0)</f>
        <v>4</v>
      </c>
      <c r="G2041" t="str">
        <f>IFERROR(__xludf.DUMMYFUNCTION("""COMPUTED_VALUE"""),"Sabun batang 1 Box ( 2 PCS )")</f>
        <v>Sabun batang 1 Box ( 2 PCS )</v>
      </c>
      <c r="H2041" s="469"/>
      <c r="I2041" s="470"/>
      <c r="J2041" t="str">
        <f>IFERROR(__xludf.DUMMYFUNCTION("""COMPUTED_VALUE"""),"⁠https://vt.tiktok.com/ZSQdRD4WT/")</f>
        <v>⁠https://vt.tiktok.com/ZSQdRD4WT/</v>
      </c>
      <c r="K2041" s="470"/>
      <c r="M2041" s="470"/>
      <c r="O2041" s="470"/>
    </row>
    <row r="2042">
      <c r="A2042" s="282" t="str">
        <f>IFERROR(__xludf.DUMMYFUNCTION("""COMPUTED_VALUE"""),"MICRO")</f>
        <v>MICRO</v>
      </c>
      <c r="B2042" s="468" t="str">
        <f>IFERROR(__xludf.DUMMYFUNCTION("""COMPUTED_VALUE"""),"ootddaily055")</f>
        <v>ootddaily055</v>
      </c>
      <c r="C2042" s="283" t="str">
        <f>IFERROR(__xludf.DUMMYFUNCTION("""COMPUTED_VALUE"""),"https://www.tiktok.com/@ootddaily055")</f>
        <v>https://www.tiktok.com/@ootddaily055</v>
      </c>
      <c r="D2042" s="273">
        <f>IFERROR(__xludf.DUMMYFUNCTION("""COMPUTED_VALUE"""),8.5776678397E10)</f>
        <v>85776678397</v>
      </c>
      <c r="E2042" s="458">
        <f>IFERROR(__xludf.DUMMYFUNCTION("""COMPUTED_VALUE"""),0.0)</f>
        <v>0</v>
      </c>
      <c r="F2042" s="273">
        <f>IFERROR(__xludf.DUMMYFUNCTION("""COMPUTED_VALUE"""),4.0)</f>
        <v>4</v>
      </c>
      <c r="G2042" t="str">
        <f>IFERROR(__xludf.DUMMYFUNCTION("""COMPUTED_VALUE"""),"Sabun batang 1 Box ( 2 PCS )")</f>
        <v>Sabun batang 1 Box ( 2 PCS )</v>
      </c>
      <c r="H2042" s="469"/>
      <c r="I2042" s="470"/>
      <c r="J2042" t="str">
        <f>IFERROR(__xludf.DUMMYFUNCTION("""COMPUTED_VALUE"""),"⁠https://vt.tiktok.com/ZSQde9qWm/")</f>
        <v>⁠https://vt.tiktok.com/ZSQde9qWm/</v>
      </c>
      <c r="K2042" s="470"/>
      <c r="M2042" s="470"/>
      <c r="O2042" s="470"/>
    </row>
    <row r="2043">
      <c r="A2043" s="282" t="str">
        <f>IFERROR(__xludf.DUMMYFUNCTION("""COMPUTED_VALUE"""),"MICRO")</f>
        <v>MICRO</v>
      </c>
      <c r="B2043" s="468" t="str">
        <f>IFERROR(__xludf.DUMMYFUNCTION("""COMPUTED_VALUE"""),"fatihshooop")</f>
        <v>fatihshooop</v>
      </c>
      <c r="C2043" s="283" t="str">
        <f>IFERROR(__xludf.DUMMYFUNCTION("""COMPUTED_VALUE"""),"https://www.tiktok.com/@fatihshooop")</f>
        <v>https://www.tiktok.com/@fatihshooop</v>
      </c>
      <c r="D2043" s="273">
        <f>IFERROR(__xludf.DUMMYFUNCTION("""COMPUTED_VALUE"""),8.5845752742E10)</f>
        <v>85845752742</v>
      </c>
      <c r="E2043" s="458">
        <f>IFERROR(__xludf.DUMMYFUNCTION("""COMPUTED_VALUE"""),0.0)</f>
        <v>0</v>
      </c>
      <c r="F2043" s="273">
        <f>IFERROR(__xludf.DUMMYFUNCTION("""COMPUTED_VALUE"""),4.0)</f>
        <v>4</v>
      </c>
      <c r="G2043" t="str">
        <f>IFERROR(__xludf.DUMMYFUNCTION("""COMPUTED_VALUE"""),"Sabun batang 1 Box ( 2 PCS )")</f>
        <v>Sabun batang 1 Box ( 2 PCS )</v>
      </c>
      <c r="H2043" s="469"/>
      <c r="I2043" s="470"/>
      <c r="J2043" t="str">
        <f>IFERROR(__xludf.DUMMYFUNCTION("""COMPUTED_VALUE"""),"⁠https://vt.tiktok.com/ZSQdevALu/")</f>
        <v>⁠https://vt.tiktok.com/ZSQdevALu/</v>
      </c>
      <c r="K2043" s="470"/>
      <c r="M2043" s="470"/>
      <c r="O2043" s="470"/>
    </row>
    <row r="2044">
      <c r="A2044" s="282" t="str">
        <f>IFERROR(__xludf.DUMMYFUNCTION("""COMPUTED_VALUE"""),"MACRO")</f>
        <v>MACRO</v>
      </c>
      <c r="B2044" s="468" t="str">
        <f>IFERROR(__xludf.DUMMYFUNCTION("""COMPUTED_VALUE"""),"cocowillys")</f>
        <v>cocowillys</v>
      </c>
      <c r="C2044" s="283" t="str">
        <f>IFERROR(__xludf.DUMMYFUNCTION("""COMPUTED_VALUE"""),"https://www.tiktok.com/@cocowillys")</f>
        <v>https://www.tiktok.com/@cocowillys</v>
      </c>
      <c r="D2044" s="273">
        <f>IFERROR(__xludf.DUMMYFUNCTION("""COMPUTED_VALUE"""),8.1317454852E10)</f>
        <v>81317454852</v>
      </c>
      <c r="E2044" s="458">
        <f>IFERROR(__xludf.DUMMYFUNCTION("""COMPUTED_VALUE"""),0.0)</f>
        <v>0</v>
      </c>
      <c r="F2044" s="273">
        <f>IFERROR(__xludf.DUMMYFUNCTION("""COMPUTED_VALUE"""),2.0)</f>
        <v>2</v>
      </c>
      <c r="G2044" t="str">
        <f>IFERROR(__xludf.DUMMYFUNCTION("""COMPUTED_VALUE"""),"Sabun batang 1 Box ( 2 PCS )")</f>
        <v>Sabun batang 1 Box ( 2 PCS )</v>
      </c>
      <c r="H2044" s="469"/>
      <c r="I2044" s="470"/>
      <c r="J2044" s="471" t="str">
        <f>IFERROR(__xludf.DUMMYFUNCTION("""COMPUTED_VALUE"""),"https://vt.tiktok.com/ZSQeUy1pX/")</f>
        <v>https://vt.tiktok.com/ZSQeUy1pX/</v>
      </c>
      <c r="K2044" s="470"/>
      <c r="M2044" s="470"/>
      <c r="O2044" s="470"/>
    </row>
    <row r="2045">
      <c r="A2045" s="282" t="str">
        <f>IFERROR(__xludf.DUMMYFUNCTION("""COMPUTED_VALUE"""),"MICRO")</f>
        <v>MICRO</v>
      </c>
      <c r="B2045" s="468" t="str">
        <f>IFERROR(__xludf.DUMMYFUNCTION("""COMPUTED_VALUE"""),"fifi.lupu")</f>
        <v>fifi.lupu</v>
      </c>
      <c r="C2045" s="283" t="str">
        <f>IFERROR(__xludf.DUMMYFUNCTION("""COMPUTED_VALUE"""),"https://www.tiktok.com/@fifi.lupu")</f>
        <v>https://www.tiktok.com/@fifi.lupu</v>
      </c>
      <c r="D2045" s="273">
        <f>IFERROR(__xludf.DUMMYFUNCTION("""COMPUTED_VALUE"""),8.5219515368E10)</f>
        <v>85219515368</v>
      </c>
      <c r="E2045" s="458">
        <f>IFERROR(__xludf.DUMMYFUNCTION("""COMPUTED_VALUE"""),0.0)</f>
        <v>0</v>
      </c>
      <c r="F2045" s="273">
        <f>IFERROR(__xludf.DUMMYFUNCTION("""COMPUTED_VALUE"""),4.0)</f>
        <v>4</v>
      </c>
      <c r="G2045" t="str">
        <f>IFERROR(__xludf.DUMMYFUNCTION("""COMPUTED_VALUE"""),"Sabun batang 1 Box ( 2 PCS )")</f>
        <v>Sabun batang 1 Box ( 2 PCS )</v>
      </c>
      <c r="H2045" s="469"/>
      <c r="I2045" s="470"/>
      <c r="J2045" s="471" t="str">
        <f>IFERROR(__xludf.DUMMYFUNCTION("""COMPUTED_VALUE"""),"https://vt.tiktok.com/ZSQednvNj/")</f>
        <v>https://vt.tiktok.com/ZSQednvNj/</v>
      </c>
      <c r="K2045" s="470"/>
      <c r="M2045" s="470"/>
      <c r="O2045" s="470"/>
    </row>
    <row r="2046">
      <c r="A2046" s="282" t="str">
        <f>IFERROR(__xludf.DUMMYFUNCTION("""COMPUTED_VALUE"""),"MICRO")</f>
        <v>MICRO</v>
      </c>
      <c r="B2046" s="468" t="str">
        <f>IFERROR(__xludf.DUMMYFUNCTION("""COMPUTED_VALUE"""),"ini_aizee ")</f>
        <v>ini_aizee </v>
      </c>
      <c r="C2046" s="283" t="str">
        <f>IFERROR(__xludf.DUMMYFUNCTION("""COMPUTED_VALUE"""),"https://www.tiktok.com/@ini_aizee ")</f>
        <v>https://www.tiktok.com/@ini_aizee </v>
      </c>
      <c r="D2046" s="273">
        <f>IFERROR(__xludf.DUMMYFUNCTION("""COMPUTED_VALUE"""),8.3114444745E10)</f>
        <v>83114444745</v>
      </c>
      <c r="E2046" s="458">
        <f>IFERROR(__xludf.DUMMYFUNCTION("""COMPUTED_VALUE"""),0.0)</f>
        <v>0</v>
      </c>
      <c r="F2046" s="273">
        <f>IFERROR(__xludf.DUMMYFUNCTION("""COMPUTED_VALUE"""),4.0)</f>
        <v>4</v>
      </c>
      <c r="G2046" t="str">
        <f>IFERROR(__xludf.DUMMYFUNCTION("""COMPUTED_VALUE"""),"Sabun batang 1 Box ( 2 PCS )")</f>
        <v>Sabun batang 1 Box ( 2 PCS )</v>
      </c>
      <c r="H2046" s="469"/>
      <c r="I2046" s="470"/>
      <c r="J2046" s="471" t="str">
        <f>IFERROR(__xludf.DUMMYFUNCTION("""COMPUTED_VALUE"""),"https://vt.tiktok.com/ZSQedtxA8/")</f>
        <v>https://vt.tiktok.com/ZSQedtxA8/</v>
      </c>
      <c r="K2046" s="470"/>
      <c r="M2046" s="470"/>
      <c r="O2046" s="470"/>
    </row>
    <row r="2047">
      <c r="A2047" s="282" t="str">
        <f>IFERROR(__xludf.DUMMYFUNCTION("""COMPUTED_VALUE"""),"MICRO")</f>
        <v>MICRO</v>
      </c>
      <c r="B2047" s="468" t="str">
        <f>IFERROR(__xludf.DUMMYFUNCTION("""COMPUTED_VALUE"""),"asri.nofi")</f>
        <v>asri.nofi</v>
      </c>
      <c r="C2047" s="283" t="str">
        <f>IFERROR(__xludf.DUMMYFUNCTION("""COMPUTED_VALUE"""),"https://www.tiktok.com/@asri.nofi")</f>
        <v>https://www.tiktok.com/@asri.nofi</v>
      </c>
      <c r="D2047" s="273">
        <f>IFERROR(__xludf.DUMMYFUNCTION("""COMPUTED_VALUE"""),8.974295237E9)</f>
        <v>8974295237</v>
      </c>
      <c r="E2047" s="458">
        <f>IFERROR(__xludf.DUMMYFUNCTION("""COMPUTED_VALUE"""),0.0)</f>
        <v>0</v>
      </c>
      <c r="F2047" s="273">
        <f>IFERROR(__xludf.DUMMYFUNCTION("""COMPUTED_VALUE"""),4.0)</f>
        <v>4</v>
      </c>
      <c r="G2047" t="str">
        <f>IFERROR(__xludf.DUMMYFUNCTION("""COMPUTED_VALUE"""),"Sabun batang 1 Box ( 2 PCS )")</f>
        <v>Sabun batang 1 Box ( 2 PCS )</v>
      </c>
      <c r="H2047" s="469"/>
      <c r="I2047" s="470"/>
      <c r="J2047" s="471" t="str">
        <f>IFERROR(__xludf.DUMMYFUNCTION("""COMPUTED_VALUE"""),"https://vt.tiktok.com/ZSQedgFYx/")</f>
        <v>https://vt.tiktok.com/ZSQedgFYx/</v>
      </c>
      <c r="K2047" s="470"/>
      <c r="M2047" s="470"/>
      <c r="O2047" s="470"/>
    </row>
    <row r="2048">
      <c r="A2048" s="282" t="str">
        <f>IFERROR(__xludf.DUMMYFUNCTION("""COMPUTED_VALUE"""),"MICRO")</f>
        <v>MICRO</v>
      </c>
      <c r="B2048" s="468" t="str">
        <f>IFERROR(__xludf.DUMMYFUNCTION("""COMPUTED_VALUE"""),"aloveme77")</f>
        <v>aloveme77</v>
      </c>
      <c r="C2048" s="283" t="str">
        <f>IFERROR(__xludf.DUMMYFUNCTION("""COMPUTED_VALUE"""),"https://www.tiktok.com/@aloveme77")</f>
        <v>https://www.tiktok.com/@aloveme77</v>
      </c>
      <c r="D2048" s="273">
        <f>IFERROR(__xludf.DUMMYFUNCTION("""COMPUTED_VALUE"""),8.5819886422E10)</f>
        <v>85819886422</v>
      </c>
      <c r="E2048" s="458">
        <f>IFERROR(__xludf.DUMMYFUNCTION("""COMPUTED_VALUE"""),0.0)</f>
        <v>0</v>
      </c>
      <c r="F2048" s="273">
        <f>IFERROR(__xludf.DUMMYFUNCTION("""COMPUTED_VALUE"""),4.0)</f>
        <v>4</v>
      </c>
      <c r="G2048" t="str">
        <f>IFERROR(__xludf.DUMMYFUNCTION("""COMPUTED_VALUE"""),"Sabun batang 1 Box ( 2 PCS )")</f>
        <v>Sabun batang 1 Box ( 2 PCS )</v>
      </c>
      <c r="H2048" s="469"/>
      <c r="I2048" s="470"/>
      <c r="J2048" s="471" t="str">
        <f>IFERROR(__xludf.DUMMYFUNCTION("""COMPUTED_VALUE"""),"https://vt.tiktok.com/ZSQed7pXb/")</f>
        <v>https://vt.tiktok.com/ZSQed7pXb/</v>
      </c>
      <c r="K2048" s="470"/>
      <c r="M2048" s="470"/>
      <c r="O2048" s="470"/>
    </row>
    <row r="2049">
      <c r="A2049" s="282" t="str">
        <f>IFERROR(__xludf.DUMMYFUNCTION("""COMPUTED_VALUE"""),"MICRO")</f>
        <v>MICRO</v>
      </c>
      <c r="B2049" s="468" t="str">
        <f>IFERROR(__xludf.DUMMYFUNCTION("""COMPUTED_VALUE"""),"myakhaque")</f>
        <v>myakhaque</v>
      </c>
      <c r="C2049" s="283" t="str">
        <f>IFERROR(__xludf.DUMMYFUNCTION("""COMPUTED_VALUE"""),"https://www.tiktok.com/@myakhaque")</f>
        <v>https://www.tiktok.com/@myakhaque</v>
      </c>
      <c r="D2049" s="273">
        <f>IFERROR(__xludf.DUMMYFUNCTION("""COMPUTED_VALUE"""),8.1268880581E10)</f>
        <v>81268880581</v>
      </c>
      <c r="E2049" s="458">
        <f>IFERROR(__xludf.DUMMYFUNCTION("""COMPUTED_VALUE"""),0.0)</f>
        <v>0</v>
      </c>
      <c r="F2049" s="273">
        <f>IFERROR(__xludf.DUMMYFUNCTION("""COMPUTED_VALUE"""),4.0)</f>
        <v>4</v>
      </c>
      <c r="G2049" t="str">
        <f>IFERROR(__xludf.DUMMYFUNCTION("""COMPUTED_VALUE"""),"Sabun batang 1 Box ( 2 PCS )")</f>
        <v>Sabun batang 1 Box ( 2 PCS )</v>
      </c>
      <c r="H2049" s="469"/>
      <c r="I2049" s="470"/>
      <c r="K2049" s="470"/>
      <c r="M2049" s="470"/>
      <c r="O2049" s="470"/>
    </row>
    <row r="2050">
      <c r="A2050" s="282" t="str">
        <f>IFERROR(__xludf.DUMMYFUNCTION("""COMPUTED_VALUE"""),"MICRO")</f>
        <v>MICRO</v>
      </c>
      <c r="B2050" s="468" t="str">
        <f>IFERROR(__xludf.DUMMYFUNCTION("""COMPUTED_VALUE"""),"dewiana.beaufash")</f>
        <v>dewiana.beaufash</v>
      </c>
      <c r="C2050" s="283" t="str">
        <f>IFERROR(__xludf.DUMMYFUNCTION("""COMPUTED_VALUE"""),"https://www.tiktok.com/@dewiana.beaufash")</f>
        <v>https://www.tiktok.com/@dewiana.beaufash</v>
      </c>
      <c r="D2050" s="273">
        <f>IFERROR(__xludf.DUMMYFUNCTION("""COMPUTED_VALUE"""),8.1310439803E10)</f>
        <v>81310439803</v>
      </c>
      <c r="E2050" s="458">
        <f>IFERROR(__xludf.DUMMYFUNCTION("""COMPUTED_VALUE"""),0.0)</f>
        <v>0</v>
      </c>
      <c r="F2050" s="273">
        <f>IFERROR(__xludf.DUMMYFUNCTION("""COMPUTED_VALUE"""),4.0)</f>
        <v>4</v>
      </c>
      <c r="G2050" t="str">
        <f>IFERROR(__xludf.DUMMYFUNCTION("""COMPUTED_VALUE"""),"Sabun batang 1 Box ( 2 PCS )")</f>
        <v>Sabun batang 1 Box ( 2 PCS )</v>
      </c>
      <c r="H2050" s="469"/>
      <c r="I2050" s="470"/>
      <c r="K2050" s="470"/>
      <c r="M2050" s="470"/>
      <c r="O2050" s="470"/>
    </row>
    <row r="2051">
      <c r="A2051" s="282" t="str">
        <f>IFERROR(__xludf.DUMMYFUNCTION("""COMPUTED_VALUE"""),"MICRO")</f>
        <v>MICRO</v>
      </c>
      <c r="B2051" s="468" t="str">
        <f>IFERROR(__xludf.DUMMYFUNCTION("""COMPUTED_VALUE"""),"ameliaku30")</f>
        <v>ameliaku30</v>
      </c>
      <c r="C2051" s="283" t="str">
        <f>IFERROR(__xludf.DUMMYFUNCTION("""COMPUTED_VALUE"""),"https://www.tiktok.com/@ameliaku30")</f>
        <v>https://www.tiktok.com/@ameliaku30</v>
      </c>
      <c r="D2051" s="273">
        <f>IFERROR(__xludf.DUMMYFUNCTION("""COMPUTED_VALUE"""),8.81867632E9)</f>
        <v>8818676320</v>
      </c>
      <c r="E2051" s="458">
        <f>IFERROR(__xludf.DUMMYFUNCTION("""COMPUTED_VALUE"""),0.0)</f>
        <v>0</v>
      </c>
      <c r="F2051" s="273">
        <f>IFERROR(__xludf.DUMMYFUNCTION("""COMPUTED_VALUE"""),4.0)</f>
        <v>4</v>
      </c>
      <c r="G2051" t="str">
        <f>IFERROR(__xludf.DUMMYFUNCTION("""COMPUTED_VALUE"""),"Sabun batang 1 Box ( 2 PCS )")</f>
        <v>Sabun batang 1 Box ( 2 PCS )</v>
      </c>
      <c r="H2051" s="469"/>
      <c r="I2051" s="470"/>
      <c r="J2051" s="471" t="str">
        <f>IFERROR(__xludf.DUMMYFUNCTION("""COMPUTED_VALUE"""),"https://vt.tiktok.com/ZSxH11WkV/")</f>
        <v>https://vt.tiktok.com/ZSxH11WkV/</v>
      </c>
      <c r="K2051" s="470"/>
      <c r="L2051" s="471" t="str">
        <f>IFERROR(__xludf.DUMMYFUNCTION("""COMPUTED_VALUE"""),"https://vt.tiktok.com/ZSxH1BvWM/")</f>
        <v>https://vt.tiktok.com/ZSxH1BvWM/</v>
      </c>
      <c r="M2051" s="470"/>
      <c r="N2051" s="471" t="str">
        <f>IFERROR(__xludf.DUMMYFUNCTION("""COMPUTED_VALUE"""),"https://vt.tiktok.com/ZSxH1Men5/")</f>
        <v>https://vt.tiktok.com/ZSxH1Men5/</v>
      </c>
      <c r="O2051" s="470"/>
      <c r="P2051" s="471" t="str">
        <f>IFERROR(__xludf.DUMMYFUNCTION("""COMPUTED_VALUE"""),"https://vt.tiktok.com/ZSxH1h1MK/")</f>
        <v>https://vt.tiktok.com/ZSxH1h1MK/</v>
      </c>
    </row>
    <row r="2052">
      <c r="A2052" s="282" t="str">
        <f>IFERROR(__xludf.DUMMYFUNCTION("""COMPUTED_VALUE"""),"MICRO")</f>
        <v>MICRO</v>
      </c>
      <c r="B2052" s="468" t="str">
        <f>IFERROR(__xludf.DUMMYFUNCTION("""COMPUTED_VALUE"""),"daniharni")</f>
        <v>daniharni</v>
      </c>
      <c r="C2052" s="283" t="str">
        <f>IFERROR(__xludf.DUMMYFUNCTION("""COMPUTED_VALUE"""),"https://www.tiktok.com/@daniharni")</f>
        <v>https://www.tiktok.com/@daniharni</v>
      </c>
      <c r="D2052" s="273">
        <f>IFERROR(__xludf.DUMMYFUNCTION("""COMPUTED_VALUE"""),8.81024707159E11)</f>
        <v>881024707159</v>
      </c>
      <c r="E2052" s="458">
        <f>IFERROR(__xludf.DUMMYFUNCTION("""COMPUTED_VALUE"""),0.0)</f>
        <v>0</v>
      </c>
      <c r="F2052" s="273">
        <f>IFERROR(__xludf.DUMMYFUNCTION("""COMPUTED_VALUE"""),4.0)</f>
        <v>4</v>
      </c>
      <c r="G2052" t="str">
        <f>IFERROR(__xludf.DUMMYFUNCTION("""COMPUTED_VALUE"""),"Sabun batang 1 Box ( 2 PCS )")</f>
        <v>Sabun batang 1 Box ( 2 PCS )</v>
      </c>
      <c r="H2052" s="469"/>
      <c r="I2052" s="470"/>
      <c r="J2052" s="471" t="str">
        <f>IFERROR(__xludf.DUMMYFUNCTION("""COMPUTED_VALUE"""),"https://vt.tiktok.com/ZSxH11WkV/")</f>
        <v>https://vt.tiktok.com/ZSxH11WkV/</v>
      </c>
      <c r="K2052" s="470"/>
      <c r="L2052" s="471" t="str">
        <f>IFERROR(__xludf.DUMMYFUNCTION("""COMPUTED_VALUE"""),"https://vt.tiktok.com/ZSxH1BvWM/")</f>
        <v>https://vt.tiktok.com/ZSxH1BvWM/</v>
      </c>
      <c r="M2052" s="470"/>
      <c r="N2052" s="471" t="str">
        <f>IFERROR(__xludf.DUMMYFUNCTION("""COMPUTED_VALUE"""),"https://vt.tiktok.com/ZSxH1Men5/")</f>
        <v>https://vt.tiktok.com/ZSxH1Men5/</v>
      </c>
      <c r="O2052" s="470"/>
      <c r="P2052" s="471" t="str">
        <f>IFERROR(__xludf.DUMMYFUNCTION("""COMPUTED_VALUE"""),"https://vt.tiktok.com/ZSxH1h1MK/")</f>
        <v>https://vt.tiktok.com/ZSxH1h1MK/</v>
      </c>
    </row>
    <row r="2053">
      <c r="A2053" s="282" t="str">
        <f>IFERROR(__xludf.DUMMYFUNCTION("""COMPUTED_VALUE"""),"MICRO")</f>
        <v>MICRO</v>
      </c>
      <c r="B2053" s="468" t="str">
        <f>IFERROR(__xludf.DUMMYFUNCTION("""COMPUTED_VALUE"""),"diaaarrrrr")</f>
        <v>diaaarrrrr</v>
      </c>
      <c r="C2053" s="283" t="str">
        <f>IFERROR(__xludf.DUMMYFUNCTION("""COMPUTED_VALUE"""),"https://www.tiktok.com/@diaaarrrrr")</f>
        <v>https://www.tiktok.com/@diaaarrrrr</v>
      </c>
      <c r="D2053" s="273">
        <f>IFERROR(__xludf.DUMMYFUNCTION("""COMPUTED_VALUE"""),8.9676617702E10)</f>
        <v>89676617702</v>
      </c>
      <c r="E2053" s="458">
        <f>IFERROR(__xludf.DUMMYFUNCTION("""COMPUTED_VALUE"""),0.0)</f>
        <v>0</v>
      </c>
      <c r="F2053" s="273">
        <f>IFERROR(__xludf.DUMMYFUNCTION("""COMPUTED_VALUE"""),4.0)</f>
        <v>4</v>
      </c>
      <c r="G2053" t="str">
        <f>IFERROR(__xludf.DUMMYFUNCTION("""COMPUTED_VALUE"""),"Sabun batang 1 Box ( 2 PCS )")</f>
        <v>Sabun batang 1 Box ( 2 PCS )</v>
      </c>
      <c r="H2053" s="469"/>
      <c r="I2053" s="470"/>
      <c r="J2053" s="471" t="str">
        <f>IFERROR(__xludf.DUMMYFUNCTION("""COMPUTED_VALUE"""),"https://vt.tiktok.com/ZSxH11WkV/")</f>
        <v>https://vt.tiktok.com/ZSxH11WkV/</v>
      </c>
      <c r="K2053" s="470"/>
      <c r="L2053" s="471" t="str">
        <f>IFERROR(__xludf.DUMMYFUNCTION("""COMPUTED_VALUE"""),"https://vt.tiktok.com/ZSxH1BvWM/")</f>
        <v>https://vt.tiktok.com/ZSxH1BvWM/</v>
      </c>
      <c r="M2053" s="470"/>
      <c r="N2053" s="471" t="str">
        <f>IFERROR(__xludf.DUMMYFUNCTION("""COMPUTED_VALUE"""),"https://vt.tiktok.com/ZSxH1Men5/")</f>
        <v>https://vt.tiktok.com/ZSxH1Men5/</v>
      </c>
      <c r="O2053" s="470"/>
      <c r="P2053" s="471" t="str">
        <f>IFERROR(__xludf.DUMMYFUNCTION("""COMPUTED_VALUE"""),"https://vt.tiktok.com/ZSxH1h1MK/")</f>
        <v>https://vt.tiktok.com/ZSxH1h1MK/</v>
      </c>
    </row>
    <row r="2054">
      <c r="A2054" s="282" t="str">
        <f>IFERROR(__xludf.DUMMYFUNCTION("""COMPUTED_VALUE"""),"MICRO")</f>
        <v>MICRO</v>
      </c>
      <c r="B2054" s="468" t="str">
        <f>IFERROR(__xludf.DUMMYFUNCTION("""COMPUTED_VALUE"""),"titink")</f>
        <v>titink</v>
      </c>
      <c r="C2054" s="283" t="str">
        <f>IFERROR(__xludf.DUMMYFUNCTION("""COMPUTED_VALUE"""),"https://www.tiktok.com/@titink")</f>
        <v>https://www.tiktok.com/@titink</v>
      </c>
      <c r="D2054" s="273">
        <f>IFERROR(__xludf.DUMMYFUNCTION("""COMPUTED_VALUE"""),8.9601483456E10)</f>
        <v>89601483456</v>
      </c>
      <c r="E2054" s="458">
        <f>IFERROR(__xludf.DUMMYFUNCTION("""COMPUTED_VALUE"""),0.0)</f>
        <v>0</v>
      </c>
      <c r="F2054" s="273">
        <f>IFERROR(__xludf.DUMMYFUNCTION("""COMPUTED_VALUE"""),4.0)</f>
        <v>4</v>
      </c>
      <c r="G2054" t="str">
        <f>IFERROR(__xludf.DUMMYFUNCTION("""COMPUTED_VALUE"""),"Sabun batang 1 Box ( 2 PCS )")</f>
        <v>Sabun batang 1 Box ( 2 PCS )</v>
      </c>
      <c r="H2054" s="469"/>
      <c r="I2054" s="470"/>
      <c r="J2054" s="471" t="str">
        <f>IFERROR(__xludf.DUMMYFUNCTION("""COMPUTED_VALUE"""),"https://vt.tiktok.com/ZSxH11WkV/")</f>
        <v>https://vt.tiktok.com/ZSxH11WkV/</v>
      </c>
      <c r="K2054" s="470"/>
      <c r="L2054" s="471" t="str">
        <f>IFERROR(__xludf.DUMMYFUNCTION("""COMPUTED_VALUE"""),"https://vt.tiktok.com/ZSxH1BvWM/")</f>
        <v>https://vt.tiktok.com/ZSxH1BvWM/</v>
      </c>
      <c r="M2054" s="470"/>
      <c r="N2054" s="471" t="str">
        <f>IFERROR(__xludf.DUMMYFUNCTION("""COMPUTED_VALUE"""),"https://vt.tiktok.com/ZSxH1Men5/")</f>
        <v>https://vt.tiktok.com/ZSxH1Men5/</v>
      </c>
      <c r="O2054" s="470"/>
      <c r="P2054" s="471" t="str">
        <f>IFERROR(__xludf.DUMMYFUNCTION("""COMPUTED_VALUE"""),"https://vt.tiktok.com/ZSxH1h1MK/")</f>
        <v>https://vt.tiktok.com/ZSxH1h1MK/</v>
      </c>
    </row>
    <row r="2055">
      <c r="A2055" s="282" t="str">
        <f>IFERROR(__xludf.DUMMYFUNCTION("""COMPUTED_VALUE"""),"MICRO")</f>
        <v>MICRO</v>
      </c>
      <c r="B2055" s="468" t="str">
        <f>IFERROR(__xludf.DUMMYFUNCTION("""COMPUTED_VALUE"""),"embunpagishop")</f>
        <v>embunpagishop</v>
      </c>
      <c r="C2055" s="283" t="str">
        <f>IFERROR(__xludf.DUMMYFUNCTION("""COMPUTED_VALUE"""),"https://www.tiktok.com/@embunpagishop")</f>
        <v>https://www.tiktok.com/@embunpagishop</v>
      </c>
      <c r="D2055" s="273">
        <f>IFERROR(__xludf.DUMMYFUNCTION("""COMPUTED_VALUE"""),8.2135662174E10)</f>
        <v>82135662174</v>
      </c>
      <c r="E2055" s="458">
        <f>IFERROR(__xludf.DUMMYFUNCTION("""COMPUTED_VALUE"""),0.0)</f>
        <v>0</v>
      </c>
      <c r="F2055" s="273">
        <f>IFERROR(__xludf.DUMMYFUNCTION("""COMPUTED_VALUE"""),4.0)</f>
        <v>4</v>
      </c>
      <c r="G2055" t="str">
        <f>IFERROR(__xludf.DUMMYFUNCTION("""COMPUTED_VALUE"""),"Sabun batang 1 Box ( 2 PCS )")</f>
        <v>Sabun batang 1 Box ( 2 PCS )</v>
      </c>
      <c r="H2055" s="469"/>
      <c r="I2055" s="470"/>
      <c r="J2055" s="471" t="str">
        <f>IFERROR(__xludf.DUMMYFUNCTION("""COMPUTED_VALUE"""),"https://vt.tiktok.com/ZSxH11WkV/")</f>
        <v>https://vt.tiktok.com/ZSxH11WkV/</v>
      </c>
      <c r="K2055" s="470"/>
      <c r="L2055" s="471" t="str">
        <f>IFERROR(__xludf.DUMMYFUNCTION("""COMPUTED_VALUE"""),"https://vt.tiktok.com/ZSxH1BvWM/")</f>
        <v>https://vt.tiktok.com/ZSxH1BvWM/</v>
      </c>
      <c r="M2055" s="470"/>
      <c r="N2055" s="471" t="str">
        <f>IFERROR(__xludf.DUMMYFUNCTION("""COMPUTED_VALUE"""),"https://vt.tiktok.com/ZSxH1Men5/")</f>
        <v>https://vt.tiktok.com/ZSxH1Men5/</v>
      </c>
      <c r="O2055" s="470"/>
      <c r="P2055" s="471" t="str">
        <f>IFERROR(__xludf.DUMMYFUNCTION("""COMPUTED_VALUE"""),"https://vt.tiktok.com/ZSxH1h1MK/")</f>
        <v>https://vt.tiktok.com/ZSxH1h1MK/</v>
      </c>
    </row>
    <row r="2056">
      <c r="A2056" s="282" t="str">
        <f>IFERROR(__xludf.DUMMYFUNCTION("""COMPUTED_VALUE"""),"MICRO")</f>
        <v>MICRO</v>
      </c>
      <c r="B2056" s="468" t="str">
        <f>IFERROR(__xludf.DUMMYFUNCTION("""COMPUTED_VALUE"""),"alicelaola")</f>
        <v>alicelaola</v>
      </c>
      <c r="C2056" s="283" t="str">
        <f>IFERROR(__xludf.DUMMYFUNCTION("""COMPUTED_VALUE"""),"https://www.tiktok.com/@alicelaola")</f>
        <v>https://www.tiktok.com/@alicelaola</v>
      </c>
      <c r="D2056" s="273">
        <f>IFERROR(__xludf.DUMMYFUNCTION("""COMPUTED_VALUE"""),8.316830533E10)</f>
        <v>83168305330</v>
      </c>
      <c r="E2056" s="458">
        <f>IFERROR(__xludf.DUMMYFUNCTION("""COMPUTED_VALUE"""),0.0)</f>
        <v>0</v>
      </c>
      <c r="F2056" s="273">
        <f>IFERROR(__xludf.DUMMYFUNCTION("""COMPUTED_VALUE"""),4.0)</f>
        <v>4</v>
      </c>
      <c r="G2056" t="str">
        <f>IFERROR(__xludf.DUMMYFUNCTION("""COMPUTED_VALUE"""),"Sabun batang 1 Box ( 2 PCS )")</f>
        <v>Sabun batang 1 Box ( 2 PCS )</v>
      </c>
      <c r="H2056" s="469"/>
      <c r="I2056" s="470"/>
      <c r="J2056" s="471" t="str">
        <f>IFERROR(__xludf.DUMMYFUNCTION("""COMPUTED_VALUE"""),"https://vt.tiktok.com/ZSxH11WkV/")</f>
        <v>https://vt.tiktok.com/ZSxH11WkV/</v>
      </c>
      <c r="K2056" s="470"/>
      <c r="L2056" s="471" t="str">
        <f>IFERROR(__xludf.DUMMYFUNCTION("""COMPUTED_VALUE"""),"https://vt.tiktok.com/ZSxH1BvWM/")</f>
        <v>https://vt.tiktok.com/ZSxH1BvWM/</v>
      </c>
      <c r="M2056" s="470"/>
      <c r="N2056" s="471" t="str">
        <f>IFERROR(__xludf.DUMMYFUNCTION("""COMPUTED_VALUE"""),"https://vt.tiktok.com/ZSxH1Men5/")</f>
        <v>https://vt.tiktok.com/ZSxH1Men5/</v>
      </c>
      <c r="O2056" s="470"/>
      <c r="P2056" s="471" t="str">
        <f>IFERROR(__xludf.DUMMYFUNCTION("""COMPUTED_VALUE"""),"https://vt.tiktok.com/ZSxH1h1MK/")</f>
        <v>https://vt.tiktok.com/ZSxH1h1MK/</v>
      </c>
    </row>
    <row r="2057">
      <c r="A2057" s="282" t="str">
        <f>IFERROR(__xludf.DUMMYFUNCTION("""COMPUTED_VALUE"""),"MICRO")</f>
        <v>MICRO</v>
      </c>
      <c r="B2057" s="468" t="str">
        <f>IFERROR(__xludf.DUMMYFUNCTION("""COMPUTED_VALUE"""),"nurismatul16")</f>
        <v>nurismatul16</v>
      </c>
      <c r="C2057" s="283" t="str">
        <f>IFERROR(__xludf.DUMMYFUNCTION("""COMPUTED_VALUE"""),"https://www.tiktok.com/@nurismatul16")</f>
        <v>https://www.tiktok.com/@nurismatul16</v>
      </c>
      <c r="D2057" s="273">
        <f>IFERROR(__xludf.DUMMYFUNCTION("""COMPUTED_VALUE"""),8.2331520923E10)</f>
        <v>82331520923</v>
      </c>
      <c r="E2057" s="458">
        <f>IFERROR(__xludf.DUMMYFUNCTION("""COMPUTED_VALUE"""),0.0)</f>
        <v>0</v>
      </c>
      <c r="F2057" s="273">
        <f>IFERROR(__xludf.DUMMYFUNCTION("""COMPUTED_VALUE"""),2.0)</f>
        <v>2</v>
      </c>
      <c r="G2057" t="str">
        <f>IFERROR(__xludf.DUMMYFUNCTION("""COMPUTED_VALUE"""),"Sabun batang 1 Box ( 2 PCS )")</f>
        <v>Sabun batang 1 Box ( 2 PCS )</v>
      </c>
      <c r="H2057" s="469"/>
      <c r="I2057" s="470"/>
      <c r="J2057" s="471" t="str">
        <f>IFERROR(__xludf.DUMMYFUNCTION("""COMPUTED_VALUE"""),"https://vt.tiktok.com/ZSxH11WkV/")</f>
        <v>https://vt.tiktok.com/ZSxH11WkV/</v>
      </c>
      <c r="K2057" s="470"/>
      <c r="L2057" s="471" t="str">
        <f>IFERROR(__xludf.DUMMYFUNCTION("""COMPUTED_VALUE"""),"https://vt.tiktok.com/ZSxH1BvWM/")</f>
        <v>https://vt.tiktok.com/ZSxH1BvWM/</v>
      </c>
      <c r="M2057" s="470"/>
      <c r="N2057" s="471" t="str">
        <f>IFERROR(__xludf.DUMMYFUNCTION("""COMPUTED_VALUE"""),"https://vt.tiktok.com/ZSxH1Men5/")</f>
        <v>https://vt.tiktok.com/ZSxH1Men5/</v>
      </c>
      <c r="O2057" s="470"/>
      <c r="P2057" s="471" t="str">
        <f>IFERROR(__xludf.DUMMYFUNCTION("""COMPUTED_VALUE"""),"https://vt.tiktok.com/ZSxH1h1MK/")</f>
        <v>https://vt.tiktok.com/ZSxH1h1MK/</v>
      </c>
    </row>
    <row r="2058">
      <c r="A2058" s="282" t="str">
        <f>IFERROR(__xludf.DUMMYFUNCTION("""COMPUTED_VALUE"""),"MICRO")</f>
        <v>MICRO</v>
      </c>
      <c r="B2058" s="468" t="str">
        <f>IFERROR(__xludf.DUMMYFUNCTION("""COMPUTED_VALUE"""),"mbatatatukangdagang")</f>
        <v>mbatatatukangdagang</v>
      </c>
      <c r="C2058" s="283" t="str">
        <f>IFERROR(__xludf.DUMMYFUNCTION("""COMPUTED_VALUE"""),"https://www.tiktok.com/@mbatatatukangdagang")</f>
        <v>https://www.tiktok.com/@mbatatatukangdagang</v>
      </c>
      <c r="D2058" s="273">
        <f>IFERROR(__xludf.DUMMYFUNCTION("""COMPUTED_VALUE"""),8.7867583088E10)</f>
        <v>87867583088</v>
      </c>
      <c r="E2058" s="458">
        <f>IFERROR(__xludf.DUMMYFUNCTION("""COMPUTED_VALUE"""),0.0)</f>
        <v>0</v>
      </c>
      <c r="F2058" s="273">
        <f>IFERROR(__xludf.DUMMYFUNCTION("""COMPUTED_VALUE"""),4.0)</f>
        <v>4</v>
      </c>
      <c r="G2058" t="str">
        <f>IFERROR(__xludf.DUMMYFUNCTION("""COMPUTED_VALUE"""),"Sabun batang 1 Box ( 2 PCS )")</f>
        <v>Sabun batang 1 Box ( 2 PCS )</v>
      </c>
      <c r="H2058" s="469"/>
      <c r="I2058" s="470"/>
      <c r="J2058" s="471" t="str">
        <f>IFERROR(__xludf.DUMMYFUNCTION("""COMPUTED_VALUE"""),"https://vt.tiktok.com/ZSxH11WkV/")</f>
        <v>https://vt.tiktok.com/ZSxH11WkV/</v>
      </c>
      <c r="K2058" s="470"/>
      <c r="L2058" s="471" t="str">
        <f>IFERROR(__xludf.DUMMYFUNCTION("""COMPUTED_VALUE"""),"https://vt.tiktok.com/ZSxH1BvWM/")</f>
        <v>https://vt.tiktok.com/ZSxH1BvWM/</v>
      </c>
      <c r="M2058" s="470"/>
      <c r="N2058" s="471" t="str">
        <f>IFERROR(__xludf.DUMMYFUNCTION("""COMPUTED_VALUE"""),"https://vt.tiktok.com/ZSxH1Men5/")</f>
        <v>https://vt.tiktok.com/ZSxH1Men5/</v>
      </c>
      <c r="O2058" s="470"/>
      <c r="P2058" s="471" t="str">
        <f>IFERROR(__xludf.DUMMYFUNCTION("""COMPUTED_VALUE"""),"https://vt.tiktok.com/ZSxH1h1MK/")</f>
        <v>https://vt.tiktok.com/ZSxH1h1MK/</v>
      </c>
    </row>
    <row r="2059">
      <c r="A2059" s="282" t="str">
        <f>IFERROR(__xludf.DUMMYFUNCTION("""COMPUTED_VALUE"""),"MICRO")</f>
        <v>MICRO</v>
      </c>
      <c r="B2059" s="468" t="str">
        <f>IFERROR(__xludf.DUMMYFUNCTION("""COMPUTED_VALUE"""),"sheeny.shop")</f>
        <v>sheeny.shop</v>
      </c>
      <c r="C2059" s="283" t="str">
        <f>IFERROR(__xludf.DUMMYFUNCTION("""COMPUTED_VALUE"""),"https://www.tiktok.com/@sheeny.shop")</f>
        <v>https://www.tiktok.com/@sheeny.shop</v>
      </c>
      <c r="D2059" s="273">
        <f>IFERROR(__xludf.DUMMYFUNCTION("""COMPUTED_VALUE"""),8.3822438747E10)</f>
        <v>83822438747</v>
      </c>
      <c r="E2059" s="458">
        <f>IFERROR(__xludf.DUMMYFUNCTION("""COMPUTED_VALUE"""),0.0)</f>
        <v>0</v>
      </c>
      <c r="F2059" s="273">
        <f>IFERROR(__xludf.DUMMYFUNCTION("""COMPUTED_VALUE"""),4.0)</f>
        <v>4</v>
      </c>
      <c r="G2059" t="str">
        <f>IFERROR(__xludf.DUMMYFUNCTION("""COMPUTED_VALUE"""),"Sabun batang 1 Box ( 2 PCS )")</f>
        <v>Sabun batang 1 Box ( 2 PCS )</v>
      </c>
      <c r="H2059" s="469"/>
      <c r="I2059" s="470"/>
      <c r="J2059" s="471" t="str">
        <f>IFERROR(__xludf.DUMMYFUNCTION("""COMPUTED_VALUE"""),"https://vt.tiktok.com/ZSxH11WkV/")</f>
        <v>https://vt.tiktok.com/ZSxH11WkV/</v>
      </c>
      <c r="K2059" s="470"/>
      <c r="L2059" s="471" t="str">
        <f>IFERROR(__xludf.DUMMYFUNCTION("""COMPUTED_VALUE"""),"https://vt.tiktok.com/ZSxH1BvWM/")</f>
        <v>https://vt.tiktok.com/ZSxH1BvWM/</v>
      </c>
      <c r="M2059" s="470"/>
      <c r="N2059" s="471" t="str">
        <f>IFERROR(__xludf.DUMMYFUNCTION("""COMPUTED_VALUE"""),"https://vt.tiktok.com/ZSxH1Men5/")</f>
        <v>https://vt.tiktok.com/ZSxH1Men5/</v>
      </c>
      <c r="O2059" s="470"/>
      <c r="P2059" s="471" t="str">
        <f>IFERROR(__xludf.DUMMYFUNCTION("""COMPUTED_VALUE"""),"https://vt.tiktok.com/ZSxH1h1MK/")</f>
        <v>https://vt.tiktok.com/ZSxH1h1MK/</v>
      </c>
    </row>
    <row r="2060">
      <c r="A2060" s="282" t="str">
        <f>IFERROR(__xludf.DUMMYFUNCTION("""COMPUTED_VALUE"""),"MICRO")</f>
        <v>MICRO</v>
      </c>
      <c r="B2060" s="468" t="str">
        <f>IFERROR(__xludf.DUMMYFUNCTION("""COMPUTED_VALUE"""),"rizkaalvnnn ")</f>
        <v>rizkaalvnnn </v>
      </c>
      <c r="C2060" s="283" t="str">
        <f>IFERROR(__xludf.DUMMYFUNCTION("""COMPUTED_VALUE"""),"https://www.tiktok.com/@rizkaalvnnn ")</f>
        <v>https://www.tiktok.com/@rizkaalvnnn </v>
      </c>
      <c r="D2060" s="273">
        <f>IFERROR(__xludf.DUMMYFUNCTION("""COMPUTED_VALUE"""),8.1222431189E10)</f>
        <v>81222431189</v>
      </c>
      <c r="E2060" s="458">
        <f>IFERROR(__xludf.DUMMYFUNCTION("""COMPUTED_VALUE"""),0.0)</f>
        <v>0</v>
      </c>
      <c r="F2060" s="273">
        <f>IFERROR(__xludf.DUMMYFUNCTION("""COMPUTED_VALUE"""),4.0)</f>
        <v>4</v>
      </c>
      <c r="G2060" t="str">
        <f>IFERROR(__xludf.DUMMYFUNCTION("""COMPUTED_VALUE"""),"Sabun batang 1 Box ( 2 PCS )")</f>
        <v>Sabun batang 1 Box ( 2 PCS )</v>
      </c>
      <c r="H2060" s="469"/>
      <c r="I2060" s="470"/>
      <c r="J2060" s="471" t="str">
        <f>IFERROR(__xludf.DUMMYFUNCTION("""COMPUTED_VALUE"""),"https://vt.tiktok.com/ZSxH11WkV/")</f>
        <v>https://vt.tiktok.com/ZSxH11WkV/</v>
      </c>
      <c r="K2060" s="470"/>
      <c r="L2060" s="471" t="str">
        <f>IFERROR(__xludf.DUMMYFUNCTION("""COMPUTED_VALUE"""),"https://vt.tiktok.com/ZSxH1BvWM/")</f>
        <v>https://vt.tiktok.com/ZSxH1BvWM/</v>
      </c>
      <c r="M2060" s="470"/>
      <c r="N2060" s="471" t="str">
        <f>IFERROR(__xludf.DUMMYFUNCTION("""COMPUTED_VALUE"""),"https://vt.tiktok.com/ZSxH1Men5/")</f>
        <v>https://vt.tiktok.com/ZSxH1Men5/</v>
      </c>
      <c r="O2060" s="470"/>
      <c r="P2060" s="471" t="str">
        <f>IFERROR(__xludf.DUMMYFUNCTION("""COMPUTED_VALUE"""),"https://vt.tiktok.com/ZSxH1h1MK/")</f>
        <v>https://vt.tiktok.com/ZSxH1h1MK/</v>
      </c>
    </row>
    <row r="2061">
      <c r="A2061" s="282" t="str">
        <f>IFERROR(__xludf.DUMMYFUNCTION("""COMPUTED_VALUE"""),"MICRO")</f>
        <v>MICRO</v>
      </c>
      <c r="B2061" s="468" t="str">
        <f>IFERROR(__xludf.DUMMYFUNCTION("""COMPUTED_VALUE"""),"putrinidahilalafi")</f>
        <v>putrinidahilalafi</v>
      </c>
      <c r="C2061" s="283" t="str">
        <f>IFERROR(__xludf.DUMMYFUNCTION("""COMPUTED_VALUE"""),"https://www.tiktok.com/@putrinidahilalafi")</f>
        <v>https://www.tiktok.com/@putrinidahilalafi</v>
      </c>
      <c r="D2061" s="273">
        <f>IFERROR(__xludf.DUMMYFUNCTION("""COMPUTED_VALUE"""),8.5785741514E10)</f>
        <v>85785741514</v>
      </c>
      <c r="E2061" s="458">
        <f>IFERROR(__xludf.DUMMYFUNCTION("""COMPUTED_VALUE"""),0.0)</f>
        <v>0</v>
      </c>
      <c r="F2061" s="273">
        <f>IFERROR(__xludf.DUMMYFUNCTION("""COMPUTED_VALUE"""),4.0)</f>
        <v>4</v>
      </c>
      <c r="G2061" t="str">
        <f>IFERROR(__xludf.DUMMYFUNCTION("""COMPUTED_VALUE"""),"Sabun batang 1 Box ( 2 PCS )")</f>
        <v>Sabun batang 1 Box ( 2 PCS )</v>
      </c>
      <c r="H2061" s="469"/>
      <c r="I2061" s="470"/>
      <c r="J2061" s="471" t="str">
        <f>IFERROR(__xludf.DUMMYFUNCTION("""COMPUTED_VALUE"""),"https://vt.tiktok.com/ZSxH11WkV/")</f>
        <v>https://vt.tiktok.com/ZSxH11WkV/</v>
      </c>
      <c r="K2061" s="470"/>
      <c r="L2061" s="471" t="str">
        <f>IFERROR(__xludf.DUMMYFUNCTION("""COMPUTED_VALUE"""),"https://vt.tiktok.com/ZSxH1BvWM/")</f>
        <v>https://vt.tiktok.com/ZSxH1BvWM/</v>
      </c>
      <c r="M2061" s="470"/>
      <c r="N2061" s="471" t="str">
        <f>IFERROR(__xludf.DUMMYFUNCTION("""COMPUTED_VALUE"""),"https://vt.tiktok.com/ZSxH1Men5/")</f>
        <v>https://vt.tiktok.com/ZSxH1Men5/</v>
      </c>
      <c r="O2061" s="470"/>
      <c r="P2061" s="471" t="str">
        <f>IFERROR(__xludf.DUMMYFUNCTION("""COMPUTED_VALUE"""),"https://vt.tiktok.com/ZSxH1h1MK/")</f>
        <v>https://vt.tiktok.com/ZSxH1h1MK/</v>
      </c>
    </row>
    <row r="2062">
      <c r="A2062" s="282" t="str">
        <f>IFERROR(__xludf.DUMMYFUNCTION("""COMPUTED_VALUE"""),"MICRO")</f>
        <v>MICRO</v>
      </c>
      <c r="B2062" s="468" t="str">
        <f>IFERROR(__xludf.DUMMYFUNCTION("""COMPUTED_VALUE"""),"skincareaff_")</f>
        <v>skincareaff_</v>
      </c>
      <c r="C2062" s="283" t="str">
        <f>IFERROR(__xludf.DUMMYFUNCTION("""COMPUTED_VALUE"""),"https://www.tiktok.com/@skincareaff_")</f>
        <v>https://www.tiktok.com/@skincareaff_</v>
      </c>
      <c r="D2062" s="273">
        <f>IFERROR(__xludf.DUMMYFUNCTION("""COMPUTED_VALUE"""),8.7773368846E10)</f>
        <v>87773368846</v>
      </c>
      <c r="E2062" s="458">
        <f>IFERROR(__xludf.DUMMYFUNCTION("""COMPUTED_VALUE"""),0.0)</f>
        <v>0</v>
      </c>
      <c r="F2062" s="273">
        <f>IFERROR(__xludf.DUMMYFUNCTION("""COMPUTED_VALUE"""),4.0)</f>
        <v>4</v>
      </c>
      <c r="G2062" t="str">
        <f>IFERROR(__xludf.DUMMYFUNCTION("""COMPUTED_VALUE"""),"Sabun batang 1 Box ( 2 PCS )")</f>
        <v>Sabun batang 1 Box ( 2 PCS )</v>
      </c>
      <c r="H2062" s="469"/>
      <c r="I2062" s="470"/>
      <c r="J2062" s="471" t="str">
        <f>IFERROR(__xludf.DUMMYFUNCTION("""COMPUTED_VALUE"""),"https://vt.tiktok.com/ZSxH11WkV/")</f>
        <v>https://vt.tiktok.com/ZSxH11WkV/</v>
      </c>
      <c r="K2062" s="470"/>
      <c r="L2062" s="471" t="str">
        <f>IFERROR(__xludf.DUMMYFUNCTION("""COMPUTED_VALUE"""),"https://vt.tiktok.com/ZSxH1BvWM/")</f>
        <v>https://vt.tiktok.com/ZSxH1BvWM/</v>
      </c>
      <c r="M2062" s="470"/>
      <c r="N2062" s="471" t="str">
        <f>IFERROR(__xludf.DUMMYFUNCTION("""COMPUTED_VALUE"""),"https://vt.tiktok.com/ZSxH1Men5/")</f>
        <v>https://vt.tiktok.com/ZSxH1Men5/</v>
      </c>
      <c r="O2062" s="470"/>
      <c r="P2062" s="471" t="str">
        <f>IFERROR(__xludf.DUMMYFUNCTION("""COMPUTED_VALUE"""),"https://vt.tiktok.com/ZSxH1h1MK/")</f>
        <v>https://vt.tiktok.com/ZSxH1h1MK/</v>
      </c>
    </row>
    <row r="2063">
      <c r="A2063" s="282" t="str">
        <f>IFERROR(__xludf.DUMMYFUNCTION("""COMPUTED_VALUE"""),"MICRO")</f>
        <v>MICRO</v>
      </c>
      <c r="B2063" s="468" t="str">
        <f>IFERROR(__xludf.DUMMYFUNCTION("""COMPUTED_VALUE"""),"gudangkosmetik77")</f>
        <v>gudangkosmetik77</v>
      </c>
      <c r="C2063" s="283" t="str">
        <f>IFERROR(__xludf.DUMMYFUNCTION("""COMPUTED_VALUE"""),"https://www.tiktok.com/@gudangkosmetik77")</f>
        <v>https://www.tiktok.com/@gudangkosmetik77</v>
      </c>
      <c r="D2063" s="273">
        <f>IFERROR(__xludf.DUMMYFUNCTION("""COMPUTED_VALUE"""),8.9699023778E10)</f>
        <v>89699023778</v>
      </c>
      <c r="E2063" s="458">
        <f>IFERROR(__xludf.DUMMYFUNCTION("""COMPUTED_VALUE"""),0.0)</f>
        <v>0</v>
      </c>
      <c r="F2063" s="273">
        <f>IFERROR(__xludf.DUMMYFUNCTION("""COMPUTED_VALUE"""),4.0)</f>
        <v>4</v>
      </c>
      <c r="G2063" t="str">
        <f>IFERROR(__xludf.DUMMYFUNCTION("""COMPUTED_VALUE"""),"Sabun batang 1 Box ( 2 PCS )")</f>
        <v>Sabun batang 1 Box ( 2 PCS )</v>
      </c>
      <c r="H2063" s="469"/>
      <c r="I2063" s="470"/>
      <c r="J2063" s="471" t="str">
        <f>IFERROR(__xludf.DUMMYFUNCTION("""COMPUTED_VALUE"""),"https://vt.tiktok.com/ZSxH11WkV/")</f>
        <v>https://vt.tiktok.com/ZSxH11WkV/</v>
      </c>
      <c r="K2063" s="470"/>
      <c r="L2063" s="471" t="str">
        <f>IFERROR(__xludf.DUMMYFUNCTION("""COMPUTED_VALUE"""),"https://vt.tiktok.com/ZSxH1BvWM/")</f>
        <v>https://vt.tiktok.com/ZSxH1BvWM/</v>
      </c>
      <c r="M2063" s="470"/>
      <c r="N2063" s="471" t="str">
        <f>IFERROR(__xludf.DUMMYFUNCTION("""COMPUTED_VALUE"""),"https://vt.tiktok.com/ZSxH1Men5/")</f>
        <v>https://vt.tiktok.com/ZSxH1Men5/</v>
      </c>
      <c r="O2063" s="470"/>
      <c r="P2063" s="471" t="str">
        <f>IFERROR(__xludf.DUMMYFUNCTION("""COMPUTED_VALUE"""),"https://vt.tiktok.com/ZSxH1h1MK/")</f>
        <v>https://vt.tiktok.com/ZSxH1h1MK/</v>
      </c>
    </row>
    <row r="2064">
      <c r="A2064" s="282" t="str">
        <f>IFERROR(__xludf.DUMMYFUNCTION("""COMPUTED_VALUE"""),"MICRO")</f>
        <v>MICRO</v>
      </c>
      <c r="B2064" s="468" t="str">
        <f>IFERROR(__xludf.DUMMYFUNCTION("""COMPUTED_VALUE"""),"ammah.tes")</f>
        <v>ammah.tes</v>
      </c>
      <c r="C2064" s="283" t="str">
        <f>IFERROR(__xludf.DUMMYFUNCTION("""COMPUTED_VALUE"""),"https://www.tiktok.com/@ammah.tes")</f>
        <v>https://www.tiktok.com/@ammah.tes</v>
      </c>
      <c r="D2064" s="273">
        <f>IFERROR(__xludf.DUMMYFUNCTION("""COMPUTED_VALUE"""),8.7882312298E10)</f>
        <v>87882312298</v>
      </c>
      <c r="E2064" s="458">
        <f>IFERROR(__xludf.DUMMYFUNCTION("""COMPUTED_VALUE"""),0.0)</f>
        <v>0</v>
      </c>
      <c r="F2064" s="273">
        <f>IFERROR(__xludf.DUMMYFUNCTION("""COMPUTED_VALUE"""),4.0)</f>
        <v>4</v>
      </c>
      <c r="G2064" t="str">
        <f>IFERROR(__xludf.DUMMYFUNCTION("""COMPUTED_VALUE"""),"Sabun batang 1 Box ( 2 PCS )")</f>
        <v>Sabun batang 1 Box ( 2 PCS )</v>
      </c>
      <c r="H2064" s="469"/>
      <c r="I2064" s="470"/>
      <c r="J2064" s="471" t="str">
        <f>IFERROR(__xludf.DUMMYFUNCTION("""COMPUTED_VALUE"""),"https://vt.tiktok.com/ZSxH11WkV/")</f>
        <v>https://vt.tiktok.com/ZSxH11WkV/</v>
      </c>
      <c r="K2064" s="470"/>
      <c r="L2064" s="471" t="str">
        <f>IFERROR(__xludf.DUMMYFUNCTION("""COMPUTED_VALUE"""),"https://vt.tiktok.com/ZSxH1BvWM/")</f>
        <v>https://vt.tiktok.com/ZSxH1BvWM/</v>
      </c>
      <c r="M2064" s="470"/>
      <c r="N2064" s="471" t="str">
        <f>IFERROR(__xludf.DUMMYFUNCTION("""COMPUTED_VALUE"""),"https://vt.tiktok.com/ZSxH1Men5/")</f>
        <v>https://vt.tiktok.com/ZSxH1Men5/</v>
      </c>
      <c r="O2064" s="470"/>
      <c r="P2064" s="471" t="str">
        <f>IFERROR(__xludf.DUMMYFUNCTION("""COMPUTED_VALUE"""),"https://vt.tiktok.com/ZSxH1h1MK/")</f>
        <v>https://vt.tiktok.com/ZSxH1h1MK/</v>
      </c>
    </row>
    <row r="2065">
      <c r="A2065" s="282" t="str">
        <f>IFERROR(__xludf.DUMMYFUNCTION("""COMPUTED_VALUE"""),"MICRO")</f>
        <v>MICRO</v>
      </c>
      <c r="B2065" s="468" t="str">
        <f>IFERROR(__xludf.DUMMYFUNCTION("""COMPUTED_VALUE"""),"ciptoargani")</f>
        <v>ciptoargani</v>
      </c>
      <c r="C2065" s="283" t="str">
        <f>IFERROR(__xludf.DUMMYFUNCTION("""COMPUTED_VALUE"""),"https://www.tiktok.com/@ciptoargani")</f>
        <v>https://www.tiktok.com/@ciptoargani</v>
      </c>
      <c r="D2065" s="273">
        <f>IFERROR(__xludf.DUMMYFUNCTION("""COMPUTED_VALUE"""),8.5715600769E10)</f>
        <v>85715600769</v>
      </c>
      <c r="E2065" s="458">
        <f>IFERROR(__xludf.DUMMYFUNCTION("""COMPUTED_VALUE"""),0.0)</f>
        <v>0</v>
      </c>
      <c r="F2065" s="273">
        <f>IFERROR(__xludf.DUMMYFUNCTION("""COMPUTED_VALUE"""),4.0)</f>
        <v>4</v>
      </c>
      <c r="G2065" t="str">
        <f>IFERROR(__xludf.DUMMYFUNCTION("""COMPUTED_VALUE"""),"Sabun batang 1 Box ( 2 PCS )")</f>
        <v>Sabun batang 1 Box ( 2 PCS )</v>
      </c>
      <c r="H2065" s="469"/>
      <c r="I2065" s="470"/>
      <c r="J2065" s="471" t="str">
        <f>IFERROR(__xludf.DUMMYFUNCTION("""COMPUTED_VALUE"""),"https://vt.tiktok.com/ZSxH11WkV/")</f>
        <v>https://vt.tiktok.com/ZSxH11WkV/</v>
      </c>
      <c r="K2065" s="470"/>
      <c r="L2065" s="471" t="str">
        <f>IFERROR(__xludf.DUMMYFUNCTION("""COMPUTED_VALUE"""),"https://vt.tiktok.com/ZSxH1BvWM/")</f>
        <v>https://vt.tiktok.com/ZSxH1BvWM/</v>
      </c>
      <c r="M2065" s="470"/>
      <c r="N2065" s="471" t="str">
        <f>IFERROR(__xludf.DUMMYFUNCTION("""COMPUTED_VALUE"""),"https://vt.tiktok.com/ZSxH1Men5/")</f>
        <v>https://vt.tiktok.com/ZSxH1Men5/</v>
      </c>
      <c r="O2065" s="470"/>
      <c r="P2065" s="471" t="str">
        <f>IFERROR(__xludf.DUMMYFUNCTION("""COMPUTED_VALUE"""),"https://vt.tiktok.com/ZSxH1h1MK/")</f>
        <v>https://vt.tiktok.com/ZSxH1h1MK/</v>
      </c>
    </row>
    <row r="2066">
      <c r="A2066" s="282" t="str">
        <f>IFERROR(__xludf.DUMMYFUNCTION("""COMPUTED_VALUE"""),"MICRO")</f>
        <v>MICRO</v>
      </c>
      <c r="B2066" s="468" t="str">
        <f>IFERROR(__xludf.DUMMYFUNCTION("""COMPUTED_VALUE"""),"_abcde928")</f>
        <v>_abcde928</v>
      </c>
      <c r="C2066" s="283" t="str">
        <f>IFERROR(__xludf.DUMMYFUNCTION("""COMPUTED_VALUE"""),"https://www.tiktok.com/@_abcde928")</f>
        <v>https://www.tiktok.com/@_abcde928</v>
      </c>
      <c r="D2066" s="273">
        <f>IFERROR(__xludf.DUMMYFUNCTION("""COMPUTED_VALUE"""),8.1386246293E10)</f>
        <v>81386246293</v>
      </c>
      <c r="E2066" s="458">
        <f>IFERROR(__xludf.DUMMYFUNCTION("""COMPUTED_VALUE"""),0.0)</f>
        <v>0</v>
      </c>
      <c r="F2066" s="273">
        <f>IFERROR(__xludf.DUMMYFUNCTION("""COMPUTED_VALUE"""),4.0)</f>
        <v>4</v>
      </c>
      <c r="G2066" t="str">
        <f>IFERROR(__xludf.DUMMYFUNCTION("""COMPUTED_VALUE"""),"Sabun batang 1 Box ( 2 PCS )")</f>
        <v>Sabun batang 1 Box ( 2 PCS )</v>
      </c>
      <c r="H2066" s="469"/>
      <c r="I2066" s="470"/>
      <c r="J2066" s="471" t="str">
        <f>IFERROR(__xludf.DUMMYFUNCTION("""COMPUTED_VALUE"""),"https://vt.tiktok.com/ZSxH11WkV/")</f>
        <v>https://vt.tiktok.com/ZSxH11WkV/</v>
      </c>
      <c r="K2066" s="470"/>
      <c r="L2066" s="471" t="str">
        <f>IFERROR(__xludf.DUMMYFUNCTION("""COMPUTED_VALUE"""),"https://vt.tiktok.com/ZSxH1BvWM/")</f>
        <v>https://vt.tiktok.com/ZSxH1BvWM/</v>
      </c>
      <c r="M2066" s="470"/>
      <c r="N2066" s="471" t="str">
        <f>IFERROR(__xludf.DUMMYFUNCTION("""COMPUTED_VALUE"""),"https://vt.tiktok.com/ZSxH1Men5/")</f>
        <v>https://vt.tiktok.com/ZSxH1Men5/</v>
      </c>
      <c r="O2066" s="470"/>
      <c r="P2066" s="471" t="str">
        <f>IFERROR(__xludf.DUMMYFUNCTION("""COMPUTED_VALUE"""),"https://vt.tiktok.com/ZSxH1h1MK/")</f>
        <v>https://vt.tiktok.com/ZSxH1h1MK/</v>
      </c>
    </row>
    <row r="2067">
      <c r="A2067" s="282" t="str">
        <f>IFERROR(__xludf.DUMMYFUNCTION("""COMPUTED_VALUE"""),"MICRO")</f>
        <v>MICRO</v>
      </c>
      <c r="B2067" s="468" t="str">
        <f>IFERROR(__xludf.DUMMYFUNCTION("""COMPUTED_VALUE"""),"firnastore_")</f>
        <v>firnastore_</v>
      </c>
      <c r="C2067" s="283" t="str">
        <f>IFERROR(__xludf.DUMMYFUNCTION("""COMPUTED_VALUE"""),"https://www.tiktok.com/@firnastore_")</f>
        <v>https://www.tiktok.com/@firnastore_</v>
      </c>
      <c r="D2067" s="273">
        <f>IFERROR(__xludf.DUMMYFUNCTION("""COMPUTED_VALUE"""),8.5720992833E10)</f>
        <v>85720992833</v>
      </c>
      <c r="E2067" s="458">
        <f>IFERROR(__xludf.DUMMYFUNCTION("""COMPUTED_VALUE"""),0.0)</f>
        <v>0</v>
      </c>
      <c r="F2067" s="273">
        <f>IFERROR(__xludf.DUMMYFUNCTION("""COMPUTED_VALUE"""),4.0)</f>
        <v>4</v>
      </c>
      <c r="G2067" t="str">
        <f>IFERROR(__xludf.DUMMYFUNCTION("""COMPUTED_VALUE"""),"Sabun batang 1 Box ( 2 PCS )")</f>
        <v>Sabun batang 1 Box ( 2 PCS )</v>
      </c>
      <c r="H2067" s="469"/>
      <c r="I2067" s="470"/>
      <c r="J2067" s="471" t="str">
        <f>IFERROR(__xludf.DUMMYFUNCTION("""COMPUTED_VALUE"""),"https://vt.tiktok.com/ZSxH11WkV/")</f>
        <v>https://vt.tiktok.com/ZSxH11WkV/</v>
      </c>
      <c r="K2067" s="470"/>
      <c r="L2067" s="471" t="str">
        <f>IFERROR(__xludf.DUMMYFUNCTION("""COMPUTED_VALUE"""),"https://vt.tiktok.com/ZSxH1BvWM/")</f>
        <v>https://vt.tiktok.com/ZSxH1BvWM/</v>
      </c>
      <c r="M2067" s="470"/>
      <c r="N2067" s="471" t="str">
        <f>IFERROR(__xludf.DUMMYFUNCTION("""COMPUTED_VALUE"""),"https://vt.tiktok.com/ZSxH1Men5/")</f>
        <v>https://vt.tiktok.com/ZSxH1Men5/</v>
      </c>
      <c r="O2067" s="470"/>
      <c r="P2067" s="471" t="str">
        <f>IFERROR(__xludf.DUMMYFUNCTION("""COMPUTED_VALUE"""),"https://vt.tiktok.com/ZSxH1h1MK/")</f>
        <v>https://vt.tiktok.com/ZSxH1h1MK/</v>
      </c>
    </row>
    <row r="2068">
      <c r="A2068" s="282" t="str">
        <f>IFERROR(__xludf.DUMMYFUNCTION("""COMPUTED_VALUE"""),"MICRO")</f>
        <v>MICRO</v>
      </c>
      <c r="B2068" s="468" t="str">
        <f>IFERROR(__xludf.DUMMYFUNCTION("""COMPUTED_VALUE"""),"ayuastutii_")</f>
        <v>ayuastutii_</v>
      </c>
      <c r="C2068" s="283" t="str">
        <f>IFERROR(__xludf.DUMMYFUNCTION("""COMPUTED_VALUE"""),"https://www.tiktok.com/@ayuastutii_")</f>
        <v>https://www.tiktok.com/@ayuastutii_</v>
      </c>
      <c r="D2068" s="273">
        <f>IFERROR(__xludf.DUMMYFUNCTION("""COMPUTED_VALUE"""),8.2293832806E10)</f>
        <v>82293832806</v>
      </c>
      <c r="E2068" s="458">
        <f>IFERROR(__xludf.DUMMYFUNCTION("""COMPUTED_VALUE"""),0.0)</f>
        <v>0</v>
      </c>
      <c r="F2068" s="273">
        <f>IFERROR(__xludf.DUMMYFUNCTION("""COMPUTED_VALUE"""),4.0)</f>
        <v>4</v>
      </c>
      <c r="G2068" t="str">
        <f>IFERROR(__xludf.DUMMYFUNCTION("""COMPUTED_VALUE"""),"Sabun batang 1 Box ( 2 PCS )")</f>
        <v>Sabun batang 1 Box ( 2 PCS )</v>
      </c>
      <c r="H2068" s="469"/>
      <c r="I2068" s="470"/>
      <c r="J2068" s="471" t="str">
        <f>IFERROR(__xludf.DUMMYFUNCTION("""COMPUTED_VALUE"""),"https://vt.tiktok.com/ZSxH11WkV/")</f>
        <v>https://vt.tiktok.com/ZSxH11WkV/</v>
      </c>
      <c r="K2068" s="470"/>
      <c r="L2068" s="471" t="str">
        <f>IFERROR(__xludf.DUMMYFUNCTION("""COMPUTED_VALUE"""),"https://vt.tiktok.com/ZSxH1BvWM/")</f>
        <v>https://vt.tiktok.com/ZSxH1BvWM/</v>
      </c>
      <c r="M2068" s="470"/>
      <c r="N2068" s="471" t="str">
        <f>IFERROR(__xludf.DUMMYFUNCTION("""COMPUTED_VALUE"""),"https://vt.tiktok.com/ZSxH1Men5/")</f>
        <v>https://vt.tiktok.com/ZSxH1Men5/</v>
      </c>
      <c r="O2068" s="470"/>
      <c r="P2068" s="471" t="str">
        <f>IFERROR(__xludf.DUMMYFUNCTION("""COMPUTED_VALUE"""),"https://vt.tiktok.com/ZSxH1h1MK/")</f>
        <v>https://vt.tiktok.com/ZSxH1h1MK/</v>
      </c>
    </row>
    <row r="2069">
      <c r="A2069" s="282" t="str">
        <f>IFERROR(__xludf.DUMMYFUNCTION("""COMPUTED_VALUE"""),"MICRO")</f>
        <v>MICRO</v>
      </c>
      <c r="B2069" s="468" t="str">
        <f>IFERROR(__xludf.DUMMYFUNCTION("""COMPUTED_VALUE"""),"byolin")</f>
        <v>byolin</v>
      </c>
      <c r="C2069" s="283" t="str">
        <f>IFERROR(__xludf.DUMMYFUNCTION("""COMPUTED_VALUE"""),"https://www.tiktok.com/@byolin")</f>
        <v>https://www.tiktok.com/@byolin</v>
      </c>
      <c r="D2069" s="273">
        <f>IFERROR(__xludf.DUMMYFUNCTION("""COMPUTED_VALUE"""),8.5600822601E10)</f>
        <v>85600822601</v>
      </c>
      <c r="E2069" s="458">
        <f>IFERROR(__xludf.DUMMYFUNCTION("""COMPUTED_VALUE"""),0.0)</f>
        <v>0</v>
      </c>
      <c r="F2069" s="273">
        <f>IFERROR(__xludf.DUMMYFUNCTION("""COMPUTED_VALUE"""),4.0)</f>
        <v>4</v>
      </c>
      <c r="G2069" t="str">
        <f>IFERROR(__xludf.DUMMYFUNCTION("""COMPUTED_VALUE"""),"Sabun batang 1 Box ( 2 PCS )")</f>
        <v>Sabun batang 1 Box ( 2 PCS )</v>
      </c>
      <c r="H2069" s="469"/>
      <c r="I2069" s="470"/>
      <c r="J2069" s="471" t="str">
        <f>IFERROR(__xludf.DUMMYFUNCTION("""COMPUTED_VALUE"""),"https://vt.tiktok.com/ZSxH11WkV/")</f>
        <v>https://vt.tiktok.com/ZSxH11WkV/</v>
      </c>
      <c r="K2069" s="470"/>
      <c r="L2069" s="471" t="str">
        <f>IFERROR(__xludf.DUMMYFUNCTION("""COMPUTED_VALUE"""),"https://vt.tiktok.com/ZSxH1BvWM/")</f>
        <v>https://vt.tiktok.com/ZSxH1BvWM/</v>
      </c>
      <c r="M2069" s="470"/>
      <c r="N2069" s="471" t="str">
        <f>IFERROR(__xludf.DUMMYFUNCTION("""COMPUTED_VALUE"""),"https://vt.tiktok.com/ZSxH1Men5/")</f>
        <v>https://vt.tiktok.com/ZSxH1Men5/</v>
      </c>
      <c r="O2069" s="470"/>
      <c r="P2069" s="471" t="str">
        <f>IFERROR(__xludf.DUMMYFUNCTION("""COMPUTED_VALUE"""),"https://vt.tiktok.com/ZSxH1h1MK/")</f>
        <v>https://vt.tiktok.com/ZSxH1h1MK/</v>
      </c>
    </row>
    <row r="2070">
      <c r="A2070" s="282" t="str">
        <f>IFERROR(__xludf.DUMMYFUNCTION("""COMPUTED_VALUE"""),"MICRO")</f>
        <v>MICRO</v>
      </c>
      <c r="B2070" s="468" t="str">
        <f>IFERROR(__xludf.DUMMYFUNCTION("""COMPUTED_VALUE"""),"mamidanshop")</f>
        <v>mamidanshop</v>
      </c>
      <c r="C2070" s="283" t="str">
        <f>IFERROR(__xludf.DUMMYFUNCTION("""COMPUTED_VALUE"""),"https://www.tiktok.com/@mamidanshop")</f>
        <v>https://www.tiktok.com/@mamidanshop</v>
      </c>
      <c r="D2070" s="273">
        <f>IFERROR(__xludf.DUMMYFUNCTION("""COMPUTED_VALUE"""),8.7754586061E10)</f>
        <v>87754586061</v>
      </c>
      <c r="E2070" s="458">
        <f>IFERROR(__xludf.DUMMYFUNCTION("""COMPUTED_VALUE"""),0.0)</f>
        <v>0</v>
      </c>
      <c r="F2070" s="273">
        <f>IFERROR(__xludf.DUMMYFUNCTION("""COMPUTED_VALUE"""),4.0)</f>
        <v>4</v>
      </c>
      <c r="G2070" t="str">
        <f>IFERROR(__xludf.DUMMYFUNCTION("""COMPUTED_VALUE"""),"Sabun batang 1 Box ( 2 PCS )")</f>
        <v>Sabun batang 1 Box ( 2 PCS )</v>
      </c>
      <c r="H2070" s="469"/>
      <c r="I2070" s="470"/>
      <c r="J2070" s="471" t="str">
        <f>IFERROR(__xludf.DUMMYFUNCTION("""COMPUTED_VALUE"""),"https://vt.tiktok.com/ZSxH11WkV/")</f>
        <v>https://vt.tiktok.com/ZSxH11WkV/</v>
      </c>
      <c r="K2070" s="470"/>
      <c r="L2070" s="471" t="str">
        <f>IFERROR(__xludf.DUMMYFUNCTION("""COMPUTED_VALUE"""),"https://vt.tiktok.com/ZSxH1BvWM/")</f>
        <v>https://vt.tiktok.com/ZSxH1BvWM/</v>
      </c>
      <c r="M2070" s="470"/>
      <c r="N2070" s="471" t="str">
        <f>IFERROR(__xludf.DUMMYFUNCTION("""COMPUTED_VALUE"""),"https://vt.tiktok.com/ZSxH1Men5/")</f>
        <v>https://vt.tiktok.com/ZSxH1Men5/</v>
      </c>
      <c r="O2070" s="470"/>
      <c r="P2070" s="471" t="str">
        <f>IFERROR(__xludf.DUMMYFUNCTION("""COMPUTED_VALUE"""),"https://vt.tiktok.com/ZSxH1h1MK/")</f>
        <v>https://vt.tiktok.com/ZSxH1h1MK/</v>
      </c>
    </row>
    <row r="2071">
      <c r="A2071" s="282" t="str">
        <f>IFERROR(__xludf.DUMMYFUNCTION("""COMPUTED_VALUE"""),"MICRO")</f>
        <v>MICRO</v>
      </c>
      <c r="B2071" s="468" t="str">
        <f>IFERROR(__xludf.DUMMYFUNCTION("""COMPUTED_VALUE"""),"spillbylimey")</f>
        <v>spillbylimey</v>
      </c>
      <c r="C2071" s="283" t="str">
        <f>IFERROR(__xludf.DUMMYFUNCTION("""COMPUTED_VALUE"""),"https://www.tiktok.com/@spillbylimey")</f>
        <v>https://www.tiktok.com/@spillbylimey</v>
      </c>
      <c r="D2071" s="273">
        <f>IFERROR(__xludf.DUMMYFUNCTION("""COMPUTED_VALUE"""),8.95402747296E11)</f>
        <v>895402747296</v>
      </c>
      <c r="E2071" s="458">
        <f>IFERROR(__xludf.DUMMYFUNCTION("""COMPUTED_VALUE"""),0.0)</f>
        <v>0</v>
      </c>
      <c r="F2071" s="273">
        <f>IFERROR(__xludf.DUMMYFUNCTION("""COMPUTED_VALUE"""),4.0)</f>
        <v>4</v>
      </c>
      <c r="G2071" t="str">
        <f>IFERROR(__xludf.DUMMYFUNCTION("""COMPUTED_VALUE"""),"Sabun batang 1 Box ( 2 PCS )")</f>
        <v>Sabun batang 1 Box ( 2 PCS )</v>
      </c>
      <c r="H2071" s="469"/>
      <c r="I2071" s="470"/>
      <c r="J2071" s="471" t="str">
        <f>IFERROR(__xludf.DUMMYFUNCTION("""COMPUTED_VALUE"""),"https://vt.tiktok.com/ZSxH11WkV/")</f>
        <v>https://vt.tiktok.com/ZSxH11WkV/</v>
      </c>
      <c r="K2071" s="470"/>
      <c r="L2071" s="471" t="str">
        <f>IFERROR(__xludf.DUMMYFUNCTION("""COMPUTED_VALUE"""),"https://vt.tiktok.com/ZSxH1BvWM/")</f>
        <v>https://vt.tiktok.com/ZSxH1BvWM/</v>
      </c>
      <c r="M2071" s="470"/>
      <c r="N2071" s="471" t="str">
        <f>IFERROR(__xludf.DUMMYFUNCTION("""COMPUTED_VALUE"""),"https://vt.tiktok.com/ZSxH1Men5/")</f>
        <v>https://vt.tiktok.com/ZSxH1Men5/</v>
      </c>
      <c r="O2071" s="470"/>
      <c r="P2071" s="471" t="str">
        <f>IFERROR(__xludf.DUMMYFUNCTION("""COMPUTED_VALUE"""),"https://vt.tiktok.com/ZSxH1h1MK/")</f>
        <v>https://vt.tiktok.com/ZSxH1h1MK/</v>
      </c>
    </row>
    <row r="2072">
      <c r="A2072" s="282" t="str">
        <f>IFERROR(__xludf.DUMMYFUNCTION("""COMPUTED_VALUE"""),"MICRO")</f>
        <v>MICRO</v>
      </c>
      <c r="B2072" s="468" t="str">
        <f>IFERROR(__xludf.DUMMYFUNCTION("""COMPUTED_VALUE"""),"novi10668")</f>
        <v>novi10668</v>
      </c>
      <c r="C2072" s="283" t="str">
        <f>IFERROR(__xludf.DUMMYFUNCTION("""COMPUTED_VALUE"""),"https://www.tiktok.com/@novi10668")</f>
        <v>https://www.tiktok.com/@novi10668</v>
      </c>
      <c r="D2072" s="273">
        <f>IFERROR(__xludf.DUMMYFUNCTION("""COMPUTED_VALUE"""),8.95640740795E11)</f>
        <v>895640740795</v>
      </c>
      <c r="E2072" s="458">
        <f>IFERROR(__xludf.DUMMYFUNCTION("""COMPUTED_VALUE"""),0.0)</f>
        <v>0</v>
      </c>
      <c r="F2072" s="273">
        <f>IFERROR(__xludf.DUMMYFUNCTION("""COMPUTED_VALUE"""),4.0)</f>
        <v>4</v>
      </c>
      <c r="G2072" t="str">
        <f>IFERROR(__xludf.DUMMYFUNCTION("""COMPUTED_VALUE"""),"Sabun batang 1 Box ( 2 PCS )")</f>
        <v>Sabun batang 1 Box ( 2 PCS )</v>
      </c>
      <c r="H2072" s="469"/>
      <c r="I2072" s="470"/>
      <c r="J2072" s="471" t="str">
        <f>IFERROR(__xludf.DUMMYFUNCTION("""COMPUTED_VALUE"""),"https://vt.tiktok.com/ZSxH11WkV/")</f>
        <v>https://vt.tiktok.com/ZSxH11WkV/</v>
      </c>
      <c r="K2072" s="470"/>
      <c r="L2072" s="471" t="str">
        <f>IFERROR(__xludf.DUMMYFUNCTION("""COMPUTED_VALUE"""),"https://vt.tiktok.com/ZSxH1BvWM/")</f>
        <v>https://vt.tiktok.com/ZSxH1BvWM/</v>
      </c>
      <c r="M2072" s="470"/>
      <c r="N2072" s="471" t="str">
        <f>IFERROR(__xludf.DUMMYFUNCTION("""COMPUTED_VALUE"""),"https://vt.tiktok.com/ZSxH1Men5/")</f>
        <v>https://vt.tiktok.com/ZSxH1Men5/</v>
      </c>
      <c r="O2072" s="470"/>
      <c r="P2072" s="471" t="str">
        <f>IFERROR(__xludf.DUMMYFUNCTION("""COMPUTED_VALUE"""),"https://vt.tiktok.com/ZSxH1h1MK/")</f>
        <v>https://vt.tiktok.com/ZSxH1h1MK/</v>
      </c>
    </row>
    <row r="2073">
      <c r="A2073" s="282" t="str">
        <f>IFERROR(__xludf.DUMMYFUNCTION("""COMPUTED_VALUE"""),"MICRO")</f>
        <v>MICRO</v>
      </c>
      <c r="B2073" s="468" t="str">
        <f>IFERROR(__xludf.DUMMYFUNCTION("""COMPUTED_VALUE"""),"aiki.89")</f>
        <v>aiki.89</v>
      </c>
      <c r="C2073" s="283" t="str">
        <f>IFERROR(__xludf.DUMMYFUNCTION("""COMPUTED_VALUE"""),"https://www.tiktok.com/@aiki.89")</f>
        <v>https://www.tiktok.com/@aiki.89</v>
      </c>
      <c r="D2073" s="273">
        <f>IFERROR(__xludf.DUMMYFUNCTION("""COMPUTED_VALUE"""),8.5182579049E10)</f>
        <v>85182579049</v>
      </c>
      <c r="E2073" s="458">
        <f>IFERROR(__xludf.DUMMYFUNCTION("""COMPUTED_VALUE"""),0.0)</f>
        <v>0</v>
      </c>
      <c r="F2073" s="273">
        <f>IFERROR(__xludf.DUMMYFUNCTION("""COMPUTED_VALUE"""),4.0)</f>
        <v>4</v>
      </c>
      <c r="G2073" t="str">
        <f>IFERROR(__xludf.DUMMYFUNCTION("""COMPUTED_VALUE"""),"Sabun batang 1 Box ( 2 PCS )")</f>
        <v>Sabun batang 1 Box ( 2 PCS )</v>
      </c>
      <c r="H2073" s="469"/>
      <c r="I2073" s="470"/>
      <c r="J2073" s="471" t="str">
        <f>IFERROR(__xludf.DUMMYFUNCTION("""COMPUTED_VALUE"""),"https://vt.tiktok.com/ZSxH11WkV/")</f>
        <v>https://vt.tiktok.com/ZSxH11WkV/</v>
      </c>
      <c r="K2073" s="470"/>
      <c r="L2073" s="471" t="str">
        <f>IFERROR(__xludf.DUMMYFUNCTION("""COMPUTED_VALUE"""),"https://vt.tiktok.com/ZSxH1BvWM/")</f>
        <v>https://vt.tiktok.com/ZSxH1BvWM/</v>
      </c>
      <c r="M2073" s="470"/>
      <c r="N2073" s="471" t="str">
        <f>IFERROR(__xludf.DUMMYFUNCTION("""COMPUTED_VALUE"""),"https://vt.tiktok.com/ZSxH1Men5/")</f>
        <v>https://vt.tiktok.com/ZSxH1Men5/</v>
      </c>
      <c r="O2073" s="470"/>
      <c r="P2073" s="471" t="str">
        <f>IFERROR(__xludf.DUMMYFUNCTION("""COMPUTED_VALUE"""),"https://vt.tiktok.com/ZSxH1h1MK/")</f>
        <v>https://vt.tiktok.com/ZSxH1h1MK/</v>
      </c>
    </row>
    <row r="2074">
      <c r="A2074" s="282" t="str">
        <f>IFERROR(__xludf.DUMMYFUNCTION("""COMPUTED_VALUE"""),"MICRO")</f>
        <v>MICRO</v>
      </c>
      <c r="B2074" s="468" t="str">
        <f>IFERROR(__xludf.DUMMYFUNCTION("""COMPUTED_VALUE"""),"teteh_448 ")</f>
        <v>teteh_448 </v>
      </c>
      <c r="C2074" s="283" t="str">
        <f>IFERROR(__xludf.DUMMYFUNCTION("""COMPUTED_VALUE"""),"https://www.tiktok.com/@teteh_448 ")</f>
        <v>https://www.tiktok.com/@teteh_448 </v>
      </c>
      <c r="D2074" s="273">
        <f>IFERROR(__xludf.DUMMYFUNCTION("""COMPUTED_VALUE"""),8.7842384245E10)</f>
        <v>87842384245</v>
      </c>
      <c r="E2074" s="458">
        <f>IFERROR(__xludf.DUMMYFUNCTION("""COMPUTED_VALUE"""),0.0)</f>
        <v>0</v>
      </c>
      <c r="F2074" s="273">
        <f>IFERROR(__xludf.DUMMYFUNCTION("""COMPUTED_VALUE"""),4.0)</f>
        <v>4</v>
      </c>
      <c r="G2074" t="str">
        <f>IFERROR(__xludf.DUMMYFUNCTION("""COMPUTED_VALUE"""),"Sabun batang 1 Box ( 2 PCS )")</f>
        <v>Sabun batang 1 Box ( 2 PCS )</v>
      </c>
      <c r="H2074" s="469"/>
      <c r="I2074" s="470"/>
      <c r="J2074" s="471" t="str">
        <f>IFERROR(__xludf.DUMMYFUNCTION("""COMPUTED_VALUE"""),"https://vt.tiktok.com/ZSxH11WkV/")</f>
        <v>https://vt.tiktok.com/ZSxH11WkV/</v>
      </c>
      <c r="K2074" s="470"/>
      <c r="L2074" s="471" t="str">
        <f>IFERROR(__xludf.DUMMYFUNCTION("""COMPUTED_VALUE"""),"https://vt.tiktok.com/ZSxH1BvWM/")</f>
        <v>https://vt.tiktok.com/ZSxH1BvWM/</v>
      </c>
      <c r="M2074" s="470"/>
      <c r="N2074" s="471" t="str">
        <f>IFERROR(__xludf.DUMMYFUNCTION("""COMPUTED_VALUE"""),"https://vt.tiktok.com/ZSxH1Men5/")</f>
        <v>https://vt.tiktok.com/ZSxH1Men5/</v>
      </c>
      <c r="O2074" s="470"/>
      <c r="P2074" s="471" t="str">
        <f>IFERROR(__xludf.DUMMYFUNCTION("""COMPUTED_VALUE"""),"https://vt.tiktok.com/ZSxH1h1MK/")</f>
        <v>https://vt.tiktok.com/ZSxH1h1MK/</v>
      </c>
    </row>
    <row r="2075">
      <c r="A2075" s="282" t="str">
        <f>IFERROR(__xludf.DUMMYFUNCTION("""COMPUTED_VALUE"""),"MICRO")</f>
        <v>MICRO</v>
      </c>
      <c r="B2075" s="468" t="str">
        <f>IFERROR(__xludf.DUMMYFUNCTION("""COMPUTED_VALUE"""),"ratuqorix")</f>
        <v>ratuqorix</v>
      </c>
      <c r="C2075" s="283" t="str">
        <f>IFERROR(__xludf.DUMMYFUNCTION("""COMPUTED_VALUE"""),"https://www.tiktok.com/@ratuqorix")</f>
        <v>https://www.tiktok.com/@ratuqorix</v>
      </c>
      <c r="D2075" s="273">
        <f>IFERROR(__xludf.DUMMYFUNCTION("""COMPUTED_VALUE"""),8.5784149719E10)</f>
        <v>85784149719</v>
      </c>
      <c r="E2075" s="458">
        <f>IFERROR(__xludf.DUMMYFUNCTION("""COMPUTED_VALUE"""),0.0)</f>
        <v>0</v>
      </c>
      <c r="F2075" s="273">
        <f>IFERROR(__xludf.DUMMYFUNCTION("""COMPUTED_VALUE"""),4.0)</f>
        <v>4</v>
      </c>
      <c r="G2075" t="str">
        <f>IFERROR(__xludf.DUMMYFUNCTION("""COMPUTED_VALUE"""),"Sabun batang 1 Box ( 2 PCS )")</f>
        <v>Sabun batang 1 Box ( 2 PCS )</v>
      </c>
      <c r="H2075" s="469"/>
      <c r="I2075" s="470"/>
      <c r="J2075" s="471" t="str">
        <f>IFERROR(__xludf.DUMMYFUNCTION("""COMPUTED_VALUE"""),"https://vt.tiktok.com/ZSxH11WkV/")</f>
        <v>https://vt.tiktok.com/ZSxH11WkV/</v>
      </c>
      <c r="K2075" s="470"/>
      <c r="L2075" s="471" t="str">
        <f>IFERROR(__xludf.DUMMYFUNCTION("""COMPUTED_VALUE"""),"https://vt.tiktok.com/ZSxH1BvWM/")</f>
        <v>https://vt.tiktok.com/ZSxH1BvWM/</v>
      </c>
      <c r="M2075" s="470"/>
      <c r="N2075" s="471" t="str">
        <f>IFERROR(__xludf.DUMMYFUNCTION("""COMPUTED_VALUE"""),"https://vt.tiktok.com/ZSxH1Men5/")</f>
        <v>https://vt.tiktok.com/ZSxH1Men5/</v>
      </c>
      <c r="O2075" s="470"/>
      <c r="P2075" s="471" t="str">
        <f>IFERROR(__xludf.DUMMYFUNCTION("""COMPUTED_VALUE"""),"https://vt.tiktok.com/ZSxH1h1MK/")</f>
        <v>https://vt.tiktok.com/ZSxH1h1MK/</v>
      </c>
    </row>
    <row r="2076">
      <c r="A2076" s="282" t="str">
        <f>IFERROR(__xludf.DUMMYFUNCTION("""COMPUTED_VALUE"""),"MICRO")</f>
        <v>MICRO</v>
      </c>
      <c r="B2076" s="468" t="str">
        <f>IFERROR(__xludf.DUMMYFUNCTION("""COMPUTED_VALUE"""),"lilibeauty82")</f>
        <v>lilibeauty82</v>
      </c>
      <c r="C2076" s="283" t="str">
        <f>IFERROR(__xludf.DUMMYFUNCTION("""COMPUTED_VALUE"""),"https://www.tiktok.com/@lilibeauty82")</f>
        <v>https://www.tiktok.com/@lilibeauty82</v>
      </c>
      <c r="D2076" s="273">
        <f>IFERROR(__xludf.DUMMYFUNCTION("""COMPUTED_VALUE"""),8.9516325462E10)</f>
        <v>89516325462</v>
      </c>
      <c r="E2076" s="458">
        <f>IFERROR(__xludf.DUMMYFUNCTION("""COMPUTED_VALUE"""),0.0)</f>
        <v>0</v>
      </c>
      <c r="F2076" s="273">
        <f>IFERROR(__xludf.DUMMYFUNCTION("""COMPUTED_VALUE"""),4.0)</f>
        <v>4</v>
      </c>
      <c r="G2076" t="str">
        <f>IFERROR(__xludf.DUMMYFUNCTION("""COMPUTED_VALUE"""),"Sabun batang 1 Box ( 2 PCS )")</f>
        <v>Sabun batang 1 Box ( 2 PCS )</v>
      </c>
      <c r="H2076" s="469"/>
      <c r="I2076" s="470"/>
      <c r="J2076" s="471" t="str">
        <f>IFERROR(__xludf.DUMMYFUNCTION("""COMPUTED_VALUE"""),"https://vt.tiktok.com/ZSxH11WkV/")</f>
        <v>https://vt.tiktok.com/ZSxH11WkV/</v>
      </c>
      <c r="K2076" s="470"/>
      <c r="L2076" s="471" t="str">
        <f>IFERROR(__xludf.DUMMYFUNCTION("""COMPUTED_VALUE"""),"https://vt.tiktok.com/ZSxH1BvWM/")</f>
        <v>https://vt.tiktok.com/ZSxH1BvWM/</v>
      </c>
      <c r="M2076" s="470"/>
      <c r="N2076" s="471" t="str">
        <f>IFERROR(__xludf.DUMMYFUNCTION("""COMPUTED_VALUE"""),"https://vt.tiktok.com/ZSxH1Men5/")</f>
        <v>https://vt.tiktok.com/ZSxH1Men5/</v>
      </c>
      <c r="O2076" s="470"/>
      <c r="P2076" s="471" t="str">
        <f>IFERROR(__xludf.DUMMYFUNCTION("""COMPUTED_VALUE"""),"https://vt.tiktok.com/ZSxH1h1MK/")</f>
        <v>https://vt.tiktok.com/ZSxH1h1MK/</v>
      </c>
    </row>
    <row r="2077">
      <c r="A2077" s="282" t="str">
        <f>IFERROR(__xludf.DUMMYFUNCTION("""COMPUTED_VALUE"""),"MICRO")</f>
        <v>MICRO</v>
      </c>
      <c r="B2077" s="468" t="str">
        <f>IFERROR(__xludf.DUMMYFUNCTION("""COMPUTED_VALUE"""),"skinaddictiaa")</f>
        <v>skinaddictiaa</v>
      </c>
      <c r="C2077" s="283" t="str">
        <f>IFERROR(__xludf.DUMMYFUNCTION("""COMPUTED_VALUE"""),"https://www.tiktok.com/@skinaddictiaa")</f>
        <v>https://www.tiktok.com/@skinaddictiaa</v>
      </c>
      <c r="D2077" s="273">
        <f>IFERROR(__xludf.DUMMYFUNCTION("""COMPUTED_VALUE"""),8.5780024485E10)</f>
        <v>85780024485</v>
      </c>
      <c r="E2077" s="458">
        <f>IFERROR(__xludf.DUMMYFUNCTION("""COMPUTED_VALUE"""),0.0)</f>
        <v>0</v>
      </c>
      <c r="F2077" s="273">
        <f>IFERROR(__xludf.DUMMYFUNCTION("""COMPUTED_VALUE"""),4.0)</f>
        <v>4</v>
      </c>
      <c r="G2077" t="str">
        <f>IFERROR(__xludf.DUMMYFUNCTION("""COMPUTED_VALUE"""),"Sabun batang 1 Box ( 2 PCS )")</f>
        <v>Sabun batang 1 Box ( 2 PCS )</v>
      </c>
      <c r="H2077" s="469"/>
      <c r="I2077" s="470"/>
      <c r="J2077" s="471" t="str">
        <f>IFERROR(__xludf.DUMMYFUNCTION("""COMPUTED_VALUE"""),"https://vt.tiktok.com/ZSxH11WkV/")</f>
        <v>https://vt.tiktok.com/ZSxH11WkV/</v>
      </c>
      <c r="K2077" s="470"/>
      <c r="L2077" s="471" t="str">
        <f>IFERROR(__xludf.DUMMYFUNCTION("""COMPUTED_VALUE"""),"https://vt.tiktok.com/ZSxH1BvWM/")</f>
        <v>https://vt.tiktok.com/ZSxH1BvWM/</v>
      </c>
      <c r="M2077" s="470"/>
      <c r="N2077" s="471" t="str">
        <f>IFERROR(__xludf.DUMMYFUNCTION("""COMPUTED_VALUE"""),"https://vt.tiktok.com/ZSxH1Men5/")</f>
        <v>https://vt.tiktok.com/ZSxH1Men5/</v>
      </c>
      <c r="O2077" s="470"/>
      <c r="P2077" s="471" t="str">
        <f>IFERROR(__xludf.DUMMYFUNCTION("""COMPUTED_VALUE"""),"https://vt.tiktok.com/ZSxH1h1MK/")</f>
        <v>https://vt.tiktok.com/ZSxH1h1MK/</v>
      </c>
    </row>
    <row r="2078">
      <c r="A2078" s="282" t="str">
        <f>IFERROR(__xludf.DUMMYFUNCTION("""COMPUTED_VALUE"""),"MICRO")</f>
        <v>MICRO</v>
      </c>
      <c r="B2078" s="468" t="str">
        <f>IFERROR(__xludf.DUMMYFUNCTION("""COMPUTED_VALUE"""),"nabillmusthafa")</f>
        <v>nabillmusthafa</v>
      </c>
      <c r="C2078" s="283" t="str">
        <f>IFERROR(__xludf.DUMMYFUNCTION("""COMPUTED_VALUE"""),"https://www.tiktok.com/@nabillmusthafa")</f>
        <v>https://www.tiktok.com/@nabillmusthafa</v>
      </c>
      <c r="D2078" s="273"/>
      <c r="E2078" s="458">
        <f>IFERROR(__xludf.DUMMYFUNCTION("""COMPUTED_VALUE"""),0.0)</f>
        <v>0</v>
      </c>
      <c r="F2078" s="273">
        <f>IFERROR(__xludf.DUMMYFUNCTION("""COMPUTED_VALUE"""),4.0)</f>
        <v>4</v>
      </c>
      <c r="G2078" t="str">
        <f>IFERROR(__xludf.DUMMYFUNCTION("""COMPUTED_VALUE"""),"Sabun batang 1 Box ( 2 PCS )")</f>
        <v>Sabun batang 1 Box ( 2 PCS )</v>
      </c>
      <c r="H2078" s="469"/>
      <c r="I2078" s="470"/>
      <c r="J2078" s="471" t="str">
        <f>IFERROR(__xludf.DUMMYFUNCTION("""COMPUTED_VALUE"""),"https://www.tiktok.com/@nabillmusthafa/video/7634473749303037192?_r=1&amp;u_code=deal88a6gjlm74&amp;region=&amp;mid=7608559003840400145&amp;preview_pb=0&amp;sharer_language=&amp;_d=0&amp;ec_shared_reflux_dynamic_params=%7B%22placeholder_material_id%22%3A%227634473749303037192%22%2C%"&amp;"22placeholder_origin_cover%22%3A%22https%253A%252F%252Fp16-common-sign.tiktokcdn.com%252Ftos-alisg-p-0037%252Fo0GM0AI2ZCB6wBAZIUDCA6wz3qiXIfPiII8zP9~tplv-tiktokx-origin.jpeg%253Fdr%253D14572%2526refresh_token%253D8e3bfc6a%2526x-expires%253D1809504000%2526"&amp;"x-signature%253DWiQ8nGI8IFnURslZLmiAQ2HJOKY%25253D%2526t%253D4d5b0474%2526ps%253D13740610%2526shp%253Dd05b14bd%2526shcp%253D34ff8df6%2526idc%253Dmy%2526s%253DTIKTOK_AFFILIATE_VIRAL_VIDEO%22%2C%22placeholder_product_id%22%3A%221729427766722726591%22%2C%22p"&amp;"laceholder_video_id%22%3A%227634473749303037192%22%7D&amp;ec_shared_reflux_scene=shop_tab_feed&amp;share_item_id=7634473749303037192&amp;source=h5_t")</f>
        <v>https://www.tiktok.com/@nabillmusthafa/video/7634473749303037192?_r=1&amp;u_code=deal88a6gjlm74&amp;region=&amp;mid=7608559003840400145&amp;preview_pb=0&amp;sharer_language=&amp;_d=0&amp;ec_shared_reflux_dynamic_params=%7B%22placeholder_material_id%22%3A%227634473749303037192%22%2C%22placeholder_origin_cover%22%3A%22https%253A%252F%252Fp16-common-sign.tiktokcdn.com%252Ftos-alisg-p-0037%252Fo0GM0AI2ZCB6wBAZIUDCA6wz3qiXIfPiII8zP9~tplv-tiktokx-origin.jpeg%253Fdr%253D14572%2526refresh_token%253D8e3bfc6a%2526x-expires%253D1809504000%2526x-signature%253DWiQ8nGI8IFnURslZLmiAQ2HJOKY%25253D%2526t%253D4d5b0474%2526ps%253D13740610%2526shp%253Dd05b14bd%2526shcp%253D34ff8df6%2526idc%253Dmy%2526s%253DTIKTOK_AFFILIATE_VIRAL_VIDEO%22%2C%22placeholder_product_id%22%3A%221729427766722726591%22%2C%22placeholder_video_id%22%3A%227634473749303037192%22%7D&amp;ec_shared_reflux_scene=shop_tab_feed&amp;share_item_id=7634473749303037192&amp;source=h5_t</v>
      </c>
      <c r="K2078" s="470"/>
      <c r="L2078" s="471" t="str">
        <f>IFERROR(__xludf.DUMMYFUNCTION("""COMPUTED_VALUE"""),"https://www.tiktok.com/@nabillmusthafa/video/7635074462672620807?_r=1&amp;u_code=deal88a6gjlm74&amp;region=&amp;mid=7628933306519816967&amp;preview_pb=0&amp;sharer_language=&amp;_d=0&amp;ec_shared_reflux_dynamic_params=%7B%22placeholder_material_id%22%3A%227635074462672620807%22%2C%"&amp;"22placeholder_origin_cover%22%3A%22https%253A%252F%252Fp16-common-sign.tiktokcdn.com%252Ftos-alisg-p-0037%252Fow9CQvU1FwDIBDDICTziAvAqOAfiIOW8007DDH~tplv-tiktokx-origin.jpeg%253Fdr%253D14572%2526refresh_token%253D6a963701%2526x-expires%253D1809504000%2526"&amp;"x-signature%253DebY%25252FymisAQPYxJCDXAVu6y5aZUs%25253D%2526t%253D4d5b0474%2526ps%253D13740610%2526shp%253Dd05b14bd%2526shcp%253D34ff8df6%2526idc%253Dmy%2526s%253DTIKTOK_AFFILIATE_VIRAL_VIDEO%22%2C%22placeholder_product_id%22%3A%221729427766722726591%22%"&amp;"2C%22placeholder_video_id%22%3A%227635074462672620807%22%7D&amp;ec_shared_reflux_scene=shop_tab_feed&amp;share_item_id=7635074462672620807&amp;source=h5_t")</f>
        <v>https://www.tiktok.com/@nabillmusthafa/video/7635074462672620807?_r=1&amp;u_code=deal88a6gjlm74&amp;region=&amp;mid=7628933306519816967&amp;preview_pb=0&amp;sharer_language=&amp;_d=0&amp;ec_shared_reflux_dynamic_params=%7B%22placeholder_material_id%22%3A%227635074462672620807%22%2C%22placeholder_origin_cover%22%3A%22https%253A%252F%252Fp16-common-sign.tiktokcdn.com%252Ftos-alisg-p-0037%252Fow9CQvU1FwDIBDDICTziAvAqOAfiIOW8007DDH~tplv-tiktokx-origin.jpeg%253Fdr%253D14572%2526refresh_token%253D6a963701%2526x-expires%253D1809504000%2526x-signature%253DebY%25252FymisAQPYxJCDXAVu6y5aZUs%25253D%2526t%253D4d5b0474%2526ps%253D13740610%2526shp%253Dd05b14bd%2526shcp%253D34ff8df6%2526idc%253Dmy%2526s%253DTIKTOK_AFFILIATE_VIRAL_VIDEO%22%2C%22placeholder_product_id%22%3A%221729427766722726591%22%2C%22placeholder_video_id%22%3A%227635074462672620807%22%7D&amp;ec_shared_reflux_scene=shop_tab_feed&amp;share_item_id=7635074462672620807&amp;source=h5_t</v>
      </c>
      <c r="M2078" s="470"/>
      <c r="N2078" s="471" t="str">
        <f>IFERROR(__xludf.DUMMYFUNCTION("""COMPUTED_VALUE"""),"https://www.tiktok.com/@nabillmusthafa/video/7634156681437531410?_r=1&amp;u_code=deal88a6gjlm74&amp;region=&amp;mid=7485063742394125072&amp;preview_pb=0&amp;sharer_language=&amp;_d=0&amp;ec_shared_reflux_dynamic_params=%7B%22placeholder_material_id%22%3A%227634156681437531410%22%2C%"&amp;"22placeholder_origin_cover%22%3A%22https%253A%252F%252Fp16-common-sign.tiktokcdn.com%252Ftos-alisg-p-0037%252FowDeHyEYQENrUbJGfenRjDRFxQ48QsNfAAcFHG~tplv-tiktokx-origin.jpeg%253Fdr%253D14572%2526refresh_token%253Db34eb2cc%2526x-expires%253D1809504000%2526"&amp;"x-signature%253DVzr3d1pzhGMujfqVzNtGwtNzHTM%25253D%2526t%253D4d5b0474%2526ps%253D13740610%2526shp%253Dd05b14bd%2526shcp%253D34ff8df6%2526idc%253Dmy%2526s%253DTIKTOK_AFFILIATE_VIRAL_VIDEO%22%2C%22placeholder_product_id%22%3A%221729427766722726591%22%2C%22p"&amp;"laceholder_video_id%22%3A%227634156681437531410%22%7D&amp;ec_shared_reflux_scene=shop_tab_feed&amp;share_item_id=7634156681437531410&amp;source=h5_t")</f>
        <v>https://www.tiktok.com/@nabillmusthafa/video/7634156681437531410?_r=1&amp;u_code=deal88a6gjlm74&amp;region=&amp;mid=7485063742394125072&amp;preview_pb=0&amp;sharer_language=&amp;_d=0&amp;ec_shared_reflux_dynamic_params=%7B%22placeholder_material_id%22%3A%227634156681437531410%22%2C%22placeholder_origin_cover%22%3A%22https%253A%252F%252Fp16-common-sign.tiktokcdn.com%252Ftos-alisg-p-0037%252FowDeHyEYQENrUbJGfenRjDRFxQ48QsNfAAcFHG~tplv-tiktokx-origin.jpeg%253Fdr%253D14572%2526refresh_token%253Db34eb2cc%2526x-expires%253D1809504000%2526x-signature%253DVzr3d1pzhGMujfqVzNtGwtNzHTM%25253D%2526t%253D4d5b0474%2526ps%253D13740610%2526shp%253Dd05b14bd%2526shcp%253D34ff8df6%2526idc%253Dmy%2526s%253DTIKTOK_AFFILIATE_VIRAL_VIDEO%22%2C%22placeholder_product_id%22%3A%221729427766722726591%22%2C%22placeholder_video_id%22%3A%227634156681437531410%22%7D&amp;ec_shared_reflux_scene=shop_tab_feed&amp;share_item_id=7634156681437531410&amp;source=h5_t</v>
      </c>
      <c r="O2078" s="470"/>
      <c r="P2078" s="471" t="str">
        <f>IFERROR(__xludf.DUMMYFUNCTION("""COMPUTED_VALUE"""),"https://www.tiktok.com/@nabillmusthafa/video/7636000991401331976?_r=1&amp;u_code=deal88a6gjlm74&amp;region=&amp;mid=7626899689086520072&amp;preview_pb=0&amp;sharer_language=&amp;_d=0&amp;ec_shared_reflux_dynamic_params=%7B%22placeholder_material_id%22%3A%227636000991401331976%22%2C%"&amp;"22placeholder_origin_cover%22%3A%22https%253A%252F%252Fp16-common-sign.tiktokcdn.com%252Ftos-alisg-p-0037%252Fos5IiDFe7IDyMeCAY4vAf0EOT4IhjsDDoCnIhC~tplv-tiktokx-origin.jpeg%253Fdr%253D14572%2526refresh_token%253D27defb53%2526x-expires%253D1809504000%2526"&amp;"x-signature%253DJGQSE4ZG86Po7EtLA3PbQ%25252FQinoQ%25253D%2526t%253D4d5b0474%2526ps%253D13740610%2526shp%253Dd05b14bd%2526shcp%253D34ff8df6%2526idc%253Dmy%2526s%253DTIKTOK_AFFILIATE_VIRAL_VIDEO%22%2C%22placeholder_product_id%22%3A%221729427766722726591%22%"&amp;"2C%22placeholder_video_id%22%3A%227636000991401331976%22%7D&amp;ec_shared_reflux_scene=shop_tab_feed&amp;share_item_id=7636000991401331976&amp;source=h5_t")</f>
        <v>https://www.tiktok.com/@nabillmusthafa/video/7636000991401331976?_r=1&amp;u_code=deal88a6gjlm74&amp;region=&amp;mid=7626899689086520072&amp;preview_pb=0&amp;sharer_language=&amp;_d=0&amp;ec_shared_reflux_dynamic_params=%7B%22placeholder_material_id%22%3A%227636000991401331976%22%2C%22placeholder_origin_cover%22%3A%22https%253A%252F%252Fp16-common-sign.tiktokcdn.com%252Ftos-alisg-p-0037%252Fos5IiDFe7IDyMeCAY4vAf0EOT4IhjsDDoCnIhC~tplv-tiktokx-origin.jpeg%253Fdr%253D14572%2526refresh_token%253D27defb53%2526x-expires%253D1809504000%2526x-signature%253DJGQSE4ZG86Po7EtLA3PbQ%25252FQinoQ%25253D%2526t%253D4d5b0474%2526ps%253D13740610%2526shp%253Dd05b14bd%2526shcp%253D34ff8df6%2526idc%253Dmy%2526s%253DTIKTOK_AFFILIATE_VIRAL_VIDEO%22%2C%22placeholder_product_id%22%3A%221729427766722726591%22%2C%22placeholder_video_id%22%3A%227636000991401331976%22%7D&amp;ec_shared_reflux_scene=shop_tab_feed&amp;share_item_id=7636000991401331976&amp;source=h5_t</v>
      </c>
    </row>
    <row r="2079">
      <c r="A2079" s="282" t="str">
        <f>IFERROR(__xludf.DUMMYFUNCTION("""COMPUTED_VALUE"""),"MICRO")</f>
        <v>MICRO</v>
      </c>
      <c r="B2079" s="468" t="str">
        <f>IFERROR(__xludf.DUMMYFUNCTION("""COMPUTED_VALUE"""),"deyeeeeeee18")</f>
        <v>deyeeeeeee18</v>
      </c>
      <c r="C2079" s="283" t="str">
        <f>IFERROR(__xludf.DUMMYFUNCTION("""COMPUTED_VALUE"""),"https://www.tiktok.com/@deyeeeeeee18")</f>
        <v>https://www.tiktok.com/@deyeeeeeee18</v>
      </c>
      <c r="D2079" s="273">
        <f>IFERROR(__xludf.DUMMYFUNCTION("""COMPUTED_VALUE"""),8.5875301604E10)</f>
        <v>85875301604</v>
      </c>
      <c r="E2079" s="458">
        <f>IFERROR(__xludf.DUMMYFUNCTION("""COMPUTED_VALUE"""),0.0)</f>
        <v>0</v>
      </c>
      <c r="F2079" s="273">
        <f>IFERROR(__xludf.DUMMYFUNCTION("""COMPUTED_VALUE"""),4.0)</f>
        <v>4</v>
      </c>
      <c r="G2079" t="str">
        <f>IFERROR(__xludf.DUMMYFUNCTION("""COMPUTED_VALUE"""),"Sabun batang 1 Box ( 2 PCS )")</f>
        <v>Sabun batang 1 Box ( 2 PCS )</v>
      </c>
      <c r="H2079" s="469"/>
      <c r="I2079" s="470"/>
      <c r="J2079" s="471" t="str">
        <f>IFERROR(__xludf.DUMMYFUNCTION("""COMPUTED_VALUE"""),"https://www.tiktok.com/@itsmechaaa_02/video/7619185703586417940?_r=1&amp;u_code=d94j25l8j9c8l3&amp;region=&amp;mid=7617716334930955028&amp;preview_pb=0&amp;sharer_language=&amp;_d=0&amp;ec_shared_reflux_dynamic_params=%7B%22placeholder_material_id%22%3A%227619185703586417940%22%2C%2"&amp;"2placeholder_origin_cover%22%3A%22https%253A%252F%252Fp19-common-sign.tiktokcdn.com%252Ftos-alisg-p-0037%252FoUIABBGvJABiz8aEaAzDbBv8yXiIDRLYD6Puo~tplv-tiktokx-origin.jpeg%253Fdr%253D14572%2526refresh_token%253Dcc5e5193%2526x-expires%253D1809507600%2526x-"&amp;"signature%253D1wO8%25252F9hsoVy85TrEXhb02mpyRMk%25253D%2526t%253D4d5b0474%2526ps%253D13740610%2526shp%253Dd05b14bd%2526shcp%253D34ff8df6%2526idc%253Dmy%2526s%253DTIKTOK_AFFILIATE_VIRAL_VIDEO%22%2C%22placeholder_product_id%22%3A%221729427766722726591%22%2C"&amp;"%22placeholder_video_id%22%3A%227619185703586417940%22%7D&amp;ec_shared_reflux_scene=shop_tab_feed&amp;share_item_id=7619185703586417940&amp;source=h5_t")</f>
        <v>https://www.tiktok.com/@itsmechaaa_02/video/7619185703586417940?_r=1&amp;u_code=d94j25l8j9c8l3&amp;region=&amp;mid=7617716334930955028&amp;preview_pb=0&amp;sharer_language=&amp;_d=0&amp;ec_shared_reflux_dynamic_params=%7B%22placeholder_material_id%22%3A%227619185703586417940%22%2C%22placeholder_origin_cover%22%3A%22https%253A%252F%252Fp19-common-sign.tiktokcdn.com%252Ftos-alisg-p-0037%252FoUIABBGvJABiz8aEaAzDbBv8yXiIDRLYD6Puo~tplv-tiktokx-origin.jpeg%253Fdr%253D14572%2526refresh_token%253Dcc5e5193%2526x-expires%253D1809507600%2526x-signature%253D1wO8%25252F9hsoVy85TrEXhb02mpyRMk%25253D%2526t%253D4d5b0474%2526ps%253D13740610%2526shp%253Dd05b14bd%2526shcp%253D34ff8df6%2526idc%253Dmy%2526s%253DTIKTOK_AFFILIATE_VIRAL_VIDEO%22%2C%22placeholder_product_id%22%3A%221729427766722726591%22%2C%22placeholder_video_id%22%3A%227619185703586417940%22%7D&amp;ec_shared_reflux_scene=shop_tab_feed&amp;share_item_id=7619185703586417940&amp;source=h5_t</v>
      </c>
      <c r="K2079" s="470"/>
      <c r="L2079" s="471" t="str">
        <f>IFERROR(__xludf.DUMMYFUNCTION("""COMPUTED_VALUE"""),"https://vt.tiktok.com/ZSx5AvnU3/")</f>
        <v>https://vt.tiktok.com/ZSx5AvnU3/</v>
      </c>
      <c r="M2079" s="470"/>
      <c r="N2079" s="471" t="str">
        <f>IFERROR(__xludf.DUMMYFUNCTION("""COMPUTED_VALUE"""),"https://vt.tiktok.com/ZSx5A3qYQ/")</f>
        <v>https://vt.tiktok.com/ZSx5A3qYQ/</v>
      </c>
      <c r="O2079" s="470"/>
      <c r="P2079" s="471" t="str">
        <f>IFERROR(__xludf.DUMMYFUNCTION("""COMPUTED_VALUE"""),"https://vt.tiktok.com/ZSx5DdStX/")</f>
        <v>https://vt.tiktok.com/ZSx5DdStX/</v>
      </c>
    </row>
    <row r="2080">
      <c r="A2080" s="282" t="str">
        <f>IFERROR(__xludf.DUMMYFUNCTION("""COMPUTED_VALUE"""),"MICRO")</f>
        <v>MICRO</v>
      </c>
      <c r="B2080" s="468" t="str">
        <f>IFERROR(__xludf.DUMMYFUNCTION("""COMPUTED_VALUE"""),"devidongok")</f>
        <v>devidongok</v>
      </c>
      <c r="C2080" s="283" t="str">
        <f>IFERROR(__xludf.DUMMYFUNCTION("""COMPUTED_VALUE"""),"https://www.tiktok.com/@devidongok")</f>
        <v>https://www.tiktok.com/@devidongok</v>
      </c>
      <c r="D2080" s="273">
        <f>IFERROR(__xludf.DUMMYFUNCTION("""COMPUTED_VALUE"""),8.5658663445E10)</f>
        <v>85658663445</v>
      </c>
      <c r="E2080" s="458">
        <f>IFERROR(__xludf.DUMMYFUNCTION("""COMPUTED_VALUE"""),0.0)</f>
        <v>0</v>
      </c>
      <c r="F2080" s="273">
        <f>IFERROR(__xludf.DUMMYFUNCTION("""COMPUTED_VALUE"""),4.0)</f>
        <v>4</v>
      </c>
      <c r="G2080" t="str">
        <f>IFERROR(__xludf.DUMMYFUNCTION("""COMPUTED_VALUE"""),"Sabun batang 1 Box ( 2 PCS )")</f>
        <v>Sabun batang 1 Box ( 2 PCS )</v>
      </c>
      <c r="H2080" s="469"/>
      <c r="I2080" s="470"/>
      <c r="J2080" s="471" t="str">
        <f>IFERROR(__xludf.DUMMYFUNCTION("""COMPUTED_VALUE"""),"https://www.tiktok.com/@itsmechaaa_02/video/7619185703586417940?_r=1&amp;u_code=d94j25l8j9c8l3&amp;region=&amp;mid=7617716334930955028&amp;preview_pb=0&amp;sharer_language=&amp;_d=0&amp;ec_shared_reflux_dynamic_params=%7B%22placeholder_material_id%22%3A%227619185703586417940%22%2C%2"&amp;"2placeholder_origin_cover%22%3A%22https%253A%252F%252Fp19-common-sign.tiktokcdn.com%252Ftos-alisg-p-0037%252FoUIABBGvJABiz8aEaAzDbBv8yXiIDRLYD6Puo~tplv-tiktokx-origin.jpeg%253Fdr%253D14572%2526refresh_token%253Dcc5e5193%2526x-expires%253D1809507600%2526x-"&amp;"signature%253D1wO8%25252F9hsoVy85TrEXhb02mpyRMk%25253D%2526t%253D4d5b0474%2526ps%253D13740610%2526shp%253Dd05b14bd%2526shcp%253D34ff8df6%2526idc%253Dmy%2526s%253DTIKTOK_AFFILIATE_VIRAL_VIDEO%22%2C%22placeholder_product_id%22%3A%221729427766722726591%22%2C"&amp;"%22placeholder_video_id%22%3A%227619185703586417940%22%7D&amp;ec_shared_reflux_scene=shop_tab_feed&amp;share_item_id=7619185703586417940&amp;source=h5_t")</f>
        <v>https://www.tiktok.com/@itsmechaaa_02/video/7619185703586417940?_r=1&amp;u_code=d94j25l8j9c8l3&amp;region=&amp;mid=7617716334930955028&amp;preview_pb=0&amp;sharer_language=&amp;_d=0&amp;ec_shared_reflux_dynamic_params=%7B%22placeholder_material_id%22%3A%227619185703586417940%22%2C%22placeholder_origin_cover%22%3A%22https%253A%252F%252Fp19-common-sign.tiktokcdn.com%252Ftos-alisg-p-0037%252FoUIABBGvJABiz8aEaAzDbBv8yXiIDRLYD6Puo~tplv-tiktokx-origin.jpeg%253Fdr%253D14572%2526refresh_token%253Dcc5e5193%2526x-expires%253D1809507600%2526x-signature%253D1wO8%25252F9hsoVy85TrEXhb02mpyRMk%25253D%2526t%253D4d5b0474%2526ps%253D13740610%2526shp%253Dd05b14bd%2526shcp%253D34ff8df6%2526idc%253Dmy%2526s%253DTIKTOK_AFFILIATE_VIRAL_VIDEO%22%2C%22placeholder_product_id%22%3A%221729427766722726591%22%2C%22placeholder_video_id%22%3A%227619185703586417940%22%7D&amp;ec_shared_reflux_scene=shop_tab_feed&amp;share_item_id=7619185703586417940&amp;source=h5_t</v>
      </c>
      <c r="K2080" s="470"/>
      <c r="L2080" s="471" t="str">
        <f>IFERROR(__xludf.DUMMYFUNCTION("""COMPUTED_VALUE"""),"https://vt.tiktok.com/ZSx5AvnU3/")</f>
        <v>https://vt.tiktok.com/ZSx5AvnU3/</v>
      </c>
      <c r="M2080" s="470"/>
      <c r="N2080" s="471" t="str">
        <f>IFERROR(__xludf.DUMMYFUNCTION("""COMPUTED_VALUE"""),"https://vt.tiktok.com/ZSx5A3qYQ/")</f>
        <v>https://vt.tiktok.com/ZSx5A3qYQ/</v>
      </c>
      <c r="O2080" s="470"/>
      <c r="P2080" s="471" t="str">
        <f>IFERROR(__xludf.DUMMYFUNCTION("""COMPUTED_VALUE"""),"https://vt.tiktok.com/ZSx5DdStX/")</f>
        <v>https://vt.tiktok.com/ZSx5DdStX/</v>
      </c>
    </row>
    <row r="2081">
      <c r="A2081" s="282" t="str">
        <f>IFERROR(__xludf.DUMMYFUNCTION("""COMPUTED_VALUE"""),"MICRO")</f>
        <v>MICRO</v>
      </c>
      <c r="B2081" s="468" t="str">
        <f>IFERROR(__xludf.DUMMYFUNCTION("""COMPUTED_VALUE"""),"elysa_oktaviyanti")</f>
        <v>elysa_oktaviyanti</v>
      </c>
      <c r="C2081" s="283" t="str">
        <f>IFERROR(__xludf.DUMMYFUNCTION("""COMPUTED_VALUE"""),"https://www.tiktok.com/@elysa_oktaviyanti")</f>
        <v>https://www.tiktok.com/@elysa_oktaviyanti</v>
      </c>
      <c r="D2081" s="273">
        <f>IFERROR(__xludf.DUMMYFUNCTION("""COMPUTED_VALUE"""),8.996638371E9)</f>
        <v>8996638371</v>
      </c>
      <c r="E2081" s="458">
        <f>IFERROR(__xludf.DUMMYFUNCTION("""COMPUTED_VALUE"""),0.0)</f>
        <v>0</v>
      </c>
      <c r="F2081" s="273">
        <f>IFERROR(__xludf.DUMMYFUNCTION("""COMPUTED_VALUE"""),4.0)</f>
        <v>4</v>
      </c>
      <c r="G2081" t="str">
        <f>IFERROR(__xludf.DUMMYFUNCTION("""COMPUTED_VALUE"""),"Sabun batang 1 Box ( 2 PCS )")</f>
        <v>Sabun batang 1 Box ( 2 PCS )</v>
      </c>
      <c r="H2081" s="469"/>
      <c r="I2081" s="470"/>
      <c r="J2081" s="471" t="str">
        <f>IFERROR(__xludf.DUMMYFUNCTION("""COMPUTED_VALUE"""),"https://www.tiktok.com/@itsmechaaa_02/video/7619185703586417940?_r=1&amp;u_code=d94j25l8j9c8l3&amp;region=&amp;mid=7617716334930955028&amp;preview_pb=0&amp;sharer_language=&amp;_d=0&amp;ec_shared_reflux_dynamic_params=%7B%22placeholder_material_id%22%3A%227619185703586417940%22%2C%2"&amp;"2placeholder_origin_cover%22%3A%22https%253A%252F%252Fp19-common-sign.tiktokcdn.com%252Ftos-alisg-p-0037%252FoUIABBGvJABiz8aEaAzDbBv8yXiIDRLYD6Puo~tplv-tiktokx-origin.jpeg%253Fdr%253D14572%2526refresh_token%253Dcc5e5193%2526x-expires%253D1809507600%2526x-"&amp;"signature%253D1wO8%25252F9hsoVy85TrEXhb02mpyRMk%25253D%2526t%253D4d5b0474%2526ps%253D13740610%2526shp%253Dd05b14bd%2526shcp%253D34ff8df6%2526idc%253Dmy%2526s%253DTIKTOK_AFFILIATE_VIRAL_VIDEO%22%2C%22placeholder_product_id%22%3A%221729427766722726591%22%2C"&amp;"%22placeholder_video_id%22%3A%227619185703586417940%22%7D&amp;ec_shared_reflux_scene=shop_tab_feed&amp;share_item_id=7619185703586417940&amp;source=h5_t")</f>
        <v>https://www.tiktok.com/@itsmechaaa_02/video/7619185703586417940?_r=1&amp;u_code=d94j25l8j9c8l3&amp;region=&amp;mid=7617716334930955028&amp;preview_pb=0&amp;sharer_language=&amp;_d=0&amp;ec_shared_reflux_dynamic_params=%7B%22placeholder_material_id%22%3A%227619185703586417940%22%2C%22placeholder_origin_cover%22%3A%22https%253A%252F%252Fp19-common-sign.tiktokcdn.com%252Ftos-alisg-p-0037%252FoUIABBGvJABiz8aEaAzDbBv8yXiIDRLYD6Puo~tplv-tiktokx-origin.jpeg%253Fdr%253D14572%2526refresh_token%253Dcc5e5193%2526x-expires%253D1809507600%2526x-signature%253D1wO8%25252F9hsoVy85TrEXhb02mpyRMk%25253D%2526t%253D4d5b0474%2526ps%253D13740610%2526shp%253Dd05b14bd%2526shcp%253D34ff8df6%2526idc%253Dmy%2526s%253DTIKTOK_AFFILIATE_VIRAL_VIDEO%22%2C%22placeholder_product_id%22%3A%221729427766722726591%22%2C%22placeholder_video_id%22%3A%227619185703586417940%22%7D&amp;ec_shared_reflux_scene=shop_tab_feed&amp;share_item_id=7619185703586417940&amp;source=h5_t</v>
      </c>
      <c r="K2081" s="470"/>
      <c r="L2081" s="471" t="str">
        <f>IFERROR(__xludf.DUMMYFUNCTION("""COMPUTED_VALUE"""),"https://vt.tiktok.com/ZSx5AvnU3/")</f>
        <v>https://vt.tiktok.com/ZSx5AvnU3/</v>
      </c>
      <c r="M2081" s="470"/>
      <c r="N2081" s="471" t="str">
        <f>IFERROR(__xludf.DUMMYFUNCTION("""COMPUTED_VALUE"""),"https://vt.tiktok.com/ZSx5A3qYQ/")</f>
        <v>https://vt.tiktok.com/ZSx5A3qYQ/</v>
      </c>
      <c r="O2081" s="470"/>
      <c r="P2081" s="471" t="str">
        <f>IFERROR(__xludf.DUMMYFUNCTION("""COMPUTED_VALUE"""),"https://vt.tiktok.com/ZSx5DdStX/")</f>
        <v>https://vt.tiktok.com/ZSx5DdStX/</v>
      </c>
    </row>
    <row r="2082">
      <c r="A2082" s="282" t="str">
        <f>IFERROR(__xludf.DUMMYFUNCTION("""COMPUTED_VALUE"""),"MICRO")</f>
        <v>MICRO</v>
      </c>
      <c r="B2082" s="468" t="str">
        <f>IFERROR(__xludf.DUMMYFUNCTION("""COMPUTED_VALUE"""),"_puput815")</f>
        <v>_puput815</v>
      </c>
      <c r="C2082" s="283" t="str">
        <f>IFERROR(__xludf.DUMMYFUNCTION("""COMPUTED_VALUE"""),"https://www.tiktok.com/@_puput815")</f>
        <v>https://www.tiktok.com/@_puput815</v>
      </c>
      <c r="D2082" s="273">
        <f>IFERROR(__xludf.DUMMYFUNCTION("""COMPUTED_VALUE"""),8.5766307661E10)</f>
        <v>85766307661</v>
      </c>
      <c r="E2082" s="458">
        <f>IFERROR(__xludf.DUMMYFUNCTION("""COMPUTED_VALUE"""),0.0)</f>
        <v>0</v>
      </c>
      <c r="F2082" s="273">
        <f>IFERROR(__xludf.DUMMYFUNCTION("""COMPUTED_VALUE"""),4.0)</f>
        <v>4</v>
      </c>
      <c r="G2082" t="str">
        <f>IFERROR(__xludf.DUMMYFUNCTION("""COMPUTED_VALUE"""),"Sabun batang 1 Box ( 2 PCS )")</f>
        <v>Sabun batang 1 Box ( 2 PCS )</v>
      </c>
      <c r="H2082" s="469"/>
      <c r="I2082" s="470"/>
      <c r="J2082" s="471" t="str">
        <f>IFERROR(__xludf.DUMMYFUNCTION("""COMPUTED_VALUE"""),"https://www.tiktok.com/@itsmechaaa_02/video/7619185703586417940?_r=1&amp;u_code=d94j25l8j9c8l3&amp;region=&amp;mid=7617716334930955028&amp;preview_pb=0&amp;sharer_language=&amp;_d=0&amp;ec_shared_reflux_dynamic_params=%7B%22placeholder_material_id%22%3A%227619185703586417940%22%2C%2"&amp;"2placeholder_origin_cover%22%3A%22https%253A%252F%252Fp19-common-sign.tiktokcdn.com%252Ftos-alisg-p-0037%252FoUIABBGvJABiz8aEaAzDbBv8yXiIDRLYD6Puo~tplv-tiktokx-origin.jpeg%253Fdr%253D14572%2526refresh_token%253Dcc5e5193%2526x-expires%253D1809507600%2526x-"&amp;"signature%253D1wO8%25252F9hsoVy85TrEXhb02mpyRMk%25253D%2526t%253D4d5b0474%2526ps%253D13740610%2526shp%253Dd05b14bd%2526shcp%253D34ff8df6%2526idc%253Dmy%2526s%253DTIKTOK_AFFILIATE_VIRAL_VIDEO%22%2C%22placeholder_product_id%22%3A%221729427766722726591%22%2C"&amp;"%22placeholder_video_id%22%3A%227619185703586417940%22%7D&amp;ec_shared_reflux_scene=shop_tab_feed&amp;share_item_id=7619185703586417940&amp;source=h5_t")</f>
        <v>https://www.tiktok.com/@itsmechaaa_02/video/7619185703586417940?_r=1&amp;u_code=d94j25l8j9c8l3&amp;region=&amp;mid=7617716334930955028&amp;preview_pb=0&amp;sharer_language=&amp;_d=0&amp;ec_shared_reflux_dynamic_params=%7B%22placeholder_material_id%22%3A%227619185703586417940%22%2C%22placeholder_origin_cover%22%3A%22https%253A%252F%252Fp19-common-sign.tiktokcdn.com%252Ftos-alisg-p-0037%252FoUIABBGvJABiz8aEaAzDbBv8yXiIDRLYD6Puo~tplv-tiktokx-origin.jpeg%253Fdr%253D14572%2526refresh_token%253Dcc5e5193%2526x-expires%253D1809507600%2526x-signature%253D1wO8%25252F9hsoVy85TrEXhb02mpyRMk%25253D%2526t%253D4d5b0474%2526ps%253D13740610%2526shp%253Dd05b14bd%2526shcp%253D34ff8df6%2526idc%253Dmy%2526s%253DTIKTOK_AFFILIATE_VIRAL_VIDEO%22%2C%22placeholder_product_id%22%3A%221729427766722726591%22%2C%22placeholder_video_id%22%3A%227619185703586417940%22%7D&amp;ec_shared_reflux_scene=shop_tab_feed&amp;share_item_id=7619185703586417940&amp;source=h5_t</v>
      </c>
      <c r="K2082" s="470"/>
      <c r="L2082" s="471" t="str">
        <f>IFERROR(__xludf.DUMMYFUNCTION("""COMPUTED_VALUE"""),"https://vt.tiktok.com/ZSx5AvnU3/")</f>
        <v>https://vt.tiktok.com/ZSx5AvnU3/</v>
      </c>
      <c r="M2082" s="470"/>
      <c r="N2082" s="471" t="str">
        <f>IFERROR(__xludf.DUMMYFUNCTION("""COMPUTED_VALUE"""),"https://vt.tiktok.com/ZSx5A3qYQ/")</f>
        <v>https://vt.tiktok.com/ZSx5A3qYQ/</v>
      </c>
      <c r="O2082" s="470"/>
      <c r="P2082" s="471" t="str">
        <f>IFERROR(__xludf.DUMMYFUNCTION("""COMPUTED_VALUE"""),"https://vt.tiktok.com/ZSx5DdStX/")</f>
        <v>https://vt.tiktok.com/ZSx5DdStX/</v>
      </c>
    </row>
    <row r="2083">
      <c r="A2083" s="282" t="str">
        <f>IFERROR(__xludf.DUMMYFUNCTION("""COMPUTED_VALUE"""),"MICRO")</f>
        <v>MICRO</v>
      </c>
      <c r="B2083" s="468" t="str">
        <f>IFERROR(__xludf.DUMMYFUNCTION("""COMPUTED_VALUE"""),"mindie230398")</f>
        <v>mindie230398</v>
      </c>
      <c r="C2083" s="283" t="str">
        <f>IFERROR(__xludf.DUMMYFUNCTION("""COMPUTED_VALUE"""),"https://www.tiktok.com/@mindie230398")</f>
        <v>https://www.tiktok.com/@mindie230398</v>
      </c>
      <c r="D2083" s="273">
        <f>IFERROR(__xludf.DUMMYFUNCTION("""COMPUTED_VALUE"""),8.1335658638E10)</f>
        <v>81335658638</v>
      </c>
      <c r="E2083" s="458">
        <f>IFERROR(__xludf.DUMMYFUNCTION("""COMPUTED_VALUE"""),0.0)</f>
        <v>0</v>
      </c>
      <c r="F2083" s="273">
        <f>IFERROR(__xludf.DUMMYFUNCTION("""COMPUTED_VALUE"""),4.0)</f>
        <v>4</v>
      </c>
      <c r="G2083" t="str">
        <f>IFERROR(__xludf.DUMMYFUNCTION("""COMPUTED_VALUE"""),"Sabun batang 1 Box ( 2 PCS )")</f>
        <v>Sabun batang 1 Box ( 2 PCS )</v>
      </c>
      <c r="H2083" s="469"/>
      <c r="I2083" s="470"/>
      <c r="J2083" s="471" t="str">
        <f>IFERROR(__xludf.DUMMYFUNCTION("""COMPUTED_VALUE"""),"https://www.tiktok.com/@itsmechaaa_02/video/7619185703586417940?_r=1&amp;u_code=d94j25l8j9c8l3&amp;region=&amp;mid=7617716334930955028&amp;preview_pb=0&amp;sharer_language=&amp;_d=0&amp;ec_shared_reflux_dynamic_params=%7B%22placeholder_material_id%22%3A%227619185703586417940%22%2C%2"&amp;"2placeholder_origin_cover%22%3A%22https%253A%252F%252Fp19-common-sign.tiktokcdn.com%252Ftos-alisg-p-0037%252FoUIABBGvJABiz8aEaAzDbBv8yXiIDRLYD6Puo~tplv-tiktokx-origin.jpeg%253Fdr%253D14572%2526refresh_token%253Dcc5e5193%2526x-expires%253D1809507600%2526x-"&amp;"signature%253D1wO8%25252F9hsoVy85TrEXhb02mpyRMk%25253D%2526t%253D4d5b0474%2526ps%253D13740610%2526shp%253Dd05b14bd%2526shcp%253D34ff8df6%2526idc%253Dmy%2526s%253DTIKTOK_AFFILIATE_VIRAL_VIDEO%22%2C%22placeholder_product_id%22%3A%221729427766722726591%22%2C"&amp;"%22placeholder_video_id%22%3A%227619185703586417940%22%7D&amp;ec_shared_reflux_scene=shop_tab_feed&amp;share_item_id=7619185703586417940&amp;source=h5_t")</f>
        <v>https://www.tiktok.com/@itsmechaaa_02/video/7619185703586417940?_r=1&amp;u_code=d94j25l8j9c8l3&amp;region=&amp;mid=7617716334930955028&amp;preview_pb=0&amp;sharer_language=&amp;_d=0&amp;ec_shared_reflux_dynamic_params=%7B%22placeholder_material_id%22%3A%227619185703586417940%22%2C%22placeholder_origin_cover%22%3A%22https%253A%252F%252Fp19-common-sign.tiktokcdn.com%252Ftos-alisg-p-0037%252FoUIABBGvJABiz8aEaAzDbBv8yXiIDRLYD6Puo~tplv-tiktokx-origin.jpeg%253Fdr%253D14572%2526refresh_token%253Dcc5e5193%2526x-expires%253D1809507600%2526x-signature%253D1wO8%25252F9hsoVy85TrEXhb02mpyRMk%25253D%2526t%253D4d5b0474%2526ps%253D13740610%2526shp%253Dd05b14bd%2526shcp%253D34ff8df6%2526idc%253Dmy%2526s%253DTIKTOK_AFFILIATE_VIRAL_VIDEO%22%2C%22placeholder_product_id%22%3A%221729427766722726591%22%2C%22placeholder_video_id%22%3A%227619185703586417940%22%7D&amp;ec_shared_reflux_scene=shop_tab_feed&amp;share_item_id=7619185703586417940&amp;source=h5_t</v>
      </c>
      <c r="K2083" s="470"/>
      <c r="L2083" s="471" t="str">
        <f>IFERROR(__xludf.DUMMYFUNCTION("""COMPUTED_VALUE"""),"https://vt.tiktok.com/ZSx5AvnU3/")</f>
        <v>https://vt.tiktok.com/ZSx5AvnU3/</v>
      </c>
      <c r="M2083" s="470"/>
      <c r="N2083" s="471" t="str">
        <f>IFERROR(__xludf.DUMMYFUNCTION("""COMPUTED_VALUE"""),"https://vt.tiktok.com/ZSx5A3qYQ/")</f>
        <v>https://vt.tiktok.com/ZSx5A3qYQ/</v>
      </c>
      <c r="O2083" s="470"/>
      <c r="P2083" s="471" t="str">
        <f>IFERROR(__xludf.DUMMYFUNCTION("""COMPUTED_VALUE"""),"https://vt.tiktok.com/ZSx5DdStX/")</f>
        <v>https://vt.tiktok.com/ZSx5DdStX/</v>
      </c>
    </row>
    <row r="2084">
      <c r="A2084" s="282" t="str">
        <f>IFERROR(__xludf.DUMMYFUNCTION("""COMPUTED_VALUE"""),"MICRO")</f>
        <v>MICRO</v>
      </c>
      <c r="B2084" s="468" t="str">
        <f>IFERROR(__xludf.DUMMYFUNCTION("""COMPUTED_VALUE"""),"itsmechaaa_02")</f>
        <v>itsmechaaa_02</v>
      </c>
      <c r="C2084" s="283" t="str">
        <f>IFERROR(__xludf.DUMMYFUNCTION("""COMPUTED_VALUE"""),"https://www.tiktok.com/@itsmechaaa_02")</f>
        <v>https://www.tiktok.com/@itsmechaaa_02</v>
      </c>
      <c r="D2084" s="273"/>
      <c r="E2084" s="458">
        <f>IFERROR(__xludf.DUMMYFUNCTION("""COMPUTED_VALUE"""),0.0)</f>
        <v>0</v>
      </c>
      <c r="F2084" s="273">
        <f>IFERROR(__xludf.DUMMYFUNCTION("""COMPUTED_VALUE"""),4.0)</f>
        <v>4</v>
      </c>
      <c r="G2084" t="str">
        <f>IFERROR(__xludf.DUMMYFUNCTION("""COMPUTED_VALUE"""),"Sabun batang 1 Box ( 2 PCS )")</f>
        <v>Sabun batang 1 Box ( 2 PCS )</v>
      </c>
      <c r="H2084" s="469"/>
      <c r="I2084" s="470"/>
      <c r="J2084" s="471" t="str">
        <f>IFERROR(__xludf.DUMMYFUNCTION("""COMPUTED_VALUE"""),"https://www.tiktok.com/@itsmechaaa_02/video/7619185703586417940?_r=1&amp;u_code=d94j25l8j9c8l3&amp;region=&amp;mid=7617716334930955028&amp;preview_pb=0&amp;sharer_language=&amp;_d=0&amp;ec_shared_reflux_dynamic_params=%7B%22placeholder_material_id%22%3A%227619185703586417940%22%2C%2"&amp;"2placeholder_origin_cover%22%3A%22https%253A%252F%252Fp19-common-sign.tiktokcdn.com%252Ftos-alisg-p-0037%252FoUIABBGvJABiz8aEaAzDbBv8yXiIDRLYD6Puo~tplv-tiktokx-origin.jpeg%253Fdr%253D14572%2526refresh_token%253Dcc5e5193%2526x-expires%253D1809507600%2526x-"&amp;"signature%253D1wO8%25252F9hsoVy85TrEXhb02mpyRMk%25253D%2526t%253D4d5b0474%2526ps%253D13740610%2526shp%253Dd05b14bd%2526shcp%253D34ff8df6%2526idc%253Dmy%2526s%253DTIKTOK_AFFILIATE_VIRAL_VIDEO%22%2C%22placeholder_product_id%22%3A%221729427766722726591%22%2C"&amp;"%22placeholder_video_id%22%3A%227619185703586417940%22%7D&amp;ec_shared_reflux_scene=shop_tab_feed&amp;share_item_id=7619185703586417940&amp;source=h5_t")</f>
        <v>https://www.tiktok.com/@itsmechaaa_02/video/7619185703586417940?_r=1&amp;u_code=d94j25l8j9c8l3&amp;region=&amp;mid=7617716334930955028&amp;preview_pb=0&amp;sharer_language=&amp;_d=0&amp;ec_shared_reflux_dynamic_params=%7B%22placeholder_material_id%22%3A%227619185703586417940%22%2C%22placeholder_origin_cover%22%3A%22https%253A%252F%252Fp19-common-sign.tiktokcdn.com%252Ftos-alisg-p-0037%252FoUIABBGvJABiz8aEaAzDbBv8yXiIDRLYD6Puo~tplv-tiktokx-origin.jpeg%253Fdr%253D14572%2526refresh_token%253Dcc5e5193%2526x-expires%253D1809507600%2526x-signature%253D1wO8%25252F9hsoVy85TrEXhb02mpyRMk%25253D%2526t%253D4d5b0474%2526ps%253D13740610%2526shp%253Dd05b14bd%2526shcp%253D34ff8df6%2526idc%253Dmy%2526s%253DTIKTOK_AFFILIATE_VIRAL_VIDEO%22%2C%22placeholder_product_id%22%3A%221729427766722726591%22%2C%22placeholder_video_id%22%3A%227619185703586417940%22%7D&amp;ec_shared_reflux_scene=shop_tab_feed&amp;share_item_id=7619185703586417940&amp;source=h5_t</v>
      </c>
      <c r="K2084" s="470"/>
      <c r="L2084" s="471" t="str">
        <f>IFERROR(__xludf.DUMMYFUNCTION("""COMPUTED_VALUE"""),"https://vt.tiktok.com/ZSx5AvnU3/")</f>
        <v>https://vt.tiktok.com/ZSx5AvnU3/</v>
      </c>
      <c r="M2084" s="470"/>
      <c r="N2084" s="471" t="str">
        <f>IFERROR(__xludf.DUMMYFUNCTION("""COMPUTED_VALUE"""),"https://vt.tiktok.com/ZSx5A3qYQ/")</f>
        <v>https://vt.tiktok.com/ZSx5A3qYQ/</v>
      </c>
      <c r="O2084" s="470"/>
      <c r="P2084" s="471" t="str">
        <f>IFERROR(__xludf.DUMMYFUNCTION("""COMPUTED_VALUE"""),"https://vt.tiktok.com/ZSx5DdStX/")</f>
        <v>https://vt.tiktok.com/ZSx5DdStX/</v>
      </c>
    </row>
    <row r="2085">
      <c r="A2085" s="282" t="str">
        <f>IFERROR(__xludf.DUMMYFUNCTION("""COMPUTED_VALUE"""),"MICRO")</f>
        <v>MICRO</v>
      </c>
      <c r="B2085" s="468" t="str">
        <f>IFERROR(__xludf.DUMMYFUNCTION("""COMPUTED_VALUE"""),"kutilang067")</f>
        <v>kutilang067</v>
      </c>
      <c r="C2085" s="283" t="str">
        <f>IFERROR(__xludf.DUMMYFUNCTION("""COMPUTED_VALUE"""),"https://www.tiktok.com/@kutilang067")</f>
        <v>https://www.tiktok.com/@kutilang067</v>
      </c>
      <c r="D2085" s="273">
        <f>IFERROR(__xludf.DUMMYFUNCTION("""COMPUTED_VALUE"""),8.5232659565E10)</f>
        <v>85232659565</v>
      </c>
      <c r="E2085" s="458">
        <f>IFERROR(__xludf.DUMMYFUNCTION("""COMPUTED_VALUE"""),0.0)</f>
        <v>0</v>
      </c>
      <c r="F2085" s="273">
        <f>IFERROR(__xludf.DUMMYFUNCTION("""COMPUTED_VALUE"""),4.0)</f>
        <v>4</v>
      </c>
      <c r="G2085" t="str">
        <f>IFERROR(__xludf.DUMMYFUNCTION("""COMPUTED_VALUE"""),"Sabun batang 1 Box ( 2 PCS )")</f>
        <v>Sabun batang 1 Box ( 2 PCS )</v>
      </c>
      <c r="H2085" s="469"/>
      <c r="I2085" s="470"/>
      <c r="J2085" s="471" t="str">
        <f>IFERROR(__xludf.DUMMYFUNCTION("""COMPUTED_VALUE"""),"https://vt.tiktok.com/ZSxH11WkV/")</f>
        <v>https://vt.tiktok.com/ZSxH11WkV/</v>
      </c>
      <c r="K2085" s="470"/>
      <c r="L2085" s="471" t="str">
        <f>IFERROR(__xludf.DUMMYFUNCTION("""COMPUTED_VALUE"""),"https://vt.tiktok.com/ZSxH1BvWM/")</f>
        <v>https://vt.tiktok.com/ZSxH1BvWM/</v>
      </c>
      <c r="M2085" s="470"/>
      <c r="N2085" s="471" t="str">
        <f>IFERROR(__xludf.DUMMYFUNCTION("""COMPUTED_VALUE"""),"https://vt.tiktok.com/ZSxH1Men5/")</f>
        <v>https://vt.tiktok.com/ZSxH1Men5/</v>
      </c>
      <c r="O2085" s="470"/>
      <c r="P2085" s="471" t="str">
        <f>IFERROR(__xludf.DUMMYFUNCTION("""COMPUTED_VALUE"""),"https://vt.tiktok.com/ZSxH1h1MK/")</f>
        <v>https://vt.tiktok.com/ZSxH1h1MK/</v>
      </c>
    </row>
    <row r="2086">
      <c r="A2086" s="282" t="str">
        <f>IFERROR(__xludf.DUMMYFUNCTION("""COMPUTED_VALUE"""),"MICRO")</f>
        <v>MICRO</v>
      </c>
      <c r="B2086" s="468" t="str">
        <f>IFERROR(__xludf.DUMMYFUNCTION("""COMPUTED_VALUE"""),"karmila_nia")</f>
        <v>karmila_nia</v>
      </c>
      <c r="C2086" s="283" t="str">
        <f>IFERROR(__xludf.DUMMYFUNCTION("""COMPUTED_VALUE"""),"https://www.tiktok.com/@karmila_nia")</f>
        <v>https://www.tiktok.com/@karmila_nia</v>
      </c>
      <c r="D2086" s="273">
        <f>IFERROR(__xludf.DUMMYFUNCTION("""COMPUTED_VALUE"""),8.7868790574E10)</f>
        <v>87868790574</v>
      </c>
      <c r="E2086" s="458">
        <f>IFERROR(__xludf.DUMMYFUNCTION("""COMPUTED_VALUE"""),0.0)</f>
        <v>0</v>
      </c>
      <c r="F2086" s="273">
        <f>IFERROR(__xludf.DUMMYFUNCTION("""COMPUTED_VALUE"""),4.0)</f>
        <v>4</v>
      </c>
      <c r="G2086" t="str">
        <f>IFERROR(__xludf.DUMMYFUNCTION("""COMPUTED_VALUE"""),"Sabun batang 1 Box ( 2 PCS )")</f>
        <v>Sabun batang 1 Box ( 2 PCS )</v>
      </c>
      <c r="H2086" s="469"/>
      <c r="I2086" s="470"/>
      <c r="J2086" s="471" t="str">
        <f>IFERROR(__xludf.DUMMYFUNCTION("""COMPUTED_VALUE"""),"https://vt.tiktok.com/ZSxH11WkV/")</f>
        <v>https://vt.tiktok.com/ZSxH11WkV/</v>
      </c>
      <c r="K2086" s="470"/>
      <c r="L2086" s="471" t="str">
        <f>IFERROR(__xludf.DUMMYFUNCTION("""COMPUTED_VALUE"""),"https://vt.tiktok.com/ZSxH1BvWM/")</f>
        <v>https://vt.tiktok.com/ZSxH1BvWM/</v>
      </c>
      <c r="M2086" s="470"/>
      <c r="N2086" s="471" t="str">
        <f>IFERROR(__xludf.DUMMYFUNCTION("""COMPUTED_VALUE"""),"https://vt.tiktok.com/ZSxH1Men5/")</f>
        <v>https://vt.tiktok.com/ZSxH1Men5/</v>
      </c>
      <c r="O2086" s="470"/>
      <c r="P2086" s="471" t="str">
        <f>IFERROR(__xludf.DUMMYFUNCTION("""COMPUTED_VALUE"""),"https://vt.tiktok.com/ZSxH1h1MK/")</f>
        <v>https://vt.tiktok.com/ZSxH1h1MK/</v>
      </c>
    </row>
    <row r="2087">
      <c r="A2087" s="282" t="str">
        <f>IFERROR(__xludf.DUMMYFUNCTION("""COMPUTED_VALUE"""),"MICRO")</f>
        <v>MICRO</v>
      </c>
      <c r="B2087" s="468" t="str">
        <f>IFERROR(__xludf.DUMMYFUNCTION("""COMPUTED_VALUE"""),"lindalin99")</f>
        <v>lindalin99</v>
      </c>
      <c r="C2087" s="283" t="str">
        <f>IFERROR(__xludf.DUMMYFUNCTION("""COMPUTED_VALUE"""),"https://www.tiktok.com/@lindalin99")</f>
        <v>https://www.tiktok.com/@lindalin99</v>
      </c>
      <c r="D2087" s="273">
        <f>IFERROR(__xludf.DUMMYFUNCTION("""COMPUTED_VALUE"""),8.2386780288E10)</f>
        <v>82386780288</v>
      </c>
      <c r="E2087" s="458">
        <f>IFERROR(__xludf.DUMMYFUNCTION("""COMPUTED_VALUE"""),250000.0)</f>
        <v>250000</v>
      </c>
      <c r="F2087" s="273">
        <f>IFERROR(__xludf.DUMMYFUNCTION("""COMPUTED_VALUE"""),4.0)</f>
        <v>4</v>
      </c>
      <c r="G2087" t="str">
        <f>IFERROR(__xludf.DUMMYFUNCTION("""COMPUTED_VALUE"""),"Sabun batang 1 Box ( 2 PCS )")</f>
        <v>Sabun batang 1 Box ( 2 PCS )</v>
      </c>
      <c r="H2087" s="469"/>
      <c r="I2087" s="470"/>
      <c r="J2087" s="471" t="str">
        <f>IFERROR(__xludf.DUMMYFUNCTION("""COMPUTED_VALUE"""),"https://vt.tiktok.com/ZSxH11WkV/")</f>
        <v>https://vt.tiktok.com/ZSxH11WkV/</v>
      </c>
      <c r="K2087" s="470"/>
      <c r="L2087" s="471" t="str">
        <f>IFERROR(__xludf.DUMMYFUNCTION("""COMPUTED_VALUE"""),"https://vt.tiktok.com/ZSxH1BvWM/")</f>
        <v>https://vt.tiktok.com/ZSxH1BvWM/</v>
      </c>
      <c r="M2087" s="470"/>
      <c r="N2087" s="471" t="str">
        <f>IFERROR(__xludf.DUMMYFUNCTION("""COMPUTED_VALUE"""),"https://vt.tiktok.com/ZSxH1Men5/")</f>
        <v>https://vt.tiktok.com/ZSxH1Men5/</v>
      </c>
      <c r="O2087" s="470"/>
      <c r="P2087" s="471" t="str">
        <f>IFERROR(__xludf.DUMMYFUNCTION("""COMPUTED_VALUE"""),"https://vt.tiktok.com/ZSxH1h1MK/")</f>
        <v>https://vt.tiktok.com/ZSxH1h1MK/</v>
      </c>
    </row>
    <row r="2088">
      <c r="A2088" s="282" t="str">
        <f>IFERROR(__xludf.DUMMYFUNCTION("""COMPUTED_VALUE"""),"MICRO")</f>
        <v>MICRO</v>
      </c>
      <c r="B2088" s="468" t="str">
        <f>IFERROR(__xludf.DUMMYFUNCTION("""COMPUTED_VALUE"""),"Lindapurnama.s")</f>
        <v>Lindapurnama.s</v>
      </c>
      <c r="C2088" s="283" t="str">
        <f>IFERROR(__xludf.DUMMYFUNCTION("""COMPUTED_VALUE"""),"https://www.tiktok.com/@Lindapurnama.s")</f>
        <v>https://www.tiktok.com/@Lindapurnama.s</v>
      </c>
      <c r="D2088" s="273"/>
      <c r="E2088" s="458"/>
      <c r="F2088" s="273"/>
      <c r="G2088" t="str">
        <f>IFERROR(__xludf.DUMMYFUNCTION("""COMPUTED_VALUE"""),"Sabun batang 1 Box ( 2 PCS )")</f>
        <v>Sabun batang 1 Box ( 2 PCS )</v>
      </c>
      <c r="H2088" s="469"/>
      <c r="I2088" s="470"/>
      <c r="K2088" s="470"/>
      <c r="M2088" s="470"/>
      <c r="O2088" s="470"/>
    </row>
    <row r="2089">
      <c r="A2089" s="282" t="str">
        <f>IFERROR(__xludf.DUMMYFUNCTION("""COMPUTED_VALUE"""),"MICRO")</f>
        <v>MICRO</v>
      </c>
      <c r="B2089" s="468" t="str">
        <f>IFERROR(__xludf.DUMMYFUNCTION("""COMPUTED_VALUE"""),"yurialendaaa")</f>
        <v>yurialendaaa</v>
      </c>
      <c r="C2089" s="283" t="str">
        <f>IFERROR(__xludf.DUMMYFUNCTION("""COMPUTED_VALUE"""),"https://www.tiktok.com/@yurialendaaa")</f>
        <v>https://www.tiktok.com/@yurialendaaa</v>
      </c>
      <c r="D2089" s="273">
        <f>IFERROR(__xludf.DUMMYFUNCTION("""COMPUTED_VALUE"""),8.1394497878E10)</f>
        <v>81394497878</v>
      </c>
      <c r="E2089" s="458">
        <f>IFERROR(__xludf.DUMMYFUNCTION("""COMPUTED_VALUE"""),0.0)</f>
        <v>0</v>
      </c>
      <c r="F2089" s="273">
        <f>IFERROR(__xludf.DUMMYFUNCTION("""COMPUTED_VALUE"""),3.0)</f>
        <v>3</v>
      </c>
      <c r="G2089" t="str">
        <f>IFERROR(__xludf.DUMMYFUNCTION("""COMPUTED_VALUE"""),"Sabun batang 1 Box ( 2 PCS )")</f>
        <v>Sabun batang 1 Box ( 2 PCS )</v>
      </c>
      <c r="H2089" s="469"/>
      <c r="I2089" s="470"/>
      <c r="K2089" s="470"/>
      <c r="M2089" s="470"/>
      <c r="O2089" s="470"/>
    </row>
    <row r="2090">
      <c r="A2090" s="282" t="str">
        <f>IFERROR(__xludf.DUMMYFUNCTION("""COMPUTED_VALUE"""),"MICRO")</f>
        <v>MICRO</v>
      </c>
      <c r="B2090" s="468" t="str">
        <f>IFERROR(__xludf.DUMMYFUNCTION("""COMPUTED_VALUE"""),"indriminyo")</f>
        <v>indriminyo</v>
      </c>
      <c r="C2090" s="283" t="str">
        <f>IFERROR(__xludf.DUMMYFUNCTION("""COMPUTED_VALUE"""),"https://www.tiktok.com/@indriminyo")</f>
        <v>https://www.tiktok.com/@indriminyo</v>
      </c>
      <c r="D2090" s="273">
        <f>IFERROR(__xludf.DUMMYFUNCTION("""COMPUTED_VALUE"""),8.2211778525E10)</f>
        <v>82211778525</v>
      </c>
      <c r="E2090" s="458">
        <f>IFERROR(__xludf.DUMMYFUNCTION("""COMPUTED_VALUE"""),0.0)</f>
        <v>0</v>
      </c>
      <c r="F2090" s="273">
        <f>IFERROR(__xludf.DUMMYFUNCTION("""COMPUTED_VALUE"""),3.0)</f>
        <v>3</v>
      </c>
      <c r="G2090" t="str">
        <f>IFERROR(__xludf.DUMMYFUNCTION("""COMPUTED_VALUE"""),"Sabun batang 1 Box ( 2 PCS )")</f>
        <v>Sabun batang 1 Box ( 2 PCS )</v>
      </c>
      <c r="H2090" s="469"/>
      <c r="I2090" s="470"/>
      <c r="K2090" s="470"/>
      <c r="M2090" s="470"/>
      <c r="O2090" s="470"/>
    </row>
    <row r="2091">
      <c r="A2091" s="282" t="str">
        <f>IFERROR(__xludf.DUMMYFUNCTION("""COMPUTED_VALUE"""),"MICRO")</f>
        <v>MICRO</v>
      </c>
      <c r="B2091" s="468" t="str">
        <f>IFERROR(__xludf.DUMMYFUNCTION("""COMPUTED_VALUE"""),"queenvictorique")</f>
        <v>queenvictorique</v>
      </c>
      <c r="C2091" s="283" t="str">
        <f>IFERROR(__xludf.DUMMYFUNCTION("""COMPUTED_VALUE"""),"https://www.tiktok.com/@queenvictorique")</f>
        <v>https://www.tiktok.com/@queenvictorique</v>
      </c>
      <c r="D2091" s="273">
        <f>IFERROR(__xludf.DUMMYFUNCTION("""COMPUTED_VALUE"""),8.1295702741E10)</f>
        <v>81295702741</v>
      </c>
      <c r="E2091" s="458">
        <f>IFERROR(__xludf.DUMMYFUNCTION("""COMPUTED_VALUE"""),0.0)</f>
        <v>0</v>
      </c>
      <c r="F2091" s="273">
        <f>IFERROR(__xludf.DUMMYFUNCTION("""COMPUTED_VALUE"""),3.0)</f>
        <v>3</v>
      </c>
      <c r="G2091" t="str">
        <f>IFERROR(__xludf.DUMMYFUNCTION("""COMPUTED_VALUE"""),"Sabun batang 1 Box ( 2 PCS )")</f>
        <v>Sabun batang 1 Box ( 2 PCS )</v>
      </c>
      <c r="H2091" s="469"/>
      <c r="I2091" s="470"/>
      <c r="K2091" s="470"/>
      <c r="M2091" s="470"/>
      <c r="O2091" s="470"/>
    </row>
    <row r="2092">
      <c r="A2092" s="282" t="str">
        <f>IFERROR(__xludf.DUMMYFUNCTION("""COMPUTED_VALUE"""),"MICRO")</f>
        <v>MICRO</v>
      </c>
      <c r="B2092" s="468" t="str">
        <f>IFERROR(__xludf.DUMMYFUNCTION("""COMPUTED_VALUE"""),"deabeautyy")</f>
        <v>deabeautyy</v>
      </c>
      <c r="C2092" s="283" t="str">
        <f>IFERROR(__xludf.DUMMYFUNCTION("""COMPUTED_VALUE"""),"https://www.tiktok.com/@deabeautyy")</f>
        <v>https://www.tiktok.com/@deabeautyy</v>
      </c>
      <c r="D2092" s="273">
        <f>IFERROR(__xludf.DUMMYFUNCTION("""COMPUTED_VALUE"""),8.3819988417E10)</f>
        <v>83819988417</v>
      </c>
      <c r="E2092" s="458">
        <f>IFERROR(__xludf.DUMMYFUNCTION("""COMPUTED_VALUE"""),0.0)</f>
        <v>0</v>
      </c>
      <c r="F2092" s="273">
        <f>IFERROR(__xludf.DUMMYFUNCTION("""COMPUTED_VALUE"""),3.0)</f>
        <v>3</v>
      </c>
      <c r="G2092" t="str">
        <f>IFERROR(__xludf.DUMMYFUNCTION("""COMPUTED_VALUE"""),"Sabun batang 1 Box ( 2 PCS )")</f>
        <v>Sabun batang 1 Box ( 2 PCS )</v>
      </c>
      <c r="H2092" s="469"/>
      <c r="I2092" s="470"/>
      <c r="K2092" s="470"/>
      <c r="M2092" s="470"/>
      <c r="O2092" s="470"/>
    </row>
    <row r="2093">
      <c r="A2093" s="282" t="str">
        <f>IFERROR(__xludf.DUMMYFUNCTION("""COMPUTED_VALUE"""),"MICRO")</f>
        <v>MICRO</v>
      </c>
      <c r="B2093" s="468" t="str">
        <f>IFERROR(__xludf.DUMMYFUNCTION("""COMPUTED_VALUE"""),"keyrena.yuki")</f>
        <v>keyrena.yuki</v>
      </c>
      <c r="C2093" s="283" t="str">
        <f>IFERROR(__xludf.DUMMYFUNCTION("""COMPUTED_VALUE"""),"https://www.tiktok.com/@keyrena.yuki")</f>
        <v>https://www.tiktok.com/@keyrena.yuki</v>
      </c>
      <c r="D2093" s="273">
        <f>IFERROR(__xludf.DUMMYFUNCTION("""COMPUTED_VALUE"""),8.2278450594E10)</f>
        <v>82278450594</v>
      </c>
      <c r="E2093" s="458">
        <f>IFERROR(__xludf.DUMMYFUNCTION("""COMPUTED_VALUE"""),0.0)</f>
        <v>0</v>
      </c>
      <c r="F2093" s="273">
        <f>IFERROR(__xludf.DUMMYFUNCTION("""COMPUTED_VALUE"""),4.0)</f>
        <v>4</v>
      </c>
      <c r="G2093" t="str">
        <f>IFERROR(__xludf.DUMMYFUNCTION("""COMPUTED_VALUE"""),"Sabun batang 1 Box ( 2 PCS )")</f>
        <v>Sabun batang 1 Box ( 2 PCS )</v>
      </c>
      <c r="H2093" s="469"/>
      <c r="I2093" s="470"/>
      <c r="J2093" s="471" t="str">
        <f>IFERROR(__xludf.DUMMYFUNCTION("""COMPUTED_VALUE"""),"https://www.tiktok.com/@keyrena.yuki/video/7611018815031282964")</f>
        <v>https://www.tiktok.com/@keyrena.yuki/video/7611018815031282964</v>
      </c>
      <c r="K2093" s="470"/>
      <c r="M2093" s="470"/>
      <c r="O2093" s="470"/>
    </row>
    <row r="2094">
      <c r="A2094" s="282" t="str">
        <f>IFERROR(__xludf.DUMMYFUNCTION("""COMPUTED_VALUE"""),"MICRO")</f>
        <v>MICRO</v>
      </c>
      <c r="B2094" s="468" t="str">
        <f>IFERROR(__xludf.DUMMYFUNCTION("""COMPUTED_VALUE"""),"naylanayla_yh1")</f>
        <v>naylanayla_yh1</v>
      </c>
      <c r="C2094" s="283" t="str">
        <f>IFERROR(__xludf.DUMMYFUNCTION("""COMPUTED_VALUE"""),"https://www.tiktok.com/@naylanayla_yh1")</f>
        <v>https://www.tiktok.com/@naylanayla_yh1</v>
      </c>
      <c r="D2094" s="273">
        <f>IFERROR(__xludf.DUMMYFUNCTION("""COMPUTED_VALUE"""),8.385711493E10)</f>
        <v>83857114930</v>
      </c>
      <c r="E2094" s="458">
        <f>IFERROR(__xludf.DUMMYFUNCTION("""COMPUTED_VALUE"""),0.0)</f>
        <v>0</v>
      </c>
      <c r="F2094" s="273">
        <f>IFERROR(__xludf.DUMMYFUNCTION("""COMPUTED_VALUE"""),4.0)</f>
        <v>4</v>
      </c>
      <c r="G2094" t="str">
        <f>IFERROR(__xludf.DUMMYFUNCTION("""COMPUTED_VALUE"""),"Sabun batang 1 Box ( 2 PCS )")</f>
        <v>Sabun batang 1 Box ( 2 PCS )</v>
      </c>
      <c r="H2094" s="469"/>
      <c r="I2094" s="470"/>
      <c r="K2094" s="470"/>
      <c r="M2094" s="470"/>
      <c r="O2094" s="470"/>
    </row>
    <row r="2095">
      <c r="A2095" s="282" t="str">
        <f>IFERROR(__xludf.DUMMYFUNCTION("""COMPUTED_VALUE"""),"MICRO")</f>
        <v>MICRO</v>
      </c>
      <c r="B2095" s="468" t="str">
        <f>IFERROR(__xludf.DUMMYFUNCTION("""COMPUTED_VALUE"""),"mamaceo21 ")</f>
        <v>mamaceo21 </v>
      </c>
      <c r="C2095" s="283" t="str">
        <f>IFERROR(__xludf.DUMMYFUNCTION("""COMPUTED_VALUE"""),"https://www.tiktok.com/@mamaceo21 ")</f>
        <v>https://www.tiktok.com/@mamaceo21 </v>
      </c>
      <c r="D2095" s="273">
        <f>IFERROR(__xludf.DUMMYFUNCTION("""COMPUTED_VALUE"""),8.95703960674E11)</f>
        <v>895703960674</v>
      </c>
      <c r="E2095" s="458">
        <f>IFERROR(__xludf.DUMMYFUNCTION("""COMPUTED_VALUE"""),0.0)</f>
        <v>0</v>
      </c>
      <c r="F2095" s="273">
        <f>IFERROR(__xludf.DUMMYFUNCTION("""COMPUTED_VALUE"""),4.0)</f>
        <v>4</v>
      </c>
      <c r="G2095" t="str">
        <f>IFERROR(__xludf.DUMMYFUNCTION("""COMPUTED_VALUE"""),"Sabun batang 1 Box ( 2 PCS )")</f>
        <v>Sabun batang 1 Box ( 2 PCS )</v>
      </c>
      <c r="H2095" s="469"/>
      <c r="I2095" s="470"/>
      <c r="K2095" s="470"/>
      <c r="M2095" s="470"/>
      <c r="O2095" s="470"/>
    </row>
    <row r="2096">
      <c r="A2096" s="282" t="str">
        <f>IFERROR(__xludf.DUMMYFUNCTION("""COMPUTED_VALUE"""),"MICRO")</f>
        <v>MICRO</v>
      </c>
      <c r="B2096" s="468" t="str">
        <f>IFERROR(__xludf.DUMMYFUNCTION("""COMPUTED_VALUE"""),"aqilleoo06")</f>
        <v>aqilleoo06</v>
      </c>
      <c r="C2096" s="283" t="str">
        <f>IFERROR(__xludf.DUMMYFUNCTION("""COMPUTED_VALUE"""),"https://www.tiktok.com/@aqilleoo06")</f>
        <v>https://www.tiktok.com/@aqilleoo06</v>
      </c>
      <c r="D2096" s="273">
        <f>IFERROR(__xludf.DUMMYFUNCTION("""COMPUTED_VALUE"""),8.2132042881E10)</f>
        <v>82132042881</v>
      </c>
      <c r="E2096" s="458">
        <f>IFERROR(__xludf.DUMMYFUNCTION("""COMPUTED_VALUE"""),0.0)</f>
        <v>0</v>
      </c>
      <c r="F2096" s="273">
        <f>IFERROR(__xludf.DUMMYFUNCTION("""COMPUTED_VALUE"""),4.0)</f>
        <v>4</v>
      </c>
      <c r="G2096" t="str">
        <f>IFERROR(__xludf.DUMMYFUNCTION("""COMPUTED_VALUE"""),"Sabun batang 1 Box ( 2 PCS )")</f>
        <v>Sabun batang 1 Box ( 2 PCS )</v>
      </c>
      <c r="H2096" s="469"/>
      <c r="I2096" s="470"/>
      <c r="K2096" s="470"/>
      <c r="M2096" s="470"/>
      <c r="O2096" s="470"/>
    </row>
    <row r="2097">
      <c r="A2097" s="282" t="str">
        <f>IFERROR(__xludf.DUMMYFUNCTION("""COMPUTED_VALUE"""),"MICRO")</f>
        <v>MICRO</v>
      </c>
      <c r="B2097" s="468" t="str">
        <f>IFERROR(__xludf.DUMMYFUNCTION("""COMPUTED_VALUE"""),"rimaarbi_")</f>
        <v>rimaarbi_</v>
      </c>
      <c r="C2097" s="283" t="str">
        <f>IFERROR(__xludf.DUMMYFUNCTION("""COMPUTED_VALUE"""),"https://www.tiktok.com/@rimaarbi_")</f>
        <v>https://www.tiktok.com/@rimaarbi_</v>
      </c>
      <c r="D2097" s="273">
        <f>IFERROR(__xludf.DUMMYFUNCTION("""COMPUTED_VALUE"""),8.7868757362E10)</f>
        <v>87868757362</v>
      </c>
      <c r="E2097" s="458">
        <f>IFERROR(__xludf.DUMMYFUNCTION("""COMPUTED_VALUE"""),0.0)</f>
        <v>0</v>
      </c>
      <c r="F2097" s="273">
        <f>IFERROR(__xludf.DUMMYFUNCTION("""COMPUTED_VALUE"""),4.0)</f>
        <v>4</v>
      </c>
      <c r="G2097" t="str">
        <f>IFERROR(__xludf.DUMMYFUNCTION("""COMPUTED_VALUE"""),"Sabun batang 1 Box ( 2 PCS )")</f>
        <v>Sabun batang 1 Box ( 2 PCS )</v>
      </c>
      <c r="H2097" s="469"/>
      <c r="I2097" s="470"/>
      <c r="K2097" s="470"/>
      <c r="M2097" s="470"/>
      <c r="O2097" s="470"/>
    </row>
    <row r="2098">
      <c r="A2098" s="282" t="str">
        <f>IFERROR(__xludf.DUMMYFUNCTION("""COMPUTED_VALUE"""),"MICRO")</f>
        <v>MICRO</v>
      </c>
      <c r="B2098" s="468" t="str">
        <f>IFERROR(__xludf.DUMMYFUNCTION("""COMPUTED_VALUE"""),"ayukarina05")</f>
        <v>ayukarina05</v>
      </c>
      <c r="C2098" s="283" t="str">
        <f>IFERROR(__xludf.DUMMYFUNCTION("""COMPUTED_VALUE"""),"https://www.tiktok.com/@ayukarina05")</f>
        <v>https://www.tiktok.com/@ayukarina05</v>
      </c>
      <c r="D2098" s="273">
        <f>IFERROR(__xludf.DUMMYFUNCTION("""COMPUTED_VALUE"""),8.5693241117E10)</f>
        <v>85693241117</v>
      </c>
      <c r="E2098" s="458">
        <f>IFERROR(__xludf.DUMMYFUNCTION("""COMPUTED_VALUE"""),0.0)</f>
        <v>0</v>
      </c>
      <c r="F2098" s="273">
        <f>IFERROR(__xludf.DUMMYFUNCTION("""COMPUTED_VALUE"""),4.0)</f>
        <v>4</v>
      </c>
      <c r="G2098" t="str">
        <f>IFERROR(__xludf.DUMMYFUNCTION("""COMPUTED_VALUE"""),"Sabun batang 1 Box ( 2 PCS )")</f>
        <v>Sabun batang 1 Box ( 2 PCS )</v>
      </c>
      <c r="H2098" s="469"/>
      <c r="I2098" s="470"/>
      <c r="K2098" s="470"/>
      <c r="M2098" s="470"/>
      <c r="O2098" s="470"/>
    </row>
    <row r="2099">
      <c r="A2099" s="282" t="str">
        <f>IFERROR(__xludf.DUMMYFUNCTION("""COMPUTED_VALUE"""),"MICRO")</f>
        <v>MICRO</v>
      </c>
      <c r="B2099" s="468" t="str">
        <f>IFERROR(__xludf.DUMMYFUNCTION("""COMPUTED_VALUE"""),"vioyapio")</f>
        <v>vioyapio</v>
      </c>
      <c r="C2099" s="283" t="str">
        <f>IFERROR(__xludf.DUMMYFUNCTION("""COMPUTED_VALUE"""),"https://www.tiktok.com/@vioyapio")</f>
        <v>https://www.tiktok.com/@vioyapio</v>
      </c>
      <c r="D2099" s="273">
        <f>IFERROR(__xludf.DUMMYFUNCTION("""COMPUTED_VALUE"""),8.5231663487E10)</f>
        <v>85231663487</v>
      </c>
      <c r="E2099" s="458">
        <f>IFERROR(__xludf.DUMMYFUNCTION("""COMPUTED_VALUE"""),0.0)</f>
        <v>0</v>
      </c>
      <c r="F2099" s="273">
        <f>IFERROR(__xludf.DUMMYFUNCTION("""COMPUTED_VALUE"""),4.0)</f>
        <v>4</v>
      </c>
      <c r="G2099" t="str">
        <f>IFERROR(__xludf.DUMMYFUNCTION("""COMPUTED_VALUE"""),"Sabun batang 1 Box ( 2 PCS )")</f>
        <v>Sabun batang 1 Box ( 2 PCS )</v>
      </c>
      <c r="H2099" s="469"/>
      <c r="I2099" s="470"/>
      <c r="K2099" s="470"/>
      <c r="M2099" s="470"/>
      <c r="O2099" s="470"/>
    </row>
    <row r="2100">
      <c r="A2100" s="282" t="str">
        <f>IFERROR(__xludf.DUMMYFUNCTION("""COMPUTED_VALUE"""),"MICRO")</f>
        <v>MICRO</v>
      </c>
      <c r="B2100" s="468" t="str">
        <f>IFERROR(__xludf.DUMMYFUNCTION("""COMPUTED_VALUE"""),"wulan.612")</f>
        <v>wulan.612</v>
      </c>
      <c r="C2100" s="283" t="str">
        <f>IFERROR(__xludf.DUMMYFUNCTION("""COMPUTED_VALUE"""),"https://www.tiktok.com/@wulan.612")</f>
        <v>https://www.tiktok.com/@wulan.612</v>
      </c>
      <c r="D2100" s="273">
        <f>IFERROR(__xludf.DUMMYFUNCTION("""COMPUTED_VALUE"""),8.9667872187E10)</f>
        <v>89667872187</v>
      </c>
      <c r="E2100" s="458">
        <f>IFERROR(__xludf.DUMMYFUNCTION("""COMPUTED_VALUE"""),0.0)</f>
        <v>0</v>
      </c>
      <c r="F2100" s="273">
        <f>IFERROR(__xludf.DUMMYFUNCTION("""COMPUTED_VALUE"""),4.0)</f>
        <v>4</v>
      </c>
      <c r="G2100" t="str">
        <f>IFERROR(__xludf.DUMMYFUNCTION("""COMPUTED_VALUE"""),"Sabun batang 1 Box ( 2 PCS )")</f>
        <v>Sabun batang 1 Box ( 2 PCS )</v>
      </c>
      <c r="H2100" s="469"/>
      <c r="I2100" s="470"/>
      <c r="K2100" s="470"/>
      <c r="M2100" s="470"/>
      <c r="O2100" s="470"/>
    </row>
    <row r="2101">
      <c r="A2101" s="282" t="str">
        <f>IFERROR(__xludf.DUMMYFUNCTION("""COMPUTED_VALUE"""),"MICRO")</f>
        <v>MICRO</v>
      </c>
      <c r="B2101" s="468" t="str">
        <f>IFERROR(__xludf.DUMMYFUNCTION("""COMPUTED_VALUE"""),"vanessa.inkspace")</f>
        <v>vanessa.inkspace</v>
      </c>
      <c r="C2101" s="283" t="str">
        <f>IFERROR(__xludf.DUMMYFUNCTION("""COMPUTED_VALUE"""),"https://www.tiktok.com/@vanessa.inkspace")</f>
        <v>https://www.tiktok.com/@vanessa.inkspace</v>
      </c>
      <c r="D2101" s="273">
        <f>IFERROR(__xludf.DUMMYFUNCTION("""COMPUTED_VALUE"""),8.1231793467E10)</f>
        <v>81231793467</v>
      </c>
      <c r="E2101" s="458">
        <f>IFERROR(__xludf.DUMMYFUNCTION("""COMPUTED_VALUE"""),0.0)</f>
        <v>0</v>
      </c>
      <c r="F2101" s="273">
        <f>IFERROR(__xludf.DUMMYFUNCTION("""COMPUTED_VALUE"""),4.0)</f>
        <v>4</v>
      </c>
      <c r="G2101" t="str">
        <f>IFERROR(__xludf.DUMMYFUNCTION("""COMPUTED_VALUE"""),"Sabun batang 1 Box ( 2 PCS )")</f>
        <v>Sabun batang 1 Box ( 2 PCS )</v>
      </c>
      <c r="H2101" s="469"/>
      <c r="I2101" s="470"/>
      <c r="K2101" s="470"/>
      <c r="M2101" s="470"/>
      <c r="O2101" s="470"/>
    </row>
    <row r="2102">
      <c r="A2102" s="282" t="str">
        <f>IFERROR(__xludf.DUMMYFUNCTION("""COMPUTED_VALUE"""),"MICRO")</f>
        <v>MICRO</v>
      </c>
      <c r="B2102" s="468" t="str">
        <f>IFERROR(__xludf.DUMMYFUNCTION("""COMPUTED_VALUE"""),"ririhutapea")</f>
        <v>ririhutapea</v>
      </c>
      <c r="C2102" s="283" t="str">
        <f>IFERROR(__xludf.DUMMYFUNCTION("""COMPUTED_VALUE"""),"https://www.tiktok.com/@ririhutapea")</f>
        <v>https://www.tiktok.com/@ririhutapea</v>
      </c>
      <c r="D2102" s="273">
        <f>IFERROR(__xludf.DUMMYFUNCTION("""COMPUTED_VALUE"""),8.514317036E10)</f>
        <v>85143170360</v>
      </c>
      <c r="E2102" s="458">
        <f>IFERROR(__xludf.DUMMYFUNCTION("""COMPUTED_VALUE"""),0.0)</f>
        <v>0</v>
      </c>
      <c r="F2102" s="273">
        <f>IFERROR(__xludf.DUMMYFUNCTION("""COMPUTED_VALUE"""),4.0)</f>
        <v>4</v>
      </c>
      <c r="G2102" t="str">
        <f>IFERROR(__xludf.DUMMYFUNCTION("""COMPUTED_VALUE"""),"Sabun batang 1 Box ( 2 PCS )")</f>
        <v>Sabun batang 1 Box ( 2 PCS )</v>
      </c>
      <c r="H2102" s="469"/>
      <c r="I2102" s="470"/>
      <c r="K2102" s="470"/>
      <c r="M2102" s="470"/>
      <c r="O2102" s="470"/>
    </row>
    <row r="2103">
      <c r="A2103" s="282" t="str">
        <f>IFERROR(__xludf.DUMMYFUNCTION("""COMPUTED_VALUE"""),"MICRO")</f>
        <v>MICRO</v>
      </c>
      <c r="B2103" s="468" t="str">
        <f>IFERROR(__xludf.DUMMYFUNCTION("""COMPUTED_VALUE"""),"gallerymutie")</f>
        <v>gallerymutie</v>
      </c>
      <c r="C2103" s="283" t="str">
        <f>IFERROR(__xludf.DUMMYFUNCTION("""COMPUTED_VALUE"""),"https://www.tiktok.com/@gallerymutie")</f>
        <v>https://www.tiktok.com/@gallerymutie</v>
      </c>
      <c r="D2103" s="273">
        <f>IFERROR(__xludf.DUMMYFUNCTION("""COMPUTED_VALUE"""),8.780540226E10)</f>
        <v>87805402260</v>
      </c>
      <c r="E2103" s="458">
        <f>IFERROR(__xludf.DUMMYFUNCTION("""COMPUTED_VALUE"""),0.0)</f>
        <v>0</v>
      </c>
      <c r="F2103" s="273">
        <f>IFERROR(__xludf.DUMMYFUNCTION("""COMPUTED_VALUE"""),4.0)</f>
        <v>4</v>
      </c>
      <c r="G2103" t="str">
        <f>IFERROR(__xludf.DUMMYFUNCTION("""COMPUTED_VALUE"""),"Sabun batang 1 Box ( 2 PCS )")</f>
        <v>Sabun batang 1 Box ( 2 PCS )</v>
      </c>
      <c r="H2103" s="469"/>
      <c r="I2103" s="470"/>
      <c r="K2103" s="470"/>
      <c r="M2103" s="470"/>
      <c r="O2103" s="470"/>
    </row>
    <row r="2104">
      <c r="A2104" s="282" t="str">
        <f>IFERROR(__xludf.DUMMYFUNCTION("""COMPUTED_VALUE"""),"MICRO")</f>
        <v>MICRO</v>
      </c>
      <c r="B2104" s="468" t="str">
        <f>IFERROR(__xludf.DUMMYFUNCTION("""COMPUTED_VALUE"""),"hikmahcamelia8")</f>
        <v>hikmahcamelia8</v>
      </c>
      <c r="C2104" s="283" t="str">
        <f>IFERROR(__xludf.DUMMYFUNCTION("""COMPUTED_VALUE"""),"https://www.tiktok.com/@hikmahcamelia8")</f>
        <v>https://www.tiktok.com/@hikmahcamelia8</v>
      </c>
      <c r="D2104" s="273">
        <f>IFERROR(__xludf.DUMMYFUNCTION("""COMPUTED_VALUE"""),8.1230414497E10)</f>
        <v>81230414497</v>
      </c>
      <c r="E2104" s="458">
        <f>IFERROR(__xludf.DUMMYFUNCTION("""COMPUTED_VALUE"""),0.0)</f>
        <v>0</v>
      </c>
      <c r="F2104" s="273">
        <f>IFERROR(__xludf.DUMMYFUNCTION("""COMPUTED_VALUE"""),4.0)</f>
        <v>4</v>
      </c>
      <c r="G2104" t="str">
        <f>IFERROR(__xludf.DUMMYFUNCTION("""COMPUTED_VALUE"""),"Sabun batang 1 Box ( 2 PCS )")</f>
        <v>Sabun batang 1 Box ( 2 PCS )</v>
      </c>
      <c r="H2104" s="469"/>
      <c r="I2104" s="470"/>
      <c r="K2104" s="470"/>
      <c r="M2104" s="470"/>
      <c r="O2104" s="470"/>
    </row>
    <row r="2105">
      <c r="A2105" s="282" t="str">
        <f>IFERROR(__xludf.DUMMYFUNCTION("""COMPUTED_VALUE"""),"MICRO")</f>
        <v>MICRO</v>
      </c>
      <c r="B2105" s="468" t="str">
        <f>IFERROR(__xludf.DUMMYFUNCTION("""COMPUTED_VALUE"""),"jakfarshodik14")</f>
        <v>jakfarshodik14</v>
      </c>
      <c r="C2105" s="283" t="str">
        <f>IFERROR(__xludf.DUMMYFUNCTION("""COMPUTED_VALUE"""),"https://www.tiktok.com/@jakfarshodik14")</f>
        <v>https://www.tiktok.com/@jakfarshodik14</v>
      </c>
      <c r="D2105" s="273">
        <f>IFERROR(__xludf.DUMMYFUNCTION("""COMPUTED_VALUE"""),8.1232628697E10)</f>
        <v>81232628697</v>
      </c>
      <c r="E2105" s="458">
        <f>IFERROR(__xludf.DUMMYFUNCTION("""COMPUTED_VALUE"""),0.0)</f>
        <v>0</v>
      </c>
      <c r="F2105" s="273">
        <f>IFERROR(__xludf.DUMMYFUNCTION("""COMPUTED_VALUE"""),4.0)</f>
        <v>4</v>
      </c>
      <c r="G2105" t="str">
        <f>IFERROR(__xludf.DUMMYFUNCTION("""COMPUTED_VALUE"""),"Sabun batang 1 Box ( 2 PCS )")</f>
        <v>Sabun batang 1 Box ( 2 PCS )</v>
      </c>
      <c r="H2105" s="469"/>
      <c r="I2105" s="470"/>
      <c r="K2105" s="470"/>
      <c r="M2105" s="470"/>
      <c r="O2105" s="470"/>
    </row>
    <row r="2106">
      <c r="A2106" s="282" t="str">
        <f>IFERROR(__xludf.DUMMYFUNCTION("""COMPUTED_VALUE"""),"MICRO")</f>
        <v>MICRO</v>
      </c>
      <c r="B2106" s="468" t="str">
        <f>IFERROR(__xludf.DUMMYFUNCTION("""COMPUTED_VALUE"""),"tips.skincare_16")</f>
        <v>tips.skincare_16</v>
      </c>
      <c r="C2106" s="283" t="str">
        <f>IFERROR(__xludf.DUMMYFUNCTION("""COMPUTED_VALUE"""),"https://www.tiktok.com/@tips.skincare_16")</f>
        <v>https://www.tiktok.com/@tips.skincare_16</v>
      </c>
      <c r="D2106" s="273">
        <f>IFERROR(__xludf.DUMMYFUNCTION("""COMPUTED_VALUE"""),8.5624422914E10)</f>
        <v>85624422914</v>
      </c>
      <c r="E2106" s="458">
        <f>IFERROR(__xludf.DUMMYFUNCTION("""COMPUTED_VALUE"""),0.0)</f>
        <v>0</v>
      </c>
      <c r="F2106" s="273">
        <f>IFERROR(__xludf.DUMMYFUNCTION("""COMPUTED_VALUE"""),4.0)</f>
        <v>4</v>
      </c>
      <c r="G2106" t="str">
        <f>IFERROR(__xludf.DUMMYFUNCTION("""COMPUTED_VALUE"""),"Sabun batang 1 Box ( 2 PCS )")</f>
        <v>Sabun batang 1 Box ( 2 PCS )</v>
      </c>
      <c r="H2106" s="469"/>
      <c r="I2106" s="470"/>
      <c r="K2106" s="470"/>
      <c r="M2106" s="470"/>
      <c r="O2106" s="470"/>
    </row>
    <row r="2107">
      <c r="A2107" s="282" t="str">
        <f>IFERROR(__xludf.DUMMYFUNCTION("""COMPUTED_VALUE"""),"MICRO")</f>
        <v>MICRO</v>
      </c>
      <c r="B2107" s="468" t="str">
        <f>IFERROR(__xludf.DUMMYFUNCTION("""COMPUTED_VALUE"""),"idahizanfaiz")</f>
        <v>idahizanfaiz</v>
      </c>
      <c r="C2107" s="283" t="str">
        <f>IFERROR(__xludf.DUMMYFUNCTION("""COMPUTED_VALUE"""),"https://www.tiktok.com/@idahizanfaiz")</f>
        <v>https://www.tiktok.com/@idahizanfaiz</v>
      </c>
      <c r="D2107" s="273">
        <f>IFERROR(__xludf.DUMMYFUNCTION("""COMPUTED_VALUE"""),8.122459011E10)</f>
        <v>81224590110</v>
      </c>
      <c r="E2107" s="458">
        <f>IFERROR(__xludf.DUMMYFUNCTION("""COMPUTED_VALUE"""),0.0)</f>
        <v>0</v>
      </c>
      <c r="F2107" s="273">
        <f>IFERROR(__xludf.DUMMYFUNCTION("""COMPUTED_VALUE"""),4.0)</f>
        <v>4</v>
      </c>
      <c r="G2107" t="str">
        <f>IFERROR(__xludf.DUMMYFUNCTION("""COMPUTED_VALUE"""),"Sabun batang 1 Box ( 2 PCS )")</f>
        <v>Sabun batang 1 Box ( 2 PCS )</v>
      </c>
      <c r="H2107" s="469"/>
      <c r="I2107" s="470"/>
      <c r="K2107" s="470"/>
      <c r="M2107" s="470"/>
      <c r="O2107" s="470"/>
    </row>
    <row r="2108">
      <c r="A2108" s="282" t="str">
        <f>IFERROR(__xludf.DUMMYFUNCTION("""COMPUTED_VALUE"""),"MICRO")</f>
        <v>MICRO</v>
      </c>
      <c r="B2108" s="468" t="str">
        <f>IFERROR(__xludf.DUMMYFUNCTION("""COMPUTED_VALUE"""),"tii1365")</f>
        <v>tii1365</v>
      </c>
      <c r="C2108" s="283" t="str">
        <f>IFERROR(__xludf.DUMMYFUNCTION("""COMPUTED_VALUE"""),"https://www.tiktok.com/@tii1365")</f>
        <v>https://www.tiktok.com/@tii1365</v>
      </c>
      <c r="D2108" s="273">
        <f>IFERROR(__xludf.DUMMYFUNCTION("""COMPUTED_VALUE"""),8.3100477212E10)</f>
        <v>83100477212</v>
      </c>
      <c r="E2108" s="458">
        <f>IFERROR(__xludf.DUMMYFUNCTION("""COMPUTED_VALUE"""),0.0)</f>
        <v>0</v>
      </c>
      <c r="F2108" s="273">
        <f>IFERROR(__xludf.DUMMYFUNCTION("""COMPUTED_VALUE"""),2.0)</f>
        <v>2</v>
      </c>
      <c r="G2108" t="str">
        <f>IFERROR(__xludf.DUMMYFUNCTION("""COMPUTED_VALUE"""),"Sabun batang 1 Box ( 2 PCS )")</f>
        <v>Sabun batang 1 Box ( 2 PCS )</v>
      </c>
      <c r="H2108" s="469"/>
      <c r="I2108" s="470"/>
      <c r="K2108" s="470"/>
      <c r="M2108" s="470"/>
      <c r="O2108" s="470"/>
    </row>
    <row r="2109">
      <c r="A2109" s="282" t="str">
        <f>IFERROR(__xludf.DUMMYFUNCTION("""COMPUTED_VALUE"""),"MICRO")</f>
        <v>MICRO</v>
      </c>
      <c r="B2109" s="468" t="str">
        <f>IFERROR(__xludf.DUMMYFUNCTION("""COMPUTED_VALUE"""),"vnaamel")</f>
        <v>vnaamel</v>
      </c>
      <c r="C2109" s="283" t="str">
        <f>IFERROR(__xludf.DUMMYFUNCTION("""COMPUTED_VALUE"""),"https://www.tiktok.com/@vnaamel")</f>
        <v>https://www.tiktok.com/@vnaamel</v>
      </c>
      <c r="D2109" s="273">
        <f>IFERROR(__xludf.DUMMYFUNCTION("""COMPUTED_VALUE"""),8.82000201753E11)</f>
        <v>882000201753</v>
      </c>
      <c r="E2109" s="458">
        <f>IFERROR(__xludf.DUMMYFUNCTION("""COMPUTED_VALUE"""),0.0)</f>
        <v>0</v>
      </c>
      <c r="F2109" s="273">
        <f>IFERROR(__xludf.DUMMYFUNCTION("""COMPUTED_VALUE"""),4.0)</f>
        <v>4</v>
      </c>
      <c r="G2109" t="str">
        <f>IFERROR(__xludf.DUMMYFUNCTION("""COMPUTED_VALUE"""),"Sabun batang 1 Box ( 2 PCS )")</f>
        <v>Sabun batang 1 Box ( 2 PCS )</v>
      </c>
      <c r="H2109" s="469"/>
      <c r="I2109" s="470"/>
      <c r="K2109" s="470"/>
      <c r="M2109" s="470"/>
      <c r="O2109" s="470"/>
    </row>
    <row r="2110">
      <c r="A2110" s="282" t="str">
        <f>IFERROR(__xludf.DUMMYFUNCTION("""COMPUTED_VALUE"""),"MICRO")</f>
        <v>MICRO</v>
      </c>
      <c r="B2110" s="468" t="str">
        <f>IFERROR(__xludf.DUMMYFUNCTION("""COMPUTED_VALUE"""),"herigungun")</f>
        <v>herigungun</v>
      </c>
      <c r="C2110" s="283" t="str">
        <f>IFERROR(__xludf.DUMMYFUNCTION("""COMPUTED_VALUE"""),"https://www.tiktok.com/@herigungun")</f>
        <v>https://www.tiktok.com/@herigungun</v>
      </c>
      <c r="D2110" s="273">
        <f>IFERROR(__xludf.DUMMYFUNCTION("""COMPUTED_VALUE"""),8.5291357628E10)</f>
        <v>85291357628</v>
      </c>
      <c r="E2110" s="458">
        <f>IFERROR(__xludf.DUMMYFUNCTION("""COMPUTED_VALUE"""),0.0)</f>
        <v>0</v>
      </c>
      <c r="F2110" s="273">
        <f>IFERROR(__xludf.DUMMYFUNCTION("""COMPUTED_VALUE"""),4.0)</f>
        <v>4</v>
      </c>
      <c r="G2110" t="str">
        <f>IFERROR(__xludf.DUMMYFUNCTION("""COMPUTED_VALUE"""),"Sabun batang 1 Box ( 2 PCS )")</f>
        <v>Sabun batang 1 Box ( 2 PCS )</v>
      </c>
      <c r="H2110" s="469"/>
      <c r="I2110" s="470"/>
      <c r="K2110" s="470"/>
      <c r="M2110" s="470"/>
      <c r="O2110" s="470"/>
    </row>
    <row r="2111">
      <c r="A2111" s="282" t="str">
        <f>IFERROR(__xludf.DUMMYFUNCTION("""COMPUTED_VALUE"""),"MICRO")</f>
        <v>MICRO</v>
      </c>
      <c r="B2111" s="468" t="str">
        <f>IFERROR(__xludf.DUMMYFUNCTION("""COMPUTED_VALUE"""),"zelovelin")</f>
        <v>zelovelin</v>
      </c>
      <c r="C2111" s="283" t="str">
        <f>IFERROR(__xludf.DUMMYFUNCTION("""COMPUTED_VALUE"""),"https://www.tiktok.com/@zelovelin")</f>
        <v>https://www.tiktok.com/@zelovelin</v>
      </c>
      <c r="D2111" s="273">
        <f>IFERROR(__xludf.DUMMYFUNCTION("""COMPUTED_VALUE"""),8.1937122001E10)</f>
        <v>81937122001</v>
      </c>
      <c r="E2111" s="458">
        <f>IFERROR(__xludf.DUMMYFUNCTION("""COMPUTED_VALUE"""),0.0)</f>
        <v>0</v>
      </c>
      <c r="F2111" s="273">
        <f>IFERROR(__xludf.DUMMYFUNCTION("""COMPUTED_VALUE"""),4.0)</f>
        <v>4</v>
      </c>
      <c r="G2111" t="str">
        <f>IFERROR(__xludf.DUMMYFUNCTION("""COMPUTED_VALUE"""),"Sabun batang 1 Box ( 2 PCS )")</f>
        <v>Sabun batang 1 Box ( 2 PCS )</v>
      </c>
      <c r="H2111" s="469"/>
      <c r="I2111" s="470"/>
      <c r="K2111" s="470"/>
      <c r="M2111" s="470"/>
      <c r="O2111" s="470"/>
    </row>
    <row r="2112">
      <c r="A2112" s="282" t="str">
        <f>IFERROR(__xludf.DUMMYFUNCTION("""COMPUTED_VALUE"""),"MICRO")</f>
        <v>MICRO</v>
      </c>
      <c r="B2112" s="468" t="str">
        <f>IFERROR(__xludf.DUMMYFUNCTION("""COMPUTED_VALUE"""),"asti94_08")</f>
        <v>asti94_08</v>
      </c>
      <c r="C2112" s="283" t="str">
        <f>IFERROR(__xludf.DUMMYFUNCTION("""COMPUTED_VALUE"""),"https://www.tiktok.com/@asti94_08")</f>
        <v>https://www.tiktok.com/@asti94_08</v>
      </c>
      <c r="D2112" s="273">
        <f>IFERROR(__xludf.DUMMYFUNCTION("""COMPUTED_VALUE"""),8.3119883989E10)</f>
        <v>83119883989</v>
      </c>
      <c r="E2112" s="458">
        <f>IFERROR(__xludf.DUMMYFUNCTION("""COMPUTED_VALUE"""),0.0)</f>
        <v>0</v>
      </c>
      <c r="F2112" s="273">
        <f>IFERROR(__xludf.DUMMYFUNCTION("""COMPUTED_VALUE"""),4.0)</f>
        <v>4</v>
      </c>
      <c r="G2112" t="str">
        <f>IFERROR(__xludf.DUMMYFUNCTION("""COMPUTED_VALUE"""),"Sabun batang 1 Box ( 2 PCS )")</f>
        <v>Sabun batang 1 Box ( 2 PCS )</v>
      </c>
      <c r="H2112" s="469"/>
      <c r="I2112" s="470"/>
      <c r="K2112" s="470"/>
      <c r="M2112" s="470"/>
      <c r="O2112" s="470"/>
    </row>
    <row r="2113">
      <c r="A2113" s="282" t="str">
        <f>IFERROR(__xludf.DUMMYFUNCTION("""COMPUTED_VALUE"""),"MICRO")</f>
        <v>MICRO</v>
      </c>
      <c r="B2113" s="468" t="str">
        <f>IFERROR(__xludf.DUMMYFUNCTION("""COMPUTED_VALUE"""),"tamara_geraldinee")</f>
        <v>tamara_geraldinee</v>
      </c>
      <c r="C2113" s="283" t="str">
        <f>IFERROR(__xludf.DUMMYFUNCTION("""COMPUTED_VALUE"""),"https://www.tiktok.com/@tamara_geraldinee")</f>
        <v>https://www.tiktok.com/@tamara_geraldinee</v>
      </c>
      <c r="D2113" s="273">
        <f>IFERROR(__xludf.DUMMYFUNCTION("""COMPUTED_VALUE"""),8.1269971123E10)</f>
        <v>81269971123</v>
      </c>
      <c r="E2113" s="458">
        <f>IFERROR(__xludf.DUMMYFUNCTION("""COMPUTED_VALUE"""),0.0)</f>
        <v>0</v>
      </c>
      <c r="F2113" s="273">
        <f>IFERROR(__xludf.DUMMYFUNCTION("""COMPUTED_VALUE"""),4.0)</f>
        <v>4</v>
      </c>
      <c r="G2113" t="str">
        <f>IFERROR(__xludf.DUMMYFUNCTION("""COMPUTED_VALUE"""),"Sabun batang 1 Box ( 2 PCS )")</f>
        <v>Sabun batang 1 Box ( 2 PCS )</v>
      </c>
      <c r="H2113" s="469"/>
      <c r="I2113" s="470"/>
      <c r="K2113" s="470"/>
      <c r="M2113" s="470"/>
      <c r="O2113" s="470"/>
    </row>
    <row r="2114">
      <c r="A2114" s="282" t="str">
        <f>IFERROR(__xludf.DUMMYFUNCTION("""COMPUTED_VALUE"""),"MICRO")</f>
        <v>MICRO</v>
      </c>
      <c r="B2114" s="468" t="str">
        <f>IFERROR(__xludf.DUMMYFUNCTION("""COMPUTED_VALUE"""),"suci_lidiana")</f>
        <v>suci_lidiana</v>
      </c>
      <c r="C2114" s="283" t="str">
        <f>IFERROR(__xludf.DUMMYFUNCTION("""COMPUTED_VALUE"""),"https://www.tiktok.com/@suci_lidiana")</f>
        <v>https://www.tiktok.com/@suci_lidiana</v>
      </c>
      <c r="D2114" s="273">
        <f>IFERROR(__xludf.DUMMYFUNCTION("""COMPUTED_VALUE"""),8.3814767931E10)</f>
        <v>83814767931</v>
      </c>
      <c r="E2114" s="458">
        <f>IFERROR(__xludf.DUMMYFUNCTION("""COMPUTED_VALUE"""),0.0)</f>
        <v>0</v>
      </c>
      <c r="F2114" s="273">
        <f>IFERROR(__xludf.DUMMYFUNCTION("""COMPUTED_VALUE"""),4.0)</f>
        <v>4</v>
      </c>
      <c r="G2114" t="str">
        <f>IFERROR(__xludf.DUMMYFUNCTION("""COMPUTED_VALUE"""),"Sabun batang 1 Box ( 2 PCS )")</f>
        <v>Sabun batang 1 Box ( 2 PCS )</v>
      </c>
      <c r="H2114" s="469"/>
      <c r="I2114" s="470"/>
      <c r="K2114" s="470"/>
      <c r="M2114" s="470"/>
      <c r="O2114" s="470"/>
    </row>
    <row r="2115">
      <c r="A2115" s="282" t="str">
        <f>IFERROR(__xludf.DUMMYFUNCTION("""COMPUTED_VALUE"""),"MICRO")</f>
        <v>MICRO</v>
      </c>
      <c r="B2115" s="468" t="str">
        <f>IFERROR(__xludf.DUMMYFUNCTION("""COMPUTED_VALUE"""),"arfancakeshop")</f>
        <v>arfancakeshop</v>
      </c>
      <c r="C2115" s="283" t="str">
        <f>IFERROR(__xludf.DUMMYFUNCTION("""COMPUTED_VALUE"""),"https://www.tiktok.com/@arfancakeshop")</f>
        <v>https://www.tiktok.com/@arfancakeshop</v>
      </c>
      <c r="D2115" s="273">
        <f>IFERROR(__xludf.DUMMYFUNCTION("""COMPUTED_VALUE"""),8.22134568E10)</f>
        <v>82213456800</v>
      </c>
      <c r="E2115" s="458">
        <f>IFERROR(__xludf.DUMMYFUNCTION("""COMPUTED_VALUE"""),0.0)</f>
        <v>0</v>
      </c>
      <c r="F2115" s="273">
        <f>IFERROR(__xludf.DUMMYFUNCTION("""COMPUTED_VALUE"""),4.0)</f>
        <v>4</v>
      </c>
      <c r="G2115" t="str">
        <f>IFERROR(__xludf.DUMMYFUNCTION("""COMPUTED_VALUE"""),"Sabun batang 1 Box ( 2 PCS )")</f>
        <v>Sabun batang 1 Box ( 2 PCS )</v>
      </c>
      <c r="H2115" s="469"/>
      <c r="I2115" s="470"/>
      <c r="K2115" s="470"/>
      <c r="M2115" s="470"/>
      <c r="O2115" s="470"/>
    </row>
    <row r="2116">
      <c r="A2116" s="282" t="str">
        <f>IFERROR(__xludf.DUMMYFUNCTION("""COMPUTED_VALUE"""),"MICRO")</f>
        <v>MICRO</v>
      </c>
      <c r="B2116" s="468" t="str">
        <f>IFERROR(__xludf.DUMMYFUNCTION("""COMPUTED_VALUE"""),"anitanovita2")</f>
        <v>anitanovita2</v>
      </c>
      <c r="C2116" s="283" t="str">
        <f>IFERROR(__xludf.DUMMYFUNCTION("""COMPUTED_VALUE"""),"https://www.tiktok.com/@anitanovita2")</f>
        <v>https://www.tiktok.com/@anitanovita2</v>
      </c>
      <c r="D2116" s="273">
        <f>IFERROR(__xludf.DUMMYFUNCTION("""COMPUTED_VALUE"""),8.1220349495E10)</f>
        <v>81220349495</v>
      </c>
      <c r="E2116" s="458">
        <f>IFERROR(__xludf.DUMMYFUNCTION("""COMPUTED_VALUE"""),0.0)</f>
        <v>0</v>
      </c>
      <c r="F2116" s="273">
        <f>IFERROR(__xludf.DUMMYFUNCTION("""COMPUTED_VALUE"""),4.0)</f>
        <v>4</v>
      </c>
      <c r="G2116" t="str">
        <f>IFERROR(__xludf.DUMMYFUNCTION("""COMPUTED_VALUE"""),"Sabun batang 1 Box ( 2 PCS )")</f>
        <v>Sabun batang 1 Box ( 2 PCS )</v>
      </c>
      <c r="H2116" s="469"/>
      <c r="I2116" s="470"/>
      <c r="K2116" s="470"/>
      <c r="M2116" s="470"/>
      <c r="O2116" s="470"/>
    </row>
    <row r="2117">
      <c r="A2117" s="282" t="str">
        <f>IFERROR(__xludf.DUMMYFUNCTION("""COMPUTED_VALUE"""),"MICRO")</f>
        <v>MICRO</v>
      </c>
      <c r="B2117" s="468" t="str">
        <f>IFERROR(__xludf.DUMMYFUNCTION("""COMPUTED_VALUE"""),"glowdaily27_")</f>
        <v>glowdaily27_</v>
      </c>
      <c r="C2117" s="283" t="str">
        <f>IFERROR(__xludf.DUMMYFUNCTION("""COMPUTED_VALUE"""),"https://www.tiktok.com/@glowdaily27_")</f>
        <v>https://www.tiktok.com/@glowdaily27_</v>
      </c>
      <c r="D2117" s="273">
        <f>IFERROR(__xludf.DUMMYFUNCTION("""COMPUTED_VALUE"""),8.3103788436E10)</f>
        <v>83103788436</v>
      </c>
      <c r="E2117" s="458">
        <f>IFERROR(__xludf.DUMMYFUNCTION("""COMPUTED_VALUE"""),0.0)</f>
        <v>0</v>
      </c>
      <c r="F2117" s="273">
        <f>IFERROR(__xludf.DUMMYFUNCTION("""COMPUTED_VALUE"""),2.0)</f>
        <v>2</v>
      </c>
      <c r="G2117" t="str">
        <f>IFERROR(__xludf.DUMMYFUNCTION("""COMPUTED_VALUE"""),"Sabun batang 1 Box ( 2 PCS )")</f>
        <v>Sabun batang 1 Box ( 2 PCS )</v>
      </c>
      <c r="H2117" s="469"/>
      <c r="I2117" s="470"/>
      <c r="J2117" s="471" t="str">
        <f>IFERROR(__xludf.DUMMYFUNCTION("""COMPUTED_VALUE"""),"https://vt.tiktok.com/ZSxyAHpv9/")</f>
        <v>https://vt.tiktok.com/ZSxyAHpv9/</v>
      </c>
      <c r="K2117" s="470"/>
      <c r="L2117" s="471" t="str">
        <f>IFERROR(__xludf.DUMMYFUNCTION("""COMPUTED_VALUE"""),"https://vt.tiktok.com/ZSxyAbQhe/")</f>
        <v>https://vt.tiktok.com/ZSxyAbQhe/</v>
      </c>
      <c r="M2117" s="470"/>
      <c r="N2117" s="471" t="str">
        <f>IFERROR(__xludf.DUMMYFUNCTION("""COMPUTED_VALUE"""),"https://vt.tiktok.com/ZSxyAbQhe/")</f>
        <v>https://vt.tiktok.com/ZSxyAbQhe/</v>
      </c>
      <c r="O2117" s="470"/>
      <c r="P2117" s="471" t="str">
        <f>IFERROR(__xludf.DUMMYFUNCTION("""COMPUTED_VALUE"""),"https://vt.tiktok.com/ZSxyAHpv9/")</f>
        <v>https://vt.tiktok.com/ZSxyAHpv9/</v>
      </c>
    </row>
    <row r="2118">
      <c r="A2118" s="282" t="str">
        <f>IFERROR(__xludf.DUMMYFUNCTION("""COMPUTED_VALUE"""),"MICRO")</f>
        <v>MICRO</v>
      </c>
      <c r="B2118" s="468" t="str">
        <f>IFERROR(__xludf.DUMMYFUNCTION("""COMPUTED_VALUE"""),"Desiameliaku30 ")</f>
        <v>Desiameliaku30 </v>
      </c>
      <c r="C2118" s="283" t="str">
        <f>IFERROR(__xludf.DUMMYFUNCTION("""COMPUTED_VALUE"""),"https://www.tiktok.com/@Desiameliaku30 ")</f>
        <v>https://www.tiktok.com/@Desiameliaku30 </v>
      </c>
      <c r="D2118" s="273">
        <f>IFERROR(__xludf.DUMMYFUNCTION("""COMPUTED_VALUE"""),8.81867632E9)</f>
        <v>8818676320</v>
      </c>
      <c r="E2118" s="458">
        <f>IFERROR(__xludf.DUMMYFUNCTION("""COMPUTED_VALUE"""),0.0)</f>
        <v>0</v>
      </c>
      <c r="F2118" s="273">
        <f>IFERROR(__xludf.DUMMYFUNCTION("""COMPUTED_VALUE"""),2.0)</f>
        <v>2</v>
      </c>
      <c r="G2118" t="str">
        <f>IFERROR(__xludf.DUMMYFUNCTION("""COMPUTED_VALUE"""),"Sabun batang 1 Box ( 2 PCS )")</f>
        <v>Sabun batang 1 Box ( 2 PCS )</v>
      </c>
      <c r="H2118" s="469"/>
      <c r="I2118" s="470"/>
      <c r="J2118" s="471" t="str">
        <f>IFERROR(__xludf.DUMMYFUNCTION("""COMPUTED_VALUE"""),"https://vt.tiktok.com/ZS9oQnBrj/")</f>
        <v>https://vt.tiktok.com/ZS9oQnBrj/</v>
      </c>
      <c r="K2118" s="470"/>
      <c r="L2118" s="471" t="str">
        <f>IFERROR(__xludf.DUMMYFUNCTION("""COMPUTED_VALUE"""),"https://vt.tiktok.com/ZSxyAaAv6/")</f>
        <v>https://vt.tiktok.com/ZSxyAaAv6/</v>
      </c>
      <c r="M2118" s="470"/>
      <c r="N2118" s="471" t="str">
        <f>IFERROR(__xludf.DUMMYFUNCTION("""COMPUTED_VALUE"""),"https://vt.tiktok.com/ZSxyAaAv6/")</f>
        <v>https://vt.tiktok.com/ZSxyAaAv6/</v>
      </c>
      <c r="O2118" s="470"/>
      <c r="P2118" s="471" t="str">
        <f>IFERROR(__xludf.DUMMYFUNCTION("""COMPUTED_VALUE"""),"https://vt.tiktok.com/ZSxyAXXLK/")</f>
        <v>https://vt.tiktok.com/ZSxyAXXLK/</v>
      </c>
    </row>
    <row r="2119">
      <c r="A2119" s="282" t="str">
        <f>IFERROR(__xludf.DUMMYFUNCTION("""COMPUTED_VALUE"""),"MICRO")</f>
        <v>MICRO</v>
      </c>
      <c r="B2119" s="468" t="str">
        <f>IFERROR(__xludf.DUMMYFUNCTION("""COMPUTED_VALUE"""),"uni_delfia")</f>
        <v>uni_delfia</v>
      </c>
      <c r="C2119" s="283" t="str">
        <f>IFERROR(__xludf.DUMMYFUNCTION("""COMPUTED_VALUE"""),"https://www.tiktok.com/@uni_delfia")</f>
        <v>https://www.tiktok.com/@uni_delfia</v>
      </c>
      <c r="D2119" s="273">
        <f>IFERROR(__xludf.DUMMYFUNCTION("""COMPUTED_VALUE"""),8.1275616332E10)</f>
        <v>81275616332</v>
      </c>
      <c r="E2119" s="458">
        <f>IFERROR(__xludf.DUMMYFUNCTION("""COMPUTED_VALUE"""),0.0)</f>
        <v>0</v>
      </c>
      <c r="F2119" s="273">
        <f>IFERROR(__xludf.DUMMYFUNCTION("""COMPUTED_VALUE"""),2.0)</f>
        <v>2</v>
      </c>
      <c r="G2119" t="str">
        <f>IFERROR(__xludf.DUMMYFUNCTION("""COMPUTED_VALUE"""),"Sabun batang 1 Box ( 2 PCS )")</f>
        <v>Sabun batang 1 Box ( 2 PCS )</v>
      </c>
      <c r="H2119" s="469"/>
      <c r="I2119" s="470"/>
      <c r="J2119" s="471" t="str">
        <f>IFERROR(__xludf.DUMMYFUNCTION("""COMPUTED_VALUE"""),"https://vt.tiktok.com/ZSx3PCJ61/")</f>
        <v>https://vt.tiktok.com/ZSx3PCJ61/</v>
      </c>
      <c r="K2119" s="470"/>
      <c r="L2119" s="471" t="str">
        <f>IFERROR(__xludf.DUMMYFUNCTION("""COMPUTED_VALUE"""),"https://vt.tiktok.com/ZSx3PvuDP/")</f>
        <v>https://vt.tiktok.com/ZSx3PvuDP/</v>
      </c>
      <c r="M2119" s="470"/>
      <c r="N2119" s="471" t="str">
        <f>IFERROR(__xludf.DUMMYFUNCTION("""COMPUTED_VALUE"""),"https://vt.tiktok.com/ZSxyA5Dpm/")</f>
        <v>https://vt.tiktok.com/ZSxyA5Dpm/</v>
      </c>
      <c r="O2119" s="470"/>
      <c r="P2119" s="471" t="str">
        <f>IFERROR(__xludf.DUMMYFUNCTION("""COMPUTED_VALUE"""),"https://vt.tiktok.com/ZSxyAmmXk/")</f>
        <v>https://vt.tiktok.com/ZSxyAmmXk/</v>
      </c>
    </row>
    <row r="2120">
      <c r="A2120" s="282" t="str">
        <f>IFERROR(__xludf.DUMMYFUNCTION("""COMPUTED_VALUE"""),"MICRO")</f>
        <v>MICRO</v>
      </c>
      <c r="B2120" s="468" t="str">
        <f>IFERROR(__xludf.DUMMYFUNCTION("""COMPUTED_VALUE"""),"Wiwitsusilawati22")</f>
        <v>Wiwitsusilawati22</v>
      </c>
      <c r="C2120" s="283" t="str">
        <f>IFERROR(__xludf.DUMMYFUNCTION("""COMPUTED_VALUE"""),"https://www.tiktok.com/@Wiwitsusilawati22")</f>
        <v>https://www.tiktok.com/@Wiwitsusilawati22</v>
      </c>
      <c r="D2120" s="273">
        <f>IFERROR(__xludf.DUMMYFUNCTION("""COMPUTED_VALUE"""),8.125356947E10)</f>
        <v>81253569470</v>
      </c>
      <c r="E2120" s="458">
        <f>IFERROR(__xludf.DUMMYFUNCTION("""COMPUTED_VALUE"""),0.0)</f>
        <v>0</v>
      </c>
      <c r="F2120" s="273">
        <f>IFERROR(__xludf.DUMMYFUNCTION("""COMPUTED_VALUE"""),2.0)</f>
        <v>2</v>
      </c>
      <c r="G2120" t="str">
        <f>IFERROR(__xludf.DUMMYFUNCTION("""COMPUTED_VALUE"""),"Sabun batang 1 Box ( 2 PCS )")</f>
        <v>Sabun batang 1 Box ( 2 PCS )</v>
      </c>
      <c r="H2120" s="469"/>
      <c r="I2120" s="470"/>
      <c r="J2120" s="471" t="str">
        <f>IFERROR(__xludf.DUMMYFUNCTION("""COMPUTED_VALUE"""),"https://vt.tiktok.com/ZSxv492N6/")</f>
        <v>https://vt.tiktok.com/ZSxv492N6/</v>
      </c>
      <c r="K2120" s="470"/>
      <c r="L2120" s="471" t="str">
        <f>IFERROR(__xludf.DUMMYFUNCTION("""COMPUTED_VALUE"""),"https://vt.tiktok.com/ZSx3kW2tn/")</f>
        <v>https://vt.tiktok.com/ZSx3kW2tn/</v>
      </c>
      <c r="M2120" s="470"/>
      <c r="N2120" s="471" t="str">
        <f>IFERROR(__xludf.DUMMYFUNCTION("""COMPUTED_VALUE"""),"https://vt.tiktok.com/ZSxH1xGfU/")</f>
        <v>https://vt.tiktok.com/ZSxH1xGfU/</v>
      </c>
      <c r="O2120" s="470"/>
      <c r="P2120" s="471" t="str">
        <f>IFERROR(__xludf.DUMMYFUNCTION("""COMPUTED_VALUE"""),"https://vt.tiktok.com/ZSxH1mytA/")</f>
        <v>https://vt.tiktok.com/ZSxH1mytA/</v>
      </c>
    </row>
    <row r="2121">
      <c r="A2121" s="282" t="str">
        <f>IFERROR(__xludf.DUMMYFUNCTION("""COMPUTED_VALUE"""),"MICRO")</f>
        <v>MICRO</v>
      </c>
      <c r="B2121" s="468" t="str">
        <f>IFERROR(__xludf.DUMMYFUNCTION("""COMPUTED_VALUE"""),"elfttrn ")</f>
        <v>elfttrn </v>
      </c>
      <c r="C2121" s="283" t="str">
        <f>IFERROR(__xludf.DUMMYFUNCTION("""COMPUTED_VALUE"""),"https://www.tiktok.com/@elfttrn ")</f>
        <v>https://www.tiktok.com/@elfttrn </v>
      </c>
      <c r="D2121" s="273">
        <f>IFERROR(__xludf.DUMMYFUNCTION("""COMPUTED_VALUE"""),8.9669390735E10)</f>
        <v>89669390735</v>
      </c>
      <c r="E2121" s="458">
        <f>IFERROR(__xludf.DUMMYFUNCTION("""COMPUTED_VALUE"""),0.0)</f>
        <v>0</v>
      </c>
      <c r="F2121" s="273">
        <f>IFERROR(__xludf.DUMMYFUNCTION("""COMPUTED_VALUE"""),2.0)</f>
        <v>2</v>
      </c>
      <c r="G2121" t="str">
        <f>IFERROR(__xludf.DUMMYFUNCTION("""COMPUTED_VALUE"""),"Sabun batang 1 Box ( 2 PCS )")</f>
        <v>Sabun batang 1 Box ( 2 PCS )</v>
      </c>
      <c r="H2121" s="469"/>
      <c r="I2121" s="470"/>
      <c r="J2121" s="471" t="str">
        <f>IFERROR(__xludf.DUMMYFUNCTION("""COMPUTED_VALUE"""),"https://vt.tiktok.com/ZSxH1Y7sd/")</f>
        <v>https://vt.tiktok.com/ZSxH1Y7sd/</v>
      </c>
      <c r="K2121" s="470"/>
      <c r="L2121" s="471" t="str">
        <f>IFERROR(__xludf.DUMMYFUNCTION("""COMPUTED_VALUE"""),"https://vt.tiktok.com/ZSxH1mhRd/")</f>
        <v>https://vt.tiktok.com/ZSxH1mhRd/</v>
      </c>
      <c r="M2121" s="470"/>
      <c r="N2121" s="471" t="str">
        <f>IFERROR(__xludf.DUMMYFUNCTION("""COMPUTED_VALUE"""),"https://vt.tiktok.com/ZSxH1mhRd/")</f>
        <v>https://vt.tiktok.com/ZSxH1mhRd/</v>
      </c>
      <c r="O2121" s="470"/>
      <c r="P2121" s="471" t="str">
        <f>IFERROR(__xludf.DUMMYFUNCTION("""COMPUTED_VALUE"""),"https://vt.tiktok.com/ZSxH1Y7sd/")</f>
        <v>https://vt.tiktok.com/ZSxH1Y7sd/</v>
      </c>
    </row>
    <row r="2122">
      <c r="A2122" s="282" t="str">
        <f>IFERROR(__xludf.DUMMYFUNCTION("""COMPUTED_VALUE"""),"MICRO")</f>
        <v>MICRO</v>
      </c>
      <c r="B2122" s="468" t="str">
        <f>IFERROR(__xludf.DUMMYFUNCTION("""COMPUTED_VALUE"""),"alonicccca")</f>
        <v>alonicccca</v>
      </c>
      <c r="C2122" s="283" t="str">
        <f>IFERROR(__xludf.DUMMYFUNCTION("""COMPUTED_VALUE"""),"https://www.tiktok.com/@alonicccca")</f>
        <v>https://www.tiktok.com/@alonicccca</v>
      </c>
      <c r="D2122" s="273">
        <f>IFERROR(__xludf.DUMMYFUNCTION("""COMPUTED_VALUE"""),8.817523781E9)</f>
        <v>8817523781</v>
      </c>
      <c r="E2122" s="458">
        <f>IFERROR(__xludf.DUMMYFUNCTION("""COMPUTED_VALUE"""),0.0)</f>
        <v>0</v>
      </c>
      <c r="F2122" s="273">
        <f>IFERROR(__xludf.DUMMYFUNCTION("""COMPUTED_VALUE"""),2.0)</f>
        <v>2</v>
      </c>
      <c r="G2122" t="str">
        <f>IFERROR(__xludf.DUMMYFUNCTION("""COMPUTED_VALUE"""),"Sabun batang 1 Box ( 2 PCS )")</f>
        <v>Sabun batang 1 Box ( 2 PCS )</v>
      </c>
      <c r="H2122" s="469"/>
      <c r="I2122" s="470"/>
      <c r="J2122" s="471" t="str">
        <f>IFERROR(__xludf.DUMMYFUNCTION("""COMPUTED_VALUE"""),"https://vt.tiktok.com/ZSxH1hEMf/")</f>
        <v>https://vt.tiktok.com/ZSxH1hEMf/</v>
      </c>
      <c r="K2122" s="470"/>
      <c r="L2122" s="471" t="str">
        <f>IFERROR(__xludf.DUMMYFUNCTION("""COMPUTED_VALUE"""),"https://vt.tiktok.com/ZSxH1Fgot/")</f>
        <v>https://vt.tiktok.com/ZSxH1Fgot/</v>
      </c>
      <c r="M2122" s="470"/>
      <c r="N2122" s="471" t="str">
        <f>IFERROR(__xludf.DUMMYFUNCTION("""COMPUTED_VALUE"""),"https://vt.tiktok.com/ZSxH1Fgot/")</f>
        <v>https://vt.tiktok.com/ZSxH1Fgot/</v>
      </c>
      <c r="O2122" s="470"/>
      <c r="P2122" s="471" t="str">
        <f>IFERROR(__xludf.DUMMYFUNCTION("""COMPUTED_VALUE"""),"https://vt.tiktok.com/ZSxH1hEMf/")</f>
        <v>https://vt.tiktok.com/ZSxH1hEMf/</v>
      </c>
    </row>
    <row r="2123">
      <c r="A2123" s="282" t="str">
        <f>IFERROR(__xludf.DUMMYFUNCTION("""COMPUTED_VALUE"""),"MICRO")</f>
        <v>MICRO</v>
      </c>
      <c r="B2123" s="468" t="str">
        <f>IFERROR(__xludf.DUMMYFUNCTION("""COMPUTED_VALUE"""),"snhabibah_")</f>
        <v>snhabibah_</v>
      </c>
      <c r="C2123" s="283" t="str">
        <f>IFERROR(__xludf.DUMMYFUNCTION("""COMPUTED_VALUE"""),"https://www.tiktok.com/@snhabibah_")</f>
        <v>https://www.tiktok.com/@snhabibah_</v>
      </c>
      <c r="D2123" s="273">
        <f>IFERROR(__xludf.DUMMYFUNCTION("""COMPUTED_VALUE"""),8.5353545719E10)</f>
        <v>85353545719</v>
      </c>
      <c r="E2123" s="458">
        <f>IFERROR(__xludf.DUMMYFUNCTION("""COMPUTED_VALUE"""),0.0)</f>
        <v>0</v>
      </c>
      <c r="F2123" s="273">
        <f>IFERROR(__xludf.DUMMYFUNCTION("""COMPUTED_VALUE"""),2.0)</f>
        <v>2</v>
      </c>
      <c r="G2123" t="str">
        <f>IFERROR(__xludf.DUMMYFUNCTION("""COMPUTED_VALUE"""),"Sabun batang 1 Box ( 2 PCS )")</f>
        <v>Sabun batang 1 Box ( 2 PCS )</v>
      </c>
      <c r="H2123" s="469"/>
      <c r="I2123" s="470"/>
      <c r="J2123" s="471" t="str">
        <f>IFERROR(__xludf.DUMMYFUNCTION("""COMPUTED_VALUE"""),"https://vt.tiktok.com/ZSxyA5nwF/")</f>
        <v>https://vt.tiktok.com/ZSxyA5nwF/</v>
      </c>
      <c r="K2123" s="470"/>
      <c r="L2123" s="471" t="str">
        <f>IFERROR(__xludf.DUMMYFUNCTION("""COMPUTED_VALUE"""),"https://vt.tiktok.com/ZSxyACb5D/")</f>
        <v>https://vt.tiktok.com/ZSxyACb5D/</v>
      </c>
      <c r="M2123" s="470"/>
      <c r="N2123" s="471" t="str">
        <f>IFERROR(__xludf.DUMMYFUNCTION("""COMPUTED_VALUE"""),"https://vt.tiktok.com/ZSxyACb5D/")</f>
        <v>https://vt.tiktok.com/ZSxyACb5D/</v>
      </c>
      <c r="O2123" s="470"/>
      <c r="P2123" s="471" t="str">
        <f>IFERROR(__xludf.DUMMYFUNCTION("""COMPUTED_VALUE"""),"https://vt.tiktok.com/ZSxyA5nwF/")</f>
        <v>https://vt.tiktok.com/ZSxyA5nwF/</v>
      </c>
    </row>
    <row r="2124">
      <c r="A2124" s="282" t="str">
        <f>IFERROR(__xludf.DUMMYFUNCTION("""COMPUTED_VALUE"""),"MICRO")</f>
        <v>MICRO</v>
      </c>
      <c r="B2124" s="468" t="str">
        <f>IFERROR(__xludf.DUMMYFUNCTION("""COMPUTED_VALUE"""),"Veranika.kim")</f>
        <v>Veranika.kim</v>
      </c>
      <c r="C2124" s="283" t="str">
        <f>IFERROR(__xludf.DUMMYFUNCTION("""COMPUTED_VALUE"""),"https://www.tiktok.com/@Veranika.kim")</f>
        <v>https://www.tiktok.com/@Veranika.kim</v>
      </c>
      <c r="D2124" s="273">
        <f>IFERROR(__xludf.DUMMYFUNCTION("""COMPUTED_VALUE"""),8.2297452164E10)</f>
        <v>82297452164</v>
      </c>
      <c r="E2124" s="458">
        <f>IFERROR(__xludf.DUMMYFUNCTION("""COMPUTED_VALUE"""),0.0)</f>
        <v>0</v>
      </c>
      <c r="F2124" s="273">
        <f>IFERROR(__xludf.DUMMYFUNCTION("""COMPUTED_VALUE"""),2.0)</f>
        <v>2</v>
      </c>
      <c r="G2124" t="str">
        <f>IFERROR(__xludf.DUMMYFUNCTION("""COMPUTED_VALUE"""),"Sabun batang 1 Box ( 2 PCS )")</f>
        <v>Sabun batang 1 Box ( 2 PCS )</v>
      </c>
      <c r="H2124" s="469"/>
      <c r="I2124" s="470"/>
      <c r="J2124" s="471" t="str">
        <f>IFERROR(__xludf.DUMMYFUNCTION("""COMPUTED_VALUE"""),"https://vt.tiktok.com/ZSxWhdpoY/")</f>
        <v>https://vt.tiktok.com/ZSxWhdpoY/</v>
      </c>
      <c r="K2124" s="470"/>
      <c r="L2124" s="471" t="str">
        <f>IFERROR(__xludf.DUMMYFUNCTION("""COMPUTED_VALUE"""),"https://vt.tiktok.com/ZSxyAaoJY/")</f>
        <v>https://vt.tiktok.com/ZSxyAaoJY/</v>
      </c>
      <c r="M2124" s="470"/>
      <c r="N2124" s="471" t="str">
        <f>IFERROR(__xludf.DUMMYFUNCTION("""COMPUTED_VALUE"""),"https://vt.tiktok.com/ZSxyAaoJY/")</f>
        <v>https://vt.tiktok.com/ZSxyAaoJY/</v>
      </c>
      <c r="O2124" s="470"/>
      <c r="P2124" s="471" t="str">
        <f>IFERROR(__xludf.DUMMYFUNCTION("""COMPUTED_VALUE"""),"https://vt.tiktok.com/ZSxyAAgvA/")</f>
        <v>https://vt.tiktok.com/ZSxyAAgvA/</v>
      </c>
    </row>
    <row r="2125">
      <c r="A2125" s="282" t="str">
        <f>IFERROR(__xludf.DUMMYFUNCTION("""COMPUTED_VALUE"""),"MICRO")</f>
        <v>MICRO</v>
      </c>
      <c r="B2125" s="468" t="str">
        <f>IFERROR(__xludf.DUMMYFUNCTION("""COMPUTED_VALUE"""),"saniverse30_")</f>
        <v>saniverse30_</v>
      </c>
      <c r="C2125" s="283" t="str">
        <f>IFERROR(__xludf.DUMMYFUNCTION("""COMPUTED_VALUE"""),"https://www.tiktok.com/@saniverse30_")</f>
        <v>https://www.tiktok.com/@saniverse30_</v>
      </c>
      <c r="D2125" s="273">
        <f>IFERROR(__xludf.DUMMYFUNCTION("""COMPUTED_VALUE"""),8.95326318736E11)</f>
        <v>895326318736</v>
      </c>
      <c r="E2125" s="458">
        <f>IFERROR(__xludf.DUMMYFUNCTION("""COMPUTED_VALUE"""),0.0)</f>
        <v>0</v>
      </c>
      <c r="F2125" s="273">
        <f>IFERROR(__xludf.DUMMYFUNCTION("""COMPUTED_VALUE"""),2.0)</f>
        <v>2</v>
      </c>
      <c r="G2125" t="str">
        <f>IFERROR(__xludf.DUMMYFUNCTION("""COMPUTED_VALUE"""),"Sabun batang 1 Box ( 2 PCS )")</f>
        <v>Sabun batang 1 Box ( 2 PCS )</v>
      </c>
      <c r="H2125" s="469"/>
      <c r="I2125" s="470"/>
      <c r="J2125" s="471" t="str">
        <f>IFERROR(__xludf.DUMMYFUNCTION("""COMPUTED_VALUE"""),"https://vt.tiktok.com/ZSxyAMGFy/")</f>
        <v>https://vt.tiktok.com/ZSxyAMGFy/</v>
      </c>
      <c r="K2125" s="470"/>
      <c r="L2125" s="471" t="str">
        <f>IFERROR(__xludf.DUMMYFUNCTION("""COMPUTED_VALUE"""),"https://vt.tiktok.com/ZSxyANDsv/")</f>
        <v>https://vt.tiktok.com/ZSxyANDsv/</v>
      </c>
      <c r="M2125" s="470"/>
      <c r="N2125" s="471" t="str">
        <f>IFERROR(__xludf.DUMMYFUNCTION("""COMPUTED_VALUE"""),"https://vt.tiktok.com/ZSxyANDsv/")</f>
        <v>https://vt.tiktok.com/ZSxyANDsv/</v>
      </c>
      <c r="O2125" s="470"/>
      <c r="P2125" s="471" t="str">
        <f>IFERROR(__xludf.DUMMYFUNCTION("""COMPUTED_VALUE"""),"https://vt.tiktok.com/ZSxyAMGFy/")</f>
        <v>https://vt.tiktok.com/ZSxyAMGFy/</v>
      </c>
    </row>
    <row r="2126">
      <c r="A2126" s="282" t="str">
        <f>IFERROR(__xludf.DUMMYFUNCTION("""COMPUTED_VALUE"""),"MICRO")</f>
        <v>MICRO</v>
      </c>
      <c r="B2126" s="468" t="str">
        <f>IFERROR(__xludf.DUMMYFUNCTION("""COMPUTED_VALUE"""),"Bundaandhira")</f>
        <v>Bundaandhira</v>
      </c>
      <c r="C2126" s="283" t="str">
        <f>IFERROR(__xludf.DUMMYFUNCTION("""COMPUTED_VALUE"""),"https://www.tiktok.com/@Bundaandhira")</f>
        <v>https://www.tiktok.com/@Bundaandhira</v>
      </c>
      <c r="D2126" s="273">
        <f>IFERROR(__xludf.DUMMYFUNCTION("""COMPUTED_VALUE"""),8.5798573056E10)</f>
        <v>85798573056</v>
      </c>
      <c r="E2126" s="458">
        <f>IFERROR(__xludf.DUMMYFUNCTION("""COMPUTED_VALUE"""),0.0)</f>
        <v>0</v>
      </c>
      <c r="F2126" s="273">
        <f>IFERROR(__xludf.DUMMYFUNCTION("""COMPUTED_VALUE"""),2.0)</f>
        <v>2</v>
      </c>
      <c r="G2126" t="str">
        <f>IFERROR(__xludf.DUMMYFUNCTION("""COMPUTED_VALUE"""),"Sabun batang 1 Box ( 2 PCS )")</f>
        <v>Sabun batang 1 Box ( 2 PCS )</v>
      </c>
      <c r="H2126" s="469"/>
      <c r="I2126" s="470"/>
      <c r="J2126" s="471" t="str">
        <f>IFERROR(__xludf.DUMMYFUNCTION("""COMPUTED_VALUE"""),"https://vt.tiktok.com/ZSxyANvXC/")</f>
        <v>https://vt.tiktok.com/ZSxyANvXC/</v>
      </c>
      <c r="K2126" s="470"/>
      <c r="L2126" s="471" t="str">
        <f>IFERROR(__xludf.DUMMYFUNCTION("""COMPUTED_VALUE"""),"https://vt.tiktok.com/ZSxySoVWA/")</f>
        <v>https://vt.tiktok.com/ZSxySoVWA/</v>
      </c>
      <c r="M2126" s="470"/>
      <c r="N2126" s="471" t="str">
        <f>IFERROR(__xludf.DUMMYFUNCTION("""COMPUTED_VALUE"""),"https://vt.tiktok.com/ZSxySoVWA/")</f>
        <v>https://vt.tiktok.com/ZSxySoVWA/</v>
      </c>
      <c r="O2126" s="470"/>
      <c r="P2126" s="471" t="str">
        <f>IFERROR(__xludf.DUMMYFUNCTION("""COMPUTED_VALUE"""),"https://vt.tiktok.com/ZSxyANvXC/")</f>
        <v>https://vt.tiktok.com/ZSxyANvXC/</v>
      </c>
    </row>
    <row r="2127">
      <c r="A2127" s="282" t="str">
        <f>IFERROR(__xludf.DUMMYFUNCTION("""COMPUTED_VALUE"""),"MICRO")</f>
        <v>MICRO</v>
      </c>
      <c r="B2127" s="468" t="str">
        <f>IFERROR(__xludf.DUMMYFUNCTION("""COMPUTED_VALUE"""),"catatanzee")</f>
        <v>catatanzee</v>
      </c>
      <c r="C2127" s="283" t="str">
        <f>IFERROR(__xludf.DUMMYFUNCTION("""COMPUTED_VALUE"""),"https://www.tiktok.com/@catatanzee")</f>
        <v>https://www.tiktok.com/@catatanzee</v>
      </c>
      <c r="D2127" s="273">
        <f>IFERROR(__xludf.DUMMYFUNCTION("""COMPUTED_VALUE"""),8.1930003144E10)</f>
        <v>81930003144</v>
      </c>
      <c r="E2127" s="458">
        <f>IFERROR(__xludf.DUMMYFUNCTION("""COMPUTED_VALUE"""),0.0)</f>
        <v>0</v>
      </c>
      <c r="F2127" s="273">
        <f>IFERROR(__xludf.DUMMYFUNCTION("""COMPUTED_VALUE"""),2.0)</f>
        <v>2</v>
      </c>
      <c r="G2127" t="str">
        <f>IFERROR(__xludf.DUMMYFUNCTION("""COMPUTED_VALUE"""),"Sabun batang 1 Box ( 2 PCS )")</f>
        <v>Sabun batang 1 Box ( 2 PCS )</v>
      </c>
      <c r="H2127" s="469"/>
      <c r="I2127" s="470"/>
      <c r="J2127" s="471" t="str">
        <f>IFERROR(__xludf.DUMMYFUNCTION("""COMPUTED_VALUE"""),"https://vt.tiktok.com/ZSxyA8wRx/")</f>
        <v>https://vt.tiktok.com/ZSxyA8wRx/</v>
      </c>
      <c r="K2127" s="470"/>
      <c r="L2127" s="471" t="str">
        <f>IFERROR(__xludf.DUMMYFUNCTION("""COMPUTED_VALUE"""),"https://vt.tiktok.com/ZSxyAM14h/")</f>
        <v>https://vt.tiktok.com/ZSxyAM14h/</v>
      </c>
      <c r="M2127" s="470"/>
      <c r="N2127" s="471" t="str">
        <f>IFERROR(__xludf.DUMMYFUNCTION("""COMPUTED_VALUE"""),"https://vt.tiktok.com/ZSxyAM14h/")</f>
        <v>https://vt.tiktok.com/ZSxyAM14h/</v>
      </c>
      <c r="O2127" s="470"/>
      <c r="P2127" s="471" t="str">
        <f>IFERROR(__xludf.DUMMYFUNCTION("""COMPUTED_VALUE"""),"https://vt.tiktok.com/ZSxyA8wRx/")</f>
        <v>https://vt.tiktok.com/ZSxyA8wRx/</v>
      </c>
    </row>
    <row r="2128">
      <c r="A2128" s="282" t="str">
        <f>IFERROR(__xludf.DUMMYFUNCTION("""COMPUTED_VALUE"""),"MICRO")</f>
        <v>MICRO</v>
      </c>
      <c r="B2128" s="468" t="str">
        <f>IFERROR(__xludf.DUMMYFUNCTION("""COMPUTED_VALUE"""),"nzlmghfrh")</f>
        <v>nzlmghfrh</v>
      </c>
      <c r="C2128" s="283" t="str">
        <f>IFERROR(__xludf.DUMMYFUNCTION("""COMPUTED_VALUE"""),"https://www.tiktok.com/@nzlmghfrh")</f>
        <v>https://www.tiktok.com/@nzlmghfrh</v>
      </c>
      <c r="D2128" s="273">
        <f>IFERROR(__xludf.DUMMYFUNCTION("""COMPUTED_VALUE"""),8.5707600523E10)</f>
        <v>85707600523</v>
      </c>
      <c r="E2128" s="458">
        <f>IFERROR(__xludf.DUMMYFUNCTION("""COMPUTED_VALUE"""),0.0)</f>
        <v>0</v>
      </c>
      <c r="F2128" s="273">
        <f>IFERROR(__xludf.DUMMYFUNCTION("""COMPUTED_VALUE"""),2.0)</f>
        <v>2</v>
      </c>
      <c r="G2128" t="str">
        <f>IFERROR(__xludf.DUMMYFUNCTION("""COMPUTED_VALUE"""),"Sabun batang 1 Box ( 2 PCS )")</f>
        <v>Sabun batang 1 Box ( 2 PCS )</v>
      </c>
      <c r="H2128" s="469"/>
      <c r="I2128" s="470"/>
      <c r="J2128" s="471" t="str">
        <f>IFERROR(__xludf.DUMMYFUNCTION("""COMPUTED_VALUE"""),"https://www.tiktok.com/@nzlmghfrh/video/7647047456009604373?_r=1&amp;u_code=dd30ih1dc6m2h4&amp;region=&amp;mid=7642227862594603793&amp;preview_pb=0&amp;sharer_language=&amp;_d=0&amp;ec_shared_reflux_dynamic_params=%7B%22placeholder_material_id%22%3A%227647047456009604373%22%2C%22pla"&amp;"ceholder_origin_cover%22%3A%22https%253A%252F%252Fp16-common-sign.tiktokcdn.com%252Ftos-alisg-p-0037%252FoUoo8C4GUCiq0f8LIFq4ZAgvIDGfePDAEjgmBD~tplv-tiktokx-origin.jpeg%253Fdr%253D14572%2526refresh_token%253Ddb327e00%2526x-expires%253D1812099600%2526x-sig"&amp;"nature%253DncFK29TsE1hXXaD3NhnRRk9ALwg%25253D%2526t%253D4d5b0474%2526ps%253D13740610%2526shp%253Dd05b14bd%2526shcp%253D34ff8df6%2526idc%253Dmy%2526s%253DTIKTOK_AFFILIATE_VIRAL_VIDEO%22%2C%22placeholder_product_id%22%3A%221729427766722726591%22%2C%22placeh"&amp;"older_video_id%22%3A%227647047456009604373%22%7D&amp;ec_shared_reflux_scene=shop_tab_feed&amp;share_item_id=7647047456009604373&amp;source=h5_t")</f>
        <v>https://www.tiktok.com/@nzlmghfrh/video/7647047456009604373?_r=1&amp;u_code=dd30ih1dc6m2h4&amp;region=&amp;mid=7642227862594603793&amp;preview_pb=0&amp;sharer_language=&amp;_d=0&amp;ec_shared_reflux_dynamic_params=%7B%22placeholder_material_id%22%3A%227647047456009604373%22%2C%22placeholder_origin_cover%22%3A%22https%253A%252F%252Fp16-common-sign.tiktokcdn.com%252Ftos-alisg-p-0037%252FoUoo8C4GUCiq0f8LIFq4ZAgvIDGfePDAEjgmBD~tplv-tiktokx-origin.jpeg%253Fdr%253D14572%2526refresh_token%253Ddb327e00%2526x-expires%253D1812099600%2526x-signature%253DncFK29TsE1hXXaD3NhnRRk9ALwg%25253D%2526t%253D4d5b0474%2526ps%253D13740610%2526shp%253Dd05b14bd%2526shcp%253D34ff8df6%2526idc%253Dmy%2526s%253DTIKTOK_AFFILIATE_VIRAL_VIDEO%22%2C%22placeholder_product_id%22%3A%221729427766722726591%22%2C%22placeholder_video_id%22%3A%227647047456009604373%22%7D&amp;ec_shared_reflux_scene=shop_tab_feed&amp;share_item_id=7647047456009604373&amp;source=h5_t</v>
      </c>
      <c r="K2128" s="470"/>
      <c r="L2128" s="471" t="str">
        <f>IFERROR(__xludf.DUMMYFUNCTION("""COMPUTED_VALUE"""),"https://vt.tiktok.com/ZSxyAr3NU/")</f>
        <v>https://vt.tiktok.com/ZSxyAr3NU/</v>
      </c>
      <c r="M2128" s="470"/>
      <c r="N2128" s="471" t="str">
        <f>IFERROR(__xludf.DUMMYFUNCTION("""COMPUTED_VALUE"""),"https://vt.tiktok.com/ZSxyAr3NU/")</f>
        <v>https://vt.tiktok.com/ZSxyAr3NU/</v>
      </c>
      <c r="O2128" s="470"/>
      <c r="P2128" s="471" t="str">
        <f>IFERROR(__xludf.DUMMYFUNCTION("""COMPUTED_VALUE"""),"https://vt.tiktok.com/ZSxyASNre/")</f>
        <v>https://vt.tiktok.com/ZSxyASNre/</v>
      </c>
    </row>
    <row r="2129">
      <c r="A2129" s="282" t="str">
        <f>IFERROR(__xludf.DUMMYFUNCTION("""COMPUTED_VALUE"""),"MICRO")</f>
        <v>MICRO</v>
      </c>
      <c r="B2129" s="468" t="str">
        <f>IFERROR(__xludf.DUMMYFUNCTION("""COMPUTED_VALUE"""),"Ibundahara.khalid")</f>
        <v>Ibundahara.khalid</v>
      </c>
      <c r="C2129" s="283" t="str">
        <f>IFERROR(__xludf.DUMMYFUNCTION("""COMPUTED_VALUE"""),"https://www.tiktok.com/@Ibundahara.khalid")</f>
        <v>https://www.tiktok.com/@Ibundahara.khalid</v>
      </c>
      <c r="D2129" s="273">
        <f>IFERROR(__xludf.DUMMYFUNCTION("""COMPUTED_VALUE"""),8.2339567412E10)</f>
        <v>82339567412</v>
      </c>
      <c r="E2129" s="458">
        <f>IFERROR(__xludf.DUMMYFUNCTION("""COMPUTED_VALUE"""),0.0)</f>
        <v>0</v>
      </c>
      <c r="F2129" s="273">
        <f>IFERROR(__xludf.DUMMYFUNCTION("""COMPUTED_VALUE"""),2.0)</f>
        <v>2</v>
      </c>
      <c r="G2129" t="str">
        <f>IFERROR(__xludf.DUMMYFUNCTION("""COMPUTED_VALUE"""),"Sabun batang 1 Box ( 2 PCS )")</f>
        <v>Sabun batang 1 Box ( 2 PCS )</v>
      </c>
      <c r="H2129" s="469"/>
      <c r="I2129" s="470"/>
      <c r="J2129" s="471" t="str">
        <f>IFERROR(__xludf.DUMMYFUNCTION("""COMPUTED_VALUE"""),"https://vt.tiktok.com/ZSxyABeba/")</f>
        <v>https://vt.tiktok.com/ZSxyABeba/</v>
      </c>
      <c r="K2129" s="470"/>
      <c r="L2129" s="471" t="str">
        <f>IFERROR(__xludf.DUMMYFUNCTION("""COMPUTED_VALUE"""),"https://vt.tiktok.com/ZSxyS3jRk/")</f>
        <v>https://vt.tiktok.com/ZSxyS3jRk/</v>
      </c>
      <c r="M2129" s="470"/>
      <c r="N2129" s="471" t="str">
        <f>IFERROR(__xludf.DUMMYFUNCTION("""COMPUTED_VALUE"""),"https://vt.tiktok.com/ZSxyS3jRk/")</f>
        <v>https://vt.tiktok.com/ZSxyS3jRk/</v>
      </c>
      <c r="O2129" s="470"/>
      <c r="P2129" s="471" t="str">
        <f>IFERROR(__xludf.DUMMYFUNCTION("""COMPUTED_VALUE"""),"https://vt.tiktok.com/ZSxyABeba/")</f>
        <v>https://vt.tiktok.com/ZSxyABeba/</v>
      </c>
    </row>
    <row r="2130">
      <c r="A2130" s="282" t="str">
        <f>IFERROR(__xludf.DUMMYFUNCTION("""COMPUTED_VALUE"""),"MICRO")</f>
        <v>MICRO</v>
      </c>
      <c r="B2130" s="468" t="str">
        <f>IFERROR(__xludf.DUMMYFUNCTION("""COMPUTED_VALUE"""),"Isfahani10")</f>
        <v>Isfahani10</v>
      </c>
      <c r="C2130" s="283" t="str">
        <f>IFERROR(__xludf.DUMMYFUNCTION("""COMPUTED_VALUE"""),"https://www.tiktok.com/@Isfahani10")</f>
        <v>https://www.tiktok.com/@Isfahani10</v>
      </c>
      <c r="D2130" s="273">
        <f>IFERROR(__xludf.DUMMYFUNCTION("""COMPUTED_VALUE"""),8.978545479E9)</f>
        <v>8978545479</v>
      </c>
      <c r="E2130" s="458">
        <f>IFERROR(__xludf.DUMMYFUNCTION("""COMPUTED_VALUE"""),0.0)</f>
        <v>0</v>
      </c>
      <c r="F2130" s="273">
        <f>IFERROR(__xludf.DUMMYFUNCTION("""COMPUTED_VALUE"""),2.0)</f>
        <v>2</v>
      </c>
      <c r="G2130" t="str">
        <f>IFERROR(__xludf.DUMMYFUNCTION("""COMPUTED_VALUE"""),"Sabun batang 1 Box ( 2 PCS )")</f>
        <v>Sabun batang 1 Box ( 2 PCS )</v>
      </c>
      <c r="H2130" s="469"/>
      <c r="I2130" s="470"/>
      <c r="J2130" s="471" t="str">
        <f>IFERROR(__xludf.DUMMYFUNCTION("""COMPUTED_VALUE"""),"https://vt.tiktok.com/ZSxH5Jx4e/")</f>
        <v>https://vt.tiktok.com/ZSxH5Jx4e/</v>
      </c>
      <c r="K2130" s="470"/>
      <c r="L2130" s="471" t="str">
        <f>IFERROR(__xludf.DUMMYFUNCTION("""COMPUTED_VALUE"""),"https://vt.tiktok.com/ZSxHPCEjK/")</f>
        <v>https://vt.tiktok.com/ZSxHPCEjK/</v>
      </c>
      <c r="M2130" s="470"/>
      <c r="N2130" s="471" t="str">
        <f>IFERROR(__xludf.DUMMYFUNCTION("""COMPUTED_VALUE"""),"https://vt.tiktok.com/ZSxHPCEjK/")</f>
        <v>https://vt.tiktok.com/ZSxHPCEjK/</v>
      </c>
      <c r="O2130" s="470"/>
      <c r="P2130" s="471" t="str">
        <f>IFERROR(__xludf.DUMMYFUNCTION("""COMPUTED_VALUE"""),"https://vt.tiktok.com/ZSxH5Jx4e/")</f>
        <v>https://vt.tiktok.com/ZSxH5Jx4e/</v>
      </c>
    </row>
    <row r="2131">
      <c r="A2131" s="282" t="str">
        <f>IFERROR(__xludf.DUMMYFUNCTION("""COMPUTED_VALUE"""),"MICRO")</f>
        <v>MICRO</v>
      </c>
      <c r="B2131" s="468" t="str">
        <f>IFERROR(__xludf.DUMMYFUNCTION("""COMPUTED_VALUE"""),"ressanovelya_")</f>
        <v>ressanovelya_</v>
      </c>
      <c r="C2131" s="283" t="str">
        <f>IFERROR(__xludf.DUMMYFUNCTION("""COMPUTED_VALUE"""),"https://www.tiktok.com/@ressanovelya_")</f>
        <v>https://www.tiktok.com/@ressanovelya_</v>
      </c>
      <c r="D2131" s="273">
        <f>IFERROR(__xludf.DUMMYFUNCTION("""COMPUTED_VALUE"""),8.2227270041E10)</f>
        <v>82227270041</v>
      </c>
      <c r="E2131" s="458">
        <f>IFERROR(__xludf.DUMMYFUNCTION("""COMPUTED_VALUE"""),0.0)</f>
        <v>0</v>
      </c>
      <c r="F2131" s="273">
        <f>IFERROR(__xludf.DUMMYFUNCTION("""COMPUTED_VALUE"""),2.0)</f>
        <v>2</v>
      </c>
      <c r="G2131" t="str">
        <f>IFERROR(__xludf.DUMMYFUNCTION("""COMPUTED_VALUE"""),"Sabun batang 1 Box ( 2 PCS )")</f>
        <v>Sabun batang 1 Box ( 2 PCS )</v>
      </c>
      <c r="H2131" s="469"/>
      <c r="I2131" s="470"/>
      <c r="J2131" s="471" t="str">
        <f>IFERROR(__xludf.DUMMYFUNCTION("""COMPUTED_VALUE"""),"https://vt.tiktok.com/ZSxHPQ5KF/")</f>
        <v>https://vt.tiktok.com/ZSxHPQ5KF/</v>
      </c>
      <c r="K2131" s="470"/>
      <c r="L2131" s="471" t="str">
        <f>IFERROR(__xludf.DUMMYFUNCTION("""COMPUTED_VALUE"""),"https://vt.tiktok.com/ZSxHPqTkm")</f>
        <v>https://vt.tiktok.com/ZSxHPqTkm</v>
      </c>
      <c r="M2131" s="470"/>
      <c r="N2131" s="471" t="str">
        <f>IFERROR(__xludf.DUMMYFUNCTION("""COMPUTED_VALUE"""),"https://vt.tiktok.com/ZSxHPqTkm")</f>
        <v>https://vt.tiktok.com/ZSxHPqTkm</v>
      </c>
      <c r="O2131" s="470"/>
      <c r="P2131" s="471" t="str">
        <f>IFERROR(__xludf.DUMMYFUNCTION("""COMPUTED_VALUE"""),"https://vt.tiktok.com/ZSxHPQ5KF/")</f>
        <v>https://vt.tiktok.com/ZSxHPQ5KF/</v>
      </c>
    </row>
    <row r="2132">
      <c r="A2132" s="282" t="str">
        <f>IFERROR(__xludf.DUMMYFUNCTION("""COMPUTED_VALUE"""),"MICRO")</f>
        <v>MICRO</v>
      </c>
      <c r="B2132" s="468" t="str">
        <f>IFERROR(__xludf.DUMMYFUNCTION("""COMPUTED_VALUE"""),"cicichynnn")</f>
        <v>cicichynnn</v>
      </c>
      <c r="C2132" s="283" t="str">
        <f>IFERROR(__xludf.DUMMYFUNCTION("""COMPUTED_VALUE"""),"https://www.tiktok.com/@cicichynnn")</f>
        <v>https://www.tiktok.com/@cicichynnn</v>
      </c>
      <c r="D2132" s="273">
        <f>IFERROR(__xludf.DUMMYFUNCTION("""COMPUTED_VALUE"""),8.5781515525E10)</f>
        <v>85781515525</v>
      </c>
      <c r="E2132" s="458">
        <f>IFERROR(__xludf.DUMMYFUNCTION("""COMPUTED_VALUE"""),0.0)</f>
        <v>0</v>
      </c>
      <c r="F2132" s="273">
        <f>IFERROR(__xludf.DUMMYFUNCTION("""COMPUTED_VALUE"""),2.0)</f>
        <v>2</v>
      </c>
      <c r="G2132" t="str">
        <f>IFERROR(__xludf.DUMMYFUNCTION("""COMPUTED_VALUE"""),"Sabun batang 1 Box ( 2 PCS )")</f>
        <v>Sabun batang 1 Box ( 2 PCS )</v>
      </c>
      <c r="H2132" s="469"/>
      <c r="I2132" s="470"/>
      <c r="J2132" s="471" t="str">
        <f>IFERROR(__xludf.DUMMYFUNCTION("""COMPUTED_VALUE"""),"https://vt.tiktok.com/ZSxHPvDoX/")</f>
        <v>https://vt.tiktok.com/ZSxHPvDoX/</v>
      </c>
      <c r="K2132" s="470"/>
      <c r="L2132" s="471" t="str">
        <f>IFERROR(__xludf.DUMMYFUNCTION("""COMPUTED_VALUE"""),"https://vt.tiktok.com/ZSxHPavfg/")</f>
        <v>https://vt.tiktok.com/ZSxHPavfg/</v>
      </c>
      <c r="M2132" s="470"/>
      <c r="N2132" s="471" t="str">
        <f>IFERROR(__xludf.DUMMYFUNCTION("""COMPUTED_VALUE"""),"https://vt.tiktok.com/ZSxHPavfg/")</f>
        <v>https://vt.tiktok.com/ZSxHPavfg/</v>
      </c>
      <c r="O2132" s="470"/>
      <c r="P2132" s="471" t="str">
        <f>IFERROR(__xludf.DUMMYFUNCTION("""COMPUTED_VALUE"""),"https://vt.tiktok.com/ZSxHPvDoX/")</f>
        <v>https://vt.tiktok.com/ZSxHPvDoX/</v>
      </c>
    </row>
    <row r="2133">
      <c r="A2133" s="282" t="str">
        <f>IFERROR(__xludf.DUMMYFUNCTION("""COMPUTED_VALUE"""),"MICRO")</f>
        <v>MICRO</v>
      </c>
      <c r="B2133" s="468" t="str">
        <f>IFERROR(__xludf.DUMMYFUNCTION("""COMPUTED_VALUE"""),"Y0ourbeautycare ")</f>
        <v>Y0ourbeautycare </v>
      </c>
      <c r="C2133" s="283" t="str">
        <f>IFERROR(__xludf.DUMMYFUNCTION("""COMPUTED_VALUE"""),"https://www.tiktok.com/@Y0ourbeautycare ")</f>
        <v>https://www.tiktok.com/@Y0ourbeautycare </v>
      </c>
      <c r="D2133" s="273">
        <f>IFERROR(__xludf.DUMMYFUNCTION("""COMPUTED_VALUE"""),8.2339567412E10)</f>
        <v>82339567412</v>
      </c>
      <c r="E2133" s="458">
        <f>IFERROR(__xludf.DUMMYFUNCTION("""COMPUTED_VALUE"""),0.0)</f>
        <v>0</v>
      </c>
      <c r="F2133" s="273">
        <f>IFERROR(__xludf.DUMMYFUNCTION("""COMPUTED_VALUE"""),2.0)</f>
        <v>2</v>
      </c>
      <c r="G2133" t="str">
        <f>IFERROR(__xludf.DUMMYFUNCTION("""COMPUTED_VALUE"""),"Sabun batang 1 Box ( 2 PCS )")</f>
        <v>Sabun batang 1 Box ( 2 PCS )</v>
      </c>
      <c r="H2133" s="469"/>
      <c r="I2133" s="470"/>
      <c r="J2133" s="471" t="str">
        <f>IFERROR(__xludf.DUMMYFUNCTION("""COMPUTED_VALUE"""),"https://vt.tiktok.com/ZSxHPGYwn/")</f>
        <v>https://vt.tiktok.com/ZSxHPGYwn/</v>
      </c>
      <c r="K2133" s="470"/>
      <c r="L2133" s="471" t="str">
        <f>IFERROR(__xludf.DUMMYFUNCTION("""COMPUTED_VALUE"""),"https://vt.tiktok.com/ZSxHPf6cq/")</f>
        <v>https://vt.tiktok.com/ZSxHPf6cq/</v>
      </c>
      <c r="M2133" s="470"/>
      <c r="N2133" s="471" t="str">
        <f>IFERROR(__xludf.DUMMYFUNCTION("""COMPUTED_VALUE"""),"https://vt.tiktok.com/ZSxHPf6cq/")</f>
        <v>https://vt.tiktok.com/ZSxHPf6cq/</v>
      </c>
      <c r="O2133" s="470"/>
      <c r="P2133" s="471" t="str">
        <f>IFERROR(__xludf.DUMMYFUNCTION("""COMPUTED_VALUE"""),"https://vt.tiktok.com/ZSxHPGYwn/")</f>
        <v>https://vt.tiktok.com/ZSxHPGYwn/</v>
      </c>
    </row>
    <row r="2134">
      <c r="A2134" s="282" t="str">
        <f>IFERROR(__xludf.DUMMYFUNCTION("""COMPUTED_VALUE"""),"MICRO")</f>
        <v>MICRO</v>
      </c>
      <c r="B2134" s="468" t="str">
        <f>IFERROR(__xludf.DUMMYFUNCTION("""COMPUTED_VALUE"""),"Aromatic25_")</f>
        <v>Aromatic25_</v>
      </c>
      <c r="C2134" s="283" t="str">
        <f>IFERROR(__xludf.DUMMYFUNCTION("""COMPUTED_VALUE"""),"https://www.tiktok.com/@Aromatic25_")</f>
        <v>https://www.tiktok.com/@Aromatic25_</v>
      </c>
      <c r="D2134" s="273">
        <f>IFERROR(__xludf.DUMMYFUNCTION("""COMPUTED_VALUE"""),8.9641774136E10)</f>
        <v>89641774136</v>
      </c>
      <c r="E2134" s="458">
        <f>IFERROR(__xludf.DUMMYFUNCTION("""COMPUTED_VALUE"""),0.0)</f>
        <v>0</v>
      </c>
      <c r="F2134" s="273">
        <f>IFERROR(__xludf.DUMMYFUNCTION("""COMPUTED_VALUE"""),2.0)</f>
        <v>2</v>
      </c>
      <c r="G2134" t="str">
        <f>IFERROR(__xludf.DUMMYFUNCTION("""COMPUTED_VALUE"""),"Sabun batang 1 Box ( 2 PCS )")</f>
        <v>Sabun batang 1 Box ( 2 PCS )</v>
      </c>
      <c r="H2134" s="469"/>
      <c r="I2134" s="470"/>
      <c r="J2134" s="471" t="str">
        <f>IFERROR(__xludf.DUMMYFUNCTION("""COMPUTED_VALUE"""),"https://vt.tiktok.com/ZSxHPxVWR/")</f>
        <v>https://vt.tiktok.com/ZSxHPxVWR/</v>
      </c>
      <c r="K2134" s="470"/>
      <c r="L2134" s="471" t="str">
        <f>IFERROR(__xludf.DUMMYFUNCTION("""COMPUTED_VALUE"""),"https://vt.tiktok.com/ZSxHPg46p/")</f>
        <v>https://vt.tiktok.com/ZSxHPg46p/</v>
      </c>
      <c r="M2134" s="470"/>
      <c r="N2134" s="471" t="str">
        <f>IFERROR(__xludf.DUMMYFUNCTION("""COMPUTED_VALUE"""),"https://vt.tiktok.com/ZSxHPg46p/")</f>
        <v>https://vt.tiktok.com/ZSxHPg46p/</v>
      </c>
      <c r="O2134" s="470"/>
      <c r="P2134" s="471" t="str">
        <f>IFERROR(__xludf.DUMMYFUNCTION("""COMPUTED_VALUE"""),"https://vt.tiktok.com/ZSxHPxVWR/")</f>
        <v>https://vt.tiktok.com/ZSxHPxVWR/</v>
      </c>
    </row>
    <row r="2135">
      <c r="A2135" s="282" t="str">
        <f>IFERROR(__xludf.DUMMYFUNCTION("""COMPUTED_VALUE"""),"MICRO")</f>
        <v>MICRO</v>
      </c>
      <c r="B2135" s="468" t="str">
        <f>IFERROR(__xludf.DUMMYFUNCTION("""COMPUTED_VALUE"""),"ayuratnasari11_")</f>
        <v>ayuratnasari11_</v>
      </c>
      <c r="C2135" s="283" t="str">
        <f>IFERROR(__xludf.DUMMYFUNCTION("""COMPUTED_VALUE"""),"https://www.tiktok.com/@ayuratnasari11_")</f>
        <v>https://www.tiktok.com/@ayuratnasari11_</v>
      </c>
      <c r="D2135" s="273">
        <f>IFERROR(__xludf.DUMMYFUNCTION("""COMPUTED_VALUE"""),8.5774592749E10)</f>
        <v>85774592749</v>
      </c>
      <c r="E2135" s="458">
        <f>IFERROR(__xludf.DUMMYFUNCTION("""COMPUTED_VALUE"""),0.0)</f>
        <v>0</v>
      </c>
      <c r="F2135" s="273">
        <f>IFERROR(__xludf.DUMMYFUNCTION("""COMPUTED_VALUE"""),2.0)</f>
        <v>2</v>
      </c>
      <c r="G2135" t="str">
        <f>IFERROR(__xludf.DUMMYFUNCTION("""COMPUTED_VALUE"""),"Sabun batang 1 Box ( 2 PCS )")</f>
        <v>Sabun batang 1 Box ( 2 PCS )</v>
      </c>
      <c r="H2135" s="469"/>
      <c r="I2135" s="470"/>
      <c r="J2135" s="471" t="str">
        <f>IFERROR(__xludf.DUMMYFUNCTION("""COMPUTED_VALUE"""),"https://www.tiktok.com/@ayuratnasari11_/video/7647079917347179794?_r=1&amp;u_code=d3md06hbfmcka8&amp;region=&amp;mid=7086563693013518338&amp;preview_pb=0&amp;sharer_language=&amp;_d=0&amp;ec_shared_reflux_dynamic_params=%7B%22placeholder_material_id%22%3A%227647079917347179794%22%2C"&amp;"%22placeholder_origin_cover%22%3A%22https%253A%252F%252Fp19-common-sign.tiktokcdn.com%252Ftos-alisg-p-0037%252FooITHjgA49AL8I8xRejhdPeAmTGKDC3gsDWUWf~tplv-tiktokx-origin.jpeg%253Fdr%253D14572%2526refresh_token%253De8ab022d%2526x-expires%253D1812099600%252"&amp;"6x-signature%253DFbAdArrkxVxOLN1PhXvpjiBlXmY%25253D%2526t%253D4d5b0474%2526ps%253D13740610%2526shp%253Dd05b14bd%2526shcp%253D34ff8df6%2526idc%253Dmy%2526s%253DTIKTOK_AFFILIATE_VIRAL_VIDEO%22%2C%22placeholder_product_id%22%3A%221729427766722726591%22%2C%22"&amp;"placeholder_video_id%22%3A%227647079917347179794%22%7D&amp;ec_shared_reflux_scene=shop_tab_feed&amp;share_item_id=7647079917347179794&amp;source=h5_t")</f>
        <v>https://www.tiktok.com/@ayuratnasari11_/video/7647079917347179794?_r=1&amp;u_code=d3md06hbfmcka8&amp;region=&amp;mid=7086563693013518338&amp;preview_pb=0&amp;sharer_language=&amp;_d=0&amp;ec_shared_reflux_dynamic_params=%7B%22placeholder_material_id%22%3A%227647079917347179794%22%2C%22placeholder_origin_cover%22%3A%22https%253A%252F%252Fp19-common-sign.tiktokcdn.com%252Ftos-alisg-p-0037%252FooITHjgA49AL8I8xRejhdPeAmTGKDC3gsDWUWf~tplv-tiktokx-origin.jpeg%253Fdr%253D14572%2526refresh_token%253De8ab022d%2526x-expires%253D1812099600%2526x-signature%253DFbAdArrkxVxOLN1PhXvpjiBlXmY%25253D%2526t%253D4d5b0474%2526ps%253D13740610%2526shp%253Dd05b14bd%2526shcp%253D34ff8df6%2526idc%253Dmy%2526s%253DTIKTOK_AFFILIATE_VIRAL_VIDEO%22%2C%22placeholder_product_id%22%3A%221729427766722726591%22%2C%22placeholder_video_id%22%3A%227647079917347179794%22%7D&amp;ec_shared_reflux_scene=shop_tab_feed&amp;share_item_id=7647079917347179794&amp;source=h5_t</v>
      </c>
      <c r="K2135" s="470"/>
      <c r="L2135" s="471" t="str">
        <f>IFERROR(__xludf.DUMMYFUNCTION("""COMPUTED_VALUE"""),"https://www.tiktok.com/@ayuratnasari11_/video/7647345266407853319?_r=1&amp;u_code=d3md06hbfmcka8&amp;region=&amp;mid=7637661323521837845&amp;preview_pb=0&amp;sharer_language=&amp;_d=0&amp;ec_shared_reflux_dynamic_params=%7B%22placeholder_material_id%22%3A%227647345266407853319%22%2C"&amp;"%22placeholder_origin_cover%22%3A%22https%253A%252F%252Fp16-common-sign.tiktokcdn.com%252Ftos-alisg-p-0037%252Fok127PEniYciBvOvvYITiAo6XgADAITIAaB85~tplv-tiktokx-origin.jpeg%253Fdr%253D14572%2526refresh_token%253Dc4d12b7c%2526x-expires%253D1812099600%2526"&amp;"x-signature%253DGtgsbRq5HbffX8dJBvWOGIyWADU%25253D%2526t%253D4d5b0474%2526ps%253D13740610%2526shp%253Dd05b14bd%2526shcp%253D34ff8df6%2526idc%253Dmy%2526s%253DTIKTOK_AFFILIATE_VIRAL_VIDEO%22%2C%22placeholder_product_id%22%3A%221729427766722726591%22%2C%22p"&amp;"laceholder_video_id%22%3A%227647345266407853319%22%7D&amp;ec_shared_reflux_scene=shop_tab_feed&amp;share_item_id=7647345266407853319&amp;source=h5_t")</f>
        <v>https://www.tiktok.com/@ayuratnasari11_/video/7647345266407853319?_r=1&amp;u_code=d3md06hbfmcka8&amp;region=&amp;mid=7637661323521837845&amp;preview_pb=0&amp;sharer_language=&amp;_d=0&amp;ec_shared_reflux_dynamic_params=%7B%22placeholder_material_id%22%3A%227647345266407853319%22%2C%22placeholder_origin_cover%22%3A%22https%253A%252F%252Fp16-common-sign.tiktokcdn.com%252Ftos-alisg-p-0037%252Fok127PEniYciBvOvvYITiAo6XgADAITIAaB85~tplv-tiktokx-origin.jpeg%253Fdr%253D14572%2526refresh_token%253Dc4d12b7c%2526x-expires%253D1812099600%2526x-signature%253DGtgsbRq5HbffX8dJBvWOGIyWADU%25253D%2526t%253D4d5b0474%2526ps%253D13740610%2526shp%253Dd05b14bd%2526shcp%253D34ff8df6%2526idc%253Dmy%2526s%253DTIKTOK_AFFILIATE_VIRAL_VIDEO%22%2C%22placeholder_product_id%22%3A%221729427766722726591%22%2C%22placeholder_video_id%22%3A%227647345266407853319%22%7D&amp;ec_shared_reflux_scene=shop_tab_feed&amp;share_item_id=7647345266407853319&amp;source=h5_t</v>
      </c>
      <c r="M2135" s="470"/>
      <c r="N2135" s="471" t="str">
        <f>IFERROR(__xludf.DUMMYFUNCTION("""COMPUTED_VALUE"""),"https://vt.tiktok.com/ZSxHPGqSd/")</f>
        <v>https://vt.tiktok.com/ZSxHPGqSd/</v>
      </c>
      <c r="O2135" s="470"/>
      <c r="P2135" s="471" t="str">
        <f>IFERROR(__xludf.DUMMYFUNCTION("""COMPUTED_VALUE"""),"https://vt.tiktok.com/ZSxHPvuK9/")</f>
        <v>https://vt.tiktok.com/ZSxHPvuK9/</v>
      </c>
    </row>
    <row r="2136">
      <c r="A2136" s="282" t="str">
        <f>IFERROR(__xludf.DUMMYFUNCTION("""COMPUTED_VALUE"""),"MICRO")</f>
        <v>MICRO</v>
      </c>
      <c r="B2136" s="468" t="str">
        <f>IFERROR(__xludf.DUMMYFUNCTION("""COMPUTED_VALUE"""),"Ratnify")</f>
        <v>Ratnify</v>
      </c>
      <c r="C2136" s="283" t="str">
        <f>IFERROR(__xludf.DUMMYFUNCTION("""COMPUTED_VALUE"""),"https://www.tiktok.com/@Ratnify")</f>
        <v>https://www.tiktok.com/@Ratnify</v>
      </c>
      <c r="D2136" s="273">
        <f>IFERROR(__xludf.DUMMYFUNCTION("""COMPUTED_VALUE"""),8.155411992E10)</f>
        <v>81554119920</v>
      </c>
      <c r="E2136" s="458">
        <f>IFERROR(__xludf.DUMMYFUNCTION("""COMPUTED_VALUE"""),0.0)</f>
        <v>0</v>
      </c>
      <c r="F2136" s="273">
        <f>IFERROR(__xludf.DUMMYFUNCTION("""COMPUTED_VALUE"""),2.0)</f>
        <v>2</v>
      </c>
      <c r="G2136" t="str">
        <f>IFERROR(__xludf.DUMMYFUNCTION("""COMPUTED_VALUE"""),"Sabun batang 1 Box ( 2 PCS )")</f>
        <v>Sabun batang 1 Box ( 2 PCS )</v>
      </c>
      <c r="H2136" s="469"/>
      <c r="I2136" s="470"/>
      <c r="J2136" s="471" t="str">
        <f>IFERROR(__xludf.DUMMYFUNCTION("""COMPUTED_VALUE"""),"https://vt.tiktok.com/ZSxW5Gq4E/")</f>
        <v>https://vt.tiktok.com/ZSxW5Gq4E/</v>
      </c>
      <c r="K2136" s="470"/>
      <c r="L2136" s="471" t="str">
        <f>IFERROR(__xludf.DUMMYFUNCTION("""COMPUTED_VALUE"""),"https://vt.tiktok.com/ZSxW5ppSA/")</f>
        <v>https://vt.tiktok.com/ZSxW5ppSA/</v>
      </c>
      <c r="M2136" s="470"/>
      <c r="N2136" s="471" t="str">
        <f>IFERROR(__xludf.DUMMYFUNCTION("""COMPUTED_VALUE"""),"https://vt.tiktok.com/ZSxHPvXuP/")</f>
        <v>https://vt.tiktok.com/ZSxHPvXuP/</v>
      </c>
      <c r="O2136" s="470"/>
      <c r="P2136" s="471" t="str">
        <f>IFERROR(__xludf.DUMMYFUNCTION("""COMPUTED_VALUE"""),"https://vt.tiktok.com/ZSxHPGgb6/")</f>
        <v>https://vt.tiktok.com/ZSxHPGgb6/</v>
      </c>
    </row>
    <row r="2137">
      <c r="A2137" s="282" t="str">
        <f>IFERROR(__xludf.DUMMYFUNCTION("""COMPUTED_VALUE"""),"MICRO")</f>
        <v>MICRO</v>
      </c>
      <c r="B2137" s="468" t="str">
        <f>IFERROR(__xludf.DUMMYFUNCTION("""COMPUTED_VALUE"""),"Henny.armany18")</f>
        <v>Henny.armany18</v>
      </c>
      <c r="C2137" s="283" t="str">
        <f>IFERROR(__xludf.DUMMYFUNCTION("""COMPUTED_VALUE"""),"https://www.tiktok.com/@Henny.armany18")</f>
        <v>https://www.tiktok.com/@Henny.armany18</v>
      </c>
      <c r="D2137" s="273">
        <f>IFERROR(__xludf.DUMMYFUNCTION("""COMPUTED_VALUE"""),8.95379402958E11)</f>
        <v>895379402958</v>
      </c>
      <c r="E2137" s="458">
        <f>IFERROR(__xludf.DUMMYFUNCTION("""COMPUTED_VALUE"""),0.0)</f>
        <v>0</v>
      </c>
      <c r="F2137" s="273">
        <f>IFERROR(__xludf.DUMMYFUNCTION("""COMPUTED_VALUE"""),2.0)</f>
        <v>2</v>
      </c>
      <c r="G2137" t="str">
        <f>IFERROR(__xludf.DUMMYFUNCTION("""COMPUTED_VALUE"""),"Sabun batang 1 Box ( 2 PCS )")</f>
        <v>Sabun batang 1 Box ( 2 PCS )</v>
      </c>
      <c r="H2137" s="469"/>
      <c r="I2137" s="470"/>
      <c r="J2137" s="471" t="str">
        <f>IFERROR(__xludf.DUMMYFUNCTION("""COMPUTED_VALUE"""),"https://vt.tiktok.com/ZSxTrC5sq/")</f>
        <v>https://vt.tiktok.com/ZSxTrC5sq/</v>
      </c>
      <c r="K2137" s="470"/>
      <c r="L2137" s="471" t="str">
        <f>IFERROR(__xludf.DUMMYFUNCTION("""COMPUTED_VALUE"""),"https://vt.tiktok.com/ZSxTrtuEo/")</f>
        <v>https://vt.tiktok.com/ZSxTrtuEo/</v>
      </c>
      <c r="M2137" s="470"/>
      <c r="N2137" s="471" t="str">
        <f>IFERROR(__xludf.DUMMYFUNCTION("""COMPUTED_VALUE"""),"https://vt.tiktok.com/ZSxHPnRos/")</f>
        <v>https://vt.tiktok.com/ZSxHPnRos/</v>
      </c>
      <c r="O2137" s="470"/>
      <c r="P2137" s="471" t="str">
        <f>IFERROR(__xludf.DUMMYFUNCTION("""COMPUTED_VALUE"""),"https://vt.tiktok.com/ZSxHPsjGm/")</f>
        <v>https://vt.tiktok.com/ZSxHPsjGm/</v>
      </c>
    </row>
    <row r="2138">
      <c r="A2138" s="282" t="str">
        <f>IFERROR(__xludf.DUMMYFUNCTION("""COMPUTED_VALUE"""),"MICRO")</f>
        <v>MICRO</v>
      </c>
      <c r="B2138" s="468" t="str">
        <f>IFERROR(__xludf.DUMMYFUNCTION("""COMPUTED_VALUE"""),"moodilaa")</f>
        <v>moodilaa</v>
      </c>
      <c r="C2138" s="283" t="str">
        <f>IFERROR(__xludf.DUMMYFUNCTION("""COMPUTED_VALUE"""),"https://www.tiktok.com/@moodilaa")</f>
        <v>https://www.tiktok.com/@moodilaa</v>
      </c>
      <c r="D2138" s="273">
        <f>IFERROR(__xludf.DUMMYFUNCTION("""COMPUTED_VALUE"""),8.7748853919E10)</f>
        <v>87748853919</v>
      </c>
      <c r="E2138" s="458">
        <f>IFERROR(__xludf.DUMMYFUNCTION("""COMPUTED_VALUE"""),0.0)</f>
        <v>0</v>
      </c>
      <c r="F2138" s="273">
        <f>IFERROR(__xludf.DUMMYFUNCTION("""COMPUTED_VALUE"""),2.0)</f>
        <v>2</v>
      </c>
      <c r="G2138" t="str">
        <f>IFERROR(__xludf.DUMMYFUNCTION("""COMPUTED_VALUE"""),"Sabun batang 1 Box ( 2 PCS )")</f>
        <v>Sabun batang 1 Box ( 2 PCS )</v>
      </c>
      <c r="H2138" s="469"/>
      <c r="I2138" s="470"/>
      <c r="J2138" s="471" t="str">
        <f>IFERROR(__xludf.DUMMYFUNCTION("""COMPUTED_VALUE"""),"https://vt.tiktok.com/ZSxHPCAgL/")</f>
        <v>https://vt.tiktok.com/ZSxHPCAgL/</v>
      </c>
      <c r="K2138" s="470"/>
      <c r="L2138" s="471" t="str">
        <f>IFERROR(__xludf.DUMMYFUNCTION("""COMPUTED_VALUE"""),"https://vt.tiktok.com/ZSxHPWo97/")</f>
        <v>https://vt.tiktok.com/ZSxHPWo97/</v>
      </c>
      <c r="M2138" s="470"/>
      <c r="N2138" s="471" t="str">
        <f>IFERROR(__xludf.DUMMYFUNCTION("""COMPUTED_VALUE"""),"https://vt.tiktok.com/ZSxHPWo97/")</f>
        <v>https://vt.tiktok.com/ZSxHPWo97/</v>
      </c>
      <c r="O2138" s="470"/>
      <c r="P2138" s="471" t="str">
        <f>IFERROR(__xludf.DUMMYFUNCTION("""COMPUTED_VALUE"""),"https://vt.tiktok.com/ZSxHPCAgL/")</f>
        <v>https://vt.tiktok.com/ZSxHPCAgL/</v>
      </c>
    </row>
    <row r="2139">
      <c r="A2139" s="282" t="str">
        <f>IFERROR(__xludf.DUMMYFUNCTION("""COMPUTED_VALUE"""),"MICRO")</f>
        <v>MICRO</v>
      </c>
      <c r="B2139" s="468" t="str">
        <f>IFERROR(__xludf.DUMMYFUNCTION("""COMPUTED_VALUE"""),"Cacantikan")</f>
        <v>Cacantikan</v>
      </c>
      <c r="C2139" s="283" t="str">
        <f>IFERROR(__xludf.DUMMYFUNCTION("""COMPUTED_VALUE"""),"https://www.tiktok.com/@Cacantikan")</f>
        <v>https://www.tiktok.com/@Cacantikan</v>
      </c>
      <c r="D2139" s="273">
        <f>IFERROR(__xludf.DUMMYFUNCTION("""COMPUTED_VALUE"""),8.5764149789E10)</f>
        <v>85764149789</v>
      </c>
      <c r="E2139" s="458">
        <f>IFERROR(__xludf.DUMMYFUNCTION("""COMPUTED_VALUE"""),0.0)</f>
        <v>0</v>
      </c>
      <c r="F2139" s="273">
        <f>IFERROR(__xludf.DUMMYFUNCTION("""COMPUTED_VALUE"""),2.0)</f>
        <v>2</v>
      </c>
      <c r="G2139" t="str">
        <f>IFERROR(__xludf.DUMMYFUNCTION("""COMPUTED_VALUE"""),"Sabun batang 1 Box ( 2 PCS )")</f>
        <v>Sabun batang 1 Box ( 2 PCS )</v>
      </c>
      <c r="H2139" s="469"/>
      <c r="I2139" s="470"/>
      <c r="J2139" s="471" t="str">
        <f>IFERROR(__xludf.DUMMYFUNCTION("""COMPUTED_VALUE"""),"https://vt.tiktok.com/ZSxHPWYhq/")</f>
        <v>https://vt.tiktok.com/ZSxHPWYhq/</v>
      </c>
      <c r="K2139" s="470"/>
      <c r="L2139" s="471" t="str">
        <f>IFERROR(__xludf.DUMMYFUNCTION("""COMPUTED_VALUE"""),"https://vt.tiktok.com/ZSxHPphbF/")</f>
        <v>https://vt.tiktok.com/ZSxHPphbF/</v>
      </c>
      <c r="M2139" s="470"/>
      <c r="N2139" s="471" t="str">
        <f>IFERROR(__xludf.DUMMYFUNCTION("""COMPUTED_VALUE"""),"https://vt.tiktok.com/ZSxHPphbF/")</f>
        <v>https://vt.tiktok.com/ZSxHPphbF/</v>
      </c>
      <c r="O2139" s="470"/>
      <c r="P2139" s="471" t="str">
        <f>IFERROR(__xludf.DUMMYFUNCTION("""COMPUTED_VALUE"""),"https://vt.tiktok.com/ZSxHPWYhq/")</f>
        <v>https://vt.tiktok.com/ZSxHPWYhq/</v>
      </c>
    </row>
    <row r="2140">
      <c r="A2140" s="282" t="str">
        <f>IFERROR(__xludf.DUMMYFUNCTION("""COMPUTED_VALUE"""),"MICRO")</f>
        <v>MICRO</v>
      </c>
      <c r="B2140" s="468" t="str">
        <f>IFERROR(__xludf.DUMMYFUNCTION("""COMPUTED_VALUE"""),"Shintaframutii ")</f>
        <v>Shintaframutii </v>
      </c>
      <c r="C2140" s="283" t="str">
        <f>IFERROR(__xludf.DUMMYFUNCTION("""COMPUTED_VALUE"""),"https://www.tiktok.com/@Shintaframutii ")</f>
        <v>https://www.tiktok.com/@Shintaframutii </v>
      </c>
      <c r="D2140" s="273">
        <f>IFERROR(__xludf.DUMMYFUNCTION("""COMPUTED_VALUE"""),8.5776264886E10)</f>
        <v>85776264886</v>
      </c>
      <c r="E2140" s="458">
        <f>IFERROR(__xludf.DUMMYFUNCTION("""COMPUTED_VALUE"""),0.0)</f>
        <v>0</v>
      </c>
      <c r="F2140" s="273">
        <f>IFERROR(__xludf.DUMMYFUNCTION("""COMPUTED_VALUE"""),2.0)</f>
        <v>2</v>
      </c>
      <c r="G2140" t="str">
        <f>IFERROR(__xludf.DUMMYFUNCTION("""COMPUTED_VALUE"""),"Sabun batang 1 Box ( 2 PCS )")</f>
        <v>Sabun batang 1 Box ( 2 PCS )</v>
      </c>
      <c r="H2140" s="469"/>
      <c r="I2140" s="470"/>
      <c r="J2140" s="471" t="str">
        <f>IFERROR(__xludf.DUMMYFUNCTION("""COMPUTED_VALUE"""),"https://www.tiktok.com/@shintaframutii/video/7646729864489225480?_r=1&amp;u_code=dd960l8cdgb77c&amp;region=&amp;mid=7633310866888674056&amp;preview_pb=0&amp;sharer_language=&amp;_d=0&amp;ec_shared_reflux_dynamic_params=%7B%22placeholder_material_id%22%3A%227646729864489225480%22%2C%"&amp;"22placeholder_origin_cover%22%3A%22https%253A%252F%252Fp16-common-sign.tiktokcdn.com%252Ftos-alisg-p-0037%252FoUR9tWOERJRxDQeQGBFqASgDgGUwwB9KfqHEz1~tplv-tiktokx-origin.jpeg%253Fdr%253D14572%2526refresh_token%253D27b5c218%2526x-expires%253D1812099600%2526"&amp;"x-signature%253DkQth6e4LgdjVjVQIxTSpjqsYUf0%25253D%2526t%253D4d5b0474%2526ps%253D13740610%2526shp%253Dd05b14bd%2526shcp%253D34ff8df6%2526idc%253Dmy%2526s%253DTIKTOK_AFFILIATE_VIRAL_VIDEO%22%2C%22placeholder_product_id%22%3A%221729427766722726591%22%2C%22p"&amp;"laceholder_video_id%22%3A%227646729864489225480%22%7D&amp;ec_shared_reflux_scene=shop_tab_feed&amp;share_item_id=7646729864489225480&amp;source=h5_t")</f>
        <v>https://www.tiktok.com/@shintaframutii/video/7646729864489225480?_r=1&amp;u_code=dd960l8cdgb77c&amp;region=&amp;mid=7633310866888674056&amp;preview_pb=0&amp;sharer_language=&amp;_d=0&amp;ec_shared_reflux_dynamic_params=%7B%22placeholder_material_id%22%3A%227646729864489225480%22%2C%22placeholder_origin_cover%22%3A%22https%253A%252F%252Fp16-common-sign.tiktokcdn.com%252Ftos-alisg-p-0037%252FoUR9tWOERJRxDQeQGBFqASgDgGUwwB9KfqHEz1~tplv-tiktokx-origin.jpeg%253Fdr%253D14572%2526refresh_token%253D27b5c218%2526x-expires%253D1812099600%2526x-signature%253DkQth6e4LgdjVjVQIxTSpjqsYUf0%25253D%2526t%253D4d5b0474%2526ps%253D13740610%2526shp%253Dd05b14bd%2526shcp%253D34ff8df6%2526idc%253Dmy%2526s%253DTIKTOK_AFFILIATE_VIRAL_VIDEO%22%2C%22placeholder_product_id%22%3A%221729427766722726591%22%2C%22placeholder_video_id%22%3A%227646729864489225480%22%7D&amp;ec_shared_reflux_scene=shop_tab_feed&amp;share_item_id=7646729864489225480&amp;source=h5_t</v>
      </c>
      <c r="K2140" s="470"/>
      <c r="L2140" s="471" t="str">
        <f>IFERROR(__xludf.DUMMYFUNCTION("""COMPUTED_VALUE"""),"https://www.tiktok.com/@shintaframutii/video/7647452149944732936?_r=1&amp;u_code=dd960l8cdgb77c&amp;region=&amp;mid=7625393881494226960&amp;preview_pb=0&amp;sharer_language=&amp;_d=0&amp;ec_shared_reflux_dynamic_params=%7B%22placeholder_material_id%22%3A%227647452149944732936%22%2C%"&amp;"22placeholder_origin_cover%22%3A%22https%253A%252F%252Fp16-common-sign.tiktokcdn.com%252Ftos-alisg-p-0037%252FooYQUQNZgAPRBC7IRFf1TqDBBWIEaEERUeZ9Ch~tplv-tiktokx-origin.jpeg%253Fdr%253D14572%2526refresh_token%253D372ba9f3%2526x-expires%253D1812099600%2526"&amp;"x-signature%253DTOiCuw4Zs5KKBNNC8QWVGOM6%25252FaE%25253D%2526t%253D4d5b0474%2526ps%253D13740610%2526shp%253Dd05b14bd%2526shcp%253D34ff8df6%2526idc%253Dmy%2526s%253DTIKTOK_AFFILIATE_VIRAL_VIDEO%22%2C%22placeholder_product_id%22%3A%221729729730555512511%22%"&amp;"2C%22placeholder_video_id%22%3A%227647452149944732936%22%7D&amp;ec_shared_reflux_scene=shop_tab_feed&amp;share_item_id=7647452149944732936&amp;source=h5_t")</f>
        <v>https://www.tiktok.com/@shintaframutii/video/7647452149944732936?_r=1&amp;u_code=dd960l8cdgb77c&amp;region=&amp;mid=7625393881494226960&amp;preview_pb=0&amp;sharer_language=&amp;_d=0&amp;ec_shared_reflux_dynamic_params=%7B%22placeholder_material_id%22%3A%227647452149944732936%22%2C%22placeholder_origin_cover%22%3A%22https%253A%252F%252Fp16-common-sign.tiktokcdn.com%252Ftos-alisg-p-0037%252FooYQUQNZgAPRBC7IRFf1TqDBBWIEaEERUeZ9Ch~tplv-tiktokx-origin.jpeg%253Fdr%253D14572%2526refresh_token%253D372ba9f3%2526x-expires%253D1812099600%2526x-signature%253DTOiCuw4Zs5KKBNNC8QWVGOM6%25252FaE%25253D%2526t%253D4d5b0474%2526ps%253D13740610%2526shp%253Dd05b14bd%2526shcp%253D34ff8df6%2526idc%253Dmy%2526s%253DTIKTOK_AFFILIATE_VIRAL_VIDEO%22%2C%22placeholder_product_id%22%3A%221729729730555512511%22%2C%22placeholder_video_id%22%3A%227647452149944732936%22%7D&amp;ec_shared_reflux_scene=shop_tab_feed&amp;share_item_id=7647452149944732936&amp;source=h5_t</v>
      </c>
      <c r="M2140" s="470"/>
      <c r="N2140" s="471" t="str">
        <f>IFERROR(__xludf.DUMMYFUNCTION("""COMPUTED_VALUE"""),"https://vt.tiktok.com/ZSxHP4Pbt/")</f>
        <v>https://vt.tiktok.com/ZSxHP4Pbt/</v>
      </c>
      <c r="O2140" s="470"/>
      <c r="P2140" s="471" t="str">
        <f>IFERROR(__xludf.DUMMYFUNCTION("""COMPUTED_VALUE"""),"https://vt.tiktok.com/ZSxHPvptF/")</f>
        <v>https://vt.tiktok.com/ZSxHPvptF/</v>
      </c>
    </row>
    <row r="2141">
      <c r="A2141" s="282" t="str">
        <f>IFERROR(__xludf.DUMMYFUNCTION("""COMPUTED_VALUE"""),"MICRO")</f>
        <v>MICRO</v>
      </c>
      <c r="B2141" s="468" t="str">
        <f>IFERROR(__xludf.DUMMYFUNCTION("""COMPUTED_VALUE"""),"azurayumna.s")</f>
        <v>azurayumna.s</v>
      </c>
      <c r="C2141" s="283" t="str">
        <f>IFERROR(__xludf.DUMMYFUNCTION("""COMPUTED_VALUE"""),"https://www.tiktok.com/@azurayumna.s")</f>
        <v>https://www.tiktok.com/@azurayumna.s</v>
      </c>
      <c r="D2141" s="273">
        <f>IFERROR(__xludf.DUMMYFUNCTION("""COMPUTED_VALUE"""),8.95330773055E11)</f>
        <v>895330773055</v>
      </c>
      <c r="E2141" s="458">
        <f>IFERROR(__xludf.DUMMYFUNCTION("""COMPUTED_VALUE"""),0.0)</f>
        <v>0</v>
      </c>
      <c r="F2141" s="273">
        <f>IFERROR(__xludf.DUMMYFUNCTION("""COMPUTED_VALUE"""),2.0)</f>
        <v>2</v>
      </c>
      <c r="G2141" t="str">
        <f>IFERROR(__xludf.DUMMYFUNCTION("""COMPUTED_VALUE"""),"Sabun batang 1 Box ( 2 PCS )")</f>
        <v>Sabun batang 1 Box ( 2 PCS )</v>
      </c>
      <c r="H2141" s="469"/>
      <c r="I2141" s="470"/>
      <c r="J2141" s="471" t="str">
        <f>IFERROR(__xludf.DUMMYFUNCTION("""COMPUTED_VALUE"""),"https://www.tiktok.com/@azurayumna.s/video/7647428246367210772?_r=1&amp;u_code=el7l37430979h6&amp;region=&amp;mid=6954430693141137410&amp;preview_pb=0&amp;sharer_language=&amp;_d=0&amp;ec_shared_reflux_dynamic_params=%7B%22placeholder_material_id%22%3A%227647428246367210772%22%2C%22"&amp;"placeholder_origin_cover%22%3A%22https%253A%252F%252Fp16-common-sign.tiktokcdn.com%252Ftos-alisg-p-0037%252FooIhh1VCaAIzwwIQyxIAoiiAfHBJLECOFvsc4u~tplv-tiktokx-origin.jpeg%253Fdr%253D14572%2526refresh_token%253D9bc4edba%2526x-expires%253D1812099600%2526x-"&amp;"signature%253Do8fFF4iTSbF3zQLu9Vw0XO3Hb10%25253D%2526t%253D4d5b0474%2526ps%253D13740610%2526shp%253Dd05b14bd%2526shcp%253D34ff8df6%2526idc%253Dmy%2526s%253DTIKTOK_AFFILIATE_VIRAL_VIDEO%22%2C%22placeholder_product_id%22%3A%221729427766722726591%22%2C%22pla"&amp;"ceholder_video_id%22%3A%227647428246367210772%22%7D&amp;ec_shared_reflux_scene=shop_tab_feed&amp;share_item_id=7647428246367210772&amp;source=h5_t")</f>
        <v>https://www.tiktok.com/@azurayumna.s/video/7647428246367210772?_r=1&amp;u_code=el7l37430979h6&amp;region=&amp;mid=6954430693141137410&amp;preview_pb=0&amp;sharer_language=&amp;_d=0&amp;ec_shared_reflux_dynamic_params=%7B%22placeholder_material_id%22%3A%227647428246367210772%22%2C%22placeholder_origin_cover%22%3A%22https%253A%252F%252Fp16-common-sign.tiktokcdn.com%252Ftos-alisg-p-0037%252FooIhh1VCaAIzwwIQyxIAoiiAfHBJLECOFvsc4u~tplv-tiktokx-origin.jpeg%253Fdr%253D14572%2526refresh_token%253D9bc4edba%2526x-expires%253D1812099600%2526x-signature%253Do8fFF4iTSbF3zQLu9Vw0XO3Hb10%25253D%2526t%253D4d5b0474%2526ps%253D13740610%2526shp%253Dd05b14bd%2526shcp%253D34ff8df6%2526idc%253Dmy%2526s%253DTIKTOK_AFFILIATE_VIRAL_VIDEO%22%2C%22placeholder_product_id%22%3A%221729427766722726591%22%2C%22placeholder_video_id%22%3A%227647428246367210772%22%7D&amp;ec_shared_reflux_scene=shop_tab_feed&amp;share_item_id=7647428246367210772&amp;source=h5_t</v>
      </c>
      <c r="K2141" s="470"/>
      <c r="L2141" s="471" t="str">
        <f>IFERROR(__xludf.DUMMYFUNCTION("""COMPUTED_VALUE"""),"https://www.tiktok.com/@azurayumna.s/video/7647450342510136596?_r=1&amp;u_code=el7l37430979h6&amp;region=&amp;mid=7633160926623075090&amp;preview_pb=0&amp;sharer_language=&amp;_d=0&amp;ec_shared_reflux_dynamic_params=%7B%22placeholder_material_id%22%3A%227647450342510136596%22%2C%22"&amp;"placeholder_origin_cover%22%3A%22https%253A%252F%252Fp16-common-sign.tiktokcdn.com%252Ftos-alisg-p-0037%252FoMVO2DcDqBMn8AeFEGLTyAIuEBlhfIvgHRI50H~tplv-tiktokx-origin.jpeg%253Fdr%253D14572%2526refresh_token%253Dfeef3dc3%2526x-expires%253D1812099600%2526x-"&amp;"signature%253DRXs%25252FvAtrH0and3bgVEJMmKBR7LQ%25253D%2526t%253D4d5b0474%2526ps%253D13740610%2526shp%253Dd05b14bd%2526shcp%253D34ff8df6%2526idc%253Dmy%2526s%253DTIKTOK_AFFILIATE_VIRAL_VIDEO%22%2C%22placeholder_product_id%22%3A%221729427766722726591%22%2C"&amp;"%22placeholder_video_id%22%3A%227647450342510136596%22%7D&amp;ec_shared_reflux_scene=shop_tab_feed&amp;share_item_id=7647450342510136596&amp;source=h5_t")</f>
        <v>https://www.tiktok.com/@azurayumna.s/video/7647450342510136596?_r=1&amp;u_code=el7l37430979h6&amp;region=&amp;mid=7633160926623075090&amp;preview_pb=0&amp;sharer_language=&amp;_d=0&amp;ec_shared_reflux_dynamic_params=%7B%22placeholder_material_id%22%3A%227647450342510136596%22%2C%22placeholder_origin_cover%22%3A%22https%253A%252F%252Fp16-common-sign.tiktokcdn.com%252Ftos-alisg-p-0037%252FoMVO2DcDqBMn8AeFEGLTyAIuEBlhfIvgHRI50H~tplv-tiktokx-origin.jpeg%253Fdr%253D14572%2526refresh_token%253Dfeef3dc3%2526x-expires%253D1812099600%2526x-signature%253DRXs%25252FvAtrH0and3bgVEJMmKBR7LQ%25253D%2526t%253D4d5b0474%2526ps%253D13740610%2526shp%253Dd05b14bd%2526shcp%253D34ff8df6%2526idc%253Dmy%2526s%253DTIKTOK_AFFILIATE_VIRAL_VIDEO%22%2C%22placeholder_product_id%22%3A%221729427766722726591%22%2C%22placeholder_video_id%22%3A%227647450342510136596%22%7D&amp;ec_shared_reflux_scene=shop_tab_feed&amp;share_item_id=7647450342510136596&amp;source=h5_t</v>
      </c>
      <c r="M2141" s="470"/>
      <c r="N2141" s="471" t="str">
        <f>IFERROR(__xludf.DUMMYFUNCTION("""COMPUTED_VALUE"""),"https://vt.tiktok.com/ZSxHP9Kkk/")</f>
        <v>https://vt.tiktok.com/ZSxHP9Kkk/</v>
      </c>
      <c r="O2141" s="470"/>
      <c r="P2141" s="471" t="str">
        <f>IFERROR(__xludf.DUMMYFUNCTION("""COMPUTED_VALUE"""),"https://vt.tiktok.com/ZSxHPv1Ak/")</f>
        <v>https://vt.tiktok.com/ZSxHPv1Ak/</v>
      </c>
    </row>
    <row r="2142">
      <c r="A2142" s="282" t="str">
        <f>IFERROR(__xludf.DUMMYFUNCTION("""COMPUTED_VALUE"""),"MICRO")</f>
        <v>MICRO</v>
      </c>
      <c r="B2142" s="468" t="str">
        <f>IFERROR(__xludf.DUMMYFUNCTION("""COMPUTED_VALUE"""),"17adeliashop ")</f>
        <v>17adeliashop </v>
      </c>
      <c r="C2142" s="283" t="str">
        <f>IFERROR(__xludf.DUMMYFUNCTION("""COMPUTED_VALUE"""),"https://www.tiktok.com/@17adeliashop ")</f>
        <v>https://www.tiktok.com/@17adeliashop </v>
      </c>
      <c r="D2142" s="273">
        <f>IFERROR(__xludf.DUMMYFUNCTION("""COMPUTED_VALUE"""),8.1541514046E10)</f>
        <v>81541514046</v>
      </c>
      <c r="E2142" s="458">
        <f>IFERROR(__xludf.DUMMYFUNCTION("""COMPUTED_VALUE"""),0.0)</f>
        <v>0</v>
      </c>
      <c r="F2142" s="273">
        <f>IFERROR(__xludf.DUMMYFUNCTION("""COMPUTED_VALUE"""),2.0)</f>
        <v>2</v>
      </c>
      <c r="G2142" t="str">
        <f>IFERROR(__xludf.DUMMYFUNCTION("""COMPUTED_VALUE"""),"Sabun batang 1 Box ( 2 PCS )")</f>
        <v>Sabun batang 1 Box ( 2 PCS )</v>
      </c>
      <c r="H2142" s="469"/>
      <c r="I2142" s="470"/>
      <c r="J2142" s="471" t="str">
        <f>IFERROR(__xludf.DUMMYFUNCTION("""COMPUTED_VALUE"""),"https://vt.tiktok.com/ZSxWk2frB/")</f>
        <v>https://vt.tiktok.com/ZSxWk2frB/</v>
      </c>
      <c r="K2142" s="470"/>
      <c r="L2142" s="471" t="str">
        <f>IFERROR(__xludf.DUMMYFUNCTION("""COMPUTED_VALUE"""),"https://vt.tiktok.com/ZSxWk8we1/")</f>
        <v>https://vt.tiktok.com/ZSxWk8we1/</v>
      </c>
      <c r="M2142" s="470"/>
      <c r="N2142" s="471" t="str">
        <f>IFERROR(__xludf.DUMMYFUNCTION("""COMPUTED_VALUE"""),"https://vt.tiktok.com/ZSxHPNp3H/")</f>
        <v>https://vt.tiktok.com/ZSxHPNp3H/</v>
      </c>
      <c r="O2142" s="470"/>
      <c r="P2142" s="471" t="str">
        <f>IFERROR(__xludf.DUMMYFUNCTION("""COMPUTED_VALUE"""),"https://vt.tiktok.com/ZSxHPDfwU/")</f>
        <v>https://vt.tiktok.com/ZSxHPDfwU/</v>
      </c>
    </row>
    <row r="2143">
      <c r="A2143" s="282" t="str">
        <f>IFERROR(__xludf.DUMMYFUNCTION("""COMPUTED_VALUE"""),"MICRO")</f>
        <v>MICRO</v>
      </c>
      <c r="B2143" s="468" t="str">
        <f>IFERROR(__xludf.DUMMYFUNCTION("""COMPUTED_VALUE"""),"beauty.bynuva")</f>
        <v>beauty.bynuva</v>
      </c>
      <c r="C2143" s="283" t="str">
        <f>IFERROR(__xludf.DUMMYFUNCTION("""COMPUTED_VALUE"""),"https://www.tiktok.com/@beauty.bynuva")</f>
        <v>https://www.tiktok.com/@beauty.bynuva</v>
      </c>
      <c r="D2143" s="273">
        <f>IFERROR(__xludf.DUMMYFUNCTION("""COMPUTED_VALUE"""),8.1225171878E10)</f>
        <v>81225171878</v>
      </c>
      <c r="E2143" s="458">
        <f>IFERROR(__xludf.DUMMYFUNCTION("""COMPUTED_VALUE"""),0.0)</f>
        <v>0</v>
      </c>
      <c r="F2143" s="273">
        <f>IFERROR(__xludf.DUMMYFUNCTION("""COMPUTED_VALUE"""),2.0)</f>
        <v>2</v>
      </c>
      <c r="G2143" t="str">
        <f>IFERROR(__xludf.DUMMYFUNCTION("""COMPUTED_VALUE"""),"Sabun batang 1 Box ( 2 PCS )")</f>
        <v>Sabun batang 1 Box ( 2 PCS )</v>
      </c>
      <c r="H2143" s="469"/>
      <c r="I2143" s="470"/>
      <c r="J2143" s="471" t="str">
        <f>IFERROR(__xludf.DUMMYFUNCTION("""COMPUTED_VALUE"""),"https://vt.tiktok.com/ZSxHPjH5n/")</f>
        <v>https://vt.tiktok.com/ZSxHPjH5n/</v>
      </c>
      <c r="K2143" s="470"/>
      <c r="L2143" s="471" t="str">
        <f>IFERROR(__xludf.DUMMYFUNCTION("""COMPUTED_VALUE"""),"https://vt.tiktok.com/ZSxHPSJvq/")</f>
        <v>https://vt.tiktok.com/ZSxHPSJvq/</v>
      </c>
      <c r="M2143" s="470"/>
      <c r="N2143" s="471" t="str">
        <f>IFERROR(__xludf.DUMMYFUNCTION("""COMPUTED_VALUE"""),"https://vt.tiktok.com/ZSxHPSJvq/")</f>
        <v>https://vt.tiktok.com/ZSxHPSJvq/</v>
      </c>
      <c r="O2143" s="470"/>
      <c r="P2143" s="471" t="str">
        <f>IFERROR(__xludf.DUMMYFUNCTION("""COMPUTED_VALUE"""),"https://vt.tiktok.com/ZSxHPjH5n/")</f>
        <v>https://vt.tiktok.com/ZSxHPjH5n/</v>
      </c>
    </row>
    <row r="2144">
      <c r="A2144" s="282" t="str">
        <f>IFERROR(__xludf.DUMMYFUNCTION("""COMPUTED_VALUE"""),"MICRO")</f>
        <v>MICRO</v>
      </c>
      <c r="B2144" s="468" t="str">
        <f>IFERROR(__xludf.DUMMYFUNCTION("""COMPUTED_VALUE"""),"nadlyneclarabelvanya ")</f>
        <v>nadlyneclarabelvanya </v>
      </c>
      <c r="C2144" s="283" t="str">
        <f>IFERROR(__xludf.DUMMYFUNCTION("""COMPUTED_VALUE"""),"https://www.tiktok.com/@nadlyneclarabelvanya ")</f>
        <v>https://www.tiktok.com/@nadlyneclarabelvanya </v>
      </c>
      <c r="D2144" s="273">
        <f>IFERROR(__xludf.DUMMYFUNCTION("""COMPUTED_VALUE"""),8.8707827357E10)</f>
        <v>88707827357</v>
      </c>
      <c r="E2144" s="458">
        <f>IFERROR(__xludf.DUMMYFUNCTION("""COMPUTED_VALUE"""),0.0)</f>
        <v>0</v>
      </c>
      <c r="F2144" s="273">
        <f>IFERROR(__xludf.DUMMYFUNCTION("""COMPUTED_VALUE"""),2.0)</f>
        <v>2</v>
      </c>
      <c r="G2144" t="str">
        <f>IFERROR(__xludf.DUMMYFUNCTION("""COMPUTED_VALUE"""),"Sabun batang 1 Box ( 2 PCS )")</f>
        <v>Sabun batang 1 Box ( 2 PCS )</v>
      </c>
      <c r="H2144" s="469"/>
      <c r="I2144" s="470"/>
      <c r="J2144" s="471" t="str">
        <f>IFERROR(__xludf.DUMMYFUNCTION("""COMPUTED_VALUE"""),"https://www.tiktok.com/@nadlyneclarabelvanya/video/7647176715298426120?_r=1&amp;u_code=d7d35la44jlcb5&amp;region=&amp;mid=7477634102821882629&amp;preview_pb=0&amp;sharer_language=&amp;_d=0&amp;ec_shared_reflux_dynamic_params=%7B%22placeholder_material_id%22%3A%227647176715298426120%"&amp;"22%2C%22placeholder_origin_cover%22%3A%22https%253A%252F%252Fp16-common-sign.tiktokcdn.com%252Ftos-alisg-p-0037%252FowRoYBkJAt7IeBrqgDUFEpCIIBDfEjwgkgDOEj~tplv-tiktokx-origin.jpeg%253Fdr%253D14572%2526refresh_token%253Dbec77263%2526x-expires%253D181209960"&amp;"0%2526x-signature%253DTR99HTcXhMqY5GkaBcEt3rr2ISA%25253D%2526t%253D4d5b0474%2526ps%253D13740610%2526shp%253Dd05b14bd%2526shcp%253D34ff8df6%2526idc%253Dmy%2526s%253DTIKTOK_AFFILIATE_VIRAL_VIDEO%22%2C%22placeholder_product_id%22%3A%221729427766722726591%22%"&amp;"2C%22placeholder_video_id%22%3A%227647176715298426120%22%7D&amp;ec_shared_reflux_scene=shop_tab_feed&amp;share_item_id=7647176715298426120&amp;source=h5_t")</f>
        <v>https://www.tiktok.com/@nadlyneclarabelvanya/video/7647176715298426120?_r=1&amp;u_code=d7d35la44jlcb5&amp;region=&amp;mid=7477634102821882629&amp;preview_pb=0&amp;sharer_language=&amp;_d=0&amp;ec_shared_reflux_dynamic_params=%7B%22placeholder_material_id%22%3A%227647176715298426120%22%2C%22placeholder_origin_cover%22%3A%22https%253A%252F%252Fp16-common-sign.tiktokcdn.com%252Ftos-alisg-p-0037%252FowRoYBkJAt7IeBrqgDUFEpCIIBDfEjwgkgDOEj~tplv-tiktokx-origin.jpeg%253Fdr%253D14572%2526refresh_token%253Dbec77263%2526x-expires%253D1812099600%2526x-signature%253DTR99HTcXhMqY5GkaBcEt3rr2ISA%25253D%2526t%253D4d5b0474%2526ps%253D13740610%2526shp%253Dd05b14bd%2526shcp%253D34ff8df6%2526idc%253Dmy%2526s%253DTIKTOK_AFFILIATE_VIRAL_VIDEO%22%2C%22placeholder_product_id%22%3A%221729427766722726591%22%2C%22placeholder_video_id%22%3A%227647176715298426120%22%7D&amp;ec_shared_reflux_scene=shop_tab_feed&amp;share_item_id=7647176715298426120&amp;source=h5_t</v>
      </c>
      <c r="K2144" s="470"/>
      <c r="L2144" s="471" t="str">
        <f>IFERROR(__xludf.DUMMYFUNCTION("""COMPUTED_VALUE"""),"https://vt.tiktok.com/ZSxHPLjgx/")</f>
        <v>https://vt.tiktok.com/ZSxHPLjgx/</v>
      </c>
      <c r="M2144" s="470"/>
      <c r="N2144" s="471" t="str">
        <f>IFERROR(__xludf.DUMMYFUNCTION("""COMPUTED_VALUE"""),"https://vt.tiktok.com/ZSxHPLjgx/")</f>
        <v>https://vt.tiktok.com/ZSxHPLjgx/</v>
      </c>
      <c r="O2144" s="470"/>
      <c r="P2144" s="471" t="str">
        <f>IFERROR(__xludf.DUMMYFUNCTION("""COMPUTED_VALUE"""),"https://vt.tiktok.com/ZSxHPRUwt/")</f>
        <v>https://vt.tiktok.com/ZSxHPRUwt/</v>
      </c>
    </row>
    <row r="2145">
      <c r="A2145" s="282" t="str">
        <f>IFERROR(__xludf.DUMMYFUNCTION("""COMPUTED_VALUE"""),"MICRO")</f>
        <v>MICRO</v>
      </c>
      <c r="B2145" s="468" t="str">
        <f>IFERROR(__xludf.DUMMYFUNCTION("""COMPUTED_VALUE"""),"R_risk3")</f>
        <v>R_risk3</v>
      </c>
      <c r="C2145" s="283" t="str">
        <f>IFERROR(__xludf.DUMMYFUNCTION("""COMPUTED_VALUE"""),"https://www.tiktok.com/@R_risk3")</f>
        <v>https://www.tiktok.com/@R_risk3</v>
      </c>
      <c r="D2145" s="273">
        <f>IFERROR(__xludf.DUMMYFUNCTION("""COMPUTED_VALUE"""),8.5815959414E10)</f>
        <v>85815959414</v>
      </c>
      <c r="E2145" s="458">
        <f>IFERROR(__xludf.DUMMYFUNCTION("""COMPUTED_VALUE"""),0.0)</f>
        <v>0</v>
      </c>
      <c r="F2145" s="273">
        <f>IFERROR(__xludf.DUMMYFUNCTION("""COMPUTED_VALUE"""),2.0)</f>
        <v>2</v>
      </c>
      <c r="G2145" t="str">
        <f>IFERROR(__xludf.DUMMYFUNCTION("""COMPUTED_VALUE"""),"Sabun batang 1 Box ( 2 PCS )")</f>
        <v>Sabun batang 1 Box ( 2 PCS )</v>
      </c>
      <c r="H2145" s="469"/>
      <c r="I2145" s="470"/>
      <c r="J2145" s="471" t="str">
        <f>IFERROR(__xludf.DUMMYFUNCTION("""COMPUTED_VALUE"""),"https://vt.tiktok.com/ZSxHPJVhf/")</f>
        <v>https://vt.tiktok.com/ZSxHPJVhf/</v>
      </c>
      <c r="K2145" s="470"/>
      <c r="L2145" s="471" t="str">
        <f>IFERROR(__xludf.DUMMYFUNCTION("""COMPUTED_VALUE"""),"https://vt.tiktok.com/ZSxHPDd71/")</f>
        <v>https://vt.tiktok.com/ZSxHPDd71/</v>
      </c>
      <c r="M2145" s="470"/>
      <c r="N2145" s="471" t="str">
        <f>IFERROR(__xludf.DUMMYFUNCTION("""COMPUTED_VALUE"""),"https://vt.tiktok.com/ZSxHPDd71/")</f>
        <v>https://vt.tiktok.com/ZSxHPDd71/</v>
      </c>
      <c r="O2145" s="470"/>
      <c r="P2145" s="471" t="str">
        <f>IFERROR(__xludf.DUMMYFUNCTION("""COMPUTED_VALUE"""),"https://vt.tiktok.com/ZSxHPJVhf/")</f>
        <v>https://vt.tiktok.com/ZSxHPJVhf/</v>
      </c>
    </row>
    <row r="2146">
      <c r="A2146" s="282" t="str">
        <f>IFERROR(__xludf.DUMMYFUNCTION("""COMPUTED_VALUE"""),"MICRO")</f>
        <v>MICRO</v>
      </c>
      <c r="B2146" s="468" t="str">
        <f>IFERROR(__xludf.DUMMYFUNCTION("""COMPUTED_VALUE"""),"aprilmarchh")</f>
        <v>aprilmarchh</v>
      </c>
      <c r="C2146" s="283" t="str">
        <f>IFERROR(__xludf.DUMMYFUNCTION("""COMPUTED_VALUE"""),"https://www.tiktok.com/@aprilmarchh")</f>
        <v>https://www.tiktok.com/@aprilmarchh</v>
      </c>
      <c r="D2146" s="273">
        <f>IFERROR(__xludf.DUMMYFUNCTION("""COMPUTED_VALUE"""),8.5195229203E10)</f>
        <v>85195229203</v>
      </c>
      <c r="E2146" s="458">
        <f>IFERROR(__xludf.DUMMYFUNCTION("""COMPUTED_VALUE"""),0.0)</f>
        <v>0</v>
      </c>
      <c r="F2146" s="273">
        <f>IFERROR(__xludf.DUMMYFUNCTION("""COMPUTED_VALUE"""),2.0)</f>
        <v>2</v>
      </c>
      <c r="G2146" t="str">
        <f>IFERROR(__xludf.DUMMYFUNCTION("""COMPUTED_VALUE"""),"Sabun batang 1 Box ( 2 PCS )")</f>
        <v>Sabun batang 1 Box ( 2 PCS )</v>
      </c>
      <c r="H2146" s="469"/>
      <c r="I2146" s="470"/>
      <c r="J2146" s="471" t="str">
        <f>IFERROR(__xludf.DUMMYFUNCTION("""COMPUTED_VALUE"""),"https://vt.tiktok.com/ZSxHPBmRW/")</f>
        <v>https://vt.tiktok.com/ZSxHPBmRW/</v>
      </c>
      <c r="K2146" s="470"/>
      <c r="L2146" s="471" t="str">
        <f>IFERROR(__xludf.DUMMYFUNCTION("""COMPUTED_VALUE"""),"https://vt.tiktok.com/ZSxHPDfw4/")</f>
        <v>https://vt.tiktok.com/ZSxHPDfw4/</v>
      </c>
      <c r="M2146" s="470"/>
      <c r="N2146" s="471" t="str">
        <f>IFERROR(__xludf.DUMMYFUNCTION("""COMPUTED_VALUE"""),"https://vt.tiktok.com/ZSxHPDfw4/")</f>
        <v>https://vt.tiktok.com/ZSxHPDfw4/</v>
      </c>
      <c r="O2146" s="470"/>
      <c r="P2146" s="471" t="str">
        <f>IFERROR(__xludf.DUMMYFUNCTION("""COMPUTED_VALUE"""),"https://vt.tiktok.com/ZSxHPBmRW/")</f>
        <v>https://vt.tiktok.com/ZSxHPBmRW/</v>
      </c>
    </row>
    <row r="2147">
      <c r="A2147" s="282" t="str">
        <f>IFERROR(__xludf.DUMMYFUNCTION("""COMPUTED_VALUE"""),"MICRO")</f>
        <v>MICRO</v>
      </c>
      <c r="B2147" s="468" t="str">
        <f>IFERROR(__xludf.DUMMYFUNCTION("""COMPUTED_VALUE"""),"strawberrz__")</f>
        <v>strawberrz__</v>
      </c>
      <c r="C2147" s="283" t="str">
        <f>IFERROR(__xludf.DUMMYFUNCTION("""COMPUTED_VALUE"""),"https://www.tiktok.com/@strawberrz__")</f>
        <v>https://www.tiktok.com/@strawberrz__</v>
      </c>
      <c r="D2147" s="273">
        <f>IFERROR(__xludf.DUMMYFUNCTION("""COMPUTED_VALUE"""),8.979010623E9)</f>
        <v>8979010623</v>
      </c>
      <c r="E2147" s="458">
        <f>IFERROR(__xludf.DUMMYFUNCTION("""COMPUTED_VALUE"""),0.0)</f>
        <v>0</v>
      </c>
      <c r="F2147" s="273">
        <f>IFERROR(__xludf.DUMMYFUNCTION("""COMPUTED_VALUE"""),2.0)</f>
        <v>2</v>
      </c>
      <c r="G2147" t="str">
        <f>IFERROR(__xludf.DUMMYFUNCTION("""COMPUTED_VALUE"""),"Sabun batang 1 Box ( 2 PCS )")</f>
        <v>Sabun batang 1 Box ( 2 PCS )</v>
      </c>
      <c r="H2147" s="469"/>
      <c r="I2147" s="470"/>
      <c r="J2147" s="471" t="str">
        <f>IFERROR(__xludf.DUMMYFUNCTION("""COMPUTED_VALUE"""),"https://vt.tiktok.com/ZSxHPd7qB/")</f>
        <v>https://vt.tiktok.com/ZSxHPd7qB/</v>
      </c>
      <c r="K2147" s="470"/>
      <c r="L2147" s="471" t="str">
        <f>IFERROR(__xludf.DUMMYFUNCTION("""COMPUTED_VALUE"""),"https://vt.tiktok.com/ZSxHPk9Wa/")</f>
        <v>https://vt.tiktok.com/ZSxHPk9Wa/</v>
      </c>
      <c r="M2147" s="470"/>
      <c r="N2147" s="471" t="str">
        <f>IFERROR(__xludf.DUMMYFUNCTION("""COMPUTED_VALUE"""),"https://vt.tiktok.com/ZSxHPk9Wa/")</f>
        <v>https://vt.tiktok.com/ZSxHPk9Wa/</v>
      </c>
      <c r="O2147" s="470"/>
      <c r="P2147" s="471" t="str">
        <f>IFERROR(__xludf.DUMMYFUNCTION("""COMPUTED_VALUE"""),"https://vt.tiktok.com/ZSxHPd7qB/")</f>
        <v>https://vt.tiktok.com/ZSxHPd7qB/</v>
      </c>
    </row>
    <row r="2148">
      <c r="A2148" s="282" t="str">
        <f>IFERROR(__xludf.DUMMYFUNCTION("""COMPUTED_VALUE"""),"MICRO")</f>
        <v>MICRO</v>
      </c>
      <c r="B2148" s="468" t="str">
        <f>IFERROR(__xludf.DUMMYFUNCTION("""COMPUTED_VALUE"""),"Megayana12")</f>
        <v>Megayana12</v>
      </c>
      <c r="C2148" s="283" t="str">
        <f>IFERROR(__xludf.DUMMYFUNCTION("""COMPUTED_VALUE"""),"https://www.tiktok.com/@Megayana12")</f>
        <v>https://www.tiktok.com/@Megayana12</v>
      </c>
      <c r="D2148" s="273">
        <f>IFERROR(__xludf.DUMMYFUNCTION("""COMPUTED_VALUE"""),8.2181193218E10)</f>
        <v>82181193218</v>
      </c>
      <c r="E2148" s="458">
        <f>IFERROR(__xludf.DUMMYFUNCTION("""COMPUTED_VALUE"""),0.0)</f>
        <v>0</v>
      </c>
      <c r="F2148" s="273">
        <f>IFERROR(__xludf.DUMMYFUNCTION("""COMPUTED_VALUE"""),2.0)</f>
        <v>2</v>
      </c>
      <c r="G2148" t="str">
        <f>IFERROR(__xludf.DUMMYFUNCTION("""COMPUTED_VALUE"""),"Sabun batang 1 Box ( 2 PCS )")</f>
        <v>Sabun batang 1 Box ( 2 PCS )</v>
      </c>
      <c r="H2148" s="469"/>
      <c r="I2148" s="470"/>
      <c r="J2148" s="471" t="str">
        <f>IFERROR(__xludf.DUMMYFUNCTION("""COMPUTED_VALUE"""),"https://vt.tiktok.com/ZSxHPJayR/")</f>
        <v>https://vt.tiktok.com/ZSxHPJayR/</v>
      </c>
      <c r="K2148" s="470"/>
      <c r="L2148" s="471" t="str">
        <f>IFERROR(__xludf.DUMMYFUNCTION("""COMPUTED_VALUE"""),"https://vt.tiktok.com/ZSxHfES8p/")</f>
        <v>https://vt.tiktok.com/ZSxHfES8p/</v>
      </c>
      <c r="M2148" s="470"/>
      <c r="N2148" s="471" t="str">
        <f>IFERROR(__xludf.DUMMYFUNCTION("""COMPUTED_VALUE"""),"https://vt.tiktok.com/ZSxHfES8p/")</f>
        <v>https://vt.tiktok.com/ZSxHfES8p/</v>
      </c>
      <c r="O2148" s="470"/>
      <c r="P2148" s="471" t="str">
        <f>IFERROR(__xludf.DUMMYFUNCTION("""COMPUTED_VALUE"""),"https://vt.tiktok.com/ZSxHPJayR/")</f>
        <v>https://vt.tiktok.com/ZSxHPJayR/</v>
      </c>
    </row>
    <row r="2149">
      <c r="A2149" s="282" t="str">
        <f>IFERROR(__xludf.DUMMYFUNCTION("""COMPUTED_VALUE"""),"MICRO")</f>
        <v>MICRO</v>
      </c>
      <c r="B2149" s="468" t="str">
        <f>IFERROR(__xludf.DUMMYFUNCTION("""COMPUTED_VALUE"""),"azhararfan1 ")</f>
        <v>azhararfan1 </v>
      </c>
      <c r="C2149" s="283" t="str">
        <f>IFERROR(__xludf.DUMMYFUNCTION("""COMPUTED_VALUE"""),"https://www.tiktok.com/@azhararfan1 ")</f>
        <v>https://www.tiktok.com/@azhararfan1 </v>
      </c>
      <c r="D2149" s="273">
        <f>IFERROR(__xludf.DUMMYFUNCTION("""COMPUTED_VALUE"""),8.2125790392E10)</f>
        <v>82125790392</v>
      </c>
      <c r="E2149" s="458">
        <f>IFERROR(__xludf.DUMMYFUNCTION("""COMPUTED_VALUE"""),0.0)</f>
        <v>0</v>
      </c>
      <c r="F2149" s="273">
        <f>IFERROR(__xludf.DUMMYFUNCTION("""COMPUTED_VALUE"""),2.0)</f>
        <v>2</v>
      </c>
      <c r="G2149" t="str">
        <f>IFERROR(__xludf.DUMMYFUNCTION("""COMPUTED_VALUE"""),"Sabun batang 1 Box ( 2 PCS )")</f>
        <v>Sabun batang 1 Box ( 2 PCS )</v>
      </c>
      <c r="H2149" s="469"/>
      <c r="I2149" s="470"/>
      <c r="J2149" s="471" t="str">
        <f>IFERROR(__xludf.DUMMYFUNCTION("""COMPUTED_VALUE"""),"https://vt.tiktok.com/ZSxHPeWgF/")</f>
        <v>https://vt.tiktok.com/ZSxHPeWgF/</v>
      </c>
      <c r="K2149" s="470"/>
      <c r="L2149" s="471" t="str">
        <f>IFERROR(__xludf.DUMMYFUNCTION("""COMPUTED_VALUE"""),"https://vt.tiktok.com/ZSxHPFAnH/")</f>
        <v>https://vt.tiktok.com/ZSxHPFAnH/</v>
      </c>
      <c r="M2149" s="470"/>
      <c r="N2149" s="471" t="str">
        <f>IFERROR(__xludf.DUMMYFUNCTION("""COMPUTED_VALUE"""),"https://vt.tiktok.com/ZSxHPFAnH/")</f>
        <v>https://vt.tiktok.com/ZSxHPFAnH/</v>
      </c>
      <c r="O2149" s="470"/>
      <c r="P2149" s="471" t="str">
        <f>IFERROR(__xludf.DUMMYFUNCTION("""COMPUTED_VALUE"""),"https://vt.tiktok.com/ZSxHPeWgF/")</f>
        <v>https://vt.tiktok.com/ZSxHPeWgF/</v>
      </c>
    </row>
    <row r="2150">
      <c r="A2150" s="282" t="str">
        <f>IFERROR(__xludf.DUMMYFUNCTION("""COMPUTED_VALUE"""),"MICRO")</f>
        <v>MICRO</v>
      </c>
      <c r="B2150" s="468" t="str">
        <f>IFERROR(__xludf.DUMMYFUNCTION("""COMPUTED_VALUE"""),".xyfit")</f>
        <v>.xyfit</v>
      </c>
      <c r="C2150" s="283" t="str">
        <f>IFERROR(__xludf.DUMMYFUNCTION("""COMPUTED_VALUE"""),"https://www.tiktok.com/@.xyfit")</f>
        <v>https://www.tiktok.com/@.xyfit</v>
      </c>
      <c r="D2150" s="273">
        <f>IFERROR(__xludf.DUMMYFUNCTION("""COMPUTED_VALUE"""),8.129377529E10)</f>
        <v>81293775290</v>
      </c>
      <c r="E2150" s="458">
        <f>IFERROR(__xludf.DUMMYFUNCTION("""COMPUTED_VALUE"""),0.0)</f>
        <v>0</v>
      </c>
      <c r="F2150" s="273">
        <f>IFERROR(__xludf.DUMMYFUNCTION("""COMPUTED_VALUE"""),2.0)</f>
        <v>2</v>
      </c>
      <c r="G2150" t="str">
        <f>IFERROR(__xludf.DUMMYFUNCTION("""COMPUTED_VALUE"""),"Sabun batang 1 Box ( 2 PCS )")</f>
        <v>Sabun batang 1 Box ( 2 PCS )</v>
      </c>
      <c r="H2150" s="469"/>
      <c r="I2150" s="470"/>
      <c r="J2150" s="471" t="str">
        <f>IFERROR(__xludf.DUMMYFUNCTION("""COMPUTED_VALUE"""),"https://vt.tiktok.com/ZSxHPAxfd/")</f>
        <v>https://vt.tiktok.com/ZSxHPAxfd/</v>
      </c>
      <c r="K2150" s="470"/>
      <c r="L2150" s="471" t="str">
        <f>IFERROR(__xludf.DUMMYFUNCTION("""COMPUTED_VALUE"""),"https://vt.tiktok.com/ZSxHPD1w4/")</f>
        <v>https://vt.tiktok.com/ZSxHPD1w4/</v>
      </c>
      <c r="M2150" s="470"/>
      <c r="N2150" s="471" t="str">
        <f>IFERROR(__xludf.DUMMYFUNCTION("""COMPUTED_VALUE"""),"https://vt.tiktok.com/ZSxHPD1w4/")</f>
        <v>https://vt.tiktok.com/ZSxHPD1w4/</v>
      </c>
      <c r="O2150" s="470"/>
      <c r="P2150" s="471" t="str">
        <f>IFERROR(__xludf.DUMMYFUNCTION("""COMPUTED_VALUE"""),"https://vt.tiktok.com/ZSxHPAxfd/")</f>
        <v>https://vt.tiktok.com/ZSxHPAxfd/</v>
      </c>
    </row>
    <row r="2151">
      <c r="A2151" s="282" t="str">
        <f>IFERROR(__xludf.DUMMYFUNCTION("""COMPUTED_VALUE"""),"MICRO")</f>
        <v>MICRO</v>
      </c>
      <c r="B2151" s="468" t="str">
        <f>IFERROR(__xludf.DUMMYFUNCTION("""COMPUTED_VALUE"""),"golekopondeng")</f>
        <v>golekopondeng</v>
      </c>
      <c r="C2151" s="283" t="str">
        <f>IFERROR(__xludf.DUMMYFUNCTION("""COMPUTED_VALUE"""),"https://www.tiktok.com/@golekopondeng")</f>
        <v>https://www.tiktok.com/@golekopondeng</v>
      </c>
      <c r="D2151" s="273">
        <f>IFERROR(__xludf.DUMMYFUNCTION("""COMPUTED_VALUE"""),8.577263768E10)</f>
        <v>85772637680</v>
      </c>
      <c r="E2151" s="458">
        <f>IFERROR(__xludf.DUMMYFUNCTION("""COMPUTED_VALUE"""),0.0)</f>
        <v>0</v>
      </c>
      <c r="F2151" s="273">
        <f>IFERROR(__xludf.DUMMYFUNCTION("""COMPUTED_VALUE"""),2.0)</f>
        <v>2</v>
      </c>
      <c r="G2151" t="str">
        <f>IFERROR(__xludf.DUMMYFUNCTION("""COMPUTED_VALUE"""),"Sabun batang 1 Box ( 2 PCS )")</f>
        <v>Sabun batang 1 Box ( 2 PCS )</v>
      </c>
      <c r="H2151" s="469"/>
      <c r="I2151" s="470"/>
      <c r="J2151" s="471" t="str">
        <f>IFERROR(__xludf.DUMMYFUNCTION("""COMPUTED_VALUE"""),"https://vt.tiktok.com/ZSxHPM5TF/")</f>
        <v>https://vt.tiktok.com/ZSxHPM5TF/</v>
      </c>
      <c r="K2151" s="470"/>
      <c r="L2151" s="471" t="str">
        <f>IFERROR(__xludf.DUMMYFUNCTION("""COMPUTED_VALUE"""),"https://vt.tiktok.com/ZSxHPRpH3/")</f>
        <v>https://vt.tiktok.com/ZSxHPRpH3/</v>
      </c>
      <c r="M2151" s="470"/>
      <c r="N2151" s="471" t="str">
        <f>IFERROR(__xludf.DUMMYFUNCTION("""COMPUTED_VALUE"""),"https://vt.tiktok.com/ZSxHPRpH3/")</f>
        <v>https://vt.tiktok.com/ZSxHPRpH3/</v>
      </c>
      <c r="O2151" s="470"/>
      <c r="P2151" s="471" t="str">
        <f>IFERROR(__xludf.DUMMYFUNCTION("""COMPUTED_VALUE"""),"https://vt.tiktok.com/ZSxHPM5TF/")</f>
        <v>https://vt.tiktok.com/ZSxHPM5TF/</v>
      </c>
    </row>
    <row r="2152">
      <c r="A2152" s="282" t="str">
        <f>IFERROR(__xludf.DUMMYFUNCTION("""COMPUTED_VALUE"""),"MICRO")</f>
        <v>MICRO</v>
      </c>
      <c r="B2152" s="468" t="str">
        <f>IFERROR(__xludf.DUMMYFUNCTION("""COMPUTED_VALUE"""),"_onayys")</f>
        <v>_onayys</v>
      </c>
      <c r="C2152" s="283" t="str">
        <f>IFERROR(__xludf.DUMMYFUNCTION("""COMPUTED_VALUE"""),"https://www.tiktok.com/@_onayys")</f>
        <v>https://www.tiktok.com/@_onayys</v>
      </c>
      <c r="D2152" s="273">
        <f>IFERROR(__xludf.DUMMYFUNCTION("""COMPUTED_VALUE"""),8.1803313972E10)</f>
        <v>81803313972</v>
      </c>
      <c r="E2152" s="458">
        <f>IFERROR(__xludf.DUMMYFUNCTION("""COMPUTED_VALUE"""),0.0)</f>
        <v>0</v>
      </c>
      <c r="F2152" s="273">
        <f>IFERROR(__xludf.DUMMYFUNCTION("""COMPUTED_VALUE"""),2.0)</f>
        <v>2</v>
      </c>
      <c r="G2152" t="str">
        <f>IFERROR(__xludf.DUMMYFUNCTION("""COMPUTED_VALUE"""),"Sabun batang 1 Box ( 2 PCS )")</f>
        <v>Sabun batang 1 Box ( 2 PCS )</v>
      </c>
      <c r="H2152" s="469"/>
      <c r="I2152" s="470"/>
      <c r="J2152" s="471" t="str">
        <f>IFERROR(__xludf.DUMMYFUNCTION("""COMPUTED_VALUE"""),"https://vt.tiktok.com/ZSxHPkKLV/")</f>
        <v>https://vt.tiktok.com/ZSxHPkKLV/</v>
      </c>
      <c r="K2152" s="470"/>
      <c r="L2152" s="471" t="str">
        <f>IFERROR(__xludf.DUMMYFUNCTION("""COMPUTED_VALUE"""),"https://vt.tiktok.com/ZSxHPraQr/")</f>
        <v>https://vt.tiktok.com/ZSxHPraQr/</v>
      </c>
      <c r="M2152" s="470"/>
      <c r="N2152" s="471" t="str">
        <f>IFERROR(__xludf.DUMMYFUNCTION("""COMPUTED_VALUE"""),"https://vt.tiktok.com/ZSxHPraQr/")</f>
        <v>https://vt.tiktok.com/ZSxHPraQr/</v>
      </c>
      <c r="O2152" s="470"/>
      <c r="P2152" s="471" t="str">
        <f>IFERROR(__xludf.DUMMYFUNCTION("""COMPUTED_VALUE"""),"https://vt.tiktok.com/ZSxHPkKLV/")</f>
        <v>https://vt.tiktok.com/ZSxHPkKLV/</v>
      </c>
    </row>
    <row r="2153">
      <c r="A2153" s="282" t="str">
        <f>IFERROR(__xludf.DUMMYFUNCTION("""COMPUTED_VALUE"""),"MICRO")</f>
        <v>MICRO</v>
      </c>
      <c r="B2153" s="468" t="str">
        <f>IFERROR(__xludf.DUMMYFUNCTION("""COMPUTED_VALUE"""),"Bayuadi417")</f>
        <v>Bayuadi417</v>
      </c>
      <c r="C2153" s="283" t="str">
        <f>IFERROR(__xludf.DUMMYFUNCTION("""COMPUTED_VALUE"""),"https://www.tiktok.com/@Bayuadi417")</f>
        <v>https://www.tiktok.com/@Bayuadi417</v>
      </c>
      <c r="D2153" s="273">
        <f>IFERROR(__xludf.DUMMYFUNCTION("""COMPUTED_VALUE"""),8.2325361503E10)</f>
        <v>82325361503</v>
      </c>
      <c r="E2153" s="458">
        <f>IFERROR(__xludf.DUMMYFUNCTION("""COMPUTED_VALUE"""),0.0)</f>
        <v>0</v>
      </c>
      <c r="F2153" s="273">
        <f>IFERROR(__xludf.DUMMYFUNCTION("""COMPUTED_VALUE"""),2.0)</f>
        <v>2</v>
      </c>
      <c r="G2153" t="str">
        <f>IFERROR(__xludf.DUMMYFUNCTION("""COMPUTED_VALUE"""),"Sabun batang 1 Box ( 2 PCS )")</f>
        <v>Sabun batang 1 Box ( 2 PCS )</v>
      </c>
      <c r="H2153" s="469"/>
      <c r="I2153" s="470"/>
      <c r="J2153" s="471" t="str">
        <f>IFERROR(__xludf.DUMMYFUNCTION("""COMPUTED_VALUE"""),"https://vt.tiktok.com/ZSxvVGVnR/")</f>
        <v>https://vt.tiktok.com/ZSxvVGVnR/</v>
      </c>
      <c r="K2153" s="470"/>
      <c r="L2153" s="471" t="str">
        <f>IFERROR(__xludf.DUMMYFUNCTION("""COMPUTED_VALUE"""),"https://vt.tiktok.com/ZSxT38wFT/")</f>
        <v>https://vt.tiktok.com/ZSxT38wFT/</v>
      </c>
      <c r="M2153" s="470"/>
      <c r="N2153" s="471" t="str">
        <f>IFERROR(__xludf.DUMMYFUNCTION("""COMPUTED_VALUE"""),"https://vt.tiktok.com/ZSxHPrmtV/")</f>
        <v>https://vt.tiktok.com/ZSxHPrmtV/</v>
      </c>
      <c r="O2153" s="470"/>
      <c r="P2153" s="471" t="str">
        <f>IFERROR(__xludf.DUMMYFUNCTION("""COMPUTED_VALUE"""),"https://www.tiktok.com/@mamarahma1111/video/7639741745919511826")</f>
        <v>https://www.tiktok.com/@mamarahma1111/video/7639741745919511826</v>
      </c>
    </row>
    <row r="2154">
      <c r="A2154" s="282" t="str">
        <f>IFERROR(__xludf.DUMMYFUNCTION("""COMPUTED_VALUE"""),"MICRO")</f>
        <v>MICRO</v>
      </c>
      <c r="B2154" s="468" t="str">
        <f>IFERROR(__xludf.DUMMYFUNCTION("""COMPUTED_VALUE"""),"Msna92")</f>
        <v>Msna92</v>
      </c>
      <c r="C2154" s="283" t="str">
        <f>IFERROR(__xludf.DUMMYFUNCTION("""COMPUTED_VALUE"""),"https://www.tiktok.com/@Msna92")</f>
        <v>https://www.tiktok.com/@Msna92</v>
      </c>
      <c r="D2154" s="273">
        <f>IFERROR(__xludf.DUMMYFUNCTION("""COMPUTED_VALUE"""),8.5814141139E10)</f>
        <v>85814141139</v>
      </c>
      <c r="E2154" s="458">
        <f>IFERROR(__xludf.DUMMYFUNCTION("""COMPUTED_VALUE"""),0.0)</f>
        <v>0</v>
      </c>
      <c r="F2154" s="273">
        <f>IFERROR(__xludf.DUMMYFUNCTION("""COMPUTED_VALUE"""),2.0)</f>
        <v>2</v>
      </c>
      <c r="G2154" t="str">
        <f>IFERROR(__xludf.DUMMYFUNCTION("""COMPUTED_VALUE"""),"Sabun batang 1 Box ( 2 PCS )")</f>
        <v>Sabun batang 1 Box ( 2 PCS )</v>
      </c>
      <c r="H2154" s="469"/>
      <c r="I2154" s="470"/>
      <c r="J2154" s="471" t="str">
        <f>IFERROR(__xludf.DUMMYFUNCTION("""COMPUTED_VALUE"""),"https://www.tiktok.com/@mamarahma1111/video/7639992205381209351")</f>
        <v>https://www.tiktok.com/@mamarahma1111/video/7639992205381209351</v>
      </c>
      <c r="K2154" s="470"/>
      <c r="L2154" s="471" t="str">
        <f>IFERROR(__xludf.DUMMYFUNCTION("""COMPUTED_VALUE"""),"https://www.tiktok.com/@mamarahma1111/video/7639909488874523911")</f>
        <v>https://www.tiktok.com/@mamarahma1111/video/7639909488874523911</v>
      </c>
      <c r="M2154" s="470"/>
      <c r="N2154" s="471" t="str">
        <f>IFERROR(__xludf.DUMMYFUNCTION("""COMPUTED_VALUE"""),"https://www.tiktok.com/@mamarahma1111/video/7639909488874523911")</f>
        <v>https://www.tiktok.com/@mamarahma1111/video/7639909488874523911</v>
      </c>
      <c r="O2154" s="470"/>
      <c r="P2154" s="471" t="str">
        <f>IFERROR(__xludf.DUMMYFUNCTION("""COMPUTED_VALUE"""),"https://www.tiktok.com/@mamarahma1111/video/7639992205381209351")</f>
        <v>https://www.tiktok.com/@mamarahma1111/video/7639992205381209351</v>
      </c>
    </row>
    <row r="2155">
      <c r="A2155" s="282" t="str">
        <f>IFERROR(__xludf.DUMMYFUNCTION("""COMPUTED_VALUE"""),"MICRO")</f>
        <v>MICRO</v>
      </c>
      <c r="B2155" s="468" t="str">
        <f>IFERROR(__xludf.DUMMYFUNCTION("""COMPUTED_VALUE"""),"Ayuumiana")</f>
        <v>Ayuumiana</v>
      </c>
      <c r="C2155" s="283" t="str">
        <f>IFERROR(__xludf.DUMMYFUNCTION("""COMPUTED_VALUE"""),"https://www.tiktok.com/@Ayuumiana")</f>
        <v>https://www.tiktok.com/@Ayuumiana</v>
      </c>
      <c r="D2155" s="273">
        <f>IFERROR(__xludf.DUMMYFUNCTION("""COMPUTED_VALUE"""),8.9512050972E10)</f>
        <v>89512050972</v>
      </c>
      <c r="E2155" s="458">
        <f>IFERROR(__xludf.DUMMYFUNCTION("""COMPUTED_VALUE"""),0.0)</f>
        <v>0</v>
      </c>
      <c r="F2155" s="273">
        <f>IFERROR(__xludf.DUMMYFUNCTION("""COMPUTED_VALUE"""),2.0)</f>
        <v>2</v>
      </c>
      <c r="G2155" t="str">
        <f>IFERROR(__xludf.DUMMYFUNCTION("""COMPUTED_VALUE"""),"Sabun batang 1 Box ( 2 PCS )")</f>
        <v>Sabun batang 1 Box ( 2 PCS )</v>
      </c>
      <c r="H2155" s="469"/>
      <c r="I2155" s="470"/>
      <c r="J2155" s="471" t="str">
        <f>IFERROR(__xludf.DUMMYFUNCTION("""COMPUTED_VALUE"""),"https://www.tiktok.com/@mamarahma1111/video/7640327698220403976")</f>
        <v>https://www.tiktok.com/@mamarahma1111/video/7640327698220403976</v>
      </c>
      <c r="K2155" s="470"/>
      <c r="L2155" s="471" t="str">
        <f>IFERROR(__xludf.DUMMYFUNCTION("""COMPUTED_VALUE"""),"https://www.tiktok.com/@mamarahma1111/video/7640069632770034951")</f>
        <v>https://www.tiktok.com/@mamarahma1111/video/7640069632770034951</v>
      </c>
      <c r="M2155" s="470"/>
      <c r="N2155" s="471" t="str">
        <f>IFERROR(__xludf.DUMMYFUNCTION("""COMPUTED_VALUE"""),"https://www.tiktok.com/@mamarahma1111/video/7640069632770034951")</f>
        <v>https://www.tiktok.com/@mamarahma1111/video/7640069632770034951</v>
      </c>
      <c r="O2155" s="470"/>
      <c r="P2155" s="471" t="str">
        <f>IFERROR(__xludf.DUMMYFUNCTION("""COMPUTED_VALUE"""),"https://www.tiktok.com/@mamarahma1111/video/7640327698220403976")</f>
        <v>https://www.tiktok.com/@mamarahma1111/video/7640327698220403976</v>
      </c>
    </row>
    <row r="2156">
      <c r="A2156" s="282" t="str">
        <f>IFERROR(__xludf.DUMMYFUNCTION("""COMPUTED_VALUE"""),"MICRO")</f>
        <v>MICRO</v>
      </c>
      <c r="B2156" s="468" t="str">
        <f>IFERROR(__xludf.DUMMYFUNCTION("""COMPUTED_VALUE"""),"cindihariyanti18")</f>
        <v>cindihariyanti18</v>
      </c>
      <c r="C2156" s="283" t="str">
        <f>IFERROR(__xludf.DUMMYFUNCTION("""COMPUTED_VALUE"""),"https://www.tiktok.com/@cindihariyanti18")</f>
        <v>https://www.tiktok.com/@cindihariyanti18</v>
      </c>
      <c r="D2156" s="273">
        <f>IFERROR(__xludf.DUMMYFUNCTION("""COMPUTED_VALUE"""),8.8235529476E10)</f>
        <v>88235529476</v>
      </c>
      <c r="E2156" s="458">
        <f>IFERROR(__xludf.DUMMYFUNCTION("""COMPUTED_VALUE"""),0.0)</f>
        <v>0</v>
      </c>
      <c r="F2156" s="273">
        <f>IFERROR(__xludf.DUMMYFUNCTION("""COMPUTED_VALUE"""),2.0)</f>
        <v>2</v>
      </c>
      <c r="G2156" t="str">
        <f>IFERROR(__xludf.DUMMYFUNCTION("""COMPUTED_VALUE"""),"Sabun batang 1 Box ( 2 PCS )")</f>
        <v>Sabun batang 1 Box ( 2 PCS )</v>
      </c>
      <c r="H2156" s="469"/>
      <c r="I2156" s="470"/>
      <c r="J2156" s="471" t="str">
        <f>IFERROR(__xludf.DUMMYFUNCTION("""COMPUTED_VALUE"""),"https://vt.tiktok.com/ZSxHbXWqE/")</f>
        <v>https://vt.tiktok.com/ZSxHbXWqE/</v>
      </c>
      <c r="K2156" s="470"/>
      <c r="L2156" s="471" t="str">
        <f>IFERROR(__xludf.DUMMYFUNCTION("""COMPUTED_VALUE"""),"https://vt.tiktok.com/ZSxHgjqtc/")</f>
        <v>https://vt.tiktok.com/ZSxHgjqtc/</v>
      </c>
      <c r="M2156" s="470"/>
      <c r="N2156" s="471" t="str">
        <f>IFERROR(__xludf.DUMMYFUNCTION("""COMPUTED_VALUE"""),"https://vt.tiktok.com/ZSxHgjqtc/")</f>
        <v>https://vt.tiktok.com/ZSxHgjqtc/</v>
      </c>
      <c r="O2156" s="470"/>
      <c r="P2156" s="471" t="str">
        <f>IFERROR(__xludf.DUMMYFUNCTION("""COMPUTED_VALUE"""),"https://vt.tiktok.com/ZSxHbXWqE/")</f>
        <v>https://vt.tiktok.com/ZSxHbXWqE/</v>
      </c>
    </row>
    <row r="2157">
      <c r="A2157" s="282" t="str">
        <f>IFERROR(__xludf.DUMMYFUNCTION("""COMPUTED_VALUE"""),"MICRO")</f>
        <v>MICRO</v>
      </c>
      <c r="B2157" s="468" t="str">
        <f>IFERROR(__xludf.DUMMYFUNCTION("""COMPUTED_VALUE"""),"pipenyaaaa")</f>
        <v>pipenyaaaa</v>
      </c>
      <c r="C2157" s="283" t="str">
        <f>IFERROR(__xludf.DUMMYFUNCTION("""COMPUTED_VALUE"""),"https://www.tiktok.com/@pipenyaaaa")</f>
        <v>https://www.tiktok.com/@pipenyaaaa</v>
      </c>
      <c r="D2157" s="273">
        <f>IFERROR(__xludf.DUMMYFUNCTION("""COMPUTED_VALUE"""),8.2310993792E10)</f>
        <v>82310993792</v>
      </c>
      <c r="E2157" s="458">
        <f>IFERROR(__xludf.DUMMYFUNCTION("""COMPUTED_VALUE"""),0.0)</f>
        <v>0</v>
      </c>
      <c r="F2157" s="273">
        <f>IFERROR(__xludf.DUMMYFUNCTION("""COMPUTED_VALUE"""),2.0)</f>
        <v>2</v>
      </c>
      <c r="G2157" t="str">
        <f>IFERROR(__xludf.DUMMYFUNCTION("""COMPUTED_VALUE"""),"Sabun batang 1 Box ( 2 PCS )")</f>
        <v>Sabun batang 1 Box ( 2 PCS )</v>
      </c>
      <c r="H2157" s="469"/>
      <c r="I2157" s="470"/>
      <c r="J2157" t="str">
        <f>IFERROR(__xludf.DUMMYFUNCTION("""COMPUTED_VALUE"""),"⁠https://vt.tiktok.com/ZSxHNVN36/")</f>
        <v>⁠https://vt.tiktok.com/ZSxHNVN36/</v>
      </c>
      <c r="K2157" s="470"/>
      <c r="L2157" t="str">
        <f>IFERROR(__xludf.DUMMYFUNCTION("""COMPUTED_VALUE"""),"⁠https://vt.tiktok.com/ZSxHNv9Ny/")</f>
        <v>⁠https://vt.tiktok.com/ZSxHNv9Ny/</v>
      </c>
      <c r="M2157" s="470"/>
      <c r="N2157" t="str">
        <f>IFERROR(__xludf.DUMMYFUNCTION("""COMPUTED_VALUE"""),"⁠https://vt.tiktok.com/ZSxHNv9Ny/")</f>
        <v>⁠https://vt.tiktok.com/ZSxHNv9Ny/</v>
      </c>
      <c r="O2157" s="470"/>
      <c r="P2157" t="str">
        <f>IFERROR(__xludf.DUMMYFUNCTION("""COMPUTED_VALUE"""),"⁠https://vt.tiktok.com/ZSxHNVN36/")</f>
        <v>⁠https://vt.tiktok.com/ZSxHNVN36/</v>
      </c>
    </row>
    <row r="2158">
      <c r="A2158" s="282" t="str">
        <f>IFERROR(__xludf.DUMMYFUNCTION("""COMPUTED_VALUE"""),"MICRO")</f>
        <v>MICRO</v>
      </c>
      <c r="B2158" s="468" t="str">
        <f>IFERROR(__xludf.DUMMYFUNCTION("""COMPUTED_VALUE"""),"cacacabcdxyz")</f>
        <v>cacacabcdxyz</v>
      </c>
      <c r="C2158" s="283" t="str">
        <f>IFERROR(__xludf.DUMMYFUNCTION("""COMPUTED_VALUE"""),"https://www.tiktok.com/@cacacabcdxyz")</f>
        <v>https://www.tiktok.com/@cacacabcdxyz</v>
      </c>
      <c r="D2158" s="273">
        <f>IFERROR(__xludf.DUMMYFUNCTION("""COMPUTED_VALUE"""),8.991609473E9)</f>
        <v>8991609473</v>
      </c>
      <c r="E2158" s="458">
        <f>IFERROR(__xludf.DUMMYFUNCTION("""COMPUTED_VALUE"""),0.0)</f>
        <v>0</v>
      </c>
      <c r="F2158" s="273">
        <f>IFERROR(__xludf.DUMMYFUNCTION("""COMPUTED_VALUE"""),2.0)</f>
        <v>2</v>
      </c>
      <c r="G2158" t="str">
        <f>IFERROR(__xludf.DUMMYFUNCTION("""COMPUTED_VALUE"""),"Sabun batang 1 Box ( 2 PCS )")</f>
        <v>Sabun batang 1 Box ( 2 PCS )</v>
      </c>
      <c r="H2158" s="469"/>
      <c r="I2158" s="470"/>
      <c r="J2158" s="471" t="str">
        <f>IFERROR(__xludf.DUMMYFUNCTION("""COMPUTED_VALUE"""),"https://vt.tiktok.com/ZSx3KAtFc/")</f>
        <v>https://vt.tiktok.com/ZSx3KAtFc/</v>
      </c>
      <c r="K2158" s="470"/>
      <c r="L2158" s="471" t="str">
        <f>IFERROR(__xludf.DUMMYFUNCTION("""COMPUTED_VALUE"""),"https://vt.tiktok.com/ZSx3KeaE6/")</f>
        <v>https://vt.tiktok.com/ZSx3KeaE6/</v>
      </c>
      <c r="M2158" s="470"/>
      <c r="N2158" t="str">
        <f>IFERROR(__xludf.DUMMYFUNCTION("""COMPUTED_VALUE"""),"⁠https://vt.tiktok.com/ZSxHNbTrn/")</f>
        <v>⁠https://vt.tiktok.com/ZSxHNbTrn/</v>
      </c>
      <c r="O2158" s="470"/>
      <c r="P2158" t="str">
        <f>IFERROR(__xludf.DUMMYFUNCTION("""COMPUTED_VALUE"""),"⁠https://vt.tiktok.com/ZSxHNthMd/")</f>
        <v>⁠https://vt.tiktok.com/ZSxHNthMd/</v>
      </c>
    </row>
    <row r="2159">
      <c r="A2159" s="282" t="str">
        <f>IFERROR(__xludf.DUMMYFUNCTION("""COMPUTED_VALUE"""),"MICRO")</f>
        <v>MICRO</v>
      </c>
      <c r="B2159" s="468" t="str">
        <f>IFERROR(__xludf.DUMMYFUNCTION("""COMPUTED_VALUE"""),"audiatunnuzul.11")</f>
        <v>audiatunnuzul.11</v>
      </c>
      <c r="C2159" s="283" t="str">
        <f>IFERROR(__xludf.DUMMYFUNCTION("""COMPUTED_VALUE"""),"https://www.tiktok.com/@audiatunnuzul.11")</f>
        <v>https://www.tiktok.com/@audiatunnuzul.11</v>
      </c>
      <c r="D2159" s="273">
        <f>IFERROR(__xludf.DUMMYFUNCTION("""COMPUTED_VALUE"""),8.95351465948E11)</f>
        <v>895351465948</v>
      </c>
      <c r="E2159" s="458">
        <f>IFERROR(__xludf.DUMMYFUNCTION("""COMPUTED_VALUE"""),0.0)</f>
        <v>0</v>
      </c>
      <c r="F2159" s="273">
        <f>IFERROR(__xludf.DUMMYFUNCTION("""COMPUTED_VALUE"""),2.0)</f>
        <v>2</v>
      </c>
      <c r="G2159" t="str">
        <f>IFERROR(__xludf.DUMMYFUNCTION("""COMPUTED_VALUE"""),"Sabun batang 1 Box ( 2 PCS )")</f>
        <v>Sabun batang 1 Box ( 2 PCS )</v>
      </c>
      <c r="H2159" s="469"/>
      <c r="I2159" s="470"/>
      <c r="J2159" s="471" t="str">
        <f>IFERROR(__xludf.DUMMYFUNCTION("""COMPUTED_VALUE"""),"https://vt.tiktok.com/ZSxHN9txy/")</f>
        <v>https://vt.tiktok.com/ZSxHN9txy/</v>
      </c>
      <c r="K2159" s="470"/>
      <c r="L2159" t="str">
        <f>IFERROR(__xludf.DUMMYFUNCTION("""COMPUTED_VALUE"""),"⁠https://vt.tiktok.com/ZSxHNpWwF/")</f>
        <v>⁠https://vt.tiktok.com/ZSxHNpWwF/</v>
      </c>
      <c r="M2159" s="470"/>
      <c r="N2159" t="str">
        <f>IFERROR(__xludf.DUMMYFUNCTION("""COMPUTED_VALUE"""),"⁠https://vt.tiktok.com/ZSxHNpWwF/")</f>
        <v>⁠https://vt.tiktok.com/ZSxHNpWwF/</v>
      </c>
      <c r="O2159" s="470"/>
      <c r="P2159" s="471" t="str">
        <f>IFERROR(__xludf.DUMMYFUNCTION("""COMPUTED_VALUE"""),"https://vt.tiktok.com/ZSxHN9txy/")</f>
        <v>https://vt.tiktok.com/ZSxHN9txy/</v>
      </c>
    </row>
    <row r="2160">
      <c r="A2160" s="282" t="str">
        <f>IFERROR(__xludf.DUMMYFUNCTION("""COMPUTED_VALUE"""),"MICRO")</f>
        <v>MICRO</v>
      </c>
      <c r="B2160" s="468" t="str">
        <f>IFERROR(__xludf.DUMMYFUNCTION("""COMPUTED_VALUE"""),"bymamadiran_")</f>
        <v>bymamadiran_</v>
      </c>
      <c r="C2160" s="283" t="str">
        <f>IFERROR(__xludf.DUMMYFUNCTION("""COMPUTED_VALUE"""),"https://www.tiktok.com/@bymamadiran_")</f>
        <v>https://www.tiktok.com/@bymamadiran_</v>
      </c>
      <c r="D2160" s="273">
        <f>IFERROR(__xludf.DUMMYFUNCTION("""COMPUTED_VALUE"""),8.95421864767E11)</f>
        <v>895421864767</v>
      </c>
      <c r="E2160" s="458">
        <f>IFERROR(__xludf.DUMMYFUNCTION("""COMPUTED_VALUE"""),0.0)</f>
        <v>0</v>
      </c>
      <c r="F2160" s="273">
        <f>IFERROR(__xludf.DUMMYFUNCTION("""COMPUTED_VALUE"""),2.0)</f>
        <v>2</v>
      </c>
      <c r="G2160" t="str">
        <f>IFERROR(__xludf.DUMMYFUNCTION("""COMPUTED_VALUE"""),"Sabun batang 1 Box ( 2 PCS )")</f>
        <v>Sabun batang 1 Box ( 2 PCS )</v>
      </c>
      <c r="H2160" s="469"/>
      <c r="I2160" s="470"/>
      <c r="J2160" s="471" t="str">
        <f>IFERROR(__xludf.DUMMYFUNCTION("""COMPUTED_VALUE"""),"https://vt.tiktok.com/ZSxHNVn85/")</f>
        <v>https://vt.tiktok.com/ZSxHNVn85/</v>
      </c>
      <c r="K2160" s="470"/>
      <c r="L2160" t="str">
        <f>IFERROR(__xludf.DUMMYFUNCTION("""COMPUTED_VALUE"""),"⁠https://vt.tiktok.com/ZSxHNtspL/")</f>
        <v>⁠https://vt.tiktok.com/ZSxHNtspL/</v>
      </c>
      <c r="M2160" s="470"/>
      <c r="N2160" t="str">
        <f>IFERROR(__xludf.DUMMYFUNCTION("""COMPUTED_VALUE"""),"⁠https://vt.tiktok.com/ZSxHNtspL/")</f>
        <v>⁠https://vt.tiktok.com/ZSxHNtspL/</v>
      </c>
      <c r="O2160" s="470"/>
      <c r="P2160" s="471" t="str">
        <f>IFERROR(__xludf.DUMMYFUNCTION("""COMPUTED_VALUE"""),"https://vt.tiktok.com/ZSxHNVn85/")</f>
        <v>https://vt.tiktok.com/ZSxHNVn85/</v>
      </c>
    </row>
    <row r="2161">
      <c r="A2161" s="282" t="str">
        <f>IFERROR(__xludf.DUMMYFUNCTION("""COMPUTED_VALUE"""),"MICRO")</f>
        <v>MICRO</v>
      </c>
      <c r="B2161" s="468" t="str">
        <f>IFERROR(__xludf.DUMMYFUNCTION("""COMPUTED_VALUE"""),"Eniokta1")</f>
        <v>Eniokta1</v>
      </c>
      <c r="C2161" s="283" t="str">
        <f>IFERROR(__xludf.DUMMYFUNCTION("""COMPUTED_VALUE"""),"https://www.tiktok.com/@Eniokta1")</f>
        <v>https://www.tiktok.com/@Eniokta1</v>
      </c>
      <c r="D2161" s="273">
        <f>IFERROR(__xludf.DUMMYFUNCTION("""COMPUTED_VALUE"""),8.1224932471E10)</f>
        <v>81224932471</v>
      </c>
      <c r="E2161" s="458">
        <f>IFERROR(__xludf.DUMMYFUNCTION("""COMPUTED_VALUE"""),0.0)</f>
        <v>0</v>
      </c>
      <c r="F2161" s="273">
        <f>IFERROR(__xludf.DUMMYFUNCTION("""COMPUTED_VALUE"""),2.0)</f>
        <v>2</v>
      </c>
      <c r="G2161" t="str">
        <f>IFERROR(__xludf.DUMMYFUNCTION("""COMPUTED_VALUE"""),"Sabun batang 1 Box ( 2 PCS )")</f>
        <v>Sabun batang 1 Box ( 2 PCS )</v>
      </c>
      <c r="H2161" s="469"/>
      <c r="I2161" s="470"/>
      <c r="J2161" s="471" t="str">
        <f>IFERROR(__xludf.DUMMYFUNCTION("""COMPUTED_VALUE"""),"https://vt.tiktok.com/ZSxHN7MtC/")</f>
        <v>https://vt.tiktok.com/ZSxHN7MtC/</v>
      </c>
      <c r="K2161" s="470"/>
      <c r="L2161" s="471" t="str">
        <f>IFERROR(__xludf.DUMMYFUNCTION("""COMPUTED_VALUE"""),"https://vt.tiktok.com/ZSxHNb4j7/")</f>
        <v>https://vt.tiktok.com/ZSxHNb4j7/</v>
      </c>
      <c r="M2161" s="470"/>
      <c r="N2161" s="471" t="str">
        <f>IFERROR(__xludf.DUMMYFUNCTION("""COMPUTED_VALUE"""),"https://vt.tiktok.com/ZSxHNb4j7/")</f>
        <v>https://vt.tiktok.com/ZSxHNb4j7/</v>
      </c>
      <c r="O2161" s="470"/>
      <c r="P2161" s="471" t="str">
        <f>IFERROR(__xludf.DUMMYFUNCTION("""COMPUTED_VALUE"""),"https://vt.tiktok.com/ZSxHN7MtC/")</f>
        <v>https://vt.tiktok.com/ZSxHN7MtC/</v>
      </c>
    </row>
    <row r="2162">
      <c r="A2162" s="282" t="str">
        <f>IFERROR(__xludf.DUMMYFUNCTION("""COMPUTED_VALUE"""),"MICRO")</f>
        <v>MICRO</v>
      </c>
      <c r="B2162" s="468" t="str">
        <f>IFERROR(__xludf.DUMMYFUNCTION("""COMPUTED_VALUE"""),"egga.aqshalia
")</f>
        <v>egga.aqshalia
</v>
      </c>
      <c r="C2162" s="283" t="str">
        <f>IFERROR(__xludf.DUMMYFUNCTION("""COMPUTED_VALUE"""),"https://www.tiktok.com/@egga.aqshalia
")</f>
        <v>https://www.tiktok.com/@egga.aqshalia
</v>
      </c>
      <c r="D2162" s="273">
        <f>IFERROR(__xludf.DUMMYFUNCTION("""COMPUTED_VALUE"""),8.989074687E9)</f>
        <v>8989074687</v>
      </c>
      <c r="E2162" s="458">
        <f>IFERROR(__xludf.DUMMYFUNCTION("""COMPUTED_VALUE"""),0.0)</f>
        <v>0</v>
      </c>
      <c r="F2162" s="273">
        <f>IFERROR(__xludf.DUMMYFUNCTION("""COMPUTED_VALUE"""),2.0)</f>
        <v>2</v>
      </c>
      <c r="G2162" t="str">
        <f>IFERROR(__xludf.DUMMYFUNCTION("""COMPUTED_VALUE"""),"Sabun batang 1 Box ( 2 PCS )")</f>
        <v>Sabun batang 1 Box ( 2 PCS )</v>
      </c>
      <c r="H2162" s="469"/>
      <c r="I2162" s="470"/>
      <c r="J2162" s="471" t="str">
        <f>IFERROR(__xludf.DUMMYFUNCTION("""COMPUTED_VALUE"""),"https://vt.tiktok.com/ZSxH2hSUy/")</f>
        <v>https://vt.tiktok.com/ZSxH2hSUy/</v>
      </c>
      <c r="K2162" s="470"/>
      <c r="L2162" s="471" t="str">
        <f>IFERROR(__xludf.DUMMYFUNCTION("""COMPUTED_VALUE"""),"https://vt.tiktok.com/ZSxH2jwaT/")</f>
        <v>https://vt.tiktok.com/ZSxH2jwaT/</v>
      </c>
      <c r="M2162" s="470"/>
      <c r="N2162" s="471" t="str">
        <f>IFERROR(__xludf.DUMMYFUNCTION("""COMPUTED_VALUE"""),"https://vt.tiktok.com/ZSxH2jwaT/")</f>
        <v>https://vt.tiktok.com/ZSxH2jwaT/</v>
      </c>
      <c r="O2162" s="470"/>
      <c r="P2162" s="471" t="str">
        <f>IFERROR(__xludf.DUMMYFUNCTION("""COMPUTED_VALUE"""),"https://vt.tiktok.com/ZSxH2hSUy/")</f>
        <v>https://vt.tiktok.com/ZSxH2hSUy/</v>
      </c>
    </row>
    <row r="2163">
      <c r="A2163" s="282" t="str">
        <f>IFERROR(__xludf.DUMMYFUNCTION("""COMPUTED_VALUE"""),"MICRO")</f>
        <v>MICRO</v>
      </c>
      <c r="B2163" s="468" t="str">
        <f>IFERROR(__xludf.DUMMYFUNCTION("""COMPUTED_VALUE"""),"dwlinaaaa")</f>
        <v>dwlinaaaa</v>
      </c>
      <c r="C2163" s="283" t="str">
        <f>IFERROR(__xludf.DUMMYFUNCTION("""COMPUTED_VALUE"""),"https://www.tiktok.com/@dwlinaaaa")</f>
        <v>https://www.tiktok.com/@dwlinaaaa</v>
      </c>
      <c r="D2163" s="273">
        <f>IFERROR(__xludf.DUMMYFUNCTION("""COMPUTED_VALUE"""),8.7784941389E10)</f>
        <v>87784941389</v>
      </c>
      <c r="E2163" s="458">
        <f>IFERROR(__xludf.DUMMYFUNCTION("""COMPUTED_VALUE"""),0.0)</f>
        <v>0</v>
      </c>
      <c r="F2163" s="273">
        <f>IFERROR(__xludf.DUMMYFUNCTION("""COMPUTED_VALUE"""),2.0)</f>
        <v>2</v>
      </c>
      <c r="G2163" t="str">
        <f>IFERROR(__xludf.DUMMYFUNCTION("""COMPUTED_VALUE"""),"Sabun batang 1 Box ( 2 PCS )")</f>
        <v>Sabun batang 1 Box ( 2 PCS )</v>
      </c>
      <c r="H2163" s="469"/>
      <c r="I2163" s="470"/>
      <c r="J2163" s="471" t="str">
        <f>IFERROR(__xludf.DUMMYFUNCTION("""COMPUTED_VALUE"""),"https://vt.tiktok.com/ZSxH2Ddef/")</f>
        <v>https://vt.tiktok.com/ZSxH2Ddef/</v>
      </c>
      <c r="K2163" s="470"/>
      <c r="L2163" s="471" t="str">
        <f>IFERROR(__xludf.DUMMYFUNCTION("""COMPUTED_VALUE"""),"https://vt.tiktok.com/ZSxH2hSUy/")</f>
        <v>https://vt.tiktok.com/ZSxH2hSUy/</v>
      </c>
      <c r="M2163" s="470"/>
      <c r="N2163" s="471" t="str">
        <f>IFERROR(__xludf.DUMMYFUNCTION("""COMPUTED_VALUE"""),"https://vt.tiktok.com/ZSxH2hSUy/")</f>
        <v>https://vt.tiktok.com/ZSxH2hSUy/</v>
      </c>
      <c r="O2163" s="470"/>
      <c r="P2163" s="471" t="str">
        <f>IFERROR(__xludf.DUMMYFUNCTION("""COMPUTED_VALUE"""),"https://vt.tiktok.com/ZSxH2Ddef/")</f>
        <v>https://vt.tiktok.com/ZSxH2Ddef/</v>
      </c>
    </row>
    <row r="2164">
      <c r="A2164" s="282" t="str">
        <f>IFERROR(__xludf.DUMMYFUNCTION("""COMPUTED_VALUE"""),"MICRO")</f>
        <v>MICRO</v>
      </c>
      <c r="B2164" s="468" t="str">
        <f>IFERROR(__xludf.DUMMYFUNCTION("""COMPUTED_VALUE"""),"Oktazuh")</f>
        <v>Oktazuh</v>
      </c>
      <c r="C2164" s="283" t="str">
        <f>IFERROR(__xludf.DUMMYFUNCTION("""COMPUTED_VALUE"""),"https://www.tiktok.com/@Oktazuh")</f>
        <v>https://www.tiktok.com/@Oktazuh</v>
      </c>
      <c r="D2164" s="273">
        <f>IFERROR(__xludf.DUMMYFUNCTION("""COMPUTED_VALUE"""),8.5172076169E10)</f>
        <v>85172076169</v>
      </c>
      <c r="E2164" s="458">
        <f>IFERROR(__xludf.DUMMYFUNCTION("""COMPUTED_VALUE"""),0.0)</f>
        <v>0</v>
      </c>
      <c r="F2164" s="273">
        <f>IFERROR(__xludf.DUMMYFUNCTION("""COMPUTED_VALUE"""),2.0)</f>
        <v>2</v>
      </c>
      <c r="G2164" t="str">
        <f>IFERROR(__xludf.DUMMYFUNCTION("""COMPUTED_VALUE"""),"Sabun batang 1 Box ( 2 PCS )")</f>
        <v>Sabun batang 1 Box ( 2 PCS )</v>
      </c>
      <c r="H2164" s="469"/>
      <c r="I2164" s="470"/>
      <c r="J2164" s="471" t="str">
        <f>IFERROR(__xludf.DUMMYFUNCTION("""COMPUTED_VALUE"""),"https://vt.tiktok.com/ZSxHY7sHo/")</f>
        <v>https://vt.tiktok.com/ZSxHY7sHo/</v>
      </c>
      <c r="K2164" s="470"/>
      <c r="L2164" s="471" t="str">
        <f>IFERROR(__xludf.DUMMYFUNCTION("""COMPUTED_VALUE"""),"https://vt.tiktok.com/ZSxH2hHVa/")</f>
        <v>https://vt.tiktok.com/ZSxH2hHVa/</v>
      </c>
      <c r="M2164" s="470"/>
      <c r="N2164" s="471" t="str">
        <f>IFERROR(__xludf.DUMMYFUNCTION("""COMPUTED_VALUE"""),"https://vt.tiktok.com/ZSxH2hHVa/")</f>
        <v>https://vt.tiktok.com/ZSxH2hHVa/</v>
      </c>
      <c r="O2164" s="470"/>
      <c r="P2164" s="471" t="str">
        <f>IFERROR(__xludf.DUMMYFUNCTION("""COMPUTED_VALUE"""),"https://vt.tiktok.com/ZSxHY7sHo/")</f>
        <v>https://vt.tiktok.com/ZSxHY7sHo/</v>
      </c>
    </row>
    <row r="2165">
      <c r="A2165" s="282" t="str">
        <f>IFERROR(__xludf.DUMMYFUNCTION("""COMPUTED_VALUE"""),"MICRO")</f>
        <v>MICRO</v>
      </c>
      <c r="B2165" s="468" t="str">
        <f>IFERROR(__xludf.DUMMYFUNCTION("""COMPUTED_VALUE"""),"anitanursyifa ")</f>
        <v>anitanursyifa </v>
      </c>
      <c r="C2165" s="283" t="str">
        <f>IFERROR(__xludf.DUMMYFUNCTION("""COMPUTED_VALUE"""),"https://www.tiktok.com/@anitanursyifa ")</f>
        <v>https://www.tiktok.com/@anitanursyifa </v>
      </c>
      <c r="D2165" s="273">
        <f>IFERROR(__xludf.DUMMYFUNCTION("""COMPUTED_VALUE"""),8.1398972153E10)</f>
        <v>81398972153</v>
      </c>
      <c r="E2165" s="458">
        <f>IFERROR(__xludf.DUMMYFUNCTION("""COMPUTED_VALUE"""),0.0)</f>
        <v>0</v>
      </c>
      <c r="F2165" s="273">
        <f>IFERROR(__xludf.DUMMYFUNCTION("""COMPUTED_VALUE"""),2.0)</f>
        <v>2</v>
      </c>
      <c r="G2165" t="str">
        <f>IFERROR(__xludf.DUMMYFUNCTION("""COMPUTED_VALUE"""),"Sabun batang 1 Box ( 2 PCS )")</f>
        <v>Sabun batang 1 Box ( 2 PCS )</v>
      </c>
      <c r="H2165" s="469"/>
      <c r="I2165" s="470"/>
      <c r="J2165" s="471" t="str">
        <f>IFERROR(__xludf.DUMMYFUNCTION("""COMPUTED_VALUE"""),"https://vt.tiktok.com/ZSxH21gCq/")</f>
        <v>https://vt.tiktok.com/ZSxH21gCq/</v>
      </c>
      <c r="K2165" s="470"/>
      <c r="L2165" s="471" t="str">
        <f>IFERROR(__xludf.DUMMYFUNCTION("""COMPUTED_VALUE"""),"https://vt.tiktok.com/ZSxHYWfhY/")</f>
        <v>https://vt.tiktok.com/ZSxHYWfhY/</v>
      </c>
      <c r="M2165" s="470"/>
      <c r="N2165" s="471" t="str">
        <f>IFERROR(__xludf.DUMMYFUNCTION("""COMPUTED_VALUE"""),"https://vt.tiktok.com/ZSxHYWfhY/")</f>
        <v>https://vt.tiktok.com/ZSxHYWfhY/</v>
      </c>
      <c r="O2165" s="470"/>
      <c r="P2165" s="471" t="str">
        <f>IFERROR(__xludf.DUMMYFUNCTION("""COMPUTED_VALUE"""),"https://vt.tiktok.com/ZSxH21gCq/")</f>
        <v>https://vt.tiktok.com/ZSxH21gCq/</v>
      </c>
    </row>
    <row r="2166">
      <c r="A2166" s="282" t="str">
        <f>IFERROR(__xludf.DUMMYFUNCTION("""COMPUTED_VALUE"""),"MICRO")</f>
        <v>MICRO</v>
      </c>
      <c r="B2166" s="468" t="str">
        <f>IFERROR(__xludf.DUMMYFUNCTION("""COMPUTED_VALUE"""),"almahyra_mei")</f>
        <v>almahyra_mei</v>
      </c>
      <c r="C2166" s="283" t="str">
        <f>IFERROR(__xludf.DUMMYFUNCTION("""COMPUTED_VALUE"""),"https://www.tiktok.com/@almahyra_mei")</f>
        <v>https://www.tiktok.com/@almahyra_mei</v>
      </c>
      <c r="D2166" s="273">
        <f>IFERROR(__xludf.DUMMYFUNCTION("""COMPUTED_VALUE"""),8.979235812E9)</f>
        <v>8979235812</v>
      </c>
      <c r="E2166" s="458">
        <f>IFERROR(__xludf.DUMMYFUNCTION("""COMPUTED_VALUE"""),0.0)</f>
        <v>0</v>
      </c>
      <c r="F2166" s="273">
        <f>IFERROR(__xludf.DUMMYFUNCTION("""COMPUTED_VALUE"""),2.0)</f>
        <v>2</v>
      </c>
      <c r="G2166" t="str">
        <f>IFERROR(__xludf.DUMMYFUNCTION("""COMPUTED_VALUE"""),"Sabun batang 1 Box ( 2 PCS )")</f>
        <v>Sabun batang 1 Box ( 2 PCS )</v>
      </c>
      <c r="H2166" s="469"/>
      <c r="I2166" s="470"/>
      <c r="J2166" s="471" t="str">
        <f>IFERROR(__xludf.DUMMYFUNCTION("""COMPUTED_VALUE"""),"https://vt.tiktok.com/ZSxHYoBH2/")</f>
        <v>https://vt.tiktok.com/ZSxHYoBH2/</v>
      </c>
      <c r="K2166" s="470"/>
      <c r="L2166" s="471" t="str">
        <f>IFERROR(__xludf.DUMMYFUNCTION("""COMPUTED_VALUE"""),"https://vt.tiktok.com/ZSxHYn4MS/")</f>
        <v>https://vt.tiktok.com/ZSxHYn4MS/</v>
      </c>
      <c r="M2166" s="470"/>
      <c r="N2166" s="471" t="str">
        <f>IFERROR(__xludf.DUMMYFUNCTION("""COMPUTED_VALUE"""),"https://vt.tiktok.com/ZSxHYn4MS/")</f>
        <v>https://vt.tiktok.com/ZSxHYn4MS/</v>
      </c>
      <c r="O2166" s="470"/>
      <c r="P2166" s="471" t="str">
        <f>IFERROR(__xludf.DUMMYFUNCTION("""COMPUTED_VALUE"""),"https://vt.tiktok.com/ZSxHYoBH2/")</f>
        <v>https://vt.tiktok.com/ZSxHYoBH2/</v>
      </c>
    </row>
    <row r="2167">
      <c r="A2167" s="282" t="str">
        <f>IFERROR(__xludf.DUMMYFUNCTION("""COMPUTED_VALUE"""),"MICRO")</f>
        <v>MICRO</v>
      </c>
      <c r="B2167" s="468" t="str">
        <f>IFERROR(__xludf.DUMMYFUNCTION("""COMPUTED_VALUE"""),"racunnmuraah")</f>
        <v>racunnmuraah</v>
      </c>
      <c r="C2167" s="283" t="str">
        <f>IFERROR(__xludf.DUMMYFUNCTION("""COMPUTED_VALUE"""),"https://www.tiktok.com/@racunnmuraah")</f>
        <v>https://www.tiktok.com/@racunnmuraah</v>
      </c>
      <c r="D2167" s="273">
        <f>IFERROR(__xludf.DUMMYFUNCTION("""COMPUTED_VALUE"""),8.1939349142E10)</f>
        <v>81939349142</v>
      </c>
      <c r="E2167" s="458">
        <f>IFERROR(__xludf.DUMMYFUNCTION("""COMPUTED_VALUE"""),0.0)</f>
        <v>0</v>
      </c>
      <c r="F2167" s="273">
        <f>IFERROR(__xludf.DUMMYFUNCTION("""COMPUTED_VALUE"""),2.0)</f>
        <v>2</v>
      </c>
      <c r="G2167" t="str">
        <f>IFERROR(__xludf.DUMMYFUNCTION("""COMPUTED_VALUE"""),"Sabun batang 1 Box ( 2 PCS )")</f>
        <v>Sabun batang 1 Box ( 2 PCS )</v>
      </c>
      <c r="H2167" s="469"/>
      <c r="I2167" s="470"/>
      <c r="J2167" s="471" t="str">
        <f>IFERROR(__xludf.DUMMYFUNCTION("""COMPUTED_VALUE"""),"https://vt.tiktok.com/ZSxHm2opj/")</f>
        <v>https://vt.tiktok.com/ZSxHm2opj/</v>
      </c>
      <c r="K2167" s="470"/>
      <c r="L2167" s="471" t="str">
        <f>IFERROR(__xludf.DUMMYFUNCTION("""COMPUTED_VALUE"""),"https://vt.tiktok.com/ZSxHmB8HP/")</f>
        <v>https://vt.tiktok.com/ZSxHmB8HP/</v>
      </c>
      <c r="M2167" s="470"/>
      <c r="N2167" s="471" t="str">
        <f>IFERROR(__xludf.DUMMYFUNCTION("""COMPUTED_VALUE"""),"https://vt.tiktok.com/ZSxHmB8HP/")</f>
        <v>https://vt.tiktok.com/ZSxHmB8HP/</v>
      </c>
      <c r="O2167" s="470"/>
      <c r="P2167" s="471" t="str">
        <f>IFERROR(__xludf.DUMMYFUNCTION("""COMPUTED_VALUE"""),"https://vt.tiktok.com/ZSxHm2opj/")</f>
        <v>https://vt.tiktok.com/ZSxHm2opj/</v>
      </c>
    </row>
    <row r="2168">
      <c r="A2168" s="282" t="str">
        <f>IFERROR(__xludf.DUMMYFUNCTION("""COMPUTED_VALUE"""),"MICRO")</f>
        <v>MICRO</v>
      </c>
      <c r="B2168" s="468" t="str">
        <f>IFERROR(__xludf.DUMMYFUNCTION("""COMPUTED_VALUE"""),"skinlove11")</f>
        <v>skinlove11</v>
      </c>
      <c r="C2168" s="283" t="str">
        <f>IFERROR(__xludf.DUMMYFUNCTION("""COMPUTED_VALUE"""),"https://www.tiktok.com/@skinlove11")</f>
        <v>https://www.tiktok.com/@skinlove11</v>
      </c>
      <c r="D2168" s="273">
        <f>IFERROR(__xludf.DUMMYFUNCTION("""COMPUTED_VALUE"""),8.1373030618E10)</f>
        <v>81373030618</v>
      </c>
      <c r="E2168" s="458">
        <f>IFERROR(__xludf.DUMMYFUNCTION("""COMPUTED_VALUE"""),0.0)</f>
        <v>0</v>
      </c>
      <c r="F2168" s="273">
        <f>IFERROR(__xludf.DUMMYFUNCTION("""COMPUTED_VALUE"""),2.0)</f>
        <v>2</v>
      </c>
      <c r="G2168" t="str">
        <f>IFERROR(__xludf.DUMMYFUNCTION("""COMPUTED_VALUE"""),"Sabun batang 1 Box ( 2 PCS )")</f>
        <v>Sabun batang 1 Box ( 2 PCS )</v>
      </c>
      <c r="H2168" s="469"/>
      <c r="I2168" s="470"/>
      <c r="J2168" t="str">
        <f>IFERROR(__xludf.DUMMYFUNCTION("""COMPUTED_VALUE"""),"⁠https://vt.tiktok.com/ZSxfQcauv/")</f>
        <v>⁠https://vt.tiktok.com/ZSxfQcauv/</v>
      </c>
      <c r="K2168" s="470"/>
      <c r="L2168" s="471" t="str">
        <f>IFERROR(__xludf.DUMMYFUNCTION("""COMPUTED_VALUE"""),"https://vt.tiktok.com/ZSxQF8683/")</f>
        <v>https://vt.tiktok.com/ZSxQF8683/</v>
      </c>
      <c r="M2168" s="470"/>
      <c r="N2168" s="471" t="str">
        <f>IFERROR(__xludf.DUMMYFUNCTION("""COMPUTED_VALUE"""),"https://vt.tiktok.com/ZSxQF8683/")</f>
        <v>https://vt.tiktok.com/ZSxQF8683/</v>
      </c>
      <c r="O2168" s="470"/>
      <c r="P2168" t="str">
        <f>IFERROR(__xludf.DUMMYFUNCTION("""COMPUTED_VALUE"""),"⁠https://vt.tiktok.com/ZSxfQcauv/")</f>
        <v>⁠https://vt.tiktok.com/ZSxfQcauv/</v>
      </c>
    </row>
    <row r="2169">
      <c r="A2169" s="282" t="str">
        <f>IFERROR(__xludf.DUMMYFUNCTION("""COMPUTED_VALUE"""),"MICRO")</f>
        <v>MICRO</v>
      </c>
      <c r="B2169" s="468" t="str">
        <f>IFERROR(__xludf.DUMMYFUNCTION("""COMPUTED_VALUE"""),"Anaumy19")</f>
        <v>Anaumy19</v>
      </c>
      <c r="C2169" s="283" t="str">
        <f>IFERROR(__xludf.DUMMYFUNCTION("""COMPUTED_VALUE"""),"https://www.tiktok.com/@Anaumy19")</f>
        <v>https://www.tiktok.com/@Anaumy19</v>
      </c>
      <c r="D2169" s="273">
        <f>IFERROR(__xludf.DUMMYFUNCTION("""COMPUTED_VALUE"""),8.5806923125E10)</f>
        <v>85806923125</v>
      </c>
      <c r="E2169" s="458">
        <f>IFERROR(__xludf.DUMMYFUNCTION("""COMPUTED_VALUE"""),0.0)</f>
        <v>0</v>
      </c>
      <c r="F2169" s="273">
        <f>IFERROR(__xludf.DUMMYFUNCTION("""COMPUTED_VALUE"""),2.0)</f>
        <v>2</v>
      </c>
      <c r="G2169" t="str">
        <f>IFERROR(__xludf.DUMMYFUNCTION("""COMPUTED_VALUE"""),"Sabun batang 1 Box ( 2 PCS )")</f>
        <v>Sabun batang 1 Box ( 2 PCS )</v>
      </c>
      <c r="H2169" s="469"/>
      <c r="I2169" s="470"/>
      <c r="J2169" s="471" t="str">
        <f>IFERROR(__xludf.DUMMYFUNCTION("""COMPUTED_VALUE"""),"https://vt.tiktok.com/ZSxfQ7QG8/")</f>
        <v>https://vt.tiktok.com/ZSxfQ7QG8/</v>
      </c>
      <c r="K2169" s="470"/>
      <c r="L2169" t="str">
        <f>IFERROR(__xludf.DUMMYFUNCTION("""COMPUTED_VALUE"""),"⁠https://vt.tiktok.com/ZSxfQosb1/")</f>
        <v>⁠https://vt.tiktok.com/ZSxfQosb1/</v>
      </c>
      <c r="M2169" s="470"/>
      <c r="N2169" t="str">
        <f>IFERROR(__xludf.DUMMYFUNCTION("""COMPUTED_VALUE"""),"⁠https://vt.tiktok.com/ZSxfQosb1/")</f>
        <v>⁠https://vt.tiktok.com/ZSxfQosb1/</v>
      </c>
      <c r="O2169" s="470"/>
      <c r="P2169" s="471" t="str">
        <f>IFERROR(__xludf.DUMMYFUNCTION("""COMPUTED_VALUE"""),"https://vt.tiktok.com/ZSxfQ7QG8/")</f>
        <v>https://vt.tiktok.com/ZSxfQ7QG8/</v>
      </c>
    </row>
    <row r="2170">
      <c r="A2170" s="282" t="str">
        <f>IFERROR(__xludf.DUMMYFUNCTION("""COMPUTED_VALUE"""),"MICRO")</f>
        <v>MICRO</v>
      </c>
      <c r="B2170" s="468" t="str">
        <f>IFERROR(__xludf.DUMMYFUNCTION("""COMPUTED_VALUE"""),"Chubb_kuh01")</f>
        <v>Chubb_kuh01</v>
      </c>
      <c r="C2170" s="283" t="str">
        <f>IFERROR(__xludf.DUMMYFUNCTION("""COMPUTED_VALUE"""),"https://www.tiktok.com/@Chubb_kuh01")</f>
        <v>https://www.tiktok.com/@Chubb_kuh01</v>
      </c>
      <c r="D2170" s="273">
        <f>IFERROR(__xludf.DUMMYFUNCTION("""COMPUTED_VALUE"""),8.5784820943E10)</f>
        <v>85784820943</v>
      </c>
      <c r="E2170" s="458">
        <f>IFERROR(__xludf.DUMMYFUNCTION("""COMPUTED_VALUE"""),0.0)</f>
        <v>0</v>
      </c>
      <c r="F2170" s="273">
        <f>IFERROR(__xludf.DUMMYFUNCTION("""COMPUTED_VALUE"""),2.0)</f>
        <v>2</v>
      </c>
      <c r="G2170" t="str">
        <f>IFERROR(__xludf.DUMMYFUNCTION("""COMPUTED_VALUE"""),"Sabun batang 1 Box ( 2 PCS )")</f>
        <v>Sabun batang 1 Box ( 2 PCS )</v>
      </c>
      <c r="H2170" s="469"/>
      <c r="I2170" s="470"/>
      <c r="J2170" t="str">
        <f>IFERROR(__xludf.DUMMYFUNCTION("""COMPUTED_VALUE"""),"⁠https://vt.tiktok.com/ZSxfQsCCS/")</f>
        <v>⁠https://vt.tiktok.com/ZSxfQsCCS/</v>
      </c>
      <c r="K2170" s="470"/>
      <c r="L2170" t="str">
        <f>IFERROR(__xludf.DUMMYFUNCTION("""COMPUTED_VALUE"""),"⁠https://vt.tiktok.com/ZSxfQE4NT/")</f>
        <v>⁠https://vt.tiktok.com/ZSxfQE4NT/</v>
      </c>
      <c r="M2170" s="470"/>
      <c r="N2170" t="str">
        <f>IFERROR(__xludf.DUMMYFUNCTION("""COMPUTED_VALUE"""),"⁠https://vt.tiktok.com/ZSxfQE4NT/")</f>
        <v>⁠https://vt.tiktok.com/ZSxfQE4NT/</v>
      </c>
      <c r="O2170" s="470"/>
      <c r="P2170" t="str">
        <f>IFERROR(__xludf.DUMMYFUNCTION("""COMPUTED_VALUE"""),"⁠https://vt.tiktok.com/ZSxfQsCCS/")</f>
        <v>⁠https://vt.tiktok.com/ZSxfQsCCS/</v>
      </c>
    </row>
    <row r="2171">
      <c r="A2171" s="282" t="str">
        <f>IFERROR(__xludf.DUMMYFUNCTION("""COMPUTED_VALUE"""),"MICRO")</f>
        <v>MICRO</v>
      </c>
      <c r="B2171" s="468" t="str">
        <f>IFERROR(__xludf.DUMMYFUNCTION("""COMPUTED_VALUE"""),"_bungaaaaf19_")</f>
        <v>_bungaaaaf19_</v>
      </c>
      <c r="C2171" s="283" t="str">
        <f>IFERROR(__xludf.DUMMYFUNCTION("""COMPUTED_VALUE"""),"https://www.tiktok.com/@_bungaaaaf19_")</f>
        <v>https://www.tiktok.com/@_bungaaaaf19_</v>
      </c>
      <c r="D2171" s="273">
        <f>IFERROR(__xludf.DUMMYFUNCTION("""COMPUTED_VALUE"""),8.9654704778E10)</f>
        <v>89654704778</v>
      </c>
      <c r="E2171" s="458">
        <f>IFERROR(__xludf.DUMMYFUNCTION("""COMPUTED_VALUE"""),0.0)</f>
        <v>0</v>
      </c>
      <c r="F2171" s="273">
        <f>IFERROR(__xludf.DUMMYFUNCTION("""COMPUTED_VALUE"""),2.0)</f>
        <v>2</v>
      </c>
      <c r="G2171" t="str">
        <f>IFERROR(__xludf.DUMMYFUNCTION("""COMPUTED_VALUE"""),"Sabun batang 1 Box ( 2 PCS )")</f>
        <v>Sabun batang 1 Box ( 2 PCS )</v>
      </c>
      <c r="H2171" s="469"/>
      <c r="I2171" s="470"/>
      <c r="J2171" t="str">
        <f>IFERROR(__xludf.DUMMYFUNCTION("""COMPUTED_VALUE"""),"⁠https://vt.tiktok.com/ZSxfQsm9U/")</f>
        <v>⁠https://vt.tiktok.com/ZSxfQsm9U/</v>
      </c>
      <c r="K2171" s="470"/>
      <c r="L2171" s="471" t="str">
        <f>IFERROR(__xludf.DUMMYFUNCTION("""COMPUTED_VALUE"""),"https://vt.tiktok.com/ZSxfQTRPv/")</f>
        <v>https://vt.tiktok.com/ZSxfQTRPv/</v>
      </c>
      <c r="M2171" s="470"/>
      <c r="N2171" s="471" t="str">
        <f>IFERROR(__xludf.DUMMYFUNCTION("""COMPUTED_VALUE"""),"https://vt.tiktok.com/ZSxfQTRPv/")</f>
        <v>https://vt.tiktok.com/ZSxfQTRPv/</v>
      </c>
      <c r="O2171" s="470"/>
      <c r="P2171" t="str">
        <f>IFERROR(__xludf.DUMMYFUNCTION("""COMPUTED_VALUE"""),"⁠https://vt.tiktok.com/ZSxfQsm9U/")</f>
        <v>⁠https://vt.tiktok.com/ZSxfQsm9U/</v>
      </c>
    </row>
    <row r="2172">
      <c r="A2172" s="282" t="str">
        <f>IFERROR(__xludf.DUMMYFUNCTION("""COMPUTED_VALUE"""),"MICRO")</f>
        <v>MICRO</v>
      </c>
      <c r="B2172" s="468" t="str">
        <f>IFERROR(__xludf.DUMMYFUNCTION("""COMPUTED_VALUE"""),"meamore42 ")</f>
        <v>meamore42 </v>
      </c>
      <c r="C2172" s="283" t="str">
        <f>IFERROR(__xludf.DUMMYFUNCTION("""COMPUTED_VALUE"""),"https://www.tiktok.com/@meamore42 ")</f>
        <v>https://www.tiktok.com/@meamore42 </v>
      </c>
      <c r="D2172" s="273">
        <f>IFERROR(__xludf.DUMMYFUNCTION("""COMPUTED_VALUE"""),8.5727007908E10)</f>
        <v>85727007908</v>
      </c>
      <c r="E2172" s="458">
        <f>IFERROR(__xludf.DUMMYFUNCTION("""COMPUTED_VALUE"""),0.0)</f>
        <v>0</v>
      </c>
      <c r="F2172" s="273">
        <f>IFERROR(__xludf.DUMMYFUNCTION("""COMPUTED_VALUE"""),2.0)</f>
        <v>2</v>
      </c>
      <c r="G2172" t="str">
        <f>IFERROR(__xludf.DUMMYFUNCTION("""COMPUTED_VALUE"""),"Sabun batang 1 Box ( 2 PCS )")</f>
        <v>Sabun batang 1 Box ( 2 PCS )</v>
      </c>
      <c r="H2172" s="469"/>
      <c r="I2172" s="470"/>
      <c r="J2172" s="471" t="str">
        <f>IFERROR(__xludf.DUMMYFUNCTION("""COMPUTED_VALUE"""),"https://vt.tiktok.com/ZSxBLRDp4/")</f>
        <v>https://vt.tiktok.com/ZSxBLRDp4/</v>
      </c>
      <c r="K2172" s="470"/>
      <c r="L2172" s="471" t="str">
        <f>IFERROR(__xludf.DUMMYFUNCTION("""COMPUTED_VALUE"""),"https://vt.tiktok.com/ZSxfQb6qP/")</f>
        <v>https://vt.tiktok.com/ZSxfQb6qP/</v>
      </c>
      <c r="M2172" s="470"/>
      <c r="N2172" s="471" t="str">
        <f>IFERROR(__xludf.DUMMYFUNCTION("""COMPUTED_VALUE"""),"https://vt.tiktok.com/ZSxfQb6qP/")</f>
        <v>https://vt.tiktok.com/ZSxfQb6qP/</v>
      </c>
      <c r="O2172" s="470"/>
      <c r="P2172" s="471" t="str">
        <f>IFERROR(__xludf.DUMMYFUNCTION("""COMPUTED_VALUE"""),"https://vt.tiktok.com/ZSxBLRDp4/")</f>
        <v>https://vt.tiktok.com/ZSxBLRDp4/</v>
      </c>
    </row>
    <row r="2173">
      <c r="A2173" s="282" t="str">
        <f>IFERROR(__xludf.DUMMYFUNCTION("""COMPUTED_VALUE"""),"MICRO")</f>
        <v>MICRO</v>
      </c>
      <c r="B2173" s="468" t="str">
        <f>IFERROR(__xludf.DUMMYFUNCTION("""COMPUTED_VALUE"""),"astriumd")</f>
        <v>astriumd</v>
      </c>
      <c r="C2173" s="283" t="str">
        <f>IFERROR(__xludf.DUMMYFUNCTION("""COMPUTED_VALUE"""),"https://www.tiktok.com/@astriumd")</f>
        <v>https://www.tiktok.com/@astriumd</v>
      </c>
      <c r="D2173" s="273">
        <f>IFERROR(__xludf.DUMMYFUNCTION("""COMPUTED_VALUE"""),8.7834680353E10)</f>
        <v>87834680353</v>
      </c>
      <c r="E2173" s="458">
        <f>IFERROR(__xludf.DUMMYFUNCTION("""COMPUTED_VALUE"""),0.0)</f>
        <v>0</v>
      </c>
      <c r="F2173" s="273">
        <f>IFERROR(__xludf.DUMMYFUNCTION("""COMPUTED_VALUE"""),2.0)</f>
        <v>2</v>
      </c>
      <c r="G2173" t="str">
        <f>IFERROR(__xludf.DUMMYFUNCTION("""COMPUTED_VALUE"""),"Sabun batang 1 Box ( 2 PCS )")</f>
        <v>Sabun batang 1 Box ( 2 PCS )</v>
      </c>
      <c r="H2173" s="469"/>
      <c r="I2173" s="470"/>
      <c r="J2173" s="471" t="str">
        <f>IFERROR(__xludf.DUMMYFUNCTION("""COMPUTED_VALUE"""),"https://vt.tiktok.com/ZSxBLFYsc/")</f>
        <v>https://vt.tiktok.com/ZSxBLFYsc/</v>
      </c>
      <c r="K2173" s="470"/>
      <c r="L2173" s="471" t="str">
        <f>IFERROR(__xludf.DUMMYFUNCTION("""COMPUTED_VALUE"""),"https://vt.tiktok.com/ZSxxuH65D/")</f>
        <v>https://vt.tiktok.com/ZSxxuH65D/</v>
      </c>
      <c r="M2173" s="470"/>
      <c r="N2173" s="471" t="str">
        <f>IFERROR(__xludf.DUMMYFUNCTION("""COMPUTED_VALUE"""),"https://vt.tiktok.com/ZSxxuH65D/")</f>
        <v>https://vt.tiktok.com/ZSxxuH65D/</v>
      </c>
      <c r="O2173" s="470"/>
      <c r="P2173" s="471" t="str">
        <f>IFERROR(__xludf.DUMMYFUNCTION("""COMPUTED_VALUE"""),"https://vt.tiktok.com/ZSxBLFYsc/")</f>
        <v>https://vt.tiktok.com/ZSxBLFYsc/</v>
      </c>
    </row>
    <row r="2174">
      <c r="A2174" s="282" t="str">
        <f>IFERROR(__xludf.DUMMYFUNCTION("""COMPUTED_VALUE"""),"MICRO")</f>
        <v>MICRO</v>
      </c>
      <c r="B2174" s="468" t="str">
        <f>IFERROR(__xludf.DUMMYFUNCTION("""COMPUTED_VALUE"""),"aurorashop.id2")</f>
        <v>aurorashop.id2</v>
      </c>
      <c r="C2174" s="283" t="str">
        <f>IFERROR(__xludf.DUMMYFUNCTION("""COMPUTED_VALUE"""),"https://www.tiktok.com/@aurorashop.id2")</f>
        <v>https://www.tiktok.com/@aurorashop.id2</v>
      </c>
      <c r="D2174" s="273">
        <f>IFERROR(__xludf.DUMMYFUNCTION("""COMPUTED_VALUE"""),8.2116737167E10)</f>
        <v>82116737167</v>
      </c>
      <c r="E2174" s="458">
        <f>IFERROR(__xludf.DUMMYFUNCTION("""COMPUTED_VALUE"""),0.0)</f>
        <v>0</v>
      </c>
      <c r="F2174" s="273">
        <f>IFERROR(__xludf.DUMMYFUNCTION("""COMPUTED_VALUE"""),2.0)</f>
        <v>2</v>
      </c>
      <c r="G2174" t="str">
        <f>IFERROR(__xludf.DUMMYFUNCTION("""COMPUTED_VALUE"""),"Sabun batang 1 Box ( 2 PCS )")</f>
        <v>Sabun batang 1 Box ( 2 PCS )</v>
      </c>
      <c r="H2174" s="469"/>
      <c r="I2174" s="470"/>
      <c r="J2174" s="471" t="str">
        <f>IFERROR(__xludf.DUMMYFUNCTION("""COMPUTED_VALUE"""),"https://vt.tiktok.com/ZSxQNKWuA/")</f>
        <v>https://vt.tiktok.com/ZSxQNKWuA/</v>
      </c>
      <c r="K2174" s="470"/>
      <c r="L2174" s="471" t="str">
        <f>IFERROR(__xludf.DUMMYFUNCTION("""COMPUTED_VALUE"""),"https://vt.tiktok.com/ZSxxu5DXD/")</f>
        <v>https://vt.tiktok.com/ZSxxu5DXD/</v>
      </c>
      <c r="M2174" s="470"/>
      <c r="N2174" s="471" t="str">
        <f>IFERROR(__xludf.DUMMYFUNCTION("""COMPUTED_VALUE"""),"https://vt.tiktok.com/ZSxxu5DXD/")</f>
        <v>https://vt.tiktok.com/ZSxxu5DXD/</v>
      </c>
      <c r="O2174" s="470"/>
      <c r="P2174" s="471" t="str">
        <f>IFERROR(__xludf.DUMMYFUNCTION("""COMPUTED_VALUE"""),"https://vt.tiktok.com/ZSxQNKWuA/")</f>
        <v>https://vt.tiktok.com/ZSxQNKWuA/</v>
      </c>
    </row>
    <row r="2175">
      <c r="A2175" s="282" t="str">
        <f>IFERROR(__xludf.DUMMYFUNCTION("""COMPUTED_VALUE"""),"MICRO")</f>
        <v>MICRO</v>
      </c>
      <c r="B2175" s="468" t="str">
        <f>IFERROR(__xludf.DUMMYFUNCTION("""COMPUTED_VALUE"""),"viestasin")</f>
        <v>viestasin</v>
      </c>
      <c r="C2175" s="283" t="str">
        <f>IFERROR(__xludf.DUMMYFUNCTION("""COMPUTED_VALUE"""),"https://www.tiktok.com/@viestasin")</f>
        <v>https://www.tiktok.com/@viestasin</v>
      </c>
      <c r="D2175" s="273">
        <f>IFERROR(__xludf.DUMMYFUNCTION("""COMPUTED_VALUE"""),8.1352539625E10)</f>
        <v>81352539625</v>
      </c>
      <c r="E2175" s="458">
        <f>IFERROR(__xludf.DUMMYFUNCTION("""COMPUTED_VALUE"""),0.0)</f>
        <v>0</v>
      </c>
      <c r="F2175" s="273">
        <f>IFERROR(__xludf.DUMMYFUNCTION("""COMPUTED_VALUE"""),2.0)</f>
        <v>2</v>
      </c>
      <c r="G2175" t="str">
        <f>IFERROR(__xludf.DUMMYFUNCTION("""COMPUTED_VALUE"""),"Sabun batang 1 Box ( 2 PCS )")</f>
        <v>Sabun batang 1 Box ( 2 PCS )</v>
      </c>
      <c r="H2175" s="469"/>
      <c r="I2175" s="470"/>
      <c r="J2175" s="471" t="str">
        <f>IFERROR(__xludf.DUMMYFUNCTION("""COMPUTED_VALUE"""),"https://vt.tiktok.com/ZSxQhDmfK/")</f>
        <v>https://vt.tiktok.com/ZSxQhDmfK/</v>
      </c>
      <c r="K2175" s="470"/>
      <c r="L2175" s="471" t="str">
        <f>IFERROR(__xludf.DUMMYFUNCTION("""COMPUTED_VALUE"""),"https://vt.tiktok.com/ZSxQF6yLo/")</f>
        <v>https://vt.tiktok.com/ZSxQF6yLo/</v>
      </c>
      <c r="M2175" s="470"/>
      <c r="N2175" s="471" t="str">
        <f>IFERROR(__xludf.DUMMYFUNCTION("""COMPUTED_VALUE"""),"https://vt.tiktok.com/ZSxQF6yLo/")</f>
        <v>https://vt.tiktok.com/ZSxQF6yLo/</v>
      </c>
      <c r="O2175" s="470"/>
      <c r="P2175" s="471" t="str">
        <f>IFERROR(__xludf.DUMMYFUNCTION("""COMPUTED_VALUE"""),"https://vt.tiktok.com/ZSxQhDmfK/")</f>
        <v>https://vt.tiktok.com/ZSxQhDmfK/</v>
      </c>
    </row>
    <row r="2176">
      <c r="A2176" s="282" t="str">
        <f>IFERROR(__xludf.DUMMYFUNCTION("""COMPUTED_VALUE"""),"MICRO")</f>
        <v>MICRO</v>
      </c>
      <c r="B2176" s="468" t="str">
        <f>IFERROR(__xludf.DUMMYFUNCTION("""COMPUTED_VALUE"""),"wylina_")</f>
        <v>wylina_</v>
      </c>
      <c r="C2176" s="283" t="str">
        <f>IFERROR(__xludf.DUMMYFUNCTION("""COMPUTED_VALUE"""),"https://www.tiktok.com/@wylina_")</f>
        <v>https://www.tiktok.com/@wylina_</v>
      </c>
      <c r="D2176" s="273">
        <f>IFERROR(__xludf.DUMMYFUNCTION("""COMPUTED_VALUE"""),8.5735398953E10)</f>
        <v>85735398953</v>
      </c>
      <c r="E2176" s="458">
        <f>IFERROR(__xludf.DUMMYFUNCTION("""COMPUTED_VALUE"""),0.0)</f>
        <v>0</v>
      </c>
      <c r="F2176" s="273">
        <f>IFERROR(__xludf.DUMMYFUNCTION("""COMPUTED_VALUE"""),2.0)</f>
        <v>2</v>
      </c>
      <c r="G2176" t="str">
        <f>IFERROR(__xludf.DUMMYFUNCTION("""COMPUTED_VALUE"""),"Sabun batang 1 Box ( 2 PCS )")</f>
        <v>Sabun batang 1 Box ( 2 PCS )</v>
      </c>
      <c r="H2176" s="469"/>
      <c r="I2176" s="470"/>
      <c r="J2176" s="471" t="str">
        <f>IFERROR(__xludf.DUMMYFUNCTION("""COMPUTED_VALUE"""),"https://vt.tiktok.com/ZSxaFNhYt/")</f>
        <v>https://vt.tiktok.com/ZSxaFNhYt/</v>
      </c>
      <c r="K2176" s="470"/>
      <c r="L2176" s="471" t="str">
        <f>IFERROR(__xludf.DUMMYFUNCTION("""COMPUTED_VALUE"""),"https://vt.tiktok.com/ZSxaFVBkG/")</f>
        <v>https://vt.tiktok.com/ZSxaFVBkG/</v>
      </c>
      <c r="M2176" s="470"/>
      <c r="N2176" s="471" t="str">
        <f>IFERROR(__xludf.DUMMYFUNCTION("""COMPUTED_VALUE"""),"https://vt.tiktok.com/ZSxQhfTPM/")</f>
        <v>https://vt.tiktok.com/ZSxQhfTPM/</v>
      </c>
      <c r="O2176" s="470"/>
      <c r="P2176" s="471" t="str">
        <f>IFERROR(__xludf.DUMMYFUNCTION("""COMPUTED_VALUE"""),"https://vt.tiktok.com/ZSxQhkemB/")</f>
        <v>https://vt.tiktok.com/ZSxQhkemB/</v>
      </c>
    </row>
    <row r="2177">
      <c r="A2177" s="282" t="str">
        <f>IFERROR(__xludf.DUMMYFUNCTION("""COMPUTED_VALUE"""),"MICRO")</f>
        <v>MICRO</v>
      </c>
      <c r="B2177" s="468" t="str">
        <f>IFERROR(__xludf.DUMMYFUNCTION("""COMPUTED_VALUE"""),"harumrice")</f>
        <v>harumrice</v>
      </c>
      <c r="C2177" s="283" t="str">
        <f>IFERROR(__xludf.DUMMYFUNCTION("""COMPUTED_VALUE"""),"https://www.tiktok.com/@harumrice")</f>
        <v>https://www.tiktok.com/@harumrice</v>
      </c>
      <c r="D2177" s="273">
        <f>IFERROR(__xludf.DUMMYFUNCTION("""COMPUTED_VALUE"""),8.2119145119E10)</f>
        <v>82119145119</v>
      </c>
      <c r="E2177" s="458">
        <f>IFERROR(__xludf.DUMMYFUNCTION("""COMPUTED_VALUE"""),750000.0)</f>
        <v>750000</v>
      </c>
      <c r="F2177" s="273">
        <f>IFERROR(__xludf.DUMMYFUNCTION("""COMPUTED_VALUE"""),4.0)</f>
        <v>4</v>
      </c>
      <c r="G2177" t="str">
        <f>IFERROR(__xludf.DUMMYFUNCTION("""COMPUTED_VALUE"""),"Sabun batang 1 Box ( 2 PCS )")</f>
        <v>Sabun batang 1 Box ( 2 PCS )</v>
      </c>
      <c r="H2177" s="469"/>
      <c r="I2177" s="470"/>
      <c r="J2177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177" s="470"/>
      <c r="L2177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177" s="470"/>
      <c r="N2177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177" s="470"/>
      <c r="P2177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178">
      <c r="A2178" s="282" t="str">
        <f>IFERROR(__xludf.DUMMYFUNCTION("""COMPUTED_VALUE"""),"MICRO")</f>
        <v>MICRO</v>
      </c>
      <c r="B2178" s="468" t="str">
        <f>IFERROR(__xludf.DUMMYFUNCTION("""COMPUTED_VALUE"""),"n_w0202")</f>
        <v>n_w0202</v>
      </c>
      <c r="C2178" s="283" t="str">
        <f>IFERROR(__xludf.DUMMYFUNCTION("""COMPUTED_VALUE"""),"https://www.tiktok.com/@n_w0202")</f>
        <v>https://www.tiktok.com/@n_w0202</v>
      </c>
      <c r="D2178" s="273">
        <f>IFERROR(__xludf.DUMMYFUNCTION("""COMPUTED_VALUE"""),8.2310600694E10)</f>
        <v>82310600694</v>
      </c>
      <c r="E2178" s="458">
        <f>IFERROR(__xludf.DUMMYFUNCTION("""COMPUTED_VALUE"""),0.0)</f>
        <v>0</v>
      </c>
      <c r="F2178" s="273">
        <f>IFERROR(__xludf.DUMMYFUNCTION("""COMPUTED_VALUE"""),4.0)</f>
        <v>4</v>
      </c>
      <c r="G2178" t="str">
        <f>IFERROR(__xludf.DUMMYFUNCTION("""COMPUTED_VALUE"""),"Sabun batang 1 Box ( 2 PCS )")</f>
        <v>Sabun batang 1 Box ( 2 PCS )</v>
      </c>
      <c r="H2178" s="469"/>
      <c r="I2178" s="470"/>
      <c r="J2178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178" s="470"/>
      <c r="L2178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178" s="470"/>
      <c r="N2178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178" s="470"/>
      <c r="P2178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179">
      <c r="A2179" s="282" t="str">
        <f>IFERROR(__xludf.DUMMYFUNCTION("""COMPUTED_VALUE"""),"MICRO")</f>
        <v>MICRO</v>
      </c>
      <c r="B2179" s="468" t="str">
        <f>IFERROR(__xludf.DUMMYFUNCTION("""COMPUTED_VALUE"""),"annasulaiman45")</f>
        <v>annasulaiman45</v>
      </c>
      <c r="C2179" s="283" t="str">
        <f>IFERROR(__xludf.DUMMYFUNCTION("""COMPUTED_VALUE"""),"https://www.tiktok.com/@annasulaiman45")</f>
        <v>https://www.tiktok.com/@annasulaiman45</v>
      </c>
      <c r="D2179" s="273">
        <f>IFERROR(__xludf.DUMMYFUNCTION("""COMPUTED_VALUE"""),8.1310530225E10)</f>
        <v>81310530225</v>
      </c>
      <c r="E2179" s="458">
        <f>IFERROR(__xludf.DUMMYFUNCTION("""COMPUTED_VALUE"""),0.0)</f>
        <v>0</v>
      </c>
      <c r="F2179" s="273">
        <f>IFERROR(__xludf.DUMMYFUNCTION("""COMPUTED_VALUE"""),4.0)</f>
        <v>4</v>
      </c>
      <c r="G2179" t="str">
        <f>IFERROR(__xludf.DUMMYFUNCTION("""COMPUTED_VALUE"""),"Sabun batang 1 Box ( 2 PCS )")</f>
        <v>Sabun batang 1 Box ( 2 PCS )</v>
      </c>
      <c r="H2179" s="469"/>
      <c r="I2179" s="470"/>
      <c r="J2179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179" s="470"/>
      <c r="L2179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179" s="470"/>
      <c r="N2179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179" s="470"/>
      <c r="P2179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180">
      <c r="A2180" s="282" t="str">
        <f>IFERROR(__xludf.DUMMYFUNCTION("""COMPUTED_VALUE"""),"MICRO")</f>
        <v>MICRO</v>
      </c>
      <c r="B2180" s="468" t="str">
        <f>IFERROR(__xludf.DUMMYFUNCTION("""COMPUTED_VALUE"""),"burhan_saputro")</f>
        <v>burhan_saputro</v>
      </c>
      <c r="C2180" s="283" t="str">
        <f>IFERROR(__xludf.DUMMYFUNCTION("""COMPUTED_VALUE"""),"https://www.tiktok.com/@burhan_saputro")</f>
        <v>https://www.tiktok.com/@burhan_saputro</v>
      </c>
      <c r="D2180" s="273">
        <f>IFERROR(__xludf.DUMMYFUNCTION("""COMPUTED_VALUE"""),8.988973094E9)</f>
        <v>8988973094</v>
      </c>
      <c r="E2180" s="458">
        <f>IFERROR(__xludf.DUMMYFUNCTION("""COMPUTED_VALUE"""),0.0)</f>
        <v>0</v>
      </c>
      <c r="F2180" s="273">
        <f>IFERROR(__xludf.DUMMYFUNCTION("""COMPUTED_VALUE"""),4.0)</f>
        <v>4</v>
      </c>
      <c r="G2180" t="str">
        <f>IFERROR(__xludf.DUMMYFUNCTION("""COMPUTED_VALUE"""),"Sabun batang 1 Box ( 2 PCS )")</f>
        <v>Sabun batang 1 Box ( 2 PCS )</v>
      </c>
      <c r="H2180" s="469"/>
      <c r="I2180" s="470"/>
      <c r="J2180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180" s="470"/>
      <c r="L2180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180" s="470"/>
      <c r="N2180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180" s="470"/>
      <c r="P2180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181">
      <c r="A2181" s="282" t="str">
        <f>IFERROR(__xludf.DUMMYFUNCTION("""COMPUTED_VALUE"""),"MICRO")</f>
        <v>MICRO</v>
      </c>
      <c r="B2181" s="468" t="str">
        <f>IFERROR(__xludf.DUMMYFUNCTION("""COMPUTED_VALUE"""),"shinaaa0_ ")</f>
        <v>shinaaa0_ </v>
      </c>
      <c r="C2181" s="283" t="str">
        <f>IFERROR(__xludf.DUMMYFUNCTION("""COMPUTED_VALUE"""),"https://www.tiktok.com/@shinaaa0_ ")</f>
        <v>https://www.tiktok.com/@shinaaa0_ </v>
      </c>
      <c r="D2181" s="273">
        <f>IFERROR(__xludf.DUMMYFUNCTION("""COMPUTED_VALUE"""),8.2384151657E10)</f>
        <v>82384151657</v>
      </c>
      <c r="E2181" s="458">
        <f>IFERROR(__xludf.DUMMYFUNCTION("""COMPUTED_VALUE"""),0.0)</f>
        <v>0</v>
      </c>
      <c r="F2181" s="273">
        <f>IFERROR(__xludf.DUMMYFUNCTION("""COMPUTED_VALUE"""),4.0)</f>
        <v>4</v>
      </c>
      <c r="G2181" t="str">
        <f>IFERROR(__xludf.DUMMYFUNCTION("""COMPUTED_VALUE"""),"Sabun batang 1 Box ( 2 PCS )")</f>
        <v>Sabun batang 1 Box ( 2 PCS )</v>
      </c>
      <c r="H2181" s="469"/>
      <c r="I2181" s="470"/>
      <c r="J2181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181" s="470"/>
      <c r="L2181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181" s="470"/>
      <c r="N2181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181" s="470"/>
      <c r="P2181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182">
      <c r="A2182" s="282" t="str">
        <f>IFERROR(__xludf.DUMMYFUNCTION("""COMPUTED_VALUE"""),"MICRO")</f>
        <v>MICRO</v>
      </c>
      <c r="B2182" s="468" t="str">
        <f>IFERROR(__xludf.DUMMYFUNCTION("""COMPUTED_VALUE"""),"fashionalava")</f>
        <v>fashionalava</v>
      </c>
      <c r="C2182" s="283" t="str">
        <f>IFERROR(__xludf.DUMMYFUNCTION("""COMPUTED_VALUE"""),"https://www.tiktok.com/@fashionalava")</f>
        <v>https://www.tiktok.com/@fashionalava</v>
      </c>
      <c r="D2182" s="273">
        <f>IFERROR(__xludf.DUMMYFUNCTION("""COMPUTED_VALUE"""),8.812786596E9)</f>
        <v>8812786596</v>
      </c>
      <c r="E2182" s="458">
        <f>IFERROR(__xludf.DUMMYFUNCTION("""COMPUTED_VALUE"""),0.0)</f>
        <v>0</v>
      </c>
      <c r="F2182" s="273">
        <f>IFERROR(__xludf.DUMMYFUNCTION("""COMPUTED_VALUE"""),4.0)</f>
        <v>4</v>
      </c>
      <c r="G2182" t="str">
        <f>IFERROR(__xludf.DUMMYFUNCTION("""COMPUTED_VALUE"""),"Sabun batang 1 Box ( 2 PCS )")</f>
        <v>Sabun batang 1 Box ( 2 PCS )</v>
      </c>
      <c r="H2182" s="469"/>
      <c r="I2182" s="470"/>
      <c r="J2182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182" s="470"/>
      <c r="L2182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182" s="470"/>
      <c r="N2182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182" s="470"/>
      <c r="P2182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183">
      <c r="A2183" s="282" t="str">
        <f>IFERROR(__xludf.DUMMYFUNCTION("""COMPUTED_VALUE"""),"MICRO")</f>
        <v>MICRO</v>
      </c>
      <c r="B2183" s="468" t="str">
        <f>IFERROR(__xludf.DUMMYFUNCTION("""COMPUTED_VALUE"""),"susylampung92")</f>
        <v>susylampung92</v>
      </c>
      <c r="C2183" s="283" t="str">
        <f>IFERROR(__xludf.DUMMYFUNCTION("""COMPUTED_VALUE"""),"https://www.tiktok.com/@susylampung92")</f>
        <v>https://www.tiktok.com/@susylampung92</v>
      </c>
      <c r="D2183" s="273">
        <f>IFERROR(__xludf.DUMMYFUNCTION("""COMPUTED_VALUE"""),8.7873817621E10)</f>
        <v>87873817621</v>
      </c>
      <c r="E2183" s="458">
        <f>IFERROR(__xludf.DUMMYFUNCTION("""COMPUTED_VALUE"""),0.0)</f>
        <v>0</v>
      </c>
      <c r="F2183" s="273">
        <f>IFERROR(__xludf.DUMMYFUNCTION("""COMPUTED_VALUE"""),4.0)</f>
        <v>4</v>
      </c>
      <c r="G2183" t="str">
        <f>IFERROR(__xludf.DUMMYFUNCTION("""COMPUTED_VALUE"""),"Sabun batang 1 Box ( 2 PCS )")</f>
        <v>Sabun batang 1 Box ( 2 PCS )</v>
      </c>
      <c r="H2183" s="469"/>
      <c r="I2183" s="470"/>
      <c r="J2183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183" s="470"/>
      <c r="L2183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183" s="470"/>
      <c r="N2183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183" s="470"/>
      <c r="P2183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184">
      <c r="A2184" s="282" t="str">
        <f>IFERROR(__xludf.DUMMYFUNCTION("""COMPUTED_VALUE"""),"MICRO")</f>
        <v>MICRO</v>
      </c>
      <c r="B2184" s="468" t="str">
        <f>IFERROR(__xludf.DUMMYFUNCTION("""COMPUTED_VALUE"""),"milarosa2111")</f>
        <v>milarosa2111</v>
      </c>
      <c r="C2184" s="283" t="str">
        <f>IFERROR(__xludf.DUMMYFUNCTION("""COMPUTED_VALUE"""),"https://www.tiktok.com/@milarosa2111")</f>
        <v>https://www.tiktok.com/@milarosa2111</v>
      </c>
      <c r="D2184" s="273">
        <f>IFERROR(__xludf.DUMMYFUNCTION("""COMPUTED_VALUE"""),8.1314390302E10)</f>
        <v>81314390302</v>
      </c>
      <c r="E2184" s="458">
        <f>IFERROR(__xludf.DUMMYFUNCTION("""COMPUTED_VALUE"""),0.0)</f>
        <v>0</v>
      </c>
      <c r="F2184" s="273">
        <f>IFERROR(__xludf.DUMMYFUNCTION("""COMPUTED_VALUE"""),4.0)</f>
        <v>4</v>
      </c>
      <c r="G2184" t="str">
        <f>IFERROR(__xludf.DUMMYFUNCTION("""COMPUTED_VALUE"""),"Sabun batang 1 Box ( 2 PCS )")</f>
        <v>Sabun batang 1 Box ( 2 PCS )</v>
      </c>
      <c r="H2184" s="469"/>
      <c r="I2184" s="470"/>
      <c r="J2184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184" s="470"/>
      <c r="L2184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184" s="470"/>
      <c r="N2184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184" s="470"/>
      <c r="P2184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185">
      <c r="A2185" s="282" t="str">
        <f>IFERROR(__xludf.DUMMYFUNCTION("""COMPUTED_VALUE"""),"MICRO")</f>
        <v>MICRO</v>
      </c>
      <c r="B2185" s="468" t="str">
        <f>IFERROR(__xludf.DUMMYFUNCTION("""COMPUTED_VALUE"""),"she_irmaaa")</f>
        <v>she_irmaaa</v>
      </c>
      <c r="C2185" s="283" t="str">
        <f>IFERROR(__xludf.DUMMYFUNCTION("""COMPUTED_VALUE"""),"https://www.tiktok.com/@she_irmaaa")</f>
        <v>https://www.tiktok.com/@she_irmaaa</v>
      </c>
      <c r="D2185" s="273">
        <f>IFERROR(__xludf.DUMMYFUNCTION("""COMPUTED_VALUE"""),8.5172121419E10)</f>
        <v>85172121419</v>
      </c>
      <c r="E2185" s="458">
        <f>IFERROR(__xludf.DUMMYFUNCTION("""COMPUTED_VALUE"""),0.0)</f>
        <v>0</v>
      </c>
      <c r="F2185" s="273">
        <f>IFERROR(__xludf.DUMMYFUNCTION("""COMPUTED_VALUE"""),4.0)</f>
        <v>4</v>
      </c>
      <c r="G2185" t="str">
        <f>IFERROR(__xludf.DUMMYFUNCTION("""COMPUTED_VALUE"""),"Sabun batang 1 Box ( 2 PCS )")</f>
        <v>Sabun batang 1 Box ( 2 PCS )</v>
      </c>
      <c r="H2185" s="469"/>
      <c r="I2185" s="470"/>
      <c r="J2185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185" s="470"/>
      <c r="L2185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185" s="470"/>
      <c r="N2185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185" s="470"/>
      <c r="P2185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186">
      <c r="A2186" s="282" t="str">
        <f>IFERROR(__xludf.DUMMYFUNCTION("""COMPUTED_VALUE"""),"MICRO")</f>
        <v>MICRO</v>
      </c>
      <c r="B2186" s="468" t="str">
        <f>IFERROR(__xludf.DUMMYFUNCTION("""COMPUTED_VALUE"""),"mas.rifa45")</f>
        <v>mas.rifa45</v>
      </c>
      <c r="C2186" s="283" t="str">
        <f>IFERROR(__xludf.DUMMYFUNCTION("""COMPUTED_VALUE"""),"https://www.tiktok.com/@mas.rifa45")</f>
        <v>https://www.tiktok.com/@mas.rifa45</v>
      </c>
      <c r="D2186" s="273">
        <f>IFERROR(__xludf.DUMMYFUNCTION("""COMPUTED_VALUE"""),8.95411641077E11)</f>
        <v>895411641077</v>
      </c>
      <c r="E2186" s="458">
        <f>IFERROR(__xludf.DUMMYFUNCTION("""COMPUTED_VALUE"""),0.0)</f>
        <v>0</v>
      </c>
      <c r="F2186" s="273">
        <f>IFERROR(__xludf.DUMMYFUNCTION("""COMPUTED_VALUE"""),4.0)</f>
        <v>4</v>
      </c>
      <c r="G2186" t="str">
        <f>IFERROR(__xludf.DUMMYFUNCTION("""COMPUTED_VALUE"""),"Sabun batang 1 Box ( 2 PCS )")</f>
        <v>Sabun batang 1 Box ( 2 PCS )</v>
      </c>
      <c r="H2186" s="469"/>
      <c r="I2186" s="470"/>
      <c r="J2186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186" s="470"/>
      <c r="L2186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186" s="470"/>
      <c r="N2186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186" s="470"/>
      <c r="P2186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187">
      <c r="A2187" s="282" t="str">
        <f>IFERROR(__xludf.DUMMYFUNCTION("""COMPUTED_VALUE"""),"MICRO")</f>
        <v>MICRO</v>
      </c>
      <c r="B2187" s="468" t="str">
        <f>IFERROR(__xludf.DUMMYFUNCTION("""COMPUTED_VALUE"""),"tarielestaryy")</f>
        <v>tarielestaryy</v>
      </c>
      <c r="C2187" s="283" t="str">
        <f>IFERROR(__xludf.DUMMYFUNCTION("""COMPUTED_VALUE"""),"https://www.tiktok.com/@tarielestaryy")</f>
        <v>https://www.tiktok.com/@tarielestaryy</v>
      </c>
      <c r="D2187" s="273">
        <f>IFERROR(__xludf.DUMMYFUNCTION("""COMPUTED_VALUE"""),8.3121144426E10)</f>
        <v>83121144426</v>
      </c>
      <c r="E2187" s="458">
        <f>IFERROR(__xludf.DUMMYFUNCTION("""COMPUTED_VALUE"""),0.0)</f>
        <v>0</v>
      </c>
      <c r="F2187" s="273">
        <f>IFERROR(__xludf.DUMMYFUNCTION("""COMPUTED_VALUE"""),4.0)</f>
        <v>4</v>
      </c>
      <c r="G2187" t="str">
        <f>IFERROR(__xludf.DUMMYFUNCTION("""COMPUTED_VALUE"""),"Sabun batang 1 Box ( 2 PCS )")</f>
        <v>Sabun batang 1 Box ( 2 PCS )</v>
      </c>
      <c r="H2187" s="469"/>
      <c r="I2187" s="470"/>
      <c r="J2187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187" s="470"/>
      <c r="L2187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187" s="470"/>
      <c r="N2187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187" s="470"/>
      <c r="P2187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188">
      <c r="A2188" s="282" t="str">
        <f>IFERROR(__xludf.DUMMYFUNCTION("""COMPUTED_VALUE"""),"MICRO")</f>
        <v>MICRO</v>
      </c>
      <c r="B2188" s="468" t="str">
        <f>IFERROR(__xludf.DUMMYFUNCTION("""COMPUTED_VALUE"""),"borujuntak.h.16")</f>
        <v>borujuntak.h.16</v>
      </c>
      <c r="C2188" s="283" t="str">
        <f>IFERROR(__xludf.DUMMYFUNCTION("""COMPUTED_VALUE"""),"https://www.tiktok.com/@borujuntak.h.16")</f>
        <v>https://www.tiktok.com/@borujuntak.h.16</v>
      </c>
      <c r="D2188" s="273">
        <f>IFERROR(__xludf.DUMMYFUNCTION("""COMPUTED_VALUE"""),8.5265675788E10)</f>
        <v>85265675788</v>
      </c>
      <c r="E2188" s="458">
        <f>IFERROR(__xludf.DUMMYFUNCTION("""COMPUTED_VALUE"""),0.0)</f>
        <v>0</v>
      </c>
      <c r="F2188" s="273">
        <f>IFERROR(__xludf.DUMMYFUNCTION("""COMPUTED_VALUE"""),4.0)</f>
        <v>4</v>
      </c>
      <c r="G2188" t="str">
        <f>IFERROR(__xludf.DUMMYFUNCTION("""COMPUTED_VALUE"""),"Sabun batang 1 Box ( 2 PCS )")</f>
        <v>Sabun batang 1 Box ( 2 PCS )</v>
      </c>
      <c r="H2188" s="469"/>
      <c r="I2188" s="470"/>
      <c r="J2188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188" s="470"/>
      <c r="L2188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188" s="470"/>
      <c r="N2188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188" s="470"/>
      <c r="P2188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189">
      <c r="A2189" s="282" t="str">
        <f>IFERROR(__xludf.DUMMYFUNCTION("""COMPUTED_VALUE"""),"MICRO")</f>
        <v>MICRO</v>
      </c>
      <c r="B2189" s="468" t="str">
        <f>IFERROR(__xludf.DUMMYFUNCTION("""COMPUTED_VALUE"""),"ffyyy144")</f>
        <v>ffyyy144</v>
      </c>
      <c r="C2189" s="283" t="str">
        <f>IFERROR(__xludf.DUMMYFUNCTION("""COMPUTED_VALUE"""),"https://www.tiktok.com/@ffyyy144")</f>
        <v>https://www.tiktok.com/@ffyyy144</v>
      </c>
      <c r="D2189" s="273">
        <f>IFERROR(__xludf.DUMMYFUNCTION("""COMPUTED_VALUE"""),8.5900460937E10)</f>
        <v>85900460937</v>
      </c>
      <c r="E2189" s="458">
        <f>IFERROR(__xludf.DUMMYFUNCTION("""COMPUTED_VALUE"""),0.0)</f>
        <v>0</v>
      </c>
      <c r="F2189" s="273">
        <f>IFERROR(__xludf.DUMMYFUNCTION("""COMPUTED_VALUE"""),4.0)</f>
        <v>4</v>
      </c>
      <c r="G2189" t="str">
        <f>IFERROR(__xludf.DUMMYFUNCTION("""COMPUTED_VALUE"""),"Sabun batang 1 Box ( 2 PCS )")</f>
        <v>Sabun batang 1 Box ( 2 PCS )</v>
      </c>
      <c r="H2189" s="469"/>
      <c r="I2189" s="470"/>
      <c r="J2189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189" s="470"/>
      <c r="L2189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189" s="470"/>
      <c r="N2189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189" s="470"/>
      <c r="P2189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190">
      <c r="A2190" s="282" t="str">
        <f>IFERROR(__xludf.DUMMYFUNCTION("""COMPUTED_VALUE"""),"MICRO")</f>
        <v>MICRO</v>
      </c>
      <c r="B2190" s="468" t="str">
        <f>IFERROR(__xludf.DUMMYFUNCTION("""COMPUTED_VALUE"""),"pilinskiii ")</f>
        <v>pilinskiii </v>
      </c>
      <c r="C2190" s="283" t="str">
        <f>IFERROR(__xludf.DUMMYFUNCTION("""COMPUTED_VALUE"""),"https://www.tiktok.com/@pilinskiii ")</f>
        <v>https://www.tiktok.com/@pilinskiii </v>
      </c>
      <c r="D2190" s="273">
        <f>IFERROR(__xludf.DUMMYFUNCTION("""COMPUTED_VALUE"""),8.1395892186E10)</f>
        <v>81395892186</v>
      </c>
      <c r="E2190" s="458">
        <f>IFERROR(__xludf.DUMMYFUNCTION("""COMPUTED_VALUE"""),0.0)</f>
        <v>0</v>
      </c>
      <c r="F2190" s="273">
        <f>IFERROR(__xludf.DUMMYFUNCTION("""COMPUTED_VALUE"""),4.0)</f>
        <v>4</v>
      </c>
      <c r="G2190" t="str">
        <f>IFERROR(__xludf.DUMMYFUNCTION("""COMPUTED_VALUE"""),"Sabun batang 1 Box ( 2 PCS )")</f>
        <v>Sabun batang 1 Box ( 2 PCS )</v>
      </c>
      <c r="H2190" s="469"/>
      <c r="I2190" s="470"/>
      <c r="J2190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190" s="470"/>
      <c r="L2190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190" s="470"/>
      <c r="N2190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190" s="470"/>
      <c r="P2190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191">
      <c r="A2191" s="282" t="str">
        <f>IFERROR(__xludf.DUMMYFUNCTION("""COMPUTED_VALUE"""),"MICRO")</f>
        <v>MICRO</v>
      </c>
      <c r="B2191" s="468" t="str">
        <f>IFERROR(__xludf.DUMMYFUNCTION("""COMPUTED_VALUE"""),"piglowing")</f>
        <v>piglowing</v>
      </c>
      <c r="C2191" s="283" t="str">
        <f>IFERROR(__xludf.DUMMYFUNCTION("""COMPUTED_VALUE"""),"https://www.tiktok.com/@piglowing")</f>
        <v>https://www.tiktok.com/@piglowing</v>
      </c>
      <c r="D2191" s="273">
        <f>IFERROR(__xludf.DUMMYFUNCTION("""COMPUTED_VALUE"""),8.1387948889E10)</f>
        <v>81387948889</v>
      </c>
      <c r="E2191" s="458">
        <f>IFERROR(__xludf.DUMMYFUNCTION("""COMPUTED_VALUE"""),0.0)</f>
        <v>0</v>
      </c>
      <c r="F2191" s="273">
        <f>IFERROR(__xludf.DUMMYFUNCTION("""COMPUTED_VALUE"""),4.0)</f>
        <v>4</v>
      </c>
      <c r="G2191" t="str">
        <f>IFERROR(__xludf.DUMMYFUNCTION("""COMPUTED_VALUE"""),"Sabun batang 1 Box ( 2 PCS )")</f>
        <v>Sabun batang 1 Box ( 2 PCS )</v>
      </c>
      <c r="H2191" s="469"/>
      <c r="I2191" s="470"/>
      <c r="J2191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191" s="470"/>
      <c r="L2191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191" s="470"/>
      <c r="N2191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191" s="470"/>
      <c r="P2191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192">
      <c r="A2192" s="282" t="str">
        <f>IFERROR(__xludf.DUMMYFUNCTION("""COMPUTED_VALUE"""),"MICRO")</f>
        <v>MICRO</v>
      </c>
      <c r="B2192" s="468" t="str">
        <f>IFERROR(__xludf.DUMMYFUNCTION("""COMPUTED_VALUE"""),"ayiemerysamaazz")</f>
        <v>ayiemerysamaazz</v>
      </c>
      <c r="C2192" s="283" t="str">
        <f>IFERROR(__xludf.DUMMYFUNCTION("""COMPUTED_VALUE"""),"https://www.tiktok.com/@ayiemerysamaazz")</f>
        <v>https://www.tiktok.com/@ayiemerysamaazz</v>
      </c>
      <c r="D2192" s="273">
        <f>IFERROR(__xludf.DUMMYFUNCTION("""COMPUTED_VALUE"""),8.1377411996E10)</f>
        <v>81377411996</v>
      </c>
      <c r="E2192" s="458">
        <f>IFERROR(__xludf.DUMMYFUNCTION("""COMPUTED_VALUE"""),0.0)</f>
        <v>0</v>
      </c>
      <c r="F2192" s="273">
        <f>IFERROR(__xludf.DUMMYFUNCTION("""COMPUTED_VALUE"""),4.0)</f>
        <v>4</v>
      </c>
      <c r="G2192" t="str">
        <f>IFERROR(__xludf.DUMMYFUNCTION("""COMPUTED_VALUE"""),"Sabun batang 1 Box ( 2 PCS )")</f>
        <v>Sabun batang 1 Box ( 2 PCS )</v>
      </c>
      <c r="H2192" s="469"/>
      <c r="I2192" s="470"/>
      <c r="J2192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192" s="470"/>
      <c r="L2192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192" s="470"/>
      <c r="N2192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192" s="470"/>
      <c r="P2192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193">
      <c r="A2193" s="282" t="str">
        <f>IFERROR(__xludf.DUMMYFUNCTION("""COMPUTED_VALUE"""),"MICRO")</f>
        <v>MICRO</v>
      </c>
      <c r="B2193" s="468" t="str">
        <f>IFERROR(__xludf.DUMMYFUNCTION("""COMPUTED_VALUE"""),"niaaa_k10")</f>
        <v>niaaa_k10</v>
      </c>
      <c r="C2193" s="283" t="str">
        <f>IFERROR(__xludf.DUMMYFUNCTION("""COMPUTED_VALUE"""),"https://www.tiktok.com/@niaaa_k10")</f>
        <v>https://www.tiktok.com/@niaaa_k10</v>
      </c>
      <c r="D2193" s="273">
        <f>IFERROR(__xludf.DUMMYFUNCTION("""COMPUTED_VALUE"""),8.529068721E10)</f>
        <v>85290687210</v>
      </c>
      <c r="E2193" s="458">
        <f>IFERROR(__xludf.DUMMYFUNCTION("""COMPUTED_VALUE"""),0.0)</f>
        <v>0</v>
      </c>
      <c r="F2193" s="273">
        <f>IFERROR(__xludf.DUMMYFUNCTION("""COMPUTED_VALUE"""),4.0)</f>
        <v>4</v>
      </c>
      <c r="G2193" t="str">
        <f>IFERROR(__xludf.DUMMYFUNCTION("""COMPUTED_VALUE"""),"Sabun batang 1 Box ( 2 PCS )")</f>
        <v>Sabun batang 1 Box ( 2 PCS )</v>
      </c>
      <c r="H2193" s="469"/>
      <c r="I2193" s="470"/>
      <c r="J2193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193" s="470"/>
      <c r="L2193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193" s="470"/>
      <c r="N2193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193" s="470"/>
      <c r="P2193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194">
      <c r="A2194" s="282" t="str">
        <f>IFERROR(__xludf.DUMMYFUNCTION("""COMPUTED_VALUE"""),"MICRO")</f>
        <v>MICRO</v>
      </c>
      <c r="B2194" s="468" t="str">
        <f>IFERROR(__xludf.DUMMYFUNCTION("""COMPUTED_VALUE"""),"fiyuna_setiana")</f>
        <v>fiyuna_setiana</v>
      </c>
      <c r="C2194" s="283" t="str">
        <f>IFERROR(__xludf.DUMMYFUNCTION("""COMPUTED_VALUE"""),"https://www.tiktok.com/@fiyuna_setiana")</f>
        <v>https://www.tiktok.com/@fiyuna_setiana</v>
      </c>
      <c r="D2194" s="273">
        <f>IFERROR(__xludf.DUMMYFUNCTION("""COMPUTED_VALUE"""),8.5142785797E10)</f>
        <v>85142785797</v>
      </c>
      <c r="E2194" s="458">
        <f>IFERROR(__xludf.DUMMYFUNCTION("""COMPUTED_VALUE"""),0.0)</f>
        <v>0</v>
      </c>
      <c r="F2194" s="273">
        <f>IFERROR(__xludf.DUMMYFUNCTION("""COMPUTED_VALUE"""),4.0)</f>
        <v>4</v>
      </c>
      <c r="G2194" t="str">
        <f>IFERROR(__xludf.DUMMYFUNCTION("""COMPUTED_VALUE"""),"Sabun batang 1 Box ( 2 PCS )")</f>
        <v>Sabun batang 1 Box ( 2 PCS )</v>
      </c>
      <c r="H2194" s="469"/>
      <c r="I2194" s="470"/>
      <c r="J2194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194" s="470"/>
      <c r="L2194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194" s="470"/>
      <c r="N2194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194" s="470"/>
      <c r="P2194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195">
      <c r="A2195" s="282" t="str">
        <f>IFERROR(__xludf.DUMMYFUNCTION("""COMPUTED_VALUE"""),"MICRO")</f>
        <v>MICRO</v>
      </c>
      <c r="B2195" s="468" t="str">
        <f>IFERROR(__xludf.DUMMYFUNCTION("""COMPUTED_VALUE"""),"fitrisusanti181")</f>
        <v>fitrisusanti181</v>
      </c>
      <c r="C2195" s="283" t="str">
        <f>IFERROR(__xludf.DUMMYFUNCTION("""COMPUTED_VALUE"""),"https://www.tiktok.com/@fitrisusanti181")</f>
        <v>https://www.tiktok.com/@fitrisusanti181</v>
      </c>
      <c r="D2195" s="273">
        <f>IFERROR(__xludf.DUMMYFUNCTION("""COMPUTED_VALUE"""),8.1371858874E10)</f>
        <v>81371858874</v>
      </c>
      <c r="E2195" s="458">
        <f>IFERROR(__xludf.DUMMYFUNCTION("""COMPUTED_VALUE"""),0.0)</f>
        <v>0</v>
      </c>
      <c r="F2195" s="273">
        <f>IFERROR(__xludf.DUMMYFUNCTION("""COMPUTED_VALUE"""),4.0)</f>
        <v>4</v>
      </c>
      <c r="G2195" t="str">
        <f>IFERROR(__xludf.DUMMYFUNCTION("""COMPUTED_VALUE"""),"Sabun batang 1 Box ( 2 PCS )")</f>
        <v>Sabun batang 1 Box ( 2 PCS )</v>
      </c>
      <c r="H2195" s="469"/>
      <c r="I2195" s="470"/>
      <c r="J2195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195" s="470"/>
      <c r="L2195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195" s="470"/>
      <c r="N2195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195" s="470"/>
      <c r="P2195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196">
      <c r="A2196" s="282" t="str">
        <f>IFERROR(__xludf.DUMMYFUNCTION("""COMPUTED_VALUE"""),"MICRO")</f>
        <v>MICRO</v>
      </c>
      <c r="B2196" s="468" t="str">
        <f>IFERROR(__xludf.DUMMYFUNCTION("""COMPUTED_VALUE"""),"yuni.fath")</f>
        <v>yuni.fath</v>
      </c>
      <c r="C2196" s="283" t="str">
        <f>IFERROR(__xludf.DUMMYFUNCTION("""COMPUTED_VALUE"""),"https://www.tiktok.com/@yuni.fath")</f>
        <v>https://www.tiktok.com/@yuni.fath</v>
      </c>
      <c r="D2196" s="273">
        <f>IFERROR(__xludf.DUMMYFUNCTION("""COMPUTED_VALUE"""),8.2278228151E10)</f>
        <v>82278228151</v>
      </c>
      <c r="E2196" s="458">
        <f>IFERROR(__xludf.DUMMYFUNCTION("""COMPUTED_VALUE"""),0.0)</f>
        <v>0</v>
      </c>
      <c r="F2196" s="273">
        <f>IFERROR(__xludf.DUMMYFUNCTION("""COMPUTED_VALUE"""),4.0)</f>
        <v>4</v>
      </c>
      <c r="G2196" t="str">
        <f>IFERROR(__xludf.DUMMYFUNCTION("""COMPUTED_VALUE"""),"Sabun batang 1 Box ( 2 PCS )")</f>
        <v>Sabun batang 1 Box ( 2 PCS )</v>
      </c>
      <c r="H2196" s="469"/>
      <c r="I2196" s="470"/>
      <c r="J2196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196" s="470"/>
      <c r="L2196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196" s="470"/>
      <c r="N2196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196" s="470"/>
      <c r="P2196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197">
      <c r="A2197" s="282" t="str">
        <f>IFERROR(__xludf.DUMMYFUNCTION("""COMPUTED_VALUE"""),"MICRO")</f>
        <v>MICRO</v>
      </c>
      <c r="B2197" s="468" t="str">
        <f>IFERROR(__xludf.DUMMYFUNCTION("""COMPUTED_VALUE"""),"lala41376")</f>
        <v>lala41376</v>
      </c>
      <c r="C2197" s="283" t="str">
        <f>IFERROR(__xludf.DUMMYFUNCTION("""COMPUTED_VALUE"""),"https://www.tiktok.com/@lala41376")</f>
        <v>https://www.tiktok.com/@lala41376</v>
      </c>
      <c r="D2197" s="273">
        <f>IFERROR(__xludf.DUMMYFUNCTION("""COMPUTED_VALUE"""),8.3869580691E10)</f>
        <v>83869580691</v>
      </c>
      <c r="E2197" s="458">
        <f>IFERROR(__xludf.DUMMYFUNCTION("""COMPUTED_VALUE"""),0.0)</f>
        <v>0</v>
      </c>
      <c r="F2197" s="273">
        <f>IFERROR(__xludf.DUMMYFUNCTION("""COMPUTED_VALUE"""),4.0)</f>
        <v>4</v>
      </c>
      <c r="G2197" t="str">
        <f>IFERROR(__xludf.DUMMYFUNCTION("""COMPUTED_VALUE"""),"Sabun batang 1 Box ( 2 PCS )")</f>
        <v>Sabun batang 1 Box ( 2 PCS )</v>
      </c>
      <c r="H2197" s="469"/>
      <c r="I2197" s="470"/>
      <c r="J2197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197" s="470"/>
      <c r="L2197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197" s="470"/>
      <c r="N2197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197" s="470"/>
      <c r="P2197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198">
      <c r="A2198" s="282" t="str">
        <f>IFERROR(__xludf.DUMMYFUNCTION("""COMPUTED_VALUE"""),"MICRO")</f>
        <v>MICRO</v>
      </c>
      <c r="B2198" s="468" t="str">
        <f>IFERROR(__xludf.DUMMYFUNCTION("""COMPUTED_VALUE"""),"end_dru")</f>
        <v>end_dru</v>
      </c>
      <c r="C2198" s="283" t="str">
        <f>IFERROR(__xludf.DUMMYFUNCTION("""COMPUTED_VALUE"""),"https://www.tiktok.com/@end_dru")</f>
        <v>https://www.tiktok.com/@end_dru</v>
      </c>
      <c r="D2198" s="273">
        <f>IFERROR(__xludf.DUMMYFUNCTION("""COMPUTED_VALUE"""),8.1290435108E10)</f>
        <v>81290435108</v>
      </c>
      <c r="E2198" s="458">
        <f>IFERROR(__xludf.DUMMYFUNCTION("""COMPUTED_VALUE"""),0.0)</f>
        <v>0</v>
      </c>
      <c r="F2198" s="273">
        <f>IFERROR(__xludf.DUMMYFUNCTION("""COMPUTED_VALUE"""),4.0)</f>
        <v>4</v>
      </c>
      <c r="G2198" t="str">
        <f>IFERROR(__xludf.DUMMYFUNCTION("""COMPUTED_VALUE"""),"Sabun batang 1 Box ( 2 PCS )")</f>
        <v>Sabun batang 1 Box ( 2 PCS )</v>
      </c>
      <c r="H2198" s="469"/>
      <c r="I2198" s="470"/>
      <c r="J2198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198" s="470"/>
      <c r="L2198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198" s="470"/>
      <c r="N2198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198" s="470"/>
      <c r="P2198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199">
      <c r="A2199" s="282" t="str">
        <f>IFERROR(__xludf.DUMMYFUNCTION("""COMPUTED_VALUE"""),"MICRO")</f>
        <v>MICRO</v>
      </c>
      <c r="B2199" s="468" t="str">
        <f>IFERROR(__xludf.DUMMYFUNCTION("""COMPUTED_VALUE"""),"aishsholihah")</f>
        <v>aishsholihah</v>
      </c>
      <c r="C2199" s="283" t="str">
        <f>IFERROR(__xludf.DUMMYFUNCTION("""COMPUTED_VALUE"""),"https://www.tiktok.com/@aishsholihah")</f>
        <v>https://www.tiktok.com/@aishsholihah</v>
      </c>
      <c r="D2199" s="273">
        <f>IFERROR(__xludf.DUMMYFUNCTION("""COMPUTED_VALUE"""),8.1219904185E10)</f>
        <v>81219904185</v>
      </c>
      <c r="E2199" s="458">
        <f>IFERROR(__xludf.DUMMYFUNCTION("""COMPUTED_VALUE"""),0.0)</f>
        <v>0</v>
      </c>
      <c r="F2199" s="273">
        <f>IFERROR(__xludf.DUMMYFUNCTION("""COMPUTED_VALUE"""),4.0)</f>
        <v>4</v>
      </c>
      <c r="G2199" t="str">
        <f>IFERROR(__xludf.DUMMYFUNCTION("""COMPUTED_VALUE"""),"Sabun batang 1 Box ( 2 PCS )")</f>
        <v>Sabun batang 1 Box ( 2 PCS )</v>
      </c>
      <c r="H2199" s="469"/>
      <c r="I2199" s="470"/>
      <c r="J2199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199" s="470"/>
      <c r="L2199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199" s="470"/>
      <c r="N2199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199" s="470"/>
      <c r="P2199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200">
      <c r="A2200" s="282" t="str">
        <f>IFERROR(__xludf.DUMMYFUNCTION("""COMPUTED_VALUE"""),"MICRO")</f>
        <v>MICRO</v>
      </c>
      <c r="B2200" s="468" t="str">
        <f>IFERROR(__xludf.DUMMYFUNCTION("""COMPUTED_VALUE"""),"kalunamichell ")</f>
        <v>kalunamichell </v>
      </c>
      <c r="C2200" s="283" t="str">
        <f>IFERROR(__xludf.DUMMYFUNCTION("""COMPUTED_VALUE"""),"https://www.tiktok.com/@kalunamichell ")</f>
        <v>https://www.tiktok.com/@kalunamichell </v>
      </c>
      <c r="D2200" s="273">
        <f>IFERROR(__xludf.DUMMYFUNCTION("""COMPUTED_VALUE"""),8.2384151657E10)</f>
        <v>82384151657</v>
      </c>
      <c r="E2200" s="458">
        <f>IFERROR(__xludf.DUMMYFUNCTION("""COMPUTED_VALUE"""),0.0)</f>
        <v>0</v>
      </c>
      <c r="F2200" s="273">
        <f>IFERROR(__xludf.DUMMYFUNCTION("""COMPUTED_VALUE"""),3.0)</f>
        <v>3</v>
      </c>
      <c r="G2200" t="str">
        <f>IFERROR(__xludf.DUMMYFUNCTION("""COMPUTED_VALUE"""),"Sabun batang 1 Box ( 2 PCS )")</f>
        <v>Sabun batang 1 Box ( 2 PCS )</v>
      </c>
      <c r="H2200" s="469"/>
      <c r="I2200" s="470"/>
      <c r="J2200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200" s="470"/>
      <c r="L2200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200" s="470"/>
      <c r="N2200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200" s="470"/>
      <c r="P2200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201">
      <c r="A2201" s="282" t="str">
        <f>IFERROR(__xludf.DUMMYFUNCTION("""COMPUTED_VALUE"""),"MICRO")</f>
        <v>MICRO</v>
      </c>
      <c r="B2201" s="468" t="str">
        <f>IFERROR(__xludf.DUMMYFUNCTION("""COMPUTED_VALUE"""),"nonnoni1")</f>
        <v>nonnoni1</v>
      </c>
      <c r="C2201" s="283" t="str">
        <f>IFERROR(__xludf.DUMMYFUNCTION("""COMPUTED_VALUE"""),"https://www.tiktok.com/@nonnoni1")</f>
        <v>https://www.tiktok.com/@nonnoni1</v>
      </c>
      <c r="D2201" s="273">
        <f>IFERROR(__xludf.DUMMYFUNCTION("""COMPUTED_VALUE"""),8.5795952284E10)</f>
        <v>85795952284</v>
      </c>
      <c r="E2201" s="458">
        <f>IFERROR(__xludf.DUMMYFUNCTION("""COMPUTED_VALUE"""),0.0)</f>
        <v>0</v>
      </c>
      <c r="F2201" s="273">
        <f>IFERROR(__xludf.DUMMYFUNCTION("""COMPUTED_VALUE"""),2.0)</f>
        <v>2</v>
      </c>
      <c r="G2201" t="str">
        <f>IFERROR(__xludf.DUMMYFUNCTION("""COMPUTED_VALUE"""),"Sabun batang 1 Box ( 2 PCS )")</f>
        <v>Sabun batang 1 Box ( 2 PCS )</v>
      </c>
      <c r="H2201" s="469"/>
      <c r="I2201" s="470"/>
      <c r="J2201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201" s="470"/>
      <c r="L2201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201" s="470"/>
      <c r="N2201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201" s="470"/>
      <c r="P2201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202">
      <c r="A2202" s="282" t="str">
        <f>IFERROR(__xludf.DUMMYFUNCTION("""COMPUTED_VALUE"""),"MICRO")</f>
        <v>MICRO</v>
      </c>
      <c r="B2202" s="468" t="str">
        <f>IFERROR(__xludf.DUMMYFUNCTION("""COMPUTED_VALUE"""),"intanal.amunia")</f>
        <v>intanal.amunia</v>
      </c>
      <c r="C2202" s="283" t="str">
        <f>IFERROR(__xludf.DUMMYFUNCTION("""COMPUTED_VALUE"""),"https://www.tiktok.com/@intanal.amunia")</f>
        <v>https://www.tiktok.com/@intanal.amunia</v>
      </c>
      <c r="D2202" s="273">
        <f>IFERROR(__xludf.DUMMYFUNCTION("""COMPUTED_VALUE"""),8.22586266E10)</f>
        <v>82258626600</v>
      </c>
      <c r="E2202" s="458">
        <f>IFERROR(__xludf.DUMMYFUNCTION("""COMPUTED_VALUE"""),0.0)</f>
        <v>0</v>
      </c>
      <c r="F2202" s="273">
        <f>IFERROR(__xludf.DUMMYFUNCTION("""COMPUTED_VALUE"""),4.0)</f>
        <v>4</v>
      </c>
      <c r="G2202" t="str">
        <f>IFERROR(__xludf.DUMMYFUNCTION("""COMPUTED_VALUE"""),"Sabun batang 1 Box ( 2 PCS )")</f>
        <v>Sabun batang 1 Box ( 2 PCS )</v>
      </c>
      <c r="H2202" s="469"/>
      <c r="I2202" s="470"/>
      <c r="J2202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202" s="470"/>
      <c r="L2202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202" s="470"/>
      <c r="N2202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202" s="470"/>
      <c r="P2202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203">
      <c r="A2203" s="282" t="str">
        <f>IFERROR(__xludf.DUMMYFUNCTION("""COMPUTED_VALUE"""),"MICRO")</f>
        <v>MICRO</v>
      </c>
      <c r="B2203" s="468" t="str">
        <f>IFERROR(__xludf.DUMMYFUNCTION("""COMPUTED_VALUE"""),"celynemarchelyna")</f>
        <v>celynemarchelyna</v>
      </c>
      <c r="C2203" s="283" t="str">
        <f>IFERROR(__xludf.DUMMYFUNCTION("""COMPUTED_VALUE"""),"https://www.tiktok.com/@celynemarchelyna")</f>
        <v>https://www.tiktok.com/@celynemarchelyna</v>
      </c>
      <c r="D2203" s="273">
        <f>IFERROR(__xludf.DUMMYFUNCTION("""COMPUTED_VALUE"""),8.1267865806E10)</f>
        <v>81267865806</v>
      </c>
      <c r="E2203" s="458">
        <f>IFERROR(__xludf.DUMMYFUNCTION("""COMPUTED_VALUE"""),0.0)</f>
        <v>0</v>
      </c>
      <c r="F2203" s="273">
        <f>IFERROR(__xludf.DUMMYFUNCTION("""COMPUTED_VALUE"""),4.0)</f>
        <v>4</v>
      </c>
      <c r="G2203" t="str">
        <f>IFERROR(__xludf.DUMMYFUNCTION("""COMPUTED_VALUE"""),"Sabun batang 1 Box ( 2 PCS )")</f>
        <v>Sabun batang 1 Box ( 2 PCS )</v>
      </c>
      <c r="H2203" s="469"/>
      <c r="I2203" s="470"/>
      <c r="J2203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203" s="470"/>
      <c r="L2203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203" s="470"/>
      <c r="N2203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203" s="470"/>
      <c r="P2203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204">
      <c r="A2204" s="282" t="str">
        <f>IFERROR(__xludf.DUMMYFUNCTION("""COMPUTED_VALUE"""),"MICRO")</f>
        <v>MICRO</v>
      </c>
      <c r="B2204" s="468" t="str">
        <f>IFERROR(__xludf.DUMMYFUNCTION("""COMPUTED_VALUE"""),"antiaraqueen_")</f>
        <v>antiaraqueen_</v>
      </c>
      <c r="C2204" s="283" t="str">
        <f>IFERROR(__xludf.DUMMYFUNCTION("""COMPUTED_VALUE"""),"https://www.tiktok.com/@antiaraqueen_")</f>
        <v>https://www.tiktok.com/@antiaraqueen_</v>
      </c>
      <c r="D2204" s="273">
        <f>IFERROR(__xludf.DUMMYFUNCTION("""COMPUTED_VALUE"""),8.5878798499E10)</f>
        <v>85878798499</v>
      </c>
      <c r="E2204" s="458">
        <f>IFERROR(__xludf.DUMMYFUNCTION("""COMPUTED_VALUE"""),0.0)</f>
        <v>0</v>
      </c>
      <c r="F2204" s="273">
        <f>IFERROR(__xludf.DUMMYFUNCTION("""COMPUTED_VALUE"""),4.0)</f>
        <v>4</v>
      </c>
      <c r="G2204" t="str">
        <f>IFERROR(__xludf.DUMMYFUNCTION("""COMPUTED_VALUE"""),"Sabun batang 1 Box ( 2 PCS )")</f>
        <v>Sabun batang 1 Box ( 2 PCS )</v>
      </c>
      <c r="H2204" s="469"/>
      <c r="I2204" s="470"/>
      <c r="J2204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204" s="470"/>
      <c r="L2204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204" s="470"/>
      <c r="N2204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204" s="470"/>
      <c r="P2204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205">
      <c r="A2205" s="282" t="str">
        <f>IFERROR(__xludf.DUMMYFUNCTION("""COMPUTED_VALUE"""),"MICRO")</f>
        <v>MICRO</v>
      </c>
      <c r="B2205" s="468" t="str">
        <f>IFERROR(__xludf.DUMMYFUNCTION("""COMPUTED_VALUE"""),"rinisusanti_123")</f>
        <v>rinisusanti_123</v>
      </c>
      <c r="C2205" s="283" t="str">
        <f>IFERROR(__xludf.DUMMYFUNCTION("""COMPUTED_VALUE"""),"https://www.tiktok.com/@rinisusanti_123")</f>
        <v>https://www.tiktok.com/@rinisusanti_123</v>
      </c>
      <c r="D2205" s="273">
        <f>IFERROR(__xludf.DUMMYFUNCTION("""COMPUTED_VALUE"""),8.1230471577E10)</f>
        <v>81230471577</v>
      </c>
      <c r="E2205" s="458">
        <f>IFERROR(__xludf.DUMMYFUNCTION("""COMPUTED_VALUE"""),0.0)</f>
        <v>0</v>
      </c>
      <c r="F2205" s="273">
        <f>IFERROR(__xludf.DUMMYFUNCTION("""COMPUTED_VALUE"""),4.0)</f>
        <v>4</v>
      </c>
      <c r="G2205" t="str">
        <f>IFERROR(__xludf.DUMMYFUNCTION("""COMPUTED_VALUE"""),"Sabun batang 1 Box ( 2 PCS )")</f>
        <v>Sabun batang 1 Box ( 2 PCS )</v>
      </c>
      <c r="H2205" s="469"/>
      <c r="I2205" s="470"/>
      <c r="J2205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205" s="470"/>
      <c r="L2205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205" s="470"/>
      <c r="N2205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205" s="470"/>
      <c r="P2205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206">
      <c r="A2206" s="282" t="str">
        <f>IFERROR(__xludf.DUMMYFUNCTION("""COMPUTED_VALUE"""),"MICRO")</f>
        <v>MICRO</v>
      </c>
      <c r="B2206" s="468" t="str">
        <f>IFERROR(__xludf.DUMMYFUNCTION("""COMPUTED_VALUE"""),"_kesayangankamu")</f>
        <v>_kesayangankamu</v>
      </c>
      <c r="C2206" s="283" t="str">
        <f>IFERROR(__xludf.DUMMYFUNCTION("""COMPUTED_VALUE"""),"https://www.tiktok.com/@_kesayangankamu")</f>
        <v>https://www.tiktok.com/@_kesayangankamu</v>
      </c>
      <c r="D2206" s="273">
        <f>IFERROR(__xludf.DUMMYFUNCTION("""COMPUTED_VALUE"""),8.9530327579E10)</f>
        <v>89530327579</v>
      </c>
      <c r="E2206" s="458">
        <f>IFERROR(__xludf.DUMMYFUNCTION("""COMPUTED_VALUE"""),0.0)</f>
        <v>0</v>
      </c>
      <c r="F2206" s="273">
        <f>IFERROR(__xludf.DUMMYFUNCTION("""COMPUTED_VALUE"""),4.0)</f>
        <v>4</v>
      </c>
      <c r="G2206" t="str">
        <f>IFERROR(__xludf.DUMMYFUNCTION("""COMPUTED_VALUE"""),"Sabun batang 1 Box ( 2 PCS )")</f>
        <v>Sabun batang 1 Box ( 2 PCS )</v>
      </c>
      <c r="H2206" s="469"/>
      <c r="I2206" s="470"/>
      <c r="J2206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206" s="470"/>
      <c r="L2206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206" s="470"/>
      <c r="N2206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206" s="470"/>
      <c r="P2206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207">
      <c r="A2207" s="282" t="str">
        <f>IFERROR(__xludf.DUMMYFUNCTION("""COMPUTED_VALUE"""),"MICRO")</f>
        <v>MICRO</v>
      </c>
      <c r="B2207" s="468" t="str">
        <f>IFERROR(__xludf.DUMMYFUNCTION("""COMPUTED_VALUE"""),"yaumasyifa_")</f>
        <v>yaumasyifa_</v>
      </c>
      <c r="C2207" s="283" t="str">
        <f>IFERROR(__xludf.DUMMYFUNCTION("""COMPUTED_VALUE"""),"https://www.tiktok.com/@yaumasyifa_")</f>
        <v>https://www.tiktok.com/@yaumasyifa_</v>
      </c>
      <c r="D2207" s="273">
        <f>IFERROR(__xludf.DUMMYFUNCTION("""COMPUTED_VALUE"""),8.7777400042E10)</f>
        <v>87777400042</v>
      </c>
      <c r="E2207" s="458">
        <f>IFERROR(__xludf.DUMMYFUNCTION("""COMPUTED_VALUE"""),0.0)</f>
        <v>0</v>
      </c>
      <c r="F2207" s="273">
        <f>IFERROR(__xludf.DUMMYFUNCTION("""COMPUTED_VALUE"""),4.0)</f>
        <v>4</v>
      </c>
      <c r="G2207" t="str">
        <f>IFERROR(__xludf.DUMMYFUNCTION("""COMPUTED_VALUE"""),"Sabun batang 1 Box ( 2 PCS )")</f>
        <v>Sabun batang 1 Box ( 2 PCS )</v>
      </c>
      <c r="H2207" s="469"/>
      <c r="I2207" s="470"/>
      <c r="J2207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207" s="470"/>
      <c r="L2207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207" s="470"/>
      <c r="N2207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207" s="470"/>
      <c r="P2207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208">
      <c r="A2208" s="282" t="str">
        <f>IFERROR(__xludf.DUMMYFUNCTION("""COMPUTED_VALUE"""),"MICRO")</f>
        <v>MICRO</v>
      </c>
      <c r="B2208" s="468" t="str">
        <f>IFERROR(__xludf.DUMMYFUNCTION("""COMPUTED_VALUE"""),"linasrianggraeni4")</f>
        <v>linasrianggraeni4</v>
      </c>
      <c r="C2208" s="283" t="str">
        <f>IFERROR(__xludf.DUMMYFUNCTION("""COMPUTED_VALUE"""),"https://www.tiktok.com/@linasrianggraeni4")</f>
        <v>https://www.tiktok.com/@linasrianggraeni4</v>
      </c>
      <c r="D2208" s="273">
        <f>IFERROR(__xludf.DUMMYFUNCTION("""COMPUTED_VALUE"""),8.1909557021E10)</f>
        <v>81909557021</v>
      </c>
      <c r="E2208" s="458">
        <f>IFERROR(__xludf.DUMMYFUNCTION("""COMPUTED_VALUE"""),0.0)</f>
        <v>0</v>
      </c>
      <c r="F2208" s="273">
        <f>IFERROR(__xludf.DUMMYFUNCTION("""COMPUTED_VALUE"""),4.0)</f>
        <v>4</v>
      </c>
      <c r="G2208" t="str">
        <f>IFERROR(__xludf.DUMMYFUNCTION("""COMPUTED_VALUE"""),"Sabun batang 1 Box ( 2 PCS )")</f>
        <v>Sabun batang 1 Box ( 2 PCS )</v>
      </c>
      <c r="H2208" s="469"/>
      <c r="I2208" s="470"/>
      <c r="J2208" s="471" t="str">
        <f>IFERROR(__xludf.DUMMYFUNCTION("""COMPUTED_VALUE"""),"https://www.tiktok.com/@harumrice/video/7619310503105416468?_r=1&amp;_t=ZS-969xoIa07zV")</f>
        <v>https://www.tiktok.com/@harumrice/video/7619310503105416468?_r=1&amp;_t=ZS-969xoIa07zV</v>
      </c>
      <c r="K2208" s="470"/>
      <c r="L2208" s="471" t="str">
        <f>IFERROR(__xludf.DUMMYFUNCTION("""COMPUTED_VALUE"""),"https://www.tiktok.com/@harumrice/video/7615128453184081173?_r=1&amp;_t=ZS-969xoIa07zV")</f>
        <v>https://www.tiktok.com/@harumrice/video/7615128453184081173?_r=1&amp;_t=ZS-969xoIa07zV</v>
      </c>
      <c r="M2208" s="470"/>
      <c r="N2208" s="471" t="str">
        <f>IFERROR(__xludf.DUMMYFUNCTION("""COMPUTED_VALUE"""),"https://www.tiktok.com/@harumrice/video/7615008778697723157?_r=1&amp;_t=ZS-969xoIa07zV")</f>
        <v>https://www.tiktok.com/@harumrice/video/7615008778697723157?_r=1&amp;_t=ZS-969xoIa07zV</v>
      </c>
      <c r="O2208" s="470"/>
      <c r="P2208" s="471" t="str">
        <f>IFERROR(__xludf.DUMMYFUNCTION("""COMPUTED_VALUE"""),"https://www.tiktok.com/@harumrice/video/7614652016677211412?_r=1&amp;_t=ZS-969xoIa07zV")</f>
        <v>https://www.tiktok.com/@harumrice/video/7614652016677211412?_r=1&amp;_t=ZS-969xoIa07zV</v>
      </c>
    </row>
    <row r="2209">
      <c r="A2209" s="282" t="str">
        <f>IFERROR(__xludf.DUMMYFUNCTION("""COMPUTED_VALUE"""),"MICRO")</f>
        <v>MICRO</v>
      </c>
      <c r="B2209" s="468" t="str">
        <f>IFERROR(__xludf.DUMMYFUNCTION("""COMPUTED_VALUE"""),"diyaduadua")</f>
        <v>diyaduadua</v>
      </c>
      <c r="C2209" s="283" t="str">
        <f>IFERROR(__xludf.DUMMYFUNCTION("""COMPUTED_VALUE"""),"https://www.tiktok.com/@diyaduadua")</f>
        <v>https://www.tiktok.com/@diyaduadua</v>
      </c>
      <c r="D2209" s="273">
        <f>IFERROR(__xludf.DUMMYFUNCTION("""COMPUTED_VALUE"""),8.8983434011E10)</f>
        <v>88983434011</v>
      </c>
      <c r="E2209" s="458">
        <f>IFERROR(__xludf.DUMMYFUNCTION("""COMPUTED_VALUE"""),0.0)</f>
        <v>0</v>
      </c>
      <c r="F2209" s="273">
        <f>IFERROR(__xludf.DUMMYFUNCTION("""COMPUTED_VALUE"""),4.0)</f>
        <v>4</v>
      </c>
      <c r="G2209" t="str">
        <f>IFERROR(__xludf.DUMMYFUNCTION("""COMPUTED_VALUE"""),"Sabun batang 1 Box ( 2 PCS )")</f>
        <v>Sabun batang 1 Box ( 2 PCS )</v>
      </c>
      <c r="H2209" s="469"/>
      <c r="I2209" s="470"/>
      <c r="K2209" s="470"/>
      <c r="M2209" s="470"/>
      <c r="O2209" s="470"/>
    </row>
    <row r="2210">
      <c r="A2210" s="282" t="str">
        <f>IFERROR(__xludf.DUMMYFUNCTION("""COMPUTED_VALUE"""),"MICRO")</f>
        <v>MICRO</v>
      </c>
      <c r="B2210" s="468" t="str">
        <f>IFERROR(__xludf.DUMMYFUNCTION("""COMPUTED_VALUE"""),"ydh260")</f>
        <v>ydh260</v>
      </c>
      <c r="C2210" s="283" t="str">
        <f>IFERROR(__xludf.DUMMYFUNCTION("""COMPUTED_VALUE"""),"https://www.tiktok.com/@ydh260")</f>
        <v>https://www.tiktok.com/@ydh260</v>
      </c>
      <c r="D2210" s="273">
        <f>IFERROR(__xludf.DUMMYFUNCTION("""COMPUTED_VALUE"""),8.2139235833E10)</f>
        <v>82139235833</v>
      </c>
      <c r="E2210" s="458">
        <f>IFERROR(__xludf.DUMMYFUNCTION("""COMPUTED_VALUE"""),0.0)</f>
        <v>0</v>
      </c>
      <c r="F2210" s="273">
        <f>IFERROR(__xludf.DUMMYFUNCTION("""COMPUTED_VALUE"""),4.0)</f>
        <v>4</v>
      </c>
      <c r="G2210" t="str">
        <f>IFERROR(__xludf.DUMMYFUNCTION("""COMPUTED_VALUE"""),"Sabun batang 1 Box ( 2 PCS )")</f>
        <v>Sabun batang 1 Box ( 2 PCS )</v>
      </c>
      <c r="H2210" s="469"/>
      <c r="I2210" s="470"/>
      <c r="K2210" s="470"/>
      <c r="M2210" s="470"/>
      <c r="O2210" s="470"/>
    </row>
    <row r="2211">
      <c r="A2211" s="282" t="str">
        <f>IFERROR(__xludf.DUMMYFUNCTION("""COMPUTED_VALUE"""),"MICRO")</f>
        <v>MICRO</v>
      </c>
      <c r="B2211" s="468" t="str">
        <f>IFERROR(__xludf.DUMMYFUNCTION("""COMPUTED_VALUE"""),"mamaknyahabib")</f>
        <v>mamaknyahabib</v>
      </c>
      <c r="C2211" s="283" t="str">
        <f>IFERROR(__xludf.DUMMYFUNCTION("""COMPUTED_VALUE"""),"https://www.tiktok.com/@mamaknyahabib")</f>
        <v>https://www.tiktok.com/@mamaknyahabib</v>
      </c>
      <c r="D2211" s="273">
        <f>IFERROR(__xludf.DUMMYFUNCTION("""COMPUTED_VALUE"""),8.993178871E9)</f>
        <v>8993178871</v>
      </c>
      <c r="E2211" s="458">
        <f>IFERROR(__xludf.DUMMYFUNCTION("""COMPUTED_VALUE"""),0.0)</f>
        <v>0</v>
      </c>
      <c r="F2211" s="273">
        <f>IFERROR(__xludf.DUMMYFUNCTION("""COMPUTED_VALUE"""),4.0)</f>
        <v>4</v>
      </c>
      <c r="G2211" t="str">
        <f>IFERROR(__xludf.DUMMYFUNCTION("""COMPUTED_VALUE"""),"Sabun batang 1 Box ( 2 PCS )")</f>
        <v>Sabun batang 1 Box ( 2 PCS )</v>
      </c>
      <c r="H2211" s="469"/>
      <c r="I2211" s="470"/>
      <c r="K2211" s="470"/>
      <c r="M2211" s="470"/>
      <c r="O2211" s="470"/>
    </row>
    <row r="2212">
      <c r="A2212" s="282" t="str">
        <f>IFERROR(__xludf.DUMMYFUNCTION("""COMPUTED_VALUE"""),"MICRO")</f>
        <v>MICRO</v>
      </c>
      <c r="B2212" s="468" t="str">
        <f>IFERROR(__xludf.DUMMYFUNCTION("""COMPUTED_VALUE"""),"krisdiadee")</f>
        <v>krisdiadee</v>
      </c>
      <c r="C2212" s="283" t="str">
        <f>IFERROR(__xludf.DUMMYFUNCTION("""COMPUTED_VALUE"""),"https://www.tiktok.com/@krisdiadee")</f>
        <v>https://www.tiktok.com/@krisdiadee</v>
      </c>
      <c r="D2212" s="273">
        <f>IFERROR(__xludf.DUMMYFUNCTION("""COMPUTED_VALUE"""),8.8991359819E10)</f>
        <v>88991359819</v>
      </c>
      <c r="E2212" s="458">
        <f>IFERROR(__xludf.DUMMYFUNCTION("""COMPUTED_VALUE"""),0.0)</f>
        <v>0</v>
      </c>
      <c r="F2212" s="273">
        <f>IFERROR(__xludf.DUMMYFUNCTION("""COMPUTED_VALUE"""),4.0)</f>
        <v>4</v>
      </c>
      <c r="G2212" t="str">
        <f>IFERROR(__xludf.DUMMYFUNCTION("""COMPUTED_VALUE"""),"Sabun batang 1 Box ( 2 PCS )")</f>
        <v>Sabun batang 1 Box ( 2 PCS )</v>
      </c>
      <c r="H2212" s="469"/>
      <c r="I2212" s="470"/>
      <c r="K2212" s="470"/>
      <c r="M2212" s="470"/>
      <c r="O2212" s="470"/>
    </row>
    <row r="2213">
      <c r="A2213" s="282" t="str">
        <f>IFERROR(__xludf.DUMMYFUNCTION("""COMPUTED_VALUE"""),"MICRO")</f>
        <v>MICRO</v>
      </c>
      <c r="B2213" s="468" t="str">
        <f>IFERROR(__xludf.DUMMYFUNCTION("""COMPUTED_VALUE"""),"theycallmesheryl ")</f>
        <v>theycallmesheryl </v>
      </c>
      <c r="C2213" s="283" t="str">
        <f>IFERROR(__xludf.DUMMYFUNCTION("""COMPUTED_VALUE"""),"https://www.tiktok.com/@theycallmesheryl ")</f>
        <v>https://www.tiktok.com/@theycallmesheryl </v>
      </c>
      <c r="D2213" s="273">
        <f>IFERROR(__xludf.DUMMYFUNCTION("""COMPUTED_VALUE"""),8.1298519789E10)</f>
        <v>81298519789</v>
      </c>
      <c r="E2213" s="458">
        <f>IFERROR(__xludf.DUMMYFUNCTION("""COMPUTED_VALUE"""),0.0)</f>
        <v>0</v>
      </c>
      <c r="F2213" s="273">
        <f>IFERROR(__xludf.DUMMYFUNCTION("""COMPUTED_VALUE"""),4.0)</f>
        <v>4</v>
      </c>
      <c r="G2213" t="str">
        <f>IFERROR(__xludf.DUMMYFUNCTION("""COMPUTED_VALUE"""),"Sabun batang 1 Box ( 2 PCS )")</f>
        <v>Sabun batang 1 Box ( 2 PCS )</v>
      </c>
      <c r="H2213" s="469"/>
      <c r="I2213" s="470"/>
      <c r="K2213" s="470"/>
      <c r="M2213" s="470"/>
      <c r="O2213" s="470"/>
    </row>
    <row r="2214">
      <c r="A2214" s="282" t="str">
        <f>IFERROR(__xludf.DUMMYFUNCTION("""COMPUTED_VALUE"""),"MICRO")</f>
        <v>MICRO</v>
      </c>
      <c r="B2214" s="468" t="str">
        <f>IFERROR(__xludf.DUMMYFUNCTION("""COMPUTED_VALUE"""),"whuland25id1")</f>
        <v>whuland25id1</v>
      </c>
      <c r="C2214" s="283" t="str">
        <f>IFERROR(__xludf.DUMMYFUNCTION("""COMPUTED_VALUE"""),"https://www.tiktok.com/@whuland25id1")</f>
        <v>https://www.tiktok.com/@whuland25id1</v>
      </c>
      <c r="D2214" s="273">
        <f>IFERROR(__xludf.DUMMYFUNCTION("""COMPUTED_VALUE"""),8.5725138151E10)</f>
        <v>85725138151</v>
      </c>
      <c r="E2214" s="458">
        <f>IFERROR(__xludf.DUMMYFUNCTION("""COMPUTED_VALUE"""),0.0)</f>
        <v>0</v>
      </c>
      <c r="F2214" s="273">
        <f>IFERROR(__xludf.DUMMYFUNCTION("""COMPUTED_VALUE"""),3.0)</f>
        <v>3</v>
      </c>
      <c r="G2214" t="str">
        <f>IFERROR(__xludf.DUMMYFUNCTION("""COMPUTED_VALUE"""),"Sabun batang 1 Box ( 2 PCS )")</f>
        <v>Sabun batang 1 Box ( 2 PCS )</v>
      </c>
      <c r="H2214" s="469"/>
      <c r="I2214" s="470"/>
      <c r="K2214" s="470"/>
      <c r="M2214" s="470"/>
      <c r="O2214" s="470"/>
    </row>
    <row r="2215">
      <c r="A2215" s="282" t="str">
        <f>IFERROR(__xludf.DUMMYFUNCTION("""COMPUTED_VALUE"""),"MICRO")</f>
        <v>MICRO</v>
      </c>
      <c r="B2215" s="468" t="str">
        <f>IFERROR(__xludf.DUMMYFUNCTION("""COMPUTED_VALUE"""),"babyelizaica")</f>
        <v>babyelizaica</v>
      </c>
      <c r="C2215" s="283" t="str">
        <f>IFERROR(__xludf.DUMMYFUNCTION("""COMPUTED_VALUE"""),"https://www.tiktok.com/@babyelizaica")</f>
        <v>https://www.tiktok.com/@babyelizaica</v>
      </c>
      <c r="D2215" s="273">
        <f>IFERROR(__xludf.DUMMYFUNCTION("""COMPUTED_VALUE"""),8.82010081781E11)</f>
        <v>882010081781</v>
      </c>
      <c r="E2215" s="458">
        <f>IFERROR(__xludf.DUMMYFUNCTION("""COMPUTED_VALUE"""),0.0)</f>
        <v>0</v>
      </c>
      <c r="F2215" s="273">
        <f>IFERROR(__xludf.DUMMYFUNCTION("""COMPUTED_VALUE"""),2.0)</f>
        <v>2</v>
      </c>
      <c r="G2215" t="str">
        <f>IFERROR(__xludf.DUMMYFUNCTION("""COMPUTED_VALUE"""),"Sabun batang 1 Box ( 2 PCS )")</f>
        <v>Sabun batang 1 Box ( 2 PCS )</v>
      </c>
      <c r="H2215" s="469"/>
      <c r="I2215" s="470"/>
      <c r="K2215" s="470"/>
      <c r="M2215" s="470"/>
      <c r="O2215" s="470"/>
    </row>
    <row r="2216">
      <c r="A2216" s="282" t="str">
        <f>IFERROR(__xludf.DUMMYFUNCTION("""COMPUTED_VALUE"""),"MICRO")</f>
        <v>MICRO</v>
      </c>
      <c r="B2216" s="468" t="str">
        <f>IFERROR(__xludf.DUMMYFUNCTION("""COMPUTED_VALUE"""),"viavia____")</f>
        <v>viavia____</v>
      </c>
      <c r="C2216" s="283" t="str">
        <f>IFERROR(__xludf.DUMMYFUNCTION("""COMPUTED_VALUE"""),"https://www.tiktok.com/@viavia____")</f>
        <v>https://www.tiktok.com/@viavia____</v>
      </c>
      <c r="D2216" s="273">
        <f>IFERROR(__xludf.DUMMYFUNCTION("""COMPUTED_VALUE"""),8.2240629124E10)</f>
        <v>82240629124</v>
      </c>
      <c r="E2216" s="458">
        <f>IFERROR(__xludf.DUMMYFUNCTION("""COMPUTED_VALUE"""),0.0)</f>
        <v>0</v>
      </c>
      <c r="F2216" s="273">
        <f>IFERROR(__xludf.DUMMYFUNCTION("""COMPUTED_VALUE"""),4.0)</f>
        <v>4</v>
      </c>
      <c r="G2216" t="str">
        <f>IFERROR(__xludf.DUMMYFUNCTION("""COMPUTED_VALUE"""),"Sabun batang 1 Box ( 2 PCS )")</f>
        <v>Sabun batang 1 Box ( 2 PCS )</v>
      </c>
      <c r="H2216" s="469"/>
      <c r="I2216" s="470"/>
      <c r="K2216" s="470"/>
      <c r="M2216" s="470"/>
      <c r="O2216" s="470"/>
    </row>
    <row r="2217">
      <c r="A2217" s="282" t="str">
        <f>IFERROR(__xludf.DUMMYFUNCTION("""COMPUTED_VALUE"""),"MICRO")</f>
        <v>MICRO</v>
      </c>
      <c r="B2217" s="468" t="str">
        <f>IFERROR(__xludf.DUMMYFUNCTION("""COMPUTED_VALUE"""),"adeewira92")</f>
        <v>adeewira92</v>
      </c>
      <c r="C2217" s="283" t="str">
        <f>IFERROR(__xludf.DUMMYFUNCTION("""COMPUTED_VALUE"""),"https://www.tiktok.com/@adeewira92")</f>
        <v>https://www.tiktok.com/@adeewira92</v>
      </c>
      <c r="D2217" s="273">
        <f>IFERROR(__xludf.DUMMYFUNCTION("""COMPUTED_VALUE"""),8.219685771E10)</f>
        <v>82196857710</v>
      </c>
      <c r="E2217" s="458">
        <f>IFERROR(__xludf.DUMMYFUNCTION("""COMPUTED_VALUE"""),0.0)</f>
        <v>0</v>
      </c>
      <c r="F2217" s="273">
        <f>IFERROR(__xludf.DUMMYFUNCTION("""COMPUTED_VALUE"""),4.0)</f>
        <v>4</v>
      </c>
      <c r="G2217" t="str">
        <f>IFERROR(__xludf.DUMMYFUNCTION("""COMPUTED_VALUE"""),"Sabun batang 1 Box ( 2 PCS )")</f>
        <v>Sabun batang 1 Box ( 2 PCS )</v>
      </c>
      <c r="H2217" s="469"/>
      <c r="I2217" s="470"/>
      <c r="K2217" s="470"/>
      <c r="M2217" s="470"/>
      <c r="O2217" s="470"/>
    </row>
    <row r="2218">
      <c r="A2218" s="282" t="str">
        <f>IFERROR(__xludf.DUMMYFUNCTION("""COMPUTED_VALUE"""),"MICRO")</f>
        <v>MICRO</v>
      </c>
      <c r="B2218" s="468" t="str">
        <f>IFERROR(__xludf.DUMMYFUNCTION("""COMPUTED_VALUE"""),"windanovitasariwi")</f>
        <v>windanovitasariwi</v>
      </c>
      <c r="C2218" s="283" t="str">
        <f>IFERROR(__xludf.DUMMYFUNCTION("""COMPUTED_VALUE"""),"https://www.tiktok.com/@windanovitasariwi")</f>
        <v>https://www.tiktok.com/@windanovitasariwi</v>
      </c>
      <c r="D2218" s="273">
        <f>IFERROR(__xludf.DUMMYFUNCTION("""COMPUTED_VALUE"""),8.2280511138E10)</f>
        <v>82280511138</v>
      </c>
      <c r="E2218" s="458">
        <f>IFERROR(__xludf.DUMMYFUNCTION("""COMPUTED_VALUE"""),0.0)</f>
        <v>0</v>
      </c>
      <c r="F2218" s="273">
        <f>IFERROR(__xludf.DUMMYFUNCTION("""COMPUTED_VALUE"""),4.0)</f>
        <v>4</v>
      </c>
      <c r="G2218" t="str">
        <f>IFERROR(__xludf.DUMMYFUNCTION("""COMPUTED_VALUE"""),"Sabun batang 1 Box ( 2 PCS )")</f>
        <v>Sabun batang 1 Box ( 2 PCS )</v>
      </c>
      <c r="H2218" s="469"/>
      <c r="I2218" s="470"/>
      <c r="K2218" s="470"/>
      <c r="M2218" s="470"/>
      <c r="O2218" s="470"/>
    </row>
    <row r="2219">
      <c r="A2219" s="282" t="str">
        <f>IFERROR(__xludf.DUMMYFUNCTION("""COMPUTED_VALUE"""),"MICRO")</f>
        <v>MICRO</v>
      </c>
      <c r="B2219" s="468" t="str">
        <f>IFERROR(__xludf.DUMMYFUNCTION("""COMPUTED_VALUE"""),"adeliapnh")</f>
        <v>adeliapnh</v>
      </c>
      <c r="C2219" s="283" t="str">
        <f>IFERROR(__xludf.DUMMYFUNCTION("""COMPUTED_VALUE"""),"https://www.tiktok.com/@adeliapnh")</f>
        <v>https://www.tiktok.com/@adeliapnh</v>
      </c>
      <c r="D2219" s="273">
        <f>IFERROR(__xludf.DUMMYFUNCTION("""COMPUTED_VALUE"""),8.1231710855E10)</f>
        <v>81231710855</v>
      </c>
      <c r="E2219" s="458">
        <f>IFERROR(__xludf.DUMMYFUNCTION("""COMPUTED_VALUE"""),0.0)</f>
        <v>0</v>
      </c>
      <c r="F2219" s="273">
        <f>IFERROR(__xludf.DUMMYFUNCTION("""COMPUTED_VALUE"""),2.0)</f>
        <v>2</v>
      </c>
      <c r="G2219" t="str">
        <f>IFERROR(__xludf.DUMMYFUNCTION("""COMPUTED_VALUE"""),"Sabun batang 1 Box ( 2 PCS )")</f>
        <v>Sabun batang 1 Box ( 2 PCS )</v>
      </c>
      <c r="H2219" s="469"/>
      <c r="I2219" s="470"/>
      <c r="K2219" s="470"/>
      <c r="M2219" s="470"/>
      <c r="O2219" s="470"/>
    </row>
    <row r="2220">
      <c r="A2220" s="282" t="str">
        <f>IFERROR(__xludf.DUMMYFUNCTION("""COMPUTED_VALUE"""),"MICRO")</f>
        <v>MICRO</v>
      </c>
      <c r="B2220" s="468" t="str">
        <f>IFERROR(__xludf.DUMMYFUNCTION("""COMPUTED_VALUE"""),"puspitajasmine26 ")</f>
        <v>puspitajasmine26 </v>
      </c>
      <c r="C2220" s="283" t="str">
        <f>IFERROR(__xludf.DUMMYFUNCTION("""COMPUTED_VALUE"""),"https://www.tiktok.com/@puspitajasmine26 ")</f>
        <v>https://www.tiktok.com/@puspitajasmine26 </v>
      </c>
      <c r="D2220" s="273">
        <f>IFERROR(__xludf.DUMMYFUNCTION("""COMPUTED_VALUE"""),8.782568825E10)</f>
        <v>87825688250</v>
      </c>
      <c r="E2220" s="458">
        <f>IFERROR(__xludf.DUMMYFUNCTION("""COMPUTED_VALUE"""),0.0)</f>
        <v>0</v>
      </c>
      <c r="F2220" s="273">
        <f>IFERROR(__xludf.DUMMYFUNCTION("""COMPUTED_VALUE"""),3.0)</f>
        <v>3</v>
      </c>
      <c r="G2220" t="str">
        <f>IFERROR(__xludf.DUMMYFUNCTION("""COMPUTED_VALUE"""),"Sabun batang 1 Box ( 2 PCS )")</f>
        <v>Sabun batang 1 Box ( 2 PCS )</v>
      </c>
      <c r="H2220" s="469"/>
      <c r="I2220" s="470"/>
      <c r="K2220" s="470"/>
      <c r="M2220" s="470"/>
      <c r="O2220" s="470"/>
    </row>
    <row r="2221">
      <c r="A2221" s="282" t="str">
        <f>IFERROR(__xludf.DUMMYFUNCTION("""COMPUTED_VALUE"""),"MICRO")</f>
        <v>MICRO</v>
      </c>
      <c r="B2221" s="468" t="str">
        <f>IFERROR(__xludf.DUMMYFUNCTION("""COMPUTED_VALUE"""),"ctnamiraa")</f>
        <v>ctnamiraa</v>
      </c>
      <c r="C2221" s="283" t="str">
        <f>IFERROR(__xludf.DUMMYFUNCTION("""COMPUTED_VALUE"""),"https://www.tiktok.com/@ctnamiraa")</f>
        <v>https://www.tiktok.com/@ctnamiraa</v>
      </c>
      <c r="D2221" s="273">
        <f>IFERROR(__xludf.DUMMYFUNCTION("""COMPUTED_VALUE"""),8.2361723739E10)</f>
        <v>82361723739</v>
      </c>
      <c r="E2221" s="458">
        <f>IFERROR(__xludf.DUMMYFUNCTION("""COMPUTED_VALUE"""),0.0)</f>
        <v>0</v>
      </c>
      <c r="F2221" s="273">
        <f>IFERROR(__xludf.DUMMYFUNCTION("""COMPUTED_VALUE"""),3.0)</f>
        <v>3</v>
      </c>
      <c r="G2221" t="str">
        <f>IFERROR(__xludf.DUMMYFUNCTION("""COMPUTED_VALUE"""),"Sabun batang 1 Box ( 2 PCS )")</f>
        <v>Sabun batang 1 Box ( 2 PCS )</v>
      </c>
      <c r="H2221" s="469"/>
      <c r="I2221" s="470"/>
      <c r="K2221" s="470"/>
      <c r="M2221" s="470"/>
      <c r="O2221" s="470"/>
    </row>
    <row r="2222">
      <c r="A2222" s="282" t="str">
        <f>IFERROR(__xludf.DUMMYFUNCTION("""COMPUTED_VALUE"""),"MICRO")</f>
        <v>MICRO</v>
      </c>
      <c r="B2222" s="468" t="str">
        <f>IFERROR(__xludf.DUMMYFUNCTION("""COMPUTED_VALUE"""),"panggilajadekcut")</f>
        <v>panggilajadekcut</v>
      </c>
      <c r="C2222" s="283" t="str">
        <f>IFERROR(__xludf.DUMMYFUNCTION("""COMPUTED_VALUE"""),"https://www.tiktok.com/@panggilajadekcut")</f>
        <v>https://www.tiktok.com/@panggilajadekcut</v>
      </c>
      <c r="D2222" s="273">
        <f>IFERROR(__xludf.DUMMYFUNCTION("""COMPUTED_VALUE"""),8.1264028569E10)</f>
        <v>81264028569</v>
      </c>
      <c r="E2222" s="458">
        <f>IFERROR(__xludf.DUMMYFUNCTION("""COMPUTED_VALUE"""),0.0)</f>
        <v>0</v>
      </c>
      <c r="F2222" s="273">
        <f>IFERROR(__xludf.DUMMYFUNCTION("""COMPUTED_VALUE"""),4.0)</f>
        <v>4</v>
      </c>
      <c r="G2222" t="str">
        <f>IFERROR(__xludf.DUMMYFUNCTION("""COMPUTED_VALUE"""),"Sabun batang 1 Box ( 2 PCS )")</f>
        <v>Sabun batang 1 Box ( 2 PCS )</v>
      </c>
      <c r="H2222" s="469"/>
      <c r="I2222" s="470"/>
      <c r="K2222" s="470"/>
      <c r="M2222" s="470"/>
      <c r="O2222" s="470"/>
    </row>
    <row r="2223">
      <c r="A2223" s="282" t="str">
        <f>IFERROR(__xludf.DUMMYFUNCTION("""COMPUTED_VALUE"""),"MICRO")</f>
        <v>MICRO</v>
      </c>
      <c r="B2223" s="468" t="str">
        <f>IFERROR(__xludf.DUMMYFUNCTION("""COMPUTED_VALUE"""),"nurull.nuy")</f>
        <v>nurull.nuy</v>
      </c>
      <c r="C2223" s="283" t="str">
        <f>IFERROR(__xludf.DUMMYFUNCTION("""COMPUTED_VALUE"""),"https://www.tiktok.com/@nurull.nuy")</f>
        <v>https://www.tiktok.com/@nurull.nuy</v>
      </c>
      <c r="D2223" s="273">
        <f>IFERROR(__xludf.DUMMYFUNCTION("""COMPUTED_VALUE"""),8.2313823713E10)</f>
        <v>82313823713</v>
      </c>
      <c r="E2223" s="458">
        <f>IFERROR(__xludf.DUMMYFUNCTION("""COMPUTED_VALUE"""),0.0)</f>
        <v>0</v>
      </c>
      <c r="F2223" s="273">
        <f>IFERROR(__xludf.DUMMYFUNCTION("""COMPUTED_VALUE"""),3.0)</f>
        <v>3</v>
      </c>
      <c r="G2223" t="str">
        <f>IFERROR(__xludf.DUMMYFUNCTION("""COMPUTED_VALUE"""),"Sabun batang 1 Box ( 2 PCS )")</f>
        <v>Sabun batang 1 Box ( 2 PCS )</v>
      </c>
      <c r="H2223" s="469"/>
      <c r="I2223" s="470"/>
      <c r="K2223" s="470"/>
      <c r="M2223" s="470"/>
      <c r="O2223" s="470"/>
    </row>
    <row r="2224">
      <c r="A2224" s="282" t="str">
        <f>IFERROR(__xludf.DUMMYFUNCTION("""COMPUTED_VALUE"""),"MICRO")</f>
        <v>MICRO</v>
      </c>
      <c r="B2224" s="468" t="str">
        <f>IFERROR(__xludf.DUMMYFUNCTION("""COMPUTED_VALUE"""),"by.skinn")</f>
        <v>by.skinn</v>
      </c>
      <c r="C2224" s="283" t="str">
        <f>IFERROR(__xludf.DUMMYFUNCTION("""COMPUTED_VALUE"""),"https://www.tiktok.com/@by.skinn")</f>
        <v>https://www.tiktok.com/@by.skinn</v>
      </c>
      <c r="D2224" s="273">
        <f>IFERROR(__xludf.DUMMYFUNCTION("""COMPUTED_VALUE"""),8.5784310941E10)</f>
        <v>85784310941</v>
      </c>
      <c r="E2224" s="458">
        <f>IFERROR(__xludf.DUMMYFUNCTION("""COMPUTED_VALUE"""),0.0)</f>
        <v>0</v>
      </c>
      <c r="F2224" s="273">
        <f>IFERROR(__xludf.DUMMYFUNCTION("""COMPUTED_VALUE"""),3.0)</f>
        <v>3</v>
      </c>
      <c r="G2224" t="str">
        <f>IFERROR(__xludf.DUMMYFUNCTION("""COMPUTED_VALUE"""),"Sabun batang 1 Box ( 2 PCS )")</f>
        <v>Sabun batang 1 Box ( 2 PCS )</v>
      </c>
      <c r="H2224" s="469"/>
      <c r="I2224" s="470"/>
      <c r="K2224" s="470"/>
      <c r="M2224" s="470"/>
      <c r="O2224" s="470"/>
    </row>
    <row r="2225">
      <c r="A2225" s="282" t="str">
        <f>IFERROR(__xludf.DUMMYFUNCTION("""COMPUTED_VALUE"""),"MICRO")</f>
        <v>MICRO</v>
      </c>
      <c r="B2225" s="468" t="str">
        <f>IFERROR(__xludf.DUMMYFUNCTION("""COMPUTED_VALUE"""),"joys.co")</f>
        <v>joys.co</v>
      </c>
      <c r="C2225" s="283" t="str">
        <f>IFERROR(__xludf.DUMMYFUNCTION("""COMPUTED_VALUE"""),"https://www.tiktok.com/@joys.co")</f>
        <v>https://www.tiktok.com/@joys.co</v>
      </c>
      <c r="D2225" s="273">
        <f>IFERROR(__xludf.DUMMYFUNCTION("""COMPUTED_VALUE"""),8.5733785719E10)</f>
        <v>85733785719</v>
      </c>
      <c r="E2225" s="458">
        <f>IFERROR(__xludf.DUMMYFUNCTION("""COMPUTED_VALUE"""),0.0)</f>
        <v>0</v>
      </c>
      <c r="F2225" s="273">
        <f>IFERROR(__xludf.DUMMYFUNCTION("""COMPUTED_VALUE"""),3.0)</f>
        <v>3</v>
      </c>
      <c r="G2225" t="str">
        <f>IFERROR(__xludf.DUMMYFUNCTION("""COMPUTED_VALUE"""),"Sabun batang 1 Box ( 2 PCS )")</f>
        <v>Sabun batang 1 Box ( 2 PCS )</v>
      </c>
      <c r="H2225" s="469"/>
      <c r="I2225" s="470"/>
      <c r="K2225" s="470"/>
      <c r="M2225" s="470"/>
      <c r="O2225" s="470"/>
    </row>
    <row r="2226">
      <c r="A2226" s="282" t="str">
        <f>IFERROR(__xludf.DUMMYFUNCTION("""COMPUTED_VALUE"""),"MICRO")</f>
        <v>MICRO</v>
      </c>
      <c r="B2226" s="468" t="str">
        <f>IFERROR(__xludf.DUMMYFUNCTION("""COMPUTED_VALUE"""),"hello.fira")</f>
        <v>hello.fira</v>
      </c>
      <c r="C2226" s="283" t="str">
        <f>IFERROR(__xludf.DUMMYFUNCTION("""COMPUTED_VALUE"""),"https://www.tiktok.com/@hello.fira")</f>
        <v>https://www.tiktok.com/@hello.fira</v>
      </c>
      <c r="D2226" s="273">
        <f>IFERROR(__xludf.DUMMYFUNCTION("""COMPUTED_VALUE"""),8.558042078E9)</f>
        <v>8558042078</v>
      </c>
      <c r="E2226" s="458">
        <f>IFERROR(__xludf.DUMMYFUNCTION("""COMPUTED_VALUE"""),0.0)</f>
        <v>0</v>
      </c>
      <c r="F2226" s="273">
        <f>IFERROR(__xludf.DUMMYFUNCTION("""COMPUTED_VALUE"""),2.0)</f>
        <v>2</v>
      </c>
      <c r="G2226" t="str">
        <f>IFERROR(__xludf.DUMMYFUNCTION("""COMPUTED_VALUE"""),"Sabun batang 1 Box ( 2 PCS )")</f>
        <v>Sabun batang 1 Box ( 2 PCS )</v>
      </c>
      <c r="H2226" s="469"/>
      <c r="I2226" s="470"/>
      <c r="K2226" s="470"/>
      <c r="M2226" s="470"/>
      <c r="O2226" s="470"/>
    </row>
    <row r="2227">
      <c r="A2227" s="282" t="str">
        <f>IFERROR(__xludf.DUMMYFUNCTION("""COMPUTED_VALUE"""),"MICRO")</f>
        <v>MICRO</v>
      </c>
      <c r="B2227" s="468" t="str">
        <f>IFERROR(__xludf.DUMMYFUNCTION("""COMPUTED_VALUE"""),"rdyntiii")</f>
        <v>rdyntiii</v>
      </c>
      <c r="C2227" s="283" t="str">
        <f>IFERROR(__xludf.DUMMYFUNCTION("""COMPUTED_VALUE"""),"https://www.tiktok.com/@rdyntiii")</f>
        <v>https://www.tiktok.com/@rdyntiii</v>
      </c>
      <c r="D2227" s="273">
        <f>IFERROR(__xludf.DUMMYFUNCTION("""COMPUTED_VALUE"""),8.9616820113E10)</f>
        <v>89616820113</v>
      </c>
      <c r="E2227" s="458">
        <f>IFERROR(__xludf.DUMMYFUNCTION("""COMPUTED_VALUE"""),0.0)</f>
        <v>0</v>
      </c>
      <c r="F2227" s="273">
        <f>IFERROR(__xludf.DUMMYFUNCTION("""COMPUTED_VALUE"""),2.0)</f>
        <v>2</v>
      </c>
      <c r="G2227" t="str">
        <f>IFERROR(__xludf.DUMMYFUNCTION("""COMPUTED_VALUE"""),"Sabun batang 1 Box ( 2 PCS )")</f>
        <v>Sabun batang 1 Box ( 2 PCS )</v>
      </c>
      <c r="H2227" s="469"/>
      <c r="I2227" s="470"/>
      <c r="K2227" s="470"/>
      <c r="M2227" s="470"/>
      <c r="O2227" s="470"/>
    </row>
    <row r="2228">
      <c r="A2228" s="282" t="str">
        <f>IFERROR(__xludf.DUMMYFUNCTION("""COMPUTED_VALUE"""),"MICRO")</f>
        <v>MICRO</v>
      </c>
      <c r="B2228" s="468" t="str">
        <f>IFERROR(__xludf.DUMMYFUNCTION("""COMPUTED_VALUE"""),"dewikuuu__")</f>
        <v>dewikuuu__</v>
      </c>
      <c r="C2228" s="283" t="str">
        <f>IFERROR(__xludf.DUMMYFUNCTION("""COMPUTED_VALUE"""),"https://www.tiktok.com/@dewikuuu__")</f>
        <v>https://www.tiktok.com/@dewikuuu__</v>
      </c>
      <c r="D2228" s="273">
        <f>IFERROR(__xludf.DUMMYFUNCTION("""COMPUTED_VALUE"""),8.5790665068E10)</f>
        <v>85790665068</v>
      </c>
      <c r="E2228" s="458">
        <f>IFERROR(__xludf.DUMMYFUNCTION("""COMPUTED_VALUE"""),0.0)</f>
        <v>0</v>
      </c>
      <c r="F2228" s="273">
        <f>IFERROR(__xludf.DUMMYFUNCTION("""COMPUTED_VALUE"""),4.0)</f>
        <v>4</v>
      </c>
      <c r="G2228" t="str">
        <f>IFERROR(__xludf.DUMMYFUNCTION("""COMPUTED_VALUE"""),"Sabun batang 1 Box ( 2 PCS )")</f>
        <v>Sabun batang 1 Box ( 2 PCS )</v>
      </c>
      <c r="H2228" s="469"/>
      <c r="I2228" s="470"/>
      <c r="K2228" s="470"/>
      <c r="M2228" s="470"/>
      <c r="O2228" s="470"/>
    </row>
    <row r="2229">
      <c r="A2229" s="282" t="str">
        <f>IFERROR(__xludf.DUMMYFUNCTION("""COMPUTED_VALUE"""),"MICRO")</f>
        <v>MICRO</v>
      </c>
      <c r="B2229" s="468" t="str">
        <f>IFERROR(__xludf.DUMMYFUNCTION("""COMPUTED_VALUE"""),"ndian67")</f>
        <v>ndian67</v>
      </c>
      <c r="C2229" s="283" t="str">
        <f>IFERROR(__xludf.DUMMYFUNCTION("""COMPUTED_VALUE"""),"https://www.tiktok.com/@ndian67")</f>
        <v>https://www.tiktok.com/@ndian67</v>
      </c>
      <c r="D2229" s="273">
        <f>IFERROR(__xludf.DUMMYFUNCTION("""COMPUTED_VALUE"""),8.3822337843E10)</f>
        <v>83822337843</v>
      </c>
      <c r="E2229" s="458">
        <f>IFERROR(__xludf.DUMMYFUNCTION("""COMPUTED_VALUE"""),0.0)</f>
        <v>0</v>
      </c>
      <c r="F2229" s="273">
        <f>IFERROR(__xludf.DUMMYFUNCTION("""COMPUTED_VALUE"""),4.0)</f>
        <v>4</v>
      </c>
      <c r="G2229" t="str">
        <f>IFERROR(__xludf.DUMMYFUNCTION("""COMPUTED_VALUE"""),"Sabun batang 1 Box ( 2 PCS )")</f>
        <v>Sabun batang 1 Box ( 2 PCS )</v>
      </c>
      <c r="H2229" s="469"/>
      <c r="I2229" s="470"/>
      <c r="K2229" s="470"/>
      <c r="M2229" s="470"/>
      <c r="O2229" s="470"/>
    </row>
    <row r="2230">
      <c r="A2230" s="282" t="str">
        <f>IFERROR(__xludf.DUMMYFUNCTION("""COMPUTED_VALUE"""),"MICRO")</f>
        <v>MICRO</v>
      </c>
      <c r="B2230" s="468" t="str">
        <f>IFERROR(__xludf.DUMMYFUNCTION("""COMPUTED_VALUE"""),"rantiije15")</f>
        <v>rantiije15</v>
      </c>
      <c r="C2230" s="283" t="str">
        <f>IFERROR(__xludf.DUMMYFUNCTION("""COMPUTED_VALUE"""),"https://www.tiktok.com/@rantiije15")</f>
        <v>https://www.tiktok.com/@rantiije15</v>
      </c>
      <c r="D2230" s="273">
        <f>IFERROR(__xludf.DUMMYFUNCTION("""COMPUTED_VALUE"""),8.9502712867E10)</f>
        <v>89502712867</v>
      </c>
      <c r="E2230" s="458">
        <f>IFERROR(__xludf.DUMMYFUNCTION("""COMPUTED_VALUE"""),0.0)</f>
        <v>0</v>
      </c>
      <c r="F2230" s="273">
        <f>IFERROR(__xludf.DUMMYFUNCTION("""COMPUTED_VALUE"""),4.0)</f>
        <v>4</v>
      </c>
      <c r="G2230" t="str">
        <f>IFERROR(__xludf.DUMMYFUNCTION("""COMPUTED_VALUE"""),"Sabun batang 1 Box ( 2 PCS )")</f>
        <v>Sabun batang 1 Box ( 2 PCS )</v>
      </c>
      <c r="H2230" s="469"/>
      <c r="I2230" s="470"/>
      <c r="K2230" s="470"/>
      <c r="M2230" s="470"/>
      <c r="O2230" s="470"/>
    </row>
    <row r="2231">
      <c r="A2231" s="282" t="str">
        <f>IFERROR(__xludf.DUMMYFUNCTION("""COMPUTED_VALUE"""),"MICRO")</f>
        <v>MICRO</v>
      </c>
      <c r="B2231" s="468" t="str">
        <f>IFERROR(__xludf.DUMMYFUNCTION("""COMPUTED_VALUE"""),"kelo0o")</f>
        <v>kelo0o</v>
      </c>
      <c r="C2231" s="283" t="str">
        <f>IFERROR(__xludf.DUMMYFUNCTION("""COMPUTED_VALUE"""),"https://www.tiktok.com/@kelo0o")</f>
        <v>https://www.tiktok.com/@kelo0o</v>
      </c>
      <c r="D2231" s="273">
        <f>IFERROR(__xludf.DUMMYFUNCTION("""COMPUTED_VALUE"""),8.1217154371E10)</f>
        <v>81217154371</v>
      </c>
      <c r="E2231" s="458">
        <f>IFERROR(__xludf.DUMMYFUNCTION("""COMPUTED_VALUE"""),0.0)</f>
        <v>0</v>
      </c>
      <c r="F2231" s="273">
        <f>IFERROR(__xludf.DUMMYFUNCTION("""COMPUTED_VALUE"""),2.0)</f>
        <v>2</v>
      </c>
      <c r="G2231" t="str">
        <f>IFERROR(__xludf.DUMMYFUNCTION("""COMPUTED_VALUE"""),"Sabun batang 1 Box ( 2 PCS )")</f>
        <v>Sabun batang 1 Box ( 2 PCS )</v>
      </c>
      <c r="H2231" s="469"/>
      <c r="I2231" s="470"/>
      <c r="K2231" s="470"/>
      <c r="M2231" s="470"/>
      <c r="O2231" s="470"/>
    </row>
    <row r="2232">
      <c r="A2232" s="282" t="str">
        <f>IFERROR(__xludf.DUMMYFUNCTION("""COMPUTED_VALUE"""),"MICRO")</f>
        <v>MICRO</v>
      </c>
      <c r="B2232" s="468" t="str">
        <f>IFERROR(__xludf.DUMMYFUNCTION("""COMPUTED_VALUE"""),"wamoy7")</f>
        <v>wamoy7</v>
      </c>
      <c r="C2232" s="283" t="str">
        <f>IFERROR(__xludf.DUMMYFUNCTION("""COMPUTED_VALUE"""),"https://www.tiktok.com/@wamoy7")</f>
        <v>https://www.tiktok.com/@wamoy7</v>
      </c>
      <c r="D2232" s="273">
        <f>IFERROR(__xludf.DUMMYFUNCTION("""COMPUTED_VALUE"""),8.9514800347E10)</f>
        <v>89514800347</v>
      </c>
      <c r="E2232" s="458">
        <f>IFERROR(__xludf.DUMMYFUNCTION("""COMPUTED_VALUE"""),0.0)</f>
        <v>0</v>
      </c>
      <c r="F2232" s="273">
        <f>IFERROR(__xludf.DUMMYFUNCTION("""COMPUTED_VALUE"""),4.0)</f>
        <v>4</v>
      </c>
      <c r="G2232" t="str">
        <f>IFERROR(__xludf.DUMMYFUNCTION("""COMPUTED_VALUE"""),"Sabun batang 1 Box ( 2 PCS )")</f>
        <v>Sabun batang 1 Box ( 2 PCS )</v>
      </c>
      <c r="H2232" s="469"/>
      <c r="I2232" s="470"/>
      <c r="K2232" s="470"/>
      <c r="M2232" s="470"/>
      <c r="O2232" s="470"/>
    </row>
    <row r="2233">
      <c r="A2233" s="282" t="str">
        <f>IFERROR(__xludf.DUMMYFUNCTION("""COMPUTED_VALUE"""),"MICRO")</f>
        <v>MICRO</v>
      </c>
      <c r="B2233" s="468" t="str">
        <f>IFERROR(__xludf.DUMMYFUNCTION("""COMPUTED_VALUE"""),"ika_amanda275")</f>
        <v>ika_amanda275</v>
      </c>
      <c r="C2233" s="283" t="str">
        <f>IFERROR(__xludf.DUMMYFUNCTION("""COMPUTED_VALUE"""),"https://www.tiktok.com/@ika_amanda275")</f>
        <v>https://www.tiktok.com/@ika_amanda275</v>
      </c>
      <c r="D2233" s="273">
        <f>IFERROR(__xludf.DUMMYFUNCTION("""COMPUTED_VALUE"""),8.5790581537E10)</f>
        <v>85790581537</v>
      </c>
      <c r="E2233" s="458">
        <f>IFERROR(__xludf.DUMMYFUNCTION("""COMPUTED_VALUE"""),0.0)</f>
        <v>0</v>
      </c>
      <c r="F2233" s="273">
        <f>IFERROR(__xludf.DUMMYFUNCTION("""COMPUTED_VALUE"""),4.0)</f>
        <v>4</v>
      </c>
      <c r="G2233" t="str">
        <f>IFERROR(__xludf.DUMMYFUNCTION("""COMPUTED_VALUE"""),"Sabun batang 1 Box ( 2 PCS )")</f>
        <v>Sabun batang 1 Box ( 2 PCS )</v>
      </c>
      <c r="H2233" s="469"/>
      <c r="I2233" s="470"/>
      <c r="K2233" s="470"/>
      <c r="M2233" s="470"/>
      <c r="O2233" s="470"/>
    </row>
    <row r="2234">
      <c r="A2234" s="282" t="str">
        <f>IFERROR(__xludf.DUMMYFUNCTION("""COMPUTED_VALUE"""),"MICRO")</f>
        <v>MICRO</v>
      </c>
      <c r="B2234" s="468" t="str">
        <f>IFERROR(__xludf.DUMMYFUNCTION("""COMPUTED_VALUE"""),"rumiku35")</f>
        <v>rumiku35</v>
      </c>
      <c r="C2234" s="283" t="str">
        <f>IFERROR(__xludf.DUMMYFUNCTION("""COMPUTED_VALUE"""),"https://www.tiktok.com/@rumiku35")</f>
        <v>https://www.tiktok.com/@rumiku35</v>
      </c>
      <c r="D2234" s="273">
        <f>IFERROR(__xludf.DUMMYFUNCTION("""COMPUTED_VALUE"""),8.2399619586E10)</f>
        <v>82399619586</v>
      </c>
      <c r="E2234" s="458">
        <f>IFERROR(__xludf.DUMMYFUNCTION("""COMPUTED_VALUE"""),0.0)</f>
        <v>0</v>
      </c>
      <c r="F2234" s="273">
        <f>IFERROR(__xludf.DUMMYFUNCTION("""COMPUTED_VALUE"""),4.0)</f>
        <v>4</v>
      </c>
      <c r="G2234" t="str">
        <f>IFERROR(__xludf.DUMMYFUNCTION("""COMPUTED_VALUE"""),"Sabun batang 1 Box ( 2 PCS )")</f>
        <v>Sabun batang 1 Box ( 2 PCS )</v>
      </c>
      <c r="H2234" s="469"/>
      <c r="I2234" s="470"/>
      <c r="K2234" s="470"/>
      <c r="M2234" s="470"/>
      <c r="O2234" s="470"/>
    </row>
    <row r="2235">
      <c r="A2235" s="282" t="str">
        <f>IFERROR(__xludf.DUMMYFUNCTION("""COMPUTED_VALUE"""),"MICRO")</f>
        <v>MICRO</v>
      </c>
      <c r="B2235" s="468" t="str">
        <f>IFERROR(__xludf.DUMMYFUNCTION("""COMPUTED_VALUE"""),"erka.0203")</f>
        <v>erka.0203</v>
      </c>
      <c r="C2235" s="283" t="str">
        <f>IFERROR(__xludf.DUMMYFUNCTION("""COMPUTED_VALUE"""),"https://www.tiktok.com/@erka.0203")</f>
        <v>https://www.tiktok.com/@erka.0203</v>
      </c>
      <c r="D2235" s="273">
        <f>IFERROR(__xludf.DUMMYFUNCTION("""COMPUTED_VALUE"""),8.589180075E10)</f>
        <v>85891800750</v>
      </c>
      <c r="E2235" s="458">
        <f>IFERROR(__xludf.DUMMYFUNCTION("""COMPUTED_VALUE"""),0.0)</f>
        <v>0</v>
      </c>
      <c r="F2235" s="273">
        <f>IFERROR(__xludf.DUMMYFUNCTION("""COMPUTED_VALUE"""),4.0)</f>
        <v>4</v>
      </c>
      <c r="G2235" t="str">
        <f>IFERROR(__xludf.DUMMYFUNCTION("""COMPUTED_VALUE"""),"Sabun batang 1 Box ( 2 PCS )")</f>
        <v>Sabun batang 1 Box ( 2 PCS )</v>
      </c>
      <c r="H2235" s="469"/>
      <c r="I2235" s="470"/>
      <c r="K2235" s="470"/>
      <c r="M2235" s="470"/>
      <c r="O2235" s="470"/>
    </row>
    <row r="2236">
      <c r="A2236" s="282" t="str">
        <f>IFERROR(__xludf.DUMMYFUNCTION("""COMPUTED_VALUE"""),"MICRO")</f>
        <v>MICRO</v>
      </c>
      <c r="B2236" s="468" t="str">
        <f>IFERROR(__xludf.DUMMYFUNCTION("""COMPUTED_VALUE"""),"ellyannasalon")</f>
        <v>ellyannasalon</v>
      </c>
      <c r="C2236" s="283" t="str">
        <f>IFERROR(__xludf.DUMMYFUNCTION("""COMPUTED_VALUE"""),"https://www.tiktok.com/@ellyannasalon")</f>
        <v>https://www.tiktok.com/@ellyannasalon</v>
      </c>
      <c r="D2236" s="273">
        <f>IFERROR(__xludf.DUMMYFUNCTION("""COMPUTED_VALUE"""),8.5706696836E10)</f>
        <v>85706696836</v>
      </c>
      <c r="E2236" s="458">
        <f>IFERROR(__xludf.DUMMYFUNCTION("""COMPUTED_VALUE"""),0.0)</f>
        <v>0</v>
      </c>
      <c r="F2236" s="273">
        <f>IFERROR(__xludf.DUMMYFUNCTION("""COMPUTED_VALUE"""),4.0)</f>
        <v>4</v>
      </c>
      <c r="G2236" t="str">
        <f>IFERROR(__xludf.DUMMYFUNCTION("""COMPUTED_VALUE"""),"Sabun batang 1 Box ( 2 PCS )")</f>
        <v>Sabun batang 1 Box ( 2 PCS )</v>
      </c>
      <c r="H2236" s="469"/>
      <c r="I2236" s="470"/>
      <c r="K2236" s="470"/>
      <c r="M2236" s="470"/>
      <c r="O2236" s="470"/>
    </row>
    <row r="2237">
      <c r="A2237" s="282" t="str">
        <f>IFERROR(__xludf.DUMMYFUNCTION("""COMPUTED_VALUE"""),"MICRO")</f>
        <v>MICRO</v>
      </c>
      <c r="B2237" s="468" t="str">
        <f>IFERROR(__xludf.DUMMYFUNCTION("""COMPUTED_VALUE"""),"ryaanti_")</f>
        <v>ryaanti_</v>
      </c>
      <c r="C2237" s="283" t="str">
        <f>IFERROR(__xludf.DUMMYFUNCTION("""COMPUTED_VALUE"""),"https://www.tiktok.com/@ryaanti_")</f>
        <v>https://www.tiktok.com/@ryaanti_</v>
      </c>
      <c r="D2237" s="273">
        <f>IFERROR(__xludf.DUMMYFUNCTION("""COMPUTED_VALUE"""),8.2124051191E10)</f>
        <v>82124051191</v>
      </c>
      <c r="E2237" s="458">
        <f>IFERROR(__xludf.DUMMYFUNCTION("""COMPUTED_VALUE"""),0.0)</f>
        <v>0</v>
      </c>
      <c r="F2237" s="273">
        <f>IFERROR(__xludf.DUMMYFUNCTION("""COMPUTED_VALUE"""),4.0)</f>
        <v>4</v>
      </c>
      <c r="G2237" t="str">
        <f>IFERROR(__xludf.DUMMYFUNCTION("""COMPUTED_VALUE"""),"Sabun batang 1 Box ( 2 PCS )")</f>
        <v>Sabun batang 1 Box ( 2 PCS )</v>
      </c>
      <c r="H2237" s="469"/>
      <c r="I2237" s="470"/>
      <c r="K2237" s="470"/>
      <c r="M2237" s="470"/>
      <c r="O2237" s="470"/>
    </row>
    <row r="2238">
      <c r="A2238" s="282" t="str">
        <f>IFERROR(__xludf.DUMMYFUNCTION("""COMPUTED_VALUE"""),"MICRO")</f>
        <v>MICRO</v>
      </c>
      <c r="B2238" s="468" t="str">
        <f>IFERROR(__xludf.DUMMYFUNCTION("""COMPUTED_VALUE"""),"fiidaisy")</f>
        <v>fiidaisy</v>
      </c>
      <c r="C2238" s="283" t="str">
        <f>IFERROR(__xludf.DUMMYFUNCTION("""COMPUTED_VALUE"""),"https://www.tiktok.com/@fiidaisy")</f>
        <v>https://www.tiktok.com/@fiidaisy</v>
      </c>
      <c r="D2238" s="273">
        <f>IFERROR(__xludf.DUMMYFUNCTION("""COMPUTED_VALUE"""),8.5648308542E10)</f>
        <v>85648308542</v>
      </c>
      <c r="E2238" s="458">
        <f>IFERROR(__xludf.DUMMYFUNCTION("""COMPUTED_VALUE"""),0.0)</f>
        <v>0</v>
      </c>
      <c r="F2238" s="273">
        <f>IFERROR(__xludf.DUMMYFUNCTION("""COMPUTED_VALUE"""),4.0)</f>
        <v>4</v>
      </c>
      <c r="G2238" t="str">
        <f>IFERROR(__xludf.DUMMYFUNCTION("""COMPUTED_VALUE"""),"Sabun batang 1 Box ( 2 PCS )")</f>
        <v>Sabun batang 1 Box ( 2 PCS )</v>
      </c>
      <c r="H2238" s="469"/>
      <c r="I2238" s="470"/>
      <c r="K2238" s="470"/>
      <c r="M2238" s="470"/>
      <c r="O2238" s="470"/>
    </row>
    <row r="2239">
      <c r="A2239" s="282" t="str">
        <f>IFERROR(__xludf.DUMMYFUNCTION("""COMPUTED_VALUE"""),"MICRO")</f>
        <v>MICRO</v>
      </c>
      <c r="B2239" s="468" t="str">
        <f>IFERROR(__xludf.DUMMYFUNCTION("""COMPUTED_VALUE"""),"nurul_mahkotadental")</f>
        <v>nurul_mahkotadental</v>
      </c>
      <c r="C2239" s="283" t="str">
        <f>IFERROR(__xludf.DUMMYFUNCTION("""COMPUTED_VALUE"""),"https://www.tiktok.com/@nurul_mahkotadental")</f>
        <v>https://www.tiktok.com/@nurul_mahkotadental</v>
      </c>
      <c r="D2239" s="273">
        <f>IFERROR(__xludf.DUMMYFUNCTION("""COMPUTED_VALUE"""),8.5655850878E10)</f>
        <v>85655850878</v>
      </c>
      <c r="E2239" s="458">
        <f>IFERROR(__xludf.DUMMYFUNCTION("""COMPUTED_VALUE"""),0.0)</f>
        <v>0</v>
      </c>
      <c r="F2239" s="273">
        <f>IFERROR(__xludf.DUMMYFUNCTION("""COMPUTED_VALUE"""),4.0)</f>
        <v>4</v>
      </c>
      <c r="G2239" t="str">
        <f>IFERROR(__xludf.DUMMYFUNCTION("""COMPUTED_VALUE"""),"Sabun batang 1 Box ( 2 PCS )")</f>
        <v>Sabun batang 1 Box ( 2 PCS )</v>
      </c>
      <c r="H2239" s="469"/>
      <c r="I2239" s="470"/>
      <c r="K2239" s="470"/>
      <c r="M2239" s="470"/>
      <c r="O2239" s="470"/>
    </row>
    <row r="2240">
      <c r="A2240" s="282" t="str">
        <f>IFERROR(__xludf.DUMMYFUNCTION("""COMPUTED_VALUE"""),"MICRO")</f>
        <v>MICRO</v>
      </c>
      <c r="B2240" s="468" t="str">
        <f>IFERROR(__xludf.DUMMYFUNCTION("""COMPUTED_VALUE"""),"sckrhyu")</f>
        <v>sckrhyu</v>
      </c>
      <c r="C2240" s="283" t="str">
        <f>IFERROR(__xludf.DUMMYFUNCTION("""COMPUTED_VALUE"""),"https://www.tiktok.com/@sckrhyu")</f>
        <v>https://www.tiktok.com/@sckrhyu</v>
      </c>
      <c r="D2240" s="273">
        <f>IFERROR(__xludf.DUMMYFUNCTION("""COMPUTED_VALUE"""),8.2140767021E10)</f>
        <v>82140767021</v>
      </c>
      <c r="E2240" s="458">
        <f>IFERROR(__xludf.DUMMYFUNCTION("""COMPUTED_VALUE"""),0.0)</f>
        <v>0</v>
      </c>
      <c r="F2240" s="273">
        <f>IFERROR(__xludf.DUMMYFUNCTION("""COMPUTED_VALUE"""),4.0)</f>
        <v>4</v>
      </c>
      <c r="G2240" t="str">
        <f>IFERROR(__xludf.DUMMYFUNCTION("""COMPUTED_VALUE"""),"Sabun batang 1 Box ( 2 PCS )")</f>
        <v>Sabun batang 1 Box ( 2 PCS )</v>
      </c>
      <c r="H2240" s="469"/>
      <c r="I2240" s="470"/>
      <c r="K2240" s="470"/>
      <c r="M2240" s="470"/>
      <c r="O2240" s="470"/>
    </row>
    <row r="2241">
      <c r="A2241" s="282" t="str">
        <f>IFERROR(__xludf.DUMMYFUNCTION("""COMPUTED_VALUE"""),"MICRO")</f>
        <v>MICRO</v>
      </c>
      <c r="B2241" s="468" t="str">
        <f>IFERROR(__xludf.DUMMYFUNCTION("""COMPUTED_VALUE"""),"racunn.amell")</f>
        <v>racunn.amell</v>
      </c>
      <c r="C2241" s="283" t="str">
        <f>IFERROR(__xludf.DUMMYFUNCTION("""COMPUTED_VALUE"""),"https://www.tiktok.com/@racunn.amell")</f>
        <v>https://www.tiktok.com/@racunn.amell</v>
      </c>
      <c r="D2241" s="273">
        <f>IFERROR(__xludf.DUMMYFUNCTION("""COMPUTED_VALUE"""),8.1933005327E10)</f>
        <v>81933005327</v>
      </c>
      <c r="E2241" s="458">
        <f>IFERROR(__xludf.DUMMYFUNCTION("""COMPUTED_VALUE"""),0.0)</f>
        <v>0</v>
      </c>
      <c r="F2241" s="273">
        <f>IFERROR(__xludf.DUMMYFUNCTION("""COMPUTED_VALUE"""),4.0)</f>
        <v>4</v>
      </c>
      <c r="G2241" t="str">
        <f>IFERROR(__xludf.DUMMYFUNCTION("""COMPUTED_VALUE"""),"Sabun batang 1 Box ( 2 PCS )")</f>
        <v>Sabun batang 1 Box ( 2 PCS )</v>
      </c>
      <c r="H2241" s="469"/>
      <c r="I2241" s="470"/>
      <c r="K2241" s="470"/>
      <c r="M2241" s="470"/>
      <c r="O2241" s="470"/>
    </row>
    <row r="2242">
      <c r="A2242" s="282" t="str">
        <f>IFERROR(__xludf.DUMMYFUNCTION("""COMPUTED_VALUE"""),"MICRO")</f>
        <v>MICRO</v>
      </c>
      <c r="B2242" s="468" t="str">
        <f>IFERROR(__xludf.DUMMYFUNCTION("""COMPUTED_VALUE"""),"anggelpradita")</f>
        <v>anggelpradita</v>
      </c>
      <c r="C2242" s="283" t="str">
        <f>IFERROR(__xludf.DUMMYFUNCTION("""COMPUTED_VALUE"""),"https://www.tiktok.com/@anggelpradita")</f>
        <v>https://www.tiktok.com/@anggelpradita</v>
      </c>
      <c r="D2242" s="273">
        <f>IFERROR(__xludf.DUMMYFUNCTION("""COMPUTED_VALUE"""),8.2288423571E10)</f>
        <v>82288423571</v>
      </c>
      <c r="E2242" s="458">
        <f>IFERROR(__xludf.DUMMYFUNCTION("""COMPUTED_VALUE"""),0.0)</f>
        <v>0</v>
      </c>
      <c r="F2242" s="273">
        <f>IFERROR(__xludf.DUMMYFUNCTION("""COMPUTED_VALUE"""),4.0)</f>
        <v>4</v>
      </c>
      <c r="G2242" t="str">
        <f>IFERROR(__xludf.DUMMYFUNCTION("""COMPUTED_VALUE"""),"Sabun batang 1 Box ( 2 PCS )")</f>
        <v>Sabun batang 1 Box ( 2 PCS )</v>
      </c>
      <c r="H2242" s="469"/>
      <c r="I2242" s="470"/>
      <c r="K2242" s="470"/>
      <c r="M2242" s="470"/>
      <c r="O2242" s="470"/>
    </row>
    <row r="2243">
      <c r="A2243" s="282" t="str">
        <f>IFERROR(__xludf.DUMMYFUNCTION("""COMPUTED_VALUE"""),"MICRO")</f>
        <v>MICRO</v>
      </c>
      <c r="B2243" s="468" t="str">
        <f>IFERROR(__xludf.DUMMYFUNCTION("""COMPUTED_VALUE"""),"adeskelvin_")</f>
        <v>adeskelvin_</v>
      </c>
      <c r="C2243" s="283" t="str">
        <f>IFERROR(__xludf.DUMMYFUNCTION("""COMPUTED_VALUE"""),"https://www.tiktok.com/@adeskelvin_")</f>
        <v>https://www.tiktok.com/@adeskelvin_</v>
      </c>
      <c r="D2243" s="273">
        <f>IFERROR(__xludf.DUMMYFUNCTION("""COMPUTED_VALUE"""),8.1212158123E10)</f>
        <v>81212158123</v>
      </c>
      <c r="E2243" s="458">
        <f>IFERROR(__xludf.DUMMYFUNCTION("""COMPUTED_VALUE"""),0.0)</f>
        <v>0</v>
      </c>
      <c r="F2243" s="273">
        <f>IFERROR(__xludf.DUMMYFUNCTION("""COMPUTED_VALUE"""),4.0)</f>
        <v>4</v>
      </c>
      <c r="G2243" t="str">
        <f>IFERROR(__xludf.DUMMYFUNCTION("""COMPUTED_VALUE"""),"Sabun batang 1 Box ( 2 PCS )")</f>
        <v>Sabun batang 1 Box ( 2 PCS )</v>
      </c>
      <c r="H2243" s="469"/>
      <c r="I2243" s="470"/>
      <c r="K2243" s="470"/>
      <c r="M2243" s="470"/>
      <c r="O2243" s="470"/>
    </row>
    <row r="2244">
      <c r="A2244" s="282" t="str">
        <f>IFERROR(__xludf.DUMMYFUNCTION("""COMPUTED_VALUE"""),"MICRO")</f>
        <v>MICRO</v>
      </c>
      <c r="B2244" s="468" t="str">
        <f>IFERROR(__xludf.DUMMYFUNCTION("""COMPUTED_VALUE"""),"ria_kosmetik91")</f>
        <v>ria_kosmetik91</v>
      </c>
      <c r="C2244" s="283" t="str">
        <f>IFERROR(__xludf.DUMMYFUNCTION("""COMPUTED_VALUE"""),"https://www.tiktok.com/@ria_kosmetik91")</f>
        <v>https://www.tiktok.com/@ria_kosmetik91</v>
      </c>
      <c r="D2244" s="273">
        <f>IFERROR(__xludf.DUMMYFUNCTION("""COMPUTED_VALUE"""),8.2291842654E10)</f>
        <v>82291842654</v>
      </c>
      <c r="E2244" s="458">
        <f>IFERROR(__xludf.DUMMYFUNCTION("""COMPUTED_VALUE"""),0.0)</f>
        <v>0</v>
      </c>
      <c r="F2244" s="273">
        <f>IFERROR(__xludf.DUMMYFUNCTION("""COMPUTED_VALUE"""),4.0)</f>
        <v>4</v>
      </c>
      <c r="G2244" t="str">
        <f>IFERROR(__xludf.DUMMYFUNCTION("""COMPUTED_VALUE"""),"Sabun batang 1 Box ( 2 PCS )")</f>
        <v>Sabun batang 1 Box ( 2 PCS )</v>
      </c>
      <c r="H2244" s="469"/>
      <c r="I2244" s="470"/>
      <c r="K2244" s="470"/>
      <c r="M2244" s="470"/>
      <c r="O2244" s="470"/>
    </row>
    <row r="2245">
      <c r="A2245" s="282" t="str">
        <f>IFERROR(__xludf.DUMMYFUNCTION("""COMPUTED_VALUE"""),"MICRO")</f>
        <v>MICRO</v>
      </c>
      <c r="B2245" s="468" t="str">
        <f>IFERROR(__xludf.DUMMYFUNCTION("""COMPUTED_VALUE"""),"amira.ismail10")</f>
        <v>amira.ismail10</v>
      </c>
      <c r="C2245" s="283" t="str">
        <f>IFERROR(__xludf.DUMMYFUNCTION("""COMPUTED_VALUE"""),"https://www.tiktok.com/@amira.ismail10")</f>
        <v>https://www.tiktok.com/@amira.ismail10</v>
      </c>
      <c r="D2245" s="273">
        <f>IFERROR(__xludf.DUMMYFUNCTION("""COMPUTED_VALUE"""),8.2385067555E10)</f>
        <v>82385067555</v>
      </c>
      <c r="E2245" s="458">
        <f>IFERROR(__xludf.DUMMYFUNCTION("""COMPUTED_VALUE"""),0.0)</f>
        <v>0</v>
      </c>
      <c r="F2245" s="273">
        <f>IFERROR(__xludf.DUMMYFUNCTION("""COMPUTED_VALUE"""),4.0)</f>
        <v>4</v>
      </c>
      <c r="G2245" t="str">
        <f>IFERROR(__xludf.DUMMYFUNCTION("""COMPUTED_VALUE"""),"Sabun batang 1 Box ( 2 PCS )")</f>
        <v>Sabun batang 1 Box ( 2 PCS )</v>
      </c>
      <c r="H2245" s="469"/>
      <c r="I2245" s="470"/>
      <c r="K2245" s="470"/>
      <c r="M2245" s="470"/>
      <c r="O2245" s="470"/>
    </row>
    <row r="2246">
      <c r="A2246" s="282" t="str">
        <f>IFERROR(__xludf.DUMMYFUNCTION("""COMPUTED_VALUE"""),"MICRO")</f>
        <v>MICRO</v>
      </c>
      <c r="B2246" s="468" t="str">
        <f>IFERROR(__xludf.DUMMYFUNCTION("""COMPUTED_VALUE"""),"jesikafj")</f>
        <v>jesikafj</v>
      </c>
      <c r="C2246" s="283" t="str">
        <f>IFERROR(__xludf.DUMMYFUNCTION("""COMPUTED_VALUE"""),"https://www.tiktok.com/@jesikafj")</f>
        <v>https://www.tiktok.com/@jesikafj</v>
      </c>
      <c r="D2246" s="273">
        <f>IFERROR(__xludf.DUMMYFUNCTION("""COMPUTED_VALUE"""),8.2195640039E10)</f>
        <v>82195640039</v>
      </c>
      <c r="E2246" s="458">
        <f>IFERROR(__xludf.DUMMYFUNCTION("""COMPUTED_VALUE"""),0.0)</f>
        <v>0</v>
      </c>
      <c r="F2246" s="273">
        <f>IFERROR(__xludf.DUMMYFUNCTION("""COMPUTED_VALUE"""),4.0)</f>
        <v>4</v>
      </c>
      <c r="G2246" t="str">
        <f>IFERROR(__xludf.DUMMYFUNCTION("""COMPUTED_VALUE"""),"Sabun batang 1 Box ( 2 PCS )")</f>
        <v>Sabun batang 1 Box ( 2 PCS )</v>
      </c>
      <c r="H2246" s="469"/>
      <c r="I2246" s="470"/>
      <c r="K2246" s="470"/>
      <c r="M2246" s="470"/>
      <c r="O2246" s="470"/>
    </row>
    <row r="2247">
      <c r="A2247" s="282" t="str">
        <f>IFERROR(__xludf.DUMMYFUNCTION("""COMPUTED_VALUE"""),"MACRO")</f>
        <v>MACRO</v>
      </c>
      <c r="B2247" s="468" t="str">
        <f>IFERROR(__xludf.DUMMYFUNCTION("""COMPUTED_VALUE"""),"nivia_nurvitasari")</f>
        <v>nivia_nurvitasari</v>
      </c>
      <c r="C2247" s="283" t="str">
        <f>IFERROR(__xludf.DUMMYFUNCTION("""COMPUTED_VALUE"""),"https://www.tiktok.com/@nivia_nurvitasari")</f>
        <v>https://www.tiktok.com/@nivia_nurvitasari</v>
      </c>
      <c r="D2247" s="273">
        <f>IFERROR(__xludf.DUMMYFUNCTION("""COMPUTED_VALUE"""),8.1215228485E10)</f>
        <v>81215228485</v>
      </c>
      <c r="E2247" s="458">
        <f>IFERROR(__xludf.DUMMYFUNCTION("""COMPUTED_VALUE"""),0.0)</f>
        <v>0</v>
      </c>
      <c r="F2247" s="273">
        <f>IFERROR(__xludf.DUMMYFUNCTION("""COMPUTED_VALUE"""),4.0)</f>
        <v>4</v>
      </c>
      <c r="G2247" t="str">
        <f>IFERROR(__xludf.DUMMYFUNCTION("""COMPUTED_VALUE"""),"Sabun batang 1 Box ( 2 PCS )")</f>
        <v>Sabun batang 1 Box ( 2 PCS )</v>
      </c>
      <c r="H2247" s="469"/>
      <c r="I2247" s="470"/>
      <c r="K2247" s="470"/>
      <c r="M2247" s="470"/>
      <c r="O2247" s="470"/>
    </row>
    <row r="2248">
      <c r="A2248" s="282" t="str">
        <f>IFERROR(__xludf.DUMMYFUNCTION("""COMPUTED_VALUE"""),"MICRO")</f>
        <v>MICRO</v>
      </c>
      <c r="B2248" s="468" t="str">
        <f>IFERROR(__xludf.DUMMYFUNCTION("""COMPUTED_VALUE"""),"_noviaprilia30")</f>
        <v>_noviaprilia30</v>
      </c>
      <c r="C2248" s="283" t="str">
        <f>IFERROR(__xludf.DUMMYFUNCTION("""COMPUTED_VALUE"""),"https://www.tiktok.com/@_noviaprilia30")</f>
        <v>https://www.tiktok.com/@_noviaprilia30</v>
      </c>
      <c r="D2248" s="273">
        <f>IFERROR(__xludf.DUMMYFUNCTION("""COMPUTED_VALUE"""),8.221748195E10)</f>
        <v>82217481950</v>
      </c>
      <c r="E2248" s="458">
        <f>IFERROR(__xludf.DUMMYFUNCTION("""COMPUTED_VALUE"""),0.0)</f>
        <v>0</v>
      </c>
      <c r="F2248" s="273">
        <f>IFERROR(__xludf.DUMMYFUNCTION("""COMPUTED_VALUE"""),4.0)</f>
        <v>4</v>
      </c>
      <c r="G2248" t="str">
        <f>IFERROR(__xludf.DUMMYFUNCTION("""COMPUTED_VALUE"""),"Sabun batang 1 Box ( 2 PCS )")</f>
        <v>Sabun batang 1 Box ( 2 PCS )</v>
      </c>
      <c r="H2248" s="469"/>
      <c r="I2248" s="470"/>
      <c r="K2248" s="470"/>
      <c r="M2248" s="470"/>
      <c r="O2248" s="470"/>
    </row>
    <row r="2249">
      <c r="A2249" s="282" t="str">
        <f>IFERROR(__xludf.DUMMYFUNCTION("""COMPUTED_VALUE"""),"MICRO")</f>
        <v>MICRO</v>
      </c>
      <c r="B2249" s="468" t="str">
        <f>IFERROR(__xludf.DUMMYFUNCTION("""COMPUTED_VALUE"""),"aidinftr")</f>
        <v>aidinftr</v>
      </c>
      <c r="C2249" s="283" t="str">
        <f>IFERROR(__xludf.DUMMYFUNCTION("""COMPUTED_VALUE"""),"https://www.tiktok.com/@aidinftr")</f>
        <v>https://www.tiktok.com/@aidinftr</v>
      </c>
      <c r="D2249" s="273">
        <f>IFERROR(__xludf.DUMMYFUNCTION("""COMPUTED_VALUE"""),8.7832918449E10)</f>
        <v>87832918449</v>
      </c>
      <c r="E2249" s="458">
        <f>IFERROR(__xludf.DUMMYFUNCTION("""COMPUTED_VALUE"""),0.0)</f>
        <v>0</v>
      </c>
      <c r="F2249" s="273">
        <f>IFERROR(__xludf.DUMMYFUNCTION("""COMPUTED_VALUE"""),4.0)</f>
        <v>4</v>
      </c>
      <c r="G2249" t="str">
        <f>IFERROR(__xludf.DUMMYFUNCTION("""COMPUTED_VALUE"""),"Sabun batang 1 Box ( 2 PCS )")</f>
        <v>Sabun batang 1 Box ( 2 PCS )</v>
      </c>
      <c r="H2249" s="469"/>
      <c r="I2249" s="470"/>
      <c r="K2249" s="470"/>
      <c r="M2249" s="470"/>
      <c r="O2249" s="470"/>
    </row>
    <row r="2250">
      <c r="A2250" s="282" t="str">
        <f>IFERROR(__xludf.DUMMYFUNCTION("""COMPUTED_VALUE"""),"MICRO")</f>
        <v>MICRO</v>
      </c>
      <c r="B2250" s="468" t="str">
        <f>IFERROR(__xludf.DUMMYFUNCTION("""COMPUTED_VALUE"""),"fifi_agnes123")</f>
        <v>fifi_agnes123</v>
      </c>
      <c r="C2250" s="283" t="str">
        <f>IFERROR(__xludf.DUMMYFUNCTION("""COMPUTED_VALUE"""),"https://www.tiktok.com/@fifi_agnes123")</f>
        <v>https://www.tiktok.com/@fifi_agnes123</v>
      </c>
      <c r="D2250" s="273">
        <f>IFERROR(__xludf.DUMMYFUNCTION("""COMPUTED_VALUE"""),8.9538885742E11)</f>
        <v>895388857420</v>
      </c>
      <c r="E2250" s="458">
        <f>IFERROR(__xludf.DUMMYFUNCTION("""COMPUTED_VALUE"""),0.0)</f>
        <v>0</v>
      </c>
      <c r="F2250" s="273">
        <f>IFERROR(__xludf.DUMMYFUNCTION("""COMPUTED_VALUE"""),4.0)</f>
        <v>4</v>
      </c>
      <c r="G2250" t="str">
        <f>IFERROR(__xludf.DUMMYFUNCTION("""COMPUTED_VALUE"""),"Sabun batang 1 Box ( 2 PCS )")</f>
        <v>Sabun batang 1 Box ( 2 PCS )</v>
      </c>
      <c r="H2250" s="469"/>
      <c r="I2250" s="470"/>
      <c r="K2250" s="470"/>
      <c r="M2250" s="470"/>
      <c r="O2250" s="470"/>
    </row>
    <row r="2251">
      <c r="A2251" s="282" t="str">
        <f>IFERROR(__xludf.DUMMYFUNCTION("""COMPUTED_VALUE"""),"MICRO")</f>
        <v>MICRO</v>
      </c>
      <c r="B2251" s="468" t="str">
        <f>IFERROR(__xludf.DUMMYFUNCTION("""COMPUTED_VALUE"""),"yuli_uslina")</f>
        <v>yuli_uslina</v>
      </c>
      <c r="C2251" s="283" t="str">
        <f>IFERROR(__xludf.DUMMYFUNCTION("""COMPUTED_VALUE"""),"https://www.tiktok.com/@yuli_uslina")</f>
        <v>https://www.tiktok.com/@yuli_uslina</v>
      </c>
      <c r="D2251" s="273">
        <f>IFERROR(__xludf.DUMMYFUNCTION("""COMPUTED_VALUE"""),8.5800370496E10)</f>
        <v>85800370496</v>
      </c>
      <c r="E2251" s="458">
        <f>IFERROR(__xludf.DUMMYFUNCTION("""COMPUTED_VALUE"""),0.0)</f>
        <v>0</v>
      </c>
      <c r="F2251" s="273">
        <f>IFERROR(__xludf.DUMMYFUNCTION("""COMPUTED_VALUE"""),4.0)</f>
        <v>4</v>
      </c>
      <c r="G2251" t="str">
        <f>IFERROR(__xludf.DUMMYFUNCTION("""COMPUTED_VALUE"""),"Sabun batang 1 Box ( 2 PCS )")</f>
        <v>Sabun batang 1 Box ( 2 PCS )</v>
      </c>
      <c r="H2251" s="469"/>
      <c r="I2251" s="470"/>
      <c r="K2251" s="470"/>
      <c r="M2251" s="470"/>
      <c r="O2251" s="470"/>
    </row>
    <row r="2252">
      <c r="A2252" s="282" t="str">
        <f>IFERROR(__xludf.DUMMYFUNCTION("""COMPUTED_VALUE"""),"MICRO")</f>
        <v>MICRO</v>
      </c>
      <c r="B2252" s="468" t="str">
        <f>IFERROR(__xludf.DUMMYFUNCTION("""COMPUTED_VALUE"""),"nabilarizky530")</f>
        <v>nabilarizky530</v>
      </c>
      <c r="C2252" s="283" t="str">
        <f>IFERROR(__xludf.DUMMYFUNCTION("""COMPUTED_VALUE"""),"https://www.tiktok.com/@nabilarizky530")</f>
        <v>https://www.tiktok.com/@nabilarizky530</v>
      </c>
      <c r="D2252" s="273">
        <f>IFERROR(__xludf.DUMMYFUNCTION("""COMPUTED_VALUE"""),8.1617264412E10)</f>
        <v>81617264412</v>
      </c>
      <c r="E2252" s="458">
        <f>IFERROR(__xludf.DUMMYFUNCTION("""COMPUTED_VALUE"""),0.0)</f>
        <v>0</v>
      </c>
      <c r="F2252" s="273">
        <f>IFERROR(__xludf.DUMMYFUNCTION("""COMPUTED_VALUE"""),4.0)</f>
        <v>4</v>
      </c>
      <c r="G2252" t="str">
        <f>IFERROR(__xludf.DUMMYFUNCTION("""COMPUTED_VALUE"""),"Sabun batang 1 Box ( 2 PCS )")</f>
        <v>Sabun batang 1 Box ( 2 PCS )</v>
      </c>
      <c r="H2252" s="469"/>
      <c r="I2252" s="470"/>
      <c r="K2252" s="470"/>
      <c r="M2252" s="470"/>
      <c r="O2252" s="470"/>
    </row>
    <row r="2253">
      <c r="A2253" s="282" t="str">
        <f>IFERROR(__xludf.DUMMYFUNCTION("""COMPUTED_VALUE"""),"MACRO")</f>
        <v>MACRO</v>
      </c>
      <c r="B2253" s="468" t="str">
        <f>IFERROR(__xludf.DUMMYFUNCTION("""COMPUTED_VALUE"""),"kakdeesiregar")</f>
        <v>kakdeesiregar</v>
      </c>
      <c r="C2253" s="283" t="str">
        <f>IFERROR(__xludf.DUMMYFUNCTION("""COMPUTED_VALUE"""),"https://www.tiktok.com/@kakdeesiregar")</f>
        <v>https://www.tiktok.com/@kakdeesiregar</v>
      </c>
      <c r="D2253" s="273">
        <f>IFERROR(__xludf.DUMMYFUNCTION("""COMPUTED_VALUE"""),8.5695313274E10)</f>
        <v>85695313274</v>
      </c>
      <c r="E2253" s="458">
        <f>IFERROR(__xludf.DUMMYFUNCTION("""COMPUTED_VALUE"""),0.0)</f>
        <v>0</v>
      </c>
      <c r="F2253" s="273">
        <f>IFERROR(__xludf.DUMMYFUNCTION("""COMPUTED_VALUE"""),3.0)</f>
        <v>3</v>
      </c>
      <c r="G2253" t="str">
        <f>IFERROR(__xludf.DUMMYFUNCTION("""COMPUTED_VALUE"""),"Sabun batang 1 Box ( 2 PCS )")</f>
        <v>Sabun batang 1 Box ( 2 PCS )</v>
      </c>
      <c r="H2253" s="469"/>
      <c r="I2253" s="470"/>
      <c r="K2253" s="470"/>
      <c r="M2253" s="470"/>
      <c r="O2253" s="470"/>
    </row>
    <row r="2254">
      <c r="A2254" s="282" t="str">
        <f>IFERROR(__xludf.DUMMYFUNCTION("""COMPUTED_VALUE"""),"MICRO")</f>
        <v>MICRO</v>
      </c>
      <c r="B2254" s="468" t="str">
        <f>IFERROR(__xludf.DUMMYFUNCTION("""COMPUTED_VALUE"""),"ibenkcz ")</f>
        <v>ibenkcz </v>
      </c>
      <c r="C2254" s="283" t="str">
        <f>IFERROR(__xludf.DUMMYFUNCTION("""COMPUTED_VALUE"""),"https://www.tiktok.com/@ibenkcz ")</f>
        <v>https://www.tiktok.com/@ibenkcz </v>
      </c>
      <c r="D2254" s="273">
        <f>IFERROR(__xludf.DUMMYFUNCTION("""COMPUTED_VALUE"""),8.9513517239E10)</f>
        <v>89513517239</v>
      </c>
      <c r="E2254" s="458">
        <f>IFERROR(__xludf.DUMMYFUNCTION("""COMPUTED_VALUE"""),0.0)</f>
        <v>0</v>
      </c>
      <c r="F2254" s="273">
        <f>IFERROR(__xludf.DUMMYFUNCTION("""COMPUTED_VALUE"""),4.0)</f>
        <v>4</v>
      </c>
      <c r="G2254" t="str">
        <f>IFERROR(__xludf.DUMMYFUNCTION("""COMPUTED_VALUE"""),"Sabun batang 1 Box ( 2 PCS )")</f>
        <v>Sabun batang 1 Box ( 2 PCS )</v>
      </c>
      <c r="H2254" s="469"/>
      <c r="I2254" s="470"/>
      <c r="K2254" s="470"/>
      <c r="M2254" s="470"/>
      <c r="O2254" s="470"/>
    </row>
    <row r="2255">
      <c r="A2255" s="282" t="str">
        <f>IFERROR(__xludf.DUMMYFUNCTION("""COMPUTED_VALUE"""),"MICRO")</f>
        <v>MICRO</v>
      </c>
      <c r="B2255" s="468" t="str">
        <f>IFERROR(__xludf.DUMMYFUNCTION("""COMPUTED_VALUE"""),"echialifha1808")</f>
        <v>echialifha1808</v>
      </c>
      <c r="C2255" s="283" t="str">
        <f>IFERROR(__xludf.DUMMYFUNCTION("""COMPUTED_VALUE"""),"https://www.tiktok.com/@echialifha1808")</f>
        <v>https://www.tiktok.com/@echialifha1808</v>
      </c>
      <c r="D2255" s="273">
        <f>IFERROR(__xludf.DUMMYFUNCTION("""COMPUTED_VALUE"""),8.9691335911E10)</f>
        <v>89691335911</v>
      </c>
      <c r="E2255" s="458">
        <f>IFERROR(__xludf.DUMMYFUNCTION("""COMPUTED_VALUE"""),0.0)</f>
        <v>0</v>
      </c>
      <c r="F2255" s="273">
        <f>IFERROR(__xludf.DUMMYFUNCTION("""COMPUTED_VALUE"""),4.0)</f>
        <v>4</v>
      </c>
      <c r="G2255" t="str">
        <f>IFERROR(__xludf.DUMMYFUNCTION("""COMPUTED_VALUE"""),"Sabun batang 1 Box ( 2 PCS )")</f>
        <v>Sabun batang 1 Box ( 2 PCS )</v>
      </c>
      <c r="H2255" s="469"/>
      <c r="I2255" s="470"/>
      <c r="K2255" s="470"/>
      <c r="M2255" s="470"/>
      <c r="O2255" s="470"/>
    </row>
    <row r="2256">
      <c r="A2256" s="282" t="str">
        <f>IFERROR(__xludf.DUMMYFUNCTION("""COMPUTED_VALUE"""),"MICRO")</f>
        <v>MICRO</v>
      </c>
      <c r="B2256" s="468" t="str">
        <f>IFERROR(__xludf.DUMMYFUNCTION("""COMPUTED_VALUE"""),"dillaaa_21")</f>
        <v>dillaaa_21</v>
      </c>
      <c r="C2256" s="283" t="str">
        <f>IFERROR(__xludf.DUMMYFUNCTION("""COMPUTED_VALUE"""),"https://www.tiktok.com/@dillaaa_21")</f>
        <v>https://www.tiktok.com/@dillaaa_21</v>
      </c>
      <c r="D2256" s="273">
        <f>IFERROR(__xludf.DUMMYFUNCTION("""COMPUTED_VALUE"""),8.2280310303E10)</f>
        <v>82280310303</v>
      </c>
      <c r="E2256" s="458">
        <f>IFERROR(__xludf.DUMMYFUNCTION("""COMPUTED_VALUE"""),0.0)</f>
        <v>0</v>
      </c>
      <c r="F2256" s="273">
        <f>IFERROR(__xludf.DUMMYFUNCTION("""COMPUTED_VALUE"""),4.0)</f>
        <v>4</v>
      </c>
      <c r="G2256" t="str">
        <f>IFERROR(__xludf.DUMMYFUNCTION("""COMPUTED_VALUE"""),"Sabun batang 1 Box ( 2 PCS )")</f>
        <v>Sabun batang 1 Box ( 2 PCS )</v>
      </c>
      <c r="H2256" s="469"/>
      <c r="I2256" s="470"/>
      <c r="K2256" s="470"/>
      <c r="M2256" s="470"/>
      <c r="O2256" s="470"/>
    </row>
    <row r="2257">
      <c r="A2257" s="282" t="str">
        <f>IFERROR(__xludf.DUMMYFUNCTION("""COMPUTED_VALUE"""),"MICRO")</f>
        <v>MICRO</v>
      </c>
      <c r="B2257" s="468" t="str">
        <f>IFERROR(__xludf.DUMMYFUNCTION("""COMPUTED_VALUE"""),"anggun.chelsy")</f>
        <v>anggun.chelsy</v>
      </c>
      <c r="C2257" s="283" t="str">
        <f>IFERROR(__xludf.DUMMYFUNCTION("""COMPUTED_VALUE"""),"https://www.tiktok.com/@anggun.chelsy")</f>
        <v>https://www.tiktok.com/@anggun.chelsy</v>
      </c>
      <c r="D2257" s="273">
        <f>IFERROR(__xludf.DUMMYFUNCTION("""COMPUTED_VALUE"""),8.5767069477E10)</f>
        <v>85767069477</v>
      </c>
      <c r="E2257" s="458">
        <f>IFERROR(__xludf.DUMMYFUNCTION("""COMPUTED_VALUE"""),0.0)</f>
        <v>0</v>
      </c>
      <c r="F2257" s="273">
        <f>IFERROR(__xludf.DUMMYFUNCTION("""COMPUTED_VALUE"""),4.0)</f>
        <v>4</v>
      </c>
      <c r="G2257" t="str">
        <f>IFERROR(__xludf.DUMMYFUNCTION("""COMPUTED_VALUE"""),"Sabun batang 1 Box ( 2 PCS )")</f>
        <v>Sabun batang 1 Box ( 2 PCS )</v>
      </c>
      <c r="H2257" s="469"/>
      <c r="I2257" s="470"/>
      <c r="K2257" s="470"/>
      <c r="M2257" s="470"/>
      <c r="O2257" s="470"/>
    </row>
    <row r="2258">
      <c r="A2258" s="282" t="str">
        <f>IFERROR(__xludf.DUMMYFUNCTION("""COMPUTED_VALUE"""),"MICRO")</f>
        <v>MICRO</v>
      </c>
      <c r="B2258" s="468" t="str">
        <f>IFERROR(__xludf.DUMMYFUNCTION("""COMPUTED_VALUE"""),"fiqri_ar")</f>
        <v>fiqri_ar</v>
      </c>
      <c r="C2258" s="283" t="str">
        <f>IFERROR(__xludf.DUMMYFUNCTION("""COMPUTED_VALUE"""),"https://www.tiktok.com/@fiqri_ar")</f>
        <v>https://www.tiktok.com/@fiqri_ar</v>
      </c>
      <c r="D2258" s="273">
        <f>IFERROR(__xludf.DUMMYFUNCTION("""COMPUTED_VALUE"""),8.1294346563E10)</f>
        <v>81294346563</v>
      </c>
      <c r="E2258" s="458">
        <f>IFERROR(__xludf.DUMMYFUNCTION("""COMPUTED_VALUE"""),0.0)</f>
        <v>0</v>
      </c>
      <c r="F2258" s="273">
        <f>IFERROR(__xludf.DUMMYFUNCTION("""COMPUTED_VALUE"""),4.0)</f>
        <v>4</v>
      </c>
      <c r="G2258" t="str">
        <f>IFERROR(__xludf.DUMMYFUNCTION("""COMPUTED_VALUE"""),"Sabun batang 1 Box ( 2 PCS )")</f>
        <v>Sabun batang 1 Box ( 2 PCS )</v>
      </c>
      <c r="H2258" s="469"/>
      <c r="I2258" s="470"/>
      <c r="K2258" s="470"/>
      <c r="M2258" s="470"/>
      <c r="O2258" s="470"/>
    </row>
    <row r="2259">
      <c r="A2259" s="282" t="str">
        <f>IFERROR(__xludf.DUMMYFUNCTION("""COMPUTED_VALUE"""),"MICRO")</f>
        <v>MICRO</v>
      </c>
      <c r="B2259" s="468" t="str">
        <f>IFERROR(__xludf.DUMMYFUNCTION("""COMPUTED_VALUE"""),"risqianao")</f>
        <v>risqianao</v>
      </c>
      <c r="C2259" s="283" t="str">
        <f>IFERROR(__xludf.DUMMYFUNCTION("""COMPUTED_VALUE"""),"https://www.tiktok.com/@risqianao")</f>
        <v>https://www.tiktok.com/@risqianao</v>
      </c>
      <c r="D2259" s="273">
        <f>IFERROR(__xludf.DUMMYFUNCTION("""COMPUTED_VALUE"""),8.5894206605E10)</f>
        <v>85894206605</v>
      </c>
      <c r="E2259" s="458">
        <f>IFERROR(__xludf.DUMMYFUNCTION("""COMPUTED_VALUE"""),0.0)</f>
        <v>0</v>
      </c>
      <c r="F2259" s="273">
        <f>IFERROR(__xludf.DUMMYFUNCTION("""COMPUTED_VALUE"""),4.0)</f>
        <v>4</v>
      </c>
      <c r="G2259" t="str">
        <f>IFERROR(__xludf.DUMMYFUNCTION("""COMPUTED_VALUE"""),"Sabun batang 1 Box ( 2 PCS )")</f>
        <v>Sabun batang 1 Box ( 2 PCS )</v>
      </c>
      <c r="H2259" s="469"/>
      <c r="I2259" s="470"/>
      <c r="K2259" s="470"/>
      <c r="M2259" s="470"/>
      <c r="O2259" s="470"/>
    </row>
    <row r="2260">
      <c r="A2260" s="282" t="str">
        <f>IFERROR(__xludf.DUMMYFUNCTION("""COMPUTED_VALUE"""),"MICRO")</f>
        <v>MICRO</v>
      </c>
      <c r="B2260" s="468" t="str">
        <f>IFERROR(__xludf.DUMMYFUNCTION("""COMPUTED_VALUE"""),"rian_riaaan")</f>
        <v>rian_riaaan</v>
      </c>
      <c r="C2260" s="283" t="str">
        <f>IFERROR(__xludf.DUMMYFUNCTION("""COMPUTED_VALUE"""),"https://www.tiktok.com/@rian_riaaan")</f>
        <v>https://www.tiktok.com/@rian_riaaan</v>
      </c>
      <c r="D2260" s="273">
        <f>IFERROR(__xludf.DUMMYFUNCTION("""COMPUTED_VALUE"""),8.2256735709E10)</f>
        <v>82256735709</v>
      </c>
      <c r="E2260" s="458">
        <f>IFERROR(__xludf.DUMMYFUNCTION("""COMPUTED_VALUE"""),0.0)</f>
        <v>0</v>
      </c>
      <c r="F2260" s="273">
        <f>IFERROR(__xludf.DUMMYFUNCTION("""COMPUTED_VALUE"""),4.0)</f>
        <v>4</v>
      </c>
      <c r="G2260" t="str">
        <f>IFERROR(__xludf.DUMMYFUNCTION("""COMPUTED_VALUE"""),"Sabun batang 1 Box ( 2 PCS )")</f>
        <v>Sabun batang 1 Box ( 2 PCS )</v>
      </c>
      <c r="H2260" s="469"/>
      <c r="I2260" s="470"/>
      <c r="K2260" s="470"/>
      <c r="M2260" s="470"/>
      <c r="O2260" s="470"/>
    </row>
    <row r="2261">
      <c r="A2261" s="282" t="str">
        <f>IFERROR(__xludf.DUMMYFUNCTION("""COMPUTED_VALUE"""),"MICRO")</f>
        <v>MICRO</v>
      </c>
      <c r="B2261" s="468" t="str">
        <f>IFERROR(__xludf.DUMMYFUNCTION("""COMPUTED_VALUE"""),"anto.aby")</f>
        <v>anto.aby</v>
      </c>
      <c r="C2261" s="283" t="str">
        <f>IFERROR(__xludf.DUMMYFUNCTION("""COMPUTED_VALUE"""),"https://www.tiktok.com/@anto.aby")</f>
        <v>https://www.tiktok.com/@anto.aby</v>
      </c>
      <c r="D2261" s="273">
        <f>IFERROR(__xludf.DUMMYFUNCTION("""COMPUTED_VALUE"""),8.124608559E10)</f>
        <v>81246085590</v>
      </c>
      <c r="E2261" s="458">
        <f>IFERROR(__xludf.DUMMYFUNCTION("""COMPUTED_VALUE"""),0.0)</f>
        <v>0</v>
      </c>
      <c r="F2261" s="273">
        <f>IFERROR(__xludf.DUMMYFUNCTION("""COMPUTED_VALUE"""),4.0)</f>
        <v>4</v>
      </c>
      <c r="G2261" t="str">
        <f>IFERROR(__xludf.DUMMYFUNCTION("""COMPUTED_VALUE"""),"Sabun batang 1 Box ( 2 PCS )")</f>
        <v>Sabun batang 1 Box ( 2 PCS )</v>
      </c>
      <c r="H2261" s="469"/>
      <c r="I2261" s="470"/>
      <c r="K2261" s="470"/>
      <c r="M2261" s="470"/>
      <c r="O2261" s="470"/>
    </row>
    <row r="2262">
      <c r="A2262" s="282" t="str">
        <f>IFERROR(__xludf.DUMMYFUNCTION("""COMPUTED_VALUE"""),"MICRO")</f>
        <v>MICRO</v>
      </c>
      <c r="B2262" s="468" t="str">
        <f>IFERROR(__xludf.DUMMYFUNCTION("""COMPUTED_VALUE"""),"melilii__")</f>
        <v>melilii__</v>
      </c>
      <c r="C2262" s="283" t="str">
        <f>IFERROR(__xludf.DUMMYFUNCTION("""COMPUTED_VALUE"""),"https://www.tiktok.com/@melilii__")</f>
        <v>https://www.tiktok.com/@melilii__</v>
      </c>
      <c r="D2262" s="273">
        <f>IFERROR(__xludf.DUMMYFUNCTION("""COMPUTED_VALUE"""),8.9617743355E10)</f>
        <v>89617743355</v>
      </c>
      <c r="E2262" s="458">
        <f>IFERROR(__xludf.DUMMYFUNCTION("""COMPUTED_VALUE"""),0.0)</f>
        <v>0</v>
      </c>
      <c r="F2262" s="273">
        <f>IFERROR(__xludf.DUMMYFUNCTION("""COMPUTED_VALUE"""),4.0)</f>
        <v>4</v>
      </c>
      <c r="G2262" t="str">
        <f>IFERROR(__xludf.DUMMYFUNCTION("""COMPUTED_VALUE"""),"Sabun batang 1 Box ( 2 PCS )")</f>
        <v>Sabun batang 1 Box ( 2 PCS )</v>
      </c>
      <c r="H2262" s="469"/>
      <c r="I2262" s="470"/>
      <c r="K2262" s="470"/>
      <c r="M2262" s="470"/>
      <c r="O2262" s="470"/>
    </row>
    <row r="2263">
      <c r="A2263" s="282" t="str">
        <f>IFERROR(__xludf.DUMMYFUNCTION("""COMPUTED_VALUE"""),"MICRO")</f>
        <v>MICRO</v>
      </c>
      <c r="B2263" s="468" t="str">
        <f>IFERROR(__xludf.DUMMYFUNCTION("""COMPUTED_VALUE"""),"niakurniawati.3")</f>
        <v>niakurniawati.3</v>
      </c>
      <c r="C2263" s="283" t="str">
        <f>IFERROR(__xludf.DUMMYFUNCTION("""COMPUTED_VALUE"""),"https://www.tiktok.com/@niakurniawati.3")</f>
        <v>https://www.tiktok.com/@niakurniawati.3</v>
      </c>
      <c r="D2263" s="273"/>
      <c r="E2263" s="458">
        <f>IFERROR(__xludf.DUMMYFUNCTION("""COMPUTED_VALUE"""),0.0)</f>
        <v>0</v>
      </c>
      <c r="F2263" s="273">
        <f>IFERROR(__xludf.DUMMYFUNCTION("""COMPUTED_VALUE"""),4.0)</f>
        <v>4</v>
      </c>
      <c r="G2263" t="str">
        <f>IFERROR(__xludf.DUMMYFUNCTION("""COMPUTED_VALUE"""),"Sabun batang 1 Box ( 2 PCS )")</f>
        <v>Sabun batang 1 Box ( 2 PCS )</v>
      </c>
      <c r="H2263" s="469"/>
      <c r="I2263" s="470"/>
      <c r="J2263" s="471" t="str">
        <f>IFERROR(__xludf.DUMMYFUNCTION("""COMPUTED_VALUE"""),"https://www.tiktok.com/@niakurniawati.3/video/7631824259454717204?_r=1&amp;u_code=da349hj9hc6056&amp;region=&amp;mid=7541306321234070289&amp;preview_pb=0&amp;sharer_language=&amp;_d=0&amp;ec_shared_reflux_dynamic_params=%7B%22placeholder_material_id%22%3A%227631824259454717204%22%2C"&amp;"%22placeholder_origin_cover%22%3A%22https%253A%252F%252Fp16-common-sign.tiktokcdn.com%252Ftos-alisg-p-0037%252Fo4f6cQyQDRs5aBrWgEf8AiAwTF1napBE1mSR8p~tplv-tiktokx-origin.jpeg%253Fdr%253D14572%2526refresh_token%253D606d3e6f%2526x-expires%253D1810116000%252"&amp;"6x-signature%253DZzQyIZUqi1s39mDL4V8%25252FNWmY%25252Bt8%25253D%2526t%253D4d5b0474%2526ps%253D13740610%2526shp%253Dd05b14bd%2526shcp%253D34ff8df6%2526idc%253Dmy2%2526s%253DTIKTOK_AFFILIATE_VIRAL_VIDEO%22%2C%22placeholder_product_id%22%3A%22172942776672272"&amp;"6591%22%2C%22placeholder_video_id%22%3A%227631824259454717204%22%7D&amp;ec_shared_reflux_scene=shop_tab_feed&amp;share_item_id=7631824259454717204&amp;source=h5_t")</f>
        <v>https://www.tiktok.com/@niakurniawati.3/video/7631824259454717204?_r=1&amp;u_code=da349hj9hc6056&amp;region=&amp;mid=7541306321234070289&amp;preview_pb=0&amp;sharer_language=&amp;_d=0&amp;ec_shared_reflux_dynamic_params=%7B%22placeholder_material_id%22%3A%227631824259454717204%22%2C%22placeholder_origin_cover%22%3A%22https%253A%252F%252Fp16-common-sign.tiktokcdn.com%252Ftos-alisg-p-0037%252Fo4f6cQyQDRs5aBrWgEf8AiAwTF1napBE1mSR8p~tplv-tiktokx-origin.jpeg%253Fdr%253D14572%2526refresh_token%253D606d3e6f%2526x-expires%253D1810116000%2526x-signature%253DZzQyIZUqi1s39mDL4V8%25252FNWmY%25252Bt8%25253D%2526t%253D4d5b0474%2526ps%253D13740610%2526shp%253Dd05b14bd%2526shcp%253D34ff8df6%2526idc%253Dmy2%2526s%253DTIKTOK_AFFILIATE_VIRAL_VIDEO%22%2C%22placeholder_product_id%22%3A%221729427766722726591%22%2C%22placeholder_video_id%22%3A%227631824259454717204%22%7D&amp;ec_shared_reflux_scene=shop_tab_feed&amp;share_item_id=7631824259454717204&amp;source=h5_t</v>
      </c>
      <c r="K2263" s="470"/>
      <c r="M2263" s="470"/>
      <c r="O2263" s="470"/>
    </row>
    <row r="2264">
      <c r="A2264" s="282" t="str">
        <f>IFERROR(__xludf.DUMMYFUNCTION("""COMPUTED_VALUE"""),"MICRO")</f>
        <v>MICRO</v>
      </c>
      <c r="B2264" s="468" t="str">
        <f>IFERROR(__xludf.DUMMYFUNCTION("""COMPUTED_VALUE"""),"ernieqeu")</f>
        <v>ernieqeu</v>
      </c>
      <c r="C2264" s="283" t="str">
        <f>IFERROR(__xludf.DUMMYFUNCTION("""COMPUTED_VALUE"""),"https://www.tiktok.com/@ernieqeu")</f>
        <v>https://www.tiktok.com/@ernieqeu</v>
      </c>
      <c r="D2264" s="273">
        <f>IFERROR(__xludf.DUMMYFUNCTION("""COMPUTED_VALUE"""),8.1221922995E10)</f>
        <v>81221922995</v>
      </c>
      <c r="E2264" s="458">
        <f>IFERROR(__xludf.DUMMYFUNCTION("""COMPUTED_VALUE"""),0.0)</f>
        <v>0</v>
      </c>
      <c r="F2264" s="273">
        <f>IFERROR(__xludf.DUMMYFUNCTION("""COMPUTED_VALUE"""),4.0)</f>
        <v>4</v>
      </c>
      <c r="G2264" t="str">
        <f>IFERROR(__xludf.DUMMYFUNCTION("""COMPUTED_VALUE"""),"Sabun batang 1 Box ( 2 PCS )")</f>
        <v>Sabun batang 1 Box ( 2 PCS )</v>
      </c>
      <c r="H2264" s="469"/>
      <c r="I2264" s="470"/>
      <c r="K2264" s="470"/>
      <c r="M2264" s="470"/>
      <c r="O2264" s="470"/>
    </row>
    <row r="2265">
      <c r="A2265" s="282" t="str">
        <f>IFERROR(__xludf.DUMMYFUNCTION("""COMPUTED_VALUE"""),"MICRO")</f>
        <v>MICRO</v>
      </c>
      <c r="B2265" s="468" t="str">
        <f>IFERROR(__xludf.DUMMYFUNCTION("""COMPUTED_VALUE"""),"endang.trisna")</f>
        <v>endang.trisna</v>
      </c>
      <c r="C2265" s="283" t="str">
        <f>IFERROR(__xludf.DUMMYFUNCTION("""COMPUTED_VALUE"""),"https://www.tiktok.com/@endang.trisna")</f>
        <v>https://www.tiktok.com/@endang.trisna</v>
      </c>
      <c r="D2265" s="273">
        <f>IFERROR(__xludf.DUMMYFUNCTION("""COMPUTED_VALUE"""),8.8712808078E10)</f>
        <v>88712808078</v>
      </c>
      <c r="E2265" s="458">
        <f>IFERROR(__xludf.DUMMYFUNCTION("""COMPUTED_VALUE"""),0.0)</f>
        <v>0</v>
      </c>
      <c r="F2265" s="273">
        <f>IFERROR(__xludf.DUMMYFUNCTION("""COMPUTED_VALUE"""),4.0)</f>
        <v>4</v>
      </c>
      <c r="G2265" t="str">
        <f>IFERROR(__xludf.DUMMYFUNCTION("""COMPUTED_VALUE"""),"Sabun batang 1 Box ( 2 PCS )")</f>
        <v>Sabun batang 1 Box ( 2 PCS )</v>
      </c>
      <c r="H2265" s="469"/>
      <c r="I2265" s="470"/>
      <c r="K2265" s="470"/>
      <c r="M2265" s="470"/>
      <c r="O2265" s="470"/>
    </row>
    <row r="2266">
      <c r="A2266" s="282" t="str">
        <f>IFERROR(__xludf.DUMMYFUNCTION("""COMPUTED_VALUE"""),"MICRO")</f>
        <v>MICRO</v>
      </c>
      <c r="B2266" s="468" t="str">
        <f>IFERROR(__xludf.DUMMYFUNCTION("""COMPUTED_VALUE"""),"naraizth")</f>
        <v>naraizth</v>
      </c>
      <c r="C2266" s="283" t="str">
        <f>IFERROR(__xludf.DUMMYFUNCTION("""COMPUTED_VALUE"""),"https://www.tiktok.com/@naraizth")</f>
        <v>https://www.tiktok.com/@naraizth</v>
      </c>
      <c r="D2266" s="273">
        <f>IFERROR(__xludf.DUMMYFUNCTION("""COMPUTED_VALUE"""),8.121736167E9)</f>
        <v>8121736167</v>
      </c>
      <c r="E2266" s="458">
        <f>IFERROR(__xludf.DUMMYFUNCTION("""COMPUTED_VALUE"""),0.0)</f>
        <v>0</v>
      </c>
      <c r="F2266" s="273">
        <f>IFERROR(__xludf.DUMMYFUNCTION("""COMPUTED_VALUE"""),1.0)</f>
        <v>1</v>
      </c>
      <c r="G2266" t="str">
        <f>IFERROR(__xludf.DUMMYFUNCTION("""COMPUTED_VALUE"""),"Sabun batang 1 Box ( 2 PCS )")</f>
        <v>Sabun batang 1 Box ( 2 PCS )</v>
      </c>
      <c r="H2266" s="469"/>
      <c r="I2266" s="470"/>
      <c r="K2266" s="470"/>
      <c r="M2266" s="470"/>
      <c r="O2266" s="470"/>
    </row>
    <row r="2267">
      <c r="A2267" s="282" t="str">
        <f>IFERROR(__xludf.DUMMYFUNCTION("""COMPUTED_VALUE"""),"MICRO")</f>
        <v>MICRO</v>
      </c>
      <c r="B2267" s="468" t="str">
        <f>IFERROR(__xludf.DUMMYFUNCTION("""COMPUTED_VALUE"""),"pamellanadira")</f>
        <v>pamellanadira</v>
      </c>
      <c r="C2267" s="283" t="str">
        <f>IFERROR(__xludf.DUMMYFUNCTION("""COMPUTED_VALUE"""),"https://www.tiktok.com/@pamellanadira")</f>
        <v>https://www.tiktok.com/@pamellanadira</v>
      </c>
      <c r="D2267" s="273">
        <f>IFERROR(__xludf.DUMMYFUNCTION("""COMPUTED_VALUE"""),8.1905506626E10)</f>
        <v>81905506626</v>
      </c>
      <c r="E2267" s="458">
        <f>IFERROR(__xludf.DUMMYFUNCTION("""COMPUTED_VALUE"""),0.0)</f>
        <v>0</v>
      </c>
      <c r="F2267" s="273">
        <f>IFERROR(__xludf.DUMMYFUNCTION("""COMPUTED_VALUE"""),4.0)</f>
        <v>4</v>
      </c>
      <c r="G2267" t="str">
        <f>IFERROR(__xludf.DUMMYFUNCTION("""COMPUTED_VALUE"""),"Sabun batang 1 Box ( 2 PCS )")</f>
        <v>Sabun batang 1 Box ( 2 PCS )</v>
      </c>
      <c r="H2267" s="469"/>
      <c r="I2267" s="470"/>
      <c r="K2267" s="470"/>
      <c r="M2267" s="470"/>
      <c r="O2267" s="470"/>
    </row>
    <row r="2268">
      <c r="A2268" s="282" t="str">
        <f>IFERROR(__xludf.DUMMYFUNCTION("""COMPUTED_VALUE"""),"MICRO")</f>
        <v>MICRO</v>
      </c>
      <c r="B2268" s="468" t="str">
        <f>IFERROR(__xludf.DUMMYFUNCTION("""COMPUTED_VALUE"""),"dididisny")</f>
        <v>dididisny</v>
      </c>
      <c r="C2268" s="283" t="str">
        <f>IFERROR(__xludf.DUMMYFUNCTION("""COMPUTED_VALUE"""),"https://www.tiktok.com/@dididisny")</f>
        <v>https://www.tiktok.com/@dididisny</v>
      </c>
      <c r="D2268" s="273">
        <f>IFERROR(__xludf.DUMMYFUNCTION("""COMPUTED_VALUE"""),8.1377938044E10)</f>
        <v>81377938044</v>
      </c>
      <c r="E2268" s="458">
        <f>IFERROR(__xludf.DUMMYFUNCTION("""COMPUTED_VALUE"""),0.0)</f>
        <v>0</v>
      </c>
      <c r="F2268" s="273">
        <f>IFERROR(__xludf.DUMMYFUNCTION("""COMPUTED_VALUE"""),4.0)</f>
        <v>4</v>
      </c>
      <c r="G2268" t="str">
        <f>IFERROR(__xludf.DUMMYFUNCTION("""COMPUTED_VALUE"""),"Sabun batang 1 Box ( 2 PCS )")</f>
        <v>Sabun batang 1 Box ( 2 PCS )</v>
      </c>
      <c r="H2268" s="469"/>
      <c r="I2268" s="470"/>
      <c r="K2268" s="470"/>
      <c r="M2268" s="470"/>
      <c r="O2268" s="470"/>
    </row>
    <row r="2269">
      <c r="A2269" s="282" t="str">
        <f>IFERROR(__xludf.DUMMYFUNCTION("""COMPUTED_VALUE"""),"MICRO")</f>
        <v>MICRO</v>
      </c>
      <c r="B2269" s="468" t="str">
        <f>IFERROR(__xludf.DUMMYFUNCTION("""COMPUTED_VALUE"""),"nnnaa444_")</f>
        <v>nnnaa444_</v>
      </c>
      <c r="C2269" s="283" t="str">
        <f>IFERROR(__xludf.DUMMYFUNCTION("""COMPUTED_VALUE"""),"https://www.tiktok.com/@nnnaa444_")</f>
        <v>https://www.tiktok.com/@nnnaa444_</v>
      </c>
      <c r="D2269" s="273">
        <f>IFERROR(__xludf.DUMMYFUNCTION("""COMPUTED_VALUE"""),8.812259136E9)</f>
        <v>8812259136</v>
      </c>
      <c r="E2269" s="458">
        <f>IFERROR(__xludf.DUMMYFUNCTION("""COMPUTED_VALUE"""),0.0)</f>
        <v>0</v>
      </c>
      <c r="F2269" s="273">
        <f>IFERROR(__xludf.DUMMYFUNCTION("""COMPUTED_VALUE"""),4.0)</f>
        <v>4</v>
      </c>
      <c r="G2269" t="str">
        <f>IFERROR(__xludf.DUMMYFUNCTION("""COMPUTED_VALUE"""),"Sabun batang 1 Box ( 2 PCS )")</f>
        <v>Sabun batang 1 Box ( 2 PCS )</v>
      </c>
      <c r="H2269" s="469"/>
      <c r="I2269" s="470"/>
      <c r="K2269" s="470"/>
      <c r="M2269" s="470"/>
      <c r="O2269" s="470"/>
    </row>
    <row r="2270">
      <c r="A2270" s="282" t="str">
        <f>IFERROR(__xludf.DUMMYFUNCTION("""COMPUTED_VALUE"""),"MICRO")</f>
        <v>MICRO</v>
      </c>
      <c r="B2270" s="468" t="str">
        <f>IFERROR(__xludf.DUMMYFUNCTION("""COMPUTED_VALUE"""),"igeeerv")</f>
        <v>igeeerv</v>
      </c>
      <c r="C2270" s="283" t="str">
        <f>IFERROR(__xludf.DUMMYFUNCTION("""COMPUTED_VALUE"""),"https://www.tiktok.com/@igeeerv")</f>
        <v>https://www.tiktok.com/@igeeerv</v>
      </c>
      <c r="D2270" s="273">
        <f>IFERROR(__xludf.DUMMYFUNCTION("""COMPUTED_VALUE"""),8.8270836703E10)</f>
        <v>88270836703</v>
      </c>
      <c r="E2270" s="458"/>
      <c r="F2270" s="273">
        <f>IFERROR(__xludf.DUMMYFUNCTION("""COMPUTED_VALUE"""),1.0)</f>
        <v>1</v>
      </c>
      <c r="G2270" t="str">
        <f>IFERROR(__xludf.DUMMYFUNCTION("""COMPUTED_VALUE"""),"Sabun batang 1 Box ( 2 PCS )")</f>
        <v>Sabun batang 1 Box ( 2 PCS )</v>
      </c>
      <c r="H2270" s="469"/>
      <c r="I2270" s="470"/>
      <c r="K2270" s="470"/>
      <c r="M2270" s="470"/>
      <c r="O2270" s="470"/>
    </row>
    <row r="2271">
      <c r="A2271" s="282" t="str">
        <f>IFERROR(__xludf.DUMMYFUNCTION("""COMPUTED_VALUE"""),"MICRO")</f>
        <v>MICRO</v>
      </c>
      <c r="B2271" s="468" t="str">
        <f>IFERROR(__xludf.DUMMYFUNCTION("""COMPUTED_VALUE"""),".racchelle")</f>
        <v>.racchelle</v>
      </c>
      <c r="C2271" s="283" t="str">
        <f>IFERROR(__xludf.DUMMYFUNCTION("""COMPUTED_VALUE"""),"https://www.tiktok.com/@.racchelle")</f>
        <v>https://www.tiktok.com/@.racchelle</v>
      </c>
      <c r="D2271" s="273">
        <f>IFERROR(__xludf.DUMMYFUNCTION("""COMPUTED_VALUE"""),8.8212328103E10)</f>
        <v>88212328103</v>
      </c>
      <c r="E2271" s="458"/>
      <c r="F2271" s="273">
        <f>IFERROR(__xludf.DUMMYFUNCTION("""COMPUTED_VALUE"""),4.0)</f>
        <v>4</v>
      </c>
      <c r="G2271" t="str">
        <f>IFERROR(__xludf.DUMMYFUNCTION("""COMPUTED_VALUE"""),"Sabun batang 1 Box ( 2 PCS )")</f>
        <v>Sabun batang 1 Box ( 2 PCS )</v>
      </c>
      <c r="H2271" s="469"/>
      <c r="I2271" s="470"/>
      <c r="K2271" s="470"/>
      <c r="M2271" s="470"/>
      <c r="O2271" s="470"/>
    </row>
    <row r="2272">
      <c r="A2272" s="282" t="str">
        <f>IFERROR(__xludf.DUMMYFUNCTION("""COMPUTED_VALUE"""),"MICRO")</f>
        <v>MICRO</v>
      </c>
      <c r="B2272" s="468" t="str">
        <f>IFERROR(__xludf.DUMMYFUNCTION("""COMPUTED_VALUE"""),"sundarri8")</f>
        <v>sundarri8</v>
      </c>
      <c r="C2272" s="283" t="str">
        <f>IFERROR(__xludf.DUMMYFUNCTION("""COMPUTED_VALUE"""),"https://www.tiktok.com/@sundarri8")</f>
        <v>https://www.tiktok.com/@sundarri8</v>
      </c>
      <c r="D2272" s="273">
        <f>IFERROR(__xludf.DUMMYFUNCTION("""COMPUTED_VALUE"""),8.7885800708E10)</f>
        <v>87885800708</v>
      </c>
      <c r="E2272" s="458"/>
      <c r="F2272" s="273">
        <f>IFERROR(__xludf.DUMMYFUNCTION("""COMPUTED_VALUE"""),1.0)</f>
        <v>1</v>
      </c>
      <c r="G2272" t="str">
        <f>IFERROR(__xludf.DUMMYFUNCTION("""COMPUTED_VALUE"""),"Sabun batang 1 Box ( 2 PCS )")</f>
        <v>Sabun batang 1 Box ( 2 PCS )</v>
      </c>
      <c r="H2272" s="469"/>
      <c r="I2272" s="470"/>
      <c r="K2272" s="470"/>
      <c r="M2272" s="470"/>
      <c r="O2272" s="470"/>
    </row>
    <row r="2273">
      <c r="A2273" s="282" t="str">
        <f>IFERROR(__xludf.DUMMYFUNCTION("""COMPUTED_VALUE"""),"MICRO")</f>
        <v>MICRO</v>
      </c>
      <c r="B2273" s="468" t="str">
        <f>IFERROR(__xludf.DUMMYFUNCTION("""COMPUTED_VALUE"""),"abcdefghiwuffy0u.05")</f>
        <v>abcdefghiwuffy0u.05</v>
      </c>
      <c r="C2273" s="283" t="str">
        <f>IFERROR(__xludf.DUMMYFUNCTION("""COMPUTED_VALUE"""),"https://www.tiktok.com/@abcdefghiwuffy0u.05")</f>
        <v>https://www.tiktok.com/@abcdefghiwuffy0u.05</v>
      </c>
      <c r="D2273" s="273">
        <f>IFERROR(__xludf.DUMMYFUNCTION("""COMPUTED_VALUE"""),8.1212651817E10)</f>
        <v>81212651817</v>
      </c>
      <c r="E2273" s="458"/>
      <c r="F2273" s="273">
        <f>IFERROR(__xludf.DUMMYFUNCTION("""COMPUTED_VALUE"""),1.0)</f>
        <v>1</v>
      </c>
      <c r="G2273" t="str">
        <f>IFERROR(__xludf.DUMMYFUNCTION("""COMPUTED_VALUE"""),"Sabun batang 1 Box ( 2 PCS )")</f>
        <v>Sabun batang 1 Box ( 2 PCS )</v>
      </c>
      <c r="H2273" s="469"/>
      <c r="I2273" s="470"/>
      <c r="K2273" s="470"/>
      <c r="M2273" s="470"/>
      <c r="O2273" s="470"/>
    </row>
    <row r="2274">
      <c r="A2274" s="282" t="str">
        <f>IFERROR(__xludf.DUMMYFUNCTION("""COMPUTED_VALUE"""),"MACRO")</f>
        <v>MACRO</v>
      </c>
      <c r="B2274" s="468" t="str">
        <f>IFERROR(__xludf.DUMMYFUNCTION("""COMPUTED_VALUE"""),"ordinary307girl")</f>
        <v>ordinary307girl</v>
      </c>
      <c r="C2274" s="283" t="str">
        <f>IFERROR(__xludf.DUMMYFUNCTION("""COMPUTED_VALUE"""),"https://www.tiktok.com/@ordinary307girl")</f>
        <v>https://www.tiktok.com/@ordinary307girl</v>
      </c>
      <c r="D2274" s="273">
        <f>IFERROR(__xludf.DUMMYFUNCTION("""COMPUTED_VALUE"""),8.1919170467E10)</f>
        <v>81919170467</v>
      </c>
      <c r="E2274" s="458"/>
      <c r="F2274" s="273">
        <f>IFERROR(__xludf.DUMMYFUNCTION("""COMPUTED_VALUE"""),1.0)</f>
        <v>1</v>
      </c>
      <c r="G2274" t="str">
        <f>IFERROR(__xludf.DUMMYFUNCTION("""COMPUTED_VALUE"""),"Sabun batang 1 Box ( 2 PCS )")</f>
        <v>Sabun batang 1 Box ( 2 PCS )</v>
      </c>
      <c r="H2274" s="469"/>
      <c r="I2274" s="470"/>
      <c r="K2274" s="470"/>
      <c r="M2274" s="470"/>
      <c r="O2274" s="470"/>
    </row>
    <row r="2275">
      <c r="A2275" s="282" t="str">
        <f>IFERROR(__xludf.DUMMYFUNCTION("""COMPUTED_VALUE"""),"MICRO")</f>
        <v>MICRO</v>
      </c>
      <c r="B2275" s="468" t="str">
        <f>IFERROR(__xludf.DUMMYFUNCTION("""COMPUTED_VALUE"""),"betha.gifthy")</f>
        <v>betha.gifthy</v>
      </c>
      <c r="C2275" s="283" t="str">
        <f>IFERROR(__xludf.DUMMYFUNCTION("""COMPUTED_VALUE"""),"https://www.tiktok.com/@betha.gifthy")</f>
        <v>https://www.tiktok.com/@betha.gifthy</v>
      </c>
      <c r="D2275" s="273">
        <f>IFERROR(__xludf.DUMMYFUNCTION("""COMPUTED_VALUE"""),8.5852656431E10)</f>
        <v>85852656431</v>
      </c>
      <c r="E2275" s="458"/>
      <c r="F2275" s="273">
        <f>IFERROR(__xludf.DUMMYFUNCTION("""COMPUTED_VALUE"""),4.0)</f>
        <v>4</v>
      </c>
      <c r="G2275" t="str">
        <f>IFERROR(__xludf.DUMMYFUNCTION("""COMPUTED_VALUE"""),"Sabun batang 1 Box ( 2 PCS )")</f>
        <v>Sabun batang 1 Box ( 2 PCS )</v>
      </c>
      <c r="H2275" s="469"/>
      <c r="I2275" s="470"/>
      <c r="K2275" s="470"/>
      <c r="M2275" s="470"/>
      <c r="O2275" s="470"/>
    </row>
    <row r="2276">
      <c r="A2276" s="282" t="str">
        <f>IFERROR(__xludf.DUMMYFUNCTION("""COMPUTED_VALUE"""),"MICRO")</f>
        <v>MICRO</v>
      </c>
      <c r="B2276" s="468" t="str">
        <f>IFERROR(__xludf.DUMMYFUNCTION("""COMPUTED_VALUE"""),"daciannaachya")</f>
        <v>daciannaachya</v>
      </c>
      <c r="C2276" s="283" t="str">
        <f>IFERROR(__xludf.DUMMYFUNCTION("""COMPUTED_VALUE"""),"https://www.tiktok.com/@daciannaachya")</f>
        <v>https://www.tiktok.com/@daciannaachya</v>
      </c>
      <c r="D2276" s="273">
        <f>IFERROR(__xludf.DUMMYFUNCTION("""COMPUTED_VALUE"""),8.8802399314E11)</f>
        <v>888023993140</v>
      </c>
      <c r="E2276" s="458"/>
      <c r="F2276" s="273">
        <f>IFERROR(__xludf.DUMMYFUNCTION("""COMPUTED_VALUE"""),4.0)</f>
        <v>4</v>
      </c>
      <c r="G2276" t="str">
        <f>IFERROR(__xludf.DUMMYFUNCTION("""COMPUTED_VALUE"""),"Sabun batang 1 Box ( 2 PCS )")</f>
        <v>Sabun batang 1 Box ( 2 PCS )</v>
      </c>
      <c r="H2276" s="469"/>
      <c r="I2276" s="470"/>
      <c r="K2276" s="470"/>
      <c r="M2276" s="470"/>
      <c r="O2276" s="470"/>
    </row>
    <row r="2277">
      <c r="A2277" s="282" t="str">
        <f>IFERROR(__xludf.DUMMYFUNCTION("""COMPUTED_VALUE"""),"MICRO")</f>
        <v>MICRO</v>
      </c>
      <c r="B2277" s="468" t="str">
        <f>IFERROR(__xludf.DUMMYFUNCTION("""COMPUTED_VALUE"""),"clarissawdj13")</f>
        <v>clarissawdj13</v>
      </c>
      <c r="C2277" s="283" t="str">
        <f>IFERROR(__xludf.DUMMYFUNCTION("""COMPUTED_VALUE"""),"https://www.tiktok.com/@clarissawdj13")</f>
        <v>https://www.tiktok.com/@clarissawdj13</v>
      </c>
      <c r="D2277" s="273">
        <f>IFERROR(__xludf.DUMMYFUNCTION("""COMPUTED_VALUE"""),8.812259136E9)</f>
        <v>8812259136</v>
      </c>
      <c r="E2277" s="458"/>
      <c r="F2277" s="273">
        <f>IFERROR(__xludf.DUMMYFUNCTION("""COMPUTED_VALUE"""),4.0)</f>
        <v>4</v>
      </c>
      <c r="G2277" t="str">
        <f>IFERROR(__xludf.DUMMYFUNCTION("""COMPUTED_VALUE"""),"Sabun batang 1 Box ( 2 PCS )")</f>
        <v>Sabun batang 1 Box ( 2 PCS )</v>
      </c>
      <c r="H2277" s="469"/>
      <c r="I2277" s="470"/>
      <c r="K2277" s="470"/>
      <c r="M2277" s="470"/>
      <c r="O2277" s="470"/>
    </row>
    <row r="2278">
      <c r="A2278" s="282" t="str">
        <f>IFERROR(__xludf.DUMMYFUNCTION("""COMPUTED_VALUE"""),"MICRO")</f>
        <v>MICRO</v>
      </c>
      <c r="B2278" s="468" t="str">
        <f>IFERROR(__xludf.DUMMYFUNCTION("""COMPUTED_VALUE"""),"dacianaachya")</f>
        <v>dacianaachya</v>
      </c>
      <c r="C2278" s="283" t="str">
        <f>IFERROR(__xludf.DUMMYFUNCTION("""COMPUTED_VALUE"""),"https://www.tiktok.com/@dacianaachya")</f>
        <v>https://www.tiktok.com/@dacianaachya</v>
      </c>
      <c r="D2278" s="273">
        <f>IFERROR(__xludf.DUMMYFUNCTION("""COMPUTED_VALUE"""),8.880239314E10)</f>
        <v>88802393140</v>
      </c>
      <c r="E2278" s="458"/>
      <c r="F2278" s="273">
        <f>IFERROR(__xludf.DUMMYFUNCTION("""COMPUTED_VALUE"""),4.0)</f>
        <v>4</v>
      </c>
      <c r="G2278" t="str">
        <f>IFERROR(__xludf.DUMMYFUNCTION("""COMPUTED_VALUE"""),"Sabun batang 1 Box ( 2 PCS )")</f>
        <v>Sabun batang 1 Box ( 2 PCS )</v>
      </c>
      <c r="H2278" s="469"/>
      <c r="I2278" s="470"/>
      <c r="K2278" s="470"/>
      <c r="M2278" s="470"/>
      <c r="O2278" s="470"/>
    </row>
    <row r="2279">
      <c r="A2279" s="282" t="str">
        <f>IFERROR(__xludf.DUMMYFUNCTION("""COMPUTED_VALUE"""),"MICRO")</f>
        <v>MICRO</v>
      </c>
      <c r="B2279" s="468" t="str">
        <f>IFERROR(__xludf.DUMMYFUNCTION("""COMPUTED_VALUE"""),"lullaberryy")</f>
        <v>lullaberryy</v>
      </c>
      <c r="C2279" s="283" t="str">
        <f>IFERROR(__xludf.DUMMYFUNCTION("""COMPUTED_VALUE"""),"https://www.tiktok.com/@lullaberryy")</f>
        <v>https://www.tiktok.com/@lullaberryy</v>
      </c>
      <c r="D2279" s="273">
        <f>IFERROR(__xludf.DUMMYFUNCTION("""COMPUTED_VALUE"""),8.5177541374E10)</f>
        <v>85177541374</v>
      </c>
      <c r="E2279" s="458"/>
      <c r="F2279" s="273">
        <f>IFERROR(__xludf.DUMMYFUNCTION("""COMPUTED_VALUE"""),2.0)</f>
        <v>2</v>
      </c>
      <c r="G2279" t="str">
        <f>IFERROR(__xludf.DUMMYFUNCTION("""COMPUTED_VALUE"""),"Sabun batang 1 Box ( 2 PCS )")</f>
        <v>Sabun batang 1 Box ( 2 PCS )</v>
      </c>
      <c r="H2279" s="469"/>
      <c r="I2279" s="470"/>
      <c r="K2279" s="470"/>
      <c r="M2279" s="470"/>
      <c r="O2279" s="470"/>
    </row>
    <row r="2280">
      <c r="A2280" s="282" t="str">
        <f>IFERROR(__xludf.DUMMYFUNCTION("""COMPUTED_VALUE"""),"MICRO")</f>
        <v>MICRO</v>
      </c>
      <c r="B2280" s="468" t="str">
        <f>IFERROR(__xludf.DUMMYFUNCTION("""COMPUTED_VALUE"""),"tyaaa1005")</f>
        <v>tyaaa1005</v>
      </c>
      <c r="C2280" s="283" t="str">
        <f>IFERROR(__xludf.DUMMYFUNCTION("""COMPUTED_VALUE"""),"https://www.tiktok.com/@tyaaa1005")</f>
        <v>https://www.tiktok.com/@tyaaa1005</v>
      </c>
      <c r="D2280" s="273">
        <f>IFERROR(__xludf.DUMMYFUNCTION("""COMPUTED_VALUE"""),8.1646839841E10)</f>
        <v>81646839841</v>
      </c>
      <c r="E2280" s="458"/>
      <c r="F2280" s="273">
        <f>IFERROR(__xludf.DUMMYFUNCTION("""COMPUTED_VALUE"""),4.0)</f>
        <v>4</v>
      </c>
      <c r="G2280" t="str">
        <f>IFERROR(__xludf.DUMMYFUNCTION("""COMPUTED_VALUE"""),"Sabun batang 1 Box ( 2 PCS )")</f>
        <v>Sabun batang 1 Box ( 2 PCS )</v>
      </c>
      <c r="H2280" s="469"/>
      <c r="I2280" s="470"/>
      <c r="J2280" s="471" t="str">
        <f>IFERROR(__xludf.DUMMYFUNCTION("""COMPUTED_VALUE"""),"https://www.tiktok.com/@tyaaa1005/video/7645222011903692052?_r=1&amp;u_code=f1i10l4d1c81g1&amp;region=&amp;mid=7176560070589713179&amp;preview_pb=0&amp;sharer_language=&amp;_d=0&amp;ec_shared_reflux_dynamic_params=%7B%22placeholder_material_id%22%3A%227645222011903692052%22%2C%22pla"&amp;"ceholder_origin_cover%22%3A%22https%253A%252F%252Fp16-common-sign.tiktokcdn.com%252Ftos-alisg-p-0037%252Fo4IOHeIA4uAF4EpSkKjmwMffBGD0DCDIvBPUjZ~tplv-tiktokx-origin.jpeg%253Fdr%253D14572%2526refresh_token%253D8defe622%2526x-expires%253D1812099600%2526x-sig"&amp;"nature%253DBl1Db63JrUbKscyZ7vl1J5fzxvs%25253D%2526t%253D4d5b0474%2526ps%253D13740610%2526shp%253Dd05b14bd%2526shcp%253D34ff8df6%2526idc%253Dmy%2526s%253DTIKTOK_AFFILIATE_VIRAL_VIDEO%22%2C%22placeholder_product_id%22%3A%221729427766722726591%22%2C%22placeh"&amp;"older_video_id%22%3A%227645222011903692052%22%7D&amp;ec_shared_reflux_scene=shop_tab_feed&amp;share_item_id=7645222011903692052&amp;source=h5_t")</f>
        <v>https://www.tiktok.com/@tyaaa1005/video/7645222011903692052?_r=1&amp;u_code=f1i10l4d1c81g1&amp;region=&amp;mid=7176560070589713179&amp;preview_pb=0&amp;sharer_language=&amp;_d=0&amp;ec_shared_reflux_dynamic_params=%7B%22placeholder_material_id%22%3A%227645222011903692052%22%2C%22placeholder_origin_cover%22%3A%22https%253A%252F%252Fp16-common-sign.tiktokcdn.com%252Ftos-alisg-p-0037%252Fo4IOHeIA4uAF4EpSkKjmwMffBGD0DCDIvBPUjZ~tplv-tiktokx-origin.jpeg%253Fdr%253D14572%2526refresh_token%253D8defe622%2526x-expires%253D1812099600%2526x-signature%253DBl1Db63JrUbKscyZ7vl1J5fzxvs%25253D%2526t%253D4d5b0474%2526ps%253D13740610%2526shp%253Dd05b14bd%2526shcp%253D34ff8df6%2526idc%253Dmy%2526s%253DTIKTOK_AFFILIATE_VIRAL_VIDEO%22%2C%22placeholder_product_id%22%3A%221729427766722726591%22%2C%22placeholder_video_id%22%3A%227645222011903692052%22%7D&amp;ec_shared_reflux_scene=shop_tab_feed&amp;share_item_id=7645222011903692052&amp;source=h5_t</v>
      </c>
      <c r="K2280" s="470"/>
      <c r="M2280" s="470"/>
      <c r="O2280" s="470"/>
    </row>
    <row r="2281">
      <c r="A2281" s="282" t="str">
        <f>IFERROR(__xludf.DUMMYFUNCTION("""COMPUTED_VALUE"""),"MICRO")</f>
        <v>MICRO</v>
      </c>
      <c r="B2281" s="468" t="str">
        <f>IFERROR(__xludf.DUMMYFUNCTION("""COMPUTED_VALUE"""),"dininf0")</f>
        <v>dininf0</v>
      </c>
      <c r="C2281" s="283" t="str">
        <f>IFERROR(__xludf.DUMMYFUNCTION("""COMPUTED_VALUE"""),"https://www.tiktok.com/@dininf0")</f>
        <v>https://www.tiktok.com/@dininf0</v>
      </c>
      <c r="D2281" s="273">
        <f>IFERROR(__xludf.DUMMYFUNCTION("""COMPUTED_VALUE"""),8.3824813728E10)</f>
        <v>83824813728</v>
      </c>
      <c r="E2281" s="458"/>
      <c r="F2281" s="273">
        <f>IFERROR(__xludf.DUMMYFUNCTION("""COMPUTED_VALUE"""),4.0)</f>
        <v>4</v>
      </c>
      <c r="G2281" t="str">
        <f>IFERROR(__xludf.DUMMYFUNCTION("""COMPUTED_VALUE"""),"Sabun batang 1 Box ( 2 PCS )")</f>
        <v>Sabun batang 1 Box ( 2 PCS )</v>
      </c>
      <c r="H2281" s="469"/>
      <c r="I2281" s="470"/>
      <c r="K2281" s="470"/>
      <c r="M2281" s="470"/>
      <c r="O2281" s="470"/>
    </row>
    <row r="2282">
      <c r="A2282" s="282" t="str">
        <f>IFERROR(__xludf.DUMMYFUNCTION("""COMPUTED_VALUE"""),"MICRO")</f>
        <v>MICRO</v>
      </c>
      <c r="B2282" s="468" t="str">
        <f>IFERROR(__xludf.DUMMYFUNCTION("""COMPUTED_VALUE"""),"mitha.rskaaa
")</f>
        <v>mitha.rskaaa
</v>
      </c>
      <c r="C2282" s="283" t="str">
        <f>IFERROR(__xludf.DUMMYFUNCTION("""COMPUTED_VALUE"""),"https://www.tiktok.com/@mitha.rskaaa
")</f>
        <v>https://www.tiktok.com/@mitha.rskaaa
</v>
      </c>
      <c r="D2282" s="273">
        <f>IFERROR(__xludf.DUMMYFUNCTION("""COMPUTED_VALUE"""),8.990793733E9)</f>
        <v>8990793733</v>
      </c>
      <c r="E2282" s="458">
        <f>IFERROR(__xludf.DUMMYFUNCTION("""COMPUTED_VALUE"""),100000.0)</f>
        <v>100000</v>
      </c>
      <c r="F2282" s="273">
        <f>IFERROR(__xludf.DUMMYFUNCTION("""COMPUTED_VALUE"""),1.0)</f>
        <v>1</v>
      </c>
      <c r="G2282" t="str">
        <f>IFERROR(__xludf.DUMMYFUNCTION("""COMPUTED_VALUE"""),"Sabun batang 1 Box ( 2 PCS )")</f>
        <v>Sabun batang 1 Box ( 2 PCS )</v>
      </c>
      <c r="H2282" s="469"/>
      <c r="I2282" s="470"/>
      <c r="K2282" s="470"/>
      <c r="M2282" s="470"/>
      <c r="O2282" s="470"/>
    </row>
    <row r="2283">
      <c r="A2283" s="282" t="str">
        <f>IFERROR(__xludf.DUMMYFUNCTION("""COMPUTED_VALUE"""),"MICRO")</f>
        <v>MICRO</v>
      </c>
      <c r="B2283" s="468" t="str">
        <f>IFERROR(__xludf.DUMMYFUNCTION("""COMPUTED_VALUE"""),"makeupbysoliha ")</f>
        <v>makeupbysoliha </v>
      </c>
      <c r="C2283" s="283" t="str">
        <f>IFERROR(__xludf.DUMMYFUNCTION("""COMPUTED_VALUE"""),"https://www.tiktok.com/@makeupbysoliha ")</f>
        <v>https://www.tiktok.com/@makeupbysoliha </v>
      </c>
      <c r="D2283" s="273">
        <f>IFERROR(__xludf.DUMMYFUNCTION("""COMPUTED_VALUE"""),8.95397204872E11)</f>
        <v>895397204872</v>
      </c>
      <c r="E2283" s="458">
        <f>IFERROR(__xludf.DUMMYFUNCTION("""COMPUTED_VALUE"""),100000.0)</f>
        <v>100000</v>
      </c>
      <c r="F2283" s="273">
        <f>IFERROR(__xludf.DUMMYFUNCTION("""COMPUTED_VALUE"""),1.0)</f>
        <v>1</v>
      </c>
      <c r="G2283" t="str">
        <f>IFERROR(__xludf.DUMMYFUNCTION("""COMPUTED_VALUE"""),"Sabun batang 1 Box ( 2 PCS )")</f>
        <v>Sabun batang 1 Box ( 2 PCS )</v>
      </c>
      <c r="H2283" s="469"/>
      <c r="I2283" s="470"/>
      <c r="K2283" s="470"/>
      <c r="M2283" s="470"/>
      <c r="O2283" s="470"/>
    </row>
    <row r="2284">
      <c r="A2284" s="282" t="str">
        <f>IFERROR(__xludf.DUMMYFUNCTION("""COMPUTED_VALUE"""),"MICRO")</f>
        <v>MICRO</v>
      </c>
      <c r="B2284" s="468" t="str">
        <f>IFERROR(__xludf.DUMMYFUNCTION("""COMPUTED_VALUE"""),"arianajgn")</f>
        <v>arianajgn</v>
      </c>
      <c r="C2284" s="283" t="str">
        <f>IFERROR(__xludf.DUMMYFUNCTION("""COMPUTED_VALUE"""),"https://www.tiktok.com/@arianajgn")</f>
        <v>https://www.tiktok.com/@arianajgn</v>
      </c>
      <c r="D2284" s="273">
        <f>IFERROR(__xludf.DUMMYFUNCTION("""COMPUTED_VALUE"""),8.1316035855E10)</f>
        <v>81316035855</v>
      </c>
      <c r="E2284" s="458">
        <f>IFERROR(__xludf.DUMMYFUNCTION("""COMPUTED_VALUE"""),100000.0)</f>
        <v>100000</v>
      </c>
      <c r="F2284" s="273">
        <f>IFERROR(__xludf.DUMMYFUNCTION("""COMPUTED_VALUE"""),2.0)</f>
        <v>2</v>
      </c>
      <c r="G2284" t="str">
        <f>IFERROR(__xludf.DUMMYFUNCTION("""COMPUTED_VALUE"""),"Sabun batang 1 Box ( 2 PCS )")</f>
        <v>Sabun batang 1 Box ( 2 PCS )</v>
      </c>
      <c r="H2284" s="469"/>
      <c r="I2284" s="470"/>
      <c r="K2284" s="470"/>
      <c r="M2284" s="470"/>
      <c r="O2284" s="470"/>
    </row>
    <row r="2285">
      <c r="A2285" s="282" t="str">
        <f>IFERROR(__xludf.DUMMYFUNCTION("""COMPUTED_VALUE"""),"MICRO")</f>
        <v>MICRO</v>
      </c>
      <c r="B2285" s="468"/>
      <c r="C2285" s="283" t="str">
        <f>IFERROR(__xludf.DUMMYFUNCTION("""COMPUTED_VALUE"""),"https://www.tiktok.com/@")</f>
        <v>https://www.tiktok.com/@</v>
      </c>
      <c r="D2285" s="273"/>
      <c r="E2285" s="458"/>
      <c r="F2285" s="273"/>
      <c r="G2285" t="str">
        <f>IFERROR(__xludf.DUMMYFUNCTION("""COMPUTED_VALUE"""),"Sabun batang 1 Box ( 2 PCS )")</f>
        <v>Sabun batang 1 Box ( 2 PCS )</v>
      </c>
      <c r="H2285" s="469"/>
      <c r="I2285" s="470"/>
      <c r="K2285" s="470"/>
      <c r="M2285" s="470"/>
      <c r="O2285" s="470"/>
    </row>
    <row r="2286">
      <c r="A2286" s="282" t="str">
        <f>IFERROR(__xludf.DUMMYFUNCTION("""COMPUTED_VALUE"""),"MICRO")</f>
        <v>MICRO</v>
      </c>
      <c r="B2286" s="468" t="str">
        <f>IFERROR(__xludf.DUMMYFUNCTION("""COMPUTED_VALUE"""),"annisamahardina")</f>
        <v>annisamahardina</v>
      </c>
      <c r="C2286" s="283" t="str">
        <f>IFERROR(__xludf.DUMMYFUNCTION("""COMPUTED_VALUE"""),"https://www.tiktok.com/@annisamahardina")</f>
        <v>https://www.tiktok.com/@annisamahardina</v>
      </c>
      <c r="D2286" s="273">
        <f>IFERROR(__xludf.DUMMYFUNCTION("""COMPUTED_VALUE"""),8.996099955E9)</f>
        <v>8996099955</v>
      </c>
      <c r="E2286" s="458">
        <f>IFERROR(__xludf.DUMMYFUNCTION("""COMPUTED_VALUE"""),0.0)</f>
        <v>0</v>
      </c>
      <c r="F2286" s="273">
        <f>IFERROR(__xludf.DUMMYFUNCTION("""COMPUTED_VALUE"""),3.0)</f>
        <v>3</v>
      </c>
      <c r="G2286" t="str">
        <f>IFERROR(__xludf.DUMMYFUNCTION("""COMPUTED_VALUE"""),"Sabun batang 1 Box ( 2 PCS )")</f>
        <v>Sabun batang 1 Box ( 2 PCS )</v>
      </c>
      <c r="H2286" s="469"/>
      <c r="I2286" s="470"/>
      <c r="K2286" s="470"/>
      <c r="M2286" s="470"/>
      <c r="O2286" s="470"/>
    </row>
    <row r="2287">
      <c r="A2287" s="282" t="str">
        <f>IFERROR(__xludf.DUMMYFUNCTION("""COMPUTED_VALUE"""),"MICRO")</f>
        <v>MICRO</v>
      </c>
      <c r="B2287" s="468" t="str">
        <f>IFERROR(__xludf.DUMMYFUNCTION("""COMPUTED_VALUE"""),"novitakey1181")</f>
        <v>novitakey1181</v>
      </c>
      <c r="C2287" s="283" t="str">
        <f>IFERROR(__xludf.DUMMYFUNCTION("""COMPUTED_VALUE"""),"https://www.tiktok.com/@novitakey1181")</f>
        <v>https://www.tiktok.com/@novitakey1181</v>
      </c>
      <c r="D2287" s="273">
        <f>IFERROR(__xludf.DUMMYFUNCTION("""COMPUTED_VALUE"""),8.5774102931E10)</f>
        <v>85774102931</v>
      </c>
      <c r="E2287" s="458">
        <f>IFERROR(__xludf.DUMMYFUNCTION("""COMPUTED_VALUE"""),0.0)</f>
        <v>0</v>
      </c>
      <c r="F2287" s="273">
        <f>IFERROR(__xludf.DUMMYFUNCTION("""COMPUTED_VALUE"""),4.0)</f>
        <v>4</v>
      </c>
      <c r="G2287" t="str">
        <f>IFERROR(__xludf.DUMMYFUNCTION("""COMPUTED_VALUE"""),"Sabun batang 1 Box ( 2 PCS )")</f>
        <v>Sabun batang 1 Box ( 2 PCS )</v>
      </c>
      <c r="H2287" s="469"/>
      <c r="I2287" s="470"/>
      <c r="K2287" s="470"/>
      <c r="M2287" s="470"/>
      <c r="O2287" s="470"/>
    </row>
    <row r="2288">
      <c r="A2288" s="282" t="str">
        <f>IFERROR(__xludf.DUMMYFUNCTION("""COMPUTED_VALUE"""),"MICRO")</f>
        <v>MICRO</v>
      </c>
      <c r="B2288" s="468" t="str">
        <f>IFERROR(__xludf.DUMMYFUNCTION("""COMPUTED_VALUE"""),"susiiiya8")</f>
        <v>susiiiya8</v>
      </c>
      <c r="C2288" s="283" t="str">
        <f>IFERROR(__xludf.DUMMYFUNCTION("""COMPUTED_VALUE"""),"https://www.tiktok.com/@susiiiya8")</f>
        <v>https://www.tiktok.com/@susiiiya8</v>
      </c>
      <c r="D2288" s="273">
        <f>IFERROR(__xludf.DUMMYFUNCTION("""COMPUTED_VALUE"""),8.1949662364E10)</f>
        <v>81949662364</v>
      </c>
      <c r="E2288" s="458">
        <f>IFERROR(__xludf.DUMMYFUNCTION("""COMPUTED_VALUE"""),0.0)</f>
        <v>0</v>
      </c>
      <c r="F2288" s="273">
        <f>IFERROR(__xludf.DUMMYFUNCTION("""COMPUTED_VALUE"""),4.0)</f>
        <v>4</v>
      </c>
      <c r="G2288" t="str">
        <f>IFERROR(__xludf.DUMMYFUNCTION("""COMPUTED_VALUE"""),"Sabun batang 1 Box ( 2 PCS )")</f>
        <v>Sabun batang 1 Box ( 2 PCS )</v>
      </c>
      <c r="H2288" s="469"/>
      <c r="I2288" s="470"/>
      <c r="K2288" s="470"/>
      <c r="M2288" s="470"/>
      <c r="O2288" s="470"/>
    </row>
    <row r="2289">
      <c r="A2289" s="282" t="str">
        <f>IFERROR(__xludf.DUMMYFUNCTION("""COMPUTED_VALUE"""),"MICRO")</f>
        <v>MICRO</v>
      </c>
      <c r="B2289" s="468" t="str">
        <f>IFERROR(__xludf.DUMMYFUNCTION("""COMPUTED_VALUE"""),"sweet.ochaa_")</f>
        <v>sweet.ochaa_</v>
      </c>
      <c r="C2289" s="283" t="str">
        <f>IFERROR(__xludf.DUMMYFUNCTION("""COMPUTED_VALUE"""),"https://www.tiktok.com/@sweet.ochaa_")</f>
        <v>https://www.tiktok.com/@sweet.ochaa_</v>
      </c>
      <c r="D2289" s="273">
        <f>IFERROR(__xludf.DUMMYFUNCTION("""COMPUTED_VALUE"""),8.8985276382E10)</f>
        <v>88985276382</v>
      </c>
      <c r="E2289" s="458">
        <f>IFERROR(__xludf.DUMMYFUNCTION("""COMPUTED_VALUE"""),0.0)</f>
        <v>0</v>
      </c>
      <c r="F2289" s="273">
        <f>IFERROR(__xludf.DUMMYFUNCTION("""COMPUTED_VALUE"""),4.0)</f>
        <v>4</v>
      </c>
      <c r="G2289" t="str">
        <f>IFERROR(__xludf.DUMMYFUNCTION("""COMPUTED_VALUE"""),"Sabun batang 1 Box ( 2 PCS )")</f>
        <v>Sabun batang 1 Box ( 2 PCS )</v>
      </c>
      <c r="H2289" s="469"/>
      <c r="I2289" s="470"/>
      <c r="K2289" s="470"/>
      <c r="M2289" s="470"/>
      <c r="O2289" s="470"/>
    </row>
    <row r="2290">
      <c r="A2290" s="282" t="str">
        <f>IFERROR(__xludf.DUMMYFUNCTION("""COMPUTED_VALUE"""),"MICRO")</f>
        <v>MICRO</v>
      </c>
      <c r="B2290" s="468" t="str">
        <f>IFERROR(__xludf.DUMMYFUNCTION("""COMPUTED_VALUE"""),"hydeaaaaaaa")</f>
        <v>hydeaaaaaaa</v>
      </c>
      <c r="C2290" s="283" t="str">
        <f>IFERROR(__xludf.DUMMYFUNCTION("""COMPUTED_VALUE"""),"https://www.tiktok.com/@hydeaaaaaaa")</f>
        <v>https://www.tiktok.com/@hydeaaaaaaa</v>
      </c>
      <c r="D2290" s="273">
        <f>IFERROR(__xludf.DUMMYFUNCTION("""COMPUTED_VALUE"""),8.5701583042E10)</f>
        <v>85701583042</v>
      </c>
      <c r="E2290" s="458">
        <f>IFERROR(__xludf.DUMMYFUNCTION("""COMPUTED_VALUE"""),0.0)</f>
        <v>0</v>
      </c>
      <c r="F2290" s="273">
        <f>IFERROR(__xludf.DUMMYFUNCTION("""COMPUTED_VALUE"""),4.0)</f>
        <v>4</v>
      </c>
      <c r="G2290" t="str">
        <f>IFERROR(__xludf.DUMMYFUNCTION("""COMPUTED_VALUE"""),"Sabun batang 1 Box ( 2 PCS )")</f>
        <v>Sabun batang 1 Box ( 2 PCS )</v>
      </c>
      <c r="H2290" s="469"/>
      <c r="I2290" s="470"/>
      <c r="K2290" s="470"/>
      <c r="M2290" s="470"/>
      <c r="O2290" s="470"/>
    </row>
    <row r="2291">
      <c r="A2291" s="282" t="str">
        <f>IFERROR(__xludf.DUMMYFUNCTION("""COMPUTED_VALUE"""),"MICRO")</f>
        <v>MICRO</v>
      </c>
      <c r="B2291" s="468" t="str">
        <f>IFERROR(__xludf.DUMMYFUNCTION("""COMPUTED_VALUE"""),"nanaiii007")</f>
        <v>nanaiii007</v>
      </c>
      <c r="C2291" s="283" t="str">
        <f>IFERROR(__xludf.DUMMYFUNCTION("""COMPUTED_VALUE"""),"https://www.tiktok.com/@nanaiii007")</f>
        <v>https://www.tiktok.com/@nanaiii007</v>
      </c>
      <c r="D2291" s="273">
        <f>IFERROR(__xludf.DUMMYFUNCTION("""COMPUTED_VALUE"""),8.9503539079E10)</f>
        <v>89503539079</v>
      </c>
      <c r="E2291" s="458">
        <f>IFERROR(__xludf.DUMMYFUNCTION("""COMPUTED_VALUE"""),0.0)</f>
        <v>0</v>
      </c>
      <c r="F2291" s="273">
        <f>IFERROR(__xludf.DUMMYFUNCTION("""COMPUTED_VALUE"""),2.0)</f>
        <v>2</v>
      </c>
      <c r="G2291" t="str">
        <f>IFERROR(__xludf.DUMMYFUNCTION("""COMPUTED_VALUE"""),"Sabun batang 1 Box ( 2 PCS )")</f>
        <v>Sabun batang 1 Box ( 2 PCS )</v>
      </c>
      <c r="H2291" s="469"/>
      <c r="I2291" s="470"/>
      <c r="K2291" s="470"/>
      <c r="M2291" s="470"/>
      <c r="O2291" s="470"/>
    </row>
    <row r="2292">
      <c r="A2292" s="282" t="str">
        <f>IFERROR(__xludf.DUMMYFUNCTION("""COMPUTED_VALUE"""),"MICRO")</f>
        <v>MICRO</v>
      </c>
      <c r="B2292" s="468" t="str">
        <f>IFERROR(__xludf.DUMMYFUNCTION("""COMPUTED_VALUE"""),"meyels0")</f>
        <v>meyels0</v>
      </c>
      <c r="C2292" s="283" t="str">
        <f>IFERROR(__xludf.DUMMYFUNCTION("""COMPUTED_VALUE"""),"https://www.tiktok.com/@meyels0")</f>
        <v>https://www.tiktok.com/@meyels0</v>
      </c>
      <c r="D2292" s="273">
        <f>IFERROR(__xludf.DUMMYFUNCTION("""COMPUTED_VALUE"""),8.9523117612E10)</f>
        <v>89523117612</v>
      </c>
      <c r="E2292" s="458">
        <f>IFERROR(__xludf.DUMMYFUNCTION("""COMPUTED_VALUE"""),0.0)</f>
        <v>0</v>
      </c>
      <c r="F2292" s="273">
        <f>IFERROR(__xludf.DUMMYFUNCTION("""COMPUTED_VALUE"""),2.0)</f>
        <v>2</v>
      </c>
      <c r="G2292" t="str">
        <f>IFERROR(__xludf.DUMMYFUNCTION("""COMPUTED_VALUE"""),"Sabun batang 1 Box ( 2 PCS )")</f>
        <v>Sabun batang 1 Box ( 2 PCS )</v>
      </c>
      <c r="H2292" s="469"/>
      <c r="I2292" s="470"/>
      <c r="K2292" s="470"/>
      <c r="M2292" s="470"/>
      <c r="O2292" s="470"/>
    </row>
    <row r="2293">
      <c r="A2293" s="282" t="str">
        <f>IFERROR(__xludf.DUMMYFUNCTION("""COMPUTED_VALUE"""),"MICRO")</f>
        <v>MICRO</v>
      </c>
      <c r="B2293" s="468" t="str">
        <f>IFERROR(__xludf.DUMMYFUNCTION("""COMPUTED_VALUE"""),"callmesusek")</f>
        <v>callmesusek</v>
      </c>
      <c r="C2293" s="283" t="str">
        <f>IFERROR(__xludf.DUMMYFUNCTION("""COMPUTED_VALUE"""),"https://www.tiktok.com/@callmesusek")</f>
        <v>https://www.tiktok.com/@callmesusek</v>
      </c>
      <c r="D2293" s="273">
        <f>IFERROR(__xludf.DUMMYFUNCTION("""COMPUTED_VALUE"""),8.5642939711E10)</f>
        <v>85642939711</v>
      </c>
      <c r="E2293" s="458">
        <f>IFERROR(__xludf.DUMMYFUNCTION("""COMPUTED_VALUE"""),0.0)</f>
        <v>0</v>
      </c>
      <c r="F2293" s="273">
        <f>IFERROR(__xludf.DUMMYFUNCTION("""COMPUTED_VALUE"""),4.0)</f>
        <v>4</v>
      </c>
      <c r="G2293" t="str">
        <f>IFERROR(__xludf.DUMMYFUNCTION("""COMPUTED_VALUE"""),"Sabun batang 1 Box ( 2 PCS )")</f>
        <v>Sabun batang 1 Box ( 2 PCS )</v>
      </c>
      <c r="H2293" s="469"/>
      <c r="I2293" s="470"/>
      <c r="K2293" s="470"/>
      <c r="M2293" s="470"/>
      <c r="O2293" s="470"/>
    </row>
    <row r="2294">
      <c r="A2294" s="282" t="str">
        <f>IFERROR(__xludf.DUMMYFUNCTION("""COMPUTED_VALUE"""),"MICRO")</f>
        <v>MICRO</v>
      </c>
      <c r="B2294" s="468" t="str">
        <f>IFERROR(__xludf.DUMMYFUNCTION("""COMPUTED_VALUE"""),"priskaphiliciaanindita")</f>
        <v>priskaphiliciaanindita</v>
      </c>
      <c r="C2294" s="283" t="str">
        <f>IFERROR(__xludf.DUMMYFUNCTION("""COMPUTED_VALUE"""),"https://www.tiktok.com/@priskaphiliciaanindita")</f>
        <v>https://www.tiktok.com/@priskaphiliciaanindita</v>
      </c>
      <c r="D2294" s="273">
        <f>IFERROR(__xludf.DUMMYFUNCTION("""COMPUTED_VALUE"""),8.566111256E9)</f>
        <v>8566111256</v>
      </c>
      <c r="E2294" s="458">
        <f>IFERROR(__xludf.DUMMYFUNCTION("""COMPUTED_VALUE"""),0.0)</f>
        <v>0</v>
      </c>
      <c r="F2294" s="273">
        <f>IFERROR(__xludf.DUMMYFUNCTION("""COMPUTED_VALUE"""),4.0)</f>
        <v>4</v>
      </c>
      <c r="G2294" t="str">
        <f>IFERROR(__xludf.DUMMYFUNCTION("""COMPUTED_VALUE"""),"Sabun batang 1 Box ( 2 PCS )")</f>
        <v>Sabun batang 1 Box ( 2 PCS )</v>
      </c>
      <c r="H2294" s="469"/>
      <c r="I2294" s="470"/>
      <c r="K2294" s="470"/>
      <c r="M2294" s="470"/>
      <c r="O2294" s="470"/>
    </row>
    <row r="2295">
      <c r="A2295" s="282" t="str">
        <f>IFERROR(__xludf.DUMMYFUNCTION("""COMPUTED_VALUE"""),"MICRO")</f>
        <v>MICRO</v>
      </c>
      <c r="B2295" s="468" t="str">
        <f>IFERROR(__xludf.DUMMYFUNCTION("""COMPUTED_VALUE"""),"ayusanjayaaa")</f>
        <v>ayusanjayaaa</v>
      </c>
      <c r="C2295" s="283" t="str">
        <f>IFERROR(__xludf.DUMMYFUNCTION("""COMPUTED_VALUE"""),"https://www.tiktok.com/@ayusanjayaaa")</f>
        <v>https://www.tiktok.com/@ayusanjayaaa</v>
      </c>
      <c r="D2295" s="273">
        <f>IFERROR(__xludf.DUMMYFUNCTION("""COMPUTED_VALUE"""),8.95609737241E11)</f>
        <v>895609737241</v>
      </c>
      <c r="E2295" s="458">
        <f>IFERROR(__xludf.DUMMYFUNCTION("""COMPUTED_VALUE"""),0.0)</f>
        <v>0</v>
      </c>
      <c r="F2295" s="273">
        <f>IFERROR(__xludf.DUMMYFUNCTION("""COMPUTED_VALUE"""),4.0)</f>
        <v>4</v>
      </c>
      <c r="G2295" t="str">
        <f>IFERROR(__xludf.DUMMYFUNCTION("""COMPUTED_VALUE"""),"Sabun batang 1 Box ( 2 PCS )")</f>
        <v>Sabun batang 1 Box ( 2 PCS )</v>
      </c>
      <c r="H2295" s="469"/>
      <c r="I2295" s="470"/>
      <c r="K2295" s="470"/>
      <c r="M2295" s="470"/>
      <c r="O2295" s="470"/>
    </row>
    <row r="2296">
      <c r="A2296" s="282" t="str">
        <f>IFERROR(__xludf.DUMMYFUNCTION("""COMPUTED_VALUE"""),"MICRO")</f>
        <v>MICRO</v>
      </c>
      <c r="B2296" s="468" t="str">
        <f>IFERROR(__xludf.DUMMYFUNCTION("""COMPUTED_VALUE"""),"lenykusumawati718")</f>
        <v>lenykusumawati718</v>
      </c>
      <c r="C2296" s="283" t="str">
        <f>IFERROR(__xludf.DUMMYFUNCTION("""COMPUTED_VALUE"""),"https://www.tiktok.com/@lenykusumawati718")</f>
        <v>https://www.tiktok.com/@lenykusumawati718</v>
      </c>
      <c r="D2296" s="273">
        <f>IFERROR(__xludf.DUMMYFUNCTION("""COMPUTED_VALUE"""),8.5733775025E10)</f>
        <v>85733775025</v>
      </c>
      <c r="E2296" s="458">
        <f>IFERROR(__xludf.DUMMYFUNCTION("""COMPUTED_VALUE"""),0.0)</f>
        <v>0</v>
      </c>
      <c r="F2296" s="273">
        <f>IFERROR(__xludf.DUMMYFUNCTION("""COMPUTED_VALUE"""),4.0)</f>
        <v>4</v>
      </c>
      <c r="G2296" t="str">
        <f>IFERROR(__xludf.DUMMYFUNCTION("""COMPUTED_VALUE"""),"Sabun batang 1 Box ( 2 PCS )")</f>
        <v>Sabun batang 1 Box ( 2 PCS )</v>
      </c>
      <c r="H2296" s="469"/>
      <c r="I2296" s="470"/>
      <c r="K2296" s="470"/>
      <c r="M2296" s="470"/>
      <c r="O2296" s="470"/>
    </row>
    <row r="2297">
      <c r="A2297" s="282" t="str">
        <f>IFERROR(__xludf.DUMMYFUNCTION("""COMPUTED_VALUE"""),"MICRO")</f>
        <v>MICRO</v>
      </c>
      <c r="B2297" s="468" t="str">
        <f>IFERROR(__xludf.DUMMYFUNCTION("""COMPUTED_VALUE"""),"retnowahyuni93")</f>
        <v>retnowahyuni93</v>
      </c>
      <c r="C2297" s="283" t="str">
        <f>IFERROR(__xludf.DUMMYFUNCTION("""COMPUTED_VALUE"""),"https://www.tiktok.com/@retnowahyuni93")</f>
        <v>https://www.tiktok.com/@retnowahyuni93</v>
      </c>
      <c r="D2297" s="273">
        <f>IFERROR(__xludf.DUMMYFUNCTION("""COMPUTED_VALUE"""),8.1358491229E10)</f>
        <v>81358491229</v>
      </c>
      <c r="E2297" s="458">
        <f>IFERROR(__xludf.DUMMYFUNCTION("""COMPUTED_VALUE"""),0.0)</f>
        <v>0</v>
      </c>
      <c r="F2297" s="273">
        <f>IFERROR(__xludf.DUMMYFUNCTION("""COMPUTED_VALUE"""),4.0)</f>
        <v>4</v>
      </c>
      <c r="G2297" t="str">
        <f>IFERROR(__xludf.DUMMYFUNCTION("""COMPUTED_VALUE"""),"Sabun batang 1 Box ( 2 PCS )")</f>
        <v>Sabun batang 1 Box ( 2 PCS )</v>
      </c>
      <c r="H2297" s="469"/>
      <c r="I2297" s="470"/>
      <c r="K2297" s="470"/>
      <c r="M2297" s="470"/>
      <c r="O2297" s="470"/>
    </row>
    <row r="2298">
      <c r="A2298" s="282" t="str">
        <f>IFERROR(__xludf.DUMMYFUNCTION("""COMPUTED_VALUE"""),"MICRO")</f>
        <v>MICRO</v>
      </c>
      <c r="B2298" s="468" t="str">
        <f>IFERROR(__xludf.DUMMYFUNCTION("""COMPUTED_VALUE"""),"risachaaaaa")</f>
        <v>risachaaaaa</v>
      </c>
      <c r="C2298" s="283" t="str">
        <f>IFERROR(__xludf.DUMMYFUNCTION("""COMPUTED_VALUE"""),"https://www.tiktok.com/@risachaaaaa")</f>
        <v>https://www.tiktok.com/@risachaaaaa</v>
      </c>
      <c r="D2298" s="273">
        <f>IFERROR(__xludf.DUMMYFUNCTION("""COMPUTED_VALUE"""),8.5608963628E10)</f>
        <v>85608963628</v>
      </c>
      <c r="E2298" s="458">
        <f>IFERROR(__xludf.DUMMYFUNCTION("""COMPUTED_VALUE"""),0.0)</f>
        <v>0</v>
      </c>
      <c r="F2298" s="273">
        <f>IFERROR(__xludf.DUMMYFUNCTION("""COMPUTED_VALUE"""),4.0)</f>
        <v>4</v>
      </c>
      <c r="G2298" t="str">
        <f>IFERROR(__xludf.DUMMYFUNCTION("""COMPUTED_VALUE"""),"Sabun batang 1 Box ( 2 PCS )")</f>
        <v>Sabun batang 1 Box ( 2 PCS )</v>
      </c>
      <c r="H2298" s="469"/>
      <c r="I2298" s="470"/>
      <c r="K2298" s="470"/>
      <c r="M2298" s="470"/>
      <c r="O2298" s="470"/>
    </row>
    <row r="2299">
      <c r="A2299" s="282" t="str">
        <f>IFERROR(__xludf.DUMMYFUNCTION("""COMPUTED_VALUE"""),"MICRO")</f>
        <v>MICRO</v>
      </c>
      <c r="B2299" s="468" t="str">
        <f>IFERROR(__xludf.DUMMYFUNCTION("""COMPUTED_VALUE"""),"pancadwi308")</f>
        <v>pancadwi308</v>
      </c>
      <c r="C2299" s="283" t="str">
        <f>IFERROR(__xludf.DUMMYFUNCTION("""COMPUTED_VALUE"""),"https://www.tiktok.com/@pancadwi308")</f>
        <v>https://www.tiktok.com/@pancadwi308</v>
      </c>
      <c r="D2299" s="273">
        <f>IFERROR(__xludf.DUMMYFUNCTION("""COMPUTED_VALUE"""),8.5166923688E10)</f>
        <v>85166923688</v>
      </c>
      <c r="E2299" s="458">
        <f>IFERROR(__xludf.DUMMYFUNCTION("""COMPUTED_VALUE"""),0.0)</f>
        <v>0</v>
      </c>
      <c r="F2299" s="273">
        <f>IFERROR(__xludf.DUMMYFUNCTION("""COMPUTED_VALUE"""),4.0)</f>
        <v>4</v>
      </c>
      <c r="G2299" t="str">
        <f>IFERROR(__xludf.DUMMYFUNCTION("""COMPUTED_VALUE"""),"Sabun batang 1 Box ( 2 PCS )")</f>
        <v>Sabun batang 1 Box ( 2 PCS )</v>
      </c>
      <c r="H2299" s="469"/>
      <c r="I2299" s="470"/>
      <c r="K2299" s="470"/>
      <c r="M2299" s="470"/>
      <c r="O2299" s="470"/>
    </row>
    <row r="2300">
      <c r="A2300" s="282" t="str">
        <f>IFERROR(__xludf.DUMMYFUNCTION("""COMPUTED_VALUE"""),"MICRO")</f>
        <v>MICRO</v>
      </c>
      <c r="B2300" s="468" t="str">
        <f>IFERROR(__xludf.DUMMYFUNCTION("""COMPUTED_VALUE"""),"ica.ahsan")</f>
        <v>ica.ahsan</v>
      </c>
      <c r="C2300" s="283" t="str">
        <f>IFERROR(__xludf.DUMMYFUNCTION("""COMPUTED_VALUE"""),"https://www.tiktok.com/@ica.ahsan")</f>
        <v>https://www.tiktok.com/@ica.ahsan</v>
      </c>
      <c r="D2300" s="273">
        <f>IFERROR(__xludf.DUMMYFUNCTION("""COMPUTED_VALUE"""),8.2310186387E10)</f>
        <v>82310186387</v>
      </c>
      <c r="E2300" s="458">
        <f>IFERROR(__xludf.DUMMYFUNCTION("""COMPUTED_VALUE"""),0.0)</f>
        <v>0</v>
      </c>
      <c r="F2300" s="273">
        <f>IFERROR(__xludf.DUMMYFUNCTION("""COMPUTED_VALUE"""),4.0)</f>
        <v>4</v>
      </c>
      <c r="G2300" t="str">
        <f>IFERROR(__xludf.DUMMYFUNCTION("""COMPUTED_VALUE"""),"Sabun batang 1 Box ( 2 PCS )")</f>
        <v>Sabun batang 1 Box ( 2 PCS )</v>
      </c>
      <c r="H2300" s="469"/>
      <c r="I2300" s="470"/>
      <c r="K2300" s="470"/>
      <c r="M2300" s="470"/>
      <c r="O2300" s="470"/>
    </row>
    <row r="2301">
      <c r="A2301" s="282" t="str">
        <f>IFERROR(__xludf.DUMMYFUNCTION("""COMPUTED_VALUE"""),"MICRO")</f>
        <v>MICRO</v>
      </c>
      <c r="B2301" s="468" t="str">
        <f>IFERROR(__xludf.DUMMYFUNCTION("""COMPUTED_VALUE"""),"ayurasya_2612")</f>
        <v>ayurasya_2612</v>
      </c>
      <c r="C2301" s="283" t="str">
        <f>IFERROR(__xludf.DUMMYFUNCTION("""COMPUTED_VALUE"""),"https://www.tiktok.com/@ayurasya_2612")</f>
        <v>https://www.tiktok.com/@ayurasya_2612</v>
      </c>
      <c r="D2301" s="273">
        <f>IFERROR(__xludf.DUMMYFUNCTION("""COMPUTED_VALUE"""),8.5647862469E10)</f>
        <v>85647862469</v>
      </c>
      <c r="E2301" s="458">
        <f>IFERROR(__xludf.DUMMYFUNCTION("""COMPUTED_VALUE"""),0.0)</f>
        <v>0</v>
      </c>
      <c r="F2301" s="273">
        <f>IFERROR(__xludf.DUMMYFUNCTION("""COMPUTED_VALUE"""),4.0)</f>
        <v>4</v>
      </c>
      <c r="G2301" t="str">
        <f>IFERROR(__xludf.DUMMYFUNCTION("""COMPUTED_VALUE"""),"Sabun batang 1 Box ( 2 PCS )")</f>
        <v>Sabun batang 1 Box ( 2 PCS )</v>
      </c>
      <c r="H2301" s="469"/>
      <c r="I2301" s="470"/>
      <c r="K2301" s="470"/>
      <c r="M2301" s="470"/>
      <c r="O2301" s="470"/>
    </row>
    <row r="2302">
      <c r="A2302" s="282" t="str">
        <f>IFERROR(__xludf.DUMMYFUNCTION("""COMPUTED_VALUE"""),"MICRO")</f>
        <v>MICRO</v>
      </c>
      <c r="B2302" s="468" t="str">
        <f>IFERROR(__xludf.DUMMYFUNCTION("""COMPUTED_VALUE"""),"sazkianaa_")</f>
        <v>sazkianaa_</v>
      </c>
      <c r="C2302" s="283" t="str">
        <f>IFERROR(__xludf.DUMMYFUNCTION("""COMPUTED_VALUE"""),"https://www.tiktok.com/@sazkianaa_")</f>
        <v>https://www.tiktok.com/@sazkianaa_</v>
      </c>
      <c r="D2302" s="273">
        <f>IFERROR(__xludf.DUMMYFUNCTION("""COMPUTED_VALUE"""),8.1548952959E10)</f>
        <v>81548952959</v>
      </c>
      <c r="E2302" s="458">
        <f>IFERROR(__xludf.DUMMYFUNCTION("""COMPUTED_VALUE"""),0.0)</f>
        <v>0</v>
      </c>
      <c r="F2302" s="273">
        <f>IFERROR(__xludf.DUMMYFUNCTION("""COMPUTED_VALUE"""),4.0)</f>
        <v>4</v>
      </c>
      <c r="G2302" t="str">
        <f>IFERROR(__xludf.DUMMYFUNCTION("""COMPUTED_VALUE"""),"Sabun batang 1 Box ( 2 PCS )")</f>
        <v>Sabun batang 1 Box ( 2 PCS )</v>
      </c>
      <c r="H2302" s="469"/>
      <c r="I2302" s="470"/>
      <c r="K2302" s="470"/>
      <c r="M2302" s="470"/>
      <c r="O2302" s="470"/>
    </row>
    <row r="2303">
      <c r="A2303" s="282" t="str">
        <f>IFERROR(__xludf.DUMMYFUNCTION("""COMPUTED_VALUE"""),"MICRO")</f>
        <v>MICRO</v>
      </c>
      <c r="B2303" s="468" t="str">
        <f>IFERROR(__xludf.DUMMYFUNCTION("""COMPUTED_VALUE"""),"ikhalistyarini")</f>
        <v>ikhalistyarini</v>
      </c>
      <c r="C2303" s="283" t="str">
        <f>IFERROR(__xludf.DUMMYFUNCTION("""COMPUTED_VALUE"""),"https://www.tiktok.com/@ikhalistyarini")</f>
        <v>https://www.tiktok.com/@ikhalistyarini</v>
      </c>
      <c r="D2303" s="273">
        <f>IFERROR(__xludf.DUMMYFUNCTION("""COMPUTED_VALUE"""),8.5640954E10)</f>
        <v>85640954000</v>
      </c>
      <c r="E2303" s="458">
        <f>IFERROR(__xludf.DUMMYFUNCTION("""COMPUTED_VALUE"""),0.0)</f>
        <v>0</v>
      </c>
      <c r="F2303" s="273">
        <f>IFERROR(__xludf.DUMMYFUNCTION("""COMPUTED_VALUE"""),4.0)</f>
        <v>4</v>
      </c>
      <c r="G2303" t="str">
        <f>IFERROR(__xludf.DUMMYFUNCTION("""COMPUTED_VALUE"""),"Sabun batang 1 Box ( 2 PCS )")</f>
        <v>Sabun batang 1 Box ( 2 PCS )</v>
      </c>
      <c r="H2303" s="469"/>
      <c r="I2303" s="470"/>
      <c r="K2303" s="470"/>
      <c r="M2303" s="470"/>
      <c r="O2303" s="470"/>
    </row>
    <row r="2304">
      <c r="A2304" s="282" t="str">
        <f>IFERROR(__xludf.DUMMYFUNCTION("""COMPUTED_VALUE"""),"MICRO")</f>
        <v>MICRO</v>
      </c>
      <c r="B2304" s="468" t="str">
        <f>IFERROR(__xludf.DUMMYFUNCTION("""COMPUTED_VALUE"""),"renidwiastutiii")</f>
        <v>renidwiastutiii</v>
      </c>
      <c r="C2304" s="283" t="str">
        <f>IFERROR(__xludf.DUMMYFUNCTION("""COMPUTED_VALUE"""),"https://www.tiktok.com/@renidwiastutiii")</f>
        <v>https://www.tiktok.com/@renidwiastutiii</v>
      </c>
      <c r="D2304" s="273">
        <f>IFERROR(__xludf.DUMMYFUNCTION("""COMPUTED_VALUE"""),8.882400919E9)</f>
        <v>8882400919</v>
      </c>
      <c r="E2304" s="458">
        <f>IFERROR(__xludf.DUMMYFUNCTION("""COMPUTED_VALUE"""),0.0)</f>
        <v>0</v>
      </c>
      <c r="F2304" s="273">
        <f>IFERROR(__xludf.DUMMYFUNCTION("""COMPUTED_VALUE"""),4.0)</f>
        <v>4</v>
      </c>
      <c r="G2304" t="str">
        <f>IFERROR(__xludf.DUMMYFUNCTION("""COMPUTED_VALUE"""),"Sabun batang 1 Box ( 2 PCS )")</f>
        <v>Sabun batang 1 Box ( 2 PCS )</v>
      </c>
      <c r="H2304" s="469"/>
      <c r="I2304" s="470"/>
      <c r="K2304" s="470"/>
      <c r="M2304" s="470"/>
      <c r="O2304" s="470"/>
    </row>
    <row r="2305">
      <c r="A2305" s="282" t="str">
        <f>IFERROR(__xludf.DUMMYFUNCTION("""COMPUTED_VALUE"""),"MICRO")</f>
        <v>MICRO</v>
      </c>
      <c r="B2305" s="468" t="str">
        <f>IFERROR(__xludf.DUMMYFUNCTION("""COMPUTED_VALUE"""),"linaindrayani538")</f>
        <v>linaindrayani538</v>
      </c>
      <c r="C2305" s="283" t="str">
        <f>IFERROR(__xludf.DUMMYFUNCTION("""COMPUTED_VALUE"""),"https://www.tiktok.com/@linaindrayani538")</f>
        <v>https://www.tiktok.com/@linaindrayani538</v>
      </c>
      <c r="D2305" s="273">
        <f>IFERROR(__xludf.DUMMYFUNCTION("""COMPUTED_VALUE"""),8.1333627659E10)</f>
        <v>81333627659</v>
      </c>
      <c r="E2305" s="458">
        <f>IFERROR(__xludf.DUMMYFUNCTION("""COMPUTED_VALUE"""),0.0)</f>
        <v>0</v>
      </c>
      <c r="F2305" s="273">
        <f>IFERROR(__xludf.DUMMYFUNCTION("""COMPUTED_VALUE"""),4.0)</f>
        <v>4</v>
      </c>
      <c r="G2305" t="str">
        <f>IFERROR(__xludf.DUMMYFUNCTION("""COMPUTED_VALUE"""),"Sabun batang 1 Box ( 2 PCS )")</f>
        <v>Sabun batang 1 Box ( 2 PCS )</v>
      </c>
      <c r="H2305" s="469"/>
      <c r="I2305" s="470"/>
      <c r="K2305" s="470"/>
      <c r="M2305" s="470"/>
      <c r="O2305" s="470"/>
    </row>
    <row r="2306">
      <c r="A2306" s="282" t="str">
        <f>IFERROR(__xludf.DUMMYFUNCTION("""COMPUTED_VALUE"""),"MICRO")</f>
        <v>MICRO</v>
      </c>
      <c r="B2306" s="468" t="str">
        <f>IFERROR(__xludf.DUMMYFUNCTION("""COMPUTED_VALUE"""),"02risna2")</f>
        <v>02risna2</v>
      </c>
      <c r="C2306" s="283" t="str">
        <f>IFERROR(__xludf.DUMMYFUNCTION("""COMPUTED_VALUE"""),"https://www.tiktok.com/@02risna2")</f>
        <v>https://www.tiktok.com/@02risna2</v>
      </c>
      <c r="D2306" s="273">
        <f>IFERROR(__xludf.DUMMYFUNCTION("""COMPUTED_VALUE"""),8.2253124966E10)</f>
        <v>82253124966</v>
      </c>
      <c r="E2306" s="458">
        <f>IFERROR(__xludf.DUMMYFUNCTION("""COMPUTED_VALUE"""),0.0)</f>
        <v>0</v>
      </c>
      <c r="F2306" s="273">
        <f>IFERROR(__xludf.DUMMYFUNCTION("""COMPUTED_VALUE"""),4.0)</f>
        <v>4</v>
      </c>
      <c r="G2306" t="str">
        <f>IFERROR(__xludf.DUMMYFUNCTION("""COMPUTED_VALUE"""),"Sabun batang 1 Box ( 2 PCS )")</f>
        <v>Sabun batang 1 Box ( 2 PCS )</v>
      </c>
      <c r="H2306" s="469"/>
      <c r="I2306" s="470"/>
      <c r="K2306" s="470"/>
      <c r="M2306" s="470"/>
      <c r="O2306" s="470"/>
    </row>
    <row r="2307">
      <c r="A2307" s="282" t="str">
        <f>IFERROR(__xludf.DUMMYFUNCTION("""COMPUTED_VALUE"""),"MICRO")</f>
        <v>MICRO</v>
      </c>
      <c r="B2307" s="468" t="str">
        <f>IFERROR(__xludf.DUMMYFUNCTION("""COMPUTED_VALUE"""),"owner_isna_flova")</f>
        <v>owner_isna_flova</v>
      </c>
      <c r="C2307" s="283" t="str">
        <f>IFERROR(__xludf.DUMMYFUNCTION("""COMPUTED_VALUE"""),"https://www.tiktok.com/@owner_isna_flova")</f>
        <v>https://www.tiktok.com/@owner_isna_flova</v>
      </c>
      <c r="D2307" s="273">
        <f>IFERROR(__xludf.DUMMYFUNCTION("""COMPUTED_VALUE"""),8.1529636501E10)</f>
        <v>81529636501</v>
      </c>
      <c r="E2307" s="458">
        <f>IFERROR(__xludf.DUMMYFUNCTION("""COMPUTED_VALUE"""),0.0)</f>
        <v>0</v>
      </c>
      <c r="F2307" s="273">
        <f>IFERROR(__xludf.DUMMYFUNCTION("""COMPUTED_VALUE"""),4.0)</f>
        <v>4</v>
      </c>
      <c r="G2307" t="str">
        <f>IFERROR(__xludf.DUMMYFUNCTION("""COMPUTED_VALUE"""),"Sabun batang 1 Box ( 2 PCS )")</f>
        <v>Sabun batang 1 Box ( 2 PCS )</v>
      </c>
      <c r="H2307" s="469"/>
      <c r="I2307" s="470"/>
      <c r="K2307" s="470"/>
      <c r="M2307" s="470"/>
      <c r="O2307" s="470"/>
    </row>
    <row r="2308">
      <c r="A2308" s="282" t="str">
        <f>IFERROR(__xludf.DUMMYFUNCTION("""COMPUTED_VALUE"""),"MICRO")</f>
        <v>MICRO</v>
      </c>
      <c r="B2308" s="468" t="str">
        <f>IFERROR(__xludf.DUMMYFUNCTION("""COMPUTED_VALUE"""),"fitrivivi20")</f>
        <v>fitrivivi20</v>
      </c>
      <c r="C2308" s="283" t="str">
        <f>IFERROR(__xludf.DUMMYFUNCTION("""COMPUTED_VALUE"""),"https://www.tiktok.com/@fitrivivi20")</f>
        <v>https://www.tiktok.com/@fitrivivi20</v>
      </c>
      <c r="D2308" s="273">
        <f>IFERROR(__xludf.DUMMYFUNCTION("""COMPUTED_VALUE"""),8.2373363871E10)</f>
        <v>82373363871</v>
      </c>
      <c r="E2308" s="458">
        <f>IFERROR(__xludf.DUMMYFUNCTION("""COMPUTED_VALUE"""),0.0)</f>
        <v>0</v>
      </c>
      <c r="F2308" s="273">
        <f>IFERROR(__xludf.DUMMYFUNCTION("""COMPUTED_VALUE"""),4.0)</f>
        <v>4</v>
      </c>
      <c r="G2308" t="str">
        <f>IFERROR(__xludf.DUMMYFUNCTION("""COMPUTED_VALUE"""),"Sabun batang 1 Box ( 2 PCS )")</f>
        <v>Sabun batang 1 Box ( 2 PCS )</v>
      </c>
      <c r="H2308" s="469"/>
      <c r="I2308" s="470"/>
      <c r="K2308" s="470"/>
      <c r="M2308" s="470"/>
      <c r="O2308" s="470"/>
    </row>
    <row r="2309">
      <c r="A2309" s="282" t="str">
        <f>IFERROR(__xludf.DUMMYFUNCTION("""COMPUTED_VALUE"""),"MICRO")</f>
        <v>MICRO</v>
      </c>
      <c r="B2309" s="468" t="str">
        <f>IFERROR(__xludf.DUMMYFUNCTION("""COMPUTED_VALUE"""),"mbakernand")</f>
        <v>mbakernand</v>
      </c>
      <c r="C2309" s="283" t="str">
        <f>IFERROR(__xludf.DUMMYFUNCTION("""COMPUTED_VALUE"""),"https://www.tiktok.com/@mbakernand")</f>
        <v>https://www.tiktok.com/@mbakernand</v>
      </c>
      <c r="D2309" s="273">
        <f>IFERROR(__xludf.DUMMYFUNCTION("""COMPUTED_VALUE"""),8.3182042038E10)</f>
        <v>83182042038</v>
      </c>
      <c r="E2309" s="458">
        <f>IFERROR(__xludf.DUMMYFUNCTION("""COMPUTED_VALUE"""),0.0)</f>
        <v>0</v>
      </c>
      <c r="F2309" s="273">
        <f>IFERROR(__xludf.DUMMYFUNCTION("""COMPUTED_VALUE"""),4.0)</f>
        <v>4</v>
      </c>
      <c r="G2309" t="str">
        <f>IFERROR(__xludf.DUMMYFUNCTION("""COMPUTED_VALUE"""),"Sabun batang 1 Box ( 2 PCS )")</f>
        <v>Sabun batang 1 Box ( 2 PCS )</v>
      </c>
      <c r="H2309" s="469"/>
      <c r="I2309" s="470"/>
      <c r="K2309" s="470"/>
      <c r="M2309" s="470"/>
      <c r="O2309" s="470"/>
    </row>
    <row r="2310">
      <c r="A2310" s="282" t="str">
        <f>IFERROR(__xludf.DUMMYFUNCTION("""COMPUTED_VALUE"""),"MICRO")</f>
        <v>MICRO</v>
      </c>
      <c r="B2310" s="468" t="str">
        <f>IFERROR(__xludf.DUMMYFUNCTION("""COMPUTED_VALUE"""),"nydha_makeup29")</f>
        <v>nydha_makeup29</v>
      </c>
      <c r="C2310" s="283" t="str">
        <f>IFERROR(__xludf.DUMMYFUNCTION("""COMPUTED_VALUE"""),"https://www.tiktok.com/@nydha_makeup29")</f>
        <v>https://www.tiktok.com/@nydha_makeup29</v>
      </c>
      <c r="D2310" s="273">
        <f>IFERROR(__xludf.DUMMYFUNCTION("""COMPUTED_VALUE"""),8.5954777729E10)</f>
        <v>85954777729</v>
      </c>
      <c r="E2310" s="458">
        <f>IFERROR(__xludf.DUMMYFUNCTION("""COMPUTED_VALUE"""),0.0)</f>
        <v>0</v>
      </c>
      <c r="F2310" s="273">
        <f>IFERROR(__xludf.DUMMYFUNCTION("""COMPUTED_VALUE"""),4.0)</f>
        <v>4</v>
      </c>
      <c r="G2310" t="str">
        <f>IFERROR(__xludf.DUMMYFUNCTION("""COMPUTED_VALUE"""),"Sabun batang 1 Box ( 2 PCS )")</f>
        <v>Sabun batang 1 Box ( 2 PCS )</v>
      </c>
      <c r="H2310" s="469"/>
      <c r="I2310" s="470"/>
      <c r="K2310" s="470"/>
      <c r="M2310" s="470"/>
      <c r="O2310" s="470"/>
    </row>
    <row r="2311">
      <c r="A2311" s="282" t="str">
        <f>IFERROR(__xludf.DUMMYFUNCTION("""COMPUTED_VALUE"""),"MICRO")</f>
        <v>MICRO</v>
      </c>
      <c r="B2311" s="468" t="str">
        <f>IFERROR(__xludf.DUMMYFUNCTION("""COMPUTED_VALUE"""),"dheaaa261918")</f>
        <v>dheaaa261918</v>
      </c>
      <c r="C2311" s="283" t="str">
        <f>IFERROR(__xludf.DUMMYFUNCTION("""COMPUTED_VALUE"""),"https://www.tiktok.com/@dheaaa261918")</f>
        <v>https://www.tiktok.com/@dheaaa261918</v>
      </c>
      <c r="D2311" s="273">
        <f>IFERROR(__xludf.DUMMYFUNCTION("""COMPUTED_VALUE"""),8.2291347303E10)</f>
        <v>82291347303</v>
      </c>
      <c r="E2311" s="458">
        <f>IFERROR(__xludf.DUMMYFUNCTION("""COMPUTED_VALUE"""),0.0)</f>
        <v>0</v>
      </c>
      <c r="F2311" s="273">
        <f>IFERROR(__xludf.DUMMYFUNCTION("""COMPUTED_VALUE"""),4.0)</f>
        <v>4</v>
      </c>
      <c r="G2311" t="str">
        <f>IFERROR(__xludf.DUMMYFUNCTION("""COMPUTED_VALUE"""),"Sabun batang 1 Box ( 2 PCS )")</f>
        <v>Sabun batang 1 Box ( 2 PCS )</v>
      </c>
      <c r="H2311" s="469"/>
      <c r="I2311" s="470"/>
      <c r="K2311" s="470"/>
      <c r="M2311" s="470"/>
      <c r="O2311" s="470"/>
    </row>
    <row r="2312">
      <c r="A2312" s="282" t="str">
        <f>IFERROR(__xludf.DUMMYFUNCTION("""COMPUTED_VALUE"""),"MICRO")</f>
        <v>MICRO</v>
      </c>
      <c r="B2312" s="468" t="str">
        <f>IFERROR(__xludf.DUMMYFUNCTION("""COMPUTED_VALUE"""),"tya_wati02")</f>
        <v>tya_wati02</v>
      </c>
      <c r="C2312" s="283" t="str">
        <f>IFERROR(__xludf.DUMMYFUNCTION("""COMPUTED_VALUE"""),"https://www.tiktok.com/@tya_wati02")</f>
        <v>https://www.tiktok.com/@tya_wati02</v>
      </c>
      <c r="D2312" s="273">
        <f>IFERROR(__xludf.DUMMYFUNCTION("""COMPUTED_VALUE"""),8.9669229138E10)</f>
        <v>89669229138</v>
      </c>
      <c r="E2312" s="458">
        <f>IFERROR(__xludf.DUMMYFUNCTION("""COMPUTED_VALUE"""),0.0)</f>
        <v>0</v>
      </c>
      <c r="F2312" s="273">
        <f>IFERROR(__xludf.DUMMYFUNCTION("""COMPUTED_VALUE"""),2.0)</f>
        <v>2</v>
      </c>
      <c r="G2312" t="str">
        <f>IFERROR(__xludf.DUMMYFUNCTION("""COMPUTED_VALUE"""),"Sabun batang 1 Box ( 2 PCS )")</f>
        <v>Sabun batang 1 Box ( 2 PCS )</v>
      </c>
      <c r="H2312" s="469"/>
      <c r="I2312" s="470"/>
      <c r="K2312" s="470"/>
      <c r="M2312" s="470"/>
      <c r="O2312" s="470"/>
    </row>
    <row r="2313">
      <c r="A2313" s="282" t="str">
        <f>IFERROR(__xludf.DUMMYFUNCTION("""COMPUTED_VALUE"""),"MICRO")</f>
        <v>MICRO</v>
      </c>
      <c r="B2313" s="468" t="str">
        <f>IFERROR(__xludf.DUMMYFUNCTION("""COMPUTED_VALUE"""),"alvinkhoirunnisa")</f>
        <v>alvinkhoirunnisa</v>
      </c>
      <c r="C2313" s="283" t="str">
        <f>IFERROR(__xludf.DUMMYFUNCTION("""COMPUTED_VALUE"""),"https://www.tiktok.com/@alvinkhoirunnisa")</f>
        <v>https://www.tiktok.com/@alvinkhoirunnisa</v>
      </c>
      <c r="D2313" s="273">
        <f>IFERROR(__xludf.DUMMYFUNCTION("""COMPUTED_VALUE"""),8.5707037457E10)</f>
        <v>85707037457</v>
      </c>
      <c r="E2313" s="458">
        <f>IFERROR(__xludf.DUMMYFUNCTION("""COMPUTED_VALUE"""),0.0)</f>
        <v>0</v>
      </c>
      <c r="F2313" s="273">
        <f>IFERROR(__xludf.DUMMYFUNCTION("""COMPUTED_VALUE"""),4.0)</f>
        <v>4</v>
      </c>
      <c r="G2313" t="str">
        <f>IFERROR(__xludf.DUMMYFUNCTION("""COMPUTED_VALUE"""),"Sabun batang 1 Box ( 2 PCS )")</f>
        <v>Sabun batang 1 Box ( 2 PCS )</v>
      </c>
      <c r="H2313" s="469"/>
      <c r="I2313" s="470"/>
      <c r="K2313" s="470"/>
      <c r="M2313" s="470"/>
      <c r="O2313" s="470"/>
    </row>
    <row r="2314">
      <c r="A2314" s="282" t="str">
        <f>IFERROR(__xludf.DUMMYFUNCTION("""COMPUTED_VALUE"""),"MICRO")</f>
        <v>MICRO</v>
      </c>
      <c r="B2314" s="468" t="str">
        <f>IFERROR(__xludf.DUMMYFUNCTION("""COMPUTED_VALUE"""),"bunda_salju")</f>
        <v>bunda_salju</v>
      </c>
      <c r="C2314" s="283" t="str">
        <f>IFERROR(__xludf.DUMMYFUNCTION("""COMPUTED_VALUE"""),"https://www.tiktok.com/@bunda_salju")</f>
        <v>https://www.tiktok.com/@bunda_salju</v>
      </c>
      <c r="D2314" s="273">
        <f>IFERROR(__xludf.DUMMYFUNCTION("""COMPUTED_VALUE"""),8.2336194119E10)</f>
        <v>82336194119</v>
      </c>
      <c r="E2314" s="458">
        <f>IFERROR(__xludf.DUMMYFUNCTION("""COMPUTED_VALUE"""),0.0)</f>
        <v>0</v>
      </c>
      <c r="F2314" s="273">
        <f>IFERROR(__xludf.DUMMYFUNCTION("""COMPUTED_VALUE"""),4.0)</f>
        <v>4</v>
      </c>
      <c r="G2314" t="str">
        <f>IFERROR(__xludf.DUMMYFUNCTION("""COMPUTED_VALUE"""),"Sabun batang 1 Box ( 2 PCS )")</f>
        <v>Sabun batang 1 Box ( 2 PCS )</v>
      </c>
      <c r="H2314" s="469"/>
      <c r="I2314" s="470"/>
      <c r="K2314" s="470"/>
      <c r="M2314" s="470"/>
      <c r="O2314" s="470"/>
    </row>
    <row r="2315">
      <c r="A2315" s="282" t="str">
        <f>IFERROR(__xludf.DUMMYFUNCTION("""COMPUTED_VALUE"""),"MICRO")</f>
        <v>MICRO</v>
      </c>
      <c r="B2315" s="468" t="str">
        <f>IFERROR(__xludf.DUMMYFUNCTION("""COMPUTED_VALUE"""),"sepilyok")</f>
        <v>sepilyok</v>
      </c>
      <c r="C2315" s="283" t="str">
        <f>IFERROR(__xludf.DUMMYFUNCTION("""COMPUTED_VALUE"""),"https://www.tiktok.com/@sepilyok")</f>
        <v>https://www.tiktok.com/@sepilyok</v>
      </c>
      <c r="D2315" s="273">
        <f>IFERROR(__xludf.DUMMYFUNCTION("""COMPUTED_VALUE"""),8.9514320154E10)</f>
        <v>89514320154</v>
      </c>
      <c r="E2315" s="458">
        <f>IFERROR(__xludf.DUMMYFUNCTION("""COMPUTED_VALUE"""),0.0)</f>
        <v>0</v>
      </c>
      <c r="F2315" s="273">
        <f>IFERROR(__xludf.DUMMYFUNCTION("""COMPUTED_VALUE"""),3.0)</f>
        <v>3</v>
      </c>
      <c r="G2315" t="str">
        <f>IFERROR(__xludf.DUMMYFUNCTION("""COMPUTED_VALUE"""),"Sabun batang 1 Box ( 2 PCS )")</f>
        <v>Sabun batang 1 Box ( 2 PCS )</v>
      </c>
      <c r="H2315" s="469"/>
      <c r="I2315" s="470"/>
      <c r="K2315" s="470"/>
      <c r="M2315" s="470"/>
      <c r="O2315" s="470"/>
    </row>
    <row r="2316">
      <c r="A2316" s="282" t="str">
        <f>IFERROR(__xludf.DUMMYFUNCTION("""COMPUTED_VALUE"""),"MICRO")</f>
        <v>MICRO</v>
      </c>
      <c r="B2316" s="468" t="str">
        <f>IFERROR(__xludf.DUMMYFUNCTION("""COMPUTED_VALUE"""),"biawak.cantik1")</f>
        <v>biawak.cantik1</v>
      </c>
      <c r="C2316" s="283" t="str">
        <f>IFERROR(__xludf.DUMMYFUNCTION("""COMPUTED_VALUE"""),"https://www.tiktok.com/@biawak.cantik1")</f>
        <v>https://www.tiktok.com/@biawak.cantik1</v>
      </c>
      <c r="D2316" s="273">
        <f>IFERROR(__xludf.DUMMYFUNCTION("""COMPUTED_VALUE"""),8.7875764796E10)</f>
        <v>87875764796</v>
      </c>
      <c r="E2316" s="458">
        <f>IFERROR(__xludf.DUMMYFUNCTION("""COMPUTED_VALUE"""),0.0)</f>
        <v>0</v>
      </c>
      <c r="F2316" s="273">
        <f>IFERROR(__xludf.DUMMYFUNCTION("""COMPUTED_VALUE"""),4.0)</f>
        <v>4</v>
      </c>
      <c r="G2316" t="str">
        <f>IFERROR(__xludf.DUMMYFUNCTION("""COMPUTED_VALUE"""),"Sabun batang 1 Box ( 2 PCS )")</f>
        <v>Sabun batang 1 Box ( 2 PCS )</v>
      </c>
      <c r="H2316" s="469"/>
      <c r="I2316" s="470"/>
      <c r="K2316" s="470"/>
      <c r="M2316" s="470"/>
      <c r="O2316" s="470"/>
    </row>
    <row r="2317">
      <c r="A2317" s="282" t="str">
        <f>IFERROR(__xludf.DUMMYFUNCTION("""COMPUTED_VALUE"""),"MICRO")</f>
        <v>MICRO</v>
      </c>
      <c r="B2317" s="468" t="str">
        <f>IFERROR(__xludf.DUMMYFUNCTION("""COMPUTED_VALUE"""),"pinkyyycookies")</f>
        <v>pinkyyycookies</v>
      </c>
      <c r="C2317" s="283" t="str">
        <f>IFERROR(__xludf.DUMMYFUNCTION("""COMPUTED_VALUE"""),"https://www.tiktok.com/@pinkyyycookies")</f>
        <v>https://www.tiktok.com/@pinkyyycookies</v>
      </c>
      <c r="D2317" s="273">
        <f>IFERROR(__xludf.DUMMYFUNCTION("""COMPUTED_VALUE"""),8.95409279E11)</f>
        <v>895409279000</v>
      </c>
      <c r="E2317" s="458">
        <f>IFERROR(__xludf.DUMMYFUNCTION("""COMPUTED_VALUE"""),0.0)</f>
        <v>0</v>
      </c>
      <c r="F2317" s="273">
        <f>IFERROR(__xludf.DUMMYFUNCTION("""COMPUTED_VALUE"""),4.0)</f>
        <v>4</v>
      </c>
      <c r="G2317" t="str">
        <f>IFERROR(__xludf.DUMMYFUNCTION("""COMPUTED_VALUE"""),"Sabun batang 1 Box ( 2 PCS )")</f>
        <v>Sabun batang 1 Box ( 2 PCS )</v>
      </c>
      <c r="H2317" s="469"/>
      <c r="I2317" s="470"/>
      <c r="K2317" s="470"/>
      <c r="M2317" s="470"/>
      <c r="O2317" s="470"/>
    </row>
    <row r="2318">
      <c r="A2318" s="282" t="str">
        <f>IFERROR(__xludf.DUMMYFUNCTION("""COMPUTED_VALUE"""),"MICRO")</f>
        <v>MICRO</v>
      </c>
      <c r="B2318" s="468" t="str">
        <f>IFERROR(__xludf.DUMMYFUNCTION("""COMPUTED_VALUE"""),"rainnaeee")</f>
        <v>rainnaeee</v>
      </c>
      <c r="C2318" s="283" t="str">
        <f>IFERROR(__xludf.DUMMYFUNCTION("""COMPUTED_VALUE"""),"https://www.tiktok.com/@rainnaeee")</f>
        <v>https://www.tiktok.com/@rainnaeee</v>
      </c>
      <c r="D2318" s="273">
        <f>IFERROR(__xludf.DUMMYFUNCTION("""COMPUTED_VALUE"""),8.78487284E10)</f>
        <v>87848728400</v>
      </c>
      <c r="E2318" s="458">
        <f>IFERROR(__xludf.DUMMYFUNCTION("""COMPUTED_VALUE"""),0.0)</f>
        <v>0</v>
      </c>
      <c r="F2318" s="273">
        <f>IFERROR(__xludf.DUMMYFUNCTION("""COMPUTED_VALUE"""),2.0)</f>
        <v>2</v>
      </c>
      <c r="G2318" t="str">
        <f>IFERROR(__xludf.DUMMYFUNCTION("""COMPUTED_VALUE"""),"Sabun batang 1 Box ( 2 PCS )")</f>
        <v>Sabun batang 1 Box ( 2 PCS )</v>
      </c>
      <c r="H2318" s="469"/>
      <c r="I2318" s="470"/>
      <c r="K2318" s="470"/>
      <c r="M2318" s="470"/>
      <c r="O2318" s="470"/>
    </row>
    <row r="2319">
      <c r="A2319" s="282" t="str">
        <f>IFERROR(__xludf.DUMMYFUNCTION("""COMPUTED_VALUE"""),"MICRO")</f>
        <v>MICRO</v>
      </c>
      <c r="B2319" s="468" t="str">
        <f>IFERROR(__xludf.DUMMYFUNCTION("""COMPUTED_VALUE"""),"wulansalon2020")</f>
        <v>wulansalon2020</v>
      </c>
      <c r="C2319" s="283" t="str">
        <f>IFERROR(__xludf.DUMMYFUNCTION("""COMPUTED_VALUE"""),"https://www.tiktok.com/@wulansalon2020")</f>
        <v>https://www.tiktok.com/@wulansalon2020</v>
      </c>
      <c r="D2319" s="273">
        <f>IFERROR(__xludf.DUMMYFUNCTION("""COMPUTED_VALUE"""),8.98336919E9)</f>
        <v>8983369190</v>
      </c>
      <c r="E2319" s="458">
        <f>IFERROR(__xludf.DUMMYFUNCTION("""COMPUTED_VALUE"""),0.0)</f>
        <v>0</v>
      </c>
      <c r="F2319" s="273">
        <f>IFERROR(__xludf.DUMMYFUNCTION("""COMPUTED_VALUE"""),4.0)</f>
        <v>4</v>
      </c>
      <c r="G2319" t="str">
        <f>IFERROR(__xludf.DUMMYFUNCTION("""COMPUTED_VALUE"""),"Sabun batang 1 Box ( 2 PCS )")</f>
        <v>Sabun batang 1 Box ( 2 PCS )</v>
      </c>
      <c r="H2319" s="469"/>
      <c r="I2319" s="470"/>
      <c r="K2319" s="470"/>
      <c r="M2319" s="470"/>
      <c r="O2319" s="470"/>
    </row>
    <row r="2320">
      <c r="A2320" s="282" t="str">
        <f>IFERROR(__xludf.DUMMYFUNCTION("""COMPUTED_VALUE"""),"MICRO")</f>
        <v>MICRO</v>
      </c>
      <c r="B2320" s="468" t="str">
        <f>IFERROR(__xludf.DUMMYFUNCTION("""COMPUTED_VALUE"""),"racundailyya")</f>
        <v>racundailyya</v>
      </c>
      <c r="C2320" s="283" t="str">
        <f>IFERROR(__xludf.DUMMYFUNCTION("""COMPUTED_VALUE"""),"https://www.tiktok.com/@racundailyya")</f>
        <v>https://www.tiktok.com/@racundailyya</v>
      </c>
      <c r="D2320" s="273">
        <f>IFERROR(__xludf.DUMMYFUNCTION("""COMPUTED_VALUE"""),8.9519781318E10)</f>
        <v>89519781318</v>
      </c>
      <c r="E2320" s="458">
        <f>IFERROR(__xludf.DUMMYFUNCTION("""COMPUTED_VALUE"""),0.0)</f>
        <v>0</v>
      </c>
      <c r="F2320" s="273">
        <f>IFERROR(__xludf.DUMMYFUNCTION("""COMPUTED_VALUE"""),4.0)</f>
        <v>4</v>
      </c>
      <c r="G2320" t="str">
        <f>IFERROR(__xludf.DUMMYFUNCTION("""COMPUTED_VALUE"""),"Sabun batang 1 Box ( 2 PCS )")</f>
        <v>Sabun batang 1 Box ( 2 PCS )</v>
      </c>
      <c r="H2320" s="469"/>
      <c r="I2320" s="470"/>
      <c r="K2320" s="470"/>
      <c r="M2320" s="470"/>
      <c r="O2320" s="470"/>
    </row>
    <row r="2321">
      <c r="A2321" s="282" t="str">
        <f>IFERROR(__xludf.DUMMYFUNCTION("""COMPUTED_VALUE"""),"MICRO")</f>
        <v>MICRO</v>
      </c>
      <c r="B2321" s="468" t="str">
        <f>IFERROR(__xludf.DUMMYFUNCTION("""COMPUTED_VALUE"""),"nenengnuryanti002")</f>
        <v>nenengnuryanti002</v>
      </c>
      <c r="C2321" s="283" t="str">
        <f>IFERROR(__xludf.DUMMYFUNCTION("""COMPUTED_VALUE"""),"https://www.tiktok.com/@nenengnuryanti002")</f>
        <v>https://www.tiktok.com/@nenengnuryanti002</v>
      </c>
      <c r="D2321" s="273">
        <f>IFERROR(__xludf.DUMMYFUNCTION("""COMPUTED_VALUE"""),8.2116841037E10)</f>
        <v>82116841037</v>
      </c>
      <c r="E2321" s="458">
        <f>IFERROR(__xludf.DUMMYFUNCTION("""COMPUTED_VALUE"""),0.0)</f>
        <v>0</v>
      </c>
      <c r="F2321" s="273">
        <f>IFERROR(__xludf.DUMMYFUNCTION("""COMPUTED_VALUE"""),4.0)</f>
        <v>4</v>
      </c>
      <c r="G2321" t="str">
        <f>IFERROR(__xludf.DUMMYFUNCTION("""COMPUTED_VALUE"""),"Sabun batang 1 Box ( 2 PCS )")</f>
        <v>Sabun batang 1 Box ( 2 PCS )</v>
      </c>
      <c r="H2321" s="469"/>
      <c r="I2321" s="470"/>
      <c r="K2321" s="470"/>
      <c r="M2321" s="470"/>
      <c r="O2321" s="470"/>
    </row>
    <row r="2322">
      <c r="A2322" s="282" t="str">
        <f>IFERROR(__xludf.DUMMYFUNCTION("""COMPUTED_VALUE"""),"MICRO")</f>
        <v>MICRO</v>
      </c>
      <c r="B2322" s="468" t="str">
        <f>IFERROR(__xludf.DUMMYFUNCTION("""COMPUTED_VALUE"""),"fadiilnur")</f>
        <v>fadiilnur</v>
      </c>
      <c r="C2322" s="283" t="str">
        <f>IFERROR(__xludf.DUMMYFUNCTION("""COMPUTED_VALUE"""),"https://www.tiktok.com/@fadiilnur")</f>
        <v>https://www.tiktok.com/@fadiilnur</v>
      </c>
      <c r="D2322" s="273">
        <f>IFERROR(__xludf.DUMMYFUNCTION("""COMPUTED_VALUE"""),8.893663524E9)</f>
        <v>8893663524</v>
      </c>
      <c r="E2322" s="458">
        <f>IFERROR(__xludf.DUMMYFUNCTION("""COMPUTED_VALUE"""),0.0)</f>
        <v>0</v>
      </c>
      <c r="F2322" s="273">
        <f>IFERROR(__xludf.DUMMYFUNCTION("""COMPUTED_VALUE"""),2.0)</f>
        <v>2</v>
      </c>
      <c r="G2322" t="str">
        <f>IFERROR(__xludf.DUMMYFUNCTION("""COMPUTED_VALUE"""),"Sabun batang 1 Box ( 2 PCS )")</f>
        <v>Sabun batang 1 Box ( 2 PCS )</v>
      </c>
      <c r="H2322" s="469"/>
      <c r="I2322" s="470"/>
      <c r="K2322" s="470"/>
      <c r="M2322" s="470"/>
      <c r="O2322" s="470"/>
    </row>
    <row r="2323">
      <c r="A2323" s="282" t="str">
        <f>IFERROR(__xludf.DUMMYFUNCTION("""COMPUTED_VALUE"""),"MICRO")</f>
        <v>MICRO</v>
      </c>
      <c r="B2323" s="468" t="str">
        <f>IFERROR(__xludf.DUMMYFUNCTION("""COMPUTED_VALUE"""),"nanaddhiraa")</f>
        <v>nanaddhiraa</v>
      </c>
      <c r="C2323" s="283" t="str">
        <f>IFERROR(__xludf.DUMMYFUNCTION("""COMPUTED_VALUE"""),"https://www.tiktok.com/@nanaddhiraa")</f>
        <v>https://www.tiktok.com/@nanaddhiraa</v>
      </c>
      <c r="D2323" s="273">
        <f>IFERROR(__xludf.DUMMYFUNCTION("""COMPUTED_VALUE"""),8.1341619449E10)</f>
        <v>81341619449</v>
      </c>
      <c r="E2323" s="458">
        <f>IFERROR(__xludf.DUMMYFUNCTION("""COMPUTED_VALUE"""),0.0)</f>
        <v>0</v>
      </c>
      <c r="F2323" s="273">
        <f>IFERROR(__xludf.DUMMYFUNCTION("""COMPUTED_VALUE"""),4.0)</f>
        <v>4</v>
      </c>
      <c r="G2323" t="str">
        <f>IFERROR(__xludf.DUMMYFUNCTION("""COMPUTED_VALUE"""),"Sabun batang 1 Box ( 2 PCS )")</f>
        <v>Sabun batang 1 Box ( 2 PCS )</v>
      </c>
      <c r="H2323" s="469"/>
      <c r="I2323" s="470"/>
      <c r="K2323" s="470"/>
      <c r="M2323" s="470"/>
      <c r="O2323" s="470"/>
    </row>
    <row r="2324">
      <c r="A2324" s="282" t="str">
        <f>IFERROR(__xludf.DUMMYFUNCTION("""COMPUTED_VALUE"""),"MICRO")</f>
        <v>MICRO</v>
      </c>
      <c r="B2324" s="468" t="str">
        <f>IFERROR(__xludf.DUMMYFUNCTION("""COMPUTED_VALUE"""),"madein.sintaa")</f>
        <v>madein.sintaa</v>
      </c>
      <c r="C2324" s="283" t="str">
        <f>IFERROR(__xludf.DUMMYFUNCTION("""COMPUTED_VALUE"""),"https://www.tiktok.com/@madein.sintaa")</f>
        <v>https://www.tiktok.com/@madein.sintaa</v>
      </c>
      <c r="D2324" s="273">
        <f>IFERROR(__xludf.DUMMYFUNCTION("""COMPUTED_VALUE"""),8.1216521775E10)</f>
        <v>81216521775</v>
      </c>
      <c r="E2324" s="458">
        <f>IFERROR(__xludf.DUMMYFUNCTION("""COMPUTED_VALUE"""),0.0)</f>
        <v>0</v>
      </c>
      <c r="F2324" s="273">
        <f>IFERROR(__xludf.DUMMYFUNCTION("""COMPUTED_VALUE"""),4.0)</f>
        <v>4</v>
      </c>
      <c r="G2324" t="str">
        <f>IFERROR(__xludf.DUMMYFUNCTION("""COMPUTED_VALUE"""),"Sabun batang 1 Box ( 2 PCS )")</f>
        <v>Sabun batang 1 Box ( 2 PCS )</v>
      </c>
      <c r="H2324" s="469"/>
      <c r="I2324" s="470"/>
      <c r="K2324" s="470"/>
      <c r="M2324" s="470"/>
      <c r="O2324" s="470"/>
    </row>
    <row r="2325">
      <c r="A2325" s="282" t="str">
        <f>IFERROR(__xludf.DUMMYFUNCTION("""COMPUTED_VALUE"""),"MICRO")</f>
        <v>MICRO</v>
      </c>
      <c r="B2325" s="468" t="str">
        <f>IFERROR(__xludf.DUMMYFUNCTION("""COMPUTED_VALUE"""),"virliya2")</f>
        <v>virliya2</v>
      </c>
      <c r="C2325" s="283" t="str">
        <f>IFERROR(__xludf.DUMMYFUNCTION("""COMPUTED_VALUE"""),"https://www.tiktok.com/@virliya2")</f>
        <v>https://www.tiktok.com/@virliya2</v>
      </c>
      <c r="D2325" s="273">
        <f>IFERROR(__xludf.DUMMYFUNCTION("""COMPUTED_VALUE"""),8.1235615414E10)</f>
        <v>81235615414</v>
      </c>
      <c r="E2325" s="458">
        <f>IFERROR(__xludf.DUMMYFUNCTION("""COMPUTED_VALUE"""),0.0)</f>
        <v>0</v>
      </c>
      <c r="F2325" s="273">
        <f>IFERROR(__xludf.DUMMYFUNCTION("""COMPUTED_VALUE"""),4.0)</f>
        <v>4</v>
      </c>
      <c r="G2325" t="str">
        <f>IFERROR(__xludf.DUMMYFUNCTION("""COMPUTED_VALUE"""),"Sabun batang 1 Box ( 2 PCS )")</f>
        <v>Sabun batang 1 Box ( 2 PCS )</v>
      </c>
      <c r="H2325" s="469"/>
      <c r="I2325" s="470"/>
      <c r="K2325" s="470"/>
      <c r="M2325" s="470"/>
      <c r="O2325" s="470"/>
    </row>
    <row r="2326">
      <c r="A2326" s="282" t="str">
        <f>IFERROR(__xludf.DUMMYFUNCTION("""COMPUTED_VALUE"""),"MICRO")</f>
        <v>MICRO</v>
      </c>
      <c r="B2326" s="468" t="str">
        <f>IFERROR(__xludf.DUMMYFUNCTION("""COMPUTED_VALUE"""),"gemetzzz")</f>
        <v>gemetzzz</v>
      </c>
      <c r="C2326" s="283" t="str">
        <f>IFERROR(__xludf.DUMMYFUNCTION("""COMPUTED_VALUE"""),"https://www.tiktok.com/@gemetzzz")</f>
        <v>https://www.tiktok.com/@gemetzzz</v>
      </c>
      <c r="D2326" s="273">
        <f>IFERROR(__xludf.DUMMYFUNCTION("""COMPUTED_VALUE"""),8.81038312299E11)</f>
        <v>881038312299</v>
      </c>
      <c r="E2326" s="458">
        <f>IFERROR(__xludf.DUMMYFUNCTION("""COMPUTED_VALUE"""),0.0)</f>
        <v>0</v>
      </c>
      <c r="F2326" s="273">
        <f>IFERROR(__xludf.DUMMYFUNCTION("""COMPUTED_VALUE"""),4.0)</f>
        <v>4</v>
      </c>
      <c r="G2326" t="str">
        <f>IFERROR(__xludf.DUMMYFUNCTION("""COMPUTED_VALUE"""),"Sabun batang 1 Box ( 2 PCS )")</f>
        <v>Sabun batang 1 Box ( 2 PCS )</v>
      </c>
      <c r="H2326" s="469"/>
      <c r="I2326" s="470"/>
      <c r="K2326" s="470"/>
      <c r="M2326" s="470"/>
      <c r="O2326" s="470"/>
    </row>
    <row r="2327">
      <c r="A2327" s="282" t="str">
        <f>IFERROR(__xludf.DUMMYFUNCTION("""COMPUTED_VALUE"""),"MICRO")</f>
        <v>MICRO</v>
      </c>
      <c r="B2327" s="468" t="str">
        <f>IFERROR(__xludf.DUMMYFUNCTION("""COMPUTED_VALUE"""),"rantifuji_")</f>
        <v>rantifuji_</v>
      </c>
      <c r="C2327" s="283" t="str">
        <f>IFERROR(__xludf.DUMMYFUNCTION("""COMPUTED_VALUE"""),"https://www.tiktok.com/@rantifuji_")</f>
        <v>https://www.tiktok.com/@rantifuji_</v>
      </c>
      <c r="D2327" s="273">
        <f>IFERROR(__xludf.DUMMYFUNCTION("""COMPUTED_VALUE"""),8.5759348774E10)</f>
        <v>85759348774</v>
      </c>
      <c r="E2327" s="458">
        <f>IFERROR(__xludf.DUMMYFUNCTION("""COMPUTED_VALUE"""),0.0)</f>
        <v>0</v>
      </c>
      <c r="F2327" s="273">
        <f>IFERROR(__xludf.DUMMYFUNCTION("""COMPUTED_VALUE"""),4.0)</f>
        <v>4</v>
      </c>
      <c r="G2327" t="str">
        <f>IFERROR(__xludf.DUMMYFUNCTION("""COMPUTED_VALUE"""),"Sabun batang 1 Box ( 2 PCS )")</f>
        <v>Sabun batang 1 Box ( 2 PCS )</v>
      </c>
      <c r="H2327" s="469"/>
      <c r="I2327" s="470"/>
      <c r="K2327" s="470"/>
      <c r="M2327" s="470"/>
      <c r="O2327" s="470"/>
    </row>
    <row r="2328">
      <c r="A2328" s="282" t="str">
        <f>IFERROR(__xludf.DUMMYFUNCTION("""COMPUTED_VALUE"""),"MICRO")</f>
        <v>MICRO</v>
      </c>
      <c r="B2328" s="468" t="str">
        <f>IFERROR(__xludf.DUMMYFUNCTION("""COMPUTED_VALUE"""),"rrnya_")</f>
        <v>rrnya_</v>
      </c>
      <c r="C2328" s="283" t="str">
        <f>IFERROR(__xludf.DUMMYFUNCTION("""COMPUTED_VALUE"""),"https://www.tiktok.com/@rrnya_")</f>
        <v>https://www.tiktok.com/@rrnya_</v>
      </c>
      <c r="D2328" s="273">
        <f>IFERROR(__xludf.DUMMYFUNCTION("""COMPUTED_VALUE"""),8.871798992E9)</f>
        <v>8871798992</v>
      </c>
      <c r="E2328" s="458">
        <f>IFERROR(__xludf.DUMMYFUNCTION("""COMPUTED_VALUE"""),0.0)</f>
        <v>0</v>
      </c>
      <c r="F2328" s="273">
        <f>IFERROR(__xludf.DUMMYFUNCTION("""COMPUTED_VALUE"""),4.0)</f>
        <v>4</v>
      </c>
      <c r="G2328" t="str">
        <f>IFERROR(__xludf.DUMMYFUNCTION("""COMPUTED_VALUE"""),"Sabun batang 1 Box ( 2 PCS )")</f>
        <v>Sabun batang 1 Box ( 2 PCS )</v>
      </c>
      <c r="H2328" s="469"/>
      <c r="I2328" s="470"/>
      <c r="K2328" s="470"/>
      <c r="M2328" s="470"/>
      <c r="O2328" s="470"/>
    </row>
    <row r="2329">
      <c r="A2329" s="282" t="str">
        <f>IFERROR(__xludf.DUMMYFUNCTION("""COMPUTED_VALUE"""),"MICRO")</f>
        <v>MICRO</v>
      </c>
      <c r="B2329" s="468" t="str">
        <f>IFERROR(__xludf.DUMMYFUNCTION("""COMPUTED_VALUE"""),"spillbynd_2")</f>
        <v>spillbynd_2</v>
      </c>
      <c r="C2329" s="283" t="str">
        <f>IFERROR(__xludf.DUMMYFUNCTION("""COMPUTED_VALUE"""),"https://www.tiktok.com/@spillbynd_2")</f>
        <v>https://www.tiktok.com/@spillbynd_2</v>
      </c>
      <c r="D2329" s="273">
        <f>IFERROR(__xludf.DUMMYFUNCTION("""COMPUTED_VALUE"""),8.5234565968E10)</f>
        <v>85234565968</v>
      </c>
      <c r="E2329" s="458">
        <f>IFERROR(__xludf.DUMMYFUNCTION("""COMPUTED_VALUE"""),0.0)</f>
        <v>0</v>
      </c>
      <c r="F2329" s="273">
        <f>IFERROR(__xludf.DUMMYFUNCTION("""COMPUTED_VALUE"""),4.0)</f>
        <v>4</v>
      </c>
      <c r="G2329" t="str">
        <f>IFERROR(__xludf.DUMMYFUNCTION("""COMPUTED_VALUE"""),"Sabun batang 1 Box ( 2 PCS )")</f>
        <v>Sabun batang 1 Box ( 2 PCS )</v>
      </c>
      <c r="H2329" s="469"/>
      <c r="I2329" s="470"/>
      <c r="K2329" s="470"/>
      <c r="M2329" s="470"/>
      <c r="O2329" s="470"/>
    </row>
    <row r="2330">
      <c r="A2330" s="282" t="str">
        <f>IFERROR(__xludf.DUMMYFUNCTION("""COMPUTED_VALUE"""),"MICRO")</f>
        <v>MICRO</v>
      </c>
      <c r="B2330" s="468" t="str">
        <f>IFERROR(__xludf.DUMMYFUNCTION("""COMPUTED_VALUE"""),"justluthfii")</f>
        <v>justluthfii</v>
      </c>
      <c r="C2330" s="283" t="str">
        <f>IFERROR(__xludf.DUMMYFUNCTION("""COMPUTED_VALUE"""),"https://www.tiktok.com/@justluthfii")</f>
        <v>https://www.tiktok.com/@justluthfii</v>
      </c>
      <c r="D2330" s="273">
        <f>IFERROR(__xludf.DUMMYFUNCTION("""COMPUTED_VALUE"""),8.213133174E10)</f>
        <v>82131331740</v>
      </c>
      <c r="E2330" s="458">
        <f>IFERROR(__xludf.DUMMYFUNCTION("""COMPUTED_VALUE"""),0.0)</f>
        <v>0</v>
      </c>
      <c r="F2330" s="273">
        <f>IFERROR(__xludf.DUMMYFUNCTION("""COMPUTED_VALUE"""),4.0)</f>
        <v>4</v>
      </c>
      <c r="G2330" t="str">
        <f>IFERROR(__xludf.DUMMYFUNCTION("""COMPUTED_VALUE"""),"Sabun batang 1 Box ( 2 PCS )")</f>
        <v>Sabun batang 1 Box ( 2 PCS )</v>
      </c>
      <c r="H2330" s="469"/>
      <c r="I2330" s="470"/>
      <c r="K2330" s="470"/>
      <c r="M2330" s="470"/>
      <c r="O2330" s="470"/>
    </row>
    <row r="2331">
      <c r="A2331" s="282" t="str">
        <f>IFERROR(__xludf.DUMMYFUNCTION("""COMPUTED_VALUE"""),"MICRO")</f>
        <v>MICRO</v>
      </c>
      <c r="B2331" s="468" t="str">
        <f>IFERROR(__xludf.DUMMYFUNCTION("""COMPUTED_VALUE"""),"aelvnyy")</f>
        <v>aelvnyy</v>
      </c>
      <c r="C2331" s="283" t="str">
        <f>IFERROR(__xludf.DUMMYFUNCTION("""COMPUTED_VALUE"""),"https://www.tiktok.com/@aelvnyy")</f>
        <v>https://www.tiktok.com/@aelvnyy</v>
      </c>
      <c r="D2331" s="273">
        <f>IFERROR(__xludf.DUMMYFUNCTION("""COMPUTED_VALUE"""),8.2214415352E10)</f>
        <v>82214415352</v>
      </c>
      <c r="E2331" s="458">
        <f>IFERROR(__xludf.DUMMYFUNCTION("""COMPUTED_VALUE"""),0.0)</f>
        <v>0</v>
      </c>
      <c r="F2331" s="273">
        <f>IFERROR(__xludf.DUMMYFUNCTION("""COMPUTED_VALUE"""),4.0)</f>
        <v>4</v>
      </c>
      <c r="G2331" t="str">
        <f>IFERROR(__xludf.DUMMYFUNCTION("""COMPUTED_VALUE"""),"Sabun batang 1 Box ( 2 PCS )")</f>
        <v>Sabun batang 1 Box ( 2 PCS )</v>
      </c>
      <c r="H2331" s="469"/>
      <c r="I2331" s="470"/>
      <c r="K2331" s="470"/>
      <c r="M2331" s="470"/>
      <c r="O2331" s="470"/>
    </row>
    <row r="2332">
      <c r="A2332" s="282" t="str">
        <f>IFERROR(__xludf.DUMMYFUNCTION("""COMPUTED_VALUE"""),"MICRO")</f>
        <v>MICRO</v>
      </c>
      <c r="B2332" s="468" t="str">
        <f>IFERROR(__xludf.DUMMYFUNCTION("""COMPUTED_VALUE"""),"arini_rahmadi")</f>
        <v>arini_rahmadi</v>
      </c>
      <c r="C2332" s="283" t="str">
        <f>IFERROR(__xludf.DUMMYFUNCTION("""COMPUTED_VALUE"""),"https://www.tiktok.com/@arini_rahmadi")</f>
        <v>https://www.tiktok.com/@arini_rahmadi</v>
      </c>
      <c r="D2332" s="273">
        <f>IFERROR(__xludf.DUMMYFUNCTION("""COMPUTED_VALUE"""),8.2245111003E10)</f>
        <v>82245111003</v>
      </c>
      <c r="E2332" s="458">
        <f>IFERROR(__xludf.DUMMYFUNCTION("""COMPUTED_VALUE"""),0.0)</f>
        <v>0</v>
      </c>
      <c r="F2332" s="273">
        <f>IFERROR(__xludf.DUMMYFUNCTION("""COMPUTED_VALUE"""),4.0)</f>
        <v>4</v>
      </c>
      <c r="G2332" t="str">
        <f>IFERROR(__xludf.DUMMYFUNCTION("""COMPUTED_VALUE"""),"Sabun batang 1 Box ( 2 PCS )")</f>
        <v>Sabun batang 1 Box ( 2 PCS )</v>
      </c>
      <c r="H2332" s="469"/>
      <c r="I2332" s="470"/>
      <c r="K2332" s="470"/>
      <c r="M2332" s="470"/>
      <c r="O2332" s="470"/>
    </row>
    <row r="2333">
      <c r="A2333" s="282" t="str">
        <f>IFERROR(__xludf.DUMMYFUNCTION("""COMPUTED_VALUE"""),"MICRO")</f>
        <v>MICRO</v>
      </c>
      <c r="B2333" s="468" t="str">
        <f>IFERROR(__xludf.DUMMYFUNCTION("""COMPUTED_VALUE"""),"anggiyuliantikaa")</f>
        <v>anggiyuliantikaa</v>
      </c>
      <c r="C2333" s="283" t="str">
        <f>IFERROR(__xludf.DUMMYFUNCTION("""COMPUTED_VALUE"""),"https://www.tiktok.com/@anggiyuliantikaa")</f>
        <v>https://www.tiktok.com/@anggiyuliantikaa</v>
      </c>
      <c r="D2333" s="273">
        <f>IFERROR(__xludf.DUMMYFUNCTION("""COMPUTED_VALUE"""),8.515056918E10)</f>
        <v>85150569180</v>
      </c>
      <c r="E2333" s="458">
        <f>IFERROR(__xludf.DUMMYFUNCTION("""COMPUTED_VALUE"""),0.0)</f>
        <v>0</v>
      </c>
      <c r="F2333" s="273">
        <f>IFERROR(__xludf.DUMMYFUNCTION("""COMPUTED_VALUE"""),2.0)</f>
        <v>2</v>
      </c>
      <c r="G2333" t="str">
        <f>IFERROR(__xludf.DUMMYFUNCTION("""COMPUTED_VALUE"""),"Sabun batang 1 Box ( 2 PCS )")</f>
        <v>Sabun batang 1 Box ( 2 PCS )</v>
      </c>
      <c r="H2333" s="469"/>
      <c r="I2333" s="470"/>
      <c r="K2333" s="470"/>
      <c r="M2333" s="470"/>
      <c r="O2333" s="470"/>
    </row>
    <row r="2334">
      <c r="A2334" s="282" t="str">
        <f>IFERROR(__xludf.DUMMYFUNCTION("""COMPUTED_VALUE"""),"MICRO")</f>
        <v>MICRO</v>
      </c>
      <c r="B2334" s="468" t="str">
        <f>IFERROR(__xludf.DUMMYFUNCTION("""COMPUTED_VALUE"""),"mamak_kao")</f>
        <v>mamak_kao</v>
      </c>
      <c r="C2334" s="283" t="str">
        <f>IFERROR(__xludf.DUMMYFUNCTION("""COMPUTED_VALUE"""),"https://www.tiktok.com/@mamak_kao")</f>
        <v>https://www.tiktok.com/@mamak_kao</v>
      </c>
      <c r="D2334" s="273">
        <f>IFERROR(__xludf.DUMMYFUNCTION("""COMPUTED_VALUE"""),8.5319788767E10)</f>
        <v>85319788767</v>
      </c>
      <c r="E2334" s="458">
        <f>IFERROR(__xludf.DUMMYFUNCTION("""COMPUTED_VALUE"""),0.0)</f>
        <v>0</v>
      </c>
      <c r="F2334" s="273">
        <f>IFERROR(__xludf.DUMMYFUNCTION("""COMPUTED_VALUE"""),2.0)</f>
        <v>2</v>
      </c>
      <c r="G2334" t="str">
        <f>IFERROR(__xludf.DUMMYFUNCTION("""COMPUTED_VALUE"""),"Sabun batang 1 Box ( 2 PCS )")</f>
        <v>Sabun batang 1 Box ( 2 PCS )</v>
      </c>
      <c r="H2334" s="469"/>
      <c r="I2334" s="470"/>
      <c r="K2334" s="470"/>
      <c r="M2334" s="470"/>
      <c r="O2334" s="470"/>
    </row>
    <row r="2335">
      <c r="A2335" s="282" t="str">
        <f>IFERROR(__xludf.DUMMYFUNCTION("""COMPUTED_VALUE"""),"MICRO")</f>
        <v>MICRO</v>
      </c>
      <c r="B2335" s="468" t="str">
        <f>IFERROR(__xludf.DUMMYFUNCTION("""COMPUTED_VALUE"""),"ibujie05")</f>
        <v>ibujie05</v>
      </c>
      <c r="C2335" s="283" t="str">
        <f>IFERROR(__xludf.DUMMYFUNCTION("""COMPUTED_VALUE"""),"https://www.tiktok.com/@ibujie05")</f>
        <v>https://www.tiktok.com/@ibujie05</v>
      </c>
      <c r="D2335" s="273">
        <f>IFERROR(__xludf.DUMMYFUNCTION("""COMPUTED_VALUE"""),8.2136374577E10)</f>
        <v>82136374577</v>
      </c>
      <c r="E2335" s="458">
        <f>IFERROR(__xludf.DUMMYFUNCTION("""COMPUTED_VALUE"""),0.0)</f>
        <v>0</v>
      </c>
      <c r="F2335" s="273">
        <f>IFERROR(__xludf.DUMMYFUNCTION("""COMPUTED_VALUE"""),4.0)</f>
        <v>4</v>
      </c>
      <c r="G2335" t="str">
        <f>IFERROR(__xludf.DUMMYFUNCTION("""COMPUTED_VALUE"""),"Sabun batang 1 Box ( 2 PCS )")</f>
        <v>Sabun batang 1 Box ( 2 PCS )</v>
      </c>
      <c r="H2335" s="469"/>
      <c r="I2335" s="470"/>
      <c r="K2335" s="470"/>
      <c r="M2335" s="470"/>
      <c r="O2335" s="470"/>
    </row>
    <row r="2336">
      <c r="A2336" s="282" t="str">
        <f>IFERROR(__xludf.DUMMYFUNCTION("""COMPUTED_VALUE"""),"MICRO")</f>
        <v>MICRO</v>
      </c>
      <c r="B2336" s="468" t="str">
        <f>IFERROR(__xludf.DUMMYFUNCTION("""COMPUTED_VALUE"""),"nurlia_2")</f>
        <v>nurlia_2</v>
      </c>
      <c r="C2336" s="283" t="str">
        <f>IFERROR(__xludf.DUMMYFUNCTION("""COMPUTED_VALUE"""),"https://www.tiktok.com/@nurlia_2")</f>
        <v>https://www.tiktok.com/@nurlia_2</v>
      </c>
      <c r="D2336" s="273">
        <f>IFERROR(__xludf.DUMMYFUNCTION("""COMPUTED_VALUE"""),8.2181119737E10)</f>
        <v>82181119737</v>
      </c>
      <c r="E2336" s="458">
        <f>IFERROR(__xludf.DUMMYFUNCTION("""COMPUTED_VALUE"""),0.0)</f>
        <v>0</v>
      </c>
      <c r="F2336" s="273">
        <f>IFERROR(__xludf.DUMMYFUNCTION("""COMPUTED_VALUE"""),4.0)</f>
        <v>4</v>
      </c>
      <c r="G2336" t="str">
        <f>IFERROR(__xludf.DUMMYFUNCTION("""COMPUTED_VALUE"""),"Sabun batang 1 Box ( 2 PCS )")</f>
        <v>Sabun batang 1 Box ( 2 PCS )</v>
      </c>
      <c r="H2336" s="469"/>
      <c r="I2336" s="470"/>
      <c r="K2336" s="470"/>
      <c r="M2336" s="470"/>
      <c r="O2336" s="470"/>
    </row>
    <row r="2337">
      <c r="A2337" s="282" t="str">
        <f>IFERROR(__xludf.DUMMYFUNCTION("""COMPUTED_VALUE"""),"MICRO")</f>
        <v>MICRO</v>
      </c>
      <c r="B2337" s="468" t="str">
        <f>IFERROR(__xludf.DUMMYFUNCTION("""COMPUTED_VALUE"""),"ulawahyu21")</f>
        <v>ulawahyu21</v>
      </c>
      <c r="C2337" s="283" t="str">
        <f>IFERROR(__xludf.DUMMYFUNCTION("""COMPUTED_VALUE"""),"https://www.tiktok.com/@ulawahyu21")</f>
        <v>https://www.tiktok.com/@ulawahyu21</v>
      </c>
      <c r="D2337" s="273">
        <f>IFERROR(__xludf.DUMMYFUNCTION("""COMPUTED_VALUE"""),8.5172317442E10)</f>
        <v>85172317442</v>
      </c>
      <c r="E2337" s="458">
        <f>IFERROR(__xludf.DUMMYFUNCTION("""COMPUTED_VALUE"""),0.0)</f>
        <v>0</v>
      </c>
      <c r="F2337" s="273">
        <f>IFERROR(__xludf.DUMMYFUNCTION("""COMPUTED_VALUE"""),4.0)</f>
        <v>4</v>
      </c>
      <c r="G2337" t="str">
        <f>IFERROR(__xludf.DUMMYFUNCTION("""COMPUTED_VALUE"""),"Sabun batang 1 Box ( 2 PCS )")</f>
        <v>Sabun batang 1 Box ( 2 PCS )</v>
      </c>
      <c r="H2337" s="469"/>
      <c r="I2337" s="470"/>
      <c r="K2337" s="470"/>
      <c r="M2337" s="470"/>
      <c r="O2337" s="470"/>
    </row>
    <row r="2338">
      <c r="A2338" s="282" t="str">
        <f>IFERROR(__xludf.DUMMYFUNCTION("""COMPUTED_VALUE"""),"MICRO")</f>
        <v>MICRO</v>
      </c>
      <c r="B2338" s="468" t="str">
        <f>IFERROR(__xludf.DUMMYFUNCTION("""COMPUTED_VALUE"""),"ig.ghinaazzahra")</f>
        <v>ig.ghinaazzahra</v>
      </c>
      <c r="C2338" s="283" t="str">
        <f>IFERROR(__xludf.DUMMYFUNCTION("""COMPUTED_VALUE"""),"https://www.tiktok.com/@ig.ghinaazzahra")</f>
        <v>https://www.tiktok.com/@ig.ghinaazzahra</v>
      </c>
      <c r="D2338" s="273">
        <f>IFERROR(__xludf.DUMMYFUNCTION("""COMPUTED_VALUE"""),8.3861103074E10)</f>
        <v>83861103074</v>
      </c>
      <c r="E2338" s="458">
        <f>IFERROR(__xludf.DUMMYFUNCTION("""COMPUTED_VALUE"""),0.0)</f>
        <v>0</v>
      </c>
      <c r="F2338" s="273">
        <f>IFERROR(__xludf.DUMMYFUNCTION("""COMPUTED_VALUE"""),4.0)</f>
        <v>4</v>
      </c>
      <c r="G2338" t="str">
        <f>IFERROR(__xludf.DUMMYFUNCTION("""COMPUTED_VALUE"""),"Sabun batang 1 Box ( 2 PCS )")</f>
        <v>Sabun batang 1 Box ( 2 PCS )</v>
      </c>
      <c r="H2338" s="469"/>
      <c r="I2338" s="470"/>
      <c r="K2338" s="470"/>
      <c r="M2338" s="470"/>
      <c r="O2338" s="470"/>
    </row>
    <row r="2339">
      <c r="A2339" s="282" t="str">
        <f>IFERROR(__xludf.DUMMYFUNCTION("""COMPUTED_VALUE"""),"MICRO")</f>
        <v>MICRO</v>
      </c>
      <c r="B2339" s="468" t="str">
        <f>IFERROR(__xludf.DUMMYFUNCTION("""COMPUTED_VALUE"""),"sukamatchaplis")</f>
        <v>sukamatchaplis</v>
      </c>
      <c r="C2339" s="283" t="str">
        <f>IFERROR(__xludf.DUMMYFUNCTION("""COMPUTED_VALUE"""),"https://www.tiktok.com/@sukamatchaplis")</f>
        <v>https://www.tiktok.com/@sukamatchaplis</v>
      </c>
      <c r="D2339" s="273">
        <f>IFERROR(__xludf.DUMMYFUNCTION("""COMPUTED_VALUE"""),8.2189913514E10)</f>
        <v>82189913514</v>
      </c>
      <c r="E2339" s="458">
        <f>IFERROR(__xludf.DUMMYFUNCTION("""COMPUTED_VALUE"""),0.0)</f>
        <v>0</v>
      </c>
      <c r="F2339" s="273">
        <f>IFERROR(__xludf.DUMMYFUNCTION("""COMPUTED_VALUE"""),4.0)</f>
        <v>4</v>
      </c>
      <c r="G2339" t="str">
        <f>IFERROR(__xludf.DUMMYFUNCTION("""COMPUTED_VALUE"""),"Sabun batang 1 Box ( 2 PCS )")</f>
        <v>Sabun batang 1 Box ( 2 PCS )</v>
      </c>
      <c r="H2339" s="469"/>
      <c r="I2339" s="470"/>
      <c r="K2339" s="470"/>
      <c r="M2339" s="470"/>
      <c r="O2339" s="470"/>
    </row>
    <row r="2340">
      <c r="A2340" s="282" t="str">
        <f>IFERROR(__xludf.DUMMYFUNCTION("""COMPUTED_VALUE"""),"MICRO")</f>
        <v>MICRO</v>
      </c>
      <c r="B2340" s="468" t="str">
        <f>IFERROR(__xludf.DUMMYFUNCTION("""COMPUTED_VALUE"""),"arina.purna")</f>
        <v>arina.purna</v>
      </c>
      <c r="C2340" s="283" t="str">
        <f>IFERROR(__xludf.DUMMYFUNCTION("""COMPUTED_VALUE"""),"https://www.tiktok.com/@arina.purna")</f>
        <v>https://www.tiktok.com/@arina.purna</v>
      </c>
      <c r="D2340" s="273">
        <f>IFERROR(__xludf.DUMMYFUNCTION("""COMPUTED_VALUE"""),8.980021135E9)</f>
        <v>8980021135</v>
      </c>
      <c r="E2340" s="458">
        <f>IFERROR(__xludf.DUMMYFUNCTION("""COMPUTED_VALUE"""),0.0)</f>
        <v>0</v>
      </c>
      <c r="F2340" s="273">
        <f>IFERROR(__xludf.DUMMYFUNCTION("""COMPUTED_VALUE"""),3.0)</f>
        <v>3</v>
      </c>
      <c r="G2340" t="str">
        <f>IFERROR(__xludf.DUMMYFUNCTION("""COMPUTED_VALUE"""),"Sabun batang 1 Box ( 2 PCS )")</f>
        <v>Sabun batang 1 Box ( 2 PCS )</v>
      </c>
      <c r="H2340" s="469"/>
      <c r="I2340" s="470"/>
      <c r="K2340" s="470"/>
      <c r="M2340" s="470"/>
      <c r="O2340" s="470"/>
    </row>
    <row r="2341">
      <c r="A2341" s="282" t="str">
        <f>IFERROR(__xludf.DUMMYFUNCTION("""COMPUTED_VALUE"""),"MICRO")</f>
        <v>MICRO</v>
      </c>
      <c r="B2341" s="468" t="str">
        <f>IFERROR(__xludf.DUMMYFUNCTION("""COMPUTED_VALUE"""),"andnprdt_")</f>
        <v>andnprdt_</v>
      </c>
      <c r="C2341" s="283" t="str">
        <f>IFERROR(__xludf.DUMMYFUNCTION("""COMPUTED_VALUE"""),"https://www.tiktok.com/@andnprdt_")</f>
        <v>https://www.tiktok.com/@andnprdt_</v>
      </c>
      <c r="D2341" s="273">
        <f>IFERROR(__xludf.DUMMYFUNCTION("""COMPUTED_VALUE"""),8.2381762277E10)</f>
        <v>82381762277</v>
      </c>
      <c r="E2341" s="458">
        <f>IFERROR(__xludf.DUMMYFUNCTION("""COMPUTED_VALUE"""),0.0)</f>
        <v>0</v>
      </c>
      <c r="F2341" s="273">
        <f>IFERROR(__xludf.DUMMYFUNCTION("""COMPUTED_VALUE"""),4.0)</f>
        <v>4</v>
      </c>
      <c r="G2341" t="str">
        <f>IFERROR(__xludf.DUMMYFUNCTION("""COMPUTED_VALUE"""),"Sabun batang 1 Box ( 2 PCS )")</f>
        <v>Sabun batang 1 Box ( 2 PCS )</v>
      </c>
      <c r="H2341" s="469"/>
      <c r="I2341" s="470"/>
      <c r="K2341" s="470"/>
      <c r="M2341" s="470"/>
      <c r="O2341" s="470"/>
    </row>
    <row r="2342">
      <c r="A2342" s="282" t="str">
        <f>IFERROR(__xludf.DUMMYFUNCTION("""COMPUTED_VALUE"""),"MICRO")</f>
        <v>MICRO</v>
      </c>
      <c r="B2342" s="468" t="str">
        <f>IFERROR(__xludf.DUMMYFUNCTION("""COMPUTED_VALUE"""),"dewiisma_88")</f>
        <v>dewiisma_88</v>
      </c>
      <c r="C2342" s="283" t="str">
        <f>IFERROR(__xludf.DUMMYFUNCTION("""COMPUTED_VALUE"""),"https://www.tiktok.com/@dewiisma_88")</f>
        <v>https://www.tiktok.com/@dewiisma_88</v>
      </c>
      <c r="D2342" s="273">
        <f>IFERROR(__xludf.DUMMYFUNCTION("""COMPUTED_VALUE"""),8.5198062516E10)</f>
        <v>85198062516</v>
      </c>
      <c r="E2342" s="458">
        <f>IFERROR(__xludf.DUMMYFUNCTION("""COMPUTED_VALUE"""),0.0)</f>
        <v>0</v>
      </c>
      <c r="F2342" s="273">
        <f>IFERROR(__xludf.DUMMYFUNCTION("""COMPUTED_VALUE"""),2.0)</f>
        <v>2</v>
      </c>
      <c r="G2342" t="str">
        <f>IFERROR(__xludf.DUMMYFUNCTION("""COMPUTED_VALUE"""),"Sabun batang 1 Box ( 2 PCS )")</f>
        <v>Sabun batang 1 Box ( 2 PCS )</v>
      </c>
      <c r="H2342" s="469"/>
      <c r="I2342" s="470"/>
      <c r="K2342" s="470"/>
      <c r="M2342" s="470"/>
      <c r="O2342" s="470"/>
    </row>
    <row r="2343">
      <c r="A2343" s="282" t="str">
        <f>IFERROR(__xludf.DUMMYFUNCTION("""COMPUTED_VALUE"""),"MICRO")</f>
        <v>MICRO</v>
      </c>
      <c r="B2343" s="468" t="str">
        <f>IFERROR(__xludf.DUMMYFUNCTION("""COMPUTED_VALUE"""),"nidasaurus.picks")</f>
        <v>nidasaurus.picks</v>
      </c>
      <c r="C2343" s="283" t="str">
        <f>IFERROR(__xludf.DUMMYFUNCTION("""COMPUTED_VALUE"""),"https://www.tiktok.com/@nidasaurus.picks")</f>
        <v>https://www.tiktok.com/@nidasaurus.picks</v>
      </c>
      <c r="D2343" s="273">
        <f>IFERROR(__xludf.DUMMYFUNCTION("""COMPUTED_VALUE"""),8.316365346E10)</f>
        <v>83163653460</v>
      </c>
      <c r="E2343" s="458">
        <f>IFERROR(__xludf.DUMMYFUNCTION("""COMPUTED_VALUE"""),0.0)</f>
        <v>0</v>
      </c>
      <c r="F2343" s="273">
        <f>IFERROR(__xludf.DUMMYFUNCTION("""COMPUTED_VALUE"""),4.0)</f>
        <v>4</v>
      </c>
      <c r="G2343" t="str">
        <f>IFERROR(__xludf.DUMMYFUNCTION("""COMPUTED_VALUE"""),"Sabun batang 1 Box ( 2 PCS )")</f>
        <v>Sabun batang 1 Box ( 2 PCS )</v>
      </c>
      <c r="H2343" s="469"/>
      <c r="I2343" s="470"/>
      <c r="K2343" s="470"/>
      <c r="M2343" s="470"/>
      <c r="O2343" s="470"/>
    </row>
    <row r="2344">
      <c r="A2344" s="282" t="str">
        <f>IFERROR(__xludf.DUMMYFUNCTION("""COMPUTED_VALUE"""),"MICRO")</f>
        <v>MICRO</v>
      </c>
      <c r="B2344" s="468" t="str">
        <f>IFERROR(__xludf.DUMMYFUNCTION("""COMPUTED_VALUE"""),"hnf021294")</f>
        <v>hnf021294</v>
      </c>
      <c r="C2344" s="283" t="str">
        <f>IFERROR(__xludf.DUMMYFUNCTION("""COMPUTED_VALUE"""),"https://www.tiktok.com/@hnf021294")</f>
        <v>https://www.tiktok.com/@hnf021294</v>
      </c>
      <c r="D2344" s="273">
        <f>IFERROR(__xludf.DUMMYFUNCTION("""COMPUTED_VALUE"""),8.5242633094E10)</f>
        <v>85242633094</v>
      </c>
      <c r="E2344" s="458">
        <f>IFERROR(__xludf.DUMMYFUNCTION("""COMPUTED_VALUE"""),0.0)</f>
        <v>0</v>
      </c>
      <c r="F2344" s="273">
        <f>IFERROR(__xludf.DUMMYFUNCTION("""COMPUTED_VALUE"""),3.0)</f>
        <v>3</v>
      </c>
      <c r="G2344" t="str">
        <f>IFERROR(__xludf.DUMMYFUNCTION("""COMPUTED_VALUE"""),"Sabun batang 1 Box ( 2 PCS )")</f>
        <v>Sabun batang 1 Box ( 2 PCS )</v>
      </c>
      <c r="H2344" s="469"/>
      <c r="I2344" s="470"/>
      <c r="K2344" s="470"/>
      <c r="M2344" s="470"/>
      <c r="O2344" s="470"/>
    </row>
    <row r="2345">
      <c r="A2345" s="282" t="str">
        <f>IFERROR(__xludf.DUMMYFUNCTION("""COMPUTED_VALUE"""),"MICRO")</f>
        <v>MICRO</v>
      </c>
      <c r="B2345" s="468" t="str">
        <f>IFERROR(__xludf.DUMMYFUNCTION("""COMPUTED_VALUE"""),"angelic.cc")</f>
        <v>angelic.cc</v>
      </c>
      <c r="C2345" s="283" t="str">
        <f>IFERROR(__xludf.DUMMYFUNCTION("""COMPUTED_VALUE"""),"https://www.tiktok.com/@angelic.cc")</f>
        <v>https://www.tiktok.com/@angelic.cc</v>
      </c>
      <c r="D2345" s="273">
        <f>IFERROR(__xludf.DUMMYFUNCTION("""COMPUTED_VALUE"""),8.5657252986E10)</f>
        <v>85657252986</v>
      </c>
      <c r="E2345" s="458">
        <f>IFERROR(__xludf.DUMMYFUNCTION("""COMPUTED_VALUE"""),0.0)</f>
        <v>0</v>
      </c>
      <c r="F2345" s="273">
        <f>IFERROR(__xludf.DUMMYFUNCTION("""COMPUTED_VALUE"""),4.0)</f>
        <v>4</v>
      </c>
      <c r="G2345" t="str">
        <f>IFERROR(__xludf.DUMMYFUNCTION("""COMPUTED_VALUE"""),"Sabun batang 1 Box ( 2 PCS )")</f>
        <v>Sabun batang 1 Box ( 2 PCS )</v>
      </c>
      <c r="H2345" s="469"/>
      <c r="I2345" s="470"/>
      <c r="K2345" s="470"/>
      <c r="M2345" s="470"/>
      <c r="O2345" s="470"/>
    </row>
    <row r="2346">
      <c r="A2346" s="282" t="str">
        <f>IFERROR(__xludf.DUMMYFUNCTION("""COMPUTED_VALUE"""),"MICRO")</f>
        <v>MICRO</v>
      </c>
      <c r="B2346" s="468" t="str">
        <f>IFERROR(__xludf.DUMMYFUNCTION("""COMPUTED_VALUE"""),"araakuspil")</f>
        <v>araakuspil</v>
      </c>
      <c r="C2346" s="283" t="str">
        <f>IFERROR(__xludf.DUMMYFUNCTION("""COMPUTED_VALUE"""),"https://www.tiktok.com/@araakuspil")</f>
        <v>https://www.tiktok.com/@araakuspil</v>
      </c>
      <c r="D2346" s="273">
        <f>IFERROR(__xludf.DUMMYFUNCTION("""COMPUTED_VALUE"""),8.2182899326E10)</f>
        <v>82182899326</v>
      </c>
      <c r="E2346" s="458">
        <f>IFERROR(__xludf.DUMMYFUNCTION("""COMPUTED_VALUE"""),0.0)</f>
        <v>0</v>
      </c>
      <c r="F2346" s="273">
        <f>IFERROR(__xludf.DUMMYFUNCTION("""COMPUTED_VALUE"""),2.0)</f>
        <v>2</v>
      </c>
      <c r="G2346" t="str">
        <f>IFERROR(__xludf.DUMMYFUNCTION("""COMPUTED_VALUE"""),"Sabun batang 1 Box ( 2 PCS )")</f>
        <v>Sabun batang 1 Box ( 2 PCS )</v>
      </c>
      <c r="H2346" s="469"/>
      <c r="I2346" s="470"/>
      <c r="K2346" s="470"/>
      <c r="M2346" s="470"/>
      <c r="O2346" s="470"/>
    </row>
    <row r="2347">
      <c r="A2347" s="282" t="str">
        <f>IFERROR(__xludf.DUMMYFUNCTION("""COMPUTED_VALUE"""),"MICRO")</f>
        <v>MICRO</v>
      </c>
      <c r="B2347" s="468" t="str">
        <f>IFERROR(__xludf.DUMMYFUNCTION("""COMPUTED_VALUE"""),"duvard99")</f>
        <v>duvard99</v>
      </c>
      <c r="C2347" s="283" t="str">
        <f>IFERROR(__xludf.DUMMYFUNCTION("""COMPUTED_VALUE"""),"https://www.tiktok.com/@duvard99")</f>
        <v>https://www.tiktok.com/@duvard99</v>
      </c>
      <c r="D2347" s="273">
        <f>IFERROR(__xludf.DUMMYFUNCTION("""COMPUTED_VALUE"""),8.2284945904E10)</f>
        <v>82284945904</v>
      </c>
      <c r="E2347" s="458">
        <f>IFERROR(__xludf.DUMMYFUNCTION("""COMPUTED_VALUE"""),0.0)</f>
        <v>0</v>
      </c>
      <c r="F2347" s="273">
        <f>IFERROR(__xludf.DUMMYFUNCTION("""COMPUTED_VALUE"""),4.0)</f>
        <v>4</v>
      </c>
      <c r="G2347" t="str">
        <f>IFERROR(__xludf.DUMMYFUNCTION("""COMPUTED_VALUE"""),"Sabun batang 1 Box ( 2 PCS )")</f>
        <v>Sabun batang 1 Box ( 2 PCS )</v>
      </c>
      <c r="H2347" s="469"/>
      <c r="I2347" s="470"/>
      <c r="K2347" s="470"/>
      <c r="M2347" s="470"/>
      <c r="O2347" s="470"/>
    </row>
    <row r="2348">
      <c r="A2348" s="282" t="str">
        <f>IFERROR(__xludf.DUMMYFUNCTION("""COMPUTED_VALUE"""),"MICRO")</f>
        <v>MICRO</v>
      </c>
      <c r="B2348" s="468" t="str">
        <f>IFERROR(__xludf.DUMMYFUNCTION("""COMPUTED_VALUE"""),"itsmewinda17")</f>
        <v>itsmewinda17</v>
      </c>
      <c r="C2348" s="283" t="str">
        <f>IFERROR(__xludf.DUMMYFUNCTION("""COMPUTED_VALUE"""),"https://www.tiktok.com/@itsmewinda17")</f>
        <v>https://www.tiktok.com/@itsmewinda17</v>
      </c>
      <c r="D2348" s="273">
        <f>IFERROR(__xludf.DUMMYFUNCTION("""COMPUTED_VALUE"""),8.564609169E10)</f>
        <v>85646091690</v>
      </c>
      <c r="E2348" s="458">
        <f>IFERROR(__xludf.DUMMYFUNCTION("""COMPUTED_VALUE"""),0.0)</f>
        <v>0</v>
      </c>
      <c r="F2348" s="273">
        <f>IFERROR(__xludf.DUMMYFUNCTION("""COMPUTED_VALUE"""),4.0)</f>
        <v>4</v>
      </c>
      <c r="G2348" t="str">
        <f>IFERROR(__xludf.DUMMYFUNCTION("""COMPUTED_VALUE"""),"Sabun batang 1 Box ( 2 PCS )")</f>
        <v>Sabun batang 1 Box ( 2 PCS )</v>
      </c>
      <c r="H2348" s="469"/>
      <c r="I2348" s="470"/>
      <c r="K2348" s="470"/>
      <c r="M2348" s="470"/>
      <c r="O2348" s="470"/>
    </row>
    <row r="2349">
      <c r="A2349" s="282" t="str">
        <f>IFERROR(__xludf.DUMMYFUNCTION("""COMPUTED_VALUE"""),"MICRO")</f>
        <v>MICRO</v>
      </c>
      <c r="B2349" s="468" t="str">
        <f>IFERROR(__xludf.DUMMYFUNCTION("""COMPUTED_VALUE"""),"avnylssej")</f>
        <v>avnylssej</v>
      </c>
      <c r="C2349" s="283" t="str">
        <f>IFERROR(__xludf.DUMMYFUNCTION("""COMPUTED_VALUE"""),"https://www.tiktok.com/@avnylssej")</f>
        <v>https://www.tiktok.com/@avnylssej</v>
      </c>
      <c r="D2349" s="273">
        <f>IFERROR(__xludf.DUMMYFUNCTION("""COMPUTED_VALUE"""),8.5286064682E10)</f>
        <v>85286064682</v>
      </c>
      <c r="E2349" s="458">
        <f>IFERROR(__xludf.DUMMYFUNCTION("""COMPUTED_VALUE"""),0.0)</f>
        <v>0</v>
      </c>
      <c r="F2349" s="273">
        <f>IFERROR(__xludf.DUMMYFUNCTION("""COMPUTED_VALUE"""),4.0)</f>
        <v>4</v>
      </c>
      <c r="G2349" t="str">
        <f>IFERROR(__xludf.DUMMYFUNCTION("""COMPUTED_VALUE"""),"Sabun batang 1 Box ( 2 PCS )")</f>
        <v>Sabun batang 1 Box ( 2 PCS )</v>
      </c>
      <c r="H2349" s="469"/>
      <c r="I2349" s="470"/>
      <c r="K2349" s="470"/>
      <c r="M2349" s="470"/>
      <c r="O2349" s="470"/>
    </row>
    <row r="2350">
      <c r="A2350" s="282" t="str">
        <f>IFERROR(__xludf.DUMMYFUNCTION("""COMPUTED_VALUE"""),"MICRO")</f>
        <v>MICRO</v>
      </c>
      <c r="B2350" s="468" t="str">
        <f>IFERROR(__xludf.DUMMYFUNCTION("""COMPUTED_VALUE"""),"luluk.m6")</f>
        <v>luluk.m6</v>
      </c>
      <c r="C2350" s="283" t="str">
        <f>IFERROR(__xludf.DUMMYFUNCTION("""COMPUTED_VALUE"""),"https://www.tiktok.com/@luluk.m6")</f>
        <v>https://www.tiktok.com/@luluk.m6</v>
      </c>
      <c r="D2350" s="273">
        <f>IFERROR(__xludf.DUMMYFUNCTION("""COMPUTED_VALUE"""),8.5866307443E10)</f>
        <v>85866307443</v>
      </c>
      <c r="E2350" s="458">
        <f>IFERROR(__xludf.DUMMYFUNCTION("""COMPUTED_VALUE"""),0.0)</f>
        <v>0</v>
      </c>
      <c r="F2350" s="273">
        <f>IFERROR(__xludf.DUMMYFUNCTION("""COMPUTED_VALUE"""),4.0)</f>
        <v>4</v>
      </c>
      <c r="G2350" t="str">
        <f>IFERROR(__xludf.DUMMYFUNCTION("""COMPUTED_VALUE"""),"Sabun batang 1 Box ( 2 PCS )")</f>
        <v>Sabun batang 1 Box ( 2 PCS )</v>
      </c>
      <c r="H2350" s="469"/>
      <c r="I2350" s="470"/>
      <c r="K2350" s="470"/>
      <c r="M2350" s="470"/>
      <c r="O2350" s="470"/>
    </row>
    <row r="2351">
      <c r="A2351" s="282" t="str">
        <f>IFERROR(__xludf.DUMMYFUNCTION("""COMPUTED_VALUE"""),"MICRO")</f>
        <v>MICRO</v>
      </c>
      <c r="B2351" s="468" t="str">
        <f>IFERROR(__xludf.DUMMYFUNCTION("""COMPUTED_VALUE"""),"atspilll")</f>
        <v>atspilll</v>
      </c>
      <c r="C2351" s="283" t="str">
        <f>IFERROR(__xludf.DUMMYFUNCTION("""COMPUTED_VALUE"""),"https://www.tiktok.com/@atspilll")</f>
        <v>https://www.tiktok.com/@atspilll</v>
      </c>
      <c r="D2351" s="273">
        <f>IFERROR(__xludf.DUMMYFUNCTION("""COMPUTED_VALUE"""),8.5971610607E10)</f>
        <v>85971610607</v>
      </c>
      <c r="E2351" s="458">
        <f>IFERROR(__xludf.DUMMYFUNCTION("""COMPUTED_VALUE"""),0.0)</f>
        <v>0</v>
      </c>
      <c r="F2351" s="273">
        <f>IFERROR(__xludf.DUMMYFUNCTION("""COMPUTED_VALUE"""),4.0)</f>
        <v>4</v>
      </c>
      <c r="G2351" t="str">
        <f>IFERROR(__xludf.DUMMYFUNCTION("""COMPUTED_VALUE"""),"Sabun batang 1 Box ( 2 PCS )")</f>
        <v>Sabun batang 1 Box ( 2 PCS )</v>
      </c>
      <c r="H2351" s="469"/>
      <c r="I2351" s="470"/>
      <c r="K2351" s="470"/>
      <c r="M2351" s="470"/>
      <c r="O2351" s="470"/>
    </row>
    <row r="2352">
      <c r="A2352" s="282" t="str">
        <f>IFERROR(__xludf.DUMMYFUNCTION("""COMPUTED_VALUE"""),"MICRO")</f>
        <v>MICRO</v>
      </c>
      <c r="B2352" s="468" t="str">
        <f>IFERROR(__xludf.DUMMYFUNCTION("""COMPUTED_VALUE"""),"titaelisaa29_")</f>
        <v>titaelisaa29_</v>
      </c>
      <c r="C2352" s="283" t="str">
        <f>IFERROR(__xludf.DUMMYFUNCTION("""COMPUTED_VALUE"""),"https://www.tiktok.com/@titaelisaa29_")</f>
        <v>https://www.tiktok.com/@titaelisaa29_</v>
      </c>
      <c r="D2352" s="273">
        <f>IFERROR(__xludf.DUMMYFUNCTION("""COMPUTED_VALUE"""),8.5795686082E10)</f>
        <v>85795686082</v>
      </c>
      <c r="E2352" s="458">
        <f>IFERROR(__xludf.DUMMYFUNCTION("""COMPUTED_VALUE"""),0.0)</f>
        <v>0</v>
      </c>
      <c r="F2352" s="273">
        <f>IFERROR(__xludf.DUMMYFUNCTION("""COMPUTED_VALUE"""),4.0)</f>
        <v>4</v>
      </c>
      <c r="G2352" t="str">
        <f>IFERROR(__xludf.DUMMYFUNCTION("""COMPUTED_VALUE"""),"Sabun batang 1 Box ( 2 PCS )")</f>
        <v>Sabun batang 1 Box ( 2 PCS )</v>
      </c>
      <c r="H2352" s="469"/>
      <c r="I2352" s="470"/>
      <c r="K2352" s="470"/>
      <c r="M2352" s="470"/>
      <c r="O2352" s="470"/>
    </row>
    <row r="2353">
      <c r="A2353" s="282" t="str">
        <f>IFERROR(__xludf.DUMMYFUNCTION("""COMPUTED_VALUE"""),"MICRO")</f>
        <v>MICRO</v>
      </c>
      <c r="B2353" s="468" t="str">
        <f>IFERROR(__xludf.DUMMYFUNCTION("""COMPUTED_VALUE"""),"jerrybulee")</f>
        <v>jerrybulee</v>
      </c>
      <c r="C2353" s="283" t="str">
        <f>IFERROR(__xludf.DUMMYFUNCTION("""COMPUTED_VALUE"""),"https://www.tiktok.com/@jerrybulee")</f>
        <v>https://www.tiktok.com/@jerrybulee</v>
      </c>
      <c r="D2353" s="273">
        <f>IFERROR(__xludf.DUMMYFUNCTION("""COMPUTED_VALUE"""),8.95383425523E11)</f>
        <v>895383425523</v>
      </c>
      <c r="E2353" s="458">
        <f>IFERROR(__xludf.DUMMYFUNCTION("""COMPUTED_VALUE"""),0.0)</f>
        <v>0</v>
      </c>
      <c r="F2353" s="273">
        <f>IFERROR(__xludf.DUMMYFUNCTION("""COMPUTED_VALUE"""),4.0)</f>
        <v>4</v>
      </c>
      <c r="G2353" t="str">
        <f>IFERROR(__xludf.DUMMYFUNCTION("""COMPUTED_VALUE"""),"Sabun batang 1 Box ( 2 PCS )")</f>
        <v>Sabun batang 1 Box ( 2 PCS )</v>
      </c>
      <c r="H2353" s="469"/>
      <c r="I2353" s="470"/>
      <c r="K2353" s="470"/>
      <c r="M2353" s="470"/>
      <c r="O2353" s="470"/>
    </row>
    <row r="2354">
      <c r="A2354" s="282" t="str">
        <f>IFERROR(__xludf.DUMMYFUNCTION("""COMPUTED_VALUE"""),"MICRO")</f>
        <v>MICRO</v>
      </c>
      <c r="B2354" s="468" t="str">
        <f>IFERROR(__xludf.DUMMYFUNCTION("""COMPUTED_VALUE"""),"raa.pisces5")</f>
        <v>raa.pisces5</v>
      </c>
      <c r="C2354" s="283" t="str">
        <f>IFERROR(__xludf.DUMMYFUNCTION("""COMPUTED_VALUE"""),"https://www.tiktok.com/@raa.pisces5")</f>
        <v>https://www.tiktok.com/@raa.pisces5</v>
      </c>
      <c r="D2354" s="273">
        <f>IFERROR(__xludf.DUMMYFUNCTION("""COMPUTED_VALUE"""),8.7897652488E10)</f>
        <v>87897652488</v>
      </c>
      <c r="E2354" s="458">
        <f>IFERROR(__xludf.DUMMYFUNCTION("""COMPUTED_VALUE"""),0.0)</f>
        <v>0</v>
      </c>
      <c r="F2354" s="273">
        <f>IFERROR(__xludf.DUMMYFUNCTION("""COMPUTED_VALUE"""),4.0)</f>
        <v>4</v>
      </c>
      <c r="G2354" t="str">
        <f>IFERROR(__xludf.DUMMYFUNCTION("""COMPUTED_VALUE"""),"Sabun batang 1 Box ( 2 PCS )")</f>
        <v>Sabun batang 1 Box ( 2 PCS )</v>
      </c>
      <c r="H2354" s="469"/>
      <c r="I2354" s="470"/>
      <c r="K2354" s="470"/>
      <c r="M2354" s="470"/>
      <c r="O2354" s="470"/>
    </row>
    <row r="2355">
      <c r="A2355" s="282" t="str">
        <f>IFERROR(__xludf.DUMMYFUNCTION("""COMPUTED_VALUE"""),"MICRO")</f>
        <v>MICRO</v>
      </c>
      <c r="B2355" s="468" t="str">
        <f>IFERROR(__xludf.DUMMYFUNCTION("""COMPUTED_VALUE"""),"kaka07108")</f>
        <v>kaka07108</v>
      </c>
      <c r="C2355" s="283" t="str">
        <f>IFERROR(__xludf.DUMMYFUNCTION("""COMPUTED_VALUE"""),"https://www.tiktok.com/@kaka07108")</f>
        <v>https://www.tiktok.com/@kaka07108</v>
      </c>
      <c r="D2355" s="273">
        <f>IFERROR(__xludf.DUMMYFUNCTION("""COMPUTED_VALUE"""),8.5776816824E10)</f>
        <v>85776816824</v>
      </c>
      <c r="E2355" s="458">
        <f>IFERROR(__xludf.DUMMYFUNCTION("""COMPUTED_VALUE"""),0.0)</f>
        <v>0</v>
      </c>
      <c r="F2355" s="273">
        <f>IFERROR(__xludf.DUMMYFUNCTION("""COMPUTED_VALUE"""),4.0)</f>
        <v>4</v>
      </c>
      <c r="G2355" t="str">
        <f>IFERROR(__xludf.DUMMYFUNCTION("""COMPUTED_VALUE"""),"Sabun batang 1 Box ( 2 PCS )")</f>
        <v>Sabun batang 1 Box ( 2 PCS )</v>
      </c>
      <c r="H2355" s="469"/>
      <c r="I2355" s="470"/>
      <c r="K2355" s="470"/>
      <c r="M2355" s="470"/>
      <c r="O2355" s="470"/>
    </row>
    <row r="2356">
      <c r="A2356" s="282" t="str">
        <f>IFERROR(__xludf.DUMMYFUNCTION("""COMPUTED_VALUE"""),"MICRO")</f>
        <v>MICRO</v>
      </c>
      <c r="B2356" s="468" t="str">
        <f>IFERROR(__xludf.DUMMYFUNCTION("""COMPUTED_VALUE"""),"ccbeautysalon30")</f>
        <v>ccbeautysalon30</v>
      </c>
      <c r="C2356" s="283" t="str">
        <f>IFERROR(__xludf.DUMMYFUNCTION("""COMPUTED_VALUE"""),"https://www.tiktok.com/@ccbeautysalon30")</f>
        <v>https://www.tiktok.com/@ccbeautysalon30</v>
      </c>
      <c r="D2356" s="273">
        <f>IFERROR(__xludf.DUMMYFUNCTION("""COMPUTED_VALUE"""),8.5708879095E10)</f>
        <v>85708879095</v>
      </c>
      <c r="E2356" s="458">
        <f>IFERROR(__xludf.DUMMYFUNCTION("""COMPUTED_VALUE"""),0.0)</f>
        <v>0</v>
      </c>
      <c r="F2356" s="273">
        <f>IFERROR(__xludf.DUMMYFUNCTION("""COMPUTED_VALUE"""),4.0)</f>
        <v>4</v>
      </c>
      <c r="G2356" t="str">
        <f>IFERROR(__xludf.DUMMYFUNCTION("""COMPUTED_VALUE"""),"Sabun batang 1 Box ( 2 PCS )")</f>
        <v>Sabun batang 1 Box ( 2 PCS )</v>
      </c>
      <c r="H2356" s="469"/>
      <c r="I2356" s="470"/>
      <c r="K2356" s="470"/>
      <c r="M2356" s="470"/>
      <c r="O2356" s="470"/>
    </row>
    <row r="2357">
      <c r="A2357" s="282" t="str">
        <f>IFERROR(__xludf.DUMMYFUNCTION("""COMPUTED_VALUE"""),"MICRO")</f>
        <v>MICRO</v>
      </c>
      <c r="B2357" s="468" t="str">
        <f>IFERROR(__xludf.DUMMYFUNCTION("""COMPUTED_VALUE"""),"widyaelviwandra")</f>
        <v>widyaelviwandra</v>
      </c>
      <c r="C2357" s="283" t="str">
        <f>IFERROR(__xludf.DUMMYFUNCTION("""COMPUTED_VALUE"""),"https://www.tiktok.com/@widyaelviwandra")</f>
        <v>https://www.tiktok.com/@widyaelviwandra</v>
      </c>
      <c r="D2357" s="273">
        <f>IFERROR(__xludf.DUMMYFUNCTION("""COMPUTED_VALUE"""),8.5278018004E10)</f>
        <v>85278018004</v>
      </c>
      <c r="E2357" s="458">
        <f>IFERROR(__xludf.DUMMYFUNCTION("""COMPUTED_VALUE"""),0.0)</f>
        <v>0</v>
      </c>
      <c r="F2357" s="273">
        <f>IFERROR(__xludf.DUMMYFUNCTION("""COMPUTED_VALUE"""),4.0)</f>
        <v>4</v>
      </c>
      <c r="G2357" t="str">
        <f>IFERROR(__xludf.DUMMYFUNCTION("""COMPUTED_VALUE"""),"Sabun batang 1 Box ( 2 PCS )")</f>
        <v>Sabun batang 1 Box ( 2 PCS )</v>
      </c>
      <c r="H2357" s="469"/>
      <c r="I2357" s="470"/>
      <c r="K2357" s="470"/>
      <c r="M2357" s="470"/>
      <c r="O2357" s="470"/>
    </row>
    <row r="2358">
      <c r="A2358" s="282" t="str">
        <f>IFERROR(__xludf.DUMMYFUNCTION("""COMPUTED_VALUE"""),"MICRO")</f>
        <v>MICRO</v>
      </c>
      <c r="B2358" s="468" t="str">
        <f>IFERROR(__xludf.DUMMYFUNCTION("""COMPUTED_VALUE"""),"ftriyaa00")</f>
        <v>ftriyaa00</v>
      </c>
      <c r="C2358" s="283" t="str">
        <f>IFERROR(__xludf.DUMMYFUNCTION("""COMPUTED_VALUE"""),"https://www.tiktok.com/@ftriyaa00")</f>
        <v>https://www.tiktok.com/@ftriyaa00</v>
      </c>
      <c r="D2358" s="273">
        <f>IFERROR(__xludf.DUMMYFUNCTION("""COMPUTED_VALUE"""),8.8102319854E11)</f>
        <v>881023198540</v>
      </c>
      <c r="E2358" s="458">
        <f>IFERROR(__xludf.DUMMYFUNCTION("""COMPUTED_VALUE"""),0.0)</f>
        <v>0</v>
      </c>
      <c r="F2358" s="273">
        <f>IFERROR(__xludf.DUMMYFUNCTION("""COMPUTED_VALUE"""),4.0)</f>
        <v>4</v>
      </c>
      <c r="G2358" t="str">
        <f>IFERROR(__xludf.DUMMYFUNCTION("""COMPUTED_VALUE"""),"Sabun batang 1 Box ( 2 PCS )")</f>
        <v>Sabun batang 1 Box ( 2 PCS )</v>
      </c>
      <c r="H2358" s="469"/>
      <c r="I2358" s="470"/>
      <c r="K2358" s="470"/>
      <c r="M2358" s="470"/>
      <c r="O2358" s="470"/>
    </row>
    <row r="2359">
      <c r="A2359" s="282" t="str">
        <f>IFERROR(__xludf.DUMMYFUNCTION("""COMPUTED_VALUE"""),"MICRO")</f>
        <v>MICRO</v>
      </c>
      <c r="B2359" s="468" t="str">
        <f>IFERROR(__xludf.DUMMYFUNCTION("""COMPUTED_VALUE"""),"momikhanza")</f>
        <v>momikhanza</v>
      </c>
      <c r="C2359" s="283" t="str">
        <f>IFERROR(__xludf.DUMMYFUNCTION("""COMPUTED_VALUE"""),"https://www.tiktok.com/@momikhanza")</f>
        <v>https://www.tiktok.com/@momikhanza</v>
      </c>
      <c r="D2359" s="273">
        <f>IFERROR(__xludf.DUMMYFUNCTION("""COMPUTED_VALUE"""),8.95622362001E11)</f>
        <v>895622362001</v>
      </c>
      <c r="E2359" s="458">
        <f>IFERROR(__xludf.DUMMYFUNCTION("""COMPUTED_VALUE"""),0.0)</f>
        <v>0</v>
      </c>
      <c r="F2359" s="273">
        <f>IFERROR(__xludf.DUMMYFUNCTION("""COMPUTED_VALUE"""),4.0)</f>
        <v>4</v>
      </c>
      <c r="G2359" t="str">
        <f>IFERROR(__xludf.DUMMYFUNCTION("""COMPUTED_VALUE"""),"Sabun batang 1 Box ( 2 PCS )")</f>
        <v>Sabun batang 1 Box ( 2 PCS )</v>
      </c>
      <c r="H2359" s="469"/>
      <c r="I2359" s="470"/>
      <c r="K2359" s="470"/>
      <c r="M2359" s="470"/>
      <c r="O2359" s="470"/>
    </row>
    <row r="2360">
      <c r="A2360" s="282" t="str">
        <f>IFERROR(__xludf.DUMMYFUNCTION("""COMPUTED_VALUE"""),"MICRO")</f>
        <v>MICRO</v>
      </c>
      <c r="B2360" s="468" t="str">
        <f>IFERROR(__xludf.DUMMYFUNCTION("""COMPUTED_VALUE"""),"sekar.momy.juna")</f>
        <v>sekar.momy.juna</v>
      </c>
      <c r="C2360" s="283" t="str">
        <f>IFERROR(__xludf.DUMMYFUNCTION("""COMPUTED_VALUE"""),"https://www.tiktok.com/@sekar.momy.juna")</f>
        <v>https://www.tiktok.com/@sekar.momy.juna</v>
      </c>
      <c r="D2360" s="273">
        <f>IFERROR(__xludf.DUMMYFUNCTION("""COMPUTED_VALUE"""),8.7774281211E10)</f>
        <v>87774281211</v>
      </c>
      <c r="E2360" s="458">
        <f>IFERROR(__xludf.DUMMYFUNCTION("""COMPUTED_VALUE"""),0.0)</f>
        <v>0</v>
      </c>
      <c r="F2360" s="273">
        <f>IFERROR(__xludf.DUMMYFUNCTION("""COMPUTED_VALUE"""),4.0)</f>
        <v>4</v>
      </c>
      <c r="G2360" t="str">
        <f>IFERROR(__xludf.DUMMYFUNCTION("""COMPUTED_VALUE"""),"Sabun batang 1 Box ( 2 PCS )")</f>
        <v>Sabun batang 1 Box ( 2 PCS )</v>
      </c>
      <c r="H2360" s="469"/>
      <c r="I2360" s="470"/>
      <c r="K2360" s="470"/>
      <c r="M2360" s="470"/>
      <c r="O2360" s="470"/>
    </row>
    <row r="2361">
      <c r="A2361" s="282" t="str">
        <f>IFERROR(__xludf.DUMMYFUNCTION("""COMPUTED_VALUE"""),"MICRO")</f>
        <v>MICRO</v>
      </c>
      <c r="B2361" s="468" t="str">
        <f>IFERROR(__xludf.DUMMYFUNCTION("""COMPUTED_VALUE"""),"animay_mc")</f>
        <v>animay_mc</v>
      </c>
      <c r="C2361" s="283" t="str">
        <f>IFERROR(__xludf.DUMMYFUNCTION("""COMPUTED_VALUE"""),"https://www.tiktok.com/@animay_mc")</f>
        <v>https://www.tiktok.com/@animay_mc</v>
      </c>
      <c r="D2361" s="273">
        <f>IFERROR(__xludf.DUMMYFUNCTION("""COMPUTED_VALUE"""),8.9654444416E10)</f>
        <v>89654444416</v>
      </c>
      <c r="E2361" s="458">
        <f>IFERROR(__xludf.DUMMYFUNCTION("""COMPUTED_VALUE"""),0.0)</f>
        <v>0</v>
      </c>
      <c r="F2361" s="273">
        <f>IFERROR(__xludf.DUMMYFUNCTION("""COMPUTED_VALUE"""),2.0)</f>
        <v>2</v>
      </c>
      <c r="G2361" t="str">
        <f>IFERROR(__xludf.DUMMYFUNCTION("""COMPUTED_VALUE"""),"Sabun batang 1 Box ( 2 PCS )")</f>
        <v>Sabun batang 1 Box ( 2 PCS )</v>
      </c>
      <c r="H2361" s="469"/>
      <c r="I2361" s="470"/>
      <c r="K2361" s="470"/>
      <c r="M2361" s="470"/>
      <c r="O2361" s="470"/>
    </row>
    <row r="2362">
      <c r="A2362" s="282" t="str">
        <f>IFERROR(__xludf.DUMMYFUNCTION("""COMPUTED_VALUE"""),"MICRO")</f>
        <v>MICRO</v>
      </c>
      <c r="B2362" s="468" t="str">
        <f>IFERROR(__xludf.DUMMYFUNCTION("""COMPUTED_VALUE"""),"ig.ernaaaaaaaa.a")</f>
        <v>ig.ernaaaaaaaa.a</v>
      </c>
      <c r="C2362" s="283" t="str">
        <f>IFERROR(__xludf.DUMMYFUNCTION("""COMPUTED_VALUE"""),"https://www.tiktok.com/@ig.ernaaaaaaaa.a")</f>
        <v>https://www.tiktok.com/@ig.ernaaaaaaaa.a</v>
      </c>
      <c r="D2362" s="273">
        <f>IFERROR(__xludf.DUMMYFUNCTION("""COMPUTED_VALUE"""),8.8245193913E10)</f>
        <v>88245193913</v>
      </c>
      <c r="E2362" s="458">
        <f>IFERROR(__xludf.DUMMYFUNCTION("""COMPUTED_VALUE"""),0.0)</f>
        <v>0</v>
      </c>
      <c r="F2362" s="273">
        <f>IFERROR(__xludf.DUMMYFUNCTION("""COMPUTED_VALUE"""),4.0)</f>
        <v>4</v>
      </c>
      <c r="G2362" t="str">
        <f>IFERROR(__xludf.DUMMYFUNCTION("""COMPUTED_VALUE"""),"Sabun batang 1 Box ( 2 PCS )")</f>
        <v>Sabun batang 1 Box ( 2 PCS )</v>
      </c>
      <c r="H2362" s="469"/>
      <c r="I2362" s="470"/>
      <c r="K2362" s="470"/>
      <c r="M2362" s="470"/>
      <c r="O2362" s="470"/>
    </row>
    <row r="2363">
      <c r="A2363" s="282" t="str">
        <f>IFERROR(__xludf.DUMMYFUNCTION("""COMPUTED_VALUE"""),"MICRO")</f>
        <v>MICRO</v>
      </c>
      <c r="B2363" s="468" t="str">
        <f>IFERROR(__xludf.DUMMYFUNCTION("""COMPUTED_VALUE"""),"mamahyudefta")</f>
        <v>mamahyudefta</v>
      </c>
      <c r="C2363" s="283" t="str">
        <f>IFERROR(__xludf.DUMMYFUNCTION("""COMPUTED_VALUE"""),"https://www.tiktok.com/@mamahyudefta")</f>
        <v>https://www.tiktok.com/@mamahyudefta</v>
      </c>
      <c r="D2363" s="273">
        <f>IFERROR(__xludf.DUMMYFUNCTION("""COMPUTED_VALUE"""),8.2242856404E10)</f>
        <v>82242856404</v>
      </c>
      <c r="E2363" s="458">
        <f>IFERROR(__xludf.DUMMYFUNCTION("""COMPUTED_VALUE"""),0.0)</f>
        <v>0</v>
      </c>
      <c r="F2363" s="273">
        <f>IFERROR(__xludf.DUMMYFUNCTION("""COMPUTED_VALUE"""),4.0)</f>
        <v>4</v>
      </c>
      <c r="G2363" t="str">
        <f>IFERROR(__xludf.DUMMYFUNCTION("""COMPUTED_VALUE"""),"Sabun batang 1 Box ( 2 PCS )")</f>
        <v>Sabun batang 1 Box ( 2 PCS )</v>
      </c>
      <c r="H2363" s="469"/>
      <c r="I2363" s="470"/>
      <c r="K2363" s="470"/>
      <c r="M2363" s="470"/>
      <c r="O2363" s="470"/>
    </row>
    <row r="2364">
      <c r="A2364" s="282" t="str">
        <f>IFERROR(__xludf.DUMMYFUNCTION("""COMPUTED_VALUE"""),"MICRO")</f>
        <v>MICRO</v>
      </c>
      <c r="B2364" s="468" t="str">
        <f>IFERROR(__xludf.DUMMYFUNCTION("""COMPUTED_VALUE"""),"nadlyneclarabelvanya")</f>
        <v>nadlyneclarabelvanya</v>
      </c>
      <c r="C2364" s="283" t="str">
        <f>IFERROR(__xludf.DUMMYFUNCTION("""COMPUTED_VALUE"""),"https://www.tiktok.com/@nadlyneclarabelvanya")</f>
        <v>https://www.tiktok.com/@nadlyneclarabelvanya</v>
      </c>
      <c r="D2364" s="273">
        <f>IFERROR(__xludf.DUMMYFUNCTION("""COMPUTED_VALUE"""),8.8707827357E10)</f>
        <v>88707827357</v>
      </c>
      <c r="E2364" s="458">
        <f>IFERROR(__xludf.DUMMYFUNCTION("""COMPUTED_VALUE"""),0.0)</f>
        <v>0</v>
      </c>
      <c r="F2364" s="273">
        <f>IFERROR(__xludf.DUMMYFUNCTION("""COMPUTED_VALUE"""),4.0)</f>
        <v>4</v>
      </c>
      <c r="G2364" t="str">
        <f>IFERROR(__xludf.DUMMYFUNCTION("""COMPUTED_VALUE"""),"Sabun batang 1 Box ( 2 PCS )")</f>
        <v>Sabun batang 1 Box ( 2 PCS )</v>
      </c>
      <c r="H2364" s="469"/>
      <c r="I2364" s="470"/>
      <c r="K2364" s="470"/>
      <c r="M2364" s="470"/>
      <c r="O2364" s="470"/>
    </row>
    <row r="2365">
      <c r="A2365" s="282" t="str">
        <f>IFERROR(__xludf.DUMMYFUNCTION("""COMPUTED_VALUE"""),"MICRO")</f>
        <v>MICRO</v>
      </c>
      <c r="B2365" s="468" t="str">
        <f>IFERROR(__xludf.DUMMYFUNCTION("""COMPUTED_VALUE"""),"ellslsbl")</f>
        <v>ellslsbl</v>
      </c>
      <c r="C2365" s="283" t="str">
        <f>IFERROR(__xludf.DUMMYFUNCTION("""COMPUTED_VALUE"""),"https://www.tiktok.com/@ellslsbl")</f>
        <v>https://www.tiktok.com/@ellslsbl</v>
      </c>
      <c r="D2365" s="273">
        <f>IFERROR(__xludf.DUMMYFUNCTION("""COMPUTED_VALUE"""),8.5789448532E10)</f>
        <v>85789448532</v>
      </c>
      <c r="E2365" s="458">
        <f>IFERROR(__xludf.DUMMYFUNCTION("""COMPUTED_VALUE"""),0.0)</f>
        <v>0</v>
      </c>
      <c r="F2365" s="273">
        <f>IFERROR(__xludf.DUMMYFUNCTION("""COMPUTED_VALUE"""),4.0)</f>
        <v>4</v>
      </c>
      <c r="G2365" t="str">
        <f>IFERROR(__xludf.DUMMYFUNCTION("""COMPUTED_VALUE"""),"Sabun batang 1 Box ( 2 PCS )")</f>
        <v>Sabun batang 1 Box ( 2 PCS )</v>
      </c>
      <c r="H2365" s="469"/>
      <c r="I2365" s="470"/>
      <c r="K2365" s="470"/>
      <c r="M2365" s="470"/>
      <c r="O2365" s="470"/>
    </row>
    <row r="2366">
      <c r="A2366" s="282" t="str">
        <f>IFERROR(__xludf.DUMMYFUNCTION("""COMPUTED_VALUE"""),"MICRO")</f>
        <v>MICRO</v>
      </c>
      <c r="B2366" s="468" t="str">
        <f>IFERROR(__xludf.DUMMYFUNCTION("""COMPUTED_VALUE"""),"hervinarela")</f>
        <v>hervinarela</v>
      </c>
      <c r="C2366" s="283" t="str">
        <f>IFERROR(__xludf.DUMMYFUNCTION("""COMPUTED_VALUE"""),"https://www.tiktok.com/@hervinarela")</f>
        <v>https://www.tiktok.com/@hervinarela</v>
      </c>
      <c r="D2366" s="273">
        <f>IFERROR(__xludf.DUMMYFUNCTION("""COMPUTED_VALUE"""),8.5735552353E10)</f>
        <v>85735552353</v>
      </c>
      <c r="E2366" s="458">
        <f>IFERROR(__xludf.DUMMYFUNCTION("""COMPUTED_VALUE"""),0.0)</f>
        <v>0</v>
      </c>
      <c r="F2366" s="273">
        <f>IFERROR(__xludf.DUMMYFUNCTION("""COMPUTED_VALUE"""),4.0)</f>
        <v>4</v>
      </c>
      <c r="G2366" t="str">
        <f>IFERROR(__xludf.DUMMYFUNCTION("""COMPUTED_VALUE"""),"Sabun batang 1 Box ( 2 PCS )")</f>
        <v>Sabun batang 1 Box ( 2 PCS )</v>
      </c>
      <c r="H2366" s="469"/>
      <c r="I2366" s="470"/>
      <c r="K2366" s="470"/>
      <c r="M2366" s="470"/>
      <c r="O2366" s="470"/>
    </row>
    <row r="2367">
      <c r="A2367" s="282" t="str">
        <f>IFERROR(__xludf.DUMMYFUNCTION("""COMPUTED_VALUE"""),"MICRO")</f>
        <v>MICRO</v>
      </c>
      <c r="B2367" s="468" t="str">
        <f>IFERROR(__xludf.DUMMYFUNCTION("""COMPUTED_VALUE"""),"shimmerins")</f>
        <v>shimmerins</v>
      </c>
      <c r="C2367" s="283" t="str">
        <f>IFERROR(__xludf.DUMMYFUNCTION("""COMPUTED_VALUE"""),"https://www.tiktok.com/@shimmerins")</f>
        <v>https://www.tiktok.com/@shimmerins</v>
      </c>
      <c r="D2367" s="273">
        <f>IFERROR(__xludf.DUMMYFUNCTION("""COMPUTED_VALUE"""),8.2141741094E10)</f>
        <v>82141741094</v>
      </c>
      <c r="E2367" s="458">
        <f>IFERROR(__xludf.DUMMYFUNCTION("""COMPUTED_VALUE"""),0.0)</f>
        <v>0</v>
      </c>
      <c r="F2367" s="273">
        <f>IFERROR(__xludf.DUMMYFUNCTION("""COMPUTED_VALUE"""),4.0)</f>
        <v>4</v>
      </c>
      <c r="G2367" t="str">
        <f>IFERROR(__xludf.DUMMYFUNCTION("""COMPUTED_VALUE"""),"Sabun batang 1 Box ( 2 PCS )")</f>
        <v>Sabun batang 1 Box ( 2 PCS )</v>
      </c>
      <c r="H2367" s="469"/>
      <c r="I2367" s="470"/>
      <c r="K2367" s="470"/>
      <c r="M2367" s="470"/>
      <c r="O2367" s="470"/>
    </row>
    <row r="2368">
      <c r="A2368" s="282" t="str">
        <f>IFERROR(__xludf.DUMMYFUNCTION("""COMPUTED_VALUE"""),"MICRO")</f>
        <v>MICRO</v>
      </c>
      <c r="B2368" s="468" t="str">
        <f>IFERROR(__xludf.DUMMYFUNCTION("""COMPUTED_VALUE"""),"itsme.thania")</f>
        <v>itsme.thania</v>
      </c>
      <c r="C2368" s="283" t="str">
        <f>IFERROR(__xludf.DUMMYFUNCTION("""COMPUTED_VALUE"""),"https://www.tiktok.com/@itsme.thania")</f>
        <v>https://www.tiktok.com/@itsme.thania</v>
      </c>
      <c r="D2368" s="273">
        <f>IFERROR(__xludf.DUMMYFUNCTION("""COMPUTED_VALUE"""),8.3162962631E10)</f>
        <v>83162962631</v>
      </c>
      <c r="E2368" s="458">
        <f>IFERROR(__xludf.DUMMYFUNCTION("""COMPUTED_VALUE"""),0.0)</f>
        <v>0</v>
      </c>
      <c r="F2368" s="273">
        <f>IFERROR(__xludf.DUMMYFUNCTION("""COMPUTED_VALUE"""),4.0)</f>
        <v>4</v>
      </c>
      <c r="G2368" t="str">
        <f>IFERROR(__xludf.DUMMYFUNCTION("""COMPUTED_VALUE"""),"Sabun batang 1 Box ( 2 PCS )")</f>
        <v>Sabun batang 1 Box ( 2 PCS )</v>
      </c>
      <c r="H2368" s="469"/>
      <c r="I2368" s="470"/>
      <c r="K2368" s="470"/>
      <c r="M2368" s="470"/>
      <c r="O2368" s="470"/>
    </row>
    <row r="2369">
      <c r="A2369" s="282" t="str">
        <f>IFERROR(__xludf.DUMMYFUNCTION("""COMPUTED_VALUE"""),"MICRO")</f>
        <v>MICRO</v>
      </c>
      <c r="B2369" s="468" t="str">
        <f>IFERROR(__xludf.DUMMYFUNCTION("""COMPUTED_VALUE"""),"bellamarita6")</f>
        <v>bellamarita6</v>
      </c>
      <c r="C2369" s="283" t="str">
        <f>IFERROR(__xludf.DUMMYFUNCTION("""COMPUTED_VALUE"""),"https://www.tiktok.com/@bellamarita6")</f>
        <v>https://www.tiktok.com/@bellamarita6</v>
      </c>
      <c r="D2369" s="273">
        <f>IFERROR(__xludf.DUMMYFUNCTION("""COMPUTED_VALUE"""),8.9531008656E10)</f>
        <v>89531008656</v>
      </c>
      <c r="E2369" s="458">
        <f>IFERROR(__xludf.DUMMYFUNCTION("""COMPUTED_VALUE"""),0.0)</f>
        <v>0</v>
      </c>
      <c r="F2369" s="273">
        <f>IFERROR(__xludf.DUMMYFUNCTION("""COMPUTED_VALUE"""),4.0)</f>
        <v>4</v>
      </c>
      <c r="G2369" t="str">
        <f>IFERROR(__xludf.DUMMYFUNCTION("""COMPUTED_VALUE"""),"Sabun batang 1 Box ( 2 PCS )")</f>
        <v>Sabun batang 1 Box ( 2 PCS )</v>
      </c>
      <c r="H2369" s="469"/>
      <c r="I2369" s="470"/>
      <c r="K2369" s="470"/>
      <c r="M2369" s="470"/>
      <c r="O2369" s="470"/>
    </row>
    <row r="2370">
      <c r="A2370" s="282" t="str">
        <f>IFERROR(__xludf.DUMMYFUNCTION("""COMPUTED_VALUE"""),"MICRO")</f>
        <v>MICRO</v>
      </c>
      <c r="B2370" s="468" t="str">
        <f>IFERROR(__xludf.DUMMYFUNCTION("""COMPUTED_VALUE"""),"ayutika_j")</f>
        <v>ayutika_j</v>
      </c>
      <c r="C2370" s="283" t="str">
        <f>IFERROR(__xludf.DUMMYFUNCTION("""COMPUTED_VALUE"""),"https://www.tiktok.com/@ayutika_j")</f>
        <v>https://www.tiktok.com/@ayutika_j</v>
      </c>
      <c r="D2370" s="273">
        <f>IFERROR(__xludf.DUMMYFUNCTION("""COMPUTED_VALUE"""),8.5314149441E10)</f>
        <v>85314149441</v>
      </c>
      <c r="E2370" s="458">
        <f>IFERROR(__xludf.DUMMYFUNCTION("""COMPUTED_VALUE"""),0.0)</f>
        <v>0</v>
      </c>
      <c r="F2370" s="273">
        <f>IFERROR(__xludf.DUMMYFUNCTION("""COMPUTED_VALUE"""),4.0)</f>
        <v>4</v>
      </c>
      <c r="G2370" t="str">
        <f>IFERROR(__xludf.DUMMYFUNCTION("""COMPUTED_VALUE"""),"Sabun batang 1 Box ( 2 PCS )")</f>
        <v>Sabun batang 1 Box ( 2 PCS )</v>
      </c>
      <c r="H2370" s="469"/>
      <c r="I2370" s="470"/>
      <c r="K2370" s="470"/>
      <c r="M2370" s="470"/>
      <c r="O2370" s="470"/>
    </row>
    <row r="2371">
      <c r="A2371" s="282" t="str">
        <f>IFERROR(__xludf.DUMMYFUNCTION("""COMPUTED_VALUE"""),"MICRO")</f>
        <v>MICRO</v>
      </c>
      <c r="B2371" s="468" t="str">
        <f>IFERROR(__xludf.DUMMYFUNCTION("""COMPUTED_VALUE"""),"cipaak19")</f>
        <v>cipaak19</v>
      </c>
      <c r="C2371" s="283" t="str">
        <f>IFERROR(__xludf.DUMMYFUNCTION("""COMPUTED_VALUE"""),"https://www.tiktok.com/@cipaak19")</f>
        <v>https://www.tiktok.com/@cipaak19</v>
      </c>
      <c r="D2371" s="273">
        <f>IFERROR(__xludf.DUMMYFUNCTION("""COMPUTED_VALUE"""),8.5767753323E10)</f>
        <v>85767753323</v>
      </c>
      <c r="E2371" s="458">
        <f>IFERROR(__xludf.DUMMYFUNCTION("""COMPUTED_VALUE"""),0.0)</f>
        <v>0</v>
      </c>
      <c r="F2371" s="273">
        <f>IFERROR(__xludf.DUMMYFUNCTION("""COMPUTED_VALUE"""),4.0)</f>
        <v>4</v>
      </c>
      <c r="G2371" t="str">
        <f>IFERROR(__xludf.DUMMYFUNCTION("""COMPUTED_VALUE"""),"Sabun batang 1 Box ( 2 PCS )")</f>
        <v>Sabun batang 1 Box ( 2 PCS )</v>
      </c>
      <c r="H2371" s="469"/>
      <c r="I2371" s="470"/>
      <c r="K2371" s="470"/>
      <c r="M2371" s="470"/>
      <c r="O2371" s="470"/>
    </row>
    <row r="2372">
      <c r="A2372" s="282" t="str">
        <f>IFERROR(__xludf.DUMMYFUNCTION("""COMPUTED_VALUE"""),"MICRO")</f>
        <v>MICRO</v>
      </c>
      <c r="B2372" s="468" t="str">
        <f>IFERROR(__xludf.DUMMYFUNCTION("""COMPUTED_VALUE"""),"_ur.gurlie")</f>
        <v>_ur.gurlie</v>
      </c>
      <c r="C2372" s="283" t="str">
        <f>IFERROR(__xludf.DUMMYFUNCTION("""COMPUTED_VALUE"""),"https://www.tiktok.com/@_ur.gurlie")</f>
        <v>https://www.tiktok.com/@_ur.gurlie</v>
      </c>
      <c r="D2372" s="273">
        <f>IFERROR(__xludf.DUMMYFUNCTION("""COMPUTED_VALUE"""),8.5707942667E10)</f>
        <v>85707942667</v>
      </c>
      <c r="E2372" s="458">
        <f>IFERROR(__xludf.DUMMYFUNCTION("""COMPUTED_VALUE"""),0.0)</f>
        <v>0</v>
      </c>
      <c r="F2372" s="273">
        <f>IFERROR(__xludf.DUMMYFUNCTION("""COMPUTED_VALUE"""),3.0)</f>
        <v>3</v>
      </c>
      <c r="G2372" t="str">
        <f>IFERROR(__xludf.DUMMYFUNCTION("""COMPUTED_VALUE"""),"Sabun batang 1 Box ( 2 PCS )")</f>
        <v>Sabun batang 1 Box ( 2 PCS )</v>
      </c>
      <c r="H2372" s="469"/>
      <c r="I2372" s="470"/>
      <c r="K2372" s="470"/>
      <c r="M2372" s="470"/>
      <c r="O2372" s="470"/>
    </row>
    <row r="2373">
      <c r="A2373" s="282" t="str">
        <f>IFERROR(__xludf.DUMMYFUNCTION("""COMPUTED_VALUE"""),"MICRO")</f>
        <v>MICRO</v>
      </c>
      <c r="B2373" s="468" t="str">
        <f>IFERROR(__xludf.DUMMYFUNCTION("""COMPUTED_VALUE"""),"la.wulan")</f>
        <v>la.wulan</v>
      </c>
      <c r="C2373" s="283" t="str">
        <f>IFERROR(__xludf.DUMMYFUNCTION("""COMPUTED_VALUE"""),"https://www.tiktok.com/@la.wulan")</f>
        <v>https://www.tiktok.com/@la.wulan</v>
      </c>
      <c r="D2373" s="273">
        <f>IFERROR(__xludf.DUMMYFUNCTION("""COMPUTED_VALUE"""),8.95619729683E11)</f>
        <v>895619729683</v>
      </c>
      <c r="E2373" s="458">
        <f>IFERROR(__xludf.DUMMYFUNCTION("""COMPUTED_VALUE"""),0.0)</f>
        <v>0</v>
      </c>
      <c r="F2373" s="273">
        <f>IFERROR(__xludf.DUMMYFUNCTION("""COMPUTED_VALUE"""),4.0)</f>
        <v>4</v>
      </c>
      <c r="G2373" t="str">
        <f>IFERROR(__xludf.DUMMYFUNCTION("""COMPUTED_VALUE"""),"Sabun batang 1 Box ( 2 PCS )")</f>
        <v>Sabun batang 1 Box ( 2 PCS )</v>
      </c>
      <c r="H2373" s="469"/>
      <c r="I2373" s="470"/>
      <c r="K2373" s="470"/>
      <c r="M2373" s="470"/>
      <c r="O2373" s="470"/>
    </row>
    <row r="2374">
      <c r="A2374" s="282" t="str">
        <f>IFERROR(__xludf.DUMMYFUNCTION("""COMPUTED_VALUE"""),"MICRO")</f>
        <v>MICRO</v>
      </c>
      <c r="B2374" s="468" t="str">
        <f>IFERROR(__xludf.DUMMYFUNCTION("""COMPUTED_VALUE"""),"rainielak")</f>
        <v>rainielak</v>
      </c>
      <c r="C2374" s="283" t="str">
        <f>IFERROR(__xludf.DUMMYFUNCTION("""COMPUTED_VALUE"""),"https://www.tiktok.com/@rainielak")</f>
        <v>https://www.tiktok.com/@rainielak</v>
      </c>
      <c r="D2374" s="273">
        <f>IFERROR(__xludf.DUMMYFUNCTION("""COMPUTED_VALUE"""),8.2361817755E10)</f>
        <v>82361817755</v>
      </c>
      <c r="E2374" s="458">
        <f>IFERROR(__xludf.DUMMYFUNCTION("""COMPUTED_VALUE"""),0.0)</f>
        <v>0</v>
      </c>
      <c r="F2374" s="273">
        <f>IFERROR(__xludf.DUMMYFUNCTION("""COMPUTED_VALUE"""),4.0)</f>
        <v>4</v>
      </c>
      <c r="G2374" t="str">
        <f>IFERROR(__xludf.DUMMYFUNCTION("""COMPUTED_VALUE"""),"Sabun batang 1 Box ( 2 PCS )")</f>
        <v>Sabun batang 1 Box ( 2 PCS )</v>
      </c>
      <c r="H2374" s="469"/>
      <c r="I2374" s="470"/>
      <c r="K2374" s="470"/>
      <c r="M2374" s="470"/>
      <c r="O2374" s="470"/>
    </row>
    <row r="2375">
      <c r="A2375" s="282" t="str">
        <f>IFERROR(__xludf.DUMMYFUNCTION("""COMPUTED_VALUE"""),"MICRO")</f>
        <v>MICRO</v>
      </c>
      <c r="B2375" s="468" t="str">
        <f>IFERROR(__xludf.DUMMYFUNCTION("""COMPUTED_VALUE"""),"sitinurmilah94")</f>
        <v>sitinurmilah94</v>
      </c>
      <c r="C2375" s="283" t="str">
        <f>IFERROR(__xludf.DUMMYFUNCTION("""COMPUTED_VALUE"""),"https://www.tiktok.com/@sitinurmilah94")</f>
        <v>https://www.tiktok.com/@sitinurmilah94</v>
      </c>
      <c r="D2375" s="273">
        <f>IFERROR(__xludf.DUMMYFUNCTION("""COMPUTED_VALUE"""),8.9654233673E10)</f>
        <v>89654233673</v>
      </c>
      <c r="E2375" s="458">
        <f>IFERROR(__xludf.DUMMYFUNCTION("""COMPUTED_VALUE"""),0.0)</f>
        <v>0</v>
      </c>
      <c r="F2375" s="273">
        <f>IFERROR(__xludf.DUMMYFUNCTION("""COMPUTED_VALUE"""),2.0)</f>
        <v>2</v>
      </c>
      <c r="G2375" t="str">
        <f>IFERROR(__xludf.DUMMYFUNCTION("""COMPUTED_VALUE"""),"Sabun batang 1 Box ( 2 PCS )")</f>
        <v>Sabun batang 1 Box ( 2 PCS )</v>
      </c>
      <c r="H2375" s="469"/>
      <c r="I2375" s="470"/>
      <c r="K2375" s="470"/>
      <c r="M2375" s="470"/>
      <c r="O2375" s="470"/>
    </row>
    <row r="2376">
      <c r="A2376" s="282" t="str">
        <f>IFERROR(__xludf.DUMMYFUNCTION("""COMPUTED_VALUE"""),"MICRO")</f>
        <v>MICRO</v>
      </c>
      <c r="B2376" s="468" t="str">
        <f>IFERROR(__xludf.DUMMYFUNCTION("""COMPUTED_VALUE"""),"ika.chan__")</f>
        <v>ika.chan__</v>
      </c>
      <c r="C2376" s="283" t="str">
        <f>IFERROR(__xludf.DUMMYFUNCTION("""COMPUTED_VALUE"""),"https://www.tiktok.com/@ika.chan__")</f>
        <v>https://www.tiktok.com/@ika.chan__</v>
      </c>
      <c r="D2376" s="273">
        <f>IFERROR(__xludf.DUMMYFUNCTION("""COMPUTED_VALUE"""),8.5945961047E10)</f>
        <v>85945961047</v>
      </c>
      <c r="E2376" s="458">
        <f>IFERROR(__xludf.DUMMYFUNCTION("""COMPUTED_VALUE"""),0.0)</f>
        <v>0</v>
      </c>
      <c r="F2376" s="273">
        <f>IFERROR(__xludf.DUMMYFUNCTION("""COMPUTED_VALUE"""),2.0)</f>
        <v>2</v>
      </c>
      <c r="G2376" t="str">
        <f>IFERROR(__xludf.DUMMYFUNCTION("""COMPUTED_VALUE"""),"Sabun batang 1 Box ( 2 PCS )")</f>
        <v>Sabun batang 1 Box ( 2 PCS )</v>
      </c>
      <c r="H2376" s="469"/>
      <c r="I2376" s="470"/>
      <c r="K2376" s="470"/>
      <c r="M2376" s="470"/>
      <c r="O2376" s="470"/>
    </row>
    <row r="2377">
      <c r="A2377" s="282" t="str">
        <f>IFERROR(__xludf.DUMMYFUNCTION("""COMPUTED_VALUE"""),"MICRO")</f>
        <v>MICRO</v>
      </c>
      <c r="B2377" s="468" t="str">
        <f>IFERROR(__xludf.DUMMYFUNCTION("""COMPUTED_VALUE"""),"dini_nie29")</f>
        <v>dini_nie29</v>
      </c>
      <c r="C2377" s="283" t="str">
        <f>IFERROR(__xludf.DUMMYFUNCTION("""COMPUTED_VALUE"""),"https://www.tiktok.com/@dini_nie29")</f>
        <v>https://www.tiktok.com/@dini_nie29</v>
      </c>
      <c r="D2377" s="273">
        <f>IFERROR(__xludf.DUMMYFUNCTION("""COMPUTED_VALUE"""),8.5900310404E10)</f>
        <v>85900310404</v>
      </c>
      <c r="E2377" s="458">
        <f>IFERROR(__xludf.DUMMYFUNCTION("""COMPUTED_VALUE"""),0.0)</f>
        <v>0</v>
      </c>
      <c r="F2377" s="273">
        <f>IFERROR(__xludf.DUMMYFUNCTION("""COMPUTED_VALUE"""),4.0)</f>
        <v>4</v>
      </c>
      <c r="G2377" t="str">
        <f>IFERROR(__xludf.DUMMYFUNCTION("""COMPUTED_VALUE"""),"Sabun batang 1 Box ( 2 PCS )")</f>
        <v>Sabun batang 1 Box ( 2 PCS )</v>
      </c>
      <c r="H2377" s="469"/>
      <c r="I2377" s="470"/>
      <c r="K2377" s="470"/>
      <c r="M2377" s="470"/>
      <c r="O2377" s="470"/>
    </row>
    <row r="2378">
      <c r="A2378" s="282" t="str">
        <f>IFERROR(__xludf.DUMMYFUNCTION("""COMPUTED_VALUE"""),"MICRO")</f>
        <v>MICRO</v>
      </c>
      <c r="B2378" s="468" t="str">
        <f>IFERROR(__xludf.DUMMYFUNCTION("""COMPUTED_VALUE"""),"teh_ceuceu")</f>
        <v>teh_ceuceu</v>
      </c>
      <c r="C2378" s="283" t="str">
        <f>IFERROR(__xludf.DUMMYFUNCTION("""COMPUTED_VALUE"""),"https://www.tiktok.com/@teh_ceuceu")</f>
        <v>https://www.tiktok.com/@teh_ceuceu</v>
      </c>
      <c r="D2378" s="273">
        <f>IFERROR(__xludf.DUMMYFUNCTION("""COMPUTED_VALUE"""),8.817792512E9)</f>
        <v>8817792512</v>
      </c>
      <c r="E2378" s="458">
        <f>IFERROR(__xludf.DUMMYFUNCTION("""COMPUTED_VALUE"""),0.0)</f>
        <v>0</v>
      </c>
      <c r="F2378" s="273">
        <f>IFERROR(__xludf.DUMMYFUNCTION("""COMPUTED_VALUE"""),4.0)</f>
        <v>4</v>
      </c>
      <c r="G2378" t="str">
        <f>IFERROR(__xludf.DUMMYFUNCTION("""COMPUTED_VALUE"""),"Sabun batang 1 Box ( 2 PCS )")</f>
        <v>Sabun batang 1 Box ( 2 PCS )</v>
      </c>
      <c r="H2378" s="469"/>
      <c r="I2378" s="470"/>
      <c r="K2378" s="470"/>
      <c r="M2378" s="470"/>
      <c r="O2378" s="470"/>
    </row>
    <row r="2379">
      <c r="A2379" s="282" t="str">
        <f>IFERROR(__xludf.DUMMYFUNCTION("""COMPUTED_VALUE"""),"MICRO")</f>
        <v>MICRO</v>
      </c>
      <c r="B2379" s="468" t="str">
        <f>IFERROR(__xludf.DUMMYFUNCTION("""COMPUTED_VALUE"""),"byme.21")</f>
        <v>byme.21</v>
      </c>
      <c r="C2379" s="283" t="str">
        <f>IFERROR(__xludf.DUMMYFUNCTION("""COMPUTED_VALUE"""),"https://www.tiktok.com/@byme.21")</f>
        <v>https://www.tiktok.com/@byme.21</v>
      </c>
      <c r="D2379" s="273">
        <f>IFERROR(__xludf.DUMMYFUNCTION("""COMPUTED_VALUE"""),8.5723581239E10)</f>
        <v>85723581239</v>
      </c>
      <c r="E2379" s="458">
        <f>IFERROR(__xludf.DUMMYFUNCTION("""COMPUTED_VALUE"""),0.0)</f>
        <v>0</v>
      </c>
      <c r="F2379" s="273">
        <f>IFERROR(__xludf.DUMMYFUNCTION("""COMPUTED_VALUE"""),4.0)</f>
        <v>4</v>
      </c>
      <c r="G2379" t="str">
        <f>IFERROR(__xludf.DUMMYFUNCTION("""COMPUTED_VALUE"""),"Sabun batang 1 Box ( 2 PCS )")</f>
        <v>Sabun batang 1 Box ( 2 PCS )</v>
      </c>
      <c r="H2379" s="469"/>
      <c r="I2379" s="470"/>
      <c r="K2379" s="470"/>
      <c r="M2379" s="470"/>
      <c r="O2379" s="470"/>
    </row>
    <row r="2380">
      <c r="A2380" s="282" t="str">
        <f>IFERROR(__xludf.DUMMYFUNCTION("""COMPUTED_VALUE"""),"MICRO")</f>
        <v>MICRO</v>
      </c>
      <c r="B2380" s="468" t="str">
        <f>IFERROR(__xludf.DUMMYFUNCTION("""COMPUTED_VALUE"""),"an99in")</f>
        <v>an99in</v>
      </c>
      <c r="C2380" s="283" t="str">
        <f>IFERROR(__xludf.DUMMYFUNCTION("""COMPUTED_VALUE"""),"https://www.tiktok.com/@an99in")</f>
        <v>https://www.tiktok.com/@an99in</v>
      </c>
      <c r="D2380" s="273">
        <f>IFERROR(__xludf.DUMMYFUNCTION("""COMPUTED_VALUE"""),8.8211132958E10)</f>
        <v>88211132958</v>
      </c>
      <c r="E2380" s="458">
        <f>IFERROR(__xludf.DUMMYFUNCTION("""COMPUTED_VALUE"""),0.0)</f>
        <v>0</v>
      </c>
      <c r="F2380" s="273">
        <f>IFERROR(__xludf.DUMMYFUNCTION("""COMPUTED_VALUE"""),4.0)</f>
        <v>4</v>
      </c>
      <c r="G2380" t="str">
        <f>IFERROR(__xludf.DUMMYFUNCTION("""COMPUTED_VALUE"""),"Sabun batang 1 Box ( 2 PCS )")</f>
        <v>Sabun batang 1 Box ( 2 PCS )</v>
      </c>
      <c r="H2380" s="469"/>
      <c r="I2380" s="470"/>
      <c r="K2380" s="470"/>
      <c r="M2380" s="470"/>
      <c r="O2380" s="470"/>
    </row>
    <row r="2381">
      <c r="A2381" s="282" t="str">
        <f>IFERROR(__xludf.DUMMYFUNCTION("""COMPUTED_VALUE"""),"MICRO")</f>
        <v>MICRO</v>
      </c>
      <c r="B2381" s="468" t="str">
        <f>IFERROR(__xludf.DUMMYFUNCTION("""COMPUTED_VALUE"""),"aisyashh")</f>
        <v>aisyashh</v>
      </c>
      <c r="C2381" s="283" t="str">
        <f>IFERROR(__xludf.DUMMYFUNCTION("""COMPUTED_VALUE"""),"https://www.tiktok.com/@aisyashh")</f>
        <v>https://www.tiktok.com/@aisyashh</v>
      </c>
      <c r="D2381" s="273">
        <f>IFERROR(__xludf.DUMMYFUNCTION("""COMPUTED_VALUE"""),8.9696285997E10)</f>
        <v>89696285997</v>
      </c>
      <c r="E2381" s="458">
        <f>IFERROR(__xludf.DUMMYFUNCTION("""COMPUTED_VALUE"""),0.0)</f>
        <v>0</v>
      </c>
      <c r="F2381" s="273">
        <f>IFERROR(__xludf.DUMMYFUNCTION("""COMPUTED_VALUE"""),4.0)</f>
        <v>4</v>
      </c>
      <c r="G2381" t="str">
        <f>IFERROR(__xludf.DUMMYFUNCTION("""COMPUTED_VALUE"""),"Sabun batang 1 Box ( 2 PCS )")</f>
        <v>Sabun batang 1 Box ( 2 PCS )</v>
      </c>
      <c r="H2381" s="469"/>
      <c r="I2381" s="470"/>
      <c r="K2381" s="470"/>
      <c r="M2381" s="470"/>
      <c r="O2381" s="470"/>
    </row>
    <row r="2382">
      <c r="A2382" s="282" t="str">
        <f>IFERROR(__xludf.DUMMYFUNCTION("""COMPUTED_VALUE"""),"MICRO")</f>
        <v>MICRO</v>
      </c>
      <c r="B2382" s="468" t="str">
        <f>IFERROR(__xludf.DUMMYFUNCTION("""COMPUTED_VALUE"""),"dheaacitraa")</f>
        <v>dheaacitraa</v>
      </c>
      <c r="C2382" s="283" t="str">
        <f>IFERROR(__xludf.DUMMYFUNCTION("""COMPUTED_VALUE"""),"https://www.tiktok.com/@dheaacitraa")</f>
        <v>https://www.tiktok.com/@dheaacitraa</v>
      </c>
      <c r="D2382" s="273">
        <f>IFERROR(__xludf.DUMMYFUNCTION("""COMPUTED_VALUE"""),8.95331110094E11)</f>
        <v>895331110094</v>
      </c>
      <c r="E2382" s="458">
        <f>IFERROR(__xludf.DUMMYFUNCTION("""COMPUTED_VALUE"""),0.0)</f>
        <v>0</v>
      </c>
      <c r="F2382" s="273">
        <f>IFERROR(__xludf.DUMMYFUNCTION("""COMPUTED_VALUE"""),4.0)</f>
        <v>4</v>
      </c>
      <c r="G2382" t="str">
        <f>IFERROR(__xludf.DUMMYFUNCTION("""COMPUTED_VALUE"""),"Sabun batang 1 Box ( 2 PCS )")</f>
        <v>Sabun batang 1 Box ( 2 PCS )</v>
      </c>
      <c r="H2382" s="469"/>
      <c r="I2382" s="470"/>
      <c r="K2382" s="470"/>
      <c r="M2382" s="470"/>
      <c r="O2382" s="470"/>
    </row>
    <row r="2383">
      <c r="A2383" s="282" t="str">
        <f>IFERROR(__xludf.DUMMYFUNCTION("""COMPUTED_VALUE"""),"MICRO")</f>
        <v>MICRO</v>
      </c>
      <c r="B2383" s="468" t="str">
        <f>IFERROR(__xludf.DUMMYFUNCTION("""COMPUTED_VALUE"""),"tifachan__")</f>
        <v>tifachan__</v>
      </c>
      <c r="C2383" s="283" t="str">
        <f>IFERROR(__xludf.DUMMYFUNCTION("""COMPUTED_VALUE"""),"https://www.tiktok.com/@tifachan__")</f>
        <v>https://www.tiktok.com/@tifachan__</v>
      </c>
      <c r="D2383" s="273">
        <f>IFERROR(__xludf.DUMMYFUNCTION("""COMPUTED_VALUE"""),8.5715380898E10)</f>
        <v>85715380898</v>
      </c>
      <c r="E2383" s="458">
        <f>IFERROR(__xludf.DUMMYFUNCTION("""COMPUTED_VALUE"""),0.0)</f>
        <v>0</v>
      </c>
      <c r="F2383" s="273">
        <f>IFERROR(__xludf.DUMMYFUNCTION("""COMPUTED_VALUE"""),4.0)</f>
        <v>4</v>
      </c>
      <c r="G2383" t="str">
        <f>IFERROR(__xludf.DUMMYFUNCTION("""COMPUTED_VALUE"""),"Sabun batang 1 Box ( 2 PCS )")</f>
        <v>Sabun batang 1 Box ( 2 PCS )</v>
      </c>
      <c r="H2383" s="469"/>
      <c r="I2383" s="470"/>
      <c r="K2383" s="470"/>
      <c r="M2383" s="470"/>
      <c r="O2383" s="470"/>
    </row>
    <row r="2384">
      <c r="A2384" s="282" t="str">
        <f>IFERROR(__xludf.DUMMYFUNCTION("""COMPUTED_VALUE"""),"MICRO")</f>
        <v>MICRO</v>
      </c>
      <c r="B2384" s="468" t="str">
        <f>IFERROR(__xludf.DUMMYFUNCTION("""COMPUTED_VALUE"""),"gadis.capri")</f>
        <v>gadis.capri</v>
      </c>
      <c r="C2384" s="283" t="str">
        <f>IFERROR(__xludf.DUMMYFUNCTION("""COMPUTED_VALUE"""),"https://www.tiktok.com/@gadis.capri")</f>
        <v>https://www.tiktok.com/@gadis.capri</v>
      </c>
      <c r="D2384" s="273">
        <f>IFERROR(__xludf.DUMMYFUNCTION("""COMPUTED_VALUE"""),8.2122688686E10)</f>
        <v>82122688686</v>
      </c>
      <c r="E2384" s="458">
        <f>IFERROR(__xludf.DUMMYFUNCTION("""COMPUTED_VALUE"""),0.0)</f>
        <v>0</v>
      </c>
      <c r="F2384" s="273">
        <f>IFERROR(__xludf.DUMMYFUNCTION("""COMPUTED_VALUE"""),4.0)</f>
        <v>4</v>
      </c>
      <c r="G2384" t="str">
        <f>IFERROR(__xludf.DUMMYFUNCTION("""COMPUTED_VALUE"""),"Sabun batang 1 Box ( 2 PCS )")</f>
        <v>Sabun batang 1 Box ( 2 PCS )</v>
      </c>
      <c r="H2384" s="469"/>
      <c r="I2384" s="470"/>
      <c r="K2384" s="470"/>
      <c r="M2384" s="470"/>
      <c r="O2384" s="470"/>
    </row>
    <row r="2385">
      <c r="A2385" s="282" t="str">
        <f>IFERROR(__xludf.DUMMYFUNCTION("""COMPUTED_VALUE"""),"MICRO")</f>
        <v>MICRO</v>
      </c>
      <c r="B2385" s="468" t="str">
        <f>IFERROR(__xludf.DUMMYFUNCTION("""COMPUTED_VALUE"""),"bungalistalestari")</f>
        <v>bungalistalestari</v>
      </c>
      <c r="C2385" s="283" t="str">
        <f>IFERROR(__xludf.DUMMYFUNCTION("""COMPUTED_VALUE"""),"https://www.tiktok.com/@bungalistalestari")</f>
        <v>https://www.tiktok.com/@bungalistalestari</v>
      </c>
      <c r="D2385" s="273">
        <f>IFERROR(__xludf.DUMMYFUNCTION("""COMPUTED_VALUE"""),8.2143736657E10)</f>
        <v>82143736657</v>
      </c>
      <c r="E2385" s="458">
        <f>IFERROR(__xludf.DUMMYFUNCTION("""COMPUTED_VALUE"""),0.0)</f>
        <v>0</v>
      </c>
      <c r="F2385" s="273">
        <f>IFERROR(__xludf.DUMMYFUNCTION("""COMPUTED_VALUE"""),4.0)</f>
        <v>4</v>
      </c>
      <c r="G2385" t="str">
        <f>IFERROR(__xludf.DUMMYFUNCTION("""COMPUTED_VALUE"""),"Sabun batang 1 Box ( 2 PCS )")</f>
        <v>Sabun batang 1 Box ( 2 PCS )</v>
      </c>
      <c r="H2385" s="469"/>
      <c r="I2385" s="470"/>
      <c r="K2385" s="470"/>
      <c r="M2385" s="470"/>
      <c r="O2385" s="470"/>
    </row>
    <row r="2386">
      <c r="A2386" s="282" t="str">
        <f>IFERROR(__xludf.DUMMYFUNCTION("""COMPUTED_VALUE"""),"MICRO")</f>
        <v>MICRO</v>
      </c>
      <c r="B2386" s="468" t="str">
        <f>IFERROR(__xludf.DUMMYFUNCTION("""COMPUTED_VALUE"""),"haynda17")</f>
        <v>haynda17</v>
      </c>
      <c r="C2386" s="283" t="str">
        <f>IFERROR(__xludf.DUMMYFUNCTION("""COMPUTED_VALUE"""),"https://www.tiktok.com/@haynda17")</f>
        <v>https://www.tiktok.com/@haynda17</v>
      </c>
      <c r="D2386" s="273">
        <f>IFERROR(__xludf.DUMMYFUNCTION("""COMPUTED_VALUE"""),8.898591357E10)</f>
        <v>88985913570</v>
      </c>
      <c r="E2386" s="458">
        <f>IFERROR(__xludf.DUMMYFUNCTION("""COMPUTED_VALUE"""),0.0)</f>
        <v>0</v>
      </c>
      <c r="F2386" s="273">
        <f>IFERROR(__xludf.DUMMYFUNCTION("""COMPUTED_VALUE"""),4.0)</f>
        <v>4</v>
      </c>
      <c r="G2386" t="str">
        <f>IFERROR(__xludf.DUMMYFUNCTION("""COMPUTED_VALUE"""),"Sabun batang 1 Box ( 2 PCS )")</f>
        <v>Sabun batang 1 Box ( 2 PCS )</v>
      </c>
      <c r="H2386" s="469"/>
      <c r="I2386" s="470"/>
      <c r="K2386" s="470"/>
      <c r="M2386" s="470"/>
      <c r="O2386" s="470"/>
    </row>
    <row r="2387">
      <c r="A2387" s="282" t="str">
        <f>IFERROR(__xludf.DUMMYFUNCTION("""COMPUTED_VALUE"""),"MICRO")</f>
        <v>MICRO</v>
      </c>
      <c r="B2387" s="468" t="str">
        <f>IFERROR(__xludf.DUMMYFUNCTION("""COMPUTED_VALUE"""),"fitriah.ilmi")</f>
        <v>fitriah.ilmi</v>
      </c>
      <c r="C2387" s="283" t="str">
        <f>IFERROR(__xludf.DUMMYFUNCTION("""COMPUTED_VALUE"""),"https://www.tiktok.com/@fitriah.ilmi")</f>
        <v>https://www.tiktok.com/@fitriah.ilmi</v>
      </c>
      <c r="D2387" s="273">
        <f>IFERROR(__xludf.DUMMYFUNCTION("""COMPUTED_VALUE"""),8.589208227E10)</f>
        <v>85892082270</v>
      </c>
      <c r="E2387" s="458">
        <f>IFERROR(__xludf.DUMMYFUNCTION("""COMPUTED_VALUE"""),0.0)</f>
        <v>0</v>
      </c>
      <c r="F2387" s="273">
        <f>IFERROR(__xludf.DUMMYFUNCTION("""COMPUTED_VALUE"""),2.0)</f>
        <v>2</v>
      </c>
      <c r="G2387" t="str">
        <f>IFERROR(__xludf.DUMMYFUNCTION("""COMPUTED_VALUE"""),"Sabun batang 1 Box ( 2 PCS )")</f>
        <v>Sabun batang 1 Box ( 2 PCS )</v>
      </c>
      <c r="H2387" s="469"/>
      <c r="I2387" s="470"/>
      <c r="K2387" s="470"/>
      <c r="M2387" s="470"/>
      <c r="O2387" s="470"/>
    </row>
    <row r="2388">
      <c r="A2388" s="282" t="str">
        <f>IFERROR(__xludf.DUMMYFUNCTION("""COMPUTED_VALUE"""),"MICRO")</f>
        <v>MICRO</v>
      </c>
      <c r="B2388" s="468" t="str">
        <f>IFERROR(__xludf.DUMMYFUNCTION("""COMPUTED_VALUE"""),"racunfath")</f>
        <v>racunfath</v>
      </c>
      <c r="C2388" s="283" t="str">
        <f>IFERROR(__xludf.DUMMYFUNCTION("""COMPUTED_VALUE"""),"https://www.tiktok.com/@racunfath")</f>
        <v>https://www.tiktok.com/@racunfath</v>
      </c>
      <c r="D2388" s="273">
        <f>IFERROR(__xludf.DUMMYFUNCTION("""COMPUTED_VALUE"""),8.5727252825E10)</f>
        <v>85727252825</v>
      </c>
      <c r="E2388" s="458">
        <f>IFERROR(__xludf.DUMMYFUNCTION("""COMPUTED_VALUE"""),0.0)</f>
        <v>0</v>
      </c>
      <c r="F2388" s="273">
        <f>IFERROR(__xludf.DUMMYFUNCTION("""COMPUTED_VALUE"""),4.0)</f>
        <v>4</v>
      </c>
      <c r="G2388" t="str">
        <f>IFERROR(__xludf.DUMMYFUNCTION("""COMPUTED_VALUE"""),"Sabun batang 1 Box ( 2 PCS )")</f>
        <v>Sabun batang 1 Box ( 2 PCS )</v>
      </c>
      <c r="H2388" s="469"/>
      <c r="I2388" s="470"/>
      <c r="K2388" s="470"/>
      <c r="M2388" s="470"/>
      <c r="O2388" s="470"/>
    </row>
    <row r="2389">
      <c r="A2389" s="282" t="str">
        <f>IFERROR(__xludf.DUMMYFUNCTION("""COMPUTED_VALUE"""),"MICRO")</f>
        <v>MICRO</v>
      </c>
      <c r="B2389" s="468" t="str">
        <f>IFERROR(__xludf.DUMMYFUNCTION("""COMPUTED_VALUE"""),"hujan811")</f>
        <v>hujan811</v>
      </c>
      <c r="C2389" s="283" t="str">
        <f>IFERROR(__xludf.DUMMYFUNCTION("""COMPUTED_VALUE"""),"https://www.tiktok.com/@hujan811")</f>
        <v>https://www.tiktok.com/@hujan811</v>
      </c>
      <c r="D2389" s="273">
        <f>IFERROR(__xludf.DUMMYFUNCTION("""COMPUTED_VALUE"""),8.81022094409E11)</f>
        <v>881022094409</v>
      </c>
      <c r="E2389" s="458">
        <f>IFERROR(__xludf.DUMMYFUNCTION("""COMPUTED_VALUE"""),0.0)</f>
        <v>0</v>
      </c>
      <c r="F2389" s="273">
        <f>IFERROR(__xludf.DUMMYFUNCTION("""COMPUTED_VALUE"""),4.0)</f>
        <v>4</v>
      </c>
      <c r="G2389" t="str">
        <f>IFERROR(__xludf.DUMMYFUNCTION("""COMPUTED_VALUE"""),"Sabun batang 1 Box ( 2 PCS )")</f>
        <v>Sabun batang 1 Box ( 2 PCS )</v>
      </c>
      <c r="H2389" s="469"/>
      <c r="I2389" s="470"/>
      <c r="K2389" s="470"/>
      <c r="M2389" s="470"/>
      <c r="O2389" s="470"/>
    </row>
    <row r="2390">
      <c r="A2390" s="282" t="str">
        <f>IFERROR(__xludf.DUMMYFUNCTION("""COMPUTED_VALUE"""),"MICRO")</f>
        <v>MICRO</v>
      </c>
      <c r="B2390" s="468" t="str">
        <f>IFERROR(__xludf.DUMMYFUNCTION("""COMPUTED_VALUE"""),"putrilestarii029")</f>
        <v>putrilestarii029</v>
      </c>
      <c r="C2390" s="283" t="str">
        <f>IFERROR(__xludf.DUMMYFUNCTION("""COMPUTED_VALUE"""),"https://www.tiktok.com/@putrilestarii029")</f>
        <v>https://www.tiktok.com/@putrilestarii029</v>
      </c>
      <c r="D2390" s="273">
        <f>IFERROR(__xludf.DUMMYFUNCTION("""COMPUTED_VALUE"""),8.2230898811E10)</f>
        <v>82230898811</v>
      </c>
      <c r="E2390" s="458">
        <f>IFERROR(__xludf.DUMMYFUNCTION("""COMPUTED_VALUE"""),0.0)</f>
        <v>0</v>
      </c>
      <c r="F2390" s="273">
        <f>IFERROR(__xludf.DUMMYFUNCTION("""COMPUTED_VALUE"""),4.0)</f>
        <v>4</v>
      </c>
      <c r="G2390" t="str">
        <f>IFERROR(__xludf.DUMMYFUNCTION("""COMPUTED_VALUE"""),"Sabun batang 1 Box ( 2 PCS )")</f>
        <v>Sabun batang 1 Box ( 2 PCS )</v>
      </c>
      <c r="H2390" s="469"/>
      <c r="I2390" s="470"/>
      <c r="K2390" s="470"/>
      <c r="M2390" s="470"/>
      <c r="O2390" s="470"/>
    </row>
    <row r="2391">
      <c r="A2391" s="282" t="str">
        <f>IFERROR(__xludf.DUMMYFUNCTION("""COMPUTED_VALUE"""),"MICRO")</f>
        <v>MICRO</v>
      </c>
      <c r="B2391" s="468" t="str">
        <f>IFERROR(__xludf.DUMMYFUNCTION("""COMPUTED_VALUE"""),"daribulansuci")</f>
        <v>daribulansuci</v>
      </c>
      <c r="C2391" s="283" t="str">
        <f>IFERROR(__xludf.DUMMYFUNCTION("""COMPUTED_VALUE"""),"https://www.tiktok.com/@daribulansuci")</f>
        <v>https://www.tiktok.com/@daribulansuci</v>
      </c>
      <c r="D2391" s="273">
        <f>IFERROR(__xludf.DUMMYFUNCTION("""COMPUTED_VALUE"""),8.153215E10)</f>
        <v>81532150000</v>
      </c>
      <c r="E2391" s="458">
        <f>IFERROR(__xludf.DUMMYFUNCTION("""COMPUTED_VALUE"""),0.0)</f>
        <v>0</v>
      </c>
      <c r="F2391" s="273">
        <f>IFERROR(__xludf.DUMMYFUNCTION("""COMPUTED_VALUE"""),4.0)</f>
        <v>4</v>
      </c>
      <c r="G2391" t="str">
        <f>IFERROR(__xludf.DUMMYFUNCTION("""COMPUTED_VALUE"""),"Sabun batang 1 Box ( 2 PCS )")</f>
        <v>Sabun batang 1 Box ( 2 PCS )</v>
      </c>
      <c r="H2391" s="469"/>
      <c r="I2391" s="470"/>
      <c r="K2391" s="470"/>
      <c r="M2391" s="470"/>
      <c r="O2391" s="470"/>
    </row>
    <row r="2392">
      <c r="A2392" s="282" t="str">
        <f>IFERROR(__xludf.DUMMYFUNCTION("""COMPUTED_VALUE"""),"MICRO")</f>
        <v>MICRO</v>
      </c>
      <c r="B2392" s="468" t="str">
        <f>IFERROR(__xludf.DUMMYFUNCTION("""COMPUTED_VALUE"""),"nurkhakiki1")</f>
        <v>nurkhakiki1</v>
      </c>
      <c r="C2392" s="283" t="str">
        <f>IFERROR(__xludf.DUMMYFUNCTION("""COMPUTED_VALUE"""),"https://www.tiktok.com/@nurkhakiki1")</f>
        <v>https://www.tiktok.com/@nurkhakiki1</v>
      </c>
      <c r="D2392" s="273">
        <f>IFERROR(__xludf.DUMMYFUNCTION("""COMPUTED_VALUE"""),8.587087512E10)</f>
        <v>85870875120</v>
      </c>
      <c r="E2392" s="458">
        <f>IFERROR(__xludf.DUMMYFUNCTION("""COMPUTED_VALUE"""),0.0)</f>
        <v>0</v>
      </c>
      <c r="F2392" s="273">
        <f>IFERROR(__xludf.DUMMYFUNCTION("""COMPUTED_VALUE"""),1.0)</f>
        <v>1</v>
      </c>
      <c r="G2392" t="str">
        <f>IFERROR(__xludf.DUMMYFUNCTION("""COMPUTED_VALUE"""),"Sabun batang 1 Box ( 2 PCS )")</f>
        <v>Sabun batang 1 Box ( 2 PCS )</v>
      </c>
      <c r="H2392" s="469"/>
      <c r="I2392" s="470"/>
      <c r="K2392" s="470"/>
      <c r="M2392" s="470"/>
      <c r="O2392" s="470"/>
    </row>
    <row r="2393">
      <c r="A2393" s="282" t="str">
        <f>IFERROR(__xludf.DUMMYFUNCTION("""COMPUTED_VALUE"""),"MICRO")</f>
        <v>MICRO</v>
      </c>
      <c r="B2393" s="468" t="str">
        <f>IFERROR(__xludf.DUMMYFUNCTION("""COMPUTED_VALUE"""),"lisnaaa____13")</f>
        <v>lisnaaa____13</v>
      </c>
      <c r="C2393" s="283" t="str">
        <f>IFERROR(__xludf.DUMMYFUNCTION("""COMPUTED_VALUE"""),"https://www.tiktok.com/@lisnaaa____13")</f>
        <v>https://www.tiktok.com/@lisnaaa____13</v>
      </c>
      <c r="D2393" s="273">
        <f>IFERROR(__xludf.DUMMYFUNCTION("""COMPUTED_VALUE"""),8.5798809513E10)</f>
        <v>85798809513</v>
      </c>
      <c r="E2393" s="458">
        <f>IFERROR(__xludf.DUMMYFUNCTION("""COMPUTED_VALUE"""),0.0)</f>
        <v>0</v>
      </c>
      <c r="F2393" s="273">
        <f>IFERROR(__xludf.DUMMYFUNCTION("""COMPUTED_VALUE"""),2.0)</f>
        <v>2</v>
      </c>
      <c r="G2393" t="str">
        <f>IFERROR(__xludf.DUMMYFUNCTION("""COMPUTED_VALUE"""),"Sabun batang 1 Box ( 2 PCS )")</f>
        <v>Sabun batang 1 Box ( 2 PCS )</v>
      </c>
      <c r="H2393" s="469"/>
      <c r="I2393" s="470"/>
      <c r="K2393" s="470"/>
      <c r="M2393" s="470"/>
      <c r="O2393" s="470"/>
    </row>
    <row r="2394">
      <c r="A2394" s="282" t="str">
        <f>IFERROR(__xludf.DUMMYFUNCTION("""COMPUTED_VALUE"""),"MICRO")</f>
        <v>MICRO</v>
      </c>
      <c r="B2394" s="468" t="str">
        <f>IFERROR(__xludf.DUMMYFUNCTION("""COMPUTED_VALUE"""),"silpekkkk")</f>
        <v>silpekkkk</v>
      </c>
      <c r="C2394" s="283" t="str">
        <f>IFERROR(__xludf.DUMMYFUNCTION("""COMPUTED_VALUE"""),"https://www.tiktok.com/@silpekkkk")</f>
        <v>https://www.tiktok.com/@silpekkkk</v>
      </c>
      <c r="D2394" s="273">
        <f>IFERROR(__xludf.DUMMYFUNCTION("""COMPUTED_VALUE"""),8.5707275425E10)</f>
        <v>85707275425</v>
      </c>
      <c r="E2394" s="458">
        <f>IFERROR(__xludf.DUMMYFUNCTION("""COMPUTED_VALUE"""),0.0)</f>
        <v>0</v>
      </c>
      <c r="F2394" s="273">
        <f>IFERROR(__xludf.DUMMYFUNCTION("""COMPUTED_VALUE"""),4.0)</f>
        <v>4</v>
      </c>
      <c r="G2394" t="str">
        <f>IFERROR(__xludf.DUMMYFUNCTION("""COMPUTED_VALUE"""),"Sabun batang 1 Box ( 2 PCS )")</f>
        <v>Sabun batang 1 Box ( 2 PCS )</v>
      </c>
      <c r="H2394" s="469"/>
      <c r="I2394" s="470"/>
      <c r="K2394" s="470"/>
      <c r="M2394" s="470"/>
      <c r="O2394" s="470"/>
    </row>
    <row r="2395">
      <c r="A2395" s="282" t="str">
        <f>IFERROR(__xludf.DUMMYFUNCTION("""COMPUTED_VALUE"""),"MICRO")</f>
        <v>MICRO</v>
      </c>
      <c r="B2395" s="468" t="str">
        <f>IFERROR(__xludf.DUMMYFUNCTION("""COMPUTED_VALUE"""),"kurniawanawan915")</f>
        <v>kurniawanawan915</v>
      </c>
      <c r="C2395" s="283" t="str">
        <f>IFERROR(__xludf.DUMMYFUNCTION("""COMPUTED_VALUE"""),"https://www.tiktok.com/@kurniawanawan915")</f>
        <v>https://www.tiktok.com/@kurniawanawan915</v>
      </c>
      <c r="D2395" s="273">
        <f>IFERROR(__xludf.DUMMYFUNCTION("""COMPUTED_VALUE"""),8.1513555451E10)</f>
        <v>81513555451</v>
      </c>
      <c r="E2395" s="458">
        <f>IFERROR(__xludf.DUMMYFUNCTION("""COMPUTED_VALUE"""),0.0)</f>
        <v>0</v>
      </c>
      <c r="F2395" s="273">
        <f>IFERROR(__xludf.DUMMYFUNCTION("""COMPUTED_VALUE"""),4.0)</f>
        <v>4</v>
      </c>
      <c r="G2395" t="str">
        <f>IFERROR(__xludf.DUMMYFUNCTION("""COMPUTED_VALUE"""),"Sabun batang 1 Box ( 2 PCS )")</f>
        <v>Sabun batang 1 Box ( 2 PCS )</v>
      </c>
      <c r="H2395" s="469"/>
      <c r="I2395" s="470"/>
      <c r="K2395" s="470"/>
      <c r="M2395" s="470"/>
      <c r="O2395" s="470"/>
    </row>
    <row r="2396">
      <c r="A2396" s="282" t="str">
        <f>IFERROR(__xludf.DUMMYFUNCTION("""COMPUTED_VALUE"""),"MICRO")</f>
        <v>MICRO</v>
      </c>
      <c r="B2396" s="468" t="str">
        <f>IFERROR(__xludf.DUMMYFUNCTION("""COMPUTED_VALUE"""),"nairna08")</f>
        <v>nairna08</v>
      </c>
      <c r="C2396" s="283" t="str">
        <f>IFERROR(__xludf.DUMMYFUNCTION("""COMPUTED_VALUE"""),"https://www.tiktok.com/@nairna08")</f>
        <v>https://www.tiktok.com/@nairna08</v>
      </c>
      <c r="D2396" s="273">
        <f>IFERROR(__xludf.DUMMYFUNCTION("""COMPUTED_VALUE"""),8.9518896888E10)</f>
        <v>89518896888</v>
      </c>
      <c r="E2396" s="458">
        <f>IFERROR(__xludf.DUMMYFUNCTION("""COMPUTED_VALUE"""),0.0)</f>
        <v>0</v>
      </c>
      <c r="F2396" s="273">
        <f>IFERROR(__xludf.DUMMYFUNCTION("""COMPUTED_VALUE"""),2.0)</f>
        <v>2</v>
      </c>
      <c r="G2396" t="str">
        <f>IFERROR(__xludf.DUMMYFUNCTION("""COMPUTED_VALUE"""),"Sabun batang 1 Box ( 2 PCS )")</f>
        <v>Sabun batang 1 Box ( 2 PCS )</v>
      </c>
      <c r="H2396" s="469"/>
      <c r="I2396" s="470"/>
      <c r="K2396" s="470"/>
      <c r="M2396" s="470"/>
      <c r="O2396" s="470"/>
    </row>
    <row r="2397">
      <c r="A2397" s="282" t="str">
        <f>IFERROR(__xludf.DUMMYFUNCTION("""COMPUTED_VALUE"""),"MICRO")</f>
        <v>MICRO</v>
      </c>
      <c r="B2397" s="468" t="str">
        <f>IFERROR(__xludf.DUMMYFUNCTION("""COMPUTED_VALUE"""),"restimaulani_")</f>
        <v>restimaulani_</v>
      </c>
      <c r="C2397" s="283" t="str">
        <f>IFERROR(__xludf.DUMMYFUNCTION("""COMPUTED_VALUE"""),"https://www.tiktok.com/@restimaulani_")</f>
        <v>https://www.tiktok.com/@restimaulani_</v>
      </c>
      <c r="D2397" s="273">
        <f>IFERROR(__xludf.DUMMYFUNCTION("""COMPUTED_VALUE"""),8.8742577744E10)</f>
        <v>88742577744</v>
      </c>
      <c r="E2397" s="458">
        <f>IFERROR(__xludf.DUMMYFUNCTION("""COMPUTED_VALUE"""),0.0)</f>
        <v>0</v>
      </c>
      <c r="F2397" s="273">
        <f>IFERROR(__xludf.DUMMYFUNCTION("""COMPUTED_VALUE"""),2.0)</f>
        <v>2</v>
      </c>
      <c r="G2397" t="str">
        <f>IFERROR(__xludf.DUMMYFUNCTION("""COMPUTED_VALUE"""),"Sabun batang 1 Box ( 2 PCS )")</f>
        <v>Sabun batang 1 Box ( 2 PCS )</v>
      </c>
      <c r="H2397" s="469"/>
      <c r="I2397" s="470"/>
      <c r="K2397" s="470"/>
      <c r="M2397" s="470"/>
      <c r="O2397" s="470"/>
    </row>
    <row r="2398">
      <c r="A2398" s="282" t="str">
        <f>IFERROR(__xludf.DUMMYFUNCTION("""COMPUTED_VALUE"""),"MICRO")</f>
        <v>MICRO</v>
      </c>
      <c r="B2398" s="468" t="str">
        <f>IFERROR(__xludf.DUMMYFUNCTION("""COMPUTED_VALUE"""),"st_mrymmmmm")</f>
        <v>st_mrymmmmm</v>
      </c>
      <c r="C2398" s="283" t="str">
        <f>IFERROR(__xludf.DUMMYFUNCTION("""COMPUTED_VALUE"""),"https://www.tiktok.com/@st_mrymmmmm")</f>
        <v>https://www.tiktok.com/@st_mrymmmmm</v>
      </c>
      <c r="D2398" s="273">
        <f>IFERROR(__xludf.DUMMYFUNCTION("""COMPUTED_VALUE"""),8.9517147822E10)</f>
        <v>89517147822</v>
      </c>
      <c r="E2398" s="458">
        <f>IFERROR(__xludf.DUMMYFUNCTION("""COMPUTED_VALUE"""),0.0)</f>
        <v>0</v>
      </c>
      <c r="F2398" s="273">
        <f>IFERROR(__xludf.DUMMYFUNCTION("""COMPUTED_VALUE"""),2.0)</f>
        <v>2</v>
      </c>
      <c r="G2398" t="str">
        <f>IFERROR(__xludf.DUMMYFUNCTION("""COMPUTED_VALUE"""),"Sabun batang 1 Box ( 2 PCS )")</f>
        <v>Sabun batang 1 Box ( 2 PCS )</v>
      </c>
      <c r="H2398" s="469"/>
      <c r="I2398" s="470"/>
      <c r="K2398" s="470"/>
      <c r="M2398" s="470"/>
      <c r="O2398" s="470"/>
    </row>
    <row r="2399">
      <c r="A2399" s="282" t="str">
        <f>IFERROR(__xludf.DUMMYFUNCTION("""COMPUTED_VALUE"""),"MICRO")</f>
        <v>MICRO</v>
      </c>
      <c r="B2399" s="468" t="str">
        <f>IFERROR(__xludf.DUMMYFUNCTION("""COMPUTED_VALUE"""),"daniafutrii")</f>
        <v>daniafutrii</v>
      </c>
      <c r="C2399" s="283" t="str">
        <f>IFERROR(__xludf.DUMMYFUNCTION("""COMPUTED_VALUE"""),"https://www.tiktok.com/@daniafutrii")</f>
        <v>https://www.tiktok.com/@daniafutrii</v>
      </c>
      <c r="D2399" s="273">
        <f>IFERROR(__xludf.DUMMYFUNCTION("""COMPUTED_VALUE"""),8.9639201684E10)</f>
        <v>89639201684</v>
      </c>
      <c r="E2399" s="458">
        <f>IFERROR(__xludf.DUMMYFUNCTION("""COMPUTED_VALUE"""),0.0)</f>
        <v>0</v>
      </c>
      <c r="F2399" s="273">
        <f>IFERROR(__xludf.DUMMYFUNCTION("""COMPUTED_VALUE"""),2.0)</f>
        <v>2</v>
      </c>
      <c r="G2399" t="str">
        <f>IFERROR(__xludf.DUMMYFUNCTION("""COMPUTED_VALUE"""),"Sabun batang 1 Box ( 2 PCS )")</f>
        <v>Sabun batang 1 Box ( 2 PCS )</v>
      </c>
      <c r="H2399" s="469"/>
      <c r="I2399" s="470"/>
      <c r="K2399" s="470"/>
      <c r="M2399" s="470"/>
      <c r="O2399" s="470"/>
    </row>
    <row r="2400">
      <c r="A2400" s="282" t="str">
        <f>IFERROR(__xludf.DUMMYFUNCTION("""COMPUTED_VALUE"""),"MICRO")</f>
        <v>MICRO</v>
      </c>
      <c r="B2400" s="468" t="str">
        <f>IFERROR(__xludf.DUMMYFUNCTION("""COMPUTED_VALUE"""),"divanafinza4")</f>
        <v>divanafinza4</v>
      </c>
      <c r="C2400" s="283" t="str">
        <f>IFERROR(__xludf.DUMMYFUNCTION("""COMPUTED_VALUE"""),"https://www.tiktok.com/@divanafinza4")</f>
        <v>https://www.tiktok.com/@divanafinza4</v>
      </c>
      <c r="D2400" s="273">
        <f>IFERROR(__xludf.DUMMYFUNCTION("""COMPUTED_VALUE"""),8.5600543162E10)</f>
        <v>85600543162</v>
      </c>
      <c r="E2400" s="458">
        <f>IFERROR(__xludf.DUMMYFUNCTION("""COMPUTED_VALUE"""),0.0)</f>
        <v>0</v>
      </c>
      <c r="F2400" s="273">
        <f>IFERROR(__xludf.DUMMYFUNCTION("""COMPUTED_VALUE"""),4.0)</f>
        <v>4</v>
      </c>
      <c r="G2400" t="str">
        <f>IFERROR(__xludf.DUMMYFUNCTION("""COMPUTED_VALUE"""),"Sabun batang 1 Box ( 2 PCS )")</f>
        <v>Sabun batang 1 Box ( 2 PCS )</v>
      </c>
      <c r="H2400" s="469"/>
      <c r="I2400" s="470"/>
      <c r="K2400" s="470"/>
      <c r="M2400" s="470"/>
      <c r="O2400" s="470"/>
    </row>
    <row r="2401">
      <c r="A2401" s="282" t="str">
        <f>IFERROR(__xludf.DUMMYFUNCTION("""COMPUTED_VALUE"""),"MICRO")</f>
        <v>MICRO</v>
      </c>
      <c r="B2401" s="468" t="str">
        <f>IFERROR(__xludf.DUMMYFUNCTION("""COMPUTED_VALUE"""),"fashion.keren.kekinian")</f>
        <v>fashion.keren.kekinian</v>
      </c>
      <c r="C2401" s="283" t="str">
        <f>IFERROR(__xludf.DUMMYFUNCTION("""COMPUTED_VALUE"""),"https://www.tiktok.com/@fashion.keren.kekinian")</f>
        <v>https://www.tiktok.com/@fashion.keren.kekinian</v>
      </c>
      <c r="D2401" s="273">
        <f>IFERROR(__xludf.DUMMYFUNCTION("""COMPUTED_VALUE"""),8.7875148604E10)</f>
        <v>87875148604</v>
      </c>
      <c r="E2401" s="458">
        <f>IFERROR(__xludf.DUMMYFUNCTION("""COMPUTED_VALUE"""),0.0)</f>
        <v>0</v>
      </c>
      <c r="F2401" s="273">
        <f>IFERROR(__xludf.DUMMYFUNCTION("""COMPUTED_VALUE"""),4.0)</f>
        <v>4</v>
      </c>
      <c r="G2401" t="str">
        <f>IFERROR(__xludf.DUMMYFUNCTION("""COMPUTED_VALUE"""),"Sabun batang 1 Box ( 2 PCS )")</f>
        <v>Sabun batang 1 Box ( 2 PCS )</v>
      </c>
      <c r="H2401" s="469"/>
      <c r="I2401" s="470"/>
      <c r="K2401" s="470"/>
      <c r="M2401" s="470"/>
      <c r="O2401" s="470"/>
    </row>
    <row r="2402">
      <c r="A2402" s="282" t="str">
        <f>IFERROR(__xludf.DUMMYFUNCTION("""COMPUTED_VALUE"""),"MICRO")</f>
        <v>MICRO</v>
      </c>
      <c r="B2402" s="468" t="str">
        <f>IFERROR(__xludf.DUMMYFUNCTION("""COMPUTED_VALUE"""),"dita.arlita")</f>
        <v>dita.arlita</v>
      </c>
      <c r="C2402" s="283" t="str">
        <f>IFERROR(__xludf.DUMMYFUNCTION("""COMPUTED_VALUE"""),"https://www.tiktok.com/@dita.arlita")</f>
        <v>https://www.tiktok.com/@dita.arlita</v>
      </c>
      <c r="D2402" s="273">
        <f>IFERROR(__xludf.DUMMYFUNCTION("""COMPUTED_VALUE"""),8.571366254E10)</f>
        <v>85713662540</v>
      </c>
      <c r="E2402" s="458">
        <f>IFERROR(__xludf.DUMMYFUNCTION("""COMPUTED_VALUE"""),0.0)</f>
        <v>0</v>
      </c>
      <c r="F2402" s="273">
        <f>IFERROR(__xludf.DUMMYFUNCTION("""COMPUTED_VALUE"""),4.0)</f>
        <v>4</v>
      </c>
      <c r="G2402" t="str">
        <f>IFERROR(__xludf.DUMMYFUNCTION("""COMPUTED_VALUE"""),"Sabun batang 1 Box ( 2 PCS )")</f>
        <v>Sabun batang 1 Box ( 2 PCS )</v>
      </c>
      <c r="H2402" s="469"/>
      <c r="I2402" s="470"/>
      <c r="K2402" s="470"/>
      <c r="M2402" s="470"/>
      <c r="O2402" s="470"/>
    </row>
    <row r="2403">
      <c r="A2403" s="282" t="str">
        <f>IFERROR(__xludf.DUMMYFUNCTION("""COMPUTED_VALUE"""),"MICRO")</f>
        <v>MICRO</v>
      </c>
      <c r="B2403" s="468" t="str">
        <f>IFERROR(__xludf.DUMMYFUNCTION("""COMPUTED_VALUE"""),"hwang.be")</f>
        <v>hwang.be</v>
      </c>
      <c r="C2403" s="283" t="str">
        <f>IFERROR(__xludf.DUMMYFUNCTION("""COMPUTED_VALUE"""),"https://www.tiktok.com/@hwang.be")</f>
        <v>https://www.tiktok.com/@hwang.be</v>
      </c>
      <c r="D2403" s="273">
        <f>IFERROR(__xludf.DUMMYFUNCTION("""COMPUTED_VALUE"""),8.3163944467E10)</f>
        <v>83163944467</v>
      </c>
      <c r="E2403" s="458">
        <f>IFERROR(__xludf.DUMMYFUNCTION("""COMPUTED_VALUE"""),0.0)</f>
        <v>0</v>
      </c>
      <c r="F2403" s="273">
        <f>IFERROR(__xludf.DUMMYFUNCTION("""COMPUTED_VALUE"""),4.0)</f>
        <v>4</v>
      </c>
      <c r="G2403" t="str">
        <f>IFERROR(__xludf.DUMMYFUNCTION("""COMPUTED_VALUE"""),"Sabun batang 1 Box ( 2 PCS )")</f>
        <v>Sabun batang 1 Box ( 2 PCS )</v>
      </c>
      <c r="H2403" s="469"/>
      <c r="I2403" s="470"/>
      <c r="K2403" s="470"/>
      <c r="M2403" s="470"/>
      <c r="O2403" s="470"/>
    </row>
    <row r="2404">
      <c r="A2404" s="282" t="str">
        <f>IFERROR(__xludf.DUMMYFUNCTION("""COMPUTED_VALUE"""),"MICRO")</f>
        <v>MICRO</v>
      </c>
      <c r="B2404" s="468" t="str">
        <f>IFERROR(__xludf.DUMMYFUNCTION("""COMPUTED_VALUE"""),"jelitagisestry3")</f>
        <v>jelitagisestry3</v>
      </c>
      <c r="C2404" s="283" t="str">
        <f>IFERROR(__xludf.DUMMYFUNCTION("""COMPUTED_VALUE"""),"https://www.tiktok.com/@jelitagisestry3")</f>
        <v>https://www.tiktok.com/@jelitagisestry3</v>
      </c>
      <c r="D2404" s="273">
        <f>IFERROR(__xludf.DUMMYFUNCTION("""COMPUTED_VALUE"""),8.5839360844E10)</f>
        <v>85839360844</v>
      </c>
      <c r="E2404" s="458">
        <f>IFERROR(__xludf.DUMMYFUNCTION("""COMPUTED_VALUE"""),0.0)</f>
        <v>0</v>
      </c>
      <c r="F2404" s="273">
        <f>IFERROR(__xludf.DUMMYFUNCTION("""COMPUTED_VALUE"""),4.0)</f>
        <v>4</v>
      </c>
      <c r="G2404" t="str">
        <f>IFERROR(__xludf.DUMMYFUNCTION("""COMPUTED_VALUE"""),"Sabun batang 1 Box ( 2 PCS )")</f>
        <v>Sabun batang 1 Box ( 2 PCS )</v>
      </c>
      <c r="H2404" s="469"/>
      <c r="I2404" s="470"/>
      <c r="K2404" s="470"/>
      <c r="M2404" s="470"/>
      <c r="O2404" s="470"/>
    </row>
    <row r="2405">
      <c r="A2405" s="282" t="str">
        <f>IFERROR(__xludf.DUMMYFUNCTION("""COMPUTED_VALUE"""),"MICRO")</f>
        <v>MICRO</v>
      </c>
      <c r="B2405" s="468" t="str">
        <f>IFERROR(__xludf.DUMMYFUNCTION("""COMPUTED_VALUE"""),"she.nathasya")</f>
        <v>she.nathasya</v>
      </c>
      <c r="C2405" s="283" t="str">
        <f>IFERROR(__xludf.DUMMYFUNCTION("""COMPUTED_VALUE"""),"https://www.tiktok.com/@she.nathasya")</f>
        <v>https://www.tiktok.com/@she.nathasya</v>
      </c>
      <c r="D2405" s="273">
        <f>IFERROR(__xludf.DUMMYFUNCTION("""COMPUTED_VALUE"""),8.9601257001E10)</f>
        <v>89601257001</v>
      </c>
      <c r="E2405" s="458">
        <f>IFERROR(__xludf.DUMMYFUNCTION("""COMPUTED_VALUE"""),0.0)</f>
        <v>0</v>
      </c>
      <c r="F2405" s="273">
        <f>IFERROR(__xludf.DUMMYFUNCTION("""COMPUTED_VALUE"""),4.0)</f>
        <v>4</v>
      </c>
      <c r="G2405" t="str">
        <f>IFERROR(__xludf.DUMMYFUNCTION("""COMPUTED_VALUE"""),"Sabun batang 1 Box ( 2 PCS )")</f>
        <v>Sabun batang 1 Box ( 2 PCS )</v>
      </c>
      <c r="H2405" s="469"/>
      <c r="I2405" s="470"/>
      <c r="K2405" s="470"/>
      <c r="M2405" s="470"/>
      <c r="O2405" s="470"/>
    </row>
    <row r="2406">
      <c r="A2406" s="282" t="str">
        <f>IFERROR(__xludf.DUMMYFUNCTION("""COMPUTED_VALUE"""),"MICRO")</f>
        <v>MICRO</v>
      </c>
      <c r="B2406" s="468" t="str">
        <f>IFERROR(__xludf.DUMMYFUNCTION("""COMPUTED_VALUE"""),"suci_kuya")</f>
        <v>suci_kuya</v>
      </c>
      <c r="C2406" s="283" t="str">
        <f>IFERROR(__xludf.DUMMYFUNCTION("""COMPUTED_VALUE"""),"https://www.tiktok.com/@suci_kuya")</f>
        <v>https://www.tiktok.com/@suci_kuya</v>
      </c>
      <c r="D2406" s="273">
        <f>IFERROR(__xludf.DUMMYFUNCTION("""COMPUTED_VALUE"""),8.1289639212E10)</f>
        <v>81289639212</v>
      </c>
      <c r="E2406" s="458">
        <f>IFERROR(__xludf.DUMMYFUNCTION("""COMPUTED_VALUE"""),0.0)</f>
        <v>0</v>
      </c>
      <c r="F2406" s="273">
        <f>IFERROR(__xludf.DUMMYFUNCTION("""COMPUTED_VALUE"""),4.0)</f>
        <v>4</v>
      </c>
      <c r="G2406" t="str">
        <f>IFERROR(__xludf.DUMMYFUNCTION("""COMPUTED_VALUE"""),"Sabun batang 1 Box ( 2 PCS )")</f>
        <v>Sabun batang 1 Box ( 2 PCS )</v>
      </c>
      <c r="H2406" s="469"/>
      <c r="I2406" s="470"/>
      <c r="K2406" s="470"/>
      <c r="M2406" s="470"/>
      <c r="O2406" s="470"/>
    </row>
    <row r="2407">
      <c r="A2407" s="282" t="str">
        <f>IFERROR(__xludf.DUMMYFUNCTION("""COMPUTED_VALUE"""),"MICRO")</f>
        <v>MICRO</v>
      </c>
      <c r="B2407" s="468" t="str">
        <f>IFERROR(__xludf.DUMMYFUNCTION("""COMPUTED_VALUE"""),"edlncitra")</f>
        <v>edlncitra</v>
      </c>
      <c r="C2407" s="283" t="str">
        <f>IFERROR(__xludf.DUMMYFUNCTION("""COMPUTED_VALUE"""),"https://www.tiktok.com/@edlncitra")</f>
        <v>https://www.tiktok.com/@edlncitra</v>
      </c>
      <c r="D2407" s="273">
        <f>IFERROR(__xludf.DUMMYFUNCTION("""COMPUTED_VALUE"""),8.227331846E10)</f>
        <v>82273318460</v>
      </c>
      <c r="E2407" s="458">
        <f>IFERROR(__xludf.DUMMYFUNCTION("""COMPUTED_VALUE"""),0.0)</f>
        <v>0</v>
      </c>
      <c r="F2407" s="273">
        <f>IFERROR(__xludf.DUMMYFUNCTION("""COMPUTED_VALUE"""),4.0)</f>
        <v>4</v>
      </c>
      <c r="G2407" t="str">
        <f>IFERROR(__xludf.DUMMYFUNCTION("""COMPUTED_VALUE"""),"Sabun batang 1 Box ( 2 PCS )")</f>
        <v>Sabun batang 1 Box ( 2 PCS )</v>
      </c>
      <c r="H2407" s="469"/>
      <c r="I2407" s="470"/>
      <c r="K2407" s="470"/>
      <c r="M2407" s="470"/>
      <c r="O2407" s="470"/>
    </row>
    <row r="2408">
      <c r="A2408" s="282" t="str">
        <f>IFERROR(__xludf.DUMMYFUNCTION("""COMPUTED_VALUE"""),"MICRO")</f>
        <v>MICRO</v>
      </c>
      <c r="B2408" s="468" t="str">
        <f>IFERROR(__xludf.DUMMYFUNCTION("""COMPUTED_VALUE"""),"mamiupdateoutfit")</f>
        <v>mamiupdateoutfit</v>
      </c>
      <c r="C2408" s="283" t="str">
        <f>IFERROR(__xludf.DUMMYFUNCTION("""COMPUTED_VALUE"""),"https://www.tiktok.com/@mamiupdateoutfit")</f>
        <v>https://www.tiktok.com/@mamiupdateoutfit</v>
      </c>
      <c r="D2408" s="273">
        <f>IFERROR(__xludf.DUMMYFUNCTION("""COMPUTED_VALUE"""),8.5881377713E10)</f>
        <v>85881377713</v>
      </c>
      <c r="E2408" s="458">
        <f>IFERROR(__xludf.DUMMYFUNCTION("""COMPUTED_VALUE"""),0.0)</f>
        <v>0</v>
      </c>
      <c r="F2408" s="273">
        <f>IFERROR(__xludf.DUMMYFUNCTION("""COMPUTED_VALUE"""),4.0)</f>
        <v>4</v>
      </c>
      <c r="G2408" t="str">
        <f>IFERROR(__xludf.DUMMYFUNCTION("""COMPUTED_VALUE"""),"Sabun batang 1 Box ( 2 PCS )")</f>
        <v>Sabun batang 1 Box ( 2 PCS )</v>
      </c>
      <c r="H2408" s="469"/>
      <c r="I2408" s="470"/>
      <c r="K2408" s="470"/>
      <c r="M2408" s="470"/>
      <c r="O2408" s="470"/>
    </row>
    <row r="2409">
      <c r="A2409" s="282" t="str">
        <f>IFERROR(__xludf.DUMMYFUNCTION("""COMPUTED_VALUE"""),"MICRO")</f>
        <v>MICRO</v>
      </c>
      <c r="B2409" s="468" t="str">
        <f>IFERROR(__xludf.DUMMYFUNCTION("""COMPUTED_VALUE"""),"ratna_fitriee")</f>
        <v>ratna_fitriee</v>
      </c>
      <c r="C2409" s="283" t="str">
        <f>IFERROR(__xludf.DUMMYFUNCTION("""COMPUTED_VALUE"""),"https://www.tiktok.com/@ratna_fitriee")</f>
        <v>https://www.tiktok.com/@ratna_fitriee</v>
      </c>
      <c r="D2409" s="273">
        <f>IFERROR(__xludf.DUMMYFUNCTION("""COMPUTED_VALUE"""),8.2131052401E10)</f>
        <v>82131052401</v>
      </c>
      <c r="E2409" s="458">
        <f>IFERROR(__xludf.DUMMYFUNCTION("""COMPUTED_VALUE"""),0.0)</f>
        <v>0</v>
      </c>
      <c r="F2409" s="273">
        <f>IFERROR(__xludf.DUMMYFUNCTION("""COMPUTED_VALUE"""),4.0)</f>
        <v>4</v>
      </c>
      <c r="G2409" t="str">
        <f>IFERROR(__xludf.DUMMYFUNCTION("""COMPUTED_VALUE"""),"Sabun batang 1 Box ( 2 PCS )")</f>
        <v>Sabun batang 1 Box ( 2 PCS )</v>
      </c>
      <c r="H2409" s="469"/>
      <c r="I2409" s="470"/>
      <c r="K2409" s="470"/>
      <c r="M2409" s="470"/>
      <c r="O2409" s="470"/>
    </row>
    <row r="2410">
      <c r="A2410" s="282" t="str">
        <f>IFERROR(__xludf.DUMMYFUNCTION("""COMPUTED_VALUE"""),"MICRO")</f>
        <v>MICRO</v>
      </c>
      <c r="B2410" s="468" t="str">
        <f>IFERROR(__xludf.DUMMYFUNCTION("""COMPUTED_VALUE"""),"n3naftr")</f>
        <v>n3naftr</v>
      </c>
      <c r="C2410" s="283" t="str">
        <f>IFERROR(__xludf.DUMMYFUNCTION("""COMPUTED_VALUE"""),"https://www.tiktok.com/@n3naftr")</f>
        <v>https://www.tiktok.com/@n3naftr</v>
      </c>
      <c r="D2410" s="273">
        <f>IFERROR(__xludf.DUMMYFUNCTION("""COMPUTED_VALUE"""),8.562407874E10)</f>
        <v>85624078740</v>
      </c>
      <c r="E2410" s="458">
        <f>IFERROR(__xludf.DUMMYFUNCTION("""COMPUTED_VALUE"""),0.0)</f>
        <v>0</v>
      </c>
      <c r="F2410" s="273">
        <f>IFERROR(__xludf.DUMMYFUNCTION("""COMPUTED_VALUE"""),4.0)</f>
        <v>4</v>
      </c>
      <c r="G2410" t="str">
        <f>IFERROR(__xludf.DUMMYFUNCTION("""COMPUTED_VALUE"""),"Sabun batang 1 Box ( 2 PCS )")</f>
        <v>Sabun batang 1 Box ( 2 PCS )</v>
      </c>
      <c r="H2410" s="469"/>
      <c r="I2410" s="470"/>
      <c r="K2410" s="470"/>
      <c r="M2410" s="470"/>
      <c r="O2410" s="470"/>
    </row>
    <row r="2411">
      <c r="A2411" s="282" t="str">
        <f>IFERROR(__xludf.DUMMYFUNCTION("""COMPUTED_VALUE"""),"MICRO")</f>
        <v>MICRO</v>
      </c>
      <c r="B2411" s="468" t="str">
        <f>IFERROR(__xludf.DUMMYFUNCTION("""COMPUTED_VALUE"""),"kangmakeupsumedang")</f>
        <v>kangmakeupsumedang</v>
      </c>
      <c r="C2411" s="283" t="str">
        <f>IFERROR(__xludf.DUMMYFUNCTION("""COMPUTED_VALUE"""),"https://www.tiktok.com/@kangmakeupsumedang")</f>
        <v>https://www.tiktok.com/@kangmakeupsumedang</v>
      </c>
      <c r="D2411" s="273">
        <f>IFERROR(__xludf.DUMMYFUNCTION("""COMPUTED_VALUE"""),8.7892005694E10)</f>
        <v>87892005694</v>
      </c>
      <c r="E2411" s="458">
        <f>IFERROR(__xludf.DUMMYFUNCTION("""COMPUTED_VALUE"""),0.0)</f>
        <v>0</v>
      </c>
      <c r="F2411" s="273">
        <f>IFERROR(__xludf.DUMMYFUNCTION("""COMPUTED_VALUE"""),4.0)</f>
        <v>4</v>
      </c>
      <c r="G2411" t="str">
        <f>IFERROR(__xludf.DUMMYFUNCTION("""COMPUTED_VALUE"""),"Sabun batang 1 Box ( 2 PCS )")</f>
        <v>Sabun batang 1 Box ( 2 PCS )</v>
      </c>
      <c r="H2411" s="469"/>
      <c r="I2411" s="470"/>
      <c r="K2411" s="470"/>
      <c r="M2411" s="470"/>
      <c r="O2411" s="470"/>
    </row>
    <row r="2412">
      <c r="A2412" s="282" t="str">
        <f>IFERROR(__xludf.DUMMYFUNCTION("""COMPUTED_VALUE"""),"MICRO")</f>
        <v>MICRO</v>
      </c>
      <c r="B2412" s="468" t="str">
        <f>IFERROR(__xludf.DUMMYFUNCTION("""COMPUTED_VALUE"""),"desynovasalonjuwn")</f>
        <v>desynovasalonjuwn</v>
      </c>
      <c r="C2412" s="283" t="str">
        <f>IFERROR(__xludf.DUMMYFUNCTION("""COMPUTED_VALUE"""),"https://www.tiktok.com/@desynovasalonjuwn")</f>
        <v>https://www.tiktok.com/@desynovasalonjuwn</v>
      </c>
      <c r="D2412" s="273">
        <f>IFERROR(__xludf.DUMMYFUNCTION("""COMPUTED_VALUE"""),8.5922434025E10)</f>
        <v>85922434025</v>
      </c>
      <c r="E2412" s="458">
        <f>IFERROR(__xludf.DUMMYFUNCTION("""COMPUTED_VALUE"""),0.0)</f>
        <v>0</v>
      </c>
      <c r="F2412" s="273">
        <f>IFERROR(__xludf.DUMMYFUNCTION("""COMPUTED_VALUE"""),4.0)</f>
        <v>4</v>
      </c>
      <c r="G2412" t="str">
        <f>IFERROR(__xludf.DUMMYFUNCTION("""COMPUTED_VALUE"""),"Sabun batang 1 Box ( 2 PCS )")</f>
        <v>Sabun batang 1 Box ( 2 PCS )</v>
      </c>
      <c r="H2412" s="469"/>
      <c r="I2412" s="470"/>
      <c r="K2412" s="470"/>
      <c r="M2412" s="470"/>
      <c r="O2412" s="470"/>
    </row>
    <row r="2413">
      <c r="A2413" s="282" t="str">
        <f>IFERROR(__xludf.DUMMYFUNCTION("""COMPUTED_VALUE"""),"MICRO")</f>
        <v>MICRO</v>
      </c>
      <c r="B2413" s="468" t="str">
        <f>IFERROR(__xludf.DUMMYFUNCTION("""COMPUTED_VALUE"""),"cattleya_rinjani")</f>
        <v>cattleya_rinjani</v>
      </c>
      <c r="C2413" s="283" t="str">
        <f>IFERROR(__xludf.DUMMYFUNCTION("""COMPUTED_VALUE"""),"https://www.tiktok.com/@cattleya_rinjani")</f>
        <v>https://www.tiktok.com/@cattleya_rinjani</v>
      </c>
      <c r="D2413" s="273">
        <f>IFERROR(__xludf.DUMMYFUNCTION("""COMPUTED_VALUE"""),8.989716167E9)</f>
        <v>8989716167</v>
      </c>
      <c r="E2413" s="458">
        <f>IFERROR(__xludf.DUMMYFUNCTION("""COMPUTED_VALUE"""),0.0)</f>
        <v>0</v>
      </c>
      <c r="F2413" s="273">
        <f>IFERROR(__xludf.DUMMYFUNCTION("""COMPUTED_VALUE"""),4.0)</f>
        <v>4</v>
      </c>
      <c r="G2413" t="str">
        <f>IFERROR(__xludf.DUMMYFUNCTION("""COMPUTED_VALUE"""),"Sabun batang 1 Box ( 2 PCS )")</f>
        <v>Sabun batang 1 Box ( 2 PCS )</v>
      </c>
      <c r="H2413" s="469"/>
      <c r="I2413" s="470"/>
      <c r="K2413" s="470"/>
      <c r="M2413" s="470"/>
      <c r="O2413" s="470"/>
    </row>
    <row r="2414">
      <c r="A2414" s="282" t="str">
        <f>IFERROR(__xludf.DUMMYFUNCTION("""COMPUTED_VALUE"""),"MICRO")</f>
        <v>MICRO</v>
      </c>
      <c r="B2414" s="468" t="str">
        <f>IFERROR(__xludf.DUMMYFUNCTION("""COMPUTED_VALUE"""),"isn_210")</f>
        <v>isn_210</v>
      </c>
      <c r="C2414" s="283" t="str">
        <f>IFERROR(__xludf.DUMMYFUNCTION("""COMPUTED_VALUE"""),"https://www.tiktok.com/@isn_210")</f>
        <v>https://www.tiktok.com/@isn_210</v>
      </c>
      <c r="D2414" s="273">
        <f>IFERROR(__xludf.DUMMYFUNCTION("""COMPUTED_VALUE"""),8.5761328917E10)</f>
        <v>85761328917</v>
      </c>
      <c r="E2414" s="458">
        <f>IFERROR(__xludf.DUMMYFUNCTION("""COMPUTED_VALUE"""),0.0)</f>
        <v>0</v>
      </c>
      <c r="F2414" s="273">
        <f>IFERROR(__xludf.DUMMYFUNCTION("""COMPUTED_VALUE"""),4.0)</f>
        <v>4</v>
      </c>
      <c r="G2414" t="str">
        <f>IFERROR(__xludf.DUMMYFUNCTION("""COMPUTED_VALUE"""),"Sabun batang 1 Box ( 2 PCS )")</f>
        <v>Sabun batang 1 Box ( 2 PCS )</v>
      </c>
      <c r="H2414" s="469"/>
      <c r="I2414" s="470"/>
      <c r="K2414" s="470"/>
      <c r="M2414" s="470"/>
      <c r="O2414" s="470"/>
    </row>
    <row r="2415">
      <c r="A2415" s="282" t="str">
        <f>IFERROR(__xludf.DUMMYFUNCTION("""COMPUTED_VALUE"""),"MICRO")</f>
        <v>MICRO</v>
      </c>
      <c r="B2415" s="468" t="str">
        <f>IFERROR(__xludf.DUMMYFUNCTION("""COMPUTED_VALUE"""),"akuwongkerjo.123")</f>
        <v>akuwongkerjo.123</v>
      </c>
      <c r="C2415" s="283" t="str">
        <f>IFERROR(__xludf.DUMMYFUNCTION("""COMPUTED_VALUE"""),"https://www.tiktok.com/@akuwongkerjo.123")</f>
        <v>https://www.tiktok.com/@akuwongkerjo.123</v>
      </c>
      <c r="D2415" s="273">
        <f>IFERROR(__xludf.DUMMYFUNCTION("""COMPUTED_VALUE"""),8.783915409E10)</f>
        <v>87839154090</v>
      </c>
      <c r="E2415" s="458">
        <f>IFERROR(__xludf.DUMMYFUNCTION("""COMPUTED_VALUE"""),0.0)</f>
        <v>0</v>
      </c>
      <c r="F2415" s="273">
        <f>IFERROR(__xludf.DUMMYFUNCTION("""COMPUTED_VALUE"""),4.0)</f>
        <v>4</v>
      </c>
      <c r="G2415" t="str">
        <f>IFERROR(__xludf.DUMMYFUNCTION("""COMPUTED_VALUE"""),"Sabun batang 1 Box ( 2 PCS )")</f>
        <v>Sabun batang 1 Box ( 2 PCS )</v>
      </c>
      <c r="H2415" s="469"/>
      <c r="I2415" s="470"/>
      <c r="K2415" s="470"/>
      <c r="M2415" s="470"/>
      <c r="O2415" s="470"/>
    </row>
    <row r="2416">
      <c r="A2416" s="282" t="str">
        <f>IFERROR(__xludf.DUMMYFUNCTION("""COMPUTED_VALUE"""),"MICRO")</f>
        <v>MICRO</v>
      </c>
      <c r="B2416" s="468" t="str">
        <f>IFERROR(__xludf.DUMMYFUNCTION("""COMPUTED_VALUE"""),"dequew_")</f>
        <v>dequew_</v>
      </c>
      <c r="C2416" s="283" t="str">
        <f>IFERROR(__xludf.DUMMYFUNCTION("""COMPUTED_VALUE"""),"https://www.tiktok.com/@dequew_")</f>
        <v>https://www.tiktok.com/@dequew_</v>
      </c>
      <c r="D2416" s="273">
        <f>IFERROR(__xludf.DUMMYFUNCTION("""COMPUTED_VALUE"""),8.5161154739E10)</f>
        <v>85161154739</v>
      </c>
      <c r="E2416" s="458">
        <f>IFERROR(__xludf.DUMMYFUNCTION("""COMPUTED_VALUE"""),0.0)</f>
        <v>0</v>
      </c>
      <c r="F2416" s="273">
        <f>IFERROR(__xludf.DUMMYFUNCTION("""COMPUTED_VALUE"""),4.0)</f>
        <v>4</v>
      </c>
      <c r="G2416" t="str">
        <f>IFERROR(__xludf.DUMMYFUNCTION("""COMPUTED_VALUE"""),"Sabun batang 1 Box ( 2 PCS )")</f>
        <v>Sabun batang 1 Box ( 2 PCS )</v>
      </c>
      <c r="H2416" s="469"/>
      <c r="I2416" s="470"/>
      <c r="K2416" s="470"/>
      <c r="M2416" s="470"/>
      <c r="O2416" s="470"/>
    </row>
    <row r="2417">
      <c r="A2417" s="282" t="str">
        <f>IFERROR(__xludf.DUMMYFUNCTION("""COMPUTED_VALUE"""),"MICRO")</f>
        <v>MICRO</v>
      </c>
      <c r="B2417" s="468" t="str">
        <f>IFERROR(__xludf.DUMMYFUNCTION("""COMPUTED_VALUE"""),"midieshop.id")</f>
        <v>midieshop.id</v>
      </c>
      <c r="C2417" s="283" t="str">
        <f>IFERROR(__xludf.DUMMYFUNCTION("""COMPUTED_VALUE"""),"https://www.tiktok.com/@midieshop.id")</f>
        <v>https://www.tiktok.com/@midieshop.id</v>
      </c>
      <c r="D2417" s="273">
        <f>IFERROR(__xludf.DUMMYFUNCTION("""COMPUTED_VALUE"""),8.1252686511E10)</f>
        <v>81252686511</v>
      </c>
      <c r="E2417" s="458">
        <f>IFERROR(__xludf.DUMMYFUNCTION("""COMPUTED_VALUE"""),0.0)</f>
        <v>0</v>
      </c>
      <c r="F2417" s="273">
        <f>IFERROR(__xludf.DUMMYFUNCTION("""COMPUTED_VALUE"""),4.0)</f>
        <v>4</v>
      </c>
      <c r="G2417" t="str">
        <f>IFERROR(__xludf.DUMMYFUNCTION("""COMPUTED_VALUE"""),"Sabun batang 1 Box ( 2 PCS )")</f>
        <v>Sabun batang 1 Box ( 2 PCS )</v>
      </c>
      <c r="H2417" s="469"/>
      <c r="I2417" s="470"/>
      <c r="K2417" s="470"/>
      <c r="M2417" s="470"/>
      <c r="O2417" s="470"/>
    </row>
    <row r="2418">
      <c r="A2418" s="282" t="str">
        <f>IFERROR(__xludf.DUMMYFUNCTION("""COMPUTED_VALUE"""),"MICRO")</f>
        <v>MICRO</v>
      </c>
      <c r="B2418" s="468" t="str">
        <f>IFERROR(__xludf.DUMMYFUNCTION("""COMPUTED_VALUE"""),"anna_safitri18")</f>
        <v>anna_safitri18</v>
      </c>
      <c r="C2418" s="283" t="str">
        <f>IFERROR(__xludf.DUMMYFUNCTION("""COMPUTED_VALUE"""),"https://www.tiktok.com/@anna_safitri18")</f>
        <v>https://www.tiktok.com/@anna_safitri18</v>
      </c>
      <c r="D2418" s="273">
        <f>IFERROR(__xludf.DUMMYFUNCTION("""COMPUTED_VALUE"""),8.5559008599E10)</f>
        <v>85559008599</v>
      </c>
      <c r="E2418" s="458">
        <f>IFERROR(__xludf.DUMMYFUNCTION("""COMPUTED_VALUE"""),0.0)</f>
        <v>0</v>
      </c>
      <c r="F2418" s="273">
        <f>IFERROR(__xludf.DUMMYFUNCTION("""COMPUTED_VALUE"""),4.0)</f>
        <v>4</v>
      </c>
      <c r="G2418" t="str">
        <f>IFERROR(__xludf.DUMMYFUNCTION("""COMPUTED_VALUE"""),"Sabun batang 1 Box ( 2 PCS )")</f>
        <v>Sabun batang 1 Box ( 2 PCS )</v>
      </c>
      <c r="H2418" s="469"/>
      <c r="I2418" s="470"/>
      <c r="K2418" s="470"/>
      <c r="M2418" s="470"/>
      <c r="O2418" s="470"/>
    </row>
    <row r="2419">
      <c r="A2419" s="282" t="str">
        <f>IFERROR(__xludf.DUMMYFUNCTION("""COMPUTED_VALUE"""),"MICRO")</f>
        <v>MICRO</v>
      </c>
      <c r="B2419" s="468" t="str">
        <f>IFERROR(__xludf.DUMMYFUNCTION("""COMPUTED_VALUE"""),"meritamakeup")</f>
        <v>meritamakeup</v>
      </c>
      <c r="C2419" s="283" t="str">
        <f>IFERROR(__xludf.DUMMYFUNCTION("""COMPUTED_VALUE"""),"https://www.tiktok.com/@meritamakeup")</f>
        <v>https://www.tiktok.com/@meritamakeup</v>
      </c>
      <c r="D2419" s="273">
        <f>IFERROR(__xludf.DUMMYFUNCTION("""COMPUTED_VALUE"""),8.1293660821E10)</f>
        <v>81293660821</v>
      </c>
      <c r="E2419" s="458">
        <f>IFERROR(__xludf.DUMMYFUNCTION("""COMPUTED_VALUE"""),0.0)</f>
        <v>0</v>
      </c>
      <c r="F2419" s="273">
        <f>IFERROR(__xludf.DUMMYFUNCTION("""COMPUTED_VALUE"""),4.0)</f>
        <v>4</v>
      </c>
      <c r="G2419" t="str">
        <f>IFERROR(__xludf.DUMMYFUNCTION("""COMPUTED_VALUE"""),"Sabun batang 1 Box ( 2 PCS )")</f>
        <v>Sabun batang 1 Box ( 2 PCS )</v>
      </c>
      <c r="H2419" s="469"/>
      <c r="I2419" s="470"/>
      <c r="K2419" s="470"/>
      <c r="M2419" s="470"/>
      <c r="O2419" s="470"/>
    </row>
    <row r="2420">
      <c r="A2420" s="282" t="str">
        <f>IFERROR(__xludf.DUMMYFUNCTION("""COMPUTED_VALUE"""),"MICRO")</f>
        <v>MICRO</v>
      </c>
      <c r="B2420" s="468" t="str">
        <f>IFERROR(__xludf.DUMMYFUNCTION("""COMPUTED_VALUE"""),"eliez_89")</f>
        <v>eliez_89</v>
      </c>
      <c r="C2420" s="283" t="str">
        <f>IFERROR(__xludf.DUMMYFUNCTION("""COMPUTED_VALUE"""),"https://www.tiktok.com/@eliez_89")</f>
        <v>https://www.tiktok.com/@eliez_89</v>
      </c>
      <c r="D2420" s="273">
        <f>IFERROR(__xludf.DUMMYFUNCTION("""COMPUTED_VALUE"""),8.2333456976E10)</f>
        <v>82333456976</v>
      </c>
      <c r="E2420" s="458">
        <f>IFERROR(__xludf.DUMMYFUNCTION("""COMPUTED_VALUE"""),0.0)</f>
        <v>0</v>
      </c>
      <c r="F2420" s="273">
        <f>IFERROR(__xludf.DUMMYFUNCTION("""COMPUTED_VALUE"""),4.0)</f>
        <v>4</v>
      </c>
      <c r="G2420" t="str">
        <f>IFERROR(__xludf.DUMMYFUNCTION("""COMPUTED_VALUE"""),"Sabun batang 1 Box ( 2 PCS )")</f>
        <v>Sabun batang 1 Box ( 2 PCS )</v>
      </c>
      <c r="H2420" s="469"/>
      <c r="I2420" s="470"/>
      <c r="K2420" s="470"/>
      <c r="M2420" s="470"/>
      <c r="O2420" s="470"/>
    </row>
    <row r="2421">
      <c r="A2421" s="282" t="str">
        <f>IFERROR(__xludf.DUMMYFUNCTION("""COMPUTED_VALUE"""),"MICRO")</f>
        <v>MICRO</v>
      </c>
      <c r="B2421" s="468" t="str">
        <f>IFERROR(__xludf.DUMMYFUNCTION("""COMPUTED_VALUE"""),"kurninaziha")</f>
        <v>kurninaziha</v>
      </c>
      <c r="C2421" s="283" t="str">
        <f>IFERROR(__xludf.DUMMYFUNCTION("""COMPUTED_VALUE"""),"https://www.tiktok.com/@kurninaziha")</f>
        <v>https://www.tiktok.com/@kurninaziha</v>
      </c>
      <c r="D2421" s="273">
        <f>IFERROR(__xludf.DUMMYFUNCTION("""COMPUTED_VALUE"""),8.2324517044E10)</f>
        <v>82324517044</v>
      </c>
      <c r="E2421" s="458">
        <f>IFERROR(__xludf.DUMMYFUNCTION("""COMPUTED_VALUE"""),0.0)</f>
        <v>0</v>
      </c>
      <c r="F2421" s="273">
        <f>IFERROR(__xludf.DUMMYFUNCTION("""COMPUTED_VALUE"""),4.0)</f>
        <v>4</v>
      </c>
      <c r="G2421" t="str">
        <f>IFERROR(__xludf.DUMMYFUNCTION("""COMPUTED_VALUE"""),"Sabun batang 1 Box ( 2 PCS )")</f>
        <v>Sabun batang 1 Box ( 2 PCS )</v>
      </c>
      <c r="H2421" s="469"/>
      <c r="I2421" s="470"/>
      <c r="K2421" s="470"/>
      <c r="M2421" s="470"/>
      <c r="O2421" s="470"/>
    </row>
    <row r="2422">
      <c r="A2422" s="282" t="str">
        <f>IFERROR(__xludf.DUMMYFUNCTION("""COMPUTED_VALUE"""),"MICRO")</f>
        <v>MICRO</v>
      </c>
      <c r="B2422" s="468" t="str">
        <f>IFERROR(__xludf.DUMMYFUNCTION("""COMPUTED_VALUE"""),"arirahma112")</f>
        <v>arirahma112</v>
      </c>
      <c r="C2422" s="283" t="str">
        <f>IFERROR(__xludf.DUMMYFUNCTION("""COMPUTED_VALUE"""),"https://www.tiktok.com/@arirahma112")</f>
        <v>https://www.tiktok.com/@arirahma112</v>
      </c>
      <c r="D2422" s="273">
        <f>IFERROR(__xludf.DUMMYFUNCTION("""COMPUTED_VALUE"""),8.5643390523E10)</f>
        <v>85643390523</v>
      </c>
      <c r="E2422" s="458">
        <f>IFERROR(__xludf.DUMMYFUNCTION("""COMPUTED_VALUE"""),0.0)</f>
        <v>0</v>
      </c>
      <c r="F2422" s="273">
        <f>IFERROR(__xludf.DUMMYFUNCTION("""COMPUTED_VALUE"""),4.0)</f>
        <v>4</v>
      </c>
      <c r="G2422" t="str">
        <f>IFERROR(__xludf.DUMMYFUNCTION("""COMPUTED_VALUE"""),"Sabun batang 1 Box ( 2 PCS )")</f>
        <v>Sabun batang 1 Box ( 2 PCS )</v>
      </c>
      <c r="H2422" s="469"/>
      <c r="I2422" s="470"/>
      <c r="K2422" s="470"/>
      <c r="M2422" s="470"/>
      <c r="O2422" s="470"/>
    </row>
    <row r="2423">
      <c r="A2423" s="282" t="str">
        <f>IFERROR(__xludf.DUMMYFUNCTION("""COMPUTED_VALUE"""),"MICRO")</f>
        <v>MICRO</v>
      </c>
      <c r="B2423" s="468" t="str">
        <f>IFERROR(__xludf.DUMMYFUNCTION("""COMPUTED_VALUE"""),"lidiasustikasari00")</f>
        <v>lidiasustikasari00</v>
      </c>
      <c r="C2423" s="283" t="str">
        <f>IFERROR(__xludf.DUMMYFUNCTION("""COMPUTED_VALUE"""),"https://www.tiktok.com/@lidiasustikasari00")</f>
        <v>https://www.tiktok.com/@lidiasustikasari00</v>
      </c>
      <c r="D2423" s="273">
        <f>IFERROR(__xludf.DUMMYFUNCTION("""COMPUTED_VALUE"""),8.1542373697E10)</f>
        <v>81542373697</v>
      </c>
      <c r="E2423" s="458">
        <f>IFERROR(__xludf.DUMMYFUNCTION("""COMPUTED_VALUE"""),0.0)</f>
        <v>0</v>
      </c>
      <c r="F2423" s="273">
        <f>IFERROR(__xludf.DUMMYFUNCTION("""COMPUTED_VALUE"""),4.0)</f>
        <v>4</v>
      </c>
      <c r="G2423" t="str">
        <f>IFERROR(__xludf.DUMMYFUNCTION("""COMPUTED_VALUE"""),"Sabun batang 1 Box ( 2 PCS )")</f>
        <v>Sabun batang 1 Box ( 2 PCS )</v>
      </c>
      <c r="H2423" s="469"/>
      <c r="I2423" s="470"/>
      <c r="K2423" s="470"/>
      <c r="M2423" s="470"/>
      <c r="O2423" s="470"/>
    </row>
    <row r="2424">
      <c r="A2424" s="282" t="str">
        <f>IFERROR(__xludf.DUMMYFUNCTION("""COMPUTED_VALUE"""),"MICRO")</f>
        <v>MICRO</v>
      </c>
      <c r="B2424" s="468" t="str">
        <f>IFERROR(__xludf.DUMMYFUNCTION("""COMPUTED_VALUE"""),"viapranata06")</f>
        <v>viapranata06</v>
      </c>
      <c r="C2424" s="283" t="str">
        <f>IFERROR(__xludf.DUMMYFUNCTION("""COMPUTED_VALUE"""),"https://www.tiktok.com/@viapranata06")</f>
        <v>https://www.tiktok.com/@viapranata06</v>
      </c>
      <c r="D2424" s="273">
        <f>IFERROR(__xludf.DUMMYFUNCTION("""COMPUTED_VALUE"""),8.2257751652E10)</f>
        <v>82257751652</v>
      </c>
      <c r="E2424" s="458">
        <f>IFERROR(__xludf.DUMMYFUNCTION("""COMPUTED_VALUE"""),0.0)</f>
        <v>0</v>
      </c>
      <c r="F2424" s="273">
        <f>IFERROR(__xludf.DUMMYFUNCTION("""COMPUTED_VALUE"""),3.0)</f>
        <v>3</v>
      </c>
      <c r="G2424" t="str">
        <f>IFERROR(__xludf.DUMMYFUNCTION("""COMPUTED_VALUE"""),"Sabun batang 1 Box ( 2 PCS )")</f>
        <v>Sabun batang 1 Box ( 2 PCS )</v>
      </c>
      <c r="H2424" s="469"/>
      <c r="I2424" s="470"/>
      <c r="K2424" s="470"/>
      <c r="M2424" s="470"/>
      <c r="O2424" s="470"/>
    </row>
    <row r="2425">
      <c r="A2425" s="282" t="str">
        <f>IFERROR(__xludf.DUMMYFUNCTION("""COMPUTED_VALUE"""),"MICRO")</f>
        <v>MICRO</v>
      </c>
      <c r="B2425" s="468" t="str">
        <f>IFERROR(__xludf.DUMMYFUNCTION("""COMPUTED_VALUE"""),"meylanibiulu16_")</f>
        <v>meylanibiulu16_</v>
      </c>
      <c r="C2425" s="283" t="str">
        <f>IFERROR(__xludf.DUMMYFUNCTION("""COMPUTED_VALUE"""),"https://www.tiktok.com/@meylanibiulu16_")</f>
        <v>https://www.tiktok.com/@meylanibiulu16_</v>
      </c>
      <c r="D2425" s="273">
        <f>IFERROR(__xludf.DUMMYFUNCTION("""COMPUTED_VALUE"""),8.2259252401E10)</f>
        <v>82259252401</v>
      </c>
      <c r="E2425" s="458">
        <f>IFERROR(__xludf.DUMMYFUNCTION("""COMPUTED_VALUE"""),0.0)</f>
        <v>0</v>
      </c>
      <c r="F2425" s="273">
        <f>IFERROR(__xludf.DUMMYFUNCTION("""COMPUTED_VALUE"""),4.0)</f>
        <v>4</v>
      </c>
      <c r="G2425" t="str">
        <f>IFERROR(__xludf.DUMMYFUNCTION("""COMPUTED_VALUE"""),"Sabun batang 1 Box ( 2 PCS )")</f>
        <v>Sabun batang 1 Box ( 2 PCS )</v>
      </c>
      <c r="H2425" s="469"/>
      <c r="I2425" s="470"/>
      <c r="K2425" s="470"/>
      <c r="M2425" s="470"/>
      <c r="O2425" s="470"/>
    </row>
    <row r="2426">
      <c r="A2426" s="282" t="str">
        <f>IFERROR(__xludf.DUMMYFUNCTION("""COMPUTED_VALUE"""),"MICRO")</f>
        <v>MICRO</v>
      </c>
      <c r="B2426" s="468" t="str">
        <f>IFERROR(__xludf.DUMMYFUNCTION("""COMPUTED_VALUE"""),"ovylubis")</f>
        <v>ovylubis</v>
      </c>
      <c r="C2426" s="283" t="str">
        <f>IFERROR(__xludf.DUMMYFUNCTION("""COMPUTED_VALUE"""),"https://www.tiktok.com/@ovylubis")</f>
        <v>https://www.tiktok.com/@ovylubis</v>
      </c>
      <c r="D2426" s="273">
        <f>IFERROR(__xludf.DUMMYFUNCTION("""COMPUTED_VALUE"""),8.1292772783E10)</f>
        <v>81292772783</v>
      </c>
      <c r="E2426" s="458">
        <f>IFERROR(__xludf.DUMMYFUNCTION("""COMPUTED_VALUE"""),0.0)</f>
        <v>0</v>
      </c>
      <c r="F2426" s="273">
        <f>IFERROR(__xludf.DUMMYFUNCTION("""COMPUTED_VALUE"""),4.0)</f>
        <v>4</v>
      </c>
      <c r="G2426" t="str">
        <f>IFERROR(__xludf.DUMMYFUNCTION("""COMPUTED_VALUE"""),"Sabun batang 1 Box ( 2 PCS )")</f>
        <v>Sabun batang 1 Box ( 2 PCS )</v>
      </c>
      <c r="H2426" s="469"/>
      <c r="I2426" s="470"/>
      <c r="K2426" s="470"/>
      <c r="M2426" s="470"/>
      <c r="O2426" s="470"/>
    </row>
    <row r="2427">
      <c r="A2427" s="282" t="str">
        <f>IFERROR(__xludf.DUMMYFUNCTION("""COMPUTED_VALUE"""),"MICRO")</f>
        <v>MICRO</v>
      </c>
      <c r="B2427" s="468" t="str">
        <f>IFERROR(__xludf.DUMMYFUNCTION("""COMPUTED_VALUE"""),"kim_nana030")</f>
        <v>kim_nana030</v>
      </c>
      <c r="C2427" s="283" t="str">
        <f>IFERROR(__xludf.DUMMYFUNCTION("""COMPUTED_VALUE"""),"https://www.tiktok.com/@kim_nana030")</f>
        <v>https://www.tiktok.com/@kim_nana030</v>
      </c>
      <c r="D2427" s="273">
        <f>IFERROR(__xludf.DUMMYFUNCTION("""COMPUTED_VALUE"""),8.2289724495E10)</f>
        <v>82289724495</v>
      </c>
      <c r="E2427" s="458">
        <f>IFERROR(__xludf.DUMMYFUNCTION("""COMPUTED_VALUE"""),0.0)</f>
        <v>0</v>
      </c>
      <c r="F2427" s="273">
        <f>IFERROR(__xludf.DUMMYFUNCTION("""COMPUTED_VALUE"""),4.0)</f>
        <v>4</v>
      </c>
      <c r="G2427" t="str">
        <f>IFERROR(__xludf.DUMMYFUNCTION("""COMPUTED_VALUE"""),"Sabun batang 1 Box ( 2 PCS )")</f>
        <v>Sabun batang 1 Box ( 2 PCS )</v>
      </c>
      <c r="H2427" s="469"/>
      <c r="I2427" s="470"/>
      <c r="K2427" s="470"/>
      <c r="M2427" s="470"/>
      <c r="O2427" s="470"/>
    </row>
    <row r="2428">
      <c r="A2428" s="282" t="str">
        <f>IFERROR(__xludf.DUMMYFUNCTION("""COMPUTED_VALUE"""),"MICRO")</f>
        <v>MICRO</v>
      </c>
      <c r="B2428" s="468" t="str">
        <f>IFERROR(__xludf.DUMMYFUNCTION("""COMPUTED_VALUE"""),"fitrinurolshp")</f>
        <v>fitrinurolshp</v>
      </c>
      <c r="C2428" s="283" t="str">
        <f>IFERROR(__xludf.DUMMYFUNCTION("""COMPUTED_VALUE"""),"https://www.tiktok.com/@fitrinurolshp")</f>
        <v>https://www.tiktok.com/@fitrinurolshp</v>
      </c>
      <c r="D2428" s="273">
        <f>IFERROR(__xludf.DUMMYFUNCTION("""COMPUTED_VALUE"""),8.1310551862E10)</f>
        <v>81310551862</v>
      </c>
      <c r="E2428" s="458">
        <f>IFERROR(__xludf.DUMMYFUNCTION("""COMPUTED_VALUE"""),0.0)</f>
        <v>0</v>
      </c>
      <c r="F2428" s="273">
        <f>IFERROR(__xludf.DUMMYFUNCTION("""COMPUTED_VALUE"""),4.0)</f>
        <v>4</v>
      </c>
      <c r="G2428" t="str">
        <f>IFERROR(__xludf.DUMMYFUNCTION("""COMPUTED_VALUE"""),"Sabun batang 1 Box ( 2 PCS )")</f>
        <v>Sabun batang 1 Box ( 2 PCS )</v>
      </c>
      <c r="H2428" s="469"/>
      <c r="I2428" s="470"/>
      <c r="K2428" s="470"/>
      <c r="M2428" s="470"/>
      <c r="O2428" s="470"/>
    </row>
    <row r="2429">
      <c r="A2429" s="282" t="str">
        <f>IFERROR(__xludf.DUMMYFUNCTION("""COMPUTED_VALUE"""),"MICRO")</f>
        <v>MICRO</v>
      </c>
      <c r="B2429" s="468" t="str">
        <f>IFERROR(__xludf.DUMMYFUNCTION("""COMPUTED_VALUE"""),"aril_141")</f>
        <v>aril_141</v>
      </c>
      <c r="C2429" s="283" t="str">
        <f>IFERROR(__xludf.DUMMYFUNCTION("""COMPUTED_VALUE"""),"https://www.tiktok.com/@aril_141")</f>
        <v>https://www.tiktok.com/@aril_141</v>
      </c>
      <c r="D2429" s="273">
        <f>IFERROR(__xludf.DUMMYFUNCTION("""COMPUTED_VALUE"""),8.3171273524E10)</f>
        <v>83171273524</v>
      </c>
      <c r="E2429" s="458">
        <f>IFERROR(__xludf.DUMMYFUNCTION("""COMPUTED_VALUE"""),0.0)</f>
        <v>0</v>
      </c>
      <c r="F2429" s="273">
        <f>IFERROR(__xludf.DUMMYFUNCTION("""COMPUTED_VALUE"""),4.0)</f>
        <v>4</v>
      </c>
      <c r="G2429" t="str">
        <f>IFERROR(__xludf.DUMMYFUNCTION("""COMPUTED_VALUE"""),"Sabun batang 1 Box ( 2 PCS )")</f>
        <v>Sabun batang 1 Box ( 2 PCS )</v>
      </c>
      <c r="H2429" s="469"/>
      <c r="I2429" s="470"/>
      <c r="K2429" s="470"/>
      <c r="M2429" s="470"/>
      <c r="O2429" s="470"/>
    </row>
    <row r="2430">
      <c r="A2430" s="282" t="str">
        <f>IFERROR(__xludf.DUMMYFUNCTION("""COMPUTED_VALUE"""),"MICRO")</f>
        <v>MICRO</v>
      </c>
      <c r="B2430" s="468" t="str">
        <f>IFERROR(__xludf.DUMMYFUNCTION("""COMPUTED_VALUE"""),"marlina_83")</f>
        <v>marlina_83</v>
      </c>
      <c r="C2430" s="283" t="str">
        <f>IFERROR(__xludf.DUMMYFUNCTION("""COMPUTED_VALUE"""),"https://www.tiktok.com/@marlina_83")</f>
        <v>https://www.tiktok.com/@marlina_83</v>
      </c>
      <c r="D2430" s="273">
        <f>IFERROR(__xludf.DUMMYFUNCTION("""COMPUTED_VALUE"""),8.2245446488E10)</f>
        <v>82245446488</v>
      </c>
      <c r="E2430" s="458">
        <f>IFERROR(__xludf.DUMMYFUNCTION("""COMPUTED_VALUE"""),0.0)</f>
        <v>0</v>
      </c>
      <c r="F2430" s="273">
        <f>IFERROR(__xludf.DUMMYFUNCTION("""COMPUTED_VALUE"""),4.0)</f>
        <v>4</v>
      </c>
      <c r="G2430" t="str">
        <f>IFERROR(__xludf.DUMMYFUNCTION("""COMPUTED_VALUE"""),"Sabun batang 1 Box ( 2 PCS )")</f>
        <v>Sabun batang 1 Box ( 2 PCS )</v>
      </c>
      <c r="H2430" s="469"/>
      <c r="I2430" s="470"/>
      <c r="K2430" s="470"/>
      <c r="M2430" s="470"/>
      <c r="O2430" s="470"/>
    </row>
    <row r="2431">
      <c r="A2431" s="282" t="str">
        <f>IFERROR(__xludf.DUMMYFUNCTION("""COMPUTED_VALUE"""),"MICRO")</f>
        <v>MICRO</v>
      </c>
      <c r="B2431" s="468" t="str">
        <f>IFERROR(__xludf.DUMMYFUNCTION("""COMPUTED_VALUE"""),"sandrafeiiihair")</f>
        <v>sandrafeiiihair</v>
      </c>
      <c r="C2431" s="283" t="str">
        <f>IFERROR(__xludf.DUMMYFUNCTION("""COMPUTED_VALUE"""),"https://www.tiktok.com/@sandrafeiiihair")</f>
        <v>https://www.tiktok.com/@sandrafeiiihair</v>
      </c>
      <c r="D2431" s="273">
        <f>IFERROR(__xludf.DUMMYFUNCTION("""COMPUTED_VALUE"""),8.2136833438E10)</f>
        <v>82136833438</v>
      </c>
      <c r="E2431" s="458">
        <f>IFERROR(__xludf.DUMMYFUNCTION("""COMPUTED_VALUE"""),0.0)</f>
        <v>0</v>
      </c>
      <c r="F2431" s="273">
        <f>IFERROR(__xludf.DUMMYFUNCTION("""COMPUTED_VALUE"""),4.0)</f>
        <v>4</v>
      </c>
      <c r="G2431" t="str">
        <f>IFERROR(__xludf.DUMMYFUNCTION("""COMPUTED_VALUE"""),"Sabun batang 1 Box ( 2 PCS )")</f>
        <v>Sabun batang 1 Box ( 2 PCS )</v>
      </c>
      <c r="H2431" s="469"/>
      <c r="I2431" s="470"/>
      <c r="K2431" s="470"/>
      <c r="M2431" s="470"/>
      <c r="O2431" s="470"/>
    </row>
    <row r="2432">
      <c r="A2432" s="282" t="str">
        <f>IFERROR(__xludf.DUMMYFUNCTION("""COMPUTED_VALUE"""),"MICRO")</f>
        <v>MICRO</v>
      </c>
      <c r="B2432" s="468" t="str">
        <f>IFERROR(__xludf.DUMMYFUNCTION("""COMPUTED_VALUE"""),"salon_shaizhashop_mirza")</f>
        <v>salon_shaizhashop_mirza</v>
      </c>
      <c r="C2432" s="283" t="str">
        <f>IFERROR(__xludf.DUMMYFUNCTION("""COMPUTED_VALUE"""),"https://www.tiktok.com/@salon_shaizhashop_mirza")</f>
        <v>https://www.tiktok.com/@salon_shaizhashop_mirza</v>
      </c>
      <c r="D2432" s="273">
        <f>IFERROR(__xludf.DUMMYFUNCTION("""COMPUTED_VALUE"""),8.2245711399E10)</f>
        <v>82245711399</v>
      </c>
      <c r="E2432" s="458">
        <f>IFERROR(__xludf.DUMMYFUNCTION("""COMPUTED_VALUE"""),0.0)</f>
        <v>0</v>
      </c>
      <c r="F2432" s="273">
        <f>IFERROR(__xludf.DUMMYFUNCTION("""COMPUTED_VALUE"""),4.0)</f>
        <v>4</v>
      </c>
      <c r="G2432" t="str">
        <f>IFERROR(__xludf.DUMMYFUNCTION("""COMPUTED_VALUE"""),"Sabun batang 1 Box ( 2 PCS )")</f>
        <v>Sabun batang 1 Box ( 2 PCS )</v>
      </c>
      <c r="H2432" s="469"/>
      <c r="I2432" s="470"/>
      <c r="K2432" s="470"/>
      <c r="M2432" s="470"/>
      <c r="O2432" s="470"/>
    </row>
    <row r="2433">
      <c r="A2433" s="282" t="str">
        <f>IFERROR(__xludf.DUMMYFUNCTION("""COMPUTED_VALUE"""),"MICRO")</f>
        <v>MICRO</v>
      </c>
      <c r="B2433" s="468" t="str">
        <f>IFERROR(__xludf.DUMMYFUNCTION("""COMPUTED_VALUE"""),"aleshair_official")</f>
        <v>aleshair_official</v>
      </c>
      <c r="C2433" s="283" t="str">
        <f>IFERROR(__xludf.DUMMYFUNCTION("""COMPUTED_VALUE"""),"https://www.tiktok.com/@aleshair_official")</f>
        <v>https://www.tiktok.com/@aleshair_official</v>
      </c>
      <c r="D2433" s="273">
        <f>IFERROR(__xludf.DUMMYFUNCTION("""COMPUTED_VALUE"""),8.111980996E9)</f>
        <v>8111980996</v>
      </c>
      <c r="E2433" s="458">
        <f>IFERROR(__xludf.DUMMYFUNCTION("""COMPUTED_VALUE"""),0.0)</f>
        <v>0</v>
      </c>
      <c r="F2433" s="273">
        <f>IFERROR(__xludf.DUMMYFUNCTION("""COMPUTED_VALUE"""),4.0)</f>
        <v>4</v>
      </c>
      <c r="G2433" t="str">
        <f>IFERROR(__xludf.DUMMYFUNCTION("""COMPUTED_VALUE"""),"Sabun batang 1 Box ( 2 PCS )")</f>
        <v>Sabun batang 1 Box ( 2 PCS )</v>
      </c>
      <c r="H2433" s="469"/>
      <c r="I2433" s="470"/>
      <c r="K2433" s="470"/>
      <c r="M2433" s="470"/>
      <c r="O2433" s="470"/>
    </row>
    <row r="2434">
      <c r="A2434" s="282" t="str">
        <f>IFERROR(__xludf.DUMMYFUNCTION("""COMPUTED_VALUE"""),"MICRO")</f>
        <v>MICRO</v>
      </c>
      <c r="B2434" s="468" t="str">
        <f>IFERROR(__xludf.DUMMYFUNCTION("""COMPUTED_VALUE"""),"jaenoote")</f>
        <v>jaenoote</v>
      </c>
      <c r="C2434" s="283" t="str">
        <f>IFERROR(__xludf.DUMMYFUNCTION("""COMPUTED_VALUE"""),"https://www.tiktok.com/@jaenoote")</f>
        <v>https://www.tiktok.com/@jaenoote</v>
      </c>
      <c r="D2434" s="273">
        <f>IFERROR(__xludf.DUMMYFUNCTION("""COMPUTED_VALUE"""),8.979537998E9)</f>
        <v>8979537998</v>
      </c>
      <c r="E2434" s="458">
        <f>IFERROR(__xludf.DUMMYFUNCTION("""COMPUTED_VALUE"""),0.0)</f>
        <v>0</v>
      </c>
      <c r="F2434" s="273">
        <f>IFERROR(__xludf.DUMMYFUNCTION("""COMPUTED_VALUE"""),4.0)</f>
        <v>4</v>
      </c>
      <c r="G2434" t="str">
        <f>IFERROR(__xludf.DUMMYFUNCTION("""COMPUTED_VALUE"""),"Sabun batang 1 Box ( 2 PCS )")</f>
        <v>Sabun batang 1 Box ( 2 PCS )</v>
      </c>
      <c r="H2434" s="469"/>
      <c r="I2434" s="470"/>
      <c r="K2434" s="470"/>
      <c r="M2434" s="470"/>
      <c r="O2434" s="470"/>
    </row>
    <row r="2435">
      <c r="A2435" s="282" t="str">
        <f>IFERROR(__xludf.DUMMYFUNCTION("""COMPUTED_VALUE"""),"MICRO")</f>
        <v>MICRO</v>
      </c>
      <c r="B2435" s="468" t="str">
        <f>IFERROR(__xludf.DUMMYFUNCTION("""COMPUTED_VALUE"""),"silviaaa1123")</f>
        <v>silviaaa1123</v>
      </c>
      <c r="C2435" s="283" t="str">
        <f>IFERROR(__xludf.DUMMYFUNCTION("""COMPUTED_VALUE"""),"https://www.tiktok.com/@silviaaa1123")</f>
        <v>https://www.tiktok.com/@silviaaa1123</v>
      </c>
      <c r="D2435" s="273">
        <f>IFERROR(__xludf.DUMMYFUNCTION("""COMPUTED_VALUE"""),8.1352620747E10)</f>
        <v>81352620747</v>
      </c>
      <c r="E2435" s="458">
        <f>IFERROR(__xludf.DUMMYFUNCTION("""COMPUTED_VALUE"""),0.0)</f>
        <v>0</v>
      </c>
      <c r="F2435" s="273">
        <f>IFERROR(__xludf.DUMMYFUNCTION("""COMPUTED_VALUE"""),4.0)</f>
        <v>4</v>
      </c>
      <c r="G2435" t="str">
        <f>IFERROR(__xludf.DUMMYFUNCTION("""COMPUTED_VALUE"""),"Sabun batang 1 Box ( 2 PCS )")</f>
        <v>Sabun batang 1 Box ( 2 PCS )</v>
      </c>
      <c r="H2435" s="469"/>
      <c r="I2435" s="470"/>
      <c r="K2435" s="470"/>
      <c r="M2435" s="470"/>
      <c r="O2435" s="470"/>
    </row>
    <row r="2436">
      <c r="A2436" s="282" t="str">
        <f>IFERROR(__xludf.DUMMYFUNCTION("""COMPUTED_VALUE"""),"MICRO")</f>
        <v>MICRO</v>
      </c>
      <c r="B2436" s="468" t="str">
        <f>IFERROR(__xludf.DUMMYFUNCTION("""COMPUTED_VALUE"""),"kan.ken96")</f>
        <v>kan.ken96</v>
      </c>
      <c r="C2436" s="283" t="str">
        <f>IFERROR(__xludf.DUMMYFUNCTION("""COMPUTED_VALUE"""),"https://www.tiktok.com/@kan.ken96")</f>
        <v>https://www.tiktok.com/@kan.ken96</v>
      </c>
      <c r="D2436" s="273">
        <f>IFERROR(__xludf.DUMMYFUNCTION("""COMPUTED_VALUE"""),8.2128690054E10)</f>
        <v>82128690054</v>
      </c>
      <c r="E2436" s="458">
        <f>IFERROR(__xludf.DUMMYFUNCTION("""COMPUTED_VALUE"""),0.0)</f>
        <v>0</v>
      </c>
      <c r="F2436" s="273">
        <f>IFERROR(__xludf.DUMMYFUNCTION("""COMPUTED_VALUE"""),4.0)</f>
        <v>4</v>
      </c>
      <c r="G2436" t="str">
        <f>IFERROR(__xludf.DUMMYFUNCTION("""COMPUTED_VALUE"""),"Sabun batang 1 Box ( 2 PCS )")</f>
        <v>Sabun batang 1 Box ( 2 PCS )</v>
      </c>
      <c r="H2436" s="469"/>
      <c r="I2436" s="470"/>
      <c r="K2436" s="470"/>
      <c r="M2436" s="470"/>
      <c r="O2436" s="470"/>
    </row>
    <row r="2437">
      <c r="A2437" s="282" t="str">
        <f>IFERROR(__xludf.DUMMYFUNCTION("""COMPUTED_VALUE"""),"MICRO")</f>
        <v>MICRO</v>
      </c>
      <c r="B2437" s="468" t="str">
        <f>IFERROR(__xludf.DUMMYFUNCTION("""COMPUTED_VALUE"""),"ny.shopping01")</f>
        <v>ny.shopping01</v>
      </c>
      <c r="C2437" s="283" t="str">
        <f>IFERROR(__xludf.DUMMYFUNCTION("""COMPUTED_VALUE"""),"https://www.tiktok.com/@ny.shopping01")</f>
        <v>https://www.tiktok.com/@ny.shopping01</v>
      </c>
      <c r="D2437" s="273">
        <f>IFERROR(__xludf.DUMMYFUNCTION("""COMPUTED_VALUE"""),8.9621602233E10)</f>
        <v>89621602233</v>
      </c>
      <c r="E2437" s="458">
        <f>IFERROR(__xludf.DUMMYFUNCTION("""COMPUTED_VALUE"""),0.0)</f>
        <v>0</v>
      </c>
      <c r="F2437" s="273">
        <f>IFERROR(__xludf.DUMMYFUNCTION("""COMPUTED_VALUE"""),4.0)</f>
        <v>4</v>
      </c>
      <c r="G2437" t="str">
        <f>IFERROR(__xludf.DUMMYFUNCTION("""COMPUTED_VALUE"""),"Sabun batang 1 Box ( 2 PCS )")</f>
        <v>Sabun batang 1 Box ( 2 PCS )</v>
      </c>
      <c r="H2437" s="469"/>
      <c r="I2437" s="470"/>
      <c r="K2437" s="470"/>
      <c r="M2437" s="470"/>
      <c r="O2437" s="470"/>
    </row>
    <row r="2438">
      <c r="A2438" s="282" t="str">
        <f>IFERROR(__xludf.DUMMYFUNCTION("""COMPUTED_VALUE"""),"MICRO")</f>
        <v>MICRO</v>
      </c>
      <c r="B2438" s="468" t="str">
        <f>IFERROR(__xludf.DUMMYFUNCTION("""COMPUTED_VALUE"""),"sapytii")</f>
        <v>sapytii</v>
      </c>
      <c r="C2438" s="283" t="str">
        <f>IFERROR(__xludf.DUMMYFUNCTION("""COMPUTED_VALUE"""),"https://www.tiktok.com/@sapytii")</f>
        <v>https://www.tiktok.com/@sapytii</v>
      </c>
      <c r="D2438" s="273">
        <f>IFERROR(__xludf.DUMMYFUNCTION("""COMPUTED_VALUE"""),8.95429576633E11)</f>
        <v>895429576633</v>
      </c>
      <c r="E2438" s="458">
        <f>IFERROR(__xludf.DUMMYFUNCTION("""COMPUTED_VALUE"""),0.0)</f>
        <v>0</v>
      </c>
      <c r="F2438" s="273">
        <f>IFERROR(__xludf.DUMMYFUNCTION("""COMPUTED_VALUE"""),4.0)</f>
        <v>4</v>
      </c>
      <c r="G2438" t="str">
        <f>IFERROR(__xludf.DUMMYFUNCTION("""COMPUTED_VALUE"""),"Sabun batang 1 Box ( 2 PCS )")</f>
        <v>Sabun batang 1 Box ( 2 PCS )</v>
      </c>
      <c r="H2438" s="469"/>
      <c r="I2438" s="470"/>
      <c r="K2438" s="470"/>
      <c r="M2438" s="470"/>
      <c r="O2438" s="470"/>
    </row>
    <row r="2439">
      <c r="A2439" s="282" t="str">
        <f>IFERROR(__xludf.DUMMYFUNCTION("""COMPUTED_VALUE"""),"MICRO")</f>
        <v>MICRO</v>
      </c>
      <c r="B2439" s="468" t="str">
        <f>IFERROR(__xludf.DUMMYFUNCTION("""COMPUTED_VALUE"""),"adekk_bunaaa")</f>
        <v>adekk_bunaaa</v>
      </c>
      <c r="C2439" s="283" t="str">
        <f>IFERROR(__xludf.DUMMYFUNCTION("""COMPUTED_VALUE"""),"https://www.tiktok.com/@adekk_bunaaa")</f>
        <v>https://www.tiktok.com/@adekk_bunaaa</v>
      </c>
      <c r="D2439" s="273">
        <f>IFERROR(__xludf.DUMMYFUNCTION("""COMPUTED_VALUE"""),8.9506781669E10)</f>
        <v>89506781669</v>
      </c>
      <c r="E2439" s="458">
        <f>IFERROR(__xludf.DUMMYFUNCTION("""COMPUTED_VALUE"""),0.0)</f>
        <v>0</v>
      </c>
      <c r="F2439" s="273">
        <f>IFERROR(__xludf.DUMMYFUNCTION("""COMPUTED_VALUE"""),4.0)</f>
        <v>4</v>
      </c>
      <c r="G2439" t="str">
        <f>IFERROR(__xludf.DUMMYFUNCTION("""COMPUTED_VALUE"""),"Sabun batang 1 Box ( 2 PCS )")</f>
        <v>Sabun batang 1 Box ( 2 PCS )</v>
      </c>
      <c r="H2439" s="469"/>
      <c r="I2439" s="470"/>
      <c r="K2439" s="470"/>
      <c r="M2439" s="470"/>
      <c r="O2439" s="470"/>
    </row>
    <row r="2440">
      <c r="A2440" s="282" t="str">
        <f>IFERROR(__xludf.DUMMYFUNCTION("""COMPUTED_VALUE"""),"MICRO")</f>
        <v>MICRO</v>
      </c>
      <c r="B2440" s="468" t="str">
        <f>IFERROR(__xludf.DUMMYFUNCTION("""COMPUTED_VALUE"""),"hanaccft")</f>
        <v>hanaccft</v>
      </c>
      <c r="C2440" s="283" t="str">
        <f>IFERROR(__xludf.DUMMYFUNCTION("""COMPUTED_VALUE"""),"https://www.tiktok.com/@hanaccft")</f>
        <v>https://www.tiktok.com/@hanaccft</v>
      </c>
      <c r="D2440" s="273">
        <f>IFERROR(__xludf.DUMMYFUNCTION("""COMPUTED_VALUE"""),8.1533330129E10)</f>
        <v>81533330129</v>
      </c>
      <c r="E2440" s="458">
        <f>IFERROR(__xludf.DUMMYFUNCTION("""COMPUTED_VALUE"""),0.0)</f>
        <v>0</v>
      </c>
      <c r="F2440" s="273">
        <f>IFERROR(__xludf.DUMMYFUNCTION("""COMPUTED_VALUE"""),4.0)</f>
        <v>4</v>
      </c>
      <c r="G2440" t="str">
        <f>IFERROR(__xludf.DUMMYFUNCTION("""COMPUTED_VALUE"""),"Sabun batang 1 Box ( 2 PCS )")</f>
        <v>Sabun batang 1 Box ( 2 PCS )</v>
      </c>
      <c r="H2440" s="469"/>
      <c r="I2440" s="470"/>
      <c r="K2440" s="470"/>
      <c r="M2440" s="470"/>
      <c r="O2440" s="470"/>
    </row>
    <row r="2441">
      <c r="A2441" s="282" t="str">
        <f>IFERROR(__xludf.DUMMYFUNCTION("""COMPUTED_VALUE"""),"MICRO")</f>
        <v>MICRO</v>
      </c>
      <c r="B2441" s="468" t="str">
        <f>IFERROR(__xludf.DUMMYFUNCTION("""COMPUTED_VALUE"""),"racunbyidaaa")</f>
        <v>racunbyidaaa</v>
      </c>
      <c r="C2441" s="283" t="str">
        <f>IFERROR(__xludf.DUMMYFUNCTION("""COMPUTED_VALUE"""),"https://www.tiktok.com/@racunbyidaaa")</f>
        <v>https://www.tiktok.com/@racunbyidaaa</v>
      </c>
      <c r="D2441" s="273">
        <f>IFERROR(__xludf.DUMMYFUNCTION("""COMPUTED_VALUE"""),8.9509086865E10)</f>
        <v>89509086865</v>
      </c>
      <c r="E2441" s="458">
        <f>IFERROR(__xludf.DUMMYFUNCTION("""COMPUTED_VALUE"""),0.0)</f>
        <v>0</v>
      </c>
      <c r="F2441" s="273">
        <f>IFERROR(__xludf.DUMMYFUNCTION("""COMPUTED_VALUE"""),4.0)</f>
        <v>4</v>
      </c>
      <c r="G2441" t="str">
        <f>IFERROR(__xludf.DUMMYFUNCTION("""COMPUTED_VALUE"""),"Sabun batang 1 Box ( 2 PCS )")</f>
        <v>Sabun batang 1 Box ( 2 PCS )</v>
      </c>
      <c r="H2441" s="469"/>
      <c r="I2441" s="470"/>
      <c r="K2441" s="470"/>
      <c r="M2441" s="470"/>
      <c r="O2441" s="470"/>
    </row>
    <row r="2442">
      <c r="A2442" s="282" t="str">
        <f>IFERROR(__xludf.DUMMYFUNCTION("""COMPUTED_VALUE"""),"MICRO")</f>
        <v>MICRO</v>
      </c>
      <c r="B2442" s="468" t="str">
        <f>IFERROR(__xludf.DUMMYFUNCTION("""COMPUTED_VALUE"""),"rini91_mg")</f>
        <v>rini91_mg</v>
      </c>
      <c r="C2442" s="283" t="str">
        <f>IFERROR(__xludf.DUMMYFUNCTION("""COMPUTED_VALUE"""),"https://www.tiktok.com/@rini91_mg")</f>
        <v>https://www.tiktok.com/@rini91_mg</v>
      </c>
      <c r="D2442" s="273">
        <f>IFERROR(__xludf.DUMMYFUNCTION("""COMPUTED_VALUE"""),8.5221338989E10)</f>
        <v>85221338989</v>
      </c>
      <c r="E2442" s="458">
        <f>IFERROR(__xludf.DUMMYFUNCTION("""COMPUTED_VALUE"""),0.0)</f>
        <v>0</v>
      </c>
      <c r="F2442" s="273">
        <f>IFERROR(__xludf.DUMMYFUNCTION("""COMPUTED_VALUE"""),4.0)</f>
        <v>4</v>
      </c>
      <c r="G2442" t="str">
        <f>IFERROR(__xludf.DUMMYFUNCTION("""COMPUTED_VALUE"""),"Sabun batang 1 Box ( 2 PCS )")</f>
        <v>Sabun batang 1 Box ( 2 PCS )</v>
      </c>
      <c r="H2442" s="469"/>
      <c r="I2442" s="470"/>
      <c r="K2442" s="470"/>
      <c r="M2442" s="470"/>
      <c r="O2442" s="470"/>
    </row>
    <row r="2443">
      <c r="A2443" s="282" t="str">
        <f>IFERROR(__xludf.DUMMYFUNCTION("""COMPUTED_VALUE"""),"MICRO")</f>
        <v>MICRO</v>
      </c>
      <c r="B2443" s="468" t="str">
        <f>IFERROR(__xludf.DUMMYFUNCTION("""COMPUTED_VALUE"""),"zyxbibu_")</f>
        <v>zyxbibu_</v>
      </c>
      <c r="C2443" s="283" t="str">
        <f>IFERROR(__xludf.DUMMYFUNCTION("""COMPUTED_VALUE"""),"https://www.tiktok.com/@zyxbibu_")</f>
        <v>https://www.tiktok.com/@zyxbibu_</v>
      </c>
      <c r="D2443" s="273">
        <f>IFERROR(__xludf.DUMMYFUNCTION("""COMPUTED_VALUE"""),8.3835907383E10)</f>
        <v>83835907383</v>
      </c>
      <c r="E2443" s="458">
        <f>IFERROR(__xludf.DUMMYFUNCTION("""COMPUTED_VALUE"""),0.0)</f>
        <v>0</v>
      </c>
      <c r="F2443" s="273">
        <f>IFERROR(__xludf.DUMMYFUNCTION("""COMPUTED_VALUE"""),3.0)</f>
        <v>3</v>
      </c>
      <c r="G2443" t="str">
        <f>IFERROR(__xludf.DUMMYFUNCTION("""COMPUTED_VALUE"""),"Sabun batang 1 Box ( 2 PCS )")</f>
        <v>Sabun batang 1 Box ( 2 PCS )</v>
      </c>
      <c r="H2443" s="469"/>
      <c r="I2443" s="470"/>
      <c r="K2443" s="470"/>
      <c r="M2443" s="470"/>
      <c r="O2443" s="470"/>
    </row>
    <row r="2444">
      <c r="A2444" s="282" t="str">
        <f>IFERROR(__xludf.DUMMYFUNCTION("""COMPUTED_VALUE"""),"MICRO")</f>
        <v>MICRO</v>
      </c>
      <c r="B2444" s="468" t="str">
        <f>IFERROR(__xludf.DUMMYFUNCTION("""COMPUTED_VALUE"""),"skinnuraa")</f>
        <v>skinnuraa</v>
      </c>
      <c r="C2444" s="283" t="str">
        <f>IFERROR(__xludf.DUMMYFUNCTION("""COMPUTED_VALUE"""),"https://www.tiktok.com/@skinnuraa")</f>
        <v>https://www.tiktok.com/@skinnuraa</v>
      </c>
      <c r="D2444" s="273">
        <f>IFERROR(__xludf.DUMMYFUNCTION("""COMPUTED_VALUE"""),8.5117258396E10)</f>
        <v>85117258396</v>
      </c>
      <c r="E2444" s="458">
        <f>IFERROR(__xludf.DUMMYFUNCTION("""COMPUTED_VALUE"""),0.0)</f>
        <v>0</v>
      </c>
      <c r="F2444" s="273">
        <f>IFERROR(__xludf.DUMMYFUNCTION("""COMPUTED_VALUE"""),4.0)</f>
        <v>4</v>
      </c>
      <c r="G2444" t="str">
        <f>IFERROR(__xludf.DUMMYFUNCTION("""COMPUTED_VALUE"""),"Sabun batang 1 Box ( 2 PCS )")</f>
        <v>Sabun batang 1 Box ( 2 PCS )</v>
      </c>
      <c r="H2444" s="469"/>
      <c r="I2444" s="470"/>
      <c r="K2444" s="470"/>
      <c r="M2444" s="470"/>
      <c r="O2444" s="470"/>
    </row>
    <row r="2445">
      <c r="A2445" s="282" t="str">
        <f>IFERROR(__xludf.DUMMYFUNCTION("""COMPUTED_VALUE"""),"MICRO")</f>
        <v>MICRO</v>
      </c>
      <c r="B2445" s="468" t="str">
        <f>IFERROR(__xludf.DUMMYFUNCTION("""COMPUTED_VALUE"""),"ziaziii07")</f>
        <v>ziaziii07</v>
      </c>
      <c r="C2445" s="283" t="str">
        <f>IFERROR(__xludf.DUMMYFUNCTION("""COMPUTED_VALUE"""),"https://www.tiktok.com/@ziaziii07")</f>
        <v>https://www.tiktok.com/@ziaziii07</v>
      </c>
      <c r="D2445" s="273">
        <f>IFERROR(__xludf.DUMMYFUNCTION("""COMPUTED_VALUE"""),8.5363724438E10)</f>
        <v>85363724438</v>
      </c>
      <c r="E2445" s="458">
        <f>IFERROR(__xludf.DUMMYFUNCTION("""COMPUTED_VALUE"""),0.0)</f>
        <v>0</v>
      </c>
      <c r="F2445" s="273">
        <f>IFERROR(__xludf.DUMMYFUNCTION("""COMPUTED_VALUE"""),4.0)</f>
        <v>4</v>
      </c>
      <c r="G2445" t="str">
        <f>IFERROR(__xludf.DUMMYFUNCTION("""COMPUTED_VALUE"""),"Sabun batang 1 Box ( 2 PCS )")</f>
        <v>Sabun batang 1 Box ( 2 PCS )</v>
      </c>
      <c r="H2445" s="469"/>
      <c r="I2445" s="470"/>
      <c r="K2445" s="470"/>
      <c r="M2445" s="470"/>
      <c r="O2445" s="470"/>
    </row>
    <row r="2446">
      <c r="A2446" s="282" t="str">
        <f>IFERROR(__xludf.DUMMYFUNCTION("""COMPUTED_VALUE"""),"MICRO")</f>
        <v>MICRO</v>
      </c>
      <c r="B2446" s="468" t="str">
        <f>IFERROR(__xludf.DUMMYFUNCTION("""COMPUTED_VALUE"""),"mita_skinhaircare")</f>
        <v>mita_skinhaircare</v>
      </c>
      <c r="C2446" s="283" t="str">
        <f>IFERROR(__xludf.DUMMYFUNCTION("""COMPUTED_VALUE"""),"https://www.tiktok.com/@mita_skinhaircare")</f>
        <v>https://www.tiktok.com/@mita_skinhaircare</v>
      </c>
      <c r="D2446" s="273">
        <f>IFERROR(__xludf.DUMMYFUNCTION("""COMPUTED_VALUE"""),8.2298462172E10)</f>
        <v>82298462172</v>
      </c>
      <c r="E2446" s="458">
        <f>IFERROR(__xludf.DUMMYFUNCTION("""COMPUTED_VALUE"""),0.0)</f>
        <v>0</v>
      </c>
      <c r="F2446" s="273">
        <f>IFERROR(__xludf.DUMMYFUNCTION("""COMPUTED_VALUE"""),4.0)</f>
        <v>4</v>
      </c>
      <c r="G2446" t="str">
        <f>IFERROR(__xludf.DUMMYFUNCTION("""COMPUTED_VALUE"""),"Sabun batang 1 Box ( 2 PCS )")</f>
        <v>Sabun batang 1 Box ( 2 PCS )</v>
      </c>
      <c r="H2446" s="469"/>
      <c r="I2446" s="470"/>
      <c r="K2446" s="470"/>
      <c r="M2446" s="470"/>
      <c r="O2446" s="470"/>
    </row>
    <row r="2447">
      <c r="A2447" s="282" t="str">
        <f>IFERROR(__xludf.DUMMYFUNCTION("""COMPUTED_VALUE"""),"MICRO")</f>
        <v>MICRO</v>
      </c>
      <c r="B2447" s="468" t="str">
        <f>IFERROR(__xludf.DUMMYFUNCTION("""COMPUTED_VALUE"""),"miftakhulk23")</f>
        <v>miftakhulk23</v>
      </c>
      <c r="C2447" s="283" t="str">
        <f>IFERROR(__xludf.DUMMYFUNCTION("""COMPUTED_VALUE"""),"https://www.tiktok.com/@miftakhulk23")</f>
        <v>https://www.tiktok.com/@miftakhulk23</v>
      </c>
      <c r="D2447" s="273">
        <f>IFERROR(__xludf.DUMMYFUNCTION("""COMPUTED_VALUE"""),8.5888021711E10)</f>
        <v>85888021711</v>
      </c>
      <c r="E2447" s="458">
        <f>IFERROR(__xludf.DUMMYFUNCTION("""COMPUTED_VALUE"""),0.0)</f>
        <v>0</v>
      </c>
      <c r="F2447" s="273">
        <f>IFERROR(__xludf.DUMMYFUNCTION("""COMPUTED_VALUE"""),4.0)</f>
        <v>4</v>
      </c>
      <c r="G2447" t="str">
        <f>IFERROR(__xludf.DUMMYFUNCTION("""COMPUTED_VALUE"""),"Sabun batang 1 Box ( 2 PCS )")</f>
        <v>Sabun batang 1 Box ( 2 PCS )</v>
      </c>
      <c r="H2447" s="469"/>
      <c r="I2447" s="470"/>
      <c r="K2447" s="470"/>
      <c r="M2447" s="470"/>
      <c r="O2447" s="470"/>
    </row>
    <row r="2448">
      <c r="A2448" s="282" t="str">
        <f>IFERROR(__xludf.DUMMYFUNCTION("""COMPUTED_VALUE"""),"MICRO")</f>
        <v>MICRO</v>
      </c>
      <c r="B2448" s="468" t="str">
        <f>IFERROR(__xludf.DUMMYFUNCTION("""COMPUTED_VALUE"""),"cicidoremi81")</f>
        <v>cicidoremi81</v>
      </c>
      <c r="C2448" s="283" t="str">
        <f>IFERROR(__xludf.DUMMYFUNCTION("""COMPUTED_VALUE"""),"https://www.tiktok.com/@cicidoremi81")</f>
        <v>https://www.tiktok.com/@cicidoremi81</v>
      </c>
      <c r="D2448" s="273">
        <f>IFERROR(__xludf.DUMMYFUNCTION("""COMPUTED_VALUE"""),8.5715154328E10)</f>
        <v>85715154328</v>
      </c>
      <c r="E2448" s="458">
        <f>IFERROR(__xludf.DUMMYFUNCTION("""COMPUTED_VALUE"""),0.0)</f>
        <v>0</v>
      </c>
      <c r="F2448" s="273">
        <f>IFERROR(__xludf.DUMMYFUNCTION("""COMPUTED_VALUE"""),4.0)</f>
        <v>4</v>
      </c>
      <c r="G2448" t="str">
        <f>IFERROR(__xludf.DUMMYFUNCTION("""COMPUTED_VALUE"""),"Sabun batang 1 Box ( 2 PCS )")</f>
        <v>Sabun batang 1 Box ( 2 PCS )</v>
      </c>
      <c r="H2448" s="469"/>
      <c r="I2448" s="470"/>
      <c r="K2448" s="470"/>
      <c r="M2448" s="470"/>
      <c r="O2448" s="470"/>
    </row>
    <row r="2449">
      <c r="A2449" s="282" t="str">
        <f>IFERROR(__xludf.DUMMYFUNCTION("""COMPUTED_VALUE"""),"MICRO")</f>
        <v>MICRO</v>
      </c>
      <c r="B2449" s="468" t="str">
        <f>IFERROR(__xludf.DUMMYFUNCTION("""COMPUTED_VALUE"""),"eriyna02")</f>
        <v>eriyna02</v>
      </c>
      <c r="C2449" s="283" t="str">
        <f>IFERROR(__xludf.DUMMYFUNCTION("""COMPUTED_VALUE"""),"https://www.tiktok.com/@eriyna02")</f>
        <v>https://www.tiktok.com/@eriyna02</v>
      </c>
      <c r="D2449" s="273">
        <f>IFERROR(__xludf.DUMMYFUNCTION("""COMPUTED_VALUE"""),8.5780033525E10)</f>
        <v>85780033525</v>
      </c>
      <c r="E2449" s="458">
        <f>IFERROR(__xludf.DUMMYFUNCTION("""COMPUTED_VALUE"""),0.0)</f>
        <v>0</v>
      </c>
      <c r="F2449" s="273">
        <f>IFERROR(__xludf.DUMMYFUNCTION("""COMPUTED_VALUE"""),4.0)</f>
        <v>4</v>
      </c>
      <c r="G2449" t="str">
        <f>IFERROR(__xludf.DUMMYFUNCTION("""COMPUTED_VALUE"""),"Sabun batang 1 Box ( 2 PCS )")</f>
        <v>Sabun batang 1 Box ( 2 PCS )</v>
      </c>
      <c r="H2449" s="469"/>
      <c r="I2449" s="470"/>
      <c r="K2449" s="470"/>
      <c r="M2449" s="470"/>
      <c r="O2449" s="470"/>
    </row>
    <row r="2450">
      <c r="A2450" s="282" t="str">
        <f>IFERROR(__xludf.DUMMYFUNCTION("""COMPUTED_VALUE"""),"MICRO")</f>
        <v>MICRO</v>
      </c>
      <c r="B2450" s="468" t="str">
        <f>IFERROR(__xludf.DUMMYFUNCTION("""COMPUTED_VALUE"""),"ledysiahaan_")</f>
        <v>ledysiahaan_</v>
      </c>
      <c r="C2450" s="283" t="str">
        <f>IFERROR(__xludf.DUMMYFUNCTION("""COMPUTED_VALUE"""),"https://www.tiktok.com/@ledysiahaan_")</f>
        <v>https://www.tiktok.com/@ledysiahaan_</v>
      </c>
      <c r="D2450" s="273">
        <f>IFERROR(__xludf.DUMMYFUNCTION("""COMPUTED_VALUE"""),8.2274993817E10)</f>
        <v>82274993817</v>
      </c>
      <c r="E2450" s="458">
        <f>IFERROR(__xludf.DUMMYFUNCTION("""COMPUTED_VALUE"""),0.0)</f>
        <v>0</v>
      </c>
      <c r="F2450" s="273">
        <f>IFERROR(__xludf.DUMMYFUNCTION("""COMPUTED_VALUE"""),4.0)</f>
        <v>4</v>
      </c>
      <c r="G2450" t="str">
        <f>IFERROR(__xludf.DUMMYFUNCTION("""COMPUTED_VALUE"""),"Sabun batang 1 Box ( 2 PCS )")</f>
        <v>Sabun batang 1 Box ( 2 PCS )</v>
      </c>
      <c r="H2450" s="469"/>
      <c r="I2450" s="470"/>
      <c r="K2450" s="470"/>
      <c r="M2450" s="470"/>
      <c r="O2450" s="470"/>
    </row>
    <row r="2451">
      <c r="A2451" s="282" t="str">
        <f>IFERROR(__xludf.DUMMYFUNCTION("""COMPUTED_VALUE"""),"MICRO")</f>
        <v>MICRO</v>
      </c>
      <c r="B2451" s="468" t="str">
        <f>IFERROR(__xludf.DUMMYFUNCTION("""COMPUTED_VALUE"""),"w4cyourr")</f>
        <v>w4cyourr</v>
      </c>
      <c r="C2451" s="283" t="str">
        <f>IFERROR(__xludf.DUMMYFUNCTION("""COMPUTED_VALUE"""),"https://www.tiktok.com/@w4cyourr")</f>
        <v>https://www.tiktok.com/@w4cyourr</v>
      </c>
      <c r="D2451" s="273">
        <f>IFERROR(__xludf.DUMMYFUNCTION("""COMPUTED_VALUE"""),8.3162126067E10)</f>
        <v>83162126067</v>
      </c>
      <c r="E2451" s="458">
        <f>IFERROR(__xludf.DUMMYFUNCTION("""COMPUTED_VALUE"""),0.0)</f>
        <v>0</v>
      </c>
      <c r="F2451" s="273">
        <f>IFERROR(__xludf.DUMMYFUNCTION("""COMPUTED_VALUE"""),4.0)</f>
        <v>4</v>
      </c>
      <c r="G2451" t="str">
        <f>IFERROR(__xludf.DUMMYFUNCTION("""COMPUTED_VALUE"""),"Sabun batang 1 Box ( 2 PCS )")</f>
        <v>Sabun batang 1 Box ( 2 PCS )</v>
      </c>
      <c r="H2451" s="469"/>
      <c r="I2451" s="470"/>
      <c r="K2451" s="470"/>
      <c r="M2451" s="470"/>
      <c r="O2451" s="470"/>
    </row>
    <row r="2452">
      <c r="A2452" s="282" t="str">
        <f>IFERROR(__xludf.DUMMYFUNCTION("""COMPUTED_VALUE"""),"MICRO")</f>
        <v>MICRO</v>
      </c>
      <c r="B2452" s="468" t="str">
        <f>IFERROR(__xludf.DUMMYFUNCTION("""COMPUTED_VALUE"""),"netavrnkaa")</f>
        <v>netavrnkaa</v>
      </c>
      <c r="C2452" s="283" t="str">
        <f>IFERROR(__xludf.DUMMYFUNCTION("""COMPUTED_VALUE"""),"https://www.tiktok.com/@netavrnkaa")</f>
        <v>https://www.tiktok.com/@netavrnkaa</v>
      </c>
      <c r="D2452" s="273">
        <f>IFERROR(__xludf.DUMMYFUNCTION("""COMPUTED_VALUE"""),8.9647093642E10)</f>
        <v>89647093642</v>
      </c>
      <c r="E2452" s="458">
        <f>IFERROR(__xludf.DUMMYFUNCTION("""COMPUTED_VALUE"""),0.0)</f>
        <v>0</v>
      </c>
      <c r="F2452" s="273">
        <f>IFERROR(__xludf.DUMMYFUNCTION("""COMPUTED_VALUE"""),4.0)</f>
        <v>4</v>
      </c>
      <c r="G2452" t="str">
        <f>IFERROR(__xludf.DUMMYFUNCTION("""COMPUTED_VALUE"""),"Sabun batang 1 Box ( 2 PCS )")</f>
        <v>Sabun batang 1 Box ( 2 PCS )</v>
      </c>
      <c r="H2452" s="469"/>
      <c r="I2452" s="470"/>
      <c r="K2452" s="470"/>
      <c r="M2452" s="470"/>
      <c r="O2452" s="470"/>
    </row>
    <row r="2453">
      <c r="A2453" s="282" t="str">
        <f>IFERROR(__xludf.DUMMYFUNCTION("""COMPUTED_VALUE"""),"MICRO")</f>
        <v>MICRO</v>
      </c>
      <c r="B2453" s="468" t="str">
        <f>IFERROR(__xludf.DUMMYFUNCTION("""COMPUTED_VALUE"""),"halloww.an")</f>
        <v>halloww.an</v>
      </c>
      <c r="C2453" s="283" t="str">
        <f>IFERROR(__xludf.DUMMYFUNCTION("""COMPUTED_VALUE"""),"https://www.tiktok.com/@halloww.an")</f>
        <v>https://www.tiktok.com/@halloww.an</v>
      </c>
      <c r="D2453" s="273">
        <f>IFERROR(__xludf.DUMMYFUNCTION("""COMPUTED_VALUE"""),8.5799483638E10)</f>
        <v>85799483638</v>
      </c>
      <c r="E2453" s="458">
        <f>IFERROR(__xludf.DUMMYFUNCTION("""COMPUTED_VALUE"""),0.0)</f>
        <v>0</v>
      </c>
      <c r="F2453" s="273">
        <f>IFERROR(__xludf.DUMMYFUNCTION("""COMPUTED_VALUE"""),2.0)</f>
        <v>2</v>
      </c>
      <c r="G2453" t="str">
        <f>IFERROR(__xludf.DUMMYFUNCTION("""COMPUTED_VALUE"""),"Sabun batang 1 Box ( 2 PCS )")</f>
        <v>Sabun batang 1 Box ( 2 PCS )</v>
      </c>
      <c r="H2453" s="469"/>
      <c r="I2453" s="470"/>
      <c r="K2453" s="470"/>
      <c r="M2453" s="470"/>
      <c r="O2453" s="470"/>
    </row>
    <row r="2454">
      <c r="A2454" s="282" t="str">
        <f>IFERROR(__xludf.DUMMYFUNCTION("""COMPUTED_VALUE"""),"MICRO")</f>
        <v>MICRO</v>
      </c>
      <c r="B2454" s="468" t="str">
        <f>IFERROR(__xludf.DUMMYFUNCTION("""COMPUTED_VALUE"""),"hlmliajyptri")</f>
        <v>hlmliajyptri</v>
      </c>
      <c r="C2454" s="283" t="str">
        <f>IFERROR(__xludf.DUMMYFUNCTION("""COMPUTED_VALUE"""),"https://www.tiktok.com/@hlmliajyptri")</f>
        <v>https://www.tiktok.com/@hlmliajyptri</v>
      </c>
      <c r="D2454" s="273">
        <f>IFERROR(__xludf.DUMMYFUNCTION("""COMPUTED_VALUE"""),8.3805856465E10)</f>
        <v>83805856465</v>
      </c>
      <c r="E2454" s="458">
        <f>IFERROR(__xludf.DUMMYFUNCTION("""COMPUTED_VALUE"""),0.0)</f>
        <v>0</v>
      </c>
      <c r="F2454" s="273">
        <f>IFERROR(__xludf.DUMMYFUNCTION("""COMPUTED_VALUE"""),2.0)</f>
        <v>2</v>
      </c>
      <c r="G2454" t="str">
        <f>IFERROR(__xludf.DUMMYFUNCTION("""COMPUTED_VALUE"""),"Sabun batang 1 Box ( 2 PCS )")</f>
        <v>Sabun batang 1 Box ( 2 PCS )</v>
      </c>
      <c r="H2454" s="469"/>
      <c r="I2454" s="470"/>
      <c r="K2454" s="470"/>
      <c r="M2454" s="470"/>
      <c r="O2454" s="470"/>
    </row>
    <row r="2455">
      <c r="A2455" s="282" t="str">
        <f>IFERROR(__xludf.DUMMYFUNCTION("""COMPUTED_VALUE"""),"MICRO")</f>
        <v>MICRO</v>
      </c>
      <c r="B2455" s="468" t="str">
        <f>IFERROR(__xludf.DUMMYFUNCTION("""COMPUTED_VALUE"""),"ririnarin07")</f>
        <v>ririnarin07</v>
      </c>
      <c r="C2455" s="283" t="str">
        <f>IFERROR(__xludf.DUMMYFUNCTION("""COMPUTED_VALUE"""),"https://www.tiktok.com/@ririnarin07")</f>
        <v>https://www.tiktok.com/@ririnarin07</v>
      </c>
      <c r="D2455" s="273">
        <f>IFERROR(__xludf.DUMMYFUNCTION("""COMPUTED_VALUE"""),8.1331207247E10)</f>
        <v>81331207247</v>
      </c>
      <c r="E2455" s="458">
        <f>IFERROR(__xludf.DUMMYFUNCTION("""COMPUTED_VALUE"""),0.0)</f>
        <v>0</v>
      </c>
      <c r="F2455" s="273">
        <f>IFERROR(__xludf.DUMMYFUNCTION("""COMPUTED_VALUE"""),4.0)</f>
        <v>4</v>
      </c>
      <c r="G2455" t="str">
        <f>IFERROR(__xludf.DUMMYFUNCTION("""COMPUTED_VALUE"""),"Sabun batang 1 Box ( 2 PCS )")</f>
        <v>Sabun batang 1 Box ( 2 PCS )</v>
      </c>
      <c r="H2455" s="469"/>
      <c r="I2455" s="470"/>
      <c r="K2455" s="470"/>
      <c r="M2455" s="470"/>
      <c r="O2455" s="470"/>
    </row>
    <row r="2456">
      <c r="A2456" s="282" t="str">
        <f>IFERROR(__xludf.DUMMYFUNCTION("""COMPUTED_VALUE"""),"MICRO")</f>
        <v>MICRO</v>
      </c>
      <c r="B2456" s="468" t="str">
        <f>IFERROR(__xludf.DUMMYFUNCTION("""COMPUTED_VALUE"""),"dullanwar96")</f>
        <v>dullanwar96</v>
      </c>
      <c r="C2456" s="283" t="str">
        <f>IFERROR(__xludf.DUMMYFUNCTION("""COMPUTED_VALUE"""),"https://www.tiktok.com/@dullanwar96")</f>
        <v>https://www.tiktok.com/@dullanwar96</v>
      </c>
      <c r="D2456" s="273">
        <f>IFERROR(__xludf.DUMMYFUNCTION("""COMPUTED_VALUE"""),8.1240009043E10)</f>
        <v>81240009043</v>
      </c>
      <c r="E2456" s="458">
        <f>IFERROR(__xludf.DUMMYFUNCTION("""COMPUTED_VALUE"""),0.0)</f>
        <v>0</v>
      </c>
      <c r="F2456" s="273">
        <f>IFERROR(__xludf.DUMMYFUNCTION("""COMPUTED_VALUE"""),4.0)</f>
        <v>4</v>
      </c>
      <c r="G2456" t="str">
        <f>IFERROR(__xludf.DUMMYFUNCTION("""COMPUTED_VALUE"""),"Sabun batang 1 Box ( 2 PCS )")</f>
        <v>Sabun batang 1 Box ( 2 PCS )</v>
      </c>
      <c r="H2456" s="469"/>
      <c r="I2456" s="470"/>
      <c r="K2456" s="470"/>
      <c r="M2456" s="470"/>
      <c r="O2456" s="470"/>
    </row>
    <row r="2457">
      <c r="A2457" s="282" t="str">
        <f>IFERROR(__xludf.DUMMYFUNCTION("""COMPUTED_VALUE"""),"MICRO")</f>
        <v>MICRO</v>
      </c>
      <c r="B2457" s="468" t="str">
        <f>IFERROR(__xludf.DUMMYFUNCTION("""COMPUTED_VALUE"""),"putreenpermana")</f>
        <v>putreenpermana</v>
      </c>
      <c r="C2457" s="283" t="str">
        <f>IFERROR(__xludf.DUMMYFUNCTION("""COMPUTED_VALUE"""),"https://www.tiktok.com/@putreenpermana")</f>
        <v>https://www.tiktok.com/@putreenpermana</v>
      </c>
      <c r="D2457" s="273">
        <f>IFERROR(__xludf.DUMMYFUNCTION("""COMPUTED_VALUE"""),8.1227599723E10)</f>
        <v>81227599723</v>
      </c>
      <c r="E2457" s="458">
        <f>IFERROR(__xludf.DUMMYFUNCTION("""COMPUTED_VALUE"""),0.0)</f>
        <v>0</v>
      </c>
      <c r="F2457" s="273">
        <f>IFERROR(__xludf.DUMMYFUNCTION("""COMPUTED_VALUE"""),4.0)</f>
        <v>4</v>
      </c>
      <c r="G2457" t="str">
        <f>IFERROR(__xludf.DUMMYFUNCTION("""COMPUTED_VALUE"""),"Sabun batang 1 Box ( 2 PCS )")</f>
        <v>Sabun batang 1 Box ( 2 PCS )</v>
      </c>
      <c r="H2457" s="469"/>
      <c r="I2457" s="470"/>
      <c r="K2457" s="470"/>
      <c r="M2457" s="470"/>
      <c r="O2457" s="470"/>
    </row>
    <row r="2458">
      <c r="A2458" s="282" t="str">
        <f>IFERROR(__xludf.DUMMYFUNCTION("""COMPUTED_VALUE"""),"MICRO")</f>
        <v>MICRO</v>
      </c>
      <c r="B2458" s="468" t="str">
        <f>IFERROR(__xludf.DUMMYFUNCTION("""COMPUTED_VALUE"""),"haniaaaaa__")</f>
        <v>haniaaaaa__</v>
      </c>
      <c r="C2458" s="283" t="str">
        <f>IFERROR(__xludf.DUMMYFUNCTION("""COMPUTED_VALUE"""),"https://www.tiktok.com/@haniaaaaa__")</f>
        <v>https://www.tiktok.com/@haniaaaaa__</v>
      </c>
      <c r="D2458" s="273">
        <f>IFERROR(__xludf.DUMMYFUNCTION("""COMPUTED_VALUE"""),8.3822021233E10)</f>
        <v>83822021233</v>
      </c>
      <c r="E2458" s="458">
        <f>IFERROR(__xludf.DUMMYFUNCTION("""COMPUTED_VALUE"""),0.0)</f>
        <v>0</v>
      </c>
      <c r="F2458" s="273">
        <f>IFERROR(__xludf.DUMMYFUNCTION("""COMPUTED_VALUE"""),4.0)</f>
        <v>4</v>
      </c>
      <c r="G2458" t="str">
        <f>IFERROR(__xludf.DUMMYFUNCTION("""COMPUTED_VALUE"""),"Sabun batang 1 Box ( 2 PCS )")</f>
        <v>Sabun batang 1 Box ( 2 PCS )</v>
      </c>
      <c r="H2458" s="469"/>
      <c r="I2458" s="470"/>
      <c r="K2458" s="470"/>
      <c r="M2458" s="470"/>
      <c r="O2458" s="470"/>
    </row>
    <row r="2459">
      <c r="A2459" s="282" t="str">
        <f>IFERROR(__xludf.DUMMYFUNCTION("""COMPUTED_VALUE"""),"MICRO")</f>
        <v>MICRO</v>
      </c>
      <c r="B2459" s="468" t="str">
        <f>IFERROR(__xludf.DUMMYFUNCTION("""COMPUTED_VALUE"""),"tp.nm25")</f>
        <v>tp.nm25</v>
      </c>
      <c r="C2459" s="283" t="str">
        <f>IFERROR(__xludf.DUMMYFUNCTION("""COMPUTED_VALUE"""),"https://www.tiktok.com/@tp.nm25")</f>
        <v>https://www.tiktok.com/@tp.nm25</v>
      </c>
      <c r="D2459" s="273">
        <f>IFERROR(__xludf.DUMMYFUNCTION("""COMPUTED_VALUE"""),8.3192564666E10)</f>
        <v>83192564666</v>
      </c>
      <c r="E2459" s="458">
        <f>IFERROR(__xludf.DUMMYFUNCTION("""COMPUTED_VALUE"""),0.0)</f>
        <v>0</v>
      </c>
      <c r="F2459" s="273">
        <f>IFERROR(__xludf.DUMMYFUNCTION("""COMPUTED_VALUE"""),4.0)</f>
        <v>4</v>
      </c>
      <c r="G2459" t="str">
        <f>IFERROR(__xludf.DUMMYFUNCTION("""COMPUTED_VALUE"""),"Sabun batang 1 Box ( 2 PCS )")</f>
        <v>Sabun batang 1 Box ( 2 PCS )</v>
      </c>
      <c r="H2459" s="469"/>
      <c r="I2459" s="470"/>
      <c r="K2459" s="470"/>
      <c r="M2459" s="470"/>
      <c r="O2459" s="470"/>
    </row>
    <row r="2460">
      <c r="A2460" s="282" t="str">
        <f>IFERROR(__xludf.DUMMYFUNCTION("""COMPUTED_VALUE"""),"MICRO")</f>
        <v>MICRO</v>
      </c>
      <c r="B2460" s="468" t="str">
        <f>IFERROR(__xludf.DUMMYFUNCTION("""COMPUTED_VALUE"""),"racuncantik_byna")</f>
        <v>racuncantik_byna</v>
      </c>
      <c r="C2460" s="283" t="str">
        <f>IFERROR(__xludf.DUMMYFUNCTION("""COMPUTED_VALUE"""),"https://www.tiktok.com/@racuncantik_byna")</f>
        <v>https://www.tiktok.com/@racuncantik_byna</v>
      </c>
      <c r="D2460" s="273">
        <f>IFERROR(__xludf.DUMMYFUNCTION("""COMPUTED_VALUE"""),8.11669822E9)</f>
        <v>8116698220</v>
      </c>
      <c r="E2460" s="458">
        <f>IFERROR(__xludf.DUMMYFUNCTION("""COMPUTED_VALUE"""),0.0)</f>
        <v>0</v>
      </c>
      <c r="F2460" s="273">
        <f>IFERROR(__xludf.DUMMYFUNCTION("""COMPUTED_VALUE"""),4.0)</f>
        <v>4</v>
      </c>
      <c r="G2460" t="str">
        <f>IFERROR(__xludf.DUMMYFUNCTION("""COMPUTED_VALUE"""),"Sabun batang 1 Box ( 2 PCS )")</f>
        <v>Sabun batang 1 Box ( 2 PCS )</v>
      </c>
      <c r="H2460" s="469"/>
      <c r="I2460" s="470"/>
      <c r="K2460" s="470"/>
      <c r="M2460" s="470"/>
      <c r="O2460" s="470"/>
    </row>
    <row r="2461">
      <c r="A2461" s="282" t="str">
        <f>IFERROR(__xludf.DUMMYFUNCTION("""COMPUTED_VALUE"""),"MICRO")</f>
        <v>MICRO</v>
      </c>
      <c r="B2461" s="468" t="str">
        <f>IFERROR(__xludf.DUMMYFUNCTION("""COMPUTED_VALUE"""),"meisha0260")</f>
        <v>meisha0260</v>
      </c>
      <c r="C2461" s="283" t="str">
        <f>IFERROR(__xludf.DUMMYFUNCTION("""COMPUTED_VALUE"""),"https://www.tiktok.com/@meisha0260")</f>
        <v>https://www.tiktok.com/@meisha0260</v>
      </c>
      <c r="D2461" s="273">
        <f>IFERROR(__xludf.DUMMYFUNCTION("""COMPUTED_VALUE"""),8.1222700775E10)</f>
        <v>81222700775</v>
      </c>
      <c r="E2461" s="458">
        <f>IFERROR(__xludf.DUMMYFUNCTION("""COMPUTED_VALUE"""),0.0)</f>
        <v>0</v>
      </c>
      <c r="F2461" s="273">
        <f>IFERROR(__xludf.DUMMYFUNCTION("""COMPUTED_VALUE"""),4.0)</f>
        <v>4</v>
      </c>
      <c r="G2461" t="str">
        <f>IFERROR(__xludf.DUMMYFUNCTION("""COMPUTED_VALUE"""),"Sabun batang 1 Box ( 2 PCS )")</f>
        <v>Sabun batang 1 Box ( 2 PCS )</v>
      </c>
      <c r="H2461" s="469"/>
      <c r="I2461" s="470"/>
      <c r="K2461" s="470"/>
      <c r="M2461" s="470"/>
      <c r="O2461" s="470"/>
    </row>
    <row r="2462">
      <c r="A2462" s="282" t="str">
        <f>IFERROR(__xludf.DUMMYFUNCTION("""COMPUTED_VALUE"""),"MICRO")</f>
        <v>MICRO</v>
      </c>
      <c r="B2462" s="468" t="str">
        <f>IFERROR(__xludf.DUMMYFUNCTION("""COMPUTED_VALUE"""),"asart_1")</f>
        <v>asart_1</v>
      </c>
      <c r="C2462" s="283" t="str">
        <f>IFERROR(__xludf.DUMMYFUNCTION("""COMPUTED_VALUE"""),"https://www.tiktok.com/@asart_1")</f>
        <v>https://www.tiktok.com/@asart_1</v>
      </c>
      <c r="D2462" s="273">
        <f>IFERROR(__xludf.DUMMYFUNCTION("""COMPUTED_VALUE"""),8.3857081454E10)</f>
        <v>83857081454</v>
      </c>
      <c r="E2462" s="458">
        <f>IFERROR(__xludf.DUMMYFUNCTION("""COMPUTED_VALUE"""),0.0)</f>
        <v>0</v>
      </c>
      <c r="F2462" s="273">
        <f>IFERROR(__xludf.DUMMYFUNCTION("""COMPUTED_VALUE"""),4.0)</f>
        <v>4</v>
      </c>
      <c r="G2462" t="str">
        <f>IFERROR(__xludf.DUMMYFUNCTION("""COMPUTED_VALUE"""),"Sabun batang 1 Box ( 2 PCS )")</f>
        <v>Sabun batang 1 Box ( 2 PCS )</v>
      </c>
      <c r="H2462" s="469"/>
      <c r="I2462" s="470"/>
      <c r="K2462" s="470"/>
      <c r="M2462" s="470"/>
      <c r="O2462" s="470"/>
    </row>
    <row r="2463">
      <c r="A2463" s="282" t="str">
        <f>IFERROR(__xludf.DUMMYFUNCTION("""COMPUTED_VALUE"""),"MICRO")</f>
        <v>MICRO</v>
      </c>
      <c r="B2463" s="468" t="str">
        <f>IFERROR(__xludf.DUMMYFUNCTION("""COMPUTED_VALUE"""),"dhaisbp")</f>
        <v>dhaisbp</v>
      </c>
      <c r="C2463" s="283" t="str">
        <f>IFERROR(__xludf.DUMMYFUNCTION("""COMPUTED_VALUE"""),"https://www.tiktok.com/@dhaisbp")</f>
        <v>https://www.tiktok.com/@dhaisbp</v>
      </c>
      <c r="D2463" s="273">
        <f>IFERROR(__xludf.DUMMYFUNCTION("""COMPUTED_VALUE"""),8.5877748307E10)</f>
        <v>85877748307</v>
      </c>
      <c r="E2463" s="458">
        <f>IFERROR(__xludf.DUMMYFUNCTION("""COMPUTED_VALUE"""),0.0)</f>
        <v>0</v>
      </c>
      <c r="F2463" s="273">
        <f>IFERROR(__xludf.DUMMYFUNCTION("""COMPUTED_VALUE"""),4.0)</f>
        <v>4</v>
      </c>
      <c r="G2463" t="str">
        <f>IFERROR(__xludf.DUMMYFUNCTION("""COMPUTED_VALUE"""),"Sabun batang 1 Box ( 2 PCS )")</f>
        <v>Sabun batang 1 Box ( 2 PCS )</v>
      </c>
      <c r="H2463" s="469"/>
      <c r="I2463" s="470"/>
      <c r="K2463" s="470"/>
      <c r="M2463" s="470"/>
      <c r="O2463" s="470"/>
    </row>
    <row r="2464">
      <c r="A2464" s="282" t="str">
        <f>IFERROR(__xludf.DUMMYFUNCTION("""COMPUTED_VALUE"""),"MICRO")</f>
        <v>MICRO</v>
      </c>
      <c r="B2464" s="468" t="str">
        <f>IFERROR(__xludf.DUMMYFUNCTION("""COMPUTED_VALUE"""),"tyamelan")</f>
        <v>tyamelan</v>
      </c>
      <c r="C2464" s="283" t="str">
        <f>IFERROR(__xludf.DUMMYFUNCTION("""COMPUTED_VALUE"""),"https://www.tiktok.com/@tyamelan")</f>
        <v>https://www.tiktok.com/@tyamelan</v>
      </c>
      <c r="D2464" s="273">
        <f>IFERROR(__xludf.DUMMYFUNCTION("""COMPUTED_VALUE"""),8.2219046686E10)</f>
        <v>82219046686</v>
      </c>
      <c r="E2464" s="458">
        <f>IFERROR(__xludf.DUMMYFUNCTION("""COMPUTED_VALUE"""),0.0)</f>
        <v>0</v>
      </c>
      <c r="F2464" s="273">
        <f>IFERROR(__xludf.DUMMYFUNCTION("""COMPUTED_VALUE"""),4.0)</f>
        <v>4</v>
      </c>
      <c r="G2464" t="str">
        <f>IFERROR(__xludf.DUMMYFUNCTION("""COMPUTED_VALUE"""),"Sabun batang 1 Box ( 2 PCS )")</f>
        <v>Sabun batang 1 Box ( 2 PCS )</v>
      </c>
      <c r="H2464" s="469"/>
      <c r="I2464" s="470"/>
      <c r="K2464" s="470"/>
      <c r="M2464" s="470"/>
      <c r="O2464" s="470"/>
    </row>
    <row r="2465">
      <c r="A2465" s="282" t="str">
        <f>IFERROR(__xludf.DUMMYFUNCTION("""COMPUTED_VALUE"""),"MICRO")</f>
        <v>MICRO</v>
      </c>
      <c r="B2465" s="468" t="str">
        <f>IFERROR(__xludf.DUMMYFUNCTION("""COMPUTED_VALUE"""),"ovy.25")</f>
        <v>ovy.25</v>
      </c>
      <c r="C2465" s="283" t="str">
        <f>IFERROR(__xludf.DUMMYFUNCTION("""COMPUTED_VALUE"""),"https://www.tiktok.com/@ovy.25")</f>
        <v>https://www.tiktok.com/@ovy.25</v>
      </c>
      <c r="D2465" s="273">
        <f>IFERROR(__xludf.DUMMYFUNCTION("""COMPUTED_VALUE"""),8.2142855337E10)</f>
        <v>82142855337</v>
      </c>
      <c r="E2465" s="458">
        <f>IFERROR(__xludf.DUMMYFUNCTION("""COMPUTED_VALUE"""),0.0)</f>
        <v>0</v>
      </c>
      <c r="F2465" s="273">
        <f>IFERROR(__xludf.DUMMYFUNCTION("""COMPUTED_VALUE"""),2.0)</f>
        <v>2</v>
      </c>
      <c r="G2465" t="str">
        <f>IFERROR(__xludf.DUMMYFUNCTION("""COMPUTED_VALUE"""),"Sabun batang 1 Box ( 2 PCS )")</f>
        <v>Sabun batang 1 Box ( 2 PCS )</v>
      </c>
      <c r="H2465" s="469"/>
      <c r="I2465" s="470"/>
      <c r="K2465" s="470"/>
      <c r="M2465" s="470"/>
      <c r="O2465" s="470"/>
    </row>
    <row r="2466">
      <c r="A2466" s="282" t="str">
        <f>IFERROR(__xludf.DUMMYFUNCTION("""COMPUTED_VALUE"""),"MICRO")</f>
        <v>MICRO</v>
      </c>
      <c r="B2466" s="468" t="str">
        <f>IFERROR(__xludf.DUMMYFUNCTION("""COMPUTED_VALUE"""),"dedewkania")</f>
        <v>dedewkania</v>
      </c>
      <c r="C2466" s="283" t="str">
        <f>IFERROR(__xludf.DUMMYFUNCTION("""COMPUTED_VALUE"""),"https://www.tiktok.com/@dedewkania")</f>
        <v>https://www.tiktok.com/@dedewkania</v>
      </c>
      <c r="D2466" s="273">
        <f>IFERROR(__xludf.DUMMYFUNCTION("""COMPUTED_VALUE"""),8.812176774E9)</f>
        <v>8812176774</v>
      </c>
      <c r="E2466" s="458">
        <f>IFERROR(__xludf.DUMMYFUNCTION("""COMPUTED_VALUE"""),0.0)</f>
        <v>0</v>
      </c>
      <c r="F2466" s="273">
        <f>IFERROR(__xludf.DUMMYFUNCTION("""COMPUTED_VALUE"""),4.0)</f>
        <v>4</v>
      </c>
      <c r="G2466" t="str">
        <f>IFERROR(__xludf.DUMMYFUNCTION("""COMPUTED_VALUE"""),"Sabun batang 1 Box ( 2 PCS )")</f>
        <v>Sabun batang 1 Box ( 2 PCS )</v>
      </c>
      <c r="H2466" s="469"/>
      <c r="I2466" s="470"/>
      <c r="K2466" s="470"/>
      <c r="M2466" s="470"/>
      <c r="O2466" s="470"/>
    </row>
    <row r="2467">
      <c r="A2467" s="282" t="str">
        <f>IFERROR(__xludf.DUMMYFUNCTION("""COMPUTED_VALUE"""),"MICRO")</f>
        <v>MICRO</v>
      </c>
      <c r="B2467" s="468" t="str">
        <f>IFERROR(__xludf.DUMMYFUNCTION("""COMPUTED_VALUE"""),"myy.mine0")</f>
        <v>myy.mine0</v>
      </c>
      <c r="C2467" s="283" t="str">
        <f>IFERROR(__xludf.DUMMYFUNCTION("""COMPUTED_VALUE"""),"https://www.tiktok.com/@myy.mine0")</f>
        <v>https://www.tiktok.com/@myy.mine0</v>
      </c>
      <c r="D2467" s="273">
        <f>IFERROR(__xludf.DUMMYFUNCTION("""COMPUTED_VALUE"""),8.7737541527E10)</f>
        <v>87737541527</v>
      </c>
      <c r="E2467" s="458">
        <f>IFERROR(__xludf.DUMMYFUNCTION("""COMPUTED_VALUE"""),0.0)</f>
        <v>0</v>
      </c>
      <c r="F2467" s="273">
        <f>IFERROR(__xludf.DUMMYFUNCTION("""COMPUTED_VALUE"""),4.0)</f>
        <v>4</v>
      </c>
      <c r="G2467" t="str">
        <f>IFERROR(__xludf.DUMMYFUNCTION("""COMPUTED_VALUE"""),"Sabun batang 1 Box ( 2 PCS )")</f>
        <v>Sabun batang 1 Box ( 2 PCS )</v>
      </c>
      <c r="H2467" s="469"/>
      <c r="I2467" s="470"/>
      <c r="K2467" s="470"/>
      <c r="M2467" s="470"/>
      <c r="O2467" s="470"/>
    </row>
    <row r="2468">
      <c r="A2468" s="282" t="str">
        <f>IFERROR(__xludf.DUMMYFUNCTION("""COMPUTED_VALUE"""),"MICRO")</f>
        <v>MICRO</v>
      </c>
      <c r="B2468" s="468" t="str">
        <f>IFERROR(__xludf.DUMMYFUNCTION("""COMPUTED_VALUE"""),"melici169")</f>
        <v>melici169</v>
      </c>
      <c r="C2468" s="283" t="str">
        <f>IFERROR(__xludf.DUMMYFUNCTION("""COMPUTED_VALUE"""),"https://www.tiktok.com/@melici169")</f>
        <v>https://www.tiktok.com/@melici169</v>
      </c>
      <c r="D2468" s="273">
        <f>IFERROR(__xludf.DUMMYFUNCTION("""COMPUTED_VALUE"""),8.3840379439E10)</f>
        <v>83840379439</v>
      </c>
      <c r="E2468" s="458">
        <f>IFERROR(__xludf.DUMMYFUNCTION("""COMPUTED_VALUE"""),0.0)</f>
        <v>0</v>
      </c>
      <c r="F2468" s="273">
        <f>IFERROR(__xludf.DUMMYFUNCTION("""COMPUTED_VALUE"""),4.0)</f>
        <v>4</v>
      </c>
      <c r="G2468" t="str">
        <f>IFERROR(__xludf.DUMMYFUNCTION("""COMPUTED_VALUE"""),"Sabun batang 1 Box ( 2 PCS )")</f>
        <v>Sabun batang 1 Box ( 2 PCS )</v>
      </c>
      <c r="H2468" s="469"/>
      <c r="I2468" s="470"/>
      <c r="K2468" s="470"/>
      <c r="M2468" s="470"/>
      <c r="O2468" s="470"/>
    </row>
    <row r="2469">
      <c r="A2469" s="282" t="str">
        <f>IFERROR(__xludf.DUMMYFUNCTION("""COMPUTED_VALUE"""),"MICRO")</f>
        <v>MICRO</v>
      </c>
      <c r="B2469" s="468" t="str">
        <f>IFERROR(__xludf.DUMMYFUNCTION("""COMPUTED_VALUE"""),"elior_1803")</f>
        <v>elior_1803</v>
      </c>
      <c r="C2469" s="283" t="str">
        <f>IFERROR(__xludf.DUMMYFUNCTION("""COMPUTED_VALUE"""),"https://www.tiktok.com/@elior_1803")</f>
        <v>https://www.tiktok.com/@elior_1803</v>
      </c>
      <c r="D2469" s="273">
        <f>IFERROR(__xludf.DUMMYFUNCTION("""COMPUTED_VALUE"""),8.8902982718E10)</f>
        <v>88902982718</v>
      </c>
      <c r="E2469" s="458">
        <f>IFERROR(__xludf.DUMMYFUNCTION("""COMPUTED_VALUE"""),0.0)</f>
        <v>0</v>
      </c>
      <c r="F2469" s="273">
        <f>IFERROR(__xludf.DUMMYFUNCTION("""COMPUTED_VALUE"""),4.0)</f>
        <v>4</v>
      </c>
      <c r="G2469" t="str">
        <f>IFERROR(__xludf.DUMMYFUNCTION("""COMPUTED_VALUE"""),"Sabun batang 1 Box ( 2 PCS )")</f>
        <v>Sabun batang 1 Box ( 2 PCS )</v>
      </c>
      <c r="H2469" s="469"/>
      <c r="I2469" s="470"/>
      <c r="K2469" s="470"/>
      <c r="M2469" s="470"/>
      <c r="O2469" s="470"/>
    </row>
    <row r="2470">
      <c r="A2470" s="282" t="str">
        <f>IFERROR(__xludf.DUMMYFUNCTION("""COMPUTED_VALUE"""),"MICRO")</f>
        <v>MICRO</v>
      </c>
      <c r="B2470" s="468" t="str">
        <f>IFERROR(__xludf.DUMMYFUNCTION("""COMPUTED_VALUE"""),"empup96")</f>
        <v>empup96</v>
      </c>
      <c r="C2470" s="283" t="str">
        <f>IFERROR(__xludf.DUMMYFUNCTION("""COMPUTED_VALUE"""),"https://www.tiktok.com/@empup96")</f>
        <v>https://www.tiktok.com/@empup96</v>
      </c>
      <c r="D2470" s="273">
        <f>IFERROR(__xludf.DUMMYFUNCTION("""COMPUTED_VALUE"""),8.1511947282E10)</f>
        <v>81511947282</v>
      </c>
      <c r="E2470" s="458">
        <f>IFERROR(__xludf.DUMMYFUNCTION("""COMPUTED_VALUE"""),0.0)</f>
        <v>0</v>
      </c>
      <c r="F2470" s="273">
        <f>IFERROR(__xludf.DUMMYFUNCTION("""COMPUTED_VALUE"""),4.0)</f>
        <v>4</v>
      </c>
      <c r="G2470" t="str">
        <f>IFERROR(__xludf.DUMMYFUNCTION("""COMPUTED_VALUE"""),"Sabun batang 1 Box ( 2 PCS )")</f>
        <v>Sabun batang 1 Box ( 2 PCS )</v>
      </c>
      <c r="H2470" s="469"/>
      <c r="I2470" s="470"/>
      <c r="K2470" s="470"/>
      <c r="M2470" s="470"/>
      <c r="O2470" s="470"/>
    </row>
    <row r="2471">
      <c r="A2471" s="282" t="str">
        <f>IFERROR(__xludf.DUMMYFUNCTION("""COMPUTED_VALUE"""),"MICRO")</f>
        <v>MICRO</v>
      </c>
      <c r="B2471" s="468" t="str">
        <f>IFERROR(__xludf.DUMMYFUNCTION("""COMPUTED_VALUE"""),"akuana2236")</f>
        <v>akuana2236</v>
      </c>
      <c r="C2471" s="283" t="str">
        <f>IFERROR(__xludf.DUMMYFUNCTION("""COMPUTED_VALUE"""),"https://www.tiktok.com/@akuana2236")</f>
        <v>https://www.tiktok.com/@akuana2236</v>
      </c>
      <c r="D2471" s="273">
        <f>IFERROR(__xludf.DUMMYFUNCTION("""COMPUTED_VALUE"""),8.2228395539E10)</f>
        <v>82228395539</v>
      </c>
      <c r="E2471" s="458">
        <f>IFERROR(__xludf.DUMMYFUNCTION("""COMPUTED_VALUE"""),0.0)</f>
        <v>0</v>
      </c>
      <c r="F2471" s="273">
        <f>IFERROR(__xludf.DUMMYFUNCTION("""COMPUTED_VALUE"""),4.0)</f>
        <v>4</v>
      </c>
      <c r="G2471" t="str">
        <f>IFERROR(__xludf.DUMMYFUNCTION("""COMPUTED_VALUE"""),"Sabun batang 1 Box ( 2 PCS )")</f>
        <v>Sabun batang 1 Box ( 2 PCS )</v>
      </c>
      <c r="H2471" s="469"/>
      <c r="I2471" s="470"/>
      <c r="K2471" s="470"/>
      <c r="M2471" s="470"/>
      <c r="O2471" s="470"/>
    </row>
    <row r="2472">
      <c r="A2472" s="282" t="str">
        <f>IFERROR(__xludf.DUMMYFUNCTION("""COMPUTED_VALUE"""),"MICRO")</f>
        <v>MICRO</v>
      </c>
      <c r="B2472" s="468" t="str">
        <f>IFERROR(__xludf.DUMMYFUNCTION("""COMPUTED_VALUE"""),"luna.rine")</f>
        <v>luna.rine</v>
      </c>
      <c r="C2472" s="283" t="str">
        <f>IFERROR(__xludf.DUMMYFUNCTION("""COMPUTED_VALUE"""),"https://www.tiktok.com/@luna.rine")</f>
        <v>https://www.tiktok.com/@luna.rine</v>
      </c>
      <c r="D2472" s="273">
        <f>IFERROR(__xludf.DUMMYFUNCTION("""COMPUTED_VALUE"""),8.1385790879E10)</f>
        <v>81385790879</v>
      </c>
      <c r="E2472" s="458">
        <f>IFERROR(__xludf.DUMMYFUNCTION("""COMPUTED_VALUE"""),0.0)</f>
        <v>0</v>
      </c>
      <c r="F2472" s="273">
        <f>IFERROR(__xludf.DUMMYFUNCTION("""COMPUTED_VALUE"""),4.0)</f>
        <v>4</v>
      </c>
      <c r="G2472" t="str">
        <f>IFERROR(__xludf.DUMMYFUNCTION("""COMPUTED_VALUE"""),"Sabun batang 1 Box ( 2 PCS )")</f>
        <v>Sabun batang 1 Box ( 2 PCS )</v>
      </c>
      <c r="H2472" s="469"/>
      <c r="I2472" s="470"/>
      <c r="K2472" s="470"/>
      <c r="M2472" s="470"/>
      <c r="O2472" s="470"/>
    </row>
    <row r="2473">
      <c r="A2473" s="282" t="str">
        <f>IFERROR(__xludf.DUMMYFUNCTION("""COMPUTED_VALUE"""),"MICRO")</f>
        <v>MICRO</v>
      </c>
      <c r="B2473" s="468" t="str">
        <f>IFERROR(__xludf.DUMMYFUNCTION("""COMPUTED_VALUE"""),"ibushaka08")</f>
        <v>ibushaka08</v>
      </c>
      <c r="C2473" s="283" t="str">
        <f>IFERROR(__xludf.DUMMYFUNCTION("""COMPUTED_VALUE"""),"https://www.tiktok.com/@ibushaka08")</f>
        <v>https://www.tiktok.com/@ibushaka08</v>
      </c>
      <c r="D2473" s="273">
        <f>IFERROR(__xludf.DUMMYFUNCTION("""COMPUTED_VALUE"""),8.5352648885E10)</f>
        <v>85352648885</v>
      </c>
      <c r="E2473" s="458">
        <f>IFERROR(__xludf.DUMMYFUNCTION("""COMPUTED_VALUE"""),0.0)</f>
        <v>0</v>
      </c>
      <c r="F2473" s="273">
        <f>IFERROR(__xludf.DUMMYFUNCTION("""COMPUTED_VALUE"""),4.0)</f>
        <v>4</v>
      </c>
      <c r="G2473" t="str">
        <f>IFERROR(__xludf.DUMMYFUNCTION("""COMPUTED_VALUE"""),"Sabun batang 1 Box ( 2 PCS )")</f>
        <v>Sabun batang 1 Box ( 2 PCS )</v>
      </c>
      <c r="H2473" s="469"/>
      <c r="I2473" s="470"/>
      <c r="K2473" s="470"/>
      <c r="M2473" s="470"/>
      <c r="O2473" s="470"/>
    </row>
    <row r="2474">
      <c r="A2474" s="282" t="str">
        <f>IFERROR(__xludf.DUMMYFUNCTION("""COMPUTED_VALUE"""),"MICRO")</f>
        <v>MICRO</v>
      </c>
      <c r="B2474" s="468" t="str">
        <f>IFERROR(__xludf.DUMMYFUNCTION("""COMPUTED_VALUE"""),"lesaam8")</f>
        <v>lesaam8</v>
      </c>
      <c r="C2474" s="283" t="str">
        <f>IFERROR(__xludf.DUMMYFUNCTION("""COMPUTED_VALUE"""),"https://www.tiktok.com/@lesaam8")</f>
        <v>https://www.tiktok.com/@lesaam8</v>
      </c>
      <c r="D2474" s="273">
        <f>IFERROR(__xludf.DUMMYFUNCTION("""COMPUTED_VALUE"""),8.3801520807E10)</f>
        <v>83801520807</v>
      </c>
      <c r="E2474" s="458">
        <f>IFERROR(__xludf.DUMMYFUNCTION("""COMPUTED_VALUE"""),0.0)</f>
        <v>0</v>
      </c>
      <c r="F2474" s="273">
        <f>IFERROR(__xludf.DUMMYFUNCTION("""COMPUTED_VALUE"""),4.0)</f>
        <v>4</v>
      </c>
      <c r="G2474" t="str">
        <f>IFERROR(__xludf.DUMMYFUNCTION("""COMPUTED_VALUE"""),"Sabun batang 1 Box ( 2 PCS )")</f>
        <v>Sabun batang 1 Box ( 2 PCS )</v>
      </c>
      <c r="H2474" s="469"/>
      <c r="I2474" s="470"/>
      <c r="K2474" s="470"/>
      <c r="M2474" s="470"/>
      <c r="O2474" s="470"/>
    </row>
    <row r="2475">
      <c r="A2475" s="282" t="str">
        <f>IFERROR(__xludf.DUMMYFUNCTION("""COMPUTED_VALUE"""),"MICRO")</f>
        <v>MICRO</v>
      </c>
      <c r="B2475" s="468" t="str">
        <f>IFERROR(__xludf.DUMMYFUNCTION("""COMPUTED_VALUE"""),"by.afika_nanaa")</f>
        <v>by.afika_nanaa</v>
      </c>
      <c r="C2475" s="283" t="str">
        <f>IFERROR(__xludf.DUMMYFUNCTION("""COMPUTED_VALUE"""),"https://www.tiktok.com/@by.afika_nanaa")</f>
        <v>https://www.tiktok.com/@by.afika_nanaa</v>
      </c>
      <c r="D2475" s="273">
        <f>IFERROR(__xludf.DUMMYFUNCTION("""COMPUTED_VALUE"""),8.5646748828E10)</f>
        <v>85646748828</v>
      </c>
      <c r="E2475" s="458">
        <f>IFERROR(__xludf.DUMMYFUNCTION("""COMPUTED_VALUE"""),0.0)</f>
        <v>0</v>
      </c>
      <c r="F2475" s="273">
        <f>IFERROR(__xludf.DUMMYFUNCTION("""COMPUTED_VALUE"""),4.0)</f>
        <v>4</v>
      </c>
      <c r="G2475" t="str">
        <f>IFERROR(__xludf.DUMMYFUNCTION("""COMPUTED_VALUE"""),"Sabun batang 1 Box ( 2 PCS )")</f>
        <v>Sabun batang 1 Box ( 2 PCS )</v>
      </c>
      <c r="H2475" s="469"/>
      <c r="I2475" s="470"/>
      <c r="K2475" s="470"/>
      <c r="M2475" s="470"/>
      <c r="O2475" s="470"/>
    </row>
    <row r="2476">
      <c r="A2476" s="282" t="str">
        <f>IFERROR(__xludf.DUMMYFUNCTION("""COMPUTED_VALUE"""),"MICRO")</f>
        <v>MICRO</v>
      </c>
      <c r="B2476" s="468" t="str">
        <f>IFERROR(__xludf.DUMMYFUNCTION("""COMPUTED_VALUE"""),"viviuus")</f>
        <v>viviuus</v>
      </c>
      <c r="C2476" s="283" t="str">
        <f>IFERROR(__xludf.DUMMYFUNCTION("""COMPUTED_VALUE"""),"https://www.tiktok.com/@viviuus")</f>
        <v>https://www.tiktok.com/@viviuus</v>
      </c>
      <c r="D2476" s="273">
        <f>IFERROR(__xludf.DUMMYFUNCTION("""COMPUTED_VALUE"""),8.566976815E10)</f>
        <v>85669768150</v>
      </c>
      <c r="E2476" s="458">
        <f>IFERROR(__xludf.DUMMYFUNCTION("""COMPUTED_VALUE"""),0.0)</f>
        <v>0</v>
      </c>
      <c r="F2476" s="273">
        <f>IFERROR(__xludf.DUMMYFUNCTION("""COMPUTED_VALUE"""),4.0)</f>
        <v>4</v>
      </c>
      <c r="G2476" t="str">
        <f>IFERROR(__xludf.DUMMYFUNCTION("""COMPUTED_VALUE"""),"Sabun batang 1 Box ( 2 PCS )")</f>
        <v>Sabun batang 1 Box ( 2 PCS )</v>
      </c>
      <c r="H2476" s="469"/>
      <c r="I2476" s="470"/>
      <c r="K2476" s="470"/>
      <c r="M2476" s="470"/>
      <c r="O2476" s="470"/>
    </row>
    <row r="2477">
      <c r="A2477" s="282" t="str">
        <f>IFERROR(__xludf.DUMMYFUNCTION("""COMPUTED_VALUE"""),"MICRO")</f>
        <v>MICRO</v>
      </c>
      <c r="B2477" s="468" t="str">
        <f>IFERROR(__xludf.DUMMYFUNCTION("""COMPUTED_VALUE"""),"racunqualma7")</f>
        <v>racunqualma7</v>
      </c>
      <c r="C2477" s="283" t="str">
        <f>IFERROR(__xludf.DUMMYFUNCTION("""COMPUTED_VALUE"""),"https://www.tiktok.com/@racunqualma7")</f>
        <v>https://www.tiktok.com/@racunqualma7</v>
      </c>
      <c r="D2477" s="273">
        <f>IFERROR(__xludf.DUMMYFUNCTION("""COMPUTED_VALUE"""),8.5368960097E10)</f>
        <v>85368960097</v>
      </c>
      <c r="E2477" s="458">
        <f>IFERROR(__xludf.DUMMYFUNCTION("""COMPUTED_VALUE"""),0.0)</f>
        <v>0</v>
      </c>
      <c r="F2477" s="273">
        <f>IFERROR(__xludf.DUMMYFUNCTION("""COMPUTED_VALUE"""),4.0)</f>
        <v>4</v>
      </c>
      <c r="G2477" t="str">
        <f>IFERROR(__xludf.DUMMYFUNCTION("""COMPUTED_VALUE"""),"Sabun batang 1 Box ( 2 PCS )")</f>
        <v>Sabun batang 1 Box ( 2 PCS )</v>
      </c>
      <c r="H2477" s="469"/>
      <c r="I2477" s="470"/>
      <c r="K2477" s="470"/>
      <c r="M2477" s="470"/>
      <c r="O2477" s="470"/>
    </row>
    <row r="2478">
      <c r="A2478" s="282" t="str">
        <f>IFERROR(__xludf.DUMMYFUNCTION("""COMPUTED_VALUE"""),"MICRO")</f>
        <v>MICRO</v>
      </c>
      <c r="B2478" s="468" t="str">
        <f>IFERROR(__xludf.DUMMYFUNCTION("""COMPUTED_VALUE"""),"viya.shop")</f>
        <v>viya.shop</v>
      </c>
      <c r="C2478" s="283" t="str">
        <f>IFERROR(__xludf.DUMMYFUNCTION("""COMPUTED_VALUE"""),"https://www.tiktok.com/@viya.shop")</f>
        <v>https://www.tiktok.com/@viya.shop</v>
      </c>
      <c r="D2478" s="273">
        <f>IFERROR(__xludf.DUMMYFUNCTION("""COMPUTED_VALUE"""),8.2114789102E10)</f>
        <v>82114789102</v>
      </c>
      <c r="E2478" s="458">
        <f>IFERROR(__xludf.DUMMYFUNCTION("""COMPUTED_VALUE"""),0.0)</f>
        <v>0</v>
      </c>
      <c r="F2478" s="273">
        <f>IFERROR(__xludf.DUMMYFUNCTION("""COMPUTED_VALUE"""),4.0)</f>
        <v>4</v>
      </c>
      <c r="G2478" t="str">
        <f>IFERROR(__xludf.DUMMYFUNCTION("""COMPUTED_VALUE"""),"Sabun batang 1 Box ( 2 PCS )")</f>
        <v>Sabun batang 1 Box ( 2 PCS )</v>
      </c>
      <c r="H2478" s="469"/>
      <c r="I2478" s="470"/>
      <c r="K2478" s="470"/>
      <c r="M2478" s="470"/>
      <c r="O2478" s="470"/>
    </row>
    <row r="2479">
      <c r="A2479" s="282" t="str">
        <f>IFERROR(__xludf.DUMMYFUNCTION("""COMPUTED_VALUE"""),"MICRO")</f>
        <v>MICRO</v>
      </c>
      <c r="B2479" s="468" t="str">
        <f>IFERROR(__xludf.DUMMYFUNCTION("""COMPUTED_VALUE"""),"arina.asadiyah")</f>
        <v>arina.asadiyah</v>
      </c>
      <c r="C2479" s="283" t="str">
        <f>IFERROR(__xludf.DUMMYFUNCTION("""COMPUTED_VALUE"""),"https://www.tiktok.com/@arina.asadiyah")</f>
        <v>https://www.tiktok.com/@arina.asadiyah</v>
      </c>
      <c r="D2479" s="273">
        <f>IFERROR(__xludf.DUMMYFUNCTION("""COMPUTED_VALUE"""),8.5727151877E10)</f>
        <v>85727151877</v>
      </c>
      <c r="E2479" s="458">
        <f>IFERROR(__xludf.DUMMYFUNCTION("""COMPUTED_VALUE"""),0.0)</f>
        <v>0</v>
      </c>
      <c r="F2479" s="273">
        <f>IFERROR(__xludf.DUMMYFUNCTION("""COMPUTED_VALUE"""),4.0)</f>
        <v>4</v>
      </c>
      <c r="G2479" t="str">
        <f>IFERROR(__xludf.DUMMYFUNCTION("""COMPUTED_VALUE"""),"Sabun batang 1 Box ( 2 PCS )")</f>
        <v>Sabun batang 1 Box ( 2 PCS )</v>
      </c>
      <c r="H2479" s="469"/>
      <c r="I2479" s="470"/>
      <c r="K2479" s="470"/>
      <c r="M2479" s="470"/>
      <c r="O2479" s="470"/>
    </row>
    <row r="2480">
      <c r="A2480" s="282" t="str">
        <f>IFERROR(__xludf.DUMMYFUNCTION("""COMPUTED_VALUE"""),"MICRO")</f>
        <v>MICRO</v>
      </c>
      <c r="B2480" s="468" t="str">
        <f>IFERROR(__xludf.DUMMYFUNCTION("""COMPUTED_VALUE"""),"alleashanum_almahyraaa")</f>
        <v>alleashanum_almahyraaa</v>
      </c>
      <c r="C2480" s="283" t="str">
        <f>IFERROR(__xludf.DUMMYFUNCTION("""COMPUTED_VALUE"""),"https://www.tiktok.com/@alleashanum_almahyraaa")</f>
        <v>https://www.tiktok.com/@alleashanum_almahyraaa</v>
      </c>
      <c r="D2480" s="273">
        <f>IFERROR(__xludf.DUMMYFUNCTION("""COMPUTED_VALUE"""),8.5711541275E10)</f>
        <v>85711541275</v>
      </c>
      <c r="E2480" s="458">
        <f>IFERROR(__xludf.DUMMYFUNCTION("""COMPUTED_VALUE"""),0.0)</f>
        <v>0</v>
      </c>
      <c r="F2480" s="273">
        <f>IFERROR(__xludf.DUMMYFUNCTION("""COMPUTED_VALUE"""),4.0)</f>
        <v>4</v>
      </c>
      <c r="G2480" t="str">
        <f>IFERROR(__xludf.DUMMYFUNCTION("""COMPUTED_VALUE"""),"Sabun batang 1 Box ( 2 PCS )")</f>
        <v>Sabun batang 1 Box ( 2 PCS )</v>
      </c>
      <c r="H2480" s="469"/>
      <c r="I2480" s="470"/>
      <c r="K2480" s="470"/>
      <c r="M2480" s="470"/>
      <c r="O2480" s="470"/>
    </row>
    <row r="2481">
      <c r="A2481" s="282" t="str">
        <f>IFERROR(__xludf.DUMMYFUNCTION("""COMPUTED_VALUE"""),"MICRO")</f>
        <v>MICRO</v>
      </c>
      <c r="B2481" s="468" t="str">
        <f>IFERROR(__xludf.DUMMYFUNCTION("""COMPUTED_VALUE"""),"joe_raffa")</f>
        <v>joe_raffa</v>
      </c>
      <c r="C2481" s="283" t="str">
        <f>IFERROR(__xludf.DUMMYFUNCTION("""COMPUTED_VALUE"""),"https://www.tiktok.com/@joe_raffa")</f>
        <v>https://www.tiktok.com/@joe_raffa</v>
      </c>
      <c r="D2481" s="273">
        <f>IFERROR(__xludf.DUMMYFUNCTION("""COMPUTED_VALUE"""),8.2187295515E10)</f>
        <v>82187295515</v>
      </c>
      <c r="E2481" s="458">
        <f>IFERROR(__xludf.DUMMYFUNCTION("""COMPUTED_VALUE"""),0.0)</f>
        <v>0</v>
      </c>
      <c r="F2481" s="273">
        <f>IFERROR(__xludf.DUMMYFUNCTION("""COMPUTED_VALUE"""),4.0)</f>
        <v>4</v>
      </c>
      <c r="G2481" t="str">
        <f>IFERROR(__xludf.DUMMYFUNCTION("""COMPUTED_VALUE"""),"Sabun batang 1 Box ( 2 PCS )")</f>
        <v>Sabun batang 1 Box ( 2 PCS )</v>
      </c>
      <c r="H2481" s="469"/>
      <c r="I2481" s="470"/>
      <c r="K2481" s="470"/>
      <c r="M2481" s="470"/>
      <c r="O2481" s="470"/>
    </row>
    <row r="2482">
      <c r="A2482" s="282" t="str">
        <f>IFERROR(__xludf.DUMMYFUNCTION("""COMPUTED_VALUE"""),"MICRO")</f>
        <v>MICRO</v>
      </c>
      <c r="B2482" s="468" t="str">
        <f>IFERROR(__xludf.DUMMYFUNCTION("""COMPUTED_VALUE"""),"leo_needs")</f>
        <v>leo_needs</v>
      </c>
      <c r="C2482" s="283" t="str">
        <f>IFERROR(__xludf.DUMMYFUNCTION("""COMPUTED_VALUE"""),"https://www.tiktok.com/@leo_needs")</f>
        <v>https://www.tiktok.com/@leo_needs</v>
      </c>
      <c r="D2482" s="273">
        <f>IFERROR(__xludf.DUMMYFUNCTION("""COMPUTED_VALUE"""),8.2314927008E10)</f>
        <v>82314927008</v>
      </c>
      <c r="E2482" s="458">
        <f>IFERROR(__xludf.DUMMYFUNCTION("""COMPUTED_VALUE"""),0.0)</f>
        <v>0</v>
      </c>
      <c r="F2482" s="273">
        <f>IFERROR(__xludf.DUMMYFUNCTION("""COMPUTED_VALUE"""),4.0)</f>
        <v>4</v>
      </c>
      <c r="G2482" t="str">
        <f>IFERROR(__xludf.DUMMYFUNCTION("""COMPUTED_VALUE"""),"Sabun batang 1 Box ( 2 PCS )")</f>
        <v>Sabun batang 1 Box ( 2 PCS )</v>
      </c>
      <c r="H2482" s="469"/>
      <c r="I2482" s="470"/>
      <c r="K2482" s="470"/>
      <c r="M2482" s="470"/>
      <c r="O2482" s="470"/>
    </row>
    <row r="2483">
      <c r="A2483" s="282" t="str">
        <f>IFERROR(__xludf.DUMMYFUNCTION("""COMPUTED_VALUE"""),"MICRO")</f>
        <v>MICRO</v>
      </c>
      <c r="B2483" s="468" t="str">
        <f>IFERROR(__xludf.DUMMYFUNCTION("""COMPUTED_VALUE"""),"callmeca__")</f>
        <v>callmeca__</v>
      </c>
      <c r="C2483" s="283" t="str">
        <f>IFERROR(__xludf.DUMMYFUNCTION("""COMPUTED_VALUE"""),"https://www.tiktok.com/@callmeca__")</f>
        <v>https://www.tiktok.com/@callmeca__</v>
      </c>
      <c r="D2483" s="273">
        <f>IFERROR(__xludf.DUMMYFUNCTION("""COMPUTED_VALUE"""),8.3875350111E10)</f>
        <v>83875350111</v>
      </c>
      <c r="E2483" s="458">
        <f>IFERROR(__xludf.DUMMYFUNCTION("""COMPUTED_VALUE"""),0.0)</f>
        <v>0</v>
      </c>
      <c r="F2483" s="273">
        <f>IFERROR(__xludf.DUMMYFUNCTION("""COMPUTED_VALUE"""),4.0)</f>
        <v>4</v>
      </c>
      <c r="G2483" t="str">
        <f>IFERROR(__xludf.DUMMYFUNCTION("""COMPUTED_VALUE"""),"Sabun batang 1 Box ( 2 PCS )")</f>
        <v>Sabun batang 1 Box ( 2 PCS )</v>
      </c>
      <c r="H2483" s="469"/>
      <c r="I2483" s="470"/>
      <c r="K2483" s="470"/>
      <c r="M2483" s="470"/>
      <c r="O2483" s="470"/>
    </row>
    <row r="2484">
      <c r="A2484" s="282" t="str">
        <f>IFERROR(__xludf.DUMMYFUNCTION("""COMPUTED_VALUE"""),"MICRO")</f>
        <v>MICRO</v>
      </c>
      <c r="B2484" s="468" t="str">
        <f>IFERROR(__xludf.DUMMYFUNCTION("""COMPUTED_VALUE"""),"pahhh966")</f>
        <v>pahhh966</v>
      </c>
      <c r="C2484" s="283" t="str">
        <f>IFERROR(__xludf.DUMMYFUNCTION("""COMPUTED_VALUE"""),"https://www.tiktok.com/@pahhh966")</f>
        <v>https://www.tiktok.com/@pahhh966</v>
      </c>
      <c r="D2484" s="273">
        <f>IFERROR(__xludf.DUMMYFUNCTION("""COMPUTED_VALUE"""),8.1511947282E10)</f>
        <v>81511947282</v>
      </c>
      <c r="E2484" s="458">
        <f>IFERROR(__xludf.DUMMYFUNCTION("""COMPUTED_VALUE"""),0.0)</f>
        <v>0</v>
      </c>
      <c r="F2484" s="273">
        <f>IFERROR(__xludf.DUMMYFUNCTION("""COMPUTED_VALUE"""),4.0)</f>
        <v>4</v>
      </c>
      <c r="G2484" t="str">
        <f>IFERROR(__xludf.DUMMYFUNCTION("""COMPUTED_VALUE"""),"Sabun batang 1 Box ( 2 PCS )")</f>
        <v>Sabun batang 1 Box ( 2 PCS )</v>
      </c>
      <c r="H2484" s="469"/>
      <c r="I2484" s="470"/>
      <c r="K2484" s="470"/>
      <c r="M2484" s="470"/>
      <c r="O2484" s="470"/>
    </row>
    <row r="2485">
      <c r="A2485" s="282" t="str">
        <f>IFERROR(__xludf.DUMMYFUNCTION("""COMPUTED_VALUE"""),"MICRO")</f>
        <v>MICRO</v>
      </c>
      <c r="B2485" s="468" t="str">
        <f>IFERROR(__xludf.DUMMYFUNCTION("""COMPUTED_VALUE"""),"eniiispilldisini_")</f>
        <v>eniiispilldisini_</v>
      </c>
      <c r="C2485" s="283" t="str">
        <f>IFERROR(__xludf.DUMMYFUNCTION("""COMPUTED_VALUE"""),"https://www.tiktok.com/@eniiispilldisini_")</f>
        <v>https://www.tiktok.com/@eniiispilldisini_</v>
      </c>
      <c r="D2485" s="273">
        <f>IFERROR(__xludf.DUMMYFUNCTION("""COMPUTED_VALUE"""),8.2316602272E10)</f>
        <v>82316602272</v>
      </c>
      <c r="E2485" s="458">
        <f>IFERROR(__xludf.DUMMYFUNCTION("""COMPUTED_VALUE"""),0.0)</f>
        <v>0</v>
      </c>
      <c r="F2485" s="273">
        <f>IFERROR(__xludf.DUMMYFUNCTION("""COMPUTED_VALUE"""),4.0)</f>
        <v>4</v>
      </c>
      <c r="G2485" t="str">
        <f>IFERROR(__xludf.DUMMYFUNCTION("""COMPUTED_VALUE"""),"Sabun batang 1 Box ( 2 PCS )")</f>
        <v>Sabun batang 1 Box ( 2 PCS )</v>
      </c>
      <c r="H2485" s="469"/>
      <c r="I2485" s="470"/>
      <c r="K2485" s="470"/>
      <c r="M2485" s="470"/>
      <c r="O2485" s="470"/>
    </row>
    <row r="2486">
      <c r="A2486" s="282" t="str">
        <f>IFERROR(__xludf.DUMMYFUNCTION("""COMPUTED_VALUE"""),"MICRO")</f>
        <v>MICRO</v>
      </c>
      <c r="B2486" s="468" t="str">
        <f>IFERROR(__xludf.DUMMYFUNCTION("""COMPUTED_VALUE"""),"tiraamissuuu0")</f>
        <v>tiraamissuuu0</v>
      </c>
      <c r="C2486" s="283" t="str">
        <f>IFERROR(__xludf.DUMMYFUNCTION("""COMPUTED_VALUE"""),"https://www.tiktok.com/@tiraamissuuu0")</f>
        <v>https://www.tiktok.com/@tiraamissuuu0</v>
      </c>
      <c r="D2486" s="273">
        <f>IFERROR(__xludf.DUMMYFUNCTION("""COMPUTED_VALUE"""),8.5260623034E10)</f>
        <v>85260623034</v>
      </c>
      <c r="E2486" s="458">
        <f>IFERROR(__xludf.DUMMYFUNCTION("""COMPUTED_VALUE"""),0.0)</f>
        <v>0</v>
      </c>
      <c r="F2486" s="273">
        <f>IFERROR(__xludf.DUMMYFUNCTION("""COMPUTED_VALUE"""),4.0)</f>
        <v>4</v>
      </c>
      <c r="G2486" t="str">
        <f>IFERROR(__xludf.DUMMYFUNCTION("""COMPUTED_VALUE"""),"Sabun batang 1 Box ( 2 PCS )")</f>
        <v>Sabun batang 1 Box ( 2 PCS )</v>
      </c>
      <c r="H2486" s="469"/>
      <c r="I2486" s="470"/>
      <c r="K2486" s="470"/>
      <c r="M2486" s="470"/>
      <c r="O2486" s="470"/>
    </row>
    <row r="2487">
      <c r="A2487" s="282" t="str">
        <f>IFERROR(__xludf.DUMMYFUNCTION("""COMPUTED_VALUE"""),"MICRO")</f>
        <v>MICRO</v>
      </c>
      <c r="B2487" s="468" t="str">
        <f>IFERROR(__xludf.DUMMYFUNCTION("""COMPUTED_VALUE"""),"spill.byeny")</f>
        <v>spill.byeny</v>
      </c>
      <c r="C2487" s="283" t="str">
        <f>IFERROR(__xludf.DUMMYFUNCTION("""COMPUTED_VALUE"""),"https://www.tiktok.com/@spill.byeny")</f>
        <v>https://www.tiktok.com/@spill.byeny</v>
      </c>
      <c r="D2487" s="273">
        <f>IFERROR(__xludf.DUMMYFUNCTION("""COMPUTED_VALUE"""),8.5330595157E10)</f>
        <v>85330595157</v>
      </c>
      <c r="E2487" s="458">
        <f>IFERROR(__xludf.DUMMYFUNCTION("""COMPUTED_VALUE"""),0.0)</f>
        <v>0</v>
      </c>
      <c r="F2487" s="273">
        <f>IFERROR(__xludf.DUMMYFUNCTION("""COMPUTED_VALUE"""),4.0)</f>
        <v>4</v>
      </c>
      <c r="G2487" t="str">
        <f>IFERROR(__xludf.DUMMYFUNCTION("""COMPUTED_VALUE"""),"Sabun batang 1 Box ( 2 PCS )")</f>
        <v>Sabun batang 1 Box ( 2 PCS )</v>
      </c>
      <c r="H2487" s="469"/>
      <c r="I2487" s="470"/>
      <c r="K2487" s="470"/>
      <c r="M2487" s="470"/>
      <c r="O2487" s="470"/>
    </row>
    <row r="2488">
      <c r="A2488" s="282" t="str">
        <f>IFERROR(__xludf.DUMMYFUNCTION("""COMPUTED_VALUE"""),"MICRO")</f>
        <v>MICRO</v>
      </c>
      <c r="B2488" s="468" t="str">
        <f>IFERROR(__xludf.DUMMYFUNCTION("""COMPUTED_VALUE"""),"revasrifebriyanti.7")</f>
        <v>revasrifebriyanti.7</v>
      </c>
      <c r="C2488" s="283" t="str">
        <f>IFERROR(__xludf.DUMMYFUNCTION("""COMPUTED_VALUE"""),"https://www.tiktok.com/@revasrifebriyanti.7")</f>
        <v>https://www.tiktok.com/@revasrifebriyanti.7</v>
      </c>
      <c r="D2488" s="273">
        <f>IFERROR(__xludf.DUMMYFUNCTION("""COMPUTED_VALUE"""),8.3875796968E10)</f>
        <v>83875796968</v>
      </c>
      <c r="E2488" s="458">
        <f>IFERROR(__xludf.DUMMYFUNCTION("""COMPUTED_VALUE"""),0.0)</f>
        <v>0</v>
      </c>
      <c r="F2488" s="273">
        <f>IFERROR(__xludf.DUMMYFUNCTION("""COMPUTED_VALUE"""),4.0)</f>
        <v>4</v>
      </c>
      <c r="G2488" t="str">
        <f>IFERROR(__xludf.DUMMYFUNCTION("""COMPUTED_VALUE"""),"Sabun batang 1 Box ( 2 PCS )")</f>
        <v>Sabun batang 1 Box ( 2 PCS )</v>
      </c>
      <c r="H2488" s="469"/>
      <c r="I2488" s="470"/>
      <c r="K2488" s="470"/>
      <c r="M2488" s="470"/>
      <c r="O2488" s="470"/>
    </row>
    <row r="2489">
      <c r="A2489" s="282" t="str">
        <f>IFERROR(__xludf.DUMMYFUNCTION("""COMPUTED_VALUE"""),"MICRO")</f>
        <v>MICRO</v>
      </c>
      <c r="B2489" s="468" t="str">
        <f>IFERROR(__xludf.DUMMYFUNCTION("""COMPUTED_VALUE"""),"noovviiita")</f>
        <v>noovviiita</v>
      </c>
      <c r="C2489" s="283" t="str">
        <f>IFERROR(__xludf.DUMMYFUNCTION("""COMPUTED_VALUE"""),"https://www.tiktok.com/@noovviiita")</f>
        <v>https://www.tiktok.com/@noovviiita</v>
      </c>
      <c r="D2489" s="273">
        <f>IFERROR(__xludf.DUMMYFUNCTION("""COMPUTED_VALUE"""),8.2363888829E10)</f>
        <v>82363888829</v>
      </c>
      <c r="E2489" s="458">
        <f>IFERROR(__xludf.DUMMYFUNCTION("""COMPUTED_VALUE"""),0.0)</f>
        <v>0</v>
      </c>
      <c r="F2489" s="273">
        <f>IFERROR(__xludf.DUMMYFUNCTION("""COMPUTED_VALUE"""),4.0)</f>
        <v>4</v>
      </c>
      <c r="G2489" t="str">
        <f>IFERROR(__xludf.DUMMYFUNCTION("""COMPUTED_VALUE"""),"Sabun batang 1 Box ( 2 PCS )")</f>
        <v>Sabun batang 1 Box ( 2 PCS )</v>
      </c>
      <c r="H2489" s="469"/>
      <c r="I2489" s="470"/>
      <c r="K2489" s="470"/>
      <c r="M2489" s="470"/>
      <c r="O2489" s="470"/>
    </row>
    <row r="2490">
      <c r="A2490" s="282" t="str">
        <f>IFERROR(__xludf.DUMMYFUNCTION("""COMPUTED_VALUE"""),"MICRO")</f>
        <v>MICRO</v>
      </c>
      <c r="B2490" s="468" t="str">
        <f>IFERROR(__xludf.DUMMYFUNCTION("""COMPUTED_VALUE"""),"ceutika2")</f>
        <v>ceutika2</v>
      </c>
      <c r="C2490" s="283" t="str">
        <f>IFERROR(__xludf.DUMMYFUNCTION("""COMPUTED_VALUE"""),"https://www.tiktok.com/@ceutika2")</f>
        <v>https://www.tiktok.com/@ceutika2</v>
      </c>
      <c r="D2490" s="273">
        <f>IFERROR(__xludf.DUMMYFUNCTION("""COMPUTED_VALUE"""),8.5945468686E10)</f>
        <v>85945468686</v>
      </c>
      <c r="E2490" s="458">
        <f>IFERROR(__xludf.DUMMYFUNCTION("""COMPUTED_VALUE"""),50000.0)</f>
        <v>50000</v>
      </c>
      <c r="F2490" s="273">
        <f>IFERROR(__xludf.DUMMYFUNCTION("""COMPUTED_VALUE"""),4.0)</f>
        <v>4</v>
      </c>
      <c r="G2490" t="str">
        <f>IFERROR(__xludf.DUMMYFUNCTION("""COMPUTED_VALUE"""),"Sabun batang 1 Box ( 2 PCS )")</f>
        <v>Sabun batang 1 Box ( 2 PCS )</v>
      </c>
      <c r="H2490" s="469"/>
      <c r="I2490" s="470"/>
      <c r="K2490" s="470"/>
      <c r="M2490" s="470"/>
      <c r="O2490" s="470"/>
    </row>
    <row r="2491">
      <c r="A2491" s="282" t="str">
        <f>IFERROR(__xludf.DUMMYFUNCTION("""COMPUTED_VALUE"""),"MICRO")</f>
        <v>MICRO</v>
      </c>
      <c r="B2491" s="468" t="str">
        <f>IFERROR(__xludf.DUMMYFUNCTION("""COMPUTED_VALUE"""),"spal.spiltika82")</f>
        <v>spal.spiltika82</v>
      </c>
      <c r="C2491" s="283" t="str">
        <f>IFERROR(__xludf.DUMMYFUNCTION("""COMPUTED_VALUE"""),"https://www.tiktok.com/@spal.spiltika82")</f>
        <v>https://www.tiktok.com/@spal.spiltika82</v>
      </c>
      <c r="D2491" s="273">
        <f>IFERROR(__xludf.DUMMYFUNCTION("""COMPUTED_VALUE"""),8.5945468686E10)</f>
        <v>85945468686</v>
      </c>
      <c r="E2491" s="458">
        <f>IFERROR(__xludf.DUMMYFUNCTION("""COMPUTED_VALUE"""),100000.0)</f>
        <v>100000</v>
      </c>
      <c r="F2491" s="273">
        <f>IFERROR(__xludf.DUMMYFUNCTION("""COMPUTED_VALUE"""),4.0)</f>
        <v>4</v>
      </c>
      <c r="G2491" t="str">
        <f>IFERROR(__xludf.DUMMYFUNCTION("""COMPUTED_VALUE"""),"Sabun batang 1 Box ( 2 PCS )")</f>
        <v>Sabun batang 1 Box ( 2 PCS )</v>
      </c>
      <c r="H2491" s="469"/>
      <c r="I2491" s="470"/>
      <c r="K2491" s="470"/>
      <c r="M2491" s="470"/>
      <c r="O2491" s="470"/>
    </row>
    <row r="2492">
      <c r="A2492" s="282" t="str">
        <f>IFERROR(__xludf.DUMMYFUNCTION("""COMPUTED_VALUE"""),"MICRO")</f>
        <v>MICRO</v>
      </c>
      <c r="B2492" s="468" t="str">
        <f>IFERROR(__xludf.DUMMYFUNCTION("""COMPUTED_VALUE"""),"Beauty_wtbee")</f>
        <v>Beauty_wtbee</v>
      </c>
      <c r="C2492" s="283" t="str">
        <f>IFERROR(__xludf.DUMMYFUNCTION("""COMPUTED_VALUE"""),"https://www.tiktok.com/@Beauty_wtbee")</f>
        <v>https://www.tiktok.com/@Beauty_wtbee</v>
      </c>
      <c r="D2492" s="273">
        <f>IFERROR(__xludf.DUMMYFUNCTION("""COMPUTED_VALUE"""),8.2280518419E10)</f>
        <v>82280518419</v>
      </c>
      <c r="E2492" s="458">
        <f>IFERROR(__xludf.DUMMYFUNCTION("""COMPUTED_VALUE"""),0.0)</f>
        <v>0</v>
      </c>
      <c r="F2492" s="273">
        <f>IFERROR(__xludf.DUMMYFUNCTION("""COMPUTED_VALUE"""),4.0)</f>
        <v>4</v>
      </c>
      <c r="G2492" t="str">
        <f>IFERROR(__xludf.DUMMYFUNCTION("""COMPUTED_VALUE"""),"Sabun batang 1 Box ( 2 PCS )")</f>
        <v>Sabun batang 1 Box ( 2 PCS )</v>
      </c>
      <c r="H2492" s="469"/>
      <c r="I2492" s="470"/>
      <c r="K2492" s="470"/>
      <c r="M2492" s="470"/>
      <c r="O2492" s="470"/>
    </row>
    <row r="2493">
      <c r="A2493" s="282" t="str">
        <f>IFERROR(__xludf.DUMMYFUNCTION("""COMPUTED_VALUE"""),"MICRO")</f>
        <v>MICRO</v>
      </c>
      <c r="B2493" s="468" t="str">
        <f>IFERROR(__xludf.DUMMYFUNCTION("""COMPUTED_VALUE"""),"rachundhuniaa")</f>
        <v>rachundhuniaa</v>
      </c>
      <c r="C2493" s="283" t="str">
        <f>IFERROR(__xludf.DUMMYFUNCTION("""COMPUTED_VALUE"""),"https://www.tiktok.com/@rachundhuniaa")</f>
        <v>https://www.tiktok.com/@rachundhuniaa</v>
      </c>
      <c r="D2493" s="273">
        <f>IFERROR(__xludf.DUMMYFUNCTION("""COMPUTED_VALUE"""),8.2280518419E10)</f>
        <v>82280518419</v>
      </c>
      <c r="E2493" s="458">
        <f>IFERROR(__xludf.DUMMYFUNCTION("""COMPUTED_VALUE"""),0.0)</f>
        <v>0</v>
      </c>
      <c r="F2493" s="273">
        <f>IFERROR(__xludf.DUMMYFUNCTION("""COMPUTED_VALUE"""),4.0)</f>
        <v>4</v>
      </c>
      <c r="G2493" t="str">
        <f>IFERROR(__xludf.DUMMYFUNCTION("""COMPUTED_VALUE"""),"Sabun batang 1 Box ( 2 PCS )")</f>
        <v>Sabun batang 1 Box ( 2 PCS )</v>
      </c>
      <c r="H2493" s="469"/>
      <c r="I2493" s="470"/>
      <c r="K2493" s="470"/>
      <c r="M2493" s="470"/>
      <c r="O2493" s="470"/>
    </row>
    <row r="2494">
      <c r="A2494" s="282" t="str">
        <f>IFERROR(__xludf.DUMMYFUNCTION("""COMPUTED_VALUE"""),"MICRO")</f>
        <v>MICRO</v>
      </c>
      <c r="B2494" s="468" t="str">
        <f>IFERROR(__xludf.DUMMYFUNCTION("""COMPUTED_VALUE"""),"kakcidss.new")</f>
        <v>kakcidss.new</v>
      </c>
      <c r="C2494" s="283" t="str">
        <f>IFERROR(__xludf.DUMMYFUNCTION("""COMPUTED_VALUE"""),"https://www.tiktok.com/@kakcidss.new")</f>
        <v>https://www.tiktok.com/@kakcidss.new</v>
      </c>
      <c r="D2494" s="273">
        <f>IFERROR(__xludf.DUMMYFUNCTION("""COMPUTED_VALUE"""),8.5242567303E10)</f>
        <v>85242567303</v>
      </c>
      <c r="E2494" s="458">
        <f>IFERROR(__xludf.DUMMYFUNCTION("""COMPUTED_VALUE"""),0.0)</f>
        <v>0</v>
      </c>
      <c r="F2494" s="273">
        <f>IFERROR(__xludf.DUMMYFUNCTION("""COMPUTED_VALUE"""),1.0)</f>
        <v>1</v>
      </c>
      <c r="G2494" t="str">
        <f>IFERROR(__xludf.DUMMYFUNCTION("""COMPUTED_VALUE"""),"Sabun batang 1 Box ( 2 PCS )")</f>
        <v>Sabun batang 1 Box ( 2 PCS )</v>
      </c>
      <c r="H2494" s="469"/>
      <c r="I2494" s="470"/>
      <c r="K2494" s="470"/>
      <c r="M2494" s="470"/>
      <c r="O2494" s="470"/>
    </row>
    <row r="2495">
      <c r="A2495" s="282" t="str">
        <f>IFERROR(__xludf.DUMMYFUNCTION("""COMPUTED_VALUE"""),"MICRO")</f>
        <v>MICRO</v>
      </c>
      <c r="B2495" s="468" t="str">
        <f>IFERROR(__xludf.DUMMYFUNCTION("""COMPUTED_VALUE"""),"Ttiissaasstt")</f>
        <v>Ttiissaasstt</v>
      </c>
      <c r="C2495" s="283" t="str">
        <f>IFERROR(__xludf.DUMMYFUNCTION("""COMPUTED_VALUE"""),"https://www.tiktok.com/@Ttiissaasstt")</f>
        <v>https://www.tiktok.com/@Ttiissaasstt</v>
      </c>
      <c r="D2495" s="273">
        <f>IFERROR(__xludf.DUMMYFUNCTION("""COMPUTED_VALUE"""),8.1327110396E10)</f>
        <v>81327110396</v>
      </c>
      <c r="E2495" s="458">
        <f>IFERROR(__xludf.DUMMYFUNCTION("""COMPUTED_VALUE"""),0.0)</f>
        <v>0</v>
      </c>
      <c r="F2495" s="273">
        <f>IFERROR(__xludf.DUMMYFUNCTION("""COMPUTED_VALUE"""),4.0)</f>
        <v>4</v>
      </c>
      <c r="G2495" t="str">
        <f>IFERROR(__xludf.DUMMYFUNCTION("""COMPUTED_VALUE"""),"Sabun batang 1 Box ( 2 PCS )")</f>
        <v>Sabun batang 1 Box ( 2 PCS )</v>
      </c>
      <c r="H2495" s="469"/>
      <c r="I2495" s="470"/>
      <c r="K2495" s="470"/>
      <c r="M2495" s="470"/>
      <c r="O2495" s="470"/>
    </row>
    <row r="2496">
      <c r="A2496" s="282" t="str">
        <f>IFERROR(__xludf.DUMMYFUNCTION("""COMPUTED_VALUE"""),"MICRO")</f>
        <v>MICRO</v>
      </c>
      <c r="B2496" s="468" t="str">
        <f>IFERROR(__xludf.DUMMYFUNCTION("""COMPUTED_VALUE"""),"yenifaaaaa")</f>
        <v>yenifaaaaa</v>
      </c>
      <c r="C2496" s="283" t="str">
        <f>IFERROR(__xludf.DUMMYFUNCTION("""COMPUTED_VALUE"""),"https://www.tiktok.com/@yenifaaaaa")</f>
        <v>https://www.tiktok.com/@yenifaaaaa</v>
      </c>
      <c r="D2496" s="273">
        <f>IFERROR(__xludf.DUMMYFUNCTION("""COMPUTED_VALUE"""),8.972990888E9)</f>
        <v>8972990888</v>
      </c>
      <c r="E2496" s="458">
        <f>IFERROR(__xludf.DUMMYFUNCTION("""COMPUTED_VALUE"""),100000.0)</f>
        <v>100000</v>
      </c>
      <c r="F2496" s="273">
        <f>IFERROR(__xludf.DUMMYFUNCTION("""COMPUTED_VALUE"""),4.0)</f>
        <v>4</v>
      </c>
      <c r="G2496" t="str">
        <f>IFERROR(__xludf.DUMMYFUNCTION("""COMPUTED_VALUE"""),"Sabun batang 1 Box ( 2 PCS )")</f>
        <v>Sabun batang 1 Box ( 2 PCS )</v>
      </c>
      <c r="H2496" s="469"/>
      <c r="I2496" s="470"/>
      <c r="K2496" s="470"/>
      <c r="M2496" s="470"/>
      <c r="O2496" s="470"/>
    </row>
    <row r="2497">
      <c r="A2497" s="282" t="str">
        <f>IFERROR(__xludf.DUMMYFUNCTION("""COMPUTED_VALUE"""),"MICRO")</f>
        <v>MICRO</v>
      </c>
      <c r="B2497" s="468" t="str">
        <f>IFERROR(__xludf.DUMMYFUNCTION("""COMPUTED_VALUE"""),"r1zk_ye")</f>
        <v>r1zk_ye</v>
      </c>
      <c r="C2497" s="283" t="str">
        <f>IFERROR(__xludf.DUMMYFUNCTION("""COMPUTED_VALUE"""),"https://www.tiktok.com/@r1zk_ye")</f>
        <v>https://www.tiktok.com/@r1zk_ye</v>
      </c>
      <c r="D2497" s="273">
        <f>IFERROR(__xludf.DUMMYFUNCTION("""COMPUTED_VALUE"""),8.5142620136E10)</f>
        <v>85142620136</v>
      </c>
      <c r="E2497" s="458">
        <f>IFERROR(__xludf.DUMMYFUNCTION("""COMPUTED_VALUE"""),0.0)</f>
        <v>0</v>
      </c>
      <c r="F2497" s="273">
        <f>IFERROR(__xludf.DUMMYFUNCTION("""COMPUTED_VALUE"""),4.0)</f>
        <v>4</v>
      </c>
      <c r="G2497" t="str">
        <f>IFERROR(__xludf.DUMMYFUNCTION("""COMPUTED_VALUE"""),"Sabun batang 1 Box ( 2 PCS )")</f>
        <v>Sabun batang 1 Box ( 2 PCS )</v>
      </c>
      <c r="H2497" s="469"/>
      <c r="I2497" s="470"/>
      <c r="K2497" s="470"/>
      <c r="M2497" s="470"/>
      <c r="O2497" s="470"/>
    </row>
    <row r="2498">
      <c r="A2498" s="282" t="str">
        <f>IFERROR(__xludf.DUMMYFUNCTION("""COMPUTED_VALUE"""),"MICRO")</f>
        <v>MICRO</v>
      </c>
      <c r="B2498" s="468" t="str">
        <f>IFERROR(__xludf.DUMMYFUNCTION("""COMPUTED_VALUE"""),"khalisah_rizkillah")</f>
        <v>khalisah_rizkillah</v>
      </c>
      <c r="C2498" s="283" t="str">
        <f>IFERROR(__xludf.DUMMYFUNCTION("""COMPUTED_VALUE"""),"https://www.tiktok.com/@khalisah_rizkillah")</f>
        <v>https://www.tiktok.com/@khalisah_rizkillah</v>
      </c>
      <c r="D2498" s="273">
        <f>IFERROR(__xludf.DUMMYFUNCTION("""COMPUTED_VALUE"""),8.191628587E10)</f>
        <v>81916285870</v>
      </c>
      <c r="E2498" s="458">
        <f>IFERROR(__xludf.DUMMYFUNCTION("""COMPUTED_VALUE"""),0.0)</f>
        <v>0</v>
      </c>
      <c r="F2498" s="273">
        <f>IFERROR(__xludf.DUMMYFUNCTION("""COMPUTED_VALUE"""),1.0)</f>
        <v>1</v>
      </c>
      <c r="G2498" t="str">
        <f>IFERROR(__xludf.DUMMYFUNCTION("""COMPUTED_VALUE"""),"Sabun batang 1 Box ( 2 PCS )")</f>
        <v>Sabun batang 1 Box ( 2 PCS )</v>
      </c>
      <c r="H2498" s="469"/>
      <c r="I2498" s="470"/>
      <c r="K2498" s="470"/>
      <c r="M2498" s="470"/>
      <c r="O2498" s="470"/>
    </row>
    <row r="2499">
      <c r="A2499" s="282" t="str">
        <f>IFERROR(__xludf.DUMMYFUNCTION("""COMPUTED_VALUE"""),"MICRO")</f>
        <v>MICRO</v>
      </c>
      <c r="B2499" s="468" t="str">
        <f>IFERROR(__xludf.DUMMYFUNCTION("""COMPUTED_VALUE"""),"Thespillroom_")</f>
        <v>Thespillroom_</v>
      </c>
      <c r="C2499" s="283" t="str">
        <f>IFERROR(__xludf.DUMMYFUNCTION("""COMPUTED_VALUE"""),"https://www.tiktok.com/@Thespillroom_")</f>
        <v>https://www.tiktok.com/@Thespillroom_</v>
      </c>
      <c r="D2499" s="273">
        <f>IFERROR(__xludf.DUMMYFUNCTION("""COMPUTED_VALUE"""),8.1381709398E10)</f>
        <v>81381709398</v>
      </c>
      <c r="E2499" s="458">
        <f>IFERROR(__xludf.DUMMYFUNCTION("""COMPUTED_VALUE"""),0.0)</f>
        <v>0</v>
      </c>
      <c r="F2499" s="273">
        <f>IFERROR(__xludf.DUMMYFUNCTION("""COMPUTED_VALUE"""),4.0)</f>
        <v>4</v>
      </c>
      <c r="G2499" t="str">
        <f>IFERROR(__xludf.DUMMYFUNCTION("""COMPUTED_VALUE"""),"Sabun batang 1 Box ( 2 PCS )")</f>
        <v>Sabun batang 1 Box ( 2 PCS )</v>
      </c>
      <c r="H2499" s="469"/>
      <c r="I2499" s="470"/>
      <c r="K2499" s="470"/>
      <c r="M2499" s="470"/>
      <c r="O2499" s="470"/>
    </row>
    <row r="2500">
      <c r="A2500" s="282" t="str">
        <f>IFERROR(__xludf.DUMMYFUNCTION("""COMPUTED_VALUE"""),"MICRO")</f>
        <v>MICRO</v>
      </c>
      <c r="B2500" s="468" t="str">
        <f>IFERROR(__xludf.DUMMYFUNCTION("""COMPUTED_VALUE"""),"patricevianca")</f>
        <v>patricevianca</v>
      </c>
      <c r="C2500" s="283" t="str">
        <f>IFERROR(__xludf.DUMMYFUNCTION("""COMPUTED_VALUE"""),"https://www.tiktok.com/@patricevianca")</f>
        <v>https://www.tiktok.com/@patricevianca</v>
      </c>
      <c r="D2500" s="273">
        <f>IFERROR(__xludf.DUMMYFUNCTION("""COMPUTED_VALUE"""),8.7820013101E10)</f>
        <v>87820013101</v>
      </c>
      <c r="E2500" s="458">
        <f>IFERROR(__xludf.DUMMYFUNCTION("""COMPUTED_VALUE"""),0.0)</f>
        <v>0</v>
      </c>
      <c r="F2500" s="273">
        <f>IFERROR(__xludf.DUMMYFUNCTION("""COMPUTED_VALUE"""),4.0)</f>
        <v>4</v>
      </c>
      <c r="G2500" t="str">
        <f>IFERROR(__xludf.DUMMYFUNCTION("""COMPUTED_VALUE"""),"Sabun batang 1 Box ( 2 PCS )")</f>
        <v>Sabun batang 1 Box ( 2 PCS )</v>
      </c>
      <c r="H2500" s="469"/>
      <c r="I2500" s="470"/>
      <c r="K2500" s="470"/>
      <c r="M2500" s="470"/>
      <c r="O2500" s="470"/>
    </row>
    <row r="2501">
      <c r="A2501" s="282" t="str">
        <f>IFERROR(__xludf.DUMMYFUNCTION("""COMPUTED_VALUE"""),"MICRO")</f>
        <v>MICRO</v>
      </c>
      <c r="B2501" s="468" t="str">
        <f>IFERROR(__xludf.DUMMYFUNCTION("""COMPUTED_VALUE"""),"soviasitanggang_")</f>
        <v>soviasitanggang_</v>
      </c>
      <c r="C2501" s="283" t="str">
        <f>IFERROR(__xludf.DUMMYFUNCTION("""COMPUTED_VALUE"""),"https://www.tiktok.com/@soviasitanggang_")</f>
        <v>https://www.tiktok.com/@soviasitanggang_</v>
      </c>
      <c r="D2501" s="273">
        <f>IFERROR(__xludf.DUMMYFUNCTION("""COMPUTED_VALUE"""),8.1219693317E10)</f>
        <v>81219693317</v>
      </c>
      <c r="E2501" s="458">
        <f>IFERROR(__xludf.DUMMYFUNCTION("""COMPUTED_VALUE"""),0.0)</f>
        <v>0</v>
      </c>
      <c r="F2501" s="273">
        <f>IFERROR(__xludf.DUMMYFUNCTION("""COMPUTED_VALUE"""),4.0)</f>
        <v>4</v>
      </c>
      <c r="G2501" t="str">
        <f>IFERROR(__xludf.DUMMYFUNCTION("""COMPUTED_VALUE"""),"Sabun batang 1 Box ( 2 PCS )")</f>
        <v>Sabun batang 1 Box ( 2 PCS )</v>
      </c>
      <c r="H2501" s="469"/>
      <c r="I2501" s="470"/>
      <c r="K2501" s="470"/>
      <c r="M2501" s="470"/>
      <c r="O2501" s="470"/>
    </row>
    <row r="2502">
      <c r="A2502" s="282" t="str">
        <f>IFERROR(__xludf.DUMMYFUNCTION("""COMPUTED_VALUE"""),"MICRO")</f>
        <v>MICRO</v>
      </c>
      <c r="B2502" s="468" t="str">
        <f>IFERROR(__xludf.DUMMYFUNCTION("""COMPUTED_VALUE"""),"racun.outfit043")</f>
        <v>racun.outfit043</v>
      </c>
      <c r="C2502" s="283" t="str">
        <f>IFERROR(__xludf.DUMMYFUNCTION("""COMPUTED_VALUE"""),"https://www.tiktok.com/@racun.outfit043")</f>
        <v>https://www.tiktok.com/@racun.outfit043</v>
      </c>
      <c r="D2502" s="273">
        <f>IFERROR(__xludf.DUMMYFUNCTION("""COMPUTED_VALUE"""),8.9646308571E10)</f>
        <v>89646308571</v>
      </c>
      <c r="E2502" s="458">
        <f>IFERROR(__xludf.DUMMYFUNCTION("""COMPUTED_VALUE"""),750000.0)</f>
        <v>750000</v>
      </c>
      <c r="F2502" s="273">
        <f>IFERROR(__xludf.DUMMYFUNCTION("""COMPUTED_VALUE"""),4.0)</f>
        <v>4</v>
      </c>
      <c r="G2502" t="str">
        <f>IFERROR(__xludf.DUMMYFUNCTION("""COMPUTED_VALUE"""),"Sabun batang 1 Box ( 2 PCS )")</f>
        <v>Sabun batang 1 Box ( 2 PCS )</v>
      </c>
      <c r="H2502" s="469"/>
      <c r="I2502" s="470"/>
      <c r="J2502" s="471" t="str">
        <f>IFERROR(__xludf.DUMMYFUNCTION("""COMPUTED_VALUE"""),"https://vt.tiktok.com/ZSxWyKfqu/")</f>
        <v>https://vt.tiktok.com/ZSxWyKfqu/</v>
      </c>
      <c r="K2502" s="470"/>
      <c r="L2502" s="471" t="str">
        <f>IFERROR(__xludf.DUMMYFUNCTION("""COMPUTED_VALUE"""),"https://vt.tiktok.com/ZSxWyoxfp/")</f>
        <v>https://vt.tiktok.com/ZSxWyoxfp/</v>
      </c>
      <c r="M2502" s="470"/>
      <c r="N2502" s="471" t="str">
        <f>IFERROR(__xludf.DUMMYFUNCTION("""COMPUTED_VALUE"""),"https://vt.tiktok.com/ZSxWych3p/")</f>
        <v>https://vt.tiktok.com/ZSxWych3p/</v>
      </c>
      <c r="O2502" s="470"/>
      <c r="P2502" s="471" t="str">
        <f>IFERROR(__xludf.DUMMYFUNCTION("""COMPUTED_VALUE"""),"https://vt.tiktok.com/ZSxWy4pxF/")</f>
        <v>https://vt.tiktok.com/ZSxWy4pxF/</v>
      </c>
    </row>
    <row r="2503">
      <c r="A2503" s="282" t="str">
        <f>IFERROR(__xludf.DUMMYFUNCTION("""COMPUTED_VALUE"""),"MICRO")</f>
        <v>MICRO</v>
      </c>
      <c r="B2503" s="468" t="str">
        <f>IFERROR(__xludf.DUMMYFUNCTION("""COMPUTED_VALUE"""),"diahayunks")</f>
        <v>diahayunks</v>
      </c>
      <c r="C2503" s="283" t="str">
        <f>IFERROR(__xludf.DUMMYFUNCTION("""COMPUTED_VALUE"""),"https://www.tiktok.com/@diahayunks")</f>
        <v>https://www.tiktok.com/@diahayunks</v>
      </c>
      <c r="D2503" s="273">
        <f>IFERROR(__xludf.DUMMYFUNCTION("""COMPUTED_VALUE"""),8.5791770534E10)</f>
        <v>85791770534</v>
      </c>
      <c r="E2503" s="458">
        <f>IFERROR(__xludf.DUMMYFUNCTION("""COMPUTED_VALUE"""),0.0)</f>
        <v>0</v>
      </c>
      <c r="F2503" s="273">
        <f>IFERROR(__xludf.DUMMYFUNCTION("""COMPUTED_VALUE"""),2.0)</f>
        <v>2</v>
      </c>
      <c r="G2503" t="str">
        <f>IFERROR(__xludf.DUMMYFUNCTION("""COMPUTED_VALUE"""),"Sabun batang 1 Box ( 2 PCS )")</f>
        <v>Sabun batang 1 Box ( 2 PCS )</v>
      </c>
      <c r="H2503" s="469"/>
      <c r="I2503" s="470"/>
      <c r="K2503" s="470"/>
      <c r="M2503" s="470"/>
      <c r="O2503" s="470"/>
    </row>
    <row r="2504">
      <c r="A2504" s="282" t="str">
        <f>IFERROR(__xludf.DUMMYFUNCTION("""COMPUTED_VALUE"""),"MICRO")</f>
        <v>MICRO</v>
      </c>
      <c r="B2504" s="468" t="str">
        <f>IFERROR(__xludf.DUMMYFUNCTION("""COMPUTED_VALUE"""),"dwk0612")</f>
        <v>dwk0612</v>
      </c>
      <c r="C2504" s="283" t="str">
        <f>IFERROR(__xludf.DUMMYFUNCTION("""COMPUTED_VALUE"""),"https://www.tiktok.com/@dwk0612")</f>
        <v>https://www.tiktok.com/@dwk0612</v>
      </c>
      <c r="D2504" s="273">
        <f>IFERROR(__xludf.DUMMYFUNCTION("""COMPUTED_VALUE"""),8.789244642E10)</f>
        <v>87892446420</v>
      </c>
      <c r="E2504" s="458">
        <f>IFERROR(__xludf.DUMMYFUNCTION("""COMPUTED_VALUE"""),0.0)</f>
        <v>0</v>
      </c>
      <c r="F2504" s="273">
        <f>IFERROR(__xludf.DUMMYFUNCTION("""COMPUTED_VALUE"""),4.0)</f>
        <v>4</v>
      </c>
      <c r="G2504" t="str">
        <f>IFERROR(__xludf.DUMMYFUNCTION("""COMPUTED_VALUE"""),"Sabun batang 1 Box ( 2 PCS )")</f>
        <v>Sabun batang 1 Box ( 2 PCS )</v>
      </c>
      <c r="H2504" s="469"/>
      <c r="I2504" s="470"/>
      <c r="K2504" s="470"/>
      <c r="M2504" s="470"/>
      <c r="O2504" s="470"/>
    </row>
    <row r="2505">
      <c r="A2505" s="282" t="str">
        <f>IFERROR(__xludf.DUMMYFUNCTION("""COMPUTED_VALUE"""),"MICRO")</f>
        <v>MICRO</v>
      </c>
      <c r="B2505" s="468" t="str">
        <f>IFERROR(__xludf.DUMMYFUNCTION("""COMPUTED_VALUE"""),"minginaaaaa")</f>
        <v>minginaaaaa</v>
      </c>
      <c r="C2505" s="283" t="str">
        <f>IFERROR(__xludf.DUMMYFUNCTION("""COMPUTED_VALUE"""),"https://www.tiktok.com/@minginaaaaa")</f>
        <v>https://www.tiktok.com/@minginaaaaa</v>
      </c>
      <c r="D2505" s="273">
        <f>IFERROR(__xludf.DUMMYFUNCTION("""COMPUTED_VALUE"""),8.2289869124E10)</f>
        <v>82289869124</v>
      </c>
      <c r="E2505" s="458">
        <f>IFERROR(__xludf.DUMMYFUNCTION("""COMPUTED_VALUE"""),0.0)</f>
        <v>0</v>
      </c>
      <c r="F2505" s="273">
        <f>IFERROR(__xludf.DUMMYFUNCTION("""COMPUTED_VALUE"""),4.0)</f>
        <v>4</v>
      </c>
      <c r="G2505" t="str">
        <f>IFERROR(__xludf.DUMMYFUNCTION("""COMPUTED_VALUE"""),"Sabun batang 1 Box ( 2 PCS )")</f>
        <v>Sabun batang 1 Box ( 2 PCS )</v>
      </c>
      <c r="H2505" s="469"/>
      <c r="I2505" s="470"/>
      <c r="K2505" s="470"/>
      <c r="M2505" s="470"/>
      <c r="O2505" s="470"/>
    </row>
    <row r="2506">
      <c r="A2506" s="282" t="str">
        <f>IFERROR(__xludf.DUMMYFUNCTION("""COMPUTED_VALUE"""),"MACRO")</f>
        <v>MACRO</v>
      </c>
      <c r="B2506" s="468" t="str">
        <f>IFERROR(__xludf.DUMMYFUNCTION("""COMPUTED_VALUE"""),"wulandarisafitrimua")</f>
        <v>wulandarisafitrimua</v>
      </c>
      <c r="C2506" s="283" t="str">
        <f>IFERROR(__xludf.DUMMYFUNCTION("""COMPUTED_VALUE"""),"https://www.tiktok.com/@wulandarisafitrimua")</f>
        <v>https://www.tiktok.com/@wulandarisafitrimua</v>
      </c>
      <c r="D2506" s="273">
        <f>IFERROR(__xludf.DUMMYFUNCTION("""COMPUTED_VALUE"""),8.514724441E10)</f>
        <v>85147244410</v>
      </c>
      <c r="E2506" s="458">
        <f>IFERROR(__xludf.DUMMYFUNCTION("""COMPUTED_VALUE"""),0.0)</f>
        <v>0</v>
      </c>
      <c r="F2506" s="273">
        <f>IFERROR(__xludf.DUMMYFUNCTION("""COMPUTED_VALUE"""),4.0)</f>
        <v>4</v>
      </c>
      <c r="G2506" t="str">
        <f>IFERROR(__xludf.DUMMYFUNCTION("""COMPUTED_VALUE"""),"Sabun batang 1 Box ( 2 PCS )")</f>
        <v>Sabun batang 1 Box ( 2 PCS )</v>
      </c>
      <c r="H2506" s="469"/>
      <c r="I2506" s="470"/>
      <c r="K2506" s="470"/>
      <c r="M2506" s="470"/>
      <c r="O2506" s="470"/>
    </row>
    <row r="2507">
      <c r="A2507" s="282" t="str">
        <f>IFERROR(__xludf.DUMMYFUNCTION("""COMPUTED_VALUE"""),"MICRO")</f>
        <v>MICRO</v>
      </c>
      <c r="B2507" s="468" t="str">
        <f>IFERROR(__xludf.DUMMYFUNCTION("""COMPUTED_VALUE"""),"jessicasinggih")</f>
        <v>jessicasinggih</v>
      </c>
      <c r="C2507" s="283" t="str">
        <f>IFERROR(__xludf.DUMMYFUNCTION("""COMPUTED_VALUE"""),"https://www.tiktok.com/@jessicasinggih")</f>
        <v>https://www.tiktok.com/@jessicasinggih</v>
      </c>
      <c r="D2507" s="273">
        <f>IFERROR(__xludf.DUMMYFUNCTION("""COMPUTED_VALUE"""),8.5190081206E10)</f>
        <v>85190081206</v>
      </c>
      <c r="E2507" s="458">
        <f>IFERROR(__xludf.DUMMYFUNCTION("""COMPUTED_VALUE"""),0.0)</f>
        <v>0</v>
      </c>
      <c r="F2507" s="273">
        <f>IFERROR(__xludf.DUMMYFUNCTION("""COMPUTED_VALUE"""),4.0)</f>
        <v>4</v>
      </c>
      <c r="G2507" t="str">
        <f>IFERROR(__xludf.DUMMYFUNCTION("""COMPUTED_VALUE"""),"Sabun batang 1 Box ( 2 PCS )")</f>
        <v>Sabun batang 1 Box ( 2 PCS )</v>
      </c>
      <c r="H2507" s="469"/>
      <c r="I2507" s="470"/>
      <c r="K2507" s="470"/>
      <c r="M2507" s="470"/>
      <c r="O2507" s="470"/>
    </row>
    <row r="2508">
      <c r="A2508" s="282" t="str">
        <f>IFERROR(__xludf.DUMMYFUNCTION("""COMPUTED_VALUE"""),"MICRO")</f>
        <v>MICRO</v>
      </c>
      <c r="B2508" s="468" t="str">
        <f>IFERROR(__xludf.DUMMYFUNCTION("""COMPUTED_VALUE"""),"yerlina960")</f>
        <v>yerlina960</v>
      </c>
      <c r="C2508" s="283" t="str">
        <f>IFERROR(__xludf.DUMMYFUNCTION("""COMPUTED_VALUE"""),"https://www.tiktok.com/@yerlina960")</f>
        <v>https://www.tiktok.com/@yerlina960</v>
      </c>
      <c r="D2508" s="273">
        <f>IFERROR(__xludf.DUMMYFUNCTION("""COMPUTED_VALUE"""),8.1266379732E10)</f>
        <v>81266379732</v>
      </c>
      <c r="E2508" s="458">
        <f>IFERROR(__xludf.DUMMYFUNCTION("""COMPUTED_VALUE"""),0.0)</f>
        <v>0</v>
      </c>
      <c r="F2508" s="273">
        <f>IFERROR(__xludf.DUMMYFUNCTION("""COMPUTED_VALUE"""),4.0)</f>
        <v>4</v>
      </c>
      <c r="G2508" t="str">
        <f>IFERROR(__xludf.DUMMYFUNCTION("""COMPUTED_VALUE"""),"Sabun batang 1 Box ( 2 PCS )")</f>
        <v>Sabun batang 1 Box ( 2 PCS )</v>
      </c>
      <c r="H2508" s="469"/>
      <c r="I2508" s="470"/>
      <c r="K2508" s="470"/>
      <c r="M2508" s="470"/>
      <c r="O2508" s="470"/>
    </row>
    <row r="2509">
      <c r="A2509" s="282" t="str">
        <f>IFERROR(__xludf.DUMMYFUNCTION("""COMPUTED_VALUE"""),"MICRO")</f>
        <v>MICRO</v>
      </c>
      <c r="B2509" s="468" t="str">
        <f>IFERROR(__xludf.DUMMYFUNCTION("""COMPUTED_VALUE"""),"delarafratchy")</f>
        <v>delarafratchy</v>
      </c>
      <c r="C2509" s="283" t="str">
        <f>IFERROR(__xludf.DUMMYFUNCTION("""COMPUTED_VALUE"""),"https://www.tiktok.com/@delarafratchy")</f>
        <v>https://www.tiktok.com/@delarafratchy</v>
      </c>
      <c r="D2509" s="273">
        <f>IFERROR(__xludf.DUMMYFUNCTION("""COMPUTED_VALUE"""),8.3804747591E10)</f>
        <v>83804747591</v>
      </c>
      <c r="E2509" s="458">
        <f>IFERROR(__xludf.DUMMYFUNCTION("""COMPUTED_VALUE"""),0.0)</f>
        <v>0</v>
      </c>
      <c r="F2509" s="273">
        <f>IFERROR(__xludf.DUMMYFUNCTION("""COMPUTED_VALUE"""),4.0)</f>
        <v>4</v>
      </c>
      <c r="G2509" t="str">
        <f>IFERROR(__xludf.DUMMYFUNCTION("""COMPUTED_VALUE"""),"Sabun batang 1 Box ( 2 PCS )")</f>
        <v>Sabun batang 1 Box ( 2 PCS )</v>
      </c>
      <c r="H2509" s="469"/>
      <c r="I2509" s="470"/>
      <c r="K2509" s="470"/>
      <c r="M2509" s="470"/>
      <c r="O2509" s="470"/>
    </row>
    <row r="2510">
      <c r="A2510" s="282" t="str">
        <f>IFERROR(__xludf.DUMMYFUNCTION("""COMPUTED_VALUE"""),"MICRO")</f>
        <v>MICRO</v>
      </c>
      <c r="B2510" s="468" t="str">
        <f>IFERROR(__xludf.DUMMYFUNCTION("""COMPUTED_VALUE"""),"egigitya")</f>
        <v>egigitya</v>
      </c>
      <c r="C2510" s="283" t="str">
        <f>IFERROR(__xludf.DUMMYFUNCTION("""COMPUTED_VALUE"""),"https://www.tiktok.com/@egigitya")</f>
        <v>https://www.tiktok.com/@egigitya</v>
      </c>
      <c r="D2510" s="273">
        <f>IFERROR(__xludf.DUMMYFUNCTION("""COMPUTED_VALUE"""),8.5381598075E10)</f>
        <v>85381598075</v>
      </c>
      <c r="E2510" s="458">
        <f>IFERROR(__xludf.DUMMYFUNCTION("""COMPUTED_VALUE"""),0.0)</f>
        <v>0</v>
      </c>
      <c r="F2510" s="273">
        <f>IFERROR(__xludf.DUMMYFUNCTION("""COMPUTED_VALUE"""),4.0)</f>
        <v>4</v>
      </c>
      <c r="G2510" t="str">
        <f>IFERROR(__xludf.DUMMYFUNCTION("""COMPUTED_VALUE"""),"Sabun batang 1 Box ( 2 PCS )")</f>
        <v>Sabun batang 1 Box ( 2 PCS )</v>
      </c>
      <c r="H2510" s="469"/>
      <c r="I2510" s="470"/>
      <c r="K2510" s="470"/>
      <c r="M2510" s="470"/>
      <c r="O2510" s="470"/>
    </row>
    <row r="2511">
      <c r="A2511" s="282" t="str">
        <f>IFERROR(__xludf.DUMMYFUNCTION("""COMPUTED_VALUE"""),"MICRO")</f>
        <v>MICRO</v>
      </c>
      <c r="B2511" s="468" t="str">
        <f>IFERROR(__xludf.DUMMYFUNCTION("""COMPUTED_VALUE"""),"feninrb")</f>
        <v>feninrb</v>
      </c>
      <c r="C2511" s="283" t="str">
        <f>IFERROR(__xludf.DUMMYFUNCTION("""COMPUTED_VALUE"""),"https://www.tiktok.com/@feninrb")</f>
        <v>https://www.tiktok.com/@feninrb</v>
      </c>
      <c r="D2511" s="273">
        <f>IFERROR(__xludf.DUMMYFUNCTION("""COMPUTED_VALUE"""),8.7805788509E10)</f>
        <v>87805788509</v>
      </c>
      <c r="E2511" s="458">
        <f>IFERROR(__xludf.DUMMYFUNCTION("""COMPUTED_VALUE"""),0.0)</f>
        <v>0</v>
      </c>
      <c r="F2511" s="273">
        <f>IFERROR(__xludf.DUMMYFUNCTION("""COMPUTED_VALUE"""),4.0)</f>
        <v>4</v>
      </c>
      <c r="G2511" t="str">
        <f>IFERROR(__xludf.DUMMYFUNCTION("""COMPUTED_VALUE"""),"Sabun batang 1 Box ( 2 PCS )")</f>
        <v>Sabun batang 1 Box ( 2 PCS )</v>
      </c>
      <c r="H2511" s="469"/>
      <c r="I2511" s="470"/>
      <c r="K2511" s="470"/>
      <c r="M2511" s="470"/>
      <c r="O2511" s="470"/>
    </row>
    <row r="2512">
      <c r="A2512" s="282" t="str">
        <f>IFERROR(__xludf.DUMMYFUNCTION("""COMPUTED_VALUE"""),"MICRO")</f>
        <v>MICRO</v>
      </c>
      <c r="B2512" s="468" t="str">
        <f>IFERROR(__xludf.DUMMYFUNCTION("""COMPUTED_VALUE"""),"ainiharuka")</f>
        <v>ainiharuka</v>
      </c>
      <c r="C2512" s="283" t="str">
        <f>IFERROR(__xludf.DUMMYFUNCTION("""COMPUTED_VALUE"""),"https://www.tiktok.com/@ainiharuka")</f>
        <v>https://www.tiktok.com/@ainiharuka</v>
      </c>
      <c r="D2512" s="273">
        <f>IFERROR(__xludf.DUMMYFUNCTION("""COMPUTED_VALUE"""),8.5381118355E10)</f>
        <v>85381118355</v>
      </c>
      <c r="E2512" s="458">
        <f>IFERROR(__xludf.DUMMYFUNCTION("""COMPUTED_VALUE"""),0.0)</f>
        <v>0</v>
      </c>
      <c r="F2512" s="273">
        <f>IFERROR(__xludf.DUMMYFUNCTION("""COMPUTED_VALUE"""),4.0)</f>
        <v>4</v>
      </c>
      <c r="G2512" t="str">
        <f>IFERROR(__xludf.DUMMYFUNCTION("""COMPUTED_VALUE"""),"Sabun batang 1 Box ( 2 PCS )")</f>
        <v>Sabun batang 1 Box ( 2 PCS )</v>
      </c>
      <c r="H2512" s="469"/>
      <c r="I2512" s="470"/>
      <c r="K2512" s="470"/>
      <c r="M2512" s="470"/>
      <c r="O2512" s="470"/>
    </row>
    <row r="2513">
      <c r="A2513" s="282" t="str">
        <f>IFERROR(__xludf.DUMMYFUNCTION("""COMPUTED_VALUE"""),"MICRO")</f>
        <v>MICRO</v>
      </c>
      <c r="B2513" s="468" t="str">
        <f>IFERROR(__xludf.DUMMYFUNCTION("""COMPUTED_VALUE"""),"_nhacyaaya")</f>
        <v>_nhacyaaya</v>
      </c>
      <c r="C2513" s="283" t="str">
        <f>IFERROR(__xludf.DUMMYFUNCTION("""COMPUTED_VALUE"""),"https://www.tiktok.com/@_nhacyaaya")</f>
        <v>https://www.tiktok.com/@_nhacyaaya</v>
      </c>
      <c r="D2513" s="273">
        <f>IFERROR(__xludf.DUMMYFUNCTION("""COMPUTED_VALUE"""),8.5141363515E10)</f>
        <v>85141363515</v>
      </c>
      <c r="E2513" s="458">
        <f>IFERROR(__xludf.DUMMYFUNCTION("""COMPUTED_VALUE"""),0.0)</f>
        <v>0</v>
      </c>
      <c r="F2513" s="273">
        <f>IFERROR(__xludf.DUMMYFUNCTION("""COMPUTED_VALUE"""),4.0)</f>
        <v>4</v>
      </c>
      <c r="G2513" t="str">
        <f>IFERROR(__xludf.DUMMYFUNCTION("""COMPUTED_VALUE"""),"Sabun batang 1 Box ( 2 PCS )")</f>
        <v>Sabun batang 1 Box ( 2 PCS )</v>
      </c>
      <c r="H2513" s="469"/>
      <c r="I2513" s="470"/>
      <c r="K2513" s="470"/>
      <c r="M2513" s="470"/>
      <c r="O2513" s="470"/>
    </row>
    <row r="2514">
      <c r="A2514" s="282" t="str">
        <f>IFERROR(__xludf.DUMMYFUNCTION("""COMPUTED_VALUE"""),"MICRO")</f>
        <v>MICRO</v>
      </c>
      <c r="B2514" s="468" t="str">
        <f>IFERROR(__xludf.DUMMYFUNCTION("""COMPUTED_VALUE"""),"_salafiiyyah")</f>
        <v>_salafiiyyah</v>
      </c>
      <c r="C2514" s="283" t="str">
        <f>IFERROR(__xludf.DUMMYFUNCTION("""COMPUTED_VALUE"""),"https://www.tiktok.com/@_salafiiyyah")</f>
        <v>https://www.tiktok.com/@_salafiiyyah</v>
      </c>
      <c r="D2514" s="273">
        <f>IFERROR(__xludf.DUMMYFUNCTION("""COMPUTED_VALUE"""),8.5932010574E10)</f>
        <v>85932010574</v>
      </c>
      <c r="E2514" s="458">
        <f>IFERROR(__xludf.DUMMYFUNCTION("""COMPUTED_VALUE"""),0.0)</f>
        <v>0</v>
      </c>
      <c r="F2514" s="273">
        <f>IFERROR(__xludf.DUMMYFUNCTION("""COMPUTED_VALUE"""),4.0)</f>
        <v>4</v>
      </c>
      <c r="G2514" t="str">
        <f>IFERROR(__xludf.DUMMYFUNCTION("""COMPUTED_VALUE"""),"Sabun batang 1 Box ( 2 PCS )")</f>
        <v>Sabun batang 1 Box ( 2 PCS )</v>
      </c>
      <c r="H2514" s="469"/>
      <c r="I2514" s="470"/>
      <c r="K2514" s="470"/>
      <c r="M2514" s="470"/>
      <c r="O2514" s="470"/>
    </row>
    <row r="2515">
      <c r="A2515" s="282" t="str">
        <f>IFERROR(__xludf.DUMMYFUNCTION("""COMPUTED_VALUE"""),"MICRO")</f>
        <v>MICRO</v>
      </c>
      <c r="B2515" s="468" t="str">
        <f>IFERROR(__xludf.DUMMYFUNCTION("""COMPUTED_VALUE"""),"olshoppmurah2")</f>
        <v>olshoppmurah2</v>
      </c>
      <c r="C2515" s="283" t="str">
        <f>IFERROR(__xludf.DUMMYFUNCTION("""COMPUTED_VALUE"""),"https://www.tiktok.com/@olshoppmurah2")</f>
        <v>https://www.tiktok.com/@olshoppmurah2</v>
      </c>
      <c r="D2515" s="273">
        <f>IFERROR(__xludf.DUMMYFUNCTION("""COMPUTED_VALUE"""),8.5770110426E10)</f>
        <v>85770110426</v>
      </c>
      <c r="E2515" s="458">
        <f>IFERROR(__xludf.DUMMYFUNCTION("""COMPUTED_VALUE"""),0.0)</f>
        <v>0</v>
      </c>
      <c r="F2515" s="273">
        <f>IFERROR(__xludf.DUMMYFUNCTION("""COMPUTED_VALUE"""),4.0)</f>
        <v>4</v>
      </c>
      <c r="G2515" t="str">
        <f>IFERROR(__xludf.DUMMYFUNCTION("""COMPUTED_VALUE"""),"Sabun batang 1 Box ( 2 PCS )")</f>
        <v>Sabun batang 1 Box ( 2 PCS )</v>
      </c>
      <c r="H2515" s="469"/>
      <c r="I2515" s="470"/>
      <c r="K2515" s="470"/>
      <c r="M2515" s="470"/>
      <c r="O2515" s="470"/>
    </row>
    <row r="2516">
      <c r="A2516" s="282" t="str">
        <f>IFERROR(__xludf.DUMMYFUNCTION("""COMPUTED_VALUE"""),"MICRO")</f>
        <v>MICRO</v>
      </c>
      <c r="B2516" s="468" t="str">
        <f>IFERROR(__xludf.DUMMYFUNCTION("""COMPUTED_VALUE"""),"rekomendasi_36")</f>
        <v>rekomendasi_36</v>
      </c>
      <c r="C2516" s="283" t="str">
        <f>IFERROR(__xludf.DUMMYFUNCTION("""COMPUTED_VALUE"""),"https://www.tiktok.com/@rekomendasi_36")</f>
        <v>https://www.tiktok.com/@rekomendasi_36</v>
      </c>
      <c r="D2516" s="273">
        <f>IFERROR(__xludf.DUMMYFUNCTION("""COMPUTED_VALUE"""),8.8983201072E10)</f>
        <v>88983201072</v>
      </c>
      <c r="E2516" s="458">
        <f>IFERROR(__xludf.DUMMYFUNCTION("""COMPUTED_VALUE"""),0.0)</f>
        <v>0</v>
      </c>
      <c r="F2516" s="273">
        <f>IFERROR(__xludf.DUMMYFUNCTION("""COMPUTED_VALUE"""),4.0)</f>
        <v>4</v>
      </c>
      <c r="G2516" t="str">
        <f>IFERROR(__xludf.DUMMYFUNCTION("""COMPUTED_VALUE"""),"Sabun batang 1 Box ( 2 PCS )")</f>
        <v>Sabun batang 1 Box ( 2 PCS )</v>
      </c>
      <c r="H2516" s="469"/>
      <c r="I2516" s="470"/>
      <c r="K2516" s="470"/>
      <c r="M2516" s="470"/>
      <c r="O2516" s="470"/>
    </row>
    <row r="2517">
      <c r="A2517" s="282" t="str">
        <f>IFERROR(__xludf.DUMMYFUNCTION("""COMPUTED_VALUE"""),"MICRO")</f>
        <v>MICRO</v>
      </c>
      <c r="B2517" s="468" t="str">
        <f>IFERROR(__xludf.DUMMYFUNCTION("""COMPUTED_VALUE"""),"dailykurnia")</f>
        <v>dailykurnia</v>
      </c>
      <c r="C2517" s="283" t="str">
        <f>IFERROR(__xludf.DUMMYFUNCTION("""COMPUTED_VALUE"""),"https://www.tiktok.com/@dailykurnia")</f>
        <v>https://www.tiktok.com/@dailykurnia</v>
      </c>
      <c r="D2517" s="273">
        <f>IFERROR(__xludf.DUMMYFUNCTION("""COMPUTED_VALUE"""),8.1316791471E10)</f>
        <v>81316791471</v>
      </c>
      <c r="E2517" s="458">
        <f>IFERROR(__xludf.DUMMYFUNCTION("""COMPUTED_VALUE"""),0.0)</f>
        <v>0</v>
      </c>
      <c r="F2517" s="273">
        <f>IFERROR(__xludf.DUMMYFUNCTION("""COMPUTED_VALUE"""),4.0)</f>
        <v>4</v>
      </c>
      <c r="G2517" t="str">
        <f>IFERROR(__xludf.DUMMYFUNCTION("""COMPUTED_VALUE"""),"Sabun batang 1 Box ( 2 PCS )")</f>
        <v>Sabun batang 1 Box ( 2 PCS )</v>
      </c>
      <c r="H2517" s="469"/>
      <c r="I2517" s="470"/>
      <c r="K2517" s="470"/>
      <c r="M2517" s="470"/>
      <c r="O2517" s="470"/>
    </row>
    <row r="2518">
      <c r="A2518" s="282" t="str">
        <f>IFERROR(__xludf.DUMMYFUNCTION("""COMPUTED_VALUE"""),"MICRO")</f>
        <v>MICRO</v>
      </c>
      <c r="B2518" s="468" t="str">
        <f>IFERROR(__xludf.DUMMYFUNCTION("""COMPUTED_VALUE"""),"megha.nrsptr_")</f>
        <v>megha.nrsptr_</v>
      </c>
      <c r="C2518" s="283" t="str">
        <f>IFERROR(__xludf.DUMMYFUNCTION("""COMPUTED_VALUE"""),"https://www.tiktok.com/@megha.nrsptr_")</f>
        <v>https://www.tiktok.com/@megha.nrsptr_</v>
      </c>
      <c r="D2518" s="273">
        <f>IFERROR(__xludf.DUMMYFUNCTION("""COMPUTED_VALUE"""),8.1553524368E10)</f>
        <v>81553524368</v>
      </c>
      <c r="E2518" s="458">
        <f>IFERROR(__xludf.DUMMYFUNCTION("""COMPUTED_VALUE"""),0.0)</f>
        <v>0</v>
      </c>
      <c r="F2518" s="273">
        <f>IFERROR(__xludf.DUMMYFUNCTION("""COMPUTED_VALUE"""),4.0)</f>
        <v>4</v>
      </c>
      <c r="G2518" t="str">
        <f>IFERROR(__xludf.DUMMYFUNCTION("""COMPUTED_VALUE"""),"Sabun batang 1 Box ( 2 PCS )")</f>
        <v>Sabun batang 1 Box ( 2 PCS )</v>
      </c>
      <c r="H2518" s="469"/>
      <c r="I2518" s="470"/>
      <c r="K2518" s="470"/>
      <c r="M2518" s="470"/>
      <c r="O2518" s="470"/>
    </row>
    <row r="2519">
      <c r="A2519" s="282" t="str">
        <f>IFERROR(__xludf.DUMMYFUNCTION("""COMPUTED_VALUE"""),"MICRO")</f>
        <v>MICRO</v>
      </c>
      <c r="B2519" s="468" t="str">
        <f>IFERROR(__xludf.DUMMYFUNCTION("""COMPUTED_VALUE"""),"fitriabdhl")</f>
        <v>fitriabdhl</v>
      </c>
      <c r="C2519" s="283" t="str">
        <f>IFERROR(__xludf.DUMMYFUNCTION("""COMPUTED_VALUE"""),"https://www.tiktok.com/@fitriabdhl")</f>
        <v>https://www.tiktok.com/@fitriabdhl</v>
      </c>
      <c r="D2519" s="273">
        <f>IFERROR(__xludf.DUMMYFUNCTION("""COMPUTED_VALUE"""),8.235752446E10)</f>
        <v>82357524460</v>
      </c>
      <c r="E2519" s="458">
        <f>IFERROR(__xludf.DUMMYFUNCTION("""COMPUTED_VALUE"""),0.0)</f>
        <v>0</v>
      </c>
      <c r="F2519" s="273">
        <f>IFERROR(__xludf.DUMMYFUNCTION("""COMPUTED_VALUE"""),4.0)</f>
        <v>4</v>
      </c>
      <c r="G2519" t="str">
        <f>IFERROR(__xludf.DUMMYFUNCTION("""COMPUTED_VALUE"""),"Sabun batang 1 Box ( 2 PCS )")</f>
        <v>Sabun batang 1 Box ( 2 PCS )</v>
      </c>
      <c r="H2519" s="469"/>
      <c r="I2519" s="470"/>
      <c r="K2519" s="470"/>
      <c r="M2519" s="470"/>
      <c r="O2519" s="470"/>
    </row>
    <row r="2520">
      <c r="A2520" s="282" t="str">
        <f>IFERROR(__xludf.DUMMYFUNCTION("""COMPUTED_VALUE"""),"MICRO")</f>
        <v>MICRO</v>
      </c>
      <c r="B2520" s="468" t="str">
        <f>IFERROR(__xludf.DUMMYFUNCTION("""COMPUTED_VALUE"""),"anaknyamamalidii")</f>
        <v>anaknyamamalidii</v>
      </c>
      <c r="C2520" s="283" t="str">
        <f>IFERROR(__xludf.DUMMYFUNCTION("""COMPUTED_VALUE"""),"https://www.tiktok.com/@anaknyamamalidii")</f>
        <v>https://www.tiktok.com/@anaknyamamalidii</v>
      </c>
      <c r="D2520" s="273">
        <f>IFERROR(__xludf.DUMMYFUNCTION("""COMPUTED_VALUE"""),8.3169825992E10)</f>
        <v>83169825992</v>
      </c>
      <c r="E2520" s="458">
        <f>IFERROR(__xludf.DUMMYFUNCTION("""COMPUTED_VALUE"""),0.0)</f>
        <v>0</v>
      </c>
      <c r="F2520" s="273">
        <f>IFERROR(__xludf.DUMMYFUNCTION("""COMPUTED_VALUE"""),4.0)</f>
        <v>4</v>
      </c>
      <c r="G2520" t="str">
        <f>IFERROR(__xludf.DUMMYFUNCTION("""COMPUTED_VALUE"""),"Sabun batang 1 Box ( 2 PCS )")</f>
        <v>Sabun batang 1 Box ( 2 PCS )</v>
      </c>
      <c r="H2520" s="469"/>
      <c r="I2520" s="470"/>
      <c r="K2520" s="470"/>
      <c r="M2520" s="470"/>
      <c r="O2520" s="470"/>
    </row>
    <row r="2521">
      <c r="A2521" s="282" t="str">
        <f>IFERROR(__xludf.DUMMYFUNCTION("""COMPUTED_VALUE"""),"MICRO")</f>
        <v>MICRO</v>
      </c>
      <c r="B2521" s="468" t="str">
        <f>IFERROR(__xludf.DUMMYFUNCTION("""COMPUTED_VALUE"""),"yaninay28")</f>
        <v>yaninay28</v>
      </c>
      <c r="C2521" s="283" t="str">
        <f>IFERROR(__xludf.DUMMYFUNCTION("""COMPUTED_VALUE"""),"https://www.tiktok.com/@yaninay28")</f>
        <v>https://www.tiktok.com/@yaninay28</v>
      </c>
      <c r="D2521" s="273">
        <f>IFERROR(__xludf.DUMMYFUNCTION("""COMPUTED_VALUE"""),8.5934583118E10)</f>
        <v>85934583118</v>
      </c>
      <c r="E2521" s="458">
        <f>IFERROR(__xludf.DUMMYFUNCTION("""COMPUTED_VALUE"""),0.0)</f>
        <v>0</v>
      </c>
      <c r="F2521" s="273">
        <f>IFERROR(__xludf.DUMMYFUNCTION("""COMPUTED_VALUE"""),4.0)</f>
        <v>4</v>
      </c>
      <c r="G2521" t="str">
        <f>IFERROR(__xludf.DUMMYFUNCTION("""COMPUTED_VALUE"""),"Sabun batang 1 Box ( 2 PCS )")</f>
        <v>Sabun batang 1 Box ( 2 PCS )</v>
      </c>
      <c r="H2521" s="469"/>
      <c r="I2521" s="470"/>
      <c r="K2521" s="470"/>
      <c r="M2521" s="470"/>
      <c r="O2521" s="470"/>
    </row>
    <row r="2522">
      <c r="A2522" s="282" t="str">
        <f>IFERROR(__xludf.DUMMYFUNCTION("""COMPUTED_VALUE"""),"MICRO")</f>
        <v>MICRO</v>
      </c>
      <c r="B2522" s="468" t="str">
        <f>IFERROR(__xludf.DUMMYFUNCTION("""COMPUTED_VALUE"""),"nisanurulhmdy")</f>
        <v>nisanurulhmdy</v>
      </c>
      <c r="C2522" s="283" t="str">
        <f>IFERROR(__xludf.DUMMYFUNCTION("""COMPUTED_VALUE"""),"https://www.tiktok.com/@nisanurulhmdy")</f>
        <v>https://www.tiktok.com/@nisanurulhmdy</v>
      </c>
      <c r="D2522" s="273">
        <f>IFERROR(__xludf.DUMMYFUNCTION("""COMPUTED_VALUE"""),8.9652198046E10)</f>
        <v>89652198046</v>
      </c>
      <c r="E2522" s="458">
        <f>IFERROR(__xludf.DUMMYFUNCTION("""COMPUTED_VALUE"""),0.0)</f>
        <v>0</v>
      </c>
      <c r="F2522" s="273">
        <f>IFERROR(__xludf.DUMMYFUNCTION("""COMPUTED_VALUE"""),4.0)</f>
        <v>4</v>
      </c>
      <c r="G2522" t="str">
        <f>IFERROR(__xludf.DUMMYFUNCTION("""COMPUTED_VALUE"""),"Sabun batang 1 Box ( 2 PCS )")</f>
        <v>Sabun batang 1 Box ( 2 PCS )</v>
      </c>
      <c r="H2522" s="469"/>
      <c r="I2522" s="470"/>
      <c r="K2522" s="470"/>
      <c r="M2522" s="470"/>
      <c r="O2522" s="470"/>
    </row>
    <row r="2523">
      <c r="A2523" s="282" t="str">
        <f>IFERROR(__xludf.DUMMYFUNCTION("""COMPUTED_VALUE"""),"MICRO")</f>
        <v>MICRO</v>
      </c>
      <c r="B2523" s="468" t="str">
        <f>IFERROR(__xludf.DUMMYFUNCTION("""COMPUTED_VALUE"""),"evyllynepattikawa")</f>
        <v>evyllynepattikawa</v>
      </c>
      <c r="C2523" s="283" t="str">
        <f>IFERROR(__xludf.DUMMYFUNCTION("""COMPUTED_VALUE"""),"https://www.tiktok.com/@evyllynepattikawa")</f>
        <v>https://www.tiktok.com/@evyllynepattikawa</v>
      </c>
      <c r="D2523" s="273">
        <f>IFERROR(__xludf.DUMMYFUNCTION("""COMPUTED_VALUE"""),8.5123341703E10)</f>
        <v>85123341703</v>
      </c>
      <c r="E2523" s="458">
        <f>IFERROR(__xludf.DUMMYFUNCTION("""COMPUTED_VALUE"""),0.0)</f>
        <v>0</v>
      </c>
      <c r="F2523" s="273">
        <f>IFERROR(__xludf.DUMMYFUNCTION("""COMPUTED_VALUE"""),4.0)</f>
        <v>4</v>
      </c>
      <c r="G2523" t="str">
        <f>IFERROR(__xludf.DUMMYFUNCTION("""COMPUTED_VALUE"""),"Sabun batang 1 Box ( 2 PCS )")</f>
        <v>Sabun batang 1 Box ( 2 PCS )</v>
      </c>
      <c r="H2523" s="469"/>
      <c r="I2523" s="470"/>
      <c r="K2523" s="470"/>
      <c r="M2523" s="470"/>
      <c r="O2523" s="470"/>
    </row>
    <row r="2524">
      <c r="A2524" s="282" t="str">
        <f>IFERROR(__xludf.DUMMYFUNCTION("""COMPUTED_VALUE"""),"MICRO")</f>
        <v>MICRO</v>
      </c>
      <c r="B2524" s="468" t="str">
        <f>IFERROR(__xludf.DUMMYFUNCTION("""COMPUTED_VALUE"""),"nunataehyung93")</f>
        <v>nunataehyung93</v>
      </c>
      <c r="C2524" s="283" t="str">
        <f>IFERROR(__xludf.DUMMYFUNCTION("""COMPUTED_VALUE"""),"https://www.tiktok.com/@nunataehyung93")</f>
        <v>https://www.tiktok.com/@nunataehyung93</v>
      </c>
      <c r="D2524" s="273">
        <f>IFERROR(__xludf.DUMMYFUNCTION("""COMPUTED_VALUE"""),8.131943341E10)</f>
        <v>81319433410</v>
      </c>
      <c r="E2524" s="458">
        <f>IFERROR(__xludf.DUMMYFUNCTION("""COMPUTED_VALUE"""),0.0)</f>
        <v>0</v>
      </c>
      <c r="F2524" s="273">
        <f>IFERROR(__xludf.DUMMYFUNCTION("""COMPUTED_VALUE"""),4.0)</f>
        <v>4</v>
      </c>
      <c r="G2524" t="str">
        <f>IFERROR(__xludf.DUMMYFUNCTION("""COMPUTED_VALUE"""),"Sabun batang 1 Box ( 2 PCS )")</f>
        <v>Sabun batang 1 Box ( 2 PCS )</v>
      </c>
      <c r="H2524" s="469"/>
      <c r="I2524" s="470"/>
      <c r="K2524" s="470"/>
      <c r="M2524" s="470"/>
      <c r="O2524" s="470"/>
    </row>
    <row r="2525">
      <c r="A2525" s="282" t="str">
        <f>IFERROR(__xludf.DUMMYFUNCTION("""COMPUTED_VALUE"""),"MICRO")</f>
        <v>MICRO</v>
      </c>
      <c r="B2525" s="468" t="str">
        <f>IFERROR(__xludf.DUMMYFUNCTION("""COMPUTED_VALUE"""),"cherryidn")</f>
        <v>cherryidn</v>
      </c>
      <c r="C2525" s="283" t="str">
        <f>IFERROR(__xludf.DUMMYFUNCTION("""COMPUTED_VALUE"""),"https://www.tiktok.com/@cherryidn")</f>
        <v>https://www.tiktok.com/@cherryidn</v>
      </c>
      <c r="D2525" s="273">
        <f>IFERROR(__xludf.DUMMYFUNCTION("""COMPUTED_VALUE"""),8.2227570078E10)</f>
        <v>82227570078</v>
      </c>
      <c r="E2525" s="458">
        <f>IFERROR(__xludf.DUMMYFUNCTION("""COMPUTED_VALUE"""),0.0)</f>
        <v>0</v>
      </c>
      <c r="F2525" s="273">
        <f>IFERROR(__xludf.DUMMYFUNCTION("""COMPUTED_VALUE"""),4.0)</f>
        <v>4</v>
      </c>
      <c r="G2525" t="str">
        <f>IFERROR(__xludf.DUMMYFUNCTION("""COMPUTED_VALUE"""),"Sabun batang 1 Box ( 2 PCS )")</f>
        <v>Sabun batang 1 Box ( 2 PCS )</v>
      </c>
      <c r="H2525" s="469"/>
      <c r="I2525" s="470"/>
      <c r="K2525" s="470"/>
      <c r="M2525" s="470"/>
      <c r="O2525" s="470"/>
    </row>
    <row r="2526">
      <c r="A2526" s="282" t="str">
        <f>IFERROR(__xludf.DUMMYFUNCTION("""COMPUTED_VALUE"""),"MICRO")</f>
        <v>MICRO</v>
      </c>
      <c r="B2526" s="468" t="str">
        <f>IFERROR(__xludf.DUMMYFUNCTION("""COMPUTED_VALUE"""),"siopettttt____")</f>
        <v>siopettttt____</v>
      </c>
      <c r="C2526" s="283" t="str">
        <f>IFERROR(__xludf.DUMMYFUNCTION("""COMPUTED_VALUE"""),"https://www.tiktok.com/@siopettttt____")</f>
        <v>https://www.tiktok.com/@siopettttt____</v>
      </c>
      <c r="D2526" s="273">
        <f>IFERROR(__xludf.DUMMYFUNCTION("""COMPUTED_VALUE"""),8.5780214219E10)</f>
        <v>85780214219</v>
      </c>
      <c r="E2526" s="458">
        <f>IFERROR(__xludf.DUMMYFUNCTION("""COMPUTED_VALUE"""),0.0)</f>
        <v>0</v>
      </c>
      <c r="F2526" s="273">
        <f>IFERROR(__xludf.DUMMYFUNCTION("""COMPUTED_VALUE"""),4.0)</f>
        <v>4</v>
      </c>
      <c r="G2526" t="str">
        <f>IFERROR(__xludf.DUMMYFUNCTION("""COMPUTED_VALUE"""),"Sabun batang 1 Box ( 2 PCS )")</f>
        <v>Sabun batang 1 Box ( 2 PCS )</v>
      </c>
      <c r="H2526" s="469"/>
      <c r="I2526" s="470"/>
      <c r="K2526" s="470"/>
      <c r="M2526" s="470"/>
      <c r="O2526" s="470"/>
    </row>
    <row r="2527">
      <c r="A2527" s="282" t="str">
        <f>IFERROR(__xludf.DUMMYFUNCTION("""COMPUTED_VALUE"""),"MICRO")</f>
        <v>MICRO</v>
      </c>
      <c r="B2527" s="468" t="str">
        <f>IFERROR(__xludf.DUMMYFUNCTION("""COMPUTED_VALUE"""),"nabillamee")</f>
        <v>nabillamee</v>
      </c>
      <c r="C2527" s="283" t="str">
        <f>IFERROR(__xludf.DUMMYFUNCTION("""COMPUTED_VALUE"""),"https://www.tiktok.com/@nabillamee")</f>
        <v>https://www.tiktok.com/@nabillamee</v>
      </c>
      <c r="D2527" s="273">
        <f>IFERROR(__xludf.DUMMYFUNCTION("""COMPUTED_VALUE"""),8.9538400822E11)</f>
        <v>895384008220</v>
      </c>
      <c r="E2527" s="458">
        <f>IFERROR(__xludf.DUMMYFUNCTION("""COMPUTED_VALUE"""),0.0)</f>
        <v>0</v>
      </c>
      <c r="F2527" s="273">
        <f>IFERROR(__xludf.DUMMYFUNCTION("""COMPUTED_VALUE"""),4.0)</f>
        <v>4</v>
      </c>
      <c r="G2527" t="str">
        <f>IFERROR(__xludf.DUMMYFUNCTION("""COMPUTED_VALUE"""),"Sabun batang 1 Box ( 2 PCS )")</f>
        <v>Sabun batang 1 Box ( 2 PCS )</v>
      </c>
      <c r="H2527" s="469"/>
      <c r="I2527" s="470"/>
      <c r="K2527" s="470"/>
      <c r="M2527" s="470"/>
      <c r="O2527" s="470"/>
    </row>
    <row r="2528">
      <c r="A2528" s="282" t="str">
        <f>IFERROR(__xludf.DUMMYFUNCTION("""COMPUTED_VALUE"""),"MICRO")</f>
        <v>MICRO</v>
      </c>
      <c r="B2528" s="468" t="str">
        <f>IFERROR(__xludf.DUMMYFUNCTION("""COMPUTED_VALUE"""),"mariyakahono")</f>
        <v>mariyakahono</v>
      </c>
      <c r="C2528" s="283" t="str">
        <f>IFERROR(__xludf.DUMMYFUNCTION("""COMPUTED_VALUE"""),"https://www.tiktok.com/@mariyakahono")</f>
        <v>https://www.tiktok.com/@mariyakahono</v>
      </c>
      <c r="D2528" s="273">
        <f>IFERROR(__xludf.DUMMYFUNCTION("""COMPUTED_VALUE"""),8.976475273E9)</f>
        <v>8976475273</v>
      </c>
      <c r="E2528" s="458">
        <f>IFERROR(__xludf.DUMMYFUNCTION("""COMPUTED_VALUE"""),0.0)</f>
        <v>0</v>
      </c>
      <c r="F2528" s="273">
        <f>IFERROR(__xludf.DUMMYFUNCTION("""COMPUTED_VALUE"""),4.0)</f>
        <v>4</v>
      </c>
      <c r="G2528" t="str">
        <f>IFERROR(__xludf.DUMMYFUNCTION("""COMPUTED_VALUE"""),"Sabun batang 1 Box ( 2 PCS )")</f>
        <v>Sabun batang 1 Box ( 2 PCS )</v>
      </c>
      <c r="H2528" s="469"/>
      <c r="I2528" s="470"/>
      <c r="K2528" s="470"/>
      <c r="M2528" s="470"/>
      <c r="O2528" s="470"/>
    </row>
    <row r="2529">
      <c r="A2529" s="282" t="str">
        <f>IFERROR(__xludf.DUMMYFUNCTION("""COMPUTED_VALUE"""),"MICRO")</f>
        <v>MICRO</v>
      </c>
      <c r="B2529" s="468" t="str">
        <f>IFERROR(__xludf.DUMMYFUNCTION("""COMPUTED_VALUE"""),"taurusas24")</f>
        <v>taurusas24</v>
      </c>
      <c r="C2529" s="283" t="str">
        <f>IFERROR(__xludf.DUMMYFUNCTION("""COMPUTED_VALUE"""),"https://www.tiktok.com/@taurusas24")</f>
        <v>https://www.tiktok.com/@taurusas24</v>
      </c>
      <c r="D2529" s="273">
        <f>IFERROR(__xludf.DUMMYFUNCTION("""COMPUTED_VALUE"""),8.5885985778E10)</f>
        <v>85885985778</v>
      </c>
      <c r="E2529" s="458">
        <f>IFERROR(__xludf.DUMMYFUNCTION("""COMPUTED_VALUE"""),0.0)</f>
        <v>0</v>
      </c>
      <c r="F2529" s="273">
        <f>IFERROR(__xludf.DUMMYFUNCTION("""COMPUTED_VALUE"""),4.0)</f>
        <v>4</v>
      </c>
      <c r="G2529" t="str">
        <f>IFERROR(__xludf.DUMMYFUNCTION("""COMPUTED_VALUE"""),"Sabun batang 1 Box ( 2 PCS )")</f>
        <v>Sabun batang 1 Box ( 2 PCS )</v>
      </c>
      <c r="H2529" s="469"/>
      <c r="I2529" s="470"/>
      <c r="K2529" s="470"/>
      <c r="M2529" s="470"/>
      <c r="O2529" s="470"/>
    </row>
    <row r="2530">
      <c r="A2530" s="282" t="str">
        <f>IFERROR(__xludf.DUMMYFUNCTION("""COMPUTED_VALUE"""),"MICRO")</f>
        <v>MICRO</v>
      </c>
      <c r="B2530" s="468" t="str">
        <f>IFERROR(__xludf.DUMMYFUNCTION("""COMPUTED_VALUE"""),"lintangdaraghaida")</f>
        <v>lintangdaraghaida</v>
      </c>
      <c r="C2530" s="283" t="str">
        <f>IFERROR(__xludf.DUMMYFUNCTION("""COMPUTED_VALUE"""),"https://www.tiktok.com/@lintangdaraghaida")</f>
        <v>https://www.tiktok.com/@lintangdaraghaida</v>
      </c>
      <c r="D2530" s="273">
        <f>IFERROR(__xludf.DUMMYFUNCTION("""COMPUTED_VALUE"""),8.561251208E9)</f>
        <v>8561251208</v>
      </c>
      <c r="E2530" s="458">
        <f>IFERROR(__xludf.DUMMYFUNCTION("""COMPUTED_VALUE"""),0.0)</f>
        <v>0</v>
      </c>
      <c r="F2530" s="273">
        <f>IFERROR(__xludf.DUMMYFUNCTION("""COMPUTED_VALUE"""),4.0)</f>
        <v>4</v>
      </c>
      <c r="G2530" t="str">
        <f>IFERROR(__xludf.DUMMYFUNCTION("""COMPUTED_VALUE"""),"Sabun batang 1 Box ( 2 PCS )")</f>
        <v>Sabun batang 1 Box ( 2 PCS )</v>
      </c>
      <c r="H2530" s="469"/>
      <c r="I2530" s="470"/>
      <c r="K2530" s="470"/>
      <c r="M2530" s="470"/>
      <c r="O2530" s="470"/>
    </row>
    <row r="2531">
      <c r="A2531" s="282" t="str">
        <f>IFERROR(__xludf.DUMMYFUNCTION("""COMPUTED_VALUE"""),"MICRO")</f>
        <v>MICRO</v>
      </c>
      <c r="B2531" s="468" t="str">
        <f>IFERROR(__xludf.DUMMYFUNCTION("""COMPUTED_VALUE"""),"is_stwti")</f>
        <v>is_stwti</v>
      </c>
      <c r="C2531" s="283" t="str">
        <f>IFERROR(__xludf.DUMMYFUNCTION("""COMPUTED_VALUE"""),"https://www.tiktok.com/@is_stwti")</f>
        <v>https://www.tiktok.com/@is_stwti</v>
      </c>
      <c r="D2531" s="273">
        <f>IFERROR(__xludf.DUMMYFUNCTION("""COMPUTED_VALUE"""),8.5220278659E10)</f>
        <v>85220278659</v>
      </c>
      <c r="E2531" s="458">
        <f>IFERROR(__xludf.DUMMYFUNCTION("""COMPUTED_VALUE"""),0.0)</f>
        <v>0</v>
      </c>
      <c r="F2531" s="273">
        <f>IFERROR(__xludf.DUMMYFUNCTION("""COMPUTED_VALUE"""),4.0)</f>
        <v>4</v>
      </c>
      <c r="G2531" t="str">
        <f>IFERROR(__xludf.DUMMYFUNCTION("""COMPUTED_VALUE"""),"Sabun batang 1 Box ( 2 PCS )")</f>
        <v>Sabun batang 1 Box ( 2 PCS )</v>
      </c>
      <c r="H2531" s="469"/>
      <c r="I2531" s="470"/>
      <c r="K2531" s="470"/>
      <c r="M2531" s="470"/>
      <c r="O2531" s="470"/>
    </row>
    <row r="2532">
      <c r="A2532" s="282" t="str">
        <f>IFERROR(__xludf.DUMMYFUNCTION("""COMPUTED_VALUE"""),"MICRO")</f>
        <v>MICRO</v>
      </c>
      <c r="B2532" s="468" t="str">
        <f>IFERROR(__xludf.DUMMYFUNCTION("""COMPUTED_VALUE"""),"simanismungil")</f>
        <v>simanismungil</v>
      </c>
      <c r="C2532" s="283" t="str">
        <f>IFERROR(__xludf.DUMMYFUNCTION("""COMPUTED_VALUE"""),"https://www.tiktok.com/@simanismungil")</f>
        <v>https://www.tiktok.com/@simanismungil</v>
      </c>
      <c r="D2532" s="273">
        <f>IFERROR(__xludf.DUMMYFUNCTION("""COMPUTED_VALUE"""),8.2332594917E10)</f>
        <v>82332594917</v>
      </c>
      <c r="E2532" s="458">
        <f>IFERROR(__xludf.DUMMYFUNCTION("""COMPUTED_VALUE"""),0.0)</f>
        <v>0</v>
      </c>
      <c r="F2532" s="273">
        <f>IFERROR(__xludf.DUMMYFUNCTION("""COMPUTED_VALUE"""),4.0)</f>
        <v>4</v>
      </c>
      <c r="G2532" t="str">
        <f>IFERROR(__xludf.DUMMYFUNCTION("""COMPUTED_VALUE"""),"Sabun batang 1 Box ( 2 PCS )")</f>
        <v>Sabun batang 1 Box ( 2 PCS )</v>
      </c>
      <c r="H2532" s="469"/>
      <c r="I2532" s="470"/>
      <c r="K2532" s="470"/>
      <c r="M2532" s="470"/>
      <c r="O2532" s="470"/>
    </row>
    <row r="2533">
      <c r="A2533" s="282" t="str">
        <f>IFERROR(__xludf.DUMMYFUNCTION("""COMPUTED_VALUE"""),"MICRO")</f>
        <v>MICRO</v>
      </c>
      <c r="B2533" s="468" t="str">
        <f>IFERROR(__xludf.DUMMYFUNCTION("""COMPUTED_VALUE"""),"bymeeva04")</f>
        <v>bymeeva04</v>
      </c>
      <c r="C2533" s="283" t="str">
        <f>IFERROR(__xludf.DUMMYFUNCTION("""COMPUTED_VALUE"""),"https://www.tiktok.com/@bymeeva04")</f>
        <v>https://www.tiktok.com/@bymeeva04</v>
      </c>
      <c r="D2533" s="273">
        <f>IFERROR(__xludf.DUMMYFUNCTION("""COMPUTED_VALUE"""),8.954025982E11)</f>
        <v>895402598200</v>
      </c>
      <c r="E2533" s="458">
        <f>IFERROR(__xludf.DUMMYFUNCTION("""COMPUTED_VALUE"""),0.0)</f>
        <v>0</v>
      </c>
      <c r="F2533" s="273">
        <f>IFERROR(__xludf.DUMMYFUNCTION("""COMPUTED_VALUE"""),4.0)</f>
        <v>4</v>
      </c>
      <c r="G2533" t="str">
        <f>IFERROR(__xludf.DUMMYFUNCTION("""COMPUTED_VALUE"""),"Sabun batang 1 Box ( 2 PCS )")</f>
        <v>Sabun batang 1 Box ( 2 PCS )</v>
      </c>
      <c r="H2533" s="469"/>
      <c r="I2533" s="470"/>
      <c r="K2533" s="470"/>
      <c r="M2533" s="470"/>
      <c r="O2533" s="470"/>
    </row>
    <row r="2534">
      <c r="A2534" s="282" t="str">
        <f>IFERROR(__xludf.DUMMYFUNCTION("""COMPUTED_VALUE"""),"MICRO")</f>
        <v>MICRO</v>
      </c>
      <c r="B2534" s="468" t="str">
        <f>IFERROR(__xludf.DUMMYFUNCTION("""COMPUTED_VALUE"""),"hananalghonni1")</f>
        <v>hananalghonni1</v>
      </c>
      <c r="C2534" s="283" t="str">
        <f>IFERROR(__xludf.DUMMYFUNCTION("""COMPUTED_VALUE"""),"https://www.tiktok.com/@hananalghonni1")</f>
        <v>https://www.tiktok.com/@hananalghonni1</v>
      </c>
      <c r="D2534" s="273">
        <f>IFERROR(__xludf.DUMMYFUNCTION("""COMPUTED_VALUE"""),8.5724306697E10)</f>
        <v>85724306697</v>
      </c>
      <c r="E2534" s="458">
        <f>IFERROR(__xludf.DUMMYFUNCTION("""COMPUTED_VALUE"""),0.0)</f>
        <v>0</v>
      </c>
      <c r="F2534" s="273">
        <f>IFERROR(__xludf.DUMMYFUNCTION("""COMPUTED_VALUE"""),4.0)</f>
        <v>4</v>
      </c>
      <c r="G2534" t="str">
        <f>IFERROR(__xludf.DUMMYFUNCTION("""COMPUTED_VALUE"""),"Sabun batang 1 Box ( 2 PCS )")</f>
        <v>Sabun batang 1 Box ( 2 PCS )</v>
      </c>
      <c r="H2534" s="469"/>
      <c r="I2534" s="470"/>
      <c r="K2534" s="470"/>
      <c r="M2534" s="470"/>
      <c r="O2534" s="470"/>
    </row>
    <row r="2535">
      <c r="A2535" s="282" t="str">
        <f>IFERROR(__xludf.DUMMYFUNCTION("""COMPUTED_VALUE"""),"MICRO")</f>
        <v>MICRO</v>
      </c>
      <c r="B2535" s="468" t="str">
        <f>IFERROR(__xludf.DUMMYFUNCTION("""COMPUTED_VALUE"""),"shawtyaaa__")</f>
        <v>shawtyaaa__</v>
      </c>
      <c r="C2535" s="283" t="str">
        <f>IFERROR(__xludf.DUMMYFUNCTION("""COMPUTED_VALUE"""),"https://www.tiktok.com/@shawtyaaa__")</f>
        <v>https://www.tiktok.com/@shawtyaaa__</v>
      </c>
      <c r="D2535" s="273">
        <f>IFERROR(__xludf.DUMMYFUNCTION("""COMPUTED_VALUE"""),8.81011039629E11)</f>
        <v>881011039629</v>
      </c>
      <c r="E2535" s="458">
        <f>IFERROR(__xludf.DUMMYFUNCTION("""COMPUTED_VALUE"""),0.0)</f>
        <v>0</v>
      </c>
      <c r="F2535" s="273">
        <f>IFERROR(__xludf.DUMMYFUNCTION("""COMPUTED_VALUE"""),4.0)</f>
        <v>4</v>
      </c>
      <c r="G2535" t="str">
        <f>IFERROR(__xludf.DUMMYFUNCTION("""COMPUTED_VALUE"""),"Sabun batang 1 Box ( 2 PCS )")</f>
        <v>Sabun batang 1 Box ( 2 PCS )</v>
      </c>
      <c r="H2535" s="469"/>
      <c r="I2535" s="470"/>
      <c r="K2535" s="470"/>
      <c r="M2535" s="470"/>
      <c r="O2535" s="470"/>
    </row>
    <row r="2536">
      <c r="A2536" s="282" t="str">
        <f>IFERROR(__xludf.DUMMYFUNCTION("""COMPUTED_VALUE"""),"MICRO")</f>
        <v>MICRO</v>
      </c>
      <c r="B2536" s="468" t="str">
        <f>IFERROR(__xludf.DUMMYFUNCTION("""COMPUTED_VALUE"""),"falisha.chaca")</f>
        <v>falisha.chaca</v>
      </c>
      <c r="C2536" s="283" t="str">
        <f>IFERROR(__xludf.DUMMYFUNCTION("""COMPUTED_VALUE"""),"https://www.tiktok.com/@falisha.chaca")</f>
        <v>https://www.tiktok.com/@falisha.chaca</v>
      </c>
      <c r="D2536" s="273">
        <f>IFERROR(__xludf.DUMMYFUNCTION("""COMPUTED_VALUE"""),8.9516150908E10)</f>
        <v>89516150908</v>
      </c>
      <c r="E2536" s="458">
        <f>IFERROR(__xludf.DUMMYFUNCTION("""COMPUTED_VALUE"""),0.0)</f>
        <v>0</v>
      </c>
      <c r="F2536" s="273">
        <f>IFERROR(__xludf.DUMMYFUNCTION("""COMPUTED_VALUE"""),4.0)</f>
        <v>4</v>
      </c>
      <c r="G2536" t="str">
        <f>IFERROR(__xludf.DUMMYFUNCTION("""COMPUTED_VALUE"""),"Sabun batang 1 Box ( 2 PCS )")</f>
        <v>Sabun batang 1 Box ( 2 PCS )</v>
      </c>
      <c r="H2536" s="469"/>
      <c r="I2536" s="470"/>
      <c r="K2536" s="470"/>
      <c r="M2536" s="470"/>
      <c r="O2536" s="470"/>
    </row>
    <row r="2537">
      <c r="A2537" s="282" t="str">
        <f>IFERROR(__xludf.DUMMYFUNCTION("""COMPUTED_VALUE"""),"MICRO")</f>
        <v>MICRO</v>
      </c>
      <c r="B2537" s="468" t="str">
        <f>IFERROR(__xludf.DUMMYFUNCTION("""COMPUTED_VALUE"""),"woelovcha")</f>
        <v>woelovcha</v>
      </c>
      <c r="C2537" s="283" t="str">
        <f>IFERROR(__xludf.DUMMYFUNCTION("""COMPUTED_VALUE"""),"https://www.tiktok.com/@woelovcha")</f>
        <v>https://www.tiktok.com/@woelovcha</v>
      </c>
      <c r="D2537" s="273">
        <f>IFERROR(__xludf.DUMMYFUNCTION("""COMPUTED_VALUE"""),8.9637330874E10)</f>
        <v>89637330874</v>
      </c>
      <c r="E2537" s="458">
        <f>IFERROR(__xludf.DUMMYFUNCTION("""COMPUTED_VALUE"""),0.0)</f>
        <v>0</v>
      </c>
      <c r="F2537" s="273">
        <f>IFERROR(__xludf.DUMMYFUNCTION("""COMPUTED_VALUE"""),4.0)</f>
        <v>4</v>
      </c>
      <c r="G2537" t="str">
        <f>IFERROR(__xludf.DUMMYFUNCTION("""COMPUTED_VALUE"""),"Sabun batang 1 Box ( 2 PCS )")</f>
        <v>Sabun batang 1 Box ( 2 PCS )</v>
      </c>
      <c r="H2537" s="469"/>
      <c r="I2537" s="470"/>
      <c r="K2537" s="470"/>
      <c r="M2537" s="470"/>
      <c r="O2537" s="470"/>
    </row>
    <row r="2538">
      <c r="A2538" s="282" t="str">
        <f>IFERROR(__xludf.DUMMYFUNCTION("""COMPUTED_VALUE"""),"MICRO")</f>
        <v>MICRO</v>
      </c>
      <c r="B2538" s="468" t="str">
        <f>IFERROR(__xludf.DUMMYFUNCTION("""COMPUTED_VALUE"""),"nabelasetiadi")</f>
        <v>nabelasetiadi</v>
      </c>
      <c r="C2538" s="283" t="str">
        <f>IFERROR(__xludf.DUMMYFUNCTION("""COMPUTED_VALUE"""),"https://www.tiktok.com/@nabelasetiadi")</f>
        <v>https://www.tiktok.com/@nabelasetiadi</v>
      </c>
      <c r="D2538" s="273">
        <f>IFERROR(__xludf.DUMMYFUNCTION("""COMPUTED_VALUE"""),8.1230959098E10)</f>
        <v>81230959098</v>
      </c>
      <c r="E2538" s="458">
        <f>IFERROR(__xludf.DUMMYFUNCTION("""COMPUTED_VALUE"""),0.0)</f>
        <v>0</v>
      </c>
      <c r="F2538" s="273">
        <f>IFERROR(__xludf.DUMMYFUNCTION("""COMPUTED_VALUE"""),4.0)</f>
        <v>4</v>
      </c>
      <c r="G2538" t="str">
        <f>IFERROR(__xludf.DUMMYFUNCTION("""COMPUTED_VALUE"""),"Sabun batang 1 Box ( 2 PCS )")</f>
        <v>Sabun batang 1 Box ( 2 PCS )</v>
      </c>
      <c r="H2538" s="469"/>
      <c r="I2538" s="470"/>
      <c r="K2538" s="470"/>
      <c r="M2538" s="470"/>
      <c r="O2538" s="470"/>
    </row>
    <row r="2539">
      <c r="A2539" s="282" t="str">
        <f>IFERROR(__xludf.DUMMYFUNCTION("""COMPUTED_VALUE"""),"MICRO")</f>
        <v>MICRO</v>
      </c>
      <c r="B2539" s="468" t="str">
        <f>IFERROR(__xludf.DUMMYFUNCTION("""COMPUTED_VALUE"""),"onja.onya")</f>
        <v>onja.onya</v>
      </c>
      <c r="C2539" s="283" t="str">
        <f>IFERROR(__xludf.DUMMYFUNCTION("""COMPUTED_VALUE"""),"https://www.tiktok.com/@onja.onya")</f>
        <v>https://www.tiktok.com/@onja.onya</v>
      </c>
      <c r="D2539" s="273">
        <f>IFERROR(__xludf.DUMMYFUNCTION("""COMPUTED_VALUE"""),8.3170469138E10)</f>
        <v>83170469138</v>
      </c>
      <c r="E2539" s="458">
        <f>IFERROR(__xludf.DUMMYFUNCTION("""COMPUTED_VALUE"""),0.0)</f>
        <v>0</v>
      </c>
      <c r="F2539" s="273">
        <f>IFERROR(__xludf.DUMMYFUNCTION("""COMPUTED_VALUE"""),4.0)</f>
        <v>4</v>
      </c>
      <c r="G2539" t="str">
        <f>IFERROR(__xludf.DUMMYFUNCTION("""COMPUTED_VALUE"""),"Sabun batang 1 Box ( 2 PCS )")</f>
        <v>Sabun batang 1 Box ( 2 PCS )</v>
      </c>
      <c r="H2539" s="469"/>
      <c r="I2539" s="470"/>
      <c r="K2539" s="470"/>
      <c r="M2539" s="470"/>
      <c r="O2539" s="470"/>
    </row>
    <row r="2540">
      <c r="A2540" s="282" t="str">
        <f>IFERROR(__xludf.DUMMYFUNCTION("""COMPUTED_VALUE"""),"MICRO")</f>
        <v>MICRO</v>
      </c>
      <c r="B2540" s="468" t="str">
        <f>IFERROR(__xludf.DUMMYFUNCTION("""COMPUTED_VALUE"""),"rhismayanaa")</f>
        <v>rhismayanaa</v>
      </c>
      <c r="C2540" s="283" t="str">
        <f>IFERROR(__xludf.DUMMYFUNCTION("""COMPUTED_VALUE"""),"https://www.tiktok.com/@rhismayanaa")</f>
        <v>https://www.tiktok.com/@rhismayanaa</v>
      </c>
      <c r="D2540" s="273">
        <f>IFERROR(__xludf.DUMMYFUNCTION("""COMPUTED_VALUE"""),8.5730278934E10)</f>
        <v>85730278934</v>
      </c>
      <c r="E2540" s="458">
        <f>IFERROR(__xludf.DUMMYFUNCTION("""COMPUTED_VALUE"""),0.0)</f>
        <v>0</v>
      </c>
      <c r="F2540" s="273">
        <f>IFERROR(__xludf.DUMMYFUNCTION("""COMPUTED_VALUE"""),4.0)</f>
        <v>4</v>
      </c>
      <c r="G2540" t="str">
        <f>IFERROR(__xludf.DUMMYFUNCTION("""COMPUTED_VALUE"""),"Sabun batang 1 Box ( 2 PCS )")</f>
        <v>Sabun batang 1 Box ( 2 PCS )</v>
      </c>
      <c r="H2540" s="469"/>
      <c r="I2540" s="470"/>
      <c r="K2540" s="470"/>
      <c r="M2540" s="470"/>
      <c r="O2540" s="470"/>
    </row>
    <row r="2541">
      <c r="A2541" s="282" t="str">
        <f>IFERROR(__xludf.DUMMYFUNCTION("""COMPUTED_VALUE"""),"MICRO")</f>
        <v>MICRO</v>
      </c>
      <c r="B2541" s="468" t="str">
        <f>IFERROR(__xludf.DUMMYFUNCTION("""COMPUTED_VALUE"""),"antikatikak_")</f>
        <v>antikatikak_</v>
      </c>
      <c r="C2541" s="283" t="str">
        <f>IFERROR(__xludf.DUMMYFUNCTION("""COMPUTED_VALUE"""),"https://www.tiktok.com/@antikatikak_")</f>
        <v>https://www.tiktok.com/@antikatikak_</v>
      </c>
      <c r="D2541" s="273">
        <f>IFERROR(__xludf.DUMMYFUNCTION("""COMPUTED_VALUE"""),8.5175207462E10)</f>
        <v>85175207462</v>
      </c>
      <c r="E2541" s="458">
        <f>IFERROR(__xludf.DUMMYFUNCTION("""COMPUTED_VALUE"""),0.0)</f>
        <v>0</v>
      </c>
      <c r="F2541" s="273">
        <f>IFERROR(__xludf.DUMMYFUNCTION("""COMPUTED_VALUE"""),4.0)</f>
        <v>4</v>
      </c>
      <c r="G2541" t="str">
        <f>IFERROR(__xludf.DUMMYFUNCTION("""COMPUTED_VALUE"""),"Sabun batang 1 Box ( 2 PCS )")</f>
        <v>Sabun batang 1 Box ( 2 PCS )</v>
      </c>
      <c r="H2541" s="469"/>
      <c r="I2541" s="470"/>
      <c r="K2541" s="470"/>
      <c r="M2541" s="470"/>
      <c r="O2541" s="470"/>
    </row>
    <row r="2542">
      <c r="A2542" s="282" t="str">
        <f>IFERROR(__xludf.DUMMYFUNCTION("""COMPUTED_VALUE"""),"MICRO")</f>
        <v>MICRO</v>
      </c>
      <c r="B2542" s="468" t="str">
        <f>IFERROR(__xludf.DUMMYFUNCTION("""COMPUTED_VALUE"""),"urccharmmerr")</f>
        <v>urccharmmerr</v>
      </c>
      <c r="C2542" s="283" t="str">
        <f>IFERROR(__xludf.DUMMYFUNCTION("""COMPUTED_VALUE"""),"https://www.tiktok.com/@urccharmmerr")</f>
        <v>https://www.tiktok.com/@urccharmmerr</v>
      </c>
      <c r="D2542" s="273">
        <f>IFERROR(__xludf.DUMMYFUNCTION("""COMPUTED_VALUE"""),8.3121149677E10)</f>
        <v>83121149677</v>
      </c>
      <c r="E2542" s="458">
        <f>IFERROR(__xludf.DUMMYFUNCTION("""COMPUTED_VALUE"""),0.0)</f>
        <v>0</v>
      </c>
      <c r="F2542" s="273">
        <f>IFERROR(__xludf.DUMMYFUNCTION("""COMPUTED_VALUE"""),4.0)</f>
        <v>4</v>
      </c>
      <c r="G2542" t="str">
        <f>IFERROR(__xludf.DUMMYFUNCTION("""COMPUTED_VALUE"""),"Sabun batang 1 Box ( 2 PCS )")</f>
        <v>Sabun batang 1 Box ( 2 PCS )</v>
      </c>
      <c r="H2542" s="469"/>
      <c r="I2542" s="470"/>
      <c r="K2542" s="470"/>
      <c r="M2542" s="470"/>
      <c r="O2542" s="470"/>
    </row>
    <row r="2543">
      <c r="A2543" s="282" t="str">
        <f>IFERROR(__xludf.DUMMYFUNCTION("""COMPUTED_VALUE"""),"MICRO")</f>
        <v>MICRO</v>
      </c>
      <c r="B2543" s="468" t="str">
        <f>IFERROR(__xludf.DUMMYFUNCTION("""COMPUTED_VALUE"""),"bygabryiella")</f>
        <v>bygabryiella</v>
      </c>
      <c r="C2543" s="283" t="str">
        <f>IFERROR(__xludf.DUMMYFUNCTION("""COMPUTED_VALUE"""),"https://www.tiktok.com/@bygabryiella")</f>
        <v>https://www.tiktok.com/@bygabryiella</v>
      </c>
      <c r="D2543" s="273">
        <f>IFERROR(__xludf.DUMMYFUNCTION("""COMPUTED_VALUE"""),8.112344187E9)</f>
        <v>8112344187</v>
      </c>
      <c r="E2543" s="458">
        <f>IFERROR(__xludf.DUMMYFUNCTION("""COMPUTED_VALUE"""),0.0)</f>
        <v>0</v>
      </c>
      <c r="F2543" s="273">
        <f>IFERROR(__xludf.DUMMYFUNCTION("""COMPUTED_VALUE"""),4.0)</f>
        <v>4</v>
      </c>
      <c r="G2543" t="str">
        <f>IFERROR(__xludf.DUMMYFUNCTION("""COMPUTED_VALUE"""),"Sabun batang 1 Box ( 2 PCS )")</f>
        <v>Sabun batang 1 Box ( 2 PCS )</v>
      </c>
      <c r="H2543" s="469"/>
      <c r="I2543" s="470"/>
      <c r="K2543" s="470"/>
      <c r="M2543" s="470"/>
      <c r="O2543" s="470"/>
    </row>
    <row r="2544">
      <c r="A2544" s="282" t="str">
        <f>IFERROR(__xludf.DUMMYFUNCTION("""COMPUTED_VALUE"""),"MICRO")</f>
        <v>MICRO</v>
      </c>
      <c r="B2544" s="468" t="str">
        <f>IFERROR(__xludf.DUMMYFUNCTION("""COMPUTED_VALUE"""),"aquagurls4")</f>
        <v>aquagurls4</v>
      </c>
      <c r="C2544" s="283" t="str">
        <f>IFERROR(__xludf.DUMMYFUNCTION("""COMPUTED_VALUE"""),"https://www.tiktok.com/@aquagurls4")</f>
        <v>https://www.tiktok.com/@aquagurls4</v>
      </c>
      <c r="D2544" s="273">
        <f>IFERROR(__xludf.DUMMYFUNCTION("""COMPUTED_VALUE"""),8.5886861121E10)</f>
        <v>85886861121</v>
      </c>
      <c r="E2544" s="458">
        <f>IFERROR(__xludf.DUMMYFUNCTION("""COMPUTED_VALUE"""),0.0)</f>
        <v>0</v>
      </c>
      <c r="F2544" s="273">
        <f>IFERROR(__xludf.DUMMYFUNCTION("""COMPUTED_VALUE"""),4.0)</f>
        <v>4</v>
      </c>
      <c r="G2544" t="str">
        <f>IFERROR(__xludf.DUMMYFUNCTION("""COMPUTED_VALUE"""),"Sabun batang 1 Box ( 2 PCS )")</f>
        <v>Sabun batang 1 Box ( 2 PCS )</v>
      </c>
      <c r="H2544" s="469"/>
      <c r="I2544" s="470"/>
      <c r="K2544" s="470"/>
      <c r="M2544" s="470"/>
      <c r="O2544" s="470"/>
    </row>
    <row r="2545">
      <c r="A2545" s="282" t="str">
        <f>IFERROR(__xludf.DUMMYFUNCTION("""COMPUTED_VALUE"""),"MICRO")</f>
        <v>MICRO</v>
      </c>
      <c r="B2545" s="468" t="str">
        <f>IFERROR(__xludf.DUMMYFUNCTION("""COMPUTED_VALUE"""),"cloudyexe_")</f>
        <v>cloudyexe_</v>
      </c>
      <c r="C2545" s="283" t="str">
        <f>IFERROR(__xludf.DUMMYFUNCTION("""COMPUTED_VALUE"""),"https://www.tiktok.com/@cloudyexe_")</f>
        <v>https://www.tiktok.com/@cloudyexe_</v>
      </c>
      <c r="D2545" s="273">
        <f>IFERROR(__xludf.DUMMYFUNCTION("""COMPUTED_VALUE"""),8.5336265601E10)</f>
        <v>85336265601</v>
      </c>
      <c r="E2545" s="458">
        <f>IFERROR(__xludf.DUMMYFUNCTION("""COMPUTED_VALUE"""),0.0)</f>
        <v>0</v>
      </c>
      <c r="F2545" s="273">
        <f>IFERROR(__xludf.DUMMYFUNCTION("""COMPUTED_VALUE"""),4.0)</f>
        <v>4</v>
      </c>
      <c r="G2545" t="str">
        <f>IFERROR(__xludf.DUMMYFUNCTION("""COMPUTED_VALUE"""),"Sabun batang 1 Box ( 2 PCS )")</f>
        <v>Sabun batang 1 Box ( 2 PCS )</v>
      </c>
      <c r="H2545" s="469"/>
      <c r="I2545" s="470"/>
      <c r="K2545" s="470"/>
      <c r="M2545" s="470"/>
      <c r="O2545" s="470"/>
    </row>
    <row r="2546">
      <c r="A2546" s="282" t="str">
        <f>IFERROR(__xludf.DUMMYFUNCTION("""COMPUTED_VALUE"""),"MICRO")</f>
        <v>MICRO</v>
      </c>
      <c r="B2546" s="468" t="str">
        <f>IFERROR(__xludf.DUMMYFUNCTION("""COMPUTED_VALUE"""),"hestiwulandr_")</f>
        <v>hestiwulandr_</v>
      </c>
      <c r="C2546" s="283" t="str">
        <f>IFERROR(__xludf.DUMMYFUNCTION("""COMPUTED_VALUE"""),"https://www.tiktok.com/@hestiwulandr_")</f>
        <v>https://www.tiktok.com/@hestiwulandr_</v>
      </c>
      <c r="D2546" s="273">
        <f>IFERROR(__xludf.DUMMYFUNCTION("""COMPUTED_VALUE"""),8.82006866817E11)</f>
        <v>882006866817</v>
      </c>
      <c r="E2546" s="458">
        <f>IFERROR(__xludf.DUMMYFUNCTION("""COMPUTED_VALUE"""),0.0)</f>
        <v>0</v>
      </c>
      <c r="F2546" s="273">
        <f>IFERROR(__xludf.DUMMYFUNCTION("""COMPUTED_VALUE"""),4.0)</f>
        <v>4</v>
      </c>
      <c r="G2546" t="str">
        <f>IFERROR(__xludf.DUMMYFUNCTION("""COMPUTED_VALUE"""),"Sabun batang 1 Box ( 2 PCS )")</f>
        <v>Sabun batang 1 Box ( 2 PCS )</v>
      </c>
      <c r="H2546" s="469"/>
      <c r="I2546" s="470"/>
      <c r="K2546" s="470"/>
      <c r="M2546" s="470"/>
      <c r="O2546" s="470"/>
    </row>
    <row r="2547">
      <c r="A2547" s="282" t="str">
        <f>IFERROR(__xludf.DUMMYFUNCTION("""COMPUTED_VALUE"""),"MICRO")</f>
        <v>MICRO</v>
      </c>
      <c r="B2547" s="468" t="str">
        <f>IFERROR(__xludf.DUMMYFUNCTION("""COMPUTED_VALUE"""),"chrnmccar")</f>
        <v>chrnmccar</v>
      </c>
      <c r="C2547" s="283" t="str">
        <f>IFERROR(__xludf.DUMMYFUNCTION("""COMPUTED_VALUE"""),"https://www.tiktok.com/@chrnmccar")</f>
        <v>https://www.tiktok.com/@chrnmccar</v>
      </c>
      <c r="D2547" s="273">
        <f>IFERROR(__xludf.DUMMYFUNCTION("""COMPUTED_VALUE"""),8.1249481994E10)</f>
        <v>81249481994</v>
      </c>
      <c r="E2547" s="458">
        <f>IFERROR(__xludf.DUMMYFUNCTION("""COMPUTED_VALUE"""),0.0)</f>
        <v>0</v>
      </c>
      <c r="F2547" s="273">
        <f>IFERROR(__xludf.DUMMYFUNCTION("""COMPUTED_VALUE"""),4.0)</f>
        <v>4</v>
      </c>
      <c r="G2547" t="str">
        <f>IFERROR(__xludf.DUMMYFUNCTION("""COMPUTED_VALUE"""),"Sabun batang 1 Box ( 2 PCS )")</f>
        <v>Sabun batang 1 Box ( 2 PCS )</v>
      </c>
      <c r="H2547" s="469"/>
      <c r="I2547" s="470"/>
      <c r="K2547" s="470"/>
      <c r="M2547" s="470"/>
      <c r="O2547" s="470"/>
    </row>
    <row r="2548">
      <c r="A2548" s="282" t="str">
        <f>IFERROR(__xludf.DUMMYFUNCTION("""COMPUTED_VALUE"""),"MICRO")</f>
        <v>MICRO</v>
      </c>
      <c r="B2548" s="468" t="str">
        <f>IFERROR(__xludf.DUMMYFUNCTION("""COMPUTED_VALUE"""),"anastasia_amelia")</f>
        <v>anastasia_amelia</v>
      </c>
      <c r="C2548" s="283" t="str">
        <f>IFERROR(__xludf.DUMMYFUNCTION("""COMPUTED_VALUE"""),"https://www.tiktok.com/@anastasia_amelia")</f>
        <v>https://www.tiktok.com/@anastasia_amelia</v>
      </c>
      <c r="D2548" s="273">
        <f>IFERROR(__xludf.DUMMYFUNCTION("""COMPUTED_VALUE"""),8.2333303005E10)</f>
        <v>82333303005</v>
      </c>
      <c r="E2548" s="458">
        <f>IFERROR(__xludf.DUMMYFUNCTION("""COMPUTED_VALUE"""),0.0)</f>
        <v>0</v>
      </c>
      <c r="F2548" s="273">
        <f>IFERROR(__xludf.DUMMYFUNCTION("""COMPUTED_VALUE"""),4.0)</f>
        <v>4</v>
      </c>
      <c r="G2548" t="str">
        <f>IFERROR(__xludf.DUMMYFUNCTION("""COMPUTED_VALUE"""),"Sabun batang 1 Box ( 2 PCS )")</f>
        <v>Sabun batang 1 Box ( 2 PCS )</v>
      </c>
      <c r="H2548" s="469"/>
      <c r="I2548" s="470"/>
      <c r="K2548" s="470"/>
      <c r="M2548" s="470"/>
      <c r="O2548" s="470"/>
    </row>
    <row r="2549">
      <c r="A2549" s="282" t="str">
        <f>IFERROR(__xludf.DUMMYFUNCTION("""COMPUTED_VALUE"""),"MICRO")</f>
        <v>MICRO</v>
      </c>
      <c r="B2549" s="468" t="str">
        <f>IFERROR(__xludf.DUMMYFUNCTION("""COMPUTED_VALUE"""),"hallo_ingri")</f>
        <v>hallo_ingri</v>
      </c>
      <c r="C2549" s="283" t="str">
        <f>IFERROR(__xludf.DUMMYFUNCTION("""COMPUTED_VALUE"""),"https://www.tiktok.com/@hallo_ingri")</f>
        <v>https://www.tiktok.com/@hallo_ingri</v>
      </c>
      <c r="D2549" s="273">
        <f>IFERROR(__xludf.DUMMYFUNCTION("""COMPUTED_VALUE"""),8.229494566E10)</f>
        <v>82294945660</v>
      </c>
      <c r="E2549" s="458">
        <f>IFERROR(__xludf.DUMMYFUNCTION("""COMPUTED_VALUE"""),0.0)</f>
        <v>0</v>
      </c>
      <c r="F2549" s="273">
        <f>IFERROR(__xludf.DUMMYFUNCTION("""COMPUTED_VALUE"""),4.0)</f>
        <v>4</v>
      </c>
      <c r="G2549" t="str">
        <f>IFERROR(__xludf.DUMMYFUNCTION("""COMPUTED_VALUE"""),"Sabun batang 1 Box ( 2 PCS )")</f>
        <v>Sabun batang 1 Box ( 2 PCS )</v>
      </c>
      <c r="H2549" s="469"/>
      <c r="I2549" s="470"/>
      <c r="K2549" s="470"/>
      <c r="M2549" s="470"/>
      <c r="O2549" s="470"/>
    </row>
    <row r="2550">
      <c r="A2550" s="282" t="str">
        <f>IFERROR(__xludf.DUMMYFUNCTION("""COMPUTED_VALUE"""),"MICRO")</f>
        <v>MICRO</v>
      </c>
      <c r="B2550" s="468" t="str">
        <f>IFERROR(__xludf.DUMMYFUNCTION("""COMPUTED_VALUE"""),"its.tasyaas")</f>
        <v>its.tasyaas</v>
      </c>
      <c r="C2550" s="283" t="str">
        <f>IFERROR(__xludf.DUMMYFUNCTION("""COMPUTED_VALUE"""),"https://www.tiktok.com/@its.tasyaas")</f>
        <v>https://www.tiktok.com/@its.tasyaas</v>
      </c>
      <c r="D2550" s="273">
        <f>IFERROR(__xludf.DUMMYFUNCTION("""COMPUTED_VALUE"""),8.9503606696E10)</f>
        <v>89503606696</v>
      </c>
      <c r="E2550" s="458">
        <f>IFERROR(__xludf.DUMMYFUNCTION("""COMPUTED_VALUE"""),0.0)</f>
        <v>0</v>
      </c>
      <c r="F2550" s="273">
        <f>IFERROR(__xludf.DUMMYFUNCTION("""COMPUTED_VALUE"""),2.0)</f>
        <v>2</v>
      </c>
      <c r="G2550" t="str">
        <f>IFERROR(__xludf.DUMMYFUNCTION("""COMPUTED_VALUE"""),"Sabun batang 1 Box ( 2 PCS )")</f>
        <v>Sabun batang 1 Box ( 2 PCS )</v>
      </c>
      <c r="H2550" s="469"/>
      <c r="I2550" s="470"/>
      <c r="K2550" s="470"/>
      <c r="M2550" s="470"/>
      <c r="O2550" s="470"/>
    </row>
    <row r="2551">
      <c r="A2551" s="282" t="str">
        <f>IFERROR(__xludf.DUMMYFUNCTION("""COMPUTED_VALUE"""),"MICRO")</f>
        <v>MICRO</v>
      </c>
      <c r="B2551" s="468" t="str">
        <f>IFERROR(__xludf.DUMMYFUNCTION("""COMPUTED_VALUE"""),"koleksi_byrama")</f>
        <v>koleksi_byrama</v>
      </c>
      <c r="C2551" s="283" t="str">
        <f>IFERROR(__xludf.DUMMYFUNCTION("""COMPUTED_VALUE"""),"https://www.tiktok.com/@koleksi_byrama")</f>
        <v>https://www.tiktok.com/@koleksi_byrama</v>
      </c>
      <c r="D2551" s="273">
        <f>IFERROR(__xludf.DUMMYFUNCTION("""COMPUTED_VALUE"""),8.1324699177E10)</f>
        <v>81324699177</v>
      </c>
      <c r="E2551" s="458">
        <f>IFERROR(__xludf.DUMMYFUNCTION("""COMPUTED_VALUE"""),0.0)</f>
        <v>0</v>
      </c>
      <c r="F2551" s="273">
        <f>IFERROR(__xludf.DUMMYFUNCTION("""COMPUTED_VALUE"""),4.0)</f>
        <v>4</v>
      </c>
      <c r="G2551" t="str">
        <f>IFERROR(__xludf.DUMMYFUNCTION("""COMPUTED_VALUE"""),"Sabun batang 1 Box ( 2 PCS )")</f>
        <v>Sabun batang 1 Box ( 2 PCS )</v>
      </c>
      <c r="H2551" s="469"/>
      <c r="I2551" s="470"/>
      <c r="K2551" s="470"/>
      <c r="M2551" s="470"/>
      <c r="O2551" s="470"/>
    </row>
    <row r="2552">
      <c r="A2552" s="282" t="str">
        <f>IFERROR(__xludf.DUMMYFUNCTION("""COMPUTED_VALUE"""),"MICRO")</f>
        <v>MICRO</v>
      </c>
      <c r="B2552" s="468" t="str">
        <f>IFERROR(__xludf.DUMMYFUNCTION("""COMPUTED_VALUE"""),"peopleleskom")</f>
        <v>peopleleskom</v>
      </c>
      <c r="C2552" s="283" t="str">
        <f>IFERROR(__xludf.DUMMYFUNCTION("""COMPUTED_VALUE"""),"https://www.tiktok.com/@peopleleskom")</f>
        <v>https://www.tiktok.com/@peopleleskom</v>
      </c>
      <c r="D2552" s="273">
        <f>IFERROR(__xludf.DUMMYFUNCTION("""COMPUTED_VALUE"""),8.5122541964E10)</f>
        <v>85122541964</v>
      </c>
      <c r="E2552" s="458">
        <f>IFERROR(__xludf.DUMMYFUNCTION("""COMPUTED_VALUE"""),0.0)</f>
        <v>0</v>
      </c>
      <c r="F2552" s="273">
        <f>IFERROR(__xludf.DUMMYFUNCTION("""COMPUTED_VALUE"""),4.0)</f>
        <v>4</v>
      </c>
      <c r="G2552" t="str">
        <f>IFERROR(__xludf.DUMMYFUNCTION("""COMPUTED_VALUE"""),"Sabun batang 1 Box ( 2 PCS )")</f>
        <v>Sabun batang 1 Box ( 2 PCS )</v>
      </c>
      <c r="H2552" s="469"/>
      <c r="I2552" s="470"/>
      <c r="K2552" s="470"/>
      <c r="M2552" s="470"/>
      <c r="O2552" s="470"/>
    </row>
    <row r="2553">
      <c r="A2553" s="282" t="str">
        <f>IFERROR(__xludf.DUMMYFUNCTION("""COMPUTED_VALUE"""),"MICRO")</f>
        <v>MICRO</v>
      </c>
      <c r="B2553" s="468" t="str">
        <f>IFERROR(__xludf.DUMMYFUNCTION("""COMPUTED_VALUE"""),"claudyagbrl2")</f>
        <v>claudyagbrl2</v>
      </c>
      <c r="C2553" s="283" t="str">
        <f>IFERROR(__xludf.DUMMYFUNCTION("""COMPUTED_VALUE"""),"https://www.tiktok.com/@claudyagbrl2")</f>
        <v>https://www.tiktok.com/@claudyagbrl2</v>
      </c>
      <c r="D2553" s="273">
        <f>IFERROR(__xludf.DUMMYFUNCTION("""COMPUTED_VALUE"""),8.3811813804E10)</f>
        <v>83811813804</v>
      </c>
      <c r="E2553" s="458">
        <f>IFERROR(__xludf.DUMMYFUNCTION("""COMPUTED_VALUE"""),0.0)</f>
        <v>0</v>
      </c>
      <c r="F2553" s="273">
        <f>IFERROR(__xludf.DUMMYFUNCTION("""COMPUTED_VALUE"""),4.0)</f>
        <v>4</v>
      </c>
      <c r="G2553" t="str">
        <f>IFERROR(__xludf.DUMMYFUNCTION("""COMPUTED_VALUE"""),"Sabun batang 1 Box ( 2 PCS )")</f>
        <v>Sabun batang 1 Box ( 2 PCS )</v>
      </c>
      <c r="H2553" s="469"/>
      <c r="I2553" s="470"/>
      <c r="K2553" s="470"/>
      <c r="M2553" s="470"/>
      <c r="O2553" s="470"/>
    </row>
    <row r="2554">
      <c r="A2554" s="282" t="str">
        <f>IFERROR(__xludf.DUMMYFUNCTION("""COMPUTED_VALUE"""),"MICRO")</f>
        <v>MICRO</v>
      </c>
      <c r="B2554" s="468" t="str">
        <f>IFERROR(__xludf.DUMMYFUNCTION("""COMPUTED_VALUE"""),"_cshaani")</f>
        <v>_cshaani</v>
      </c>
      <c r="C2554" s="283" t="str">
        <f>IFERROR(__xludf.DUMMYFUNCTION("""COMPUTED_VALUE"""),"https://www.tiktok.com/@_cshaani")</f>
        <v>https://www.tiktok.com/@_cshaani</v>
      </c>
      <c r="D2554" s="273">
        <f>IFERROR(__xludf.DUMMYFUNCTION("""COMPUTED_VALUE"""),8.2295667488E10)</f>
        <v>82295667488</v>
      </c>
      <c r="E2554" s="458">
        <f>IFERROR(__xludf.DUMMYFUNCTION("""COMPUTED_VALUE"""),0.0)</f>
        <v>0</v>
      </c>
      <c r="F2554" s="273">
        <f>IFERROR(__xludf.DUMMYFUNCTION("""COMPUTED_VALUE"""),4.0)</f>
        <v>4</v>
      </c>
      <c r="G2554" t="str">
        <f>IFERROR(__xludf.DUMMYFUNCTION("""COMPUTED_VALUE"""),"Sabun batang 1 Box ( 2 PCS )")</f>
        <v>Sabun batang 1 Box ( 2 PCS )</v>
      </c>
      <c r="H2554" s="469"/>
      <c r="I2554" s="470"/>
      <c r="K2554" s="470"/>
      <c r="M2554" s="470"/>
      <c r="O2554" s="470"/>
    </row>
    <row r="2555">
      <c r="A2555" s="282" t="str">
        <f>IFERROR(__xludf.DUMMYFUNCTION("""COMPUTED_VALUE"""),"MICRO")</f>
        <v>MICRO</v>
      </c>
      <c r="B2555" s="468" t="str">
        <f>IFERROR(__xludf.DUMMYFUNCTION("""COMPUTED_VALUE"""),"cahayakoleksi27")</f>
        <v>cahayakoleksi27</v>
      </c>
      <c r="C2555" s="283" t="str">
        <f>IFERROR(__xludf.DUMMYFUNCTION("""COMPUTED_VALUE"""),"https://www.tiktok.com/@cahayakoleksi27")</f>
        <v>https://www.tiktok.com/@cahayakoleksi27</v>
      </c>
      <c r="D2555" s="273">
        <f>IFERROR(__xludf.DUMMYFUNCTION("""COMPUTED_VALUE"""),8.2317043008E10)</f>
        <v>82317043008</v>
      </c>
      <c r="E2555" s="458">
        <f>IFERROR(__xludf.DUMMYFUNCTION("""COMPUTED_VALUE"""),0.0)</f>
        <v>0</v>
      </c>
      <c r="F2555" s="273">
        <f>IFERROR(__xludf.DUMMYFUNCTION("""COMPUTED_VALUE"""),4.0)</f>
        <v>4</v>
      </c>
      <c r="G2555" t="str">
        <f>IFERROR(__xludf.DUMMYFUNCTION("""COMPUTED_VALUE"""),"Sabun batang 1 Box ( 2 PCS )")</f>
        <v>Sabun batang 1 Box ( 2 PCS )</v>
      </c>
      <c r="H2555" s="469"/>
      <c r="I2555" s="470"/>
      <c r="K2555" s="470"/>
      <c r="M2555" s="470"/>
      <c r="O2555" s="470"/>
    </row>
    <row r="2556">
      <c r="A2556" s="282" t="str">
        <f>IFERROR(__xludf.DUMMYFUNCTION("""COMPUTED_VALUE"""),"MICRO")</f>
        <v>MICRO</v>
      </c>
      <c r="B2556" s="468" t="str">
        <f>IFERROR(__xludf.DUMMYFUNCTION("""COMPUTED_VALUE"""),"maya_putrifadhillah")</f>
        <v>maya_putrifadhillah</v>
      </c>
      <c r="C2556" s="283" t="str">
        <f>IFERROR(__xludf.DUMMYFUNCTION("""COMPUTED_VALUE"""),"https://www.tiktok.com/@maya_putrifadhillah")</f>
        <v>https://www.tiktok.com/@maya_putrifadhillah</v>
      </c>
      <c r="D2556" s="273">
        <f>IFERROR(__xludf.DUMMYFUNCTION("""COMPUTED_VALUE"""),8.9631927798E10)</f>
        <v>89631927798</v>
      </c>
      <c r="E2556" s="458">
        <f>IFERROR(__xludf.DUMMYFUNCTION("""COMPUTED_VALUE"""),0.0)</f>
        <v>0</v>
      </c>
      <c r="F2556" s="273">
        <f>IFERROR(__xludf.DUMMYFUNCTION("""COMPUTED_VALUE"""),4.0)</f>
        <v>4</v>
      </c>
      <c r="G2556" t="str">
        <f>IFERROR(__xludf.DUMMYFUNCTION("""COMPUTED_VALUE"""),"Sabun batang 1 Box ( 2 PCS )")</f>
        <v>Sabun batang 1 Box ( 2 PCS )</v>
      </c>
      <c r="H2556" s="469"/>
      <c r="I2556" s="470"/>
      <c r="K2556" s="470"/>
      <c r="M2556" s="470"/>
      <c r="O2556" s="470"/>
    </row>
    <row r="2557">
      <c r="A2557" s="282" t="str">
        <f>IFERROR(__xludf.DUMMYFUNCTION("""COMPUTED_VALUE"""),"MICRO")</f>
        <v>MICRO</v>
      </c>
      <c r="B2557" s="468" t="str">
        <f>IFERROR(__xludf.DUMMYFUNCTION("""COMPUTED_VALUE"""),"mima.zioo")</f>
        <v>mima.zioo</v>
      </c>
      <c r="C2557" s="283" t="str">
        <f>IFERROR(__xludf.DUMMYFUNCTION("""COMPUTED_VALUE"""),"https://www.tiktok.com/@mima.zioo")</f>
        <v>https://www.tiktok.com/@mima.zioo</v>
      </c>
      <c r="D2557" s="273">
        <f>IFERROR(__xludf.DUMMYFUNCTION("""COMPUTED_VALUE"""),8.1228820221E10)</f>
        <v>81228820221</v>
      </c>
      <c r="E2557" s="458">
        <f>IFERROR(__xludf.DUMMYFUNCTION("""COMPUTED_VALUE"""),0.0)</f>
        <v>0</v>
      </c>
      <c r="F2557" s="273">
        <f>IFERROR(__xludf.DUMMYFUNCTION("""COMPUTED_VALUE"""),4.0)</f>
        <v>4</v>
      </c>
      <c r="G2557" t="str">
        <f>IFERROR(__xludf.DUMMYFUNCTION("""COMPUTED_VALUE"""),"Sabun batang 1 Box ( 2 PCS )")</f>
        <v>Sabun batang 1 Box ( 2 PCS )</v>
      </c>
      <c r="H2557" s="469"/>
      <c r="I2557" s="470"/>
      <c r="K2557" s="470"/>
      <c r="M2557" s="470"/>
      <c r="O2557" s="470"/>
    </row>
    <row r="2558">
      <c r="A2558" s="282" t="str">
        <f>IFERROR(__xludf.DUMMYFUNCTION("""COMPUTED_VALUE"""),"MICRO")</f>
        <v>MICRO</v>
      </c>
      <c r="B2558" s="468" t="str">
        <f>IFERROR(__xludf.DUMMYFUNCTION("""COMPUTED_VALUE"""),"iraawt1_")</f>
        <v>iraawt1_</v>
      </c>
      <c r="C2558" s="283" t="str">
        <f>IFERROR(__xludf.DUMMYFUNCTION("""COMPUTED_VALUE"""),"https://www.tiktok.com/@iraawt1_")</f>
        <v>https://www.tiktok.com/@iraawt1_</v>
      </c>
      <c r="D2558" s="273">
        <f>IFERROR(__xludf.DUMMYFUNCTION("""COMPUTED_VALUE"""),8.5733715127E10)</f>
        <v>85733715127</v>
      </c>
      <c r="E2558" s="458">
        <f>IFERROR(__xludf.DUMMYFUNCTION("""COMPUTED_VALUE"""),0.0)</f>
        <v>0</v>
      </c>
      <c r="F2558" s="273">
        <f>IFERROR(__xludf.DUMMYFUNCTION("""COMPUTED_VALUE"""),2.0)</f>
        <v>2</v>
      </c>
      <c r="G2558" t="str">
        <f>IFERROR(__xludf.DUMMYFUNCTION("""COMPUTED_VALUE"""),"Sabun batang 1 Box ( 2 PCS )")</f>
        <v>Sabun batang 1 Box ( 2 PCS )</v>
      </c>
      <c r="H2558" s="469"/>
      <c r="I2558" s="470"/>
      <c r="K2558" s="470"/>
      <c r="M2558" s="470"/>
      <c r="O2558" s="470"/>
    </row>
    <row r="2559">
      <c r="A2559" s="282" t="str">
        <f>IFERROR(__xludf.DUMMYFUNCTION("""COMPUTED_VALUE"""),"MICRO")</f>
        <v>MICRO</v>
      </c>
      <c r="B2559" s="468" t="str">
        <f>IFERROR(__xludf.DUMMYFUNCTION("""COMPUTED_VALUE"""),"dianace_")</f>
        <v>dianace_</v>
      </c>
      <c r="C2559" s="283" t="str">
        <f>IFERROR(__xludf.DUMMYFUNCTION("""COMPUTED_VALUE"""),"https://www.tiktok.com/@dianace_")</f>
        <v>https://www.tiktok.com/@dianace_</v>
      </c>
      <c r="D2559" s="273">
        <f>IFERROR(__xludf.DUMMYFUNCTION("""COMPUTED_VALUE"""),8.788509655E10)</f>
        <v>87885096550</v>
      </c>
      <c r="E2559" s="458">
        <f>IFERROR(__xludf.DUMMYFUNCTION("""COMPUTED_VALUE"""),0.0)</f>
        <v>0</v>
      </c>
      <c r="F2559" s="273">
        <f>IFERROR(__xludf.DUMMYFUNCTION("""COMPUTED_VALUE"""),4.0)</f>
        <v>4</v>
      </c>
      <c r="G2559" t="str">
        <f>IFERROR(__xludf.DUMMYFUNCTION("""COMPUTED_VALUE"""),"Sabun batang 1 Box ( 2 PCS )")</f>
        <v>Sabun batang 1 Box ( 2 PCS )</v>
      </c>
      <c r="H2559" s="469"/>
      <c r="I2559" s="470"/>
      <c r="K2559" s="470"/>
      <c r="M2559" s="470"/>
      <c r="O2559" s="470"/>
    </row>
    <row r="2560">
      <c r="A2560" s="282" t="str">
        <f>IFERROR(__xludf.DUMMYFUNCTION("""COMPUTED_VALUE"""),"MICRO")</f>
        <v>MICRO</v>
      </c>
      <c r="B2560" s="468" t="str">
        <f>IFERROR(__xludf.DUMMYFUNCTION("""COMPUTED_VALUE"""),"shyniaa39")</f>
        <v>shyniaa39</v>
      </c>
      <c r="C2560" s="283" t="str">
        <f>IFERROR(__xludf.DUMMYFUNCTION("""COMPUTED_VALUE"""),"https://www.tiktok.com/@shyniaa39")</f>
        <v>https://www.tiktok.com/@shyniaa39</v>
      </c>
      <c r="D2560" s="273">
        <f>IFERROR(__xludf.DUMMYFUNCTION("""COMPUTED_VALUE"""),8.3136263477E10)</f>
        <v>83136263477</v>
      </c>
      <c r="E2560" s="458">
        <f>IFERROR(__xludf.DUMMYFUNCTION("""COMPUTED_VALUE"""),0.0)</f>
        <v>0</v>
      </c>
      <c r="F2560" s="273">
        <f>IFERROR(__xludf.DUMMYFUNCTION("""COMPUTED_VALUE"""),4.0)</f>
        <v>4</v>
      </c>
      <c r="G2560" t="str">
        <f>IFERROR(__xludf.DUMMYFUNCTION("""COMPUTED_VALUE"""),"Sabun batang 1 Box ( 2 PCS )")</f>
        <v>Sabun batang 1 Box ( 2 PCS )</v>
      </c>
      <c r="H2560" s="469"/>
      <c r="I2560" s="470"/>
      <c r="K2560" s="470"/>
      <c r="M2560" s="470"/>
      <c r="O2560" s="470"/>
    </row>
    <row r="2561">
      <c r="A2561" s="282" t="str">
        <f>IFERROR(__xludf.DUMMYFUNCTION("""COMPUTED_VALUE"""),"MICRO")</f>
        <v>MICRO</v>
      </c>
      <c r="B2561" s="468" t="str">
        <f>IFERROR(__xludf.DUMMYFUNCTION("""COMPUTED_VALUE"""),"aquarius_mav.09")</f>
        <v>aquarius_mav.09</v>
      </c>
      <c r="C2561" s="283" t="str">
        <f>IFERROR(__xludf.DUMMYFUNCTION("""COMPUTED_VALUE"""),"https://www.tiktok.com/@aquarius_mav.09")</f>
        <v>https://www.tiktok.com/@aquarius_mav.09</v>
      </c>
      <c r="D2561" s="273">
        <f>IFERROR(__xludf.DUMMYFUNCTION("""COMPUTED_VALUE"""),8.129532932E10)</f>
        <v>81295329320</v>
      </c>
      <c r="E2561" s="458">
        <f>IFERROR(__xludf.DUMMYFUNCTION("""COMPUTED_VALUE"""),0.0)</f>
        <v>0</v>
      </c>
      <c r="F2561" s="273">
        <f>IFERROR(__xludf.DUMMYFUNCTION("""COMPUTED_VALUE"""),4.0)</f>
        <v>4</v>
      </c>
      <c r="G2561" t="str">
        <f>IFERROR(__xludf.DUMMYFUNCTION("""COMPUTED_VALUE"""),"Sabun batang 1 Box ( 2 PCS )")</f>
        <v>Sabun batang 1 Box ( 2 PCS )</v>
      </c>
      <c r="H2561" s="469"/>
      <c r="I2561" s="470"/>
      <c r="K2561" s="470"/>
      <c r="M2561" s="470"/>
      <c r="O2561" s="470"/>
    </row>
    <row r="2562">
      <c r="A2562" s="282" t="str">
        <f>IFERROR(__xludf.DUMMYFUNCTION("""COMPUTED_VALUE"""),"MICRO")</f>
        <v>MICRO</v>
      </c>
      <c r="B2562" s="468" t="str">
        <f>IFERROR(__xludf.DUMMYFUNCTION("""COMPUTED_VALUE"""),"putridevv1")</f>
        <v>putridevv1</v>
      </c>
      <c r="C2562" s="283" t="str">
        <f>IFERROR(__xludf.DUMMYFUNCTION("""COMPUTED_VALUE"""),"https://www.tiktok.com/@putridevv1")</f>
        <v>https://www.tiktok.com/@putridevv1</v>
      </c>
      <c r="D2562" s="273">
        <f>IFERROR(__xludf.DUMMYFUNCTION("""COMPUTED_VALUE"""),8.7832517525E10)</f>
        <v>87832517525</v>
      </c>
      <c r="E2562" s="458">
        <f>IFERROR(__xludf.DUMMYFUNCTION("""COMPUTED_VALUE"""),0.0)</f>
        <v>0</v>
      </c>
      <c r="F2562" s="273">
        <f>IFERROR(__xludf.DUMMYFUNCTION("""COMPUTED_VALUE"""),4.0)</f>
        <v>4</v>
      </c>
      <c r="G2562" t="str">
        <f>IFERROR(__xludf.DUMMYFUNCTION("""COMPUTED_VALUE"""),"Sabun batang 1 Box ( 2 PCS )")</f>
        <v>Sabun batang 1 Box ( 2 PCS )</v>
      </c>
      <c r="H2562" s="469"/>
      <c r="I2562" s="470"/>
      <c r="K2562" s="470"/>
      <c r="M2562" s="470"/>
      <c r="O2562" s="470"/>
    </row>
    <row r="2563">
      <c r="A2563" s="282" t="str">
        <f>IFERROR(__xludf.DUMMYFUNCTION("""COMPUTED_VALUE"""),"MICRO")</f>
        <v>MICRO</v>
      </c>
      <c r="B2563" s="468" t="str">
        <f>IFERROR(__xludf.DUMMYFUNCTION("""COMPUTED_VALUE"""),"tokoadiba17")</f>
        <v>tokoadiba17</v>
      </c>
      <c r="C2563" s="283" t="str">
        <f>IFERROR(__xludf.DUMMYFUNCTION("""COMPUTED_VALUE"""),"https://www.tiktok.com/@tokoadiba17")</f>
        <v>https://www.tiktok.com/@tokoadiba17</v>
      </c>
      <c r="D2563" s="273">
        <f>IFERROR(__xludf.DUMMYFUNCTION("""COMPUTED_VALUE"""),8.5814828329E10)</f>
        <v>85814828329</v>
      </c>
      <c r="E2563" s="458">
        <f>IFERROR(__xludf.DUMMYFUNCTION("""COMPUTED_VALUE"""),0.0)</f>
        <v>0</v>
      </c>
      <c r="F2563" s="273">
        <f>IFERROR(__xludf.DUMMYFUNCTION("""COMPUTED_VALUE"""),4.0)</f>
        <v>4</v>
      </c>
      <c r="G2563" t="str">
        <f>IFERROR(__xludf.DUMMYFUNCTION("""COMPUTED_VALUE"""),"Sabun batang 1 Box ( 2 PCS )")</f>
        <v>Sabun batang 1 Box ( 2 PCS )</v>
      </c>
      <c r="H2563" s="469"/>
      <c r="I2563" s="470"/>
      <c r="K2563" s="470"/>
      <c r="M2563" s="470"/>
      <c r="O2563" s="470"/>
    </row>
    <row r="2564">
      <c r="A2564" s="282" t="str">
        <f>IFERROR(__xludf.DUMMYFUNCTION("""COMPUTED_VALUE"""),"MICRO")</f>
        <v>MICRO</v>
      </c>
      <c r="B2564" s="468" t="str">
        <f>IFERROR(__xludf.DUMMYFUNCTION("""COMPUTED_VALUE"""),"livia_abas")</f>
        <v>livia_abas</v>
      </c>
      <c r="C2564" s="283" t="str">
        <f>IFERROR(__xludf.DUMMYFUNCTION("""COMPUTED_VALUE"""),"https://www.tiktok.com/@livia_abas")</f>
        <v>https://www.tiktok.com/@livia_abas</v>
      </c>
      <c r="D2564" s="273">
        <f>IFERROR(__xludf.DUMMYFUNCTION("""COMPUTED_VALUE"""),8.2232803278E10)</f>
        <v>82232803278</v>
      </c>
      <c r="E2564" s="458">
        <f>IFERROR(__xludf.DUMMYFUNCTION("""COMPUTED_VALUE"""),0.0)</f>
        <v>0</v>
      </c>
      <c r="F2564" s="273">
        <f>IFERROR(__xludf.DUMMYFUNCTION("""COMPUTED_VALUE"""),4.0)</f>
        <v>4</v>
      </c>
      <c r="G2564" t="str">
        <f>IFERROR(__xludf.DUMMYFUNCTION("""COMPUTED_VALUE"""),"Sabun batang 1 Box ( 2 PCS )")</f>
        <v>Sabun batang 1 Box ( 2 PCS )</v>
      </c>
      <c r="H2564" s="469"/>
      <c r="I2564" s="470"/>
      <c r="K2564" s="470"/>
      <c r="M2564" s="470"/>
      <c r="O2564" s="470"/>
    </row>
    <row r="2565">
      <c r="A2565" s="282" t="str">
        <f>IFERROR(__xludf.DUMMYFUNCTION("""COMPUTED_VALUE"""),"MICRO")</f>
        <v>MICRO</v>
      </c>
      <c r="B2565" s="468" t="str">
        <f>IFERROR(__xludf.DUMMYFUNCTION("""COMPUTED_VALUE"""),"moms_masaru")</f>
        <v>moms_masaru</v>
      </c>
      <c r="C2565" s="283" t="str">
        <f>IFERROR(__xludf.DUMMYFUNCTION("""COMPUTED_VALUE"""),"https://www.tiktok.com/@moms_masaru")</f>
        <v>https://www.tiktok.com/@moms_masaru</v>
      </c>
      <c r="D2565" s="273">
        <f>IFERROR(__xludf.DUMMYFUNCTION("""COMPUTED_VALUE"""),8.1369763577E10)</f>
        <v>81369763577</v>
      </c>
      <c r="E2565" s="458">
        <f>IFERROR(__xludf.DUMMYFUNCTION("""COMPUTED_VALUE"""),0.0)</f>
        <v>0</v>
      </c>
      <c r="F2565" s="273">
        <f>IFERROR(__xludf.DUMMYFUNCTION("""COMPUTED_VALUE"""),4.0)</f>
        <v>4</v>
      </c>
      <c r="G2565" t="str">
        <f>IFERROR(__xludf.DUMMYFUNCTION("""COMPUTED_VALUE"""),"Sabun batang 1 Box ( 2 PCS )")</f>
        <v>Sabun batang 1 Box ( 2 PCS )</v>
      </c>
      <c r="H2565" s="469"/>
      <c r="I2565" s="470"/>
      <c r="K2565" s="470"/>
      <c r="M2565" s="470"/>
      <c r="O2565" s="470"/>
    </row>
    <row r="2566">
      <c r="A2566" s="282" t="str">
        <f>IFERROR(__xludf.DUMMYFUNCTION("""COMPUTED_VALUE"""),"MICRO")</f>
        <v>MICRO</v>
      </c>
      <c r="B2566" s="468" t="str">
        <f>IFERROR(__xludf.DUMMYFUNCTION("""COMPUTED_VALUE"""),"isviewulandaaaa")</f>
        <v>isviewulandaaaa</v>
      </c>
      <c r="C2566" s="283" t="str">
        <f>IFERROR(__xludf.DUMMYFUNCTION("""COMPUTED_VALUE"""),"https://www.tiktok.com/@isviewulandaaaa")</f>
        <v>https://www.tiktok.com/@isviewulandaaaa</v>
      </c>
      <c r="D2566" s="273">
        <f>IFERROR(__xludf.DUMMYFUNCTION("""COMPUTED_VALUE"""),8.5963157875E10)</f>
        <v>85963157875</v>
      </c>
      <c r="E2566" s="458">
        <f>IFERROR(__xludf.DUMMYFUNCTION("""COMPUTED_VALUE"""),0.0)</f>
        <v>0</v>
      </c>
      <c r="F2566" s="273">
        <f>IFERROR(__xludf.DUMMYFUNCTION("""COMPUTED_VALUE"""),1.0)</f>
        <v>1</v>
      </c>
      <c r="G2566" t="str">
        <f>IFERROR(__xludf.DUMMYFUNCTION("""COMPUTED_VALUE"""),"Sabun batang 1 Box ( 2 PCS )")</f>
        <v>Sabun batang 1 Box ( 2 PCS )</v>
      </c>
      <c r="H2566" s="469"/>
      <c r="I2566" s="470"/>
      <c r="K2566" s="470"/>
      <c r="M2566" s="470"/>
      <c r="O2566" s="470"/>
    </row>
    <row r="2567">
      <c r="A2567" s="282" t="str">
        <f>IFERROR(__xludf.DUMMYFUNCTION("""COMPUTED_VALUE"""),"MICRO")</f>
        <v>MICRO</v>
      </c>
      <c r="B2567" s="468" t="str">
        <f>IFERROR(__xludf.DUMMYFUNCTION("""COMPUTED_VALUE"""),"jayhanazz")</f>
        <v>jayhanazz</v>
      </c>
      <c r="C2567" s="283" t="str">
        <f>IFERROR(__xludf.DUMMYFUNCTION("""COMPUTED_VALUE"""),"https://www.tiktok.com/@jayhanazz")</f>
        <v>https://www.tiktok.com/@jayhanazz</v>
      </c>
      <c r="D2567" s="273">
        <f>IFERROR(__xludf.DUMMYFUNCTION("""COMPUTED_VALUE"""),8.2312092113E10)</f>
        <v>82312092113</v>
      </c>
      <c r="E2567" s="458">
        <f>IFERROR(__xludf.DUMMYFUNCTION("""COMPUTED_VALUE"""),0.0)</f>
        <v>0</v>
      </c>
      <c r="F2567" s="273">
        <f>IFERROR(__xludf.DUMMYFUNCTION("""COMPUTED_VALUE"""),4.0)</f>
        <v>4</v>
      </c>
      <c r="G2567" t="str">
        <f>IFERROR(__xludf.DUMMYFUNCTION("""COMPUTED_VALUE"""),"Sabun batang 1 Box ( 2 PCS )")</f>
        <v>Sabun batang 1 Box ( 2 PCS )</v>
      </c>
      <c r="H2567" s="469"/>
      <c r="I2567" s="470"/>
      <c r="K2567" s="470"/>
      <c r="M2567" s="470"/>
      <c r="O2567" s="470"/>
    </row>
    <row r="2568">
      <c r="A2568" s="282" t="str">
        <f>IFERROR(__xludf.DUMMYFUNCTION("""COMPUTED_VALUE"""),"MICRO")</f>
        <v>MICRO</v>
      </c>
      <c r="B2568" s="468" t="str">
        <f>IFERROR(__xludf.DUMMYFUNCTION("""COMPUTED_VALUE"""),"ndahhbebe")</f>
        <v>ndahhbebe</v>
      </c>
      <c r="C2568" s="283" t="str">
        <f>IFERROR(__xludf.DUMMYFUNCTION("""COMPUTED_VALUE"""),"https://www.tiktok.com/@ndahhbebe")</f>
        <v>https://www.tiktok.com/@ndahhbebe</v>
      </c>
      <c r="D2568" s="273">
        <f>IFERROR(__xludf.DUMMYFUNCTION("""COMPUTED_VALUE"""),8.5778535877E10)</f>
        <v>85778535877</v>
      </c>
      <c r="E2568" s="458">
        <f>IFERROR(__xludf.DUMMYFUNCTION("""COMPUTED_VALUE"""),0.0)</f>
        <v>0</v>
      </c>
      <c r="F2568" s="273">
        <f>IFERROR(__xludf.DUMMYFUNCTION("""COMPUTED_VALUE"""),4.0)</f>
        <v>4</v>
      </c>
      <c r="G2568" t="str">
        <f>IFERROR(__xludf.DUMMYFUNCTION("""COMPUTED_VALUE"""),"Sabun batang 1 Box ( 2 PCS )")</f>
        <v>Sabun batang 1 Box ( 2 PCS )</v>
      </c>
      <c r="H2568" s="469"/>
      <c r="I2568" s="470"/>
      <c r="K2568" s="470"/>
      <c r="M2568" s="470"/>
      <c r="O2568" s="470"/>
    </row>
    <row r="2569">
      <c r="A2569" s="282" t="str">
        <f>IFERROR(__xludf.DUMMYFUNCTION("""COMPUTED_VALUE"""),"MICRO")</f>
        <v>MICRO</v>
      </c>
      <c r="B2569" s="468" t="str">
        <f>IFERROR(__xludf.DUMMYFUNCTION("""COMPUTED_VALUE"""),"pupupuspitasari1208")</f>
        <v>pupupuspitasari1208</v>
      </c>
      <c r="C2569" s="283" t="str">
        <f>IFERROR(__xludf.DUMMYFUNCTION("""COMPUTED_VALUE"""),"https://www.tiktok.com/@pupupuspitasari1208")</f>
        <v>https://www.tiktok.com/@pupupuspitasari1208</v>
      </c>
      <c r="D2569" s="273">
        <f>IFERROR(__xludf.DUMMYFUNCTION("""COMPUTED_VALUE"""),8.7725233141E10)</f>
        <v>87725233141</v>
      </c>
      <c r="E2569" s="458">
        <f>IFERROR(__xludf.DUMMYFUNCTION("""COMPUTED_VALUE"""),0.0)</f>
        <v>0</v>
      </c>
      <c r="F2569" s="273">
        <f>IFERROR(__xludf.DUMMYFUNCTION("""COMPUTED_VALUE"""),4.0)</f>
        <v>4</v>
      </c>
      <c r="G2569" t="str">
        <f>IFERROR(__xludf.DUMMYFUNCTION("""COMPUTED_VALUE"""),"Sabun batang 1 Box ( 2 PCS )")</f>
        <v>Sabun batang 1 Box ( 2 PCS )</v>
      </c>
      <c r="H2569" s="469"/>
      <c r="I2569" s="470"/>
      <c r="K2569" s="470"/>
      <c r="M2569" s="470"/>
      <c r="O2569" s="470"/>
    </row>
    <row r="2570">
      <c r="A2570" s="282" t="str">
        <f>IFERROR(__xludf.DUMMYFUNCTION("""COMPUTED_VALUE"""),"MICRO")</f>
        <v>MICRO</v>
      </c>
      <c r="B2570" s="468" t="str">
        <f>IFERROR(__xludf.DUMMYFUNCTION("""COMPUTED_VALUE"""),"ammelshop94")</f>
        <v>ammelshop94</v>
      </c>
      <c r="C2570" s="283" t="str">
        <f>IFERROR(__xludf.DUMMYFUNCTION("""COMPUTED_VALUE"""),"https://www.tiktok.com/@ammelshop94")</f>
        <v>https://www.tiktok.com/@ammelshop94</v>
      </c>
      <c r="D2570" s="273">
        <f>IFERROR(__xludf.DUMMYFUNCTION("""COMPUTED_VALUE"""),8.566936706E10)</f>
        <v>85669367060</v>
      </c>
      <c r="E2570" s="458">
        <f>IFERROR(__xludf.DUMMYFUNCTION("""COMPUTED_VALUE"""),0.0)</f>
        <v>0</v>
      </c>
      <c r="F2570" s="273">
        <f>IFERROR(__xludf.DUMMYFUNCTION("""COMPUTED_VALUE"""),2.0)</f>
        <v>2</v>
      </c>
      <c r="G2570" t="str">
        <f>IFERROR(__xludf.DUMMYFUNCTION("""COMPUTED_VALUE"""),"Sabun batang 1 Box ( 2 PCS )")</f>
        <v>Sabun batang 1 Box ( 2 PCS )</v>
      </c>
      <c r="H2570" s="469"/>
      <c r="I2570" s="470"/>
      <c r="K2570" s="470"/>
      <c r="M2570" s="470"/>
      <c r="O2570" s="470"/>
    </row>
    <row r="2571">
      <c r="A2571" s="282" t="str">
        <f>IFERROR(__xludf.DUMMYFUNCTION("""COMPUTED_VALUE"""),"MICRO")</f>
        <v>MICRO</v>
      </c>
      <c r="B2571" s="468" t="str">
        <f>IFERROR(__xludf.DUMMYFUNCTION("""COMPUTED_VALUE"""),"jusantimukaroma")</f>
        <v>jusantimukaroma</v>
      </c>
      <c r="C2571" s="283" t="str">
        <f>IFERROR(__xludf.DUMMYFUNCTION("""COMPUTED_VALUE"""),"https://www.tiktok.com/@jusantimukaroma")</f>
        <v>https://www.tiktok.com/@jusantimukaroma</v>
      </c>
      <c r="D2571" s="273">
        <f>IFERROR(__xludf.DUMMYFUNCTION("""COMPUTED_VALUE"""),8.5609529824E10)</f>
        <v>85609529824</v>
      </c>
      <c r="E2571" s="458">
        <f>IFERROR(__xludf.DUMMYFUNCTION("""COMPUTED_VALUE"""),0.0)</f>
        <v>0</v>
      </c>
      <c r="F2571" s="273">
        <f>IFERROR(__xludf.DUMMYFUNCTION("""COMPUTED_VALUE"""),4.0)</f>
        <v>4</v>
      </c>
      <c r="G2571" t="str">
        <f>IFERROR(__xludf.DUMMYFUNCTION("""COMPUTED_VALUE"""),"Sabun batang 1 Box ( 2 PCS )")</f>
        <v>Sabun batang 1 Box ( 2 PCS )</v>
      </c>
      <c r="H2571" s="469"/>
      <c r="I2571" s="470"/>
      <c r="K2571" s="470"/>
      <c r="M2571" s="470"/>
      <c r="O2571" s="470"/>
    </row>
    <row r="2572">
      <c r="A2572" s="282" t="str">
        <f>IFERROR(__xludf.DUMMYFUNCTION("""COMPUTED_VALUE"""),"MICRO")</f>
        <v>MICRO</v>
      </c>
      <c r="B2572" s="468" t="str">
        <f>IFERROR(__xludf.DUMMYFUNCTION("""COMPUTED_VALUE"""),"ptyxrz0")</f>
        <v>ptyxrz0</v>
      </c>
      <c r="C2572" s="283" t="str">
        <f>IFERROR(__xludf.DUMMYFUNCTION("""COMPUTED_VALUE"""),"https://www.tiktok.com/@ptyxrz0")</f>
        <v>https://www.tiktok.com/@ptyxrz0</v>
      </c>
      <c r="D2572" s="273">
        <f>IFERROR(__xludf.DUMMYFUNCTION("""COMPUTED_VALUE"""),8.1231804548E10)</f>
        <v>81231804548</v>
      </c>
      <c r="E2572" s="458">
        <f>IFERROR(__xludf.DUMMYFUNCTION("""COMPUTED_VALUE"""),0.0)</f>
        <v>0</v>
      </c>
      <c r="F2572" s="273">
        <f>IFERROR(__xludf.DUMMYFUNCTION("""COMPUTED_VALUE"""),4.0)</f>
        <v>4</v>
      </c>
      <c r="G2572" t="str">
        <f>IFERROR(__xludf.DUMMYFUNCTION("""COMPUTED_VALUE"""),"Sabun batang 1 Box ( 2 PCS )")</f>
        <v>Sabun batang 1 Box ( 2 PCS )</v>
      </c>
      <c r="H2572" s="469"/>
      <c r="I2572" s="470"/>
      <c r="K2572" s="470"/>
      <c r="M2572" s="470"/>
      <c r="O2572" s="470"/>
    </row>
    <row r="2573">
      <c r="A2573" s="282" t="str">
        <f>IFERROR(__xludf.DUMMYFUNCTION("""COMPUTED_VALUE"""),"MICRO")</f>
        <v>MICRO</v>
      </c>
      <c r="B2573" s="468" t="str">
        <f>IFERROR(__xludf.DUMMYFUNCTION("""COMPUTED_VALUE"""),"aslerry")</f>
        <v>aslerry</v>
      </c>
      <c r="C2573" s="283" t="str">
        <f>IFERROR(__xludf.DUMMYFUNCTION("""COMPUTED_VALUE"""),"https://www.tiktok.com/@aslerry")</f>
        <v>https://www.tiktok.com/@aslerry</v>
      </c>
      <c r="D2573" s="273">
        <f>IFERROR(__xludf.DUMMYFUNCTION("""COMPUTED_VALUE"""),8.1214399398E10)</f>
        <v>81214399398</v>
      </c>
      <c r="E2573" s="458">
        <f>IFERROR(__xludf.DUMMYFUNCTION("""COMPUTED_VALUE"""),0.0)</f>
        <v>0</v>
      </c>
      <c r="F2573" s="273">
        <f>IFERROR(__xludf.DUMMYFUNCTION("""COMPUTED_VALUE"""),4.0)</f>
        <v>4</v>
      </c>
      <c r="G2573" t="str">
        <f>IFERROR(__xludf.DUMMYFUNCTION("""COMPUTED_VALUE"""),"Sabun batang 1 Box ( 2 PCS )")</f>
        <v>Sabun batang 1 Box ( 2 PCS )</v>
      </c>
      <c r="H2573" s="469"/>
      <c r="I2573" s="470"/>
      <c r="K2573" s="470"/>
      <c r="M2573" s="470"/>
      <c r="O2573" s="470"/>
    </row>
    <row r="2574">
      <c r="A2574" s="282" t="str">
        <f>IFERROR(__xludf.DUMMYFUNCTION("""COMPUTED_VALUE"""),"MICRO")</f>
        <v>MICRO</v>
      </c>
      <c r="B2574" s="468" t="str">
        <f>IFERROR(__xludf.DUMMYFUNCTION("""COMPUTED_VALUE"""),"byumaiza")</f>
        <v>byumaiza</v>
      </c>
      <c r="C2574" s="283" t="str">
        <f>IFERROR(__xludf.DUMMYFUNCTION("""COMPUTED_VALUE"""),"https://www.tiktok.com/@byumaiza")</f>
        <v>https://www.tiktok.com/@byumaiza</v>
      </c>
      <c r="D2574" s="273">
        <f>IFERROR(__xludf.DUMMYFUNCTION("""COMPUTED_VALUE"""),8.5807210007E10)</f>
        <v>85807210007</v>
      </c>
      <c r="E2574" s="458">
        <f>IFERROR(__xludf.DUMMYFUNCTION("""COMPUTED_VALUE"""),0.0)</f>
        <v>0</v>
      </c>
      <c r="F2574" s="273">
        <f>IFERROR(__xludf.DUMMYFUNCTION("""COMPUTED_VALUE"""),4.0)</f>
        <v>4</v>
      </c>
      <c r="G2574" t="str">
        <f>IFERROR(__xludf.DUMMYFUNCTION("""COMPUTED_VALUE"""),"Sabun batang 1 Box ( 2 PCS )")</f>
        <v>Sabun batang 1 Box ( 2 PCS )</v>
      </c>
      <c r="H2574" s="469"/>
      <c r="I2574" s="470"/>
      <c r="K2574" s="470"/>
      <c r="M2574" s="470"/>
      <c r="O2574" s="470"/>
    </row>
    <row r="2575">
      <c r="A2575" s="282" t="str">
        <f>IFERROR(__xludf.DUMMYFUNCTION("""COMPUTED_VALUE"""),"MICRO")</f>
        <v>MICRO</v>
      </c>
      <c r="B2575" s="468" t="str">
        <f>IFERROR(__xludf.DUMMYFUNCTION("""COMPUTED_VALUE"""),"hokiterusmenerus")</f>
        <v>hokiterusmenerus</v>
      </c>
      <c r="C2575" s="283" t="str">
        <f>IFERROR(__xludf.DUMMYFUNCTION("""COMPUTED_VALUE"""),"https://www.tiktok.com/@hokiterusmenerus")</f>
        <v>https://www.tiktok.com/@hokiterusmenerus</v>
      </c>
      <c r="D2575" s="273">
        <f>IFERROR(__xludf.DUMMYFUNCTION("""COMPUTED_VALUE"""),8.1299394657E10)</f>
        <v>81299394657</v>
      </c>
      <c r="E2575" s="458">
        <f>IFERROR(__xludf.DUMMYFUNCTION("""COMPUTED_VALUE"""),0.0)</f>
        <v>0</v>
      </c>
      <c r="F2575" s="273">
        <f>IFERROR(__xludf.DUMMYFUNCTION("""COMPUTED_VALUE"""),4.0)</f>
        <v>4</v>
      </c>
      <c r="G2575" t="str">
        <f>IFERROR(__xludf.DUMMYFUNCTION("""COMPUTED_VALUE"""),"Sabun batang 1 Box ( 2 PCS )")</f>
        <v>Sabun batang 1 Box ( 2 PCS )</v>
      </c>
      <c r="H2575" s="469"/>
      <c r="I2575" s="470"/>
      <c r="K2575" s="470"/>
      <c r="M2575" s="470"/>
      <c r="O2575" s="470"/>
    </row>
    <row r="2576">
      <c r="A2576" s="282" t="str">
        <f>IFERROR(__xludf.DUMMYFUNCTION("""COMPUTED_VALUE"""),"MICRO")</f>
        <v>MICRO</v>
      </c>
      <c r="B2576" s="468" t="str">
        <f>IFERROR(__xludf.DUMMYFUNCTION("""COMPUTED_VALUE"""),"pristarisd")</f>
        <v>pristarisd</v>
      </c>
      <c r="C2576" s="283" t="str">
        <f>IFERROR(__xludf.DUMMYFUNCTION("""COMPUTED_VALUE"""),"https://www.tiktok.com/@pristarisd")</f>
        <v>https://www.tiktok.com/@pristarisd</v>
      </c>
      <c r="D2576" s="273">
        <f>IFERROR(__xludf.DUMMYFUNCTION("""COMPUTED_VALUE"""),8.1572916252E10)</f>
        <v>81572916252</v>
      </c>
      <c r="E2576" s="458">
        <f>IFERROR(__xludf.DUMMYFUNCTION("""COMPUTED_VALUE"""),0.0)</f>
        <v>0</v>
      </c>
      <c r="F2576" s="273">
        <f>IFERROR(__xludf.DUMMYFUNCTION("""COMPUTED_VALUE"""),4.0)</f>
        <v>4</v>
      </c>
      <c r="G2576" t="str">
        <f>IFERROR(__xludf.DUMMYFUNCTION("""COMPUTED_VALUE"""),"Sabun batang 1 Box ( 2 PCS )")</f>
        <v>Sabun batang 1 Box ( 2 PCS )</v>
      </c>
      <c r="H2576" s="469"/>
      <c r="I2576" s="470"/>
      <c r="K2576" s="470"/>
      <c r="M2576" s="470"/>
      <c r="O2576" s="470"/>
    </row>
    <row r="2577">
      <c r="A2577" s="282" t="str">
        <f>IFERROR(__xludf.DUMMYFUNCTION("""COMPUTED_VALUE"""),"MICRO")</f>
        <v>MICRO</v>
      </c>
      <c r="B2577" s="468" t="str">
        <f>IFERROR(__xludf.DUMMYFUNCTION("""COMPUTED_VALUE"""),"chafastore_")</f>
        <v>chafastore_</v>
      </c>
      <c r="C2577" s="283" t="str">
        <f>IFERROR(__xludf.DUMMYFUNCTION("""COMPUTED_VALUE"""),"https://www.tiktok.com/@chafastore_")</f>
        <v>https://www.tiktok.com/@chafastore_</v>
      </c>
      <c r="D2577" s="273">
        <f>IFERROR(__xludf.DUMMYFUNCTION("""COMPUTED_VALUE"""),8.5169564234E10)</f>
        <v>85169564234</v>
      </c>
      <c r="E2577" s="458">
        <f>IFERROR(__xludf.DUMMYFUNCTION("""COMPUTED_VALUE"""),0.0)</f>
        <v>0</v>
      </c>
      <c r="F2577" s="273">
        <f>IFERROR(__xludf.DUMMYFUNCTION("""COMPUTED_VALUE"""),4.0)</f>
        <v>4</v>
      </c>
      <c r="G2577" t="str">
        <f>IFERROR(__xludf.DUMMYFUNCTION("""COMPUTED_VALUE"""),"Sabun batang 1 Box ( 2 PCS )")</f>
        <v>Sabun batang 1 Box ( 2 PCS )</v>
      </c>
      <c r="H2577" s="469"/>
      <c r="I2577" s="470"/>
      <c r="K2577" s="470"/>
      <c r="M2577" s="470"/>
      <c r="O2577" s="470"/>
    </row>
    <row r="2578">
      <c r="A2578" s="282" t="str">
        <f>IFERROR(__xludf.DUMMYFUNCTION("""COMPUTED_VALUE"""),"MICRO")</f>
        <v>MICRO</v>
      </c>
      <c r="B2578" s="468" t="str">
        <f>IFERROR(__xludf.DUMMYFUNCTION("""COMPUTED_VALUE"""),"madam.frimey")</f>
        <v>madam.frimey</v>
      </c>
      <c r="C2578" s="283" t="str">
        <f>IFERROR(__xludf.DUMMYFUNCTION("""COMPUTED_VALUE"""),"https://www.tiktok.com/@madam.frimey")</f>
        <v>https://www.tiktok.com/@madam.frimey</v>
      </c>
      <c r="D2578" s="273">
        <f>IFERROR(__xludf.DUMMYFUNCTION("""COMPUTED_VALUE"""),8.1993581703E10)</f>
        <v>81993581703</v>
      </c>
      <c r="E2578" s="458">
        <f>IFERROR(__xludf.DUMMYFUNCTION("""COMPUTED_VALUE"""),0.0)</f>
        <v>0</v>
      </c>
      <c r="F2578" s="273">
        <f>IFERROR(__xludf.DUMMYFUNCTION("""COMPUTED_VALUE"""),4.0)</f>
        <v>4</v>
      </c>
      <c r="G2578" t="str">
        <f>IFERROR(__xludf.DUMMYFUNCTION("""COMPUTED_VALUE"""),"Sabun batang 1 Box ( 2 PCS )")</f>
        <v>Sabun batang 1 Box ( 2 PCS )</v>
      </c>
      <c r="H2578" s="469"/>
      <c r="I2578" s="470"/>
      <c r="K2578" s="470"/>
      <c r="M2578" s="470"/>
      <c r="O2578" s="470"/>
    </row>
    <row r="2579">
      <c r="A2579" s="282" t="str">
        <f>IFERROR(__xludf.DUMMYFUNCTION("""COMPUTED_VALUE"""),"MICRO")</f>
        <v>MICRO</v>
      </c>
      <c r="B2579" s="468" t="str">
        <f>IFERROR(__xludf.DUMMYFUNCTION("""COMPUTED_VALUE"""),"ndcuuu")</f>
        <v>ndcuuu</v>
      </c>
      <c r="C2579" s="283" t="str">
        <f>IFERROR(__xludf.DUMMYFUNCTION("""COMPUTED_VALUE"""),"https://www.tiktok.com/@ndcuuu")</f>
        <v>https://www.tiktok.com/@ndcuuu</v>
      </c>
      <c r="D2579" s="273">
        <f>IFERROR(__xludf.DUMMYFUNCTION("""COMPUTED_VALUE"""),8.95610041243E11)</f>
        <v>895610041243</v>
      </c>
      <c r="E2579" s="458">
        <f>IFERROR(__xludf.DUMMYFUNCTION("""COMPUTED_VALUE"""),0.0)</f>
        <v>0</v>
      </c>
      <c r="F2579" s="273">
        <f>IFERROR(__xludf.DUMMYFUNCTION("""COMPUTED_VALUE"""),4.0)</f>
        <v>4</v>
      </c>
      <c r="G2579" t="str">
        <f>IFERROR(__xludf.DUMMYFUNCTION("""COMPUTED_VALUE"""),"Sabun batang 1 Box ( 2 PCS )")</f>
        <v>Sabun batang 1 Box ( 2 PCS )</v>
      </c>
      <c r="H2579" s="469"/>
      <c r="I2579" s="470"/>
      <c r="K2579" s="470"/>
      <c r="M2579" s="470"/>
      <c r="O2579" s="470"/>
    </row>
    <row r="2580">
      <c r="A2580" s="282" t="str">
        <f>IFERROR(__xludf.DUMMYFUNCTION("""COMPUTED_VALUE"""),"MICRO")</f>
        <v>MICRO</v>
      </c>
      <c r="B2580" s="468" t="str">
        <f>IFERROR(__xludf.DUMMYFUNCTION("""COMPUTED_VALUE"""),"no0thinggs")</f>
        <v>no0thinggs</v>
      </c>
      <c r="C2580" s="283" t="str">
        <f>IFERROR(__xludf.DUMMYFUNCTION("""COMPUTED_VALUE"""),"https://www.tiktok.com/@no0thinggs")</f>
        <v>https://www.tiktok.com/@no0thinggs</v>
      </c>
      <c r="D2580" s="273">
        <f>IFERROR(__xludf.DUMMYFUNCTION("""COMPUTED_VALUE"""),8.8200798755E11)</f>
        <v>882007987550</v>
      </c>
      <c r="E2580" s="458">
        <f>IFERROR(__xludf.DUMMYFUNCTION("""COMPUTED_VALUE"""),0.0)</f>
        <v>0</v>
      </c>
      <c r="F2580" s="273">
        <f>IFERROR(__xludf.DUMMYFUNCTION("""COMPUTED_VALUE"""),4.0)</f>
        <v>4</v>
      </c>
      <c r="G2580" t="str">
        <f>IFERROR(__xludf.DUMMYFUNCTION("""COMPUTED_VALUE"""),"Sabun batang 1 Box ( 2 PCS )")</f>
        <v>Sabun batang 1 Box ( 2 PCS )</v>
      </c>
      <c r="H2580" s="469"/>
      <c r="I2580" s="470"/>
      <c r="K2580" s="470"/>
      <c r="M2580" s="470"/>
      <c r="O2580" s="470"/>
    </row>
    <row r="2581">
      <c r="A2581" s="282" t="str">
        <f>IFERROR(__xludf.DUMMYFUNCTION("""COMPUTED_VALUE"""),"MICRO")</f>
        <v>MICRO</v>
      </c>
      <c r="B2581" s="468" t="str">
        <f>IFERROR(__xludf.DUMMYFUNCTION("""COMPUTED_VALUE"""),"kharinaya_putri25")</f>
        <v>kharinaya_putri25</v>
      </c>
      <c r="C2581" s="283" t="str">
        <f>IFERROR(__xludf.DUMMYFUNCTION("""COMPUTED_VALUE"""),"https://www.tiktok.com/@kharinaya_putri25")</f>
        <v>https://www.tiktok.com/@kharinaya_putri25</v>
      </c>
      <c r="D2581" s="273">
        <f>IFERROR(__xludf.DUMMYFUNCTION("""COMPUTED_VALUE"""),8.3873944621E10)</f>
        <v>83873944621</v>
      </c>
      <c r="E2581" s="458">
        <f>IFERROR(__xludf.DUMMYFUNCTION("""COMPUTED_VALUE"""),0.0)</f>
        <v>0</v>
      </c>
      <c r="F2581" s="273">
        <f>IFERROR(__xludf.DUMMYFUNCTION("""COMPUTED_VALUE"""),4.0)</f>
        <v>4</v>
      </c>
      <c r="G2581" t="str">
        <f>IFERROR(__xludf.DUMMYFUNCTION("""COMPUTED_VALUE"""),"Sabun batang 1 Box ( 2 PCS )")</f>
        <v>Sabun batang 1 Box ( 2 PCS )</v>
      </c>
      <c r="H2581" s="469"/>
      <c r="I2581" s="470"/>
      <c r="K2581" s="470"/>
      <c r="M2581" s="470"/>
      <c r="O2581" s="470"/>
    </row>
    <row r="2582">
      <c r="A2582" s="282" t="str">
        <f>IFERROR(__xludf.DUMMYFUNCTION("""COMPUTED_VALUE"""),"MICRO")</f>
        <v>MICRO</v>
      </c>
      <c r="B2582" s="468" t="str">
        <f>IFERROR(__xludf.DUMMYFUNCTION("""COMPUTED_VALUE"""),"ul.aull")</f>
        <v>ul.aull</v>
      </c>
      <c r="C2582" s="283" t="str">
        <f>IFERROR(__xludf.DUMMYFUNCTION("""COMPUTED_VALUE"""),"https://www.tiktok.com/@ul.aull")</f>
        <v>https://www.tiktok.com/@ul.aull</v>
      </c>
      <c r="D2582" s="273">
        <f>IFERROR(__xludf.DUMMYFUNCTION("""COMPUTED_VALUE"""),8.3874238324E10)</f>
        <v>83874238324</v>
      </c>
      <c r="E2582" s="458">
        <f>IFERROR(__xludf.DUMMYFUNCTION("""COMPUTED_VALUE"""),0.0)</f>
        <v>0</v>
      </c>
      <c r="F2582" s="273">
        <f>IFERROR(__xludf.DUMMYFUNCTION("""COMPUTED_VALUE"""),4.0)</f>
        <v>4</v>
      </c>
      <c r="G2582" t="str">
        <f>IFERROR(__xludf.DUMMYFUNCTION("""COMPUTED_VALUE"""),"Sabun batang 1 Box ( 2 PCS )")</f>
        <v>Sabun batang 1 Box ( 2 PCS )</v>
      </c>
      <c r="H2582" s="469"/>
      <c r="I2582" s="470"/>
      <c r="K2582" s="470"/>
      <c r="M2582" s="470"/>
      <c r="O2582" s="470"/>
    </row>
    <row r="2583">
      <c r="A2583" s="282" t="str">
        <f>IFERROR(__xludf.DUMMYFUNCTION("""COMPUTED_VALUE"""),"MICRO")</f>
        <v>MICRO</v>
      </c>
      <c r="B2583" s="468" t="str">
        <f>IFERROR(__xludf.DUMMYFUNCTION("""COMPUTED_VALUE"""),"velipppp")</f>
        <v>velipppp</v>
      </c>
      <c r="C2583" s="283" t="str">
        <f>IFERROR(__xludf.DUMMYFUNCTION("""COMPUTED_VALUE"""),"https://www.tiktok.com/@velipppp")</f>
        <v>https://www.tiktok.com/@velipppp</v>
      </c>
      <c r="D2583" s="273">
        <f>IFERROR(__xludf.DUMMYFUNCTION("""COMPUTED_VALUE"""),8.95619603552E11)</f>
        <v>895619603552</v>
      </c>
      <c r="E2583" s="458">
        <f>IFERROR(__xludf.DUMMYFUNCTION("""COMPUTED_VALUE"""),0.0)</f>
        <v>0</v>
      </c>
      <c r="F2583" s="273">
        <f>IFERROR(__xludf.DUMMYFUNCTION("""COMPUTED_VALUE"""),4.0)</f>
        <v>4</v>
      </c>
      <c r="G2583" t="str">
        <f>IFERROR(__xludf.DUMMYFUNCTION("""COMPUTED_VALUE"""),"Sabun batang 1 Box ( 2 PCS )")</f>
        <v>Sabun batang 1 Box ( 2 PCS )</v>
      </c>
      <c r="H2583" s="469"/>
      <c r="I2583" s="470"/>
      <c r="K2583" s="470"/>
      <c r="M2583" s="470"/>
      <c r="O2583" s="470"/>
    </row>
    <row r="2584">
      <c r="A2584" s="282" t="str">
        <f>IFERROR(__xludf.DUMMYFUNCTION("""COMPUTED_VALUE"""),"MICRO")</f>
        <v>MICRO</v>
      </c>
      <c r="B2584" s="468" t="str">
        <f>IFERROR(__xludf.DUMMYFUNCTION("""COMPUTED_VALUE"""),"ayiescy")</f>
        <v>ayiescy</v>
      </c>
      <c r="C2584" s="283" t="str">
        <f>IFERROR(__xludf.DUMMYFUNCTION("""COMPUTED_VALUE"""),"https://www.tiktok.com/@ayiescy")</f>
        <v>https://www.tiktok.com/@ayiescy</v>
      </c>
      <c r="D2584" s="273">
        <f>IFERROR(__xludf.DUMMYFUNCTION("""COMPUTED_VALUE"""),8.9654157053E10)</f>
        <v>89654157053</v>
      </c>
      <c r="E2584" s="458">
        <f>IFERROR(__xludf.DUMMYFUNCTION("""COMPUTED_VALUE"""),0.0)</f>
        <v>0</v>
      </c>
      <c r="F2584" s="273">
        <f>IFERROR(__xludf.DUMMYFUNCTION("""COMPUTED_VALUE"""),4.0)</f>
        <v>4</v>
      </c>
      <c r="G2584" t="str">
        <f>IFERROR(__xludf.DUMMYFUNCTION("""COMPUTED_VALUE"""),"Sabun batang 1 Box ( 2 PCS )")</f>
        <v>Sabun batang 1 Box ( 2 PCS )</v>
      </c>
      <c r="H2584" s="469"/>
      <c r="I2584" s="470"/>
      <c r="K2584" s="470"/>
      <c r="M2584" s="470"/>
      <c r="O2584" s="470"/>
    </row>
    <row r="2585">
      <c r="A2585" s="282" t="str">
        <f>IFERROR(__xludf.DUMMYFUNCTION("""COMPUTED_VALUE"""),"MICRO")</f>
        <v>MICRO</v>
      </c>
      <c r="B2585" s="468" t="str">
        <f>IFERROR(__xludf.DUMMYFUNCTION("""COMPUTED_VALUE"""),"secuil_sweetly")</f>
        <v>secuil_sweetly</v>
      </c>
      <c r="C2585" s="283" t="str">
        <f>IFERROR(__xludf.DUMMYFUNCTION("""COMPUTED_VALUE"""),"https://www.tiktok.com/@secuil_sweetly")</f>
        <v>https://www.tiktok.com/@secuil_sweetly</v>
      </c>
      <c r="D2585" s="273">
        <f>IFERROR(__xludf.DUMMYFUNCTION("""COMPUTED_VALUE"""),8.1324106511E10)</f>
        <v>81324106511</v>
      </c>
      <c r="E2585" s="458">
        <f>IFERROR(__xludf.DUMMYFUNCTION("""COMPUTED_VALUE"""),0.0)</f>
        <v>0</v>
      </c>
      <c r="F2585" s="273">
        <f>IFERROR(__xludf.DUMMYFUNCTION("""COMPUTED_VALUE"""),4.0)</f>
        <v>4</v>
      </c>
      <c r="G2585" t="str">
        <f>IFERROR(__xludf.DUMMYFUNCTION("""COMPUTED_VALUE"""),"Sabun batang 1 Box ( 2 PCS )")</f>
        <v>Sabun batang 1 Box ( 2 PCS )</v>
      </c>
      <c r="H2585" s="469"/>
      <c r="I2585" s="470"/>
      <c r="K2585" s="470"/>
      <c r="M2585" s="470"/>
      <c r="O2585" s="470"/>
    </row>
    <row r="2586">
      <c r="A2586" s="282" t="str">
        <f>IFERROR(__xludf.DUMMYFUNCTION("""COMPUTED_VALUE"""),"MICRO")</f>
        <v>MICRO</v>
      </c>
      <c r="B2586" s="468" t="str">
        <f>IFERROR(__xludf.DUMMYFUNCTION("""COMPUTED_VALUE"""),"senjaskinclub")</f>
        <v>senjaskinclub</v>
      </c>
      <c r="C2586" s="283" t="str">
        <f>IFERROR(__xludf.DUMMYFUNCTION("""COMPUTED_VALUE"""),"https://www.tiktok.com/@senjaskinclub")</f>
        <v>https://www.tiktok.com/@senjaskinclub</v>
      </c>
      <c r="D2586" s="273">
        <f>IFERROR(__xludf.DUMMYFUNCTION("""COMPUTED_VALUE"""),8.3110019121E10)</f>
        <v>83110019121</v>
      </c>
      <c r="E2586" s="458">
        <f>IFERROR(__xludf.DUMMYFUNCTION("""COMPUTED_VALUE"""),0.0)</f>
        <v>0</v>
      </c>
      <c r="F2586" s="273">
        <f>IFERROR(__xludf.DUMMYFUNCTION("""COMPUTED_VALUE"""),4.0)</f>
        <v>4</v>
      </c>
      <c r="G2586" t="str">
        <f>IFERROR(__xludf.DUMMYFUNCTION("""COMPUTED_VALUE"""),"Sabun batang 1 Box ( 2 PCS )")</f>
        <v>Sabun batang 1 Box ( 2 PCS )</v>
      </c>
      <c r="H2586" s="469"/>
      <c r="I2586" s="470"/>
      <c r="K2586" s="470"/>
      <c r="M2586" s="470"/>
      <c r="O2586" s="470"/>
    </row>
    <row r="2587">
      <c r="A2587" s="282" t="str">
        <f>IFERROR(__xludf.DUMMYFUNCTION("""COMPUTED_VALUE"""),"MICRO")</f>
        <v>MICRO</v>
      </c>
      <c r="B2587" s="468" t="str">
        <f>IFERROR(__xludf.DUMMYFUNCTION("""COMPUTED_VALUE"""),"piscesmarchlady")</f>
        <v>piscesmarchlady</v>
      </c>
      <c r="C2587" s="283" t="str">
        <f>IFERROR(__xludf.DUMMYFUNCTION("""COMPUTED_VALUE"""),"https://www.tiktok.com/@piscesmarchlady")</f>
        <v>https://www.tiktok.com/@piscesmarchlady</v>
      </c>
      <c r="D2587" s="273">
        <f>IFERROR(__xludf.DUMMYFUNCTION("""COMPUTED_VALUE"""),8.970022298E9)</f>
        <v>8970022298</v>
      </c>
      <c r="E2587" s="458">
        <f>IFERROR(__xludf.DUMMYFUNCTION("""COMPUTED_VALUE"""),0.0)</f>
        <v>0</v>
      </c>
      <c r="F2587" s="273">
        <f>IFERROR(__xludf.DUMMYFUNCTION("""COMPUTED_VALUE"""),4.0)</f>
        <v>4</v>
      </c>
      <c r="G2587" t="str">
        <f>IFERROR(__xludf.DUMMYFUNCTION("""COMPUTED_VALUE"""),"Sabun batang 1 Box ( 2 PCS )")</f>
        <v>Sabun batang 1 Box ( 2 PCS )</v>
      </c>
      <c r="H2587" s="469"/>
      <c r="I2587" s="470"/>
      <c r="K2587" s="470"/>
      <c r="M2587" s="470"/>
      <c r="O2587" s="470"/>
    </row>
    <row r="2588">
      <c r="A2588" s="282" t="str">
        <f>IFERROR(__xludf.DUMMYFUNCTION("""COMPUTED_VALUE"""),"MICRO")</f>
        <v>MICRO</v>
      </c>
      <c r="B2588" s="468" t="str">
        <f>IFERROR(__xludf.DUMMYFUNCTION("""COMPUTED_VALUE"""),"khumairah3284")</f>
        <v>khumairah3284</v>
      </c>
      <c r="C2588" s="283" t="str">
        <f>IFERROR(__xludf.DUMMYFUNCTION("""COMPUTED_VALUE"""),"https://www.tiktok.com/@khumairah3284")</f>
        <v>https://www.tiktok.com/@khumairah3284</v>
      </c>
      <c r="D2588" s="273">
        <f>IFERROR(__xludf.DUMMYFUNCTION("""COMPUTED_VALUE"""),8.95334131328E11)</f>
        <v>895334131328</v>
      </c>
      <c r="E2588" s="458">
        <f>IFERROR(__xludf.DUMMYFUNCTION("""COMPUTED_VALUE"""),0.0)</f>
        <v>0</v>
      </c>
      <c r="F2588" s="273">
        <f>IFERROR(__xludf.DUMMYFUNCTION("""COMPUTED_VALUE"""),4.0)</f>
        <v>4</v>
      </c>
      <c r="G2588" t="str">
        <f>IFERROR(__xludf.DUMMYFUNCTION("""COMPUTED_VALUE"""),"Sabun batang 1 Box ( 2 PCS )")</f>
        <v>Sabun batang 1 Box ( 2 PCS )</v>
      </c>
      <c r="H2588" s="469"/>
      <c r="I2588" s="470"/>
      <c r="K2588" s="470"/>
      <c r="M2588" s="470"/>
      <c r="O2588" s="470"/>
    </row>
    <row r="2589">
      <c r="A2589" s="282" t="str">
        <f>IFERROR(__xludf.DUMMYFUNCTION("""COMPUTED_VALUE"""),"MICRO")</f>
        <v>MICRO</v>
      </c>
      <c r="B2589" s="468" t="str">
        <f>IFERROR(__xludf.DUMMYFUNCTION("""COMPUTED_VALUE"""),"tetehlarismanis")</f>
        <v>tetehlarismanis</v>
      </c>
      <c r="C2589" s="283" t="str">
        <f>IFERROR(__xludf.DUMMYFUNCTION("""COMPUTED_VALUE"""),"https://www.tiktok.com/@tetehlarismanis")</f>
        <v>https://www.tiktok.com/@tetehlarismanis</v>
      </c>
      <c r="D2589" s="273">
        <f>IFERROR(__xludf.DUMMYFUNCTION("""COMPUTED_VALUE"""),8.9659280903E10)</f>
        <v>89659280903</v>
      </c>
      <c r="E2589" s="458">
        <f>IFERROR(__xludf.DUMMYFUNCTION("""COMPUTED_VALUE"""),0.0)</f>
        <v>0</v>
      </c>
      <c r="F2589" s="273">
        <f>IFERROR(__xludf.DUMMYFUNCTION("""COMPUTED_VALUE"""),4.0)</f>
        <v>4</v>
      </c>
      <c r="G2589" t="str">
        <f>IFERROR(__xludf.DUMMYFUNCTION("""COMPUTED_VALUE"""),"Sabun batang 1 Box ( 2 PCS )")</f>
        <v>Sabun batang 1 Box ( 2 PCS )</v>
      </c>
      <c r="H2589" s="469"/>
      <c r="I2589" s="470"/>
      <c r="K2589" s="470"/>
      <c r="M2589" s="470"/>
      <c r="O2589" s="470"/>
    </row>
    <row r="2590">
      <c r="A2590" s="282" t="str">
        <f>IFERROR(__xludf.DUMMYFUNCTION("""COMPUTED_VALUE"""),"MICRO")</f>
        <v>MICRO</v>
      </c>
      <c r="B2590" s="468" t="str">
        <f>IFERROR(__xludf.DUMMYFUNCTION("""COMPUTED_VALUE"""),"tatas_aja")</f>
        <v>tatas_aja</v>
      </c>
      <c r="C2590" s="283" t="str">
        <f>IFERROR(__xludf.DUMMYFUNCTION("""COMPUTED_VALUE"""),"https://www.tiktok.com/@tatas_aja")</f>
        <v>https://www.tiktok.com/@tatas_aja</v>
      </c>
      <c r="D2590" s="273">
        <f>IFERROR(__xludf.DUMMYFUNCTION("""COMPUTED_VALUE"""),8.2135904087E10)</f>
        <v>82135904087</v>
      </c>
      <c r="E2590" s="458">
        <f>IFERROR(__xludf.DUMMYFUNCTION("""COMPUTED_VALUE"""),0.0)</f>
        <v>0</v>
      </c>
      <c r="F2590" s="273">
        <f>IFERROR(__xludf.DUMMYFUNCTION("""COMPUTED_VALUE"""),4.0)</f>
        <v>4</v>
      </c>
      <c r="G2590" t="str">
        <f>IFERROR(__xludf.DUMMYFUNCTION("""COMPUTED_VALUE"""),"Sabun batang 1 Box ( 2 PCS )")</f>
        <v>Sabun batang 1 Box ( 2 PCS )</v>
      </c>
      <c r="H2590" s="469"/>
      <c r="I2590" s="470"/>
      <c r="K2590" s="470"/>
      <c r="M2590" s="470"/>
      <c r="O2590" s="470"/>
    </row>
    <row r="2591">
      <c r="A2591" s="282" t="str">
        <f>IFERROR(__xludf.DUMMYFUNCTION("""COMPUTED_VALUE"""),"MICRO")</f>
        <v>MICRO</v>
      </c>
      <c r="B2591" s="468" t="str">
        <f>IFERROR(__xludf.DUMMYFUNCTION("""COMPUTED_VALUE"""),"disut_")</f>
        <v>disut_</v>
      </c>
      <c r="C2591" s="283" t="str">
        <f>IFERROR(__xludf.DUMMYFUNCTION("""COMPUTED_VALUE"""),"https://www.tiktok.com/@disut_")</f>
        <v>https://www.tiktok.com/@disut_</v>
      </c>
      <c r="D2591" s="273">
        <f>IFERROR(__xludf.DUMMYFUNCTION("""COMPUTED_VALUE"""),8.3821650891E10)</f>
        <v>83821650891</v>
      </c>
      <c r="E2591" s="458">
        <f>IFERROR(__xludf.DUMMYFUNCTION("""COMPUTED_VALUE"""),0.0)</f>
        <v>0</v>
      </c>
      <c r="F2591" s="273">
        <f>IFERROR(__xludf.DUMMYFUNCTION("""COMPUTED_VALUE"""),4.0)</f>
        <v>4</v>
      </c>
      <c r="G2591" t="str">
        <f>IFERROR(__xludf.DUMMYFUNCTION("""COMPUTED_VALUE"""),"Sabun batang 1 Box ( 2 PCS )")</f>
        <v>Sabun batang 1 Box ( 2 PCS )</v>
      </c>
      <c r="H2591" s="469"/>
      <c r="I2591" s="470"/>
      <c r="K2591" s="470"/>
      <c r="M2591" s="470"/>
      <c r="O2591" s="470"/>
    </row>
    <row r="2592">
      <c r="A2592" s="282" t="str">
        <f>IFERROR(__xludf.DUMMYFUNCTION("""COMPUTED_VALUE"""),"MACRO")</f>
        <v>MACRO</v>
      </c>
      <c r="B2592" s="468" t="str">
        <f>IFERROR(__xludf.DUMMYFUNCTION("""COMPUTED_VALUE"""),"millym82")</f>
        <v>millym82</v>
      </c>
      <c r="C2592" s="283" t="str">
        <f>IFERROR(__xludf.DUMMYFUNCTION("""COMPUTED_VALUE"""),"https://www.tiktok.com/@millym82")</f>
        <v>https://www.tiktok.com/@millym82</v>
      </c>
      <c r="D2592" s="273">
        <f>IFERROR(__xludf.DUMMYFUNCTION("""COMPUTED_VALUE"""),8.9670475348E10)</f>
        <v>89670475348</v>
      </c>
      <c r="E2592" s="458">
        <f>IFERROR(__xludf.DUMMYFUNCTION("""COMPUTED_VALUE"""),0.0)</f>
        <v>0</v>
      </c>
      <c r="F2592" s="273">
        <f>IFERROR(__xludf.DUMMYFUNCTION("""COMPUTED_VALUE"""),4.0)</f>
        <v>4</v>
      </c>
      <c r="G2592" t="str">
        <f>IFERROR(__xludf.DUMMYFUNCTION("""COMPUTED_VALUE"""),"Sabun batang 1 Box ( 2 PCS )")</f>
        <v>Sabun batang 1 Box ( 2 PCS )</v>
      </c>
      <c r="H2592" s="469"/>
      <c r="I2592" s="470"/>
      <c r="K2592" s="470"/>
      <c r="M2592" s="470"/>
      <c r="O2592" s="470"/>
    </row>
    <row r="2593">
      <c r="A2593" s="282" t="str">
        <f>IFERROR(__xludf.DUMMYFUNCTION("""COMPUTED_VALUE"""),"MICRO")</f>
        <v>MICRO</v>
      </c>
      <c r="B2593" s="468" t="str">
        <f>IFERROR(__xludf.DUMMYFUNCTION("""COMPUTED_VALUE"""),"siminiii_")</f>
        <v>siminiii_</v>
      </c>
      <c r="C2593" s="283" t="str">
        <f>IFERROR(__xludf.DUMMYFUNCTION("""COMPUTED_VALUE"""),"https://www.tiktok.com/@siminiii_")</f>
        <v>https://www.tiktok.com/@siminiii_</v>
      </c>
      <c r="D2593" s="273">
        <f>IFERROR(__xludf.DUMMYFUNCTION("""COMPUTED_VALUE"""),8.5691114929E10)</f>
        <v>85691114929</v>
      </c>
      <c r="E2593" s="458">
        <f>IFERROR(__xludf.DUMMYFUNCTION("""COMPUTED_VALUE"""),0.0)</f>
        <v>0</v>
      </c>
      <c r="F2593" s="273">
        <f>IFERROR(__xludf.DUMMYFUNCTION("""COMPUTED_VALUE"""),4.0)</f>
        <v>4</v>
      </c>
      <c r="G2593" t="str">
        <f>IFERROR(__xludf.DUMMYFUNCTION("""COMPUTED_VALUE"""),"Sabun batang 1 Box ( 2 PCS )")</f>
        <v>Sabun batang 1 Box ( 2 PCS )</v>
      </c>
      <c r="H2593" s="469"/>
      <c r="I2593" s="470"/>
      <c r="K2593" s="470"/>
      <c r="M2593" s="470"/>
      <c r="O2593" s="470"/>
    </row>
    <row r="2594">
      <c r="A2594" s="282" t="str">
        <f>IFERROR(__xludf.DUMMYFUNCTION("""COMPUTED_VALUE"""),"MICRO")</f>
        <v>MICRO</v>
      </c>
      <c r="B2594" s="468" t="str">
        <f>IFERROR(__xludf.DUMMYFUNCTION("""COMPUTED_VALUE"""),"violinajasronadi18")</f>
        <v>violinajasronadi18</v>
      </c>
      <c r="C2594" s="283" t="str">
        <f>IFERROR(__xludf.DUMMYFUNCTION("""COMPUTED_VALUE"""),"https://www.tiktok.com/@violinajasronadi18")</f>
        <v>https://www.tiktok.com/@violinajasronadi18</v>
      </c>
      <c r="D2594" s="273">
        <f>IFERROR(__xludf.DUMMYFUNCTION("""COMPUTED_VALUE"""),8.3141836065E10)</f>
        <v>83141836065</v>
      </c>
      <c r="E2594" s="458">
        <f>IFERROR(__xludf.DUMMYFUNCTION("""COMPUTED_VALUE"""),0.0)</f>
        <v>0</v>
      </c>
      <c r="F2594" s="273">
        <f>IFERROR(__xludf.DUMMYFUNCTION("""COMPUTED_VALUE"""),4.0)</f>
        <v>4</v>
      </c>
      <c r="G2594" t="str">
        <f>IFERROR(__xludf.DUMMYFUNCTION("""COMPUTED_VALUE"""),"Sabun batang 1 Box ( 2 PCS )")</f>
        <v>Sabun batang 1 Box ( 2 PCS )</v>
      </c>
      <c r="H2594" s="469"/>
      <c r="I2594" s="470"/>
      <c r="K2594" s="470"/>
      <c r="M2594" s="470"/>
      <c r="O2594" s="470"/>
    </row>
    <row r="2595">
      <c r="A2595" s="282" t="str">
        <f>IFERROR(__xludf.DUMMYFUNCTION("""COMPUTED_VALUE"""),"MICRO")</f>
        <v>MICRO</v>
      </c>
      <c r="B2595" s="468" t="str">
        <f>IFERROR(__xludf.DUMMYFUNCTION("""COMPUTED_VALUE"""),"mirnabungar")</f>
        <v>mirnabungar</v>
      </c>
      <c r="C2595" s="283" t="str">
        <f>IFERROR(__xludf.DUMMYFUNCTION("""COMPUTED_VALUE"""),"https://www.tiktok.com/@mirnabungar")</f>
        <v>https://www.tiktok.com/@mirnabungar</v>
      </c>
      <c r="D2595" s="273">
        <f>IFERROR(__xludf.DUMMYFUNCTION("""COMPUTED_VALUE"""),8.5875778799E10)</f>
        <v>85875778799</v>
      </c>
      <c r="E2595" s="458">
        <f>IFERROR(__xludf.DUMMYFUNCTION("""COMPUTED_VALUE"""),0.0)</f>
        <v>0</v>
      </c>
      <c r="F2595" s="273">
        <f>IFERROR(__xludf.DUMMYFUNCTION("""COMPUTED_VALUE"""),4.0)</f>
        <v>4</v>
      </c>
      <c r="G2595" t="str">
        <f>IFERROR(__xludf.DUMMYFUNCTION("""COMPUTED_VALUE"""),"Sabun batang 1 Box ( 2 PCS )")</f>
        <v>Sabun batang 1 Box ( 2 PCS )</v>
      </c>
      <c r="H2595" s="469"/>
      <c r="I2595" s="470"/>
      <c r="K2595" s="470"/>
      <c r="M2595" s="470"/>
      <c r="O2595" s="470"/>
    </row>
    <row r="2596">
      <c r="A2596" s="282" t="str">
        <f>IFERROR(__xludf.DUMMYFUNCTION("""COMPUTED_VALUE"""),"MICRO")</f>
        <v>MICRO</v>
      </c>
      <c r="B2596" s="468" t="str">
        <f>IFERROR(__xludf.DUMMYFUNCTION("""COMPUTED_VALUE"""),"sabilssz")</f>
        <v>sabilssz</v>
      </c>
      <c r="C2596" s="283" t="str">
        <f>IFERROR(__xludf.DUMMYFUNCTION("""COMPUTED_VALUE"""),"https://www.tiktok.com/@sabilssz")</f>
        <v>https://www.tiktok.com/@sabilssz</v>
      </c>
      <c r="D2596" s="273">
        <f>IFERROR(__xludf.DUMMYFUNCTION("""COMPUTED_VALUE"""),8.9652803034E10)</f>
        <v>89652803034</v>
      </c>
      <c r="E2596" s="458">
        <f>IFERROR(__xludf.DUMMYFUNCTION("""COMPUTED_VALUE"""),0.0)</f>
        <v>0</v>
      </c>
      <c r="F2596" s="273">
        <f>IFERROR(__xludf.DUMMYFUNCTION("""COMPUTED_VALUE"""),2.0)</f>
        <v>2</v>
      </c>
      <c r="G2596" t="str">
        <f>IFERROR(__xludf.DUMMYFUNCTION("""COMPUTED_VALUE"""),"Sabun batang 1 Box ( 2 PCS )")</f>
        <v>Sabun batang 1 Box ( 2 PCS )</v>
      </c>
      <c r="H2596" s="469"/>
      <c r="I2596" s="470"/>
      <c r="K2596" s="470"/>
      <c r="M2596" s="470"/>
      <c r="O2596" s="470"/>
    </row>
    <row r="2597">
      <c r="A2597" s="282" t="str">
        <f>IFERROR(__xludf.DUMMYFUNCTION("""COMPUTED_VALUE"""),"MICRO")</f>
        <v>MICRO</v>
      </c>
      <c r="B2597" s="468" t="str">
        <f>IFERROR(__xludf.DUMMYFUNCTION("""COMPUTED_VALUE"""),"lina.store.official_")</f>
        <v>lina.store.official_</v>
      </c>
      <c r="C2597" s="283" t="str">
        <f>IFERROR(__xludf.DUMMYFUNCTION("""COMPUTED_VALUE"""),"https://www.tiktok.com/@lina.store.official_")</f>
        <v>https://www.tiktok.com/@lina.store.official_</v>
      </c>
      <c r="D2597" s="273">
        <f>IFERROR(__xludf.DUMMYFUNCTION("""COMPUTED_VALUE"""),8.2357203508E10)</f>
        <v>82357203508</v>
      </c>
      <c r="E2597" s="458">
        <f>IFERROR(__xludf.DUMMYFUNCTION("""COMPUTED_VALUE"""),0.0)</f>
        <v>0</v>
      </c>
      <c r="F2597" s="273">
        <f>IFERROR(__xludf.DUMMYFUNCTION("""COMPUTED_VALUE"""),4.0)</f>
        <v>4</v>
      </c>
      <c r="G2597" t="str">
        <f>IFERROR(__xludf.DUMMYFUNCTION("""COMPUTED_VALUE"""),"Sabun batang 1 Box ( 2 PCS )")</f>
        <v>Sabun batang 1 Box ( 2 PCS )</v>
      </c>
      <c r="H2597" s="469"/>
      <c r="I2597" s="470"/>
      <c r="K2597" s="470"/>
      <c r="M2597" s="470"/>
      <c r="O2597" s="470"/>
    </row>
    <row r="2598">
      <c r="A2598" s="282" t="str">
        <f>IFERROR(__xludf.DUMMYFUNCTION("""COMPUTED_VALUE"""),"MICRO")</f>
        <v>MICRO</v>
      </c>
      <c r="B2598" s="468" t="str">
        <f>IFERROR(__xludf.DUMMYFUNCTION("""COMPUTED_VALUE"""),"tiwiknaa")</f>
        <v>tiwiknaa</v>
      </c>
      <c r="C2598" s="283" t="str">
        <f>IFERROR(__xludf.DUMMYFUNCTION("""COMPUTED_VALUE"""),"https://www.tiktok.com/@tiwiknaa")</f>
        <v>https://www.tiktok.com/@tiwiknaa</v>
      </c>
      <c r="D2598" s="273">
        <f>IFERROR(__xludf.DUMMYFUNCTION("""COMPUTED_VALUE"""),8.5706344062E10)</f>
        <v>85706344062</v>
      </c>
      <c r="E2598" s="458">
        <f>IFERROR(__xludf.DUMMYFUNCTION("""COMPUTED_VALUE"""),0.0)</f>
        <v>0</v>
      </c>
      <c r="F2598" s="273">
        <f>IFERROR(__xludf.DUMMYFUNCTION("""COMPUTED_VALUE"""),4.0)</f>
        <v>4</v>
      </c>
      <c r="G2598" t="str">
        <f>IFERROR(__xludf.DUMMYFUNCTION("""COMPUTED_VALUE"""),"Sabun batang 1 Box ( 2 PCS )")</f>
        <v>Sabun batang 1 Box ( 2 PCS )</v>
      </c>
      <c r="H2598" s="469"/>
      <c r="I2598" s="470"/>
      <c r="K2598" s="470"/>
      <c r="M2598" s="470"/>
      <c r="O2598" s="470"/>
    </row>
    <row r="2599">
      <c r="A2599" s="282" t="str">
        <f>IFERROR(__xludf.DUMMYFUNCTION("""COMPUTED_VALUE"""),"MICRO")</f>
        <v>MICRO</v>
      </c>
      <c r="B2599" s="468" t="str">
        <f>IFERROR(__xludf.DUMMYFUNCTION("""COMPUTED_VALUE"""),"ningrum1025")</f>
        <v>ningrum1025</v>
      </c>
      <c r="C2599" s="283" t="str">
        <f>IFERROR(__xludf.DUMMYFUNCTION("""COMPUTED_VALUE"""),"https://www.tiktok.com/@ningrum1025")</f>
        <v>https://www.tiktok.com/@ningrum1025</v>
      </c>
      <c r="D2599" s="273">
        <f>IFERROR(__xludf.DUMMYFUNCTION("""COMPUTED_VALUE"""),8.9651849787E10)</f>
        <v>89651849787</v>
      </c>
      <c r="E2599" s="458">
        <f>IFERROR(__xludf.DUMMYFUNCTION("""COMPUTED_VALUE"""),0.0)</f>
        <v>0</v>
      </c>
      <c r="F2599" s="273">
        <f>IFERROR(__xludf.DUMMYFUNCTION("""COMPUTED_VALUE"""),4.0)</f>
        <v>4</v>
      </c>
      <c r="G2599" t="str">
        <f>IFERROR(__xludf.DUMMYFUNCTION("""COMPUTED_VALUE"""),"Sabun batang 1 Box ( 2 PCS )")</f>
        <v>Sabun batang 1 Box ( 2 PCS )</v>
      </c>
      <c r="H2599" s="469"/>
      <c r="I2599" s="470"/>
      <c r="K2599" s="470"/>
      <c r="M2599" s="470"/>
      <c r="O2599" s="470"/>
    </row>
    <row r="2600">
      <c r="A2600" s="282" t="str">
        <f>IFERROR(__xludf.DUMMYFUNCTION("""COMPUTED_VALUE"""),"MICRO")</f>
        <v>MICRO</v>
      </c>
      <c r="B2600" s="468" t="str">
        <f>IFERROR(__xludf.DUMMYFUNCTION("""COMPUTED_VALUE"""),"airasyafiahh")</f>
        <v>airasyafiahh</v>
      </c>
      <c r="C2600" s="283" t="str">
        <f>IFERROR(__xludf.DUMMYFUNCTION("""COMPUTED_VALUE"""),"https://www.tiktok.com/@airasyafiahh")</f>
        <v>https://www.tiktok.com/@airasyafiahh</v>
      </c>
      <c r="D2600" s="273">
        <f>IFERROR(__xludf.DUMMYFUNCTION("""COMPUTED_VALUE"""),8.7841283208E10)</f>
        <v>87841283208</v>
      </c>
      <c r="E2600" s="458">
        <f>IFERROR(__xludf.DUMMYFUNCTION("""COMPUTED_VALUE"""),0.0)</f>
        <v>0</v>
      </c>
      <c r="F2600" s="273">
        <f>IFERROR(__xludf.DUMMYFUNCTION("""COMPUTED_VALUE"""),4.0)</f>
        <v>4</v>
      </c>
      <c r="G2600" t="str">
        <f>IFERROR(__xludf.DUMMYFUNCTION("""COMPUTED_VALUE"""),"Sabun batang 1 Box ( 2 PCS )")</f>
        <v>Sabun batang 1 Box ( 2 PCS )</v>
      </c>
      <c r="H2600" s="469"/>
      <c r="I2600" s="470"/>
      <c r="K2600" s="470"/>
      <c r="M2600" s="470"/>
      <c r="O2600" s="470"/>
    </row>
    <row r="2601">
      <c r="A2601" s="282" t="str">
        <f>IFERROR(__xludf.DUMMYFUNCTION("""COMPUTED_VALUE"""),"MICRO")</f>
        <v>MICRO</v>
      </c>
      <c r="B2601" s="468" t="str">
        <f>IFERROR(__xludf.DUMMYFUNCTION("""COMPUTED_VALUE"""),"by_mirin22")</f>
        <v>by_mirin22</v>
      </c>
      <c r="C2601" s="283" t="str">
        <f>IFERROR(__xludf.DUMMYFUNCTION("""COMPUTED_VALUE"""),"https://www.tiktok.com/@by_mirin22")</f>
        <v>https://www.tiktok.com/@by_mirin22</v>
      </c>
      <c r="D2601" s="273">
        <f>IFERROR(__xludf.DUMMYFUNCTION("""COMPUTED_VALUE"""),8.811238426E9)</f>
        <v>8811238426</v>
      </c>
      <c r="E2601" s="458">
        <f>IFERROR(__xludf.DUMMYFUNCTION("""COMPUTED_VALUE"""),0.0)</f>
        <v>0</v>
      </c>
      <c r="F2601" s="273">
        <f>IFERROR(__xludf.DUMMYFUNCTION("""COMPUTED_VALUE"""),4.0)</f>
        <v>4</v>
      </c>
      <c r="G2601" t="str">
        <f>IFERROR(__xludf.DUMMYFUNCTION("""COMPUTED_VALUE"""),"Sabun batang 1 Box ( 2 PCS )")</f>
        <v>Sabun batang 1 Box ( 2 PCS )</v>
      </c>
      <c r="H2601" s="469"/>
      <c r="I2601" s="470"/>
      <c r="K2601" s="470"/>
      <c r="M2601" s="470"/>
      <c r="O2601" s="470"/>
    </row>
    <row r="2602">
      <c r="A2602" s="282" t="str">
        <f>IFERROR(__xludf.DUMMYFUNCTION("""COMPUTED_VALUE"""),"MICRO")</f>
        <v>MICRO</v>
      </c>
      <c r="B2602" s="468" t="str">
        <f>IFERROR(__xludf.DUMMYFUNCTION("""COMPUTED_VALUE"""),"spillprintilan")</f>
        <v>spillprintilan</v>
      </c>
      <c r="C2602" s="283" t="str">
        <f>IFERROR(__xludf.DUMMYFUNCTION("""COMPUTED_VALUE"""),"https://www.tiktok.com/@spillprintilan")</f>
        <v>https://www.tiktok.com/@spillprintilan</v>
      </c>
      <c r="D2602" s="273">
        <f>IFERROR(__xludf.DUMMYFUNCTION("""COMPUTED_VALUE"""),8.5892183966E10)</f>
        <v>85892183966</v>
      </c>
      <c r="E2602" s="458">
        <f>IFERROR(__xludf.DUMMYFUNCTION("""COMPUTED_VALUE"""),0.0)</f>
        <v>0</v>
      </c>
      <c r="F2602" s="273">
        <f>IFERROR(__xludf.DUMMYFUNCTION("""COMPUTED_VALUE"""),4.0)</f>
        <v>4</v>
      </c>
      <c r="G2602" t="str">
        <f>IFERROR(__xludf.DUMMYFUNCTION("""COMPUTED_VALUE"""),"Sabun batang 1 Box ( 2 PCS )")</f>
        <v>Sabun batang 1 Box ( 2 PCS )</v>
      </c>
      <c r="H2602" s="469"/>
      <c r="I2602" s="470"/>
      <c r="K2602" s="470"/>
      <c r="M2602" s="470"/>
      <c r="O2602" s="470"/>
    </row>
    <row r="2603">
      <c r="A2603" s="282" t="str">
        <f>IFERROR(__xludf.DUMMYFUNCTION("""COMPUTED_VALUE"""),"MICRO")</f>
        <v>MICRO</v>
      </c>
      <c r="B2603" s="468" t="str">
        <f>IFERROR(__xludf.DUMMYFUNCTION("""COMPUTED_VALUE"""),"hehdinda")</f>
        <v>hehdinda</v>
      </c>
      <c r="C2603" s="283" t="str">
        <f>IFERROR(__xludf.DUMMYFUNCTION("""COMPUTED_VALUE"""),"https://www.tiktok.com/@hehdinda")</f>
        <v>https://www.tiktok.com/@hehdinda</v>
      </c>
      <c r="D2603" s="273">
        <f>IFERROR(__xludf.DUMMYFUNCTION("""COMPUTED_VALUE"""),8.5179554151E10)</f>
        <v>85179554151</v>
      </c>
      <c r="E2603" s="458">
        <f>IFERROR(__xludf.DUMMYFUNCTION("""COMPUTED_VALUE"""),0.0)</f>
        <v>0</v>
      </c>
      <c r="F2603" s="273">
        <f>IFERROR(__xludf.DUMMYFUNCTION("""COMPUTED_VALUE"""),4.0)</f>
        <v>4</v>
      </c>
      <c r="G2603" t="str">
        <f>IFERROR(__xludf.DUMMYFUNCTION("""COMPUTED_VALUE"""),"Sabun batang 1 Box ( 2 PCS )")</f>
        <v>Sabun batang 1 Box ( 2 PCS )</v>
      </c>
      <c r="H2603" s="469"/>
      <c r="I2603" s="470"/>
      <c r="K2603" s="470"/>
      <c r="M2603" s="470"/>
      <c r="O2603" s="470"/>
    </row>
    <row r="2604">
      <c r="A2604" s="282" t="str">
        <f>IFERROR(__xludf.DUMMYFUNCTION("""COMPUTED_VALUE"""),"MICRO")</f>
        <v>MICRO</v>
      </c>
      <c r="B2604" s="468" t="str">
        <f>IFERROR(__xludf.DUMMYFUNCTION("""COMPUTED_VALUE"""),"ccandypermen")</f>
        <v>ccandypermen</v>
      </c>
      <c r="C2604" s="283" t="str">
        <f>IFERROR(__xludf.DUMMYFUNCTION("""COMPUTED_VALUE"""),"https://www.tiktok.com/@ccandypermen")</f>
        <v>https://www.tiktok.com/@ccandypermen</v>
      </c>
      <c r="D2604" s="273">
        <f>IFERROR(__xludf.DUMMYFUNCTION("""COMPUTED_VALUE"""),8.9666810786E10)</f>
        <v>89666810786</v>
      </c>
      <c r="E2604" s="458">
        <f>IFERROR(__xludf.DUMMYFUNCTION("""COMPUTED_VALUE"""),0.0)</f>
        <v>0</v>
      </c>
      <c r="F2604" s="273">
        <f>IFERROR(__xludf.DUMMYFUNCTION("""COMPUTED_VALUE"""),4.0)</f>
        <v>4</v>
      </c>
      <c r="G2604" t="str">
        <f>IFERROR(__xludf.DUMMYFUNCTION("""COMPUTED_VALUE"""),"Sabun batang 1 Box ( 2 PCS )")</f>
        <v>Sabun batang 1 Box ( 2 PCS )</v>
      </c>
      <c r="H2604" s="469"/>
      <c r="I2604" s="470"/>
      <c r="K2604" s="470"/>
      <c r="M2604" s="470"/>
      <c r="O2604" s="470"/>
    </row>
    <row r="2605">
      <c r="A2605" s="282" t="str">
        <f>IFERROR(__xludf.DUMMYFUNCTION("""COMPUTED_VALUE"""),"MICRO")</f>
        <v>MICRO</v>
      </c>
      <c r="B2605" s="468" t="str">
        <f>IFERROR(__xludf.DUMMYFUNCTION("""COMPUTED_VALUE"""),"ini_ccyajeje")</f>
        <v>ini_ccyajeje</v>
      </c>
      <c r="C2605" s="283" t="str">
        <f>IFERROR(__xludf.DUMMYFUNCTION("""COMPUTED_VALUE"""),"https://www.tiktok.com/@ini_ccyajeje")</f>
        <v>https://www.tiktok.com/@ini_ccyajeje</v>
      </c>
      <c r="D2605" s="273">
        <f>IFERROR(__xludf.DUMMYFUNCTION("""COMPUTED_VALUE"""),8.1229750724E10)</f>
        <v>81229750724</v>
      </c>
      <c r="E2605" s="458">
        <f>IFERROR(__xludf.DUMMYFUNCTION("""COMPUTED_VALUE"""),0.0)</f>
        <v>0</v>
      </c>
      <c r="F2605" s="273">
        <f>IFERROR(__xludf.DUMMYFUNCTION("""COMPUTED_VALUE"""),4.0)</f>
        <v>4</v>
      </c>
      <c r="G2605" t="str">
        <f>IFERROR(__xludf.DUMMYFUNCTION("""COMPUTED_VALUE"""),"Sabun batang 1 Box ( 2 PCS )")</f>
        <v>Sabun batang 1 Box ( 2 PCS )</v>
      </c>
      <c r="H2605" s="469"/>
      <c r="I2605" s="470"/>
      <c r="K2605" s="470"/>
      <c r="M2605" s="470"/>
      <c r="O2605" s="470"/>
    </row>
    <row r="2606">
      <c r="A2606" s="282" t="str">
        <f>IFERROR(__xludf.DUMMYFUNCTION("""COMPUTED_VALUE"""),"MICRO")</f>
        <v>MICRO</v>
      </c>
      <c r="B2606" s="468" t="str">
        <f>IFERROR(__xludf.DUMMYFUNCTION("""COMPUTED_VALUE"""),"aunika.nika")</f>
        <v>aunika.nika</v>
      </c>
      <c r="C2606" s="283" t="str">
        <f>IFERROR(__xludf.DUMMYFUNCTION("""COMPUTED_VALUE"""),"https://www.tiktok.com/@aunika.nika")</f>
        <v>https://www.tiktok.com/@aunika.nika</v>
      </c>
      <c r="D2606" s="273">
        <f>IFERROR(__xludf.DUMMYFUNCTION("""COMPUTED_VALUE"""),8.5741949485E10)</f>
        <v>85741949485</v>
      </c>
      <c r="E2606" s="458">
        <f>IFERROR(__xludf.DUMMYFUNCTION("""COMPUTED_VALUE"""),0.0)</f>
        <v>0</v>
      </c>
      <c r="F2606" s="273">
        <f>IFERROR(__xludf.DUMMYFUNCTION("""COMPUTED_VALUE"""),4.0)</f>
        <v>4</v>
      </c>
      <c r="G2606" t="str">
        <f>IFERROR(__xludf.DUMMYFUNCTION("""COMPUTED_VALUE"""),"Sabun batang 1 Box ( 2 PCS )")</f>
        <v>Sabun batang 1 Box ( 2 PCS )</v>
      </c>
      <c r="H2606" s="469"/>
      <c r="I2606" s="470"/>
      <c r="K2606" s="470"/>
      <c r="M2606" s="470"/>
      <c r="O2606" s="470"/>
    </row>
    <row r="2607">
      <c r="A2607" s="282" t="str">
        <f>IFERROR(__xludf.DUMMYFUNCTION("""COMPUTED_VALUE"""),"MICRO")</f>
        <v>MICRO</v>
      </c>
      <c r="B2607" s="468" t="str">
        <f>IFERROR(__xludf.DUMMYFUNCTION("""COMPUTED_VALUE"""),"Ila_zachra")</f>
        <v>Ila_zachra</v>
      </c>
      <c r="C2607" s="283" t="str">
        <f>IFERROR(__xludf.DUMMYFUNCTION("""COMPUTED_VALUE"""),"https://www.tiktok.com/@Ila_zachra")</f>
        <v>https://www.tiktok.com/@Ila_zachra</v>
      </c>
      <c r="D2607" s="273">
        <f>IFERROR(__xludf.DUMMYFUNCTION("""COMPUTED_VALUE"""),8.123644302E10)</f>
        <v>81236443020</v>
      </c>
      <c r="E2607" s="458">
        <f>IFERROR(__xludf.DUMMYFUNCTION("""COMPUTED_VALUE"""),0.0)</f>
        <v>0</v>
      </c>
      <c r="F2607" s="273">
        <f>IFERROR(__xludf.DUMMYFUNCTION("""COMPUTED_VALUE"""),4.0)</f>
        <v>4</v>
      </c>
      <c r="G2607" t="str">
        <f>IFERROR(__xludf.DUMMYFUNCTION("""COMPUTED_VALUE"""),"Sabun batang 1 Box ( 2 PCS )")</f>
        <v>Sabun batang 1 Box ( 2 PCS )</v>
      </c>
      <c r="H2607" s="469"/>
      <c r="I2607" s="470"/>
      <c r="K2607" s="470"/>
      <c r="M2607" s="470"/>
      <c r="O2607" s="470"/>
    </row>
    <row r="2608">
      <c r="A2608" s="282" t="str">
        <f>IFERROR(__xludf.DUMMYFUNCTION("""COMPUTED_VALUE"""),"MICRO")</f>
        <v>MICRO</v>
      </c>
      <c r="B2608" s="468" t="str">
        <f>IFERROR(__xludf.DUMMYFUNCTION("""COMPUTED_VALUE"""),"maulidiah.diva")</f>
        <v>maulidiah.diva</v>
      </c>
      <c r="C2608" s="283" t="str">
        <f>IFERROR(__xludf.DUMMYFUNCTION("""COMPUTED_VALUE"""),"https://www.tiktok.com/@maulidiah.diva")</f>
        <v>https://www.tiktok.com/@maulidiah.diva</v>
      </c>
      <c r="D2608" s="273">
        <f>IFERROR(__xludf.DUMMYFUNCTION("""COMPUTED_VALUE"""),8.5706687757E10)</f>
        <v>85706687757</v>
      </c>
      <c r="E2608" s="458">
        <f>IFERROR(__xludf.DUMMYFUNCTION("""COMPUTED_VALUE"""),0.0)</f>
        <v>0</v>
      </c>
      <c r="F2608" s="273">
        <f>IFERROR(__xludf.DUMMYFUNCTION("""COMPUTED_VALUE"""),4.0)</f>
        <v>4</v>
      </c>
      <c r="G2608" t="str">
        <f>IFERROR(__xludf.DUMMYFUNCTION("""COMPUTED_VALUE"""),"Sabun batang 1 Box ( 2 PCS )")</f>
        <v>Sabun batang 1 Box ( 2 PCS )</v>
      </c>
      <c r="H2608" s="469"/>
      <c r="I2608" s="470"/>
      <c r="K2608" s="470"/>
      <c r="M2608" s="470"/>
      <c r="O2608" s="470"/>
    </row>
    <row r="2609">
      <c r="A2609" s="282" t="str">
        <f>IFERROR(__xludf.DUMMYFUNCTION("""COMPUTED_VALUE"""),"MICRO")</f>
        <v>MICRO</v>
      </c>
      <c r="B2609" s="468" t="str">
        <f>IFERROR(__xludf.DUMMYFUNCTION("""COMPUTED_VALUE"""),"sutanalif08")</f>
        <v>sutanalif08</v>
      </c>
      <c r="C2609" s="283" t="str">
        <f>IFERROR(__xludf.DUMMYFUNCTION("""COMPUTED_VALUE"""),"https://www.tiktok.com/@sutanalif08")</f>
        <v>https://www.tiktok.com/@sutanalif08</v>
      </c>
      <c r="D2609" s="273">
        <f>IFERROR(__xludf.DUMMYFUNCTION("""COMPUTED_VALUE"""),8.2382737171E10)</f>
        <v>82382737171</v>
      </c>
      <c r="E2609" s="458">
        <f>IFERROR(__xludf.DUMMYFUNCTION("""COMPUTED_VALUE"""),0.0)</f>
        <v>0</v>
      </c>
      <c r="F2609" s="273">
        <f>IFERROR(__xludf.DUMMYFUNCTION("""COMPUTED_VALUE"""),4.0)</f>
        <v>4</v>
      </c>
      <c r="G2609" t="str">
        <f>IFERROR(__xludf.DUMMYFUNCTION("""COMPUTED_VALUE"""),"Sabun batang 1 Box ( 2 PCS )")</f>
        <v>Sabun batang 1 Box ( 2 PCS )</v>
      </c>
      <c r="H2609" s="469"/>
      <c r="I2609" s="470"/>
      <c r="K2609" s="470"/>
      <c r="M2609" s="470"/>
      <c r="O2609" s="470"/>
    </row>
    <row r="2610">
      <c r="A2610" s="282" t="str">
        <f>IFERROR(__xludf.DUMMYFUNCTION("""COMPUTED_VALUE"""),"MICRO")</f>
        <v>MICRO</v>
      </c>
      <c r="B2610" s="468" t="str">
        <f>IFERROR(__xludf.DUMMYFUNCTION("""COMPUTED_VALUE"""),"yhumigalsaa24")</f>
        <v>yhumigalsaa24</v>
      </c>
      <c r="C2610" s="283" t="str">
        <f>IFERROR(__xludf.DUMMYFUNCTION("""COMPUTED_VALUE"""),"https://www.tiktok.com/@yhumigalsaa24")</f>
        <v>https://www.tiktok.com/@yhumigalsaa24</v>
      </c>
      <c r="D2610" s="273">
        <f>IFERROR(__xludf.DUMMYFUNCTION("""COMPUTED_VALUE"""),8.383135668E10)</f>
        <v>83831356680</v>
      </c>
      <c r="E2610" s="458">
        <f>IFERROR(__xludf.DUMMYFUNCTION("""COMPUTED_VALUE"""),0.0)</f>
        <v>0</v>
      </c>
      <c r="F2610" s="273">
        <f>IFERROR(__xludf.DUMMYFUNCTION("""COMPUTED_VALUE"""),4.0)</f>
        <v>4</v>
      </c>
      <c r="G2610" t="str">
        <f>IFERROR(__xludf.DUMMYFUNCTION("""COMPUTED_VALUE"""),"Sabun batang 1 Box ( 2 PCS )")</f>
        <v>Sabun batang 1 Box ( 2 PCS )</v>
      </c>
      <c r="H2610" s="469"/>
      <c r="I2610" s="470"/>
      <c r="K2610" s="470"/>
      <c r="M2610" s="470"/>
      <c r="O2610" s="470"/>
    </row>
    <row r="2611">
      <c r="A2611" s="282" t="str">
        <f>IFERROR(__xludf.DUMMYFUNCTION("""COMPUTED_VALUE"""),"MICRO")</f>
        <v>MICRO</v>
      </c>
      <c r="B2611" s="468" t="str">
        <f>IFERROR(__xludf.DUMMYFUNCTION("""COMPUTED_VALUE"""),"hadirlahbidadari")</f>
        <v>hadirlahbidadari</v>
      </c>
      <c r="C2611" s="283" t="str">
        <f>IFERROR(__xludf.DUMMYFUNCTION("""COMPUTED_VALUE"""),"https://www.tiktok.com/@hadirlahbidadari")</f>
        <v>https://www.tiktok.com/@hadirlahbidadari</v>
      </c>
      <c r="D2611" s="273">
        <f>IFERROR(__xludf.DUMMYFUNCTION("""COMPUTED_VALUE"""),8.95410127307E11)</f>
        <v>895410127307</v>
      </c>
      <c r="E2611" s="458">
        <f>IFERROR(__xludf.DUMMYFUNCTION("""COMPUTED_VALUE"""),0.0)</f>
        <v>0</v>
      </c>
      <c r="F2611" s="273">
        <f>IFERROR(__xludf.DUMMYFUNCTION("""COMPUTED_VALUE"""),4.0)</f>
        <v>4</v>
      </c>
      <c r="G2611" t="str">
        <f>IFERROR(__xludf.DUMMYFUNCTION("""COMPUTED_VALUE"""),"Sabun batang 1 Box ( 2 PCS )")</f>
        <v>Sabun batang 1 Box ( 2 PCS )</v>
      </c>
      <c r="H2611" s="469"/>
      <c r="I2611" s="470"/>
      <c r="K2611" s="470"/>
      <c r="M2611" s="470"/>
      <c r="O2611" s="470"/>
    </row>
    <row r="2612">
      <c r="A2612" s="282" t="str">
        <f>IFERROR(__xludf.DUMMYFUNCTION("""COMPUTED_VALUE"""),"MICRO")</f>
        <v>MICRO</v>
      </c>
      <c r="B2612" s="468" t="str">
        <f>IFERROR(__xludf.DUMMYFUNCTION("""COMPUTED_VALUE"""),"yuayyyy06")</f>
        <v>yuayyyy06</v>
      </c>
      <c r="C2612" s="283" t="str">
        <f>IFERROR(__xludf.DUMMYFUNCTION("""COMPUTED_VALUE"""),"https://www.tiktok.com/@yuayyyy06")</f>
        <v>https://www.tiktok.com/@yuayyyy06</v>
      </c>
      <c r="D2612" s="273">
        <f>IFERROR(__xludf.DUMMYFUNCTION("""COMPUTED_VALUE"""),8.9670226048E10)</f>
        <v>89670226048</v>
      </c>
      <c r="E2612" s="458">
        <f>IFERROR(__xludf.DUMMYFUNCTION("""COMPUTED_VALUE"""),0.0)</f>
        <v>0</v>
      </c>
      <c r="F2612" s="273">
        <f>IFERROR(__xludf.DUMMYFUNCTION("""COMPUTED_VALUE"""),4.0)</f>
        <v>4</v>
      </c>
      <c r="G2612" t="str">
        <f>IFERROR(__xludf.DUMMYFUNCTION("""COMPUTED_VALUE"""),"Sabun batang 1 Box ( 2 PCS )")</f>
        <v>Sabun batang 1 Box ( 2 PCS )</v>
      </c>
      <c r="H2612" s="469"/>
      <c r="I2612" s="470"/>
      <c r="K2612" s="470"/>
      <c r="M2612" s="470"/>
      <c r="O2612" s="470"/>
    </row>
    <row r="2613">
      <c r="A2613" s="282" t="str">
        <f>IFERROR(__xludf.DUMMYFUNCTION("""COMPUTED_VALUE"""),"MICRO")</f>
        <v>MICRO</v>
      </c>
      <c r="B2613" s="468" t="str">
        <f>IFERROR(__xludf.DUMMYFUNCTION("""COMPUTED_VALUE"""),"chaunel99")</f>
        <v>chaunel99</v>
      </c>
      <c r="C2613" s="283" t="str">
        <f>IFERROR(__xludf.DUMMYFUNCTION("""COMPUTED_VALUE"""),"https://www.tiktok.com/@chaunel99")</f>
        <v>https://www.tiktok.com/@chaunel99</v>
      </c>
      <c r="D2613" s="273">
        <f>IFERROR(__xludf.DUMMYFUNCTION("""COMPUTED_VALUE"""),8.95369673796E11)</f>
        <v>895369673796</v>
      </c>
      <c r="E2613" s="458">
        <f>IFERROR(__xludf.DUMMYFUNCTION("""COMPUTED_VALUE"""),0.0)</f>
        <v>0</v>
      </c>
      <c r="F2613" s="273">
        <f>IFERROR(__xludf.DUMMYFUNCTION("""COMPUTED_VALUE"""),4.0)</f>
        <v>4</v>
      </c>
      <c r="G2613" t="str">
        <f>IFERROR(__xludf.DUMMYFUNCTION("""COMPUTED_VALUE"""),"Sabun batang 1 Box ( 2 PCS )")</f>
        <v>Sabun batang 1 Box ( 2 PCS )</v>
      </c>
      <c r="H2613" s="469"/>
      <c r="I2613" s="470"/>
      <c r="K2613" s="470"/>
      <c r="M2613" s="470"/>
      <c r="O2613" s="470"/>
    </row>
    <row r="2614">
      <c r="A2614" s="282" t="str">
        <f>IFERROR(__xludf.DUMMYFUNCTION("""COMPUTED_VALUE"""),"MICRO")</f>
        <v>MICRO</v>
      </c>
      <c r="B2614" s="468" t="str">
        <f>IFERROR(__xludf.DUMMYFUNCTION("""COMPUTED_VALUE"""),"meyjayanti3")</f>
        <v>meyjayanti3</v>
      </c>
      <c r="C2614" s="283" t="str">
        <f>IFERROR(__xludf.DUMMYFUNCTION("""COMPUTED_VALUE"""),"https://www.tiktok.com/@meyjayanti3")</f>
        <v>https://www.tiktok.com/@meyjayanti3</v>
      </c>
      <c r="D2614" s="273">
        <f>IFERROR(__xludf.DUMMYFUNCTION("""COMPUTED_VALUE"""),8.1234629536E10)</f>
        <v>81234629536</v>
      </c>
      <c r="E2614" s="458">
        <f>IFERROR(__xludf.DUMMYFUNCTION("""COMPUTED_VALUE"""),0.0)</f>
        <v>0</v>
      </c>
      <c r="F2614" s="273">
        <f>IFERROR(__xludf.DUMMYFUNCTION("""COMPUTED_VALUE"""),4.0)</f>
        <v>4</v>
      </c>
      <c r="G2614" t="str">
        <f>IFERROR(__xludf.DUMMYFUNCTION("""COMPUTED_VALUE"""),"Sabun batang 1 Box ( 2 PCS )")</f>
        <v>Sabun batang 1 Box ( 2 PCS )</v>
      </c>
      <c r="H2614" s="469"/>
      <c r="I2614" s="470"/>
      <c r="K2614" s="470"/>
      <c r="M2614" s="470"/>
      <c r="O2614" s="470"/>
    </row>
    <row r="2615">
      <c r="A2615" s="282" t="str">
        <f>IFERROR(__xludf.DUMMYFUNCTION("""COMPUTED_VALUE"""),"MICRO")</f>
        <v>MICRO</v>
      </c>
      <c r="B2615" s="468" t="str">
        <f>IFERROR(__xludf.DUMMYFUNCTION("""COMPUTED_VALUE"""),"rahmaaff05")</f>
        <v>rahmaaff05</v>
      </c>
      <c r="C2615" s="283" t="str">
        <f>IFERROR(__xludf.DUMMYFUNCTION("""COMPUTED_VALUE"""),"https://www.tiktok.com/@rahmaaff05")</f>
        <v>https://www.tiktok.com/@rahmaaff05</v>
      </c>
      <c r="D2615" s="273">
        <f>IFERROR(__xludf.DUMMYFUNCTION("""COMPUTED_VALUE"""),8.5117372603E10)</f>
        <v>85117372603</v>
      </c>
      <c r="E2615" s="458">
        <f>IFERROR(__xludf.DUMMYFUNCTION("""COMPUTED_VALUE"""),0.0)</f>
        <v>0</v>
      </c>
      <c r="F2615" s="273">
        <f>IFERROR(__xludf.DUMMYFUNCTION("""COMPUTED_VALUE"""),4.0)</f>
        <v>4</v>
      </c>
      <c r="G2615" t="str">
        <f>IFERROR(__xludf.DUMMYFUNCTION("""COMPUTED_VALUE"""),"Sabun batang 1 Box ( 2 PCS )")</f>
        <v>Sabun batang 1 Box ( 2 PCS )</v>
      </c>
      <c r="H2615" s="469"/>
      <c r="I2615" s="470"/>
      <c r="K2615" s="470"/>
      <c r="M2615" s="470"/>
      <c r="O2615" s="470"/>
    </row>
    <row r="2616">
      <c r="A2616" s="282" t="str">
        <f>IFERROR(__xludf.DUMMYFUNCTION("""COMPUTED_VALUE"""),"MICRO")</f>
        <v>MICRO</v>
      </c>
      <c r="B2616" s="468" t="str">
        <f>IFERROR(__xludf.DUMMYFUNCTION("""COMPUTED_VALUE"""),"slayqueen_572")</f>
        <v>slayqueen_572</v>
      </c>
      <c r="C2616" s="283" t="str">
        <f>IFERROR(__xludf.DUMMYFUNCTION("""COMPUTED_VALUE"""),"https://www.tiktok.com/@slayqueen_572")</f>
        <v>https://www.tiktok.com/@slayqueen_572</v>
      </c>
      <c r="D2616" s="273">
        <f>IFERROR(__xludf.DUMMYFUNCTION("""COMPUTED_VALUE"""),8.5778230775E10)</f>
        <v>85778230775</v>
      </c>
      <c r="E2616" s="458">
        <f>IFERROR(__xludf.DUMMYFUNCTION("""COMPUTED_VALUE"""),0.0)</f>
        <v>0</v>
      </c>
      <c r="F2616" s="273">
        <f>IFERROR(__xludf.DUMMYFUNCTION("""COMPUTED_VALUE"""),4.0)</f>
        <v>4</v>
      </c>
      <c r="G2616" t="str">
        <f>IFERROR(__xludf.DUMMYFUNCTION("""COMPUTED_VALUE"""),"Sabun batang 1 Box ( 2 PCS )")</f>
        <v>Sabun batang 1 Box ( 2 PCS )</v>
      </c>
      <c r="H2616" s="469"/>
      <c r="I2616" s="470"/>
      <c r="K2616" s="470"/>
      <c r="M2616" s="470"/>
      <c r="O2616" s="470"/>
    </row>
    <row r="2617">
      <c r="A2617" s="282" t="str">
        <f>IFERROR(__xludf.DUMMYFUNCTION("""COMPUTED_VALUE"""),"MICRO")</f>
        <v>MICRO</v>
      </c>
      <c r="B2617" s="468" t="str">
        <f>IFERROR(__xludf.DUMMYFUNCTION("""COMPUTED_VALUE"""),"nivynee")</f>
        <v>nivynee</v>
      </c>
      <c r="C2617" s="283" t="str">
        <f>IFERROR(__xludf.DUMMYFUNCTION("""COMPUTED_VALUE"""),"https://www.tiktok.com/@nivynee")</f>
        <v>https://www.tiktok.com/@nivynee</v>
      </c>
      <c r="D2617" s="273">
        <f>IFERROR(__xludf.DUMMYFUNCTION("""COMPUTED_VALUE"""),8.2292757049E10)</f>
        <v>82292757049</v>
      </c>
      <c r="E2617" s="458">
        <f>IFERROR(__xludf.DUMMYFUNCTION("""COMPUTED_VALUE"""),0.0)</f>
        <v>0</v>
      </c>
      <c r="F2617" s="273">
        <f>IFERROR(__xludf.DUMMYFUNCTION("""COMPUTED_VALUE"""),4.0)</f>
        <v>4</v>
      </c>
      <c r="G2617" t="str">
        <f>IFERROR(__xludf.DUMMYFUNCTION("""COMPUTED_VALUE"""),"Sabun batang 1 Box ( 2 PCS )")</f>
        <v>Sabun batang 1 Box ( 2 PCS )</v>
      </c>
      <c r="H2617" s="469"/>
      <c r="I2617" s="470"/>
      <c r="K2617" s="470"/>
      <c r="M2617" s="470"/>
      <c r="O2617" s="470"/>
    </row>
    <row r="2618">
      <c r="A2618" s="282" t="str">
        <f>IFERROR(__xludf.DUMMYFUNCTION("""COMPUTED_VALUE"""),"MICRO")</f>
        <v>MICRO</v>
      </c>
      <c r="B2618" s="468" t="str">
        <f>IFERROR(__xludf.DUMMYFUNCTION("""COMPUTED_VALUE"""),"zuellaa_")</f>
        <v>zuellaa_</v>
      </c>
      <c r="C2618" s="283" t="str">
        <f>IFERROR(__xludf.DUMMYFUNCTION("""COMPUTED_VALUE"""),"https://www.tiktok.com/@zuellaa_")</f>
        <v>https://www.tiktok.com/@zuellaa_</v>
      </c>
      <c r="D2618" s="273">
        <f>IFERROR(__xludf.DUMMYFUNCTION("""COMPUTED_VALUE"""),8.9694094642E10)</f>
        <v>89694094642</v>
      </c>
      <c r="E2618" s="458">
        <f>IFERROR(__xludf.DUMMYFUNCTION("""COMPUTED_VALUE"""),0.0)</f>
        <v>0</v>
      </c>
      <c r="F2618" s="273">
        <f>IFERROR(__xludf.DUMMYFUNCTION("""COMPUTED_VALUE"""),4.0)</f>
        <v>4</v>
      </c>
      <c r="G2618" t="str">
        <f>IFERROR(__xludf.DUMMYFUNCTION("""COMPUTED_VALUE"""),"Sabun batang 1 Box ( 2 PCS )")</f>
        <v>Sabun batang 1 Box ( 2 PCS )</v>
      </c>
      <c r="H2618" s="469"/>
      <c r="I2618" s="470"/>
      <c r="K2618" s="470"/>
      <c r="M2618" s="470"/>
      <c r="O2618" s="470"/>
    </row>
    <row r="2619">
      <c r="A2619" s="282" t="str">
        <f>IFERROR(__xludf.DUMMYFUNCTION("""COMPUTED_VALUE"""),"MICRO")</f>
        <v>MICRO</v>
      </c>
      <c r="B2619" s="468" t="str">
        <f>IFERROR(__xludf.DUMMYFUNCTION("""COMPUTED_VALUE"""),"ralliine")</f>
        <v>ralliine</v>
      </c>
      <c r="C2619" s="283" t="str">
        <f>IFERROR(__xludf.DUMMYFUNCTION("""COMPUTED_VALUE"""),"https://www.tiktok.com/@ralliine")</f>
        <v>https://www.tiktok.com/@ralliine</v>
      </c>
      <c r="D2619" s="273">
        <f>IFERROR(__xludf.DUMMYFUNCTION("""COMPUTED_VALUE"""),8.1368083006E10)</f>
        <v>81368083006</v>
      </c>
      <c r="E2619" s="458">
        <f>IFERROR(__xludf.DUMMYFUNCTION("""COMPUTED_VALUE"""),0.0)</f>
        <v>0</v>
      </c>
      <c r="F2619" s="273">
        <f>IFERROR(__xludf.DUMMYFUNCTION("""COMPUTED_VALUE"""),4.0)</f>
        <v>4</v>
      </c>
      <c r="G2619" t="str">
        <f>IFERROR(__xludf.DUMMYFUNCTION("""COMPUTED_VALUE"""),"Sabun batang 1 Box ( 2 PCS )")</f>
        <v>Sabun batang 1 Box ( 2 PCS )</v>
      </c>
      <c r="H2619" s="469"/>
      <c r="I2619" s="470"/>
      <c r="K2619" s="470"/>
      <c r="M2619" s="470"/>
      <c r="O2619" s="470"/>
    </row>
    <row r="2620">
      <c r="A2620" s="282" t="str">
        <f>IFERROR(__xludf.DUMMYFUNCTION("""COMPUTED_VALUE"""),"MICRO")</f>
        <v>MICRO</v>
      </c>
      <c r="B2620" s="468" t="str">
        <f>IFERROR(__xludf.DUMMYFUNCTION("""COMPUTED_VALUE"""),"libragirlss__01")</f>
        <v>libragirlss__01</v>
      </c>
      <c r="C2620" s="283" t="str">
        <f>IFERROR(__xludf.DUMMYFUNCTION("""COMPUTED_VALUE"""),"https://www.tiktok.com/@libragirlss__01")</f>
        <v>https://www.tiktok.com/@libragirlss__01</v>
      </c>
      <c r="D2620" s="273">
        <f>IFERROR(__xludf.DUMMYFUNCTION("""COMPUTED_VALUE"""),8.2316095165E10)</f>
        <v>82316095165</v>
      </c>
      <c r="E2620" s="458">
        <f>IFERROR(__xludf.DUMMYFUNCTION("""COMPUTED_VALUE"""),0.0)</f>
        <v>0</v>
      </c>
      <c r="F2620" s="273">
        <f>IFERROR(__xludf.DUMMYFUNCTION("""COMPUTED_VALUE"""),4.0)</f>
        <v>4</v>
      </c>
      <c r="G2620" t="str">
        <f>IFERROR(__xludf.DUMMYFUNCTION("""COMPUTED_VALUE"""),"Sabun batang 1 Box ( 2 PCS )")</f>
        <v>Sabun batang 1 Box ( 2 PCS )</v>
      </c>
      <c r="H2620" s="469"/>
      <c r="I2620" s="470"/>
      <c r="K2620" s="470"/>
      <c r="M2620" s="470"/>
      <c r="O2620" s="470"/>
    </row>
    <row r="2621">
      <c r="A2621" s="282" t="str">
        <f>IFERROR(__xludf.DUMMYFUNCTION("""COMPUTED_VALUE"""),"MICRO")</f>
        <v>MICRO</v>
      </c>
      <c r="B2621" s="468" t="str">
        <f>IFERROR(__xludf.DUMMYFUNCTION("""COMPUTED_VALUE"""),"palmsugar100")</f>
        <v>palmsugar100</v>
      </c>
      <c r="C2621" s="283" t="str">
        <f>IFERROR(__xludf.DUMMYFUNCTION("""COMPUTED_VALUE"""),"https://www.tiktok.com/@palmsugar100")</f>
        <v>https://www.tiktok.com/@palmsugar100</v>
      </c>
      <c r="D2621" s="273">
        <f>IFERROR(__xludf.DUMMYFUNCTION("""COMPUTED_VALUE"""),8.5777333182E10)</f>
        <v>85777333182</v>
      </c>
      <c r="E2621" s="458">
        <f>IFERROR(__xludf.DUMMYFUNCTION("""COMPUTED_VALUE"""),0.0)</f>
        <v>0</v>
      </c>
      <c r="F2621" s="273">
        <f>IFERROR(__xludf.DUMMYFUNCTION("""COMPUTED_VALUE"""),4.0)</f>
        <v>4</v>
      </c>
      <c r="G2621" t="str">
        <f>IFERROR(__xludf.DUMMYFUNCTION("""COMPUTED_VALUE"""),"Sabun batang 1 Box ( 2 PCS )")</f>
        <v>Sabun batang 1 Box ( 2 PCS )</v>
      </c>
      <c r="H2621" s="469"/>
      <c r="I2621" s="470"/>
      <c r="K2621" s="470"/>
      <c r="M2621" s="470"/>
      <c r="O2621" s="470"/>
    </row>
    <row r="2622">
      <c r="A2622" s="282" t="str">
        <f>IFERROR(__xludf.DUMMYFUNCTION("""COMPUTED_VALUE"""),"MICRO")</f>
        <v>MICRO</v>
      </c>
      <c r="B2622" s="468" t="str">
        <f>IFERROR(__xludf.DUMMYFUNCTION("""COMPUTED_VALUE"""),"ruhamaaa6")</f>
        <v>ruhamaaa6</v>
      </c>
      <c r="C2622" s="283" t="str">
        <f>IFERROR(__xludf.DUMMYFUNCTION("""COMPUTED_VALUE"""),"https://www.tiktok.com/@ruhamaaa6")</f>
        <v>https://www.tiktok.com/@ruhamaaa6</v>
      </c>
      <c r="D2622" s="273">
        <f>IFERROR(__xludf.DUMMYFUNCTION("""COMPUTED_VALUE"""),8.3876424835E10)</f>
        <v>83876424835</v>
      </c>
      <c r="E2622" s="458">
        <f>IFERROR(__xludf.DUMMYFUNCTION("""COMPUTED_VALUE"""),0.0)</f>
        <v>0</v>
      </c>
      <c r="F2622" s="273">
        <f>IFERROR(__xludf.DUMMYFUNCTION("""COMPUTED_VALUE"""),4.0)</f>
        <v>4</v>
      </c>
      <c r="G2622" t="str">
        <f>IFERROR(__xludf.DUMMYFUNCTION("""COMPUTED_VALUE"""),"Sabun batang 1 Box ( 2 PCS )")</f>
        <v>Sabun batang 1 Box ( 2 PCS )</v>
      </c>
      <c r="H2622" s="469"/>
      <c r="I2622" s="470"/>
      <c r="K2622" s="470"/>
      <c r="M2622" s="470"/>
      <c r="O2622" s="470"/>
    </row>
    <row r="2623">
      <c r="A2623" s="282" t="str">
        <f>IFERROR(__xludf.DUMMYFUNCTION("""COMPUTED_VALUE"""),"MICRO")</f>
        <v>MICRO</v>
      </c>
      <c r="B2623" s="468" t="str">
        <f>IFERROR(__xludf.DUMMYFUNCTION("""COMPUTED_VALUE"""),"eadelia_")</f>
        <v>eadelia_</v>
      </c>
      <c r="C2623" s="283" t="str">
        <f>IFERROR(__xludf.DUMMYFUNCTION("""COMPUTED_VALUE"""),"https://www.tiktok.com/@eadelia_")</f>
        <v>https://www.tiktok.com/@eadelia_</v>
      </c>
      <c r="D2623" s="273">
        <f>IFERROR(__xludf.DUMMYFUNCTION("""COMPUTED_VALUE"""),8.5841716124E10)</f>
        <v>85841716124</v>
      </c>
      <c r="E2623" s="458">
        <f>IFERROR(__xludf.DUMMYFUNCTION("""COMPUTED_VALUE"""),0.0)</f>
        <v>0</v>
      </c>
      <c r="F2623" s="273">
        <f>IFERROR(__xludf.DUMMYFUNCTION("""COMPUTED_VALUE"""),4.0)</f>
        <v>4</v>
      </c>
      <c r="G2623" t="str">
        <f>IFERROR(__xludf.DUMMYFUNCTION("""COMPUTED_VALUE"""),"Sabun batang 1 Box ( 2 PCS )")</f>
        <v>Sabun batang 1 Box ( 2 PCS )</v>
      </c>
      <c r="H2623" s="469"/>
      <c r="I2623" s="470"/>
      <c r="K2623" s="470"/>
      <c r="M2623" s="470"/>
      <c r="O2623" s="470"/>
    </row>
    <row r="2624">
      <c r="A2624" s="282" t="str">
        <f>IFERROR(__xludf.DUMMYFUNCTION("""COMPUTED_VALUE"""),"MICRO")</f>
        <v>MICRO</v>
      </c>
      <c r="B2624" s="468" t="str">
        <f>IFERROR(__xludf.DUMMYFUNCTION("""COMPUTED_VALUE"""),"_farida76")</f>
        <v>_farida76</v>
      </c>
      <c r="C2624" s="283" t="str">
        <f>IFERROR(__xludf.DUMMYFUNCTION("""COMPUTED_VALUE"""),"https://www.tiktok.com/@_farida76")</f>
        <v>https://www.tiktok.com/@_farida76</v>
      </c>
      <c r="D2624" s="273">
        <f>IFERROR(__xludf.DUMMYFUNCTION("""COMPUTED_VALUE"""),8.2333129248E10)</f>
        <v>82333129248</v>
      </c>
      <c r="E2624" s="458">
        <f>IFERROR(__xludf.DUMMYFUNCTION("""COMPUTED_VALUE"""),0.0)</f>
        <v>0</v>
      </c>
      <c r="F2624" s="273">
        <f>IFERROR(__xludf.DUMMYFUNCTION("""COMPUTED_VALUE"""),4.0)</f>
        <v>4</v>
      </c>
      <c r="G2624" t="str">
        <f>IFERROR(__xludf.DUMMYFUNCTION("""COMPUTED_VALUE"""),"Sabun batang 1 Box ( 2 PCS )")</f>
        <v>Sabun batang 1 Box ( 2 PCS )</v>
      </c>
      <c r="H2624" s="469"/>
      <c r="I2624" s="470"/>
      <c r="K2624" s="470"/>
      <c r="M2624" s="470"/>
      <c r="O2624" s="470"/>
    </row>
    <row r="2625">
      <c r="A2625" s="282" t="str">
        <f>IFERROR(__xludf.DUMMYFUNCTION("""COMPUTED_VALUE"""),"MICRO")</f>
        <v>MICRO</v>
      </c>
      <c r="B2625" s="468" t="str">
        <f>IFERROR(__xludf.DUMMYFUNCTION("""COMPUTED_VALUE"""),"beautyoftanti")</f>
        <v>beautyoftanti</v>
      </c>
      <c r="C2625" s="283" t="str">
        <f>IFERROR(__xludf.DUMMYFUNCTION("""COMPUTED_VALUE"""),"https://www.tiktok.com/@beautyoftanti")</f>
        <v>https://www.tiktok.com/@beautyoftanti</v>
      </c>
      <c r="D2625" s="273">
        <f>IFERROR(__xludf.DUMMYFUNCTION("""COMPUTED_VALUE"""),8.5217700635E10)</f>
        <v>85217700635</v>
      </c>
      <c r="E2625" s="458">
        <f>IFERROR(__xludf.DUMMYFUNCTION("""COMPUTED_VALUE"""),0.0)</f>
        <v>0</v>
      </c>
      <c r="F2625" s="273">
        <f>IFERROR(__xludf.DUMMYFUNCTION("""COMPUTED_VALUE"""),4.0)</f>
        <v>4</v>
      </c>
      <c r="G2625" t="str">
        <f>IFERROR(__xludf.DUMMYFUNCTION("""COMPUTED_VALUE"""),"Sabun batang 1 Box ( 2 PCS )")</f>
        <v>Sabun batang 1 Box ( 2 PCS )</v>
      </c>
      <c r="H2625" s="469"/>
      <c r="I2625" s="470"/>
      <c r="K2625" s="470"/>
      <c r="M2625" s="470"/>
      <c r="O2625" s="470"/>
    </row>
    <row r="2626">
      <c r="A2626" s="282" t="str">
        <f>IFERROR(__xludf.DUMMYFUNCTION("""COMPUTED_VALUE"""),"MICRO")</f>
        <v>MICRO</v>
      </c>
      <c r="B2626" s="468" t="str">
        <f>IFERROR(__xludf.DUMMYFUNCTION("""COMPUTED_VALUE"""),"cappyysa")</f>
        <v>cappyysa</v>
      </c>
      <c r="C2626" s="283" t="str">
        <f>IFERROR(__xludf.DUMMYFUNCTION("""COMPUTED_VALUE"""),"https://www.tiktok.com/@cappyysa")</f>
        <v>https://www.tiktok.com/@cappyysa</v>
      </c>
      <c r="D2626" s="273">
        <f>IFERROR(__xludf.DUMMYFUNCTION("""COMPUTED_VALUE"""),8.3822532388E10)</f>
        <v>83822532388</v>
      </c>
      <c r="E2626" s="458">
        <f>IFERROR(__xludf.DUMMYFUNCTION("""COMPUTED_VALUE"""),0.0)</f>
        <v>0</v>
      </c>
      <c r="F2626" s="273">
        <f>IFERROR(__xludf.DUMMYFUNCTION("""COMPUTED_VALUE"""),4.0)</f>
        <v>4</v>
      </c>
      <c r="G2626" t="str">
        <f>IFERROR(__xludf.DUMMYFUNCTION("""COMPUTED_VALUE"""),"Sabun batang 1 Box ( 2 PCS )")</f>
        <v>Sabun batang 1 Box ( 2 PCS )</v>
      </c>
      <c r="H2626" s="469"/>
      <c r="I2626" s="470"/>
      <c r="K2626" s="470"/>
      <c r="M2626" s="470"/>
      <c r="O2626" s="470"/>
    </row>
    <row r="2627">
      <c r="A2627" s="282" t="str">
        <f>IFERROR(__xludf.DUMMYFUNCTION("""COMPUTED_VALUE"""),"MICRO")</f>
        <v>MICRO</v>
      </c>
      <c r="B2627" s="468" t="str">
        <f>IFERROR(__xludf.DUMMYFUNCTION("""COMPUTED_VALUE"""),"chocoloverrr.__")</f>
        <v>chocoloverrr.__</v>
      </c>
      <c r="C2627" s="283" t="str">
        <f>IFERROR(__xludf.DUMMYFUNCTION("""COMPUTED_VALUE"""),"https://www.tiktok.com/@chocoloverrr.__")</f>
        <v>https://www.tiktok.com/@chocoloverrr.__</v>
      </c>
      <c r="D2627" s="273">
        <f>IFERROR(__xludf.DUMMYFUNCTION("""COMPUTED_VALUE"""),8.1937284623E10)</f>
        <v>81937284623</v>
      </c>
      <c r="E2627" s="458">
        <f>IFERROR(__xludf.DUMMYFUNCTION("""COMPUTED_VALUE"""),0.0)</f>
        <v>0</v>
      </c>
      <c r="F2627" s="273">
        <f>IFERROR(__xludf.DUMMYFUNCTION("""COMPUTED_VALUE"""),4.0)</f>
        <v>4</v>
      </c>
      <c r="G2627" t="str">
        <f>IFERROR(__xludf.DUMMYFUNCTION("""COMPUTED_VALUE"""),"Sabun batang 1 Box ( 2 PCS )")</f>
        <v>Sabun batang 1 Box ( 2 PCS )</v>
      </c>
      <c r="H2627" s="469"/>
      <c r="I2627" s="470"/>
      <c r="K2627" s="470"/>
      <c r="M2627" s="470"/>
      <c r="O2627" s="470"/>
    </row>
    <row r="2628">
      <c r="A2628" s="282" t="str">
        <f>IFERROR(__xludf.DUMMYFUNCTION("""COMPUTED_VALUE"""),"MICRO")</f>
        <v>MICRO</v>
      </c>
      <c r="B2628" s="468" t="str">
        <f>IFERROR(__xludf.DUMMYFUNCTION("""COMPUTED_VALUE"""),"hi.billll")</f>
        <v>hi.billll</v>
      </c>
      <c r="C2628" s="283" t="str">
        <f>IFERROR(__xludf.DUMMYFUNCTION("""COMPUTED_VALUE"""),"https://www.tiktok.com/@hi.billll")</f>
        <v>https://www.tiktok.com/@hi.billll</v>
      </c>
      <c r="D2628" s="273">
        <f>IFERROR(__xludf.DUMMYFUNCTION("""COMPUTED_VALUE"""),8.5299303517E10)</f>
        <v>85299303517</v>
      </c>
      <c r="E2628" s="458">
        <f>IFERROR(__xludf.DUMMYFUNCTION("""COMPUTED_VALUE"""),0.0)</f>
        <v>0</v>
      </c>
      <c r="F2628" s="273">
        <f>IFERROR(__xludf.DUMMYFUNCTION("""COMPUTED_VALUE"""),4.0)</f>
        <v>4</v>
      </c>
      <c r="G2628" t="str">
        <f>IFERROR(__xludf.DUMMYFUNCTION("""COMPUTED_VALUE"""),"Sabun batang 1 Box ( 2 PCS )")</f>
        <v>Sabun batang 1 Box ( 2 PCS )</v>
      </c>
      <c r="H2628" s="469"/>
      <c r="I2628" s="470"/>
      <c r="K2628" s="470"/>
      <c r="M2628" s="470"/>
      <c r="O2628" s="470"/>
    </row>
    <row r="2629">
      <c r="A2629" s="282" t="str">
        <f>IFERROR(__xludf.DUMMYFUNCTION("""COMPUTED_VALUE"""),"MICRO")</f>
        <v>MICRO</v>
      </c>
      <c r="B2629" s="468" t="str">
        <f>IFERROR(__xludf.DUMMYFUNCTION("""COMPUTED_VALUE"""),"hohooi0")</f>
        <v>hohooi0</v>
      </c>
      <c r="C2629" s="283" t="str">
        <f>IFERROR(__xludf.DUMMYFUNCTION("""COMPUTED_VALUE"""),"https://www.tiktok.com/@hohooi0")</f>
        <v>https://www.tiktok.com/@hohooi0</v>
      </c>
      <c r="D2629" s="273">
        <f>IFERROR(__xludf.DUMMYFUNCTION("""COMPUTED_VALUE"""),8.95326135069E11)</f>
        <v>895326135069</v>
      </c>
      <c r="E2629" s="458">
        <f>IFERROR(__xludf.DUMMYFUNCTION("""COMPUTED_VALUE"""),0.0)</f>
        <v>0</v>
      </c>
      <c r="F2629" s="273">
        <f>IFERROR(__xludf.DUMMYFUNCTION("""COMPUTED_VALUE"""),4.0)</f>
        <v>4</v>
      </c>
      <c r="G2629" t="str">
        <f>IFERROR(__xludf.DUMMYFUNCTION("""COMPUTED_VALUE"""),"Sabun batang 1 Box ( 2 PCS )")</f>
        <v>Sabun batang 1 Box ( 2 PCS )</v>
      </c>
      <c r="H2629" s="469"/>
      <c r="I2629" s="470"/>
      <c r="K2629" s="470"/>
      <c r="M2629" s="470"/>
      <c r="O2629" s="470"/>
    </row>
    <row r="2630">
      <c r="A2630" s="282" t="str">
        <f>IFERROR(__xludf.DUMMYFUNCTION("""COMPUTED_VALUE"""),"MICRO")</f>
        <v>MICRO</v>
      </c>
      <c r="B2630" s="468" t="str">
        <f>IFERROR(__xludf.DUMMYFUNCTION("""COMPUTED_VALUE"""),"laalunelle")</f>
        <v>laalunelle</v>
      </c>
      <c r="C2630" s="283" t="str">
        <f>IFERROR(__xludf.DUMMYFUNCTION("""COMPUTED_VALUE"""),"https://www.tiktok.com/@laalunelle")</f>
        <v>https://www.tiktok.com/@laalunelle</v>
      </c>
      <c r="D2630" s="273">
        <f>IFERROR(__xludf.DUMMYFUNCTION("""COMPUTED_VALUE"""),8.1515597683E10)</f>
        <v>81515597683</v>
      </c>
      <c r="E2630" s="458">
        <f>IFERROR(__xludf.DUMMYFUNCTION("""COMPUTED_VALUE"""),0.0)</f>
        <v>0</v>
      </c>
      <c r="F2630" s="273">
        <f>IFERROR(__xludf.DUMMYFUNCTION("""COMPUTED_VALUE"""),4.0)</f>
        <v>4</v>
      </c>
      <c r="G2630" t="str">
        <f>IFERROR(__xludf.DUMMYFUNCTION("""COMPUTED_VALUE"""),"Sabun batang 1 Box ( 2 PCS )")</f>
        <v>Sabun batang 1 Box ( 2 PCS )</v>
      </c>
      <c r="H2630" s="469"/>
      <c r="I2630" s="470"/>
      <c r="K2630" s="470"/>
      <c r="M2630" s="470"/>
      <c r="O2630" s="470"/>
    </row>
    <row r="2631">
      <c r="A2631" s="282" t="str">
        <f>IFERROR(__xludf.DUMMYFUNCTION("""COMPUTED_VALUE"""),"MICRO")</f>
        <v>MICRO</v>
      </c>
      <c r="B2631" s="468" t="str">
        <f>IFERROR(__xludf.DUMMYFUNCTION("""COMPUTED_VALUE"""),"_a.prlyanii")</f>
        <v>_a.prlyanii</v>
      </c>
      <c r="C2631" s="283" t="str">
        <f>IFERROR(__xludf.DUMMYFUNCTION("""COMPUTED_VALUE"""),"https://www.tiktok.com/@_a.prlyanii")</f>
        <v>https://www.tiktok.com/@_a.prlyanii</v>
      </c>
      <c r="D2631" s="273">
        <f>IFERROR(__xludf.DUMMYFUNCTION("""COMPUTED_VALUE"""),8.5328919778E10)</f>
        <v>85328919778</v>
      </c>
      <c r="E2631" s="458">
        <f>IFERROR(__xludf.DUMMYFUNCTION("""COMPUTED_VALUE"""),0.0)</f>
        <v>0</v>
      </c>
      <c r="F2631" s="273">
        <f>IFERROR(__xludf.DUMMYFUNCTION("""COMPUTED_VALUE"""),4.0)</f>
        <v>4</v>
      </c>
      <c r="G2631" t="str">
        <f>IFERROR(__xludf.DUMMYFUNCTION("""COMPUTED_VALUE"""),"Sabun batang 1 Box ( 2 PCS )")</f>
        <v>Sabun batang 1 Box ( 2 PCS )</v>
      </c>
      <c r="H2631" s="469"/>
      <c r="I2631" s="470"/>
      <c r="K2631" s="470"/>
      <c r="M2631" s="470"/>
      <c r="O2631" s="470"/>
    </row>
    <row r="2632">
      <c r="A2632" s="282" t="str">
        <f>IFERROR(__xludf.DUMMYFUNCTION("""COMPUTED_VALUE"""),"MICRO")</f>
        <v>MICRO</v>
      </c>
      <c r="B2632" s="468" t="str">
        <f>IFERROR(__xludf.DUMMYFUNCTION("""COMPUTED_VALUE"""),"ressaramdhan")</f>
        <v>ressaramdhan</v>
      </c>
      <c r="C2632" s="283" t="str">
        <f>IFERROR(__xludf.DUMMYFUNCTION("""COMPUTED_VALUE"""),"https://www.tiktok.com/@ressaramdhan")</f>
        <v>https://www.tiktok.com/@ressaramdhan</v>
      </c>
      <c r="D2632" s="273">
        <f>IFERROR(__xludf.DUMMYFUNCTION("""COMPUTED_VALUE"""),8.5795010488E10)</f>
        <v>85795010488</v>
      </c>
      <c r="E2632" s="458">
        <f>IFERROR(__xludf.DUMMYFUNCTION("""COMPUTED_VALUE"""),0.0)</f>
        <v>0</v>
      </c>
      <c r="F2632" s="273">
        <f>IFERROR(__xludf.DUMMYFUNCTION("""COMPUTED_VALUE"""),4.0)</f>
        <v>4</v>
      </c>
      <c r="G2632" t="str">
        <f>IFERROR(__xludf.DUMMYFUNCTION("""COMPUTED_VALUE"""),"Sabun batang 1 Box ( 2 PCS )")</f>
        <v>Sabun batang 1 Box ( 2 PCS )</v>
      </c>
      <c r="H2632" s="469"/>
      <c r="I2632" s="470"/>
      <c r="K2632" s="470"/>
      <c r="M2632" s="470"/>
      <c r="O2632" s="470"/>
    </row>
    <row r="2633">
      <c r="A2633" s="282" t="str">
        <f>IFERROR(__xludf.DUMMYFUNCTION("""COMPUTED_VALUE"""),"MICRO")</f>
        <v>MICRO</v>
      </c>
      <c r="B2633" s="468" t="str">
        <f>IFERROR(__xludf.DUMMYFUNCTION("""COMPUTED_VALUE"""),"patmaayaa")</f>
        <v>patmaayaa</v>
      </c>
      <c r="C2633" s="283" t="str">
        <f>IFERROR(__xludf.DUMMYFUNCTION("""COMPUTED_VALUE"""),"https://www.tiktok.com/@patmaayaa")</f>
        <v>https://www.tiktok.com/@patmaayaa</v>
      </c>
      <c r="D2633" s="273">
        <f>IFERROR(__xludf.DUMMYFUNCTION("""COMPUTED_VALUE"""),8.155663879E10)</f>
        <v>81556638790</v>
      </c>
      <c r="E2633" s="458">
        <f>IFERROR(__xludf.DUMMYFUNCTION("""COMPUTED_VALUE"""),0.0)</f>
        <v>0</v>
      </c>
      <c r="F2633" s="273">
        <f>IFERROR(__xludf.DUMMYFUNCTION("""COMPUTED_VALUE"""),4.0)</f>
        <v>4</v>
      </c>
      <c r="G2633" t="str">
        <f>IFERROR(__xludf.DUMMYFUNCTION("""COMPUTED_VALUE"""),"Sabun batang 1 Box ( 2 PCS )")</f>
        <v>Sabun batang 1 Box ( 2 PCS )</v>
      </c>
      <c r="H2633" s="469"/>
      <c r="I2633" s="470"/>
      <c r="K2633" s="470"/>
      <c r="M2633" s="470"/>
      <c r="O2633" s="470"/>
    </row>
    <row r="2634">
      <c r="A2634" s="282" t="str">
        <f>IFERROR(__xludf.DUMMYFUNCTION("""COMPUTED_VALUE"""),"MICRO")</f>
        <v>MICRO</v>
      </c>
      <c r="B2634" s="468" t="str">
        <f>IFERROR(__xludf.DUMMYFUNCTION("""COMPUTED_VALUE"""),"ebytrie02")</f>
        <v>ebytrie02</v>
      </c>
      <c r="C2634" s="283" t="str">
        <f>IFERROR(__xludf.DUMMYFUNCTION("""COMPUTED_VALUE"""),"https://www.tiktok.com/@ebytrie02")</f>
        <v>https://www.tiktok.com/@ebytrie02</v>
      </c>
      <c r="D2634" s="273">
        <f>IFERROR(__xludf.DUMMYFUNCTION("""COMPUTED_VALUE"""),8.5360025933E10)</f>
        <v>85360025933</v>
      </c>
      <c r="E2634" s="458">
        <f>IFERROR(__xludf.DUMMYFUNCTION("""COMPUTED_VALUE"""),0.0)</f>
        <v>0</v>
      </c>
      <c r="F2634" s="273">
        <f>IFERROR(__xludf.DUMMYFUNCTION("""COMPUTED_VALUE"""),4.0)</f>
        <v>4</v>
      </c>
      <c r="G2634" t="str">
        <f>IFERROR(__xludf.DUMMYFUNCTION("""COMPUTED_VALUE"""),"Sabun batang 1 Box ( 2 PCS )")</f>
        <v>Sabun batang 1 Box ( 2 PCS )</v>
      </c>
      <c r="H2634" s="469"/>
      <c r="I2634" s="470"/>
      <c r="K2634" s="470"/>
      <c r="M2634" s="470"/>
      <c r="O2634" s="470"/>
    </row>
    <row r="2635">
      <c r="A2635" s="282" t="str">
        <f>IFERROR(__xludf.DUMMYFUNCTION("""COMPUTED_VALUE"""),"MICRO")</f>
        <v>MICRO</v>
      </c>
      <c r="B2635" s="468" t="str">
        <f>IFERROR(__xludf.DUMMYFUNCTION("""COMPUTED_VALUE"""),"skincareadilah")</f>
        <v>skincareadilah</v>
      </c>
      <c r="C2635" s="283" t="str">
        <f>IFERROR(__xludf.DUMMYFUNCTION("""COMPUTED_VALUE"""),"https://www.tiktok.com/@skincareadilah")</f>
        <v>https://www.tiktok.com/@skincareadilah</v>
      </c>
      <c r="D2635" s="273">
        <f>IFERROR(__xludf.DUMMYFUNCTION("""COMPUTED_VALUE"""),8.8989621816E10)</f>
        <v>88989621816</v>
      </c>
      <c r="E2635" s="458">
        <f>IFERROR(__xludf.DUMMYFUNCTION("""COMPUTED_VALUE"""),0.0)</f>
        <v>0</v>
      </c>
      <c r="F2635" s="273">
        <f>IFERROR(__xludf.DUMMYFUNCTION("""COMPUTED_VALUE"""),4.0)</f>
        <v>4</v>
      </c>
      <c r="G2635" t="str">
        <f>IFERROR(__xludf.DUMMYFUNCTION("""COMPUTED_VALUE"""),"Sabun batang 1 Box ( 2 PCS )")</f>
        <v>Sabun batang 1 Box ( 2 PCS )</v>
      </c>
      <c r="H2635" s="469"/>
      <c r="I2635" s="470"/>
      <c r="K2635" s="470"/>
      <c r="M2635" s="470"/>
      <c r="O2635" s="470"/>
    </row>
    <row r="2636">
      <c r="A2636" s="282" t="str">
        <f>IFERROR(__xludf.DUMMYFUNCTION("""COMPUTED_VALUE"""),"MICRO")</f>
        <v>MICRO</v>
      </c>
      <c r="B2636" s="468" t="str">
        <f>IFERROR(__xludf.DUMMYFUNCTION("""COMPUTED_VALUE"""),"nadya.desvi2")</f>
        <v>nadya.desvi2</v>
      </c>
      <c r="C2636" s="283" t="str">
        <f>IFERROR(__xludf.DUMMYFUNCTION("""COMPUTED_VALUE"""),"https://www.tiktok.com/@nadya.desvi2")</f>
        <v>https://www.tiktok.com/@nadya.desvi2</v>
      </c>
      <c r="D2636" s="273">
        <f>IFERROR(__xludf.DUMMYFUNCTION("""COMPUTED_VALUE"""),8.7701169406E10)</f>
        <v>87701169406</v>
      </c>
      <c r="E2636" s="458">
        <f>IFERROR(__xludf.DUMMYFUNCTION("""COMPUTED_VALUE"""),0.0)</f>
        <v>0</v>
      </c>
      <c r="F2636" s="273">
        <f>IFERROR(__xludf.DUMMYFUNCTION("""COMPUTED_VALUE"""),4.0)</f>
        <v>4</v>
      </c>
      <c r="G2636" t="str">
        <f>IFERROR(__xludf.DUMMYFUNCTION("""COMPUTED_VALUE"""),"Sabun batang 1 Box ( 2 PCS )")</f>
        <v>Sabun batang 1 Box ( 2 PCS )</v>
      </c>
      <c r="H2636" s="469"/>
      <c r="I2636" s="470"/>
      <c r="K2636" s="470"/>
      <c r="M2636" s="470"/>
      <c r="O2636" s="470"/>
    </row>
    <row r="2637">
      <c r="A2637" s="282" t="str">
        <f>IFERROR(__xludf.DUMMYFUNCTION("""COMPUTED_VALUE"""),"MICRO")</f>
        <v>MICRO</v>
      </c>
      <c r="B2637" s="468" t="str">
        <f>IFERROR(__xludf.DUMMYFUNCTION("""COMPUTED_VALUE"""),"xx.lissvy")</f>
        <v>xx.lissvy</v>
      </c>
      <c r="C2637" s="283" t="str">
        <f>IFERROR(__xludf.DUMMYFUNCTION("""COMPUTED_VALUE"""),"https://www.tiktok.com/@xx.lissvy")</f>
        <v>https://www.tiktok.com/@xx.lissvy</v>
      </c>
      <c r="D2637" s="273">
        <f>IFERROR(__xludf.DUMMYFUNCTION("""COMPUTED_VALUE"""),8.1338854727E10)</f>
        <v>81338854727</v>
      </c>
      <c r="E2637" s="458">
        <f>IFERROR(__xludf.DUMMYFUNCTION("""COMPUTED_VALUE"""),0.0)</f>
        <v>0</v>
      </c>
      <c r="F2637" s="273">
        <f>IFERROR(__xludf.DUMMYFUNCTION("""COMPUTED_VALUE"""),4.0)</f>
        <v>4</v>
      </c>
      <c r="G2637" t="str">
        <f>IFERROR(__xludf.DUMMYFUNCTION("""COMPUTED_VALUE"""),"Sabun batang 1 Box ( 2 PCS )")</f>
        <v>Sabun batang 1 Box ( 2 PCS )</v>
      </c>
      <c r="H2637" s="469"/>
      <c r="I2637" s="470"/>
      <c r="K2637" s="470"/>
      <c r="M2637" s="470"/>
      <c r="O2637" s="470"/>
    </row>
    <row r="2638">
      <c r="A2638" s="282" t="str">
        <f>IFERROR(__xludf.DUMMYFUNCTION("""COMPUTED_VALUE"""),"MICRO")</f>
        <v>MICRO</v>
      </c>
      <c r="B2638" s="468" t="str">
        <f>IFERROR(__xludf.DUMMYFUNCTION("""COMPUTED_VALUE"""),"meivizar_")</f>
        <v>meivizar_</v>
      </c>
      <c r="C2638" s="283" t="str">
        <f>IFERROR(__xludf.DUMMYFUNCTION("""COMPUTED_VALUE"""),"https://www.tiktok.com/@meivizar_")</f>
        <v>https://www.tiktok.com/@meivizar_</v>
      </c>
      <c r="D2638" s="273">
        <f>IFERROR(__xludf.DUMMYFUNCTION("""COMPUTED_VALUE"""),8.9628993885E10)</f>
        <v>89628993885</v>
      </c>
      <c r="E2638" s="458">
        <f>IFERROR(__xludf.DUMMYFUNCTION("""COMPUTED_VALUE"""),0.0)</f>
        <v>0</v>
      </c>
      <c r="F2638" s="273">
        <f>IFERROR(__xludf.DUMMYFUNCTION("""COMPUTED_VALUE"""),4.0)</f>
        <v>4</v>
      </c>
      <c r="G2638" t="str">
        <f>IFERROR(__xludf.DUMMYFUNCTION("""COMPUTED_VALUE"""),"Sabun batang 1 Box ( 2 PCS )")</f>
        <v>Sabun batang 1 Box ( 2 PCS )</v>
      </c>
      <c r="H2638" s="469"/>
      <c r="I2638" s="470"/>
      <c r="K2638" s="470"/>
      <c r="M2638" s="470"/>
      <c r="O2638" s="470"/>
    </row>
    <row r="2639">
      <c r="A2639" s="282" t="str">
        <f>IFERROR(__xludf.DUMMYFUNCTION("""COMPUTED_VALUE"""),"MICRO")</f>
        <v>MICRO</v>
      </c>
      <c r="B2639" s="468" t="str">
        <f>IFERROR(__xludf.DUMMYFUNCTION("""COMPUTED_VALUE"""),"azzdavstore")</f>
        <v>azzdavstore</v>
      </c>
      <c r="C2639" s="283" t="str">
        <f>IFERROR(__xludf.DUMMYFUNCTION("""COMPUTED_VALUE"""),"https://www.tiktok.com/@azzdavstore")</f>
        <v>https://www.tiktok.com/@azzdavstore</v>
      </c>
      <c r="D2639" s="273">
        <f>IFERROR(__xludf.DUMMYFUNCTION("""COMPUTED_VALUE"""),8.95322337368E11)</f>
        <v>895322337368</v>
      </c>
      <c r="E2639" s="458">
        <f>IFERROR(__xludf.DUMMYFUNCTION("""COMPUTED_VALUE"""),0.0)</f>
        <v>0</v>
      </c>
      <c r="F2639" s="273">
        <f>IFERROR(__xludf.DUMMYFUNCTION("""COMPUTED_VALUE"""),4.0)</f>
        <v>4</v>
      </c>
      <c r="G2639" t="str">
        <f>IFERROR(__xludf.DUMMYFUNCTION("""COMPUTED_VALUE"""),"Sabun batang 1 Box ( 2 PCS )")</f>
        <v>Sabun batang 1 Box ( 2 PCS )</v>
      </c>
      <c r="H2639" s="469"/>
      <c r="I2639" s="470"/>
      <c r="K2639" s="470"/>
      <c r="M2639" s="470"/>
      <c r="O2639" s="470"/>
    </row>
    <row r="2640">
      <c r="A2640" s="282" t="str">
        <f>IFERROR(__xludf.DUMMYFUNCTION("""COMPUTED_VALUE"""),"MICRO")</f>
        <v>MICRO</v>
      </c>
      <c r="B2640" s="468" t="str">
        <f>IFERROR(__xludf.DUMMYFUNCTION("""COMPUTED_VALUE"""),"tzy.ana")</f>
        <v>tzy.ana</v>
      </c>
      <c r="C2640" s="283" t="str">
        <f>IFERROR(__xludf.DUMMYFUNCTION("""COMPUTED_VALUE"""),"https://www.tiktok.com/@tzy.ana")</f>
        <v>https://www.tiktok.com/@tzy.ana</v>
      </c>
      <c r="D2640" s="273">
        <f>IFERROR(__xludf.DUMMYFUNCTION("""COMPUTED_VALUE"""),8.2373150016E10)</f>
        <v>82373150016</v>
      </c>
      <c r="E2640" s="458">
        <f>IFERROR(__xludf.DUMMYFUNCTION("""COMPUTED_VALUE"""),0.0)</f>
        <v>0</v>
      </c>
      <c r="F2640" s="273">
        <f>IFERROR(__xludf.DUMMYFUNCTION("""COMPUTED_VALUE"""),4.0)</f>
        <v>4</v>
      </c>
      <c r="G2640" t="str">
        <f>IFERROR(__xludf.DUMMYFUNCTION("""COMPUTED_VALUE"""),"Sabun batang 1 Box ( 2 PCS )")</f>
        <v>Sabun batang 1 Box ( 2 PCS )</v>
      </c>
      <c r="H2640" s="469"/>
      <c r="I2640" s="470"/>
      <c r="K2640" s="470"/>
      <c r="M2640" s="470"/>
      <c r="O2640" s="470"/>
    </row>
    <row r="2641">
      <c r="A2641" s="282" t="str">
        <f>IFERROR(__xludf.DUMMYFUNCTION("""COMPUTED_VALUE"""),"MICRO")</f>
        <v>MICRO</v>
      </c>
      <c r="B2641" s="468" t="str">
        <f>IFERROR(__xludf.DUMMYFUNCTION("""COMPUTED_VALUE"""),"ceciliachristine")</f>
        <v>ceciliachristine</v>
      </c>
      <c r="C2641" s="283" t="str">
        <f>IFERROR(__xludf.DUMMYFUNCTION("""COMPUTED_VALUE"""),"https://www.tiktok.com/@ceciliachristine")</f>
        <v>https://www.tiktok.com/@ceciliachristine</v>
      </c>
      <c r="D2641" s="273">
        <f>IFERROR(__xludf.DUMMYFUNCTION("""COMPUTED_VALUE"""),8.2297279625E10)</f>
        <v>82297279625</v>
      </c>
      <c r="E2641" s="458">
        <f>IFERROR(__xludf.DUMMYFUNCTION("""COMPUTED_VALUE"""),0.0)</f>
        <v>0</v>
      </c>
      <c r="F2641" s="273">
        <f>IFERROR(__xludf.DUMMYFUNCTION("""COMPUTED_VALUE"""),4.0)</f>
        <v>4</v>
      </c>
      <c r="G2641" t="str">
        <f>IFERROR(__xludf.DUMMYFUNCTION("""COMPUTED_VALUE"""),"Sabun batang 1 Box ( 2 PCS )")</f>
        <v>Sabun batang 1 Box ( 2 PCS )</v>
      </c>
      <c r="H2641" s="469"/>
      <c r="I2641" s="470"/>
      <c r="K2641" s="470"/>
      <c r="M2641" s="470"/>
      <c r="O2641" s="470"/>
    </row>
    <row r="2642">
      <c r="A2642" s="282" t="str">
        <f>IFERROR(__xludf.DUMMYFUNCTION("""COMPUTED_VALUE"""),"MICRO")</f>
        <v>MICRO</v>
      </c>
      <c r="B2642" s="468" t="str">
        <f>IFERROR(__xludf.DUMMYFUNCTION("""COMPUTED_VALUE"""),"mochy_strawbery")</f>
        <v>mochy_strawbery</v>
      </c>
      <c r="C2642" s="283" t="str">
        <f>IFERROR(__xludf.DUMMYFUNCTION("""COMPUTED_VALUE"""),"https://www.tiktok.com/@mochy_strawbery")</f>
        <v>https://www.tiktok.com/@mochy_strawbery</v>
      </c>
      <c r="D2642" s="273">
        <f>IFERROR(__xludf.DUMMYFUNCTION("""COMPUTED_VALUE"""),8.13160885E9)</f>
        <v>8131608850</v>
      </c>
      <c r="E2642" s="458">
        <f>IFERROR(__xludf.DUMMYFUNCTION("""COMPUTED_VALUE"""),0.0)</f>
        <v>0</v>
      </c>
      <c r="F2642" s="273">
        <f>IFERROR(__xludf.DUMMYFUNCTION("""COMPUTED_VALUE"""),4.0)</f>
        <v>4</v>
      </c>
      <c r="G2642" t="str">
        <f>IFERROR(__xludf.DUMMYFUNCTION("""COMPUTED_VALUE"""),"Sabun batang 1 Box ( 2 PCS )")</f>
        <v>Sabun batang 1 Box ( 2 PCS )</v>
      </c>
      <c r="H2642" s="469"/>
      <c r="I2642" s="470"/>
      <c r="K2642" s="470"/>
      <c r="M2642" s="470"/>
      <c r="O2642" s="470"/>
    </row>
    <row r="2643">
      <c r="A2643" s="282" t="str">
        <f>IFERROR(__xludf.DUMMYFUNCTION("""COMPUTED_VALUE"""),"MICRO")</f>
        <v>MICRO</v>
      </c>
      <c r="B2643" s="468" t="str">
        <f>IFERROR(__xludf.DUMMYFUNCTION("""COMPUTED_VALUE"""),"lisnawaaa")</f>
        <v>lisnawaaa</v>
      </c>
      <c r="C2643" s="283" t="str">
        <f>IFERROR(__xludf.DUMMYFUNCTION("""COMPUTED_VALUE"""),"https://www.tiktok.com/@lisnawaaa")</f>
        <v>https://www.tiktok.com/@lisnawaaa</v>
      </c>
      <c r="D2643" s="273">
        <f>IFERROR(__xludf.DUMMYFUNCTION("""COMPUTED_VALUE"""),8.5142951259E10)</f>
        <v>85142951259</v>
      </c>
      <c r="E2643" s="458">
        <f>IFERROR(__xludf.DUMMYFUNCTION("""COMPUTED_VALUE"""),0.0)</f>
        <v>0</v>
      </c>
      <c r="F2643" s="273">
        <f>IFERROR(__xludf.DUMMYFUNCTION("""COMPUTED_VALUE"""),4.0)</f>
        <v>4</v>
      </c>
      <c r="G2643" t="str">
        <f>IFERROR(__xludf.DUMMYFUNCTION("""COMPUTED_VALUE"""),"Sabun batang 1 Box ( 2 PCS )")</f>
        <v>Sabun batang 1 Box ( 2 PCS )</v>
      </c>
      <c r="H2643" s="469"/>
      <c r="I2643" s="470"/>
      <c r="K2643" s="470"/>
      <c r="M2643" s="470"/>
      <c r="O2643" s="470"/>
    </row>
    <row r="2644">
      <c r="A2644" s="282" t="str">
        <f>IFERROR(__xludf.DUMMYFUNCTION("""COMPUTED_VALUE"""),"MICRO")</f>
        <v>MICRO</v>
      </c>
      <c r="B2644" s="468" t="str">
        <f>IFERROR(__xludf.DUMMYFUNCTION("""COMPUTED_VALUE"""),"cookiesscream_anna")</f>
        <v>cookiesscream_anna</v>
      </c>
      <c r="C2644" s="283" t="str">
        <f>IFERROR(__xludf.DUMMYFUNCTION("""COMPUTED_VALUE"""),"https://www.tiktok.com/@cookiesscream_anna")</f>
        <v>https://www.tiktok.com/@cookiesscream_anna</v>
      </c>
      <c r="D2644" s="273">
        <f>IFERROR(__xludf.DUMMYFUNCTION("""COMPUTED_VALUE"""),8.5694176076E10)</f>
        <v>85694176076</v>
      </c>
      <c r="E2644" s="458">
        <f>IFERROR(__xludf.DUMMYFUNCTION("""COMPUTED_VALUE"""),0.0)</f>
        <v>0</v>
      </c>
      <c r="F2644" s="273">
        <f>IFERROR(__xludf.DUMMYFUNCTION("""COMPUTED_VALUE"""),4.0)</f>
        <v>4</v>
      </c>
      <c r="G2644" t="str">
        <f>IFERROR(__xludf.DUMMYFUNCTION("""COMPUTED_VALUE"""),"Sabun batang 1 Box ( 2 PCS )")</f>
        <v>Sabun batang 1 Box ( 2 PCS )</v>
      </c>
      <c r="H2644" s="469"/>
      <c r="I2644" s="470"/>
      <c r="K2644" s="470"/>
      <c r="M2644" s="470"/>
      <c r="O2644" s="470"/>
    </row>
    <row r="2645">
      <c r="A2645" s="282" t="str">
        <f>IFERROR(__xludf.DUMMYFUNCTION("""COMPUTED_VALUE"""),"MICRO")</f>
        <v>MICRO</v>
      </c>
      <c r="B2645" s="468" t="str">
        <f>IFERROR(__xludf.DUMMYFUNCTION("""COMPUTED_VALUE"""),"lylysss6")</f>
        <v>lylysss6</v>
      </c>
      <c r="C2645" s="283" t="str">
        <f>IFERROR(__xludf.DUMMYFUNCTION("""COMPUTED_VALUE"""),"https://www.tiktok.com/@lylysss6")</f>
        <v>https://www.tiktok.com/@lylysss6</v>
      </c>
      <c r="D2645" s="273">
        <f>IFERROR(__xludf.DUMMYFUNCTION("""COMPUTED_VALUE"""),8.2276044291E10)</f>
        <v>82276044291</v>
      </c>
      <c r="E2645" s="458">
        <f>IFERROR(__xludf.DUMMYFUNCTION("""COMPUTED_VALUE"""),0.0)</f>
        <v>0</v>
      </c>
      <c r="F2645" s="273">
        <f>IFERROR(__xludf.DUMMYFUNCTION("""COMPUTED_VALUE"""),4.0)</f>
        <v>4</v>
      </c>
      <c r="G2645" t="str">
        <f>IFERROR(__xludf.DUMMYFUNCTION("""COMPUTED_VALUE"""),"Sabun batang 1 Box ( 2 PCS )")</f>
        <v>Sabun batang 1 Box ( 2 PCS )</v>
      </c>
      <c r="H2645" s="469"/>
      <c r="I2645" s="470"/>
      <c r="K2645" s="470"/>
      <c r="M2645" s="470"/>
      <c r="O2645" s="470"/>
    </row>
    <row r="2646">
      <c r="A2646" s="282" t="str">
        <f>IFERROR(__xludf.DUMMYFUNCTION("""COMPUTED_VALUE"""),"MICRO")</f>
        <v>MICRO</v>
      </c>
      <c r="B2646" s="468" t="str">
        <f>IFERROR(__xludf.DUMMYFUNCTION("""COMPUTED_VALUE"""),"lelaagustina2")</f>
        <v>lelaagustina2</v>
      </c>
      <c r="C2646" s="283" t="str">
        <f>IFERROR(__xludf.DUMMYFUNCTION("""COMPUTED_VALUE"""),"https://www.tiktok.com/@lelaagustina2")</f>
        <v>https://www.tiktok.com/@lelaagustina2</v>
      </c>
      <c r="D2646" s="273">
        <f>IFERROR(__xludf.DUMMYFUNCTION("""COMPUTED_VALUE"""),8.995301788E9)</f>
        <v>8995301788</v>
      </c>
      <c r="E2646" s="458">
        <f>IFERROR(__xludf.DUMMYFUNCTION("""COMPUTED_VALUE"""),0.0)</f>
        <v>0</v>
      </c>
      <c r="F2646" s="273">
        <f>IFERROR(__xludf.DUMMYFUNCTION("""COMPUTED_VALUE"""),4.0)</f>
        <v>4</v>
      </c>
      <c r="G2646" t="str">
        <f>IFERROR(__xludf.DUMMYFUNCTION("""COMPUTED_VALUE"""),"Sabun batang 1 Box ( 2 PCS )")</f>
        <v>Sabun batang 1 Box ( 2 PCS )</v>
      </c>
      <c r="H2646" s="469"/>
      <c r="I2646" s="470"/>
      <c r="K2646" s="470"/>
      <c r="M2646" s="470"/>
      <c r="O2646" s="470"/>
    </row>
    <row r="2647">
      <c r="A2647" s="282" t="str">
        <f>IFERROR(__xludf.DUMMYFUNCTION("""COMPUTED_VALUE"""),"MICRO")</f>
        <v>MICRO</v>
      </c>
      <c r="B2647" s="468" t="str">
        <f>IFERROR(__xludf.DUMMYFUNCTION("""COMPUTED_VALUE"""),"im_n4yyyy")</f>
        <v>im_n4yyyy</v>
      </c>
      <c r="C2647" s="283" t="str">
        <f>IFERROR(__xludf.DUMMYFUNCTION("""COMPUTED_VALUE"""),"https://www.tiktok.com/@im_n4yyyy")</f>
        <v>https://www.tiktok.com/@im_n4yyyy</v>
      </c>
      <c r="D2647" s="273">
        <f>IFERROR(__xludf.DUMMYFUNCTION("""COMPUTED_VALUE"""),8.3133071817E10)</f>
        <v>83133071817</v>
      </c>
      <c r="E2647" s="458">
        <f>IFERROR(__xludf.DUMMYFUNCTION("""COMPUTED_VALUE"""),0.0)</f>
        <v>0</v>
      </c>
      <c r="F2647" s="273">
        <f>IFERROR(__xludf.DUMMYFUNCTION("""COMPUTED_VALUE"""),2.0)</f>
        <v>2</v>
      </c>
      <c r="G2647" t="str">
        <f>IFERROR(__xludf.DUMMYFUNCTION("""COMPUTED_VALUE"""),"Sabun batang 1 Box ( 2 PCS )")</f>
        <v>Sabun batang 1 Box ( 2 PCS )</v>
      </c>
      <c r="H2647" s="469"/>
      <c r="I2647" s="470"/>
      <c r="K2647" s="470"/>
      <c r="M2647" s="470"/>
      <c r="O2647" s="470"/>
    </row>
    <row r="2648">
      <c r="A2648" s="282" t="str">
        <f>IFERROR(__xludf.DUMMYFUNCTION("""COMPUTED_VALUE"""),"MICRO")</f>
        <v>MICRO</v>
      </c>
      <c r="B2648" s="468" t="str">
        <f>IFERROR(__xludf.DUMMYFUNCTION("""COMPUTED_VALUE"""),"racun.byalf")</f>
        <v>racun.byalf</v>
      </c>
      <c r="C2648" s="283" t="str">
        <f>IFERROR(__xludf.DUMMYFUNCTION("""COMPUTED_VALUE"""),"https://www.tiktok.com/@racun.byalf")</f>
        <v>https://www.tiktok.com/@racun.byalf</v>
      </c>
      <c r="D2648" s="273">
        <f>IFERROR(__xludf.DUMMYFUNCTION("""COMPUTED_VALUE"""),8.5714307597E10)</f>
        <v>85714307597</v>
      </c>
      <c r="E2648" s="458">
        <f>IFERROR(__xludf.DUMMYFUNCTION("""COMPUTED_VALUE"""),0.0)</f>
        <v>0</v>
      </c>
      <c r="F2648" s="273">
        <f>IFERROR(__xludf.DUMMYFUNCTION("""COMPUTED_VALUE"""),4.0)</f>
        <v>4</v>
      </c>
      <c r="G2648" t="str">
        <f>IFERROR(__xludf.DUMMYFUNCTION("""COMPUTED_VALUE"""),"Sabun batang 1 Box ( 2 PCS )")</f>
        <v>Sabun batang 1 Box ( 2 PCS )</v>
      </c>
      <c r="H2648" s="469"/>
      <c r="I2648" s="470"/>
      <c r="K2648" s="470"/>
      <c r="M2648" s="470"/>
      <c r="O2648" s="470"/>
    </row>
    <row r="2649">
      <c r="A2649" s="282" t="str">
        <f>IFERROR(__xludf.DUMMYFUNCTION("""COMPUTED_VALUE"""),"MICRO")</f>
        <v>MICRO</v>
      </c>
      <c r="B2649" s="468" t="str">
        <f>IFERROR(__xludf.DUMMYFUNCTION("""COMPUTED_VALUE"""),"ansnrhf")</f>
        <v>ansnrhf</v>
      </c>
      <c r="C2649" s="283" t="str">
        <f>IFERROR(__xludf.DUMMYFUNCTION("""COMPUTED_VALUE"""),"https://www.tiktok.com/@ansnrhf")</f>
        <v>https://www.tiktok.com/@ansnrhf</v>
      </c>
      <c r="D2649" s="273">
        <f>IFERROR(__xludf.DUMMYFUNCTION("""COMPUTED_VALUE"""),8.2216171157E10)</f>
        <v>82216171157</v>
      </c>
      <c r="E2649" s="458">
        <f>IFERROR(__xludf.DUMMYFUNCTION("""COMPUTED_VALUE"""),50000.0)</f>
        <v>50000</v>
      </c>
      <c r="F2649" s="273">
        <f>IFERROR(__xludf.DUMMYFUNCTION("""COMPUTED_VALUE"""),2.0)</f>
        <v>2</v>
      </c>
      <c r="G2649" t="str">
        <f>IFERROR(__xludf.DUMMYFUNCTION("""COMPUTED_VALUE"""),"Sabun batang 1 Box ( 2 PCS )")</f>
        <v>Sabun batang 1 Box ( 2 PCS )</v>
      </c>
      <c r="H2649" s="469"/>
      <c r="I2649" s="470"/>
      <c r="K2649" s="470"/>
      <c r="M2649" s="470"/>
      <c r="O2649" s="470"/>
    </row>
    <row r="2650">
      <c r="A2650" s="282" t="str">
        <f>IFERROR(__xludf.DUMMYFUNCTION("""COMPUTED_VALUE"""),"MICRO")</f>
        <v>MICRO</v>
      </c>
      <c r="B2650" s="468" t="str">
        <f>IFERROR(__xludf.DUMMYFUNCTION("""COMPUTED_VALUE"""),"bintyazz")</f>
        <v>bintyazz</v>
      </c>
      <c r="C2650" s="283" t="str">
        <f>IFERROR(__xludf.DUMMYFUNCTION("""COMPUTED_VALUE"""),"https://www.tiktok.com/@bintyazz")</f>
        <v>https://www.tiktok.com/@bintyazz</v>
      </c>
      <c r="D2650" s="273">
        <f>IFERROR(__xludf.DUMMYFUNCTION("""COMPUTED_VALUE"""),8.5243230904E10)</f>
        <v>85243230904</v>
      </c>
      <c r="E2650" s="458">
        <f>IFERROR(__xludf.DUMMYFUNCTION("""COMPUTED_VALUE"""),0.0)</f>
        <v>0</v>
      </c>
      <c r="F2650" s="273">
        <f>IFERROR(__xludf.DUMMYFUNCTION("""COMPUTED_VALUE"""),4.0)</f>
        <v>4</v>
      </c>
      <c r="G2650" t="str">
        <f>IFERROR(__xludf.DUMMYFUNCTION("""COMPUTED_VALUE"""),"Sabun batang 1 Box ( 2 PCS )")</f>
        <v>Sabun batang 1 Box ( 2 PCS )</v>
      </c>
      <c r="H2650" s="469"/>
      <c r="I2650" s="470"/>
      <c r="K2650" s="470"/>
      <c r="M2650" s="470"/>
      <c r="O2650" s="470"/>
    </row>
    <row r="2651">
      <c r="A2651" s="282" t="str">
        <f>IFERROR(__xludf.DUMMYFUNCTION("""COMPUTED_VALUE"""),"MICRO")</f>
        <v>MICRO</v>
      </c>
      <c r="B2651" s="468" t="str">
        <f>IFERROR(__xludf.DUMMYFUNCTION("""COMPUTED_VALUE"""),"dailyliyaa")</f>
        <v>dailyliyaa</v>
      </c>
      <c r="C2651" s="283" t="str">
        <f>IFERROR(__xludf.DUMMYFUNCTION("""COMPUTED_VALUE"""),"https://www.tiktok.com/@dailyliyaa")</f>
        <v>https://www.tiktok.com/@dailyliyaa</v>
      </c>
      <c r="D2651" s="273">
        <f>IFERROR(__xludf.DUMMYFUNCTION("""COMPUTED_VALUE"""),8.8989500083E10)</f>
        <v>88989500083</v>
      </c>
      <c r="E2651" s="458">
        <f>IFERROR(__xludf.DUMMYFUNCTION("""COMPUTED_VALUE"""),0.0)</f>
        <v>0</v>
      </c>
      <c r="F2651" s="273">
        <f>IFERROR(__xludf.DUMMYFUNCTION("""COMPUTED_VALUE"""),4.0)</f>
        <v>4</v>
      </c>
      <c r="G2651" t="str">
        <f>IFERROR(__xludf.DUMMYFUNCTION("""COMPUTED_VALUE"""),"Sabun batang 1 Box ( 2 PCS )")</f>
        <v>Sabun batang 1 Box ( 2 PCS )</v>
      </c>
      <c r="H2651" s="469"/>
      <c r="I2651" s="470"/>
      <c r="K2651" s="470"/>
      <c r="M2651" s="470"/>
      <c r="O2651" s="470"/>
    </row>
    <row r="2652">
      <c r="A2652" s="282" t="str">
        <f>IFERROR(__xludf.DUMMYFUNCTION("""COMPUTED_VALUE"""),"MICRO")</f>
        <v>MICRO</v>
      </c>
      <c r="B2652" s="468" t="str">
        <f>IFERROR(__xludf.DUMMYFUNCTION("""COMPUTED_VALUE"""),"biyyaaaa18")</f>
        <v>biyyaaaa18</v>
      </c>
      <c r="C2652" s="283" t="str">
        <f>IFERROR(__xludf.DUMMYFUNCTION("""COMPUTED_VALUE"""),"https://www.tiktok.com/@biyyaaaa18")</f>
        <v>https://www.tiktok.com/@biyyaaaa18</v>
      </c>
      <c r="D2652" s="273">
        <f>IFERROR(__xludf.DUMMYFUNCTION("""COMPUTED_VALUE"""),8.1222481912E10)</f>
        <v>81222481912</v>
      </c>
      <c r="E2652" s="458">
        <f>IFERROR(__xludf.DUMMYFUNCTION("""COMPUTED_VALUE"""),0.0)</f>
        <v>0</v>
      </c>
      <c r="F2652" s="273">
        <f>IFERROR(__xludf.DUMMYFUNCTION("""COMPUTED_VALUE"""),2.0)</f>
        <v>2</v>
      </c>
      <c r="G2652" t="str">
        <f>IFERROR(__xludf.DUMMYFUNCTION("""COMPUTED_VALUE"""),"Sabun batang 1 Box ( 2 PCS )")</f>
        <v>Sabun batang 1 Box ( 2 PCS )</v>
      </c>
      <c r="H2652" s="469"/>
      <c r="I2652" s="470"/>
      <c r="K2652" s="470"/>
      <c r="M2652" s="470"/>
      <c r="O2652" s="470"/>
    </row>
    <row r="2653">
      <c r="A2653" s="282" t="str">
        <f>IFERROR(__xludf.DUMMYFUNCTION("""COMPUTED_VALUE"""),"MICRO")</f>
        <v>MICRO</v>
      </c>
      <c r="B2653" s="468" t="str">
        <f>IFERROR(__xludf.DUMMYFUNCTION("""COMPUTED_VALUE"""),"erna2906")</f>
        <v>erna2906</v>
      </c>
      <c r="C2653" s="283" t="str">
        <f>IFERROR(__xludf.DUMMYFUNCTION("""COMPUTED_VALUE"""),"https://www.tiktok.com/@erna2906")</f>
        <v>https://www.tiktok.com/@erna2906</v>
      </c>
      <c r="D2653" s="273">
        <f>IFERROR(__xludf.DUMMYFUNCTION("""COMPUTED_VALUE"""),8.2322619787E10)</f>
        <v>82322619787</v>
      </c>
      <c r="E2653" s="458">
        <f>IFERROR(__xludf.DUMMYFUNCTION("""COMPUTED_VALUE"""),0.0)</f>
        <v>0</v>
      </c>
      <c r="F2653" s="273">
        <f>IFERROR(__xludf.DUMMYFUNCTION("""COMPUTED_VALUE"""),4.0)</f>
        <v>4</v>
      </c>
      <c r="G2653" t="str">
        <f>IFERROR(__xludf.DUMMYFUNCTION("""COMPUTED_VALUE"""),"Sabun batang 1 Box ( 2 PCS )")</f>
        <v>Sabun batang 1 Box ( 2 PCS )</v>
      </c>
      <c r="H2653" s="469"/>
      <c r="I2653" s="470"/>
      <c r="K2653" s="470"/>
      <c r="M2653" s="470"/>
      <c r="O2653" s="470"/>
    </row>
    <row r="2654">
      <c r="A2654" s="282" t="str">
        <f>IFERROR(__xludf.DUMMYFUNCTION("""COMPUTED_VALUE"""),"MICRO")</f>
        <v>MICRO</v>
      </c>
      <c r="B2654" s="468" t="str">
        <f>IFERROR(__xludf.DUMMYFUNCTION("""COMPUTED_VALUE"""),"trisaarani")</f>
        <v>trisaarani</v>
      </c>
      <c r="C2654" s="283" t="str">
        <f>IFERROR(__xludf.DUMMYFUNCTION("""COMPUTED_VALUE"""),"https://www.tiktok.com/@trisaarani")</f>
        <v>https://www.tiktok.com/@trisaarani</v>
      </c>
      <c r="D2654" s="273">
        <f>IFERROR(__xludf.DUMMYFUNCTION("""COMPUTED_VALUE"""),8.313017011E10)</f>
        <v>83130170110</v>
      </c>
      <c r="E2654" s="458">
        <f>IFERROR(__xludf.DUMMYFUNCTION("""COMPUTED_VALUE"""),0.0)</f>
        <v>0</v>
      </c>
      <c r="F2654" s="273">
        <f>IFERROR(__xludf.DUMMYFUNCTION("""COMPUTED_VALUE"""),4.0)</f>
        <v>4</v>
      </c>
      <c r="G2654" t="str">
        <f>IFERROR(__xludf.DUMMYFUNCTION("""COMPUTED_VALUE"""),"Sabun batang 1 Box ( 2 PCS )")</f>
        <v>Sabun batang 1 Box ( 2 PCS )</v>
      </c>
      <c r="H2654" s="469"/>
      <c r="I2654" s="470"/>
      <c r="K2654" s="470"/>
      <c r="M2654" s="470"/>
      <c r="O2654" s="470"/>
    </row>
    <row r="2655">
      <c r="A2655" s="282" t="str">
        <f>IFERROR(__xludf.DUMMYFUNCTION("""COMPUTED_VALUE"""),"MICRO")</f>
        <v>MICRO</v>
      </c>
      <c r="B2655" s="468" t="str">
        <f>IFERROR(__xludf.DUMMYFUNCTION("""COMPUTED_VALUE"""),"somethinlostt")</f>
        <v>somethinlostt</v>
      </c>
      <c r="C2655" s="283" t="str">
        <f>IFERROR(__xludf.DUMMYFUNCTION("""COMPUTED_VALUE"""),"https://www.tiktok.com/@somethinlostt")</f>
        <v>https://www.tiktok.com/@somethinlostt</v>
      </c>
      <c r="D2655" s="273">
        <f>IFERROR(__xludf.DUMMYFUNCTION("""COMPUTED_VALUE"""),8.3819481766E10)</f>
        <v>83819481766</v>
      </c>
      <c r="E2655" s="458">
        <f>IFERROR(__xludf.DUMMYFUNCTION("""COMPUTED_VALUE"""),0.0)</f>
        <v>0</v>
      </c>
      <c r="F2655" s="273">
        <f>IFERROR(__xludf.DUMMYFUNCTION("""COMPUTED_VALUE"""),4.0)</f>
        <v>4</v>
      </c>
      <c r="G2655" t="str">
        <f>IFERROR(__xludf.DUMMYFUNCTION("""COMPUTED_VALUE"""),"Sabun batang 1 Box ( 2 PCS )")</f>
        <v>Sabun batang 1 Box ( 2 PCS )</v>
      </c>
      <c r="H2655" s="469"/>
      <c r="I2655" s="470"/>
      <c r="K2655" s="470"/>
      <c r="M2655" s="470"/>
      <c r="O2655" s="470"/>
    </row>
    <row r="2656">
      <c r="A2656" s="282" t="str">
        <f>IFERROR(__xludf.DUMMYFUNCTION("""COMPUTED_VALUE"""),"MICRO")</f>
        <v>MICRO</v>
      </c>
      <c r="B2656" s="468" t="str">
        <f>IFERROR(__xludf.DUMMYFUNCTION("""COMPUTED_VALUE"""),"quenbee65")</f>
        <v>quenbee65</v>
      </c>
      <c r="C2656" s="283" t="str">
        <f>IFERROR(__xludf.DUMMYFUNCTION("""COMPUTED_VALUE"""),"https://www.tiktok.com/@quenbee65")</f>
        <v>https://www.tiktok.com/@quenbee65</v>
      </c>
      <c r="D2656" s="273">
        <f>IFERROR(__xludf.DUMMYFUNCTION("""COMPUTED_VALUE"""),8.2278450594E10)</f>
        <v>82278450594</v>
      </c>
      <c r="E2656" s="458">
        <f>IFERROR(__xludf.DUMMYFUNCTION("""COMPUTED_VALUE"""),0.0)</f>
        <v>0</v>
      </c>
      <c r="F2656" s="273">
        <f>IFERROR(__xludf.DUMMYFUNCTION("""COMPUTED_VALUE"""),4.0)</f>
        <v>4</v>
      </c>
      <c r="G2656" t="str">
        <f>IFERROR(__xludf.DUMMYFUNCTION("""COMPUTED_VALUE"""),"Sabun batang 1 Box ( 2 PCS )")</f>
        <v>Sabun batang 1 Box ( 2 PCS )</v>
      </c>
      <c r="H2656" s="469"/>
      <c r="I2656" s="470"/>
      <c r="K2656" s="470"/>
      <c r="M2656" s="470"/>
      <c r="O2656" s="470"/>
    </row>
    <row r="2657">
      <c r="A2657" s="282" t="str">
        <f>IFERROR(__xludf.DUMMYFUNCTION("""COMPUTED_VALUE"""),"MICRO")</f>
        <v>MICRO</v>
      </c>
      <c r="B2657" s="468" t="str">
        <f>IFERROR(__xludf.DUMMYFUNCTION("""COMPUTED_VALUE"""),"sweet_cherry954")</f>
        <v>sweet_cherry954</v>
      </c>
      <c r="C2657" s="283" t="str">
        <f>IFERROR(__xludf.DUMMYFUNCTION("""COMPUTED_VALUE"""),"https://www.tiktok.com/@sweet_cherry954")</f>
        <v>https://www.tiktok.com/@sweet_cherry954</v>
      </c>
      <c r="D2657" s="273"/>
      <c r="E2657" s="458">
        <f>IFERROR(__xludf.DUMMYFUNCTION("""COMPUTED_VALUE"""),0.0)</f>
        <v>0</v>
      </c>
      <c r="F2657" s="273">
        <f>IFERROR(__xludf.DUMMYFUNCTION("""COMPUTED_VALUE"""),4.0)</f>
        <v>4</v>
      </c>
      <c r="G2657" t="str">
        <f>IFERROR(__xludf.DUMMYFUNCTION("""COMPUTED_VALUE"""),"Sabun batang 1 Box ( 2 PCS )")</f>
        <v>Sabun batang 1 Box ( 2 PCS )</v>
      </c>
      <c r="H2657" s="469"/>
      <c r="I2657" s="470"/>
      <c r="J2657" s="471" t="str">
        <f>IFERROR(__xludf.DUMMYFUNCTION("""COMPUTED_VALUE"""),"https://www.tiktok.com/@sweet_cherry954/video/7646306678253554965?_r=1&amp;u_code=e11ejbhl7kg9bc&amp;region=&amp;mid=7630188754775197713&amp;preview_pb=0&amp;sharer_language=&amp;_d=0&amp;ec_shared_reflux_dynamic_params=%7B%22placeholder_material_id%22%3A%227646306678253554965%22%2C"&amp;"%22placeholder_origin_cover%22%3A%22https%253A%252F%252Fp16-common-sign.tiktokcdn.com%252Ftos-alisg-p-0037%252Fo0fItYLOBgGVNbEAYwBAeFIzU6gnjNQD4fukRC~tplv-tiktokx-origin.jpeg%253Fdr%253D14572%2526refresh_token%253Db1793212%2526x-expires%253D1812099600%252"&amp;"6x-signature%253DGNK6u4ObNndEuq14aiG5BiXeLE4%25253D%2526t%253D4d5b0474%2526ps%253D13740610%2526shp%253Dd05b14bd%2526shcp%253D34ff8df6%2526idc%253Dmy%2526s%253DTIKTOK_AFFILIATE_VIRAL_VIDEO%22%2C%22placeholder_product_id%22%3A%221729427766722726591%22%2C%22"&amp;"placeholder_video_id%22%3A%227646306678253554965%22%7D&amp;ec_shared_reflux_scene=shop_tab_feed&amp;share_item_id=7646306678253554965&amp;source=h5_t")</f>
        <v>https://www.tiktok.com/@sweet_cherry954/video/7646306678253554965?_r=1&amp;u_code=e11ejbhl7kg9bc&amp;region=&amp;mid=7630188754775197713&amp;preview_pb=0&amp;sharer_language=&amp;_d=0&amp;ec_shared_reflux_dynamic_params=%7B%22placeholder_material_id%22%3A%227646306678253554965%22%2C%22placeholder_origin_cover%22%3A%22https%253A%252F%252Fp16-common-sign.tiktokcdn.com%252Ftos-alisg-p-0037%252Fo0fItYLOBgGVNbEAYwBAeFIzU6gnjNQD4fukRC~tplv-tiktokx-origin.jpeg%253Fdr%253D14572%2526refresh_token%253Db1793212%2526x-expires%253D1812099600%2526x-signature%253DGNK6u4ObNndEuq14aiG5BiXeLE4%25253D%2526t%253D4d5b0474%2526ps%253D13740610%2526shp%253Dd05b14bd%2526shcp%253D34ff8df6%2526idc%253Dmy%2526s%253DTIKTOK_AFFILIATE_VIRAL_VIDEO%22%2C%22placeholder_product_id%22%3A%221729427766722726591%22%2C%22placeholder_video_id%22%3A%227646306678253554965%22%7D&amp;ec_shared_reflux_scene=shop_tab_feed&amp;share_item_id=7646306678253554965&amp;source=h5_t</v>
      </c>
      <c r="K2657" s="470"/>
      <c r="L2657" s="471" t="str">
        <f>IFERROR(__xludf.DUMMYFUNCTION("""COMPUTED_VALUE"""),"https://www.tiktok.com/@sweet_cherry954/video/7646309910388542741?_r=1&amp;u_code=e11ejbhl7kg9bc&amp;region=&amp;mid=7018103264109398018&amp;preview_pb=0&amp;sharer_language=&amp;_d=0&amp;ec_shared_reflux_dynamic_params=%7B%22placeholder_material_id%22%3A%227646309910388542741%22%2C"&amp;"%22placeholder_origin_cover%22%3A%22https%253A%252F%252Fp16-common-sign.tiktokcdn.com%252Ftos-alisg-p-0037%252Fok1D07kJIgpZAFlCIpRd0AAUBIimyuf0OwWBMi~tplv-tiktokx-origin.jpeg%253Fdr%253D14572%2526refresh_token%253D239d25ea%2526x-expires%253D1812099600%252"&amp;"6x-signature%253DOczHij6XET1i9UPG2KyTfrrTp7c%25253D%2526t%253D4d5b0474%2526ps%253D13740610%2526shp%253Dd05b14bd%2526shcp%253D34ff8df6%2526idc%253Dmy%2526s%253DTIKTOK_AFFILIATE_VIRAL_VIDEO%22%2C%22placeholder_product_id%22%3A%221729427766722726591%22%2C%22"&amp;"placeholder_video_id%22%3A%227646309910388542741%22%7D&amp;ec_shared_reflux_scene=shop_tab_feed&amp;share_item_id=7646309910388542741&amp;source=h5_t")</f>
        <v>https://www.tiktok.com/@sweet_cherry954/video/7646309910388542741?_r=1&amp;u_code=e11ejbhl7kg9bc&amp;region=&amp;mid=7018103264109398018&amp;preview_pb=0&amp;sharer_language=&amp;_d=0&amp;ec_shared_reflux_dynamic_params=%7B%22placeholder_material_id%22%3A%227646309910388542741%22%2C%22placeholder_origin_cover%22%3A%22https%253A%252F%252Fp16-common-sign.tiktokcdn.com%252Ftos-alisg-p-0037%252Fok1D07kJIgpZAFlCIpRd0AAUBIimyuf0OwWBMi~tplv-tiktokx-origin.jpeg%253Fdr%253D14572%2526refresh_token%253D239d25ea%2526x-expires%253D1812099600%2526x-signature%253DOczHij6XET1i9UPG2KyTfrrTp7c%25253D%2526t%253D4d5b0474%2526ps%253D13740610%2526shp%253Dd05b14bd%2526shcp%253D34ff8df6%2526idc%253Dmy%2526s%253DTIKTOK_AFFILIATE_VIRAL_VIDEO%22%2C%22placeholder_product_id%22%3A%221729427766722726591%22%2C%22placeholder_video_id%22%3A%227646309910388542741%22%7D&amp;ec_shared_reflux_scene=shop_tab_feed&amp;share_item_id=7646309910388542741&amp;source=h5_t</v>
      </c>
      <c r="M2657" s="470"/>
      <c r="O2657" s="470"/>
    </row>
    <row r="2658">
      <c r="A2658" s="282" t="str">
        <f>IFERROR(__xludf.DUMMYFUNCTION("""COMPUTED_VALUE"""),"MICRO")</f>
        <v>MICRO</v>
      </c>
      <c r="B2658" s="468" t="str">
        <f>IFERROR(__xludf.DUMMYFUNCTION("""COMPUTED_VALUE"""),"atika.m61")</f>
        <v>atika.m61</v>
      </c>
      <c r="C2658" s="283" t="str">
        <f>IFERROR(__xludf.DUMMYFUNCTION("""COMPUTED_VALUE"""),"https://www.tiktok.com/@atika.m61")</f>
        <v>https://www.tiktok.com/@atika.m61</v>
      </c>
      <c r="D2658" s="273"/>
      <c r="E2658" s="458">
        <f>IFERROR(__xludf.DUMMYFUNCTION("""COMPUTED_VALUE"""),0.0)</f>
        <v>0</v>
      </c>
      <c r="F2658" s="273">
        <f>IFERROR(__xludf.DUMMYFUNCTION("""COMPUTED_VALUE"""),4.0)</f>
        <v>4</v>
      </c>
      <c r="G2658" t="str">
        <f>IFERROR(__xludf.DUMMYFUNCTION("""COMPUTED_VALUE"""),"Sabun batang 1 Box ( 2 PCS )")</f>
        <v>Sabun batang 1 Box ( 2 PCS )</v>
      </c>
      <c r="H2658" s="469"/>
      <c r="I2658" s="470"/>
      <c r="J2658" s="471" t="str">
        <f>IFERROR(__xludf.DUMMYFUNCTION("""COMPUTED_VALUE"""),"https://www.tiktok.com/@atika.m61/video/7645628542398532885?_r=1&amp;u_code=eh071k7mec164j&amp;region=&amp;mid=7604111494565530388&amp;preview_pb=0&amp;sharer_language=&amp;_d=0&amp;ec_shared_reflux_dynamic_params=%7B%22placeholder_material_id%22%3A%227645628542398532885%22%2C%22pla"&amp;"ceholder_origin_cover%22%3A%22https%253A%252F%252Fp16-common-sign.tiktokcdn.com%252Ftos-alisg-p-0037%252FooQaQFDfjuJNACGUZLkve7ufSTYI1IJA48XrCM~tplv-tiktokx-origin.jpeg%253Fdr%253D14572%2526refresh_token%253D1ceec3d6%2526x-expires%253D1812099600%2526x-sig"&amp;"nature%253DYQv6c%25252BcZJ8wfgIqQs7hrBlHs7nU%25253D%2526t%253D4d5b0474%2526ps%253D13740610%2526shp%253Dd05b14bd%2526shcp%253D34ff8df6%2526idc%253Dmy%2526s%253DTIKTOK_AFFILIATE_VIRAL_VIDEO%22%2C%22placeholder_product_id%22%3A%221729427766722726591%22%2C%22"&amp;"placeholder_video_id%22%3A%227645628542398532885%22%7D&amp;ec_shared_reflux_scene=shop_tab_feed&amp;share_item_id=7645628542398532885&amp;source=h5_t")</f>
        <v>https://www.tiktok.com/@atika.m61/video/7645628542398532885?_r=1&amp;u_code=eh071k7mec164j&amp;region=&amp;mid=7604111494565530388&amp;preview_pb=0&amp;sharer_language=&amp;_d=0&amp;ec_shared_reflux_dynamic_params=%7B%22placeholder_material_id%22%3A%227645628542398532885%22%2C%22placeholder_origin_cover%22%3A%22https%253A%252F%252Fp16-common-sign.tiktokcdn.com%252Ftos-alisg-p-0037%252FooQaQFDfjuJNACGUZLkve7ufSTYI1IJA48XrCM~tplv-tiktokx-origin.jpeg%253Fdr%253D14572%2526refresh_token%253D1ceec3d6%2526x-expires%253D1812099600%2526x-signature%253DYQv6c%25252BcZJ8wfgIqQs7hrBlHs7nU%25253D%2526t%253D4d5b0474%2526ps%253D13740610%2526shp%253Dd05b14bd%2526shcp%253D34ff8df6%2526idc%253Dmy%2526s%253DTIKTOK_AFFILIATE_VIRAL_VIDEO%22%2C%22placeholder_product_id%22%3A%221729427766722726591%22%2C%22placeholder_video_id%22%3A%227645628542398532885%22%7D&amp;ec_shared_reflux_scene=shop_tab_feed&amp;share_item_id=7645628542398532885&amp;source=h5_t</v>
      </c>
      <c r="K2658" s="470"/>
      <c r="M2658" s="470"/>
      <c r="O2658" s="470"/>
    </row>
    <row r="2659">
      <c r="A2659" s="282" t="str">
        <f>IFERROR(__xludf.DUMMYFUNCTION("""COMPUTED_VALUE"""),"MICRO")</f>
        <v>MICRO</v>
      </c>
      <c r="B2659" s="468" t="str">
        <f>IFERROR(__xludf.DUMMYFUNCTION("""COMPUTED_VALUE"""),"dwierlangga.sari205")</f>
        <v>dwierlangga.sari205</v>
      </c>
      <c r="C2659" s="283" t="str">
        <f>IFERROR(__xludf.DUMMYFUNCTION("""COMPUTED_VALUE"""),"https://www.tiktok.com/@dwierlangga.sari205")</f>
        <v>https://www.tiktok.com/@dwierlangga.sari205</v>
      </c>
      <c r="D2659" s="273">
        <f>IFERROR(__xludf.DUMMYFUNCTION("""COMPUTED_VALUE"""),8.1366186843E10)</f>
        <v>81366186843</v>
      </c>
      <c r="E2659" s="458">
        <f>IFERROR(__xludf.DUMMYFUNCTION("""COMPUTED_VALUE"""),0.0)</f>
        <v>0</v>
      </c>
      <c r="F2659" s="273">
        <f>IFERROR(__xludf.DUMMYFUNCTION("""COMPUTED_VALUE"""),4.0)</f>
        <v>4</v>
      </c>
      <c r="G2659" t="str">
        <f>IFERROR(__xludf.DUMMYFUNCTION("""COMPUTED_VALUE"""),"Sabun batang 1 Box ( 2 PCS )")</f>
        <v>Sabun batang 1 Box ( 2 PCS )</v>
      </c>
      <c r="H2659" s="469"/>
      <c r="I2659" s="470"/>
      <c r="K2659" s="470"/>
      <c r="M2659" s="470"/>
      <c r="O2659" s="470"/>
    </row>
    <row r="2660">
      <c r="A2660" s="282" t="str">
        <f>IFERROR(__xludf.DUMMYFUNCTION("""COMPUTED_VALUE"""),"MICRO")</f>
        <v>MICRO</v>
      </c>
      <c r="B2660" s="468" t="str">
        <f>IFERROR(__xludf.DUMMYFUNCTION("""COMPUTED_VALUE"""),"sukangeracunajasi_")</f>
        <v>sukangeracunajasi_</v>
      </c>
      <c r="C2660" s="283" t="str">
        <f>IFERROR(__xludf.DUMMYFUNCTION("""COMPUTED_VALUE"""),"https://www.tiktok.com/@sukangeracunajasi_")</f>
        <v>https://www.tiktok.com/@sukangeracunajasi_</v>
      </c>
      <c r="D2660" s="273">
        <f>IFERROR(__xludf.DUMMYFUNCTION("""COMPUTED_VALUE"""),8.3891424938E10)</f>
        <v>83891424938</v>
      </c>
      <c r="E2660" s="458">
        <f>IFERROR(__xludf.DUMMYFUNCTION("""COMPUTED_VALUE"""),0.0)</f>
        <v>0</v>
      </c>
      <c r="F2660" s="273">
        <f>IFERROR(__xludf.DUMMYFUNCTION("""COMPUTED_VALUE"""),4.0)</f>
        <v>4</v>
      </c>
      <c r="G2660" t="str">
        <f>IFERROR(__xludf.DUMMYFUNCTION("""COMPUTED_VALUE"""),"Sabun batang 1 Box ( 2 PCS )")</f>
        <v>Sabun batang 1 Box ( 2 PCS )</v>
      </c>
      <c r="H2660" s="469"/>
      <c r="I2660" s="470"/>
      <c r="K2660" s="470"/>
      <c r="M2660" s="470"/>
      <c r="O2660" s="470"/>
    </row>
    <row r="2661">
      <c r="A2661" s="282" t="str">
        <f>IFERROR(__xludf.DUMMYFUNCTION("""COMPUTED_VALUE"""),"MICRO")</f>
        <v>MICRO</v>
      </c>
      <c r="B2661" s="468" t="str">
        <f>IFERROR(__xludf.DUMMYFUNCTION("""COMPUTED_VALUE"""),"sispipit")</f>
        <v>sispipit</v>
      </c>
      <c r="C2661" s="283" t="str">
        <f>IFERROR(__xludf.DUMMYFUNCTION("""COMPUTED_VALUE"""),"https://www.tiktok.com/@sispipit")</f>
        <v>https://www.tiktok.com/@sispipit</v>
      </c>
      <c r="D2661" s="273">
        <f>IFERROR(__xludf.DUMMYFUNCTION("""COMPUTED_VALUE"""),8.1228825225E10)</f>
        <v>81228825225</v>
      </c>
      <c r="E2661" s="458">
        <f>IFERROR(__xludf.DUMMYFUNCTION("""COMPUTED_VALUE"""),0.0)</f>
        <v>0</v>
      </c>
      <c r="F2661" s="273">
        <f>IFERROR(__xludf.DUMMYFUNCTION("""COMPUTED_VALUE"""),4.0)</f>
        <v>4</v>
      </c>
      <c r="G2661" t="str">
        <f>IFERROR(__xludf.DUMMYFUNCTION("""COMPUTED_VALUE"""),"Sabun batang 1 Box ( 2 PCS )")</f>
        <v>Sabun batang 1 Box ( 2 PCS )</v>
      </c>
      <c r="H2661" s="469"/>
      <c r="I2661" s="470"/>
      <c r="K2661" s="470"/>
      <c r="M2661" s="470"/>
      <c r="O2661" s="470"/>
    </row>
    <row r="2662">
      <c r="A2662" s="282" t="str">
        <f>IFERROR(__xludf.DUMMYFUNCTION("""COMPUTED_VALUE"""),"MICRO")</f>
        <v>MICRO</v>
      </c>
      <c r="B2662" s="468" t="str">
        <f>IFERROR(__xludf.DUMMYFUNCTION("""COMPUTED_VALUE"""),"kayclar")</f>
        <v>kayclar</v>
      </c>
      <c r="C2662" s="283" t="str">
        <f>IFERROR(__xludf.DUMMYFUNCTION("""COMPUTED_VALUE"""),"https://www.tiktok.com/@kayclar")</f>
        <v>https://www.tiktok.com/@kayclar</v>
      </c>
      <c r="D2662" s="273">
        <f>IFERROR(__xludf.DUMMYFUNCTION("""COMPUTED_VALUE"""),8.2164676319E10)</f>
        <v>82164676319</v>
      </c>
      <c r="E2662" s="458">
        <f>IFERROR(__xludf.DUMMYFUNCTION("""COMPUTED_VALUE"""),0.0)</f>
        <v>0</v>
      </c>
      <c r="F2662" s="273">
        <f>IFERROR(__xludf.DUMMYFUNCTION("""COMPUTED_VALUE"""),4.0)</f>
        <v>4</v>
      </c>
      <c r="G2662" t="str">
        <f>IFERROR(__xludf.DUMMYFUNCTION("""COMPUTED_VALUE"""),"Sabun batang 1 Box ( 2 PCS )")</f>
        <v>Sabun batang 1 Box ( 2 PCS )</v>
      </c>
      <c r="H2662" s="469"/>
      <c r="I2662" s="470"/>
      <c r="K2662" s="470"/>
      <c r="M2662" s="470"/>
      <c r="O2662" s="470"/>
    </row>
    <row r="2663">
      <c r="A2663" s="282" t="str">
        <f>IFERROR(__xludf.DUMMYFUNCTION("""COMPUTED_VALUE"""),"MICRO")</f>
        <v>MICRO</v>
      </c>
      <c r="B2663" s="468" t="str">
        <f>IFERROR(__xludf.DUMMYFUNCTION("""COMPUTED_VALUE"""),"myskincurity")</f>
        <v>myskincurity</v>
      </c>
      <c r="C2663" s="283" t="str">
        <f>IFERROR(__xludf.DUMMYFUNCTION("""COMPUTED_VALUE"""),"https://www.tiktok.com/@myskincurity")</f>
        <v>https://www.tiktok.com/@myskincurity</v>
      </c>
      <c r="D2663" s="273">
        <f>IFERROR(__xludf.DUMMYFUNCTION("""COMPUTED_VALUE"""),8.5640730467E10)</f>
        <v>85640730467</v>
      </c>
      <c r="E2663" s="458">
        <f>IFERROR(__xludf.DUMMYFUNCTION("""COMPUTED_VALUE"""),0.0)</f>
        <v>0</v>
      </c>
      <c r="F2663" s="273">
        <f>IFERROR(__xludf.DUMMYFUNCTION("""COMPUTED_VALUE"""),4.0)</f>
        <v>4</v>
      </c>
      <c r="G2663" t="str">
        <f>IFERROR(__xludf.DUMMYFUNCTION("""COMPUTED_VALUE"""),"Sabun batang 1 Box ( 2 PCS )")</f>
        <v>Sabun batang 1 Box ( 2 PCS )</v>
      </c>
      <c r="H2663" s="469"/>
      <c r="I2663" s="470"/>
      <c r="K2663" s="470"/>
      <c r="M2663" s="470"/>
      <c r="O2663" s="470"/>
    </row>
    <row r="2664">
      <c r="A2664" s="282" t="str">
        <f>IFERROR(__xludf.DUMMYFUNCTION("""COMPUTED_VALUE"""),"MICRO")</f>
        <v>MICRO</v>
      </c>
      <c r="B2664" s="468" t="str">
        <f>IFERROR(__xludf.DUMMYFUNCTION("""COMPUTED_VALUE"""),"aisyahnurafe")</f>
        <v>aisyahnurafe</v>
      </c>
      <c r="C2664" s="283" t="str">
        <f>IFERROR(__xludf.DUMMYFUNCTION("""COMPUTED_VALUE"""),"https://www.tiktok.com/@aisyahnurafe")</f>
        <v>https://www.tiktok.com/@aisyahnurafe</v>
      </c>
      <c r="D2664" s="273">
        <f>IFERROR(__xludf.DUMMYFUNCTION("""COMPUTED_VALUE"""),8.8975422407E10)</f>
        <v>88975422407</v>
      </c>
      <c r="E2664" s="458">
        <f>IFERROR(__xludf.DUMMYFUNCTION("""COMPUTED_VALUE"""),0.0)</f>
        <v>0</v>
      </c>
      <c r="F2664" s="273">
        <f>IFERROR(__xludf.DUMMYFUNCTION("""COMPUTED_VALUE"""),4.0)</f>
        <v>4</v>
      </c>
      <c r="G2664" t="str">
        <f>IFERROR(__xludf.DUMMYFUNCTION("""COMPUTED_VALUE"""),"Sabun batang 1 Box ( 2 PCS )")</f>
        <v>Sabun batang 1 Box ( 2 PCS )</v>
      </c>
      <c r="H2664" s="469"/>
      <c r="I2664" s="470"/>
      <c r="K2664" s="470"/>
      <c r="M2664" s="470"/>
      <c r="O2664" s="470"/>
    </row>
    <row r="2665">
      <c r="A2665" s="282" t="str">
        <f>IFERROR(__xludf.DUMMYFUNCTION("""COMPUTED_VALUE"""),"MICRO")</f>
        <v>MICRO</v>
      </c>
      <c r="B2665" s="468" t="str">
        <f>IFERROR(__xludf.DUMMYFUNCTION("""COMPUTED_VALUE"""),"minceu_090723")</f>
        <v>minceu_090723</v>
      </c>
      <c r="C2665" s="283" t="str">
        <f>IFERROR(__xludf.DUMMYFUNCTION("""COMPUTED_VALUE"""),"https://www.tiktok.com/@minceu_090723")</f>
        <v>https://www.tiktok.com/@minceu_090723</v>
      </c>
      <c r="D2665" s="273">
        <f>IFERROR(__xludf.DUMMYFUNCTION("""COMPUTED_VALUE"""),8.9532244569E11)</f>
        <v>895322445690</v>
      </c>
      <c r="E2665" s="458">
        <f>IFERROR(__xludf.DUMMYFUNCTION("""COMPUTED_VALUE"""),0.0)</f>
        <v>0</v>
      </c>
      <c r="F2665" s="273">
        <f>IFERROR(__xludf.DUMMYFUNCTION("""COMPUTED_VALUE"""),4.0)</f>
        <v>4</v>
      </c>
      <c r="G2665" t="str">
        <f>IFERROR(__xludf.DUMMYFUNCTION("""COMPUTED_VALUE"""),"Sabun batang 1 Box ( 2 PCS )")</f>
        <v>Sabun batang 1 Box ( 2 PCS )</v>
      </c>
      <c r="H2665" s="469"/>
      <c r="I2665" s="470"/>
      <c r="K2665" s="470"/>
      <c r="M2665" s="470"/>
      <c r="O2665" s="470"/>
    </row>
    <row r="2666">
      <c r="A2666" s="282" t="str">
        <f>IFERROR(__xludf.DUMMYFUNCTION("""COMPUTED_VALUE"""),"MICRO")</f>
        <v>MICRO</v>
      </c>
      <c r="B2666" s="468" t="str">
        <f>IFERROR(__xludf.DUMMYFUNCTION("""COMPUTED_VALUE"""),"ainie.s")</f>
        <v>ainie.s</v>
      </c>
      <c r="C2666" s="283" t="str">
        <f>IFERROR(__xludf.DUMMYFUNCTION("""COMPUTED_VALUE"""),"https://www.tiktok.com/@ainie.s")</f>
        <v>https://www.tiktok.com/@ainie.s</v>
      </c>
      <c r="D2666" s="273">
        <f>IFERROR(__xludf.DUMMYFUNCTION("""COMPUTED_VALUE"""),8.1288841658E10)</f>
        <v>81288841658</v>
      </c>
      <c r="E2666" s="458">
        <f>IFERROR(__xludf.DUMMYFUNCTION("""COMPUTED_VALUE"""),0.0)</f>
        <v>0</v>
      </c>
      <c r="F2666" s="273">
        <f>IFERROR(__xludf.DUMMYFUNCTION("""COMPUTED_VALUE"""),2.0)</f>
        <v>2</v>
      </c>
      <c r="G2666" t="str">
        <f>IFERROR(__xludf.DUMMYFUNCTION("""COMPUTED_VALUE"""),"Sabun batang 1 Box ( 2 PCS )")</f>
        <v>Sabun batang 1 Box ( 2 PCS )</v>
      </c>
      <c r="H2666" s="469"/>
      <c r="I2666" s="470"/>
      <c r="K2666" s="470"/>
      <c r="M2666" s="470"/>
      <c r="O2666" s="470"/>
    </row>
    <row r="2667">
      <c r="A2667" s="282" t="str">
        <f>IFERROR(__xludf.DUMMYFUNCTION("""COMPUTED_VALUE"""),"MICRO")</f>
        <v>MICRO</v>
      </c>
      <c r="B2667" s="468" t="str">
        <f>IFERROR(__xludf.DUMMYFUNCTION("""COMPUTED_VALUE"""),"santiismawati25")</f>
        <v>santiismawati25</v>
      </c>
      <c r="C2667" s="283" t="str">
        <f>IFERROR(__xludf.DUMMYFUNCTION("""COMPUTED_VALUE"""),"https://www.tiktok.com/@santiismawati25")</f>
        <v>https://www.tiktok.com/@santiismawati25</v>
      </c>
      <c r="D2667" s="273">
        <f>IFERROR(__xludf.DUMMYFUNCTION("""COMPUTED_VALUE"""),8.2242053549E10)</f>
        <v>82242053549</v>
      </c>
      <c r="E2667" s="458">
        <f>IFERROR(__xludf.DUMMYFUNCTION("""COMPUTED_VALUE"""),0.0)</f>
        <v>0</v>
      </c>
      <c r="F2667" s="273">
        <f>IFERROR(__xludf.DUMMYFUNCTION("""COMPUTED_VALUE"""),4.0)</f>
        <v>4</v>
      </c>
      <c r="G2667" t="str">
        <f>IFERROR(__xludf.DUMMYFUNCTION("""COMPUTED_VALUE"""),"Sabun batang 1 Box ( 2 PCS )")</f>
        <v>Sabun batang 1 Box ( 2 PCS )</v>
      </c>
      <c r="H2667" s="469"/>
      <c r="I2667" s="470"/>
      <c r="K2667" s="470"/>
      <c r="M2667" s="470"/>
      <c r="O2667" s="470"/>
    </row>
    <row r="2668">
      <c r="A2668" s="282" t="str">
        <f>IFERROR(__xludf.DUMMYFUNCTION("""COMPUTED_VALUE"""),"MICRO")</f>
        <v>MICRO</v>
      </c>
      <c r="B2668" s="468" t="str">
        <f>IFERROR(__xludf.DUMMYFUNCTION("""COMPUTED_VALUE"""),"mayuth38")</f>
        <v>mayuth38</v>
      </c>
      <c r="C2668" s="283" t="str">
        <f>IFERROR(__xludf.DUMMYFUNCTION("""COMPUTED_VALUE"""),"https://www.tiktok.com/@mayuth38")</f>
        <v>https://www.tiktok.com/@mayuth38</v>
      </c>
      <c r="D2668" s="273">
        <f>IFERROR(__xludf.DUMMYFUNCTION("""COMPUTED_VALUE"""),8.1324426442E10)</f>
        <v>81324426442</v>
      </c>
      <c r="E2668" s="458">
        <f>IFERROR(__xludf.DUMMYFUNCTION("""COMPUTED_VALUE"""),0.0)</f>
        <v>0</v>
      </c>
      <c r="F2668" s="273">
        <f>IFERROR(__xludf.DUMMYFUNCTION("""COMPUTED_VALUE"""),4.0)</f>
        <v>4</v>
      </c>
      <c r="G2668" t="str">
        <f>IFERROR(__xludf.DUMMYFUNCTION("""COMPUTED_VALUE"""),"Sabun batang 1 Box ( 2 PCS )")</f>
        <v>Sabun batang 1 Box ( 2 PCS )</v>
      </c>
      <c r="H2668" s="469"/>
      <c r="I2668" s="470"/>
      <c r="K2668" s="470"/>
      <c r="M2668" s="470"/>
      <c r="O2668" s="470"/>
    </row>
    <row r="2669">
      <c r="A2669" s="282" t="str">
        <f>IFERROR(__xludf.DUMMYFUNCTION("""COMPUTED_VALUE"""),"MICRO")</f>
        <v>MICRO</v>
      </c>
      <c r="B2669" s="468" t="str">
        <f>IFERROR(__xludf.DUMMYFUNCTION("""COMPUTED_VALUE"""),"ms_9305")</f>
        <v>ms_9305</v>
      </c>
      <c r="C2669" s="283" t="str">
        <f>IFERROR(__xludf.DUMMYFUNCTION("""COMPUTED_VALUE"""),"https://www.tiktok.com/@ms_9305")</f>
        <v>https://www.tiktok.com/@ms_9305</v>
      </c>
      <c r="D2669" s="273">
        <f>IFERROR(__xludf.DUMMYFUNCTION("""COMPUTED_VALUE"""),8.5249406479E10)</f>
        <v>85249406479</v>
      </c>
      <c r="E2669" s="458">
        <f>IFERROR(__xludf.DUMMYFUNCTION("""COMPUTED_VALUE"""),0.0)</f>
        <v>0</v>
      </c>
      <c r="F2669" s="273">
        <f>IFERROR(__xludf.DUMMYFUNCTION("""COMPUTED_VALUE"""),4.0)</f>
        <v>4</v>
      </c>
      <c r="G2669" t="str">
        <f>IFERROR(__xludf.DUMMYFUNCTION("""COMPUTED_VALUE"""),"Sabun batang 1 Box ( 2 PCS )")</f>
        <v>Sabun batang 1 Box ( 2 PCS )</v>
      </c>
      <c r="H2669" s="469"/>
      <c r="I2669" s="470"/>
      <c r="K2669" s="470"/>
      <c r="M2669" s="470"/>
      <c r="O2669" s="470"/>
    </row>
    <row r="2670">
      <c r="A2670" s="282" t="str">
        <f>IFERROR(__xludf.DUMMYFUNCTION("""COMPUTED_VALUE"""),"MICRO")</f>
        <v>MICRO</v>
      </c>
      <c r="B2670" s="468" t="str">
        <f>IFERROR(__xludf.DUMMYFUNCTION("""COMPUTED_VALUE"""),"jexxyyzz")</f>
        <v>jexxyyzz</v>
      </c>
      <c r="C2670" s="283" t="str">
        <f>IFERROR(__xludf.DUMMYFUNCTION("""COMPUTED_VALUE"""),"https://www.tiktok.com/@jexxyyzz")</f>
        <v>https://www.tiktok.com/@jexxyyzz</v>
      </c>
      <c r="D2670" s="273">
        <f>IFERROR(__xludf.DUMMYFUNCTION("""COMPUTED_VALUE"""),8.8989621816E10)</f>
        <v>88989621816</v>
      </c>
      <c r="E2670" s="458">
        <f>IFERROR(__xludf.DUMMYFUNCTION("""COMPUTED_VALUE"""),0.0)</f>
        <v>0</v>
      </c>
      <c r="F2670" s="273">
        <f>IFERROR(__xludf.DUMMYFUNCTION("""COMPUTED_VALUE"""),4.0)</f>
        <v>4</v>
      </c>
      <c r="G2670" t="str">
        <f>IFERROR(__xludf.DUMMYFUNCTION("""COMPUTED_VALUE"""),"Sabun batang 1 Box ( 2 PCS )")</f>
        <v>Sabun batang 1 Box ( 2 PCS )</v>
      </c>
      <c r="H2670" s="469"/>
      <c r="I2670" s="470"/>
      <c r="K2670" s="470"/>
      <c r="M2670" s="470"/>
      <c r="O2670" s="470"/>
    </row>
    <row r="2671">
      <c r="A2671" s="282" t="str">
        <f>IFERROR(__xludf.DUMMYFUNCTION("""COMPUTED_VALUE"""),"MICRO")</f>
        <v>MICRO</v>
      </c>
      <c r="B2671" s="468" t="str">
        <f>IFERROR(__xludf.DUMMYFUNCTION("""COMPUTED_VALUE"""),"hasanatul.amalia7")</f>
        <v>hasanatul.amalia7</v>
      </c>
      <c r="C2671" s="283" t="str">
        <f>IFERROR(__xludf.DUMMYFUNCTION("""COMPUTED_VALUE"""),"https://www.tiktok.com/@hasanatul.amalia7")</f>
        <v>https://www.tiktok.com/@hasanatul.amalia7</v>
      </c>
      <c r="D2671" s="273">
        <f>IFERROR(__xludf.DUMMYFUNCTION("""COMPUTED_VALUE"""),8.124640795E10)</f>
        <v>81246407950</v>
      </c>
      <c r="E2671" s="458">
        <f>IFERROR(__xludf.DUMMYFUNCTION("""COMPUTED_VALUE"""),0.0)</f>
        <v>0</v>
      </c>
      <c r="F2671" s="273">
        <f>IFERROR(__xludf.DUMMYFUNCTION("""COMPUTED_VALUE"""),4.0)</f>
        <v>4</v>
      </c>
      <c r="G2671" t="str">
        <f>IFERROR(__xludf.DUMMYFUNCTION("""COMPUTED_VALUE"""),"Sabun batang 1 Box ( 2 PCS )")</f>
        <v>Sabun batang 1 Box ( 2 PCS )</v>
      </c>
      <c r="H2671" s="469"/>
      <c r="I2671" s="470"/>
      <c r="K2671" s="470"/>
      <c r="M2671" s="470"/>
      <c r="O2671" s="470"/>
    </row>
    <row r="2672">
      <c r="A2672" s="282" t="str">
        <f>IFERROR(__xludf.DUMMYFUNCTION("""COMPUTED_VALUE"""),"MICRO")</f>
        <v>MICRO</v>
      </c>
      <c r="B2672" s="468" t="str">
        <f>IFERROR(__xludf.DUMMYFUNCTION("""COMPUTED_VALUE"""),"seftadwirantiii")</f>
        <v>seftadwirantiii</v>
      </c>
      <c r="C2672" s="283" t="str">
        <f>IFERROR(__xludf.DUMMYFUNCTION("""COMPUTED_VALUE"""),"https://www.tiktok.com/@seftadwirantiii")</f>
        <v>https://www.tiktok.com/@seftadwirantiii</v>
      </c>
      <c r="D2672" s="273">
        <f>IFERROR(__xludf.DUMMYFUNCTION("""COMPUTED_VALUE"""),8.1381502481E10)</f>
        <v>81381502481</v>
      </c>
      <c r="E2672" s="458">
        <f>IFERROR(__xludf.DUMMYFUNCTION("""COMPUTED_VALUE"""),0.0)</f>
        <v>0</v>
      </c>
      <c r="F2672" s="273">
        <f>IFERROR(__xludf.DUMMYFUNCTION("""COMPUTED_VALUE"""),2.0)</f>
        <v>2</v>
      </c>
      <c r="G2672" t="str">
        <f>IFERROR(__xludf.DUMMYFUNCTION("""COMPUTED_VALUE"""),"Sabun batang 1 Box ( 2 PCS )")</f>
        <v>Sabun batang 1 Box ( 2 PCS )</v>
      </c>
      <c r="H2672" s="469"/>
      <c r="I2672" s="470"/>
      <c r="K2672" s="470"/>
      <c r="M2672" s="470"/>
      <c r="O2672" s="470"/>
    </row>
    <row r="2673">
      <c r="A2673" s="282" t="str">
        <f>IFERROR(__xludf.DUMMYFUNCTION("""COMPUTED_VALUE"""),"MICRO")</f>
        <v>MICRO</v>
      </c>
      <c r="B2673" s="468" t="str">
        <f>IFERROR(__xludf.DUMMYFUNCTION("""COMPUTED_VALUE"""),"khumala980")</f>
        <v>khumala980</v>
      </c>
      <c r="C2673" s="283" t="str">
        <f>IFERROR(__xludf.DUMMYFUNCTION("""COMPUTED_VALUE"""),"https://www.tiktok.com/@khumala980")</f>
        <v>https://www.tiktok.com/@khumala980</v>
      </c>
      <c r="D2673" s="273">
        <f>IFERROR(__xludf.DUMMYFUNCTION("""COMPUTED_VALUE"""),8.8228788368E10)</f>
        <v>88228788368</v>
      </c>
      <c r="E2673" s="458">
        <f>IFERROR(__xludf.DUMMYFUNCTION("""COMPUTED_VALUE"""),0.0)</f>
        <v>0</v>
      </c>
      <c r="F2673" s="273">
        <f>IFERROR(__xludf.DUMMYFUNCTION("""COMPUTED_VALUE"""),4.0)</f>
        <v>4</v>
      </c>
      <c r="G2673" t="str">
        <f>IFERROR(__xludf.DUMMYFUNCTION("""COMPUTED_VALUE"""),"Sabun batang 1 Box ( 2 PCS )")</f>
        <v>Sabun batang 1 Box ( 2 PCS )</v>
      </c>
      <c r="H2673" s="469"/>
      <c r="I2673" s="470"/>
      <c r="K2673" s="470"/>
      <c r="M2673" s="470"/>
      <c r="O2673" s="470"/>
    </row>
    <row r="2674">
      <c r="A2674" s="282" t="str">
        <f>IFERROR(__xludf.DUMMYFUNCTION("""COMPUTED_VALUE"""),"MICRO")</f>
        <v>MICRO</v>
      </c>
      <c r="B2674" s="468" t="str">
        <f>IFERROR(__xludf.DUMMYFUNCTION("""COMPUTED_VALUE"""),"depiisrrr")</f>
        <v>depiisrrr</v>
      </c>
      <c r="C2674" s="283" t="str">
        <f>IFERROR(__xludf.DUMMYFUNCTION("""COMPUTED_VALUE"""),"https://www.tiktok.com/@depiisrrr")</f>
        <v>https://www.tiktok.com/@depiisrrr</v>
      </c>
      <c r="D2674" s="273">
        <f>IFERROR(__xludf.DUMMYFUNCTION("""COMPUTED_VALUE"""),8.5706305609E10)</f>
        <v>85706305609</v>
      </c>
      <c r="E2674" s="458">
        <f>IFERROR(__xludf.DUMMYFUNCTION("""COMPUTED_VALUE"""),0.0)</f>
        <v>0</v>
      </c>
      <c r="F2674" s="273">
        <f>IFERROR(__xludf.DUMMYFUNCTION("""COMPUTED_VALUE"""),4.0)</f>
        <v>4</v>
      </c>
      <c r="G2674" t="str">
        <f>IFERROR(__xludf.DUMMYFUNCTION("""COMPUTED_VALUE"""),"Sabun batang 1 Box ( 2 PCS )")</f>
        <v>Sabun batang 1 Box ( 2 PCS )</v>
      </c>
      <c r="H2674" s="469"/>
      <c r="I2674" s="470"/>
      <c r="K2674" s="470"/>
      <c r="M2674" s="470"/>
      <c r="O2674" s="470"/>
    </row>
    <row r="2675">
      <c r="A2675" s="282" t="str">
        <f>IFERROR(__xludf.DUMMYFUNCTION("""COMPUTED_VALUE"""),"MICRO")</f>
        <v>MICRO</v>
      </c>
      <c r="B2675" s="468" t="str">
        <f>IFERROR(__xludf.DUMMYFUNCTION("""COMPUTED_VALUE"""),"asrinasifah43")</f>
        <v>asrinasifah43</v>
      </c>
      <c r="C2675" s="283" t="str">
        <f>IFERROR(__xludf.DUMMYFUNCTION("""COMPUTED_VALUE"""),"https://www.tiktok.com/@asrinasifah43")</f>
        <v>https://www.tiktok.com/@asrinasifah43</v>
      </c>
      <c r="D2675" s="273">
        <f>IFERROR(__xludf.DUMMYFUNCTION("""COMPUTED_VALUE"""),8.3106721819E10)</f>
        <v>83106721819</v>
      </c>
      <c r="E2675" s="458">
        <f>IFERROR(__xludf.DUMMYFUNCTION("""COMPUTED_VALUE"""),0.0)</f>
        <v>0</v>
      </c>
      <c r="F2675" s="273">
        <f>IFERROR(__xludf.DUMMYFUNCTION("""COMPUTED_VALUE"""),4.0)</f>
        <v>4</v>
      </c>
      <c r="G2675" t="str">
        <f>IFERROR(__xludf.DUMMYFUNCTION("""COMPUTED_VALUE"""),"Sabun batang 1 Box ( 2 PCS )")</f>
        <v>Sabun batang 1 Box ( 2 PCS )</v>
      </c>
      <c r="H2675" s="469"/>
      <c r="I2675" s="470"/>
      <c r="K2675" s="470"/>
      <c r="M2675" s="470"/>
      <c r="O2675" s="470"/>
    </row>
    <row r="2676">
      <c r="A2676" s="282" t="str">
        <f>IFERROR(__xludf.DUMMYFUNCTION("""COMPUTED_VALUE"""),"MICRO")</f>
        <v>MICRO</v>
      </c>
      <c r="B2676" s="468" t="str">
        <f>IFERROR(__xludf.DUMMYFUNCTION("""COMPUTED_VALUE"""),"fjoficial26")</f>
        <v>fjoficial26</v>
      </c>
      <c r="C2676" s="283" t="str">
        <f>IFERROR(__xludf.DUMMYFUNCTION("""COMPUTED_VALUE"""),"https://www.tiktok.com/@fjoficial26")</f>
        <v>https://www.tiktok.com/@fjoficial26</v>
      </c>
      <c r="D2676" s="273">
        <f>IFERROR(__xludf.DUMMYFUNCTION("""COMPUTED_VALUE"""),8.3866990333E10)</f>
        <v>83866990333</v>
      </c>
      <c r="E2676" s="458">
        <f>IFERROR(__xludf.DUMMYFUNCTION("""COMPUTED_VALUE"""),0.0)</f>
        <v>0</v>
      </c>
      <c r="F2676" s="273">
        <f>IFERROR(__xludf.DUMMYFUNCTION("""COMPUTED_VALUE"""),4.0)</f>
        <v>4</v>
      </c>
      <c r="G2676" t="str">
        <f>IFERROR(__xludf.DUMMYFUNCTION("""COMPUTED_VALUE"""),"Sabun batang 1 Box ( 2 PCS )")</f>
        <v>Sabun batang 1 Box ( 2 PCS )</v>
      </c>
      <c r="H2676" s="469"/>
      <c r="I2676" s="470"/>
      <c r="K2676" s="470"/>
      <c r="M2676" s="470"/>
      <c r="O2676" s="470"/>
    </row>
    <row r="2677">
      <c r="A2677" s="282" t="str">
        <f>IFERROR(__xludf.DUMMYFUNCTION("""COMPUTED_VALUE"""),"MICRO")</f>
        <v>MICRO</v>
      </c>
      <c r="B2677" s="468" t="str">
        <f>IFERROR(__xludf.DUMMYFUNCTION("""COMPUTED_VALUE"""),"nayyaakuu")</f>
        <v>nayyaakuu</v>
      </c>
      <c r="C2677" s="283" t="str">
        <f>IFERROR(__xludf.DUMMYFUNCTION("""COMPUTED_VALUE"""),"https://www.tiktok.com/@nayyaakuu")</f>
        <v>https://www.tiktok.com/@nayyaakuu</v>
      </c>
      <c r="D2677" s="273">
        <f>IFERROR(__xludf.DUMMYFUNCTION("""COMPUTED_VALUE"""),8.5753983375E10)</f>
        <v>85753983375</v>
      </c>
      <c r="E2677" s="458">
        <f>IFERROR(__xludf.DUMMYFUNCTION("""COMPUTED_VALUE"""),0.0)</f>
        <v>0</v>
      </c>
      <c r="F2677" s="273">
        <f>IFERROR(__xludf.DUMMYFUNCTION("""COMPUTED_VALUE"""),4.0)</f>
        <v>4</v>
      </c>
      <c r="G2677" t="str">
        <f>IFERROR(__xludf.DUMMYFUNCTION("""COMPUTED_VALUE"""),"Sabun batang 1 Box ( 2 PCS )")</f>
        <v>Sabun batang 1 Box ( 2 PCS )</v>
      </c>
      <c r="H2677" s="469"/>
      <c r="I2677" s="470"/>
      <c r="K2677" s="470"/>
      <c r="M2677" s="470"/>
      <c r="O2677" s="470"/>
    </row>
    <row r="2678">
      <c r="A2678" s="282" t="str">
        <f>IFERROR(__xludf.DUMMYFUNCTION("""COMPUTED_VALUE"""),"MICRO")</f>
        <v>MICRO</v>
      </c>
      <c r="B2678" s="468" t="str">
        <f>IFERROR(__xludf.DUMMYFUNCTION("""COMPUTED_VALUE"""),"ucieebisnisss")</f>
        <v>ucieebisnisss</v>
      </c>
      <c r="C2678" s="283" t="str">
        <f>IFERROR(__xludf.DUMMYFUNCTION("""COMPUTED_VALUE"""),"https://www.tiktok.com/@ucieebisnisss")</f>
        <v>https://www.tiktok.com/@ucieebisnisss</v>
      </c>
      <c r="D2678" s="273">
        <f>IFERROR(__xludf.DUMMYFUNCTION("""COMPUTED_VALUE"""),8.2123377795E10)</f>
        <v>82123377795</v>
      </c>
      <c r="E2678" s="458">
        <f>IFERROR(__xludf.DUMMYFUNCTION("""COMPUTED_VALUE"""),0.0)</f>
        <v>0</v>
      </c>
      <c r="F2678" s="273">
        <f>IFERROR(__xludf.DUMMYFUNCTION("""COMPUTED_VALUE"""),4.0)</f>
        <v>4</v>
      </c>
      <c r="G2678" t="str">
        <f>IFERROR(__xludf.DUMMYFUNCTION("""COMPUTED_VALUE"""),"Sabun batang 1 Box ( 2 PCS )")</f>
        <v>Sabun batang 1 Box ( 2 PCS )</v>
      </c>
      <c r="H2678" s="469"/>
      <c r="I2678" s="470"/>
      <c r="K2678" s="470"/>
      <c r="M2678" s="470"/>
      <c r="O2678" s="470"/>
    </row>
    <row r="2679">
      <c r="A2679" s="282" t="str">
        <f>IFERROR(__xludf.DUMMYFUNCTION("""COMPUTED_VALUE"""),"MICRO")</f>
        <v>MICRO</v>
      </c>
      <c r="B2679" s="468" t="str">
        <f>IFERROR(__xludf.DUMMYFUNCTION("""COMPUTED_VALUE"""),"iniadasaput")</f>
        <v>iniadasaput</v>
      </c>
      <c r="C2679" s="283" t="str">
        <f>IFERROR(__xludf.DUMMYFUNCTION("""COMPUTED_VALUE"""),"https://www.tiktok.com/@iniadasaput")</f>
        <v>https://www.tiktok.com/@iniadasaput</v>
      </c>
      <c r="D2679" s="273">
        <f>IFERROR(__xludf.DUMMYFUNCTION("""COMPUTED_VALUE"""),8.3123581511E10)</f>
        <v>83123581511</v>
      </c>
      <c r="E2679" s="458">
        <f>IFERROR(__xludf.DUMMYFUNCTION("""COMPUTED_VALUE"""),0.0)</f>
        <v>0</v>
      </c>
      <c r="F2679" s="273">
        <f>IFERROR(__xludf.DUMMYFUNCTION("""COMPUTED_VALUE"""),4.0)</f>
        <v>4</v>
      </c>
      <c r="G2679" t="str">
        <f>IFERROR(__xludf.DUMMYFUNCTION("""COMPUTED_VALUE"""),"Sabun batang 1 Box ( 2 PCS )")</f>
        <v>Sabun batang 1 Box ( 2 PCS )</v>
      </c>
      <c r="H2679" s="469"/>
      <c r="I2679" s="470"/>
      <c r="K2679" s="470"/>
      <c r="M2679" s="470"/>
      <c r="O2679" s="470"/>
    </row>
    <row r="2680">
      <c r="A2680" s="282" t="str">
        <f>IFERROR(__xludf.DUMMYFUNCTION("""COMPUTED_VALUE"""),"MICRO")</f>
        <v>MICRO</v>
      </c>
      <c r="B2680" s="468" t="str">
        <f>IFERROR(__xludf.DUMMYFUNCTION("""COMPUTED_VALUE"""),"zumrotun_2")</f>
        <v>zumrotun_2</v>
      </c>
      <c r="C2680" s="283" t="str">
        <f>IFERROR(__xludf.DUMMYFUNCTION("""COMPUTED_VALUE"""),"https://www.tiktok.com/@zumrotun_2")</f>
        <v>https://www.tiktok.com/@zumrotun_2</v>
      </c>
      <c r="D2680" s="273">
        <f>IFERROR(__xludf.DUMMYFUNCTION("""COMPUTED_VALUE"""),8.8223755215E10)</f>
        <v>88223755215</v>
      </c>
      <c r="E2680" s="458">
        <f>IFERROR(__xludf.DUMMYFUNCTION("""COMPUTED_VALUE"""),0.0)</f>
        <v>0</v>
      </c>
      <c r="F2680" s="273">
        <f>IFERROR(__xludf.DUMMYFUNCTION("""COMPUTED_VALUE"""),4.0)</f>
        <v>4</v>
      </c>
      <c r="G2680" t="str">
        <f>IFERROR(__xludf.DUMMYFUNCTION("""COMPUTED_VALUE"""),"Sabun batang 1 Box ( 2 PCS )")</f>
        <v>Sabun batang 1 Box ( 2 PCS )</v>
      </c>
      <c r="H2680" s="469"/>
      <c r="I2680" s="470"/>
      <c r="K2680" s="470"/>
      <c r="M2680" s="470"/>
      <c r="O2680" s="470"/>
    </row>
    <row r="2681">
      <c r="A2681" s="282" t="str">
        <f>IFERROR(__xludf.DUMMYFUNCTION("""COMPUTED_VALUE"""),"MICRO")</f>
        <v>MICRO</v>
      </c>
      <c r="B2681" s="468" t="str">
        <f>IFERROR(__xludf.DUMMYFUNCTION("""COMPUTED_VALUE"""),"beauty0_0fashion")</f>
        <v>beauty0_0fashion</v>
      </c>
      <c r="C2681" s="283" t="str">
        <f>IFERROR(__xludf.DUMMYFUNCTION("""COMPUTED_VALUE"""),"https://www.tiktok.com/@beauty0_0fashion")</f>
        <v>https://www.tiktok.com/@beauty0_0fashion</v>
      </c>
      <c r="D2681" s="273">
        <f>IFERROR(__xludf.DUMMYFUNCTION("""COMPUTED_VALUE"""),8.587868383E10)</f>
        <v>85878683830</v>
      </c>
      <c r="E2681" s="458">
        <f>IFERROR(__xludf.DUMMYFUNCTION("""COMPUTED_VALUE"""),0.0)</f>
        <v>0</v>
      </c>
      <c r="F2681" s="273">
        <f>IFERROR(__xludf.DUMMYFUNCTION("""COMPUTED_VALUE"""),4.0)</f>
        <v>4</v>
      </c>
      <c r="G2681" t="str">
        <f>IFERROR(__xludf.DUMMYFUNCTION("""COMPUTED_VALUE"""),"Sabun batang 1 Box ( 2 PCS )")</f>
        <v>Sabun batang 1 Box ( 2 PCS )</v>
      </c>
      <c r="H2681" s="469"/>
      <c r="I2681" s="470"/>
      <c r="K2681" s="470"/>
      <c r="M2681" s="470"/>
      <c r="O2681" s="470"/>
    </row>
    <row r="2682">
      <c r="A2682" s="282" t="str">
        <f>IFERROR(__xludf.DUMMYFUNCTION("""COMPUTED_VALUE"""),"MICRO")</f>
        <v>MICRO</v>
      </c>
      <c r="B2682" s="468" t="str">
        <f>IFERROR(__xludf.DUMMYFUNCTION("""COMPUTED_VALUE"""),"rosi.handayani78")</f>
        <v>rosi.handayani78</v>
      </c>
      <c r="C2682" s="283" t="str">
        <f>IFERROR(__xludf.DUMMYFUNCTION("""COMPUTED_VALUE"""),"https://www.tiktok.com/@rosi.handayani78")</f>
        <v>https://www.tiktok.com/@rosi.handayani78</v>
      </c>
      <c r="D2682" s="273">
        <f>IFERROR(__xludf.DUMMYFUNCTION("""COMPUTED_VALUE"""),8.3869835015E10)</f>
        <v>83869835015</v>
      </c>
      <c r="E2682" s="458">
        <f>IFERROR(__xludf.DUMMYFUNCTION("""COMPUTED_VALUE"""),0.0)</f>
        <v>0</v>
      </c>
      <c r="F2682" s="273">
        <f>IFERROR(__xludf.DUMMYFUNCTION("""COMPUTED_VALUE"""),4.0)</f>
        <v>4</v>
      </c>
      <c r="G2682" t="str">
        <f>IFERROR(__xludf.DUMMYFUNCTION("""COMPUTED_VALUE"""),"Sabun batang 1 Box ( 2 PCS )")</f>
        <v>Sabun batang 1 Box ( 2 PCS )</v>
      </c>
      <c r="H2682" s="469"/>
      <c r="I2682" s="470"/>
      <c r="K2682" s="470"/>
      <c r="M2682" s="470"/>
      <c r="O2682" s="470"/>
    </row>
    <row r="2683">
      <c r="A2683" s="282" t="str">
        <f>IFERROR(__xludf.DUMMYFUNCTION("""COMPUTED_VALUE"""),"MICRO")</f>
        <v>MICRO</v>
      </c>
      <c r="B2683" s="468" t="str">
        <f>IFERROR(__xludf.DUMMYFUNCTION("""COMPUTED_VALUE"""),"biielga")</f>
        <v>biielga</v>
      </c>
      <c r="C2683" s="283" t="str">
        <f>IFERROR(__xludf.DUMMYFUNCTION("""COMPUTED_VALUE"""),"https://www.tiktok.com/@biielga")</f>
        <v>https://www.tiktok.com/@biielga</v>
      </c>
      <c r="D2683" s="273">
        <f>IFERROR(__xludf.DUMMYFUNCTION("""COMPUTED_VALUE"""),8.9535330203E11)</f>
        <v>895353302030</v>
      </c>
      <c r="E2683" s="458">
        <f>IFERROR(__xludf.DUMMYFUNCTION("""COMPUTED_VALUE"""),0.0)</f>
        <v>0</v>
      </c>
      <c r="F2683" s="273">
        <f>IFERROR(__xludf.DUMMYFUNCTION("""COMPUTED_VALUE"""),4.0)</f>
        <v>4</v>
      </c>
      <c r="G2683" t="str">
        <f>IFERROR(__xludf.DUMMYFUNCTION("""COMPUTED_VALUE"""),"Sabun batang 1 Box ( 2 PCS )")</f>
        <v>Sabun batang 1 Box ( 2 PCS )</v>
      </c>
      <c r="H2683" s="469"/>
      <c r="I2683" s="470"/>
      <c r="K2683" s="470"/>
      <c r="M2683" s="470"/>
      <c r="O2683" s="470"/>
    </row>
    <row r="2684">
      <c r="A2684" s="282" t="str">
        <f>IFERROR(__xludf.DUMMYFUNCTION("""COMPUTED_VALUE"""),"MICRO")</f>
        <v>MICRO</v>
      </c>
      <c r="B2684" s="468" t="str">
        <f>IFERROR(__xludf.DUMMYFUNCTION("""COMPUTED_VALUE"""),"kapitaapea")</f>
        <v>kapitaapea</v>
      </c>
      <c r="C2684" s="283" t="str">
        <f>IFERROR(__xludf.DUMMYFUNCTION("""COMPUTED_VALUE"""),"https://www.tiktok.com/@kapitaapea")</f>
        <v>https://www.tiktok.com/@kapitaapea</v>
      </c>
      <c r="D2684" s="273">
        <f>IFERROR(__xludf.DUMMYFUNCTION("""COMPUTED_VALUE"""),8.973421543E9)</f>
        <v>8973421543</v>
      </c>
      <c r="E2684" s="458">
        <f>IFERROR(__xludf.DUMMYFUNCTION("""COMPUTED_VALUE"""),0.0)</f>
        <v>0</v>
      </c>
      <c r="F2684" s="273">
        <f>IFERROR(__xludf.DUMMYFUNCTION("""COMPUTED_VALUE"""),4.0)</f>
        <v>4</v>
      </c>
      <c r="G2684" t="str">
        <f>IFERROR(__xludf.DUMMYFUNCTION("""COMPUTED_VALUE"""),"Sabun batang 1 Box ( 2 PCS )")</f>
        <v>Sabun batang 1 Box ( 2 PCS )</v>
      </c>
      <c r="H2684" s="469"/>
      <c r="I2684" s="470"/>
      <c r="K2684" s="470"/>
      <c r="M2684" s="470"/>
      <c r="O2684" s="470"/>
    </row>
    <row r="2685">
      <c r="A2685" s="282" t="str">
        <f>IFERROR(__xludf.DUMMYFUNCTION("""COMPUTED_VALUE"""),"MICRO")</f>
        <v>MICRO</v>
      </c>
      <c r="B2685" s="468" t="str">
        <f>IFERROR(__xludf.DUMMYFUNCTION("""COMPUTED_VALUE"""),"_glowbyme_")</f>
        <v>_glowbyme_</v>
      </c>
      <c r="C2685" s="283" t="str">
        <f>IFERROR(__xludf.DUMMYFUNCTION("""COMPUTED_VALUE"""),"https://www.tiktok.com/@_glowbyme_")</f>
        <v>https://www.tiktok.com/@_glowbyme_</v>
      </c>
      <c r="D2685" s="273">
        <f>IFERROR(__xludf.DUMMYFUNCTION("""COMPUTED_VALUE"""),8.2323412073E10)</f>
        <v>82323412073</v>
      </c>
      <c r="E2685" s="458">
        <f>IFERROR(__xludf.DUMMYFUNCTION("""COMPUTED_VALUE"""),0.0)</f>
        <v>0</v>
      </c>
      <c r="F2685" s="273">
        <f>IFERROR(__xludf.DUMMYFUNCTION("""COMPUTED_VALUE"""),4.0)</f>
        <v>4</v>
      </c>
      <c r="G2685" t="str">
        <f>IFERROR(__xludf.DUMMYFUNCTION("""COMPUTED_VALUE"""),"Sabun batang 1 Box ( 2 PCS )")</f>
        <v>Sabun batang 1 Box ( 2 PCS )</v>
      </c>
      <c r="H2685" s="469"/>
      <c r="I2685" s="470"/>
      <c r="K2685" s="470"/>
      <c r="M2685" s="470"/>
      <c r="O2685" s="470"/>
    </row>
    <row r="2686">
      <c r="A2686" s="282" t="str">
        <f>IFERROR(__xludf.DUMMYFUNCTION("""COMPUTED_VALUE"""),"MICRO")</f>
        <v>MICRO</v>
      </c>
      <c r="B2686" s="468" t="str">
        <f>IFERROR(__xludf.DUMMYFUNCTION("""COMPUTED_VALUE"""),"hay.nana209")</f>
        <v>hay.nana209</v>
      </c>
      <c r="C2686" s="283" t="str">
        <f>IFERROR(__xludf.DUMMYFUNCTION("""COMPUTED_VALUE"""),"https://www.tiktok.com/@hay.nana209")</f>
        <v>https://www.tiktok.com/@hay.nana209</v>
      </c>
      <c r="D2686" s="273">
        <f>IFERROR(__xludf.DUMMYFUNCTION("""COMPUTED_VALUE"""),8.5790270284E10)</f>
        <v>85790270284</v>
      </c>
      <c r="E2686" s="458">
        <f>IFERROR(__xludf.DUMMYFUNCTION("""COMPUTED_VALUE"""),0.0)</f>
        <v>0</v>
      </c>
      <c r="F2686" s="273">
        <f>IFERROR(__xludf.DUMMYFUNCTION("""COMPUTED_VALUE"""),4.0)</f>
        <v>4</v>
      </c>
      <c r="G2686" t="str">
        <f>IFERROR(__xludf.DUMMYFUNCTION("""COMPUTED_VALUE"""),"Sabun batang 1 Box ( 2 PCS )")</f>
        <v>Sabun batang 1 Box ( 2 PCS )</v>
      </c>
      <c r="H2686" s="469"/>
      <c r="I2686" s="470"/>
      <c r="K2686" s="470"/>
      <c r="M2686" s="470"/>
      <c r="O2686" s="470"/>
    </row>
    <row r="2687">
      <c r="A2687" s="282" t="str">
        <f>IFERROR(__xludf.DUMMYFUNCTION("""COMPUTED_VALUE"""),"MICRO")</f>
        <v>MICRO</v>
      </c>
      <c r="B2687" s="468" t="str">
        <f>IFERROR(__xludf.DUMMYFUNCTION("""COMPUTED_VALUE"""),"atikanurul26")</f>
        <v>atikanurul26</v>
      </c>
      <c r="C2687" s="283" t="str">
        <f>IFERROR(__xludf.DUMMYFUNCTION("""COMPUTED_VALUE"""),"https://www.tiktok.com/@atikanurul26")</f>
        <v>https://www.tiktok.com/@atikanurul26</v>
      </c>
      <c r="D2687" s="273">
        <f>IFERROR(__xludf.DUMMYFUNCTION("""COMPUTED_VALUE"""),8.2287453489E10)</f>
        <v>82287453489</v>
      </c>
      <c r="E2687" s="458">
        <f>IFERROR(__xludf.DUMMYFUNCTION("""COMPUTED_VALUE"""),0.0)</f>
        <v>0</v>
      </c>
      <c r="F2687" s="273">
        <f>IFERROR(__xludf.DUMMYFUNCTION("""COMPUTED_VALUE"""),4.0)</f>
        <v>4</v>
      </c>
      <c r="G2687" t="str">
        <f>IFERROR(__xludf.DUMMYFUNCTION("""COMPUTED_VALUE"""),"Sabun batang 1 Box ( 2 PCS )")</f>
        <v>Sabun batang 1 Box ( 2 PCS )</v>
      </c>
      <c r="H2687" s="469"/>
      <c r="I2687" s="470"/>
      <c r="K2687" s="470"/>
      <c r="M2687" s="470"/>
      <c r="O2687" s="470"/>
    </row>
    <row r="2688">
      <c r="A2688" s="282" t="str">
        <f>IFERROR(__xludf.DUMMYFUNCTION("""COMPUTED_VALUE"""),"MICRO")</f>
        <v>MICRO</v>
      </c>
      <c r="B2688" s="468" t="str">
        <f>IFERROR(__xludf.DUMMYFUNCTION("""COMPUTED_VALUE"""),"ig_meaii17")</f>
        <v>ig_meaii17</v>
      </c>
      <c r="C2688" s="283" t="str">
        <f>IFERROR(__xludf.DUMMYFUNCTION("""COMPUTED_VALUE"""),"https://www.tiktok.com/@ig_meaii17")</f>
        <v>https://www.tiktok.com/@ig_meaii17</v>
      </c>
      <c r="D2688" s="273">
        <f>IFERROR(__xludf.DUMMYFUNCTION("""COMPUTED_VALUE"""),8.2320400315E10)</f>
        <v>82320400315</v>
      </c>
      <c r="E2688" s="458">
        <f>IFERROR(__xludf.DUMMYFUNCTION("""COMPUTED_VALUE"""),0.0)</f>
        <v>0</v>
      </c>
      <c r="F2688" s="273">
        <f>IFERROR(__xludf.DUMMYFUNCTION("""COMPUTED_VALUE"""),4.0)</f>
        <v>4</v>
      </c>
      <c r="G2688" t="str">
        <f>IFERROR(__xludf.DUMMYFUNCTION("""COMPUTED_VALUE"""),"Sabun batang 1 Box ( 2 PCS )")</f>
        <v>Sabun batang 1 Box ( 2 PCS )</v>
      </c>
      <c r="H2688" s="469"/>
      <c r="I2688" s="470"/>
      <c r="K2688" s="470"/>
      <c r="M2688" s="470"/>
      <c r="O2688" s="470"/>
    </row>
    <row r="2689">
      <c r="A2689" s="282" t="str">
        <f>IFERROR(__xludf.DUMMYFUNCTION("""COMPUTED_VALUE"""),"MICRO")</f>
        <v>MICRO</v>
      </c>
      <c r="B2689" s="468" t="str">
        <f>IFERROR(__xludf.DUMMYFUNCTION("""COMPUTED_VALUE"""),"deviseptianaar")</f>
        <v>deviseptianaar</v>
      </c>
      <c r="C2689" s="283" t="str">
        <f>IFERROR(__xludf.DUMMYFUNCTION("""COMPUTED_VALUE"""),"https://www.tiktok.com/@deviseptianaar")</f>
        <v>https://www.tiktok.com/@deviseptianaar</v>
      </c>
      <c r="D2689" s="273">
        <f>IFERROR(__xludf.DUMMYFUNCTION("""COMPUTED_VALUE"""),8.5349492729E10)</f>
        <v>85349492729</v>
      </c>
      <c r="E2689" s="458">
        <f>IFERROR(__xludf.DUMMYFUNCTION("""COMPUTED_VALUE"""),0.0)</f>
        <v>0</v>
      </c>
      <c r="F2689" s="273">
        <f>IFERROR(__xludf.DUMMYFUNCTION("""COMPUTED_VALUE"""),4.0)</f>
        <v>4</v>
      </c>
      <c r="G2689" t="str">
        <f>IFERROR(__xludf.DUMMYFUNCTION("""COMPUTED_VALUE"""),"Sabun batang 1 Box ( 2 PCS )")</f>
        <v>Sabun batang 1 Box ( 2 PCS )</v>
      </c>
      <c r="H2689" s="469"/>
      <c r="I2689" s="470"/>
      <c r="K2689" s="470"/>
      <c r="M2689" s="470"/>
      <c r="O2689" s="470"/>
    </row>
    <row r="2690">
      <c r="A2690" s="282" t="str">
        <f>IFERROR(__xludf.DUMMYFUNCTION("""COMPUTED_VALUE"""),"MICRO")</f>
        <v>MICRO</v>
      </c>
      <c r="B2690" s="468" t="str">
        <f>IFERROR(__xludf.DUMMYFUNCTION("""COMPUTED_VALUE"""),"raihanalfarizi.id
")</f>
        <v>raihanalfarizi.id
</v>
      </c>
      <c r="C2690" s="283" t="str">
        <f>IFERROR(__xludf.DUMMYFUNCTION("""COMPUTED_VALUE"""),"https://www.tiktok.com/@raihanalfarizi.id
")</f>
        <v>https://www.tiktok.com/@raihanalfarizi.id
</v>
      </c>
      <c r="D2690" s="273">
        <f>IFERROR(__xludf.DUMMYFUNCTION("""COMPUTED_VALUE"""),8.316196557E10)</f>
        <v>83161965570</v>
      </c>
      <c r="E2690" s="458">
        <f>IFERROR(__xludf.DUMMYFUNCTION("""COMPUTED_VALUE"""),0.0)</f>
        <v>0</v>
      </c>
      <c r="F2690" s="273">
        <f>IFERROR(__xludf.DUMMYFUNCTION("""COMPUTED_VALUE"""),4.0)</f>
        <v>4</v>
      </c>
      <c r="G2690" t="str">
        <f>IFERROR(__xludf.DUMMYFUNCTION("""COMPUTED_VALUE"""),"Sabun batang 1 Box ( 2 PCS )")</f>
        <v>Sabun batang 1 Box ( 2 PCS )</v>
      </c>
      <c r="H2690" s="469"/>
      <c r="I2690" s="470"/>
      <c r="K2690" s="470"/>
      <c r="M2690" s="470"/>
      <c r="O2690" s="470"/>
    </row>
    <row r="2691">
      <c r="A2691" s="282" t="str">
        <f>IFERROR(__xludf.DUMMYFUNCTION("""COMPUTED_VALUE"""),"MICRO")</f>
        <v>MICRO</v>
      </c>
      <c r="B2691" s="468" t="str">
        <f>IFERROR(__xludf.DUMMYFUNCTION("""COMPUTED_VALUE"""),"nandaeka.j")</f>
        <v>nandaeka.j</v>
      </c>
      <c r="C2691" s="283" t="str">
        <f>IFERROR(__xludf.DUMMYFUNCTION("""COMPUTED_VALUE"""),"https://www.tiktok.com/@nandaeka.j")</f>
        <v>https://www.tiktok.com/@nandaeka.j</v>
      </c>
      <c r="D2691" s="273">
        <f>IFERROR(__xludf.DUMMYFUNCTION("""COMPUTED_VALUE"""),8.81036614547E11)</f>
        <v>881036614547</v>
      </c>
      <c r="E2691" s="458">
        <f>IFERROR(__xludf.DUMMYFUNCTION("""COMPUTED_VALUE"""),0.0)</f>
        <v>0</v>
      </c>
      <c r="F2691" s="273">
        <f>IFERROR(__xludf.DUMMYFUNCTION("""COMPUTED_VALUE"""),4.0)</f>
        <v>4</v>
      </c>
      <c r="G2691" t="str">
        <f>IFERROR(__xludf.DUMMYFUNCTION("""COMPUTED_VALUE"""),"Sabun batang 1 Box ( 2 PCS )")</f>
        <v>Sabun batang 1 Box ( 2 PCS )</v>
      </c>
      <c r="H2691" s="469"/>
      <c r="I2691" s="470"/>
      <c r="K2691" s="470"/>
      <c r="M2691" s="470"/>
      <c r="O2691" s="470"/>
    </row>
    <row r="2692">
      <c r="A2692" s="282" t="str">
        <f>IFERROR(__xludf.DUMMYFUNCTION("""COMPUTED_VALUE"""),"MICRO")</f>
        <v>MICRO</v>
      </c>
      <c r="B2692" s="468" t="str">
        <f>IFERROR(__xludf.DUMMYFUNCTION("""COMPUTED_VALUE"""),"nayannazz")</f>
        <v>nayannazz</v>
      </c>
      <c r="C2692" s="283" t="str">
        <f>IFERROR(__xludf.DUMMYFUNCTION("""COMPUTED_VALUE"""),"https://www.tiktok.com/@nayannazz")</f>
        <v>https://www.tiktok.com/@nayannazz</v>
      </c>
      <c r="D2692" s="273">
        <f>IFERROR(__xludf.DUMMYFUNCTION("""COMPUTED_VALUE"""),8.95402393803E11)</f>
        <v>895402393803</v>
      </c>
      <c r="E2692" s="458">
        <f>IFERROR(__xludf.DUMMYFUNCTION("""COMPUTED_VALUE"""),0.0)</f>
        <v>0</v>
      </c>
      <c r="F2692" s="273">
        <f>IFERROR(__xludf.DUMMYFUNCTION("""COMPUTED_VALUE"""),4.0)</f>
        <v>4</v>
      </c>
      <c r="G2692" t="str">
        <f>IFERROR(__xludf.DUMMYFUNCTION("""COMPUTED_VALUE"""),"Sabun batang 1 Box ( 2 PCS )")</f>
        <v>Sabun batang 1 Box ( 2 PCS )</v>
      </c>
      <c r="H2692" s="469"/>
      <c r="I2692" s="470"/>
      <c r="K2692" s="470"/>
      <c r="M2692" s="470"/>
      <c r="O2692" s="470"/>
    </row>
    <row r="2693">
      <c r="A2693" s="282" t="str">
        <f>IFERROR(__xludf.DUMMYFUNCTION("""COMPUTED_VALUE"""),"MICRO")</f>
        <v>MICRO</v>
      </c>
      <c r="B2693" s="468" t="str">
        <f>IFERROR(__xludf.DUMMYFUNCTION("""COMPUTED_VALUE"""),"taacutie2")</f>
        <v>taacutie2</v>
      </c>
      <c r="C2693" s="283" t="str">
        <f>IFERROR(__xludf.DUMMYFUNCTION("""COMPUTED_VALUE"""),"https://www.tiktok.com/@taacutie2")</f>
        <v>https://www.tiktok.com/@taacutie2</v>
      </c>
      <c r="D2693" s="273">
        <f>IFERROR(__xludf.DUMMYFUNCTION("""COMPUTED_VALUE"""),8.3119998859E10)</f>
        <v>83119998859</v>
      </c>
      <c r="E2693" s="458">
        <f>IFERROR(__xludf.DUMMYFUNCTION("""COMPUTED_VALUE"""),0.0)</f>
        <v>0</v>
      </c>
      <c r="F2693" s="273">
        <f>IFERROR(__xludf.DUMMYFUNCTION("""COMPUTED_VALUE"""),4.0)</f>
        <v>4</v>
      </c>
      <c r="G2693" t="str">
        <f>IFERROR(__xludf.DUMMYFUNCTION("""COMPUTED_VALUE"""),"Sabun batang 1 Box ( 2 PCS )")</f>
        <v>Sabun batang 1 Box ( 2 PCS )</v>
      </c>
      <c r="H2693" s="469"/>
      <c r="I2693" s="470"/>
      <c r="K2693" s="470"/>
      <c r="M2693" s="470"/>
      <c r="O2693" s="470"/>
    </row>
    <row r="2694">
      <c r="A2694" s="282" t="str">
        <f>IFERROR(__xludf.DUMMYFUNCTION("""COMPUTED_VALUE"""),"MICRO")</f>
        <v>MICRO</v>
      </c>
      <c r="B2694" s="468" t="str">
        <f>IFERROR(__xludf.DUMMYFUNCTION("""COMPUTED_VALUE"""),"siapa.yakk09")</f>
        <v>siapa.yakk09</v>
      </c>
      <c r="C2694" s="283" t="str">
        <f>IFERROR(__xludf.DUMMYFUNCTION("""COMPUTED_VALUE"""),"https://www.tiktok.com/@siapa.yakk09")</f>
        <v>https://www.tiktok.com/@siapa.yakk09</v>
      </c>
      <c r="D2694" s="273">
        <f>IFERROR(__xludf.DUMMYFUNCTION("""COMPUTED_VALUE"""),8.312166393E10)</f>
        <v>83121663930</v>
      </c>
      <c r="E2694" s="458">
        <f>IFERROR(__xludf.DUMMYFUNCTION("""COMPUTED_VALUE"""),0.0)</f>
        <v>0</v>
      </c>
      <c r="F2694" s="273">
        <f>IFERROR(__xludf.DUMMYFUNCTION("""COMPUTED_VALUE"""),4.0)</f>
        <v>4</v>
      </c>
      <c r="G2694" t="str">
        <f>IFERROR(__xludf.DUMMYFUNCTION("""COMPUTED_VALUE"""),"Sabun batang 1 Box ( 2 PCS )")</f>
        <v>Sabun batang 1 Box ( 2 PCS )</v>
      </c>
      <c r="H2694" s="469"/>
      <c r="I2694" s="470"/>
      <c r="K2694" s="470"/>
      <c r="M2694" s="470"/>
      <c r="O2694" s="470"/>
    </row>
    <row r="2695">
      <c r="A2695" s="282" t="str">
        <f>IFERROR(__xludf.DUMMYFUNCTION("""COMPUTED_VALUE"""),"MICRO")</f>
        <v>MICRO</v>
      </c>
      <c r="B2695" s="468" t="str">
        <f>IFERROR(__xludf.DUMMYFUNCTION("""COMPUTED_VALUE"""),"shofiyahzahrotul")</f>
        <v>shofiyahzahrotul</v>
      </c>
      <c r="C2695" s="283" t="str">
        <f>IFERROR(__xludf.DUMMYFUNCTION("""COMPUTED_VALUE"""),"https://www.tiktok.com/@shofiyahzahrotul")</f>
        <v>https://www.tiktok.com/@shofiyahzahrotul</v>
      </c>
      <c r="D2695" s="273">
        <f>IFERROR(__xludf.DUMMYFUNCTION("""COMPUTED_VALUE"""),8.8234315431E10)</f>
        <v>88234315431</v>
      </c>
      <c r="E2695" s="458">
        <f>IFERROR(__xludf.DUMMYFUNCTION("""COMPUTED_VALUE"""),0.0)</f>
        <v>0</v>
      </c>
      <c r="F2695" s="273">
        <f>IFERROR(__xludf.DUMMYFUNCTION("""COMPUTED_VALUE"""),4.0)</f>
        <v>4</v>
      </c>
      <c r="G2695" t="str">
        <f>IFERROR(__xludf.DUMMYFUNCTION("""COMPUTED_VALUE"""),"Sabun batang 1 Box ( 2 PCS )")</f>
        <v>Sabun batang 1 Box ( 2 PCS )</v>
      </c>
      <c r="H2695" s="469"/>
      <c r="I2695" s="470"/>
      <c r="K2695" s="470"/>
      <c r="M2695" s="470"/>
      <c r="O2695" s="470"/>
    </row>
    <row r="2696">
      <c r="A2696" s="282" t="str">
        <f>IFERROR(__xludf.DUMMYFUNCTION("""COMPUTED_VALUE"""),"MICRO")</f>
        <v>MICRO</v>
      </c>
      <c r="B2696" s="468" t="str">
        <f>IFERROR(__xludf.DUMMYFUNCTION("""COMPUTED_VALUE"""),"salsabilla_zea")</f>
        <v>salsabilla_zea</v>
      </c>
      <c r="C2696" s="283" t="str">
        <f>IFERROR(__xludf.DUMMYFUNCTION("""COMPUTED_VALUE"""),"https://www.tiktok.com/@salsabilla_zea")</f>
        <v>https://www.tiktok.com/@salsabilla_zea</v>
      </c>
      <c r="D2696" s="273">
        <f>IFERROR(__xludf.DUMMYFUNCTION("""COMPUTED_VALUE"""),8.95610427391E11)</f>
        <v>895610427391</v>
      </c>
      <c r="E2696" s="458">
        <f>IFERROR(__xludf.DUMMYFUNCTION("""COMPUTED_VALUE"""),0.0)</f>
        <v>0</v>
      </c>
      <c r="F2696" s="273">
        <f>IFERROR(__xludf.DUMMYFUNCTION("""COMPUTED_VALUE"""),4.0)</f>
        <v>4</v>
      </c>
      <c r="G2696" t="str">
        <f>IFERROR(__xludf.DUMMYFUNCTION("""COMPUTED_VALUE"""),"Sabun batang 1 Box ( 2 PCS )")</f>
        <v>Sabun batang 1 Box ( 2 PCS )</v>
      </c>
      <c r="H2696" s="469"/>
      <c r="I2696" s="470"/>
      <c r="K2696" s="470"/>
      <c r="M2696" s="470"/>
      <c r="O2696" s="470"/>
    </row>
    <row r="2697">
      <c r="A2697" s="282" t="str">
        <f>IFERROR(__xludf.DUMMYFUNCTION("""COMPUTED_VALUE"""),"MICRO")</f>
        <v>MICRO</v>
      </c>
      <c r="B2697" s="468" t="str">
        <f>IFERROR(__xludf.DUMMYFUNCTION("""COMPUTED_VALUE"""),"rahasiaaaaa_706")</f>
        <v>rahasiaaaaa_706</v>
      </c>
      <c r="C2697" s="283" t="str">
        <f>IFERROR(__xludf.DUMMYFUNCTION("""COMPUTED_VALUE"""),"https://www.tiktok.com/@rahasiaaaaa_706")</f>
        <v>https://www.tiktok.com/@rahasiaaaaa_706</v>
      </c>
      <c r="D2697" s="273">
        <f>IFERROR(__xludf.DUMMYFUNCTION("""COMPUTED_VALUE"""),8.2313291884E10)</f>
        <v>82313291884</v>
      </c>
      <c r="E2697" s="458">
        <f>IFERROR(__xludf.DUMMYFUNCTION("""COMPUTED_VALUE"""),0.0)</f>
        <v>0</v>
      </c>
      <c r="F2697" s="273">
        <f>IFERROR(__xludf.DUMMYFUNCTION("""COMPUTED_VALUE"""),4.0)</f>
        <v>4</v>
      </c>
      <c r="G2697" t="str">
        <f>IFERROR(__xludf.DUMMYFUNCTION("""COMPUTED_VALUE"""),"Sabun batang 1 Box ( 2 PCS )")</f>
        <v>Sabun batang 1 Box ( 2 PCS )</v>
      </c>
      <c r="H2697" s="469"/>
      <c r="I2697" s="470"/>
      <c r="K2697" s="470"/>
      <c r="M2697" s="470"/>
      <c r="O2697" s="470"/>
    </row>
    <row r="2698">
      <c r="A2698" s="282" t="str">
        <f>IFERROR(__xludf.DUMMYFUNCTION("""COMPUTED_VALUE"""),"MICRO")</f>
        <v>MICRO</v>
      </c>
      <c r="B2698" s="468" t="str">
        <f>IFERROR(__xludf.DUMMYFUNCTION("""COMPUTED_VALUE"""),"madebyzars")</f>
        <v>madebyzars</v>
      </c>
      <c r="C2698" s="283" t="str">
        <f>IFERROR(__xludf.DUMMYFUNCTION("""COMPUTED_VALUE"""),"https://www.tiktok.com/@madebyzars")</f>
        <v>https://www.tiktok.com/@madebyzars</v>
      </c>
      <c r="D2698" s="273">
        <f>IFERROR(__xludf.DUMMYFUNCTION("""COMPUTED_VALUE"""),8.95405440246E11)</f>
        <v>895405440246</v>
      </c>
      <c r="E2698" s="458">
        <f>IFERROR(__xludf.DUMMYFUNCTION("""COMPUTED_VALUE"""),0.0)</f>
        <v>0</v>
      </c>
      <c r="F2698" s="273">
        <f>IFERROR(__xludf.DUMMYFUNCTION("""COMPUTED_VALUE"""),4.0)</f>
        <v>4</v>
      </c>
      <c r="G2698" t="str">
        <f>IFERROR(__xludf.DUMMYFUNCTION("""COMPUTED_VALUE"""),"Sabun batang 1 Box ( 2 PCS )")</f>
        <v>Sabun batang 1 Box ( 2 PCS )</v>
      </c>
      <c r="H2698" s="469"/>
      <c r="I2698" s="470"/>
      <c r="K2698" s="470"/>
      <c r="M2698" s="470"/>
      <c r="O2698" s="470"/>
    </row>
    <row r="2699">
      <c r="A2699" s="282" t="str">
        <f>IFERROR(__xludf.DUMMYFUNCTION("""COMPUTED_VALUE"""),"MICRO")</f>
        <v>MICRO</v>
      </c>
      <c r="B2699" s="468" t="str">
        <f>IFERROR(__xludf.DUMMYFUNCTION("""COMPUTED_VALUE"""),"akutidakmudahjatuh")</f>
        <v>akutidakmudahjatuh</v>
      </c>
      <c r="C2699" s="283" t="str">
        <f>IFERROR(__xludf.DUMMYFUNCTION("""COMPUTED_VALUE"""),"https://www.tiktok.com/@akutidakmudahjatuh")</f>
        <v>https://www.tiktok.com/@akutidakmudahjatuh</v>
      </c>
      <c r="D2699" s="273">
        <f>IFERROR(__xludf.DUMMYFUNCTION("""COMPUTED_VALUE"""),8.5896112311E10)</f>
        <v>85896112311</v>
      </c>
      <c r="E2699" s="458">
        <f>IFERROR(__xludf.DUMMYFUNCTION("""COMPUTED_VALUE"""),0.0)</f>
        <v>0</v>
      </c>
      <c r="F2699" s="273">
        <f>IFERROR(__xludf.DUMMYFUNCTION("""COMPUTED_VALUE"""),2.0)</f>
        <v>2</v>
      </c>
      <c r="G2699" t="str">
        <f>IFERROR(__xludf.DUMMYFUNCTION("""COMPUTED_VALUE"""),"Sabun batang 1 Box ( 2 PCS )")</f>
        <v>Sabun batang 1 Box ( 2 PCS )</v>
      </c>
      <c r="H2699" s="469"/>
      <c r="I2699" s="470"/>
      <c r="K2699" s="470"/>
      <c r="M2699" s="470"/>
      <c r="O2699" s="470"/>
    </row>
    <row r="2700">
      <c r="A2700" s="282" t="str">
        <f>IFERROR(__xludf.DUMMYFUNCTION("""COMPUTED_VALUE"""),"MICRO")</f>
        <v>MICRO</v>
      </c>
      <c r="B2700" s="468" t="str">
        <f>IFERROR(__xludf.DUMMYFUNCTION("""COMPUTED_VALUE"""),"riayulianti1406")</f>
        <v>riayulianti1406</v>
      </c>
      <c r="C2700" s="283" t="str">
        <f>IFERROR(__xludf.DUMMYFUNCTION("""COMPUTED_VALUE"""),"https://www.tiktok.com/@riayulianti1406")</f>
        <v>https://www.tiktok.com/@riayulianti1406</v>
      </c>
      <c r="D2700" s="273">
        <f>IFERROR(__xludf.DUMMYFUNCTION("""COMPUTED_VALUE"""),8.95358369741E11)</f>
        <v>895358369741</v>
      </c>
      <c r="E2700" s="458">
        <f>IFERROR(__xludf.DUMMYFUNCTION("""COMPUTED_VALUE"""),0.0)</f>
        <v>0</v>
      </c>
      <c r="F2700" s="273">
        <f>IFERROR(__xludf.DUMMYFUNCTION("""COMPUTED_VALUE"""),4.0)</f>
        <v>4</v>
      </c>
      <c r="G2700" t="str">
        <f>IFERROR(__xludf.DUMMYFUNCTION("""COMPUTED_VALUE"""),"Sabun batang 1 Box ( 2 PCS )")</f>
        <v>Sabun batang 1 Box ( 2 PCS )</v>
      </c>
      <c r="H2700" s="469"/>
      <c r="I2700" s="470"/>
      <c r="K2700" s="470"/>
      <c r="M2700" s="470"/>
      <c r="O2700" s="470"/>
    </row>
    <row r="2701">
      <c r="A2701" s="282" t="str">
        <f>IFERROR(__xludf.DUMMYFUNCTION("""COMPUTED_VALUE"""),"MICRO")</f>
        <v>MICRO</v>
      </c>
      <c r="B2701" s="468" t="str">
        <f>IFERROR(__xludf.DUMMYFUNCTION("""COMPUTED_VALUE"""),"spillskincare070")</f>
        <v>spillskincare070</v>
      </c>
      <c r="C2701" s="283" t="str">
        <f>IFERROR(__xludf.DUMMYFUNCTION("""COMPUTED_VALUE"""),"https://www.tiktok.com/@spillskincare070")</f>
        <v>https://www.tiktok.com/@spillskincare070</v>
      </c>
      <c r="D2701" s="273">
        <f>IFERROR(__xludf.DUMMYFUNCTION("""COMPUTED_VALUE"""),8.3845592001E10)</f>
        <v>83845592001</v>
      </c>
      <c r="E2701" s="458">
        <f>IFERROR(__xludf.DUMMYFUNCTION("""COMPUTED_VALUE"""),0.0)</f>
        <v>0</v>
      </c>
      <c r="F2701" s="273">
        <f>IFERROR(__xludf.DUMMYFUNCTION("""COMPUTED_VALUE"""),4.0)</f>
        <v>4</v>
      </c>
      <c r="G2701" t="str">
        <f>IFERROR(__xludf.DUMMYFUNCTION("""COMPUTED_VALUE"""),"Sabun batang 1 Box ( 2 PCS )")</f>
        <v>Sabun batang 1 Box ( 2 PCS )</v>
      </c>
      <c r="H2701" s="469"/>
      <c r="I2701" s="470"/>
      <c r="K2701" s="470"/>
      <c r="M2701" s="470"/>
      <c r="O2701" s="470"/>
    </row>
    <row r="2702">
      <c r="A2702" s="282" t="str">
        <f>IFERROR(__xludf.DUMMYFUNCTION("""COMPUTED_VALUE"""),"MICRO")</f>
        <v>MICRO</v>
      </c>
      <c r="B2702" s="468" t="str">
        <f>IFERROR(__xludf.DUMMYFUNCTION("""COMPUTED_VALUE"""),"queen.ha2")</f>
        <v>queen.ha2</v>
      </c>
      <c r="C2702" s="283" t="str">
        <f>IFERROR(__xludf.DUMMYFUNCTION("""COMPUTED_VALUE"""),"https://www.tiktok.com/@queen.ha2")</f>
        <v>https://www.tiktok.com/@queen.ha2</v>
      </c>
      <c r="D2702" s="273">
        <f>IFERROR(__xludf.DUMMYFUNCTION("""COMPUTED_VALUE"""),8.2297555925E10)</f>
        <v>82297555925</v>
      </c>
      <c r="E2702" s="458">
        <f>IFERROR(__xludf.DUMMYFUNCTION("""COMPUTED_VALUE"""),0.0)</f>
        <v>0</v>
      </c>
      <c r="F2702" s="273">
        <f>IFERROR(__xludf.DUMMYFUNCTION("""COMPUTED_VALUE"""),4.0)</f>
        <v>4</v>
      </c>
      <c r="G2702" t="str">
        <f>IFERROR(__xludf.DUMMYFUNCTION("""COMPUTED_VALUE"""),"Sabun batang 1 Box ( 2 PCS )")</f>
        <v>Sabun batang 1 Box ( 2 PCS )</v>
      </c>
      <c r="H2702" s="469"/>
      <c r="I2702" s="470"/>
      <c r="K2702" s="470"/>
      <c r="M2702" s="470"/>
      <c r="O2702" s="470"/>
    </row>
    <row r="2703">
      <c r="A2703" s="282" t="str">
        <f>IFERROR(__xludf.DUMMYFUNCTION("""COMPUTED_VALUE"""),"MICRO")</f>
        <v>MICRO</v>
      </c>
      <c r="B2703" s="468" t="str">
        <f>IFERROR(__xludf.DUMMYFUNCTION("""COMPUTED_VALUE"""),"aaaaaamaliiaaa")</f>
        <v>aaaaaamaliiaaa</v>
      </c>
      <c r="C2703" s="283" t="str">
        <f>IFERROR(__xludf.DUMMYFUNCTION("""COMPUTED_VALUE"""),"https://www.tiktok.com/@aaaaaamaliiaaa")</f>
        <v>https://www.tiktok.com/@aaaaaamaliiaaa</v>
      </c>
      <c r="D2703" s="273">
        <f>IFERROR(__xludf.DUMMYFUNCTION("""COMPUTED_VALUE"""),8.82000011574E11)</f>
        <v>882000011574</v>
      </c>
      <c r="E2703" s="458">
        <f>IFERROR(__xludf.DUMMYFUNCTION("""COMPUTED_VALUE"""),0.0)</f>
        <v>0</v>
      </c>
      <c r="F2703" s="273">
        <f>IFERROR(__xludf.DUMMYFUNCTION("""COMPUTED_VALUE"""),4.0)</f>
        <v>4</v>
      </c>
      <c r="G2703" t="str">
        <f>IFERROR(__xludf.DUMMYFUNCTION("""COMPUTED_VALUE"""),"Sabun batang 1 Box ( 2 PCS )")</f>
        <v>Sabun batang 1 Box ( 2 PCS )</v>
      </c>
      <c r="H2703" s="469"/>
      <c r="I2703" s="470"/>
      <c r="K2703" s="470"/>
      <c r="M2703" s="470"/>
      <c r="O2703" s="470"/>
    </row>
    <row r="2704">
      <c r="A2704" s="282" t="str">
        <f>IFERROR(__xludf.DUMMYFUNCTION("""COMPUTED_VALUE"""),"MICRO")</f>
        <v>MICRO</v>
      </c>
      <c r="B2704" s="468" t="str">
        <f>IFERROR(__xludf.DUMMYFUNCTION("""COMPUTED_VALUE"""),"spill.byzee")</f>
        <v>spill.byzee</v>
      </c>
      <c r="C2704" s="283" t="str">
        <f>IFERROR(__xludf.DUMMYFUNCTION("""COMPUTED_VALUE"""),"https://www.tiktok.com/@spill.byzee")</f>
        <v>https://www.tiktok.com/@spill.byzee</v>
      </c>
      <c r="D2704" s="273">
        <f>IFERROR(__xludf.DUMMYFUNCTION("""COMPUTED_VALUE"""),8.95320684785E11)</f>
        <v>895320684785</v>
      </c>
      <c r="E2704" s="458">
        <f>IFERROR(__xludf.DUMMYFUNCTION("""COMPUTED_VALUE"""),0.0)</f>
        <v>0</v>
      </c>
      <c r="F2704" s="273">
        <f>IFERROR(__xludf.DUMMYFUNCTION("""COMPUTED_VALUE"""),4.0)</f>
        <v>4</v>
      </c>
      <c r="G2704" t="str">
        <f>IFERROR(__xludf.DUMMYFUNCTION("""COMPUTED_VALUE"""),"Sabun batang 1 Box ( 2 PCS )")</f>
        <v>Sabun batang 1 Box ( 2 PCS )</v>
      </c>
      <c r="H2704" s="469"/>
      <c r="I2704" s="470"/>
      <c r="K2704" s="470"/>
      <c r="M2704" s="470"/>
      <c r="O2704" s="470"/>
    </row>
    <row r="2705">
      <c r="A2705" s="282" t="str">
        <f>IFERROR(__xludf.DUMMYFUNCTION("""COMPUTED_VALUE"""),"MICRO")</f>
        <v>MICRO</v>
      </c>
      <c r="B2705" s="468" t="str">
        <f>IFERROR(__xludf.DUMMYFUNCTION("""COMPUTED_VALUE"""),"xxra5758")</f>
        <v>xxra5758</v>
      </c>
      <c r="C2705" s="283" t="str">
        <f>IFERROR(__xludf.DUMMYFUNCTION("""COMPUTED_VALUE"""),"https://www.tiktok.com/@xxra5758")</f>
        <v>https://www.tiktok.com/@xxra5758</v>
      </c>
      <c r="D2705" s="273">
        <f>IFERROR(__xludf.DUMMYFUNCTION("""COMPUTED_VALUE"""),8.95015514E10)</f>
        <v>89501551400</v>
      </c>
      <c r="E2705" s="458">
        <f>IFERROR(__xludf.DUMMYFUNCTION("""COMPUTED_VALUE"""),0.0)</f>
        <v>0</v>
      </c>
      <c r="F2705" s="273">
        <f>IFERROR(__xludf.DUMMYFUNCTION("""COMPUTED_VALUE"""),4.0)</f>
        <v>4</v>
      </c>
      <c r="G2705" t="str">
        <f>IFERROR(__xludf.DUMMYFUNCTION("""COMPUTED_VALUE"""),"Sabun batang 1 Box ( 2 PCS )")</f>
        <v>Sabun batang 1 Box ( 2 PCS )</v>
      </c>
      <c r="H2705" s="469"/>
      <c r="I2705" s="470"/>
      <c r="K2705" s="470"/>
      <c r="M2705" s="470"/>
      <c r="O2705" s="470"/>
    </row>
    <row r="2706">
      <c r="A2706" s="282" t="str">
        <f>IFERROR(__xludf.DUMMYFUNCTION("""COMPUTED_VALUE"""),"MICRO")</f>
        <v>MICRO</v>
      </c>
      <c r="B2706" s="468" t="str">
        <f>IFERROR(__xludf.DUMMYFUNCTION("""COMPUTED_VALUE"""),"2nd.hael")</f>
        <v>2nd.hael</v>
      </c>
      <c r="C2706" s="283" t="str">
        <f>IFERROR(__xludf.DUMMYFUNCTION("""COMPUTED_VALUE"""),"https://www.tiktok.com/@2nd.hael")</f>
        <v>https://www.tiktok.com/@2nd.hael</v>
      </c>
      <c r="D2706" s="273">
        <f>IFERROR(__xludf.DUMMYFUNCTION("""COMPUTED_VALUE"""),8.1226897721E10)</f>
        <v>81226897721</v>
      </c>
      <c r="E2706" s="458">
        <f>IFERROR(__xludf.DUMMYFUNCTION("""COMPUTED_VALUE"""),0.0)</f>
        <v>0</v>
      </c>
      <c r="F2706" s="273">
        <f>IFERROR(__xludf.DUMMYFUNCTION("""COMPUTED_VALUE"""),4.0)</f>
        <v>4</v>
      </c>
      <c r="G2706" t="str">
        <f>IFERROR(__xludf.DUMMYFUNCTION("""COMPUTED_VALUE"""),"Sabun batang 1 Box ( 2 PCS )")</f>
        <v>Sabun batang 1 Box ( 2 PCS )</v>
      </c>
      <c r="H2706" s="469"/>
      <c r="I2706" s="470"/>
      <c r="K2706" s="470"/>
      <c r="M2706" s="470"/>
      <c r="O2706" s="470"/>
    </row>
    <row r="2707">
      <c r="A2707" s="282" t="str">
        <f>IFERROR(__xludf.DUMMYFUNCTION("""COMPUTED_VALUE"""),"MICRO")</f>
        <v>MICRO</v>
      </c>
      <c r="B2707" s="468" t="str">
        <f>IFERROR(__xludf.DUMMYFUNCTION("""COMPUTED_VALUE"""),"sofaamarwahh")</f>
        <v>sofaamarwahh</v>
      </c>
      <c r="C2707" s="283" t="str">
        <f>IFERROR(__xludf.DUMMYFUNCTION("""COMPUTED_VALUE"""),"https://www.tiktok.com/@sofaamarwahh")</f>
        <v>https://www.tiktok.com/@sofaamarwahh</v>
      </c>
      <c r="D2707" s="273">
        <f>IFERROR(__xludf.DUMMYFUNCTION("""COMPUTED_VALUE"""),8.2316479074E10)</f>
        <v>82316479074</v>
      </c>
      <c r="E2707" s="458">
        <f>IFERROR(__xludf.DUMMYFUNCTION("""COMPUTED_VALUE"""),0.0)</f>
        <v>0</v>
      </c>
      <c r="F2707" s="273">
        <f>IFERROR(__xludf.DUMMYFUNCTION("""COMPUTED_VALUE"""),4.0)</f>
        <v>4</v>
      </c>
      <c r="G2707" t="str">
        <f>IFERROR(__xludf.DUMMYFUNCTION("""COMPUTED_VALUE"""),"Sabun batang 1 Box ( 2 PCS )")</f>
        <v>Sabun batang 1 Box ( 2 PCS )</v>
      </c>
      <c r="H2707" s="469"/>
      <c r="I2707" s="470"/>
      <c r="K2707" s="470"/>
      <c r="M2707" s="470"/>
      <c r="O2707" s="470"/>
    </row>
    <row r="2708">
      <c r="A2708" s="282" t="str">
        <f>IFERROR(__xludf.DUMMYFUNCTION("""COMPUTED_VALUE"""),"MICRO")</f>
        <v>MICRO</v>
      </c>
      <c r="B2708" s="468" t="str">
        <f>IFERROR(__xludf.DUMMYFUNCTION("""COMPUTED_VALUE"""),"astifidy")</f>
        <v>astifidy</v>
      </c>
      <c r="C2708" s="283" t="str">
        <f>IFERROR(__xludf.DUMMYFUNCTION("""COMPUTED_VALUE"""),"https://www.tiktok.com/@astifidy")</f>
        <v>https://www.tiktok.com/@astifidy</v>
      </c>
      <c r="D2708" s="273">
        <f>IFERROR(__xludf.DUMMYFUNCTION("""COMPUTED_VALUE"""),8.1290335129E10)</f>
        <v>81290335129</v>
      </c>
      <c r="E2708" s="458">
        <f>IFERROR(__xludf.DUMMYFUNCTION("""COMPUTED_VALUE"""),0.0)</f>
        <v>0</v>
      </c>
      <c r="F2708" s="273">
        <f>IFERROR(__xludf.DUMMYFUNCTION("""COMPUTED_VALUE"""),4.0)</f>
        <v>4</v>
      </c>
      <c r="G2708" t="str">
        <f>IFERROR(__xludf.DUMMYFUNCTION("""COMPUTED_VALUE"""),"Sabun batang 1 Box ( 2 PCS )")</f>
        <v>Sabun batang 1 Box ( 2 PCS )</v>
      </c>
      <c r="H2708" s="469"/>
      <c r="I2708" s="470"/>
      <c r="K2708" s="470"/>
      <c r="M2708" s="470"/>
      <c r="O2708" s="470"/>
    </row>
    <row r="2709">
      <c r="A2709" s="282" t="str">
        <f>IFERROR(__xludf.DUMMYFUNCTION("""COMPUTED_VALUE"""),"MICRO")</f>
        <v>MICRO</v>
      </c>
      <c r="B2709" s="468" t="str">
        <f>IFERROR(__xludf.DUMMYFUNCTION("""COMPUTED_VALUE"""),"cikacikoo_")</f>
        <v>cikacikoo_</v>
      </c>
      <c r="C2709" s="283" t="str">
        <f>IFERROR(__xludf.DUMMYFUNCTION("""COMPUTED_VALUE"""),"https://www.tiktok.com/@cikacikoo_")</f>
        <v>https://www.tiktok.com/@cikacikoo_</v>
      </c>
      <c r="D2709" s="273">
        <f>IFERROR(__xludf.DUMMYFUNCTION("""COMPUTED_VALUE"""),8.95384982066E11)</f>
        <v>895384982066</v>
      </c>
      <c r="E2709" s="458">
        <f>IFERROR(__xludf.DUMMYFUNCTION("""COMPUTED_VALUE"""),0.0)</f>
        <v>0</v>
      </c>
      <c r="F2709" s="273">
        <f>IFERROR(__xludf.DUMMYFUNCTION("""COMPUTED_VALUE"""),4.0)</f>
        <v>4</v>
      </c>
      <c r="G2709" t="str">
        <f>IFERROR(__xludf.DUMMYFUNCTION("""COMPUTED_VALUE"""),"Sabun batang 1 Box ( 2 PCS )")</f>
        <v>Sabun batang 1 Box ( 2 PCS )</v>
      </c>
      <c r="H2709" s="469"/>
      <c r="I2709" s="470"/>
      <c r="K2709" s="470"/>
      <c r="M2709" s="470"/>
      <c r="O2709" s="470"/>
    </row>
    <row r="2710">
      <c r="A2710" s="282" t="str">
        <f>IFERROR(__xludf.DUMMYFUNCTION("""COMPUTED_VALUE"""),"MICRO")</f>
        <v>MICRO</v>
      </c>
      <c r="B2710" s="468" t="str">
        <f>IFERROR(__xludf.DUMMYFUNCTION("""COMPUTED_VALUE"""),"taninyah667")</f>
        <v>taninyah667</v>
      </c>
      <c r="C2710" s="283" t="str">
        <f>IFERROR(__xludf.DUMMYFUNCTION("""COMPUTED_VALUE"""),"https://www.tiktok.com/@taninyah667")</f>
        <v>https://www.tiktok.com/@taninyah667</v>
      </c>
      <c r="D2710" s="273">
        <f>IFERROR(__xludf.DUMMYFUNCTION("""COMPUTED_VALUE"""),8.1549126402E10)</f>
        <v>81549126402</v>
      </c>
      <c r="E2710" s="458">
        <f>IFERROR(__xludf.DUMMYFUNCTION("""COMPUTED_VALUE"""),0.0)</f>
        <v>0</v>
      </c>
      <c r="F2710" s="273">
        <f>IFERROR(__xludf.DUMMYFUNCTION("""COMPUTED_VALUE"""),4.0)</f>
        <v>4</v>
      </c>
      <c r="G2710" t="str">
        <f>IFERROR(__xludf.DUMMYFUNCTION("""COMPUTED_VALUE"""),"Sabun batang 1 Box ( 2 PCS )")</f>
        <v>Sabun batang 1 Box ( 2 PCS )</v>
      </c>
      <c r="H2710" s="469"/>
      <c r="I2710" s="470"/>
      <c r="K2710" s="470"/>
      <c r="M2710" s="470"/>
      <c r="O2710" s="470"/>
    </row>
    <row r="2711">
      <c r="A2711" s="282" t="str">
        <f>IFERROR(__xludf.DUMMYFUNCTION("""COMPUTED_VALUE"""),"MICRO")</f>
        <v>MICRO</v>
      </c>
      <c r="B2711" s="468" t="str">
        <f>IFERROR(__xludf.DUMMYFUNCTION("""COMPUTED_VALUE"""),"skincare.outfit03")</f>
        <v>skincare.outfit03</v>
      </c>
      <c r="C2711" s="283" t="str">
        <f>IFERROR(__xludf.DUMMYFUNCTION("""COMPUTED_VALUE"""),"https://www.tiktok.com/@skincare.outfit03")</f>
        <v>https://www.tiktok.com/@skincare.outfit03</v>
      </c>
      <c r="D2711" s="273">
        <f>IFERROR(__xludf.DUMMYFUNCTION("""COMPUTED_VALUE"""),8.576323633E10)</f>
        <v>85763236330</v>
      </c>
      <c r="E2711" s="458">
        <f>IFERROR(__xludf.DUMMYFUNCTION("""COMPUTED_VALUE"""),0.0)</f>
        <v>0</v>
      </c>
      <c r="F2711" s="273">
        <f>IFERROR(__xludf.DUMMYFUNCTION("""COMPUTED_VALUE"""),4.0)</f>
        <v>4</v>
      </c>
      <c r="G2711" t="str">
        <f>IFERROR(__xludf.DUMMYFUNCTION("""COMPUTED_VALUE"""),"Sabun batang 1 Box ( 2 PCS )")</f>
        <v>Sabun batang 1 Box ( 2 PCS )</v>
      </c>
      <c r="H2711" s="469"/>
      <c r="I2711" s="470"/>
      <c r="K2711" s="470"/>
      <c r="M2711" s="470"/>
      <c r="O2711" s="470"/>
    </row>
    <row r="2712">
      <c r="A2712" s="282" t="str">
        <f>IFERROR(__xludf.DUMMYFUNCTION("""COMPUTED_VALUE"""),"MICRO")</f>
        <v>MICRO</v>
      </c>
      <c r="B2712" s="468" t="str">
        <f>IFERROR(__xludf.DUMMYFUNCTION("""COMPUTED_VALUE"""),"r.a.n.y_17")</f>
        <v>r.a.n.y_17</v>
      </c>
      <c r="C2712" s="283" t="str">
        <f>IFERROR(__xludf.DUMMYFUNCTION("""COMPUTED_VALUE"""),"https://www.tiktok.com/@r.a.n.y_17")</f>
        <v>https://www.tiktok.com/@r.a.n.y_17</v>
      </c>
      <c r="D2712" s="273">
        <f>IFERROR(__xludf.DUMMYFUNCTION("""COMPUTED_VALUE"""),8.222905647E10)</f>
        <v>82229056470</v>
      </c>
      <c r="E2712" s="458">
        <f>IFERROR(__xludf.DUMMYFUNCTION("""COMPUTED_VALUE"""),0.0)</f>
        <v>0</v>
      </c>
      <c r="F2712" s="273">
        <f>IFERROR(__xludf.DUMMYFUNCTION("""COMPUTED_VALUE"""),4.0)</f>
        <v>4</v>
      </c>
      <c r="G2712" t="str">
        <f>IFERROR(__xludf.DUMMYFUNCTION("""COMPUTED_VALUE"""),"Sabun batang 1 Box ( 2 PCS )")</f>
        <v>Sabun batang 1 Box ( 2 PCS )</v>
      </c>
      <c r="H2712" s="469"/>
      <c r="I2712" s="470"/>
      <c r="K2712" s="470"/>
      <c r="M2712" s="470"/>
      <c r="O2712" s="470"/>
    </row>
    <row r="2713">
      <c r="A2713" s="282" t="str">
        <f>IFERROR(__xludf.DUMMYFUNCTION("""COMPUTED_VALUE"""),"MICRO")</f>
        <v>MICRO</v>
      </c>
      <c r="B2713" s="468" t="str">
        <f>IFERROR(__xludf.DUMMYFUNCTION("""COMPUTED_VALUE"""),"skinestishop")</f>
        <v>skinestishop</v>
      </c>
      <c r="C2713" s="283" t="str">
        <f>IFERROR(__xludf.DUMMYFUNCTION("""COMPUTED_VALUE"""),"https://www.tiktok.com/@skinestishop")</f>
        <v>https://www.tiktok.com/@skinestishop</v>
      </c>
      <c r="D2713" s="273">
        <f>IFERROR(__xludf.DUMMYFUNCTION("""COMPUTED_VALUE"""),8.5712657235E10)</f>
        <v>85712657235</v>
      </c>
      <c r="E2713" s="458">
        <f>IFERROR(__xludf.DUMMYFUNCTION("""COMPUTED_VALUE"""),0.0)</f>
        <v>0</v>
      </c>
      <c r="F2713" s="273">
        <f>IFERROR(__xludf.DUMMYFUNCTION("""COMPUTED_VALUE"""),4.0)</f>
        <v>4</v>
      </c>
      <c r="G2713" t="str">
        <f>IFERROR(__xludf.DUMMYFUNCTION("""COMPUTED_VALUE"""),"Sabun batang 1 Box ( 2 PCS )")</f>
        <v>Sabun batang 1 Box ( 2 PCS )</v>
      </c>
      <c r="H2713" s="469"/>
      <c r="I2713" s="470"/>
      <c r="K2713" s="470"/>
      <c r="M2713" s="470"/>
      <c r="O2713" s="470"/>
    </row>
    <row r="2714">
      <c r="A2714" s="282" t="str">
        <f>IFERROR(__xludf.DUMMYFUNCTION("""COMPUTED_VALUE"""),"MICRO")</f>
        <v>MICRO</v>
      </c>
      <c r="B2714" s="468" t="str">
        <f>IFERROR(__xludf.DUMMYFUNCTION("""COMPUTED_VALUE"""),"larasratna2593")</f>
        <v>larasratna2593</v>
      </c>
      <c r="C2714" s="283" t="str">
        <f>IFERROR(__xludf.DUMMYFUNCTION("""COMPUTED_VALUE"""),"https://www.tiktok.com/@larasratna2593")</f>
        <v>https://www.tiktok.com/@larasratna2593</v>
      </c>
      <c r="D2714" s="273">
        <f>IFERROR(__xludf.DUMMYFUNCTION("""COMPUTED_VALUE"""),8.5721093606E10)</f>
        <v>85721093606</v>
      </c>
      <c r="E2714" s="458">
        <f>IFERROR(__xludf.DUMMYFUNCTION("""COMPUTED_VALUE"""),0.0)</f>
        <v>0</v>
      </c>
      <c r="F2714" s="273">
        <f>IFERROR(__xludf.DUMMYFUNCTION("""COMPUTED_VALUE"""),4.0)</f>
        <v>4</v>
      </c>
      <c r="G2714" t="str">
        <f>IFERROR(__xludf.DUMMYFUNCTION("""COMPUTED_VALUE"""),"Sabun batang 1 Box ( 2 PCS )")</f>
        <v>Sabun batang 1 Box ( 2 PCS )</v>
      </c>
      <c r="H2714" s="469"/>
      <c r="I2714" s="470"/>
      <c r="K2714" s="470"/>
      <c r="M2714" s="470"/>
      <c r="O2714" s="470"/>
    </row>
    <row r="2715">
      <c r="A2715" s="282" t="str">
        <f>IFERROR(__xludf.DUMMYFUNCTION("""COMPUTED_VALUE"""),"MICRO")</f>
        <v>MICRO</v>
      </c>
      <c r="B2715" s="468" t="str">
        <f>IFERROR(__xludf.DUMMYFUNCTION("""COMPUTED_VALUE"""),".bbluwberys_")</f>
        <v>.bbluwberys_</v>
      </c>
      <c r="C2715" s="283" t="str">
        <f>IFERROR(__xludf.DUMMYFUNCTION("""COMPUTED_VALUE"""),"https://www.tiktok.com/@.bbluwberys_")</f>
        <v>https://www.tiktok.com/@.bbluwberys_</v>
      </c>
      <c r="D2715" s="273">
        <f>IFERROR(__xludf.DUMMYFUNCTION("""COMPUTED_VALUE"""),8.814582464E9)</f>
        <v>8814582464</v>
      </c>
      <c r="E2715" s="458">
        <f>IFERROR(__xludf.DUMMYFUNCTION("""COMPUTED_VALUE"""),0.0)</f>
        <v>0</v>
      </c>
      <c r="F2715" s="273">
        <f>IFERROR(__xludf.DUMMYFUNCTION("""COMPUTED_VALUE"""),4.0)</f>
        <v>4</v>
      </c>
      <c r="G2715" t="str">
        <f>IFERROR(__xludf.DUMMYFUNCTION("""COMPUTED_VALUE"""),"Sabun batang 1 Box ( 2 PCS )")</f>
        <v>Sabun batang 1 Box ( 2 PCS )</v>
      </c>
      <c r="H2715" s="469"/>
      <c r="I2715" s="470"/>
      <c r="K2715" s="470"/>
      <c r="M2715" s="470"/>
      <c r="O2715" s="470"/>
    </row>
    <row r="2716">
      <c r="A2716" s="282" t="str">
        <f>IFERROR(__xludf.DUMMYFUNCTION("""COMPUTED_VALUE"""),"MICRO")</f>
        <v>MICRO</v>
      </c>
      <c r="B2716" s="468" t="str">
        <f>IFERROR(__xludf.DUMMYFUNCTION("""COMPUTED_VALUE"""),"meilizaberlianty")</f>
        <v>meilizaberlianty</v>
      </c>
      <c r="C2716" s="283" t="str">
        <f>IFERROR(__xludf.DUMMYFUNCTION("""COMPUTED_VALUE"""),"https://www.tiktok.com/@meilizaberlianty")</f>
        <v>https://www.tiktok.com/@meilizaberlianty</v>
      </c>
      <c r="D2716" s="273">
        <f>IFERROR(__xludf.DUMMYFUNCTION("""COMPUTED_VALUE"""),8.95379958404E11)</f>
        <v>895379958404</v>
      </c>
      <c r="E2716" s="458">
        <f>IFERROR(__xludf.DUMMYFUNCTION("""COMPUTED_VALUE"""),0.0)</f>
        <v>0</v>
      </c>
      <c r="F2716" s="273">
        <f>IFERROR(__xludf.DUMMYFUNCTION("""COMPUTED_VALUE"""),4.0)</f>
        <v>4</v>
      </c>
      <c r="G2716" t="str">
        <f>IFERROR(__xludf.DUMMYFUNCTION("""COMPUTED_VALUE"""),"Sabun batang 1 Box ( 2 PCS )")</f>
        <v>Sabun batang 1 Box ( 2 PCS )</v>
      </c>
      <c r="H2716" s="469"/>
      <c r="I2716" s="470"/>
      <c r="K2716" s="470"/>
      <c r="M2716" s="470"/>
      <c r="O2716" s="470"/>
    </row>
    <row r="2717">
      <c r="A2717" s="282" t="str">
        <f>IFERROR(__xludf.DUMMYFUNCTION("""COMPUTED_VALUE"""),"MICRO")</f>
        <v>MICRO</v>
      </c>
      <c r="B2717" s="468" t="str">
        <f>IFERROR(__xludf.DUMMYFUNCTION("""COMPUTED_VALUE"""),"jujunulantari29")</f>
        <v>jujunulantari29</v>
      </c>
      <c r="C2717" s="283" t="str">
        <f>IFERROR(__xludf.DUMMYFUNCTION("""COMPUTED_VALUE"""),"https://www.tiktok.com/@jujunulantari29")</f>
        <v>https://www.tiktok.com/@jujunulantari29</v>
      </c>
      <c r="D2717" s="273">
        <f>IFERROR(__xludf.DUMMYFUNCTION("""COMPUTED_VALUE"""),8.2133826297E10)</f>
        <v>82133826297</v>
      </c>
      <c r="E2717" s="458">
        <f>IFERROR(__xludf.DUMMYFUNCTION("""COMPUTED_VALUE"""),0.0)</f>
        <v>0</v>
      </c>
      <c r="F2717" s="273">
        <f>IFERROR(__xludf.DUMMYFUNCTION("""COMPUTED_VALUE"""),4.0)</f>
        <v>4</v>
      </c>
      <c r="G2717" t="str">
        <f>IFERROR(__xludf.DUMMYFUNCTION("""COMPUTED_VALUE"""),"Sabun batang 1 Box ( 2 PCS )")</f>
        <v>Sabun batang 1 Box ( 2 PCS )</v>
      </c>
      <c r="H2717" s="469"/>
      <c r="I2717" s="470"/>
      <c r="K2717" s="470"/>
      <c r="M2717" s="470"/>
      <c r="O2717" s="470"/>
    </row>
    <row r="2718">
      <c r="A2718" s="282" t="str">
        <f>IFERROR(__xludf.DUMMYFUNCTION("""COMPUTED_VALUE"""),"MICRO")</f>
        <v>MICRO</v>
      </c>
      <c r="B2718" s="468" t="str">
        <f>IFERROR(__xludf.DUMMYFUNCTION("""COMPUTED_VALUE"""),"viktoria_anita")</f>
        <v>viktoria_anita</v>
      </c>
      <c r="C2718" s="283" t="str">
        <f>IFERROR(__xludf.DUMMYFUNCTION("""COMPUTED_VALUE"""),"https://www.tiktok.com/@viktoria_anita")</f>
        <v>https://www.tiktok.com/@viktoria_anita</v>
      </c>
      <c r="D2718" s="273">
        <f>IFERROR(__xludf.DUMMYFUNCTION("""COMPUTED_VALUE"""),8.95337071456E11)</f>
        <v>895337071456</v>
      </c>
      <c r="E2718" s="458">
        <f>IFERROR(__xludf.DUMMYFUNCTION("""COMPUTED_VALUE"""),0.0)</f>
        <v>0</v>
      </c>
      <c r="F2718" s="273">
        <f>IFERROR(__xludf.DUMMYFUNCTION("""COMPUTED_VALUE"""),4.0)</f>
        <v>4</v>
      </c>
      <c r="G2718" t="str">
        <f>IFERROR(__xludf.DUMMYFUNCTION("""COMPUTED_VALUE"""),"Sabun batang 1 Box ( 2 PCS )")</f>
        <v>Sabun batang 1 Box ( 2 PCS )</v>
      </c>
      <c r="H2718" s="469"/>
      <c r="I2718" s="470"/>
      <c r="K2718" s="470"/>
      <c r="M2718" s="470"/>
      <c r="O2718" s="470"/>
    </row>
    <row r="2719">
      <c r="A2719" s="282" t="str">
        <f>IFERROR(__xludf.DUMMYFUNCTION("""COMPUTED_VALUE"""),"MICRO")</f>
        <v>MICRO</v>
      </c>
      <c r="B2719" s="468" t="str">
        <f>IFERROR(__xludf.DUMMYFUNCTION("""COMPUTED_VALUE"""),"mamanyanecen_")</f>
        <v>mamanyanecen_</v>
      </c>
      <c r="C2719" s="283" t="str">
        <f>IFERROR(__xludf.DUMMYFUNCTION("""COMPUTED_VALUE"""),"https://www.tiktok.com/@mamanyanecen_")</f>
        <v>https://www.tiktok.com/@mamanyanecen_</v>
      </c>
      <c r="D2719" s="273">
        <f>IFERROR(__xludf.DUMMYFUNCTION("""COMPUTED_VALUE"""),8.1548198153E10)</f>
        <v>81548198153</v>
      </c>
      <c r="E2719" s="458">
        <f>IFERROR(__xludf.DUMMYFUNCTION("""COMPUTED_VALUE"""),0.0)</f>
        <v>0</v>
      </c>
      <c r="F2719" s="273">
        <f>IFERROR(__xludf.DUMMYFUNCTION("""COMPUTED_VALUE"""),4.0)</f>
        <v>4</v>
      </c>
      <c r="G2719" t="str">
        <f>IFERROR(__xludf.DUMMYFUNCTION("""COMPUTED_VALUE"""),"Sabun batang 1 Box ( 2 PCS )")</f>
        <v>Sabun batang 1 Box ( 2 PCS )</v>
      </c>
      <c r="H2719" s="469"/>
      <c r="I2719" s="470"/>
      <c r="K2719" s="470"/>
      <c r="M2719" s="470"/>
      <c r="O2719" s="470"/>
    </row>
    <row r="2720">
      <c r="A2720" s="282" t="str">
        <f>IFERROR(__xludf.DUMMYFUNCTION("""COMPUTED_VALUE"""),"MICRO")</f>
        <v>MICRO</v>
      </c>
      <c r="B2720" s="468" t="str">
        <f>IFERROR(__xludf.DUMMYFUNCTION("""COMPUTED_VALUE"""),"ernitanora")</f>
        <v>ernitanora</v>
      </c>
      <c r="C2720" s="283" t="str">
        <f>IFERROR(__xludf.DUMMYFUNCTION("""COMPUTED_VALUE"""),"https://www.tiktok.com/@ernitanora")</f>
        <v>https://www.tiktok.com/@ernitanora</v>
      </c>
      <c r="D2720" s="273">
        <f>IFERROR(__xludf.DUMMYFUNCTION("""COMPUTED_VALUE"""),8.2277000207E10)</f>
        <v>82277000207</v>
      </c>
      <c r="E2720" s="458">
        <f>IFERROR(__xludf.DUMMYFUNCTION("""COMPUTED_VALUE"""),0.0)</f>
        <v>0</v>
      </c>
      <c r="F2720" s="273">
        <f>IFERROR(__xludf.DUMMYFUNCTION("""COMPUTED_VALUE"""),4.0)</f>
        <v>4</v>
      </c>
      <c r="G2720" t="str">
        <f>IFERROR(__xludf.DUMMYFUNCTION("""COMPUTED_VALUE"""),"Sabun batang 1 Box ( 2 PCS )")</f>
        <v>Sabun batang 1 Box ( 2 PCS )</v>
      </c>
      <c r="H2720" s="469"/>
      <c r="I2720" s="470"/>
      <c r="K2720" s="470"/>
      <c r="M2720" s="470"/>
      <c r="O2720" s="470"/>
    </row>
    <row r="2721">
      <c r="A2721" s="282" t="str">
        <f>IFERROR(__xludf.DUMMYFUNCTION("""COMPUTED_VALUE"""),"MICRO")</f>
        <v>MICRO</v>
      </c>
      <c r="B2721" s="468" t="str">
        <f>IFERROR(__xludf.DUMMYFUNCTION("""COMPUTED_VALUE"""),"queen_kaffa")</f>
        <v>queen_kaffa</v>
      </c>
      <c r="C2721" s="283" t="str">
        <f>IFERROR(__xludf.DUMMYFUNCTION("""COMPUTED_VALUE"""),"https://www.tiktok.com/@queen_kaffa")</f>
        <v>https://www.tiktok.com/@queen_kaffa</v>
      </c>
      <c r="D2721" s="273">
        <f>IFERROR(__xludf.DUMMYFUNCTION("""COMPUTED_VALUE"""),8.5646582399E10)</f>
        <v>85646582399</v>
      </c>
      <c r="E2721" s="458">
        <f>IFERROR(__xludf.DUMMYFUNCTION("""COMPUTED_VALUE"""),0.0)</f>
        <v>0</v>
      </c>
      <c r="F2721" s="273">
        <f>IFERROR(__xludf.DUMMYFUNCTION("""COMPUTED_VALUE"""),4.0)</f>
        <v>4</v>
      </c>
      <c r="G2721" t="str">
        <f>IFERROR(__xludf.DUMMYFUNCTION("""COMPUTED_VALUE"""),"Sabun batang 1 Box ( 2 PCS )")</f>
        <v>Sabun batang 1 Box ( 2 PCS )</v>
      </c>
      <c r="H2721" s="469"/>
      <c r="I2721" s="470"/>
      <c r="K2721" s="470"/>
      <c r="M2721" s="470"/>
      <c r="O2721" s="470"/>
    </row>
    <row r="2722">
      <c r="A2722" s="282" t="str">
        <f>IFERROR(__xludf.DUMMYFUNCTION("""COMPUTED_VALUE"""),"MICRO")</f>
        <v>MICRO</v>
      </c>
      <c r="B2722" s="468" t="str">
        <f>IFERROR(__xludf.DUMMYFUNCTION("""COMPUTED_VALUE"""),"cindydestian")</f>
        <v>cindydestian</v>
      </c>
      <c r="C2722" s="283" t="str">
        <f>IFERROR(__xludf.DUMMYFUNCTION("""COMPUTED_VALUE"""),"https://www.tiktok.com/@cindydestian")</f>
        <v>https://www.tiktok.com/@cindydestian</v>
      </c>
      <c r="D2722" s="273">
        <f>IFERROR(__xludf.DUMMYFUNCTION("""COMPUTED_VALUE"""),8.5793825124E10)</f>
        <v>85793825124</v>
      </c>
      <c r="E2722" s="458">
        <f>IFERROR(__xludf.DUMMYFUNCTION("""COMPUTED_VALUE"""),0.0)</f>
        <v>0</v>
      </c>
      <c r="F2722" s="273">
        <f>IFERROR(__xludf.DUMMYFUNCTION("""COMPUTED_VALUE"""),4.0)</f>
        <v>4</v>
      </c>
      <c r="G2722" t="str">
        <f>IFERROR(__xludf.DUMMYFUNCTION("""COMPUTED_VALUE"""),"Sabun batang 1 Box ( 2 PCS )")</f>
        <v>Sabun batang 1 Box ( 2 PCS )</v>
      </c>
      <c r="H2722" s="469"/>
      <c r="I2722" s="470"/>
      <c r="K2722" s="470"/>
      <c r="M2722" s="470"/>
      <c r="O2722" s="470"/>
    </row>
    <row r="2723">
      <c r="A2723" s="282" t="str">
        <f>IFERROR(__xludf.DUMMYFUNCTION("""COMPUTED_VALUE"""),"MICRO")</f>
        <v>MICRO</v>
      </c>
      <c r="B2723" s="468" t="str">
        <f>IFERROR(__xludf.DUMMYFUNCTION("""COMPUTED_VALUE"""),"cheeselovely")</f>
        <v>cheeselovely</v>
      </c>
      <c r="C2723" s="283" t="str">
        <f>IFERROR(__xludf.DUMMYFUNCTION("""COMPUTED_VALUE"""),"https://www.tiktok.com/@cheeselovely")</f>
        <v>https://www.tiktok.com/@cheeselovely</v>
      </c>
      <c r="D2723" s="273">
        <f>IFERROR(__xludf.DUMMYFUNCTION("""COMPUTED_VALUE"""),8.82001960716E11)</f>
        <v>882001960716</v>
      </c>
      <c r="E2723" s="458">
        <f>IFERROR(__xludf.DUMMYFUNCTION("""COMPUTED_VALUE"""),0.0)</f>
        <v>0</v>
      </c>
      <c r="F2723" s="273">
        <f>IFERROR(__xludf.DUMMYFUNCTION("""COMPUTED_VALUE"""),4.0)</f>
        <v>4</v>
      </c>
      <c r="G2723" t="str">
        <f>IFERROR(__xludf.DUMMYFUNCTION("""COMPUTED_VALUE"""),"Sabun batang 1 Box ( 2 PCS )")</f>
        <v>Sabun batang 1 Box ( 2 PCS )</v>
      </c>
      <c r="H2723" s="469"/>
      <c r="I2723" s="470"/>
      <c r="K2723" s="470"/>
      <c r="M2723" s="470"/>
      <c r="O2723" s="470"/>
    </row>
    <row r="2724">
      <c r="A2724" s="282" t="str">
        <f>IFERROR(__xludf.DUMMYFUNCTION("""COMPUTED_VALUE"""),"MICRO")</f>
        <v>MICRO</v>
      </c>
      <c r="B2724" s="468" t="str">
        <f>IFERROR(__xludf.DUMMYFUNCTION("""COMPUTED_VALUE"""),"denisbudiirianto")</f>
        <v>denisbudiirianto</v>
      </c>
      <c r="C2724" s="283" t="str">
        <f>IFERROR(__xludf.DUMMYFUNCTION("""COMPUTED_VALUE"""),"https://www.tiktok.com/@denisbudiirianto")</f>
        <v>https://www.tiktok.com/@denisbudiirianto</v>
      </c>
      <c r="D2724" s="273">
        <f>IFERROR(__xludf.DUMMYFUNCTION("""COMPUTED_VALUE"""),8.998778602E9)</f>
        <v>8998778602</v>
      </c>
      <c r="E2724" s="458">
        <f>IFERROR(__xludf.DUMMYFUNCTION("""COMPUTED_VALUE"""),0.0)</f>
        <v>0</v>
      </c>
      <c r="F2724" s="273">
        <f>IFERROR(__xludf.DUMMYFUNCTION("""COMPUTED_VALUE"""),4.0)</f>
        <v>4</v>
      </c>
      <c r="G2724" t="str">
        <f>IFERROR(__xludf.DUMMYFUNCTION("""COMPUTED_VALUE"""),"Sabun batang 1 Box ( 2 PCS )")</f>
        <v>Sabun batang 1 Box ( 2 PCS )</v>
      </c>
      <c r="H2724" s="469"/>
      <c r="I2724" s="470"/>
      <c r="K2724" s="470"/>
      <c r="M2724" s="470"/>
      <c r="O2724" s="470"/>
    </row>
    <row r="2725">
      <c r="A2725" s="282" t="str">
        <f>IFERROR(__xludf.DUMMYFUNCTION("""COMPUTED_VALUE"""),"MICRO")</f>
        <v>MICRO</v>
      </c>
      <c r="B2725" s="468" t="str">
        <f>IFERROR(__xludf.DUMMYFUNCTION("""COMPUTED_VALUE"""),"elizayna_")</f>
        <v>elizayna_</v>
      </c>
      <c r="C2725" s="283" t="str">
        <f>IFERROR(__xludf.DUMMYFUNCTION("""COMPUTED_VALUE"""),"https://www.tiktok.com/@elizayna_")</f>
        <v>https://www.tiktok.com/@elizayna_</v>
      </c>
      <c r="D2725" s="273">
        <f>IFERROR(__xludf.DUMMYFUNCTION("""COMPUTED_VALUE"""),8.5740570443E10)</f>
        <v>85740570443</v>
      </c>
      <c r="E2725" s="458">
        <f>IFERROR(__xludf.DUMMYFUNCTION("""COMPUTED_VALUE"""),0.0)</f>
        <v>0</v>
      </c>
      <c r="F2725" s="273">
        <f>IFERROR(__xludf.DUMMYFUNCTION("""COMPUTED_VALUE"""),4.0)</f>
        <v>4</v>
      </c>
      <c r="G2725" t="str">
        <f>IFERROR(__xludf.DUMMYFUNCTION("""COMPUTED_VALUE"""),"Sabun batang 1 Box ( 2 PCS )")</f>
        <v>Sabun batang 1 Box ( 2 PCS )</v>
      </c>
      <c r="H2725" s="469"/>
      <c r="I2725" s="470"/>
      <c r="K2725" s="470"/>
      <c r="M2725" s="470"/>
      <c r="O2725" s="470"/>
    </row>
    <row r="2726">
      <c r="A2726" s="282" t="str">
        <f>IFERROR(__xludf.DUMMYFUNCTION("""COMPUTED_VALUE"""),"MICRO")</f>
        <v>MICRO</v>
      </c>
      <c r="B2726" s="468" t="str">
        <f>IFERROR(__xludf.DUMMYFUNCTION("""COMPUTED_VALUE"""),"nisamelia15")</f>
        <v>nisamelia15</v>
      </c>
      <c r="C2726" s="283" t="str">
        <f>IFERROR(__xludf.DUMMYFUNCTION("""COMPUTED_VALUE"""),"https://www.tiktok.com/@nisamelia15")</f>
        <v>https://www.tiktok.com/@nisamelia15</v>
      </c>
      <c r="D2726" s="273">
        <f>IFERROR(__xludf.DUMMYFUNCTION("""COMPUTED_VALUE"""),8.2120330115E10)</f>
        <v>82120330115</v>
      </c>
      <c r="E2726" s="458">
        <f>IFERROR(__xludf.DUMMYFUNCTION("""COMPUTED_VALUE"""),0.0)</f>
        <v>0</v>
      </c>
      <c r="F2726" s="273">
        <f>IFERROR(__xludf.DUMMYFUNCTION("""COMPUTED_VALUE"""),4.0)</f>
        <v>4</v>
      </c>
      <c r="G2726" t="str">
        <f>IFERROR(__xludf.DUMMYFUNCTION("""COMPUTED_VALUE"""),"Sabun batang 1 Box ( 2 PCS )")</f>
        <v>Sabun batang 1 Box ( 2 PCS )</v>
      </c>
      <c r="H2726" s="469"/>
      <c r="I2726" s="470"/>
      <c r="K2726" s="470"/>
      <c r="M2726" s="470"/>
      <c r="O2726" s="470"/>
    </row>
    <row r="2727">
      <c r="A2727" s="282" t="str">
        <f>IFERROR(__xludf.DUMMYFUNCTION("""COMPUTED_VALUE"""),"MICRO")</f>
        <v>MICRO</v>
      </c>
      <c r="B2727" s="468" t="str">
        <f>IFERROR(__xludf.DUMMYFUNCTION("""COMPUTED_VALUE"""),"gabutnyasaia")</f>
        <v>gabutnyasaia</v>
      </c>
      <c r="C2727" s="283" t="str">
        <f>IFERROR(__xludf.DUMMYFUNCTION("""COMPUTED_VALUE"""),"https://www.tiktok.com/@gabutnyasaia")</f>
        <v>https://www.tiktok.com/@gabutnyasaia</v>
      </c>
      <c r="D2727" s="273">
        <f>IFERROR(__xludf.DUMMYFUNCTION("""COMPUTED_VALUE"""),8.81027378755E11)</f>
        <v>881027378755</v>
      </c>
      <c r="E2727" s="458">
        <f>IFERROR(__xludf.DUMMYFUNCTION("""COMPUTED_VALUE"""),0.0)</f>
        <v>0</v>
      </c>
      <c r="F2727" s="273">
        <f>IFERROR(__xludf.DUMMYFUNCTION("""COMPUTED_VALUE"""),4.0)</f>
        <v>4</v>
      </c>
      <c r="G2727" t="str">
        <f>IFERROR(__xludf.DUMMYFUNCTION("""COMPUTED_VALUE"""),"Sabun batang 1 Box ( 2 PCS )")</f>
        <v>Sabun batang 1 Box ( 2 PCS )</v>
      </c>
      <c r="H2727" s="469"/>
      <c r="I2727" s="470"/>
      <c r="K2727" s="470"/>
      <c r="M2727" s="470"/>
      <c r="O2727" s="470"/>
    </row>
    <row r="2728">
      <c r="A2728" s="282" t="str">
        <f>IFERROR(__xludf.DUMMYFUNCTION("""COMPUTED_VALUE"""),"MICRO")</f>
        <v>MICRO</v>
      </c>
      <c r="B2728" s="468" t="str">
        <f>IFERROR(__xludf.DUMMYFUNCTION("""COMPUTED_VALUE"""),"devitarosanti26")</f>
        <v>devitarosanti26</v>
      </c>
      <c r="C2728" s="283" t="str">
        <f>IFERROR(__xludf.DUMMYFUNCTION("""COMPUTED_VALUE"""),"https://www.tiktok.com/@devitarosanti26")</f>
        <v>https://www.tiktok.com/@devitarosanti26</v>
      </c>
      <c r="D2728" s="273">
        <f>IFERROR(__xludf.DUMMYFUNCTION("""COMPUTED_VALUE"""),8.5759142653E10)</f>
        <v>85759142653</v>
      </c>
      <c r="E2728" s="458">
        <f>IFERROR(__xludf.DUMMYFUNCTION("""COMPUTED_VALUE"""),0.0)</f>
        <v>0</v>
      </c>
      <c r="F2728" s="273">
        <f>IFERROR(__xludf.DUMMYFUNCTION("""COMPUTED_VALUE"""),4.0)</f>
        <v>4</v>
      </c>
      <c r="G2728" t="str">
        <f>IFERROR(__xludf.DUMMYFUNCTION("""COMPUTED_VALUE"""),"Sabun batang 1 Box ( 2 PCS )")</f>
        <v>Sabun batang 1 Box ( 2 PCS )</v>
      </c>
      <c r="H2728" s="469"/>
      <c r="I2728" s="470"/>
      <c r="K2728" s="470"/>
      <c r="M2728" s="470"/>
      <c r="O2728" s="470"/>
    </row>
    <row r="2729">
      <c r="A2729" s="282" t="str">
        <f>IFERROR(__xludf.DUMMYFUNCTION("""COMPUTED_VALUE"""),"MICRO")</f>
        <v>MICRO</v>
      </c>
      <c r="B2729" s="468" t="str">
        <f>IFERROR(__xludf.DUMMYFUNCTION("""COMPUTED_VALUE"""),"kheaa.kr")</f>
        <v>kheaa.kr</v>
      </c>
      <c r="C2729" s="283" t="str">
        <f>IFERROR(__xludf.DUMMYFUNCTION("""COMPUTED_VALUE"""),"https://www.tiktok.com/@kheaa.kr")</f>
        <v>https://www.tiktok.com/@kheaa.kr</v>
      </c>
      <c r="D2729" s="273">
        <f>IFERROR(__xludf.DUMMYFUNCTION("""COMPUTED_VALUE"""),8.225824769E10)</f>
        <v>82258247690</v>
      </c>
      <c r="E2729" s="458">
        <f>IFERROR(__xludf.DUMMYFUNCTION("""COMPUTED_VALUE"""),0.0)</f>
        <v>0</v>
      </c>
      <c r="F2729" s="273">
        <f>IFERROR(__xludf.DUMMYFUNCTION("""COMPUTED_VALUE"""),4.0)</f>
        <v>4</v>
      </c>
      <c r="G2729" t="str">
        <f>IFERROR(__xludf.DUMMYFUNCTION("""COMPUTED_VALUE"""),"Sabun batang 1 Box ( 2 PCS )")</f>
        <v>Sabun batang 1 Box ( 2 PCS )</v>
      </c>
      <c r="H2729" s="469"/>
      <c r="I2729" s="470"/>
      <c r="K2729" s="470"/>
      <c r="M2729" s="470"/>
      <c r="O2729" s="470"/>
    </row>
    <row r="2730">
      <c r="A2730" s="282" t="str">
        <f>IFERROR(__xludf.DUMMYFUNCTION("""COMPUTED_VALUE"""),"MICRO")</f>
        <v>MICRO</v>
      </c>
      <c r="B2730" s="468" t="str">
        <f>IFERROR(__xludf.DUMMYFUNCTION("""COMPUTED_VALUE"""),"1onlysha")</f>
        <v>1onlysha</v>
      </c>
      <c r="C2730" s="283" t="str">
        <f>IFERROR(__xludf.DUMMYFUNCTION("""COMPUTED_VALUE"""),"https://www.tiktok.com/@1onlysha")</f>
        <v>https://www.tiktok.com/@1onlysha</v>
      </c>
      <c r="D2730" s="273">
        <f>IFERROR(__xludf.DUMMYFUNCTION("""COMPUTED_VALUE"""),8.31885251E10)</f>
        <v>83188525100</v>
      </c>
      <c r="E2730" s="458">
        <f>IFERROR(__xludf.DUMMYFUNCTION("""COMPUTED_VALUE"""),0.0)</f>
        <v>0</v>
      </c>
      <c r="F2730" s="273">
        <f>IFERROR(__xludf.DUMMYFUNCTION("""COMPUTED_VALUE"""),4.0)</f>
        <v>4</v>
      </c>
      <c r="G2730" t="str">
        <f>IFERROR(__xludf.DUMMYFUNCTION("""COMPUTED_VALUE"""),"Sabun batang 1 Box ( 2 PCS )")</f>
        <v>Sabun batang 1 Box ( 2 PCS )</v>
      </c>
      <c r="H2730" s="469"/>
      <c r="I2730" s="470"/>
      <c r="K2730" s="470"/>
      <c r="M2730" s="470"/>
      <c r="O2730" s="470"/>
    </row>
    <row r="2731">
      <c r="A2731" s="282" t="str">
        <f>IFERROR(__xludf.DUMMYFUNCTION("""COMPUTED_VALUE"""),"MICRO")</f>
        <v>MICRO</v>
      </c>
      <c r="B2731" s="468" t="str">
        <f>IFERROR(__xludf.DUMMYFUNCTION("""COMPUTED_VALUE"""),"iamvalerie_")</f>
        <v>iamvalerie_</v>
      </c>
      <c r="C2731" s="283" t="str">
        <f>IFERROR(__xludf.DUMMYFUNCTION("""COMPUTED_VALUE"""),"https://www.tiktok.com/@iamvalerie_")</f>
        <v>https://www.tiktok.com/@iamvalerie_</v>
      </c>
      <c r="D2731" s="273">
        <f>IFERROR(__xludf.DUMMYFUNCTION("""COMPUTED_VALUE"""),8.528035658E10)</f>
        <v>85280356580</v>
      </c>
      <c r="E2731" s="458">
        <f>IFERROR(__xludf.DUMMYFUNCTION("""COMPUTED_VALUE"""),0.0)</f>
        <v>0</v>
      </c>
      <c r="F2731" s="273">
        <f>IFERROR(__xludf.DUMMYFUNCTION("""COMPUTED_VALUE"""),4.0)</f>
        <v>4</v>
      </c>
      <c r="G2731" t="str">
        <f>IFERROR(__xludf.DUMMYFUNCTION("""COMPUTED_VALUE"""),"Sabun batang 1 Box ( 2 PCS )")</f>
        <v>Sabun batang 1 Box ( 2 PCS )</v>
      </c>
      <c r="H2731" s="469"/>
      <c r="I2731" s="470"/>
      <c r="K2731" s="470"/>
      <c r="M2731" s="470"/>
      <c r="O2731" s="470"/>
    </row>
    <row r="2732">
      <c r="A2732" s="282" t="str">
        <f>IFERROR(__xludf.DUMMYFUNCTION("""COMPUTED_VALUE"""),"MICRO")</f>
        <v>MICRO</v>
      </c>
      <c r="B2732" s="468" t="str">
        <f>IFERROR(__xludf.DUMMYFUNCTION("""COMPUTED_VALUE"""),"savieralistiaa")</f>
        <v>savieralistiaa</v>
      </c>
      <c r="C2732" s="283" t="str">
        <f>IFERROR(__xludf.DUMMYFUNCTION("""COMPUTED_VALUE"""),"https://www.tiktok.com/@savieralistiaa")</f>
        <v>https://www.tiktok.com/@savieralistiaa</v>
      </c>
      <c r="D2732" s="273">
        <f>IFERROR(__xludf.DUMMYFUNCTION("""COMPUTED_VALUE"""),8.8980533964E10)</f>
        <v>88980533964</v>
      </c>
      <c r="E2732" s="458">
        <f>IFERROR(__xludf.DUMMYFUNCTION("""COMPUTED_VALUE"""),0.0)</f>
        <v>0</v>
      </c>
      <c r="F2732" s="273">
        <f>IFERROR(__xludf.DUMMYFUNCTION("""COMPUTED_VALUE"""),4.0)</f>
        <v>4</v>
      </c>
      <c r="G2732" t="str">
        <f>IFERROR(__xludf.DUMMYFUNCTION("""COMPUTED_VALUE"""),"Sabun batang 1 Box ( 2 PCS )")</f>
        <v>Sabun batang 1 Box ( 2 PCS )</v>
      </c>
      <c r="H2732" s="469"/>
      <c r="I2732" s="470"/>
      <c r="K2732" s="470"/>
      <c r="M2732" s="470"/>
      <c r="O2732" s="470"/>
    </row>
    <row r="2733">
      <c r="A2733" s="282" t="str">
        <f>IFERROR(__xludf.DUMMYFUNCTION("""COMPUTED_VALUE"""),"MICRO")</f>
        <v>MICRO</v>
      </c>
      <c r="B2733" s="468" t="str">
        <f>IFERROR(__xludf.DUMMYFUNCTION("""COMPUTED_VALUE"""),"amiraastari21")</f>
        <v>amiraastari21</v>
      </c>
      <c r="C2733" s="283" t="str">
        <f>IFERROR(__xludf.DUMMYFUNCTION("""COMPUTED_VALUE"""),"https://www.tiktok.com/@amiraastari21")</f>
        <v>https://www.tiktok.com/@amiraastari21</v>
      </c>
      <c r="D2733" s="273">
        <f>IFERROR(__xludf.DUMMYFUNCTION("""COMPUTED_VALUE"""),8.2123099448E10)</f>
        <v>82123099448</v>
      </c>
      <c r="E2733" s="458">
        <f>IFERROR(__xludf.DUMMYFUNCTION("""COMPUTED_VALUE"""),0.0)</f>
        <v>0</v>
      </c>
      <c r="F2733" s="273">
        <f>IFERROR(__xludf.DUMMYFUNCTION("""COMPUTED_VALUE"""),4.0)</f>
        <v>4</v>
      </c>
      <c r="G2733" t="str">
        <f>IFERROR(__xludf.DUMMYFUNCTION("""COMPUTED_VALUE"""),"Sabun batang 1 Box ( 2 PCS )")</f>
        <v>Sabun batang 1 Box ( 2 PCS )</v>
      </c>
      <c r="H2733" s="469"/>
      <c r="I2733" s="470"/>
      <c r="K2733" s="470"/>
      <c r="M2733" s="470"/>
      <c r="O2733" s="470"/>
    </row>
    <row r="2734">
      <c r="A2734" s="282" t="str">
        <f>IFERROR(__xludf.DUMMYFUNCTION("""COMPUTED_VALUE"""),"MICRO")</f>
        <v>MICRO</v>
      </c>
      <c r="B2734" s="468" t="str">
        <f>IFERROR(__xludf.DUMMYFUNCTION("""COMPUTED_VALUE"""),"mytiffanyz")</f>
        <v>mytiffanyz</v>
      </c>
      <c r="C2734" s="283" t="str">
        <f>IFERROR(__xludf.DUMMYFUNCTION("""COMPUTED_VALUE"""),"https://www.tiktok.com/@mytiffanyz")</f>
        <v>https://www.tiktok.com/@mytiffanyz</v>
      </c>
      <c r="D2734" s="273">
        <f>IFERROR(__xludf.DUMMYFUNCTION("""COMPUTED_VALUE"""),8.3869476458E10)</f>
        <v>83869476458</v>
      </c>
      <c r="E2734" s="458">
        <f>IFERROR(__xludf.DUMMYFUNCTION("""COMPUTED_VALUE"""),0.0)</f>
        <v>0</v>
      </c>
      <c r="F2734" s="273">
        <f>IFERROR(__xludf.DUMMYFUNCTION("""COMPUTED_VALUE"""),4.0)</f>
        <v>4</v>
      </c>
      <c r="G2734" t="str">
        <f>IFERROR(__xludf.DUMMYFUNCTION("""COMPUTED_VALUE"""),"Sabun batang 1 Box ( 2 PCS )")</f>
        <v>Sabun batang 1 Box ( 2 PCS )</v>
      </c>
      <c r="H2734" s="469"/>
      <c r="I2734" s="470"/>
      <c r="K2734" s="470"/>
      <c r="M2734" s="470"/>
      <c r="O2734" s="470"/>
    </row>
    <row r="2735">
      <c r="A2735" s="282" t="str">
        <f>IFERROR(__xludf.DUMMYFUNCTION("""COMPUTED_VALUE"""),"MICRO")</f>
        <v>MICRO</v>
      </c>
      <c r="B2735" s="468" t="str">
        <f>IFERROR(__xludf.DUMMYFUNCTION("""COMPUTED_VALUE"""),"sky.blue200331")</f>
        <v>sky.blue200331</v>
      </c>
      <c r="C2735" s="283" t="str">
        <f>IFERROR(__xludf.DUMMYFUNCTION("""COMPUTED_VALUE"""),"https://www.tiktok.com/@sky.blue200331")</f>
        <v>https://www.tiktok.com/@sky.blue200331</v>
      </c>
      <c r="D2735" s="273">
        <f>IFERROR(__xludf.DUMMYFUNCTION("""COMPUTED_VALUE"""),8.2285111881E10)</f>
        <v>82285111881</v>
      </c>
      <c r="E2735" s="458">
        <f>IFERROR(__xludf.DUMMYFUNCTION("""COMPUTED_VALUE"""),0.0)</f>
        <v>0</v>
      </c>
      <c r="F2735" s="273">
        <f>IFERROR(__xludf.DUMMYFUNCTION("""COMPUTED_VALUE"""),4.0)</f>
        <v>4</v>
      </c>
      <c r="G2735" t="str">
        <f>IFERROR(__xludf.DUMMYFUNCTION("""COMPUTED_VALUE"""),"Sabun batang 1 Box ( 2 PCS )")</f>
        <v>Sabun batang 1 Box ( 2 PCS )</v>
      </c>
      <c r="H2735" s="469"/>
      <c r="I2735" s="470"/>
      <c r="K2735" s="470"/>
      <c r="M2735" s="470"/>
      <c r="O2735" s="470"/>
    </row>
    <row r="2736">
      <c r="A2736" s="282" t="str">
        <f>IFERROR(__xludf.DUMMYFUNCTION("""COMPUTED_VALUE"""),"MICRO")</f>
        <v>MICRO</v>
      </c>
      <c r="B2736" s="468" t="str">
        <f>IFERROR(__xludf.DUMMYFUNCTION("""COMPUTED_VALUE"""),"lisaoficial39")</f>
        <v>lisaoficial39</v>
      </c>
      <c r="C2736" s="283" t="str">
        <f>IFERROR(__xludf.DUMMYFUNCTION("""COMPUTED_VALUE"""),"https://www.tiktok.com/@lisaoficial39")</f>
        <v>https://www.tiktok.com/@lisaoficial39</v>
      </c>
      <c r="D2736" s="273">
        <f>IFERROR(__xludf.DUMMYFUNCTION("""COMPUTED_VALUE"""),8.7725839129E10)</f>
        <v>87725839129</v>
      </c>
      <c r="E2736" s="458">
        <f>IFERROR(__xludf.DUMMYFUNCTION("""COMPUTED_VALUE"""),0.0)</f>
        <v>0</v>
      </c>
      <c r="F2736" s="273">
        <f>IFERROR(__xludf.DUMMYFUNCTION("""COMPUTED_VALUE"""),4.0)</f>
        <v>4</v>
      </c>
      <c r="G2736" t="str">
        <f>IFERROR(__xludf.DUMMYFUNCTION("""COMPUTED_VALUE"""),"Sabun batang 1 Box ( 2 PCS )")</f>
        <v>Sabun batang 1 Box ( 2 PCS )</v>
      </c>
      <c r="H2736" s="469"/>
      <c r="I2736" s="470"/>
      <c r="K2736" s="470"/>
      <c r="M2736" s="470"/>
      <c r="O2736" s="470"/>
    </row>
    <row r="2737">
      <c r="A2737" s="282" t="str">
        <f>IFERROR(__xludf.DUMMYFUNCTION("""COMPUTED_VALUE"""),"MICRO")</f>
        <v>MICRO</v>
      </c>
      <c r="B2737" s="468" t="str">
        <f>IFERROR(__xludf.DUMMYFUNCTION("""COMPUTED_VALUE"""),"s.yulistiawati")</f>
        <v>s.yulistiawati</v>
      </c>
      <c r="C2737" s="283" t="str">
        <f>IFERROR(__xludf.DUMMYFUNCTION("""COMPUTED_VALUE"""),"https://www.tiktok.com/@s.yulistiawati")</f>
        <v>https://www.tiktok.com/@s.yulistiawati</v>
      </c>
      <c r="D2737" s="273">
        <f>IFERROR(__xludf.DUMMYFUNCTION("""COMPUTED_VALUE"""),8.2245209499E10)</f>
        <v>82245209499</v>
      </c>
      <c r="E2737" s="458">
        <f>IFERROR(__xludf.DUMMYFUNCTION("""COMPUTED_VALUE"""),0.0)</f>
        <v>0</v>
      </c>
      <c r="F2737" s="273">
        <f>IFERROR(__xludf.DUMMYFUNCTION("""COMPUTED_VALUE"""),4.0)</f>
        <v>4</v>
      </c>
      <c r="G2737" t="str">
        <f>IFERROR(__xludf.DUMMYFUNCTION("""COMPUTED_VALUE"""),"Sabun batang 1 Box ( 2 PCS )")</f>
        <v>Sabun batang 1 Box ( 2 PCS )</v>
      </c>
      <c r="H2737" s="469"/>
      <c r="I2737" s="470"/>
      <c r="K2737" s="470"/>
      <c r="M2737" s="470"/>
      <c r="O2737" s="470"/>
    </row>
    <row r="2738">
      <c r="A2738" s="282" t="str">
        <f>IFERROR(__xludf.DUMMYFUNCTION("""COMPUTED_VALUE"""),"MICRO")</f>
        <v>MICRO</v>
      </c>
      <c r="B2738" s="468" t="str">
        <f>IFERROR(__xludf.DUMMYFUNCTION("""COMPUTED_VALUE"""),"190222ss")</f>
        <v>190222ss</v>
      </c>
      <c r="C2738" s="283" t="str">
        <f>IFERROR(__xludf.DUMMYFUNCTION("""COMPUTED_VALUE"""),"https://www.tiktok.com/@190222ss")</f>
        <v>https://www.tiktok.com/@190222ss</v>
      </c>
      <c r="D2738" s="273">
        <f>IFERROR(__xludf.DUMMYFUNCTION("""COMPUTED_VALUE"""),8.5804623858E10)</f>
        <v>85804623858</v>
      </c>
      <c r="E2738" s="458">
        <f>IFERROR(__xludf.DUMMYFUNCTION("""COMPUTED_VALUE"""),0.0)</f>
        <v>0</v>
      </c>
      <c r="F2738" s="273">
        <f>IFERROR(__xludf.DUMMYFUNCTION("""COMPUTED_VALUE"""),4.0)</f>
        <v>4</v>
      </c>
      <c r="G2738" t="str">
        <f>IFERROR(__xludf.DUMMYFUNCTION("""COMPUTED_VALUE"""),"Sabun batang 1 Box ( 2 PCS )")</f>
        <v>Sabun batang 1 Box ( 2 PCS )</v>
      </c>
      <c r="H2738" s="469"/>
      <c r="I2738" s="470"/>
      <c r="K2738" s="470"/>
      <c r="M2738" s="470"/>
      <c r="O2738" s="470"/>
    </row>
    <row r="2739">
      <c r="A2739" s="282" t="str">
        <f>IFERROR(__xludf.DUMMYFUNCTION("""COMPUTED_VALUE"""),"MICRO")</f>
        <v>MICRO</v>
      </c>
      <c r="B2739" s="468" t="str">
        <f>IFERROR(__xludf.DUMMYFUNCTION("""COMPUTED_VALUE"""),"fasya.aull")</f>
        <v>fasya.aull</v>
      </c>
      <c r="C2739" s="283" t="str">
        <f>IFERROR(__xludf.DUMMYFUNCTION("""COMPUTED_VALUE"""),"https://www.tiktok.com/@fasya.aull")</f>
        <v>https://www.tiktok.com/@fasya.aull</v>
      </c>
      <c r="D2739" s="273">
        <f>IFERROR(__xludf.DUMMYFUNCTION("""COMPUTED_VALUE"""),8.5790209012E10)</f>
        <v>85790209012</v>
      </c>
      <c r="E2739" s="458">
        <f>IFERROR(__xludf.DUMMYFUNCTION("""COMPUTED_VALUE"""),0.0)</f>
        <v>0</v>
      </c>
      <c r="F2739" s="273">
        <f>IFERROR(__xludf.DUMMYFUNCTION("""COMPUTED_VALUE"""),4.0)</f>
        <v>4</v>
      </c>
      <c r="G2739" t="str">
        <f>IFERROR(__xludf.DUMMYFUNCTION("""COMPUTED_VALUE"""),"Sabun batang 1 Box ( 2 PCS )")</f>
        <v>Sabun batang 1 Box ( 2 PCS )</v>
      </c>
      <c r="H2739" s="469"/>
      <c r="I2739" s="470"/>
      <c r="K2739" s="470"/>
      <c r="M2739" s="470"/>
      <c r="O2739" s="470"/>
    </row>
    <row r="2740">
      <c r="A2740" s="282" t="str">
        <f>IFERROR(__xludf.DUMMYFUNCTION("""COMPUTED_VALUE"""),"MICRO")</f>
        <v>MICRO</v>
      </c>
      <c r="B2740" s="468" t="str">
        <f>IFERROR(__xludf.DUMMYFUNCTION("""COMPUTED_VALUE"""),"itsrinsera.nari")</f>
        <v>itsrinsera.nari</v>
      </c>
      <c r="C2740" s="283" t="str">
        <f>IFERROR(__xludf.DUMMYFUNCTION("""COMPUTED_VALUE"""),"https://www.tiktok.com/@itsrinsera.nari")</f>
        <v>https://www.tiktok.com/@itsrinsera.nari</v>
      </c>
      <c r="D2740" s="273">
        <f>IFERROR(__xludf.DUMMYFUNCTION("""COMPUTED_VALUE"""),8.3871484741E10)</f>
        <v>83871484741</v>
      </c>
      <c r="E2740" s="458">
        <f>IFERROR(__xludf.DUMMYFUNCTION("""COMPUTED_VALUE"""),0.0)</f>
        <v>0</v>
      </c>
      <c r="F2740" s="273">
        <f>IFERROR(__xludf.DUMMYFUNCTION("""COMPUTED_VALUE"""),4.0)</f>
        <v>4</v>
      </c>
      <c r="G2740" t="str">
        <f>IFERROR(__xludf.DUMMYFUNCTION("""COMPUTED_VALUE"""),"Sabun batang 1 Box ( 2 PCS )")</f>
        <v>Sabun batang 1 Box ( 2 PCS )</v>
      </c>
      <c r="H2740" s="469"/>
      <c r="I2740" s="470"/>
      <c r="K2740" s="470"/>
      <c r="M2740" s="470"/>
      <c r="O2740" s="470"/>
    </row>
    <row r="2741">
      <c r="A2741" s="282" t="str">
        <f>IFERROR(__xludf.DUMMYFUNCTION("""COMPUTED_VALUE"""),"MICRO")</f>
        <v>MICRO</v>
      </c>
      <c r="B2741" s="468" t="str">
        <f>IFERROR(__xludf.DUMMYFUNCTION("""COMPUTED_VALUE"""),"twobest_review")</f>
        <v>twobest_review</v>
      </c>
      <c r="C2741" s="283" t="str">
        <f>IFERROR(__xludf.DUMMYFUNCTION("""COMPUTED_VALUE"""),"https://www.tiktok.com/@twobest_review")</f>
        <v>https://www.tiktok.com/@twobest_review</v>
      </c>
      <c r="D2741" s="273">
        <f>IFERROR(__xludf.DUMMYFUNCTION("""COMPUTED_VALUE"""),8.7842313451E10)</f>
        <v>87842313451</v>
      </c>
      <c r="E2741" s="458">
        <f>IFERROR(__xludf.DUMMYFUNCTION("""COMPUTED_VALUE"""),0.0)</f>
        <v>0</v>
      </c>
      <c r="F2741" s="273">
        <f>IFERROR(__xludf.DUMMYFUNCTION("""COMPUTED_VALUE"""),4.0)</f>
        <v>4</v>
      </c>
      <c r="G2741" t="str">
        <f>IFERROR(__xludf.DUMMYFUNCTION("""COMPUTED_VALUE"""),"Sabun batang 1 Box ( 2 PCS )")</f>
        <v>Sabun batang 1 Box ( 2 PCS )</v>
      </c>
      <c r="H2741" s="469"/>
      <c r="I2741" s="470"/>
      <c r="K2741" s="470"/>
      <c r="M2741" s="470"/>
      <c r="O2741" s="470"/>
    </row>
    <row r="2742">
      <c r="A2742" s="282" t="str">
        <f>IFERROR(__xludf.DUMMYFUNCTION("""COMPUTED_VALUE"""),"MICRO")</f>
        <v>MICRO</v>
      </c>
      <c r="B2742" s="468" t="str">
        <f>IFERROR(__xludf.DUMMYFUNCTION("""COMPUTED_VALUE"""),"aliyanaelulmunaaa")</f>
        <v>aliyanaelulmunaaa</v>
      </c>
      <c r="C2742" s="283" t="str">
        <f>IFERROR(__xludf.DUMMYFUNCTION("""COMPUTED_VALUE"""),"https://www.tiktok.com/@aliyanaelulmunaaa")</f>
        <v>https://www.tiktok.com/@aliyanaelulmunaaa</v>
      </c>
      <c r="D2742" s="273">
        <f>IFERROR(__xludf.DUMMYFUNCTION("""COMPUTED_VALUE"""),8.1461133306E10)</f>
        <v>81461133306</v>
      </c>
      <c r="E2742" s="458">
        <f>IFERROR(__xludf.DUMMYFUNCTION("""COMPUTED_VALUE"""),0.0)</f>
        <v>0</v>
      </c>
      <c r="F2742" s="273">
        <f>IFERROR(__xludf.DUMMYFUNCTION("""COMPUTED_VALUE"""),4.0)</f>
        <v>4</v>
      </c>
      <c r="G2742" t="str">
        <f>IFERROR(__xludf.DUMMYFUNCTION("""COMPUTED_VALUE"""),"Sabun batang 1 Box ( 2 PCS )")</f>
        <v>Sabun batang 1 Box ( 2 PCS )</v>
      </c>
      <c r="H2742" s="469"/>
      <c r="I2742" s="470"/>
      <c r="K2742" s="470"/>
      <c r="M2742" s="470"/>
      <c r="O2742" s="470"/>
    </row>
    <row r="2743">
      <c r="A2743" s="282" t="str">
        <f>IFERROR(__xludf.DUMMYFUNCTION("""COMPUTED_VALUE"""),"MICRO")</f>
        <v>MICRO</v>
      </c>
      <c r="B2743" s="468" t="str">
        <f>IFERROR(__xludf.DUMMYFUNCTION("""COMPUTED_VALUE"""),"cindysaadah6")</f>
        <v>cindysaadah6</v>
      </c>
      <c r="C2743" s="283" t="str">
        <f>IFERROR(__xludf.DUMMYFUNCTION("""COMPUTED_VALUE"""),"https://www.tiktok.com/@cindysaadah6")</f>
        <v>https://www.tiktok.com/@cindysaadah6</v>
      </c>
      <c r="D2743" s="273">
        <f>IFERROR(__xludf.DUMMYFUNCTION("""COMPUTED_VALUE"""),8.5177420568E10)</f>
        <v>85177420568</v>
      </c>
      <c r="E2743" s="458">
        <f>IFERROR(__xludf.DUMMYFUNCTION("""COMPUTED_VALUE"""),0.0)</f>
        <v>0</v>
      </c>
      <c r="F2743" s="273">
        <f>IFERROR(__xludf.DUMMYFUNCTION("""COMPUTED_VALUE"""),4.0)</f>
        <v>4</v>
      </c>
      <c r="G2743" t="str">
        <f>IFERROR(__xludf.DUMMYFUNCTION("""COMPUTED_VALUE"""),"Sabun batang 1 Box ( 2 PCS )")</f>
        <v>Sabun batang 1 Box ( 2 PCS )</v>
      </c>
      <c r="H2743" s="469"/>
      <c r="I2743" s="470"/>
      <c r="K2743" s="470"/>
      <c r="M2743" s="470"/>
      <c r="O2743" s="470"/>
    </row>
    <row r="2744">
      <c r="A2744" s="282" t="str">
        <f>IFERROR(__xludf.DUMMYFUNCTION("""COMPUTED_VALUE"""),"MICRO")</f>
        <v>MICRO</v>
      </c>
      <c r="B2744" s="468" t="str">
        <f>IFERROR(__xludf.DUMMYFUNCTION("""COMPUTED_VALUE"""),"mffaa___")</f>
        <v>mffaa___</v>
      </c>
      <c r="C2744" s="283" t="str">
        <f>IFERROR(__xludf.DUMMYFUNCTION("""COMPUTED_VALUE"""),"https://www.tiktok.com/@mffaa___")</f>
        <v>https://www.tiktok.com/@mffaa___</v>
      </c>
      <c r="D2744" s="273">
        <f>IFERROR(__xludf.DUMMYFUNCTION("""COMPUTED_VALUE"""),8.3140876717E10)</f>
        <v>83140876717</v>
      </c>
      <c r="E2744" s="458">
        <f>IFERROR(__xludf.DUMMYFUNCTION("""COMPUTED_VALUE"""),0.0)</f>
        <v>0</v>
      </c>
      <c r="F2744" s="273">
        <f>IFERROR(__xludf.DUMMYFUNCTION("""COMPUTED_VALUE"""),4.0)</f>
        <v>4</v>
      </c>
      <c r="G2744" t="str">
        <f>IFERROR(__xludf.DUMMYFUNCTION("""COMPUTED_VALUE"""),"Sabun batang 1 Box ( 2 PCS )")</f>
        <v>Sabun batang 1 Box ( 2 PCS )</v>
      </c>
      <c r="H2744" s="469"/>
      <c r="I2744" s="470"/>
      <c r="K2744" s="470"/>
      <c r="M2744" s="470"/>
      <c r="O2744" s="470"/>
    </row>
    <row r="2745">
      <c r="A2745" s="282" t="str">
        <f>IFERROR(__xludf.DUMMYFUNCTION("""COMPUTED_VALUE"""),"MICRO")</f>
        <v>MICRO</v>
      </c>
      <c r="B2745" s="468" t="str">
        <f>IFERROR(__xludf.DUMMYFUNCTION("""COMPUTED_VALUE"""),"azkiaarchive")</f>
        <v>azkiaarchive</v>
      </c>
      <c r="C2745" s="283" t="str">
        <f>IFERROR(__xludf.DUMMYFUNCTION("""COMPUTED_VALUE"""),"https://www.tiktok.com/@azkiaarchive")</f>
        <v>https://www.tiktok.com/@azkiaarchive</v>
      </c>
      <c r="D2745" s="273">
        <f>IFERROR(__xludf.DUMMYFUNCTION("""COMPUTED_VALUE"""),8.2160653457E10)</f>
        <v>82160653457</v>
      </c>
      <c r="E2745" s="458">
        <f>IFERROR(__xludf.DUMMYFUNCTION("""COMPUTED_VALUE"""),0.0)</f>
        <v>0</v>
      </c>
      <c r="F2745" s="273">
        <f>IFERROR(__xludf.DUMMYFUNCTION("""COMPUTED_VALUE"""),4.0)</f>
        <v>4</v>
      </c>
      <c r="G2745" t="str">
        <f>IFERROR(__xludf.DUMMYFUNCTION("""COMPUTED_VALUE"""),"Sabun batang 1 Box ( 2 PCS )")</f>
        <v>Sabun batang 1 Box ( 2 PCS )</v>
      </c>
      <c r="H2745" s="469"/>
      <c r="I2745" s="470"/>
      <c r="K2745" s="470"/>
      <c r="M2745" s="470"/>
      <c r="O2745" s="470"/>
    </row>
    <row r="2746">
      <c r="A2746" s="282" t="str">
        <f>IFERROR(__xludf.DUMMYFUNCTION("""COMPUTED_VALUE"""),"MICRO")</f>
        <v>MICRO</v>
      </c>
      <c r="B2746" s="468" t="str">
        <f>IFERROR(__xludf.DUMMYFUNCTION("""COMPUTED_VALUE"""),"nna.izzaaaaa")</f>
        <v>nna.izzaaaaa</v>
      </c>
      <c r="C2746" s="283" t="str">
        <f>IFERROR(__xludf.DUMMYFUNCTION("""COMPUTED_VALUE"""),"https://www.tiktok.com/@nna.izzaaaaa")</f>
        <v>https://www.tiktok.com/@nna.izzaaaaa</v>
      </c>
      <c r="D2746" s="273">
        <f>IFERROR(__xludf.DUMMYFUNCTION("""COMPUTED_VALUE"""),8.233488628E10)</f>
        <v>82334886280</v>
      </c>
      <c r="E2746" s="458">
        <f>IFERROR(__xludf.DUMMYFUNCTION("""COMPUTED_VALUE"""),0.0)</f>
        <v>0</v>
      </c>
      <c r="F2746" s="273">
        <f>IFERROR(__xludf.DUMMYFUNCTION("""COMPUTED_VALUE"""),4.0)</f>
        <v>4</v>
      </c>
      <c r="G2746" t="str">
        <f>IFERROR(__xludf.DUMMYFUNCTION("""COMPUTED_VALUE"""),"Sabun batang 1 Box ( 2 PCS )")</f>
        <v>Sabun batang 1 Box ( 2 PCS )</v>
      </c>
      <c r="H2746" s="469"/>
      <c r="I2746" s="470"/>
      <c r="K2746" s="470"/>
      <c r="M2746" s="470"/>
      <c r="O2746" s="470"/>
    </row>
    <row r="2747">
      <c r="A2747" s="282" t="str">
        <f>IFERROR(__xludf.DUMMYFUNCTION("""COMPUTED_VALUE"""),"MICRO")</f>
        <v>MICRO</v>
      </c>
      <c r="B2747" s="468" t="str">
        <f>IFERROR(__xludf.DUMMYFUNCTION("""COMPUTED_VALUE"""),"ditta.14")</f>
        <v>ditta.14</v>
      </c>
      <c r="C2747" s="283" t="str">
        <f>IFERROR(__xludf.DUMMYFUNCTION("""COMPUTED_VALUE"""),"https://www.tiktok.com/@ditta.14")</f>
        <v>https://www.tiktok.com/@ditta.14</v>
      </c>
      <c r="D2747" s="273">
        <f>IFERROR(__xludf.DUMMYFUNCTION("""COMPUTED_VALUE"""),8.5691174058E10)</f>
        <v>85691174058</v>
      </c>
      <c r="E2747" s="458">
        <f>IFERROR(__xludf.DUMMYFUNCTION("""COMPUTED_VALUE"""),0.0)</f>
        <v>0</v>
      </c>
      <c r="F2747" s="273">
        <f>IFERROR(__xludf.DUMMYFUNCTION("""COMPUTED_VALUE"""),4.0)</f>
        <v>4</v>
      </c>
      <c r="G2747" t="str">
        <f>IFERROR(__xludf.DUMMYFUNCTION("""COMPUTED_VALUE"""),"Sabun batang 1 Box ( 2 PCS )")</f>
        <v>Sabun batang 1 Box ( 2 PCS )</v>
      </c>
      <c r="H2747" s="469"/>
      <c r="I2747" s="470"/>
      <c r="K2747" s="470"/>
      <c r="M2747" s="470"/>
      <c r="O2747" s="470"/>
    </row>
    <row r="2748">
      <c r="A2748" s="282" t="str">
        <f>IFERROR(__xludf.DUMMYFUNCTION("""COMPUTED_VALUE"""),"MICRO")</f>
        <v>MICRO</v>
      </c>
      <c r="B2748" s="468" t="str">
        <f>IFERROR(__xludf.DUMMYFUNCTION("""COMPUTED_VALUE"""),"deyysan.01")</f>
        <v>deyysan.01</v>
      </c>
      <c r="C2748" s="283" t="str">
        <f>IFERROR(__xludf.DUMMYFUNCTION("""COMPUTED_VALUE"""),"https://www.tiktok.com/@deyysan.01")</f>
        <v>https://www.tiktok.com/@deyysan.01</v>
      </c>
      <c r="D2748" s="273">
        <f>IFERROR(__xludf.DUMMYFUNCTION("""COMPUTED_VALUE"""),8.56203749E9)</f>
        <v>8562037490</v>
      </c>
      <c r="E2748" s="458">
        <f>IFERROR(__xludf.DUMMYFUNCTION("""COMPUTED_VALUE"""),0.0)</f>
        <v>0</v>
      </c>
      <c r="F2748" s="273">
        <f>IFERROR(__xludf.DUMMYFUNCTION("""COMPUTED_VALUE"""),4.0)</f>
        <v>4</v>
      </c>
      <c r="G2748" t="str">
        <f>IFERROR(__xludf.DUMMYFUNCTION("""COMPUTED_VALUE"""),"Sabun batang 1 Box ( 2 PCS )")</f>
        <v>Sabun batang 1 Box ( 2 PCS )</v>
      </c>
      <c r="H2748" s="469"/>
      <c r="I2748" s="470"/>
      <c r="K2748" s="470"/>
      <c r="M2748" s="470"/>
      <c r="O2748" s="470"/>
    </row>
    <row r="2749">
      <c r="A2749" s="282" t="str">
        <f>IFERROR(__xludf.DUMMYFUNCTION("""COMPUTED_VALUE"""),"MICRO")</f>
        <v>MICRO</v>
      </c>
      <c r="B2749" s="468" t="str">
        <f>IFERROR(__xludf.DUMMYFUNCTION("""COMPUTED_VALUE"""),"dewienes7")</f>
        <v>dewienes7</v>
      </c>
      <c r="C2749" s="283" t="str">
        <f>IFERROR(__xludf.DUMMYFUNCTION("""COMPUTED_VALUE"""),"https://www.tiktok.com/@dewienes7")</f>
        <v>https://www.tiktok.com/@dewienes7</v>
      </c>
      <c r="D2749" s="273">
        <f>IFERROR(__xludf.DUMMYFUNCTION("""COMPUTED_VALUE"""),8.5290807819E10)</f>
        <v>85290807819</v>
      </c>
      <c r="E2749" s="458">
        <f>IFERROR(__xludf.DUMMYFUNCTION("""COMPUTED_VALUE"""),0.0)</f>
        <v>0</v>
      </c>
      <c r="F2749" s="273">
        <f>IFERROR(__xludf.DUMMYFUNCTION("""COMPUTED_VALUE"""),4.0)</f>
        <v>4</v>
      </c>
      <c r="G2749" t="str">
        <f>IFERROR(__xludf.DUMMYFUNCTION("""COMPUTED_VALUE"""),"Sabun batang 1 Box ( 2 PCS )")</f>
        <v>Sabun batang 1 Box ( 2 PCS )</v>
      </c>
      <c r="H2749" s="469"/>
      <c r="I2749" s="470"/>
      <c r="K2749" s="470"/>
      <c r="M2749" s="470"/>
      <c r="O2749" s="470"/>
    </row>
    <row r="2750">
      <c r="A2750" s="282" t="str">
        <f>IFERROR(__xludf.DUMMYFUNCTION("""COMPUTED_VALUE"""),"MICRO")</f>
        <v>MICRO</v>
      </c>
      <c r="B2750" s="468" t="str">
        <f>IFERROR(__xludf.DUMMYFUNCTION("""COMPUTED_VALUE"""),"mie40182")</f>
        <v>mie40182</v>
      </c>
      <c r="C2750" s="283" t="str">
        <f>IFERROR(__xludf.DUMMYFUNCTION("""COMPUTED_VALUE"""),"https://www.tiktok.com/@mie40182")</f>
        <v>https://www.tiktok.com/@mie40182</v>
      </c>
      <c r="D2750" s="273">
        <f>IFERROR(__xludf.DUMMYFUNCTION("""COMPUTED_VALUE"""),8.81026077554E11)</f>
        <v>881026077554</v>
      </c>
      <c r="E2750" s="458">
        <f>IFERROR(__xludf.DUMMYFUNCTION("""COMPUTED_VALUE"""),0.0)</f>
        <v>0</v>
      </c>
      <c r="F2750" s="273">
        <f>IFERROR(__xludf.DUMMYFUNCTION("""COMPUTED_VALUE"""),4.0)</f>
        <v>4</v>
      </c>
      <c r="G2750" t="str">
        <f>IFERROR(__xludf.DUMMYFUNCTION("""COMPUTED_VALUE"""),"Sabun batang 1 Box ( 2 PCS )")</f>
        <v>Sabun batang 1 Box ( 2 PCS )</v>
      </c>
      <c r="H2750" s="469"/>
      <c r="I2750" s="470"/>
      <c r="K2750" s="470"/>
      <c r="M2750" s="470"/>
      <c r="O2750" s="470"/>
    </row>
    <row r="2751">
      <c r="A2751" s="282" t="str">
        <f>IFERROR(__xludf.DUMMYFUNCTION("""COMPUTED_VALUE"""),"MICRO")</f>
        <v>MICRO</v>
      </c>
      <c r="B2751" s="468" t="str">
        <f>IFERROR(__xludf.DUMMYFUNCTION("""COMPUTED_VALUE"""),"makeupbysheeren")</f>
        <v>makeupbysheeren</v>
      </c>
      <c r="C2751" s="283" t="str">
        <f>IFERROR(__xludf.DUMMYFUNCTION("""COMPUTED_VALUE"""),"https://www.tiktok.com/@makeupbysheeren")</f>
        <v>https://www.tiktok.com/@makeupbysheeren</v>
      </c>
      <c r="D2751" s="273">
        <f>IFERROR(__xludf.DUMMYFUNCTION("""COMPUTED_VALUE"""),8.1372556661E10)</f>
        <v>81372556661</v>
      </c>
      <c r="E2751" s="458">
        <f>IFERROR(__xludf.DUMMYFUNCTION("""COMPUTED_VALUE"""),0.0)</f>
        <v>0</v>
      </c>
      <c r="F2751" s="273">
        <f>IFERROR(__xludf.DUMMYFUNCTION("""COMPUTED_VALUE"""),4.0)</f>
        <v>4</v>
      </c>
      <c r="G2751" t="str">
        <f>IFERROR(__xludf.DUMMYFUNCTION("""COMPUTED_VALUE"""),"Sabun batang 1 Box ( 2 PCS )")</f>
        <v>Sabun batang 1 Box ( 2 PCS )</v>
      </c>
      <c r="H2751" s="469"/>
      <c r="I2751" s="470"/>
      <c r="K2751" s="470"/>
      <c r="M2751" s="470"/>
      <c r="O2751" s="470"/>
    </row>
    <row r="2752">
      <c r="A2752" s="282" t="str">
        <f>IFERROR(__xludf.DUMMYFUNCTION("""COMPUTED_VALUE"""),"MICRO")</f>
        <v>MICRO</v>
      </c>
      <c r="B2752" s="468" t="str">
        <f>IFERROR(__xludf.DUMMYFUNCTION("""COMPUTED_VALUE"""),"fitavit_")</f>
        <v>fitavit_</v>
      </c>
      <c r="C2752" s="283" t="str">
        <f>IFERROR(__xludf.DUMMYFUNCTION("""COMPUTED_VALUE"""),"https://www.tiktok.com/@fitavit_")</f>
        <v>https://www.tiktok.com/@fitavit_</v>
      </c>
      <c r="D2752" s="273">
        <f>IFERROR(__xludf.DUMMYFUNCTION("""COMPUTED_VALUE"""),8.3851742763E10)</f>
        <v>83851742763</v>
      </c>
      <c r="E2752" s="458">
        <f>IFERROR(__xludf.DUMMYFUNCTION("""COMPUTED_VALUE"""),0.0)</f>
        <v>0</v>
      </c>
      <c r="F2752" s="273">
        <f>IFERROR(__xludf.DUMMYFUNCTION("""COMPUTED_VALUE"""),4.0)</f>
        <v>4</v>
      </c>
      <c r="G2752" t="str">
        <f>IFERROR(__xludf.DUMMYFUNCTION("""COMPUTED_VALUE"""),"Sabun batang 1 Box ( 2 PCS )")</f>
        <v>Sabun batang 1 Box ( 2 PCS )</v>
      </c>
      <c r="H2752" s="469"/>
      <c r="I2752" s="470"/>
      <c r="K2752" s="470"/>
      <c r="M2752" s="470"/>
      <c r="O2752" s="470"/>
    </row>
    <row r="2753">
      <c r="A2753" s="282" t="str">
        <f>IFERROR(__xludf.DUMMYFUNCTION("""COMPUTED_VALUE"""),"MICRO")</f>
        <v>MICRO</v>
      </c>
      <c r="B2753" s="468" t="str">
        <f>IFERROR(__xludf.DUMMYFUNCTION("""COMPUTED_VALUE"""),"racuntiktokkk.22")</f>
        <v>racuntiktokkk.22</v>
      </c>
      <c r="C2753" s="283" t="str">
        <f>IFERROR(__xludf.DUMMYFUNCTION("""COMPUTED_VALUE"""),"https://www.tiktok.com/@racuntiktokkk.22")</f>
        <v>https://www.tiktok.com/@racuntiktokkk.22</v>
      </c>
      <c r="D2753" s="273">
        <f>IFERROR(__xludf.DUMMYFUNCTION("""COMPUTED_VALUE"""),8.2265488404E10)</f>
        <v>82265488404</v>
      </c>
      <c r="E2753" s="458">
        <f>IFERROR(__xludf.DUMMYFUNCTION("""COMPUTED_VALUE"""),0.0)</f>
        <v>0</v>
      </c>
      <c r="F2753" s="273">
        <f>IFERROR(__xludf.DUMMYFUNCTION("""COMPUTED_VALUE"""),4.0)</f>
        <v>4</v>
      </c>
      <c r="G2753" t="str">
        <f>IFERROR(__xludf.DUMMYFUNCTION("""COMPUTED_VALUE"""),"Sabun batang 1 Box ( 2 PCS )")</f>
        <v>Sabun batang 1 Box ( 2 PCS )</v>
      </c>
      <c r="H2753" s="469"/>
      <c r="I2753" s="470"/>
      <c r="K2753" s="470"/>
      <c r="M2753" s="470"/>
      <c r="O2753" s="470"/>
    </row>
    <row r="2754">
      <c r="A2754" s="282" t="str">
        <f>IFERROR(__xludf.DUMMYFUNCTION("""COMPUTED_VALUE"""),"MICRO")</f>
        <v>MICRO</v>
      </c>
      <c r="B2754" s="468" t="str">
        <f>IFERROR(__xludf.DUMMYFUNCTION("""COMPUTED_VALUE"""),"verawindiym")</f>
        <v>verawindiym</v>
      </c>
      <c r="C2754" s="283" t="str">
        <f>IFERROR(__xludf.DUMMYFUNCTION("""COMPUTED_VALUE"""),"https://www.tiktok.com/@verawindiym")</f>
        <v>https://www.tiktok.com/@verawindiym</v>
      </c>
      <c r="D2754" s="273">
        <f>IFERROR(__xludf.DUMMYFUNCTION("""COMPUTED_VALUE"""),8.227230711E10)</f>
        <v>82272307110</v>
      </c>
      <c r="E2754" s="458">
        <f>IFERROR(__xludf.DUMMYFUNCTION("""COMPUTED_VALUE"""),0.0)</f>
        <v>0</v>
      </c>
      <c r="F2754" s="273">
        <f>IFERROR(__xludf.DUMMYFUNCTION("""COMPUTED_VALUE"""),4.0)</f>
        <v>4</v>
      </c>
      <c r="G2754" t="str">
        <f>IFERROR(__xludf.DUMMYFUNCTION("""COMPUTED_VALUE"""),"Sabun batang 1 Box ( 2 PCS )")</f>
        <v>Sabun batang 1 Box ( 2 PCS )</v>
      </c>
      <c r="H2754" s="469"/>
      <c r="I2754" s="470"/>
      <c r="K2754" s="470"/>
      <c r="M2754" s="470"/>
      <c r="O2754" s="470"/>
    </row>
    <row r="2755">
      <c r="A2755" s="282" t="str">
        <f>IFERROR(__xludf.DUMMYFUNCTION("""COMPUTED_VALUE"""),"MICRO")</f>
        <v>MICRO</v>
      </c>
      <c r="B2755" s="468" t="str">
        <f>IFERROR(__xludf.DUMMYFUNCTION("""COMPUTED_VALUE"""),"my.way_id")</f>
        <v>my.way_id</v>
      </c>
      <c r="C2755" s="283" t="str">
        <f>IFERROR(__xludf.DUMMYFUNCTION("""COMPUTED_VALUE"""),"https://www.tiktok.com/@my.way_id")</f>
        <v>https://www.tiktok.com/@my.way_id</v>
      </c>
      <c r="D2755" s="273">
        <f>IFERROR(__xludf.DUMMYFUNCTION("""COMPUTED_VALUE"""),8.2116400209E10)</f>
        <v>82116400209</v>
      </c>
      <c r="E2755" s="458">
        <f>IFERROR(__xludf.DUMMYFUNCTION("""COMPUTED_VALUE"""),0.0)</f>
        <v>0</v>
      </c>
      <c r="F2755" s="273">
        <f>IFERROR(__xludf.DUMMYFUNCTION("""COMPUTED_VALUE"""),4.0)</f>
        <v>4</v>
      </c>
      <c r="G2755" t="str">
        <f>IFERROR(__xludf.DUMMYFUNCTION("""COMPUTED_VALUE"""),"Sabun batang 1 Box ( 2 PCS )")</f>
        <v>Sabun batang 1 Box ( 2 PCS )</v>
      </c>
      <c r="H2755" s="469"/>
      <c r="I2755" s="470"/>
      <c r="K2755" s="470"/>
      <c r="M2755" s="470"/>
      <c r="O2755" s="470"/>
    </row>
    <row r="2756">
      <c r="A2756" s="282" t="str">
        <f>IFERROR(__xludf.DUMMYFUNCTION("""COMPUTED_VALUE"""),"MICRO")</f>
        <v>MICRO</v>
      </c>
      <c r="B2756" s="468" t="str">
        <f>IFERROR(__xludf.DUMMYFUNCTION("""COMPUTED_VALUE"""),"wifeymasshan")</f>
        <v>wifeymasshan</v>
      </c>
      <c r="C2756" s="283" t="str">
        <f>IFERROR(__xludf.DUMMYFUNCTION("""COMPUTED_VALUE"""),"https://www.tiktok.com/@wifeymasshan")</f>
        <v>https://www.tiktok.com/@wifeymasshan</v>
      </c>
      <c r="D2756" s="273">
        <f>IFERROR(__xludf.DUMMYFUNCTION("""COMPUTED_VALUE"""),8.1325837106E10)</f>
        <v>81325837106</v>
      </c>
      <c r="E2756" s="458">
        <f>IFERROR(__xludf.DUMMYFUNCTION("""COMPUTED_VALUE"""),0.0)</f>
        <v>0</v>
      </c>
      <c r="F2756" s="273">
        <f>IFERROR(__xludf.DUMMYFUNCTION("""COMPUTED_VALUE"""),4.0)</f>
        <v>4</v>
      </c>
      <c r="G2756" t="str">
        <f>IFERROR(__xludf.DUMMYFUNCTION("""COMPUTED_VALUE"""),"Sabun batang 1 Box ( 2 PCS )")</f>
        <v>Sabun batang 1 Box ( 2 PCS )</v>
      </c>
      <c r="H2756" s="469"/>
      <c r="I2756" s="470"/>
      <c r="K2756" s="470"/>
      <c r="M2756" s="470"/>
      <c r="O2756" s="470"/>
    </row>
    <row r="2757">
      <c r="A2757" s="282" t="str">
        <f>IFERROR(__xludf.DUMMYFUNCTION("""COMPUTED_VALUE"""),"MICRO")</f>
        <v>MICRO</v>
      </c>
      <c r="B2757" s="468" t="str">
        <f>IFERROR(__xludf.DUMMYFUNCTION("""COMPUTED_VALUE"""),"hunnycaraa")</f>
        <v>hunnycaraa</v>
      </c>
      <c r="C2757" s="283" t="str">
        <f>IFERROR(__xludf.DUMMYFUNCTION("""COMPUTED_VALUE"""),"https://www.tiktok.com/@hunnycaraa")</f>
        <v>https://www.tiktok.com/@hunnycaraa</v>
      </c>
      <c r="D2757" s="273">
        <f>IFERROR(__xludf.DUMMYFUNCTION("""COMPUTED_VALUE"""),8.3179529677E10)</f>
        <v>83179529677</v>
      </c>
      <c r="E2757" s="458">
        <f>IFERROR(__xludf.DUMMYFUNCTION("""COMPUTED_VALUE"""),0.0)</f>
        <v>0</v>
      </c>
      <c r="F2757" s="273">
        <f>IFERROR(__xludf.DUMMYFUNCTION("""COMPUTED_VALUE"""),4.0)</f>
        <v>4</v>
      </c>
      <c r="G2757" t="str">
        <f>IFERROR(__xludf.DUMMYFUNCTION("""COMPUTED_VALUE"""),"Sabun batang 1 Box ( 2 PCS )")</f>
        <v>Sabun batang 1 Box ( 2 PCS )</v>
      </c>
      <c r="H2757" s="469"/>
      <c r="I2757" s="470"/>
      <c r="K2757" s="470"/>
      <c r="M2757" s="470"/>
      <c r="O2757" s="470"/>
    </row>
    <row r="2758">
      <c r="A2758" s="282" t="str">
        <f>IFERROR(__xludf.DUMMYFUNCTION("""COMPUTED_VALUE"""),"MICRO")</f>
        <v>MICRO</v>
      </c>
      <c r="B2758" s="468" t="str">
        <f>IFERROR(__xludf.DUMMYFUNCTION("""COMPUTED_VALUE"""),"piscesgirlstudio")</f>
        <v>piscesgirlstudio</v>
      </c>
      <c r="C2758" s="283" t="str">
        <f>IFERROR(__xludf.DUMMYFUNCTION("""COMPUTED_VALUE"""),"https://www.tiktok.com/@piscesgirlstudio")</f>
        <v>https://www.tiktok.com/@piscesgirlstudio</v>
      </c>
      <c r="D2758" s="273">
        <f>IFERROR(__xludf.DUMMYFUNCTION("""COMPUTED_VALUE"""),8.1214211864E10)</f>
        <v>81214211864</v>
      </c>
      <c r="E2758" s="458">
        <f>IFERROR(__xludf.DUMMYFUNCTION("""COMPUTED_VALUE"""),0.0)</f>
        <v>0</v>
      </c>
      <c r="F2758" s="273">
        <f>IFERROR(__xludf.DUMMYFUNCTION("""COMPUTED_VALUE"""),4.0)</f>
        <v>4</v>
      </c>
      <c r="G2758" t="str">
        <f>IFERROR(__xludf.DUMMYFUNCTION("""COMPUTED_VALUE"""),"Sabun batang 1 Box ( 2 PCS )")</f>
        <v>Sabun batang 1 Box ( 2 PCS )</v>
      </c>
      <c r="H2758" s="469"/>
      <c r="I2758" s="470"/>
      <c r="K2758" s="470"/>
      <c r="M2758" s="470"/>
      <c r="O2758" s="470"/>
    </row>
    <row r="2759">
      <c r="A2759" s="282" t="str">
        <f>IFERROR(__xludf.DUMMYFUNCTION("""COMPUTED_VALUE"""),"MICRO")</f>
        <v>MICRO</v>
      </c>
      <c r="B2759" s="468" t="str">
        <f>IFERROR(__xludf.DUMMYFUNCTION("""COMPUTED_VALUE"""),"tinaismi")</f>
        <v>tinaismi</v>
      </c>
      <c r="C2759" s="283" t="str">
        <f>IFERROR(__xludf.DUMMYFUNCTION("""COMPUTED_VALUE"""),"https://www.tiktok.com/@tinaismi")</f>
        <v>https://www.tiktok.com/@tinaismi</v>
      </c>
      <c r="D2759" s="273">
        <f>IFERROR(__xludf.DUMMYFUNCTION("""COMPUTED_VALUE"""),8.2120695832E10)</f>
        <v>82120695832</v>
      </c>
      <c r="E2759" s="458">
        <f>IFERROR(__xludf.DUMMYFUNCTION("""COMPUTED_VALUE"""),0.0)</f>
        <v>0</v>
      </c>
      <c r="F2759" s="273">
        <f>IFERROR(__xludf.DUMMYFUNCTION("""COMPUTED_VALUE"""),4.0)</f>
        <v>4</v>
      </c>
      <c r="G2759" t="str">
        <f>IFERROR(__xludf.DUMMYFUNCTION("""COMPUTED_VALUE"""),"Sabun batang 1 Box ( 2 PCS )")</f>
        <v>Sabun batang 1 Box ( 2 PCS )</v>
      </c>
      <c r="H2759" s="469"/>
      <c r="I2759" s="470"/>
      <c r="K2759" s="470"/>
      <c r="M2759" s="470"/>
      <c r="O2759" s="470"/>
    </row>
    <row r="2760">
      <c r="A2760" s="282" t="str">
        <f>IFERROR(__xludf.DUMMYFUNCTION("""COMPUTED_VALUE"""),"MICRO")</f>
        <v>MICRO</v>
      </c>
      <c r="B2760" s="468" t="str">
        <f>IFERROR(__xludf.DUMMYFUNCTION("""COMPUTED_VALUE"""),"asrisafira4")</f>
        <v>asrisafira4</v>
      </c>
      <c r="C2760" s="283" t="str">
        <f>IFERROR(__xludf.DUMMYFUNCTION("""COMPUTED_VALUE"""),"https://www.tiktok.com/@asrisafira4")</f>
        <v>https://www.tiktok.com/@asrisafira4</v>
      </c>
      <c r="D2760" s="273">
        <f>IFERROR(__xludf.DUMMYFUNCTION("""COMPUTED_VALUE"""),8.3181058289E10)</f>
        <v>83181058289</v>
      </c>
      <c r="E2760" s="458">
        <f>IFERROR(__xludf.DUMMYFUNCTION("""COMPUTED_VALUE"""),0.0)</f>
        <v>0</v>
      </c>
      <c r="F2760" s="273">
        <f>IFERROR(__xludf.DUMMYFUNCTION("""COMPUTED_VALUE"""),4.0)</f>
        <v>4</v>
      </c>
      <c r="G2760" t="str">
        <f>IFERROR(__xludf.DUMMYFUNCTION("""COMPUTED_VALUE"""),"Sabun batang 1 Box ( 2 PCS )")</f>
        <v>Sabun batang 1 Box ( 2 PCS )</v>
      </c>
      <c r="H2760" s="469"/>
      <c r="I2760" s="470"/>
      <c r="K2760" s="470"/>
      <c r="M2760" s="470"/>
      <c r="O2760" s="470"/>
    </row>
    <row r="2761">
      <c r="A2761" s="282" t="str">
        <f>IFERROR(__xludf.DUMMYFUNCTION("""COMPUTED_VALUE"""),"MICRO")</f>
        <v>MICRO</v>
      </c>
      <c r="B2761" s="468" t="str">
        <f>IFERROR(__xludf.DUMMYFUNCTION("""COMPUTED_VALUE"""),"heyyraaaaa")</f>
        <v>heyyraaaaa</v>
      </c>
      <c r="C2761" s="283" t="str">
        <f>IFERROR(__xludf.DUMMYFUNCTION("""COMPUTED_VALUE"""),"https://www.tiktok.com/@heyyraaaaa")</f>
        <v>https://www.tiktok.com/@heyyraaaaa</v>
      </c>
      <c r="D2761" s="273">
        <f>IFERROR(__xludf.DUMMYFUNCTION("""COMPUTED_VALUE"""),8.5655502331E10)</f>
        <v>85655502331</v>
      </c>
      <c r="E2761" s="458">
        <f>IFERROR(__xludf.DUMMYFUNCTION("""COMPUTED_VALUE"""),0.0)</f>
        <v>0</v>
      </c>
      <c r="F2761" s="273">
        <f>IFERROR(__xludf.DUMMYFUNCTION("""COMPUTED_VALUE"""),4.0)</f>
        <v>4</v>
      </c>
      <c r="G2761" t="str">
        <f>IFERROR(__xludf.DUMMYFUNCTION("""COMPUTED_VALUE"""),"Sabun batang 1 Box ( 2 PCS )")</f>
        <v>Sabun batang 1 Box ( 2 PCS )</v>
      </c>
      <c r="H2761" s="469"/>
      <c r="I2761" s="470"/>
      <c r="K2761" s="470"/>
      <c r="M2761" s="470"/>
      <c r="O2761" s="470"/>
    </row>
    <row r="2762">
      <c r="A2762" s="282" t="str">
        <f>IFERROR(__xludf.DUMMYFUNCTION("""COMPUTED_VALUE"""),"MICRO")</f>
        <v>MICRO</v>
      </c>
      <c r="B2762" s="468" t="str">
        <f>IFERROR(__xludf.DUMMYFUNCTION("""COMPUTED_VALUE"""),"nnv427")</f>
        <v>nnv427</v>
      </c>
      <c r="C2762" s="283" t="str">
        <f>IFERROR(__xludf.DUMMYFUNCTION("""COMPUTED_VALUE"""),"https://www.tiktok.com/@nnv427")</f>
        <v>https://www.tiktok.com/@nnv427</v>
      </c>
      <c r="D2762" s="273">
        <f>IFERROR(__xludf.DUMMYFUNCTION("""COMPUTED_VALUE"""),8.5601957967E10)</f>
        <v>85601957967</v>
      </c>
      <c r="E2762" s="458">
        <f>IFERROR(__xludf.DUMMYFUNCTION("""COMPUTED_VALUE"""),0.0)</f>
        <v>0</v>
      </c>
      <c r="F2762" s="273">
        <f>IFERROR(__xludf.DUMMYFUNCTION("""COMPUTED_VALUE"""),4.0)</f>
        <v>4</v>
      </c>
      <c r="G2762" t="str">
        <f>IFERROR(__xludf.DUMMYFUNCTION("""COMPUTED_VALUE"""),"Sabun batang 1 Box ( 2 PCS )")</f>
        <v>Sabun batang 1 Box ( 2 PCS )</v>
      </c>
      <c r="H2762" s="469"/>
      <c r="I2762" s="470"/>
      <c r="K2762" s="470"/>
      <c r="M2762" s="470"/>
      <c r="O2762" s="470"/>
    </row>
    <row r="2763">
      <c r="A2763" s="282" t="str">
        <f>IFERROR(__xludf.DUMMYFUNCTION("""COMPUTED_VALUE"""),"MICRO")</f>
        <v>MICRO</v>
      </c>
      <c r="B2763" s="468" t="str">
        <f>IFERROR(__xludf.DUMMYFUNCTION("""COMPUTED_VALUE"""),"chaloav_08")</f>
        <v>chaloav_08</v>
      </c>
      <c r="C2763" s="283" t="str">
        <f>IFERROR(__xludf.DUMMYFUNCTION("""COMPUTED_VALUE"""),"https://www.tiktok.com/@chaloav_08")</f>
        <v>https://www.tiktok.com/@chaloav_08</v>
      </c>
      <c r="D2763" s="273">
        <f>IFERROR(__xludf.DUMMYFUNCTION("""COMPUTED_VALUE"""),8.5717653229E10)</f>
        <v>85717653229</v>
      </c>
      <c r="E2763" s="458">
        <f>IFERROR(__xludf.DUMMYFUNCTION("""COMPUTED_VALUE"""),0.0)</f>
        <v>0</v>
      </c>
      <c r="F2763" s="273">
        <f>IFERROR(__xludf.DUMMYFUNCTION("""COMPUTED_VALUE"""),4.0)</f>
        <v>4</v>
      </c>
      <c r="G2763" t="str">
        <f>IFERROR(__xludf.DUMMYFUNCTION("""COMPUTED_VALUE"""),"Sabun batang 1 Box ( 2 PCS )")</f>
        <v>Sabun batang 1 Box ( 2 PCS )</v>
      </c>
      <c r="H2763" s="469"/>
      <c r="I2763" s="470"/>
      <c r="K2763" s="470"/>
      <c r="M2763" s="470"/>
      <c r="O2763" s="470"/>
    </row>
    <row r="2764">
      <c r="A2764" s="282" t="str">
        <f>IFERROR(__xludf.DUMMYFUNCTION("""COMPUTED_VALUE"""),"MICRO")</f>
        <v>MICRO</v>
      </c>
      <c r="B2764" s="468" t="str">
        <f>IFERROR(__xludf.DUMMYFUNCTION("""COMPUTED_VALUE"""),"peoplecallmeciipa")</f>
        <v>peoplecallmeciipa</v>
      </c>
      <c r="C2764" s="283" t="str">
        <f>IFERROR(__xludf.DUMMYFUNCTION("""COMPUTED_VALUE"""),"https://www.tiktok.com/@peoplecallmeciipa")</f>
        <v>https://www.tiktok.com/@peoplecallmeciipa</v>
      </c>
      <c r="D2764" s="273">
        <f>IFERROR(__xludf.DUMMYFUNCTION("""COMPUTED_VALUE"""),8.95373899576E11)</f>
        <v>895373899576</v>
      </c>
      <c r="E2764" s="458">
        <f>IFERROR(__xludf.DUMMYFUNCTION("""COMPUTED_VALUE"""),0.0)</f>
        <v>0</v>
      </c>
      <c r="F2764" s="273">
        <f>IFERROR(__xludf.DUMMYFUNCTION("""COMPUTED_VALUE"""),4.0)</f>
        <v>4</v>
      </c>
      <c r="G2764" t="str">
        <f>IFERROR(__xludf.DUMMYFUNCTION("""COMPUTED_VALUE"""),"Sabun batang 1 Box ( 2 PCS )")</f>
        <v>Sabun batang 1 Box ( 2 PCS )</v>
      </c>
      <c r="H2764" s="469"/>
      <c r="I2764" s="470"/>
      <c r="K2764" s="470"/>
      <c r="M2764" s="470"/>
      <c r="O2764" s="470"/>
    </row>
    <row r="2765">
      <c r="A2765" s="282" t="str">
        <f>IFERROR(__xludf.DUMMYFUNCTION("""COMPUTED_VALUE"""),"MICRO")</f>
        <v>MICRO</v>
      </c>
      <c r="B2765" s="468" t="str">
        <f>IFERROR(__xludf.DUMMYFUNCTION("""COMPUTED_VALUE"""),"spillbyraa")</f>
        <v>spillbyraa</v>
      </c>
      <c r="C2765" s="283" t="str">
        <f>IFERROR(__xludf.DUMMYFUNCTION("""COMPUTED_VALUE"""),"https://www.tiktok.com/@spillbyraa")</f>
        <v>https://www.tiktok.com/@spillbyraa</v>
      </c>
      <c r="D2765" s="273">
        <f>IFERROR(__xludf.DUMMYFUNCTION("""COMPUTED_VALUE"""),8.2362654255E10)</f>
        <v>82362654255</v>
      </c>
      <c r="E2765" s="458">
        <f>IFERROR(__xludf.DUMMYFUNCTION("""COMPUTED_VALUE"""),0.0)</f>
        <v>0</v>
      </c>
      <c r="F2765" s="273">
        <f>IFERROR(__xludf.DUMMYFUNCTION("""COMPUTED_VALUE"""),4.0)</f>
        <v>4</v>
      </c>
      <c r="G2765" t="str">
        <f>IFERROR(__xludf.DUMMYFUNCTION("""COMPUTED_VALUE"""),"Sabun batang 1 Box ( 2 PCS )")</f>
        <v>Sabun batang 1 Box ( 2 PCS )</v>
      </c>
      <c r="H2765" s="469"/>
      <c r="I2765" s="470"/>
      <c r="K2765" s="470"/>
      <c r="M2765" s="470"/>
      <c r="O2765" s="470"/>
    </row>
    <row r="2766">
      <c r="A2766" s="282" t="str">
        <f>IFERROR(__xludf.DUMMYFUNCTION("""COMPUTED_VALUE"""),"MICRO")</f>
        <v>MICRO</v>
      </c>
      <c r="B2766" s="468" t="str">
        <f>IFERROR(__xludf.DUMMYFUNCTION("""COMPUTED_VALUE"""),"hiselsr")</f>
        <v>hiselsr</v>
      </c>
      <c r="C2766" s="283" t="str">
        <f>IFERROR(__xludf.DUMMYFUNCTION("""COMPUTED_VALUE"""),"https://www.tiktok.com/@hiselsr")</f>
        <v>https://www.tiktok.com/@hiselsr</v>
      </c>
      <c r="D2766" s="273">
        <f>IFERROR(__xludf.DUMMYFUNCTION("""COMPUTED_VALUE"""),8.5624006276E10)</f>
        <v>85624006276</v>
      </c>
      <c r="E2766" s="458">
        <f>IFERROR(__xludf.DUMMYFUNCTION("""COMPUTED_VALUE"""),0.0)</f>
        <v>0</v>
      </c>
      <c r="F2766" s="273">
        <f>IFERROR(__xludf.DUMMYFUNCTION("""COMPUTED_VALUE"""),4.0)</f>
        <v>4</v>
      </c>
      <c r="G2766" t="str">
        <f>IFERROR(__xludf.DUMMYFUNCTION("""COMPUTED_VALUE"""),"Sabun batang 1 Box ( 2 PCS )")</f>
        <v>Sabun batang 1 Box ( 2 PCS )</v>
      </c>
      <c r="H2766" s="469"/>
      <c r="I2766" s="470"/>
      <c r="K2766" s="470"/>
      <c r="M2766" s="470"/>
      <c r="O2766" s="470"/>
    </row>
    <row r="2767">
      <c r="A2767" s="282" t="str">
        <f>IFERROR(__xludf.DUMMYFUNCTION("""COMPUTED_VALUE"""),"MICRO")</f>
        <v>MICRO</v>
      </c>
      <c r="B2767" s="468" t="str">
        <f>IFERROR(__xludf.DUMMYFUNCTION("""COMPUTED_VALUE"""),"needta3")</f>
        <v>needta3</v>
      </c>
      <c r="C2767" s="283" t="str">
        <f>IFERROR(__xludf.DUMMYFUNCTION("""COMPUTED_VALUE"""),"https://www.tiktok.com/@needta3")</f>
        <v>https://www.tiktok.com/@needta3</v>
      </c>
      <c r="D2767" s="273">
        <f>IFERROR(__xludf.DUMMYFUNCTION("""COMPUTED_VALUE"""),8.3899969805E10)</f>
        <v>83899969805</v>
      </c>
      <c r="E2767" s="458">
        <f>IFERROR(__xludf.DUMMYFUNCTION("""COMPUTED_VALUE"""),0.0)</f>
        <v>0</v>
      </c>
      <c r="F2767" s="273">
        <f>IFERROR(__xludf.DUMMYFUNCTION("""COMPUTED_VALUE"""),4.0)</f>
        <v>4</v>
      </c>
      <c r="G2767" t="str">
        <f>IFERROR(__xludf.DUMMYFUNCTION("""COMPUTED_VALUE"""),"Sabun batang 1 Box ( 2 PCS )")</f>
        <v>Sabun batang 1 Box ( 2 PCS )</v>
      </c>
      <c r="H2767" s="469"/>
      <c r="I2767" s="470"/>
      <c r="K2767" s="470"/>
      <c r="M2767" s="470"/>
      <c r="O2767" s="470"/>
    </row>
    <row r="2768">
      <c r="A2768" s="282" t="str">
        <f>IFERROR(__xludf.DUMMYFUNCTION("""COMPUTED_VALUE"""),"MICRO")</f>
        <v>MICRO</v>
      </c>
      <c r="B2768" s="468" t="str">
        <f>IFERROR(__xludf.DUMMYFUNCTION("""COMPUTED_VALUE"""),"glowlahhh")</f>
        <v>glowlahhh</v>
      </c>
      <c r="C2768" s="283" t="str">
        <f>IFERROR(__xludf.DUMMYFUNCTION("""COMPUTED_VALUE"""),"https://www.tiktok.com/@glowlahhh")</f>
        <v>https://www.tiktok.com/@glowlahhh</v>
      </c>
      <c r="D2768" s="273">
        <f>IFERROR(__xludf.DUMMYFUNCTION("""COMPUTED_VALUE"""),8.7766592931E10)</f>
        <v>87766592931</v>
      </c>
      <c r="E2768" s="458">
        <f>IFERROR(__xludf.DUMMYFUNCTION("""COMPUTED_VALUE"""),0.0)</f>
        <v>0</v>
      </c>
      <c r="F2768" s="273">
        <f>IFERROR(__xludf.DUMMYFUNCTION("""COMPUTED_VALUE"""),4.0)</f>
        <v>4</v>
      </c>
      <c r="G2768" t="str">
        <f>IFERROR(__xludf.DUMMYFUNCTION("""COMPUTED_VALUE"""),"Sabun batang 1 Box ( 2 PCS )")</f>
        <v>Sabun batang 1 Box ( 2 PCS )</v>
      </c>
      <c r="H2768" s="469"/>
      <c r="I2768" s="470"/>
      <c r="K2768" s="470"/>
      <c r="M2768" s="470"/>
      <c r="O2768" s="470"/>
    </row>
    <row r="2769">
      <c r="A2769" s="282" t="str">
        <f>IFERROR(__xludf.DUMMYFUNCTION("""COMPUTED_VALUE"""),"MICRO")</f>
        <v>MICRO</v>
      </c>
      <c r="B2769" s="468" t="str">
        <f>IFERROR(__xludf.DUMMYFUNCTION("""COMPUTED_VALUE"""),"stephani.ks")</f>
        <v>stephani.ks</v>
      </c>
      <c r="C2769" s="283" t="str">
        <f>IFERROR(__xludf.DUMMYFUNCTION("""COMPUTED_VALUE"""),"https://www.tiktok.com/@stephani.ks")</f>
        <v>https://www.tiktok.com/@stephani.ks</v>
      </c>
      <c r="D2769" s="273">
        <f>IFERROR(__xludf.DUMMYFUNCTION("""COMPUTED_VALUE"""),8.5700070812E10)</f>
        <v>85700070812</v>
      </c>
      <c r="E2769" s="458">
        <f>IFERROR(__xludf.DUMMYFUNCTION("""COMPUTED_VALUE"""),0.0)</f>
        <v>0</v>
      </c>
      <c r="F2769" s="273">
        <f>IFERROR(__xludf.DUMMYFUNCTION("""COMPUTED_VALUE"""),4.0)</f>
        <v>4</v>
      </c>
      <c r="G2769" t="str">
        <f>IFERROR(__xludf.DUMMYFUNCTION("""COMPUTED_VALUE"""),"Sabun batang 1 Box ( 2 PCS )")</f>
        <v>Sabun batang 1 Box ( 2 PCS )</v>
      </c>
      <c r="H2769" s="469"/>
      <c r="I2769" s="470"/>
      <c r="K2769" s="470"/>
      <c r="M2769" s="470"/>
      <c r="O2769" s="470"/>
    </row>
    <row r="2770">
      <c r="A2770" s="282" t="str">
        <f>IFERROR(__xludf.DUMMYFUNCTION("""COMPUTED_VALUE"""),"MICRO")</f>
        <v>MICRO</v>
      </c>
      <c r="B2770" s="468" t="str">
        <f>IFERROR(__xludf.DUMMYFUNCTION("""COMPUTED_VALUE"""),"siifarain")</f>
        <v>siifarain</v>
      </c>
      <c r="C2770" s="283" t="str">
        <f>IFERROR(__xludf.DUMMYFUNCTION("""COMPUTED_VALUE"""),"https://www.tiktok.com/@siifarain")</f>
        <v>https://www.tiktok.com/@siifarain</v>
      </c>
      <c r="D2770" s="273">
        <f>IFERROR(__xludf.DUMMYFUNCTION("""COMPUTED_VALUE"""),8.2142488369E10)</f>
        <v>82142488369</v>
      </c>
      <c r="E2770" s="458">
        <f>IFERROR(__xludf.DUMMYFUNCTION("""COMPUTED_VALUE"""),0.0)</f>
        <v>0</v>
      </c>
      <c r="F2770" s="273">
        <f>IFERROR(__xludf.DUMMYFUNCTION("""COMPUTED_VALUE"""),4.0)</f>
        <v>4</v>
      </c>
      <c r="G2770" t="str">
        <f>IFERROR(__xludf.DUMMYFUNCTION("""COMPUTED_VALUE"""),"Sabun batang 1 Box ( 2 PCS )")</f>
        <v>Sabun batang 1 Box ( 2 PCS )</v>
      </c>
      <c r="H2770" s="469"/>
      <c r="I2770" s="470"/>
      <c r="K2770" s="470"/>
      <c r="M2770" s="470"/>
      <c r="O2770" s="470"/>
    </row>
    <row r="2771">
      <c r="A2771" s="282" t="str">
        <f>IFERROR(__xludf.DUMMYFUNCTION("""COMPUTED_VALUE"""),"MICRO")</f>
        <v>MICRO</v>
      </c>
      <c r="B2771" s="468" t="str">
        <f>IFERROR(__xludf.DUMMYFUNCTION("""COMPUTED_VALUE"""),"ninayehow")</f>
        <v>ninayehow</v>
      </c>
      <c r="C2771" s="283" t="str">
        <f>IFERROR(__xludf.DUMMYFUNCTION("""COMPUTED_VALUE"""),"https://www.tiktok.com/@ninayehow")</f>
        <v>https://www.tiktok.com/@ninayehow</v>
      </c>
      <c r="D2771" s="273">
        <f>IFERROR(__xludf.DUMMYFUNCTION("""COMPUTED_VALUE"""),8.5955272659E10)</f>
        <v>85955272659</v>
      </c>
      <c r="E2771" s="458">
        <f>IFERROR(__xludf.DUMMYFUNCTION("""COMPUTED_VALUE"""),0.0)</f>
        <v>0</v>
      </c>
      <c r="F2771" s="273">
        <f>IFERROR(__xludf.DUMMYFUNCTION("""COMPUTED_VALUE"""),4.0)</f>
        <v>4</v>
      </c>
      <c r="G2771" t="str">
        <f>IFERROR(__xludf.DUMMYFUNCTION("""COMPUTED_VALUE"""),"Sabun batang 1 Box ( 2 PCS )")</f>
        <v>Sabun batang 1 Box ( 2 PCS )</v>
      </c>
      <c r="H2771" s="469"/>
      <c r="I2771" s="470"/>
      <c r="K2771" s="470"/>
      <c r="M2771" s="470"/>
      <c r="O2771" s="470"/>
    </row>
    <row r="2772">
      <c r="A2772" s="282" t="str">
        <f>IFERROR(__xludf.DUMMYFUNCTION("""COMPUTED_VALUE"""),"MICRO")</f>
        <v>MICRO</v>
      </c>
      <c r="B2772" s="468" t="str">
        <f>IFERROR(__xludf.DUMMYFUNCTION("""COMPUTED_VALUE"""),"diana_safitry")</f>
        <v>diana_safitry</v>
      </c>
      <c r="C2772" s="283" t="str">
        <f>IFERROR(__xludf.DUMMYFUNCTION("""COMPUTED_VALUE"""),"https://www.tiktok.com/@diana_safitry")</f>
        <v>https://www.tiktok.com/@diana_safitry</v>
      </c>
      <c r="D2772" s="273">
        <f>IFERROR(__xludf.DUMMYFUNCTION("""COMPUTED_VALUE"""),8.81417462E9)</f>
        <v>8814174620</v>
      </c>
      <c r="E2772" s="458">
        <f>IFERROR(__xludf.DUMMYFUNCTION("""COMPUTED_VALUE"""),0.0)</f>
        <v>0</v>
      </c>
      <c r="F2772" s="273">
        <f>IFERROR(__xludf.DUMMYFUNCTION("""COMPUTED_VALUE"""),4.0)</f>
        <v>4</v>
      </c>
      <c r="G2772" t="str">
        <f>IFERROR(__xludf.DUMMYFUNCTION("""COMPUTED_VALUE"""),"Sabun batang 1 Box ( 2 PCS )")</f>
        <v>Sabun batang 1 Box ( 2 PCS )</v>
      </c>
      <c r="H2772" s="469"/>
      <c r="I2772" s="470"/>
      <c r="K2772" s="470"/>
      <c r="M2772" s="470"/>
      <c r="O2772" s="470"/>
    </row>
    <row r="2773">
      <c r="A2773" s="282" t="str">
        <f>IFERROR(__xludf.DUMMYFUNCTION("""COMPUTED_VALUE"""),"MICRO")</f>
        <v>MICRO</v>
      </c>
      <c r="B2773" s="468" t="str">
        <f>IFERROR(__xludf.DUMMYFUNCTION("""COMPUTED_VALUE"""),"iniacha02")</f>
        <v>iniacha02</v>
      </c>
      <c r="C2773" s="283" t="str">
        <f>IFERROR(__xludf.DUMMYFUNCTION("""COMPUTED_VALUE"""),"https://www.tiktok.com/@iniacha02")</f>
        <v>https://www.tiktok.com/@iniacha02</v>
      </c>
      <c r="D2773" s="273">
        <f>IFERROR(__xludf.DUMMYFUNCTION("""COMPUTED_VALUE"""),8.1289934516E10)</f>
        <v>81289934516</v>
      </c>
      <c r="E2773" s="458">
        <f>IFERROR(__xludf.DUMMYFUNCTION("""COMPUTED_VALUE"""),0.0)</f>
        <v>0</v>
      </c>
      <c r="F2773" s="273">
        <f>IFERROR(__xludf.DUMMYFUNCTION("""COMPUTED_VALUE"""),4.0)</f>
        <v>4</v>
      </c>
      <c r="G2773" t="str">
        <f>IFERROR(__xludf.DUMMYFUNCTION("""COMPUTED_VALUE"""),"Sabun batang 1 Box ( 2 PCS )")</f>
        <v>Sabun batang 1 Box ( 2 PCS )</v>
      </c>
      <c r="H2773" s="469"/>
      <c r="I2773" s="470"/>
      <c r="K2773" s="470"/>
      <c r="M2773" s="470"/>
      <c r="O2773" s="470"/>
    </row>
    <row r="2774">
      <c r="A2774" s="282" t="str">
        <f>IFERROR(__xludf.DUMMYFUNCTION("""COMPUTED_VALUE"""),"MICRO")</f>
        <v>MICRO</v>
      </c>
      <c r="B2774" s="468" t="str">
        <f>IFERROR(__xludf.DUMMYFUNCTION("""COMPUTED_VALUE"""),"wlynov")</f>
        <v>wlynov</v>
      </c>
      <c r="C2774" s="283" t="str">
        <f>IFERROR(__xludf.DUMMYFUNCTION("""COMPUTED_VALUE"""),"https://www.tiktok.com/@wlynov")</f>
        <v>https://www.tiktok.com/@wlynov</v>
      </c>
      <c r="D2774" s="273">
        <f>IFERROR(__xludf.DUMMYFUNCTION("""COMPUTED_VALUE"""),8.9504499779E10)</f>
        <v>89504499779</v>
      </c>
      <c r="E2774" s="458">
        <f>IFERROR(__xludf.DUMMYFUNCTION("""COMPUTED_VALUE"""),0.0)</f>
        <v>0</v>
      </c>
      <c r="F2774" s="273">
        <f>IFERROR(__xludf.DUMMYFUNCTION("""COMPUTED_VALUE"""),4.0)</f>
        <v>4</v>
      </c>
      <c r="G2774" t="str">
        <f>IFERROR(__xludf.DUMMYFUNCTION("""COMPUTED_VALUE"""),"Sabun batang 1 Box ( 2 PCS )")</f>
        <v>Sabun batang 1 Box ( 2 PCS )</v>
      </c>
      <c r="H2774" s="469"/>
      <c r="I2774" s="470"/>
      <c r="K2774" s="470"/>
      <c r="M2774" s="470"/>
      <c r="O2774" s="470"/>
    </row>
    <row r="2775">
      <c r="A2775" s="282" t="str">
        <f>IFERROR(__xludf.DUMMYFUNCTION("""COMPUTED_VALUE"""),"MICRO")</f>
        <v>MICRO</v>
      </c>
      <c r="B2775" s="468" t="str">
        <f>IFERROR(__xludf.DUMMYFUNCTION("""COMPUTED_VALUE"""),"nengyuliaaja")</f>
        <v>nengyuliaaja</v>
      </c>
      <c r="C2775" s="283" t="str">
        <f>IFERROR(__xludf.DUMMYFUNCTION("""COMPUTED_VALUE"""),"https://www.tiktok.com/@nengyuliaaja")</f>
        <v>https://www.tiktok.com/@nengyuliaaja</v>
      </c>
      <c r="D2775" s="273">
        <f>IFERROR(__xludf.DUMMYFUNCTION("""COMPUTED_VALUE"""),8.811348172E9)</f>
        <v>8811348172</v>
      </c>
      <c r="E2775" s="458">
        <f>IFERROR(__xludf.DUMMYFUNCTION("""COMPUTED_VALUE"""),0.0)</f>
        <v>0</v>
      </c>
      <c r="F2775" s="273">
        <f>IFERROR(__xludf.DUMMYFUNCTION("""COMPUTED_VALUE"""),4.0)</f>
        <v>4</v>
      </c>
      <c r="G2775" t="str">
        <f>IFERROR(__xludf.DUMMYFUNCTION("""COMPUTED_VALUE"""),"Sabun batang 1 Box ( 2 PCS )")</f>
        <v>Sabun batang 1 Box ( 2 PCS )</v>
      </c>
      <c r="H2775" s="469"/>
      <c r="I2775" s="470"/>
      <c r="K2775" s="470"/>
      <c r="M2775" s="470"/>
      <c r="O2775" s="470"/>
    </row>
    <row r="2776">
      <c r="A2776" s="282"/>
      <c r="B2776" s="468" t="str">
        <f>IFERROR(__xludf.DUMMYFUNCTION("""COMPUTED_VALUE"""),"mutiaraanabell_")</f>
        <v>mutiaraanabell_</v>
      </c>
      <c r="C2776" s="283" t="str">
        <f>IFERROR(__xludf.DUMMYFUNCTION("""COMPUTED_VALUE"""),"https://www.tiktok.com/@mutiaraanabell_")</f>
        <v>https://www.tiktok.com/@mutiaraanabell_</v>
      </c>
      <c r="D2776" s="273">
        <f>IFERROR(__xludf.DUMMYFUNCTION("""COMPUTED_VALUE"""),8.5742004397E10)</f>
        <v>85742004397</v>
      </c>
      <c r="E2776" s="458">
        <f>IFERROR(__xludf.DUMMYFUNCTION("""COMPUTED_VALUE"""),0.0)</f>
        <v>0</v>
      </c>
      <c r="F2776" s="273">
        <f>IFERROR(__xludf.DUMMYFUNCTION("""COMPUTED_VALUE"""),4.0)</f>
        <v>4</v>
      </c>
      <c r="G2776" t="str">
        <f>IFERROR(__xludf.DUMMYFUNCTION("""COMPUTED_VALUE"""),"Sabun batang 1 Box ( 2 PCS )")</f>
        <v>Sabun batang 1 Box ( 2 PCS )</v>
      </c>
      <c r="H2776" s="469"/>
      <c r="I2776" s="470"/>
      <c r="K2776" s="470"/>
      <c r="M2776" s="470"/>
      <c r="O2776" s="470"/>
    </row>
    <row r="2777">
      <c r="A2777" s="282"/>
      <c r="B2777" s="468" t="str">
        <f>IFERROR(__xludf.DUMMYFUNCTION("""COMPUTED_VALUE"""),"imaaa.mr")</f>
        <v>imaaa.mr</v>
      </c>
      <c r="C2777" s="283" t="str">
        <f>IFERROR(__xludf.DUMMYFUNCTION("""COMPUTED_VALUE"""),"https://www.tiktok.com/@imaaa.mr")</f>
        <v>https://www.tiktok.com/@imaaa.mr</v>
      </c>
      <c r="D2777" s="273">
        <f>IFERROR(__xludf.DUMMYFUNCTION("""COMPUTED_VALUE"""),8.5939649198E10)</f>
        <v>85939649198</v>
      </c>
      <c r="E2777" s="458">
        <f>IFERROR(__xludf.DUMMYFUNCTION("""COMPUTED_VALUE"""),0.0)</f>
        <v>0</v>
      </c>
      <c r="F2777" s="273">
        <f>IFERROR(__xludf.DUMMYFUNCTION("""COMPUTED_VALUE"""),2.0)</f>
        <v>2</v>
      </c>
      <c r="G2777" t="str">
        <f>IFERROR(__xludf.DUMMYFUNCTION("""COMPUTED_VALUE"""),"Sabun batang 1 Box ( 2 PCS )")</f>
        <v>Sabun batang 1 Box ( 2 PCS )</v>
      </c>
      <c r="H2777" s="469"/>
      <c r="I2777" s="470"/>
      <c r="K2777" s="470"/>
      <c r="M2777" s="470"/>
      <c r="O2777" s="470"/>
    </row>
    <row r="2778">
      <c r="A2778" s="282"/>
      <c r="B2778" s="468" t="str">
        <f>IFERROR(__xludf.DUMMYFUNCTION("""COMPUTED_VALUE"""),"imfinayy")</f>
        <v>imfinayy</v>
      </c>
      <c r="C2778" s="283" t="str">
        <f>IFERROR(__xludf.DUMMYFUNCTION("""COMPUTED_VALUE"""),"https://www.tiktok.com/@imfinayy")</f>
        <v>https://www.tiktok.com/@imfinayy</v>
      </c>
      <c r="D2778" s="273">
        <f>IFERROR(__xludf.DUMMYFUNCTION("""COMPUTED_VALUE"""),8.813171476E9)</f>
        <v>8813171476</v>
      </c>
      <c r="E2778" s="458">
        <f>IFERROR(__xludf.DUMMYFUNCTION("""COMPUTED_VALUE"""),0.0)</f>
        <v>0</v>
      </c>
      <c r="F2778" s="273">
        <f>IFERROR(__xludf.DUMMYFUNCTION("""COMPUTED_VALUE"""),4.0)</f>
        <v>4</v>
      </c>
      <c r="G2778" t="str">
        <f>IFERROR(__xludf.DUMMYFUNCTION("""COMPUTED_VALUE"""),"Sabun batang 1 Box ( 2 PCS )")</f>
        <v>Sabun batang 1 Box ( 2 PCS )</v>
      </c>
      <c r="H2778" s="469"/>
      <c r="I2778" s="470"/>
      <c r="K2778" s="470"/>
      <c r="M2778" s="470"/>
      <c r="O2778" s="470"/>
    </row>
    <row r="2779">
      <c r="A2779" s="282"/>
      <c r="B2779" s="468" t="str">
        <f>IFERROR(__xludf.DUMMYFUNCTION("""COMPUTED_VALUE"""),"mrs.sitinurlela")</f>
        <v>mrs.sitinurlela</v>
      </c>
      <c r="C2779" s="283" t="str">
        <f>IFERROR(__xludf.DUMMYFUNCTION("""COMPUTED_VALUE"""),"https://www.tiktok.com/@mrs.sitinurlela")</f>
        <v>https://www.tiktok.com/@mrs.sitinurlela</v>
      </c>
      <c r="D2779" s="273">
        <f>IFERROR(__xludf.DUMMYFUNCTION("""COMPUTED_VALUE"""),8.95403293485E11)</f>
        <v>895403293485</v>
      </c>
      <c r="E2779" s="458">
        <f>IFERROR(__xludf.DUMMYFUNCTION("""COMPUTED_VALUE"""),0.0)</f>
        <v>0</v>
      </c>
      <c r="F2779" s="273">
        <f>IFERROR(__xludf.DUMMYFUNCTION("""COMPUTED_VALUE"""),4.0)</f>
        <v>4</v>
      </c>
      <c r="G2779" t="str">
        <f>IFERROR(__xludf.DUMMYFUNCTION("""COMPUTED_VALUE"""),"Sabun batang 1 Box ( 2 PCS )")</f>
        <v>Sabun batang 1 Box ( 2 PCS )</v>
      </c>
      <c r="H2779" s="469"/>
      <c r="I2779" s="470"/>
      <c r="K2779" s="470"/>
      <c r="M2779" s="470"/>
      <c r="O2779" s="470"/>
    </row>
    <row r="2780">
      <c r="A2780" s="282"/>
      <c r="B2780" s="468" t="str">
        <f>IFERROR(__xludf.DUMMYFUNCTION("""COMPUTED_VALUE"""),"fadilaaamp_")</f>
        <v>fadilaaamp_</v>
      </c>
      <c r="C2780" s="283" t="str">
        <f>IFERROR(__xludf.DUMMYFUNCTION("""COMPUTED_VALUE"""),"https://www.tiktok.com/@fadilaaamp_")</f>
        <v>https://www.tiktok.com/@fadilaaamp_</v>
      </c>
      <c r="D2780" s="273">
        <f>IFERROR(__xludf.DUMMYFUNCTION("""COMPUTED_VALUE"""),8.57935615E10)</f>
        <v>85793561500</v>
      </c>
      <c r="E2780" s="458">
        <f>IFERROR(__xludf.DUMMYFUNCTION("""COMPUTED_VALUE"""),0.0)</f>
        <v>0</v>
      </c>
      <c r="F2780" s="273">
        <f>IFERROR(__xludf.DUMMYFUNCTION("""COMPUTED_VALUE"""),4.0)</f>
        <v>4</v>
      </c>
      <c r="G2780" t="str">
        <f>IFERROR(__xludf.DUMMYFUNCTION("""COMPUTED_VALUE"""),"Sabun batang 1 Box ( 2 PCS )")</f>
        <v>Sabun batang 1 Box ( 2 PCS )</v>
      </c>
      <c r="H2780" s="469"/>
      <c r="I2780" s="470"/>
      <c r="K2780" s="470"/>
      <c r="M2780" s="470"/>
      <c r="O2780" s="470"/>
    </row>
    <row r="2781">
      <c r="A2781" s="282"/>
      <c r="B2781" s="468" t="str">
        <f>IFERROR(__xludf.DUMMYFUNCTION("""COMPUTED_VALUE"""),"nunungnurhayatii_1")</f>
        <v>nunungnurhayatii_1</v>
      </c>
      <c r="C2781" s="283" t="str">
        <f>IFERROR(__xludf.DUMMYFUNCTION("""COMPUTED_VALUE"""),"https://www.tiktok.com/@nunungnurhayatii_1")</f>
        <v>https://www.tiktok.com/@nunungnurhayatii_1</v>
      </c>
      <c r="D2781" s="273">
        <f>IFERROR(__xludf.DUMMYFUNCTION("""COMPUTED_VALUE"""),8.5749625239E10)</f>
        <v>85749625239</v>
      </c>
      <c r="E2781" s="458">
        <f>IFERROR(__xludf.DUMMYFUNCTION("""COMPUTED_VALUE"""),0.0)</f>
        <v>0</v>
      </c>
      <c r="F2781" s="273">
        <f>IFERROR(__xludf.DUMMYFUNCTION("""COMPUTED_VALUE"""),4.0)</f>
        <v>4</v>
      </c>
      <c r="G2781" t="str">
        <f>IFERROR(__xludf.DUMMYFUNCTION("""COMPUTED_VALUE"""),"Sabun batang 1 Box ( 2 PCS )")</f>
        <v>Sabun batang 1 Box ( 2 PCS )</v>
      </c>
      <c r="H2781" s="469"/>
      <c r="I2781" s="470"/>
      <c r="K2781" s="470"/>
      <c r="M2781" s="470"/>
      <c r="O2781" s="470"/>
    </row>
    <row r="2782">
      <c r="A2782" s="282"/>
      <c r="B2782" s="468" t="str">
        <f>IFERROR(__xludf.DUMMYFUNCTION("""COMPUTED_VALUE"""),"fidifada")</f>
        <v>fidifada</v>
      </c>
      <c r="C2782" s="283" t="str">
        <f>IFERROR(__xludf.DUMMYFUNCTION("""COMPUTED_VALUE"""),"https://www.tiktok.com/@fidifada")</f>
        <v>https://www.tiktok.com/@fidifada</v>
      </c>
      <c r="D2782" s="273">
        <f>IFERROR(__xludf.DUMMYFUNCTION("""COMPUTED_VALUE"""),8.1235643571E10)</f>
        <v>81235643571</v>
      </c>
      <c r="E2782" s="458">
        <f>IFERROR(__xludf.DUMMYFUNCTION("""COMPUTED_VALUE"""),0.0)</f>
        <v>0</v>
      </c>
      <c r="F2782" s="273">
        <f>IFERROR(__xludf.DUMMYFUNCTION("""COMPUTED_VALUE"""),4.0)</f>
        <v>4</v>
      </c>
      <c r="G2782" t="str">
        <f>IFERROR(__xludf.DUMMYFUNCTION("""COMPUTED_VALUE"""),"Sabun batang 1 Box ( 2 PCS )")</f>
        <v>Sabun batang 1 Box ( 2 PCS )</v>
      </c>
      <c r="H2782" s="469"/>
      <c r="I2782" s="470"/>
      <c r="K2782" s="470"/>
      <c r="M2782" s="470"/>
      <c r="O2782" s="470"/>
    </row>
    <row r="2783">
      <c r="A2783" s="282"/>
      <c r="B2783" s="468" t="str">
        <f>IFERROR(__xludf.DUMMYFUNCTION("""COMPUTED_VALUE"""),"ainaadt")</f>
        <v>ainaadt</v>
      </c>
      <c r="C2783" s="283" t="str">
        <f>IFERROR(__xludf.DUMMYFUNCTION("""COMPUTED_VALUE"""),"https://www.tiktok.com/@ainaadt")</f>
        <v>https://www.tiktok.com/@ainaadt</v>
      </c>
      <c r="D2783" s="273">
        <f>IFERROR(__xludf.DUMMYFUNCTION("""COMPUTED_VALUE"""),8.572531242E10)</f>
        <v>85725312420</v>
      </c>
      <c r="E2783" s="458">
        <f>IFERROR(__xludf.DUMMYFUNCTION("""COMPUTED_VALUE"""),0.0)</f>
        <v>0</v>
      </c>
      <c r="F2783" s="273">
        <f>IFERROR(__xludf.DUMMYFUNCTION("""COMPUTED_VALUE"""),4.0)</f>
        <v>4</v>
      </c>
      <c r="G2783" t="str">
        <f>IFERROR(__xludf.DUMMYFUNCTION("""COMPUTED_VALUE"""),"Sabun batang 1 Box ( 2 PCS )")</f>
        <v>Sabun batang 1 Box ( 2 PCS )</v>
      </c>
      <c r="H2783" s="469"/>
      <c r="I2783" s="470"/>
      <c r="K2783" s="470"/>
      <c r="M2783" s="470"/>
      <c r="O2783" s="470"/>
    </row>
    <row r="2784">
      <c r="A2784" s="282"/>
      <c r="B2784" s="468" t="str">
        <f>IFERROR(__xludf.DUMMYFUNCTION("""COMPUTED_VALUE"""),"nurulhsnh002")</f>
        <v>nurulhsnh002</v>
      </c>
      <c r="C2784" s="283" t="str">
        <f>IFERROR(__xludf.DUMMYFUNCTION("""COMPUTED_VALUE"""),"https://www.tiktok.com/@nurulhsnh002")</f>
        <v>https://www.tiktok.com/@nurulhsnh002</v>
      </c>
      <c r="D2784" s="273">
        <f>IFERROR(__xludf.DUMMYFUNCTION("""COMPUTED_VALUE"""),8.215690466E10)</f>
        <v>82156904660</v>
      </c>
      <c r="E2784" s="458">
        <f>IFERROR(__xludf.DUMMYFUNCTION("""COMPUTED_VALUE"""),0.0)</f>
        <v>0</v>
      </c>
      <c r="F2784" s="273">
        <f>IFERROR(__xludf.DUMMYFUNCTION("""COMPUTED_VALUE"""),4.0)</f>
        <v>4</v>
      </c>
      <c r="G2784" t="str">
        <f>IFERROR(__xludf.DUMMYFUNCTION("""COMPUTED_VALUE"""),"Sabun batang 1 Box ( 2 PCS )")</f>
        <v>Sabun batang 1 Box ( 2 PCS )</v>
      </c>
      <c r="H2784" s="469"/>
      <c r="I2784" s="470"/>
      <c r="K2784" s="470"/>
      <c r="M2784" s="470"/>
      <c r="O2784" s="470"/>
    </row>
    <row r="2785">
      <c r="A2785" s="282"/>
      <c r="B2785" s="468" t="str">
        <f>IFERROR(__xludf.DUMMYFUNCTION("""COMPUTED_VALUE"""),"cumilbeauty")</f>
        <v>cumilbeauty</v>
      </c>
      <c r="C2785" s="283" t="str">
        <f>IFERROR(__xludf.DUMMYFUNCTION("""COMPUTED_VALUE"""),"https://www.tiktok.com/@cumilbeauty")</f>
        <v>https://www.tiktok.com/@cumilbeauty</v>
      </c>
      <c r="D2785" s="273">
        <f>IFERROR(__xludf.DUMMYFUNCTION("""COMPUTED_VALUE"""),8.82005411033E11)</f>
        <v>882005411033</v>
      </c>
      <c r="E2785" s="458">
        <f>IFERROR(__xludf.DUMMYFUNCTION("""COMPUTED_VALUE"""),0.0)</f>
        <v>0</v>
      </c>
      <c r="F2785" s="273">
        <f>IFERROR(__xludf.DUMMYFUNCTION("""COMPUTED_VALUE"""),4.0)</f>
        <v>4</v>
      </c>
      <c r="G2785" t="str">
        <f>IFERROR(__xludf.DUMMYFUNCTION("""COMPUTED_VALUE"""),"Sabun batang 1 Box ( 2 PCS )")</f>
        <v>Sabun batang 1 Box ( 2 PCS )</v>
      </c>
      <c r="H2785" s="469"/>
      <c r="I2785" s="470"/>
      <c r="K2785" s="470"/>
      <c r="M2785" s="470"/>
      <c r="O2785" s="470"/>
    </row>
    <row r="2786">
      <c r="A2786" s="282"/>
      <c r="B2786" s="468" t="str">
        <f>IFERROR(__xludf.DUMMYFUNCTION("""COMPUTED_VALUE"""),"mama_cantik99")</f>
        <v>mama_cantik99</v>
      </c>
      <c r="C2786" s="283" t="str">
        <f>IFERROR(__xludf.DUMMYFUNCTION("""COMPUTED_VALUE"""),"https://www.tiktok.com/@mama_cantik99")</f>
        <v>https://www.tiktok.com/@mama_cantik99</v>
      </c>
      <c r="D2786" s="273">
        <f>IFERROR(__xludf.DUMMYFUNCTION("""COMPUTED_VALUE"""),8.2322364779E10)</f>
        <v>82322364779</v>
      </c>
      <c r="E2786" s="458">
        <f>IFERROR(__xludf.DUMMYFUNCTION("""COMPUTED_VALUE"""),0.0)</f>
        <v>0</v>
      </c>
      <c r="F2786" s="273">
        <f>IFERROR(__xludf.DUMMYFUNCTION("""COMPUTED_VALUE"""),4.0)</f>
        <v>4</v>
      </c>
      <c r="G2786" t="str">
        <f>IFERROR(__xludf.DUMMYFUNCTION("""COMPUTED_VALUE"""),"Sabun batang 1 Box ( 2 PCS )")</f>
        <v>Sabun batang 1 Box ( 2 PCS )</v>
      </c>
      <c r="H2786" s="469"/>
      <c r="I2786" s="470"/>
      <c r="K2786" s="470"/>
      <c r="M2786" s="470"/>
      <c r="O2786" s="470"/>
    </row>
    <row r="2787">
      <c r="A2787" s="282"/>
      <c r="B2787" s="468" t="str">
        <f>IFERROR(__xludf.DUMMYFUNCTION("""COMPUTED_VALUE"""),"beautifulgirl_2121")</f>
        <v>beautifulgirl_2121</v>
      </c>
      <c r="C2787" s="283" t="str">
        <f>IFERROR(__xludf.DUMMYFUNCTION("""COMPUTED_VALUE"""),"https://www.tiktok.com/@beautifulgirl_2121")</f>
        <v>https://www.tiktok.com/@beautifulgirl_2121</v>
      </c>
      <c r="D2787" s="273">
        <f>IFERROR(__xludf.DUMMYFUNCTION("""COMPUTED_VALUE"""),8.1275013893E10)</f>
        <v>81275013893</v>
      </c>
      <c r="E2787" s="458">
        <f>IFERROR(__xludf.DUMMYFUNCTION("""COMPUTED_VALUE"""),0.0)</f>
        <v>0</v>
      </c>
      <c r="F2787" s="273">
        <f>IFERROR(__xludf.DUMMYFUNCTION("""COMPUTED_VALUE"""),2.0)</f>
        <v>2</v>
      </c>
      <c r="G2787" t="str">
        <f>IFERROR(__xludf.DUMMYFUNCTION("""COMPUTED_VALUE"""),"Sabun batang 1 Box ( 2 PCS )")</f>
        <v>Sabun batang 1 Box ( 2 PCS )</v>
      </c>
      <c r="H2787" s="469"/>
      <c r="I2787" s="470"/>
      <c r="K2787" s="470"/>
      <c r="M2787" s="470"/>
      <c r="O2787" s="470"/>
    </row>
    <row r="2788">
      <c r="A2788" s="282"/>
      <c r="B2788" s="468" t="str">
        <f>IFERROR(__xludf.DUMMYFUNCTION("""COMPUTED_VALUE"""),"privatebutnotsecret24")</f>
        <v>privatebutnotsecret24</v>
      </c>
      <c r="C2788" s="283" t="str">
        <f>IFERROR(__xludf.DUMMYFUNCTION("""COMPUTED_VALUE"""),"https://www.tiktok.com/@privatebutnotsecret24")</f>
        <v>https://www.tiktok.com/@privatebutnotsecret24</v>
      </c>
      <c r="D2788" s="273">
        <f>IFERROR(__xludf.DUMMYFUNCTION("""COMPUTED_VALUE"""),8.7877112008E10)</f>
        <v>87877112008</v>
      </c>
      <c r="E2788" s="458">
        <f>IFERROR(__xludf.DUMMYFUNCTION("""COMPUTED_VALUE"""),0.0)</f>
        <v>0</v>
      </c>
      <c r="F2788" s="273">
        <f>IFERROR(__xludf.DUMMYFUNCTION("""COMPUTED_VALUE"""),2.0)</f>
        <v>2</v>
      </c>
      <c r="G2788" t="str">
        <f>IFERROR(__xludf.DUMMYFUNCTION("""COMPUTED_VALUE"""),"Sabun batang 1 Box ( 2 PCS )")</f>
        <v>Sabun batang 1 Box ( 2 PCS )</v>
      </c>
      <c r="H2788" s="469"/>
      <c r="I2788" s="470"/>
      <c r="K2788" s="470"/>
      <c r="M2788" s="470"/>
      <c r="O2788" s="470"/>
    </row>
    <row r="2789">
      <c r="A2789" s="282"/>
      <c r="B2789" s="468" t="str">
        <f>IFERROR(__xludf.DUMMYFUNCTION("""COMPUTED_VALUE"""),"copleapii")</f>
        <v>copleapii</v>
      </c>
      <c r="C2789" s="283" t="str">
        <f>IFERROR(__xludf.DUMMYFUNCTION("""COMPUTED_VALUE"""),"https://www.tiktok.com/@copleapii")</f>
        <v>https://www.tiktok.com/@copleapii</v>
      </c>
      <c r="D2789" s="273">
        <f>IFERROR(__xludf.DUMMYFUNCTION("""COMPUTED_VALUE"""),8.970462797E9)</f>
        <v>8970462797</v>
      </c>
      <c r="E2789" s="458">
        <f>IFERROR(__xludf.DUMMYFUNCTION("""COMPUTED_VALUE"""),0.0)</f>
        <v>0</v>
      </c>
      <c r="F2789" s="273">
        <f>IFERROR(__xludf.DUMMYFUNCTION("""COMPUTED_VALUE"""),4.0)</f>
        <v>4</v>
      </c>
      <c r="G2789" t="str">
        <f>IFERROR(__xludf.DUMMYFUNCTION("""COMPUTED_VALUE"""),"Sabun batang 1 Box ( 2 PCS )")</f>
        <v>Sabun batang 1 Box ( 2 PCS )</v>
      </c>
      <c r="H2789" s="469"/>
      <c r="I2789" s="470"/>
      <c r="K2789" s="470"/>
      <c r="M2789" s="470"/>
      <c r="O2789" s="470"/>
    </row>
    <row r="2790">
      <c r="A2790" s="282"/>
      <c r="B2790" s="468" t="str">
        <f>IFERROR(__xludf.DUMMYFUNCTION("""COMPUTED_VALUE"""),"bucincantik3")</f>
        <v>bucincantik3</v>
      </c>
      <c r="C2790" s="283" t="str">
        <f>IFERROR(__xludf.DUMMYFUNCTION("""COMPUTED_VALUE"""),"https://www.tiktok.com/@bucincantik3")</f>
        <v>https://www.tiktok.com/@bucincantik3</v>
      </c>
      <c r="D2790" s="273">
        <f>IFERROR(__xludf.DUMMYFUNCTION("""COMPUTED_VALUE"""),8.3834886647E10)</f>
        <v>83834886647</v>
      </c>
      <c r="E2790" s="458">
        <f>IFERROR(__xludf.DUMMYFUNCTION("""COMPUTED_VALUE"""),0.0)</f>
        <v>0</v>
      </c>
      <c r="F2790" s="273">
        <f>IFERROR(__xludf.DUMMYFUNCTION("""COMPUTED_VALUE"""),4.0)</f>
        <v>4</v>
      </c>
      <c r="G2790" t="str">
        <f>IFERROR(__xludf.DUMMYFUNCTION("""COMPUTED_VALUE"""),"Sabun batang 1 Box ( 2 PCS )")</f>
        <v>Sabun batang 1 Box ( 2 PCS )</v>
      </c>
      <c r="H2790" s="469"/>
      <c r="I2790" s="470"/>
      <c r="K2790" s="470"/>
      <c r="M2790" s="470"/>
      <c r="O2790" s="470"/>
    </row>
    <row r="2791">
      <c r="A2791" s="282"/>
      <c r="B2791" s="468" t="str">
        <f>IFERROR(__xludf.DUMMYFUNCTION("""COMPUTED_VALUE"""),"maramara16_")</f>
        <v>maramara16_</v>
      </c>
      <c r="C2791" s="283" t="str">
        <f>IFERROR(__xludf.DUMMYFUNCTION("""COMPUTED_VALUE"""),"https://www.tiktok.com/@maramara16_")</f>
        <v>https://www.tiktok.com/@maramara16_</v>
      </c>
      <c r="D2791" s="273">
        <f>IFERROR(__xludf.DUMMYFUNCTION("""COMPUTED_VALUE"""),8.5730200227E10)</f>
        <v>85730200227</v>
      </c>
      <c r="E2791" s="458">
        <f>IFERROR(__xludf.DUMMYFUNCTION("""COMPUTED_VALUE"""),0.0)</f>
        <v>0</v>
      </c>
      <c r="F2791" s="273">
        <f>IFERROR(__xludf.DUMMYFUNCTION("""COMPUTED_VALUE"""),4.0)</f>
        <v>4</v>
      </c>
      <c r="G2791" t="str">
        <f>IFERROR(__xludf.DUMMYFUNCTION("""COMPUTED_VALUE"""),"Sabun batang 1 Box ( 2 PCS )")</f>
        <v>Sabun batang 1 Box ( 2 PCS )</v>
      </c>
      <c r="H2791" s="469"/>
      <c r="I2791" s="470"/>
      <c r="K2791" s="470"/>
      <c r="M2791" s="470"/>
      <c r="O2791" s="470"/>
    </row>
    <row r="2792">
      <c r="A2792" s="282"/>
      <c r="B2792" s="468" t="str">
        <f>IFERROR(__xludf.DUMMYFUNCTION("""COMPUTED_VALUE"""),"geminies22")</f>
        <v>geminies22</v>
      </c>
      <c r="C2792" s="283" t="str">
        <f>IFERROR(__xludf.DUMMYFUNCTION("""COMPUTED_VALUE"""),"https://www.tiktok.com/@geminies22")</f>
        <v>https://www.tiktok.com/@geminies22</v>
      </c>
      <c r="D2792" s="273">
        <f>IFERROR(__xludf.DUMMYFUNCTION("""COMPUTED_VALUE"""),8.8270854909E10)</f>
        <v>88270854909</v>
      </c>
      <c r="E2792" s="458">
        <f>IFERROR(__xludf.DUMMYFUNCTION("""COMPUTED_VALUE"""),0.0)</f>
        <v>0</v>
      </c>
      <c r="F2792" s="273">
        <f>IFERROR(__xludf.DUMMYFUNCTION("""COMPUTED_VALUE"""),4.0)</f>
        <v>4</v>
      </c>
      <c r="G2792" t="str">
        <f>IFERROR(__xludf.DUMMYFUNCTION("""COMPUTED_VALUE"""),"Sabun batang 1 Box ( 2 PCS )")</f>
        <v>Sabun batang 1 Box ( 2 PCS )</v>
      </c>
      <c r="H2792" s="469"/>
      <c r="I2792" s="470"/>
      <c r="K2792" s="470"/>
      <c r="M2792" s="470"/>
      <c r="O2792" s="470"/>
    </row>
    <row r="2793">
      <c r="A2793" s="282"/>
      <c r="B2793" s="468" t="str">
        <f>IFERROR(__xludf.DUMMYFUNCTION("""COMPUTED_VALUE"""),"derramedesp")</f>
        <v>derramedesp</v>
      </c>
      <c r="C2793" s="283" t="str">
        <f>IFERROR(__xludf.DUMMYFUNCTION("""COMPUTED_VALUE"""),"https://www.tiktok.com/@derramedesp")</f>
        <v>https://www.tiktok.com/@derramedesp</v>
      </c>
      <c r="D2793" s="273">
        <f>IFERROR(__xludf.DUMMYFUNCTION("""COMPUTED_VALUE"""),8.8808383505E10)</f>
        <v>88808383505</v>
      </c>
      <c r="E2793" s="458">
        <f>IFERROR(__xludf.DUMMYFUNCTION("""COMPUTED_VALUE"""),0.0)</f>
        <v>0</v>
      </c>
      <c r="F2793" s="273">
        <f>IFERROR(__xludf.DUMMYFUNCTION("""COMPUTED_VALUE"""),4.0)</f>
        <v>4</v>
      </c>
      <c r="G2793" t="str">
        <f>IFERROR(__xludf.DUMMYFUNCTION("""COMPUTED_VALUE"""),"Sabun batang 1 Box ( 2 PCS )")</f>
        <v>Sabun batang 1 Box ( 2 PCS )</v>
      </c>
      <c r="H2793" s="469"/>
      <c r="I2793" s="470"/>
      <c r="K2793" s="470"/>
      <c r="M2793" s="470"/>
      <c r="O2793" s="470"/>
    </row>
    <row r="2794">
      <c r="A2794" s="282"/>
      <c r="B2794" s="468" t="str">
        <f>IFERROR(__xludf.DUMMYFUNCTION("""COMPUTED_VALUE"""),"mama_hniashop")</f>
        <v>mama_hniashop</v>
      </c>
      <c r="C2794" s="283" t="str">
        <f>IFERROR(__xludf.DUMMYFUNCTION("""COMPUTED_VALUE"""),"https://www.tiktok.com/@mama_hniashop")</f>
        <v>https://www.tiktok.com/@mama_hniashop</v>
      </c>
      <c r="D2794" s="273">
        <f>IFERROR(__xludf.DUMMYFUNCTION("""COMPUTED_VALUE"""),8.2254177463E10)</f>
        <v>82254177463</v>
      </c>
      <c r="E2794" s="458">
        <f>IFERROR(__xludf.DUMMYFUNCTION("""COMPUTED_VALUE"""),0.0)</f>
        <v>0</v>
      </c>
      <c r="F2794" s="273">
        <f>IFERROR(__xludf.DUMMYFUNCTION("""COMPUTED_VALUE"""),4.0)</f>
        <v>4</v>
      </c>
      <c r="G2794" t="str">
        <f>IFERROR(__xludf.DUMMYFUNCTION("""COMPUTED_VALUE"""),"Sabun batang 1 Box ( 2 PCS )")</f>
        <v>Sabun batang 1 Box ( 2 PCS )</v>
      </c>
      <c r="H2794" s="469"/>
      <c r="I2794" s="470"/>
      <c r="K2794" s="470"/>
      <c r="M2794" s="470"/>
      <c r="O2794" s="470"/>
    </row>
    <row r="2795">
      <c r="A2795" s="282"/>
      <c r="B2795" s="468" t="str">
        <f>IFERROR(__xludf.DUMMYFUNCTION("""COMPUTED_VALUE"""),"suritiw")</f>
        <v>suritiw</v>
      </c>
      <c r="C2795" s="283" t="str">
        <f>IFERROR(__xludf.DUMMYFUNCTION("""COMPUTED_VALUE"""),"https://www.tiktok.com/@suritiw")</f>
        <v>https://www.tiktok.com/@suritiw</v>
      </c>
      <c r="D2795" s="273">
        <f>IFERROR(__xludf.DUMMYFUNCTION("""COMPUTED_VALUE"""),8.2315648181E10)</f>
        <v>82315648181</v>
      </c>
      <c r="E2795" s="458">
        <f>IFERROR(__xludf.DUMMYFUNCTION("""COMPUTED_VALUE"""),0.0)</f>
        <v>0</v>
      </c>
      <c r="F2795" s="273">
        <f>IFERROR(__xludf.DUMMYFUNCTION("""COMPUTED_VALUE"""),4.0)</f>
        <v>4</v>
      </c>
      <c r="G2795" t="str">
        <f>IFERROR(__xludf.DUMMYFUNCTION("""COMPUTED_VALUE"""),"Sabun batang 1 Box ( 2 PCS )")</f>
        <v>Sabun batang 1 Box ( 2 PCS )</v>
      </c>
      <c r="H2795" s="469"/>
      <c r="I2795" s="470"/>
      <c r="K2795" s="470"/>
      <c r="M2795" s="470"/>
      <c r="O2795" s="470"/>
    </row>
    <row r="2796">
      <c r="A2796" s="282"/>
      <c r="B2796" s="468" t="str">
        <f>IFERROR(__xludf.DUMMYFUNCTION("""COMPUTED_VALUE"""),"recandwinata")</f>
        <v>recandwinata</v>
      </c>
      <c r="C2796" s="283" t="str">
        <f>IFERROR(__xludf.DUMMYFUNCTION("""COMPUTED_VALUE"""),"https://www.tiktok.com/@recandwinata")</f>
        <v>https://www.tiktok.com/@recandwinata</v>
      </c>
      <c r="D2796" s="273">
        <f>IFERROR(__xludf.DUMMYFUNCTION("""COMPUTED_VALUE"""),8.1276294908E10)</f>
        <v>81276294908</v>
      </c>
      <c r="E2796" s="458">
        <f>IFERROR(__xludf.DUMMYFUNCTION("""COMPUTED_VALUE"""),0.0)</f>
        <v>0</v>
      </c>
      <c r="F2796" s="273">
        <f>IFERROR(__xludf.DUMMYFUNCTION("""COMPUTED_VALUE"""),4.0)</f>
        <v>4</v>
      </c>
      <c r="G2796" t="str">
        <f>IFERROR(__xludf.DUMMYFUNCTION("""COMPUTED_VALUE"""),"Sabun batang 1 Box ( 2 PCS )")</f>
        <v>Sabun batang 1 Box ( 2 PCS )</v>
      </c>
      <c r="H2796" s="469"/>
      <c r="I2796" s="470"/>
      <c r="K2796" s="470"/>
      <c r="M2796" s="470"/>
      <c r="O2796" s="470"/>
    </row>
    <row r="2797">
      <c r="A2797" s="282"/>
      <c r="B2797" s="468" t="str">
        <f>IFERROR(__xludf.DUMMYFUNCTION("""COMPUTED_VALUE"""),"lestarryyy")</f>
        <v>lestarryyy</v>
      </c>
      <c r="C2797" s="283" t="str">
        <f>IFERROR(__xludf.DUMMYFUNCTION("""COMPUTED_VALUE"""),"https://www.tiktok.com/@lestarryyy")</f>
        <v>https://www.tiktok.com/@lestarryyy</v>
      </c>
      <c r="D2797" s="273">
        <f>IFERROR(__xludf.DUMMYFUNCTION("""COMPUTED_VALUE"""),8.5794533586E10)</f>
        <v>85794533586</v>
      </c>
      <c r="E2797" s="458">
        <f>IFERROR(__xludf.DUMMYFUNCTION("""COMPUTED_VALUE"""),0.0)</f>
        <v>0</v>
      </c>
      <c r="F2797" s="273">
        <f>IFERROR(__xludf.DUMMYFUNCTION("""COMPUTED_VALUE"""),4.0)</f>
        <v>4</v>
      </c>
      <c r="G2797" t="str">
        <f>IFERROR(__xludf.DUMMYFUNCTION("""COMPUTED_VALUE"""),"Sabun batang 1 Box ( 2 PCS )")</f>
        <v>Sabun batang 1 Box ( 2 PCS )</v>
      </c>
      <c r="H2797" s="469"/>
      <c r="I2797" s="470"/>
      <c r="K2797" s="470"/>
      <c r="M2797" s="470"/>
      <c r="O2797" s="470"/>
    </row>
    <row r="2798">
      <c r="A2798" s="282"/>
      <c r="B2798" s="468" t="str">
        <f>IFERROR(__xludf.DUMMYFUNCTION("""COMPUTED_VALUE"""),"pangesti_est")</f>
        <v>pangesti_est</v>
      </c>
      <c r="C2798" s="283" t="str">
        <f>IFERROR(__xludf.DUMMYFUNCTION("""COMPUTED_VALUE"""),"https://www.tiktok.com/@pangesti_est")</f>
        <v>https://www.tiktok.com/@pangesti_est</v>
      </c>
      <c r="D2798" s="273">
        <f>IFERROR(__xludf.DUMMYFUNCTION("""COMPUTED_VALUE"""),8.98806731E9)</f>
        <v>8988067310</v>
      </c>
      <c r="E2798" s="458">
        <f>IFERROR(__xludf.DUMMYFUNCTION("""COMPUTED_VALUE"""),0.0)</f>
        <v>0</v>
      </c>
      <c r="F2798" s="273">
        <f>IFERROR(__xludf.DUMMYFUNCTION("""COMPUTED_VALUE"""),4.0)</f>
        <v>4</v>
      </c>
      <c r="G2798" t="str">
        <f>IFERROR(__xludf.DUMMYFUNCTION("""COMPUTED_VALUE"""),"Sabun batang 1 Box ( 2 PCS )")</f>
        <v>Sabun batang 1 Box ( 2 PCS )</v>
      </c>
      <c r="H2798" s="469"/>
      <c r="I2798" s="470"/>
      <c r="K2798" s="470"/>
      <c r="M2798" s="470"/>
      <c r="O2798" s="470"/>
    </row>
    <row r="2799">
      <c r="A2799" s="282"/>
      <c r="B2799" s="468" t="str">
        <f>IFERROR(__xludf.DUMMYFUNCTION("""COMPUTED_VALUE"""),"nisaulmmn")</f>
        <v>nisaulmmn</v>
      </c>
      <c r="C2799" s="283" t="str">
        <f>IFERROR(__xludf.DUMMYFUNCTION("""COMPUTED_VALUE"""),"https://www.tiktok.com/@nisaulmmn")</f>
        <v>https://www.tiktok.com/@nisaulmmn</v>
      </c>
      <c r="D2799" s="273">
        <f>IFERROR(__xludf.DUMMYFUNCTION("""COMPUTED_VALUE"""),8.5156772947E10)</f>
        <v>85156772947</v>
      </c>
      <c r="E2799" s="458">
        <f>IFERROR(__xludf.DUMMYFUNCTION("""COMPUTED_VALUE"""),0.0)</f>
        <v>0</v>
      </c>
      <c r="F2799" s="273">
        <f>IFERROR(__xludf.DUMMYFUNCTION("""COMPUTED_VALUE"""),4.0)</f>
        <v>4</v>
      </c>
      <c r="G2799" t="str">
        <f>IFERROR(__xludf.DUMMYFUNCTION("""COMPUTED_VALUE"""),"Sabun batang 1 Box ( 2 PCS )")</f>
        <v>Sabun batang 1 Box ( 2 PCS )</v>
      </c>
      <c r="H2799" s="469"/>
      <c r="I2799" s="470"/>
      <c r="K2799" s="470"/>
      <c r="M2799" s="470"/>
      <c r="O2799" s="470"/>
    </row>
    <row r="2800">
      <c r="A2800" s="282"/>
      <c r="B2800" s="468" t="str">
        <f>IFERROR(__xludf.DUMMYFUNCTION("""COMPUTED_VALUE"""),"leonora.daily")</f>
        <v>leonora.daily</v>
      </c>
      <c r="C2800" s="283" t="str">
        <f>IFERROR(__xludf.DUMMYFUNCTION("""COMPUTED_VALUE"""),"https://www.tiktok.com/@leonora.daily")</f>
        <v>https://www.tiktok.com/@leonora.daily</v>
      </c>
      <c r="D2800" s="273">
        <f>IFERROR(__xludf.DUMMYFUNCTION("""COMPUTED_VALUE"""),8.571441916E10)</f>
        <v>85714419160</v>
      </c>
      <c r="E2800" s="458">
        <f>IFERROR(__xludf.DUMMYFUNCTION("""COMPUTED_VALUE"""),0.0)</f>
        <v>0</v>
      </c>
      <c r="F2800" s="273">
        <f>IFERROR(__xludf.DUMMYFUNCTION("""COMPUTED_VALUE"""),4.0)</f>
        <v>4</v>
      </c>
      <c r="G2800" t="str">
        <f>IFERROR(__xludf.DUMMYFUNCTION("""COMPUTED_VALUE"""),"Sabun batang 1 Box ( 2 PCS )")</f>
        <v>Sabun batang 1 Box ( 2 PCS )</v>
      </c>
      <c r="H2800" s="469"/>
      <c r="I2800" s="470"/>
      <c r="K2800" s="470"/>
      <c r="M2800" s="470"/>
      <c r="O2800" s="470"/>
    </row>
    <row r="2801">
      <c r="A2801" s="282"/>
      <c r="B2801" s="468" t="str">
        <f>IFERROR(__xludf.DUMMYFUNCTION("""COMPUTED_VALUE"""),"ranirann7")</f>
        <v>ranirann7</v>
      </c>
      <c r="C2801" s="283" t="str">
        <f>IFERROR(__xludf.DUMMYFUNCTION("""COMPUTED_VALUE"""),"https://www.tiktok.com/@ranirann7")</f>
        <v>https://www.tiktok.com/@ranirann7</v>
      </c>
      <c r="D2801" s="273">
        <f>IFERROR(__xludf.DUMMYFUNCTION("""COMPUTED_VALUE"""),8.157088043E9)</f>
        <v>8157088043</v>
      </c>
      <c r="E2801" s="458">
        <f>IFERROR(__xludf.DUMMYFUNCTION("""COMPUTED_VALUE"""),0.0)</f>
        <v>0</v>
      </c>
      <c r="F2801" s="273">
        <f>IFERROR(__xludf.DUMMYFUNCTION("""COMPUTED_VALUE"""),4.0)</f>
        <v>4</v>
      </c>
      <c r="G2801" t="str">
        <f>IFERROR(__xludf.DUMMYFUNCTION("""COMPUTED_VALUE"""),"Sabun batang 1 Box ( 2 PCS )")</f>
        <v>Sabun batang 1 Box ( 2 PCS )</v>
      </c>
      <c r="H2801" s="469"/>
      <c r="I2801" s="470"/>
      <c r="K2801" s="470"/>
      <c r="M2801" s="470"/>
      <c r="O2801" s="470"/>
    </row>
    <row r="2802">
      <c r="A2802" s="282"/>
      <c r="B2802" s="468" t="str">
        <f>IFERROR(__xludf.DUMMYFUNCTION("""COMPUTED_VALUE"""),"rachmaaaaa2")</f>
        <v>rachmaaaaa2</v>
      </c>
      <c r="C2802" s="283" t="str">
        <f>IFERROR(__xludf.DUMMYFUNCTION("""COMPUTED_VALUE"""),"https://www.tiktok.com/@rachmaaaaa2")</f>
        <v>https://www.tiktok.com/@rachmaaaaa2</v>
      </c>
      <c r="D2802" s="273">
        <f>IFERROR(__xludf.DUMMYFUNCTION("""COMPUTED_VALUE"""),8.5839372173E10)</f>
        <v>85839372173</v>
      </c>
      <c r="E2802" s="458">
        <f>IFERROR(__xludf.DUMMYFUNCTION("""COMPUTED_VALUE"""),0.0)</f>
        <v>0</v>
      </c>
      <c r="F2802" s="273">
        <f>IFERROR(__xludf.DUMMYFUNCTION("""COMPUTED_VALUE"""),4.0)</f>
        <v>4</v>
      </c>
      <c r="G2802" t="str">
        <f>IFERROR(__xludf.DUMMYFUNCTION("""COMPUTED_VALUE"""),"Sabun batang 1 Box ( 2 PCS )")</f>
        <v>Sabun batang 1 Box ( 2 PCS )</v>
      </c>
      <c r="H2802" s="469"/>
      <c r="I2802" s="470"/>
      <c r="K2802" s="470"/>
      <c r="M2802" s="470"/>
      <c r="O2802" s="470"/>
    </row>
    <row r="2803">
      <c r="A2803" s="282"/>
      <c r="B2803" s="468" t="str">
        <f>IFERROR(__xludf.DUMMYFUNCTION("""COMPUTED_VALUE"""),"piet_upiet")</f>
        <v>piet_upiet</v>
      </c>
      <c r="C2803" s="283" t="str">
        <f>IFERROR(__xludf.DUMMYFUNCTION("""COMPUTED_VALUE"""),"https://www.tiktok.com/@piet_upiet")</f>
        <v>https://www.tiktok.com/@piet_upiet</v>
      </c>
      <c r="D2803" s="273">
        <f>IFERROR(__xludf.DUMMYFUNCTION("""COMPUTED_VALUE"""),8.5714906449E10)</f>
        <v>85714906449</v>
      </c>
      <c r="E2803" s="458">
        <f>IFERROR(__xludf.DUMMYFUNCTION("""COMPUTED_VALUE"""),0.0)</f>
        <v>0</v>
      </c>
      <c r="F2803" s="273">
        <f>IFERROR(__xludf.DUMMYFUNCTION("""COMPUTED_VALUE"""),4.0)</f>
        <v>4</v>
      </c>
      <c r="G2803" t="str">
        <f>IFERROR(__xludf.DUMMYFUNCTION("""COMPUTED_VALUE"""),"Sabun batang 1 Box ( 2 PCS )")</f>
        <v>Sabun batang 1 Box ( 2 PCS )</v>
      </c>
      <c r="H2803" s="469"/>
      <c r="I2803" s="470"/>
      <c r="K2803" s="470"/>
      <c r="M2803" s="470"/>
      <c r="O2803" s="470"/>
    </row>
    <row r="2804">
      <c r="A2804" s="282"/>
      <c r="B2804" s="468" t="str">
        <f>IFERROR(__xludf.DUMMYFUNCTION("""COMPUTED_VALUE"""),"casyamine")</f>
        <v>casyamine</v>
      </c>
      <c r="C2804" s="283" t="str">
        <f>IFERROR(__xludf.DUMMYFUNCTION("""COMPUTED_VALUE"""),"https://www.tiktok.com/@casyamine")</f>
        <v>https://www.tiktok.com/@casyamine</v>
      </c>
      <c r="D2804" s="273">
        <f>IFERROR(__xludf.DUMMYFUNCTION("""COMPUTED_VALUE"""),8.1378459548E10)</f>
        <v>81378459548</v>
      </c>
      <c r="E2804" s="458">
        <f>IFERROR(__xludf.DUMMYFUNCTION("""COMPUTED_VALUE"""),0.0)</f>
        <v>0</v>
      </c>
      <c r="F2804" s="273">
        <f>IFERROR(__xludf.DUMMYFUNCTION("""COMPUTED_VALUE"""),4.0)</f>
        <v>4</v>
      </c>
      <c r="G2804" t="str">
        <f>IFERROR(__xludf.DUMMYFUNCTION("""COMPUTED_VALUE"""),"Sabun batang 1 Box ( 2 PCS )")</f>
        <v>Sabun batang 1 Box ( 2 PCS )</v>
      </c>
      <c r="H2804" s="469"/>
      <c r="I2804" s="470"/>
      <c r="K2804" s="470"/>
      <c r="M2804" s="470"/>
      <c r="O2804" s="470"/>
    </row>
    <row r="2805">
      <c r="A2805" s="282"/>
      <c r="B2805" s="468" t="str">
        <f>IFERROR(__xludf.DUMMYFUNCTION("""COMPUTED_VALUE"""),"xixiee._")</f>
        <v>xixiee._</v>
      </c>
      <c r="C2805" s="283" t="str">
        <f>IFERROR(__xludf.DUMMYFUNCTION("""COMPUTED_VALUE"""),"https://www.tiktok.com/@xixiee._")</f>
        <v>https://www.tiktok.com/@xixiee._</v>
      </c>
      <c r="D2805" s="273">
        <f>IFERROR(__xludf.DUMMYFUNCTION("""COMPUTED_VALUE"""),8.3172131259E10)</f>
        <v>83172131259</v>
      </c>
      <c r="E2805" s="458">
        <f>IFERROR(__xludf.DUMMYFUNCTION("""COMPUTED_VALUE"""),0.0)</f>
        <v>0</v>
      </c>
      <c r="F2805" s="273">
        <f>IFERROR(__xludf.DUMMYFUNCTION("""COMPUTED_VALUE"""),4.0)</f>
        <v>4</v>
      </c>
      <c r="G2805" t="str">
        <f>IFERROR(__xludf.DUMMYFUNCTION("""COMPUTED_VALUE"""),"Sabun batang 1 Box ( 2 PCS )")</f>
        <v>Sabun batang 1 Box ( 2 PCS )</v>
      </c>
      <c r="H2805" s="469"/>
      <c r="I2805" s="470"/>
      <c r="K2805" s="470"/>
      <c r="M2805" s="470"/>
      <c r="O2805" s="470"/>
    </row>
    <row r="2806">
      <c r="A2806" s="282"/>
      <c r="B2806" s="468" t="str">
        <f>IFERROR(__xludf.DUMMYFUNCTION("""COMPUTED_VALUE"""),"firdaamaliaaa_")</f>
        <v>firdaamaliaaa_</v>
      </c>
      <c r="C2806" s="283" t="str">
        <f>IFERROR(__xludf.DUMMYFUNCTION("""COMPUTED_VALUE"""),"https://www.tiktok.com/@firdaamaliaaa_")</f>
        <v>https://www.tiktok.com/@firdaamaliaaa_</v>
      </c>
      <c r="D2806" s="273">
        <f>IFERROR(__xludf.DUMMYFUNCTION("""COMPUTED_VALUE"""),8.5864414189E10)</f>
        <v>85864414189</v>
      </c>
      <c r="E2806" s="458">
        <f>IFERROR(__xludf.DUMMYFUNCTION("""COMPUTED_VALUE"""),0.0)</f>
        <v>0</v>
      </c>
      <c r="F2806" s="273">
        <f>IFERROR(__xludf.DUMMYFUNCTION("""COMPUTED_VALUE"""),4.0)</f>
        <v>4</v>
      </c>
      <c r="G2806" t="str">
        <f>IFERROR(__xludf.DUMMYFUNCTION("""COMPUTED_VALUE"""),"Sabun batang 1 Box ( 2 PCS )")</f>
        <v>Sabun batang 1 Box ( 2 PCS )</v>
      </c>
      <c r="H2806" s="469"/>
      <c r="I2806" s="470"/>
      <c r="K2806" s="470"/>
      <c r="M2806" s="470"/>
      <c r="O2806" s="470"/>
    </row>
    <row r="2807">
      <c r="A2807" s="282"/>
      <c r="B2807" s="468" t="str">
        <f>IFERROR(__xludf.DUMMYFUNCTION("""COMPUTED_VALUE"""),"ceo_batu_giok04")</f>
        <v>ceo_batu_giok04</v>
      </c>
      <c r="C2807" s="283" t="str">
        <f>IFERROR(__xludf.DUMMYFUNCTION("""COMPUTED_VALUE"""),"https://www.tiktok.com/@ceo_batu_giok04")</f>
        <v>https://www.tiktok.com/@ceo_batu_giok04</v>
      </c>
      <c r="D2807" s="273">
        <f>IFERROR(__xludf.DUMMYFUNCTION("""COMPUTED_VALUE"""),8.5759689846E10)</f>
        <v>85759689846</v>
      </c>
      <c r="E2807" s="458">
        <f>IFERROR(__xludf.DUMMYFUNCTION("""COMPUTED_VALUE"""),0.0)</f>
        <v>0</v>
      </c>
      <c r="F2807" s="273">
        <f>IFERROR(__xludf.DUMMYFUNCTION("""COMPUTED_VALUE"""),4.0)</f>
        <v>4</v>
      </c>
      <c r="G2807" t="str">
        <f>IFERROR(__xludf.DUMMYFUNCTION("""COMPUTED_VALUE"""),"Sabun batang 1 Box ( 2 PCS )")</f>
        <v>Sabun batang 1 Box ( 2 PCS )</v>
      </c>
      <c r="H2807" s="469"/>
      <c r="I2807" s="470"/>
      <c r="K2807" s="470"/>
      <c r="M2807" s="470"/>
      <c r="O2807" s="470"/>
    </row>
    <row r="2808">
      <c r="A2808" s="282"/>
      <c r="B2808" s="468" t="str">
        <f>IFERROR(__xludf.DUMMYFUNCTION("""COMPUTED_VALUE"""),"syi_syi")</f>
        <v>syi_syi</v>
      </c>
      <c r="C2808" s="283" t="str">
        <f>IFERROR(__xludf.DUMMYFUNCTION("""COMPUTED_VALUE"""),"https://www.tiktok.com/@syi_syi")</f>
        <v>https://www.tiktok.com/@syi_syi</v>
      </c>
      <c r="D2808" s="273">
        <f>IFERROR(__xludf.DUMMYFUNCTION("""COMPUTED_VALUE"""),8.5624520484E10)</f>
        <v>85624520484</v>
      </c>
      <c r="E2808" s="458">
        <f>IFERROR(__xludf.DUMMYFUNCTION("""COMPUTED_VALUE"""),0.0)</f>
        <v>0</v>
      </c>
      <c r="F2808" s="273">
        <f>IFERROR(__xludf.DUMMYFUNCTION("""COMPUTED_VALUE"""),4.0)</f>
        <v>4</v>
      </c>
      <c r="G2808" t="str">
        <f>IFERROR(__xludf.DUMMYFUNCTION("""COMPUTED_VALUE"""),"Sabun batang 1 Box ( 2 PCS )")</f>
        <v>Sabun batang 1 Box ( 2 PCS )</v>
      </c>
      <c r="H2808" s="469"/>
      <c r="I2808" s="470"/>
      <c r="K2808" s="470"/>
      <c r="M2808" s="470"/>
      <c r="O2808" s="470"/>
    </row>
    <row r="2809">
      <c r="A2809" s="282"/>
      <c r="B2809" s="468" t="str">
        <f>IFERROR(__xludf.DUMMYFUNCTION("""COMPUTED_VALUE"""),"askazorifa19")</f>
        <v>askazorifa19</v>
      </c>
      <c r="C2809" s="283" t="str">
        <f>IFERROR(__xludf.DUMMYFUNCTION("""COMPUTED_VALUE"""),"https://www.tiktok.com/@askazorifa19")</f>
        <v>https://www.tiktok.com/@askazorifa19</v>
      </c>
      <c r="D2809" s="273">
        <f>IFERROR(__xludf.DUMMYFUNCTION("""COMPUTED_VALUE"""),8.3800389407E10)</f>
        <v>83800389407</v>
      </c>
      <c r="E2809" s="458">
        <f>IFERROR(__xludf.DUMMYFUNCTION("""COMPUTED_VALUE"""),0.0)</f>
        <v>0</v>
      </c>
      <c r="F2809" s="273">
        <f>IFERROR(__xludf.DUMMYFUNCTION("""COMPUTED_VALUE"""),3.0)</f>
        <v>3</v>
      </c>
      <c r="G2809" t="str">
        <f>IFERROR(__xludf.DUMMYFUNCTION("""COMPUTED_VALUE"""),"Sabun batang 1 Box ( 2 PCS )")</f>
        <v>Sabun batang 1 Box ( 2 PCS )</v>
      </c>
      <c r="H2809" s="469"/>
      <c r="I2809" s="470"/>
      <c r="K2809" s="470"/>
      <c r="M2809" s="470"/>
      <c r="O2809" s="470"/>
    </row>
    <row r="2810">
      <c r="A2810" s="282"/>
      <c r="B2810" s="468" t="str">
        <f>IFERROR(__xludf.DUMMYFUNCTION("""COMPUTED_VALUE"""),"apriskadew")</f>
        <v>apriskadew</v>
      </c>
      <c r="C2810" s="283" t="str">
        <f>IFERROR(__xludf.DUMMYFUNCTION("""COMPUTED_VALUE"""),"https://www.tiktok.com/@apriskadew")</f>
        <v>https://www.tiktok.com/@apriskadew</v>
      </c>
      <c r="D2810" s="273">
        <f>IFERROR(__xludf.DUMMYFUNCTION("""COMPUTED_VALUE"""),8.9620758723E10)</f>
        <v>89620758723</v>
      </c>
      <c r="E2810" s="458">
        <f>IFERROR(__xludf.DUMMYFUNCTION("""COMPUTED_VALUE"""),0.0)</f>
        <v>0</v>
      </c>
      <c r="F2810" s="273">
        <f>IFERROR(__xludf.DUMMYFUNCTION("""COMPUTED_VALUE"""),4.0)</f>
        <v>4</v>
      </c>
      <c r="G2810" t="str">
        <f>IFERROR(__xludf.DUMMYFUNCTION("""COMPUTED_VALUE"""),"Sabun batang 1 Box ( 2 PCS )")</f>
        <v>Sabun batang 1 Box ( 2 PCS )</v>
      </c>
      <c r="H2810" s="469"/>
      <c r="I2810" s="470"/>
      <c r="K2810" s="470"/>
      <c r="M2810" s="470"/>
      <c r="O2810" s="470"/>
    </row>
    <row r="2811">
      <c r="A2811" s="282"/>
      <c r="B2811" s="468" t="str">
        <f>IFERROR(__xludf.DUMMYFUNCTION("""COMPUTED_VALUE"""),"machalatte.oo")</f>
        <v>machalatte.oo</v>
      </c>
      <c r="C2811" s="283" t="str">
        <f>IFERROR(__xludf.DUMMYFUNCTION("""COMPUTED_VALUE"""),"https://www.tiktok.com/@machalatte.oo")</f>
        <v>https://www.tiktok.com/@machalatte.oo</v>
      </c>
      <c r="D2811" s="273">
        <f>IFERROR(__xludf.DUMMYFUNCTION("""COMPUTED_VALUE"""),8.3821596175E10)</f>
        <v>83821596175</v>
      </c>
      <c r="E2811" s="458">
        <f>IFERROR(__xludf.DUMMYFUNCTION("""COMPUTED_VALUE"""),0.0)</f>
        <v>0</v>
      </c>
      <c r="F2811" s="273">
        <f>IFERROR(__xludf.DUMMYFUNCTION("""COMPUTED_VALUE"""),4.0)</f>
        <v>4</v>
      </c>
      <c r="G2811" t="str">
        <f>IFERROR(__xludf.DUMMYFUNCTION("""COMPUTED_VALUE"""),"Sabun batang 1 Box ( 2 PCS )")</f>
        <v>Sabun batang 1 Box ( 2 PCS )</v>
      </c>
      <c r="H2811" s="469"/>
      <c r="I2811" s="470"/>
      <c r="K2811" s="470"/>
      <c r="M2811" s="470"/>
      <c r="O2811" s="470"/>
    </row>
    <row r="2812">
      <c r="A2812" s="282"/>
      <c r="B2812" s="468" t="str">
        <f>IFERROR(__xludf.DUMMYFUNCTION("""COMPUTED_VALUE"""),"inii.riniiiii")</f>
        <v>inii.riniiiii</v>
      </c>
      <c r="C2812" s="283" t="str">
        <f>IFERROR(__xludf.DUMMYFUNCTION("""COMPUTED_VALUE"""),"https://www.tiktok.com/@inii.riniiiii")</f>
        <v>https://www.tiktok.com/@inii.riniiiii</v>
      </c>
      <c r="D2812" s="273">
        <f>IFERROR(__xludf.DUMMYFUNCTION("""COMPUTED_VALUE"""),8.5756145806E10)</f>
        <v>85756145806</v>
      </c>
      <c r="E2812" s="458">
        <f>IFERROR(__xludf.DUMMYFUNCTION("""COMPUTED_VALUE"""),0.0)</f>
        <v>0</v>
      </c>
      <c r="F2812" s="273">
        <f>IFERROR(__xludf.DUMMYFUNCTION("""COMPUTED_VALUE"""),4.0)</f>
        <v>4</v>
      </c>
      <c r="G2812" t="str">
        <f>IFERROR(__xludf.DUMMYFUNCTION("""COMPUTED_VALUE"""),"Sabun batang 1 Box ( 2 PCS )")</f>
        <v>Sabun batang 1 Box ( 2 PCS )</v>
      </c>
      <c r="H2812" s="469"/>
      <c r="I2812" s="470"/>
      <c r="K2812" s="470"/>
      <c r="M2812" s="470"/>
      <c r="O2812" s="470"/>
    </row>
    <row r="2813">
      <c r="A2813" s="282"/>
      <c r="B2813" s="468" t="str">
        <f>IFERROR(__xludf.DUMMYFUNCTION("""COMPUTED_VALUE"""),"imyourdaay")</f>
        <v>imyourdaay</v>
      </c>
      <c r="C2813" s="283" t="str">
        <f>IFERROR(__xludf.DUMMYFUNCTION("""COMPUTED_VALUE"""),"https://www.tiktok.com/@imyourdaay")</f>
        <v>https://www.tiktok.com/@imyourdaay</v>
      </c>
      <c r="D2813" s="273">
        <f>IFERROR(__xludf.DUMMYFUNCTION("""COMPUTED_VALUE"""),8.5954271558E10)</f>
        <v>85954271558</v>
      </c>
      <c r="E2813" s="458">
        <f>IFERROR(__xludf.DUMMYFUNCTION("""COMPUTED_VALUE"""),0.0)</f>
        <v>0</v>
      </c>
      <c r="F2813" s="273">
        <f>IFERROR(__xludf.DUMMYFUNCTION("""COMPUTED_VALUE"""),4.0)</f>
        <v>4</v>
      </c>
      <c r="G2813" t="str">
        <f>IFERROR(__xludf.DUMMYFUNCTION("""COMPUTED_VALUE"""),"Sabun batang 1 Box ( 2 PCS )")</f>
        <v>Sabun batang 1 Box ( 2 PCS )</v>
      </c>
      <c r="H2813" s="469"/>
      <c r="I2813" s="470"/>
      <c r="K2813" s="470"/>
      <c r="M2813" s="470"/>
      <c r="O2813" s="470"/>
    </row>
    <row r="2814">
      <c r="A2814" s="282"/>
      <c r="B2814" s="468" t="str">
        <f>IFERROR(__xludf.DUMMYFUNCTION("""COMPUTED_VALUE"""),"itsme_pipahhh")</f>
        <v>itsme_pipahhh</v>
      </c>
      <c r="C2814" s="283" t="str">
        <f>IFERROR(__xludf.DUMMYFUNCTION("""COMPUTED_VALUE"""),"https://www.tiktok.com/@itsme_pipahhh")</f>
        <v>https://www.tiktok.com/@itsme_pipahhh</v>
      </c>
      <c r="D2814" s="273">
        <f>IFERROR(__xludf.DUMMYFUNCTION("""COMPUTED_VALUE"""),8.5134375775E10)</f>
        <v>85134375775</v>
      </c>
      <c r="E2814" s="458">
        <f>IFERROR(__xludf.DUMMYFUNCTION("""COMPUTED_VALUE"""),0.0)</f>
        <v>0</v>
      </c>
      <c r="F2814" s="273">
        <f>IFERROR(__xludf.DUMMYFUNCTION("""COMPUTED_VALUE"""),4.0)</f>
        <v>4</v>
      </c>
      <c r="G2814" t="str">
        <f>IFERROR(__xludf.DUMMYFUNCTION("""COMPUTED_VALUE"""),"Sabun batang 1 Box ( 2 PCS )")</f>
        <v>Sabun batang 1 Box ( 2 PCS )</v>
      </c>
      <c r="H2814" s="469"/>
      <c r="I2814" s="470"/>
      <c r="K2814" s="470"/>
      <c r="M2814" s="470"/>
      <c r="O2814" s="470"/>
    </row>
    <row r="2815">
      <c r="A2815" s="282"/>
      <c r="B2815" s="468" t="str">
        <f>IFERROR(__xludf.DUMMYFUNCTION("""COMPUTED_VALUE"""),"agnesmu_")</f>
        <v>agnesmu_</v>
      </c>
      <c r="C2815" s="283" t="str">
        <f>IFERROR(__xludf.DUMMYFUNCTION("""COMPUTED_VALUE"""),"https://www.tiktok.com/@agnesmu_")</f>
        <v>https://www.tiktok.com/@agnesmu_</v>
      </c>
      <c r="D2815" s="273">
        <f>IFERROR(__xludf.DUMMYFUNCTION("""COMPUTED_VALUE"""),8.1387329896E10)</f>
        <v>81387329896</v>
      </c>
      <c r="E2815" s="458">
        <f>IFERROR(__xludf.DUMMYFUNCTION("""COMPUTED_VALUE"""),0.0)</f>
        <v>0</v>
      </c>
      <c r="F2815" s="273">
        <f>IFERROR(__xludf.DUMMYFUNCTION("""COMPUTED_VALUE"""),4.0)</f>
        <v>4</v>
      </c>
      <c r="G2815" t="str">
        <f>IFERROR(__xludf.DUMMYFUNCTION("""COMPUTED_VALUE"""),"Sabun batang 1 Box ( 2 PCS )")</f>
        <v>Sabun batang 1 Box ( 2 PCS )</v>
      </c>
      <c r="H2815" s="469"/>
      <c r="I2815" s="470"/>
      <c r="K2815" s="470"/>
      <c r="M2815" s="470"/>
      <c r="O2815" s="470"/>
    </row>
    <row r="2816">
      <c r="A2816" s="282"/>
      <c r="B2816" s="468" t="str">
        <f>IFERROR(__xludf.DUMMYFUNCTION("""COMPUTED_VALUE"""),"des_yannn")</f>
        <v>des_yannn</v>
      </c>
      <c r="C2816" s="283" t="str">
        <f>IFERROR(__xludf.DUMMYFUNCTION("""COMPUTED_VALUE"""),"https://www.tiktok.com/@des_yannn")</f>
        <v>https://www.tiktok.com/@des_yannn</v>
      </c>
      <c r="D2816" s="273">
        <f>IFERROR(__xludf.DUMMYFUNCTION("""COMPUTED_VALUE"""),8.8980595929E10)</f>
        <v>88980595929</v>
      </c>
      <c r="E2816" s="458">
        <f>IFERROR(__xludf.DUMMYFUNCTION("""COMPUTED_VALUE"""),0.0)</f>
        <v>0</v>
      </c>
      <c r="F2816" s="273">
        <f>IFERROR(__xludf.DUMMYFUNCTION("""COMPUTED_VALUE"""),4.0)</f>
        <v>4</v>
      </c>
      <c r="G2816" t="str">
        <f>IFERROR(__xludf.DUMMYFUNCTION("""COMPUTED_VALUE"""),"Sabun batang 1 Box ( 2 PCS )")</f>
        <v>Sabun batang 1 Box ( 2 PCS )</v>
      </c>
      <c r="H2816" s="469"/>
      <c r="I2816" s="470"/>
      <c r="K2816" s="470"/>
      <c r="M2816" s="470"/>
      <c r="O2816" s="470"/>
    </row>
    <row r="2817">
      <c r="A2817" s="282"/>
      <c r="B2817" s="468" t="str">
        <f>IFERROR(__xludf.DUMMYFUNCTION("""COMPUTED_VALUE"""),"rendut11_")</f>
        <v>rendut11_</v>
      </c>
      <c r="C2817" s="283" t="str">
        <f>IFERROR(__xludf.DUMMYFUNCTION("""COMPUTED_VALUE"""),"https://www.tiktok.com/@rendut11_")</f>
        <v>https://www.tiktok.com/@rendut11_</v>
      </c>
      <c r="D2817" s="273">
        <f>IFERROR(__xludf.DUMMYFUNCTION("""COMPUTED_VALUE"""),8.8991417297E10)</f>
        <v>88991417297</v>
      </c>
      <c r="E2817" s="458">
        <f>IFERROR(__xludf.DUMMYFUNCTION("""COMPUTED_VALUE"""),0.0)</f>
        <v>0</v>
      </c>
      <c r="F2817" s="273">
        <f>IFERROR(__xludf.DUMMYFUNCTION("""COMPUTED_VALUE"""),4.0)</f>
        <v>4</v>
      </c>
      <c r="G2817" t="str">
        <f>IFERROR(__xludf.DUMMYFUNCTION("""COMPUTED_VALUE"""),"Sabun batang 1 Box ( 2 PCS )")</f>
        <v>Sabun batang 1 Box ( 2 PCS )</v>
      </c>
      <c r="H2817" s="469"/>
      <c r="I2817" s="470"/>
      <c r="K2817" s="470"/>
      <c r="M2817" s="470"/>
      <c r="O2817" s="470"/>
    </row>
    <row r="2818">
      <c r="A2818" s="282"/>
      <c r="B2818" s="468" t="str">
        <f>IFERROR(__xludf.DUMMYFUNCTION("""COMPUTED_VALUE"""),"ariessdumpp1")</f>
        <v>ariessdumpp1</v>
      </c>
      <c r="C2818" s="283" t="str">
        <f>IFERROR(__xludf.DUMMYFUNCTION("""COMPUTED_VALUE"""),"https://www.tiktok.com/@ariessdumpp1")</f>
        <v>https://www.tiktok.com/@ariessdumpp1</v>
      </c>
      <c r="D2818" s="273">
        <f>IFERROR(__xludf.DUMMYFUNCTION("""COMPUTED_VALUE"""),8.3824733139E10)</f>
        <v>83824733139</v>
      </c>
      <c r="E2818" s="458">
        <f>IFERROR(__xludf.DUMMYFUNCTION("""COMPUTED_VALUE"""),0.0)</f>
        <v>0</v>
      </c>
      <c r="F2818" s="273">
        <f>IFERROR(__xludf.DUMMYFUNCTION("""COMPUTED_VALUE"""),4.0)</f>
        <v>4</v>
      </c>
      <c r="G2818" t="str">
        <f>IFERROR(__xludf.DUMMYFUNCTION("""COMPUTED_VALUE"""),"Sabun batang 1 Box ( 2 PCS )")</f>
        <v>Sabun batang 1 Box ( 2 PCS )</v>
      </c>
      <c r="H2818" s="469"/>
      <c r="I2818" s="470"/>
      <c r="K2818" s="470"/>
      <c r="M2818" s="470"/>
      <c r="O2818" s="470"/>
    </row>
    <row r="2819">
      <c r="A2819" s="282"/>
      <c r="B2819" s="468" t="str">
        <f>IFERROR(__xludf.DUMMYFUNCTION("""COMPUTED_VALUE"""),"maripossa311")</f>
        <v>maripossa311</v>
      </c>
      <c r="C2819" s="283" t="str">
        <f>IFERROR(__xludf.DUMMYFUNCTION("""COMPUTED_VALUE"""),"https://www.tiktok.com/@maripossa311")</f>
        <v>https://www.tiktok.com/@maripossa311</v>
      </c>
      <c r="D2819" s="273">
        <f>IFERROR(__xludf.DUMMYFUNCTION("""COMPUTED_VALUE"""),8.95808259415E11)</f>
        <v>895808259415</v>
      </c>
      <c r="E2819" s="458">
        <f>IFERROR(__xludf.DUMMYFUNCTION("""COMPUTED_VALUE"""),0.0)</f>
        <v>0</v>
      </c>
      <c r="F2819" s="273">
        <f>IFERROR(__xludf.DUMMYFUNCTION("""COMPUTED_VALUE"""),4.0)</f>
        <v>4</v>
      </c>
      <c r="G2819" t="str">
        <f>IFERROR(__xludf.DUMMYFUNCTION("""COMPUTED_VALUE"""),"Sabun batang 1 Box ( 2 PCS )")</f>
        <v>Sabun batang 1 Box ( 2 PCS )</v>
      </c>
      <c r="H2819" s="469"/>
      <c r="I2819" s="470"/>
      <c r="K2819" s="470"/>
      <c r="M2819" s="470"/>
      <c r="O2819" s="470"/>
    </row>
    <row r="2820">
      <c r="A2820" s="282"/>
      <c r="B2820" s="468" t="str">
        <f>IFERROR(__xludf.DUMMYFUNCTION("""COMPUTED_VALUE"""),"goodr652")</f>
        <v>goodr652</v>
      </c>
      <c r="C2820" s="283" t="str">
        <f>IFERROR(__xludf.DUMMYFUNCTION("""COMPUTED_VALUE"""),"https://www.tiktok.com/@goodr652")</f>
        <v>https://www.tiktok.com/@goodr652</v>
      </c>
      <c r="D2820" s="273">
        <f>IFERROR(__xludf.DUMMYFUNCTION("""COMPUTED_VALUE"""),8.3148870524E10)</f>
        <v>83148870524</v>
      </c>
      <c r="E2820" s="458">
        <f>IFERROR(__xludf.DUMMYFUNCTION("""COMPUTED_VALUE"""),0.0)</f>
        <v>0</v>
      </c>
      <c r="F2820" s="273">
        <f>IFERROR(__xludf.DUMMYFUNCTION("""COMPUTED_VALUE"""),4.0)</f>
        <v>4</v>
      </c>
      <c r="G2820" t="str">
        <f>IFERROR(__xludf.DUMMYFUNCTION("""COMPUTED_VALUE"""),"Sabun batang 1 Box ( 2 PCS )")</f>
        <v>Sabun batang 1 Box ( 2 PCS )</v>
      </c>
      <c r="H2820" s="469"/>
      <c r="I2820" s="470"/>
      <c r="K2820" s="470"/>
      <c r="M2820" s="470"/>
      <c r="O2820" s="470"/>
    </row>
    <row r="2821">
      <c r="A2821" s="282"/>
      <c r="B2821" s="468" t="str">
        <f>IFERROR(__xludf.DUMMYFUNCTION("""COMPUTED_VALUE"""),"indahpuspitasari232")</f>
        <v>indahpuspitasari232</v>
      </c>
      <c r="C2821" s="283" t="str">
        <f>IFERROR(__xludf.DUMMYFUNCTION("""COMPUTED_VALUE"""),"https://www.tiktok.com/@indahpuspitasari232")</f>
        <v>https://www.tiktok.com/@indahpuspitasari232</v>
      </c>
      <c r="D2821" s="273">
        <f>IFERROR(__xludf.DUMMYFUNCTION("""COMPUTED_VALUE"""),8.5607045301E10)</f>
        <v>85607045301</v>
      </c>
      <c r="E2821" s="458">
        <f>IFERROR(__xludf.DUMMYFUNCTION("""COMPUTED_VALUE"""),0.0)</f>
        <v>0</v>
      </c>
      <c r="F2821" s="273">
        <f>IFERROR(__xludf.DUMMYFUNCTION("""COMPUTED_VALUE"""),4.0)</f>
        <v>4</v>
      </c>
      <c r="G2821" t="str">
        <f>IFERROR(__xludf.DUMMYFUNCTION("""COMPUTED_VALUE"""),"Sabun batang 1 Box ( 2 PCS )")</f>
        <v>Sabun batang 1 Box ( 2 PCS )</v>
      </c>
      <c r="H2821" s="469"/>
      <c r="I2821" s="470"/>
      <c r="K2821" s="470"/>
      <c r="M2821" s="470"/>
      <c r="O2821" s="470"/>
    </row>
    <row r="2822">
      <c r="A2822" s="282"/>
      <c r="B2822" s="468" t="str">
        <f>IFERROR(__xludf.DUMMYFUNCTION("""COMPUTED_VALUE"""),"vg.jenn")</f>
        <v>vg.jenn</v>
      </c>
      <c r="C2822" s="283" t="str">
        <f>IFERROR(__xludf.DUMMYFUNCTION("""COMPUTED_VALUE"""),"https://www.tiktok.com/@vg.jenn")</f>
        <v>https://www.tiktok.com/@vg.jenn</v>
      </c>
      <c r="D2822" s="273">
        <f>IFERROR(__xludf.DUMMYFUNCTION("""COMPUTED_VALUE"""),8.2117614179E10)</f>
        <v>82117614179</v>
      </c>
      <c r="E2822" s="458">
        <f>IFERROR(__xludf.DUMMYFUNCTION("""COMPUTED_VALUE"""),0.0)</f>
        <v>0</v>
      </c>
      <c r="F2822" s="273">
        <f>IFERROR(__xludf.DUMMYFUNCTION("""COMPUTED_VALUE"""),4.0)</f>
        <v>4</v>
      </c>
      <c r="G2822" t="str">
        <f>IFERROR(__xludf.DUMMYFUNCTION("""COMPUTED_VALUE"""),"Sabun batang 1 Box ( 2 PCS )")</f>
        <v>Sabun batang 1 Box ( 2 PCS )</v>
      </c>
      <c r="H2822" s="469"/>
      <c r="I2822" s="470"/>
      <c r="K2822" s="470"/>
      <c r="M2822" s="470"/>
      <c r="O2822" s="470"/>
    </row>
    <row r="2823">
      <c r="A2823" s="282"/>
      <c r="B2823" s="468" t="str">
        <f>IFERROR(__xludf.DUMMYFUNCTION("""COMPUTED_VALUE"""),"prandu06")</f>
        <v>prandu06</v>
      </c>
      <c r="C2823" s="283" t="str">
        <f>IFERROR(__xludf.DUMMYFUNCTION("""COMPUTED_VALUE"""),"https://www.tiktok.com/@prandu06")</f>
        <v>https://www.tiktok.com/@prandu06</v>
      </c>
      <c r="D2823" s="273">
        <f>IFERROR(__xludf.DUMMYFUNCTION("""COMPUTED_VALUE"""),8.3869912262E10)</f>
        <v>83869912262</v>
      </c>
      <c r="E2823" s="458">
        <f>IFERROR(__xludf.DUMMYFUNCTION("""COMPUTED_VALUE"""),0.0)</f>
        <v>0</v>
      </c>
      <c r="F2823" s="273">
        <f>IFERROR(__xludf.DUMMYFUNCTION("""COMPUTED_VALUE"""),4.0)</f>
        <v>4</v>
      </c>
      <c r="G2823" t="str">
        <f>IFERROR(__xludf.DUMMYFUNCTION("""COMPUTED_VALUE"""),"Sabun batang 1 Box ( 2 PCS )")</f>
        <v>Sabun batang 1 Box ( 2 PCS )</v>
      </c>
      <c r="H2823" s="469"/>
      <c r="I2823" s="470"/>
      <c r="K2823" s="470"/>
      <c r="M2823" s="470"/>
      <c r="O2823" s="470"/>
    </row>
    <row r="2824">
      <c r="A2824" s="282"/>
      <c r="B2824" s="468" t="str">
        <f>IFERROR(__xludf.DUMMYFUNCTION("""COMPUTED_VALUE"""),"nitaprsari")</f>
        <v>nitaprsari</v>
      </c>
      <c r="C2824" s="283" t="str">
        <f>IFERROR(__xludf.DUMMYFUNCTION("""COMPUTED_VALUE"""),"https://www.tiktok.com/@nitaprsari")</f>
        <v>https://www.tiktok.com/@nitaprsari</v>
      </c>
      <c r="D2824" s="273">
        <f>IFERROR(__xludf.DUMMYFUNCTION("""COMPUTED_VALUE"""),8.7880701951E10)</f>
        <v>87880701951</v>
      </c>
      <c r="E2824" s="458">
        <f>IFERROR(__xludf.DUMMYFUNCTION("""COMPUTED_VALUE"""),0.0)</f>
        <v>0</v>
      </c>
      <c r="F2824" s="273">
        <f>IFERROR(__xludf.DUMMYFUNCTION("""COMPUTED_VALUE"""),4.0)</f>
        <v>4</v>
      </c>
      <c r="G2824" t="str">
        <f>IFERROR(__xludf.DUMMYFUNCTION("""COMPUTED_VALUE"""),"Sabun batang 1 Box ( 2 PCS )")</f>
        <v>Sabun batang 1 Box ( 2 PCS )</v>
      </c>
      <c r="H2824" s="469"/>
      <c r="I2824" s="470"/>
      <c r="K2824" s="470"/>
      <c r="M2824" s="470"/>
      <c r="O2824" s="470"/>
    </row>
    <row r="2825">
      <c r="A2825" s="282"/>
      <c r="B2825" s="468" t="str">
        <f>IFERROR(__xludf.DUMMYFUNCTION("""COMPUTED_VALUE"""),"zeeya2024")</f>
        <v>zeeya2024</v>
      </c>
      <c r="C2825" s="283" t="str">
        <f>IFERROR(__xludf.DUMMYFUNCTION("""COMPUTED_VALUE"""),"https://www.tiktok.com/@zeeya2024")</f>
        <v>https://www.tiktok.com/@zeeya2024</v>
      </c>
      <c r="D2825" s="273">
        <f>IFERROR(__xludf.DUMMYFUNCTION("""COMPUTED_VALUE"""),8.571733222E10)</f>
        <v>85717332220</v>
      </c>
      <c r="E2825" s="458">
        <f>IFERROR(__xludf.DUMMYFUNCTION("""COMPUTED_VALUE"""),0.0)</f>
        <v>0</v>
      </c>
      <c r="F2825" s="273">
        <f>IFERROR(__xludf.DUMMYFUNCTION("""COMPUTED_VALUE"""),4.0)</f>
        <v>4</v>
      </c>
      <c r="G2825" t="str">
        <f>IFERROR(__xludf.DUMMYFUNCTION("""COMPUTED_VALUE"""),"Sabun batang 1 Box ( 2 PCS )")</f>
        <v>Sabun batang 1 Box ( 2 PCS )</v>
      </c>
      <c r="H2825" s="469"/>
      <c r="I2825" s="470"/>
      <c r="K2825" s="470"/>
      <c r="M2825" s="470"/>
      <c r="O2825" s="470"/>
    </row>
    <row r="2826">
      <c r="A2826" s="282"/>
      <c r="B2826" s="468" t="str">
        <f>IFERROR(__xludf.DUMMYFUNCTION("""COMPUTED_VALUE"""),"merahjambu940")</f>
        <v>merahjambu940</v>
      </c>
      <c r="C2826" s="283" t="str">
        <f>IFERROR(__xludf.DUMMYFUNCTION("""COMPUTED_VALUE"""),"https://www.tiktok.com/@merahjambu940")</f>
        <v>https://www.tiktok.com/@merahjambu940</v>
      </c>
      <c r="D2826" s="273">
        <f>IFERROR(__xludf.DUMMYFUNCTION("""COMPUTED_VALUE"""),8.1335715581E10)</f>
        <v>81335715581</v>
      </c>
      <c r="E2826" s="458">
        <f>IFERROR(__xludf.DUMMYFUNCTION("""COMPUTED_VALUE"""),0.0)</f>
        <v>0</v>
      </c>
      <c r="F2826" s="273">
        <f>IFERROR(__xludf.DUMMYFUNCTION("""COMPUTED_VALUE"""),4.0)</f>
        <v>4</v>
      </c>
      <c r="G2826" t="str">
        <f>IFERROR(__xludf.DUMMYFUNCTION("""COMPUTED_VALUE"""),"Sabun batang 1 Box ( 2 PCS )")</f>
        <v>Sabun batang 1 Box ( 2 PCS )</v>
      </c>
      <c r="H2826" s="469"/>
      <c r="I2826" s="470"/>
      <c r="K2826" s="470"/>
      <c r="M2826" s="470"/>
      <c r="O2826" s="470"/>
    </row>
    <row r="2827">
      <c r="A2827" s="282"/>
      <c r="B2827" s="468" t="str">
        <f>IFERROR(__xludf.DUMMYFUNCTION("""COMPUTED_VALUE"""),"zizaashopp")</f>
        <v>zizaashopp</v>
      </c>
      <c r="C2827" s="283" t="str">
        <f>IFERROR(__xludf.DUMMYFUNCTION("""COMPUTED_VALUE"""),"https://www.tiktok.com/@zizaashopp")</f>
        <v>https://www.tiktok.com/@zizaashopp</v>
      </c>
      <c r="D2827" s="273">
        <f>IFERROR(__xludf.DUMMYFUNCTION("""COMPUTED_VALUE"""),8.3114562456E10)</f>
        <v>83114562456</v>
      </c>
      <c r="E2827" s="458">
        <f>IFERROR(__xludf.DUMMYFUNCTION("""COMPUTED_VALUE"""),0.0)</f>
        <v>0</v>
      </c>
      <c r="F2827" s="273">
        <f>IFERROR(__xludf.DUMMYFUNCTION("""COMPUTED_VALUE"""),4.0)</f>
        <v>4</v>
      </c>
      <c r="G2827" t="str">
        <f>IFERROR(__xludf.DUMMYFUNCTION("""COMPUTED_VALUE"""),"Sabun batang 1 Box ( 2 PCS )")</f>
        <v>Sabun batang 1 Box ( 2 PCS )</v>
      </c>
      <c r="H2827" s="469"/>
      <c r="I2827" s="470"/>
      <c r="K2827" s="470"/>
      <c r="M2827" s="470"/>
      <c r="O2827" s="470"/>
    </row>
    <row r="2828">
      <c r="A2828" s="282"/>
      <c r="B2828" s="468" t="str">
        <f>IFERROR(__xludf.DUMMYFUNCTION("""COMPUTED_VALUE"""),"dsty0306")</f>
        <v>dsty0306</v>
      </c>
      <c r="C2828" s="283" t="str">
        <f>IFERROR(__xludf.DUMMYFUNCTION("""COMPUTED_VALUE"""),"https://www.tiktok.com/@dsty0306")</f>
        <v>https://www.tiktok.com/@dsty0306</v>
      </c>
      <c r="D2828" s="273">
        <f>IFERROR(__xludf.DUMMYFUNCTION("""COMPUTED_VALUE"""),8.313906007E10)</f>
        <v>83139060070</v>
      </c>
      <c r="E2828" s="458">
        <f>IFERROR(__xludf.DUMMYFUNCTION("""COMPUTED_VALUE"""),0.0)</f>
        <v>0</v>
      </c>
      <c r="F2828" s="273">
        <f>IFERROR(__xludf.DUMMYFUNCTION("""COMPUTED_VALUE"""),4.0)</f>
        <v>4</v>
      </c>
      <c r="G2828" t="str">
        <f>IFERROR(__xludf.DUMMYFUNCTION("""COMPUTED_VALUE"""),"Sabun batang 1 Box ( 2 PCS )")</f>
        <v>Sabun batang 1 Box ( 2 PCS )</v>
      </c>
      <c r="H2828" s="469"/>
      <c r="I2828" s="470"/>
      <c r="K2828" s="470"/>
      <c r="M2828" s="470"/>
      <c r="O2828" s="470"/>
    </row>
    <row r="2829">
      <c r="A2829" s="282"/>
      <c r="B2829" s="468" t="str">
        <f>IFERROR(__xludf.DUMMYFUNCTION("""COMPUTED_VALUE"""),"riyantiririn74")</f>
        <v>riyantiririn74</v>
      </c>
      <c r="C2829" s="283" t="str">
        <f>IFERROR(__xludf.DUMMYFUNCTION("""COMPUTED_VALUE"""),"https://www.tiktok.com/@riyantiririn74")</f>
        <v>https://www.tiktok.com/@riyantiririn74</v>
      </c>
      <c r="D2829" s="273">
        <f>IFERROR(__xludf.DUMMYFUNCTION("""COMPUTED_VALUE"""),8.2130958403E10)</f>
        <v>82130958403</v>
      </c>
      <c r="E2829" s="458">
        <f>IFERROR(__xludf.DUMMYFUNCTION("""COMPUTED_VALUE"""),0.0)</f>
        <v>0</v>
      </c>
      <c r="F2829" s="273">
        <f>IFERROR(__xludf.DUMMYFUNCTION("""COMPUTED_VALUE"""),4.0)</f>
        <v>4</v>
      </c>
      <c r="G2829" t="str">
        <f>IFERROR(__xludf.DUMMYFUNCTION("""COMPUTED_VALUE"""),"Sabun batang 1 Box ( 2 PCS )")</f>
        <v>Sabun batang 1 Box ( 2 PCS )</v>
      </c>
      <c r="H2829" s="469"/>
      <c r="I2829" s="470"/>
      <c r="K2829" s="470"/>
      <c r="M2829" s="470"/>
      <c r="O2829" s="470"/>
    </row>
    <row r="2830">
      <c r="A2830" s="282"/>
      <c r="B2830" s="468" t="str">
        <f>IFERROR(__xludf.DUMMYFUNCTION("""COMPUTED_VALUE"""),"affinesia_17")</f>
        <v>affinesia_17</v>
      </c>
      <c r="C2830" s="283" t="str">
        <f>IFERROR(__xludf.DUMMYFUNCTION("""COMPUTED_VALUE"""),"https://www.tiktok.com/@affinesia_17")</f>
        <v>https://www.tiktok.com/@affinesia_17</v>
      </c>
      <c r="D2830" s="273">
        <f>IFERROR(__xludf.DUMMYFUNCTION("""COMPUTED_VALUE"""),8.5822923507E10)</f>
        <v>85822923507</v>
      </c>
      <c r="E2830" s="458">
        <f>IFERROR(__xludf.DUMMYFUNCTION("""COMPUTED_VALUE"""),0.0)</f>
        <v>0</v>
      </c>
      <c r="F2830" s="273">
        <f>IFERROR(__xludf.DUMMYFUNCTION("""COMPUTED_VALUE"""),4.0)</f>
        <v>4</v>
      </c>
      <c r="G2830" t="str">
        <f>IFERROR(__xludf.DUMMYFUNCTION("""COMPUTED_VALUE"""),"Sabun batang 1 Box ( 2 PCS )")</f>
        <v>Sabun batang 1 Box ( 2 PCS )</v>
      </c>
      <c r="H2830" s="469"/>
      <c r="I2830" s="470"/>
      <c r="K2830" s="470"/>
      <c r="M2830" s="470"/>
      <c r="O2830" s="470"/>
    </row>
    <row r="2831">
      <c r="A2831" s="282"/>
      <c r="B2831" s="468" t="str">
        <f>IFERROR(__xludf.DUMMYFUNCTION("""COMPUTED_VALUE"""),"puput.amelia017")</f>
        <v>puput.amelia017</v>
      </c>
      <c r="C2831" s="283" t="str">
        <f>IFERROR(__xludf.DUMMYFUNCTION("""COMPUTED_VALUE"""),"https://www.tiktok.com/@puput.amelia017")</f>
        <v>https://www.tiktok.com/@puput.amelia017</v>
      </c>
      <c r="D2831" s="273">
        <f>IFERROR(__xludf.DUMMYFUNCTION("""COMPUTED_VALUE"""),8.3152812961E10)</f>
        <v>83152812961</v>
      </c>
      <c r="E2831" s="458">
        <f>IFERROR(__xludf.DUMMYFUNCTION("""COMPUTED_VALUE"""),0.0)</f>
        <v>0</v>
      </c>
      <c r="F2831" s="273">
        <f>IFERROR(__xludf.DUMMYFUNCTION("""COMPUTED_VALUE"""),4.0)</f>
        <v>4</v>
      </c>
      <c r="G2831" t="str">
        <f>IFERROR(__xludf.DUMMYFUNCTION("""COMPUTED_VALUE"""),"Sabun batang 1 Box ( 2 PCS )")</f>
        <v>Sabun batang 1 Box ( 2 PCS )</v>
      </c>
      <c r="H2831" s="469"/>
      <c r="I2831" s="470"/>
      <c r="K2831" s="470"/>
      <c r="M2831" s="470"/>
      <c r="O2831" s="470"/>
    </row>
    <row r="2832">
      <c r="A2832" s="282"/>
      <c r="B2832" s="468" t="str">
        <f>IFERROR(__xludf.DUMMYFUNCTION("""COMPUTED_VALUE"""),"ssunxiety")</f>
        <v>ssunxiety</v>
      </c>
      <c r="C2832" s="283" t="str">
        <f>IFERROR(__xludf.DUMMYFUNCTION("""COMPUTED_VALUE"""),"https://www.tiktok.com/@ssunxiety")</f>
        <v>https://www.tiktok.com/@ssunxiety</v>
      </c>
      <c r="D2832" s="273">
        <f>IFERROR(__xludf.DUMMYFUNCTION("""COMPUTED_VALUE"""),8.5602647389E10)</f>
        <v>85602647389</v>
      </c>
      <c r="E2832" s="458">
        <f>IFERROR(__xludf.DUMMYFUNCTION("""COMPUTED_VALUE"""),0.0)</f>
        <v>0</v>
      </c>
      <c r="F2832" s="273">
        <f>IFERROR(__xludf.DUMMYFUNCTION("""COMPUTED_VALUE"""),4.0)</f>
        <v>4</v>
      </c>
      <c r="G2832" t="str">
        <f>IFERROR(__xludf.DUMMYFUNCTION("""COMPUTED_VALUE"""),"Sabun batang 1 Box ( 2 PCS )")</f>
        <v>Sabun batang 1 Box ( 2 PCS )</v>
      </c>
      <c r="H2832" s="469"/>
      <c r="I2832" s="470"/>
      <c r="K2832" s="470"/>
      <c r="M2832" s="470"/>
      <c r="O2832" s="470"/>
    </row>
    <row r="2833">
      <c r="A2833" s="282"/>
      <c r="B2833" s="468" t="str">
        <f>IFERROR(__xludf.DUMMYFUNCTION("""COMPUTED_VALUE"""),"vitha.d")</f>
        <v>vitha.d</v>
      </c>
      <c r="C2833" s="283" t="str">
        <f>IFERROR(__xludf.DUMMYFUNCTION("""COMPUTED_VALUE"""),"https://www.tiktok.com/@vitha.d")</f>
        <v>https://www.tiktok.com/@vitha.d</v>
      </c>
      <c r="D2833" s="273">
        <f>IFERROR(__xludf.DUMMYFUNCTION("""COMPUTED_VALUE"""),8.5645055559E10)</f>
        <v>85645055559</v>
      </c>
      <c r="E2833" s="458">
        <f>IFERROR(__xludf.DUMMYFUNCTION("""COMPUTED_VALUE"""),0.0)</f>
        <v>0</v>
      </c>
      <c r="F2833" s="273">
        <f>IFERROR(__xludf.DUMMYFUNCTION("""COMPUTED_VALUE"""),4.0)</f>
        <v>4</v>
      </c>
      <c r="G2833" t="str">
        <f>IFERROR(__xludf.DUMMYFUNCTION("""COMPUTED_VALUE"""),"Sabun batang 1 Box ( 2 PCS )")</f>
        <v>Sabun batang 1 Box ( 2 PCS )</v>
      </c>
      <c r="H2833" s="469"/>
      <c r="I2833" s="470"/>
      <c r="K2833" s="470"/>
      <c r="M2833" s="470"/>
      <c r="O2833" s="470"/>
    </row>
    <row r="2834">
      <c r="A2834" s="282"/>
      <c r="B2834" s="468" t="str">
        <f>IFERROR(__xludf.DUMMYFUNCTION("""COMPUTED_VALUE"""),"0_0chocopie0_0")</f>
        <v>0_0chocopie0_0</v>
      </c>
      <c r="C2834" s="283" t="str">
        <f>IFERROR(__xludf.DUMMYFUNCTION("""COMPUTED_VALUE"""),"https://www.tiktok.com/@0_0chocopie0_0")</f>
        <v>https://www.tiktok.com/@0_0chocopie0_0</v>
      </c>
      <c r="D2834" s="273">
        <f>IFERROR(__xludf.DUMMYFUNCTION("""COMPUTED_VALUE"""),8.1572615623E10)</f>
        <v>81572615623</v>
      </c>
      <c r="E2834" s="458">
        <f>IFERROR(__xludf.DUMMYFUNCTION("""COMPUTED_VALUE"""),0.0)</f>
        <v>0</v>
      </c>
      <c r="F2834" s="273">
        <f>IFERROR(__xludf.DUMMYFUNCTION("""COMPUTED_VALUE"""),4.0)</f>
        <v>4</v>
      </c>
      <c r="G2834" t="str">
        <f>IFERROR(__xludf.DUMMYFUNCTION("""COMPUTED_VALUE"""),"Sabun batang 1 Box ( 2 PCS )")</f>
        <v>Sabun batang 1 Box ( 2 PCS )</v>
      </c>
      <c r="H2834" s="469"/>
      <c r="I2834" s="470"/>
      <c r="K2834" s="470"/>
      <c r="M2834" s="470"/>
      <c r="O2834" s="470"/>
    </row>
    <row r="2835">
      <c r="A2835" s="282"/>
      <c r="B2835" s="468" t="str">
        <f>IFERROR(__xludf.DUMMYFUNCTION("""COMPUTED_VALUE"""),"gabriellekoetin")</f>
        <v>gabriellekoetin</v>
      </c>
      <c r="C2835" s="283" t="str">
        <f>IFERROR(__xludf.DUMMYFUNCTION("""COMPUTED_VALUE"""),"https://www.tiktok.com/@gabriellekoetin")</f>
        <v>https://www.tiktok.com/@gabriellekoetin</v>
      </c>
      <c r="D2835" s="273">
        <f>IFERROR(__xludf.DUMMYFUNCTION("""COMPUTED_VALUE"""),8.7881234765E10)</f>
        <v>87881234765</v>
      </c>
      <c r="E2835" s="458">
        <f>IFERROR(__xludf.DUMMYFUNCTION("""COMPUTED_VALUE"""),0.0)</f>
        <v>0</v>
      </c>
      <c r="F2835" s="273">
        <f>IFERROR(__xludf.DUMMYFUNCTION("""COMPUTED_VALUE"""),4.0)</f>
        <v>4</v>
      </c>
      <c r="G2835" t="str">
        <f>IFERROR(__xludf.DUMMYFUNCTION("""COMPUTED_VALUE"""),"Sabun batang 1 Box ( 2 PCS )")</f>
        <v>Sabun batang 1 Box ( 2 PCS )</v>
      </c>
      <c r="H2835" s="469"/>
      <c r="I2835" s="470"/>
      <c r="K2835" s="470"/>
      <c r="M2835" s="470"/>
      <c r="O2835" s="470"/>
    </row>
    <row r="2836">
      <c r="A2836" s="282"/>
      <c r="B2836" s="468" t="str">
        <f>IFERROR(__xludf.DUMMYFUNCTION("""COMPUTED_VALUE"""),"urbackburner10")</f>
        <v>urbackburner10</v>
      </c>
      <c r="C2836" s="283" t="str">
        <f>IFERROR(__xludf.DUMMYFUNCTION("""COMPUTED_VALUE"""),"https://www.tiktok.com/@urbackburner10")</f>
        <v>https://www.tiktok.com/@urbackburner10</v>
      </c>
      <c r="D2836" s="273">
        <f>IFERROR(__xludf.DUMMYFUNCTION("""COMPUTED_VALUE"""),8.5860209433E10)</f>
        <v>85860209433</v>
      </c>
      <c r="E2836" s="458">
        <f>IFERROR(__xludf.DUMMYFUNCTION("""COMPUTED_VALUE"""),0.0)</f>
        <v>0</v>
      </c>
      <c r="F2836" s="273">
        <f>IFERROR(__xludf.DUMMYFUNCTION("""COMPUTED_VALUE"""),4.0)</f>
        <v>4</v>
      </c>
      <c r="G2836" t="str">
        <f>IFERROR(__xludf.DUMMYFUNCTION("""COMPUTED_VALUE"""),"Sabun batang 1 Box ( 2 PCS )")</f>
        <v>Sabun batang 1 Box ( 2 PCS )</v>
      </c>
      <c r="H2836" s="469"/>
      <c r="I2836" s="470"/>
      <c r="K2836" s="470"/>
      <c r="M2836" s="470"/>
      <c r="O2836" s="470"/>
    </row>
    <row r="2837">
      <c r="A2837" s="282"/>
      <c r="B2837" s="468" t="str">
        <f>IFERROR(__xludf.DUMMYFUNCTION("""COMPUTED_VALUE"""),"bintisyahrialaffandy")</f>
        <v>bintisyahrialaffandy</v>
      </c>
      <c r="C2837" s="283" t="str">
        <f>IFERROR(__xludf.DUMMYFUNCTION("""COMPUTED_VALUE"""),"https://www.tiktok.com/@bintisyahrialaffandy")</f>
        <v>https://www.tiktok.com/@bintisyahrialaffandy</v>
      </c>
      <c r="D2837" s="273">
        <f>IFERROR(__xludf.DUMMYFUNCTION("""COMPUTED_VALUE"""),8.98453949E9)</f>
        <v>8984539490</v>
      </c>
      <c r="E2837" s="458">
        <f>IFERROR(__xludf.DUMMYFUNCTION("""COMPUTED_VALUE"""),0.0)</f>
        <v>0</v>
      </c>
      <c r="F2837" s="273">
        <f>IFERROR(__xludf.DUMMYFUNCTION("""COMPUTED_VALUE"""),4.0)</f>
        <v>4</v>
      </c>
      <c r="G2837" t="str">
        <f>IFERROR(__xludf.DUMMYFUNCTION("""COMPUTED_VALUE"""),"Sabun batang 1 Box ( 2 PCS )")</f>
        <v>Sabun batang 1 Box ( 2 PCS )</v>
      </c>
      <c r="H2837" s="469"/>
      <c r="I2837" s="470"/>
      <c r="K2837" s="470"/>
      <c r="M2837" s="470"/>
      <c r="O2837" s="470"/>
    </row>
    <row r="2838">
      <c r="A2838" s="282"/>
      <c r="B2838" s="468" t="str">
        <f>IFERROR(__xludf.DUMMYFUNCTION("""COMPUTED_VALUE"""),"putrianishopp")</f>
        <v>putrianishopp</v>
      </c>
      <c r="C2838" s="283" t="str">
        <f>IFERROR(__xludf.DUMMYFUNCTION("""COMPUTED_VALUE"""),"https://www.tiktok.com/@putrianishopp")</f>
        <v>https://www.tiktok.com/@putrianishopp</v>
      </c>
      <c r="D2838" s="273">
        <f>IFERROR(__xludf.DUMMYFUNCTION("""COMPUTED_VALUE"""),8.2248011925E10)</f>
        <v>82248011925</v>
      </c>
      <c r="E2838" s="458">
        <f>IFERROR(__xludf.DUMMYFUNCTION("""COMPUTED_VALUE"""),0.0)</f>
        <v>0</v>
      </c>
      <c r="F2838" s="273">
        <f>IFERROR(__xludf.DUMMYFUNCTION("""COMPUTED_VALUE"""),4.0)</f>
        <v>4</v>
      </c>
      <c r="G2838" t="str">
        <f>IFERROR(__xludf.DUMMYFUNCTION("""COMPUTED_VALUE"""),"Sabun batang 1 Box ( 2 PCS )")</f>
        <v>Sabun batang 1 Box ( 2 PCS )</v>
      </c>
      <c r="H2838" s="469"/>
      <c r="I2838" s="470"/>
      <c r="K2838" s="470"/>
      <c r="M2838" s="470"/>
      <c r="O2838" s="470"/>
    </row>
    <row r="2839">
      <c r="A2839" s="282"/>
      <c r="B2839" s="468" t="str">
        <f>IFERROR(__xludf.DUMMYFUNCTION("""COMPUTED_VALUE"""),"glowwiess")</f>
        <v>glowwiess</v>
      </c>
      <c r="C2839" s="283" t="str">
        <f>IFERROR(__xludf.DUMMYFUNCTION("""COMPUTED_VALUE"""),"https://www.tiktok.com/@glowwiess")</f>
        <v>https://www.tiktok.com/@glowwiess</v>
      </c>
      <c r="D2839" s="273">
        <f>IFERROR(__xludf.DUMMYFUNCTION("""COMPUTED_VALUE"""),8.7763607972E10)</f>
        <v>87763607972</v>
      </c>
      <c r="E2839" s="458">
        <f>IFERROR(__xludf.DUMMYFUNCTION("""COMPUTED_VALUE"""),0.0)</f>
        <v>0</v>
      </c>
      <c r="F2839" s="273">
        <f>IFERROR(__xludf.DUMMYFUNCTION("""COMPUTED_VALUE"""),4.0)</f>
        <v>4</v>
      </c>
      <c r="G2839" t="str">
        <f>IFERROR(__xludf.DUMMYFUNCTION("""COMPUTED_VALUE"""),"Sabun batang 1 Box ( 2 PCS )")</f>
        <v>Sabun batang 1 Box ( 2 PCS )</v>
      </c>
      <c r="H2839" s="469"/>
      <c r="I2839" s="470"/>
      <c r="K2839" s="470"/>
      <c r="M2839" s="470"/>
      <c r="O2839" s="470"/>
    </row>
    <row r="2840">
      <c r="A2840" s="282"/>
      <c r="B2840" s="468" t="str">
        <f>IFERROR(__xludf.DUMMYFUNCTION("""COMPUTED_VALUE"""),"xxscorpiozz")</f>
        <v>xxscorpiozz</v>
      </c>
      <c r="C2840" s="283" t="str">
        <f>IFERROR(__xludf.DUMMYFUNCTION("""COMPUTED_VALUE"""),"https://www.tiktok.com/@xxscorpiozz")</f>
        <v>https://www.tiktok.com/@xxscorpiozz</v>
      </c>
      <c r="D2840" s="273">
        <f>IFERROR(__xludf.DUMMYFUNCTION("""COMPUTED_VALUE"""),8.5715157857E10)</f>
        <v>85715157857</v>
      </c>
      <c r="E2840" s="458">
        <f>IFERROR(__xludf.DUMMYFUNCTION("""COMPUTED_VALUE"""),0.0)</f>
        <v>0</v>
      </c>
      <c r="F2840" s="273">
        <f>IFERROR(__xludf.DUMMYFUNCTION("""COMPUTED_VALUE"""),4.0)</f>
        <v>4</v>
      </c>
      <c r="G2840" t="str">
        <f>IFERROR(__xludf.DUMMYFUNCTION("""COMPUTED_VALUE"""),"Sabun batang 1 Box ( 2 PCS )")</f>
        <v>Sabun batang 1 Box ( 2 PCS )</v>
      </c>
      <c r="H2840" s="469"/>
      <c r="I2840" s="470"/>
      <c r="K2840" s="470"/>
      <c r="M2840" s="470"/>
      <c r="O2840" s="470"/>
    </row>
    <row r="2841">
      <c r="A2841" s="282"/>
      <c r="B2841" s="468" t="str">
        <f>IFERROR(__xludf.DUMMYFUNCTION("""COMPUTED_VALUE"""),"milkzywayx09")</f>
        <v>milkzywayx09</v>
      </c>
      <c r="C2841" s="283" t="str">
        <f>IFERROR(__xludf.DUMMYFUNCTION("""COMPUTED_VALUE"""),"https://www.tiktok.com/@milkzywayx09")</f>
        <v>https://www.tiktok.com/@milkzywayx09</v>
      </c>
      <c r="D2841" s="273">
        <f>IFERROR(__xludf.DUMMYFUNCTION("""COMPUTED_VALUE"""),8.2219951502E10)</f>
        <v>82219951502</v>
      </c>
      <c r="E2841" s="458">
        <f>IFERROR(__xludf.DUMMYFUNCTION("""COMPUTED_VALUE"""),0.0)</f>
        <v>0</v>
      </c>
      <c r="F2841" s="273">
        <f>IFERROR(__xludf.DUMMYFUNCTION("""COMPUTED_VALUE"""),4.0)</f>
        <v>4</v>
      </c>
      <c r="G2841" t="str">
        <f>IFERROR(__xludf.DUMMYFUNCTION("""COMPUTED_VALUE"""),"Sabun batang 1 Box ( 2 PCS )")</f>
        <v>Sabun batang 1 Box ( 2 PCS )</v>
      </c>
      <c r="H2841" s="469"/>
      <c r="I2841" s="470"/>
      <c r="K2841" s="470"/>
      <c r="M2841" s="470"/>
      <c r="O2841" s="470"/>
    </row>
    <row r="2842">
      <c r="A2842" s="282"/>
      <c r="B2842" s="468" t="str">
        <f>IFERROR(__xludf.DUMMYFUNCTION("""COMPUTED_VALUE"""),"mrsladyrose.glow")</f>
        <v>mrsladyrose.glow</v>
      </c>
      <c r="C2842" s="283" t="str">
        <f>IFERROR(__xludf.DUMMYFUNCTION("""COMPUTED_VALUE"""),"https://www.tiktok.com/@mrsladyrose.glow")</f>
        <v>https://www.tiktok.com/@mrsladyrose.glow</v>
      </c>
      <c r="D2842" s="273">
        <f>IFERROR(__xludf.DUMMYFUNCTION("""COMPUTED_VALUE"""),8.2237388804E10)</f>
        <v>82237388804</v>
      </c>
      <c r="E2842" s="458">
        <f>IFERROR(__xludf.DUMMYFUNCTION("""COMPUTED_VALUE"""),0.0)</f>
        <v>0</v>
      </c>
      <c r="F2842" s="273">
        <f>IFERROR(__xludf.DUMMYFUNCTION("""COMPUTED_VALUE"""),4.0)</f>
        <v>4</v>
      </c>
      <c r="G2842" t="str">
        <f>IFERROR(__xludf.DUMMYFUNCTION("""COMPUTED_VALUE"""),"Sabun batang 1 Box ( 2 PCS )")</f>
        <v>Sabun batang 1 Box ( 2 PCS )</v>
      </c>
      <c r="H2842" s="469"/>
      <c r="I2842" s="470"/>
      <c r="K2842" s="470"/>
      <c r="M2842" s="470"/>
      <c r="O2842" s="470"/>
    </row>
    <row r="2843">
      <c r="A2843" s="282"/>
      <c r="B2843" s="468" t="str">
        <f>IFERROR(__xludf.DUMMYFUNCTION("""COMPUTED_VALUE"""),"vieeraa14")</f>
        <v>vieeraa14</v>
      </c>
      <c r="C2843" s="283" t="str">
        <f>IFERROR(__xludf.DUMMYFUNCTION("""COMPUTED_VALUE"""),"https://www.tiktok.com/@vieeraa14")</f>
        <v>https://www.tiktok.com/@vieeraa14</v>
      </c>
      <c r="D2843" s="273">
        <f>IFERROR(__xludf.DUMMYFUNCTION("""COMPUTED_VALUE"""),8.1546812681E10)</f>
        <v>81546812681</v>
      </c>
      <c r="E2843" s="458">
        <f>IFERROR(__xludf.DUMMYFUNCTION("""COMPUTED_VALUE"""),0.0)</f>
        <v>0</v>
      </c>
      <c r="F2843" s="273">
        <f>IFERROR(__xludf.DUMMYFUNCTION("""COMPUTED_VALUE"""),4.0)</f>
        <v>4</v>
      </c>
      <c r="G2843" t="str">
        <f>IFERROR(__xludf.DUMMYFUNCTION("""COMPUTED_VALUE"""),"Sabun batang 1 Box ( 2 PCS )")</f>
        <v>Sabun batang 1 Box ( 2 PCS )</v>
      </c>
      <c r="H2843" s="469"/>
      <c r="I2843" s="470"/>
      <c r="K2843" s="470"/>
      <c r="M2843" s="470"/>
      <c r="O2843" s="470"/>
    </row>
    <row r="2844">
      <c r="A2844" s="282"/>
      <c r="B2844" s="468" t="str">
        <f>IFERROR(__xludf.DUMMYFUNCTION("""COMPUTED_VALUE"""),"ciroyoo0")</f>
        <v>ciroyoo0</v>
      </c>
      <c r="C2844" s="283" t="str">
        <f>IFERROR(__xludf.DUMMYFUNCTION("""COMPUTED_VALUE"""),"https://www.tiktok.com/@ciroyoo0")</f>
        <v>https://www.tiktok.com/@ciroyoo0</v>
      </c>
      <c r="D2844" s="273">
        <f>IFERROR(__xludf.DUMMYFUNCTION("""COMPUTED_VALUE"""),8.1936436621E10)</f>
        <v>81936436621</v>
      </c>
      <c r="E2844" s="458">
        <f>IFERROR(__xludf.DUMMYFUNCTION("""COMPUTED_VALUE"""),0.0)</f>
        <v>0</v>
      </c>
      <c r="F2844" s="273">
        <f>IFERROR(__xludf.DUMMYFUNCTION("""COMPUTED_VALUE"""),4.0)</f>
        <v>4</v>
      </c>
      <c r="G2844" t="str">
        <f>IFERROR(__xludf.DUMMYFUNCTION("""COMPUTED_VALUE"""),"Sabun batang 1 Box ( 2 PCS )")</f>
        <v>Sabun batang 1 Box ( 2 PCS )</v>
      </c>
      <c r="H2844" s="469"/>
      <c r="I2844" s="470"/>
      <c r="K2844" s="470"/>
      <c r="M2844" s="470"/>
      <c r="O2844" s="470"/>
    </row>
    <row r="2845">
      <c r="A2845" s="282"/>
      <c r="B2845" s="468" t="str">
        <f>IFERROR(__xludf.DUMMYFUNCTION("""COMPUTED_VALUE"""),"ameliaseptiani_14")</f>
        <v>ameliaseptiani_14</v>
      </c>
      <c r="C2845" s="283" t="str">
        <f>IFERROR(__xludf.DUMMYFUNCTION("""COMPUTED_VALUE"""),"https://www.tiktok.com/@ameliaseptiani_14")</f>
        <v>https://www.tiktok.com/@ameliaseptiani_14</v>
      </c>
      <c r="D2845" s="273">
        <f>IFERROR(__xludf.DUMMYFUNCTION("""COMPUTED_VALUE"""),8.5178110355E10)</f>
        <v>85178110355</v>
      </c>
      <c r="E2845" s="458">
        <f>IFERROR(__xludf.DUMMYFUNCTION("""COMPUTED_VALUE"""),0.0)</f>
        <v>0</v>
      </c>
      <c r="F2845" s="273">
        <f>IFERROR(__xludf.DUMMYFUNCTION("""COMPUTED_VALUE"""),4.0)</f>
        <v>4</v>
      </c>
      <c r="G2845" t="str">
        <f>IFERROR(__xludf.DUMMYFUNCTION("""COMPUTED_VALUE"""),"Sabun batang 1 Box ( 2 PCS )")</f>
        <v>Sabun batang 1 Box ( 2 PCS )</v>
      </c>
      <c r="H2845" s="469"/>
      <c r="I2845" s="470"/>
      <c r="K2845" s="470"/>
      <c r="M2845" s="470"/>
      <c r="O2845" s="470"/>
    </row>
    <row r="2846">
      <c r="A2846" s="282"/>
      <c r="B2846" s="468" t="str">
        <f>IFERROR(__xludf.DUMMYFUNCTION("""COMPUTED_VALUE"""),"felli_shop")</f>
        <v>felli_shop</v>
      </c>
      <c r="C2846" s="283" t="str">
        <f>IFERROR(__xludf.DUMMYFUNCTION("""COMPUTED_VALUE"""),"https://www.tiktok.com/@felli_shop")</f>
        <v>https://www.tiktok.com/@felli_shop</v>
      </c>
      <c r="D2846" s="273">
        <f>IFERROR(__xludf.DUMMYFUNCTION("""COMPUTED_VALUE"""),8.5236771901E10)</f>
        <v>85236771901</v>
      </c>
      <c r="E2846" s="458">
        <f>IFERROR(__xludf.DUMMYFUNCTION("""COMPUTED_VALUE"""),0.0)</f>
        <v>0</v>
      </c>
      <c r="F2846" s="273">
        <f>IFERROR(__xludf.DUMMYFUNCTION("""COMPUTED_VALUE"""),4.0)</f>
        <v>4</v>
      </c>
      <c r="G2846" t="str">
        <f>IFERROR(__xludf.DUMMYFUNCTION("""COMPUTED_VALUE"""),"Sabun batang 1 Box ( 2 PCS )")</f>
        <v>Sabun batang 1 Box ( 2 PCS )</v>
      </c>
      <c r="H2846" s="469"/>
      <c r="I2846" s="470"/>
      <c r="K2846" s="470"/>
      <c r="M2846" s="470"/>
      <c r="O2846" s="470"/>
    </row>
    <row r="2847">
      <c r="A2847" s="282"/>
      <c r="B2847" s="468" t="str">
        <f>IFERROR(__xludf.DUMMYFUNCTION("""COMPUTED_VALUE"""),"_spilyuk")</f>
        <v>_spilyuk</v>
      </c>
      <c r="C2847" s="283" t="str">
        <f>IFERROR(__xludf.DUMMYFUNCTION("""COMPUTED_VALUE"""),"https://www.tiktok.com/@_spilyuk")</f>
        <v>https://www.tiktok.com/@_spilyuk</v>
      </c>
      <c r="D2847" s="273">
        <f>IFERROR(__xludf.DUMMYFUNCTION("""COMPUTED_VALUE"""),8.1329259949E10)</f>
        <v>81329259949</v>
      </c>
      <c r="E2847" s="458">
        <f>IFERROR(__xludf.DUMMYFUNCTION("""COMPUTED_VALUE"""),0.0)</f>
        <v>0</v>
      </c>
      <c r="F2847" s="273">
        <f>IFERROR(__xludf.DUMMYFUNCTION("""COMPUTED_VALUE"""),4.0)</f>
        <v>4</v>
      </c>
      <c r="G2847" t="str">
        <f>IFERROR(__xludf.DUMMYFUNCTION("""COMPUTED_VALUE"""),"Sabun batang 1 Box ( 2 PCS )")</f>
        <v>Sabun batang 1 Box ( 2 PCS )</v>
      </c>
      <c r="H2847" s="469"/>
      <c r="I2847" s="470"/>
      <c r="K2847" s="470"/>
      <c r="M2847" s="470"/>
      <c r="O2847" s="470"/>
    </row>
    <row r="2848">
      <c r="A2848" s="282"/>
      <c r="B2848" s="468" t="str">
        <f>IFERROR(__xludf.DUMMYFUNCTION("""COMPUTED_VALUE"""),"nabillalestari_")</f>
        <v>nabillalestari_</v>
      </c>
      <c r="C2848" s="283" t="str">
        <f>IFERROR(__xludf.DUMMYFUNCTION("""COMPUTED_VALUE"""),"https://www.tiktok.com/@nabillalestari_")</f>
        <v>https://www.tiktok.com/@nabillalestari_</v>
      </c>
      <c r="D2848" s="273">
        <f>IFERROR(__xludf.DUMMYFUNCTION("""COMPUTED_VALUE"""),8.1367707771E10)</f>
        <v>81367707771</v>
      </c>
      <c r="E2848" s="458">
        <f>IFERROR(__xludf.DUMMYFUNCTION("""COMPUTED_VALUE"""),0.0)</f>
        <v>0</v>
      </c>
      <c r="F2848" s="273">
        <f>IFERROR(__xludf.DUMMYFUNCTION("""COMPUTED_VALUE"""),4.0)</f>
        <v>4</v>
      </c>
      <c r="G2848" t="str">
        <f>IFERROR(__xludf.DUMMYFUNCTION("""COMPUTED_VALUE"""),"Sabun batang 1 Box ( 2 PCS )")</f>
        <v>Sabun batang 1 Box ( 2 PCS )</v>
      </c>
      <c r="H2848" s="469"/>
      <c r="I2848" s="470"/>
      <c r="K2848" s="470"/>
      <c r="M2848" s="470"/>
      <c r="O2848" s="470"/>
    </row>
    <row r="2849">
      <c r="A2849" s="282"/>
      <c r="B2849" s="468" t="str">
        <f>IFERROR(__xludf.DUMMYFUNCTION("""COMPUTED_VALUE"""),"anggnagstina")</f>
        <v>anggnagstina</v>
      </c>
      <c r="C2849" s="283" t="str">
        <f>IFERROR(__xludf.DUMMYFUNCTION("""COMPUTED_VALUE"""),"https://www.tiktok.com/@anggnagstina")</f>
        <v>https://www.tiktok.com/@anggnagstina</v>
      </c>
      <c r="D2849" s="273">
        <f>IFERROR(__xludf.DUMMYFUNCTION("""COMPUTED_VALUE"""),8.153235628E10)</f>
        <v>81532356280</v>
      </c>
      <c r="E2849" s="458">
        <f>IFERROR(__xludf.DUMMYFUNCTION("""COMPUTED_VALUE"""),0.0)</f>
        <v>0</v>
      </c>
      <c r="F2849" s="273">
        <f>IFERROR(__xludf.DUMMYFUNCTION("""COMPUTED_VALUE"""),4.0)</f>
        <v>4</v>
      </c>
      <c r="G2849" t="str">
        <f>IFERROR(__xludf.DUMMYFUNCTION("""COMPUTED_VALUE"""),"Sabun batang 1 Box ( 2 PCS )")</f>
        <v>Sabun batang 1 Box ( 2 PCS )</v>
      </c>
      <c r="H2849" s="469"/>
      <c r="I2849" s="470"/>
      <c r="K2849" s="470"/>
      <c r="M2849" s="470"/>
      <c r="O2849" s="470"/>
    </row>
    <row r="2850">
      <c r="A2850" s="282"/>
      <c r="B2850" s="468" t="str">
        <f>IFERROR(__xludf.DUMMYFUNCTION("""COMPUTED_VALUE"""),"slyvenessa")</f>
        <v>slyvenessa</v>
      </c>
      <c r="C2850" s="283" t="str">
        <f>IFERROR(__xludf.DUMMYFUNCTION("""COMPUTED_VALUE"""),"https://www.tiktok.com/@slyvenessa")</f>
        <v>https://www.tiktok.com/@slyvenessa</v>
      </c>
      <c r="D2850" s="273">
        <f>IFERROR(__xludf.DUMMYFUNCTION("""COMPUTED_VALUE"""),8.7768816888E10)</f>
        <v>87768816888</v>
      </c>
      <c r="E2850" s="458">
        <f>IFERROR(__xludf.DUMMYFUNCTION("""COMPUTED_VALUE"""),0.0)</f>
        <v>0</v>
      </c>
      <c r="F2850" s="273">
        <f>IFERROR(__xludf.DUMMYFUNCTION("""COMPUTED_VALUE"""),4.0)</f>
        <v>4</v>
      </c>
      <c r="G2850" t="str">
        <f>IFERROR(__xludf.DUMMYFUNCTION("""COMPUTED_VALUE"""),"Sabun batang 1 Box ( 2 PCS )")</f>
        <v>Sabun batang 1 Box ( 2 PCS )</v>
      </c>
      <c r="H2850" s="469"/>
      <c r="I2850" s="470"/>
      <c r="K2850" s="470"/>
      <c r="M2850" s="470"/>
      <c r="O2850" s="470"/>
    </row>
    <row r="2851">
      <c r="A2851" s="282"/>
      <c r="B2851" s="468" t="str">
        <f>IFERROR(__xludf.DUMMYFUNCTION("""COMPUTED_VALUE"""),"khanzaaqt")</f>
        <v>khanzaaqt</v>
      </c>
      <c r="C2851" s="283" t="str">
        <f>IFERROR(__xludf.DUMMYFUNCTION("""COMPUTED_VALUE"""),"https://www.tiktok.com/@khanzaaqt")</f>
        <v>https://www.tiktok.com/@khanzaaqt</v>
      </c>
      <c r="D2851" s="273">
        <f>IFERROR(__xludf.DUMMYFUNCTION("""COMPUTED_VALUE"""),8.3176891884E10)</f>
        <v>83176891884</v>
      </c>
      <c r="E2851" s="458">
        <f>IFERROR(__xludf.DUMMYFUNCTION("""COMPUTED_VALUE"""),0.0)</f>
        <v>0</v>
      </c>
      <c r="F2851" s="273">
        <f>IFERROR(__xludf.DUMMYFUNCTION("""COMPUTED_VALUE"""),4.0)</f>
        <v>4</v>
      </c>
      <c r="G2851" t="str">
        <f>IFERROR(__xludf.DUMMYFUNCTION("""COMPUTED_VALUE"""),"Sabun batang 1 Box ( 2 PCS )")</f>
        <v>Sabun batang 1 Box ( 2 PCS )</v>
      </c>
      <c r="H2851" s="469"/>
      <c r="I2851" s="470"/>
      <c r="K2851" s="470"/>
      <c r="M2851" s="470"/>
      <c r="O2851" s="470"/>
    </row>
    <row r="2852">
      <c r="A2852" s="282"/>
      <c r="B2852" s="468" t="str">
        <f>IFERROR(__xludf.DUMMYFUNCTION("""COMPUTED_VALUE"""),"nurmaaida02")</f>
        <v>nurmaaida02</v>
      </c>
      <c r="C2852" s="283" t="str">
        <f>IFERROR(__xludf.DUMMYFUNCTION("""COMPUTED_VALUE"""),"https://www.tiktok.com/@nurmaaida02")</f>
        <v>https://www.tiktok.com/@nurmaaida02</v>
      </c>
      <c r="D2852" s="273">
        <f>IFERROR(__xludf.DUMMYFUNCTION("""COMPUTED_VALUE"""),8.5784327825E10)</f>
        <v>85784327825</v>
      </c>
      <c r="E2852" s="458">
        <f>IFERROR(__xludf.DUMMYFUNCTION("""COMPUTED_VALUE"""),0.0)</f>
        <v>0</v>
      </c>
      <c r="F2852" s="273">
        <f>IFERROR(__xludf.DUMMYFUNCTION("""COMPUTED_VALUE"""),4.0)</f>
        <v>4</v>
      </c>
      <c r="G2852" t="str">
        <f>IFERROR(__xludf.DUMMYFUNCTION("""COMPUTED_VALUE"""),"Sabun batang 1 Box ( 2 PCS )")</f>
        <v>Sabun batang 1 Box ( 2 PCS )</v>
      </c>
      <c r="H2852" s="469"/>
      <c r="I2852" s="470"/>
      <c r="K2852" s="470"/>
      <c r="M2852" s="470"/>
      <c r="O2852" s="470"/>
    </row>
    <row r="2853">
      <c r="A2853" s="282"/>
      <c r="B2853" s="468" t="str">
        <f>IFERROR(__xludf.DUMMYFUNCTION("""COMPUTED_VALUE"""),"chocochip_232")</f>
        <v>chocochip_232</v>
      </c>
      <c r="C2853" s="283" t="str">
        <f>IFERROR(__xludf.DUMMYFUNCTION("""COMPUTED_VALUE"""),"https://www.tiktok.com/@chocochip_232")</f>
        <v>https://www.tiktok.com/@chocochip_232</v>
      </c>
      <c r="D2853" s="273">
        <f>IFERROR(__xludf.DUMMYFUNCTION("""COMPUTED_VALUE"""),8.3848320895E10)</f>
        <v>83848320895</v>
      </c>
      <c r="E2853" s="458">
        <f>IFERROR(__xludf.DUMMYFUNCTION("""COMPUTED_VALUE"""),0.0)</f>
        <v>0</v>
      </c>
      <c r="F2853" s="273">
        <f>IFERROR(__xludf.DUMMYFUNCTION("""COMPUTED_VALUE"""),4.0)</f>
        <v>4</v>
      </c>
      <c r="G2853" t="str">
        <f>IFERROR(__xludf.DUMMYFUNCTION("""COMPUTED_VALUE"""),"Sabun batang 1 Box ( 2 PCS )")</f>
        <v>Sabun batang 1 Box ( 2 PCS )</v>
      </c>
      <c r="H2853" s="469"/>
      <c r="I2853" s="470"/>
      <c r="K2853" s="470"/>
      <c r="M2853" s="470"/>
      <c r="O2853" s="470"/>
    </row>
    <row r="2854">
      <c r="A2854" s="282"/>
      <c r="B2854" s="468" t="str">
        <f>IFERROR(__xludf.DUMMYFUNCTION("""COMPUTED_VALUE"""),"sasalbela01_")</f>
        <v>sasalbela01_</v>
      </c>
      <c r="C2854" s="283" t="str">
        <f>IFERROR(__xludf.DUMMYFUNCTION("""COMPUTED_VALUE"""),"https://www.tiktok.com/@sasalbela01_")</f>
        <v>https://www.tiktok.com/@sasalbela01_</v>
      </c>
      <c r="D2854" s="273">
        <f>IFERROR(__xludf.DUMMYFUNCTION("""COMPUTED_VALUE"""),8.7739842352E10)</f>
        <v>87739842352</v>
      </c>
      <c r="E2854" s="458">
        <f>IFERROR(__xludf.DUMMYFUNCTION("""COMPUTED_VALUE"""),0.0)</f>
        <v>0</v>
      </c>
      <c r="F2854" s="273">
        <f>IFERROR(__xludf.DUMMYFUNCTION("""COMPUTED_VALUE"""),4.0)</f>
        <v>4</v>
      </c>
      <c r="G2854" t="str">
        <f>IFERROR(__xludf.DUMMYFUNCTION("""COMPUTED_VALUE"""),"Sabun batang 1 Box ( 2 PCS )")</f>
        <v>Sabun batang 1 Box ( 2 PCS )</v>
      </c>
      <c r="H2854" s="469"/>
      <c r="I2854" s="470"/>
      <c r="K2854" s="470"/>
      <c r="M2854" s="470"/>
      <c r="O2854" s="470"/>
    </row>
    <row r="2855">
      <c r="A2855" s="282"/>
      <c r="B2855" s="468" t="str">
        <f>IFERROR(__xludf.DUMMYFUNCTION("""COMPUTED_VALUE"""),"ochamoyu14")</f>
        <v>ochamoyu14</v>
      </c>
      <c r="C2855" s="283" t="str">
        <f>IFERROR(__xludf.DUMMYFUNCTION("""COMPUTED_VALUE"""),"https://www.tiktok.com/@ochamoyu14")</f>
        <v>https://www.tiktok.com/@ochamoyu14</v>
      </c>
      <c r="D2855" s="273">
        <f>IFERROR(__xludf.DUMMYFUNCTION("""COMPUTED_VALUE"""),8.2258651803E10)</f>
        <v>82258651803</v>
      </c>
      <c r="E2855" s="458">
        <f>IFERROR(__xludf.DUMMYFUNCTION("""COMPUTED_VALUE"""),0.0)</f>
        <v>0</v>
      </c>
      <c r="F2855" s="273">
        <f>IFERROR(__xludf.DUMMYFUNCTION("""COMPUTED_VALUE"""),4.0)</f>
        <v>4</v>
      </c>
      <c r="G2855" t="str">
        <f>IFERROR(__xludf.DUMMYFUNCTION("""COMPUTED_VALUE"""),"Sabun batang 1 Box ( 2 PCS )")</f>
        <v>Sabun batang 1 Box ( 2 PCS )</v>
      </c>
      <c r="H2855" s="469"/>
      <c r="I2855" s="470"/>
      <c r="K2855" s="470"/>
      <c r="M2855" s="470"/>
      <c r="O2855" s="470"/>
    </row>
    <row r="2856">
      <c r="A2856" s="282"/>
      <c r="B2856" s="468" t="str">
        <f>IFERROR(__xludf.DUMMYFUNCTION("""COMPUTED_VALUE"""),"ubeedaily")</f>
        <v>ubeedaily</v>
      </c>
      <c r="C2856" s="283" t="str">
        <f>IFERROR(__xludf.DUMMYFUNCTION("""COMPUTED_VALUE"""),"https://www.tiktok.com/@ubeedaily")</f>
        <v>https://www.tiktok.com/@ubeedaily</v>
      </c>
      <c r="D2856" s="273">
        <f>IFERROR(__xludf.DUMMYFUNCTION("""COMPUTED_VALUE"""),8.2257738694E10)</f>
        <v>82257738694</v>
      </c>
      <c r="E2856" s="458">
        <f>IFERROR(__xludf.DUMMYFUNCTION("""COMPUTED_VALUE"""),0.0)</f>
        <v>0</v>
      </c>
      <c r="F2856" s="273">
        <f>IFERROR(__xludf.DUMMYFUNCTION("""COMPUTED_VALUE"""),4.0)</f>
        <v>4</v>
      </c>
      <c r="G2856" t="str">
        <f>IFERROR(__xludf.DUMMYFUNCTION("""COMPUTED_VALUE"""),"Sabun batang 1 Box ( 2 PCS )")</f>
        <v>Sabun batang 1 Box ( 2 PCS )</v>
      </c>
      <c r="H2856" s="469"/>
      <c r="I2856" s="470"/>
      <c r="K2856" s="470"/>
      <c r="M2856" s="470"/>
      <c r="O2856" s="470"/>
    </row>
    <row r="2857">
      <c r="A2857" s="282"/>
      <c r="B2857" s="468"/>
      <c r="C2857" s="272"/>
      <c r="D2857" s="273"/>
      <c r="E2857" s="273"/>
      <c r="F2857" s="273"/>
      <c r="H2857" s="469"/>
      <c r="I2857" s="470"/>
      <c r="K2857" s="470"/>
      <c r="M2857" s="470"/>
      <c r="O2857" s="470"/>
    </row>
    <row r="2858">
      <c r="A2858" s="282"/>
      <c r="B2858" s="468"/>
      <c r="C2858" s="272"/>
      <c r="D2858" s="273"/>
      <c r="E2858" s="273"/>
      <c r="F2858" s="273"/>
      <c r="H2858" s="469"/>
      <c r="I2858" s="470"/>
      <c r="K2858" s="470"/>
      <c r="M2858" s="470"/>
      <c r="O2858" s="470"/>
    </row>
    <row r="2859">
      <c r="A2859" s="282"/>
      <c r="B2859" s="468"/>
      <c r="C2859" s="272"/>
      <c r="D2859" s="273"/>
      <c r="E2859" s="273"/>
      <c r="F2859" s="273"/>
      <c r="H2859" s="469"/>
      <c r="I2859" s="470"/>
      <c r="K2859" s="470"/>
      <c r="M2859" s="470"/>
      <c r="O2859" s="470"/>
    </row>
    <row r="2860">
      <c r="A2860" s="282"/>
      <c r="B2860" s="468"/>
      <c r="C2860" s="272"/>
      <c r="D2860" s="273"/>
      <c r="E2860" s="273"/>
      <c r="F2860" s="273"/>
      <c r="H2860" s="469"/>
      <c r="I2860" s="470"/>
      <c r="K2860" s="470"/>
      <c r="M2860" s="470"/>
      <c r="O2860" s="470"/>
    </row>
    <row r="2861">
      <c r="A2861" s="282"/>
      <c r="B2861" s="468"/>
      <c r="C2861" s="272"/>
      <c r="D2861" s="273"/>
      <c r="E2861" s="273"/>
      <c r="F2861" s="273"/>
      <c r="H2861" s="469"/>
      <c r="I2861" s="470"/>
      <c r="K2861" s="470"/>
      <c r="M2861" s="470"/>
      <c r="O2861" s="470"/>
    </row>
    <row r="2862">
      <c r="A2862" s="282"/>
      <c r="B2862" s="468"/>
      <c r="C2862" s="272"/>
      <c r="D2862" s="273"/>
      <c r="E2862" s="273"/>
      <c r="F2862" s="273"/>
      <c r="H2862" s="469"/>
      <c r="I2862" s="470"/>
      <c r="K2862" s="470"/>
      <c r="M2862" s="470"/>
      <c r="O2862" s="470"/>
    </row>
    <row r="2863">
      <c r="A2863" s="282"/>
      <c r="B2863" s="468"/>
      <c r="C2863" s="272"/>
      <c r="D2863" s="273"/>
      <c r="E2863" s="273"/>
      <c r="F2863" s="273"/>
      <c r="H2863" s="469"/>
      <c r="I2863" s="470"/>
      <c r="K2863" s="470"/>
      <c r="M2863" s="470"/>
      <c r="O2863" s="470"/>
    </row>
    <row r="2864">
      <c r="A2864" s="282"/>
      <c r="B2864" s="468"/>
      <c r="C2864" s="272"/>
      <c r="D2864" s="273"/>
      <c r="E2864" s="273"/>
      <c r="F2864" s="273"/>
      <c r="H2864" s="469"/>
      <c r="I2864" s="470"/>
      <c r="K2864" s="470"/>
      <c r="M2864" s="470"/>
      <c r="O2864" s="470"/>
    </row>
    <row r="2865">
      <c r="A2865" s="282"/>
      <c r="B2865" s="468"/>
      <c r="C2865" s="272"/>
      <c r="D2865" s="273"/>
      <c r="E2865" s="273"/>
      <c r="F2865" s="273"/>
      <c r="H2865" s="469"/>
      <c r="I2865" s="470"/>
      <c r="K2865" s="470"/>
      <c r="M2865" s="470"/>
      <c r="O2865" s="470"/>
    </row>
    <row r="2866">
      <c r="A2866" s="282"/>
      <c r="B2866" s="468"/>
      <c r="C2866" s="272"/>
      <c r="D2866" s="273"/>
      <c r="E2866" s="273"/>
      <c r="F2866" s="273"/>
      <c r="H2866" s="469"/>
      <c r="I2866" s="470"/>
      <c r="K2866" s="470"/>
      <c r="M2866" s="470"/>
      <c r="O2866" s="470"/>
    </row>
    <row r="2867">
      <c r="A2867" s="282"/>
      <c r="B2867" s="468"/>
      <c r="C2867" s="272"/>
      <c r="D2867" s="273"/>
      <c r="E2867" s="273"/>
      <c r="F2867" s="273"/>
      <c r="H2867" s="469"/>
      <c r="I2867" s="470"/>
      <c r="K2867" s="470"/>
      <c r="M2867" s="470"/>
      <c r="O2867" s="470"/>
    </row>
    <row r="2868">
      <c r="A2868" s="282"/>
      <c r="B2868" s="468"/>
      <c r="C2868" s="272"/>
      <c r="D2868" s="273"/>
      <c r="E2868" s="273"/>
      <c r="F2868" s="273"/>
      <c r="H2868" s="469"/>
      <c r="I2868" s="470"/>
      <c r="K2868" s="470"/>
      <c r="M2868" s="470"/>
      <c r="O2868" s="470"/>
    </row>
    <row r="2869">
      <c r="A2869" s="282"/>
      <c r="B2869" s="468"/>
      <c r="C2869" s="272"/>
      <c r="D2869" s="273"/>
      <c r="E2869" s="273"/>
      <c r="F2869" s="273"/>
      <c r="H2869" s="469"/>
      <c r="I2869" s="470"/>
      <c r="K2869" s="470"/>
      <c r="M2869" s="470"/>
      <c r="O2869" s="470"/>
    </row>
    <row r="2870">
      <c r="A2870" s="282"/>
      <c r="B2870" s="468"/>
      <c r="C2870" s="272"/>
      <c r="D2870" s="273"/>
      <c r="E2870" s="273"/>
      <c r="F2870" s="273"/>
      <c r="H2870" s="469"/>
      <c r="I2870" s="470"/>
      <c r="K2870" s="470"/>
      <c r="M2870" s="470"/>
      <c r="O2870" s="470"/>
    </row>
    <row r="2871">
      <c r="A2871" s="282"/>
      <c r="B2871" s="468"/>
      <c r="C2871" s="272"/>
      <c r="D2871" s="273"/>
      <c r="E2871" s="273"/>
      <c r="F2871" s="273"/>
      <c r="H2871" s="469"/>
      <c r="I2871" s="470"/>
      <c r="K2871" s="470"/>
      <c r="M2871" s="470"/>
      <c r="O2871" s="470"/>
    </row>
    <row r="2872">
      <c r="A2872" s="282"/>
      <c r="B2872" s="468"/>
      <c r="C2872" s="272"/>
      <c r="D2872" s="273"/>
      <c r="E2872" s="273"/>
      <c r="F2872" s="273"/>
      <c r="H2872" s="469"/>
      <c r="I2872" s="470"/>
      <c r="K2872" s="470"/>
      <c r="M2872" s="470"/>
      <c r="O2872" s="470"/>
    </row>
    <row r="2873">
      <c r="A2873" s="282"/>
      <c r="B2873" s="468"/>
      <c r="C2873" s="272"/>
      <c r="D2873" s="273"/>
      <c r="E2873" s="273"/>
      <c r="F2873" s="273"/>
      <c r="H2873" s="469"/>
      <c r="I2873" s="470"/>
      <c r="K2873" s="470"/>
      <c r="M2873" s="470"/>
      <c r="O2873" s="470"/>
    </row>
    <row r="2874">
      <c r="A2874" s="282"/>
      <c r="B2874" s="468"/>
      <c r="C2874" s="272"/>
      <c r="D2874" s="273"/>
      <c r="E2874" s="273"/>
      <c r="F2874" s="273"/>
      <c r="H2874" s="469"/>
      <c r="I2874" s="470"/>
      <c r="K2874" s="470"/>
      <c r="M2874" s="470"/>
      <c r="O2874" s="470"/>
    </row>
    <row r="2875">
      <c r="A2875" s="282"/>
      <c r="B2875" s="468"/>
      <c r="C2875" s="272"/>
      <c r="D2875" s="273"/>
      <c r="E2875" s="273"/>
      <c r="F2875" s="273"/>
      <c r="H2875" s="469"/>
      <c r="I2875" s="470"/>
      <c r="K2875" s="470"/>
      <c r="M2875" s="470"/>
      <c r="O2875" s="470"/>
    </row>
    <row r="2876">
      <c r="A2876" s="282"/>
      <c r="B2876" s="468"/>
      <c r="C2876" s="272"/>
      <c r="D2876" s="273"/>
      <c r="E2876" s="273"/>
      <c r="F2876" s="273"/>
      <c r="H2876" s="469"/>
      <c r="I2876" s="470"/>
      <c r="K2876" s="470"/>
      <c r="M2876" s="470"/>
      <c r="O2876" s="470"/>
    </row>
    <row r="2877">
      <c r="A2877" s="282"/>
      <c r="B2877" s="468"/>
      <c r="C2877" s="272"/>
      <c r="D2877" s="273"/>
      <c r="E2877" s="273"/>
      <c r="F2877" s="273"/>
      <c r="H2877" s="469"/>
      <c r="I2877" s="470"/>
      <c r="K2877" s="470"/>
      <c r="M2877" s="470"/>
      <c r="O2877" s="470"/>
    </row>
    <row r="2878">
      <c r="A2878" s="282"/>
      <c r="B2878" s="468"/>
      <c r="C2878" s="272"/>
      <c r="D2878" s="273"/>
      <c r="E2878" s="273"/>
      <c r="F2878" s="273"/>
      <c r="H2878" s="469"/>
      <c r="I2878" s="470"/>
      <c r="K2878" s="470"/>
      <c r="M2878" s="470"/>
      <c r="O2878" s="470"/>
    </row>
    <row r="2879">
      <c r="A2879" s="282"/>
      <c r="B2879" s="468"/>
      <c r="C2879" s="272"/>
      <c r="D2879" s="273"/>
      <c r="E2879" s="273"/>
      <c r="F2879" s="273"/>
      <c r="H2879" s="469"/>
      <c r="I2879" s="470"/>
      <c r="K2879" s="470"/>
      <c r="M2879" s="470"/>
      <c r="O2879" s="470"/>
    </row>
    <row r="2880">
      <c r="A2880" s="282"/>
      <c r="B2880" s="468"/>
      <c r="C2880" s="272"/>
      <c r="D2880" s="273"/>
      <c r="E2880" s="273"/>
      <c r="F2880" s="273"/>
      <c r="H2880" s="469"/>
      <c r="I2880" s="470"/>
      <c r="K2880" s="470"/>
      <c r="M2880" s="470"/>
      <c r="O2880" s="470"/>
    </row>
    <row r="2881">
      <c r="A2881" s="282"/>
      <c r="B2881" s="468"/>
      <c r="C2881" s="272"/>
      <c r="D2881" s="273"/>
      <c r="E2881" s="273"/>
      <c r="F2881" s="273"/>
      <c r="H2881" s="469"/>
      <c r="I2881" s="470"/>
      <c r="K2881" s="470"/>
      <c r="M2881" s="470"/>
      <c r="O2881" s="470"/>
    </row>
    <row r="2882">
      <c r="A2882" s="282"/>
      <c r="B2882" s="468"/>
      <c r="C2882" s="272"/>
      <c r="D2882" s="273"/>
      <c r="E2882" s="273"/>
      <c r="F2882" s="273"/>
      <c r="H2882" s="469"/>
      <c r="I2882" s="470"/>
      <c r="K2882" s="470"/>
      <c r="M2882" s="470"/>
      <c r="O2882" s="470"/>
    </row>
    <row r="2883">
      <c r="A2883" s="282"/>
      <c r="B2883" s="468"/>
      <c r="C2883" s="272"/>
      <c r="D2883" s="273"/>
      <c r="E2883" s="273"/>
      <c r="F2883" s="273"/>
      <c r="H2883" s="469"/>
      <c r="I2883" s="470"/>
      <c r="K2883" s="470"/>
      <c r="M2883" s="470"/>
      <c r="O2883" s="470"/>
    </row>
    <row r="2884">
      <c r="A2884" s="282"/>
      <c r="B2884" s="468"/>
      <c r="C2884" s="272"/>
      <c r="D2884" s="273"/>
      <c r="E2884" s="273"/>
      <c r="F2884" s="273"/>
      <c r="H2884" s="469"/>
      <c r="I2884" s="470"/>
      <c r="K2884" s="470"/>
      <c r="M2884" s="470"/>
      <c r="O2884" s="470"/>
    </row>
    <row r="2885">
      <c r="A2885" s="282"/>
      <c r="B2885" s="468"/>
      <c r="C2885" s="272"/>
      <c r="D2885" s="273"/>
      <c r="E2885" s="273"/>
      <c r="F2885" s="273"/>
      <c r="H2885" s="469"/>
      <c r="I2885" s="470"/>
      <c r="K2885" s="470"/>
      <c r="M2885" s="470"/>
      <c r="O2885" s="470"/>
    </row>
    <row r="2886">
      <c r="A2886" s="282"/>
      <c r="B2886" s="468"/>
      <c r="C2886" s="272"/>
      <c r="D2886" s="273"/>
      <c r="E2886" s="273"/>
      <c r="F2886" s="273"/>
      <c r="H2886" s="469"/>
      <c r="I2886" s="470"/>
      <c r="K2886" s="470"/>
      <c r="M2886" s="470"/>
      <c r="O2886" s="470"/>
    </row>
    <row r="2887">
      <c r="A2887" s="282"/>
      <c r="B2887" s="468"/>
      <c r="C2887" s="272"/>
      <c r="D2887" s="273"/>
      <c r="E2887" s="273"/>
      <c r="F2887" s="273"/>
      <c r="H2887" s="469"/>
      <c r="I2887" s="470"/>
      <c r="K2887" s="470"/>
      <c r="M2887" s="470"/>
      <c r="O2887" s="470"/>
    </row>
    <row r="2888">
      <c r="A2888" s="282"/>
      <c r="B2888" s="468"/>
      <c r="C2888" s="272"/>
      <c r="D2888" s="273"/>
      <c r="E2888" s="273"/>
      <c r="F2888" s="273"/>
      <c r="H2888" s="469"/>
      <c r="I2888" s="470"/>
      <c r="K2888" s="470"/>
      <c r="M2888" s="470"/>
      <c r="O2888" s="470"/>
    </row>
    <row r="2889">
      <c r="A2889" s="282"/>
      <c r="B2889" s="468"/>
      <c r="C2889" s="272"/>
      <c r="D2889" s="273"/>
      <c r="E2889" s="273"/>
      <c r="F2889" s="273"/>
      <c r="H2889" s="469"/>
      <c r="I2889" s="470"/>
      <c r="K2889" s="470"/>
      <c r="M2889" s="470"/>
      <c r="O2889" s="470"/>
    </row>
    <row r="2890">
      <c r="A2890" s="282"/>
      <c r="B2890" s="468"/>
      <c r="C2890" s="272"/>
      <c r="D2890" s="273"/>
      <c r="E2890" s="273"/>
      <c r="F2890" s="273"/>
      <c r="H2890" s="469"/>
      <c r="I2890" s="470"/>
      <c r="K2890" s="470"/>
      <c r="M2890" s="470"/>
      <c r="O2890" s="470"/>
    </row>
    <row r="2891">
      <c r="A2891" s="282"/>
      <c r="B2891" s="468"/>
      <c r="C2891" s="272"/>
      <c r="D2891" s="273"/>
      <c r="E2891" s="273"/>
      <c r="F2891" s="273"/>
      <c r="H2891" s="469"/>
      <c r="I2891" s="470"/>
      <c r="K2891" s="470"/>
      <c r="M2891" s="470"/>
      <c r="O2891" s="470"/>
    </row>
    <row r="2892">
      <c r="A2892" s="282"/>
      <c r="B2892" s="468"/>
      <c r="C2892" s="272"/>
      <c r="D2892" s="273"/>
      <c r="E2892" s="273"/>
      <c r="F2892" s="273"/>
      <c r="H2892" s="469"/>
      <c r="I2892" s="470"/>
      <c r="K2892" s="470"/>
      <c r="M2892" s="470"/>
      <c r="O2892" s="470"/>
    </row>
    <row r="2893">
      <c r="A2893" s="282"/>
      <c r="B2893" s="468"/>
      <c r="C2893" s="272"/>
      <c r="D2893" s="273"/>
      <c r="E2893" s="273"/>
      <c r="F2893" s="273"/>
      <c r="H2893" s="469"/>
      <c r="I2893" s="470"/>
      <c r="K2893" s="470"/>
      <c r="M2893" s="470"/>
      <c r="O2893" s="470"/>
    </row>
    <row r="2894">
      <c r="A2894" s="282"/>
      <c r="B2894" s="468"/>
      <c r="C2894" s="272"/>
      <c r="D2894" s="273"/>
      <c r="E2894" s="273"/>
      <c r="F2894" s="273"/>
      <c r="H2894" s="469"/>
      <c r="I2894" s="470"/>
      <c r="K2894" s="470"/>
      <c r="M2894" s="470"/>
      <c r="O2894" s="470"/>
    </row>
    <row r="2895">
      <c r="A2895" s="282"/>
      <c r="B2895" s="468"/>
      <c r="C2895" s="272"/>
      <c r="D2895" s="273"/>
      <c r="E2895" s="273"/>
      <c r="F2895" s="273"/>
      <c r="H2895" s="469"/>
      <c r="I2895" s="470"/>
      <c r="K2895" s="470"/>
      <c r="M2895" s="470"/>
      <c r="O2895" s="470"/>
    </row>
    <row r="2896">
      <c r="A2896" s="282"/>
      <c r="B2896" s="468"/>
      <c r="C2896" s="272"/>
      <c r="D2896" s="273"/>
      <c r="E2896" s="273"/>
      <c r="F2896" s="273"/>
      <c r="H2896" s="469"/>
      <c r="I2896" s="470"/>
      <c r="K2896" s="470"/>
      <c r="M2896" s="470"/>
      <c r="O2896" s="470"/>
    </row>
    <row r="2897">
      <c r="A2897" s="282"/>
      <c r="B2897" s="468"/>
      <c r="C2897" s="272"/>
      <c r="D2897" s="273"/>
      <c r="E2897" s="273"/>
      <c r="F2897" s="273"/>
      <c r="H2897" s="469"/>
      <c r="I2897" s="470"/>
      <c r="K2897" s="470"/>
      <c r="M2897" s="470"/>
      <c r="O2897" s="470"/>
    </row>
    <row r="2898">
      <c r="A2898" s="282"/>
      <c r="B2898" s="468"/>
      <c r="C2898" s="272"/>
      <c r="D2898" s="273"/>
      <c r="E2898" s="273"/>
      <c r="F2898" s="273"/>
      <c r="H2898" s="469"/>
      <c r="I2898" s="470"/>
      <c r="K2898" s="470"/>
      <c r="M2898" s="470"/>
      <c r="O2898" s="470"/>
    </row>
    <row r="2899">
      <c r="A2899" s="282"/>
      <c r="B2899" s="468"/>
      <c r="C2899" s="272"/>
      <c r="D2899" s="273"/>
      <c r="E2899" s="273"/>
      <c r="F2899" s="273"/>
      <c r="H2899" s="469"/>
      <c r="I2899" s="470"/>
      <c r="K2899" s="470"/>
      <c r="M2899" s="470"/>
      <c r="O2899" s="470"/>
    </row>
    <row r="2900">
      <c r="A2900" s="282"/>
      <c r="B2900" s="468"/>
      <c r="C2900" s="272"/>
      <c r="D2900" s="273"/>
      <c r="E2900" s="273"/>
      <c r="F2900" s="273"/>
      <c r="H2900" s="469"/>
      <c r="I2900" s="470"/>
      <c r="K2900" s="470"/>
      <c r="M2900" s="470"/>
      <c r="O2900" s="470"/>
    </row>
    <row r="2901">
      <c r="A2901" s="282"/>
      <c r="B2901" s="468"/>
      <c r="C2901" s="272"/>
      <c r="D2901" s="273"/>
      <c r="E2901" s="273"/>
      <c r="F2901" s="273"/>
      <c r="H2901" s="469"/>
      <c r="I2901" s="470"/>
      <c r="K2901" s="470"/>
      <c r="M2901" s="470"/>
      <c r="O2901" s="470"/>
    </row>
    <row r="2902">
      <c r="A2902" s="282"/>
      <c r="B2902" s="468"/>
      <c r="C2902" s="272"/>
      <c r="D2902" s="273"/>
      <c r="E2902" s="273"/>
      <c r="F2902" s="273"/>
      <c r="H2902" s="469"/>
      <c r="I2902" s="470"/>
      <c r="K2902" s="470"/>
      <c r="M2902" s="470"/>
      <c r="O2902" s="470"/>
    </row>
    <row r="2903">
      <c r="A2903" s="282"/>
      <c r="B2903" s="468"/>
      <c r="C2903" s="272"/>
      <c r="D2903" s="273"/>
      <c r="E2903" s="273"/>
      <c r="F2903" s="273"/>
      <c r="H2903" s="469"/>
      <c r="I2903" s="470"/>
      <c r="K2903" s="470"/>
      <c r="M2903" s="470"/>
      <c r="O2903" s="470"/>
    </row>
    <row r="2904">
      <c r="A2904" s="282"/>
      <c r="B2904" s="468"/>
      <c r="C2904" s="272"/>
      <c r="D2904" s="273"/>
      <c r="E2904" s="273"/>
      <c r="F2904" s="273"/>
      <c r="H2904" s="469"/>
      <c r="I2904" s="470"/>
      <c r="K2904" s="470"/>
      <c r="M2904" s="470"/>
      <c r="O2904" s="470"/>
    </row>
    <row r="2905">
      <c r="A2905" s="282"/>
      <c r="B2905" s="468"/>
      <c r="C2905" s="272"/>
      <c r="D2905" s="273"/>
      <c r="E2905" s="273"/>
      <c r="F2905" s="273"/>
      <c r="H2905" s="469"/>
      <c r="I2905" s="470"/>
      <c r="K2905" s="470"/>
      <c r="M2905" s="470"/>
      <c r="O2905" s="470"/>
    </row>
    <row r="2906">
      <c r="A2906" s="282"/>
      <c r="B2906" s="468"/>
      <c r="C2906" s="272"/>
      <c r="D2906" s="273"/>
      <c r="E2906" s="273"/>
      <c r="F2906" s="273"/>
      <c r="H2906" s="469"/>
      <c r="I2906" s="470"/>
      <c r="K2906" s="470"/>
      <c r="M2906" s="470"/>
      <c r="O2906" s="470"/>
    </row>
    <row r="2907">
      <c r="A2907" s="282"/>
      <c r="B2907" s="468"/>
      <c r="C2907" s="272"/>
      <c r="D2907" s="273"/>
      <c r="E2907" s="273"/>
      <c r="F2907" s="273"/>
      <c r="H2907" s="469"/>
      <c r="I2907" s="470"/>
      <c r="K2907" s="470"/>
      <c r="M2907" s="470"/>
      <c r="O2907" s="470"/>
    </row>
    <row r="2908">
      <c r="A2908" s="282"/>
      <c r="B2908" s="468"/>
      <c r="C2908" s="272"/>
      <c r="D2908" s="273"/>
      <c r="E2908" s="273"/>
      <c r="F2908" s="273"/>
      <c r="H2908" s="469"/>
      <c r="I2908" s="470"/>
      <c r="K2908" s="470"/>
      <c r="M2908" s="470"/>
      <c r="O2908" s="470"/>
    </row>
    <row r="2909">
      <c r="A2909" s="282"/>
      <c r="B2909" s="468"/>
      <c r="C2909" s="272"/>
      <c r="D2909" s="273"/>
      <c r="E2909" s="273"/>
      <c r="F2909" s="273"/>
      <c r="H2909" s="469"/>
      <c r="I2909" s="470"/>
      <c r="K2909" s="470"/>
      <c r="M2909" s="470"/>
      <c r="O2909" s="470"/>
    </row>
    <row r="2910">
      <c r="A2910" s="282"/>
      <c r="B2910" s="468"/>
      <c r="C2910" s="272"/>
      <c r="D2910" s="273"/>
      <c r="E2910" s="273"/>
      <c r="F2910" s="273"/>
      <c r="H2910" s="469"/>
      <c r="I2910" s="470"/>
      <c r="K2910" s="470"/>
      <c r="M2910" s="470"/>
      <c r="O2910" s="470"/>
    </row>
    <row r="2911">
      <c r="A2911" s="282"/>
      <c r="B2911" s="468"/>
      <c r="C2911" s="272"/>
      <c r="D2911" s="273"/>
      <c r="E2911" s="273"/>
      <c r="F2911" s="273"/>
      <c r="H2911" s="469"/>
      <c r="I2911" s="470"/>
      <c r="K2911" s="470"/>
      <c r="M2911" s="470"/>
      <c r="O2911" s="470"/>
    </row>
    <row r="2912">
      <c r="A2912" s="282"/>
      <c r="B2912" s="468"/>
      <c r="C2912" s="272"/>
      <c r="D2912" s="273"/>
      <c r="E2912" s="273"/>
      <c r="F2912" s="273"/>
      <c r="H2912" s="469"/>
      <c r="I2912" s="470"/>
      <c r="K2912" s="470"/>
      <c r="M2912" s="470"/>
      <c r="O2912" s="470"/>
    </row>
    <row r="2913">
      <c r="A2913" s="282"/>
      <c r="B2913" s="468"/>
      <c r="C2913" s="272"/>
      <c r="D2913" s="273"/>
      <c r="E2913" s="273"/>
      <c r="F2913" s="273"/>
      <c r="H2913" s="469"/>
      <c r="I2913" s="470"/>
      <c r="K2913" s="470"/>
      <c r="M2913" s="470"/>
      <c r="O2913" s="470"/>
    </row>
    <row r="2914">
      <c r="A2914" s="282"/>
      <c r="B2914" s="468"/>
      <c r="C2914" s="272"/>
      <c r="D2914" s="273"/>
      <c r="E2914" s="273"/>
      <c r="F2914" s="273"/>
      <c r="H2914" s="469"/>
      <c r="I2914" s="470"/>
      <c r="K2914" s="470"/>
      <c r="M2914" s="470"/>
      <c r="O2914" s="470"/>
    </row>
    <row r="2915">
      <c r="A2915" s="282"/>
      <c r="B2915" s="468"/>
      <c r="C2915" s="272"/>
      <c r="D2915" s="273"/>
      <c r="E2915" s="273"/>
      <c r="F2915" s="273"/>
      <c r="H2915" s="469"/>
      <c r="I2915" s="470"/>
      <c r="K2915" s="470"/>
      <c r="M2915" s="470"/>
      <c r="O2915" s="470"/>
    </row>
    <row r="2916">
      <c r="A2916" s="282"/>
      <c r="B2916" s="468"/>
      <c r="C2916" s="272"/>
      <c r="D2916" s="273"/>
      <c r="E2916" s="273"/>
      <c r="F2916" s="273"/>
      <c r="H2916" s="469"/>
      <c r="I2916" s="470"/>
      <c r="K2916" s="470"/>
      <c r="M2916" s="470"/>
      <c r="O2916" s="470"/>
    </row>
    <row r="2917">
      <c r="A2917" s="282"/>
      <c r="B2917" s="468"/>
      <c r="C2917" s="272"/>
      <c r="D2917" s="273"/>
      <c r="E2917" s="273"/>
      <c r="F2917" s="273"/>
      <c r="H2917" s="469"/>
      <c r="I2917" s="470"/>
      <c r="K2917" s="470"/>
      <c r="M2917" s="470"/>
      <c r="O2917" s="470"/>
    </row>
    <row r="2918">
      <c r="A2918" s="282"/>
      <c r="B2918" s="468"/>
      <c r="C2918" s="272"/>
      <c r="D2918" s="273"/>
      <c r="E2918" s="273"/>
      <c r="F2918" s="273"/>
      <c r="H2918" s="469"/>
      <c r="I2918" s="470"/>
      <c r="K2918" s="470"/>
      <c r="M2918" s="470"/>
      <c r="O2918" s="470"/>
    </row>
    <row r="2919">
      <c r="A2919" s="282"/>
      <c r="B2919" s="468"/>
      <c r="C2919" s="272"/>
      <c r="D2919" s="273"/>
      <c r="E2919" s="273"/>
      <c r="F2919" s="273"/>
      <c r="H2919" s="469"/>
      <c r="I2919" s="470"/>
      <c r="K2919" s="470"/>
      <c r="M2919" s="470"/>
      <c r="O2919" s="470"/>
    </row>
    <row r="2920">
      <c r="A2920" s="282"/>
      <c r="B2920" s="468"/>
      <c r="C2920" s="272"/>
      <c r="D2920" s="273"/>
      <c r="E2920" s="273"/>
      <c r="F2920" s="273"/>
      <c r="H2920" s="469"/>
      <c r="I2920" s="470"/>
      <c r="K2920" s="470"/>
      <c r="M2920" s="470"/>
      <c r="O2920" s="470"/>
    </row>
    <row r="2921">
      <c r="A2921" s="282"/>
      <c r="B2921" s="468"/>
      <c r="C2921" s="272"/>
      <c r="D2921" s="273"/>
      <c r="E2921" s="273"/>
      <c r="F2921" s="273"/>
      <c r="H2921" s="469"/>
      <c r="I2921" s="470"/>
      <c r="K2921" s="470"/>
      <c r="M2921" s="470"/>
      <c r="O2921" s="470"/>
    </row>
    <row r="2922">
      <c r="A2922" s="282"/>
      <c r="B2922" s="468"/>
      <c r="C2922" s="272"/>
      <c r="D2922" s="273"/>
      <c r="E2922" s="273"/>
      <c r="F2922" s="273"/>
      <c r="H2922" s="469"/>
      <c r="I2922" s="470"/>
      <c r="K2922" s="470"/>
      <c r="M2922" s="470"/>
      <c r="O2922" s="470"/>
    </row>
    <row r="2923">
      <c r="A2923" s="282"/>
      <c r="B2923" s="468"/>
      <c r="C2923" s="272"/>
      <c r="D2923" s="273"/>
      <c r="E2923" s="273"/>
      <c r="F2923" s="273"/>
      <c r="H2923" s="469"/>
      <c r="I2923" s="470"/>
      <c r="K2923" s="470"/>
      <c r="M2923" s="470"/>
      <c r="O2923" s="470"/>
    </row>
    <row r="2924">
      <c r="A2924" s="282"/>
      <c r="B2924" s="468"/>
      <c r="C2924" s="272"/>
      <c r="D2924" s="273"/>
      <c r="E2924" s="273"/>
      <c r="F2924" s="273"/>
      <c r="H2924" s="469"/>
      <c r="I2924" s="470"/>
      <c r="K2924" s="470"/>
      <c r="M2924" s="470"/>
      <c r="O2924" s="470"/>
    </row>
    <row r="2925">
      <c r="A2925" s="282"/>
      <c r="B2925" s="468"/>
      <c r="C2925" s="272"/>
      <c r="D2925" s="273"/>
      <c r="E2925" s="273"/>
      <c r="F2925" s="273"/>
      <c r="H2925" s="469"/>
      <c r="I2925" s="470"/>
      <c r="K2925" s="470"/>
      <c r="M2925" s="470"/>
      <c r="O2925" s="470"/>
    </row>
    <row r="2926">
      <c r="A2926" s="282"/>
      <c r="B2926" s="468"/>
      <c r="C2926" s="272"/>
      <c r="D2926" s="273"/>
      <c r="E2926" s="273"/>
      <c r="F2926" s="273"/>
      <c r="H2926" s="469"/>
      <c r="I2926" s="470"/>
      <c r="K2926" s="470"/>
      <c r="M2926" s="470"/>
      <c r="O2926" s="470"/>
    </row>
    <row r="2927">
      <c r="A2927" s="282"/>
      <c r="B2927" s="468"/>
      <c r="C2927" s="272"/>
      <c r="D2927" s="273"/>
      <c r="E2927" s="273"/>
      <c r="F2927" s="273"/>
      <c r="H2927" s="469"/>
      <c r="I2927" s="470"/>
      <c r="K2927" s="470"/>
      <c r="M2927" s="470"/>
      <c r="O2927" s="470"/>
    </row>
    <row r="2928">
      <c r="A2928" s="282"/>
      <c r="B2928" s="468"/>
      <c r="C2928" s="272"/>
      <c r="D2928" s="273"/>
      <c r="E2928" s="273"/>
      <c r="F2928" s="273"/>
      <c r="H2928" s="469"/>
      <c r="I2928" s="470"/>
      <c r="K2928" s="470"/>
      <c r="M2928" s="470"/>
      <c r="O2928" s="470"/>
    </row>
    <row r="2929">
      <c r="A2929" s="282"/>
      <c r="B2929" s="468"/>
      <c r="C2929" s="272"/>
      <c r="D2929" s="273"/>
      <c r="E2929" s="273"/>
      <c r="F2929" s="273"/>
      <c r="H2929" s="469"/>
      <c r="I2929" s="470"/>
      <c r="K2929" s="470"/>
      <c r="M2929" s="470"/>
      <c r="O2929" s="470"/>
    </row>
    <row r="2930">
      <c r="A2930" s="282"/>
      <c r="B2930" s="468"/>
      <c r="C2930" s="272"/>
      <c r="D2930" s="273"/>
      <c r="E2930" s="273"/>
      <c r="F2930" s="273"/>
      <c r="H2930" s="469"/>
      <c r="I2930" s="470"/>
      <c r="K2930" s="470"/>
      <c r="M2930" s="470"/>
      <c r="O2930" s="470"/>
    </row>
    <row r="2931">
      <c r="A2931" s="282"/>
      <c r="B2931" s="468"/>
      <c r="C2931" s="272"/>
      <c r="D2931" s="273"/>
      <c r="E2931" s="273"/>
      <c r="F2931" s="273"/>
      <c r="H2931" s="469"/>
      <c r="I2931" s="470"/>
      <c r="K2931" s="470"/>
      <c r="M2931" s="470"/>
      <c r="O2931" s="470"/>
    </row>
    <row r="2932">
      <c r="A2932" s="282"/>
      <c r="B2932" s="468"/>
      <c r="C2932" s="272"/>
      <c r="D2932" s="273"/>
      <c r="E2932" s="273"/>
      <c r="F2932" s="273"/>
      <c r="H2932" s="469"/>
      <c r="I2932" s="470"/>
      <c r="K2932" s="470"/>
      <c r="M2932" s="470"/>
      <c r="O2932" s="470"/>
    </row>
    <row r="2933">
      <c r="A2933" s="282"/>
      <c r="B2933" s="468"/>
      <c r="C2933" s="272"/>
      <c r="D2933" s="273"/>
      <c r="E2933" s="273"/>
      <c r="F2933" s="273"/>
      <c r="H2933" s="469"/>
      <c r="I2933" s="470"/>
      <c r="K2933" s="470"/>
      <c r="M2933" s="470"/>
      <c r="O2933" s="470"/>
    </row>
    <row r="2934">
      <c r="A2934" s="282"/>
      <c r="B2934" s="468"/>
      <c r="C2934" s="272"/>
      <c r="D2934" s="273"/>
      <c r="E2934" s="273"/>
      <c r="F2934" s="273"/>
      <c r="H2934" s="469"/>
      <c r="I2934" s="470"/>
      <c r="K2934" s="470"/>
      <c r="M2934" s="470"/>
      <c r="O2934" s="470"/>
    </row>
    <row r="2935">
      <c r="A2935" s="282"/>
      <c r="B2935" s="468"/>
      <c r="C2935" s="272"/>
      <c r="D2935" s="273"/>
      <c r="E2935" s="273"/>
      <c r="F2935" s="273"/>
      <c r="H2935" s="469"/>
      <c r="I2935" s="470"/>
      <c r="K2935" s="470"/>
      <c r="M2935" s="470"/>
      <c r="O2935" s="470"/>
    </row>
    <row r="2936">
      <c r="A2936" s="282"/>
      <c r="B2936" s="468"/>
      <c r="C2936" s="272"/>
      <c r="D2936" s="273"/>
      <c r="E2936" s="273"/>
      <c r="F2936" s="273"/>
      <c r="H2936" s="469"/>
      <c r="I2936" s="470"/>
      <c r="K2936" s="470"/>
      <c r="M2936" s="470"/>
      <c r="O2936" s="470"/>
    </row>
    <row r="2937">
      <c r="A2937" s="282"/>
      <c r="B2937" s="468"/>
      <c r="C2937" s="272"/>
      <c r="D2937" s="273"/>
      <c r="E2937" s="273"/>
      <c r="F2937" s="273"/>
      <c r="H2937" s="469"/>
      <c r="I2937" s="470"/>
      <c r="K2937" s="470"/>
      <c r="M2937" s="470"/>
      <c r="O2937" s="470"/>
    </row>
    <row r="2938">
      <c r="A2938" s="282"/>
      <c r="B2938" s="468"/>
      <c r="C2938" s="272"/>
      <c r="D2938" s="273"/>
      <c r="E2938" s="273"/>
      <c r="F2938" s="273"/>
      <c r="H2938" s="469"/>
      <c r="I2938" s="470"/>
      <c r="K2938" s="470"/>
      <c r="M2938" s="470"/>
      <c r="O2938" s="470"/>
    </row>
    <row r="2939">
      <c r="A2939" s="282"/>
      <c r="B2939" s="468"/>
      <c r="C2939" s="272"/>
      <c r="D2939" s="273"/>
      <c r="E2939" s="273"/>
      <c r="F2939" s="273"/>
      <c r="H2939" s="469"/>
      <c r="I2939" s="470"/>
      <c r="K2939" s="470"/>
      <c r="M2939" s="470"/>
      <c r="O2939" s="470"/>
    </row>
    <row r="2940">
      <c r="A2940" s="282"/>
      <c r="B2940" s="468"/>
      <c r="C2940" s="272"/>
      <c r="D2940" s="273"/>
      <c r="E2940" s="273"/>
      <c r="F2940" s="273"/>
      <c r="H2940" s="469"/>
      <c r="I2940" s="470"/>
      <c r="K2940" s="470"/>
      <c r="M2940" s="470"/>
      <c r="O2940" s="470"/>
    </row>
    <row r="2941">
      <c r="A2941" s="282"/>
      <c r="B2941" s="468"/>
      <c r="C2941" s="272"/>
      <c r="D2941" s="273"/>
      <c r="E2941" s="273"/>
      <c r="F2941" s="273"/>
      <c r="H2941" s="469"/>
      <c r="I2941" s="470"/>
      <c r="K2941" s="470"/>
      <c r="M2941" s="470"/>
      <c r="O2941" s="470"/>
    </row>
    <row r="2942">
      <c r="A2942" s="282"/>
      <c r="B2942" s="468"/>
      <c r="C2942" s="272"/>
      <c r="D2942" s="273"/>
      <c r="E2942" s="273"/>
      <c r="F2942" s="273"/>
      <c r="H2942" s="469"/>
      <c r="I2942" s="470"/>
      <c r="K2942" s="470"/>
      <c r="M2942" s="470"/>
      <c r="O2942" s="470"/>
    </row>
    <row r="2943">
      <c r="A2943" s="282"/>
      <c r="B2943" s="468"/>
      <c r="C2943" s="272"/>
      <c r="D2943" s="273"/>
      <c r="E2943" s="273"/>
      <c r="F2943" s="273"/>
      <c r="H2943" s="469"/>
      <c r="I2943" s="470"/>
      <c r="K2943" s="470"/>
      <c r="M2943" s="470"/>
      <c r="O2943" s="470"/>
    </row>
    <row r="2944">
      <c r="A2944" s="282"/>
      <c r="B2944" s="468"/>
      <c r="C2944" s="272"/>
      <c r="D2944" s="273"/>
      <c r="E2944" s="273"/>
      <c r="F2944" s="273"/>
      <c r="H2944" s="469"/>
      <c r="I2944" s="470"/>
      <c r="K2944" s="470"/>
      <c r="M2944" s="470"/>
      <c r="O2944" s="470"/>
    </row>
    <row r="2945">
      <c r="A2945" s="282"/>
      <c r="B2945" s="468"/>
      <c r="C2945" s="272"/>
      <c r="D2945" s="273"/>
      <c r="E2945" s="273"/>
      <c r="F2945" s="273"/>
      <c r="H2945" s="469"/>
      <c r="I2945" s="470"/>
      <c r="K2945" s="470"/>
      <c r="M2945" s="470"/>
      <c r="O2945" s="470"/>
    </row>
    <row r="2946">
      <c r="A2946" s="282"/>
      <c r="B2946" s="468"/>
      <c r="C2946" s="272"/>
      <c r="D2946" s="273"/>
      <c r="E2946" s="273"/>
      <c r="F2946" s="273"/>
      <c r="H2946" s="469"/>
      <c r="I2946" s="470"/>
      <c r="K2946" s="470"/>
      <c r="M2946" s="470"/>
      <c r="O2946" s="470"/>
    </row>
    <row r="2947">
      <c r="A2947" s="282"/>
      <c r="B2947" s="468"/>
      <c r="C2947" s="272"/>
      <c r="D2947" s="273"/>
      <c r="E2947" s="273"/>
      <c r="F2947" s="273"/>
      <c r="H2947" s="469"/>
      <c r="I2947" s="470"/>
      <c r="K2947" s="470"/>
      <c r="M2947" s="470"/>
      <c r="O2947" s="470"/>
    </row>
    <row r="2948">
      <c r="A2948" s="282"/>
      <c r="B2948" s="468"/>
      <c r="C2948" s="272"/>
      <c r="D2948" s="273"/>
      <c r="E2948" s="273"/>
      <c r="F2948" s="273"/>
      <c r="H2948" s="469"/>
      <c r="I2948" s="470"/>
      <c r="K2948" s="470"/>
      <c r="M2948" s="470"/>
      <c r="O2948" s="470"/>
    </row>
    <row r="2949">
      <c r="A2949" s="282"/>
      <c r="B2949" s="468"/>
      <c r="C2949" s="272"/>
      <c r="D2949" s="273"/>
      <c r="E2949" s="273"/>
      <c r="F2949" s="273"/>
      <c r="H2949" s="469"/>
      <c r="I2949" s="470"/>
      <c r="K2949" s="470"/>
      <c r="M2949" s="470"/>
      <c r="O2949" s="470"/>
    </row>
    <row r="2950">
      <c r="A2950" s="282"/>
      <c r="B2950" s="468"/>
      <c r="C2950" s="272"/>
      <c r="D2950" s="273"/>
      <c r="E2950" s="273"/>
      <c r="F2950" s="273"/>
      <c r="H2950" s="469"/>
      <c r="I2950" s="470"/>
      <c r="K2950" s="470"/>
      <c r="M2950" s="470"/>
      <c r="O2950" s="470"/>
    </row>
    <row r="2951">
      <c r="A2951" s="282"/>
      <c r="B2951" s="468"/>
      <c r="C2951" s="272"/>
      <c r="D2951" s="273"/>
      <c r="E2951" s="273"/>
      <c r="F2951" s="273"/>
      <c r="H2951" s="469"/>
      <c r="I2951" s="470"/>
      <c r="K2951" s="470"/>
      <c r="M2951" s="470"/>
      <c r="O2951" s="470"/>
    </row>
    <row r="2952">
      <c r="A2952" s="282"/>
      <c r="B2952" s="468"/>
      <c r="C2952" s="272"/>
      <c r="D2952" s="273"/>
      <c r="E2952" s="273"/>
      <c r="F2952" s="273"/>
      <c r="H2952" s="469"/>
      <c r="I2952" s="470"/>
      <c r="K2952" s="470"/>
      <c r="M2952" s="470"/>
      <c r="O2952" s="470"/>
    </row>
    <row r="2953">
      <c r="A2953" s="282"/>
      <c r="B2953" s="468"/>
      <c r="C2953" s="272"/>
      <c r="D2953" s="273"/>
      <c r="E2953" s="273"/>
      <c r="F2953" s="273"/>
      <c r="H2953" s="469"/>
      <c r="I2953" s="470"/>
      <c r="K2953" s="470"/>
      <c r="M2953" s="470"/>
      <c r="O2953" s="470"/>
    </row>
    <row r="2954">
      <c r="A2954" s="282"/>
      <c r="B2954" s="468"/>
      <c r="C2954" s="272"/>
      <c r="D2954" s="273"/>
      <c r="E2954" s="273"/>
      <c r="F2954" s="273"/>
      <c r="H2954" s="469"/>
      <c r="I2954" s="470"/>
      <c r="K2954" s="470"/>
      <c r="M2954" s="470"/>
      <c r="O2954" s="470"/>
    </row>
    <row r="2955">
      <c r="A2955" s="282"/>
      <c r="B2955" s="468"/>
      <c r="C2955" s="272"/>
      <c r="D2955" s="273"/>
      <c r="E2955" s="273"/>
      <c r="F2955" s="273"/>
      <c r="H2955" s="469"/>
      <c r="I2955" s="470"/>
      <c r="K2955" s="470"/>
      <c r="M2955" s="470"/>
      <c r="O2955" s="470"/>
    </row>
    <row r="2956">
      <c r="A2956" s="282"/>
      <c r="B2956" s="468"/>
      <c r="C2956" s="272"/>
      <c r="D2956" s="273"/>
      <c r="E2956" s="273"/>
      <c r="F2956" s="273"/>
      <c r="H2956" s="469"/>
      <c r="I2956" s="470"/>
      <c r="K2956" s="470"/>
      <c r="M2956" s="470"/>
      <c r="O2956" s="470"/>
    </row>
    <row r="2957">
      <c r="A2957" s="282"/>
      <c r="B2957" s="468"/>
      <c r="C2957" s="272"/>
      <c r="D2957" s="273"/>
      <c r="E2957" s="273"/>
      <c r="F2957" s="273"/>
      <c r="H2957" s="469"/>
      <c r="I2957" s="470"/>
      <c r="K2957" s="470"/>
      <c r="M2957" s="470"/>
      <c r="O2957" s="470"/>
    </row>
    <row r="2958">
      <c r="A2958" s="282"/>
      <c r="B2958" s="468"/>
      <c r="C2958" s="272"/>
      <c r="D2958" s="273"/>
      <c r="E2958" s="273"/>
      <c r="F2958" s="273"/>
      <c r="H2958" s="469"/>
      <c r="I2958" s="470"/>
      <c r="K2958" s="470"/>
      <c r="M2958" s="470"/>
      <c r="O2958" s="470"/>
    </row>
    <row r="2959">
      <c r="A2959" s="282"/>
      <c r="B2959" s="468"/>
      <c r="C2959" s="272"/>
      <c r="D2959" s="273"/>
      <c r="E2959" s="273"/>
      <c r="F2959" s="273"/>
      <c r="H2959" s="469"/>
      <c r="I2959" s="470"/>
      <c r="K2959" s="470"/>
      <c r="M2959" s="470"/>
      <c r="O2959" s="470"/>
    </row>
    <row r="2960">
      <c r="A2960" s="282"/>
      <c r="B2960" s="468"/>
      <c r="C2960" s="272"/>
      <c r="D2960" s="273"/>
      <c r="E2960" s="273"/>
      <c r="F2960" s="273"/>
      <c r="H2960" s="469"/>
      <c r="I2960" s="470"/>
      <c r="K2960" s="470"/>
      <c r="M2960" s="470"/>
      <c r="O2960" s="470"/>
    </row>
    <row r="2961">
      <c r="A2961" s="282"/>
      <c r="B2961" s="468"/>
      <c r="C2961" s="272"/>
      <c r="D2961" s="273"/>
      <c r="E2961" s="273"/>
      <c r="F2961" s="273"/>
      <c r="H2961" s="469"/>
      <c r="I2961" s="470"/>
      <c r="K2961" s="470"/>
      <c r="M2961" s="470"/>
      <c r="O2961" s="470"/>
    </row>
    <row r="2962">
      <c r="A2962" s="282"/>
      <c r="B2962" s="468"/>
      <c r="C2962" s="272"/>
      <c r="D2962" s="273"/>
      <c r="E2962" s="273"/>
      <c r="F2962" s="273"/>
      <c r="H2962" s="469"/>
      <c r="I2962" s="470"/>
      <c r="K2962" s="470"/>
      <c r="M2962" s="470"/>
      <c r="O2962" s="470"/>
    </row>
    <row r="2963">
      <c r="A2963" s="282"/>
      <c r="B2963" s="468"/>
      <c r="C2963" s="272"/>
      <c r="D2963" s="273"/>
      <c r="E2963" s="273"/>
      <c r="F2963" s="273"/>
      <c r="H2963" s="469"/>
      <c r="I2963" s="470"/>
      <c r="K2963" s="470"/>
      <c r="M2963" s="470"/>
      <c r="O2963" s="470"/>
    </row>
    <row r="2964">
      <c r="A2964" s="282"/>
      <c r="B2964" s="468"/>
      <c r="C2964" s="272"/>
      <c r="D2964" s="273"/>
      <c r="E2964" s="273"/>
      <c r="F2964" s="273"/>
      <c r="H2964" s="469"/>
      <c r="I2964" s="470"/>
      <c r="K2964" s="470"/>
      <c r="M2964" s="470"/>
      <c r="O2964" s="470"/>
    </row>
    <row r="2965">
      <c r="A2965" s="282"/>
      <c r="B2965" s="468"/>
      <c r="C2965" s="272"/>
      <c r="D2965" s="273"/>
      <c r="E2965" s="273"/>
      <c r="F2965" s="273"/>
      <c r="H2965" s="469"/>
      <c r="I2965" s="470"/>
      <c r="K2965" s="470"/>
      <c r="M2965" s="470"/>
      <c r="O2965" s="470"/>
    </row>
    <row r="2966">
      <c r="A2966" s="282"/>
      <c r="B2966" s="468"/>
      <c r="C2966" s="272"/>
      <c r="D2966" s="273"/>
      <c r="E2966" s="273"/>
      <c r="F2966" s="273"/>
      <c r="H2966" s="469"/>
      <c r="I2966" s="470"/>
      <c r="K2966" s="470"/>
      <c r="M2966" s="470"/>
      <c r="O2966" s="470"/>
    </row>
    <row r="2967">
      <c r="A2967" s="282"/>
      <c r="B2967" s="468"/>
      <c r="C2967" s="272"/>
      <c r="D2967" s="273"/>
      <c r="E2967" s="273"/>
      <c r="F2967" s="273"/>
      <c r="H2967" s="469"/>
      <c r="I2967" s="470"/>
      <c r="K2967" s="470"/>
      <c r="M2967" s="470"/>
      <c r="O2967" s="470"/>
    </row>
    <row r="2968">
      <c r="A2968" s="282"/>
      <c r="B2968" s="468"/>
      <c r="C2968" s="272"/>
      <c r="D2968" s="273"/>
      <c r="E2968" s="273"/>
      <c r="F2968" s="273"/>
      <c r="H2968" s="469"/>
      <c r="I2968" s="470"/>
      <c r="K2968" s="470"/>
      <c r="M2968" s="470"/>
      <c r="O2968" s="470"/>
    </row>
    <row r="2969">
      <c r="A2969" s="282"/>
      <c r="B2969" s="468"/>
      <c r="C2969" s="272"/>
      <c r="D2969" s="273"/>
      <c r="E2969" s="273"/>
      <c r="F2969" s="273"/>
      <c r="H2969" s="469"/>
      <c r="I2969" s="470"/>
      <c r="K2969" s="470"/>
      <c r="M2969" s="470"/>
      <c r="O2969" s="470"/>
    </row>
    <row r="2970">
      <c r="A2970" s="282"/>
      <c r="B2970" s="468"/>
      <c r="C2970" s="272"/>
      <c r="D2970" s="273"/>
      <c r="E2970" s="273"/>
      <c r="F2970" s="273"/>
      <c r="H2970" s="469"/>
      <c r="I2970" s="470"/>
      <c r="K2970" s="470"/>
      <c r="M2970" s="470"/>
      <c r="O2970" s="470"/>
    </row>
    <row r="2971">
      <c r="A2971" s="282"/>
      <c r="B2971" s="468"/>
      <c r="C2971" s="272"/>
      <c r="D2971" s="273"/>
      <c r="E2971" s="273"/>
      <c r="F2971" s="273"/>
      <c r="H2971" s="469"/>
      <c r="I2971" s="470"/>
      <c r="K2971" s="470"/>
      <c r="M2971" s="470"/>
      <c r="O2971" s="470"/>
    </row>
    <row r="2972">
      <c r="A2972" s="282"/>
      <c r="B2972" s="468"/>
      <c r="C2972" s="272"/>
      <c r="D2972" s="273"/>
      <c r="E2972" s="273"/>
      <c r="F2972" s="273"/>
      <c r="H2972" s="469"/>
      <c r="I2972" s="470"/>
      <c r="K2972" s="470"/>
      <c r="M2972" s="470"/>
      <c r="O2972" s="470"/>
    </row>
    <row r="2973">
      <c r="A2973" s="282"/>
      <c r="B2973" s="468"/>
      <c r="C2973" s="272"/>
      <c r="D2973" s="273"/>
      <c r="E2973" s="273"/>
      <c r="F2973" s="273"/>
      <c r="H2973" s="469"/>
      <c r="I2973" s="470"/>
      <c r="K2973" s="470"/>
      <c r="M2973" s="470"/>
      <c r="O2973" s="470"/>
    </row>
    <row r="2974">
      <c r="A2974" s="282"/>
      <c r="B2974" s="468"/>
      <c r="C2974" s="272"/>
      <c r="D2974" s="273"/>
      <c r="E2974" s="273"/>
      <c r="F2974" s="273"/>
      <c r="H2974" s="469"/>
      <c r="I2974" s="470"/>
      <c r="K2974" s="470"/>
      <c r="M2974" s="470"/>
      <c r="O2974" s="470"/>
    </row>
    <row r="2975">
      <c r="A2975" s="282"/>
      <c r="B2975" s="468"/>
      <c r="C2975" s="272"/>
      <c r="D2975" s="273"/>
      <c r="E2975" s="273"/>
      <c r="F2975" s="273"/>
      <c r="H2975" s="469"/>
      <c r="I2975" s="470"/>
      <c r="K2975" s="470"/>
      <c r="M2975" s="470"/>
      <c r="O2975" s="470"/>
    </row>
    <row r="2976">
      <c r="A2976" s="282"/>
      <c r="B2976" s="468"/>
      <c r="C2976" s="272"/>
      <c r="D2976" s="273"/>
      <c r="E2976" s="273"/>
      <c r="F2976" s="273"/>
      <c r="H2976" s="469"/>
      <c r="I2976" s="470"/>
      <c r="K2976" s="470"/>
      <c r="M2976" s="470"/>
      <c r="O2976" s="470"/>
    </row>
    <row r="2977">
      <c r="A2977" s="282"/>
      <c r="B2977" s="468"/>
      <c r="C2977" s="272"/>
      <c r="D2977" s="273"/>
      <c r="E2977" s="273"/>
      <c r="F2977" s="273"/>
      <c r="H2977" s="469"/>
      <c r="I2977" s="470"/>
      <c r="K2977" s="470"/>
      <c r="M2977" s="470"/>
      <c r="O2977" s="470"/>
    </row>
    <row r="2978">
      <c r="A2978" s="282"/>
      <c r="B2978" s="468"/>
      <c r="C2978" s="272"/>
      <c r="D2978" s="273"/>
      <c r="E2978" s="273"/>
      <c r="F2978" s="273"/>
      <c r="H2978" s="469"/>
      <c r="I2978" s="470"/>
      <c r="K2978" s="470"/>
      <c r="M2978" s="470"/>
      <c r="O2978" s="470"/>
    </row>
    <row r="2979">
      <c r="A2979" s="282"/>
      <c r="B2979" s="468"/>
      <c r="C2979" s="272"/>
      <c r="D2979" s="273"/>
      <c r="E2979" s="273"/>
      <c r="F2979" s="273"/>
      <c r="H2979" s="469"/>
      <c r="I2979" s="470"/>
      <c r="K2979" s="470"/>
      <c r="M2979" s="470"/>
      <c r="O2979" s="470"/>
    </row>
    <row r="2980">
      <c r="A2980" s="282"/>
      <c r="B2980" s="468"/>
      <c r="C2980" s="272"/>
      <c r="D2980" s="273"/>
      <c r="E2980" s="273"/>
      <c r="F2980" s="273"/>
      <c r="H2980" s="469"/>
      <c r="I2980" s="470"/>
      <c r="K2980" s="470"/>
      <c r="M2980" s="470"/>
      <c r="O2980" s="470"/>
    </row>
    <row r="2981">
      <c r="A2981" s="282"/>
      <c r="B2981" s="468"/>
      <c r="C2981" s="272"/>
      <c r="D2981" s="273"/>
      <c r="E2981" s="273"/>
      <c r="F2981" s="273"/>
      <c r="H2981" s="469"/>
      <c r="I2981" s="470"/>
      <c r="K2981" s="470"/>
      <c r="M2981" s="470"/>
      <c r="O2981" s="470"/>
    </row>
    <row r="2982">
      <c r="A2982" s="282"/>
      <c r="B2982" s="468"/>
      <c r="C2982" s="272"/>
      <c r="D2982" s="273"/>
      <c r="E2982" s="273"/>
      <c r="F2982" s="273"/>
      <c r="H2982" s="469"/>
      <c r="I2982" s="470"/>
      <c r="K2982" s="470"/>
      <c r="M2982" s="470"/>
      <c r="O2982" s="470"/>
    </row>
    <row r="2983">
      <c r="A2983" s="282"/>
      <c r="B2983" s="468"/>
      <c r="C2983" s="272"/>
      <c r="D2983" s="273"/>
      <c r="E2983" s="273"/>
      <c r="F2983" s="273"/>
      <c r="H2983" s="469"/>
      <c r="I2983" s="470"/>
      <c r="K2983" s="470"/>
      <c r="M2983" s="470"/>
      <c r="O2983" s="470"/>
    </row>
    <row r="2984">
      <c r="A2984" s="282"/>
      <c r="B2984" s="468"/>
      <c r="C2984" s="272"/>
      <c r="D2984" s="273"/>
      <c r="E2984" s="273"/>
      <c r="F2984" s="273"/>
      <c r="H2984" s="469"/>
      <c r="I2984" s="470"/>
      <c r="K2984" s="470"/>
      <c r="M2984" s="470"/>
      <c r="O2984" s="470"/>
    </row>
    <row r="2985">
      <c r="A2985" s="282"/>
      <c r="B2985" s="468"/>
      <c r="C2985" s="272"/>
      <c r="D2985" s="273"/>
      <c r="E2985" s="273"/>
      <c r="F2985" s="273"/>
      <c r="H2985" s="469"/>
      <c r="I2985" s="470"/>
      <c r="K2985" s="470"/>
      <c r="M2985" s="470"/>
      <c r="O2985" s="470"/>
    </row>
    <row r="2986">
      <c r="A2986" s="282"/>
      <c r="B2986" s="468"/>
      <c r="C2986" s="272"/>
      <c r="D2986" s="273"/>
      <c r="E2986" s="273"/>
      <c r="F2986" s="273"/>
      <c r="H2986" s="469"/>
      <c r="I2986" s="470"/>
      <c r="K2986" s="470"/>
      <c r="M2986" s="470"/>
      <c r="O2986" s="470"/>
    </row>
    <row r="2987">
      <c r="A2987" s="282"/>
      <c r="B2987" s="468"/>
      <c r="C2987" s="272"/>
      <c r="D2987" s="273"/>
      <c r="E2987" s="273"/>
      <c r="F2987" s="273"/>
      <c r="H2987" s="469"/>
      <c r="I2987" s="470"/>
      <c r="K2987" s="470"/>
      <c r="M2987" s="470"/>
      <c r="O2987" s="470"/>
    </row>
    <row r="2988">
      <c r="A2988" s="282"/>
      <c r="B2988" s="468"/>
      <c r="C2988" s="272"/>
      <c r="D2988" s="273"/>
      <c r="E2988" s="273"/>
      <c r="F2988" s="273"/>
      <c r="H2988" s="469"/>
      <c r="I2988" s="470"/>
      <c r="K2988" s="470"/>
      <c r="M2988" s="470"/>
      <c r="O2988" s="470"/>
    </row>
    <row r="2989">
      <c r="A2989" s="282"/>
      <c r="B2989" s="468"/>
      <c r="C2989" s="272"/>
      <c r="D2989" s="273"/>
      <c r="E2989" s="273"/>
      <c r="F2989" s="273"/>
      <c r="H2989" s="469"/>
      <c r="I2989" s="470"/>
      <c r="K2989" s="470"/>
      <c r="M2989" s="470"/>
      <c r="O2989" s="470"/>
    </row>
    <row r="2990">
      <c r="A2990" s="282"/>
      <c r="B2990" s="468"/>
      <c r="C2990" s="272"/>
      <c r="D2990" s="273"/>
      <c r="E2990" s="273"/>
      <c r="F2990" s="273"/>
      <c r="H2990" s="469"/>
      <c r="I2990" s="470"/>
      <c r="K2990" s="470"/>
      <c r="M2990" s="470"/>
      <c r="O2990" s="470"/>
    </row>
    <row r="2991">
      <c r="A2991" s="282"/>
      <c r="B2991" s="468"/>
      <c r="C2991" s="272"/>
      <c r="D2991" s="273"/>
      <c r="E2991" s="273"/>
      <c r="F2991" s="273"/>
      <c r="H2991" s="469"/>
      <c r="I2991" s="470"/>
      <c r="K2991" s="470"/>
      <c r="M2991" s="470"/>
      <c r="O2991" s="470"/>
    </row>
    <row r="2992">
      <c r="A2992" s="282"/>
      <c r="B2992" s="468"/>
      <c r="C2992" s="272"/>
      <c r="D2992" s="273"/>
      <c r="E2992" s="273"/>
      <c r="F2992" s="273"/>
      <c r="H2992" s="469"/>
      <c r="I2992" s="470"/>
      <c r="K2992" s="470"/>
      <c r="M2992" s="470"/>
      <c r="O2992" s="470"/>
    </row>
    <row r="2993">
      <c r="A2993" s="282"/>
      <c r="B2993" s="468"/>
      <c r="C2993" s="272"/>
      <c r="D2993" s="273"/>
      <c r="E2993" s="273"/>
      <c r="F2993" s="273"/>
      <c r="H2993" s="469"/>
      <c r="I2993" s="470"/>
      <c r="K2993" s="470"/>
      <c r="M2993" s="470"/>
      <c r="O2993" s="470"/>
    </row>
    <row r="2994">
      <c r="A2994" s="282"/>
      <c r="B2994" s="468"/>
      <c r="C2994" s="272"/>
      <c r="D2994" s="273"/>
      <c r="E2994" s="273"/>
      <c r="F2994" s="273"/>
      <c r="H2994" s="469"/>
      <c r="I2994" s="470"/>
      <c r="K2994" s="470"/>
      <c r="M2994" s="470"/>
      <c r="O2994" s="470"/>
    </row>
    <row r="2995">
      <c r="A2995" s="282"/>
      <c r="B2995" s="468"/>
      <c r="C2995" s="272"/>
      <c r="D2995" s="273"/>
      <c r="E2995" s="273"/>
      <c r="F2995" s="273"/>
      <c r="H2995" s="469"/>
      <c r="I2995" s="470"/>
      <c r="K2995" s="470"/>
      <c r="M2995" s="470"/>
      <c r="O2995" s="470"/>
    </row>
    <row r="2996">
      <c r="A2996" s="282"/>
      <c r="B2996" s="468"/>
      <c r="C2996" s="272"/>
      <c r="D2996" s="273"/>
      <c r="E2996" s="273"/>
      <c r="F2996" s="273"/>
      <c r="H2996" s="469"/>
      <c r="I2996" s="470"/>
      <c r="K2996" s="470"/>
      <c r="M2996" s="470"/>
      <c r="O2996" s="470"/>
    </row>
    <row r="2997">
      <c r="A2997" s="282"/>
      <c r="B2997" s="468"/>
      <c r="C2997" s="272"/>
      <c r="D2997" s="273"/>
      <c r="E2997" s="273"/>
      <c r="F2997" s="273"/>
      <c r="H2997" s="469"/>
      <c r="I2997" s="470"/>
      <c r="K2997" s="470"/>
      <c r="M2997" s="470"/>
      <c r="O2997" s="470"/>
    </row>
    <row r="2998">
      <c r="A2998" s="282"/>
      <c r="B2998" s="468"/>
      <c r="C2998" s="272"/>
      <c r="D2998" s="273"/>
      <c r="E2998" s="273"/>
      <c r="F2998" s="273"/>
      <c r="H2998" s="469"/>
      <c r="I2998" s="470"/>
      <c r="K2998" s="470"/>
      <c r="M2998" s="470"/>
      <c r="O2998" s="470"/>
    </row>
    <row r="2999">
      <c r="A2999" s="282"/>
      <c r="B2999" s="468"/>
      <c r="C2999" s="272"/>
      <c r="D2999" s="273"/>
      <c r="E2999" s="273"/>
      <c r="F2999" s="273"/>
      <c r="H2999" s="469"/>
      <c r="I2999" s="470"/>
      <c r="K2999" s="470"/>
      <c r="M2999" s="470"/>
      <c r="O2999" s="470"/>
    </row>
    <row r="3000">
      <c r="A3000" s="282"/>
      <c r="B3000" s="468"/>
      <c r="C3000" s="272"/>
      <c r="D3000" s="273"/>
      <c r="E3000" s="273"/>
      <c r="F3000" s="273"/>
      <c r="H3000" s="469"/>
      <c r="I3000" s="470"/>
      <c r="K3000" s="470"/>
      <c r="M3000" s="470"/>
      <c r="O3000" s="470"/>
    </row>
    <row r="3001">
      <c r="A3001" s="282"/>
      <c r="B3001" s="468"/>
      <c r="C3001" s="272"/>
      <c r="D3001" s="273"/>
      <c r="E3001" s="273"/>
      <c r="F3001" s="273"/>
      <c r="H3001" s="469"/>
      <c r="I3001" s="470"/>
      <c r="K3001" s="470"/>
      <c r="M3001" s="470"/>
      <c r="O3001" s="470"/>
    </row>
    <row r="3002">
      <c r="A3002" s="282"/>
      <c r="B3002" s="468"/>
      <c r="C3002" s="272"/>
      <c r="D3002" s="273"/>
      <c r="E3002" s="273"/>
      <c r="F3002" s="273"/>
      <c r="H3002" s="469"/>
      <c r="I3002" s="470"/>
      <c r="K3002" s="470"/>
      <c r="M3002" s="470"/>
      <c r="O3002" s="470"/>
    </row>
    <row r="3003">
      <c r="A3003" s="282"/>
      <c r="B3003" s="468"/>
      <c r="C3003" s="272"/>
      <c r="D3003" s="273"/>
      <c r="E3003" s="273"/>
      <c r="F3003" s="273"/>
      <c r="H3003" s="469"/>
      <c r="I3003" s="470"/>
      <c r="K3003" s="470"/>
      <c r="M3003" s="470"/>
      <c r="O3003" s="470"/>
    </row>
    <row r="3004">
      <c r="A3004" s="282"/>
      <c r="B3004" s="468"/>
      <c r="C3004" s="272"/>
      <c r="D3004" s="273"/>
      <c r="E3004" s="273"/>
      <c r="F3004" s="273"/>
      <c r="H3004" s="469"/>
      <c r="I3004" s="470"/>
      <c r="K3004" s="470"/>
      <c r="M3004" s="470"/>
      <c r="O3004" s="470"/>
    </row>
    <row r="3005">
      <c r="A3005" s="282"/>
      <c r="B3005" s="468"/>
      <c r="C3005" s="272"/>
      <c r="D3005" s="273"/>
      <c r="E3005" s="273"/>
      <c r="F3005" s="273"/>
      <c r="H3005" s="469"/>
      <c r="I3005" s="470"/>
      <c r="K3005" s="470"/>
      <c r="M3005" s="470"/>
      <c r="O3005" s="470"/>
    </row>
    <row r="3006">
      <c r="A3006" s="282"/>
      <c r="B3006" s="468"/>
      <c r="C3006" s="272"/>
      <c r="D3006" s="273"/>
      <c r="E3006" s="273"/>
      <c r="F3006" s="273"/>
      <c r="H3006" s="469"/>
      <c r="I3006" s="470"/>
      <c r="K3006" s="470"/>
      <c r="M3006" s="470"/>
      <c r="O3006" s="470"/>
    </row>
    <row r="3007">
      <c r="A3007" s="282"/>
      <c r="B3007" s="468"/>
      <c r="C3007" s="272"/>
      <c r="D3007" s="273"/>
      <c r="E3007" s="273"/>
      <c r="F3007" s="273"/>
      <c r="H3007" s="469"/>
      <c r="I3007" s="470"/>
      <c r="K3007" s="470"/>
      <c r="M3007" s="470"/>
      <c r="O3007" s="470"/>
    </row>
    <row r="3008">
      <c r="A3008" s="282"/>
      <c r="B3008" s="468"/>
      <c r="C3008" s="272"/>
      <c r="D3008" s="273"/>
      <c r="E3008" s="273"/>
      <c r="F3008" s="273"/>
      <c r="H3008" s="469"/>
      <c r="I3008" s="470"/>
      <c r="K3008" s="470"/>
      <c r="M3008" s="470"/>
      <c r="O3008" s="470"/>
    </row>
    <row r="3009">
      <c r="A3009" s="282"/>
      <c r="B3009" s="468"/>
      <c r="C3009" s="272"/>
      <c r="D3009" s="273"/>
      <c r="E3009" s="273"/>
      <c r="F3009" s="273"/>
      <c r="H3009" s="469"/>
      <c r="I3009" s="470"/>
      <c r="K3009" s="470"/>
      <c r="M3009" s="470"/>
      <c r="O3009" s="470"/>
    </row>
    <row r="3010">
      <c r="A3010" s="282"/>
      <c r="B3010" s="468"/>
      <c r="C3010" s="272"/>
      <c r="D3010" s="273"/>
      <c r="E3010" s="273"/>
      <c r="F3010" s="273"/>
      <c r="H3010" s="469"/>
      <c r="I3010" s="470"/>
      <c r="K3010" s="470"/>
      <c r="M3010" s="470"/>
      <c r="O3010" s="470"/>
    </row>
    <row r="3011">
      <c r="A3011" s="282"/>
      <c r="B3011" s="468"/>
      <c r="C3011" s="272"/>
      <c r="D3011" s="273"/>
      <c r="E3011" s="273"/>
      <c r="F3011" s="273"/>
      <c r="H3011" s="469"/>
      <c r="I3011" s="470"/>
      <c r="K3011" s="470"/>
      <c r="M3011" s="470"/>
      <c r="O3011" s="470"/>
    </row>
    <row r="3012">
      <c r="A3012" s="282"/>
      <c r="B3012" s="468"/>
      <c r="C3012" s="272"/>
      <c r="D3012" s="273"/>
      <c r="E3012" s="273"/>
      <c r="F3012" s="273"/>
      <c r="H3012" s="469"/>
      <c r="I3012" s="470"/>
      <c r="K3012" s="470"/>
      <c r="M3012" s="470"/>
      <c r="O3012" s="470"/>
    </row>
    <row r="3013">
      <c r="A3013" s="282"/>
      <c r="B3013" s="468"/>
      <c r="C3013" s="272"/>
      <c r="D3013" s="273"/>
      <c r="E3013" s="273"/>
      <c r="F3013" s="273"/>
      <c r="H3013" s="469"/>
      <c r="I3013" s="470"/>
      <c r="K3013" s="470"/>
      <c r="M3013" s="470"/>
      <c r="O3013" s="470"/>
    </row>
    <row r="3014">
      <c r="A3014" s="282"/>
      <c r="B3014" s="468"/>
      <c r="C3014" s="272"/>
      <c r="D3014" s="273"/>
      <c r="E3014" s="273"/>
      <c r="F3014" s="273"/>
      <c r="H3014" s="469"/>
      <c r="I3014" s="470"/>
      <c r="K3014" s="470"/>
      <c r="M3014" s="470"/>
      <c r="O3014" s="470"/>
    </row>
    <row r="3015">
      <c r="A3015" s="282"/>
      <c r="B3015" s="468"/>
      <c r="C3015" s="272"/>
      <c r="D3015" s="273"/>
      <c r="E3015" s="273"/>
      <c r="F3015" s="273"/>
      <c r="H3015" s="469"/>
      <c r="I3015" s="470"/>
      <c r="K3015" s="470"/>
      <c r="M3015" s="470"/>
      <c r="O3015" s="470"/>
    </row>
    <row r="3016">
      <c r="A3016" s="282"/>
      <c r="B3016" s="468"/>
      <c r="C3016" s="272"/>
      <c r="D3016" s="273"/>
      <c r="E3016" s="273"/>
      <c r="F3016" s="273"/>
      <c r="H3016" s="469"/>
      <c r="I3016" s="470"/>
      <c r="K3016" s="470"/>
      <c r="M3016" s="470"/>
      <c r="O3016" s="470"/>
    </row>
    <row r="3017">
      <c r="A3017" s="282"/>
      <c r="B3017" s="468"/>
      <c r="C3017" s="272"/>
      <c r="D3017" s="273"/>
      <c r="E3017" s="273"/>
      <c r="F3017" s="273"/>
      <c r="H3017" s="469"/>
      <c r="I3017" s="470"/>
      <c r="K3017" s="470"/>
      <c r="M3017" s="470"/>
      <c r="O3017" s="470"/>
    </row>
    <row r="3018">
      <c r="A3018" s="282"/>
      <c r="B3018" s="468"/>
      <c r="C3018" s="272"/>
      <c r="D3018" s="273"/>
      <c r="E3018" s="273"/>
      <c r="F3018" s="273"/>
      <c r="H3018" s="469"/>
      <c r="I3018" s="470"/>
      <c r="K3018" s="470"/>
      <c r="M3018" s="470"/>
      <c r="O3018" s="470"/>
    </row>
    <row r="3019">
      <c r="A3019" s="282"/>
      <c r="B3019" s="468"/>
      <c r="C3019" s="272"/>
      <c r="D3019" s="273"/>
      <c r="E3019" s="273"/>
      <c r="F3019" s="273"/>
      <c r="H3019" s="469"/>
      <c r="I3019" s="470"/>
      <c r="K3019" s="470"/>
      <c r="M3019" s="470"/>
      <c r="O3019" s="470"/>
    </row>
    <row r="3020">
      <c r="A3020" s="282"/>
      <c r="B3020" s="468"/>
      <c r="C3020" s="272"/>
      <c r="D3020" s="273"/>
      <c r="E3020" s="273"/>
      <c r="F3020" s="273"/>
      <c r="H3020" s="469"/>
      <c r="I3020" s="470"/>
      <c r="K3020" s="470"/>
      <c r="M3020" s="470"/>
      <c r="O3020" s="470"/>
    </row>
    <row r="3021">
      <c r="A3021" s="282"/>
      <c r="B3021" s="468"/>
      <c r="C3021" s="272"/>
      <c r="D3021" s="273"/>
      <c r="E3021" s="273"/>
      <c r="F3021" s="273"/>
      <c r="H3021" s="469"/>
      <c r="I3021" s="470"/>
      <c r="K3021" s="470"/>
      <c r="M3021" s="470"/>
      <c r="O3021" s="470"/>
    </row>
    <row r="3022">
      <c r="A3022" s="282"/>
      <c r="B3022" s="468"/>
      <c r="C3022" s="272"/>
      <c r="D3022" s="273"/>
      <c r="E3022" s="273"/>
      <c r="F3022" s="273"/>
      <c r="H3022" s="469"/>
      <c r="I3022" s="470"/>
      <c r="K3022" s="470"/>
      <c r="M3022" s="470"/>
      <c r="O3022" s="470"/>
    </row>
    <row r="3023">
      <c r="A3023" s="282"/>
      <c r="B3023" s="468"/>
      <c r="C3023" s="272"/>
      <c r="D3023" s="273"/>
      <c r="E3023" s="273"/>
      <c r="F3023" s="273"/>
      <c r="H3023" s="469"/>
      <c r="I3023" s="470"/>
      <c r="K3023" s="470"/>
      <c r="M3023" s="470"/>
      <c r="O3023" s="470"/>
    </row>
    <row r="3024">
      <c r="A3024" s="282"/>
      <c r="B3024" s="468"/>
      <c r="C3024" s="272"/>
      <c r="D3024" s="273"/>
      <c r="E3024" s="273"/>
      <c r="F3024" s="273"/>
      <c r="H3024" s="469"/>
      <c r="I3024" s="470"/>
      <c r="K3024" s="470"/>
      <c r="M3024" s="470"/>
      <c r="O3024" s="470"/>
    </row>
    <row r="3025">
      <c r="A3025" s="282"/>
      <c r="B3025" s="468"/>
      <c r="C3025" s="272"/>
      <c r="D3025" s="273"/>
      <c r="E3025" s="273"/>
      <c r="F3025" s="273"/>
      <c r="H3025" s="469"/>
      <c r="I3025" s="470"/>
      <c r="K3025" s="470"/>
      <c r="M3025" s="470"/>
      <c r="O3025" s="470"/>
    </row>
    <row r="3026">
      <c r="A3026" s="282"/>
      <c r="B3026" s="468"/>
      <c r="C3026" s="272"/>
      <c r="D3026" s="273"/>
      <c r="E3026" s="273"/>
      <c r="F3026" s="273"/>
      <c r="H3026" s="469"/>
      <c r="I3026" s="470"/>
      <c r="K3026" s="470"/>
      <c r="M3026" s="470"/>
      <c r="O3026" s="470"/>
    </row>
    <row r="3027">
      <c r="A3027" s="282"/>
      <c r="B3027" s="468"/>
      <c r="C3027" s="272"/>
      <c r="D3027" s="273"/>
      <c r="E3027" s="273"/>
      <c r="F3027" s="273"/>
      <c r="H3027" s="469"/>
      <c r="I3027" s="470"/>
      <c r="K3027" s="470"/>
      <c r="M3027" s="470"/>
      <c r="O3027" s="470"/>
    </row>
    <row r="3028">
      <c r="A3028" s="282"/>
      <c r="B3028" s="468"/>
      <c r="C3028" s="272"/>
      <c r="D3028" s="273"/>
      <c r="E3028" s="273"/>
      <c r="F3028" s="273"/>
      <c r="H3028" s="469"/>
      <c r="I3028" s="470"/>
      <c r="K3028" s="470"/>
      <c r="M3028" s="470"/>
      <c r="O3028" s="470"/>
    </row>
    <row r="3029">
      <c r="A3029" s="282"/>
      <c r="B3029" s="468"/>
      <c r="C3029" s="272"/>
      <c r="D3029" s="273"/>
      <c r="E3029" s="273"/>
      <c r="F3029" s="273"/>
      <c r="H3029" s="469"/>
      <c r="I3029" s="470"/>
      <c r="K3029" s="470"/>
      <c r="M3029" s="470"/>
      <c r="O3029" s="470"/>
    </row>
    <row r="3030">
      <c r="A3030" s="282"/>
      <c r="B3030" s="468"/>
      <c r="C3030" s="272"/>
      <c r="D3030" s="273"/>
      <c r="E3030" s="273"/>
      <c r="F3030" s="273"/>
      <c r="H3030" s="469"/>
      <c r="I3030" s="470"/>
      <c r="K3030" s="470"/>
      <c r="M3030" s="470"/>
      <c r="O3030" s="470"/>
    </row>
    <row r="3031">
      <c r="A3031" s="282"/>
      <c r="B3031" s="468"/>
      <c r="C3031" s="272"/>
      <c r="D3031" s="273"/>
      <c r="E3031" s="273"/>
      <c r="F3031" s="273"/>
      <c r="H3031" s="469"/>
      <c r="I3031" s="470"/>
      <c r="K3031" s="470"/>
      <c r="M3031" s="470"/>
      <c r="O3031" s="470"/>
    </row>
    <row r="3032">
      <c r="A3032" s="282"/>
      <c r="B3032" s="468"/>
      <c r="C3032" s="272"/>
      <c r="D3032" s="273"/>
      <c r="E3032" s="273"/>
      <c r="F3032" s="273"/>
      <c r="H3032" s="469"/>
      <c r="I3032" s="470"/>
      <c r="K3032" s="470"/>
      <c r="M3032" s="470"/>
      <c r="O3032" s="470"/>
    </row>
    <row r="3033">
      <c r="A3033" s="282"/>
      <c r="B3033" s="468"/>
      <c r="C3033" s="272"/>
      <c r="D3033" s="273"/>
      <c r="E3033" s="273"/>
      <c r="F3033" s="273"/>
      <c r="H3033" s="469"/>
      <c r="I3033" s="470"/>
      <c r="K3033" s="470"/>
      <c r="M3033" s="470"/>
      <c r="O3033" s="470"/>
    </row>
    <row r="3034">
      <c r="A3034" s="282"/>
      <c r="B3034" s="468"/>
      <c r="C3034" s="272"/>
      <c r="D3034" s="273"/>
      <c r="E3034" s="273"/>
      <c r="F3034" s="273"/>
      <c r="H3034" s="469"/>
      <c r="I3034" s="470"/>
      <c r="K3034" s="470"/>
      <c r="M3034" s="470"/>
      <c r="O3034" s="470"/>
    </row>
    <row r="3035">
      <c r="A3035" s="282"/>
      <c r="B3035" s="468"/>
      <c r="C3035" s="272"/>
      <c r="D3035" s="273"/>
      <c r="E3035" s="273"/>
      <c r="F3035" s="273"/>
      <c r="H3035" s="469"/>
      <c r="I3035" s="470"/>
      <c r="K3035" s="470"/>
      <c r="M3035" s="470"/>
      <c r="O3035" s="470"/>
    </row>
    <row r="3036">
      <c r="A3036" s="282"/>
      <c r="B3036" s="468"/>
      <c r="C3036" s="272"/>
      <c r="D3036" s="273"/>
      <c r="E3036" s="273"/>
      <c r="F3036" s="273"/>
      <c r="H3036" s="469"/>
      <c r="I3036" s="470"/>
      <c r="K3036" s="470"/>
      <c r="M3036" s="470"/>
      <c r="O3036" s="470"/>
    </row>
    <row r="3037">
      <c r="A3037" s="282"/>
      <c r="B3037" s="468"/>
      <c r="C3037" s="272"/>
      <c r="D3037" s="273"/>
      <c r="E3037" s="273"/>
      <c r="F3037" s="273"/>
      <c r="H3037" s="469"/>
      <c r="I3037" s="470"/>
      <c r="K3037" s="470"/>
      <c r="M3037" s="470"/>
      <c r="O3037" s="470"/>
    </row>
    <row r="3038">
      <c r="A3038" s="282"/>
      <c r="B3038" s="468"/>
      <c r="C3038" s="272"/>
      <c r="D3038" s="273"/>
      <c r="E3038" s="273"/>
      <c r="F3038" s="273"/>
      <c r="H3038" s="469"/>
      <c r="I3038" s="470"/>
      <c r="K3038" s="470"/>
      <c r="M3038" s="470"/>
      <c r="O3038" s="470"/>
    </row>
    <row r="3039">
      <c r="A3039" s="282"/>
      <c r="B3039" s="468"/>
      <c r="C3039" s="272"/>
      <c r="D3039" s="273"/>
      <c r="E3039" s="273"/>
      <c r="F3039" s="273"/>
      <c r="H3039" s="469"/>
      <c r="I3039" s="470"/>
      <c r="K3039" s="470"/>
      <c r="M3039" s="470"/>
      <c r="O3039" s="470"/>
    </row>
    <row r="3040">
      <c r="A3040" s="282"/>
      <c r="B3040" s="468"/>
      <c r="C3040" s="272"/>
      <c r="D3040" s="273"/>
      <c r="E3040" s="273"/>
      <c r="F3040" s="273"/>
      <c r="H3040" s="469"/>
      <c r="I3040" s="470"/>
      <c r="K3040" s="470"/>
      <c r="M3040" s="470"/>
      <c r="O3040" s="470"/>
    </row>
    <row r="3041">
      <c r="A3041" s="282"/>
      <c r="B3041" s="468"/>
      <c r="C3041" s="272"/>
      <c r="D3041" s="273"/>
      <c r="E3041" s="273"/>
      <c r="F3041" s="273"/>
      <c r="H3041" s="469"/>
      <c r="I3041" s="470"/>
      <c r="K3041" s="470"/>
      <c r="M3041" s="470"/>
      <c r="O3041" s="470"/>
    </row>
    <row r="3042">
      <c r="A3042" s="282"/>
      <c r="B3042" s="468"/>
      <c r="C3042" s="272"/>
      <c r="D3042" s="273"/>
      <c r="E3042" s="273"/>
      <c r="F3042" s="273"/>
      <c r="H3042" s="469"/>
      <c r="I3042" s="470"/>
      <c r="K3042" s="470"/>
      <c r="M3042" s="470"/>
      <c r="O3042" s="470"/>
    </row>
    <row r="3043">
      <c r="A3043" s="282"/>
      <c r="B3043" s="468"/>
      <c r="C3043" s="272"/>
      <c r="D3043" s="273"/>
      <c r="E3043" s="273"/>
      <c r="F3043" s="273"/>
      <c r="H3043" s="469"/>
      <c r="I3043" s="470"/>
      <c r="K3043" s="470"/>
      <c r="M3043" s="470"/>
      <c r="O3043" s="470"/>
    </row>
    <row r="3044">
      <c r="A3044" s="282"/>
      <c r="B3044" s="468"/>
      <c r="C3044" s="272"/>
      <c r="D3044" s="273"/>
      <c r="E3044" s="273"/>
      <c r="F3044" s="273"/>
      <c r="H3044" s="469"/>
      <c r="I3044" s="470"/>
      <c r="K3044" s="470"/>
      <c r="M3044" s="470"/>
      <c r="O3044" s="470"/>
    </row>
    <row r="3045">
      <c r="A3045" s="282"/>
      <c r="B3045" s="468"/>
      <c r="C3045" s="272"/>
      <c r="D3045" s="273"/>
      <c r="E3045" s="273"/>
      <c r="F3045" s="273"/>
      <c r="H3045" s="469"/>
      <c r="I3045" s="470"/>
      <c r="K3045" s="470"/>
      <c r="M3045" s="470"/>
      <c r="O3045" s="470"/>
    </row>
    <row r="3046">
      <c r="A3046" s="282"/>
      <c r="B3046" s="468"/>
      <c r="C3046" s="272"/>
      <c r="D3046" s="273"/>
      <c r="E3046" s="273"/>
      <c r="F3046" s="273"/>
      <c r="H3046" s="469"/>
      <c r="I3046" s="470"/>
      <c r="K3046" s="470"/>
      <c r="M3046" s="470"/>
      <c r="O3046" s="470"/>
    </row>
    <row r="3047">
      <c r="A3047" s="282"/>
      <c r="B3047" s="468"/>
      <c r="C3047" s="272"/>
      <c r="D3047" s="273"/>
      <c r="E3047" s="273"/>
      <c r="F3047" s="273"/>
      <c r="H3047" s="469"/>
      <c r="I3047" s="470"/>
      <c r="K3047" s="470"/>
      <c r="M3047" s="470"/>
      <c r="O3047" s="470"/>
    </row>
    <row r="3048">
      <c r="A3048" s="282"/>
      <c r="B3048" s="468"/>
      <c r="C3048" s="272"/>
      <c r="D3048" s="273"/>
      <c r="E3048" s="273"/>
      <c r="F3048" s="273"/>
      <c r="H3048" s="469"/>
      <c r="I3048" s="470"/>
      <c r="K3048" s="470"/>
      <c r="M3048" s="470"/>
      <c r="O3048" s="470"/>
    </row>
    <row r="3049">
      <c r="A3049" s="282"/>
      <c r="B3049" s="468"/>
      <c r="C3049" s="272"/>
      <c r="D3049" s="273"/>
      <c r="E3049" s="273"/>
      <c r="F3049" s="273"/>
      <c r="H3049" s="469"/>
      <c r="I3049" s="470"/>
      <c r="K3049" s="470"/>
      <c r="M3049" s="470"/>
      <c r="O3049" s="470"/>
    </row>
    <row r="3050">
      <c r="A3050" s="282"/>
      <c r="B3050" s="468"/>
      <c r="C3050" s="272"/>
      <c r="D3050" s="273"/>
      <c r="E3050" s="273"/>
      <c r="F3050" s="273"/>
      <c r="H3050" s="469"/>
      <c r="I3050" s="470"/>
      <c r="K3050" s="470"/>
      <c r="M3050" s="470"/>
      <c r="O3050" s="470"/>
    </row>
    <row r="3051">
      <c r="A3051" s="282"/>
      <c r="B3051" s="468"/>
      <c r="C3051" s="272"/>
      <c r="D3051" s="273"/>
      <c r="E3051" s="273"/>
      <c r="F3051" s="273"/>
      <c r="H3051" s="469"/>
      <c r="I3051" s="470"/>
      <c r="K3051" s="470"/>
      <c r="M3051" s="470"/>
      <c r="O3051" s="470"/>
    </row>
    <row r="3052">
      <c r="A3052" s="282"/>
      <c r="B3052" s="468"/>
      <c r="C3052" s="272"/>
      <c r="D3052" s="273"/>
      <c r="E3052" s="273"/>
      <c r="F3052" s="273"/>
      <c r="H3052" s="469"/>
      <c r="I3052" s="470"/>
      <c r="K3052" s="470"/>
      <c r="M3052" s="470"/>
      <c r="O3052" s="470"/>
    </row>
    <row r="3053">
      <c r="A3053" s="282"/>
      <c r="B3053" s="468"/>
      <c r="C3053" s="272"/>
      <c r="D3053" s="273"/>
      <c r="E3053" s="273"/>
      <c r="F3053" s="273"/>
      <c r="H3053" s="469"/>
      <c r="I3053" s="470"/>
      <c r="K3053" s="470"/>
      <c r="M3053" s="470"/>
      <c r="O3053" s="470"/>
    </row>
    <row r="3054">
      <c r="A3054" s="282"/>
      <c r="B3054" s="468"/>
      <c r="C3054" s="272"/>
      <c r="D3054" s="273"/>
      <c r="E3054" s="273"/>
      <c r="F3054" s="273"/>
      <c r="H3054" s="469"/>
      <c r="I3054" s="470"/>
      <c r="K3054" s="470"/>
      <c r="M3054" s="470"/>
      <c r="O3054" s="470"/>
    </row>
    <row r="3055">
      <c r="A3055" s="282"/>
      <c r="B3055" s="468"/>
      <c r="C3055" s="272"/>
      <c r="D3055" s="273"/>
      <c r="E3055" s="273"/>
      <c r="F3055" s="273"/>
      <c r="H3055" s="469"/>
      <c r="I3055" s="470"/>
      <c r="K3055" s="470"/>
      <c r="M3055" s="470"/>
      <c r="O3055" s="470"/>
    </row>
    <row r="3056">
      <c r="A3056" s="282"/>
      <c r="B3056" s="468"/>
      <c r="C3056" s="272"/>
      <c r="D3056" s="273"/>
      <c r="E3056" s="273"/>
      <c r="F3056" s="273"/>
      <c r="H3056" s="469"/>
      <c r="I3056" s="470"/>
      <c r="K3056" s="470"/>
      <c r="M3056" s="470"/>
      <c r="O3056" s="470"/>
    </row>
    <row r="3057">
      <c r="A3057" s="282"/>
      <c r="B3057" s="468"/>
      <c r="C3057" s="272"/>
      <c r="D3057" s="273"/>
      <c r="E3057" s="273"/>
      <c r="F3057" s="273"/>
      <c r="H3057" s="469"/>
      <c r="I3057" s="470"/>
      <c r="K3057" s="470"/>
      <c r="M3057" s="470"/>
      <c r="O3057" s="470"/>
    </row>
    <row r="3058">
      <c r="A3058" s="282"/>
      <c r="B3058" s="468"/>
      <c r="C3058" s="272"/>
      <c r="D3058" s="273"/>
      <c r="E3058" s="273"/>
      <c r="F3058" s="273"/>
      <c r="H3058" s="469"/>
      <c r="I3058" s="470"/>
      <c r="K3058" s="470"/>
      <c r="M3058" s="470"/>
      <c r="O3058" s="470"/>
    </row>
  </sheetData>
  <mergeCells count="30">
    <mergeCell ref="F3:F4"/>
    <mergeCell ref="G3:G4"/>
    <mergeCell ref="E6:E7"/>
    <mergeCell ref="F6:F7"/>
    <mergeCell ref="G6:G7"/>
    <mergeCell ref="I3:J3"/>
    <mergeCell ref="K3:L3"/>
    <mergeCell ref="I4:J5"/>
    <mergeCell ref="K4:L5"/>
    <mergeCell ref="I2:L2"/>
    <mergeCell ref="I6:L6"/>
    <mergeCell ref="A1:C1"/>
    <mergeCell ref="E1:G1"/>
    <mergeCell ref="I1:L1"/>
    <mergeCell ref="A2:B2"/>
    <mergeCell ref="A3:B4"/>
    <mergeCell ref="E3:E4"/>
    <mergeCell ref="A5:B6"/>
    <mergeCell ref="K7:L8"/>
    <mergeCell ref="I9:L9"/>
    <mergeCell ref="I10:J11"/>
    <mergeCell ref="K10:L11"/>
    <mergeCell ref="A7:B8"/>
    <mergeCell ref="I7:J8"/>
    <mergeCell ref="E8:G8"/>
    <mergeCell ref="A9:B10"/>
    <mergeCell ref="E9:E10"/>
    <mergeCell ref="F9:F10"/>
    <mergeCell ref="G9:G10"/>
    <mergeCell ref="A11:B12"/>
  </mergeCells>
  <dataValidations>
    <dataValidation type="list" allowBlank="1" showErrorMessage="1" sqref="H16:H3058">
      <formula1>"Sampai,Sudah Proses Pengiriman,Kendala [FU!],Done Req Sample"</formula1>
    </dataValidation>
    <dataValidation type="list" allowBlank="1" showErrorMessage="1" sqref="A16:A3058">
      <formula1>"MEGA,MACRO,MICRO,NANO"</formula1>
    </dataValidation>
    <dataValidation type="list" allowBlank="1" showErrorMessage="1" sqref="I16:I3058 K16:K3058 M16:M3058 O16:O3058">
      <formula1>"KIMME,TNT"</formula1>
    </dataValidation>
  </dataValidations>
  <hyperlinks>
    <hyperlink r:id="rId1" ref="C16"/>
    <hyperlink r:id="rId2" ref="J16"/>
    <hyperlink r:id="rId3" ref="L16"/>
    <hyperlink r:id="rId4" ref="N16"/>
    <hyperlink r:id="rId5" ref="P16"/>
    <hyperlink r:id="rId6" ref="C17"/>
    <hyperlink r:id="rId7" ref="J17"/>
    <hyperlink r:id="rId8" ref="L17"/>
    <hyperlink r:id="rId9" ref="N17"/>
    <hyperlink r:id="rId10" ref="P17"/>
    <hyperlink r:id="rId11" ref="C18"/>
    <hyperlink r:id="rId12" ref="J18"/>
    <hyperlink r:id="rId13" ref="L18"/>
    <hyperlink r:id="rId14" ref="N18"/>
    <hyperlink r:id="rId15" ref="C19"/>
    <hyperlink r:id="rId16" ref="J19"/>
    <hyperlink r:id="rId17" ref="L19"/>
    <hyperlink r:id="rId18" ref="N19"/>
    <hyperlink r:id="rId19" ref="P19"/>
    <hyperlink r:id="rId20" ref="C20"/>
    <hyperlink r:id="rId21" ref="J20"/>
    <hyperlink r:id="rId22" ref="L20"/>
    <hyperlink r:id="rId23" ref="N20"/>
    <hyperlink r:id="rId24" ref="P20"/>
    <hyperlink r:id="rId25" ref="C21"/>
    <hyperlink r:id="rId26" ref="J21"/>
    <hyperlink r:id="rId27" ref="L21"/>
    <hyperlink r:id="rId28" ref="N21"/>
    <hyperlink r:id="rId29" ref="P21"/>
    <hyperlink r:id="rId30" ref="C22"/>
    <hyperlink r:id="rId31" ref="J22"/>
    <hyperlink r:id="rId32" ref="L22"/>
    <hyperlink r:id="rId33" ref="N22"/>
    <hyperlink r:id="rId34" ref="P22"/>
    <hyperlink r:id="rId35" ref="C23"/>
    <hyperlink r:id="rId36" ref="J23"/>
    <hyperlink r:id="rId37" ref="L23"/>
    <hyperlink r:id="rId38" ref="N23"/>
    <hyperlink r:id="rId39" ref="P23"/>
    <hyperlink r:id="rId40" ref="C24"/>
    <hyperlink r:id="rId41" ref="J24"/>
    <hyperlink r:id="rId42" ref="L24"/>
    <hyperlink r:id="rId43" ref="C25"/>
    <hyperlink r:id="rId44" ref="J25"/>
    <hyperlink r:id="rId45" ref="L25"/>
    <hyperlink r:id="rId46" ref="N25"/>
    <hyperlink r:id="rId47" ref="P25"/>
    <hyperlink r:id="rId48" ref="C26"/>
    <hyperlink r:id="rId49" ref="J26"/>
    <hyperlink r:id="rId50" ref="L26"/>
    <hyperlink r:id="rId51" ref="N26"/>
    <hyperlink r:id="rId52" ref="P26"/>
    <hyperlink r:id="rId53" ref="C27"/>
    <hyperlink r:id="rId54" ref="J27"/>
    <hyperlink r:id="rId55" ref="L27"/>
    <hyperlink r:id="rId56" ref="N27"/>
    <hyperlink r:id="rId57" ref="P27"/>
    <hyperlink r:id="rId58" ref="C28"/>
    <hyperlink r:id="rId59" ref="J28"/>
    <hyperlink r:id="rId60" ref="L28"/>
    <hyperlink r:id="rId61" ref="C29"/>
    <hyperlink r:id="rId62" ref="J29"/>
    <hyperlink r:id="rId63" ref="L29"/>
    <hyperlink r:id="rId64" ref="C30"/>
    <hyperlink r:id="rId65" ref="J30"/>
    <hyperlink r:id="rId66" ref="C31"/>
    <hyperlink r:id="rId67" ref="J31"/>
    <hyperlink r:id="rId68" ref="L31"/>
    <hyperlink r:id="rId69" ref="N31"/>
    <hyperlink r:id="rId70" ref="P31"/>
    <hyperlink r:id="rId71" ref="C32"/>
    <hyperlink r:id="rId72" ref="J32"/>
    <hyperlink r:id="rId73" ref="L32"/>
    <hyperlink r:id="rId74" ref="N32"/>
    <hyperlink r:id="rId75" ref="P32"/>
    <hyperlink r:id="rId76" ref="C33"/>
    <hyperlink r:id="rId77" ref="J33"/>
    <hyperlink r:id="rId78" ref="L33"/>
    <hyperlink r:id="rId79" ref="N33"/>
    <hyperlink r:id="rId80" ref="P33"/>
    <hyperlink r:id="rId81" ref="B34"/>
    <hyperlink r:id="rId82" ref="C34"/>
    <hyperlink r:id="rId83" ref="J34"/>
    <hyperlink r:id="rId84" ref="L34"/>
    <hyperlink r:id="rId85" ref="N34"/>
    <hyperlink r:id="rId86" ref="P34"/>
    <hyperlink r:id="rId87" ref="C35"/>
    <hyperlink r:id="rId88" ref="J35"/>
    <hyperlink r:id="rId89" ref="L35"/>
    <hyperlink r:id="rId90" ref="N35"/>
    <hyperlink r:id="rId91" ref="P35"/>
    <hyperlink r:id="rId92" ref="C36"/>
    <hyperlink r:id="rId93" ref="L36"/>
    <hyperlink r:id="rId94" ref="N36"/>
    <hyperlink r:id="rId95" ref="P36"/>
    <hyperlink r:id="rId96" ref="C37"/>
    <hyperlink r:id="rId97" ref="J37"/>
    <hyperlink r:id="rId98" ref="L37"/>
    <hyperlink r:id="rId99" ref="N37"/>
    <hyperlink r:id="rId100" ref="P37"/>
    <hyperlink r:id="rId101" ref="C38"/>
    <hyperlink r:id="rId102" ref="J38"/>
    <hyperlink r:id="rId103" ref="L38"/>
    <hyperlink r:id="rId104" ref="N38"/>
    <hyperlink r:id="rId105" ref="P38"/>
    <hyperlink r:id="rId106" ref="C39"/>
    <hyperlink r:id="rId107" ref="J39"/>
    <hyperlink r:id="rId108" ref="L39"/>
    <hyperlink r:id="rId109" ref="N39"/>
    <hyperlink r:id="rId110" ref="P39"/>
    <hyperlink r:id="rId111" ref="C40"/>
    <hyperlink r:id="rId112" ref="J40"/>
    <hyperlink r:id="rId113" ref="L40"/>
    <hyperlink r:id="rId114" ref="N40"/>
    <hyperlink r:id="rId115" ref="P40"/>
    <hyperlink r:id="rId116" ref="C41"/>
    <hyperlink r:id="rId117" ref="J41"/>
    <hyperlink r:id="rId118" ref="L41"/>
    <hyperlink r:id="rId119" ref="N41"/>
    <hyperlink r:id="rId120" ref="P41"/>
    <hyperlink r:id="rId121" ref="C42"/>
    <hyperlink r:id="rId122" ref="J42"/>
    <hyperlink r:id="rId123" ref="L42"/>
    <hyperlink r:id="rId124" ref="N42"/>
    <hyperlink r:id="rId125" ref="P42"/>
    <hyperlink r:id="rId126" ref="C43"/>
    <hyperlink r:id="rId127" ref="J43"/>
    <hyperlink r:id="rId128" ref="L43"/>
    <hyperlink r:id="rId129" ref="N43"/>
    <hyperlink r:id="rId130" ref="P43"/>
    <hyperlink r:id="rId131" ref="C44"/>
    <hyperlink r:id="rId132" ref="J44"/>
    <hyperlink r:id="rId133" ref="L44"/>
    <hyperlink r:id="rId134" ref="N44"/>
    <hyperlink r:id="rId135" ref="P44"/>
    <hyperlink r:id="rId136" ref="C45"/>
    <hyperlink r:id="rId137" ref="J45"/>
    <hyperlink r:id="rId138" ref="L45"/>
    <hyperlink r:id="rId139" ref="N45"/>
    <hyperlink r:id="rId140" ref="P45"/>
    <hyperlink r:id="rId141" ref="C46"/>
    <hyperlink r:id="rId142" ref="J46"/>
    <hyperlink r:id="rId143" ref="L46"/>
    <hyperlink r:id="rId144" ref="N46"/>
    <hyperlink r:id="rId145" ref="P46"/>
    <hyperlink r:id="rId146" ref="C47"/>
    <hyperlink r:id="rId147" ref="J47"/>
    <hyperlink r:id="rId148" ref="L47"/>
    <hyperlink r:id="rId149" ref="N47"/>
    <hyperlink r:id="rId150" ref="P47"/>
    <hyperlink r:id="rId151" ref="C48"/>
    <hyperlink r:id="rId152" ref="J48"/>
    <hyperlink r:id="rId153" ref="L48"/>
    <hyperlink r:id="rId154" ref="N48"/>
    <hyperlink r:id="rId155" ref="P48"/>
    <hyperlink r:id="rId156" ref="C49"/>
    <hyperlink r:id="rId157" ref="J49"/>
    <hyperlink r:id="rId158" ref="L49"/>
    <hyperlink r:id="rId159" ref="N49"/>
    <hyperlink r:id="rId160" ref="P49"/>
    <hyperlink r:id="rId161" ref="C50"/>
    <hyperlink r:id="rId162" ref="J50"/>
    <hyperlink r:id="rId163" ref="L50"/>
    <hyperlink r:id="rId164" ref="N50"/>
    <hyperlink r:id="rId165" ref="P50"/>
    <hyperlink r:id="rId166" ref="C51"/>
    <hyperlink r:id="rId167" ref="J51"/>
    <hyperlink r:id="rId168" ref="L51"/>
    <hyperlink r:id="rId169" ref="N51"/>
    <hyperlink r:id="rId170" ref="P51"/>
    <hyperlink r:id="rId171" ref="C52"/>
    <hyperlink r:id="rId172" ref="J52"/>
    <hyperlink r:id="rId173" ref="L52"/>
    <hyperlink r:id="rId174" ref="N52"/>
    <hyperlink r:id="rId175" ref="P52"/>
    <hyperlink r:id="rId176" ref="C53"/>
    <hyperlink r:id="rId177" ref="J53"/>
    <hyperlink r:id="rId178" ref="L53"/>
    <hyperlink r:id="rId179" ref="N53"/>
    <hyperlink r:id="rId180" ref="P53"/>
    <hyperlink r:id="rId181" ref="C54"/>
    <hyperlink r:id="rId182" ref="J54"/>
    <hyperlink r:id="rId183" ref="L54"/>
    <hyperlink r:id="rId184" ref="N54"/>
    <hyperlink r:id="rId185" ref="P54"/>
    <hyperlink r:id="rId186" ref="C55"/>
    <hyperlink r:id="rId187" ref="J55"/>
    <hyperlink r:id="rId188" ref="L55"/>
    <hyperlink r:id="rId189" ref="N55"/>
    <hyperlink r:id="rId190" ref="P55"/>
    <hyperlink r:id="rId191" ref="C56"/>
    <hyperlink r:id="rId192" ref="J56"/>
    <hyperlink r:id="rId193" ref="L56"/>
    <hyperlink r:id="rId194" ref="N56"/>
    <hyperlink r:id="rId195" ref="P56"/>
    <hyperlink r:id="rId196" ref="C57"/>
    <hyperlink r:id="rId197" ref="J57"/>
    <hyperlink r:id="rId198" ref="L57"/>
    <hyperlink r:id="rId199" ref="N57"/>
    <hyperlink r:id="rId200" ref="P57"/>
    <hyperlink r:id="rId201" ref="C58"/>
    <hyperlink r:id="rId202" ref="J58"/>
    <hyperlink r:id="rId203" ref="L58"/>
    <hyperlink r:id="rId204" ref="N58"/>
    <hyperlink r:id="rId205" ref="P58"/>
    <hyperlink r:id="rId206" ref="C59"/>
    <hyperlink r:id="rId207" ref="J59"/>
    <hyperlink r:id="rId208" ref="L59"/>
    <hyperlink r:id="rId209" ref="N59"/>
    <hyperlink r:id="rId210" ref="P59"/>
    <hyperlink r:id="rId211" ref="C60"/>
    <hyperlink r:id="rId212" ref="J60"/>
    <hyperlink r:id="rId213" ref="L60"/>
    <hyperlink r:id="rId214" ref="N60"/>
    <hyperlink r:id="rId215" ref="P60"/>
    <hyperlink r:id="rId216" ref="C61"/>
    <hyperlink r:id="rId217" ref="J61"/>
    <hyperlink r:id="rId218" ref="L61"/>
    <hyperlink r:id="rId219" ref="N61"/>
    <hyperlink r:id="rId220" ref="P61"/>
    <hyperlink r:id="rId221" ref="C62"/>
    <hyperlink r:id="rId222" ref="J62"/>
    <hyperlink r:id="rId223" ref="L62"/>
    <hyperlink r:id="rId224" ref="N62"/>
    <hyperlink r:id="rId225" ref="P62"/>
    <hyperlink r:id="rId226" ref="C63"/>
    <hyperlink r:id="rId227" ref="J63"/>
    <hyperlink r:id="rId228" ref="L63"/>
    <hyperlink r:id="rId229" ref="N63"/>
    <hyperlink r:id="rId230" ref="P63"/>
    <hyperlink r:id="rId231" ref="C64"/>
    <hyperlink r:id="rId232" ref="J64"/>
    <hyperlink r:id="rId233" ref="L64"/>
    <hyperlink r:id="rId234" ref="N64"/>
    <hyperlink r:id="rId235" ref="P64"/>
    <hyperlink r:id="rId236" ref="C65"/>
    <hyperlink r:id="rId237" ref="J65"/>
    <hyperlink r:id="rId238" ref="L65"/>
    <hyperlink r:id="rId239" ref="N65"/>
    <hyperlink r:id="rId240" ref="P65"/>
    <hyperlink r:id="rId241" ref="C66"/>
    <hyperlink r:id="rId242" ref="J66"/>
    <hyperlink r:id="rId243" ref="L66"/>
    <hyperlink r:id="rId244" ref="N66"/>
    <hyperlink r:id="rId245" ref="P66"/>
    <hyperlink r:id="rId246" ref="C67"/>
    <hyperlink r:id="rId247" ref="J67"/>
    <hyperlink r:id="rId248" ref="L67"/>
    <hyperlink r:id="rId249" ref="N67"/>
    <hyperlink r:id="rId250" ref="P67"/>
    <hyperlink r:id="rId251" ref="C68"/>
    <hyperlink r:id="rId252" ref="J68"/>
    <hyperlink r:id="rId253" ref="L68"/>
    <hyperlink r:id="rId254" ref="N68"/>
    <hyperlink r:id="rId255" ref="P68"/>
    <hyperlink r:id="rId256" ref="C69"/>
    <hyperlink r:id="rId257" ref="C70"/>
    <hyperlink r:id="rId258" ref="J70"/>
    <hyperlink r:id="rId259" ref="L70"/>
    <hyperlink r:id="rId260" ref="N70"/>
    <hyperlink r:id="rId261" ref="P70"/>
    <hyperlink r:id="rId262" ref="C71"/>
    <hyperlink r:id="rId263" ref="J71"/>
    <hyperlink r:id="rId264" ref="L71"/>
    <hyperlink r:id="rId265" ref="N71"/>
    <hyperlink r:id="rId266" ref="P71"/>
    <hyperlink r:id="rId267" ref="C72"/>
    <hyperlink r:id="rId268" ref="J72"/>
    <hyperlink r:id="rId269" ref="L72"/>
    <hyperlink r:id="rId270" ref="C73"/>
    <hyperlink r:id="rId271" ref="J73"/>
    <hyperlink r:id="rId272" ref="L73"/>
    <hyperlink r:id="rId273" ref="N73"/>
    <hyperlink r:id="rId274" ref="C74"/>
    <hyperlink r:id="rId275" ref="J74"/>
    <hyperlink r:id="rId276" ref="L74"/>
    <hyperlink r:id="rId277" ref="N74"/>
    <hyperlink r:id="rId278" ref="P74"/>
    <hyperlink r:id="rId279" ref="C75"/>
    <hyperlink r:id="rId280" ref="J75"/>
    <hyperlink r:id="rId281" ref="C76"/>
    <hyperlink r:id="rId282" ref="J76"/>
    <hyperlink r:id="rId283" ref="L76"/>
    <hyperlink r:id="rId284" ref="N76"/>
    <hyperlink r:id="rId285" ref="P76"/>
    <hyperlink r:id="rId286" ref="C77"/>
    <hyperlink r:id="rId287" ref="J77"/>
    <hyperlink r:id="rId288" ref="C78"/>
    <hyperlink r:id="rId289" ref="J78"/>
    <hyperlink r:id="rId290" ref="L78"/>
    <hyperlink r:id="rId291" ref="N78"/>
    <hyperlink r:id="rId292" ref="P78"/>
    <hyperlink r:id="rId293" ref="C79"/>
    <hyperlink r:id="rId294" ref="J79"/>
    <hyperlink r:id="rId295" ref="L79"/>
    <hyperlink r:id="rId296" ref="C80"/>
    <hyperlink r:id="rId297" ref="J80"/>
    <hyperlink r:id="rId298" ref="L80"/>
    <hyperlink r:id="rId299" ref="N80"/>
    <hyperlink r:id="rId300" ref="P80"/>
    <hyperlink r:id="rId301" ref="C81"/>
    <hyperlink r:id="rId302" ref="J81"/>
    <hyperlink r:id="rId303" ref="L81"/>
    <hyperlink r:id="rId304" ref="N81"/>
    <hyperlink r:id="rId305" ref="P81"/>
    <hyperlink r:id="rId306" ref="B82"/>
    <hyperlink r:id="rId307" ref="C82"/>
    <hyperlink r:id="rId308" ref="J82"/>
    <hyperlink r:id="rId309" ref="L82"/>
    <hyperlink r:id="rId310" ref="N82"/>
    <hyperlink r:id="rId311" ref="P82"/>
    <hyperlink r:id="rId312" ref="C83"/>
    <hyperlink r:id="rId313" ref="J83"/>
    <hyperlink r:id="rId314" ref="L83"/>
    <hyperlink r:id="rId315" ref="N83"/>
    <hyperlink r:id="rId316" ref="P83"/>
    <hyperlink r:id="rId317" ref="C84"/>
    <hyperlink r:id="rId318" ref="J84"/>
    <hyperlink r:id="rId319" ref="L84"/>
    <hyperlink r:id="rId320" ref="N84"/>
    <hyperlink r:id="rId321" ref="C85"/>
    <hyperlink r:id="rId322" ref="J85"/>
    <hyperlink r:id="rId323" ref="L85"/>
    <hyperlink r:id="rId324" ref="N85"/>
    <hyperlink r:id="rId325" ref="P85"/>
    <hyperlink r:id="rId326" ref="C86"/>
    <hyperlink r:id="rId327" ref="J86"/>
    <hyperlink r:id="rId328" ref="L86"/>
    <hyperlink r:id="rId329" ref="N86"/>
    <hyperlink r:id="rId330" ref="P86"/>
    <hyperlink r:id="rId331" ref="C87"/>
    <hyperlink r:id="rId332" ref="J87"/>
    <hyperlink r:id="rId333" ref="L87"/>
    <hyperlink r:id="rId334" ref="N87"/>
    <hyperlink r:id="rId335" ref="P87"/>
    <hyperlink r:id="rId336" ref="C88"/>
    <hyperlink r:id="rId337" ref="J88"/>
    <hyperlink r:id="rId338" ref="L88"/>
    <hyperlink r:id="rId339" ref="N88"/>
    <hyperlink r:id="rId340" ref="P88"/>
    <hyperlink r:id="rId341" ref="C89"/>
    <hyperlink r:id="rId342" ref="J89"/>
    <hyperlink r:id="rId343" ref="L89"/>
    <hyperlink r:id="rId344" ref="N89"/>
    <hyperlink r:id="rId345" ref="P89"/>
    <hyperlink r:id="rId346" ref="C90"/>
    <hyperlink r:id="rId347" ref="J90"/>
    <hyperlink r:id="rId348" ref="L90"/>
    <hyperlink r:id="rId349" ref="N90"/>
    <hyperlink r:id="rId350" ref="C91"/>
    <hyperlink r:id="rId351" ref="J91"/>
    <hyperlink r:id="rId352" ref="L91"/>
    <hyperlink r:id="rId353" ref="N91"/>
    <hyperlink r:id="rId354" ref="P91"/>
    <hyperlink r:id="rId355" ref="C92"/>
    <hyperlink r:id="rId356" ref="J92"/>
    <hyperlink r:id="rId357" ref="L92"/>
    <hyperlink r:id="rId358" ref="N92"/>
    <hyperlink r:id="rId359" ref="P92"/>
    <hyperlink r:id="rId360" ref="C93"/>
    <hyperlink r:id="rId361" ref="J93"/>
    <hyperlink r:id="rId362" ref="L93"/>
    <hyperlink r:id="rId363" ref="N93"/>
    <hyperlink r:id="rId364" ref="P93"/>
    <hyperlink r:id="rId365" ref="C94"/>
    <hyperlink r:id="rId366" ref="J94"/>
    <hyperlink r:id="rId367" ref="L94"/>
    <hyperlink r:id="rId368" ref="N94"/>
    <hyperlink r:id="rId369" ref="P94"/>
    <hyperlink r:id="rId370" ref="C95"/>
    <hyperlink r:id="rId371" ref="J95"/>
    <hyperlink r:id="rId372" ref="L95"/>
    <hyperlink r:id="rId373" ref="N95"/>
    <hyperlink r:id="rId374" ref="P95"/>
    <hyperlink r:id="rId375" ref="C96"/>
    <hyperlink r:id="rId376" ref="J96"/>
    <hyperlink r:id="rId377" ref="L96"/>
    <hyperlink r:id="rId378" ref="N96"/>
    <hyperlink r:id="rId379" ref="P96"/>
    <hyperlink r:id="rId380" ref="B97"/>
    <hyperlink r:id="rId381" ref="C97"/>
    <hyperlink r:id="rId382" ref="J97"/>
    <hyperlink r:id="rId383" ref="L97"/>
    <hyperlink r:id="rId384" ref="N97"/>
    <hyperlink r:id="rId385" ref="P97"/>
    <hyperlink r:id="rId386" ref="C98"/>
    <hyperlink r:id="rId387" ref="J98"/>
    <hyperlink r:id="rId388" ref="L98"/>
    <hyperlink r:id="rId389" ref="N98"/>
    <hyperlink r:id="rId390" ref="P98"/>
    <hyperlink r:id="rId391" ref="C99"/>
    <hyperlink r:id="rId392" ref="J99"/>
    <hyperlink r:id="rId393" ref="L99"/>
    <hyperlink r:id="rId394" ref="C100"/>
    <hyperlink r:id="rId395" ref="J100"/>
    <hyperlink r:id="rId396" ref="L100"/>
    <hyperlink r:id="rId397" ref="N100"/>
    <hyperlink r:id="rId398" ref="P100"/>
    <hyperlink r:id="rId399" ref="C101"/>
    <hyperlink r:id="rId400" ref="N101"/>
    <hyperlink r:id="rId401" ref="P101"/>
    <hyperlink r:id="rId402" ref="C102"/>
    <hyperlink r:id="rId403" ref="J102"/>
    <hyperlink r:id="rId404" ref="L102"/>
    <hyperlink r:id="rId405" ref="N102"/>
    <hyperlink r:id="rId406" ref="P102"/>
    <hyperlink r:id="rId407" ref="C103"/>
    <hyperlink r:id="rId408" ref="J103"/>
    <hyperlink r:id="rId409" ref="L103"/>
    <hyperlink r:id="rId410" ref="N103"/>
    <hyperlink r:id="rId411" ref="P103"/>
    <hyperlink r:id="rId412" ref="C104"/>
    <hyperlink r:id="rId413" ref="J104"/>
    <hyperlink r:id="rId414" ref="P104"/>
    <hyperlink r:id="rId415" ref="C105"/>
    <hyperlink r:id="rId416" ref="J105"/>
    <hyperlink r:id="rId417" ref="L105"/>
    <hyperlink r:id="rId418" ref="N105"/>
    <hyperlink r:id="rId419" ref="P105"/>
    <hyperlink r:id="rId420" ref="C106"/>
    <hyperlink r:id="rId421" ref="J106"/>
    <hyperlink r:id="rId422" ref="N106"/>
    <hyperlink r:id="rId423" ref="P106"/>
    <hyperlink r:id="rId424" ref="C107"/>
    <hyperlink r:id="rId425" ref="J107"/>
    <hyperlink r:id="rId426" ref="L107"/>
    <hyperlink r:id="rId427" ref="N107"/>
    <hyperlink r:id="rId428" ref="P107"/>
    <hyperlink r:id="rId429" ref="C108"/>
    <hyperlink r:id="rId430" ref="J108"/>
    <hyperlink r:id="rId431" ref="L108"/>
    <hyperlink r:id="rId432" ref="N108"/>
    <hyperlink r:id="rId433" ref="P108"/>
    <hyperlink r:id="rId434" ref="C109"/>
    <hyperlink r:id="rId435" ref="J109"/>
    <hyperlink r:id="rId436" ref="L109"/>
    <hyperlink r:id="rId437" ref="N109"/>
    <hyperlink r:id="rId438" ref="P109"/>
    <hyperlink r:id="rId439" ref="C110"/>
    <hyperlink r:id="rId440" ref="J110"/>
    <hyperlink r:id="rId441" ref="L110"/>
    <hyperlink r:id="rId442" ref="N110"/>
    <hyperlink r:id="rId443" ref="P110"/>
    <hyperlink r:id="rId444" ref="C111"/>
    <hyperlink r:id="rId445" ref="J111"/>
    <hyperlink r:id="rId446" ref="L111"/>
    <hyperlink r:id="rId447" ref="N111"/>
    <hyperlink r:id="rId448" ref="P111"/>
    <hyperlink r:id="rId449" ref="B112"/>
    <hyperlink r:id="rId450" ref="C112"/>
    <hyperlink r:id="rId451" ref="J112"/>
    <hyperlink r:id="rId452" ref="L112"/>
    <hyperlink r:id="rId453" ref="N112"/>
    <hyperlink r:id="rId454" ref="P112"/>
    <hyperlink r:id="rId455" ref="B113"/>
    <hyperlink r:id="rId456" ref="C113"/>
    <hyperlink r:id="rId457" ref="J113"/>
    <hyperlink r:id="rId458" ref="L113"/>
    <hyperlink r:id="rId459" ref="P113"/>
    <hyperlink r:id="rId460" ref="C114"/>
    <hyperlink r:id="rId461" ref="J114"/>
    <hyperlink r:id="rId462" ref="N114"/>
    <hyperlink r:id="rId463" ref="P114"/>
    <hyperlink r:id="rId464" ref="C115"/>
    <hyperlink r:id="rId465" ref="J115"/>
    <hyperlink r:id="rId466" ref="L115"/>
    <hyperlink r:id="rId467" ref="N115"/>
    <hyperlink r:id="rId468" ref="P115"/>
    <hyperlink r:id="rId469" ref="C116"/>
    <hyperlink r:id="rId470" ref="J116"/>
    <hyperlink r:id="rId471" ref="L116"/>
    <hyperlink r:id="rId472" ref="N116"/>
    <hyperlink r:id="rId473" ref="P116"/>
    <hyperlink r:id="rId474" ref="C117"/>
    <hyperlink r:id="rId475" ref="J117"/>
    <hyperlink r:id="rId476" ref="L117"/>
    <hyperlink r:id="rId477" ref="N117"/>
    <hyperlink r:id="rId478" ref="P117"/>
    <hyperlink r:id="rId479" ref="C118"/>
    <hyperlink r:id="rId480" ref="J118"/>
    <hyperlink r:id="rId481" ref="L118"/>
    <hyperlink r:id="rId482" ref="N118"/>
    <hyperlink r:id="rId483" ref="P118"/>
    <hyperlink r:id="rId484" ref="C119"/>
    <hyperlink r:id="rId485" ref="J119"/>
    <hyperlink r:id="rId486" ref="L119"/>
    <hyperlink r:id="rId487" ref="N119"/>
    <hyperlink r:id="rId488" ref="P119"/>
    <hyperlink r:id="rId489" ref="C120"/>
    <hyperlink r:id="rId490" ref="J120"/>
    <hyperlink r:id="rId491" ref="L120"/>
    <hyperlink r:id="rId492" ref="P120"/>
    <hyperlink r:id="rId493" ref="C121"/>
    <hyperlink r:id="rId494" ref="J121"/>
    <hyperlink r:id="rId495" ref="L121"/>
    <hyperlink r:id="rId496" ref="N121"/>
    <hyperlink r:id="rId497" ref="P121"/>
    <hyperlink r:id="rId498" ref="C122"/>
    <hyperlink r:id="rId499" ref="C123"/>
    <hyperlink r:id="rId500" ref="J123"/>
    <hyperlink r:id="rId501" ref="L123"/>
    <hyperlink r:id="rId502" ref="C124"/>
    <hyperlink r:id="rId503" ref="J124"/>
    <hyperlink r:id="rId504" ref="L124"/>
    <hyperlink r:id="rId505" ref="C125"/>
    <hyperlink r:id="rId506" ref="J125"/>
    <hyperlink r:id="rId507" ref="L125"/>
    <hyperlink r:id="rId508" ref="N125"/>
    <hyperlink r:id="rId509" ref="P125"/>
    <hyperlink r:id="rId510" ref="C126"/>
    <hyperlink r:id="rId511" ref="J126"/>
    <hyperlink r:id="rId512" ref="L126"/>
    <hyperlink r:id="rId513" ref="N126"/>
    <hyperlink r:id="rId514" ref="P126"/>
    <hyperlink r:id="rId515" ref="C127"/>
    <hyperlink r:id="rId516" ref="J127"/>
    <hyperlink r:id="rId517" ref="L127"/>
    <hyperlink r:id="rId518" ref="N127"/>
    <hyperlink r:id="rId519" ref="P127"/>
    <hyperlink r:id="rId520" ref="C128"/>
    <hyperlink r:id="rId521" ref="J128"/>
    <hyperlink r:id="rId522" ref="L128"/>
    <hyperlink r:id="rId523" ref="N128"/>
    <hyperlink r:id="rId524" ref="P128"/>
    <hyperlink r:id="rId525" ref="C129"/>
    <hyperlink r:id="rId526" ref="J129"/>
    <hyperlink r:id="rId527" ref="L129"/>
    <hyperlink r:id="rId528" ref="N129"/>
    <hyperlink r:id="rId529" ref="P129"/>
    <hyperlink r:id="rId530" ref="C130"/>
    <hyperlink r:id="rId531" ref="J130"/>
    <hyperlink r:id="rId532" ref="L130"/>
    <hyperlink r:id="rId533" ref="N130"/>
    <hyperlink r:id="rId534" ref="P130"/>
    <hyperlink r:id="rId535" ref="C131"/>
    <hyperlink r:id="rId536" ref="J131"/>
    <hyperlink r:id="rId537" ref="L131"/>
    <hyperlink r:id="rId538" ref="N131"/>
    <hyperlink r:id="rId539" ref="P131"/>
    <hyperlink r:id="rId540" ref="C132"/>
    <hyperlink r:id="rId541" ref="J132"/>
    <hyperlink r:id="rId542" ref="L132"/>
    <hyperlink r:id="rId543" ref="C133"/>
    <hyperlink r:id="rId544" ref="J133"/>
    <hyperlink r:id="rId545" ref="L133"/>
    <hyperlink r:id="rId546" ref="N133"/>
    <hyperlink r:id="rId547" ref="P133"/>
    <hyperlink r:id="rId548" ref="C134"/>
    <hyperlink r:id="rId549" ref="J134"/>
    <hyperlink r:id="rId550" ref="L134"/>
    <hyperlink r:id="rId551" ref="N134"/>
    <hyperlink r:id="rId552" ref="P134"/>
    <hyperlink r:id="rId553" ref="C135"/>
    <hyperlink r:id="rId554" ref="J135"/>
    <hyperlink r:id="rId555" ref="L135"/>
    <hyperlink r:id="rId556" ref="N135"/>
    <hyperlink r:id="rId557" ref="P135"/>
    <hyperlink r:id="rId558" ref="C136"/>
    <hyperlink r:id="rId559" ref="J136"/>
    <hyperlink r:id="rId560" ref="L136"/>
    <hyperlink r:id="rId561" ref="N136"/>
    <hyperlink r:id="rId562" ref="P136"/>
    <hyperlink r:id="rId563" ref="C137"/>
    <hyperlink r:id="rId564" ref="J137"/>
    <hyperlink r:id="rId565" ref="L137"/>
    <hyperlink r:id="rId566" ref="N137"/>
    <hyperlink r:id="rId567" ref="P137"/>
    <hyperlink r:id="rId568" ref="C138"/>
    <hyperlink r:id="rId569" ref="J138"/>
    <hyperlink r:id="rId570" ref="L138"/>
    <hyperlink r:id="rId571" ref="N138"/>
    <hyperlink r:id="rId572" ref="P138"/>
    <hyperlink r:id="rId573" ref="C139"/>
    <hyperlink r:id="rId574" ref="J139"/>
    <hyperlink r:id="rId575" ref="L139"/>
    <hyperlink r:id="rId576" ref="N139"/>
    <hyperlink r:id="rId577" ref="P139"/>
    <hyperlink r:id="rId578" ref="C140"/>
    <hyperlink r:id="rId579" ref="J140"/>
    <hyperlink r:id="rId580" ref="L140"/>
    <hyperlink r:id="rId581" ref="P140"/>
    <hyperlink r:id="rId582" ref="C141"/>
    <hyperlink r:id="rId583" ref="J141"/>
    <hyperlink r:id="rId584" ref="L141"/>
    <hyperlink r:id="rId585" ref="N141"/>
    <hyperlink r:id="rId586" ref="P141"/>
    <hyperlink r:id="rId587" ref="C142"/>
    <hyperlink r:id="rId588" ref="J142"/>
    <hyperlink r:id="rId589" ref="L142"/>
    <hyperlink r:id="rId590" ref="N142"/>
    <hyperlink r:id="rId591" ref="P142"/>
    <hyperlink r:id="rId592" ref="C143"/>
    <hyperlink r:id="rId593" ref="J143"/>
    <hyperlink r:id="rId594" ref="L143"/>
    <hyperlink r:id="rId595" ref="N143"/>
    <hyperlink r:id="rId596" ref="P143"/>
    <hyperlink r:id="rId597" ref="C144"/>
    <hyperlink r:id="rId598" ref="J144"/>
    <hyperlink r:id="rId599" ref="L144"/>
    <hyperlink r:id="rId600" ref="N144"/>
    <hyperlink r:id="rId601" ref="P144"/>
    <hyperlink r:id="rId602" ref="C145"/>
    <hyperlink r:id="rId603" ref="J145"/>
    <hyperlink r:id="rId604" ref="L145"/>
    <hyperlink r:id="rId605" ref="N145"/>
    <hyperlink r:id="rId606" ref="P145"/>
    <hyperlink r:id="rId607" ref="C146"/>
    <hyperlink r:id="rId608" ref="J146"/>
    <hyperlink r:id="rId609" ref="L146"/>
    <hyperlink r:id="rId610" ref="N146"/>
    <hyperlink r:id="rId611" ref="P146"/>
    <hyperlink r:id="rId612" ref="C147"/>
    <hyperlink r:id="rId613" ref="J147"/>
    <hyperlink r:id="rId614" ref="L147"/>
    <hyperlink r:id="rId615" ref="N147"/>
    <hyperlink r:id="rId616" ref="P147"/>
    <hyperlink r:id="rId617" ref="C148"/>
    <hyperlink r:id="rId618" ref="J148"/>
    <hyperlink r:id="rId619" ref="L148"/>
    <hyperlink r:id="rId620" ref="N148"/>
    <hyperlink r:id="rId621" ref="C149"/>
    <hyperlink r:id="rId622" ref="J149"/>
    <hyperlink r:id="rId623" ref="L149"/>
    <hyperlink r:id="rId624" ref="N149"/>
    <hyperlink r:id="rId625" ref="C150"/>
    <hyperlink r:id="rId626" ref="J150"/>
    <hyperlink r:id="rId627" ref="L150"/>
    <hyperlink r:id="rId628" ref="N150"/>
    <hyperlink r:id="rId629" ref="C151"/>
    <hyperlink r:id="rId630" ref="J151"/>
    <hyperlink r:id="rId631" ref="L151"/>
    <hyperlink r:id="rId632" ref="N151"/>
    <hyperlink r:id="rId633" ref="P151"/>
    <hyperlink r:id="rId634" ref="C152"/>
    <hyperlink r:id="rId635" ref="J152"/>
    <hyperlink r:id="rId636" ref="L152"/>
    <hyperlink r:id="rId637" ref="N152"/>
    <hyperlink r:id="rId638" ref="P152"/>
    <hyperlink r:id="rId639" ref="C153"/>
    <hyperlink r:id="rId640" ref="J153"/>
    <hyperlink r:id="rId641" ref="L153"/>
    <hyperlink r:id="rId642" ref="N153"/>
    <hyperlink r:id="rId643" ref="P153"/>
    <hyperlink r:id="rId644" ref="C154"/>
    <hyperlink r:id="rId645" ref="J154"/>
    <hyperlink r:id="rId646" ref="L154"/>
    <hyperlink r:id="rId647" ref="N154"/>
    <hyperlink r:id="rId648" ref="P154"/>
    <hyperlink r:id="rId649" ref="C155"/>
    <hyperlink r:id="rId650" ref="J155"/>
    <hyperlink r:id="rId651" ref="L155"/>
    <hyperlink r:id="rId652" ref="N155"/>
    <hyperlink r:id="rId653" ref="P155"/>
    <hyperlink r:id="rId654" ref="C156"/>
    <hyperlink r:id="rId655" ref="J156"/>
    <hyperlink r:id="rId656" ref="L156"/>
    <hyperlink r:id="rId657" ref="N156"/>
    <hyperlink r:id="rId658" ref="P156"/>
    <hyperlink r:id="rId659" ref="C157"/>
    <hyperlink r:id="rId660" ref="J157"/>
    <hyperlink r:id="rId661" ref="L157"/>
    <hyperlink r:id="rId662" ref="N157"/>
    <hyperlink r:id="rId663" ref="P157"/>
    <hyperlink r:id="rId664" ref="C158"/>
    <hyperlink r:id="rId665" ref="J158"/>
    <hyperlink r:id="rId666" ref="L158"/>
    <hyperlink r:id="rId667" ref="N158"/>
    <hyperlink r:id="rId668" ref="P158"/>
    <hyperlink r:id="rId669" ref="C159"/>
    <hyperlink r:id="rId670" ref="J159"/>
    <hyperlink r:id="rId671" ref="L159"/>
    <hyperlink r:id="rId672" ref="N159"/>
    <hyperlink r:id="rId673" ref="P159"/>
    <hyperlink r:id="rId674" ref="C160"/>
    <hyperlink r:id="rId675" ref="J160"/>
    <hyperlink r:id="rId676" ref="L160"/>
    <hyperlink r:id="rId677" ref="N160"/>
    <hyperlink r:id="rId678" ref="P160"/>
    <hyperlink r:id="rId679" ref="C161"/>
    <hyperlink r:id="rId680" ref="J161"/>
    <hyperlink r:id="rId681" ref="L161"/>
    <hyperlink r:id="rId682" ref="N161"/>
    <hyperlink r:id="rId683" ref="P161"/>
    <hyperlink r:id="rId684" ref="C162"/>
    <hyperlink r:id="rId685" ref="J162"/>
    <hyperlink r:id="rId686" ref="L162"/>
    <hyperlink r:id="rId687" ref="N162"/>
    <hyperlink r:id="rId688" ref="P162"/>
    <hyperlink r:id="rId689" ref="C163"/>
    <hyperlink r:id="rId690" ref="J163"/>
    <hyperlink r:id="rId691" ref="L163"/>
    <hyperlink r:id="rId692" ref="N163"/>
    <hyperlink r:id="rId693" ref="P163"/>
    <hyperlink r:id="rId694" ref="C164"/>
    <hyperlink r:id="rId695" ref="J164"/>
    <hyperlink r:id="rId696" ref="L164"/>
    <hyperlink r:id="rId697" ref="N164"/>
    <hyperlink r:id="rId698" ref="P164"/>
    <hyperlink r:id="rId699" ref="C165"/>
    <hyperlink r:id="rId700" ref="J165"/>
    <hyperlink r:id="rId701" ref="L165"/>
    <hyperlink r:id="rId702" ref="N165"/>
    <hyperlink r:id="rId703" ref="P165"/>
    <hyperlink r:id="rId704" ref="C166"/>
    <hyperlink r:id="rId705" ref="J166"/>
    <hyperlink r:id="rId706" ref="L166"/>
    <hyperlink r:id="rId707" ref="N166"/>
    <hyperlink r:id="rId708" ref="P166"/>
    <hyperlink r:id="rId709" ref="C167"/>
    <hyperlink r:id="rId710" ref="J167"/>
    <hyperlink r:id="rId711" ref="L167"/>
    <hyperlink r:id="rId712" ref="N167"/>
    <hyperlink r:id="rId713" ref="P167"/>
    <hyperlink r:id="rId714" ref="C168"/>
    <hyperlink r:id="rId715" ref="J168"/>
    <hyperlink r:id="rId716" ref="L168"/>
    <hyperlink r:id="rId717" ref="N168"/>
    <hyperlink r:id="rId718" ref="P168"/>
    <hyperlink r:id="rId719" ref="C169"/>
    <hyperlink r:id="rId720" ref="J169"/>
    <hyperlink r:id="rId721" ref="L169"/>
    <hyperlink r:id="rId722" ref="N169"/>
    <hyperlink r:id="rId723" ref="P169"/>
    <hyperlink r:id="rId724" ref="C170"/>
    <hyperlink r:id="rId725" ref="J170"/>
    <hyperlink r:id="rId726" ref="L170"/>
    <hyperlink r:id="rId727" ref="N170"/>
    <hyperlink r:id="rId728" ref="P170"/>
    <hyperlink r:id="rId729" ref="C171"/>
    <hyperlink r:id="rId730" ref="J171"/>
    <hyperlink r:id="rId731" ref="L171"/>
    <hyperlink r:id="rId732" ref="N171"/>
    <hyperlink r:id="rId733" ref="P171"/>
    <hyperlink r:id="rId734" ref="C172"/>
    <hyperlink r:id="rId735" ref="J172"/>
    <hyperlink r:id="rId736" ref="L172"/>
    <hyperlink r:id="rId737" ref="N172"/>
    <hyperlink r:id="rId738" ref="P172"/>
    <hyperlink r:id="rId739" ref="C173"/>
    <hyperlink r:id="rId740" ref="J173"/>
    <hyperlink r:id="rId741" ref="L173"/>
    <hyperlink r:id="rId742" ref="N173"/>
    <hyperlink r:id="rId743" ref="P173"/>
    <hyperlink r:id="rId744" ref="C174"/>
    <hyperlink r:id="rId745" ref="J174"/>
    <hyperlink r:id="rId746" ref="L174"/>
    <hyperlink r:id="rId747" ref="N174"/>
    <hyperlink r:id="rId748" ref="P174"/>
    <hyperlink r:id="rId749" ref="C175"/>
    <hyperlink r:id="rId750" ref="J175"/>
    <hyperlink r:id="rId751" ref="L175"/>
    <hyperlink r:id="rId752" ref="N175"/>
    <hyperlink r:id="rId753" ref="P175"/>
    <hyperlink r:id="rId754" ref="C176"/>
    <hyperlink r:id="rId755" ref="J176"/>
    <hyperlink r:id="rId756" ref="L176"/>
    <hyperlink r:id="rId757" ref="N176"/>
    <hyperlink r:id="rId758" ref="P176"/>
    <hyperlink r:id="rId759" ref="C177"/>
    <hyperlink r:id="rId760" ref="J177"/>
    <hyperlink r:id="rId761" ref="L177"/>
    <hyperlink r:id="rId762" ref="N177"/>
    <hyperlink r:id="rId763" ref="P177"/>
    <hyperlink r:id="rId764" ref="C178"/>
    <hyperlink r:id="rId765" ref="J178"/>
    <hyperlink r:id="rId766" ref="L178"/>
    <hyperlink r:id="rId767" ref="N178"/>
    <hyperlink r:id="rId768" ref="P178"/>
    <hyperlink r:id="rId769" ref="C179"/>
    <hyperlink r:id="rId770" ref="J179"/>
    <hyperlink r:id="rId771" ref="L179"/>
    <hyperlink r:id="rId772" ref="N179"/>
    <hyperlink r:id="rId773" ref="P179"/>
    <hyperlink r:id="rId774" ref="C180"/>
    <hyperlink r:id="rId775" ref="J180"/>
    <hyperlink r:id="rId776" ref="L180"/>
    <hyperlink r:id="rId777" ref="N180"/>
    <hyperlink r:id="rId778" ref="C181"/>
    <hyperlink r:id="rId779" ref="J181"/>
    <hyperlink r:id="rId780" ref="L181"/>
    <hyperlink r:id="rId781" ref="N181"/>
    <hyperlink r:id="rId782" ref="P181"/>
    <hyperlink r:id="rId783" ref="C182"/>
    <hyperlink r:id="rId784" ref="J182"/>
    <hyperlink r:id="rId785" ref="L182"/>
    <hyperlink r:id="rId786" ref="N182"/>
    <hyperlink r:id="rId787" ref="P182"/>
    <hyperlink r:id="rId788" ref="C183"/>
    <hyperlink r:id="rId789" ref="J183"/>
    <hyperlink r:id="rId790" ref="L183"/>
    <hyperlink r:id="rId791" ref="N183"/>
    <hyperlink r:id="rId792" ref="P183"/>
    <hyperlink r:id="rId793" ref="C184"/>
    <hyperlink r:id="rId794" ref="J184"/>
    <hyperlink r:id="rId795" ref="C185"/>
    <hyperlink r:id="rId796" ref="J185"/>
    <hyperlink r:id="rId797" ref="L185"/>
    <hyperlink r:id="rId798" ref="P185"/>
    <hyperlink r:id="rId799" ref="C186"/>
    <hyperlink r:id="rId800" ref="J186"/>
    <hyperlink r:id="rId801" ref="C187"/>
    <hyperlink r:id="rId802" ref="J187"/>
    <hyperlink r:id="rId803" ref="L187"/>
    <hyperlink r:id="rId804" ref="N187"/>
    <hyperlink r:id="rId805" ref="C188"/>
    <hyperlink r:id="rId806" ref="J188"/>
    <hyperlink r:id="rId807" ref="L188"/>
    <hyperlink r:id="rId808" ref="N188"/>
    <hyperlink r:id="rId809" ref="P188"/>
    <hyperlink r:id="rId810" ref="C189"/>
    <hyperlink r:id="rId811" ref="J189"/>
    <hyperlink r:id="rId812" ref="L189"/>
    <hyperlink r:id="rId813" ref="C190"/>
    <hyperlink r:id="rId814" ref="J190"/>
    <hyperlink r:id="rId815" ref="L190"/>
    <hyperlink r:id="rId816" ref="N190"/>
    <hyperlink r:id="rId817" ref="P190"/>
    <hyperlink r:id="rId818" ref="C191"/>
    <hyperlink r:id="rId819" ref="J191"/>
    <hyperlink r:id="rId820" ref="L191"/>
    <hyperlink r:id="rId821" ref="N191"/>
    <hyperlink r:id="rId822" ref="P191"/>
    <hyperlink r:id="rId823" ref="C192"/>
    <hyperlink r:id="rId824" ref="J192"/>
    <hyperlink r:id="rId825" ref="L192"/>
    <hyperlink r:id="rId826" ref="N192"/>
    <hyperlink r:id="rId827" ref="P192"/>
    <hyperlink r:id="rId828" ref="C193"/>
    <hyperlink r:id="rId829" ref="J193"/>
    <hyperlink r:id="rId830" ref="C194"/>
    <hyperlink r:id="rId831" ref="J194"/>
    <hyperlink r:id="rId832" ref="L194"/>
    <hyperlink r:id="rId833" ref="C195"/>
    <hyperlink r:id="rId834" ref="J195"/>
    <hyperlink r:id="rId835" ref="C196"/>
    <hyperlink r:id="rId836" ref="J196"/>
    <hyperlink r:id="rId837" ref="L196"/>
    <hyperlink r:id="rId838" ref="N196"/>
    <hyperlink r:id="rId839" ref="C197"/>
    <hyperlink r:id="rId840" ref="J197"/>
    <hyperlink r:id="rId841" ref="P197"/>
    <hyperlink r:id="rId842" ref="C198"/>
    <hyperlink r:id="rId843" ref="J198"/>
    <hyperlink r:id="rId844" ref="L198"/>
    <hyperlink r:id="rId845" ref="N198"/>
    <hyperlink r:id="rId846" ref="P198"/>
    <hyperlink r:id="rId847" ref="C199"/>
    <hyperlink r:id="rId848" ref="J199"/>
    <hyperlink r:id="rId849" ref="L199"/>
    <hyperlink r:id="rId850" ref="C200"/>
    <hyperlink r:id="rId851" ref="J200"/>
    <hyperlink r:id="rId852" ref="L200"/>
    <hyperlink r:id="rId853" ref="N200"/>
    <hyperlink r:id="rId854" ref="P200"/>
    <hyperlink r:id="rId855" ref="C201"/>
    <hyperlink r:id="rId856" ref="J201"/>
    <hyperlink r:id="rId857" ref="L201"/>
    <hyperlink r:id="rId858" ref="N201"/>
    <hyperlink r:id="rId859" ref="P201"/>
    <hyperlink r:id="rId860" ref="C202"/>
    <hyperlink r:id="rId861" ref="J202"/>
    <hyperlink r:id="rId862" ref="L202"/>
    <hyperlink r:id="rId863" ref="N202"/>
    <hyperlink r:id="rId864" ref="P202"/>
    <hyperlink r:id="rId865" ref="C203"/>
    <hyperlink r:id="rId866" ref="J203"/>
    <hyperlink r:id="rId867" ref="L203"/>
    <hyperlink r:id="rId868" ref="N203"/>
    <hyperlink r:id="rId869" ref="P203"/>
    <hyperlink r:id="rId870" ref="C204"/>
    <hyperlink r:id="rId871" ref="J204"/>
    <hyperlink r:id="rId872" ref="L204"/>
    <hyperlink r:id="rId873" ref="N204"/>
    <hyperlink r:id="rId874" ref="P204"/>
    <hyperlink r:id="rId875" ref="C205"/>
    <hyperlink r:id="rId876" ref="J205"/>
    <hyperlink r:id="rId877" ref="L205"/>
    <hyperlink r:id="rId878" ref="N205"/>
    <hyperlink r:id="rId879" ref="P205"/>
    <hyperlink r:id="rId880" ref="C206"/>
    <hyperlink r:id="rId881" ref="J206"/>
    <hyperlink r:id="rId882" ref="L206"/>
    <hyperlink r:id="rId883" ref="N206"/>
    <hyperlink r:id="rId884" ref="P206"/>
    <hyperlink r:id="rId885" ref="C207"/>
    <hyperlink r:id="rId886" ref="J207"/>
    <hyperlink r:id="rId887" ref="L207"/>
    <hyperlink r:id="rId888" ref="N207"/>
    <hyperlink r:id="rId889" ref="P207"/>
    <hyperlink r:id="rId890" ref="C208"/>
    <hyperlink r:id="rId891" ref="J208"/>
    <hyperlink r:id="rId892" ref="L208"/>
    <hyperlink r:id="rId893" ref="N208"/>
    <hyperlink r:id="rId894" ref="P208"/>
    <hyperlink r:id="rId895" ref="C209"/>
    <hyperlink r:id="rId896" ref="J209"/>
    <hyperlink r:id="rId897" ref="L209"/>
    <hyperlink r:id="rId898" ref="N209"/>
    <hyperlink r:id="rId899" ref="P209"/>
    <hyperlink r:id="rId900" ref="C210"/>
    <hyperlink r:id="rId901" ref="J210"/>
    <hyperlink r:id="rId902" ref="L210"/>
    <hyperlink r:id="rId903" ref="N210"/>
    <hyperlink r:id="rId904" ref="P210"/>
    <hyperlink r:id="rId905" ref="C211"/>
    <hyperlink r:id="rId906" ref="J211"/>
    <hyperlink r:id="rId907" ref="L211"/>
    <hyperlink r:id="rId908" ref="N211"/>
    <hyperlink r:id="rId909" ref="P211"/>
    <hyperlink r:id="rId910" ref="C212"/>
    <hyperlink r:id="rId911" ref="J212"/>
    <hyperlink r:id="rId912" ref="L212"/>
    <hyperlink r:id="rId913" ref="N212"/>
    <hyperlink r:id="rId914" ref="P212"/>
    <hyperlink r:id="rId915" ref="C213"/>
    <hyperlink r:id="rId916" ref="J213"/>
    <hyperlink r:id="rId917" ref="L213"/>
    <hyperlink r:id="rId918" ref="N213"/>
    <hyperlink r:id="rId919" ref="P213"/>
    <hyperlink r:id="rId920" ref="C214"/>
    <hyperlink r:id="rId921" ref="J214"/>
    <hyperlink r:id="rId922" ref="L214"/>
    <hyperlink r:id="rId923" ref="N214"/>
    <hyperlink r:id="rId924" ref="P214"/>
    <hyperlink r:id="rId925" ref="C215"/>
    <hyperlink r:id="rId926" ref="C216"/>
    <hyperlink r:id="rId927" ref="J216"/>
    <hyperlink r:id="rId928" ref="L216"/>
    <hyperlink r:id="rId929" ref="N216"/>
    <hyperlink r:id="rId930" ref="P216"/>
    <hyperlink r:id="rId931" ref="C217"/>
    <hyperlink r:id="rId932" ref="J217"/>
    <hyperlink r:id="rId933" ref="L217"/>
    <hyperlink r:id="rId934" ref="N217"/>
    <hyperlink r:id="rId935" ref="P217"/>
    <hyperlink r:id="rId936" ref="C218"/>
    <hyperlink r:id="rId937" ref="J218"/>
    <hyperlink r:id="rId938" ref="L218"/>
    <hyperlink r:id="rId939" ref="N218"/>
    <hyperlink r:id="rId940" ref="P218"/>
    <hyperlink r:id="rId941" ref="C219"/>
    <hyperlink r:id="rId942" ref="J219"/>
    <hyperlink r:id="rId943" ref="L219"/>
    <hyperlink r:id="rId944" ref="N219"/>
    <hyperlink r:id="rId945" ref="P219"/>
    <hyperlink r:id="rId946" ref="C220"/>
    <hyperlink r:id="rId947" ref="J220"/>
    <hyperlink r:id="rId948" ref="L220"/>
    <hyperlink r:id="rId949" ref="N220"/>
    <hyperlink r:id="rId950" ref="P220"/>
    <hyperlink r:id="rId951" ref="C221"/>
    <hyperlink r:id="rId952" ref="J221"/>
    <hyperlink r:id="rId953" ref="L221"/>
    <hyperlink r:id="rId954" ref="N221"/>
    <hyperlink r:id="rId955" ref="P221"/>
    <hyperlink r:id="rId956" ref="C222"/>
    <hyperlink r:id="rId957" ref="J222"/>
    <hyperlink r:id="rId958" ref="L222"/>
    <hyperlink r:id="rId959" ref="N222"/>
    <hyperlink r:id="rId960" ref="P222"/>
    <hyperlink r:id="rId961" ref="C223"/>
    <hyperlink r:id="rId962" ref="J223"/>
    <hyperlink r:id="rId963" ref="L223"/>
    <hyperlink r:id="rId964" ref="N223"/>
    <hyperlink r:id="rId965" ref="P223"/>
    <hyperlink r:id="rId966" ref="C224"/>
    <hyperlink r:id="rId967" ref="J224"/>
    <hyperlink r:id="rId968" ref="L224"/>
    <hyperlink r:id="rId969" ref="N224"/>
    <hyperlink r:id="rId970" ref="P224"/>
    <hyperlink r:id="rId971" ref="C225"/>
    <hyperlink r:id="rId972" ref="J225"/>
    <hyperlink r:id="rId973" ref="L225"/>
    <hyperlink r:id="rId974" ref="N225"/>
    <hyperlink r:id="rId975" ref="P225"/>
    <hyperlink r:id="rId976" ref="C226"/>
    <hyperlink r:id="rId977" ref="J226"/>
    <hyperlink r:id="rId978" ref="L226"/>
    <hyperlink r:id="rId979" ref="N226"/>
    <hyperlink r:id="rId980" ref="P226"/>
    <hyperlink r:id="rId981" ref="C227"/>
    <hyperlink r:id="rId982" ref="J227"/>
    <hyperlink r:id="rId983" ref="L227"/>
    <hyperlink r:id="rId984" ref="N227"/>
    <hyperlink r:id="rId985" ref="P227"/>
    <hyperlink r:id="rId986" ref="B228"/>
    <hyperlink r:id="rId987" ref="C228"/>
    <hyperlink r:id="rId988" ref="J228"/>
    <hyperlink r:id="rId989" ref="C229"/>
    <hyperlink r:id="rId990" ref="J229"/>
    <hyperlink r:id="rId991" ref="L229"/>
    <hyperlink r:id="rId992" ref="N229"/>
    <hyperlink r:id="rId993" ref="P229"/>
    <hyperlink r:id="rId994" ref="C230"/>
    <hyperlink r:id="rId995" ref="J230"/>
    <hyperlink r:id="rId996" ref="C231"/>
    <hyperlink r:id="rId997" ref="J231"/>
    <hyperlink r:id="rId998" ref="L231"/>
    <hyperlink r:id="rId999" ref="N231"/>
    <hyperlink r:id="rId1000" ref="P231"/>
    <hyperlink r:id="rId1001" ref="C232"/>
    <hyperlink r:id="rId1002" ref="J232"/>
    <hyperlink r:id="rId1003" ref="L232"/>
    <hyperlink r:id="rId1004" ref="N232"/>
    <hyperlink r:id="rId1005" ref="P232"/>
    <hyperlink r:id="rId1006" ref="C233"/>
    <hyperlink r:id="rId1007" ref="J233"/>
    <hyperlink r:id="rId1008" ref="L233"/>
    <hyperlink r:id="rId1009" ref="N233"/>
    <hyperlink r:id="rId1010" ref="P233"/>
    <hyperlink r:id="rId1011" ref="C234"/>
    <hyperlink r:id="rId1012" ref="J234"/>
    <hyperlink r:id="rId1013" ref="L234"/>
    <hyperlink r:id="rId1014" ref="N234"/>
    <hyperlink r:id="rId1015" ref="P234"/>
    <hyperlink r:id="rId1016" ref="C235"/>
    <hyperlink r:id="rId1017" ref="J235"/>
    <hyperlink r:id="rId1018" ref="L235"/>
    <hyperlink r:id="rId1019" ref="N235"/>
    <hyperlink r:id="rId1020" ref="P235"/>
    <hyperlink r:id="rId1021" ref="B236"/>
    <hyperlink r:id="rId1022" ref="C236"/>
    <hyperlink r:id="rId1023" ref="J236"/>
    <hyperlink r:id="rId1024" ref="L236"/>
    <hyperlink r:id="rId1025" ref="N236"/>
    <hyperlink r:id="rId1026" ref="P236"/>
    <hyperlink r:id="rId1027" ref="C237"/>
    <hyperlink r:id="rId1028" ref="J237"/>
    <hyperlink r:id="rId1029" ref="L237"/>
    <hyperlink r:id="rId1030" ref="N237"/>
    <hyperlink r:id="rId1031" ref="P237"/>
    <hyperlink r:id="rId1032" ref="C238"/>
    <hyperlink r:id="rId1033" ref="J238"/>
    <hyperlink r:id="rId1034" ref="L238"/>
    <hyperlink r:id="rId1035" ref="N238"/>
    <hyperlink r:id="rId1036" ref="P238"/>
    <hyperlink r:id="rId1037" ref="C239"/>
    <hyperlink r:id="rId1038" ref="J239"/>
    <hyperlink r:id="rId1039" ref="L239"/>
    <hyperlink r:id="rId1040" ref="N239"/>
    <hyperlink r:id="rId1041" ref="P239"/>
    <hyperlink r:id="rId1042" ref="C240"/>
    <hyperlink r:id="rId1043" ref="J240"/>
    <hyperlink r:id="rId1044" ref="L240"/>
    <hyperlink r:id="rId1045" ref="N240"/>
    <hyperlink r:id="rId1046" ref="P240"/>
    <hyperlink r:id="rId1047" ref="C241"/>
    <hyperlink r:id="rId1048" ref="J241"/>
    <hyperlink r:id="rId1049" ref="L241"/>
    <hyperlink r:id="rId1050" ref="N241"/>
    <hyperlink r:id="rId1051" ref="P241"/>
    <hyperlink r:id="rId1052" ref="C242"/>
    <hyperlink r:id="rId1053" ref="J242"/>
    <hyperlink r:id="rId1054" ref="L242"/>
    <hyperlink r:id="rId1055" ref="N242"/>
    <hyperlink r:id="rId1056" ref="P242"/>
    <hyperlink r:id="rId1057" ref="C243"/>
    <hyperlink r:id="rId1058" ref="J243"/>
    <hyperlink r:id="rId1059" ref="L243"/>
    <hyperlink r:id="rId1060" ref="N243"/>
    <hyperlink r:id="rId1061" ref="P243"/>
    <hyperlink r:id="rId1062" ref="C244"/>
    <hyperlink r:id="rId1063" ref="J244"/>
    <hyperlink r:id="rId1064" ref="L244"/>
    <hyperlink r:id="rId1065" ref="N244"/>
    <hyperlink r:id="rId1066" ref="P244"/>
    <hyperlink r:id="rId1067" ref="C245"/>
    <hyperlink r:id="rId1068" ref="J245"/>
    <hyperlink r:id="rId1069" ref="L245"/>
    <hyperlink r:id="rId1070" ref="N245"/>
    <hyperlink r:id="rId1071" ref="P245"/>
    <hyperlink r:id="rId1072" ref="C246"/>
    <hyperlink r:id="rId1073" ref="J246"/>
    <hyperlink r:id="rId1074" ref="L246"/>
    <hyperlink r:id="rId1075" ref="N246"/>
    <hyperlink r:id="rId1076" ref="P246"/>
    <hyperlink r:id="rId1077" ref="C247"/>
    <hyperlink r:id="rId1078" ref="J247"/>
    <hyperlink r:id="rId1079" ref="L247"/>
    <hyperlink r:id="rId1080" ref="N247"/>
    <hyperlink r:id="rId1081" ref="P247"/>
    <hyperlink r:id="rId1082" ref="C248"/>
    <hyperlink r:id="rId1083" ref="J248"/>
    <hyperlink r:id="rId1084" ref="L248"/>
    <hyperlink r:id="rId1085" ref="N248"/>
    <hyperlink r:id="rId1086" ref="P248"/>
    <hyperlink r:id="rId1087" ref="C249"/>
    <hyperlink r:id="rId1088" ref="J249"/>
    <hyperlink r:id="rId1089" ref="L249"/>
    <hyperlink r:id="rId1090" ref="N249"/>
    <hyperlink r:id="rId1091" ref="P249"/>
    <hyperlink r:id="rId1092" ref="C250"/>
    <hyperlink r:id="rId1093" ref="J250"/>
    <hyperlink r:id="rId1094" ref="L250"/>
    <hyperlink r:id="rId1095" ref="N250"/>
    <hyperlink r:id="rId1096" ref="P250"/>
    <hyperlink r:id="rId1097" ref="C251"/>
    <hyperlink r:id="rId1098" ref="J251"/>
    <hyperlink r:id="rId1099" ref="L251"/>
    <hyperlink r:id="rId1100" ref="N251"/>
    <hyperlink r:id="rId1101" ref="P251"/>
    <hyperlink r:id="rId1102" ref="C252"/>
    <hyperlink r:id="rId1103" ref="J252"/>
    <hyperlink r:id="rId1104" ref="L252"/>
    <hyperlink r:id="rId1105" ref="N252"/>
    <hyperlink r:id="rId1106" ref="P252"/>
    <hyperlink r:id="rId1107" ref="C253"/>
    <hyperlink r:id="rId1108" ref="J253"/>
    <hyperlink r:id="rId1109" ref="L253"/>
    <hyperlink r:id="rId1110" ref="C254"/>
    <hyperlink r:id="rId1111" ref="J254"/>
    <hyperlink r:id="rId1112" ref="L254"/>
    <hyperlink r:id="rId1113" ref="C255"/>
    <hyperlink r:id="rId1114" ref="J255"/>
    <hyperlink r:id="rId1115" ref="L255"/>
    <hyperlink r:id="rId1116" ref="N255"/>
    <hyperlink r:id="rId1117" ref="P255"/>
    <hyperlink r:id="rId1118" ref="C256"/>
    <hyperlink r:id="rId1119" ref="J256"/>
    <hyperlink r:id="rId1120" ref="L256"/>
    <hyperlink r:id="rId1121" ref="N256"/>
    <hyperlink r:id="rId1122" ref="P256"/>
    <hyperlink r:id="rId1123" ref="C257"/>
    <hyperlink r:id="rId1124" ref="J257"/>
    <hyperlink r:id="rId1125" ref="L257"/>
    <hyperlink r:id="rId1126" ref="N257"/>
    <hyperlink r:id="rId1127" ref="P257"/>
    <hyperlink r:id="rId1128" ref="C258"/>
    <hyperlink r:id="rId1129" ref="J258"/>
    <hyperlink r:id="rId1130" ref="L258"/>
    <hyperlink r:id="rId1131" ref="N258"/>
    <hyperlink r:id="rId1132" ref="P258"/>
    <hyperlink r:id="rId1133" ref="C259"/>
    <hyperlink r:id="rId1134" ref="J259"/>
    <hyperlink r:id="rId1135" ref="L259"/>
    <hyperlink r:id="rId1136" ref="N259"/>
    <hyperlink r:id="rId1137" ref="P259"/>
    <hyperlink r:id="rId1138" ref="C260"/>
    <hyperlink r:id="rId1139" ref="J260"/>
    <hyperlink r:id="rId1140" ref="L260"/>
    <hyperlink r:id="rId1141" ref="N260"/>
    <hyperlink r:id="rId1142" ref="P260"/>
    <hyperlink r:id="rId1143" ref="C261"/>
    <hyperlink r:id="rId1144" ref="J261"/>
    <hyperlink r:id="rId1145" ref="L261"/>
    <hyperlink r:id="rId1146" ref="N261"/>
    <hyperlink r:id="rId1147" ref="P261"/>
    <hyperlink r:id="rId1148" ref="C262"/>
    <hyperlink r:id="rId1149" ref="J262"/>
    <hyperlink r:id="rId1150" ref="L262"/>
    <hyperlink r:id="rId1151" ref="N262"/>
    <hyperlink r:id="rId1152" ref="P262"/>
    <hyperlink r:id="rId1153" ref="C263"/>
    <hyperlink r:id="rId1154" ref="J263"/>
    <hyperlink r:id="rId1155" ref="L263"/>
    <hyperlink r:id="rId1156" ref="N263"/>
    <hyperlink r:id="rId1157" ref="P263"/>
    <hyperlink r:id="rId1158" ref="C264"/>
    <hyperlink r:id="rId1159" ref="J264"/>
    <hyperlink r:id="rId1160" ref="L264"/>
    <hyperlink r:id="rId1161" ref="N264"/>
    <hyperlink r:id="rId1162" ref="P264"/>
    <hyperlink r:id="rId1163" ref="C265"/>
    <hyperlink r:id="rId1164" ref="J265"/>
    <hyperlink r:id="rId1165" ref="L265"/>
    <hyperlink r:id="rId1166" ref="N265"/>
    <hyperlink r:id="rId1167" ref="P265"/>
    <hyperlink r:id="rId1168" ref="C266"/>
    <hyperlink r:id="rId1169" ref="J266"/>
    <hyperlink r:id="rId1170" ref="L266"/>
    <hyperlink r:id="rId1171" ref="N266"/>
    <hyperlink r:id="rId1172" ref="P266"/>
    <hyperlink r:id="rId1173" ref="C267"/>
    <hyperlink r:id="rId1174" ref="J267"/>
    <hyperlink r:id="rId1175" ref="L267"/>
    <hyperlink r:id="rId1176" ref="N267"/>
    <hyperlink r:id="rId1177" ref="P267"/>
    <hyperlink r:id="rId1178" ref="C268"/>
    <hyperlink r:id="rId1179" ref="J268"/>
    <hyperlink r:id="rId1180" ref="L268"/>
    <hyperlink r:id="rId1181" ref="N268"/>
    <hyperlink r:id="rId1182" ref="P268"/>
    <hyperlink r:id="rId1183" ref="C269"/>
    <hyperlink r:id="rId1184" ref="J269"/>
    <hyperlink r:id="rId1185" ref="L269"/>
    <hyperlink r:id="rId1186" ref="N269"/>
    <hyperlink r:id="rId1187" ref="P269"/>
    <hyperlink r:id="rId1188" ref="C270"/>
    <hyperlink r:id="rId1189" ref="C271"/>
    <hyperlink r:id="rId1190" ref="J271"/>
    <hyperlink r:id="rId1191" ref="L271"/>
    <hyperlink r:id="rId1192" ref="N271"/>
    <hyperlink r:id="rId1193" ref="P271"/>
    <hyperlink r:id="rId1194" ref="C272"/>
    <hyperlink r:id="rId1195" ref="J272"/>
    <hyperlink r:id="rId1196" ref="L272"/>
    <hyperlink r:id="rId1197" ref="N272"/>
    <hyperlink r:id="rId1198" ref="P272"/>
    <hyperlink r:id="rId1199" ref="C273"/>
    <hyperlink r:id="rId1200" ref="J273"/>
    <hyperlink r:id="rId1201" ref="L273"/>
    <hyperlink r:id="rId1202" ref="N273"/>
    <hyperlink r:id="rId1203" ref="P273"/>
    <hyperlink r:id="rId1204" ref="C274"/>
    <hyperlink r:id="rId1205" ref="J274"/>
    <hyperlink r:id="rId1206" ref="L274"/>
    <hyperlink r:id="rId1207" ref="N274"/>
    <hyperlink r:id="rId1208" ref="P274"/>
    <hyperlink r:id="rId1209" ref="C275"/>
    <hyperlink r:id="rId1210" ref="J275"/>
    <hyperlink r:id="rId1211" ref="L275"/>
    <hyperlink r:id="rId1212" ref="N275"/>
    <hyperlink r:id="rId1213" ref="P275"/>
    <hyperlink r:id="rId1214" ref="C276"/>
    <hyperlink r:id="rId1215" ref="J276"/>
    <hyperlink r:id="rId1216" ref="L276"/>
    <hyperlink r:id="rId1217" ref="N276"/>
    <hyperlink r:id="rId1218" ref="P276"/>
    <hyperlink r:id="rId1219" ref="C277"/>
    <hyperlink r:id="rId1220" ref="J277"/>
    <hyperlink r:id="rId1221" ref="L277"/>
    <hyperlink r:id="rId1222" ref="N277"/>
    <hyperlink r:id="rId1223" ref="P277"/>
    <hyperlink r:id="rId1224" ref="C278"/>
    <hyperlink r:id="rId1225" ref="J278"/>
    <hyperlink r:id="rId1226" ref="L278"/>
    <hyperlink r:id="rId1227" ref="N278"/>
    <hyperlink r:id="rId1228" ref="C279"/>
    <hyperlink r:id="rId1229" ref="J279"/>
    <hyperlink r:id="rId1230" ref="L279"/>
    <hyperlink r:id="rId1231" ref="C280"/>
    <hyperlink r:id="rId1232" ref="J280"/>
    <hyperlink r:id="rId1233" ref="L280"/>
    <hyperlink r:id="rId1234" ref="N280"/>
    <hyperlink r:id="rId1235" ref="P280"/>
    <hyperlink r:id="rId1236" ref="C281"/>
    <hyperlink r:id="rId1237" ref="J281"/>
    <hyperlink r:id="rId1238" ref="L281"/>
    <hyperlink r:id="rId1239" ref="N281"/>
    <hyperlink r:id="rId1240" ref="C282"/>
    <hyperlink r:id="rId1241" ref="J282"/>
    <hyperlink r:id="rId1242" ref="L282"/>
    <hyperlink r:id="rId1243" ref="N282"/>
    <hyperlink r:id="rId1244" ref="P282"/>
    <hyperlink r:id="rId1245" ref="C283"/>
    <hyperlink r:id="rId1246" ref="J283"/>
    <hyperlink r:id="rId1247" ref="L283"/>
    <hyperlink r:id="rId1248" ref="N283"/>
    <hyperlink r:id="rId1249" ref="P283"/>
    <hyperlink r:id="rId1250" ref="C284"/>
    <hyperlink r:id="rId1251" ref="L284"/>
    <hyperlink r:id="rId1252" ref="C285"/>
    <hyperlink r:id="rId1253" ref="J285"/>
    <hyperlink r:id="rId1254" ref="L285"/>
    <hyperlink r:id="rId1255" ref="N285"/>
    <hyperlink r:id="rId1256" ref="P285"/>
    <hyperlink r:id="rId1257" ref="C286"/>
    <hyperlink r:id="rId1258" ref="J286"/>
    <hyperlink r:id="rId1259" ref="L286"/>
    <hyperlink r:id="rId1260" ref="N286"/>
    <hyperlink r:id="rId1261" ref="P286"/>
    <hyperlink r:id="rId1262" ref="C287"/>
    <hyperlink r:id="rId1263" ref="J287"/>
    <hyperlink r:id="rId1264" ref="L287"/>
    <hyperlink r:id="rId1265" ref="N287"/>
    <hyperlink r:id="rId1266" ref="P287"/>
    <hyperlink r:id="rId1267" ref="C288"/>
    <hyperlink r:id="rId1268" ref="J288"/>
    <hyperlink r:id="rId1269" ref="L288"/>
    <hyperlink r:id="rId1270" ref="N288"/>
    <hyperlink r:id="rId1271" ref="P288"/>
    <hyperlink r:id="rId1272" ref="C289"/>
    <hyperlink r:id="rId1273" ref="J289"/>
    <hyperlink r:id="rId1274" ref="L289"/>
    <hyperlink r:id="rId1275" ref="N289"/>
    <hyperlink r:id="rId1276" ref="C290"/>
    <hyperlink r:id="rId1277" ref="J290"/>
    <hyperlink r:id="rId1278" ref="L290"/>
    <hyperlink r:id="rId1279" ref="N290"/>
    <hyperlink r:id="rId1280" ref="P290"/>
    <hyperlink r:id="rId1281" ref="C291"/>
    <hyperlink r:id="rId1282" ref="C292"/>
    <hyperlink r:id="rId1283" ref="J292"/>
    <hyperlink r:id="rId1284" ref="L292"/>
    <hyperlink r:id="rId1285" ref="N292"/>
    <hyperlink r:id="rId1286" ref="P292"/>
    <hyperlink r:id="rId1287" ref="C293"/>
    <hyperlink r:id="rId1288" ref="J293"/>
    <hyperlink r:id="rId1289" ref="L293"/>
    <hyperlink r:id="rId1290" ref="N293"/>
    <hyperlink r:id="rId1291" ref="C294"/>
    <hyperlink r:id="rId1292" ref="J294"/>
    <hyperlink r:id="rId1293" ref="L294"/>
    <hyperlink r:id="rId1294" ref="N294"/>
    <hyperlink r:id="rId1295" ref="P294"/>
    <hyperlink r:id="rId1296" ref="C295"/>
    <hyperlink r:id="rId1297" ref="J295"/>
    <hyperlink r:id="rId1298" ref="L295"/>
    <hyperlink r:id="rId1299" ref="C296"/>
    <hyperlink r:id="rId1300" ref="J296"/>
    <hyperlink r:id="rId1301" ref="L296"/>
    <hyperlink r:id="rId1302" ref="N296"/>
    <hyperlink r:id="rId1303" ref="C297"/>
    <hyperlink r:id="rId1304" ref="J297"/>
    <hyperlink r:id="rId1305" ref="L297"/>
    <hyperlink r:id="rId1306" ref="N297"/>
    <hyperlink r:id="rId1307" ref="P297"/>
    <hyperlink r:id="rId1308" ref="C298"/>
    <hyperlink r:id="rId1309" ref="J298"/>
    <hyperlink r:id="rId1310" ref="L298"/>
    <hyperlink r:id="rId1311" ref="N298"/>
    <hyperlink r:id="rId1312" ref="C299"/>
    <hyperlink r:id="rId1313" ref="J299"/>
    <hyperlink r:id="rId1314" ref="L299"/>
    <hyperlink r:id="rId1315" ref="N299"/>
    <hyperlink r:id="rId1316" ref="C300"/>
    <hyperlink r:id="rId1317" ref="J300"/>
    <hyperlink r:id="rId1318" ref="L300"/>
    <hyperlink r:id="rId1319" ref="N300"/>
    <hyperlink r:id="rId1320" ref="P300"/>
    <hyperlink r:id="rId1321" ref="C301"/>
    <hyperlink r:id="rId1322" ref="J301"/>
    <hyperlink r:id="rId1323" ref="L301"/>
    <hyperlink r:id="rId1324" ref="C302"/>
    <hyperlink r:id="rId1325" ref="J302"/>
    <hyperlink r:id="rId1326" ref="L302"/>
    <hyperlink r:id="rId1327" ref="N302"/>
    <hyperlink r:id="rId1328" ref="P302"/>
    <hyperlink r:id="rId1329" ref="C303"/>
    <hyperlink r:id="rId1330" ref="J303"/>
    <hyperlink r:id="rId1331" ref="L303"/>
    <hyperlink r:id="rId1332" ref="N303"/>
    <hyperlink r:id="rId1333" ref="P303"/>
    <hyperlink r:id="rId1334" ref="C304"/>
    <hyperlink r:id="rId1335" ref="J304"/>
    <hyperlink r:id="rId1336" ref="L304"/>
    <hyperlink r:id="rId1337" ref="N304"/>
    <hyperlink r:id="rId1338" ref="P304"/>
    <hyperlink r:id="rId1339" ref="C305"/>
    <hyperlink r:id="rId1340" ref="J305"/>
    <hyperlink r:id="rId1341" ref="L305"/>
    <hyperlink r:id="rId1342" ref="N305"/>
    <hyperlink r:id="rId1343" ref="P305"/>
    <hyperlink r:id="rId1344" ref="C306"/>
    <hyperlink r:id="rId1345" ref="J306"/>
    <hyperlink r:id="rId1346" ref="L306"/>
    <hyperlink r:id="rId1347" ref="C307"/>
    <hyperlink r:id="rId1348" ref="L307"/>
    <hyperlink r:id="rId1349" ref="C308"/>
    <hyperlink r:id="rId1350" ref="J308"/>
    <hyperlink r:id="rId1351" ref="L308"/>
    <hyperlink r:id="rId1352" ref="N308"/>
    <hyperlink r:id="rId1353" ref="P308"/>
    <hyperlink r:id="rId1354" ref="C309"/>
    <hyperlink r:id="rId1355" ref="J309"/>
    <hyperlink r:id="rId1356" ref="L309"/>
    <hyperlink r:id="rId1357" ref="N309"/>
    <hyperlink r:id="rId1358" ref="P309"/>
    <hyperlink r:id="rId1359" ref="C310"/>
    <hyperlink r:id="rId1360" ref="J310"/>
    <hyperlink r:id="rId1361" ref="L310"/>
    <hyperlink r:id="rId1362" ref="N310"/>
    <hyperlink r:id="rId1363" ref="P310"/>
    <hyperlink r:id="rId1364" ref="C311"/>
    <hyperlink r:id="rId1365" ref="J311"/>
    <hyperlink r:id="rId1366" ref="L311"/>
    <hyperlink r:id="rId1367" ref="N311"/>
    <hyperlink r:id="rId1368" ref="P311"/>
    <hyperlink r:id="rId1369" ref="C312"/>
    <hyperlink r:id="rId1370" ref="J312"/>
    <hyperlink r:id="rId1371" ref="L312"/>
    <hyperlink r:id="rId1372" ref="N312"/>
    <hyperlink r:id="rId1373" ref="P312"/>
    <hyperlink r:id="rId1374" ref="C313"/>
    <hyperlink r:id="rId1375" ref="J313"/>
    <hyperlink r:id="rId1376" ref="L313"/>
    <hyperlink r:id="rId1377" ref="N313"/>
    <hyperlink r:id="rId1378" ref="P313"/>
    <hyperlink r:id="rId1379" ref="C314"/>
    <hyperlink r:id="rId1380" ref="J314"/>
    <hyperlink r:id="rId1381" ref="L314"/>
    <hyperlink r:id="rId1382" ref="N314"/>
    <hyperlink r:id="rId1383" ref="P314"/>
    <hyperlink r:id="rId1384" ref="C315"/>
    <hyperlink r:id="rId1385" ref="J315"/>
    <hyperlink r:id="rId1386" ref="L315"/>
    <hyperlink r:id="rId1387" ref="C316"/>
    <hyperlink r:id="rId1388" ref="J316"/>
    <hyperlink r:id="rId1389" ref="L316"/>
    <hyperlink r:id="rId1390" ref="N316"/>
    <hyperlink r:id="rId1391" ref="P316"/>
    <hyperlink r:id="rId1392" ref="C317"/>
    <hyperlink r:id="rId1393" ref="J317"/>
    <hyperlink r:id="rId1394" ref="L317"/>
    <hyperlink r:id="rId1395" ref="N317"/>
    <hyperlink r:id="rId1396" ref="P317"/>
    <hyperlink r:id="rId1397" ref="C318"/>
    <hyperlink r:id="rId1398" ref="J318"/>
    <hyperlink r:id="rId1399" ref="L318"/>
    <hyperlink r:id="rId1400" ref="N318"/>
    <hyperlink r:id="rId1401" ref="P318"/>
    <hyperlink r:id="rId1402" ref="C319"/>
    <hyperlink r:id="rId1403" ref="J319"/>
    <hyperlink r:id="rId1404" ref="L319"/>
    <hyperlink r:id="rId1405" ref="N319"/>
    <hyperlink r:id="rId1406" ref="P319"/>
    <hyperlink r:id="rId1407" ref="C320"/>
    <hyperlink r:id="rId1408" ref="J320"/>
    <hyperlink r:id="rId1409" ref="L320"/>
    <hyperlink r:id="rId1410" ref="N320"/>
    <hyperlink r:id="rId1411" ref="P320"/>
    <hyperlink r:id="rId1412" ref="C321"/>
    <hyperlink r:id="rId1413" ref="J321"/>
    <hyperlink r:id="rId1414" ref="L321"/>
    <hyperlink r:id="rId1415" ref="N321"/>
    <hyperlink r:id="rId1416" ref="P321"/>
    <hyperlink r:id="rId1417" ref="C322"/>
    <hyperlink r:id="rId1418" ref="J322"/>
    <hyperlink r:id="rId1419" ref="L322"/>
    <hyperlink r:id="rId1420" ref="N322"/>
    <hyperlink r:id="rId1421" ref="P322"/>
    <hyperlink r:id="rId1422" ref="C323"/>
    <hyperlink r:id="rId1423" ref="J323"/>
    <hyperlink r:id="rId1424" ref="L323"/>
    <hyperlink r:id="rId1425" ref="N323"/>
    <hyperlink r:id="rId1426" ref="P323"/>
    <hyperlink r:id="rId1427" ref="C324"/>
    <hyperlink r:id="rId1428" ref="J324"/>
    <hyperlink r:id="rId1429" ref="L324"/>
    <hyperlink r:id="rId1430" ref="N324"/>
    <hyperlink r:id="rId1431" ref="P324"/>
    <hyperlink r:id="rId1432" ref="C325"/>
    <hyperlink r:id="rId1433" ref="J325"/>
    <hyperlink r:id="rId1434" ref="L325"/>
    <hyperlink r:id="rId1435" ref="N325"/>
    <hyperlink r:id="rId1436" ref="P325"/>
    <hyperlink r:id="rId1437" ref="C326"/>
    <hyperlink r:id="rId1438" ref="J326"/>
    <hyperlink r:id="rId1439" ref="L326"/>
    <hyperlink r:id="rId1440" ref="N326"/>
    <hyperlink r:id="rId1441" ref="P326"/>
    <hyperlink r:id="rId1442" ref="C327"/>
    <hyperlink r:id="rId1443" ref="J327"/>
    <hyperlink r:id="rId1444" ref="L327"/>
    <hyperlink r:id="rId1445" ref="C328"/>
    <hyperlink r:id="rId1446" ref="J328"/>
    <hyperlink r:id="rId1447" ref="L328"/>
    <hyperlink r:id="rId1448" ref="N328"/>
    <hyperlink r:id="rId1449" ref="P328"/>
    <hyperlink r:id="rId1450" ref="C329"/>
    <hyperlink r:id="rId1451" ref="J329"/>
    <hyperlink r:id="rId1452" ref="L329"/>
    <hyperlink r:id="rId1453" ref="N329"/>
    <hyperlink r:id="rId1454" ref="P329"/>
    <hyperlink r:id="rId1455" ref="C330"/>
    <hyperlink r:id="rId1456" ref="J330"/>
    <hyperlink r:id="rId1457" ref="L330"/>
    <hyperlink r:id="rId1458" ref="N330"/>
    <hyperlink r:id="rId1459" ref="P330"/>
    <hyperlink r:id="rId1460" ref="C331"/>
    <hyperlink r:id="rId1461" ref="J331"/>
    <hyperlink r:id="rId1462" ref="L331"/>
    <hyperlink r:id="rId1463" ref="N331"/>
    <hyperlink r:id="rId1464" ref="P331"/>
    <hyperlink r:id="rId1465" ref="C332"/>
    <hyperlink r:id="rId1466" ref="J332"/>
    <hyperlink r:id="rId1467" ref="L332"/>
    <hyperlink r:id="rId1468" ref="N332"/>
    <hyperlink r:id="rId1469" ref="P332"/>
    <hyperlink r:id="rId1470" ref="C333"/>
    <hyperlink r:id="rId1471" ref="J333"/>
    <hyperlink r:id="rId1472" ref="L333"/>
    <hyperlink r:id="rId1473" ref="N333"/>
    <hyperlink r:id="rId1474" ref="P333"/>
    <hyperlink r:id="rId1475" ref="C334"/>
    <hyperlink r:id="rId1476" ref="J334"/>
    <hyperlink r:id="rId1477" ref="L334"/>
    <hyperlink r:id="rId1478" ref="N334"/>
    <hyperlink r:id="rId1479" ref="P334"/>
    <hyperlink r:id="rId1480" ref="C335"/>
    <hyperlink r:id="rId1481" ref="J335"/>
    <hyperlink r:id="rId1482" ref="L335"/>
    <hyperlink r:id="rId1483" ref="N335"/>
    <hyperlink r:id="rId1484" ref="P335"/>
    <hyperlink r:id="rId1485" ref="C336"/>
    <hyperlink r:id="rId1486" ref="J336"/>
    <hyperlink r:id="rId1487" ref="L336"/>
    <hyperlink r:id="rId1488" ref="N336"/>
    <hyperlink r:id="rId1489" ref="P336"/>
    <hyperlink r:id="rId1490" ref="C337"/>
    <hyperlink r:id="rId1491" ref="J337"/>
    <hyperlink r:id="rId1492" ref="L337"/>
    <hyperlink r:id="rId1493" ref="N337"/>
    <hyperlink r:id="rId1494" ref="P337"/>
    <hyperlink r:id="rId1495" ref="C338"/>
    <hyperlink r:id="rId1496" ref="J338"/>
    <hyperlink r:id="rId1497" ref="L338"/>
    <hyperlink r:id="rId1498" ref="N338"/>
    <hyperlink r:id="rId1499" ref="P338"/>
    <hyperlink r:id="rId1500" ref="C339"/>
    <hyperlink r:id="rId1501" ref="J339"/>
    <hyperlink r:id="rId1502" ref="L339"/>
    <hyperlink r:id="rId1503" ref="N339"/>
    <hyperlink r:id="rId1504" ref="P339"/>
    <hyperlink r:id="rId1505" ref="C340"/>
    <hyperlink r:id="rId1506" ref="J340"/>
    <hyperlink r:id="rId1507" ref="L340"/>
    <hyperlink r:id="rId1508" ref="N340"/>
    <hyperlink r:id="rId1509" ref="P340"/>
    <hyperlink r:id="rId1510" ref="C341"/>
    <hyperlink r:id="rId1511" ref="J341"/>
    <hyperlink r:id="rId1512" ref="L341"/>
    <hyperlink r:id="rId1513" ref="N341"/>
    <hyperlink r:id="rId1514" ref="P341"/>
    <hyperlink r:id="rId1515" ref="C342"/>
    <hyperlink r:id="rId1516" ref="J342"/>
    <hyperlink r:id="rId1517" ref="L342"/>
    <hyperlink r:id="rId1518" ref="N342"/>
    <hyperlink r:id="rId1519" ref="P342"/>
    <hyperlink r:id="rId1520" ref="C343"/>
    <hyperlink r:id="rId1521" ref="J343"/>
    <hyperlink r:id="rId1522" ref="L343"/>
    <hyperlink r:id="rId1523" ref="N343"/>
    <hyperlink r:id="rId1524" ref="P343"/>
    <hyperlink r:id="rId1525" ref="C344"/>
    <hyperlink r:id="rId1526" ref="J344"/>
    <hyperlink r:id="rId1527" ref="L344"/>
    <hyperlink r:id="rId1528" ref="N344"/>
    <hyperlink r:id="rId1529" ref="P344"/>
    <hyperlink r:id="rId1530" ref="C345"/>
    <hyperlink r:id="rId1531" ref="J345"/>
    <hyperlink r:id="rId1532" ref="L345"/>
    <hyperlink r:id="rId1533" ref="N345"/>
    <hyperlink r:id="rId1534" ref="P345"/>
    <hyperlink r:id="rId1535" ref="C346"/>
    <hyperlink r:id="rId1536" ref="J346"/>
    <hyperlink r:id="rId1537" ref="L346"/>
    <hyperlink r:id="rId1538" ref="N346"/>
    <hyperlink r:id="rId1539" ref="P346"/>
    <hyperlink r:id="rId1540" ref="C347"/>
    <hyperlink r:id="rId1541" ref="J347"/>
    <hyperlink r:id="rId1542" ref="L347"/>
    <hyperlink r:id="rId1543" ref="N347"/>
    <hyperlink r:id="rId1544" ref="P347"/>
    <hyperlink r:id="rId1545" ref="C348"/>
    <hyperlink r:id="rId1546" ref="J348"/>
    <hyperlink r:id="rId1547" ref="L348"/>
    <hyperlink r:id="rId1548" ref="N348"/>
    <hyperlink r:id="rId1549" ref="P348"/>
    <hyperlink r:id="rId1550" ref="C349"/>
    <hyperlink r:id="rId1551" ref="J349"/>
    <hyperlink r:id="rId1552" ref="L349"/>
    <hyperlink r:id="rId1553" ref="C350"/>
    <hyperlink r:id="rId1554" ref="J350"/>
    <hyperlink r:id="rId1555" ref="L350"/>
    <hyperlink r:id="rId1556" ref="N350"/>
    <hyperlink r:id="rId1557" ref="P350"/>
    <hyperlink r:id="rId1558" ref="C351"/>
    <hyperlink r:id="rId1559" ref="J351"/>
    <hyperlink r:id="rId1560" ref="L351"/>
    <hyperlink r:id="rId1561" ref="N351"/>
    <hyperlink r:id="rId1562" ref="P351"/>
    <hyperlink r:id="rId1563" ref="C352"/>
    <hyperlink r:id="rId1564" ref="J352"/>
    <hyperlink r:id="rId1565" ref="L352"/>
    <hyperlink r:id="rId1566" ref="N352"/>
    <hyperlink r:id="rId1567" ref="P352"/>
    <hyperlink r:id="rId1568" ref="C353"/>
    <hyperlink r:id="rId1569" ref="J353"/>
    <hyperlink r:id="rId1570" ref="L353"/>
    <hyperlink r:id="rId1571" ref="N353"/>
    <hyperlink r:id="rId1572" ref="C354"/>
    <hyperlink r:id="rId1573" ref="C355"/>
    <hyperlink r:id="rId1574" ref="J355"/>
    <hyperlink r:id="rId1575" ref="L355"/>
    <hyperlink r:id="rId1576" ref="N355"/>
    <hyperlink r:id="rId1577" ref="P355"/>
    <hyperlink r:id="rId1578" ref="C356"/>
    <hyperlink r:id="rId1579" ref="P356"/>
    <hyperlink r:id="rId1580" ref="C357"/>
    <hyperlink r:id="rId1581" ref="J357"/>
    <hyperlink r:id="rId1582" ref="L357"/>
    <hyperlink r:id="rId1583" ref="N357"/>
    <hyperlink r:id="rId1584" ref="C358"/>
    <hyperlink r:id="rId1585" ref="J358"/>
    <hyperlink r:id="rId1586" ref="L358"/>
    <hyperlink r:id="rId1587" ref="N358"/>
    <hyperlink r:id="rId1588" ref="P358"/>
    <hyperlink r:id="rId1589" ref="C359"/>
    <hyperlink r:id="rId1590" ref="J359"/>
    <hyperlink r:id="rId1591" ref="L359"/>
    <hyperlink r:id="rId1592" ref="N359"/>
    <hyperlink r:id="rId1593" ref="P359"/>
    <hyperlink r:id="rId1594" ref="C360"/>
    <hyperlink r:id="rId1595" ref="J360"/>
    <hyperlink r:id="rId1596" ref="L360"/>
    <hyperlink r:id="rId1597" ref="N360"/>
    <hyperlink r:id="rId1598" ref="P360"/>
    <hyperlink r:id="rId1599" ref="C361"/>
    <hyperlink r:id="rId1600" ref="L361"/>
    <hyperlink r:id="rId1601" ref="C362"/>
    <hyperlink r:id="rId1602" ref="L362"/>
    <hyperlink r:id="rId1603" ref="N362"/>
    <hyperlink r:id="rId1604" ref="P362"/>
    <hyperlink r:id="rId1605" ref="C363"/>
    <hyperlink r:id="rId1606" ref="J363"/>
    <hyperlink r:id="rId1607" ref="L363"/>
    <hyperlink r:id="rId1608" ref="N363"/>
    <hyperlink r:id="rId1609" ref="P363"/>
    <hyperlink r:id="rId1610" ref="C364"/>
    <hyperlink r:id="rId1611" ref="J364"/>
    <hyperlink r:id="rId1612" ref="L364"/>
    <hyperlink r:id="rId1613" ref="N364"/>
    <hyperlink r:id="rId1614" ref="P364"/>
    <hyperlink r:id="rId1615" ref="C365"/>
    <hyperlink r:id="rId1616" ref="J365"/>
    <hyperlink r:id="rId1617" ref="C366"/>
    <hyperlink r:id="rId1618" ref="J366"/>
    <hyperlink r:id="rId1619" ref="L366"/>
    <hyperlink r:id="rId1620" ref="C367"/>
    <hyperlink r:id="rId1621" ref="J367"/>
    <hyperlink r:id="rId1622" ref="L367"/>
    <hyperlink r:id="rId1623" ref="C368"/>
    <hyperlink r:id="rId1624" ref="J368"/>
    <hyperlink r:id="rId1625" ref="C369"/>
    <hyperlink r:id="rId1626" ref="J369"/>
    <hyperlink r:id="rId1627" ref="C370"/>
    <hyperlink r:id="rId1628" ref="J370"/>
    <hyperlink r:id="rId1629" ref="L370"/>
    <hyperlink r:id="rId1630" ref="N370"/>
    <hyperlink r:id="rId1631" ref="P370"/>
    <hyperlink r:id="rId1632" ref="C371"/>
    <hyperlink r:id="rId1633" ref="J371"/>
    <hyperlink r:id="rId1634" ref="L371"/>
    <hyperlink r:id="rId1635" ref="N371"/>
    <hyperlink r:id="rId1636" ref="P371"/>
    <hyperlink r:id="rId1637" ref="C372"/>
    <hyperlink r:id="rId1638" ref="J372"/>
    <hyperlink r:id="rId1639" ref="L372"/>
    <hyperlink r:id="rId1640" ref="N372"/>
    <hyperlink r:id="rId1641" ref="P372"/>
    <hyperlink r:id="rId1642" ref="C373"/>
    <hyperlink r:id="rId1643" ref="J373"/>
    <hyperlink r:id="rId1644" ref="L373"/>
    <hyperlink r:id="rId1645" ref="N373"/>
    <hyperlink r:id="rId1646" ref="P373"/>
    <hyperlink r:id="rId1647" ref="C374"/>
    <hyperlink r:id="rId1648" ref="J374"/>
    <hyperlink r:id="rId1649" ref="L374"/>
    <hyperlink r:id="rId1650" ref="N374"/>
    <hyperlink r:id="rId1651" ref="P374"/>
    <hyperlink r:id="rId1652" ref="B375"/>
    <hyperlink r:id="rId1653" ref="C375"/>
    <hyperlink r:id="rId1654" ref="J375"/>
    <hyperlink r:id="rId1655" ref="L375"/>
    <hyperlink r:id="rId1656" ref="N375"/>
    <hyperlink r:id="rId1657" ref="P375"/>
    <hyperlink r:id="rId1658" ref="C376"/>
    <hyperlink r:id="rId1659" ref="J376"/>
    <hyperlink r:id="rId1660" ref="L376"/>
    <hyperlink r:id="rId1661" ref="C377"/>
    <hyperlink r:id="rId1662" ref="J377"/>
    <hyperlink r:id="rId1663" ref="L377"/>
    <hyperlink r:id="rId1664" ref="N377"/>
    <hyperlink r:id="rId1665" ref="P377"/>
    <hyperlink r:id="rId1666" ref="C378"/>
    <hyperlink r:id="rId1667" ref="J378"/>
    <hyperlink r:id="rId1668" ref="L378"/>
    <hyperlink r:id="rId1669" ref="N378"/>
    <hyperlink r:id="rId1670" ref="P378"/>
    <hyperlink r:id="rId1671" ref="C379"/>
    <hyperlink r:id="rId1672" ref="J379"/>
    <hyperlink r:id="rId1673" ref="L379"/>
    <hyperlink r:id="rId1674" ref="N379"/>
    <hyperlink r:id="rId1675" ref="P379"/>
    <hyperlink r:id="rId1676" ref="C380"/>
    <hyperlink r:id="rId1677" ref="J380"/>
    <hyperlink r:id="rId1678" ref="L380"/>
    <hyperlink r:id="rId1679" ref="N380"/>
    <hyperlink r:id="rId1680" ref="P380"/>
    <hyperlink r:id="rId1681" ref="C381"/>
    <hyperlink r:id="rId1682" ref="J381"/>
    <hyperlink r:id="rId1683" ref="L381"/>
    <hyperlink r:id="rId1684" ref="N381"/>
    <hyperlink r:id="rId1685" ref="P381"/>
    <hyperlink r:id="rId1686" ref="C382"/>
    <hyperlink r:id="rId1687" ref="J382"/>
    <hyperlink r:id="rId1688" ref="L382"/>
    <hyperlink r:id="rId1689" ref="N382"/>
    <hyperlink r:id="rId1690" ref="P382"/>
    <hyperlink r:id="rId1691" ref="C383"/>
    <hyperlink r:id="rId1692" ref="J383"/>
    <hyperlink r:id="rId1693" ref="L383"/>
    <hyperlink r:id="rId1694" ref="N383"/>
    <hyperlink r:id="rId1695" ref="P383"/>
    <hyperlink r:id="rId1696" ref="C384"/>
    <hyperlink r:id="rId1697" ref="J384"/>
    <hyperlink r:id="rId1698" ref="L384"/>
    <hyperlink r:id="rId1699" ref="N384"/>
    <hyperlink r:id="rId1700" ref="P384"/>
    <hyperlink r:id="rId1701" ref="C385"/>
    <hyperlink r:id="rId1702" ref="J385"/>
    <hyperlink r:id="rId1703" ref="L385"/>
    <hyperlink r:id="rId1704" ref="N385"/>
    <hyperlink r:id="rId1705" ref="P385"/>
    <hyperlink r:id="rId1706" ref="C386"/>
    <hyperlink r:id="rId1707" ref="J386"/>
    <hyperlink r:id="rId1708" ref="L386"/>
    <hyperlink r:id="rId1709" ref="N386"/>
    <hyperlink r:id="rId1710" ref="P386"/>
    <hyperlink r:id="rId1711" ref="C387"/>
    <hyperlink r:id="rId1712" ref="J387"/>
    <hyperlink r:id="rId1713" ref="L387"/>
    <hyperlink r:id="rId1714" ref="N387"/>
    <hyperlink r:id="rId1715" ref="P387"/>
    <hyperlink r:id="rId1716" ref="C388"/>
    <hyperlink r:id="rId1717" ref="J388"/>
    <hyperlink r:id="rId1718" ref="L388"/>
    <hyperlink r:id="rId1719" ref="N388"/>
    <hyperlink r:id="rId1720" ref="P388"/>
    <hyperlink r:id="rId1721" ref="C389"/>
    <hyperlink r:id="rId1722" ref="J389"/>
    <hyperlink r:id="rId1723" ref="L389"/>
    <hyperlink r:id="rId1724" ref="N389"/>
    <hyperlink r:id="rId1725" ref="P389"/>
    <hyperlink r:id="rId1726" ref="C390"/>
    <hyperlink r:id="rId1727" ref="L390"/>
    <hyperlink r:id="rId1728" ref="N390"/>
    <hyperlink r:id="rId1729" ref="C391"/>
    <hyperlink r:id="rId1730" ref="J391"/>
    <hyperlink r:id="rId1731" ref="L391"/>
    <hyperlink r:id="rId1732" ref="N391"/>
    <hyperlink r:id="rId1733" ref="P391"/>
    <hyperlink r:id="rId1734" ref="C392"/>
    <hyperlink r:id="rId1735" ref="J392"/>
    <hyperlink r:id="rId1736" ref="L392"/>
    <hyperlink r:id="rId1737" ref="N392"/>
    <hyperlink r:id="rId1738" ref="P392"/>
    <hyperlink r:id="rId1739" ref="C393"/>
    <hyperlink r:id="rId1740" ref="J393"/>
    <hyperlink r:id="rId1741" ref="L393"/>
    <hyperlink r:id="rId1742" ref="N393"/>
    <hyperlink r:id="rId1743" ref="P393"/>
    <hyperlink r:id="rId1744" ref="C394"/>
    <hyperlink r:id="rId1745" ref="J394"/>
    <hyperlink r:id="rId1746" ref="L394"/>
    <hyperlink r:id="rId1747" ref="N394"/>
    <hyperlink r:id="rId1748" ref="P394"/>
    <hyperlink r:id="rId1749" ref="B395"/>
    <hyperlink r:id="rId1750" ref="C395"/>
    <hyperlink r:id="rId1751" ref="J395"/>
    <hyperlink r:id="rId1752" ref="L395"/>
    <hyperlink r:id="rId1753" ref="N395"/>
    <hyperlink r:id="rId1754" ref="P395"/>
    <hyperlink r:id="rId1755" ref="C396"/>
    <hyperlink r:id="rId1756" ref="P396"/>
    <hyperlink r:id="rId1757" ref="C397"/>
    <hyperlink r:id="rId1758" ref="J397"/>
    <hyperlink r:id="rId1759" ref="L397"/>
    <hyperlink r:id="rId1760" ref="N397"/>
    <hyperlink r:id="rId1761" ref="P397"/>
    <hyperlink r:id="rId1762" ref="C398"/>
    <hyperlink r:id="rId1763" ref="J398"/>
    <hyperlink r:id="rId1764" ref="L398"/>
    <hyperlink r:id="rId1765" ref="N398"/>
    <hyperlink r:id="rId1766" ref="P398"/>
    <hyperlink r:id="rId1767" ref="C399"/>
    <hyperlink r:id="rId1768" ref="J399"/>
    <hyperlink r:id="rId1769" ref="L399"/>
    <hyperlink r:id="rId1770" ref="N399"/>
    <hyperlink r:id="rId1771" ref="P399"/>
    <hyperlink r:id="rId1772" ref="C400"/>
    <hyperlink r:id="rId1773" ref="J400"/>
    <hyperlink r:id="rId1774" ref="L400"/>
    <hyperlink r:id="rId1775" ref="N400"/>
    <hyperlink r:id="rId1776" ref="P400"/>
    <hyperlink r:id="rId1777" ref="C401"/>
    <hyperlink r:id="rId1778" ref="J401"/>
    <hyperlink r:id="rId1779" ref="L401"/>
    <hyperlink r:id="rId1780" ref="N401"/>
    <hyperlink r:id="rId1781" ref="P401"/>
    <hyperlink r:id="rId1782" ref="C402"/>
    <hyperlink r:id="rId1783" ref="J402"/>
    <hyperlink r:id="rId1784" ref="L402"/>
    <hyperlink r:id="rId1785" ref="N402"/>
    <hyperlink r:id="rId1786" ref="P402"/>
    <hyperlink r:id="rId1787" ref="C403"/>
    <hyperlink r:id="rId1788" ref="J403"/>
    <hyperlink r:id="rId1789" ref="C404"/>
    <hyperlink r:id="rId1790" ref="J404"/>
    <hyperlink r:id="rId1791" ref="L404"/>
    <hyperlink r:id="rId1792" ref="C405"/>
    <hyperlink r:id="rId1793" ref="J405"/>
    <hyperlink r:id="rId1794" ref="L405"/>
    <hyperlink r:id="rId1795" ref="N405"/>
    <hyperlink r:id="rId1796" ref="P405"/>
    <hyperlink r:id="rId1797" ref="C406"/>
    <hyperlink r:id="rId1798" ref="J406"/>
    <hyperlink r:id="rId1799" ref="L406"/>
    <hyperlink r:id="rId1800" ref="N406"/>
    <hyperlink r:id="rId1801" ref="P406"/>
    <hyperlink r:id="rId1802" ref="C407"/>
    <hyperlink r:id="rId1803" ref="J407"/>
    <hyperlink r:id="rId1804" ref="L407"/>
    <hyperlink r:id="rId1805" ref="N407"/>
    <hyperlink r:id="rId1806" ref="P407"/>
    <hyperlink r:id="rId1807" ref="C408"/>
    <hyperlink r:id="rId1808" ref="J408"/>
    <hyperlink r:id="rId1809" ref="L408"/>
    <hyperlink r:id="rId1810" ref="N408"/>
    <hyperlink r:id="rId1811" ref="P408"/>
    <hyperlink r:id="rId1812" ref="C409"/>
    <hyperlink r:id="rId1813" ref="J409"/>
    <hyperlink r:id="rId1814" ref="L409"/>
    <hyperlink r:id="rId1815" ref="C410"/>
    <hyperlink r:id="rId1816" ref="J410"/>
    <hyperlink r:id="rId1817" ref="L410"/>
    <hyperlink r:id="rId1818" ref="N410"/>
    <hyperlink r:id="rId1819" ref="C411"/>
    <hyperlink r:id="rId1820" ref="J411"/>
    <hyperlink r:id="rId1821" ref="L411"/>
    <hyperlink r:id="rId1822" ref="N411"/>
    <hyperlink r:id="rId1823" ref="P411"/>
    <hyperlink r:id="rId1824" ref="C412"/>
    <hyperlink r:id="rId1825" ref="J412"/>
    <hyperlink r:id="rId1826" ref="L412"/>
    <hyperlink r:id="rId1827" ref="N412"/>
    <hyperlink r:id="rId1828" ref="P412"/>
    <hyperlink r:id="rId1829" ref="C413"/>
    <hyperlink r:id="rId1830" ref="J413"/>
    <hyperlink r:id="rId1831" ref="L413"/>
    <hyperlink r:id="rId1832" ref="N413"/>
    <hyperlink r:id="rId1833" ref="P413"/>
    <hyperlink r:id="rId1834" ref="C414"/>
    <hyperlink r:id="rId1835" ref="J414"/>
    <hyperlink r:id="rId1836" ref="L414"/>
    <hyperlink r:id="rId1837" ref="N414"/>
    <hyperlink r:id="rId1838" ref="P414"/>
    <hyperlink r:id="rId1839" ref="C415"/>
    <hyperlink r:id="rId1840" ref="J415"/>
    <hyperlink r:id="rId1841" ref="L415"/>
    <hyperlink r:id="rId1842" ref="N415"/>
    <hyperlink r:id="rId1843" ref="P415"/>
    <hyperlink r:id="rId1844" ref="C416"/>
    <hyperlink r:id="rId1845" ref="J416"/>
    <hyperlink r:id="rId1846" ref="L416"/>
    <hyperlink r:id="rId1847" ref="N416"/>
    <hyperlink r:id="rId1848" ref="P416"/>
    <hyperlink r:id="rId1849" ref="C417"/>
    <hyperlink r:id="rId1850" ref="J417"/>
    <hyperlink r:id="rId1851" ref="N417"/>
    <hyperlink r:id="rId1852" ref="C418"/>
    <hyperlink r:id="rId1853" ref="J418"/>
    <hyperlink r:id="rId1854" ref="L418"/>
    <hyperlink r:id="rId1855" ref="N418"/>
    <hyperlink r:id="rId1856" ref="P418"/>
    <hyperlink r:id="rId1857" ref="C419"/>
    <hyperlink r:id="rId1858" ref="J419"/>
    <hyperlink r:id="rId1859" ref="L419"/>
    <hyperlink r:id="rId1860" ref="C420"/>
    <hyperlink r:id="rId1861" ref="J420"/>
    <hyperlink r:id="rId1862" ref="L420"/>
    <hyperlink r:id="rId1863" ref="N420"/>
    <hyperlink r:id="rId1864" ref="P420"/>
    <hyperlink r:id="rId1865" ref="C421"/>
    <hyperlink r:id="rId1866" ref="J421"/>
    <hyperlink r:id="rId1867" ref="L421"/>
    <hyperlink r:id="rId1868" ref="N421"/>
    <hyperlink r:id="rId1869" ref="P421"/>
    <hyperlink r:id="rId1870" ref="C422"/>
    <hyperlink r:id="rId1871" ref="J422"/>
    <hyperlink r:id="rId1872" ref="L422"/>
    <hyperlink r:id="rId1873" ref="N422"/>
    <hyperlink r:id="rId1874" ref="P422"/>
    <hyperlink r:id="rId1875" ref="C423"/>
    <hyperlink r:id="rId1876" ref="J423"/>
    <hyperlink r:id="rId1877" ref="L423"/>
    <hyperlink r:id="rId1878" ref="N423"/>
    <hyperlink r:id="rId1879" ref="P423"/>
    <hyperlink r:id="rId1880" ref="C424"/>
    <hyperlink r:id="rId1881" ref="J424"/>
    <hyperlink r:id="rId1882" ref="L424"/>
    <hyperlink r:id="rId1883" ref="N424"/>
    <hyperlink r:id="rId1884" ref="P424"/>
    <hyperlink r:id="rId1885" ref="C425"/>
    <hyperlink r:id="rId1886" ref="J425"/>
    <hyperlink r:id="rId1887" ref="L425"/>
    <hyperlink r:id="rId1888" ref="N425"/>
    <hyperlink r:id="rId1889" ref="P425"/>
    <hyperlink r:id="rId1890" ref="C426"/>
    <hyperlink r:id="rId1891" ref="J426"/>
    <hyperlink r:id="rId1892" ref="L426"/>
    <hyperlink r:id="rId1893" ref="N426"/>
    <hyperlink r:id="rId1894" ref="P426"/>
    <hyperlink r:id="rId1895" ref="C427"/>
    <hyperlink r:id="rId1896" ref="J427"/>
    <hyperlink r:id="rId1897" ref="L427"/>
    <hyperlink r:id="rId1898" ref="N427"/>
    <hyperlink r:id="rId1899" ref="P427"/>
    <hyperlink r:id="rId1900" ref="C428"/>
    <hyperlink r:id="rId1901" ref="J428"/>
    <hyperlink r:id="rId1902" ref="L428"/>
    <hyperlink r:id="rId1903" ref="N428"/>
    <hyperlink r:id="rId1904" ref="P428"/>
    <hyperlink r:id="rId1905" ref="C429"/>
    <hyperlink r:id="rId1906" ref="J429"/>
    <hyperlink r:id="rId1907" ref="L429"/>
    <hyperlink r:id="rId1908" ref="N429"/>
    <hyperlink r:id="rId1909" ref="P429"/>
    <hyperlink r:id="rId1910" ref="C430"/>
    <hyperlink r:id="rId1911" ref="C431"/>
    <hyperlink r:id="rId1912" ref="J431"/>
    <hyperlink r:id="rId1913" ref="L431"/>
    <hyperlink r:id="rId1914" ref="N431"/>
    <hyperlink r:id="rId1915" ref="P431"/>
    <hyperlink r:id="rId1916" ref="C432"/>
    <hyperlink r:id="rId1917" ref="J432"/>
    <hyperlink r:id="rId1918" ref="L432"/>
    <hyperlink r:id="rId1919" ref="N432"/>
    <hyperlink r:id="rId1920" ref="P432"/>
    <hyperlink r:id="rId1921" ref="C433"/>
    <hyperlink r:id="rId1922" ref="J433"/>
    <hyperlink r:id="rId1923" ref="L433"/>
    <hyperlink r:id="rId1924" ref="N433"/>
    <hyperlink r:id="rId1925" ref="P433"/>
    <hyperlink r:id="rId1926" ref="C434"/>
    <hyperlink r:id="rId1927" ref="J434"/>
    <hyperlink r:id="rId1928" ref="L434"/>
    <hyperlink r:id="rId1929" ref="N434"/>
    <hyperlink r:id="rId1930" ref="P434"/>
    <hyperlink r:id="rId1931" ref="C435"/>
    <hyperlink r:id="rId1932" ref="J435"/>
    <hyperlink r:id="rId1933" ref="L435"/>
    <hyperlink r:id="rId1934" ref="N435"/>
    <hyperlink r:id="rId1935" ref="P435"/>
    <hyperlink r:id="rId1936" ref="C436"/>
    <hyperlink r:id="rId1937" ref="J436"/>
    <hyperlink r:id="rId1938" ref="L436"/>
    <hyperlink r:id="rId1939" ref="C437"/>
    <hyperlink r:id="rId1940" ref="J437"/>
    <hyperlink r:id="rId1941" ref="L437"/>
    <hyperlink r:id="rId1942" ref="N437"/>
    <hyperlink r:id="rId1943" ref="P437"/>
    <hyperlink r:id="rId1944" ref="C438"/>
    <hyperlink r:id="rId1945" ref="J438"/>
    <hyperlink r:id="rId1946" ref="L438"/>
    <hyperlink r:id="rId1947" ref="N438"/>
    <hyperlink r:id="rId1948" ref="P438"/>
    <hyperlink r:id="rId1949" ref="C439"/>
    <hyperlink r:id="rId1950" ref="J439"/>
    <hyperlink r:id="rId1951" ref="L439"/>
    <hyperlink r:id="rId1952" ref="N439"/>
    <hyperlink r:id="rId1953" ref="P439"/>
    <hyperlink r:id="rId1954" ref="C440"/>
    <hyperlink r:id="rId1955" ref="J440"/>
    <hyperlink r:id="rId1956" ref="L440"/>
    <hyperlink r:id="rId1957" ref="N440"/>
    <hyperlink r:id="rId1958" ref="P440"/>
    <hyperlink r:id="rId1959" ref="C441"/>
    <hyperlink r:id="rId1960" ref="J441"/>
    <hyperlink r:id="rId1961" ref="L441"/>
    <hyperlink r:id="rId1962" ref="N441"/>
    <hyperlink r:id="rId1963" ref="P441"/>
    <hyperlink r:id="rId1964" ref="C442"/>
    <hyperlink r:id="rId1965" ref="J442"/>
    <hyperlink r:id="rId1966" ref="L442"/>
    <hyperlink r:id="rId1967" ref="N442"/>
    <hyperlink r:id="rId1968" ref="P442"/>
    <hyperlink r:id="rId1969" ref="C443"/>
    <hyperlink r:id="rId1970" ref="J443"/>
    <hyperlink r:id="rId1971" ref="L443"/>
    <hyperlink r:id="rId1972" ref="N443"/>
    <hyperlink r:id="rId1973" ref="P443"/>
    <hyperlink r:id="rId1974" ref="C444"/>
    <hyperlink r:id="rId1975" ref="J444"/>
    <hyperlink r:id="rId1976" ref="L444"/>
    <hyperlink r:id="rId1977" ref="N444"/>
    <hyperlink r:id="rId1978" ref="P444"/>
    <hyperlink r:id="rId1979" ref="C445"/>
    <hyperlink r:id="rId1980" ref="J445"/>
    <hyperlink r:id="rId1981" ref="L445"/>
    <hyperlink r:id="rId1982" ref="N445"/>
    <hyperlink r:id="rId1983" ref="P445"/>
    <hyperlink r:id="rId1984" ref="C446"/>
    <hyperlink r:id="rId1985" ref="J446"/>
    <hyperlink r:id="rId1986" ref="L446"/>
    <hyperlink r:id="rId1987" ref="N446"/>
    <hyperlink r:id="rId1988" ref="P446"/>
    <hyperlink r:id="rId1989" ref="C447"/>
    <hyperlink r:id="rId1990" ref="J447"/>
    <hyperlink r:id="rId1991" ref="L447"/>
    <hyperlink r:id="rId1992" ref="N447"/>
    <hyperlink r:id="rId1993" ref="P447"/>
    <hyperlink r:id="rId1994" ref="C448"/>
    <hyperlink r:id="rId1995" ref="J448"/>
    <hyperlink r:id="rId1996" ref="B449"/>
    <hyperlink r:id="rId1997" ref="C449"/>
    <hyperlink r:id="rId1998" ref="J449"/>
    <hyperlink r:id="rId1999" ref="L449"/>
    <hyperlink r:id="rId2000" ref="N449"/>
    <hyperlink r:id="rId2001" ref="P449"/>
    <hyperlink r:id="rId2002" ref="C450"/>
    <hyperlink r:id="rId2003" ref="J450"/>
    <hyperlink r:id="rId2004" ref="L450"/>
    <hyperlink r:id="rId2005" ref="C451"/>
    <hyperlink r:id="rId2006" ref="J451"/>
    <hyperlink r:id="rId2007" ref="L451"/>
    <hyperlink r:id="rId2008" ref="N451"/>
    <hyperlink r:id="rId2009" ref="P451"/>
    <hyperlink r:id="rId2010" ref="C452"/>
    <hyperlink r:id="rId2011" ref="J452"/>
    <hyperlink r:id="rId2012" ref="L452"/>
    <hyperlink r:id="rId2013" ref="N452"/>
    <hyperlink r:id="rId2014" ref="P452"/>
    <hyperlink r:id="rId2015" ref="C453"/>
    <hyperlink r:id="rId2016" ref="J453"/>
    <hyperlink r:id="rId2017" ref="L453"/>
    <hyperlink r:id="rId2018" ref="N453"/>
    <hyperlink r:id="rId2019" ref="P453"/>
    <hyperlink r:id="rId2020" ref="C454"/>
    <hyperlink r:id="rId2021" ref="J454"/>
    <hyperlink r:id="rId2022" ref="L454"/>
    <hyperlink r:id="rId2023" ref="N454"/>
    <hyperlink r:id="rId2024" ref="P454"/>
    <hyperlink r:id="rId2025" ref="C455"/>
    <hyperlink r:id="rId2026" ref="J455"/>
    <hyperlink r:id="rId2027" ref="L455"/>
    <hyperlink r:id="rId2028" ref="C456"/>
    <hyperlink r:id="rId2029" ref="J456"/>
    <hyperlink r:id="rId2030" ref="L456"/>
    <hyperlink r:id="rId2031" ref="N456"/>
    <hyperlink r:id="rId2032" ref="C457"/>
    <hyperlink r:id="rId2033" ref="J457"/>
    <hyperlink r:id="rId2034" ref="L457"/>
    <hyperlink r:id="rId2035" ref="N457"/>
    <hyperlink r:id="rId2036" ref="P457"/>
    <hyperlink r:id="rId2037" ref="C458"/>
    <hyperlink r:id="rId2038" ref="J458"/>
    <hyperlink r:id="rId2039" ref="L458"/>
    <hyperlink r:id="rId2040" ref="N458"/>
    <hyperlink r:id="rId2041" ref="P458"/>
    <hyperlink r:id="rId2042" ref="C459"/>
    <hyperlink r:id="rId2043" ref="J459"/>
    <hyperlink r:id="rId2044" ref="L459"/>
    <hyperlink r:id="rId2045" ref="C460"/>
    <hyperlink r:id="rId2046" ref="J460"/>
    <hyperlink r:id="rId2047" ref="L460"/>
    <hyperlink r:id="rId2048" ref="P460"/>
    <hyperlink r:id="rId2049" ref="C461"/>
    <hyperlink r:id="rId2050" ref="J461"/>
    <hyperlink r:id="rId2051" ref="L461"/>
    <hyperlink r:id="rId2052" ref="N461"/>
    <hyperlink r:id="rId2053" ref="P461"/>
    <hyperlink r:id="rId2054" ref="C462"/>
    <hyperlink r:id="rId2055" ref="J462"/>
    <hyperlink r:id="rId2056" ref="L462"/>
    <hyperlink r:id="rId2057" ref="N462"/>
    <hyperlink r:id="rId2058" ref="C463"/>
    <hyperlink r:id="rId2059" ref="J463"/>
    <hyperlink r:id="rId2060" ref="L463"/>
    <hyperlink r:id="rId2061" ref="N463"/>
    <hyperlink r:id="rId2062" ref="P463"/>
    <hyperlink r:id="rId2063" ref="C464"/>
    <hyperlink r:id="rId2064" ref="J464"/>
    <hyperlink r:id="rId2065" ref="L464"/>
    <hyperlink r:id="rId2066" ref="N464"/>
    <hyperlink r:id="rId2067" ref="P464"/>
    <hyperlink r:id="rId2068" ref="C465"/>
    <hyperlink r:id="rId2069" ref="J465"/>
    <hyperlink r:id="rId2070" ref="L465"/>
    <hyperlink r:id="rId2071" ref="N465"/>
    <hyperlink r:id="rId2072" ref="P465"/>
    <hyperlink r:id="rId2073" ref="C466"/>
    <hyperlink r:id="rId2074" ref="J466"/>
    <hyperlink r:id="rId2075" ref="L466"/>
    <hyperlink r:id="rId2076" ref="N466"/>
    <hyperlink r:id="rId2077" ref="P466"/>
    <hyperlink r:id="rId2078" ref="C467"/>
    <hyperlink r:id="rId2079" ref="J467"/>
    <hyperlink r:id="rId2080" ref="L467"/>
    <hyperlink r:id="rId2081" ref="C468"/>
    <hyperlink r:id="rId2082" ref="J468"/>
    <hyperlink r:id="rId2083" ref="L468"/>
    <hyperlink r:id="rId2084" ref="N468"/>
    <hyperlink r:id="rId2085" ref="P468"/>
    <hyperlink r:id="rId2086" ref="C469"/>
    <hyperlink r:id="rId2087" ref="J469"/>
    <hyperlink r:id="rId2088" ref="L469"/>
    <hyperlink r:id="rId2089" ref="N469"/>
    <hyperlink r:id="rId2090" ref="P469"/>
    <hyperlink r:id="rId2091" ref="C470"/>
    <hyperlink r:id="rId2092" ref="J470"/>
    <hyperlink r:id="rId2093" ref="L470"/>
    <hyperlink r:id="rId2094" ref="N470"/>
    <hyperlink r:id="rId2095" ref="P470"/>
    <hyperlink r:id="rId2096" ref="C471"/>
    <hyperlink r:id="rId2097" ref="J471"/>
    <hyperlink r:id="rId2098" ref="L471"/>
    <hyperlink r:id="rId2099" ref="C472"/>
    <hyperlink r:id="rId2100" ref="J472"/>
    <hyperlink r:id="rId2101" ref="L472"/>
    <hyperlink r:id="rId2102" ref="N472"/>
    <hyperlink r:id="rId2103" ref="P472"/>
    <hyperlink r:id="rId2104" ref="C473"/>
    <hyperlink r:id="rId2105" ref="J473"/>
    <hyperlink r:id="rId2106" ref="L473"/>
    <hyperlink r:id="rId2107" ref="C474"/>
    <hyperlink r:id="rId2108" ref="J474"/>
    <hyperlink r:id="rId2109" ref="L474"/>
    <hyperlink r:id="rId2110" ref="N474"/>
    <hyperlink r:id="rId2111" ref="C475"/>
    <hyperlink r:id="rId2112" ref="J475"/>
    <hyperlink r:id="rId2113" ref="L475"/>
    <hyperlink r:id="rId2114" ref="N475"/>
    <hyperlink r:id="rId2115" ref="C476"/>
    <hyperlink r:id="rId2116" ref="J476"/>
    <hyperlink r:id="rId2117" ref="L476"/>
    <hyperlink r:id="rId2118" ref="C477"/>
    <hyperlink r:id="rId2119" ref="J477"/>
    <hyperlink r:id="rId2120" ref="P477"/>
    <hyperlink r:id="rId2121" ref="C478"/>
    <hyperlink r:id="rId2122" ref="J478"/>
    <hyperlink r:id="rId2123" ref="L478"/>
    <hyperlink r:id="rId2124" ref="N478"/>
    <hyperlink r:id="rId2125" ref="P478"/>
    <hyperlink r:id="rId2126" ref="C479"/>
    <hyperlink r:id="rId2127" ref="J479"/>
    <hyperlink r:id="rId2128" ref="L479"/>
    <hyperlink r:id="rId2129" ref="N479"/>
    <hyperlink r:id="rId2130" ref="P479"/>
    <hyperlink r:id="rId2131" ref="C480"/>
    <hyperlink r:id="rId2132" ref="J480"/>
    <hyperlink r:id="rId2133" ref="L480"/>
    <hyperlink r:id="rId2134" ref="C481"/>
    <hyperlink r:id="rId2135" ref="J481"/>
    <hyperlink r:id="rId2136" ref="L481"/>
    <hyperlink r:id="rId2137" ref="N481"/>
    <hyperlink r:id="rId2138" ref="P481"/>
    <hyperlink r:id="rId2139" ref="C482"/>
    <hyperlink r:id="rId2140" ref="J482"/>
    <hyperlink r:id="rId2141" ref="L482"/>
    <hyperlink r:id="rId2142" ref="N482"/>
    <hyperlink r:id="rId2143" ref="P482"/>
    <hyperlink r:id="rId2144" ref="C483"/>
    <hyperlink r:id="rId2145" ref="B484"/>
    <hyperlink r:id="rId2146" ref="C484"/>
    <hyperlink r:id="rId2147" ref="P484"/>
    <hyperlink r:id="rId2148" ref="C485"/>
    <hyperlink r:id="rId2149" ref="J485"/>
    <hyperlink r:id="rId2150" ref="L485"/>
    <hyperlink r:id="rId2151" ref="N485"/>
    <hyperlink r:id="rId2152" ref="P485"/>
    <hyperlink r:id="rId2153" ref="C486"/>
    <hyperlink r:id="rId2154" ref="J486"/>
    <hyperlink r:id="rId2155" ref="L486"/>
    <hyperlink r:id="rId2156" ref="N486"/>
    <hyperlink r:id="rId2157" ref="P486"/>
    <hyperlink r:id="rId2158" ref="C487"/>
    <hyperlink r:id="rId2159" ref="J487"/>
    <hyperlink r:id="rId2160" ref="L487"/>
    <hyperlink r:id="rId2161" ref="C488"/>
    <hyperlink r:id="rId2162" ref="J488"/>
    <hyperlink r:id="rId2163" ref="L488"/>
    <hyperlink r:id="rId2164" ref="N488"/>
    <hyperlink r:id="rId2165" ref="C489"/>
    <hyperlink r:id="rId2166" ref="J489"/>
    <hyperlink r:id="rId2167" ref="L489"/>
    <hyperlink r:id="rId2168" ref="N489"/>
    <hyperlink r:id="rId2169" ref="P489"/>
    <hyperlink r:id="rId2170" ref="C490"/>
    <hyperlink r:id="rId2171" ref="J490"/>
    <hyperlink r:id="rId2172" ref="L490"/>
    <hyperlink r:id="rId2173" ref="N490"/>
    <hyperlink r:id="rId2174" ref="C491"/>
    <hyperlink r:id="rId2175" ref="J491"/>
    <hyperlink r:id="rId2176" ref="L491"/>
    <hyperlink r:id="rId2177" ref="N491"/>
    <hyperlink r:id="rId2178" ref="P491"/>
    <hyperlink r:id="rId2179" ref="C492"/>
    <hyperlink r:id="rId2180" ref="J492"/>
    <hyperlink r:id="rId2181" ref="L492"/>
    <hyperlink r:id="rId2182" ref="C493"/>
    <hyperlink r:id="rId2183" ref="J493"/>
    <hyperlink r:id="rId2184" ref="L493"/>
    <hyperlink r:id="rId2185" ref="N493"/>
    <hyperlink r:id="rId2186" ref="P493"/>
    <hyperlink r:id="rId2187" ref="C494"/>
    <hyperlink r:id="rId2188" ref="J494"/>
    <hyperlink r:id="rId2189" ref="L494"/>
    <hyperlink r:id="rId2190" ref="N494"/>
    <hyperlink r:id="rId2191" ref="P494"/>
    <hyperlink r:id="rId2192" ref="C495"/>
    <hyperlink r:id="rId2193" ref="J495"/>
    <hyperlink r:id="rId2194" ref="L495"/>
    <hyperlink r:id="rId2195" ref="N495"/>
    <hyperlink r:id="rId2196" ref="P495"/>
    <hyperlink r:id="rId2197" ref="C496"/>
    <hyperlink r:id="rId2198" ref="J496"/>
    <hyperlink r:id="rId2199" ref="L496"/>
    <hyperlink r:id="rId2200" ref="N496"/>
    <hyperlink r:id="rId2201" ref="P496"/>
    <hyperlink r:id="rId2202" ref="C497"/>
    <hyperlink r:id="rId2203" ref="J497"/>
    <hyperlink r:id="rId2204" ref="L497"/>
    <hyperlink r:id="rId2205" ref="N497"/>
    <hyperlink r:id="rId2206" ref="P497"/>
    <hyperlink r:id="rId2207" ref="C498"/>
    <hyperlink r:id="rId2208" ref="J498"/>
    <hyperlink r:id="rId2209" ref="L498"/>
    <hyperlink r:id="rId2210" ref="N498"/>
    <hyperlink r:id="rId2211" ref="P498"/>
    <hyperlink r:id="rId2212" ref="C499"/>
    <hyperlink r:id="rId2213" ref="J499"/>
    <hyperlink r:id="rId2214" ref="L499"/>
    <hyperlink r:id="rId2215" ref="N499"/>
    <hyperlink r:id="rId2216" ref="P499"/>
    <hyperlink r:id="rId2217" ref="C500"/>
    <hyperlink r:id="rId2218" ref="P500"/>
    <hyperlink r:id="rId2219" ref="C501"/>
    <hyperlink r:id="rId2220" ref="J501"/>
    <hyperlink r:id="rId2221" ref="L501"/>
    <hyperlink r:id="rId2222" ref="N501"/>
    <hyperlink r:id="rId2223" ref="P501"/>
    <hyperlink r:id="rId2224" ref="C502"/>
    <hyperlink r:id="rId2225" ref="J502"/>
    <hyperlink r:id="rId2226" ref="L502"/>
    <hyperlink r:id="rId2227" ref="N502"/>
    <hyperlink r:id="rId2228" ref="P502"/>
    <hyperlink r:id="rId2229" ref="C503"/>
    <hyperlink r:id="rId2230" ref="J503"/>
    <hyperlink r:id="rId2231" ref="L503"/>
    <hyperlink r:id="rId2232" ref="N503"/>
    <hyperlink r:id="rId2233" ref="P503"/>
    <hyperlink r:id="rId2234" ref="C504"/>
    <hyperlink r:id="rId2235" ref="J504"/>
    <hyperlink r:id="rId2236" ref="L504"/>
    <hyperlink r:id="rId2237" ref="N504"/>
    <hyperlink r:id="rId2238" ref="P504"/>
    <hyperlink r:id="rId2239" ref="C505"/>
    <hyperlink r:id="rId2240" ref="J505"/>
    <hyperlink r:id="rId2241" ref="L505"/>
    <hyperlink r:id="rId2242" ref="N505"/>
    <hyperlink r:id="rId2243" ref="P505"/>
    <hyperlink r:id="rId2244" ref="C506"/>
    <hyperlink r:id="rId2245" ref="J506"/>
    <hyperlink r:id="rId2246" ref="L506"/>
    <hyperlink r:id="rId2247" ref="N506"/>
    <hyperlink r:id="rId2248" ref="P506"/>
    <hyperlink r:id="rId2249" ref="C507"/>
    <hyperlink r:id="rId2250" ref="J507"/>
    <hyperlink r:id="rId2251" ref="L507"/>
    <hyperlink r:id="rId2252" ref="N507"/>
    <hyperlink r:id="rId2253" ref="P507"/>
    <hyperlink r:id="rId2254" ref="C508"/>
    <hyperlink r:id="rId2255" ref="J508"/>
    <hyperlink r:id="rId2256" ref="L508"/>
    <hyperlink r:id="rId2257" ref="N508"/>
    <hyperlink r:id="rId2258" ref="P508"/>
    <hyperlink r:id="rId2259" ref="C509"/>
    <hyperlink r:id="rId2260" ref="J509"/>
    <hyperlink r:id="rId2261" ref="L509"/>
    <hyperlink r:id="rId2262" ref="N509"/>
    <hyperlink r:id="rId2263" ref="P509"/>
    <hyperlink r:id="rId2264" ref="C510"/>
    <hyperlink r:id="rId2265" ref="J510"/>
    <hyperlink r:id="rId2266" ref="L510"/>
    <hyperlink r:id="rId2267" ref="P510"/>
    <hyperlink r:id="rId2268" ref="C511"/>
    <hyperlink r:id="rId2269" ref="J511"/>
    <hyperlink r:id="rId2270" ref="L511"/>
    <hyperlink r:id="rId2271" ref="N511"/>
    <hyperlink r:id="rId2272" ref="P511"/>
    <hyperlink r:id="rId2273" ref="C512"/>
    <hyperlink r:id="rId2274" ref="J512"/>
    <hyperlink r:id="rId2275" ref="L512"/>
    <hyperlink r:id="rId2276" ref="C513"/>
    <hyperlink r:id="rId2277" ref="J513"/>
    <hyperlink r:id="rId2278" ref="L513"/>
    <hyperlink r:id="rId2279" ref="N513"/>
    <hyperlink r:id="rId2280" ref="C514"/>
    <hyperlink r:id="rId2281" ref="J514"/>
    <hyperlink r:id="rId2282" ref="L514"/>
    <hyperlink r:id="rId2283" ref="P514"/>
    <hyperlink r:id="rId2284" ref="C515"/>
    <hyperlink r:id="rId2285" ref="J515"/>
    <hyperlink r:id="rId2286" ref="L515"/>
    <hyperlink r:id="rId2287" ref="N515"/>
    <hyperlink r:id="rId2288" ref="P515"/>
    <hyperlink r:id="rId2289" ref="C516"/>
    <hyperlink r:id="rId2290" ref="J516"/>
    <hyperlink r:id="rId2291" ref="L516"/>
    <hyperlink r:id="rId2292" ref="N516"/>
    <hyperlink r:id="rId2293" ref="P516"/>
    <hyperlink r:id="rId2294" ref="C517"/>
    <hyperlink r:id="rId2295" ref="J517"/>
    <hyperlink r:id="rId2296" ref="L517"/>
    <hyperlink r:id="rId2297" ref="N517"/>
    <hyperlink r:id="rId2298" ref="P517"/>
    <hyperlink r:id="rId2299" ref="C518"/>
    <hyperlink r:id="rId2300" ref="J518"/>
    <hyperlink r:id="rId2301" ref="L518"/>
    <hyperlink r:id="rId2302" ref="N518"/>
    <hyperlink r:id="rId2303" ref="P518"/>
    <hyperlink r:id="rId2304" ref="C519"/>
    <hyperlink r:id="rId2305" ref="J519"/>
    <hyperlink r:id="rId2306" ref="L519"/>
    <hyperlink r:id="rId2307" ref="N519"/>
    <hyperlink r:id="rId2308" ref="P519"/>
    <hyperlink r:id="rId2309" ref="C520"/>
    <hyperlink r:id="rId2310" ref="J520"/>
    <hyperlink r:id="rId2311" ref="L520"/>
    <hyperlink r:id="rId2312" ref="N520"/>
    <hyperlink r:id="rId2313" ref="P520"/>
    <hyperlink r:id="rId2314" ref="C521"/>
    <hyperlink r:id="rId2315" ref="J521"/>
    <hyperlink r:id="rId2316" ref="L521"/>
    <hyperlink r:id="rId2317" ref="N521"/>
    <hyperlink r:id="rId2318" ref="P521"/>
    <hyperlink r:id="rId2319" ref="C522"/>
    <hyperlink r:id="rId2320" ref="C523"/>
    <hyperlink r:id="rId2321" ref="L523"/>
    <hyperlink r:id="rId2322" ref="C524"/>
    <hyperlink r:id="rId2323" ref="J524"/>
    <hyperlink r:id="rId2324" ref="L524"/>
    <hyperlink r:id="rId2325" ref="N524"/>
    <hyperlink r:id="rId2326" ref="P524"/>
    <hyperlink r:id="rId2327" ref="C525"/>
    <hyperlink r:id="rId2328" ref="J525"/>
    <hyperlink r:id="rId2329" ref="L525"/>
    <hyperlink r:id="rId2330" ref="N525"/>
    <hyperlink r:id="rId2331" ref="P525"/>
    <hyperlink r:id="rId2332" ref="C526"/>
    <hyperlink r:id="rId2333" ref="J526"/>
    <hyperlink r:id="rId2334" ref="L526"/>
    <hyperlink r:id="rId2335" ref="N526"/>
    <hyperlink r:id="rId2336" ref="P526"/>
    <hyperlink r:id="rId2337" ref="C527"/>
    <hyperlink r:id="rId2338" ref="J527"/>
    <hyperlink r:id="rId2339" ref="C528"/>
    <hyperlink r:id="rId2340" ref="J528"/>
    <hyperlink r:id="rId2341" ref="L528"/>
    <hyperlink r:id="rId2342" ref="N528"/>
    <hyperlink r:id="rId2343" ref="P528"/>
    <hyperlink r:id="rId2344" ref="C529"/>
    <hyperlink r:id="rId2345" ref="J529"/>
    <hyperlink r:id="rId2346" ref="L529"/>
    <hyperlink r:id="rId2347" ref="N529"/>
    <hyperlink r:id="rId2348" ref="P529"/>
    <hyperlink r:id="rId2349" ref="C530"/>
    <hyperlink r:id="rId2350" ref="J530"/>
    <hyperlink r:id="rId2351" ref="L530"/>
    <hyperlink r:id="rId2352" ref="N530"/>
    <hyperlink r:id="rId2353" ref="P530"/>
    <hyperlink r:id="rId2354" ref="C531"/>
    <hyperlink r:id="rId2355" ref="J531"/>
    <hyperlink r:id="rId2356" ref="L531"/>
    <hyperlink r:id="rId2357" ref="N531"/>
    <hyperlink r:id="rId2358" ref="P531"/>
    <hyperlink r:id="rId2359" ref="C532"/>
    <hyperlink r:id="rId2360" ref="J532"/>
    <hyperlink r:id="rId2361" ref="L532"/>
    <hyperlink r:id="rId2362" ref="N532"/>
    <hyperlink r:id="rId2363" ref="P532"/>
    <hyperlink r:id="rId2364" ref="C533"/>
    <hyperlink r:id="rId2365" ref="J533"/>
    <hyperlink r:id="rId2366" ref="L533"/>
    <hyperlink r:id="rId2367" ref="N533"/>
    <hyperlink r:id="rId2368" ref="P533"/>
    <hyperlink r:id="rId2369" ref="C534"/>
    <hyperlink r:id="rId2370" ref="J534"/>
    <hyperlink r:id="rId2371" ref="L534"/>
    <hyperlink r:id="rId2372" ref="N534"/>
    <hyperlink r:id="rId2373" ref="P534"/>
    <hyperlink r:id="rId2374" ref="C535"/>
    <hyperlink r:id="rId2375" ref="J535"/>
    <hyperlink r:id="rId2376" ref="L535"/>
    <hyperlink r:id="rId2377" ref="N535"/>
    <hyperlink r:id="rId2378" ref="P535"/>
    <hyperlink r:id="rId2379" ref="C536"/>
    <hyperlink r:id="rId2380" ref="J536"/>
    <hyperlink r:id="rId2381" ref="L536"/>
    <hyperlink r:id="rId2382" ref="N536"/>
    <hyperlink r:id="rId2383" ref="P536"/>
    <hyperlink r:id="rId2384" ref="C537"/>
    <hyperlink r:id="rId2385" ref="J537"/>
    <hyperlink r:id="rId2386" ref="L537"/>
    <hyperlink r:id="rId2387" ref="N537"/>
    <hyperlink r:id="rId2388" ref="P537"/>
    <hyperlink r:id="rId2389" ref="C538"/>
    <hyperlink r:id="rId2390" ref="L538"/>
    <hyperlink r:id="rId2391" ref="N538"/>
    <hyperlink r:id="rId2392" ref="P538"/>
    <hyperlink r:id="rId2393" ref="C539"/>
    <hyperlink r:id="rId2394" ref="J539"/>
    <hyperlink r:id="rId2395" ref="L539"/>
    <hyperlink r:id="rId2396" ref="N539"/>
    <hyperlink r:id="rId2397" ref="P539"/>
    <hyperlink r:id="rId2398" ref="C540"/>
    <hyperlink r:id="rId2399" ref="J540"/>
    <hyperlink r:id="rId2400" ref="L540"/>
    <hyperlink r:id="rId2401" ref="N540"/>
    <hyperlink r:id="rId2402" ref="P540"/>
    <hyperlink r:id="rId2403" ref="C541"/>
    <hyperlink r:id="rId2404" ref="J541"/>
    <hyperlink r:id="rId2405" ref="L541"/>
    <hyperlink r:id="rId2406" ref="N541"/>
    <hyperlink r:id="rId2407" ref="P541"/>
    <hyperlink r:id="rId2408" ref="C542"/>
    <hyperlink r:id="rId2409" ref="J542"/>
    <hyperlink r:id="rId2410" ref="L542"/>
    <hyperlink r:id="rId2411" ref="N542"/>
    <hyperlink r:id="rId2412" ref="P542"/>
    <hyperlink r:id="rId2413" ref="C543"/>
    <hyperlink r:id="rId2414" ref="J543"/>
    <hyperlink r:id="rId2415" ref="L543"/>
    <hyperlink r:id="rId2416" ref="N543"/>
    <hyperlink r:id="rId2417" ref="P543"/>
    <hyperlink r:id="rId2418" ref="C544"/>
    <hyperlink r:id="rId2419" ref="L544"/>
    <hyperlink r:id="rId2420" ref="N544"/>
    <hyperlink r:id="rId2421" ref="C545"/>
    <hyperlink r:id="rId2422" ref="J545"/>
    <hyperlink r:id="rId2423" ref="L545"/>
    <hyperlink r:id="rId2424" ref="N545"/>
    <hyperlink r:id="rId2425" ref="P545"/>
    <hyperlink r:id="rId2426" ref="C546"/>
    <hyperlink r:id="rId2427" ref="L546"/>
    <hyperlink r:id="rId2428" ref="C547"/>
    <hyperlink r:id="rId2429" ref="J547"/>
    <hyperlink r:id="rId2430" ref="L547"/>
    <hyperlink r:id="rId2431" ref="N547"/>
    <hyperlink r:id="rId2432" ref="P547"/>
    <hyperlink r:id="rId2433" ref="C548"/>
    <hyperlink r:id="rId2434" ref="J548"/>
    <hyperlink r:id="rId2435" ref="L548"/>
    <hyperlink r:id="rId2436" ref="N548"/>
    <hyperlink r:id="rId2437" ref="P548"/>
    <hyperlink r:id="rId2438" ref="C549"/>
    <hyperlink r:id="rId2439" ref="J549"/>
    <hyperlink r:id="rId2440" ref="L549"/>
    <hyperlink r:id="rId2441" ref="N549"/>
    <hyperlink r:id="rId2442" ref="P549"/>
    <hyperlink r:id="rId2443" ref="C550"/>
    <hyperlink r:id="rId2444" ref="J550"/>
    <hyperlink r:id="rId2445" ref="L550"/>
    <hyperlink r:id="rId2446" ref="N550"/>
    <hyperlink r:id="rId2447" ref="P550"/>
    <hyperlink r:id="rId2448" ref="C551"/>
    <hyperlink r:id="rId2449" ref="J551"/>
    <hyperlink r:id="rId2450" ref="L551"/>
    <hyperlink r:id="rId2451" ref="N551"/>
    <hyperlink r:id="rId2452" ref="P551"/>
    <hyperlink r:id="rId2453" ref="C552"/>
    <hyperlink r:id="rId2454" ref="J552"/>
    <hyperlink r:id="rId2455" ref="L552"/>
    <hyperlink r:id="rId2456" ref="N552"/>
    <hyperlink r:id="rId2457" ref="P552"/>
    <hyperlink r:id="rId2458" ref="C553"/>
    <hyperlink r:id="rId2459" ref="J553"/>
    <hyperlink r:id="rId2460" ref="L553"/>
    <hyperlink r:id="rId2461" ref="N553"/>
    <hyperlink r:id="rId2462" ref="P553"/>
    <hyperlink r:id="rId2463" ref="C554"/>
    <hyperlink r:id="rId2464" ref="J554"/>
    <hyperlink r:id="rId2465" ref="L554"/>
    <hyperlink r:id="rId2466" ref="N554"/>
    <hyperlink r:id="rId2467" ref="P554"/>
    <hyperlink r:id="rId2468" ref="C555"/>
    <hyperlink r:id="rId2469" ref="J555"/>
    <hyperlink r:id="rId2470" ref="L555"/>
    <hyperlink r:id="rId2471" ref="N555"/>
    <hyperlink r:id="rId2472" ref="P555"/>
    <hyperlink r:id="rId2473" ref="C556"/>
    <hyperlink r:id="rId2474" ref="J556"/>
    <hyperlink r:id="rId2475" ref="L556"/>
    <hyperlink r:id="rId2476" ref="N556"/>
    <hyperlink r:id="rId2477" ref="P556"/>
    <hyperlink r:id="rId2478" ref="C557"/>
    <hyperlink r:id="rId2479" ref="J557"/>
    <hyperlink r:id="rId2480" ref="L557"/>
    <hyperlink r:id="rId2481" ref="N557"/>
    <hyperlink r:id="rId2482" ref="P557"/>
    <hyperlink r:id="rId2483" ref="C558"/>
    <hyperlink r:id="rId2484" ref="J558"/>
    <hyperlink r:id="rId2485" ref="L558"/>
    <hyperlink r:id="rId2486" ref="N558"/>
    <hyperlink r:id="rId2487" ref="P558"/>
    <hyperlink r:id="rId2488" ref="C559"/>
    <hyperlink r:id="rId2489" ref="J559"/>
    <hyperlink r:id="rId2490" ref="L559"/>
    <hyperlink r:id="rId2491" ref="N559"/>
    <hyperlink r:id="rId2492" ref="P559"/>
    <hyperlink r:id="rId2493" ref="C560"/>
    <hyperlink r:id="rId2494" ref="J560"/>
    <hyperlink r:id="rId2495" ref="L560"/>
    <hyperlink r:id="rId2496" ref="N560"/>
    <hyperlink r:id="rId2497" ref="P560"/>
    <hyperlink r:id="rId2498" ref="C561"/>
    <hyperlink r:id="rId2499" ref="J561"/>
    <hyperlink r:id="rId2500" ref="L561"/>
    <hyperlink r:id="rId2501" ref="N561"/>
    <hyperlink r:id="rId2502" ref="P561"/>
    <hyperlink r:id="rId2503" ref="C562"/>
    <hyperlink r:id="rId2504" ref="J562"/>
    <hyperlink r:id="rId2505" ref="L562"/>
    <hyperlink r:id="rId2506" ref="N562"/>
    <hyperlink r:id="rId2507" ref="P562"/>
    <hyperlink r:id="rId2508" ref="C563"/>
    <hyperlink r:id="rId2509" ref="J563"/>
    <hyperlink r:id="rId2510" ref="L563"/>
    <hyperlink r:id="rId2511" ref="N563"/>
    <hyperlink r:id="rId2512" ref="P563"/>
    <hyperlink r:id="rId2513" ref="C564"/>
    <hyperlink r:id="rId2514" ref="J564"/>
    <hyperlink r:id="rId2515" ref="L564"/>
    <hyperlink r:id="rId2516" ref="N564"/>
    <hyperlink r:id="rId2517" ref="P564"/>
    <hyperlink r:id="rId2518" ref="C565"/>
    <hyperlink r:id="rId2519" ref="J565"/>
    <hyperlink r:id="rId2520" ref="L565"/>
    <hyperlink r:id="rId2521" ref="N565"/>
    <hyperlink r:id="rId2522" ref="P565"/>
    <hyperlink r:id="rId2523" ref="C566"/>
    <hyperlink r:id="rId2524" ref="J566"/>
    <hyperlink r:id="rId2525" ref="L566"/>
    <hyperlink r:id="rId2526" ref="N566"/>
    <hyperlink r:id="rId2527" ref="P566"/>
    <hyperlink r:id="rId2528" ref="C567"/>
    <hyperlink r:id="rId2529" ref="J567"/>
    <hyperlink r:id="rId2530" ref="L567"/>
    <hyperlink r:id="rId2531" ref="N567"/>
    <hyperlink r:id="rId2532" ref="P567"/>
    <hyperlink r:id="rId2533" ref="C568"/>
    <hyperlink r:id="rId2534" ref="J568"/>
    <hyperlink r:id="rId2535" ref="L568"/>
    <hyperlink r:id="rId2536" ref="N568"/>
    <hyperlink r:id="rId2537" ref="P568"/>
    <hyperlink r:id="rId2538" ref="C569"/>
    <hyperlink r:id="rId2539" ref="J569"/>
    <hyperlink r:id="rId2540" ref="L569"/>
    <hyperlink r:id="rId2541" ref="N569"/>
    <hyperlink r:id="rId2542" ref="P569"/>
    <hyperlink r:id="rId2543" ref="C570"/>
    <hyperlink r:id="rId2544" ref="J570"/>
    <hyperlink r:id="rId2545" ref="L570"/>
    <hyperlink r:id="rId2546" ref="N570"/>
    <hyperlink r:id="rId2547" ref="P570"/>
    <hyperlink r:id="rId2548" ref="C571"/>
    <hyperlink r:id="rId2549" ref="J571"/>
    <hyperlink r:id="rId2550" ref="L571"/>
    <hyperlink r:id="rId2551" ref="N571"/>
    <hyperlink r:id="rId2552" ref="P571"/>
    <hyperlink r:id="rId2553" ref="C572"/>
    <hyperlink r:id="rId2554" ref="J572"/>
    <hyperlink r:id="rId2555" ref="L572"/>
    <hyperlink r:id="rId2556" ref="C573"/>
    <hyperlink r:id="rId2557" ref="J573"/>
    <hyperlink r:id="rId2558" ref="L573"/>
    <hyperlink r:id="rId2559" ref="N573"/>
    <hyperlink r:id="rId2560" ref="P573"/>
    <hyperlink r:id="rId2561" ref="C574"/>
    <hyperlink r:id="rId2562" ref="J574"/>
    <hyperlink r:id="rId2563" ref="L574"/>
    <hyperlink r:id="rId2564" ref="N574"/>
    <hyperlink r:id="rId2565" ref="P574"/>
    <hyperlink r:id="rId2566" ref="C575"/>
    <hyperlink r:id="rId2567" ref="J575"/>
    <hyperlink r:id="rId2568" ref="L575"/>
    <hyperlink r:id="rId2569" ref="N575"/>
    <hyperlink r:id="rId2570" ref="P575"/>
    <hyperlink r:id="rId2571" ref="C576"/>
    <hyperlink r:id="rId2572" ref="J576"/>
    <hyperlink r:id="rId2573" ref="L576"/>
    <hyperlink r:id="rId2574" ref="N576"/>
    <hyperlink r:id="rId2575" ref="P576"/>
    <hyperlink r:id="rId2576" ref="C577"/>
    <hyperlink r:id="rId2577" ref="J577"/>
    <hyperlink r:id="rId2578" ref="L577"/>
    <hyperlink r:id="rId2579" ref="N577"/>
    <hyperlink r:id="rId2580" ref="P577"/>
    <hyperlink r:id="rId2581" ref="C578"/>
    <hyperlink r:id="rId2582" ref="J578"/>
    <hyperlink r:id="rId2583" ref="L578"/>
    <hyperlink r:id="rId2584" ref="N578"/>
    <hyperlink r:id="rId2585" ref="P578"/>
    <hyperlink r:id="rId2586" ref="C579"/>
    <hyperlink r:id="rId2587" ref="J579"/>
    <hyperlink r:id="rId2588" ref="L579"/>
    <hyperlink r:id="rId2589" ref="N579"/>
    <hyperlink r:id="rId2590" ref="P579"/>
    <hyperlink r:id="rId2591" ref="C580"/>
    <hyperlink r:id="rId2592" ref="J580"/>
    <hyperlink r:id="rId2593" ref="L580"/>
    <hyperlink r:id="rId2594" ref="N580"/>
    <hyperlink r:id="rId2595" ref="P580"/>
    <hyperlink r:id="rId2596" ref="C581"/>
    <hyperlink r:id="rId2597" ref="J581"/>
    <hyperlink r:id="rId2598" ref="L581"/>
    <hyperlink r:id="rId2599" ref="N581"/>
    <hyperlink r:id="rId2600" ref="P581"/>
    <hyperlink r:id="rId2601" ref="C582"/>
    <hyperlink r:id="rId2602" ref="J582"/>
    <hyperlink r:id="rId2603" ref="L582"/>
    <hyperlink r:id="rId2604" ref="N582"/>
    <hyperlink r:id="rId2605" ref="P582"/>
    <hyperlink r:id="rId2606" ref="C583"/>
    <hyperlink r:id="rId2607" ref="J583"/>
    <hyperlink r:id="rId2608" ref="L583"/>
    <hyperlink r:id="rId2609" ref="N583"/>
    <hyperlink r:id="rId2610" ref="P583"/>
    <hyperlink r:id="rId2611" ref="C584"/>
    <hyperlink r:id="rId2612" ref="J584"/>
    <hyperlink r:id="rId2613" ref="L584"/>
    <hyperlink r:id="rId2614" ref="N584"/>
    <hyperlink r:id="rId2615" ref="P584"/>
    <hyperlink r:id="rId2616" ref="C585"/>
    <hyperlink r:id="rId2617" ref="J585"/>
    <hyperlink r:id="rId2618" ref="L585"/>
    <hyperlink r:id="rId2619" ref="N585"/>
    <hyperlink r:id="rId2620" ref="P585"/>
    <hyperlink r:id="rId2621" ref="C586"/>
    <hyperlink r:id="rId2622" ref="J586"/>
    <hyperlink r:id="rId2623" ref="L586"/>
    <hyperlink r:id="rId2624" ref="N586"/>
    <hyperlink r:id="rId2625" ref="P586"/>
    <hyperlink r:id="rId2626" ref="C587"/>
    <hyperlink r:id="rId2627" ref="J587"/>
    <hyperlink r:id="rId2628" ref="L587"/>
    <hyperlink r:id="rId2629" ref="N587"/>
    <hyperlink r:id="rId2630" ref="P587"/>
    <hyperlink r:id="rId2631" ref="C588"/>
    <hyperlink r:id="rId2632" ref="J588"/>
    <hyperlink r:id="rId2633" ref="L588"/>
    <hyperlink r:id="rId2634" ref="N588"/>
    <hyperlink r:id="rId2635" ref="P588"/>
    <hyperlink r:id="rId2636" ref="C589"/>
    <hyperlink r:id="rId2637" ref="J589"/>
    <hyperlink r:id="rId2638" ref="L589"/>
    <hyperlink r:id="rId2639" ref="P589"/>
    <hyperlink r:id="rId2640" ref="C590"/>
    <hyperlink r:id="rId2641" ref="J590"/>
    <hyperlink r:id="rId2642" ref="L590"/>
    <hyperlink r:id="rId2643" ref="N590"/>
    <hyperlink r:id="rId2644" ref="P590"/>
    <hyperlink r:id="rId2645" ref="C591"/>
    <hyperlink r:id="rId2646" ref="L591"/>
    <hyperlink r:id="rId2647" ref="C592"/>
    <hyperlink r:id="rId2648" ref="J592"/>
    <hyperlink r:id="rId2649" ref="L592"/>
    <hyperlink r:id="rId2650" ref="P592"/>
    <hyperlink r:id="rId2651" ref="C593"/>
    <hyperlink r:id="rId2652" ref="C594"/>
    <hyperlink r:id="rId2653" ref="P594"/>
    <hyperlink r:id="rId2654" ref="C595"/>
    <hyperlink r:id="rId2655" ref="J595"/>
    <hyperlink r:id="rId2656" ref="L595"/>
    <hyperlink r:id="rId2657" ref="N595"/>
    <hyperlink r:id="rId2658" ref="P595"/>
    <hyperlink r:id="rId2659" ref="C596"/>
    <hyperlink r:id="rId2660" ref="J596"/>
    <hyperlink r:id="rId2661" ref="L596"/>
    <hyperlink r:id="rId2662" ref="C597"/>
    <hyperlink r:id="rId2663" ref="J597"/>
    <hyperlink r:id="rId2664" ref="L597"/>
    <hyperlink r:id="rId2665" ref="C598"/>
    <hyperlink r:id="rId2666" ref="J598"/>
    <hyperlink r:id="rId2667" ref="L598"/>
    <hyperlink r:id="rId2668" ref="C599"/>
    <hyperlink r:id="rId2669" ref="J599"/>
    <hyperlink r:id="rId2670" ref="L599"/>
    <hyperlink r:id="rId2671" ref="N599"/>
    <hyperlink r:id="rId2672" ref="P599"/>
    <hyperlink r:id="rId2673" ref="C600"/>
    <hyperlink r:id="rId2674" ref="J600"/>
    <hyperlink r:id="rId2675" ref="P600"/>
    <hyperlink r:id="rId2676" ref="C601"/>
    <hyperlink r:id="rId2677" ref="J601"/>
    <hyperlink r:id="rId2678" ref="L601"/>
    <hyperlink r:id="rId2679" ref="N601"/>
    <hyperlink r:id="rId2680" ref="P601"/>
    <hyperlink r:id="rId2681" ref="C602"/>
    <hyperlink r:id="rId2682" ref="J602"/>
    <hyperlink r:id="rId2683" ref="L602"/>
    <hyperlink r:id="rId2684" ref="N602"/>
    <hyperlink r:id="rId2685" ref="P602"/>
    <hyperlink r:id="rId2686" ref="C603"/>
    <hyperlink r:id="rId2687" ref="J603"/>
    <hyperlink r:id="rId2688" ref="L603"/>
    <hyperlink r:id="rId2689" ref="N603"/>
    <hyperlink r:id="rId2690" ref="P603"/>
    <hyperlink r:id="rId2691" ref="C604"/>
    <hyperlink r:id="rId2692" ref="J604"/>
    <hyperlink r:id="rId2693" ref="L604"/>
    <hyperlink r:id="rId2694" ref="N604"/>
    <hyperlink r:id="rId2695" ref="P604"/>
    <hyperlink r:id="rId2696" ref="C605"/>
    <hyperlink r:id="rId2697" ref="J605"/>
    <hyperlink r:id="rId2698" ref="L605"/>
    <hyperlink r:id="rId2699" ref="N605"/>
    <hyperlink r:id="rId2700" ref="P605"/>
    <hyperlink r:id="rId2701" ref="C606"/>
    <hyperlink r:id="rId2702" ref="J606"/>
    <hyperlink r:id="rId2703" ref="L606"/>
    <hyperlink r:id="rId2704" ref="N606"/>
    <hyperlink r:id="rId2705" ref="P606"/>
    <hyperlink r:id="rId2706" ref="C607"/>
    <hyperlink r:id="rId2707" ref="J607"/>
    <hyperlink r:id="rId2708" ref="L607"/>
    <hyperlink r:id="rId2709" ref="N607"/>
    <hyperlink r:id="rId2710" ref="P607"/>
    <hyperlink r:id="rId2711" ref="C608"/>
    <hyperlink r:id="rId2712" ref="J608"/>
    <hyperlink r:id="rId2713" ref="L608"/>
    <hyperlink r:id="rId2714" ref="N608"/>
    <hyperlink r:id="rId2715" ref="P608"/>
    <hyperlink r:id="rId2716" ref="C609"/>
    <hyperlink r:id="rId2717" ref="J609"/>
    <hyperlink r:id="rId2718" ref="L609"/>
    <hyperlink r:id="rId2719" ref="N609"/>
    <hyperlink r:id="rId2720" ref="P609"/>
    <hyperlink r:id="rId2721" ref="C610"/>
    <hyperlink r:id="rId2722" ref="J610"/>
    <hyperlink r:id="rId2723" ref="L610"/>
    <hyperlink r:id="rId2724" ref="N610"/>
    <hyperlink r:id="rId2725" ref="P610"/>
    <hyperlink r:id="rId2726" ref="C611"/>
    <hyperlink r:id="rId2727" ref="J611"/>
    <hyperlink r:id="rId2728" ref="L611"/>
    <hyperlink r:id="rId2729" ref="N611"/>
    <hyperlink r:id="rId2730" ref="P611"/>
    <hyperlink r:id="rId2731" ref="C612"/>
    <hyperlink r:id="rId2732" ref="J612"/>
    <hyperlink r:id="rId2733" ref="L612"/>
    <hyperlink r:id="rId2734" ref="N612"/>
    <hyperlink r:id="rId2735" ref="P612"/>
    <hyperlink r:id="rId2736" ref="C613"/>
    <hyperlink r:id="rId2737" ref="J613"/>
    <hyperlink r:id="rId2738" ref="L613"/>
    <hyperlink r:id="rId2739" ref="N613"/>
    <hyperlink r:id="rId2740" ref="P613"/>
    <hyperlink r:id="rId2741" ref="C614"/>
    <hyperlink r:id="rId2742" ref="J614"/>
    <hyperlink r:id="rId2743" ref="L614"/>
    <hyperlink r:id="rId2744" ref="N614"/>
    <hyperlink r:id="rId2745" ref="P614"/>
    <hyperlink r:id="rId2746" ref="C615"/>
    <hyperlink r:id="rId2747" ref="J615"/>
    <hyperlink r:id="rId2748" ref="L615"/>
    <hyperlink r:id="rId2749" ref="N615"/>
    <hyperlink r:id="rId2750" ref="P615"/>
    <hyperlink r:id="rId2751" ref="C616"/>
    <hyperlink r:id="rId2752" ref="J616"/>
    <hyperlink r:id="rId2753" ref="L616"/>
    <hyperlink r:id="rId2754" ref="N616"/>
    <hyperlink r:id="rId2755" ref="P616"/>
    <hyperlink r:id="rId2756" ref="C617"/>
    <hyperlink r:id="rId2757" ref="J617"/>
    <hyperlink r:id="rId2758" ref="L617"/>
    <hyperlink r:id="rId2759" ref="N617"/>
    <hyperlink r:id="rId2760" ref="P617"/>
    <hyperlink r:id="rId2761" ref="C618"/>
    <hyperlink r:id="rId2762" ref="J618"/>
    <hyperlink r:id="rId2763" ref="L618"/>
    <hyperlink r:id="rId2764" ref="N618"/>
    <hyperlink r:id="rId2765" ref="P618"/>
    <hyperlink r:id="rId2766" ref="C619"/>
    <hyperlink r:id="rId2767" ref="J619"/>
    <hyperlink r:id="rId2768" ref="L619"/>
    <hyperlink r:id="rId2769" ref="N619"/>
    <hyperlink r:id="rId2770" ref="P619"/>
    <hyperlink r:id="rId2771" ref="C620"/>
    <hyperlink r:id="rId2772" ref="J620"/>
    <hyperlink r:id="rId2773" ref="L620"/>
    <hyperlink r:id="rId2774" ref="N620"/>
    <hyperlink r:id="rId2775" ref="P620"/>
    <hyperlink r:id="rId2776" ref="C621"/>
    <hyperlink r:id="rId2777" ref="J621"/>
    <hyperlink r:id="rId2778" ref="L621"/>
    <hyperlink r:id="rId2779" ref="N621"/>
    <hyperlink r:id="rId2780" ref="P621"/>
    <hyperlink r:id="rId2781" ref="C622"/>
    <hyperlink r:id="rId2782" ref="J622"/>
    <hyperlink r:id="rId2783" ref="L622"/>
    <hyperlink r:id="rId2784" ref="N622"/>
    <hyperlink r:id="rId2785" ref="P622"/>
    <hyperlink r:id="rId2786" ref="C623"/>
    <hyperlink r:id="rId2787" ref="J623"/>
    <hyperlink r:id="rId2788" ref="L623"/>
    <hyperlink r:id="rId2789" ref="N623"/>
    <hyperlink r:id="rId2790" ref="P623"/>
    <hyperlink r:id="rId2791" ref="C624"/>
    <hyperlink r:id="rId2792" ref="J624"/>
    <hyperlink r:id="rId2793" ref="L624"/>
    <hyperlink r:id="rId2794" ref="N624"/>
    <hyperlink r:id="rId2795" ref="C625"/>
    <hyperlink r:id="rId2796" ref="J625"/>
    <hyperlink r:id="rId2797" ref="L625"/>
    <hyperlink r:id="rId2798" ref="N625"/>
    <hyperlink r:id="rId2799" ref="P625"/>
    <hyperlink r:id="rId2800" ref="C626"/>
    <hyperlink r:id="rId2801" ref="L626"/>
    <hyperlink r:id="rId2802" ref="N626"/>
    <hyperlink r:id="rId2803" ref="P626"/>
    <hyperlink r:id="rId2804" ref="C627"/>
    <hyperlink r:id="rId2805" ref="L627"/>
    <hyperlink r:id="rId2806" ref="C628"/>
    <hyperlink r:id="rId2807" ref="J628"/>
    <hyperlink r:id="rId2808" ref="L628"/>
    <hyperlink r:id="rId2809" ref="N628"/>
    <hyperlink r:id="rId2810" ref="P628"/>
    <hyperlink r:id="rId2811" ref="C629"/>
    <hyperlink r:id="rId2812" ref="J629"/>
    <hyperlink r:id="rId2813" ref="L629"/>
    <hyperlink r:id="rId2814" ref="N629"/>
    <hyperlink r:id="rId2815" ref="P629"/>
    <hyperlink r:id="rId2816" ref="C630"/>
    <hyperlink r:id="rId2817" ref="J630"/>
    <hyperlink r:id="rId2818" ref="L630"/>
    <hyperlink r:id="rId2819" ref="N630"/>
    <hyperlink r:id="rId2820" ref="P630"/>
    <hyperlink r:id="rId2821" ref="C631"/>
    <hyperlink r:id="rId2822" ref="J631"/>
    <hyperlink r:id="rId2823" ref="L631"/>
    <hyperlink r:id="rId2824" ref="N631"/>
    <hyperlink r:id="rId2825" ref="P631"/>
    <hyperlink r:id="rId2826" ref="C632"/>
    <hyperlink r:id="rId2827" ref="J632"/>
    <hyperlink r:id="rId2828" ref="L632"/>
    <hyperlink r:id="rId2829" ref="N632"/>
    <hyperlink r:id="rId2830" ref="P632"/>
    <hyperlink r:id="rId2831" ref="C633"/>
    <hyperlink r:id="rId2832" ref="L633"/>
    <hyperlink r:id="rId2833" ref="N633"/>
    <hyperlink r:id="rId2834" ref="P633"/>
    <hyperlink r:id="rId2835" ref="C634"/>
    <hyperlink r:id="rId2836" ref="J634"/>
    <hyperlink r:id="rId2837" ref="L634"/>
    <hyperlink r:id="rId2838" ref="C635"/>
    <hyperlink r:id="rId2839" ref="J635"/>
    <hyperlink r:id="rId2840" ref="L635"/>
    <hyperlink r:id="rId2841" ref="C636"/>
    <hyperlink r:id="rId2842" ref="J636"/>
    <hyperlink r:id="rId2843" ref="L636"/>
    <hyperlink r:id="rId2844" ref="N636"/>
    <hyperlink r:id="rId2845" ref="P636"/>
    <hyperlink r:id="rId2846" ref="C637"/>
    <hyperlink r:id="rId2847" ref="N637"/>
    <hyperlink r:id="rId2848" ref="P637"/>
    <hyperlink r:id="rId2849" ref="B638"/>
    <hyperlink r:id="rId2850" ref="C638"/>
    <hyperlink r:id="rId2851" ref="J638"/>
    <hyperlink r:id="rId2852" ref="L638"/>
    <hyperlink r:id="rId2853" ref="N638"/>
    <hyperlink r:id="rId2854" ref="P638"/>
    <hyperlink r:id="rId2855" ref="C639"/>
    <hyperlink r:id="rId2856" ref="J639"/>
    <hyperlink r:id="rId2857" ref="L639"/>
    <hyperlink r:id="rId2858" ref="N639"/>
    <hyperlink r:id="rId2859" ref="P639"/>
    <hyperlink r:id="rId2860" ref="C640"/>
    <hyperlink r:id="rId2861" ref="J640"/>
    <hyperlink r:id="rId2862" ref="L640"/>
    <hyperlink r:id="rId2863" ref="N640"/>
    <hyperlink r:id="rId2864" ref="P640"/>
    <hyperlink r:id="rId2865" ref="C641"/>
    <hyperlink r:id="rId2866" ref="C642"/>
    <hyperlink r:id="rId2867" ref="J642"/>
    <hyperlink r:id="rId2868" ref="L642"/>
    <hyperlink r:id="rId2869" ref="N642"/>
    <hyperlink r:id="rId2870" ref="P642"/>
    <hyperlink r:id="rId2871" ref="C643"/>
    <hyperlink r:id="rId2872" ref="C644"/>
    <hyperlink r:id="rId2873" ref="J644"/>
    <hyperlink r:id="rId2874" ref="L644"/>
    <hyperlink r:id="rId2875" ref="N644"/>
    <hyperlink r:id="rId2876" ref="P644"/>
    <hyperlink r:id="rId2877" ref="C645"/>
    <hyperlink r:id="rId2878" ref="J645"/>
    <hyperlink r:id="rId2879" ref="L645"/>
    <hyperlink r:id="rId2880" ref="N645"/>
    <hyperlink r:id="rId2881" ref="P645"/>
    <hyperlink r:id="rId2882" ref="C646"/>
    <hyperlink r:id="rId2883" ref="J646"/>
    <hyperlink r:id="rId2884" ref="L646"/>
    <hyperlink r:id="rId2885" ref="N646"/>
    <hyperlink r:id="rId2886" ref="P646"/>
    <hyperlink r:id="rId2887" ref="C647"/>
    <hyperlink r:id="rId2888" ref="J647"/>
    <hyperlink r:id="rId2889" ref="L647"/>
    <hyperlink r:id="rId2890" ref="N647"/>
    <hyperlink r:id="rId2891" ref="P647"/>
    <hyperlink r:id="rId2892" ref="C648"/>
    <hyperlink r:id="rId2893" ref="J648"/>
    <hyperlink r:id="rId2894" ref="L648"/>
    <hyperlink r:id="rId2895" ref="N648"/>
    <hyperlink r:id="rId2896" ref="P648"/>
    <hyperlink r:id="rId2897" ref="C649"/>
    <hyperlink r:id="rId2898" ref="J649"/>
    <hyperlink r:id="rId2899" ref="L649"/>
    <hyperlink r:id="rId2900" ref="N649"/>
    <hyperlink r:id="rId2901" ref="P649"/>
    <hyperlink r:id="rId2902" ref="C650"/>
    <hyperlink r:id="rId2903" ref="J650"/>
    <hyperlink r:id="rId2904" ref="L650"/>
    <hyperlink r:id="rId2905" ref="N650"/>
    <hyperlink r:id="rId2906" ref="P650"/>
    <hyperlink r:id="rId2907" ref="C651"/>
    <hyperlink r:id="rId2908" ref="J651"/>
    <hyperlink r:id="rId2909" ref="L651"/>
    <hyperlink r:id="rId2910" ref="N651"/>
    <hyperlink r:id="rId2911" ref="P651"/>
    <hyperlink r:id="rId2912" ref="C652"/>
    <hyperlink r:id="rId2913" ref="J652"/>
    <hyperlink r:id="rId2914" ref="L652"/>
    <hyperlink r:id="rId2915" ref="N652"/>
    <hyperlink r:id="rId2916" ref="P652"/>
    <hyperlink r:id="rId2917" ref="C653"/>
    <hyperlink r:id="rId2918" ref="J653"/>
    <hyperlink r:id="rId2919" ref="L653"/>
    <hyperlink r:id="rId2920" ref="N653"/>
    <hyperlink r:id="rId2921" ref="P653"/>
    <hyperlink r:id="rId2922" ref="C654"/>
    <hyperlink r:id="rId2923" ref="J654"/>
    <hyperlink r:id="rId2924" ref="L654"/>
    <hyperlink r:id="rId2925" ref="N654"/>
    <hyperlink r:id="rId2926" ref="P654"/>
    <hyperlink r:id="rId2927" ref="C655"/>
    <hyperlink r:id="rId2928" ref="J655"/>
    <hyperlink r:id="rId2929" ref="L655"/>
    <hyperlink r:id="rId2930" ref="N655"/>
    <hyperlink r:id="rId2931" ref="P655"/>
    <hyperlink r:id="rId2932" ref="C656"/>
    <hyperlink r:id="rId2933" ref="J656"/>
    <hyperlink r:id="rId2934" ref="L656"/>
    <hyperlink r:id="rId2935" ref="C657"/>
    <hyperlink r:id="rId2936" ref="L657"/>
    <hyperlink r:id="rId2937" ref="N657"/>
    <hyperlink r:id="rId2938" ref="P657"/>
    <hyperlink r:id="rId2939" ref="C658"/>
    <hyperlink r:id="rId2940" ref="J658"/>
    <hyperlink r:id="rId2941" ref="L658"/>
    <hyperlink r:id="rId2942" ref="N658"/>
    <hyperlink r:id="rId2943" ref="P658"/>
    <hyperlink r:id="rId2944" ref="C659"/>
    <hyperlink r:id="rId2945" ref="J659"/>
    <hyperlink r:id="rId2946" ref="L659"/>
    <hyperlink r:id="rId2947" ref="N659"/>
    <hyperlink r:id="rId2948" ref="P659"/>
    <hyperlink r:id="rId2949" ref="C660"/>
    <hyperlink r:id="rId2950" ref="J660"/>
    <hyperlink r:id="rId2951" ref="L660"/>
    <hyperlink r:id="rId2952" ref="N660"/>
    <hyperlink r:id="rId2953" ref="P660"/>
    <hyperlink r:id="rId2954" ref="C661"/>
    <hyperlink r:id="rId2955" ref="J661"/>
    <hyperlink r:id="rId2956" ref="L661"/>
    <hyperlink r:id="rId2957" ref="N661"/>
    <hyperlink r:id="rId2958" ref="P661"/>
    <hyperlink r:id="rId2959" ref="C662"/>
    <hyperlink r:id="rId2960" ref="J662"/>
    <hyperlink r:id="rId2961" ref="L662"/>
    <hyperlink r:id="rId2962" ref="N662"/>
    <hyperlink r:id="rId2963" ref="P662"/>
    <hyperlink r:id="rId2964" ref="B663"/>
    <hyperlink r:id="rId2965" ref="C663"/>
    <hyperlink r:id="rId2966" ref="J663"/>
    <hyperlink r:id="rId2967" ref="L663"/>
    <hyperlink r:id="rId2968" ref="N663"/>
    <hyperlink r:id="rId2969" ref="P663"/>
    <hyperlink r:id="rId2970" ref="C664"/>
    <hyperlink r:id="rId2971" ref="J664"/>
    <hyperlink r:id="rId2972" ref="L664"/>
    <hyperlink r:id="rId2973" ref="N664"/>
    <hyperlink r:id="rId2974" ref="P664"/>
    <hyperlink r:id="rId2975" ref="C665"/>
    <hyperlink r:id="rId2976" ref="J665"/>
    <hyperlink r:id="rId2977" ref="L665"/>
    <hyperlink r:id="rId2978" ref="N665"/>
    <hyperlink r:id="rId2979" ref="P665"/>
    <hyperlink r:id="rId2980" ref="C666"/>
    <hyperlink r:id="rId2981" ref="J666"/>
    <hyperlink r:id="rId2982" ref="L666"/>
    <hyperlink r:id="rId2983" ref="N666"/>
    <hyperlink r:id="rId2984" ref="P666"/>
    <hyperlink r:id="rId2985" ref="C667"/>
    <hyperlink r:id="rId2986" ref="J667"/>
    <hyperlink r:id="rId2987" ref="L667"/>
    <hyperlink r:id="rId2988" ref="N667"/>
    <hyperlink r:id="rId2989" ref="P667"/>
    <hyperlink r:id="rId2990" ref="C668"/>
    <hyperlink r:id="rId2991" ref="J668"/>
    <hyperlink r:id="rId2992" ref="L668"/>
    <hyperlink r:id="rId2993" ref="N668"/>
    <hyperlink r:id="rId2994" ref="P668"/>
    <hyperlink r:id="rId2995" ref="C669"/>
    <hyperlink r:id="rId2996" ref="J669"/>
    <hyperlink r:id="rId2997" ref="L669"/>
    <hyperlink r:id="rId2998" ref="N669"/>
    <hyperlink r:id="rId2999" ref="P669"/>
    <hyperlink r:id="rId3000" ref="C670"/>
    <hyperlink r:id="rId3001" ref="J670"/>
    <hyperlink r:id="rId3002" ref="L670"/>
    <hyperlink r:id="rId3003" ref="C671"/>
    <hyperlink r:id="rId3004" ref="J671"/>
    <hyperlink r:id="rId3005" ref="L671"/>
    <hyperlink r:id="rId3006" ref="N671"/>
    <hyperlink r:id="rId3007" ref="P671"/>
    <hyperlink r:id="rId3008" ref="C672"/>
    <hyperlink r:id="rId3009" ref="J672"/>
    <hyperlink r:id="rId3010" ref="L672"/>
    <hyperlink r:id="rId3011" ref="C673"/>
    <hyperlink r:id="rId3012" ref="J673"/>
    <hyperlink r:id="rId3013" ref="L673"/>
    <hyperlink r:id="rId3014" ref="N673"/>
    <hyperlink r:id="rId3015" ref="P673"/>
    <hyperlink r:id="rId3016" ref="C674"/>
    <hyperlink r:id="rId3017" ref="J674"/>
    <hyperlink r:id="rId3018" ref="L674"/>
    <hyperlink r:id="rId3019" ref="N674"/>
    <hyperlink r:id="rId3020" ref="P674"/>
    <hyperlink r:id="rId3021" ref="C675"/>
    <hyperlink r:id="rId3022" ref="J675"/>
    <hyperlink r:id="rId3023" ref="L675"/>
    <hyperlink r:id="rId3024" ref="N675"/>
    <hyperlink r:id="rId3025" ref="P675"/>
    <hyperlink r:id="rId3026" ref="C676"/>
    <hyperlink r:id="rId3027" ref="J676"/>
    <hyperlink r:id="rId3028" ref="L676"/>
    <hyperlink r:id="rId3029" ref="N676"/>
    <hyperlink r:id="rId3030" ref="P676"/>
    <hyperlink r:id="rId3031" ref="C677"/>
    <hyperlink r:id="rId3032" ref="J677"/>
    <hyperlink r:id="rId3033" ref="L677"/>
    <hyperlink r:id="rId3034" ref="N677"/>
    <hyperlink r:id="rId3035" ref="P677"/>
    <hyperlink r:id="rId3036" ref="C678"/>
    <hyperlink r:id="rId3037" ref="J678"/>
    <hyperlink r:id="rId3038" ref="L678"/>
    <hyperlink r:id="rId3039" ref="N678"/>
    <hyperlink r:id="rId3040" ref="P678"/>
    <hyperlink r:id="rId3041" ref="C679"/>
    <hyperlink r:id="rId3042" ref="J679"/>
    <hyperlink r:id="rId3043" ref="L679"/>
    <hyperlink r:id="rId3044" ref="N679"/>
    <hyperlink r:id="rId3045" ref="P679"/>
    <hyperlink r:id="rId3046" ref="C680"/>
    <hyperlink r:id="rId3047" ref="J680"/>
    <hyperlink r:id="rId3048" ref="L680"/>
    <hyperlink r:id="rId3049" ref="C681"/>
    <hyperlink r:id="rId3050" ref="J681"/>
    <hyperlink r:id="rId3051" ref="L681"/>
    <hyperlink r:id="rId3052" ref="N681"/>
    <hyperlink r:id="rId3053" ref="P681"/>
    <hyperlink r:id="rId3054" ref="C682"/>
    <hyperlink r:id="rId3055" ref="J682"/>
    <hyperlink r:id="rId3056" ref="L682"/>
    <hyperlink r:id="rId3057" ref="N682"/>
    <hyperlink r:id="rId3058" ref="P682"/>
    <hyperlink r:id="rId3059" ref="C683"/>
    <hyperlink r:id="rId3060" ref="J683"/>
    <hyperlink r:id="rId3061" ref="L683"/>
    <hyperlink r:id="rId3062" ref="N683"/>
    <hyperlink r:id="rId3063" ref="P683"/>
    <hyperlink r:id="rId3064" ref="C684"/>
    <hyperlink r:id="rId3065" ref="J684"/>
    <hyperlink r:id="rId3066" ref="L684"/>
    <hyperlink r:id="rId3067" ref="C685"/>
    <hyperlink r:id="rId3068" ref="J685"/>
    <hyperlink r:id="rId3069" ref="L685"/>
    <hyperlink r:id="rId3070" ref="N685"/>
    <hyperlink r:id="rId3071" ref="C686"/>
    <hyperlink r:id="rId3072" ref="C687"/>
    <hyperlink r:id="rId3073" ref="J687"/>
    <hyperlink r:id="rId3074" ref="L687"/>
    <hyperlink r:id="rId3075" ref="N687"/>
    <hyperlink r:id="rId3076" ref="C688"/>
    <hyperlink r:id="rId3077" ref="J688"/>
    <hyperlink r:id="rId3078" ref="L688"/>
    <hyperlink r:id="rId3079" ref="C689"/>
    <hyperlink r:id="rId3080" ref="J689"/>
    <hyperlink r:id="rId3081" ref="L689"/>
    <hyperlink r:id="rId3082" ref="N689"/>
    <hyperlink r:id="rId3083" ref="P689"/>
    <hyperlink r:id="rId3084" ref="B690"/>
    <hyperlink r:id="rId3085" ref="C690"/>
    <hyperlink r:id="rId3086" ref="J690"/>
    <hyperlink r:id="rId3087" ref="L690"/>
    <hyperlink r:id="rId3088" ref="N690"/>
    <hyperlink r:id="rId3089" ref="P690"/>
    <hyperlink r:id="rId3090" ref="C691"/>
    <hyperlink r:id="rId3091" ref="J691"/>
    <hyperlink r:id="rId3092" ref="L691"/>
    <hyperlink r:id="rId3093" ref="N691"/>
    <hyperlink r:id="rId3094" ref="P691"/>
    <hyperlink r:id="rId3095" ref="C692"/>
    <hyperlink r:id="rId3096" ref="J692"/>
    <hyperlink r:id="rId3097" ref="L692"/>
    <hyperlink r:id="rId3098" ref="C693"/>
    <hyperlink r:id="rId3099" ref="J693"/>
    <hyperlink r:id="rId3100" ref="L693"/>
    <hyperlink r:id="rId3101" ref="N693"/>
    <hyperlink r:id="rId3102" ref="P693"/>
    <hyperlink r:id="rId3103" ref="C694"/>
    <hyperlink r:id="rId3104" ref="J694"/>
    <hyperlink r:id="rId3105" ref="L694"/>
    <hyperlink r:id="rId3106" ref="N694"/>
    <hyperlink r:id="rId3107" ref="P694"/>
    <hyperlink r:id="rId3108" ref="C695"/>
    <hyperlink r:id="rId3109" ref="J695"/>
    <hyperlink r:id="rId3110" ref="N695"/>
    <hyperlink r:id="rId3111" ref="P695"/>
    <hyperlink r:id="rId3112" ref="C696"/>
    <hyperlink r:id="rId3113" ref="C697"/>
    <hyperlink r:id="rId3114" ref="P697"/>
    <hyperlink r:id="rId3115" ref="C698"/>
    <hyperlink r:id="rId3116" ref="C699"/>
    <hyperlink r:id="rId3117" ref="C700"/>
    <hyperlink r:id="rId3118" ref="L700"/>
    <hyperlink r:id="rId3119" ref="C701"/>
    <hyperlink r:id="rId3120" ref="C702"/>
    <hyperlink r:id="rId3121" ref="J702"/>
    <hyperlink r:id="rId3122" ref="L702"/>
    <hyperlink r:id="rId3123" ref="N702"/>
    <hyperlink r:id="rId3124" ref="P702"/>
    <hyperlink r:id="rId3125" ref="C703"/>
    <hyperlink r:id="rId3126" ref="J703"/>
    <hyperlink r:id="rId3127" ref="L703"/>
    <hyperlink r:id="rId3128" ref="N703"/>
    <hyperlink r:id="rId3129" ref="P703"/>
    <hyperlink r:id="rId3130" ref="C704"/>
    <hyperlink r:id="rId3131" ref="L704"/>
    <hyperlink r:id="rId3132" ref="C705"/>
    <hyperlink r:id="rId3133" ref="J705"/>
    <hyperlink r:id="rId3134" ref="L705"/>
    <hyperlink r:id="rId3135" ref="C706"/>
    <hyperlink r:id="rId3136" ref="J706"/>
    <hyperlink r:id="rId3137" ref="L706"/>
    <hyperlink r:id="rId3138" ref="N706"/>
    <hyperlink r:id="rId3139" ref="P706"/>
    <hyperlink r:id="rId3140" ref="C707"/>
    <hyperlink r:id="rId3141" ref="J707"/>
    <hyperlink r:id="rId3142" ref="L707"/>
    <hyperlink r:id="rId3143" ref="N707"/>
    <hyperlink r:id="rId3144" ref="P707"/>
    <hyperlink r:id="rId3145" ref="C708"/>
    <hyperlink r:id="rId3146" ref="J708"/>
    <hyperlink r:id="rId3147" ref="L708"/>
    <hyperlink r:id="rId3148" ref="C709"/>
    <hyperlink r:id="rId3149" ref="J709"/>
    <hyperlink r:id="rId3150" ref="L709"/>
    <hyperlink r:id="rId3151" ref="N709"/>
    <hyperlink r:id="rId3152" ref="P709"/>
    <hyperlink r:id="rId3153" ref="C710"/>
    <hyperlink r:id="rId3154" ref="J710"/>
    <hyperlink r:id="rId3155" ref="L710"/>
    <hyperlink r:id="rId3156" ref="N710"/>
    <hyperlink r:id="rId3157" ref="P710"/>
    <hyperlink r:id="rId3158" ref="C711"/>
    <hyperlink r:id="rId3159" ref="J711"/>
    <hyperlink r:id="rId3160" ref="L711"/>
    <hyperlink r:id="rId3161" ref="C712"/>
    <hyperlink r:id="rId3162" ref="J712"/>
    <hyperlink r:id="rId3163" ref="L712"/>
    <hyperlink r:id="rId3164" ref="N712"/>
    <hyperlink r:id="rId3165" ref="P712"/>
    <hyperlink r:id="rId3166" ref="C713"/>
    <hyperlink r:id="rId3167" ref="J713"/>
    <hyperlink r:id="rId3168" ref="L713"/>
    <hyperlink r:id="rId3169" ref="N713"/>
    <hyperlink r:id="rId3170" ref="P713"/>
    <hyperlink r:id="rId3171" ref="C714"/>
    <hyperlink r:id="rId3172" ref="J714"/>
    <hyperlink r:id="rId3173" ref="L714"/>
    <hyperlink r:id="rId3174" ref="N714"/>
    <hyperlink r:id="rId3175" ref="P714"/>
    <hyperlink r:id="rId3176" ref="C715"/>
    <hyperlink r:id="rId3177" ref="J715"/>
    <hyperlink r:id="rId3178" ref="L715"/>
    <hyperlink r:id="rId3179" ref="N715"/>
    <hyperlink r:id="rId3180" ref="P715"/>
    <hyperlink r:id="rId3181" ref="C716"/>
    <hyperlink r:id="rId3182" ref="J716"/>
    <hyperlink r:id="rId3183" ref="L716"/>
    <hyperlink r:id="rId3184" ref="N716"/>
    <hyperlink r:id="rId3185" ref="P716"/>
    <hyperlink r:id="rId3186" ref="C717"/>
    <hyperlink r:id="rId3187" ref="C718"/>
    <hyperlink r:id="rId3188" ref="J718"/>
    <hyperlink r:id="rId3189" ref="L718"/>
    <hyperlink r:id="rId3190" ref="N718"/>
    <hyperlink r:id="rId3191" ref="P718"/>
    <hyperlink r:id="rId3192" ref="C719"/>
    <hyperlink r:id="rId3193" ref="J719"/>
    <hyperlink r:id="rId3194" ref="L719"/>
    <hyperlink r:id="rId3195" ref="N719"/>
    <hyperlink r:id="rId3196" ref="P719"/>
    <hyperlink r:id="rId3197" ref="C720"/>
    <hyperlink r:id="rId3198" ref="J720"/>
    <hyperlink r:id="rId3199" ref="L720"/>
    <hyperlink r:id="rId3200" ref="C721"/>
    <hyperlink r:id="rId3201" ref="L721"/>
    <hyperlink r:id="rId3202" ref="N721"/>
    <hyperlink r:id="rId3203" ref="P721"/>
    <hyperlink r:id="rId3204" ref="C722"/>
    <hyperlink r:id="rId3205" ref="J722"/>
    <hyperlink r:id="rId3206" ref="L722"/>
    <hyperlink r:id="rId3207" ref="N722"/>
    <hyperlink r:id="rId3208" ref="P722"/>
    <hyperlink r:id="rId3209" ref="C723"/>
    <hyperlink r:id="rId3210" ref="J723"/>
    <hyperlink r:id="rId3211" ref="L723"/>
    <hyperlink r:id="rId3212" ref="N723"/>
    <hyperlink r:id="rId3213" ref="P723"/>
    <hyperlink r:id="rId3214" ref="B724"/>
    <hyperlink r:id="rId3215" ref="C724"/>
    <hyperlink r:id="rId3216" ref="J724"/>
    <hyperlink r:id="rId3217" ref="L724"/>
    <hyperlink r:id="rId3218" ref="N724"/>
    <hyperlink r:id="rId3219" ref="P724"/>
    <hyperlink r:id="rId3220" ref="C725"/>
    <hyperlink r:id="rId3221" ref="J725"/>
    <hyperlink r:id="rId3222" ref="L725"/>
    <hyperlink r:id="rId3223" ref="N725"/>
    <hyperlink r:id="rId3224" ref="P725"/>
    <hyperlink r:id="rId3225" ref="C726"/>
    <hyperlink r:id="rId3226" ref="J726"/>
    <hyperlink r:id="rId3227" ref="L726"/>
    <hyperlink r:id="rId3228" ref="N726"/>
    <hyperlink r:id="rId3229" ref="P726"/>
    <hyperlink r:id="rId3230" ref="C727"/>
    <hyperlink r:id="rId3231" ref="J727"/>
    <hyperlink r:id="rId3232" ref="L727"/>
    <hyperlink r:id="rId3233" ref="N727"/>
    <hyperlink r:id="rId3234" ref="P727"/>
    <hyperlink r:id="rId3235" ref="C728"/>
    <hyperlink r:id="rId3236" ref="J728"/>
    <hyperlink r:id="rId3237" ref="L728"/>
    <hyperlink r:id="rId3238" ref="C729"/>
    <hyperlink r:id="rId3239" ref="J729"/>
    <hyperlink r:id="rId3240" ref="L729"/>
    <hyperlink r:id="rId3241" ref="N729"/>
    <hyperlink r:id="rId3242" ref="P729"/>
    <hyperlink r:id="rId3243" ref="C730"/>
    <hyperlink r:id="rId3244" ref="J730"/>
    <hyperlink r:id="rId3245" ref="L730"/>
    <hyperlink r:id="rId3246" ref="C731"/>
    <hyperlink r:id="rId3247" ref="C732"/>
    <hyperlink r:id="rId3248" ref="L732"/>
    <hyperlink r:id="rId3249" ref="N732"/>
    <hyperlink r:id="rId3250" ref="P732"/>
    <hyperlink r:id="rId3251" ref="C733"/>
    <hyperlink r:id="rId3252" ref="J733"/>
    <hyperlink r:id="rId3253" ref="L733"/>
    <hyperlink r:id="rId3254" ref="N733"/>
    <hyperlink r:id="rId3255" ref="P733"/>
    <hyperlink r:id="rId3256" ref="C734"/>
    <hyperlink r:id="rId3257" ref="J734"/>
    <hyperlink r:id="rId3258" ref="L734"/>
    <hyperlink r:id="rId3259" ref="N734"/>
    <hyperlink r:id="rId3260" ref="P734"/>
    <hyperlink r:id="rId3261" ref="C735"/>
    <hyperlink r:id="rId3262" ref="J735"/>
    <hyperlink r:id="rId3263" ref="L735"/>
    <hyperlink r:id="rId3264" ref="N735"/>
    <hyperlink r:id="rId3265" ref="P735"/>
    <hyperlink r:id="rId3266" ref="C736"/>
    <hyperlink r:id="rId3267" ref="J736"/>
    <hyperlink r:id="rId3268" ref="L736"/>
    <hyperlink r:id="rId3269" ref="N736"/>
    <hyperlink r:id="rId3270" ref="P736"/>
    <hyperlink r:id="rId3271" ref="C737"/>
    <hyperlink r:id="rId3272" ref="J737"/>
    <hyperlink r:id="rId3273" ref="L737"/>
    <hyperlink r:id="rId3274" ref="N737"/>
    <hyperlink r:id="rId3275" ref="P737"/>
    <hyperlink r:id="rId3276" ref="C738"/>
    <hyperlink r:id="rId3277" ref="J738"/>
    <hyperlink r:id="rId3278" ref="L738"/>
    <hyperlink r:id="rId3279" ref="N738"/>
    <hyperlink r:id="rId3280" ref="P738"/>
    <hyperlink r:id="rId3281" ref="C739"/>
    <hyperlink r:id="rId3282" ref="J739"/>
    <hyperlink r:id="rId3283" ref="L739"/>
    <hyperlink r:id="rId3284" ref="N739"/>
    <hyperlink r:id="rId3285" ref="P739"/>
    <hyperlink r:id="rId3286" ref="C740"/>
    <hyperlink r:id="rId3287" ref="J740"/>
    <hyperlink r:id="rId3288" ref="L740"/>
    <hyperlink r:id="rId3289" ref="N740"/>
    <hyperlink r:id="rId3290" ref="P740"/>
    <hyperlink r:id="rId3291" ref="C741"/>
    <hyperlink r:id="rId3292" ref="J741"/>
    <hyperlink r:id="rId3293" ref="L741"/>
    <hyperlink r:id="rId3294" ref="N741"/>
    <hyperlink r:id="rId3295" ref="P741"/>
    <hyperlink r:id="rId3296" ref="C742"/>
    <hyperlink r:id="rId3297" ref="J742"/>
    <hyperlink r:id="rId3298" ref="L742"/>
    <hyperlink r:id="rId3299" ref="N742"/>
    <hyperlink r:id="rId3300" ref="P742"/>
    <hyperlink r:id="rId3301" ref="C743"/>
    <hyperlink r:id="rId3302" ref="J743"/>
    <hyperlink r:id="rId3303" ref="L743"/>
    <hyperlink r:id="rId3304" ref="N743"/>
    <hyperlink r:id="rId3305" ref="P743"/>
    <hyperlink r:id="rId3306" ref="C744"/>
    <hyperlink r:id="rId3307" ref="J744"/>
    <hyperlink r:id="rId3308" ref="L744"/>
    <hyperlink r:id="rId3309" ref="N744"/>
    <hyperlink r:id="rId3310" ref="P744"/>
    <hyperlink r:id="rId3311" ref="C745"/>
    <hyperlink r:id="rId3312" ref="C746"/>
    <hyperlink r:id="rId3313" ref="J746"/>
    <hyperlink r:id="rId3314" ref="L746"/>
    <hyperlink r:id="rId3315" ref="N746"/>
    <hyperlink r:id="rId3316" ref="P746"/>
    <hyperlink r:id="rId3317" ref="C747"/>
    <hyperlink r:id="rId3318" ref="J747"/>
    <hyperlink r:id="rId3319" ref="L747"/>
    <hyperlink r:id="rId3320" ref="N747"/>
    <hyperlink r:id="rId3321" ref="P747"/>
    <hyperlink r:id="rId3322" ref="C748"/>
    <hyperlink r:id="rId3323" ref="J748"/>
    <hyperlink r:id="rId3324" ref="L748"/>
    <hyperlink r:id="rId3325" ref="N748"/>
    <hyperlink r:id="rId3326" ref="P748"/>
    <hyperlink r:id="rId3327" ref="C749"/>
    <hyperlink r:id="rId3328" ref="C750"/>
    <hyperlink r:id="rId3329" ref="J750"/>
    <hyperlink r:id="rId3330" ref="L750"/>
    <hyperlink r:id="rId3331" ref="N750"/>
    <hyperlink r:id="rId3332" ref="P750"/>
    <hyperlink r:id="rId3333" ref="C751"/>
    <hyperlink r:id="rId3334" ref="J751"/>
    <hyperlink r:id="rId3335" ref="L751"/>
    <hyperlink r:id="rId3336" ref="N751"/>
    <hyperlink r:id="rId3337" ref="P751"/>
    <hyperlink r:id="rId3338" ref="C752"/>
    <hyperlink r:id="rId3339" ref="J752"/>
    <hyperlink r:id="rId3340" ref="L752"/>
    <hyperlink r:id="rId3341" ref="N752"/>
    <hyperlink r:id="rId3342" ref="P752"/>
    <hyperlink r:id="rId3343" ref="C753"/>
    <hyperlink r:id="rId3344" ref="J753"/>
    <hyperlink r:id="rId3345" ref="L753"/>
    <hyperlink r:id="rId3346" ref="N753"/>
    <hyperlink r:id="rId3347" ref="P753"/>
    <hyperlink r:id="rId3348" ref="C754"/>
    <hyperlink r:id="rId3349" ref="J754"/>
    <hyperlink r:id="rId3350" ref="L754"/>
    <hyperlink r:id="rId3351" ref="N754"/>
    <hyperlink r:id="rId3352" ref="P754"/>
    <hyperlink r:id="rId3353" ref="C755"/>
    <hyperlink r:id="rId3354" ref="J755"/>
    <hyperlink r:id="rId3355" ref="L755"/>
    <hyperlink r:id="rId3356" ref="N755"/>
    <hyperlink r:id="rId3357" ref="P755"/>
    <hyperlink r:id="rId3358" ref="C756"/>
    <hyperlink r:id="rId3359" ref="J756"/>
    <hyperlink r:id="rId3360" ref="L756"/>
    <hyperlink r:id="rId3361" ref="N756"/>
    <hyperlink r:id="rId3362" ref="P756"/>
    <hyperlink r:id="rId3363" ref="B757"/>
    <hyperlink r:id="rId3364" ref="C757"/>
    <hyperlink r:id="rId3365" ref="J757"/>
    <hyperlink r:id="rId3366" ref="L757"/>
    <hyperlink r:id="rId3367" ref="N757"/>
    <hyperlink r:id="rId3368" ref="P757"/>
    <hyperlink r:id="rId3369" ref="C758"/>
    <hyperlink r:id="rId3370" ref="J758"/>
    <hyperlink r:id="rId3371" ref="L758"/>
    <hyperlink r:id="rId3372" ref="N758"/>
    <hyperlink r:id="rId3373" ref="P758"/>
    <hyperlink r:id="rId3374" ref="C759"/>
    <hyperlink r:id="rId3375" ref="N759"/>
    <hyperlink r:id="rId3376" ref="P759"/>
    <hyperlink r:id="rId3377" ref="C760"/>
    <hyperlink r:id="rId3378" ref="J760"/>
    <hyperlink r:id="rId3379" ref="L760"/>
    <hyperlink r:id="rId3380" ref="N760"/>
    <hyperlink r:id="rId3381" ref="P760"/>
    <hyperlink r:id="rId3382" ref="C761"/>
    <hyperlink r:id="rId3383" ref="J761"/>
    <hyperlink r:id="rId3384" ref="L761"/>
    <hyperlink r:id="rId3385" ref="N761"/>
    <hyperlink r:id="rId3386" ref="P761"/>
    <hyperlink r:id="rId3387" ref="C762"/>
    <hyperlink r:id="rId3388" ref="J762"/>
    <hyperlink r:id="rId3389" ref="L762"/>
    <hyperlink r:id="rId3390" ref="N762"/>
    <hyperlink r:id="rId3391" ref="P762"/>
    <hyperlink r:id="rId3392" ref="C763"/>
    <hyperlink r:id="rId3393" ref="J763"/>
    <hyperlink r:id="rId3394" ref="L763"/>
    <hyperlink r:id="rId3395" ref="N763"/>
    <hyperlink r:id="rId3396" ref="P763"/>
    <hyperlink r:id="rId3397" ref="C764"/>
    <hyperlink r:id="rId3398" ref="J764"/>
    <hyperlink r:id="rId3399" ref="L764"/>
    <hyperlink r:id="rId3400" ref="N764"/>
    <hyperlink r:id="rId3401" ref="P764"/>
    <hyperlink r:id="rId3402" ref="C765"/>
    <hyperlink r:id="rId3403" ref="J765"/>
    <hyperlink r:id="rId3404" ref="L765"/>
    <hyperlink r:id="rId3405" ref="N765"/>
    <hyperlink r:id="rId3406" ref="P765"/>
    <hyperlink r:id="rId3407" ref="C766"/>
    <hyperlink r:id="rId3408" ref="J766"/>
    <hyperlink r:id="rId3409" ref="L766"/>
    <hyperlink r:id="rId3410" ref="N766"/>
    <hyperlink r:id="rId3411" ref="P766"/>
    <hyperlink r:id="rId3412" ref="C767"/>
    <hyperlink r:id="rId3413" ref="J767"/>
    <hyperlink r:id="rId3414" ref="L767"/>
    <hyperlink r:id="rId3415" ref="N767"/>
    <hyperlink r:id="rId3416" ref="P767"/>
    <hyperlink r:id="rId3417" ref="C768"/>
    <hyperlink r:id="rId3418" ref="C769"/>
    <hyperlink r:id="rId3419" ref="J769"/>
    <hyperlink r:id="rId3420" ref="L769"/>
    <hyperlink r:id="rId3421" ref="N769"/>
    <hyperlink r:id="rId3422" ref="P769"/>
    <hyperlink r:id="rId3423" ref="B770"/>
    <hyperlink r:id="rId3424" ref="C770"/>
    <hyperlink r:id="rId3425" ref="J770"/>
    <hyperlink r:id="rId3426" ref="L770"/>
    <hyperlink r:id="rId3427" ref="N770"/>
    <hyperlink r:id="rId3428" ref="P770"/>
    <hyperlink r:id="rId3429" ref="C771"/>
    <hyperlink r:id="rId3430" ref="J771"/>
    <hyperlink r:id="rId3431" ref="L771"/>
    <hyperlink r:id="rId3432" ref="N771"/>
    <hyperlink r:id="rId3433" ref="C772"/>
    <hyperlink r:id="rId3434" ref="J772"/>
    <hyperlink r:id="rId3435" ref="L772"/>
    <hyperlink r:id="rId3436" ref="C773"/>
    <hyperlink r:id="rId3437" ref="J773"/>
    <hyperlink r:id="rId3438" ref="L773"/>
    <hyperlink r:id="rId3439" ref="C774"/>
    <hyperlink r:id="rId3440" ref="J774"/>
    <hyperlink r:id="rId3441" ref="L774"/>
    <hyperlink r:id="rId3442" ref="N774"/>
    <hyperlink r:id="rId3443" ref="P774"/>
    <hyperlink r:id="rId3444" ref="C775"/>
    <hyperlink r:id="rId3445" ref="J775"/>
    <hyperlink r:id="rId3446" ref="L775"/>
    <hyperlink r:id="rId3447" ref="N775"/>
    <hyperlink r:id="rId3448" ref="P775"/>
    <hyperlink r:id="rId3449" ref="C776"/>
    <hyperlink r:id="rId3450" ref="J776"/>
    <hyperlink r:id="rId3451" ref="L776"/>
    <hyperlink r:id="rId3452" ref="N776"/>
    <hyperlink r:id="rId3453" ref="P776"/>
    <hyperlink r:id="rId3454" ref="C777"/>
    <hyperlink r:id="rId3455" ref="J777"/>
    <hyperlink r:id="rId3456" ref="L777"/>
    <hyperlink r:id="rId3457" ref="N777"/>
    <hyperlink r:id="rId3458" ref="P777"/>
    <hyperlink r:id="rId3459" ref="C778"/>
    <hyperlink r:id="rId3460" ref="J778"/>
    <hyperlink r:id="rId3461" ref="L778"/>
    <hyperlink r:id="rId3462" ref="N778"/>
    <hyperlink r:id="rId3463" ref="P778"/>
    <hyperlink r:id="rId3464" ref="C779"/>
    <hyperlink r:id="rId3465" ref="J779"/>
    <hyperlink r:id="rId3466" ref="L779"/>
    <hyperlink r:id="rId3467" ref="N779"/>
    <hyperlink r:id="rId3468" ref="P779"/>
    <hyperlink r:id="rId3469" ref="C780"/>
    <hyperlink r:id="rId3470" ref="J780"/>
    <hyperlink r:id="rId3471" ref="L780"/>
    <hyperlink r:id="rId3472" ref="P780"/>
    <hyperlink r:id="rId3473" ref="C781"/>
    <hyperlink r:id="rId3474" ref="J781"/>
    <hyperlink r:id="rId3475" ref="L781"/>
    <hyperlink r:id="rId3476" ref="C782"/>
    <hyperlink r:id="rId3477" ref="L782"/>
    <hyperlink r:id="rId3478" ref="C783"/>
    <hyperlink r:id="rId3479" ref="L783"/>
    <hyperlink r:id="rId3480" ref="C784"/>
    <hyperlink r:id="rId3481" ref="N784"/>
    <hyperlink r:id="rId3482" ref="P784"/>
    <hyperlink r:id="rId3483" ref="C785"/>
    <hyperlink r:id="rId3484" ref="J785"/>
    <hyperlink r:id="rId3485" ref="N785"/>
    <hyperlink r:id="rId3486" ref="P785"/>
    <hyperlink r:id="rId3487" ref="C786"/>
    <hyperlink r:id="rId3488" ref="J786"/>
    <hyperlink r:id="rId3489" ref="L786"/>
    <hyperlink r:id="rId3490" ref="N786"/>
    <hyperlink r:id="rId3491" ref="P786"/>
    <hyperlink r:id="rId3492" ref="C787"/>
    <hyperlink r:id="rId3493" ref="J787"/>
    <hyperlink r:id="rId3494" ref="L787"/>
    <hyperlink r:id="rId3495" ref="C788"/>
    <hyperlink r:id="rId3496" ref="J788"/>
    <hyperlink r:id="rId3497" ref="L788"/>
    <hyperlink r:id="rId3498" ref="N788"/>
    <hyperlink r:id="rId3499" ref="C789"/>
    <hyperlink r:id="rId3500" ref="P789"/>
    <hyperlink r:id="rId3501" ref="C790"/>
    <hyperlink r:id="rId3502" ref="N790"/>
    <hyperlink r:id="rId3503" ref="P790"/>
    <hyperlink r:id="rId3504" ref="C791"/>
    <hyperlink r:id="rId3505" ref="L791"/>
    <hyperlink r:id="rId3506" ref="N791"/>
    <hyperlink r:id="rId3507" ref="P791"/>
    <hyperlink r:id="rId3508" ref="C792"/>
    <hyperlink r:id="rId3509" ref="L792"/>
    <hyperlink r:id="rId3510" ref="N792"/>
    <hyperlink r:id="rId3511" ref="C793"/>
    <hyperlink r:id="rId3512" ref="P793"/>
    <hyperlink r:id="rId3513" ref="C794"/>
    <hyperlink r:id="rId3514" ref="P794"/>
    <hyperlink r:id="rId3515" ref="C795"/>
    <hyperlink r:id="rId3516" ref="P795"/>
    <hyperlink r:id="rId3517" ref="C796"/>
    <hyperlink r:id="rId3518" ref="J796"/>
    <hyperlink r:id="rId3519" ref="C797"/>
    <hyperlink r:id="rId3520" ref="L797"/>
    <hyperlink r:id="rId3521" ref="N797"/>
    <hyperlink r:id="rId3522" ref="P797"/>
    <hyperlink r:id="rId3523" ref="C798"/>
    <hyperlink r:id="rId3524" ref="C799"/>
    <hyperlink r:id="rId3525" ref="L799"/>
    <hyperlink r:id="rId3526" ref="N799"/>
    <hyperlink r:id="rId3527" ref="P799"/>
    <hyperlink r:id="rId3528" ref="C800"/>
    <hyperlink r:id="rId3529" ref="J800"/>
    <hyperlink r:id="rId3530" ref="L800"/>
    <hyperlink r:id="rId3531" ref="N800"/>
    <hyperlink r:id="rId3532" ref="P800"/>
    <hyperlink r:id="rId3533" ref="C801"/>
    <hyperlink r:id="rId3534" ref="J801"/>
    <hyperlink r:id="rId3535" ref="L801"/>
    <hyperlink r:id="rId3536" ref="N801"/>
    <hyperlink r:id="rId3537" ref="P801"/>
    <hyperlink r:id="rId3538" ref="C802"/>
    <hyperlink r:id="rId3539" ref="N802"/>
    <hyperlink r:id="rId3540" ref="P802"/>
    <hyperlink r:id="rId3541" ref="C803"/>
    <hyperlink r:id="rId3542" ref="C804"/>
    <hyperlink r:id="rId3543" ref="J804"/>
    <hyperlink r:id="rId3544" ref="L804"/>
    <hyperlink r:id="rId3545" ref="N804"/>
    <hyperlink r:id="rId3546" ref="C805"/>
    <hyperlink r:id="rId3547" ref="L805"/>
    <hyperlink r:id="rId3548" ref="N805"/>
    <hyperlink r:id="rId3549" ref="P805"/>
    <hyperlink r:id="rId3550" ref="C806"/>
    <hyperlink r:id="rId3551" ref="L806"/>
    <hyperlink r:id="rId3552" ref="N806"/>
    <hyperlink r:id="rId3553" ref="C807"/>
    <hyperlink r:id="rId3554" ref="C808"/>
    <hyperlink r:id="rId3555" ref="C809"/>
    <hyperlink r:id="rId3556" ref="C810"/>
    <hyperlink r:id="rId3557" ref="C811"/>
    <hyperlink r:id="rId3558" ref="C812"/>
    <hyperlink r:id="rId3559" ref="C813"/>
    <hyperlink r:id="rId3560" ref="J813"/>
    <hyperlink r:id="rId3561" ref="L813"/>
    <hyperlink r:id="rId3562" ref="C814"/>
    <hyperlink r:id="rId3563" ref="J814"/>
    <hyperlink r:id="rId3564" ref="L814"/>
    <hyperlink r:id="rId3565" ref="N814"/>
    <hyperlink r:id="rId3566" ref="P814"/>
    <hyperlink r:id="rId3567" ref="C815"/>
    <hyperlink r:id="rId3568" ref="J815"/>
    <hyperlink r:id="rId3569" ref="L815"/>
    <hyperlink r:id="rId3570" ref="N815"/>
    <hyperlink r:id="rId3571" ref="P815"/>
    <hyperlink r:id="rId3572" ref="C816"/>
    <hyperlink r:id="rId3573" ref="J816"/>
    <hyperlink r:id="rId3574" ref="L816"/>
    <hyperlink r:id="rId3575" ref="C817"/>
    <hyperlink r:id="rId3576" ref="J817"/>
    <hyperlink r:id="rId3577" ref="L817"/>
    <hyperlink r:id="rId3578" ref="N817"/>
    <hyperlink r:id="rId3579" ref="P817"/>
    <hyperlink r:id="rId3580" ref="C818"/>
    <hyperlink r:id="rId3581" ref="J818"/>
    <hyperlink r:id="rId3582" ref="L818"/>
    <hyperlink r:id="rId3583" ref="N818"/>
    <hyperlink r:id="rId3584" ref="P818"/>
    <hyperlink r:id="rId3585" ref="C819"/>
    <hyperlink r:id="rId3586" ref="J819"/>
    <hyperlink r:id="rId3587" ref="L819"/>
    <hyperlink r:id="rId3588" ref="N819"/>
    <hyperlink r:id="rId3589" ref="P819"/>
    <hyperlink r:id="rId3590" ref="C820"/>
    <hyperlink r:id="rId3591" ref="J820"/>
    <hyperlink r:id="rId3592" ref="L820"/>
    <hyperlink r:id="rId3593" ref="N820"/>
    <hyperlink r:id="rId3594" ref="P820"/>
    <hyperlink r:id="rId3595" ref="C821"/>
    <hyperlink r:id="rId3596" ref="J821"/>
    <hyperlink r:id="rId3597" ref="L821"/>
    <hyperlink r:id="rId3598" ref="N821"/>
    <hyperlink r:id="rId3599" ref="P821"/>
    <hyperlink r:id="rId3600" ref="C822"/>
    <hyperlink r:id="rId3601" ref="J822"/>
    <hyperlink r:id="rId3602" ref="L822"/>
    <hyperlink r:id="rId3603" ref="C823"/>
    <hyperlink r:id="rId3604" ref="J823"/>
    <hyperlink r:id="rId3605" ref="L823"/>
    <hyperlink r:id="rId3606" ref="N823"/>
    <hyperlink r:id="rId3607" ref="P823"/>
    <hyperlink r:id="rId3608" ref="C824"/>
    <hyperlink r:id="rId3609" ref="L824"/>
    <hyperlink r:id="rId3610" ref="N824"/>
    <hyperlink r:id="rId3611" ref="P824"/>
    <hyperlink r:id="rId3612" ref="C825"/>
    <hyperlink r:id="rId3613" ref="J825"/>
    <hyperlink r:id="rId3614" ref="L825"/>
    <hyperlink r:id="rId3615" ref="N825"/>
    <hyperlink r:id="rId3616" ref="P825"/>
    <hyperlink r:id="rId3617" ref="C826"/>
    <hyperlink r:id="rId3618" ref="J826"/>
    <hyperlink r:id="rId3619" ref="L826"/>
    <hyperlink r:id="rId3620" ref="N826"/>
    <hyperlink r:id="rId3621" ref="P826"/>
    <hyperlink r:id="rId3622" ref="C827"/>
    <hyperlink r:id="rId3623" ref="J827"/>
    <hyperlink r:id="rId3624" ref="L827"/>
    <hyperlink r:id="rId3625" ref="N827"/>
    <hyperlink r:id="rId3626" ref="P827"/>
    <hyperlink r:id="rId3627" ref="C828"/>
    <hyperlink r:id="rId3628" ref="J828"/>
    <hyperlink r:id="rId3629" ref="L828"/>
    <hyperlink r:id="rId3630" ref="N828"/>
    <hyperlink r:id="rId3631" ref="P828"/>
    <hyperlink r:id="rId3632" ref="C829"/>
    <hyperlink r:id="rId3633" ref="J829"/>
    <hyperlink r:id="rId3634" ref="L829"/>
    <hyperlink r:id="rId3635" ref="C830"/>
    <hyperlink r:id="rId3636" ref="J830"/>
    <hyperlink r:id="rId3637" ref="L830"/>
    <hyperlink r:id="rId3638" ref="C831"/>
    <hyperlink r:id="rId3639" ref="J831"/>
    <hyperlink r:id="rId3640" ref="L831"/>
    <hyperlink r:id="rId3641" ref="N831"/>
    <hyperlink r:id="rId3642" ref="P831"/>
    <hyperlink r:id="rId3643" ref="C832"/>
    <hyperlink r:id="rId3644" ref="J832"/>
    <hyperlink r:id="rId3645" ref="L832"/>
    <hyperlink r:id="rId3646" ref="N832"/>
    <hyperlink r:id="rId3647" ref="P832"/>
    <hyperlink r:id="rId3648" ref="C833"/>
    <hyperlink r:id="rId3649" ref="J833"/>
    <hyperlink r:id="rId3650" ref="N833"/>
    <hyperlink r:id="rId3651" ref="P833"/>
    <hyperlink r:id="rId3652" ref="C834"/>
    <hyperlink r:id="rId3653" ref="J834"/>
    <hyperlink r:id="rId3654" ref="L834"/>
    <hyperlink r:id="rId3655" ref="N834"/>
    <hyperlink r:id="rId3656" ref="P834"/>
    <hyperlink r:id="rId3657" ref="C835"/>
    <hyperlink r:id="rId3658" ref="J835"/>
    <hyperlink r:id="rId3659" ref="L835"/>
    <hyperlink r:id="rId3660" ref="N835"/>
    <hyperlink r:id="rId3661" ref="P835"/>
    <hyperlink r:id="rId3662" ref="C836"/>
    <hyperlink r:id="rId3663" ref="L836"/>
    <hyperlink r:id="rId3664" ref="N836"/>
    <hyperlink r:id="rId3665" ref="P836"/>
    <hyperlink r:id="rId3666" ref="C837"/>
    <hyperlink r:id="rId3667" ref="P837"/>
    <hyperlink r:id="rId3668" ref="C838"/>
    <hyperlink r:id="rId3669" ref="J838"/>
    <hyperlink r:id="rId3670" ref="L838"/>
    <hyperlink r:id="rId3671" ref="N838"/>
    <hyperlink r:id="rId3672" ref="P838"/>
    <hyperlink r:id="rId3673" ref="C839"/>
    <hyperlink r:id="rId3674" ref="J839"/>
    <hyperlink r:id="rId3675" ref="L839"/>
    <hyperlink r:id="rId3676" ref="N839"/>
    <hyperlink r:id="rId3677" ref="P839"/>
    <hyperlink r:id="rId3678" ref="C840"/>
    <hyperlink r:id="rId3679" ref="J840"/>
    <hyperlink r:id="rId3680" ref="L840"/>
    <hyperlink r:id="rId3681" ref="N840"/>
    <hyperlink r:id="rId3682" ref="P840"/>
    <hyperlink r:id="rId3683" ref="C841"/>
    <hyperlink r:id="rId3684" ref="J841"/>
    <hyperlink r:id="rId3685" ref="L841"/>
    <hyperlink r:id="rId3686" ref="N841"/>
    <hyperlink r:id="rId3687" ref="P841"/>
    <hyperlink r:id="rId3688" ref="C842"/>
    <hyperlink r:id="rId3689" ref="L842"/>
    <hyperlink r:id="rId3690" ref="N842"/>
    <hyperlink r:id="rId3691" ref="P842"/>
    <hyperlink r:id="rId3692" ref="C843"/>
    <hyperlink r:id="rId3693" ref="J843"/>
    <hyperlink r:id="rId3694" ref="L843"/>
    <hyperlink r:id="rId3695" ref="N843"/>
    <hyperlink r:id="rId3696" ref="P843"/>
    <hyperlink r:id="rId3697" ref="C844"/>
    <hyperlink r:id="rId3698" ref="J844"/>
    <hyperlink r:id="rId3699" ref="L844"/>
    <hyperlink r:id="rId3700" ref="N844"/>
    <hyperlink r:id="rId3701" ref="P844"/>
    <hyperlink r:id="rId3702" ref="C845"/>
    <hyperlink r:id="rId3703" ref="J845"/>
    <hyperlink r:id="rId3704" ref="L845"/>
    <hyperlink r:id="rId3705" ref="N845"/>
    <hyperlink r:id="rId3706" ref="P845"/>
    <hyperlink r:id="rId3707" ref="C846"/>
    <hyperlink r:id="rId3708" ref="J846"/>
    <hyperlink r:id="rId3709" ref="L846"/>
    <hyperlink r:id="rId3710" ref="N846"/>
    <hyperlink r:id="rId3711" ref="P846"/>
    <hyperlink r:id="rId3712" ref="C847"/>
    <hyperlink r:id="rId3713" ref="J847"/>
    <hyperlink r:id="rId3714" ref="L847"/>
    <hyperlink r:id="rId3715" ref="N847"/>
    <hyperlink r:id="rId3716" ref="P847"/>
    <hyperlink r:id="rId3717" ref="C848"/>
    <hyperlink r:id="rId3718" ref="J848"/>
    <hyperlink r:id="rId3719" ref="L848"/>
    <hyperlink r:id="rId3720" ref="N848"/>
    <hyperlink r:id="rId3721" ref="P848"/>
    <hyperlink r:id="rId3722" ref="C849"/>
    <hyperlink r:id="rId3723" ref="J849"/>
    <hyperlink r:id="rId3724" ref="L849"/>
    <hyperlink r:id="rId3725" ref="N849"/>
    <hyperlink r:id="rId3726" ref="P849"/>
    <hyperlink r:id="rId3727" ref="C850"/>
    <hyperlink r:id="rId3728" ref="J850"/>
    <hyperlink r:id="rId3729" ref="L850"/>
    <hyperlink r:id="rId3730" ref="N850"/>
    <hyperlink r:id="rId3731" ref="C851"/>
    <hyperlink r:id="rId3732" ref="J851"/>
    <hyperlink r:id="rId3733" ref="L851"/>
    <hyperlink r:id="rId3734" ref="N851"/>
    <hyperlink r:id="rId3735" ref="P851"/>
    <hyperlink r:id="rId3736" ref="C852"/>
    <hyperlink r:id="rId3737" ref="J852"/>
    <hyperlink r:id="rId3738" ref="L852"/>
    <hyperlink r:id="rId3739" ref="N852"/>
    <hyperlink r:id="rId3740" ref="P852"/>
    <hyperlink r:id="rId3741" ref="C853"/>
    <hyperlink r:id="rId3742" ref="J853"/>
    <hyperlink r:id="rId3743" ref="L853"/>
    <hyperlink r:id="rId3744" ref="N853"/>
    <hyperlink r:id="rId3745" ref="P853"/>
    <hyperlink r:id="rId3746" ref="C854"/>
    <hyperlink r:id="rId3747" ref="J854"/>
    <hyperlink r:id="rId3748" ref="L854"/>
    <hyperlink r:id="rId3749" ref="N854"/>
    <hyperlink r:id="rId3750" ref="P854"/>
    <hyperlink r:id="rId3751" ref="C855"/>
    <hyperlink r:id="rId3752" ref="J855"/>
    <hyperlink r:id="rId3753" ref="L855"/>
    <hyperlink r:id="rId3754" ref="N855"/>
    <hyperlink r:id="rId3755" ref="P855"/>
    <hyperlink r:id="rId3756" ref="C856"/>
    <hyperlink r:id="rId3757" ref="J856"/>
    <hyperlink r:id="rId3758" ref="L856"/>
    <hyperlink r:id="rId3759" ref="N856"/>
    <hyperlink r:id="rId3760" ref="P856"/>
    <hyperlink r:id="rId3761" ref="C857"/>
    <hyperlink r:id="rId3762" ref="J857"/>
    <hyperlink r:id="rId3763" ref="L857"/>
    <hyperlink r:id="rId3764" ref="N857"/>
    <hyperlink r:id="rId3765" ref="P857"/>
    <hyperlink r:id="rId3766" ref="J858"/>
    <hyperlink r:id="rId3767" ref="L858"/>
    <hyperlink r:id="rId3768" ref="N858"/>
    <hyperlink r:id="rId3769" ref="P858"/>
    <hyperlink r:id="rId3770" ref="C859"/>
    <hyperlink r:id="rId3771" ref="J859"/>
    <hyperlink r:id="rId3772" ref="L859"/>
    <hyperlink r:id="rId3773" ref="N859"/>
    <hyperlink r:id="rId3774" ref="P859"/>
    <hyperlink r:id="rId3775" ref="C860"/>
    <hyperlink r:id="rId3776" ref="J860"/>
    <hyperlink r:id="rId3777" ref="L860"/>
    <hyperlink r:id="rId3778" ref="N860"/>
    <hyperlink r:id="rId3779" ref="P860"/>
    <hyperlink r:id="rId3780" ref="C861"/>
    <hyperlink r:id="rId3781" ref="J861"/>
    <hyperlink r:id="rId3782" ref="L861"/>
    <hyperlink r:id="rId3783" ref="N861"/>
    <hyperlink r:id="rId3784" ref="P861"/>
    <hyperlink r:id="rId3785" ref="C862"/>
    <hyperlink r:id="rId3786" ref="J862"/>
    <hyperlink r:id="rId3787" ref="L862"/>
    <hyperlink r:id="rId3788" ref="N862"/>
    <hyperlink r:id="rId3789" ref="P862"/>
    <hyperlink r:id="rId3790" ref="C863"/>
    <hyperlink r:id="rId3791" ref="C864"/>
    <hyperlink r:id="rId3792" ref="J864"/>
    <hyperlink r:id="rId3793" ref="L864"/>
    <hyperlink r:id="rId3794" ref="N864"/>
    <hyperlink r:id="rId3795" ref="P864"/>
    <hyperlink r:id="rId3796" ref="C865"/>
    <hyperlink r:id="rId3797" ref="J865"/>
    <hyperlink r:id="rId3798" ref="L865"/>
    <hyperlink r:id="rId3799" ref="N865"/>
    <hyperlink r:id="rId3800" ref="P865"/>
    <hyperlink r:id="rId3801" ref="C866"/>
    <hyperlink r:id="rId3802" ref="J866"/>
    <hyperlink r:id="rId3803" ref="L866"/>
    <hyperlink r:id="rId3804" ref="N866"/>
    <hyperlink r:id="rId3805" ref="P866"/>
    <hyperlink r:id="rId3806" ref="C867"/>
    <hyperlink r:id="rId3807" ref="J867"/>
    <hyperlink r:id="rId3808" ref="L867"/>
    <hyperlink r:id="rId3809" ref="N867"/>
    <hyperlink r:id="rId3810" ref="P867"/>
    <hyperlink r:id="rId3811" ref="C868"/>
    <hyperlink r:id="rId3812" ref="J868"/>
    <hyperlink r:id="rId3813" ref="L868"/>
    <hyperlink r:id="rId3814" ref="N868"/>
    <hyperlink r:id="rId3815" ref="P868"/>
    <hyperlink r:id="rId3816" ref="C869"/>
    <hyperlink r:id="rId3817" ref="J869"/>
    <hyperlink r:id="rId3818" ref="L869"/>
    <hyperlink r:id="rId3819" ref="N869"/>
    <hyperlink r:id="rId3820" ref="P869"/>
    <hyperlink r:id="rId3821" ref="C870"/>
    <hyperlink r:id="rId3822" ref="J870"/>
    <hyperlink r:id="rId3823" ref="L870"/>
    <hyperlink r:id="rId3824" ref="N870"/>
    <hyperlink r:id="rId3825" ref="P870"/>
    <hyperlink r:id="rId3826" ref="C871"/>
    <hyperlink r:id="rId3827" ref="J871"/>
    <hyperlink r:id="rId3828" ref="L871"/>
    <hyperlink r:id="rId3829" ref="C872"/>
    <hyperlink r:id="rId3830" ref="J872"/>
    <hyperlink r:id="rId3831" ref="C873"/>
    <hyperlink r:id="rId3832" ref="C874"/>
    <hyperlink r:id="rId3833" ref="J874"/>
    <hyperlink r:id="rId3834" ref="P874"/>
    <hyperlink r:id="rId3835" ref="C875"/>
    <hyperlink r:id="rId3836" ref="C876"/>
    <hyperlink r:id="rId3837" ref="J876"/>
    <hyperlink r:id="rId3838" ref="L876"/>
    <hyperlink r:id="rId3839" ref="C877"/>
    <hyperlink r:id="rId3840" ref="J877"/>
    <hyperlink r:id="rId3841" ref="L877"/>
    <hyperlink r:id="rId3842" ref="N877"/>
    <hyperlink r:id="rId3843" ref="P877"/>
    <hyperlink r:id="rId3844" ref="C878"/>
    <hyperlink r:id="rId3845" ref="J878"/>
    <hyperlink r:id="rId3846" ref="L878"/>
    <hyperlink r:id="rId3847" ref="N878"/>
    <hyperlink r:id="rId3848" ref="P878"/>
    <hyperlink r:id="rId3849" ref="C879"/>
    <hyperlink r:id="rId3850" ref="J879"/>
    <hyperlink r:id="rId3851" ref="L879"/>
    <hyperlink r:id="rId3852" ref="N879"/>
    <hyperlink r:id="rId3853" ref="P879"/>
    <hyperlink r:id="rId3854" ref="C880"/>
    <hyperlink r:id="rId3855" ref="J880"/>
    <hyperlink r:id="rId3856" ref="L880"/>
    <hyperlink r:id="rId3857" ref="N880"/>
    <hyperlink r:id="rId3858" ref="P880"/>
    <hyperlink r:id="rId3859" ref="C881"/>
    <hyperlink r:id="rId3860" ref="J881"/>
    <hyperlink r:id="rId3861" ref="L881"/>
    <hyperlink r:id="rId3862" ref="N881"/>
    <hyperlink r:id="rId3863" ref="P881"/>
    <hyperlink r:id="rId3864" ref="C882"/>
    <hyperlink r:id="rId3865" ref="N882"/>
    <hyperlink r:id="rId3866" ref="P882"/>
    <hyperlink r:id="rId3867" ref="C883"/>
    <hyperlink r:id="rId3868" ref="J883"/>
    <hyperlink r:id="rId3869" ref="P883"/>
    <hyperlink r:id="rId3870" ref="C884"/>
    <hyperlink r:id="rId3871" ref="C885"/>
    <hyperlink r:id="rId3872" ref="J885"/>
    <hyperlink r:id="rId3873" ref="L885"/>
    <hyperlink r:id="rId3874" ref="P885"/>
    <hyperlink r:id="rId3875" ref="C886"/>
    <hyperlink r:id="rId3876" ref="J886"/>
    <hyperlink r:id="rId3877" ref="L886"/>
    <hyperlink r:id="rId3878" ref="C887"/>
    <hyperlink r:id="rId3879" ref="J887"/>
    <hyperlink r:id="rId3880" ref="L887"/>
    <hyperlink r:id="rId3881" ref="N887"/>
    <hyperlink r:id="rId3882" ref="P887"/>
    <hyperlink r:id="rId3883" ref="C888"/>
    <hyperlink r:id="rId3884" ref="J888"/>
    <hyperlink r:id="rId3885" ref="L888"/>
    <hyperlink r:id="rId3886" ref="N888"/>
    <hyperlink r:id="rId3887" ref="P888"/>
    <hyperlink r:id="rId3888" ref="C889"/>
    <hyperlink r:id="rId3889" ref="J889"/>
    <hyperlink r:id="rId3890" ref="L889"/>
    <hyperlink r:id="rId3891" ref="N889"/>
    <hyperlink r:id="rId3892" ref="P889"/>
    <hyperlink r:id="rId3893" ref="C890"/>
    <hyperlink r:id="rId3894" ref="J890"/>
    <hyperlink r:id="rId3895" ref="L890"/>
    <hyperlink r:id="rId3896" ref="N890"/>
    <hyperlink r:id="rId3897" ref="P890"/>
    <hyperlink r:id="rId3898" ref="C891"/>
    <hyperlink r:id="rId3899" ref="C892"/>
    <hyperlink r:id="rId3900" ref="J892"/>
    <hyperlink r:id="rId3901" ref="L892"/>
    <hyperlink r:id="rId3902" ref="N892"/>
    <hyperlink r:id="rId3903" ref="P892"/>
    <hyperlink r:id="rId3904" ref="C893"/>
    <hyperlink r:id="rId3905" ref="J893"/>
    <hyperlink r:id="rId3906" ref="L893"/>
    <hyperlink r:id="rId3907" ref="N893"/>
    <hyperlink r:id="rId3908" ref="P893"/>
    <hyperlink r:id="rId3909" ref="C894"/>
    <hyperlink r:id="rId3910" ref="J894"/>
    <hyperlink r:id="rId3911" ref="L894"/>
    <hyperlink r:id="rId3912" ref="N894"/>
    <hyperlink r:id="rId3913" ref="P894"/>
    <hyperlink r:id="rId3914" ref="C895"/>
    <hyperlink r:id="rId3915" ref="J895"/>
    <hyperlink r:id="rId3916" ref="L895"/>
    <hyperlink r:id="rId3917" ref="C896"/>
    <hyperlink r:id="rId3918" ref="J896"/>
    <hyperlink r:id="rId3919" ref="C897"/>
    <hyperlink r:id="rId3920" ref="J897"/>
    <hyperlink r:id="rId3921" ref="L897"/>
    <hyperlink r:id="rId3922" ref="N897"/>
    <hyperlink r:id="rId3923" ref="P897"/>
    <hyperlink r:id="rId3924" ref="C898"/>
    <hyperlink r:id="rId3925" ref="J898"/>
    <hyperlink r:id="rId3926" ref="L898"/>
    <hyperlink r:id="rId3927" ref="N898"/>
    <hyperlink r:id="rId3928" ref="P898"/>
    <hyperlink r:id="rId3929" ref="C899"/>
    <hyperlink r:id="rId3930" ref="J899"/>
    <hyperlink r:id="rId3931" ref="L899"/>
    <hyperlink r:id="rId3932" ref="N899"/>
    <hyperlink r:id="rId3933" ref="P899"/>
    <hyperlink r:id="rId3934" ref="C900"/>
    <hyperlink r:id="rId3935" ref="J900"/>
    <hyperlink r:id="rId3936" ref="L900"/>
    <hyperlink r:id="rId3937" ref="N900"/>
    <hyperlink r:id="rId3938" ref="P900"/>
    <hyperlink r:id="rId3939" ref="C901"/>
    <hyperlink r:id="rId3940" ref="J901"/>
    <hyperlink r:id="rId3941" ref="L901"/>
    <hyperlink r:id="rId3942" ref="N901"/>
    <hyperlink r:id="rId3943" ref="P901"/>
    <hyperlink r:id="rId3944" ref="C902"/>
    <hyperlink r:id="rId3945" ref="J902"/>
    <hyperlink r:id="rId3946" ref="L902"/>
    <hyperlink r:id="rId3947" ref="N902"/>
    <hyperlink r:id="rId3948" ref="P902"/>
    <hyperlink r:id="rId3949" ref="C903"/>
    <hyperlink r:id="rId3950" ref="L903"/>
    <hyperlink r:id="rId3951" ref="N903"/>
    <hyperlink r:id="rId3952" ref="P903"/>
    <hyperlink r:id="rId3953" ref="C904"/>
    <hyperlink r:id="rId3954" ref="J904"/>
    <hyperlink r:id="rId3955" ref="L904"/>
    <hyperlink r:id="rId3956" ref="N904"/>
    <hyperlink r:id="rId3957" ref="P904"/>
    <hyperlink r:id="rId3958" ref="C905"/>
    <hyperlink r:id="rId3959" ref="C906"/>
    <hyperlink r:id="rId3960" ref="J906"/>
    <hyperlink r:id="rId3961" ref="L906"/>
    <hyperlink r:id="rId3962" ref="N906"/>
    <hyperlink r:id="rId3963" ref="P906"/>
    <hyperlink r:id="rId3964" ref="C907"/>
    <hyperlink r:id="rId3965" ref="L907"/>
    <hyperlink r:id="rId3966" ref="C908"/>
    <hyperlink r:id="rId3967" ref="J908"/>
    <hyperlink r:id="rId3968" ref="L908"/>
    <hyperlink r:id="rId3969" ref="N908"/>
    <hyperlink r:id="rId3970" ref="P908"/>
    <hyperlink r:id="rId3971" ref="C909"/>
    <hyperlink r:id="rId3972" ref="J909"/>
    <hyperlink r:id="rId3973" ref="L909"/>
    <hyperlink r:id="rId3974" ref="N909"/>
    <hyperlink r:id="rId3975" ref="P909"/>
    <hyperlink r:id="rId3976" ref="C910"/>
    <hyperlink r:id="rId3977" ref="J910"/>
    <hyperlink r:id="rId3978" ref="L910"/>
    <hyperlink r:id="rId3979" ref="N910"/>
    <hyperlink r:id="rId3980" ref="P910"/>
    <hyperlink r:id="rId3981" ref="C911"/>
    <hyperlink r:id="rId3982" ref="J911"/>
    <hyperlink r:id="rId3983" ref="L911"/>
    <hyperlink r:id="rId3984" ref="N911"/>
    <hyperlink r:id="rId3985" ref="P911"/>
    <hyperlink r:id="rId3986" ref="C912"/>
    <hyperlink r:id="rId3987" ref="J912"/>
    <hyperlink r:id="rId3988" ref="L912"/>
    <hyperlink r:id="rId3989" ref="N912"/>
    <hyperlink r:id="rId3990" ref="P912"/>
    <hyperlink r:id="rId3991" ref="C913"/>
    <hyperlink r:id="rId3992" ref="L913"/>
    <hyperlink r:id="rId3993" ref="P913"/>
    <hyperlink r:id="rId3994" ref="C914"/>
    <hyperlink r:id="rId3995" ref="J914"/>
    <hyperlink r:id="rId3996" ref="L914"/>
    <hyperlink r:id="rId3997" ref="N914"/>
    <hyperlink r:id="rId3998" ref="P914"/>
    <hyperlink r:id="rId3999" ref="C915"/>
    <hyperlink r:id="rId4000" ref="J915"/>
    <hyperlink r:id="rId4001" ref="L915"/>
    <hyperlink r:id="rId4002" ref="N915"/>
    <hyperlink r:id="rId4003" ref="P915"/>
    <hyperlink r:id="rId4004" ref="C916"/>
    <hyperlink r:id="rId4005" ref="C917"/>
    <hyperlink r:id="rId4006" ref="L917"/>
    <hyperlink r:id="rId4007" ref="P917"/>
    <hyperlink r:id="rId4008" ref="C918"/>
    <hyperlink r:id="rId4009" ref="J918"/>
    <hyperlink r:id="rId4010" ref="L918"/>
    <hyperlink r:id="rId4011" ref="N918"/>
    <hyperlink r:id="rId4012" ref="C919"/>
    <hyperlink r:id="rId4013" ref="J919"/>
    <hyperlink r:id="rId4014" ref="L919"/>
    <hyperlink r:id="rId4015" ref="N919"/>
    <hyperlink r:id="rId4016" ref="P919"/>
    <hyperlink r:id="rId4017" ref="C920"/>
    <hyperlink r:id="rId4018" ref="J920"/>
    <hyperlink r:id="rId4019" ref="L920"/>
    <hyperlink r:id="rId4020" ref="N920"/>
    <hyperlink r:id="rId4021" ref="P920"/>
    <hyperlink r:id="rId4022" ref="C921"/>
    <hyperlink r:id="rId4023" ref="J921"/>
    <hyperlink r:id="rId4024" ref="L921"/>
    <hyperlink r:id="rId4025" ref="N921"/>
    <hyperlink r:id="rId4026" ref="P921"/>
    <hyperlink r:id="rId4027" ref="C922"/>
    <hyperlink r:id="rId4028" ref="J922"/>
    <hyperlink r:id="rId4029" ref="L922"/>
    <hyperlink r:id="rId4030" ref="N922"/>
    <hyperlink r:id="rId4031" ref="P922"/>
    <hyperlink r:id="rId4032" ref="C923"/>
    <hyperlink r:id="rId4033" ref="J923"/>
    <hyperlink r:id="rId4034" ref="L923"/>
    <hyperlink r:id="rId4035" ref="N923"/>
    <hyperlink r:id="rId4036" ref="P923"/>
    <hyperlink r:id="rId4037" ref="C924"/>
    <hyperlink r:id="rId4038" ref="J924"/>
    <hyperlink r:id="rId4039" ref="L924"/>
    <hyperlink r:id="rId4040" ref="N924"/>
    <hyperlink r:id="rId4041" ref="P924"/>
    <hyperlink r:id="rId4042" ref="C925"/>
    <hyperlink r:id="rId4043" ref="J925"/>
    <hyperlink r:id="rId4044" ref="L925"/>
    <hyperlink r:id="rId4045" ref="N925"/>
    <hyperlink r:id="rId4046" ref="P925"/>
    <hyperlink r:id="rId4047" ref="C926"/>
    <hyperlink r:id="rId4048" ref="J926"/>
    <hyperlink r:id="rId4049" ref="L926"/>
    <hyperlink r:id="rId4050" ref="N926"/>
    <hyperlink r:id="rId4051" ref="P926"/>
    <hyperlink r:id="rId4052" ref="C927"/>
    <hyperlink r:id="rId4053" ref="J927"/>
    <hyperlink r:id="rId4054" ref="L927"/>
    <hyperlink r:id="rId4055" ref="N927"/>
    <hyperlink r:id="rId4056" ref="P927"/>
    <hyperlink r:id="rId4057" ref="C928"/>
    <hyperlink r:id="rId4058" ref="J928"/>
    <hyperlink r:id="rId4059" ref="L928"/>
    <hyperlink r:id="rId4060" ref="N928"/>
    <hyperlink r:id="rId4061" ref="P928"/>
    <hyperlink r:id="rId4062" ref="C929"/>
    <hyperlink r:id="rId4063" ref="J929"/>
    <hyperlink r:id="rId4064" ref="L929"/>
    <hyperlink r:id="rId4065" ref="N929"/>
    <hyperlink r:id="rId4066" ref="P929"/>
    <hyperlink r:id="rId4067" ref="C930"/>
    <hyperlink r:id="rId4068" ref="J930"/>
    <hyperlink r:id="rId4069" ref="L930"/>
    <hyperlink r:id="rId4070" ref="N930"/>
    <hyperlink r:id="rId4071" ref="P930"/>
    <hyperlink r:id="rId4072" ref="C931"/>
    <hyperlink r:id="rId4073" ref="J931"/>
    <hyperlink r:id="rId4074" ref="L931"/>
    <hyperlink r:id="rId4075" ref="N931"/>
    <hyperlink r:id="rId4076" ref="P931"/>
    <hyperlink r:id="rId4077" ref="C932"/>
    <hyperlink r:id="rId4078" ref="J932"/>
    <hyperlink r:id="rId4079" ref="L932"/>
    <hyperlink r:id="rId4080" ref="N932"/>
    <hyperlink r:id="rId4081" ref="P932"/>
    <hyperlink r:id="rId4082" ref="C933"/>
    <hyperlink r:id="rId4083" ref="J933"/>
    <hyperlink r:id="rId4084" ref="L933"/>
    <hyperlink r:id="rId4085" ref="N933"/>
    <hyperlink r:id="rId4086" ref="P933"/>
    <hyperlink r:id="rId4087" ref="C934"/>
    <hyperlink r:id="rId4088" ref="J934"/>
    <hyperlink r:id="rId4089" ref="L934"/>
    <hyperlink r:id="rId4090" ref="N934"/>
    <hyperlink r:id="rId4091" ref="P934"/>
    <hyperlink r:id="rId4092" ref="C935"/>
    <hyperlink r:id="rId4093" ref="J935"/>
    <hyperlink r:id="rId4094" ref="C936"/>
    <hyperlink r:id="rId4095" ref="C937"/>
    <hyperlink r:id="rId4096" ref="J937"/>
    <hyperlink r:id="rId4097" ref="L937"/>
    <hyperlink r:id="rId4098" ref="N937"/>
    <hyperlink r:id="rId4099" ref="P937"/>
    <hyperlink r:id="rId4100" ref="C938"/>
    <hyperlink r:id="rId4101" ref="J938"/>
    <hyperlink r:id="rId4102" ref="L938"/>
    <hyperlink r:id="rId4103" ref="N938"/>
    <hyperlink r:id="rId4104" ref="P938"/>
    <hyperlink r:id="rId4105" ref="C939"/>
    <hyperlink r:id="rId4106" ref="L939"/>
    <hyperlink r:id="rId4107" ref="N939"/>
    <hyperlink r:id="rId4108" ref="P939"/>
    <hyperlink r:id="rId4109" ref="C940"/>
    <hyperlink r:id="rId4110" ref="J940"/>
    <hyperlink r:id="rId4111" ref="L940"/>
    <hyperlink r:id="rId4112" ref="N940"/>
    <hyperlink r:id="rId4113" ref="P940"/>
    <hyperlink r:id="rId4114" ref="C941"/>
    <hyperlink r:id="rId4115" ref="J941"/>
    <hyperlink r:id="rId4116" ref="L941"/>
    <hyperlink r:id="rId4117" ref="N941"/>
    <hyperlink r:id="rId4118" ref="P941"/>
    <hyperlink r:id="rId4119" ref="C942"/>
    <hyperlink r:id="rId4120" ref="J942"/>
    <hyperlink r:id="rId4121" ref="L942"/>
    <hyperlink r:id="rId4122" ref="N942"/>
    <hyperlink r:id="rId4123" ref="P942"/>
    <hyperlink r:id="rId4124" ref="C943"/>
    <hyperlink r:id="rId4125" ref="J943"/>
    <hyperlink r:id="rId4126" ref="L943"/>
    <hyperlink r:id="rId4127" ref="N943"/>
    <hyperlink r:id="rId4128" ref="P943"/>
    <hyperlink r:id="rId4129" ref="C944"/>
    <hyperlink r:id="rId4130" ref="J944"/>
    <hyperlink r:id="rId4131" ref="L944"/>
    <hyperlink r:id="rId4132" ref="N944"/>
    <hyperlink r:id="rId4133" ref="P944"/>
    <hyperlink r:id="rId4134" ref="C945"/>
    <hyperlink r:id="rId4135" ref="J945"/>
    <hyperlink r:id="rId4136" ref="L945"/>
    <hyperlink r:id="rId4137" ref="N945"/>
    <hyperlink r:id="rId4138" ref="P945"/>
    <hyperlink r:id="rId4139" ref="C946"/>
    <hyperlink r:id="rId4140" ref="J946"/>
    <hyperlink r:id="rId4141" ref="L946"/>
    <hyperlink r:id="rId4142" ref="N946"/>
    <hyperlink r:id="rId4143" ref="P946"/>
    <hyperlink r:id="rId4144" ref="C947"/>
    <hyperlink r:id="rId4145" ref="J947"/>
    <hyperlink r:id="rId4146" ref="L947"/>
    <hyperlink r:id="rId4147" ref="N947"/>
    <hyperlink r:id="rId4148" ref="P947"/>
    <hyperlink r:id="rId4149" ref="C948"/>
    <hyperlink r:id="rId4150" ref="J948"/>
    <hyperlink r:id="rId4151" ref="L948"/>
    <hyperlink r:id="rId4152" ref="N948"/>
    <hyperlink r:id="rId4153" ref="P948"/>
    <hyperlink r:id="rId4154" ref="C949"/>
    <hyperlink r:id="rId4155" ref="J949"/>
    <hyperlink r:id="rId4156" ref="L949"/>
    <hyperlink r:id="rId4157" ref="N949"/>
    <hyperlink r:id="rId4158" ref="P949"/>
    <hyperlink r:id="rId4159" ref="C950"/>
    <hyperlink r:id="rId4160" ref="J950"/>
    <hyperlink r:id="rId4161" ref="L950"/>
    <hyperlink r:id="rId4162" ref="N950"/>
    <hyperlink r:id="rId4163" ref="P950"/>
    <hyperlink r:id="rId4164" ref="C951"/>
    <hyperlink r:id="rId4165" ref="J951"/>
    <hyperlink r:id="rId4166" ref="L951"/>
    <hyperlink r:id="rId4167" ref="N951"/>
    <hyperlink r:id="rId4168" ref="P951"/>
    <hyperlink r:id="rId4169" ref="C952"/>
    <hyperlink r:id="rId4170" ref="J952"/>
    <hyperlink r:id="rId4171" ref="L952"/>
    <hyperlink r:id="rId4172" ref="N952"/>
    <hyperlink r:id="rId4173" ref="P952"/>
    <hyperlink r:id="rId4174" ref="C953"/>
    <hyperlink r:id="rId4175" ref="J953"/>
    <hyperlink r:id="rId4176" ref="L953"/>
    <hyperlink r:id="rId4177" ref="N953"/>
    <hyperlink r:id="rId4178" ref="P953"/>
    <hyperlink r:id="rId4179" ref="C954"/>
    <hyperlink r:id="rId4180" ref="J954"/>
    <hyperlink r:id="rId4181" ref="L954"/>
    <hyperlink r:id="rId4182" ref="N954"/>
    <hyperlink r:id="rId4183" ref="P954"/>
    <hyperlink r:id="rId4184" ref="C955"/>
    <hyperlink r:id="rId4185" ref="J955"/>
    <hyperlink r:id="rId4186" ref="L955"/>
    <hyperlink r:id="rId4187" ref="N955"/>
    <hyperlink r:id="rId4188" ref="P955"/>
    <hyperlink r:id="rId4189" ref="C956"/>
    <hyperlink r:id="rId4190" ref="J956"/>
    <hyperlink r:id="rId4191" ref="L956"/>
    <hyperlink r:id="rId4192" ref="N956"/>
    <hyperlink r:id="rId4193" ref="P956"/>
    <hyperlink r:id="rId4194" ref="C957"/>
    <hyperlink r:id="rId4195" ref="J957"/>
    <hyperlink r:id="rId4196" ref="L957"/>
    <hyperlink r:id="rId4197" ref="N957"/>
    <hyperlink r:id="rId4198" ref="P957"/>
    <hyperlink r:id="rId4199" ref="C958"/>
    <hyperlink r:id="rId4200" ref="J958"/>
    <hyperlink r:id="rId4201" ref="L958"/>
    <hyperlink r:id="rId4202" ref="N958"/>
    <hyperlink r:id="rId4203" ref="P958"/>
    <hyperlink r:id="rId4204" ref="C959"/>
    <hyperlink r:id="rId4205" ref="J959"/>
    <hyperlink r:id="rId4206" ref="L959"/>
    <hyperlink r:id="rId4207" ref="N959"/>
    <hyperlink r:id="rId4208" ref="P959"/>
    <hyperlink r:id="rId4209" ref="C960"/>
    <hyperlink r:id="rId4210" ref="J960"/>
    <hyperlink r:id="rId4211" ref="L960"/>
    <hyperlink r:id="rId4212" ref="N960"/>
    <hyperlink r:id="rId4213" ref="P960"/>
    <hyperlink r:id="rId4214" ref="C961"/>
    <hyperlink r:id="rId4215" ref="J961"/>
    <hyperlink r:id="rId4216" ref="L961"/>
    <hyperlink r:id="rId4217" ref="N961"/>
    <hyperlink r:id="rId4218" ref="P961"/>
    <hyperlink r:id="rId4219" ref="C962"/>
    <hyperlink r:id="rId4220" ref="J962"/>
    <hyperlink r:id="rId4221" ref="L962"/>
    <hyperlink r:id="rId4222" ref="N962"/>
    <hyperlink r:id="rId4223" ref="P962"/>
    <hyperlink r:id="rId4224" ref="C963"/>
    <hyperlink r:id="rId4225" ref="J963"/>
    <hyperlink r:id="rId4226" ref="L963"/>
    <hyperlink r:id="rId4227" ref="N963"/>
    <hyperlink r:id="rId4228" ref="P963"/>
    <hyperlink r:id="rId4229" ref="C964"/>
    <hyperlink r:id="rId4230" ref="J964"/>
    <hyperlink r:id="rId4231" ref="L964"/>
    <hyperlink r:id="rId4232" ref="N964"/>
    <hyperlink r:id="rId4233" ref="P964"/>
    <hyperlink r:id="rId4234" ref="C965"/>
    <hyperlink r:id="rId4235" ref="J965"/>
    <hyperlink r:id="rId4236" ref="L965"/>
    <hyperlink r:id="rId4237" ref="N965"/>
    <hyperlink r:id="rId4238" ref="P965"/>
    <hyperlink r:id="rId4239" ref="C966"/>
    <hyperlink r:id="rId4240" ref="J966"/>
    <hyperlink r:id="rId4241" ref="L966"/>
    <hyperlink r:id="rId4242" ref="N966"/>
    <hyperlink r:id="rId4243" ref="P966"/>
    <hyperlink r:id="rId4244" ref="C967"/>
    <hyperlink r:id="rId4245" ref="J967"/>
    <hyperlink r:id="rId4246" ref="L967"/>
    <hyperlink r:id="rId4247" ref="N967"/>
    <hyperlink r:id="rId4248" ref="P967"/>
    <hyperlink r:id="rId4249" ref="C968"/>
    <hyperlink r:id="rId4250" ref="J968"/>
    <hyperlink r:id="rId4251" ref="L968"/>
    <hyperlink r:id="rId4252" ref="N968"/>
    <hyperlink r:id="rId4253" ref="P968"/>
    <hyperlink r:id="rId4254" ref="C969"/>
    <hyperlink r:id="rId4255" ref="J969"/>
    <hyperlink r:id="rId4256" ref="L969"/>
    <hyperlink r:id="rId4257" ref="N969"/>
    <hyperlink r:id="rId4258" ref="P969"/>
    <hyperlink r:id="rId4259" ref="C970"/>
    <hyperlink r:id="rId4260" ref="J970"/>
    <hyperlink r:id="rId4261" ref="L970"/>
    <hyperlink r:id="rId4262" ref="N970"/>
    <hyperlink r:id="rId4263" ref="P970"/>
    <hyperlink r:id="rId4264" ref="C971"/>
    <hyperlink r:id="rId4265" ref="J971"/>
    <hyperlink r:id="rId4266" ref="L971"/>
    <hyperlink r:id="rId4267" ref="N971"/>
    <hyperlink r:id="rId4268" ref="P971"/>
    <hyperlink r:id="rId4269" ref="C972"/>
    <hyperlink r:id="rId4270" ref="J972"/>
    <hyperlink r:id="rId4271" ref="L972"/>
    <hyperlink r:id="rId4272" ref="N972"/>
    <hyperlink r:id="rId4273" ref="P972"/>
    <hyperlink r:id="rId4274" ref="C973"/>
    <hyperlink r:id="rId4275" ref="J973"/>
    <hyperlink r:id="rId4276" ref="L973"/>
    <hyperlink r:id="rId4277" ref="N973"/>
    <hyperlink r:id="rId4278" ref="P973"/>
    <hyperlink r:id="rId4279" ref="C974"/>
    <hyperlink r:id="rId4280" ref="J974"/>
    <hyperlink r:id="rId4281" ref="L974"/>
    <hyperlink r:id="rId4282" ref="N974"/>
    <hyperlink r:id="rId4283" ref="P974"/>
    <hyperlink r:id="rId4284" ref="C975"/>
    <hyperlink r:id="rId4285" ref="J975"/>
    <hyperlink r:id="rId4286" ref="L975"/>
    <hyperlink r:id="rId4287" ref="N975"/>
    <hyperlink r:id="rId4288" ref="P975"/>
    <hyperlink r:id="rId4289" ref="C976"/>
    <hyperlink r:id="rId4290" ref="J976"/>
    <hyperlink r:id="rId4291" ref="L976"/>
    <hyperlink r:id="rId4292" ref="N976"/>
    <hyperlink r:id="rId4293" ref="P976"/>
    <hyperlink r:id="rId4294" ref="C977"/>
    <hyperlink r:id="rId4295" ref="J977"/>
    <hyperlink r:id="rId4296" ref="L977"/>
    <hyperlink r:id="rId4297" ref="N977"/>
    <hyperlink r:id="rId4298" ref="P977"/>
    <hyperlink r:id="rId4299" ref="B978"/>
    <hyperlink r:id="rId4300" ref="C978"/>
    <hyperlink r:id="rId4301" ref="J978"/>
    <hyperlink r:id="rId4302" ref="L978"/>
    <hyperlink r:id="rId4303" ref="N978"/>
    <hyperlink r:id="rId4304" ref="P978"/>
    <hyperlink r:id="rId4305" ref="C979"/>
    <hyperlink r:id="rId4306" ref="J979"/>
    <hyperlink r:id="rId4307" ref="L979"/>
    <hyperlink r:id="rId4308" ref="N979"/>
    <hyperlink r:id="rId4309" ref="P979"/>
    <hyperlink r:id="rId4310" ref="C980"/>
    <hyperlink r:id="rId4311" ref="J980"/>
    <hyperlink r:id="rId4312" ref="L980"/>
    <hyperlink r:id="rId4313" ref="N980"/>
    <hyperlink r:id="rId4314" ref="P980"/>
    <hyperlink r:id="rId4315" ref="C981"/>
    <hyperlink r:id="rId4316" ref="J981"/>
    <hyperlink r:id="rId4317" ref="L981"/>
    <hyperlink r:id="rId4318" ref="N981"/>
    <hyperlink r:id="rId4319" ref="P981"/>
    <hyperlink r:id="rId4320" ref="C982"/>
    <hyperlink r:id="rId4321" ref="J982"/>
    <hyperlink r:id="rId4322" ref="L982"/>
    <hyperlink r:id="rId4323" ref="N982"/>
    <hyperlink r:id="rId4324" ref="P982"/>
    <hyperlink r:id="rId4325" ref="C983"/>
    <hyperlink r:id="rId4326" ref="J983"/>
    <hyperlink r:id="rId4327" ref="L983"/>
    <hyperlink r:id="rId4328" ref="N983"/>
    <hyperlink r:id="rId4329" ref="P983"/>
    <hyperlink r:id="rId4330" ref="C984"/>
    <hyperlink r:id="rId4331" ref="J984"/>
    <hyperlink r:id="rId4332" ref="L984"/>
    <hyperlink r:id="rId4333" ref="N984"/>
    <hyperlink r:id="rId4334" ref="P984"/>
    <hyperlink r:id="rId4335" ref="C985"/>
    <hyperlink r:id="rId4336" ref="J985"/>
    <hyperlink r:id="rId4337" ref="L985"/>
    <hyperlink r:id="rId4338" ref="N985"/>
    <hyperlink r:id="rId4339" ref="P985"/>
    <hyperlink r:id="rId4340" ref="C986"/>
    <hyperlink r:id="rId4341" ref="J986"/>
    <hyperlink r:id="rId4342" ref="L986"/>
    <hyperlink r:id="rId4343" ref="N986"/>
    <hyperlink r:id="rId4344" ref="P986"/>
    <hyperlink r:id="rId4345" ref="C987"/>
    <hyperlink r:id="rId4346" ref="J987"/>
    <hyperlink r:id="rId4347" ref="L987"/>
    <hyperlink r:id="rId4348" ref="N987"/>
    <hyperlink r:id="rId4349" ref="P987"/>
    <hyperlink r:id="rId4350" ref="C988"/>
    <hyperlink r:id="rId4351" ref="J988"/>
    <hyperlink r:id="rId4352" ref="L988"/>
    <hyperlink r:id="rId4353" ref="N988"/>
    <hyperlink r:id="rId4354" ref="P988"/>
    <hyperlink r:id="rId4355" ref="C989"/>
    <hyperlink r:id="rId4356" ref="J989"/>
    <hyperlink r:id="rId4357" ref="L989"/>
    <hyperlink r:id="rId4358" ref="N989"/>
    <hyperlink r:id="rId4359" ref="P989"/>
    <hyperlink r:id="rId4360" ref="C990"/>
    <hyperlink r:id="rId4361" ref="J990"/>
    <hyperlink r:id="rId4362" ref="L990"/>
    <hyperlink r:id="rId4363" ref="N990"/>
    <hyperlink r:id="rId4364" ref="P990"/>
    <hyperlink r:id="rId4365" ref="C991"/>
    <hyperlink r:id="rId4366" ref="J991"/>
    <hyperlink r:id="rId4367" ref="L991"/>
    <hyperlink r:id="rId4368" ref="N991"/>
    <hyperlink r:id="rId4369" ref="P991"/>
    <hyperlink r:id="rId4370" ref="C992"/>
    <hyperlink r:id="rId4371" ref="J992"/>
    <hyperlink r:id="rId4372" ref="L992"/>
    <hyperlink r:id="rId4373" ref="N992"/>
    <hyperlink r:id="rId4374" ref="P992"/>
    <hyperlink r:id="rId4375" ref="C993"/>
    <hyperlink r:id="rId4376" ref="J993"/>
    <hyperlink r:id="rId4377" ref="L993"/>
    <hyperlink r:id="rId4378" ref="N993"/>
    <hyperlink r:id="rId4379" ref="P993"/>
    <hyperlink r:id="rId4380" ref="C994"/>
    <hyperlink r:id="rId4381" ref="J994"/>
    <hyperlink r:id="rId4382" ref="L994"/>
    <hyperlink r:id="rId4383" ref="N994"/>
    <hyperlink r:id="rId4384" ref="P994"/>
    <hyperlink r:id="rId4385" ref="C995"/>
    <hyperlink r:id="rId4386" ref="J995"/>
    <hyperlink r:id="rId4387" ref="C996"/>
    <hyperlink r:id="rId4388" ref="C997"/>
    <hyperlink r:id="rId4389" ref="L997"/>
    <hyperlink r:id="rId4390" ref="N997"/>
    <hyperlink r:id="rId4391" ref="C998"/>
    <hyperlink r:id="rId4392" ref="P998"/>
    <hyperlink r:id="rId4393" ref="C999"/>
    <hyperlink r:id="rId4394" ref="C1000"/>
    <hyperlink r:id="rId4395" ref="C1001"/>
    <hyperlink r:id="rId4396" ref="C1002"/>
    <hyperlink r:id="rId4397" ref="L1002"/>
    <hyperlink r:id="rId4398" ref="P1002"/>
    <hyperlink r:id="rId4399" ref="C1003"/>
    <hyperlink r:id="rId4400" ref="J1003"/>
    <hyperlink r:id="rId4401" ref="L1003"/>
    <hyperlink r:id="rId4402" ref="N1003"/>
    <hyperlink r:id="rId4403" ref="P1003"/>
    <hyperlink r:id="rId4404" ref="C1004"/>
    <hyperlink r:id="rId4405" ref="C1005"/>
    <hyperlink r:id="rId4406" ref="P1005"/>
    <hyperlink r:id="rId4407" ref="C1006"/>
    <hyperlink r:id="rId4408" ref="J1006"/>
    <hyperlink r:id="rId4409" ref="C1007"/>
    <hyperlink r:id="rId4410" ref="J1007"/>
    <hyperlink r:id="rId4411" ref="L1007"/>
    <hyperlink r:id="rId4412" ref="N1007"/>
    <hyperlink r:id="rId4413" ref="P1007"/>
    <hyperlink r:id="rId4414" ref="C1008"/>
    <hyperlink r:id="rId4415" ref="J1008"/>
    <hyperlink r:id="rId4416" ref="L1008"/>
    <hyperlink r:id="rId4417" ref="N1008"/>
    <hyperlink r:id="rId4418" ref="P1008"/>
    <hyperlink r:id="rId4419" ref="C1009"/>
    <hyperlink r:id="rId4420" ref="J1009"/>
    <hyperlink r:id="rId4421" ref="L1009"/>
    <hyperlink r:id="rId4422" ref="N1009"/>
    <hyperlink r:id="rId4423" ref="P1009"/>
    <hyperlink r:id="rId4424" ref="B1010"/>
    <hyperlink r:id="rId4425" ref="C1010"/>
    <hyperlink r:id="rId4426" ref="J1010"/>
    <hyperlink r:id="rId4427" ref="L1010"/>
    <hyperlink r:id="rId4428" ref="N1010"/>
    <hyperlink r:id="rId4429" ref="P1010"/>
    <hyperlink r:id="rId4430" ref="C1011"/>
    <hyperlink r:id="rId4431" ref="J1011"/>
    <hyperlink r:id="rId4432" ref="L1011"/>
    <hyperlink r:id="rId4433" ref="N1011"/>
    <hyperlink r:id="rId4434" ref="P1011"/>
    <hyperlink r:id="rId4435" ref="C1012"/>
    <hyperlink r:id="rId4436" ref="J1012"/>
    <hyperlink r:id="rId4437" ref="L1012"/>
    <hyperlink r:id="rId4438" ref="N1012"/>
    <hyperlink r:id="rId4439" ref="P1012"/>
    <hyperlink r:id="rId4440" ref="C1013"/>
    <hyperlink r:id="rId4441" ref="J1013"/>
    <hyperlink r:id="rId4442" ref="L1013"/>
    <hyperlink r:id="rId4443" ref="N1013"/>
    <hyperlink r:id="rId4444" ref="P1013"/>
    <hyperlink r:id="rId4445" ref="C1014"/>
    <hyperlink r:id="rId4446" ref="J1014"/>
    <hyperlink r:id="rId4447" ref="L1014"/>
    <hyperlink r:id="rId4448" ref="N1014"/>
    <hyperlink r:id="rId4449" ref="P1014"/>
    <hyperlink r:id="rId4450" ref="C1015"/>
    <hyperlink r:id="rId4451" ref="J1015"/>
    <hyperlink r:id="rId4452" ref="L1015"/>
    <hyperlink r:id="rId4453" ref="N1015"/>
    <hyperlink r:id="rId4454" ref="P1015"/>
    <hyperlink r:id="rId4455" ref="C1016"/>
    <hyperlink r:id="rId4456" ref="J1016"/>
    <hyperlink r:id="rId4457" ref="L1016"/>
    <hyperlink r:id="rId4458" ref="N1016"/>
    <hyperlink r:id="rId4459" ref="P1016"/>
    <hyperlink r:id="rId4460" ref="C1017"/>
    <hyperlink r:id="rId4461" ref="J1017"/>
    <hyperlink r:id="rId4462" ref="L1017"/>
    <hyperlink r:id="rId4463" ref="N1017"/>
    <hyperlink r:id="rId4464" ref="P1017"/>
    <hyperlink r:id="rId4465" ref="C1018"/>
    <hyperlink r:id="rId4466" ref="C1019"/>
    <hyperlink r:id="rId4467" ref="P1019"/>
    <hyperlink r:id="rId4468" ref="C1020"/>
    <hyperlink r:id="rId4469" ref="C1021"/>
    <hyperlink r:id="rId4470" ref="C1022"/>
    <hyperlink r:id="rId4471" ref="J1022"/>
    <hyperlink r:id="rId4472" ref="L1022"/>
    <hyperlink r:id="rId4473" ref="N1022"/>
    <hyperlink r:id="rId4474" ref="P1022"/>
    <hyperlink r:id="rId4475" ref="C1023"/>
    <hyperlink r:id="rId4476" ref="C1024"/>
    <hyperlink r:id="rId4477" ref="J1024"/>
    <hyperlink r:id="rId4478" ref="L1024"/>
    <hyperlink r:id="rId4479" ref="N1024"/>
    <hyperlink r:id="rId4480" ref="P1024"/>
    <hyperlink r:id="rId4481" ref="C1025"/>
    <hyperlink r:id="rId4482" ref="C1026"/>
    <hyperlink r:id="rId4483" ref="J1026"/>
    <hyperlink r:id="rId4484" ref="L1026"/>
    <hyperlink r:id="rId4485" ref="N1026"/>
    <hyperlink r:id="rId4486" ref="P1026"/>
    <hyperlink r:id="rId4487" ref="C1027"/>
    <hyperlink r:id="rId4488" ref="J1027"/>
    <hyperlink r:id="rId4489" ref="L1027"/>
    <hyperlink r:id="rId4490" ref="N1027"/>
    <hyperlink r:id="rId4491" ref="P1027"/>
    <hyperlink r:id="rId4492" ref="C1028"/>
    <hyperlink r:id="rId4493" ref="J1028"/>
    <hyperlink r:id="rId4494" ref="L1028"/>
    <hyperlink r:id="rId4495" ref="N1028"/>
    <hyperlink r:id="rId4496" ref="P1028"/>
    <hyperlink r:id="rId4497" ref="C1029"/>
    <hyperlink r:id="rId4498" ref="J1029"/>
    <hyperlink r:id="rId4499" ref="L1029"/>
    <hyperlink r:id="rId4500" ref="N1029"/>
    <hyperlink r:id="rId4501" ref="P1029"/>
    <hyperlink r:id="rId4502" ref="C1030"/>
    <hyperlink r:id="rId4503" ref="J1030"/>
    <hyperlink r:id="rId4504" ref="L1030"/>
    <hyperlink r:id="rId4505" ref="N1030"/>
    <hyperlink r:id="rId4506" ref="P1030"/>
    <hyperlink r:id="rId4507" ref="C1031"/>
    <hyperlink r:id="rId4508" ref="J1031"/>
    <hyperlink r:id="rId4509" ref="L1031"/>
    <hyperlink r:id="rId4510" ref="N1031"/>
    <hyperlink r:id="rId4511" ref="P1031"/>
    <hyperlink r:id="rId4512" ref="C1032"/>
    <hyperlink r:id="rId4513" ref="J1032"/>
    <hyperlink r:id="rId4514" ref="L1032"/>
    <hyperlink r:id="rId4515" ref="N1032"/>
    <hyperlink r:id="rId4516" ref="C1033"/>
    <hyperlink r:id="rId4517" ref="J1033"/>
    <hyperlink r:id="rId4518" ref="L1033"/>
    <hyperlink r:id="rId4519" ref="N1033"/>
    <hyperlink r:id="rId4520" ref="P1033"/>
    <hyperlink r:id="rId4521" ref="C1034"/>
    <hyperlink r:id="rId4522" ref="J1034"/>
    <hyperlink r:id="rId4523" ref="L1034"/>
    <hyperlink r:id="rId4524" ref="C1035"/>
    <hyperlink r:id="rId4525" ref="J1035"/>
    <hyperlink r:id="rId4526" ref="L1035"/>
    <hyperlink r:id="rId4527" ref="C1036"/>
    <hyperlink r:id="rId4528" ref="J1036"/>
    <hyperlink r:id="rId4529" ref="L1036"/>
    <hyperlink r:id="rId4530" ref="N1036"/>
    <hyperlink r:id="rId4531" ref="C1037"/>
    <hyperlink r:id="rId4532" ref="L1037"/>
    <hyperlink r:id="rId4533" ref="N1037"/>
    <hyperlink r:id="rId4534" ref="P1037"/>
    <hyperlink r:id="rId4535" ref="C1038"/>
    <hyperlink r:id="rId4536" ref="L1038"/>
    <hyperlink r:id="rId4537" ref="N1038"/>
    <hyperlink r:id="rId4538" ref="P1038"/>
    <hyperlink r:id="rId4539" ref="C1039"/>
    <hyperlink r:id="rId4540" ref="J1039"/>
    <hyperlink r:id="rId4541" ref="L1039"/>
    <hyperlink r:id="rId4542" ref="N1039"/>
    <hyperlink r:id="rId4543" ref="P1039"/>
    <hyperlink r:id="rId4544" ref="C1040"/>
    <hyperlink r:id="rId4545" ref="J1040"/>
    <hyperlink r:id="rId4546" ref="L1040"/>
    <hyperlink r:id="rId4547" ref="N1040"/>
    <hyperlink r:id="rId4548" ref="P1040"/>
    <hyperlink r:id="rId4549" ref="C1041"/>
    <hyperlink r:id="rId4550" ref="J1041"/>
    <hyperlink r:id="rId4551" ref="L1041"/>
    <hyperlink r:id="rId4552" ref="N1041"/>
    <hyperlink r:id="rId4553" ref="P1041"/>
    <hyperlink r:id="rId4554" ref="C1042"/>
    <hyperlink r:id="rId4555" ref="J1042"/>
    <hyperlink r:id="rId4556" ref="L1042"/>
    <hyperlink r:id="rId4557" ref="N1042"/>
    <hyperlink r:id="rId4558" ref="P1042"/>
    <hyperlink r:id="rId4559" ref="C1043"/>
    <hyperlink r:id="rId4560" ref="J1043"/>
    <hyperlink r:id="rId4561" ref="L1043"/>
    <hyperlink r:id="rId4562" ref="N1043"/>
    <hyperlink r:id="rId4563" ref="P1043"/>
    <hyperlink r:id="rId4564" ref="C1044"/>
    <hyperlink r:id="rId4565" ref="J1044"/>
    <hyperlink r:id="rId4566" ref="L1044"/>
    <hyperlink r:id="rId4567" ref="N1044"/>
    <hyperlink r:id="rId4568" ref="P1044"/>
    <hyperlink r:id="rId4569" ref="C1045"/>
    <hyperlink r:id="rId4570" ref="J1045"/>
    <hyperlink r:id="rId4571" ref="L1045"/>
    <hyperlink r:id="rId4572" ref="N1045"/>
    <hyperlink r:id="rId4573" ref="P1045"/>
    <hyperlink r:id="rId4574" ref="C1046"/>
    <hyperlink r:id="rId4575" ref="J1046"/>
    <hyperlink r:id="rId4576" ref="L1046"/>
    <hyperlink r:id="rId4577" ref="N1046"/>
    <hyperlink r:id="rId4578" ref="P1046"/>
    <hyperlink r:id="rId4579" ref="C1047"/>
    <hyperlink r:id="rId4580" ref="J1047"/>
    <hyperlink r:id="rId4581" ref="L1047"/>
    <hyperlink r:id="rId4582" ref="N1047"/>
    <hyperlink r:id="rId4583" ref="P1047"/>
    <hyperlink r:id="rId4584" ref="C1048"/>
    <hyperlink r:id="rId4585" ref="J1048"/>
    <hyperlink r:id="rId4586" ref="L1048"/>
    <hyperlink r:id="rId4587" ref="N1048"/>
    <hyperlink r:id="rId4588" ref="P1048"/>
    <hyperlink r:id="rId4589" ref="C1049"/>
    <hyperlink r:id="rId4590" ref="J1049"/>
    <hyperlink r:id="rId4591" ref="L1049"/>
    <hyperlink r:id="rId4592" ref="N1049"/>
    <hyperlink r:id="rId4593" ref="P1049"/>
    <hyperlink r:id="rId4594" ref="C1050"/>
    <hyperlink r:id="rId4595" ref="J1050"/>
    <hyperlink r:id="rId4596" ref="L1050"/>
    <hyperlink r:id="rId4597" ref="N1050"/>
    <hyperlink r:id="rId4598" ref="P1050"/>
    <hyperlink r:id="rId4599" ref="C1051"/>
    <hyperlink r:id="rId4600" ref="J1051"/>
    <hyperlink r:id="rId4601" ref="L1051"/>
    <hyperlink r:id="rId4602" ref="N1051"/>
    <hyperlink r:id="rId4603" ref="P1051"/>
    <hyperlink r:id="rId4604" ref="C1052"/>
    <hyperlink r:id="rId4605" ref="J1052"/>
    <hyperlink r:id="rId4606" ref="L1052"/>
    <hyperlink r:id="rId4607" ref="N1052"/>
    <hyperlink r:id="rId4608" ref="P1052"/>
    <hyperlink r:id="rId4609" ref="C1053"/>
    <hyperlink r:id="rId4610" ref="J1053"/>
    <hyperlink r:id="rId4611" ref="L1053"/>
    <hyperlink r:id="rId4612" ref="N1053"/>
    <hyperlink r:id="rId4613" ref="P1053"/>
    <hyperlink r:id="rId4614" ref="C1054"/>
    <hyperlink r:id="rId4615" ref="J1054"/>
    <hyperlink r:id="rId4616" ref="L1054"/>
    <hyperlink r:id="rId4617" ref="N1054"/>
    <hyperlink r:id="rId4618" ref="P1054"/>
    <hyperlink r:id="rId4619" ref="C1055"/>
    <hyperlink r:id="rId4620" ref="J1055"/>
    <hyperlink r:id="rId4621" ref="L1055"/>
    <hyperlink r:id="rId4622" ref="N1055"/>
    <hyperlink r:id="rId4623" ref="P1055"/>
    <hyperlink r:id="rId4624" ref="C1056"/>
    <hyperlink r:id="rId4625" ref="J1056"/>
    <hyperlink r:id="rId4626" ref="L1056"/>
    <hyperlink r:id="rId4627" ref="N1056"/>
    <hyperlink r:id="rId4628" ref="P1056"/>
    <hyperlink r:id="rId4629" ref="C1057"/>
    <hyperlink r:id="rId4630" ref="J1057"/>
    <hyperlink r:id="rId4631" ref="L1057"/>
    <hyperlink r:id="rId4632" ref="N1057"/>
    <hyperlink r:id="rId4633" ref="P1057"/>
    <hyperlink r:id="rId4634" ref="C1058"/>
    <hyperlink r:id="rId4635" ref="J1058"/>
    <hyperlink r:id="rId4636" ref="L1058"/>
    <hyperlink r:id="rId4637" ref="N1058"/>
    <hyperlink r:id="rId4638" ref="P1058"/>
    <hyperlink r:id="rId4639" ref="C1059"/>
    <hyperlink r:id="rId4640" ref="J1059"/>
    <hyperlink r:id="rId4641" ref="L1059"/>
    <hyperlink r:id="rId4642" ref="N1059"/>
    <hyperlink r:id="rId4643" ref="P1059"/>
    <hyperlink r:id="rId4644" ref="C1060"/>
    <hyperlink r:id="rId4645" ref="J1060"/>
    <hyperlink r:id="rId4646" ref="L1060"/>
    <hyperlink r:id="rId4647" ref="P1060"/>
    <hyperlink r:id="rId4648" ref="C1061"/>
    <hyperlink r:id="rId4649" ref="J1061"/>
    <hyperlink r:id="rId4650" ref="L1061"/>
    <hyperlink r:id="rId4651" ref="N1061"/>
    <hyperlink r:id="rId4652" ref="P1061"/>
    <hyperlink r:id="rId4653" ref="C1062"/>
    <hyperlink r:id="rId4654" ref="J1062"/>
    <hyperlink r:id="rId4655" ref="L1062"/>
    <hyperlink r:id="rId4656" ref="N1062"/>
    <hyperlink r:id="rId4657" ref="P1062"/>
    <hyperlink r:id="rId4658" ref="C1063"/>
    <hyperlink r:id="rId4659" ref="J1063"/>
    <hyperlink r:id="rId4660" ref="L1063"/>
    <hyperlink r:id="rId4661" ref="N1063"/>
    <hyperlink r:id="rId4662" ref="P1063"/>
    <hyperlink r:id="rId4663" ref="C1064"/>
    <hyperlink r:id="rId4664" ref="J1064"/>
    <hyperlink r:id="rId4665" ref="L1064"/>
    <hyperlink r:id="rId4666" ref="N1064"/>
    <hyperlink r:id="rId4667" ref="P1064"/>
    <hyperlink r:id="rId4668" ref="C1065"/>
    <hyperlink r:id="rId4669" ref="J1065"/>
    <hyperlink r:id="rId4670" ref="L1065"/>
    <hyperlink r:id="rId4671" ref="N1065"/>
    <hyperlink r:id="rId4672" ref="P1065"/>
    <hyperlink r:id="rId4673" ref="C1066"/>
    <hyperlink r:id="rId4674" ref="J1066"/>
    <hyperlink r:id="rId4675" ref="L1066"/>
    <hyperlink r:id="rId4676" ref="N1066"/>
    <hyperlink r:id="rId4677" ref="P1066"/>
    <hyperlink r:id="rId4678" ref="C1067"/>
    <hyperlink r:id="rId4679" ref="J1067"/>
    <hyperlink r:id="rId4680" ref="L1067"/>
    <hyperlink r:id="rId4681" ref="N1067"/>
    <hyperlink r:id="rId4682" ref="P1067"/>
    <hyperlink r:id="rId4683" ref="C1068"/>
    <hyperlink r:id="rId4684" ref="J1068"/>
    <hyperlink r:id="rId4685" ref="L1068"/>
    <hyperlink r:id="rId4686" ref="N1068"/>
    <hyperlink r:id="rId4687" ref="P1068"/>
    <hyperlink r:id="rId4688" ref="C1069"/>
    <hyperlink r:id="rId4689" ref="J1069"/>
    <hyperlink r:id="rId4690" ref="L1069"/>
    <hyperlink r:id="rId4691" ref="N1069"/>
    <hyperlink r:id="rId4692" ref="P1069"/>
    <hyperlink r:id="rId4693" ref="C1070"/>
    <hyperlink r:id="rId4694" ref="J1070"/>
    <hyperlink r:id="rId4695" ref="L1070"/>
    <hyperlink r:id="rId4696" ref="N1070"/>
    <hyperlink r:id="rId4697" ref="P1070"/>
    <hyperlink r:id="rId4698" ref="C1071"/>
    <hyperlink r:id="rId4699" ref="J1071"/>
    <hyperlink r:id="rId4700" ref="L1071"/>
    <hyperlink r:id="rId4701" ref="N1071"/>
    <hyperlink r:id="rId4702" ref="P1071"/>
    <hyperlink r:id="rId4703" ref="C1072"/>
    <hyperlink r:id="rId4704" ref="J1072"/>
    <hyperlink r:id="rId4705" ref="L1072"/>
    <hyperlink r:id="rId4706" ref="N1072"/>
    <hyperlink r:id="rId4707" ref="P1072"/>
    <hyperlink r:id="rId4708" ref="C1073"/>
    <hyperlink r:id="rId4709" ref="J1073"/>
    <hyperlink r:id="rId4710" ref="L1073"/>
    <hyperlink r:id="rId4711" ref="N1073"/>
    <hyperlink r:id="rId4712" ref="P1073"/>
    <hyperlink r:id="rId4713" ref="C1074"/>
    <hyperlink r:id="rId4714" ref="J1074"/>
    <hyperlink r:id="rId4715" ref="L1074"/>
    <hyperlink r:id="rId4716" ref="N1074"/>
    <hyperlink r:id="rId4717" ref="P1074"/>
    <hyperlink r:id="rId4718" ref="C1075"/>
    <hyperlink r:id="rId4719" ref="J1075"/>
    <hyperlink r:id="rId4720" ref="L1075"/>
    <hyperlink r:id="rId4721" ref="N1075"/>
    <hyperlink r:id="rId4722" ref="P1075"/>
    <hyperlink r:id="rId4723" ref="C1076"/>
    <hyperlink r:id="rId4724" ref="J1076"/>
    <hyperlink r:id="rId4725" ref="L1076"/>
    <hyperlink r:id="rId4726" ref="N1076"/>
    <hyperlink r:id="rId4727" ref="P1076"/>
    <hyperlink r:id="rId4728" ref="C1077"/>
    <hyperlink r:id="rId4729" ref="J1077"/>
    <hyperlink r:id="rId4730" ref="L1077"/>
    <hyperlink r:id="rId4731" ref="N1077"/>
    <hyperlink r:id="rId4732" ref="P1077"/>
    <hyperlink r:id="rId4733" ref="C1078"/>
    <hyperlink r:id="rId4734" ref="J1078"/>
    <hyperlink r:id="rId4735" ref="L1078"/>
    <hyperlink r:id="rId4736" ref="N1078"/>
    <hyperlink r:id="rId4737" ref="P1078"/>
    <hyperlink r:id="rId4738" ref="C1079"/>
    <hyperlink r:id="rId4739" ref="J1079"/>
    <hyperlink r:id="rId4740" ref="L1079"/>
    <hyperlink r:id="rId4741" ref="N1079"/>
    <hyperlink r:id="rId4742" ref="P1079"/>
    <hyperlink r:id="rId4743" ref="C1080"/>
    <hyperlink r:id="rId4744" ref="J1080"/>
    <hyperlink r:id="rId4745" ref="L1080"/>
    <hyperlink r:id="rId4746" ref="N1080"/>
    <hyperlink r:id="rId4747" ref="P1080"/>
    <hyperlink r:id="rId4748" ref="C1081"/>
    <hyperlink r:id="rId4749" ref="J1081"/>
    <hyperlink r:id="rId4750" ref="L1081"/>
    <hyperlink r:id="rId4751" ref="N1081"/>
    <hyperlink r:id="rId4752" ref="P1081"/>
    <hyperlink r:id="rId4753" ref="C1082"/>
    <hyperlink r:id="rId4754" ref="J1082"/>
    <hyperlink r:id="rId4755" ref="L1082"/>
    <hyperlink r:id="rId4756" ref="N1082"/>
    <hyperlink r:id="rId4757" ref="P1082"/>
    <hyperlink r:id="rId4758" ref="C1083"/>
    <hyperlink r:id="rId4759" ref="J1083"/>
    <hyperlink r:id="rId4760" ref="L1083"/>
    <hyperlink r:id="rId4761" ref="N1083"/>
    <hyperlink r:id="rId4762" ref="P1083"/>
    <hyperlink r:id="rId4763" ref="C1084"/>
    <hyperlink r:id="rId4764" ref="J1084"/>
    <hyperlink r:id="rId4765" ref="L1084"/>
    <hyperlink r:id="rId4766" ref="N1084"/>
    <hyperlink r:id="rId4767" ref="P1084"/>
    <hyperlink r:id="rId4768" ref="C1085"/>
    <hyperlink r:id="rId4769" ref="J1085"/>
    <hyperlink r:id="rId4770" ref="L1085"/>
    <hyperlink r:id="rId4771" ref="N1085"/>
    <hyperlink r:id="rId4772" ref="P1085"/>
    <hyperlink r:id="rId4773" ref="C1086"/>
    <hyperlink r:id="rId4774" ref="J1086"/>
    <hyperlink r:id="rId4775" ref="L1086"/>
    <hyperlink r:id="rId4776" ref="N1086"/>
    <hyperlink r:id="rId4777" ref="P1086"/>
    <hyperlink r:id="rId4778" ref="C1087"/>
    <hyperlink r:id="rId4779" ref="J1087"/>
    <hyperlink r:id="rId4780" ref="L1087"/>
    <hyperlink r:id="rId4781" ref="N1087"/>
    <hyperlink r:id="rId4782" ref="P1087"/>
    <hyperlink r:id="rId4783" ref="C1088"/>
    <hyperlink r:id="rId4784" ref="J1088"/>
    <hyperlink r:id="rId4785" ref="L1088"/>
    <hyperlink r:id="rId4786" ref="N1088"/>
    <hyperlink r:id="rId4787" ref="P1088"/>
    <hyperlink r:id="rId4788" ref="C1089"/>
    <hyperlink r:id="rId4789" ref="J1089"/>
    <hyperlink r:id="rId4790" ref="L1089"/>
    <hyperlink r:id="rId4791" ref="N1089"/>
    <hyperlink r:id="rId4792" ref="P1089"/>
    <hyperlink r:id="rId4793" ref="C1090"/>
    <hyperlink r:id="rId4794" ref="J1090"/>
    <hyperlink r:id="rId4795" ref="L1090"/>
    <hyperlink r:id="rId4796" ref="N1090"/>
    <hyperlink r:id="rId4797" ref="P1090"/>
    <hyperlink r:id="rId4798" ref="C1091"/>
    <hyperlink r:id="rId4799" ref="J1091"/>
    <hyperlink r:id="rId4800" ref="L1091"/>
    <hyperlink r:id="rId4801" ref="N1091"/>
    <hyperlink r:id="rId4802" ref="P1091"/>
    <hyperlink r:id="rId4803" ref="C1092"/>
    <hyperlink r:id="rId4804" ref="J1092"/>
    <hyperlink r:id="rId4805" ref="L1092"/>
    <hyperlink r:id="rId4806" ref="N1092"/>
    <hyperlink r:id="rId4807" ref="P1092"/>
    <hyperlink r:id="rId4808" ref="C1093"/>
    <hyperlink r:id="rId4809" ref="J1093"/>
    <hyperlink r:id="rId4810" ref="L1093"/>
    <hyperlink r:id="rId4811" ref="N1093"/>
    <hyperlink r:id="rId4812" ref="P1093"/>
    <hyperlink r:id="rId4813" ref="C1094"/>
    <hyperlink r:id="rId4814" ref="J1094"/>
    <hyperlink r:id="rId4815" ref="L1094"/>
    <hyperlink r:id="rId4816" ref="N1094"/>
    <hyperlink r:id="rId4817" ref="P1094"/>
    <hyperlink r:id="rId4818" ref="C1095"/>
    <hyperlink r:id="rId4819" ref="J1095"/>
    <hyperlink r:id="rId4820" ref="L1095"/>
    <hyperlink r:id="rId4821" ref="N1095"/>
    <hyperlink r:id="rId4822" ref="P1095"/>
    <hyperlink r:id="rId4823" ref="C1096"/>
    <hyperlink r:id="rId4824" ref="J1096"/>
    <hyperlink r:id="rId4825" ref="L1096"/>
    <hyperlink r:id="rId4826" ref="N1096"/>
    <hyperlink r:id="rId4827" ref="P1096"/>
    <hyperlink r:id="rId4828" ref="C1097"/>
    <hyperlink r:id="rId4829" ref="J1097"/>
    <hyperlink r:id="rId4830" ref="L1097"/>
    <hyperlink r:id="rId4831" ref="N1097"/>
    <hyperlink r:id="rId4832" ref="P1097"/>
    <hyperlink r:id="rId4833" ref="C1098"/>
    <hyperlink r:id="rId4834" ref="J1098"/>
    <hyperlink r:id="rId4835" ref="L1098"/>
    <hyperlink r:id="rId4836" ref="N1098"/>
    <hyperlink r:id="rId4837" ref="P1098"/>
    <hyperlink r:id="rId4838" ref="C1099"/>
    <hyperlink r:id="rId4839" ref="J1099"/>
    <hyperlink r:id="rId4840" ref="L1099"/>
    <hyperlink r:id="rId4841" ref="N1099"/>
    <hyperlink r:id="rId4842" ref="P1099"/>
    <hyperlink r:id="rId4843" ref="C1100"/>
    <hyperlink r:id="rId4844" ref="J1100"/>
    <hyperlink r:id="rId4845" ref="L1100"/>
    <hyperlink r:id="rId4846" ref="N1100"/>
    <hyperlink r:id="rId4847" ref="P1100"/>
    <hyperlink r:id="rId4848" ref="C1101"/>
    <hyperlink r:id="rId4849" ref="J1101"/>
    <hyperlink r:id="rId4850" ref="L1101"/>
    <hyperlink r:id="rId4851" ref="N1101"/>
    <hyperlink r:id="rId4852" ref="P1101"/>
    <hyperlink r:id="rId4853" ref="C1102"/>
    <hyperlink r:id="rId4854" ref="J1102"/>
    <hyperlink r:id="rId4855" ref="L1102"/>
    <hyperlink r:id="rId4856" ref="N1102"/>
    <hyperlink r:id="rId4857" ref="P1102"/>
    <hyperlink r:id="rId4858" ref="C1103"/>
    <hyperlink r:id="rId4859" ref="J1103"/>
    <hyperlink r:id="rId4860" ref="L1103"/>
    <hyperlink r:id="rId4861" ref="N1103"/>
    <hyperlink r:id="rId4862" ref="P1103"/>
    <hyperlink r:id="rId4863" ref="C1104"/>
    <hyperlink r:id="rId4864" ref="J1104"/>
    <hyperlink r:id="rId4865" ref="L1104"/>
    <hyperlink r:id="rId4866" ref="N1104"/>
    <hyperlink r:id="rId4867" ref="P1104"/>
    <hyperlink r:id="rId4868" ref="C1105"/>
    <hyperlink r:id="rId4869" ref="J1105"/>
    <hyperlink r:id="rId4870" ref="L1105"/>
    <hyperlink r:id="rId4871" ref="N1105"/>
    <hyperlink r:id="rId4872" ref="P1105"/>
    <hyperlink r:id="rId4873" ref="C1106"/>
    <hyperlink r:id="rId4874" ref="J1106"/>
    <hyperlink r:id="rId4875" ref="L1106"/>
    <hyperlink r:id="rId4876" ref="N1106"/>
    <hyperlink r:id="rId4877" ref="P1106"/>
    <hyperlink r:id="rId4878" ref="C1107"/>
    <hyperlink r:id="rId4879" ref="J1107"/>
    <hyperlink r:id="rId4880" ref="L1107"/>
    <hyperlink r:id="rId4881" ref="N1107"/>
    <hyperlink r:id="rId4882" ref="P1107"/>
    <hyperlink r:id="rId4883" ref="C1108"/>
    <hyperlink r:id="rId4884" ref="J1108"/>
    <hyperlink r:id="rId4885" ref="L1108"/>
    <hyperlink r:id="rId4886" ref="N1108"/>
    <hyperlink r:id="rId4887" ref="P1108"/>
    <hyperlink r:id="rId4888" ref="C1109"/>
    <hyperlink r:id="rId4889" ref="N1109"/>
    <hyperlink r:id="rId4890" ref="C1110"/>
    <hyperlink r:id="rId4891" ref="J1110"/>
    <hyperlink r:id="rId4892" ref="L1110"/>
    <hyperlink r:id="rId4893" ref="N1110"/>
    <hyperlink r:id="rId4894" ref="P1110"/>
    <hyperlink r:id="rId4895" ref="C1111"/>
    <hyperlink r:id="rId4896" ref="J1111"/>
    <hyperlink r:id="rId4897" ref="L1111"/>
    <hyperlink r:id="rId4898" ref="N1111"/>
    <hyperlink r:id="rId4899" ref="P1111"/>
    <hyperlink r:id="rId4900" ref="C1112"/>
    <hyperlink r:id="rId4901" ref="J1112"/>
    <hyperlink r:id="rId4902" ref="L1112"/>
    <hyperlink r:id="rId4903" ref="N1112"/>
    <hyperlink r:id="rId4904" ref="P1112"/>
    <hyperlink r:id="rId4905" ref="C1113"/>
    <hyperlink r:id="rId4906" ref="J1113"/>
    <hyperlink r:id="rId4907" ref="L1113"/>
    <hyperlink r:id="rId4908" ref="N1113"/>
    <hyperlink r:id="rId4909" ref="P1113"/>
    <hyperlink r:id="rId4910" ref="C1114"/>
    <hyperlink r:id="rId4911" ref="J1114"/>
    <hyperlink r:id="rId4912" ref="L1114"/>
    <hyperlink r:id="rId4913" ref="N1114"/>
    <hyperlink r:id="rId4914" ref="P1114"/>
    <hyperlink r:id="rId4915" ref="C1115"/>
    <hyperlink r:id="rId4916" ref="J1115"/>
    <hyperlink r:id="rId4917" ref="L1115"/>
    <hyperlink r:id="rId4918" ref="N1115"/>
    <hyperlink r:id="rId4919" ref="P1115"/>
    <hyperlink r:id="rId4920" ref="C1116"/>
    <hyperlink r:id="rId4921" ref="N1116"/>
    <hyperlink r:id="rId4922" ref="P1116"/>
    <hyperlink r:id="rId4923" ref="C1117"/>
    <hyperlink r:id="rId4924" ref="J1117"/>
    <hyperlink r:id="rId4925" ref="L1117"/>
    <hyperlink r:id="rId4926" ref="N1117"/>
    <hyperlink r:id="rId4927" ref="P1117"/>
    <hyperlink r:id="rId4928" ref="C1118"/>
    <hyperlink r:id="rId4929" ref="J1118"/>
    <hyperlink r:id="rId4930" ref="L1118"/>
    <hyperlink r:id="rId4931" ref="N1118"/>
    <hyperlink r:id="rId4932" ref="P1118"/>
    <hyperlink r:id="rId4933" ref="C1119"/>
    <hyperlink r:id="rId4934" ref="J1119"/>
    <hyperlink r:id="rId4935" ref="L1119"/>
    <hyperlink r:id="rId4936" ref="N1119"/>
    <hyperlink r:id="rId4937" ref="P1119"/>
    <hyperlink r:id="rId4938" ref="C1120"/>
    <hyperlink r:id="rId4939" ref="J1120"/>
    <hyperlink r:id="rId4940" ref="L1120"/>
    <hyperlink r:id="rId4941" ref="N1120"/>
    <hyperlink r:id="rId4942" ref="P1120"/>
    <hyperlink r:id="rId4943" ref="C1121"/>
    <hyperlink r:id="rId4944" ref="J1121"/>
    <hyperlink r:id="rId4945" ref="L1121"/>
    <hyperlink r:id="rId4946" ref="N1121"/>
    <hyperlink r:id="rId4947" ref="P1121"/>
    <hyperlink r:id="rId4948" ref="C1122"/>
    <hyperlink r:id="rId4949" ref="J1122"/>
    <hyperlink r:id="rId4950" ref="L1122"/>
    <hyperlink r:id="rId4951" ref="N1122"/>
    <hyperlink r:id="rId4952" ref="P1122"/>
    <hyperlink r:id="rId4953" ref="C1123"/>
    <hyperlink r:id="rId4954" ref="J1123"/>
    <hyperlink r:id="rId4955" ref="L1123"/>
    <hyperlink r:id="rId4956" ref="N1123"/>
    <hyperlink r:id="rId4957" ref="P1123"/>
    <hyperlink r:id="rId4958" ref="C1124"/>
    <hyperlink r:id="rId4959" ref="J1124"/>
    <hyperlink r:id="rId4960" ref="L1124"/>
    <hyperlink r:id="rId4961" ref="N1124"/>
    <hyperlink r:id="rId4962" ref="P1124"/>
    <hyperlink r:id="rId4963" ref="C1125"/>
    <hyperlink r:id="rId4964" ref="J1125"/>
    <hyperlink r:id="rId4965" ref="L1125"/>
    <hyperlink r:id="rId4966" ref="N1125"/>
    <hyperlink r:id="rId4967" ref="P1125"/>
    <hyperlink r:id="rId4968" ref="C1126"/>
    <hyperlink r:id="rId4969" ref="J1126"/>
    <hyperlink r:id="rId4970" ref="L1126"/>
    <hyperlink r:id="rId4971" ref="N1126"/>
    <hyperlink r:id="rId4972" ref="P1126"/>
    <hyperlink r:id="rId4973" ref="C1127"/>
    <hyperlink r:id="rId4974" ref="J1127"/>
    <hyperlink r:id="rId4975" ref="L1127"/>
    <hyperlink r:id="rId4976" ref="N1127"/>
    <hyperlink r:id="rId4977" ref="P1127"/>
    <hyperlink r:id="rId4978" ref="C1128"/>
    <hyperlink r:id="rId4979" ref="J1128"/>
    <hyperlink r:id="rId4980" ref="L1128"/>
    <hyperlink r:id="rId4981" ref="N1128"/>
    <hyperlink r:id="rId4982" ref="P1128"/>
    <hyperlink r:id="rId4983" ref="C1129"/>
    <hyperlink r:id="rId4984" ref="J1129"/>
    <hyperlink r:id="rId4985" ref="L1129"/>
    <hyperlink r:id="rId4986" ref="N1129"/>
    <hyperlink r:id="rId4987" ref="P1129"/>
    <hyperlink r:id="rId4988" ref="C1130"/>
    <hyperlink r:id="rId4989" ref="J1130"/>
    <hyperlink r:id="rId4990" ref="L1130"/>
    <hyperlink r:id="rId4991" ref="N1130"/>
    <hyperlink r:id="rId4992" ref="P1130"/>
    <hyperlink r:id="rId4993" ref="C1131"/>
    <hyperlink r:id="rId4994" ref="J1131"/>
    <hyperlink r:id="rId4995" ref="L1131"/>
    <hyperlink r:id="rId4996" ref="N1131"/>
    <hyperlink r:id="rId4997" ref="P1131"/>
    <hyperlink r:id="rId4998" ref="C1132"/>
    <hyperlink r:id="rId4999" ref="J1132"/>
    <hyperlink r:id="rId5000" ref="L1132"/>
    <hyperlink r:id="rId5001" ref="N1132"/>
    <hyperlink r:id="rId5002" ref="P1132"/>
    <hyperlink r:id="rId5003" ref="C1133"/>
    <hyperlink r:id="rId5004" ref="J1133"/>
    <hyperlink r:id="rId5005" ref="L1133"/>
    <hyperlink r:id="rId5006" ref="N1133"/>
    <hyperlink r:id="rId5007" ref="P1133"/>
    <hyperlink r:id="rId5008" ref="C1134"/>
    <hyperlink r:id="rId5009" ref="J1134"/>
    <hyperlink r:id="rId5010" ref="L1134"/>
    <hyperlink r:id="rId5011" ref="N1134"/>
    <hyperlink r:id="rId5012" ref="P1134"/>
    <hyperlink r:id="rId5013" ref="C1135"/>
    <hyperlink r:id="rId5014" ref="J1135"/>
    <hyperlink r:id="rId5015" ref="L1135"/>
    <hyperlink r:id="rId5016" ref="N1135"/>
    <hyperlink r:id="rId5017" ref="P1135"/>
    <hyperlink r:id="rId5018" ref="C1136"/>
    <hyperlink r:id="rId5019" ref="J1136"/>
    <hyperlink r:id="rId5020" ref="L1136"/>
    <hyperlink r:id="rId5021" ref="N1136"/>
    <hyperlink r:id="rId5022" ref="P1136"/>
    <hyperlink r:id="rId5023" ref="C1137"/>
    <hyperlink r:id="rId5024" ref="J1137"/>
    <hyperlink r:id="rId5025" ref="L1137"/>
    <hyperlink r:id="rId5026" ref="N1137"/>
    <hyperlink r:id="rId5027" ref="P1137"/>
    <hyperlink r:id="rId5028" ref="C1138"/>
    <hyperlink r:id="rId5029" ref="J1138"/>
    <hyperlink r:id="rId5030" ref="L1138"/>
    <hyperlink r:id="rId5031" ref="N1138"/>
    <hyperlink r:id="rId5032" ref="P1138"/>
    <hyperlink r:id="rId5033" ref="C1139"/>
    <hyperlink r:id="rId5034" ref="J1139"/>
    <hyperlink r:id="rId5035" ref="L1139"/>
    <hyperlink r:id="rId5036" ref="N1139"/>
    <hyperlink r:id="rId5037" ref="P1139"/>
    <hyperlink r:id="rId5038" ref="C1140"/>
    <hyperlink r:id="rId5039" ref="J1140"/>
    <hyperlink r:id="rId5040" ref="L1140"/>
    <hyperlink r:id="rId5041" ref="N1140"/>
    <hyperlink r:id="rId5042" ref="P1140"/>
    <hyperlink r:id="rId5043" ref="C1141"/>
    <hyperlink r:id="rId5044" ref="J1141"/>
    <hyperlink r:id="rId5045" ref="L1141"/>
    <hyperlink r:id="rId5046" ref="N1141"/>
    <hyperlink r:id="rId5047" ref="P1141"/>
    <hyperlink r:id="rId5048" ref="C1142"/>
    <hyperlink r:id="rId5049" ref="J1142"/>
    <hyperlink r:id="rId5050" ref="L1142"/>
    <hyperlink r:id="rId5051" ref="N1142"/>
    <hyperlink r:id="rId5052" ref="P1142"/>
    <hyperlink r:id="rId5053" ref="C1143"/>
    <hyperlink r:id="rId5054" ref="J1143"/>
    <hyperlink r:id="rId5055" ref="L1143"/>
    <hyperlink r:id="rId5056" ref="N1143"/>
    <hyperlink r:id="rId5057" ref="P1143"/>
    <hyperlink r:id="rId5058" ref="C1144"/>
    <hyperlink r:id="rId5059" ref="J1144"/>
    <hyperlink r:id="rId5060" ref="L1144"/>
    <hyperlink r:id="rId5061" ref="N1144"/>
    <hyperlink r:id="rId5062" ref="P1144"/>
    <hyperlink r:id="rId5063" ref="C1145"/>
    <hyperlink r:id="rId5064" ref="J1145"/>
    <hyperlink r:id="rId5065" ref="L1145"/>
    <hyperlink r:id="rId5066" ref="N1145"/>
    <hyperlink r:id="rId5067" ref="P1145"/>
    <hyperlink r:id="rId5068" ref="C1146"/>
    <hyperlink r:id="rId5069" ref="J1146"/>
    <hyperlink r:id="rId5070" ref="L1146"/>
    <hyperlink r:id="rId5071" ref="N1146"/>
    <hyperlink r:id="rId5072" ref="P1146"/>
    <hyperlink r:id="rId5073" ref="C1147"/>
    <hyperlink r:id="rId5074" ref="J1147"/>
    <hyperlink r:id="rId5075" ref="L1147"/>
    <hyperlink r:id="rId5076" ref="N1147"/>
    <hyperlink r:id="rId5077" ref="P1147"/>
    <hyperlink r:id="rId5078" ref="C1148"/>
    <hyperlink r:id="rId5079" ref="J1148"/>
    <hyperlink r:id="rId5080" ref="L1148"/>
    <hyperlink r:id="rId5081" ref="N1148"/>
    <hyperlink r:id="rId5082" ref="P1148"/>
    <hyperlink r:id="rId5083" ref="C1149"/>
    <hyperlink r:id="rId5084" ref="J1149"/>
    <hyperlink r:id="rId5085" ref="L1149"/>
    <hyperlink r:id="rId5086" ref="N1149"/>
    <hyperlink r:id="rId5087" ref="P1149"/>
    <hyperlink r:id="rId5088" ref="C1150"/>
    <hyperlink r:id="rId5089" ref="J1150"/>
    <hyperlink r:id="rId5090" ref="L1150"/>
    <hyperlink r:id="rId5091" ref="N1150"/>
    <hyperlink r:id="rId5092" ref="P1150"/>
    <hyperlink r:id="rId5093" ref="C1151"/>
    <hyperlink r:id="rId5094" ref="J1151"/>
    <hyperlink r:id="rId5095" ref="L1151"/>
    <hyperlink r:id="rId5096" ref="N1151"/>
    <hyperlink r:id="rId5097" ref="P1151"/>
    <hyperlink r:id="rId5098" ref="B1152"/>
    <hyperlink r:id="rId5099" ref="C1152"/>
    <hyperlink r:id="rId5100" ref="J1152"/>
    <hyperlink r:id="rId5101" ref="L1152"/>
    <hyperlink r:id="rId5102" ref="N1152"/>
    <hyperlink r:id="rId5103" ref="P1152"/>
    <hyperlink r:id="rId5104" ref="C1153"/>
    <hyperlink r:id="rId5105" ref="J1153"/>
    <hyperlink r:id="rId5106" ref="L1153"/>
    <hyperlink r:id="rId5107" ref="N1153"/>
    <hyperlink r:id="rId5108" ref="P1153"/>
    <hyperlink r:id="rId5109" ref="C1154"/>
    <hyperlink r:id="rId5110" ref="J1154"/>
    <hyperlink r:id="rId5111" ref="L1154"/>
    <hyperlink r:id="rId5112" ref="N1154"/>
    <hyperlink r:id="rId5113" ref="P1154"/>
    <hyperlink r:id="rId5114" ref="C1155"/>
    <hyperlink r:id="rId5115" ref="J1155"/>
    <hyperlink r:id="rId5116" ref="L1155"/>
    <hyperlink r:id="rId5117" ref="N1155"/>
    <hyperlink r:id="rId5118" ref="P1155"/>
    <hyperlink r:id="rId5119" ref="C1156"/>
    <hyperlink r:id="rId5120" ref="J1156"/>
    <hyperlink r:id="rId5121" ref="L1156"/>
    <hyperlink r:id="rId5122" ref="N1156"/>
    <hyperlink r:id="rId5123" ref="P1156"/>
    <hyperlink r:id="rId5124" ref="C1157"/>
    <hyperlink r:id="rId5125" ref="J1157"/>
    <hyperlink r:id="rId5126" ref="L1157"/>
    <hyperlink r:id="rId5127" ref="N1157"/>
    <hyperlink r:id="rId5128" ref="P1157"/>
    <hyperlink r:id="rId5129" ref="C1158"/>
    <hyperlink r:id="rId5130" ref="J1158"/>
    <hyperlink r:id="rId5131" ref="L1158"/>
    <hyperlink r:id="rId5132" ref="N1158"/>
    <hyperlink r:id="rId5133" ref="P1158"/>
    <hyperlink r:id="rId5134" ref="C1159"/>
    <hyperlink r:id="rId5135" ref="J1159"/>
    <hyperlink r:id="rId5136" ref="L1159"/>
    <hyperlink r:id="rId5137" ref="N1159"/>
    <hyperlink r:id="rId5138" ref="P1159"/>
    <hyperlink r:id="rId5139" ref="C1160"/>
    <hyperlink r:id="rId5140" ref="J1160"/>
    <hyperlink r:id="rId5141" ref="L1160"/>
    <hyperlink r:id="rId5142" ref="N1160"/>
    <hyperlink r:id="rId5143" ref="P1160"/>
    <hyperlink r:id="rId5144" ref="C1161"/>
    <hyperlink r:id="rId5145" ref="J1161"/>
    <hyperlink r:id="rId5146" ref="L1161"/>
    <hyperlink r:id="rId5147" ref="N1161"/>
    <hyperlink r:id="rId5148" ref="P1161"/>
    <hyperlink r:id="rId5149" ref="C1162"/>
    <hyperlink r:id="rId5150" ref="J1162"/>
    <hyperlink r:id="rId5151" ref="L1162"/>
    <hyperlink r:id="rId5152" ref="C1163"/>
    <hyperlink r:id="rId5153" ref="J1163"/>
    <hyperlink r:id="rId5154" ref="L1163"/>
    <hyperlink r:id="rId5155" ref="N1163"/>
    <hyperlink r:id="rId5156" ref="P1163"/>
    <hyperlink r:id="rId5157" ref="C1164"/>
    <hyperlink r:id="rId5158" ref="J1164"/>
    <hyperlink r:id="rId5159" ref="L1164"/>
    <hyperlink r:id="rId5160" ref="N1164"/>
    <hyperlink r:id="rId5161" ref="P1164"/>
    <hyperlink r:id="rId5162" ref="C1165"/>
    <hyperlink r:id="rId5163" ref="J1165"/>
    <hyperlink r:id="rId5164" ref="L1165"/>
    <hyperlink r:id="rId5165" ref="N1165"/>
    <hyperlink r:id="rId5166" ref="P1165"/>
    <hyperlink r:id="rId5167" ref="C1166"/>
    <hyperlink r:id="rId5168" ref="J1166"/>
    <hyperlink r:id="rId5169" ref="L1166"/>
    <hyperlink r:id="rId5170" ref="N1166"/>
    <hyperlink r:id="rId5171" ref="P1166"/>
    <hyperlink r:id="rId5172" ref="C1167"/>
    <hyperlink r:id="rId5173" ref="J1167"/>
    <hyperlink r:id="rId5174" ref="L1167"/>
    <hyperlink r:id="rId5175" ref="N1167"/>
    <hyperlink r:id="rId5176" ref="P1167"/>
    <hyperlink r:id="rId5177" ref="C1168"/>
    <hyperlink r:id="rId5178" ref="J1168"/>
    <hyperlink r:id="rId5179" ref="L1168"/>
    <hyperlink r:id="rId5180" ref="N1168"/>
    <hyperlink r:id="rId5181" ref="P1168"/>
    <hyperlink r:id="rId5182" ref="C1169"/>
    <hyperlink r:id="rId5183" ref="J1169"/>
    <hyperlink r:id="rId5184" ref="L1169"/>
    <hyperlink r:id="rId5185" ref="N1169"/>
    <hyperlink r:id="rId5186" ref="P1169"/>
    <hyperlink r:id="rId5187" ref="C1170"/>
    <hyperlink r:id="rId5188" ref="J1170"/>
    <hyperlink r:id="rId5189" ref="L1170"/>
    <hyperlink r:id="rId5190" ref="N1170"/>
    <hyperlink r:id="rId5191" ref="P1170"/>
    <hyperlink r:id="rId5192" ref="C1171"/>
    <hyperlink r:id="rId5193" ref="J1171"/>
    <hyperlink r:id="rId5194" ref="L1171"/>
    <hyperlink r:id="rId5195" ref="N1171"/>
    <hyperlink r:id="rId5196" ref="P1171"/>
    <hyperlink r:id="rId5197" ref="C1172"/>
    <hyperlink r:id="rId5198" ref="J1172"/>
    <hyperlink r:id="rId5199" ref="L1172"/>
    <hyperlink r:id="rId5200" ref="N1172"/>
    <hyperlink r:id="rId5201" ref="P1172"/>
    <hyperlink r:id="rId5202" ref="C1173"/>
    <hyperlink r:id="rId5203" ref="J1173"/>
    <hyperlink r:id="rId5204" ref="L1173"/>
    <hyperlink r:id="rId5205" ref="N1173"/>
    <hyperlink r:id="rId5206" ref="P1173"/>
    <hyperlink r:id="rId5207" ref="C1174"/>
    <hyperlink r:id="rId5208" ref="J1174"/>
    <hyperlink r:id="rId5209" ref="L1174"/>
    <hyperlink r:id="rId5210" ref="N1174"/>
    <hyperlink r:id="rId5211" ref="P1174"/>
    <hyperlink r:id="rId5212" ref="C1175"/>
    <hyperlink r:id="rId5213" ref="J1175"/>
    <hyperlink r:id="rId5214" ref="L1175"/>
    <hyperlink r:id="rId5215" ref="N1175"/>
    <hyperlink r:id="rId5216" ref="P1175"/>
    <hyperlink r:id="rId5217" ref="C1176"/>
    <hyperlink r:id="rId5218" ref="J1176"/>
    <hyperlink r:id="rId5219" ref="L1176"/>
    <hyperlink r:id="rId5220" ref="N1176"/>
    <hyperlink r:id="rId5221" ref="P1176"/>
    <hyperlink r:id="rId5222" ref="C1177"/>
    <hyperlink r:id="rId5223" ref="J1177"/>
    <hyperlink r:id="rId5224" ref="L1177"/>
    <hyperlink r:id="rId5225" ref="N1177"/>
    <hyperlink r:id="rId5226" ref="P1177"/>
    <hyperlink r:id="rId5227" ref="C1178"/>
    <hyperlink r:id="rId5228" ref="J1178"/>
    <hyperlink r:id="rId5229" ref="L1178"/>
    <hyperlink r:id="rId5230" ref="N1178"/>
    <hyperlink r:id="rId5231" ref="P1178"/>
    <hyperlink r:id="rId5232" ref="C1179"/>
    <hyperlink r:id="rId5233" ref="J1179"/>
    <hyperlink r:id="rId5234" ref="L1179"/>
    <hyperlink r:id="rId5235" ref="N1179"/>
    <hyperlink r:id="rId5236" ref="P1179"/>
    <hyperlink r:id="rId5237" ref="C1180"/>
    <hyperlink r:id="rId5238" ref="J1180"/>
    <hyperlink r:id="rId5239" ref="L1180"/>
    <hyperlink r:id="rId5240" ref="N1180"/>
    <hyperlink r:id="rId5241" ref="P1180"/>
    <hyperlink r:id="rId5242" ref="C1181"/>
    <hyperlink r:id="rId5243" ref="J1181"/>
    <hyperlink r:id="rId5244" ref="L1181"/>
    <hyperlink r:id="rId5245" ref="N1181"/>
    <hyperlink r:id="rId5246" ref="P1181"/>
    <hyperlink r:id="rId5247" ref="C1182"/>
    <hyperlink r:id="rId5248" ref="J1182"/>
    <hyperlink r:id="rId5249" ref="L1182"/>
    <hyperlink r:id="rId5250" ref="N1182"/>
    <hyperlink r:id="rId5251" ref="P1182"/>
    <hyperlink r:id="rId5252" ref="C1183"/>
    <hyperlink r:id="rId5253" ref="J1183"/>
    <hyperlink r:id="rId5254" ref="L1183"/>
    <hyperlink r:id="rId5255" ref="N1183"/>
    <hyperlink r:id="rId5256" ref="P1183"/>
    <hyperlink r:id="rId5257" ref="C1184"/>
    <hyperlink r:id="rId5258" ref="J1184"/>
    <hyperlink r:id="rId5259" ref="L1184"/>
    <hyperlink r:id="rId5260" ref="N1184"/>
    <hyperlink r:id="rId5261" ref="P1184"/>
    <hyperlink r:id="rId5262" ref="C1185"/>
    <hyperlink r:id="rId5263" ref="J1185"/>
    <hyperlink r:id="rId5264" ref="L1185"/>
    <hyperlink r:id="rId5265" ref="N1185"/>
    <hyperlink r:id="rId5266" ref="P1185"/>
    <hyperlink r:id="rId5267" ref="C1186"/>
    <hyperlink r:id="rId5268" ref="J1186"/>
    <hyperlink r:id="rId5269" ref="L1186"/>
    <hyperlink r:id="rId5270" ref="N1186"/>
    <hyperlink r:id="rId5271" ref="P1186"/>
    <hyperlink r:id="rId5272" ref="C1187"/>
    <hyperlink r:id="rId5273" ref="J1187"/>
    <hyperlink r:id="rId5274" ref="L1187"/>
    <hyperlink r:id="rId5275" ref="N1187"/>
    <hyperlink r:id="rId5276" ref="P1187"/>
    <hyperlink r:id="rId5277" ref="C1188"/>
    <hyperlink r:id="rId5278" ref="J1188"/>
    <hyperlink r:id="rId5279" ref="L1188"/>
    <hyperlink r:id="rId5280" ref="N1188"/>
    <hyperlink r:id="rId5281" ref="P1188"/>
    <hyperlink r:id="rId5282" ref="C1189"/>
    <hyperlink r:id="rId5283" ref="J1189"/>
    <hyperlink r:id="rId5284" ref="L1189"/>
    <hyperlink r:id="rId5285" ref="N1189"/>
    <hyperlink r:id="rId5286" ref="P1189"/>
    <hyperlink r:id="rId5287" ref="C1190"/>
    <hyperlink r:id="rId5288" ref="J1190"/>
    <hyperlink r:id="rId5289" ref="L1190"/>
    <hyperlink r:id="rId5290" ref="N1190"/>
    <hyperlink r:id="rId5291" ref="P1190"/>
    <hyperlink r:id="rId5292" ref="C1191"/>
    <hyperlink r:id="rId5293" ref="J1191"/>
    <hyperlink r:id="rId5294" ref="L1191"/>
    <hyperlink r:id="rId5295" ref="N1191"/>
    <hyperlink r:id="rId5296" ref="P1191"/>
    <hyperlink r:id="rId5297" ref="C1192"/>
    <hyperlink r:id="rId5298" ref="J1192"/>
    <hyperlink r:id="rId5299" ref="L1192"/>
    <hyperlink r:id="rId5300" ref="N1192"/>
    <hyperlink r:id="rId5301" ref="P1192"/>
    <hyperlink r:id="rId5302" ref="C1193"/>
    <hyperlink r:id="rId5303" ref="J1193"/>
    <hyperlink r:id="rId5304" ref="L1193"/>
    <hyperlink r:id="rId5305" ref="N1193"/>
    <hyperlink r:id="rId5306" ref="P1193"/>
    <hyperlink r:id="rId5307" ref="C1194"/>
    <hyperlink r:id="rId5308" ref="J1194"/>
    <hyperlink r:id="rId5309" ref="L1194"/>
    <hyperlink r:id="rId5310" ref="N1194"/>
    <hyperlink r:id="rId5311" ref="P1194"/>
    <hyperlink r:id="rId5312" ref="C1195"/>
    <hyperlink r:id="rId5313" ref="J1195"/>
    <hyperlink r:id="rId5314" ref="L1195"/>
    <hyperlink r:id="rId5315" ref="N1195"/>
    <hyperlink r:id="rId5316" ref="P1195"/>
    <hyperlink r:id="rId5317" ref="C1196"/>
    <hyperlink r:id="rId5318" ref="J1196"/>
    <hyperlink r:id="rId5319" ref="L1196"/>
    <hyperlink r:id="rId5320" ref="N1196"/>
    <hyperlink r:id="rId5321" ref="P1196"/>
    <hyperlink r:id="rId5322" ref="C1197"/>
    <hyperlink r:id="rId5323" ref="J1197"/>
    <hyperlink r:id="rId5324" ref="L1197"/>
    <hyperlink r:id="rId5325" ref="N1197"/>
    <hyperlink r:id="rId5326" ref="P1197"/>
    <hyperlink r:id="rId5327" ref="C1198"/>
    <hyperlink r:id="rId5328" ref="J1198"/>
    <hyperlink r:id="rId5329" ref="L1198"/>
    <hyperlink r:id="rId5330" ref="N1198"/>
    <hyperlink r:id="rId5331" ref="P1198"/>
    <hyperlink r:id="rId5332" ref="C1199"/>
    <hyperlink r:id="rId5333" ref="J1199"/>
    <hyperlink r:id="rId5334" ref="L1199"/>
    <hyperlink r:id="rId5335" ref="N1199"/>
    <hyperlink r:id="rId5336" ref="P1199"/>
    <hyperlink r:id="rId5337" ref="C1200"/>
    <hyperlink r:id="rId5338" ref="J1200"/>
    <hyperlink r:id="rId5339" ref="L1200"/>
    <hyperlink r:id="rId5340" ref="N1200"/>
    <hyperlink r:id="rId5341" ref="P1200"/>
    <hyperlink r:id="rId5342" ref="C1201"/>
    <hyperlink r:id="rId5343" ref="J1201"/>
    <hyperlink r:id="rId5344" ref="L1201"/>
    <hyperlink r:id="rId5345" ref="N1201"/>
    <hyperlink r:id="rId5346" ref="P1201"/>
    <hyperlink r:id="rId5347" ref="C1202"/>
    <hyperlink r:id="rId5348" ref="J1202"/>
    <hyperlink r:id="rId5349" ref="L1202"/>
    <hyperlink r:id="rId5350" ref="N1202"/>
    <hyperlink r:id="rId5351" ref="P1202"/>
    <hyperlink r:id="rId5352" ref="C1203"/>
    <hyperlink r:id="rId5353" ref="J1203"/>
    <hyperlink r:id="rId5354" ref="L1203"/>
    <hyperlink r:id="rId5355" ref="N1203"/>
    <hyperlink r:id="rId5356" ref="P1203"/>
    <hyperlink r:id="rId5357" ref="C1204"/>
    <hyperlink r:id="rId5358" ref="J1204"/>
    <hyperlink r:id="rId5359" ref="L1204"/>
    <hyperlink r:id="rId5360" ref="N1204"/>
    <hyperlink r:id="rId5361" ref="P1204"/>
    <hyperlink r:id="rId5362" ref="C1205"/>
    <hyperlink r:id="rId5363" ref="C1206"/>
    <hyperlink r:id="rId5364" ref="J1206"/>
    <hyperlink r:id="rId5365" ref="L1206"/>
    <hyperlink r:id="rId5366" ref="N1206"/>
    <hyperlink r:id="rId5367" ref="P1206"/>
    <hyperlink r:id="rId5368" ref="C1207"/>
    <hyperlink r:id="rId5369" ref="J1207"/>
    <hyperlink r:id="rId5370" ref="L1207"/>
    <hyperlink r:id="rId5371" ref="N1207"/>
    <hyperlink r:id="rId5372" ref="P1207"/>
    <hyperlink r:id="rId5373" ref="C1208"/>
    <hyperlink r:id="rId5374" ref="J1208"/>
    <hyperlink r:id="rId5375" ref="L1208"/>
    <hyperlink r:id="rId5376" ref="N1208"/>
    <hyperlink r:id="rId5377" ref="P1208"/>
    <hyperlink r:id="rId5378" ref="C1209"/>
    <hyperlink r:id="rId5379" ref="J1209"/>
    <hyperlink r:id="rId5380" ref="L1209"/>
    <hyperlink r:id="rId5381" ref="N1209"/>
    <hyperlink r:id="rId5382" ref="P1209"/>
    <hyperlink r:id="rId5383" ref="C1210"/>
    <hyperlink r:id="rId5384" ref="J1210"/>
    <hyperlink r:id="rId5385" ref="L1210"/>
    <hyperlink r:id="rId5386" ref="N1210"/>
    <hyperlink r:id="rId5387" ref="P1210"/>
    <hyperlink r:id="rId5388" ref="C1211"/>
    <hyperlink r:id="rId5389" ref="J1211"/>
    <hyperlink r:id="rId5390" ref="L1211"/>
    <hyperlink r:id="rId5391" ref="N1211"/>
    <hyperlink r:id="rId5392" ref="P1211"/>
    <hyperlink r:id="rId5393" ref="C1212"/>
    <hyperlink r:id="rId5394" ref="J1212"/>
    <hyperlink r:id="rId5395" ref="L1212"/>
    <hyperlink r:id="rId5396" ref="N1212"/>
    <hyperlink r:id="rId5397" ref="P1212"/>
    <hyperlink r:id="rId5398" ref="C1213"/>
    <hyperlink r:id="rId5399" ref="J1213"/>
    <hyperlink r:id="rId5400" ref="L1213"/>
    <hyperlink r:id="rId5401" ref="N1213"/>
    <hyperlink r:id="rId5402" ref="P1213"/>
    <hyperlink r:id="rId5403" ref="C1214"/>
    <hyperlink r:id="rId5404" ref="J1214"/>
    <hyperlink r:id="rId5405" ref="L1214"/>
    <hyperlink r:id="rId5406" ref="N1214"/>
    <hyperlink r:id="rId5407" ref="P1214"/>
    <hyperlink r:id="rId5408" ref="C1215"/>
    <hyperlink r:id="rId5409" ref="J1215"/>
    <hyperlink r:id="rId5410" ref="L1215"/>
    <hyperlink r:id="rId5411" ref="N1215"/>
    <hyperlink r:id="rId5412" ref="P1215"/>
    <hyperlink r:id="rId5413" ref="C1216"/>
    <hyperlink r:id="rId5414" ref="J1216"/>
    <hyperlink r:id="rId5415" ref="L1216"/>
    <hyperlink r:id="rId5416" ref="N1216"/>
    <hyperlink r:id="rId5417" ref="P1216"/>
    <hyperlink r:id="rId5418" ref="C1217"/>
    <hyperlink r:id="rId5419" ref="J1217"/>
    <hyperlink r:id="rId5420" ref="L1217"/>
    <hyperlink r:id="rId5421" ref="N1217"/>
    <hyperlink r:id="rId5422" ref="P1217"/>
    <hyperlink r:id="rId5423" ref="C1218"/>
    <hyperlink r:id="rId5424" ref="J1218"/>
    <hyperlink r:id="rId5425" ref="L1218"/>
    <hyperlink r:id="rId5426" ref="N1218"/>
    <hyperlink r:id="rId5427" ref="P1218"/>
    <hyperlink r:id="rId5428" ref="C1219"/>
    <hyperlink r:id="rId5429" ref="J1219"/>
    <hyperlink r:id="rId5430" ref="L1219"/>
    <hyperlink r:id="rId5431" ref="N1219"/>
    <hyperlink r:id="rId5432" ref="P1219"/>
    <hyperlink r:id="rId5433" ref="C1220"/>
    <hyperlink r:id="rId5434" ref="J1220"/>
    <hyperlink r:id="rId5435" ref="L1220"/>
    <hyperlink r:id="rId5436" ref="N1220"/>
    <hyperlink r:id="rId5437" ref="P1220"/>
    <hyperlink r:id="rId5438" ref="C1221"/>
    <hyperlink r:id="rId5439" ref="J1221"/>
    <hyperlink r:id="rId5440" ref="L1221"/>
    <hyperlink r:id="rId5441" ref="N1221"/>
    <hyperlink r:id="rId5442" ref="P1221"/>
    <hyperlink r:id="rId5443" ref="C1222"/>
    <hyperlink r:id="rId5444" ref="J1222"/>
    <hyperlink r:id="rId5445" ref="L1222"/>
    <hyperlink r:id="rId5446" ref="N1222"/>
    <hyperlink r:id="rId5447" ref="P1222"/>
    <hyperlink r:id="rId5448" ref="C1223"/>
    <hyperlink r:id="rId5449" ref="J1223"/>
    <hyperlink r:id="rId5450" ref="L1223"/>
    <hyperlink r:id="rId5451" ref="N1223"/>
    <hyperlink r:id="rId5452" ref="P1223"/>
    <hyperlink r:id="rId5453" ref="C1224"/>
    <hyperlink r:id="rId5454" ref="J1224"/>
    <hyperlink r:id="rId5455" ref="L1224"/>
    <hyperlink r:id="rId5456" ref="N1224"/>
    <hyperlink r:id="rId5457" ref="P1224"/>
    <hyperlink r:id="rId5458" ref="C1225"/>
    <hyperlink r:id="rId5459" ref="J1225"/>
    <hyperlink r:id="rId5460" ref="L1225"/>
    <hyperlink r:id="rId5461" ref="N1225"/>
    <hyperlink r:id="rId5462" ref="P1225"/>
    <hyperlink r:id="rId5463" ref="C1226"/>
    <hyperlink r:id="rId5464" ref="J1226"/>
    <hyperlink r:id="rId5465" ref="L1226"/>
    <hyperlink r:id="rId5466" ref="N1226"/>
    <hyperlink r:id="rId5467" ref="P1226"/>
    <hyperlink r:id="rId5468" ref="C1227"/>
    <hyperlink r:id="rId5469" ref="J1227"/>
    <hyperlink r:id="rId5470" ref="L1227"/>
    <hyperlink r:id="rId5471" ref="N1227"/>
    <hyperlink r:id="rId5472" ref="P1227"/>
    <hyperlink r:id="rId5473" ref="C1228"/>
    <hyperlink r:id="rId5474" ref="J1228"/>
    <hyperlink r:id="rId5475" ref="L1228"/>
    <hyperlink r:id="rId5476" ref="N1228"/>
    <hyperlink r:id="rId5477" ref="P1228"/>
    <hyperlink r:id="rId5478" ref="C1229"/>
    <hyperlink r:id="rId5479" ref="J1229"/>
    <hyperlink r:id="rId5480" ref="L1229"/>
    <hyperlink r:id="rId5481" ref="N1229"/>
    <hyperlink r:id="rId5482" ref="P1229"/>
    <hyperlink r:id="rId5483" ref="C1230"/>
    <hyperlink r:id="rId5484" ref="J1230"/>
    <hyperlink r:id="rId5485" ref="L1230"/>
    <hyperlink r:id="rId5486" ref="N1230"/>
    <hyperlink r:id="rId5487" ref="P1230"/>
    <hyperlink r:id="rId5488" ref="C1231"/>
    <hyperlink r:id="rId5489" ref="J1231"/>
    <hyperlink r:id="rId5490" ref="L1231"/>
    <hyperlink r:id="rId5491" ref="N1231"/>
    <hyperlink r:id="rId5492" ref="P1231"/>
    <hyperlink r:id="rId5493" ref="C1232"/>
    <hyperlink r:id="rId5494" ref="J1232"/>
    <hyperlink r:id="rId5495" ref="L1232"/>
    <hyperlink r:id="rId5496" ref="N1232"/>
    <hyperlink r:id="rId5497" ref="P1232"/>
    <hyperlink r:id="rId5498" ref="C1233"/>
    <hyperlink r:id="rId5499" ref="J1233"/>
    <hyperlink r:id="rId5500" ref="L1233"/>
    <hyperlink r:id="rId5501" ref="N1233"/>
    <hyperlink r:id="rId5502" ref="P1233"/>
    <hyperlink r:id="rId5503" ref="C1234"/>
    <hyperlink r:id="rId5504" ref="J1234"/>
    <hyperlink r:id="rId5505" ref="L1234"/>
    <hyperlink r:id="rId5506" ref="N1234"/>
    <hyperlink r:id="rId5507" ref="P1234"/>
    <hyperlink r:id="rId5508" ref="C1235"/>
    <hyperlink r:id="rId5509" ref="J1235"/>
    <hyperlink r:id="rId5510" ref="L1235"/>
    <hyperlink r:id="rId5511" ref="N1235"/>
    <hyperlink r:id="rId5512" ref="P1235"/>
    <hyperlink r:id="rId5513" ref="C1236"/>
    <hyperlink r:id="rId5514" ref="J1236"/>
    <hyperlink r:id="rId5515" ref="L1236"/>
    <hyperlink r:id="rId5516" ref="N1236"/>
    <hyperlink r:id="rId5517" ref="P1236"/>
    <hyperlink r:id="rId5518" ref="C1237"/>
    <hyperlink r:id="rId5519" ref="J1237"/>
    <hyperlink r:id="rId5520" ref="L1237"/>
    <hyperlink r:id="rId5521" ref="N1237"/>
    <hyperlink r:id="rId5522" ref="P1237"/>
    <hyperlink r:id="rId5523" ref="C1238"/>
    <hyperlink r:id="rId5524" ref="J1238"/>
    <hyperlink r:id="rId5525" ref="L1238"/>
    <hyperlink r:id="rId5526" ref="N1238"/>
    <hyperlink r:id="rId5527" ref="P1238"/>
    <hyperlink r:id="rId5528" ref="C1239"/>
    <hyperlink r:id="rId5529" ref="J1239"/>
    <hyperlink r:id="rId5530" ref="L1239"/>
    <hyperlink r:id="rId5531" ref="N1239"/>
    <hyperlink r:id="rId5532" ref="P1239"/>
    <hyperlink r:id="rId5533" ref="C1240"/>
    <hyperlink r:id="rId5534" ref="J1240"/>
    <hyperlink r:id="rId5535" ref="L1240"/>
    <hyperlink r:id="rId5536" ref="C1241"/>
    <hyperlink r:id="rId5537" ref="J1241"/>
    <hyperlink r:id="rId5538" ref="L1241"/>
    <hyperlink r:id="rId5539" ref="N1241"/>
    <hyperlink r:id="rId5540" ref="P1241"/>
    <hyperlink r:id="rId5541" ref="C1242"/>
    <hyperlink r:id="rId5542" ref="J1242"/>
    <hyperlink r:id="rId5543" ref="L1242"/>
    <hyperlink r:id="rId5544" ref="N1242"/>
    <hyperlink r:id="rId5545" ref="P1242"/>
    <hyperlink r:id="rId5546" ref="C1243"/>
    <hyperlink r:id="rId5547" ref="J1243"/>
    <hyperlink r:id="rId5548" ref="L1243"/>
    <hyperlink r:id="rId5549" ref="N1243"/>
    <hyperlink r:id="rId5550" ref="P1243"/>
    <hyperlink r:id="rId5551" ref="C1244"/>
    <hyperlink r:id="rId5552" ref="J1244"/>
    <hyperlink r:id="rId5553" ref="L1244"/>
    <hyperlink r:id="rId5554" ref="N1244"/>
    <hyperlink r:id="rId5555" ref="P1244"/>
    <hyperlink r:id="rId5556" ref="C1245"/>
    <hyperlink r:id="rId5557" ref="J1245"/>
    <hyperlink r:id="rId5558" ref="L1245"/>
    <hyperlink r:id="rId5559" ref="N1245"/>
    <hyperlink r:id="rId5560" ref="P1245"/>
    <hyperlink r:id="rId5561" ref="C1246"/>
    <hyperlink r:id="rId5562" ref="J1246"/>
    <hyperlink r:id="rId5563" ref="L1246"/>
    <hyperlink r:id="rId5564" ref="N1246"/>
    <hyperlink r:id="rId5565" ref="P1246"/>
    <hyperlink r:id="rId5566" ref="C1247"/>
    <hyperlink r:id="rId5567" ref="J1247"/>
    <hyperlink r:id="rId5568" ref="L1247"/>
    <hyperlink r:id="rId5569" ref="N1247"/>
    <hyperlink r:id="rId5570" ref="P1247"/>
    <hyperlink r:id="rId5571" ref="C1248"/>
    <hyperlink r:id="rId5572" ref="J1248"/>
    <hyperlink r:id="rId5573" ref="L1248"/>
    <hyperlink r:id="rId5574" ref="N1248"/>
    <hyperlink r:id="rId5575" ref="P1248"/>
    <hyperlink r:id="rId5576" ref="C1249"/>
    <hyperlink r:id="rId5577" ref="J1249"/>
    <hyperlink r:id="rId5578" ref="L1249"/>
    <hyperlink r:id="rId5579" ref="N1249"/>
    <hyperlink r:id="rId5580" ref="P1249"/>
    <hyperlink r:id="rId5581" ref="C1250"/>
    <hyperlink r:id="rId5582" ref="J1250"/>
    <hyperlink r:id="rId5583" ref="L1250"/>
    <hyperlink r:id="rId5584" ref="N1250"/>
    <hyperlink r:id="rId5585" ref="P1250"/>
    <hyperlink r:id="rId5586" ref="C1251"/>
    <hyperlink r:id="rId5587" ref="J1251"/>
    <hyperlink r:id="rId5588" ref="L1251"/>
    <hyperlink r:id="rId5589" ref="N1251"/>
    <hyperlink r:id="rId5590" ref="P1251"/>
    <hyperlink r:id="rId5591" ref="C1252"/>
    <hyperlink r:id="rId5592" ref="J1252"/>
    <hyperlink r:id="rId5593" ref="L1252"/>
    <hyperlink r:id="rId5594" ref="N1252"/>
    <hyperlink r:id="rId5595" ref="P1252"/>
    <hyperlink r:id="rId5596" ref="C1253"/>
    <hyperlink r:id="rId5597" ref="J1253"/>
    <hyperlink r:id="rId5598" ref="L1253"/>
    <hyperlink r:id="rId5599" ref="N1253"/>
    <hyperlink r:id="rId5600" ref="P1253"/>
    <hyperlink r:id="rId5601" ref="C1254"/>
    <hyperlink r:id="rId5602" ref="J1254"/>
    <hyperlink r:id="rId5603" ref="L1254"/>
    <hyperlink r:id="rId5604" ref="N1254"/>
    <hyperlink r:id="rId5605" ref="P1254"/>
    <hyperlink r:id="rId5606" ref="C1255"/>
    <hyperlink r:id="rId5607" ref="J1255"/>
    <hyperlink r:id="rId5608" ref="L1255"/>
    <hyperlink r:id="rId5609" ref="N1255"/>
    <hyperlink r:id="rId5610" ref="P1255"/>
    <hyperlink r:id="rId5611" ref="C1256"/>
    <hyperlink r:id="rId5612" ref="J1256"/>
    <hyperlink r:id="rId5613" ref="L1256"/>
    <hyperlink r:id="rId5614" ref="N1256"/>
    <hyperlink r:id="rId5615" ref="P1256"/>
    <hyperlink r:id="rId5616" ref="C1257"/>
    <hyperlink r:id="rId5617" ref="J1257"/>
    <hyperlink r:id="rId5618" ref="L1257"/>
    <hyperlink r:id="rId5619" ref="N1257"/>
    <hyperlink r:id="rId5620" ref="P1257"/>
    <hyperlink r:id="rId5621" ref="C1258"/>
    <hyperlink r:id="rId5622" ref="J1258"/>
    <hyperlink r:id="rId5623" ref="L1258"/>
    <hyperlink r:id="rId5624" ref="N1258"/>
    <hyperlink r:id="rId5625" ref="P1258"/>
    <hyperlink r:id="rId5626" ref="C1259"/>
    <hyperlink r:id="rId5627" ref="J1259"/>
    <hyperlink r:id="rId5628" ref="L1259"/>
    <hyperlink r:id="rId5629" ref="N1259"/>
    <hyperlink r:id="rId5630" ref="P1259"/>
    <hyperlink r:id="rId5631" ref="C1260"/>
    <hyperlink r:id="rId5632" ref="J1260"/>
    <hyperlink r:id="rId5633" ref="L1260"/>
    <hyperlink r:id="rId5634" ref="N1260"/>
    <hyperlink r:id="rId5635" ref="P1260"/>
    <hyperlink r:id="rId5636" ref="C1261"/>
    <hyperlink r:id="rId5637" ref="J1261"/>
    <hyperlink r:id="rId5638" ref="L1261"/>
    <hyperlink r:id="rId5639" ref="N1261"/>
    <hyperlink r:id="rId5640" ref="P1261"/>
    <hyperlink r:id="rId5641" ref="C1262"/>
    <hyperlink r:id="rId5642" ref="J1262"/>
    <hyperlink r:id="rId5643" ref="L1262"/>
    <hyperlink r:id="rId5644" ref="N1262"/>
    <hyperlink r:id="rId5645" ref="P1262"/>
    <hyperlink r:id="rId5646" ref="C1263"/>
    <hyperlink r:id="rId5647" ref="J1263"/>
    <hyperlink r:id="rId5648" ref="L1263"/>
    <hyperlink r:id="rId5649" ref="N1263"/>
    <hyperlink r:id="rId5650" ref="P1263"/>
    <hyperlink r:id="rId5651" ref="C1264"/>
    <hyperlink r:id="rId5652" ref="J1264"/>
    <hyperlink r:id="rId5653" ref="L1264"/>
    <hyperlink r:id="rId5654" ref="N1264"/>
    <hyperlink r:id="rId5655" ref="P1264"/>
    <hyperlink r:id="rId5656" ref="C1265"/>
    <hyperlink r:id="rId5657" ref="J1265"/>
    <hyperlink r:id="rId5658" ref="L1265"/>
    <hyperlink r:id="rId5659" ref="N1265"/>
    <hyperlink r:id="rId5660" ref="P1265"/>
    <hyperlink r:id="rId5661" ref="C1266"/>
    <hyperlink r:id="rId5662" ref="J1266"/>
    <hyperlink r:id="rId5663" ref="L1266"/>
    <hyperlink r:id="rId5664" ref="N1266"/>
    <hyperlink r:id="rId5665" ref="P1266"/>
    <hyperlink r:id="rId5666" ref="C1267"/>
    <hyperlink r:id="rId5667" ref="J1267"/>
    <hyperlink r:id="rId5668" ref="L1267"/>
    <hyperlink r:id="rId5669" ref="N1267"/>
    <hyperlink r:id="rId5670" ref="P1267"/>
    <hyperlink r:id="rId5671" ref="C1268"/>
    <hyperlink r:id="rId5672" ref="J1268"/>
    <hyperlink r:id="rId5673" ref="L1268"/>
    <hyperlink r:id="rId5674" ref="N1268"/>
    <hyperlink r:id="rId5675" ref="P1268"/>
    <hyperlink r:id="rId5676" ref="C1269"/>
    <hyperlink r:id="rId5677" ref="J1269"/>
    <hyperlink r:id="rId5678" ref="L1269"/>
    <hyperlink r:id="rId5679" ref="N1269"/>
    <hyperlink r:id="rId5680" ref="P1269"/>
    <hyperlink r:id="rId5681" ref="C1270"/>
    <hyperlink r:id="rId5682" ref="J1270"/>
    <hyperlink r:id="rId5683" ref="L1270"/>
    <hyperlink r:id="rId5684" ref="N1270"/>
    <hyperlink r:id="rId5685" ref="C1271"/>
    <hyperlink r:id="rId5686" ref="J1271"/>
    <hyperlink r:id="rId5687" ref="L1271"/>
    <hyperlink r:id="rId5688" ref="N1271"/>
    <hyperlink r:id="rId5689" ref="C1272"/>
    <hyperlink r:id="rId5690" ref="J1272"/>
    <hyperlink r:id="rId5691" ref="L1272"/>
    <hyperlink r:id="rId5692" ref="N1272"/>
    <hyperlink r:id="rId5693" ref="P1272"/>
    <hyperlink r:id="rId5694" ref="C1273"/>
    <hyperlink r:id="rId5695" ref="J1273"/>
    <hyperlink r:id="rId5696" ref="L1273"/>
    <hyperlink r:id="rId5697" ref="N1273"/>
    <hyperlink r:id="rId5698" ref="P1273"/>
    <hyperlink r:id="rId5699" ref="C1274"/>
    <hyperlink r:id="rId5700" ref="J1274"/>
    <hyperlink r:id="rId5701" ref="L1274"/>
    <hyperlink r:id="rId5702" ref="N1274"/>
    <hyperlink r:id="rId5703" ref="P1274"/>
    <hyperlink r:id="rId5704" ref="C1275"/>
    <hyperlink r:id="rId5705" ref="J1275"/>
    <hyperlink r:id="rId5706" ref="L1275"/>
    <hyperlink r:id="rId5707" ref="N1275"/>
    <hyperlink r:id="rId5708" ref="P1275"/>
    <hyperlink r:id="rId5709" ref="C1276"/>
    <hyperlink r:id="rId5710" ref="J1276"/>
    <hyperlink r:id="rId5711" ref="L1276"/>
    <hyperlink r:id="rId5712" ref="N1276"/>
    <hyperlink r:id="rId5713" ref="P1276"/>
    <hyperlink r:id="rId5714" ref="C1277"/>
    <hyperlink r:id="rId5715" ref="J1277"/>
    <hyperlink r:id="rId5716" ref="L1277"/>
    <hyperlink r:id="rId5717" ref="N1277"/>
    <hyperlink r:id="rId5718" ref="C1278"/>
    <hyperlink r:id="rId5719" ref="J1278"/>
    <hyperlink r:id="rId5720" ref="L1278"/>
    <hyperlink r:id="rId5721" ref="N1278"/>
    <hyperlink r:id="rId5722" ref="P1278"/>
    <hyperlink r:id="rId5723" ref="C1279"/>
    <hyperlink r:id="rId5724" ref="J1279"/>
    <hyperlink r:id="rId5725" ref="L1279"/>
    <hyperlink r:id="rId5726" ref="N1279"/>
    <hyperlink r:id="rId5727" ref="P1279"/>
    <hyperlink r:id="rId5728" ref="C1280"/>
    <hyperlink r:id="rId5729" ref="J1280"/>
    <hyperlink r:id="rId5730" ref="L1280"/>
    <hyperlink r:id="rId5731" ref="N1280"/>
    <hyperlink r:id="rId5732" ref="P1280"/>
    <hyperlink r:id="rId5733" ref="C1281"/>
    <hyperlink r:id="rId5734" ref="J1281"/>
    <hyperlink r:id="rId5735" ref="L1281"/>
    <hyperlink r:id="rId5736" ref="N1281"/>
    <hyperlink r:id="rId5737" ref="P1281"/>
    <hyperlink r:id="rId5738" ref="C1282"/>
    <hyperlink r:id="rId5739" ref="J1282"/>
    <hyperlink r:id="rId5740" ref="L1282"/>
    <hyperlink r:id="rId5741" ref="N1282"/>
    <hyperlink r:id="rId5742" ref="P1282"/>
    <hyperlink r:id="rId5743" ref="C1283"/>
    <hyperlink r:id="rId5744" ref="J1283"/>
    <hyperlink r:id="rId5745" ref="L1283"/>
    <hyperlink r:id="rId5746" ref="N1283"/>
    <hyperlink r:id="rId5747" ref="P1283"/>
    <hyperlink r:id="rId5748" ref="C1284"/>
    <hyperlink r:id="rId5749" ref="J1284"/>
    <hyperlink r:id="rId5750" ref="L1284"/>
    <hyperlink r:id="rId5751" ref="N1284"/>
    <hyperlink r:id="rId5752" ref="P1284"/>
    <hyperlink r:id="rId5753" ref="C1285"/>
    <hyperlink r:id="rId5754" ref="J1285"/>
    <hyperlink r:id="rId5755" ref="L1285"/>
    <hyperlink r:id="rId5756" ref="N1285"/>
    <hyperlink r:id="rId5757" ref="P1285"/>
    <hyperlink r:id="rId5758" ref="C1286"/>
    <hyperlink r:id="rId5759" ref="J1286"/>
    <hyperlink r:id="rId5760" ref="L1286"/>
    <hyperlink r:id="rId5761" ref="N1286"/>
    <hyperlink r:id="rId5762" ref="P1286"/>
    <hyperlink r:id="rId5763" ref="C1287"/>
    <hyperlink r:id="rId5764" ref="N1287"/>
    <hyperlink r:id="rId5765" ref="P1287"/>
    <hyperlink r:id="rId5766" ref="C1288"/>
    <hyperlink r:id="rId5767" ref="J1288"/>
    <hyperlink r:id="rId5768" ref="L1288"/>
    <hyperlink r:id="rId5769" ref="N1288"/>
    <hyperlink r:id="rId5770" ref="C1289"/>
    <hyperlink r:id="rId5771" ref="N1289"/>
    <hyperlink r:id="rId5772" ref="P1289"/>
    <hyperlink r:id="rId5773" ref="C1290"/>
    <hyperlink r:id="rId5774" ref="J1290"/>
    <hyperlink r:id="rId5775" ref="L1290"/>
    <hyperlink r:id="rId5776" ref="N1290"/>
    <hyperlink r:id="rId5777" ref="P1290"/>
    <hyperlink r:id="rId5778" ref="C1291"/>
    <hyperlink r:id="rId5779" ref="J1291"/>
    <hyperlink r:id="rId5780" ref="C1292"/>
    <hyperlink r:id="rId5781" ref="N1292"/>
    <hyperlink r:id="rId5782" ref="P1292"/>
    <hyperlink r:id="rId5783" ref="C1293"/>
    <hyperlink r:id="rId5784" ref="J1293"/>
    <hyperlink r:id="rId5785" ref="L1293"/>
    <hyperlink r:id="rId5786" ref="N1293"/>
    <hyperlink r:id="rId5787" ref="P1293"/>
    <hyperlink r:id="rId5788" ref="C1294"/>
    <hyperlink r:id="rId5789" ref="J1294"/>
    <hyperlink r:id="rId5790" ref="L1294"/>
    <hyperlink r:id="rId5791" ref="N1294"/>
    <hyperlink r:id="rId5792" ref="P1294"/>
    <hyperlink r:id="rId5793" ref="C1295"/>
    <hyperlink r:id="rId5794" ref="J1295"/>
    <hyperlink r:id="rId5795" ref="L1295"/>
    <hyperlink r:id="rId5796" ref="N1295"/>
    <hyperlink r:id="rId5797" ref="P1295"/>
    <hyperlink r:id="rId5798" ref="C1296"/>
    <hyperlink r:id="rId5799" ref="J1296"/>
    <hyperlink r:id="rId5800" ref="L1296"/>
    <hyperlink r:id="rId5801" ref="N1296"/>
    <hyperlink r:id="rId5802" ref="P1296"/>
    <hyperlink r:id="rId5803" ref="C1297"/>
    <hyperlink r:id="rId5804" ref="J1297"/>
    <hyperlink r:id="rId5805" ref="L1297"/>
    <hyperlink r:id="rId5806" ref="N1297"/>
    <hyperlink r:id="rId5807" ref="P1297"/>
    <hyperlink r:id="rId5808" ref="C1298"/>
    <hyperlink r:id="rId5809" ref="J1298"/>
    <hyperlink r:id="rId5810" ref="L1298"/>
    <hyperlink r:id="rId5811" ref="N1298"/>
    <hyperlink r:id="rId5812" ref="P1298"/>
    <hyperlink r:id="rId5813" ref="C1299"/>
    <hyperlink r:id="rId5814" ref="J1299"/>
    <hyperlink r:id="rId5815" ref="L1299"/>
    <hyperlink r:id="rId5816" ref="N1299"/>
    <hyperlink r:id="rId5817" ref="P1299"/>
    <hyperlink r:id="rId5818" ref="C1300"/>
    <hyperlink r:id="rId5819" ref="J1300"/>
    <hyperlink r:id="rId5820" ref="L1300"/>
    <hyperlink r:id="rId5821" ref="N1300"/>
    <hyperlink r:id="rId5822" ref="P1300"/>
    <hyperlink r:id="rId5823" ref="C1301"/>
    <hyperlink r:id="rId5824" ref="J1301"/>
    <hyperlink r:id="rId5825" ref="L1301"/>
    <hyperlink r:id="rId5826" ref="N1301"/>
    <hyperlink r:id="rId5827" ref="P1301"/>
    <hyperlink r:id="rId5828" ref="C1302"/>
    <hyperlink r:id="rId5829" ref="J1302"/>
    <hyperlink r:id="rId5830" ref="L1302"/>
    <hyperlink r:id="rId5831" ref="N1302"/>
    <hyperlink r:id="rId5832" ref="P1302"/>
    <hyperlink r:id="rId5833" ref="C1303"/>
    <hyperlink r:id="rId5834" ref="J1303"/>
    <hyperlink r:id="rId5835" ref="L1303"/>
    <hyperlink r:id="rId5836" ref="N1303"/>
    <hyperlink r:id="rId5837" ref="P1303"/>
    <hyperlink r:id="rId5838" ref="C1304"/>
    <hyperlink r:id="rId5839" ref="J1304"/>
    <hyperlink r:id="rId5840" ref="L1304"/>
    <hyperlink r:id="rId5841" ref="N1304"/>
    <hyperlink r:id="rId5842" ref="P1304"/>
    <hyperlink r:id="rId5843" ref="C1305"/>
    <hyperlink r:id="rId5844" ref="J1305"/>
    <hyperlink r:id="rId5845" ref="L1305"/>
    <hyperlink r:id="rId5846" ref="N1305"/>
    <hyperlink r:id="rId5847" ref="P1305"/>
    <hyperlink r:id="rId5848" ref="C1306"/>
    <hyperlink r:id="rId5849" ref="J1306"/>
    <hyperlink r:id="rId5850" ref="L1306"/>
    <hyperlink r:id="rId5851" ref="N1306"/>
    <hyperlink r:id="rId5852" ref="P1306"/>
    <hyperlink r:id="rId5853" ref="C1307"/>
    <hyperlink r:id="rId5854" ref="J1307"/>
    <hyperlink r:id="rId5855" ref="L1307"/>
    <hyperlink r:id="rId5856" ref="N1307"/>
    <hyperlink r:id="rId5857" ref="P1307"/>
    <hyperlink r:id="rId5858" ref="C1308"/>
    <hyperlink r:id="rId5859" ref="J1308"/>
    <hyperlink r:id="rId5860" ref="L1308"/>
    <hyperlink r:id="rId5861" ref="N1308"/>
    <hyperlink r:id="rId5862" ref="P1308"/>
    <hyperlink r:id="rId5863" ref="C1309"/>
    <hyperlink r:id="rId5864" ref="J1309"/>
    <hyperlink r:id="rId5865" ref="L1309"/>
    <hyperlink r:id="rId5866" ref="N1309"/>
    <hyperlink r:id="rId5867" ref="P1309"/>
    <hyperlink r:id="rId5868" ref="C1310"/>
    <hyperlink r:id="rId5869" ref="J1310"/>
    <hyperlink r:id="rId5870" ref="L1310"/>
    <hyperlink r:id="rId5871" ref="N1310"/>
    <hyperlink r:id="rId5872" ref="P1310"/>
    <hyperlink r:id="rId5873" ref="C1311"/>
    <hyperlink r:id="rId5874" ref="J1311"/>
    <hyperlink r:id="rId5875" ref="L1311"/>
    <hyperlink r:id="rId5876" ref="N1311"/>
    <hyperlink r:id="rId5877" ref="P1311"/>
    <hyperlink r:id="rId5878" ref="C1312"/>
    <hyperlink r:id="rId5879" ref="J1312"/>
    <hyperlink r:id="rId5880" ref="L1312"/>
    <hyperlink r:id="rId5881" ref="N1312"/>
    <hyperlink r:id="rId5882" ref="P1312"/>
    <hyperlink r:id="rId5883" ref="C1313"/>
    <hyperlink r:id="rId5884" ref="J1313"/>
    <hyperlink r:id="rId5885" ref="L1313"/>
    <hyperlink r:id="rId5886" ref="N1313"/>
    <hyperlink r:id="rId5887" ref="P1313"/>
    <hyperlink r:id="rId5888" ref="C1314"/>
    <hyperlink r:id="rId5889" ref="J1314"/>
    <hyperlink r:id="rId5890" ref="L1314"/>
    <hyperlink r:id="rId5891" ref="N1314"/>
    <hyperlink r:id="rId5892" ref="P1314"/>
    <hyperlink r:id="rId5893" ref="C1315"/>
    <hyperlink r:id="rId5894" ref="J1315"/>
    <hyperlink r:id="rId5895" ref="L1315"/>
    <hyperlink r:id="rId5896" ref="N1315"/>
    <hyperlink r:id="rId5897" ref="P1315"/>
    <hyperlink r:id="rId5898" ref="C1316"/>
    <hyperlink r:id="rId5899" ref="J1316"/>
    <hyperlink r:id="rId5900" ref="L1316"/>
    <hyperlink r:id="rId5901" ref="N1316"/>
    <hyperlink r:id="rId5902" ref="P1316"/>
    <hyperlink r:id="rId5903" ref="C1317"/>
    <hyperlink r:id="rId5904" ref="J1317"/>
    <hyperlink r:id="rId5905" ref="L1317"/>
    <hyperlink r:id="rId5906" ref="N1317"/>
    <hyperlink r:id="rId5907" ref="P1317"/>
    <hyperlink r:id="rId5908" ref="C1318"/>
    <hyperlink r:id="rId5909" ref="J1318"/>
    <hyperlink r:id="rId5910" ref="L1318"/>
    <hyperlink r:id="rId5911" ref="N1318"/>
    <hyperlink r:id="rId5912" ref="P1318"/>
    <hyperlink r:id="rId5913" ref="C1319"/>
    <hyperlink r:id="rId5914" ref="J1319"/>
    <hyperlink r:id="rId5915" ref="L1319"/>
    <hyperlink r:id="rId5916" ref="N1319"/>
    <hyperlink r:id="rId5917" ref="P1319"/>
    <hyperlink r:id="rId5918" ref="C1320"/>
    <hyperlink r:id="rId5919" ref="J1320"/>
    <hyperlink r:id="rId5920" ref="L1320"/>
    <hyperlink r:id="rId5921" ref="N1320"/>
    <hyperlink r:id="rId5922" ref="P1320"/>
    <hyperlink r:id="rId5923" ref="C1321"/>
    <hyperlink r:id="rId5924" ref="J1321"/>
    <hyperlink r:id="rId5925" ref="L1321"/>
    <hyperlink r:id="rId5926" ref="N1321"/>
    <hyperlink r:id="rId5927" ref="P1321"/>
    <hyperlink r:id="rId5928" ref="C1322"/>
    <hyperlink r:id="rId5929" ref="J1322"/>
    <hyperlink r:id="rId5930" ref="L1322"/>
    <hyperlink r:id="rId5931" ref="N1322"/>
    <hyperlink r:id="rId5932" ref="P1322"/>
    <hyperlink r:id="rId5933" ref="C1323"/>
    <hyperlink r:id="rId5934" ref="J1323"/>
    <hyperlink r:id="rId5935" ref="L1323"/>
    <hyperlink r:id="rId5936" ref="N1323"/>
    <hyperlink r:id="rId5937" ref="P1323"/>
    <hyperlink r:id="rId5938" ref="C1324"/>
    <hyperlink r:id="rId5939" ref="J1324"/>
    <hyperlink r:id="rId5940" ref="L1324"/>
    <hyperlink r:id="rId5941" ref="N1324"/>
    <hyperlink r:id="rId5942" ref="P1324"/>
    <hyperlink r:id="rId5943" ref="C1325"/>
    <hyperlink r:id="rId5944" ref="J1325"/>
    <hyperlink r:id="rId5945" ref="L1325"/>
    <hyperlink r:id="rId5946" ref="N1325"/>
    <hyperlink r:id="rId5947" ref="P1325"/>
    <hyperlink r:id="rId5948" ref="C1326"/>
    <hyperlink r:id="rId5949" ref="J1326"/>
    <hyperlink r:id="rId5950" ref="L1326"/>
    <hyperlink r:id="rId5951" ref="N1326"/>
    <hyperlink r:id="rId5952" ref="P1326"/>
    <hyperlink r:id="rId5953" ref="C1327"/>
    <hyperlink r:id="rId5954" ref="J1327"/>
    <hyperlink r:id="rId5955" ref="L1327"/>
    <hyperlink r:id="rId5956" ref="N1327"/>
    <hyperlink r:id="rId5957" ref="P1327"/>
    <hyperlink r:id="rId5958" ref="C1328"/>
    <hyperlink r:id="rId5959" ref="J1328"/>
    <hyperlink r:id="rId5960" ref="L1328"/>
    <hyperlink r:id="rId5961" ref="N1328"/>
    <hyperlink r:id="rId5962" ref="P1328"/>
    <hyperlink r:id="rId5963" ref="C1329"/>
    <hyperlink r:id="rId5964" ref="J1329"/>
    <hyperlink r:id="rId5965" ref="L1329"/>
    <hyperlink r:id="rId5966" ref="N1329"/>
    <hyperlink r:id="rId5967" ref="P1329"/>
    <hyperlink r:id="rId5968" ref="C1330"/>
    <hyperlink r:id="rId5969" ref="J1330"/>
    <hyperlink r:id="rId5970" ref="L1330"/>
    <hyperlink r:id="rId5971" ref="N1330"/>
    <hyperlink r:id="rId5972" ref="P1330"/>
    <hyperlink r:id="rId5973" ref="C1331"/>
    <hyperlink r:id="rId5974" ref="J1331"/>
    <hyperlink r:id="rId5975" ref="L1331"/>
    <hyperlink r:id="rId5976" ref="N1331"/>
    <hyperlink r:id="rId5977" ref="P1331"/>
    <hyperlink r:id="rId5978" ref="C1332"/>
    <hyperlink r:id="rId5979" ref="J1332"/>
    <hyperlink r:id="rId5980" ref="L1332"/>
    <hyperlink r:id="rId5981" ref="N1332"/>
    <hyperlink r:id="rId5982" ref="P1332"/>
    <hyperlink r:id="rId5983" ref="C1333"/>
    <hyperlink r:id="rId5984" ref="J1333"/>
    <hyperlink r:id="rId5985" ref="L1333"/>
    <hyperlink r:id="rId5986" ref="N1333"/>
    <hyperlink r:id="rId5987" ref="P1333"/>
    <hyperlink r:id="rId5988" ref="C1334"/>
    <hyperlink r:id="rId5989" ref="J1334"/>
    <hyperlink r:id="rId5990" ref="L1334"/>
    <hyperlink r:id="rId5991" ref="N1334"/>
    <hyperlink r:id="rId5992" ref="P1334"/>
    <hyperlink r:id="rId5993" ref="C1335"/>
    <hyperlink r:id="rId5994" ref="J1335"/>
    <hyperlink r:id="rId5995" ref="L1335"/>
    <hyperlink r:id="rId5996" ref="N1335"/>
    <hyperlink r:id="rId5997" ref="P1335"/>
    <hyperlink r:id="rId5998" ref="C1336"/>
    <hyperlink r:id="rId5999" ref="J1336"/>
    <hyperlink r:id="rId6000" ref="L1336"/>
    <hyperlink r:id="rId6001" ref="P1336"/>
    <hyperlink r:id="rId6002" ref="C1337"/>
    <hyperlink r:id="rId6003" ref="J1337"/>
    <hyperlink r:id="rId6004" ref="L1337"/>
    <hyperlink r:id="rId6005" ref="P1337"/>
    <hyperlink r:id="rId6006" ref="C1338"/>
    <hyperlink r:id="rId6007" ref="J1338"/>
    <hyperlink r:id="rId6008" ref="L1338"/>
    <hyperlink r:id="rId6009" ref="N1338"/>
    <hyperlink r:id="rId6010" ref="P1338"/>
    <hyperlink r:id="rId6011" ref="C1339"/>
    <hyperlink r:id="rId6012" ref="J1339"/>
    <hyperlink r:id="rId6013" ref="L1339"/>
    <hyperlink r:id="rId6014" ref="N1339"/>
    <hyperlink r:id="rId6015" ref="P1339"/>
    <hyperlink r:id="rId6016" ref="C1340"/>
    <hyperlink r:id="rId6017" ref="J1340"/>
    <hyperlink r:id="rId6018" ref="L1340"/>
    <hyperlink r:id="rId6019" ref="N1340"/>
    <hyperlink r:id="rId6020" ref="P1340"/>
    <hyperlink r:id="rId6021" ref="C1341"/>
    <hyperlink r:id="rId6022" ref="J1341"/>
    <hyperlink r:id="rId6023" ref="L1341"/>
    <hyperlink r:id="rId6024" ref="P1341"/>
    <hyperlink r:id="rId6025" ref="C1342"/>
    <hyperlink r:id="rId6026" ref="J1342"/>
    <hyperlink r:id="rId6027" ref="L1342"/>
    <hyperlink r:id="rId6028" ref="N1342"/>
    <hyperlink r:id="rId6029" ref="P1342"/>
    <hyperlink r:id="rId6030" ref="C1343"/>
    <hyperlink r:id="rId6031" ref="J1343"/>
    <hyperlink r:id="rId6032" ref="L1343"/>
    <hyperlink r:id="rId6033" ref="N1343"/>
    <hyperlink r:id="rId6034" ref="P1343"/>
    <hyperlink r:id="rId6035" ref="C1344"/>
    <hyperlink r:id="rId6036" ref="J1344"/>
    <hyperlink r:id="rId6037" ref="L1344"/>
    <hyperlink r:id="rId6038" ref="C1345"/>
    <hyperlink r:id="rId6039" ref="J1345"/>
    <hyperlink r:id="rId6040" ref="L1345"/>
    <hyperlink r:id="rId6041" ref="N1345"/>
    <hyperlink r:id="rId6042" ref="P1345"/>
    <hyperlink r:id="rId6043" ref="C1346"/>
    <hyperlink r:id="rId6044" ref="J1346"/>
    <hyperlink r:id="rId6045" ref="L1346"/>
    <hyperlink r:id="rId6046" ref="N1346"/>
    <hyperlink r:id="rId6047" ref="P1346"/>
    <hyperlink r:id="rId6048" ref="C1347"/>
    <hyperlink r:id="rId6049" ref="J1347"/>
    <hyperlink r:id="rId6050" ref="L1347"/>
    <hyperlink r:id="rId6051" ref="N1347"/>
    <hyperlink r:id="rId6052" ref="P1347"/>
    <hyperlink r:id="rId6053" ref="C1348"/>
    <hyperlink r:id="rId6054" ref="J1348"/>
    <hyperlink r:id="rId6055" ref="L1348"/>
    <hyperlink r:id="rId6056" ref="N1348"/>
    <hyperlink r:id="rId6057" ref="P1348"/>
    <hyperlink r:id="rId6058" ref="C1349"/>
    <hyperlink r:id="rId6059" ref="J1349"/>
    <hyperlink r:id="rId6060" ref="L1349"/>
    <hyperlink r:id="rId6061" ref="N1349"/>
    <hyperlink r:id="rId6062" ref="P1349"/>
    <hyperlink r:id="rId6063" ref="C1350"/>
    <hyperlink r:id="rId6064" ref="J1350"/>
    <hyperlink r:id="rId6065" ref="L1350"/>
    <hyperlink r:id="rId6066" ref="N1350"/>
    <hyperlink r:id="rId6067" ref="P1350"/>
    <hyperlink r:id="rId6068" ref="C1351"/>
    <hyperlink r:id="rId6069" ref="J1351"/>
    <hyperlink r:id="rId6070" ref="L1351"/>
    <hyperlink r:id="rId6071" ref="N1351"/>
    <hyperlink r:id="rId6072" ref="P1351"/>
    <hyperlink r:id="rId6073" ref="C1352"/>
    <hyperlink r:id="rId6074" ref="J1352"/>
    <hyperlink r:id="rId6075" ref="L1352"/>
    <hyperlink r:id="rId6076" ref="N1352"/>
    <hyperlink r:id="rId6077" ref="P1352"/>
    <hyperlink r:id="rId6078" ref="C1353"/>
    <hyperlink r:id="rId6079" ref="J1353"/>
    <hyperlink r:id="rId6080" ref="L1353"/>
    <hyperlink r:id="rId6081" ref="N1353"/>
    <hyperlink r:id="rId6082" ref="P1353"/>
    <hyperlink r:id="rId6083" ref="C1354"/>
    <hyperlink r:id="rId6084" ref="J1354"/>
    <hyperlink r:id="rId6085" ref="L1354"/>
    <hyperlink r:id="rId6086" ref="N1354"/>
    <hyperlink r:id="rId6087" ref="P1354"/>
    <hyperlink r:id="rId6088" ref="C1355"/>
    <hyperlink r:id="rId6089" ref="J1355"/>
    <hyperlink r:id="rId6090" ref="L1355"/>
    <hyperlink r:id="rId6091" ref="N1355"/>
    <hyperlink r:id="rId6092" ref="P1355"/>
    <hyperlink r:id="rId6093" ref="C1356"/>
    <hyperlink r:id="rId6094" ref="J1356"/>
    <hyperlink r:id="rId6095" ref="L1356"/>
    <hyperlink r:id="rId6096" ref="N1356"/>
    <hyperlink r:id="rId6097" ref="P1356"/>
    <hyperlink r:id="rId6098" ref="C1357"/>
    <hyperlink r:id="rId6099" ref="J1357"/>
    <hyperlink r:id="rId6100" ref="L1357"/>
    <hyperlink r:id="rId6101" ref="N1357"/>
    <hyperlink r:id="rId6102" ref="P1357"/>
    <hyperlink r:id="rId6103" ref="C1358"/>
    <hyperlink r:id="rId6104" ref="J1358"/>
    <hyperlink r:id="rId6105" ref="L1358"/>
    <hyperlink r:id="rId6106" ref="N1358"/>
    <hyperlink r:id="rId6107" ref="P1358"/>
    <hyperlink r:id="rId6108" ref="C1359"/>
    <hyperlink r:id="rId6109" ref="J1359"/>
    <hyperlink r:id="rId6110" ref="L1359"/>
    <hyperlink r:id="rId6111" ref="N1359"/>
    <hyperlink r:id="rId6112" ref="P1359"/>
    <hyperlink r:id="rId6113" ref="C1360"/>
    <hyperlink r:id="rId6114" ref="J1360"/>
    <hyperlink r:id="rId6115" ref="L1360"/>
    <hyperlink r:id="rId6116" ref="N1360"/>
    <hyperlink r:id="rId6117" ref="P1360"/>
    <hyperlink r:id="rId6118" ref="C1361"/>
    <hyperlink r:id="rId6119" ref="J1361"/>
    <hyperlink r:id="rId6120" ref="L1361"/>
    <hyperlink r:id="rId6121" ref="N1361"/>
    <hyperlink r:id="rId6122" ref="P1361"/>
    <hyperlink r:id="rId6123" ref="C1362"/>
    <hyperlink r:id="rId6124" ref="J1362"/>
    <hyperlink r:id="rId6125" ref="L1362"/>
    <hyperlink r:id="rId6126" ref="N1362"/>
    <hyperlink r:id="rId6127" ref="P1362"/>
    <hyperlink r:id="rId6128" ref="C1363"/>
    <hyperlink r:id="rId6129" ref="J1363"/>
    <hyperlink r:id="rId6130" ref="L1363"/>
    <hyperlink r:id="rId6131" ref="N1363"/>
    <hyperlink r:id="rId6132" ref="P1363"/>
    <hyperlink r:id="rId6133" ref="C1364"/>
    <hyperlink r:id="rId6134" ref="J1364"/>
    <hyperlink r:id="rId6135" ref="L1364"/>
    <hyperlink r:id="rId6136" ref="N1364"/>
    <hyperlink r:id="rId6137" ref="P1364"/>
    <hyperlink r:id="rId6138" ref="C1365"/>
    <hyperlink r:id="rId6139" ref="J1365"/>
    <hyperlink r:id="rId6140" ref="L1365"/>
    <hyperlink r:id="rId6141" ref="N1365"/>
    <hyperlink r:id="rId6142" ref="P1365"/>
    <hyperlink r:id="rId6143" ref="C1366"/>
    <hyperlink r:id="rId6144" ref="J1366"/>
    <hyperlink r:id="rId6145" ref="L1366"/>
    <hyperlink r:id="rId6146" ref="N1366"/>
    <hyperlink r:id="rId6147" ref="P1366"/>
    <hyperlink r:id="rId6148" ref="C1367"/>
    <hyperlink r:id="rId6149" ref="J1367"/>
    <hyperlink r:id="rId6150" ref="L1367"/>
    <hyperlink r:id="rId6151" ref="N1367"/>
    <hyperlink r:id="rId6152" ref="P1367"/>
    <hyperlink r:id="rId6153" ref="B1368"/>
    <hyperlink r:id="rId6154" ref="C1368"/>
    <hyperlink r:id="rId6155" ref="J1368"/>
    <hyperlink r:id="rId6156" ref="L1368"/>
    <hyperlink r:id="rId6157" ref="N1368"/>
    <hyperlink r:id="rId6158" ref="P1368"/>
    <hyperlink r:id="rId6159" ref="C1369"/>
    <hyperlink r:id="rId6160" ref="J1369"/>
    <hyperlink r:id="rId6161" ref="L1369"/>
    <hyperlink r:id="rId6162" ref="N1369"/>
    <hyperlink r:id="rId6163" ref="P1369"/>
    <hyperlink r:id="rId6164" ref="C1370"/>
    <hyperlink r:id="rId6165" ref="J1370"/>
    <hyperlink r:id="rId6166" ref="L1370"/>
    <hyperlink r:id="rId6167" ref="N1370"/>
    <hyperlink r:id="rId6168" ref="P1370"/>
    <hyperlink r:id="rId6169" ref="C1371"/>
    <hyperlink r:id="rId6170" ref="J1371"/>
    <hyperlink r:id="rId6171" ref="L1371"/>
    <hyperlink r:id="rId6172" ref="N1371"/>
    <hyperlink r:id="rId6173" ref="P1371"/>
    <hyperlink r:id="rId6174" ref="C1372"/>
    <hyperlink r:id="rId6175" ref="J1372"/>
    <hyperlink r:id="rId6176" ref="L1372"/>
    <hyperlink r:id="rId6177" ref="N1372"/>
    <hyperlink r:id="rId6178" ref="P1372"/>
    <hyperlink r:id="rId6179" ref="C1373"/>
    <hyperlink r:id="rId6180" ref="J1373"/>
    <hyperlink r:id="rId6181" ref="L1373"/>
    <hyperlink r:id="rId6182" ref="N1373"/>
    <hyperlink r:id="rId6183" ref="P1373"/>
    <hyperlink r:id="rId6184" ref="C1374"/>
    <hyperlink r:id="rId6185" ref="J1374"/>
    <hyperlink r:id="rId6186" ref="L1374"/>
    <hyperlink r:id="rId6187" ref="N1374"/>
    <hyperlink r:id="rId6188" ref="P1374"/>
    <hyperlink r:id="rId6189" ref="C1375"/>
    <hyperlink r:id="rId6190" ref="J1375"/>
    <hyperlink r:id="rId6191" ref="L1375"/>
    <hyperlink r:id="rId6192" ref="N1375"/>
    <hyperlink r:id="rId6193" ref="P1375"/>
    <hyperlink r:id="rId6194" ref="C1376"/>
    <hyperlink r:id="rId6195" ref="J1376"/>
    <hyperlink r:id="rId6196" ref="L1376"/>
    <hyperlink r:id="rId6197" ref="N1376"/>
    <hyperlink r:id="rId6198" ref="P1376"/>
    <hyperlink r:id="rId6199" ref="C1377"/>
    <hyperlink r:id="rId6200" ref="J1377"/>
    <hyperlink r:id="rId6201" ref="L1377"/>
    <hyperlink r:id="rId6202" ref="N1377"/>
    <hyperlink r:id="rId6203" ref="P1377"/>
    <hyperlink r:id="rId6204" ref="C1378"/>
    <hyperlink r:id="rId6205" ref="J1378"/>
    <hyperlink r:id="rId6206" ref="L1378"/>
    <hyperlink r:id="rId6207" ref="C1379"/>
    <hyperlink r:id="rId6208" ref="J1379"/>
    <hyperlink r:id="rId6209" ref="L1379"/>
    <hyperlink r:id="rId6210" ref="N1379"/>
    <hyperlink r:id="rId6211" ref="P1379"/>
    <hyperlink r:id="rId6212" ref="C1380"/>
    <hyperlink r:id="rId6213" ref="C1381"/>
    <hyperlink r:id="rId6214" ref="J1381"/>
    <hyperlink r:id="rId6215" ref="L1381"/>
    <hyperlink r:id="rId6216" ref="N1381"/>
    <hyperlink r:id="rId6217" ref="P1381"/>
    <hyperlink r:id="rId6218" ref="C1382"/>
    <hyperlink r:id="rId6219" ref="J1382"/>
    <hyperlink r:id="rId6220" ref="L1382"/>
    <hyperlink r:id="rId6221" ref="C1383"/>
    <hyperlink r:id="rId6222" ref="J1383"/>
    <hyperlink r:id="rId6223" ref="L1383"/>
    <hyperlink r:id="rId6224" ref="C1384"/>
    <hyperlink r:id="rId6225" ref="J1384"/>
    <hyperlink r:id="rId6226" ref="L1384"/>
    <hyperlink r:id="rId6227" ref="N1384"/>
    <hyperlink r:id="rId6228" ref="P1384"/>
    <hyperlink r:id="rId6229" ref="C1385"/>
    <hyperlink r:id="rId6230" ref="J1385"/>
    <hyperlink r:id="rId6231" ref="L1385"/>
    <hyperlink r:id="rId6232" ref="C1386"/>
    <hyperlink r:id="rId6233" ref="J1386"/>
    <hyperlink r:id="rId6234" ref="L1386"/>
    <hyperlink r:id="rId6235" ref="N1386"/>
    <hyperlink r:id="rId6236" ref="P1386"/>
    <hyperlink r:id="rId6237" ref="C1387"/>
    <hyperlink r:id="rId6238" ref="J1387"/>
    <hyperlink r:id="rId6239" ref="L1387"/>
    <hyperlink r:id="rId6240" ref="C1388"/>
    <hyperlink r:id="rId6241" ref="J1388"/>
    <hyperlink r:id="rId6242" ref="L1388"/>
    <hyperlink r:id="rId6243" ref="C1389"/>
    <hyperlink r:id="rId6244" ref="J1389"/>
    <hyperlink r:id="rId6245" ref="L1389"/>
    <hyperlink r:id="rId6246" ref="C1390"/>
    <hyperlink r:id="rId6247" ref="J1390"/>
    <hyperlink r:id="rId6248" ref="L1390"/>
    <hyperlink r:id="rId6249" ref="C1391"/>
    <hyperlink r:id="rId6250" ref="J1391"/>
    <hyperlink r:id="rId6251" ref="L1391"/>
    <hyperlink r:id="rId6252" ref="C1392"/>
    <hyperlink r:id="rId6253" ref="J1392"/>
    <hyperlink r:id="rId6254" ref="L1392"/>
    <hyperlink r:id="rId6255" ref="C1393"/>
    <hyperlink r:id="rId6256" ref="J1393"/>
    <hyperlink r:id="rId6257" ref="L1393"/>
    <hyperlink r:id="rId6258" ref="N1393"/>
    <hyperlink r:id="rId6259" ref="P1393"/>
    <hyperlink r:id="rId6260" ref="C1394"/>
    <hyperlink r:id="rId6261" ref="J1394"/>
    <hyperlink r:id="rId6262" ref="L1394"/>
    <hyperlink r:id="rId6263" ref="C1395"/>
    <hyperlink r:id="rId6264" ref="J1395"/>
    <hyperlink r:id="rId6265" ref="L1395"/>
    <hyperlink r:id="rId6266" ref="C1396"/>
    <hyperlink r:id="rId6267" ref="J1396"/>
    <hyperlink r:id="rId6268" ref="L1396"/>
    <hyperlink r:id="rId6269" ref="C1397"/>
    <hyperlink r:id="rId6270" ref="J1397"/>
    <hyperlink r:id="rId6271" ref="L1397"/>
    <hyperlink r:id="rId6272" ref="C1398"/>
    <hyperlink r:id="rId6273" ref="J1398"/>
    <hyperlink r:id="rId6274" ref="L1398"/>
    <hyperlink r:id="rId6275" ref="N1398"/>
    <hyperlink r:id="rId6276" ref="P1398"/>
    <hyperlink r:id="rId6277" ref="C1399"/>
    <hyperlink r:id="rId6278" ref="J1399"/>
    <hyperlink r:id="rId6279" ref="L1399"/>
    <hyperlink r:id="rId6280" ref="C1400"/>
    <hyperlink r:id="rId6281" ref="J1400"/>
    <hyperlink r:id="rId6282" ref="L1400"/>
    <hyperlink r:id="rId6283" ref="C1401"/>
    <hyperlink r:id="rId6284" ref="J1401"/>
    <hyperlink r:id="rId6285" ref="L1401"/>
    <hyperlink r:id="rId6286" ref="C1402"/>
    <hyperlink r:id="rId6287" ref="J1402"/>
    <hyperlink r:id="rId6288" ref="L1402"/>
    <hyperlink r:id="rId6289" ref="C1403"/>
    <hyperlink r:id="rId6290" ref="J1403"/>
    <hyperlink r:id="rId6291" ref="L1403"/>
    <hyperlink r:id="rId6292" ref="N1403"/>
    <hyperlink r:id="rId6293" ref="P1403"/>
    <hyperlink r:id="rId6294" ref="C1404"/>
    <hyperlink r:id="rId6295" ref="J1404"/>
    <hyperlink r:id="rId6296" ref="L1404"/>
    <hyperlink r:id="rId6297" ref="N1404"/>
    <hyperlink r:id="rId6298" ref="P1404"/>
    <hyperlink r:id="rId6299" ref="C1405"/>
    <hyperlink r:id="rId6300" ref="J1405"/>
    <hyperlink r:id="rId6301" ref="L1405"/>
    <hyperlink r:id="rId6302" ref="N1405"/>
    <hyperlink r:id="rId6303" ref="P1405"/>
    <hyperlink r:id="rId6304" ref="C1406"/>
    <hyperlink r:id="rId6305" ref="J1406"/>
    <hyperlink r:id="rId6306" ref="L1406"/>
    <hyperlink r:id="rId6307" ref="N1406"/>
    <hyperlink r:id="rId6308" ref="P1406"/>
    <hyperlink r:id="rId6309" ref="C1407"/>
    <hyperlink r:id="rId6310" ref="J1407"/>
    <hyperlink r:id="rId6311" ref="L1407"/>
    <hyperlink r:id="rId6312" ref="N1407"/>
    <hyperlink r:id="rId6313" ref="P1407"/>
    <hyperlink r:id="rId6314" ref="C1408"/>
    <hyperlink r:id="rId6315" ref="J1408"/>
    <hyperlink r:id="rId6316" ref="L1408"/>
    <hyperlink r:id="rId6317" ref="N1408"/>
    <hyperlink r:id="rId6318" ref="P1408"/>
    <hyperlink r:id="rId6319" ref="C1409"/>
    <hyperlink r:id="rId6320" ref="J1409"/>
    <hyperlink r:id="rId6321" ref="L1409"/>
    <hyperlink r:id="rId6322" ref="N1409"/>
    <hyperlink r:id="rId6323" ref="P1409"/>
    <hyperlink r:id="rId6324" ref="C1410"/>
    <hyperlink r:id="rId6325" ref="J1410"/>
    <hyperlink r:id="rId6326" ref="L1410"/>
    <hyperlink r:id="rId6327" ref="N1410"/>
    <hyperlink r:id="rId6328" ref="P1410"/>
    <hyperlink r:id="rId6329" ref="C1411"/>
    <hyperlink r:id="rId6330" ref="J1411"/>
    <hyperlink r:id="rId6331" ref="L1411"/>
    <hyperlink r:id="rId6332" ref="N1411"/>
    <hyperlink r:id="rId6333" ref="P1411"/>
    <hyperlink r:id="rId6334" ref="C1412"/>
    <hyperlink r:id="rId6335" ref="J1412"/>
    <hyperlink r:id="rId6336" ref="L1412"/>
    <hyperlink r:id="rId6337" ref="N1412"/>
    <hyperlink r:id="rId6338" ref="P1412"/>
    <hyperlink r:id="rId6339" ref="C1413"/>
    <hyperlink r:id="rId6340" ref="J1413"/>
    <hyperlink r:id="rId6341" ref="L1413"/>
    <hyperlink r:id="rId6342" ref="N1413"/>
    <hyperlink r:id="rId6343" ref="P1413"/>
    <hyperlink r:id="rId6344" ref="C1414"/>
    <hyperlink r:id="rId6345" ref="J1414"/>
    <hyperlink r:id="rId6346" ref="L1414"/>
    <hyperlink r:id="rId6347" ref="N1414"/>
    <hyperlink r:id="rId6348" ref="P1414"/>
    <hyperlink r:id="rId6349" ref="C1415"/>
    <hyperlink r:id="rId6350" ref="J1415"/>
    <hyperlink r:id="rId6351" ref="L1415"/>
    <hyperlink r:id="rId6352" ref="N1415"/>
    <hyperlink r:id="rId6353" ref="P1415"/>
    <hyperlink r:id="rId6354" ref="C1416"/>
    <hyperlink r:id="rId6355" ref="J1416"/>
    <hyperlink r:id="rId6356" ref="L1416"/>
    <hyperlink r:id="rId6357" ref="N1416"/>
    <hyperlink r:id="rId6358" ref="P1416"/>
    <hyperlink r:id="rId6359" ref="C1417"/>
    <hyperlink r:id="rId6360" ref="J1417"/>
    <hyperlink r:id="rId6361" ref="L1417"/>
    <hyperlink r:id="rId6362" ref="N1417"/>
    <hyperlink r:id="rId6363" ref="P1417"/>
    <hyperlink r:id="rId6364" ref="C1418"/>
    <hyperlink r:id="rId6365" ref="J1418"/>
    <hyperlink r:id="rId6366" ref="L1418"/>
    <hyperlink r:id="rId6367" ref="N1418"/>
    <hyperlink r:id="rId6368" ref="P1418"/>
    <hyperlink r:id="rId6369" ref="C1419"/>
    <hyperlink r:id="rId6370" ref="J1419"/>
    <hyperlink r:id="rId6371" ref="L1419"/>
    <hyperlink r:id="rId6372" ref="N1419"/>
    <hyperlink r:id="rId6373" ref="P1419"/>
    <hyperlink r:id="rId6374" ref="C1420"/>
    <hyperlink r:id="rId6375" ref="J1420"/>
    <hyperlink r:id="rId6376" ref="L1420"/>
    <hyperlink r:id="rId6377" ref="N1420"/>
    <hyperlink r:id="rId6378" ref="P1420"/>
    <hyperlink r:id="rId6379" ref="C1421"/>
    <hyperlink r:id="rId6380" ref="J1421"/>
    <hyperlink r:id="rId6381" ref="L1421"/>
    <hyperlink r:id="rId6382" ref="N1421"/>
    <hyperlink r:id="rId6383" ref="P1421"/>
    <hyperlink r:id="rId6384" ref="C1422"/>
    <hyperlink r:id="rId6385" ref="J1422"/>
    <hyperlink r:id="rId6386" ref="L1422"/>
    <hyperlink r:id="rId6387" ref="N1422"/>
    <hyperlink r:id="rId6388" ref="P1422"/>
    <hyperlink r:id="rId6389" ref="C1423"/>
    <hyperlink r:id="rId6390" ref="J1423"/>
    <hyperlink r:id="rId6391" ref="L1423"/>
    <hyperlink r:id="rId6392" ref="N1423"/>
    <hyperlink r:id="rId6393" ref="P1423"/>
    <hyperlink r:id="rId6394" ref="C1424"/>
    <hyperlink r:id="rId6395" ref="J1424"/>
    <hyperlink r:id="rId6396" ref="L1424"/>
    <hyperlink r:id="rId6397" ref="N1424"/>
    <hyperlink r:id="rId6398" ref="P1424"/>
    <hyperlink r:id="rId6399" ref="C1425"/>
    <hyperlink r:id="rId6400" ref="J1425"/>
    <hyperlink r:id="rId6401" ref="L1425"/>
    <hyperlink r:id="rId6402" ref="N1425"/>
    <hyperlink r:id="rId6403" ref="P1425"/>
    <hyperlink r:id="rId6404" ref="C1426"/>
    <hyperlink r:id="rId6405" ref="J1426"/>
    <hyperlink r:id="rId6406" ref="L1426"/>
    <hyperlink r:id="rId6407" ref="N1426"/>
    <hyperlink r:id="rId6408" ref="P1426"/>
    <hyperlink r:id="rId6409" ref="C1427"/>
    <hyperlink r:id="rId6410" ref="J1427"/>
    <hyperlink r:id="rId6411" ref="L1427"/>
    <hyperlink r:id="rId6412" ref="N1427"/>
    <hyperlink r:id="rId6413" ref="P1427"/>
    <hyperlink r:id="rId6414" ref="C1428"/>
    <hyperlink r:id="rId6415" ref="J1428"/>
    <hyperlink r:id="rId6416" ref="L1428"/>
    <hyperlink r:id="rId6417" ref="N1428"/>
    <hyperlink r:id="rId6418" ref="P1428"/>
    <hyperlink r:id="rId6419" ref="C1429"/>
    <hyperlink r:id="rId6420" ref="J1429"/>
    <hyperlink r:id="rId6421" ref="L1429"/>
    <hyperlink r:id="rId6422" ref="N1429"/>
    <hyperlink r:id="rId6423" ref="P1429"/>
    <hyperlink r:id="rId6424" ref="C1430"/>
    <hyperlink r:id="rId6425" ref="J1430"/>
    <hyperlink r:id="rId6426" ref="L1430"/>
    <hyperlink r:id="rId6427" ref="N1430"/>
    <hyperlink r:id="rId6428" ref="P1430"/>
    <hyperlink r:id="rId6429" ref="C1431"/>
    <hyperlink r:id="rId6430" ref="J1431"/>
    <hyperlink r:id="rId6431" ref="L1431"/>
    <hyperlink r:id="rId6432" ref="N1431"/>
    <hyperlink r:id="rId6433" ref="P1431"/>
    <hyperlink r:id="rId6434" ref="C1432"/>
    <hyperlink r:id="rId6435" ref="J1432"/>
    <hyperlink r:id="rId6436" ref="L1432"/>
    <hyperlink r:id="rId6437" ref="N1432"/>
    <hyperlink r:id="rId6438" ref="P1432"/>
    <hyperlink r:id="rId6439" ref="C1433"/>
    <hyperlink r:id="rId6440" ref="J1433"/>
    <hyperlink r:id="rId6441" ref="L1433"/>
    <hyperlink r:id="rId6442" ref="N1433"/>
    <hyperlink r:id="rId6443" ref="P1433"/>
    <hyperlink r:id="rId6444" ref="C1434"/>
    <hyperlink r:id="rId6445" ref="J1434"/>
    <hyperlink r:id="rId6446" ref="L1434"/>
    <hyperlink r:id="rId6447" ref="N1434"/>
    <hyperlink r:id="rId6448" ref="P1434"/>
    <hyperlink r:id="rId6449" ref="C1435"/>
    <hyperlink r:id="rId6450" ref="C1436"/>
    <hyperlink r:id="rId6451" ref="J1436"/>
    <hyperlink r:id="rId6452" ref="L1436"/>
    <hyperlink r:id="rId6453" ref="N1436"/>
    <hyperlink r:id="rId6454" ref="P1436"/>
    <hyperlink r:id="rId6455" ref="C1437"/>
    <hyperlink r:id="rId6456" ref="J1437"/>
    <hyperlink r:id="rId6457" ref="L1437"/>
    <hyperlink r:id="rId6458" ref="N1437"/>
    <hyperlink r:id="rId6459" ref="P1437"/>
    <hyperlink r:id="rId6460" ref="C1438"/>
    <hyperlink r:id="rId6461" ref="J1438"/>
    <hyperlink r:id="rId6462" ref="L1438"/>
    <hyperlink r:id="rId6463" ref="N1438"/>
    <hyperlink r:id="rId6464" ref="P1438"/>
    <hyperlink r:id="rId6465" ref="C1439"/>
    <hyperlink r:id="rId6466" ref="J1439"/>
    <hyperlink r:id="rId6467" ref="L1439"/>
    <hyperlink r:id="rId6468" ref="N1439"/>
    <hyperlink r:id="rId6469" ref="P1439"/>
    <hyperlink r:id="rId6470" ref="C1440"/>
    <hyperlink r:id="rId6471" ref="J1440"/>
    <hyperlink r:id="rId6472" ref="L1440"/>
    <hyperlink r:id="rId6473" ref="N1440"/>
    <hyperlink r:id="rId6474" ref="P1440"/>
    <hyperlink r:id="rId6475" ref="C1441"/>
    <hyperlink r:id="rId6476" ref="J1441"/>
    <hyperlink r:id="rId6477" ref="L1441"/>
    <hyperlink r:id="rId6478" ref="N1441"/>
    <hyperlink r:id="rId6479" ref="P1441"/>
    <hyperlink r:id="rId6480" ref="C1442"/>
    <hyperlink r:id="rId6481" ref="J1442"/>
    <hyperlink r:id="rId6482" ref="L1442"/>
    <hyperlink r:id="rId6483" ref="N1442"/>
    <hyperlink r:id="rId6484" ref="P1442"/>
    <hyperlink r:id="rId6485" ref="C1443"/>
    <hyperlink r:id="rId6486" ref="J1443"/>
    <hyperlink r:id="rId6487" ref="L1443"/>
    <hyperlink r:id="rId6488" ref="N1443"/>
    <hyperlink r:id="rId6489" ref="P1443"/>
    <hyperlink r:id="rId6490" ref="C1444"/>
    <hyperlink r:id="rId6491" ref="J1444"/>
    <hyperlink r:id="rId6492" ref="L1444"/>
    <hyperlink r:id="rId6493" ref="N1444"/>
    <hyperlink r:id="rId6494" ref="P1444"/>
    <hyperlink r:id="rId6495" ref="C1445"/>
    <hyperlink r:id="rId6496" ref="J1445"/>
    <hyperlink r:id="rId6497" ref="L1445"/>
    <hyperlink r:id="rId6498" ref="N1445"/>
    <hyperlink r:id="rId6499" ref="P1445"/>
    <hyperlink r:id="rId6500" ref="C1446"/>
    <hyperlink r:id="rId6501" ref="J1446"/>
    <hyperlink r:id="rId6502" ref="L1446"/>
    <hyperlink r:id="rId6503" ref="N1446"/>
    <hyperlink r:id="rId6504" ref="P1446"/>
    <hyperlink r:id="rId6505" ref="C1447"/>
    <hyperlink r:id="rId6506" ref="J1447"/>
    <hyperlink r:id="rId6507" ref="L1447"/>
    <hyperlink r:id="rId6508" ref="N1447"/>
    <hyperlink r:id="rId6509" ref="P1447"/>
    <hyperlink r:id="rId6510" ref="C1448"/>
    <hyperlink r:id="rId6511" ref="J1448"/>
    <hyperlink r:id="rId6512" ref="L1448"/>
    <hyperlink r:id="rId6513" ref="N1448"/>
    <hyperlink r:id="rId6514" ref="P1448"/>
    <hyperlink r:id="rId6515" ref="C1449"/>
    <hyperlink r:id="rId6516" ref="J1449"/>
    <hyperlink r:id="rId6517" ref="L1449"/>
    <hyperlink r:id="rId6518" ref="N1449"/>
    <hyperlink r:id="rId6519" ref="P1449"/>
    <hyperlink r:id="rId6520" ref="C1450"/>
    <hyperlink r:id="rId6521" ref="J1450"/>
    <hyperlink r:id="rId6522" ref="L1450"/>
    <hyperlink r:id="rId6523" ref="N1450"/>
    <hyperlink r:id="rId6524" ref="P1450"/>
    <hyperlink r:id="rId6525" ref="C1451"/>
    <hyperlink r:id="rId6526" ref="J1451"/>
    <hyperlink r:id="rId6527" ref="L1451"/>
    <hyperlink r:id="rId6528" ref="N1451"/>
    <hyperlink r:id="rId6529" ref="P1451"/>
    <hyperlink r:id="rId6530" ref="C1452"/>
    <hyperlink r:id="rId6531" ref="J1452"/>
    <hyperlink r:id="rId6532" ref="L1452"/>
    <hyperlink r:id="rId6533" ref="N1452"/>
    <hyperlink r:id="rId6534" ref="P1452"/>
    <hyperlink r:id="rId6535" ref="C1453"/>
    <hyperlink r:id="rId6536" ref="J1453"/>
    <hyperlink r:id="rId6537" ref="L1453"/>
    <hyperlink r:id="rId6538" ref="N1453"/>
    <hyperlink r:id="rId6539" ref="P1453"/>
    <hyperlink r:id="rId6540" ref="C1454"/>
    <hyperlink r:id="rId6541" ref="J1454"/>
    <hyperlink r:id="rId6542" ref="L1454"/>
    <hyperlink r:id="rId6543" ref="N1454"/>
    <hyperlink r:id="rId6544" ref="P1454"/>
    <hyperlink r:id="rId6545" ref="C1455"/>
    <hyperlink r:id="rId6546" ref="J1455"/>
    <hyperlink r:id="rId6547" ref="L1455"/>
    <hyperlink r:id="rId6548" ref="N1455"/>
    <hyperlink r:id="rId6549" ref="P1455"/>
    <hyperlink r:id="rId6550" ref="C1456"/>
    <hyperlink r:id="rId6551" ref="J1456"/>
    <hyperlink r:id="rId6552" ref="L1456"/>
    <hyperlink r:id="rId6553" ref="N1456"/>
    <hyperlink r:id="rId6554" ref="P1456"/>
    <hyperlink r:id="rId6555" ref="C1457"/>
    <hyperlink r:id="rId6556" ref="J1457"/>
    <hyperlink r:id="rId6557" ref="L1457"/>
    <hyperlink r:id="rId6558" ref="N1457"/>
    <hyperlink r:id="rId6559" ref="P1457"/>
    <hyperlink r:id="rId6560" ref="C1458"/>
    <hyperlink r:id="rId6561" ref="J1458"/>
    <hyperlink r:id="rId6562" ref="C1459"/>
    <hyperlink r:id="rId6563" ref="P1459"/>
    <hyperlink r:id="rId6564" ref="C1460"/>
    <hyperlink r:id="rId6565" ref="J1460"/>
    <hyperlink r:id="rId6566" ref="L1460"/>
    <hyperlink r:id="rId6567" ref="N1460"/>
    <hyperlink r:id="rId6568" ref="P1460"/>
    <hyperlink r:id="rId6569" ref="C1461"/>
    <hyperlink r:id="rId6570" ref="J1461"/>
    <hyperlink r:id="rId6571" ref="L1461"/>
    <hyperlink r:id="rId6572" ref="N1461"/>
    <hyperlink r:id="rId6573" ref="P1461"/>
    <hyperlink r:id="rId6574" ref="C1462"/>
    <hyperlink r:id="rId6575" ref="J1462"/>
    <hyperlink r:id="rId6576" ref="L1462"/>
    <hyperlink r:id="rId6577" ref="N1462"/>
    <hyperlink r:id="rId6578" ref="P1462"/>
    <hyperlink r:id="rId6579" ref="C1463"/>
    <hyperlink r:id="rId6580" ref="J1463"/>
    <hyperlink r:id="rId6581" ref="L1463"/>
    <hyperlink r:id="rId6582" ref="N1463"/>
    <hyperlink r:id="rId6583" ref="P1463"/>
    <hyperlink r:id="rId6584" ref="C1464"/>
    <hyperlink r:id="rId6585" ref="J1464"/>
    <hyperlink r:id="rId6586" ref="L1464"/>
    <hyperlink r:id="rId6587" ref="N1464"/>
    <hyperlink r:id="rId6588" ref="P1464"/>
    <hyperlink r:id="rId6589" ref="C1465"/>
    <hyperlink r:id="rId6590" ref="J1465"/>
    <hyperlink r:id="rId6591" ref="L1465"/>
    <hyperlink r:id="rId6592" ref="N1465"/>
    <hyperlink r:id="rId6593" ref="P1465"/>
    <hyperlink r:id="rId6594" ref="C1466"/>
    <hyperlink r:id="rId6595" ref="J1466"/>
    <hyperlink r:id="rId6596" ref="L1466"/>
    <hyperlink r:id="rId6597" ref="N1466"/>
    <hyperlink r:id="rId6598" ref="P1466"/>
    <hyperlink r:id="rId6599" ref="C1467"/>
    <hyperlink r:id="rId6600" ref="J1467"/>
    <hyperlink r:id="rId6601" ref="L1467"/>
    <hyperlink r:id="rId6602" ref="N1467"/>
    <hyperlink r:id="rId6603" ref="P1467"/>
    <hyperlink r:id="rId6604" ref="C1468"/>
    <hyperlink r:id="rId6605" ref="J1468"/>
    <hyperlink r:id="rId6606" ref="L1468"/>
    <hyperlink r:id="rId6607" ref="N1468"/>
    <hyperlink r:id="rId6608" ref="P1468"/>
    <hyperlink r:id="rId6609" ref="C1469"/>
    <hyperlink r:id="rId6610" ref="J1469"/>
    <hyperlink r:id="rId6611" ref="L1469"/>
    <hyperlink r:id="rId6612" ref="N1469"/>
    <hyperlink r:id="rId6613" ref="P1469"/>
    <hyperlink r:id="rId6614" ref="C1470"/>
    <hyperlink r:id="rId6615" ref="J1470"/>
    <hyperlink r:id="rId6616" ref="L1470"/>
    <hyperlink r:id="rId6617" ref="N1470"/>
    <hyperlink r:id="rId6618" ref="P1470"/>
    <hyperlink r:id="rId6619" ref="C1471"/>
    <hyperlink r:id="rId6620" ref="J1471"/>
    <hyperlink r:id="rId6621" ref="L1471"/>
    <hyperlink r:id="rId6622" ref="N1471"/>
    <hyperlink r:id="rId6623" ref="P1471"/>
    <hyperlink r:id="rId6624" ref="C1472"/>
    <hyperlink r:id="rId6625" ref="J1472"/>
    <hyperlink r:id="rId6626" ref="L1472"/>
    <hyperlink r:id="rId6627" ref="N1472"/>
    <hyperlink r:id="rId6628" ref="P1472"/>
    <hyperlink r:id="rId6629" ref="C1473"/>
    <hyperlink r:id="rId6630" ref="J1473"/>
    <hyperlink r:id="rId6631" ref="L1473"/>
    <hyperlink r:id="rId6632" ref="N1473"/>
    <hyperlink r:id="rId6633" ref="P1473"/>
    <hyperlink r:id="rId6634" ref="C1474"/>
    <hyperlink r:id="rId6635" ref="J1474"/>
    <hyperlink r:id="rId6636" ref="L1474"/>
    <hyperlink r:id="rId6637" ref="N1474"/>
    <hyperlink r:id="rId6638" ref="P1474"/>
    <hyperlink r:id="rId6639" ref="C1475"/>
    <hyperlink r:id="rId6640" ref="J1475"/>
    <hyperlink r:id="rId6641" ref="L1475"/>
    <hyperlink r:id="rId6642" ref="N1475"/>
    <hyperlink r:id="rId6643" ref="P1475"/>
    <hyperlink r:id="rId6644" ref="C1476"/>
    <hyperlink r:id="rId6645" ref="J1476"/>
    <hyperlink r:id="rId6646" ref="L1476"/>
    <hyperlink r:id="rId6647" ref="N1476"/>
    <hyperlink r:id="rId6648" ref="P1476"/>
    <hyperlink r:id="rId6649" ref="C1477"/>
    <hyperlink r:id="rId6650" ref="J1477"/>
    <hyperlink r:id="rId6651" ref="L1477"/>
    <hyperlink r:id="rId6652" ref="N1477"/>
    <hyperlink r:id="rId6653" ref="P1477"/>
    <hyperlink r:id="rId6654" ref="C1478"/>
    <hyperlink r:id="rId6655" ref="J1478"/>
    <hyperlink r:id="rId6656" ref="L1478"/>
    <hyperlink r:id="rId6657" ref="N1478"/>
    <hyperlink r:id="rId6658" ref="P1478"/>
    <hyperlink r:id="rId6659" ref="C1479"/>
    <hyperlink r:id="rId6660" ref="J1479"/>
    <hyperlink r:id="rId6661" ref="L1479"/>
    <hyperlink r:id="rId6662" ref="N1479"/>
    <hyperlink r:id="rId6663" ref="P1479"/>
    <hyperlink r:id="rId6664" ref="C1480"/>
    <hyperlink r:id="rId6665" ref="J1480"/>
    <hyperlink r:id="rId6666" ref="L1480"/>
    <hyperlink r:id="rId6667" ref="N1480"/>
    <hyperlink r:id="rId6668" ref="P1480"/>
    <hyperlink r:id="rId6669" ref="C1481"/>
    <hyperlink r:id="rId6670" ref="J1481"/>
    <hyperlink r:id="rId6671" ref="L1481"/>
    <hyperlink r:id="rId6672" ref="N1481"/>
    <hyperlink r:id="rId6673" ref="P1481"/>
    <hyperlink r:id="rId6674" ref="C1482"/>
    <hyperlink r:id="rId6675" ref="J1482"/>
    <hyperlink r:id="rId6676" ref="L1482"/>
    <hyperlink r:id="rId6677" ref="N1482"/>
    <hyperlink r:id="rId6678" ref="P1482"/>
    <hyperlink r:id="rId6679" ref="C1483"/>
    <hyperlink r:id="rId6680" ref="J1483"/>
    <hyperlink r:id="rId6681" ref="L1483"/>
    <hyperlink r:id="rId6682" ref="N1483"/>
    <hyperlink r:id="rId6683" ref="P1483"/>
    <hyperlink r:id="rId6684" ref="C1484"/>
    <hyperlink r:id="rId6685" ref="J1484"/>
    <hyperlink r:id="rId6686" ref="L1484"/>
    <hyperlink r:id="rId6687" ref="N1484"/>
    <hyperlink r:id="rId6688" ref="P1484"/>
    <hyperlink r:id="rId6689" ref="C1485"/>
    <hyperlink r:id="rId6690" ref="J1485"/>
    <hyperlink r:id="rId6691" ref="L1485"/>
    <hyperlink r:id="rId6692" ref="N1485"/>
    <hyperlink r:id="rId6693" ref="P1485"/>
    <hyperlink r:id="rId6694" ref="C1486"/>
    <hyperlink r:id="rId6695" ref="J1486"/>
    <hyperlink r:id="rId6696" ref="L1486"/>
    <hyperlink r:id="rId6697" ref="N1486"/>
    <hyperlink r:id="rId6698" ref="P1486"/>
    <hyperlink r:id="rId6699" ref="C1487"/>
    <hyperlink r:id="rId6700" ref="J1487"/>
    <hyperlink r:id="rId6701" ref="L1487"/>
    <hyperlink r:id="rId6702" ref="N1487"/>
    <hyperlink r:id="rId6703" ref="P1487"/>
    <hyperlink r:id="rId6704" ref="C1488"/>
    <hyperlink r:id="rId6705" ref="J1488"/>
    <hyperlink r:id="rId6706" ref="C1489"/>
    <hyperlink r:id="rId6707" ref="N1489"/>
    <hyperlink r:id="rId6708" ref="P1489"/>
    <hyperlink r:id="rId6709" ref="C1490"/>
    <hyperlink r:id="rId6710" ref="J1490"/>
    <hyperlink r:id="rId6711" ref="L1490"/>
    <hyperlink r:id="rId6712" ref="N1490"/>
    <hyperlink r:id="rId6713" ref="P1490"/>
    <hyperlink r:id="rId6714" ref="C1491"/>
    <hyperlink r:id="rId6715" ref="J1491"/>
    <hyperlink r:id="rId6716" ref="L1491"/>
    <hyperlink r:id="rId6717" ref="N1491"/>
    <hyperlink r:id="rId6718" ref="P1491"/>
    <hyperlink r:id="rId6719" ref="C1492"/>
    <hyperlink r:id="rId6720" ref="J1492"/>
    <hyperlink r:id="rId6721" ref="L1492"/>
    <hyperlink r:id="rId6722" ref="N1492"/>
    <hyperlink r:id="rId6723" ref="P1492"/>
    <hyperlink r:id="rId6724" ref="C1493"/>
    <hyperlink r:id="rId6725" ref="J1493"/>
    <hyperlink r:id="rId6726" ref="L1493"/>
    <hyperlink r:id="rId6727" ref="N1493"/>
    <hyperlink r:id="rId6728" ref="P1493"/>
    <hyperlink r:id="rId6729" ref="C1494"/>
    <hyperlink r:id="rId6730" ref="J1494"/>
    <hyperlink r:id="rId6731" ref="L1494"/>
    <hyperlink r:id="rId6732" ref="N1494"/>
    <hyperlink r:id="rId6733" ref="P1494"/>
    <hyperlink r:id="rId6734" ref="C1495"/>
    <hyperlink r:id="rId6735" ref="J1495"/>
    <hyperlink r:id="rId6736" ref="L1495"/>
    <hyperlink r:id="rId6737" ref="N1495"/>
    <hyperlink r:id="rId6738" ref="P1495"/>
    <hyperlink r:id="rId6739" ref="C1496"/>
    <hyperlink r:id="rId6740" ref="J1496"/>
    <hyperlink r:id="rId6741" ref="L1496"/>
    <hyperlink r:id="rId6742" ref="N1496"/>
    <hyperlink r:id="rId6743" ref="P1496"/>
    <hyperlink r:id="rId6744" ref="C1497"/>
    <hyperlink r:id="rId6745" ref="J1497"/>
    <hyperlink r:id="rId6746" ref="L1497"/>
    <hyperlink r:id="rId6747" ref="N1497"/>
    <hyperlink r:id="rId6748" ref="P1497"/>
    <hyperlink r:id="rId6749" ref="C1498"/>
    <hyperlink r:id="rId6750" ref="J1498"/>
    <hyperlink r:id="rId6751" ref="L1498"/>
    <hyperlink r:id="rId6752" ref="N1498"/>
    <hyperlink r:id="rId6753" ref="P1498"/>
    <hyperlink r:id="rId6754" ref="C1499"/>
    <hyperlink r:id="rId6755" ref="J1499"/>
    <hyperlink r:id="rId6756" ref="L1499"/>
    <hyperlink r:id="rId6757" ref="N1499"/>
    <hyperlink r:id="rId6758" ref="P1499"/>
    <hyperlink r:id="rId6759" ref="C1500"/>
    <hyperlink r:id="rId6760" ref="J1500"/>
    <hyperlink r:id="rId6761" ref="L1500"/>
    <hyperlink r:id="rId6762" ref="N1500"/>
    <hyperlink r:id="rId6763" ref="P1500"/>
    <hyperlink r:id="rId6764" ref="C1501"/>
    <hyperlink r:id="rId6765" ref="J1501"/>
    <hyperlink r:id="rId6766" ref="L1501"/>
    <hyperlink r:id="rId6767" ref="N1501"/>
    <hyperlink r:id="rId6768" ref="C1502"/>
    <hyperlink r:id="rId6769" ref="J1502"/>
    <hyperlink r:id="rId6770" ref="L1502"/>
    <hyperlink r:id="rId6771" ref="N1502"/>
    <hyperlink r:id="rId6772" ref="C1503"/>
    <hyperlink r:id="rId6773" ref="J1503"/>
    <hyperlink r:id="rId6774" ref="L1503"/>
    <hyperlink r:id="rId6775" ref="N1503"/>
    <hyperlink r:id="rId6776" ref="P1503"/>
    <hyperlink r:id="rId6777" ref="C1504"/>
    <hyperlink r:id="rId6778" ref="J1504"/>
    <hyperlink r:id="rId6779" ref="L1504"/>
    <hyperlink r:id="rId6780" ref="N1504"/>
    <hyperlink r:id="rId6781" ref="P1504"/>
    <hyperlink r:id="rId6782" ref="C1505"/>
    <hyperlink r:id="rId6783" ref="J1505"/>
    <hyperlink r:id="rId6784" ref="L1505"/>
    <hyperlink r:id="rId6785" ref="N1505"/>
    <hyperlink r:id="rId6786" ref="P1505"/>
    <hyperlink r:id="rId6787" ref="C1506"/>
    <hyperlink r:id="rId6788" ref="J1506"/>
    <hyperlink r:id="rId6789" ref="L1506"/>
    <hyperlink r:id="rId6790" ref="N1506"/>
    <hyperlink r:id="rId6791" ref="P1506"/>
    <hyperlink r:id="rId6792" ref="C1507"/>
    <hyperlink r:id="rId6793" ref="L1507"/>
    <hyperlink r:id="rId6794" ref="P1507"/>
    <hyperlink r:id="rId6795" ref="C1508"/>
    <hyperlink r:id="rId6796" ref="J1508"/>
    <hyperlink r:id="rId6797" ref="L1508"/>
    <hyperlink r:id="rId6798" ref="N1508"/>
    <hyperlink r:id="rId6799" ref="P1508"/>
    <hyperlink r:id="rId6800" ref="C1509"/>
    <hyperlink r:id="rId6801" ref="J1509"/>
    <hyperlink r:id="rId6802" ref="L1509"/>
    <hyperlink r:id="rId6803" ref="N1509"/>
    <hyperlink r:id="rId6804" ref="P1509"/>
    <hyperlink r:id="rId6805" ref="C1510"/>
    <hyperlink r:id="rId6806" ref="J1510"/>
    <hyperlink r:id="rId6807" ref="L1510"/>
    <hyperlink r:id="rId6808" ref="N1510"/>
    <hyperlink r:id="rId6809" ref="P1510"/>
    <hyperlink r:id="rId6810" ref="C1511"/>
    <hyperlink r:id="rId6811" ref="J1511"/>
    <hyperlink r:id="rId6812" ref="L1511"/>
    <hyperlink r:id="rId6813" ref="N1511"/>
    <hyperlink r:id="rId6814" ref="P1511"/>
    <hyperlink r:id="rId6815" ref="C1512"/>
    <hyperlink r:id="rId6816" ref="J1512"/>
    <hyperlink r:id="rId6817" ref="L1512"/>
    <hyperlink r:id="rId6818" ref="N1512"/>
    <hyperlink r:id="rId6819" ref="P1512"/>
    <hyperlink r:id="rId6820" ref="C1513"/>
    <hyperlink r:id="rId6821" ref="J1513"/>
    <hyperlink r:id="rId6822" ref="L1513"/>
    <hyperlink r:id="rId6823" ref="N1513"/>
    <hyperlink r:id="rId6824" ref="P1513"/>
    <hyperlink r:id="rId6825" ref="C1514"/>
    <hyperlink r:id="rId6826" ref="J1514"/>
    <hyperlink r:id="rId6827" ref="L1514"/>
    <hyperlink r:id="rId6828" ref="N1514"/>
    <hyperlink r:id="rId6829" ref="P1514"/>
    <hyperlink r:id="rId6830" ref="C1515"/>
    <hyperlink r:id="rId6831" ref="J1515"/>
    <hyperlink r:id="rId6832" ref="L1515"/>
    <hyperlink r:id="rId6833" ref="N1515"/>
    <hyperlink r:id="rId6834" ref="P1515"/>
    <hyperlink r:id="rId6835" ref="C1516"/>
    <hyperlink r:id="rId6836" ref="J1516"/>
    <hyperlink r:id="rId6837" ref="L1516"/>
    <hyperlink r:id="rId6838" ref="N1516"/>
    <hyperlink r:id="rId6839" ref="P1516"/>
    <hyperlink r:id="rId6840" ref="C1517"/>
    <hyperlink r:id="rId6841" ref="J1517"/>
    <hyperlink r:id="rId6842" ref="L1517"/>
    <hyperlink r:id="rId6843" ref="N1517"/>
    <hyperlink r:id="rId6844" ref="P1517"/>
    <hyperlink r:id="rId6845" ref="C1518"/>
    <hyperlink r:id="rId6846" ref="J1518"/>
    <hyperlink r:id="rId6847" ref="L1518"/>
    <hyperlink r:id="rId6848" ref="N1518"/>
    <hyperlink r:id="rId6849" ref="P1518"/>
    <hyperlink r:id="rId6850" ref="C1519"/>
    <hyperlink r:id="rId6851" ref="J1519"/>
    <hyperlink r:id="rId6852" ref="L1519"/>
    <hyperlink r:id="rId6853" ref="N1519"/>
    <hyperlink r:id="rId6854" ref="P1519"/>
    <hyperlink r:id="rId6855" ref="C1520"/>
    <hyperlink r:id="rId6856" ref="J1520"/>
    <hyperlink r:id="rId6857" ref="N1520"/>
    <hyperlink r:id="rId6858" ref="P1520"/>
    <hyperlink r:id="rId6859" ref="C1521"/>
    <hyperlink r:id="rId6860" ref="J1521"/>
    <hyperlink r:id="rId6861" ref="L1521"/>
    <hyperlink r:id="rId6862" ref="N1521"/>
    <hyperlink r:id="rId6863" ref="P1521"/>
    <hyperlink r:id="rId6864" ref="C1522"/>
    <hyperlink r:id="rId6865" ref="J1522"/>
    <hyperlink r:id="rId6866" ref="L1522"/>
    <hyperlink r:id="rId6867" ref="N1522"/>
    <hyperlink r:id="rId6868" ref="P1522"/>
    <hyperlink r:id="rId6869" ref="C1523"/>
    <hyperlink r:id="rId6870" ref="J1523"/>
    <hyperlink r:id="rId6871" ref="L1523"/>
    <hyperlink r:id="rId6872" ref="P1523"/>
    <hyperlink r:id="rId6873" ref="C1524"/>
    <hyperlink r:id="rId6874" ref="J1524"/>
    <hyperlink r:id="rId6875" ref="L1524"/>
    <hyperlink r:id="rId6876" ref="N1524"/>
    <hyperlink r:id="rId6877" ref="P1524"/>
    <hyperlink r:id="rId6878" ref="C1525"/>
    <hyperlink r:id="rId6879" ref="J1525"/>
    <hyperlink r:id="rId6880" ref="L1525"/>
    <hyperlink r:id="rId6881" ref="N1525"/>
    <hyperlink r:id="rId6882" ref="P1525"/>
    <hyperlink r:id="rId6883" ref="C1526"/>
    <hyperlink r:id="rId6884" ref="J1526"/>
    <hyperlink r:id="rId6885" ref="L1526"/>
    <hyperlink r:id="rId6886" ref="N1526"/>
    <hyperlink r:id="rId6887" ref="P1526"/>
    <hyperlink r:id="rId6888" ref="C1527"/>
    <hyperlink r:id="rId6889" ref="J1527"/>
    <hyperlink r:id="rId6890" ref="L1527"/>
    <hyperlink r:id="rId6891" ref="N1527"/>
    <hyperlink r:id="rId6892" ref="P1527"/>
    <hyperlink r:id="rId6893" ref="C1528"/>
    <hyperlink r:id="rId6894" ref="J1528"/>
    <hyperlink r:id="rId6895" ref="L1528"/>
    <hyperlink r:id="rId6896" ref="N1528"/>
    <hyperlink r:id="rId6897" ref="P1528"/>
    <hyperlink r:id="rId6898" ref="C1529"/>
    <hyperlink r:id="rId6899" ref="J1529"/>
    <hyperlink r:id="rId6900" ref="L1529"/>
    <hyperlink r:id="rId6901" ref="N1529"/>
    <hyperlink r:id="rId6902" ref="P1529"/>
    <hyperlink r:id="rId6903" ref="C1530"/>
    <hyperlink r:id="rId6904" ref="J1530"/>
    <hyperlink r:id="rId6905" ref="L1530"/>
    <hyperlink r:id="rId6906" ref="N1530"/>
    <hyperlink r:id="rId6907" ref="P1530"/>
    <hyperlink r:id="rId6908" ref="C1531"/>
    <hyperlink r:id="rId6909" ref="J1531"/>
    <hyperlink r:id="rId6910" ref="L1531"/>
    <hyperlink r:id="rId6911" ref="N1531"/>
    <hyperlink r:id="rId6912" ref="P1531"/>
    <hyperlink r:id="rId6913" ref="C1532"/>
    <hyperlink r:id="rId6914" ref="J1532"/>
    <hyperlink r:id="rId6915" ref="L1532"/>
    <hyperlink r:id="rId6916" ref="N1532"/>
    <hyperlink r:id="rId6917" ref="P1532"/>
    <hyperlink r:id="rId6918" ref="C1533"/>
    <hyperlink r:id="rId6919" ref="J1533"/>
    <hyperlink r:id="rId6920" ref="L1533"/>
    <hyperlink r:id="rId6921" ref="N1533"/>
    <hyperlink r:id="rId6922" ref="P1533"/>
    <hyperlink r:id="rId6923" ref="C1534"/>
    <hyperlink r:id="rId6924" ref="J1534"/>
    <hyperlink r:id="rId6925" ref="L1534"/>
    <hyperlink r:id="rId6926" ref="N1534"/>
    <hyperlink r:id="rId6927" ref="P1534"/>
    <hyperlink r:id="rId6928" ref="C1535"/>
    <hyperlink r:id="rId6929" ref="J1535"/>
    <hyperlink r:id="rId6930" ref="L1535"/>
    <hyperlink r:id="rId6931" ref="N1535"/>
    <hyperlink r:id="rId6932" ref="P1535"/>
    <hyperlink r:id="rId6933" ref="C1536"/>
    <hyperlink r:id="rId6934" ref="J1536"/>
    <hyperlink r:id="rId6935" ref="L1536"/>
    <hyperlink r:id="rId6936" ref="N1536"/>
    <hyperlink r:id="rId6937" ref="P1536"/>
    <hyperlink r:id="rId6938" ref="C1537"/>
    <hyperlink r:id="rId6939" ref="J1537"/>
    <hyperlink r:id="rId6940" ref="L1537"/>
    <hyperlink r:id="rId6941" ref="N1537"/>
    <hyperlink r:id="rId6942" ref="P1537"/>
    <hyperlink r:id="rId6943" ref="C1538"/>
    <hyperlink r:id="rId6944" ref="J1538"/>
    <hyperlink r:id="rId6945" ref="L1538"/>
    <hyperlink r:id="rId6946" ref="N1538"/>
    <hyperlink r:id="rId6947" ref="P1538"/>
    <hyperlink r:id="rId6948" ref="C1539"/>
    <hyperlink r:id="rId6949" ref="J1539"/>
    <hyperlink r:id="rId6950" ref="L1539"/>
    <hyperlink r:id="rId6951" ref="N1539"/>
    <hyperlink r:id="rId6952" ref="P1539"/>
    <hyperlink r:id="rId6953" ref="C1540"/>
    <hyperlink r:id="rId6954" ref="J1540"/>
    <hyperlink r:id="rId6955" ref="L1540"/>
    <hyperlink r:id="rId6956" ref="N1540"/>
    <hyperlink r:id="rId6957" ref="P1540"/>
    <hyperlink r:id="rId6958" ref="C1541"/>
    <hyperlink r:id="rId6959" ref="J1541"/>
    <hyperlink r:id="rId6960" ref="L1541"/>
    <hyperlink r:id="rId6961" ref="N1541"/>
    <hyperlink r:id="rId6962" ref="P1541"/>
    <hyperlink r:id="rId6963" ref="C1542"/>
    <hyperlink r:id="rId6964" ref="J1542"/>
    <hyperlink r:id="rId6965" ref="L1542"/>
    <hyperlink r:id="rId6966" ref="N1542"/>
    <hyperlink r:id="rId6967" ref="P1542"/>
    <hyperlink r:id="rId6968" ref="C1543"/>
    <hyperlink r:id="rId6969" ref="J1543"/>
    <hyperlink r:id="rId6970" ref="L1543"/>
    <hyperlink r:id="rId6971" ref="N1543"/>
    <hyperlink r:id="rId6972" ref="P1543"/>
    <hyperlink r:id="rId6973" ref="C1544"/>
    <hyperlink r:id="rId6974" ref="J1544"/>
    <hyperlink r:id="rId6975" ref="L1544"/>
    <hyperlink r:id="rId6976" ref="N1544"/>
    <hyperlink r:id="rId6977" ref="P1544"/>
    <hyperlink r:id="rId6978" ref="C1545"/>
    <hyperlink r:id="rId6979" ref="J1545"/>
    <hyperlink r:id="rId6980" ref="L1545"/>
    <hyperlink r:id="rId6981" ref="N1545"/>
    <hyperlink r:id="rId6982" ref="P1545"/>
    <hyperlink r:id="rId6983" ref="C1546"/>
    <hyperlink r:id="rId6984" ref="J1546"/>
    <hyperlink r:id="rId6985" ref="L1546"/>
    <hyperlink r:id="rId6986" ref="N1546"/>
    <hyperlink r:id="rId6987" ref="P1546"/>
    <hyperlink r:id="rId6988" ref="C1547"/>
    <hyperlink r:id="rId6989" ref="J1547"/>
    <hyperlink r:id="rId6990" ref="L1547"/>
    <hyperlink r:id="rId6991" ref="N1547"/>
    <hyperlink r:id="rId6992" ref="P1547"/>
    <hyperlink r:id="rId6993" ref="C1548"/>
    <hyperlink r:id="rId6994" ref="J1548"/>
    <hyperlink r:id="rId6995" ref="L1548"/>
    <hyperlink r:id="rId6996" ref="N1548"/>
    <hyperlink r:id="rId6997" ref="P1548"/>
    <hyperlink r:id="rId6998" ref="C1549"/>
    <hyperlink r:id="rId6999" ref="J1549"/>
    <hyperlink r:id="rId7000" ref="L1549"/>
    <hyperlink r:id="rId7001" ref="N1549"/>
    <hyperlink r:id="rId7002" ref="P1549"/>
    <hyperlink r:id="rId7003" ref="C1550"/>
    <hyperlink r:id="rId7004" ref="J1550"/>
    <hyperlink r:id="rId7005" ref="L1550"/>
    <hyperlink r:id="rId7006" ref="N1550"/>
    <hyperlink r:id="rId7007" ref="P1550"/>
    <hyperlink r:id="rId7008" ref="C1551"/>
    <hyperlink r:id="rId7009" ref="J1551"/>
    <hyperlink r:id="rId7010" ref="L1551"/>
    <hyperlink r:id="rId7011" ref="N1551"/>
    <hyperlink r:id="rId7012" ref="P1551"/>
    <hyperlink r:id="rId7013" ref="C1552"/>
    <hyperlink r:id="rId7014" ref="J1552"/>
    <hyperlink r:id="rId7015" ref="L1552"/>
    <hyperlink r:id="rId7016" ref="N1552"/>
    <hyperlink r:id="rId7017" ref="P1552"/>
    <hyperlink r:id="rId7018" ref="C1553"/>
    <hyperlink r:id="rId7019" ref="J1553"/>
    <hyperlink r:id="rId7020" ref="L1553"/>
    <hyperlink r:id="rId7021" ref="N1553"/>
    <hyperlink r:id="rId7022" ref="P1553"/>
    <hyperlink r:id="rId7023" ref="C1554"/>
    <hyperlink r:id="rId7024" ref="J1554"/>
    <hyperlink r:id="rId7025" ref="L1554"/>
    <hyperlink r:id="rId7026" ref="N1554"/>
    <hyperlink r:id="rId7027" ref="P1554"/>
    <hyperlink r:id="rId7028" ref="C1555"/>
    <hyperlink r:id="rId7029" ref="J1555"/>
    <hyperlink r:id="rId7030" ref="L1555"/>
    <hyperlink r:id="rId7031" ref="N1555"/>
    <hyperlink r:id="rId7032" ref="P1555"/>
    <hyperlink r:id="rId7033" ref="C1556"/>
    <hyperlink r:id="rId7034" ref="J1556"/>
    <hyperlink r:id="rId7035" ref="L1556"/>
    <hyperlink r:id="rId7036" ref="N1556"/>
    <hyperlink r:id="rId7037" ref="P1556"/>
    <hyperlink r:id="rId7038" ref="C1557"/>
    <hyperlink r:id="rId7039" ref="J1557"/>
    <hyperlink r:id="rId7040" ref="L1557"/>
    <hyperlink r:id="rId7041" ref="N1557"/>
    <hyperlink r:id="rId7042" ref="P1557"/>
    <hyperlink r:id="rId7043" ref="C1558"/>
    <hyperlink r:id="rId7044" ref="J1558"/>
    <hyperlink r:id="rId7045" ref="L1558"/>
    <hyperlink r:id="rId7046" ref="N1558"/>
    <hyperlink r:id="rId7047" ref="P1558"/>
    <hyperlink r:id="rId7048" ref="C1559"/>
    <hyperlink r:id="rId7049" ref="J1559"/>
    <hyperlink r:id="rId7050" ref="L1559"/>
    <hyperlink r:id="rId7051" ref="N1559"/>
    <hyperlink r:id="rId7052" ref="P1559"/>
    <hyperlink r:id="rId7053" ref="C1560"/>
    <hyperlink r:id="rId7054" ref="J1560"/>
    <hyperlink r:id="rId7055" ref="L1560"/>
    <hyperlink r:id="rId7056" ref="N1560"/>
    <hyperlink r:id="rId7057" ref="P1560"/>
    <hyperlink r:id="rId7058" ref="C1561"/>
    <hyperlink r:id="rId7059" ref="J1561"/>
    <hyperlink r:id="rId7060" ref="L1561"/>
    <hyperlink r:id="rId7061" ref="N1561"/>
    <hyperlink r:id="rId7062" ref="P1561"/>
    <hyperlink r:id="rId7063" ref="C1562"/>
    <hyperlink r:id="rId7064" ref="J1562"/>
    <hyperlink r:id="rId7065" ref="L1562"/>
    <hyperlink r:id="rId7066" ref="N1562"/>
    <hyperlink r:id="rId7067" ref="P1562"/>
    <hyperlink r:id="rId7068" ref="C1563"/>
    <hyperlink r:id="rId7069" ref="J1563"/>
    <hyperlink r:id="rId7070" ref="L1563"/>
    <hyperlink r:id="rId7071" ref="N1563"/>
    <hyperlink r:id="rId7072" ref="P1563"/>
    <hyperlink r:id="rId7073" ref="C1564"/>
    <hyperlink r:id="rId7074" ref="J1564"/>
    <hyperlink r:id="rId7075" ref="L1564"/>
    <hyperlink r:id="rId7076" ref="N1564"/>
    <hyperlink r:id="rId7077" ref="P1564"/>
    <hyperlink r:id="rId7078" ref="C1565"/>
    <hyperlink r:id="rId7079" ref="J1565"/>
    <hyperlink r:id="rId7080" ref="L1565"/>
    <hyperlink r:id="rId7081" ref="N1565"/>
    <hyperlink r:id="rId7082" ref="P1565"/>
    <hyperlink r:id="rId7083" ref="C1566"/>
    <hyperlink r:id="rId7084" ref="J1566"/>
    <hyperlink r:id="rId7085" ref="L1566"/>
    <hyperlink r:id="rId7086" ref="N1566"/>
    <hyperlink r:id="rId7087" ref="P1566"/>
    <hyperlink r:id="rId7088" ref="C1567"/>
    <hyperlink r:id="rId7089" ref="J1567"/>
    <hyperlink r:id="rId7090" ref="L1567"/>
    <hyperlink r:id="rId7091" ref="N1567"/>
    <hyperlink r:id="rId7092" ref="P1567"/>
    <hyperlink r:id="rId7093" ref="C1568"/>
    <hyperlink r:id="rId7094" ref="J1568"/>
    <hyperlink r:id="rId7095" ref="L1568"/>
    <hyperlink r:id="rId7096" ref="N1568"/>
    <hyperlink r:id="rId7097" ref="P1568"/>
    <hyperlink r:id="rId7098" ref="C1569"/>
    <hyperlink r:id="rId7099" ref="J1569"/>
    <hyperlink r:id="rId7100" ref="L1569"/>
    <hyperlink r:id="rId7101" ref="N1569"/>
    <hyperlink r:id="rId7102" ref="P1569"/>
    <hyperlink r:id="rId7103" ref="C1570"/>
    <hyperlink r:id="rId7104" ref="J1570"/>
    <hyperlink r:id="rId7105" ref="L1570"/>
    <hyperlink r:id="rId7106" ref="N1570"/>
    <hyperlink r:id="rId7107" ref="P1570"/>
    <hyperlink r:id="rId7108" ref="C1571"/>
    <hyperlink r:id="rId7109" ref="J1571"/>
    <hyperlink r:id="rId7110" ref="L1571"/>
    <hyperlink r:id="rId7111" ref="N1571"/>
    <hyperlink r:id="rId7112" ref="P1571"/>
    <hyperlink r:id="rId7113" ref="C1572"/>
    <hyperlink r:id="rId7114" ref="J1572"/>
    <hyperlink r:id="rId7115" ref="L1572"/>
    <hyperlink r:id="rId7116" ref="N1572"/>
    <hyperlink r:id="rId7117" ref="P1572"/>
    <hyperlink r:id="rId7118" ref="C1573"/>
    <hyperlink r:id="rId7119" ref="J1573"/>
    <hyperlink r:id="rId7120" ref="L1573"/>
    <hyperlink r:id="rId7121" ref="N1573"/>
    <hyperlink r:id="rId7122" ref="P1573"/>
    <hyperlink r:id="rId7123" ref="C1574"/>
    <hyperlink r:id="rId7124" ref="J1574"/>
    <hyperlink r:id="rId7125" ref="L1574"/>
    <hyperlink r:id="rId7126" ref="N1574"/>
    <hyperlink r:id="rId7127" ref="P1574"/>
    <hyperlink r:id="rId7128" ref="C1575"/>
    <hyperlink r:id="rId7129" ref="J1575"/>
    <hyperlink r:id="rId7130" ref="L1575"/>
    <hyperlink r:id="rId7131" ref="N1575"/>
    <hyperlink r:id="rId7132" ref="P1575"/>
    <hyperlink r:id="rId7133" ref="C1576"/>
    <hyperlink r:id="rId7134" ref="J1576"/>
    <hyperlink r:id="rId7135" ref="L1576"/>
    <hyperlink r:id="rId7136" ref="N1576"/>
    <hyperlink r:id="rId7137" ref="P1576"/>
    <hyperlink r:id="rId7138" ref="C1577"/>
    <hyperlink r:id="rId7139" ref="J1577"/>
    <hyperlink r:id="rId7140" ref="L1577"/>
    <hyperlink r:id="rId7141" ref="N1577"/>
    <hyperlink r:id="rId7142" ref="P1577"/>
    <hyperlink r:id="rId7143" ref="C1578"/>
    <hyperlink r:id="rId7144" ref="J1578"/>
    <hyperlink r:id="rId7145" ref="L1578"/>
    <hyperlink r:id="rId7146" ref="N1578"/>
    <hyperlink r:id="rId7147" ref="P1578"/>
    <hyperlink r:id="rId7148" ref="C1579"/>
    <hyperlink r:id="rId7149" ref="J1579"/>
    <hyperlink r:id="rId7150" ref="L1579"/>
    <hyperlink r:id="rId7151" ref="N1579"/>
    <hyperlink r:id="rId7152" ref="P1579"/>
    <hyperlink r:id="rId7153" ref="C1580"/>
    <hyperlink r:id="rId7154" ref="J1580"/>
    <hyperlink r:id="rId7155" ref="L1580"/>
    <hyperlink r:id="rId7156" ref="N1580"/>
    <hyperlink r:id="rId7157" ref="P1580"/>
    <hyperlink r:id="rId7158" ref="C1581"/>
    <hyperlink r:id="rId7159" ref="J1581"/>
    <hyperlink r:id="rId7160" ref="L1581"/>
    <hyperlink r:id="rId7161" ref="N1581"/>
    <hyperlink r:id="rId7162" ref="P1581"/>
    <hyperlink r:id="rId7163" ref="C1582"/>
    <hyperlink r:id="rId7164" ref="J1582"/>
    <hyperlink r:id="rId7165" ref="L1582"/>
    <hyperlink r:id="rId7166" ref="N1582"/>
    <hyperlink r:id="rId7167" ref="P1582"/>
    <hyperlink r:id="rId7168" ref="C1583"/>
    <hyperlink r:id="rId7169" ref="J1583"/>
    <hyperlink r:id="rId7170" ref="N1583"/>
    <hyperlink r:id="rId7171" ref="P1583"/>
    <hyperlink r:id="rId7172" ref="C1584"/>
    <hyperlink r:id="rId7173" ref="J1584"/>
    <hyperlink r:id="rId7174" ref="C1585"/>
    <hyperlink r:id="rId7175" ref="J1585"/>
    <hyperlink r:id="rId7176" ref="L1585"/>
    <hyperlink r:id="rId7177" ref="N1585"/>
    <hyperlink r:id="rId7178" ref="C1586"/>
    <hyperlink r:id="rId7179" ref="J1586"/>
    <hyperlink r:id="rId7180" ref="P1586"/>
    <hyperlink r:id="rId7181" ref="C1587"/>
    <hyperlink r:id="rId7182" ref="J1587"/>
    <hyperlink r:id="rId7183" ref="L1587"/>
    <hyperlink r:id="rId7184" ref="N1587"/>
    <hyperlink r:id="rId7185" ref="P1587"/>
    <hyperlink r:id="rId7186" ref="C1588"/>
    <hyperlink r:id="rId7187" ref="J1588"/>
    <hyperlink r:id="rId7188" ref="C1589"/>
    <hyperlink r:id="rId7189" ref="J1589"/>
    <hyperlink r:id="rId7190" ref="C1590"/>
    <hyperlink r:id="rId7191" ref="J1590"/>
    <hyperlink r:id="rId7192" ref="L1590"/>
    <hyperlink r:id="rId7193" ref="C1591"/>
    <hyperlink r:id="rId7194" ref="J1591"/>
    <hyperlink r:id="rId7195" ref="C1592"/>
    <hyperlink r:id="rId7196" ref="J1592"/>
    <hyperlink r:id="rId7197" ref="L1592"/>
    <hyperlink r:id="rId7198" ref="N1592"/>
    <hyperlink r:id="rId7199" ref="P1592"/>
    <hyperlink r:id="rId7200" ref="C1593"/>
    <hyperlink r:id="rId7201" ref="J1593"/>
    <hyperlink r:id="rId7202" ref="C1594"/>
    <hyperlink r:id="rId7203" ref="C1595"/>
    <hyperlink r:id="rId7204" ref="C1596"/>
    <hyperlink r:id="rId7205" ref="C1597"/>
    <hyperlink r:id="rId7206" ref="C1598"/>
    <hyperlink r:id="rId7207" ref="C1599"/>
    <hyperlink r:id="rId7208" ref="C1600"/>
    <hyperlink r:id="rId7209" ref="C1601"/>
    <hyperlink r:id="rId7210" ref="C1602"/>
    <hyperlink r:id="rId7211" ref="C1603"/>
    <hyperlink r:id="rId7212" ref="C1604"/>
    <hyperlink r:id="rId7213" ref="C1605"/>
    <hyperlink r:id="rId7214" ref="J1605"/>
    <hyperlink r:id="rId7215" ref="L1605"/>
    <hyperlink r:id="rId7216" ref="N1605"/>
    <hyperlink r:id="rId7217" ref="P1605"/>
    <hyperlink r:id="rId7218" ref="C1606"/>
    <hyperlink r:id="rId7219" ref="J1606"/>
    <hyperlink r:id="rId7220" ref="L1606"/>
    <hyperlink r:id="rId7221" ref="N1606"/>
    <hyperlink r:id="rId7222" ref="P1606"/>
    <hyperlink r:id="rId7223" ref="C1607"/>
    <hyperlink r:id="rId7224" ref="J1607"/>
    <hyperlink r:id="rId7225" ref="L1607"/>
    <hyperlink r:id="rId7226" ref="N1607"/>
    <hyperlink r:id="rId7227" ref="P1607"/>
    <hyperlink r:id="rId7228" ref="C1608"/>
    <hyperlink r:id="rId7229" ref="J1608"/>
    <hyperlink r:id="rId7230" ref="L1608"/>
    <hyperlink r:id="rId7231" ref="N1608"/>
    <hyperlink r:id="rId7232" ref="P1608"/>
    <hyperlink r:id="rId7233" ref="C1609"/>
    <hyperlink r:id="rId7234" ref="J1609"/>
    <hyperlink r:id="rId7235" ref="L1609"/>
    <hyperlink r:id="rId7236" ref="N1609"/>
    <hyperlink r:id="rId7237" ref="P1609"/>
    <hyperlink r:id="rId7238" ref="C1610"/>
    <hyperlink r:id="rId7239" ref="J1610"/>
    <hyperlink r:id="rId7240" ref="L1610"/>
    <hyperlink r:id="rId7241" ref="N1610"/>
    <hyperlink r:id="rId7242" ref="P1610"/>
    <hyperlink r:id="rId7243" ref="C1611"/>
    <hyperlink r:id="rId7244" ref="J1611"/>
    <hyperlink r:id="rId7245" ref="L1611"/>
    <hyperlink r:id="rId7246" ref="N1611"/>
    <hyperlink r:id="rId7247" ref="P1611"/>
    <hyperlink r:id="rId7248" ref="C1612"/>
    <hyperlink r:id="rId7249" ref="J1612"/>
    <hyperlink r:id="rId7250" ref="L1612"/>
    <hyperlink r:id="rId7251" ref="N1612"/>
    <hyperlink r:id="rId7252" ref="P1612"/>
    <hyperlink r:id="rId7253" ref="C1613"/>
    <hyperlink r:id="rId7254" ref="J1613"/>
    <hyperlink r:id="rId7255" ref="L1613"/>
    <hyperlink r:id="rId7256" ref="N1613"/>
    <hyperlink r:id="rId7257" ref="P1613"/>
    <hyperlink r:id="rId7258" ref="C1614"/>
    <hyperlink r:id="rId7259" ref="N1614"/>
    <hyperlink r:id="rId7260" ref="C1615"/>
    <hyperlink r:id="rId7261" ref="C1616"/>
    <hyperlink r:id="rId7262" ref="J1616"/>
    <hyperlink r:id="rId7263" ref="L1616"/>
    <hyperlink r:id="rId7264" ref="N1616"/>
    <hyperlink r:id="rId7265" ref="P1616"/>
    <hyperlink r:id="rId7266" ref="C1617"/>
    <hyperlink r:id="rId7267" ref="J1617"/>
    <hyperlink r:id="rId7268" ref="L1617"/>
    <hyperlink r:id="rId7269" ref="N1617"/>
    <hyperlink r:id="rId7270" ref="P1617"/>
    <hyperlink r:id="rId7271" ref="C1618"/>
    <hyperlink r:id="rId7272" ref="J1618"/>
    <hyperlink r:id="rId7273" ref="L1618"/>
    <hyperlink r:id="rId7274" ref="N1618"/>
    <hyperlink r:id="rId7275" ref="P1618"/>
    <hyperlink r:id="rId7276" ref="C1619"/>
    <hyperlink r:id="rId7277" ref="C1620"/>
    <hyperlink r:id="rId7278" ref="J1620"/>
    <hyperlink r:id="rId7279" ref="L1620"/>
    <hyperlink r:id="rId7280" ref="N1620"/>
    <hyperlink r:id="rId7281" ref="P1620"/>
    <hyperlink r:id="rId7282" ref="C1621"/>
    <hyperlink r:id="rId7283" ref="J1621"/>
    <hyperlink r:id="rId7284" ref="L1621"/>
    <hyperlink r:id="rId7285" ref="N1621"/>
    <hyperlink r:id="rId7286" ref="P1621"/>
    <hyperlink r:id="rId7287" ref="C1622"/>
    <hyperlink r:id="rId7288" ref="J1622"/>
    <hyperlink r:id="rId7289" ref="L1622"/>
    <hyperlink r:id="rId7290" ref="N1622"/>
    <hyperlink r:id="rId7291" ref="P1622"/>
    <hyperlink r:id="rId7292" ref="C1623"/>
    <hyperlink r:id="rId7293" ref="J1623"/>
    <hyperlink r:id="rId7294" ref="L1623"/>
    <hyperlink r:id="rId7295" ref="N1623"/>
    <hyperlink r:id="rId7296" ref="P1623"/>
    <hyperlink r:id="rId7297" ref="C1624"/>
    <hyperlink r:id="rId7298" ref="J1624"/>
    <hyperlink r:id="rId7299" ref="L1624"/>
    <hyperlink r:id="rId7300" ref="N1624"/>
    <hyperlink r:id="rId7301" ref="P1624"/>
    <hyperlink r:id="rId7302" ref="C1625"/>
    <hyperlink r:id="rId7303" ref="J1625"/>
    <hyperlink r:id="rId7304" ref="L1625"/>
    <hyperlink r:id="rId7305" ref="N1625"/>
    <hyperlink r:id="rId7306" ref="P1625"/>
    <hyperlink r:id="rId7307" ref="C1626"/>
    <hyperlink r:id="rId7308" ref="J1626"/>
    <hyperlink r:id="rId7309" ref="L1626"/>
    <hyperlink r:id="rId7310" ref="N1626"/>
    <hyperlink r:id="rId7311" ref="P1626"/>
    <hyperlink r:id="rId7312" ref="C1627"/>
    <hyperlink r:id="rId7313" ref="J1627"/>
    <hyperlink r:id="rId7314" ref="L1627"/>
    <hyperlink r:id="rId7315" ref="N1627"/>
    <hyperlink r:id="rId7316" ref="P1627"/>
    <hyperlink r:id="rId7317" ref="C1628"/>
    <hyperlink r:id="rId7318" ref="L1628"/>
    <hyperlink r:id="rId7319" ref="N1628"/>
    <hyperlink r:id="rId7320" ref="C1629"/>
    <hyperlink r:id="rId7321" ref="J1629"/>
    <hyperlink r:id="rId7322" ref="N1629"/>
    <hyperlink r:id="rId7323" ref="P1629"/>
    <hyperlink r:id="rId7324" ref="C1630"/>
    <hyperlink r:id="rId7325" ref="J1630"/>
    <hyperlink r:id="rId7326" ref="L1630"/>
    <hyperlink r:id="rId7327" ref="N1630"/>
    <hyperlink r:id="rId7328" ref="P1630"/>
    <hyperlink r:id="rId7329" ref="C1631"/>
    <hyperlink r:id="rId7330" ref="J1631"/>
    <hyperlink r:id="rId7331" ref="L1631"/>
    <hyperlink r:id="rId7332" ref="N1631"/>
    <hyperlink r:id="rId7333" ref="P1631"/>
    <hyperlink r:id="rId7334" ref="C1632"/>
    <hyperlink r:id="rId7335" ref="J1632"/>
    <hyperlink r:id="rId7336" ref="N1632"/>
    <hyperlink r:id="rId7337" ref="P1632"/>
    <hyperlink r:id="rId7338" ref="C1633"/>
    <hyperlink r:id="rId7339" ref="J1633"/>
    <hyperlink r:id="rId7340" ref="L1633"/>
    <hyperlink r:id="rId7341" ref="N1633"/>
    <hyperlink r:id="rId7342" ref="P1633"/>
    <hyperlink r:id="rId7343" ref="C1634"/>
    <hyperlink r:id="rId7344" ref="J1634"/>
    <hyperlink r:id="rId7345" ref="L1634"/>
    <hyperlink r:id="rId7346" ref="N1634"/>
    <hyperlink r:id="rId7347" ref="P1634"/>
    <hyperlink r:id="rId7348" ref="C1635"/>
    <hyperlink r:id="rId7349" ref="J1635"/>
    <hyperlink r:id="rId7350" ref="L1635"/>
    <hyperlink r:id="rId7351" ref="N1635"/>
    <hyperlink r:id="rId7352" ref="P1635"/>
    <hyperlink r:id="rId7353" ref="C1636"/>
    <hyperlink r:id="rId7354" ref="J1636"/>
    <hyperlink r:id="rId7355" ref="L1636"/>
    <hyperlink r:id="rId7356" ref="N1636"/>
    <hyperlink r:id="rId7357" ref="P1636"/>
    <hyperlink r:id="rId7358" ref="C1637"/>
    <hyperlink r:id="rId7359" ref="J1637"/>
    <hyperlink r:id="rId7360" ref="L1637"/>
    <hyperlink r:id="rId7361" ref="N1637"/>
    <hyperlink r:id="rId7362" ref="P1637"/>
    <hyperlink r:id="rId7363" ref="C1638"/>
    <hyperlink r:id="rId7364" ref="J1638"/>
    <hyperlink r:id="rId7365" ref="L1638"/>
    <hyperlink r:id="rId7366" ref="N1638"/>
    <hyperlink r:id="rId7367" ref="P1638"/>
    <hyperlink r:id="rId7368" ref="C1639"/>
    <hyperlink r:id="rId7369" ref="J1639"/>
    <hyperlink r:id="rId7370" ref="L1639"/>
    <hyperlink r:id="rId7371" ref="N1639"/>
    <hyperlink r:id="rId7372" ref="P1639"/>
    <hyperlink r:id="rId7373" ref="C1640"/>
    <hyperlink r:id="rId7374" ref="J1640"/>
    <hyperlink r:id="rId7375" ref="L1640"/>
    <hyperlink r:id="rId7376" ref="N1640"/>
    <hyperlink r:id="rId7377" ref="P1640"/>
    <hyperlink r:id="rId7378" ref="C1641"/>
    <hyperlink r:id="rId7379" ref="J1641"/>
    <hyperlink r:id="rId7380" ref="L1641"/>
    <hyperlink r:id="rId7381" ref="N1641"/>
    <hyperlink r:id="rId7382" ref="P1641"/>
    <hyperlink r:id="rId7383" ref="C1642"/>
    <hyperlink r:id="rId7384" ref="J1642"/>
    <hyperlink r:id="rId7385" ref="L1642"/>
    <hyperlink r:id="rId7386" ref="N1642"/>
    <hyperlink r:id="rId7387" ref="P1642"/>
    <hyperlink r:id="rId7388" ref="C1643"/>
    <hyperlink r:id="rId7389" ref="J1643"/>
    <hyperlink r:id="rId7390" ref="L1643"/>
    <hyperlink r:id="rId7391" ref="N1643"/>
    <hyperlink r:id="rId7392" ref="P1643"/>
    <hyperlink r:id="rId7393" ref="C1644"/>
    <hyperlink r:id="rId7394" ref="J1644"/>
    <hyperlink r:id="rId7395" ref="L1644"/>
    <hyperlink r:id="rId7396" ref="N1644"/>
    <hyperlink r:id="rId7397" ref="P1644"/>
    <hyperlink r:id="rId7398" ref="C1645"/>
    <hyperlink r:id="rId7399" ref="J1645"/>
    <hyperlink r:id="rId7400" ref="L1645"/>
    <hyperlink r:id="rId7401" ref="N1645"/>
    <hyperlink r:id="rId7402" ref="P1645"/>
    <hyperlink r:id="rId7403" ref="C1646"/>
    <hyperlink r:id="rId7404" ref="J1646"/>
    <hyperlink r:id="rId7405" ref="L1646"/>
    <hyperlink r:id="rId7406" ref="N1646"/>
    <hyperlink r:id="rId7407" ref="P1646"/>
    <hyperlink r:id="rId7408" ref="C1647"/>
    <hyperlink r:id="rId7409" ref="J1647"/>
    <hyperlink r:id="rId7410" ref="L1647"/>
    <hyperlink r:id="rId7411" ref="N1647"/>
    <hyperlink r:id="rId7412" ref="P1647"/>
    <hyperlink r:id="rId7413" ref="C1648"/>
    <hyperlink r:id="rId7414" ref="J1648"/>
    <hyperlink r:id="rId7415" ref="L1648"/>
    <hyperlink r:id="rId7416" ref="N1648"/>
    <hyperlink r:id="rId7417" ref="P1648"/>
    <hyperlink r:id="rId7418" ref="C1649"/>
    <hyperlink r:id="rId7419" ref="J1649"/>
    <hyperlink r:id="rId7420" ref="L1649"/>
    <hyperlink r:id="rId7421" ref="N1649"/>
    <hyperlink r:id="rId7422" ref="P1649"/>
    <hyperlink r:id="rId7423" ref="C1650"/>
    <hyperlink r:id="rId7424" ref="J1650"/>
    <hyperlink r:id="rId7425" ref="L1650"/>
    <hyperlink r:id="rId7426" ref="N1650"/>
    <hyperlink r:id="rId7427" ref="P1650"/>
    <hyperlink r:id="rId7428" ref="C1651"/>
    <hyperlink r:id="rId7429" ref="J1651"/>
    <hyperlink r:id="rId7430" ref="L1651"/>
    <hyperlink r:id="rId7431" ref="N1651"/>
    <hyperlink r:id="rId7432" ref="P1651"/>
    <hyperlink r:id="rId7433" ref="C1652"/>
    <hyperlink r:id="rId7434" ref="J1652"/>
    <hyperlink r:id="rId7435" ref="L1652"/>
    <hyperlink r:id="rId7436" ref="N1652"/>
    <hyperlink r:id="rId7437" ref="P1652"/>
    <hyperlink r:id="rId7438" ref="C1653"/>
    <hyperlink r:id="rId7439" ref="J1653"/>
    <hyperlink r:id="rId7440" ref="L1653"/>
    <hyperlink r:id="rId7441" ref="N1653"/>
    <hyperlink r:id="rId7442" ref="C1654"/>
    <hyperlink r:id="rId7443" ref="J1654"/>
    <hyperlink r:id="rId7444" ref="L1654"/>
    <hyperlink r:id="rId7445" ref="N1654"/>
    <hyperlink r:id="rId7446" ref="P1654"/>
    <hyperlink r:id="rId7447" ref="B1655"/>
    <hyperlink r:id="rId7448" ref="C1655"/>
    <hyperlink r:id="rId7449" ref="J1655"/>
    <hyperlink r:id="rId7450" ref="L1655"/>
    <hyperlink r:id="rId7451" ref="N1655"/>
    <hyperlink r:id="rId7452" ref="P1655"/>
    <hyperlink r:id="rId7453" ref="C1656"/>
    <hyperlink r:id="rId7454" ref="J1656"/>
    <hyperlink r:id="rId7455" ref="L1656"/>
    <hyperlink r:id="rId7456" ref="N1656"/>
    <hyperlink r:id="rId7457" ref="P1656"/>
    <hyperlink r:id="rId7458" ref="C1657"/>
    <hyperlink r:id="rId7459" ref="J1657"/>
    <hyperlink r:id="rId7460" ref="L1657"/>
    <hyperlink r:id="rId7461" ref="N1657"/>
    <hyperlink r:id="rId7462" ref="P1657"/>
    <hyperlink r:id="rId7463" ref="C1658"/>
    <hyperlink r:id="rId7464" ref="J1658"/>
    <hyperlink r:id="rId7465" ref="L1658"/>
    <hyperlink r:id="rId7466" ref="N1658"/>
    <hyperlink r:id="rId7467" ref="P1658"/>
    <hyperlink r:id="rId7468" ref="C1659"/>
    <hyperlink r:id="rId7469" ref="C1660"/>
    <hyperlink r:id="rId7470" ref="J1660"/>
    <hyperlink r:id="rId7471" ref="L1660"/>
    <hyperlink r:id="rId7472" ref="N1660"/>
    <hyperlink r:id="rId7473" ref="P1660"/>
    <hyperlink r:id="rId7474" ref="C1661"/>
    <hyperlink r:id="rId7475" ref="J1661"/>
    <hyperlink r:id="rId7476" ref="L1661"/>
    <hyperlink r:id="rId7477" ref="N1661"/>
    <hyperlink r:id="rId7478" ref="P1661"/>
    <hyperlink r:id="rId7479" ref="C1662"/>
    <hyperlink r:id="rId7480" ref="J1662"/>
    <hyperlink r:id="rId7481" ref="L1662"/>
    <hyperlink r:id="rId7482" ref="N1662"/>
    <hyperlink r:id="rId7483" ref="P1662"/>
    <hyperlink r:id="rId7484" ref="C1663"/>
    <hyperlink r:id="rId7485" ref="J1663"/>
    <hyperlink r:id="rId7486" ref="L1663"/>
    <hyperlink r:id="rId7487" ref="N1663"/>
    <hyperlink r:id="rId7488" ref="P1663"/>
    <hyperlink r:id="rId7489" ref="C1664"/>
    <hyperlink r:id="rId7490" ref="C1665"/>
    <hyperlink r:id="rId7491" ref="J1665"/>
    <hyperlink r:id="rId7492" ref="L1665"/>
    <hyperlink r:id="rId7493" ref="N1665"/>
    <hyperlink r:id="rId7494" ref="P1665"/>
    <hyperlink r:id="rId7495" ref="C1666"/>
    <hyperlink r:id="rId7496" ref="J1666"/>
    <hyperlink r:id="rId7497" ref="L1666"/>
    <hyperlink r:id="rId7498" ref="N1666"/>
    <hyperlink r:id="rId7499" ref="P1666"/>
    <hyperlink r:id="rId7500" ref="C1667"/>
    <hyperlink r:id="rId7501" ref="J1667"/>
    <hyperlink r:id="rId7502" ref="L1667"/>
    <hyperlink r:id="rId7503" ref="N1667"/>
    <hyperlink r:id="rId7504" ref="P1667"/>
    <hyperlink r:id="rId7505" ref="C1668"/>
    <hyperlink r:id="rId7506" ref="J1668"/>
    <hyperlink r:id="rId7507" ref="L1668"/>
    <hyperlink r:id="rId7508" ref="N1668"/>
    <hyperlink r:id="rId7509" ref="P1668"/>
    <hyperlink r:id="rId7510" ref="C1669"/>
    <hyperlink r:id="rId7511" ref="J1669"/>
    <hyperlink r:id="rId7512" ref="L1669"/>
    <hyperlink r:id="rId7513" ref="N1669"/>
    <hyperlink r:id="rId7514" ref="P1669"/>
    <hyperlink r:id="rId7515" ref="C1670"/>
    <hyperlink r:id="rId7516" ref="J1670"/>
    <hyperlink r:id="rId7517" ref="L1670"/>
    <hyperlink r:id="rId7518" ref="N1670"/>
    <hyperlink r:id="rId7519" ref="P1670"/>
    <hyperlink r:id="rId7520" ref="C1671"/>
    <hyperlink r:id="rId7521" ref="C1672"/>
    <hyperlink r:id="rId7522" ref="J1672"/>
    <hyperlink r:id="rId7523" ref="L1672"/>
    <hyperlink r:id="rId7524" ref="N1672"/>
    <hyperlink r:id="rId7525" ref="P1672"/>
    <hyperlink r:id="rId7526" ref="C1673"/>
    <hyperlink r:id="rId7527" ref="C1674"/>
    <hyperlink r:id="rId7528" ref="J1674"/>
    <hyperlink r:id="rId7529" ref="L1674"/>
    <hyperlink r:id="rId7530" ref="C1675"/>
    <hyperlink r:id="rId7531" ref="J1675"/>
    <hyperlink r:id="rId7532" ref="N1675"/>
    <hyperlink r:id="rId7533" ref="C1676"/>
    <hyperlink r:id="rId7534" ref="C1677"/>
    <hyperlink r:id="rId7535" ref="J1677"/>
    <hyperlink r:id="rId7536" ref="L1677"/>
    <hyperlink r:id="rId7537" ref="P1677"/>
    <hyperlink r:id="rId7538" ref="C1678"/>
    <hyperlink r:id="rId7539" ref="J1678"/>
    <hyperlink r:id="rId7540" ref="L1678"/>
    <hyperlink r:id="rId7541" ref="N1678"/>
    <hyperlink r:id="rId7542" ref="P1678"/>
    <hyperlink r:id="rId7543" ref="C1679"/>
    <hyperlink r:id="rId7544" ref="J1679"/>
    <hyperlink r:id="rId7545" ref="L1679"/>
    <hyperlink r:id="rId7546" ref="N1679"/>
    <hyperlink r:id="rId7547" ref="P1679"/>
    <hyperlink r:id="rId7548" ref="C1680"/>
    <hyperlink r:id="rId7549" ref="J1680"/>
    <hyperlink r:id="rId7550" ref="L1680"/>
    <hyperlink r:id="rId7551" ref="N1680"/>
    <hyperlink r:id="rId7552" ref="P1680"/>
    <hyperlink r:id="rId7553" ref="C1681"/>
    <hyperlink r:id="rId7554" ref="J1681"/>
    <hyperlink r:id="rId7555" ref="L1681"/>
    <hyperlink r:id="rId7556" ref="N1681"/>
    <hyperlink r:id="rId7557" ref="P1681"/>
    <hyperlink r:id="rId7558" ref="C1682"/>
    <hyperlink r:id="rId7559" ref="J1682"/>
    <hyperlink r:id="rId7560" ref="C1683"/>
    <hyperlink r:id="rId7561" ref="J1683"/>
    <hyperlink r:id="rId7562" ref="L1683"/>
    <hyperlink r:id="rId7563" ref="N1683"/>
    <hyperlink r:id="rId7564" ref="C1684"/>
    <hyperlink r:id="rId7565" ref="J1684"/>
    <hyperlink r:id="rId7566" ref="L1684"/>
    <hyperlink r:id="rId7567" ref="N1684"/>
    <hyperlink r:id="rId7568" ref="P1684"/>
    <hyperlink r:id="rId7569" ref="C1685"/>
    <hyperlink r:id="rId7570" ref="J1685"/>
    <hyperlink r:id="rId7571" ref="L1685"/>
    <hyperlink r:id="rId7572" ref="N1685"/>
    <hyperlink r:id="rId7573" ref="P1685"/>
    <hyperlink r:id="rId7574" ref="C1686"/>
    <hyperlink r:id="rId7575" ref="J1686"/>
    <hyperlink r:id="rId7576" ref="L1686"/>
    <hyperlink r:id="rId7577" ref="C1687"/>
    <hyperlink r:id="rId7578" ref="J1687"/>
    <hyperlink r:id="rId7579" ref="L1687"/>
    <hyperlink r:id="rId7580" ref="N1687"/>
    <hyperlink r:id="rId7581" ref="P1687"/>
    <hyperlink r:id="rId7582" ref="C1688"/>
    <hyperlink r:id="rId7583" ref="J1688"/>
    <hyperlink r:id="rId7584" ref="L1688"/>
    <hyperlink r:id="rId7585" ref="N1688"/>
    <hyperlink r:id="rId7586" ref="P1688"/>
    <hyperlink r:id="rId7587" ref="C1689"/>
    <hyperlink r:id="rId7588" ref="J1689"/>
    <hyperlink r:id="rId7589" ref="L1689"/>
    <hyperlink r:id="rId7590" ref="N1689"/>
    <hyperlink r:id="rId7591" ref="C1690"/>
    <hyperlink r:id="rId7592" ref="J1690"/>
    <hyperlink r:id="rId7593" ref="C1691"/>
    <hyperlink r:id="rId7594" ref="J1691"/>
    <hyperlink r:id="rId7595" ref="L1691"/>
    <hyperlink r:id="rId7596" ref="N1691"/>
    <hyperlink r:id="rId7597" ref="P1691"/>
    <hyperlink r:id="rId7598" ref="C1692"/>
    <hyperlink r:id="rId7599" ref="J1692"/>
    <hyperlink r:id="rId7600" ref="N1692"/>
    <hyperlink r:id="rId7601" ref="C1693"/>
    <hyperlink r:id="rId7602" ref="J1693"/>
    <hyperlink r:id="rId7603" ref="L1693"/>
    <hyperlink r:id="rId7604" ref="N1693"/>
    <hyperlink r:id="rId7605" ref="C1694"/>
    <hyperlink r:id="rId7606" ref="J1694"/>
    <hyperlink r:id="rId7607" ref="L1694"/>
    <hyperlink r:id="rId7608" ref="N1694"/>
    <hyperlink r:id="rId7609" ref="P1694"/>
    <hyperlink r:id="rId7610" ref="C1695"/>
    <hyperlink r:id="rId7611" ref="J1695"/>
    <hyperlink r:id="rId7612" ref="L1695"/>
    <hyperlink r:id="rId7613" ref="N1695"/>
    <hyperlink r:id="rId7614" ref="P1695"/>
    <hyperlink r:id="rId7615" ref="C1696"/>
    <hyperlink r:id="rId7616" ref="J1696"/>
    <hyperlink r:id="rId7617" ref="L1696"/>
    <hyperlink r:id="rId7618" ref="N1696"/>
    <hyperlink r:id="rId7619" ref="P1696"/>
    <hyperlink r:id="rId7620" ref="C1697"/>
    <hyperlink r:id="rId7621" ref="J1697"/>
    <hyperlink r:id="rId7622" ref="L1697"/>
    <hyperlink r:id="rId7623" ref="N1697"/>
    <hyperlink r:id="rId7624" ref="P1697"/>
    <hyperlink r:id="rId7625" ref="C1698"/>
    <hyperlink r:id="rId7626" ref="J1698"/>
    <hyperlink r:id="rId7627" ref="L1698"/>
    <hyperlink r:id="rId7628" ref="N1698"/>
    <hyperlink r:id="rId7629" ref="P1698"/>
    <hyperlink r:id="rId7630" ref="C1699"/>
    <hyperlink r:id="rId7631" ref="J1699"/>
    <hyperlink r:id="rId7632" ref="L1699"/>
    <hyperlink r:id="rId7633" ref="N1699"/>
    <hyperlink r:id="rId7634" ref="P1699"/>
    <hyperlink r:id="rId7635" ref="C1700"/>
    <hyperlink r:id="rId7636" ref="J1700"/>
    <hyperlink r:id="rId7637" ref="L1700"/>
    <hyperlink r:id="rId7638" ref="N1700"/>
    <hyperlink r:id="rId7639" ref="P1700"/>
    <hyperlink r:id="rId7640" ref="C1701"/>
    <hyperlink r:id="rId7641" ref="J1701"/>
    <hyperlink r:id="rId7642" ref="L1701"/>
    <hyperlink r:id="rId7643" ref="N1701"/>
    <hyperlink r:id="rId7644" ref="P1701"/>
    <hyperlink r:id="rId7645" ref="C1702"/>
    <hyperlink r:id="rId7646" ref="J1702"/>
    <hyperlink r:id="rId7647" ref="L1702"/>
    <hyperlink r:id="rId7648" ref="N1702"/>
    <hyperlink r:id="rId7649" ref="P1702"/>
    <hyperlink r:id="rId7650" ref="C1703"/>
    <hyperlink r:id="rId7651" ref="J1703"/>
    <hyperlink r:id="rId7652" ref="L1703"/>
    <hyperlink r:id="rId7653" ref="N1703"/>
    <hyperlink r:id="rId7654" ref="P1703"/>
    <hyperlink r:id="rId7655" ref="C1704"/>
    <hyperlink r:id="rId7656" ref="J1704"/>
    <hyperlink r:id="rId7657" ref="L1704"/>
    <hyperlink r:id="rId7658" ref="N1704"/>
    <hyperlink r:id="rId7659" ref="P1704"/>
    <hyperlink r:id="rId7660" ref="C1705"/>
    <hyperlink r:id="rId7661" ref="J1705"/>
    <hyperlink r:id="rId7662" ref="L1705"/>
    <hyperlink r:id="rId7663" ref="N1705"/>
    <hyperlink r:id="rId7664" ref="P1705"/>
    <hyperlink r:id="rId7665" ref="C1706"/>
    <hyperlink r:id="rId7666" ref="J1706"/>
    <hyperlink r:id="rId7667" ref="L1706"/>
    <hyperlink r:id="rId7668" ref="N1706"/>
    <hyperlink r:id="rId7669" ref="P1706"/>
    <hyperlink r:id="rId7670" ref="C1707"/>
    <hyperlink r:id="rId7671" ref="J1707"/>
    <hyperlink r:id="rId7672" ref="L1707"/>
    <hyperlink r:id="rId7673" ref="N1707"/>
    <hyperlink r:id="rId7674" ref="P1707"/>
    <hyperlink r:id="rId7675" ref="C1708"/>
    <hyperlink r:id="rId7676" ref="J1708"/>
    <hyperlink r:id="rId7677" ref="L1708"/>
    <hyperlink r:id="rId7678" ref="N1708"/>
    <hyperlink r:id="rId7679" ref="P1708"/>
    <hyperlink r:id="rId7680" ref="C1709"/>
    <hyperlink r:id="rId7681" ref="J1709"/>
    <hyperlink r:id="rId7682" ref="L1709"/>
    <hyperlink r:id="rId7683" ref="N1709"/>
    <hyperlink r:id="rId7684" ref="P1709"/>
    <hyperlink r:id="rId7685" ref="C1710"/>
    <hyperlink r:id="rId7686" ref="J1710"/>
    <hyperlink r:id="rId7687" ref="L1710"/>
    <hyperlink r:id="rId7688" ref="C1711"/>
    <hyperlink r:id="rId7689" ref="J1711"/>
    <hyperlink r:id="rId7690" ref="L1711"/>
    <hyperlink r:id="rId7691" ref="N1711"/>
    <hyperlink r:id="rId7692" ref="P1711"/>
    <hyperlink r:id="rId7693" ref="C1712"/>
    <hyperlink r:id="rId7694" ref="J1712"/>
    <hyperlink r:id="rId7695" ref="L1712"/>
    <hyperlink r:id="rId7696" ref="N1712"/>
    <hyperlink r:id="rId7697" ref="P1712"/>
    <hyperlink r:id="rId7698" ref="C1713"/>
    <hyperlink r:id="rId7699" ref="J1713"/>
    <hyperlink r:id="rId7700" ref="L1713"/>
    <hyperlink r:id="rId7701" ref="N1713"/>
    <hyperlink r:id="rId7702" ref="P1713"/>
    <hyperlink r:id="rId7703" ref="C1714"/>
    <hyperlink r:id="rId7704" ref="J1714"/>
    <hyperlink r:id="rId7705" ref="L1714"/>
    <hyperlink r:id="rId7706" ref="N1714"/>
    <hyperlink r:id="rId7707" ref="P1714"/>
    <hyperlink r:id="rId7708" ref="C1715"/>
    <hyperlink r:id="rId7709" ref="J1715"/>
    <hyperlink r:id="rId7710" ref="L1715"/>
    <hyperlink r:id="rId7711" ref="N1715"/>
    <hyperlink r:id="rId7712" ref="P1715"/>
    <hyperlink r:id="rId7713" ref="C1716"/>
    <hyperlink r:id="rId7714" ref="J1716"/>
    <hyperlink r:id="rId7715" ref="L1716"/>
    <hyperlink r:id="rId7716" ref="N1716"/>
    <hyperlink r:id="rId7717" ref="P1716"/>
    <hyperlink r:id="rId7718" ref="C1717"/>
    <hyperlink r:id="rId7719" ref="J1717"/>
    <hyperlink r:id="rId7720" ref="L1717"/>
    <hyperlink r:id="rId7721" ref="N1717"/>
    <hyperlink r:id="rId7722" ref="P1717"/>
    <hyperlink r:id="rId7723" ref="C1718"/>
    <hyperlink r:id="rId7724" ref="J1718"/>
    <hyperlink r:id="rId7725" ref="L1718"/>
    <hyperlink r:id="rId7726" ref="N1718"/>
    <hyperlink r:id="rId7727" ref="P1718"/>
    <hyperlink r:id="rId7728" ref="C1719"/>
    <hyperlink r:id="rId7729" ref="J1719"/>
    <hyperlink r:id="rId7730" ref="L1719"/>
    <hyperlink r:id="rId7731" ref="N1719"/>
    <hyperlink r:id="rId7732" ref="P1719"/>
    <hyperlink r:id="rId7733" ref="C1720"/>
    <hyperlink r:id="rId7734" ref="J1720"/>
    <hyperlink r:id="rId7735" ref="L1720"/>
    <hyperlink r:id="rId7736" ref="N1720"/>
    <hyperlink r:id="rId7737" ref="P1720"/>
    <hyperlink r:id="rId7738" ref="C1721"/>
    <hyperlink r:id="rId7739" ref="J1721"/>
    <hyperlink r:id="rId7740" ref="L1721"/>
    <hyperlink r:id="rId7741" ref="N1721"/>
    <hyperlink r:id="rId7742" ref="P1721"/>
    <hyperlink r:id="rId7743" ref="C1722"/>
    <hyperlink r:id="rId7744" ref="J1722"/>
    <hyperlink r:id="rId7745" ref="L1722"/>
    <hyperlink r:id="rId7746" ref="N1722"/>
    <hyperlink r:id="rId7747" ref="P1722"/>
    <hyperlink r:id="rId7748" ref="C1723"/>
    <hyperlink r:id="rId7749" ref="J1723"/>
    <hyperlink r:id="rId7750" ref="L1723"/>
    <hyperlink r:id="rId7751" ref="N1723"/>
    <hyperlink r:id="rId7752" ref="P1723"/>
    <hyperlink r:id="rId7753" ref="C1724"/>
    <hyperlink r:id="rId7754" ref="J1724"/>
    <hyperlink r:id="rId7755" ref="L1724"/>
    <hyperlink r:id="rId7756" ref="N1724"/>
    <hyperlink r:id="rId7757" ref="P1724"/>
    <hyperlink r:id="rId7758" ref="C1725"/>
    <hyperlink r:id="rId7759" ref="J1725"/>
    <hyperlink r:id="rId7760" ref="L1725"/>
    <hyperlink r:id="rId7761" ref="N1725"/>
    <hyperlink r:id="rId7762" ref="P1725"/>
    <hyperlink r:id="rId7763" ref="C1726"/>
    <hyperlink r:id="rId7764" ref="J1726"/>
    <hyperlink r:id="rId7765" ref="L1726"/>
    <hyperlink r:id="rId7766" ref="N1726"/>
    <hyperlink r:id="rId7767" ref="P1726"/>
    <hyperlink r:id="rId7768" ref="C1727"/>
    <hyperlink r:id="rId7769" ref="J1727"/>
    <hyperlink r:id="rId7770" ref="L1727"/>
    <hyperlink r:id="rId7771" ref="N1727"/>
    <hyperlink r:id="rId7772" ref="P1727"/>
    <hyperlink r:id="rId7773" ref="C1728"/>
    <hyperlink r:id="rId7774" ref="J1728"/>
    <hyperlink r:id="rId7775" ref="L1728"/>
    <hyperlink r:id="rId7776" ref="N1728"/>
    <hyperlink r:id="rId7777" ref="P1728"/>
    <hyperlink r:id="rId7778" ref="C1729"/>
    <hyperlink r:id="rId7779" ref="J1729"/>
    <hyperlink r:id="rId7780" ref="L1729"/>
    <hyperlink r:id="rId7781" ref="N1729"/>
    <hyperlink r:id="rId7782" ref="P1729"/>
    <hyperlink r:id="rId7783" ref="C1730"/>
    <hyperlink r:id="rId7784" ref="J1730"/>
    <hyperlink r:id="rId7785" ref="L1730"/>
    <hyperlink r:id="rId7786" ref="N1730"/>
    <hyperlink r:id="rId7787" ref="P1730"/>
    <hyperlink r:id="rId7788" ref="C1731"/>
    <hyperlink r:id="rId7789" ref="J1731"/>
    <hyperlink r:id="rId7790" ref="L1731"/>
    <hyperlink r:id="rId7791" ref="N1731"/>
    <hyperlink r:id="rId7792" ref="P1731"/>
    <hyperlink r:id="rId7793" ref="C1732"/>
    <hyperlink r:id="rId7794" ref="J1732"/>
    <hyperlink r:id="rId7795" ref="L1732"/>
    <hyperlink r:id="rId7796" ref="N1732"/>
    <hyperlink r:id="rId7797" ref="P1732"/>
    <hyperlink r:id="rId7798" ref="C1733"/>
    <hyperlink r:id="rId7799" ref="J1733"/>
    <hyperlink r:id="rId7800" ref="L1733"/>
    <hyperlink r:id="rId7801" ref="N1733"/>
    <hyperlink r:id="rId7802" ref="P1733"/>
    <hyperlink r:id="rId7803" ref="C1734"/>
    <hyperlink r:id="rId7804" ref="J1734"/>
    <hyperlink r:id="rId7805" ref="L1734"/>
    <hyperlink r:id="rId7806" ref="N1734"/>
    <hyperlink r:id="rId7807" ref="P1734"/>
    <hyperlink r:id="rId7808" ref="C1735"/>
    <hyperlink r:id="rId7809" ref="J1735"/>
    <hyperlink r:id="rId7810" ref="L1735"/>
    <hyperlink r:id="rId7811" ref="N1735"/>
    <hyperlink r:id="rId7812" ref="P1735"/>
    <hyperlink r:id="rId7813" ref="C1736"/>
    <hyperlink r:id="rId7814" ref="J1736"/>
    <hyperlink r:id="rId7815" ref="L1736"/>
    <hyperlink r:id="rId7816" ref="N1736"/>
    <hyperlink r:id="rId7817" ref="P1736"/>
    <hyperlink r:id="rId7818" ref="C1737"/>
    <hyperlink r:id="rId7819" ref="J1737"/>
    <hyperlink r:id="rId7820" ref="L1737"/>
    <hyperlink r:id="rId7821" ref="N1737"/>
    <hyperlink r:id="rId7822" ref="P1737"/>
    <hyperlink r:id="rId7823" ref="C1738"/>
    <hyperlink r:id="rId7824" ref="J1738"/>
    <hyperlink r:id="rId7825" ref="L1738"/>
    <hyperlink r:id="rId7826" ref="N1738"/>
    <hyperlink r:id="rId7827" ref="P1738"/>
    <hyperlink r:id="rId7828" ref="C1739"/>
    <hyperlink r:id="rId7829" ref="J1739"/>
    <hyperlink r:id="rId7830" ref="L1739"/>
    <hyperlink r:id="rId7831" ref="P1739"/>
    <hyperlink r:id="rId7832" ref="C1740"/>
    <hyperlink r:id="rId7833" ref="J1740"/>
    <hyperlink r:id="rId7834" ref="L1740"/>
    <hyperlink r:id="rId7835" ref="P1740"/>
    <hyperlink r:id="rId7836" ref="C1741"/>
    <hyperlink r:id="rId7837" ref="J1741"/>
    <hyperlink r:id="rId7838" ref="L1741"/>
    <hyperlink r:id="rId7839" ref="N1741"/>
    <hyperlink r:id="rId7840" ref="P1741"/>
    <hyperlink r:id="rId7841" ref="C1742"/>
    <hyperlink r:id="rId7842" ref="J1742"/>
    <hyperlink r:id="rId7843" ref="L1742"/>
    <hyperlink r:id="rId7844" ref="N1742"/>
    <hyperlink r:id="rId7845" ref="P1742"/>
    <hyperlink r:id="rId7846" ref="C1743"/>
    <hyperlink r:id="rId7847" ref="J1743"/>
    <hyperlink r:id="rId7848" ref="L1743"/>
    <hyperlink r:id="rId7849" ref="N1743"/>
    <hyperlink r:id="rId7850" ref="P1743"/>
    <hyperlink r:id="rId7851" ref="C1744"/>
    <hyperlink r:id="rId7852" ref="J1744"/>
    <hyperlink r:id="rId7853" ref="L1744"/>
    <hyperlink r:id="rId7854" ref="P1744"/>
    <hyperlink r:id="rId7855" ref="C1745"/>
    <hyperlink r:id="rId7856" ref="J1745"/>
    <hyperlink r:id="rId7857" ref="L1745"/>
    <hyperlink r:id="rId7858" ref="N1745"/>
    <hyperlink r:id="rId7859" ref="P1745"/>
    <hyperlink r:id="rId7860" ref="C1746"/>
    <hyperlink r:id="rId7861" ref="J1746"/>
    <hyperlink r:id="rId7862" ref="L1746"/>
    <hyperlink r:id="rId7863" ref="N1746"/>
    <hyperlink r:id="rId7864" ref="P1746"/>
    <hyperlink r:id="rId7865" ref="C1747"/>
    <hyperlink r:id="rId7866" ref="J1747"/>
    <hyperlink r:id="rId7867" ref="L1747"/>
    <hyperlink r:id="rId7868" ref="N1747"/>
    <hyperlink r:id="rId7869" ref="P1747"/>
    <hyperlink r:id="rId7870" ref="C1748"/>
    <hyperlink r:id="rId7871" ref="J1748"/>
    <hyperlink r:id="rId7872" ref="L1748"/>
    <hyperlink r:id="rId7873" ref="N1748"/>
    <hyperlink r:id="rId7874" ref="P1748"/>
    <hyperlink r:id="rId7875" ref="C1749"/>
    <hyperlink r:id="rId7876" ref="J1749"/>
    <hyperlink r:id="rId7877" ref="L1749"/>
    <hyperlink r:id="rId7878" ref="N1749"/>
    <hyperlink r:id="rId7879" ref="P1749"/>
    <hyperlink r:id="rId7880" ref="C1750"/>
    <hyperlink r:id="rId7881" ref="J1750"/>
    <hyperlink r:id="rId7882" ref="L1750"/>
    <hyperlink r:id="rId7883" ref="N1750"/>
    <hyperlink r:id="rId7884" ref="P1750"/>
    <hyperlink r:id="rId7885" ref="C1751"/>
    <hyperlink r:id="rId7886" ref="J1751"/>
    <hyperlink r:id="rId7887" ref="L1751"/>
    <hyperlink r:id="rId7888" ref="N1751"/>
    <hyperlink r:id="rId7889" ref="P1751"/>
    <hyperlink r:id="rId7890" ref="C1752"/>
    <hyperlink r:id="rId7891" ref="J1752"/>
    <hyperlink r:id="rId7892" ref="L1752"/>
    <hyperlink r:id="rId7893" ref="P1752"/>
    <hyperlink r:id="rId7894" ref="C1753"/>
    <hyperlink r:id="rId7895" ref="J1753"/>
    <hyperlink r:id="rId7896" ref="L1753"/>
    <hyperlink r:id="rId7897" ref="P1753"/>
    <hyperlink r:id="rId7898" ref="C1754"/>
    <hyperlink r:id="rId7899" ref="J1754"/>
    <hyperlink r:id="rId7900" ref="L1754"/>
    <hyperlink r:id="rId7901" ref="N1754"/>
    <hyperlink r:id="rId7902" ref="P1754"/>
    <hyperlink r:id="rId7903" ref="C1755"/>
    <hyperlink r:id="rId7904" ref="J1755"/>
    <hyperlink r:id="rId7905" ref="L1755"/>
    <hyperlink r:id="rId7906" ref="N1755"/>
    <hyperlink r:id="rId7907" ref="P1755"/>
    <hyperlink r:id="rId7908" ref="C1756"/>
    <hyperlink r:id="rId7909" ref="J1756"/>
    <hyperlink r:id="rId7910" ref="L1756"/>
    <hyperlink r:id="rId7911" ref="N1756"/>
    <hyperlink r:id="rId7912" ref="P1756"/>
    <hyperlink r:id="rId7913" ref="C1757"/>
    <hyperlink r:id="rId7914" ref="J1757"/>
    <hyperlink r:id="rId7915" ref="L1757"/>
    <hyperlink r:id="rId7916" ref="P1757"/>
    <hyperlink r:id="rId7917" ref="C1758"/>
    <hyperlink r:id="rId7918" ref="J1758"/>
    <hyperlink r:id="rId7919" ref="L1758"/>
    <hyperlink r:id="rId7920" ref="N1758"/>
    <hyperlink r:id="rId7921" ref="P1758"/>
    <hyperlink r:id="rId7922" ref="C1759"/>
    <hyperlink r:id="rId7923" ref="J1759"/>
    <hyperlink r:id="rId7924" ref="L1759"/>
    <hyperlink r:id="rId7925" ref="N1759"/>
    <hyperlink r:id="rId7926" ref="P1759"/>
    <hyperlink r:id="rId7927" ref="C1760"/>
    <hyperlink r:id="rId7928" ref="J1760"/>
    <hyperlink r:id="rId7929" ref="L1760"/>
    <hyperlink r:id="rId7930" ref="N1760"/>
    <hyperlink r:id="rId7931" ref="C1761"/>
    <hyperlink r:id="rId7932" ref="J1761"/>
    <hyperlink r:id="rId7933" ref="L1761"/>
    <hyperlink r:id="rId7934" ref="N1761"/>
    <hyperlink r:id="rId7935" ref="P1761"/>
    <hyperlink r:id="rId7936" ref="C1762"/>
    <hyperlink r:id="rId7937" ref="J1762"/>
    <hyperlink r:id="rId7938" ref="L1762"/>
    <hyperlink r:id="rId7939" ref="N1762"/>
    <hyperlink r:id="rId7940" ref="P1762"/>
    <hyperlink r:id="rId7941" ref="C1763"/>
    <hyperlink r:id="rId7942" ref="J1763"/>
    <hyperlink r:id="rId7943" ref="L1763"/>
    <hyperlink r:id="rId7944" ref="N1763"/>
    <hyperlink r:id="rId7945" ref="P1763"/>
    <hyperlink r:id="rId7946" ref="C1764"/>
    <hyperlink r:id="rId7947" ref="J1764"/>
    <hyperlink r:id="rId7948" ref="L1764"/>
    <hyperlink r:id="rId7949" ref="N1764"/>
    <hyperlink r:id="rId7950" ref="P1764"/>
    <hyperlink r:id="rId7951" ref="C1765"/>
    <hyperlink r:id="rId7952" ref="J1765"/>
    <hyperlink r:id="rId7953" ref="L1765"/>
    <hyperlink r:id="rId7954" ref="N1765"/>
    <hyperlink r:id="rId7955" ref="P1765"/>
    <hyperlink r:id="rId7956" ref="C1766"/>
    <hyperlink r:id="rId7957" ref="J1766"/>
    <hyperlink r:id="rId7958" ref="L1766"/>
    <hyperlink r:id="rId7959" ref="N1766"/>
    <hyperlink r:id="rId7960" ref="P1766"/>
    <hyperlink r:id="rId7961" ref="C1767"/>
    <hyperlink r:id="rId7962" ref="J1767"/>
    <hyperlink r:id="rId7963" ref="L1767"/>
    <hyperlink r:id="rId7964" ref="N1767"/>
    <hyperlink r:id="rId7965" ref="P1767"/>
    <hyperlink r:id="rId7966" ref="C1768"/>
    <hyperlink r:id="rId7967" ref="J1768"/>
    <hyperlink r:id="rId7968" ref="L1768"/>
    <hyperlink r:id="rId7969" ref="N1768"/>
    <hyperlink r:id="rId7970" ref="P1768"/>
    <hyperlink r:id="rId7971" ref="C1769"/>
    <hyperlink r:id="rId7972" ref="J1769"/>
    <hyperlink r:id="rId7973" ref="L1769"/>
    <hyperlink r:id="rId7974" ref="N1769"/>
    <hyperlink r:id="rId7975" ref="P1769"/>
    <hyperlink r:id="rId7976" ref="C1770"/>
    <hyperlink r:id="rId7977" ref="J1770"/>
    <hyperlink r:id="rId7978" ref="L1770"/>
    <hyperlink r:id="rId7979" ref="N1770"/>
    <hyperlink r:id="rId7980" ref="P1770"/>
    <hyperlink r:id="rId7981" ref="C1771"/>
    <hyperlink r:id="rId7982" ref="J1771"/>
    <hyperlink r:id="rId7983" ref="L1771"/>
    <hyperlink r:id="rId7984" ref="N1771"/>
    <hyperlink r:id="rId7985" ref="P1771"/>
    <hyperlink r:id="rId7986" ref="C1772"/>
    <hyperlink r:id="rId7987" ref="J1772"/>
    <hyperlink r:id="rId7988" ref="L1772"/>
    <hyperlink r:id="rId7989" ref="N1772"/>
    <hyperlink r:id="rId7990" ref="P1772"/>
    <hyperlink r:id="rId7991" ref="C1773"/>
    <hyperlink r:id="rId7992" ref="J1773"/>
    <hyperlink r:id="rId7993" ref="L1773"/>
    <hyperlink r:id="rId7994" ref="N1773"/>
    <hyperlink r:id="rId7995" ref="P1773"/>
    <hyperlink r:id="rId7996" ref="C1774"/>
    <hyperlink r:id="rId7997" ref="J1774"/>
    <hyperlink r:id="rId7998" ref="L1774"/>
    <hyperlink r:id="rId7999" ref="N1774"/>
    <hyperlink r:id="rId8000" ref="P1774"/>
    <hyperlink r:id="rId8001" ref="C1775"/>
    <hyperlink r:id="rId8002" ref="J1775"/>
    <hyperlink r:id="rId8003" ref="L1775"/>
    <hyperlink r:id="rId8004" ref="N1775"/>
    <hyperlink r:id="rId8005" ref="P1775"/>
    <hyperlink r:id="rId8006" ref="C1776"/>
    <hyperlink r:id="rId8007" ref="J1776"/>
    <hyperlink r:id="rId8008" ref="L1776"/>
    <hyperlink r:id="rId8009" ref="N1776"/>
    <hyperlink r:id="rId8010" ref="P1776"/>
    <hyperlink r:id="rId8011" ref="C1777"/>
    <hyperlink r:id="rId8012" ref="J1777"/>
    <hyperlink r:id="rId8013" ref="L1777"/>
    <hyperlink r:id="rId8014" ref="N1777"/>
    <hyperlink r:id="rId8015" ref="P1777"/>
    <hyperlink r:id="rId8016" ref="C1778"/>
    <hyperlink r:id="rId8017" ref="J1778"/>
    <hyperlink r:id="rId8018" ref="L1778"/>
    <hyperlink r:id="rId8019" ref="N1778"/>
    <hyperlink r:id="rId8020" ref="P1778"/>
    <hyperlink r:id="rId8021" ref="C1779"/>
    <hyperlink r:id="rId8022" ref="J1779"/>
    <hyperlink r:id="rId8023" ref="L1779"/>
    <hyperlink r:id="rId8024" ref="N1779"/>
    <hyperlink r:id="rId8025" ref="P1779"/>
    <hyperlink r:id="rId8026" ref="C1780"/>
    <hyperlink r:id="rId8027" ref="J1780"/>
    <hyperlink r:id="rId8028" ref="L1780"/>
    <hyperlink r:id="rId8029" ref="N1780"/>
    <hyperlink r:id="rId8030" ref="P1780"/>
    <hyperlink r:id="rId8031" ref="C1781"/>
    <hyperlink r:id="rId8032" ref="J1781"/>
    <hyperlink r:id="rId8033" ref="L1781"/>
    <hyperlink r:id="rId8034" ref="N1781"/>
    <hyperlink r:id="rId8035" ref="P1781"/>
    <hyperlink r:id="rId8036" ref="C1782"/>
    <hyperlink r:id="rId8037" ref="J1782"/>
    <hyperlink r:id="rId8038" ref="L1782"/>
    <hyperlink r:id="rId8039" ref="N1782"/>
    <hyperlink r:id="rId8040" ref="P1782"/>
    <hyperlink r:id="rId8041" ref="C1783"/>
    <hyperlink r:id="rId8042" ref="J1783"/>
    <hyperlink r:id="rId8043" ref="L1783"/>
    <hyperlink r:id="rId8044" ref="N1783"/>
    <hyperlink r:id="rId8045" ref="P1783"/>
    <hyperlink r:id="rId8046" ref="C1784"/>
    <hyperlink r:id="rId8047" ref="J1784"/>
    <hyperlink r:id="rId8048" ref="L1784"/>
    <hyperlink r:id="rId8049" ref="N1784"/>
    <hyperlink r:id="rId8050" ref="P1784"/>
    <hyperlink r:id="rId8051" ref="C1785"/>
    <hyperlink r:id="rId8052" ref="J1785"/>
    <hyperlink r:id="rId8053" ref="L1785"/>
    <hyperlink r:id="rId8054" ref="N1785"/>
    <hyperlink r:id="rId8055" ref="P1785"/>
    <hyperlink r:id="rId8056" ref="C1786"/>
    <hyperlink r:id="rId8057" ref="J1786"/>
    <hyperlink r:id="rId8058" ref="L1786"/>
    <hyperlink r:id="rId8059" ref="N1786"/>
    <hyperlink r:id="rId8060" ref="P1786"/>
    <hyperlink r:id="rId8061" ref="C1787"/>
    <hyperlink r:id="rId8062" ref="J1787"/>
    <hyperlink r:id="rId8063" ref="L1787"/>
    <hyperlink r:id="rId8064" ref="N1787"/>
    <hyperlink r:id="rId8065" ref="P1787"/>
    <hyperlink r:id="rId8066" ref="C1788"/>
    <hyperlink r:id="rId8067" ref="J1788"/>
    <hyperlink r:id="rId8068" ref="L1788"/>
    <hyperlink r:id="rId8069" ref="N1788"/>
    <hyperlink r:id="rId8070" ref="P1788"/>
    <hyperlink r:id="rId8071" ref="C1789"/>
    <hyperlink r:id="rId8072" ref="J1789"/>
    <hyperlink r:id="rId8073" ref="L1789"/>
    <hyperlink r:id="rId8074" ref="N1789"/>
    <hyperlink r:id="rId8075" ref="P1789"/>
    <hyperlink r:id="rId8076" ref="C1790"/>
    <hyperlink r:id="rId8077" ref="J1790"/>
    <hyperlink r:id="rId8078" ref="L1790"/>
    <hyperlink r:id="rId8079" ref="N1790"/>
    <hyperlink r:id="rId8080" ref="P1790"/>
    <hyperlink r:id="rId8081" ref="C1791"/>
    <hyperlink r:id="rId8082" ref="J1791"/>
    <hyperlink r:id="rId8083" ref="L1791"/>
    <hyperlink r:id="rId8084" ref="N1791"/>
    <hyperlink r:id="rId8085" ref="P1791"/>
    <hyperlink r:id="rId8086" ref="C1792"/>
    <hyperlink r:id="rId8087" ref="J1792"/>
    <hyperlink r:id="rId8088" ref="L1792"/>
    <hyperlink r:id="rId8089" ref="N1792"/>
    <hyperlink r:id="rId8090" ref="P1792"/>
    <hyperlink r:id="rId8091" ref="C1793"/>
    <hyperlink r:id="rId8092" ref="J1793"/>
    <hyperlink r:id="rId8093" ref="L1793"/>
    <hyperlink r:id="rId8094" ref="N1793"/>
    <hyperlink r:id="rId8095" ref="P1793"/>
    <hyperlink r:id="rId8096" ref="C1794"/>
    <hyperlink r:id="rId8097" ref="J1794"/>
    <hyperlink r:id="rId8098" ref="L1794"/>
    <hyperlink r:id="rId8099" ref="N1794"/>
    <hyperlink r:id="rId8100" ref="P1794"/>
    <hyperlink r:id="rId8101" ref="C1795"/>
    <hyperlink r:id="rId8102" ref="J1795"/>
    <hyperlink r:id="rId8103" ref="L1795"/>
    <hyperlink r:id="rId8104" ref="N1795"/>
    <hyperlink r:id="rId8105" ref="P1795"/>
    <hyperlink r:id="rId8106" ref="C1796"/>
    <hyperlink r:id="rId8107" ref="J1796"/>
    <hyperlink r:id="rId8108" ref="L1796"/>
    <hyperlink r:id="rId8109" ref="N1796"/>
    <hyperlink r:id="rId8110" ref="P1796"/>
    <hyperlink r:id="rId8111" ref="C1797"/>
    <hyperlink r:id="rId8112" ref="J1797"/>
    <hyperlink r:id="rId8113" ref="L1797"/>
    <hyperlink r:id="rId8114" ref="N1797"/>
    <hyperlink r:id="rId8115" ref="P1797"/>
    <hyperlink r:id="rId8116" ref="C1798"/>
    <hyperlink r:id="rId8117" ref="J1798"/>
    <hyperlink r:id="rId8118" ref="L1798"/>
    <hyperlink r:id="rId8119" ref="N1798"/>
    <hyperlink r:id="rId8120" ref="P1798"/>
    <hyperlink r:id="rId8121" ref="C1799"/>
    <hyperlink r:id="rId8122" ref="J1799"/>
    <hyperlink r:id="rId8123" ref="L1799"/>
    <hyperlink r:id="rId8124" ref="N1799"/>
    <hyperlink r:id="rId8125" ref="P1799"/>
    <hyperlink r:id="rId8126" ref="C1800"/>
    <hyperlink r:id="rId8127" ref="J1800"/>
    <hyperlink r:id="rId8128" ref="L1800"/>
    <hyperlink r:id="rId8129" ref="N1800"/>
    <hyperlink r:id="rId8130" ref="P1800"/>
    <hyperlink r:id="rId8131" ref="C1801"/>
    <hyperlink r:id="rId8132" ref="J1801"/>
    <hyperlink r:id="rId8133" ref="L1801"/>
    <hyperlink r:id="rId8134" ref="N1801"/>
    <hyperlink r:id="rId8135" ref="P1801"/>
    <hyperlink r:id="rId8136" ref="C1802"/>
    <hyperlink r:id="rId8137" ref="J1802"/>
    <hyperlink r:id="rId8138" ref="L1802"/>
    <hyperlink r:id="rId8139" ref="N1802"/>
    <hyperlink r:id="rId8140" ref="P1802"/>
    <hyperlink r:id="rId8141" ref="C1803"/>
    <hyperlink r:id="rId8142" ref="J1803"/>
    <hyperlink r:id="rId8143" ref="L1803"/>
    <hyperlink r:id="rId8144" ref="N1803"/>
    <hyperlink r:id="rId8145" ref="P1803"/>
    <hyperlink r:id="rId8146" ref="C1804"/>
    <hyperlink r:id="rId8147" ref="J1804"/>
    <hyperlink r:id="rId8148" ref="L1804"/>
    <hyperlink r:id="rId8149" ref="N1804"/>
    <hyperlink r:id="rId8150" ref="P1804"/>
    <hyperlink r:id="rId8151" ref="C1805"/>
    <hyperlink r:id="rId8152" ref="J1805"/>
    <hyperlink r:id="rId8153" ref="L1805"/>
    <hyperlink r:id="rId8154" ref="N1805"/>
    <hyperlink r:id="rId8155" ref="P1805"/>
    <hyperlink r:id="rId8156" ref="C1806"/>
    <hyperlink r:id="rId8157" ref="J1806"/>
    <hyperlink r:id="rId8158" ref="L1806"/>
    <hyperlink r:id="rId8159" ref="N1806"/>
    <hyperlink r:id="rId8160" ref="P1806"/>
    <hyperlink r:id="rId8161" ref="C1807"/>
    <hyperlink r:id="rId8162" ref="J1807"/>
    <hyperlink r:id="rId8163" ref="L1807"/>
    <hyperlink r:id="rId8164" ref="N1807"/>
    <hyperlink r:id="rId8165" ref="P1807"/>
    <hyperlink r:id="rId8166" ref="C1808"/>
    <hyperlink r:id="rId8167" ref="J1808"/>
    <hyperlink r:id="rId8168" ref="L1808"/>
    <hyperlink r:id="rId8169" ref="N1808"/>
    <hyperlink r:id="rId8170" ref="P1808"/>
    <hyperlink r:id="rId8171" ref="C1809"/>
    <hyperlink r:id="rId8172" ref="J1809"/>
    <hyperlink r:id="rId8173" ref="L1809"/>
    <hyperlink r:id="rId8174" ref="N1809"/>
    <hyperlink r:id="rId8175" ref="P1809"/>
    <hyperlink r:id="rId8176" ref="C1810"/>
    <hyperlink r:id="rId8177" ref="J1810"/>
    <hyperlink r:id="rId8178" ref="L1810"/>
    <hyperlink r:id="rId8179" ref="P1810"/>
    <hyperlink r:id="rId8180" ref="C1811"/>
    <hyperlink r:id="rId8181" ref="J1811"/>
    <hyperlink r:id="rId8182" ref="L1811"/>
    <hyperlink r:id="rId8183" ref="P1811"/>
    <hyperlink r:id="rId8184" ref="C1812"/>
    <hyperlink r:id="rId8185" ref="J1812"/>
    <hyperlink r:id="rId8186" ref="L1812"/>
    <hyperlink r:id="rId8187" ref="N1812"/>
    <hyperlink r:id="rId8188" ref="P1812"/>
    <hyperlink r:id="rId8189" ref="C1813"/>
    <hyperlink r:id="rId8190" ref="J1813"/>
    <hyperlink r:id="rId8191" ref="L1813"/>
    <hyperlink r:id="rId8192" ref="N1813"/>
    <hyperlink r:id="rId8193" ref="P1813"/>
    <hyperlink r:id="rId8194" ref="C1814"/>
    <hyperlink r:id="rId8195" ref="J1814"/>
    <hyperlink r:id="rId8196" ref="L1814"/>
    <hyperlink r:id="rId8197" ref="N1814"/>
    <hyperlink r:id="rId8198" ref="P1814"/>
    <hyperlink r:id="rId8199" ref="C1815"/>
    <hyperlink r:id="rId8200" ref="J1815"/>
    <hyperlink r:id="rId8201" ref="L1815"/>
    <hyperlink r:id="rId8202" ref="P1815"/>
    <hyperlink r:id="rId8203" ref="C1816"/>
    <hyperlink r:id="rId8204" ref="J1816"/>
    <hyperlink r:id="rId8205" ref="L1816"/>
    <hyperlink r:id="rId8206" ref="N1816"/>
    <hyperlink r:id="rId8207" ref="P1816"/>
    <hyperlink r:id="rId8208" ref="C1817"/>
    <hyperlink r:id="rId8209" ref="J1817"/>
    <hyperlink r:id="rId8210" ref="L1817"/>
    <hyperlink r:id="rId8211" ref="N1817"/>
    <hyperlink r:id="rId8212" ref="P1817"/>
    <hyperlink r:id="rId8213" ref="C1818"/>
    <hyperlink r:id="rId8214" ref="J1818"/>
    <hyperlink r:id="rId8215" ref="L1818"/>
    <hyperlink r:id="rId8216" ref="N1818"/>
    <hyperlink r:id="rId8217" ref="P1818"/>
    <hyperlink r:id="rId8218" ref="C1819"/>
    <hyperlink r:id="rId8219" ref="J1819"/>
    <hyperlink r:id="rId8220" ref="L1819"/>
    <hyperlink r:id="rId8221" ref="N1819"/>
    <hyperlink r:id="rId8222" ref="P1819"/>
    <hyperlink r:id="rId8223" ref="C1820"/>
    <hyperlink r:id="rId8224" ref="J1820"/>
    <hyperlink r:id="rId8225" ref="L1820"/>
    <hyperlink r:id="rId8226" ref="N1820"/>
    <hyperlink r:id="rId8227" ref="P1820"/>
    <hyperlink r:id="rId8228" ref="C1821"/>
    <hyperlink r:id="rId8229" ref="J1821"/>
    <hyperlink r:id="rId8230" ref="L1821"/>
    <hyperlink r:id="rId8231" ref="N1821"/>
    <hyperlink r:id="rId8232" ref="C1822"/>
    <hyperlink r:id="rId8233" ref="L1822"/>
    <hyperlink r:id="rId8234" ref="P1822"/>
    <hyperlink r:id="rId8235" ref="C1823"/>
    <hyperlink r:id="rId8236" ref="J1823"/>
    <hyperlink r:id="rId8237" ref="L1823"/>
    <hyperlink r:id="rId8238" ref="N1823"/>
    <hyperlink r:id="rId8239" ref="P1823"/>
    <hyperlink r:id="rId8240" ref="C1824"/>
    <hyperlink r:id="rId8241" ref="J1824"/>
    <hyperlink r:id="rId8242" ref="L1824"/>
    <hyperlink r:id="rId8243" ref="N1824"/>
    <hyperlink r:id="rId8244" ref="P1824"/>
    <hyperlink r:id="rId8245" ref="C1825"/>
    <hyperlink r:id="rId8246" ref="J1825"/>
    <hyperlink r:id="rId8247" ref="L1825"/>
    <hyperlink r:id="rId8248" ref="N1825"/>
    <hyperlink r:id="rId8249" ref="P1825"/>
    <hyperlink r:id="rId8250" ref="C1826"/>
    <hyperlink r:id="rId8251" ref="J1826"/>
    <hyperlink r:id="rId8252" ref="L1826"/>
    <hyperlink r:id="rId8253" ref="N1826"/>
    <hyperlink r:id="rId8254" ref="P1826"/>
    <hyperlink r:id="rId8255" ref="C1827"/>
    <hyperlink r:id="rId8256" ref="J1827"/>
    <hyperlink r:id="rId8257" ref="L1827"/>
    <hyperlink r:id="rId8258" ref="N1827"/>
    <hyperlink r:id="rId8259" ref="P1827"/>
    <hyperlink r:id="rId8260" ref="C1828"/>
    <hyperlink r:id="rId8261" ref="J1828"/>
    <hyperlink r:id="rId8262" ref="L1828"/>
    <hyperlink r:id="rId8263" ref="N1828"/>
    <hyperlink r:id="rId8264" ref="P1828"/>
    <hyperlink r:id="rId8265" ref="C1829"/>
    <hyperlink r:id="rId8266" ref="J1829"/>
    <hyperlink r:id="rId8267" ref="L1829"/>
    <hyperlink r:id="rId8268" ref="N1829"/>
    <hyperlink r:id="rId8269" ref="P1829"/>
    <hyperlink r:id="rId8270" ref="C1830"/>
    <hyperlink r:id="rId8271" ref="J1830"/>
    <hyperlink r:id="rId8272" ref="L1830"/>
    <hyperlink r:id="rId8273" ref="N1830"/>
    <hyperlink r:id="rId8274" ref="P1830"/>
    <hyperlink r:id="rId8275" ref="C1831"/>
    <hyperlink r:id="rId8276" ref="J1831"/>
    <hyperlink r:id="rId8277" ref="L1831"/>
    <hyperlink r:id="rId8278" ref="N1831"/>
    <hyperlink r:id="rId8279" ref="P1831"/>
    <hyperlink r:id="rId8280" ref="C1832"/>
    <hyperlink r:id="rId8281" ref="J1832"/>
    <hyperlink r:id="rId8282" ref="L1832"/>
    <hyperlink r:id="rId8283" ref="N1832"/>
    <hyperlink r:id="rId8284" ref="P1832"/>
    <hyperlink r:id="rId8285" ref="C1833"/>
    <hyperlink r:id="rId8286" ref="J1833"/>
    <hyperlink r:id="rId8287" ref="L1833"/>
    <hyperlink r:id="rId8288" ref="N1833"/>
    <hyperlink r:id="rId8289" ref="P1833"/>
    <hyperlink r:id="rId8290" ref="C1834"/>
    <hyperlink r:id="rId8291" ref="J1834"/>
    <hyperlink r:id="rId8292" ref="L1834"/>
    <hyperlink r:id="rId8293" ref="N1834"/>
    <hyperlink r:id="rId8294" ref="P1834"/>
    <hyperlink r:id="rId8295" ref="C1835"/>
    <hyperlink r:id="rId8296" ref="J1835"/>
    <hyperlink r:id="rId8297" ref="L1835"/>
    <hyperlink r:id="rId8298" ref="N1835"/>
    <hyperlink r:id="rId8299" ref="P1835"/>
    <hyperlink r:id="rId8300" ref="C1836"/>
    <hyperlink r:id="rId8301" ref="J1836"/>
    <hyperlink r:id="rId8302" ref="L1836"/>
    <hyperlink r:id="rId8303" ref="N1836"/>
    <hyperlink r:id="rId8304" ref="P1836"/>
    <hyperlink r:id="rId8305" ref="C1837"/>
    <hyperlink r:id="rId8306" ref="J1837"/>
    <hyperlink r:id="rId8307" ref="L1837"/>
    <hyperlink r:id="rId8308" ref="N1837"/>
    <hyperlink r:id="rId8309" ref="P1837"/>
    <hyperlink r:id="rId8310" ref="C1838"/>
    <hyperlink r:id="rId8311" ref="J1838"/>
    <hyperlink r:id="rId8312" ref="L1838"/>
    <hyperlink r:id="rId8313" ref="N1838"/>
    <hyperlink r:id="rId8314" ref="P1838"/>
    <hyperlink r:id="rId8315" ref="C1839"/>
    <hyperlink r:id="rId8316" ref="J1839"/>
    <hyperlink r:id="rId8317" ref="L1839"/>
    <hyperlink r:id="rId8318" ref="N1839"/>
    <hyperlink r:id="rId8319" ref="P1839"/>
    <hyperlink r:id="rId8320" ref="C1840"/>
    <hyperlink r:id="rId8321" ref="J1840"/>
    <hyperlink r:id="rId8322" ref="L1840"/>
    <hyperlink r:id="rId8323" ref="N1840"/>
    <hyperlink r:id="rId8324" ref="P1840"/>
    <hyperlink r:id="rId8325" ref="C1841"/>
    <hyperlink r:id="rId8326" ref="J1841"/>
    <hyperlink r:id="rId8327" ref="L1841"/>
    <hyperlink r:id="rId8328" ref="N1841"/>
    <hyperlink r:id="rId8329" ref="P1841"/>
    <hyperlink r:id="rId8330" ref="C1842"/>
    <hyperlink r:id="rId8331" ref="J1842"/>
    <hyperlink r:id="rId8332" ref="L1842"/>
    <hyperlink r:id="rId8333" ref="N1842"/>
    <hyperlink r:id="rId8334" ref="P1842"/>
    <hyperlink r:id="rId8335" ref="C1843"/>
    <hyperlink r:id="rId8336" ref="J1843"/>
    <hyperlink r:id="rId8337" ref="L1843"/>
    <hyperlink r:id="rId8338" ref="N1843"/>
    <hyperlink r:id="rId8339" ref="P1843"/>
    <hyperlink r:id="rId8340" ref="C1844"/>
    <hyperlink r:id="rId8341" ref="J1844"/>
    <hyperlink r:id="rId8342" ref="L1844"/>
    <hyperlink r:id="rId8343" ref="N1844"/>
    <hyperlink r:id="rId8344" ref="P1844"/>
    <hyperlink r:id="rId8345" ref="C1845"/>
    <hyperlink r:id="rId8346" ref="J1845"/>
    <hyperlink r:id="rId8347" ref="L1845"/>
    <hyperlink r:id="rId8348" ref="N1845"/>
    <hyperlink r:id="rId8349" ref="P1845"/>
    <hyperlink r:id="rId8350" ref="C1846"/>
    <hyperlink r:id="rId8351" ref="J1846"/>
    <hyperlink r:id="rId8352" ref="L1846"/>
    <hyperlink r:id="rId8353" ref="N1846"/>
    <hyperlink r:id="rId8354" ref="P1846"/>
    <hyperlink r:id="rId8355" ref="C1847"/>
    <hyperlink r:id="rId8356" ref="J1847"/>
    <hyperlink r:id="rId8357" ref="L1847"/>
    <hyperlink r:id="rId8358" ref="N1847"/>
    <hyperlink r:id="rId8359" ref="P1847"/>
    <hyperlink r:id="rId8360" ref="C1848"/>
    <hyperlink r:id="rId8361" ref="J1848"/>
    <hyperlink r:id="rId8362" ref="L1848"/>
    <hyperlink r:id="rId8363" ref="N1848"/>
    <hyperlink r:id="rId8364" ref="P1848"/>
    <hyperlink r:id="rId8365" ref="C1849"/>
    <hyperlink r:id="rId8366" ref="J1849"/>
    <hyperlink r:id="rId8367" ref="L1849"/>
    <hyperlink r:id="rId8368" ref="N1849"/>
    <hyperlink r:id="rId8369" ref="P1849"/>
    <hyperlink r:id="rId8370" ref="C1850"/>
    <hyperlink r:id="rId8371" ref="J1850"/>
    <hyperlink r:id="rId8372" ref="L1850"/>
    <hyperlink r:id="rId8373" ref="N1850"/>
    <hyperlink r:id="rId8374" ref="P1850"/>
    <hyperlink r:id="rId8375" ref="C1851"/>
    <hyperlink r:id="rId8376" ref="J1851"/>
    <hyperlink r:id="rId8377" ref="L1851"/>
    <hyperlink r:id="rId8378" ref="N1851"/>
    <hyperlink r:id="rId8379" ref="P1851"/>
    <hyperlink r:id="rId8380" ref="C1852"/>
    <hyperlink r:id="rId8381" ref="J1852"/>
    <hyperlink r:id="rId8382" ref="L1852"/>
    <hyperlink r:id="rId8383" ref="N1852"/>
    <hyperlink r:id="rId8384" ref="P1852"/>
    <hyperlink r:id="rId8385" ref="C1853"/>
    <hyperlink r:id="rId8386" ref="J1853"/>
    <hyperlink r:id="rId8387" ref="L1853"/>
    <hyperlink r:id="rId8388" ref="N1853"/>
    <hyperlink r:id="rId8389" ref="P1853"/>
    <hyperlink r:id="rId8390" ref="C1854"/>
    <hyperlink r:id="rId8391" ref="C1855"/>
    <hyperlink r:id="rId8392" ref="N1855"/>
    <hyperlink r:id="rId8393" ref="C1856"/>
    <hyperlink r:id="rId8394" ref="N1856"/>
    <hyperlink r:id="rId8395" ref="C1857"/>
    <hyperlink r:id="rId8396" ref="J1857"/>
    <hyperlink r:id="rId8397" ref="L1857"/>
    <hyperlink r:id="rId8398" ref="N1857"/>
    <hyperlink r:id="rId8399" ref="P1857"/>
    <hyperlink r:id="rId8400" ref="C1858"/>
    <hyperlink r:id="rId8401" ref="J1858"/>
    <hyperlink r:id="rId8402" ref="L1858"/>
    <hyperlink r:id="rId8403" ref="N1858"/>
    <hyperlink r:id="rId8404" ref="P1858"/>
    <hyperlink r:id="rId8405" ref="C1859"/>
    <hyperlink r:id="rId8406" ref="J1859"/>
    <hyperlink r:id="rId8407" ref="L1859"/>
    <hyperlink r:id="rId8408" ref="N1859"/>
    <hyperlink r:id="rId8409" ref="P1859"/>
    <hyperlink r:id="rId8410" ref="C1860"/>
    <hyperlink r:id="rId8411" ref="J1860"/>
    <hyperlink r:id="rId8412" ref="L1860"/>
    <hyperlink r:id="rId8413" ref="N1860"/>
    <hyperlink r:id="rId8414" ref="P1860"/>
    <hyperlink r:id="rId8415" ref="C1861"/>
    <hyperlink r:id="rId8416" ref="J1861"/>
    <hyperlink r:id="rId8417" ref="L1861"/>
    <hyperlink r:id="rId8418" ref="N1861"/>
    <hyperlink r:id="rId8419" ref="P1861"/>
    <hyperlink r:id="rId8420" ref="C1862"/>
    <hyperlink r:id="rId8421" ref="J1862"/>
    <hyperlink r:id="rId8422" ref="L1862"/>
    <hyperlink r:id="rId8423" ref="N1862"/>
    <hyperlink r:id="rId8424" ref="P1862"/>
    <hyperlink r:id="rId8425" ref="C1863"/>
    <hyperlink r:id="rId8426" ref="J1863"/>
    <hyperlink r:id="rId8427" ref="L1863"/>
    <hyperlink r:id="rId8428" ref="N1863"/>
    <hyperlink r:id="rId8429" ref="P1863"/>
    <hyperlink r:id="rId8430" ref="C1864"/>
    <hyperlink r:id="rId8431" ref="J1864"/>
    <hyperlink r:id="rId8432" ref="L1864"/>
    <hyperlink r:id="rId8433" ref="N1864"/>
    <hyperlink r:id="rId8434" ref="P1864"/>
    <hyperlink r:id="rId8435" ref="C1865"/>
    <hyperlink r:id="rId8436" ref="J1865"/>
    <hyperlink r:id="rId8437" ref="L1865"/>
    <hyperlink r:id="rId8438" ref="N1865"/>
    <hyperlink r:id="rId8439" ref="P1865"/>
    <hyperlink r:id="rId8440" ref="C1866"/>
    <hyperlink r:id="rId8441" ref="J1866"/>
    <hyperlink r:id="rId8442" ref="L1866"/>
    <hyperlink r:id="rId8443" ref="N1866"/>
    <hyperlink r:id="rId8444" ref="P1866"/>
    <hyperlink r:id="rId8445" ref="C1867"/>
    <hyperlink r:id="rId8446" ref="J1867"/>
    <hyperlink r:id="rId8447" ref="L1867"/>
    <hyperlink r:id="rId8448" ref="N1867"/>
    <hyperlink r:id="rId8449" ref="P1867"/>
    <hyperlink r:id="rId8450" ref="C1868"/>
    <hyperlink r:id="rId8451" ref="J1868"/>
    <hyperlink r:id="rId8452" ref="L1868"/>
    <hyperlink r:id="rId8453" ref="N1868"/>
    <hyperlink r:id="rId8454" ref="P1868"/>
    <hyperlink r:id="rId8455" ref="C1869"/>
    <hyperlink r:id="rId8456" ref="J1869"/>
    <hyperlink r:id="rId8457" ref="L1869"/>
    <hyperlink r:id="rId8458" ref="N1869"/>
    <hyperlink r:id="rId8459" ref="P1869"/>
    <hyperlink r:id="rId8460" ref="C1870"/>
    <hyperlink r:id="rId8461" ref="J1870"/>
    <hyperlink r:id="rId8462" ref="L1870"/>
    <hyperlink r:id="rId8463" ref="N1870"/>
    <hyperlink r:id="rId8464" ref="P1870"/>
    <hyperlink r:id="rId8465" ref="C1871"/>
    <hyperlink r:id="rId8466" ref="J1871"/>
    <hyperlink r:id="rId8467" ref="L1871"/>
    <hyperlink r:id="rId8468" ref="N1871"/>
    <hyperlink r:id="rId8469" ref="P1871"/>
    <hyperlink r:id="rId8470" ref="C1872"/>
    <hyperlink r:id="rId8471" ref="J1872"/>
    <hyperlink r:id="rId8472" ref="L1872"/>
    <hyperlink r:id="rId8473" ref="N1872"/>
    <hyperlink r:id="rId8474" ref="P1872"/>
    <hyperlink r:id="rId8475" ref="C1873"/>
    <hyperlink r:id="rId8476" ref="J1873"/>
    <hyperlink r:id="rId8477" ref="L1873"/>
    <hyperlink r:id="rId8478" ref="N1873"/>
    <hyperlink r:id="rId8479" ref="P1873"/>
    <hyperlink r:id="rId8480" ref="C1874"/>
    <hyperlink r:id="rId8481" ref="J1874"/>
    <hyperlink r:id="rId8482" ref="L1874"/>
    <hyperlink r:id="rId8483" ref="N1874"/>
    <hyperlink r:id="rId8484" ref="P1874"/>
    <hyperlink r:id="rId8485" ref="C1875"/>
    <hyperlink r:id="rId8486" ref="J1875"/>
    <hyperlink r:id="rId8487" ref="L1875"/>
    <hyperlink r:id="rId8488" ref="N1875"/>
    <hyperlink r:id="rId8489" ref="P1875"/>
    <hyperlink r:id="rId8490" ref="C1876"/>
    <hyperlink r:id="rId8491" ref="J1876"/>
    <hyperlink r:id="rId8492" ref="L1876"/>
    <hyperlink r:id="rId8493" ref="N1876"/>
    <hyperlink r:id="rId8494" ref="P1876"/>
    <hyperlink r:id="rId8495" ref="C1877"/>
    <hyperlink r:id="rId8496" ref="J1877"/>
    <hyperlink r:id="rId8497" ref="L1877"/>
    <hyperlink r:id="rId8498" ref="N1877"/>
    <hyperlink r:id="rId8499" ref="P1877"/>
    <hyperlink r:id="rId8500" ref="C1878"/>
    <hyperlink r:id="rId8501" ref="J1878"/>
    <hyperlink r:id="rId8502" ref="L1878"/>
    <hyperlink r:id="rId8503" ref="N1878"/>
    <hyperlink r:id="rId8504" ref="P1878"/>
    <hyperlink r:id="rId8505" ref="C1879"/>
    <hyperlink r:id="rId8506" ref="J1879"/>
    <hyperlink r:id="rId8507" ref="L1879"/>
    <hyperlink r:id="rId8508" ref="N1879"/>
    <hyperlink r:id="rId8509" ref="P1879"/>
    <hyperlink r:id="rId8510" ref="C1880"/>
    <hyperlink r:id="rId8511" ref="J1880"/>
    <hyperlink r:id="rId8512" ref="L1880"/>
    <hyperlink r:id="rId8513" ref="N1880"/>
    <hyperlink r:id="rId8514" ref="P1880"/>
    <hyperlink r:id="rId8515" ref="C1881"/>
    <hyperlink r:id="rId8516" ref="J1881"/>
    <hyperlink r:id="rId8517" ref="L1881"/>
    <hyperlink r:id="rId8518" ref="N1881"/>
    <hyperlink r:id="rId8519" ref="P1881"/>
    <hyperlink r:id="rId8520" ref="C1882"/>
    <hyperlink r:id="rId8521" ref="J1882"/>
    <hyperlink r:id="rId8522" ref="L1882"/>
    <hyperlink r:id="rId8523" ref="N1882"/>
    <hyperlink r:id="rId8524" ref="P1882"/>
    <hyperlink r:id="rId8525" ref="C1883"/>
    <hyperlink r:id="rId8526" ref="J1883"/>
    <hyperlink r:id="rId8527" ref="L1883"/>
    <hyperlink r:id="rId8528" ref="N1883"/>
    <hyperlink r:id="rId8529" ref="P1883"/>
    <hyperlink r:id="rId8530" ref="C1884"/>
    <hyperlink r:id="rId8531" ref="J1884"/>
    <hyperlink r:id="rId8532" ref="L1884"/>
    <hyperlink r:id="rId8533" ref="N1884"/>
    <hyperlink r:id="rId8534" ref="P1884"/>
    <hyperlink r:id="rId8535" ref="C1885"/>
    <hyperlink r:id="rId8536" ref="J1885"/>
    <hyperlink r:id="rId8537" ref="L1885"/>
    <hyperlink r:id="rId8538" ref="N1885"/>
    <hyperlink r:id="rId8539" ref="P1885"/>
    <hyperlink r:id="rId8540" ref="C1886"/>
    <hyperlink r:id="rId8541" ref="J1886"/>
    <hyperlink r:id="rId8542" ref="L1886"/>
    <hyperlink r:id="rId8543" ref="N1886"/>
    <hyperlink r:id="rId8544" ref="P1886"/>
    <hyperlink r:id="rId8545" ref="C1887"/>
    <hyperlink r:id="rId8546" ref="J1887"/>
    <hyperlink r:id="rId8547" ref="L1887"/>
    <hyperlink r:id="rId8548" ref="N1887"/>
    <hyperlink r:id="rId8549" ref="P1887"/>
    <hyperlink r:id="rId8550" ref="C1888"/>
    <hyperlink r:id="rId8551" ref="J1888"/>
    <hyperlink r:id="rId8552" ref="L1888"/>
    <hyperlink r:id="rId8553" ref="N1888"/>
    <hyperlink r:id="rId8554" ref="P1888"/>
    <hyperlink r:id="rId8555" ref="C1889"/>
    <hyperlink r:id="rId8556" ref="J1889"/>
    <hyperlink r:id="rId8557" ref="L1889"/>
    <hyperlink r:id="rId8558" ref="N1889"/>
    <hyperlink r:id="rId8559" ref="P1889"/>
    <hyperlink r:id="rId8560" ref="C1890"/>
    <hyperlink r:id="rId8561" ref="J1890"/>
    <hyperlink r:id="rId8562" ref="L1890"/>
    <hyperlink r:id="rId8563" ref="N1890"/>
    <hyperlink r:id="rId8564" ref="P1890"/>
    <hyperlink r:id="rId8565" ref="C1891"/>
    <hyperlink r:id="rId8566" ref="J1891"/>
    <hyperlink r:id="rId8567" ref="L1891"/>
    <hyperlink r:id="rId8568" ref="N1891"/>
    <hyperlink r:id="rId8569" ref="P1891"/>
    <hyperlink r:id="rId8570" ref="C1892"/>
    <hyperlink r:id="rId8571" ref="J1892"/>
    <hyperlink r:id="rId8572" ref="L1892"/>
    <hyperlink r:id="rId8573" ref="N1892"/>
    <hyperlink r:id="rId8574" ref="P1892"/>
    <hyperlink r:id="rId8575" ref="C1893"/>
    <hyperlink r:id="rId8576" ref="J1893"/>
    <hyperlink r:id="rId8577" ref="L1893"/>
    <hyperlink r:id="rId8578" ref="N1893"/>
    <hyperlink r:id="rId8579" ref="P1893"/>
    <hyperlink r:id="rId8580" ref="C1894"/>
    <hyperlink r:id="rId8581" ref="J1894"/>
    <hyperlink r:id="rId8582" ref="L1894"/>
    <hyperlink r:id="rId8583" ref="N1894"/>
    <hyperlink r:id="rId8584" ref="P1894"/>
    <hyperlink r:id="rId8585" ref="C1895"/>
    <hyperlink r:id="rId8586" ref="J1895"/>
    <hyperlink r:id="rId8587" ref="L1895"/>
    <hyperlink r:id="rId8588" ref="N1895"/>
    <hyperlink r:id="rId8589" ref="P1895"/>
    <hyperlink r:id="rId8590" ref="C1896"/>
    <hyperlink r:id="rId8591" ref="J1896"/>
    <hyperlink r:id="rId8592" ref="L1896"/>
    <hyperlink r:id="rId8593" ref="N1896"/>
    <hyperlink r:id="rId8594" ref="P1896"/>
    <hyperlink r:id="rId8595" ref="C1897"/>
    <hyperlink r:id="rId8596" ref="J1897"/>
    <hyperlink r:id="rId8597" ref="L1897"/>
    <hyperlink r:id="rId8598" ref="N1897"/>
    <hyperlink r:id="rId8599" ref="P1897"/>
    <hyperlink r:id="rId8600" ref="C1898"/>
    <hyperlink r:id="rId8601" ref="J1898"/>
    <hyperlink r:id="rId8602" ref="L1898"/>
    <hyperlink r:id="rId8603" ref="N1898"/>
    <hyperlink r:id="rId8604" ref="P1898"/>
    <hyperlink r:id="rId8605" ref="C1899"/>
    <hyperlink r:id="rId8606" ref="J1899"/>
    <hyperlink r:id="rId8607" ref="L1899"/>
    <hyperlink r:id="rId8608" ref="N1899"/>
    <hyperlink r:id="rId8609" ref="P1899"/>
    <hyperlink r:id="rId8610" ref="C1900"/>
    <hyperlink r:id="rId8611" ref="J1900"/>
    <hyperlink r:id="rId8612" ref="L1900"/>
    <hyperlink r:id="rId8613" ref="N1900"/>
    <hyperlink r:id="rId8614" ref="P1900"/>
    <hyperlink r:id="rId8615" ref="C1901"/>
    <hyperlink r:id="rId8616" ref="J1901"/>
    <hyperlink r:id="rId8617" ref="L1901"/>
    <hyperlink r:id="rId8618" ref="N1901"/>
    <hyperlink r:id="rId8619" ref="P1901"/>
    <hyperlink r:id="rId8620" ref="C1902"/>
    <hyperlink r:id="rId8621" ref="J1902"/>
    <hyperlink r:id="rId8622" ref="L1902"/>
    <hyperlink r:id="rId8623" ref="N1902"/>
    <hyperlink r:id="rId8624" ref="P1902"/>
    <hyperlink r:id="rId8625" ref="C1903"/>
    <hyperlink r:id="rId8626" ref="J1903"/>
    <hyperlink r:id="rId8627" ref="L1903"/>
    <hyperlink r:id="rId8628" ref="N1903"/>
    <hyperlink r:id="rId8629" ref="P1903"/>
    <hyperlink r:id="rId8630" ref="C1904"/>
    <hyperlink r:id="rId8631" ref="J1904"/>
    <hyperlink r:id="rId8632" ref="L1904"/>
    <hyperlink r:id="rId8633" ref="N1904"/>
    <hyperlink r:id="rId8634" ref="P1904"/>
    <hyperlink r:id="rId8635" ref="C1905"/>
    <hyperlink r:id="rId8636" ref="J1905"/>
    <hyperlink r:id="rId8637" ref="N1905"/>
    <hyperlink r:id="rId8638" ref="P1905"/>
    <hyperlink r:id="rId8639" ref="C1906"/>
    <hyperlink r:id="rId8640" ref="L1906"/>
    <hyperlink r:id="rId8641" ref="N1906"/>
    <hyperlink r:id="rId8642" ref="P1906"/>
    <hyperlink r:id="rId8643" ref="C1907"/>
    <hyperlink r:id="rId8644" ref="J1907"/>
    <hyperlink r:id="rId8645" ref="L1907"/>
    <hyperlink r:id="rId8646" ref="N1907"/>
    <hyperlink r:id="rId8647" ref="P1907"/>
    <hyperlink r:id="rId8648" ref="C1908"/>
    <hyperlink r:id="rId8649" ref="J1908"/>
    <hyperlink r:id="rId8650" ref="L1908"/>
    <hyperlink r:id="rId8651" ref="N1908"/>
    <hyperlink r:id="rId8652" ref="P1908"/>
    <hyperlink r:id="rId8653" ref="C1909"/>
    <hyperlink r:id="rId8654" ref="J1909"/>
    <hyperlink r:id="rId8655" ref="L1909"/>
    <hyperlink r:id="rId8656" ref="N1909"/>
    <hyperlink r:id="rId8657" ref="P1909"/>
    <hyperlink r:id="rId8658" ref="C1910"/>
    <hyperlink r:id="rId8659" ref="J1910"/>
    <hyperlink r:id="rId8660" ref="L1910"/>
    <hyperlink r:id="rId8661" ref="N1910"/>
    <hyperlink r:id="rId8662" ref="P1910"/>
    <hyperlink r:id="rId8663" ref="C1911"/>
    <hyperlink r:id="rId8664" ref="J1911"/>
    <hyperlink r:id="rId8665" ref="L1911"/>
    <hyperlink r:id="rId8666" ref="N1911"/>
    <hyperlink r:id="rId8667" ref="P1911"/>
    <hyperlink r:id="rId8668" ref="C1912"/>
    <hyperlink r:id="rId8669" ref="J1912"/>
    <hyperlink r:id="rId8670" ref="L1912"/>
    <hyperlink r:id="rId8671" ref="N1912"/>
    <hyperlink r:id="rId8672" ref="P1912"/>
    <hyperlink r:id="rId8673" ref="C1913"/>
    <hyperlink r:id="rId8674" ref="J1913"/>
    <hyperlink r:id="rId8675" ref="L1913"/>
    <hyperlink r:id="rId8676" ref="N1913"/>
    <hyperlink r:id="rId8677" ref="P1913"/>
    <hyperlink r:id="rId8678" ref="C1914"/>
    <hyperlink r:id="rId8679" ref="J1914"/>
    <hyperlink r:id="rId8680" ref="L1914"/>
    <hyperlink r:id="rId8681" ref="N1914"/>
    <hyperlink r:id="rId8682" ref="P1914"/>
    <hyperlink r:id="rId8683" ref="C1915"/>
    <hyperlink r:id="rId8684" ref="J1915"/>
    <hyperlink r:id="rId8685" ref="L1915"/>
    <hyperlink r:id="rId8686" ref="N1915"/>
    <hyperlink r:id="rId8687" ref="P1915"/>
    <hyperlink r:id="rId8688" ref="C1916"/>
    <hyperlink r:id="rId8689" ref="J1916"/>
    <hyperlink r:id="rId8690" ref="L1916"/>
    <hyperlink r:id="rId8691" ref="N1916"/>
    <hyperlink r:id="rId8692" ref="P1916"/>
    <hyperlink r:id="rId8693" ref="C1917"/>
    <hyperlink r:id="rId8694" ref="J1917"/>
    <hyperlink r:id="rId8695" ref="L1917"/>
    <hyperlink r:id="rId8696" ref="N1917"/>
    <hyperlink r:id="rId8697" ref="P1917"/>
    <hyperlink r:id="rId8698" ref="C1918"/>
    <hyperlink r:id="rId8699" ref="J1918"/>
    <hyperlink r:id="rId8700" ref="L1918"/>
    <hyperlink r:id="rId8701" ref="N1918"/>
    <hyperlink r:id="rId8702" ref="P1918"/>
    <hyperlink r:id="rId8703" ref="C1919"/>
    <hyperlink r:id="rId8704" ref="J1919"/>
    <hyperlink r:id="rId8705" ref="L1919"/>
    <hyperlink r:id="rId8706" ref="N1919"/>
    <hyperlink r:id="rId8707" ref="P1919"/>
    <hyperlink r:id="rId8708" ref="C1920"/>
    <hyperlink r:id="rId8709" ref="J1920"/>
    <hyperlink r:id="rId8710" ref="L1920"/>
    <hyperlink r:id="rId8711" ref="N1920"/>
    <hyperlink r:id="rId8712" ref="P1920"/>
    <hyperlink r:id="rId8713" ref="C1921"/>
    <hyperlink r:id="rId8714" ref="J1921"/>
    <hyperlink r:id="rId8715" ref="L1921"/>
    <hyperlink r:id="rId8716" ref="N1921"/>
    <hyperlink r:id="rId8717" ref="P1921"/>
    <hyperlink r:id="rId8718" ref="C1922"/>
    <hyperlink r:id="rId8719" ref="J1922"/>
    <hyperlink r:id="rId8720" ref="L1922"/>
    <hyperlink r:id="rId8721" ref="N1922"/>
    <hyperlink r:id="rId8722" ref="P1922"/>
    <hyperlink r:id="rId8723" ref="C1923"/>
    <hyperlink r:id="rId8724" ref="J1923"/>
    <hyperlink r:id="rId8725" ref="L1923"/>
    <hyperlink r:id="rId8726" ref="N1923"/>
    <hyperlink r:id="rId8727" ref="P1923"/>
    <hyperlink r:id="rId8728" ref="C1924"/>
    <hyperlink r:id="rId8729" ref="J1924"/>
    <hyperlink r:id="rId8730" ref="L1924"/>
    <hyperlink r:id="rId8731" ref="N1924"/>
    <hyperlink r:id="rId8732" ref="P1924"/>
    <hyperlink r:id="rId8733" ref="C1925"/>
    <hyperlink r:id="rId8734" ref="J1925"/>
    <hyperlink r:id="rId8735" ref="L1925"/>
    <hyperlink r:id="rId8736" ref="N1925"/>
    <hyperlink r:id="rId8737" ref="P1925"/>
    <hyperlink r:id="rId8738" ref="C1926"/>
    <hyperlink r:id="rId8739" ref="J1926"/>
    <hyperlink r:id="rId8740" ref="L1926"/>
    <hyperlink r:id="rId8741" ref="N1926"/>
    <hyperlink r:id="rId8742" ref="P1926"/>
    <hyperlink r:id="rId8743" ref="C1927"/>
    <hyperlink r:id="rId8744" ref="J1927"/>
    <hyperlink r:id="rId8745" ref="L1927"/>
    <hyperlink r:id="rId8746" ref="P1927"/>
    <hyperlink r:id="rId8747" ref="C1928"/>
    <hyperlink r:id="rId8748" ref="J1928"/>
    <hyperlink r:id="rId8749" ref="L1928"/>
    <hyperlink r:id="rId8750" ref="N1928"/>
    <hyperlink r:id="rId8751" ref="P1928"/>
    <hyperlink r:id="rId8752" ref="C1929"/>
    <hyperlink r:id="rId8753" ref="J1929"/>
    <hyperlink r:id="rId8754" ref="L1929"/>
    <hyperlink r:id="rId8755" ref="N1929"/>
    <hyperlink r:id="rId8756" ref="P1929"/>
    <hyperlink r:id="rId8757" ref="C1930"/>
    <hyperlink r:id="rId8758" ref="J1930"/>
    <hyperlink r:id="rId8759" ref="L1930"/>
    <hyperlink r:id="rId8760" ref="P1930"/>
    <hyperlink r:id="rId8761" ref="C1931"/>
    <hyperlink r:id="rId8762" ref="J1931"/>
    <hyperlink r:id="rId8763" ref="L1931"/>
    <hyperlink r:id="rId8764" ref="N1931"/>
    <hyperlink r:id="rId8765" ref="P1931"/>
    <hyperlink r:id="rId8766" ref="C1932"/>
    <hyperlink r:id="rId8767" ref="J1932"/>
    <hyperlink r:id="rId8768" ref="L1932"/>
    <hyperlink r:id="rId8769" ref="N1932"/>
    <hyperlink r:id="rId8770" ref="P1932"/>
    <hyperlink r:id="rId8771" ref="C1933"/>
    <hyperlink r:id="rId8772" ref="J1933"/>
    <hyperlink r:id="rId8773" ref="L1933"/>
    <hyperlink r:id="rId8774" ref="N1933"/>
    <hyperlink r:id="rId8775" ref="P1933"/>
    <hyperlink r:id="rId8776" ref="C1934"/>
    <hyperlink r:id="rId8777" ref="J1934"/>
    <hyperlink r:id="rId8778" ref="L1934"/>
    <hyperlink r:id="rId8779" ref="C1935"/>
    <hyperlink r:id="rId8780" ref="L1935"/>
    <hyperlink r:id="rId8781" ref="C1936"/>
    <hyperlink r:id="rId8782" ref="J1936"/>
    <hyperlink r:id="rId8783" ref="N1936"/>
    <hyperlink r:id="rId8784" ref="P1936"/>
    <hyperlink r:id="rId8785" ref="C1937"/>
    <hyperlink r:id="rId8786" ref="J1937"/>
    <hyperlink r:id="rId8787" ref="L1937"/>
    <hyperlink r:id="rId8788" ref="N1937"/>
    <hyperlink r:id="rId8789" ref="P1937"/>
    <hyperlink r:id="rId8790" ref="C1938"/>
    <hyperlink r:id="rId8791" ref="C1939"/>
    <hyperlink r:id="rId8792" ref="J1939"/>
    <hyperlink r:id="rId8793" ref="L1939"/>
    <hyperlink r:id="rId8794" ref="N1939"/>
    <hyperlink r:id="rId8795" ref="P1939"/>
    <hyperlink r:id="rId8796" ref="C1940"/>
    <hyperlink r:id="rId8797" ref="J1940"/>
    <hyperlink r:id="rId8798" ref="C1941"/>
    <hyperlink r:id="rId8799" ref="C1942"/>
    <hyperlink r:id="rId8800" ref="C1943"/>
    <hyperlink r:id="rId8801" ref="L1943"/>
    <hyperlink r:id="rId8802" ref="C1944"/>
    <hyperlink r:id="rId8803" ref="C1945"/>
    <hyperlink r:id="rId8804" ref="J1945"/>
    <hyperlink r:id="rId8805" ref="L1945"/>
    <hyperlink r:id="rId8806" ref="P1945"/>
    <hyperlink r:id="rId8807" ref="C1946"/>
    <hyperlink r:id="rId8808" ref="N1946"/>
    <hyperlink r:id="rId8809" ref="P1946"/>
    <hyperlink r:id="rId8810" ref="C1947"/>
    <hyperlink r:id="rId8811" ref="L1947"/>
    <hyperlink r:id="rId8812" ref="N1947"/>
    <hyperlink r:id="rId8813" ref="P1947"/>
    <hyperlink r:id="rId8814" ref="C1948"/>
    <hyperlink r:id="rId8815" ref="J1948"/>
    <hyperlink r:id="rId8816" ref="L1948"/>
    <hyperlink r:id="rId8817" ref="N1948"/>
    <hyperlink r:id="rId8818" ref="P1948"/>
    <hyperlink r:id="rId8819" ref="C1949"/>
    <hyperlink r:id="rId8820" ref="J1949"/>
    <hyperlink r:id="rId8821" ref="L1949"/>
    <hyperlink r:id="rId8822" ref="N1949"/>
    <hyperlink r:id="rId8823" ref="P1949"/>
    <hyperlink r:id="rId8824" ref="C1950"/>
    <hyperlink r:id="rId8825" ref="J1950"/>
    <hyperlink r:id="rId8826" ref="L1950"/>
    <hyperlink r:id="rId8827" ref="N1950"/>
    <hyperlink r:id="rId8828" ref="C1951"/>
    <hyperlink r:id="rId8829" ref="J1951"/>
    <hyperlink r:id="rId8830" ref="L1951"/>
    <hyperlink r:id="rId8831" ref="C1952"/>
    <hyperlink r:id="rId8832" ref="L1952"/>
    <hyperlink r:id="rId8833" ref="C1953"/>
    <hyperlink r:id="rId8834" ref="L1953"/>
    <hyperlink r:id="rId8835" ref="C1954"/>
    <hyperlink r:id="rId8836" ref="J1954"/>
    <hyperlink r:id="rId8837" ref="L1954"/>
    <hyperlink r:id="rId8838" ref="N1954"/>
    <hyperlink r:id="rId8839" ref="P1954"/>
    <hyperlink r:id="rId8840" ref="C1955"/>
    <hyperlink r:id="rId8841" ref="J1955"/>
    <hyperlink r:id="rId8842" ref="L1955"/>
    <hyperlink r:id="rId8843" ref="N1955"/>
    <hyperlink r:id="rId8844" ref="P1955"/>
    <hyperlink r:id="rId8845" ref="C1956"/>
    <hyperlink r:id="rId8846" ref="J1956"/>
    <hyperlink r:id="rId8847" ref="L1956"/>
    <hyperlink r:id="rId8848" ref="N1956"/>
    <hyperlink r:id="rId8849" ref="P1956"/>
    <hyperlink r:id="rId8850" ref="C1957"/>
    <hyperlink r:id="rId8851" ref="J1957"/>
    <hyperlink r:id="rId8852" ref="L1957"/>
    <hyperlink r:id="rId8853" ref="N1957"/>
    <hyperlink r:id="rId8854" ref="P1957"/>
    <hyperlink r:id="rId8855" ref="C1958"/>
    <hyperlink r:id="rId8856" ref="L1958"/>
    <hyperlink r:id="rId8857" ref="P1958"/>
    <hyperlink r:id="rId8858" ref="C1959"/>
    <hyperlink r:id="rId8859" ref="N1959"/>
    <hyperlink r:id="rId8860" ref="C1960"/>
    <hyperlink r:id="rId8861" ref="J1960"/>
    <hyperlink r:id="rId8862" ref="C1961"/>
    <hyperlink r:id="rId8863" ref="J1961"/>
    <hyperlink r:id="rId8864" ref="C1962"/>
    <hyperlink r:id="rId8865" ref="L1962"/>
    <hyperlink r:id="rId8866" ref="C1963"/>
    <hyperlink r:id="rId8867" ref="N1963"/>
    <hyperlink r:id="rId8868" ref="C1964"/>
    <hyperlink r:id="rId8869" ref="L1964"/>
    <hyperlink r:id="rId8870" ref="P1964"/>
    <hyperlink r:id="rId8871" ref="C1965"/>
    <hyperlink r:id="rId8872" ref="L1965"/>
    <hyperlink r:id="rId8873" ref="C1966"/>
    <hyperlink r:id="rId8874" ref="J1966"/>
    <hyperlink r:id="rId8875" ref="L1966"/>
    <hyperlink r:id="rId8876" ref="N1966"/>
    <hyperlink r:id="rId8877" ref="P1966"/>
    <hyperlink r:id="rId8878" ref="C1967"/>
    <hyperlink r:id="rId8879" ref="J1967"/>
    <hyperlink r:id="rId8880" ref="L1967"/>
    <hyperlink r:id="rId8881" ref="N1967"/>
    <hyperlink r:id="rId8882" ref="P1967"/>
    <hyperlink r:id="rId8883" ref="C1968"/>
    <hyperlink r:id="rId8884" ref="J1968"/>
    <hyperlink r:id="rId8885" ref="L1968"/>
    <hyperlink r:id="rId8886" ref="N1968"/>
    <hyperlink r:id="rId8887" ref="P1968"/>
    <hyperlink r:id="rId8888" ref="C1969"/>
    <hyperlink r:id="rId8889" ref="P1969"/>
    <hyperlink r:id="rId8890" ref="C1970"/>
    <hyperlink r:id="rId8891" ref="L1970"/>
    <hyperlink r:id="rId8892" ref="C1971"/>
    <hyperlink r:id="rId8893" ref="L1971"/>
    <hyperlink r:id="rId8894" ref="C1972"/>
    <hyperlink r:id="rId8895" ref="C1973"/>
    <hyperlink r:id="rId8896" ref="L1973"/>
    <hyperlink r:id="rId8897" ref="C1974"/>
    <hyperlink r:id="rId8898" ref="L1974"/>
    <hyperlink r:id="rId8899" ref="C1975"/>
    <hyperlink r:id="rId8900" ref="J1975"/>
    <hyperlink r:id="rId8901" ref="L1975"/>
    <hyperlink r:id="rId8902" ref="C1976"/>
    <hyperlink r:id="rId8903" ref="L1976"/>
    <hyperlink r:id="rId8904" ref="N1976"/>
    <hyperlink r:id="rId8905" ref="P1976"/>
    <hyperlink r:id="rId8906" ref="C1977"/>
    <hyperlink r:id="rId8907" ref="J1977"/>
    <hyperlink r:id="rId8908" ref="L1977"/>
    <hyperlink r:id="rId8909" ref="N1977"/>
    <hyperlink r:id="rId8910" ref="P1977"/>
    <hyperlink r:id="rId8911" ref="C1978"/>
    <hyperlink r:id="rId8912" ref="J1978"/>
    <hyperlink r:id="rId8913" ref="L1978"/>
    <hyperlink r:id="rId8914" ref="N1978"/>
    <hyperlink r:id="rId8915" ref="P1978"/>
    <hyperlink r:id="rId8916" ref="C1979"/>
    <hyperlink r:id="rId8917" ref="N1979"/>
    <hyperlink r:id="rId8918" ref="P1979"/>
    <hyperlink r:id="rId8919" ref="C1980"/>
    <hyperlink r:id="rId8920" ref="J1980"/>
    <hyperlink r:id="rId8921" ref="L1980"/>
    <hyperlink r:id="rId8922" ref="N1980"/>
    <hyperlink r:id="rId8923" ref="P1980"/>
    <hyperlink r:id="rId8924" ref="C1981"/>
    <hyperlink r:id="rId8925" ref="J1981"/>
    <hyperlink r:id="rId8926" ref="L1981"/>
    <hyperlink r:id="rId8927" ref="N1981"/>
    <hyperlink r:id="rId8928" ref="P1981"/>
    <hyperlink r:id="rId8929" ref="C1982"/>
    <hyperlink r:id="rId8930" ref="J1982"/>
    <hyperlink r:id="rId8931" ref="N1982"/>
    <hyperlink r:id="rId8932" ref="P1982"/>
    <hyperlink r:id="rId8933" ref="C1983"/>
    <hyperlink r:id="rId8934" ref="L1983"/>
    <hyperlink r:id="rId8935" ref="N1983"/>
    <hyperlink r:id="rId8936" ref="P1983"/>
    <hyperlink r:id="rId8937" ref="C1984"/>
    <hyperlink r:id="rId8938" ref="L1984"/>
    <hyperlink r:id="rId8939" ref="N1984"/>
    <hyperlink r:id="rId8940" ref="P1984"/>
    <hyperlink r:id="rId8941" ref="C1985"/>
    <hyperlink r:id="rId8942" ref="L1985"/>
    <hyperlink r:id="rId8943" ref="N1985"/>
    <hyperlink r:id="rId8944" ref="P1985"/>
    <hyperlink r:id="rId8945" ref="C1986"/>
    <hyperlink r:id="rId8946" ref="L1986"/>
    <hyperlink r:id="rId8947" ref="C1987"/>
    <hyperlink r:id="rId8948" ref="L1987"/>
    <hyperlink r:id="rId8949" ref="N1987"/>
    <hyperlink r:id="rId8950" ref="P1987"/>
    <hyperlink r:id="rId8951" ref="C1988"/>
    <hyperlink r:id="rId8952" ref="J1988"/>
    <hyperlink r:id="rId8953" ref="L1988"/>
    <hyperlink r:id="rId8954" ref="N1988"/>
    <hyperlink r:id="rId8955" ref="C1989"/>
    <hyperlink r:id="rId8956" ref="J1989"/>
    <hyperlink r:id="rId8957" ref="L1989"/>
    <hyperlink r:id="rId8958" ref="N1989"/>
    <hyperlink r:id="rId8959" ref="C1990"/>
    <hyperlink r:id="rId8960" ref="J1990"/>
    <hyperlink r:id="rId8961" ref="L1990"/>
    <hyperlink r:id="rId8962" ref="N1990"/>
    <hyperlink r:id="rId8963" ref="C1991"/>
    <hyperlink r:id="rId8964" ref="J1991"/>
    <hyperlink r:id="rId8965" ref="L1991"/>
    <hyperlink r:id="rId8966" ref="N1991"/>
    <hyperlink r:id="rId8967" ref="C1992"/>
    <hyperlink r:id="rId8968" ref="J1992"/>
    <hyperlink r:id="rId8969" ref="L1992"/>
    <hyperlink r:id="rId8970" ref="N1992"/>
    <hyperlink r:id="rId8971" ref="P1992"/>
    <hyperlink r:id="rId8972" ref="C1993"/>
    <hyperlink r:id="rId8973" ref="J1993"/>
    <hyperlink r:id="rId8974" ref="L1993"/>
    <hyperlink r:id="rId8975" ref="N1993"/>
    <hyperlink r:id="rId8976" ref="P1993"/>
    <hyperlink r:id="rId8977" ref="C1994"/>
    <hyperlink r:id="rId8978" ref="J1994"/>
    <hyperlink r:id="rId8979" ref="L1994"/>
    <hyperlink r:id="rId8980" ref="N1994"/>
    <hyperlink r:id="rId8981" ref="P1994"/>
    <hyperlink r:id="rId8982" ref="C1995"/>
    <hyperlink r:id="rId8983" ref="J1995"/>
    <hyperlink r:id="rId8984" ref="L1995"/>
    <hyperlink r:id="rId8985" ref="N1995"/>
    <hyperlink r:id="rId8986" ref="C1996"/>
    <hyperlink r:id="rId8987" ref="L1996"/>
    <hyperlink r:id="rId8988" ref="P1996"/>
    <hyperlink r:id="rId8989" ref="C1997"/>
    <hyperlink r:id="rId8990" ref="J1997"/>
    <hyperlink r:id="rId8991" ref="L1997"/>
    <hyperlink r:id="rId8992" ref="P1997"/>
    <hyperlink r:id="rId8993" ref="C1998"/>
    <hyperlink r:id="rId8994" ref="J1998"/>
    <hyperlink r:id="rId8995" ref="L1998"/>
    <hyperlink r:id="rId8996" ref="N1998"/>
    <hyperlink r:id="rId8997" ref="P1998"/>
    <hyperlink r:id="rId8998" ref="C1999"/>
    <hyperlink r:id="rId8999" ref="J1999"/>
    <hyperlink r:id="rId9000" ref="L1999"/>
    <hyperlink r:id="rId9001" ref="N1999"/>
    <hyperlink r:id="rId9002" ref="P1999"/>
    <hyperlink r:id="rId9003" ref="B2000"/>
    <hyperlink r:id="rId9004" ref="C2000"/>
    <hyperlink r:id="rId9005" ref="J2000"/>
    <hyperlink r:id="rId9006" ref="L2000"/>
    <hyperlink r:id="rId9007" ref="N2000"/>
    <hyperlink r:id="rId9008" ref="P2000"/>
    <hyperlink r:id="rId9009" ref="C2001"/>
    <hyperlink r:id="rId9010" ref="J2001"/>
    <hyperlink r:id="rId9011" ref="L2001"/>
    <hyperlink r:id="rId9012" ref="N2001"/>
    <hyperlink r:id="rId9013" ref="P2001"/>
    <hyperlink r:id="rId9014" ref="C2002"/>
    <hyperlink r:id="rId9015" ref="J2002"/>
    <hyperlink r:id="rId9016" ref="L2002"/>
    <hyperlink r:id="rId9017" ref="N2002"/>
    <hyperlink r:id="rId9018" ref="P2002"/>
    <hyperlink r:id="rId9019" ref="C2003"/>
    <hyperlink r:id="rId9020" ref="J2003"/>
    <hyperlink r:id="rId9021" ref="L2003"/>
    <hyperlink r:id="rId9022" ref="N2003"/>
    <hyperlink r:id="rId9023" ref="P2003"/>
    <hyperlink r:id="rId9024" ref="C2004"/>
    <hyperlink r:id="rId9025" ref="J2004"/>
    <hyperlink r:id="rId9026" ref="L2004"/>
    <hyperlink r:id="rId9027" ref="N2004"/>
    <hyperlink r:id="rId9028" ref="P2004"/>
    <hyperlink r:id="rId9029" ref="C2005"/>
    <hyperlink r:id="rId9030" ref="J2005"/>
    <hyperlink r:id="rId9031" ref="L2005"/>
    <hyperlink r:id="rId9032" ref="N2005"/>
    <hyperlink r:id="rId9033" ref="P2005"/>
    <hyperlink r:id="rId9034" ref="C2006"/>
    <hyperlink r:id="rId9035" ref="J2006"/>
    <hyperlink r:id="rId9036" ref="L2006"/>
    <hyperlink r:id="rId9037" ref="N2006"/>
    <hyperlink r:id="rId9038" ref="P2006"/>
    <hyperlink r:id="rId9039" ref="C2007"/>
    <hyperlink r:id="rId9040" ref="J2007"/>
    <hyperlink r:id="rId9041" ref="L2007"/>
    <hyperlink r:id="rId9042" ref="N2007"/>
    <hyperlink r:id="rId9043" ref="P2007"/>
    <hyperlink r:id="rId9044" ref="C2008"/>
    <hyperlink r:id="rId9045" ref="J2008"/>
    <hyperlink r:id="rId9046" ref="N2008"/>
    <hyperlink r:id="rId9047" ref="P2008"/>
    <hyperlink r:id="rId9048" ref="C2009"/>
    <hyperlink r:id="rId9049" ref="J2009"/>
    <hyperlink r:id="rId9050" ref="L2009"/>
    <hyperlink r:id="rId9051" ref="N2009"/>
    <hyperlink r:id="rId9052" ref="P2009"/>
    <hyperlink r:id="rId9053" ref="C2010"/>
    <hyperlink r:id="rId9054" ref="J2010"/>
    <hyperlink r:id="rId9055" ref="L2010"/>
    <hyperlink r:id="rId9056" ref="C2011"/>
    <hyperlink r:id="rId9057" ref="J2011"/>
    <hyperlink r:id="rId9058" ref="C2012"/>
    <hyperlink r:id="rId9059" ref="J2012"/>
    <hyperlink r:id="rId9060" ref="L2012"/>
    <hyperlink r:id="rId9061" ref="C2013"/>
    <hyperlink r:id="rId9062" ref="J2013"/>
    <hyperlink r:id="rId9063" ref="L2013"/>
    <hyperlink r:id="rId9064" ref="N2013"/>
    <hyperlink r:id="rId9065" ref="P2013"/>
    <hyperlink r:id="rId9066" ref="C2014"/>
    <hyperlink r:id="rId9067" ref="J2014"/>
    <hyperlink r:id="rId9068" ref="L2014"/>
    <hyperlink r:id="rId9069" ref="N2014"/>
    <hyperlink r:id="rId9070" ref="P2014"/>
    <hyperlink r:id="rId9071" ref="C2015"/>
    <hyperlink r:id="rId9072" ref="J2015"/>
    <hyperlink r:id="rId9073" ref="L2015"/>
    <hyperlink r:id="rId9074" ref="N2015"/>
    <hyperlink r:id="rId9075" ref="C2016"/>
    <hyperlink r:id="rId9076" ref="J2016"/>
    <hyperlink r:id="rId9077" ref="L2016"/>
    <hyperlink r:id="rId9078" ref="C2017"/>
    <hyperlink r:id="rId9079" ref="J2017"/>
    <hyperlink r:id="rId9080" ref="P2017"/>
    <hyperlink r:id="rId9081" ref="C2018"/>
    <hyperlink r:id="rId9082" ref="J2018"/>
    <hyperlink r:id="rId9083" ref="L2018"/>
    <hyperlink r:id="rId9084" ref="N2018"/>
    <hyperlink r:id="rId9085" ref="C2019"/>
    <hyperlink r:id="rId9086" ref="J2019"/>
    <hyperlink r:id="rId9087" ref="L2019"/>
    <hyperlink r:id="rId9088" ref="C2020"/>
    <hyperlink r:id="rId9089" ref="J2020"/>
    <hyperlink r:id="rId9090" ref="L2020"/>
    <hyperlink r:id="rId9091" ref="C2021"/>
    <hyperlink r:id="rId9092" ref="J2021"/>
    <hyperlink r:id="rId9093" ref="L2021"/>
    <hyperlink r:id="rId9094" ref="N2021"/>
    <hyperlink r:id="rId9095" ref="C2022"/>
    <hyperlink r:id="rId9096" ref="J2022"/>
    <hyperlink r:id="rId9097" ref="L2022"/>
    <hyperlink r:id="rId9098" ref="C2023"/>
    <hyperlink r:id="rId9099" ref="C2024"/>
    <hyperlink r:id="rId9100" ref="J2024"/>
    <hyperlink r:id="rId9101" ref="L2024"/>
    <hyperlink r:id="rId9102" ref="N2024"/>
    <hyperlink r:id="rId9103" ref="P2024"/>
    <hyperlink r:id="rId9104" ref="B2025"/>
    <hyperlink r:id="rId9105" ref="C2025"/>
    <hyperlink r:id="rId9106" ref="J2025"/>
    <hyperlink r:id="rId9107" ref="L2025"/>
    <hyperlink r:id="rId9108" ref="N2025"/>
    <hyperlink r:id="rId9109" ref="P2025"/>
    <hyperlink r:id="rId9110" ref="C2026"/>
    <hyperlink r:id="rId9111" ref="L2026"/>
    <hyperlink r:id="rId9112" ref="N2026"/>
    <hyperlink r:id="rId9113" ref="C2027"/>
    <hyperlink r:id="rId9114" ref="J2027"/>
    <hyperlink r:id="rId9115" ref="L2027"/>
    <hyperlink r:id="rId9116" ref="N2027"/>
    <hyperlink r:id="rId9117" ref="P2027"/>
    <hyperlink r:id="rId9118" ref="C2028"/>
    <hyperlink r:id="rId9119" ref="J2028"/>
    <hyperlink r:id="rId9120" ref="L2028"/>
    <hyperlink r:id="rId9121" ref="N2028"/>
    <hyperlink r:id="rId9122" ref="P2028"/>
    <hyperlink r:id="rId9123" ref="C2029"/>
    <hyperlink r:id="rId9124" ref="J2029"/>
    <hyperlink r:id="rId9125" ref="L2029"/>
    <hyperlink r:id="rId9126" ref="N2029"/>
    <hyperlink r:id="rId9127" ref="P2029"/>
    <hyperlink r:id="rId9128" ref="C2030"/>
    <hyperlink r:id="rId9129" ref="J2030"/>
    <hyperlink r:id="rId9130" ref="L2030"/>
    <hyperlink r:id="rId9131" ref="N2030"/>
    <hyperlink r:id="rId9132" ref="P2030"/>
    <hyperlink r:id="rId9133" ref="C2031"/>
    <hyperlink r:id="rId9134" ref="L2031"/>
    <hyperlink r:id="rId9135" ref="N2031"/>
    <hyperlink r:id="rId9136" ref="P2031"/>
    <hyperlink r:id="rId9137" ref="C2032"/>
    <hyperlink r:id="rId9138" ref="J2032"/>
    <hyperlink r:id="rId9139" ref="L2032"/>
    <hyperlink r:id="rId9140" ref="N2032"/>
    <hyperlink r:id="rId9141" ref="P2032"/>
    <hyperlink r:id="rId9142" ref="C2033"/>
    <hyperlink r:id="rId9143" ref="J2033"/>
    <hyperlink r:id="rId9144" ref="L2033"/>
    <hyperlink r:id="rId9145" ref="N2033"/>
    <hyperlink r:id="rId9146" ref="P2033"/>
    <hyperlink r:id="rId9147" ref="C2034"/>
    <hyperlink r:id="rId9148" ref="J2034"/>
    <hyperlink r:id="rId9149" ref="L2034"/>
    <hyperlink r:id="rId9150" ref="N2034"/>
    <hyperlink r:id="rId9151" ref="P2034"/>
    <hyperlink r:id="rId9152" ref="C2035"/>
    <hyperlink r:id="rId9153" ref="J2035"/>
    <hyperlink r:id="rId9154" ref="L2035"/>
    <hyperlink r:id="rId9155" ref="N2035"/>
    <hyperlink r:id="rId9156" ref="P2035"/>
    <hyperlink r:id="rId9157" ref="C2036"/>
    <hyperlink r:id="rId9158" ref="C2037"/>
    <hyperlink r:id="rId9159" ref="C2038"/>
    <hyperlink r:id="rId9160" ref="J2038"/>
    <hyperlink r:id="rId9161" ref="C2039"/>
    <hyperlink r:id="rId9162" ref="C2040"/>
    <hyperlink r:id="rId9163" ref="C2041"/>
    <hyperlink r:id="rId9164" ref="C2042"/>
    <hyperlink r:id="rId9165" ref="C2043"/>
    <hyperlink r:id="rId9166" ref="C2044"/>
    <hyperlink r:id="rId9167" ref="J2044"/>
    <hyperlink r:id="rId9168" ref="C2045"/>
    <hyperlink r:id="rId9169" ref="J2045"/>
    <hyperlink r:id="rId9170" ref="C2046"/>
    <hyperlink r:id="rId9171" ref="J2046"/>
    <hyperlink r:id="rId9172" ref="C2047"/>
    <hyperlink r:id="rId9173" ref="J2047"/>
    <hyperlink r:id="rId9174" ref="C2048"/>
    <hyperlink r:id="rId9175" ref="J2048"/>
    <hyperlink r:id="rId9176" ref="C2049"/>
    <hyperlink r:id="rId9177" ref="C2050"/>
    <hyperlink r:id="rId9178" ref="C2051"/>
    <hyperlink r:id="rId9179" ref="J2051"/>
    <hyperlink r:id="rId9180" ref="L2051"/>
    <hyperlink r:id="rId9181" ref="N2051"/>
    <hyperlink r:id="rId9182" ref="P2051"/>
    <hyperlink r:id="rId9183" ref="C2052"/>
    <hyperlink r:id="rId9184" ref="J2052"/>
    <hyperlink r:id="rId9185" ref="L2052"/>
    <hyperlink r:id="rId9186" ref="N2052"/>
    <hyperlink r:id="rId9187" ref="P2052"/>
    <hyperlink r:id="rId9188" ref="C2053"/>
    <hyperlink r:id="rId9189" ref="J2053"/>
    <hyperlink r:id="rId9190" ref="L2053"/>
    <hyperlink r:id="rId9191" ref="N2053"/>
    <hyperlink r:id="rId9192" ref="P2053"/>
    <hyperlink r:id="rId9193" ref="C2054"/>
    <hyperlink r:id="rId9194" ref="J2054"/>
    <hyperlink r:id="rId9195" ref="L2054"/>
    <hyperlink r:id="rId9196" ref="N2054"/>
    <hyperlink r:id="rId9197" ref="P2054"/>
    <hyperlink r:id="rId9198" ref="C2055"/>
    <hyperlink r:id="rId9199" ref="J2055"/>
    <hyperlink r:id="rId9200" ref="L2055"/>
    <hyperlink r:id="rId9201" ref="N2055"/>
    <hyperlink r:id="rId9202" ref="P2055"/>
    <hyperlink r:id="rId9203" ref="C2056"/>
    <hyperlink r:id="rId9204" ref="J2056"/>
    <hyperlink r:id="rId9205" ref="L2056"/>
    <hyperlink r:id="rId9206" ref="N2056"/>
    <hyperlink r:id="rId9207" ref="P2056"/>
    <hyperlink r:id="rId9208" ref="C2057"/>
    <hyperlink r:id="rId9209" ref="J2057"/>
    <hyperlink r:id="rId9210" ref="L2057"/>
    <hyperlink r:id="rId9211" ref="N2057"/>
    <hyperlink r:id="rId9212" ref="P2057"/>
    <hyperlink r:id="rId9213" ref="C2058"/>
    <hyperlink r:id="rId9214" ref="J2058"/>
    <hyperlink r:id="rId9215" ref="L2058"/>
    <hyperlink r:id="rId9216" ref="N2058"/>
    <hyperlink r:id="rId9217" ref="P2058"/>
    <hyperlink r:id="rId9218" ref="C2059"/>
    <hyperlink r:id="rId9219" ref="J2059"/>
    <hyperlink r:id="rId9220" ref="L2059"/>
    <hyperlink r:id="rId9221" ref="N2059"/>
    <hyperlink r:id="rId9222" ref="P2059"/>
    <hyperlink r:id="rId9223" ref="C2060"/>
    <hyperlink r:id="rId9224" ref="J2060"/>
    <hyperlink r:id="rId9225" ref="L2060"/>
    <hyperlink r:id="rId9226" ref="N2060"/>
    <hyperlink r:id="rId9227" ref="P2060"/>
    <hyperlink r:id="rId9228" ref="C2061"/>
    <hyperlink r:id="rId9229" ref="J2061"/>
    <hyperlink r:id="rId9230" ref="L2061"/>
    <hyperlink r:id="rId9231" ref="N2061"/>
    <hyperlink r:id="rId9232" ref="P2061"/>
    <hyperlink r:id="rId9233" ref="C2062"/>
    <hyperlink r:id="rId9234" ref="J2062"/>
    <hyperlink r:id="rId9235" ref="L2062"/>
    <hyperlink r:id="rId9236" ref="N2062"/>
    <hyperlink r:id="rId9237" ref="P2062"/>
    <hyperlink r:id="rId9238" ref="C2063"/>
    <hyperlink r:id="rId9239" ref="J2063"/>
    <hyperlink r:id="rId9240" ref="L2063"/>
    <hyperlink r:id="rId9241" ref="N2063"/>
    <hyperlink r:id="rId9242" ref="P2063"/>
    <hyperlink r:id="rId9243" ref="C2064"/>
    <hyperlink r:id="rId9244" ref="J2064"/>
    <hyperlink r:id="rId9245" ref="L2064"/>
    <hyperlink r:id="rId9246" ref="N2064"/>
    <hyperlink r:id="rId9247" ref="P2064"/>
    <hyperlink r:id="rId9248" ref="C2065"/>
    <hyperlink r:id="rId9249" ref="J2065"/>
    <hyperlink r:id="rId9250" ref="L2065"/>
    <hyperlink r:id="rId9251" ref="N2065"/>
    <hyperlink r:id="rId9252" ref="P2065"/>
    <hyperlink r:id="rId9253" ref="C2066"/>
    <hyperlink r:id="rId9254" ref="J2066"/>
    <hyperlink r:id="rId9255" ref="L2066"/>
    <hyperlink r:id="rId9256" ref="N2066"/>
    <hyperlink r:id="rId9257" ref="P2066"/>
    <hyperlink r:id="rId9258" ref="C2067"/>
    <hyperlink r:id="rId9259" ref="J2067"/>
    <hyperlink r:id="rId9260" ref="L2067"/>
    <hyperlink r:id="rId9261" ref="N2067"/>
    <hyperlink r:id="rId9262" ref="P2067"/>
    <hyperlink r:id="rId9263" ref="C2068"/>
    <hyperlink r:id="rId9264" ref="J2068"/>
    <hyperlink r:id="rId9265" ref="L2068"/>
    <hyperlink r:id="rId9266" ref="N2068"/>
    <hyperlink r:id="rId9267" ref="P2068"/>
    <hyperlink r:id="rId9268" ref="C2069"/>
    <hyperlink r:id="rId9269" ref="J2069"/>
    <hyperlink r:id="rId9270" ref="L2069"/>
    <hyperlink r:id="rId9271" ref="N2069"/>
    <hyperlink r:id="rId9272" ref="P2069"/>
    <hyperlink r:id="rId9273" ref="C2070"/>
    <hyperlink r:id="rId9274" ref="J2070"/>
    <hyperlink r:id="rId9275" ref="L2070"/>
    <hyperlink r:id="rId9276" ref="N2070"/>
    <hyperlink r:id="rId9277" ref="P2070"/>
    <hyperlink r:id="rId9278" ref="C2071"/>
    <hyperlink r:id="rId9279" ref="J2071"/>
    <hyperlink r:id="rId9280" ref="L2071"/>
    <hyperlink r:id="rId9281" ref="N2071"/>
    <hyperlink r:id="rId9282" ref="P2071"/>
    <hyperlink r:id="rId9283" ref="C2072"/>
    <hyperlink r:id="rId9284" ref="J2072"/>
    <hyperlink r:id="rId9285" ref="L2072"/>
    <hyperlink r:id="rId9286" ref="N2072"/>
    <hyperlink r:id="rId9287" ref="P2072"/>
    <hyperlink r:id="rId9288" ref="C2073"/>
    <hyperlink r:id="rId9289" ref="J2073"/>
    <hyperlink r:id="rId9290" ref="L2073"/>
    <hyperlink r:id="rId9291" ref="N2073"/>
    <hyperlink r:id="rId9292" ref="P2073"/>
    <hyperlink r:id="rId9293" ref="C2074"/>
    <hyperlink r:id="rId9294" ref="J2074"/>
    <hyperlink r:id="rId9295" ref="L2074"/>
    <hyperlink r:id="rId9296" ref="N2074"/>
    <hyperlink r:id="rId9297" ref="P2074"/>
    <hyperlink r:id="rId9298" ref="C2075"/>
    <hyperlink r:id="rId9299" ref="J2075"/>
    <hyperlink r:id="rId9300" ref="L2075"/>
    <hyperlink r:id="rId9301" ref="N2075"/>
    <hyperlink r:id="rId9302" ref="P2075"/>
    <hyperlink r:id="rId9303" ref="C2076"/>
    <hyperlink r:id="rId9304" ref="J2076"/>
    <hyperlink r:id="rId9305" ref="L2076"/>
    <hyperlink r:id="rId9306" ref="N2076"/>
    <hyperlink r:id="rId9307" ref="P2076"/>
    <hyperlink r:id="rId9308" ref="C2077"/>
    <hyperlink r:id="rId9309" ref="J2077"/>
    <hyperlink r:id="rId9310" ref="L2077"/>
    <hyperlink r:id="rId9311" ref="N2077"/>
    <hyperlink r:id="rId9312" ref="P2077"/>
    <hyperlink r:id="rId9313" ref="C2078"/>
    <hyperlink r:id="rId9314" ref="J2078"/>
    <hyperlink r:id="rId9315" ref="L2078"/>
    <hyperlink r:id="rId9316" ref="N2078"/>
    <hyperlink r:id="rId9317" ref="P2078"/>
    <hyperlink r:id="rId9318" ref="C2079"/>
    <hyperlink r:id="rId9319" ref="J2079"/>
    <hyperlink r:id="rId9320" ref="L2079"/>
    <hyperlink r:id="rId9321" ref="N2079"/>
    <hyperlink r:id="rId9322" ref="P2079"/>
    <hyperlink r:id="rId9323" ref="C2080"/>
    <hyperlink r:id="rId9324" ref="J2080"/>
    <hyperlink r:id="rId9325" ref="L2080"/>
    <hyperlink r:id="rId9326" ref="N2080"/>
    <hyperlink r:id="rId9327" ref="P2080"/>
    <hyperlink r:id="rId9328" ref="C2081"/>
    <hyperlink r:id="rId9329" ref="J2081"/>
    <hyperlink r:id="rId9330" ref="L2081"/>
    <hyperlink r:id="rId9331" ref="N2081"/>
    <hyperlink r:id="rId9332" ref="P2081"/>
    <hyperlink r:id="rId9333" ref="C2082"/>
    <hyperlink r:id="rId9334" ref="J2082"/>
    <hyperlink r:id="rId9335" ref="L2082"/>
    <hyperlink r:id="rId9336" ref="N2082"/>
    <hyperlink r:id="rId9337" ref="P2082"/>
    <hyperlink r:id="rId9338" ref="C2083"/>
    <hyperlink r:id="rId9339" ref="J2083"/>
    <hyperlink r:id="rId9340" ref="L2083"/>
    <hyperlink r:id="rId9341" ref="N2083"/>
    <hyperlink r:id="rId9342" ref="P2083"/>
    <hyperlink r:id="rId9343" ref="C2084"/>
    <hyperlink r:id="rId9344" ref="J2084"/>
    <hyperlink r:id="rId9345" ref="L2084"/>
    <hyperlink r:id="rId9346" ref="N2084"/>
    <hyperlink r:id="rId9347" ref="P2084"/>
    <hyperlink r:id="rId9348" ref="C2085"/>
    <hyperlink r:id="rId9349" ref="J2085"/>
    <hyperlink r:id="rId9350" ref="L2085"/>
    <hyperlink r:id="rId9351" ref="N2085"/>
    <hyperlink r:id="rId9352" ref="P2085"/>
    <hyperlink r:id="rId9353" ref="C2086"/>
    <hyperlink r:id="rId9354" ref="J2086"/>
    <hyperlink r:id="rId9355" ref="L2086"/>
    <hyperlink r:id="rId9356" ref="N2086"/>
    <hyperlink r:id="rId9357" ref="P2086"/>
    <hyperlink r:id="rId9358" ref="C2087"/>
    <hyperlink r:id="rId9359" ref="J2087"/>
    <hyperlink r:id="rId9360" ref="L2087"/>
    <hyperlink r:id="rId9361" ref="N2087"/>
    <hyperlink r:id="rId9362" ref="P2087"/>
    <hyperlink r:id="rId9363" ref="C2088"/>
    <hyperlink r:id="rId9364" ref="C2089"/>
    <hyperlink r:id="rId9365" ref="C2090"/>
    <hyperlink r:id="rId9366" ref="C2091"/>
    <hyperlink r:id="rId9367" ref="C2092"/>
    <hyperlink r:id="rId9368" ref="C2093"/>
    <hyperlink r:id="rId9369" ref="J2093"/>
    <hyperlink r:id="rId9370" ref="C2094"/>
    <hyperlink r:id="rId9371" ref="C2095"/>
    <hyperlink r:id="rId9372" ref="C2096"/>
    <hyperlink r:id="rId9373" ref="C2097"/>
    <hyperlink r:id="rId9374" ref="C2098"/>
    <hyperlink r:id="rId9375" ref="C2099"/>
    <hyperlink r:id="rId9376" ref="C2100"/>
    <hyperlink r:id="rId9377" ref="C2101"/>
    <hyperlink r:id="rId9378" ref="C2102"/>
    <hyperlink r:id="rId9379" ref="C2103"/>
    <hyperlink r:id="rId9380" ref="C2104"/>
    <hyperlink r:id="rId9381" ref="C2105"/>
    <hyperlink r:id="rId9382" ref="C2106"/>
    <hyperlink r:id="rId9383" ref="C2107"/>
    <hyperlink r:id="rId9384" ref="C2108"/>
    <hyperlink r:id="rId9385" ref="C2109"/>
    <hyperlink r:id="rId9386" ref="C2110"/>
    <hyperlink r:id="rId9387" ref="C2111"/>
    <hyperlink r:id="rId9388" ref="C2112"/>
    <hyperlink r:id="rId9389" ref="C2113"/>
    <hyperlink r:id="rId9390" ref="C2114"/>
    <hyperlink r:id="rId9391" ref="C2115"/>
    <hyperlink r:id="rId9392" ref="C2116"/>
    <hyperlink r:id="rId9393" ref="C2117"/>
    <hyperlink r:id="rId9394" ref="J2117"/>
    <hyperlink r:id="rId9395" ref="L2117"/>
    <hyperlink r:id="rId9396" ref="N2117"/>
    <hyperlink r:id="rId9397" ref="P2117"/>
    <hyperlink r:id="rId9398" ref="C2118"/>
    <hyperlink r:id="rId9399" ref="J2118"/>
    <hyperlink r:id="rId9400" ref="L2118"/>
    <hyperlink r:id="rId9401" ref="N2118"/>
    <hyperlink r:id="rId9402" ref="P2118"/>
    <hyperlink r:id="rId9403" ref="C2119"/>
    <hyperlink r:id="rId9404" ref="J2119"/>
    <hyperlink r:id="rId9405" ref="L2119"/>
    <hyperlink r:id="rId9406" ref="N2119"/>
    <hyperlink r:id="rId9407" ref="P2119"/>
    <hyperlink r:id="rId9408" ref="C2120"/>
    <hyperlink r:id="rId9409" ref="J2120"/>
    <hyperlink r:id="rId9410" ref="L2120"/>
    <hyperlink r:id="rId9411" ref="N2120"/>
    <hyperlink r:id="rId9412" ref="P2120"/>
    <hyperlink r:id="rId9413" ref="C2121"/>
    <hyperlink r:id="rId9414" ref="J2121"/>
    <hyperlink r:id="rId9415" ref="L2121"/>
    <hyperlink r:id="rId9416" ref="N2121"/>
    <hyperlink r:id="rId9417" ref="P2121"/>
    <hyperlink r:id="rId9418" ref="C2122"/>
    <hyperlink r:id="rId9419" ref="J2122"/>
    <hyperlink r:id="rId9420" ref="L2122"/>
    <hyperlink r:id="rId9421" ref="N2122"/>
    <hyperlink r:id="rId9422" ref="P2122"/>
    <hyperlink r:id="rId9423" ref="C2123"/>
    <hyperlink r:id="rId9424" ref="J2123"/>
    <hyperlink r:id="rId9425" ref="L2123"/>
    <hyperlink r:id="rId9426" ref="N2123"/>
    <hyperlink r:id="rId9427" ref="P2123"/>
    <hyperlink r:id="rId9428" ref="C2124"/>
    <hyperlink r:id="rId9429" ref="J2124"/>
    <hyperlink r:id="rId9430" ref="L2124"/>
    <hyperlink r:id="rId9431" ref="N2124"/>
    <hyperlink r:id="rId9432" ref="P2124"/>
    <hyperlink r:id="rId9433" ref="C2125"/>
    <hyperlink r:id="rId9434" ref="J2125"/>
    <hyperlink r:id="rId9435" ref="L2125"/>
    <hyperlink r:id="rId9436" ref="N2125"/>
    <hyperlink r:id="rId9437" ref="P2125"/>
    <hyperlink r:id="rId9438" ref="C2126"/>
    <hyperlink r:id="rId9439" ref="J2126"/>
    <hyperlink r:id="rId9440" ref="L2126"/>
    <hyperlink r:id="rId9441" ref="N2126"/>
    <hyperlink r:id="rId9442" ref="P2126"/>
    <hyperlink r:id="rId9443" ref="C2127"/>
    <hyperlink r:id="rId9444" ref="J2127"/>
    <hyperlink r:id="rId9445" ref="L2127"/>
    <hyperlink r:id="rId9446" ref="N2127"/>
    <hyperlink r:id="rId9447" ref="P2127"/>
    <hyperlink r:id="rId9448" ref="C2128"/>
    <hyperlink r:id="rId9449" ref="J2128"/>
    <hyperlink r:id="rId9450" ref="L2128"/>
    <hyperlink r:id="rId9451" ref="N2128"/>
    <hyperlink r:id="rId9452" ref="P2128"/>
    <hyperlink r:id="rId9453" ref="C2129"/>
    <hyperlink r:id="rId9454" ref="J2129"/>
    <hyperlink r:id="rId9455" ref="L2129"/>
    <hyperlink r:id="rId9456" ref="N2129"/>
    <hyperlink r:id="rId9457" ref="P2129"/>
    <hyperlink r:id="rId9458" ref="C2130"/>
    <hyperlink r:id="rId9459" ref="J2130"/>
    <hyperlink r:id="rId9460" ref="L2130"/>
    <hyperlink r:id="rId9461" ref="N2130"/>
    <hyperlink r:id="rId9462" ref="P2130"/>
    <hyperlink r:id="rId9463" ref="C2131"/>
    <hyperlink r:id="rId9464" ref="J2131"/>
    <hyperlink r:id="rId9465" ref="L2131"/>
    <hyperlink r:id="rId9466" ref="N2131"/>
    <hyperlink r:id="rId9467" ref="P2131"/>
    <hyperlink r:id="rId9468" ref="C2132"/>
    <hyperlink r:id="rId9469" ref="J2132"/>
    <hyperlink r:id="rId9470" ref="L2132"/>
    <hyperlink r:id="rId9471" ref="N2132"/>
    <hyperlink r:id="rId9472" ref="P2132"/>
    <hyperlink r:id="rId9473" ref="C2133"/>
    <hyperlink r:id="rId9474" ref="J2133"/>
    <hyperlink r:id="rId9475" ref="L2133"/>
    <hyperlink r:id="rId9476" ref="N2133"/>
    <hyperlink r:id="rId9477" ref="P2133"/>
    <hyperlink r:id="rId9478" ref="C2134"/>
    <hyperlink r:id="rId9479" ref="J2134"/>
    <hyperlink r:id="rId9480" ref="L2134"/>
    <hyperlink r:id="rId9481" ref="N2134"/>
    <hyperlink r:id="rId9482" ref="P2134"/>
    <hyperlink r:id="rId9483" ref="C2135"/>
    <hyperlink r:id="rId9484" ref="J2135"/>
    <hyperlink r:id="rId9485" ref="L2135"/>
    <hyperlink r:id="rId9486" ref="N2135"/>
    <hyperlink r:id="rId9487" ref="P2135"/>
    <hyperlink r:id="rId9488" ref="C2136"/>
    <hyperlink r:id="rId9489" ref="J2136"/>
    <hyperlink r:id="rId9490" ref="L2136"/>
    <hyperlink r:id="rId9491" ref="N2136"/>
    <hyperlink r:id="rId9492" ref="P2136"/>
    <hyperlink r:id="rId9493" ref="C2137"/>
    <hyperlink r:id="rId9494" ref="J2137"/>
    <hyperlink r:id="rId9495" ref="L2137"/>
    <hyperlink r:id="rId9496" ref="N2137"/>
    <hyperlink r:id="rId9497" ref="P2137"/>
    <hyperlink r:id="rId9498" ref="C2138"/>
    <hyperlink r:id="rId9499" ref="J2138"/>
    <hyperlink r:id="rId9500" ref="L2138"/>
    <hyperlink r:id="rId9501" ref="N2138"/>
    <hyperlink r:id="rId9502" ref="P2138"/>
    <hyperlink r:id="rId9503" ref="C2139"/>
    <hyperlink r:id="rId9504" ref="J2139"/>
    <hyperlink r:id="rId9505" ref="L2139"/>
    <hyperlink r:id="rId9506" ref="N2139"/>
    <hyperlink r:id="rId9507" ref="P2139"/>
    <hyperlink r:id="rId9508" ref="C2140"/>
    <hyperlink r:id="rId9509" ref="J2140"/>
    <hyperlink r:id="rId9510" ref="L2140"/>
    <hyperlink r:id="rId9511" ref="N2140"/>
    <hyperlink r:id="rId9512" ref="P2140"/>
    <hyperlink r:id="rId9513" ref="C2141"/>
    <hyperlink r:id="rId9514" ref="J2141"/>
    <hyperlink r:id="rId9515" ref="L2141"/>
    <hyperlink r:id="rId9516" ref="N2141"/>
    <hyperlink r:id="rId9517" ref="P2141"/>
    <hyperlink r:id="rId9518" ref="C2142"/>
    <hyperlink r:id="rId9519" ref="J2142"/>
    <hyperlink r:id="rId9520" ref="L2142"/>
    <hyperlink r:id="rId9521" ref="N2142"/>
    <hyperlink r:id="rId9522" ref="P2142"/>
    <hyperlink r:id="rId9523" ref="C2143"/>
    <hyperlink r:id="rId9524" ref="J2143"/>
    <hyperlink r:id="rId9525" ref="L2143"/>
    <hyperlink r:id="rId9526" ref="N2143"/>
    <hyperlink r:id="rId9527" ref="P2143"/>
    <hyperlink r:id="rId9528" ref="C2144"/>
    <hyperlink r:id="rId9529" ref="J2144"/>
    <hyperlink r:id="rId9530" ref="L2144"/>
    <hyperlink r:id="rId9531" ref="N2144"/>
    <hyperlink r:id="rId9532" ref="P2144"/>
    <hyperlink r:id="rId9533" ref="C2145"/>
    <hyperlink r:id="rId9534" ref="J2145"/>
    <hyperlink r:id="rId9535" ref="L2145"/>
    <hyperlink r:id="rId9536" ref="N2145"/>
    <hyperlink r:id="rId9537" ref="P2145"/>
    <hyperlink r:id="rId9538" ref="C2146"/>
    <hyperlink r:id="rId9539" ref="J2146"/>
    <hyperlink r:id="rId9540" ref="L2146"/>
    <hyperlink r:id="rId9541" ref="N2146"/>
    <hyperlink r:id="rId9542" ref="P2146"/>
    <hyperlink r:id="rId9543" ref="C2147"/>
    <hyperlink r:id="rId9544" ref="J2147"/>
    <hyperlink r:id="rId9545" ref="L2147"/>
    <hyperlink r:id="rId9546" ref="N2147"/>
    <hyperlink r:id="rId9547" ref="P2147"/>
    <hyperlink r:id="rId9548" ref="C2148"/>
    <hyperlink r:id="rId9549" ref="J2148"/>
    <hyperlink r:id="rId9550" ref="L2148"/>
    <hyperlink r:id="rId9551" ref="N2148"/>
    <hyperlink r:id="rId9552" ref="P2148"/>
    <hyperlink r:id="rId9553" ref="C2149"/>
    <hyperlink r:id="rId9554" ref="J2149"/>
    <hyperlink r:id="rId9555" ref="L2149"/>
    <hyperlink r:id="rId9556" ref="N2149"/>
    <hyperlink r:id="rId9557" ref="P2149"/>
    <hyperlink r:id="rId9558" ref="C2150"/>
    <hyperlink r:id="rId9559" ref="J2150"/>
    <hyperlink r:id="rId9560" ref="L2150"/>
    <hyperlink r:id="rId9561" ref="N2150"/>
    <hyperlink r:id="rId9562" ref="P2150"/>
    <hyperlink r:id="rId9563" ref="C2151"/>
    <hyperlink r:id="rId9564" ref="J2151"/>
    <hyperlink r:id="rId9565" ref="L2151"/>
    <hyperlink r:id="rId9566" ref="N2151"/>
    <hyperlink r:id="rId9567" ref="P2151"/>
    <hyperlink r:id="rId9568" ref="C2152"/>
    <hyperlink r:id="rId9569" ref="J2152"/>
    <hyperlink r:id="rId9570" ref="L2152"/>
    <hyperlink r:id="rId9571" ref="N2152"/>
    <hyperlink r:id="rId9572" ref="P2152"/>
    <hyperlink r:id="rId9573" ref="C2153"/>
    <hyperlink r:id="rId9574" ref="J2153"/>
    <hyperlink r:id="rId9575" ref="L2153"/>
    <hyperlink r:id="rId9576" ref="N2153"/>
    <hyperlink r:id="rId9577" ref="P2153"/>
    <hyperlink r:id="rId9578" ref="C2154"/>
    <hyperlink r:id="rId9579" ref="J2154"/>
    <hyperlink r:id="rId9580" ref="L2154"/>
    <hyperlink r:id="rId9581" ref="N2154"/>
    <hyperlink r:id="rId9582" ref="P2154"/>
    <hyperlink r:id="rId9583" ref="C2155"/>
    <hyperlink r:id="rId9584" ref="J2155"/>
    <hyperlink r:id="rId9585" ref="L2155"/>
    <hyperlink r:id="rId9586" ref="N2155"/>
    <hyperlink r:id="rId9587" ref="P2155"/>
    <hyperlink r:id="rId9588" ref="C2156"/>
    <hyperlink r:id="rId9589" ref="J2156"/>
    <hyperlink r:id="rId9590" ref="L2156"/>
    <hyperlink r:id="rId9591" ref="N2156"/>
    <hyperlink r:id="rId9592" ref="P2156"/>
    <hyperlink r:id="rId9593" ref="C2157"/>
    <hyperlink r:id="rId9594" ref="C2158"/>
    <hyperlink r:id="rId9595" ref="J2158"/>
    <hyperlink r:id="rId9596" ref="L2158"/>
    <hyperlink r:id="rId9597" ref="C2159"/>
    <hyperlink r:id="rId9598" ref="J2159"/>
    <hyperlink r:id="rId9599" ref="P2159"/>
    <hyperlink r:id="rId9600" ref="C2160"/>
    <hyperlink r:id="rId9601" ref="J2160"/>
    <hyperlink r:id="rId9602" ref="P2160"/>
    <hyperlink r:id="rId9603" ref="C2161"/>
    <hyperlink r:id="rId9604" ref="J2161"/>
    <hyperlink r:id="rId9605" ref="L2161"/>
    <hyperlink r:id="rId9606" ref="N2161"/>
    <hyperlink r:id="rId9607" ref="P2161"/>
    <hyperlink r:id="rId9608" ref="C2162"/>
    <hyperlink r:id="rId9609" ref="J2162"/>
    <hyperlink r:id="rId9610" ref="L2162"/>
    <hyperlink r:id="rId9611" ref="N2162"/>
    <hyperlink r:id="rId9612" ref="P2162"/>
    <hyperlink r:id="rId9613" ref="C2163"/>
    <hyperlink r:id="rId9614" ref="J2163"/>
    <hyperlink r:id="rId9615" ref="L2163"/>
    <hyperlink r:id="rId9616" ref="N2163"/>
    <hyperlink r:id="rId9617" ref="P2163"/>
    <hyperlink r:id="rId9618" ref="C2164"/>
    <hyperlink r:id="rId9619" ref="J2164"/>
    <hyperlink r:id="rId9620" ref="L2164"/>
    <hyperlink r:id="rId9621" ref="N2164"/>
    <hyperlink r:id="rId9622" ref="P2164"/>
    <hyperlink r:id="rId9623" ref="C2165"/>
    <hyperlink r:id="rId9624" ref="J2165"/>
    <hyperlink r:id="rId9625" ref="L2165"/>
    <hyperlink r:id="rId9626" ref="N2165"/>
    <hyperlink r:id="rId9627" ref="P2165"/>
    <hyperlink r:id="rId9628" ref="C2166"/>
    <hyperlink r:id="rId9629" ref="J2166"/>
    <hyperlink r:id="rId9630" ref="L2166"/>
    <hyperlink r:id="rId9631" ref="N2166"/>
    <hyperlink r:id="rId9632" ref="P2166"/>
    <hyperlink r:id="rId9633" ref="C2167"/>
    <hyperlink r:id="rId9634" ref="J2167"/>
    <hyperlink r:id="rId9635" ref="L2167"/>
    <hyperlink r:id="rId9636" ref="N2167"/>
    <hyperlink r:id="rId9637" ref="P2167"/>
    <hyperlink r:id="rId9638" ref="C2168"/>
    <hyperlink r:id="rId9639" ref="L2168"/>
    <hyperlink r:id="rId9640" ref="N2168"/>
    <hyperlink r:id="rId9641" ref="C2169"/>
    <hyperlink r:id="rId9642" ref="J2169"/>
    <hyperlink r:id="rId9643" ref="P2169"/>
    <hyperlink r:id="rId9644" ref="C2170"/>
    <hyperlink r:id="rId9645" ref="C2171"/>
    <hyperlink r:id="rId9646" ref="L2171"/>
    <hyperlink r:id="rId9647" ref="N2171"/>
    <hyperlink r:id="rId9648" ref="C2172"/>
    <hyperlink r:id="rId9649" ref="J2172"/>
    <hyperlink r:id="rId9650" ref="L2172"/>
    <hyperlink r:id="rId9651" ref="N2172"/>
    <hyperlink r:id="rId9652" ref="P2172"/>
    <hyperlink r:id="rId9653" ref="C2173"/>
    <hyperlink r:id="rId9654" ref="J2173"/>
    <hyperlink r:id="rId9655" ref="L2173"/>
    <hyperlink r:id="rId9656" ref="N2173"/>
    <hyperlink r:id="rId9657" ref="P2173"/>
    <hyperlink r:id="rId9658" ref="C2174"/>
    <hyperlink r:id="rId9659" ref="J2174"/>
    <hyperlink r:id="rId9660" ref="L2174"/>
    <hyperlink r:id="rId9661" ref="N2174"/>
    <hyperlink r:id="rId9662" ref="P2174"/>
    <hyperlink r:id="rId9663" ref="C2175"/>
    <hyperlink r:id="rId9664" ref="J2175"/>
    <hyperlink r:id="rId9665" ref="L2175"/>
    <hyperlink r:id="rId9666" ref="N2175"/>
    <hyperlink r:id="rId9667" ref="P2175"/>
    <hyperlink r:id="rId9668" ref="C2176"/>
    <hyperlink r:id="rId9669" ref="J2176"/>
    <hyperlink r:id="rId9670" ref="L2176"/>
    <hyperlink r:id="rId9671" ref="N2176"/>
    <hyperlink r:id="rId9672" ref="P2176"/>
    <hyperlink r:id="rId9673" ref="C2177"/>
    <hyperlink r:id="rId9674" ref="J2177"/>
    <hyperlink r:id="rId9675" ref="L2177"/>
    <hyperlink r:id="rId9676" ref="N2177"/>
    <hyperlink r:id="rId9677" ref="P2177"/>
    <hyperlink r:id="rId9678" ref="C2178"/>
    <hyperlink r:id="rId9679" ref="J2178"/>
    <hyperlink r:id="rId9680" ref="L2178"/>
    <hyperlink r:id="rId9681" ref="N2178"/>
    <hyperlink r:id="rId9682" ref="P2178"/>
    <hyperlink r:id="rId9683" ref="C2179"/>
    <hyperlink r:id="rId9684" ref="J2179"/>
    <hyperlink r:id="rId9685" ref="L2179"/>
    <hyperlink r:id="rId9686" ref="N2179"/>
    <hyperlink r:id="rId9687" ref="P2179"/>
    <hyperlink r:id="rId9688" ref="C2180"/>
    <hyperlink r:id="rId9689" ref="J2180"/>
    <hyperlink r:id="rId9690" ref="L2180"/>
    <hyperlink r:id="rId9691" ref="N2180"/>
    <hyperlink r:id="rId9692" ref="P2180"/>
    <hyperlink r:id="rId9693" ref="C2181"/>
    <hyperlink r:id="rId9694" ref="J2181"/>
    <hyperlink r:id="rId9695" ref="L2181"/>
    <hyperlink r:id="rId9696" ref="N2181"/>
    <hyperlink r:id="rId9697" ref="P2181"/>
    <hyperlink r:id="rId9698" ref="C2182"/>
    <hyperlink r:id="rId9699" ref="J2182"/>
    <hyperlink r:id="rId9700" ref="L2182"/>
    <hyperlink r:id="rId9701" ref="N2182"/>
    <hyperlink r:id="rId9702" ref="P2182"/>
    <hyperlink r:id="rId9703" ref="C2183"/>
    <hyperlink r:id="rId9704" ref="J2183"/>
    <hyperlink r:id="rId9705" ref="L2183"/>
    <hyperlink r:id="rId9706" ref="N2183"/>
    <hyperlink r:id="rId9707" ref="P2183"/>
    <hyperlink r:id="rId9708" ref="C2184"/>
    <hyperlink r:id="rId9709" ref="J2184"/>
    <hyperlink r:id="rId9710" ref="L2184"/>
    <hyperlink r:id="rId9711" ref="N2184"/>
    <hyperlink r:id="rId9712" ref="P2184"/>
    <hyperlink r:id="rId9713" ref="C2185"/>
    <hyperlink r:id="rId9714" ref="J2185"/>
    <hyperlink r:id="rId9715" ref="L2185"/>
    <hyperlink r:id="rId9716" ref="N2185"/>
    <hyperlink r:id="rId9717" ref="P2185"/>
    <hyperlink r:id="rId9718" ref="C2186"/>
    <hyperlink r:id="rId9719" ref="J2186"/>
    <hyperlink r:id="rId9720" ref="L2186"/>
    <hyperlink r:id="rId9721" ref="N2186"/>
    <hyperlink r:id="rId9722" ref="P2186"/>
    <hyperlink r:id="rId9723" ref="C2187"/>
    <hyperlink r:id="rId9724" ref="J2187"/>
    <hyperlink r:id="rId9725" ref="L2187"/>
    <hyperlink r:id="rId9726" ref="N2187"/>
    <hyperlink r:id="rId9727" ref="P2187"/>
    <hyperlink r:id="rId9728" ref="C2188"/>
    <hyperlink r:id="rId9729" ref="J2188"/>
    <hyperlink r:id="rId9730" ref="L2188"/>
    <hyperlink r:id="rId9731" ref="N2188"/>
    <hyperlink r:id="rId9732" ref="P2188"/>
    <hyperlink r:id="rId9733" ref="C2189"/>
    <hyperlink r:id="rId9734" ref="J2189"/>
    <hyperlink r:id="rId9735" ref="L2189"/>
    <hyperlink r:id="rId9736" ref="N2189"/>
    <hyperlink r:id="rId9737" ref="P2189"/>
    <hyperlink r:id="rId9738" ref="C2190"/>
    <hyperlink r:id="rId9739" ref="J2190"/>
    <hyperlink r:id="rId9740" ref="L2190"/>
    <hyperlink r:id="rId9741" ref="N2190"/>
    <hyperlink r:id="rId9742" ref="P2190"/>
    <hyperlink r:id="rId9743" ref="C2191"/>
    <hyperlink r:id="rId9744" ref="J2191"/>
    <hyperlink r:id="rId9745" ref="L2191"/>
    <hyperlink r:id="rId9746" ref="N2191"/>
    <hyperlink r:id="rId9747" ref="P2191"/>
    <hyperlink r:id="rId9748" ref="C2192"/>
    <hyperlink r:id="rId9749" ref="J2192"/>
    <hyperlink r:id="rId9750" ref="L2192"/>
    <hyperlink r:id="rId9751" ref="N2192"/>
    <hyperlink r:id="rId9752" ref="P2192"/>
    <hyperlink r:id="rId9753" ref="C2193"/>
    <hyperlink r:id="rId9754" ref="J2193"/>
    <hyperlink r:id="rId9755" ref="L2193"/>
    <hyperlink r:id="rId9756" ref="N2193"/>
    <hyperlink r:id="rId9757" ref="P2193"/>
    <hyperlink r:id="rId9758" ref="C2194"/>
    <hyperlink r:id="rId9759" ref="J2194"/>
    <hyperlink r:id="rId9760" ref="L2194"/>
    <hyperlink r:id="rId9761" ref="N2194"/>
    <hyperlink r:id="rId9762" ref="P2194"/>
    <hyperlink r:id="rId9763" ref="C2195"/>
    <hyperlink r:id="rId9764" ref="J2195"/>
    <hyperlink r:id="rId9765" ref="L2195"/>
    <hyperlink r:id="rId9766" ref="N2195"/>
    <hyperlink r:id="rId9767" ref="P2195"/>
    <hyperlink r:id="rId9768" ref="C2196"/>
    <hyperlink r:id="rId9769" ref="J2196"/>
    <hyperlink r:id="rId9770" ref="L2196"/>
    <hyperlink r:id="rId9771" ref="N2196"/>
    <hyperlink r:id="rId9772" ref="P2196"/>
    <hyperlink r:id="rId9773" ref="C2197"/>
    <hyperlink r:id="rId9774" ref="J2197"/>
    <hyperlink r:id="rId9775" ref="L2197"/>
    <hyperlink r:id="rId9776" ref="N2197"/>
    <hyperlink r:id="rId9777" ref="P2197"/>
    <hyperlink r:id="rId9778" ref="C2198"/>
    <hyperlink r:id="rId9779" ref="J2198"/>
    <hyperlink r:id="rId9780" ref="L2198"/>
    <hyperlink r:id="rId9781" ref="N2198"/>
    <hyperlink r:id="rId9782" ref="P2198"/>
    <hyperlink r:id="rId9783" ref="C2199"/>
    <hyperlink r:id="rId9784" ref="J2199"/>
    <hyperlink r:id="rId9785" ref="L2199"/>
    <hyperlink r:id="rId9786" ref="N2199"/>
    <hyperlink r:id="rId9787" ref="P2199"/>
    <hyperlink r:id="rId9788" ref="C2200"/>
    <hyperlink r:id="rId9789" ref="J2200"/>
    <hyperlink r:id="rId9790" ref="L2200"/>
    <hyperlink r:id="rId9791" ref="N2200"/>
    <hyperlink r:id="rId9792" ref="P2200"/>
    <hyperlink r:id="rId9793" ref="C2201"/>
    <hyperlink r:id="rId9794" ref="J2201"/>
    <hyperlink r:id="rId9795" ref="L2201"/>
    <hyperlink r:id="rId9796" ref="N2201"/>
    <hyperlink r:id="rId9797" ref="P2201"/>
    <hyperlink r:id="rId9798" ref="C2202"/>
    <hyperlink r:id="rId9799" ref="J2202"/>
    <hyperlink r:id="rId9800" ref="L2202"/>
    <hyperlink r:id="rId9801" ref="N2202"/>
    <hyperlink r:id="rId9802" ref="P2202"/>
    <hyperlink r:id="rId9803" ref="C2203"/>
    <hyperlink r:id="rId9804" ref="J2203"/>
    <hyperlink r:id="rId9805" ref="L2203"/>
    <hyperlink r:id="rId9806" ref="N2203"/>
    <hyperlink r:id="rId9807" ref="P2203"/>
    <hyperlink r:id="rId9808" ref="C2204"/>
    <hyperlink r:id="rId9809" ref="J2204"/>
    <hyperlink r:id="rId9810" ref="L2204"/>
    <hyperlink r:id="rId9811" ref="N2204"/>
    <hyperlink r:id="rId9812" ref="P2204"/>
    <hyperlink r:id="rId9813" ref="C2205"/>
    <hyperlink r:id="rId9814" ref="J2205"/>
    <hyperlink r:id="rId9815" ref="L2205"/>
    <hyperlink r:id="rId9816" ref="N2205"/>
    <hyperlink r:id="rId9817" ref="P2205"/>
    <hyperlink r:id="rId9818" ref="C2206"/>
    <hyperlink r:id="rId9819" ref="J2206"/>
    <hyperlink r:id="rId9820" ref="L2206"/>
    <hyperlink r:id="rId9821" ref="N2206"/>
    <hyperlink r:id="rId9822" ref="P2206"/>
    <hyperlink r:id="rId9823" ref="C2207"/>
    <hyperlink r:id="rId9824" ref="J2207"/>
    <hyperlink r:id="rId9825" ref="L2207"/>
    <hyperlink r:id="rId9826" ref="N2207"/>
    <hyperlink r:id="rId9827" ref="P2207"/>
    <hyperlink r:id="rId9828" ref="C2208"/>
    <hyperlink r:id="rId9829" ref="J2208"/>
    <hyperlink r:id="rId9830" ref="L2208"/>
    <hyperlink r:id="rId9831" ref="N2208"/>
    <hyperlink r:id="rId9832" ref="P2208"/>
    <hyperlink r:id="rId9833" ref="C2209"/>
    <hyperlink r:id="rId9834" ref="C2210"/>
    <hyperlink r:id="rId9835" ref="C2211"/>
    <hyperlink r:id="rId9836" ref="C2212"/>
    <hyperlink r:id="rId9837" ref="C2213"/>
    <hyperlink r:id="rId9838" ref="C2214"/>
    <hyperlink r:id="rId9839" ref="C2215"/>
    <hyperlink r:id="rId9840" ref="C2216"/>
    <hyperlink r:id="rId9841" ref="C2217"/>
    <hyperlink r:id="rId9842" ref="C2218"/>
    <hyperlink r:id="rId9843" ref="C2219"/>
    <hyperlink r:id="rId9844" ref="C2220"/>
    <hyperlink r:id="rId9845" ref="C2221"/>
    <hyperlink r:id="rId9846" ref="C2222"/>
    <hyperlink r:id="rId9847" ref="C2223"/>
    <hyperlink r:id="rId9848" ref="C2224"/>
    <hyperlink r:id="rId9849" ref="B2225"/>
    <hyperlink r:id="rId9850" ref="C2225"/>
    <hyperlink r:id="rId9851" ref="C2226"/>
    <hyperlink r:id="rId9852" ref="C2227"/>
    <hyperlink r:id="rId9853" ref="C2228"/>
    <hyperlink r:id="rId9854" ref="C2229"/>
    <hyperlink r:id="rId9855" ref="C2230"/>
    <hyperlink r:id="rId9856" ref="C2231"/>
    <hyperlink r:id="rId9857" ref="C2232"/>
    <hyperlink r:id="rId9858" ref="C2233"/>
    <hyperlink r:id="rId9859" ref="C2234"/>
    <hyperlink r:id="rId9860" ref="C2235"/>
    <hyperlink r:id="rId9861" ref="C2236"/>
    <hyperlink r:id="rId9862" ref="C2237"/>
    <hyperlink r:id="rId9863" ref="C2238"/>
    <hyperlink r:id="rId9864" ref="C2239"/>
    <hyperlink r:id="rId9865" ref="C2240"/>
    <hyperlink r:id="rId9866" ref="C2241"/>
    <hyperlink r:id="rId9867" ref="C2242"/>
    <hyperlink r:id="rId9868" ref="C2243"/>
    <hyperlink r:id="rId9869" ref="C2244"/>
    <hyperlink r:id="rId9870" ref="C2245"/>
    <hyperlink r:id="rId9871" ref="C2246"/>
    <hyperlink r:id="rId9872" ref="C2247"/>
    <hyperlink r:id="rId9873" ref="C2248"/>
    <hyperlink r:id="rId9874" ref="C2249"/>
    <hyperlink r:id="rId9875" ref="C2250"/>
    <hyperlink r:id="rId9876" ref="C2251"/>
    <hyperlink r:id="rId9877" ref="C2252"/>
    <hyperlink r:id="rId9878" ref="C2253"/>
    <hyperlink r:id="rId9879" ref="C2254"/>
    <hyperlink r:id="rId9880" ref="C2255"/>
    <hyperlink r:id="rId9881" ref="C2256"/>
    <hyperlink r:id="rId9882" ref="C2257"/>
    <hyperlink r:id="rId9883" ref="C2258"/>
    <hyperlink r:id="rId9884" ref="C2259"/>
    <hyperlink r:id="rId9885" ref="C2260"/>
    <hyperlink r:id="rId9886" ref="C2261"/>
    <hyperlink r:id="rId9887" ref="C2262"/>
    <hyperlink r:id="rId9888" ref="C2263"/>
    <hyperlink r:id="rId9889" ref="J2263"/>
    <hyperlink r:id="rId9890" ref="C2264"/>
    <hyperlink r:id="rId9891" ref="C2265"/>
    <hyperlink r:id="rId9892" ref="C2266"/>
    <hyperlink r:id="rId9893" ref="C2267"/>
    <hyperlink r:id="rId9894" ref="C2268"/>
    <hyperlink r:id="rId9895" ref="C2269"/>
    <hyperlink r:id="rId9896" ref="C2270"/>
    <hyperlink r:id="rId9897" ref="C2271"/>
    <hyperlink r:id="rId9898" ref="C2272"/>
    <hyperlink r:id="rId9899" ref="C2273"/>
    <hyperlink r:id="rId9900" ref="C2274"/>
    <hyperlink r:id="rId9901" ref="C2275"/>
    <hyperlink r:id="rId9902" ref="C2276"/>
    <hyperlink r:id="rId9903" ref="C2277"/>
    <hyperlink r:id="rId9904" ref="C2278"/>
    <hyperlink r:id="rId9905" ref="C2279"/>
    <hyperlink r:id="rId9906" ref="C2280"/>
    <hyperlink r:id="rId9907" ref="J2280"/>
    <hyperlink r:id="rId9908" ref="C2281"/>
    <hyperlink r:id="rId9909" ref="C2282"/>
    <hyperlink r:id="rId9910" ref="C2283"/>
    <hyperlink r:id="rId9911" ref="C2284"/>
    <hyperlink r:id="rId9912" ref="C2285"/>
    <hyperlink r:id="rId9913" ref="C2286"/>
    <hyperlink r:id="rId9914" ref="C2287"/>
    <hyperlink r:id="rId9915" ref="C2288"/>
    <hyperlink r:id="rId9916" ref="C2289"/>
    <hyperlink r:id="rId9917" ref="C2290"/>
    <hyperlink r:id="rId9918" ref="C2291"/>
    <hyperlink r:id="rId9919" ref="C2292"/>
    <hyperlink r:id="rId9920" ref="C2293"/>
    <hyperlink r:id="rId9921" ref="C2294"/>
    <hyperlink r:id="rId9922" ref="C2295"/>
    <hyperlink r:id="rId9923" ref="C2296"/>
    <hyperlink r:id="rId9924" ref="C2297"/>
    <hyperlink r:id="rId9925" ref="C2298"/>
    <hyperlink r:id="rId9926" ref="C2299"/>
    <hyperlink r:id="rId9927" ref="C2300"/>
    <hyperlink r:id="rId9928" ref="C2301"/>
    <hyperlink r:id="rId9929" ref="C2302"/>
    <hyperlink r:id="rId9930" ref="C2303"/>
    <hyperlink r:id="rId9931" ref="C2304"/>
    <hyperlink r:id="rId9932" ref="C2305"/>
    <hyperlink r:id="rId9933" ref="C2306"/>
    <hyperlink r:id="rId9934" ref="C2307"/>
    <hyperlink r:id="rId9935" ref="C2308"/>
    <hyperlink r:id="rId9936" ref="C2309"/>
    <hyperlink r:id="rId9937" ref="C2310"/>
    <hyperlink r:id="rId9938" ref="C2311"/>
    <hyperlink r:id="rId9939" ref="C2312"/>
    <hyperlink r:id="rId9940" ref="C2313"/>
    <hyperlink r:id="rId9941" ref="C2314"/>
    <hyperlink r:id="rId9942" ref="C2315"/>
    <hyperlink r:id="rId9943" ref="C2316"/>
    <hyperlink r:id="rId9944" ref="C2317"/>
    <hyperlink r:id="rId9945" ref="C2318"/>
    <hyperlink r:id="rId9946" ref="C2319"/>
    <hyperlink r:id="rId9947" ref="C2320"/>
    <hyperlink r:id="rId9948" ref="C2321"/>
    <hyperlink r:id="rId9949" ref="C2322"/>
    <hyperlink r:id="rId9950" ref="C2323"/>
    <hyperlink r:id="rId9951" ref="C2324"/>
    <hyperlink r:id="rId9952" ref="C2325"/>
    <hyperlink r:id="rId9953" ref="C2326"/>
    <hyperlink r:id="rId9954" ref="C2327"/>
    <hyperlink r:id="rId9955" ref="C2328"/>
    <hyperlink r:id="rId9956" ref="C2329"/>
    <hyperlink r:id="rId9957" ref="C2330"/>
    <hyperlink r:id="rId9958" ref="C2331"/>
    <hyperlink r:id="rId9959" ref="C2332"/>
    <hyperlink r:id="rId9960" ref="C2333"/>
    <hyperlink r:id="rId9961" ref="C2334"/>
    <hyperlink r:id="rId9962" ref="C2335"/>
    <hyperlink r:id="rId9963" ref="C2336"/>
    <hyperlink r:id="rId9964" ref="C2337"/>
    <hyperlink r:id="rId9965" ref="C2338"/>
    <hyperlink r:id="rId9966" ref="C2339"/>
    <hyperlink r:id="rId9967" ref="C2340"/>
    <hyperlink r:id="rId9968" ref="C2341"/>
    <hyperlink r:id="rId9969" ref="C2342"/>
    <hyperlink r:id="rId9970" ref="C2343"/>
    <hyperlink r:id="rId9971" ref="C2344"/>
    <hyperlink r:id="rId9972" ref="B2345"/>
    <hyperlink r:id="rId9973" ref="C2345"/>
    <hyperlink r:id="rId9974" ref="C2346"/>
    <hyperlink r:id="rId9975" ref="C2347"/>
    <hyperlink r:id="rId9976" ref="C2348"/>
    <hyperlink r:id="rId9977" ref="C2349"/>
    <hyperlink r:id="rId9978" ref="C2350"/>
    <hyperlink r:id="rId9979" ref="C2351"/>
    <hyperlink r:id="rId9980" ref="C2352"/>
    <hyperlink r:id="rId9981" ref="C2353"/>
    <hyperlink r:id="rId9982" ref="C2354"/>
    <hyperlink r:id="rId9983" ref="C2355"/>
    <hyperlink r:id="rId9984" ref="C2356"/>
    <hyperlink r:id="rId9985" ref="C2357"/>
    <hyperlink r:id="rId9986" ref="C2358"/>
    <hyperlink r:id="rId9987" ref="C2359"/>
    <hyperlink r:id="rId9988" ref="C2360"/>
    <hyperlink r:id="rId9989" ref="C2361"/>
    <hyperlink r:id="rId9990" ref="C2362"/>
    <hyperlink r:id="rId9991" ref="C2363"/>
    <hyperlink r:id="rId9992" ref="C2364"/>
    <hyperlink r:id="rId9993" ref="C2365"/>
    <hyperlink r:id="rId9994" ref="C2366"/>
    <hyperlink r:id="rId9995" ref="C2367"/>
    <hyperlink r:id="rId9996" ref="C2368"/>
    <hyperlink r:id="rId9997" ref="C2369"/>
    <hyperlink r:id="rId9998" ref="C2370"/>
    <hyperlink r:id="rId9999" ref="C2371"/>
    <hyperlink r:id="rId10000" ref="C2372"/>
    <hyperlink r:id="rId10001" ref="C2373"/>
    <hyperlink r:id="rId10002" ref="C2374"/>
    <hyperlink r:id="rId10003" ref="C2375"/>
    <hyperlink r:id="rId10004" ref="C2376"/>
    <hyperlink r:id="rId10005" ref="C2377"/>
    <hyperlink r:id="rId10006" ref="C2378"/>
    <hyperlink r:id="rId10007" ref="C2379"/>
    <hyperlink r:id="rId10008" ref="C2380"/>
    <hyperlink r:id="rId10009" ref="C2381"/>
    <hyperlink r:id="rId10010" ref="C2382"/>
    <hyperlink r:id="rId10011" ref="C2383"/>
    <hyperlink r:id="rId10012" ref="C2384"/>
    <hyperlink r:id="rId10013" ref="C2385"/>
    <hyperlink r:id="rId10014" ref="C2386"/>
    <hyperlink r:id="rId10015" ref="C2387"/>
    <hyperlink r:id="rId10016" ref="C2388"/>
    <hyperlink r:id="rId10017" ref="C2389"/>
    <hyperlink r:id="rId10018" ref="C2390"/>
    <hyperlink r:id="rId10019" ref="C2391"/>
    <hyperlink r:id="rId10020" ref="C2392"/>
    <hyperlink r:id="rId10021" ref="C2393"/>
    <hyperlink r:id="rId10022" ref="C2394"/>
    <hyperlink r:id="rId10023" ref="C2395"/>
    <hyperlink r:id="rId10024" ref="C2396"/>
    <hyperlink r:id="rId10025" ref="C2397"/>
    <hyperlink r:id="rId10026" ref="C2398"/>
    <hyperlink r:id="rId10027" ref="C2399"/>
    <hyperlink r:id="rId10028" ref="C2400"/>
    <hyperlink r:id="rId10029" ref="C2401"/>
    <hyperlink r:id="rId10030" ref="C2402"/>
    <hyperlink r:id="rId10031" ref="B2403"/>
    <hyperlink r:id="rId10032" ref="C2403"/>
    <hyperlink r:id="rId10033" ref="C2404"/>
    <hyperlink r:id="rId10034" ref="C2405"/>
    <hyperlink r:id="rId10035" ref="C2406"/>
    <hyperlink r:id="rId10036" ref="C2407"/>
    <hyperlink r:id="rId10037" ref="C2408"/>
    <hyperlink r:id="rId10038" ref="C2409"/>
    <hyperlink r:id="rId10039" ref="C2410"/>
    <hyperlink r:id="rId10040" ref="C2411"/>
    <hyperlink r:id="rId10041" ref="C2412"/>
    <hyperlink r:id="rId10042" ref="C2413"/>
    <hyperlink r:id="rId10043" ref="C2414"/>
    <hyperlink r:id="rId10044" ref="C2415"/>
    <hyperlink r:id="rId10045" ref="C2416"/>
    <hyperlink r:id="rId10046" ref="B2417"/>
    <hyperlink r:id="rId10047" ref="C2417"/>
    <hyperlink r:id="rId10048" ref="C2418"/>
    <hyperlink r:id="rId10049" ref="C2419"/>
    <hyperlink r:id="rId10050" ref="C2420"/>
    <hyperlink r:id="rId10051" ref="C2421"/>
    <hyperlink r:id="rId10052" ref="C2422"/>
    <hyperlink r:id="rId10053" ref="C2423"/>
    <hyperlink r:id="rId10054" ref="C2424"/>
    <hyperlink r:id="rId10055" ref="C2425"/>
    <hyperlink r:id="rId10056" ref="C2426"/>
    <hyperlink r:id="rId10057" ref="C2427"/>
    <hyperlink r:id="rId10058" ref="C2428"/>
    <hyperlink r:id="rId10059" ref="C2429"/>
    <hyperlink r:id="rId10060" ref="C2430"/>
    <hyperlink r:id="rId10061" ref="C2431"/>
    <hyperlink r:id="rId10062" ref="C2432"/>
    <hyperlink r:id="rId10063" ref="C2433"/>
    <hyperlink r:id="rId10064" ref="C2434"/>
    <hyperlink r:id="rId10065" ref="C2435"/>
    <hyperlink r:id="rId10066" ref="C2436"/>
    <hyperlink r:id="rId10067" ref="C2437"/>
    <hyperlink r:id="rId10068" ref="C2438"/>
    <hyperlink r:id="rId10069" ref="C2439"/>
    <hyperlink r:id="rId10070" ref="C2440"/>
    <hyperlink r:id="rId10071" ref="C2441"/>
    <hyperlink r:id="rId10072" ref="C2442"/>
    <hyperlink r:id="rId10073" ref="C2443"/>
    <hyperlink r:id="rId10074" ref="C2444"/>
    <hyperlink r:id="rId10075" ref="C2445"/>
    <hyperlink r:id="rId10076" ref="C2446"/>
    <hyperlink r:id="rId10077" ref="C2447"/>
    <hyperlink r:id="rId10078" ref="C2448"/>
    <hyperlink r:id="rId10079" ref="C2449"/>
    <hyperlink r:id="rId10080" ref="C2450"/>
    <hyperlink r:id="rId10081" ref="C2451"/>
    <hyperlink r:id="rId10082" ref="C2452"/>
    <hyperlink r:id="rId10083" ref="C2453"/>
    <hyperlink r:id="rId10084" ref="C2454"/>
    <hyperlink r:id="rId10085" ref="C2455"/>
    <hyperlink r:id="rId10086" ref="C2456"/>
    <hyperlink r:id="rId10087" ref="C2457"/>
    <hyperlink r:id="rId10088" ref="C2458"/>
    <hyperlink r:id="rId10089" ref="C2459"/>
    <hyperlink r:id="rId10090" ref="C2460"/>
    <hyperlink r:id="rId10091" ref="C2461"/>
    <hyperlink r:id="rId10092" ref="C2462"/>
    <hyperlink r:id="rId10093" ref="C2463"/>
    <hyperlink r:id="rId10094" ref="C2464"/>
    <hyperlink r:id="rId10095" ref="C2465"/>
    <hyperlink r:id="rId10096" ref="C2466"/>
    <hyperlink r:id="rId10097" ref="C2467"/>
    <hyperlink r:id="rId10098" ref="C2468"/>
    <hyperlink r:id="rId10099" ref="C2469"/>
    <hyperlink r:id="rId10100" ref="C2470"/>
    <hyperlink r:id="rId10101" ref="C2471"/>
    <hyperlink r:id="rId10102" ref="C2472"/>
    <hyperlink r:id="rId10103" ref="C2473"/>
    <hyperlink r:id="rId10104" ref="C2474"/>
    <hyperlink r:id="rId10105" ref="C2475"/>
    <hyperlink r:id="rId10106" ref="C2476"/>
    <hyperlink r:id="rId10107" ref="C2477"/>
    <hyperlink r:id="rId10108" ref="C2478"/>
    <hyperlink r:id="rId10109" ref="C2479"/>
    <hyperlink r:id="rId10110" ref="C2480"/>
    <hyperlink r:id="rId10111" ref="C2481"/>
    <hyperlink r:id="rId10112" ref="C2482"/>
    <hyperlink r:id="rId10113" ref="C2483"/>
    <hyperlink r:id="rId10114" ref="C2484"/>
    <hyperlink r:id="rId10115" ref="C2485"/>
    <hyperlink r:id="rId10116" ref="C2486"/>
    <hyperlink r:id="rId10117" ref="C2487"/>
    <hyperlink r:id="rId10118" ref="C2488"/>
    <hyperlink r:id="rId10119" ref="C2489"/>
    <hyperlink r:id="rId10120" ref="C2490"/>
    <hyperlink r:id="rId10121" ref="C2491"/>
    <hyperlink r:id="rId10122" ref="C2492"/>
    <hyperlink r:id="rId10123" ref="C2493"/>
    <hyperlink r:id="rId10124" ref="C2494"/>
    <hyperlink r:id="rId10125" ref="C2495"/>
    <hyperlink r:id="rId10126" ref="C2496"/>
    <hyperlink r:id="rId10127" ref="C2497"/>
    <hyperlink r:id="rId10128" ref="C2498"/>
    <hyperlink r:id="rId10129" ref="C2499"/>
    <hyperlink r:id="rId10130" ref="C2500"/>
    <hyperlink r:id="rId10131" ref="C2501"/>
    <hyperlink r:id="rId10132" ref="C2502"/>
    <hyperlink r:id="rId10133" ref="J2502"/>
    <hyperlink r:id="rId10134" ref="L2502"/>
    <hyperlink r:id="rId10135" ref="N2502"/>
    <hyperlink r:id="rId10136" ref="P2502"/>
    <hyperlink r:id="rId10137" ref="C2503"/>
    <hyperlink r:id="rId10138" ref="C2504"/>
    <hyperlink r:id="rId10139" ref="C2505"/>
    <hyperlink r:id="rId10140" ref="C2506"/>
    <hyperlink r:id="rId10141" ref="C2507"/>
    <hyperlink r:id="rId10142" ref="C2508"/>
    <hyperlink r:id="rId10143" ref="C2509"/>
    <hyperlink r:id="rId10144" ref="C2510"/>
    <hyperlink r:id="rId10145" ref="C2511"/>
    <hyperlink r:id="rId10146" ref="C2512"/>
    <hyperlink r:id="rId10147" ref="C2513"/>
    <hyperlink r:id="rId10148" ref="C2514"/>
    <hyperlink r:id="rId10149" ref="C2515"/>
    <hyperlink r:id="rId10150" ref="C2516"/>
    <hyperlink r:id="rId10151" ref="C2517"/>
    <hyperlink r:id="rId10152" ref="C2518"/>
    <hyperlink r:id="rId10153" ref="C2519"/>
    <hyperlink r:id="rId10154" ref="C2520"/>
    <hyperlink r:id="rId10155" ref="C2521"/>
    <hyperlink r:id="rId10156" ref="C2522"/>
    <hyperlink r:id="rId10157" ref="C2523"/>
    <hyperlink r:id="rId10158" ref="C2524"/>
    <hyperlink r:id="rId10159" ref="C2525"/>
    <hyperlink r:id="rId10160" ref="C2526"/>
    <hyperlink r:id="rId10161" ref="C2527"/>
    <hyperlink r:id="rId10162" ref="C2528"/>
    <hyperlink r:id="rId10163" ref="C2529"/>
    <hyperlink r:id="rId10164" ref="C2530"/>
    <hyperlink r:id="rId10165" ref="C2531"/>
    <hyperlink r:id="rId10166" ref="C2532"/>
    <hyperlink r:id="rId10167" ref="C2533"/>
    <hyperlink r:id="rId10168" ref="C2534"/>
    <hyperlink r:id="rId10169" ref="C2535"/>
    <hyperlink r:id="rId10170" ref="C2536"/>
    <hyperlink r:id="rId10171" ref="C2537"/>
    <hyperlink r:id="rId10172" ref="C2538"/>
    <hyperlink r:id="rId10173" ref="C2539"/>
    <hyperlink r:id="rId10174" ref="C2540"/>
    <hyperlink r:id="rId10175" ref="C2541"/>
    <hyperlink r:id="rId10176" ref="C2542"/>
    <hyperlink r:id="rId10177" ref="C2543"/>
    <hyperlink r:id="rId10178" ref="C2544"/>
    <hyperlink r:id="rId10179" ref="C2545"/>
    <hyperlink r:id="rId10180" ref="C2546"/>
    <hyperlink r:id="rId10181" ref="C2547"/>
    <hyperlink r:id="rId10182" ref="C2548"/>
    <hyperlink r:id="rId10183" ref="C2549"/>
    <hyperlink r:id="rId10184" ref="C2550"/>
    <hyperlink r:id="rId10185" ref="C2551"/>
    <hyperlink r:id="rId10186" ref="C2552"/>
    <hyperlink r:id="rId10187" ref="C2553"/>
    <hyperlink r:id="rId10188" ref="C2554"/>
    <hyperlink r:id="rId10189" ref="C2555"/>
    <hyperlink r:id="rId10190" ref="C2556"/>
    <hyperlink r:id="rId10191" ref="C2557"/>
    <hyperlink r:id="rId10192" ref="C2558"/>
    <hyperlink r:id="rId10193" ref="C2559"/>
    <hyperlink r:id="rId10194" ref="C2560"/>
    <hyperlink r:id="rId10195" ref="C2561"/>
    <hyperlink r:id="rId10196" ref="C2562"/>
    <hyperlink r:id="rId10197" ref="C2563"/>
    <hyperlink r:id="rId10198" ref="C2564"/>
    <hyperlink r:id="rId10199" ref="C2565"/>
    <hyperlink r:id="rId10200" ref="C2566"/>
    <hyperlink r:id="rId10201" ref="C2567"/>
    <hyperlink r:id="rId10202" ref="C2568"/>
    <hyperlink r:id="rId10203" ref="C2569"/>
    <hyperlink r:id="rId10204" ref="C2570"/>
    <hyperlink r:id="rId10205" ref="C2571"/>
    <hyperlink r:id="rId10206" ref="C2572"/>
    <hyperlink r:id="rId10207" ref="C2573"/>
    <hyperlink r:id="rId10208" ref="C2574"/>
    <hyperlink r:id="rId10209" ref="C2575"/>
    <hyperlink r:id="rId10210" ref="C2576"/>
    <hyperlink r:id="rId10211" ref="C2577"/>
    <hyperlink r:id="rId10212" ref="C2578"/>
    <hyperlink r:id="rId10213" ref="C2579"/>
    <hyperlink r:id="rId10214" ref="C2580"/>
    <hyperlink r:id="rId10215" ref="C2581"/>
    <hyperlink r:id="rId10216" ref="C2582"/>
    <hyperlink r:id="rId10217" ref="C2583"/>
    <hyperlink r:id="rId10218" ref="C2584"/>
    <hyperlink r:id="rId10219" ref="C2585"/>
    <hyperlink r:id="rId10220" ref="C2586"/>
    <hyperlink r:id="rId10221" ref="C2587"/>
    <hyperlink r:id="rId10222" ref="C2588"/>
    <hyperlink r:id="rId10223" ref="C2589"/>
    <hyperlink r:id="rId10224" ref="C2590"/>
    <hyperlink r:id="rId10225" ref="C2591"/>
    <hyperlink r:id="rId10226" ref="C2592"/>
    <hyperlink r:id="rId10227" ref="C2593"/>
    <hyperlink r:id="rId10228" ref="C2594"/>
    <hyperlink r:id="rId10229" ref="C2595"/>
    <hyperlink r:id="rId10230" ref="C2596"/>
    <hyperlink r:id="rId10231" ref="C2597"/>
    <hyperlink r:id="rId10232" ref="C2598"/>
    <hyperlink r:id="rId10233" ref="C2599"/>
    <hyperlink r:id="rId10234" ref="C2600"/>
    <hyperlink r:id="rId10235" ref="C2601"/>
    <hyperlink r:id="rId10236" ref="C2602"/>
    <hyperlink r:id="rId10237" ref="C2603"/>
    <hyperlink r:id="rId10238" ref="C2604"/>
    <hyperlink r:id="rId10239" ref="C2605"/>
    <hyperlink r:id="rId10240" ref="C2606"/>
    <hyperlink r:id="rId10241" ref="C2607"/>
    <hyperlink r:id="rId10242" ref="C2608"/>
    <hyperlink r:id="rId10243" ref="C2609"/>
    <hyperlink r:id="rId10244" ref="C2610"/>
    <hyperlink r:id="rId10245" ref="C2611"/>
    <hyperlink r:id="rId10246" ref="C2612"/>
    <hyperlink r:id="rId10247" ref="C2613"/>
    <hyperlink r:id="rId10248" ref="C2614"/>
    <hyperlink r:id="rId10249" ref="C2615"/>
    <hyperlink r:id="rId10250" ref="C2616"/>
    <hyperlink r:id="rId10251" ref="C2617"/>
    <hyperlink r:id="rId10252" ref="C2618"/>
    <hyperlink r:id="rId10253" ref="C2619"/>
    <hyperlink r:id="rId10254" ref="C2620"/>
    <hyperlink r:id="rId10255" ref="C2621"/>
    <hyperlink r:id="rId10256" ref="C2622"/>
    <hyperlink r:id="rId10257" ref="C2623"/>
    <hyperlink r:id="rId10258" ref="C2624"/>
    <hyperlink r:id="rId10259" ref="C2625"/>
    <hyperlink r:id="rId10260" ref="C2626"/>
    <hyperlink r:id="rId10261" ref="C2627"/>
    <hyperlink r:id="rId10262" ref="C2628"/>
    <hyperlink r:id="rId10263" ref="C2629"/>
    <hyperlink r:id="rId10264" ref="C2630"/>
    <hyperlink r:id="rId10265" ref="C2631"/>
    <hyperlink r:id="rId10266" ref="C2632"/>
    <hyperlink r:id="rId10267" ref="C2633"/>
    <hyperlink r:id="rId10268" ref="C2634"/>
    <hyperlink r:id="rId10269" ref="C2635"/>
    <hyperlink r:id="rId10270" ref="C2636"/>
    <hyperlink r:id="rId10271" ref="C2637"/>
    <hyperlink r:id="rId10272" ref="C2638"/>
    <hyperlink r:id="rId10273" ref="C2639"/>
    <hyperlink r:id="rId10274" ref="C2640"/>
    <hyperlink r:id="rId10275" ref="C2641"/>
    <hyperlink r:id="rId10276" ref="C2642"/>
    <hyperlink r:id="rId10277" ref="C2643"/>
    <hyperlink r:id="rId10278" ref="C2644"/>
    <hyperlink r:id="rId10279" ref="C2645"/>
    <hyperlink r:id="rId10280" ref="C2646"/>
    <hyperlink r:id="rId10281" ref="C2647"/>
    <hyperlink r:id="rId10282" ref="C2648"/>
    <hyperlink r:id="rId10283" ref="C2649"/>
    <hyperlink r:id="rId10284" ref="C2650"/>
    <hyperlink r:id="rId10285" ref="C2651"/>
    <hyperlink r:id="rId10286" ref="C2652"/>
    <hyperlink r:id="rId10287" ref="C2653"/>
    <hyperlink r:id="rId10288" ref="C2654"/>
    <hyperlink r:id="rId10289" ref="C2655"/>
    <hyperlink r:id="rId10290" ref="C2656"/>
    <hyperlink r:id="rId10291" ref="C2657"/>
    <hyperlink r:id="rId10292" ref="J2657"/>
    <hyperlink r:id="rId10293" ref="L2657"/>
    <hyperlink r:id="rId10294" ref="C2658"/>
    <hyperlink r:id="rId10295" ref="J2658"/>
    <hyperlink r:id="rId10296" ref="C2659"/>
    <hyperlink r:id="rId10297" ref="C2660"/>
    <hyperlink r:id="rId10298" ref="C2661"/>
    <hyperlink r:id="rId10299" ref="C2662"/>
    <hyperlink r:id="rId10300" ref="C2663"/>
    <hyperlink r:id="rId10301" ref="C2664"/>
    <hyperlink r:id="rId10302" ref="C2665"/>
    <hyperlink r:id="rId10303" ref="C2666"/>
    <hyperlink r:id="rId10304" ref="C2667"/>
    <hyperlink r:id="rId10305" ref="C2668"/>
    <hyperlink r:id="rId10306" ref="C2669"/>
    <hyperlink r:id="rId10307" ref="C2670"/>
    <hyperlink r:id="rId10308" ref="C2671"/>
    <hyperlink r:id="rId10309" ref="C2672"/>
    <hyperlink r:id="rId10310" ref="C2673"/>
    <hyperlink r:id="rId10311" ref="C2674"/>
    <hyperlink r:id="rId10312" ref="C2675"/>
    <hyperlink r:id="rId10313" ref="C2676"/>
    <hyperlink r:id="rId10314" ref="C2677"/>
    <hyperlink r:id="rId10315" ref="C2678"/>
    <hyperlink r:id="rId10316" ref="C2679"/>
    <hyperlink r:id="rId10317" ref="C2680"/>
    <hyperlink r:id="rId10318" ref="C2681"/>
    <hyperlink r:id="rId10319" ref="C2682"/>
    <hyperlink r:id="rId10320" ref="C2683"/>
    <hyperlink r:id="rId10321" ref="C2684"/>
    <hyperlink r:id="rId10322" ref="C2685"/>
    <hyperlink r:id="rId10323" ref="C2686"/>
    <hyperlink r:id="rId10324" ref="C2687"/>
    <hyperlink r:id="rId10325" ref="C2688"/>
    <hyperlink r:id="rId10326" ref="C2689"/>
    <hyperlink r:id="rId10327" ref="B2690"/>
    <hyperlink r:id="rId10328" ref="C2690"/>
    <hyperlink r:id="rId10329" ref="C2691"/>
    <hyperlink r:id="rId10330" ref="C2692"/>
    <hyperlink r:id="rId10331" ref="C2693"/>
    <hyperlink r:id="rId10332" ref="C2694"/>
    <hyperlink r:id="rId10333" ref="C2695"/>
    <hyperlink r:id="rId10334" ref="C2696"/>
    <hyperlink r:id="rId10335" ref="C2697"/>
    <hyperlink r:id="rId10336" ref="C2698"/>
    <hyperlink r:id="rId10337" ref="C2699"/>
    <hyperlink r:id="rId10338" ref="C2700"/>
    <hyperlink r:id="rId10339" ref="C2701"/>
    <hyperlink r:id="rId10340" ref="C2702"/>
    <hyperlink r:id="rId10341" ref="C2703"/>
    <hyperlink r:id="rId10342" ref="C2704"/>
    <hyperlink r:id="rId10343" ref="C2705"/>
    <hyperlink r:id="rId10344" ref="C2706"/>
    <hyperlink r:id="rId10345" ref="C2707"/>
    <hyperlink r:id="rId10346" ref="C2708"/>
    <hyperlink r:id="rId10347" ref="C2709"/>
    <hyperlink r:id="rId10348" ref="C2710"/>
    <hyperlink r:id="rId10349" ref="C2711"/>
    <hyperlink r:id="rId10350" ref="C2712"/>
    <hyperlink r:id="rId10351" ref="C2713"/>
    <hyperlink r:id="rId10352" ref="C2714"/>
    <hyperlink r:id="rId10353" ref="C2715"/>
    <hyperlink r:id="rId10354" ref="C2716"/>
    <hyperlink r:id="rId10355" ref="C2717"/>
    <hyperlink r:id="rId10356" ref="C2718"/>
    <hyperlink r:id="rId10357" ref="C2719"/>
    <hyperlink r:id="rId10358" ref="C2720"/>
    <hyperlink r:id="rId10359" ref="C2721"/>
    <hyperlink r:id="rId10360" ref="C2722"/>
    <hyperlink r:id="rId10361" ref="C2723"/>
    <hyperlink r:id="rId10362" ref="C2724"/>
    <hyperlink r:id="rId10363" ref="C2725"/>
    <hyperlink r:id="rId10364" ref="C2726"/>
    <hyperlink r:id="rId10365" ref="C2727"/>
    <hyperlink r:id="rId10366" ref="C2728"/>
    <hyperlink r:id="rId10367" ref="B2729"/>
    <hyperlink r:id="rId10368" ref="C2729"/>
    <hyperlink r:id="rId10369" ref="C2730"/>
    <hyperlink r:id="rId10370" ref="C2731"/>
    <hyperlink r:id="rId10371" ref="C2732"/>
    <hyperlink r:id="rId10372" ref="C2733"/>
    <hyperlink r:id="rId10373" ref="C2734"/>
    <hyperlink r:id="rId10374" ref="C2735"/>
    <hyperlink r:id="rId10375" ref="C2736"/>
    <hyperlink r:id="rId10376" ref="C2737"/>
    <hyperlink r:id="rId10377" ref="C2738"/>
    <hyperlink r:id="rId10378" ref="C2739"/>
    <hyperlink r:id="rId10379" ref="C2740"/>
    <hyperlink r:id="rId10380" ref="C2741"/>
    <hyperlink r:id="rId10381" ref="C2742"/>
    <hyperlink r:id="rId10382" ref="C2743"/>
    <hyperlink r:id="rId10383" ref="C2744"/>
    <hyperlink r:id="rId10384" ref="C2745"/>
    <hyperlink r:id="rId10385" ref="C2746"/>
    <hyperlink r:id="rId10386" ref="C2747"/>
    <hyperlink r:id="rId10387" ref="C2748"/>
    <hyperlink r:id="rId10388" ref="C2749"/>
    <hyperlink r:id="rId10389" ref="C2750"/>
    <hyperlink r:id="rId10390" ref="C2751"/>
    <hyperlink r:id="rId10391" ref="C2752"/>
    <hyperlink r:id="rId10392" ref="C2753"/>
    <hyperlink r:id="rId10393" ref="C2754"/>
    <hyperlink r:id="rId10394" ref="C2755"/>
    <hyperlink r:id="rId10395" ref="C2756"/>
    <hyperlink r:id="rId10396" ref="C2757"/>
    <hyperlink r:id="rId10397" ref="C2758"/>
    <hyperlink r:id="rId10398" ref="C2759"/>
    <hyperlink r:id="rId10399" ref="C2760"/>
    <hyperlink r:id="rId10400" ref="C2761"/>
    <hyperlink r:id="rId10401" ref="C2762"/>
    <hyperlink r:id="rId10402" ref="C2763"/>
    <hyperlink r:id="rId10403" ref="C2764"/>
    <hyperlink r:id="rId10404" ref="C2765"/>
    <hyperlink r:id="rId10405" ref="C2766"/>
    <hyperlink r:id="rId10406" ref="C2767"/>
    <hyperlink r:id="rId10407" ref="C2768"/>
    <hyperlink r:id="rId10408" ref="C2769"/>
    <hyperlink r:id="rId10409" ref="C2770"/>
    <hyperlink r:id="rId10410" ref="C2771"/>
    <hyperlink r:id="rId10411" ref="C2772"/>
    <hyperlink r:id="rId10412" ref="C2773"/>
    <hyperlink r:id="rId10413" ref="C2774"/>
    <hyperlink r:id="rId10414" ref="C2775"/>
    <hyperlink r:id="rId10415" ref="C2776"/>
    <hyperlink r:id="rId10416" ref="B2777"/>
    <hyperlink r:id="rId10417" ref="C2777"/>
    <hyperlink r:id="rId10418" ref="C2778"/>
    <hyperlink r:id="rId10419" ref="C2779"/>
    <hyperlink r:id="rId10420" ref="C2780"/>
    <hyperlink r:id="rId10421" ref="C2781"/>
    <hyperlink r:id="rId10422" ref="C2782"/>
    <hyperlink r:id="rId10423" ref="C2783"/>
    <hyperlink r:id="rId10424" ref="C2784"/>
    <hyperlink r:id="rId10425" ref="C2785"/>
    <hyperlink r:id="rId10426" ref="C2786"/>
    <hyperlink r:id="rId10427" ref="C2787"/>
    <hyperlink r:id="rId10428" ref="C2788"/>
    <hyperlink r:id="rId10429" ref="C2789"/>
    <hyperlink r:id="rId10430" ref="C2790"/>
    <hyperlink r:id="rId10431" ref="C2791"/>
    <hyperlink r:id="rId10432" ref="C2792"/>
    <hyperlink r:id="rId10433" ref="C2793"/>
    <hyperlink r:id="rId10434" ref="C2794"/>
    <hyperlink r:id="rId10435" ref="C2795"/>
    <hyperlink r:id="rId10436" ref="C2796"/>
    <hyperlink r:id="rId10437" ref="C2797"/>
    <hyperlink r:id="rId10438" ref="C2798"/>
    <hyperlink r:id="rId10439" ref="C2799"/>
    <hyperlink r:id="rId10440" ref="C2800"/>
    <hyperlink r:id="rId10441" ref="C2801"/>
    <hyperlink r:id="rId10442" ref="C2802"/>
    <hyperlink r:id="rId10443" ref="C2803"/>
    <hyperlink r:id="rId10444" ref="C2804"/>
    <hyperlink r:id="rId10445" ref="C2805"/>
    <hyperlink r:id="rId10446" ref="C2806"/>
    <hyperlink r:id="rId10447" ref="C2807"/>
    <hyperlink r:id="rId10448" ref="C2808"/>
    <hyperlink r:id="rId10449" ref="C2809"/>
    <hyperlink r:id="rId10450" ref="C2810"/>
    <hyperlink r:id="rId10451" ref="C2811"/>
    <hyperlink r:id="rId10452" ref="C2812"/>
    <hyperlink r:id="rId10453" ref="C2813"/>
    <hyperlink r:id="rId10454" ref="C2814"/>
    <hyperlink r:id="rId10455" ref="C2815"/>
    <hyperlink r:id="rId10456" ref="C2816"/>
    <hyperlink r:id="rId10457" ref="C2817"/>
    <hyperlink r:id="rId10458" ref="C2818"/>
    <hyperlink r:id="rId10459" ref="C2819"/>
    <hyperlink r:id="rId10460" ref="C2820"/>
    <hyperlink r:id="rId10461" ref="C2821"/>
    <hyperlink r:id="rId10462" ref="C2822"/>
    <hyperlink r:id="rId10463" ref="C2823"/>
    <hyperlink r:id="rId10464" ref="C2824"/>
    <hyperlink r:id="rId10465" ref="C2825"/>
    <hyperlink r:id="rId10466" ref="C2826"/>
    <hyperlink r:id="rId10467" ref="C2827"/>
    <hyperlink r:id="rId10468" ref="C2828"/>
    <hyperlink r:id="rId10469" ref="C2829"/>
    <hyperlink r:id="rId10470" ref="C2830"/>
    <hyperlink r:id="rId10471" ref="C2831"/>
    <hyperlink r:id="rId10472" ref="C2832"/>
    <hyperlink r:id="rId10473" ref="C2833"/>
    <hyperlink r:id="rId10474" ref="C2834"/>
    <hyperlink r:id="rId10475" ref="C2835"/>
    <hyperlink r:id="rId10476" ref="C2836"/>
    <hyperlink r:id="rId10477" ref="C2837"/>
    <hyperlink r:id="rId10478" ref="C2838"/>
    <hyperlink r:id="rId10479" ref="C2839"/>
    <hyperlink r:id="rId10480" ref="C2840"/>
    <hyperlink r:id="rId10481" ref="C2841"/>
    <hyperlink r:id="rId10482" ref="C2842"/>
    <hyperlink r:id="rId10483" ref="C2843"/>
    <hyperlink r:id="rId10484" ref="C2844"/>
    <hyperlink r:id="rId10485" ref="C2845"/>
    <hyperlink r:id="rId10486" ref="C2846"/>
    <hyperlink r:id="rId10487" ref="C2847"/>
    <hyperlink r:id="rId10488" ref="C2848"/>
    <hyperlink r:id="rId10489" ref="C2849"/>
    <hyperlink r:id="rId10490" ref="C2850"/>
    <hyperlink r:id="rId10491" ref="C2851"/>
    <hyperlink r:id="rId10492" ref="C2852"/>
    <hyperlink r:id="rId10493" ref="C2853"/>
    <hyperlink r:id="rId10494" ref="C2854"/>
    <hyperlink r:id="rId10495" ref="C2855"/>
    <hyperlink r:id="rId10496" ref="C2856"/>
  </hyperlinks>
  <drawing r:id="rId1049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22.38"/>
  </cols>
  <sheetData>
    <row r="1">
      <c r="A1" s="213" t="s">
        <v>455</v>
      </c>
      <c r="B1" s="214"/>
      <c r="C1" s="214"/>
      <c r="D1" s="214"/>
      <c r="E1" s="214"/>
      <c r="F1" s="215"/>
      <c r="G1" s="213" t="s">
        <v>328</v>
      </c>
      <c r="H1" s="214"/>
      <c r="I1" s="216"/>
      <c r="J1" s="472"/>
      <c r="K1" s="217" t="s">
        <v>456</v>
      </c>
      <c r="L1" s="214"/>
      <c r="M1" s="214"/>
      <c r="N1" s="216"/>
    </row>
    <row r="2">
      <c r="A2" s="473" t="s">
        <v>490</v>
      </c>
      <c r="B2" s="220"/>
      <c r="C2" s="474" t="s">
        <v>491</v>
      </c>
      <c r="D2" s="473" t="s">
        <v>478</v>
      </c>
      <c r="E2" s="220"/>
      <c r="F2" s="475"/>
      <c r="G2" s="221" t="s">
        <v>327</v>
      </c>
      <c r="H2" s="214"/>
      <c r="I2" s="216"/>
      <c r="J2" s="472"/>
      <c r="K2" s="222" t="s">
        <v>458</v>
      </c>
      <c r="L2" s="214"/>
      <c r="M2" s="214"/>
      <c r="N2" s="216"/>
      <c r="P2" s="15" t="s">
        <v>492</v>
      </c>
      <c r="Q2" s="17">
        <f>COUNTIF(J:P," Concept 1")</f>
        <v>50</v>
      </c>
    </row>
    <row r="3">
      <c r="A3" s="476" t="s">
        <v>493</v>
      </c>
      <c r="B3" s="224"/>
      <c r="C3" s="477"/>
      <c r="D3" s="478" t="s">
        <v>494</v>
      </c>
      <c r="E3" s="224"/>
      <c r="F3" s="479"/>
      <c r="G3" s="226">
        <f>Maindata!I5</f>
        <v>500000000</v>
      </c>
      <c r="H3" s="227"/>
      <c r="I3" s="228"/>
      <c r="J3" s="472"/>
      <c r="K3" s="229" t="s">
        <v>459</v>
      </c>
      <c r="L3" s="216"/>
      <c r="M3" s="230" t="s">
        <v>460</v>
      </c>
      <c r="N3" s="216"/>
      <c r="P3" s="15" t="s">
        <v>495</v>
      </c>
      <c r="Q3" s="17">
        <f>COUNTIF(J:P,"Concept 2")</f>
        <v>38</v>
      </c>
    </row>
    <row r="4">
      <c r="A4" s="231"/>
      <c r="B4" s="220"/>
      <c r="C4" s="480"/>
      <c r="D4" s="231"/>
      <c r="E4" s="220"/>
      <c r="F4" s="479"/>
      <c r="G4" s="232"/>
      <c r="H4" s="233"/>
      <c r="I4" s="234"/>
      <c r="J4" s="472"/>
      <c r="K4" s="298">
        <f>IFERROR(__xludf.DUMMYFUNCTION("IMPORTRANGE(""https://docs.google.com/spreadsheets/d/1XGHyffJQ7KjI292zt5QVK_1XTfEMh_HDpl_2BHAzd4c/edit?gid=1335890585#gid=1335890585"",""QAHIRA!H16"")        "),1.5E7)</f>
        <v>15000000</v>
      </c>
      <c r="L4" s="228"/>
      <c r="M4" s="298">
        <f>IFERROR(__xludf.DUMMYFUNCTION("IMPORTRANGE(""https://docs.google.com/spreadsheets/d/1XGHyffJQ7KjI292zt5QVK_1XTfEMh_HDpl_2BHAzd4c/edit?gid=1335890585#gid=1335890585"",""QAHIRA!H21"")        "),3.0E7)</f>
        <v>30000000</v>
      </c>
      <c r="N4" s="228"/>
      <c r="P4" s="15" t="s">
        <v>496</v>
      </c>
      <c r="Q4" s="17">
        <f>COUNTIF(J:P,"Concept 3")</f>
        <v>63</v>
      </c>
    </row>
    <row r="5">
      <c r="A5" s="481" t="s">
        <v>497</v>
      </c>
      <c r="B5" s="224"/>
      <c r="C5" s="477"/>
      <c r="D5" s="478" t="s">
        <v>498</v>
      </c>
      <c r="E5" s="224"/>
      <c r="F5" s="482"/>
      <c r="G5" s="237" t="s">
        <v>461</v>
      </c>
      <c r="H5" s="214"/>
      <c r="I5" s="216"/>
      <c r="J5" s="472"/>
      <c r="K5" s="232"/>
      <c r="L5" s="234"/>
      <c r="M5" s="232"/>
      <c r="N5" s="234"/>
      <c r="P5" s="15" t="s">
        <v>499</v>
      </c>
      <c r="Q5" s="17">
        <f>COUNTIF(J:P,"Concept 4")</f>
        <v>29</v>
      </c>
    </row>
    <row r="6">
      <c r="A6" s="91"/>
      <c r="B6" s="483"/>
      <c r="C6" s="124"/>
      <c r="D6" s="91"/>
      <c r="E6" s="483"/>
      <c r="F6" s="479"/>
      <c r="G6" s="226">
        <f>Maindata!J5</f>
        <v>98661174.6</v>
      </c>
      <c r="H6" s="227"/>
      <c r="I6" s="228"/>
      <c r="J6" s="472"/>
      <c r="K6" s="302" t="s">
        <v>462</v>
      </c>
      <c r="L6" s="214"/>
      <c r="M6" s="214"/>
      <c r="N6" s="216"/>
      <c r="P6" s="15" t="s">
        <v>500</v>
      </c>
      <c r="Q6" s="17">
        <f>COUNTIF(J:P,"Concept 5")</f>
        <v>33</v>
      </c>
    </row>
    <row r="7">
      <c r="A7" s="231"/>
      <c r="B7" s="220"/>
      <c r="C7" s="480"/>
      <c r="D7" s="231"/>
      <c r="E7" s="220"/>
      <c r="F7" s="479"/>
      <c r="G7" s="232"/>
      <c r="H7" s="233"/>
      <c r="I7" s="234"/>
      <c r="J7" s="472"/>
      <c r="K7" s="298">
        <f>IFERROR(__xludf.DUMMYFUNCTION("IMPORTRANGE(""https://docs.google.com/spreadsheets/d/1XGHyffJQ7KjI292zt5QVK_1XTfEMh_HDpl_2BHAzd4c/edit?gid=1335890585#gid=1335890585"",""QAHIRA!H2"")        "),9260000.0)</f>
        <v>9260000</v>
      </c>
      <c r="L7" s="228"/>
      <c r="M7" s="299">
        <f>IFERROR(__xludf.DUMMYFUNCTION("IMPORTRANGE(""https://docs.google.com/spreadsheets/d/1XGHyffJQ7KjI292zt5QVK_1XTfEMh_HDpl_2BHAzd4c/edit?gid=1335890585#gid=1335890585"",""QAHIRA!K4"")        "),1.724E7)</f>
        <v>17240000</v>
      </c>
      <c r="N7" s="228"/>
      <c r="P7" s="4" t="s">
        <v>501</v>
      </c>
      <c r="Q7" s="17">
        <f>COUNTIF(I17:I1013,"sampai")</f>
        <v>124</v>
      </c>
    </row>
    <row r="8">
      <c r="A8" s="476" t="s">
        <v>502</v>
      </c>
      <c r="B8" s="224"/>
      <c r="C8" s="477"/>
      <c r="D8" s="478" t="s">
        <v>503</v>
      </c>
      <c r="E8" s="224"/>
      <c r="F8" s="484"/>
      <c r="G8" s="239" t="s">
        <v>329</v>
      </c>
      <c r="H8" s="214"/>
      <c r="I8" s="216"/>
      <c r="J8" s="472"/>
      <c r="K8" s="232"/>
      <c r="L8" s="234"/>
      <c r="M8" s="232"/>
      <c r="N8" s="234"/>
    </row>
    <row r="9">
      <c r="A9" s="91"/>
      <c r="B9" s="483"/>
      <c r="C9" s="124"/>
      <c r="D9" s="91"/>
      <c r="E9" s="483"/>
      <c r="F9" s="485"/>
      <c r="G9" s="240">
        <f>G6/G3</f>
        <v>0.1973223492</v>
      </c>
      <c r="H9" s="227"/>
      <c r="I9" s="228"/>
      <c r="J9" s="472"/>
      <c r="K9" s="292" t="s">
        <v>463</v>
      </c>
      <c r="L9" s="214"/>
      <c r="M9" s="214"/>
      <c r="N9" s="216"/>
    </row>
    <row r="10">
      <c r="A10" s="231"/>
      <c r="B10" s="220"/>
      <c r="C10" s="480"/>
      <c r="D10" s="231"/>
      <c r="E10" s="220"/>
      <c r="F10" s="485"/>
      <c r="G10" s="232"/>
      <c r="H10" s="233"/>
      <c r="I10" s="234"/>
      <c r="J10" s="472"/>
      <c r="K10" s="298">
        <f>K4-K7</f>
        <v>5740000</v>
      </c>
      <c r="L10" s="228"/>
      <c r="M10" s="299">
        <f>M4-M7</f>
        <v>12760000</v>
      </c>
      <c r="N10" s="228"/>
    </row>
    <row r="11">
      <c r="A11" s="476" t="s">
        <v>504</v>
      </c>
      <c r="B11" s="224"/>
      <c r="C11" s="477"/>
      <c r="D11" s="478" t="s">
        <v>505</v>
      </c>
      <c r="E11" s="224"/>
      <c r="F11" s="3"/>
      <c r="J11" s="486"/>
      <c r="K11" s="232"/>
      <c r="L11" s="234"/>
      <c r="M11" s="232"/>
      <c r="N11" s="234"/>
    </row>
    <row r="12">
      <c r="A12" s="91"/>
      <c r="B12" s="483"/>
      <c r="C12" s="124"/>
      <c r="D12" s="91"/>
      <c r="E12" s="483"/>
      <c r="F12" s="3"/>
      <c r="J12" s="486"/>
      <c r="K12" s="215"/>
      <c r="L12" s="215"/>
      <c r="M12" s="243"/>
      <c r="N12" s="243"/>
      <c r="O12" s="243"/>
      <c r="P12" s="243"/>
      <c r="Q12" s="48"/>
      <c r="R12" s="48"/>
      <c r="S12" s="48"/>
      <c r="T12" s="48"/>
    </row>
    <row r="13">
      <c r="A13" s="231"/>
      <c r="B13" s="220"/>
      <c r="C13" s="480"/>
      <c r="D13" s="231"/>
      <c r="E13" s="220"/>
      <c r="F13" s="3"/>
      <c r="J13" s="486"/>
      <c r="K13" s="215"/>
      <c r="L13" s="215"/>
      <c r="M13" s="243"/>
      <c r="N13" s="243"/>
      <c r="O13" s="243"/>
      <c r="P13" s="243"/>
      <c r="Q13" s="48"/>
      <c r="R13" s="48"/>
      <c r="S13" s="48"/>
      <c r="T13" s="48"/>
    </row>
    <row r="14">
      <c r="A14" s="245"/>
      <c r="B14" s="245"/>
      <c r="F14" s="3"/>
      <c r="J14" s="472"/>
      <c r="K14" s="243"/>
      <c r="L14" s="243"/>
      <c r="M14" s="243"/>
      <c r="N14" s="243"/>
      <c r="O14" s="243"/>
      <c r="P14" s="243"/>
      <c r="Q14" s="48"/>
      <c r="R14" s="48"/>
      <c r="S14" s="48"/>
      <c r="T14" s="48"/>
    </row>
    <row r="15">
      <c r="A15" s="247"/>
      <c r="B15" s="247"/>
      <c r="C15" s="247"/>
      <c r="D15" s="247"/>
      <c r="E15" s="247"/>
      <c r="F15" s="247"/>
      <c r="G15" s="487"/>
      <c r="H15" s="247"/>
      <c r="I15" s="247"/>
      <c r="J15" s="488"/>
      <c r="K15" s="247"/>
      <c r="L15" s="247"/>
      <c r="M15" s="247"/>
      <c r="N15" s="247"/>
      <c r="O15" s="247"/>
      <c r="P15" s="247"/>
      <c r="Q15" s="247"/>
      <c r="R15" s="248" t="s">
        <v>464</v>
      </c>
      <c r="S15" s="249"/>
      <c r="T15" s="248" t="s">
        <v>465</v>
      </c>
      <c r="U15" s="249"/>
    </row>
    <row r="16">
      <c r="A16" s="251" t="s">
        <v>466</v>
      </c>
      <c r="B16" s="251" t="s">
        <v>467</v>
      </c>
      <c r="C16" s="251" t="s">
        <v>468</v>
      </c>
      <c r="D16" s="251" t="s">
        <v>469</v>
      </c>
      <c r="E16" s="489" t="s">
        <v>470</v>
      </c>
      <c r="F16" s="251" t="s">
        <v>471</v>
      </c>
      <c r="G16" s="332" t="s">
        <v>484</v>
      </c>
      <c r="H16" s="251" t="s">
        <v>457</v>
      </c>
      <c r="I16" s="332" t="s">
        <v>472</v>
      </c>
      <c r="J16" s="251" t="s">
        <v>455</v>
      </c>
      <c r="K16" s="251" t="s">
        <v>473</v>
      </c>
      <c r="L16" s="251" t="s">
        <v>455</v>
      </c>
      <c r="M16" s="251" t="s">
        <v>474</v>
      </c>
      <c r="N16" s="251" t="s">
        <v>455</v>
      </c>
      <c r="O16" s="251" t="s">
        <v>475</v>
      </c>
      <c r="P16" s="251" t="s">
        <v>455</v>
      </c>
      <c r="Q16" s="251" t="s">
        <v>476</v>
      </c>
      <c r="R16" s="248" t="s">
        <v>427</v>
      </c>
      <c r="S16" s="248" t="s">
        <v>477</v>
      </c>
      <c r="T16" s="248" t="s">
        <v>427</v>
      </c>
      <c r="U16" s="248" t="s">
        <v>477</v>
      </c>
    </row>
    <row r="17">
      <c r="A17" s="255" t="str">
        <f>IFERROR(__xludf.DUMMYFUNCTION("QUERY(IMPORTRANGE(""https://docs.google.com/spreadsheets/d/10wdjc5GKQIqHka9D7QGq1b4WkRuVqG0ylA8lw57ns-I/edit?usp=sharing"", ""QAHIRA!A3:AB1000""), ""SELECT Col1, Col2, Col3, Col4, Col5, Col6, Col10, Col11, Col16, Col17, Col18, Col19, Col20, Col21, Col22, "&amp;"Col23, Col24, Col25, Col26, Col27, Col28 WHERE Col12 = 'Approved'"")"),"NANO")</f>
        <v>NANO</v>
      </c>
      <c r="B17" s="490" t="str">
        <f>IFERROR(__xludf.DUMMYFUNCTION("""COMPUTED_VALUE"""),"manis_3521")</f>
        <v>manis_3521</v>
      </c>
      <c r="C17" s="281" t="str">
        <f>IFERROR(__xludf.DUMMYFUNCTION("""COMPUTED_VALUE"""),"https://www.tiktok.com/@manis_3521")</f>
        <v>https://www.tiktok.com/@manis_3521</v>
      </c>
      <c r="D17" s="491">
        <f>IFERROR(__xludf.DUMMYFUNCTION("""COMPUTED_VALUE"""),8.8806531221E10)</f>
        <v>88806531221</v>
      </c>
      <c r="E17" s="492">
        <f>IFERROR(__xludf.DUMMYFUNCTION("""COMPUTED_VALUE"""),0.0)</f>
        <v>0</v>
      </c>
      <c r="F17" s="491">
        <f>IFERROR(__xludf.DUMMYFUNCTION("""COMPUTED_VALUE"""),3.0)</f>
        <v>3</v>
      </c>
      <c r="G17" s="493" t="str">
        <f>IFERROR(__xludf.DUMMYFUNCTION("""COMPUTED_VALUE"""),"Rp1JT+")</f>
        <v>Rp1JT+</v>
      </c>
      <c r="H17" s="466" t="str">
        <f>IFERROR(__xludf.DUMMYFUNCTION("""COMPUTED_VALUE"""),"Minyak Oles Benjolan")</f>
        <v>Minyak Oles Benjolan</v>
      </c>
      <c r="I17" s="260" t="str">
        <f>IFERROR(__xludf.DUMMYFUNCTION("""COMPUTED_VALUE"""),"Sampai")</f>
        <v>Sampai</v>
      </c>
      <c r="J17" s="494" t="str">
        <f>IFERROR(__xludf.DUMMYFUNCTION("""COMPUTED_VALUE"""),"Concept 3")</f>
        <v>Concept 3</v>
      </c>
      <c r="K17" s="278" t="str">
        <f>IFERROR(__xludf.DUMMYFUNCTION("""COMPUTED_VALUE"""),"https://vt.tiktok.com/ZSmDQFBSD/")</f>
        <v>https://vt.tiktok.com/ZSmDQFBSD/</v>
      </c>
      <c r="L17" s="495" t="str">
        <f>IFERROR(__xludf.DUMMYFUNCTION("""COMPUTED_VALUE"""),"Concept 4")</f>
        <v>Concept 4</v>
      </c>
      <c r="M17" s="278" t="str">
        <f>IFERROR(__xludf.DUMMYFUNCTION("""COMPUTED_VALUE"""),"https://vt.tiktok.com/ZSmUSPSM1/")</f>
        <v>https://vt.tiktok.com/ZSmUSPSM1/</v>
      </c>
      <c r="N17" s="495" t="str">
        <f>IFERROR(__xludf.DUMMYFUNCTION("""COMPUTED_VALUE"""),"Concept 2")</f>
        <v>Concept 2</v>
      </c>
      <c r="O17" s="496" t="str">
        <f>IFERROR(__xludf.DUMMYFUNCTION("""COMPUTED_VALUE"""),"https://vt.tiktok.com/ZSmQBLGLB/")</f>
        <v>https://vt.tiktok.com/ZSmQBLGLB/</v>
      </c>
      <c r="P17" s="495"/>
      <c r="Q17" s="262"/>
      <c r="R17" s="497">
        <f>IFERROR(__xludf.DUMMYFUNCTION("""COMPUTED_VALUE"""),175417.0)</f>
        <v>175417</v>
      </c>
      <c r="S17" s="497"/>
      <c r="T17" s="497">
        <f>IFERROR(__xludf.DUMMYFUNCTION("""COMPUTED_VALUE"""),861834.84)</f>
        <v>861834.84</v>
      </c>
      <c r="U17" s="497"/>
    </row>
    <row r="18">
      <c r="A18" s="255" t="str">
        <f>IFERROR(__xludf.DUMMYFUNCTION("""COMPUTED_VALUE"""),"MICRO")</f>
        <v>MICRO</v>
      </c>
      <c r="B18" s="490" t="str">
        <f>IFERROR(__xludf.DUMMYFUNCTION("""COMPUTED_VALUE"""),"indribilal25")</f>
        <v>indribilal25</v>
      </c>
      <c r="C18" s="281" t="str">
        <f>IFERROR(__xludf.DUMMYFUNCTION("""COMPUTED_VALUE"""),"https://www.tiktok.com/@indribilal25")</f>
        <v>https://www.tiktok.com/@indribilal25</v>
      </c>
      <c r="D18" s="491">
        <f>IFERROR(__xludf.DUMMYFUNCTION("""COMPUTED_VALUE"""),8.5780455044E10)</f>
        <v>85780455044</v>
      </c>
      <c r="E18" s="492">
        <f>IFERROR(__xludf.DUMMYFUNCTION("""COMPUTED_VALUE"""),0.0)</f>
        <v>0</v>
      </c>
      <c r="F18" s="491">
        <f>IFERROR(__xludf.DUMMYFUNCTION("""COMPUTED_VALUE"""),2.0)</f>
        <v>2</v>
      </c>
      <c r="G18" s="493" t="str">
        <f>IFERROR(__xludf.DUMMYFUNCTION("""COMPUTED_VALUE"""),"Rp7,4JT")</f>
        <v>Rp7,4JT</v>
      </c>
      <c r="H18" s="466" t="str">
        <f>IFERROR(__xludf.DUMMYFUNCTION("""COMPUTED_VALUE"""),"Minyak Oles Benjolan")</f>
        <v>Minyak Oles Benjolan</v>
      </c>
      <c r="I18" s="260" t="str">
        <f>IFERROR(__xludf.DUMMYFUNCTION("""COMPUTED_VALUE"""),"Sampai")</f>
        <v>Sampai</v>
      </c>
      <c r="J18" s="494" t="str">
        <f>IFERROR(__xludf.DUMMYFUNCTION("""COMPUTED_VALUE"""),"Concept 3")</f>
        <v>Concept 3</v>
      </c>
      <c r="K18" s="278" t="str">
        <f>IFERROR(__xludf.DUMMYFUNCTION("""COMPUTED_VALUE"""),"https://vt.tiktok.com/ZSmUqfApx/")</f>
        <v>https://vt.tiktok.com/ZSmUqfApx/</v>
      </c>
      <c r="L18" s="495" t="str">
        <f>IFERROR(__xludf.DUMMYFUNCTION("""COMPUTED_VALUE""")," Concept 1")</f>
        <v> Concept 1</v>
      </c>
      <c r="M18" s="278" t="str">
        <f>IFERROR(__xludf.DUMMYFUNCTION("""COMPUTED_VALUE"""),"https://vt.tiktok.com/ZSmQ9gYjf/")</f>
        <v>https://vt.tiktok.com/ZSmQ9gYjf/</v>
      </c>
      <c r="N18" s="495"/>
      <c r="O18" s="262"/>
      <c r="P18" s="495"/>
      <c r="Q18" s="262"/>
      <c r="R18" s="498">
        <f>IFERROR(__xludf.DUMMYFUNCTION("""COMPUTED_VALUE"""),1719006.0)</f>
        <v>1719006</v>
      </c>
      <c r="S18" s="498"/>
      <c r="T18" s="499">
        <f>IFERROR(__xludf.DUMMYFUNCTION("""COMPUTED_VALUE"""),1702985.92)</f>
        <v>1702985.92</v>
      </c>
      <c r="U18" s="499"/>
    </row>
    <row r="19">
      <c r="A19" s="255" t="str">
        <f>IFERROR(__xludf.DUMMYFUNCTION("""COMPUTED_VALUE"""),"NANO")</f>
        <v>NANO</v>
      </c>
      <c r="B19" s="490" t="str">
        <f>IFERROR(__xludf.DUMMYFUNCTION("""COMPUTED_VALUE"""),"fey_mel21")</f>
        <v>fey_mel21</v>
      </c>
      <c r="C19" s="281" t="str">
        <f>IFERROR(__xludf.DUMMYFUNCTION("""COMPUTED_VALUE"""),"https://www.tiktok.com/@fey_mel21")</f>
        <v>https://www.tiktok.com/@fey_mel21</v>
      </c>
      <c r="D19" s="491">
        <f>IFERROR(__xludf.DUMMYFUNCTION("""COMPUTED_VALUE"""),8.190775048E10)</f>
        <v>81907750480</v>
      </c>
      <c r="E19" s="492">
        <f>IFERROR(__xludf.DUMMYFUNCTION("""COMPUTED_VALUE"""),0.0)</f>
        <v>0</v>
      </c>
      <c r="F19" s="491">
        <f>IFERROR(__xludf.DUMMYFUNCTION("""COMPUTED_VALUE"""),3.0)</f>
        <v>3</v>
      </c>
      <c r="G19" s="493" t="str">
        <f>IFERROR(__xludf.DUMMYFUNCTION("""COMPUTED_VALUE"""),"Rp10,1JT")</f>
        <v>Rp10,1JT</v>
      </c>
      <c r="H19" s="466" t="str">
        <f>IFERROR(__xludf.DUMMYFUNCTION("""COMPUTED_VALUE"""),"Minyak Oles Benjolan")</f>
        <v>Minyak Oles Benjolan</v>
      </c>
      <c r="I19" s="260" t="str">
        <f>IFERROR(__xludf.DUMMYFUNCTION("""COMPUTED_VALUE"""),"Sampai")</f>
        <v>Sampai</v>
      </c>
      <c r="J19" s="494" t="str">
        <f>IFERROR(__xludf.DUMMYFUNCTION("""COMPUTED_VALUE"""),"Concept 4")</f>
        <v>Concept 4</v>
      </c>
      <c r="K19" s="280" t="str">
        <f>IFERROR(__xludf.DUMMYFUNCTION("""COMPUTED_VALUE"""),"https://vt.tiktok.com/ZSuDeXU4e")</f>
        <v>https://vt.tiktok.com/ZSuDeXU4e</v>
      </c>
      <c r="L19" s="495" t="str">
        <f>IFERROR(__xludf.DUMMYFUNCTION("""COMPUTED_VALUE""")," Concept 1")</f>
        <v> Concept 1</v>
      </c>
      <c r="M19" s="262"/>
      <c r="N19" s="495"/>
      <c r="O19" s="262"/>
      <c r="P19" s="495"/>
      <c r="Q19" s="262"/>
      <c r="R19" s="498"/>
      <c r="S19" s="498"/>
      <c r="T19" s="499"/>
      <c r="U19" s="499"/>
    </row>
    <row r="20">
      <c r="A20" s="255" t="str">
        <f>IFERROR(__xludf.DUMMYFUNCTION("""COMPUTED_VALUE"""),"NANO")</f>
        <v>NANO</v>
      </c>
      <c r="B20" s="490" t="str">
        <f>IFERROR(__xludf.DUMMYFUNCTION("""COMPUTED_VALUE"""),"nurulaini280902")</f>
        <v>nurulaini280902</v>
      </c>
      <c r="C20" s="281" t="str">
        <f>IFERROR(__xludf.DUMMYFUNCTION("""COMPUTED_VALUE"""),"https://www.tiktok.com/@nurulaini280902")</f>
        <v>https://www.tiktok.com/@nurulaini280902</v>
      </c>
      <c r="D20" s="491">
        <f>IFERROR(__xludf.DUMMYFUNCTION("""COMPUTED_VALUE"""),8.2325887147E10)</f>
        <v>82325887147</v>
      </c>
      <c r="E20" s="492">
        <f>IFERROR(__xludf.DUMMYFUNCTION("""COMPUTED_VALUE"""),0.0)</f>
        <v>0</v>
      </c>
      <c r="F20" s="491">
        <f>IFERROR(__xludf.DUMMYFUNCTION("""COMPUTED_VALUE"""),3.0)</f>
        <v>3</v>
      </c>
      <c r="G20" s="493" t="str">
        <f>IFERROR(__xludf.DUMMYFUNCTION("""COMPUTED_VALUE"""),"Rp2,9JT")</f>
        <v>Rp2,9JT</v>
      </c>
      <c r="H20" s="466" t="str">
        <f>IFERROR(__xludf.DUMMYFUNCTION("""COMPUTED_VALUE"""),"Minyak Oles Benjolan")</f>
        <v>Minyak Oles Benjolan</v>
      </c>
      <c r="I20" s="260" t="str">
        <f>IFERROR(__xludf.DUMMYFUNCTION("""COMPUTED_VALUE"""),"Sampai")</f>
        <v>Sampai</v>
      </c>
      <c r="J20" s="494" t="str">
        <f>IFERROR(__xludf.DUMMYFUNCTION("""COMPUTED_VALUE"""),"Concept 3")</f>
        <v>Concept 3</v>
      </c>
      <c r="K20" s="278" t="str">
        <f>IFERROR(__xludf.DUMMYFUNCTION("""COMPUTED_VALUE"""),"https://vt.tiktok.com/ZSmmAb1KK/")</f>
        <v>https://vt.tiktok.com/ZSmmAb1KK/</v>
      </c>
      <c r="L20" s="495" t="str">
        <f>IFERROR(__xludf.DUMMYFUNCTION("""COMPUTED_VALUE""")," Concept 1")</f>
        <v> Concept 1</v>
      </c>
      <c r="M20" s="278" t="str">
        <f>IFERROR(__xludf.DUMMYFUNCTION("""COMPUTED_VALUE"""),"https://vt.tiktok.com/ZSmXC8oug/")</f>
        <v>https://vt.tiktok.com/ZSmXC8oug/</v>
      </c>
      <c r="N20" s="495" t="str">
        <f>IFERROR(__xludf.DUMMYFUNCTION("""COMPUTED_VALUE"""),"Concept 4")</f>
        <v>Concept 4</v>
      </c>
      <c r="O20" s="278" t="str">
        <f>IFERROR(__xludf.DUMMYFUNCTION("""COMPUTED_VALUE"""),"https://vt.tiktok.com/ZSmsSg34S/")</f>
        <v>https://vt.tiktok.com/ZSmsSg34S/</v>
      </c>
      <c r="P20" s="495"/>
      <c r="Q20" s="278" t="str">
        <f>IFERROR(__xludf.DUMMYFUNCTION("""COMPUTED_VALUE"""),"https://vt.tiktok.com/ZSHPR3aUY/")</f>
        <v>https://vt.tiktok.com/ZSHPR3aUY/</v>
      </c>
      <c r="R20" s="498">
        <f>IFERROR(__xludf.DUMMYFUNCTION("""COMPUTED_VALUE"""),2829834.0)</f>
        <v>2829834</v>
      </c>
      <c r="S20" s="498"/>
      <c r="T20" s="499">
        <f>IFERROR(__xludf.DUMMYFUNCTION("""COMPUTED_VALUE"""),1.960653216E7)</f>
        <v>19606532.16</v>
      </c>
      <c r="U20" s="499"/>
    </row>
    <row r="21">
      <c r="A21" s="255" t="str">
        <f>IFERROR(__xludf.DUMMYFUNCTION("""COMPUTED_VALUE"""),"NANO")</f>
        <v>NANO</v>
      </c>
      <c r="B21" s="490" t="str">
        <f>IFERROR(__xludf.DUMMYFUNCTION("""COMPUTED_VALUE"""),"emirhabibi89")</f>
        <v>emirhabibi89</v>
      </c>
      <c r="C21" s="281" t="str">
        <f>IFERROR(__xludf.DUMMYFUNCTION("""COMPUTED_VALUE"""),"https://www.tiktok.com/@emirhabibi89")</f>
        <v>https://www.tiktok.com/@emirhabibi89</v>
      </c>
      <c r="D21" s="491">
        <f>IFERROR(__xludf.DUMMYFUNCTION("""COMPUTED_VALUE"""),8.2314166642E10)</f>
        <v>82314166642</v>
      </c>
      <c r="E21" s="492">
        <f>IFERROR(__xludf.DUMMYFUNCTION("""COMPUTED_VALUE"""),0.0)</f>
        <v>0</v>
      </c>
      <c r="F21" s="491">
        <f>IFERROR(__xludf.DUMMYFUNCTION("""COMPUTED_VALUE"""),3.0)</f>
        <v>3</v>
      </c>
      <c r="G21" s="493" t="str">
        <f>IFERROR(__xludf.DUMMYFUNCTION("""COMPUTED_VALUE"""),"Rp1JT+")</f>
        <v>Rp1JT+</v>
      </c>
      <c r="H21" s="466" t="str">
        <f>IFERROR(__xludf.DUMMYFUNCTION("""COMPUTED_VALUE"""),"Minyak Oles Benjolan")</f>
        <v>Minyak Oles Benjolan</v>
      </c>
      <c r="I21" s="260" t="str">
        <f>IFERROR(__xludf.DUMMYFUNCTION("""COMPUTED_VALUE"""),"Sampai")</f>
        <v>Sampai</v>
      </c>
      <c r="J21" s="494" t="str">
        <f>IFERROR(__xludf.DUMMYFUNCTION("""COMPUTED_VALUE"""),"Concept 4")</f>
        <v>Concept 4</v>
      </c>
      <c r="K21" s="278" t="str">
        <f>IFERROR(__xludf.DUMMYFUNCTION("""COMPUTED_VALUE"""),"https://vt.tiktok.com/ZSmXVQXng/")</f>
        <v>https://vt.tiktok.com/ZSmXVQXng/</v>
      </c>
      <c r="L21" s="495" t="str">
        <f>IFERROR(__xludf.DUMMYFUNCTION("""COMPUTED_VALUE"""),"Concept 3")</f>
        <v>Concept 3</v>
      </c>
      <c r="M21" s="278" t="str">
        <f>IFERROR(__xludf.DUMMYFUNCTION("""COMPUTED_VALUE"""),"https://vt.tiktok.com/ZSu821MH6/")</f>
        <v>https://vt.tiktok.com/ZSu821MH6/</v>
      </c>
      <c r="N21" s="495" t="str">
        <f>IFERROR(__xludf.DUMMYFUNCTION("""COMPUTED_VALUE""")," Concept 1")</f>
        <v> Concept 1</v>
      </c>
      <c r="O21" s="278" t="str">
        <f>IFERROR(__xludf.DUMMYFUNCTION("""COMPUTED_VALUE"""),"https://vt.tiktok.com/ZSHFfSh9j/")</f>
        <v>https://vt.tiktok.com/ZSHFfSh9j/</v>
      </c>
      <c r="P21" s="495"/>
      <c r="Q21" s="262"/>
      <c r="R21" s="498"/>
      <c r="S21" s="498"/>
      <c r="T21" s="499"/>
      <c r="U21" s="499"/>
    </row>
    <row r="22">
      <c r="A22" s="255" t="str">
        <f>IFERROR(__xludf.DUMMYFUNCTION("""COMPUTED_VALUE"""),"NANO")</f>
        <v>NANO</v>
      </c>
      <c r="B22" s="490" t="str">
        <f>IFERROR(__xludf.DUMMYFUNCTION("""COMPUTED_VALUE"""),"sintiayaaabarokah")</f>
        <v>sintiayaaabarokah</v>
      </c>
      <c r="C22" s="281" t="str">
        <f>IFERROR(__xludf.DUMMYFUNCTION("""COMPUTED_VALUE"""),"https://www.tiktok.com/@sintiayaaabarokah")</f>
        <v>https://www.tiktok.com/@sintiayaaabarokah</v>
      </c>
      <c r="D22" s="491">
        <f>IFERROR(__xludf.DUMMYFUNCTION("""COMPUTED_VALUE"""),8.1214157515E10)</f>
        <v>81214157515</v>
      </c>
      <c r="E22" s="492">
        <f>IFERROR(__xludf.DUMMYFUNCTION("""COMPUTED_VALUE"""),0.0)</f>
        <v>0</v>
      </c>
      <c r="F22" s="491">
        <f>IFERROR(__xludf.DUMMYFUNCTION("""COMPUTED_VALUE"""),3.0)</f>
        <v>3</v>
      </c>
      <c r="G22" s="493" t="str">
        <f>IFERROR(__xludf.DUMMYFUNCTION("""COMPUTED_VALUE"""),"Rp150,2RB")</f>
        <v>Rp150,2RB</v>
      </c>
      <c r="H22" s="466" t="str">
        <f>IFERROR(__xludf.DUMMYFUNCTION("""COMPUTED_VALUE"""),"Minyak Oles Benjolan")</f>
        <v>Minyak Oles Benjolan</v>
      </c>
      <c r="I22" s="260" t="str">
        <f>IFERROR(__xludf.DUMMYFUNCTION("""COMPUTED_VALUE"""),"Sampai")</f>
        <v>Sampai</v>
      </c>
      <c r="J22" s="494" t="str">
        <f>IFERROR(__xludf.DUMMYFUNCTION("""COMPUTED_VALUE"""),"Concept 2")</f>
        <v>Concept 2</v>
      </c>
      <c r="K22" s="280" t="str">
        <f>IFERROR(__xludf.DUMMYFUNCTION("""COMPUTED_VALUE"""),"https://vt.tiktok.com/ZSmbgFvAr/")</f>
        <v>https://vt.tiktok.com/ZSmbgFvAr/</v>
      </c>
      <c r="L22" s="495" t="str">
        <f>IFERROR(__xludf.DUMMYFUNCTION("""COMPUTED_VALUE"""),"Concept 5")</f>
        <v>Concept 5</v>
      </c>
      <c r="M22" s="278" t="str">
        <f>IFERROR(__xludf.DUMMYFUNCTION("""COMPUTED_VALUE"""),"https://vt.tiktok.com/ZSH7nNEo7/")</f>
        <v>https://vt.tiktok.com/ZSH7nNEo7/</v>
      </c>
      <c r="N22" s="495" t="str">
        <f>IFERROR(__xludf.DUMMYFUNCTION("""COMPUTED_VALUE"""),"Concept 3")</f>
        <v>Concept 3</v>
      </c>
      <c r="O22" s="278" t="str">
        <f>IFERROR(__xludf.DUMMYFUNCTION("""COMPUTED_VALUE"""),"https://vt.tiktok.com/ZSH7nNEo7/")</f>
        <v>https://vt.tiktok.com/ZSH7nNEo7/</v>
      </c>
      <c r="P22" s="495"/>
      <c r="Q22" s="262"/>
      <c r="R22" s="498"/>
      <c r="S22" s="498"/>
      <c r="T22" s="499"/>
      <c r="U22" s="499"/>
    </row>
    <row r="23">
      <c r="A23" s="255" t="str">
        <f>IFERROR(__xludf.DUMMYFUNCTION("""COMPUTED_VALUE"""),"NANO")</f>
        <v>NANO</v>
      </c>
      <c r="B23" s="490" t="str">
        <f>IFERROR(__xludf.DUMMYFUNCTION("""COMPUTED_VALUE"""),"vranita.story")</f>
        <v>vranita.story</v>
      </c>
      <c r="C23" s="281" t="str">
        <f>IFERROR(__xludf.DUMMYFUNCTION("""COMPUTED_VALUE"""),"https://www.tiktok.com/@vranita.story")</f>
        <v>https://www.tiktok.com/@vranita.story</v>
      </c>
      <c r="D23" s="491">
        <f>IFERROR(__xludf.DUMMYFUNCTION("""COMPUTED_VALUE"""),8.1211213023E10)</f>
        <v>81211213023</v>
      </c>
      <c r="E23" s="492">
        <f>IFERROR(__xludf.DUMMYFUNCTION("""COMPUTED_VALUE"""),0.0)</f>
        <v>0</v>
      </c>
      <c r="F23" s="491">
        <f>IFERROR(__xludf.DUMMYFUNCTION("""COMPUTED_VALUE"""),3.0)</f>
        <v>3</v>
      </c>
      <c r="G23" s="493" t="str">
        <f>IFERROR(__xludf.DUMMYFUNCTION("""COMPUTED_VALUE"""),"Rp1JT+")</f>
        <v>Rp1JT+</v>
      </c>
      <c r="H23" s="466" t="str">
        <f>IFERROR(__xludf.DUMMYFUNCTION("""COMPUTED_VALUE"""),"Minyak Oles Benjolan")</f>
        <v>Minyak Oles Benjolan</v>
      </c>
      <c r="I23" s="260" t="str">
        <f>IFERROR(__xludf.DUMMYFUNCTION("""COMPUTED_VALUE"""),"Sampai")</f>
        <v>Sampai</v>
      </c>
      <c r="J23" s="494" t="str">
        <f>IFERROR(__xludf.DUMMYFUNCTION("""COMPUTED_VALUE"""),"Concept 2")</f>
        <v>Concept 2</v>
      </c>
      <c r="K23" s="278" t="str">
        <f>IFERROR(__xludf.DUMMYFUNCTION("""COMPUTED_VALUE"""),"https://vt.tiktok.com/ZSmQasDx7/")</f>
        <v>https://vt.tiktok.com/ZSmQasDx7/</v>
      </c>
      <c r="L23" s="495" t="str">
        <f>IFERROR(__xludf.DUMMYFUNCTION("""COMPUTED_VALUE"""),"Concept 4")</f>
        <v>Concept 4</v>
      </c>
      <c r="M23" s="278" t="str">
        <f>IFERROR(__xludf.DUMMYFUNCTION("""COMPUTED_VALUE"""),"https://vt.tiktok.com/ZSmgJVfV9/")</f>
        <v>https://vt.tiktok.com/ZSmgJVfV9/</v>
      </c>
      <c r="N23" s="495" t="str">
        <f>IFERROR(__xludf.DUMMYFUNCTION("""COMPUTED_VALUE"""),"Concept 3")</f>
        <v>Concept 3</v>
      </c>
      <c r="O23" s="278" t="str">
        <f>IFERROR(__xludf.DUMMYFUNCTION("""COMPUTED_VALUE""")," https://vt.tiktok.com/ZSmcXtNH1/")</f>
        <v> https://vt.tiktok.com/ZSmcXtNH1/</v>
      </c>
      <c r="P23" s="495"/>
      <c r="Q23" s="262"/>
      <c r="R23" s="498"/>
      <c r="S23" s="498"/>
      <c r="T23" s="499"/>
      <c r="U23" s="499"/>
    </row>
    <row r="24">
      <c r="A24" s="255" t="str">
        <f>IFERROR(__xludf.DUMMYFUNCTION("""COMPUTED_VALUE"""),"NANO")</f>
        <v>NANO</v>
      </c>
      <c r="B24" s="490" t="str">
        <f>IFERROR(__xludf.DUMMYFUNCTION("""COMPUTED_VALUE"""),"mimikarlina")</f>
        <v>mimikarlina</v>
      </c>
      <c r="C24" s="281" t="str">
        <f>IFERROR(__xludf.DUMMYFUNCTION("""COMPUTED_VALUE"""),"https://www.tiktok.com/@mimikarlina")</f>
        <v>https://www.tiktok.com/@mimikarlina</v>
      </c>
      <c r="D24" s="491">
        <f>IFERROR(__xludf.DUMMYFUNCTION("""COMPUTED_VALUE"""),8.121344014E10)</f>
        <v>81213440140</v>
      </c>
      <c r="E24" s="492">
        <f>IFERROR(__xludf.DUMMYFUNCTION("""COMPUTED_VALUE"""),0.0)</f>
        <v>0</v>
      </c>
      <c r="F24" s="491">
        <f>IFERROR(__xludf.DUMMYFUNCTION("""COMPUTED_VALUE"""),3.0)</f>
        <v>3</v>
      </c>
      <c r="G24" s="493" t="str">
        <f>IFERROR(__xludf.DUMMYFUNCTION("""COMPUTED_VALUE"""),"Rp228,6RB")</f>
        <v>Rp228,6RB</v>
      </c>
      <c r="H24" s="466" t="str">
        <f>IFERROR(__xludf.DUMMYFUNCTION("""COMPUTED_VALUE"""),"Minyak Oles Benjolan")</f>
        <v>Minyak Oles Benjolan</v>
      </c>
      <c r="I24" s="260" t="str">
        <f>IFERROR(__xludf.DUMMYFUNCTION("""COMPUTED_VALUE"""),"Sampai")</f>
        <v>Sampai</v>
      </c>
      <c r="J24" s="494" t="str">
        <f>IFERROR(__xludf.DUMMYFUNCTION("""COMPUTED_VALUE""")," Concept 1")</f>
        <v> Concept 1</v>
      </c>
      <c r="K24" s="280" t="str">
        <f>IFERROR(__xludf.DUMMYFUNCTION("""COMPUTED_VALUE"""),"https://vt.tiktok.com/ZSm5L9PDB/")</f>
        <v>https://vt.tiktok.com/ZSm5L9PDB/</v>
      </c>
      <c r="L24" s="495" t="str">
        <f>IFERROR(__xludf.DUMMYFUNCTION("""COMPUTED_VALUE"""),"Concept 2")</f>
        <v>Concept 2</v>
      </c>
      <c r="M24" s="278" t="str">
        <f>IFERROR(__xludf.DUMMYFUNCTION("""COMPUTED_VALUE"""),"https://vt.tiktok.com/ZSmXBvbhV/")</f>
        <v>https://vt.tiktok.com/ZSmXBvbhV/</v>
      </c>
      <c r="N24" s="495" t="str">
        <f>IFERROR(__xludf.DUMMYFUNCTION("""COMPUTED_VALUE"""),"Concept 3")</f>
        <v>Concept 3</v>
      </c>
      <c r="O24" s="278" t="str">
        <f>IFERROR(__xludf.DUMMYFUNCTION("""COMPUTED_VALUE"""),"https://vt.tiktok.com/ZSmb3S4kW/")</f>
        <v>https://vt.tiktok.com/ZSmb3S4kW/</v>
      </c>
      <c r="P24" s="495"/>
      <c r="Q24" s="262"/>
      <c r="R24" s="498"/>
      <c r="S24" s="498"/>
      <c r="T24" s="499"/>
      <c r="U24" s="499"/>
    </row>
    <row r="25">
      <c r="A25" s="255" t="str">
        <f>IFERROR(__xludf.DUMMYFUNCTION("""COMPUTED_VALUE"""),"NANO")</f>
        <v>NANO</v>
      </c>
      <c r="B25" s="268" t="str">
        <f>IFERROR(__xludf.DUMMYFUNCTION("""COMPUTED_VALUE"""),"risnawati6806")</f>
        <v>risnawati6806</v>
      </c>
      <c r="C25" s="281" t="str">
        <f>IFERROR(__xludf.DUMMYFUNCTION("""COMPUTED_VALUE"""),"https://www.tiktok.com/@risnawati6806")</f>
        <v>https://www.tiktok.com/@risnawati6806</v>
      </c>
      <c r="D25" s="491">
        <f>IFERROR(__xludf.DUMMYFUNCTION("""COMPUTED_VALUE"""),8.5721603398E10)</f>
        <v>85721603398</v>
      </c>
      <c r="E25" s="492">
        <f>IFERROR(__xludf.DUMMYFUNCTION("""COMPUTED_VALUE"""),0.0)</f>
        <v>0</v>
      </c>
      <c r="F25" s="491">
        <f>IFERROR(__xludf.DUMMYFUNCTION("""COMPUTED_VALUE"""),3.0)</f>
        <v>3</v>
      </c>
      <c r="G25" s="493" t="str">
        <f>IFERROR(__xludf.DUMMYFUNCTION("""COMPUTED_VALUE"""),"Rp1,8JT")</f>
        <v>Rp1,8JT</v>
      </c>
      <c r="H25" s="466" t="str">
        <f>IFERROR(__xludf.DUMMYFUNCTION("""COMPUTED_VALUE"""),"Minyak Oles Benjolan")</f>
        <v>Minyak Oles Benjolan</v>
      </c>
      <c r="I25" s="260" t="str">
        <f>IFERROR(__xludf.DUMMYFUNCTION("""COMPUTED_VALUE"""),"Sampai")</f>
        <v>Sampai</v>
      </c>
      <c r="J25" s="500" t="str">
        <f>IFERROR(__xludf.DUMMYFUNCTION("""COMPUTED_VALUE"""),"Concept 2")</f>
        <v>Concept 2</v>
      </c>
      <c r="K25" s="280" t="str">
        <f>IFERROR(__xludf.DUMMYFUNCTION("""COMPUTED_VALUE"""),"https://vt.tiktok.com/ZSmXroQ2Y/")</f>
        <v>https://vt.tiktok.com/ZSmXroQ2Y/</v>
      </c>
      <c r="L25" s="495"/>
      <c r="M25" s="278" t="str">
        <f>IFERROR(__xludf.DUMMYFUNCTION("""COMPUTED_VALUE"""),"https://vt.tiktok.com/ZSmVftJf3/")</f>
        <v>https://vt.tiktok.com/ZSmVftJf3/</v>
      </c>
      <c r="N25" s="495"/>
      <c r="O25" s="278" t="str">
        <f>IFERROR(__xludf.DUMMYFUNCTION("""COMPUTED_VALUE"""),"https://vt.tiktok.com/ZSmbvFPbu/")</f>
        <v>https://vt.tiktok.com/ZSmbvFPbu/</v>
      </c>
      <c r="P25" s="495"/>
      <c r="Q25" s="262"/>
      <c r="R25" s="498"/>
      <c r="S25" s="498"/>
      <c r="T25" s="499"/>
      <c r="U25" s="499"/>
    </row>
    <row r="26">
      <c r="A26" s="255" t="str">
        <f>IFERROR(__xludf.DUMMYFUNCTION("""COMPUTED_VALUE"""),"NANO")</f>
        <v>NANO</v>
      </c>
      <c r="B26" s="268" t="str">
        <f>IFERROR(__xludf.DUMMYFUNCTION("""COMPUTED_VALUE"""),"shihati.jasmaniyah3
")</f>
        <v>shihati.jasmaniyah3
</v>
      </c>
      <c r="C26" s="281" t="str">
        <f>IFERROR(__xludf.DUMMYFUNCTION("""COMPUTED_VALUE"""),"https://www.tiktok.com/@shihati.jasmaniyah3
")</f>
        <v>https://www.tiktok.com/@shihati.jasmaniyah3
</v>
      </c>
      <c r="D26" s="491">
        <f>IFERROR(__xludf.DUMMYFUNCTION("""COMPUTED_VALUE"""),8.5246620052E10)</f>
        <v>85246620052</v>
      </c>
      <c r="E26" s="492">
        <f>IFERROR(__xludf.DUMMYFUNCTION("""COMPUTED_VALUE"""),0.0)</f>
        <v>0</v>
      </c>
      <c r="F26" s="491">
        <f>IFERROR(__xludf.DUMMYFUNCTION("""COMPUTED_VALUE"""),3.0)</f>
        <v>3</v>
      </c>
      <c r="G26" s="493" t="str">
        <f>IFERROR(__xludf.DUMMYFUNCTION("""COMPUTED_VALUE"""),"Rp1,2JT")</f>
        <v>Rp1,2JT</v>
      </c>
      <c r="H26" s="466" t="str">
        <f>IFERROR(__xludf.DUMMYFUNCTION("""COMPUTED_VALUE"""),"Minyak Oles Benjolan")</f>
        <v>Minyak Oles Benjolan</v>
      </c>
      <c r="I26" s="260" t="str">
        <f>IFERROR(__xludf.DUMMYFUNCTION("""COMPUTED_VALUE"""),"Sampai")</f>
        <v>Sampai</v>
      </c>
      <c r="J26" s="494" t="str">
        <f>IFERROR(__xludf.DUMMYFUNCTION("""COMPUTED_VALUE"""),"Concept 2")</f>
        <v>Concept 2</v>
      </c>
      <c r="K26" s="262"/>
      <c r="L26" s="495"/>
      <c r="M26" s="262"/>
      <c r="N26" s="495"/>
      <c r="O26" s="262"/>
      <c r="P26" s="495"/>
      <c r="Q26" s="262"/>
      <c r="R26" s="498"/>
      <c r="S26" s="498"/>
      <c r="T26" s="499"/>
      <c r="U26" s="499"/>
    </row>
    <row r="27">
      <c r="A27" s="255" t="str">
        <f>IFERROR(__xludf.DUMMYFUNCTION("""COMPUTED_VALUE"""),"MACRO")</f>
        <v>MACRO</v>
      </c>
      <c r="B27" s="268" t="str">
        <f>IFERROR(__xludf.DUMMYFUNCTION("""COMPUTED_VALUE"""),"riskadiana22")</f>
        <v>riskadiana22</v>
      </c>
      <c r="C27" s="281" t="str">
        <f>IFERROR(__xludf.DUMMYFUNCTION("""COMPUTED_VALUE"""),"https://www.tiktok.com/@riskadiana22")</f>
        <v>https://www.tiktok.com/@riskadiana22</v>
      </c>
      <c r="D27" s="491">
        <f>IFERROR(__xludf.DUMMYFUNCTION("""COMPUTED_VALUE"""),8.1224476114E10)</f>
        <v>81224476114</v>
      </c>
      <c r="E27" s="492">
        <f>IFERROR(__xludf.DUMMYFUNCTION("""COMPUTED_VALUE"""),700000.0)</f>
        <v>700000</v>
      </c>
      <c r="F27" s="491">
        <f>IFERROR(__xludf.DUMMYFUNCTION("""COMPUTED_VALUE"""),2.0)</f>
        <v>2</v>
      </c>
      <c r="G27" s="493" t="str">
        <f>IFERROR(__xludf.DUMMYFUNCTION("""COMPUTED_VALUE"""),"Rp153,6JT")</f>
        <v>Rp153,6JT</v>
      </c>
      <c r="H27" s="466" t="str">
        <f>IFERROR(__xludf.DUMMYFUNCTION("""COMPUTED_VALUE"""),"Minyak Oles Benjolan")</f>
        <v>Minyak Oles Benjolan</v>
      </c>
      <c r="I27" s="260" t="str">
        <f>IFERROR(__xludf.DUMMYFUNCTION("""COMPUTED_VALUE"""),"Sampai")</f>
        <v>Sampai</v>
      </c>
      <c r="J27" s="494" t="str">
        <f>IFERROR(__xludf.DUMMYFUNCTION("""COMPUTED_VALUE""")," Concept 1")</f>
        <v> Concept 1</v>
      </c>
      <c r="K27" s="278" t="str">
        <f>IFERROR(__xludf.DUMMYFUNCTION("""COMPUTED_VALUE"""),"https://vt.tiktok.com/ZSmXEJdCa/")</f>
        <v>https://vt.tiktok.com/ZSmXEJdCa/</v>
      </c>
      <c r="L27" s="495"/>
      <c r="M27" s="278" t="str">
        <f>IFERROR(__xludf.DUMMYFUNCTION("""COMPUTED_VALUE"""),"https://www.tiktok.com/@riskadiana22/video/7611413181868592405?is_from_webapp=1&amp;sender_device=pc")</f>
        <v>https://www.tiktok.com/@riskadiana22/video/7611413181868592405?is_from_webapp=1&amp;sender_device=pc</v>
      </c>
      <c r="N27" s="495" t="str">
        <f>IFERROR(__xludf.DUMMYFUNCTION("""COMPUTED_VALUE"""),"Concept 5")</f>
        <v>Concept 5</v>
      </c>
      <c r="O27" s="278" t="str">
        <f>IFERROR(__xludf.DUMMYFUNCTION("""COMPUTED_VALUE"""),"https://vt.tiktok.com/ZSHbB7V73/")</f>
        <v>https://vt.tiktok.com/ZSHbB7V73/</v>
      </c>
      <c r="P27" s="495"/>
      <c r="Q27" s="262"/>
      <c r="R27" s="498">
        <f>IFERROR(__xludf.DUMMYFUNCTION("""COMPUTED_VALUE"""),1.288568E7)</f>
        <v>12885680</v>
      </c>
      <c r="S27" s="498"/>
      <c r="T27" s="499">
        <f>IFERROR(__xludf.DUMMYFUNCTION("""COMPUTED_VALUE"""),70037.0)</f>
        <v>70037</v>
      </c>
      <c r="U27" s="499"/>
    </row>
    <row r="28">
      <c r="A28" s="255" t="str">
        <f>IFERROR(__xludf.DUMMYFUNCTION("""COMPUTED_VALUE"""),"NANO")</f>
        <v>NANO</v>
      </c>
      <c r="B28" s="268" t="str">
        <f>IFERROR(__xludf.DUMMYFUNCTION("""COMPUTED_VALUE"""),"lutfimanfaluthy_30")</f>
        <v>lutfimanfaluthy_30</v>
      </c>
      <c r="C28" s="281" t="str">
        <f>IFERROR(__xludf.DUMMYFUNCTION("""COMPUTED_VALUE"""),"https://www.tiktok.com/@lutfimanfaluthy_30")</f>
        <v>https://www.tiktok.com/@lutfimanfaluthy_30</v>
      </c>
      <c r="D28" s="491">
        <f>IFERROR(__xludf.DUMMYFUNCTION("""COMPUTED_VALUE"""),8.2146497375E10)</f>
        <v>82146497375</v>
      </c>
      <c r="E28" s="501">
        <f>IFERROR(__xludf.DUMMYFUNCTION("""COMPUTED_VALUE"""),0.0)</f>
        <v>0</v>
      </c>
      <c r="F28" s="491">
        <f>IFERROR(__xludf.DUMMYFUNCTION("""COMPUTED_VALUE"""),3.0)</f>
        <v>3</v>
      </c>
      <c r="G28" s="493" t="str">
        <f>IFERROR(__xludf.DUMMYFUNCTION("""COMPUTED_VALUE"""),"Rp0-Rp50RB")</f>
        <v>Rp0-Rp50RB</v>
      </c>
      <c r="H28" s="466" t="str">
        <f>IFERROR(__xludf.DUMMYFUNCTION("""COMPUTED_VALUE"""),"Minyak Oles Benjolan")</f>
        <v>Minyak Oles Benjolan</v>
      </c>
      <c r="I28" s="260" t="str">
        <f>IFERROR(__xludf.DUMMYFUNCTION("""COMPUTED_VALUE"""),"Sampai")</f>
        <v>Sampai</v>
      </c>
      <c r="J28" s="494" t="str">
        <f>IFERROR(__xludf.DUMMYFUNCTION("""COMPUTED_VALUE"""),"Concept 4")</f>
        <v>Concept 4</v>
      </c>
      <c r="K28" s="278" t="str">
        <f>IFERROR(__xludf.DUMMYFUNCTION("""COMPUTED_VALUE"""),"https://vt.tiktok.com/ZSmsHQGPn/")</f>
        <v>https://vt.tiktok.com/ZSmsHQGPn/</v>
      </c>
      <c r="L28" s="495" t="str">
        <f>IFERROR(__xludf.DUMMYFUNCTION("""COMPUTED_VALUE""")," Concept 1")</f>
        <v> Concept 1</v>
      </c>
      <c r="M28" s="278" t="str">
        <f>IFERROR(__xludf.DUMMYFUNCTION("""COMPUTED_VALUE"""),"https://vt.tiktok.com/ZSuJANgY1/")</f>
        <v>https://vt.tiktok.com/ZSuJANgY1/</v>
      </c>
      <c r="N28" s="495" t="str">
        <f>IFERROR(__xludf.DUMMYFUNCTION("""COMPUTED_VALUE"""),"Concept 2")</f>
        <v>Concept 2</v>
      </c>
      <c r="O28" s="278" t="str">
        <f>IFERROR(__xludf.DUMMYFUNCTION("""COMPUTED_VALUE"""),"https://vt.tiktok.com/ZSurDRnHP/")</f>
        <v>https://vt.tiktok.com/ZSurDRnHP/</v>
      </c>
      <c r="P28" s="495"/>
      <c r="Q28" s="262"/>
      <c r="R28" s="498"/>
      <c r="S28" s="498"/>
      <c r="T28" s="499"/>
      <c r="U28" s="499"/>
    </row>
    <row r="29">
      <c r="A29" s="255" t="str">
        <f>IFERROR(__xludf.DUMMYFUNCTION("""COMPUTED_VALUE"""),"NANO")</f>
        <v>NANO</v>
      </c>
      <c r="B29" s="268" t="str">
        <f>IFERROR(__xludf.DUMMYFUNCTION("""COMPUTED_VALUE"""),"gaoory")</f>
        <v>gaoory</v>
      </c>
      <c r="C29" s="281" t="str">
        <f>IFERROR(__xludf.DUMMYFUNCTION("""COMPUTED_VALUE"""),"https://www.tiktok.com/@gaoory")</f>
        <v>https://www.tiktok.com/@gaoory</v>
      </c>
      <c r="D29" s="491">
        <f>IFERROR(__xludf.DUMMYFUNCTION("""COMPUTED_VALUE"""),8.7728762351E10)</f>
        <v>87728762351</v>
      </c>
      <c r="E29" s="492">
        <f>IFERROR(__xludf.DUMMYFUNCTION("""COMPUTED_VALUE"""),0.0)</f>
        <v>0</v>
      </c>
      <c r="F29" s="491">
        <f>IFERROR(__xludf.DUMMYFUNCTION("""COMPUTED_VALUE"""),3.0)</f>
        <v>3</v>
      </c>
      <c r="G29" s="493" t="str">
        <f>IFERROR(__xludf.DUMMYFUNCTION("""COMPUTED_VALUE"""),"Rp88,6RB")</f>
        <v>Rp88,6RB</v>
      </c>
      <c r="H29" s="466" t="str">
        <f>IFERROR(__xludf.DUMMYFUNCTION("""COMPUTED_VALUE"""),"Minyak Oles Benjolan")</f>
        <v>Minyak Oles Benjolan</v>
      </c>
      <c r="I29" s="260" t="str">
        <f>IFERROR(__xludf.DUMMYFUNCTION("""COMPUTED_VALUE"""),"Sampai")</f>
        <v>Sampai</v>
      </c>
      <c r="J29" s="494" t="str">
        <f>IFERROR(__xludf.DUMMYFUNCTION("""COMPUTED_VALUE"""),"Concept 4")</f>
        <v>Concept 4</v>
      </c>
      <c r="K29" s="278" t="str">
        <f>IFERROR(__xludf.DUMMYFUNCTION("""COMPUTED_VALUE"""),"https://vt.tiktok.com/ZSuNBctQG/")</f>
        <v>https://vt.tiktok.com/ZSuNBctQG/</v>
      </c>
      <c r="L29" s="495" t="str">
        <f>IFERROR(__xludf.DUMMYFUNCTION("""COMPUTED_VALUE"""),"Concept 3")</f>
        <v>Concept 3</v>
      </c>
      <c r="M29" s="278" t="str">
        <f>IFERROR(__xludf.DUMMYFUNCTION("""COMPUTED_VALUE"""),"https://vt.tiktok.com/ZSuxPHUFF/")</f>
        <v>https://vt.tiktok.com/ZSuxPHUFF/</v>
      </c>
      <c r="N29" s="495" t="str">
        <f>IFERROR(__xludf.DUMMYFUNCTION("""COMPUTED_VALUE""")," Concept 1")</f>
        <v> Concept 1</v>
      </c>
      <c r="O29" s="278" t="str">
        <f>IFERROR(__xludf.DUMMYFUNCTION("""COMPUTED_VALUE"""),"https://vt.tiktok.com/ZSuTmohCc/")</f>
        <v>https://vt.tiktok.com/ZSuTmohCc/</v>
      </c>
      <c r="P29" s="495"/>
      <c r="Q29" s="262"/>
      <c r="R29" s="498"/>
      <c r="S29" s="498"/>
      <c r="T29" s="499"/>
      <c r="U29" s="499"/>
    </row>
    <row r="30">
      <c r="A30" s="255" t="str">
        <f>IFERROR(__xludf.DUMMYFUNCTION("""COMPUTED_VALUE"""),"MACRO")</f>
        <v>MACRO</v>
      </c>
      <c r="B30" s="268" t="str">
        <f>IFERROR(__xludf.DUMMYFUNCTION("""COMPUTED_VALUE"""),"nurbaeutystyle")</f>
        <v>nurbaeutystyle</v>
      </c>
      <c r="C30" s="281" t="str">
        <f>IFERROR(__xludf.DUMMYFUNCTION("""COMPUTED_VALUE"""),"https://www.tiktok.com/@nurbaeutystyle")</f>
        <v>https://www.tiktok.com/@nurbaeutystyle</v>
      </c>
      <c r="D30" s="491">
        <f>IFERROR(__xludf.DUMMYFUNCTION("""COMPUTED_VALUE"""),8.5885971817E10)</f>
        <v>85885971817</v>
      </c>
      <c r="E30" s="492">
        <f>IFERROR(__xludf.DUMMYFUNCTION("""COMPUTED_VALUE"""),0.0)</f>
        <v>0</v>
      </c>
      <c r="F30" s="491">
        <f>IFERROR(__xludf.DUMMYFUNCTION("""COMPUTED_VALUE"""),3.0)</f>
        <v>3</v>
      </c>
      <c r="G30" s="493" t="str">
        <f>IFERROR(__xludf.DUMMYFUNCTION("""COMPUTED_VALUE"""),"Rp4,3JT")</f>
        <v>Rp4,3JT</v>
      </c>
      <c r="H30" s="466" t="str">
        <f>IFERROR(__xludf.DUMMYFUNCTION("""COMPUTED_VALUE"""),"Minyak Oles Benjolan")</f>
        <v>Minyak Oles Benjolan</v>
      </c>
      <c r="I30" s="260" t="str">
        <f>IFERROR(__xludf.DUMMYFUNCTION("""COMPUTED_VALUE"""),"Sampai")</f>
        <v>Sampai</v>
      </c>
      <c r="J30" s="494"/>
      <c r="K30" s="278" t="str">
        <f>IFERROR(__xludf.DUMMYFUNCTION("""COMPUTED_VALUE"""),"https://vt.tiktok.com/ZSm5mUXvH/")</f>
        <v>https://vt.tiktok.com/ZSm5mUXvH/</v>
      </c>
      <c r="L30" s="495"/>
      <c r="M30" s="278" t="str">
        <f>IFERROR(__xludf.DUMMYFUNCTION("""COMPUTED_VALUE"""),"https://vt.tiktok.com/ZSm5mkweL/")</f>
        <v>https://vt.tiktok.com/ZSm5mkweL/</v>
      </c>
      <c r="N30" s="495"/>
      <c r="O30" s="278" t="str">
        <f>IFERROR(__xludf.DUMMYFUNCTION("""COMPUTED_VALUE"""),"https://vt.tiktok.com/ZSm5msLsY/")</f>
        <v>https://vt.tiktok.com/ZSm5msLsY/</v>
      </c>
      <c r="P30" s="495"/>
      <c r="Q30" s="262"/>
      <c r="R30" s="498"/>
      <c r="S30" s="498"/>
      <c r="T30" s="499"/>
      <c r="U30" s="499"/>
    </row>
    <row r="31">
      <c r="A31" s="255" t="str">
        <f>IFERROR(__xludf.DUMMYFUNCTION("""COMPUTED_VALUE"""),"NANO")</f>
        <v>NANO</v>
      </c>
      <c r="B31" s="490" t="str">
        <f>IFERROR(__xludf.DUMMYFUNCTION("""COMPUTED_VALUE"""),"thiaaa93")</f>
        <v>thiaaa93</v>
      </c>
      <c r="C31" s="281" t="str">
        <f>IFERROR(__xludf.DUMMYFUNCTION("""COMPUTED_VALUE"""),"https://www.tiktok.com/@thiaaa93")</f>
        <v>https://www.tiktok.com/@thiaaa93</v>
      </c>
      <c r="D31" s="491">
        <f>IFERROR(__xludf.DUMMYFUNCTION("""COMPUTED_VALUE"""),8.5177128152E10)</f>
        <v>85177128152</v>
      </c>
      <c r="E31" s="492">
        <f>IFERROR(__xludf.DUMMYFUNCTION("""COMPUTED_VALUE"""),0.0)</f>
        <v>0</v>
      </c>
      <c r="F31" s="491">
        <f>IFERROR(__xludf.DUMMYFUNCTION("""COMPUTED_VALUE"""),3.0)</f>
        <v>3</v>
      </c>
      <c r="G31" s="493" t="str">
        <f>IFERROR(__xludf.DUMMYFUNCTION("""COMPUTED_VALUE"""),"Rp42,3JT")</f>
        <v>Rp42,3JT</v>
      </c>
      <c r="H31" s="466" t="str">
        <f>IFERROR(__xludf.DUMMYFUNCTION("""COMPUTED_VALUE"""),"Minyak Oles Benjolan")</f>
        <v>Minyak Oles Benjolan</v>
      </c>
      <c r="I31" s="260" t="str">
        <f>IFERROR(__xludf.DUMMYFUNCTION("""COMPUTED_VALUE"""),"Sampai")</f>
        <v>Sampai</v>
      </c>
      <c r="J31" s="494" t="str">
        <f>IFERROR(__xludf.DUMMYFUNCTION("""COMPUTED_VALUE""")," Concept 1")</f>
        <v> Concept 1</v>
      </c>
      <c r="K31" s="278" t="str">
        <f>IFERROR(__xludf.DUMMYFUNCTION("""COMPUTED_VALUE"""),"https://vt.tiktok.com/ZSmf8CX5r/")</f>
        <v>https://vt.tiktok.com/ZSmf8CX5r/</v>
      </c>
      <c r="L31" s="495" t="str">
        <f>IFERROR(__xludf.DUMMYFUNCTION("""COMPUTED_VALUE""")," Concept 1")</f>
        <v> Concept 1</v>
      </c>
      <c r="M31" s="278" t="str">
        <f>IFERROR(__xludf.DUMMYFUNCTION("""COMPUTED_VALUE"""),"https://vt.tiktok.com/ZSuefQTmU/")</f>
        <v>https://vt.tiktok.com/ZSuefQTmU/</v>
      </c>
      <c r="N31" s="495" t="str">
        <f>IFERROR(__xludf.DUMMYFUNCTION("""COMPUTED_VALUE"""),"Concept 4")</f>
        <v>Concept 4</v>
      </c>
      <c r="O31" s="278" t="str">
        <f>IFERROR(__xludf.DUMMYFUNCTION("""COMPUTED_VALUE"""),"https://vt.tiktok.com/ZSuUdahYA/")</f>
        <v>https://vt.tiktok.com/ZSuUdahYA/</v>
      </c>
      <c r="P31" s="495"/>
      <c r="Q31" s="278" t="str">
        <f>IFERROR(__xludf.DUMMYFUNCTION("""COMPUTED_VALUE"""),"https://vt.tiktok.com/ZSuUdhEm2/")</f>
        <v>https://vt.tiktok.com/ZSuUdhEm2/</v>
      </c>
      <c r="R31" s="498">
        <f>IFERROR(__xludf.DUMMYFUNCTION("""COMPUTED_VALUE"""),78199.0)</f>
        <v>78199</v>
      </c>
      <c r="S31" s="498"/>
      <c r="T31" s="499"/>
      <c r="U31" s="499"/>
    </row>
    <row r="32">
      <c r="A32" s="255" t="str">
        <f>IFERROR(__xludf.DUMMYFUNCTION("""COMPUTED_VALUE"""),"MICRO")</f>
        <v>MICRO</v>
      </c>
      <c r="B32" s="268" t="str">
        <f>IFERROR(__xludf.DUMMYFUNCTION("""COMPUTED_VALUE"""),"promo.murah.berkualitas1")</f>
        <v>promo.murah.berkualitas1</v>
      </c>
      <c r="C32" s="281" t="str">
        <f>IFERROR(__xludf.DUMMYFUNCTION("""COMPUTED_VALUE"""),"https://www.tiktok.com/@promo.murah.berkualitas1")</f>
        <v>https://www.tiktok.com/@promo.murah.berkualitas1</v>
      </c>
      <c r="D32" s="491">
        <f>IFERROR(__xludf.DUMMYFUNCTION("""COMPUTED_VALUE"""),8.2147232125E10)</f>
        <v>82147232125</v>
      </c>
      <c r="E32" s="501">
        <f>IFERROR(__xludf.DUMMYFUNCTION("""COMPUTED_VALUE"""),0.0)</f>
        <v>0</v>
      </c>
      <c r="F32" s="491">
        <f>IFERROR(__xludf.DUMMYFUNCTION("""COMPUTED_VALUE"""),3.0)</f>
        <v>3</v>
      </c>
      <c r="G32" s="493" t="str">
        <f>IFERROR(__xludf.DUMMYFUNCTION("""COMPUTED_VALUE"""),"Rp133,3JT")</f>
        <v>Rp133,3JT</v>
      </c>
      <c r="H32" s="466" t="str">
        <f>IFERROR(__xludf.DUMMYFUNCTION("""COMPUTED_VALUE"""),"Minyak Oles Benjolan")</f>
        <v>Minyak Oles Benjolan</v>
      </c>
      <c r="I32" s="260" t="str">
        <f>IFERROR(__xludf.DUMMYFUNCTION("""COMPUTED_VALUE"""),"Sampai")</f>
        <v>Sampai</v>
      </c>
      <c r="J32" s="494" t="str">
        <f>IFERROR(__xludf.DUMMYFUNCTION("""COMPUTED_VALUE"""),"Concept 2")</f>
        <v>Concept 2</v>
      </c>
      <c r="K32" s="278" t="str">
        <f>IFERROR(__xludf.DUMMYFUNCTION("""COMPUTED_VALUE"""),"https://vt.tiktok.com/ZSmT1FB2M/")</f>
        <v>https://vt.tiktok.com/ZSmT1FB2M/</v>
      </c>
      <c r="L32" s="495" t="str">
        <f>IFERROR(__xludf.DUMMYFUNCTION("""COMPUTED_VALUE"""),"Concept 2")</f>
        <v>Concept 2</v>
      </c>
      <c r="M32" s="278" t="str">
        <f>IFERROR(__xludf.DUMMYFUNCTION("""COMPUTED_VALUE"""),"https://vt.tiktok.com/ZSmT1Jws3/")</f>
        <v>https://vt.tiktok.com/ZSmT1Jws3/</v>
      </c>
      <c r="N32" s="495" t="str">
        <f>IFERROR(__xludf.DUMMYFUNCTION("""COMPUTED_VALUE"""),"Concept 3")</f>
        <v>Concept 3</v>
      </c>
      <c r="O32" s="278" t="str">
        <f>IFERROR(__xludf.DUMMYFUNCTION("""COMPUTED_VALUE"""),"https://vt.tiktok.com/ZSmT1aj1G/")</f>
        <v>https://vt.tiktok.com/ZSmT1aj1G/</v>
      </c>
      <c r="P32" s="495"/>
      <c r="Q32" s="262"/>
      <c r="R32" s="498"/>
      <c r="S32" s="498"/>
      <c r="T32" s="499"/>
      <c r="U32" s="499"/>
    </row>
    <row r="33">
      <c r="A33" s="255" t="str">
        <f>IFERROR(__xludf.DUMMYFUNCTION("""COMPUTED_VALUE"""),"MICRO")</f>
        <v>MICRO</v>
      </c>
      <c r="B33" s="268" t="str">
        <f>IFERROR(__xludf.DUMMYFUNCTION("""COMPUTED_VALUE"""),"purniabolo")</f>
        <v>purniabolo</v>
      </c>
      <c r="C33" s="281" t="str">
        <f>IFERROR(__xludf.DUMMYFUNCTION("""COMPUTED_VALUE"""),"https://www.tiktok.com/@purniabolo")</f>
        <v>https://www.tiktok.com/@purniabolo</v>
      </c>
      <c r="D33" s="491">
        <f>IFERROR(__xludf.DUMMYFUNCTION("""COMPUTED_VALUE"""),8.5857639268E10)</f>
        <v>85857639268</v>
      </c>
      <c r="E33" s="492">
        <f>IFERROR(__xludf.DUMMYFUNCTION("""COMPUTED_VALUE"""),0.0)</f>
        <v>0</v>
      </c>
      <c r="F33" s="491">
        <f>IFERROR(__xludf.DUMMYFUNCTION("""COMPUTED_VALUE"""),3.0)</f>
        <v>3</v>
      </c>
      <c r="G33" s="493" t="str">
        <f>IFERROR(__xludf.DUMMYFUNCTION("""COMPUTED_VALUE"""),"Rp21,1JT")</f>
        <v>Rp21,1JT</v>
      </c>
      <c r="H33" s="466" t="str">
        <f>IFERROR(__xludf.DUMMYFUNCTION("""COMPUTED_VALUE"""),"Minyak Oles Benjolan")</f>
        <v>Minyak Oles Benjolan</v>
      </c>
      <c r="I33" s="260" t="str">
        <f>IFERROR(__xludf.DUMMYFUNCTION("""COMPUTED_VALUE"""),"Sampai")</f>
        <v>Sampai</v>
      </c>
      <c r="J33" s="494" t="str">
        <f>IFERROR(__xludf.DUMMYFUNCTION("""COMPUTED_VALUE"""),"Concept 3")</f>
        <v>Concept 3</v>
      </c>
      <c r="K33" s="280" t="str">
        <f>IFERROR(__xludf.DUMMYFUNCTION("""COMPUTED_VALUE"""),"https://vt.tiktok.com/ZSmstkRcb/")</f>
        <v>https://vt.tiktok.com/ZSmstkRcb/</v>
      </c>
      <c r="L33" s="495" t="str">
        <f>IFERROR(__xludf.DUMMYFUNCTION("""COMPUTED_VALUE"""),"Concept 2")</f>
        <v>Concept 2</v>
      </c>
      <c r="M33" s="280" t="str">
        <f>IFERROR(__xludf.DUMMYFUNCTION("""COMPUTED_VALUE"""),"https://vt.tiktok.com/ZSm7Xekds/")</f>
        <v>https://vt.tiktok.com/ZSm7Xekds/</v>
      </c>
      <c r="N33" s="495" t="str">
        <f>IFERROR(__xludf.DUMMYFUNCTION("""COMPUTED_VALUE""")," Concept 1")</f>
        <v> Concept 1</v>
      </c>
      <c r="O33" s="278" t="str">
        <f>IFERROR(__xludf.DUMMYFUNCTION("""COMPUTED_VALUE"""),"https://vt.tiktok.com/ZSm7Xj46D/")</f>
        <v>https://vt.tiktok.com/ZSm7Xj46D/</v>
      </c>
      <c r="P33" s="495"/>
      <c r="Q33" s="278" t="str">
        <f>IFERROR(__xludf.DUMMYFUNCTION("""COMPUTED_VALUE"""),"https://vt.tiktok.com/ZSuJjaxhF/")</f>
        <v>https://vt.tiktok.com/ZSuJjaxhF/</v>
      </c>
      <c r="R33" s="498"/>
      <c r="S33" s="498"/>
      <c r="T33" s="499"/>
      <c r="U33" s="499"/>
    </row>
    <row r="34">
      <c r="A34" s="255" t="str">
        <f>IFERROR(__xludf.DUMMYFUNCTION("""COMPUTED_VALUE"""),"NANO")</f>
        <v>NANO</v>
      </c>
      <c r="B34" s="268" t="str">
        <f>IFERROR(__xludf.DUMMYFUNCTION("""COMPUTED_VALUE"""),"duonisaa_ ")</f>
        <v>duonisaa_ </v>
      </c>
      <c r="C34" s="281" t="str">
        <f>IFERROR(__xludf.DUMMYFUNCTION("""COMPUTED_VALUE"""),"https://www.tiktok.com/@duonisaa_ ")</f>
        <v>https://www.tiktok.com/@duonisaa_ </v>
      </c>
      <c r="D34" s="491">
        <f>IFERROR(__xludf.DUMMYFUNCTION("""COMPUTED_VALUE"""),8.5748536536E10)</f>
        <v>85748536536</v>
      </c>
      <c r="E34" s="492">
        <f>IFERROR(__xludf.DUMMYFUNCTION("""COMPUTED_VALUE"""),150000.0)</f>
        <v>150000</v>
      </c>
      <c r="F34" s="491">
        <f>IFERROR(__xludf.DUMMYFUNCTION("""COMPUTED_VALUE"""),3.0)</f>
        <v>3</v>
      </c>
      <c r="G34" s="493" t="str">
        <f>IFERROR(__xludf.DUMMYFUNCTION("""COMPUTED_VALUE"""),"Rp61,6JT")</f>
        <v>Rp61,6JT</v>
      </c>
      <c r="H34" s="466" t="str">
        <f>IFERROR(__xludf.DUMMYFUNCTION("""COMPUTED_VALUE"""),"Minyak Oles Benjolan")</f>
        <v>Minyak Oles Benjolan</v>
      </c>
      <c r="I34" s="260" t="str">
        <f>IFERROR(__xludf.DUMMYFUNCTION("""COMPUTED_VALUE"""),"Sampai")</f>
        <v>Sampai</v>
      </c>
      <c r="J34" s="494" t="str">
        <f>IFERROR(__xludf.DUMMYFUNCTION("""COMPUTED_VALUE"""),"Concept 3")</f>
        <v>Concept 3</v>
      </c>
      <c r="K34" s="278" t="str">
        <f>IFERROR(__xludf.DUMMYFUNCTION("""COMPUTED_VALUE"""),"https://vt.tiktok.com/ZSmaJ28fg/")</f>
        <v>https://vt.tiktok.com/ZSmaJ28fg/</v>
      </c>
      <c r="L34" s="495" t="str">
        <f>IFERROR(__xludf.DUMMYFUNCTION("""COMPUTED_VALUE"""),"Concept 5")</f>
        <v>Concept 5</v>
      </c>
      <c r="M34" s="278" t="str">
        <f>IFERROR(__xludf.DUMMYFUNCTION("""COMPUTED_VALUE"""),"https://vt.tiktok.com/ZSHq4J9tM/")</f>
        <v>https://vt.tiktok.com/ZSHq4J9tM/</v>
      </c>
      <c r="N34" s="495" t="str">
        <f>IFERROR(__xludf.DUMMYFUNCTION("""COMPUTED_VALUE""")," Concept 1")</f>
        <v> Concept 1</v>
      </c>
      <c r="O34" s="278" t="str">
        <f>IFERROR(__xludf.DUMMYFUNCTION("""COMPUTED_VALUE"""),"https://vt.tiktok.com/ZSHoqwoLw/")</f>
        <v>https://vt.tiktok.com/ZSHoqwoLw/</v>
      </c>
      <c r="P34" s="495"/>
      <c r="Q34" s="262"/>
      <c r="R34" s="498">
        <f>IFERROR(__xludf.DUMMYFUNCTION("""COMPUTED_VALUE"""),764378.0)</f>
        <v>764378</v>
      </c>
      <c r="S34" s="498"/>
      <c r="T34" s="499">
        <f>IFERROR(__xludf.DUMMYFUNCTION("""COMPUTED_VALUE"""),3689014.72)</f>
        <v>3689014.72</v>
      </c>
      <c r="U34" s="499"/>
    </row>
    <row r="35">
      <c r="A35" s="255" t="str">
        <f>IFERROR(__xludf.DUMMYFUNCTION("""COMPUTED_VALUE"""),"MICRO")</f>
        <v>MICRO</v>
      </c>
      <c r="B35" s="268" t="str">
        <f>IFERROR(__xludf.DUMMYFUNCTION("""COMPUTED_VALUE"""),"bunda.saba1")</f>
        <v>bunda.saba1</v>
      </c>
      <c r="C35" s="281" t="str">
        <f>IFERROR(__xludf.DUMMYFUNCTION("""COMPUTED_VALUE"""),"https://www.tiktok.com/@bunda.saba1")</f>
        <v>https://www.tiktok.com/@bunda.saba1</v>
      </c>
      <c r="D35" s="502">
        <f>IFERROR(__xludf.DUMMYFUNCTION("""COMPUTED_VALUE"""),8.5811777831E10)</f>
        <v>85811777831</v>
      </c>
      <c r="E35" s="503">
        <f>IFERROR(__xludf.DUMMYFUNCTION("""COMPUTED_VALUE"""),100000.0)</f>
        <v>100000</v>
      </c>
      <c r="F35" s="502">
        <f>IFERROR(__xludf.DUMMYFUNCTION("""COMPUTED_VALUE"""),1.0)</f>
        <v>1</v>
      </c>
      <c r="G35" s="493" t="str">
        <f>IFERROR(__xludf.DUMMYFUNCTION("""COMPUTED_VALUE"""),"Rp173,2JT")</f>
        <v>Rp173,2JT</v>
      </c>
      <c r="H35" s="466" t="str">
        <f>IFERROR(__xludf.DUMMYFUNCTION("""COMPUTED_VALUE"""),"Minyak Oles Benjolan")</f>
        <v>Minyak Oles Benjolan</v>
      </c>
      <c r="I35" s="260" t="str">
        <f>IFERROR(__xludf.DUMMYFUNCTION("""COMPUTED_VALUE"""),"Sampai")</f>
        <v>Sampai</v>
      </c>
      <c r="J35" s="494" t="str">
        <f>IFERROR(__xludf.DUMMYFUNCTION("""COMPUTED_VALUE"""),"Concept 2")</f>
        <v>Concept 2</v>
      </c>
      <c r="K35" s="278" t="str">
        <f>IFERROR(__xludf.DUMMYFUNCTION("""COMPUTED_VALUE"""),"https://vt.tiktok.com/ZSuRhDeCw/")</f>
        <v>https://vt.tiktok.com/ZSuRhDeCw/</v>
      </c>
      <c r="L35" s="495"/>
      <c r="M35" s="262"/>
      <c r="N35" s="495"/>
      <c r="O35" s="262"/>
      <c r="P35" s="495"/>
      <c r="Q35" s="262"/>
      <c r="R35" s="499"/>
      <c r="S35" s="499"/>
      <c r="T35" s="499"/>
      <c r="U35" s="499"/>
    </row>
    <row r="36">
      <c r="A36" s="255" t="str">
        <f>IFERROR(__xludf.DUMMYFUNCTION("""COMPUTED_VALUE"""),"MICRO")</f>
        <v>MICRO</v>
      </c>
      <c r="B36" s="268" t="str">
        <f>IFERROR(__xludf.DUMMYFUNCTION("""COMPUTED_VALUE"""),"tokodinda27")</f>
        <v>tokodinda27</v>
      </c>
      <c r="C36" s="281" t="str">
        <f>IFERROR(__xludf.DUMMYFUNCTION("""COMPUTED_VALUE"""),"https://www.tiktok.com/@tokodinda27")</f>
        <v>https://www.tiktok.com/@tokodinda27</v>
      </c>
      <c r="D36" s="502">
        <f>IFERROR(__xludf.DUMMYFUNCTION("""COMPUTED_VALUE"""),8.2111371957E10)</f>
        <v>82111371957</v>
      </c>
      <c r="E36" s="503">
        <f>IFERROR(__xludf.DUMMYFUNCTION("""COMPUTED_VALUE"""),0.0)</f>
        <v>0</v>
      </c>
      <c r="F36" s="502">
        <f>IFERROR(__xludf.DUMMYFUNCTION("""COMPUTED_VALUE"""),3.0)</f>
        <v>3</v>
      </c>
      <c r="G36" s="493" t="str">
        <f>IFERROR(__xludf.DUMMYFUNCTION("""COMPUTED_VALUE"""),"Rp191,4JT")</f>
        <v>Rp191,4JT</v>
      </c>
      <c r="H36" s="466" t="str">
        <f>IFERROR(__xludf.DUMMYFUNCTION("""COMPUTED_VALUE"""),"Minyak Oles Benjolan")</f>
        <v>Minyak Oles Benjolan</v>
      </c>
      <c r="I36" s="260" t="str">
        <f>IFERROR(__xludf.DUMMYFUNCTION("""COMPUTED_VALUE"""),"Sampai")</f>
        <v>Sampai</v>
      </c>
      <c r="J36" s="494" t="str">
        <f>IFERROR(__xludf.DUMMYFUNCTION("""COMPUTED_VALUE""")," Concept 1")</f>
        <v> Concept 1</v>
      </c>
      <c r="K36" s="262"/>
      <c r="L36" s="495"/>
      <c r="M36" s="262"/>
      <c r="N36" s="495"/>
      <c r="O36" s="262"/>
      <c r="P36" s="495"/>
      <c r="Q36" s="262"/>
      <c r="R36" s="499"/>
      <c r="S36" s="499"/>
      <c r="T36" s="499"/>
      <c r="U36" s="499"/>
    </row>
    <row r="37">
      <c r="A37" s="255" t="str">
        <f>IFERROR(__xludf.DUMMYFUNCTION("""COMPUTED_VALUE"""),"NANO")</f>
        <v>NANO</v>
      </c>
      <c r="B37" s="268" t="str">
        <f>IFERROR(__xludf.DUMMYFUNCTION("""COMPUTED_VALUE"""),"makrega")</f>
        <v>makrega</v>
      </c>
      <c r="C37" s="281" t="str">
        <f>IFERROR(__xludf.DUMMYFUNCTION("""COMPUTED_VALUE"""),"https://www.tiktok.com/@makrega")</f>
        <v>https://www.tiktok.com/@makrega</v>
      </c>
      <c r="D37" s="502">
        <f>IFERROR(__xludf.DUMMYFUNCTION("""COMPUTED_VALUE"""),8.226723009E10)</f>
        <v>82267230090</v>
      </c>
      <c r="E37" s="503">
        <f>IFERROR(__xludf.DUMMYFUNCTION("""COMPUTED_VALUE"""),0.0)</f>
        <v>0</v>
      </c>
      <c r="F37" s="502">
        <f>IFERROR(__xludf.DUMMYFUNCTION("""COMPUTED_VALUE"""),3.0)</f>
        <v>3</v>
      </c>
      <c r="G37" s="493" t="str">
        <f>IFERROR(__xludf.DUMMYFUNCTION("""COMPUTED_VALUE"""),"Rp599,5RB")</f>
        <v>Rp599,5RB</v>
      </c>
      <c r="H37" s="466" t="str">
        <f>IFERROR(__xludf.DUMMYFUNCTION("""COMPUTED_VALUE"""),"Minyak Oles Benjolan")</f>
        <v>Minyak Oles Benjolan</v>
      </c>
      <c r="I37" s="260" t="str">
        <f>IFERROR(__xludf.DUMMYFUNCTION("""COMPUTED_VALUE"""),"Sampai")</f>
        <v>Sampai</v>
      </c>
      <c r="J37" s="494" t="str">
        <f>IFERROR(__xludf.DUMMYFUNCTION("""COMPUTED_VALUE"""),"Concept 2")</f>
        <v>Concept 2</v>
      </c>
      <c r="K37" s="278" t="str">
        <f>IFERROR(__xludf.DUMMYFUNCTION("""COMPUTED_VALUE"""),"https://vt.tiktok.com/ZSmVmwupD/")</f>
        <v>https://vt.tiktok.com/ZSmVmwupD/</v>
      </c>
      <c r="L37" s="495" t="str">
        <f>IFERROR(__xludf.DUMMYFUNCTION("""COMPUTED_VALUE"""),"Concept 2")</f>
        <v>Concept 2</v>
      </c>
      <c r="M37" s="278" t="str">
        <f>IFERROR(__xludf.DUMMYFUNCTION("""COMPUTED_VALUE"""),"https://vt.tiktok.com/ZSmV9Pph7/")</f>
        <v>https://vt.tiktok.com/ZSmV9Pph7/</v>
      </c>
      <c r="N37" s="495" t="str">
        <f>IFERROR(__xludf.DUMMYFUNCTION("""COMPUTED_VALUE"""),"Concept 4")</f>
        <v>Concept 4</v>
      </c>
      <c r="O37" s="278" t="str">
        <f>IFERROR(__xludf.DUMMYFUNCTION("""COMPUTED_VALUE"""),"https://vt.tiktok.com/ZSmWfwmeq/")</f>
        <v>https://vt.tiktok.com/ZSmWfwmeq/</v>
      </c>
      <c r="P37" s="495"/>
      <c r="Q37" s="278" t="str">
        <f>IFERROR(__xludf.DUMMYFUNCTION("""COMPUTED_VALUE"""),"https://vt.tiktok.com/ZSmWfwFvC/")</f>
        <v>https://vt.tiktok.com/ZSmWfwFvC/</v>
      </c>
      <c r="R37" s="499"/>
      <c r="S37" s="499"/>
      <c r="T37" s="499"/>
      <c r="U37" s="499"/>
    </row>
    <row r="38">
      <c r="A38" s="255" t="str">
        <f>IFERROR(__xludf.DUMMYFUNCTION("""COMPUTED_VALUE"""),"MICRO")</f>
        <v>MICRO</v>
      </c>
      <c r="B38" s="268" t="str">
        <f>IFERROR(__xludf.DUMMYFUNCTION("""COMPUTED_VALUE"""),"ekaretnowatii")</f>
        <v>ekaretnowatii</v>
      </c>
      <c r="C38" s="281" t="str">
        <f>IFERROR(__xludf.DUMMYFUNCTION("""COMPUTED_VALUE"""),"https://www.tiktok.com/@ekaretnowatii")</f>
        <v>https://www.tiktok.com/@ekaretnowatii</v>
      </c>
      <c r="D38" s="502">
        <f>IFERROR(__xludf.DUMMYFUNCTION("""COMPUTED_VALUE"""),8.1313454828E10)</f>
        <v>81313454828</v>
      </c>
      <c r="E38" s="503">
        <f>IFERROR(__xludf.DUMMYFUNCTION("""COMPUTED_VALUE"""),300000.0)</f>
        <v>300000</v>
      </c>
      <c r="F38" s="502">
        <f>IFERROR(__xludf.DUMMYFUNCTION("""COMPUTED_VALUE"""),1.0)</f>
        <v>1</v>
      </c>
      <c r="G38" s="493" t="str">
        <f>IFERROR(__xludf.DUMMYFUNCTION("""COMPUTED_VALUE"""),"Rp1JT+")</f>
        <v>Rp1JT+</v>
      </c>
      <c r="H38" s="466" t="str">
        <f>IFERROR(__xludf.DUMMYFUNCTION("""COMPUTED_VALUE"""),"Minyak Oles Benjolan")</f>
        <v>Minyak Oles Benjolan</v>
      </c>
      <c r="I38" s="260" t="str">
        <f>IFERROR(__xludf.DUMMYFUNCTION("""COMPUTED_VALUE"""),"Sampai")</f>
        <v>Sampai</v>
      </c>
      <c r="J38" s="494" t="str">
        <f>IFERROR(__xludf.DUMMYFUNCTION("""COMPUTED_VALUE"""),"Concept 3")</f>
        <v>Concept 3</v>
      </c>
      <c r="K38" s="278" t="str">
        <f>IFERROR(__xludf.DUMMYFUNCTION("""COMPUTED_VALUE"""),"https://vt.tiktok.com/ZSmQBxwnR/")</f>
        <v>https://vt.tiktok.com/ZSmQBxwnR/</v>
      </c>
      <c r="L38" s="495"/>
      <c r="M38" s="262"/>
      <c r="N38" s="495"/>
      <c r="O38" s="262"/>
      <c r="P38" s="495"/>
      <c r="Q38" s="262"/>
      <c r="R38" s="499">
        <f>IFERROR(__xludf.DUMMYFUNCTION("""COMPUTED_VALUE"""),174293.0)</f>
        <v>174293</v>
      </c>
      <c r="S38" s="499"/>
      <c r="T38" s="499">
        <f>IFERROR(__xludf.DUMMYFUNCTION("""COMPUTED_VALUE"""),895506.84)</f>
        <v>895506.84</v>
      </c>
      <c r="U38" s="499"/>
    </row>
    <row r="39">
      <c r="A39" s="255" t="str">
        <f>IFERROR(__xludf.DUMMYFUNCTION("""COMPUTED_VALUE"""),"MICRO")</f>
        <v>MICRO</v>
      </c>
      <c r="B39" s="268" t="str">
        <f>IFERROR(__xludf.DUMMYFUNCTION("""COMPUTED_VALUE"""),"teungkuridhwan")</f>
        <v>teungkuridhwan</v>
      </c>
      <c r="C39" s="281" t="str">
        <f>IFERROR(__xludf.DUMMYFUNCTION("""COMPUTED_VALUE"""),"https://www.tiktok.com/@teungkuridhwan")</f>
        <v>https://www.tiktok.com/@teungkuridhwan</v>
      </c>
      <c r="D39" s="502">
        <f>IFERROR(__xludf.DUMMYFUNCTION("""COMPUTED_VALUE"""),8.2362241107E10)</f>
        <v>82362241107</v>
      </c>
      <c r="E39" s="503">
        <f>IFERROR(__xludf.DUMMYFUNCTION("""COMPUTED_VALUE"""),60000.0)</f>
        <v>60000</v>
      </c>
      <c r="F39" s="502">
        <f>IFERROR(__xludf.DUMMYFUNCTION("""COMPUTED_VALUE"""),3.0)</f>
        <v>3</v>
      </c>
      <c r="G39" s="493" t="str">
        <f>IFERROR(__xludf.DUMMYFUNCTION("""COMPUTED_VALUE"""),"Rp35,5JT")</f>
        <v>Rp35,5JT</v>
      </c>
      <c r="H39" s="466" t="str">
        <f>IFERROR(__xludf.DUMMYFUNCTION("""COMPUTED_VALUE"""),"Minyak Oles Benjolan")</f>
        <v>Minyak Oles Benjolan</v>
      </c>
      <c r="I39" s="260" t="str">
        <f>IFERROR(__xludf.DUMMYFUNCTION("""COMPUTED_VALUE"""),"Sampai")</f>
        <v>Sampai</v>
      </c>
      <c r="J39" s="494"/>
      <c r="K39" s="278" t="str">
        <f>IFERROR(__xludf.DUMMYFUNCTION("""COMPUTED_VALUE"""),"https://vt.tiktok.com/ZSmX9KcmD/")</f>
        <v>https://vt.tiktok.com/ZSmX9KcmD/</v>
      </c>
      <c r="L39" s="495"/>
      <c r="M39" s="278" t="str">
        <f>IFERROR(__xludf.DUMMYFUNCTION("""COMPUTED_VALUE"""),"https://vt.tiktok.com/ZSmQNSa9S/")</f>
        <v>https://vt.tiktok.com/ZSmQNSa9S/</v>
      </c>
      <c r="N39" s="495"/>
      <c r="O39" s="278" t="str">
        <f>IFERROR(__xludf.DUMMYFUNCTION("""COMPUTED_VALUE"""),"https://vt.tiktok.com/ZSmX9TwDX/")</f>
        <v>https://vt.tiktok.com/ZSmX9TwDX/</v>
      </c>
      <c r="P39" s="495"/>
      <c r="Q39" s="262"/>
      <c r="R39" s="499">
        <f>IFERROR(__xludf.DUMMYFUNCTION("""COMPUTED_VALUE"""),89299.0)</f>
        <v>89299</v>
      </c>
      <c r="S39" s="499"/>
      <c r="T39" s="499">
        <f>IFERROR(__xludf.DUMMYFUNCTION("""COMPUTED_VALUE"""),7669471.44)</f>
        <v>7669471.44</v>
      </c>
      <c r="U39" s="499"/>
    </row>
    <row r="40">
      <c r="A40" s="255" t="str">
        <f>IFERROR(__xludf.DUMMYFUNCTION("""COMPUTED_VALUE"""),"NANO")</f>
        <v>NANO</v>
      </c>
      <c r="B40" s="268" t="str">
        <f>IFERROR(__xludf.DUMMYFUNCTION("""COMPUTED_VALUE"""),"naniichan__")</f>
        <v>naniichan__</v>
      </c>
      <c r="C40" s="281" t="str">
        <f>IFERROR(__xludf.DUMMYFUNCTION("""COMPUTED_VALUE"""),"https://www.tiktok.com/@naniichan__")</f>
        <v>https://www.tiktok.com/@naniichan__</v>
      </c>
      <c r="D40" s="502">
        <f>IFERROR(__xludf.DUMMYFUNCTION("""COMPUTED_VALUE"""),8.5900032207E10)</f>
        <v>85900032207</v>
      </c>
      <c r="E40" s="503">
        <f>IFERROR(__xludf.DUMMYFUNCTION("""COMPUTED_VALUE"""),0.0)</f>
        <v>0</v>
      </c>
      <c r="F40" s="502">
        <f>IFERROR(__xludf.DUMMYFUNCTION("""COMPUTED_VALUE"""),3.0)</f>
        <v>3</v>
      </c>
      <c r="G40" s="493" t="str">
        <f>IFERROR(__xludf.DUMMYFUNCTION("""COMPUTED_VALUE"""),"Rp1JT+")</f>
        <v>Rp1JT+</v>
      </c>
      <c r="H40" s="466" t="str">
        <f>IFERROR(__xludf.DUMMYFUNCTION("""COMPUTED_VALUE"""),"Minyak Oles Benjolan")</f>
        <v>Minyak Oles Benjolan</v>
      </c>
      <c r="I40" s="260" t="str">
        <f>IFERROR(__xludf.DUMMYFUNCTION("""COMPUTED_VALUE"""),"Sampai")</f>
        <v>Sampai</v>
      </c>
      <c r="J40" s="494" t="str">
        <f>IFERROR(__xludf.DUMMYFUNCTION("""COMPUTED_VALUE"""),"Concept 3")</f>
        <v>Concept 3</v>
      </c>
      <c r="K40" s="278" t="str">
        <f>IFERROR(__xludf.DUMMYFUNCTION("""COMPUTED_VALUE"""),"https://vt.tiktok.com/ZSmXXnUhf/")</f>
        <v>https://vt.tiktok.com/ZSmXXnUhf/</v>
      </c>
      <c r="L40" s="495" t="str">
        <f>IFERROR(__xludf.DUMMYFUNCTION("""COMPUTED_VALUE"""),"Concept 4")</f>
        <v>Concept 4</v>
      </c>
      <c r="M40" s="278" t="str">
        <f>IFERROR(__xludf.DUMMYFUNCTION("""COMPUTED_VALUE"""),"https://vt.tiktok.com/ZSmVqdNh5/")</f>
        <v>https://vt.tiktok.com/ZSmVqdNh5/</v>
      </c>
      <c r="N40" s="495" t="str">
        <f>IFERROR(__xludf.DUMMYFUNCTION("""COMPUTED_VALUE"""),"Concept 2")</f>
        <v>Concept 2</v>
      </c>
      <c r="O40" s="278" t="str">
        <f>IFERROR(__xludf.DUMMYFUNCTION("""COMPUTED_VALUE"""),"https://vt.tiktok.com/ZSmcVRM92/")</f>
        <v>https://vt.tiktok.com/ZSmcVRM92/</v>
      </c>
      <c r="P40" s="495"/>
      <c r="Q40" s="262"/>
      <c r="R40" s="499"/>
      <c r="S40" s="499"/>
      <c r="T40" s="499"/>
      <c r="U40" s="499"/>
    </row>
    <row r="41">
      <c r="A41" s="255" t="str">
        <f>IFERROR(__xludf.DUMMYFUNCTION("""COMPUTED_VALUE"""),"NANO")</f>
        <v>NANO</v>
      </c>
      <c r="B41" s="268" t="str">
        <f>IFERROR(__xludf.DUMMYFUNCTION("""COMPUTED_VALUE"""),"dherenzshop91")</f>
        <v>dherenzshop91</v>
      </c>
      <c r="C41" s="281" t="str">
        <f>IFERROR(__xludf.DUMMYFUNCTION("""COMPUTED_VALUE"""),"https://www.tiktok.com/@dherenzshop91")</f>
        <v>https://www.tiktok.com/@dherenzshop91</v>
      </c>
      <c r="D41" s="502">
        <f>IFERROR(__xludf.DUMMYFUNCTION("""COMPUTED_VALUE"""),8.1224352096E10)</f>
        <v>81224352096</v>
      </c>
      <c r="E41" s="503">
        <f>IFERROR(__xludf.DUMMYFUNCTION("""COMPUTED_VALUE"""),0.0)</f>
        <v>0</v>
      </c>
      <c r="F41" s="502">
        <f>IFERROR(__xludf.DUMMYFUNCTION("""COMPUTED_VALUE"""),3.0)</f>
        <v>3</v>
      </c>
      <c r="G41" s="493" t="str">
        <f>IFERROR(__xludf.DUMMYFUNCTION("""COMPUTED_VALUE"""),"Rp135,0JT")</f>
        <v>Rp135,0JT</v>
      </c>
      <c r="H41" s="466" t="str">
        <f>IFERROR(__xludf.DUMMYFUNCTION("""COMPUTED_VALUE"""),"Minyak Oles Benjolan")</f>
        <v>Minyak Oles Benjolan</v>
      </c>
      <c r="I41" s="260" t="str">
        <f>IFERROR(__xludf.DUMMYFUNCTION("""COMPUTED_VALUE"""),"Sampai")</f>
        <v>Sampai</v>
      </c>
      <c r="J41" s="494" t="str">
        <f>IFERROR(__xludf.DUMMYFUNCTION("""COMPUTED_VALUE""")," Concept 1")</f>
        <v> Concept 1</v>
      </c>
      <c r="K41" s="278" t="str">
        <f>IFERROR(__xludf.DUMMYFUNCTION("""COMPUTED_VALUE"""),"https://vt.tiktok.com/ZSmUJ2aGd/")</f>
        <v>https://vt.tiktok.com/ZSmUJ2aGd/</v>
      </c>
      <c r="L41" s="495" t="str">
        <f>IFERROR(__xludf.DUMMYFUNCTION("""COMPUTED_VALUE"""),"Concept 4")</f>
        <v>Concept 4</v>
      </c>
      <c r="M41" s="278" t="str">
        <f>IFERROR(__xludf.DUMMYFUNCTION("""COMPUTED_VALUE"""),"https://vt.tiktok.com/ZSmx3NGkE/")</f>
        <v>https://vt.tiktok.com/ZSmx3NGkE/</v>
      </c>
      <c r="N41" s="495" t="str">
        <f>IFERROR(__xludf.DUMMYFUNCTION("""COMPUTED_VALUE"""),"Concept 3")</f>
        <v>Concept 3</v>
      </c>
      <c r="O41" s="278" t="str">
        <f>IFERROR(__xludf.DUMMYFUNCTION("""COMPUTED_VALUE"""),"https://vt.tiktok.com/ZSmcjXtqk/")</f>
        <v>https://vt.tiktok.com/ZSmcjXtqk/</v>
      </c>
      <c r="P41" s="495"/>
      <c r="Q41" s="262"/>
      <c r="R41" s="499">
        <f>IFERROR(__xludf.DUMMYFUNCTION("""COMPUTED_VALUE"""),441978.0)</f>
        <v>441978</v>
      </c>
      <c r="S41" s="499"/>
      <c r="T41" s="499">
        <f>IFERROR(__xludf.DUMMYFUNCTION("""COMPUTED_VALUE"""),64481.88)</f>
        <v>64481.88</v>
      </c>
      <c r="U41" s="499"/>
    </row>
    <row r="42">
      <c r="A42" s="255" t="str">
        <f>IFERROR(__xludf.DUMMYFUNCTION("""COMPUTED_VALUE"""),"NANO")</f>
        <v>NANO</v>
      </c>
      <c r="B42" s="268" t="str">
        <f>IFERROR(__xludf.DUMMYFUNCTION("""COMPUTED_VALUE"""),"browwyyy8")</f>
        <v>browwyyy8</v>
      </c>
      <c r="C42" s="281" t="str">
        <f>IFERROR(__xludf.DUMMYFUNCTION("""COMPUTED_VALUE"""),"https://www.tiktok.com/@browwyyy8")</f>
        <v>https://www.tiktok.com/@browwyyy8</v>
      </c>
      <c r="D42" s="502">
        <f>IFERROR(__xludf.DUMMYFUNCTION("""COMPUTED_VALUE"""),8.5951556999E10)</f>
        <v>85951556999</v>
      </c>
      <c r="E42" s="503">
        <f>IFERROR(__xludf.DUMMYFUNCTION("""COMPUTED_VALUE"""),0.0)</f>
        <v>0</v>
      </c>
      <c r="F42" s="502">
        <f>IFERROR(__xludf.DUMMYFUNCTION("""COMPUTED_VALUE"""),3.0)</f>
        <v>3</v>
      </c>
      <c r="G42" s="493" t="str">
        <f>IFERROR(__xludf.DUMMYFUNCTION("""COMPUTED_VALUE"""),"Rp66,5JT")</f>
        <v>Rp66,5JT</v>
      </c>
      <c r="H42" s="466" t="str">
        <f>IFERROR(__xludf.DUMMYFUNCTION("""COMPUTED_VALUE"""),"Minyak Oles Benjolan")</f>
        <v>Minyak Oles Benjolan</v>
      </c>
      <c r="I42" s="260" t="str">
        <f>IFERROR(__xludf.DUMMYFUNCTION("""COMPUTED_VALUE"""),"Sampai")</f>
        <v>Sampai</v>
      </c>
      <c r="J42" s="494" t="str">
        <f>IFERROR(__xludf.DUMMYFUNCTION("""COMPUTED_VALUE""")," Concept 1")</f>
        <v> Concept 1</v>
      </c>
      <c r="K42" s="278" t="str">
        <f>IFERROR(__xludf.DUMMYFUNCTION("""COMPUTED_VALUE"""),"https://vt.tiktok.com/ZSHY6muw5/")</f>
        <v>https://vt.tiktok.com/ZSHY6muw5/</v>
      </c>
      <c r="L42" s="495" t="str">
        <f>IFERROR(__xludf.DUMMYFUNCTION("""COMPUTED_VALUE"""),"Concept 5")</f>
        <v>Concept 5</v>
      </c>
      <c r="M42" s="278" t="str">
        <f>IFERROR(__xludf.DUMMYFUNCTION("""COMPUTED_VALUE"""),"https://vt.tiktok.com/ZSHHHDFCM/")</f>
        <v>https://vt.tiktok.com/ZSHHHDFCM/</v>
      </c>
      <c r="N42" s="495" t="str">
        <f>IFERROR(__xludf.DUMMYFUNCTION("""COMPUTED_VALUE"""),"Concept 3")</f>
        <v>Concept 3</v>
      </c>
      <c r="O42" s="278" t="str">
        <f>IFERROR(__xludf.DUMMYFUNCTION("""COMPUTED_VALUE"""),"https://vt.tiktok.com/ZSHC5Hw5q/")</f>
        <v>https://vt.tiktok.com/ZSHC5Hw5q/</v>
      </c>
      <c r="P42" s="495"/>
      <c r="Q42" s="278" t="str">
        <f>IFERROR(__xludf.DUMMYFUNCTION("""COMPUTED_VALUE"""),"https://vt.tiktok.com/ZSHCa8KTj/")</f>
        <v>https://vt.tiktok.com/ZSHCa8KTj/</v>
      </c>
      <c r="R42" s="499"/>
      <c r="S42" s="499"/>
      <c r="T42" s="499"/>
      <c r="U42" s="499"/>
    </row>
    <row r="43">
      <c r="A43" s="255" t="str">
        <f>IFERROR(__xludf.DUMMYFUNCTION("""COMPUTED_VALUE"""),"NANO")</f>
        <v>NANO</v>
      </c>
      <c r="B43" s="268" t="str">
        <f>IFERROR(__xludf.DUMMYFUNCTION("""COMPUTED_VALUE"""),"herbal.store54")</f>
        <v>herbal.store54</v>
      </c>
      <c r="C43" s="281" t="str">
        <f>IFERROR(__xludf.DUMMYFUNCTION("""COMPUTED_VALUE"""),"https://www.tiktok.com/@herbal.store54")</f>
        <v>https://www.tiktok.com/@herbal.store54</v>
      </c>
      <c r="D43" s="502">
        <f>IFERROR(__xludf.DUMMYFUNCTION("""COMPUTED_VALUE"""),8.2288385863E10)</f>
        <v>82288385863</v>
      </c>
      <c r="E43" s="503">
        <f>IFERROR(__xludf.DUMMYFUNCTION("""COMPUTED_VALUE"""),0.0)</f>
        <v>0</v>
      </c>
      <c r="F43" s="502">
        <f>IFERROR(__xludf.DUMMYFUNCTION("""COMPUTED_VALUE"""),3.0)</f>
        <v>3</v>
      </c>
      <c r="G43" s="493" t="str">
        <f>IFERROR(__xludf.DUMMYFUNCTION("""COMPUTED_VALUE"""),"Rp6,9JT")</f>
        <v>Rp6,9JT</v>
      </c>
      <c r="H43" s="466" t="str">
        <f>IFERROR(__xludf.DUMMYFUNCTION("""COMPUTED_VALUE"""),"Minyak Oles Benjolan")</f>
        <v>Minyak Oles Benjolan</v>
      </c>
      <c r="I43" s="260" t="str">
        <f>IFERROR(__xludf.DUMMYFUNCTION("""COMPUTED_VALUE"""),"Sampai")</f>
        <v>Sampai</v>
      </c>
      <c r="J43" s="494" t="str">
        <f>IFERROR(__xludf.DUMMYFUNCTION("""COMPUTED_VALUE"""),"Concept 2")</f>
        <v>Concept 2</v>
      </c>
      <c r="K43" s="278" t="str">
        <f>IFERROR(__xludf.DUMMYFUNCTION("""COMPUTED_VALUE"""),"https://vt.tiktok.com/ZSmVafmHu/")</f>
        <v>https://vt.tiktok.com/ZSmVafmHu/</v>
      </c>
      <c r="L43" s="495" t="str">
        <f>IFERROR(__xludf.DUMMYFUNCTION("""COMPUTED_VALUE"""),"Concept 3")</f>
        <v>Concept 3</v>
      </c>
      <c r="M43" s="278" t="str">
        <f>IFERROR(__xludf.DUMMYFUNCTION("""COMPUTED_VALUE"""),"https://vt.tiktok.com/ZSudWk4md/")</f>
        <v>https://vt.tiktok.com/ZSudWk4md/</v>
      </c>
      <c r="N43" s="495" t="str">
        <f>IFERROR(__xludf.DUMMYFUNCTION("""COMPUTED_VALUE"""),"Concept 4")</f>
        <v>Concept 4</v>
      </c>
      <c r="O43" s="278" t="str">
        <f>IFERROR(__xludf.DUMMYFUNCTION("""COMPUTED_VALUE"""),"https://vt.tiktok.com/ZSHf7pceP/")</f>
        <v>https://vt.tiktok.com/ZSHf7pceP/</v>
      </c>
      <c r="P43" s="495"/>
      <c r="Q43" s="262"/>
      <c r="R43" s="499"/>
      <c r="S43" s="499"/>
      <c r="T43" s="499"/>
      <c r="U43" s="499"/>
    </row>
    <row r="44">
      <c r="A44" s="255" t="str">
        <f>IFERROR(__xludf.DUMMYFUNCTION("""COMPUTED_VALUE"""),"MICRO")</f>
        <v>MICRO</v>
      </c>
      <c r="B44" s="268" t="str">
        <f>IFERROR(__xludf.DUMMYFUNCTION("""COMPUTED_VALUE"""),"resepsehatrempah")</f>
        <v>resepsehatrempah</v>
      </c>
      <c r="C44" s="281" t="str">
        <f>IFERROR(__xludf.DUMMYFUNCTION("""COMPUTED_VALUE"""),"https://www.tiktok.com/@resepsehatrempah")</f>
        <v>https://www.tiktok.com/@resepsehatrempah</v>
      </c>
      <c r="D44" s="502">
        <f>IFERROR(__xludf.DUMMYFUNCTION("""COMPUTED_VALUE"""),8.1313050892E10)</f>
        <v>81313050892</v>
      </c>
      <c r="E44" s="503">
        <f>IFERROR(__xludf.DUMMYFUNCTION("""COMPUTED_VALUE"""),0.0)</f>
        <v>0</v>
      </c>
      <c r="F44" s="502">
        <f>IFERROR(__xludf.DUMMYFUNCTION("""COMPUTED_VALUE"""),3.0)</f>
        <v>3</v>
      </c>
      <c r="G44" s="493" t="str">
        <f>IFERROR(__xludf.DUMMYFUNCTION("""COMPUTED_VALUE"""),"Rp40,9JT")</f>
        <v>Rp40,9JT</v>
      </c>
      <c r="H44" s="466" t="str">
        <f>IFERROR(__xludf.DUMMYFUNCTION("""COMPUTED_VALUE"""),"Minyak Oles Benjolan")</f>
        <v>Minyak Oles Benjolan</v>
      </c>
      <c r="I44" s="260" t="str">
        <f>IFERROR(__xludf.DUMMYFUNCTION("""COMPUTED_VALUE"""),"Sampai")</f>
        <v>Sampai</v>
      </c>
      <c r="J44" s="494" t="str">
        <f>IFERROR(__xludf.DUMMYFUNCTION("""COMPUTED_VALUE""")," Concept 1")</f>
        <v> Concept 1</v>
      </c>
      <c r="K44" s="278" t="str">
        <f>IFERROR(__xludf.DUMMYFUNCTION("""COMPUTED_VALUE"""),"https://vt.tiktok.com/ZSmqXCtBY/")</f>
        <v>https://vt.tiktok.com/ZSmqXCtBY/</v>
      </c>
      <c r="L44" s="495" t="str">
        <f>IFERROR(__xludf.DUMMYFUNCTION("""COMPUTED_VALUE"""),"Concept 2")</f>
        <v>Concept 2</v>
      </c>
      <c r="M44" s="262"/>
      <c r="N44" s="495"/>
      <c r="O44" s="262"/>
      <c r="P44" s="495"/>
      <c r="Q44" s="262"/>
      <c r="R44" s="499"/>
      <c r="S44" s="499"/>
      <c r="T44" s="499"/>
      <c r="U44" s="499"/>
    </row>
    <row r="45">
      <c r="A45" s="255" t="str">
        <f>IFERROR(__xludf.DUMMYFUNCTION("""COMPUTED_VALUE"""),"NANO")</f>
        <v>NANO</v>
      </c>
      <c r="B45" s="268" t="str">
        <f>IFERROR(__xludf.DUMMYFUNCTION("""COMPUTED_VALUE"""),"kakak.khalid8")</f>
        <v>kakak.khalid8</v>
      </c>
      <c r="C45" s="281" t="str">
        <f>IFERROR(__xludf.DUMMYFUNCTION("""COMPUTED_VALUE"""),"https://www.tiktok.com/@kakak.khalid8")</f>
        <v>https://www.tiktok.com/@kakak.khalid8</v>
      </c>
      <c r="D45" s="502">
        <f>IFERROR(__xludf.DUMMYFUNCTION("""COMPUTED_VALUE"""),8.2177574225E10)</f>
        <v>82177574225</v>
      </c>
      <c r="E45" s="503">
        <f>IFERROR(__xludf.DUMMYFUNCTION("""COMPUTED_VALUE"""),0.0)</f>
        <v>0</v>
      </c>
      <c r="F45" s="502">
        <f>IFERROR(__xludf.DUMMYFUNCTION("""COMPUTED_VALUE"""),3.0)</f>
        <v>3</v>
      </c>
      <c r="G45" s="493" t="str">
        <f>IFERROR(__xludf.DUMMYFUNCTION("""COMPUTED_VALUE"""),"Rp12,1JT")</f>
        <v>Rp12,1JT</v>
      </c>
      <c r="H45" s="466" t="str">
        <f>IFERROR(__xludf.DUMMYFUNCTION("""COMPUTED_VALUE"""),"Minyak Oles Benjolan")</f>
        <v>Minyak Oles Benjolan</v>
      </c>
      <c r="I45" s="260" t="str">
        <f>IFERROR(__xludf.DUMMYFUNCTION("""COMPUTED_VALUE"""),"Sampai")</f>
        <v>Sampai</v>
      </c>
      <c r="J45" s="494" t="str">
        <f>IFERROR(__xludf.DUMMYFUNCTION("""COMPUTED_VALUE"""),"Concept 4")</f>
        <v>Concept 4</v>
      </c>
      <c r="K45" s="262"/>
      <c r="L45" s="495"/>
      <c r="M45" s="262"/>
      <c r="N45" s="495"/>
      <c r="O45" s="262"/>
      <c r="P45" s="495"/>
      <c r="Q45" s="262"/>
      <c r="R45" s="499"/>
      <c r="S45" s="499"/>
      <c r="T45" s="499"/>
      <c r="U45" s="499"/>
    </row>
    <row r="46">
      <c r="A46" s="255" t="str">
        <f>IFERROR(__xludf.DUMMYFUNCTION("""COMPUTED_VALUE"""),"NANO")</f>
        <v>NANO</v>
      </c>
      <c r="B46" s="268" t="str">
        <f>IFERROR(__xludf.DUMMYFUNCTION("""COMPUTED_VALUE"""),"ko.pepen")</f>
        <v>ko.pepen</v>
      </c>
      <c r="C46" s="281" t="str">
        <f>IFERROR(__xludf.DUMMYFUNCTION("""COMPUTED_VALUE"""),"https://www.tiktok.com/@ko.pepen")</f>
        <v>https://www.tiktok.com/@ko.pepen</v>
      </c>
      <c r="D46" s="502">
        <f>IFERROR(__xludf.DUMMYFUNCTION("""COMPUTED_VALUE"""),8.111381301E9)</f>
        <v>8111381301</v>
      </c>
      <c r="E46" s="503">
        <f>IFERROR(__xludf.DUMMYFUNCTION("""COMPUTED_VALUE"""),100000.0)</f>
        <v>100000</v>
      </c>
      <c r="F46" s="502">
        <f>IFERROR(__xludf.DUMMYFUNCTION("""COMPUTED_VALUE"""),2.0)</f>
        <v>2</v>
      </c>
      <c r="G46" s="493" t="str">
        <f>IFERROR(__xludf.DUMMYFUNCTION("""COMPUTED_VALUE"""),"Rp48,0JT")</f>
        <v>Rp48,0JT</v>
      </c>
      <c r="H46" s="466" t="str">
        <f>IFERROR(__xludf.DUMMYFUNCTION("""COMPUTED_VALUE"""),"Minyak Oles Benjolan")</f>
        <v>Minyak Oles Benjolan</v>
      </c>
      <c r="I46" s="260" t="str">
        <f>IFERROR(__xludf.DUMMYFUNCTION("""COMPUTED_VALUE"""),"Sampai")</f>
        <v>Sampai</v>
      </c>
      <c r="J46" s="494" t="str">
        <f>IFERROR(__xludf.DUMMYFUNCTION("""COMPUTED_VALUE"""),"Concept 4")</f>
        <v>Concept 4</v>
      </c>
      <c r="K46" s="278" t="str">
        <f>IFERROR(__xludf.DUMMYFUNCTION("""COMPUTED_VALUE"""),"https://vt.tiktok.com/ZSmxcoh3C/")</f>
        <v>https://vt.tiktok.com/ZSmxcoh3C/</v>
      </c>
      <c r="L46" s="495" t="str">
        <f>IFERROR(__xludf.DUMMYFUNCTION("""COMPUTED_VALUE"""),"Concept 3")</f>
        <v>Concept 3</v>
      </c>
      <c r="M46" s="278" t="str">
        <f>IFERROR(__xludf.DUMMYFUNCTION("""COMPUTED_VALUE"""),"https://vt.tiktok.com/ZSmgHpXjm/")</f>
        <v>https://vt.tiktok.com/ZSmgHpXjm/</v>
      </c>
      <c r="N46" s="495"/>
      <c r="O46" s="262"/>
      <c r="P46" s="495"/>
      <c r="Q46" s="262"/>
      <c r="R46" s="499"/>
      <c r="S46" s="499"/>
      <c r="T46" s="499"/>
      <c r="U46" s="499"/>
    </row>
    <row r="47">
      <c r="A47" s="255" t="str">
        <f>IFERROR(__xludf.DUMMYFUNCTION("""COMPUTED_VALUE"""),"NANO")</f>
        <v>NANO</v>
      </c>
      <c r="B47" s="268" t="str">
        <f>IFERROR(__xludf.DUMMYFUNCTION("""COMPUTED_VALUE"""),"titiksurya88")</f>
        <v>titiksurya88</v>
      </c>
      <c r="C47" s="281" t="str">
        <f>IFERROR(__xludf.DUMMYFUNCTION("""COMPUTED_VALUE"""),"https://www.tiktok.com/@titiksurya88")</f>
        <v>https://www.tiktok.com/@titiksurya88</v>
      </c>
      <c r="D47" s="502">
        <f>IFERROR(__xludf.DUMMYFUNCTION("""COMPUTED_VALUE"""),8.2258135322E10)</f>
        <v>82258135322</v>
      </c>
      <c r="E47" s="503">
        <f>IFERROR(__xludf.DUMMYFUNCTION("""COMPUTED_VALUE"""),0.0)</f>
        <v>0</v>
      </c>
      <c r="F47" s="502">
        <f>IFERROR(__xludf.DUMMYFUNCTION("""COMPUTED_VALUE"""),3.0)</f>
        <v>3</v>
      </c>
      <c r="G47" s="493" t="str">
        <f>IFERROR(__xludf.DUMMYFUNCTION("""COMPUTED_VALUE"""),"Rp45,2JT")</f>
        <v>Rp45,2JT</v>
      </c>
      <c r="H47" s="466" t="str">
        <f>IFERROR(__xludf.DUMMYFUNCTION("""COMPUTED_VALUE"""),"Minyak Oles Benjolan")</f>
        <v>Minyak Oles Benjolan</v>
      </c>
      <c r="I47" s="260" t="str">
        <f>IFERROR(__xludf.DUMMYFUNCTION("""COMPUTED_VALUE"""),"Sampai")</f>
        <v>Sampai</v>
      </c>
      <c r="J47" s="494" t="str">
        <f>IFERROR(__xludf.DUMMYFUNCTION("""COMPUTED_VALUE""")," Concept 1")</f>
        <v> Concept 1</v>
      </c>
      <c r="K47" s="278" t="str">
        <f>IFERROR(__xludf.DUMMYFUNCTION("""COMPUTED_VALUE"""),"https://vt.tiktok.com/ZSmf237GC/")</f>
        <v>https://vt.tiktok.com/ZSmf237GC/</v>
      </c>
      <c r="L47" s="495" t="str">
        <f>IFERROR(__xludf.DUMMYFUNCTION("""COMPUTED_VALUE"""),"Concept 3")</f>
        <v>Concept 3</v>
      </c>
      <c r="M47" s="278" t="str">
        <f>IFERROR(__xludf.DUMMYFUNCTION("""COMPUTED_VALUE"""),"https://vt.tiktok.com/ZSmufaxv7/")</f>
        <v>https://vt.tiktok.com/ZSmufaxv7/</v>
      </c>
      <c r="N47" s="495" t="str">
        <f>IFERROR(__xludf.DUMMYFUNCTION("""COMPUTED_VALUE"""),"Concept 2")</f>
        <v>Concept 2</v>
      </c>
      <c r="O47" s="278" t="str">
        <f>IFERROR(__xludf.DUMMYFUNCTION("""COMPUTED_VALUE"""),"https://vt.tiktok.com/ZSmKRuJ8E/")</f>
        <v>https://vt.tiktok.com/ZSmKRuJ8E/</v>
      </c>
      <c r="P47" s="495"/>
      <c r="Q47" s="262"/>
      <c r="R47" s="499">
        <f>IFERROR(__xludf.DUMMYFUNCTION("""COMPUTED_VALUE"""),78200.0)</f>
        <v>78200</v>
      </c>
      <c r="S47" s="499"/>
      <c r="T47" s="499"/>
      <c r="U47" s="499"/>
    </row>
    <row r="48">
      <c r="A48" s="255" t="str">
        <f>IFERROR(__xludf.DUMMYFUNCTION("""COMPUTED_VALUE"""),"NANO")</f>
        <v>NANO</v>
      </c>
      <c r="B48" s="268" t="str">
        <f>IFERROR(__xludf.DUMMYFUNCTION("""COMPUTED_VALUE"""),"spillbarang124")</f>
        <v>spillbarang124</v>
      </c>
      <c r="C48" s="281" t="str">
        <f>IFERROR(__xludf.DUMMYFUNCTION("""COMPUTED_VALUE"""),"https://www.tiktok.com/@spillbarang124")</f>
        <v>https://www.tiktok.com/@spillbarang124</v>
      </c>
      <c r="D48" s="502">
        <f>IFERROR(__xludf.DUMMYFUNCTION("""COMPUTED_VALUE"""),8.1999053114E10)</f>
        <v>81999053114</v>
      </c>
      <c r="E48" s="503">
        <f>IFERROR(__xludf.DUMMYFUNCTION("""COMPUTED_VALUE"""),0.0)</f>
        <v>0</v>
      </c>
      <c r="F48" s="502">
        <f>IFERROR(__xludf.DUMMYFUNCTION("""COMPUTED_VALUE"""),3.0)</f>
        <v>3</v>
      </c>
      <c r="G48" s="493" t="str">
        <f>IFERROR(__xludf.DUMMYFUNCTION("""COMPUTED_VALUE"""),"Rp6,7JT")</f>
        <v>Rp6,7JT</v>
      </c>
      <c r="H48" s="466" t="str">
        <f>IFERROR(__xludf.DUMMYFUNCTION("""COMPUTED_VALUE"""),"Minyak Oles Benjolan")</f>
        <v>Minyak Oles Benjolan</v>
      </c>
      <c r="I48" s="260" t="str">
        <f>IFERROR(__xludf.DUMMYFUNCTION("""COMPUTED_VALUE"""),"Sampai")</f>
        <v>Sampai</v>
      </c>
      <c r="J48" s="494" t="str">
        <f>IFERROR(__xludf.DUMMYFUNCTION("""COMPUTED_VALUE"""),"Concept 4")</f>
        <v>Concept 4</v>
      </c>
      <c r="K48" s="278" t="str">
        <f>IFERROR(__xludf.DUMMYFUNCTION("""COMPUTED_VALUE"""),"https://vt.tiktok.com/ZSmHdb3jr/")</f>
        <v>https://vt.tiktok.com/ZSmHdb3jr/</v>
      </c>
      <c r="L48" s="495" t="str">
        <f>IFERROR(__xludf.DUMMYFUNCTION("""COMPUTED_VALUE"""),"Concept 2")</f>
        <v>Concept 2</v>
      </c>
      <c r="M48" s="278" t="str">
        <f>IFERROR(__xludf.DUMMYFUNCTION("""COMPUTED_VALUE"""),"https://vt.tiktok.com/ZSmHRBfvv/")</f>
        <v>https://vt.tiktok.com/ZSmHRBfvv/</v>
      </c>
      <c r="N48" s="495" t="str">
        <f>IFERROR(__xludf.DUMMYFUNCTION("""COMPUTED_VALUE"""),"Concept 3")</f>
        <v>Concept 3</v>
      </c>
      <c r="O48" s="278" t="str">
        <f>IFERROR(__xludf.DUMMYFUNCTION("""COMPUTED_VALUE"""),"https://vt.tiktok.com/ZSmpodDy8/")</f>
        <v>https://vt.tiktok.com/ZSmpodDy8/</v>
      </c>
      <c r="P48" s="495"/>
      <c r="Q48" s="262"/>
      <c r="R48" s="499"/>
      <c r="S48" s="499"/>
      <c r="T48" s="499">
        <f>IFERROR(__xludf.DUMMYFUNCTION("""COMPUTED_VALUE"""),1.933728246E7)</f>
        <v>19337282.46</v>
      </c>
      <c r="U48" s="499"/>
    </row>
    <row r="49">
      <c r="A49" s="255" t="str">
        <f>IFERROR(__xludf.DUMMYFUNCTION("""COMPUTED_VALUE"""),"NANO")</f>
        <v>NANO</v>
      </c>
      <c r="B49" s="268" t="str">
        <f>IFERROR(__xludf.DUMMYFUNCTION("""COMPUTED_VALUE"""),"adhipiontalucur")</f>
        <v>adhipiontalucur</v>
      </c>
      <c r="C49" s="281" t="str">
        <f>IFERROR(__xludf.DUMMYFUNCTION("""COMPUTED_VALUE"""),"https://www.tiktok.com/@adhipiontalucur")</f>
        <v>https://www.tiktok.com/@adhipiontalucur</v>
      </c>
      <c r="D49" s="502">
        <f>IFERROR(__xludf.DUMMYFUNCTION("""COMPUTED_VALUE"""),8.124347623E10)</f>
        <v>81243476230</v>
      </c>
      <c r="E49" s="503">
        <f>IFERROR(__xludf.DUMMYFUNCTION("""COMPUTED_VALUE"""),0.0)</f>
        <v>0</v>
      </c>
      <c r="F49" s="502">
        <f>IFERROR(__xludf.DUMMYFUNCTION("""COMPUTED_VALUE"""),3.0)</f>
        <v>3</v>
      </c>
      <c r="G49" s="493" t="str">
        <f>IFERROR(__xludf.DUMMYFUNCTION("""COMPUTED_VALUE"""),"Rp12,5JT")</f>
        <v>Rp12,5JT</v>
      </c>
      <c r="H49" s="466" t="str">
        <f>IFERROR(__xludf.DUMMYFUNCTION("""COMPUTED_VALUE"""),"Minyak Oles Benjolan")</f>
        <v>Minyak Oles Benjolan</v>
      </c>
      <c r="I49" s="260" t="str">
        <f>IFERROR(__xludf.DUMMYFUNCTION("""COMPUTED_VALUE"""),"Sampai")</f>
        <v>Sampai</v>
      </c>
      <c r="J49" s="494" t="str">
        <f>IFERROR(__xludf.DUMMYFUNCTION("""COMPUTED_VALUE"""),"Concept 3")</f>
        <v>Concept 3</v>
      </c>
      <c r="K49" s="278" t="str">
        <f>IFERROR(__xludf.DUMMYFUNCTION("""COMPUTED_VALUE"""),"https://vt.tiktok.com/ZSmVWBj4K/")</f>
        <v>https://vt.tiktok.com/ZSmVWBj4K/</v>
      </c>
      <c r="L49" s="495" t="str">
        <f>IFERROR(__xludf.DUMMYFUNCTION("""COMPUTED_VALUE""")," Concept 1")</f>
        <v> Concept 1</v>
      </c>
      <c r="M49" s="278" t="str">
        <f>IFERROR(__xludf.DUMMYFUNCTION("""COMPUTED_VALUE"""),"https://vt.tiktok.com/ZSmsm1NnJ/")</f>
        <v>https://vt.tiktok.com/ZSmsm1NnJ/</v>
      </c>
      <c r="N49" s="495" t="str">
        <f>IFERROR(__xludf.DUMMYFUNCTION("""COMPUTED_VALUE"""),"Concept 3")</f>
        <v>Concept 3</v>
      </c>
      <c r="O49" s="278" t="str">
        <f>IFERROR(__xludf.DUMMYFUNCTION("""COMPUTED_VALUE"""),"https://vt.tiktok.com/ZSmcb6BhP/")</f>
        <v>https://vt.tiktok.com/ZSmcb6BhP/</v>
      </c>
      <c r="P49" s="495"/>
      <c r="Q49" s="262"/>
      <c r="R49" s="499"/>
      <c r="S49" s="499"/>
      <c r="T49" s="499"/>
      <c r="U49" s="499"/>
    </row>
    <row r="50">
      <c r="A50" s="255" t="str">
        <f>IFERROR(__xludf.DUMMYFUNCTION("""COMPUTED_VALUE"""),"NANO")</f>
        <v>NANO</v>
      </c>
      <c r="B50" s="268" t="str">
        <f>IFERROR(__xludf.DUMMYFUNCTION("""COMPUTED_VALUE"""),"apanerecord ")</f>
        <v>apanerecord </v>
      </c>
      <c r="C50" s="281" t="str">
        <f>IFERROR(__xludf.DUMMYFUNCTION("""COMPUTED_VALUE"""),"https://www.tiktok.com/@apanerecord ")</f>
        <v>https://www.tiktok.com/@apanerecord </v>
      </c>
      <c r="D50" s="502">
        <f>IFERROR(__xludf.DUMMYFUNCTION("""COMPUTED_VALUE"""),8.5159938891E10)</f>
        <v>85159938891</v>
      </c>
      <c r="E50" s="503">
        <f>IFERROR(__xludf.DUMMYFUNCTION("""COMPUTED_VALUE"""),0.0)</f>
        <v>0</v>
      </c>
      <c r="F50" s="502">
        <f>IFERROR(__xludf.DUMMYFUNCTION("""COMPUTED_VALUE"""),3.0)</f>
        <v>3</v>
      </c>
      <c r="G50" s="493" t="str">
        <f>IFERROR(__xludf.DUMMYFUNCTION("""COMPUTED_VALUE"""),"Rp8,7JT")</f>
        <v>Rp8,7JT</v>
      </c>
      <c r="H50" s="466" t="str">
        <f>IFERROR(__xludf.DUMMYFUNCTION("""COMPUTED_VALUE"""),"Minyak Oles Benjolan")</f>
        <v>Minyak Oles Benjolan</v>
      </c>
      <c r="I50" s="260" t="str">
        <f>IFERROR(__xludf.DUMMYFUNCTION("""COMPUTED_VALUE"""),"Sampai")</f>
        <v>Sampai</v>
      </c>
      <c r="J50" s="494" t="str">
        <f>IFERROR(__xludf.DUMMYFUNCTION("""COMPUTED_VALUE"""),"Concept 3")</f>
        <v>Concept 3</v>
      </c>
      <c r="K50" s="278" t="str">
        <f>IFERROR(__xludf.DUMMYFUNCTION("""COMPUTED_VALUE"""),"https://vt.tiktok.com/ZSm3jfmdv/")</f>
        <v>https://vt.tiktok.com/ZSm3jfmdv/</v>
      </c>
      <c r="L50" s="495"/>
      <c r="M50" s="262"/>
      <c r="N50" s="495"/>
      <c r="O50" s="262"/>
      <c r="P50" s="495"/>
      <c r="Q50" s="262"/>
      <c r="R50" s="499"/>
      <c r="S50" s="499"/>
      <c r="T50" s="499"/>
      <c r="U50" s="499"/>
    </row>
    <row r="51">
      <c r="A51" s="255" t="str">
        <f>IFERROR(__xludf.DUMMYFUNCTION("""COMPUTED_VALUE"""),"NANO")</f>
        <v>NANO</v>
      </c>
      <c r="B51" s="268" t="str">
        <f>IFERROR(__xludf.DUMMYFUNCTION("""COMPUTED_VALUE"""),"rikohub_274")</f>
        <v>rikohub_274</v>
      </c>
      <c r="C51" s="281" t="str">
        <f>IFERROR(__xludf.DUMMYFUNCTION("""COMPUTED_VALUE"""),"https://www.tiktok.com/@rikohub_274")</f>
        <v>https://www.tiktok.com/@rikohub_274</v>
      </c>
      <c r="D51" s="502">
        <f>IFERROR(__xludf.DUMMYFUNCTION("""COMPUTED_VALUE"""),8.5724080156E10)</f>
        <v>85724080156</v>
      </c>
      <c r="E51" s="503">
        <f>IFERROR(__xludf.DUMMYFUNCTION("""COMPUTED_VALUE"""),0.0)</f>
        <v>0</v>
      </c>
      <c r="F51" s="502">
        <f>IFERROR(__xludf.DUMMYFUNCTION("""COMPUTED_VALUE"""),3.0)</f>
        <v>3</v>
      </c>
      <c r="G51" s="493" t="str">
        <f>IFERROR(__xludf.DUMMYFUNCTION("""COMPUTED_VALUE"""),"Rp19,9JT")</f>
        <v>Rp19,9JT</v>
      </c>
      <c r="H51" s="466" t="str">
        <f>IFERROR(__xludf.DUMMYFUNCTION("""COMPUTED_VALUE"""),"Minyak Oles Benjolan")</f>
        <v>Minyak Oles Benjolan</v>
      </c>
      <c r="I51" s="260" t="str">
        <f>IFERROR(__xludf.DUMMYFUNCTION("""COMPUTED_VALUE"""),"Sampai")</f>
        <v>Sampai</v>
      </c>
      <c r="J51" s="494" t="str">
        <f>IFERROR(__xludf.DUMMYFUNCTION("""COMPUTED_VALUE"""),"Concept 2")</f>
        <v>Concept 2</v>
      </c>
      <c r="K51" s="278" t="str">
        <f>IFERROR(__xludf.DUMMYFUNCTION("""COMPUTED_VALUE"""),"https://vt.tiktok.com/ZSmUvsVkY/")</f>
        <v>https://vt.tiktok.com/ZSmUvsVkY/</v>
      </c>
      <c r="L51" s="495" t="str">
        <f>IFERROR(__xludf.DUMMYFUNCTION("""COMPUTED_VALUE"""),"Concept 2")</f>
        <v>Concept 2</v>
      </c>
      <c r="M51" s="278" t="str">
        <f>IFERROR(__xludf.DUMMYFUNCTION("""COMPUTED_VALUE"""),"https://vt.tiktok.com/ZSm5WWtrV/")</f>
        <v>https://vt.tiktok.com/ZSm5WWtrV/</v>
      </c>
      <c r="N51" s="495" t="str">
        <f>IFERROR(__xludf.DUMMYFUNCTION("""COMPUTED_VALUE"""),"Concept 2")</f>
        <v>Concept 2</v>
      </c>
      <c r="O51" s="278" t="str">
        <f>IFERROR(__xludf.DUMMYFUNCTION("""COMPUTED_VALUE"""),"https://vt.tiktok.com/ZSm5WWtrV/")</f>
        <v>https://vt.tiktok.com/ZSm5WWtrV/</v>
      </c>
      <c r="P51" s="495"/>
      <c r="Q51" s="278" t="str">
        <f>IFERROR(__xludf.DUMMYFUNCTION("""COMPUTED_VALUE"""),"https://vt.tiktok.com/ZSuNCx3Cx/")</f>
        <v>https://vt.tiktok.com/ZSuNCx3Cx/</v>
      </c>
      <c r="R51" s="499">
        <f>IFERROR(__xludf.DUMMYFUNCTION("""COMPUTED_VALUE"""),83268.0)</f>
        <v>83268</v>
      </c>
      <c r="S51" s="499"/>
      <c r="T51" s="499"/>
      <c r="U51" s="499"/>
    </row>
    <row r="52">
      <c r="A52" s="255" t="str">
        <f>IFERROR(__xludf.DUMMYFUNCTION("""COMPUTED_VALUE"""),"NANO")</f>
        <v>NANO</v>
      </c>
      <c r="B52" s="268" t="str">
        <f>IFERROR(__xludf.DUMMYFUNCTION("""COMPUTED_VALUE"""),"osbherbalstore")</f>
        <v>osbherbalstore</v>
      </c>
      <c r="C52" s="281" t="str">
        <f>IFERROR(__xludf.DUMMYFUNCTION("""COMPUTED_VALUE"""),"https://www.tiktok.com/@osbherbalstore")</f>
        <v>https://www.tiktok.com/@osbherbalstore</v>
      </c>
      <c r="D52" s="502">
        <f>IFERROR(__xludf.DUMMYFUNCTION("""COMPUTED_VALUE"""),8.112013757E9)</f>
        <v>8112013757</v>
      </c>
      <c r="E52" s="503">
        <f>IFERROR(__xludf.DUMMYFUNCTION("""COMPUTED_VALUE"""),0.0)</f>
        <v>0</v>
      </c>
      <c r="F52" s="502">
        <f>IFERROR(__xludf.DUMMYFUNCTION("""COMPUTED_VALUE"""),3.0)</f>
        <v>3</v>
      </c>
      <c r="G52" s="493" t="str">
        <f>IFERROR(__xludf.DUMMYFUNCTION("""COMPUTED_VALUE"""),"Rp37,9JT")</f>
        <v>Rp37,9JT</v>
      </c>
      <c r="H52" s="466" t="str">
        <f>IFERROR(__xludf.DUMMYFUNCTION("""COMPUTED_VALUE"""),"Minyak Oles Benjolan")</f>
        <v>Minyak Oles Benjolan</v>
      </c>
      <c r="I52" s="260" t="str">
        <f>IFERROR(__xludf.DUMMYFUNCTION("""COMPUTED_VALUE"""),"Sampai")</f>
        <v>Sampai</v>
      </c>
      <c r="J52" s="494" t="str">
        <f>IFERROR(__xludf.DUMMYFUNCTION("""COMPUTED_VALUE""")," Concept 1")</f>
        <v> Concept 1</v>
      </c>
      <c r="K52" s="278" t="str">
        <f>IFERROR(__xludf.DUMMYFUNCTION("""COMPUTED_VALUE"""),"https://vt.tiktok.com/ZSmVGX93P/")</f>
        <v>https://vt.tiktok.com/ZSmVGX93P/</v>
      </c>
      <c r="L52" s="495" t="str">
        <f>IFERROR(__xludf.DUMMYFUNCTION("""COMPUTED_VALUE"""),"Concept 3")</f>
        <v>Concept 3</v>
      </c>
      <c r="M52" s="278" t="str">
        <f>IFERROR(__xludf.DUMMYFUNCTION("""COMPUTED_VALUE"""),"https://vt.tiktok.com/ZSmwX4y2v/")</f>
        <v>https://vt.tiktok.com/ZSmwX4y2v/</v>
      </c>
      <c r="N52" s="495" t="str">
        <f>IFERROR(__xludf.DUMMYFUNCTION("""COMPUTED_VALUE"""),"Concept 4")</f>
        <v>Concept 4</v>
      </c>
      <c r="O52" s="278" t="str">
        <f>IFERROR(__xludf.DUMMYFUNCTION("""COMPUTED_VALUE"""),"https://vt.tiktok.com/ZSuJ5aVE1/")</f>
        <v>https://vt.tiktok.com/ZSuJ5aVE1/</v>
      </c>
      <c r="P52" s="495"/>
      <c r="Q52" s="262"/>
      <c r="R52" s="499"/>
      <c r="S52" s="499"/>
      <c r="T52" s="499"/>
      <c r="U52" s="499"/>
    </row>
    <row r="53">
      <c r="A53" s="255" t="str">
        <f>IFERROR(__xludf.DUMMYFUNCTION("""COMPUTED_VALUE"""),"MICRO")</f>
        <v>MICRO</v>
      </c>
      <c r="B53" s="268" t="str">
        <f>IFERROR(__xludf.DUMMYFUNCTION("""COMPUTED_VALUE"""),"tia.vlogkampung")</f>
        <v>tia.vlogkampung</v>
      </c>
      <c r="C53" s="281" t="str">
        <f>IFERROR(__xludf.DUMMYFUNCTION("""COMPUTED_VALUE"""),"https://www.tiktok.com/@tia.vlogkampung")</f>
        <v>https://www.tiktok.com/@tia.vlogkampung</v>
      </c>
      <c r="D53" s="502">
        <f>IFERROR(__xludf.DUMMYFUNCTION("""COMPUTED_VALUE"""),8.5322020006E10)</f>
        <v>85322020006</v>
      </c>
      <c r="E53" s="503">
        <f>IFERROR(__xludf.DUMMYFUNCTION("""COMPUTED_VALUE"""),0.0)</f>
        <v>0</v>
      </c>
      <c r="F53" s="502">
        <f>IFERROR(__xludf.DUMMYFUNCTION("""COMPUTED_VALUE"""),3.0)</f>
        <v>3</v>
      </c>
      <c r="G53" s="493" t="str">
        <f>IFERROR(__xludf.DUMMYFUNCTION("""COMPUTED_VALUE"""),"Rp500RB-Rp1JT")</f>
        <v>Rp500RB-Rp1JT</v>
      </c>
      <c r="H53" s="466" t="str">
        <f>IFERROR(__xludf.DUMMYFUNCTION("""COMPUTED_VALUE"""),"Minyak Oles Benjolan")</f>
        <v>Minyak Oles Benjolan</v>
      </c>
      <c r="I53" s="260" t="str">
        <f>IFERROR(__xludf.DUMMYFUNCTION("""COMPUTED_VALUE"""),"Sampai")</f>
        <v>Sampai</v>
      </c>
      <c r="J53" s="494" t="str">
        <f>IFERROR(__xludf.DUMMYFUNCTION("""COMPUTED_VALUE"""),"Concept 3")</f>
        <v>Concept 3</v>
      </c>
      <c r="K53" s="278" t="str">
        <f>IFERROR(__xludf.DUMMYFUNCTION("""COMPUTED_VALUE"""),"https://vt.tiktok.com/ZSuB3DjX1/")</f>
        <v>https://vt.tiktok.com/ZSuB3DjX1/</v>
      </c>
      <c r="L53" s="495" t="str">
        <f>IFERROR(__xludf.DUMMYFUNCTION("""COMPUTED_VALUE""")," Concept 1")</f>
        <v> Concept 1</v>
      </c>
      <c r="M53" s="278" t="str">
        <f>IFERROR(__xludf.DUMMYFUNCTION("""COMPUTED_VALUE"""),"https://vt.tiktok.com/ZSucWpQm6/")</f>
        <v>https://vt.tiktok.com/ZSucWpQm6/</v>
      </c>
      <c r="N53" s="495" t="str">
        <f>IFERROR(__xludf.DUMMYFUNCTION("""COMPUTED_VALUE"""),"Concept 4")</f>
        <v>Concept 4</v>
      </c>
      <c r="O53" s="278" t="str">
        <f>IFERROR(__xludf.DUMMYFUNCTION("""COMPUTED_VALUE"""),"https://vt.tiktok.com/ZSHBuPQDc/")</f>
        <v>https://vt.tiktok.com/ZSHBuPQDc/</v>
      </c>
      <c r="P53" s="495"/>
      <c r="Q53" s="262"/>
      <c r="R53" s="499"/>
      <c r="S53" s="499"/>
      <c r="T53" s="499"/>
      <c r="U53" s="499"/>
    </row>
    <row r="54">
      <c r="A54" s="255" t="str">
        <f>IFERROR(__xludf.DUMMYFUNCTION("""COMPUTED_VALUE"""),"MICRO")</f>
        <v>MICRO</v>
      </c>
      <c r="B54" s="268" t="str">
        <f>IFERROR(__xludf.DUMMYFUNCTION("""COMPUTED_VALUE"""),"coachvithaalie")</f>
        <v>coachvithaalie</v>
      </c>
      <c r="C54" s="281" t="str">
        <f>IFERROR(__xludf.DUMMYFUNCTION("""COMPUTED_VALUE"""),"https://www.tiktok.com/@coachvithaalie")</f>
        <v>https://www.tiktok.com/@coachvithaalie</v>
      </c>
      <c r="D54" s="502">
        <f>IFERROR(__xludf.DUMMYFUNCTION("""COMPUTED_VALUE"""),8.211128957E10)</f>
        <v>82111289570</v>
      </c>
      <c r="E54" s="503">
        <f>IFERROR(__xludf.DUMMYFUNCTION("""COMPUTED_VALUE"""),0.0)</f>
        <v>0</v>
      </c>
      <c r="F54" s="502">
        <f>IFERROR(__xludf.DUMMYFUNCTION("""COMPUTED_VALUE"""),3.0)</f>
        <v>3</v>
      </c>
      <c r="G54" s="493" t="str">
        <f>IFERROR(__xludf.DUMMYFUNCTION("""COMPUTED_VALUE"""),"Rp3,1JT")</f>
        <v>Rp3,1JT</v>
      </c>
      <c r="H54" s="466" t="str">
        <f>IFERROR(__xludf.DUMMYFUNCTION("""COMPUTED_VALUE"""),"Minyak Oles Benjolan")</f>
        <v>Minyak Oles Benjolan</v>
      </c>
      <c r="I54" s="260" t="str">
        <f>IFERROR(__xludf.DUMMYFUNCTION("""COMPUTED_VALUE"""),"Kendala [FU!]")</f>
        <v>Kendala [FU!]</v>
      </c>
      <c r="J54" s="494"/>
      <c r="K54" s="262"/>
      <c r="L54" s="495"/>
      <c r="M54" s="262"/>
      <c r="N54" s="495"/>
      <c r="O54" s="262"/>
      <c r="P54" s="495"/>
      <c r="Q54" s="262"/>
      <c r="R54" s="499"/>
      <c r="S54" s="499"/>
      <c r="T54" s="499"/>
      <c r="U54" s="499"/>
    </row>
    <row r="55">
      <c r="A55" s="255" t="str">
        <f>IFERROR(__xludf.DUMMYFUNCTION("""COMPUTED_VALUE"""),"MICRO")</f>
        <v>MICRO</v>
      </c>
      <c r="B55" s="268" t="str">
        <f>IFERROR(__xludf.DUMMYFUNCTION("""COMPUTED_VALUE"""),"kimoy59")</f>
        <v>kimoy59</v>
      </c>
      <c r="C55" s="281" t="str">
        <f>IFERROR(__xludf.DUMMYFUNCTION("""COMPUTED_VALUE"""),"https://www.tiktok.com/@kimoy59")</f>
        <v>https://www.tiktok.com/@kimoy59</v>
      </c>
      <c r="D55" s="502">
        <f>IFERROR(__xludf.DUMMYFUNCTION("""COMPUTED_VALUE"""),8.5669798271E10)</f>
        <v>85669798271</v>
      </c>
      <c r="E55" s="503">
        <f>IFERROR(__xludf.DUMMYFUNCTION("""COMPUTED_VALUE"""),0.0)</f>
        <v>0</v>
      </c>
      <c r="F55" s="502">
        <f>IFERROR(__xludf.DUMMYFUNCTION("""COMPUTED_VALUE"""),3.0)</f>
        <v>3</v>
      </c>
      <c r="G55" s="493" t="str">
        <f>IFERROR(__xludf.DUMMYFUNCTION("""COMPUTED_VALUE"""),"Rp0")</f>
        <v>Rp0</v>
      </c>
      <c r="H55" s="466" t="str">
        <f>IFERROR(__xludf.DUMMYFUNCTION("""COMPUTED_VALUE"""),"Minyak Oles Benjolan")</f>
        <v>Minyak Oles Benjolan</v>
      </c>
      <c r="I55" s="260" t="str">
        <f>IFERROR(__xludf.DUMMYFUNCTION("""COMPUTED_VALUE"""),"Sampai")</f>
        <v>Sampai</v>
      </c>
      <c r="J55" s="494" t="str">
        <f>IFERROR(__xludf.DUMMYFUNCTION("""COMPUTED_VALUE""")," Concept 1")</f>
        <v> Concept 1</v>
      </c>
      <c r="K55" s="278" t="str">
        <f>IFERROR(__xludf.DUMMYFUNCTION("""COMPUTED_VALUE"""),"https://vt.tiktok.com/ZSuJfEEcd/")</f>
        <v>https://vt.tiktok.com/ZSuJfEEcd/</v>
      </c>
      <c r="L55" s="495" t="str">
        <f>IFERROR(__xludf.DUMMYFUNCTION("""COMPUTED_VALUE"""),"Concept 2")</f>
        <v>Concept 2</v>
      </c>
      <c r="M55" s="278" t="str">
        <f>IFERROR(__xludf.DUMMYFUNCTION("""COMPUTED_VALUE"""),"https://vt.tiktok.com/ZSukvD2bb/")</f>
        <v>https://vt.tiktok.com/ZSukvD2bb/</v>
      </c>
      <c r="N55" s="495" t="str">
        <f>IFERROR(__xludf.DUMMYFUNCTION("""COMPUTED_VALUE"""),"Concept 3")</f>
        <v>Concept 3</v>
      </c>
      <c r="O55" s="262" t="str">
        <f>IFERROR(__xludf.DUMMYFUNCTION("""COMPUTED_VALUE"""),"https://www.tiktok.com/@kimoy59/video/7627072437955415317?_r=1&amp;u_code=dg899jg686fjae&amp;region=ID&amp;mid=7627072487444679445&amp;preview_pb=0&amp;sharer_language=id&amp;_d=eh15d62ccai45k&amp;ec_shared_reflux_dynamic_params=%7B%22placeholder_material_id%22%3A%227627072437955415"&amp;"317%22%2C%22placeholder_origin_cover%22%3A%22https%253A%252F%252Fp16-common-sign.tiktokcdn.com%252Ftos-alisg-p-0037%252Fo81YCfwZDBWpFq1ErxEnMvQA2BUQZ2mg8JRf1A~tplv-tiktokx-origin.webp%253Fdr%253D14572%2526refresh_token%253D71dbbd37%2526x-expires%253D18082"&amp;"72800%2526x-signature%253DS7V7EL3zjZX7dXxflmsbXzYNzU0%25253D%2526t%253D4d5b0474%2526ps%253D13740610%2526shp%253Dd05b14bd%2526shcp%253D34ff8df6%2526idc%253Dmy3%2526s%253DPUBLISH%22%2C%22placeholder_product_id%22%3A%221729917357927597223%22%2C%22placeholder"&amp;"_video_id%22%3A%227627072437955415317%22%7D&amp;ec_shared_reflux_scene=shop_tab_feed&amp;share_item_id=7627072437955415317&amp;source=h5_t&amp;timestamp=1776736929&amp;user_id=6911119766452093954&amp;sec_user_id=MS4wLjABAAAA_Fm0O1M1nr50opONvz_ZEUsk032ggXqeFPc3U626nK6ygLbl0Tj2Rcd"&amp;"61spv7UQ5&amp;item_author_type=1&amp;social_share_type=0&amp;utm_source=copy&amp;utm_campaign=client_share&amp;utm_medium=android&amp;share_iid=7628102603059021569&amp;share_link_id=5a0c5672-ea27-4fc5-b433-29255d09117e&amp;share_app_id=1180&amp;ugbiz_name=MAIN&amp;ug_btm=b8727%2Cb2878&amp;link_refl"&amp;"ow_popup_iteration_sharer=%7B%22click_empty_to_play%22%3A1%2C%22dynamic_cover%22%3A1%2C%22follow_to_play_duration%22%3A-1.0%2C%22profile_clickable%22%3A1%7D&amp;enable_checksum=1")</f>
        <v>https://www.tiktok.com/@kimoy59/video/7627072437955415317?_r=1&amp;u_code=dg899jg686fjae&amp;region=ID&amp;mid=7627072487444679445&amp;preview_pb=0&amp;sharer_language=id&amp;_d=eh15d62ccai45k&amp;ec_shared_reflux_dynamic_params=%7B%22placeholder_material_id%22%3A%227627072437955415317%22%2C%22placeholder_origin_cover%22%3A%22https%253A%252F%252Fp16-common-sign.tiktokcdn.com%252Ftos-alisg-p-0037%252Fo81YCfwZDBWpFq1ErxEnMvQA2BUQZ2mg8JRf1A~tplv-tiktokx-origin.webp%253Fdr%253D14572%2526refresh_token%253D71dbbd37%2526x-expires%253D1808272800%2526x-signature%253DS7V7EL3zjZX7dXxflmsbXzYNzU0%25253D%2526t%253D4d5b0474%2526ps%253D13740610%2526shp%253Dd05b14bd%2526shcp%253D34ff8df6%2526idc%253Dmy3%2526s%253DPUBLISH%22%2C%22placeholder_product_id%22%3A%221729917357927597223%22%2C%22placeholder_video_id%22%3A%227627072437955415317%22%7D&amp;ec_shared_reflux_scene=shop_tab_feed&amp;share_item_id=7627072437955415317&amp;source=h5_t&amp;timestamp=1776736929&amp;user_id=6911119766452093954&amp;sec_user_id=MS4wLjABAAAA_Fm0O1M1nr50opONvz_ZEUsk032ggXqeFPc3U626nK6ygLbl0Tj2Rcd61spv7UQ5&amp;item_author_type=1&amp;social_share_type=0&amp;utm_source=copy&amp;utm_campaign=client_share&amp;utm_medium=android&amp;share_iid=7628102603059021569&amp;share_link_id=5a0c5672-ea27-4fc5-b433-29255d09117e&amp;share_app_id=1180&amp;ugbiz_name=MAIN&amp;ug_btm=b8727%2Cb2878&amp;link_reflow_popup_iteration_sharer=%7B%22click_empty_to_play%22%3A1%2C%22dynamic_cover%22%3A1%2C%22follow_to_play_duration%22%3A-1.0%2C%22profile_clickable%22%3A1%7D&amp;enable_checksum=1</v>
      </c>
      <c r="P55" s="495"/>
      <c r="Q55" s="262"/>
      <c r="R55" s="499">
        <f>IFERROR(__xludf.DUMMYFUNCTION("""COMPUTED_VALUE"""),190000.0)</f>
        <v>190000</v>
      </c>
      <c r="S55" s="499"/>
      <c r="T55" s="499"/>
      <c r="U55" s="499"/>
    </row>
    <row r="56">
      <c r="A56" s="255" t="str">
        <f>IFERROR(__xludf.DUMMYFUNCTION("""COMPUTED_VALUE"""),"MICRO")</f>
        <v>MICRO</v>
      </c>
      <c r="B56" s="268" t="str">
        <f>IFERROR(__xludf.DUMMYFUNCTION("""COMPUTED_VALUE"""),"bundakabarinews")</f>
        <v>bundakabarinews</v>
      </c>
      <c r="C56" s="281" t="str">
        <f>IFERROR(__xludf.DUMMYFUNCTION("""COMPUTED_VALUE"""),"https://www.tiktok.com/@bundakabarinews")</f>
        <v>https://www.tiktok.com/@bundakabarinews</v>
      </c>
      <c r="D56" s="502">
        <f>IFERROR(__xludf.DUMMYFUNCTION("""COMPUTED_VALUE"""),8.2281743095E10)</f>
        <v>82281743095</v>
      </c>
      <c r="E56" s="503">
        <f>IFERROR(__xludf.DUMMYFUNCTION("""COMPUTED_VALUE"""),0.0)</f>
        <v>0</v>
      </c>
      <c r="F56" s="502">
        <f>IFERROR(__xludf.DUMMYFUNCTION("""COMPUTED_VALUE"""),3.0)</f>
        <v>3</v>
      </c>
      <c r="G56" s="493" t="str">
        <f>IFERROR(__xludf.DUMMYFUNCTION("""COMPUTED_VALUE"""),"Rp4,3JT")</f>
        <v>Rp4,3JT</v>
      </c>
      <c r="H56" s="466" t="str">
        <f>IFERROR(__xludf.DUMMYFUNCTION("""COMPUTED_VALUE"""),"Minyak Oles Benjolan")</f>
        <v>Minyak Oles Benjolan</v>
      </c>
      <c r="I56" s="260" t="str">
        <f>IFERROR(__xludf.DUMMYFUNCTION("""COMPUTED_VALUE"""),"Sampai")</f>
        <v>Sampai</v>
      </c>
      <c r="J56" s="494" t="str">
        <f>IFERROR(__xludf.DUMMYFUNCTION("""COMPUTED_VALUE"""),"Concept 2")</f>
        <v>Concept 2</v>
      </c>
      <c r="K56" s="278" t="str">
        <f>IFERROR(__xludf.DUMMYFUNCTION("""COMPUTED_VALUE"""),"https://vt.tiktok.com/ZSmVuy49J/")</f>
        <v>https://vt.tiktok.com/ZSmVuy49J/</v>
      </c>
      <c r="L56" s="495" t="str">
        <f>IFERROR(__xludf.DUMMYFUNCTION("""COMPUTED_VALUE""")," Concept 1")</f>
        <v> Concept 1</v>
      </c>
      <c r="M56" s="278" t="str">
        <f>IFERROR(__xludf.DUMMYFUNCTION("""COMPUTED_VALUE"""),"https://vt.tiktok.com/ZSmwgthxK/")</f>
        <v>https://vt.tiktok.com/ZSmwgthxK/</v>
      </c>
      <c r="N56" s="495" t="str">
        <f>IFERROR(__xludf.DUMMYFUNCTION("""COMPUTED_VALUE"""),"Concept 3")</f>
        <v>Concept 3</v>
      </c>
      <c r="O56" s="278" t="str">
        <f>IFERROR(__xludf.DUMMYFUNCTION("""COMPUTED_VALUE"""),"https://vt.tiktok.com/ZSuk9w93u/")</f>
        <v>https://vt.tiktok.com/ZSuk9w93u/</v>
      </c>
      <c r="P56" s="495"/>
      <c r="Q56" s="262"/>
      <c r="R56" s="499"/>
      <c r="S56" s="499"/>
      <c r="T56" s="499"/>
      <c r="U56" s="499"/>
    </row>
    <row r="57">
      <c r="A57" s="255" t="str">
        <f>IFERROR(__xludf.DUMMYFUNCTION("""COMPUTED_VALUE"""),"NANO")</f>
        <v>NANO</v>
      </c>
      <c r="B57" s="268" t="str">
        <f>IFERROR(__xludf.DUMMYFUNCTION("""COMPUTED_VALUE"""),"zenuyadjha")</f>
        <v>zenuyadjha</v>
      </c>
      <c r="C57" s="281" t="str">
        <f>IFERROR(__xludf.DUMMYFUNCTION("""COMPUTED_VALUE"""),"https://www.tiktok.com/@zenuyadjha")</f>
        <v>https://www.tiktok.com/@zenuyadjha</v>
      </c>
      <c r="D57" s="502">
        <f>IFERROR(__xludf.DUMMYFUNCTION("""COMPUTED_VALUE"""),8.9629356861E10)</f>
        <v>89629356861</v>
      </c>
      <c r="E57" s="503">
        <f>IFERROR(__xludf.DUMMYFUNCTION("""COMPUTED_VALUE"""),0.0)</f>
        <v>0</v>
      </c>
      <c r="F57" s="502">
        <f>IFERROR(__xludf.DUMMYFUNCTION("""COMPUTED_VALUE"""),3.0)</f>
        <v>3</v>
      </c>
      <c r="G57" s="493" t="str">
        <f>IFERROR(__xludf.DUMMYFUNCTION("""COMPUTED_VALUE"""),"Rp294,4RB")</f>
        <v>Rp294,4RB</v>
      </c>
      <c r="H57" s="466" t="str">
        <f>IFERROR(__xludf.DUMMYFUNCTION("""COMPUTED_VALUE"""),"Minyak Oles Benjolan")</f>
        <v>Minyak Oles Benjolan</v>
      </c>
      <c r="I57" s="260" t="str">
        <f>IFERROR(__xludf.DUMMYFUNCTION("""COMPUTED_VALUE"""),"Sampai")</f>
        <v>Sampai</v>
      </c>
      <c r="J57" s="494" t="str">
        <f>IFERROR(__xludf.DUMMYFUNCTION("""COMPUTED_VALUE"""),"Concept 4")</f>
        <v>Concept 4</v>
      </c>
      <c r="K57" s="278" t="str">
        <f>IFERROR(__xludf.DUMMYFUNCTION("""COMPUTED_VALUE"""),"https://vt.tiktok.com/ZSmxp5kNS/")</f>
        <v>https://vt.tiktok.com/ZSmxp5kNS/</v>
      </c>
      <c r="L57" s="495" t="str">
        <f>IFERROR(__xludf.DUMMYFUNCTION("""COMPUTED_VALUE"""),"Concept 2")</f>
        <v>Concept 2</v>
      </c>
      <c r="M57" s="278" t="str">
        <f>IFERROR(__xludf.DUMMYFUNCTION("""COMPUTED_VALUE"""),"https://vt.tiktok.com/ZSmxpDjDn/")</f>
        <v>https://vt.tiktok.com/ZSmxpDjDn/</v>
      </c>
      <c r="N57" s="495" t="str">
        <f>IFERROR(__xludf.DUMMYFUNCTION("""COMPUTED_VALUE"""),"Concept 3")</f>
        <v>Concept 3</v>
      </c>
      <c r="O57" s="278" t="str">
        <f>IFERROR(__xludf.DUMMYFUNCTION("""COMPUTED_VALUE"""),"https://vt.tiktok.com/ZSmsWue9s/")</f>
        <v>https://vt.tiktok.com/ZSmsWue9s/</v>
      </c>
      <c r="P57" s="495"/>
      <c r="Q57" s="278" t="str">
        <f>IFERROR(__xludf.DUMMYFUNCTION("""COMPUTED_VALUE"""),"https://vt.tiktok.com/ZSmGdrpF3/")</f>
        <v>https://vt.tiktok.com/ZSmGdrpF3/</v>
      </c>
      <c r="R57" s="499"/>
      <c r="S57" s="499"/>
      <c r="T57" s="499"/>
      <c r="U57" s="499"/>
    </row>
    <row r="58">
      <c r="A58" s="255" t="str">
        <f>IFERROR(__xludf.DUMMYFUNCTION("""COMPUTED_VALUE"""),"MICRO")</f>
        <v>MICRO</v>
      </c>
      <c r="B58" s="268" t="str">
        <f>IFERROR(__xludf.DUMMYFUNCTION("""COMPUTED_VALUE"""),"sarlang17")</f>
        <v>sarlang17</v>
      </c>
      <c r="C58" s="281" t="str">
        <f>IFERROR(__xludf.DUMMYFUNCTION("""COMPUTED_VALUE"""),"https://www.tiktok.com/@sarlang17")</f>
        <v>https://www.tiktok.com/@sarlang17</v>
      </c>
      <c r="D58" s="502">
        <f>IFERROR(__xludf.DUMMYFUNCTION("""COMPUTED_VALUE"""),8.5254912003E10)</f>
        <v>85254912003</v>
      </c>
      <c r="E58" s="503">
        <f>IFERROR(__xludf.DUMMYFUNCTION("""COMPUTED_VALUE"""),0.0)</f>
        <v>0</v>
      </c>
      <c r="F58" s="502">
        <f>IFERROR(__xludf.DUMMYFUNCTION("""COMPUTED_VALUE"""),3.0)</f>
        <v>3</v>
      </c>
      <c r="G58" s="493" t="str">
        <f>IFERROR(__xludf.DUMMYFUNCTION("""COMPUTED_VALUE"""),"Rp7,7JT")</f>
        <v>Rp7,7JT</v>
      </c>
      <c r="H58" s="466" t="str">
        <f>IFERROR(__xludf.DUMMYFUNCTION("""COMPUTED_VALUE"""),"Minyak Oles Benjolan")</f>
        <v>Minyak Oles Benjolan</v>
      </c>
      <c r="I58" s="260" t="str">
        <f>IFERROR(__xludf.DUMMYFUNCTION("""COMPUTED_VALUE"""),"Sampai")</f>
        <v>Sampai</v>
      </c>
      <c r="J58" s="494" t="str">
        <f>IFERROR(__xludf.DUMMYFUNCTION("""COMPUTED_VALUE"""),"Concept 3")</f>
        <v>Concept 3</v>
      </c>
      <c r="K58" s="278" t="str">
        <f>IFERROR(__xludf.DUMMYFUNCTION("""COMPUTED_VALUE"""),"https://vt.tiktok.com/ZSudT4PBK/")</f>
        <v>https://vt.tiktok.com/ZSudT4PBK/</v>
      </c>
      <c r="L58" s="495" t="str">
        <f>IFERROR(__xludf.DUMMYFUNCTION("""COMPUTED_VALUE"""),"Concept 4")</f>
        <v>Concept 4</v>
      </c>
      <c r="M58" s="278" t="str">
        <f>IFERROR(__xludf.DUMMYFUNCTION("""COMPUTED_VALUE"""),"https://vt.tiktok.com/ZSuxVuWrj/")</f>
        <v>https://vt.tiktok.com/ZSuxVuWrj/</v>
      </c>
      <c r="N58" s="495" t="str">
        <f>IFERROR(__xludf.DUMMYFUNCTION("""COMPUTED_VALUE""")," Concept 1")</f>
        <v> Concept 1</v>
      </c>
      <c r="O58" s="278" t="str">
        <f>IFERROR(__xludf.DUMMYFUNCTION("""COMPUTED_VALUE"""),"https://vt.tiktok.com/ZSucHXeeJ/")</f>
        <v>https://vt.tiktok.com/ZSucHXeeJ/</v>
      </c>
      <c r="P58" s="495"/>
      <c r="Q58" s="262"/>
      <c r="R58" s="499"/>
      <c r="S58" s="499"/>
      <c r="T58" s="499"/>
      <c r="U58" s="499"/>
    </row>
    <row r="59">
      <c r="A59" s="255" t="str">
        <f>IFERROR(__xludf.DUMMYFUNCTION("""COMPUTED_VALUE"""),"NANO")</f>
        <v>NANO</v>
      </c>
      <c r="B59" s="268" t="str">
        <f>IFERROR(__xludf.DUMMYFUNCTION("""COMPUTED_VALUE"""),"jurragan999")</f>
        <v>jurragan999</v>
      </c>
      <c r="C59" s="281" t="str">
        <f>IFERROR(__xludf.DUMMYFUNCTION("""COMPUTED_VALUE"""),"https://www.tiktok.com/@jurragan999")</f>
        <v>https://www.tiktok.com/@jurragan999</v>
      </c>
      <c r="D59" s="502">
        <f>IFERROR(__xludf.DUMMYFUNCTION("""COMPUTED_VALUE"""),8.1330616871E10)</f>
        <v>81330616871</v>
      </c>
      <c r="E59" s="503">
        <f>IFERROR(__xludf.DUMMYFUNCTION("""COMPUTED_VALUE"""),0.0)</f>
        <v>0</v>
      </c>
      <c r="F59" s="502">
        <f>IFERROR(__xludf.DUMMYFUNCTION("""COMPUTED_VALUE"""),3.0)</f>
        <v>3</v>
      </c>
      <c r="G59" s="493" t="str">
        <f>IFERROR(__xludf.DUMMYFUNCTION("""COMPUTED_VALUE"""),"Rp25,2JT")</f>
        <v>Rp25,2JT</v>
      </c>
      <c r="H59" s="466" t="str">
        <f>IFERROR(__xludf.DUMMYFUNCTION("""COMPUTED_VALUE"""),"Minyak Oles Benjolan")</f>
        <v>Minyak Oles Benjolan</v>
      </c>
      <c r="I59" s="260" t="str">
        <f>IFERROR(__xludf.DUMMYFUNCTION("""COMPUTED_VALUE"""),"Sampai")</f>
        <v>Sampai</v>
      </c>
      <c r="J59" s="494" t="str">
        <f>IFERROR(__xludf.DUMMYFUNCTION("""COMPUTED_VALUE""")," Concept 1")</f>
        <v> Concept 1</v>
      </c>
      <c r="K59" s="278" t="str">
        <f>IFERROR(__xludf.DUMMYFUNCTION("""COMPUTED_VALUE"""),"https://vt.tiktok.com/ZSuJbxtu3/")</f>
        <v>https://vt.tiktok.com/ZSuJbxtu3/</v>
      </c>
      <c r="L59" s="495"/>
      <c r="M59" s="278" t="str">
        <f>IFERROR(__xludf.DUMMYFUNCTION("""COMPUTED_VALUE"""),"https://vt.tiktok.com/ZSuJb4vRq/")</f>
        <v>https://vt.tiktok.com/ZSuJb4vRq/</v>
      </c>
      <c r="N59" s="495"/>
      <c r="O59" s="278" t="str">
        <f>IFERROR(__xludf.DUMMYFUNCTION("""COMPUTED_VALUE"""),"https://vt.tiktok.com/ZSuJbHK5u/")</f>
        <v>https://vt.tiktok.com/ZSuJbHK5u/</v>
      </c>
      <c r="P59" s="495"/>
      <c r="Q59" s="262"/>
      <c r="R59" s="499"/>
      <c r="S59" s="499"/>
      <c r="T59" s="499"/>
      <c r="U59" s="499"/>
    </row>
    <row r="60">
      <c r="A60" s="255" t="str">
        <f>IFERROR(__xludf.DUMMYFUNCTION("""COMPUTED_VALUE"""),"NANO")</f>
        <v>NANO</v>
      </c>
      <c r="B60" s="268" t="str">
        <f>IFERROR(__xludf.DUMMYFUNCTION("""COMPUTED_VALUE"""),"solusi_sehat85")</f>
        <v>solusi_sehat85</v>
      </c>
      <c r="C60" s="281" t="str">
        <f>IFERROR(__xludf.DUMMYFUNCTION("""COMPUTED_VALUE"""),"https://www.tiktok.com/@solusi_sehat85")</f>
        <v>https://www.tiktok.com/@solusi_sehat85</v>
      </c>
      <c r="D60" s="502">
        <f>IFERROR(__xludf.DUMMYFUNCTION("""COMPUTED_VALUE"""),8.5713297996E10)</f>
        <v>85713297996</v>
      </c>
      <c r="E60" s="503">
        <f>IFERROR(__xludf.DUMMYFUNCTION("""COMPUTED_VALUE"""),0.0)</f>
        <v>0</v>
      </c>
      <c r="F60" s="502">
        <f>IFERROR(__xludf.DUMMYFUNCTION("""COMPUTED_VALUE"""),3.0)</f>
        <v>3</v>
      </c>
      <c r="G60" s="493" t="str">
        <f>IFERROR(__xludf.DUMMYFUNCTION("""COMPUTED_VALUE"""),"Rp4,1JT")</f>
        <v>Rp4,1JT</v>
      </c>
      <c r="H60" s="466" t="str">
        <f>IFERROR(__xludf.DUMMYFUNCTION("""COMPUTED_VALUE"""),"Minyak Oles Benjolan")</f>
        <v>Minyak Oles Benjolan</v>
      </c>
      <c r="I60" s="260" t="str">
        <f>IFERROR(__xludf.DUMMYFUNCTION("""COMPUTED_VALUE"""),"Sampai")</f>
        <v>Sampai</v>
      </c>
      <c r="J60" s="494" t="str">
        <f>IFERROR(__xludf.DUMMYFUNCTION("""COMPUTED_VALUE"""),"Concept 3")</f>
        <v>Concept 3</v>
      </c>
      <c r="K60" s="278" t="str">
        <f>IFERROR(__xludf.DUMMYFUNCTION("""COMPUTED_VALUE"""),"https://vt.tiktok.com/ZSm4N8JK7/")</f>
        <v>https://vt.tiktok.com/ZSm4N8JK7/</v>
      </c>
      <c r="L60" s="495" t="str">
        <f>IFERROR(__xludf.DUMMYFUNCTION("""COMPUTED_VALUE"""),"Concept 4")</f>
        <v>Concept 4</v>
      </c>
      <c r="M60" s="278" t="str">
        <f>IFERROR(__xludf.DUMMYFUNCTION("""COMPUTED_VALUE"""),"https://vt.tiktok.com/ZSuQDXvTS/")</f>
        <v>https://vt.tiktok.com/ZSuQDXvTS/</v>
      </c>
      <c r="N60" s="495" t="str">
        <f>IFERROR(__xludf.DUMMYFUNCTION("""COMPUTED_VALUE"""),"Concept 2")</f>
        <v>Concept 2</v>
      </c>
      <c r="O60" s="278" t="str">
        <f>IFERROR(__xludf.DUMMYFUNCTION("""COMPUTED_VALUE"""),"https://vt.tiktok.com/ZSH9XU6nF/")</f>
        <v>https://vt.tiktok.com/ZSH9XU6nF/</v>
      </c>
      <c r="P60" s="495"/>
      <c r="Q60" s="262"/>
      <c r="R60" s="499"/>
      <c r="S60" s="499"/>
      <c r="T60" s="499"/>
      <c r="U60" s="499"/>
    </row>
    <row r="61">
      <c r="A61" s="255" t="str">
        <f>IFERROR(__xludf.DUMMYFUNCTION("""COMPUTED_VALUE"""),"NANO")</f>
        <v>NANO</v>
      </c>
      <c r="B61" s="268" t="str">
        <f>IFERROR(__xludf.DUMMYFUNCTION("""COMPUTED_VALUE"""),"verysaidah.adam")</f>
        <v>verysaidah.adam</v>
      </c>
      <c r="C61" s="281" t="str">
        <f>IFERROR(__xludf.DUMMYFUNCTION("""COMPUTED_VALUE"""),"https://www.tiktok.com/@verysaidah.adam")</f>
        <v>https://www.tiktok.com/@verysaidah.adam</v>
      </c>
      <c r="D61" s="502">
        <f>IFERROR(__xludf.DUMMYFUNCTION("""COMPUTED_VALUE"""),8.7759956401E10)</f>
        <v>87759956401</v>
      </c>
      <c r="E61" s="503">
        <f>IFERROR(__xludf.DUMMYFUNCTION("""COMPUTED_VALUE"""),0.0)</f>
        <v>0</v>
      </c>
      <c r="F61" s="502">
        <f>IFERROR(__xludf.DUMMYFUNCTION("""COMPUTED_VALUE"""),3.0)</f>
        <v>3</v>
      </c>
      <c r="G61" s="493" t="str">
        <f>IFERROR(__xludf.DUMMYFUNCTION("""COMPUTED_VALUE"""),"Rp13,1JT")</f>
        <v>Rp13,1JT</v>
      </c>
      <c r="H61" s="466" t="str">
        <f>IFERROR(__xludf.DUMMYFUNCTION("""COMPUTED_VALUE"""),"Minyak Oles Benjolan")</f>
        <v>Minyak Oles Benjolan</v>
      </c>
      <c r="I61" s="260" t="str">
        <f>IFERROR(__xludf.DUMMYFUNCTION("""COMPUTED_VALUE"""),"Sampai")</f>
        <v>Sampai</v>
      </c>
      <c r="J61" s="494" t="str">
        <f>IFERROR(__xludf.DUMMYFUNCTION("""COMPUTED_VALUE""")," Concept 1")</f>
        <v> Concept 1</v>
      </c>
      <c r="K61" s="278" t="str">
        <f>IFERROR(__xludf.DUMMYFUNCTION("""COMPUTED_VALUE"""),"https://vt.tiktok.com/ZSmCEutrX/")</f>
        <v>https://vt.tiktok.com/ZSmCEutrX/</v>
      </c>
      <c r="L61" s="495"/>
      <c r="M61" s="262"/>
      <c r="N61" s="495"/>
      <c r="O61" s="262"/>
      <c r="P61" s="495"/>
      <c r="Q61" s="262"/>
      <c r="R61" s="499"/>
      <c r="S61" s="499"/>
      <c r="T61" s="499"/>
      <c r="U61" s="499"/>
    </row>
    <row r="62">
      <c r="A62" s="255" t="str">
        <f>IFERROR(__xludf.DUMMYFUNCTION("""COMPUTED_VALUE"""),"MICRO")</f>
        <v>MICRO</v>
      </c>
      <c r="B62" s="268" t="str">
        <f>IFERROR(__xludf.DUMMYFUNCTION("""COMPUTED_VALUE"""),"rindiantika_id")</f>
        <v>rindiantika_id</v>
      </c>
      <c r="C62" s="281" t="str">
        <f>IFERROR(__xludf.DUMMYFUNCTION("""COMPUTED_VALUE"""),"https://www.tiktok.com/@rindiantika_id")</f>
        <v>https://www.tiktok.com/@rindiantika_id</v>
      </c>
      <c r="D62" s="502">
        <f>IFERROR(__xludf.DUMMYFUNCTION("""COMPUTED_VALUE"""),8.5391302946E10)</f>
        <v>85391302946</v>
      </c>
      <c r="E62" s="503">
        <f>IFERROR(__xludf.DUMMYFUNCTION("""COMPUTED_VALUE"""),0.0)</f>
        <v>0</v>
      </c>
      <c r="F62" s="502">
        <f>IFERROR(__xludf.DUMMYFUNCTION("""COMPUTED_VALUE"""),1.0)</f>
        <v>1</v>
      </c>
      <c r="G62" s="493" t="str">
        <f>IFERROR(__xludf.DUMMYFUNCTION("""COMPUTED_VALUE"""),"Rp196,3RB")</f>
        <v>Rp196,3RB</v>
      </c>
      <c r="H62" s="466" t="str">
        <f>IFERROR(__xludf.DUMMYFUNCTION("""COMPUTED_VALUE"""),"Minyak Oles Benjolan")</f>
        <v>Minyak Oles Benjolan</v>
      </c>
      <c r="I62" s="260" t="str">
        <f>IFERROR(__xludf.DUMMYFUNCTION("""COMPUTED_VALUE"""),"Sampai")</f>
        <v>Sampai</v>
      </c>
      <c r="J62" s="494" t="str">
        <f>IFERROR(__xludf.DUMMYFUNCTION("""COMPUTED_VALUE"""),"Concept 3")</f>
        <v>Concept 3</v>
      </c>
      <c r="K62" s="278" t="str">
        <f>IFERROR(__xludf.DUMMYFUNCTION("""COMPUTED_VALUE"""),"https://vt.tiktok.com/ZSujhB3H2/")</f>
        <v>https://vt.tiktok.com/ZSujhB3H2/</v>
      </c>
      <c r="L62" s="495"/>
      <c r="M62" s="262"/>
      <c r="N62" s="495"/>
      <c r="O62" s="262"/>
      <c r="P62" s="495"/>
      <c r="Q62" s="262"/>
      <c r="R62" s="499"/>
      <c r="S62" s="499"/>
      <c r="T62" s="499"/>
      <c r="U62" s="499"/>
    </row>
    <row r="63">
      <c r="A63" s="255" t="str">
        <f>IFERROR(__xludf.DUMMYFUNCTION("""COMPUTED_VALUE"""),"NANO")</f>
        <v>NANO</v>
      </c>
      <c r="B63" s="268" t="str">
        <f>IFERROR(__xludf.DUMMYFUNCTION("""COMPUTED_VALUE"""),"vinasalim23 ")</f>
        <v>vinasalim23 </v>
      </c>
      <c r="C63" s="281" t="str">
        <f>IFERROR(__xludf.DUMMYFUNCTION("""COMPUTED_VALUE"""),"https://www.tiktok.com/@vinasalim23 ")</f>
        <v>https://www.tiktok.com/@vinasalim23 </v>
      </c>
      <c r="D63" s="502">
        <f>IFERROR(__xludf.DUMMYFUNCTION("""COMPUTED_VALUE"""),8.124142544E10)</f>
        <v>81241425440</v>
      </c>
      <c r="E63" s="503">
        <f>IFERROR(__xludf.DUMMYFUNCTION("""COMPUTED_VALUE"""),0.0)</f>
        <v>0</v>
      </c>
      <c r="F63" s="502">
        <f>IFERROR(__xludf.DUMMYFUNCTION("""COMPUTED_VALUE"""),3.0)</f>
        <v>3</v>
      </c>
      <c r="G63" s="493" t="str">
        <f>IFERROR(__xludf.DUMMYFUNCTION("""COMPUTED_VALUE"""),"Rp232,7RB")</f>
        <v>Rp232,7RB</v>
      </c>
      <c r="H63" s="466" t="str">
        <f>IFERROR(__xludf.DUMMYFUNCTION("""COMPUTED_VALUE"""),"Minyak Oles Benjolan")</f>
        <v>Minyak Oles Benjolan</v>
      </c>
      <c r="I63" s="260" t="str">
        <f>IFERROR(__xludf.DUMMYFUNCTION("""COMPUTED_VALUE"""),"Sampai")</f>
        <v>Sampai</v>
      </c>
      <c r="J63" s="494" t="str">
        <f>IFERROR(__xludf.DUMMYFUNCTION("""COMPUTED_VALUE""")," Concept 1")</f>
        <v> Concept 1</v>
      </c>
      <c r="K63" s="278" t="str">
        <f>IFERROR(__xludf.DUMMYFUNCTION("""COMPUTED_VALUE"""),"https://vt.tiktok.com/ZSmwPvDeG/")</f>
        <v>https://vt.tiktok.com/ZSmwPvDeG/</v>
      </c>
      <c r="L63" s="495" t="str">
        <f>IFERROR(__xludf.DUMMYFUNCTION("""COMPUTED_VALUE"""),"Concept 2")</f>
        <v>Concept 2</v>
      </c>
      <c r="M63" s="262" t="str">
        <f>IFERROR(__xludf.DUMMYFUNCTION("""COMPUTED_VALUE"""),"https://www.tiktok.com/@vinasalim23/video/7613984100835282194?_r=1&amp;u_code=db8fmlige5k2i5&amp;region=ID&amp;mid=7613984133329193748&amp;preview_pb=0&amp;sharer_language=id&amp;_d=e7209bhcg8777j&amp;ec_shared_reflux_dynamic_params=%7B%22placeholder_material_id%22%3A%22761398410083"&amp;"5282194%22%2C%22placeholder_origin_cover%22%3A%22https%253A%252F%252Fp16-sign-sg.tiktokcdn.com%252Ftos-alisg-p-0037%252FokQquRBpgqqTtFrW4CWDjgBEUhBfAjFfQQYBEk~tplv-tiktokx-origin.webp%253Fdr%253D14572%2526refresh_token%253D09657d57%2526x-expires%253D18043"&amp;"05600%2526x-signature%253DOhT8MzG%25252B4vtSyU4uDT6kzLEW9Qk%25253D%2526t%253D4d5b0474%2526ps%253D13740610%2526shp%253Dd05b14bd%2526shcp%253D34ff8df6%2526idc%253Dmy%2526s%253DPUBLISH%22%2C%22placeholder_product_id%22%3A%221729744224888456359%22%2C%22placeh"&amp;"older_video_id%22%3A%227613984100835282194%22%7D&amp;ec_shared_reflux_scene=shop_tab_feed&amp;share_item_id=7613984100835282194&amp;source=h5_t&amp;timestamp=1772769943&amp;user_id=6801818783294243842&amp;sec_user_id=MS4wLjABAAAA524HBm9umvtS5xsUNG_Pj86uH22MfVYh372ZNLh-3IXaM6SoUZ"&amp;"sYD1czs6sBiZVC&amp;item_author_type=1&amp;social_share_type=0&amp;utm_source=copy&amp;utm_campaign=client_share&amp;utm_medium=android&amp;share_iid=7611623654560974612&amp;share_link_id=112ef6cc-ace0-4b60-8651-fac990908daa&amp;share_app_id=1180&amp;ugbiz_name=MAIN&amp;ug_btm=b8727%2Cb2878&amp;link"&amp;"_reflow_popup_iteration_sharer=%7B%22click_empty_to_play%22%3A1%2C%22dynamic_cover%22%3A1%2C%22follow_to_play_duration%22%3A-1.0%2C%22profile_clickable%22%3A1%7D&amp;enable_checksum=1")</f>
        <v>https://www.tiktok.com/@vinasalim23/video/7613984100835282194?_r=1&amp;u_code=db8fmlige5k2i5&amp;region=ID&amp;mid=7613984133329193748&amp;preview_pb=0&amp;sharer_language=id&amp;_d=e7209bhcg8777j&amp;ec_shared_reflux_dynamic_params=%7B%22placeholder_material_id%22%3A%227613984100835282194%22%2C%22placeholder_origin_cover%22%3A%22https%253A%252F%252Fp16-sign-sg.tiktokcdn.com%252Ftos-alisg-p-0037%252FokQquRBpgqqTtFrW4CWDjgBEUhBfAjFfQQYBEk~tplv-tiktokx-origin.webp%253Fdr%253D14572%2526refresh_token%253D09657d57%2526x-expires%253D1804305600%2526x-signature%253DOhT8MzG%25252B4vtSyU4uDT6kzLEW9Qk%25253D%2526t%253D4d5b0474%2526ps%253D13740610%2526shp%253Dd05b14bd%2526shcp%253D34ff8df6%2526idc%253Dmy%2526s%253DPUBLISH%22%2C%22placeholder_product_id%22%3A%221729744224888456359%22%2C%22placeholder_video_id%22%3A%227613984100835282194%22%7D&amp;ec_shared_reflux_scene=shop_tab_feed&amp;share_item_id=7613984100835282194&amp;source=h5_t&amp;timestamp=1772769943&amp;user_id=6801818783294243842&amp;sec_user_id=MS4wLjABAAAA524HBm9umvtS5xsUNG_Pj86uH22MfVYh372ZNLh-3IXaM6SoUZsYD1czs6sBiZVC&amp;item_author_type=1&amp;social_share_type=0&amp;utm_source=copy&amp;utm_campaign=client_share&amp;utm_medium=android&amp;share_iid=7611623654560974612&amp;share_link_id=112ef6cc-ace0-4b60-8651-fac990908daa&amp;share_app_id=1180&amp;ugbiz_name=MAIN&amp;ug_btm=b8727%2Cb2878&amp;link_reflow_popup_iteration_sharer=%7B%22click_empty_to_play%22%3A1%2C%22dynamic_cover%22%3A1%2C%22follow_to_play_duration%22%3A-1.0%2C%22profile_clickable%22%3A1%7D&amp;enable_checksum=1</v>
      </c>
      <c r="N63" s="495" t="str">
        <f>IFERROR(__xludf.DUMMYFUNCTION("""COMPUTED_VALUE"""),"Concept 4")</f>
        <v>Concept 4</v>
      </c>
      <c r="O63" s="278" t="str">
        <f>IFERROR(__xludf.DUMMYFUNCTION("""COMPUTED_VALUE"""),"https://vt.tiktok.com/ZSurg6hBu/")</f>
        <v>https://vt.tiktok.com/ZSurg6hBu/</v>
      </c>
      <c r="P63" s="495"/>
      <c r="Q63" s="262"/>
      <c r="R63" s="499"/>
      <c r="S63" s="499"/>
      <c r="T63" s="499"/>
      <c r="U63" s="499"/>
    </row>
    <row r="64">
      <c r="A64" s="255" t="str">
        <f>IFERROR(__xludf.DUMMYFUNCTION("""COMPUTED_VALUE"""),"NANO")</f>
        <v>NANO</v>
      </c>
      <c r="B64" s="268" t="str">
        <f>IFERROR(__xludf.DUMMYFUNCTION("""COMPUTED_VALUE"""),"lailaafff")</f>
        <v>lailaafff</v>
      </c>
      <c r="C64" s="281" t="str">
        <f>IFERROR(__xludf.DUMMYFUNCTION("""COMPUTED_VALUE"""),"https://www.tiktok.com/@lailaafff")</f>
        <v>https://www.tiktok.com/@lailaafff</v>
      </c>
      <c r="D64" s="502">
        <f>IFERROR(__xludf.DUMMYFUNCTION("""COMPUTED_VALUE"""),8.9524189588E10)</f>
        <v>89524189588</v>
      </c>
      <c r="E64" s="503">
        <f>IFERROR(__xludf.DUMMYFUNCTION("""COMPUTED_VALUE"""),0.0)</f>
        <v>0</v>
      </c>
      <c r="F64" s="502">
        <f>IFERROR(__xludf.DUMMYFUNCTION("""COMPUTED_VALUE"""),3.0)</f>
        <v>3</v>
      </c>
      <c r="G64" s="493" t="str">
        <f>IFERROR(__xludf.DUMMYFUNCTION("""COMPUTED_VALUE"""),"Rp54,1JT")</f>
        <v>Rp54,1JT</v>
      </c>
      <c r="H64" s="466" t="str">
        <f>IFERROR(__xludf.DUMMYFUNCTION("""COMPUTED_VALUE"""),"Minyak Oles Benjolan")</f>
        <v>Minyak Oles Benjolan</v>
      </c>
      <c r="I64" s="260" t="str">
        <f>IFERROR(__xludf.DUMMYFUNCTION("""COMPUTED_VALUE"""),"Sampai")</f>
        <v>Sampai</v>
      </c>
      <c r="J64" s="494" t="str">
        <f>IFERROR(__xludf.DUMMYFUNCTION("""COMPUTED_VALUE"""),"Concept 4")</f>
        <v>Concept 4</v>
      </c>
      <c r="K64" s="278" t="str">
        <f>IFERROR(__xludf.DUMMYFUNCTION("""COMPUTED_VALUE"""),"https://vt.tiktok.com/ZSm3U8osR/")</f>
        <v>https://vt.tiktok.com/ZSm3U8osR/</v>
      </c>
      <c r="L64" s="495" t="str">
        <f>IFERROR(__xludf.DUMMYFUNCTION("""COMPUTED_VALUE"""),"Concept 3")</f>
        <v>Concept 3</v>
      </c>
      <c r="M64" s="278" t="str">
        <f>IFERROR(__xludf.DUMMYFUNCTION("""COMPUTED_VALUE"""),"https://vt.tiktok.com/ZSu2YLJ8t/")</f>
        <v>https://vt.tiktok.com/ZSu2YLJ8t/</v>
      </c>
      <c r="N64" s="495" t="str">
        <f>IFERROR(__xludf.DUMMYFUNCTION("""COMPUTED_VALUE""")," Concept 1")</f>
        <v> Concept 1</v>
      </c>
      <c r="O64" s="278" t="str">
        <f>IFERROR(__xludf.DUMMYFUNCTION("""COMPUTED_VALUE"""),"https://vt.tiktok.com/ZSuP1sym9/")</f>
        <v>https://vt.tiktok.com/ZSuP1sym9/</v>
      </c>
      <c r="P64" s="495"/>
      <c r="Q64" s="278" t="str">
        <f>IFERROR(__xludf.DUMMYFUNCTION("""COMPUTED_VALUE"""),"https://vt.tiktok.com/ZSuPD3kUH/")</f>
        <v>https://vt.tiktok.com/ZSuPD3kUH/</v>
      </c>
      <c r="R64" s="499"/>
      <c r="S64" s="499"/>
      <c r="T64" s="499"/>
      <c r="U64" s="499"/>
    </row>
    <row r="65">
      <c r="A65" s="255" t="str">
        <f>IFERROR(__xludf.DUMMYFUNCTION("""COMPUTED_VALUE"""),"MICRO")</f>
        <v>MICRO</v>
      </c>
      <c r="B65" s="268" t="str">
        <f>IFERROR(__xludf.DUMMYFUNCTION("""COMPUTED_VALUE"""),"madutama")</f>
        <v>madutama</v>
      </c>
      <c r="C65" s="281" t="str">
        <f>IFERROR(__xludf.DUMMYFUNCTION("""COMPUTED_VALUE"""),"https://www.tiktok.com/@madutama")</f>
        <v>https://www.tiktok.com/@madutama</v>
      </c>
      <c r="D65" s="502">
        <f>IFERROR(__xludf.DUMMYFUNCTION("""COMPUTED_VALUE"""),8.9651331236E10)</f>
        <v>89651331236</v>
      </c>
      <c r="E65" s="503">
        <f>IFERROR(__xludf.DUMMYFUNCTION("""COMPUTED_VALUE"""),0.0)</f>
        <v>0</v>
      </c>
      <c r="F65" s="502">
        <f>IFERROR(__xludf.DUMMYFUNCTION("""COMPUTED_VALUE"""),3.0)</f>
        <v>3</v>
      </c>
      <c r="G65" s="493" t="str">
        <f>IFERROR(__xludf.DUMMYFUNCTION("""COMPUTED_VALUE"""),"Rp1JT+")</f>
        <v>Rp1JT+</v>
      </c>
      <c r="H65" s="466" t="str">
        <f>IFERROR(__xludf.DUMMYFUNCTION("""COMPUTED_VALUE"""),"Minyak Oles Benjolan")</f>
        <v>Minyak Oles Benjolan</v>
      </c>
      <c r="I65" s="260" t="str">
        <f>IFERROR(__xludf.DUMMYFUNCTION("""COMPUTED_VALUE"""),"Sampai")</f>
        <v>Sampai</v>
      </c>
      <c r="J65" s="494" t="str">
        <f>IFERROR(__xludf.DUMMYFUNCTION("""COMPUTED_VALUE"""),"Concept 3")</f>
        <v>Concept 3</v>
      </c>
      <c r="K65" s="278" t="str">
        <f>IFERROR(__xludf.DUMMYFUNCTION("""COMPUTED_VALUE"""),"https://vt.tiktok.com/ZSu1t9XmE/")</f>
        <v>https://vt.tiktok.com/ZSu1t9XmE/</v>
      </c>
      <c r="L65" s="495" t="str">
        <f>IFERROR(__xludf.DUMMYFUNCTION("""COMPUTED_VALUE"""),"Concept 2")</f>
        <v>Concept 2</v>
      </c>
      <c r="M65" s="278" t="str">
        <f>IFERROR(__xludf.DUMMYFUNCTION("""COMPUTED_VALUE"""),"https://vt.tiktok.com/ZSuDg6fD8/")</f>
        <v>https://vt.tiktok.com/ZSuDg6fD8/</v>
      </c>
      <c r="N65" s="495" t="str">
        <f>IFERROR(__xludf.DUMMYFUNCTION("""COMPUTED_VALUE"""),"Concept 4")</f>
        <v>Concept 4</v>
      </c>
      <c r="O65" s="278" t="str">
        <f>IFERROR(__xludf.DUMMYFUNCTION("""COMPUTED_VALUE"""),"https://vt.tiktok.com/ZSuacqNXp/")</f>
        <v>https://vt.tiktok.com/ZSuacqNXp/</v>
      </c>
      <c r="P65" s="495"/>
      <c r="Q65" s="262"/>
      <c r="R65" s="499"/>
      <c r="S65" s="499"/>
      <c r="T65" s="499"/>
      <c r="U65" s="499"/>
    </row>
    <row r="66">
      <c r="A66" s="255" t="str">
        <f>IFERROR(__xludf.DUMMYFUNCTION("""COMPUTED_VALUE"""),"NANO")</f>
        <v>NANO</v>
      </c>
      <c r="B66" s="268" t="str">
        <f>IFERROR(__xludf.DUMMYFUNCTION("""COMPUTED_VALUE"""),"teguhprass_1992")</f>
        <v>teguhprass_1992</v>
      </c>
      <c r="C66" s="281" t="str">
        <f>IFERROR(__xludf.DUMMYFUNCTION("""COMPUTED_VALUE"""),"https://www.tiktok.com/@teguhprass_1992")</f>
        <v>https://www.tiktok.com/@teguhprass_1992</v>
      </c>
      <c r="D66" s="502">
        <f>IFERROR(__xludf.DUMMYFUNCTION("""COMPUTED_VALUE"""),8.5236537274E10)</f>
        <v>85236537274</v>
      </c>
      <c r="E66" s="503">
        <f>IFERROR(__xludf.DUMMYFUNCTION("""COMPUTED_VALUE"""),0.0)</f>
        <v>0</v>
      </c>
      <c r="F66" s="502">
        <f>IFERROR(__xludf.DUMMYFUNCTION("""COMPUTED_VALUE"""),3.0)</f>
        <v>3</v>
      </c>
      <c r="G66" s="493" t="str">
        <f>IFERROR(__xludf.DUMMYFUNCTION("""COMPUTED_VALUE"""),"Rp21,3JT")</f>
        <v>Rp21,3JT</v>
      </c>
      <c r="H66" s="466" t="str">
        <f>IFERROR(__xludf.DUMMYFUNCTION("""COMPUTED_VALUE"""),"Minyak Oles Benjolan")</f>
        <v>Minyak Oles Benjolan</v>
      </c>
      <c r="I66" s="260" t="str">
        <f>IFERROR(__xludf.DUMMYFUNCTION("""COMPUTED_VALUE"""),"Sampai")</f>
        <v>Sampai</v>
      </c>
      <c r="J66" s="494" t="str">
        <f>IFERROR(__xludf.DUMMYFUNCTION("""COMPUTED_VALUE"""),"Concept 3")</f>
        <v>Concept 3</v>
      </c>
      <c r="K66" s="278" t="str">
        <f>IFERROR(__xludf.DUMMYFUNCTION("""COMPUTED_VALUE"""),"https://vt.tiktok.com/ZSmVGAJVW/")</f>
        <v>https://vt.tiktok.com/ZSmVGAJVW/</v>
      </c>
      <c r="L66" s="495" t="str">
        <f>IFERROR(__xludf.DUMMYFUNCTION("""COMPUTED_VALUE"""),"Concept 2")</f>
        <v>Concept 2</v>
      </c>
      <c r="M66" s="278" t="str">
        <f>IFERROR(__xludf.DUMMYFUNCTION("""COMPUTED_VALUE"""),"https://vt.tiktok.com/ZSuSpak9d/")</f>
        <v>https://vt.tiktok.com/ZSuSpak9d/</v>
      </c>
      <c r="N66" s="495" t="str">
        <f>IFERROR(__xludf.DUMMYFUNCTION("""COMPUTED_VALUE"""),"Concept 4")</f>
        <v>Concept 4</v>
      </c>
      <c r="O66" s="278" t="str">
        <f>IFERROR(__xludf.DUMMYFUNCTION("""COMPUTED_VALUE"""),"https://vt.tiktok.com/ZSHoYVGty/")</f>
        <v>https://vt.tiktok.com/ZSHoYVGty/</v>
      </c>
      <c r="P66" s="495"/>
      <c r="Q66" s="262"/>
      <c r="R66" s="499"/>
      <c r="S66" s="499"/>
      <c r="T66" s="499"/>
      <c r="U66" s="499"/>
    </row>
    <row r="67">
      <c r="A67" s="255" t="str">
        <f>IFERROR(__xludf.DUMMYFUNCTION("""COMPUTED_VALUE"""),"MICRO")</f>
        <v>MICRO</v>
      </c>
      <c r="B67" s="268" t="str">
        <f>IFERROR(__xludf.DUMMYFUNCTION("""COMPUTED_VALUE"""),"nonazawa")</f>
        <v>nonazawa</v>
      </c>
      <c r="C67" s="281" t="str">
        <f>IFERROR(__xludf.DUMMYFUNCTION("""COMPUTED_VALUE"""),"https://www.tiktok.com/@nonazawa")</f>
        <v>https://www.tiktok.com/@nonazawa</v>
      </c>
      <c r="D67" s="502"/>
      <c r="E67" s="503">
        <f>IFERROR(__xludf.DUMMYFUNCTION("""COMPUTED_VALUE"""),400000.0)</f>
        <v>400000</v>
      </c>
      <c r="F67" s="502">
        <f>IFERROR(__xludf.DUMMYFUNCTION("""COMPUTED_VALUE"""),1.0)</f>
        <v>1</v>
      </c>
      <c r="G67" s="493" t="str">
        <f>IFERROR(__xludf.DUMMYFUNCTION("""COMPUTED_VALUE"""),"Rp1,7M")</f>
        <v>Rp1,7M</v>
      </c>
      <c r="H67" s="466" t="str">
        <f>IFERROR(__xludf.DUMMYFUNCTION("""COMPUTED_VALUE"""),"Minyak Oles Benjolan")</f>
        <v>Minyak Oles Benjolan</v>
      </c>
      <c r="I67" s="260" t="str">
        <f>IFERROR(__xludf.DUMMYFUNCTION("""COMPUTED_VALUE"""),"Sampai")</f>
        <v>Sampai</v>
      </c>
      <c r="J67" s="494" t="str">
        <f>IFERROR(__xludf.DUMMYFUNCTION("""COMPUTED_VALUE"""),"Concept 2")</f>
        <v>Concept 2</v>
      </c>
      <c r="K67" s="278" t="str">
        <f>IFERROR(__xludf.DUMMYFUNCTION("""COMPUTED_VALUE"""),"https://vt.tiktok.com/ZSHtGXx9c/")</f>
        <v>https://vt.tiktok.com/ZSHtGXx9c/</v>
      </c>
      <c r="L67" s="495"/>
      <c r="M67" s="262"/>
      <c r="N67" s="495"/>
      <c r="O67" s="262"/>
      <c r="P67" s="495"/>
      <c r="Q67" s="262"/>
      <c r="R67" s="499"/>
      <c r="S67" s="499"/>
      <c r="T67" s="499"/>
      <c r="U67" s="499"/>
    </row>
    <row r="68">
      <c r="A68" s="255" t="str">
        <f>IFERROR(__xludf.DUMMYFUNCTION("""COMPUTED_VALUE"""),"NANO")</f>
        <v>NANO</v>
      </c>
      <c r="B68" s="268" t="str">
        <f>IFERROR(__xludf.DUMMYFUNCTION("""COMPUTED_VALUE"""),".bang.fey")</f>
        <v>.bang.fey</v>
      </c>
      <c r="C68" s="281" t="str">
        <f>IFERROR(__xludf.DUMMYFUNCTION("""COMPUTED_VALUE"""),"https://www.tiktok.com/@.bang.fey")</f>
        <v>https://www.tiktok.com/@.bang.fey</v>
      </c>
      <c r="D68" s="502">
        <f>IFERROR(__xludf.DUMMYFUNCTION("""COMPUTED_VALUE"""),8.1221888522E10)</f>
        <v>81221888522</v>
      </c>
      <c r="E68" s="503">
        <f>IFERROR(__xludf.DUMMYFUNCTION("""COMPUTED_VALUE"""),0.0)</f>
        <v>0</v>
      </c>
      <c r="F68" s="502">
        <f>IFERROR(__xludf.DUMMYFUNCTION("""COMPUTED_VALUE"""),3.0)</f>
        <v>3</v>
      </c>
      <c r="G68" s="493" t="str">
        <f>IFERROR(__xludf.DUMMYFUNCTION("""COMPUTED_VALUE"""),"Rp121,7JT")</f>
        <v>Rp121,7JT</v>
      </c>
      <c r="H68" s="466" t="str">
        <f>IFERROR(__xludf.DUMMYFUNCTION("""COMPUTED_VALUE"""),"Minyak Oles Benjolan")</f>
        <v>Minyak Oles Benjolan</v>
      </c>
      <c r="I68" s="260" t="str">
        <f>IFERROR(__xludf.DUMMYFUNCTION("""COMPUTED_VALUE"""),"Sampai")</f>
        <v>Sampai</v>
      </c>
      <c r="J68" s="494" t="str">
        <f>IFERROR(__xludf.DUMMYFUNCTION("""COMPUTED_VALUE""")," Concept 1")</f>
        <v> Concept 1</v>
      </c>
      <c r="K68" s="278" t="str">
        <f>IFERROR(__xludf.DUMMYFUNCTION("""COMPUTED_VALUE"""),"https://vt.tiktok.com/ZSuUN1WUF/")</f>
        <v>https://vt.tiktok.com/ZSuUN1WUF/</v>
      </c>
      <c r="L68" s="495"/>
      <c r="M68" s="278" t="str">
        <f>IFERROR(__xludf.DUMMYFUNCTION("""COMPUTED_VALUE"""),"https://vt.tiktok.com/ZSuULE9Fw/")</f>
        <v>https://vt.tiktok.com/ZSuULE9Fw/</v>
      </c>
      <c r="N68" s="495"/>
      <c r="O68" s="278" t="str">
        <f>IFERROR(__xludf.DUMMYFUNCTION("""COMPUTED_VALUE"""),"https://vt.tiktok.com/ZSumwa6YG/")</f>
        <v>https://vt.tiktok.com/ZSumwa6YG/</v>
      </c>
      <c r="P68" s="495"/>
      <c r="Q68" s="262"/>
      <c r="R68" s="499">
        <f>IFERROR(__xludf.DUMMYFUNCTION("""COMPUTED_VALUE"""),1521030.0)</f>
        <v>1521030</v>
      </c>
      <c r="S68" s="499"/>
      <c r="T68" s="499">
        <f>IFERROR(__xludf.DUMMYFUNCTION("""COMPUTED_VALUE"""),8056699.44)</f>
        <v>8056699.44</v>
      </c>
      <c r="U68" s="499"/>
    </row>
    <row r="69">
      <c r="A69" s="255" t="str">
        <f>IFERROR(__xludf.DUMMYFUNCTION("""COMPUTED_VALUE"""),"MACRO")</f>
        <v>MACRO</v>
      </c>
      <c r="B69" s="268" t="str">
        <f>IFERROR(__xludf.DUMMYFUNCTION("""COMPUTED_VALUE"""),"idasela09")</f>
        <v>idasela09</v>
      </c>
      <c r="C69" s="281" t="str">
        <f>IFERROR(__xludf.DUMMYFUNCTION("""COMPUTED_VALUE"""),"https://www.tiktok.com/@idasela09")</f>
        <v>https://www.tiktok.com/@idasela09</v>
      </c>
      <c r="D69" s="502">
        <f>IFERROR(__xludf.DUMMYFUNCTION("""COMPUTED_VALUE"""),8.2159607553E10)</f>
        <v>82159607553</v>
      </c>
      <c r="E69" s="503">
        <f>IFERROR(__xludf.DUMMYFUNCTION("""COMPUTED_VALUE"""),0.0)</f>
        <v>0</v>
      </c>
      <c r="F69" s="502">
        <f>IFERROR(__xludf.DUMMYFUNCTION("""COMPUTED_VALUE"""),3.0)</f>
        <v>3</v>
      </c>
      <c r="G69" s="493" t="str">
        <f>IFERROR(__xludf.DUMMYFUNCTION("""COMPUTED_VALUE"""),"Rp800,8RB")</f>
        <v>Rp800,8RB</v>
      </c>
      <c r="H69" s="466" t="str">
        <f>IFERROR(__xludf.DUMMYFUNCTION("""COMPUTED_VALUE"""),"Minyak Oles Benjolan")</f>
        <v>Minyak Oles Benjolan</v>
      </c>
      <c r="I69" s="260" t="str">
        <f>IFERROR(__xludf.DUMMYFUNCTION("""COMPUTED_VALUE"""),"Sampai")</f>
        <v>Sampai</v>
      </c>
      <c r="J69" s="494" t="str">
        <f>IFERROR(__xludf.DUMMYFUNCTION("""COMPUTED_VALUE"""),"Concept 2")</f>
        <v>Concept 2</v>
      </c>
      <c r="K69" s="278" t="str">
        <f>IFERROR(__xludf.DUMMYFUNCTION("""COMPUTED_VALUE"""),"https://vt.tiktok.com/ZSuxoQyfJ")</f>
        <v>https://vt.tiktok.com/ZSuxoQyfJ</v>
      </c>
      <c r="L69" s="495"/>
      <c r="M69" s="278" t="str">
        <f>IFERROR(__xludf.DUMMYFUNCTION("""COMPUTED_VALUE"""),"https://www.tiktok.com/@idasela09/video/7622856985502813448?_r=1&amp;u_code=dfe0lg8b175fi1&amp;region=&amp;mid=7622857005656558344&amp;preview_pb=0&amp;sharer_language=&amp;_d=0&amp;ec_shared_reflux_dynamic_params=%7B%22placeholder_material_id%22%3A%227622856985502813448%22%2C%22pla"&amp;"ceholder_origin_cover%22%3A%22https%253A%252F%252Fp16-common-sign.tiktokcdn.com%252Ftos-alisg-p-0037%252FoYIJIBBDR1ByAGDpZFzIfF2XzKeEVE6gU7dBBj~tplv-tiktokx-origin.jpeg%253Fdr%253D14572%2526refresh_token%253D9edb3fdd%2526x-expires%253D1807581600%2526x-sig"&amp;"nature%253DFHmhr0zi4FL6jH6Ot6LuChZrI44%25253D%2526t%253D4d5b0474%2526ps%253D13740610%2526shp%253Dd05b14bd%2526shcp%253D34ff8df6%2526idc%253Dmy2%2526s%253DTIKTOK_AFFILIATE_VIRAL_VIDEO%22%2C%22placeholder_product_id%22%3A%221729917357927597223%22%2C%22place"&amp;"holder_video_id%22%3A%227622856985502813448%22%7D&amp;ec_shared_reflux_scene=shop_tab_feed&amp;share_item_id=7622856985502813448&amp;source=h5_t")</f>
        <v>https://www.tiktok.com/@idasela09/video/7622856985502813448?_r=1&amp;u_code=dfe0lg8b175fi1&amp;region=&amp;mid=7622857005656558344&amp;preview_pb=0&amp;sharer_language=&amp;_d=0&amp;ec_shared_reflux_dynamic_params=%7B%22placeholder_material_id%22%3A%227622856985502813448%22%2C%22placeholder_origin_cover%22%3A%22https%253A%252F%252Fp16-common-sign.tiktokcdn.com%252Ftos-alisg-p-0037%252FoYIJIBBDR1ByAGDpZFzIfF2XzKeEVE6gU7dBBj~tplv-tiktokx-origin.jpeg%253Fdr%253D14572%2526refresh_token%253D9edb3fdd%2526x-expires%253D1807581600%2526x-signature%253DFHmhr0zi4FL6jH6Ot6LuChZrI44%25253D%2526t%253D4d5b0474%2526ps%253D13740610%2526shp%253Dd05b14bd%2526shcp%253D34ff8df6%2526idc%253Dmy2%2526s%253DTIKTOK_AFFILIATE_VIRAL_VIDEO%22%2C%22placeholder_product_id%22%3A%221729917357927597223%22%2C%22placeholder_video_id%22%3A%227622856985502813448%22%7D&amp;ec_shared_reflux_scene=shop_tab_feed&amp;share_item_id=7622856985502813448&amp;source=h5_t</v>
      </c>
      <c r="N69" s="495"/>
      <c r="O69" s="262"/>
      <c r="P69" s="495"/>
      <c r="Q69" s="262"/>
      <c r="R69" s="499"/>
      <c r="S69" s="499"/>
      <c r="T69" s="499"/>
      <c r="U69" s="499"/>
    </row>
    <row r="70">
      <c r="A70" s="255" t="str">
        <f>IFERROR(__xludf.DUMMYFUNCTION("""COMPUTED_VALUE"""),"MACRO")</f>
        <v>MACRO</v>
      </c>
      <c r="B70" s="268" t="str">
        <f>IFERROR(__xludf.DUMMYFUNCTION("""COMPUTED_VALUE"""),"emak_kekinian")</f>
        <v>emak_kekinian</v>
      </c>
      <c r="C70" s="281" t="str">
        <f>IFERROR(__xludf.DUMMYFUNCTION("""COMPUTED_VALUE"""),"https://www.tiktok.com/@emak_kekinian")</f>
        <v>https://www.tiktok.com/@emak_kekinian</v>
      </c>
      <c r="D70" s="502">
        <f>IFERROR(__xludf.DUMMYFUNCTION("""COMPUTED_VALUE"""),8.11322505E8)</f>
        <v>811322505</v>
      </c>
      <c r="E70" s="503">
        <f>IFERROR(__xludf.DUMMYFUNCTION("""COMPUTED_VALUE"""),0.0)</f>
        <v>0</v>
      </c>
      <c r="F70" s="502">
        <f>IFERROR(__xludf.DUMMYFUNCTION("""COMPUTED_VALUE"""),1.0)</f>
        <v>1</v>
      </c>
      <c r="G70" s="493" t="str">
        <f>IFERROR(__xludf.DUMMYFUNCTION("""COMPUTED_VALUE"""),"Rp24,6JT")</f>
        <v>Rp24,6JT</v>
      </c>
      <c r="H70" s="466" t="str">
        <f>IFERROR(__xludf.DUMMYFUNCTION("""COMPUTED_VALUE"""),"Minyak Oles Benjolan")</f>
        <v>Minyak Oles Benjolan</v>
      </c>
      <c r="I70" s="260" t="str">
        <f>IFERROR(__xludf.DUMMYFUNCTION("""COMPUTED_VALUE"""),"Sampai")</f>
        <v>Sampai</v>
      </c>
      <c r="J70" s="494" t="str">
        <f>IFERROR(__xludf.DUMMYFUNCTION("""COMPUTED_VALUE""")," Concept 1")</f>
        <v> Concept 1</v>
      </c>
      <c r="K70" s="278" t="str">
        <f>IFERROR(__xludf.DUMMYFUNCTION("""COMPUTED_VALUE"""),"https://vt.tiktok.com/ZSmEpfXNQ/")</f>
        <v>https://vt.tiktok.com/ZSmEpfXNQ/</v>
      </c>
      <c r="L70" s="495"/>
      <c r="M70" s="262"/>
      <c r="N70" s="495"/>
      <c r="O70" s="262"/>
      <c r="P70" s="495"/>
      <c r="Q70" s="262"/>
      <c r="R70" s="499"/>
      <c r="S70" s="499"/>
      <c r="T70" s="499"/>
      <c r="U70" s="499"/>
    </row>
    <row r="71">
      <c r="A71" s="255" t="str">
        <f>IFERROR(__xludf.DUMMYFUNCTION("""COMPUTED_VALUE"""),"MICRO")</f>
        <v>MICRO</v>
      </c>
      <c r="B71" s="268" t="str">
        <f>IFERROR(__xludf.DUMMYFUNCTION("""COMPUTED_VALUE"""),"ruangsehari_")</f>
        <v>ruangsehari_</v>
      </c>
      <c r="C71" s="281" t="str">
        <f>IFERROR(__xludf.DUMMYFUNCTION("""COMPUTED_VALUE"""),"https://www.tiktok.com/@ruangsehari_")</f>
        <v>https://www.tiktok.com/@ruangsehari_</v>
      </c>
      <c r="D71" s="502">
        <f>IFERROR(__xludf.DUMMYFUNCTION("""COMPUTED_VALUE"""),8.9502003477E10)</f>
        <v>89502003477</v>
      </c>
      <c r="E71" s="503">
        <f>IFERROR(__xludf.DUMMYFUNCTION("""COMPUTED_VALUE"""),0.0)</f>
        <v>0</v>
      </c>
      <c r="F71" s="502">
        <f>IFERROR(__xludf.DUMMYFUNCTION("""COMPUTED_VALUE"""),2.0)</f>
        <v>2</v>
      </c>
      <c r="G71" s="493" t="str">
        <f>IFERROR(__xludf.DUMMYFUNCTION("""COMPUTED_VALUE"""),"Rp327,3RB")</f>
        <v>Rp327,3RB</v>
      </c>
      <c r="H71" s="466" t="str">
        <f>IFERROR(__xludf.DUMMYFUNCTION("""COMPUTED_VALUE"""),"Minyak Oles Benjolan")</f>
        <v>Minyak Oles Benjolan</v>
      </c>
      <c r="I71" s="260" t="str">
        <f>IFERROR(__xludf.DUMMYFUNCTION("""COMPUTED_VALUE"""),"Sampai")</f>
        <v>Sampai</v>
      </c>
      <c r="J71" s="494" t="str">
        <f>IFERROR(__xludf.DUMMYFUNCTION("""COMPUTED_VALUE"""),"Concept 2")</f>
        <v>Concept 2</v>
      </c>
      <c r="K71" s="278" t="str">
        <f>IFERROR(__xludf.DUMMYFUNCTION("""COMPUTED_VALUE"""),"https://vt.tiktok.com/ZSuB5mMDe/")</f>
        <v>https://vt.tiktok.com/ZSuB5mMDe/</v>
      </c>
      <c r="L71" s="495" t="str">
        <f>IFERROR(__xludf.DUMMYFUNCTION("""COMPUTED_VALUE"""),"Concept 3")</f>
        <v>Concept 3</v>
      </c>
      <c r="M71" s="278" t="str">
        <f>IFERROR(__xludf.DUMMYFUNCTION("""COMPUTED_VALUE"""),"https://vt.tiktok.com/ZSH6asrWo/")</f>
        <v>https://vt.tiktok.com/ZSH6asrWo/</v>
      </c>
      <c r="N71" s="495"/>
      <c r="O71" s="262"/>
      <c r="P71" s="495"/>
      <c r="Q71" s="262"/>
      <c r="R71" s="499"/>
      <c r="S71" s="499"/>
      <c r="T71" s="499"/>
      <c r="U71" s="499"/>
    </row>
    <row r="72">
      <c r="A72" s="255" t="str">
        <f>IFERROR(__xludf.DUMMYFUNCTION("""COMPUTED_VALUE"""),"MACRO")</f>
        <v>MACRO</v>
      </c>
      <c r="B72" s="268" t="str">
        <f>IFERROR(__xludf.DUMMYFUNCTION("""COMPUTED_VALUE"""),"mei_arifin180899")</f>
        <v>mei_arifin180899</v>
      </c>
      <c r="C72" s="281" t="str">
        <f>IFERROR(__xludf.DUMMYFUNCTION("""COMPUTED_VALUE"""),"https://www.tiktok.com/@mei_arifin180899")</f>
        <v>https://www.tiktok.com/@mei_arifin180899</v>
      </c>
      <c r="D72" s="502"/>
      <c r="E72" s="503">
        <f>IFERROR(__xludf.DUMMYFUNCTION("""COMPUTED_VALUE"""),900000.0)</f>
        <v>900000</v>
      </c>
      <c r="F72" s="502">
        <f>IFERROR(__xludf.DUMMYFUNCTION("""COMPUTED_VALUE"""),1.0)</f>
        <v>1</v>
      </c>
      <c r="G72" s="493" t="str">
        <f>IFERROR(__xludf.DUMMYFUNCTION("""COMPUTED_VALUE"""),"Rp793,4JT")</f>
        <v>Rp793,4JT</v>
      </c>
      <c r="H72" s="466" t="str">
        <f>IFERROR(__xludf.DUMMYFUNCTION("""COMPUTED_VALUE"""),"Minyak Oles Benjolan")</f>
        <v>Minyak Oles Benjolan</v>
      </c>
      <c r="I72" s="260" t="str">
        <f>IFERROR(__xludf.DUMMYFUNCTION("""COMPUTED_VALUE"""),"Sampai")</f>
        <v>Sampai</v>
      </c>
      <c r="J72" s="494" t="str">
        <f>IFERROR(__xludf.DUMMYFUNCTION("""COMPUTED_VALUE"""),"Concept 3")</f>
        <v>Concept 3</v>
      </c>
      <c r="K72" s="278" t="str">
        <f>IFERROR(__xludf.DUMMYFUNCTION("""COMPUTED_VALUE"""),"https://vt.tiktok.com/ZSujMpcgj/")</f>
        <v>https://vt.tiktok.com/ZSujMpcgj/</v>
      </c>
      <c r="L72" s="495"/>
      <c r="M72" s="262"/>
      <c r="N72" s="495"/>
      <c r="O72" s="262"/>
      <c r="P72" s="495"/>
      <c r="Q72" s="262"/>
      <c r="R72" s="499">
        <f>IFERROR(__xludf.DUMMYFUNCTION("""COMPUTED_VALUE"""),84640.0)</f>
        <v>84640</v>
      </c>
      <c r="S72" s="499"/>
      <c r="T72" s="499"/>
      <c r="U72" s="499"/>
    </row>
    <row r="73">
      <c r="A73" s="255" t="str">
        <f>IFERROR(__xludf.DUMMYFUNCTION("""COMPUTED_VALUE"""),"MICRO")</f>
        <v>MICRO</v>
      </c>
      <c r="B73" s="268" t="str">
        <f>IFERROR(__xludf.DUMMYFUNCTION("""COMPUTED_VALUE"""),"oxgear ")</f>
        <v>oxgear </v>
      </c>
      <c r="C73" s="281" t="str">
        <f>IFERROR(__xludf.DUMMYFUNCTION("""COMPUTED_VALUE"""),"https://www.tiktok.com/@oxgear ")</f>
        <v>https://www.tiktok.com/@oxgear </v>
      </c>
      <c r="D73" s="502">
        <f>IFERROR(__xludf.DUMMYFUNCTION("""COMPUTED_VALUE"""),8.5808699164E10)</f>
        <v>85808699164</v>
      </c>
      <c r="E73" s="503">
        <f>IFERROR(__xludf.DUMMYFUNCTION("""COMPUTED_VALUE"""),0.0)</f>
        <v>0</v>
      </c>
      <c r="F73" s="502">
        <f>IFERROR(__xludf.DUMMYFUNCTION("""COMPUTED_VALUE"""),3.0)</f>
        <v>3</v>
      </c>
      <c r="G73" s="493" t="str">
        <f>IFERROR(__xludf.DUMMYFUNCTION("""COMPUTED_VALUE"""),"Rp47,2JT")</f>
        <v>Rp47,2JT</v>
      </c>
      <c r="H73" s="466" t="str">
        <f>IFERROR(__xludf.DUMMYFUNCTION("""COMPUTED_VALUE"""),"Minyak Oles Benjolan")</f>
        <v>Minyak Oles Benjolan</v>
      </c>
      <c r="I73" s="260" t="str">
        <f>IFERROR(__xludf.DUMMYFUNCTION("""COMPUTED_VALUE"""),"Kendala [FU!]")</f>
        <v>Kendala [FU!]</v>
      </c>
      <c r="J73" s="494"/>
      <c r="K73" s="262"/>
      <c r="L73" s="495"/>
      <c r="M73" s="262"/>
      <c r="N73" s="495"/>
      <c r="O73" s="262"/>
      <c r="P73" s="495"/>
      <c r="Q73" s="262"/>
      <c r="R73" s="499"/>
      <c r="S73" s="499"/>
      <c r="T73" s="499"/>
      <c r="U73" s="499"/>
    </row>
    <row r="74">
      <c r="A74" s="255" t="str">
        <f>IFERROR(__xludf.DUMMYFUNCTION("""COMPUTED_VALUE"""),"NANO")</f>
        <v>NANO</v>
      </c>
      <c r="B74" s="268" t="str">
        <f>IFERROR(__xludf.DUMMYFUNCTION("""COMPUTED_VALUE"""),"davidwilliemr")</f>
        <v>davidwilliemr</v>
      </c>
      <c r="C74" s="281" t="str">
        <f>IFERROR(__xludf.DUMMYFUNCTION("""COMPUTED_VALUE"""),"https://www.tiktok.com/@davidwilliemr")</f>
        <v>https://www.tiktok.com/@davidwilliemr</v>
      </c>
      <c r="D74" s="502">
        <f>IFERROR(__xludf.DUMMYFUNCTION("""COMPUTED_VALUE"""),8.133407407E10)</f>
        <v>81334074070</v>
      </c>
      <c r="E74" s="503">
        <f>IFERROR(__xludf.DUMMYFUNCTION("""COMPUTED_VALUE"""),0.0)</f>
        <v>0</v>
      </c>
      <c r="F74" s="502">
        <f>IFERROR(__xludf.DUMMYFUNCTION("""COMPUTED_VALUE"""),3.0)</f>
        <v>3</v>
      </c>
      <c r="G74" s="493" t="str">
        <f>IFERROR(__xludf.DUMMYFUNCTION("""COMPUTED_VALUE"""),"328.71k")</f>
        <v>328.71k</v>
      </c>
      <c r="H74" s="466" t="str">
        <f>IFERROR(__xludf.DUMMYFUNCTION("""COMPUTED_VALUE"""),"Minyak Oles Benjolan")</f>
        <v>Minyak Oles Benjolan</v>
      </c>
      <c r="I74" s="260" t="str">
        <f>IFERROR(__xludf.DUMMYFUNCTION("""COMPUTED_VALUE"""),"Kendala [FU!]")</f>
        <v>Kendala [FU!]</v>
      </c>
      <c r="J74" s="494"/>
      <c r="K74" s="262"/>
      <c r="L74" s="495"/>
      <c r="M74" s="262"/>
      <c r="N74" s="495"/>
      <c r="O74" s="262"/>
      <c r="P74" s="495"/>
      <c r="Q74" s="262"/>
      <c r="R74" s="499"/>
      <c r="S74" s="499"/>
      <c r="T74" s="499"/>
      <c r="U74" s="499"/>
    </row>
    <row r="75">
      <c r="A75" s="255" t="str">
        <f>IFERROR(__xludf.DUMMYFUNCTION("""COMPUTED_VALUE"""),"NANO")</f>
        <v>NANO</v>
      </c>
      <c r="B75" s="268" t="str">
        <f>IFERROR(__xludf.DUMMYFUNCTION("""COMPUTED_VALUE"""),"galeyyaid23 ")</f>
        <v>galeyyaid23 </v>
      </c>
      <c r="C75" s="281" t="str">
        <f>IFERROR(__xludf.DUMMYFUNCTION("""COMPUTED_VALUE"""),"https://www.tiktok.com/@galeyyaid23 ")</f>
        <v>https://www.tiktok.com/@galeyyaid23 </v>
      </c>
      <c r="D75" s="502">
        <f>IFERROR(__xludf.DUMMYFUNCTION("""COMPUTED_VALUE"""),8.8279681749E10)</f>
        <v>88279681749</v>
      </c>
      <c r="E75" s="503">
        <f>IFERROR(__xludf.DUMMYFUNCTION("""COMPUTED_VALUE"""),0.0)</f>
        <v>0</v>
      </c>
      <c r="F75" s="502">
        <f>IFERROR(__xludf.DUMMYFUNCTION("""COMPUTED_VALUE"""),3.0)</f>
        <v>3</v>
      </c>
      <c r="G75" s="493" t="str">
        <f>IFERROR(__xludf.DUMMYFUNCTION("""COMPUTED_VALUE"""),"Rp98,5JT")</f>
        <v>Rp98,5JT</v>
      </c>
      <c r="H75" s="466" t="str">
        <f>IFERROR(__xludf.DUMMYFUNCTION("""COMPUTED_VALUE"""),"Minyak Oles Benjolan")</f>
        <v>Minyak Oles Benjolan</v>
      </c>
      <c r="I75" s="260" t="str">
        <f>IFERROR(__xludf.DUMMYFUNCTION("""COMPUTED_VALUE"""),"Sampai")</f>
        <v>Sampai</v>
      </c>
      <c r="J75" s="494" t="str">
        <f>IFERROR(__xludf.DUMMYFUNCTION("""COMPUTED_VALUE""")," Concept 1")</f>
        <v> Concept 1</v>
      </c>
      <c r="K75" s="262"/>
      <c r="L75" s="495"/>
      <c r="M75" s="262"/>
      <c r="N75" s="495"/>
      <c r="O75" s="262"/>
      <c r="P75" s="495"/>
      <c r="Q75" s="262"/>
      <c r="R75" s="499"/>
      <c r="S75" s="499"/>
      <c r="T75" s="499"/>
      <c r="U75" s="499"/>
    </row>
    <row r="76">
      <c r="A76" s="255" t="str">
        <f>IFERROR(__xludf.DUMMYFUNCTION("""COMPUTED_VALUE"""),"MICRO")</f>
        <v>MICRO</v>
      </c>
      <c r="B76" s="268" t="str">
        <f>IFERROR(__xludf.DUMMYFUNCTION("""COMPUTED_VALUE"""),"nursidah54")</f>
        <v>nursidah54</v>
      </c>
      <c r="C76" s="281" t="str">
        <f>IFERROR(__xludf.DUMMYFUNCTION("""COMPUTED_VALUE"""),"https://www.tiktok.com/@nursidah54")</f>
        <v>https://www.tiktok.com/@nursidah54</v>
      </c>
      <c r="D76" s="502">
        <f>IFERROR(__xludf.DUMMYFUNCTION("""COMPUTED_VALUE"""),8.95339467395E11)</f>
        <v>895339467395</v>
      </c>
      <c r="E76" s="503">
        <f>IFERROR(__xludf.DUMMYFUNCTION("""COMPUTED_VALUE"""),0.0)</f>
        <v>0</v>
      </c>
      <c r="F76" s="502">
        <f>IFERROR(__xludf.DUMMYFUNCTION("""COMPUTED_VALUE"""),3.0)</f>
        <v>3</v>
      </c>
      <c r="G76" s="493" t="str">
        <f>IFERROR(__xludf.DUMMYFUNCTION("""COMPUTED_VALUE"""),"Rp4,9JT")</f>
        <v>Rp4,9JT</v>
      </c>
      <c r="H76" s="466" t="str">
        <f>IFERROR(__xludf.DUMMYFUNCTION("""COMPUTED_VALUE"""),"Minyak Oles Benjolan")</f>
        <v>Minyak Oles Benjolan</v>
      </c>
      <c r="I76" s="260" t="str">
        <f>IFERROR(__xludf.DUMMYFUNCTION("""COMPUTED_VALUE"""),"Sampai")</f>
        <v>Sampai</v>
      </c>
      <c r="J76" s="494" t="str">
        <f>IFERROR(__xludf.DUMMYFUNCTION("""COMPUTED_VALUE"""),"Concept 4")</f>
        <v>Concept 4</v>
      </c>
      <c r="K76" s="278" t="str">
        <f>IFERROR(__xludf.DUMMYFUNCTION("""COMPUTED_VALUE"""),"https://vt.tiktok.com/ZSuH8Ffb7/")</f>
        <v>https://vt.tiktok.com/ZSuH8Ffb7/</v>
      </c>
      <c r="L76" s="495" t="str">
        <f>IFERROR(__xludf.DUMMYFUNCTION("""COMPUTED_VALUE"""),"Concept 3")</f>
        <v>Concept 3</v>
      </c>
      <c r="M76" s="278" t="str">
        <f>IFERROR(__xludf.DUMMYFUNCTION("""COMPUTED_VALUE"""),"https://vt.tiktok.com/ZSHUHFStJ/")</f>
        <v>https://vt.tiktok.com/ZSHUHFStJ/</v>
      </c>
      <c r="N76" s="495" t="str">
        <f>IFERROR(__xludf.DUMMYFUNCTION("""COMPUTED_VALUE"""),"Concept 5")</f>
        <v>Concept 5</v>
      </c>
      <c r="O76" s="278" t="str">
        <f>IFERROR(__xludf.DUMMYFUNCTION("""COMPUTED_VALUE"""),"https://vt.tiktok.com/ZSHq3UgSU/")</f>
        <v>https://vt.tiktok.com/ZSHq3UgSU/</v>
      </c>
      <c r="P76" s="495"/>
      <c r="Q76" s="262"/>
      <c r="R76" s="499"/>
      <c r="S76" s="499"/>
      <c r="T76" s="499"/>
      <c r="U76" s="499"/>
    </row>
    <row r="77">
      <c r="A77" s="255" t="str">
        <f>IFERROR(__xludf.DUMMYFUNCTION("""COMPUTED_VALUE"""),"MICRO")</f>
        <v>MICRO</v>
      </c>
      <c r="B77" s="268" t="str">
        <f>IFERROR(__xludf.DUMMYFUNCTION("""COMPUTED_VALUE"""),"sistjojo1")</f>
        <v>sistjojo1</v>
      </c>
      <c r="C77" s="281" t="str">
        <f>IFERROR(__xludf.DUMMYFUNCTION("""COMPUTED_VALUE"""),"https://www.tiktok.com/@sistjojo1")</f>
        <v>https://www.tiktok.com/@sistjojo1</v>
      </c>
      <c r="D77" s="502">
        <f>IFERROR(__xludf.DUMMYFUNCTION("""COMPUTED_VALUE"""),8.1243004346E10)</f>
        <v>81243004346</v>
      </c>
      <c r="E77" s="503">
        <f>IFERROR(__xludf.DUMMYFUNCTION("""COMPUTED_VALUE"""),0.0)</f>
        <v>0</v>
      </c>
      <c r="F77" s="502">
        <f>IFERROR(__xludf.DUMMYFUNCTION("""COMPUTED_VALUE"""),3.0)</f>
        <v>3</v>
      </c>
      <c r="G77" s="493" t="str">
        <f>IFERROR(__xludf.DUMMYFUNCTION("""COMPUTED_VALUE"""),"Rp121,1JT")</f>
        <v>Rp121,1JT</v>
      </c>
      <c r="H77" s="466" t="str">
        <f>IFERROR(__xludf.DUMMYFUNCTION("""COMPUTED_VALUE"""),"Minyak Oles Benjolan")</f>
        <v>Minyak Oles Benjolan</v>
      </c>
      <c r="I77" s="260" t="str">
        <f>IFERROR(__xludf.DUMMYFUNCTION("""COMPUTED_VALUE"""),"Sampai")</f>
        <v>Sampai</v>
      </c>
      <c r="J77" s="494" t="str">
        <f>IFERROR(__xludf.DUMMYFUNCTION("""COMPUTED_VALUE""")," Concept 1")</f>
        <v> Concept 1</v>
      </c>
      <c r="K77" s="278" t="str">
        <f>IFERROR(__xludf.DUMMYFUNCTION("""COMPUTED_VALUE"""),"https://vt.tiktok.com/ZSH6VqCmw/")</f>
        <v>https://vt.tiktok.com/ZSH6VqCmw/</v>
      </c>
      <c r="L77" s="495" t="str">
        <f>IFERROR(__xludf.DUMMYFUNCTION("""COMPUTED_VALUE"""),"Concept 5")</f>
        <v>Concept 5</v>
      </c>
      <c r="M77" s="278" t="str">
        <f>IFERROR(__xludf.DUMMYFUNCTION("""COMPUTED_VALUE""")," https://vt.tiktok.com/ZSHGMoqFw/")</f>
        <v> https://vt.tiktok.com/ZSHGMoqFw/</v>
      </c>
      <c r="N77" s="495" t="str">
        <f>IFERROR(__xludf.DUMMYFUNCTION("""COMPUTED_VALUE"""),"Concept 3")</f>
        <v>Concept 3</v>
      </c>
      <c r="O77" s="278" t="str">
        <f>IFERROR(__xludf.DUMMYFUNCTION("""COMPUTED_VALUE"""),"https://vt.tiktok.com/ZS9RjQDMg/")</f>
        <v>https://vt.tiktok.com/ZS9RjQDMg/</v>
      </c>
      <c r="P77" s="495"/>
      <c r="Q77" s="262"/>
      <c r="R77" s="499">
        <f>IFERROR(__xludf.DUMMYFUNCTION("""COMPUTED_VALUE"""),328707.0)</f>
        <v>328707</v>
      </c>
      <c r="S77" s="499"/>
      <c r="T77" s="499"/>
      <c r="U77" s="499"/>
    </row>
    <row r="78">
      <c r="A78" s="255" t="str">
        <f>IFERROR(__xludf.DUMMYFUNCTION("""COMPUTED_VALUE"""),"MICRO")</f>
        <v>MICRO</v>
      </c>
      <c r="B78" s="268" t="str">
        <f>IFERROR(__xludf.DUMMYFUNCTION("""COMPUTED_VALUE"""),"arul_baster")</f>
        <v>arul_baster</v>
      </c>
      <c r="C78" s="281" t="str">
        <f>IFERROR(__xludf.DUMMYFUNCTION("""COMPUTED_VALUE"""),"https://www.tiktok.com/@arul_baster")</f>
        <v>https://www.tiktok.com/@arul_baster</v>
      </c>
      <c r="D78" s="502">
        <f>IFERROR(__xludf.DUMMYFUNCTION("""COMPUTED_VALUE"""),8.5921624448E10)</f>
        <v>85921624448</v>
      </c>
      <c r="E78" s="503">
        <f>IFERROR(__xludf.DUMMYFUNCTION("""COMPUTED_VALUE"""),0.0)</f>
        <v>0</v>
      </c>
      <c r="F78" s="502">
        <f>IFERROR(__xludf.DUMMYFUNCTION("""COMPUTED_VALUE"""),3.0)</f>
        <v>3</v>
      </c>
      <c r="G78" s="493" t="str">
        <f>IFERROR(__xludf.DUMMYFUNCTION("""COMPUTED_VALUE"""),"Rp4.8JT")</f>
        <v>Rp4.8JT</v>
      </c>
      <c r="H78" s="466" t="str">
        <f>IFERROR(__xludf.DUMMYFUNCTION("""COMPUTED_VALUE"""),"Minyak Oles Benjolan")</f>
        <v>Minyak Oles Benjolan</v>
      </c>
      <c r="I78" s="260" t="str">
        <f>IFERROR(__xludf.DUMMYFUNCTION("""COMPUTED_VALUE"""),"Sampai")</f>
        <v>Sampai</v>
      </c>
      <c r="J78" s="494" t="str">
        <f>IFERROR(__xludf.DUMMYFUNCTION("""COMPUTED_VALUE""")," Concept 1")</f>
        <v> Concept 1</v>
      </c>
      <c r="K78" s="278" t="str">
        <f>IFERROR(__xludf.DUMMYFUNCTION("""COMPUTED_VALUE"""),"https://vt.tiktok.com/ZSur6gbPJ/")</f>
        <v>https://vt.tiktok.com/ZSur6gbPJ/</v>
      </c>
      <c r="L78" s="495" t="str">
        <f>IFERROR(__xludf.DUMMYFUNCTION("""COMPUTED_VALUE"""),"Concept 2")</f>
        <v>Concept 2</v>
      </c>
      <c r="M78" s="262" t="str">
        <f>IFERROR(__xludf.DUMMYFUNCTION("""COMPUTED_VALUE"""),"https://www.tiktok.com/@arul_baster/video/7616494498008370453?_r=1&amp;u_code=em5ldfdci12ji3&amp;region=ID&amp;mid=6692683186809359108&amp;preview_pb=0&amp;sharer_language=id&amp;_d=edc6f8jm0a8750&amp;ec_shared_reflux_dynamic_params=%7B%22placeholder_material_id%22%3A%22761649449800"&amp;"8370453%22%2C%22placeholder_origin_cover%22%3A%22https%253A%252F%252Fp16-sign-sg.tiktokcdn.com%252Ftos-alisg-p-0037%252Fo8OQ4QOLAABoDfLNjLePnTGCj1Z6YIImXf3HBz~tplv-tiktokx-origin.webp%253Fdr%253D14572%2526refresh_token%253Dd797a940%2526x-expires%253D18048"&amp;"88800%2526x-signature%253DHqx9S0GbDWFAdafELJpBEQun3Xg%25253D%2526t%253D4d5b0474%2526ps%253D13740610%2526shp%253Dd05b14bd%2526shcp%253D34ff8df6%2526idc%253Dmy2%2526s%253DPUBLISH%22%2C%22placeholder_product_id%22%3A%221729917357927597223%22%2C%22placeholder"&amp;"_video_id%22%3A%227616494498008370453%22%7D&amp;ec_shared_reflux_scene=shop_tab_feed&amp;share_item_id=7616494498008370453&amp;source=h5_t&amp;timestamp=1773353487&amp;user_id=7544289445944755218&amp;sec_user_id=MS4wLjABAAAAQZlof-FntsYwmMYaz5Fo0VjF8pHNu8XIXkQQeMxHIr-H8HFPalQTqKd"&amp;"ZjkjAXrLs&amp;item_author_type=1&amp;social_share_type=0&amp;utm_source=whatsapp&amp;utm_campaign=client_share&amp;utm_medium=android&amp;share_iid=7606828557180978964&amp;share_link_id=4452f56d-ff4c-4bb5-8a2f-fb99904b3bf3&amp;share_app_id=1180&amp;ugbiz_name=MAIN&amp;ug_btm=b8727%2Cb2878&amp;link_"&amp;"reflow_popup_iteration_sharer=%7B%22click_empty_to_play%22%3A1%2C%22dynamic_cover%22%3A1%2C%22follow_to_play_duration%22%3A-1.0%2C%22profile_clickable%22%3A1%7D&amp;enable_checksum=1")</f>
        <v>https://www.tiktok.com/@arul_baster/video/7616494498008370453?_r=1&amp;u_code=em5ldfdci12ji3&amp;region=ID&amp;mid=6692683186809359108&amp;preview_pb=0&amp;sharer_language=id&amp;_d=edc6f8jm0a8750&amp;ec_shared_reflux_dynamic_params=%7B%22placeholder_material_id%22%3A%227616494498008370453%22%2C%22placeholder_origin_cover%22%3A%22https%253A%252F%252Fp16-sign-sg.tiktokcdn.com%252Ftos-alisg-p-0037%252Fo8OQ4QOLAABoDfLNjLePnTGCj1Z6YIImXf3HBz~tplv-tiktokx-origin.webp%253Fdr%253D14572%2526refresh_token%253Dd797a940%2526x-expires%253D1804888800%2526x-signature%253DHqx9S0GbDWFAdafELJpBEQun3Xg%25253D%2526t%253D4d5b0474%2526ps%253D13740610%2526shp%253Dd05b14bd%2526shcp%253D34ff8df6%2526idc%253Dmy2%2526s%253DPUBLISH%22%2C%22placeholder_product_id%22%3A%221729917357927597223%22%2C%22placeholder_video_id%22%3A%227616494498008370453%22%7D&amp;ec_shared_reflux_scene=shop_tab_feed&amp;share_item_id=7616494498008370453&amp;source=h5_t&amp;timestamp=1773353487&amp;user_id=7544289445944755218&amp;sec_user_id=MS4wLjABAAAAQZlof-FntsYwmMYaz5Fo0VjF8pHNu8XIXkQQeMxHIr-H8HFPalQTqKdZjkjAXrLs&amp;item_author_type=1&amp;social_share_type=0&amp;utm_source=whatsapp&amp;utm_campaign=client_share&amp;utm_medium=android&amp;share_iid=7606828557180978964&amp;share_link_id=4452f56d-ff4c-4bb5-8a2f-fb99904b3bf3&amp;share_app_id=1180&amp;ugbiz_name=MAIN&amp;ug_btm=b8727%2Cb2878&amp;link_reflow_popup_iteration_sharer=%7B%22click_empty_to_play%22%3A1%2C%22dynamic_cover%22%3A1%2C%22follow_to_play_duration%22%3A-1.0%2C%22profile_clickable%22%3A1%7D&amp;enable_checksum=1</v>
      </c>
      <c r="N78" s="495" t="str">
        <f>IFERROR(__xludf.DUMMYFUNCTION("""COMPUTED_VALUE"""),"Concept 3")</f>
        <v>Concept 3</v>
      </c>
      <c r="O78" s="278" t="str">
        <f>IFERROR(__xludf.DUMMYFUNCTION("""COMPUTED_VALUE"""),"https://vt.tiktok.com/ZSuuTyfhv/")</f>
        <v>https://vt.tiktok.com/ZSuuTyfhv/</v>
      </c>
      <c r="P78" s="495"/>
      <c r="Q78" s="262"/>
      <c r="R78" s="504">
        <f>IFERROR(__xludf.DUMMYFUNCTION("""COMPUTED_VALUE"""),78199.0)</f>
        <v>78199</v>
      </c>
      <c r="S78" s="504"/>
      <c r="T78" s="504"/>
      <c r="U78" s="504"/>
    </row>
    <row r="79">
      <c r="A79" s="255" t="str">
        <f>IFERROR(__xludf.DUMMYFUNCTION("""COMPUTED_VALUE"""),"NANO")</f>
        <v>NANO</v>
      </c>
      <c r="B79" s="268" t="str">
        <f>IFERROR(__xludf.DUMMYFUNCTION("""COMPUTED_VALUE"""),"nande_nande011")</f>
        <v>nande_nande011</v>
      </c>
      <c r="C79" s="281" t="str">
        <f>IFERROR(__xludf.DUMMYFUNCTION("""COMPUTED_VALUE"""),"https://www.tiktok.com/@nande_nande011")</f>
        <v>https://www.tiktok.com/@nande_nande011</v>
      </c>
      <c r="D79" s="502">
        <f>IFERROR(__xludf.DUMMYFUNCTION("""COMPUTED_VALUE"""),8.9653194739E10)</f>
        <v>89653194739</v>
      </c>
      <c r="E79" s="503">
        <f>IFERROR(__xludf.DUMMYFUNCTION("""COMPUTED_VALUE"""),0.0)</f>
        <v>0</v>
      </c>
      <c r="F79" s="502">
        <f>IFERROR(__xludf.DUMMYFUNCTION("""COMPUTED_VALUE"""),3.0)</f>
        <v>3</v>
      </c>
      <c r="G79" s="493" t="str">
        <f>IFERROR(__xludf.DUMMYFUNCTION("""COMPUTED_VALUE"""),"Rp1JT+")</f>
        <v>Rp1JT+</v>
      </c>
      <c r="H79" s="466" t="str">
        <f>IFERROR(__xludf.DUMMYFUNCTION("""COMPUTED_VALUE"""),"Minyak Oles Benjolan")</f>
        <v>Minyak Oles Benjolan</v>
      </c>
      <c r="I79" s="260" t="str">
        <f>IFERROR(__xludf.DUMMYFUNCTION("""COMPUTED_VALUE"""),"Sampai")</f>
        <v>Sampai</v>
      </c>
      <c r="J79" s="494" t="str">
        <f>IFERROR(__xludf.DUMMYFUNCTION("""COMPUTED_VALUE"""),"Concept 3")</f>
        <v>Concept 3</v>
      </c>
      <c r="K79" s="278" t="str">
        <f>IFERROR(__xludf.DUMMYFUNCTION("""COMPUTED_VALUE"""),"https://vt.tiktok.com/ZSuUb93vu/")</f>
        <v>https://vt.tiktok.com/ZSuUb93vu/</v>
      </c>
      <c r="L79" s="495"/>
      <c r="M79" s="278" t="str">
        <f>IFERROR(__xludf.DUMMYFUNCTION("""COMPUTED_VALUE"""),"https://vt.tiktok.com/ZSufwTJWX/")</f>
        <v>https://vt.tiktok.com/ZSufwTJWX/</v>
      </c>
      <c r="N79" s="495"/>
      <c r="O79" s="278" t="str">
        <f>IFERROR(__xludf.DUMMYFUNCTION("""COMPUTED_VALUE"""),"https://vt.tiktok.com/ZSuV8EnBN/")</f>
        <v>https://vt.tiktok.com/ZSuV8EnBN/</v>
      </c>
      <c r="P79" s="495"/>
      <c r="Q79" s="262"/>
      <c r="R79" s="504">
        <f>IFERROR(__xludf.DUMMYFUNCTION("""COMPUTED_VALUE"""),176998.0)</f>
        <v>176998</v>
      </c>
      <c r="S79" s="504"/>
      <c r="T79" s="504"/>
      <c r="U79" s="504"/>
    </row>
    <row r="80">
      <c r="A80" s="255" t="str">
        <f>IFERROR(__xludf.DUMMYFUNCTION("""COMPUTED_VALUE"""),"MACRO")</f>
        <v>MACRO</v>
      </c>
      <c r="B80" s="268" t="str">
        <f>IFERROR(__xludf.DUMMYFUNCTION("""COMPUTED_VALUE"""),"nadiapurba53")</f>
        <v>nadiapurba53</v>
      </c>
      <c r="C80" s="281" t="str">
        <f>IFERROR(__xludf.DUMMYFUNCTION("""COMPUTED_VALUE"""),"https://www.tiktok.com/@nadiapurba53")</f>
        <v>https://www.tiktok.com/@nadiapurba53</v>
      </c>
      <c r="D80" s="502">
        <f>IFERROR(__xludf.DUMMYFUNCTION("""COMPUTED_VALUE"""),8.2272020072E10)</f>
        <v>82272020072</v>
      </c>
      <c r="E80" s="503">
        <f>IFERROR(__xludf.DUMMYFUNCTION("""COMPUTED_VALUE"""),2000000.0)</f>
        <v>2000000</v>
      </c>
      <c r="F80" s="502">
        <f>IFERROR(__xludf.DUMMYFUNCTION("""COMPUTED_VALUE"""),2.0)</f>
        <v>2</v>
      </c>
      <c r="G80" s="493" t="str">
        <f>IFERROR(__xludf.DUMMYFUNCTION("""COMPUTED_VALUE"""),"Rp1JT+")</f>
        <v>Rp1JT+</v>
      </c>
      <c r="H80" s="466" t="str">
        <f>IFERROR(__xludf.DUMMYFUNCTION("""COMPUTED_VALUE"""),"Minyak Oles Benjolan")</f>
        <v>Minyak Oles Benjolan</v>
      </c>
      <c r="I80" s="260" t="str">
        <f>IFERROR(__xludf.DUMMYFUNCTION("""COMPUTED_VALUE"""),"Sampai")</f>
        <v>Sampai</v>
      </c>
      <c r="J80" s="494" t="str">
        <f>IFERROR(__xludf.DUMMYFUNCTION("""COMPUTED_VALUE""")," Concept 1")</f>
        <v> Concept 1</v>
      </c>
      <c r="K80" s="278" t="str">
        <f>IFERROR(__xludf.DUMMYFUNCTION("""COMPUTED_VALUE"""),"https://vt.tiktok.com/ZSHNvjpnU/")</f>
        <v>https://vt.tiktok.com/ZSHNvjpnU/</v>
      </c>
      <c r="L80" s="495" t="str">
        <f>IFERROR(__xludf.DUMMYFUNCTION("""COMPUTED_VALUE"""),"Concept 5")</f>
        <v>Concept 5</v>
      </c>
      <c r="M80" s="278" t="str">
        <f>IFERROR(__xludf.DUMMYFUNCTION("""COMPUTED_VALUE"""),"https://vt.tiktok.com/ZSHtCxtrY/")</f>
        <v>https://vt.tiktok.com/ZSHtCxtrY/</v>
      </c>
      <c r="N80" s="495"/>
      <c r="O80" s="262"/>
      <c r="P80" s="495"/>
      <c r="Q80" s="262"/>
      <c r="R80" s="504">
        <f>IFERROR(__xludf.DUMMYFUNCTION("""COMPUTED_VALUE"""),1.106799E7)</f>
        <v>11067990</v>
      </c>
      <c r="S80" s="504"/>
      <c r="T80" s="504"/>
      <c r="U80" s="504"/>
    </row>
    <row r="81">
      <c r="A81" s="255" t="str">
        <f>IFERROR(__xludf.DUMMYFUNCTION("""COMPUTED_VALUE"""),"NANO")</f>
        <v>NANO</v>
      </c>
      <c r="B81" s="268" t="str">
        <f>IFERROR(__xludf.DUMMYFUNCTION("""COMPUTED_VALUE"""),"mygastore")</f>
        <v>mygastore</v>
      </c>
      <c r="C81" s="281" t="str">
        <f>IFERROR(__xludf.DUMMYFUNCTION("""COMPUTED_VALUE"""),"https://www.tiktok.com/@mygastore")</f>
        <v>https://www.tiktok.com/@mygastore</v>
      </c>
      <c r="D81" s="502">
        <f>IFERROR(__xludf.DUMMYFUNCTION("""COMPUTED_VALUE"""),8.5747089635E10)</f>
        <v>85747089635</v>
      </c>
      <c r="E81" s="503">
        <f>IFERROR(__xludf.DUMMYFUNCTION("""COMPUTED_VALUE"""),0.0)</f>
        <v>0</v>
      </c>
      <c r="F81" s="502">
        <f>IFERROR(__xludf.DUMMYFUNCTION("""COMPUTED_VALUE"""),3.0)</f>
        <v>3</v>
      </c>
      <c r="G81" s="493" t="str">
        <f>IFERROR(__xludf.DUMMYFUNCTION("""COMPUTED_VALUE"""),"Rp16.8JT")</f>
        <v>Rp16.8JT</v>
      </c>
      <c r="H81" s="466" t="str">
        <f>IFERROR(__xludf.DUMMYFUNCTION("""COMPUTED_VALUE"""),"Minyak Oles Benjolan")</f>
        <v>Minyak Oles Benjolan</v>
      </c>
      <c r="I81" s="260" t="str">
        <f>IFERROR(__xludf.DUMMYFUNCTION("""COMPUTED_VALUE"""),"Sampai")</f>
        <v>Sampai</v>
      </c>
      <c r="J81" s="494" t="str">
        <f>IFERROR(__xludf.DUMMYFUNCTION("""COMPUTED_VALUE"""),"Concept 3")</f>
        <v>Concept 3</v>
      </c>
      <c r="K81" s="278" t="str">
        <f>IFERROR(__xludf.DUMMYFUNCTION("""COMPUTED_VALUE"""),"https://vt.tiktok.com/ZSuqxd39D/")</f>
        <v>https://vt.tiktok.com/ZSuqxd39D/</v>
      </c>
      <c r="L81" s="495" t="str">
        <f>IFERROR(__xludf.DUMMYFUNCTION("""COMPUTED_VALUE""")," Concept 1")</f>
        <v> Concept 1</v>
      </c>
      <c r="M81" s="278" t="str">
        <f>IFERROR(__xludf.DUMMYFUNCTION("""COMPUTED_VALUE"""),"https://vt.tiktok.com/ZSHNnUGpQ/")</f>
        <v>https://vt.tiktok.com/ZSHNnUGpQ/</v>
      </c>
      <c r="N81" s="495" t="str">
        <f>IFERROR(__xludf.DUMMYFUNCTION("""COMPUTED_VALUE"""),"Concept 5")</f>
        <v>Concept 5</v>
      </c>
      <c r="O81" s="278" t="str">
        <f>IFERROR(__xludf.DUMMYFUNCTION("""COMPUTED_VALUE"""),"https://vt.tiktok.com/ZSHBFwW6G/")</f>
        <v>https://vt.tiktok.com/ZSHBFwW6G/</v>
      </c>
      <c r="P81" s="495"/>
      <c r="Q81" s="278" t="str">
        <f>IFERROR(__xludf.DUMMYFUNCTION("""COMPUTED_VALUE"""),"https://vt.tiktok.com/ZSHm1rSWc/")</f>
        <v>https://vt.tiktok.com/ZSHm1rSWc/</v>
      </c>
      <c r="R81" s="504">
        <f>IFERROR(__xludf.DUMMYFUNCTION("""COMPUTED_VALUE"""),143382.0)</f>
        <v>143382</v>
      </c>
      <c r="S81" s="504"/>
      <c r="T81" s="504"/>
      <c r="U81" s="504"/>
    </row>
    <row r="82">
      <c r="A82" s="255" t="str">
        <f>IFERROR(__xludf.DUMMYFUNCTION("""COMPUTED_VALUE"""),"MICRO")</f>
        <v>MICRO</v>
      </c>
      <c r="B82" s="268" t="str">
        <f>IFERROR(__xludf.DUMMYFUNCTION("""COMPUTED_VALUE"""),"omaliherbal")</f>
        <v>omaliherbal</v>
      </c>
      <c r="C82" s="281" t="str">
        <f>IFERROR(__xludf.DUMMYFUNCTION("""COMPUTED_VALUE"""),"https://www.tiktok.com/@omaliherbal")</f>
        <v>https://www.tiktok.com/@omaliherbal</v>
      </c>
      <c r="D82" s="502">
        <f>IFERROR(__xludf.DUMMYFUNCTION("""COMPUTED_VALUE"""),8.225874891E10)</f>
        <v>82258748910</v>
      </c>
      <c r="E82" s="503">
        <f>IFERROR(__xludf.DUMMYFUNCTION("""COMPUTED_VALUE"""),0.0)</f>
        <v>0</v>
      </c>
      <c r="F82" s="502">
        <f>IFERROR(__xludf.DUMMYFUNCTION("""COMPUTED_VALUE"""),1.0)</f>
        <v>1</v>
      </c>
      <c r="G82" s="493" t="str">
        <f>IFERROR(__xludf.DUMMYFUNCTION("""COMPUTED_VALUE"""),"Rp880.1JT")</f>
        <v>Rp880.1JT</v>
      </c>
      <c r="H82" s="466" t="str">
        <f>IFERROR(__xludf.DUMMYFUNCTION("""COMPUTED_VALUE"""),"Minyak Oles Benjolan")</f>
        <v>Minyak Oles Benjolan</v>
      </c>
      <c r="I82" s="260" t="str">
        <f>IFERROR(__xludf.DUMMYFUNCTION("""COMPUTED_VALUE"""),"Sampai")</f>
        <v>Sampai</v>
      </c>
      <c r="J82" s="494" t="str">
        <f>IFERROR(__xludf.DUMMYFUNCTION("""COMPUTED_VALUE""")," Concept 1")</f>
        <v> Concept 1</v>
      </c>
      <c r="K82" s="278" t="str">
        <f>IFERROR(__xludf.DUMMYFUNCTION("""COMPUTED_VALUE"""),"https://vt.tiktok.com/ZSuTxc2dn/")</f>
        <v>https://vt.tiktok.com/ZSuTxc2dn/</v>
      </c>
      <c r="L82" s="495"/>
      <c r="M82" s="278" t="str">
        <f>IFERROR(__xludf.DUMMYFUNCTION("""COMPUTED_VALUE"""),"https://vt.tiktok.com/ZSHmFFe5C/")</f>
        <v>https://vt.tiktok.com/ZSHmFFe5C/</v>
      </c>
      <c r="N82" s="495"/>
      <c r="O82" s="262"/>
      <c r="P82" s="495"/>
      <c r="Q82" s="262"/>
      <c r="R82" s="504"/>
      <c r="S82" s="504"/>
      <c r="T82" s="504"/>
      <c r="U82" s="504"/>
    </row>
    <row r="83">
      <c r="A83" s="255" t="str">
        <f>IFERROR(__xludf.DUMMYFUNCTION("""COMPUTED_VALUE"""),"NANO")</f>
        <v>NANO</v>
      </c>
      <c r="B83" s="268" t="str">
        <f>IFERROR(__xludf.DUMMYFUNCTION("""COMPUTED_VALUE"""),"3agrazy")</f>
        <v>3agrazy</v>
      </c>
      <c r="C83" s="281" t="str">
        <f>IFERROR(__xludf.DUMMYFUNCTION("""COMPUTED_VALUE"""),"https://www.tiktok.com/@3agrazy")</f>
        <v>https://www.tiktok.com/@3agrazy</v>
      </c>
      <c r="D83" s="502">
        <f>IFERROR(__xludf.DUMMYFUNCTION("""COMPUTED_VALUE"""),8.1218644743E10)</f>
        <v>81218644743</v>
      </c>
      <c r="E83" s="503">
        <f>IFERROR(__xludf.DUMMYFUNCTION("""COMPUTED_VALUE"""),0.0)</f>
        <v>0</v>
      </c>
      <c r="F83" s="502">
        <f>IFERROR(__xludf.DUMMYFUNCTION("""COMPUTED_VALUE"""),3.0)</f>
        <v>3</v>
      </c>
      <c r="G83" s="493" t="str">
        <f>IFERROR(__xludf.DUMMYFUNCTION("""COMPUTED_VALUE"""),"Rp23.9JT")</f>
        <v>Rp23.9JT</v>
      </c>
      <c r="H83" s="466" t="str">
        <f>IFERROR(__xludf.DUMMYFUNCTION("""COMPUTED_VALUE"""),"Minyak Oles Benjolan")</f>
        <v>Minyak Oles Benjolan</v>
      </c>
      <c r="I83" s="260" t="str">
        <f>IFERROR(__xludf.DUMMYFUNCTION("""COMPUTED_VALUE"""),"Sampai")</f>
        <v>Sampai</v>
      </c>
      <c r="J83" s="494" t="str">
        <f>IFERROR(__xludf.DUMMYFUNCTION("""COMPUTED_VALUE"""),"Concept 2")</f>
        <v>Concept 2</v>
      </c>
      <c r="K83" s="278" t="str">
        <f>IFERROR(__xludf.DUMMYFUNCTION("""COMPUTED_VALUE"""),"https://vt.tiktok.com/ZSu3PXXo6/")</f>
        <v>https://vt.tiktok.com/ZSu3PXXo6/</v>
      </c>
      <c r="L83" s="495" t="str">
        <f>IFERROR(__xludf.DUMMYFUNCTION("""COMPUTED_VALUE"""),"Concept 3")</f>
        <v>Concept 3</v>
      </c>
      <c r="M83" s="278" t="str">
        <f>IFERROR(__xludf.DUMMYFUNCTION("""COMPUTED_VALUE"""),"https://vt.tiktok.com/ZSHSu9r5E/")</f>
        <v>https://vt.tiktok.com/ZSHSu9r5E/</v>
      </c>
      <c r="N83" s="495" t="str">
        <f>IFERROR(__xludf.DUMMYFUNCTION("""COMPUTED_VALUE"""),"Concept 5")</f>
        <v>Concept 5</v>
      </c>
      <c r="O83" s="278" t="str">
        <f>IFERROR(__xludf.DUMMYFUNCTION("""COMPUTED_VALUE"""),"https://vt.tiktok.com/ZSHGWSoWy/")</f>
        <v>https://vt.tiktok.com/ZSHGWSoWy/</v>
      </c>
      <c r="P83" s="495"/>
      <c r="Q83" s="262"/>
      <c r="R83" s="504">
        <f>IFERROR(__xludf.DUMMYFUNCTION("""COMPUTED_VALUE"""),94999.0)</f>
        <v>94999</v>
      </c>
      <c r="S83" s="504"/>
      <c r="T83" s="504"/>
      <c r="U83" s="504"/>
    </row>
    <row r="84">
      <c r="A84" s="255" t="str">
        <f>IFERROR(__xludf.DUMMYFUNCTION("""COMPUTED_VALUE"""),"NANO")</f>
        <v>NANO</v>
      </c>
      <c r="B84" s="268" t="str">
        <f>IFERROR(__xludf.DUMMYFUNCTION("""COMPUTED_VALUE"""),"_bulan05")</f>
        <v>_bulan05</v>
      </c>
      <c r="C84" s="281" t="str">
        <f>IFERROR(__xludf.DUMMYFUNCTION("""COMPUTED_VALUE"""),"https://www.tiktok.com/@_bulan05")</f>
        <v>https://www.tiktok.com/@_bulan05</v>
      </c>
      <c r="D84" s="502">
        <f>IFERROR(__xludf.DUMMYFUNCTION("""COMPUTED_VALUE"""),8.5716836896E10)</f>
        <v>85716836896</v>
      </c>
      <c r="E84" s="503">
        <f>IFERROR(__xludf.DUMMYFUNCTION("""COMPUTED_VALUE"""),0.0)</f>
        <v>0</v>
      </c>
      <c r="F84" s="502">
        <f>IFERROR(__xludf.DUMMYFUNCTION("""COMPUTED_VALUE"""),2.0)</f>
        <v>2</v>
      </c>
      <c r="G84" s="493" t="str">
        <f>IFERROR(__xludf.DUMMYFUNCTION("""COMPUTED_VALUE"""),"Rp5.2JT")</f>
        <v>Rp5.2JT</v>
      </c>
      <c r="H84" s="466" t="str">
        <f>IFERROR(__xludf.DUMMYFUNCTION("""COMPUTED_VALUE"""),"Minyak Oles Benjolan")</f>
        <v>Minyak Oles Benjolan</v>
      </c>
      <c r="I84" s="260" t="str">
        <f>IFERROR(__xludf.DUMMYFUNCTION("""COMPUTED_VALUE"""),"Sampai")</f>
        <v>Sampai</v>
      </c>
      <c r="J84" s="494" t="str">
        <f>IFERROR(__xludf.DUMMYFUNCTION("""COMPUTED_VALUE""")," Concept 1")</f>
        <v> Concept 1</v>
      </c>
      <c r="K84" s="278" t="str">
        <f>IFERROR(__xludf.DUMMYFUNCTION("""COMPUTED_VALUE"""),"https://vt.tiktok.com/ZSHAKb9qH/")</f>
        <v>https://vt.tiktok.com/ZSHAKb9qH/</v>
      </c>
      <c r="L84" s="495" t="str">
        <f>IFERROR(__xludf.DUMMYFUNCTION("""COMPUTED_VALUE"""),"Concept 5")</f>
        <v>Concept 5</v>
      </c>
      <c r="M84" s="278" t="str">
        <f>IFERROR(__xludf.DUMMYFUNCTION("""COMPUTED_VALUE"""),"https://vt.tiktok.com/ZSHaUpmhN/")</f>
        <v>https://vt.tiktok.com/ZSHaUpmhN/</v>
      </c>
      <c r="N84" s="495"/>
      <c r="O84" s="262"/>
      <c r="P84" s="495"/>
      <c r="Q84" s="262"/>
      <c r="R84" s="504"/>
      <c r="S84" s="504"/>
      <c r="T84" s="504"/>
      <c r="U84" s="504"/>
    </row>
    <row r="85">
      <c r="A85" s="255" t="str">
        <f>IFERROR(__xludf.DUMMYFUNCTION("""COMPUTED_VALUE"""),"MICRO")</f>
        <v>MICRO</v>
      </c>
      <c r="B85" s="268" t="str">
        <f>IFERROR(__xludf.DUMMYFUNCTION("""COMPUTED_VALUE"""),"zulfaqurin")</f>
        <v>zulfaqurin</v>
      </c>
      <c r="C85" s="281" t="str">
        <f>IFERROR(__xludf.DUMMYFUNCTION("""COMPUTED_VALUE"""),"https://www.tiktok.com/@zulfaqurin")</f>
        <v>https://www.tiktok.com/@zulfaqurin</v>
      </c>
      <c r="D85" s="502">
        <f>IFERROR(__xludf.DUMMYFUNCTION("""COMPUTED_VALUE"""),8.1252816709E10)</f>
        <v>81252816709</v>
      </c>
      <c r="E85" s="503">
        <f>IFERROR(__xludf.DUMMYFUNCTION("""COMPUTED_VALUE"""),0.0)</f>
        <v>0</v>
      </c>
      <c r="F85" s="502">
        <f>IFERROR(__xludf.DUMMYFUNCTION("""COMPUTED_VALUE"""),3.0)</f>
        <v>3</v>
      </c>
      <c r="G85" s="493" t="str">
        <f>IFERROR(__xludf.DUMMYFUNCTION("""COMPUTED_VALUE"""),"Rp1JT+")</f>
        <v>Rp1JT+</v>
      </c>
      <c r="H85" s="466" t="str">
        <f>IFERROR(__xludf.DUMMYFUNCTION("""COMPUTED_VALUE"""),"Minyak Oles Benjolan")</f>
        <v>Minyak Oles Benjolan</v>
      </c>
      <c r="I85" s="260" t="str">
        <f>IFERROR(__xludf.DUMMYFUNCTION("""COMPUTED_VALUE"""),"Sampai")</f>
        <v>Sampai</v>
      </c>
      <c r="J85" s="494" t="str">
        <f>IFERROR(__xludf.DUMMYFUNCTION("""COMPUTED_VALUE"""),"Concept 3")</f>
        <v>Concept 3</v>
      </c>
      <c r="K85" s="278" t="str">
        <f>IFERROR(__xludf.DUMMYFUNCTION("""COMPUTED_VALUE"""),"https://vt.tiktok.com/ZS9fAn3b8/")</f>
        <v>https://vt.tiktok.com/ZS9fAn3b8/</v>
      </c>
      <c r="L85" s="495" t="str">
        <f>IFERROR(__xludf.DUMMYFUNCTION("""COMPUTED_VALUE"""),"Concept 5")</f>
        <v>Concept 5</v>
      </c>
      <c r="M85" s="278" t="str">
        <f>IFERROR(__xludf.DUMMYFUNCTION("""COMPUTED_VALUE"""),"https://vt.tiktok.com/ZS9y5S5e5/")</f>
        <v>https://vt.tiktok.com/ZS9y5S5e5/</v>
      </c>
      <c r="N85" s="495"/>
      <c r="O85" s="262"/>
      <c r="P85" s="495"/>
      <c r="Q85" s="262"/>
      <c r="R85" s="504"/>
      <c r="S85" s="504"/>
      <c r="T85" s="504"/>
      <c r="U85" s="504"/>
    </row>
    <row r="86">
      <c r="A86" s="255" t="str">
        <f>IFERROR(__xludf.DUMMYFUNCTION("""COMPUTED_VALUE"""),"MICRO")</f>
        <v>MICRO</v>
      </c>
      <c r="B86" s="268" t="str">
        <f>IFERROR(__xludf.DUMMYFUNCTION("""COMPUTED_VALUE"""),"maiaannisa")</f>
        <v>maiaannisa</v>
      </c>
      <c r="C86" s="281" t="str">
        <f>IFERROR(__xludf.DUMMYFUNCTION("""COMPUTED_VALUE"""),"https://www.tiktok.com/@maiaannisa")</f>
        <v>https://www.tiktok.com/@maiaannisa</v>
      </c>
      <c r="D86" s="502"/>
      <c r="E86" s="503">
        <f>IFERROR(__xludf.DUMMYFUNCTION("""COMPUTED_VALUE"""),200000.0)</f>
        <v>200000</v>
      </c>
      <c r="F86" s="502">
        <f>IFERROR(__xludf.DUMMYFUNCTION("""COMPUTED_VALUE"""),1.0)</f>
        <v>1</v>
      </c>
      <c r="G86" s="493" t="str">
        <f>IFERROR(__xludf.DUMMYFUNCTION("""COMPUTED_VALUE"""),"Rp672,2jt")</f>
        <v>Rp672,2jt</v>
      </c>
      <c r="H86" s="466" t="str">
        <f>IFERROR(__xludf.DUMMYFUNCTION("""COMPUTED_VALUE"""),"Minyak Oles Benjolan")</f>
        <v>Minyak Oles Benjolan</v>
      </c>
      <c r="I86" s="260" t="str">
        <f>IFERROR(__xludf.DUMMYFUNCTION("""COMPUTED_VALUE"""),"Sampai")</f>
        <v>Sampai</v>
      </c>
      <c r="J86" s="494" t="str">
        <f>IFERROR(__xludf.DUMMYFUNCTION("""COMPUTED_VALUE"""),"Concept 2")</f>
        <v>Concept 2</v>
      </c>
      <c r="K86" s="262"/>
      <c r="L86" s="495"/>
      <c r="M86" s="278" t="str">
        <f>IFERROR(__xludf.DUMMYFUNCTION("""COMPUTED_VALUE"""),"https://vt.tiktok.com/ZSHyWAnEs/")</f>
        <v>https://vt.tiktok.com/ZSHyWAnEs/</v>
      </c>
      <c r="N86" s="495"/>
      <c r="O86" s="262"/>
      <c r="P86" s="495"/>
      <c r="Q86" s="262"/>
      <c r="R86" s="504">
        <f>IFERROR(__xludf.DUMMYFUNCTION("""COMPUTED_VALUE"""),94999.0)</f>
        <v>94999</v>
      </c>
      <c r="S86" s="504"/>
      <c r="T86" s="504"/>
      <c r="U86" s="504"/>
    </row>
    <row r="87">
      <c r="A87" s="255" t="str">
        <f>IFERROR(__xludf.DUMMYFUNCTION("""COMPUTED_VALUE"""),"MICRO")</f>
        <v>MICRO</v>
      </c>
      <c r="B87" s="268" t="str">
        <f>IFERROR(__xludf.DUMMYFUNCTION("""COMPUTED_VALUE"""),"aaaratted")</f>
        <v>aaaratted</v>
      </c>
      <c r="C87" s="281" t="str">
        <f>IFERROR(__xludf.DUMMYFUNCTION("""COMPUTED_VALUE"""),"https://www.tiktok.com/@aaaratted")</f>
        <v>https://www.tiktok.com/@aaaratted</v>
      </c>
      <c r="D87" s="502"/>
      <c r="E87" s="503">
        <f>IFERROR(__xludf.DUMMYFUNCTION("""COMPUTED_VALUE"""),0.0)</f>
        <v>0</v>
      </c>
      <c r="F87" s="502">
        <f>IFERROR(__xludf.DUMMYFUNCTION("""COMPUTED_VALUE"""),1.0)</f>
        <v>1</v>
      </c>
      <c r="G87" s="493" t="str">
        <f>IFERROR(__xludf.DUMMYFUNCTION("""COMPUTED_VALUE"""),"Rp114,7JT
")</f>
        <v>Rp114,7JT
</v>
      </c>
      <c r="H87" s="466" t="str">
        <f>IFERROR(__xludf.DUMMYFUNCTION("""COMPUTED_VALUE"""),"Minyak Oles Benjolan")</f>
        <v>Minyak Oles Benjolan</v>
      </c>
      <c r="I87" s="260" t="str">
        <f>IFERROR(__xludf.DUMMYFUNCTION("""COMPUTED_VALUE"""),"Sampai")</f>
        <v>Sampai</v>
      </c>
      <c r="J87" s="494" t="str">
        <f>IFERROR(__xludf.DUMMYFUNCTION("""COMPUTED_VALUE""")," Concept 1")</f>
        <v> Concept 1</v>
      </c>
      <c r="K87" s="278" t="str">
        <f>IFERROR(__xludf.DUMMYFUNCTION("""COMPUTED_VALUE"""),"https://vt.tiktok.com/ZSHPLay2Q/")</f>
        <v>https://vt.tiktok.com/ZSHPLay2Q/</v>
      </c>
      <c r="L87" s="495"/>
      <c r="M87" s="278" t="str">
        <f>IFERROR(__xludf.DUMMYFUNCTION("""COMPUTED_VALUE"""),"https://vt.tiktok.com/ZSHGSAkSH/")</f>
        <v>https://vt.tiktok.com/ZSHGSAkSH/</v>
      </c>
      <c r="N87" s="495"/>
      <c r="O87" s="262"/>
      <c r="P87" s="495"/>
      <c r="Q87" s="262"/>
      <c r="R87" s="504"/>
      <c r="S87" s="504"/>
      <c r="T87" s="504"/>
      <c r="U87" s="504"/>
    </row>
    <row r="88">
      <c r="A88" s="255" t="str">
        <f>IFERROR(__xludf.DUMMYFUNCTION("""COMPUTED_VALUE"""),"MACRO")</f>
        <v>MACRO</v>
      </c>
      <c r="B88" s="268" t="str">
        <f>IFERROR(__xludf.DUMMYFUNCTION("""COMPUTED_VALUE"""),"strtiktok")</f>
        <v>strtiktok</v>
      </c>
      <c r="C88" s="281" t="str">
        <f>IFERROR(__xludf.DUMMYFUNCTION("""COMPUTED_VALUE"""),"https://www.tiktok.com/@strtiktok")</f>
        <v>https://www.tiktok.com/@strtiktok</v>
      </c>
      <c r="D88" s="502">
        <f>IFERROR(__xludf.DUMMYFUNCTION("""COMPUTED_VALUE"""),8.9508390496E10)</f>
        <v>89508390496</v>
      </c>
      <c r="E88" s="503">
        <f>IFERROR(__xludf.DUMMYFUNCTION("""COMPUTED_VALUE"""),0.0)</f>
        <v>0</v>
      </c>
      <c r="F88" s="502">
        <f>IFERROR(__xludf.DUMMYFUNCTION("""COMPUTED_VALUE"""),3.0)</f>
        <v>3</v>
      </c>
      <c r="G88" s="493" t="str">
        <f>IFERROR(__xludf.DUMMYFUNCTION("""COMPUTED_VALUE"""),"Rp19,0JT")</f>
        <v>Rp19,0JT</v>
      </c>
      <c r="H88" s="466" t="str">
        <f>IFERROR(__xludf.DUMMYFUNCTION("""COMPUTED_VALUE"""),"Minyak Oles Benjolan")</f>
        <v>Minyak Oles Benjolan</v>
      </c>
      <c r="I88" s="260" t="str">
        <f>IFERROR(__xludf.DUMMYFUNCTION("""COMPUTED_VALUE"""),"Sampai")</f>
        <v>Sampai</v>
      </c>
      <c r="J88" s="494"/>
      <c r="K88" s="278" t="str">
        <f>IFERROR(__xludf.DUMMYFUNCTION("""COMPUTED_VALUE"""),"https://vt.tiktok.com/ZSux59PxS/")</f>
        <v>https://vt.tiktok.com/ZSux59PxS/</v>
      </c>
      <c r="L88" s="495" t="str">
        <f>IFERROR(__xludf.DUMMYFUNCTION("""COMPUTED_VALUE"""),"Concept 4")</f>
        <v>Concept 4</v>
      </c>
      <c r="M88" s="278" t="str">
        <f>IFERROR(__xludf.DUMMYFUNCTION("""COMPUTED_VALUE"""),"https://www.tiktok.com/@strtiktok/video/7621040264626408712?_r=1&amp;u_code=dg59gj41lgk99j&amp;region=&amp;mid=7481302750296951557&amp;preview_pb=0&amp;sharer_language=&amp;_d=0&amp;ec_shared_reflux_dynamic_params=%7B%22placeholder_material_id%22%3A%227621040264626408712%22%2C%22pla"&amp;"ceholder_origin_cover%22%3A%22https%253A%252F%252Fp16-sign-sg.tiktokcdn.com%252Ftos-alisg-p-0037%252FoQcHBTfDcQmmRkpEovfc2wi1GB5AwE9rFDIbQg~tplv-tiktokx-origin.jpeg%253Fdr%253D14572%2526refresh_token%253D452999c5%2526x-expires%253D1806976800%2526x-signatu"&amp;"re%253Dlq%25252FzvwiANJbNY0DJX1XjvRMfvJ0%25253D%2526t%253D4d5b0474%2526ps%253D13740610%2526shp%253Dd05b14bd%2526shcp%253D34ff8df6%2526idc%253Dmy2%2526s%253DTIKTOK_AFFILIATE_VIRAL_VIDEO%22%2C%22placeholder_product_id%22%3A%221729744224888456359%22%2C%22pla"&amp;"ceholder_video_id%22%3A%227621040264626408712%22%7D&amp;ec_shared_reflux_scene=shop_tab_feed&amp;share_item_id=7621040264626408712&amp;source=h5_t")</f>
        <v>https://www.tiktok.com/@strtiktok/video/7621040264626408712?_r=1&amp;u_code=dg59gj41lgk99j&amp;region=&amp;mid=7481302750296951557&amp;preview_pb=0&amp;sharer_language=&amp;_d=0&amp;ec_shared_reflux_dynamic_params=%7B%22placeholder_material_id%22%3A%227621040264626408712%22%2C%22placeholder_origin_cover%22%3A%22https%253A%252F%252Fp16-sign-sg.tiktokcdn.com%252Ftos-alisg-p-0037%252FoQcHBTfDcQmmRkpEovfc2wi1GB5AwE9rFDIbQg~tplv-tiktokx-origin.jpeg%253Fdr%253D14572%2526refresh_token%253D452999c5%2526x-expires%253D1806976800%2526x-signature%253Dlq%25252FzvwiANJbNY0DJX1XjvRMfvJ0%25253D%2526t%253D4d5b0474%2526ps%253D13740610%2526shp%253Dd05b14bd%2526shcp%253D34ff8df6%2526idc%253Dmy2%2526s%253DTIKTOK_AFFILIATE_VIRAL_VIDEO%22%2C%22placeholder_product_id%22%3A%221729744224888456359%22%2C%22placeholder_video_id%22%3A%227621040264626408712%22%7D&amp;ec_shared_reflux_scene=shop_tab_feed&amp;share_item_id=7621040264626408712&amp;source=h5_t</v>
      </c>
      <c r="N88" s="495"/>
      <c r="O88" s="262"/>
      <c r="P88" s="495"/>
      <c r="Q88" s="262"/>
      <c r="R88" s="504"/>
      <c r="S88" s="504"/>
      <c r="T88" s="504"/>
      <c r="U88" s="504"/>
    </row>
    <row r="89">
      <c r="A89" s="255" t="str">
        <f>IFERROR(__xludf.DUMMYFUNCTION("""COMPUTED_VALUE"""),"MACRO")</f>
        <v>MACRO</v>
      </c>
      <c r="B89" s="268" t="str">
        <f>IFERROR(__xludf.DUMMYFUNCTION("""COMPUTED_VALUE"""),"shatikah04")</f>
        <v>shatikah04</v>
      </c>
      <c r="C89" s="281" t="str">
        <f>IFERROR(__xludf.DUMMYFUNCTION("""COMPUTED_VALUE"""),"https://www.tiktok.com/@shatikah04")</f>
        <v>https://www.tiktok.com/@shatikah04</v>
      </c>
      <c r="D89" s="502">
        <f>IFERROR(__xludf.DUMMYFUNCTION("""COMPUTED_VALUE"""),8.5782892312E10)</f>
        <v>85782892312</v>
      </c>
      <c r="E89" s="503">
        <f>IFERROR(__xludf.DUMMYFUNCTION("""COMPUTED_VALUE"""),300000.0)</f>
        <v>300000</v>
      </c>
      <c r="F89" s="502">
        <f>IFERROR(__xludf.DUMMYFUNCTION("""COMPUTED_VALUE"""),1.0)</f>
        <v>1</v>
      </c>
      <c r="G89" s="493" t="str">
        <f>IFERROR(__xludf.DUMMYFUNCTION("""COMPUTED_VALUE"""),"Rp575,2JT")</f>
        <v>Rp575,2JT</v>
      </c>
      <c r="H89" s="466" t="str">
        <f>IFERROR(__xludf.DUMMYFUNCTION("""COMPUTED_VALUE"""),"Minyak Oles Benjolan")</f>
        <v>Minyak Oles Benjolan</v>
      </c>
      <c r="I89" s="260" t="str">
        <f>IFERROR(__xludf.DUMMYFUNCTION("""COMPUTED_VALUE"""),"Sampai")</f>
        <v>Sampai</v>
      </c>
      <c r="J89" s="494" t="str">
        <f>IFERROR(__xludf.DUMMYFUNCTION("""COMPUTED_VALUE"""),"Concept 3")</f>
        <v>Concept 3</v>
      </c>
      <c r="K89" s="278" t="str">
        <f>IFERROR(__xludf.DUMMYFUNCTION("""COMPUTED_VALUE"""),"https://vt.tiktok.com/ZSu3f51eV/")</f>
        <v>https://vt.tiktok.com/ZSu3f51eV/</v>
      </c>
      <c r="L89" s="495"/>
      <c r="M89" s="262"/>
      <c r="N89" s="495"/>
      <c r="O89" s="262"/>
      <c r="P89" s="495"/>
      <c r="Q89" s="262"/>
      <c r="R89" s="504"/>
      <c r="S89" s="504"/>
      <c r="T89" s="504"/>
      <c r="U89" s="504"/>
    </row>
    <row r="90">
      <c r="A90" s="255" t="str">
        <f>IFERROR(__xludf.DUMMYFUNCTION("""COMPUTED_VALUE"""),"MICRO")</f>
        <v>MICRO</v>
      </c>
      <c r="B90" s="268" t="str">
        <f>IFERROR(__xludf.DUMMYFUNCTION("""COMPUTED_VALUE"""),"infobidanku")</f>
        <v>infobidanku</v>
      </c>
      <c r="C90" s="281" t="str">
        <f>IFERROR(__xludf.DUMMYFUNCTION("""COMPUTED_VALUE"""),"https://www.tiktok.com/@infobidanku")</f>
        <v>https://www.tiktok.com/@infobidanku</v>
      </c>
      <c r="D90" s="502">
        <f>IFERROR(__xludf.DUMMYFUNCTION("""COMPUTED_VALUE"""),8.5384854824E10)</f>
        <v>85384854824</v>
      </c>
      <c r="E90" s="503">
        <f>IFERROR(__xludf.DUMMYFUNCTION("""COMPUTED_VALUE"""),0.0)</f>
        <v>0</v>
      </c>
      <c r="F90" s="502">
        <f>IFERROR(__xludf.DUMMYFUNCTION("""COMPUTED_VALUE"""),3.0)</f>
        <v>3</v>
      </c>
      <c r="G90" s="493" t="str">
        <f>IFERROR(__xludf.DUMMYFUNCTION("""COMPUTED_VALUE"""),"Rp904,6RB")</f>
        <v>Rp904,6RB</v>
      </c>
      <c r="H90" s="466" t="str">
        <f>IFERROR(__xludf.DUMMYFUNCTION("""COMPUTED_VALUE"""),"Minyak Oles Benjolan")</f>
        <v>Minyak Oles Benjolan</v>
      </c>
      <c r="I90" s="260" t="str">
        <f>IFERROR(__xludf.DUMMYFUNCTION("""COMPUTED_VALUE"""),"Sampai")</f>
        <v>Sampai</v>
      </c>
      <c r="J90" s="494" t="str">
        <f>IFERROR(__xludf.DUMMYFUNCTION("""COMPUTED_VALUE"""),"Concept 4")</f>
        <v>Concept 4</v>
      </c>
      <c r="K90" s="278" t="str">
        <f>IFERROR(__xludf.DUMMYFUNCTION("""COMPUTED_VALUE"""),"https://vt.tiktok.com/ZSH8PGrby/")</f>
        <v>https://vt.tiktok.com/ZSH8PGrby/</v>
      </c>
      <c r="L90" s="495" t="str">
        <f>IFERROR(__xludf.DUMMYFUNCTION("""COMPUTED_VALUE"""),"Concept 5")</f>
        <v>Concept 5</v>
      </c>
      <c r="M90" s="278" t="str">
        <f>IFERROR(__xludf.DUMMYFUNCTION("""COMPUTED_VALUE"""),"https://vt.tiktok.com/ZSHUuECS9/")</f>
        <v>https://vt.tiktok.com/ZSHUuECS9/</v>
      </c>
      <c r="N90" s="495" t="str">
        <f>IFERROR(__xludf.DUMMYFUNCTION("""COMPUTED_VALUE"""),"Concept 3")</f>
        <v>Concept 3</v>
      </c>
      <c r="O90" s="278" t="str">
        <f>IFERROR(__xludf.DUMMYFUNCTION("""COMPUTED_VALUE"""),"https://vt.tiktok.com/ZSHqpTum7/")</f>
        <v>https://vt.tiktok.com/ZSHqpTum7/</v>
      </c>
      <c r="P90" s="495"/>
      <c r="Q90" s="262"/>
      <c r="R90" s="504"/>
      <c r="S90" s="504"/>
      <c r="T90" s="504"/>
      <c r="U90" s="504"/>
    </row>
    <row r="91">
      <c r="A91" s="255" t="str">
        <f>IFERROR(__xludf.DUMMYFUNCTION("""COMPUTED_VALUE"""),"MICRO")</f>
        <v>MICRO</v>
      </c>
      <c r="B91" s="268" t="str">
        <f>IFERROR(__xludf.DUMMYFUNCTION("""COMPUTED_VALUE"""),"m_yustore")</f>
        <v>m_yustore</v>
      </c>
      <c r="C91" s="281" t="str">
        <f>IFERROR(__xludf.DUMMYFUNCTION("""COMPUTED_VALUE"""),"https://www.tiktok.com/@m_yustore")</f>
        <v>https://www.tiktok.com/@m_yustore</v>
      </c>
      <c r="D91" s="502">
        <f>IFERROR(__xludf.DUMMYFUNCTION("""COMPUTED_VALUE"""),8.2281815797E10)</f>
        <v>82281815797</v>
      </c>
      <c r="E91" s="503">
        <f>IFERROR(__xludf.DUMMYFUNCTION("""COMPUTED_VALUE"""),0.0)</f>
        <v>0</v>
      </c>
      <c r="F91" s="502">
        <f>IFERROR(__xludf.DUMMYFUNCTION("""COMPUTED_VALUE"""),3.0)</f>
        <v>3</v>
      </c>
      <c r="G91" s="493" t="str">
        <f>IFERROR(__xludf.DUMMYFUNCTION("""COMPUTED_VALUE"""),"Rp9JT")</f>
        <v>Rp9JT</v>
      </c>
      <c r="H91" s="466" t="str">
        <f>IFERROR(__xludf.DUMMYFUNCTION("""COMPUTED_VALUE"""),"Minyak Oles Benjolan")</f>
        <v>Minyak Oles Benjolan</v>
      </c>
      <c r="I91" s="260" t="str">
        <f>IFERROR(__xludf.DUMMYFUNCTION("""COMPUTED_VALUE"""),"Sampai")</f>
        <v>Sampai</v>
      </c>
      <c r="J91" s="494" t="str">
        <f>IFERROR(__xludf.DUMMYFUNCTION("""COMPUTED_VALUE""")," Concept 1")</f>
        <v> Concept 1</v>
      </c>
      <c r="K91" s="278" t="str">
        <f>IFERROR(__xludf.DUMMYFUNCTION("""COMPUTED_VALUE"""),"https://vt.tiktok.com/ZSHj6CLuT/")</f>
        <v>https://vt.tiktok.com/ZSHj6CLuT/</v>
      </c>
      <c r="L91" s="495" t="str">
        <f>IFERROR(__xludf.DUMMYFUNCTION("""COMPUTED_VALUE"""),"Concept 3")</f>
        <v>Concept 3</v>
      </c>
      <c r="M91" s="278" t="str">
        <f>IFERROR(__xludf.DUMMYFUNCTION("""COMPUTED_VALUE"""),"https://vt.tiktok.com/ZSH92HEn6/")</f>
        <v>https://vt.tiktok.com/ZSH92HEn6/</v>
      </c>
      <c r="N91" s="495"/>
      <c r="O91" s="278" t="str">
        <f>IFERROR(__xludf.DUMMYFUNCTION("""COMPUTED_VALUE"""),"https://vt.tiktok.com/ZSHpoxoCA/")</f>
        <v>https://vt.tiktok.com/ZSHpoxoCA/</v>
      </c>
      <c r="P91" s="495"/>
      <c r="Q91" s="262"/>
      <c r="R91" s="504">
        <f>IFERROR(__xludf.DUMMYFUNCTION("""COMPUTED_VALUE"""),176698.0)</f>
        <v>176698</v>
      </c>
      <c r="S91" s="504"/>
      <c r="T91" s="504"/>
      <c r="U91" s="504"/>
    </row>
    <row r="92">
      <c r="A92" s="255" t="str">
        <f>IFERROR(__xludf.DUMMYFUNCTION("""COMPUTED_VALUE"""),"MICRO")</f>
        <v>MICRO</v>
      </c>
      <c r="B92" s="268" t="str">
        <f>IFERROR(__xludf.DUMMYFUNCTION("""COMPUTED_VALUE"""),"kak_asma")</f>
        <v>kak_asma</v>
      </c>
      <c r="C92" s="281" t="str">
        <f>IFERROR(__xludf.DUMMYFUNCTION("""COMPUTED_VALUE"""),"https://www.tiktok.com/@kak_asma")</f>
        <v>https://www.tiktok.com/@kak_asma</v>
      </c>
      <c r="D92" s="502">
        <f>IFERROR(__xludf.DUMMYFUNCTION("""COMPUTED_VALUE"""),8.1262000901E10)</f>
        <v>81262000901</v>
      </c>
      <c r="E92" s="503">
        <f>IFERROR(__xludf.DUMMYFUNCTION("""COMPUTED_VALUE"""),0.0)</f>
        <v>0</v>
      </c>
      <c r="F92" s="502">
        <f>IFERROR(__xludf.DUMMYFUNCTION("""COMPUTED_VALUE"""),3.0)</f>
        <v>3</v>
      </c>
      <c r="G92" s="493" t="str">
        <f>IFERROR(__xludf.DUMMYFUNCTION("""COMPUTED_VALUE"""),"Rp154,1jt")</f>
        <v>Rp154,1jt</v>
      </c>
      <c r="H92" s="466" t="str">
        <f>IFERROR(__xludf.DUMMYFUNCTION("""COMPUTED_VALUE"""),"Minyak Oles Benjolan")</f>
        <v>Minyak Oles Benjolan</v>
      </c>
      <c r="I92" s="260" t="str">
        <f>IFERROR(__xludf.DUMMYFUNCTION("""COMPUTED_VALUE"""),"Sampai")</f>
        <v>Sampai</v>
      </c>
      <c r="J92" s="494" t="str">
        <f>IFERROR(__xludf.DUMMYFUNCTION("""COMPUTED_VALUE"""),"Concept 5")</f>
        <v>Concept 5</v>
      </c>
      <c r="K92" s="278" t="str">
        <f>IFERROR(__xludf.DUMMYFUNCTION("""COMPUTED_VALUE"""),"https://vt.tiktok.com/ZSHXqtXdk/")</f>
        <v>https://vt.tiktok.com/ZSHXqtXdk/</v>
      </c>
      <c r="L92" s="495" t="str">
        <f>IFERROR(__xludf.DUMMYFUNCTION("""COMPUTED_VALUE"""),"Concept 3")</f>
        <v>Concept 3</v>
      </c>
      <c r="M92" s="278" t="str">
        <f>IFERROR(__xludf.DUMMYFUNCTION("""COMPUTED_VALUE"""),"https://vt.tiktok.com/ZS9Y6harS/")</f>
        <v>https://vt.tiktok.com/ZS9Y6harS/</v>
      </c>
      <c r="N92" s="495"/>
      <c r="O92" s="278" t="str">
        <f>IFERROR(__xludf.DUMMYFUNCTION("""COMPUTED_VALUE"""),"https://vt.tiktok.com/ZSxSWv7vP/")</f>
        <v>https://vt.tiktok.com/ZSxSWv7vP/</v>
      </c>
      <c r="P92" s="495"/>
      <c r="Q92" s="262"/>
      <c r="R92" s="504"/>
      <c r="S92" s="504"/>
      <c r="T92" s="504"/>
      <c r="U92" s="504"/>
    </row>
    <row r="93">
      <c r="A93" s="255" t="str">
        <f>IFERROR(__xludf.DUMMYFUNCTION("""COMPUTED_VALUE"""),"NANO")</f>
        <v>NANO</v>
      </c>
      <c r="B93" s="268" t="str">
        <f>IFERROR(__xludf.DUMMYFUNCTION("""COMPUTED_VALUE"""),"claudya_tan")</f>
        <v>claudya_tan</v>
      </c>
      <c r="C93" s="281" t="str">
        <f>IFERROR(__xludf.DUMMYFUNCTION("""COMPUTED_VALUE"""),"https://www.tiktok.com/@claudya_tan")</f>
        <v>https://www.tiktok.com/@claudya_tan</v>
      </c>
      <c r="D93" s="502"/>
      <c r="E93" s="503">
        <f>IFERROR(__xludf.DUMMYFUNCTION("""COMPUTED_VALUE"""),0.0)</f>
        <v>0</v>
      </c>
      <c r="F93" s="502">
        <f>IFERROR(__xludf.DUMMYFUNCTION("""COMPUTED_VALUE"""),1.0)</f>
        <v>1</v>
      </c>
      <c r="G93" s="493" t="str">
        <f>IFERROR(__xludf.DUMMYFUNCTION("""COMPUTED_VALUE"""),"Rp22,5jt")</f>
        <v>Rp22,5jt</v>
      </c>
      <c r="H93" s="466" t="str">
        <f>IFERROR(__xludf.DUMMYFUNCTION("""COMPUTED_VALUE"""),"Minyak Oles Benjolan")</f>
        <v>Minyak Oles Benjolan</v>
      </c>
      <c r="I93" s="260" t="str">
        <f>IFERROR(__xludf.DUMMYFUNCTION("""COMPUTED_VALUE"""),"Kendala [FU!]")</f>
        <v>Kendala [FU!]</v>
      </c>
      <c r="J93" s="494"/>
      <c r="K93" s="262"/>
      <c r="L93" s="495"/>
      <c r="M93" s="262"/>
      <c r="N93" s="495"/>
      <c r="O93" s="262"/>
      <c r="P93" s="495"/>
      <c r="Q93" s="262"/>
      <c r="R93" s="504"/>
      <c r="S93" s="504"/>
      <c r="T93" s="504"/>
      <c r="U93" s="504"/>
    </row>
    <row r="94">
      <c r="A94" s="255" t="str">
        <f>IFERROR(__xludf.DUMMYFUNCTION("""COMPUTED_VALUE"""),"MICRO")</f>
        <v>MICRO</v>
      </c>
      <c r="B94" s="268" t="str">
        <f>IFERROR(__xludf.DUMMYFUNCTION("""COMPUTED_VALUE"""),"anitanursyifa")</f>
        <v>anitanursyifa</v>
      </c>
      <c r="C94" s="281" t="str">
        <f>IFERROR(__xludf.DUMMYFUNCTION("""COMPUTED_VALUE"""),"https://www.tiktok.com/@anitanursyifa")</f>
        <v>https://www.tiktok.com/@anitanursyifa</v>
      </c>
      <c r="D94" s="502"/>
      <c r="E94" s="503">
        <f>IFERROR(__xludf.DUMMYFUNCTION("""COMPUTED_VALUE"""),0.0)</f>
        <v>0</v>
      </c>
      <c r="F94" s="502">
        <f>IFERROR(__xludf.DUMMYFUNCTION("""COMPUTED_VALUE"""),1.0)</f>
        <v>1</v>
      </c>
      <c r="G94" s="493" t="str">
        <f>IFERROR(__xludf.DUMMYFUNCTION("""COMPUTED_VALUE"""),"Rp51,5rb")</f>
        <v>Rp51,5rb</v>
      </c>
      <c r="H94" s="466" t="str">
        <f>IFERROR(__xludf.DUMMYFUNCTION("""COMPUTED_VALUE"""),"Minyak Oles Benjolan")</f>
        <v>Minyak Oles Benjolan</v>
      </c>
      <c r="I94" s="260" t="str">
        <f>IFERROR(__xludf.DUMMYFUNCTION("""COMPUTED_VALUE"""),"Kendala [FU!]")</f>
        <v>Kendala [FU!]</v>
      </c>
      <c r="J94" s="494"/>
      <c r="K94" s="262"/>
      <c r="L94" s="495"/>
      <c r="M94" s="262"/>
      <c r="N94" s="495"/>
      <c r="O94" s="262"/>
      <c r="P94" s="495"/>
      <c r="Q94" s="262"/>
      <c r="R94" s="504"/>
      <c r="S94" s="504"/>
      <c r="T94" s="504"/>
      <c r="U94" s="504"/>
    </row>
    <row r="95">
      <c r="A95" s="255" t="str">
        <f>IFERROR(__xludf.DUMMYFUNCTION("""COMPUTED_VALUE"""),"NANO")</f>
        <v>NANO</v>
      </c>
      <c r="B95" s="268" t="str">
        <f>IFERROR(__xludf.DUMMYFUNCTION("""COMPUTED_VALUE"""),"mazherbal")</f>
        <v>mazherbal</v>
      </c>
      <c r="C95" s="281" t="str">
        <f>IFERROR(__xludf.DUMMYFUNCTION("""COMPUTED_VALUE"""),"https://www.tiktok.com/@mazherbal")</f>
        <v>https://www.tiktok.com/@mazherbal</v>
      </c>
      <c r="D95" s="502">
        <f>IFERROR(__xludf.DUMMYFUNCTION("""COMPUTED_VALUE"""),8.2337001456E10)</f>
        <v>82337001456</v>
      </c>
      <c r="E95" s="503">
        <f>IFERROR(__xludf.DUMMYFUNCTION("""COMPUTED_VALUE"""),0.0)</f>
        <v>0</v>
      </c>
      <c r="F95" s="502">
        <f>IFERROR(__xludf.DUMMYFUNCTION("""COMPUTED_VALUE"""),3.0)</f>
        <v>3</v>
      </c>
      <c r="G95" s="493" t="str">
        <f>IFERROR(__xludf.DUMMYFUNCTION("""COMPUTED_VALUE"""),"Rp1JT+")</f>
        <v>Rp1JT+</v>
      </c>
      <c r="H95" s="466" t="str">
        <f>IFERROR(__xludf.DUMMYFUNCTION("""COMPUTED_VALUE"""),"Minyak Oles Benjolan")</f>
        <v>Minyak Oles Benjolan</v>
      </c>
      <c r="I95" s="260" t="str">
        <f>IFERROR(__xludf.DUMMYFUNCTION("""COMPUTED_VALUE"""),"Sampai")</f>
        <v>Sampai</v>
      </c>
      <c r="J95" s="494" t="str">
        <f>IFERROR(__xludf.DUMMYFUNCTION("""COMPUTED_VALUE"""),"Concept 4")</f>
        <v>Concept 4</v>
      </c>
      <c r="K95" s="278" t="str">
        <f>IFERROR(__xludf.DUMMYFUNCTION("""COMPUTED_VALUE"""),"https://vt.tiktok.com/ZSuKYJcu6/")</f>
        <v>https://vt.tiktok.com/ZSuKYJcu6/</v>
      </c>
      <c r="L95" s="495" t="str">
        <f>IFERROR(__xludf.DUMMYFUNCTION("""COMPUTED_VALUE"""),"Concept 3")</f>
        <v>Concept 3</v>
      </c>
      <c r="M95" s="278" t="str">
        <f>IFERROR(__xludf.DUMMYFUNCTION("""COMPUTED_VALUE"""),"https://vt.tiktok.com/ZSHL6r7RG/")</f>
        <v>https://vt.tiktok.com/ZSHL6r7RG/</v>
      </c>
      <c r="N95" s="495" t="str">
        <f>IFERROR(__xludf.DUMMYFUNCTION("""COMPUTED_VALUE"""),"Concept 5")</f>
        <v>Concept 5</v>
      </c>
      <c r="O95" s="262"/>
      <c r="P95" s="495"/>
      <c r="Q95" s="262"/>
      <c r="R95" s="504">
        <f>IFERROR(__xludf.DUMMYFUNCTION("""COMPUTED_VALUE"""),261969.0)</f>
        <v>261969</v>
      </c>
      <c r="S95" s="504"/>
      <c r="T95" s="504"/>
      <c r="U95" s="504"/>
    </row>
    <row r="96">
      <c r="A96" s="255" t="str">
        <f>IFERROR(__xludf.DUMMYFUNCTION("""COMPUTED_VALUE"""),"MICRO")</f>
        <v>MICRO</v>
      </c>
      <c r="B96" s="268" t="str">
        <f>IFERROR(__xludf.DUMMYFUNCTION("""COMPUTED_VALUE"""),"wijayasehatapotek")</f>
        <v>wijayasehatapotek</v>
      </c>
      <c r="C96" s="281" t="str">
        <f>IFERROR(__xludf.DUMMYFUNCTION("""COMPUTED_VALUE"""),"https://www.tiktok.com/@wijayasehatapotek")</f>
        <v>https://www.tiktok.com/@wijayasehatapotek</v>
      </c>
      <c r="D96" s="502">
        <f>IFERROR(__xludf.DUMMYFUNCTION("""COMPUTED_VALUE"""),8.567700952E9)</f>
        <v>8567700952</v>
      </c>
      <c r="E96" s="503">
        <f>IFERROR(__xludf.DUMMYFUNCTION("""COMPUTED_VALUE"""),0.0)</f>
        <v>0</v>
      </c>
      <c r="F96" s="502">
        <f>IFERROR(__xludf.DUMMYFUNCTION("""COMPUTED_VALUE"""),3.0)</f>
        <v>3</v>
      </c>
      <c r="G96" s="493" t="str">
        <f>IFERROR(__xludf.DUMMYFUNCTION("""COMPUTED_VALUE"""),"Rp1JT+")</f>
        <v>Rp1JT+</v>
      </c>
      <c r="H96" s="466" t="str">
        <f>IFERROR(__xludf.DUMMYFUNCTION("""COMPUTED_VALUE"""),"Minyak Oles Benjolan")</f>
        <v>Minyak Oles Benjolan</v>
      </c>
      <c r="I96" s="260" t="str">
        <f>IFERROR(__xludf.DUMMYFUNCTION("""COMPUTED_VALUE"""),"Sampai")</f>
        <v>Sampai</v>
      </c>
      <c r="J96" s="494"/>
      <c r="K96" s="278" t="str">
        <f>IFERROR(__xludf.DUMMYFUNCTION("""COMPUTED_VALUE"""),"https://vt.tiktok.com/ZSHUX1jrM/")</f>
        <v>https://vt.tiktok.com/ZSHUX1jrM/</v>
      </c>
      <c r="L96" s="495"/>
      <c r="M96" s="278" t="str">
        <f>IFERROR(__xludf.DUMMYFUNCTION("""COMPUTED_VALUE"""),"https://vt.tiktok.com/ZSHUCCLxF/")</f>
        <v>https://vt.tiktok.com/ZSHUCCLxF/</v>
      </c>
      <c r="N96" s="495"/>
      <c r="O96" s="278" t="str">
        <f>IFERROR(__xludf.DUMMYFUNCTION("""COMPUTED_VALUE"""),"https://vt.tiktok.com/ZSHucYakG/")</f>
        <v>https://vt.tiktok.com/ZSHucYakG/</v>
      </c>
      <c r="P96" s="495"/>
      <c r="Q96" s="262"/>
      <c r="R96" s="504">
        <f>IFERROR(__xludf.DUMMYFUNCTION("""COMPUTED_VALUE"""),266797.0)</f>
        <v>266797</v>
      </c>
      <c r="S96" s="504"/>
      <c r="T96" s="504"/>
      <c r="U96" s="504"/>
    </row>
    <row r="97">
      <c r="A97" s="255" t="str">
        <f>IFERROR(__xludf.DUMMYFUNCTION("""COMPUTED_VALUE"""),"MICRO")</f>
        <v>MICRO</v>
      </c>
      <c r="B97" s="268" t="str">
        <f>IFERROR(__xludf.DUMMYFUNCTION("""COMPUTED_VALUE"""),"hanyainginjadiorangbaik ")</f>
        <v>hanyainginjadiorangbaik </v>
      </c>
      <c r="C97" s="281" t="str">
        <f>IFERROR(__xludf.DUMMYFUNCTION("""COMPUTED_VALUE"""),"https://www.tiktok.com/@hanyainginjadiorangbaik ")</f>
        <v>https://www.tiktok.com/@hanyainginjadiorangbaik </v>
      </c>
      <c r="D97" s="502">
        <f>IFERROR(__xludf.DUMMYFUNCTION("""COMPUTED_VALUE"""),8.1344111348E10)</f>
        <v>81344111348</v>
      </c>
      <c r="E97" s="503">
        <f>IFERROR(__xludf.DUMMYFUNCTION("""COMPUTED_VALUE"""),0.0)</f>
        <v>0</v>
      </c>
      <c r="F97" s="502">
        <f>IFERROR(__xludf.DUMMYFUNCTION("""COMPUTED_VALUE"""),3.0)</f>
        <v>3</v>
      </c>
      <c r="G97" s="493" t="str">
        <f>IFERROR(__xludf.DUMMYFUNCTION("""COMPUTED_VALUE"""),"Rp45jt")</f>
        <v>Rp45jt</v>
      </c>
      <c r="H97" s="466" t="str">
        <f>IFERROR(__xludf.DUMMYFUNCTION("""COMPUTED_VALUE"""),"Minyak Oles Benjolan")</f>
        <v>Minyak Oles Benjolan</v>
      </c>
      <c r="I97" s="260" t="str">
        <f>IFERROR(__xludf.DUMMYFUNCTION("""COMPUTED_VALUE"""),"Sampai")</f>
        <v>Sampai</v>
      </c>
      <c r="J97" s="494" t="str">
        <f>IFERROR(__xludf.DUMMYFUNCTION("""COMPUTED_VALUE"""),"Concept 2")</f>
        <v>Concept 2</v>
      </c>
      <c r="K97" s="278" t="str">
        <f>IFERROR(__xludf.DUMMYFUNCTION("""COMPUTED_VALUE"""),"https://vt.tiktok.com/ZSuTg7eL1/")</f>
        <v>https://vt.tiktok.com/ZSuTg7eL1/</v>
      </c>
      <c r="L97" s="495" t="str">
        <f>IFERROR(__xludf.DUMMYFUNCTION("""COMPUTED_VALUE""")," Concept 1")</f>
        <v> Concept 1</v>
      </c>
      <c r="M97" s="278" t="str">
        <f>IFERROR(__xludf.DUMMYFUNCTION("""COMPUTED_VALUE"""),"https://vt.tiktok.com/ZSHJroXMn/")</f>
        <v>https://vt.tiktok.com/ZSHJroXMn/</v>
      </c>
      <c r="N97" s="495" t="str">
        <f>IFERROR(__xludf.DUMMYFUNCTION("""COMPUTED_VALUE"""),"Concept 3")</f>
        <v>Concept 3</v>
      </c>
      <c r="O97" s="278" t="str">
        <f>IFERROR(__xludf.DUMMYFUNCTION("""COMPUTED_VALUE"""),"https://vt.tiktok.com/ZSH2UvHHd/")</f>
        <v>https://vt.tiktok.com/ZSH2UvHHd/</v>
      </c>
      <c r="P97" s="495"/>
      <c r="Q97" s="262"/>
      <c r="R97" s="504">
        <f>IFERROR(__xludf.DUMMYFUNCTION("""COMPUTED_VALUE"""),193000.0)</f>
        <v>193000</v>
      </c>
      <c r="S97" s="504"/>
      <c r="T97" s="504"/>
      <c r="U97" s="504"/>
    </row>
    <row r="98">
      <c r="A98" s="255" t="str">
        <f>IFERROR(__xludf.DUMMYFUNCTION("""COMPUTED_VALUE"""),"MICRO")</f>
        <v>MICRO</v>
      </c>
      <c r="B98" s="268" t="str">
        <f>IFERROR(__xludf.DUMMYFUNCTION("""COMPUTED_VALUE"""),"fitrah_ramdhani_furqon")</f>
        <v>fitrah_ramdhani_furqon</v>
      </c>
      <c r="C98" s="281" t="str">
        <f>IFERROR(__xludf.DUMMYFUNCTION("""COMPUTED_VALUE"""),"https://www.tiktok.com/@fitrah_ramdhani_furqon")</f>
        <v>https://www.tiktok.com/@fitrah_ramdhani_furqon</v>
      </c>
      <c r="D98" s="502">
        <f>IFERROR(__xludf.DUMMYFUNCTION("""COMPUTED_VALUE"""),8.9533715415E11)</f>
        <v>895337154150</v>
      </c>
      <c r="E98" s="503">
        <f>IFERROR(__xludf.DUMMYFUNCTION("""COMPUTED_VALUE"""),0.0)</f>
        <v>0</v>
      </c>
      <c r="F98" s="502">
        <f>IFERROR(__xludf.DUMMYFUNCTION("""COMPUTED_VALUE"""),3.0)</f>
        <v>3</v>
      </c>
      <c r="G98" s="493" t="str">
        <f>IFERROR(__xludf.DUMMYFUNCTION("""COMPUTED_VALUE"""),"Rp2,8JT")</f>
        <v>Rp2,8JT</v>
      </c>
      <c r="H98" s="466" t="str">
        <f>IFERROR(__xludf.DUMMYFUNCTION("""COMPUTED_VALUE"""),"Minyak Oles Benjolan")</f>
        <v>Minyak Oles Benjolan</v>
      </c>
      <c r="I98" s="260" t="str">
        <f>IFERROR(__xludf.DUMMYFUNCTION("""COMPUTED_VALUE"""),"Sampai")</f>
        <v>Sampai</v>
      </c>
      <c r="J98" s="494" t="str">
        <f>IFERROR(__xludf.DUMMYFUNCTION("""COMPUTED_VALUE""")," Concept 1")</f>
        <v> Concept 1</v>
      </c>
      <c r="K98" s="278" t="str">
        <f>IFERROR(__xludf.DUMMYFUNCTION("""COMPUTED_VALUE"""),"https://vt.tiktok.com/ZSH8YXkhH/")</f>
        <v>https://vt.tiktok.com/ZSH8YXkhH/</v>
      </c>
      <c r="L98" s="495" t="str">
        <f>IFERROR(__xludf.DUMMYFUNCTION("""COMPUTED_VALUE"""),"Concept 5")</f>
        <v>Concept 5</v>
      </c>
      <c r="M98" s="278" t="str">
        <f>IFERROR(__xludf.DUMMYFUNCTION("""COMPUTED_VALUE"""),"https://vt.tiktok.com/ZSHfESFu2/")</f>
        <v>https://vt.tiktok.com/ZSHfESFu2/</v>
      </c>
      <c r="N98" s="495"/>
      <c r="O98" s="278" t="str">
        <f>IFERROR(__xludf.DUMMYFUNCTION("""COMPUTED_VALUE"""),"https://vt.tiktok.com/ZSHfE5DmH/")</f>
        <v>https://vt.tiktok.com/ZSHfE5DmH/</v>
      </c>
      <c r="P98" s="495"/>
      <c r="Q98" s="278" t="str">
        <f>IFERROR(__xludf.DUMMYFUNCTION("""COMPUTED_VALUE"""),"https://vt.tiktok.com/ZSHfEpFoj/")</f>
        <v>https://vt.tiktok.com/ZSHfEpFoj/</v>
      </c>
      <c r="R98" s="504"/>
      <c r="S98" s="504"/>
      <c r="T98" s="504"/>
      <c r="U98" s="504"/>
    </row>
    <row r="99">
      <c r="A99" s="255" t="str">
        <f>IFERROR(__xludf.DUMMYFUNCTION("""COMPUTED_VALUE"""),"NANO")</f>
        <v>NANO</v>
      </c>
      <c r="B99" s="268" t="str">
        <f>IFERROR(__xludf.DUMMYFUNCTION("""COMPUTED_VALUE"""),"aizashop9590")</f>
        <v>aizashop9590</v>
      </c>
      <c r="C99" s="281" t="str">
        <f>IFERROR(__xludf.DUMMYFUNCTION("""COMPUTED_VALUE"""),"https://www.tiktok.com/@aizashop9590")</f>
        <v>https://www.tiktok.com/@aizashop9590</v>
      </c>
      <c r="D99" s="502"/>
      <c r="E99" s="503">
        <f>IFERROR(__xludf.DUMMYFUNCTION("""COMPUTED_VALUE"""),0.0)</f>
        <v>0</v>
      </c>
      <c r="F99" s="502">
        <f>IFERROR(__xludf.DUMMYFUNCTION("""COMPUTED_VALUE"""),3.0)</f>
        <v>3</v>
      </c>
      <c r="G99" s="493" t="str">
        <f>IFERROR(__xludf.DUMMYFUNCTION("""COMPUTED_VALUE"""),"Rp1,2jt")</f>
        <v>Rp1,2jt</v>
      </c>
      <c r="H99" s="466" t="str">
        <f>IFERROR(__xludf.DUMMYFUNCTION("""COMPUTED_VALUE"""),"Minyak Oles Benjolan")</f>
        <v>Minyak Oles Benjolan</v>
      </c>
      <c r="I99" s="260" t="str">
        <f>IFERROR(__xludf.DUMMYFUNCTION("""COMPUTED_VALUE"""),"Sampai")</f>
        <v>Sampai</v>
      </c>
      <c r="J99" s="494"/>
      <c r="K99" s="278" t="str">
        <f>IFERROR(__xludf.DUMMYFUNCTION("""COMPUTED_VALUE"""),"https://vt.tiktok.com/ZSH8NnAKj/")</f>
        <v>https://vt.tiktok.com/ZSH8NnAKj/</v>
      </c>
      <c r="L99" s="495" t="str">
        <f>IFERROR(__xludf.DUMMYFUNCTION("""COMPUTED_VALUE""")," Concept 1")</f>
        <v> Concept 1</v>
      </c>
      <c r="M99" s="278" t="str">
        <f>IFERROR(__xludf.DUMMYFUNCTION("""COMPUTED_VALUE"""),"https://vt.tiktok.com/ZSHFSEmF7/")</f>
        <v>https://vt.tiktok.com/ZSHFSEmF7/</v>
      </c>
      <c r="N99" s="495" t="str">
        <f>IFERROR(__xludf.DUMMYFUNCTION("""COMPUTED_VALUE"""),"Concept 3")</f>
        <v>Concept 3</v>
      </c>
      <c r="O99" s="278" t="str">
        <f>IFERROR(__xludf.DUMMYFUNCTION("""COMPUTED_VALUE"""),"https://vt.tiktok.com/ZSHYtLJF8/")</f>
        <v>https://vt.tiktok.com/ZSHYtLJF8/</v>
      </c>
      <c r="P99" s="495"/>
      <c r="Q99" s="278" t="str">
        <f>IFERROR(__xludf.DUMMYFUNCTION("""COMPUTED_VALUE"""),"https://vt.tiktok.com/ZSHUHHb73/")</f>
        <v>https://vt.tiktok.com/ZSHUHHb73/</v>
      </c>
      <c r="R99" s="504"/>
      <c r="S99" s="504"/>
      <c r="T99" s="504"/>
      <c r="U99" s="504"/>
    </row>
    <row r="100">
      <c r="A100" s="255" t="str">
        <f>IFERROR(__xludf.DUMMYFUNCTION("""COMPUTED_VALUE"""),"NANO")</f>
        <v>NANO</v>
      </c>
      <c r="B100" s="268" t="str">
        <f>IFERROR(__xludf.DUMMYFUNCTION("""COMPUTED_VALUE"""),"herbaladisentoso")</f>
        <v>herbaladisentoso</v>
      </c>
      <c r="C100" s="281" t="str">
        <f>IFERROR(__xludf.DUMMYFUNCTION("""COMPUTED_VALUE"""),"https://www.tiktok.com/@herbaladisentoso")</f>
        <v>https://www.tiktok.com/@herbaladisentoso</v>
      </c>
      <c r="D100" s="502">
        <f>IFERROR(__xludf.DUMMYFUNCTION("""COMPUTED_VALUE"""),8.892991982E9)</f>
        <v>8892991982</v>
      </c>
      <c r="E100" s="503">
        <f>IFERROR(__xludf.DUMMYFUNCTION("""COMPUTED_VALUE"""),0.0)</f>
        <v>0</v>
      </c>
      <c r="F100" s="502">
        <f>IFERROR(__xludf.DUMMYFUNCTION("""COMPUTED_VALUE"""),3.0)</f>
        <v>3</v>
      </c>
      <c r="G100" s="493" t="str">
        <f>IFERROR(__xludf.DUMMYFUNCTION("""COMPUTED_VALUE"""),"Rp1JT+")</f>
        <v>Rp1JT+</v>
      </c>
      <c r="H100" s="466" t="str">
        <f>IFERROR(__xludf.DUMMYFUNCTION("""COMPUTED_VALUE"""),"Minyak Oles Benjolan")</f>
        <v>Minyak Oles Benjolan</v>
      </c>
      <c r="I100" s="260" t="str">
        <f>IFERROR(__xludf.DUMMYFUNCTION("""COMPUTED_VALUE"""),"Sampai")</f>
        <v>Sampai</v>
      </c>
      <c r="J100" s="494" t="str">
        <f>IFERROR(__xludf.DUMMYFUNCTION("""COMPUTED_VALUE"""),"Concept 3")</f>
        <v>Concept 3</v>
      </c>
      <c r="K100" s="262"/>
      <c r="L100" s="495"/>
      <c r="M100" s="262"/>
      <c r="N100" s="495"/>
      <c r="O100" s="262"/>
      <c r="P100" s="495"/>
      <c r="Q100" s="262"/>
      <c r="R100" s="504"/>
      <c r="S100" s="504"/>
      <c r="T100" s="504"/>
      <c r="U100" s="504"/>
    </row>
    <row r="101">
      <c r="A101" s="255" t="str">
        <f>IFERROR(__xludf.DUMMYFUNCTION("""COMPUTED_VALUE"""),"MICRO")</f>
        <v>MICRO</v>
      </c>
      <c r="B101" s="268" t="str">
        <f>IFERROR(__xludf.DUMMYFUNCTION("""COMPUTED_VALUE"""),"gentongku")</f>
        <v>gentongku</v>
      </c>
      <c r="C101" s="281" t="str">
        <f>IFERROR(__xludf.DUMMYFUNCTION("""COMPUTED_VALUE"""),"https://www.tiktok.com/@gentongku")</f>
        <v>https://www.tiktok.com/@gentongku</v>
      </c>
      <c r="D101" s="502">
        <f>IFERROR(__xludf.DUMMYFUNCTION("""COMPUTED_VALUE"""),8.1804193988E10)</f>
        <v>81804193988</v>
      </c>
      <c r="E101" s="503">
        <f>IFERROR(__xludf.DUMMYFUNCTION("""COMPUTED_VALUE"""),100000.0)</f>
        <v>100000</v>
      </c>
      <c r="F101" s="502">
        <f>IFERROR(__xludf.DUMMYFUNCTION("""COMPUTED_VALUE"""),1.0)</f>
        <v>1</v>
      </c>
      <c r="G101" s="493" t="str">
        <f>IFERROR(__xludf.DUMMYFUNCTION("""COMPUTED_VALUE"""),"Rp35,5jt
")</f>
        <v>Rp35,5jt
</v>
      </c>
      <c r="H101" s="466" t="str">
        <f>IFERROR(__xludf.DUMMYFUNCTION("""COMPUTED_VALUE"""),"Minyak Oles Benjolan")</f>
        <v>Minyak Oles Benjolan</v>
      </c>
      <c r="I101" s="260"/>
      <c r="J101" s="494" t="str">
        <f>IFERROR(__xludf.DUMMYFUNCTION("""COMPUTED_VALUE"""),"Concept 2")</f>
        <v>Concept 2</v>
      </c>
      <c r="K101" s="262"/>
      <c r="L101" s="495"/>
      <c r="M101" s="262"/>
      <c r="N101" s="495"/>
      <c r="O101" s="262"/>
      <c r="P101" s="495"/>
      <c r="Q101" s="262"/>
      <c r="R101" s="504"/>
      <c r="S101" s="504"/>
      <c r="T101" s="504"/>
      <c r="U101" s="504"/>
    </row>
    <row r="102">
      <c r="A102" s="255" t="str">
        <f>IFERROR(__xludf.DUMMYFUNCTION("""COMPUTED_VALUE"""),"MICRO")</f>
        <v>MICRO</v>
      </c>
      <c r="B102" s="268" t="str">
        <f>IFERROR(__xludf.DUMMYFUNCTION("""COMPUTED_VALUE"""),"lisna_tanjung")</f>
        <v>lisna_tanjung</v>
      </c>
      <c r="C102" s="281" t="str">
        <f>IFERROR(__xludf.DUMMYFUNCTION("""COMPUTED_VALUE"""),"https://www.tiktok.com/@lisna_tanjung")</f>
        <v>https://www.tiktok.com/@lisna_tanjung</v>
      </c>
      <c r="D102" s="502">
        <f>IFERROR(__xludf.DUMMYFUNCTION("""COMPUTED_VALUE"""),8.2385033597E10)</f>
        <v>82385033597</v>
      </c>
      <c r="E102" s="503">
        <f>IFERROR(__xludf.DUMMYFUNCTION("""COMPUTED_VALUE"""),100000.0)</f>
        <v>100000</v>
      </c>
      <c r="F102" s="502">
        <f>IFERROR(__xludf.DUMMYFUNCTION("""COMPUTED_VALUE"""),1.0)</f>
        <v>1</v>
      </c>
      <c r="G102" s="493" t="str">
        <f>IFERROR(__xludf.DUMMYFUNCTION("""COMPUTED_VALUE"""),"Rp1JT+")</f>
        <v>Rp1JT+</v>
      </c>
      <c r="H102" s="466" t="str">
        <f>IFERROR(__xludf.DUMMYFUNCTION("""COMPUTED_VALUE"""),"Minyak Oles Benjolan")</f>
        <v>Minyak Oles Benjolan</v>
      </c>
      <c r="I102" s="260" t="str">
        <f>IFERROR(__xludf.DUMMYFUNCTION("""COMPUTED_VALUE"""),"Sampai")</f>
        <v>Sampai</v>
      </c>
      <c r="J102" s="494" t="str">
        <f>IFERROR(__xludf.DUMMYFUNCTION("""COMPUTED_VALUE"""),"Concept 5")</f>
        <v>Concept 5</v>
      </c>
      <c r="K102" s="278" t="str">
        <f>IFERROR(__xludf.DUMMYFUNCTION("""COMPUTED_VALUE"""),"https://vt.tiktok.com/ZSHP1T3jC/")</f>
        <v>https://vt.tiktok.com/ZSHP1T3jC/</v>
      </c>
      <c r="L102" s="495"/>
      <c r="M102" s="262"/>
      <c r="N102" s="495"/>
      <c r="O102" s="262"/>
      <c r="P102" s="495"/>
      <c r="Q102" s="262"/>
      <c r="R102" s="504"/>
      <c r="S102" s="504"/>
      <c r="T102" s="504"/>
      <c r="U102" s="504"/>
    </row>
    <row r="103">
      <c r="A103" s="255" t="str">
        <f>IFERROR(__xludf.DUMMYFUNCTION("""COMPUTED_VALUE"""),"MICRO")</f>
        <v>MICRO</v>
      </c>
      <c r="B103" s="268" t="str">
        <f>IFERROR(__xludf.DUMMYFUNCTION("""COMPUTED_VALUE"""),"purnomohadisusatyo")</f>
        <v>purnomohadisusatyo</v>
      </c>
      <c r="C103" s="281" t="str">
        <f>IFERROR(__xludf.DUMMYFUNCTION("""COMPUTED_VALUE"""),"https://www.tiktok.com/@purnomohadisusatyo")</f>
        <v>https://www.tiktok.com/@purnomohadisusatyo</v>
      </c>
      <c r="D103" s="502">
        <f>IFERROR(__xludf.DUMMYFUNCTION("""COMPUTED_VALUE"""),8.5179706381E10)</f>
        <v>85179706381</v>
      </c>
      <c r="E103" s="503">
        <f>IFERROR(__xludf.DUMMYFUNCTION("""COMPUTED_VALUE"""),0.0)</f>
        <v>0</v>
      </c>
      <c r="F103" s="502">
        <f>IFERROR(__xludf.DUMMYFUNCTION("""COMPUTED_VALUE"""),3.0)</f>
        <v>3</v>
      </c>
      <c r="G103" s="493" t="str">
        <f>IFERROR(__xludf.DUMMYFUNCTION("""COMPUTED_VALUE"""),"Rp8,6JT")</f>
        <v>Rp8,6JT</v>
      </c>
      <c r="H103" s="466" t="str">
        <f>IFERROR(__xludf.DUMMYFUNCTION("""COMPUTED_VALUE"""),"Minyak Oles Benjolan")</f>
        <v>Minyak Oles Benjolan</v>
      </c>
      <c r="I103" s="260" t="str">
        <f>IFERROR(__xludf.DUMMYFUNCTION("""COMPUTED_VALUE"""),"Sampai")</f>
        <v>Sampai</v>
      </c>
      <c r="J103" s="494" t="str">
        <f>IFERROR(__xludf.DUMMYFUNCTION("""COMPUTED_VALUE"""),"Concept 3")</f>
        <v>Concept 3</v>
      </c>
      <c r="K103" s="278" t="str">
        <f>IFERROR(__xludf.DUMMYFUNCTION("""COMPUTED_VALUE"""),"https://vt.tiktok.com/ZSHUVGCJy/")</f>
        <v>https://vt.tiktok.com/ZSHUVGCJy/</v>
      </c>
      <c r="L103" s="495" t="str">
        <f>IFERROR(__xludf.DUMMYFUNCTION("""COMPUTED_VALUE"""),"Concept 5")</f>
        <v>Concept 5</v>
      </c>
      <c r="M103" s="278" t="str">
        <f>IFERROR(__xludf.DUMMYFUNCTION("""COMPUTED_VALUE"""),"https://vt.tiktok.com/ZSHqGNc9Q/")</f>
        <v>https://vt.tiktok.com/ZSHqGNc9Q/</v>
      </c>
      <c r="N103" s="495" t="str">
        <f>IFERROR(__xludf.DUMMYFUNCTION("""COMPUTED_VALUE""")," Concept 1")</f>
        <v> Concept 1</v>
      </c>
      <c r="O103" s="278" t="str">
        <f>IFERROR(__xludf.DUMMYFUNCTION("""COMPUTED_VALUE"""),"https://vt.tiktok.com/ZSHWw2L8R/")</f>
        <v>https://vt.tiktok.com/ZSHWw2L8R/</v>
      </c>
      <c r="P103" s="495"/>
      <c r="Q103" s="262"/>
      <c r="R103" s="504">
        <f>IFERROR(__xludf.DUMMYFUNCTION("""COMPUTED_VALUE"""),94999.0)</f>
        <v>94999</v>
      </c>
      <c r="S103" s="504"/>
      <c r="T103" s="504"/>
      <c r="U103" s="504"/>
    </row>
    <row r="104">
      <c r="A104" s="255" t="str">
        <f>IFERROR(__xludf.DUMMYFUNCTION("""COMPUTED_VALUE"""),"NANO")</f>
        <v>NANO</v>
      </c>
      <c r="B104" s="268" t="str">
        <f>IFERROR(__xludf.DUMMYFUNCTION("""COMPUTED_VALUE"""),"ziesiemu")</f>
        <v>ziesiemu</v>
      </c>
      <c r="C104" s="281" t="str">
        <f>IFERROR(__xludf.DUMMYFUNCTION("""COMPUTED_VALUE"""),"https://www.tiktok.com/@ziesiemu")</f>
        <v>https://www.tiktok.com/@ziesiemu</v>
      </c>
      <c r="D104" s="502">
        <f>IFERROR(__xludf.DUMMYFUNCTION("""COMPUTED_VALUE"""),8.9533715415E11)</f>
        <v>895337154150</v>
      </c>
      <c r="E104" s="503">
        <f>IFERROR(__xludf.DUMMYFUNCTION("""COMPUTED_VALUE"""),0.0)</f>
        <v>0</v>
      </c>
      <c r="F104" s="502">
        <f>IFERROR(__xludf.DUMMYFUNCTION("""COMPUTED_VALUE"""),3.0)</f>
        <v>3</v>
      </c>
      <c r="G104" s="493" t="str">
        <f>IFERROR(__xludf.DUMMYFUNCTION("""COMPUTED_VALUE"""),"Rp27,6jt
")</f>
        <v>Rp27,6jt
</v>
      </c>
      <c r="H104" s="466" t="str">
        <f>IFERROR(__xludf.DUMMYFUNCTION("""COMPUTED_VALUE"""),"Minyak Oles Benjolan")</f>
        <v>Minyak Oles Benjolan</v>
      </c>
      <c r="I104" s="260"/>
      <c r="J104" s="494"/>
      <c r="K104" s="262"/>
      <c r="L104" s="495"/>
      <c r="M104" s="262"/>
      <c r="N104" s="495"/>
      <c r="O104" s="262"/>
      <c r="P104" s="495"/>
      <c r="Q104" s="262"/>
      <c r="R104" s="504"/>
      <c r="S104" s="504"/>
      <c r="T104" s="504"/>
      <c r="U104" s="504"/>
    </row>
    <row r="105">
      <c r="A105" s="255" t="str">
        <f>IFERROR(__xludf.DUMMYFUNCTION("""COMPUTED_VALUE"""),"NANO")</f>
        <v>NANO</v>
      </c>
      <c r="B105" s="268" t="str">
        <f>IFERROR(__xludf.DUMMYFUNCTION("""COMPUTED_VALUE"""),"yeoliannie")</f>
        <v>yeoliannie</v>
      </c>
      <c r="C105" s="281" t="str">
        <f>IFERROR(__xludf.DUMMYFUNCTION("""COMPUTED_VALUE"""),"https://www.tiktok.com/@yeoliannie")</f>
        <v>https://www.tiktok.com/@yeoliannie</v>
      </c>
      <c r="D105" s="502">
        <f>IFERROR(__xludf.DUMMYFUNCTION("""COMPUTED_VALUE"""),8.987356144E9)</f>
        <v>8987356144</v>
      </c>
      <c r="E105" s="503">
        <f>IFERROR(__xludf.DUMMYFUNCTION("""COMPUTED_VALUE"""),0.0)</f>
        <v>0</v>
      </c>
      <c r="F105" s="502">
        <f>IFERROR(__xludf.DUMMYFUNCTION("""COMPUTED_VALUE"""),3.0)</f>
        <v>3</v>
      </c>
      <c r="G105" s="493" t="str">
        <f>IFERROR(__xludf.DUMMYFUNCTION("""COMPUTED_VALUE"""),"Rp27,4jt")</f>
        <v>Rp27,4jt</v>
      </c>
      <c r="H105" s="466" t="str">
        <f>IFERROR(__xludf.DUMMYFUNCTION("""COMPUTED_VALUE"""),"Minyak Oles Benjolan")</f>
        <v>Minyak Oles Benjolan</v>
      </c>
      <c r="I105" s="260" t="str">
        <f>IFERROR(__xludf.DUMMYFUNCTION("""COMPUTED_VALUE"""),"Kendala [FU!]")</f>
        <v>Kendala [FU!]</v>
      </c>
      <c r="J105" s="494"/>
      <c r="K105" s="262"/>
      <c r="L105" s="495"/>
      <c r="M105" s="262"/>
      <c r="N105" s="495"/>
      <c r="O105" s="262"/>
      <c r="P105" s="495"/>
      <c r="Q105" s="262"/>
      <c r="R105" s="504"/>
      <c r="S105" s="504"/>
      <c r="T105" s="504"/>
      <c r="U105" s="504"/>
    </row>
    <row r="106">
      <c r="A106" s="255" t="str">
        <f>IFERROR(__xludf.DUMMYFUNCTION("""COMPUTED_VALUE"""),"MICRO")</f>
        <v>MICRO</v>
      </c>
      <c r="B106" s="268" t="str">
        <f>IFERROR(__xludf.DUMMYFUNCTION("""COMPUTED_VALUE"""),"yolaraslah")</f>
        <v>yolaraslah</v>
      </c>
      <c r="C106" s="281" t="str">
        <f>IFERROR(__xludf.DUMMYFUNCTION("""COMPUTED_VALUE"""),"https://www.tiktok.com/@yolaraslah")</f>
        <v>https://www.tiktok.com/@yolaraslah</v>
      </c>
      <c r="D106" s="502">
        <f>IFERROR(__xludf.DUMMYFUNCTION("""COMPUTED_VALUE"""),8.1235509898E10)</f>
        <v>81235509898</v>
      </c>
      <c r="E106" s="503">
        <f>IFERROR(__xludf.DUMMYFUNCTION("""COMPUTED_VALUE"""),0.0)</f>
        <v>0</v>
      </c>
      <c r="F106" s="502">
        <f>IFERROR(__xludf.DUMMYFUNCTION("""COMPUTED_VALUE"""),1.0)</f>
        <v>1</v>
      </c>
      <c r="G106" s="493" t="str">
        <f>IFERROR(__xludf.DUMMYFUNCTION("""COMPUTED_VALUE"""),"Rp1JT+")</f>
        <v>Rp1JT+</v>
      </c>
      <c r="H106" s="466" t="str">
        <f>IFERROR(__xludf.DUMMYFUNCTION("""COMPUTED_VALUE"""),"Minyak Oles Benjolan")</f>
        <v>Minyak Oles Benjolan</v>
      </c>
      <c r="I106" s="260" t="str">
        <f>IFERROR(__xludf.DUMMYFUNCTION("""COMPUTED_VALUE"""),"Sampai")</f>
        <v>Sampai</v>
      </c>
      <c r="J106" s="494" t="str">
        <f>IFERROR(__xludf.DUMMYFUNCTION("""COMPUTED_VALUE"""),"Concept 5")</f>
        <v>Concept 5</v>
      </c>
      <c r="K106" s="278" t="str">
        <f>IFERROR(__xludf.DUMMYFUNCTION("""COMPUTED_VALUE"""),"https://vt.tiktok.com/ZSHGBNnhM/")</f>
        <v>https://vt.tiktok.com/ZSHGBNnhM/</v>
      </c>
      <c r="L106" s="495"/>
      <c r="M106" s="262"/>
      <c r="N106" s="495"/>
      <c r="O106" s="262"/>
      <c r="P106" s="495"/>
      <c r="Q106" s="262"/>
      <c r="R106" s="504"/>
      <c r="S106" s="504"/>
      <c r="T106" s="504"/>
      <c r="U106" s="504"/>
    </row>
    <row r="107">
      <c r="A107" s="255" t="str">
        <f>IFERROR(__xludf.DUMMYFUNCTION("""COMPUTED_VALUE"""),"MICRO")</f>
        <v>MICRO</v>
      </c>
      <c r="B107" s="268" t="str">
        <f>IFERROR(__xludf.DUMMYFUNCTION("""COMPUTED_VALUE"""),"putrinavisyy")</f>
        <v>putrinavisyy</v>
      </c>
      <c r="C107" s="281" t="str">
        <f>IFERROR(__xludf.DUMMYFUNCTION("""COMPUTED_VALUE"""),"https://www.tiktok.com/@putrinavisyy")</f>
        <v>https://www.tiktok.com/@putrinavisyy</v>
      </c>
      <c r="D107" s="502">
        <f>IFERROR(__xludf.DUMMYFUNCTION("""COMPUTED_VALUE"""),8.5295429213E10)</f>
        <v>85295429213</v>
      </c>
      <c r="E107" s="503">
        <f>IFERROR(__xludf.DUMMYFUNCTION("""COMPUTED_VALUE"""),0.0)</f>
        <v>0</v>
      </c>
      <c r="F107" s="502">
        <f>IFERROR(__xludf.DUMMYFUNCTION("""COMPUTED_VALUE"""),3.0)</f>
        <v>3</v>
      </c>
      <c r="G107" s="493" t="str">
        <f>IFERROR(__xludf.DUMMYFUNCTION("""COMPUTED_VALUE"""),"Rp1JT+")</f>
        <v>Rp1JT+</v>
      </c>
      <c r="H107" s="466" t="str">
        <f>IFERROR(__xludf.DUMMYFUNCTION("""COMPUTED_VALUE"""),"Minyak Oles Benjolan")</f>
        <v>Minyak Oles Benjolan</v>
      </c>
      <c r="I107" s="260" t="str">
        <f>IFERROR(__xludf.DUMMYFUNCTION("""COMPUTED_VALUE"""),"Kendala [FU!]")</f>
        <v>Kendala [FU!]</v>
      </c>
      <c r="J107" s="494"/>
      <c r="K107" s="262"/>
      <c r="L107" s="495"/>
      <c r="M107" s="262"/>
      <c r="N107" s="495"/>
      <c r="O107" s="262"/>
      <c r="P107" s="495"/>
      <c r="Q107" s="262"/>
      <c r="R107" s="504"/>
      <c r="S107" s="504"/>
      <c r="T107" s="504"/>
      <c r="U107" s="504"/>
    </row>
    <row r="108">
      <c r="A108" s="255" t="str">
        <f>IFERROR(__xludf.DUMMYFUNCTION("""COMPUTED_VALUE"""),"NANO")</f>
        <v>NANO</v>
      </c>
      <c r="B108" s="268" t="str">
        <f>IFERROR(__xludf.DUMMYFUNCTION("""COMPUTED_VALUE"""),"dytafdya_")</f>
        <v>dytafdya_</v>
      </c>
      <c r="C108" s="281" t="str">
        <f>IFERROR(__xludf.DUMMYFUNCTION("""COMPUTED_VALUE"""),"https://www.tiktok.com/@dytafdya_")</f>
        <v>https://www.tiktok.com/@dytafdya_</v>
      </c>
      <c r="D108" s="502">
        <f>IFERROR(__xludf.DUMMYFUNCTION("""COMPUTED_VALUE"""),8.1289463554E10)</f>
        <v>81289463554</v>
      </c>
      <c r="E108" s="503">
        <f>IFERROR(__xludf.DUMMYFUNCTION("""COMPUTED_VALUE"""),0.0)</f>
        <v>0</v>
      </c>
      <c r="F108" s="502">
        <f>IFERROR(__xludf.DUMMYFUNCTION("""COMPUTED_VALUE"""),3.0)</f>
        <v>3</v>
      </c>
      <c r="G108" s="493" t="str">
        <f>IFERROR(__xludf.DUMMYFUNCTION("""COMPUTED_VALUE"""),"Rp4,5jt")</f>
        <v>Rp4,5jt</v>
      </c>
      <c r="H108" s="466" t="str">
        <f>IFERROR(__xludf.DUMMYFUNCTION("""COMPUTED_VALUE"""),"Minyak Oles Benjolan")</f>
        <v>Minyak Oles Benjolan</v>
      </c>
      <c r="I108" s="260" t="str">
        <f>IFERROR(__xludf.DUMMYFUNCTION("""COMPUTED_VALUE"""),"Sampai")</f>
        <v>Sampai</v>
      </c>
      <c r="J108" s="494" t="str">
        <f>IFERROR(__xludf.DUMMYFUNCTION("""COMPUTED_VALUE"""),"Concept 5")</f>
        <v>Concept 5</v>
      </c>
      <c r="K108" s="278" t="str">
        <f>IFERROR(__xludf.DUMMYFUNCTION("""COMPUTED_VALUE"""),"https://vt.tiktok.com/ZSH7LfbbB/")</f>
        <v>https://vt.tiktok.com/ZSH7LfbbB/</v>
      </c>
      <c r="L108" s="495" t="str">
        <f>IFERROR(__xludf.DUMMYFUNCTION("""COMPUTED_VALUE"""),"Concept 3")</f>
        <v>Concept 3</v>
      </c>
      <c r="M108" s="278" t="str">
        <f>IFERROR(__xludf.DUMMYFUNCTION("""COMPUTED_VALUE"""),"https://vt.tiktok.com/ZS9hpBwWK/")</f>
        <v>https://vt.tiktok.com/ZS9hpBwWK/</v>
      </c>
      <c r="N108" s="495"/>
      <c r="O108" s="278" t="str">
        <f>IFERROR(__xludf.DUMMYFUNCTION("""COMPUTED_VALUE"""),"https://vt.tiktok.com/ZS9f82Byj/")</f>
        <v>https://vt.tiktok.com/ZS9f82Byj/</v>
      </c>
      <c r="P108" s="495"/>
      <c r="Q108" s="262"/>
      <c r="R108" s="504"/>
      <c r="S108" s="504"/>
      <c r="T108" s="504"/>
      <c r="U108" s="504"/>
    </row>
    <row r="109">
      <c r="A109" s="255" t="str">
        <f>IFERROR(__xludf.DUMMYFUNCTION("""COMPUTED_VALUE"""),"NANO")</f>
        <v>NANO</v>
      </c>
      <c r="B109" s="268" t="str">
        <f>IFERROR(__xludf.DUMMYFUNCTION("""COMPUTED_VALUE"""),"siskaching27")</f>
        <v>siskaching27</v>
      </c>
      <c r="C109" s="281" t="str">
        <f>IFERROR(__xludf.DUMMYFUNCTION("""COMPUTED_VALUE"""),"https://www.tiktok.com/@siskaching27")</f>
        <v>https://www.tiktok.com/@siskaching27</v>
      </c>
      <c r="D109" s="502">
        <f>IFERROR(__xludf.DUMMYFUNCTION("""COMPUTED_VALUE"""),8.128915224E10)</f>
        <v>81289152240</v>
      </c>
      <c r="E109" s="503">
        <f>IFERROR(__xludf.DUMMYFUNCTION("""COMPUTED_VALUE"""),0.0)</f>
        <v>0</v>
      </c>
      <c r="F109" s="502">
        <f>IFERROR(__xludf.DUMMYFUNCTION("""COMPUTED_VALUE"""),3.0)</f>
        <v>3</v>
      </c>
      <c r="G109" s="493" t="str">
        <f>IFERROR(__xludf.DUMMYFUNCTION("""COMPUTED_VALUE"""),"Rp8,3jt")</f>
        <v>Rp8,3jt</v>
      </c>
      <c r="H109" s="466" t="str">
        <f>IFERROR(__xludf.DUMMYFUNCTION("""COMPUTED_VALUE"""),"Minyak Oles Benjolan")</f>
        <v>Minyak Oles Benjolan</v>
      </c>
      <c r="I109" s="260" t="str">
        <f>IFERROR(__xludf.DUMMYFUNCTION("""COMPUTED_VALUE"""),"Sampai")</f>
        <v>Sampai</v>
      </c>
      <c r="J109" s="494" t="str">
        <f>IFERROR(__xludf.DUMMYFUNCTION("""COMPUTED_VALUE"""),"Concept 5")</f>
        <v>Concept 5</v>
      </c>
      <c r="K109" s="278" t="str">
        <f>IFERROR(__xludf.DUMMYFUNCTION("""COMPUTED_VALUE"""),"https://vt.tiktok.com/ZS9J36abJ/")</f>
        <v>https://vt.tiktok.com/ZS9J36abJ/</v>
      </c>
      <c r="L109" s="495" t="str">
        <f>IFERROR(__xludf.DUMMYFUNCTION("""COMPUTED_VALUE"""),"Concept 3")</f>
        <v>Concept 3</v>
      </c>
      <c r="M109" s="278" t="str">
        <f>IFERROR(__xludf.DUMMYFUNCTION("""COMPUTED_VALUE"""),"https://vt.tiktok.com/ZS94GaPeU/")</f>
        <v>https://vt.tiktok.com/ZS94GaPeU/</v>
      </c>
      <c r="N109" s="495"/>
      <c r="O109" s="278" t="str">
        <f>IFERROR(__xludf.DUMMYFUNCTION("""COMPUTED_VALUE"""),"https://vt.tiktok.com/ZSx2d8dRY/")</f>
        <v>https://vt.tiktok.com/ZSx2d8dRY/</v>
      </c>
      <c r="P109" s="495"/>
      <c r="Q109" s="262"/>
      <c r="R109" s="504">
        <f>IFERROR(__xludf.DUMMYFUNCTION("""COMPUTED_VALUE"""),84836.0)</f>
        <v>84836</v>
      </c>
      <c r="S109" s="504"/>
      <c r="T109" s="504"/>
      <c r="U109" s="504"/>
    </row>
    <row r="110">
      <c r="A110" s="255" t="str">
        <f>IFERROR(__xludf.DUMMYFUNCTION("""COMPUTED_VALUE"""),"MACRO")</f>
        <v>MACRO</v>
      </c>
      <c r="B110" s="268" t="str">
        <f>IFERROR(__xludf.DUMMYFUNCTION("""COMPUTED_VALUE"""),"zainalaniaz")</f>
        <v>zainalaniaz</v>
      </c>
      <c r="C110" s="281" t="str">
        <f>IFERROR(__xludf.DUMMYFUNCTION("""COMPUTED_VALUE"""),"https://www.tiktok.com/@zainalaniaz")</f>
        <v>https://www.tiktok.com/@zainalaniaz</v>
      </c>
      <c r="D110" s="502">
        <f>IFERROR(__xludf.DUMMYFUNCTION("""COMPUTED_VALUE"""),8.1293879691E10)</f>
        <v>81293879691</v>
      </c>
      <c r="E110" s="503">
        <f>IFERROR(__xludf.DUMMYFUNCTION("""COMPUTED_VALUE"""),0.0)</f>
        <v>0</v>
      </c>
      <c r="F110" s="502">
        <f>IFERROR(__xludf.DUMMYFUNCTION("""COMPUTED_VALUE"""),3.0)</f>
        <v>3</v>
      </c>
      <c r="G110" s="493" t="str">
        <f>IFERROR(__xludf.DUMMYFUNCTION("""COMPUTED_VALUE"""),"Rp1JT+")</f>
        <v>Rp1JT+</v>
      </c>
      <c r="H110" s="466" t="str">
        <f>IFERROR(__xludf.DUMMYFUNCTION("""COMPUTED_VALUE"""),"Minyak Oles Benjolan")</f>
        <v>Minyak Oles Benjolan</v>
      </c>
      <c r="I110" s="260" t="str">
        <f>IFERROR(__xludf.DUMMYFUNCTION("""COMPUTED_VALUE"""),"Kendala [FU!]")</f>
        <v>Kendala [FU!]</v>
      </c>
      <c r="J110" s="494"/>
      <c r="K110" s="262"/>
      <c r="L110" s="495"/>
      <c r="M110" s="262"/>
      <c r="N110" s="495"/>
      <c r="O110" s="262"/>
      <c r="P110" s="495"/>
      <c r="Q110" s="262"/>
      <c r="R110" s="504"/>
      <c r="S110" s="504"/>
      <c r="T110" s="504"/>
      <c r="U110" s="504"/>
    </row>
    <row r="111">
      <c r="A111" s="255" t="str">
        <f>IFERROR(__xludf.DUMMYFUNCTION("""COMPUTED_VALUE"""),"MICRO")</f>
        <v>MICRO</v>
      </c>
      <c r="B111" s="268" t="str">
        <f>IFERROR(__xludf.DUMMYFUNCTION("""COMPUTED_VALUE"""),"ilaa.iueo")</f>
        <v>ilaa.iueo</v>
      </c>
      <c r="C111" s="281" t="str">
        <f>IFERROR(__xludf.DUMMYFUNCTION("""COMPUTED_VALUE"""),"https://www.tiktok.com/@ilaa.iueo")</f>
        <v>https://www.tiktok.com/@ilaa.iueo</v>
      </c>
      <c r="D111" s="502"/>
      <c r="E111" s="503">
        <f>IFERROR(__xludf.DUMMYFUNCTION("""COMPUTED_VALUE"""),0.0)</f>
        <v>0</v>
      </c>
      <c r="F111" s="502">
        <f>IFERROR(__xludf.DUMMYFUNCTION("""COMPUTED_VALUE"""),1.0)</f>
        <v>1</v>
      </c>
      <c r="G111" s="493" t="str">
        <f>IFERROR(__xludf.DUMMYFUNCTION("""COMPUTED_VALUE"""),"Rp1JT+")</f>
        <v>Rp1JT+</v>
      </c>
      <c r="H111" s="466" t="str">
        <f>IFERROR(__xludf.DUMMYFUNCTION("""COMPUTED_VALUE"""),"Minyak Oles Benjolan")</f>
        <v>Minyak Oles Benjolan</v>
      </c>
      <c r="I111" s="260" t="str">
        <f>IFERROR(__xludf.DUMMYFUNCTION("""COMPUTED_VALUE"""),"Kendala [FU!]")</f>
        <v>Kendala [FU!]</v>
      </c>
      <c r="J111" s="494"/>
      <c r="K111" s="262"/>
      <c r="L111" s="495"/>
      <c r="M111" s="262"/>
      <c r="N111" s="495"/>
      <c r="O111" s="262"/>
      <c r="P111" s="495"/>
      <c r="Q111" s="262"/>
      <c r="R111" s="504"/>
      <c r="S111" s="504"/>
      <c r="T111" s="504"/>
      <c r="U111" s="504"/>
    </row>
    <row r="112">
      <c r="A112" s="255" t="str">
        <f>IFERROR(__xludf.DUMMYFUNCTION("""COMPUTED_VALUE"""),"MICRO")</f>
        <v>MICRO</v>
      </c>
      <c r="B112" s="268" t="str">
        <f>IFERROR(__xludf.DUMMYFUNCTION("""COMPUTED_VALUE"""),"92herlina")</f>
        <v>92herlina</v>
      </c>
      <c r="C112" s="281" t="str">
        <f>IFERROR(__xludf.DUMMYFUNCTION("""COMPUTED_VALUE"""),"https://www.tiktok.com/@92herlina")</f>
        <v>https://www.tiktok.com/@92herlina</v>
      </c>
      <c r="D112" s="502">
        <f>IFERROR(__xludf.DUMMYFUNCTION("""COMPUTED_VALUE"""),8.2128879152E10)</f>
        <v>82128879152</v>
      </c>
      <c r="E112" s="503">
        <f>IFERROR(__xludf.DUMMYFUNCTION("""COMPUTED_VALUE"""),50000.0)</f>
        <v>50000</v>
      </c>
      <c r="F112" s="502">
        <f>IFERROR(__xludf.DUMMYFUNCTION("""COMPUTED_VALUE"""),1.0)</f>
        <v>1</v>
      </c>
      <c r="G112" s="493" t="str">
        <f>IFERROR(__xludf.DUMMYFUNCTION("""COMPUTED_VALUE"""),"Rp41,1jt")</f>
        <v>Rp41,1jt</v>
      </c>
      <c r="H112" s="466" t="str">
        <f>IFERROR(__xludf.DUMMYFUNCTION("""COMPUTED_VALUE"""),"Minyak Oles Benjolan")</f>
        <v>Minyak Oles Benjolan</v>
      </c>
      <c r="I112" s="260" t="str">
        <f>IFERROR(__xludf.DUMMYFUNCTION("""COMPUTED_VALUE"""),"Sampai")</f>
        <v>Sampai</v>
      </c>
      <c r="J112" s="494" t="str">
        <f>IFERROR(__xludf.DUMMYFUNCTION("""COMPUTED_VALUE"""),"Concept 5")</f>
        <v>Concept 5</v>
      </c>
      <c r="K112" s="278" t="str">
        <f>IFERROR(__xludf.DUMMYFUNCTION("""COMPUTED_VALUE"""),"https://vt.tiktok.com/ZSHbCgJmr/")</f>
        <v>https://vt.tiktok.com/ZSHbCgJmr/</v>
      </c>
      <c r="L112" s="495"/>
      <c r="M112" s="262"/>
      <c r="N112" s="495"/>
      <c r="O112" s="262"/>
      <c r="P112" s="495"/>
      <c r="Q112" s="262"/>
      <c r="R112" s="504"/>
      <c r="S112" s="504"/>
      <c r="T112" s="504"/>
      <c r="U112" s="504"/>
    </row>
    <row r="113">
      <c r="A113" s="255" t="str">
        <f>IFERROR(__xludf.DUMMYFUNCTION("""COMPUTED_VALUE"""),"NANO")</f>
        <v>NANO</v>
      </c>
      <c r="B113" s="268" t="str">
        <f>IFERROR(__xludf.DUMMYFUNCTION("""COMPUTED_VALUE"""),"bryanelzein00")</f>
        <v>bryanelzein00</v>
      </c>
      <c r="C113" s="281" t="str">
        <f>IFERROR(__xludf.DUMMYFUNCTION("""COMPUTED_VALUE"""),"https://www.tiktok.com/@bryanelzein00")</f>
        <v>https://www.tiktok.com/@bryanelzein00</v>
      </c>
      <c r="D113" s="502">
        <f>IFERROR(__xludf.DUMMYFUNCTION("""COMPUTED_VALUE"""),8.5167869177E10)</f>
        <v>85167869177</v>
      </c>
      <c r="E113" s="503">
        <f>IFERROR(__xludf.DUMMYFUNCTION("""COMPUTED_VALUE"""),0.0)</f>
        <v>0</v>
      </c>
      <c r="F113" s="502">
        <f>IFERROR(__xludf.DUMMYFUNCTION("""COMPUTED_VALUE"""),3.0)</f>
        <v>3</v>
      </c>
      <c r="G113" s="493" t="str">
        <f>IFERROR(__xludf.DUMMYFUNCTION("""COMPUTED_VALUE"""),"Rp52,3jt")</f>
        <v>Rp52,3jt</v>
      </c>
      <c r="H113" s="466" t="str">
        <f>IFERROR(__xludf.DUMMYFUNCTION("""COMPUTED_VALUE"""),"Minyak Oles Benjolan")</f>
        <v>Minyak Oles Benjolan</v>
      </c>
      <c r="I113" s="260" t="str">
        <f>IFERROR(__xludf.DUMMYFUNCTION("""COMPUTED_VALUE"""),"Sampai")</f>
        <v>Sampai</v>
      </c>
      <c r="J113" s="494" t="str">
        <f>IFERROR(__xludf.DUMMYFUNCTION("""COMPUTED_VALUE"""),"Concept 5")</f>
        <v>Concept 5</v>
      </c>
      <c r="K113" s="278" t="str">
        <f>IFERROR(__xludf.DUMMYFUNCTION("""COMPUTED_VALUE"""),"https://vt.tiktok.com/ZS9VL9HWa/")</f>
        <v>https://vt.tiktok.com/ZS9VL9HWa/</v>
      </c>
      <c r="L113" s="495"/>
      <c r="M113" s="262"/>
      <c r="N113" s="495"/>
      <c r="O113" s="262"/>
      <c r="P113" s="495"/>
      <c r="Q113" s="262"/>
      <c r="R113" s="504"/>
      <c r="S113" s="504"/>
      <c r="T113" s="504"/>
      <c r="U113" s="504"/>
    </row>
    <row r="114">
      <c r="A114" s="255" t="str">
        <f>IFERROR(__xludf.DUMMYFUNCTION("""COMPUTED_VALUE"""),"MACRO")</f>
        <v>MACRO</v>
      </c>
      <c r="B114" s="268" t="str">
        <f>IFERROR(__xludf.DUMMYFUNCTION("""COMPUTED_VALUE"""),"mami_sheva")</f>
        <v>mami_sheva</v>
      </c>
      <c r="C114" s="281" t="str">
        <f>IFERROR(__xludf.DUMMYFUNCTION("""COMPUTED_VALUE"""),"https://www.tiktok.com/@mami_sheva")</f>
        <v>https://www.tiktok.com/@mami_sheva</v>
      </c>
      <c r="D114" s="502">
        <f>IFERROR(__xludf.DUMMYFUNCTION("""COMPUTED_VALUE"""),8.5278680775E10)</f>
        <v>85278680775</v>
      </c>
      <c r="E114" s="503">
        <f>IFERROR(__xludf.DUMMYFUNCTION("""COMPUTED_VALUE"""),0.0)</f>
        <v>0</v>
      </c>
      <c r="F114" s="502">
        <f>IFERROR(__xludf.DUMMYFUNCTION("""COMPUTED_VALUE"""),3.0)</f>
        <v>3</v>
      </c>
      <c r="G114" s="493" t="str">
        <f>IFERROR(__xludf.DUMMYFUNCTION("""COMPUTED_VALUE"""),"Rp1JT+")</f>
        <v>Rp1JT+</v>
      </c>
      <c r="H114" s="466" t="str">
        <f>IFERROR(__xludf.DUMMYFUNCTION("""COMPUTED_VALUE"""),"Minyak Oles Benjolan")</f>
        <v>Minyak Oles Benjolan</v>
      </c>
      <c r="I114" s="260" t="str">
        <f>IFERROR(__xludf.DUMMYFUNCTION("""COMPUTED_VALUE"""),"Sampai")</f>
        <v>Sampai</v>
      </c>
      <c r="J114" s="494" t="str">
        <f>IFERROR(__xludf.DUMMYFUNCTION("""COMPUTED_VALUE"""),"Concept 5")</f>
        <v>Concept 5</v>
      </c>
      <c r="K114" s="278" t="str">
        <f>IFERROR(__xludf.DUMMYFUNCTION("""COMPUTED_VALUE"""),"https://vt.tiktok.com/ZSxjLUvMD/")</f>
        <v>https://vt.tiktok.com/ZSxjLUvMD/</v>
      </c>
      <c r="L114" s="495"/>
      <c r="M114" s="262"/>
      <c r="N114" s="495"/>
      <c r="O114" s="262"/>
      <c r="P114" s="495"/>
      <c r="Q114" s="262"/>
      <c r="R114" s="504">
        <f>IFERROR(__xludf.DUMMYFUNCTION("""COMPUTED_VALUE"""),94999.0)</f>
        <v>94999</v>
      </c>
      <c r="S114" s="504"/>
      <c r="T114" s="504"/>
      <c r="U114" s="504"/>
    </row>
    <row r="115">
      <c r="A115" s="255" t="str">
        <f>IFERROR(__xludf.DUMMYFUNCTION("""COMPUTED_VALUE"""),"MICRO")</f>
        <v>MICRO</v>
      </c>
      <c r="B115" s="268" t="str">
        <f>IFERROR(__xludf.DUMMYFUNCTION("""COMPUTED_VALUE"""),"pusatperabotanmurah84")</f>
        <v>pusatperabotanmurah84</v>
      </c>
      <c r="C115" s="281" t="str">
        <f>IFERROR(__xludf.DUMMYFUNCTION("""COMPUTED_VALUE"""),"https://www.tiktok.com/@pusatperabotanmurah84")</f>
        <v>https://www.tiktok.com/@pusatperabotanmurah84</v>
      </c>
      <c r="D115" s="502">
        <f>IFERROR(__xludf.DUMMYFUNCTION("""COMPUTED_VALUE"""),8.1327896283E10)</f>
        <v>81327896283</v>
      </c>
      <c r="E115" s="503">
        <f>IFERROR(__xludf.DUMMYFUNCTION("""COMPUTED_VALUE"""),0.0)</f>
        <v>0</v>
      </c>
      <c r="F115" s="502">
        <f>IFERROR(__xludf.DUMMYFUNCTION("""COMPUTED_VALUE"""),3.0)</f>
        <v>3</v>
      </c>
      <c r="G115" s="493" t="str">
        <f>IFERROR(__xludf.DUMMYFUNCTION("""COMPUTED_VALUE"""),"Rp102,7jt")</f>
        <v>Rp102,7jt</v>
      </c>
      <c r="H115" s="466" t="str">
        <f>IFERROR(__xludf.DUMMYFUNCTION("""COMPUTED_VALUE"""),"Minyak Oles Benjolan")</f>
        <v>Minyak Oles Benjolan</v>
      </c>
      <c r="I115" s="260" t="str">
        <f>IFERROR(__xludf.DUMMYFUNCTION("""COMPUTED_VALUE"""),"Sampai")</f>
        <v>Sampai</v>
      </c>
      <c r="J115" s="494" t="str">
        <f>IFERROR(__xludf.DUMMYFUNCTION("""COMPUTED_VALUE"""),"Concept 5")</f>
        <v>Concept 5</v>
      </c>
      <c r="K115" s="262" t="str">
        <f>IFERROR(__xludf.DUMMYFUNCTION("""COMPUTED_VALUE"""),"akun ke blok after qahira")</f>
        <v>akun ke blok after qahira</v>
      </c>
      <c r="L115" s="495"/>
      <c r="M115" s="262"/>
      <c r="N115" s="495"/>
      <c r="O115" s="262"/>
      <c r="P115" s="495"/>
      <c r="Q115" s="262"/>
      <c r="R115" s="504"/>
      <c r="S115" s="504"/>
      <c r="T115" s="504"/>
      <c r="U115" s="504"/>
    </row>
    <row r="116">
      <c r="A116" s="255" t="str">
        <f>IFERROR(__xludf.DUMMYFUNCTION("""COMPUTED_VALUE"""),"MICRO")</f>
        <v>MICRO</v>
      </c>
      <c r="B116" s="268" t="str">
        <f>IFERROR(__xludf.DUMMYFUNCTION("""COMPUTED_VALUE"""),"nam.bar3")</f>
        <v>nam.bar3</v>
      </c>
      <c r="C116" s="281" t="str">
        <f>IFERROR(__xludf.DUMMYFUNCTION("""COMPUTED_VALUE"""),"https://www.tiktok.com/@nam.bar3")</f>
        <v>https://www.tiktok.com/@nam.bar3</v>
      </c>
      <c r="D116" s="502">
        <f>IFERROR(__xludf.DUMMYFUNCTION("""COMPUTED_VALUE"""),8.9682611096E10)</f>
        <v>89682611096</v>
      </c>
      <c r="E116" s="503">
        <f>IFERROR(__xludf.DUMMYFUNCTION("""COMPUTED_VALUE"""),100000.0)</f>
        <v>100000</v>
      </c>
      <c r="F116" s="502">
        <f>IFERROR(__xludf.DUMMYFUNCTION("""COMPUTED_VALUE"""),1.0)</f>
        <v>1</v>
      </c>
      <c r="G116" s="493" t="str">
        <f>IFERROR(__xludf.DUMMYFUNCTION("""COMPUTED_VALUE"""),"Rp1JT+")</f>
        <v>Rp1JT+</v>
      </c>
      <c r="H116" s="466" t="str">
        <f>IFERROR(__xludf.DUMMYFUNCTION("""COMPUTED_VALUE"""),"Minyak Oles Benjolan")</f>
        <v>Minyak Oles Benjolan</v>
      </c>
      <c r="I116" s="260" t="str">
        <f>IFERROR(__xludf.DUMMYFUNCTION("""COMPUTED_VALUE"""),"Sampai")</f>
        <v>Sampai</v>
      </c>
      <c r="J116" s="494" t="str">
        <f>IFERROR(__xludf.DUMMYFUNCTION("""COMPUTED_VALUE"""),"Concept 5")</f>
        <v>Concept 5</v>
      </c>
      <c r="K116" s="278" t="str">
        <f>IFERROR(__xludf.DUMMYFUNCTION("""COMPUTED_VALUE"""),"https://vt.tiktok.com/ZS9N2V54y/")</f>
        <v>https://vt.tiktok.com/ZS9N2V54y/</v>
      </c>
      <c r="L116" s="495"/>
      <c r="M116" s="278" t="str">
        <f>IFERROR(__xludf.DUMMYFUNCTION("""COMPUTED_VALUE"""),"https://vt.tiktok.com/ZS9SoAAuw/")</f>
        <v>https://vt.tiktok.com/ZS9SoAAuw/</v>
      </c>
      <c r="N116" s="495"/>
      <c r="O116" s="262"/>
      <c r="P116" s="495"/>
      <c r="Q116" s="262"/>
      <c r="R116" s="504">
        <f>IFERROR(__xludf.DUMMYFUNCTION("""COMPUTED_VALUE"""),283134.0)</f>
        <v>283134</v>
      </c>
      <c r="S116" s="504"/>
      <c r="T116" s="504"/>
      <c r="U116" s="504"/>
    </row>
    <row r="117">
      <c r="A117" s="255" t="str">
        <f>IFERROR(__xludf.DUMMYFUNCTION("""COMPUTED_VALUE"""),"MICRO")</f>
        <v>MICRO</v>
      </c>
      <c r="B117" s="268" t="str">
        <f>IFERROR(__xludf.DUMMYFUNCTION("""COMPUTED_VALUE"""),"russelskin")</f>
        <v>russelskin</v>
      </c>
      <c r="C117" s="281" t="str">
        <f>IFERROR(__xludf.DUMMYFUNCTION("""COMPUTED_VALUE"""),"https://www.tiktok.com/@russelskin")</f>
        <v>https://www.tiktok.com/@russelskin</v>
      </c>
      <c r="D117" s="502">
        <f>IFERROR(__xludf.DUMMYFUNCTION("""COMPUTED_VALUE"""),8.2126720005E10)</f>
        <v>82126720005</v>
      </c>
      <c r="E117" s="503">
        <f>IFERROR(__xludf.DUMMYFUNCTION("""COMPUTED_VALUE"""),0.0)</f>
        <v>0</v>
      </c>
      <c r="F117" s="502">
        <f>IFERROR(__xludf.DUMMYFUNCTION("""COMPUTED_VALUE"""),3.0)</f>
        <v>3</v>
      </c>
      <c r="G117" s="493" t="str">
        <f>IFERROR(__xludf.DUMMYFUNCTION("""COMPUTED_VALUE"""),"Rp327,6jt")</f>
        <v>Rp327,6jt</v>
      </c>
      <c r="H117" s="466" t="str">
        <f>IFERROR(__xludf.DUMMYFUNCTION("""COMPUTED_VALUE"""),"Minyak Oles Benjolan")</f>
        <v>Minyak Oles Benjolan</v>
      </c>
      <c r="I117" s="260"/>
      <c r="J117" s="494"/>
      <c r="K117" s="262"/>
      <c r="L117" s="495"/>
      <c r="M117" s="262"/>
      <c r="N117" s="495"/>
      <c r="O117" s="262"/>
      <c r="P117" s="495"/>
      <c r="Q117" s="262"/>
      <c r="R117" s="504"/>
      <c r="S117" s="504"/>
      <c r="T117" s="504"/>
      <c r="U117" s="504"/>
    </row>
    <row r="118">
      <c r="A118" s="255" t="str">
        <f>IFERROR(__xludf.DUMMYFUNCTION("""COMPUTED_VALUE"""),"MICRO")</f>
        <v>MICRO</v>
      </c>
      <c r="B118" s="268" t="str">
        <f>IFERROR(__xludf.DUMMYFUNCTION("""COMPUTED_VALUE"""),"yanti_lontar")</f>
        <v>yanti_lontar</v>
      </c>
      <c r="C118" s="281" t="str">
        <f>IFERROR(__xludf.DUMMYFUNCTION("""COMPUTED_VALUE"""),"https://www.tiktok.com/@yanti_lontar")</f>
        <v>https://www.tiktok.com/@yanti_lontar</v>
      </c>
      <c r="D118" s="502">
        <f>IFERROR(__xludf.DUMMYFUNCTION("""COMPUTED_VALUE"""),8.2177858585E10)</f>
        <v>82177858585</v>
      </c>
      <c r="E118" s="503">
        <f>IFERROR(__xludf.DUMMYFUNCTION("""COMPUTED_VALUE"""),0.0)</f>
        <v>0</v>
      </c>
      <c r="F118" s="502">
        <f>IFERROR(__xludf.DUMMYFUNCTION("""COMPUTED_VALUE"""),3.0)</f>
        <v>3</v>
      </c>
      <c r="G118" s="493" t="str">
        <f>IFERROR(__xludf.DUMMYFUNCTION("""COMPUTED_VALUE"""),"Rp2,5jt")</f>
        <v>Rp2,5jt</v>
      </c>
      <c r="H118" s="466" t="str">
        <f>IFERROR(__xludf.DUMMYFUNCTION("""COMPUTED_VALUE"""),"Minyak Oles Benjolan")</f>
        <v>Minyak Oles Benjolan</v>
      </c>
      <c r="I118" s="260" t="str">
        <f>IFERROR(__xludf.DUMMYFUNCTION("""COMPUTED_VALUE"""),"Sampai")</f>
        <v>Sampai</v>
      </c>
      <c r="J118" s="494" t="str">
        <f>IFERROR(__xludf.DUMMYFUNCTION("""COMPUTED_VALUE"""),"Concept 5")</f>
        <v>Concept 5</v>
      </c>
      <c r="K118" s="278" t="str">
        <f>IFERROR(__xludf.DUMMYFUNCTION("""COMPUTED_VALUE"""),"https://vt.tiktok.com/ZSxNmpJ5u/")</f>
        <v>https://vt.tiktok.com/ZSxNmpJ5u/</v>
      </c>
      <c r="L118" s="495"/>
      <c r="M118" s="262"/>
      <c r="N118" s="495"/>
      <c r="O118" s="262"/>
      <c r="P118" s="495"/>
      <c r="Q118" s="262"/>
      <c r="R118" s="504"/>
      <c r="S118" s="504"/>
      <c r="T118" s="504"/>
      <c r="U118" s="504"/>
    </row>
    <row r="119">
      <c r="A119" s="255" t="str">
        <f>IFERROR(__xludf.DUMMYFUNCTION("""COMPUTED_VALUE"""),"MACRO")</f>
        <v>MACRO</v>
      </c>
      <c r="B119" s="268" t="str">
        <f>IFERROR(__xludf.DUMMYFUNCTION("""COMPUTED_VALUE"""),"tetehdela")</f>
        <v>tetehdela</v>
      </c>
      <c r="C119" s="281" t="str">
        <f>IFERROR(__xludf.DUMMYFUNCTION("""COMPUTED_VALUE"""),"https://www.tiktok.com/@tetehdela")</f>
        <v>https://www.tiktok.com/@tetehdela</v>
      </c>
      <c r="D119" s="502">
        <f>IFERROR(__xludf.DUMMYFUNCTION("""COMPUTED_VALUE"""),8.5722042381E10)</f>
        <v>85722042381</v>
      </c>
      <c r="E119" s="503">
        <f>IFERROR(__xludf.DUMMYFUNCTION("""COMPUTED_VALUE"""),0.0)</f>
        <v>0</v>
      </c>
      <c r="F119" s="502">
        <f>IFERROR(__xludf.DUMMYFUNCTION("""COMPUTED_VALUE"""),3.0)</f>
        <v>3</v>
      </c>
      <c r="G119" s="493" t="str">
        <f>IFERROR(__xludf.DUMMYFUNCTION("""COMPUTED_VALUE"""),"Rp70,4JT")</f>
        <v>Rp70,4JT</v>
      </c>
      <c r="H119" s="466" t="str">
        <f>IFERROR(__xludf.DUMMYFUNCTION("""COMPUTED_VALUE"""),"Minyak Oles Benjolan")</f>
        <v>Minyak Oles Benjolan</v>
      </c>
      <c r="I119" s="260" t="str">
        <f>IFERROR(__xludf.DUMMYFUNCTION("""COMPUTED_VALUE"""),"Sampai")</f>
        <v>Sampai</v>
      </c>
      <c r="J119" s="494" t="str">
        <f>IFERROR(__xludf.DUMMYFUNCTION("""COMPUTED_VALUE"""),"Concept 5")</f>
        <v>Concept 5</v>
      </c>
      <c r="K119" s="278" t="str">
        <f>IFERROR(__xludf.DUMMYFUNCTION("""COMPUTED_VALUE"""),"https://vt.tiktok.com/ZSx7Xho9R/")</f>
        <v>https://vt.tiktok.com/ZSx7Xho9R/</v>
      </c>
      <c r="L119" s="495"/>
      <c r="M119" s="262"/>
      <c r="N119" s="495"/>
      <c r="O119" s="262"/>
      <c r="P119" s="495"/>
      <c r="Q119" s="262"/>
      <c r="R119" s="504"/>
      <c r="S119" s="504"/>
      <c r="T119" s="504"/>
      <c r="U119" s="504"/>
    </row>
    <row r="120">
      <c r="A120" s="255" t="str">
        <f>IFERROR(__xludf.DUMMYFUNCTION("""COMPUTED_VALUE"""),"NANO")</f>
        <v>NANO</v>
      </c>
      <c r="B120" s="268" t="str">
        <f>IFERROR(__xludf.DUMMYFUNCTION("""COMPUTED_VALUE"""),"fitriandriyani559")</f>
        <v>fitriandriyani559</v>
      </c>
      <c r="C120" s="281" t="str">
        <f>IFERROR(__xludf.DUMMYFUNCTION("""COMPUTED_VALUE"""),"https://www.tiktok.com/@fitriandriyani559")</f>
        <v>https://www.tiktok.com/@fitriandriyani559</v>
      </c>
      <c r="D120" s="502">
        <f>IFERROR(__xludf.DUMMYFUNCTION("""COMPUTED_VALUE"""),8.129242404E10)</f>
        <v>81292424040</v>
      </c>
      <c r="E120" s="503">
        <f>IFERROR(__xludf.DUMMYFUNCTION("""COMPUTED_VALUE"""),0.0)</f>
        <v>0</v>
      </c>
      <c r="F120" s="502">
        <f>IFERROR(__xludf.DUMMYFUNCTION("""COMPUTED_VALUE"""),3.0)</f>
        <v>3</v>
      </c>
      <c r="G120" s="493" t="str">
        <f>IFERROR(__xludf.DUMMYFUNCTION("""COMPUTED_VALUE"""),"Rp1JT+")</f>
        <v>Rp1JT+</v>
      </c>
      <c r="H120" s="466" t="str">
        <f>IFERROR(__xludf.DUMMYFUNCTION("""COMPUTED_VALUE"""),"Minyak Oles Benjolan")</f>
        <v>Minyak Oles Benjolan</v>
      </c>
      <c r="I120" s="260" t="str">
        <f>IFERROR(__xludf.DUMMYFUNCTION("""COMPUTED_VALUE"""),"Sampai")</f>
        <v>Sampai</v>
      </c>
      <c r="J120" s="494" t="str">
        <f>IFERROR(__xludf.DUMMYFUNCTION("""COMPUTED_VALUE"""),"Concept 3")</f>
        <v>Concept 3</v>
      </c>
      <c r="K120" s="278" t="str">
        <f>IFERROR(__xludf.DUMMYFUNCTION("""COMPUTED_VALUE"""),"https://vt.tiktok.com/ZSHEEARXb/")</f>
        <v>https://vt.tiktok.com/ZSHEEARXb/</v>
      </c>
      <c r="L120" s="495" t="str">
        <f>IFERROR(__xludf.DUMMYFUNCTION("""COMPUTED_VALUE""")," Concept 1")</f>
        <v> Concept 1</v>
      </c>
      <c r="M120" s="278" t="str">
        <f>IFERROR(__xludf.DUMMYFUNCTION("""COMPUTED_VALUE"""),"https://vt.tiktok.com/ZS9LWGU1k/")</f>
        <v>https://vt.tiktok.com/ZS9LWGU1k/</v>
      </c>
      <c r="N120" s="495" t="str">
        <f>IFERROR(__xludf.DUMMYFUNCTION("""COMPUTED_VALUE"""),"Concept 2")</f>
        <v>Concept 2</v>
      </c>
      <c r="O120" s="278" t="str">
        <f>IFERROR(__xludf.DUMMYFUNCTION("""COMPUTED_VALUE"""),"https://vt.tiktok.com/ZS9aL47Nq/")</f>
        <v>https://vt.tiktok.com/ZS9aL47Nq/</v>
      </c>
      <c r="P120" s="495"/>
      <c r="Q120" s="278" t="str">
        <f>IFERROR(__xludf.DUMMYFUNCTION("""COMPUTED_VALUE"""),"https://vt.tiktok.com/ZSxjRgY1g/")</f>
        <v>https://vt.tiktok.com/ZSxjRgY1g/</v>
      </c>
      <c r="R120" s="504">
        <f>IFERROR(__xludf.DUMMYFUNCTION("""COMPUTED_VALUE"""),94999.0)</f>
        <v>94999</v>
      </c>
      <c r="S120" s="504"/>
      <c r="T120" s="504"/>
      <c r="U120" s="504"/>
    </row>
    <row r="121">
      <c r="A121" s="255" t="str">
        <f>IFERROR(__xludf.DUMMYFUNCTION("""COMPUTED_VALUE"""),"NANO")</f>
        <v>NANO</v>
      </c>
      <c r="B121" s="268" t="str">
        <f>IFERROR(__xludf.DUMMYFUNCTION("""COMPUTED_VALUE"""),"pupud__")</f>
        <v>pupud__</v>
      </c>
      <c r="C121" s="281" t="str">
        <f>IFERROR(__xludf.DUMMYFUNCTION("""COMPUTED_VALUE"""),"https://www.tiktok.com/@pupud__")</f>
        <v>https://www.tiktok.com/@pupud__</v>
      </c>
      <c r="D121" s="502">
        <f>IFERROR(__xludf.DUMMYFUNCTION("""COMPUTED_VALUE"""),8.951468751E10)</f>
        <v>89514687510</v>
      </c>
      <c r="E121" s="503">
        <f>IFERROR(__xludf.DUMMYFUNCTION("""COMPUTED_VALUE"""),0.0)</f>
        <v>0</v>
      </c>
      <c r="F121" s="502">
        <f>IFERROR(__xludf.DUMMYFUNCTION("""COMPUTED_VALUE"""),3.0)</f>
        <v>3</v>
      </c>
      <c r="G121" s="493" t="str">
        <f>IFERROR(__xludf.DUMMYFUNCTION("""COMPUTED_VALUE"""),"Rp38,7jt")</f>
        <v>Rp38,7jt</v>
      </c>
      <c r="H121" s="466" t="str">
        <f>IFERROR(__xludf.DUMMYFUNCTION("""COMPUTED_VALUE"""),"Minyak Oles Benjolan")</f>
        <v>Minyak Oles Benjolan</v>
      </c>
      <c r="I121" s="260" t="str">
        <f>IFERROR(__xludf.DUMMYFUNCTION("""COMPUTED_VALUE"""),"Sampai")</f>
        <v>Sampai</v>
      </c>
      <c r="J121" s="494" t="str">
        <f>IFERROR(__xludf.DUMMYFUNCTION("""COMPUTED_VALUE""")," Concept 1")</f>
        <v> Concept 1</v>
      </c>
      <c r="K121" s="278" t="str">
        <f>IFERROR(__xludf.DUMMYFUNCTION("""COMPUTED_VALUE"""),"https://vt.tiktok.com/ZS9L6qfUD/")</f>
        <v>https://vt.tiktok.com/ZS9L6qfUD/</v>
      </c>
      <c r="L121" s="495" t="str">
        <f>IFERROR(__xludf.DUMMYFUNCTION("""COMPUTED_VALUE"""),"Concept 3")</f>
        <v>Concept 3</v>
      </c>
      <c r="M121" s="278" t="str">
        <f>IFERROR(__xludf.DUMMYFUNCTION("""COMPUTED_VALUE"""),"https://vt.tiktok.com/ZSxS5qeCS/")</f>
        <v>https://vt.tiktok.com/ZSxS5qeCS/</v>
      </c>
      <c r="N121" s="495"/>
      <c r="O121" s="262"/>
      <c r="P121" s="495"/>
      <c r="Q121" s="262"/>
      <c r="R121" s="504"/>
      <c r="S121" s="504"/>
      <c r="T121" s="504"/>
      <c r="U121" s="504"/>
    </row>
    <row r="122">
      <c r="A122" s="255" t="str">
        <f>IFERROR(__xludf.DUMMYFUNCTION("""COMPUTED_VALUE"""),"NANO")</f>
        <v>NANO</v>
      </c>
      <c r="B122" s="268" t="str">
        <f>IFERROR(__xludf.DUMMYFUNCTION("""COMPUTED_VALUE"""),"machalaattee_01l")</f>
        <v>machalaattee_01l</v>
      </c>
      <c r="C122" s="281" t="str">
        <f>IFERROR(__xludf.DUMMYFUNCTION("""COMPUTED_VALUE"""),"https://www.tiktok.com/@machalaattee_01l")</f>
        <v>https://www.tiktok.com/@machalaattee_01l</v>
      </c>
      <c r="D122" s="502">
        <f>IFERROR(__xludf.DUMMYFUNCTION("""COMPUTED_VALUE"""),8.5705573584E10)</f>
        <v>85705573584</v>
      </c>
      <c r="E122" s="503">
        <f>IFERROR(__xludf.DUMMYFUNCTION("""COMPUTED_VALUE"""),0.0)</f>
        <v>0</v>
      </c>
      <c r="F122" s="502"/>
      <c r="G122" s="493" t="str">
        <f>IFERROR(__xludf.DUMMYFUNCTION("""COMPUTED_VALUE"""),"Rp1JT+")</f>
        <v>Rp1JT+</v>
      </c>
      <c r="H122" s="466" t="str">
        <f>IFERROR(__xludf.DUMMYFUNCTION("""COMPUTED_VALUE"""),"Minyak Oles Benjolan")</f>
        <v>Minyak Oles Benjolan</v>
      </c>
      <c r="I122" s="260" t="str">
        <f>IFERROR(__xludf.DUMMYFUNCTION("""COMPUTED_VALUE"""),"Kendala [FU!]")</f>
        <v>Kendala [FU!]</v>
      </c>
      <c r="J122" s="494"/>
      <c r="K122" s="262"/>
      <c r="L122" s="495"/>
      <c r="M122" s="262"/>
      <c r="N122" s="495"/>
      <c r="O122" s="262"/>
      <c r="P122" s="495"/>
      <c r="Q122" s="262"/>
      <c r="R122" s="504"/>
      <c r="S122" s="504"/>
      <c r="T122" s="504"/>
      <c r="U122" s="504"/>
    </row>
    <row r="123">
      <c r="A123" s="255" t="str">
        <f>IFERROR(__xludf.DUMMYFUNCTION("""COMPUTED_VALUE"""),"MICRO")</f>
        <v>MICRO</v>
      </c>
      <c r="B123" s="268" t="str">
        <f>IFERROR(__xludf.DUMMYFUNCTION("""COMPUTED_VALUE"""),"sulis.ummiazfa")</f>
        <v>sulis.ummiazfa</v>
      </c>
      <c r="C123" s="281" t="str">
        <f>IFERROR(__xludf.DUMMYFUNCTION("""COMPUTED_VALUE"""),"https://www.tiktok.com/@sulis.ummiazfa")</f>
        <v>https://www.tiktok.com/@sulis.ummiazfa</v>
      </c>
      <c r="D123" s="502">
        <f>IFERROR(__xludf.DUMMYFUNCTION("""COMPUTED_VALUE"""),8.575591242E10)</f>
        <v>85755912420</v>
      </c>
      <c r="E123" s="503">
        <f>IFERROR(__xludf.DUMMYFUNCTION("""COMPUTED_VALUE"""),0.0)</f>
        <v>0</v>
      </c>
      <c r="F123" s="502"/>
      <c r="G123" s="493" t="str">
        <f>IFERROR(__xludf.DUMMYFUNCTION("""COMPUTED_VALUE"""),"Rp29,5jt")</f>
        <v>Rp29,5jt</v>
      </c>
      <c r="H123" s="466" t="str">
        <f>IFERROR(__xludf.DUMMYFUNCTION("""COMPUTED_VALUE"""),"Minyak Oles Benjolan")</f>
        <v>Minyak Oles Benjolan</v>
      </c>
      <c r="I123" s="260" t="str">
        <f>IFERROR(__xludf.DUMMYFUNCTION("""COMPUTED_VALUE"""),"Kendala [FU!]")</f>
        <v>Kendala [FU!]</v>
      </c>
      <c r="J123" s="494"/>
      <c r="K123" s="262"/>
      <c r="L123" s="495"/>
      <c r="M123" s="262"/>
      <c r="N123" s="495"/>
      <c r="O123" s="262"/>
      <c r="P123" s="495"/>
      <c r="Q123" s="262"/>
      <c r="R123" s="504"/>
      <c r="S123" s="504"/>
      <c r="T123" s="504"/>
      <c r="U123" s="504"/>
    </row>
    <row r="124">
      <c r="A124" s="255" t="str">
        <f>IFERROR(__xludf.DUMMYFUNCTION("""COMPUTED_VALUE"""),"NANO")</f>
        <v>NANO</v>
      </c>
      <c r="B124" s="268" t="str">
        <f>IFERROR(__xludf.DUMMYFUNCTION("""COMPUTED_VALUE"""),"spill_healthycare")</f>
        <v>spill_healthycare</v>
      </c>
      <c r="C124" s="281" t="str">
        <f>IFERROR(__xludf.DUMMYFUNCTION("""COMPUTED_VALUE"""),"https://www.tiktok.com/@spill_healthycare")</f>
        <v>https://www.tiktok.com/@spill_healthycare</v>
      </c>
      <c r="D124" s="502">
        <f>IFERROR(__xludf.DUMMYFUNCTION("""COMPUTED_VALUE"""),8.1373437975E10)</f>
        <v>81373437975</v>
      </c>
      <c r="E124" s="503">
        <f>IFERROR(__xludf.DUMMYFUNCTION("""COMPUTED_VALUE"""),0.0)</f>
        <v>0</v>
      </c>
      <c r="F124" s="502"/>
      <c r="G124" s="493" t="str">
        <f>IFERROR(__xludf.DUMMYFUNCTION("""COMPUTED_VALUE"""),"Rp11,8jt")</f>
        <v>Rp11,8jt</v>
      </c>
      <c r="H124" s="466" t="str">
        <f>IFERROR(__xludf.DUMMYFUNCTION("""COMPUTED_VALUE"""),"Minyak Oles Benjolan")</f>
        <v>Minyak Oles Benjolan</v>
      </c>
      <c r="I124" s="260" t="str">
        <f>IFERROR(__xludf.DUMMYFUNCTION("""COMPUTED_VALUE"""),"Kendala [FU!]")</f>
        <v>Kendala [FU!]</v>
      </c>
      <c r="J124" s="494"/>
      <c r="K124" s="262"/>
      <c r="L124" s="495"/>
      <c r="M124" s="262"/>
      <c r="N124" s="495"/>
      <c r="O124" s="262"/>
      <c r="P124" s="495"/>
      <c r="Q124" s="262"/>
      <c r="R124" s="504"/>
      <c r="S124" s="504"/>
      <c r="T124" s="504"/>
      <c r="U124" s="504"/>
    </row>
    <row r="125">
      <c r="A125" s="255" t="str">
        <f>IFERROR(__xludf.DUMMYFUNCTION("""COMPUTED_VALUE"""),"NANO")</f>
        <v>NANO</v>
      </c>
      <c r="B125" s="268" t="str">
        <f>IFERROR(__xludf.DUMMYFUNCTION("""COMPUTED_VALUE"""),"afaproject3")</f>
        <v>afaproject3</v>
      </c>
      <c r="C125" s="281" t="str">
        <f>IFERROR(__xludf.DUMMYFUNCTION("""COMPUTED_VALUE"""),"https://www.tiktok.com/@afaproject3")</f>
        <v>https://www.tiktok.com/@afaproject3</v>
      </c>
      <c r="D125" s="502">
        <f>IFERROR(__xludf.DUMMYFUNCTION("""COMPUTED_VALUE"""),8.56297398E9)</f>
        <v>8562973980</v>
      </c>
      <c r="E125" s="503">
        <f>IFERROR(__xludf.DUMMYFUNCTION("""COMPUTED_VALUE"""),0.0)</f>
        <v>0</v>
      </c>
      <c r="F125" s="502">
        <f>IFERROR(__xludf.DUMMYFUNCTION("""COMPUTED_VALUE"""),3.0)</f>
        <v>3</v>
      </c>
      <c r="G125" s="493" t="str">
        <f>IFERROR(__xludf.DUMMYFUNCTION("""COMPUTED_VALUE"""),"Rp139,1jt")</f>
        <v>Rp139,1jt</v>
      </c>
      <c r="H125" s="466" t="str">
        <f>IFERROR(__xludf.DUMMYFUNCTION("""COMPUTED_VALUE"""),"Minyak Oles Benjolan")</f>
        <v>Minyak Oles Benjolan</v>
      </c>
      <c r="I125" s="260" t="str">
        <f>IFERROR(__xludf.DUMMYFUNCTION("""COMPUTED_VALUE"""),"Sampai")</f>
        <v>Sampai</v>
      </c>
      <c r="J125" s="494" t="str">
        <f>IFERROR(__xludf.DUMMYFUNCTION("""COMPUTED_VALUE"""),"Concept 5")</f>
        <v>Concept 5</v>
      </c>
      <c r="K125" s="278" t="str">
        <f>IFERROR(__xludf.DUMMYFUNCTION("""COMPUTED_VALUE"""),"https://vt.tiktok.com/ZSHvjPU9w/")</f>
        <v>https://vt.tiktok.com/ZSHvjPU9w/</v>
      </c>
      <c r="L125" s="495" t="str">
        <f>IFERROR(__xludf.DUMMYFUNCTION("""COMPUTED_VALUE""")," Concept 1")</f>
        <v> Concept 1</v>
      </c>
      <c r="M125" s="278" t="str">
        <f>IFERROR(__xludf.DUMMYFUNCTION("""COMPUTED_VALUE"""),"https://vt.tiktok.com/ZS9J6detG/")</f>
        <v>https://vt.tiktok.com/ZS9J6detG/</v>
      </c>
      <c r="N125" s="495" t="str">
        <f>IFERROR(__xludf.DUMMYFUNCTION("""COMPUTED_VALUE"""),"Concept 3")</f>
        <v>Concept 3</v>
      </c>
      <c r="O125" s="278" t="str">
        <f>IFERROR(__xludf.DUMMYFUNCTION("""COMPUTED_VALUE"""),"https://vt.tiktok.com/ZS9Lpv1yc/")</f>
        <v>https://vt.tiktok.com/ZS9Lpv1yc/</v>
      </c>
      <c r="P125" s="495"/>
      <c r="Q125" s="262"/>
      <c r="R125" s="504">
        <f>IFERROR(__xludf.DUMMYFUNCTION("""COMPUTED_VALUE"""),87499.0)</f>
        <v>87499</v>
      </c>
      <c r="S125" s="504"/>
      <c r="T125" s="504"/>
      <c r="U125" s="504"/>
    </row>
    <row r="126">
      <c r="A126" s="255" t="str">
        <f>IFERROR(__xludf.DUMMYFUNCTION("""COMPUTED_VALUE"""),"MACRO")</f>
        <v>MACRO</v>
      </c>
      <c r="B126" s="268" t="str">
        <f>IFERROR(__xludf.DUMMYFUNCTION("""COMPUTED_VALUE"""),"nul.minul")</f>
        <v>nul.minul</v>
      </c>
      <c r="C126" s="281" t="str">
        <f>IFERROR(__xludf.DUMMYFUNCTION("""COMPUTED_VALUE"""),"https://www.tiktok.com/@nul.minul")</f>
        <v>https://www.tiktok.com/@nul.minul</v>
      </c>
      <c r="D126" s="502">
        <f>IFERROR(__xludf.DUMMYFUNCTION("""COMPUTED_VALUE"""),8.7875857197E10)</f>
        <v>87875857197</v>
      </c>
      <c r="E126" s="503">
        <f>IFERROR(__xludf.DUMMYFUNCTION("""COMPUTED_VALUE"""),300000.0)</f>
        <v>300000</v>
      </c>
      <c r="F126" s="502">
        <f>IFERROR(__xludf.DUMMYFUNCTION("""COMPUTED_VALUE"""),1.0)</f>
        <v>1</v>
      </c>
      <c r="G126" s="493" t="str">
        <f>IFERROR(__xludf.DUMMYFUNCTION("""COMPUTED_VALUE"""),"Rp99,9jt")</f>
        <v>Rp99,9jt</v>
      </c>
      <c r="H126" s="466" t="str">
        <f>IFERROR(__xludf.DUMMYFUNCTION("""COMPUTED_VALUE"""),"Minyak Oles Benjolan")</f>
        <v>Minyak Oles Benjolan</v>
      </c>
      <c r="I126" s="260" t="str">
        <f>IFERROR(__xludf.DUMMYFUNCTION("""COMPUTED_VALUE"""),"Sampai")</f>
        <v>Sampai</v>
      </c>
      <c r="J126" s="494" t="str">
        <f>IFERROR(__xludf.DUMMYFUNCTION("""COMPUTED_VALUE"""),"Concept 5")</f>
        <v>Concept 5</v>
      </c>
      <c r="K126" s="278" t="str">
        <f>IFERROR(__xludf.DUMMYFUNCTION("""COMPUTED_VALUE"""),"https://vt.tiktok.com/ZS9JreHGA/")</f>
        <v>https://vt.tiktok.com/ZS9JreHGA/</v>
      </c>
      <c r="L126" s="495"/>
      <c r="M126" s="262"/>
      <c r="N126" s="495"/>
      <c r="O126" s="262"/>
      <c r="P126" s="495"/>
      <c r="Q126" s="262"/>
      <c r="R126" s="504"/>
      <c r="S126" s="504"/>
      <c r="T126" s="504"/>
      <c r="U126" s="504"/>
    </row>
    <row r="127">
      <c r="A127" s="255" t="str">
        <f>IFERROR(__xludf.DUMMYFUNCTION("""COMPUTED_VALUE"""),"MACRO")</f>
        <v>MACRO</v>
      </c>
      <c r="B127" s="268" t="str">
        <f>IFERROR(__xludf.DUMMYFUNCTION("""COMPUTED_VALUE"""),"annea___")</f>
        <v>annea___</v>
      </c>
      <c r="C127" s="281" t="str">
        <f>IFERROR(__xludf.DUMMYFUNCTION("""COMPUTED_VALUE"""),"https://www.tiktok.com/@annea___")</f>
        <v>https://www.tiktok.com/@annea___</v>
      </c>
      <c r="D127" s="502">
        <f>IFERROR(__xludf.DUMMYFUNCTION("""COMPUTED_VALUE"""),8.9698619885E10)</f>
        <v>89698619885</v>
      </c>
      <c r="E127" s="503">
        <f>IFERROR(__xludf.DUMMYFUNCTION("""COMPUTED_VALUE"""),0.0)</f>
        <v>0</v>
      </c>
      <c r="F127" s="502">
        <f>IFERROR(__xludf.DUMMYFUNCTION("""COMPUTED_VALUE"""),3.0)</f>
        <v>3</v>
      </c>
      <c r="G127" s="493" t="str">
        <f>IFERROR(__xludf.DUMMYFUNCTION("""COMPUTED_VALUE"""),"Rp1JT+")</f>
        <v>Rp1JT+</v>
      </c>
      <c r="H127" s="466" t="str">
        <f>IFERROR(__xludf.DUMMYFUNCTION("""COMPUTED_VALUE"""),"Minyak Oles Benjolan")</f>
        <v>Minyak Oles Benjolan</v>
      </c>
      <c r="I127" s="260"/>
      <c r="J127" s="494"/>
      <c r="K127" s="262"/>
      <c r="L127" s="495"/>
      <c r="M127" s="262"/>
      <c r="N127" s="495"/>
      <c r="O127" s="262"/>
      <c r="P127" s="495"/>
      <c r="Q127" s="262"/>
      <c r="R127" s="504"/>
      <c r="S127" s="504"/>
      <c r="T127" s="504"/>
      <c r="U127" s="504"/>
    </row>
    <row r="128">
      <c r="A128" s="255" t="str">
        <f>IFERROR(__xludf.DUMMYFUNCTION("""COMPUTED_VALUE"""),"NANO")</f>
        <v>NANO</v>
      </c>
      <c r="B128" s="268" t="str">
        <f>IFERROR(__xludf.DUMMYFUNCTION("""COMPUTED_VALUE"""),"nianiania09")</f>
        <v>nianiania09</v>
      </c>
      <c r="C128" s="281" t="str">
        <f>IFERROR(__xludf.DUMMYFUNCTION("""COMPUTED_VALUE"""),"https://www.tiktok.com/@nianiania09")</f>
        <v>https://www.tiktok.com/@nianiania09</v>
      </c>
      <c r="D128" s="502">
        <f>IFERROR(__xludf.DUMMYFUNCTION("""COMPUTED_VALUE"""),8.5647174743E10)</f>
        <v>85647174743</v>
      </c>
      <c r="E128" s="503">
        <f>IFERROR(__xludf.DUMMYFUNCTION("""COMPUTED_VALUE"""),0.0)</f>
        <v>0</v>
      </c>
      <c r="F128" s="502">
        <f>IFERROR(__xludf.DUMMYFUNCTION("""COMPUTED_VALUE"""),3.0)</f>
        <v>3</v>
      </c>
      <c r="G128" s="493" t="str">
        <f>IFERROR(__xludf.DUMMYFUNCTION("""COMPUTED_VALUE"""),"Rp1JT+")</f>
        <v>Rp1JT+</v>
      </c>
      <c r="H128" s="466" t="str">
        <f>IFERROR(__xludf.DUMMYFUNCTION("""COMPUTED_VALUE"""),"Minyak Oles Benjolan")</f>
        <v>Minyak Oles Benjolan</v>
      </c>
      <c r="I128" s="260" t="str">
        <f>IFERROR(__xludf.DUMMYFUNCTION("""COMPUTED_VALUE"""),"Sampai")</f>
        <v>Sampai</v>
      </c>
      <c r="J128" s="494" t="str">
        <f>IFERROR(__xludf.DUMMYFUNCTION("""COMPUTED_VALUE"""),"Concept 5")</f>
        <v>Concept 5</v>
      </c>
      <c r="K128" s="278" t="str">
        <f>IFERROR(__xludf.DUMMYFUNCTION("""COMPUTED_VALUE"""),"https://vt.tiktok.com/ZSHoNrGk1/")</f>
        <v>https://vt.tiktok.com/ZSHoNrGk1/</v>
      </c>
      <c r="L128" s="495" t="str">
        <f>IFERROR(__xludf.DUMMYFUNCTION("""COMPUTED_VALUE""")," Concept 1")</f>
        <v> Concept 1</v>
      </c>
      <c r="M128" s="278" t="str">
        <f>IFERROR(__xludf.DUMMYFUNCTION("""COMPUTED_VALUE"""),"https://vt.tiktok.com/ZS9j3wjtu/")</f>
        <v>https://vt.tiktok.com/ZS9j3wjtu/</v>
      </c>
      <c r="N128" s="495"/>
      <c r="O128" s="278" t="str">
        <f>IFERROR(__xludf.DUMMYFUNCTION("""COMPUTED_VALUE"""),"https://vt.tiktok.com/ZS9DGenwE/")</f>
        <v>https://vt.tiktok.com/ZS9DGenwE/</v>
      </c>
      <c r="P128" s="495"/>
      <c r="Q128" s="262"/>
      <c r="R128" s="504"/>
      <c r="S128" s="504"/>
      <c r="T128" s="504"/>
      <c r="U128" s="504"/>
    </row>
    <row r="129">
      <c r="A129" s="255" t="str">
        <f>IFERROR(__xludf.DUMMYFUNCTION("""COMPUTED_VALUE"""),"MICRO")</f>
        <v>MICRO</v>
      </c>
      <c r="B129" s="268" t="str">
        <f>IFERROR(__xludf.DUMMYFUNCTION("""COMPUTED_VALUE"""),"isni.cunong27")</f>
        <v>isni.cunong27</v>
      </c>
      <c r="C129" s="281" t="str">
        <f>IFERROR(__xludf.DUMMYFUNCTION("""COMPUTED_VALUE"""),"https://www.tiktok.com/@isni.cunong27")</f>
        <v>https://www.tiktok.com/@isni.cunong27</v>
      </c>
      <c r="D129" s="502">
        <f>IFERROR(__xludf.DUMMYFUNCTION("""COMPUTED_VALUE"""),8.2114257404E10)</f>
        <v>82114257404</v>
      </c>
      <c r="E129" s="503">
        <f>IFERROR(__xludf.DUMMYFUNCTION("""COMPUTED_VALUE"""),0.0)</f>
        <v>0</v>
      </c>
      <c r="F129" s="502">
        <f>IFERROR(__xludf.DUMMYFUNCTION("""COMPUTED_VALUE"""),3.0)</f>
        <v>3</v>
      </c>
      <c r="G129" s="493" t="str">
        <f>IFERROR(__xludf.DUMMYFUNCTION("""COMPUTED_VALUE"""),"Rp36,8jt")</f>
        <v>Rp36,8jt</v>
      </c>
      <c r="H129" s="466" t="str">
        <f>IFERROR(__xludf.DUMMYFUNCTION("""COMPUTED_VALUE"""),"Minyak Oles Benjolan")</f>
        <v>Minyak Oles Benjolan</v>
      </c>
      <c r="I129" s="260" t="str">
        <f>IFERROR(__xludf.DUMMYFUNCTION("""COMPUTED_VALUE"""),"Sampai")</f>
        <v>Sampai</v>
      </c>
      <c r="J129" s="494" t="str">
        <f>IFERROR(__xludf.DUMMYFUNCTION("""COMPUTED_VALUE"""),"Concept 5")</f>
        <v>Concept 5</v>
      </c>
      <c r="K129" s="278" t="str">
        <f>IFERROR(__xludf.DUMMYFUNCTION("""COMPUTED_VALUE"""),"https://vt.tiktok.com/ZS9Lw2xhn/")</f>
        <v>https://vt.tiktok.com/ZS9Lw2xhn/</v>
      </c>
      <c r="L129" s="495" t="str">
        <f>IFERROR(__xludf.DUMMYFUNCTION("""COMPUTED_VALUE"""),"Concept 3")</f>
        <v>Concept 3</v>
      </c>
      <c r="M129" s="278" t="str">
        <f>IFERROR(__xludf.DUMMYFUNCTION("""COMPUTED_VALUE"""),"https://www.tiktok.com/@isni.cunong27/video/7631949693308095764?is_from_webapp=1&amp;sender_device=pc")</f>
        <v>https://www.tiktok.com/@isni.cunong27/video/7631949693308095764?is_from_webapp=1&amp;sender_device=pc</v>
      </c>
      <c r="N129" s="495"/>
      <c r="O129" s="278" t="str">
        <f>IFERROR(__xludf.DUMMYFUNCTION("""COMPUTED_VALUE"""),"https://vt.tiktok.com/ZSxMmKf6h/")</f>
        <v>https://vt.tiktok.com/ZSxMmKf6h/</v>
      </c>
      <c r="P129" s="495"/>
      <c r="Q129" s="262"/>
      <c r="R129" s="504"/>
      <c r="S129" s="504"/>
      <c r="T129" s="504"/>
      <c r="U129" s="504"/>
    </row>
    <row r="130">
      <c r="A130" s="255" t="str">
        <f>IFERROR(__xludf.DUMMYFUNCTION("""COMPUTED_VALUE"""),"NANO")</f>
        <v>NANO</v>
      </c>
      <c r="B130" s="268" t="str">
        <f>IFERROR(__xludf.DUMMYFUNCTION("""COMPUTED_VALUE"""),"restistrhmw_")</f>
        <v>restistrhmw_</v>
      </c>
      <c r="C130" s="281" t="str">
        <f>IFERROR(__xludf.DUMMYFUNCTION("""COMPUTED_VALUE"""),"https://www.tiktok.com/@restistrhmw_")</f>
        <v>https://www.tiktok.com/@restistrhmw_</v>
      </c>
      <c r="D130" s="502">
        <f>IFERROR(__xludf.DUMMYFUNCTION("""COMPUTED_VALUE"""),8.1546426011E10)</f>
        <v>81546426011</v>
      </c>
      <c r="E130" s="503">
        <f>IFERROR(__xludf.DUMMYFUNCTION("""COMPUTED_VALUE"""),0.0)</f>
        <v>0</v>
      </c>
      <c r="F130" s="502">
        <f>IFERROR(__xludf.DUMMYFUNCTION("""COMPUTED_VALUE"""),1.0)</f>
        <v>1</v>
      </c>
      <c r="G130" s="493" t="str">
        <f>IFERROR(__xludf.DUMMYFUNCTION("""COMPUTED_VALUE"""),"Rp21jt")</f>
        <v>Rp21jt</v>
      </c>
      <c r="H130" s="466" t="str">
        <f>IFERROR(__xludf.DUMMYFUNCTION("""COMPUTED_VALUE"""),"Minyak Oles Benjolan")</f>
        <v>Minyak Oles Benjolan</v>
      </c>
      <c r="I130" s="260" t="str">
        <f>IFERROR(__xludf.DUMMYFUNCTION("""COMPUTED_VALUE"""),"Sampai")</f>
        <v>Sampai</v>
      </c>
      <c r="J130" s="494" t="str">
        <f>IFERROR(__xludf.DUMMYFUNCTION("""COMPUTED_VALUE""")," Concept 1")</f>
        <v> Concept 1</v>
      </c>
      <c r="K130" s="278" t="str">
        <f>IFERROR(__xludf.DUMMYFUNCTION("""COMPUTED_VALUE"""),"https://vt.tiktok.com/ZS9exVfmr/")</f>
        <v>https://vt.tiktok.com/ZS9exVfmr/</v>
      </c>
      <c r="L130" s="495" t="str">
        <f>IFERROR(__xludf.DUMMYFUNCTION("""COMPUTED_VALUE"""),"Concept 3")</f>
        <v>Concept 3</v>
      </c>
      <c r="M130" s="262"/>
      <c r="N130" s="495"/>
      <c r="O130" s="262"/>
      <c r="P130" s="495"/>
      <c r="Q130" s="262"/>
      <c r="R130" s="504"/>
      <c r="S130" s="504"/>
      <c r="T130" s="504"/>
      <c r="U130" s="504"/>
    </row>
    <row r="131">
      <c r="A131" s="255" t="str">
        <f>IFERROR(__xludf.DUMMYFUNCTION("""COMPUTED_VALUE"""),"NANO")</f>
        <v>NANO</v>
      </c>
      <c r="B131" s="268" t="str">
        <f>IFERROR(__xludf.DUMMYFUNCTION("""COMPUTED_VALUE"""),"semestakamuu")</f>
        <v>semestakamuu</v>
      </c>
      <c r="C131" s="281" t="str">
        <f>IFERROR(__xludf.DUMMYFUNCTION("""COMPUTED_VALUE"""),"https://www.tiktok.com/@semestakamuu")</f>
        <v>https://www.tiktok.com/@semestakamuu</v>
      </c>
      <c r="D131" s="502">
        <f>IFERROR(__xludf.DUMMYFUNCTION("""COMPUTED_VALUE"""),8.585691335E10)</f>
        <v>85856913350</v>
      </c>
      <c r="E131" s="503">
        <f>IFERROR(__xludf.DUMMYFUNCTION("""COMPUTED_VALUE"""),50000.0)</f>
        <v>50000</v>
      </c>
      <c r="F131" s="502">
        <f>IFERROR(__xludf.DUMMYFUNCTION("""COMPUTED_VALUE"""),1.0)</f>
        <v>1</v>
      </c>
      <c r="G131" s="493" t="str">
        <f>IFERROR(__xludf.DUMMYFUNCTION("""COMPUTED_VALUE"""),"Rp55,6jt")</f>
        <v>Rp55,6jt</v>
      </c>
      <c r="H131" s="466" t="str">
        <f>IFERROR(__xludf.DUMMYFUNCTION("""COMPUTED_VALUE"""),"Minyak Oles Benjolan")</f>
        <v>Minyak Oles Benjolan</v>
      </c>
      <c r="I131" s="260" t="str">
        <f>IFERROR(__xludf.DUMMYFUNCTION("""COMPUTED_VALUE"""),"Sampai")</f>
        <v>Sampai</v>
      </c>
      <c r="J131" s="494"/>
      <c r="K131" s="262"/>
      <c r="L131" s="495"/>
      <c r="M131" s="262"/>
      <c r="N131" s="495"/>
      <c r="O131" s="262"/>
      <c r="P131" s="495"/>
      <c r="Q131" s="262"/>
      <c r="R131" s="504"/>
      <c r="S131" s="504"/>
      <c r="T131" s="504"/>
      <c r="U131" s="504"/>
    </row>
    <row r="132">
      <c r="A132" s="255" t="str">
        <f>IFERROR(__xludf.DUMMYFUNCTION("""COMPUTED_VALUE"""),"NANO")</f>
        <v>NANO</v>
      </c>
      <c r="B132" s="268" t="str">
        <f>IFERROR(__xludf.DUMMYFUNCTION("""COMPUTED_VALUE"""),"zoom_experimental")</f>
        <v>zoom_experimental</v>
      </c>
      <c r="C132" s="281" t="str">
        <f>IFERROR(__xludf.DUMMYFUNCTION("""COMPUTED_VALUE"""),"https://www.tiktok.com/@zoom_experimental")</f>
        <v>https://www.tiktok.com/@zoom_experimental</v>
      </c>
      <c r="D132" s="502">
        <f>IFERROR(__xludf.DUMMYFUNCTION("""COMPUTED_VALUE"""),8.5215037308E10)</f>
        <v>85215037308</v>
      </c>
      <c r="E132" s="503">
        <f>IFERROR(__xludf.DUMMYFUNCTION("""COMPUTED_VALUE"""),150000.0)</f>
        <v>150000</v>
      </c>
      <c r="F132" s="502">
        <f>IFERROR(__xludf.DUMMYFUNCTION("""COMPUTED_VALUE"""),1.0)</f>
        <v>1</v>
      </c>
      <c r="G132" s="493" t="str">
        <f>IFERROR(__xludf.DUMMYFUNCTION("""COMPUTED_VALUE"""),"Rp122,3jt")</f>
        <v>Rp122,3jt</v>
      </c>
      <c r="H132" s="466" t="str">
        <f>IFERROR(__xludf.DUMMYFUNCTION("""COMPUTED_VALUE"""),"Minyak Oles Benjolan")</f>
        <v>Minyak Oles Benjolan</v>
      </c>
      <c r="I132" s="260" t="str">
        <f>IFERROR(__xludf.DUMMYFUNCTION("""COMPUTED_VALUE"""),"Sampai")</f>
        <v>Sampai</v>
      </c>
      <c r="J132" s="494" t="str">
        <f>IFERROR(__xludf.DUMMYFUNCTION("""COMPUTED_VALUE"""),"Concept 3")</f>
        <v>Concept 3</v>
      </c>
      <c r="K132" s="278" t="str">
        <f>IFERROR(__xludf.DUMMYFUNCTION("""COMPUTED_VALUE"""),"https://vt.tiktok.com/ZS9KRv9gR/")</f>
        <v>https://vt.tiktok.com/ZS9KRv9gR/</v>
      </c>
      <c r="L132" s="495"/>
      <c r="M132" s="262"/>
      <c r="N132" s="495"/>
      <c r="O132" s="262"/>
      <c r="P132" s="495"/>
      <c r="Q132" s="262"/>
      <c r="R132" s="504"/>
      <c r="S132" s="504"/>
      <c r="T132" s="504"/>
      <c r="U132" s="504"/>
    </row>
    <row r="133">
      <c r="A133" s="255" t="str">
        <f>IFERROR(__xludf.DUMMYFUNCTION("""COMPUTED_VALUE"""),"MICRO")</f>
        <v>MICRO</v>
      </c>
      <c r="B133" s="268" t="str">
        <f>IFERROR(__xludf.DUMMYFUNCTION("""COMPUTED_VALUE"""),"reyshaka_kenizio27")</f>
        <v>reyshaka_kenizio27</v>
      </c>
      <c r="C133" s="281" t="str">
        <f>IFERROR(__xludf.DUMMYFUNCTION("""COMPUTED_VALUE"""),"https://www.tiktok.com/@reyshaka_kenizio27")</f>
        <v>https://www.tiktok.com/@reyshaka_kenizio27</v>
      </c>
      <c r="D133" s="502">
        <f>IFERROR(__xludf.DUMMYFUNCTION("""COMPUTED_VALUE"""),8.7771372408E10)</f>
        <v>87771372408</v>
      </c>
      <c r="E133" s="503">
        <f>IFERROR(__xludf.DUMMYFUNCTION("""COMPUTED_VALUE"""),0.0)</f>
        <v>0</v>
      </c>
      <c r="F133" s="502">
        <f>IFERROR(__xludf.DUMMYFUNCTION("""COMPUTED_VALUE"""),3.0)</f>
        <v>3</v>
      </c>
      <c r="G133" s="493" t="str">
        <f>IFERROR(__xludf.DUMMYFUNCTION("""COMPUTED_VALUE"""),"Rp1JT+")</f>
        <v>Rp1JT+</v>
      </c>
      <c r="H133" s="466" t="str">
        <f>IFERROR(__xludf.DUMMYFUNCTION("""COMPUTED_VALUE"""),"Minyak Oles Benjolan")</f>
        <v>Minyak Oles Benjolan</v>
      </c>
      <c r="I133" s="260" t="str">
        <f>IFERROR(__xludf.DUMMYFUNCTION("""COMPUTED_VALUE"""),"Sampai")</f>
        <v>Sampai</v>
      </c>
      <c r="J133" s="494" t="str">
        <f>IFERROR(__xludf.DUMMYFUNCTION("""COMPUTED_VALUE"""),"Concept 3")</f>
        <v>Concept 3</v>
      </c>
      <c r="K133" s="278" t="str">
        <f>IFERROR(__xludf.DUMMYFUNCTION("""COMPUTED_VALUE"""),"https://vt.tiktok.com/ZS9u4a2AT/ ")</f>
        <v>https://vt.tiktok.com/ZS9u4a2AT/ </v>
      </c>
      <c r="L133" s="495"/>
      <c r="M133" s="278" t="str">
        <f>IFERROR(__xludf.DUMMYFUNCTION("""COMPUTED_VALUE"""),"https://vt.tiktok.com/ZSxS7NbRc/")</f>
        <v>https://vt.tiktok.com/ZSxS7NbRc/</v>
      </c>
      <c r="N133" s="495"/>
      <c r="O133" s="262"/>
      <c r="P133" s="495"/>
      <c r="Q133" s="262"/>
      <c r="R133" s="504"/>
      <c r="S133" s="504"/>
      <c r="T133" s="504"/>
      <c r="U133" s="504"/>
    </row>
    <row r="134">
      <c r="A134" s="255" t="str">
        <f>IFERROR(__xludf.DUMMYFUNCTION("""COMPUTED_VALUE"""),"MICRO")</f>
        <v>MICRO</v>
      </c>
      <c r="B134" s="268" t="str">
        <f>IFERROR(__xludf.DUMMYFUNCTION("""COMPUTED_VALUE"""),"cutemebaby7")</f>
        <v>cutemebaby7</v>
      </c>
      <c r="C134" s="281" t="str">
        <f>IFERROR(__xludf.DUMMYFUNCTION("""COMPUTED_VALUE"""),"https://www.tiktok.com/@cutemebaby7")</f>
        <v>https://www.tiktok.com/@cutemebaby7</v>
      </c>
      <c r="D134" s="502">
        <f>IFERROR(__xludf.DUMMYFUNCTION("""COMPUTED_VALUE"""),8.7704478226E10)</f>
        <v>87704478226</v>
      </c>
      <c r="E134" s="503">
        <f>IFERROR(__xludf.DUMMYFUNCTION("""COMPUTED_VALUE"""),0.0)</f>
        <v>0</v>
      </c>
      <c r="F134" s="502">
        <f>IFERROR(__xludf.DUMMYFUNCTION("""COMPUTED_VALUE"""),3.0)</f>
        <v>3</v>
      </c>
      <c r="G134" s="493" t="str">
        <f>IFERROR(__xludf.DUMMYFUNCTION("""COMPUTED_VALUE"""),"Rp11,7jt")</f>
        <v>Rp11,7jt</v>
      </c>
      <c r="H134" s="466" t="str">
        <f>IFERROR(__xludf.DUMMYFUNCTION("""COMPUTED_VALUE"""),"Minyak Oles Benjolan")</f>
        <v>Minyak Oles Benjolan</v>
      </c>
      <c r="I134" s="260" t="str">
        <f>IFERROR(__xludf.DUMMYFUNCTION("""COMPUTED_VALUE"""),"Sampai")</f>
        <v>Sampai</v>
      </c>
      <c r="J134" s="494" t="str">
        <f>IFERROR(__xludf.DUMMYFUNCTION("""COMPUTED_VALUE""")," Concept 1")</f>
        <v> Concept 1</v>
      </c>
      <c r="K134" s="278" t="str">
        <f>IFERROR(__xludf.DUMMYFUNCTION("""COMPUTED_VALUE"""),"https://vt.tiktok.com/ZS94sd4hs/")</f>
        <v>https://vt.tiktok.com/ZS94sd4hs/</v>
      </c>
      <c r="L134" s="495"/>
      <c r="M134" s="278" t="str">
        <f>IFERROR(__xludf.DUMMYFUNCTION("""COMPUTED_VALUE"""),"https://vt.tiktok.com/ZSxjHt4k7/")</f>
        <v>https://vt.tiktok.com/ZSxjHt4k7/</v>
      </c>
      <c r="N134" s="495"/>
      <c r="O134" s="278" t="str">
        <f>IFERROR(__xludf.DUMMYFUNCTION("""COMPUTED_VALUE"""),"https://vt.tiktok.com/ZSxkshwd1/")</f>
        <v>https://vt.tiktok.com/ZSxkshwd1/</v>
      </c>
      <c r="P134" s="495"/>
      <c r="Q134" s="278" t="str">
        <f>IFERROR(__xludf.DUMMYFUNCTION("""COMPUTED_VALUE"""),"https://vt.tiktok.com/ZSxSE9pcx/")</f>
        <v>https://vt.tiktok.com/ZSxSE9pcx/</v>
      </c>
      <c r="R134" s="504">
        <f>IFERROR(__xludf.DUMMYFUNCTION("""COMPUTED_VALUE"""),266984.0)</f>
        <v>266984</v>
      </c>
      <c r="S134" s="504"/>
      <c r="T134" s="504"/>
      <c r="U134" s="504"/>
    </row>
    <row r="135">
      <c r="A135" s="255" t="str">
        <f>IFERROR(__xludf.DUMMYFUNCTION("""COMPUTED_VALUE"""),"NANO")</f>
        <v>NANO</v>
      </c>
      <c r="B135" s="268" t="str">
        <f>IFERROR(__xludf.DUMMYFUNCTION("""COMPUTED_VALUE"""),"alderzk")</f>
        <v>alderzk</v>
      </c>
      <c r="C135" s="281" t="str">
        <f>IFERROR(__xludf.DUMMYFUNCTION("""COMPUTED_VALUE"""),"https://www.tiktok.com/@alderzk")</f>
        <v>https://www.tiktok.com/@alderzk</v>
      </c>
      <c r="D135" s="502">
        <f>IFERROR(__xludf.DUMMYFUNCTION("""COMPUTED_VALUE"""),8.5870336751E10)</f>
        <v>85870336751</v>
      </c>
      <c r="E135" s="503">
        <f>IFERROR(__xludf.DUMMYFUNCTION("""COMPUTED_VALUE"""),0.0)</f>
        <v>0</v>
      </c>
      <c r="F135" s="502">
        <f>IFERROR(__xludf.DUMMYFUNCTION("""COMPUTED_VALUE"""),3.0)</f>
        <v>3</v>
      </c>
      <c r="G135" s="493" t="str">
        <f>IFERROR(__xludf.DUMMYFUNCTION("""COMPUTED_VALUE"""),"Rp14,7jt")</f>
        <v>Rp14,7jt</v>
      </c>
      <c r="H135" s="466" t="str">
        <f>IFERROR(__xludf.DUMMYFUNCTION("""COMPUTED_VALUE"""),"Minyak Oles Benjolan")</f>
        <v>Minyak Oles Benjolan</v>
      </c>
      <c r="I135" s="260" t="str">
        <f>IFERROR(__xludf.DUMMYFUNCTION("""COMPUTED_VALUE"""),"Sampai")</f>
        <v>Sampai</v>
      </c>
      <c r="J135" s="494"/>
      <c r="K135" s="278" t="str">
        <f>IFERROR(__xludf.DUMMYFUNCTION("""COMPUTED_VALUE"""),"https://vt.tiktok.com/ZSxv9G3nH/")</f>
        <v>https://vt.tiktok.com/ZSxv9G3nH/</v>
      </c>
      <c r="L135" s="495"/>
      <c r="M135" s="278" t="str">
        <f>IFERROR(__xludf.DUMMYFUNCTION("""COMPUTED_VALUE"""),"https://vt.tiktok.com/ZSxv9CywN/")</f>
        <v>https://vt.tiktok.com/ZSxv9CywN/</v>
      </c>
      <c r="N135" s="495"/>
      <c r="O135" s="278" t="str">
        <f>IFERROR(__xludf.DUMMYFUNCTION("""COMPUTED_VALUE"""),"https://vt.tiktok.com/ZSxv99c5P/")</f>
        <v>https://vt.tiktok.com/ZSxv99c5P/</v>
      </c>
      <c r="P135" s="495"/>
      <c r="Q135" s="262"/>
      <c r="R135" s="504"/>
      <c r="S135" s="504"/>
      <c r="T135" s="504"/>
      <c r="U135" s="504"/>
    </row>
    <row r="136">
      <c r="A136" s="255" t="str">
        <f>IFERROR(__xludf.DUMMYFUNCTION("""COMPUTED_VALUE"""),"NANO")</f>
        <v>NANO</v>
      </c>
      <c r="B136" s="268" t="str">
        <f>IFERROR(__xludf.DUMMYFUNCTION("""COMPUTED_VALUE"""),"ratnasari28_____")</f>
        <v>ratnasari28_____</v>
      </c>
      <c r="C136" s="281" t="str">
        <f>IFERROR(__xludf.DUMMYFUNCTION("""COMPUTED_VALUE"""),"https://www.tiktok.com/@ratnasari28_____")</f>
        <v>https://www.tiktok.com/@ratnasari28_____</v>
      </c>
      <c r="D136" s="502">
        <f>IFERROR(__xludf.DUMMYFUNCTION("""COMPUTED_VALUE"""),8.5846224067E10)</f>
        <v>85846224067</v>
      </c>
      <c r="E136" s="503">
        <f>IFERROR(__xludf.DUMMYFUNCTION("""COMPUTED_VALUE"""),0.0)</f>
        <v>0</v>
      </c>
      <c r="F136" s="502">
        <f>IFERROR(__xludf.DUMMYFUNCTION("""COMPUTED_VALUE"""),3.0)</f>
        <v>3</v>
      </c>
      <c r="G136" s="493" t="str">
        <f>IFERROR(__xludf.DUMMYFUNCTION("""COMPUTED_VALUE"""),"Rp20,1jt")</f>
        <v>Rp20,1jt</v>
      </c>
      <c r="H136" s="466" t="str">
        <f>IFERROR(__xludf.DUMMYFUNCTION("""COMPUTED_VALUE"""),"Minyak Oles Benjolan")</f>
        <v>Minyak Oles Benjolan</v>
      </c>
      <c r="I136" s="260" t="str">
        <f>IFERROR(__xludf.DUMMYFUNCTION("""COMPUTED_VALUE"""),"Sampai")</f>
        <v>Sampai</v>
      </c>
      <c r="J136" s="494" t="str">
        <f>IFERROR(__xludf.DUMMYFUNCTION("""COMPUTED_VALUE"""),"Concept 3")</f>
        <v>Concept 3</v>
      </c>
      <c r="K136" s="278" t="str">
        <f>IFERROR(__xludf.DUMMYFUNCTION("""COMPUTED_VALUE"""),"https://vt.tiktok.com/ZSHoJ4e5n/")</f>
        <v>https://vt.tiktok.com/ZSHoJ4e5n/</v>
      </c>
      <c r="L136" s="495" t="str">
        <f>IFERROR(__xludf.DUMMYFUNCTION("""COMPUTED_VALUE""")," Concept 1")</f>
        <v> Concept 1</v>
      </c>
      <c r="M136" s="278" t="str">
        <f>IFERROR(__xludf.DUMMYFUNCTION("""COMPUTED_VALUE"""),"https://vt.tiktok.com/ZS9yHdfCa/")</f>
        <v>https://vt.tiktok.com/ZS9yHdfCa/</v>
      </c>
      <c r="N136" s="495"/>
      <c r="O136" s="278" t="str">
        <f>IFERROR(__xludf.DUMMYFUNCTION("""COMPUTED_VALUE"""),"https://vt.tiktok.com/ZSxAWqv1r/")</f>
        <v>https://vt.tiktok.com/ZSxAWqv1r/</v>
      </c>
      <c r="P136" s="495"/>
      <c r="Q136" s="262"/>
      <c r="R136" s="504"/>
      <c r="S136" s="504"/>
      <c r="T136" s="504"/>
      <c r="U136" s="504"/>
    </row>
    <row r="137">
      <c r="A137" s="255" t="str">
        <f>IFERROR(__xludf.DUMMYFUNCTION("""COMPUTED_VALUE"""),"MICRO")</f>
        <v>MICRO</v>
      </c>
      <c r="B137" s="268" t="str">
        <f>IFERROR(__xludf.DUMMYFUNCTION("""COMPUTED_VALUE"""),"gallerymutie")</f>
        <v>gallerymutie</v>
      </c>
      <c r="C137" s="281" t="str">
        <f>IFERROR(__xludf.DUMMYFUNCTION("""COMPUTED_VALUE"""),"https://www.tiktok.com/@gallerymutie")</f>
        <v>https://www.tiktok.com/@gallerymutie</v>
      </c>
      <c r="D137" s="502">
        <f>IFERROR(__xludf.DUMMYFUNCTION("""COMPUTED_VALUE"""),8.780540226E10)</f>
        <v>87805402260</v>
      </c>
      <c r="E137" s="503">
        <f>IFERROR(__xludf.DUMMYFUNCTION("""COMPUTED_VALUE"""),0.0)</f>
        <v>0</v>
      </c>
      <c r="F137" s="502">
        <f>IFERROR(__xludf.DUMMYFUNCTION("""COMPUTED_VALUE"""),3.0)</f>
        <v>3</v>
      </c>
      <c r="G137" s="493" t="str">
        <f>IFERROR(__xludf.DUMMYFUNCTION("""COMPUTED_VALUE"""),"Rp4,1jt")</f>
        <v>Rp4,1jt</v>
      </c>
      <c r="H137" s="466" t="str">
        <f>IFERROR(__xludf.DUMMYFUNCTION("""COMPUTED_VALUE"""),"Minyak Oles Benjolan")</f>
        <v>Minyak Oles Benjolan</v>
      </c>
      <c r="I137" s="260" t="str">
        <f>IFERROR(__xludf.DUMMYFUNCTION("""COMPUTED_VALUE"""),"Sampai")</f>
        <v>Sampai</v>
      </c>
      <c r="J137" s="494" t="str">
        <f>IFERROR(__xludf.DUMMYFUNCTION("""COMPUTED_VALUE"""),"Concept 5")</f>
        <v>Concept 5</v>
      </c>
      <c r="K137" s="278" t="str">
        <f>IFERROR(__xludf.DUMMYFUNCTION("""COMPUTED_VALUE"""),"https://vt.tiktok.com/ZSHWAWEKM/")</f>
        <v>https://vt.tiktok.com/ZSHWAWEKM/</v>
      </c>
      <c r="L137" s="495" t="str">
        <f>IFERROR(__xludf.DUMMYFUNCTION("""COMPUTED_VALUE"""),"Concept 3")</f>
        <v>Concept 3</v>
      </c>
      <c r="M137" s="278" t="str">
        <f>IFERROR(__xludf.DUMMYFUNCTION("""COMPUTED_VALUE"""),"https://vt.tiktok.com/ZSHTBpSpo/")</f>
        <v>https://vt.tiktok.com/ZSHTBpSpo/</v>
      </c>
      <c r="N137" s="495" t="str">
        <f>IFERROR(__xludf.DUMMYFUNCTION("""COMPUTED_VALUE""")," Concept 1")</f>
        <v> Concept 1</v>
      </c>
      <c r="O137" s="278" t="str">
        <f>IFERROR(__xludf.DUMMYFUNCTION("""COMPUTED_VALUE"""),"https://vt.tiktok.com/ZS9dVYtx1/")</f>
        <v>https://vt.tiktok.com/ZS9dVYtx1/</v>
      </c>
      <c r="P137" s="495"/>
      <c r="Q137" s="262"/>
      <c r="R137" s="504"/>
      <c r="S137" s="504"/>
      <c r="T137" s="504"/>
      <c r="U137" s="504"/>
    </row>
    <row r="138">
      <c r="A138" s="255" t="str">
        <f>IFERROR(__xludf.DUMMYFUNCTION("""COMPUTED_VALUE"""),"NANO")</f>
        <v>NANO</v>
      </c>
      <c r="B138" s="268" t="str">
        <f>IFERROR(__xludf.DUMMYFUNCTION("""COMPUTED_VALUE"""),"sii.lifa")</f>
        <v>sii.lifa</v>
      </c>
      <c r="C138" s="281" t="str">
        <f>IFERROR(__xludf.DUMMYFUNCTION("""COMPUTED_VALUE"""),"https://www.tiktok.com/@sii.lifa")</f>
        <v>https://www.tiktok.com/@sii.lifa</v>
      </c>
      <c r="D138" s="502">
        <f>IFERROR(__xludf.DUMMYFUNCTION("""COMPUTED_VALUE"""),8.7882729825E10)</f>
        <v>87882729825</v>
      </c>
      <c r="E138" s="503">
        <f>IFERROR(__xludf.DUMMYFUNCTION("""COMPUTED_VALUE"""),100000.0)</f>
        <v>100000</v>
      </c>
      <c r="F138" s="502">
        <f>IFERROR(__xludf.DUMMYFUNCTION("""COMPUTED_VALUE"""),1.0)</f>
        <v>1</v>
      </c>
      <c r="G138" s="493" t="str">
        <f>IFERROR(__xludf.DUMMYFUNCTION("""COMPUTED_VALUE"""),"Rp109,6jt")</f>
        <v>Rp109,6jt</v>
      </c>
      <c r="H138" s="466" t="str">
        <f>IFERROR(__xludf.DUMMYFUNCTION("""COMPUTED_VALUE"""),"Minyak Oles Benjolan")</f>
        <v>Minyak Oles Benjolan</v>
      </c>
      <c r="I138" s="260" t="str">
        <f>IFERROR(__xludf.DUMMYFUNCTION("""COMPUTED_VALUE"""),"Sampai")</f>
        <v>Sampai</v>
      </c>
      <c r="J138" s="494"/>
      <c r="K138" s="278" t="str">
        <f>IFERROR(__xludf.DUMMYFUNCTION("""COMPUTED_VALUE"""),"https://vt.tiktok.com/ZSxNfFjWS/")</f>
        <v>https://vt.tiktok.com/ZSxNfFjWS/</v>
      </c>
      <c r="L138" s="495"/>
      <c r="M138" s="262"/>
      <c r="N138" s="495"/>
      <c r="O138" s="262"/>
      <c r="P138" s="495"/>
      <c r="Q138" s="262"/>
      <c r="R138" s="504"/>
      <c r="S138" s="504"/>
      <c r="T138" s="504"/>
      <c r="U138" s="504"/>
    </row>
    <row r="139">
      <c r="A139" s="255" t="str">
        <f>IFERROR(__xludf.DUMMYFUNCTION("""COMPUTED_VALUE"""),"NANO")</f>
        <v>NANO</v>
      </c>
      <c r="B139" s="268" t="str">
        <f>IFERROR(__xludf.DUMMYFUNCTION("""COMPUTED_VALUE"""),"oddelianamaku")</f>
        <v>oddelianamaku</v>
      </c>
      <c r="C139" s="281" t="str">
        <f>IFERROR(__xludf.DUMMYFUNCTION("""COMPUTED_VALUE"""),"https://www.tiktok.com/@oddelianamaku")</f>
        <v>https://www.tiktok.com/@oddelianamaku</v>
      </c>
      <c r="D139" s="502">
        <f>IFERROR(__xludf.DUMMYFUNCTION("""COMPUTED_VALUE"""),8.3838066319E10)</f>
        <v>83838066319</v>
      </c>
      <c r="E139" s="503">
        <f>IFERROR(__xludf.DUMMYFUNCTION("""COMPUTED_VALUE"""),0.0)</f>
        <v>0</v>
      </c>
      <c r="F139" s="502">
        <f>IFERROR(__xludf.DUMMYFUNCTION("""COMPUTED_VALUE"""),3.0)</f>
        <v>3</v>
      </c>
      <c r="G139" s="493" t="str">
        <f>IFERROR(__xludf.DUMMYFUNCTION("""COMPUTED_VALUE"""),"Rp10jt")</f>
        <v>Rp10jt</v>
      </c>
      <c r="H139" s="466" t="str">
        <f>IFERROR(__xludf.DUMMYFUNCTION("""COMPUTED_VALUE"""),"Minyak Oles Benjolan")</f>
        <v>Minyak Oles Benjolan</v>
      </c>
      <c r="I139" s="260" t="str">
        <f>IFERROR(__xludf.DUMMYFUNCTION("""COMPUTED_VALUE"""),"Sampai")</f>
        <v>Sampai</v>
      </c>
      <c r="J139" s="494"/>
      <c r="K139" s="278" t="str">
        <f>IFERROR(__xludf.DUMMYFUNCTION("""COMPUTED_VALUE"""),"https://vt.tiktok.com/ZSxUgftaP/")</f>
        <v>https://vt.tiktok.com/ZSxUgftaP/</v>
      </c>
      <c r="L139" s="495"/>
      <c r="M139" s="278" t="str">
        <f>IFERROR(__xludf.DUMMYFUNCTION("""COMPUTED_VALUE"""),"https://vt.tiktok.com/ZSxWC5qDD//")</f>
        <v>https://vt.tiktok.com/ZSxWC5qDD//</v>
      </c>
      <c r="N139" s="495"/>
      <c r="O139" s="262"/>
      <c r="P139" s="495"/>
      <c r="Q139" s="262"/>
      <c r="R139" s="504"/>
      <c r="S139" s="504"/>
      <c r="T139" s="504"/>
      <c r="U139" s="504"/>
    </row>
    <row r="140">
      <c r="A140" s="255" t="str">
        <f>IFERROR(__xludf.DUMMYFUNCTION("""COMPUTED_VALUE"""),"NANO")</f>
        <v>NANO</v>
      </c>
      <c r="B140" s="268" t="str">
        <f>IFERROR(__xludf.DUMMYFUNCTION("""COMPUTED_VALUE"""),"anggi_ningsih")</f>
        <v>anggi_ningsih</v>
      </c>
      <c r="C140" s="281" t="str">
        <f>IFERROR(__xludf.DUMMYFUNCTION("""COMPUTED_VALUE"""),"https://www.tiktok.com/@anggi_ningsih")</f>
        <v>https://www.tiktok.com/@anggi_ningsih</v>
      </c>
      <c r="D140" s="502">
        <f>IFERROR(__xludf.DUMMYFUNCTION("""COMPUTED_VALUE"""),8.5329347471E10)</f>
        <v>85329347471</v>
      </c>
      <c r="E140" s="503">
        <f>IFERROR(__xludf.DUMMYFUNCTION("""COMPUTED_VALUE"""),0.0)</f>
        <v>0</v>
      </c>
      <c r="F140" s="502">
        <f>IFERROR(__xludf.DUMMYFUNCTION("""COMPUTED_VALUE"""),3.0)</f>
        <v>3</v>
      </c>
      <c r="G140" s="493" t="str">
        <f>IFERROR(__xludf.DUMMYFUNCTION("""COMPUTED_VALUE"""),"Rp1JT+")</f>
        <v>Rp1JT+</v>
      </c>
      <c r="H140" s="466" t="str">
        <f>IFERROR(__xludf.DUMMYFUNCTION("""COMPUTED_VALUE"""),"Minyak Oles Benjolan")</f>
        <v>Minyak Oles Benjolan</v>
      </c>
      <c r="I140" s="260" t="str">
        <f>IFERROR(__xludf.DUMMYFUNCTION("""COMPUTED_VALUE"""),"Sampai")</f>
        <v>Sampai</v>
      </c>
      <c r="J140" s="494"/>
      <c r="K140" s="278" t="str">
        <f>IFERROR(__xludf.DUMMYFUNCTION("""COMPUTED_VALUE"""),"https://vt.tiktok.com/ZSxRxtrmC/")</f>
        <v>https://vt.tiktok.com/ZSxRxtrmC/</v>
      </c>
      <c r="L140" s="495"/>
      <c r="M140" s="262"/>
      <c r="N140" s="495"/>
      <c r="O140" s="262"/>
      <c r="P140" s="495"/>
      <c r="Q140" s="262"/>
      <c r="R140" s="504"/>
      <c r="S140" s="504"/>
      <c r="T140" s="504"/>
      <c r="U140" s="504"/>
    </row>
    <row r="141">
      <c r="A141" s="255" t="str">
        <f>IFERROR(__xludf.DUMMYFUNCTION("""COMPUTED_VALUE"""),"MICRO")</f>
        <v>MICRO</v>
      </c>
      <c r="B141" s="268" t="str">
        <f>IFERROR(__xludf.DUMMYFUNCTION("""COMPUTED_VALUE"""),"mas_ag_nganjuk")</f>
        <v>mas_ag_nganjuk</v>
      </c>
      <c r="C141" s="281" t="str">
        <f>IFERROR(__xludf.DUMMYFUNCTION("""COMPUTED_VALUE"""),"https://www.tiktok.com/@mas_ag_nganjuk")</f>
        <v>https://www.tiktok.com/@mas_ag_nganjuk</v>
      </c>
      <c r="D141" s="502">
        <f>IFERROR(__xludf.DUMMYFUNCTION("""COMPUTED_VALUE"""),8.9603470278E10)</f>
        <v>89603470278</v>
      </c>
      <c r="E141" s="503">
        <f>IFERROR(__xludf.DUMMYFUNCTION("""COMPUTED_VALUE"""),0.0)</f>
        <v>0</v>
      </c>
      <c r="F141" s="502">
        <f>IFERROR(__xludf.DUMMYFUNCTION("""COMPUTED_VALUE"""),3.0)</f>
        <v>3</v>
      </c>
      <c r="G141" s="493" t="str">
        <f>IFERROR(__xludf.DUMMYFUNCTION("""COMPUTED_VALUE"""),"Rp10,4jt")</f>
        <v>Rp10,4jt</v>
      </c>
      <c r="H141" s="466" t="str">
        <f>IFERROR(__xludf.DUMMYFUNCTION("""COMPUTED_VALUE"""),"Minyak Oles Benjolan")</f>
        <v>Minyak Oles Benjolan</v>
      </c>
      <c r="I141" s="260" t="str">
        <f>IFERROR(__xludf.DUMMYFUNCTION("""COMPUTED_VALUE"""),"Sampai")</f>
        <v>Sampai</v>
      </c>
      <c r="J141" s="494"/>
      <c r="K141" s="278" t="str">
        <f>IFERROR(__xludf.DUMMYFUNCTION("""COMPUTED_VALUE"""),"https://www.tiktok.com/@mas_ag_nganjuk/video/7632230397832629525?is_from_webapp=1&amp;sender_device=pc")</f>
        <v>https://www.tiktok.com/@mas_ag_nganjuk/video/7632230397832629525?is_from_webapp=1&amp;sender_device=pc</v>
      </c>
      <c r="L141" s="495"/>
      <c r="M141" s="278" t="str">
        <f>IFERROR(__xludf.DUMMYFUNCTION("""COMPUTED_VALUE"""),"https://www.tiktok.com/@mas_ag_nganjuk/video/7632232334514752789?is_from_webapp=1&amp;sender_device=pc")</f>
        <v>https://www.tiktok.com/@mas_ag_nganjuk/video/7632232334514752789?is_from_webapp=1&amp;sender_device=pc</v>
      </c>
      <c r="N141" s="495"/>
      <c r="O141" s="262"/>
      <c r="P141" s="495"/>
      <c r="Q141" s="262"/>
      <c r="R141" s="504">
        <f>IFERROR(__xludf.DUMMYFUNCTION("""COMPUTED_VALUE"""),198136.0)</f>
        <v>198136</v>
      </c>
      <c r="S141" s="504"/>
      <c r="T141" s="504"/>
      <c r="U141" s="504"/>
    </row>
    <row r="142">
      <c r="A142" s="255" t="str">
        <f>IFERROR(__xludf.DUMMYFUNCTION("""COMPUTED_VALUE"""),"MICRO")</f>
        <v>MICRO</v>
      </c>
      <c r="B142" s="268" t="str">
        <f>IFERROR(__xludf.DUMMYFUNCTION("""COMPUTED_VALUE"""),"amiihnuna")</f>
        <v>amiihnuna</v>
      </c>
      <c r="C142" s="281" t="str">
        <f>IFERROR(__xludf.DUMMYFUNCTION("""COMPUTED_VALUE"""),"https://www.tiktok.com/@amiihnuna")</f>
        <v>https://www.tiktok.com/@amiihnuna</v>
      </c>
      <c r="D142" s="502">
        <f>IFERROR(__xludf.DUMMYFUNCTION("""COMPUTED_VALUE"""),8.1514979555E10)</f>
        <v>81514979555</v>
      </c>
      <c r="E142" s="503">
        <f>IFERROR(__xludf.DUMMYFUNCTION("""COMPUTED_VALUE"""),0.0)</f>
        <v>0</v>
      </c>
      <c r="F142" s="502">
        <f>IFERROR(__xludf.DUMMYFUNCTION("""COMPUTED_VALUE"""),3.0)</f>
        <v>3</v>
      </c>
      <c r="G142" s="493" t="str">
        <f>IFERROR(__xludf.DUMMYFUNCTION("""COMPUTED_VALUE"""),"Rp26jt")</f>
        <v>Rp26jt</v>
      </c>
      <c r="H142" s="466" t="str">
        <f>IFERROR(__xludf.DUMMYFUNCTION("""COMPUTED_VALUE"""),"Minyak Oles Benjolan")</f>
        <v>Minyak Oles Benjolan</v>
      </c>
      <c r="I142" s="260"/>
      <c r="J142" s="494"/>
      <c r="K142" s="262"/>
      <c r="L142" s="495"/>
      <c r="M142" s="262"/>
      <c r="N142" s="495"/>
      <c r="O142" s="262"/>
      <c r="P142" s="495"/>
      <c r="Q142" s="262"/>
      <c r="R142" s="504"/>
      <c r="S142" s="504"/>
      <c r="T142" s="504"/>
      <c r="U142" s="504"/>
    </row>
    <row r="143">
      <c r="A143" s="255" t="str">
        <f>IFERROR(__xludf.DUMMYFUNCTION("""COMPUTED_VALUE"""),"NANO")</f>
        <v>NANO</v>
      </c>
      <c r="B143" s="268" t="str">
        <f>IFERROR(__xludf.DUMMYFUNCTION("""COMPUTED_VALUE"""),"daily_rosse")</f>
        <v>daily_rosse</v>
      </c>
      <c r="C143" s="281" t="str">
        <f>IFERROR(__xludf.DUMMYFUNCTION("""COMPUTED_VALUE"""),"https://www.tiktok.com/@daily_rosse")</f>
        <v>https://www.tiktok.com/@daily_rosse</v>
      </c>
      <c r="D143" s="502">
        <f>IFERROR(__xludf.DUMMYFUNCTION("""COMPUTED_VALUE"""),8.9602263731E10)</f>
        <v>89602263731</v>
      </c>
      <c r="E143" s="503">
        <f>IFERROR(__xludf.DUMMYFUNCTION("""COMPUTED_VALUE"""),50000.0)</f>
        <v>50000</v>
      </c>
      <c r="F143" s="502">
        <f>IFERROR(__xludf.DUMMYFUNCTION("""COMPUTED_VALUE"""),2.0)</f>
        <v>2</v>
      </c>
      <c r="G143" s="493" t="str">
        <f>IFERROR(__xludf.DUMMYFUNCTION("""COMPUTED_VALUE"""),"Rp119,4jt")</f>
        <v>Rp119,4jt</v>
      </c>
      <c r="H143" s="466" t="str">
        <f>IFERROR(__xludf.DUMMYFUNCTION("""COMPUTED_VALUE"""),"Minyak Oles Benjolan")</f>
        <v>Minyak Oles Benjolan</v>
      </c>
      <c r="I143" s="260" t="str">
        <f>IFERROR(__xludf.DUMMYFUNCTION("""COMPUTED_VALUE"""),"Sampai")</f>
        <v>Sampai</v>
      </c>
      <c r="J143" s="494"/>
      <c r="K143" s="278" t="str">
        <f>IFERROR(__xludf.DUMMYFUNCTION("""COMPUTED_VALUE"""),"https://vt.tiktok.com/ZS9bFrnkm/")</f>
        <v>https://vt.tiktok.com/ZS9bFrnkm/</v>
      </c>
      <c r="L143" s="495"/>
      <c r="M143" s="278" t="str">
        <f>IFERROR(__xludf.DUMMYFUNCTION("""COMPUTED_VALUE"""),"https://vt.tiktok.com/ZSxFa7HQv/")</f>
        <v>https://vt.tiktok.com/ZSxFa7HQv/</v>
      </c>
      <c r="N143" s="495"/>
      <c r="O143" s="262"/>
      <c r="P143" s="495"/>
      <c r="Q143" s="262"/>
      <c r="R143" s="504"/>
      <c r="S143" s="504"/>
      <c r="T143" s="504"/>
      <c r="U143" s="504"/>
    </row>
    <row r="144">
      <c r="A144" s="255" t="str">
        <f>IFERROR(__xludf.DUMMYFUNCTION("""COMPUTED_VALUE"""),"NANO")</f>
        <v>NANO</v>
      </c>
      <c r="B144" s="268" t="str">
        <f>IFERROR(__xludf.DUMMYFUNCTION("""COMPUTED_VALUE"""),"reviewnurro")</f>
        <v>reviewnurro</v>
      </c>
      <c r="C144" s="281" t="str">
        <f>IFERROR(__xludf.DUMMYFUNCTION("""COMPUTED_VALUE"""),"https://www.tiktok.com/@reviewnurro")</f>
        <v>https://www.tiktok.com/@reviewnurro</v>
      </c>
      <c r="D144" s="502">
        <f>IFERROR(__xludf.DUMMYFUNCTION("""COMPUTED_VALUE"""),8.1803980022E10)</f>
        <v>81803980022</v>
      </c>
      <c r="E144" s="503">
        <f>IFERROR(__xludf.DUMMYFUNCTION("""COMPUTED_VALUE"""),0.0)</f>
        <v>0</v>
      </c>
      <c r="F144" s="502">
        <f>IFERROR(__xludf.DUMMYFUNCTION("""COMPUTED_VALUE"""),3.0)</f>
        <v>3</v>
      </c>
      <c r="G144" s="493" t="str">
        <f>IFERROR(__xludf.DUMMYFUNCTION("""COMPUTED_VALUE"""),"Rp25,5jt")</f>
        <v>Rp25,5jt</v>
      </c>
      <c r="H144" s="466" t="str">
        <f>IFERROR(__xludf.DUMMYFUNCTION("""COMPUTED_VALUE"""),"Minyak Oles Benjolan")</f>
        <v>Minyak Oles Benjolan</v>
      </c>
      <c r="I144" s="260" t="str">
        <f>IFERROR(__xludf.DUMMYFUNCTION("""COMPUTED_VALUE"""),"Sampai")</f>
        <v>Sampai</v>
      </c>
      <c r="J144" s="494"/>
      <c r="K144" s="278" t="str">
        <f>IFERROR(__xludf.DUMMYFUNCTION("""COMPUTED_VALUE"""),"https://vt.tiktok.com/ZS9p6prKa/")</f>
        <v>https://vt.tiktok.com/ZS9p6prKa/</v>
      </c>
      <c r="L144" s="495"/>
      <c r="M144" s="278" t="str">
        <f>IFERROR(__xludf.DUMMYFUNCTION("""COMPUTED_VALUE"""),"https://vt.tiktok.com/ZSxe72Fv8/")</f>
        <v>https://vt.tiktok.com/ZSxe72Fv8/</v>
      </c>
      <c r="N144" s="495"/>
      <c r="O144" s="278" t="str">
        <f>IFERROR(__xludf.DUMMYFUNCTION("""COMPUTED_VALUE"""),"https://vt.tiktok.com/ZSx8mQhjS/")</f>
        <v>https://vt.tiktok.com/ZSx8mQhjS/</v>
      </c>
      <c r="P144" s="495"/>
      <c r="Q144" s="278" t="str">
        <f>IFERROR(__xludf.DUMMYFUNCTION("""COMPUTED_VALUE"""),"https://vt.tiktok.com/ZSx8u6ENP/")</f>
        <v>https://vt.tiktok.com/ZSx8u6ENP/</v>
      </c>
      <c r="R144" s="504"/>
      <c r="S144" s="504"/>
      <c r="T144" s="504"/>
      <c r="U144" s="504"/>
    </row>
    <row r="145">
      <c r="A145" s="255"/>
      <c r="B145" s="268" t="str">
        <f>IFERROR(__xludf.DUMMYFUNCTION("""COMPUTED_VALUE"""),"lisaolshope1")</f>
        <v>lisaolshope1</v>
      </c>
      <c r="C145" s="281" t="str">
        <f>IFERROR(__xludf.DUMMYFUNCTION("""COMPUTED_VALUE"""),"https://www.tiktok.com/@lisaolshope1")</f>
        <v>https://www.tiktok.com/@lisaolshope1</v>
      </c>
      <c r="D145" s="502"/>
      <c r="E145" s="503"/>
      <c r="F145" s="502"/>
      <c r="G145" s="493"/>
      <c r="H145" s="466" t="str">
        <f>IFERROR(__xludf.DUMMYFUNCTION("""COMPUTED_VALUE"""),"Minyak Oles Benjolan")</f>
        <v>Minyak Oles Benjolan</v>
      </c>
      <c r="I145" s="260"/>
      <c r="J145" s="494"/>
      <c r="K145" s="262"/>
      <c r="L145" s="495"/>
      <c r="M145" s="262"/>
      <c r="N145" s="495"/>
      <c r="O145" s="262"/>
      <c r="P145" s="495"/>
      <c r="Q145" s="262"/>
      <c r="R145" s="504">
        <f>IFERROR(__xludf.DUMMYFUNCTION("""COMPUTED_VALUE"""),93136.0)</f>
        <v>93136</v>
      </c>
      <c r="S145" s="504"/>
      <c r="T145" s="504"/>
      <c r="U145" s="504"/>
    </row>
    <row r="146">
      <c r="A146" s="255" t="str">
        <f>IFERROR(__xludf.DUMMYFUNCTION("""COMPUTED_VALUE"""),"NANO")</f>
        <v>NANO</v>
      </c>
      <c r="B146" s="268" t="str">
        <f>IFERROR(__xludf.DUMMYFUNCTION("""COMPUTED_VALUE"""),"nandanarlya2")</f>
        <v>nandanarlya2</v>
      </c>
      <c r="C146" s="281" t="str">
        <f>IFERROR(__xludf.DUMMYFUNCTION("""COMPUTED_VALUE"""),"https://www.tiktok.com/@nandanarlya2")</f>
        <v>https://www.tiktok.com/@nandanarlya2</v>
      </c>
      <c r="D146" s="502">
        <f>IFERROR(__xludf.DUMMYFUNCTION("""COMPUTED_VALUE"""),8.2312888789E10)</f>
        <v>82312888789</v>
      </c>
      <c r="E146" s="503">
        <f>IFERROR(__xludf.DUMMYFUNCTION("""COMPUTED_VALUE"""),0.0)</f>
        <v>0</v>
      </c>
      <c r="F146" s="502">
        <f>IFERROR(__xludf.DUMMYFUNCTION("""COMPUTED_VALUE"""),2.0)</f>
        <v>2</v>
      </c>
      <c r="G146" s="493" t="str">
        <f>IFERROR(__xludf.DUMMYFUNCTION("""COMPUTED_VALUE"""),"Rp49,4jt")</f>
        <v>Rp49,4jt</v>
      </c>
      <c r="H146" s="466" t="str">
        <f>IFERROR(__xludf.DUMMYFUNCTION("""COMPUTED_VALUE"""),"Minyak Oles Benjolan")</f>
        <v>Minyak Oles Benjolan</v>
      </c>
      <c r="I146" s="260" t="str">
        <f>IFERROR(__xludf.DUMMYFUNCTION("""COMPUTED_VALUE"""),"Sampai")</f>
        <v>Sampai</v>
      </c>
      <c r="J146" s="494"/>
      <c r="K146" s="278" t="str">
        <f>IFERROR(__xludf.DUMMYFUNCTION("""COMPUTED_VALUE"""),"https://vt.tiktok.com/ZS9t6StCs/")</f>
        <v>https://vt.tiktok.com/ZS9t6StCs/</v>
      </c>
      <c r="L146" s="495"/>
      <c r="M146" s="278" t="str">
        <f>IFERROR(__xludf.DUMMYFUNCTION("""COMPUTED_VALUE"""),"https://vt.tiktok.com/ZSxLBUx8G/")</f>
        <v>https://vt.tiktok.com/ZSxLBUx8G/</v>
      </c>
      <c r="N146" s="495"/>
      <c r="O146" s="262"/>
      <c r="P146" s="495"/>
      <c r="Q146" s="262"/>
      <c r="R146" s="504"/>
      <c r="S146" s="504"/>
      <c r="T146" s="504"/>
      <c r="U146" s="504"/>
    </row>
    <row r="147">
      <c r="A147" s="255" t="str">
        <f>IFERROR(__xludf.DUMMYFUNCTION("""COMPUTED_VALUE"""),"MICRO")</f>
        <v>MICRO</v>
      </c>
      <c r="B147" s="268" t="str">
        <f>IFERROR(__xludf.DUMMYFUNCTION("""COMPUTED_VALUE"""),"dokterpuja")</f>
        <v>dokterpuja</v>
      </c>
      <c r="C147" s="281" t="str">
        <f>IFERROR(__xludf.DUMMYFUNCTION("""COMPUTED_VALUE"""),"https://www.tiktok.com/@dokterpuja")</f>
        <v>https://www.tiktok.com/@dokterpuja</v>
      </c>
      <c r="D147" s="502">
        <f>IFERROR(__xludf.DUMMYFUNCTION("""COMPUTED_VALUE"""),8.2371899341E10)</f>
        <v>82371899341</v>
      </c>
      <c r="E147" s="503">
        <f>IFERROR(__xludf.DUMMYFUNCTION("""COMPUTED_VALUE"""),600000.0)</f>
        <v>600000</v>
      </c>
      <c r="F147" s="502">
        <f>IFERROR(__xludf.DUMMYFUNCTION("""COMPUTED_VALUE"""),1.0)</f>
        <v>1</v>
      </c>
      <c r="G147" s="493" t="str">
        <f>IFERROR(__xludf.DUMMYFUNCTION("""COMPUTED_VALUE"""),"Rp192,5jt")</f>
        <v>Rp192,5jt</v>
      </c>
      <c r="H147" s="466" t="str">
        <f>IFERROR(__xludf.DUMMYFUNCTION("""COMPUTED_VALUE"""),"Minyak Oles Benjolan")</f>
        <v>Minyak Oles Benjolan</v>
      </c>
      <c r="I147" s="260" t="str">
        <f>IFERROR(__xludf.DUMMYFUNCTION("""COMPUTED_VALUE"""),"Sampai")</f>
        <v>Sampai</v>
      </c>
      <c r="J147" s="494"/>
      <c r="K147" s="278" t="str">
        <f>IFERROR(__xludf.DUMMYFUNCTION("""COMPUTED_VALUE"""),"https://vt.tiktok.com/ZSxkCbhbx/")</f>
        <v>https://vt.tiktok.com/ZSxkCbhbx/</v>
      </c>
      <c r="L147" s="495"/>
      <c r="M147" s="262"/>
      <c r="N147" s="495"/>
      <c r="O147" s="262"/>
      <c r="P147" s="495"/>
      <c r="Q147" s="262"/>
      <c r="R147" s="504">
        <f>IFERROR(__xludf.DUMMYFUNCTION("""COMPUTED_VALUE"""),188135.0)</f>
        <v>188135</v>
      </c>
      <c r="S147" s="504"/>
      <c r="T147" s="504"/>
      <c r="U147" s="504"/>
    </row>
    <row r="148">
      <c r="A148" s="255" t="str">
        <f>IFERROR(__xludf.DUMMYFUNCTION("""COMPUTED_VALUE"""),"NANO")</f>
        <v>NANO</v>
      </c>
      <c r="B148" s="268" t="str">
        <f>IFERROR(__xludf.DUMMYFUNCTION("""COMPUTED_VALUE"""),"greatsecuritybank")</f>
        <v>greatsecuritybank</v>
      </c>
      <c r="C148" s="281" t="str">
        <f>IFERROR(__xludf.DUMMYFUNCTION("""COMPUTED_VALUE"""),"https://www.tiktok.com/@greatsecuritybank")</f>
        <v>https://www.tiktok.com/@greatsecuritybank</v>
      </c>
      <c r="D148" s="502">
        <f>IFERROR(__xludf.DUMMYFUNCTION("""COMPUTED_VALUE"""),8.5187905501E10)</f>
        <v>85187905501</v>
      </c>
      <c r="E148" s="503">
        <f>IFERROR(__xludf.DUMMYFUNCTION("""COMPUTED_VALUE"""),0.0)</f>
        <v>0</v>
      </c>
      <c r="F148" s="502">
        <f>IFERROR(__xludf.DUMMYFUNCTION("""COMPUTED_VALUE"""),3.0)</f>
        <v>3</v>
      </c>
      <c r="G148" s="493" t="str">
        <f>IFERROR(__xludf.DUMMYFUNCTION("""COMPUTED_VALUE"""),"Rp1JT+")</f>
        <v>Rp1JT+</v>
      </c>
      <c r="H148" s="466" t="str">
        <f>IFERROR(__xludf.DUMMYFUNCTION("""COMPUTED_VALUE"""),"Minyak Oles Benjolan")</f>
        <v>Minyak Oles Benjolan</v>
      </c>
      <c r="I148" s="260" t="str">
        <f>IFERROR(__xludf.DUMMYFUNCTION("""COMPUTED_VALUE"""),"Sampai")</f>
        <v>Sampai</v>
      </c>
      <c r="J148" s="494"/>
      <c r="K148" s="262"/>
      <c r="L148" s="495"/>
      <c r="M148" s="262"/>
      <c r="N148" s="495"/>
      <c r="O148" s="262"/>
      <c r="P148" s="495"/>
      <c r="Q148" s="262"/>
      <c r="R148" s="504"/>
      <c r="S148" s="504"/>
      <c r="T148" s="504"/>
      <c r="U148" s="504"/>
    </row>
    <row r="149">
      <c r="A149" s="255" t="str">
        <f>IFERROR(__xludf.DUMMYFUNCTION("""COMPUTED_VALUE"""),"NANO")</f>
        <v>NANO</v>
      </c>
      <c r="B149" s="268" t="str">
        <f>IFERROR(__xludf.DUMMYFUNCTION("""COMPUTED_VALUE"""),"fatihatina_")</f>
        <v>fatihatina_</v>
      </c>
      <c r="C149" s="281" t="str">
        <f>IFERROR(__xludf.DUMMYFUNCTION("""COMPUTED_VALUE"""),"https://www.tiktok.com/@fatihatina_")</f>
        <v>https://www.tiktok.com/@fatihatina_</v>
      </c>
      <c r="D149" s="502">
        <f>IFERROR(__xludf.DUMMYFUNCTION("""COMPUTED_VALUE"""),8.5333064369E10)</f>
        <v>85333064369</v>
      </c>
      <c r="E149" s="503">
        <f>IFERROR(__xludf.DUMMYFUNCTION("""COMPUTED_VALUE"""),0.0)</f>
        <v>0</v>
      </c>
      <c r="F149" s="502">
        <f>IFERROR(__xludf.DUMMYFUNCTION("""COMPUTED_VALUE"""),3.0)</f>
        <v>3</v>
      </c>
      <c r="G149" s="493" t="str">
        <f>IFERROR(__xludf.DUMMYFUNCTION("""COMPUTED_VALUE"""),"Rp1JT+")</f>
        <v>Rp1JT+</v>
      </c>
      <c r="H149" s="466" t="str">
        <f>IFERROR(__xludf.DUMMYFUNCTION("""COMPUTED_VALUE"""),"Minyak Oles Benjolan")</f>
        <v>Minyak Oles Benjolan</v>
      </c>
      <c r="I149" s="260" t="str">
        <f>IFERROR(__xludf.DUMMYFUNCTION("""COMPUTED_VALUE"""),"Sampai")</f>
        <v>Sampai</v>
      </c>
      <c r="J149" s="494"/>
      <c r="K149" s="262"/>
      <c r="L149" s="495"/>
      <c r="M149" s="262"/>
      <c r="N149" s="495"/>
      <c r="O149" s="262"/>
      <c r="P149" s="495"/>
      <c r="Q149" s="262"/>
      <c r="R149" s="504"/>
      <c r="S149" s="504"/>
      <c r="T149" s="504"/>
      <c r="U149" s="504"/>
    </row>
    <row r="150">
      <c r="A150" s="255" t="str">
        <f>IFERROR(__xludf.DUMMYFUNCTION("""COMPUTED_VALUE"""),"MICRO")</f>
        <v>MICRO</v>
      </c>
      <c r="B150" s="268" t="str">
        <f>IFERROR(__xludf.DUMMYFUNCTION("""COMPUTED_VALUE"""),"azwaajun.muthahharah")</f>
        <v>azwaajun.muthahharah</v>
      </c>
      <c r="C150" s="281" t="str">
        <f>IFERROR(__xludf.DUMMYFUNCTION("""COMPUTED_VALUE"""),"https://www.tiktok.com/@azwaajun.muthahharah")</f>
        <v>https://www.tiktok.com/@azwaajun.muthahharah</v>
      </c>
      <c r="D150" s="502">
        <f>IFERROR(__xludf.DUMMYFUNCTION("""COMPUTED_VALUE"""),8.2259269505E10)</f>
        <v>82259269505</v>
      </c>
      <c r="E150" s="503">
        <f>IFERROR(__xludf.DUMMYFUNCTION("""COMPUTED_VALUE"""),0.0)</f>
        <v>0</v>
      </c>
      <c r="F150" s="502">
        <f>IFERROR(__xludf.DUMMYFUNCTION("""COMPUTED_VALUE"""),3.0)</f>
        <v>3</v>
      </c>
      <c r="G150" s="493" t="str">
        <f>IFERROR(__xludf.DUMMYFUNCTION("""COMPUTED_VALUE"""),"Rp28,7jt
")</f>
        <v>Rp28,7jt
</v>
      </c>
      <c r="H150" s="466" t="str">
        <f>IFERROR(__xludf.DUMMYFUNCTION("""COMPUTED_VALUE"""),"Minyak Oles Benjolan")</f>
        <v>Minyak Oles Benjolan</v>
      </c>
      <c r="I150" s="260" t="str">
        <f>IFERROR(__xludf.DUMMYFUNCTION("""COMPUTED_VALUE"""),"Sampai")</f>
        <v>Sampai</v>
      </c>
      <c r="J150" s="494"/>
      <c r="K150" s="278" t="str">
        <f>IFERROR(__xludf.DUMMYFUNCTION("""COMPUTED_VALUE"""),"https://vt.tiktok.com/ZSxAQcy5x/")</f>
        <v>https://vt.tiktok.com/ZSxAQcy5x/</v>
      </c>
      <c r="L150" s="495"/>
      <c r="M150" s="262"/>
      <c r="N150" s="495"/>
      <c r="O150" s="262"/>
      <c r="P150" s="495"/>
      <c r="Q150" s="262"/>
      <c r="R150" s="504">
        <f>IFERROR(__xludf.DUMMYFUNCTION("""COMPUTED_VALUE"""),189998.0)</f>
        <v>189998</v>
      </c>
      <c r="S150" s="504"/>
      <c r="T150" s="504"/>
      <c r="U150" s="504"/>
    </row>
    <row r="151">
      <c r="A151" s="255" t="str">
        <f>IFERROR(__xludf.DUMMYFUNCTION("""COMPUTED_VALUE"""),"MICRO")</f>
        <v>MICRO</v>
      </c>
      <c r="B151" s="268" t="str">
        <f>IFERROR(__xludf.DUMMYFUNCTION("""COMPUTED_VALUE"""),"meihrdnt_")</f>
        <v>meihrdnt_</v>
      </c>
      <c r="C151" s="281" t="str">
        <f>IFERROR(__xludf.DUMMYFUNCTION("""COMPUTED_VALUE"""),"https://www.tiktok.com/@meihrdnt_")</f>
        <v>https://www.tiktok.com/@meihrdnt_</v>
      </c>
      <c r="D151" s="502">
        <f>IFERROR(__xludf.DUMMYFUNCTION("""COMPUTED_VALUE"""),8.2394995245E10)</f>
        <v>82394995245</v>
      </c>
      <c r="E151" s="503">
        <f>IFERROR(__xludf.DUMMYFUNCTION("""COMPUTED_VALUE"""),150000.0)</f>
        <v>150000</v>
      </c>
      <c r="F151" s="502">
        <f>IFERROR(__xludf.DUMMYFUNCTION("""COMPUTED_VALUE"""),1.0)</f>
        <v>1</v>
      </c>
      <c r="G151" s="493" t="str">
        <f>IFERROR(__xludf.DUMMYFUNCTION("""COMPUTED_VALUE"""),"Rp1JT+")</f>
        <v>Rp1JT+</v>
      </c>
      <c r="H151" s="466" t="str">
        <f>IFERROR(__xludf.DUMMYFUNCTION("""COMPUTED_VALUE"""),"Minyak Oles Benjolan")</f>
        <v>Minyak Oles Benjolan</v>
      </c>
      <c r="I151" s="260" t="str">
        <f>IFERROR(__xludf.DUMMYFUNCTION("""COMPUTED_VALUE"""),"Sampai")</f>
        <v>Sampai</v>
      </c>
      <c r="J151" s="494"/>
      <c r="K151" s="278" t="str">
        <f>IFERROR(__xludf.DUMMYFUNCTION("""COMPUTED_VALUE"""),"https://vt.tiktok.com/ZSxKNLEES/")</f>
        <v>https://vt.tiktok.com/ZSxKNLEES/</v>
      </c>
      <c r="L151" s="495"/>
      <c r="M151" s="262"/>
      <c r="N151" s="495"/>
      <c r="O151" s="262"/>
      <c r="P151" s="495"/>
      <c r="Q151" s="262"/>
      <c r="R151" s="504"/>
      <c r="S151" s="504"/>
      <c r="T151" s="504"/>
      <c r="U151" s="504"/>
    </row>
    <row r="152">
      <c r="A152" s="255" t="str">
        <f>IFERROR(__xludf.DUMMYFUNCTION("""COMPUTED_VALUE"""),"NANO")</f>
        <v>NANO</v>
      </c>
      <c r="B152" s="268" t="str">
        <f>IFERROR(__xludf.DUMMYFUNCTION("""COMPUTED_VALUE"""),"ameliahmusthofa")</f>
        <v>ameliahmusthofa</v>
      </c>
      <c r="C152" s="281" t="str">
        <f>IFERROR(__xludf.DUMMYFUNCTION("""COMPUTED_VALUE"""),"https://www.tiktok.com/@ameliahmusthofa")</f>
        <v>https://www.tiktok.com/@ameliahmusthofa</v>
      </c>
      <c r="D152" s="502">
        <f>IFERROR(__xludf.DUMMYFUNCTION("""COMPUTED_VALUE"""),8.1952906667E10)</f>
        <v>81952906667</v>
      </c>
      <c r="E152" s="503">
        <f>IFERROR(__xludf.DUMMYFUNCTION("""COMPUTED_VALUE"""),0.0)</f>
        <v>0</v>
      </c>
      <c r="F152" s="502">
        <f>IFERROR(__xludf.DUMMYFUNCTION("""COMPUTED_VALUE"""),3.0)</f>
        <v>3</v>
      </c>
      <c r="G152" s="493" t="str">
        <f>IFERROR(__xludf.DUMMYFUNCTION("""COMPUTED_VALUE"""),"Rp36jt")</f>
        <v>Rp36jt</v>
      </c>
      <c r="H152" s="466" t="str">
        <f>IFERROR(__xludf.DUMMYFUNCTION("""COMPUTED_VALUE"""),"Minyak Oles Benjolan")</f>
        <v>Minyak Oles Benjolan</v>
      </c>
      <c r="I152" s="260" t="str">
        <f>IFERROR(__xludf.DUMMYFUNCTION("""COMPUTED_VALUE"""),"Sampai")</f>
        <v>Sampai</v>
      </c>
      <c r="J152" s="494"/>
      <c r="K152" s="278" t="str">
        <f>IFERROR(__xludf.DUMMYFUNCTION("""COMPUTED_VALUE"""),"https://vt.tiktok.com/ZSxGdGBnh/")</f>
        <v>https://vt.tiktok.com/ZSxGdGBnh/</v>
      </c>
      <c r="L152" s="495"/>
      <c r="M152" s="278" t="str">
        <f>IFERROR(__xludf.DUMMYFUNCTION("""COMPUTED_VALUE"""),"https://vt.tiktok.com/ZSxGdt6v1/")</f>
        <v>https://vt.tiktok.com/ZSxGdt6v1/</v>
      </c>
      <c r="N152" s="495"/>
      <c r="O152" s="278" t="str">
        <f>IFERROR(__xludf.DUMMYFUNCTION("""COMPUTED_VALUE"""),"https://vt.tiktok.com/ZSxGdaGm3/")</f>
        <v>https://vt.tiktok.com/ZSxGdaGm3/</v>
      </c>
      <c r="P152" s="495"/>
      <c r="Q152" s="262"/>
      <c r="R152" s="504">
        <f>IFERROR(__xludf.DUMMYFUNCTION("""COMPUTED_VALUE"""),91199.0)</f>
        <v>91199</v>
      </c>
      <c r="S152" s="504"/>
      <c r="T152" s="504"/>
      <c r="U152" s="504"/>
    </row>
    <row r="153">
      <c r="A153" s="255" t="str">
        <f>IFERROR(__xludf.DUMMYFUNCTION("""COMPUTED_VALUE"""),"NANO")</f>
        <v>NANO</v>
      </c>
      <c r="B153" s="268" t="str">
        <f>IFERROR(__xludf.DUMMYFUNCTION("""COMPUTED_VALUE"""),"almaira.zea")</f>
        <v>almaira.zea</v>
      </c>
      <c r="C153" s="281" t="str">
        <f>IFERROR(__xludf.DUMMYFUNCTION("""COMPUTED_VALUE"""),"https://www.tiktok.com/@almaira.zea")</f>
        <v>https://www.tiktok.com/@almaira.zea</v>
      </c>
      <c r="D153" s="502">
        <f>IFERROR(__xludf.DUMMYFUNCTION("""COMPUTED_VALUE"""),8.2240194635E10)</f>
        <v>82240194635</v>
      </c>
      <c r="E153" s="503">
        <f>IFERROR(__xludf.DUMMYFUNCTION("""COMPUTED_VALUE"""),0.0)</f>
        <v>0</v>
      </c>
      <c r="F153" s="502"/>
      <c r="G153" s="493" t="str">
        <f>IFERROR(__xludf.DUMMYFUNCTION("""COMPUTED_VALUE"""),"Rp40,2jt")</f>
        <v>Rp40,2jt</v>
      </c>
      <c r="H153" s="466" t="str">
        <f>IFERROR(__xludf.DUMMYFUNCTION("""COMPUTED_VALUE"""),"Minyak Oles Benjolan")</f>
        <v>Minyak Oles Benjolan</v>
      </c>
      <c r="I153" s="260" t="str">
        <f>IFERROR(__xludf.DUMMYFUNCTION("""COMPUTED_VALUE"""),"Sampai")</f>
        <v>Sampai</v>
      </c>
      <c r="J153" s="494"/>
      <c r="K153" s="278" t="str">
        <f>IFERROR(__xludf.DUMMYFUNCTION("""COMPUTED_VALUE"""),"https://vt.tiktok.com/ZSxkoNbnA/")</f>
        <v>https://vt.tiktok.com/ZSxkoNbnA/</v>
      </c>
      <c r="L153" s="495"/>
      <c r="M153" s="262"/>
      <c r="N153" s="495"/>
      <c r="O153" s="262"/>
      <c r="P153" s="495"/>
      <c r="Q153" s="262"/>
      <c r="R153" s="504"/>
      <c r="S153" s="504"/>
      <c r="T153" s="504"/>
      <c r="U153" s="504"/>
    </row>
    <row r="154">
      <c r="A154" s="255" t="str">
        <f>IFERROR(__xludf.DUMMYFUNCTION("""COMPUTED_VALUE"""),"NANO")</f>
        <v>NANO</v>
      </c>
      <c r="B154" s="268" t="str">
        <f>IFERROR(__xludf.DUMMYFUNCTION("""COMPUTED_VALUE"""),"rosdianasary3")</f>
        <v>rosdianasary3</v>
      </c>
      <c r="C154" s="281" t="str">
        <f>IFERROR(__xludf.DUMMYFUNCTION("""COMPUTED_VALUE"""),"https://www.tiktok.com/@rosdianasary3")</f>
        <v>https://www.tiktok.com/@rosdianasary3</v>
      </c>
      <c r="D154" s="502">
        <f>IFERROR(__xludf.DUMMYFUNCTION("""COMPUTED_VALUE"""),8.5266006182E10)</f>
        <v>85266006182</v>
      </c>
      <c r="E154" s="503">
        <f>IFERROR(__xludf.DUMMYFUNCTION("""COMPUTED_VALUE"""),0.0)</f>
        <v>0</v>
      </c>
      <c r="F154" s="502"/>
      <c r="G154" s="493" t="str">
        <f>IFERROR(__xludf.DUMMYFUNCTION("""COMPUTED_VALUE"""),"Rp34,8jt
")</f>
        <v>Rp34,8jt
</v>
      </c>
      <c r="H154" s="466" t="str">
        <f>IFERROR(__xludf.DUMMYFUNCTION("""COMPUTED_VALUE"""),"Minyak Oles Benjolan")</f>
        <v>Minyak Oles Benjolan</v>
      </c>
      <c r="I154" s="260" t="str">
        <f>IFERROR(__xludf.DUMMYFUNCTION("""COMPUTED_VALUE"""),"Sampai")</f>
        <v>Sampai</v>
      </c>
      <c r="J154" s="494"/>
      <c r="K154" s="278" t="str">
        <f>IFERROR(__xludf.DUMMYFUNCTION("""COMPUTED_VALUE"""),"https://vt.tiktok.com/ZSxUQ1MKL/")</f>
        <v>https://vt.tiktok.com/ZSxUQ1MKL/</v>
      </c>
      <c r="L154" s="495"/>
      <c r="M154" s="262"/>
      <c r="N154" s="495"/>
      <c r="O154" s="262"/>
      <c r="P154" s="495"/>
      <c r="Q154" s="262"/>
      <c r="R154" s="504"/>
      <c r="S154" s="504"/>
      <c r="T154" s="504"/>
      <c r="U154" s="504"/>
    </row>
    <row r="155">
      <c r="A155" s="255" t="str">
        <f>IFERROR(__xludf.DUMMYFUNCTION("""COMPUTED_VALUE"""),"NANO")</f>
        <v>NANO</v>
      </c>
      <c r="B155" s="268" t="str">
        <f>IFERROR(__xludf.DUMMYFUNCTION("""COMPUTED_VALUE"""),"wahyu_healthylife")</f>
        <v>wahyu_healthylife</v>
      </c>
      <c r="C155" s="281" t="str">
        <f>IFERROR(__xludf.DUMMYFUNCTION("""COMPUTED_VALUE"""),"https://www.tiktok.com/@wahyu_healthylife")</f>
        <v>https://www.tiktok.com/@wahyu_healthylife</v>
      </c>
      <c r="D155" s="502"/>
      <c r="E155" s="503">
        <f>IFERROR(__xludf.DUMMYFUNCTION("""COMPUTED_VALUE"""),0.0)</f>
        <v>0</v>
      </c>
      <c r="F155" s="502">
        <f>IFERROR(__xludf.DUMMYFUNCTION("""COMPUTED_VALUE"""),3.0)</f>
        <v>3</v>
      </c>
      <c r="G155" s="493" t="str">
        <f>IFERROR(__xludf.DUMMYFUNCTION("""COMPUTED_VALUE"""),"Rp104jt")</f>
        <v>Rp104jt</v>
      </c>
      <c r="H155" s="466" t="str">
        <f>IFERROR(__xludf.DUMMYFUNCTION("""COMPUTED_VALUE"""),"Minyak Oles Benjolan")</f>
        <v>Minyak Oles Benjolan</v>
      </c>
      <c r="I155" s="260" t="str">
        <f>IFERROR(__xludf.DUMMYFUNCTION("""COMPUTED_VALUE"""),"Kendala [FU!]")</f>
        <v>Kendala [FU!]</v>
      </c>
      <c r="J155" s="494"/>
      <c r="K155" s="262"/>
      <c r="L155" s="495"/>
      <c r="M155" s="262"/>
      <c r="N155" s="495"/>
      <c r="O155" s="262"/>
      <c r="P155" s="495"/>
      <c r="Q155" s="262"/>
      <c r="R155" s="504"/>
      <c r="S155" s="504"/>
      <c r="T155" s="504"/>
      <c r="U155" s="504"/>
    </row>
    <row r="156">
      <c r="A156" s="255" t="str">
        <f>IFERROR(__xludf.DUMMYFUNCTION("""COMPUTED_VALUE"""),"NANO")</f>
        <v>NANO</v>
      </c>
      <c r="B156" s="268" t="str">
        <f>IFERROR(__xludf.DUMMYFUNCTION("""COMPUTED_VALUE"""),"amarliazakaria")</f>
        <v>amarliazakaria</v>
      </c>
      <c r="C156" s="281" t="str">
        <f>IFERROR(__xludf.DUMMYFUNCTION("""COMPUTED_VALUE"""),"https://www.tiktok.com/@amarliazakaria")</f>
        <v>https://www.tiktok.com/@amarliazakaria</v>
      </c>
      <c r="D156" s="502">
        <f>IFERROR(__xludf.DUMMYFUNCTION("""COMPUTED_VALUE"""),8.5353150501E10)</f>
        <v>85353150501</v>
      </c>
      <c r="E156" s="503">
        <f>IFERROR(__xludf.DUMMYFUNCTION("""COMPUTED_VALUE"""),0.0)</f>
        <v>0</v>
      </c>
      <c r="F156" s="502"/>
      <c r="G156" s="493" t="str">
        <f>IFERROR(__xludf.DUMMYFUNCTION("""COMPUTED_VALUE"""),"Rp9,3jt")</f>
        <v>Rp9,3jt</v>
      </c>
      <c r="H156" s="466" t="str">
        <f>IFERROR(__xludf.DUMMYFUNCTION("""COMPUTED_VALUE"""),"Minyak Oles Benjolan")</f>
        <v>Minyak Oles Benjolan</v>
      </c>
      <c r="I156" s="260"/>
      <c r="J156" s="494"/>
      <c r="K156" s="262"/>
      <c r="L156" s="495"/>
      <c r="M156" s="262"/>
      <c r="N156" s="495"/>
      <c r="O156" s="262"/>
      <c r="P156" s="495"/>
      <c r="Q156" s="262"/>
      <c r="R156" s="504"/>
      <c r="S156" s="504"/>
      <c r="T156" s="504"/>
      <c r="U156" s="504"/>
    </row>
    <row r="157">
      <c r="A157" s="255" t="str">
        <f>IFERROR(__xludf.DUMMYFUNCTION("""COMPUTED_VALUE"""),"MICRO")</f>
        <v>MICRO</v>
      </c>
      <c r="B157" s="268" t="str">
        <f>IFERROR(__xludf.DUMMYFUNCTION("""COMPUTED_VALUE"""),"momyhusna")</f>
        <v>momyhusna</v>
      </c>
      <c r="C157" s="281" t="str">
        <f>IFERROR(__xludf.DUMMYFUNCTION("""COMPUTED_VALUE"""),"https://www.tiktok.com/@momyhusna")</f>
        <v>https://www.tiktok.com/@momyhusna</v>
      </c>
      <c r="D157" s="502">
        <f>IFERROR(__xludf.DUMMYFUNCTION("""COMPUTED_VALUE"""),8.22853949E10)</f>
        <v>82285394900</v>
      </c>
      <c r="E157" s="503">
        <f>IFERROR(__xludf.DUMMYFUNCTION("""COMPUTED_VALUE"""),0.0)</f>
        <v>0</v>
      </c>
      <c r="F157" s="502">
        <f>IFERROR(__xludf.DUMMYFUNCTION("""COMPUTED_VALUE"""),3.0)</f>
        <v>3</v>
      </c>
      <c r="G157" s="493" t="str">
        <f>IFERROR(__xludf.DUMMYFUNCTION("""COMPUTED_VALUE"""),"1jt+")</f>
        <v>1jt+</v>
      </c>
      <c r="H157" s="466" t="str">
        <f>IFERROR(__xludf.DUMMYFUNCTION("""COMPUTED_VALUE"""),"Minyak Oles Benjolan")</f>
        <v>Minyak Oles Benjolan</v>
      </c>
      <c r="I157" s="260" t="str">
        <f>IFERROR(__xludf.DUMMYFUNCTION("""COMPUTED_VALUE"""),"Sampai")</f>
        <v>Sampai</v>
      </c>
      <c r="J157" s="494"/>
      <c r="K157" s="278" t="str">
        <f>IFERROR(__xludf.DUMMYFUNCTION("""COMPUTED_VALUE"""),"https://vt.tiktok.com/ZSxQXnMgu/")</f>
        <v>https://vt.tiktok.com/ZSxQXnMgu/</v>
      </c>
      <c r="L157" s="495"/>
      <c r="M157" s="278" t="str">
        <f>IFERROR(__xludf.DUMMYFUNCTION("""COMPUTED_VALUE"""),"https://vt.tiktok.com/ZSxQ4UbjW/")</f>
        <v>https://vt.tiktok.com/ZSxQ4UbjW/</v>
      </c>
      <c r="N157" s="495"/>
      <c r="O157" s="278" t="str">
        <f>IFERROR(__xludf.DUMMYFUNCTION("""COMPUTED_VALUE"""),"https://vt.tiktok.com/ZSxQ4NXgM/")</f>
        <v>https://vt.tiktok.com/ZSxQ4NXgM/</v>
      </c>
      <c r="P157" s="495"/>
      <c r="Q157" s="278" t="str">
        <f>IFERROR(__xludf.DUMMYFUNCTION("""COMPUTED_VALUE"""),"https://vt.tiktok.com/ZSxQ4kscK/")</f>
        <v>https://vt.tiktok.com/ZSxQ4kscK/</v>
      </c>
      <c r="R157" s="504"/>
      <c r="S157" s="504"/>
      <c r="T157" s="504"/>
      <c r="U157" s="504"/>
    </row>
    <row r="158">
      <c r="A158" s="255" t="str">
        <f>IFERROR(__xludf.DUMMYFUNCTION("""COMPUTED_VALUE"""),"NANO")</f>
        <v>NANO</v>
      </c>
      <c r="B158" s="268" t="str">
        <f>IFERROR(__xludf.DUMMYFUNCTION("""COMPUTED_VALUE"""),"animasi_herbal")</f>
        <v>animasi_herbal</v>
      </c>
      <c r="C158" s="281" t="str">
        <f>IFERROR(__xludf.DUMMYFUNCTION("""COMPUTED_VALUE"""),"https://www.tiktok.com/@animasi_herbal")</f>
        <v>https://www.tiktok.com/@animasi_herbal</v>
      </c>
      <c r="D158" s="502">
        <f>IFERROR(__xludf.DUMMYFUNCTION("""COMPUTED_VALUE"""),8.217667103E10)</f>
        <v>82176671030</v>
      </c>
      <c r="E158" s="503">
        <f>IFERROR(__xludf.DUMMYFUNCTION("""COMPUTED_VALUE"""),0.0)</f>
        <v>0</v>
      </c>
      <c r="F158" s="502">
        <f>IFERROR(__xludf.DUMMYFUNCTION("""COMPUTED_VALUE"""),3.0)</f>
        <v>3</v>
      </c>
      <c r="G158" s="493" t="str">
        <f>IFERROR(__xludf.DUMMYFUNCTION("""COMPUTED_VALUE"""),"1jt+")</f>
        <v>1jt+</v>
      </c>
      <c r="H158" s="466" t="str">
        <f>IFERROR(__xludf.DUMMYFUNCTION("""COMPUTED_VALUE"""),"Minyak Oles Benjolan")</f>
        <v>Minyak Oles Benjolan</v>
      </c>
      <c r="I158" s="260" t="str">
        <f>IFERROR(__xludf.DUMMYFUNCTION("""COMPUTED_VALUE"""),"Sampai")</f>
        <v>Sampai</v>
      </c>
      <c r="J158" s="494"/>
      <c r="K158" s="278" t="str">
        <f>IFERROR(__xludf.DUMMYFUNCTION("""COMPUTED_VALUE"""),"https://vt.tiktok.com/ZSxakHEQy/")</f>
        <v>https://vt.tiktok.com/ZSxakHEQy/</v>
      </c>
      <c r="L158" s="495"/>
      <c r="M158" s="278" t="str">
        <f>IFERROR(__xludf.DUMMYFUNCTION("""COMPUTED_VALUE"""),"https://vt.tiktok.com/ZSxgYNv2U/")</f>
        <v>https://vt.tiktok.com/ZSxgYNv2U/</v>
      </c>
      <c r="N158" s="495"/>
      <c r="O158" s="278" t="str">
        <f>IFERROR(__xludf.DUMMYFUNCTION("""COMPUTED_VALUE"""),"https://www.tiktok.com/@animasi_herbal/video/7642213578849783048?is_from_webapp=1&amp;sender_device=pc&amp;web_id=76221474845676027099")</f>
        <v>https://www.tiktok.com/@animasi_herbal/video/7642213578849783048?is_from_webapp=1&amp;sender_device=pc&amp;web_id=76221474845676027099</v>
      </c>
      <c r="P158" s="495"/>
      <c r="Q158" s="262"/>
      <c r="R158" s="504">
        <f>IFERROR(__xludf.DUMMYFUNCTION("""COMPUTED_VALUE"""),493134.0)</f>
        <v>493134</v>
      </c>
      <c r="S158" s="504"/>
      <c r="T158" s="504"/>
      <c r="U158" s="504"/>
    </row>
    <row r="159">
      <c r="A159" s="255" t="str">
        <f>IFERROR(__xludf.DUMMYFUNCTION("""COMPUTED_VALUE"""),"NANO")</f>
        <v>NANO</v>
      </c>
      <c r="B159" s="268" t="str">
        <f>IFERROR(__xludf.DUMMYFUNCTION("""COMPUTED_VALUE"""),"vio_arvianoo")</f>
        <v>vio_arvianoo</v>
      </c>
      <c r="C159" s="281" t="str">
        <f>IFERROR(__xludf.DUMMYFUNCTION("""COMPUTED_VALUE"""),"https://www.tiktok.com/@vio_arvianoo")</f>
        <v>https://www.tiktok.com/@vio_arvianoo</v>
      </c>
      <c r="D159" s="502">
        <f>IFERROR(__xludf.DUMMYFUNCTION("""COMPUTED_VALUE"""),8.2298345602E10)</f>
        <v>82298345602</v>
      </c>
      <c r="E159" s="503">
        <f>IFERROR(__xludf.DUMMYFUNCTION("""COMPUTED_VALUE"""),0.0)</f>
        <v>0</v>
      </c>
      <c r="F159" s="502">
        <f>IFERROR(__xludf.DUMMYFUNCTION("""COMPUTED_VALUE"""),3.0)</f>
        <v>3</v>
      </c>
      <c r="G159" s="493" t="str">
        <f>IFERROR(__xludf.DUMMYFUNCTION("""COMPUTED_VALUE"""),"30jt")</f>
        <v>30jt</v>
      </c>
      <c r="H159" s="466" t="str">
        <f>IFERROR(__xludf.DUMMYFUNCTION("""COMPUTED_VALUE"""),"Minyak Oles Benjolan")</f>
        <v>Minyak Oles Benjolan</v>
      </c>
      <c r="I159" s="260" t="str">
        <f>IFERROR(__xludf.DUMMYFUNCTION("""COMPUTED_VALUE"""),"Sampai")</f>
        <v>Sampai</v>
      </c>
      <c r="J159" s="494"/>
      <c r="K159" s="262"/>
      <c r="L159" s="495"/>
      <c r="M159" s="262"/>
      <c r="N159" s="495"/>
      <c r="O159" s="262"/>
      <c r="P159" s="495"/>
      <c r="Q159" s="262"/>
      <c r="R159" s="504"/>
      <c r="S159" s="504"/>
      <c r="T159" s="504"/>
      <c r="U159" s="504"/>
    </row>
    <row r="160">
      <c r="A160" s="255" t="str">
        <f>IFERROR(__xludf.DUMMYFUNCTION("""COMPUTED_VALUE"""),"MICRO")</f>
        <v>MICRO</v>
      </c>
      <c r="B160" s="268" t="str">
        <f>IFERROR(__xludf.DUMMYFUNCTION("""COMPUTED_VALUE"""),"cekoneng1")</f>
        <v>cekoneng1</v>
      </c>
      <c r="C160" s="281" t="str">
        <f>IFERROR(__xludf.DUMMYFUNCTION("""COMPUTED_VALUE"""),"https://www.tiktok.com/@cekoneng1")</f>
        <v>https://www.tiktok.com/@cekoneng1</v>
      </c>
      <c r="D160" s="502">
        <f>IFERROR(__xludf.DUMMYFUNCTION("""COMPUTED_VALUE"""),8.953660039E11)</f>
        <v>895366003900</v>
      </c>
      <c r="E160" s="503">
        <f>IFERROR(__xludf.DUMMYFUNCTION("""COMPUTED_VALUE"""),0.0)</f>
        <v>0</v>
      </c>
      <c r="F160" s="502">
        <f>IFERROR(__xludf.DUMMYFUNCTION("""COMPUTED_VALUE"""),3.0)</f>
        <v>3</v>
      </c>
      <c r="G160" s="493" t="str">
        <f>IFERROR(__xludf.DUMMYFUNCTION("""COMPUTED_VALUE"""),"298jt")</f>
        <v>298jt</v>
      </c>
      <c r="H160" s="466" t="str">
        <f>IFERROR(__xludf.DUMMYFUNCTION("""COMPUTED_VALUE"""),"Minyak Oles Benjolan")</f>
        <v>Minyak Oles Benjolan</v>
      </c>
      <c r="I160" s="260" t="str">
        <f>IFERROR(__xludf.DUMMYFUNCTION("""COMPUTED_VALUE"""),"Done Req Sample")</f>
        <v>Done Req Sample</v>
      </c>
      <c r="J160" s="494"/>
      <c r="K160" s="262"/>
      <c r="L160" s="495"/>
      <c r="M160" s="262"/>
      <c r="N160" s="495"/>
      <c r="O160" s="262"/>
      <c r="P160" s="495"/>
      <c r="Q160" s="262"/>
      <c r="R160" s="504"/>
      <c r="S160" s="504"/>
      <c r="T160" s="504"/>
      <c r="U160" s="504"/>
    </row>
    <row r="161">
      <c r="A161" s="255" t="str">
        <f>IFERROR(__xludf.DUMMYFUNCTION("""COMPUTED_VALUE"""),"MICRO")</f>
        <v>MICRO</v>
      </c>
      <c r="B161" s="268" t="str">
        <f>IFERROR(__xludf.DUMMYFUNCTION("""COMPUTED_VALUE"""),"mommycastiel")</f>
        <v>mommycastiel</v>
      </c>
      <c r="C161" s="281" t="str">
        <f>IFERROR(__xludf.DUMMYFUNCTION("""COMPUTED_VALUE"""),"https://www.tiktok.com/@mommycastiel")</f>
        <v>https://www.tiktok.com/@mommycastiel</v>
      </c>
      <c r="D161" s="502">
        <f>IFERROR(__xludf.DUMMYFUNCTION("""COMPUTED_VALUE"""),8.5737952718E10)</f>
        <v>85737952718</v>
      </c>
      <c r="E161" s="503">
        <f>IFERROR(__xludf.DUMMYFUNCTION("""COMPUTED_VALUE"""),0.0)</f>
        <v>0</v>
      </c>
      <c r="F161" s="502">
        <f>IFERROR(__xludf.DUMMYFUNCTION("""COMPUTED_VALUE"""),3.0)</f>
        <v>3</v>
      </c>
      <c r="G161" s="493" t="str">
        <f>IFERROR(__xludf.DUMMYFUNCTION("""COMPUTED_VALUE"""),"30,4jt")</f>
        <v>30,4jt</v>
      </c>
      <c r="H161" s="466" t="str">
        <f>IFERROR(__xludf.DUMMYFUNCTION("""COMPUTED_VALUE"""),"Minyak Oles Benjolan")</f>
        <v>Minyak Oles Benjolan</v>
      </c>
      <c r="I161" s="260" t="str">
        <f>IFERROR(__xludf.DUMMYFUNCTION("""COMPUTED_VALUE"""),"Kendala [FU!]")</f>
        <v>Kendala [FU!]</v>
      </c>
      <c r="J161" s="494"/>
      <c r="K161" s="262"/>
      <c r="L161" s="495"/>
      <c r="M161" s="262"/>
      <c r="N161" s="495"/>
      <c r="O161" s="262"/>
      <c r="P161" s="495"/>
      <c r="Q161" s="262"/>
      <c r="R161" s="504"/>
      <c r="S161" s="504"/>
      <c r="T161" s="504"/>
      <c r="U161" s="504"/>
    </row>
    <row r="162">
      <c r="A162" s="255" t="str">
        <f>IFERROR(__xludf.DUMMYFUNCTION("""COMPUTED_VALUE"""),"MICRO")</f>
        <v>MICRO</v>
      </c>
      <c r="B162" s="17" t="str">
        <f>IFERROR(__xludf.DUMMYFUNCTION("""COMPUTED_VALUE"""),"itakmarsela")</f>
        <v>itakmarsela</v>
      </c>
      <c r="C162" s="279" t="str">
        <f>IFERROR(__xludf.DUMMYFUNCTION("""COMPUTED_VALUE"""),"https://www.tiktok.com/@itakmarsela")</f>
        <v>https://www.tiktok.com/@itakmarsela</v>
      </c>
      <c r="D162" s="17">
        <f>IFERROR(__xludf.DUMMYFUNCTION("""COMPUTED_VALUE"""),8.124536257E10)</f>
        <v>81245362570</v>
      </c>
      <c r="E162" s="365">
        <f>IFERROR(__xludf.DUMMYFUNCTION("""COMPUTED_VALUE"""),200000.0)</f>
        <v>200000</v>
      </c>
      <c r="F162" s="17">
        <f>IFERROR(__xludf.DUMMYFUNCTION("""COMPUTED_VALUE"""),1.0)</f>
        <v>1</v>
      </c>
      <c r="G162" s="34" t="str">
        <f>IFERROR(__xludf.DUMMYFUNCTION("""COMPUTED_VALUE"""),"73,2jt")</f>
        <v>73,2jt</v>
      </c>
      <c r="H162" s="466" t="str">
        <f>IFERROR(__xludf.DUMMYFUNCTION("""COMPUTED_VALUE"""),"Minyak Oles Benjolan")</f>
        <v>Minyak Oles Benjolan</v>
      </c>
      <c r="I162" s="260" t="str">
        <f>IFERROR(__xludf.DUMMYFUNCTION("""COMPUTED_VALUE"""),"Sampai")</f>
        <v>Sampai</v>
      </c>
      <c r="J162" s="494"/>
      <c r="K162" s="17"/>
      <c r="L162" s="495"/>
      <c r="M162" s="17"/>
      <c r="N162" s="495"/>
      <c r="O162" s="262"/>
      <c r="P162" s="495"/>
      <c r="Q162" s="17"/>
      <c r="R162" s="365"/>
      <c r="S162" s="17"/>
      <c r="T162" s="365"/>
      <c r="U162" s="17"/>
    </row>
    <row r="163">
      <c r="A163" s="255" t="str">
        <f>IFERROR(__xludf.DUMMYFUNCTION("""COMPUTED_VALUE"""),"NANO")</f>
        <v>NANO</v>
      </c>
      <c r="B163" s="17" t="str">
        <f>IFERROR(__xludf.DUMMYFUNCTION("""COMPUTED_VALUE"""),"desy5014")</f>
        <v>desy5014</v>
      </c>
      <c r="C163" s="279" t="str">
        <f>IFERROR(__xludf.DUMMYFUNCTION("""COMPUTED_VALUE"""),"https://www.tiktok.com/@desy5014")</f>
        <v>https://www.tiktok.com/@desy5014</v>
      </c>
      <c r="D163" s="17">
        <f>IFERROR(__xludf.DUMMYFUNCTION("""COMPUTED_VALUE"""),8.1329341931E10)</f>
        <v>81329341931</v>
      </c>
      <c r="E163" s="365">
        <f>IFERROR(__xludf.DUMMYFUNCTION("""COMPUTED_VALUE"""),0.0)</f>
        <v>0</v>
      </c>
      <c r="F163" s="17">
        <f>IFERROR(__xludf.DUMMYFUNCTION("""COMPUTED_VALUE"""),3.0)</f>
        <v>3</v>
      </c>
      <c r="G163" s="34"/>
      <c r="H163" s="466" t="str">
        <f>IFERROR(__xludf.DUMMYFUNCTION("""COMPUTED_VALUE"""),"Minyak Oles Benjolan")</f>
        <v>Minyak Oles Benjolan</v>
      </c>
      <c r="I163" s="260"/>
      <c r="J163" s="494"/>
      <c r="K163" s="17"/>
      <c r="L163" s="495"/>
      <c r="M163" s="17"/>
      <c r="N163" s="495"/>
      <c r="O163" s="262"/>
      <c r="P163" s="495"/>
      <c r="Q163" s="17"/>
      <c r="R163" s="365"/>
      <c r="S163" s="17"/>
      <c r="T163" s="365"/>
      <c r="U163" s="17"/>
    </row>
    <row r="164">
      <c r="A164" s="255" t="str">
        <f>IFERROR(__xludf.DUMMYFUNCTION("""COMPUTED_VALUE"""),"NANO")</f>
        <v>NANO</v>
      </c>
      <c r="B164" s="17" t="str">
        <f>IFERROR(__xludf.DUMMYFUNCTION("""COMPUTED_VALUE"""),"hi_jaena")</f>
        <v>hi_jaena</v>
      </c>
      <c r="C164" s="278" t="str">
        <f>IFERROR(__xludf.DUMMYFUNCTION("""COMPUTED_VALUE"""),"https://www.tiktok.com/@hi_jaena")</f>
        <v>https://www.tiktok.com/@hi_jaena</v>
      </c>
      <c r="D164" s="17"/>
      <c r="E164" s="365">
        <f>IFERROR(__xludf.DUMMYFUNCTION("""COMPUTED_VALUE"""),0.0)</f>
        <v>0</v>
      </c>
      <c r="F164" s="17">
        <f>IFERROR(__xludf.DUMMYFUNCTION("""COMPUTED_VALUE"""),2.0)</f>
        <v>2</v>
      </c>
      <c r="G164" s="34"/>
      <c r="H164" s="466" t="str">
        <f>IFERROR(__xludf.DUMMYFUNCTION("""COMPUTED_VALUE"""),"Minyak Oles Benjolan")</f>
        <v>Minyak Oles Benjolan</v>
      </c>
      <c r="I164" s="260" t="str">
        <f>IFERROR(__xludf.DUMMYFUNCTION("""COMPUTED_VALUE"""),"Done Req Sample")</f>
        <v>Done Req Sample</v>
      </c>
      <c r="J164" s="494"/>
      <c r="K164" s="17"/>
      <c r="L164" s="495"/>
      <c r="M164" s="17"/>
      <c r="N164" s="495"/>
      <c r="O164" s="262"/>
      <c r="P164" s="495"/>
      <c r="Q164" s="17"/>
      <c r="R164" s="365"/>
      <c r="S164" s="17"/>
      <c r="T164" s="365"/>
      <c r="U164" s="17"/>
    </row>
    <row r="165">
      <c r="A165" s="255" t="str">
        <f>IFERROR(__xludf.DUMMYFUNCTION("""COMPUTED_VALUE"""),"MACRO")</f>
        <v>MACRO</v>
      </c>
      <c r="B165" s="17" t="str">
        <f>IFERROR(__xludf.DUMMYFUNCTION("""COMPUTED_VALUE"""),"chipsagoy")</f>
        <v>chipsagoy</v>
      </c>
      <c r="C165" s="279" t="str">
        <f>IFERROR(__xludf.DUMMYFUNCTION("""COMPUTED_VALUE"""),"https://www.tiktok.com/@chipsagoy")</f>
        <v>https://www.tiktok.com/@chipsagoy</v>
      </c>
      <c r="D165" s="17">
        <f>IFERROR(__xludf.DUMMYFUNCTION("""COMPUTED_VALUE"""),8.1383838441E10)</f>
        <v>81383838441</v>
      </c>
      <c r="E165" s="365">
        <f>IFERROR(__xludf.DUMMYFUNCTION("""COMPUTED_VALUE"""),0.0)</f>
        <v>0</v>
      </c>
      <c r="F165" s="17">
        <f>IFERROR(__xludf.DUMMYFUNCTION("""COMPUTED_VALUE"""),3.0)</f>
        <v>3</v>
      </c>
      <c r="G165" s="34" t="str">
        <f>IFERROR(__xludf.DUMMYFUNCTION("""COMPUTED_VALUE"""),"1jt")</f>
        <v>1jt</v>
      </c>
      <c r="H165" s="466" t="str">
        <f>IFERROR(__xludf.DUMMYFUNCTION("""COMPUTED_VALUE"""),"Minyak Oles Benjolan")</f>
        <v>Minyak Oles Benjolan</v>
      </c>
      <c r="I165" s="260"/>
      <c r="J165" s="494"/>
      <c r="K165" s="17"/>
      <c r="L165" s="495"/>
      <c r="M165" s="17"/>
      <c r="N165" s="495"/>
      <c r="O165" s="262"/>
      <c r="P165" s="495"/>
      <c r="Q165" s="17"/>
      <c r="R165" s="365"/>
      <c r="S165" s="17"/>
      <c r="T165" s="365"/>
      <c r="U165" s="17"/>
    </row>
    <row r="166">
      <c r="A166" s="255" t="str">
        <f>IFERROR(__xludf.DUMMYFUNCTION("""COMPUTED_VALUE"""),"NANO")</f>
        <v>NANO</v>
      </c>
      <c r="B166" s="17" t="str">
        <f>IFERROR(__xludf.DUMMYFUNCTION("""COMPUTED_VALUE"""),"rossi_77")</f>
        <v>rossi_77</v>
      </c>
      <c r="C166" s="279" t="str">
        <f>IFERROR(__xludf.DUMMYFUNCTION("""COMPUTED_VALUE"""),"https://www.tiktok.com/@rossi_77")</f>
        <v>https://www.tiktok.com/@rossi_77</v>
      </c>
      <c r="D166" s="17">
        <f>IFERROR(__xludf.DUMMYFUNCTION("""COMPUTED_VALUE"""),8.9518747567E10)</f>
        <v>89518747567</v>
      </c>
      <c r="E166" s="365">
        <f>IFERROR(__xludf.DUMMYFUNCTION("""COMPUTED_VALUE"""),0.0)</f>
        <v>0</v>
      </c>
      <c r="F166" s="17">
        <f>IFERROR(__xludf.DUMMYFUNCTION("""COMPUTED_VALUE"""),3.0)</f>
        <v>3</v>
      </c>
      <c r="G166" s="34" t="str">
        <f>IFERROR(__xludf.DUMMYFUNCTION("""COMPUTED_VALUE"""),"9,2jt")</f>
        <v>9,2jt</v>
      </c>
      <c r="H166" s="466" t="str">
        <f>IFERROR(__xludf.DUMMYFUNCTION("""COMPUTED_VALUE"""),"Minyak Oles Benjolan")</f>
        <v>Minyak Oles Benjolan</v>
      </c>
      <c r="I166" s="260"/>
      <c r="J166" s="494"/>
      <c r="K166" s="17"/>
      <c r="L166" s="495"/>
      <c r="M166" s="17"/>
      <c r="N166" s="495"/>
      <c r="O166" s="262"/>
      <c r="P166" s="495"/>
      <c r="Q166" s="17"/>
      <c r="R166" s="365"/>
      <c r="S166" s="17"/>
      <c r="T166" s="365"/>
      <c r="U166" s="17"/>
    </row>
    <row r="167">
      <c r="A167" s="255" t="str">
        <f>IFERROR(__xludf.DUMMYFUNCTION("""COMPUTED_VALUE"""),"MICRO")</f>
        <v>MICRO</v>
      </c>
      <c r="B167" s="17" t="str">
        <f>IFERROR(__xludf.DUMMYFUNCTION("""COMPUTED_VALUE"""),"dekorlamaran_murah")</f>
        <v>dekorlamaran_murah</v>
      </c>
      <c r="C167" s="279" t="str">
        <f>IFERROR(__xludf.DUMMYFUNCTION("""COMPUTED_VALUE"""),"https://www.tiktok.com/@dekorlamaran_murah")</f>
        <v>https://www.tiktok.com/@dekorlamaran_murah</v>
      </c>
      <c r="D167" s="17">
        <f>IFERROR(__xludf.DUMMYFUNCTION("""COMPUTED_VALUE"""),8.777773389E10)</f>
        <v>87777733890</v>
      </c>
      <c r="E167" s="365">
        <f>IFERROR(__xludf.DUMMYFUNCTION("""COMPUTED_VALUE"""),0.0)</f>
        <v>0</v>
      </c>
      <c r="F167" s="17">
        <f>IFERROR(__xludf.DUMMYFUNCTION("""COMPUTED_VALUE"""),3.0)</f>
        <v>3</v>
      </c>
      <c r="G167" s="34" t="str">
        <f>IFERROR(__xludf.DUMMYFUNCTION("""COMPUTED_VALUE"""),"683,7jt")</f>
        <v>683,7jt</v>
      </c>
      <c r="H167" s="466" t="str">
        <f>IFERROR(__xludf.DUMMYFUNCTION("""COMPUTED_VALUE"""),"Minyak Oles Benjolan")</f>
        <v>Minyak Oles Benjolan</v>
      </c>
      <c r="I167" s="260" t="str">
        <f>IFERROR(__xludf.DUMMYFUNCTION("""COMPUTED_VALUE"""),"Kendala [FU!]")</f>
        <v>Kendala [FU!]</v>
      </c>
      <c r="J167" s="494"/>
      <c r="K167" s="17"/>
      <c r="L167" s="495"/>
      <c r="M167" s="17"/>
      <c r="N167" s="495"/>
      <c r="O167" s="262"/>
      <c r="P167" s="495"/>
      <c r="Q167" s="17"/>
      <c r="R167" s="365"/>
      <c r="S167" s="17"/>
      <c r="T167" s="365"/>
      <c r="U167" s="17"/>
    </row>
    <row r="168">
      <c r="A168" s="255" t="str">
        <f>IFERROR(__xludf.DUMMYFUNCTION("""COMPUTED_VALUE"""),"MACRO")</f>
        <v>MACRO</v>
      </c>
      <c r="B168" s="17" t="str">
        <f>IFERROR(__xludf.DUMMYFUNCTION("""COMPUTED_VALUE"""),"_alfathann")</f>
        <v>_alfathann</v>
      </c>
      <c r="C168" s="279" t="str">
        <f>IFERROR(__xludf.DUMMYFUNCTION("""COMPUTED_VALUE"""),"https://www.tiktok.com/@_alfathann")</f>
        <v>https://www.tiktok.com/@_alfathann</v>
      </c>
      <c r="D168" s="17">
        <f>IFERROR(__xludf.DUMMYFUNCTION("""COMPUTED_VALUE"""),8.8231643634E10)</f>
        <v>88231643634</v>
      </c>
      <c r="E168" s="365">
        <f>IFERROR(__xludf.DUMMYFUNCTION("""COMPUTED_VALUE"""),0.0)</f>
        <v>0</v>
      </c>
      <c r="F168" s="17">
        <f>IFERROR(__xludf.DUMMYFUNCTION("""COMPUTED_VALUE"""),3.0)</f>
        <v>3</v>
      </c>
      <c r="G168" s="34" t="str">
        <f>IFERROR(__xludf.DUMMYFUNCTION("""COMPUTED_VALUE"""),"137,9jt")</f>
        <v>137,9jt</v>
      </c>
      <c r="H168" s="466" t="str">
        <f>IFERROR(__xludf.DUMMYFUNCTION("""COMPUTED_VALUE"""),"Minyak Oles Benjolan")</f>
        <v>Minyak Oles Benjolan</v>
      </c>
      <c r="I168" s="260" t="str">
        <f>IFERROR(__xludf.DUMMYFUNCTION("""COMPUTED_VALUE"""),"Kendala [FU!]")</f>
        <v>Kendala [FU!]</v>
      </c>
      <c r="J168" s="494"/>
      <c r="K168" s="17"/>
      <c r="L168" s="495"/>
      <c r="M168" s="17"/>
      <c r="N168" s="495"/>
      <c r="O168" s="262"/>
      <c r="P168" s="495"/>
      <c r="Q168" s="17"/>
      <c r="R168" s="365"/>
      <c r="S168" s="17"/>
      <c r="T168" s="365"/>
      <c r="U168" s="17"/>
    </row>
    <row r="169">
      <c r="A169" s="255" t="str">
        <f>IFERROR(__xludf.DUMMYFUNCTION("""COMPUTED_VALUE"""),"MICRO")</f>
        <v>MICRO</v>
      </c>
      <c r="B169" s="17" t="str">
        <f>IFERROR(__xludf.DUMMYFUNCTION("""COMPUTED_VALUE"""),"abay_septiawan")</f>
        <v>abay_septiawan</v>
      </c>
      <c r="C169" s="279" t="str">
        <f>IFERROR(__xludf.DUMMYFUNCTION("""COMPUTED_VALUE"""),"https://www.tiktok.com/@abay_septiawan")</f>
        <v>https://www.tiktok.com/@abay_septiawan</v>
      </c>
      <c r="D169" s="17">
        <f>IFERROR(__xludf.DUMMYFUNCTION("""COMPUTED_VALUE"""),8.1225557891E10)</f>
        <v>81225557891</v>
      </c>
      <c r="E169" s="365">
        <f>IFERROR(__xludf.DUMMYFUNCTION("""COMPUTED_VALUE"""),400000.0)</f>
        <v>400000</v>
      </c>
      <c r="F169" s="17">
        <f>IFERROR(__xludf.DUMMYFUNCTION("""COMPUTED_VALUE"""),1.0)</f>
        <v>1</v>
      </c>
      <c r="G169" s="34" t="str">
        <f>IFERROR(__xludf.DUMMYFUNCTION("""COMPUTED_VALUE"""),"784jt")</f>
        <v>784jt</v>
      </c>
      <c r="H169" s="466" t="str">
        <f>IFERROR(__xludf.DUMMYFUNCTION("""COMPUTED_VALUE"""),"Minyak Oles Benjolan")</f>
        <v>Minyak Oles Benjolan</v>
      </c>
      <c r="I169" s="260" t="str">
        <f>IFERROR(__xludf.DUMMYFUNCTION("""COMPUTED_VALUE"""),"Done Req Sample")</f>
        <v>Done Req Sample</v>
      </c>
      <c r="J169" s="494"/>
      <c r="K169" s="17"/>
      <c r="L169" s="495"/>
      <c r="M169" s="17"/>
      <c r="N169" s="495"/>
      <c r="O169" s="262"/>
      <c r="P169" s="495"/>
      <c r="Q169" s="17"/>
      <c r="R169" s="365"/>
      <c r="S169" s="17"/>
      <c r="T169" s="365"/>
      <c r="U169" s="17"/>
    </row>
    <row r="170">
      <c r="A170" s="255" t="str">
        <f>IFERROR(__xludf.DUMMYFUNCTION("""COMPUTED_VALUE"""),"MEGA")</f>
        <v>MEGA</v>
      </c>
      <c r="B170" s="17" t="str">
        <f>IFERROR(__xludf.DUMMYFUNCTION("""COMPUTED_VALUE"""),"lienci_saragih")</f>
        <v>lienci_saragih</v>
      </c>
      <c r="C170" s="279" t="str">
        <f>IFERROR(__xludf.DUMMYFUNCTION("""COMPUTED_VALUE"""),"https://www.tiktok.com/@lienci_saragih")</f>
        <v>https://www.tiktok.com/@lienci_saragih</v>
      </c>
      <c r="D170" s="17"/>
      <c r="E170" s="365">
        <f>IFERROR(__xludf.DUMMYFUNCTION("""COMPUTED_VALUE"""),1700000.0)</f>
        <v>1700000</v>
      </c>
      <c r="F170" s="17">
        <f>IFERROR(__xludf.DUMMYFUNCTION("""COMPUTED_VALUE"""),1.0)</f>
        <v>1</v>
      </c>
      <c r="G170" s="34" t="str">
        <f>IFERROR(__xludf.DUMMYFUNCTION("""COMPUTED_VALUE"""),"190jt")</f>
        <v>190jt</v>
      </c>
      <c r="H170" s="466" t="str">
        <f>IFERROR(__xludf.DUMMYFUNCTION("""COMPUTED_VALUE"""),"Minyak Oles Benjolan")</f>
        <v>Minyak Oles Benjolan</v>
      </c>
      <c r="I170" s="260" t="str">
        <f>IFERROR(__xludf.DUMMYFUNCTION("""COMPUTED_VALUE"""),"Done Req Sample")</f>
        <v>Done Req Sample</v>
      </c>
      <c r="J170" s="494"/>
      <c r="K170" s="17"/>
      <c r="L170" s="495"/>
      <c r="M170" s="17"/>
      <c r="N170" s="495"/>
      <c r="O170" s="262"/>
      <c r="P170" s="495"/>
      <c r="Q170" s="17"/>
      <c r="R170" s="365"/>
      <c r="S170" s="17"/>
      <c r="T170" s="365"/>
      <c r="U170" s="17"/>
    </row>
    <row r="171">
      <c r="A171" s="255"/>
      <c r="B171" s="17"/>
      <c r="C171" s="17"/>
      <c r="D171" s="17"/>
      <c r="E171" s="17"/>
      <c r="F171" s="17"/>
      <c r="G171" s="34"/>
      <c r="H171" s="466"/>
      <c r="I171" s="260"/>
      <c r="J171" s="494"/>
      <c r="K171" s="17"/>
      <c r="L171" s="495"/>
      <c r="M171" s="17"/>
      <c r="N171" s="495"/>
      <c r="O171" s="262"/>
      <c r="P171" s="495"/>
      <c r="Q171" s="17"/>
      <c r="R171" s="17"/>
      <c r="S171" s="17"/>
      <c r="T171" s="17"/>
      <c r="U171" s="17"/>
    </row>
    <row r="172">
      <c r="A172" s="255"/>
      <c r="B172" s="17"/>
      <c r="C172" s="17"/>
      <c r="D172" s="17"/>
      <c r="E172" s="17"/>
      <c r="F172" s="17"/>
      <c r="G172" s="34"/>
      <c r="H172" s="466"/>
      <c r="I172" s="260"/>
      <c r="J172" s="494"/>
      <c r="K172" s="17"/>
      <c r="L172" s="495"/>
      <c r="M172" s="17"/>
      <c r="N172" s="495"/>
      <c r="O172" s="262"/>
      <c r="P172" s="495"/>
      <c r="Q172" s="17"/>
      <c r="R172" s="17"/>
      <c r="S172" s="17"/>
      <c r="T172" s="17"/>
      <c r="U172" s="17"/>
    </row>
    <row r="173">
      <c r="A173" s="255"/>
      <c r="B173" s="17"/>
      <c r="C173" s="17"/>
      <c r="D173" s="17"/>
      <c r="E173" s="17"/>
      <c r="F173" s="17"/>
      <c r="G173" s="34"/>
      <c r="H173" s="466"/>
      <c r="I173" s="260"/>
      <c r="J173" s="494"/>
      <c r="K173" s="17"/>
      <c r="L173" s="495"/>
      <c r="M173" s="17"/>
      <c r="N173" s="495"/>
      <c r="O173" s="262"/>
      <c r="P173" s="495"/>
      <c r="Q173" s="17"/>
      <c r="R173" s="17"/>
      <c r="S173" s="17"/>
      <c r="T173" s="17"/>
      <c r="U173" s="17"/>
    </row>
    <row r="174">
      <c r="A174" s="255"/>
      <c r="B174" s="17"/>
      <c r="C174" s="17"/>
      <c r="D174" s="17"/>
      <c r="E174" s="17"/>
      <c r="F174" s="17"/>
      <c r="G174" s="34"/>
      <c r="H174" s="466"/>
      <c r="I174" s="260"/>
      <c r="J174" s="494"/>
      <c r="K174" s="17"/>
      <c r="L174" s="495"/>
      <c r="M174" s="17"/>
      <c r="N174" s="495"/>
      <c r="O174" s="262"/>
      <c r="P174" s="495"/>
      <c r="Q174" s="17"/>
      <c r="R174" s="17"/>
      <c r="S174" s="17"/>
      <c r="T174" s="17"/>
      <c r="U174" s="17"/>
    </row>
    <row r="175">
      <c r="A175" s="255"/>
      <c r="B175" s="17"/>
      <c r="C175" s="17"/>
      <c r="D175" s="17"/>
      <c r="E175" s="17"/>
      <c r="F175" s="17"/>
      <c r="G175" s="34"/>
      <c r="H175" s="466"/>
      <c r="I175" s="260"/>
      <c r="J175" s="494"/>
      <c r="K175" s="17"/>
      <c r="L175" s="495"/>
      <c r="M175" s="17"/>
      <c r="N175" s="495"/>
      <c r="O175" s="262"/>
      <c r="P175" s="495"/>
      <c r="Q175" s="17"/>
      <c r="R175" s="17"/>
      <c r="S175" s="17"/>
      <c r="T175" s="17"/>
      <c r="U175" s="17"/>
    </row>
    <row r="176">
      <c r="A176" s="255"/>
      <c r="B176" s="17"/>
      <c r="C176" s="17"/>
      <c r="D176" s="17"/>
      <c r="E176" s="17"/>
      <c r="F176" s="17"/>
      <c r="G176" s="34"/>
      <c r="H176" s="466"/>
      <c r="I176" s="260"/>
      <c r="J176" s="494"/>
      <c r="K176" s="17"/>
      <c r="L176" s="495"/>
      <c r="M176" s="17"/>
      <c r="N176" s="495"/>
      <c r="O176" s="262"/>
      <c r="P176" s="495"/>
      <c r="Q176" s="17"/>
      <c r="R176" s="17"/>
      <c r="S176" s="17"/>
      <c r="T176" s="17"/>
      <c r="U176" s="17"/>
    </row>
    <row r="177">
      <c r="A177" s="255"/>
      <c r="B177" s="17"/>
      <c r="C177" s="17"/>
      <c r="D177" s="17"/>
      <c r="E177" s="17"/>
      <c r="F177" s="17"/>
      <c r="G177" s="34"/>
      <c r="H177" s="466"/>
      <c r="I177" s="260"/>
      <c r="J177" s="494"/>
      <c r="K177" s="17"/>
      <c r="L177" s="495"/>
      <c r="M177" s="17"/>
      <c r="N177" s="495"/>
      <c r="O177" s="262"/>
      <c r="P177" s="495"/>
      <c r="Q177" s="17"/>
      <c r="R177" s="17"/>
      <c r="S177" s="17"/>
      <c r="T177" s="17"/>
      <c r="U177" s="17"/>
    </row>
    <row r="178">
      <c r="A178" s="255"/>
      <c r="B178" s="17"/>
      <c r="C178" s="17"/>
      <c r="D178" s="17"/>
      <c r="E178" s="17"/>
      <c r="F178" s="17"/>
      <c r="G178" s="34"/>
      <c r="H178" s="466"/>
      <c r="I178" s="260"/>
      <c r="J178" s="494"/>
      <c r="K178" s="17"/>
      <c r="L178" s="495"/>
      <c r="M178" s="17"/>
      <c r="N178" s="495"/>
      <c r="O178" s="262"/>
      <c r="P178" s="495"/>
      <c r="Q178" s="17"/>
      <c r="R178" s="17"/>
      <c r="S178" s="17"/>
      <c r="T178" s="17"/>
      <c r="U178" s="17"/>
    </row>
    <row r="179">
      <c r="A179" s="255"/>
      <c r="B179" s="17"/>
      <c r="C179" s="17"/>
      <c r="D179" s="17"/>
      <c r="E179" s="17"/>
      <c r="F179" s="17"/>
      <c r="G179" s="34"/>
      <c r="H179" s="466"/>
      <c r="I179" s="260"/>
      <c r="J179" s="494"/>
      <c r="K179" s="17"/>
      <c r="L179" s="495"/>
      <c r="M179" s="17"/>
      <c r="N179" s="495"/>
      <c r="O179" s="262"/>
      <c r="P179" s="495"/>
      <c r="Q179" s="17"/>
      <c r="R179" s="17"/>
      <c r="S179" s="17"/>
      <c r="T179" s="17"/>
      <c r="U179" s="17"/>
    </row>
    <row r="180">
      <c r="A180" s="255"/>
      <c r="B180" s="17"/>
      <c r="C180" s="17"/>
      <c r="D180" s="17"/>
      <c r="E180" s="17"/>
      <c r="F180" s="17"/>
      <c r="G180" s="34"/>
      <c r="H180" s="466"/>
      <c r="I180" s="260"/>
      <c r="J180" s="494"/>
      <c r="K180" s="17"/>
      <c r="L180" s="495"/>
      <c r="M180" s="17"/>
      <c r="N180" s="495"/>
      <c r="O180" s="262"/>
      <c r="P180" s="495"/>
      <c r="Q180" s="17"/>
      <c r="R180" s="17"/>
      <c r="S180" s="17"/>
      <c r="T180" s="17"/>
      <c r="U180" s="17"/>
    </row>
    <row r="181">
      <c r="A181" s="255"/>
      <c r="B181" s="17"/>
      <c r="C181" s="17"/>
      <c r="D181" s="17"/>
      <c r="E181" s="17"/>
      <c r="F181" s="17"/>
      <c r="G181" s="34"/>
      <c r="H181" s="466"/>
      <c r="I181" s="260"/>
      <c r="J181" s="494"/>
      <c r="K181" s="17"/>
      <c r="L181" s="495"/>
      <c r="M181" s="17"/>
      <c r="N181" s="495"/>
      <c r="O181" s="262"/>
      <c r="P181" s="495"/>
      <c r="Q181" s="17"/>
      <c r="R181" s="17"/>
      <c r="S181" s="17"/>
      <c r="T181" s="17"/>
      <c r="U181" s="17"/>
    </row>
    <row r="182">
      <c r="A182" s="255"/>
      <c r="B182" s="17"/>
      <c r="C182" s="17"/>
      <c r="D182" s="17"/>
      <c r="E182" s="17"/>
      <c r="F182" s="17"/>
      <c r="G182" s="34"/>
      <c r="H182" s="466"/>
      <c r="I182" s="260"/>
      <c r="J182" s="494"/>
      <c r="K182" s="17"/>
      <c r="L182" s="495"/>
      <c r="M182" s="17"/>
      <c r="N182" s="495"/>
      <c r="O182" s="262"/>
      <c r="P182" s="495"/>
      <c r="Q182" s="17"/>
      <c r="R182" s="17"/>
      <c r="S182" s="17"/>
      <c r="T182" s="17"/>
      <c r="U182" s="17"/>
    </row>
    <row r="183">
      <c r="A183" s="255"/>
      <c r="B183" s="17"/>
      <c r="C183" s="17"/>
      <c r="D183" s="17"/>
      <c r="E183" s="17"/>
      <c r="F183" s="17"/>
      <c r="G183" s="34"/>
      <c r="H183" s="466"/>
      <c r="I183" s="260"/>
      <c r="J183" s="494"/>
      <c r="K183" s="17"/>
      <c r="L183" s="495"/>
      <c r="M183" s="17"/>
      <c r="N183" s="495"/>
      <c r="O183" s="262"/>
      <c r="P183" s="495"/>
      <c r="Q183" s="17"/>
      <c r="R183" s="17"/>
      <c r="S183" s="17"/>
      <c r="T183" s="17"/>
      <c r="U183" s="17"/>
    </row>
    <row r="184">
      <c r="A184" s="255"/>
      <c r="B184" s="17"/>
      <c r="C184" s="17"/>
      <c r="D184" s="17"/>
      <c r="E184" s="17"/>
      <c r="F184" s="17"/>
      <c r="G184" s="34"/>
      <c r="H184" s="466"/>
      <c r="I184" s="260"/>
      <c r="J184" s="494"/>
      <c r="K184" s="17"/>
      <c r="L184" s="495"/>
      <c r="M184" s="17"/>
      <c r="N184" s="495"/>
      <c r="O184" s="262"/>
      <c r="P184" s="495"/>
      <c r="Q184" s="17"/>
      <c r="R184" s="17"/>
      <c r="S184" s="17"/>
      <c r="T184" s="17"/>
      <c r="U184" s="17"/>
    </row>
    <row r="185">
      <c r="A185" s="255"/>
      <c r="B185" s="17"/>
      <c r="C185" s="17"/>
      <c r="D185" s="17"/>
      <c r="E185" s="17"/>
      <c r="F185" s="17"/>
      <c r="G185" s="34"/>
      <c r="H185" s="466"/>
      <c r="I185" s="260"/>
      <c r="J185" s="494"/>
      <c r="K185" s="17"/>
      <c r="L185" s="495"/>
      <c r="M185" s="17"/>
      <c r="N185" s="495"/>
      <c r="O185" s="262"/>
      <c r="P185" s="495"/>
      <c r="Q185" s="17"/>
      <c r="R185" s="17"/>
      <c r="S185" s="17"/>
      <c r="T185" s="17"/>
      <c r="U185" s="17"/>
    </row>
    <row r="186">
      <c r="A186" s="255"/>
      <c r="B186" s="17"/>
      <c r="C186" s="17"/>
      <c r="D186" s="17"/>
      <c r="E186" s="17"/>
      <c r="F186" s="17"/>
      <c r="G186" s="34"/>
      <c r="H186" s="466"/>
      <c r="I186" s="260"/>
      <c r="J186" s="494"/>
      <c r="K186" s="17"/>
      <c r="L186" s="495"/>
      <c r="M186" s="17"/>
      <c r="N186" s="495"/>
      <c r="O186" s="262"/>
      <c r="P186" s="495"/>
      <c r="Q186" s="17"/>
      <c r="R186" s="17"/>
      <c r="S186" s="17"/>
      <c r="T186" s="17"/>
      <c r="U186" s="17"/>
    </row>
    <row r="187">
      <c r="A187" s="255"/>
      <c r="B187" s="17"/>
      <c r="C187" s="17"/>
      <c r="D187" s="17"/>
      <c r="E187" s="17"/>
      <c r="F187" s="17"/>
      <c r="G187" s="34"/>
      <c r="H187" s="466"/>
      <c r="I187" s="260"/>
      <c r="J187" s="494"/>
      <c r="K187" s="17"/>
      <c r="L187" s="495"/>
      <c r="M187" s="17"/>
      <c r="N187" s="495"/>
      <c r="O187" s="262"/>
      <c r="P187" s="495"/>
      <c r="Q187" s="17"/>
      <c r="R187" s="17"/>
      <c r="S187" s="17"/>
      <c r="T187" s="17"/>
      <c r="U187" s="17"/>
    </row>
    <row r="188">
      <c r="A188" s="255"/>
      <c r="B188" s="17"/>
      <c r="C188" s="17"/>
      <c r="D188" s="17"/>
      <c r="E188" s="17"/>
      <c r="F188" s="17"/>
      <c r="G188" s="34"/>
      <c r="H188" s="466"/>
      <c r="I188" s="260"/>
      <c r="J188" s="494"/>
      <c r="K188" s="17"/>
      <c r="L188" s="495"/>
      <c r="M188" s="17"/>
      <c r="N188" s="495"/>
      <c r="O188" s="262"/>
      <c r="P188" s="495"/>
      <c r="Q188" s="17"/>
      <c r="R188" s="17"/>
      <c r="S188" s="17"/>
      <c r="T188" s="17"/>
      <c r="U188" s="17"/>
    </row>
    <row r="189">
      <c r="A189" s="255"/>
      <c r="B189" s="17"/>
      <c r="C189" s="17"/>
      <c r="D189" s="17"/>
      <c r="E189" s="17"/>
      <c r="F189" s="17"/>
      <c r="G189" s="34"/>
      <c r="H189" s="466"/>
      <c r="I189" s="260"/>
      <c r="J189" s="494"/>
      <c r="K189" s="17"/>
      <c r="L189" s="495"/>
      <c r="M189" s="17"/>
      <c r="N189" s="495"/>
      <c r="O189" s="262"/>
      <c r="P189" s="495"/>
      <c r="Q189" s="17"/>
      <c r="R189" s="17"/>
      <c r="S189" s="17"/>
      <c r="T189" s="17"/>
      <c r="U189" s="17"/>
    </row>
    <row r="190">
      <c r="A190" s="255"/>
      <c r="B190" s="17"/>
      <c r="C190" s="17"/>
      <c r="D190" s="17"/>
      <c r="E190" s="17"/>
      <c r="F190" s="17"/>
      <c r="G190" s="34"/>
      <c r="H190" s="466"/>
      <c r="I190" s="260"/>
      <c r="J190" s="494"/>
      <c r="K190" s="17"/>
      <c r="L190" s="495"/>
      <c r="M190" s="17"/>
      <c r="N190" s="495"/>
      <c r="O190" s="262"/>
      <c r="P190" s="495"/>
      <c r="Q190" s="17"/>
      <c r="R190" s="17"/>
      <c r="S190" s="17"/>
      <c r="T190" s="17"/>
      <c r="U190" s="17"/>
    </row>
    <row r="191">
      <c r="A191" s="255"/>
      <c r="B191" s="17"/>
      <c r="C191" s="17"/>
      <c r="D191" s="17"/>
      <c r="E191" s="17"/>
      <c r="F191" s="17"/>
      <c r="G191" s="34"/>
      <c r="H191" s="466"/>
      <c r="I191" s="260"/>
      <c r="J191" s="494"/>
      <c r="K191" s="17"/>
      <c r="L191" s="495"/>
      <c r="M191" s="17"/>
      <c r="N191" s="495"/>
      <c r="O191" s="262"/>
      <c r="P191" s="495"/>
      <c r="Q191" s="17"/>
      <c r="R191" s="17"/>
      <c r="S191" s="17"/>
      <c r="T191" s="17"/>
      <c r="U191" s="17"/>
    </row>
    <row r="192">
      <c r="A192" s="255"/>
      <c r="B192" s="17"/>
      <c r="C192" s="17"/>
      <c r="D192" s="17"/>
      <c r="E192" s="17"/>
      <c r="F192" s="17"/>
      <c r="G192" s="34"/>
      <c r="H192" s="466"/>
      <c r="I192" s="260"/>
      <c r="J192" s="494"/>
      <c r="K192" s="17"/>
      <c r="L192" s="495"/>
      <c r="M192" s="17"/>
      <c r="N192" s="495"/>
      <c r="O192" s="262"/>
      <c r="P192" s="495"/>
      <c r="Q192" s="17"/>
      <c r="R192" s="17"/>
      <c r="S192" s="17"/>
      <c r="T192" s="17"/>
      <c r="U192" s="17"/>
    </row>
    <row r="193">
      <c r="A193" s="17"/>
      <c r="B193" s="17"/>
      <c r="C193" s="17"/>
      <c r="D193" s="17"/>
      <c r="E193" s="17"/>
      <c r="F193" s="17"/>
      <c r="G193" s="34"/>
      <c r="H193" s="17"/>
      <c r="I193" s="17"/>
      <c r="J193" s="505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</row>
    <row r="194">
      <c r="G194" s="3"/>
      <c r="J194" s="472"/>
    </row>
    <row r="195">
      <c r="G195" s="3"/>
      <c r="J195" s="472"/>
    </row>
    <row r="196">
      <c r="G196" s="3"/>
      <c r="J196" s="472"/>
    </row>
    <row r="197">
      <c r="G197" s="3"/>
      <c r="J197" s="472"/>
    </row>
    <row r="198">
      <c r="G198" s="3"/>
      <c r="J198" s="472"/>
    </row>
    <row r="199">
      <c r="G199" s="3"/>
      <c r="J199" s="472"/>
    </row>
    <row r="200">
      <c r="G200" s="3"/>
      <c r="J200" s="472"/>
    </row>
    <row r="201">
      <c r="G201" s="3"/>
      <c r="J201" s="472"/>
    </row>
    <row r="202">
      <c r="G202" s="3"/>
      <c r="J202" s="472"/>
    </row>
    <row r="203">
      <c r="G203" s="3"/>
      <c r="J203" s="472"/>
    </row>
    <row r="204">
      <c r="G204" s="3"/>
      <c r="J204" s="472"/>
    </row>
    <row r="205">
      <c r="G205" s="3"/>
      <c r="J205" s="472"/>
    </row>
    <row r="206">
      <c r="G206" s="3"/>
      <c r="J206" s="472"/>
    </row>
    <row r="207">
      <c r="G207" s="3"/>
      <c r="J207" s="472"/>
    </row>
    <row r="208">
      <c r="G208" s="3"/>
      <c r="J208" s="472"/>
    </row>
    <row r="209">
      <c r="G209" s="3"/>
      <c r="J209" s="472"/>
    </row>
    <row r="210">
      <c r="G210" s="3"/>
      <c r="J210" s="472"/>
    </row>
    <row r="211">
      <c r="G211" s="3"/>
      <c r="J211" s="472"/>
    </row>
    <row r="212">
      <c r="G212" s="3"/>
      <c r="J212" s="472"/>
    </row>
    <row r="213">
      <c r="G213" s="3"/>
      <c r="J213" s="472"/>
    </row>
    <row r="214">
      <c r="G214" s="3"/>
      <c r="J214" s="472"/>
    </row>
    <row r="215">
      <c r="G215" s="3"/>
      <c r="J215" s="472"/>
    </row>
    <row r="216">
      <c r="G216" s="3"/>
      <c r="J216" s="472"/>
    </row>
    <row r="217">
      <c r="G217" s="3"/>
      <c r="J217" s="472"/>
    </row>
    <row r="218">
      <c r="G218" s="3"/>
      <c r="J218" s="472"/>
    </row>
    <row r="219">
      <c r="G219" s="3"/>
      <c r="J219" s="472"/>
    </row>
    <row r="220">
      <c r="G220" s="3"/>
      <c r="J220" s="472"/>
    </row>
    <row r="221">
      <c r="G221" s="3"/>
      <c r="J221" s="472"/>
    </row>
    <row r="222">
      <c r="G222" s="3"/>
      <c r="J222" s="472"/>
    </row>
    <row r="223">
      <c r="G223" s="3"/>
      <c r="J223" s="472"/>
    </row>
    <row r="224">
      <c r="G224" s="3"/>
      <c r="J224" s="472"/>
    </row>
    <row r="225">
      <c r="G225" s="3"/>
      <c r="J225" s="472"/>
    </row>
    <row r="226">
      <c r="G226" s="3"/>
      <c r="J226" s="472"/>
    </row>
    <row r="227">
      <c r="G227" s="3"/>
      <c r="J227" s="472"/>
    </row>
    <row r="228">
      <c r="G228" s="3"/>
      <c r="J228" s="472"/>
    </row>
    <row r="229">
      <c r="G229" s="3"/>
      <c r="J229" s="472"/>
    </row>
    <row r="230">
      <c r="G230" s="3"/>
      <c r="J230" s="472"/>
    </row>
    <row r="231">
      <c r="G231" s="3"/>
      <c r="J231" s="472"/>
    </row>
    <row r="232">
      <c r="G232" s="3"/>
      <c r="J232" s="472"/>
    </row>
    <row r="233">
      <c r="G233" s="3"/>
      <c r="J233" s="472"/>
    </row>
    <row r="234">
      <c r="G234" s="3"/>
      <c r="J234" s="472"/>
    </row>
    <row r="235">
      <c r="G235" s="3"/>
      <c r="J235" s="472"/>
    </row>
    <row r="236">
      <c r="G236" s="3"/>
      <c r="J236" s="472"/>
    </row>
    <row r="237">
      <c r="G237" s="3"/>
      <c r="J237" s="472"/>
    </row>
    <row r="238">
      <c r="G238" s="3"/>
      <c r="J238" s="472"/>
    </row>
    <row r="239">
      <c r="G239" s="3"/>
      <c r="J239" s="472"/>
    </row>
    <row r="240">
      <c r="G240" s="3"/>
      <c r="J240" s="472"/>
    </row>
    <row r="241">
      <c r="G241" s="3"/>
      <c r="J241" s="472"/>
    </row>
    <row r="242">
      <c r="G242" s="3"/>
      <c r="J242" s="472"/>
    </row>
    <row r="243">
      <c r="G243" s="3"/>
      <c r="J243" s="472"/>
    </row>
    <row r="244">
      <c r="G244" s="3"/>
      <c r="J244" s="472"/>
    </row>
    <row r="245">
      <c r="G245" s="3"/>
      <c r="J245" s="472"/>
    </row>
    <row r="246">
      <c r="G246" s="3"/>
      <c r="J246" s="472"/>
    </row>
    <row r="247">
      <c r="G247" s="3"/>
      <c r="J247" s="472"/>
    </row>
    <row r="248">
      <c r="G248" s="3"/>
      <c r="J248" s="472"/>
    </row>
    <row r="249">
      <c r="G249" s="3"/>
      <c r="J249" s="472"/>
    </row>
    <row r="250">
      <c r="G250" s="3"/>
      <c r="J250" s="472"/>
    </row>
    <row r="251">
      <c r="G251" s="3"/>
      <c r="J251" s="472"/>
    </row>
    <row r="252">
      <c r="G252" s="3"/>
      <c r="J252" s="472"/>
    </row>
    <row r="253">
      <c r="G253" s="3"/>
      <c r="J253" s="472"/>
    </row>
    <row r="254">
      <c r="G254" s="3"/>
      <c r="J254" s="472"/>
    </row>
    <row r="255">
      <c r="G255" s="3"/>
      <c r="J255" s="472"/>
    </row>
    <row r="256">
      <c r="G256" s="3"/>
      <c r="J256" s="472"/>
    </row>
    <row r="257">
      <c r="G257" s="3"/>
      <c r="J257" s="472"/>
    </row>
    <row r="258">
      <c r="G258" s="3"/>
      <c r="J258" s="472"/>
    </row>
    <row r="259">
      <c r="G259" s="3"/>
      <c r="J259" s="472"/>
    </row>
    <row r="260">
      <c r="G260" s="3"/>
      <c r="J260" s="472"/>
    </row>
    <row r="261">
      <c r="G261" s="3"/>
      <c r="J261" s="472"/>
    </row>
    <row r="262">
      <c r="G262" s="3"/>
      <c r="J262" s="472"/>
    </row>
    <row r="263">
      <c r="G263" s="3"/>
      <c r="J263" s="472"/>
    </row>
    <row r="264">
      <c r="G264" s="3"/>
      <c r="J264" s="472"/>
    </row>
    <row r="265">
      <c r="G265" s="3"/>
      <c r="J265" s="472"/>
    </row>
    <row r="266">
      <c r="G266" s="3"/>
      <c r="J266" s="472"/>
    </row>
    <row r="267">
      <c r="G267" s="3"/>
      <c r="J267" s="472"/>
    </row>
    <row r="268">
      <c r="G268" s="3"/>
      <c r="J268" s="472"/>
    </row>
    <row r="269">
      <c r="G269" s="3"/>
      <c r="J269" s="472"/>
    </row>
    <row r="270">
      <c r="G270" s="3"/>
      <c r="J270" s="472"/>
    </row>
    <row r="271">
      <c r="G271" s="3"/>
      <c r="J271" s="472"/>
    </row>
    <row r="272">
      <c r="G272" s="3"/>
      <c r="J272" s="472"/>
    </row>
    <row r="273">
      <c r="G273" s="3"/>
      <c r="J273" s="472"/>
    </row>
    <row r="274">
      <c r="G274" s="3"/>
      <c r="J274" s="472"/>
    </row>
    <row r="275">
      <c r="G275" s="3"/>
      <c r="J275" s="472"/>
    </row>
    <row r="276">
      <c r="G276" s="3"/>
      <c r="J276" s="472"/>
    </row>
    <row r="277">
      <c r="G277" s="3"/>
      <c r="J277" s="472"/>
    </row>
    <row r="278">
      <c r="G278" s="3"/>
      <c r="J278" s="472"/>
    </row>
    <row r="279">
      <c r="G279" s="3"/>
      <c r="J279" s="472"/>
    </row>
    <row r="280">
      <c r="G280" s="3"/>
      <c r="J280" s="472"/>
    </row>
    <row r="281">
      <c r="G281" s="3"/>
      <c r="J281" s="472"/>
    </row>
    <row r="282">
      <c r="G282" s="3"/>
      <c r="J282" s="472"/>
    </row>
    <row r="283">
      <c r="G283" s="3"/>
      <c r="J283" s="472"/>
    </row>
    <row r="284">
      <c r="G284" s="3"/>
      <c r="J284" s="472"/>
    </row>
    <row r="285">
      <c r="G285" s="3"/>
      <c r="J285" s="472"/>
    </row>
    <row r="286">
      <c r="G286" s="3"/>
      <c r="J286" s="472"/>
    </row>
    <row r="287">
      <c r="G287" s="3"/>
      <c r="J287" s="472"/>
    </row>
    <row r="288">
      <c r="G288" s="3"/>
      <c r="J288" s="472"/>
    </row>
    <row r="289">
      <c r="G289" s="3"/>
      <c r="J289" s="472"/>
    </row>
    <row r="290">
      <c r="G290" s="3"/>
      <c r="J290" s="472"/>
    </row>
    <row r="291">
      <c r="G291" s="3"/>
      <c r="J291" s="472"/>
    </row>
    <row r="292">
      <c r="G292" s="3"/>
      <c r="J292" s="472"/>
    </row>
    <row r="293">
      <c r="G293" s="3"/>
      <c r="J293" s="472"/>
    </row>
    <row r="294">
      <c r="G294" s="3"/>
      <c r="J294" s="472"/>
    </row>
    <row r="295">
      <c r="G295" s="3"/>
      <c r="J295" s="472"/>
    </row>
    <row r="296">
      <c r="G296" s="3"/>
      <c r="J296" s="472"/>
    </row>
    <row r="297">
      <c r="G297" s="3"/>
      <c r="J297" s="472"/>
    </row>
    <row r="298">
      <c r="G298" s="3"/>
      <c r="J298" s="472"/>
    </row>
    <row r="299">
      <c r="G299" s="3"/>
      <c r="J299" s="472"/>
    </row>
    <row r="300">
      <c r="G300" s="3"/>
      <c r="J300" s="472"/>
    </row>
    <row r="301">
      <c r="G301" s="3"/>
      <c r="J301" s="472"/>
    </row>
    <row r="302">
      <c r="G302" s="3"/>
      <c r="J302" s="472"/>
    </row>
    <row r="303">
      <c r="G303" s="3"/>
      <c r="J303" s="472"/>
    </row>
    <row r="304">
      <c r="G304" s="3"/>
      <c r="J304" s="472"/>
    </row>
    <row r="305">
      <c r="G305" s="3"/>
      <c r="J305" s="472"/>
    </row>
    <row r="306">
      <c r="G306" s="3"/>
      <c r="J306" s="472"/>
    </row>
    <row r="307">
      <c r="G307" s="3"/>
      <c r="J307" s="472"/>
    </row>
    <row r="308">
      <c r="G308" s="3"/>
      <c r="J308" s="472"/>
    </row>
    <row r="309">
      <c r="G309" s="3"/>
      <c r="J309" s="472"/>
    </row>
    <row r="310">
      <c r="G310" s="3"/>
      <c r="J310" s="472"/>
    </row>
    <row r="311">
      <c r="G311" s="3"/>
      <c r="J311" s="472"/>
    </row>
    <row r="312">
      <c r="G312" s="3"/>
      <c r="J312" s="472"/>
    </row>
    <row r="313">
      <c r="G313" s="3"/>
      <c r="J313" s="472"/>
    </row>
    <row r="314">
      <c r="G314" s="3"/>
      <c r="J314" s="472"/>
    </row>
    <row r="315">
      <c r="G315" s="3"/>
      <c r="J315" s="472"/>
    </row>
    <row r="316">
      <c r="G316" s="3"/>
      <c r="J316" s="472"/>
    </row>
    <row r="317">
      <c r="G317" s="3"/>
      <c r="J317" s="472"/>
    </row>
    <row r="318">
      <c r="G318" s="3"/>
      <c r="J318" s="472"/>
    </row>
    <row r="319">
      <c r="G319" s="3"/>
      <c r="J319" s="472"/>
    </row>
    <row r="320">
      <c r="G320" s="3"/>
      <c r="J320" s="472"/>
    </row>
    <row r="321">
      <c r="G321" s="3"/>
      <c r="J321" s="472"/>
    </row>
    <row r="322">
      <c r="G322" s="3"/>
      <c r="J322" s="472"/>
    </row>
    <row r="323">
      <c r="G323" s="3"/>
      <c r="J323" s="472"/>
    </row>
    <row r="324">
      <c r="G324" s="3"/>
      <c r="J324" s="472"/>
    </row>
    <row r="325">
      <c r="G325" s="3"/>
      <c r="J325" s="472"/>
    </row>
    <row r="326">
      <c r="G326" s="3"/>
      <c r="J326" s="472"/>
    </row>
    <row r="327">
      <c r="G327" s="3"/>
      <c r="J327" s="472"/>
    </row>
    <row r="328">
      <c r="G328" s="3"/>
      <c r="J328" s="472"/>
    </row>
    <row r="329">
      <c r="G329" s="3"/>
      <c r="J329" s="472"/>
    </row>
    <row r="330">
      <c r="G330" s="3"/>
      <c r="J330" s="472"/>
    </row>
    <row r="331">
      <c r="G331" s="3"/>
      <c r="J331" s="472"/>
    </row>
    <row r="332">
      <c r="G332" s="3"/>
      <c r="J332" s="472"/>
    </row>
    <row r="333">
      <c r="G333" s="3"/>
      <c r="J333" s="472"/>
    </row>
    <row r="334">
      <c r="G334" s="3"/>
      <c r="J334" s="472"/>
    </row>
    <row r="335">
      <c r="G335" s="3"/>
      <c r="J335" s="472"/>
    </row>
    <row r="336">
      <c r="G336" s="3"/>
      <c r="J336" s="472"/>
    </row>
    <row r="337">
      <c r="G337" s="3"/>
      <c r="J337" s="472"/>
    </row>
    <row r="338">
      <c r="G338" s="3"/>
      <c r="J338" s="472"/>
    </row>
    <row r="339">
      <c r="G339" s="3"/>
      <c r="J339" s="472"/>
    </row>
    <row r="340">
      <c r="G340" s="3"/>
      <c r="J340" s="472"/>
    </row>
    <row r="341">
      <c r="G341" s="3"/>
      <c r="J341" s="472"/>
    </row>
    <row r="342">
      <c r="G342" s="3"/>
      <c r="J342" s="472"/>
    </row>
    <row r="343">
      <c r="G343" s="3"/>
      <c r="J343" s="472"/>
    </row>
    <row r="344">
      <c r="G344" s="3"/>
      <c r="J344" s="472"/>
    </row>
    <row r="345">
      <c r="G345" s="3"/>
      <c r="J345" s="472"/>
    </row>
    <row r="346">
      <c r="G346" s="3"/>
      <c r="J346" s="472"/>
    </row>
    <row r="347">
      <c r="G347" s="3"/>
      <c r="J347" s="472"/>
    </row>
    <row r="348">
      <c r="G348" s="3"/>
      <c r="J348" s="472"/>
    </row>
    <row r="349">
      <c r="G349" s="3"/>
      <c r="J349" s="472"/>
    </row>
    <row r="350">
      <c r="G350" s="3"/>
      <c r="J350" s="472"/>
    </row>
    <row r="351">
      <c r="G351" s="3"/>
      <c r="J351" s="472"/>
    </row>
    <row r="352">
      <c r="G352" s="3"/>
      <c r="J352" s="472"/>
    </row>
    <row r="353">
      <c r="G353" s="3"/>
      <c r="J353" s="472"/>
    </row>
    <row r="354">
      <c r="G354" s="3"/>
      <c r="J354" s="472"/>
    </row>
    <row r="355">
      <c r="G355" s="3"/>
      <c r="J355" s="472"/>
    </row>
    <row r="356">
      <c r="G356" s="3"/>
      <c r="J356" s="472"/>
    </row>
    <row r="357">
      <c r="G357" s="3"/>
      <c r="J357" s="472"/>
    </row>
    <row r="358">
      <c r="G358" s="3"/>
      <c r="J358" s="472"/>
    </row>
    <row r="359">
      <c r="G359" s="3"/>
      <c r="J359" s="472"/>
    </row>
    <row r="360">
      <c r="G360" s="3"/>
      <c r="J360" s="472"/>
    </row>
    <row r="361">
      <c r="G361" s="3"/>
      <c r="J361" s="472"/>
    </row>
    <row r="362">
      <c r="G362" s="3"/>
      <c r="J362" s="472"/>
    </row>
    <row r="363">
      <c r="G363" s="3"/>
      <c r="J363" s="472"/>
    </row>
    <row r="364">
      <c r="G364" s="3"/>
      <c r="J364" s="472"/>
    </row>
    <row r="365">
      <c r="G365" s="3"/>
      <c r="J365" s="472"/>
    </row>
    <row r="366">
      <c r="G366" s="3"/>
      <c r="J366" s="472"/>
    </row>
    <row r="367">
      <c r="G367" s="3"/>
      <c r="J367" s="472"/>
    </row>
    <row r="368">
      <c r="G368" s="3"/>
      <c r="J368" s="472"/>
    </row>
    <row r="369">
      <c r="G369" s="3"/>
      <c r="J369" s="472"/>
    </row>
    <row r="370">
      <c r="G370" s="3"/>
      <c r="J370" s="472"/>
    </row>
    <row r="371">
      <c r="G371" s="3"/>
      <c r="J371" s="472"/>
    </row>
    <row r="372">
      <c r="G372" s="3"/>
      <c r="J372" s="472"/>
    </row>
    <row r="373">
      <c r="G373" s="3"/>
      <c r="J373" s="472"/>
    </row>
    <row r="374">
      <c r="G374" s="3"/>
      <c r="J374" s="472"/>
    </row>
    <row r="375">
      <c r="G375" s="3"/>
      <c r="J375" s="472"/>
    </row>
    <row r="376">
      <c r="G376" s="3"/>
      <c r="J376" s="472"/>
    </row>
    <row r="377">
      <c r="G377" s="3"/>
      <c r="J377" s="472"/>
    </row>
    <row r="378">
      <c r="G378" s="3"/>
      <c r="J378" s="472"/>
    </row>
    <row r="379">
      <c r="G379" s="3"/>
      <c r="J379" s="472"/>
    </row>
    <row r="380">
      <c r="G380" s="3"/>
      <c r="J380" s="472"/>
    </row>
    <row r="381">
      <c r="G381" s="3"/>
      <c r="J381" s="472"/>
    </row>
    <row r="382">
      <c r="G382" s="3"/>
      <c r="J382" s="472"/>
    </row>
    <row r="383">
      <c r="G383" s="3"/>
      <c r="J383" s="472"/>
    </row>
    <row r="384">
      <c r="G384" s="3"/>
      <c r="J384" s="472"/>
    </row>
    <row r="385">
      <c r="G385" s="3"/>
      <c r="J385" s="472"/>
    </row>
    <row r="386">
      <c r="G386" s="3"/>
      <c r="J386" s="472"/>
    </row>
    <row r="387">
      <c r="G387" s="3"/>
      <c r="J387" s="472"/>
    </row>
    <row r="388">
      <c r="G388" s="3"/>
      <c r="J388" s="472"/>
    </row>
    <row r="389">
      <c r="G389" s="3"/>
      <c r="J389" s="472"/>
    </row>
    <row r="390">
      <c r="G390" s="3"/>
      <c r="J390" s="472"/>
    </row>
    <row r="391">
      <c r="G391" s="3"/>
      <c r="J391" s="472"/>
    </row>
    <row r="392">
      <c r="G392" s="3"/>
      <c r="J392" s="472"/>
    </row>
    <row r="393">
      <c r="G393" s="3"/>
      <c r="J393" s="472"/>
    </row>
    <row r="394">
      <c r="G394" s="3"/>
      <c r="J394" s="472"/>
    </row>
    <row r="395">
      <c r="G395" s="3"/>
      <c r="J395" s="472"/>
    </row>
    <row r="396">
      <c r="G396" s="3"/>
      <c r="J396" s="472"/>
    </row>
    <row r="397">
      <c r="G397" s="3"/>
      <c r="J397" s="472"/>
    </row>
    <row r="398">
      <c r="G398" s="3"/>
      <c r="J398" s="472"/>
    </row>
    <row r="399">
      <c r="G399" s="3"/>
      <c r="J399" s="472"/>
    </row>
    <row r="400">
      <c r="G400" s="3"/>
      <c r="J400" s="472"/>
    </row>
    <row r="401">
      <c r="G401" s="3"/>
      <c r="J401" s="472"/>
    </row>
    <row r="402">
      <c r="G402" s="3"/>
      <c r="J402" s="472"/>
    </row>
    <row r="403">
      <c r="G403" s="3"/>
      <c r="J403" s="472"/>
    </row>
    <row r="404">
      <c r="G404" s="3"/>
      <c r="J404" s="472"/>
    </row>
    <row r="405">
      <c r="G405" s="3"/>
      <c r="J405" s="472"/>
    </row>
    <row r="406">
      <c r="G406" s="3"/>
      <c r="J406" s="472"/>
    </row>
    <row r="407">
      <c r="G407" s="3"/>
      <c r="J407" s="472"/>
    </row>
    <row r="408">
      <c r="G408" s="3"/>
      <c r="J408" s="472"/>
    </row>
    <row r="409">
      <c r="G409" s="3"/>
      <c r="J409" s="472"/>
    </row>
    <row r="410">
      <c r="G410" s="3"/>
      <c r="J410" s="472"/>
    </row>
    <row r="411">
      <c r="G411" s="3"/>
      <c r="J411" s="472"/>
    </row>
    <row r="412">
      <c r="G412" s="3"/>
      <c r="J412" s="472"/>
    </row>
    <row r="413">
      <c r="G413" s="3"/>
      <c r="J413" s="472"/>
    </row>
    <row r="414">
      <c r="G414" s="3"/>
      <c r="J414" s="472"/>
    </row>
    <row r="415">
      <c r="G415" s="3"/>
      <c r="J415" s="472"/>
    </row>
    <row r="416">
      <c r="G416" s="3"/>
      <c r="J416" s="472"/>
    </row>
    <row r="417">
      <c r="G417" s="3"/>
      <c r="J417" s="472"/>
    </row>
    <row r="418">
      <c r="G418" s="3"/>
      <c r="J418" s="472"/>
    </row>
    <row r="419">
      <c r="G419" s="3"/>
      <c r="J419" s="472"/>
    </row>
    <row r="420">
      <c r="G420" s="3"/>
      <c r="J420" s="472"/>
    </row>
    <row r="421">
      <c r="G421" s="3"/>
      <c r="J421" s="472"/>
    </row>
    <row r="422">
      <c r="G422" s="3"/>
      <c r="J422" s="472"/>
    </row>
    <row r="423">
      <c r="G423" s="3"/>
      <c r="J423" s="472"/>
    </row>
    <row r="424">
      <c r="G424" s="3"/>
      <c r="J424" s="472"/>
    </row>
    <row r="425">
      <c r="G425" s="3"/>
      <c r="J425" s="472"/>
    </row>
    <row r="426">
      <c r="G426" s="3"/>
      <c r="J426" s="472"/>
    </row>
    <row r="427">
      <c r="G427" s="3"/>
      <c r="J427" s="472"/>
    </row>
    <row r="428">
      <c r="G428" s="3"/>
      <c r="J428" s="472"/>
    </row>
    <row r="429">
      <c r="G429" s="3"/>
      <c r="J429" s="472"/>
    </row>
    <row r="430">
      <c r="G430" s="3"/>
      <c r="J430" s="472"/>
    </row>
    <row r="431">
      <c r="G431" s="3"/>
      <c r="J431" s="472"/>
    </row>
    <row r="432">
      <c r="G432" s="3"/>
      <c r="J432" s="472"/>
    </row>
    <row r="433">
      <c r="G433" s="3"/>
      <c r="J433" s="472"/>
    </row>
    <row r="434">
      <c r="G434" s="3"/>
      <c r="J434" s="472"/>
    </row>
    <row r="435">
      <c r="G435" s="3"/>
      <c r="J435" s="472"/>
    </row>
    <row r="436">
      <c r="G436" s="3"/>
      <c r="J436" s="472"/>
    </row>
    <row r="437">
      <c r="G437" s="3"/>
      <c r="J437" s="472"/>
    </row>
    <row r="438">
      <c r="G438" s="3"/>
      <c r="J438" s="472"/>
    </row>
    <row r="439">
      <c r="G439" s="3"/>
      <c r="J439" s="472"/>
    </row>
    <row r="440">
      <c r="G440" s="3"/>
      <c r="J440" s="472"/>
    </row>
    <row r="441">
      <c r="G441" s="3"/>
      <c r="J441" s="472"/>
    </row>
    <row r="442">
      <c r="G442" s="3"/>
      <c r="J442" s="472"/>
    </row>
    <row r="443">
      <c r="G443" s="3"/>
      <c r="J443" s="472"/>
    </row>
    <row r="444">
      <c r="G444" s="3"/>
      <c r="J444" s="472"/>
    </row>
    <row r="445">
      <c r="G445" s="3"/>
      <c r="J445" s="472"/>
    </row>
    <row r="446">
      <c r="G446" s="3"/>
      <c r="J446" s="472"/>
    </row>
    <row r="447">
      <c r="G447" s="3"/>
      <c r="J447" s="472"/>
    </row>
    <row r="448">
      <c r="G448" s="3"/>
      <c r="J448" s="472"/>
    </row>
    <row r="449">
      <c r="G449" s="3"/>
      <c r="J449" s="472"/>
    </row>
    <row r="450">
      <c r="G450" s="3"/>
      <c r="J450" s="472"/>
    </row>
    <row r="451">
      <c r="G451" s="3"/>
      <c r="J451" s="472"/>
    </row>
    <row r="452">
      <c r="G452" s="3"/>
      <c r="J452" s="472"/>
    </row>
    <row r="453">
      <c r="G453" s="3"/>
      <c r="J453" s="472"/>
    </row>
    <row r="454">
      <c r="G454" s="3"/>
      <c r="J454" s="472"/>
    </row>
    <row r="455">
      <c r="G455" s="3"/>
      <c r="J455" s="472"/>
    </row>
    <row r="456">
      <c r="G456" s="3"/>
      <c r="J456" s="472"/>
    </row>
    <row r="457">
      <c r="G457" s="3"/>
      <c r="J457" s="472"/>
    </row>
    <row r="458">
      <c r="G458" s="3"/>
      <c r="J458" s="472"/>
    </row>
    <row r="459">
      <c r="G459" s="3"/>
      <c r="J459" s="472"/>
    </row>
    <row r="460">
      <c r="G460" s="3"/>
      <c r="J460" s="472"/>
    </row>
    <row r="461">
      <c r="G461" s="3"/>
      <c r="J461" s="472"/>
    </row>
    <row r="462">
      <c r="G462" s="3"/>
      <c r="J462" s="472"/>
    </row>
    <row r="463">
      <c r="G463" s="3"/>
      <c r="J463" s="472"/>
    </row>
    <row r="464">
      <c r="G464" s="3"/>
      <c r="J464" s="472"/>
    </row>
    <row r="465">
      <c r="G465" s="3"/>
      <c r="J465" s="472"/>
    </row>
    <row r="466">
      <c r="G466" s="3"/>
      <c r="J466" s="472"/>
    </row>
    <row r="467">
      <c r="G467" s="3"/>
      <c r="J467" s="472"/>
    </row>
    <row r="468">
      <c r="G468" s="3"/>
      <c r="J468" s="472"/>
    </row>
    <row r="469">
      <c r="G469" s="3"/>
      <c r="J469" s="472"/>
    </row>
    <row r="470">
      <c r="G470" s="3"/>
      <c r="J470" s="472"/>
    </row>
    <row r="471">
      <c r="G471" s="3"/>
      <c r="J471" s="472"/>
    </row>
    <row r="472">
      <c r="G472" s="3"/>
      <c r="J472" s="472"/>
    </row>
    <row r="473">
      <c r="G473" s="3"/>
      <c r="J473" s="472"/>
    </row>
    <row r="474">
      <c r="G474" s="3"/>
      <c r="J474" s="472"/>
    </row>
    <row r="475">
      <c r="G475" s="3"/>
      <c r="J475" s="472"/>
    </row>
    <row r="476">
      <c r="G476" s="3"/>
      <c r="J476" s="472"/>
    </row>
    <row r="477">
      <c r="G477" s="3"/>
      <c r="J477" s="472"/>
    </row>
    <row r="478">
      <c r="G478" s="3"/>
      <c r="J478" s="472"/>
    </row>
    <row r="479">
      <c r="G479" s="3"/>
      <c r="J479" s="472"/>
    </row>
    <row r="480">
      <c r="G480" s="3"/>
      <c r="J480" s="472"/>
    </row>
    <row r="481">
      <c r="G481" s="3"/>
      <c r="J481" s="472"/>
    </row>
    <row r="482">
      <c r="G482" s="3"/>
      <c r="J482" s="472"/>
    </row>
    <row r="483">
      <c r="G483" s="3"/>
      <c r="J483" s="472"/>
    </row>
    <row r="484">
      <c r="G484" s="3"/>
      <c r="J484" s="472"/>
    </row>
    <row r="485">
      <c r="G485" s="3"/>
      <c r="J485" s="472"/>
    </row>
    <row r="486">
      <c r="G486" s="3"/>
      <c r="J486" s="472"/>
    </row>
    <row r="487">
      <c r="G487" s="3"/>
      <c r="J487" s="472"/>
    </row>
    <row r="488">
      <c r="G488" s="3"/>
      <c r="J488" s="472"/>
    </row>
    <row r="489">
      <c r="G489" s="3"/>
      <c r="J489" s="472"/>
    </row>
    <row r="490">
      <c r="G490" s="3"/>
      <c r="J490" s="472"/>
    </row>
    <row r="491">
      <c r="G491" s="3"/>
      <c r="J491" s="472"/>
    </row>
    <row r="492">
      <c r="G492" s="3"/>
      <c r="J492" s="472"/>
    </row>
    <row r="493">
      <c r="G493" s="3"/>
      <c r="J493" s="472"/>
    </row>
    <row r="494">
      <c r="G494" s="3"/>
      <c r="J494" s="472"/>
    </row>
    <row r="495">
      <c r="G495" s="3"/>
      <c r="J495" s="472"/>
    </row>
    <row r="496">
      <c r="G496" s="3"/>
      <c r="J496" s="472"/>
    </row>
    <row r="497">
      <c r="G497" s="3"/>
      <c r="J497" s="472"/>
    </row>
    <row r="498">
      <c r="G498" s="3"/>
      <c r="J498" s="472"/>
    </row>
    <row r="499">
      <c r="G499" s="3"/>
      <c r="J499" s="472"/>
    </row>
    <row r="500">
      <c r="G500" s="3"/>
      <c r="J500" s="472"/>
    </row>
    <row r="501">
      <c r="G501" s="3"/>
      <c r="J501" s="472"/>
    </row>
    <row r="502">
      <c r="G502" s="3"/>
      <c r="J502" s="472"/>
    </row>
    <row r="503">
      <c r="G503" s="3"/>
      <c r="J503" s="472"/>
    </row>
    <row r="504">
      <c r="G504" s="3"/>
      <c r="J504" s="472"/>
    </row>
    <row r="505">
      <c r="G505" s="3"/>
      <c r="J505" s="472"/>
    </row>
    <row r="506">
      <c r="G506" s="3"/>
      <c r="J506" s="472"/>
    </row>
    <row r="507">
      <c r="G507" s="3"/>
      <c r="J507" s="472"/>
    </row>
    <row r="508">
      <c r="G508" s="3"/>
      <c r="J508" s="472"/>
    </row>
    <row r="509">
      <c r="G509" s="3"/>
      <c r="J509" s="472"/>
    </row>
    <row r="510">
      <c r="G510" s="3"/>
      <c r="J510" s="472"/>
    </row>
    <row r="511">
      <c r="G511" s="3"/>
      <c r="J511" s="472"/>
    </row>
    <row r="512">
      <c r="G512" s="3"/>
      <c r="J512" s="472"/>
    </row>
    <row r="513">
      <c r="G513" s="3"/>
      <c r="J513" s="472"/>
    </row>
    <row r="514">
      <c r="G514" s="3"/>
      <c r="J514" s="472"/>
    </row>
    <row r="515">
      <c r="G515" s="3"/>
      <c r="J515" s="472"/>
    </row>
    <row r="516">
      <c r="G516" s="3"/>
      <c r="J516" s="472"/>
    </row>
    <row r="517">
      <c r="G517" s="3"/>
      <c r="J517" s="472"/>
    </row>
    <row r="518">
      <c r="G518" s="3"/>
      <c r="J518" s="472"/>
    </row>
    <row r="519">
      <c r="G519" s="3"/>
      <c r="J519" s="472"/>
    </row>
    <row r="520">
      <c r="G520" s="3"/>
      <c r="J520" s="472"/>
    </row>
    <row r="521">
      <c r="G521" s="3"/>
      <c r="J521" s="472"/>
    </row>
    <row r="522">
      <c r="G522" s="3"/>
      <c r="J522" s="472"/>
    </row>
    <row r="523">
      <c r="G523" s="3"/>
      <c r="J523" s="472"/>
    </row>
    <row r="524">
      <c r="G524" s="3"/>
      <c r="J524" s="472"/>
    </row>
    <row r="525">
      <c r="G525" s="3"/>
      <c r="J525" s="472"/>
    </row>
    <row r="526">
      <c r="G526" s="3"/>
      <c r="J526" s="472"/>
    </row>
    <row r="527">
      <c r="G527" s="3"/>
      <c r="J527" s="472"/>
    </row>
    <row r="528">
      <c r="G528" s="3"/>
      <c r="J528" s="472"/>
    </row>
    <row r="529">
      <c r="G529" s="3"/>
      <c r="J529" s="472"/>
    </row>
    <row r="530">
      <c r="G530" s="3"/>
      <c r="J530" s="472"/>
    </row>
    <row r="531">
      <c r="G531" s="3"/>
      <c r="J531" s="472"/>
    </row>
    <row r="532">
      <c r="G532" s="3"/>
      <c r="J532" s="472"/>
    </row>
    <row r="533">
      <c r="G533" s="3"/>
      <c r="J533" s="472"/>
    </row>
    <row r="534">
      <c r="G534" s="3"/>
      <c r="J534" s="472"/>
    </row>
    <row r="535">
      <c r="G535" s="3"/>
      <c r="J535" s="472"/>
    </row>
    <row r="536">
      <c r="G536" s="3"/>
      <c r="J536" s="472"/>
    </row>
    <row r="537">
      <c r="G537" s="3"/>
      <c r="J537" s="472"/>
    </row>
    <row r="538">
      <c r="G538" s="3"/>
      <c r="J538" s="472"/>
    </row>
    <row r="539">
      <c r="G539" s="3"/>
      <c r="J539" s="472"/>
    </row>
    <row r="540">
      <c r="G540" s="3"/>
      <c r="J540" s="472"/>
    </row>
    <row r="541">
      <c r="G541" s="3"/>
      <c r="J541" s="472"/>
    </row>
    <row r="542">
      <c r="G542" s="3"/>
      <c r="J542" s="472"/>
    </row>
    <row r="543">
      <c r="G543" s="3"/>
      <c r="J543" s="472"/>
    </row>
    <row r="544">
      <c r="G544" s="3"/>
      <c r="J544" s="472"/>
    </row>
    <row r="545">
      <c r="G545" s="3"/>
      <c r="J545" s="472"/>
    </row>
    <row r="546">
      <c r="G546" s="3"/>
      <c r="J546" s="472"/>
    </row>
    <row r="547">
      <c r="G547" s="3"/>
      <c r="J547" s="472"/>
    </row>
    <row r="548">
      <c r="G548" s="3"/>
      <c r="J548" s="472"/>
    </row>
    <row r="549">
      <c r="G549" s="3"/>
      <c r="J549" s="472"/>
    </row>
    <row r="550">
      <c r="G550" s="3"/>
      <c r="J550" s="472"/>
    </row>
    <row r="551">
      <c r="G551" s="3"/>
      <c r="J551" s="472"/>
    </row>
    <row r="552">
      <c r="G552" s="3"/>
      <c r="J552" s="472"/>
    </row>
    <row r="553">
      <c r="G553" s="3"/>
      <c r="J553" s="472"/>
    </row>
    <row r="554">
      <c r="G554" s="3"/>
      <c r="J554" s="472"/>
    </row>
    <row r="555">
      <c r="G555" s="3"/>
      <c r="J555" s="472"/>
    </row>
    <row r="556">
      <c r="G556" s="3"/>
      <c r="J556" s="472"/>
    </row>
    <row r="557">
      <c r="G557" s="3"/>
      <c r="J557" s="472"/>
    </row>
    <row r="558">
      <c r="G558" s="3"/>
      <c r="J558" s="472"/>
    </row>
    <row r="559">
      <c r="G559" s="3"/>
      <c r="J559" s="472"/>
    </row>
    <row r="560">
      <c r="G560" s="3"/>
      <c r="J560" s="472"/>
    </row>
    <row r="561">
      <c r="G561" s="3"/>
      <c r="J561" s="472"/>
    </row>
    <row r="562">
      <c r="G562" s="3"/>
      <c r="J562" s="472"/>
    </row>
    <row r="563">
      <c r="G563" s="3"/>
      <c r="J563" s="472"/>
    </row>
    <row r="564">
      <c r="G564" s="3"/>
      <c r="J564" s="472"/>
    </row>
    <row r="565">
      <c r="G565" s="3"/>
      <c r="J565" s="472"/>
    </row>
    <row r="566">
      <c r="G566" s="3"/>
      <c r="J566" s="472"/>
    </row>
    <row r="567">
      <c r="G567" s="3"/>
      <c r="J567" s="472"/>
    </row>
    <row r="568">
      <c r="G568" s="3"/>
      <c r="J568" s="472"/>
    </row>
    <row r="569">
      <c r="G569" s="3"/>
      <c r="J569" s="472"/>
    </row>
    <row r="570">
      <c r="G570" s="3"/>
      <c r="J570" s="472"/>
    </row>
    <row r="571">
      <c r="G571" s="3"/>
      <c r="J571" s="472"/>
    </row>
    <row r="572">
      <c r="G572" s="3"/>
      <c r="J572" s="472"/>
    </row>
    <row r="573">
      <c r="G573" s="3"/>
      <c r="J573" s="472"/>
    </row>
    <row r="574">
      <c r="G574" s="3"/>
      <c r="J574" s="472"/>
    </row>
    <row r="575">
      <c r="G575" s="3"/>
      <c r="J575" s="472"/>
    </row>
    <row r="576">
      <c r="G576" s="3"/>
      <c r="J576" s="472"/>
    </row>
    <row r="577">
      <c r="G577" s="3"/>
      <c r="J577" s="472"/>
    </row>
    <row r="578">
      <c r="G578" s="3"/>
      <c r="J578" s="472"/>
    </row>
    <row r="579">
      <c r="G579" s="3"/>
      <c r="J579" s="472"/>
    </row>
    <row r="580">
      <c r="G580" s="3"/>
      <c r="J580" s="472"/>
    </row>
    <row r="581">
      <c r="G581" s="3"/>
      <c r="J581" s="472"/>
    </row>
    <row r="582">
      <c r="G582" s="3"/>
      <c r="J582" s="472"/>
    </row>
    <row r="583">
      <c r="G583" s="3"/>
      <c r="J583" s="472"/>
    </row>
    <row r="584">
      <c r="G584" s="3"/>
      <c r="J584" s="472"/>
    </row>
    <row r="585">
      <c r="G585" s="3"/>
      <c r="J585" s="472"/>
    </row>
    <row r="586">
      <c r="G586" s="3"/>
      <c r="J586" s="472"/>
    </row>
    <row r="587">
      <c r="G587" s="3"/>
      <c r="J587" s="472"/>
    </row>
    <row r="588">
      <c r="G588" s="3"/>
      <c r="J588" s="472"/>
    </row>
    <row r="589">
      <c r="G589" s="3"/>
      <c r="J589" s="472"/>
    </row>
    <row r="590">
      <c r="G590" s="3"/>
      <c r="J590" s="472"/>
    </row>
    <row r="591">
      <c r="G591" s="3"/>
      <c r="J591" s="472"/>
    </row>
    <row r="592">
      <c r="G592" s="3"/>
      <c r="J592" s="472"/>
    </row>
    <row r="593">
      <c r="G593" s="3"/>
      <c r="J593" s="472"/>
    </row>
    <row r="594">
      <c r="G594" s="3"/>
      <c r="J594" s="472"/>
    </row>
    <row r="595">
      <c r="G595" s="3"/>
      <c r="J595" s="472"/>
    </row>
    <row r="596">
      <c r="G596" s="3"/>
      <c r="J596" s="472"/>
    </row>
    <row r="597">
      <c r="G597" s="3"/>
      <c r="J597" s="472"/>
    </row>
    <row r="598">
      <c r="G598" s="3"/>
      <c r="J598" s="472"/>
    </row>
    <row r="599">
      <c r="G599" s="3"/>
      <c r="J599" s="472"/>
    </row>
    <row r="600">
      <c r="G600" s="3"/>
      <c r="J600" s="472"/>
    </row>
    <row r="601">
      <c r="G601" s="3"/>
      <c r="J601" s="472"/>
    </row>
    <row r="602">
      <c r="G602" s="3"/>
      <c r="J602" s="472"/>
    </row>
    <row r="603">
      <c r="G603" s="3"/>
      <c r="J603" s="472"/>
    </row>
    <row r="604">
      <c r="G604" s="3"/>
      <c r="J604" s="472"/>
    </row>
    <row r="605">
      <c r="G605" s="3"/>
      <c r="J605" s="472"/>
    </row>
    <row r="606">
      <c r="G606" s="3"/>
      <c r="J606" s="472"/>
    </row>
    <row r="607">
      <c r="G607" s="3"/>
      <c r="J607" s="472"/>
    </row>
    <row r="608">
      <c r="G608" s="3"/>
      <c r="J608" s="472"/>
    </row>
    <row r="609">
      <c r="G609" s="3"/>
      <c r="J609" s="472"/>
    </row>
    <row r="610">
      <c r="G610" s="3"/>
      <c r="J610" s="472"/>
    </row>
    <row r="611">
      <c r="G611" s="3"/>
      <c r="J611" s="472"/>
    </row>
    <row r="612">
      <c r="G612" s="3"/>
      <c r="J612" s="472"/>
    </row>
    <row r="613">
      <c r="G613" s="3"/>
      <c r="J613" s="472"/>
    </row>
    <row r="614">
      <c r="G614" s="3"/>
      <c r="J614" s="472"/>
    </row>
    <row r="615">
      <c r="G615" s="3"/>
      <c r="J615" s="472"/>
    </row>
    <row r="616">
      <c r="G616" s="3"/>
      <c r="J616" s="472"/>
    </row>
    <row r="617">
      <c r="G617" s="3"/>
      <c r="J617" s="472"/>
    </row>
    <row r="618">
      <c r="G618" s="3"/>
      <c r="J618" s="472"/>
    </row>
    <row r="619">
      <c r="G619" s="3"/>
      <c r="J619" s="472"/>
    </row>
    <row r="620">
      <c r="G620" s="3"/>
      <c r="J620" s="472"/>
    </row>
    <row r="621">
      <c r="G621" s="3"/>
      <c r="J621" s="472"/>
    </row>
    <row r="622">
      <c r="G622" s="3"/>
      <c r="J622" s="472"/>
    </row>
    <row r="623">
      <c r="G623" s="3"/>
      <c r="J623" s="472"/>
    </row>
    <row r="624">
      <c r="G624" s="3"/>
      <c r="J624" s="472"/>
    </row>
    <row r="625">
      <c r="G625" s="3"/>
      <c r="J625" s="472"/>
    </row>
    <row r="626">
      <c r="G626" s="3"/>
      <c r="J626" s="472"/>
    </row>
    <row r="627">
      <c r="G627" s="3"/>
      <c r="J627" s="472"/>
    </row>
    <row r="628">
      <c r="G628" s="3"/>
      <c r="J628" s="472"/>
    </row>
    <row r="629">
      <c r="G629" s="3"/>
      <c r="J629" s="472"/>
    </row>
    <row r="630">
      <c r="G630" s="3"/>
      <c r="J630" s="472"/>
    </row>
    <row r="631">
      <c r="G631" s="3"/>
      <c r="J631" s="472"/>
    </row>
    <row r="632">
      <c r="G632" s="3"/>
      <c r="J632" s="472"/>
    </row>
    <row r="633">
      <c r="G633" s="3"/>
      <c r="J633" s="472"/>
    </row>
    <row r="634">
      <c r="G634" s="3"/>
      <c r="J634" s="472"/>
    </row>
    <row r="635">
      <c r="G635" s="3"/>
      <c r="J635" s="472"/>
    </row>
    <row r="636">
      <c r="G636" s="3"/>
      <c r="J636" s="472"/>
    </row>
    <row r="637">
      <c r="G637" s="3"/>
      <c r="J637" s="472"/>
    </row>
    <row r="638">
      <c r="G638" s="3"/>
      <c r="J638" s="472"/>
    </row>
    <row r="639">
      <c r="G639" s="3"/>
      <c r="J639" s="472"/>
    </row>
    <row r="640">
      <c r="G640" s="3"/>
      <c r="J640" s="472"/>
    </row>
    <row r="641">
      <c r="G641" s="3"/>
      <c r="J641" s="472"/>
    </row>
    <row r="642">
      <c r="G642" s="3"/>
      <c r="J642" s="472"/>
    </row>
    <row r="643">
      <c r="G643" s="3"/>
      <c r="J643" s="472"/>
    </row>
    <row r="644">
      <c r="G644" s="3"/>
      <c r="J644" s="472"/>
    </row>
    <row r="645">
      <c r="G645" s="3"/>
      <c r="J645" s="472"/>
    </row>
    <row r="646">
      <c r="G646" s="3"/>
      <c r="J646" s="472"/>
    </row>
    <row r="647">
      <c r="G647" s="3"/>
      <c r="J647" s="472"/>
    </row>
    <row r="648">
      <c r="G648" s="3"/>
      <c r="J648" s="472"/>
    </row>
    <row r="649">
      <c r="G649" s="3"/>
      <c r="J649" s="472"/>
    </row>
    <row r="650">
      <c r="G650" s="3"/>
      <c r="J650" s="472"/>
    </row>
    <row r="651">
      <c r="G651" s="3"/>
      <c r="J651" s="472"/>
    </row>
    <row r="652">
      <c r="G652" s="3"/>
      <c r="J652" s="472"/>
    </row>
    <row r="653">
      <c r="G653" s="3"/>
      <c r="J653" s="472"/>
    </row>
    <row r="654">
      <c r="G654" s="3"/>
      <c r="J654" s="472"/>
    </row>
    <row r="655">
      <c r="G655" s="3"/>
      <c r="J655" s="472"/>
    </row>
    <row r="656">
      <c r="G656" s="3"/>
      <c r="J656" s="472"/>
    </row>
    <row r="657">
      <c r="G657" s="3"/>
      <c r="J657" s="472"/>
    </row>
    <row r="658">
      <c r="G658" s="3"/>
      <c r="J658" s="472"/>
    </row>
    <row r="659">
      <c r="G659" s="3"/>
      <c r="J659" s="472"/>
    </row>
    <row r="660">
      <c r="G660" s="3"/>
      <c r="J660" s="472"/>
    </row>
    <row r="661">
      <c r="G661" s="3"/>
      <c r="J661" s="472"/>
    </row>
    <row r="662">
      <c r="G662" s="3"/>
      <c r="J662" s="472"/>
    </row>
    <row r="663">
      <c r="G663" s="3"/>
      <c r="J663" s="472"/>
    </row>
    <row r="664">
      <c r="G664" s="3"/>
      <c r="J664" s="472"/>
    </row>
    <row r="665">
      <c r="G665" s="3"/>
      <c r="J665" s="472"/>
    </row>
    <row r="666">
      <c r="G666" s="3"/>
      <c r="J666" s="472"/>
    </row>
    <row r="667">
      <c r="G667" s="3"/>
      <c r="J667" s="472"/>
    </row>
    <row r="668">
      <c r="G668" s="3"/>
      <c r="J668" s="472"/>
    </row>
    <row r="669">
      <c r="G669" s="3"/>
      <c r="J669" s="472"/>
    </row>
    <row r="670">
      <c r="G670" s="3"/>
      <c r="J670" s="472"/>
    </row>
    <row r="671">
      <c r="G671" s="3"/>
      <c r="J671" s="472"/>
    </row>
    <row r="672">
      <c r="G672" s="3"/>
      <c r="J672" s="472"/>
    </row>
    <row r="673">
      <c r="G673" s="3"/>
      <c r="J673" s="472"/>
    </row>
    <row r="674">
      <c r="G674" s="3"/>
      <c r="J674" s="472"/>
    </row>
    <row r="675">
      <c r="G675" s="3"/>
      <c r="J675" s="472"/>
    </row>
    <row r="676">
      <c r="G676" s="3"/>
      <c r="J676" s="472"/>
    </row>
    <row r="677">
      <c r="G677" s="3"/>
      <c r="J677" s="472"/>
    </row>
    <row r="678">
      <c r="G678" s="3"/>
      <c r="J678" s="472"/>
    </row>
    <row r="679">
      <c r="G679" s="3"/>
      <c r="J679" s="472"/>
    </row>
    <row r="680">
      <c r="G680" s="3"/>
      <c r="J680" s="472"/>
    </row>
    <row r="681">
      <c r="G681" s="3"/>
      <c r="J681" s="472"/>
    </row>
    <row r="682">
      <c r="G682" s="3"/>
      <c r="J682" s="472"/>
    </row>
    <row r="683">
      <c r="G683" s="3"/>
      <c r="J683" s="472"/>
    </row>
    <row r="684">
      <c r="G684" s="3"/>
      <c r="J684" s="472"/>
    </row>
    <row r="685">
      <c r="G685" s="3"/>
      <c r="J685" s="472"/>
    </row>
    <row r="686">
      <c r="G686" s="3"/>
      <c r="J686" s="472"/>
    </row>
    <row r="687">
      <c r="G687" s="3"/>
      <c r="J687" s="472"/>
    </row>
    <row r="688">
      <c r="G688" s="3"/>
      <c r="J688" s="472"/>
    </row>
    <row r="689">
      <c r="G689" s="3"/>
      <c r="J689" s="472"/>
    </row>
    <row r="690">
      <c r="G690" s="3"/>
      <c r="J690" s="472"/>
    </row>
    <row r="691">
      <c r="G691" s="3"/>
      <c r="J691" s="472"/>
    </row>
    <row r="692">
      <c r="G692" s="3"/>
      <c r="J692" s="472"/>
    </row>
    <row r="693">
      <c r="G693" s="3"/>
      <c r="J693" s="472"/>
    </row>
    <row r="694">
      <c r="G694" s="3"/>
      <c r="J694" s="472"/>
    </row>
    <row r="695">
      <c r="G695" s="3"/>
      <c r="J695" s="472"/>
    </row>
    <row r="696">
      <c r="G696" s="3"/>
      <c r="J696" s="472"/>
    </row>
    <row r="697">
      <c r="G697" s="3"/>
      <c r="J697" s="472"/>
    </row>
    <row r="698">
      <c r="G698" s="3"/>
      <c r="J698" s="472"/>
    </row>
    <row r="699">
      <c r="G699" s="3"/>
      <c r="J699" s="472"/>
    </row>
    <row r="700">
      <c r="G700" s="3"/>
      <c r="J700" s="472"/>
    </row>
    <row r="701">
      <c r="G701" s="3"/>
      <c r="J701" s="472"/>
    </row>
    <row r="702">
      <c r="G702" s="3"/>
      <c r="J702" s="472"/>
    </row>
    <row r="703">
      <c r="G703" s="3"/>
      <c r="J703" s="472"/>
    </row>
    <row r="704">
      <c r="G704" s="3"/>
      <c r="J704" s="472"/>
    </row>
    <row r="705">
      <c r="G705" s="3"/>
      <c r="J705" s="472"/>
    </row>
    <row r="706">
      <c r="G706" s="3"/>
      <c r="J706" s="472"/>
    </row>
    <row r="707">
      <c r="G707" s="3"/>
      <c r="J707" s="472"/>
    </row>
    <row r="708">
      <c r="G708" s="3"/>
      <c r="J708" s="472"/>
    </row>
    <row r="709">
      <c r="G709" s="3"/>
      <c r="J709" s="472"/>
    </row>
    <row r="710">
      <c r="G710" s="3"/>
      <c r="J710" s="472"/>
    </row>
    <row r="711">
      <c r="G711" s="3"/>
      <c r="J711" s="472"/>
    </row>
    <row r="712">
      <c r="G712" s="3"/>
      <c r="J712" s="472"/>
    </row>
    <row r="713">
      <c r="G713" s="3"/>
      <c r="J713" s="472"/>
    </row>
    <row r="714">
      <c r="G714" s="3"/>
      <c r="J714" s="472"/>
    </row>
    <row r="715">
      <c r="G715" s="3"/>
      <c r="J715" s="472"/>
    </row>
    <row r="716">
      <c r="G716" s="3"/>
      <c r="J716" s="472"/>
    </row>
    <row r="717">
      <c r="G717" s="3"/>
      <c r="J717" s="472"/>
    </row>
    <row r="718">
      <c r="G718" s="3"/>
      <c r="J718" s="472"/>
    </row>
    <row r="719">
      <c r="G719" s="3"/>
      <c r="J719" s="472"/>
    </row>
    <row r="720">
      <c r="G720" s="3"/>
      <c r="J720" s="472"/>
    </row>
    <row r="721">
      <c r="G721" s="3"/>
      <c r="J721" s="472"/>
    </row>
    <row r="722">
      <c r="G722" s="3"/>
      <c r="J722" s="472"/>
    </row>
    <row r="723">
      <c r="G723" s="3"/>
      <c r="J723" s="472"/>
    </row>
    <row r="724">
      <c r="G724" s="3"/>
      <c r="J724" s="472"/>
    </row>
    <row r="725">
      <c r="G725" s="3"/>
      <c r="J725" s="472"/>
    </row>
    <row r="726">
      <c r="G726" s="3"/>
      <c r="J726" s="472"/>
    </row>
    <row r="727">
      <c r="G727" s="3"/>
      <c r="J727" s="472"/>
    </row>
    <row r="728">
      <c r="G728" s="3"/>
      <c r="J728" s="472"/>
    </row>
    <row r="729">
      <c r="G729" s="3"/>
      <c r="J729" s="472"/>
    </row>
    <row r="730">
      <c r="G730" s="3"/>
      <c r="J730" s="472"/>
    </row>
    <row r="731">
      <c r="G731" s="3"/>
      <c r="J731" s="472"/>
    </row>
    <row r="732">
      <c r="G732" s="3"/>
      <c r="J732" s="472"/>
    </row>
    <row r="733">
      <c r="G733" s="3"/>
      <c r="J733" s="472"/>
    </row>
    <row r="734">
      <c r="G734" s="3"/>
      <c r="J734" s="472"/>
    </row>
    <row r="735">
      <c r="G735" s="3"/>
      <c r="J735" s="472"/>
    </row>
    <row r="736">
      <c r="G736" s="3"/>
      <c r="J736" s="472"/>
    </row>
    <row r="737">
      <c r="G737" s="3"/>
      <c r="J737" s="472"/>
    </row>
    <row r="738">
      <c r="G738" s="3"/>
      <c r="J738" s="472"/>
    </row>
    <row r="739">
      <c r="G739" s="3"/>
      <c r="J739" s="472"/>
    </row>
    <row r="740">
      <c r="G740" s="3"/>
      <c r="J740" s="472"/>
    </row>
    <row r="741">
      <c r="G741" s="3"/>
      <c r="J741" s="472"/>
    </row>
    <row r="742">
      <c r="G742" s="3"/>
      <c r="J742" s="472"/>
    </row>
    <row r="743">
      <c r="G743" s="3"/>
      <c r="J743" s="472"/>
    </row>
    <row r="744">
      <c r="G744" s="3"/>
      <c r="J744" s="472"/>
    </row>
    <row r="745">
      <c r="G745" s="3"/>
      <c r="J745" s="472"/>
    </row>
    <row r="746">
      <c r="G746" s="3"/>
      <c r="J746" s="472"/>
    </row>
    <row r="747">
      <c r="G747" s="3"/>
      <c r="J747" s="472"/>
    </row>
    <row r="748">
      <c r="G748" s="3"/>
      <c r="J748" s="472"/>
    </row>
    <row r="749">
      <c r="G749" s="3"/>
      <c r="J749" s="472"/>
    </row>
    <row r="750">
      <c r="G750" s="3"/>
      <c r="J750" s="472"/>
    </row>
    <row r="751">
      <c r="G751" s="3"/>
      <c r="J751" s="472"/>
    </row>
    <row r="752">
      <c r="G752" s="3"/>
      <c r="J752" s="472"/>
    </row>
    <row r="753">
      <c r="G753" s="3"/>
      <c r="J753" s="472"/>
    </row>
    <row r="754">
      <c r="G754" s="3"/>
      <c r="J754" s="472"/>
    </row>
    <row r="755">
      <c r="G755" s="3"/>
      <c r="J755" s="472"/>
    </row>
    <row r="756">
      <c r="G756" s="3"/>
      <c r="J756" s="472"/>
    </row>
    <row r="757">
      <c r="G757" s="3"/>
      <c r="J757" s="472"/>
    </row>
    <row r="758">
      <c r="G758" s="3"/>
      <c r="J758" s="472"/>
    </row>
    <row r="759">
      <c r="G759" s="3"/>
      <c r="J759" s="472"/>
    </row>
    <row r="760">
      <c r="G760" s="3"/>
      <c r="J760" s="472"/>
    </row>
    <row r="761">
      <c r="G761" s="3"/>
      <c r="J761" s="472"/>
    </row>
    <row r="762">
      <c r="G762" s="3"/>
      <c r="J762" s="472"/>
    </row>
    <row r="763">
      <c r="G763" s="3"/>
      <c r="J763" s="472"/>
    </row>
    <row r="764">
      <c r="G764" s="3"/>
      <c r="J764" s="472"/>
    </row>
    <row r="765">
      <c r="G765" s="3"/>
      <c r="J765" s="472"/>
    </row>
    <row r="766">
      <c r="G766" s="3"/>
      <c r="J766" s="472"/>
    </row>
    <row r="767">
      <c r="G767" s="3"/>
      <c r="J767" s="472"/>
    </row>
    <row r="768">
      <c r="G768" s="3"/>
      <c r="J768" s="472"/>
    </row>
    <row r="769">
      <c r="G769" s="3"/>
      <c r="J769" s="472"/>
    </row>
    <row r="770">
      <c r="G770" s="3"/>
      <c r="J770" s="472"/>
    </row>
    <row r="771">
      <c r="G771" s="3"/>
      <c r="J771" s="472"/>
    </row>
    <row r="772">
      <c r="G772" s="3"/>
      <c r="J772" s="472"/>
    </row>
    <row r="773">
      <c r="G773" s="3"/>
      <c r="J773" s="472"/>
    </row>
    <row r="774">
      <c r="G774" s="3"/>
      <c r="J774" s="472"/>
    </row>
    <row r="775">
      <c r="G775" s="3"/>
      <c r="J775" s="472"/>
    </row>
    <row r="776">
      <c r="G776" s="3"/>
      <c r="J776" s="472"/>
    </row>
    <row r="777">
      <c r="G777" s="3"/>
      <c r="J777" s="472"/>
    </row>
    <row r="778">
      <c r="G778" s="3"/>
      <c r="J778" s="472"/>
    </row>
    <row r="779">
      <c r="G779" s="3"/>
      <c r="J779" s="472"/>
    </row>
    <row r="780">
      <c r="G780" s="3"/>
      <c r="J780" s="472"/>
    </row>
    <row r="781">
      <c r="G781" s="3"/>
      <c r="J781" s="472"/>
    </row>
    <row r="782">
      <c r="G782" s="3"/>
      <c r="J782" s="472"/>
    </row>
    <row r="783">
      <c r="G783" s="3"/>
      <c r="J783" s="472"/>
    </row>
    <row r="784">
      <c r="G784" s="3"/>
      <c r="J784" s="472"/>
    </row>
    <row r="785">
      <c r="G785" s="3"/>
      <c r="J785" s="472"/>
    </row>
    <row r="786">
      <c r="G786" s="3"/>
      <c r="J786" s="472"/>
    </row>
    <row r="787">
      <c r="G787" s="3"/>
      <c r="J787" s="472"/>
    </row>
    <row r="788">
      <c r="G788" s="3"/>
      <c r="J788" s="472"/>
    </row>
    <row r="789">
      <c r="G789" s="3"/>
      <c r="J789" s="472"/>
    </row>
    <row r="790">
      <c r="G790" s="3"/>
      <c r="J790" s="472"/>
    </row>
    <row r="791">
      <c r="G791" s="3"/>
      <c r="J791" s="472"/>
    </row>
    <row r="792">
      <c r="G792" s="3"/>
      <c r="J792" s="472"/>
    </row>
    <row r="793">
      <c r="G793" s="3"/>
      <c r="J793" s="472"/>
    </row>
    <row r="794">
      <c r="G794" s="3"/>
      <c r="J794" s="472"/>
    </row>
    <row r="795">
      <c r="G795" s="3"/>
      <c r="J795" s="472"/>
    </row>
    <row r="796">
      <c r="G796" s="3"/>
      <c r="J796" s="472"/>
    </row>
    <row r="797">
      <c r="G797" s="3"/>
      <c r="J797" s="472"/>
    </row>
    <row r="798">
      <c r="G798" s="3"/>
      <c r="J798" s="472"/>
    </row>
    <row r="799">
      <c r="G799" s="3"/>
      <c r="J799" s="472"/>
    </row>
    <row r="800">
      <c r="G800" s="3"/>
      <c r="J800" s="472"/>
    </row>
    <row r="801">
      <c r="G801" s="3"/>
      <c r="J801" s="472"/>
    </row>
    <row r="802">
      <c r="G802" s="3"/>
      <c r="J802" s="472"/>
    </row>
    <row r="803">
      <c r="G803" s="3"/>
      <c r="J803" s="472"/>
    </row>
    <row r="804">
      <c r="G804" s="3"/>
      <c r="J804" s="472"/>
    </row>
    <row r="805">
      <c r="G805" s="3"/>
      <c r="J805" s="472"/>
    </row>
    <row r="806">
      <c r="G806" s="3"/>
      <c r="J806" s="472"/>
    </row>
    <row r="807">
      <c r="G807" s="3"/>
      <c r="J807" s="472"/>
    </row>
    <row r="808">
      <c r="G808" s="3"/>
      <c r="J808" s="472"/>
    </row>
    <row r="809">
      <c r="G809" s="3"/>
      <c r="J809" s="472"/>
    </row>
    <row r="810">
      <c r="G810" s="3"/>
      <c r="J810" s="472"/>
    </row>
    <row r="811">
      <c r="G811" s="3"/>
      <c r="J811" s="472"/>
    </row>
    <row r="812">
      <c r="G812" s="3"/>
      <c r="J812" s="472"/>
    </row>
    <row r="813">
      <c r="G813" s="3"/>
      <c r="J813" s="472"/>
    </row>
    <row r="814">
      <c r="G814" s="3"/>
      <c r="J814" s="472"/>
    </row>
    <row r="815">
      <c r="G815" s="3"/>
      <c r="J815" s="472"/>
    </row>
    <row r="816">
      <c r="G816" s="3"/>
      <c r="J816" s="472"/>
    </row>
    <row r="817">
      <c r="G817" s="3"/>
      <c r="J817" s="472"/>
    </row>
    <row r="818">
      <c r="G818" s="3"/>
      <c r="J818" s="472"/>
    </row>
    <row r="819">
      <c r="G819" s="3"/>
      <c r="J819" s="472"/>
    </row>
    <row r="820">
      <c r="G820" s="3"/>
      <c r="J820" s="472"/>
    </row>
    <row r="821">
      <c r="G821" s="3"/>
      <c r="J821" s="472"/>
    </row>
    <row r="822">
      <c r="G822" s="3"/>
      <c r="J822" s="472"/>
    </row>
    <row r="823">
      <c r="G823" s="3"/>
      <c r="J823" s="472"/>
    </row>
    <row r="824">
      <c r="G824" s="3"/>
      <c r="J824" s="472"/>
    </row>
    <row r="825">
      <c r="G825" s="3"/>
      <c r="J825" s="472"/>
    </row>
    <row r="826">
      <c r="G826" s="3"/>
      <c r="J826" s="472"/>
    </row>
    <row r="827">
      <c r="G827" s="3"/>
      <c r="J827" s="472"/>
    </row>
    <row r="828">
      <c r="G828" s="3"/>
      <c r="J828" s="472"/>
    </row>
    <row r="829">
      <c r="G829" s="3"/>
      <c r="J829" s="472"/>
    </row>
    <row r="830">
      <c r="G830" s="3"/>
      <c r="J830" s="472"/>
    </row>
    <row r="831">
      <c r="G831" s="3"/>
      <c r="J831" s="472"/>
    </row>
    <row r="832">
      <c r="G832" s="3"/>
      <c r="J832" s="472"/>
    </row>
    <row r="833">
      <c r="G833" s="3"/>
      <c r="J833" s="472"/>
    </row>
    <row r="834">
      <c r="G834" s="3"/>
      <c r="J834" s="472"/>
    </row>
    <row r="835">
      <c r="G835" s="3"/>
      <c r="J835" s="472"/>
    </row>
    <row r="836">
      <c r="G836" s="3"/>
      <c r="J836" s="472"/>
    </row>
    <row r="837">
      <c r="G837" s="3"/>
      <c r="J837" s="472"/>
    </row>
    <row r="838">
      <c r="G838" s="3"/>
      <c r="J838" s="472"/>
    </row>
    <row r="839">
      <c r="G839" s="3"/>
      <c r="J839" s="472"/>
    </row>
    <row r="840">
      <c r="G840" s="3"/>
      <c r="J840" s="472"/>
    </row>
    <row r="841">
      <c r="G841" s="3"/>
      <c r="J841" s="472"/>
    </row>
    <row r="842">
      <c r="G842" s="3"/>
      <c r="J842" s="472"/>
    </row>
    <row r="843">
      <c r="G843" s="3"/>
      <c r="J843" s="472"/>
    </row>
    <row r="844">
      <c r="G844" s="3"/>
      <c r="J844" s="472"/>
    </row>
    <row r="845">
      <c r="G845" s="3"/>
      <c r="J845" s="472"/>
    </row>
    <row r="846">
      <c r="G846" s="3"/>
      <c r="J846" s="472"/>
    </row>
    <row r="847">
      <c r="G847" s="3"/>
      <c r="J847" s="472"/>
    </row>
    <row r="848">
      <c r="G848" s="3"/>
      <c r="J848" s="472"/>
    </row>
    <row r="849">
      <c r="G849" s="3"/>
      <c r="J849" s="472"/>
    </row>
    <row r="850">
      <c r="G850" s="3"/>
      <c r="J850" s="472"/>
    </row>
    <row r="851">
      <c r="G851" s="3"/>
      <c r="J851" s="472"/>
    </row>
    <row r="852">
      <c r="G852" s="3"/>
      <c r="J852" s="472"/>
    </row>
    <row r="853">
      <c r="G853" s="3"/>
      <c r="J853" s="472"/>
    </row>
    <row r="854">
      <c r="G854" s="3"/>
      <c r="J854" s="472"/>
    </row>
    <row r="855">
      <c r="G855" s="3"/>
      <c r="J855" s="472"/>
    </row>
    <row r="856">
      <c r="G856" s="3"/>
      <c r="J856" s="472"/>
    </row>
    <row r="857">
      <c r="G857" s="3"/>
      <c r="J857" s="472"/>
    </row>
    <row r="858">
      <c r="G858" s="3"/>
      <c r="J858" s="472"/>
    </row>
    <row r="859">
      <c r="G859" s="3"/>
      <c r="J859" s="472"/>
    </row>
    <row r="860">
      <c r="G860" s="3"/>
      <c r="J860" s="472"/>
    </row>
    <row r="861">
      <c r="G861" s="3"/>
      <c r="J861" s="472"/>
    </row>
    <row r="862">
      <c r="G862" s="3"/>
      <c r="J862" s="472"/>
    </row>
    <row r="863">
      <c r="G863" s="3"/>
      <c r="J863" s="472"/>
    </row>
    <row r="864">
      <c r="G864" s="3"/>
      <c r="J864" s="472"/>
    </row>
    <row r="865">
      <c r="G865" s="3"/>
      <c r="J865" s="472"/>
    </row>
    <row r="866">
      <c r="G866" s="3"/>
      <c r="J866" s="472"/>
    </row>
    <row r="867">
      <c r="G867" s="3"/>
      <c r="J867" s="472"/>
    </row>
    <row r="868">
      <c r="G868" s="3"/>
      <c r="J868" s="472"/>
    </row>
    <row r="869">
      <c r="G869" s="3"/>
      <c r="J869" s="472"/>
    </row>
    <row r="870">
      <c r="G870" s="3"/>
      <c r="J870" s="472"/>
    </row>
    <row r="871">
      <c r="G871" s="3"/>
      <c r="J871" s="472"/>
    </row>
    <row r="872">
      <c r="G872" s="3"/>
      <c r="J872" s="472"/>
    </row>
    <row r="873">
      <c r="G873" s="3"/>
      <c r="J873" s="472"/>
    </row>
    <row r="874">
      <c r="G874" s="3"/>
      <c r="J874" s="472"/>
    </row>
    <row r="875">
      <c r="G875" s="3"/>
      <c r="J875" s="472"/>
    </row>
    <row r="876">
      <c r="G876" s="3"/>
      <c r="J876" s="472"/>
    </row>
    <row r="877">
      <c r="G877" s="3"/>
      <c r="J877" s="472"/>
    </row>
    <row r="878">
      <c r="G878" s="3"/>
      <c r="J878" s="472"/>
    </row>
    <row r="879">
      <c r="G879" s="3"/>
      <c r="J879" s="472"/>
    </row>
    <row r="880">
      <c r="G880" s="3"/>
      <c r="J880" s="472"/>
    </row>
    <row r="881">
      <c r="G881" s="3"/>
      <c r="J881" s="472"/>
    </row>
    <row r="882">
      <c r="G882" s="3"/>
      <c r="J882" s="472"/>
    </row>
    <row r="883">
      <c r="G883" s="3"/>
      <c r="J883" s="472"/>
    </row>
    <row r="884">
      <c r="G884" s="3"/>
      <c r="J884" s="472"/>
    </row>
    <row r="885">
      <c r="G885" s="3"/>
      <c r="J885" s="472"/>
    </row>
    <row r="886">
      <c r="G886" s="3"/>
      <c r="J886" s="472"/>
    </row>
    <row r="887">
      <c r="G887" s="3"/>
      <c r="J887" s="472"/>
    </row>
    <row r="888">
      <c r="G888" s="3"/>
      <c r="J888" s="472"/>
    </row>
    <row r="889">
      <c r="G889" s="3"/>
      <c r="J889" s="472"/>
    </row>
    <row r="890">
      <c r="G890" s="3"/>
      <c r="J890" s="472"/>
    </row>
    <row r="891">
      <c r="G891" s="3"/>
      <c r="J891" s="472"/>
    </row>
    <row r="892">
      <c r="G892" s="3"/>
      <c r="J892" s="472"/>
    </row>
    <row r="893">
      <c r="G893" s="3"/>
      <c r="J893" s="472"/>
    </row>
    <row r="894">
      <c r="G894" s="3"/>
      <c r="J894" s="472"/>
    </row>
    <row r="895">
      <c r="G895" s="3"/>
      <c r="J895" s="472"/>
    </row>
    <row r="896">
      <c r="G896" s="3"/>
      <c r="J896" s="472"/>
    </row>
    <row r="897">
      <c r="G897" s="3"/>
      <c r="J897" s="472"/>
    </row>
    <row r="898">
      <c r="G898" s="3"/>
      <c r="J898" s="472"/>
    </row>
    <row r="899">
      <c r="G899" s="3"/>
      <c r="J899" s="472"/>
    </row>
    <row r="900">
      <c r="G900" s="3"/>
      <c r="J900" s="472"/>
    </row>
    <row r="901">
      <c r="G901" s="3"/>
      <c r="J901" s="472"/>
    </row>
    <row r="902">
      <c r="G902" s="3"/>
      <c r="J902" s="472"/>
    </row>
    <row r="903">
      <c r="G903" s="3"/>
      <c r="J903" s="472"/>
    </row>
    <row r="904">
      <c r="G904" s="3"/>
      <c r="J904" s="472"/>
    </row>
    <row r="905">
      <c r="G905" s="3"/>
      <c r="J905" s="472"/>
    </row>
    <row r="906">
      <c r="G906" s="3"/>
      <c r="J906" s="472"/>
    </row>
    <row r="907">
      <c r="G907" s="3"/>
      <c r="J907" s="472"/>
    </row>
    <row r="908">
      <c r="G908" s="3"/>
      <c r="J908" s="472"/>
    </row>
    <row r="909">
      <c r="G909" s="3"/>
      <c r="J909" s="472"/>
    </row>
    <row r="910">
      <c r="G910" s="3"/>
      <c r="J910" s="472"/>
    </row>
    <row r="911">
      <c r="G911" s="3"/>
      <c r="J911" s="472"/>
    </row>
    <row r="912">
      <c r="G912" s="3"/>
      <c r="J912" s="472"/>
    </row>
    <row r="913">
      <c r="G913" s="3"/>
      <c r="J913" s="472"/>
    </row>
    <row r="914">
      <c r="G914" s="3"/>
      <c r="J914" s="472"/>
    </row>
    <row r="915">
      <c r="G915" s="3"/>
      <c r="J915" s="472"/>
    </row>
    <row r="916">
      <c r="G916" s="3"/>
      <c r="J916" s="472"/>
    </row>
    <row r="917">
      <c r="G917" s="3"/>
      <c r="J917" s="472"/>
    </row>
    <row r="918">
      <c r="G918" s="3"/>
      <c r="J918" s="472"/>
    </row>
    <row r="919">
      <c r="G919" s="3"/>
      <c r="J919" s="472"/>
    </row>
    <row r="920">
      <c r="G920" s="3"/>
      <c r="J920" s="472"/>
    </row>
    <row r="921">
      <c r="G921" s="3"/>
      <c r="J921" s="472"/>
    </row>
    <row r="922">
      <c r="G922" s="3"/>
      <c r="J922" s="472"/>
    </row>
    <row r="923">
      <c r="G923" s="3"/>
      <c r="J923" s="472"/>
    </row>
    <row r="924">
      <c r="G924" s="3"/>
      <c r="J924" s="472"/>
    </row>
    <row r="925">
      <c r="G925" s="3"/>
      <c r="J925" s="472"/>
    </row>
    <row r="926">
      <c r="G926" s="3"/>
      <c r="J926" s="472"/>
    </row>
    <row r="927">
      <c r="G927" s="3"/>
      <c r="J927" s="472"/>
    </row>
    <row r="928">
      <c r="G928" s="3"/>
      <c r="J928" s="472"/>
    </row>
    <row r="929">
      <c r="G929" s="3"/>
      <c r="J929" s="472"/>
    </row>
    <row r="930">
      <c r="G930" s="3"/>
      <c r="J930" s="472"/>
    </row>
    <row r="931">
      <c r="G931" s="3"/>
      <c r="J931" s="472"/>
    </row>
    <row r="932">
      <c r="G932" s="3"/>
      <c r="J932" s="472"/>
    </row>
    <row r="933">
      <c r="G933" s="3"/>
      <c r="J933" s="472"/>
    </row>
    <row r="934">
      <c r="G934" s="3"/>
      <c r="J934" s="472"/>
    </row>
    <row r="935">
      <c r="G935" s="3"/>
      <c r="J935" s="472"/>
    </row>
    <row r="936">
      <c r="G936" s="3"/>
      <c r="J936" s="472"/>
    </row>
    <row r="937">
      <c r="G937" s="3"/>
      <c r="J937" s="472"/>
    </row>
    <row r="938">
      <c r="G938" s="3"/>
      <c r="J938" s="472"/>
    </row>
    <row r="939">
      <c r="G939" s="3"/>
      <c r="J939" s="472"/>
    </row>
    <row r="940">
      <c r="G940" s="3"/>
      <c r="J940" s="472"/>
    </row>
    <row r="941">
      <c r="G941" s="3"/>
      <c r="J941" s="472"/>
    </row>
    <row r="942">
      <c r="G942" s="3"/>
      <c r="J942" s="472"/>
    </row>
    <row r="943">
      <c r="G943" s="3"/>
      <c r="J943" s="472"/>
    </row>
    <row r="944">
      <c r="G944" s="3"/>
      <c r="J944" s="472"/>
    </row>
    <row r="945">
      <c r="G945" s="3"/>
      <c r="J945" s="472"/>
    </row>
    <row r="946">
      <c r="G946" s="3"/>
      <c r="J946" s="472"/>
    </row>
    <row r="947">
      <c r="G947" s="3"/>
      <c r="J947" s="472"/>
    </row>
    <row r="948">
      <c r="G948" s="3"/>
      <c r="J948" s="472"/>
    </row>
    <row r="949">
      <c r="G949" s="3"/>
      <c r="J949" s="472"/>
    </row>
    <row r="950">
      <c r="G950" s="3"/>
      <c r="J950" s="472"/>
    </row>
    <row r="951">
      <c r="G951" s="3"/>
      <c r="J951" s="472"/>
    </row>
    <row r="952">
      <c r="G952" s="3"/>
      <c r="J952" s="472"/>
    </row>
    <row r="953">
      <c r="G953" s="3"/>
      <c r="J953" s="472"/>
    </row>
    <row r="954">
      <c r="G954" s="3"/>
      <c r="J954" s="472"/>
    </row>
    <row r="955">
      <c r="G955" s="3"/>
      <c r="J955" s="472"/>
    </row>
    <row r="956">
      <c r="G956" s="3"/>
      <c r="J956" s="472"/>
    </row>
    <row r="957">
      <c r="G957" s="3"/>
      <c r="J957" s="472"/>
    </row>
    <row r="958">
      <c r="G958" s="3"/>
      <c r="J958" s="472"/>
    </row>
    <row r="959">
      <c r="G959" s="3"/>
      <c r="J959" s="472"/>
    </row>
    <row r="960">
      <c r="G960" s="3"/>
      <c r="J960" s="472"/>
    </row>
    <row r="961">
      <c r="G961" s="3"/>
      <c r="J961" s="472"/>
    </row>
    <row r="962">
      <c r="G962" s="3"/>
      <c r="J962" s="472"/>
    </row>
    <row r="963">
      <c r="G963" s="3"/>
      <c r="J963" s="472"/>
    </row>
    <row r="964">
      <c r="G964" s="3"/>
      <c r="J964" s="472"/>
    </row>
    <row r="965">
      <c r="G965" s="3"/>
      <c r="J965" s="472"/>
    </row>
    <row r="966">
      <c r="G966" s="3"/>
      <c r="J966" s="472"/>
    </row>
    <row r="967">
      <c r="G967" s="3"/>
      <c r="J967" s="472"/>
    </row>
    <row r="968">
      <c r="G968" s="3"/>
      <c r="J968" s="472"/>
    </row>
    <row r="969">
      <c r="G969" s="3"/>
      <c r="J969" s="472"/>
    </row>
    <row r="970">
      <c r="G970" s="3"/>
      <c r="J970" s="472"/>
    </row>
    <row r="971">
      <c r="G971" s="3"/>
      <c r="J971" s="472"/>
    </row>
    <row r="972">
      <c r="G972" s="3"/>
      <c r="J972" s="472"/>
    </row>
    <row r="973">
      <c r="G973" s="3"/>
      <c r="J973" s="472"/>
    </row>
    <row r="974">
      <c r="G974" s="3"/>
      <c r="J974" s="472"/>
    </row>
    <row r="975">
      <c r="G975" s="3"/>
      <c r="J975" s="472"/>
    </row>
    <row r="976">
      <c r="G976" s="3"/>
      <c r="J976" s="472"/>
    </row>
    <row r="977">
      <c r="G977" s="3"/>
      <c r="J977" s="472"/>
    </row>
    <row r="978">
      <c r="G978" s="3"/>
      <c r="J978" s="472"/>
    </row>
    <row r="979">
      <c r="G979" s="3"/>
      <c r="J979" s="472"/>
    </row>
    <row r="980">
      <c r="G980" s="3"/>
      <c r="J980" s="472"/>
    </row>
    <row r="981">
      <c r="G981" s="3"/>
      <c r="J981" s="472"/>
    </row>
    <row r="982">
      <c r="G982" s="3"/>
      <c r="J982" s="472"/>
    </row>
    <row r="983">
      <c r="G983" s="3"/>
      <c r="J983" s="472"/>
    </row>
    <row r="984">
      <c r="G984" s="3"/>
      <c r="J984" s="472"/>
    </row>
    <row r="985">
      <c r="G985" s="3"/>
      <c r="J985" s="472"/>
    </row>
    <row r="986">
      <c r="G986" s="3"/>
      <c r="J986" s="472"/>
    </row>
    <row r="987">
      <c r="G987" s="3"/>
      <c r="J987" s="472"/>
    </row>
    <row r="988">
      <c r="G988" s="3"/>
      <c r="J988" s="472"/>
    </row>
    <row r="989">
      <c r="G989" s="3"/>
      <c r="J989" s="472"/>
    </row>
    <row r="990">
      <c r="G990" s="3"/>
      <c r="J990" s="472"/>
    </row>
    <row r="991">
      <c r="G991" s="3"/>
      <c r="J991" s="472"/>
    </row>
    <row r="992">
      <c r="G992" s="3"/>
      <c r="J992" s="472"/>
    </row>
    <row r="993">
      <c r="G993" s="3"/>
      <c r="J993" s="472"/>
    </row>
    <row r="994">
      <c r="G994" s="3"/>
      <c r="J994" s="472"/>
    </row>
    <row r="995">
      <c r="G995" s="3"/>
      <c r="J995" s="472"/>
    </row>
    <row r="996">
      <c r="G996" s="3"/>
      <c r="J996" s="472"/>
    </row>
    <row r="997">
      <c r="G997" s="3"/>
      <c r="J997" s="472"/>
    </row>
    <row r="998">
      <c r="G998" s="3"/>
      <c r="J998" s="472"/>
    </row>
    <row r="999">
      <c r="G999" s="3"/>
      <c r="J999" s="472"/>
    </row>
    <row r="1000">
      <c r="G1000" s="3"/>
      <c r="J1000" s="472"/>
    </row>
    <row r="1001">
      <c r="G1001" s="3"/>
      <c r="J1001" s="472"/>
    </row>
    <row r="1002">
      <c r="G1002" s="3"/>
      <c r="J1002" s="472"/>
    </row>
    <row r="1003">
      <c r="G1003" s="3"/>
      <c r="J1003" s="472"/>
    </row>
    <row r="1004">
      <c r="G1004" s="3"/>
      <c r="J1004" s="472"/>
    </row>
    <row r="1005">
      <c r="G1005" s="3"/>
      <c r="J1005" s="472"/>
    </row>
    <row r="1006">
      <c r="G1006" s="3"/>
      <c r="J1006" s="472"/>
    </row>
    <row r="1007">
      <c r="G1007" s="3"/>
      <c r="J1007" s="472"/>
    </row>
    <row r="1008">
      <c r="G1008" s="3"/>
      <c r="J1008" s="472"/>
    </row>
    <row r="1009">
      <c r="G1009" s="3"/>
      <c r="J1009" s="472"/>
    </row>
    <row r="1010">
      <c r="G1010" s="3"/>
      <c r="J1010" s="472"/>
    </row>
    <row r="1011">
      <c r="G1011" s="3"/>
      <c r="J1011" s="472"/>
    </row>
    <row r="1012">
      <c r="G1012" s="3"/>
      <c r="J1012" s="472"/>
    </row>
    <row r="1013">
      <c r="G1013" s="3"/>
      <c r="J1013" s="472"/>
    </row>
  </sheetData>
  <mergeCells count="34">
    <mergeCell ref="A1:E1"/>
    <mergeCell ref="G1:I1"/>
    <mergeCell ref="K1:N1"/>
    <mergeCell ref="A2:B2"/>
    <mergeCell ref="D2:E2"/>
    <mergeCell ref="G2:I2"/>
    <mergeCell ref="K2:N2"/>
    <mergeCell ref="M4:N5"/>
    <mergeCell ref="K6:N6"/>
    <mergeCell ref="K7:L8"/>
    <mergeCell ref="M7:N8"/>
    <mergeCell ref="K9:N9"/>
    <mergeCell ref="K10:L11"/>
    <mergeCell ref="M10:N11"/>
    <mergeCell ref="C3:C4"/>
    <mergeCell ref="D3:E4"/>
    <mergeCell ref="G3:I4"/>
    <mergeCell ref="K3:L3"/>
    <mergeCell ref="M3:N3"/>
    <mergeCell ref="K4:L5"/>
    <mergeCell ref="G5:I5"/>
    <mergeCell ref="G6:I7"/>
    <mergeCell ref="G8:I8"/>
    <mergeCell ref="G9:I10"/>
    <mergeCell ref="A11:B13"/>
    <mergeCell ref="C11:C13"/>
    <mergeCell ref="D11:E13"/>
    <mergeCell ref="A3:B4"/>
    <mergeCell ref="A5:B7"/>
    <mergeCell ref="C5:C7"/>
    <mergeCell ref="D5:E7"/>
    <mergeCell ref="A8:B10"/>
    <mergeCell ref="C8:C10"/>
    <mergeCell ref="D8:E10"/>
  </mergeCells>
  <dataValidations>
    <dataValidation type="list" allowBlank="1" showErrorMessage="1" sqref="J17">
      <formula1>"Concept 1,Concept 2,Concept 3,Concept 4"</formula1>
    </dataValidation>
    <dataValidation type="list" allowBlank="1" showErrorMessage="1" sqref="J18:J192 L17:L192 N17:N192 P17:P192">
      <formula1>" Concept 1,Concept 2,Concept 3,Concept 4,Concept 5"</formula1>
    </dataValidation>
    <dataValidation type="list" allowBlank="1" showErrorMessage="1" sqref="H17:H192">
      <formula1>"Minyak Oles Benjolan"</formula1>
    </dataValidation>
    <dataValidation type="list" allowBlank="1" showErrorMessage="1" sqref="I17:I192">
      <formula1>"Sampai,Sudah Proses Pengiriman,Kendala [FU!],Done Req Sample"</formula1>
    </dataValidation>
    <dataValidation type="list" allowBlank="1" showErrorMessage="1" sqref="A17:A192">
      <formula1>"MEGA,MACRO,MICRO,NANO"</formula1>
    </dataValidation>
  </dataValidations>
  <hyperlinks>
    <hyperlink r:id="rId2" ref="C17"/>
    <hyperlink r:id="rId3" ref="K17"/>
    <hyperlink r:id="rId4" ref="M17"/>
    <hyperlink r:id="rId5" ref="O17"/>
    <hyperlink r:id="rId6" ref="C18"/>
    <hyperlink r:id="rId7" ref="K18"/>
    <hyperlink r:id="rId8" ref="M18"/>
    <hyperlink r:id="rId9" ref="C19"/>
    <hyperlink r:id="rId10" ref="K19"/>
    <hyperlink r:id="rId11" ref="C20"/>
    <hyperlink r:id="rId12" ref="K20"/>
    <hyperlink r:id="rId13" ref="M20"/>
    <hyperlink r:id="rId14" ref="O20"/>
    <hyperlink r:id="rId15" ref="Q20"/>
    <hyperlink r:id="rId16" ref="C21"/>
    <hyperlink r:id="rId17" ref="K21"/>
    <hyperlink r:id="rId18" ref="M21"/>
    <hyperlink r:id="rId19" ref="O21"/>
    <hyperlink r:id="rId20" ref="C22"/>
    <hyperlink r:id="rId21" ref="K22"/>
    <hyperlink r:id="rId22" ref="M22"/>
    <hyperlink r:id="rId23" ref="O22"/>
    <hyperlink r:id="rId24" ref="C23"/>
    <hyperlink r:id="rId25" ref="K23"/>
    <hyperlink r:id="rId26" ref="M23"/>
    <hyperlink r:id="rId27" ref="O23"/>
    <hyperlink r:id="rId28" ref="C24"/>
    <hyperlink r:id="rId29" ref="K24"/>
    <hyperlink r:id="rId30" ref="M24"/>
    <hyperlink r:id="rId31" ref="O24"/>
    <hyperlink r:id="rId32" ref="C25"/>
    <hyperlink r:id="rId33" ref="K25"/>
    <hyperlink r:id="rId34" ref="M25"/>
    <hyperlink r:id="rId35" ref="O25"/>
    <hyperlink r:id="rId36" ref="C26"/>
    <hyperlink r:id="rId37" ref="C27"/>
    <hyperlink r:id="rId38" ref="K27"/>
    <hyperlink r:id="rId39" ref="M27"/>
    <hyperlink r:id="rId40" ref="O27"/>
    <hyperlink r:id="rId41" ref="C28"/>
    <hyperlink r:id="rId42" ref="K28"/>
    <hyperlink r:id="rId43" ref="M28"/>
    <hyperlink r:id="rId44" ref="O28"/>
    <hyperlink r:id="rId45" ref="C29"/>
    <hyperlink r:id="rId46" ref="K29"/>
    <hyperlink r:id="rId47" ref="M29"/>
    <hyperlink r:id="rId48" ref="O29"/>
    <hyperlink r:id="rId49" ref="C30"/>
    <hyperlink r:id="rId50" ref="K30"/>
    <hyperlink r:id="rId51" ref="M30"/>
    <hyperlink r:id="rId52" ref="O30"/>
    <hyperlink r:id="rId53" ref="C31"/>
    <hyperlink r:id="rId54" ref="K31"/>
    <hyperlink r:id="rId55" ref="M31"/>
    <hyperlink r:id="rId56" ref="O31"/>
    <hyperlink r:id="rId57" ref="Q31"/>
    <hyperlink r:id="rId58" ref="C32"/>
    <hyperlink r:id="rId59" ref="K32"/>
    <hyperlink r:id="rId60" ref="M32"/>
    <hyperlink r:id="rId61" ref="O32"/>
    <hyperlink r:id="rId62" ref="C33"/>
    <hyperlink r:id="rId63" ref="K33"/>
    <hyperlink r:id="rId64" ref="M33"/>
    <hyperlink r:id="rId65" ref="O33"/>
    <hyperlink r:id="rId66" ref="Q33"/>
    <hyperlink r:id="rId67" ref="C34"/>
    <hyperlink r:id="rId68" ref="K34"/>
    <hyperlink r:id="rId69" ref="M34"/>
    <hyperlink r:id="rId70" ref="O34"/>
    <hyperlink r:id="rId71" ref="C35"/>
    <hyperlink r:id="rId72" ref="K35"/>
    <hyperlink r:id="rId73" ref="C36"/>
    <hyperlink r:id="rId74" ref="C37"/>
    <hyperlink r:id="rId75" ref="K37"/>
    <hyperlink r:id="rId76" ref="M37"/>
    <hyperlink r:id="rId77" ref="O37"/>
    <hyperlink r:id="rId78" ref="Q37"/>
    <hyperlink r:id="rId79" ref="C38"/>
    <hyperlink r:id="rId80" ref="K38"/>
    <hyperlink r:id="rId81" ref="C39"/>
    <hyperlink r:id="rId82" ref="K39"/>
    <hyperlink r:id="rId83" ref="M39"/>
    <hyperlink r:id="rId84" ref="O39"/>
    <hyperlink r:id="rId85" ref="C40"/>
    <hyperlink r:id="rId86" ref="K40"/>
    <hyperlink r:id="rId87" ref="M40"/>
    <hyperlink r:id="rId88" ref="O40"/>
    <hyperlink r:id="rId89" ref="C41"/>
    <hyperlink r:id="rId90" ref="K41"/>
    <hyperlink r:id="rId91" ref="M41"/>
    <hyperlink r:id="rId92" ref="O41"/>
    <hyperlink r:id="rId93" ref="C42"/>
    <hyperlink r:id="rId94" ref="K42"/>
    <hyperlink r:id="rId95" ref="M42"/>
    <hyperlink r:id="rId96" ref="O42"/>
    <hyperlink r:id="rId97" ref="Q42"/>
    <hyperlink r:id="rId98" ref="C43"/>
    <hyperlink r:id="rId99" ref="K43"/>
    <hyperlink r:id="rId100" ref="M43"/>
    <hyperlink r:id="rId101" ref="O43"/>
    <hyperlink r:id="rId102" ref="C44"/>
    <hyperlink r:id="rId103" ref="K44"/>
    <hyperlink r:id="rId104" ref="C45"/>
    <hyperlink r:id="rId105" ref="C46"/>
    <hyperlink r:id="rId106" ref="K46"/>
    <hyperlink r:id="rId107" ref="M46"/>
    <hyperlink r:id="rId108" ref="C47"/>
    <hyperlink r:id="rId109" ref="K47"/>
    <hyperlink r:id="rId110" ref="M47"/>
    <hyperlink r:id="rId111" ref="O47"/>
    <hyperlink r:id="rId112" ref="C48"/>
    <hyperlink r:id="rId113" ref="K48"/>
    <hyperlink r:id="rId114" ref="M48"/>
    <hyperlink r:id="rId115" ref="O48"/>
    <hyperlink r:id="rId116" ref="C49"/>
    <hyperlink r:id="rId117" ref="K49"/>
    <hyperlink r:id="rId118" ref="M49"/>
    <hyperlink r:id="rId119" ref="O49"/>
    <hyperlink r:id="rId120" ref="C50"/>
    <hyperlink r:id="rId121" ref="K50"/>
    <hyperlink r:id="rId122" ref="C51"/>
    <hyperlink r:id="rId123" ref="K51"/>
    <hyperlink r:id="rId124" ref="M51"/>
    <hyperlink r:id="rId125" ref="O51"/>
    <hyperlink r:id="rId126" ref="Q51"/>
    <hyperlink r:id="rId127" ref="C52"/>
    <hyperlink r:id="rId128" ref="K52"/>
    <hyperlink r:id="rId129" ref="M52"/>
    <hyperlink r:id="rId130" ref="O52"/>
    <hyperlink r:id="rId131" ref="C53"/>
    <hyperlink r:id="rId132" ref="K53"/>
    <hyperlink r:id="rId133" ref="M53"/>
    <hyperlink r:id="rId134" ref="O53"/>
    <hyperlink r:id="rId135" ref="C54"/>
    <hyperlink r:id="rId136" ref="C55"/>
    <hyperlink r:id="rId137" ref="K55"/>
    <hyperlink r:id="rId138" ref="M55"/>
    <hyperlink r:id="rId139" ref="C56"/>
    <hyperlink r:id="rId140" ref="K56"/>
    <hyperlink r:id="rId141" ref="M56"/>
    <hyperlink r:id="rId142" ref="O56"/>
    <hyperlink r:id="rId143" ref="C57"/>
    <hyperlink r:id="rId144" ref="K57"/>
    <hyperlink r:id="rId145" ref="M57"/>
    <hyperlink r:id="rId146" ref="O57"/>
    <hyperlink r:id="rId147" ref="Q57"/>
    <hyperlink r:id="rId148" ref="C58"/>
    <hyperlink r:id="rId149" ref="K58"/>
    <hyperlink r:id="rId150" ref="M58"/>
    <hyperlink r:id="rId151" ref="O58"/>
    <hyperlink r:id="rId152" ref="C59"/>
    <hyperlink r:id="rId153" ref="K59"/>
    <hyperlink r:id="rId154" ref="M59"/>
    <hyperlink r:id="rId155" ref="O59"/>
    <hyperlink r:id="rId156" ref="C60"/>
    <hyperlink r:id="rId157" ref="K60"/>
    <hyperlink r:id="rId158" ref="M60"/>
    <hyperlink r:id="rId159" ref="O60"/>
    <hyperlink r:id="rId160" ref="C61"/>
    <hyperlink r:id="rId161" ref="K61"/>
    <hyperlink r:id="rId162" ref="C62"/>
    <hyperlink r:id="rId163" ref="K62"/>
    <hyperlink r:id="rId164" ref="C63"/>
    <hyperlink r:id="rId165" ref="K63"/>
    <hyperlink r:id="rId166" ref="O63"/>
    <hyperlink r:id="rId167" ref="C64"/>
    <hyperlink r:id="rId168" ref="K64"/>
    <hyperlink r:id="rId169" ref="M64"/>
    <hyperlink r:id="rId170" ref="O64"/>
    <hyperlink r:id="rId171" ref="Q64"/>
    <hyperlink r:id="rId172" ref="C65"/>
    <hyperlink r:id="rId173" ref="K65"/>
    <hyperlink r:id="rId174" ref="M65"/>
    <hyperlink r:id="rId175" ref="O65"/>
    <hyperlink r:id="rId176" ref="C66"/>
    <hyperlink r:id="rId177" ref="K66"/>
    <hyperlink r:id="rId178" ref="M66"/>
    <hyperlink r:id="rId179" ref="O66"/>
    <hyperlink r:id="rId180" ref="C67"/>
    <hyperlink r:id="rId181" ref="K67"/>
    <hyperlink r:id="rId182" ref="C68"/>
    <hyperlink r:id="rId183" ref="K68"/>
    <hyperlink r:id="rId184" ref="M68"/>
    <hyperlink r:id="rId185" ref="O68"/>
    <hyperlink r:id="rId186" ref="C69"/>
    <hyperlink r:id="rId187" ref="K69"/>
    <hyperlink r:id="rId188" ref="M69"/>
    <hyperlink r:id="rId189" ref="C70"/>
    <hyperlink r:id="rId190" ref="K70"/>
    <hyperlink r:id="rId191" ref="C71"/>
    <hyperlink r:id="rId192" ref="K71"/>
    <hyperlink r:id="rId193" ref="M71"/>
    <hyperlink r:id="rId194" ref="C72"/>
    <hyperlink r:id="rId195" ref="K72"/>
    <hyperlink r:id="rId196" ref="C73"/>
    <hyperlink r:id="rId197" ref="C74"/>
    <hyperlink r:id="rId198" ref="C75"/>
    <hyperlink r:id="rId199" ref="C76"/>
    <hyperlink r:id="rId200" ref="K76"/>
    <hyperlink r:id="rId201" ref="M76"/>
    <hyperlink r:id="rId202" ref="O76"/>
    <hyperlink r:id="rId203" ref="C77"/>
    <hyperlink r:id="rId204" ref="K77"/>
    <hyperlink r:id="rId205" ref="M77"/>
    <hyperlink r:id="rId206" ref="O77"/>
    <hyperlink r:id="rId207" ref="C78"/>
    <hyperlink r:id="rId208" ref="K78"/>
    <hyperlink r:id="rId209" ref="O78"/>
    <hyperlink r:id="rId210" ref="C79"/>
    <hyperlink r:id="rId211" ref="K79"/>
    <hyperlink r:id="rId212" ref="M79"/>
    <hyperlink r:id="rId213" ref="O79"/>
    <hyperlink r:id="rId214" ref="C80"/>
    <hyperlink r:id="rId215" ref="K80"/>
    <hyperlink r:id="rId216" ref="M80"/>
    <hyperlink r:id="rId217" ref="C81"/>
    <hyperlink r:id="rId218" ref="K81"/>
    <hyperlink r:id="rId219" ref="M81"/>
    <hyperlink r:id="rId220" ref="O81"/>
    <hyperlink r:id="rId221" ref="Q81"/>
    <hyperlink r:id="rId222" ref="C82"/>
    <hyperlink r:id="rId223" ref="K82"/>
    <hyperlink r:id="rId224" ref="M82"/>
    <hyperlink r:id="rId225" ref="C83"/>
    <hyperlink r:id="rId226" ref="K83"/>
    <hyperlink r:id="rId227" ref="M83"/>
    <hyperlink r:id="rId228" ref="O83"/>
    <hyperlink r:id="rId229" ref="C84"/>
    <hyperlink r:id="rId230" ref="K84"/>
    <hyperlink r:id="rId231" ref="M84"/>
    <hyperlink r:id="rId232" ref="C85"/>
    <hyperlink r:id="rId233" ref="K85"/>
    <hyperlink r:id="rId234" ref="M85"/>
    <hyperlink r:id="rId235" ref="C86"/>
    <hyperlink r:id="rId236" ref="M86"/>
    <hyperlink r:id="rId237" ref="C87"/>
    <hyperlink r:id="rId238" ref="K87"/>
    <hyperlink r:id="rId239" ref="M87"/>
    <hyperlink r:id="rId240" ref="C88"/>
    <hyperlink r:id="rId241" ref="K88"/>
    <hyperlink r:id="rId242" ref="M88"/>
    <hyperlink r:id="rId243" ref="C89"/>
    <hyperlink r:id="rId244" ref="K89"/>
    <hyperlink r:id="rId245" ref="C90"/>
    <hyperlink r:id="rId246" ref="K90"/>
    <hyperlink r:id="rId247" ref="M90"/>
    <hyperlink r:id="rId248" ref="O90"/>
    <hyperlink r:id="rId249" ref="C91"/>
    <hyperlink r:id="rId250" ref="K91"/>
    <hyperlink r:id="rId251" ref="M91"/>
    <hyperlink r:id="rId252" ref="O91"/>
    <hyperlink r:id="rId253" ref="C92"/>
    <hyperlink r:id="rId254" ref="K92"/>
    <hyperlink r:id="rId255" ref="M92"/>
    <hyperlink r:id="rId256" ref="O92"/>
    <hyperlink r:id="rId257" ref="C93"/>
    <hyperlink r:id="rId258" ref="C94"/>
    <hyperlink r:id="rId259" ref="C95"/>
    <hyperlink r:id="rId260" ref="K95"/>
    <hyperlink r:id="rId261" ref="M95"/>
    <hyperlink r:id="rId262" ref="C96"/>
    <hyperlink r:id="rId263" ref="K96"/>
    <hyperlink r:id="rId264" ref="M96"/>
    <hyperlink r:id="rId265" ref="O96"/>
    <hyperlink r:id="rId266" ref="C97"/>
    <hyperlink r:id="rId267" ref="K97"/>
    <hyperlink r:id="rId268" ref="M97"/>
    <hyperlink r:id="rId269" ref="O97"/>
    <hyperlink r:id="rId270" ref="C98"/>
    <hyperlink r:id="rId271" ref="K98"/>
    <hyperlink r:id="rId272" ref="M98"/>
    <hyperlink r:id="rId273" ref="O98"/>
    <hyperlink r:id="rId274" ref="Q98"/>
    <hyperlink r:id="rId275" ref="C99"/>
    <hyperlink r:id="rId276" ref="K99"/>
    <hyperlink r:id="rId277" ref="M99"/>
    <hyperlink r:id="rId278" ref="O99"/>
    <hyperlink r:id="rId279" ref="Q99"/>
    <hyperlink r:id="rId280" ref="C100"/>
    <hyperlink r:id="rId281" ref="C101"/>
    <hyperlink r:id="rId282" ref="C102"/>
    <hyperlink r:id="rId283" ref="K102"/>
    <hyperlink r:id="rId284" ref="C103"/>
    <hyperlink r:id="rId285" ref="K103"/>
    <hyperlink r:id="rId286" ref="M103"/>
    <hyperlink r:id="rId287" ref="O103"/>
    <hyperlink r:id="rId288" ref="C104"/>
    <hyperlink r:id="rId289" ref="C105"/>
    <hyperlink r:id="rId290" ref="C106"/>
    <hyperlink r:id="rId291" ref="K106"/>
    <hyperlink r:id="rId292" ref="C107"/>
    <hyperlink r:id="rId293" ref="C108"/>
    <hyperlink r:id="rId294" ref="K108"/>
    <hyperlink r:id="rId295" ref="M108"/>
    <hyperlink r:id="rId296" ref="O108"/>
    <hyperlink r:id="rId297" ref="C109"/>
    <hyperlink r:id="rId298" ref="K109"/>
    <hyperlink r:id="rId299" ref="M109"/>
    <hyperlink r:id="rId300" ref="O109"/>
    <hyperlink r:id="rId301" ref="C110"/>
    <hyperlink r:id="rId302" ref="C111"/>
    <hyperlink r:id="rId303" ref="C112"/>
    <hyperlink r:id="rId304" ref="K112"/>
    <hyperlink r:id="rId305" ref="C113"/>
    <hyperlink r:id="rId306" ref="K113"/>
    <hyperlink r:id="rId307" ref="C114"/>
    <hyperlink r:id="rId308" ref="K114"/>
    <hyperlink r:id="rId309" ref="C115"/>
    <hyperlink r:id="rId310" ref="C116"/>
    <hyperlink r:id="rId311" ref="K116"/>
    <hyperlink r:id="rId312" ref="M116"/>
    <hyperlink r:id="rId313" ref="C117"/>
    <hyperlink r:id="rId314" ref="C118"/>
    <hyperlink r:id="rId315" ref="K118"/>
    <hyperlink r:id="rId316" ref="C119"/>
    <hyperlink r:id="rId317" ref="K119"/>
    <hyperlink r:id="rId318" ref="C120"/>
    <hyperlink r:id="rId319" ref="K120"/>
    <hyperlink r:id="rId320" ref="M120"/>
    <hyperlink r:id="rId321" ref="O120"/>
    <hyperlink r:id="rId322" ref="Q120"/>
    <hyperlink r:id="rId323" ref="C121"/>
    <hyperlink r:id="rId324" ref="K121"/>
    <hyperlink r:id="rId325" ref="M121"/>
    <hyperlink r:id="rId326" ref="C122"/>
    <hyperlink r:id="rId327" ref="C123"/>
    <hyperlink r:id="rId328" ref="C124"/>
    <hyperlink r:id="rId329" ref="C125"/>
    <hyperlink r:id="rId330" ref="K125"/>
    <hyperlink r:id="rId331" ref="M125"/>
    <hyperlink r:id="rId332" ref="O125"/>
    <hyperlink r:id="rId333" ref="C126"/>
    <hyperlink r:id="rId334" ref="K126"/>
    <hyperlink r:id="rId335" ref="C127"/>
    <hyperlink r:id="rId336" ref="C128"/>
    <hyperlink r:id="rId337" ref="K128"/>
    <hyperlink r:id="rId338" ref="M128"/>
    <hyperlink r:id="rId339" ref="O128"/>
    <hyperlink r:id="rId340" ref="C129"/>
    <hyperlink r:id="rId341" ref="K129"/>
    <hyperlink r:id="rId342" ref="M129"/>
    <hyperlink r:id="rId343" ref="O129"/>
    <hyperlink r:id="rId344" ref="C130"/>
    <hyperlink r:id="rId345" ref="K130"/>
    <hyperlink r:id="rId346" ref="C131"/>
    <hyperlink r:id="rId347" ref="C132"/>
    <hyperlink r:id="rId348" ref="K132"/>
    <hyperlink r:id="rId349" ref="C133"/>
    <hyperlink r:id="rId350" ref="K133"/>
    <hyperlink r:id="rId351" ref="M133"/>
    <hyperlink r:id="rId352" ref="C134"/>
    <hyperlink r:id="rId353" ref="K134"/>
    <hyperlink r:id="rId354" ref="M134"/>
    <hyperlink r:id="rId355" ref="O134"/>
    <hyperlink r:id="rId356" ref="Q134"/>
    <hyperlink r:id="rId357" ref="C135"/>
    <hyperlink r:id="rId358" ref="K135"/>
    <hyperlink r:id="rId359" ref="M135"/>
    <hyperlink r:id="rId360" ref="O135"/>
    <hyperlink r:id="rId361" ref="C136"/>
    <hyperlink r:id="rId362" ref="K136"/>
    <hyperlink r:id="rId363" ref="M136"/>
    <hyperlink r:id="rId364" ref="O136"/>
    <hyperlink r:id="rId365" ref="C137"/>
    <hyperlink r:id="rId366" ref="K137"/>
    <hyperlink r:id="rId367" ref="M137"/>
    <hyperlink r:id="rId368" ref="O137"/>
    <hyperlink r:id="rId369" ref="C138"/>
    <hyperlink r:id="rId370" ref="K138"/>
    <hyperlink r:id="rId371" ref="C139"/>
    <hyperlink r:id="rId372" ref="K139"/>
    <hyperlink r:id="rId373" ref="M139"/>
    <hyperlink r:id="rId374" ref="C140"/>
    <hyperlink r:id="rId375" ref="K140"/>
    <hyperlink r:id="rId376" ref="C141"/>
    <hyperlink r:id="rId377" ref="K141"/>
    <hyperlink r:id="rId378" ref="M141"/>
    <hyperlink r:id="rId379" ref="C142"/>
    <hyperlink r:id="rId380" ref="C143"/>
    <hyperlink r:id="rId381" ref="K143"/>
    <hyperlink r:id="rId382" ref="M143"/>
    <hyperlink r:id="rId383" ref="C144"/>
    <hyperlink r:id="rId384" ref="K144"/>
    <hyperlink r:id="rId385" ref="M144"/>
    <hyperlink r:id="rId386" ref="O144"/>
    <hyperlink r:id="rId387" ref="Q144"/>
    <hyperlink r:id="rId388" ref="C145"/>
    <hyperlink r:id="rId389" ref="C146"/>
    <hyperlink r:id="rId390" ref="K146"/>
    <hyperlink r:id="rId391" ref="M146"/>
    <hyperlink r:id="rId392" ref="C147"/>
    <hyperlink r:id="rId393" ref="K147"/>
    <hyperlink r:id="rId394" ref="C148"/>
    <hyperlink r:id="rId395" ref="C149"/>
    <hyperlink r:id="rId396" ref="C150"/>
    <hyperlink r:id="rId397" ref="K150"/>
    <hyperlink r:id="rId398" ref="C151"/>
    <hyperlink r:id="rId399" ref="K151"/>
    <hyperlink r:id="rId400" ref="C152"/>
    <hyperlink r:id="rId401" ref="K152"/>
    <hyperlink r:id="rId402" ref="M152"/>
    <hyperlink r:id="rId403" ref="O152"/>
    <hyperlink r:id="rId404" ref="C153"/>
    <hyperlink r:id="rId405" ref="K153"/>
    <hyperlink r:id="rId406" ref="C154"/>
    <hyperlink r:id="rId407" ref="K154"/>
    <hyperlink r:id="rId408" ref="C155"/>
    <hyperlink r:id="rId409" ref="C156"/>
    <hyperlink r:id="rId410" ref="C157"/>
    <hyperlink r:id="rId411" ref="K157"/>
    <hyperlink r:id="rId412" ref="M157"/>
    <hyperlink r:id="rId413" ref="O157"/>
    <hyperlink r:id="rId414" ref="Q157"/>
    <hyperlink r:id="rId415" ref="C158"/>
    <hyperlink r:id="rId416" ref="K158"/>
    <hyperlink r:id="rId417" ref="M158"/>
    <hyperlink r:id="rId418" ref="O158"/>
    <hyperlink r:id="rId419" ref="C159"/>
    <hyperlink r:id="rId420" ref="C160"/>
    <hyperlink r:id="rId421" ref="C161"/>
    <hyperlink r:id="rId422" ref="C162"/>
    <hyperlink r:id="rId423" ref="C163"/>
    <hyperlink r:id="rId424" ref="C164"/>
    <hyperlink r:id="rId425" ref="C165"/>
    <hyperlink r:id="rId426" ref="C166"/>
    <hyperlink r:id="rId427" ref="C167"/>
    <hyperlink r:id="rId428" ref="C168"/>
    <hyperlink r:id="rId429" ref="C169"/>
    <hyperlink r:id="rId430" ref="C170"/>
  </hyperlinks>
  <drawing r:id="rId431"/>
  <legacyDrawing r:id="rId43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22.38"/>
    <col customWidth="1" min="4" max="4" width="13.25"/>
    <col customWidth="1" min="7" max="8" width="16.0"/>
    <col customWidth="1" min="10" max="10" width="19.38"/>
    <col customWidth="1" min="12" max="12" width="19.25"/>
  </cols>
  <sheetData>
    <row r="1">
      <c r="A1" s="213" t="s">
        <v>455</v>
      </c>
      <c r="B1" s="214"/>
      <c r="C1" s="214"/>
      <c r="D1" s="215"/>
      <c r="E1" s="213" t="s">
        <v>328</v>
      </c>
      <c r="F1" s="214"/>
      <c r="G1" s="214"/>
      <c r="H1" s="216"/>
      <c r="J1" s="217" t="s">
        <v>456</v>
      </c>
      <c r="K1" s="214"/>
      <c r="L1" s="214"/>
      <c r="M1" s="216"/>
      <c r="R1" s="218"/>
      <c r="S1" s="218"/>
      <c r="T1" s="218"/>
      <c r="U1" s="218"/>
    </row>
    <row r="2">
      <c r="A2" s="219" t="s">
        <v>457</v>
      </c>
      <c r="B2" s="220"/>
      <c r="C2" s="219" t="s">
        <v>455</v>
      </c>
      <c r="D2" s="215"/>
      <c r="E2" s="221" t="s">
        <v>327</v>
      </c>
      <c r="F2" s="214"/>
      <c r="G2" s="214"/>
      <c r="H2" s="216"/>
      <c r="J2" s="222" t="s">
        <v>458</v>
      </c>
      <c r="K2" s="214"/>
      <c r="L2" s="214"/>
      <c r="M2" s="216"/>
      <c r="R2" s="218"/>
      <c r="S2" s="218"/>
      <c r="T2" s="218"/>
      <c r="U2" s="218"/>
    </row>
    <row r="3">
      <c r="A3" s="223" t="s">
        <v>506</v>
      </c>
      <c r="B3" s="224"/>
      <c r="C3" s="506" t="s">
        <v>507</v>
      </c>
      <c r="D3" s="215"/>
      <c r="E3" s="299">
        <f>Maindata!I11</f>
        <v>1500000000</v>
      </c>
      <c r="F3" s="227"/>
      <c r="G3" s="227"/>
      <c r="H3" s="228"/>
      <c r="J3" s="229" t="s">
        <v>459</v>
      </c>
      <c r="K3" s="216"/>
      <c r="L3" s="230" t="s">
        <v>460</v>
      </c>
      <c r="M3" s="216"/>
      <c r="R3" s="218"/>
      <c r="S3" s="218"/>
      <c r="T3" s="218"/>
      <c r="U3" s="218"/>
    </row>
    <row r="4">
      <c r="A4" s="91"/>
      <c r="B4" s="483"/>
      <c r="C4" s="506" t="s">
        <v>508</v>
      </c>
      <c r="D4" s="215"/>
      <c r="E4" s="232"/>
      <c r="F4" s="233"/>
      <c r="G4" s="233"/>
      <c r="H4" s="234"/>
      <c r="J4" s="298">
        <f>IFERROR(__xludf.DUMMYFUNCTION("IMPORTRANGE(""https://docs.google.com/spreadsheets/d/1XGHyffJQ7KjI292zt5QVK_1XTfEMh_HDpl_2BHAzd4c/edit?gid=1335890585#gid=1335890585"",""SYB!H16"")        "),4.0E7)</f>
        <v>40000000</v>
      </c>
      <c r="K4" s="228"/>
      <c r="L4" s="299">
        <f>IFERROR(__xludf.DUMMYFUNCTION("IMPORTRANGE(""https://docs.google.com/spreadsheets/d/1XGHyffJQ7KjI292zt5QVK_1XTfEMh_HDpl_2BHAzd4c/edit?gid=1335890585#gid=1335890585"",""SYB!H21"")        "),4.0E7)</f>
        <v>40000000</v>
      </c>
      <c r="M4" s="228"/>
      <c r="R4" s="218"/>
      <c r="S4" s="218"/>
      <c r="T4" s="218"/>
      <c r="U4" s="218"/>
    </row>
    <row r="5">
      <c r="A5" s="91"/>
      <c r="B5" s="483"/>
      <c r="C5" s="506" t="s">
        <v>509</v>
      </c>
      <c r="D5" s="215"/>
      <c r="E5" s="329" t="s">
        <v>461</v>
      </c>
      <c r="F5" s="214"/>
      <c r="G5" s="214"/>
      <c r="H5" s="216"/>
      <c r="J5" s="232"/>
      <c r="K5" s="234"/>
      <c r="L5" s="232"/>
      <c r="M5" s="234"/>
      <c r="R5" s="218"/>
      <c r="S5" s="218"/>
      <c r="T5" s="218"/>
      <c r="U5" s="218"/>
    </row>
    <row r="6">
      <c r="A6" s="223" t="s">
        <v>510</v>
      </c>
      <c r="B6" s="224"/>
      <c r="C6" s="506" t="s">
        <v>511</v>
      </c>
      <c r="D6" s="215"/>
      <c r="E6" s="299">
        <f>SUM(R16:U249)</f>
        <v>17280199.14</v>
      </c>
      <c r="F6" s="227"/>
      <c r="G6" s="227"/>
      <c r="H6" s="228"/>
      <c r="J6" s="302" t="s">
        <v>462</v>
      </c>
      <c r="K6" s="214"/>
      <c r="L6" s="214"/>
      <c r="M6" s="216"/>
      <c r="R6" s="218"/>
      <c r="S6" s="218"/>
      <c r="T6" s="218"/>
      <c r="U6" s="218"/>
    </row>
    <row r="7">
      <c r="A7" s="91"/>
      <c r="B7" s="483"/>
      <c r="C7" s="506" t="s">
        <v>512</v>
      </c>
      <c r="D7" s="215"/>
      <c r="E7" s="232"/>
      <c r="F7" s="233"/>
      <c r="G7" s="233"/>
      <c r="H7" s="234"/>
      <c r="J7" s="298">
        <f>IFERROR(__xludf.DUMMYFUNCTION("IMPORTRANGE(""https://docs.google.com/spreadsheets/d/1XGHyffJQ7KjI292zt5QVK_1XTfEMh_HDpl_2BHAzd4c/edit?gid=1335890585#gid=1335890585"",""SYB!H4"")"),1250000.0)</f>
        <v>1250000</v>
      </c>
      <c r="K7" s="228"/>
      <c r="L7" s="299">
        <f>IFERROR(__xludf.DUMMYFUNCTION("IMPORTRANGE(""https://docs.google.com/spreadsheets/d/1XGHyffJQ7KjI292zt5QVK_1XTfEMh_HDpl_2BHAzd4c/edit?gid=1335890585#gid=1335890585"",""SYB!K4"")        "),8000000.0)</f>
        <v>8000000</v>
      </c>
      <c r="M7" s="228"/>
      <c r="R7" s="218"/>
      <c r="S7" s="218"/>
      <c r="T7" s="218"/>
      <c r="U7" s="218"/>
    </row>
    <row r="8">
      <c r="A8" s="91"/>
      <c r="B8" s="483"/>
      <c r="C8" s="506" t="s">
        <v>513</v>
      </c>
      <c r="D8" s="215"/>
      <c r="E8" s="325" t="s">
        <v>329</v>
      </c>
      <c r="F8" s="214"/>
      <c r="G8" s="214"/>
      <c r="H8" s="216"/>
      <c r="J8" s="232"/>
      <c r="K8" s="234"/>
      <c r="L8" s="232"/>
      <c r="M8" s="234"/>
      <c r="R8" s="218"/>
      <c r="S8" s="218"/>
      <c r="T8" s="218"/>
      <c r="U8" s="218"/>
    </row>
    <row r="9">
      <c r="A9" s="223" t="s">
        <v>514</v>
      </c>
      <c r="B9" s="224"/>
      <c r="C9" s="506" t="s">
        <v>515</v>
      </c>
      <c r="D9" s="215"/>
      <c r="E9" s="330">
        <f>E6/E3</f>
        <v>0.01152013276</v>
      </c>
      <c r="F9" s="227"/>
      <c r="G9" s="227"/>
      <c r="H9" s="228"/>
      <c r="J9" s="292" t="s">
        <v>463</v>
      </c>
      <c r="K9" s="214"/>
      <c r="L9" s="214"/>
      <c r="M9" s="216"/>
      <c r="R9" s="218"/>
      <c r="S9" s="218"/>
      <c r="T9" s="218"/>
      <c r="U9" s="218"/>
    </row>
    <row r="10">
      <c r="A10" s="91"/>
      <c r="B10" s="483"/>
      <c r="C10" s="506" t="s">
        <v>516</v>
      </c>
      <c r="D10" s="215"/>
      <c r="E10" s="232"/>
      <c r="F10" s="233"/>
      <c r="G10" s="233"/>
      <c r="H10" s="234"/>
      <c r="J10" s="298">
        <f>J4-J7</f>
        <v>38750000</v>
      </c>
      <c r="K10" s="228"/>
      <c r="L10" s="299">
        <f>L4-L7</f>
        <v>32000000</v>
      </c>
      <c r="M10" s="228"/>
      <c r="R10" s="218"/>
      <c r="S10" s="218"/>
      <c r="T10" s="218"/>
      <c r="U10" s="218"/>
    </row>
    <row r="11">
      <c r="A11" s="231"/>
      <c r="B11" s="220"/>
      <c r="C11" s="506" t="s">
        <v>517</v>
      </c>
      <c r="D11" s="215"/>
      <c r="E11" s="215"/>
      <c r="J11" s="232"/>
      <c r="K11" s="234"/>
      <c r="L11" s="232"/>
      <c r="M11" s="234"/>
      <c r="R11" s="218"/>
      <c r="S11" s="218"/>
      <c r="T11" s="218"/>
      <c r="U11" s="218"/>
    </row>
    <row r="12">
      <c r="A12" s="507"/>
      <c r="B12" s="507"/>
      <c r="C12" s="508"/>
      <c r="D12" s="215"/>
      <c r="E12" s="215"/>
      <c r="K12" s="242"/>
      <c r="L12" s="215"/>
      <c r="M12" s="242"/>
      <c r="N12" s="243"/>
      <c r="O12" s="243"/>
      <c r="P12" s="243"/>
      <c r="Q12" s="243"/>
      <c r="R12" s="244"/>
      <c r="S12" s="244"/>
      <c r="T12" s="244"/>
      <c r="U12" s="244"/>
    </row>
    <row r="13">
      <c r="A13" s="245"/>
      <c r="B13" s="245"/>
      <c r="K13" s="12"/>
      <c r="L13" s="243"/>
      <c r="M13" s="243"/>
      <c r="N13" s="243"/>
      <c r="O13" s="243"/>
      <c r="P13" s="243"/>
      <c r="Q13" s="243"/>
      <c r="R13" s="244"/>
      <c r="S13" s="244"/>
      <c r="T13" s="244"/>
      <c r="U13" s="244"/>
    </row>
    <row r="14">
      <c r="A14" s="246"/>
      <c r="B14" s="246"/>
      <c r="C14" s="246"/>
      <c r="D14" s="246"/>
      <c r="E14" s="246"/>
      <c r="F14" s="246"/>
      <c r="G14" s="246"/>
      <c r="H14" s="246"/>
      <c r="I14" s="246"/>
      <c r="J14" s="246"/>
      <c r="K14" s="247"/>
      <c r="L14" s="246"/>
      <c r="M14" s="247"/>
      <c r="N14" s="246"/>
      <c r="O14" s="246"/>
      <c r="P14" s="246"/>
      <c r="Q14" s="246"/>
      <c r="R14" s="248" t="s">
        <v>464</v>
      </c>
      <c r="S14" s="249"/>
      <c r="T14" s="248" t="s">
        <v>465</v>
      </c>
      <c r="U14" s="249"/>
    </row>
    <row r="15">
      <c r="A15" s="250" t="s">
        <v>466</v>
      </c>
      <c r="B15" s="250" t="s">
        <v>467</v>
      </c>
      <c r="C15" s="251" t="s">
        <v>468</v>
      </c>
      <c r="D15" s="252" t="s">
        <v>469</v>
      </c>
      <c r="E15" s="253" t="s">
        <v>470</v>
      </c>
      <c r="F15" s="251" t="s">
        <v>471</v>
      </c>
      <c r="G15" s="332" t="s">
        <v>484</v>
      </c>
      <c r="H15" s="251" t="s">
        <v>457</v>
      </c>
      <c r="I15" s="254" t="s">
        <v>472</v>
      </c>
      <c r="J15" s="251" t="s">
        <v>455</v>
      </c>
      <c r="K15" s="251" t="s">
        <v>473</v>
      </c>
      <c r="L15" s="251" t="s">
        <v>455</v>
      </c>
      <c r="M15" s="251" t="s">
        <v>474</v>
      </c>
      <c r="N15" s="251" t="s">
        <v>455</v>
      </c>
      <c r="O15" s="251" t="s">
        <v>475</v>
      </c>
      <c r="P15" s="251" t="s">
        <v>455</v>
      </c>
      <c r="Q15" s="251" t="s">
        <v>476</v>
      </c>
      <c r="R15" s="248" t="s">
        <v>427</v>
      </c>
      <c r="S15" s="248" t="s">
        <v>477</v>
      </c>
      <c r="T15" s="248" t="s">
        <v>427</v>
      </c>
      <c r="U15" s="248" t="s">
        <v>477</v>
      </c>
    </row>
    <row r="16">
      <c r="A16" s="255" t="str">
        <f>IFERROR(__xludf.DUMMYFUNCTION("QUERY(IMPORTRANGE(""https://docs.google.com/spreadsheets/d/10wdjc5GKQIqHka9D7QGq1b4WkRuVqG0ylA8lw57ns-I/edit?usp=sharing"", ""SYB!A3:AB1000""), ""SELECT Col1, Col2, Col3, Col4, Col5, Col6, Col10, Col11, Col16, Col17, Col18, Col19, Col20, Col21, Col22, Col"&amp;"23, Col24, Col25, Col26, Col27, Col28 WHERE Col12 = 'Approved'"")"),"MICRO")</f>
        <v>MICRO</v>
      </c>
      <c r="B16" s="256" t="str">
        <f>IFERROR(__xludf.DUMMYFUNCTION("""COMPUTED_VALUE"""),"desymufti96")</f>
        <v>desymufti96</v>
      </c>
      <c r="C16" s="257" t="str">
        <f>IFERROR(__xludf.DUMMYFUNCTION("""COMPUTED_VALUE"""),"https://www.tiktok.com/@desymufti96")</f>
        <v>https://www.tiktok.com/@desymufti96</v>
      </c>
      <c r="D16" s="25">
        <f>IFERROR(__xludf.DUMMYFUNCTION("""COMPUTED_VALUE"""),8.1280440016E10)</f>
        <v>81280440016</v>
      </c>
      <c r="E16" s="258">
        <f>IFERROR(__xludf.DUMMYFUNCTION("""COMPUTED_VALUE"""),0.0)</f>
        <v>0</v>
      </c>
      <c r="F16" s="25">
        <f>IFERROR(__xludf.DUMMYFUNCTION("""COMPUTED_VALUE"""),3.0)</f>
        <v>3</v>
      </c>
      <c r="G16" s="25" t="str">
        <f>IFERROR(__xludf.DUMMYFUNCTION("""COMPUTED_VALUE"""),"Rp177,9JT")</f>
        <v>Rp177,9JT</v>
      </c>
      <c r="H16" s="259" t="str">
        <f>IFERROR(__xludf.DUMMYFUNCTION("""COMPUTED_VALUE"""),"Skinboost Body Toner")</f>
        <v>Skinboost Body Toner</v>
      </c>
      <c r="I16" s="260" t="str">
        <f>IFERROR(__xludf.DUMMYFUNCTION("""COMPUTED_VALUE"""),"Sampai")</f>
        <v>Sampai</v>
      </c>
      <c r="J16" s="261" t="str">
        <f>IFERROR(__xludf.DUMMYFUNCTION("""COMPUTED_VALUE"""),"Concept 2")</f>
        <v>Concept 2</v>
      </c>
      <c r="K16" s="278" t="str">
        <f>IFERROR(__xludf.DUMMYFUNCTION("""COMPUTED_VALUE"""),"https://www.tiktok.com/@desymufti96/video/7637417395073699092?_r=1&amp;u_code=dmk4ba9jk9f5k8&amp;region=&amp;mid=7631905101759875088&amp;preview_pb=0&amp;sharer_language=&amp;_d=0&amp;ec_shared_reflux_dynamic_params=%7B%22placeholder_material_id%22%3A%227637417395073699092%22%2C%22p"&amp;"laceholder_origin_cover%22%3A%22https%253A%252F%252Fp16-common-sign.tiktokcdn.com%252Ftos-alisg-p-0037%252FoMtJ45DOQEurRKpDYjTI9DrCfQrNohvfAAvFfj~tplv-tiktokx-origin.jpeg%253Fdr%253D14572%2526refresh_token%253Daa5cf00a%2526x-expires%253D1810112400%2526x-s"&amp;"ignature%253D5noDsMC0RF6%25252BSfUi89DNlxwWpXo%25253D%2526t%253D4d5b0474%2526ps%253D13740610%2526shp%253Dd05b14bd%2526shcp%253D34ff8df6%2526idc%253Dmy%2526s%253DTIKTOK_AFFILIATE_VIRAL_VIDEO%22%2C%22placeholder_product_id%22%3A%221729557995886774017%22%2C%"&amp;"22placeholder_video_id%22%3A%227637417395073699092%22%7D&amp;ec_shared_reflux_scene=shop_tab_feed&amp;share_item_id=7637417395073699092&amp;source=h5_t")</f>
        <v>https://www.tiktok.com/@desymufti96/video/7637417395073699092?_r=1&amp;u_code=dmk4ba9jk9f5k8&amp;region=&amp;mid=7631905101759875088&amp;preview_pb=0&amp;sharer_language=&amp;_d=0&amp;ec_shared_reflux_dynamic_params=%7B%22placeholder_material_id%22%3A%227637417395073699092%22%2C%22placeholder_origin_cover%22%3A%22https%253A%252F%252Fp16-common-sign.tiktokcdn.com%252Ftos-alisg-p-0037%252FoMtJ45DOQEurRKpDYjTI9DrCfQrNohvfAAvFfj~tplv-tiktokx-origin.jpeg%253Fdr%253D14572%2526refresh_token%253Daa5cf00a%2526x-expires%253D1810112400%2526x-signature%253D5noDsMC0RF6%25252BSfUi89DNlxwWpXo%25253D%2526t%253D4d5b0474%2526ps%253D13740610%2526shp%253Dd05b14bd%2526shcp%253D34ff8df6%2526idc%253Dmy%2526s%253DTIKTOK_AFFILIATE_VIRAL_VIDEO%22%2C%22placeholder_product_id%22%3A%221729557995886774017%22%2C%22placeholder_video_id%22%3A%227637417395073699092%22%7D&amp;ec_shared_reflux_scene=shop_tab_feed&amp;share_item_id=7637417395073699092&amp;source=h5_t</v>
      </c>
      <c r="L16" s="261" t="str">
        <f>IFERROR(__xludf.DUMMYFUNCTION("""COMPUTED_VALUE"""),"Concept 2")</f>
        <v>Concept 2</v>
      </c>
      <c r="M16" s="278" t="str">
        <f>IFERROR(__xludf.DUMMYFUNCTION("""COMPUTED_VALUE"""),"https://www.tiktok.com/@desymufti96/video/7638874867026234644?_r=1&amp;u_code=dmk4ba9jk9f5k8&amp;region=&amp;mid=7548418713817484037&amp;preview_pb=0&amp;sharer_language=&amp;_d=0&amp;ec_shared_reflux_dynamic_params=%7B%22placeholder_material_id%22%3A%227638874867026234644%22%2C%22p"&amp;"laceholder_origin_cover%22%3A%22https%253A%252F%252Fp16-common-sign.tiktokcdn.com%252Ftos-alisg-p-0037%252FoUQ5v1lwfAArBRB8CEkC3JIwZiIOVAy8ZqiIAd~tplv-tiktokx-origin.jpeg%253Fdr%253D14572%2526refresh_token%253De03c203b%2526x-expires%253D1810112400%2526x-s"&amp;"ignature%253DAVGmzKPPs6Qo5OtrUG2VXHRjCX8%25253D%2526t%253D4d5b0474%2526ps%253D13740610%2526shp%253Dd05b14bd%2526shcp%253D34ff8df6%2526idc%253Dmy%2526s%253DTIKTOK_AFFILIATE_VIRAL_VIDEO%22%2C%22placeholder_product_id%22%3A%221729557995886774017%22%2C%22plac"&amp;"eholder_video_id%22%3A%227638874867026234644%22%7D&amp;ec_shared_reflux_scene=shop_tab_feed&amp;share_item_id=7638874867026234644&amp;source=h5_t")</f>
        <v>https://www.tiktok.com/@desymufti96/video/7638874867026234644?_r=1&amp;u_code=dmk4ba9jk9f5k8&amp;region=&amp;mid=7548418713817484037&amp;preview_pb=0&amp;sharer_language=&amp;_d=0&amp;ec_shared_reflux_dynamic_params=%7B%22placeholder_material_id%22%3A%227638874867026234644%22%2C%22placeholder_origin_cover%22%3A%22https%253A%252F%252Fp16-common-sign.tiktokcdn.com%252Ftos-alisg-p-0037%252FoUQ5v1lwfAArBRB8CEkC3JIwZiIOVAy8ZqiIAd~tplv-tiktokx-origin.jpeg%253Fdr%253D14572%2526refresh_token%253De03c203b%2526x-expires%253D1810112400%2526x-signature%253DAVGmzKPPs6Qo5OtrUG2VXHRjCX8%25253D%2526t%253D4d5b0474%2526ps%253D13740610%2526shp%253Dd05b14bd%2526shcp%253D34ff8df6%2526idc%253Dmy%2526s%253DTIKTOK_AFFILIATE_VIRAL_VIDEO%22%2C%22placeholder_product_id%22%3A%221729557995886774017%22%2C%22placeholder_video_id%22%3A%227638874867026234644%22%7D&amp;ec_shared_reflux_scene=shop_tab_feed&amp;share_item_id=7638874867026234644&amp;source=h5_t</v>
      </c>
      <c r="N16" s="261"/>
      <c r="O16" s="17"/>
      <c r="P16" s="261"/>
      <c r="Q16" s="17"/>
      <c r="R16" s="264">
        <f>IFERROR(__xludf.DUMMYFUNCTION("""COMPUTED_VALUE"""),73400.0)</f>
        <v>73400</v>
      </c>
      <c r="S16" s="265"/>
      <c r="T16" s="266"/>
      <c r="U16" s="266"/>
    </row>
    <row r="17">
      <c r="A17" s="255" t="str">
        <f>IFERROR(__xludf.DUMMYFUNCTION("""COMPUTED_VALUE"""),"NANO")</f>
        <v>NANO</v>
      </c>
      <c r="B17" s="256" t="str">
        <f>IFERROR(__xludf.DUMMYFUNCTION("""COMPUTED_VALUE"""),"norhayaani")</f>
        <v>norhayaani</v>
      </c>
      <c r="C17" s="257" t="str">
        <f>IFERROR(__xludf.DUMMYFUNCTION("""COMPUTED_VALUE"""),"https://www.tiktok.com/@norhayaani")</f>
        <v>https://www.tiktok.com/@norhayaani</v>
      </c>
      <c r="D17" s="25">
        <f>IFERROR(__xludf.DUMMYFUNCTION("""COMPUTED_VALUE"""),8.315062636E10)</f>
        <v>83150626360</v>
      </c>
      <c r="E17" s="258">
        <f>IFERROR(__xludf.DUMMYFUNCTION("""COMPUTED_VALUE"""),0.0)</f>
        <v>0</v>
      </c>
      <c r="F17" s="25">
        <f>IFERROR(__xludf.DUMMYFUNCTION("""COMPUTED_VALUE"""),3.0)</f>
        <v>3</v>
      </c>
      <c r="G17" s="25" t="str">
        <f>IFERROR(__xludf.DUMMYFUNCTION("""COMPUTED_VALUE"""),"Rp44,5JT")</f>
        <v>Rp44,5JT</v>
      </c>
      <c r="H17" s="259" t="str">
        <f>IFERROR(__xludf.DUMMYFUNCTION("""COMPUTED_VALUE"""),"White Essence Moisturizing Spray")</f>
        <v>White Essence Moisturizing Spray</v>
      </c>
      <c r="I17" s="260" t="str">
        <f>IFERROR(__xludf.DUMMYFUNCTION("""COMPUTED_VALUE"""),"Done Req Sample")</f>
        <v>Done Req Sample</v>
      </c>
      <c r="J17" s="261"/>
      <c r="K17" s="262"/>
      <c r="L17" s="261"/>
      <c r="M17" s="262"/>
      <c r="N17" s="261"/>
      <c r="O17" s="17"/>
      <c r="P17" s="261"/>
      <c r="Q17" s="17"/>
      <c r="R17" s="264"/>
      <c r="S17" s="265"/>
      <c r="T17" s="266"/>
      <c r="U17" s="266"/>
    </row>
    <row r="18">
      <c r="A18" s="255" t="str">
        <f>IFERROR(__xludf.DUMMYFUNCTION("""COMPUTED_VALUE"""),"NANO")</f>
        <v>NANO</v>
      </c>
      <c r="B18" s="256" t="str">
        <f>IFERROR(__xludf.DUMMYFUNCTION("""COMPUTED_VALUE"""),"putriinabila89")</f>
        <v>putriinabila89</v>
      </c>
      <c r="C18" s="257" t="str">
        <f>IFERROR(__xludf.DUMMYFUNCTION("""COMPUTED_VALUE"""),"https://www.tiktok.com/@putriinabila89")</f>
        <v>https://www.tiktok.com/@putriinabila89</v>
      </c>
      <c r="D18" s="25">
        <f>IFERROR(__xludf.DUMMYFUNCTION("""COMPUTED_VALUE"""),8.3148524744E10)</f>
        <v>83148524744</v>
      </c>
      <c r="E18" s="258">
        <f>IFERROR(__xludf.DUMMYFUNCTION("""COMPUTED_VALUE"""),0.0)</f>
        <v>0</v>
      </c>
      <c r="F18" s="25">
        <f>IFERROR(__xludf.DUMMYFUNCTION("""COMPUTED_VALUE"""),3.0)</f>
        <v>3</v>
      </c>
      <c r="G18" s="25" t="str">
        <f>IFERROR(__xludf.DUMMYFUNCTION("""COMPUTED_VALUE"""),"Rp1JT+")</f>
        <v>Rp1JT+</v>
      </c>
      <c r="H18" s="259" t="str">
        <f>IFERROR(__xludf.DUMMYFUNCTION("""COMPUTED_VALUE"""),"Skinboost Body Toner")</f>
        <v>Skinboost Body Toner</v>
      </c>
      <c r="I18" s="260" t="str">
        <f>IFERROR(__xludf.DUMMYFUNCTION("""COMPUTED_VALUE"""),"Sampai")</f>
        <v>Sampai</v>
      </c>
      <c r="J18" s="261" t="str">
        <f>IFERROR(__xludf.DUMMYFUNCTION("""COMPUTED_VALUE""")," Concept 1")</f>
        <v> Concept 1</v>
      </c>
      <c r="K18" s="280" t="str">
        <f>IFERROR(__xludf.DUMMYFUNCTION("""COMPUTED_VALUE""")," https://vt.tiktok.com/ZS9qbp8HD/")</f>
        <v> https://vt.tiktok.com/ZS9qbp8HD/</v>
      </c>
      <c r="L18" s="261" t="str">
        <f>IFERROR(__xludf.DUMMYFUNCTION("""COMPUTED_VALUE""")," Concept 1")</f>
        <v> Concept 1</v>
      </c>
      <c r="M18" s="278" t="str">
        <f>IFERROR(__xludf.DUMMYFUNCTION("""COMPUTED_VALUE"""),"https://www.tiktok.com/@dreamm.png/video/7638142487810428168?_r=1&amp;u_code=e36al7997c2gli&amp;region=&amp;mid=7632536758063909648&amp;preview_pb=0&amp;sharer_language=&amp;_d=0&amp;ec_shared_reflux_dynamic_params=%7B%22placeholder_material_id%22%3A%227638142487810428168%22%2C%22pl"&amp;"aceholder_origin_cover%22%3A%22https%253A%252F%252Fp16-common-sign.tiktokcdn.com%252Ftos-alisg-p-0037%252FoIXNudiIIAw1SiAfHIiqAy0wmiD7vCAdBABIBz~tplv-tiktokx-origin.jpeg%253Fdr%253D14572%2526refresh_token%253D280d26fa%2526x-expires%253D1810112400%2526x-si"&amp;"gnature%253DkN6p9fOiAfAfs7rUSybLJuF12OE%25253D%2526t%253D4d5b0474%2526ps%253D13740610%2526shp%253Dd05b14bd%2526shcp%253D34ff8df6%2526idc%253Dmy%2526s%253DTIKTOK_AFFILIATE_VIRAL_VIDEO%22%2C%22placeholder_product_id%22%3A%221729557995886774017%22%2C%22place"&amp;"holder_video_id%22%3A%227638142487810428168%22%7D&amp;ec_shared_reflux_scene=shop_tab_feed&amp;share_item_id=7638142487810428168&amp;source=h5_t")</f>
        <v>https://www.tiktok.com/@dreamm.png/video/7638142487810428168?_r=1&amp;u_code=e36al7997c2gli&amp;region=&amp;mid=7632536758063909648&amp;preview_pb=0&amp;sharer_language=&amp;_d=0&amp;ec_shared_reflux_dynamic_params=%7B%22placeholder_material_id%22%3A%227638142487810428168%22%2C%22placeholder_origin_cover%22%3A%22https%253A%252F%252Fp16-common-sign.tiktokcdn.com%252Ftos-alisg-p-0037%252FoIXNudiIIAw1SiAfHIiqAy0wmiD7vCAdBABIBz~tplv-tiktokx-origin.jpeg%253Fdr%253D14572%2526refresh_token%253D280d26fa%2526x-expires%253D1810112400%2526x-signature%253DkN6p9fOiAfAfs7rUSybLJuF12OE%25253D%2526t%253D4d5b0474%2526ps%253D13740610%2526shp%253Dd05b14bd%2526shcp%253D34ff8df6%2526idc%253Dmy%2526s%253DTIKTOK_AFFILIATE_VIRAL_VIDEO%22%2C%22placeholder_product_id%22%3A%221729557995886774017%22%2C%22placeholder_video_id%22%3A%227638142487810428168%22%7D&amp;ec_shared_reflux_scene=shop_tab_feed&amp;share_item_id=7638142487810428168&amp;source=h5_t</v>
      </c>
      <c r="N18" s="261" t="str">
        <f>IFERROR(__xludf.DUMMYFUNCTION("""COMPUTED_VALUE""")," Concept 1")</f>
        <v> Concept 1</v>
      </c>
      <c r="O18" s="279" t="str">
        <f>IFERROR(__xludf.DUMMYFUNCTION("""COMPUTED_VALUE"""),"https://www.tiktok.com/@putriinabila89/video/7639033005541018901?_r=1&amp;u_code=da7h4ff96af635&amp;region=&amp;mid=7606071400499628049&amp;preview_pb=0&amp;sharer_language=&amp;_d=0&amp;ec_shared_reflux_dynamic_params=%7B%22placeholder_material_id%22%3A%227639033005541018901%22%2C%"&amp;"22placeholder_origin_cover%22%3A%22https%253A%252F%252Fp16-common-sign.tiktokcdn.com%252Ftos-alisg-p-0037%252FocTQYPEQiY2gBiblvwwLiBH8XDBNAIWIAaBYw~tplv-tiktokx-origin.jpeg%253Fdr%253D14572%2526refresh_token%253D09f784e5%2526x-expires%253D1810202400%2526x"&amp;"-signature%253DzkbG0Z9axrJsNJbuB3cbCn%25252BpkdU%25253D%2526t%253D4d5b0474%2526ps%253D13740610%2526shp%253Dd05b14bd%2526shcp%253D34ff8df6%2526idc%253Dmy2%2526s%253DTIKTOK_AFFILIATE_VIRAL_VIDEO%22%2C%22placeholder_product_id%22%3A%221729783568527361793%22%"&amp;"2C%22placeholder_video_id%22%3A%227639033005541018901%22%7D&amp;ec_shared_reflux_scene=shop_tab_feed&amp;share_item_id=7639033005541018901&amp;source=h5_t")</f>
        <v>https://www.tiktok.com/@putriinabila89/video/7639033005541018901?_r=1&amp;u_code=da7h4ff96af635&amp;region=&amp;mid=7606071400499628049&amp;preview_pb=0&amp;sharer_language=&amp;_d=0&amp;ec_shared_reflux_dynamic_params=%7B%22placeholder_material_id%22%3A%227639033005541018901%22%2C%22placeholder_origin_cover%22%3A%22https%253A%252F%252Fp16-common-sign.tiktokcdn.com%252Ftos-alisg-p-0037%252FocTQYPEQiY2gBiblvwwLiBH8XDBNAIWIAaBYw~tplv-tiktokx-origin.jpeg%253Fdr%253D14572%2526refresh_token%253D09f784e5%2526x-expires%253D1810202400%2526x-signature%253DzkbG0Z9axrJsNJbuB3cbCn%25252BpkdU%25253D%2526t%253D4d5b0474%2526ps%253D13740610%2526shp%253Dd05b14bd%2526shcp%253D34ff8df6%2526idc%253Dmy2%2526s%253DTIKTOK_AFFILIATE_VIRAL_VIDEO%22%2C%22placeholder_product_id%22%3A%221729783568527361793%22%2C%22placeholder_video_id%22%3A%227639033005541018901%22%7D&amp;ec_shared_reflux_scene=shop_tab_feed&amp;share_item_id=7639033005541018901&amp;source=h5_t</v>
      </c>
      <c r="P18" s="261"/>
      <c r="Q18" s="17"/>
      <c r="R18" s="264">
        <f>IFERROR(__xludf.DUMMYFUNCTION("""COMPUTED_VALUE"""),29500.0)</f>
        <v>29500</v>
      </c>
      <c r="S18" s="265"/>
      <c r="T18" s="266"/>
      <c r="U18" s="266"/>
    </row>
    <row r="19">
      <c r="A19" s="255" t="str">
        <f>IFERROR(__xludf.DUMMYFUNCTION("""COMPUTED_VALUE"""),"NANO")</f>
        <v>NANO</v>
      </c>
      <c r="B19" s="256" t="str">
        <f>IFERROR(__xludf.DUMMYFUNCTION("""COMPUTED_VALUE"""),"rindi.afrilia")</f>
        <v>rindi.afrilia</v>
      </c>
      <c r="C19" s="257" t="str">
        <f>IFERROR(__xludf.DUMMYFUNCTION("""COMPUTED_VALUE"""),"https://www.tiktok.com/@rindi.afrilia")</f>
        <v>https://www.tiktok.com/@rindi.afrilia</v>
      </c>
      <c r="D19" s="25">
        <f>IFERROR(__xludf.DUMMYFUNCTION("""COMPUTED_VALUE"""),8.2237584137E10)</f>
        <v>82237584137</v>
      </c>
      <c r="E19" s="258">
        <f>IFERROR(__xludf.DUMMYFUNCTION("""COMPUTED_VALUE"""),0.0)</f>
        <v>0</v>
      </c>
      <c r="F19" s="25">
        <f>IFERROR(__xludf.DUMMYFUNCTION("""COMPUTED_VALUE"""),3.0)</f>
        <v>3</v>
      </c>
      <c r="G19" s="25" t="str">
        <f>IFERROR(__xludf.DUMMYFUNCTION("""COMPUTED_VALUE"""),"Rp20,4JT")</f>
        <v>Rp20,4JT</v>
      </c>
      <c r="H19" s="259" t="str">
        <f>IFERROR(__xludf.DUMMYFUNCTION("""COMPUTED_VALUE"""),"Skinboost Body Toner")</f>
        <v>Skinboost Body Toner</v>
      </c>
      <c r="I19" s="260" t="str">
        <f>IFERROR(__xludf.DUMMYFUNCTION("""COMPUTED_VALUE"""),"Done Req Sample")</f>
        <v>Done Req Sample</v>
      </c>
      <c r="J19" s="261"/>
      <c r="K19" s="262"/>
      <c r="L19" s="261"/>
      <c r="M19" s="262"/>
      <c r="N19" s="261"/>
      <c r="O19" s="17"/>
      <c r="P19" s="261"/>
      <c r="Q19" s="17"/>
      <c r="R19" s="264"/>
      <c r="S19" s="265"/>
      <c r="T19" s="266"/>
      <c r="U19" s="266"/>
    </row>
    <row r="20">
      <c r="A20" s="255" t="str">
        <f>IFERROR(__xludf.DUMMYFUNCTION("""COMPUTED_VALUE"""),"NANO")</f>
        <v>NANO</v>
      </c>
      <c r="B20" s="256" t="str">
        <f>IFERROR(__xludf.DUMMYFUNCTION("""COMPUTED_VALUE"""),"naylaazhrni")</f>
        <v>naylaazhrni</v>
      </c>
      <c r="C20" s="281" t="str">
        <f>IFERROR(__xludf.DUMMYFUNCTION("""COMPUTED_VALUE"""),"https://www.tiktok.com/@naylaazhrni")</f>
        <v>https://www.tiktok.com/@naylaazhrni</v>
      </c>
      <c r="D20" s="25">
        <f>IFERROR(__xludf.DUMMYFUNCTION("""COMPUTED_VALUE"""),8.5770474008E10)</f>
        <v>85770474008</v>
      </c>
      <c r="E20" s="258">
        <f>IFERROR(__xludf.DUMMYFUNCTION("""COMPUTED_VALUE"""),0.0)</f>
        <v>0</v>
      </c>
      <c r="F20" s="25">
        <f>IFERROR(__xludf.DUMMYFUNCTION("""COMPUTED_VALUE"""),2.0)</f>
        <v>2</v>
      </c>
      <c r="G20" s="25" t="str">
        <f>IFERROR(__xludf.DUMMYFUNCTION("""COMPUTED_VALUE"""),"Rp3,7JT")</f>
        <v>Rp3,7JT</v>
      </c>
      <c r="H20" s="259" t="str">
        <f>IFERROR(__xludf.DUMMYFUNCTION("""COMPUTED_VALUE"""),"Skinboost Body Toner")</f>
        <v>Skinboost Body Toner</v>
      </c>
      <c r="I20" s="260" t="str">
        <f>IFERROR(__xludf.DUMMYFUNCTION("""COMPUTED_VALUE"""),"Sampai")</f>
        <v>Sampai</v>
      </c>
      <c r="J20" s="261" t="str">
        <f>IFERROR(__xludf.DUMMYFUNCTION("""COMPUTED_VALUE"""),"Concept 2")</f>
        <v>Concept 2</v>
      </c>
      <c r="K20" s="278" t="str">
        <f>IFERROR(__xludf.DUMMYFUNCTION("""COMPUTED_VALUE"""),"https://vt.tiktok.com/ZS94h4MA1/")</f>
        <v>https://vt.tiktok.com/ZS94h4MA1/</v>
      </c>
      <c r="L20" s="261"/>
      <c r="M20" s="262"/>
      <c r="N20" s="261"/>
      <c r="O20" s="17"/>
      <c r="P20" s="261"/>
      <c r="Q20" s="17"/>
      <c r="R20" s="264"/>
      <c r="S20" s="265"/>
      <c r="T20" s="266">
        <f>IFERROR(__xludf.DUMMYFUNCTION("""COMPUTED_VALUE"""),3557855.72)</f>
        <v>3557855.72</v>
      </c>
      <c r="U20" s="266"/>
    </row>
    <row r="21">
      <c r="A21" s="255" t="str">
        <f>IFERROR(__xludf.DUMMYFUNCTION("""COMPUTED_VALUE"""),"NANO")</f>
        <v>NANO</v>
      </c>
      <c r="B21" s="256" t="str">
        <f>IFERROR(__xludf.DUMMYFUNCTION("""COMPUTED_VALUE"""),"mamak_kao ")</f>
        <v>mamak_kao </v>
      </c>
      <c r="C21" s="257" t="str">
        <f>IFERROR(__xludf.DUMMYFUNCTION("""COMPUTED_VALUE"""),"https://www.tiktok.com/@mamak_kao ")</f>
        <v>https://www.tiktok.com/@mamak_kao </v>
      </c>
      <c r="D21" s="25">
        <f>IFERROR(__xludf.DUMMYFUNCTION("""COMPUTED_VALUE"""),8.5319788767E10)</f>
        <v>85319788767</v>
      </c>
      <c r="E21" s="258">
        <f>IFERROR(__xludf.DUMMYFUNCTION("""COMPUTED_VALUE"""),0.0)</f>
        <v>0</v>
      </c>
      <c r="F21" s="25">
        <f>IFERROR(__xludf.DUMMYFUNCTION("""COMPUTED_VALUE"""),2.0)</f>
        <v>2</v>
      </c>
      <c r="G21" s="25" t="str">
        <f>IFERROR(__xludf.DUMMYFUNCTION("""COMPUTED_VALUE"""),"Rp68,2JT")</f>
        <v>Rp68,2JT</v>
      </c>
      <c r="H21" s="259" t="str">
        <f>IFERROR(__xludf.DUMMYFUNCTION("""COMPUTED_VALUE"""),"Skinboost Body Toner")</f>
        <v>Skinboost Body Toner</v>
      </c>
      <c r="I21" s="260" t="str">
        <f>IFERROR(__xludf.DUMMYFUNCTION("""COMPUTED_VALUE"""),"Sampai")</f>
        <v>Sampai</v>
      </c>
      <c r="J21" s="261" t="str">
        <f>IFERROR(__xludf.DUMMYFUNCTION("""COMPUTED_VALUE"""),"Concept 3")</f>
        <v>Concept 3</v>
      </c>
      <c r="K21" s="280" t="str">
        <f>IFERROR(__xludf.DUMMYFUNCTION("""COMPUTED_VALUE"""),"https://vt.tiktok.com/ZS93bthHj/")</f>
        <v>https://vt.tiktok.com/ZS93bthHj/</v>
      </c>
      <c r="L21" s="261" t="str">
        <f>IFERROR(__xludf.DUMMYFUNCTION("""COMPUTED_VALUE"""),"Concept 3")</f>
        <v>Concept 3</v>
      </c>
      <c r="M21" s="278" t="str">
        <f>IFERROR(__xludf.DUMMYFUNCTION("""COMPUTED_VALUE"""),"https://vt.tiktok.com/ZS93bQvuJ/")</f>
        <v>https://vt.tiktok.com/ZS93bQvuJ/</v>
      </c>
      <c r="N21" s="261"/>
      <c r="O21" s="17"/>
      <c r="P21" s="261"/>
      <c r="Q21" s="17"/>
      <c r="R21" s="264"/>
      <c r="S21" s="265"/>
      <c r="T21" s="266">
        <f>IFERROR(__xludf.DUMMYFUNCTION("""COMPUTED_VALUE"""),8195584.83)</f>
        <v>8195584.83</v>
      </c>
      <c r="U21" s="266"/>
    </row>
    <row r="22">
      <c r="A22" s="255" t="str">
        <f>IFERROR(__xludf.DUMMYFUNCTION("""COMPUTED_VALUE"""),"MICRO")</f>
        <v>MICRO</v>
      </c>
      <c r="B22" s="256" t="str">
        <f>IFERROR(__xludf.DUMMYFUNCTION("""COMPUTED_VALUE"""),"tata81692 ")</f>
        <v>tata81692 </v>
      </c>
      <c r="C22" s="257" t="str">
        <f>IFERROR(__xludf.DUMMYFUNCTION("""COMPUTED_VALUE"""),"https://www.tiktok.com/@tata81692 ")</f>
        <v>https://www.tiktok.com/@tata81692 </v>
      </c>
      <c r="D22" s="25">
        <f>IFERROR(__xludf.DUMMYFUNCTION("""COMPUTED_VALUE"""),8.7823234496E10)</f>
        <v>87823234496</v>
      </c>
      <c r="E22" s="258">
        <f>IFERROR(__xludf.DUMMYFUNCTION("""COMPUTED_VALUE"""),0.0)</f>
        <v>0</v>
      </c>
      <c r="F22" s="25">
        <f>IFERROR(__xludf.DUMMYFUNCTION("""COMPUTED_VALUE"""),2.0)</f>
        <v>2</v>
      </c>
      <c r="G22" s="25" t="str">
        <f>IFERROR(__xludf.DUMMYFUNCTION("""COMPUTED_VALUE"""),"Rp4,6JT")</f>
        <v>Rp4,6JT</v>
      </c>
      <c r="H22" s="259" t="str">
        <f>IFERROR(__xludf.DUMMYFUNCTION("""COMPUTED_VALUE"""),"Skinboost Body Toner")</f>
        <v>Skinboost Body Toner</v>
      </c>
      <c r="I22" s="260" t="str">
        <f>IFERROR(__xludf.DUMMYFUNCTION("""COMPUTED_VALUE"""),"Sampai")</f>
        <v>Sampai</v>
      </c>
      <c r="J22" s="261" t="str">
        <f>IFERROR(__xludf.DUMMYFUNCTION("""COMPUTED_VALUE""")," Concept 1")</f>
        <v> Concept 1</v>
      </c>
      <c r="K22" s="278" t="str">
        <f>IFERROR(__xludf.DUMMYFUNCTION("""COMPUTED_VALUE"""),"https://vt.tiktok.com/ZSxYcnChT/")</f>
        <v>https://vt.tiktok.com/ZSxYcnChT/</v>
      </c>
      <c r="L22" s="261" t="str">
        <f>IFERROR(__xludf.DUMMYFUNCTION("""COMPUTED_VALUE""")," Concept 1")</f>
        <v> Concept 1</v>
      </c>
      <c r="M22" s="278" t="str">
        <f>IFERROR(__xludf.DUMMYFUNCTION("""COMPUTED_VALUE"""),"https://vt.tiktok.com/ZSxYccHTH/")</f>
        <v>https://vt.tiktok.com/ZSxYccHTH/</v>
      </c>
      <c r="N22" s="261"/>
      <c r="O22" s="17"/>
      <c r="P22" s="261"/>
      <c r="Q22" s="17"/>
      <c r="R22" s="264"/>
      <c r="S22" s="265"/>
      <c r="T22" s="266"/>
      <c r="U22" s="266"/>
    </row>
    <row r="23">
      <c r="A23" s="255" t="str">
        <f>IFERROR(__xludf.DUMMYFUNCTION("""COMPUTED_VALUE"""),"MICRO")</f>
        <v>MICRO</v>
      </c>
      <c r="B23" s="256" t="str">
        <f>IFERROR(__xludf.DUMMYFUNCTION("""COMPUTED_VALUE"""),"ndaahq")</f>
        <v>ndaahq</v>
      </c>
      <c r="C23" s="257" t="str">
        <f>IFERROR(__xludf.DUMMYFUNCTION("""COMPUTED_VALUE"""),"https://www.tiktok.com/@ndaahq")</f>
        <v>https://www.tiktok.com/@ndaahq</v>
      </c>
      <c r="D23" s="25">
        <f>IFERROR(__xludf.DUMMYFUNCTION("""COMPUTED_VALUE"""),8.87435431731E11)</f>
        <v>887435431731</v>
      </c>
      <c r="E23" s="258">
        <f>IFERROR(__xludf.DUMMYFUNCTION("""COMPUTED_VALUE"""),250000.0)</f>
        <v>250000</v>
      </c>
      <c r="F23" s="25">
        <f>IFERROR(__xludf.DUMMYFUNCTION("""COMPUTED_VALUE"""),1.0)</f>
        <v>1</v>
      </c>
      <c r="G23" s="25" t="str">
        <f>IFERROR(__xludf.DUMMYFUNCTION("""COMPUTED_VALUE"""),"Rp1JT+")</f>
        <v>Rp1JT+</v>
      </c>
      <c r="H23" s="259" t="str">
        <f>IFERROR(__xludf.DUMMYFUNCTION("""COMPUTED_VALUE"""),"Skinboost Body Toner")</f>
        <v>Skinboost Body Toner</v>
      </c>
      <c r="I23" s="260" t="str">
        <f>IFERROR(__xludf.DUMMYFUNCTION("""COMPUTED_VALUE"""),"Sampai")</f>
        <v>Sampai</v>
      </c>
      <c r="J23" s="261" t="str">
        <f>IFERROR(__xludf.DUMMYFUNCTION("""COMPUTED_VALUE""")," Concept 1")</f>
        <v> Concept 1</v>
      </c>
      <c r="K23" s="280" t="str">
        <f>IFERROR(__xludf.DUMMYFUNCTION("""COMPUTED_VALUE"""),"https://vt.tiktok.com/ZSxE1MB5V/")</f>
        <v>https://vt.tiktok.com/ZSxE1MB5V/</v>
      </c>
      <c r="L23" s="261"/>
      <c r="M23" s="262"/>
      <c r="N23" s="261"/>
      <c r="O23" s="17"/>
      <c r="P23" s="261"/>
      <c r="Q23" s="17"/>
      <c r="R23" s="264"/>
      <c r="S23" s="265"/>
      <c r="T23" s="266"/>
      <c r="U23" s="266"/>
    </row>
    <row r="24">
      <c r="A24" s="255" t="str">
        <f>IFERROR(__xludf.DUMMYFUNCTION("""COMPUTED_VALUE"""),"MICRO")</f>
        <v>MICRO</v>
      </c>
      <c r="B24" s="23" t="str">
        <f>IFERROR(__xludf.DUMMYFUNCTION("""COMPUTED_VALUE"""),"deksiti164")</f>
        <v>deksiti164</v>
      </c>
      <c r="C24" s="257" t="str">
        <f>IFERROR(__xludf.DUMMYFUNCTION("""COMPUTED_VALUE"""),"https://www.tiktok.com/@deksiti164")</f>
        <v>https://www.tiktok.com/@deksiti164</v>
      </c>
      <c r="D24" s="25">
        <f>IFERROR(__xludf.DUMMYFUNCTION("""COMPUTED_VALUE"""),8.2275634637E10)</f>
        <v>82275634637</v>
      </c>
      <c r="E24" s="258">
        <f>IFERROR(__xludf.DUMMYFUNCTION("""COMPUTED_VALUE"""),0.0)</f>
        <v>0</v>
      </c>
      <c r="F24" s="25">
        <f>IFERROR(__xludf.DUMMYFUNCTION("""COMPUTED_VALUE"""),3.0)</f>
        <v>3</v>
      </c>
      <c r="G24" s="25" t="str">
        <f>IFERROR(__xludf.DUMMYFUNCTION("""COMPUTED_VALUE"""),"Rp3,9JT")</f>
        <v>Rp3,9JT</v>
      </c>
      <c r="H24" s="259" t="str">
        <f>IFERROR(__xludf.DUMMYFUNCTION("""COMPUTED_VALUE"""),"White Essence Moisturizing Spray")</f>
        <v>White Essence Moisturizing Spray</v>
      </c>
      <c r="I24" s="260" t="str">
        <f>IFERROR(__xludf.DUMMYFUNCTION("""COMPUTED_VALUE"""),"Kendala [FU!]")</f>
        <v>Kendala [FU!]</v>
      </c>
      <c r="J24" s="261"/>
      <c r="K24" s="267"/>
      <c r="L24" s="261"/>
      <c r="M24" s="262"/>
      <c r="N24" s="261"/>
      <c r="O24" s="17"/>
      <c r="P24" s="261"/>
      <c r="Q24" s="17"/>
      <c r="R24" s="264"/>
      <c r="S24" s="265"/>
      <c r="T24" s="266"/>
      <c r="U24" s="266"/>
    </row>
    <row r="25">
      <c r="A25" s="255" t="str">
        <f>IFERROR(__xludf.DUMMYFUNCTION("""COMPUTED_VALUE"""),"NANO")</f>
        <v>NANO</v>
      </c>
      <c r="B25" s="23" t="str">
        <f>IFERROR(__xludf.DUMMYFUNCTION("""COMPUTED_VALUE"""),"mawarinddah")</f>
        <v>mawarinddah</v>
      </c>
      <c r="C25" s="257" t="str">
        <f>IFERROR(__xludf.DUMMYFUNCTION("""COMPUTED_VALUE"""),"https://www.tiktok.com/@mawarinddah")</f>
        <v>https://www.tiktok.com/@mawarinddah</v>
      </c>
      <c r="D25" s="25">
        <f>IFERROR(__xludf.DUMMYFUNCTION("""COMPUTED_VALUE"""),8.3853789141E10)</f>
        <v>83853789141</v>
      </c>
      <c r="E25" s="258">
        <f>IFERROR(__xludf.DUMMYFUNCTION("""COMPUTED_VALUE"""),0.0)</f>
        <v>0</v>
      </c>
      <c r="F25" s="25">
        <f>IFERROR(__xludf.DUMMYFUNCTION("""COMPUTED_VALUE"""),3.0)</f>
        <v>3</v>
      </c>
      <c r="G25" s="25" t="str">
        <f>IFERROR(__xludf.DUMMYFUNCTION("""COMPUTED_VALUE"""),"Rp5,7JT")</f>
        <v>Rp5,7JT</v>
      </c>
      <c r="H25" s="259" t="str">
        <f>IFERROR(__xludf.DUMMYFUNCTION("""COMPUTED_VALUE"""),"Skinboost Body Toner")</f>
        <v>Skinboost Body Toner</v>
      </c>
      <c r="I25" s="260" t="str">
        <f>IFERROR(__xludf.DUMMYFUNCTION("""COMPUTED_VALUE"""),"Sampai")</f>
        <v>Sampai</v>
      </c>
      <c r="J25" s="261" t="str">
        <f>IFERROR(__xludf.DUMMYFUNCTION("""COMPUTED_VALUE""")," Concept 1")</f>
        <v> Concept 1</v>
      </c>
      <c r="K25" s="278" t="str">
        <f>IFERROR(__xludf.DUMMYFUNCTION("""COMPUTED_VALUE"""),"https://vt.tiktok.com/ZS9GVyb1T/")</f>
        <v>https://vt.tiktok.com/ZS9GVyb1T/</v>
      </c>
      <c r="L25" s="261" t="str">
        <f>IFERROR(__xludf.DUMMYFUNCTION("""COMPUTED_VALUE""")," Concept 1")</f>
        <v> Concept 1</v>
      </c>
      <c r="M25" s="278" t="str">
        <f>IFERROR(__xludf.DUMMYFUNCTION("""COMPUTED_VALUE"""),"https://vt.tiktok.com/ZS97LJQN9/")</f>
        <v>https://vt.tiktok.com/ZS97LJQN9/</v>
      </c>
      <c r="N25" s="261" t="str">
        <f>IFERROR(__xludf.DUMMYFUNCTION("""COMPUTED_VALUE""")," Concept 1")</f>
        <v> Concept 1</v>
      </c>
      <c r="O25" s="279" t="str">
        <f>IFERROR(__xludf.DUMMYFUNCTION("""COMPUTED_VALUE"""),"https://vt.tiktok.com/ZSQ6KFAc1/")</f>
        <v>https://vt.tiktok.com/ZSQ6KFAc1/</v>
      </c>
      <c r="P25" s="261"/>
      <c r="Q25" s="17"/>
      <c r="R25" s="264">
        <f>IFERROR(__xludf.DUMMYFUNCTION("""COMPUTED_VALUE"""),709930.0)</f>
        <v>709930</v>
      </c>
      <c r="S25" s="265"/>
      <c r="T25" s="266">
        <f>IFERROR(__xludf.DUMMYFUNCTION("""COMPUTED_VALUE"""),1185892.81)</f>
        <v>1185892.81</v>
      </c>
      <c r="U25" s="266"/>
    </row>
    <row r="26">
      <c r="A26" s="255" t="str">
        <f>IFERROR(__xludf.DUMMYFUNCTION("""COMPUTED_VALUE"""),"MICRO")</f>
        <v>MICRO</v>
      </c>
      <c r="B26" s="23" t="str">
        <f>IFERROR(__xludf.DUMMYFUNCTION("""COMPUTED_VALUE"""),"lilyisnotflowerrr")</f>
        <v>lilyisnotflowerrr</v>
      </c>
      <c r="C26" s="257" t="str">
        <f>IFERROR(__xludf.DUMMYFUNCTION("""COMPUTED_VALUE"""),"https://www.tiktok.com/@lilyisnotflowerrr")</f>
        <v>https://www.tiktok.com/@lilyisnotflowerrr</v>
      </c>
      <c r="D26" s="25">
        <f>IFERROR(__xludf.DUMMYFUNCTION("""COMPUTED_VALUE"""),8.1222236202E10)</f>
        <v>81222236202</v>
      </c>
      <c r="E26" s="258">
        <f>IFERROR(__xludf.DUMMYFUNCTION("""COMPUTED_VALUE"""),600000.0)</f>
        <v>600000</v>
      </c>
      <c r="F26" s="25">
        <f>IFERROR(__xludf.DUMMYFUNCTION("""COMPUTED_VALUE"""),1.0)</f>
        <v>1</v>
      </c>
      <c r="G26" s="25" t="str">
        <f>IFERROR(__xludf.DUMMYFUNCTION("""COMPUTED_VALUE"""),"Rp947,6JT")</f>
        <v>Rp947,6JT</v>
      </c>
      <c r="H26" s="259" t="str">
        <f>IFERROR(__xludf.DUMMYFUNCTION("""COMPUTED_VALUE"""),"Facial Glowing Peeling Gel")</f>
        <v>Facial Glowing Peeling Gel</v>
      </c>
      <c r="I26" s="260" t="str">
        <f>IFERROR(__xludf.DUMMYFUNCTION("""COMPUTED_VALUE"""),"Done Req Sample")</f>
        <v>Done Req Sample</v>
      </c>
      <c r="J26" s="261"/>
      <c r="K26" s="262"/>
      <c r="L26" s="261"/>
      <c r="M26" s="262"/>
      <c r="N26" s="261"/>
      <c r="O26" s="17"/>
      <c r="P26" s="261"/>
      <c r="Q26" s="17"/>
      <c r="R26" s="264"/>
      <c r="S26" s="265"/>
      <c r="T26" s="266"/>
      <c r="U26" s="266"/>
    </row>
    <row r="27">
      <c r="A27" s="255" t="str">
        <f>IFERROR(__xludf.DUMMYFUNCTION("""COMPUTED_VALUE"""),"NANO")</f>
        <v>NANO</v>
      </c>
      <c r="B27" s="23" t="str">
        <f>IFERROR(__xludf.DUMMYFUNCTION("""COMPUTED_VALUE"""),"ariantiw_")</f>
        <v>ariantiw_</v>
      </c>
      <c r="C27" s="257" t="str">
        <f>IFERROR(__xludf.DUMMYFUNCTION("""COMPUTED_VALUE"""),"https://www.tiktok.com/@ariantiw_")</f>
        <v>https://www.tiktok.com/@ariantiw_</v>
      </c>
      <c r="D27" s="25">
        <f>IFERROR(__xludf.DUMMYFUNCTION("""COMPUTED_VALUE"""),8.9695237529E10)</f>
        <v>89695237529</v>
      </c>
      <c r="E27" s="269">
        <f>IFERROR(__xludf.DUMMYFUNCTION("""COMPUTED_VALUE"""),0.0)</f>
        <v>0</v>
      </c>
      <c r="F27" s="25">
        <f>IFERROR(__xludf.DUMMYFUNCTION("""COMPUTED_VALUE"""),3.0)</f>
        <v>3</v>
      </c>
      <c r="G27" s="25" t="str">
        <f>IFERROR(__xludf.DUMMYFUNCTION("""COMPUTED_VALUE"""),"Rp65,8JT")</f>
        <v>Rp65,8JT</v>
      </c>
      <c r="H27" s="259" t="str">
        <f>IFERROR(__xludf.DUMMYFUNCTION("""COMPUTED_VALUE"""),"Facial Glowing Peeling Gel")</f>
        <v>Facial Glowing Peeling Gel</v>
      </c>
      <c r="I27" s="260" t="str">
        <f>IFERROR(__xludf.DUMMYFUNCTION("""COMPUTED_VALUE"""),"Sampai")</f>
        <v>Sampai</v>
      </c>
      <c r="J27" s="261" t="str">
        <f>IFERROR(__xludf.DUMMYFUNCTION("""COMPUTED_VALUE"""),"Concept 2")</f>
        <v>Concept 2</v>
      </c>
      <c r="K27" s="278" t="str">
        <f>IFERROR(__xludf.DUMMYFUNCTION("""COMPUTED_VALUE"""),"https://vt.tiktok.com/ZS9qk4LoF/")</f>
        <v>https://vt.tiktok.com/ZS9qk4LoF/</v>
      </c>
      <c r="L27" s="261" t="str">
        <f>IFERROR(__xludf.DUMMYFUNCTION("""COMPUTED_VALUE"""),"Concept 2")</f>
        <v>Concept 2</v>
      </c>
      <c r="M27" s="278" t="str">
        <f>IFERROR(__xludf.DUMMYFUNCTION("""COMPUTED_VALUE"""),"https://vt.tiktok.com/ZS9qkbuuF/")</f>
        <v>https://vt.tiktok.com/ZS9qkbuuF/</v>
      </c>
      <c r="N27" s="261" t="str">
        <f>IFERROR(__xludf.DUMMYFUNCTION("""COMPUTED_VALUE"""),"Concept 2")</f>
        <v>Concept 2</v>
      </c>
      <c r="O27" s="279" t="str">
        <f>IFERROR(__xludf.DUMMYFUNCTION("""COMPUTED_VALUE"""),"https://vt.tiktok.com/ZS9qk4LoF/ ")</f>
        <v>https://vt.tiktok.com/ZS9qk4LoF/ </v>
      </c>
      <c r="P27" s="261"/>
      <c r="Q27" s="17"/>
      <c r="R27" s="264"/>
      <c r="S27" s="265"/>
      <c r="T27" s="266"/>
      <c r="U27" s="266"/>
    </row>
    <row r="28">
      <c r="A28" s="255" t="str">
        <f>IFERROR(__xludf.DUMMYFUNCTION("""COMPUTED_VALUE"""),"NANO")</f>
        <v>NANO</v>
      </c>
      <c r="B28" s="23" t="str">
        <f>IFERROR(__xludf.DUMMYFUNCTION("""COMPUTED_VALUE"""),"infopromoaja")</f>
        <v>infopromoaja</v>
      </c>
      <c r="C28" s="257" t="str">
        <f>IFERROR(__xludf.DUMMYFUNCTION("""COMPUTED_VALUE"""),"https://www.tiktok.com/@infopromoaja")</f>
        <v>https://www.tiktok.com/@infopromoaja</v>
      </c>
      <c r="D28" s="25">
        <f>IFERROR(__xludf.DUMMYFUNCTION("""COMPUTED_VALUE"""),8.95418207454E11)</f>
        <v>895418207454</v>
      </c>
      <c r="E28" s="258">
        <f>IFERROR(__xludf.DUMMYFUNCTION("""COMPUTED_VALUE"""),0.0)</f>
        <v>0</v>
      </c>
      <c r="F28" s="25">
        <f>IFERROR(__xludf.DUMMYFUNCTION("""COMPUTED_VALUE"""),3.0)</f>
        <v>3</v>
      </c>
      <c r="G28" s="25" t="str">
        <f>IFERROR(__xludf.DUMMYFUNCTION("""COMPUTED_VALUE"""),"Rp42,9JT")</f>
        <v>Rp42,9JT</v>
      </c>
      <c r="H28" s="259" t="str">
        <f>IFERROR(__xludf.DUMMYFUNCTION("""COMPUTED_VALUE"""),"Facial Glowing Peeling Gel")</f>
        <v>Facial Glowing Peeling Gel</v>
      </c>
      <c r="I28" s="260" t="str">
        <f>IFERROR(__xludf.DUMMYFUNCTION("""COMPUTED_VALUE"""),"Sampai")</f>
        <v>Sampai</v>
      </c>
      <c r="J28" s="261" t="str">
        <f>IFERROR(__xludf.DUMMYFUNCTION("""COMPUTED_VALUE"""),"Concept 2")</f>
        <v>Concept 2</v>
      </c>
      <c r="K28" s="278" t="str">
        <f>IFERROR(__xludf.DUMMYFUNCTION("""COMPUTED_VALUE"""),"https://vt.tiktok.com/ZS9KSfvpB/")</f>
        <v>https://vt.tiktok.com/ZS9KSfvpB/</v>
      </c>
      <c r="L28" s="261" t="str">
        <f>IFERROR(__xludf.DUMMYFUNCTION("""COMPUTED_VALUE"""),"Concept 2")</f>
        <v>Concept 2</v>
      </c>
      <c r="M28" s="278" t="str">
        <f>IFERROR(__xludf.DUMMYFUNCTION("""COMPUTED_VALUE"""),"https://vt.tiktok.com/ZS9KSf2Bd/")</f>
        <v>https://vt.tiktok.com/ZS9KSf2Bd/</v>
      </c>
      <c r="N28" s="261" t="str">
        <f>IFERROR(__xludf.DUMMYFUNCTION("""COMPUTED_VALUE"""),"Concept 2")</f>
        <v>Concept 2</v>
      </c>
      <c r="O28" s="279" t="str">
        <f>IFERROR(__xludf.DUMMYFUNCTION("""COMPUTED_VALUE"""),"https://vt.tiktok.com/ZS9KSD6Xu/")</f>
        <v>https://vt.tiktok.com/ZS9KSD6Xu/</v>
      </c>
      <c r="P28" s="261" t="str">
        <f>IFERROR(__xludf.DUMMYFUNCTION("""COMPUTED_VALUE"""),"Concept 2")</f>
        <v>Concept 2</v>
      </c>
      <c r="Q28" s="279" t="str">
        <f>IFERROR(__xludf.DUMMYFUNCTION("""COMPUTED_VALUE"""),"https://www.tiktok.com/@infopromoaja/video/7639252268398726417?_r=1&amp;u_code=f0j3bk1fa00ii3&amp;region=&amp;mid=7617377616906980117&amp;preview_pb=0&amp;sharer_language=&amp;_d=0&amp;ec_shared_reflux_dynamic_params=%7B%22placeholder_material_id%22%3A%227639252268398726417%22%2C%22"&amp;"placeholder_origin_cover%22%3A%22https%253A%252F%252Fp16-common-sign.tiktokcdn.com%252Ftos-alisg-p-0037%252FocgbIUkIfCCfGAjWJggAgLIDYJGtICEQReQRx4~tplv-tiktokx-origin.jpeg%253Fdr%253D14572%2526refresh_token%253D18307052%2526x-expires%253D1810202400%2526x-"&amp;"signature%253DWkH8%25252FQmEHyW1k5KA8NaWJ8Zqi5s%25253D%2526t%253D4d5b0474%2526ps%253D13740610%2526shp%253Dd05b14bd%2526shcp%253D34ff8df6%2526idc%253Dmy2%2526s%253DTIKTOK_AFFILIATE_VIRAL_VIDEO%22%2C%22placeholder_product_id%22%3A%221729384958349379329%22%2"&amp;"C%22placeholder_video_id%22%3A%227639252268398726417%22%7D&amp;ec_shared_reflux_scene=shop_tab_feed&amp;share_item_id=7639252268398726417&amp;source=h5_t")</f>
        <v>https://www.tiktok.com/@infopromoaja/video/7639252268398726417?_r=1&amp;u_code=f0j3bk1fa00ii3&amp;region=&amp;mid=7617377616906980117&amp;preview_pb=0&amp;sharer_language=&amp;_d=0&amp;ec_shared_reflux_dynamic_params=%7B%22placeholder_material_id%22%3A%227639252268398726417%22%2C%22placeholder_origin_cover%22%3A%22https%253A%252F%252Fp16-common-sign.tiktokcdn.com%252Ftos-alisg-p-0037%252FocgbIUkIfCCfGAjWJggAgLIDYJGtICEQReQRx4~tplv-tiktokx-origin.jpeg%253Fdr%253D14572%2526refresh_token%253D18307052%2526x-expires%253D1810202400%2526x-signature%253DWkH8%25252FQmEHyW1k5KA8NaWJ8Zqi5s%25253D%2526t%253D4d5b0474%2526ps%253D13740610%2526shp%253Dd05b14bd%2526shcp%253D34ff8df6%2526idc%253Dmy2%2526s%253DTIKTOK_AFFILIATE_VIRAL_VIDEO%22%2C%22placeholder_product_id%22%3A%221729384958349379329%22%2C%22placeholder_video_id%22%3A%227639252268398726417%22%7D&amp;ec_shared_reflux_scene=shop_tab_feed&amp;share_item_id=7639252268398726417&amp;source=h5_t</v>
      </c>
      <c r="R28" s="264">
        <f>IFERROR(__xludf.DUMMYFUNCTION("""COMPUTED_VALUE"""),259444.0)</f>
        <v>259444</v>
      </c>
      <c r="S28" s="265"/>
      <c r="T28" s="266"/>
      <c r="U28" s="266"/>
    </row>
    <row r="29">
      <c r="A29" s="255" t="str">
        <f>IFERROR(__xludf.DUMMYFUNCTION("""COMPUTED_VALUE"""),"NANO")</f>
        <v>NANO</v>
      </c>
      <c r="B29" s="23" t="str">
        <f>IFERROR(__xludf.DUMMYFUNCTION("""COMPUTED_VALUE"""),"vernikaariani")</f>
        <v>vernikaariani</v>
      </c>
      <c r="C29" s="257" t="str">
        <f>IFERROR(__xludf.DUMMYFUNCTION("""COMPUTED_VALUE"""),"https://www.tiktok.com/@vernikaariani")</f>
        <v>https://www.tiktok.com/@vernikaariani</v>
      </c>
      <c r="D29" s="25">
        <f>IFERROR(__xludf.DUMMYFUNCTION("""COMPUTED_VALUE"""),8.5326728022E10)</f>
        <v>85326728022</v>
      </c>
      <c r="E29" s="258">
        <f>IFERROR(__xludf.DUMMYFUNCTION("""COMPUTED_VALUE"""),0.0)</f>
        <v>0</v>
      </c>
      <c r="F29" s="25">
        <f>IFERROR(__xludf.DUMMYFUNCTION("""COMPUTED_VALUE"""),2.0)</f>
        <v>2</v>
      </c>
      <c r="G29" s="25" t="str">
        <f>IFERROR(__xludf.DUMMYFUNCTION("""COMPUTED_VALUE"""),"Rp4,1JT")</f>
        <v>Rp4,1JT</v>
      </c>
      <c r="H29" s="259" t="str">
        <f>IFERROR(__xludf.DUMMYFUNCTION("""COMPUTED_VALUE"""),"Skinboost Body Toner")</f>
        <v>Skinboost Body Toner</v>
      </c>
      <c r="I29" s="260" t="str">
        <f>IFERROR(__xludf.DUMMYFUNCTION("""COMPUTED_VALUE"""),"Sampai")</f>
        <v>Sampai</v>
      </c>
      <c r="J29" s="261" t="str">
        <f>IFERROR(__xludf.DUMMYFUNCTION("""COMPUTED_VALUE"""),"Concept 2")</f>
        <v>Concept 2</v>
      </c>
      <c r="K29" s="278" t="str">
        <f>IFERROR(__xludf.DUMMYFUNCTION("""COMPUTED_VALUE"""),"https://vt.tiktok.com/ZS9pRHmUm/")</f>
        <v>https://vt.tiktok.com/ZS9pRHmUm/</v>
      </c>
      <c r="L29" s="261" t="str">
        <f>IFERROR(__xludf.DUMMYFUNCTION("""COMPUTED_VALUE"""),"Concept 2")</f>
        <v>Concept 2</v>
      </c>
      <c r="M29" s="278" t="str">
        <f>IFERROR(__xludf.DUMMYFUNCTION("""COMPUTED_VALUE"""),"https://www.tiktok.com/@vernikaariani/video/7637142188048272660?_r=1&amp;u_code=dbl1j1l79c2ag5&amp;region=&amp;mid=7559095724965922832&amp;preview_pb=0&amp;sharer_language=&amp;_d=0&amp;ec_shared_reflux_dynamic_params=%7B%22placeholder_material_id%22%3A%227637142188048272660%22%2C%2"&amp;"2placeholder_origin_cover%22%3A%22https%253A%252F%252Fp16-common-sign.tiktokcdn.com%252Ftos-alisg-p-0037%252FoIGyNBfBIAq0i4AC5Ali2AT3LInIwciV08ACFv~tplv-tiktokx-origin.jpeg%253Fdr%253D14572%2526refresh_token%253Df8c3e3a9%2526x-expires%253D1810008000%2526x"&amp;"-signature%253Dq0Ezmuu%25252Bt0Q%25252FxMzdJC%25252Be1r6B2C4%25253D%2526t%253D4d5b0474%2526ps%253D13740610%2526shp%253Dd05b14bd%2526shcp%253D34ff8df6%2526idc%253Dmy%2526s%253DTIKTOK_AFFILIATE_VIRAL_VIDEO%22%2C%22placeholder_product_id%22%3A%22172955799588"&amp;"6774017%22%2C%22placeholder_video_id%22%3A%227637142188048272660%22%7D&amp;ec_shared_reflux_scene=shop_tab_feed&amp;share_item_id=7637142188048272660&amp;source=h5_t")</f>
        <v>https://www.tiktok.com/@vernikaariani/video/7637142188048272660?_r=1&amp;u_code=dbl1j1l79c2ag5&amp;region=&amp;mid=7559095724965922832&amp;preview_pb=0&amp;sharer_language=&amp;_d=0&amp;ec_shared_reflux_dynamic_params=%7B%22placeholder_material_id%22%3A%227637142188048272660%22%2C%22placeholder_origin_cover%22%3A%22https%253A%252F%252Fp16-common-sign.tiktokcdn.com%252Ftos-alisg-p-0037%252FoIGyNBfBIAq0i4AC5Ali2AT3LInIwciV08ACFv~tplv-tiktokx-origin.jpeg%253Fdr%253D14572%2526refresh_token%253Df8c3e3a9%2526x-expires%253D1810008000%2526x-signature%253Dq0Ezmuu%25252Bt0Q%25252FxMzdJC%25252Be1r6B2C4%25253D%2526t%253D4d5b0474%2526ps%253D13740610%2526shp%253Dd05b14bd%2526shcp%253D34ff8df6%2526idc%253Dmy%2526s%253DTIKTOK_AFFILIATE_VIRAL_VIDEO%22%2C%22placeholder_product_id%22%3A%221729557995886774017%22%2C%22placeholder_video_id%22%3A%227637142188048272660%22%7D&amp;ec_shared_reflux_scene=shop_tab_feed&amp;share_item_id=7637142188048272660&amp;source=h5_t</v>
      </c>
      <c r="N29" s="261" t="str">
        <f>IFERROR(__xludf.DUMMYFUNCTION("""COMPUTED_VALUE"""),"Concept 2")</f>
        <v>Concept 2</v>
      </c>
      <c r="O29" s="279" t="str">
        <f>IFERROR(__xludf.DUMMYFUNCTION("""COMPUTED_VALUE"""),"https://www.tiktok.com/@vernikaariani/video/7637781697005849876?_r=1&amp;u_code=dbl1j1l79c2ag5&amp;region=&amp;mid=7406153125789157393&amp;preview_pb=0&amp;sharer_language=&amp;_d=0&amp;ec_shared_reflux_dynamic_params=%7B%22placeholder_material_id%22%3A%227637781697005849876%22%2C%2"&amp;"2placeholder_origin_cover%22%3A%22https%253A%252F%252Fp16-common-sign.tiktokcdn.com%252Ftos-alisg-p-0037%252FogFmAhrTfAMkDJvCE43tnjtCo79fQfrvIJuAQD~tplv-tiktokx-origin.jpeg%253Fdr%253D14572%2526refresh_token%253D058e2a99%2526x-expires%253D1810008000%2526x"&amp;"-signature%253DAlo61o4yNeOF7bt9%25252F92nI0CmPaA%25253D%2526t%253D4d5b0474%2526ps%253D13740610%2526shp%253Dd05b14bd%2526shcp%253D34ff8df6%2526idc%253Dmy%2526s%253DTIKTOK_AFFILIATE_VIRAL_VIDEO%22%2C%22placeholder_product_id%22%3A%221729783568527361793%22%2"&amp;"C%22placeholder_video_id%22%3A%227637781697005849876%22%7D&amp;ec_shared_reflux_scene=shop_tab_feed&amp;share_item_id=7637781697005849876&amp;source=h5_t")</f>
        <v>https://www.tiktok.com/@vernikaariani/video/7637781697005849876?_r=1&amp;u_code=dbl1j1l79c2ag5&amp;region=&amp;mid=7406153125789157393&amp;preview_pb=0&amp;sharer_language=&amp;_d=0&amp;ec_shared_reflux_dynamic_params=%7B%22placeholder_material_id%22%3A%227637781697005849876%22%2C%22placeholder_origin_cover%22%3A%22https%253A%252F%252Fp16-common-sign.tiktokcdn.com%252Ftos-alisg-p-0037%252FogFmAhrTfAMkDJvCE43tnjtCo79fQfrvIJuAQD~tplv-tiktokx-origin.jpeg%253Fdr%253D14572%2526refresh_token%253D058e2a99%2526x-expires%253D1810008000%2526x-signature%253DAlo61o4yNeOF7bt9%25252F92nI0CmPaA%25253D%2526t%253D4d5b0474%2526ps%253D13740610%2526shp%253Dd05b14bd%2526shcp%253D34ff8df6%2526idc%253Dmy%2526s%253DTIKTOK_AFFILIATE_VIRAL_VIDEO%22%2C%22placeholder_product_id%22%3A%221729783568527361793%22%2C%22placeholder_video_id%22%3A%227637781697005849876%22%7D&amp;ec_shared_reflux_scene=shop_tab_feed&amp;share_item_id=7637781697005849876&amp;source=h5_t</v>
      </c>
      <c r="P29" s="261" t="str">
        <f>IFERROR(__xludf.DUMMYFUNCTION("""COMPUTED_VALUE"""),"Concept 2")</f>
        <v>Concept 2</v>
      </c>
      <c r="Q29" s="279" t="str">
        <f>IFERROR(__xludf.DUMMYFUNCTION("""COMPUTED_VALUE"""),"https://www.tiktok.com/@vernikaariani/video/7638168825225071892?_r=1&amp;u_code=dbl1j1l79c2ag5&amp;region=&amp;mid=7390591004217214992&amp;preview_pb=0&amp;sharer_language=&amp;_d=0&amp;ec_shared_reflux_dynamic_params=%7B%22placeholder_material_id%22%3A%227638168825225071892%22%2C%2"&amp;"2placeholder_origin_cover%22%3A%22https%253A%252F%252Fp16-common-sign.tiktokcdn.com%252Ftos-alisg-p-0037%252FoEwm8iB11ATwOdZxABAbE9NAiBzIqIfIhCDxAw~tplv-tiktokx-origin.jpeg%253Fdr%253D14572%2526refresh_token%253Dd1e4da3b%2526x-expires%253D1810008000%2526x"&amp;"-signature%253D%25252BIZUSWxkDg%25252FJnyHGNCWuYAMv8%25252FI%25253D%2526t%253D4d5b0474%2526ps%253D13740610%2526shp%253Dd05b14bd%2526shcp%253D34ff8df6%2526idc%253Dmy%2526s%253DTIKTOK_AFFILIATE_VIRAL_VIDEO%22%2C%22placeholder_product_id%22%3A%22172978356852"&amp;"7361793%22%2C%22placeholder_video_id%22%3A%227638168825225071892%22%7D&amp;ec_shared_reflux_scene=shop_tab_feed&amp;share_item_id=7638168825225071892&amp;source=h5_t")</f>
        <v>https://www.tiktok.com/@vernikaariani/video/7638168825225071892?_r=1&amp;u_code=dbl1j1l79c2ag5&amp;region=&amp;mid=7390591004217214992&amp;preview_pb=0&amp;sharer_language=&amp;_d=0&amp;ec_shared_reflux_dynamic_params=%7B%22placeholder_material_id%22%3A%227638168825225071892%22%2C%22placeholder_origin_cover%22%3A%22https%253A%252F%252Fp16-common-sign.tiktokcdn.com%252Ftos-alisg-p-0037%252FoEwm8iB11ATwOdZxABAbE9NAiBzIqIfIhCDxAw~tplv-tiktokx-origin.jpeg%253Fdr%253D14572%2526refresh_token%253Dd1e4da3b%2526x-expires%253D1810008000%2526x-signature%253D%25252BIZUSWxkDg%25252FJnyHGNCWuYAMv8%25252FI%25253D%2526t%253D4d5b0474%2526ps%253D13740610%2526shp%253Dd05b14bd%2526shcp%253D34ff8df6%2526idc%253Dmy%2526s%253DTIKTOK_AFFILIATE_VIRAL_VIDEO%22%2C%22placeholder_product_id%22%3A%221729783568527361793%22%2C%22placeholder_video_id%22%3A%227638168825225071892%22%7D&amp;ec_shared_reflux_scene=shop_tab_feed&amp;share_item_id=7638168825225071892&amp;source=h5_t</v>
      </c>
      <c r="R29" s="264"/>
      <c r="S29" s="265"/>
      <c r="T29" s="266"/>
      <c r="U29" s="266"/>
    </row>
    <row r="30">
      <c r="A30" s="255" t="str">
        <f>IFERROR(__xludf.DUMMYFUNCTION("""COMPUTED_VALUE"""),"NANO")</f>
        <v>NANO</v>
      </c>
      <c r="B30" s="256" t="str">
        <f>IFERROR(__xludf.DUMMYFUNCTION("""COMPUTED_VALUE"""),"mrsrepiew")</f>
        <v>mrsrepiew</v>
      </c>
      <c r="C30" s="257" t="str">
        <f>IFERROR(__xludf.DUMMYFUNCTION("""COMPUTED_VALUE"""),"https://www.tiktok.com/@mrsrepiew")</f>
        <v>https://www.tiktok.com/@mrsrepiew</v>
      </c>
      <c r="D30" s="25">
        <f>IFERROR(__xludf.DUMMYFUNCTION("""COMPUTED_VALUE"""),8.5336219873E10)</f>
        <v>85336219873</v>
      </c>
      <c r="E30" s="258">
        <f>IFERROR(__xludf.DUMMYFUNCTION("""COMPUTED_VALUE"""),300000.0)</f>
        <v>300000</v>
      </c>
      <c r="F30" s="25">
        <f>IFERROR(__xludf.DUMMYFUNCTION("""COMPUTED_VALUE"""),1.0)</f>
        <v>1</v>
      </c>
      <c r="G30" s="25" t="str">
        <f>IFERROR(__xludf.DUMMYFUNCTION("""COMPUTED_VALUE"""),"Rp129,7JT")</f>
        <v>Rp129,7JT</v>
      </c>
      <c r="H30" s="259" t="str">
        <f>IFERROR(__xludf.DUMMYFUNCTION("""COMPUTED_VALUE"""),"Facial Glowing Peeling Gel")</f>
        <v>Facial Glowing Peeling Gel</v>
      </c>
      <c r="I30" s="260" t="str">
        <f>IFERROR(__xludf.DUMMYFUNCTION("""COMPUTED_VALUE"""),"Done Req Sample")</f>
        <v>Done Req Sample</v>
      </c>
      <c r="J30" s="261"/>
      <c r="K30" s="262"/>
      <c r="L30" s="261"/>
      <c r="M30" s="262"/>
      <c r="N30" s="261"/>
      <c r="O30" s="17"/>
      <c r="P30" s="261"/>
      <c r="Q30" s="17"/>
      <c r="R30" s="264"/>
      <c r="S30" s="265"/>
      <c r="T30" s="266"/>
      <c r="U30" s="266"/>
    </row>
    <row r="31">
      <c r="A31" s="255" t="str">
        <f>IFERROR(__xludf.DUMMYFUNCTION("""COMPUTED_VALUE"""),"MICRO")</f>
        <v>MICRO</v>
      </c>
      <c r="B31" s="23" t="str">
        <f>IFERROR(__xludf.DUMMYFUNCTION("""COMPUTED_VALUE"""),"myname_hana")</f>
        <v>myname_hana</v>
      </c>
      <c r="C31" s="257" t="str">
        <f>IFERROR(__xludf.DUMMYFUNCTION("""COMPUTED_VALUE"""),"https://www.tiktok.com/@myname_hana")</f>
        <v>https://www.tiktok.com/@myname_hana</v>
      </c>
      <c r="D31" s="25">
        <f>IFERROR(__xludf.DUMMYFUNCTION("""COMPUTED_VALUE"""),8.9522021147E10)</f>
        <v>89522021147</v>
      </c>
      <c r="E31" s="269">
        <f>IFERROR(__xludf.DUMMYFUNCTION("""COMPUTED_VALUE"""),0.0)</f>
        <v>0</v>
      </c>
      <c r="F31" s="25">
        <f>IFERROR(__xludf.DUMMYFUNCTION("""COMPUTED_VALUE"""),2.0)</f>
        <v>2</v>
      </c>
      <c r="G31" s="25" t="str">
        <f>IFERROR(__xludf.DUMMYFUNCTION("""COMPUTED_VALUE"""),"Rp4,4JT")</f>
        <v>Rp4,4JT</v>
      </c>
      <c r="H31" s="259" t="str">
        <f>IFERROR(__xludf.DUMMYFUNCTION("""COMPUTED_VALUE"""),"Skinboost Body Toner")</f>
        <v>Skinboost Body Toner</v>
      </c>
      <c r="I31" s="260" t="str">
        <f>IFERROR(__xludf.DUMMYFUNCTION("""COMPUTED_VALUE"""),"Sampai")</f>
        <v>Sampai</v>
      </c>
      <c r="J31" s="261" t="str">
        <f>IFERROR(__xludf.DUMMYFUNCTION("""COMPUTED_VALUE"""),"Concept 3")</f>
        <v>Concept 3</v>
      </c>
      <c r="K31" s="278" t="str">
        <f>IFERROR(__xludf.DUMMYFUNCTION("""COMPUTED_VALUE"""),"https://vt.tiktok.com/ZS9XqJtnN/")</f>
        <v>https://vt.tiktok.com/ZS9XqJtnN/</v>
      </c>
      <c r="L31" s="261" t="str">
        <f>IFERROR(__xludf.DUMMYFUNCTION("""COMPUTED_VALUE"""),"Concept 3")</f>
        <v>Concept 3</v>
      </c>
      <c r="M31" s="278" t="str">
        <f>IFERROR(__xludf.DUMMYFUNCTION("""COMPUTED_VALUE"""),"https://vt.tiktok.com/ZS9XVEA8k/")</f>
        <v>https://vt.tiktok.com/ZS9XVEA8k/</v>
      </c>
      <c r="N31" s="261"/>
      <c r="O31" s="17"/>
      <c r="P31" s="261"/>
      <c r="Q31" s="17"/>
      <c r="R31" s="264"/>
      <c r="S31" s="265"/>
      <c r="T31" s="266"/>
      <c r="U31" s="266"/>
    </row>
    <row r="32">
      <c r="A32" s="255" t="str">
        <f>IFERROR(__xludf.DUMMYFUNCTION("""COMPUTED_VALUE"""),"NANO")</f>
        <v>NANO</v>
      </c>
      <c r="B32" s="23" t="str">
        <f>IFERROR(__xludf.DUMMYFUNCTION("""COMPUTED_VALUE"""),"dreamm.png")</f>
        <v>dreamm.png</v>
      </c>
      <c r="C32" s="257" t="str">
        <f>IFERROR(__xludf.DUMMYFUNCTION("""COMPUTED_VALUE"""),"https://www.tiktok.com/@dreamm.png")</f>
        <v>https://www.tiktok.com/@dreamm.png</v>
      </c>
      <c r="D32" s="25">
        <f>IFERROR(__xludf.DUMMYFUNCTION("""COMPUTED_VALUE"""),8.5926503288E10)</f>
        <v>85926503288</v>
      </c>
      <c r="E32" s="258">
        <f>IFERROR(__xludf.DUMMYFUNCTION("""COMPUTED_VALUE"""),0.0)</f>
        <v>0</v>
      </c>
      <c r="F32" s="25">
        <f>IFERROR(__xludf.DUMMYFUNCTION("""COMPUTED_VALUE"""),2.0)</f>
        <v>2</v>
      </c>
      <c r="G32" s="25" t="str">
        <f>IFERROR(__xludf.DUMMYFUNCTION("""COMPUTED_VALUE"""),"Rp18,5JT")</f>
        <v>Rp18,5JT</v>
      </c>
      <c r="H32" s="259" t="str">
        <f>IFERROR(__xludf.DUMMYFUNCTION("""COMPUTED_VALUE"""),"Skinboost Body Toner")</f>
        <v>Skinboost Body Toner</v>
      </c>
      <c r="I32" s="260" t="str">
        <f>IFERROR(__xludf.DUMMYFUNCTION("""COMPUTED_VALUE"""),"Sampai")</f>
        <v>Sampai</v>
      </c>
      <c r="J32" s="261" t="str">
        <f>IFERROR(__xludf.DUMMYFUNCTION("""COMPUTED_VALUE""")," Concept 1")</f>
        <v> Concept 1</v>
      </c>
      <c r="K32" s="280" t="str">
        <f>IFERROR(__xludf.DUMMYFUNCTION("""COMPUTED_VALUE"""),"https://vt.tiktok.com/ZS9qgL35h/")</f>
        <v>https://vt.tiktok.com/ZS9qgL35h/</v>
      </c>
      <c r="L32" s="261" t="str">
        <f>IFERROR(__xludf.DUMMYFUNCTION("""COMPUTED_VALUE""")," Concept 1")</f>
        <v> Concept 1</v>
      </c>
      <c r="M32" s="280" t="str">
        <f>IFERROR(__xludf.DUMMYFUNCTION("""COMPUTED_VALUE"""),"https://www.tiktok.com/@dreamm.png/video/7638142487810428168?_r=1&amp;u_code=e36al7997c2gli&amp;region=&amp;mid=7632536758063909648&amp;preview_pb=0&amp;sharer_language=&amp;_d=0&amp;ec_shared_reflux_dynamic_params=%7B%22placeholder_material_id%22%3A%227638142487810428168%22%2C%22pl"&amp;"aceholder_origin_cover%22%3A%22https%253A%252F%252Fp16-common-sign.tiktokcdn.com%252Ftos-alisg-p-0037%252FoIXNudiIIAw1SiAfHIiqAy0wmiD7vCAdBABIBz~tplv-tiktokx-origin.jpeg%253Fdr%253D14572%2526refresh_token%253D5a900e5e%2526x-expires%253D1810612800%2526x-si"&amp;"gnature%253DDArl5FOH%25252BcY4oImnZfU7MC14sMk%25253D%2526t%253D4d5b0474%2526ps%253D13740610%2526shp%253Dd05b14bd%2526shcp%253D34ff8df6%2526idc%253Dmy3%2526s%253DTIKTOK_AFFILIATE_VIRAL_VIDEO%22%2C%22placeholder_product_id%22%3A%221729557995886774017%22%2C%"&amp;"22placeholder_video_id%22%3A%227638142487810428168%22%7D&amp;ec_shared_reflux_scene=shop_tab_feed&amp;share_item_id=7638142487810428168&amp;source=h5_t")</f>
        <v>https://www.tiktok.com/@dreamm.png/video/7638142487810428168?_r=1&amp;u_code=e36al7997c2gli&amp;region=&amp;mid=7632536758063909648&amp;preview_pb=0&amp;sharer_language=&amp;_d=0&amp;ec_shared_reflux_dynamic_params=%7B%22placeholder_material_id%22%3A%227638142487810428168%22%2C%22placeholder_origin_cover%22%3A%22https%253A%252F%252Fp16-common-sign.tiktokcdn.com%252Ftos-alisg-p-0037%252FoIXNudiIIAw1SiAfHIiqAy0wmiD7vCAdBABIBz~tplv-tiktokx-origin.jpeg%253Fdr%253D14572%2526refresh_token%253D5a900e5e%2526x-expires%253D1810612800%2526x-signature%253DDArl5FOH%25252BcY4oImnZfU7MC14sMk%25253D%2526t%253D4d5b0474%2526ps%253D13740610%2526shp%253Dd05b14bd%2526shcp%253D34ff8df6%2526idc%253Dmy3%2526s%253DTIKTOK_AFFILIATE_VIRAL_VIDEO%22%2C%22placeholder_product_id%22%3A%221729557995886774017%22%2C%22placeholder_video_id%22%3A%227638142487810428168%22%7D&amp;ec_shared_reflux_scene=shop_tab_feed&amp;share_item_id=7638142487810428168&amp;source=h5_t</v>
      </c>
      <c r="N32" s="261"/>
      <c r="O32" s="17"/>
      <c r="P32" s="261"/>
      <c r="Q32" s="17"/>
      <c r="R32" s="264">
        <f>IFERROR(__xludf.DUMMYFUNCTION("""COMPUTED_VALUE"""),142032.0)</f>
        <v>142032</v>
      </c>
      <c r="S32" s="265"/>
      <c r="T32" s="266">
        <f>IFERROR(__xludf.DUMMYFUNCTION("""COMPUTED_VALUE"""),1929269.7799999998)</f>
        <v>1929269.78</v>
      </c>
      <c r="U32" s="266"/>
    </row>
    <row r="33">
      <c r="A33" s="255" t="str">
        <f>IFERROR(__xludf.DUMMYFUNCTION("""COMPUTED_VALUE"""),"MICRO")</f>
        <v>MICRO</v>
      </c>
      <c r="B33" s="23" t="str">
        <f>IFERROR(__xludf.DUMMYFUNCTION("""COMPUTED_VALUE"""),"delladewintaaa")</f>
        <v>delladewintaaa</v>
      </c>
      <c r="C33" s="257" t="str">
        <f>IFERROR(__xludf.DUMMYFUNCTION("""COMPUTED_VALUE"""),"https://www.tiktok.com/@delladewintaaa")</f>
        <v>https://www.tiktok.com/@delladewintaaa</v>
      </c>
      <c r="D33" s="25">
        <f>IFERROR(__xludf.DUMMYFUNCTION("""COMPUTED_VALUE"""),8.5793590723E10)</f>
        <v>85793590723</v>
      </c>
      <c r="E33" s="258">
        <f>IFERROR(__xludf.DUMMYFUNCTION("""COMPUTED_VALUE"""),0.0)</f>
        <v>0</v>
      </c>
      <c r="F33" s="25">
        <f>IFERROR(__xludf.DUMMYFUNCTION("""COMPUTED_VALUE"""),2.0)</f>
        <v>2</v>
      </c>
      <c r="G33" s="25" t="str">
        <f>IFERROR(__xludf.DUMMYFUNCTION("""COMPUTED_VALUE"""),"Rp1JT+")</f>
        <v>Rp1JT+</v>
      </c>
      <c r="H33" s="259" t="str">
        <f>IFERROR(__xludf.DUMMYFUNCTION("""COMPUTED_VALUE"""),"Skinboost Body Toner")</f>
        <v>Skinboost Body Toner</v>
      </c>
      <c r="I33" s="260" t="str">
        <f>IFERROR(__xludf.DUMMYFUNCTION("""COMPUTED_VALUE"""),"Sampai")</f>
        <v>Sampai</v>
      </c>
      <c r="J33" s="261" t="str">
        <f>IFERROR(__xludf.DUMMYFUNCTION("""COMPUTED_VALUE"""),"Concept 3")</f>
        <v>Concept 3</v>
      </c>
      <c r="K33" s="278" t="str">
        <f>IFERROR(__xludf.DUMMYFUNCTION("""COMPUTED_VALUE"""),"https://vt.tiktok.com/ZSxQNCCCk/")</f>
        <v>https://vt.tiktok.com/ZSxQNCCCk/</v>
      </c>
      <c r="L33" s="261" t="str">
        <f>IFERROR(__xludf.DUMMYFUNCTION("""COMPUTED_VALUE"""),"Concept 3")</f>
        <v>Concept 3</v>
      </c>
      <c r="M33" s="278" t="str">
        <f>IFERROR(__xludf.DUMMYFUNCTION("""COMPUTED_VALUE"""),"https://vt.tiktok.com/ZSxQNaPpN/")</f>
        <v>https://vt.tiktok.com/ZSxQNaPpN/</v>
      </c>
      <c r="N33" s="261" t="str">
        <f>IFERROR(__xludf.DUMMYFUNCTION("""COMPUTED_VALUE"""),"Concept 3")</f>
        <v>Concept 3</v>
      </c>
      <c r="O33" s="279" t="str">
        <f>IFERROR(__xludf.DUMMYFUNCTION("""COMPUTED_VALUE"""),"https://vt.tiktok.com/ZSxQNCaar/")</f>
        <v>https://vt.tiktok.com/ZSxQNCaar/</v>
      </c>
      <c r="P33" s="261"/>
      <c r="Q33" s="17"/>
      <c r="R33" s="264"/>
      <c r="S33" s="265"/>
      <c r="T33" s="266"/>
      <c r="U33" s="266"/>
    </row>
    <row r="34">
      <c r="A34" s="255" t="str">
        <f>IFERROR(__xludf.DUMMYFUNCTION("""COMPUTED_VALUE"""),"MICRO")</f>
        <v>MICRO</v>
      </c>
      <c r="B34" s="23" t="str">
        <f>IFERROR(__xludf.DUMMYFUNCTION("""COMPUTED_VALUE"""),"zihanokta")</f>
        <v>zihanokta</v>
      </c>
      <c r="C34" s="257" t="str">
        <f>IFERROR(__xludf.DUMMYFUNCTION("""COMPUTED_VALUE"""),"https://www.tiktok.com/@zihanokta")</f>
        <v>https://www.tiktok.com/@zihanokta</v>
      </c>
      <c r="D34" s="270">
        <f>IFERROR(__xludf.DUMMYFUNCTION("""COMPUTED_VALUE"""),8.1510277537E10)</f>
        <v>81510277537</v>
      </c>
      <c r="E34" s="271">
        <f>IFERROR(__xludf.DUMMYFUNCTION("""COMPUTED_VALUE"""),700000.0)</f>
        <v>700000</v>
      </c>
      <c r="F34" s="270">
        <f>IFERROR(__xludf.DUMMYFUNCTION("""COMPUTED_VALUE"""),1.0)</f>
        <v>1</v>
      </c>
      <c r="G34" s="25" t="str">
        <f>IFERROR(__xludf.DUMMYFUNCTION("""COMPUTED_VALUE"""),"Rp112,2JT")</f>
        <v>Rp112,2JT</v>
      </c>
      <c r="H34" s="259" t="str">
        <f>IFERROR(__xludf.DUMMYFUNCTION("""COMPUTED_VALUE"""),"Skinboost Body Toner")</f>
        <v>Skinboost Body Toner</v>
      </c>
      <c r="I34" s="260" t="str">
        <f>IFERROR(__xludf.DUMMYFUNCTION("""COMPUTED_VALUE"""),"Sampai")</f>
        <v>Sampai</v>
      </c>
      <c r="J34" s="261" t="str">
        <f>IFERROR(__xludf.DUMMYFUNCTION("""COMPUTED_VALUE""")," Concept 1")</f>
        <v> Concept 1</v>
      </c>
      <c r="K34" s="278" t="str">
        <f>IFERROR(__xludf.DUMMYFUNCTION("""COMPUTED_VALUE"""),"https://vt.tiktok.com/ZSxVEL3nF/")</f>
        <v>https://vt.tiktok.com/ZSxVEL3nF/</v>
      </c>
      <c r="L34" s="261"/>
      <c r="M34" s="262"/>
      <c r="N34" s="261"/>
      <c r="O34" s="17"/>
      <c r="P34" s="261"/>
      <c r="Q34" s="17"/>
      <c r="R34" s="266">
        <f>IFERROR(__xludf.DUMMYFUNCTION("""COMPUTED_VALUE"""),122420.0)</f>
        <v>122420</v>
      </c>
      <c r="S34" s="266"/>
      <c r="T34" s="266"/>
      <c r="U34" s="266"/>
    </row>
    <row r="35">
      <c r="A35" s="255" t="str">
        <f>IFERROR(__xludf.DUMMYFUNCTION("""COMPUTED_VALUE"""),"NANO")</f>
        <v>NANO</v>
      </c>
      <c r="B35" s="23" t="str">
        <f>IFERROR(__xludf.DUMMYFUNCTION("""COMPUTED_VALUE"""),"kelilingskincare")</f>
        <v>kelilingskincare</v>
      </c>
      <c r="C35" s="257" t="str">
        <f>IFERROR(__xludf.DUMMYFUNCTION("""COMPUTED_VALUE"""),"https://www.tiktok.com/@kelilingskincare")</f>
        <v>https://www.tiktok.com/@kelilingskincare</v>
      </c>
      <c r="D35" s="270">
        <f>IFERROR(__xludf.DUMMYFUNCTION("""COMPUTED_VALUE"""),8.2123426123E10)</f>
        <v>82123426123</v>
      </c>
      <c r="E35" s="271">
        <f>IFERROR(__xludf.DUMMYFUNCTION("""COMPUTED_VALUE"""),0.0)</f>
        <v>0</v>
      </c>
      <c r="F35" s="270">
        <f>IFERROR(__xludf.DUMMYFUNCTION("""COMPUTED_VALUE"""),2.0)</f>
        <v>2</v>
      </c>
      <c r="G35" s="25" t="str">
        <f>IFERROR(__xludf.DUMMYFUNCTION("""COMPUTED_VALUE"""),"Rp74,3JT")</f>
        <v>Rp74,3JT</v>
      </c>
      <c r="H35" s="259" t="str">
        <f>IFERROR(__xludf.DUMMYFUNCTION("""COMPUTED_VALUE"""),"Facial Glowing Peeling Gel")</f>
        <v>Facial Glowing Peeling Gel</v>
      </c>
      <c r="I35" s="260" t="str">
        <f>IFERROR(__xludf.DUMMYFUNCTION("""COMPUTED_VALUE"""),"Sampai")</f>
        <v>Sampai</v>
      </c>
      <c r="J35" s="261" t="str">
        <f>IFERROR(__xludf.DUMMYFUNCTION("""COMPUTED_VALUE"""),"Concept 2")</f>
        <v>Concept 2</v>
      </c>
      <c r="K35" s="278" t="str">
        <f>IFERROR(__xludf.DUMMYFUNCTION("""COMPUTED_VALUE"""),"https://vt.tiktok.com/ZS9ogKyBB/")</f>
        <v>https://vt.tiktok.com/ZS9ogKyBB/</v>
      </c>
      <c r="L35" s="261"/>
      <c r="M35" s="262"/>
      <c r="N35" s="261"/>
      <c r="O35" s="17"/>
      <c r="P35" s="261"/>
      <c r="Q35" s="17"/>
      <c r="R35" s="266"/>
      <c r="S35" s="266"/>
      <c r="T35" s="266"/>
      <c r="U35" s="266"/>
    </row>
    <row r="36">
      <c r="A36" s="255" t="str">
        <f>IFERROR(__xludf.DUMMYFUNCTION("""COMPUTED_VALUE"""),"NANO")</f>
        <v>NANO</v>
      </c>
      <c r="B36" s="23" t="str">
        <f>IFERROR(__xludf.DUMMYFUNCTION("""COMPUTED_VALUE"""),"melani.makeup17")</f>
        <v>melani.makeup17</v>
      </c>
      <c r="C36" s="257" t="str">
        <f>IFERROR(__xludf.DUMMYFUNCTION("""COMPUTED_VALUE"""),"https://www.tiktok.com/@melani.makeup17")</f>
        <v>https://www.tiktok.com/@melani.makeup17</v>
      </c>
      <c r="D36" s="270">
        <f>IFERROR(__xludf.DUMMYFUNCTION("""COMPUTED_VALUE"""),8.5728913779E10)</f>
        <v>85728913779</v>
      </c>
      <c r="E36" s="271">
        <f>IFERROR(__xludf.DUMMYFUNCTION("""COMPUTED_VALUE"""),0.0)</f>
        <v>0</v>
      </c>
      <c r="F36" s="270">
        <f>IFERROR(__xludf.DUMMYFUNCTION("""COMPUTED_VALUE"""),2.0)</f>
        <v>2</v>
      </c>
      <c r="G36" s="25" t="str">
        <f>IFERROR(__xludf.DUMMYFUNCTION("""COMPUTED_VALUE"""),"Rp11,4JT")</f>
        <v>Rp11,4JT</v>
      </c>
      <c r="H36" s="259" t="str">
        <f>IFERROR(__xludf.DUMMYFUNCTION("""COMPUTED_VALUE"""),"Facial Glowing Peeling Gel")</f>
        <v>Facial Glowing Peeling Gel</v>
      </c>
      <c r="I36" s="260" t="str">
        <f>IFERROR(__xludf.DUMMYFUNCTION("""COMPUTED_VALUE"""),"Sampai")</f>
        <v>Sampai</v>
      </c>
      <c r="J36" s="261" t="str">
        <f>IFERROR(__xludf.DUMMYFUNCTION("""COMPUTED_VALUE"""),"Concept 2")</f>
        <v>Concept 2</v>
      </c>
      <c r="K36" s="278" t="str">
        <f>IFERROR(__xludf.DUMMYFUNCTION("""COMPUTED_VALUE"""),"https://vt.tiktok.com/ZS9qEDYou/")</f>
        <v>https://vt.tiktok.com/ZS9qEDYou/</v>
      </c>
      <c r="L36" s="261" t="str">
        <f>IFERROR(__xludf.DUMMYFUNCTION("""COMPUTED_VALUE"""),"Concept 2")</f>
        <v>Concept 2</v>
      </c>
      <c r="M36" s="278" t="str">
        <f>IFERROR(__xludf.DUMMYFUNCTION("""COMPUTED_VALUE"""),"https://vt.tiktok.com/ZS9gXL1Yh/")</f>
        <v>https://vt.tiktok.com/ZS9gXL1Yh/</v>
      </c>
      <c r="N36" s="261" t="str">
        <f>IFERROR(__xludf.DUMMYFUNCTION("""COMPUTED_VALUE"""),"Concept 2")</f>
        <v>Concept 2</v>
      </c>
      <c r="O36" s="279" t="str">
        <f>IFERROR(__xludf.DUMMYFUNCTION("""COMPUTED_VALUE"""),"https://vt.tiktok.com/ZS9vfov4r/")</f>
        <v>https://vt.tiktok.com/ZS9vfov4r/</v>
      </c>
      <c r="P36" s="261" t="str">
        <f>IFERROR(__xludf.DUMMYFUNCTION("""COMPUTED_VALUE"""),"Concept 2")</f>
        <v>Concept 2</v>
      </c>
      <c r="Q36" s="279" t="str">
        <f>IFERROR(__xludf.DUMMYFUNCTION("""COMPUTED_VALUE"""),"https://vt.tiktok.com/ZS9EcL4U2/")</f>
        <v>https://vt.tiktok.com/ZS9EcL4U2/</v>
      </c>
      <c r="R36" s="266"/>
      <c r="S36" s="266">
        <f>IFERROR(__xludf.DUMMYFUNCTION("""COMPUTED_VALUE"""),21780.0)</f>
        <v>21780</v>
      </c>
      <c r="T36" s="266"/>
      <c r="U36" s="266"/>
    </row>
    <row r="37">
      <c r="A37" s="255" t="str">
        <f>IFERROR(__xludf.DUMMYFUNCTION("""COMPUTED_VALUE"""),"NANO")</f>
        <v>NANO</v>
      </c>
      <c r="B37" s="23" t="str">
        <f>IFERROR(__xludf.DUMMYFUNCTION("""COMPUTED_VALUE"""),"rnggrn_")</f>
        <v>rnggrn_</v>
      </c>
      <c r="C37" s="257" t="str">
        <f>IFERROR(__xludf.DUMMYFUNCTION("""COMPUTED_VALUE"""),"https://www.tiktok.com/@rnggrn_")</f>
        <v>https://www.tiktok.com/@rnggrn_</v>
      </c>
      <c r="D37" s="270">
        <f>IFERROR(__xludf.DUMMYFUNCTION("""COMPUTED_VALUE"""),8.5143277203E10)</f>
        <v>85143277203</v>
      </c>
      <c r="E37" s="271">
        <f>IFERROR(__xludf.DUMMYFUNCTION("""COMPUTED_VALUE"""),0.0)</f>
        <v>0</v>
      </c>
      <c r="F37" s="270">
        <f>IFERROR(__xludf.DUMMYFUNCTION("""COMPUTED_VALUE"""),2.0)</f>
        <v>2</v>
      </c>
      <c r="G37" s="25" t="str">
        <f>IFERROR(__xludf.DUMMYFUNCTION("""COMPUTED_VALUE"""),"Rp4,3JT")</f>
        <v>Rp4,3JT</v>
      </c>
      <c r="H37" s="259" t="str">
        <f>IFERROR(__xludf.DUMMYFUNCTION("""COMPUTED_VALUE"""),"White Essence Moisturizing Spray")</f>
        <v>White Essence Moisturizing Spray</v>
      </c>
      <c r="I37" s="260" t="str">
        <f>IFERROR(__xludf.DUMMYFUNCTION("""COMPUTED_VALUE"""),"Sampai")</f>
        <v>Sampai</v>
      </c>
      <c r="J37" s="261" t="str">
        <f>IFERROR(__xludf.DUMMYFUNCTION("""COMPUTED_VALUE""")," Concept 1")</f>
        <v> Concept 1</v>
      </c>
      <c r="K37" s="278" t="str">
        <f>IFERROR(__xludf.DUMMYFUNCTION("""COMPUTED_VALUE"""),"https://vt.tiktok.com/ZS9gQFKHP/")</f>
        <v>https://vt.tiktok.com/ZS9gQFKHP/</v>
      </c>
      <c r="L37" s="261" t="str">
        <f>IFERROR(__xludf.DUMMYFUNCTION("""COMPUTED_VALUE""")," Concept 1")</f>
        <v> Concept 1</v>
      </c>
      <c r="M37" s="278" t="str">
        <f>IFERROR(__xludf.DUMMYFUNCTION("""COMPUTED_VALUE"""),"https://vt.tiktok.com/ZS9oHvUsy/ ")</f>
        <v>https://vt.tiktok.com/ZS9oHvUsy/ </v>
      </c>
      <c r="N37" s="261"/>
      <c r="O37" s="17"/>
      <c r="P37" s="261"/>
      <c r="Q37" s="17"/>
      <c r="R37" s="266"/>
      <c r="S37" s="266"/>
      <c r="T37" s="266"/>
      <c r="U37" s="266"/>
    </row>
    <row r="38">
      <c r="A38" s="255"/>
      <c r="B38" s="23" t="str">
        <f>IFERROR(__xludf.DUMMYFUNCTION("""COMPUTED_VALUE"""),"Internal")</f>
        <v>Internal</v>
      </c>
      <c r="C38" s="257" t="str">
        <f>IFERROR(__xludf.DUMMYFUNCTION("""COMPUTED_VALUE"""),"https://www.tiktok.com/@ptsabbythrds")</f>
        <v>https://www.tiktok.com/@ptsabbythrds</v>
      </c>
      <c r="D38" s="270">
        <f>IFERROR(__xludf.DUMMYFUNCTION("""COMPUTED_VALUE"""),8.5864696341E10)</f>
        <v>85864696341</v>
      </c>
      <c r="E38" s="271"/>
      <c r="F38" s="270"/>
      <c r="G38" s="25"/>
      <c r="H38" s="259" t="str">
        <f>IFERROR(__xludf.DUMMYFUNCTION("""COMPUTED_VALUE"""),"Skinboost Body Toner, Facial Glowing Peeling Gel, White Essence Moisturizing Spray")</f>
        <v>Skinboost Body Toner, Facial Glowing Peeling Gel, White Essence Moisturizing Spray</v>
      </c>
      <c r="I38" s="260"/>
      <c r="J38" s="261"/>
      <c r="K38" s="262"/>
      <c r="L38" s="261"/>
      <c r="M38" s="262"/>
      <c r="N38" s="261"/>
      <c r="O38" s="17"/>
      <c r="P38" s="261"/>
      <c r="Q38" s="17"/>
      <c r="R38" s="266"/>
      <c r="S38" s="266"/>
      <c r="T38" s="266"/>
      <c r="U38" s="266"/>
    </row>
    <row r="39">
      <c r="A39" s="255" t="str">
        <f>IFERROR(__xludf.DUMMYFUNCTION("""COMPUTED_VALUE"""),"MICRO")</f>
        <v>MICRO</v>
      </c>
      <c r="B39" s="23" t="str">
        <f>IFERROR(__xludf.DUMMYFUNCTION("""COMPUTED_VALUE"""),"afrillamuthiia")</f>
        <v>afrillamuthiia</v>
      </c>
      <c r="C39" s="257" t="str">
        <f>IFERROR(__xludf.DUMMYFUNCTION("""COMPUTED_VALUE"""),"https://www.tiktok.com/@afrillamuthiia")</f>
        <v>https://www.tiktok.com/@afrillamuthiia</v>
      </c>
      <c r="D39" s="270">
        <f>IFERROR(__xludf.DUMMYFUNCTION("""COMPUTED_VALUE"""),8.5156027718E10)</f>
        <v>85156027718</v>
      </c>
      <c r="E39" s="271">
        <f>IFERROR(__xludf.DUMMYFUNCTION("""COMPUTED_VALUE"""),167000.0)</f>
        <v>167000</v>
      </c>
      <c r="F39" s="270">
        <f>IFERROR(__xludf.DUMMYFUNCTION("""COMPUTED_VALUE"""),1.0)</f>
        <v>1</v>
      </c>
      <c r="G39" s="25" t="str">
        <f>IFERROR(__xludf.DUMMYFUNCTION("""COMPUTED_VALUE"""),"Rp1JT+")</f>
        <v>Rp1JT+</v>
      </c>
      <c r="H39" s="259" t="str">
        <f>IFERROR(__xludf.DUMMYFUNCTION("""COMPUTED_VALUE"""),"Facial Glowing Peeling Gel")</f>
        <v>Facial Glowing Peeling Gel</v>
      </c>
      <c r="I39" s="260" t="str">
        <f>IFERROR(__xludf.DUMMYFUNCTION("""COMPUTED_VALUE"""),"Done Req Sample")</f>
        <v>Done Req Sample</v>
      </c>
      <c r="J39" s="261"/>
      <c r="K39" s="262"/>
      <c r="L39" s="261"/>
      <c r="M39" s="262"/>
      <c r="N39" s="261"/>
      <c r="O39" s="17"/>
      <c r="P39" s="261"/>
      <c r="Q39" s="17"/>
      <c r="R39" s="266"/>
      <c r="S39" s="266"/>
      <c r="T39" s="266"/>
      <c r="U39" s="266"/>
    </row>
    <row r="40">
      <c r="A40" s="255" t="str">
        <f>IFERROR(__xludf.DUMMYFUNCTION("""COMPUTED_VALUE"""),"NANO")</f>
        <v>NANO</v>
      </c>
      <c r="B40" s="23" t="str">
        <f>IFERROR(__xludf.DUMMYFUNCTION("""COMPUTED_VALUE"""),"Byliyah")</f>
        <v>Byliyah</v>
      </c>
      <c r="C40" s="257" t="str">
        <f>IFERROR(__xludf.DUMMYFUNCTION("""COMPUTED_VALUE"""),"https://www.tiktok.com/@Byliyah")</f>
        <v>https://www.tiktok.com/@Byliyah</v>
      </c>
      <c r="D40" s="270">
        <f>IFERROR(__xludf.DUMMYFUNCTION("""COMPUTED_VALUE"""),8.5748261974E10)</f>
        <v>85748261974</v>
      </c>
      <c r="E40" s="271">
        <f>IFERROR(__xludf.DUMMYFUNCTION("""COMPUTED_VALUE"""),0.0)</f>
        <v>0</v>
      </c>
      <c r="F40" s="270">
        <f>IFERROR(__xludf.DUMMYFUNCTION("""COMPUTED_VALUE"""),2.0)</f>
        <v>2</v>
      </c>
      <c r="G40" s="25" t="str">
        <f>IFERROR(__xludf.DUMMYFUNCTION("""COMPUTED_VALUE"""),"Rp30,5JT")</f>
        <v>Rp30,5JT</v>
      </c>
      <c r="H40" s="259" t="str">
        <f>IFERROR(__xludf.DUMMYFUNCTION("""COMPUTED_VALUE"""),"Facial Glowing Peeling Gel")</f>
        <v>Facial Glowing Peeling Gel</v>
      </c>
      <c r="I40" s="260" t="str">
        <f>IFERROR(__xludf.DUMMYFUNCTION("""COMPUTED_VALUE"""),"Sampai")</f>
        <v>Sampai</v>
      </c>
      <c r="J40" s="261" t="str">
        <f>IFERROR(__xludf.DUMMYFUNCTION("""COMPUTED_VALUE"""),"Concept 2")</f>
        <v>Concept 2</v>
      </c>
      <c r="K40" s="278" t="str">
        <f>IFERROR(__xludf.DUMMYFUNCTION("""COMPUTED_VALUE"""),"https://www.tiktok.com/@byliyah/video/7643691286058339591?_r=1&amp;u_code=dj0c9igeb6ei5f&amp;region=&amp;mid=7415463043465201680&amp;preview_pb=0&amp;sharer_language=&amp;_d=0&amp;ec_shared_reflux_dynamic_params=%7B%22placeholder_material_id%22%3A%227643691286058339591%22%2C%22place"&amp;"holder_origin_cover%22%3A%22https%253A%252F%252Fp16-common-sign.tiktokcdn.com%252Ftos-alisg-p-0037%252FosiEDfxQEEocQM2u8BqgFBKTQjR9AsHicBOekB~tplv-tiktokx-origin.jpeg%253Fdr%253D14572%2526refresh_token%253D97b555b9%2526x-expires%253D1811239200%2526x-signa"&amp;"ture%253DqJ6SIzLNHAoHQhl8AEcII0Pt60s%25253D%2526t%253D4d5b0474%2526ps%253D13740610%2526shp%253Dd05b14bd%2526shcp%253D34ff8df6%2526idc%253Dmy2%2526s%253DTIKTOK_AFFILIATE_VIRAL_VIDEO%22%2C%22placeholder_product_id%22%3A%221729444169226291969%22%2C%22placeho"&amp;"lder_video_id%22%3A%227643691286058339591%22%7D&amp;ec_shared_reflux_scene=shop_tab_feed&amp;share_item_id=7643691286058339591&amp;source=h5_t")</f>
        <v>https://www.tiktok.com/@byliyah/video/7643691286058339591?_r=1&amp;u_code=dj0c9igeb6ei5f&amp;region=&amp;mid=7415463043465201680&amp;preview_pb=0&amp;sharer_language=&amp;_d=0&amp;ec_shared_reflux_dynamic_params=%7B%22placeholder_material_id%22%3A%227643691286058339591%22%2C%22placeholder_origin_cover%22%3A%22https%253A%252F%252Fp16-common-sign.tiktokcdn.com%252Ftos-alisg-p-0037%252FosiEDfxQEEocQM2u8BqgFBKTQjR9AsHicBOekB~tplv-tiktokx-origin.jpeg%253Fdr%253D14572%2526refresh_token%253D97b555b9%2526x-expires%253D1811239200%2526x-signature%253DqJ6SIzLNHAoHQhl8AEcII0Pt60s%25253D%2526t%253D4d5b0474%2526ps%253D13740610%2526shp%253Dd05b14bd%2526shcp%253D34ff8df6%2526idc%253Dmy2%2526s%253DTIKTOK_AFFILIATE_VIRAL_VIDEO%22%2C%22placeholder_product_id%22%3A%221729444169226291969%22%2C%22placeholder_video_id%22%3A%227643691286058339591%22%7D&amp;ec_shared_reflux_scene=shop_tab_feed&amp;share_item_id=7643691286058339591&amp;source=h5_t</v>
      </c>
      <c r="L40" s="261" t="str">
        <f>IFERROR(__xludf.DUMMYFUNCTION("""COMPUTED_VALUE"""),"Concept 2")</f>
        <v>Concept 2</v>
      </c>
      <c r="M40" s="278" t="str">
        <f>IFERROR(__xludf.DUMMYFUNCTION("""COMPUTED_VALUE"""),"https://www.tiktok.com/@byliyah/video/7644088937631206663?_r=1&amp;u_code=dj0c9igeb6ei5f&amp;region=&amp;mid=7613322474528279303&amp;preview_pb=0&amp;sharer_language=&amp;_d=0&amp;ec_shared_reflux_dynamic_params=%7B%22placeholder_material_id%22%3A%227644088937631206663%22%2C%22place"&amp;"holder_origin_cover%22%3A%22https%253A%252F%252Fp16-common-sign.tiktokcdn.com%252Ftos-alisg-p-0037%252Fo8ABCmYVrCqIfBJKi4DUeIZ6cFQREJFgihlEaD~tplv-tiktokx-origin.jpeg%253Fdr%253D14572%2526refresh_token%253Dcb4da413%2526x-expires%253D1811498400%2526x-signa"&amp;"ture%253DxF0x2QivDoee3Jby%25252F313kcfTiwI%25253D%2526t%253D4d5b0474%2526ps%253D13740610%2526shp%253Dd05b14bd%2526shcp%253D34ff8df6%2526idc%253Dmy%2526s%253DTIKTOK_AFFILIATE_VIRAL_VIDEO%22%2C%22placeholder_product_id%22%3A%221729384958349379329%22%2C%22pl"&amp;"aceholder_video_id%22%3A%227644088937631206663%22%7D&amp;ec_shared_reflux_scene=shop_tab_feed&amp;share_item_id=7644088937631206663&amp;source=h5_t")</f>
        <v>https://www.tiktok.com/@byliyah/video/7644088937631206663?_r=1&amp;u_code=dj0c9igeb6ei5f&amp;region=&amp;mid=7613322474528279303&amp;preview_pb=0&amp;sharer_language=&amp;_d=0&amp;ec_shared_reflux_dynamic_params=%7B%22placeholder_material_id%22%3A%227644088937631206663%22%2C%22placeholder_origin_cover%22%3A%22https%253A%252F%252Fp16-common-sign.tiktokcdn.com%252Ftos-alisg-p-0037%252Fo8ABCmYVrCqIfBJKi4DUeIZ6cFQREJFgihlEaD~tplv-tiktokx-origin.jpeg%253Fdr%253D14572%2526refresh_token%253Dcb4da413%2526x-expires%253D1811498400%2526x-signature%253DxF0x2QivDoee3Jby%25252F313kcfTiwI%25253D%2526t%253D4d5b0474%2526ps%253D13740610%2526shp%253Dd05b14bd%2526shcp%253D34ff8df6%2526idc%253Dmy%2526s%253DTIKTOK_AFFILIATE_VIRAL_VIDEO%22%2C%22placeholder_product_id%22%3A%221729384958349379329%22%2C%22placeholder_video_id%22%3A%227644088937631206663%22%7D&amp;ec_shared_reflux_scene=shop_tab_feed&amp;share_item_id=7644088937631206663&amp;source=h5_t</v>
      </c>
      <c r="N40" s="261" t="str">
        <f>IFERROR(__xludf.DUMMYFUNCTION("""COMPUTED_VALUE"""),"Concept 2")</f>
        <v>Concept 2</v>
      </c>
      <c r="O40" s="279" t="str">
        <f>IFERROR(__xludf.DUMMYFUNCTION("""COMPUTED_VALUE"""),"https://www.tiktok.com/@byliyah/video/7644377303438363911?is_from_webapp=1&amp;sender_device=pc")</f>
        <v>https://www.tiktok.com/@byliyah/video/7644377303438363911?is_from_webapp=1&amp;sender_device=pc</v>
      </c>
      <c r="P40" s="261" t="str">
        <f>IFERROR(__xludf.DUMMYFUNCTION("""COMPUTED_VALUE"""),"Concept 2")</f>
        <v>Concept 2</v>
      </c>
      <c r="Q40" s="279" t="str">
        <f>IFERROR(__xludf.DUMMYFUNCTION("""COMPUTED_VALUE"""),"https://www.tiktok.com/@byliyah/video/7645915838054288647?is_from_webapp=1&amp;sender_device=pc")</f>
        <v>https://www.tiktok.com/@byliyah/video/7645915838054288647?is_from_webapp=1&amp;sender_device=pc</v>
      </c>
      <c r="R40" s="266">
        <f>IFERROR(__xludf.DUMMYFUNCTION("""COMPUTED_VALUE"""),311648.0)</f>
        <v>311648</v>
      </c>
      <c r="S40" s="266"/>
      <c r="T40" s="266"/>
      <c r="U40" s="266"/>
    </row>
    <row r="41">
      <c r="A41" s="255" t="str">
        <f>IFERROR(__xludf.DUMMYFUNCTION("""COMPUTED_VALUE"""),"MICRO")</f>
        <v>MICRO</v>
      </c>
      <c r="B41" s="23" t="str">
        <f>IFERROR(__xludf.DUMMYFUNCTION("""COMPUTED_VALUE"""),"sintakurniawati.61")</f>
        <v>sintakurniawati.61</v>
      </c>
      <c r="C41" s="257" t="str">
        <f>IFERROR(__xludf.DUMMYFUNCTION("""COMPUTED_VALUE"""),"https://www.tiktok.com/@sintakurniawati.61")</f>
        <v>https://www.tiktok.com/@sintakurniawati.61</v>
      </c>
      <c r="D41" s="270">
        <f>IFERROR(__xludf.DUMMYFUNCTION("""COMPUTED_VALUE"""),8.5875542623E10)</f>
        <v>85875542623</v>
      </c>
      <c r="E41" s="271">
        <f>IFERROR(__xludf.DUMMYFUNCTION("""COMPUTED_VALUE"""),0.0)</f>
        <v>0</v>
      </c>
      <c r="F41" s="270">
        <f>IFERROR(__xludf.DUMMYFUNCTION("""COMPUTED_VALUE"""),2.0)</f>
        <v>2</v>
      </c>
      <c r="G41" s="25" t="str">
        <f>IFERROR(__xludf.DUMMYFUNCTION("""COMPUTED_VALUE"""),"Rp3,9JT")</f>
        <v>Rp3,9JT</v>
      </c>
      <c r="H41" s="259" t="str">
        <f>IFERROR(__xludf.DUMMYFUNCTION("""COMPUTED_VALUE"""),"Facial Glowing Peeling Gel")</f>
        <v>Facial Glowing Peeling Gel</v>
      </c>
      <c r="I41" s="260" t="str">
        <f>IFERROR(__xludf.DUMMYFUNCTION("""COMPUTED_VALUE"""),"Done Req Sample")</f>
        <v>Done Req Sample</v>
      </c>
      <c r="J41" s="261"/>
      <c r="K41" s="262"/>
      <c r="L41" s="261"/>
      <c r="M41" s="262"/>
      <c r="N41" s="261"/>
      <c r="O41" s="17"/>
      <c r="P41" s="261"/>
      <c r="Q41" s="17"/>
      <c r="R41" s="266"/>
      <c r="S41" s="266"/>
      <c r="T41" s="266"/>
      <c r="U41" s="266"/>
    </row>
    <row r="42">
      <c r="A42" s="255" t="str">
        <f>IFERROR(__xludf.DUMMYFUNCTION("""COMPUTED_VALUE"""),"MACRO")</f>
        <v>MACRO</v>
      </c>
      <c r="B42" s="23" t="str">
        <f>IFERROR(__xludf.DUMMYFUNCTION("""COMPUTED_VALUE"""),"putri.antris")</f>
        <v>putri.antris</v>
      </c>
      <c r="C42" s="257" t="str">
        <f>IFERROR(__xludf.DUMMYFUNCTION("""COMPUTED_VALUE"""),"https://www.tiktok.com/@putri.antris")</f>
        <v>https://www.tiktok.com/@putri.antris</v>
      </c>
      <c r="D42" s="270">
        <f>IFERROR(__xludf.DUMMYFUNCTION("""COMPUTED_VALUE"""),8.978216006E9)</f>
        <v>8978216006</v>
      </c>
      <c r="E42" s="271">
        <f>IFERROR(__xludf.DUMMYFUNCTION("""COMPUTED_VALUE"""),0.0)</f>
        <v>0</v>
      </c>
      <c r="F42" s="270">
        <f>IFERROR(__xludf.DUMMYFUNCTION("""COMPUTED_VALUE"""),2.0)</f>
        <v>2</v>
      </c>
      <c r="G42" s="25" t="str">
        <f>IFERROR(__xludf.DUMMYFUNCTION("""COMPUTED_VALUE"""),"Rp305,1JT")</f>
        <v>Rp305,1JT</v>
      </c>
      <c r="H42" s="259" t="str">
        <f>IFERROR(__xludf.DUMMYFUNCTION("""COMPUTED_VALUE"""),"White Essence Moisturizing Spray")</f>
        <v>White Essence Moisturizing Spray</v>
      </c>
      <c r="I42" s="260" t="str">
        <f>IFERROR(__xludf.DUMMYFUNCTION("""COMPUTED_VALUE"""),"Done Req Sample")</f>
        <v>Done Req Sample</v>
      </c>
      <c r="J42" s="261"/>
      <c r="K42" s="262"/>
      <c r="L42" s="261"/>
      <c r="M42" s="262"/>
      <c r="N42" s="261"/>
      <c r="O42" s="17"/>
      <c r="P42" s="261"/>
      <c r="Q42" s="17"/>
      <c r="R42" s="266"/>
      <c r="S42" s="266"/>
      <c r="T42" s="266"/>
      <c r="U42" s="266"/>
    </row>
    <row r="43">
      <c r="A43" s="255" t="str">
        <f>IFERROR(__xludf.DUMMYFUNCTION("""COMPUTED_VALUE"""),"NANO")</f>
        <v>NANO</v>
      </c>
      <c r="B43" s="23" t="str">
        <f>IFERROR(__xludf.DUMMYFUNCTION("""COMPUTED_VALUE"""),"beauty.iidd")</f>
        <v>beauty.iidd</v>
      </c>
      <c r="C43" s="257" t="str">
        <f>IFERROR(__xludf.DUMMYFUNCTION("""COMPUTED_VALUE"""),"https://www.tiktok.com/@beauty.iidd")</f>
        <v>https://www.tiktok.com/@beauty.iidd</v>
      </c>
      <c r="D43" s="270">
        <f>IFERROR(__xludf.DUMMYFUNCTION("""COMPUTED_VALUE"""),8.5707293604E10)</f>
        <v>85707293604</v>
      </c>
      <c r="E43" s="271">
        <f>IFERROR(__xludf.DUMMYFUNCTION("""COMPUTED_VALUE"""),0.0)</f>
        <v>0</v>
      </c>
      <c r="F43" s="270">
        <f>IFERROR(__xludf.DUMMYFUNCTION("""COMPUTED_VALUE"""),3.0)</f>
        <v>3</v>
      </c>
      <c r="G43" s="25" t="str">
        <f>IFERROR(__xludf.DUMMYFUNCTION("""COMPUTED_VALUE"""),"Rp8,4JT")</f>
        <v>Rp8,4JT</v>
      </c>
      <c r="H43" s="259" t="str">
        <f>IFERROR(__xludf.DUMMYFUNCTION("""COMPUTED_VALUE"""),"Skinboost Body Toner")</f>
        <v>Skinboost Body Toner</v>
      </c>
      <c r="I43" s="260" t="str">
        <f>IFERROR(__xludf.DUMMYFUNCTION("""COMPUTED_VALUE"""),"Sampai")</f>
        <v>Sampai</v>
      </c>
      <c r="J43" s="261" t="str">
        <f>IFERROR(__xludf.DUMMYFUNCTION("""COMPUTED_VALUE"""),"Concept 3")</f>
        <v>Concept 3</v>
      </c>
      <c r="K43" s="278" t="str">
        <f>IFERROR(__xludf.DUMMYFUNCTION("""COMPUTED_VALUE"""),"https://www.tiktok.com/@beauty.iidd/video/7640818405607542034?_r=1&amp;u_code=ebjf03139m95gf&amp;region=&amp;mid=7636832672606259985&amp;preview_pb=0&amp;sharer_language=&amp;_d=0&amp;ec_shared_reflux_dynamic_params=%7B%22placeholder_material_id%22%3A%227640818405607542034%22%2C%22p"&amp;"laceholder_origin_cover%22%3A%22https%253A%252F%252Fp16-common-sign.tiktokcdn.com%252Ftos-alisg-p-0037%252FoYFBIDAL0QhvgjCA6OIEncQ0TIRzGeWC4eEUeT~tplv-tiktokx-origin.jpeg%253Fdr%253D14572%2526refresh_token%253Df722e4b4%2526x-expires%253D1810612800%2526x-s"&amp;"ignature%253DEXy%25252F1bkwsRKdOmgQphUrIO0jJP8%25253D%2526t%253D4d5b0474%2526ps%253D13740610%2526shp%253Dd05b14bd%2526shcp%253D34ff8df6%2526idc%253Dmy3%2526s%253DTIKTOK_AFFILIATE_VIRAL_VIDEO%22%2C%22placeholder_product_id%22%3A%221729558297773246209%22%2C"&amp;"%22placeholder_video_id%22%3A%227640818405607542034%22%7D&amp;ec_shared_reflux_scene=shop_tab_feed&amp;share_item_id=7640818405607542034&amp;source=h5_t")</f>
        <v>https://www.tiktok.com/@beauty.iidd/video/7640818405607542034?_r=1&amp;u_code=ebjf03139m95gf&amp;region=&amp;mid=7636832672606259985&amp;preview_pb=0&amp;sharer_language=&amp;_d=0&amp;ec_shared_reflux_dynamic_params=%7B%22placeholder_material_id%22%3A%227640818405607542034%22%2C%22placeholder_origin_cover%22%3A%22https%253A%252F%252Fp16-common-sign.tiktokcdn.com%252Ftos-alisg-p-0037%252FoYFBIDAL0QhvgjCA6OIEncQ0TIRzGeWC4eEUeT~tplv-tiktokx-origin.jpeg%253Fdr%253D14572%2526refresh_token%253Df722e4b4%2526x-expires%253D1810612800%2526x-signature%253DEXy%25252F1bkwsRKdOmgQphUrIO0jJP8%25253D%2526t%253D4d5b0474%2526ps%253D13740610%2526shp%253Dd05b14bd%2526shcp%253D34ff8df6%2526idc%253Dmy3%2526s%253DTIKTOK_AFFILIATE_VIRAL_VIDEO%22%2C%22placeholder_product_id%22%3A%221729558297773246209%22%2C%22placeholder_video_id%22%3A%227640818405607542034%22%7D&amp;ec_shared_reflux_scene=shop_tab_feed&amp;share_item_id=7640818405607542034&amp;source=h5_t</v>
      </c>
      <c r="L43" s="261" t="str">
        <f>IFERROR(__xludf.DUMMYFUNCTION("""COMPUTED_VALUE"""),"Concept 3")</f>
        <v>Concept 3</v>
      </c>
      <c r="M43" s="278" t="str">
        <f>IFERROR(__xludf.DUMMYFUNCTION("""COMPUTED_VALUE"""),"https://www.tiktok.com/@beauty.iidd/video/7643709196785028370?_r=1&amp;u_code=ebjf03139m95gf&amp;region=&amp;mid=7641254503123651336&amp;preview_pb=0&amp;sharer_language=&amp;_d=0&amp;ec_shared_reflux_dynamic_params=%7B%22placeholder_material_id%22%3A%227643709196785028370%22%2C%22p"&amp;"laceholder_origin_cover%22%3A%22https%253A%252F%252Fp16-common-sign.tiktokcdn.com%252Ftos-alisg-p-0037%252FoQF9GvY0Tg64Peeens6ywp7gCEOvgRofGgAAho~tplv-tiktokx-origin.jpeg%253Fdr%253D14572%2526refresh_token%253D743ef80a%2526x-expires%253D1811239200%2526x-s"&amp;"ignature%253DyOH6M3K2oVhc1a6CRIggrHfly8c%25253D%2526t%253D4d5b0474%2526ps%253D13740610%2526shp%253Dd05b14bd%2526shcp%253D34ff8df6%2526idc%253Dmy2%2526s%253DTIKTOK_AFFILIATE_VIRAL_VIDEO%22%2C%22placeholder_product_id%22%3A%221729783568527361793%22%2C%22pla"&amp;"ceholder_video_id%22%3A%227643709196785028370%22%7D&amp;ec_shared_reflux_scene=shop_tab_feed&amp;share_item_id=7643709196785028370&amp;source=h5_t")</f>
        <v>https://www.tiktok.com/@beauty.iidd/video/7643709196785028370?_r=1&amp;u_code=ebjf03139m95gf&amp;region=&amp;mid=7641254503123651336&amp;preview_pb=0&amp;sharer_language=&amp;_d=0&amp;ec_shared_reflux_dynamic_params=%7B%22placeholder_material_id%22%3A%227643709196785028370%22%2C%22placeholder_origin_cover%22%3A%22https%253A%252F%252Fp16-common-sign.tiktokcdn.com%252Ftos-alisg-p-0037%252FoQF9GvY0Tg64Peeens6ywp7gCEOvgRofGgAAho~tplv-tiktokx-origin.jpeg%253Fdr%253D14572%2526refresh_token%253D743ef80a%2526x-expires%253D1811239200%2526x-signature%253DyOH6M3K2oVhc1a6CRIggrHfly8c%25253D%2526t%253D4d5b0474%2526ps%253D13740610%2526shp%253Dd05b14bd%2526shcp%253D34ff8df6%2526idc%253Dmy2%2526s%253DTIKTOK_AFFILIATE_VIRAL_VIDEO%22%2C%22placeholder_product_id%22%3A%221729783568527361793%22%2C%22placeholder_video_id%22%3A%227643709196785028370%22%7D&amp;ec_shared_reflux_scene=shop_tab_feed&amp;share_item_id=7643709196785028370&amp;source=h5_t</v>
      </c>
      <c r="N43" s="261"/>
      <c r="O43" s="17"/>
      <c r="P43" s="261"/>
      <c r="Q43" s="17"/>
      <c r="R43" s="266"/>
      <c r="S43" s="266"/>
      <c r="T43" s="266"/>
      <c r="U43" s="266"/>
    </row>
    <row r="44">
      <c r="A44" s="255" t="str">
        <f>IFERROR(__xludf.DUMMYFUNCTION("""COMPUTED_VALUE"""),"MICRO")</f>
        <v>MICRO</v>
      </c>
      <c r="B44" s="23" t="str">
        <f>IFERROR(__xludf.DUMMYFUNCTION("""COMPUTED_VALUE"""),"amdwt_")</f>
        <v>amdwt_</v>
      </c>
      <c r="C44" s="257" t="str">
        <f>IFERROR(__xludf.DUMMYFUNCTION("""COMPUTED_VALUE"""),"https://www.tiktok.com/@amdwt_")</f>
        <v>https://www.tiktok.com/@amdwt_</v>
      </c>
      <c r="D44" s="270">
        <f>IFERROR(__xludf.DUMMYFUNCTION("""COMPUTED_VALUE"""),8.970126119E9)</f>
        <v>8970126119</v>
      </c>
      <c r="E44" s="271">
        <f>IFERROR(__xludf.DUMMYFUNCTION("""COMPUTED_VALUE"""),0.0)</f>
        <v>0</v>
      </c>
      <c r="F44" s="270">
        <f>IFERROR(__xludf.DUMMYFUNCTION("""COMPUTED_VALUE"""),2.0)</f>
        <v>2</v>
      </c>
      <c r="G44" s="25" t="str">
        <f>IFERROR(__xludf.DUMMYFUNCTION("""COMPUTED_VALUE"""),"Rp1M")</f>
        <v>Rp1M</v>
      </c>
      <c r="H44" s="259" t="str">
        <f>IFERROR(__xludf.DUMMYFUNCTION("""COMPUTED_VALUE"""),"Skinboost Body Toner")</f>
        <v>Skinboost Body Toner</v>
      </c>
      <c r="I44" s="260" t="str">
        <f>IFERROR(__xludf.DUMMYFUNCTION("""COMPUTED_VALUE"""),"Sampai")</f>
        <v>Sampai</v>
      </c>
      <c r="J44" s="261" t="str">
        <f>IFERROR(__xludf.DUMMYFUNCTION("""COMPUTED_VALUE"""),"Concept 3")</f>
        <v>Concept 3</v>
      </c>
      <c r="K44" s="278" t="str">
        <f>IFERROR(__xludf.DUMMYFUNCTION("""COMPUTED_VALUE"""),"https://vt.tiktok.com/ZSxTJATxX/")</f>
        <v>https://vt.tiktok.com/ZSxTJATxX/</v>
      </c>
      <c r="L44" s="261" t="str">
        <f>IFERROR(__xludf.DUMMYFUNCTION("""COMPUTED_VALUE"""),"Concept 3")</f>
        <v>Concept 3</v>
      </c>
      <c r="M44" s="278" t="str">
        <f>IFERROR(__xludf.DUMMYFUNCTION("""COMPUTED_VALUE"""),"https://vt.tiktok.com/ZSxTJBf7b/")</f>
        <v>https://vt.tiktok.com/ZSxTJBf7b/</v>
      </c>
      <c r="N44" s="261"/>
      <c r="O44" s="17"/>
      <c r="P44" s="261"/>
      <c r="Q44" s="17"/>
      <c r="R44" s="266"/>
      <c r="S44" s="266"/>
      <c r="T44" s="266"/>
      <c r="U44" s="266"/>
    </row>
    <row r="45">
      <c r="A45" s="255" t="str">
        <f>IFERROR(__xludf.DUMMYFUNCTION("""COMPUTED_VALUE"""),"NANO")</f>
        <v>NANO</v>
      </c>
      <c r="B45" s="23" t="str">
        <f>IFERROR(__xludf.DUMMYFUNCTION("""COMPUTED_VALUE"""),"jeezythingz")</f>
        <v>jeezythingz</v>
      </c>
      <c r="C45" s="257" t="str">
        <f>IFERROR(__xludf.DUMMYFUNCTION("""COMPUTED_VALUE"""),"https://www.tiktok.com/@jeezythingz")</f>
        <v>https://www.tiktok.com/@jeezythingz</v>
      </c>
      <c r="D45" s="270">
        <f>IFERROR(__xludf.DUMMYFUNCTION("""COMPUTED_VALUE"""),8.5817441104E10)</f>
        <v>85817441104</v>
      </c>
      <c r="E45" s="271">
        <f>IFERROR(__xludf.DUMMYFUNCTION("""COMPUTED_VALUE"""),150000.0)</f>
        <v>150000</v>
      </c>
      <c r="F45" s="270">
        <f>IFERROR(__xludf.DUMMYFUNCTION("""COMPUTED_VALUE"""),1.0)</f>
        <v>1</v>
      </c>
      <c r="G45" s="25" t="str">
        <f>IFERROR(__xludf.DUMMYFUNCTION("""COMPUTED_VALUE"""),"Rp118,2JT")</f>
        <v>Rp118,2JT</v>
      </c>
      <c r="H45" s="259" t="str">
        <f>IFERROR(__xludf.DUMMYFUNCTION("""COMPUTED_VALUE"""),"Facial Glowing Peeling Gel")</f>
        <v>Facial Glowing Peeling Gel</v>
      </c>
      <c r="I45" s="260" t="str">
        <f>IFERROR(__xludf.DUMMYFUNCTION("""COMPUTED_VALUE"""),"Sampai")</f>
        <v>Sampai</v>
      </c>
      <c r="J45" s="261" t="str">
        <f>IFERROR(__xludf.DUMMYFUNCTION("""COMPUTED_VALUE"""),"Concept 2")</f>
        <v>Concept 2</v>
      </c>
      <c r="K45" s="278" t="str">
        <f>IFERROR(__xludf.DUMMYFUNCTION("""COMPUTED_VALUE"""),"https://www.tiktok.com/@jeezythingz/video/7645159656251329800?is_from_webapp=1&amp;sender_device=pc")</f>
        <v>https://www.tiktok.com/@jeezythingz/video/7645159656251329800?is_from_webapp=1&amp;sender_device=pc</v>
      </c>
      <c r="L45" s="261"/>
      <c r="M45" s="262"/>
      <c r="N45" s="261"/>
      <c r="O45" s="17"/>
      <c r="P45" s="261"/>
      <c r="Q45" s="17"/>
      <c r="R45" s="266"/>
      <c r="S45" s="266"/>
      <c r="T45" s="266"/>
      <c r="U45" s="266"/>
    </row>
    <row r="46">
      <c r="A46" s="255" t="str">
        <f>IFERROR(__xludf.DUMMYFUNCTION("""COMPUTED_VALUE"""),"NANO")</f>
        <v>NANO</v>
      </c>
      <c r="B46" s="23" t="str">
        <f>IFERROR(__xludf.DUMMYFUNCTION("""COMPUTED_VALUE"""),"mell.nt")</f>
        <v>mell.nt</v>
      </c>
      <c r="C46" s="257" t="str">
        <f>IFERROR(__xludf.DUMMYFUNCTION("""COMPUTED_VALUE"""),"https://www.tiktok.com/@ptsabbythrds")</f>
        <v>https://www.tiktok.com/@ptsabbythrds</v>
      </c>
      <c r="D46" s="270">
        <f>IFERROR(__xludf.DUMMYFUNCTION("""COMPUTED_VALUE"""),8.1399166275E10)</f>
        <v>81399166275</v>
      </c>
      <c r="E46" s="271">
        <f>IFERROR(__xludf.DUMMYFUNCTION("""COMPUTED_VALUE"""),0.0)</f>
        <v>0</v>
      </c>
      <c r="F46" s="270">
        <f>IFERROR(__xludf.DUMMYFUNCTION("""COMPUTED_VALUE"""),2.0)</f>
        <v>2</v>
      </c>
      <c r="G46" s="25" t="str">
        <f>IFERROR(__xludf.DUMMYFUNCTION("""COMPUTED_VALUE"""),"Rp50JT")</f>
        <v>Rp50JT</v>
      </c>
      <c r="H46" s="259" t="str">
        <f>IFERROR(__xludf.DUMMYFUNCTION("""COMPUTED_VALUE"""),"Facial Glowing Peeling Gel")</f>
        <v>Facial Glowing Peeling Gel</v>
      </c>
      <c r="I46" s="260" t="str">
        <f>IFERROR(__xludf.DUMMYFUNCTION("""COMPUTED_VALUE"""),"Done Req Sample")</f>
        <v>Done Req Sample</v>
      </c>
      <c r="J46" s="261"/>
      <c r="K46" s="262"/>
      <c r="L46" s="261"/>
      <c r="M46" s="262"/>
      <c r="N46" s="261"/>
      <c r="O46" s="17"/>
      <c r="P46" s="261"/>
      <c r="Q46" s="17"/>
      <c r="R46" s="266"/>
      <c r="S46" s="266"/>
      <c r="T46" s="266"/>
      <c r="U46" s="266"/>
    </row>
    <row r="47">
      <c r="A47" s="255" t="str">
        <f>IFERROR(__xludf.DUMMYFUNCTION("""COMPUTED_VALUE"""),"MICRO")</f>
        <v>MICRO</v>
      </c>
      <c r="B47" s="23" t="str">
        <f>IFERROR(__xludf.DUMMYFUNCTION("""COMPUTED_VALUE"""),"hayati_kdg1")</f>
        <v>hayati_kdg1</v>
      </c>
      <c r="C47" s="257" t="str">
        <f>IFERROR(__xludf.DUMMYFUNCTION("""COMPUTED_VALUE"""),"https://www.tiktok.com/@hayati_kdg1")</f>
        <v>https://www.tiktok.com/@hayati_kdg1</v>
      </c>
      <c r="D47" s="270">
        <f>IFERROR(__xludf.DUMMYFUNCTION("""COMPUTED_VALUE"""),8.9529749336E10)</f>
        <v>89529749336</v>
      </c>
      <c r="E47" s="271">
        <f>IFERROR(__xludf.DUMMYFUNCTION("""COMPUTED_VALUE"""),0.0)</f>
        <v>0</v>
      </c>
      <c r="F47" s="270">
        <f>IFERROR(__xludf.DUMMYFUNCTION("""COMPUTED_VALUE"""),2.0)</f>
        <v>2</v>
      </c>
      <c r="G47" s="25" t="str">
        <f>IFERROR(__xludf.DUMMYFUNCTION("""COMPUTED_VALUE"""),"Rp21,2JT")</f>
        <v>Rp21,2JT</v>
      </c>
      <c r="H47" s="259" t="str">
        <f>IFERROR(__xludf.DUMMYFUNCTION("""COMPUTED_VALUE"""),"Skinboost Body Toner")</f>
        <v>Skinboost Body Toner</v>
      </c>
      <c r="I47" s="260" t="str">
        <f>IFERROR(__xludf.DUMMYFUNCTION("""COMPUTED_VALUE"""),"Done Req Sample")</f>
        <v>Done Req Sample</v>
      </c>
      <c r="J47" s="261"/>
      <c r="K47" s="262"/>
      <c r="L47" s="261"/>
      <c r="M47" s="262"/>
      <c r="N47" s="261"/>
      <c r="O47" s="17"/>
      <c r="P47" s="261"/>
      <c r="Q47" s="17"/>
      <c r="R47" s="266"/>
      <c r="S47" s="266"/>
      <c r="T47" s="266"/>
      <c r="U47" s="266"/>
    </row>
    <row r="48">
      <c r="A48" s="255" t="str">
        <f>IFERROR(__xludf.DUMMYFUNCTION("""COMPUTED_VALUE"""),"NANO")</f>
        <v>NANO</v>
      </c>
      <c r="B48" s="23" t="str">
        <f>IFERROR(__xludf.DUMMYFUNCTION("""COMPUTED_VALUE"""),"ayuulestariii31")</f>
        <v>ayuulestariii31</v>
      </c>
      <c r="C48" s="257" t="str">
        <f>IFERROR(__xludf.DUMMYFUNCTION("""COMPUTED_VALUE"""),"https://www.tiktok.com/@ayuulestariii31")</f>
        <v>https://www.tiktok.com/@ayuulestariii31</v>
      </c>
      <c r="D48" s="270">
        <f>IFERROR(__xludf.DUMMYFUNCTION("""COMPUTED_VALUE"""),8.511780311E10)</f>
        <v>85117803110</v>
      </c>
      <c r="E48" s="271">
        <f>IFERROR(__xludf.DUMMYFUNCTION("""COMPUTED_VALUE"""),500000.0)</f>
        <v>500000</v>
      </c>
      <c r="F48" s="270">
        <f>IFERROR(__xludf.DUMMYFUNCTION("""COMPUTED_VALUE"""),1.0)</f>
        <v>1</v>
      </c>
      <c r="G48" s="25" t="str">
        <f>IFERROR(__xludf.DUMMYFUNCTION("""COMPUTED_VALUE"""),"Rp 82,520,000")</f>
        <v>Rp 82,520,000</v>
      </c>
      <c r="H48" s="259" t="str">
        <f>IFERROR(__xludf.DUMMYFUNCTION("""COMPUTED_VALUE"""),"Skinboost Body Toner")</f>
        <v>Skinboost Body Toner</v>
      </c>
      <c r="I48" s="260" t="str">
        <f>IFERROR(__xludf.DUMMYFUNCTION("""COMPUTED_VALUE"""),"Done Req Sample")</f>
        <v>Done Req Sample</v>
      </c>
      <c r="J48" s="261"/>
      <c r="K48" s="262"/>
      <c r="L48" s="261"/>
      <c r="M48" s="262"/>
      <c r="N48" s="261"/>
      <c r="O48" s="17"/>
      <c r="P48" s="261"/>
      <c r="Q48" s="17"/>
      <c r="R48" s="266"/>
      <c r="S48" s="266"/>
      <c r="T48" s="266"/>
      <c r="U48" s="266"/>
    </row>
    <row r="49">
      <c r="A49" s="255" t="str">
        <f>IFERROR(__xludf.DUMMYFUNCTION("""COMPUTED_VALUE"""),"NANO")</f>
        <v>NANO</v>
      </c>
      <c r="B49" s="23" t="str">
        <f>IFERROR(__xludf.DUMMYFUNCTION("""COMPUTED_VALUE"""),"deabeautyy")</f>
        <v>deabeautyy</v>
      </c>
      <c r="C49" s="257" t="str">
        <f>IFERROR(__xludf.DUMMYFUNCTION("""COMPUTED_VALUE"""),"https://www.tiktok.com/@deabeautyy")</f>
        <v>https://www.tiktok.com/@deabeautyy</v>
      </c>
      <c r="D49" s="270">
        <f>IFERROR(__xludf.DUMMYFUNCTION("""COMPUTED_VALUE"""),8.3819988417E10)</f>
        <v>83819988417</v>
      </c>
      <c r="E49" s="271">
        <f>IFERROR(__xludf.DUMMYFUNCTION("""COMPUTED_VALUE"""),0.0)</f>
        <v>0</v>
      </c>
      <c r="F49" s="270">
        <f>IFERROR(__xludf.DUMMYFUNCTION("""COMPUTED_VALUE"""),2.0)</f>
        <v>2</v>
      </c>
      <c r="G49" s="25" t="str">
        <f>IFERROR(__xludf.DUMMYFUNCTION("""COMPUTED_VALUE"""),"Rp44,9JT")</f>
        <v>Rp44,9JT</v>
      </c>
      <c r="H49" s="259" t="str">
        <f>IFERROR(__xludf.DUMMYFUNCTION("""COMPUTED_VALUE"""),"Skinboost Body Toner")</f>
        <v>Skinboost Body Toner</v>
      </c>
      <c r="I49" s="260" t="str">
        <f>IFERROR(__xludf.DUMMYFUNCTION("""COMPUTED_VALUE"""),"Sampai")</f>
        <v>Sampai</v>
      </c>
      <c r="J49" s="261" t="str">
        <f>IFERROR(__xludf.DUMMYFUNCTION("""COMPUTED_VALUE""")," Concept 1")</f>
        <v> Concept 1</v>
      </c>
      <c r="K49" s="278" t="str">
        <f>IFERROR(__xludf.DUMMYFUNCTION("""COMPUTED_VALUE"""),"https://vt.tiktok.com/ZSx9FEgMG/")</f>
        <v>https://vt.tiktok.com/ZSx9FEgMG/</v>
      </c>
      <c r="L49" s="261" t="str">
        <f>IFERROR(__xludf.DUMMYFUNCTION("""COMPUTED_VALUE""")," Concept 1")</f>
        <v> Concept 1</v>
      </c>
      <c r="M49" s="278" t="str">
        <f>IFERROR(__xludf.DUMMYFUNCTION("""COMPUTED_VALUE"""),"https://vt.tiktok.com/ZSx9FEngt/")</f>
        <v>https://vt.tiktok.com/ZSx9FEngt/</v>
      </c>
      <c r="N49" s="261" t="str">
        <f>IFERROR(__xludf.DUMMYFUNCTION("""COMPUTED_VALUE""")," Concept 1")</f>
        <v> Concept 1</v>
      </c>
      <c r="O49" s="279" t="str">
        <f>IFERROR(__xludf.DUMMYFUNCTION("""COMPUTED_VALUE"""),"https://vt.tiktok.com/ZSx9F3Wv6/")</f>
        <v>https://vt.tiktok.com/ZSx9F3Wv6/</v>
      </c>
      <c r="P49" s="261"/>
      <c r="Q49" s="17"/>
      <c r="R49" s="266"/>
      <c r="S49" s="266"/>
      <c r="T49" s="266"/>
      <c r="U49" s="266"/>
    </row>
    <row r="50">
      <c r="A50" s="255" t="str">
        <f>IFERROR(__xludf.DUMMYFUNCTION("""COMPUTED_VALUE"""),"MICRO")</f>
        <v>MICRO</v>
      </c>
      <c r="B50" s="23" t="str">
        <f>IFERROR(__xludf.DUMMYFUNCTION("""COMPUTED_VALUE"""),"onediyah_")</f>
        <v>onediyah_</v>
      </c>
      <c r="C50" s="257" t="str">
        <f>IFERROR(__xludf.DUMMYFUNCTION("""COMPUTED_VALUE"""),"https://www.tiktok.com/@onediyah_")</f>
        <v>https://www.tiktok.com/@onediyah_</v>
      </c>
      <c r="D50" s="270">
        <f>IFERROR(__xludf.DUMMYFUNCTION("""COMPUTED_VALUE"""),8.5607716803E10)</f>
        <v>85607716803</v>
      </c>
      <c r="E50" s="271">
        <f>IFERROR(__xludf.DUMMYFUNCTION("""COMPUTED_VALUE"""),0.0)</f>
        <v>0</v>
      </c>
      <c r="F50" s="270">
        <f>IFERROR(__xludf.DUMMYFUNCTION("""COMPUTED_VALUE"""),2.0)</f>
        <v>2</v>
      </c>
      <c r="G50" s="25" t="str">
        <f>IFERROR(__xludf.DUMMYFUNCTION("""COMPUTED_VALUE"""),"Rp108,1JT")</f>
        <v>Rp108,1JT</v>
      </c>
      <c r="H50" s="259" t="str">
        <f>IFERROR(__xludf.DUMMYFUNCTION("""COMPUTED_VALUE"""),"White Essence Moisturizing Spray")</f>
        <v>White Essence Moisturizing Spray</v>
      </c>
      <c r="I50" s="260" t="str">
        <f>IFERROR(__xludf.DUMMYFUNCTION("""COMPUTED_VALUE"""),"Sampai")</f>
        <v>Sampai</v>
      </c>
      <c r="J50" s="261" t="str">
        <f>IFERROR(__xludf.DUMMYFUNCTION("""COMPUTED_VALUE"""),"Concept 3")</f>
        <v>Concept 3</v>
      </c>
      <c r="K50" s="278" t="str">
        <f>IFERROR(__xludf.DUMMYFUNCTION("""COMPUTED_VALUE"""),"https://www.tiktok.com/@onediyah_/video/7645152220526365973?is_from_webapp=1&amp;sender_device=pc")</f>
        <v>https://www.tiktok.com/@onediyah_/video/7645152220526365973?is_from_webapp=1&amp;sender_device=pc</v>
      </c>
      <c r="L50" s="261" t="str">
        <f>IFERROR(__xludf.DUMMYFUNCTION("""COMPUTED_VALUE"""),"Concept 3")</f>
        <v>Concept 3</v>
      </c>
      <c r="M50" s="278" t="str">
        <f>IFERROR(__xludf.DUMMYFUNCTION("""COMPUTED_VALUE"""),"https://www.tiktok.com/@onediyah_/video/7645152442903989524?is_from_webapp=1&amp;sender_device=pc")</f>
        <v>https://www.tiktok.com/@onediyah_/video/7645152442903989524?is_from_webapp=1&amp;sender_device=pc</v>
      </c>
      <c r="N50" s="261"/>
      <c r="O50" s="17"/>
      <c r="P50" s="261"/>
      <c r="Q50" s="17"/>
      <c r="R50" s="266"/>
      <c r="S50" s="266"/>
      <c r="T50" s="266"/>
      <c r="U50" s="266"/>
    </row>
    <row r="51">
      <c r="A51" s="255" t="str">
        <f>IFERROR(__xludf.DUMMYFUNCTION("""COMPUTED_VALUE"""),"NANO")</f>
        <v>NANO</v>
      </c>
      <c r="B51" s="257" t="str">
        <f>IFERROR(__xludf.DUMMYFUNCTION("""COMPUTED_VALUE"""),"ameccaa.id")</f>
        <v>ameccaa.id</v>
      </c>
      <c r="C51" s="257" t="str">
        <f>IFERROR(__xludf.DUMMYFUNCTION("""COMPUTED_VALUE"""),"https://www.tiktok.com/@ameccaa.id")</f>
        <v>https://www.tiktok.com/@ameccaa.id</v>
      </c>
      <c r="D51" s="270">
        <f>IFERROR(__xludf.DUMMYFUNCTION("""COMPUTED_VALUE"""),8.5796530526E10)</f>
        <v>85796530526</v>
      </c>
      <c r="E51" s="271">
        <f>IFERROR(__xludf.DUMMYFUNCTION("""COMPUTED_VALUE"""),0.0)</f>
        <v>0</v>
      </c>
      <c r="F51" s="270">
        <f>IFERROR(__xludf.DUMMYFUNCTION("""COMPUTED_VALUE"""),2.0)</f>
        <v>2</v>
      </c>
      <c r="G51" s="25" t="str">
        <f>IFERROR(__xludf.DUMMYFUNCTION("""COMPUTED_VALUE"""),"Rp270JT")</f>
        <v>Rp270JT</v>
      </c>
      <c r="H51" s="259" t="str">
        <f>IFERROR(__xludf.DUMMYFUNCTION("""COMPUTED_VALUE"""),"White Essence Moisturizing Spray")</f>
        <v>White Essence Moisturizing Spray</v>
      </c>
      <c r="I51" s="260" t="str">
        <f>IFERROR(__xludf.DUMMYFUNCTION("""COMPUTED_VALUE"""),"Done Req Sample")</f>
        <v>Done Req Sample</v>
      </c>
      <c r="J51" s="261"/>
      <c r="K51" s="262"/>
      <c r="L51" s="261"/>
      <c r="M51" s="262"/>
      <c r="N51" s="261"/>
      <c r="O51" s="17"/>
      <c r="P51" s="261"/>
      <c r="Q51" s="17"/>
      <c r="R51" s="266"/>
      <c r="S51" s="266"/>
      <c r="T51" s="266"/>
      <c r="U51" s="266"/>
    </row>
    <row r="52">
      <c r="A52" s="255" t="str">
        <f>IFERROR(__xludf.DUMMYFUNCTION("""COMPUTED_VALUE"""),"NANO")</f>
        <v>NANO</v>
      </c>
      <c r="B52" s="23" t="str">
        <f>IFERROR(__xludf.DUMMYFUNCTION("""COMPUTED_VALUE"""),"septiatj_")</f>
        <v>septiatj_</v>
      </c>
      <c r="C52" s="257" t="str">
        <f>IFERROR(__xludf.DUMMYFUNCTION("""COMPUTED_VALUE"""),"https://www.tiktok.com/@septiatj_")</f>
        <v>https://www.tiktok.com/@septiatj_</v>
      </c>
      <c r="D52" s="270">
        <f>IFERROR(__xludf.DUMMYFUNCTION("""COMPUTED_VALUE"""),8.5216983281E10)</f>
        <v>85216983281</v>
      </c>
      <c r="E52" s="271">
        <f>IFERROR(__xludf.DUMMYFUNCTION("""COMPUTED_VALUE"""),0.0)</f>
        <v>0</v>
      </c>
      <c r="F52" s="270">
        <f>IFERROR(__xludf.DUMMYFUNCTION("""COMPUTED_VALUE"""),2.0)</f>
        <v>2</v>
      </c>
      <c r="G52" s="25" t="str">
        <f>IFERROR(__xludf.DUMMYFUNCTION("""COMPUTED_VALUE"""),"Rp13,8JT")</f>
        <v>Rp13,8JT</v>
      </c>
      <c r="H52" s="259" t="str">
        <f>IFERROR(__xludf.DUMMYFUNCTION("""COMPUTED_VALUE"""),"Skinboost Body Toner")</f>
        <v>Skinboost Body Toner</v>
      </c>
      <c r="I52" s="260" t="str">
        <f>IFERROR(__xludf.DUMMYFUNCTION("""COMPUTED_VALUE"""),"Done Req Sample")</f>
        <v>Done Req Sample</v>
      </c>
      <c r="J52" s="261"/>
      <c r="K52" s="262"/>
      <c r="L52" s="261"/>
      <c r="M52" s="262"/>
      <c r="N52" s="261"/>
      <c r="O52" s="17"/>
      <c r="P52" s="261"/>
      <c r="Q52" s="17"/>
      <c r="R52" s="266"/>
      <c r="S52" s="266"/>
      <c r="T52" s="266"/>
      <c r="U52" s="266"/>
    </row>
    <row r="53">
      <c r="A53" s="255" t="str">
        <f>IFERROR(__xludf.DUMMYFUNCTION("""COMPUTED_VALUE"""),"MACRO")</f>
        <v>MACRO</v>
      </c>
      <c r="B53" s="23" t="str">
        <f>IFERROR(__xludf.DUMMYFUNCTION("""COMPUTED_VALUE"""),"hanisasarah18")</f>
        <v>hanisasarah18</v>
      </c>
      <c r="C53" s="257" t="str">
        <f>IFERROR(__xludf.DUMMYFUNCTION("""COMPUTED_VALUE"""),"https://www.tiktok.com/@hanisasarah18")</f>
        <v>https://www.tiktok.com/@hanisasarah18</v>
      </c>
      <c r="D53" s="270">
        <f>IFERROR(__xludf.DUMMYFUNCTION("""COMPUTED_VALUE"""),8.5270146037E10)</f>
        <v>85270146037</v>
      </c>
      <c r="E53" s="271">
        <f>IFERROR(__xludf.DUMMYFUNCTION("""COMPUTED_VALUE"""),0.0)</f>
        <v>0</v>
      </c>
      <c r="F53" s="270">
        <f>IFERROR(__xludf.DUMMYFUNCTION("""COMPUTED_VALUE"""),2.0)</f>
        <v>2</v>
      </c>
      <c r="G53" s="25" t="str">
        <f>IFERROR(__xludf.DUMMYFUNCTION("""COMPUTED_VALUE"""),"Rp6,4JT")</f>
        <v>Rp6,4JT</v>
      </c>
      <c r="H53" s="259" t="str">
        <f>IFERROR(__xludf.DUMMYFUNCTION("""COMPUTED_VALUE"""),"Facial Glowing Peeling Gel")</f>
        <v>Facial Glowing Peeling Gel</v>
      </c>
      <c r="I53" s="260" t="str">
        <f>IFERROR(__xludf.DUMMYFUNCTION("""COMPUTED_VALUE"""),"Sampai")</f>
        <v>Sampai</v>
      </c>
      <c r="J53" s="261" t="str">
        <f>IFERROR(__xludf.DUMMYFUNCTION("""COMPUTED_VALUE""")," Concept 1")</f>
        <v> Concept 1</v>
      </c>
      <c r="K53" s="278" t="str">
        <f>IFERROR(__xludf.DUMMYFUNCTION("""COMPUTED_VALUE"""),"https://vt.tiktok.com/ZSxAJkrNd/")</f>
        <v>https://vt.tiktok.com/ZSxAJkrNd/</v>
      </c>
      <c r="L53" s="261"/>
      <c r="M53" s="262"/>
      <c r="N53" s="261"/>
      <c r="O53" s="17"/>
      <c r="P53" s="261"/>
      <c r="Q53" s="17"/>
      <c r="R53" s="266">
        <f>IFERROR(__xludf.DUMMYFUNCTION("""COMPUTED_VALUE"""),63501.0)</f>
        <v>63501</v>
      </c>
      <c r="S53" s="266"/>
      <c r="T53" s="266"/>
      <c r="U53" s="266"/>
    </row>
    <row r="54">
      <c r="A54" s="255" t="str">
        <f>IFERROR(__xludf.DUMMYFUNCTION("""COMPUTED_VALUE"""),"MICRO")</f>
        <v>MICRO</v>
      </c>
      <c r="B54" s="23" t="str">
        <f>IFERROR(__xludf.DUMMYFUNCTION("""COMPUTED_VALUE"""),"nris9")</f>
        <v>nris9</v>
      </c>
      <c r="C54" s="257" t="str">
        <f>IFERROR(__xludf.DUMMYFUNCTION("""COMPUTED_VALUE"""),"https://www.tiktok.com/@nris9")</f>
        <v>https://www.tiktok.com/@nris9</v>
      </c>
      <c r="D54" s="270">
        <f>IFERROR(__xludf.DUMMYFUNCTION("""COMPUTED_VALUE"""),8.7721316159E10)</f>
        <v>87721316159</v>
      </c>
      <c r="E54" s="271">
        <f>IFERROR(__xludf.DUMMYFUNCTION("""COMPUTED_VALUE"""),150000.0)</f>
        <v>150000</v>
      </c>
      <c r="F54" s="270">
        <f>IFERROR(__xludf.DUMMYFUNCTION("""COMPUTED_VALUE"""),1.0)</f>
        <v>1</v>
      </c>
      <c r="G54" s="25" t="str">
        <f>IFERROR(__xludf.DUMMYFUNCTION("""COMPUTED_VALUE"""),"Rp664,3JT")</f>
        <v>Rp664,3JT</v>
      </c>
      <c r="H54" s="259" t="str">
        <f>IFERROR(__xludf.DUMMYFUNCTION("""COMPUTED_VALUE"""),"Facial Glowing Peeling Gel")</f>
        <v>Facial Glowing Peeling Gel</v>
      </c>
      <c r="I54" s="260" t="str">
        <f>IFERROR(__xludf.DUMMYFUNCTION("""COMPUTED_VALUE"""),"Sampai")</f>
        <v>Sampai</v>
      </c>
      <c r="J54" s="261" t="str">
        <f>IFERROR(__xludf.DUMMYFUNCTION("""COMPUTED_VALUE"""),"Concept 2")</f>
        <v>Concept 2</v>
      </c>
      <c r="K54" s="278" t="str">
        <f>IFERROR(__xludf.DUMMYFUNCTION("""COMPUTED_VALUE"""),"https://vt.tiktok.com/ZSQ1QgA1b/")</f>
        <v>https://vt.tiktok.com/ZSQ1QgA1b/</v>
      </c>
      <c r="L54" s="261"/>
      <c r="M54" s="262"/>
      <c r="N54" s="261"/>
      <c r="O54" s="17"/>
      <c r="P54" s="261"/>
      <c r="Q54" s="17"/>
      <c r="R54" s="266">
        <f>IFERROR(__xludf.DUMMYFUNCTION("""COMPUTED_VALUE"""),108071.0)</f>
        <v>108071</v>
      </c>
      <c r="S54" s="266"/>
      <c r="T54" s="266"/>
      <c r="U54" s="266"/>
    </row>
    <row r="55">
      <c r="A55" s="255" t="str">
        <f>IFERROR(__xludf.DUMMYFUNCTION("""COMPUTED_VALUE"""),"NANO")</f>
        <v>NANO</v>
      </c>
      <c r="B55" s="23" t="str">
        <f>IFERROR(__xludf.DUMMYFUNCTION("""COMPUTED_VALUE"""),"meell.yy")</f>
        <v>meell.yy</v>
      </c>
      <c r="C55" s="257" t="str">
        <f>IFERROR(__xludf.DUMMYFUNCTION("""COMPUTED_VALUE"""),"https://www.tiktok.com/@meell.yy")</f>
        <v>https://www.tiktok.com/@meell.yy</v>
      </c>
      <c r="D55" s="270">
        <f>IFERROR(__xludf.DUMMYFUNCTION("""COMPUTED_VALUE"""),8.1268569157E10)</f>
        <v>81268569157</v>
      </c>
      <c r="E55" s="271">
        <f>IFERROR(__xludf.DUMMYFUNCTION("""COMPUTED_VALUE"""),0.0)</f>
        <v>0</v>
      </c>
      <c r="F55" s="270">
        <f>IFERROR(__xludf.DUMMYFUNCTION("""COMPUTED_VALUE"""),2.0)</f>
        <v>2</v>
      </c>
      <c r="G55" s="25" t="str">
        <f>IFERROR(__xludf.DUMMYFUNCTION("""COMPUTED_VALUE"""),"Rp132,7JT")</f>
        <v>Rp132,7JT</v>
      </c>
      <c r="H55" s="259" t="str">
        <f>IFERROR(__xludf.DUMMYFUNCTION("""COMPUTED_VALUE"""),"Skinboost Body Toner")</f>
        <v>Skinboost Body Toner</v>
      </c>
      <c r="I55" s="260" t="str">
        <f>IFERROR(__xludf.DUMMYFUNCTION("""COMPUTED_VALUE"""),"Sampai")</f>
        <v>Sampai</v>
      </c>
      <c r="J55" s="261" t="str">
        <f>IFERROR(__xludf.DUMMYFUNCTION("""COMPUTED_VALUE"""),"Concept 3")</f>
        <v>Concept 3</v>
      </c>
      <c r="K55" s="278" t="str">
        <f>IFERROR(__xludf.DUMMYFUNCTION("""COMPUTED_VALUE"""),"https://www.tiktok.com/@meell.yy/video/7644050078956621064?_r=1&amp;u_code=de8c4i13me21ek&amp;region=&amp;mid=7587565342097656596&amp;preview_pb=0&amp;sharer_language=&amp;_d=0&amp;ec_shared_reflux_dynamic_params=%7B%22placeholder_material_id%22%3A%227644050078956621064%22%2C%22plac"&amp;"eholder_origin_cover%22%3A%22https%253A%252F%252Fp16-common-sign.tiktokcdn.com%252Ftos-alisg-p-0037%252Fowf1XmIcCmBCaVHiPHi9dImxAYO1IwA5o3CupA~tplv-tiktokx-origin.jpeg%253Fdr%253D14572%2526refresh_token%253Dcd29e208%2526x-expires%253D1811473200%2526x-sign"&amp;"ature%253Dh1BJ5I9LFZ2OtB5cy8%25252B3nscp4zQ%25253D%2526t%253D4d5b0474%2526ps%253D13740610%2526shp%253Dd05b14bd%2526shcp%253D34ff8df6%2526idc%253Dmy%2526s%253DTIKTOK_AFFILIATE_VIRAL_VIDEO%22%2C%22placeholder_product_id%22%3A%221729558297773246209%22%2C%22p"&amp;"laceholder_video_id%22%3A%227644050078956621064%22%7D&amp;ec_shared_reflux_scene=shop_tab_feed&amp;share_item_id=7644050078956621064&amp;source=h5_t")</f>
        <v>https://www.tiktok.com/@meell.yy/video/7644050078956621064?_r=1&amp;u_code=de8c4i13me21ek&amp;region=&amp;mid=7587565342097656596&amp;preview_pb=0&amp;sharer_language=&amp;_d=0&amp;ec_shared_reflux_dynamic_params=%7B%22placeholder_material_id%22%3A%227644050078956621064%22%2C%22placeholder_origin_cover%22%3A%22https%253A%252F%252Fp16-common-sign.tiktokcdn.com%252Ftos-alisg-p-0037%252Fowf1XmIcCmBCaVHiPHi9dImxAYO1IwA5o3CupA~tplv-tiktokx-origin.jpeg%253Fdr%253D14572%2526refresh_token%253Dcd29e208%2526x-expires%253D1811473200%2526x-signature%253Dh1BJ5I9LFZ2OtB5cy8%25252B3nscp4zQ%25253D%2526t%253D4d5b0474%2526ps%253D13740610%2526shp%253Dd05b14bd%2526shcp%253D34ff8df6%2526idc%253Dmy%2526s%253DTIKTOK_AFFILIATE_VIRAL_VIDEO%22%2C%22placeholder_product_id%22%3A%221729558297773246209%22%2C%22placeholder_video_id%22%3A%227644050078956621064%22%7D&amp;ec_shared_reflux_scene=shop_tab_feed&amp;share_item_id=7644050078956621064&amp;source=h5_t</v>
      </c>
      <c r="L55" s="261" t="str">
        <f>IFERROR(__xludf.DUMMYFUNCTION("""COMPUTED_VALUE"""),"Concept 3")</f>
        <v>Concept 3</v>
      </c>
      <c r="M55" s="278" t="str">
        <f>IFERROR(__xludf.DUMMYFUNCTION("""COMPUTED_VALUE"""),"https://www.tiktok.com/@meell.yy/video/7646997211670138120?is_from_webapp=1&amp;sender_device=pc")</f>
        <v>https://www.tiktok.com/@meell.yy/video/7646997211670138120?is_from_webapp=1&amp;sender_device=pc</v>
      </c>
      <c r="N55" s="261"/>
      <c r="O55" s="17"/>
      <c r="P55" s="261"/>
      <c r="Q55" s="17"/>
      <c r="R55" s="266"/>
      <c r="S55" s="266"/>
      <c r="T55" s="266"/>
      <c r="U55" s="266"/>
    </row>
    <row r="56">
      <c r="A56" s="255" t="str">
        <f>IFERROR(__xludf.DUMMYFUNCTION("""COMPUTED_VALUE"""),"MICRO")</f>
        <v>MICRO</v>
      </c>
      <c r="B56" s="23" t="str">
        <f>IFERROR(__xludf.DUMMYFUNCTION("""COMPUTED_VALUE"""),"lilieesel")</f>
        <v>lilieesel</v>
      </c>
      <c r="C56" s="257" t="str">
        <f>IFERROR(__xludf.DUMMYFUNCTION("""COMPUTED_VALUE"""),"https://www.tiktok.com/@lilieesel")</f>
        <v>https://www.tiktok.com/@lilieesel</v>
      </c>
      <c r="D56" s="270">
        <f>IFERROR(__xludf.DUMMYFUNCTION("""COMPUTED_VALUE"""),8.1256534919E10)</f>
        <v>81256534919</v>
      </c>
      <c r="E56" s="271">
        <f>IFERROR(__xludf.DUMMYFUNCTION("""COMPUTED_VALUE"""),300000.0)</f>
        <v>300000</v>
      </c>
      <c r="F56" s="270">
        <f>IFERROR(__xludf.DUMMYFUNCTION("""COMPUTED_VALUE"""),1.0)</f>
        <v>1</v>
      </c>
      <c r="G56" s="25" t="str">
        <f>IFERROR(__xludf.DUMMYFUNCTION("""COMPUTED_VALUE"""),"Rp1JT+")</f>
        <v>Rp1JT+</v>
      </c>
      <c r="H56" s="259" t="str">
        <f>IFERROR(__xludf.DUMMYFUNCTION("""COMPUTED_VALUE"""),"Skinboost Body Toner")</f>
        <v>Skinboost Body Toner</v>
      </c>
      <c r="I56" s="260" t="str">
        <f>IFERROR(__xludf.DUMMYFUNCTION("""COMPUTED_VALUE"""),"Done Req Sample")</f>
        <v>Done Req Sample</v>
      </c>
      <c r="J56" s="261"/>
      <c r="K56" s="262"/>
      <c r="L56" s="261"/>
      <c r="M56" s="262"/>
      <c r="N56" s="261"/>
      <c r="O56" s="17"/>
      <c r="P56" s="261"/>
      <c r="Q56" s="17"/>
      <c r="R56" s="266"/>
      <c r="S56" s="266"/>
      <c r="T56" s="266"/>
      <c r="U56" s="266"/>
    </row>
    <row r="57">
      <c r="A57" s="255" t="str">
        <f>IFERROR(__xludf.DUMMYFUNCTION("""COMPUTED_VALUE"""),"NANO")</f>
        <v>NANO</v>
      </c>
      <c r="B57" s="23" t="str">
        <f>IFERROR(__xludf.DUMMYFUNCTION("""COMPUTED_VALUE"""),"rik.amlia")</f>
        <v>rik.amlia</v>
      </c>
      <c r="C57" s="257" t="str">
        <f>IFERROR(__xludf.DUMMYFUNCTION("""COMPUTED_VALUE"""),"https://www.tiktok.com/@rik.amlia")</f>
        <v>https://www.tiktok.com/@rik.amlia</v>
      </c>
      <c r="D57" s="270">
        <f>IFERROR(__xludf.DUMMYFUNCTION("""COMPUTED_VALUE"""),8.5770454311E10)</f>
        <v>85770454311</v>
      </c>
      <c r="E57" s="271">
        <f>IFERROR(__xludf.DUMMYFUNCTION("""COMPUTED_VALUE"""),0.0)</f>
        <v>0</v>
      </c>
      <c r="F57" s="270">
        <f>IFERROR(__xludf.DUMMYFUNCTION("""COMPUTED_VALUE"""),1.0)</f>
        <v>1</v>
      </c>
      <c r="G57" s="25" t="str">
        <f>IFERROR(__xludf.DUMMYFUNCTION("""COMPUTED_VALUE"""),"Rp63JT")</f>
        <v>Rp63JT</v>
      </c>
      <c r="H57" s="259" t="str">
        <f>IFERROR(__xludf.DUMMYFUNCTION("""COMPUTED_VALUE"""),"Facial Glowing Peeling Gel")</f>
        <v>Facial Glowing Peeling Gel</v>
      </c>
      <c r="I57" s="260" t="str">
        <f>IFERROR(__xludf.DUMMYFUNCTION("""COMPUTED_VALUE"""),"Done Req Sample")</f>
        <v>Done Req Sample</v>
      </c>
      <c r="J57" s="261"/>
      <c r="K57" s="262"/>
      <c r="L57" s="261"/>
      <c r="M57" s="262"/>
      <c r="N57" s="261"/>
      <c r="O57" s="17"/>
      <c r="P57" s="261"/>
      <c r="Q57" s="17"/>
      <c r="R57" s="266"/>
      <c r="S57" s="266">
        <f>IFERROR(__xludf.DUMMYFUNCTION("""COMPUTED_VALUE"""),43210.0)</f>
        <v>43210</v>
      </c>
      <c r="T57" s="266"/>
      <c r="U57" s="266"/>
    </row>
    <row r="58">
      <c r="A58" s="255" t="str">
        <f>IFERROR(__xludf.DUMMYFUNCTION("""COMPUTED_VALUE"""),"NANO")</f>
        <v>NANO</v>
      </c>
      <c r="B58" s="23" t="str">
        <f>IFERROR(__xludf.DUMMYFUNCTION("""COMPUTED_VALUE"""),"tiktokshopp017")</f>
        <v>tiktokshopp017</v>
      </c>
      <c r="C58" s="257" t="str">
        <f>IFERROR(__xludf.DUMMYFUNCTION("""COMPUTED_VALUE"""),"https://www.tiktok.com/@tiktokshopp017")</f>
        <v>https://www.tiktok.com/@tiktokshopp017</v>
      </c>
      <c r="D58" s="270">
        <f>IFERROR(__xludf.DUMMYFUNCTION("""COMPUTED_VALUE"""),8.818239249E9)</f>
        <v>8818239249</v>
      </c>
      <c r="E58" s="271">
        <f>IFERROR(__xludf.DUMMYFUNCTION("""COMPUTED_VALUE"""),0.0)</f>
        <v>0</v>
      </c>
      <c r="F58" s="270">
        <f>IFERROR(__xludf.DUMMYFUNCTION("""COMPUTED_VALUE"""),2.0)</f>
        <v>2</v>
      </c>
      <c r="G58" s="25" t="str">
        <f>IFERROR(__xludf.DUMMYFUNCTION("""COMPUTED_VALUE"""),"Rp9,1JT")</f>
        <v>Rp9,1JT</v>
      </c>
      <c r="H58" s="259" t="str">
        <f>IFERROR(__xludf.DUMMYFUNCTION("""COMPUTED_VALUE"""),"Skinboost Body Toner")</f>
        <v>Skinboost Body Toner</v>
      </c>
      <c r="I58" s="260" t="str">
        <f>IFERROR(__xludf.DUMMYFUNCTION("""COMPUTED_VALUE"""),"Sampai")</f>
        <v>Sampai</v>
      </c>
      <c r="J58" s="261" t="str">
        <f>IFERROR(__xludf.DUMMYFUNCTION("""COMPUTED_VALUE""")," Concept 1")</f>
        <v> Concept 1</v>
      </c>
      <c r="K58" s="278" t="str">
        <f>IFERROR(__xludf.DUMMYFUNCTION("""COMPUTED_VALUE"""),"https://vt.tiktok.com/ZSxEoCUD4/")</f>
        <v>https://vt.tiktok.com/ZSxEoCUD4/</v>
      </c>
      <c r="L58" s="261" t="str">
        <f>IFERROR(__xludf.DUMMYFUNCTION("""COMPUTED_VALUE""")," Concept 1")</f>
        <v> Concept 1</v>
      </c>
      <c r="M58" s="278" t="str">
        <f>IFERROR(__xludf.DUMMYFUNCTION("""COMPUTED_VALUE"""),"https://www.tiktok.com/@tiktokshopp017/video/7647148840272825621?is_from_webapp=1&amp;sender_device=pc")</f>
        <v>https://www.tiktok.com/@tiktokshopp017/video/7647148840272825621?is_from_webapp=1&amp;sender_device=pc</v>
      </c>
      <c r="N58" s="261"/>
      <c r="O58" s="17"/>
      <c r="P58" s="261"/>
      <c r="Q58" s="17"/>
      <c r="R58" s="266"/>
      <c r="S58" s="266"/>
      <c r="T58" s="266"/>
      <c r="U58" s="266"/>
    </row>
    <row r="59">
      <c r="A59" s="255" t="str">
        <f>IFERROR(__xludf.DUMMYFUNCTION("""COMPUTED_VALUE"""),"MICRO")</f>
        <v>MICRO</v>
      </c>
      <c r="B59" s="23" t="str">
        <f>IFERROR(__xludf.DUMMYFUNCTION("""COMPUTED_VALUE"""),"sabinaaccura")</f>
        <v>sabinaaccura</v>
      </c>
      <c r="C59" s="257" t="str">
        <f>IFERROR(__xludf.DUMMYFUNCTION("""COMPUTED_VALUE"""),"https://www.tiktok.com/@sabinaaccura")</f>
        <v>https://www.tiktok.com/@sabinaaccura</v>
      </c>
      <c r="D59" s="270">
        <f>IFERROR(__xludf.DUMMYFUNCTION("""COMPUTED_VALUE"""),8.5624156031E10)</f>
        <v>85624156031</v>
      </c>
      <c r="E59" s="271">
        <f>IFERROR(__xludf.DUMMYFUNCTION("""COMPUTED_VALUE"""),250000.0)</f>
        <v>250000</v>
      </c>
      <c r="F59" s="270">
        <f>IFERROR(__xludf.DUMMYFUNCTION("""COMPUTED_VALUE"""),1.0)</f>
        <v>1</v>
      </c>
      <c r="G59" s="25" t="str">
        <f>IFERROR(__xludf.DUMMYFUNCTION("""COMPUTED_VALUE"""),"Rp 24,000,000")</f>
        <v>Rp 24,000,000</v>
      </c>
      <c r="H59" s="259" t="str">
        <f>IFERROR(__xludf.DUMMYFUNCTION("""COMPUTED_VALUE"""),"Skinboost Body Toner")</f>
        <v>Skinboost Body Toner</v>
      </c>
      <c r="I59" s="260" t="str">
        <f>IFERROR(__xludf.DUMMYFUNCTION("""COMPUTED_VALUE"""),"Done Req Sample")</f>
        <v>Done Req Sample</v>
      </c>
      <c r="J59" s="261"/>
      <c r="K59" s="262"/>
      <c r="L59" s="261"/>
      <c r="M59" s="262"/>
      <c r="N59" s="261"/>
      <c r="O59" s="17"/>
      <c r="P59" s="261"/>
      <c r="Q59" s="17"/>
      <c r="R59" s="266"/>
      <c r="S59" s="266"/>
      <c r="T59" s="266"/>
      <c r="U59" s="266"/>
    </row>
    <row r="60">
      <c r="A60" s="255" t="str">
        <f>IFERROR(__xludf.DUMMYFUNCTION("""COMPUTED_VALUE"""),"NANO")</f>
        <v>NANO</v>
      </c>
      <c r="B60" s="23" t="str">
        <f>IFERROR(__xludf.DUMMYFUNCTION("""COMPUTED_VALUE"""),"auroraanzh")</f>
        <v>auroraanzh</v>
      </c>
      <c r="C60" s="257" t="str">
        <f>IFERROR(__xludf.DUMMYFUNCTION("""COMPUTED_VALUE"""),"https://www.tiktok.com/@auroraanzh")</f>
        <v>https://www.tiktok.com/@auroraanzh</v>
      </c>
      <c r="D60" s="270">
        <f>IFERROR(__xludf.DUMMYFUNCTION("""COMPUTED_VALUE"""),8.9535852963E11)</f>
        <v>895358529630</v>
      </c>
      <c r="E60" s="271">
        <f>IFERROR(__xludf.DUMMYFUNCTION("""COMPUTED_VALUE"""),0.0)</f>
        <v>0</v>
      </c>
      <c r="F60" s="270"/>
      <c r="G60" s="25" t="str">
        <f>IFERROR(__xludf.DUMMYFUNCTION("""COMPUTED_VALUE"""),"Rp 10,400,000")</f>
        <v>Rp 10,400,000</v>
      </c>
      <c r="H60" s="259" t="str">
        <f>IFERROR(__xludf.DUMMYFUNCTION("""COMPUTED_VALUE"""),"Facial Glowing Peeling Gel")</f>
        <v>Facial Glowing Peeling Gel</v>
      </c>
      <c r="I60" s="260" t="str">
        <f>IFERROR(__xludf.DUMMYFUNCTION("""COMPUTED_VALUE"""),"Done Req Sample")</f>
        <v>Done Req Sample</v>
      </c>
      <c r="J60" s="261"/>
      <c r="K60" s="262"/>
      <c r="L60" s="261"/>
      <c r="M60" s="262"/>
      <c r="N60" s="261"/>
      <c r="O60" s="17"/>
      <c r="P60" s="261"/>
      <c r="Q60" s="17"/>
      <c r="R60" s="266"/>
      <c r="S60" s="266"/>
      <c r="T60" s="266"/>
      <c r="U60" s="266"/>
    </row>
    <row r="61">
      <c r="A61" s="255" t="str">
        <f>IFERROR(__xludf.DUMMYFUNCTION("""COMPUTED_VALUE"""),"NANO")</f>
        <v>NANO</v>
      </c>
      <c r="B61" s="23" t="str">
        <f>IFERROR(__xludf.DUMMYFUNCTION("""COMPUTED_VALUE"""),"nayllaauliaaa")</f>
        <v>nayllaauliaaa</v>
      </c>
      <c r="C61" s="257" t="str">
        <f>IFERROR(__xludf.DUMMYFUNCTION("""COMPUTED_VALUE"""),"https://www.tiktok.com/@nayllaauliaaa")</f>
        <v>https://www.tiktok.com/@nayllaauliaaa</v>
      </c>
      <c r="D61" s="270">
        <f>IFERROR(__xludf.DUMMYFUNCTION("""COMPUTED_VALUE"""),8.3142098051E10)</f>
        <v>83142098051</v>
      </c>
      <c r="E61" s="271">
        <f>IFERROR(__xludf.DUMMYFUNCTION("""COMPUTED_VALUE"""),0.0)</f>
        <v>0</v>
      </c>
      <c r="F61" s="270">
        <f>IFERROR(__xludf.DUMMYFUNCTION("""COMPUTED_VALUE"""),2.0)</f>
        <v>2</v>
      </c>
      <c r="G61" s="25" t="str">
        <f>IFERROR(__xludf.DUMMYFUNCTION("""COMPUTED_VALUE"""),"Rp69,8JT")</f>
        <v>Rp69,8JT</v>
      </c>
      <c r="H61" s="259" t="str">
        <f>IFERROR(__xludf.DUMMYFUNCTION("""COMPUTED_VALUE"""),"Skinboost Body Toner")</f>
        <v>Skinboost Body Toner</v>
      </c>
      <c r="I61" s="260" t="str">
        <f>IFERROR(__xludf.DUMMYFUNCTION("""COMPUTED_VALUE"""),"Sampai")</f>
        <v>Sampai</v>
      </c>
      <c r="J61" s="261" t="str">
        <f>IFERROR(__xludf.DUMMYFUNCTION("""COMPUTED_VALUE""")," Concept 1")</f>
        <v> Concept 1</v>
      </c>
      <c r="K61" s="278" t="str">
        <f>IFERROR(__xludf.DUMMYFUNCTION("""COMPUTED_VALUE"""),"https://www.tiktok.com/@nayllaauliaaa/video/7646654376911686932?is_from_webapp=1&amp;sender_device=pc")</f>
        <v>https://www.tiktok.com/@nayllaauliaaa/video/7646654376911686932?is_from_webapp=1&amp;sender_device=pc</v>
      </c>
      <c r="L61" s="261" t="str">
        <f>IFERROR(__xludf.DUMMYFUNCTION("""COMPUTED_VALUE""")," Concept 1")</f>
        <v> Concept 1</v>
      </c>
      <c r="M61" s="278" t="str">
        <f>IFERROR(__xludf.DUMMYFUNCTION("""COMPUTED_VALUE"""),"https://www.tiktok.com/@nayllaauliaaa/video/7647029980442168596?is_from_webapp=1&amp;sender_device=pc")</f>
        <v>https://www.tiktok.com/@nayllaauliaaa/video/7647029980442168596?is_from_webapp=1&amp;sender_device=pc</v>
      </c>
      <c r="N61" s="261"/>
      <c r="O61" s="17"/>
      <c r="P61" s="261"/>
      <c r="Q61" s="17"/>
      <c r="R61" s="266">
        <f>IFERROR(__xludf.DUMMYFUNCTION("""COMPUTED_VALUE"""),77615.0)</f>
        <v>77615</v>
      </c>
      <c r="S61" s="266"/>
      <c r="T61" s="266"/>
      <c r="U61" s="266"/>
    </row>
    <row r="62">
      <c r="A62" s="255" t="str">
        <f>IFERROR(__xludf.DUMMYFUNCTION("""COMPUTED_VALUE"""),"NANO")</f>
        <v>NANO</v>
      </c>
      <c r="B62" s="23" t="str">
        <f>IFERROR(__xludf.DUMMYFUNCTION("""COMPUTED_VALUE"""),"tetehnuyy0")</f>
        <v>tetehnuyy0</v>
      </c>
      <c r="C62" s="257" t="str">
        <f>IFERROR(__xludf.DUMMYFUNCTION("""COMPUTED_VALUE"""),"https://www.tiktok.com/@tetehnuyy0")</f>
        <v>https://www.tiktok.com/@tetehnuyy0</v>
      </c>
      <c r="D62" s="270">
        <f>IFERROR(__xludf.DUMMYFUNCTION("""COMPUTED_VALUE"""),8.5921129998E10)</f>
        <v>85921129998</v>
      </c>
      <c r="E62" s="271">
        <f>IFERROR(__xludf.DUMMYFUNCTION("""COMPUTED_VALUE"""),0.0)</f>
        <v>0</v>
      </c>
      <c r="F62" s="270"/>
      <c r="G62" s="25" t="str">
        <f>IFERROR(__xludf.DUMMYFUNCTION("""COMPUTED_VALUE"""),"Rp 161,800,000")</f>
        <v>Rp 161,800,000</v>
      </c>
      <c r="H62" s="259" t="str">
        <f>IFERROR(__xludf.DUMMYFUNCTION("""COMPUTED_VALUE"""),"Skinboost Body Toner")</f>
        <v>Skinboost Body Toner</v>
      </c>
      <c r="I62" s="260" t="str">
        <f>IFERROR(__xludf.DUMMYFUNCTION("""COMPUTED_VALUE"""),"Done Req Sample")</f>
        <v>Done Req Sample</v>
      </c>
      <c r="J62" s="261"/>
      <c r="K62" s="262"/>
      <c r="L62" s="261"/>
      <c r="M62" s="262"/>
      <c r="N62" s="261"/>
      <c r="O62" s="17"/>
      <c r="P62" s="261"/>
      <c r="Q62" s="17"/>
      <c r="R62" s="266"/>
      <c r="S62" s="266"/>
      <c r="T62" s="266"/>
      <c r="U62" s="266"/>
    </row>
    <row r="63">
      <c r="A63" s="255" t="str">
        <f>IFERROR(__xludf.DUMMYFUNCTION("""COMPUTED_VALUE"""),"MICRO")</f>
        <v>MICRO</v>
      </c>
      <c r="B63" s="23" t="str">
        <f>IFERROR(__xludf.DUMMYFUNCTION("""COMPUTED_VALUE"""),"wwzn13")</f>
        <v>wwzn13</v>
      </c>
      <c r="C63" s="257" t="str">
        <f>IFERROR(__xludf.DUMMYFUNCTION("""COMPUTED_VALUE"""),"https://www.tiktok.com/@wwzn13")</f>
        <v>https://www.tiktok.com/@wwzn13</v>
      </c>
      <c r="D63" s="270">
        <f>IFERROR(__xludf.DUMMYFUNCTION("""COMPUTED_VALUE"""),8.5213302833E10)</f>
        <v>85213302833</v>
      </c>
      <c r="E63" s="271">
        <f>IFERROR(__xludf.DUMMYFUNCTION("""COMPUTED_VALUE"""),0.0)</f>
        <v>0</v>
      </c>
      <c r="F63" s="270">
        <f>IFERROR(__xludf.DUMMYFUNCTION("""COMPUTED_VALUE"""),2.0)</f>
        <v>2</v>
      </c>
      <c r="G63" s="25" t="str">
        <f>IFERROR(__xludf.DUMMYFUNCTION("""COMPUTED_VALUE"""),"Rp166,5JT")</f>
        <v>Rp166,5JT</v>
      </c>
      <c r="H63" s="259" t="str">
        <f>IFERROR(__xludf.DUMMYFUNCTION("""COMPUTED_VALUE"""),"Skinboost Body Toner")</f>
        <v>Skinboost Body Toner</v>
      </c>
      <c r="I63" s="260" t="str">
        <f>IFERROR(__xludf.DUMMYFUNCTION("""COMPUTED_VALUE"""),"Done Req Sample")</f>
        <v>Done Req Sample</v>
      </c>
      <c r="J63" s="261"/>
      <c r="K63" s="262"/>
      <c r="L63" s="261"/>
      <c r="M63" s="262"/>
      <c r="N63" s="261"/>
      <c r="O63" s="17"/>
      <c r="P63" s="261"/>
      <c r="Q63" s="17"/>
      <c r="R63" s="266"/>
      <c r="S63" s="266"/>
      <c r="T63" s="266"/>
      <c r="U63" s="266"/>
    </row>
    <row r="64">
      <c r="A64" s="255" t="str">
        <f>IFERROR(__xludf.DUMMYFUNCTION("""COMPUTED_VALUE"""),"MICRO")</f>
        <v>MICRO</v>
      </c>
      <c r="B64" s="23" t="str">
        <f>IFERROR(__xludf.DUMMYFUNCTION("""COMPUTED_VALUE"""),"kikiromli89")</f>
        <v>kikiromli89</v>
      </c>
      <c r="C64" s="257" t="str">
        <f>IFERROR(__xludf.DUMMYFUNCTION("""COMPUTED_VALUE"""),"https://www.tiktok.com/@kikiromli89")</f>
        <v>https://www.tiktok.com/@kikiromli89</v>
      </c>
      <c r="D64" s="270">
        <f>IFERROR(__xludf.DUMMYFUNCTION("""COMPUTED_VALUE"""),8.2269863399E10)</f>
        <v>82269863399</v>
      </c>
      <c r="E64" s="271">
        <f>IFERROR(__xludf.DUMMYFUNCTION("""COMPUTED_VALUE"""),0.0)</f>
        <v>0</v>
      </c>
      <c r="F64" s="270">
        <f>IFERROR(__xludf.DUMMYFUNCTION("""COMPUTED_VALUE"""),2.0)</f>
        <v>2</v>
      </c>
      <c r="G64" s="25" t="str">
        <f>IFERROR(__xludf.DUMMYFUNCTION("""COMPUTED_VALUE"""),"Rp78,3JT")</f>
        <v>Rp78,3JT</v>
      </c>
      <c r="H64" s="259" t="str">
        <f>IFERROR(__xludf.DUMMYFUNCTION("""COMPUTED_VALUE"""),"Skinboost Body Toner")</f>
        <v>Skinboost Body Toner</v>
      </c>
      <c r="I64" s="260" t="str">
        <f>IFERROR(__xludf.DUMMYFUNCTION("""COMPUTED_VALUE"""),"Done Req Sample")</f>
        <v>Done Req Sample</v>
      </c>
      <c r="J64" s="261"/>
      <c r="K64" s="262"/>
      <c r="L64" s="261"/>
      <c r="M64" s="262"/>
      <c r="N64" s="261"/>
      <c r="O64" s="17"/>
      <c r="P64" s="261"/>
      <c r="Q64" s="17"/>
      <c r="R64" s="266"/>
      <c r="S64" s="266"/>
      <c r="T64" s="266"/>
      <c r="U64" s="266"/>
    </row>
    <row r="65">
      <c r="A65" s="255" t="str">
        <f>IFERROR(__xludf.DUMMYFUNCTION("""COMPUTED_VALUE"""),"MICRO")</f>
        <v>MICRO</v>
      </c>
      <c r="B65" s="23" t="str">
        <f>IFERROR(__xludf.DUMMYFUNCTION("""COMPUTED_VALUE"""),"_sweetly19")</f>
        <v>_sweetly19</v>
      </c>
      <c r="C65" s="257" t="str">
        <f>IFERROR(__xludf.DUMMYFUNCTION("""COMPUTED_VALUE"""),"https://www.tiktok.com/@_sweetly19")</f>
        <v>https://www.tiktok.com/@_sweetly19</v>
      </c>
      <c r="D65" s="270">
        <f>IFERROR(__xludf.DUMMYFUNCTION("""COMPUTED_VALUE"""),8.967276103E10)</f>
        <v>89672761030</v>
      </c>
      <c r="E65" s="271">
        <f>IFERROR(__xludf.DUMMYFUNCTION("""COMPUTED_VALUE"""),0.0)</f>
        <v>0</v>
      </c>
      <c r="F65" s="270">
        <f>IFERROR(__xludf.DUMMYFUNCTION("""COMPUTED_VALUE"""),2.0)</f>
        <v>2</v>
      </c>
      <c r="G65" s="25" t="str">
        <f>IFERROR(__xludf.DUMMYFUNCTION("""COMPUTED_VALUE"""),"Rp188,4JT")</f>
        <v>Rp188,4JT</v>
      </c>
      <c r="H65" s="259" t="str">
        <f>IFERROR(__xludf.DUMMYFUNCTION("""COMPUTED_VALUE"""),"Skinboost Body Toner")</f>
        <v>Skinboost Body Toner</v>
      </c>
      <c r="I65" s="260" t="str">
        <f>IFERROR(__xludf.DUMMYFUNCTION("""COMPUTED_VALUE"""),"Sampai")</f>
        <v>Sampai</v>
      </c>
      <c r="J65" s="261" t="str">
        <f>IFERROR(__xludf.DUMMYFUNCTION("""COMPUTED_VALUE"""),"Concept 3")</f>
        <v>Concept 3</v>
      </c>
      <c r="K65" s="278" t="str">
        <f>IFERROR(__xludf.DUMMYFUNCTION("""COMPUTED_VALUE"""),"https://www.tiktok.com/@_sweetly19/video/7645594450038738197?is_from_webapp=1&amp;sender_device=pc")</f>
        <v>https://www.tiktok.com/@_sweetly19/video/7645594450038738197?is_from_webapp=1&amp;sender_device=pc</v>
      </c>
      <c r="L65" s="261" t="str">
        <f>IFERROR(__xludf.DUMMYFUNCTION("""COMPUTED_VALUE"""),"Concept 3")</f>
        <v>Concept 3</v>
      </c>
      <c r="M65" s="278" t="str">
        <f>IFERROR(__xludf.DUMMYFUNCTION("""COMPUTED_VALUE"""),"https://www.tiktok.com/@_sweetly19/video/7646728145336454420?is_from_webapp=1&amp;sender_device=pc")</f>
        <v>https://www.tiktok.com/@_sweetly19/video/7646728145336454420?is_from_webapp=1&amp;sender_device=pc</v>
      </c>
      <c r="N65" s="261"/>
      <c r="O65" s="17"/>
      <c r="P65" s="261"/>
      <c r="Q65" s="17"/>
      <c r="R65" s="266"/>
      <c r="S65" s="266"/>
      <c r="T65" s="266"/>
      <c r="U65" s="266"/>
    </row>
    <row r="66">
      <c r="A66" s="255" t="str">
        <f>IFERROR(__xludf.DUMMYFUNCTION("""COMPUTED_VALUE"""),"NANO")</f>
        <v>NANO</v>
      </c>
      <c r="B66" s="23" t="str">
        <f>IFERROR(__xludf.DUMMYFUNCTION("""COMPUTED_VALUE"""),"mellan99")</f>
        <v>mellan99</v>
      </c>
      <c r="C66" s="257" t="str">
        <f>IFERROR(__xludf.DUMMYFUNCTION("""COMPUTED_VALUE"""),"https://www.tiktok.com/@mellan99")</f>
        <v>https://www.tiktok.com/@mellan99</v>
      </c>
      <c r="D66" s="270">
        <f>IFERROR(__xludf.DUMMYFUNCTION("""COMPUTED_VALUE"""),8.8224131036E10)</f>
        <v>88224131036</v>
      </c>
      <c r="E66" s="271">
        <f>IFERROR(__xludf.DUMMYFUNCTION("""COMPUTED_VALUE"""),0.0)</f>
        <v>0</v>
      </c>
      <c r="F66" s="270"/>
      <c r="G66" s="25" t="str">
        <f>IFERROR(__xludf.DUMMYFUNCTION("""COMPUTED_VALUE"""),"Rp20,1JT")</f>
        <v>Rp20,1JT</v>
      </c>
      <c r="H66" s="259" t="str">
        <f>IFERROR(__xludf.DUMMYFUNCTION("""COMPUTED_VALUE"""),"Skinboost Body Toner")</f>
        <v>Skinboost Body Toner</v>
      </c>
      <c r="I66" s="260" t="str">
        <f>IFERROR(__xludf.DUMMYFUNCTION("""COMPUTED_VALUE"""),"Done Req Sample")</f>
        <v>Done Req Sample</v>
      </c>
      <c r="J66" s="261"/>
      <c r="K66" s="262"/>
      <c r="L66" s="261"/>
      <c r="M66" s="262"/>
      <c r="N66" s="261"/>
      <c r="O66" s="17"/>
      <c r="P66" s="261"/>
      <c r="Q66" s="17"/>
      <c r="R66" s="266"/>
      <c r="S66" s="266"/>
      <c r="T66" s="266"/>
      <c r="U66" s="266"/>
    </row>
    <row r="67">
      <c r="A67" s="255" t="str">
        <f>IFERROR(__xludf.DUMMYFUNCTION("""COMPUTED_VALUE"""),"NANO")</f>
        <v>NANO</v>
      </c>
      <c r="B67" s="23" t="str">
        <f>IFERROR(__xludf.DUMMYFUNCTION("""COMPUTED_VALUE"""),"kosmetiksagalamurah")</f>
        <v>kosmetiksagalamurah</v>
      </c>
      <c r="C67" s="257" t="str">
        <f>IFERROR(__xludf.DUMMYFUNCTION("""COMPUTED_VALUE"""),"https://www.tiktok.com/@kosmetiksagalamurah")</f>
        <v>https://www.tiktok.com/@kosmetiksagalamurah</v>
      </c>
      <c r="D67" s="270">
        <f>IFERROR(__xludf.DUMMYFUNCTION("""COMPUTED_VALUE"""),8.7721280121E10)</f>
        <v>87721280121</v>
      </c>
      <c r="E67" s="271">
        <f>IFERROR(__xludf.DUMMYFUNCTION("""COMPUTED_VALUE"""),0.0)</f>
        <v>0</v>
      </c>
      <c r="F67" s="270"/>
      <c r="G67" s="25" t="str">
        <f>IFERROR(__xludf.DUMMYFUNCTION("""COMPUTED_VALUE"""),"Rp14,1JT")</f>
        <v>Rp14,1JT</v>
      </c>
      <c r="H67" s="259" t="str">
        <f>IFERROR(__xludf.DUMMYFUNCTION("""COMPUTED_VALUE"""),"Facial Glowing Peeling Gel")</f>
        <v>Facial Glowing Peeling Gel</v>
      </c>
      <c r="I67" s="260" t="str">
        <f>IFERROR(__xludf.DUMMYFUNCTION("""COMPUTED_VALUE"""),"Done Req Sample")</f>
        <v>Done Req Sample</v>
      </c>
      <c r="J67" s="261"/>
      <c r="K67" s="262"/>
      <c r="L67" s="261"/>
      <c r="M67" s="262"/>
      <c r="N67" s="261"/>
      <c r="O67" s="17"/>
      <c r="P67" s="261"/>
      <c r="Q67" s="17"/>
      <c r="R67" s="266"/>
      <c r="S67" s="266"/>
      <c r="T67" s="266"/>
      <c r="U67" s="266"/>
    </row>
    <row r="68">
      <c r="A68" s="255" t="str">
        <f>IFERROR(__xludf.DUMMYFUNCTION("""COMPUTED_VALUE"""),"NANO")</f>
        <v>NANO</v>
      </c>
      <c r="B68" s="23" t="str">
        <f>IFERROR(__xludf.DUMMYFUNCTION("""COMPUTED_VALUE"""),"gebby.valenzka.ama")</f>
        <v>gebby.valenzka.ama</v>
      </c>
      <c r="C68" s="257" t="str">
        <f>IFERROR(__xludf.DUMMYFUNCTION("""COMPUTED_VALUE"""),"https://www.tiktok.com/@gebby.valenzka.ama")</f>
        <v>https://www.tiktok.com/@gebby.valenzka.ama</v>
      </c>
      <c r="D68" s="270">
        <f>IFERROR(__xludf.DUMMYFUNCTION("""COMPUTED_VALUE"""),8.78152418E10)</f>
        <v>87815241800</v>
      </c>
      <c r="E68" s="271">
        <f>IFERROR(__xludf.DUMMYFUNCTION("""COMPUTED_VALUE"""),0.0)</f>
        <v>0</v>
      </c>
      <c r="F68" s="270"/>
      <c r="G68" s="25" t="str">
        <f>IFERROR(__xludf.DUMMYFUNCTION("""COMPUTED_VALUE"""),"Rp15JT")</f>
        <v>Rp15JT</v>
      </c>
      <c r="H68" s="259" t="str">
        <f>IFERROR(__xludf.DUMMYFUNCTION("""COMPUTED_VALUE"""),"Facial Glowing Peeling Gel")</f>
        <v>Facial Glowing Peeling Gel</v>
      </c>
      <c r="I68" s="260" t="str">
        <f>IFERROR(__xludf.DUMMYFUNCTION("""COMPUTED_VALUE"""),"Done Req Sample")</f>
        <v>Done Req Sample</v>
      </c>
      <c r="J68" s="261"/>
      <c r="K68" s="262"/>
      <c r="L68" s="261"/>
      <c r="M68" s="262"/>
      <c r="N68" s="261"/>
      <c r="O68" s="17"/>
      <c r="P68" s="261"/>
      <c r="Q68" s="17"/>
      <c r="R68" s="266"/>
      <c r="S68" s="266"/>
      <c r="T68" s="266"/>
      <c r="U68" s="266"/>
    </row>
    <row r="69">
      <c r="A69" s="255" t="str">
        <f>IFERROR(__xludf.DUMMYFUNCTION("""COMPUTED_VALUE"""),"NANO")</f>
        <v>NANO</v>
      </c>
      <c r="B69" s="23" t="str">
        <f>IFERROR(__xludf.DUMMYFUNCTION("""COMPUTED_VALUE"""),"nafisahabbas")</f>
        <v>nafisahabbas</v>
      </c>
      <c r="C69" s="257" t="str">
        <f>IFERROR(__xludf.DUMMYFUNCTION("""COMPUTED_VALUE"""),"https://www.tiktok.com/@nafisahabbas")</f>
        <v>https://www.tiktok.com/@nafisahabbas</v>
      </c>
      <c r="D69" s="270">
        <f>IFERROR(__xludf.DUMMYFUNCTION("""COMPUTED_VALUE"""),8.3176009059E10)</f>
        <v>83176009059</v>
      </c>
      <c r="E69" s="271">
        <f>IFERROR(__xludf.DUMMYFUNCTION("""COMPUTED_VALUE"""),0.0)</f>
        <v>0</v>
      </c>
      <c r="F69" s="270"/>
      <c r="G69" s="25" t="str">
        <f>IFERROR(__xludf.DUMMYFUNCTION("""COMPUTED_VALUE"""),"Rp26,7JT")</f>
        <v>Rp26,7JT</v>
      </c>
      <c r="H69" s="259" t="str">
        <f>IFERROR(__xludf.DUMMYFUNCTION("""COMPUTED_VALUE"""),"Facial Glowing Peeling Gel")</f>
        <v>Facial Glowing Peeling Gel</v>
      </c>
      <c r="I69" s="260"/>
      <c r="J69" s="261"/>
      <c r="K69" s="262"/>
      <c r="L69" s="261"/>
      <c r="M69" s="262"/>
      <c r="N69" s="261"/>
      <c r="O69" s="17"/>
      <c r="P69" s="261"/>
      <c r="Q69" s="17"/>
      <c r="R69" s="266"/>
      <c r="S69" s="266"/>
      <c r="T69" s="266"/>
      <c r="U69" s="266"/>
    </row>
    <row r="70">
      <c r="A70" s="255" t="str">
        <f>IFERROR(__xludf.DUMMYFUNCTION("""COMPUTED_VALUE"""),"MICRO")</f>
        <v>MICRO</v>
      </c>
      <c r="B70" s="23" t="str">
        <f>IFERROR(__xludf.DUMMYFUNCTION("""COMPUTED_VALUE"""),"shakashop04")</f>
        <v>shakashop04</v>
      </c>
      <c r="C70" s="257" t="str">
        <f>IFERROR(__xludf.DUMMYFUNCTION("""COMPUTED_VALUE"""),"https://www.tiktok.com/@shakashop04")</f>
        <v>https://www.tiktok.com/@shakashop04</v>
      </c>
      <c r="D70" s="270">
        <f>IFERROR(__xludf.DUMMYFUNCTION("""COMPUTED_VALUE"""),8.2274052694E10)</f>
        <v>82274052694</v>
      </c>
      <c r="E70" s="271">
        <f>IFERROR(__xludf.DUMMYFUNCTION("""COMPUTED_VALUE"""),0.0)</f>
        <v>0</v>
      </c>
      <c r="F70" s="270"/>
      <c r="G70" s="25" t="str">
        <f>IFERROR(__xludf.DUMMYFUNCTION("""COMPUTED_VALUE"""),"Rp80,4JT")</f>
        <v>Rp80,4JT</v>
      </c>
      <c r="H70" s="259" t="str">
        <f>IFERROR(__xludf.DUMMYFUNCTION("""COMPUTED_VALUE"""),"Skinboost Body Toner &amp; All Variant Facial Glowing Peeling Gel")</f>
        <v>Skinboost Body Toner &amp; All Variant Facial Glowing Peeling Gel</v>
      </c>
      <c r="I70" s="260" t="str">
        <f>IFERROR(__xludf.DUMMYFUNCTION("""COMPUTED_VALUE"""),"Done Req Sample")</f>
        <v>Done Req Sample</v>
      </c>
      <c r="J70" s="261"/>
      <c r="K70" s="262"/>
      <c r="L70" s="261"/>
      <c r="M70" s="262"/>
      <c r="N70" s="261"/>
      <c r="O70" s="17"/>
      <c r="P70" s="261"/>
      <c r="Q70" s="17"/>
      <c r="R70" s="266"/>
      <c r="S70" s="266"/>
      <c r="T70" s="266"/>
      <c r="U70" s="266"/>
    </row>
    <row r="71">
      <c r="A71" s="255" t="str">
        <f>IFERROR(__xludf.DUMMYFUNCTION("""COMPUTED_VALUE"""),"NANO")</f>
        <v>NANO</v>
      </c>
      <c r="B71" s="23" t="str">
        <f>IFERROR(__xludf.DUMMYFUNCTION("""COMPUTED_VALUE"""),"istribaramukti")</f>
        <v>istribaramukti</v>
      </c>
      <c r="C71" s="257" t="str">
        <f>IFERROR(__xludf.DUMMYFUNCTION("""COMPUTED_VALUE"""),"https://www.tiktok.com/@istribaramukti")</f>
        <v>https://www.tiktok.com/@istribaramukti</v>
      </c>
      <c r="D71" s="270">
        <f>IFERROR(__xludf.DUMMYFUNCTION("""COMPUTED_VALUE"""),8.2334483739E10)</f>
        <v>82334483739</v>
      </c>
      <c r="E71" s="271">
        <f>IFERROR(__xludf.DUMMYFUNCTION("""COMPUTED_VALUE"""),0.0)</f>
        <v>0</v>
      </c>
      <c r="F71" s="270">
        <f>IFERROR(__xludf.DUMMYFUNCTION("""COMPUTED_VALUE"""),2.0)</f>
        <v>2</v>
      </c>
      <c r="G71" s="25" t="str">
        <f>IFERROR(__xludf.DUMMYFUNCTION("""COMPUTED_VALUE"""),"Rp42,9JT")</f>
        <v>Rp42,9JT</v>
      </c>
      <c r="H71" s="259" t="str">
        <f>IFERROR(__xludf.DUMMYFUNCTION("""COMPUTED_VALUE"""),"White Essence Moisturizing Spray")</f>
        <v>White Essence Moisturizing Spray</v>
      </c>
      <c r="I71" s="260" t="str">
        <f>IFERROR(__xludf.DUMMYFUNCTION("""COMPUTED_VALUE"""),"Done Req Sample")</f>
        <v>Done Req Sample</v>
      </c>
      <c r="J71" s="261"/>
      <c r="K71" s="262"/>
      <c r="L71" s="261"/>
      <c r="M71" s="262"/>
      <c r="N71" s="261"/>
      <c r="O71" s="17"/>
      <c r="P71" s="261"/>
      <c r="Q71" s="17"/>
      <c r="R71" s="266"/>
      <c r="S71" s="266"/>
      <c r="T71" s="266"/>
      <c r="U71" s="266"/>
    </row>
    <row r="72">
      <c r="A72" s="255" t="str">
        <f>IFERROR(__xludf.DUMMYFUNCTION("""COMPUTED_VALUE"""),"MICRO")</f>
        <v>MICRO</v>
      </c>
      <c r="B72" s="23" t="str">
        <f>IFERROR(__xludf.DUMMYFUNCTION("""COMPUTED_VALUE"""),"racunmurahshopping_")</f>
        <v>racunmurahshopping_</v>
      </c>
      <c r="C72" s="257" t="str">
        <f>IFERROR(__xludf.DUMMYFUNCTION("""COMPUTED_VALUE"""),"https://www.tiktok.com/@racunmurahshopping_")</f>
        <v>https://www.tiktok.com/@racunmurahshopping_</v>
      </c>
      <c r="D72" s="270">
        <f>IFERROR(__xludf.DUMMYFUNCTION("""COMPUTED_VALUE"""),8.5755661203E10)</f>
        <v>85755661203</v>
      </c>
      <c r="E72" s="271">
        <f>IFERROR(__xludf.DUMMYFUNCTION("""COMPUTED_VALUE"""),0.0)</f>
        <v>0</v>
      </c>
      <c r="F72" s="270">
        <f>IFERROR(__xludf.DUMMYFUNCTION("""COMPUTED_VALUE"""),2.0)</f>
        <v>2</v>
      </c>
      <c r="G72" s="25" t="str">
        <f>IFERROR(__xludf.DUMMYFUNCTION("""COMPUTED_VALUE"""),"Rp70,1JT")</f>
        <v>Rp70,1JT</v>
      </c>
      <c r="H72" s="259" t="str">
        <f>IFERROR(__xludf.DUMMYFUNCTION("""COMPUTED_VALUE"""),"Facial Glowing Peeling Gel")</f>
        <v>Facial Glowing Peeling Gel</v>
      </c>
      <c r="I72" s="260"/>
      <c r="J72" s="261"/>
      <c r="K72" s="262"/>
      <c r="L72" s="261"/>
      <c r="M72" s="262"/>
      <c r="N72" s="261"/>
      <c r="O72" s="17"/>
      <c r="P72" s="261"/>
      <c r="Q72" s="17"/>
      <c r="R72" s="266"/>
      <c r="S72" s="266"/>
      <c r="T72" s="266"/>
      <c r="U72" s="266"/>
    </row>
    <row r="73">
      <c r="A73" s="255"/>
      <c r="B73" s="23" t="str">
        <f>IFERROR(__xludf.DUMMYFUNCTION("""COMPUTED_VALUE"""),"mei_arifin180899")</f>
        <v>mei_arifin180899</v>
      </c>
      <c r="C73" s="257" t="str">
        <f>IFERROR(__xludf.DUMMYFUNCTION("""COMPUTED_VALUE"""),"https://www.tiktok.com/@ptsabbythrds")</f>
        <v>https://www.tiktok.com/@ptsabbythrds</v>
      </c>
      <c r="D73" s="270"/>
      <c r="E73" s="271"/>
      <c r="F73" s="270"/>
      <c r="G73" s="25"/>
      <c r="H73" s="259"/>
      <c r="I73" s="260"/>
      <c r="J73" s="261"/>
      <c r="K73" s="262"/>
      <c r="L73" s="261"/>
      <c r="M73" s="262"/>
      <c r="N73" s="261"/>
      <c r="O73" s="17"/>
      <c r="P73" s="261"/>
      <c r="Q73" s="17"/>
      <c r="R73" s="266">
        <f>IFERROR(__xludf.DUMMYFUNCTION("""COMPUTED_VALUE"""),46053.0)</f>
        <v>46053</v>
      </c>
      <c r="S73" s="266">
        <f>IFERROR(__xludf.DUMMYFUNCTION("""COMPUTED_VALUE"""),219333.0)</f>
        <v>219333</v>
      </c>
      <c r="T73" s="266"/>
      <c r="U73" s="266"/>
    </row>
    <row r="74">
      <c r="A74" s="255"/>
      <c r="B74" s="23" t="str">
        <f>IFERROR(__xludf.DUMMYFUNCTION("""COMPUTED_VALUE"""),"cipirut")</f>
        <v>cipirut</v>
      </c>
      <c r="C74" s="257" t="str">
        <f>IFERROR(__xludf.DUMMYFUNCTION("""COMPUTED_VALUE"""),"https://www.tiktok.com/@ptsabbythrds")</f>
        <v>https://www.tiktok.com/@ptsabbythrds</v>
      </c>
      <c r="D74" s="270"/>
      <c r="E74" s="271"/>
      <c r="F74" s="270"/>
      <c r="G74" s="25"/>
      <c r="H74" s="259"/>
      <c r="I74" s="260"/>
      <c r="J74" s="261"/>
      <c r="K74" s="262"/>
      <c r="L74" s="261"/>
      <c r="M74" s="262"/>
      <c r="N74" s="261"/>
      <c r="O74" s="17"/>
      <c r="P74" s="261"/>
      <c r="Q74" s="17"/>
      <c r="R74" s="266"/>
      <c r="S74" s="266">
        <f>IFERROR(__xludf.DUMMYFUNCTION("""COMPUTED_VALUE"""),24199.0)</f>
        <v>24199</v>
      </c>
      <c r="T74" s="266"/>
      <c r="U74" s="266"/>
    </row>
    <row r="75">
      <c r="A75" s="255"/>
      <c r="B75" s="23" t="str">
        <f>IFERROR(__xludf.DUMMYFUNCTION("""COMPUTED_VALUE"""),"mamizain.homedecor")</f>
        <v>mamizain.homedecor</v>
      </c>
      <c r="C75" s="257" t="str">
        <f>IFERROR(__xludf.DUMMYFUNCTION("""COMPUTED_VALUE"""),"https://www.tiktok.com/@ptsabbythrds")</f>
        <v>https://www.tiktok.com/@ptsabbythrds</v>
      </c>
      <c r="D75" s="270"/>
      <c r="E75" s="271"/>
      <c r="F75" s="270"/>
      <c r="G75" s="25"/>
      <c r="H75" s="259"/>
      <c r="I75" s="260"/>
      <c r="J75" s="261"/>
      <c r="K75" s="262"/>
      <c r="L75" s="261"/>
      <c r="M75" s="262"/>
      <c r="N75" s="261"/>
      <c r="O75" s="17"/>
      <c r="P75" s="261"/>
      <c r="Q75" s="17"/>
      <c r="R75" s="266"/>
      <c r="S75" s="266">
        <f>IFERROR(__xludf.DUMMYFUNCTION("""COMPUTED_VALUE"""),58409.0)</f>
        <v>58409</v>
      </c>
      <c r="T75" s="266"/>
      <c r="U75" s="266"/>
    </row>
    <row r="76">
      <c r="A76" s="255"/>
      <c r="B76" s="23" t="str">
        <f>IFERROR(__xludf.DUMMYFUNCTION("""COMPUTED_VALUE"""),"risarivia")</f>
        <v>risarivia</v>
      </c>
      <c r="C76" s="257" t="str">
        <f>IFERROR(__xludf.DUMMYFUNCTION("""COMPUTED_VALUE"""),"https://www.tiktok.com/@ptsabbythrds")</f>
        <v>https://www.tiktok.com/@ptsabbythrds</v>
      </c>
      <c r="D76" s="270"/>
      <c r="E76" s="271"/>
      <c r="F76" s="270"/>
      <c r="G76" s="25"/>
      <c r="H76" s="259"/>
      <c r="I76" s="260"/>
      <c r="J76" s="261"/>
      <c r="K76" s="262"/>
      <c r="L76" s="261"/>
      <c r="M76" s="262"/>
      <c r="N76" s="261"/>
      <c r="O76" s="17"/>
      <c r="P76" s="261"/>
      <c r="Q76" s="17"/>
      <c r="R76" s="266"/>
      <c r="S76" s="266">
        <f>IFERROR(__xludf.DUMMYFUNCTION("""COMPUTED_VALUE"""),77552.0)</f>
        <v>77552</v>
      </c>
      <c r="T76" s="266"/>
      <c r="U76" s="266"/>
    </row>
    <row r="77">
      <c r="A77" s="255"/>
      <c r="B77" s="23" t="str">
        <f>IFERROR(__xludf.DUMMYFUNCTION("""COMPUTED_VALUE"""),"wulandaribul4n")</f>
        <v>wulandaribul4n</v>
      </c>
      <c r="C77" s="257" t="str">
        <f>IFERROR(__xludf.DUMMYFUNCTION("""COMPUTED_VALUE"""),"https://www.tiktok.com/@ptsabbythrds")</f>
        <v>https://www.tiktok.com/@ptsabbythrds</v>
      </c>
      <c r="D77" s="270"/>
      <c r="E77" s="271"/>
      <c r="F77" s="270"/>
      <c r="G77" s="25"/>
      <c r="H77" s="259"/>
      <c r="I77" s="260"/>
      <c r="J77" s="261"/>
      <c r="K77" s="262"/>
      <c r="L77" s="261"/>
      <c r="M77" s="262"/>
      <c r="N77" s="261"/>
      <c r="O77" s="17"/>
      <c r="P77" s="261"/>
      <c r="Q77" s="17"/>
      <c r="R77" s="266"/>
      <c r="S77" s="266">
        <f>IFERROR(__xludf.DUMMYFUNCTION("""COMPUTED_VALUE"""),23499.0)</f>
        <v>23499</v>
      </c>
      <c r="T77" s="266"/>
      <c r="U77" s="266"/>
    </row>
    <row r="78">
      <c r="A78" s="255" t="str">
        <f>IFERROR(__xludf.DUMMYFUNCTION("""COMPUTED_VALUE"""),"MICRO")</f>
        <v>MICRO</v>
      </c>
      <c r="B78" s="23" t="str">
        <f>IFERROR(__xludf.DUMMYFUNCTION("""COMPUTED_VALUE"""),"zrly__")</f>
        <v>zrly__</v>
      </c>
      <c r="C78" s="257" t="str">
        <f>IFERROR(__xludf.DUMMYFUNCTION("""COMPUTED_VALUE"""),"https://www.tiktok.com/@zrly__")</f>
        <v>https://www.tiktok.com/@zrly__</v>
      </c>
      <c r="D78" s="270">
        <f>IFERROR(__xludf.DUMMYFUNCTION("""COMPUTED_VALUE"""),8.5179695112E10)</f>
        <v>85179695112</v>
      </c>
      <c r="E78" s="271">
        <f>IFERROR(__xludf.DUMMYFUNCTION("""COMPUTED_VALUE"""),0.0)</f>
        <v>0</v>
      </c>
      <c r="F78" s="270">
        <f>IFERROR(__xludf.DUMMYFUNCTION("""COMPUTED_VALUE"""),2.0)</f>
        <v>2</v>
      </c>
      <c r="G78" s="25" t="str">
        <f>IFERROR(__xludf.DUMMYFUNCTION("""COMPUTED_VALUE"""),"Rp1JT+")</f>
        <v>Rp1JT+</v>
      </c>
      <c r="H78" s="259" t="str">
        <f>IFERROR(__xludf.DUMMYFUNCTION("""COMPUTED_VALUE"""),"Skinboost Body Toner")</f>
        <v>Skinboost Body Toner</v>
      </c>
      <c r="I78" s="260"/>
      <c r="J78" s="261"/>
      <c r="K78" s="262"/>
      <c r="L78" s="261"/>
      <c r="M78" s="262"/>
      <c r="N78" s="261"/>
      <c r="O78" s="17"/>
      <c r="P78" s="261"/>
      <c r="Q78" s="17"/>
      <c r="R78" s="266"/>
      <c r="S78" s="266"/>
      <c r="T78" s="266"/>
      <c r="U78" s="266"/>
    </row>
    <row r="79">
      <c r="A79" s="255" t="str">
        <f>IFERROR(__xludf.DUMMYFUNCTION("""COMPUTED_VALUE"""),"MICRO")</f>
        <v>MICRO</v>
      </c>
      <c r="B79" s="23" t="str">
        <f>IFERROR(__xludf.DUMMYFUNCTION("""COMPUTED_VALUE"""),"puspitajasmine26")</f>
        <v>puspitajasmine26</v>
      </c>
      <c r="C79" s="257" t="str">
        <f>IFERROR(__xludf.DUMMYFUNCTION("""COMPUTED_VALUE"""),"https://www.tiktok.com/@puspitajasmine26")</f>
        <v>https://www.tiktok.com/@puspitajasmine26</v>
      </c>
      <c r="D79" s="270">
        <f>IFERROR(__xludf.DUMMYFUNCTION("""COMPUTED_VALUE"""),8.782568825E10)</f>
        <v>87825688250</v>
      </c>
      <c r="E79" s="271">
        <f>IFERROR(__xludf.DUMMYFUNCTION("""COMPUTED_VALUE"""),0.0)</f>
        <v>0</v>
      </c>
      <c r="F79" s="270">
        <f>IFERROR(__xludf.DUMMYFUNCTION("""COMPUTED_VALUE"""),2.0)</f>
        <v>2</v>
      </c>
      <c r="G79" s="25" t="str">
        <f>IFERROR(__xludf.DUMMYFUNCTION("""COMPUTED_VALUE"""),"Rp1JT+")</f>
        <v>Rp1JT+</v>
      </c>
      <c r="H79" s="259" t="str">
        <f>IFERROR(__xludf.DUMMYFUNCTION("""COMPUTED_VALUE"""),"Facial Glowing Peeling Gel")</f>
        <v>Facial Glowing Peeling Gel</v>
      </c>
      <c r="I79" s="260"/>
      <c r="J79" s="261"/>
      <c r="K79" s="262"/>
      <c r="L79" s="261"/>
      <c r="M79" s="262"/>
      <c r="N79" s="261"/>
      <c r="O79" s="17"/>
      <c r="P79" s="261"/>
      <c r="Q79" s="17"/>
      <c r="R79" s="266"/>
      <c r="S79" s="266"/>
      <c r="T79" s="266"/>
      <c r="U79" s="266"/>
    </row>
    <row r="80">
      <c r="A80" s="255" t="str">
        <f>IFERROR(__xludf.DUMMYFUNCTION("""COMPUTED_VALUE"""),"NANO")</f>
        <v>NANO</v>
      </c>
      <c r="B80" s="23" t="str">
        <f>IFERROR(__xludf.DUMMYFUNCTION("""COMPUTED_VALUE"""),"bang.ara62")</f>
        <v>bang.ara62</v>
      </c>
      <c r="C80" s="257" t="str">
        <f>IFERROR(__xludf.DUMMYFUNCTION("""COMPUTED_VALUE"""),"https://www.tiktok.com/@bang.ara62")</f>
        <v>https://www.tiktok.com/@bang.ara62</v>
      </c>
      <c r="D80" s="270">
        <f>IFERROR(__xludf.DUMMYFUNCTION("""COMPUTED_VALUE"""),8.1393230559E10)</f>
        <v>81393230559</v>
      </c>
      <c r="E80" s="271">
        <f>IFERROR(__xludf.DUMMYFUNCTION("""COMPUTED_VALUE"""),0.0)</f>
        <v>0</v>
      </c>
      <c r="F80" s="270">
        <f>IFERROR(__xludf.DUMMYFUNCTION("""COMPUTED_VALUE"""),2.0)</f>
        <v>2</v>
      </c>
      <c r="G80" s="25" t="str">
        <f>IFERROR(__xludf.DUMMYFUNCTION("""COMPUTED_VALUE"""),"Rp76,3JT")</f>
        <v>Rp76,3JT</v>
      </c>
      <c r="H80" s="259" t="str">
        <f>IFERROR(__xludf.DUMMYFUNCTION("""COMPUTED_VALUE"""),"Skinboost Body Toner")</f>
        <v>Skinboost Body Toner</v>
      </c>
      <c r="I80" s="260" t="str">
        <f>IFERROR(__xludf.DUMMYFUNCTION("""COMPUTED_VALUE"""),"Done Req Sample")</f>
        <v>Done Req Sample</v>
      </c>
      <c r="J80" s="261"/>
      <c r="K80" s="262"/>
      <c r="L80" s="261"/>
      <c r="M80" s="262"/>
      <c r="N80" s="261"/>
      <c r="O80" s="17"/>
      <c r="P80" s="261"/>
      <c r="Q80" s="17"/>
      <c r="R80" s="266"/>
      <c r="S80" s="266"/>
      <c r="T80" s="266"/>
      <c r="U80" s="266"/>
    </row>
    <row r="81">
      <c r="A81" s="255" t="str">
        <f>IFERROR(__xludf.DUMMYFUNCTION("""COMPUTED_VALUE"""),"NANO")</f>
        <v>NANO</v>
      </c>
      <c r="B81" s="23" t="str">
        <f>IFERROR(__xludf.DUMMYFUNCTION("""COMPUTED_VALUE"""),"nlfitriaa_")</f>
        <v>nlfitriaa_</v>
      </c>
      <c r="C81" s="257" t="str">
        <f>IFERROR(__xludf.DUMMYFUNCTION("""COMPUTED_VALUE"""),"https://www.tiktok.com/@nlfitriaa_")</f>
        <v>https://www.tiktok.com/@nlfitriaa_</v>
      </c>
      <c r="D81" s="270">
        <f>IFERROR(__xludf.DUMMYFUNCTION("""COMPUTED_VALUE"""),8.573254369E10)</f>
        <v>85732543690</v>
      </c>
      <c r="E81" s="271">
        <f>IFERROR(__xludf.DUMMYFUNCTION("""COMPUTED_VALUE"""),0.0)</f>
        <v>0</v>
      </c>
      <c r="F81" s="270">
        <f>IFERROR(__xludf.DUMMYFUNCTION("""COMPUTED_VALUE"""),2.0)</f>
        <v>2</v>
      </c>
      <c r="G81" s="25" t="str">
        <f>IFERROR(__xludf.DUMMYFUNCTION("""COMPUTED_VALUE"""),"Rp1JT+")</f>
        <v>Rp1JT+</v>
      </c>
      <c r="H81" s="259" t="str">
        <f>IFERROR(__xludf.DUMMYFUNCTION("""COMPUTED_VALUE"""),"Skinboost Body Toner")</f>
        <v>Skinboost Body Toner</v>
      </c>
      <c r="I81" s="260" t="str">
        <f>IFERROR(__xludf.DUMMYFUNCTION("""COMPUTED_VALUE"""),"Done Req Sample")</f>
        <v>Done Req Sample</v>
      </c>
      <c r="J81" s="261"/>
      <c r="K81" s="262"/>
      <c r="L81" s="261"/>
      <c r="M81" s="262"/>
      <c r="N81" s="261"/>
      <c r="O81" s="17"/>
      <c r="P81" s="261"/>
      <c r="Q81" s="17"/>
      <c r="R81" s="266"/>
      <c r="S81" s="266"/>
      <c r="T81" s="266"/>
      <c r="U81" s="266"/>
    </row>
    <row r="82">
      <c r="A82" s="255" t="str">
        <f>IFERROR(__xludf.DUMMYFUNCTION("""COMPUTED_VALUE"""),"MICRO")</f>
        <v>MICRO</v>
      </c>
      <c r="B82" s="23" t="str">
        <f>IFERROR(__xludf.DUMMYFUNCTION("""COMPUTED_VALUE"""),"olinshop789")</f>
        <v>olinshop789</v>
      </c>
      <c r="C82" s="257" t="str">
        <f>IFERROR(__xludf.DUMMYFUNCTION("""COMPUTED_VALUE"""),"https://www.tiktok.com/@olinshop789")</f>
        <v>https://www.tiktok.com/@olinshop789</v>
      </c>
      <c r="D82" s="270">
        <f>IFERROR(__xludf.DUMMYFUNCTION("""COMPUTED_VALUE"""),8.5211520489E10)</f>
        <v>85211520489</v>
      </c>
      <c r="E82" s="271">
        <f>IFERROR(__xludf.DUMMYFUNCTION("""COMPUTED_VALUE"""),0.0)</f>
        <v>0</v>
      </c>
      <c r="F82" s="270">
        <f>IFERROR(__xludf.DUMMYFUNCTION("""COMPUTED_VALUE"""),2.0)</f>
        <v>2</v>
      </c>
      <c r="G82" s="25" t="str">
        <f>IFERROR(__xludf.DUMMYFUNCTION("""COMPUTED_VALUE"""),"Rp1,2M")</f>
        <v>Rp1,2M</v>
      </c>
      <c r="H82" s="259" t="str">
        <f>IFERROR(__xludf.DUMMYFUNCTION("""COMPUTED_VALUE"""),"Skinboost Body Toner")</f>
        <v>Skinboost Body Toner</v>
      </c>
      <c r="I82" s="260" t="str">
        <f>IFERROR(__xludf.DUMMYFUNCTION("""COMPUTED_VALUE"""),"Done Req Sample")</f>
        <v>Done Req Sample</v>
      </c>
      <c r="J82" s="261"/>
      <c r="K82" s="262"/>
      <c r="L82" s="261"/>
      <c r="M82" s="262"/>
      <c r="N82" s="261"/>
      <c r="O82" s="17"/>
      <c r="P82" s="261"/>
      <c r="Q82" s="17"/>
      <c r="R82" s="266"/>
      <c r="S82" s="266"/>
      <c r="T82" s="266"/>
      <c r="U82" s="266"/>
    </row>
    <row r="83">
      <c r="A83" s="255" t="str">
        <f>IFERROR(__xludf.DUMMYFUNCTION("""COMPUTED_VALUE"""),"MICRO")</f>
        <v>MICRO</v>
      </c>
      <c r="B83" s="23" t="str">
        <f>IFERROR(__xludf.DUMMYFUNCTION("""COMPUTED_VALUE"""),"sis.915")</f>
        <v>sis.915</v>
      </c>
      <c r="C83" s="257" t="str">
        <f>IFERROR(__xludf.DUMMYFUNCTION("""COMPUTED_VALUE"""),"https://www.tiktok.com/@sis.915")</f>
        <v>https://www.tiktok.com/@sis.915</v>
      </c>
      <c r="D83" s="270">
        <f>IFERROR(__xludf.DUMMYFUNCTION("""COMPUTED_VALUE"""),8.5656151053E10)</f>
        <v>85656151053</v>
      </c>
      <c r="E83" s="271">
        <f>IFERROR(__xludf.DUMMYFUNCTION("""COMPUTED_VALUE"""),0.0)</f>
        <v>0</v>
      </c>
      <c r="F83" s="270">
        <f>IFERROR(__xludf.DUMMYFUNCTION("""COMPUTED_VALUE"""),2.0)</f>
        <v>2</v>
      </c>
      <c r="G83" s="25" t="str">
        <f>IFERROR(__xludf.DUMMYFUNCTION("""COMPUTED_VALUE"""),"Rp14,2JT")</f>
        <v>Rp14,2JT</v>
      </c>
      <c r="H83" s="259" t="str">
        <f>IFERROR(__xludf.DUMMYFUNCTION("""COMPUTED_VALUE"""),"Skinboost Body Toner")</f>
        <v>Skinboost Body Toner</v>
      </c>
      <c r="I83" s="260" t="str">
        <f>IFERROR(__xludf.DUMMYFUNCTION("""COMPUTED_VALUE"""),"Sampai")</f>
        <v>Sampai</v>
      </c>
      <c r="J83" s="261"/>
      <c r="K83" s="262"/>
      <c r="L83" s="261"/>
      <c r="M83" s="262"/>
      <c r="N83" s="261"/>
      <c r="O83" s="17"/>
      <c r="P83" s="261"/>
      <c r="Q83" s="17"/>
      <c r="R83" s="266"/>
      <c r="S83" s="266"/>
      <c r="T83" s="266"/>
      <c r="U83" s="266"/>
    </row>
    <row r="84">
      <c r="A84" s="255" t="str">
        <f>IFERROR(__xludf.DUMMYFUNCTION("""COMPUTED_VALUE"""),"MICRO")</f>
        <v>MICRO</v>
      </c>
      <c r="B84" s="23" t="str">
        <f>IFERROR(__xludf.DUMMYFUNCTION("""COMPUTED_VALUE"""),"diviasaputrii")</f>
        <v>diviasaputrii</v>
      </c>
      <c r="C84" s="257" t="str">
        <f>IFERROR(__xludf.DUMMYFUNCTION("""COMPUTED_VALUE"""),"https://www.tiktok.com/@diviasaputrii")</f>
        <v>https://www.tiktok.com/@diviasaputrii</v>
      </c>
      <c r="D84" s="270">
        <f>IFERROR(__xludf.DUMMYFUNCTION("""COMPUTED_VALUE"""),8.985305997E9)</f>
        <v>8985305997</v>
      </c>
      <c r="E84" s="271">
        <f>IFERROR(__xludf.DUMMYFUNCTION("""COMPUTED_VALUE"""),0.0)</f>
        <v>0</v>
      </c>
      <c r="F84" s="270">
        <f>IFERROR(__xludf.DUMMYFUNCTION("""COMPUTED_VALUE"""),2.0)</f>
        <v>2</v>
      </c>
      <c r="G84" s="25" t="str">
        <f>IFERROR(__xludf.DUMMYFUNCTION("""COMPUTED_VALUE"""),"Rp60,520,000")</f>
        <v>Rp60,520,000</v>
      </c>
      <c r="H84" s="259" t="str">
        <f>IFERROR(__xludf.DUMMYFUNCTION("""COMPUTED_VALUE"""),"Facial Glowing Peeling Gel")</f>
        <v>Facial Glowing Peeling Gel</v>
      </c>
      <c r="I84" s="260"/>
      <c r="J84" s="261"/>
      <c r="K84" s="262"/>
      <c r="L84" s="261"/>
      <c r="M84" s="262"/>
      <c r="N84" s="261"/>
      <c r="O84" s="17"/>
      <c r="P84" s="261"/>
      <c r="Q84" s="17"/>
      <c r="R84" s="266"/>
      <c r="S84" s="266"/>
      <c r="T84" s="266"/>
      <c r="U84" s="266"/>
    </row>
    <row r="85">
      <c r="A85" s="255"/>
      <c r="B85" s="23"/>
      <c r="C85" s="23"/>
      <c r="D85" s="270"/>
      <c r="E85" s="271"/>
      <c r="F85" s="270"/>
      <c r="G85" s="25"/>
      <c r="H85" s="259"/>
      <c r="I85" s="260"/>
      <c r="J85" s="261"/>
      <c r="K85" s="262"/>
      <c r="L85" s="261"/>
      <c r="M85" s="262"/>
      <c r="N85" s="261"/>
      <c r="O85" s="17"/>
      <c r="P85" s="261"/>
      <c r="Q85" s="17"/>
      <c r="R85" s="266"/>
      <c r="S85" s="266"/>
      <c r="T85" s="266"/>
      <c r="U85" s="266"/>
    </row>
    <row r="86">
      <c r="A86" s="255"/>
      <c r="B86" s="23"/>
      <c r="C86" s="23"/>
      <c r="D86" s="270"/>
      <c r="E86" s="271"/>
      <c r="F86" s="270"/>
      <c r="G86" s="25"/>
      <c r="H86" s="259"/>
      <c r="I86" s="260"/>
      <c r="J86" s="261"/>
      <c r="K86" s="262"/>
      <c r="L86" s="261"/>
      <c r="M86" s="262"/>
      <c r="N86" s="261"/>
      <c r="O86" s="17"/>
      <c r="P86" s="261"/>
      <c r="Q86" s="17"/>
      <c r="R86" s="266"/>
      <c r="S86" s="266"/>
      <c r="T86" s="266"/>
      <c r="U86" s="266"/>
    </row>
    <row r="87">
      <c r="A87" s="255"/>
      <c r="B87" s="23"/>
      <c r="C87" s="23"/>
      <c r="D87" s="270"/>
      <c r="E87" s="271"/>
      <c r="F87" s="270"/>
      <c r="G87" s="25"/>
      <c r="H87" s="259"/>
      <c r="I87" s="260"/>
      <c r="J87" s="261"/>
      <c r="K87" s="262"/>
      <c r="L87" s="261"/>
      <c r="M87" s="262"/>
      <c r="N87" s="261"/>
      <c r="O87" s="17"/>
      <c r="P87" s="261"/>
      <c r="Q87" s="17"/>
      <c r="R87" s="266"/>
      <c r="S87" s="266"/>
      <c r="T87" s="266"/>
      <c r="U87" s="266"/>
    </row>
    <row r="88">
      <c r="A88" s="255"/>
      <c r="B88" s="23"/>
      <c r="C88" s="23"/>
      <c r="D88" s="270"/>
      <c r="E88" s="271"/>
      <c r="F88" s="270"/>
      <c r="G88" s="25"/>
      <c r="H88" s="259"/>
      <c r="I88" s="260"/>
      <c r="J88" s="261"/>
      <c r="K88" s="262"/>
      <c r="L88" s="261"/>
      <c r="M88" s="262"/>
      <c r="N88" s="261"/>
      <c r="O88" s="17"/>
      <c r="P88" s="261"/>
      <c r="Q88" s="17"/>
      <c r="R88" s="266"/>
      <c r="S88" s="266"/>
      <c r="T88" s="266"/>
      <c r="U88" s="266"/>
    </row>
    <row r="89">
      <c r="A89" s="255"/>
      <c r="B89" s="23"/>
      <c r="C89" s="23"/>
      <c r="D89" s="270"/>
      <c r="E89" s="271"/>
      <c r="F89" s="270"/>
      <c r="G89" s="25"/>
      <c r="H89" s="259"/>
      <c r="I89" s="260"/>
      <c r="J89" s="261"/>
      <c r="K89" s="262"/>
      <c r="L89" s="261"/>
      <c r="M89" s="262"/>
      <c r="N89" s="261"/>
      <c r="O89" s="17"/>
      <c r="P89" s="261"/>
      <c r="Q89" s="17"/>
      <c r="R89" s="266"/>
      <c r="S89" s="266"/>
      <c r="T89" s="266"/>
      <c r="U89" s="266"/>
    </row>
    <row r="90">
      <c r="A90" s="255"/>
      <c r="B90" s="23"/>
      <c r="C90" s="23"/>
      <c r="D90" s="270"/>
      <c r="E90" s="271"/>
      <c r="F90" s="270"/>
      <c r="G90" s="25"/>
      <c r="H90" s="259"/>
      <c r="I90" s="260"/>
      <c r="J90" s="261"/>
      <c r="K90" s="262"/>
      <c r="L90" s="261"/>
      <c r="M90" s="262"/>
      <c r="N90" s="261"/>
      <c r="O90" s="17"/>
      <c r="P90" s="261"/>
      <c r="Q90" s="17"/>
      <c r="R90" s="266"/>
      <c r="S90" s="266"/>
      <c r="T90" s="266"/>
      <c r="U90" s="266"/>
    </row>
    <row r="91">
      <c r="A91" s="255"/>
      <c r="B91" s="23"/>
      <c r="C91" s="23"/>
      <c r="D91" s="270"/>
      <c r="E91" s="271"/>
      <c r="F91" s="270"/>
      <c r="G91" s="25"/>
      <c r="H91" s="259"/>
      <c r="I91" s="260"/>
      <c r="J91" s="261"/>
      <c r="K91" s="262"/>
      <c r="L91" s="261"/>
      <c r="M91" s="262"/>
      <c r="N91" s="261"/>
      <c r="O91" s="17"/>
      <c r="P91" s="261"/>
      <c r="Q91" s="17"/>
      <c r="R91" s="266"/>
      <c r="S91" s="266"/>
      <c r="T91" s="266"/>
      <c r="U91" s="266"/>
    </row>
    <row r="92">
      <c r="A92" s="255"/>
      <c r="B92" s="23"/>
      <c r="C92" s="23"/>
      <c r="D92" s="270"/>
      <c r="E92" s="271"/>
      <c r="F92" s="270"/>
      <c r="G92" s="25"/>
      <c r="H92" s="259"/>
      <c r="I92" s="260"/>
      <c r="J92" s="261"/>
      <c r="K92" s="262"/>
      <c r="L92" s="261"/>
      <c r="M92" s="262"/>
      <c r="N92" s="261"/>
      <c r="O92" s="17"/>
      <c r="P92" s="261"/>
      <c r="Q92" s="17"/>
      <c r="R92" s="266"/>
      <c r="S92" s="266"/>
      <c r="T92" s="266"/>
      <c r="U92" s="266"/>
    </row>
    <row r="93">
      <c r="A93" s="255"/>
      <c r="B93" s="23"/>
      <c r="C93" s="23"/>
      <c r="D93" s="270"/>
      <c r="E93" s="271"/>
      <c r="F93" s="270"/>
      <c r="G93" s="25"/>
      <c r="H93" s="259"/>
      <c r="I93" s="260"/>
      <c r="J93" s="261"/>
      <c r="K93" s="262"/>
      <c r="L93" s="261"/>
      <c r="M93" s="262"/>
      <c r="N93" s="261"/>
      <c r="O93" s="17"/>
      <c r="P93" s="261"/>
      <c r="Q93" s="17"/>
      <c r="R93" s="266"/>
      <c r="S93" s="266"/>
      <c r="T93" s="266"/>
      <c r="U93" s="266"/>
    </row>
    <row r="94">
      <c r="A94" s="255"/>
      <c r="B94" s="23"/>
      <c r="C94" s="23"/>
      <c r="D94" s="270"/>
      <c r="E94" s="271"/>
      <c r="F94" s="270"/>
      <c r="G94" s="25"/>
      <c r="H94" s="259"/>
      <c r="I94" s="260"/>
      <c r="J94" s="261"/>
      <c r="K94" s="262"/>
      <c r="L94" s="261"/>
      <c r="M94" s="262"/>
      <c r="N94" s="261"/>
      <c r="O94" s="17"/>
      <c r="P94" s="261"/>
      <c r="Q94" s="17"/>
      <c r="R94" s="266"/>
      <c r="S94" s="266"/>
      <c r="T94" s="266"/>
      <c r="U94" s="266"/>
    </row>
    <row r="95">
      <c r="A95" s="255"/>
      <c r="B95" s="23"/>
      <c r="C95" s="23"/>
      <c r="D95" s="270"/>
      <c r="E95" s="271"/>
      <c r="F95" s="270"/>
      <c r="G95" s="25"/>
      <c r="H95" s="259"/>
      <c r="I95" s="260"/>
      <c r="J95" s="261"/>
      <c r="K95" s="262"/>
      <c r="L95" s="261"/>
      <c r="M95" s="262"/>
      <c r="N95" s="261"/>
      <c r="O95" s="17"/>
      <c r="P95" s="261"/>
      <c r="Q95" s="17"/>
      <c r="R95" s="266"/>
      <c r="S95" s="266"/>
      <c r="T95" s="266"/>
      <c r="U95" s="266"/>
    </row>
    <row r="96">
      <c r="A96" s="255"/>
      <c r="B96" s="23"/>
      <c r="C96" s="23"/>
      <c r="D96" s="270"/>
      <c r="E96" s="271"/>
      <c r="F96" s="270"/>
      <c r="G96" s="25"/>
      <c r="H96" s="259"/>
      <c r="I96" s="260"/>
      <c r="J96" s="261"/>
      <c r="K96" s="262"/>
      <c r="L96" s="261"/>
      <c r="M96" s="262"/>
      <c r="N96" s="261"/>
      <c r="O96" s="17"/>
      <c r="P96" s="261"/>
      <c r="Q96" s="17"/>
      <c r="R96" s="266"/>
      <c r="S96" s="266"/>
      <c r="T96" s="266"/>
      <c r="U96" s="266"/>
    </row>
    <row r="97">
      <c r="A97" s="255"/>
      <c r="B97" s="23"/>
      <c r="C97" s="23"/>
      <c r="D97" s="270"/>
      <c r="E97" s="271"/>
      <c r="F97" s="270"/>
      <c r="G97" s="25"/>
      <c r="H97" s="259"/>
      <c r="I97" s="260"/>
      <c r="J97" s="261"/>
      <c r="K97" s="262"/>
      <c r="L97" s="261"/>
      <c r="M97" s="262"/>
      <c r="N97" s="261"/>
      <c r="O97" s="17"/>
      <c r="P97" s="261"/>
      <c r="Q97" s="17"/>
      <c r="R97" s="266"/>
      <c r="S97" s="266"/>
      <c r="T97" s="266"/>
      <c r="U97" s="266"/>
    </row>
    <row r="98">
      <c r="A98" s="255"/>
      <c r="B98" s="23"/>
      <c r="C98" s="23"/>
      <c r="D98" s="270"/>
      <c r="E98" s="271"/>
      <c r="F98" s="270"/>
      <c r="G98" s="25"/>
      <c r="H98" s="259"/>
      <c r="I98" s="260"/>
      <c r="J98" s="261"/>
      <c r="K98" s="262"/>
      <c r="L98" s="261"/>
      <c r="M98" s="262"/>
      <c r="N98" s="261"/>
      <c r="O98" s="17"/>
      <c r="P98" s="261"/>
      <c r="Q98" s="17"/>
      <c r="R98" s="266"/>
      <c r="S98" s="266"/>
      <c r="T98" s="266"/>
      <c r="U98" s="266"/>
    </row>
    <row r="99">
      <c r="A99" s="255"/>
      <c r="B99" s="23"/>
      <c r="C99" s="23"/>
      <c r="D99" s="270"/>
      <c r="E99" s="271"/>
      <c r="F99" s="270"/>
      <c r="G99" s="25"/>
      <c r="H99" s="259"/>
      <c r="I99" s="260"/>
      <c r="J99" s="261"/>
      <c r="K99" s="262"/>
      <c r="L99" s="261"/>
      <c r="M99" s="262"/>
      <c r="N99" s="261"/>
      <c r="O99" s="17"/>
      <c r="P99" s="261"/>
      <c r="Q99" s="17"/>
      <c r="R99" s="266"/>
      <c r="S99" s="266"/>
      <c r="T99" s="266"/>
      <c r="U99" s="266"/>
    </row>
    <row r="100">
      <c r="A100" s="255"/>
      <c r="B100" s="23"/>
      <c r="C100" s="23"/>
      <c r="D100" s="270"/>
      <c r="E100" s="271"/>
      <c r="F100" s="270"/>
      <c r="G100" s="25"/>
      <c r="H100" s="259"/>
      <c r="I100" s="260"/>
      <c r="J100" s="261"/>
      <c r="K100" s="262"/>
      <c r="L100" s="261"/>
      <c r="M100" s="262"/>
      <c r="N100" s="261"/>
      <c r="O100" s="17"/>
      <c r="P100" s="261"/>
      <c r="Q100" s="17"/>
      <c r="R100" s="266"/>
      <c r="S100" s="266"/>
      <c r="T100" s="266"/>
      <c r="U100" s="266"/>
    </row>
    <row r="101">
      <c r="A101" s="255"/>
      <c r="B101" s="23"/>
      <c r="C101" s="23"/>
      <c r="D101" s="270"/>
      <c r="E101" s="271"/>
      <c r="F101" s="270"/>
      <c r="G101" s="25"/>
      <c r="H101" s="259"/>
      <c r="I101" s="260"/>
      <c r="J101" s="261"/>
      <c r="K101" s="262"/>
      <c r="L101" s="261"/>
      <c r="M101" s="262"/>
      <c r="N101" s="261"/>
      <c r="O101" s="17"/>
      <c r="P101" s="261"/>
      <c r="Q101" s="17"/>
      <c r="R101" s="266"/>
      <c r="S101" s="266"/>
      <c r="T101" s="266"/>
      <c r="U101" s="266"/>
    </row>
    <row r="102">
      <c r="A102" s="255"/>
      <c r="B102" s="23"/>
      <c r="C102" s="23"/>
      <c r="D102" s="270"/>
      <c r="E102" s="271"/>
      <c r="F102" s="270"/>
      <c r="G102" s="25"/>
      <c r="H102" s="259"/>
      <c r="I102" s="260"/>
      <c r="J102" s="261"/>
      <c r="K102" s="262"/>
      <c r="L102" s="261"/>
      <c r="M102" s="262"/>
      <c r="N102" s="261"/>
      <c r="O102" s="17"/>
      <c r="P102" s="261"/>
      <c r="Q102" s="17"/>
      <c r="R102" s="266"/>
      <c r="S102" s="266"/>
      <c r="T102" s="266"/>
      <c r="U102" s="266"/>
    </row>
    <row r="103">
      <c r="A103" s="255"/>
      <c r="B103" s="23"/>
      <c r="C103" s="23"/>
      <c r="D103" s="270"/>
      <c r="E103" s="271"/>
      <c r="F103" s="270"/>
      <c r="G103" s="25"/>
      <c r="H103" s="259"/>
      <c r="I103" s="260"/>
      <c r="J103" s="261"/>
      <c r="K103" s="262"/>
      <c r="L103" s="261"/>
      <c r="M103" s="262"/>
      <c r="N103" s="261"/>
      <c r="O103" s="17"/>
      <c r="P103" s="261"/>
      <c r="Q103" s="17"/>
      <c r="R103" s="266"/>
      <c r="S103" s="266"/>
      <c r="T103" s="266"/>
      <c r="U103" s="266"/>
    </row>
    <row r="104">
      <c r="A104" s="255"/>
      <c r="B104" s="23"/>
      <c r="C104" s="23"/>
      <c r="D104" s="270"/>
      <c r="E104" s="271"/>
      <c r="F104" s="270"/>
      <c r="G104" s="25"/>
      <c r="H104" s="259"/>
      <c r="I104" s="260"/>
      <c r="J104" s="261"/>
      <c r="K104" s="262"/>
      <c r="L104" s="261"/>
      <c r="M104" s="262"/>
      <c r="N104" s="261"/>
      <c r="O104" s="17"/>
      <c r="P104" s="261"/>
      <c r="Q104" s="17"/>
      <c r="R104" s="266"/>
      <c r="S104" s="266"/>
      <c r="T104" s="266"/>
      <c r="U104" s="266"/>
    </row>
    <row r="105">
      <c r="A105" s="255"/>
      <c r="B105" s="23"/>
      <c r="C105" s="23"/>
      <c r="D105" s="270"/>
      <c r="E105" s="271"/>
      <c r="F105" s="270"/>
      <c r="G105" s="25"/>
      <c r="H105" s="259"/>
      <c r="I105" s="260"/>
      <c r="J105" s="261"/>
      <c r="K105" s="262"/>
      <c r="L105" s="261"/>
      <c r="M105" s="262"/>
      <c r="N105" s="261"/>
      <c r="O105" s="17"/>
      <c r="P105" s="261"/>
      <c r="Q105" s="17"/>
      <c r="R105" s="266"/>
      <c r="S105" s="266"/>
      <c r="T105" s="266"/>
      <c r="U105" s="266"/>
    </row>
    <row r="106">
      <c r="A106" s="255"/>
      <c r="B106" s="23"/>
      <c r="C106" s="23"/>
      <c r="D106" s="270"/>
      <c r="E106" s="271"/>
      <c r="F106" s="270"/>
      <c r="G106" s="25"/>
      <c r="H106" s="259"/>
      <c r="I106" s="260"/>
      <c r="J106" s="261"/>
      <c r="K106" s="262"/>
      <c r="L106" s="261"/>
      <c r="M106" s="262"/>
      <c r="N106" s="261"/>
      <c r="O106" s="17"/>
      <c r="P106" s="261"/>
      <c r="Q106" s="17"/>
      <c r="R106" s="266"/>
      <c r="S106" s="266"/>
      <c r="T106" s="266"/>
      <c r="U106" s="266"/>
    </row>
    <row r="107">
      <c r="A107" s="255"/>
      <c r="B107" s="23"/>
      <c r="C107" s="23"/>
      <c r="D107" s="270"/>
      <c r="E107" s="271"/>
      <c r="F107" s="270"/>
      <c r="G107" s="25"/>
      <c r="H107" s="259"/>
      <c r="I107" s="260"/>
      <c r="J107" s="261"/>
      <c r="K107" s="262"/>
      <c r="L107" s="261"/>
      <c r="M107" s="262"/>
      <c r="N107" s="261"/>
      <c r="O107" s="17"/>
      <c r="P107" s="261"/>
      <c r="Q107" s="17"/>
      <c r="R107" s="266"/>
      <c r="S107" s="266"/>
      <c r="T107" s="266"/>
      <c r="U107" s="266"/>
    </row>
    <row r="108">
      <c r="A108" s="255"/>
      <c r="B108" s="23"/>
      <c r="C108" s="23"/>
      <c r="D108" s="270"/>
      <c r="E108" s="271"/>
      <c r="F108" s="270"/>
      <c r="G108" s="25"/>
      <c r="H108" s="259"/>
      <c r="I108" s="260"/>
      <c r="J108" s="261"/>
      <c r="K108" s="262"/>
      <c r="L108" s="261"/>
      <c r="M108" s="262"/>
      <c r="N108" s="261"/>
      <c r="O108" s="17"/>
      <c r="P108" s="261"/>
      <c r="Q108" s="17"/>
      <c r="R108" s="266"/>
      <c r="S108" s="266"/>
      <c r="T108" s="266"/>
      <c r="U108" s="266"/>
    </row>
    <row r="109">
      <c r="A109" s="255"/>
      <c r="B109" s="23"/>
      <c r="C109" s="23"/>
      <c r="D109" s="270"/>
      <c r="E109" s="271"/>
      <c r="F109" s="270"/>
      <c r="G109" s="25"/>
      <c r="H109" s="259"/>
      <c r="I109" s="260"/>
      <c r="J109" s="261"/>
      <c r="K109" s="262"/>
      <c r="L109" s="261"/>
      <c r="M109" s="262"/>
      <c r="N109" s="261"/>
      <c r="O109" s="17"/>
      <c r="P109" s="261"/>
      <c r="Q109" s="17"/>
      <c r="R109" s="266"/>
      <c r="S109" s="266"/>
      <c r="T109" s="266"/>
      <c r="U109" s="266"/>
    </row>
    <row r="110">
      <c r="A110" s="255"/>
      <c r="B110" s="23"/>
      <c r="C110" s="23"/>
      <c r="D110" s="270"/>
      <c r="E110" s="271"/>
      <c r="F110" s="270"/>
      <c r="G110" s="25"/>
      <c r="H110" s="259"/>
      <c r="I110" s="260"/>
      <c r="J110" s="261"/>
      <c r="K110" s="262"/>
      <c r="L110" s="261"/>
      <c r="M110" s="262"/>
      <c r="N110" s="261"/>
      <c r="O110" s="17"/>
      <c r="P110" s="261"/>
      <c r="Q110" s="17"/>
      <c r="R110" s="266"/>
      <c r="S110" s="266"/>
      <c r="T110" s="266"/>
      <c r="U110" s="266"/>
    </row>
    <row r="111">
      <c r="A111" s="255"/>
      <c r="B111" s="23"/>
      <c r="C111" s="23"/>
      <c r="D111" s="270"/>
      <c r="E111" s="271"/>
      <c r="F111" s="270"/>
      <c r="G111" s="25"/>
      <c r="H111" s="259"/>
      <c r="I111" s="260"/>
      <c r="J111" s="261"/>
      <c r="K111" s="262"/>
      <c r="L111" s="261"/>
      <c r="M111" s="262"/>
      <c r="N111" s="261"/>
      <c r="O111" s="17"/>
      <c r="P111" s="261"/>
      <c r="Q111" s="17"/>
      <c r="R111" s="266"/>
      <c r="S111" s="266"/>
      <c r="T111" s="266"/>
      <c r="U111" s="266"/>
    </row>
    <row r="112">
      <c r="A112" s="255"/>
      <c r="B112" s="23"/>
      <c r="C112" s="23"/>
      <c r="D112" s="270"/>
      <c r="E112" s="271"/>
      <c r="F112" s="270"/>
      <c r="G112" s="25"/>
      <c r="H112" s="259"/>
      <c r="I112" s="260"/>
      <c r="J112" s="261"/>
      <c r="K112" s="262"/>
      <c r="L112" s="261"/>
      <c r="M112" s="262"/>
      <c r="N112" s="261"/>
      <c r="O112" s="17"/>
      <c r="P112" s="261"/>
      <c r="Q112" s="17"/>
      <c r="R112" s="266"/>
      <c r="S112" s="266"/>
      <c r="T112" s="266"/>
      <c r="U112" s="266"/>
    </row>
    <row r="113">
      <c r="A113" s="255"/>
      <c r="B113" s="23"/>
      <c r="C113" s="23"/>
      <c r="D113" s="270"/>
      <c r="E113" s="271"/>
      <c r="F113" s="270"/>
      <c r="G113" s="25"/>
      <c r="H113" s="259"/>
      <c r="I113" s="260"/>
      <c r="J113" s="261"/>
      <c r="K113" s="262"/>
      <c r="L113" s="261"/>
      <c r="M113" s="262"/>
      <c r="N113" s="261"/>
      <c r="O113" s="17"/>
      <c r="P113" s="261"/>
      <c r="Q113" s="17"/>
      <c r="R113" s="266"/>
      <c r="S113" s="266"/>
      <c r="T113" s="266"/>
      <c r="U113" s="266"/>
    </row>
    <row r="114">
      <c r="A114" s="255"/>
      <c r="B114" s="23"/>
      <c r="C114" s="23"/>
      <c r="D114" s="270"/>
      <c r="E114" s="271"/>
      <c r="F114" s="270"/>
      <c r="G114" s="25"/>
      <c r="H114" s="259"/>
      <c r="I114" s="260"/>
      <c r="J114" s="261"/>
      <c r="K114" s="262"/>
      <c r="L114" s="261"/>
      <c r="M114" s="262"/>
      <c r="N114" s="261"/>
      <c r="O114" s="17"/>
      <c r="P114" s="261"/>
      <c r="Q114" s="17"/>
      <c r="R114" s="266"/>
      <c r="S114" s="266"/>
      <c r="T114" s="266"/>
      <c r="U114" s="266"/>
    </row>
    <row r="115">
      <c r="A115" s="255"/>
      <c r="B115" s="23"/>
      <c r="C115" s="23"/>
      <c r="D115" s="270"/>
      <c r="E115" s="271"/>
      <c r="F115" s="270"/>
      <c r="G115" s="25"/>
      <c r="H115" s="259"/>
      <c r="I115" s="260"/>
      <c r="J115" s="261"/>
      <c r="K115" s="262"/>
      <c r="L115" s="261"/>
      <c r="M115" s="262"/>
      <c r="N115" s="261"/>
      <c r="O115" s="17"/>
      <c r="P115" s="261"/>
      <c r="Q115" s="17"/>
      <c r="R115" s="266"/>
      <c r="S115" s="266"/>
      <c r="T115" s="266"/>
      <c r="U115" s="266"/>
    </row>
    <row r="116">
      <c r="A116" s="255"/>
      <c r="B116" s="23"/>
      <c r="C116" s="23"/>
      <c r="D116" s="270"/>
      <c r="E116" s="271"/>
      <c r="F116" s="270"/>
      <c r="G116" s="25"/>
      <c r="H116" s="259"/>
      <c r="I116" s="260"/>
      <c r="J116" s="261"/>
      <c r="K116" s="262"/>
      <c r="L116" s="261"/>
      <c r="M116" s="262"/>
      <c r="N116" s="261"/>
      <c r="O116" s="17"/>
      <c r="P116" s="261"/>
      <c r="Q116" s="17"/>
      <c r="R116" s="266"/>
      <c r="S116" s="266"/>
      <c r="T116" s="266"/>
      <c r="U116" s="266"/>
    </row>
    <row r="117">
      <c r="A117" s="255"/>
      <c r="B117" s="23"/>
      <c r="C117" s="23"/>
      <c r="D117" s="270"/>
      <c r="E117" s="271"/>
      <c r="F117" s="270"/>
      <c r="G117" s="25"/>
      <c r="H117" s="259"/>
      <c r="I117" s="260"/>
      <c r="J117" s="261"/>
      <c r="K117" s="262"/>
      <c r="L117" s="261"/>
      <c r="M117" s="262"/>
      <c r="N117" s="261"/>
      <c r="O117" s="17"/>
      <c r="P117" s="261"/>
      <c r="Q117" s="17"/>
      <c r="R117" s="266"/>
      <c r="S117" s="266"/>
      <c r="T117" s="266"/>
      <c r="U117" s="266"/>
    </row>
    <row r="118">
      <c r="A118" s="255"/>
      <c r="B118" s="23"/>
      <c r="C118" s="23"/>
      <c r="D118" s="270"/>
      <c r="E118" s="271"/>
      <c r="F118" s="270"/>
      <c r="G118" s="25"/>
      <c r="H118" s="259"/>
      <c r="I118" s="260"/>
      <c r="J118" s="261"/>
      <c r="K118" s="262"/>
      <c r="L118" s="261"/>
      <c r="M118" s="262"/>
      <c r="N118" s="261"/>
      <c r="O118" s="17"/>
      <c r="P118" s="261"/>
      <c r="Q118" s="17"/>
      <c r="R118" s="266"/>
      <c r="S118" s="266"/>
      <c r="T118" s="266"/>
      <c r="U118" s="266"/>
    </row>
    <row r="119">
      <c r="A119" s="255"/>
      <c r="B119" s="23"/>
      <c r="C119" s="23"/>
      <c r="D119" s="270"/>
      <c r="E119" s="271"/>
      <c r="F119" s="270"/>
      <c r="G119" s="25"/>
      <c r="H119" s="259"/>
      <c r="I119" s="260"/>
      <c r="J119" s="261"/>
      <c r="K119" s="262"/>
      <c r="L119" s="261"/>
      <c r="M119" s="262"/>
      <c r="N119" s="261"/>
      <c r="O119" s="17"/>
      <c r="P119" s="261"/>
      <c r="Q119" s="17"/>
      <c r="R119" s="266"/>
      <c r="S119" s="266"/>
      <c r="T119" s="266"/>
      <c r="U119" s="266"/>
    </row>
    <row r="120">
      <c r="A120" s="255"/>
      <c r="B120" s="23"/>
      <c r="C120" s="23"/>
      <c r="D120" s="270"/>
      <c r="E120" s="271"/>
      <c r="F120" s="270"/>
      <c r="G120" s="25"/>
      <c r="H120" s="259"/>
      <c r="I120" s="260"/>
      <c r="J120" s="261"/>
      <c r="K120" s="262"/>
      <c r="L120" s="261"/>
      <c r="M120" s="262"/>
      <c r="N120" s="261"/>
      <c r="O120" s="17"/>
      <c r="P120" s="261"/>
      <c r="Q120" s="17"/>
      <c r="R120" s="266"/>
      <c r="S120" s="266"/>
      <c r="T120" s="266"/>
      <c r="U120" s="266"/>
    </row>
    <row r="121">
      <c r="A121" s="255"/>
      <c r="B121" s="23"/>
      <c r="C121" s="23"/>
      <c r="D121" s="270"/>
      <c r="E121" s="271"/>
      <c r="F121" s="270"/>
      <c r="G121" s="25"/>
      <c r="H121" s="259"/>
      <c r="I121" s="260"/>
      <c r="J121" s="261"/>
      <c r="K121" s="262"/>
      <c r="L121" s="261"/>
      <c r="M121" s="262"/>
      <c r="N121" s="261"/>
      <c r="O121" s="17"/>
      <c r="P121" s="261"/>
      <c r="Q121" s="17"/>
      <c r="R121" s="266"/>
      <c r="S121" s="266"/>
      <c r="T121" s="266"/>
      <c r="U121" s="266"/>
    </row>
    <row r="122">
      <c r="A122" s="255"/>
      <c r="B122" s="23"/>
      <c r="C122" s="23"/>
      <c r="D122" s="270"/>
      <c r="E122" s="271"/>
      <c r="F122" s="270"/>
      <c r="G122" s="25"/>
      <c r="H122" s="259"/>
      <c r="I122" s="260"/>
      <c r="J122" s="261"/>
      <c r="K122" s="262"/>
      <c r="L122" s="261"/>
      <c r="M122" s="262"/>
      <c r="N122" s="261"/>
      <c r="O122" s="17"/>
      <c r="P122" s="261"/>
      <c r="Q122" s="17"/>
      <c r="R122" s="266"/>
      <c r="S122" s="266"/>
      <c r="T122" s="266"/>
      <c r="U122" s="266"/>
    </row>
    <row r="123">
      <c r="A123" s="255"/>
      <c r="B123" s="23"/>
      <c r="C123" s="23"/>
      <c r="D123" s="270"/>
      <c r="E123" s="271"/>
      <c r="F123" s="270"/>
      <c r="G123" s="25"/>
      <c r="H123" s="259"/>
      <c r="I123" s="260"/>
      <c r="J123" s="261"/>
      <c r="K123" s="262"/>
      <c r="L123" s="261"/>
      <c r="M123" s="262"/>
      <c r="N123" s="261"/>
      <c r="O123" s="17"/>
      <c r="P123" s="261"/>
      <c r="Q123" s="17"/>
      <c r="R123" s="266"/>
      <c r="S123" s="266"/>
      <c r="T123" s="266"/>
      <c r="U123" s="266"/>
    </row>
    <row r="124">
      <c r="A124" s="255"/>
      <c r="B124" s="23"/>
      <c r="C124" s="23"/>
      <c r="D124" s="270"/>
      <c r="E124" s="271"/>
      <c r="F124" s="270"/>
      <c r="G124" s="25"/>
      <c r="H124" s="259"/>
      <c r="I124" s="260"/>
      <c r="J124" s="261"/>
      <c r="K124" s="262"/>
      <c r="L124" s="261"/>
      <c r="M124" s="262"/>
      <c r="N124" s="261"/>
      <c r="O124" s="17"/>
      <c r="P124" s="261"/>
      <c r="Q124" s="17"/>
      <c r="R124" s="266"/>
      <c r="S124" s="266"/>
      <c r="T124" s="266"/>
      <c r="U124" s="266"/>
    </row>
    <row r="125">
      <c r="A125" s="255"/>
      <c r="B125" s="23"/>
      <c r="C125" s="23"/>
      <c r="D125" s="270"/>
      <c r="E125" s="271"/>
      <c r="F125" s="270"/>
      <c r="G125" s="25"/>
      <c r="H125" s="259"/>
      <c r="I125" s="260"/>
      <c r="J125" s="261"/>
      <c r="K125" s="262"/>
      <c r="L125" s="261"/>
      <c r="M125" s="262"/>
      <c r="N125" s="261"/>
      <c r="O125" s="17"/>
      <c r="P125" s="261"/>
      <c r="Q125" s="17"/>
      <c r="R125" s="266"/>
      <c r="S125" s="266"/>
      <c r="T125" s="266"/>
      <c r="U125" s="266"/>
    </row>
    <row r="126">
      <c r="A126" s="255"/>
      <c r="B126" s="23"/>
      <c r="C126" s="23"/>
      <c r="D126" s="270"/>
      <c r="E126" s="271"/>
      <c r="F126" s="270"/>
      <c r="G126" s="25"/>
      <c r="H126" s="259"/>
      <c r="I126" s="260"/>
      <c r="J126" s="261"/>
      <c r="K126" s="262"/>
      <c r="L126" s="261"/>
      <c r="M126" s="262"/>
      <c r="N126" s="261"/>
      <c r="O126" s="17"/>
      <c r="P126" s="261"/>
      <c r="Q126" s="17"/>
      <c r="R126" s="266"/>
      <c r="S126" s="266"/>
      <c r="T126" s="266"/>
      <c r="U126" s="266"/>
    </row>
    <row r="127">
      <c r="A127" s="255"/>
      <c r="B127" s="23"/>
      <c r="C127" s="23"/>
      <c r="D127" s="270"/>
      <c r="E127" s="271"/>
      <c r="F127" s="270"/>
      <c r="G127" s="25"/>
      <c r="H127" s="259"/>
      <c r="I127" s="260"/>
      <c r="J127" s="261"/>
      <c r="K127" s="262"/>
      <c r="L127" s="261"/>
      <c r="M127" s="262"/>
      <c r="N127" s="261"/>
      <c r="O127" s="17"/>
      <c r="P127" s="261"/>
      <c r="Q127" s="17"/>
      <c r="R127" s="266"/>
      <c r="S127" s="266"/>
      <c r="T127" s="266"/>
      <c r="U127" s="266"/>
    </row>
    <row r="128">
      <c r="A128" s="255"/>
      <c r="B128" s="23"/>
      <c r="C128" s="23"/>
      <c r="D128" s="270"/>
      <c r="E128" s="271"/>
      <c r="F128" s="270"/>
      <c r="G128" s="25"/>
      <c r="H128" s="259"/>
      <c r="I128" s="260"/>
      <c r="J128" s="261"/>
      <c r="K128" s="262"/>
      <c r="L128" s="261"/>
      <c r="M128" s="262"/>
      <c r="N128" s="261"/>
      <c r="O128" s="17"/>
      <c r="P128" s="261"/>
      <c r="Q128" s="17"/>
      <c r="R128" s="266"/>
      <c r="S128" s="266"/>
      <c r="T128" s="266"/>
      <c r="U128" s="266"/>
    </row>
    <row r="129">
      <c r="A129" s="255"/>
      <c r="B129" s="23"/>
      <c r="C129" s="23"/>
      <c r="D129" s="270"/>
      <c r="E129" s="271"/>
      <c r="F129" s="270"/>
      <c r="G129" s="25"/>
      <c r="H129" s="259"/>
      <c r="I129" s="260"/>
      <c r="J129" s="261"/>
      <c r="K129" s="262"/>
      <c r="L129" s="261"/>
      <c r="M129" s="262"/>
      <c r="N129" s="261"/>
      <c r="O129" s="17"/>
      <c r="P129" s="261"/>
      <c r="Q129" s="17"/>
      <c r="R129" s="266"/>
      <c r="S129" s="266"/>
      <c r="T129" s="266"/>
      <c r="U129" s="266"/>
    </row>
    <row r="130">
      <c r="A130" s="255"/>
      <c r="B130" s="23"/>
      <c r="C130" s="23"/>
      <c r="D130" s="270"/>
      <c r="E130" s="271"/>
      <c r="F130" s="270"/>
      <c r="G130" s="25"/>
      <c r="H130" s="259"/>
      <c r="I130" s="260"/>
      <c r="J130" s="261"/>
      <c r="K130" s="262"/>
      <c r="L130" s="261"/>
      <c r="M130" s="262"/>
      <c r="N130" s="261"/>
      <c r="O130" s="17"/>
      <c r="P130" s="261"/>
      <c r="Q130" s="17"/>
      <c r="R130" s="266"/>
      <c r="S130" s="266"/>
      <c r="T130" s="266"/>
      <c r="U130" s="266"/>
    </row>
    <row r="131">
      <c r="A131" s="255"/>
      <c r="B131" s="23"/>
      <c r="C131" s="23"/>
      <c r="D131" s="270"/>
      <c r="E131" s="271"/>
      <c r="F131" s="270"/>
      <c r="G131" s="25"/>
      <c r="H131" s="259"/>
      <c r="I131" s="260"/>
      <c r="J131" s="261"/>
      <c r="K131" s="262"/>
      <c r="L131" s="261"/>
      <c r="M131" s="262"/>
      <c r="N131" s="261"/>
      <c r="O131" s="17"/>
      <c r="P131" s="261"/>
      <c r="Q131" s="17"/>
      <c r="R131" s="266"/>
      <c r="S131" s="266"/>
      <c r="T131" s="266"/>
      <c r="U131" s="266"/>
    </row>
    <row r="132">
      <c r="A132" s="255"/>
      <c r="B132" s="23"/>
      <c r="C132" s="23"/>
      <c r="D132" s="270"/>
      <c r="E132" s="271"/>
      <c r="F132" s="270"/>
      <c r="G132" s="25"/>
      <c r="H132" s="259"/>
      <c r="I132" s="260"/>
      <c r="J132" s="261"/>
      <c r="K132" s="262"/>
      <c r="L132" s="261"/>
      <c r="M132" s="262"/>
      <c r="N132" s="261"/>
      <c r="O132" s="17"/>
      <c r="P132" s="261"/>
      <c r="Q132" s="17"/>
      <c r="R132" s="266"/>
      <c r="S132" s="266"/>
      <c r="T132" s="266"/>
      <c r="U132" s="266"/>
    </row>
    <row r="133">
      <c r="A133" s="255"/>
      <c r="B133" s="23"/>
      <c r="C133" s="23"/>
      <c r="D133" s="270"/>
      <c r="E133" s="271"/>
      <c r="F133" s="270"/>
      <c r="G133" s="25"/>
      <c r="H133" s="259"/>
      <c r="I133" s="260"/>
      <c r="J133" s="261"/>
      <c r="K133" s="262"/>
      <c r="L133" s="261"/>
      <c r="M133" s="262"/>
      <c r="N133" s="261"/>
      <c r="O133" s="17"/>
      <c r="P133" s="261"/>
      <c r="Q133" s="17"/>
      <c r="R133" s="266"/>
      <c r="S133" s="266"/>
      <c r="T133" s="266"/>
      <c r="U133" s="266"/>
    </row>
    <row r="134">
      <c r="A134" s="255"/>
      <c r="B134" s="23"/>
      <c r="C134" s="23"/>
      <c r="D134" s="270"/>
      <c r="E134" s="271"/>
      <c r="F134" s="270"/>
      <c r="G134" s="25"/>
      <c r="H134" s="259"/>
      <c r="I134" s="260"/>
      <c r="J134" s="261"/>
      <c r="K134" s="262"/>
      <c r="L134" s="261"/>
      <c r="M134" s="262"/>
      <c r="N134" s="261"/>
      <c r="O134" s="17"/>
      <c r="P134" s="261"/>
      <c r="Q134" s="17"/>
      <c r="R134" s="266"/>
      <c r="S134" s="266"/>
      <c r="T134" s="266"/>
      <c r="U134" s="266"/>
    </row>
    <row r="135">
      <c r="A135" s="255"/>
      <c r="B135" s="23"/>
      <c r="C135" s="23"/>
      <c r="D135" s="270"/>
      <c r="E135" s="271"/>
      <c r="F135" s="270"/>
      <c r="G135" s="25"/>
      <c r="H135" s="259"/>
      <c r="I135" s="260"/>
      <c r="J135" s="261"/>
      <c r="K135" s="262"/>
      <c r="L135" s="261"/>
      <c r="M135" s="262"/>
      <c r="N135" s="261"/>
      <c r="O135" s="17"/>
      <c r="P135" s="261"/>
      <c r="Q135" s="17"/>
      <c r="R135" s="266"/>
      <c r="S135" s="266"/>
      <c r="T135" s="266"/>
      <c r="U135" s="266"/>
    </row>
    <row r="136">
      <c r="A136" s="255"/>
      <c r="B136" s="23"/>
      <c r="C136" s="23"/>
      <c r="D136" s="270"/>
      <c r="E136" s="271"/>
      <c r="F136" s="270"/>
      <c r="G136" s="25"/>
      <c r="H136" s="259"/>
      <c r="I136" s="260"/>
      <c r="J136" s="261"/>
      <c r="K136" s="262"/>
      <c r="L136" s="261"/>
      <c r="M136" s="262"/>
      <c r="N136" s="261"/>
      <c r="O136" s="17"/>
      <c r="P136" s="261"/>
      <c r="Q136" s="17"/>
      <c r="R136" s="266"/>
      <c r="S136" s="266"/>
      <c r="T136" s="266"/>
      <c r="U136" s="266"/>
    </row>
    <row r="137">
      <c r="A137" s="255"/>
      <c r="B137" s="23"/>
      <c r="C137" s="23"/>
      <c r="D137" s="270"/>
      <c r="E137" s="271"/>
      <c r="F137" s="270"/>
      <c r="G137" s="25"/>
      <c r="H137" s="259"/>
      <c r="I137" s="260"/>
      <c r="J137" s="261"/>
      <c r="K137" s="262"/>
      <c r="L137" s="261"/>
      <c r="M137" s="262"/>
      <c r="N137" s="261"/>
      <c r="O137" s="17"/>
      <c r="P137" s="261"/>
      <c r="Q137" s="17"/>
      <c r="R137" s="266"/>
      <c r="S137" s="266"/>
      <c r="T137" s="266"/>
      <c r="U137" s="266"/>
    </row>
    <row r="138">
      <c r="A138" s="255"/>
      <c r="B138" s="23"/>
      <c r="C138" s="23"/>
      <c r="D138" s="270"/>
      <c r="E138" s="271"/>
      <c r="F138" s="270"/>
      <c r="G138" s="25"/>
      <c r="H138" s="259"/>
      <c r="I138" s="260"/>
      <c r="J138" s="261"/>
      <c r="K138" s="262"/>
      <c r="L138" s="261"/>
      <c r="M138" s="262"/>
      <c r="N138" s="261"/>
      <c r="O138" s="17"/>
      <c r="P138" s="261"/>
      <c r="Q138" s="17"/>
      <c r="R138" s="266"/>
      <c r="S138" s="266"/>
      <c r="T138" s="266"/>
      <c r="U138" s="266"/>
    </row>
    <row r="139">
      <c r="A139" s="255"/>
      <c r="B139" s="23"/>
      <c r="C139" s="23"/>
      <c r="D139" s="270"/>
      <c r="E139" s="271"/>
      <c r="F139" s="270"/>
      <c r="G139" s="25"/>
      <c r="H139" s="259"/>
      <c r="I139" s="260"/>
      <c r="J139" s="261"/>
      <c r="K139" s="262"/>
      <c r="L139" s="261"/>
      <c r="M139" s="262"/>
      <c r="N139" s="261"/>
      <c r="O139" s="17"/>
      <c r="P139" s="261"/>
      <c r="Q139" s="17"/>
      <c r="R139" s="266"/>
      <c r="S139" s="266"/>
      <c r="T139" s="266"/>
      <c r="U139" s="266"/>
    </row>
    <row r="140">
      <c r="A140" s="255"/>
      <c r="B140" s="23"/>
      <c r="C140" s="23"/>
      <c r="D140" s="270"/>
      <c r="E140" s="271"/>
      <c r="F140" s="270"/>
      <c r="G140" s="25"/>
      <c r="H140" s="259"/>
      <c r="I140" s="260"/>
      <c r="J140" s="261"/>
      <c r="K140" s="262"/>
      <c r="L140" s="261"/>
      <c r="M140" s="262"/>
      <c r="N140" s="261"/>
      <c r="O140" s="17"/>
      <c r="P140" s="261"/>
      <c r="Q140" s="17"/>
      <c r="R140" s="266"/>
      <c r="S140" s="266"/>
      <c r="T140" s="266"/>
      <c r="U140" s="266"/>
    </row>
    <row r="141">
      <c r="A141" s="255"/>
      <c r="B141" s="23"/>
      <c r="C141" s="23"/>
      <c r="D141" s="270"/>
      <c r="E141" s="271"/>
      <c r="F141" s="270"/>
      <c r="G141" s="25"/>
      <c r="H141" s="259"/>
      <c r="I141" s="260"/>
      <c r="J141" s="261"/>
      <c r="K141" s="262"/>
      <c r="L141" s="261"/>
      <c r="M141" s="262"/>
      <c r="N141" s="261"/>
      <c r="O141" s="17"/>
      <c r="P141" s="261"/>
      <c r="Q141" s="17"/>
      <c r="R141" s="266"/>
      <c r="S141" s="266"/>
      <c r="T141" s="266"/>
      <c r="U141" s="266"/>
    </row>
    <row r="142">
      <c r="A142" s="255"/>
      <c r="B142" s="23"/>
      <c r="C142" s="23"/>
      <c r="D142" s="270"/>
      <c r="E142" s="271"/>
      <c r="F142" s="270"/>
      <c r="G142" s="25"/>
      <c r="H142" s="259"/>
      <c r="I142" s="260"/>
      <c r="J142" s="261"/>
      <c r="K142" s="262"/>
      <c r="L142" s="261"/>
      <c r="M142" s="262"/>
      <c r="N142" s="261"/>
      <c r="O142" s="17"/>
      <c r="P142" s="261"/>
      <c r="Q142" s="17"/>
      <c r="R142" s="266"/>
      <c r="S142" s="266"/>
      <c r="T142" s="266"/>
      <c r="U142" s="266"/>
    </row>
    <row r="143">
      <c r="A143" s="255"/>
      <c r="B143" s="23"/>
      <c r="C143" s="23"/>
      <c r="D143" s="270"/>
      <c r="E143" s="271"/>
      <c r="F143" s="270"/>
      <c r="G143" s="25"/>
      <c r="H143" s="259"/>
      <c r="I143" s="260"/>
      <c r="J143" s="261"/>
      <c r="K143" s="262"/>
      <c r="L143" s="261"/>
      <c r="M143" s="262"/>
      <c r="N143" s="261"/>
      <c r="O143" s="17"/>
      <c r="P143" s="261"/>
      <c r="Q143" s="17"/>
      <c r="R143" s="266"/>
      <c r="S143" s="266"/>
      <c r="T143" s="266"/>
      <c r="U143" s="266"/>
    </row>
    <row r="144">
      <c r="A144" s="255"/>
      <c r="B144" s="23"/>
      <c r="C144" s="23"/>
      <c r="D144" s="270"/>
      <c r="E144" s="271"/>
      <c r="F144" s="270"/>
      <c r="G144" s="25"/>
      <c r="H144" s="259"/>
      <c r="I144" s="260"/>
      <c r="J144" s="261"/>
      <c r="K144" s="262"/>
      <c r="L144" s="261"/>
      <c r="M144" s="262"/>
      <c r="N144" s="261"/>
      <c r="O144" s="17"/>
      <c r="P144" s="261"/>
      <c r="Q144" s="17"/>
      <c r="R144" s="266"/>
      <c r="S144" s="266"/>
      <c r="T144" s="266"/>
      <c r="U144" s="266"/>
    </row>
    <row r="145">
      <c r="A145" s="255"/>
      <c r="B145" s="23"/>
      <c r="C145" s="23"/>
      <c r="D145" s="270"/>
      <c r="E145" s="271"/>
      <c r="F145" s="270"/>
      <c r="G145" s="25"/>
      <c r="H145" s="259"/>
      <c r="I145" s="260"/>
      <c r="J145" s="261"/>
      <c r="K145" s="262"/>
      <c r="L145" s="261"/>
      <c r="M145" s="262"/>
      <c r="N145" s="261"/>
      <c r="O145" s="17"/>
      <c r="P145" s="261"/>
      <c r="Q145" s="17"/>
      <c r="R145" s="266"/>
      <c r="S145" s="266"/>
      <c r="T145" s="266"/>
      <c r="U145" s="266"/>
    </row>
    <row r="146">
      <c r="A146" s="255"/>
      <c r="B146" s="23"/>
      <c r="C146" s="23"/>
      <c r="D146" s="270"/>
      <c r="E146" s="271"/>
      <c r="F146" s="270"/>
      <c r="G146" s="25"/>
      <c r="H146" s="259"/>
      <c r="I146" s="260"/>
      <c r="J146" s="261"/>
      <c r="K146" s="262"/>
      <c r="L146" s="261"/>
      <c r="M146" s="262"/>
      <c r="N146" s="261"/>
      <c r="O146" s="17"/>
      <c r="P146" s="261"/>
      <c r="Q146" s="17"/>
      <c r="R146" s="266"/>
      <c r="S146" s="266"/>
      <c r="T146" s="266"/>
      <c r="U146" s="266"/>
    </row>
    <row r="147">
      <c r="A147" s="255"/>
      <c r="B147" s="23"/>
      <c r="C147" s="23"/>
      <c r="D147" s="270"/>
      <c r="E147" s="271"/>
      <c r="F147" s="270"/>
      <c r="G147" s="25"/>
      <c r="H147" s="259"/>
      <c r="I147" s="260"/>
      <c r="J147" s="261"/>
      <c r="K147" s="262"/>
      <c r="L147" s="261"/>
      <c r="M147" s="262"/>
      <c r="N147" s="261"/>
      <c r="O147" s="17"/>
      <c r="P147" s="261"/>
      <c r="Q147" s="17"/>
      <c r="R147" s="266"/>
      <c r="S147" s="266"/>
      <c r="T147" s="266"/>
      <c r="U147" s="266"/>
    </row>
    <row r="148">
      <c r="A148" s="255"/>
      <c r="B148" s="23"/>
      <c r="C148" s="23"/>
      <c r="D148" s="270"/>
      <c r="E148" s="271"/>
      <c r="F148" s="270"/>
      <c r="G148" s="25"/>
      <c r="H148" s="259"/>
      <c r="I148" s="260"/>
      <c r="J148" s="261"/>
      <c r="K148" s="262"/>
      <c r="L148" s="261"/>
      <c r="M148" s="262"/>
      <c r="N148" s="261"/>
      <c r="O148" s="17"/>
      <c r="P148" s="261"/>
      <c r="Q148" s="17"/>
      <c r="R148" s="266"/>
      <c r="S148" s="266"/>
      <c r="T148" s="266"/>
      <c r="U148" s="266"/>
    </row>
    <row r="149">
      <c r="A149" s="255"/>
      <c r="B149" s="23"/>
      <c r="C149" s="23"/>
      <c r="D149" s="270"/>
      <c r="E149" s="271"/>
      <c r="F149" s="270"/>
      <c r="G149" s="25"/>
      <c r="H149" s="259"/>
      <c r="I149" s="260"/>
      <c r="J149" s="261"/>
      <c r="K149" s="262"/>
      <c r="L149" s="261"/>
      <c r="M149" s="262"/>
      <c r="N149" s="261"/>
      <c r="O149" s="17"/>
      <c r="P149" s="261"/>
      <c r="Q149" s="17"/>
      <c r="R149" s="266"/>
      <c r="S149" s="266"/>
      <c r="T149" s="266"/>
      <c r="U149" s="266"/>
    </row>
    <row r="150">
      <c r="A150" s="255"/>
      <c r="B150" s="23"/>
      <c r="C150" s="23"/>
      <c r="D150" s="270"/>
      <c r="E150" s="271"/>
      <c r="F150" s="270"/>
      <c r="G150" s="25"/>
      <c r="H150" s="259"/>
      <c r="I150" s="260"/>
      <c r="J150" s="261"/>
      <c r="K150" s="262"/>
      <c r="L150" s="261"/>
      <c r="M150" s="262"/>
      <c r="N150" s="261"/>
      <c r="O150" s="17"/>
      <c r="P150" s="261"/>
      <c r="Q150" s="17"/>
      <c r="R150" s="266"/>
      <c r="S150" s="266"/>
      <c r="T150" s="266"/>
      <c r="U150" s="266"/>
    </row>
    <row r="151">
      <c r="A151" s="255"/>
      <c r="B151" s="23"/>
      <c r="C151" s="23"/>
      <c r="D151" s="270"/>
      <c r="E151" s="271"/>
      <c r="F151" s="270"/>
      <c r="G151" s="25"/>
      <c r="H151" s="259"/>
      <c r="I151" s="260"/>
      <c r="J151" s="261"/>
      <c r="K151" s="262"/>
      <c r="L151" s="261"/>
      <c r="M151" s="262"/>
      <c r="N151" s="261"/>
      <c r="O151" s="17"/>
      <c r="P151" s="261"/>
      <c r="Q151" s="17"/>
      <c r="R151" s="266"/>
      <c r="S151" s="266"/>
      <c r="T151" s="266"/>
      <c r="U151" s="266"/>
    </row>
    <row r="152">
      <c r="A152" s="255"/>
      <c r="B152" s="23"/>
      <c r="C152" s="23"/>
      <c r="D152" s="270"/>
      <c r="E152" s="271"/>
      <c r="F152" s="270"/>
      <c r="G152" s="25"/>
      <c r="H152" s="259"/>
      <c r="I152" s="260"/>
      <c r="J152" s="261"/>
      <c r="K152" s="262"/>
      <c r="L152" s="261"/>
      <c r="M152" s="262"/>
      <c r="N152" s="261"/>
      <c r="O152" s="17"/>
      <c r="P152" s="261"/>
      <c r="Q152" s="17"/>
      <c r="R152" s="266"/>
      <c r="S152" s="266"/>
      <c r="T152" s="266"/>
      <c r="U152" s="266"/>
    </row>
    <row r="153">
      <c r="A153" s="255"/>
      <c r="B153" s="23"/>
      <c r="C153" s="23"/>
      <c r="D153" s="270"/>
      <c r="E153" s="271"/>
      <c r="F153" s="270"/>
      <c r="G153" s="25"/>
      <c r="H153" s="259"/>
      <c r="I153" s="260"/>
      <c r="J153" s="261"/>
      <c r="K153" s="262"/>
      <c r="L153" s="261"/>
      <c r="M153" s="262"/>
      <c r="N153" s="261"/>
      <c r="O153" s="17"/>
      <c r="P153" s="261"/>
      <c r="Q153" s="17"/>
      <c r="R153" s="266"/>
      <c r="S153" s="266"/>
      <c r="T153" s="266"/>
      <c r="U153" s="266"/>
    </row>
    <row r="154">
      <c r="A154" s="255"/>
      <c r="B154" s="23"/>
      <c r="C154" s="23"/>
      <c r="D154" s="270"/>
      <c r="E154" s="271"/>
      <c r="F154" s="270"/>
      <c r="G154" s="25"/>
      <c r="H154" s="259"/>
      <c r="I154" s="260"/>
      <c r="J154" s="261"/>
      <c r="K154" s="262"/>
      <c r="L154" s="261"/>
      <c r="M154" s="262"/>
      <c r="N154" s="261"/>
      <c r="O154" s="17"/>
      <c r="P154" s="261"/>
      <c r="Q154" s="17"/>
      <c r="R154" s="266"/>
      <c r="S154" s="266"/>
      <c r="T154" s="266"/>
      <c r="U154" s="266"/>
    </row>
    <row r="155">
      <c r="A155" s="255"/>
      <c r="B155" s="23"/>
      <c r="C155" s="23"/>
      <c r="D155" s="270"/>
      <c r="E155" s="271"/>
      <c r="F155" s="270"/>
      <c r="G155" s="25"/>
      <c r="H155" s="259"/>
      <c r="I155" s="260"/>
      <c r="J155" s="261"/>
      <c r="K155" s="262"/>
      <c r="L155" s="261"/>
      <c r="M155" s="262"/>
      <c r="N155" s="261"/>
      <c r="O155" s="17"/>
      <c r="P155" s="261"/>
      <c r="Q155" s="17"/>
      <c r="R155" s="266"/>
      <c r="S155" s="266"/>
      <c r="T155" s="266"/>
      <c r="U155" s="266"/>
    </row>
    <row r="156">
      <c r="A156" s="255"/>
      <c r="B156" s="23"/>
      <c r="C156" s="23"/>
      <c r="D156" s="270"/>
      <c r="E156" s="271"/>
      <c r="F156" s="270"/>
      <c r="G156" s="25"/>
      <c r="H156" s="259"/>
      <c r="I156" s="260"/>
      <c r="J156" s="261"/>
      <c r="K156" s="262"/>
      <c r="L156" s="261"/>
      <c r="M156" s="262"/>
      <c r="N156" s="261"/>
      <c r="O156" s="17"/>
      <c r="P156" s="261"/>
      <c r="Q156" s="17"/>
      <c r="R156" s="266"/>
      <c r="S156" s="266"/>
      <c r="T156" s="266"/>
      <c r="U156" s="266"/>
    </row>
    <row r="157">
      <c r="A157" s="255"/>
      <c r="B157" s="23"/>
      <c r="C157" s="23"/>
      <c r="D157" s="270"/>
      <c r="E157" s="271"/>
      <c r="F157" s="270"/>
      <c r="G157" s="25"/>
      <c r="H157" s="259"/>
      <c r="I157" s="260"/>
      <c r="J157" s="261"/>
      <c r="K157" s="262"/>
      <c r="L157" s="261"/>
      <c r="M157" s="262"/>
      <c r="N157" s="261"/>
      <c r="O157" s="17"/>
      <c r="P157" s="261"/>
      <c r="Q157" s="17"/>
      <c r="R157" s="266"/>
      <c r="S157" s="266"/>
      <c r="T157" s="266"/>
      <c r="U157" s="266"/>
    </row>
    <row r="158">
      <c r="A158" s="255"/>
      <c r="B158" s="23"/>
      <c r="C158" s="23"/>
      <c r="D158" s="270"/>
      <c r="E158" s="271"/>
      <c r="F158" s="270"/>
      <c r="G158" s="25"/>
      <c r="H158" s="259"/>
      <c r="I158" s="260"/>
      <c r="J158" s="261"/>
      <c r="K158" s="262"/>
      <c r="L158" s="261"/>
      <c r="M158" s="262"/>
      <c r="N158" s="261"/>
      <c r="O158" s="17"/>
      <c r="P158" s="261"/>
      <c r="Q158" s="17"/>
      <c r="R158" s="266"/>
      <c r="S158" s="266"/>
      <c r="T158" s="266"/>
      <c r="U158" s="266"/>
    </row>
    <row r="159">
      <c r="A159" s="255"/>
      <c r="B159" s="23"/>
      <c r="C159" s="23"/>
      <c r="D159" s="270"/>
      <c r="E159" s="271"/>
      <c r="F159" s="270"/>
      <c r="G159" s="25"/>
      <c r="H159" s="259"/>
      <c r="I159" s="260"/>
      <c r="J159" s="261"/>
      <c r="K159" s="262"/>
      <c r="L159" s="261"/>
      <c r="M159" s="262"/>
      <c r="N159" s="261"/>
      <c r="O159" s="17"/>
      <c r="P159" s="261"/>
      <c r="Q159" s="17"/>
      <c r="R159" s="266"/>
      <c r="S159" s="266"/>
      <c r="T159" s="266"/>
      <c r="U159" s="266"/>
    </row>
    <row r="160">
      <c r="A160" s="255"/>
      <c r="B160" s="23"/>
      <c r="C160" s="23"/>
      <c r="D160" s="270"/>
      <c r="E160" s="271"/>
      <c r="F160" s="270"/>
      <c r="G160" s="25"/>
      <c r="H160" s="259"/>
      <c r="I160" s="260"/>
      <c r="J160" s="261"/>
      <c r="K160" s="262"/>
      <c r="L160" s="261"/>
      <c r="M160" s="262"/>
      <c r="N160" s="261"/>
      <c r="O160" s="17"/>
      <c r="P160" s="261"/>
      <c r="Q160" s="17"/>
      <c r="R160" s="266"/>
      <c r="S160" s="266"/>
      <c r="T160" s="266"/>
      <c r="U160" s="266"/>
    </row>
    <row r="161">
      <c r="A161" s="272"/>
      <c r="B161" s="272"/>
      <c r="C161" s="272"/>
      <c r="D161" s="273"/>
      <c r="E161" s="274"/>
      <c r="G161" s="273"/>
      <c r="H161" s="12"/>
      <c r="K161" s="12"/>
      <c r="M161" s="12"/>
      <c r="R161" s="218"/>
      <c r="S161" s="218"/>
      <c r="T161" s="218"/>
      <c r="U161" s="218"/>
    </row>
    <row r="162">
      <c r="A162" s="272"/>
      <c r="B162" s="272"/>
      <c r="C162" s="272"/>
      <c r="D162" s="273"/>
      <c r="E162" s="274"/>
      <c r="G162" s="273"/>
      <c r="H162" s="12"/>
      <c r="K162" s="12"/>
      <c r="M162" s="12"/>
      <c r="R162" s="218"/>
      <c r="S162" s="218"/>
      <c r="T162" s="218"/>
      <c r="U162" s="218"/>
    </row>
    <row r="163">
      <c r="A163" s="272"/>
      <c r="B163" s="272"/>
      <c r="C163" s="272"/>
      <c r="D163" s="273"/>
      <c r="E163" s="274"/>
      <c r="G163" s="273"/>
      <c r="H163" s="12"/>
      <c r="K163" s="12"/>
      <c r="M163" s="12"/>
      <c r="R163" s="218"/>
      <c r="S163" s="218"/>
      <c r="T163" s="218"/>
      <c r="U163" s="218"/>
    </row>
    <row r="164">
      <c r="A164" s="272"/>
      <c r="B164" s="272"/>
      <c r="C164" s="272"/>
      <c r="D164" s="273"/>
      <c r="E164" s="274"/>
      <c r="G164" s="273"/>
      <c r="H164" s="12"/>
      <c r="K164" s="12"/>
      <c r="M164" s="12"/>
      <c r="R164" s="218"/>
      <c r="S164" s="218"/>
      <c r="T164" s="218"/>
      <c r="U164" s="218"/>
    </row>
    <row r="165">
      <c r="A165" s="272"/>
      <c r="B165" s="272"/>
      <c r="C165" s="272"/>
      <c r="D165" s="273"/>
      <c r="E165" s="274"/>
      <c r="G165" s="273"/>
      <c r="H165" s="12"/>
      <c r="K165" s="12"/>
      <c r="M165" s="12"/>
      <c r="R165" s="218"/>
      <c r="S165" s="218"/>
      <c r="T165" s="218"/>
      <c r="U165" s="218"/>
    </row>
    <row r="166">
      <c r="A166" s="272"/>
      <c r="B166" s="272"/>
      <c r="C166" s="272"/>
      <c r="D166" s="273"/>
      <c r="E166" s="274"/>
      <c r="G166" s="273"/>
      <c r="H166" s="12"/>
      <c r="K166" s="12"/>
      <c r="M166" s="12"/>
      <c r="R166" s="218"/>
      <c r="S166" s="218"/>
      <c r="T166" s="218"/>
      <c r="U166" s="218"/>
    </row>
    <row r="167">
      <c r="A167" s="272"/>
      <c r="B167" s="272"/>
      <c r="C167" s="272"/>
      <c r="D167" s="273"/>
      <c r="E167" s="274"/>
      <c r="G167" s="273"/>
      <c r="H167" s="12"/>
      <c r="K167" s="12"/>
      <c r="M167" s="12"/>
      <c r="R167" s="218"/>
      <c r="S167" s="218"/>
      <c r="T167" s="218"/>
      <c r="U167" s="218"/>
    </row>
    <row r="168">
      <c r="A168" s="272"/>
      <c r="B168" s="272"/>
      <c r="C168" s="272"/>
      <c r="D168" s="273"/>
      <c r="E168" s="274"/>
      <c r="G168" s="273"/>
      <c r="H168" s="12"/>
      <c r="K168" s="12"/>
      <c r="M168" s="12"/>
      <c r="R168" s="218"/>
      <c r="S168" s="218"/>
      <c r="T168" s="218"/>
      <c r="U168" s="218"/>
    </row>
    <row r="169">
      <c r="A169" s="272"/>
      <c r="B169" s="272"/>
      <c r="C169" s="272"/>
      <c r="D169" s="273"/>
      <c r="E169" s="274"/>
      <c r="G169" s="273"/>
      <c r="H169" s="12"/>
      <c r="K169" s="12"/>
      <c r="M169" s="12"/>
      <c r="R169" s="218"/>
      <c r="S169" s="218"/>
      <c r="T169" s="218"/>
      <c r="U169" s="218"/>
    </row>
    <row r="170">
      <c r="A170" s="272"/>
      <c r="B170" s="272"/>
      <c r="C170" s="272"/>
      <c r="D170" s="273"/>
      <c r="E170" s="274"/>
      <c r="G170" s="273"/>
      <c r="H170" s="12"/>
      <c r="K170" s="12"/>
      <c r="M170" s="12"/>
      <c r="R170" s="218"/>
      <c r="S170" s="218"/>
      <c r="T170" s="218"/>
      <c r="U170" s="218"/>
    </row>
    <row r="171">
      <c r="A171" s="272"/>
      <c r="B171" s="272"/>
      <c r="C171" s="272"/>
      <c r="D171" s="273"/>
      <c r="E171" s="274"/>
      <c r="G171" s="273"/>
      <c r="H171" s="12"/>
      <c r="K171" s="12"/>
      <c r="M171" s="12"/>
      <c r="R171" s="218"/>
      <c r="S171" s="218"/>
      <c r="T171" s="218"/>
      <c r="U171" s="218"/>
    </row>
    <row r="172">
      <c r="A172" s="272"/>
      <c r="B172" s="272"/>
      <c r="C172" s="272"/>
      <c r="D172" s="273"/>
      <c r="E172" s="274"/>
      <c r="G172" s="273"/>
      <c r="H172" s="12"/>
      <c r="K172" s="12"/>
      <c r="M172" s="12"/>
      <c r="R172" s="218"/>
      <c r="S172" s="218"/>
      <c r="T172" s="218"/>
      <c r="U172" s="218"/>
    </row>
    <row r="173">
      <c r="A173" s="272"/>
      <c r="B173" s="272"/>
      <c r="C173" s="272"/>
      <c r="D173" s="273"/>
      <c r="E173" s="274"/>
      <c r="G173" s="273"/>
      <c r="H173" s="12"/>
      <c r="K173" s="12"/>
      <c r="M173" s="12"/>
      <c r="R173" s="218"/>
      <c r="S173" s="218"/>
      <c r="T173" s="218"/>
      <c r="U173" s="218"/>
    </row>
    <row r="174">
      <c r="A174" s="272"/>
      <c r="B174" s="272"/>
      <c r="C174" s="272"/>
      <c r="D174" s="273"/>
      <c r="E174" s="274"/>
      <c r="G174" s="273"/>
      <c r="H174" s="12"/>
      <c r="K174" s="12"/>
      <c r="M174" s="12"/>
      <c r="R174" s="218"/>
      <c r="S174" s="218"/>
      <c r="T174" s="218"/>
      <c r="U174" s="218"/>
    </row>
    <row r="175">
      <c r="A175" s="272"/>
      <c r="B175" s="272"/>
      <c r="C175" s="272"/>
      <c r="D175" s="273"/>
      <c r="E175" s="274"/>
      <c r="G175" s="273"/>
      <c r="H175" s="12"/>
      <c r="K175" s="12"/>
      <c r="M175" s="12"/>
      <c r="R175" s="218"/>
      <c r="S175" s="218"/>
      <c r="T175" s="218"/>
      <c r="U175" s="218"/>
    </row>
    <row r="176">
      <c r="A176" s="272"/>
      <c r="B176" s="272"/>
      <c r="C176" s="272"/>
      <c r="D176" s="273"/>
      <c r="E176" s="274"/>
      <c r="G176" s="273"/>
      <c r="H176" s="12"/>
      <c r="K176" s="12"/>
      <c r="M176" s="12"/>
      <c r="R176" s="218"/>
      <c r="S176" s="218"/>
      <c r="T176" s="218"/>
      <c r="U176" s="218"/>
    </row>
    <row r="177">
      <c r="A177" s="272"/>
      <c r="B177" s="272"/>
      <c r="C177" s="272"/>
      <c r="D177" s="273"/>
      <c r="E177" s="274"/>
      <c r="G177" s="273"/>
      <c r="H177" s="12"/>
      <c r="K177" s="12"/>
      <c r="M177" s="12"/>
      <c r="R177" s="218"/>
      <c r="S177" s="218"/>
      <c r="T177" s="218"/>
      <c r="U177" s="218"/>
    </row>
    <row r="178">
      <c r="A178" s="272"/>
      <c r="B178" s="272"/>
      <c r="C178" s="272"/>
      <c r="D178" s="273"/>
      <c r="E178" s="274"/>
      <c r="G178" s="273"/>
      <c r="H178" s="12"/>
      <c r="K178" s="12"/>
      <c r="M178" s="12"/>
      <c r="R178" s="218"/>
      <c r="S178" s="218"/>
      <c r="T178" s="218"/>
      <c r="U178" s="218"/>
    </row>
    <row r="179">
      <c r="A179" s="272"/>
      <c r="B179" s="272"/>
      <c r="C179" s="272"/>
      <c r="D179" s="273"/>
      <c r="E179" s="274"/>
      <c r="F179" s="273"/>
      <c r="G179" s="12"/>
      <c r="H179" s="12"/>
      <c r="K179" s="12"/>
      <c r="M179" s="12"/>
      <c r="R179" s="218"/>
      <c r="S179" s="218"/>
      <c r="T179" s="218"/>
      <c r="U179" s="218"/>
    </row>
    <row r="180">
      <c r="A180" s="272"/>
      <c r="B180" s="272"/>
      <c r="C180" s="272"/>
      <c r="D180" s="273"/>
      <c r="E180" s="274"/>
      <c r="F180" s="273"/>
      <c r="G180" s="12"/>
      <c r="H180" s="12"/>
      <c r="K180" s="12"/>
      <c r="M180" s="12"/>
      <c r="R180" s="218"/>
      <c r="S180" s="218"/>
      <c r="T180" s="218"/>
      <c r="U180" s="218"/>
    </row>
    <row r="181">
      <c r="A181" s="272"/>
      <c r="B181" s="272"/>
      <c r="C181" s="272"/>
      <c r="D181" s="273"/>
      <c r="E181" s="274"/>
      <c r="F181" s="273"/>
      <c r="G181" s="12"/>
      <c r="H181" s="12"/>
      <c r="K181" s="12"/>
      <c r="M181" s="12"/>
      <c r="R181" s="218"/>
      <c r="S181" s="218"/>
      <c r="T181" s="218"/>
      <c r="U181" s="218"/>
    </row>
    <row r="182">
      <c r="A182" s="272"/>
      <c r="B182" s="272"/>
      <c r="C182" s="272"/>
      <c r="D182" s="273"/>
      <c r="E182" s="274"/>
      <c r="F182" s="273"/>
      <c r="G182" s="12"/>
      <c r="H182" s="12"/>
      <c r="K182" s="12"/>
      <c r="M182" s="12"/>
      <c r="R182" s="218"/>
      <c r="S182" s="218"/>
      <c r="T182" s="218"/>
      <c r="U182" s="218"/>
    </row>
    <row r="183">
      <c r="A183" s="272"/>
      <c r="B183" s="272"/>
      <c r="C183" s="272"/>
      <c r="D183" s="273"/>
      <c r="E183" s="274"/>
      <c r="F183" s="273"/>
      <c r="G183" s="12"/>
      <c r="H183" s="12"/>
      <c r="K183" s="12"/>
      <c r="M183" s="12"/>
      <c r="R183" s="218"/>
      <c r="S183" s="218"/>
      <c r="T183" s="218"/>
      <c r="U183" s="218"/>
    </row>
    <row r="184">
      <c r="A184" s="272"/>
      <c r="B184" s="272"/>
      <c r="C184" s="272"/>
      <c r="D184" s="273"/>
      <c r="E184" s="274"/>
      <c r="F184" s="273"/>
      <c r="G184" s="12"/>
      <c r="H184" s="12"/>
      <c r="K184" s="12"/>
      <c r="M184" s="12"/>
      <c r="R184" s="218"/>
      <c r="S184" s="218"/>
      <c r="T184" s="218"/>
      <c r="U184" s="218"/>
    </row>
    <row r="185">
      <c r="A185" s="272"/>
      <c r="B185" s="272"/>
      <c r="C185" s="272"/>
      <c r="D185" s="273"/>
      <c r="E185" s="274"/>
      <c r="F185" s="273"/>
      <c r="G185" s="12"/>
      <c r="H185" s="12"/>
      <c r="K185" s="12"/>
      <c r="M185" s="12"/>
      <c r="R185" s="218"/>
      <c r="S185" s="218"/>
      <c r="T185" s="218"/>
      <c r="U185" s="218"/>
    </row>
    <row r="186">
      <c r="A186" s="272"/>
      <c r="B186" s="272"/>
      <c r="C186" s="272"/>
      <c r="D186" s="273"/>
      <c r="E186" s="274"/>
      <c r="F186" s="273"/>
      <c r="G186" s="12"/>
      <c r="H186" s="12"/>
      <c r="K186" s="12"/>
      <c r="M186" s="12"/>
      <c r="R186" s="218"/>
      <c r="S186" s="218"/>
      <c r="T186" s="218"/>
      <c r="U186" s="218"/>
    </row>
    <row r="187">
      <c r="A187" s="272"/>
      <c r="B187" s="272"/>
      <c r="C187" s="272"/>
      <c r="D187" s="273"/>
      <c r="E187" s="274"/>
      <c r="F187" s="273"/>
      <c r="G187" s="12"/>
      <c r="H187" s="12"/>
      <c r="K187" s="12"/>
      <c r="M187" s="12"/>
      <c r="R187" s="218"/>
      <c r="S187" s="218"/>
      <c r="T187" s="218"/>
      <c r="U187" s="218"/>
    </row>
    <row r="188">
      <c r="A188" s="272"/>
      <c r="B188" s="272"/>
      <c r="C188" s="272"/>
      <c r="D188" s="273"/>
      <c r="E188" s="274"/>
      <c r="F188" s="273"/>
      <c r="G188" s="12"/>
      <c r="H188" s="12"/>
      <c r="K188" s="12"/>
      <c r="M188" s="12"/>
      <c r="R188" s="218"/>
      <c r="S188" s="218"/>
      <c r="T188" s="218"/>
      <c r="U188" s="218"/>
    </row>
    <row r="189">
      <c r="A189" s="272"/>
      <c r="B189" s="272"/>
      <c r="C189" s="272"/>
      <c r="D189" s="273"/>
      <c r="E189" s="274"/>
      <c r="F189" s="273"/>
      <c r="G189" s="12"/>
      <c r="H189" s="12"/>
      <c r="K189" s="12"/>
      <c r="M189" s="12"/>
      <c r="R189" s="218"/>
      <c r="S189" s="218"/>
      <c r="T189" s="218"/>
      <c r="U189" s="218"/>
    </row>
    <row r="190">
      <c r="A190" s="272"/>
      <c r="B190" s="272"/>
      <c r="C190" s="272"/>
      <c r="D190" s="273"/>
      <c r="E190" s="274"/>
      <c r="F190" s="273"/>
      <c r="G190" s="12"/>
      <c r="H190" s="12"/>
      <c r="K190" s="12"/>
      <c r="M190" s="12"/>
      <c r="R190" s="218"/>
      <c r="S190" s="218"/>
      <c r="T190" s="218"/>
      <c r="U190" s="218"/>
    </row>
    <row r="191">
      <c r="A191" s="272"/>
      <c r="B191" s="272"/>
      <c r="C191" s="272"/>
      <c r="D191" s="273"/>
      <c r="E191" s="274"/>
      <c r="F191" s="273"/>
      <c r="G191" s="12"/>
      <c r="H191" s="12"/>
      <c r="K191" s="12"/>
      <c r="M191" s="12"/>
      <c r="R191" s="218"/>
      <c r="S191" s="218"/>
      <c r="T191" s="218"/>
      <c r="U191" s="218"/>
    </row>
    <row r="192">
      <c r="A192" s="272"/>
      <c r="B192" s="272"/>
      <c r="C192" s="272"/>
      <c r="D192" s="273"/>
      <c r="E192" s="274"/>
      <c r="F192" s="273"/>
      <c r="G192" s="12"/>
      <c r="H192" s="12"/>
      <c r="K192" s="12"/>
      <c r="M192" s="12"/>
      <c r="R192" s="218"/>
      <c r="S192" s="218"/>
      <c r="T192" s="218"/>
      <c r="U192" s="218"/>
    </row>
    <row r="193">
      <c r="A193" s="272"/>
      <c r="B193" s="272"/>
      <c r="C193" s="272"/>
      <c r="D193" s="273"/>
      <c r="E193" s="274"/>
      <c r="F193" s="273"/>
      <c r="G193" s="12"/>
      <c r="H193" s="12"/>
      <c r="K193" s="12"/>
      <c r="M193" s="12"/>
      <c r="R193" s="218"/>
      <c r="S193" s="218"/>
      <c r="T193" s="218"/>
      <c r="U193" s="218"/>
    </row>
    <row r="194">
      <c r="A194" s="272"/>
      <c r="B194" s="272"/>
      <c r="C194" s="272"/>
      <c r="D194" s="273"/>
      <c r="E194" s="274"/>
      <c r="F194" s="273"/>
      <c r="G194" s="12"/>
      <c r="H194" s="12"/>
      <c r="K194" s="12"/>
      <c r="M194" s="12"/>
      <c r="R194" s="218"/>
      <c r="S194" s="218"/>
      <c r="T194" s="218"/>
      <c r="U194" s="218"/>
    </row>
    <row r="195">
      <c r="A195" s="272"/>
      <c r="B195" s="272"/>
      <c r="C195" s="272"/>
      <c r="D195" s="273"/>
      <c r="E195" s="274"/>
      <c r="F195" s="273"/>
      <c r="G195" s="12"/>
      <c r="H195" s="12"/>
      <c r="K195" s="12"/>
      <c r="M195" s="12"/>
      <c r="R195" s="218"/>
      <c r="S195" s="218"/>
      <c r="T195" s="218"/>
      <c r="U195" s="218"/>
    </row>
    <row r="196">
      <c r="A196" s="272"/>
      <c r="B196" s="272"/>
      <c r="C196" s="272"/>
      <c r="D196" s="273"/>
      <c r="E196" s="274"/>
      <c r="F196" s="273"/>
      <c r="G196" s="12"/>
      <c r="H196" s="12"/>
      <c r="K196" s="12"/>
      <c r="M196" s="12"/>
      <c r="R196" s="218"/>
      <c r="S196" s="218"/>
      <c r="T196" s="218"/>
      <c r="U196" s="218"/>
    </row>
    <row r="197">
      <c r="A197" s="272"/>
      <c r="B197" s="272"/>
      <c r="C197" s="272"/>
      <c r="D197" s="273"/>
      <c r="E197" s="274"/>
      <c r="F197" s="273"/>
      <c r="G197" s="12"/>
      <c r="H197" s="12"/>
      <c r="K197" s="12"/>
      <c r="M197" s="12"/>
      <c r="R197" s="218"/>
      <c r="S197" s="218"/>
      <c r="T197" s="218"/>
      <c r="U197" s="218"/>
    </row>
    <row r="198">
      <c r="A198" s="272"/>
      <c r="B198" s="272"/>
      <c r="C198" s="272"/>
      <c r="D198" s="273"/>
      <c r="E198" s="274"/>
      <c r="F198" s="273"/>
      <c r="G198" s="12"/>
      <c r="H198" s="12"/>
      <c r="K198" s="12"/>
      <c r="M198" s="12"/>
      <c r="R198" s="218"/>
      <c r="S198" s="218"/>
      <c r="T198" s="218"/>
      <c r="U198" s="218"/>
    </row>
    <row r="199">
      <c r="A199" s="272"/>
      <c r="B199" s="272"/>
      <c r="C199" s="272"/>
      <c r="D199" s="273"/>
      <c r="E199" s="274"/>
      <c r="F199" s="273"/>
      <c r="G199" s="12"/>
      <c r="H199" s="12"/>
      <c r="K199" s="12"/>
      <c r="M199" s="12"/>
      <c r="R199" s="218"/>
      <c r="S199" s="218"/>
      <c r="T199" s="218"/>
      <c r="U199" s="218"/>
    </row>
    <row r="200">
      <c r="A200" s="272"/>
      <c r="B200" s="272"/>
      <c r="C200" s="272"/>
      <c r="D200" s="273"/>
      <c r="E200" s="274"/>
      <c r="F200" s="273"/>
      <c r="G200" s="12"/>
      <c r="H200" s="12"/>
      <c r="K200" s="12"/>
      <c r="M200" s="12"/>
      <c r="R200" s="218"/>
      <c r="S200" s="218"/>
      <c r="T200" s="218"/>
      <c r="U200" s="218"/>
    </row>
    <row r="201">
      <c r="A201" s="272"/>
      <c r="B201" s="272"/>
      <c r="C201" s="272"/>
      <c r="D201" s="273"/>
      <c r="E201" s="274"/>
      <c r="F201" s="273"/>
      <c r="G201" s="12"/>
      <c r="H201" s="12"/>
      <c r="K201" s="12"/>
      <c r="M201" s="12"/>
      <c r="R201" s="218"/>
      <c r="S201" s="218"/>
      <c r="T201" s="218"/>
      <c r="U201" s="218"/>
    </row>
    <row r="202">
      <c r="A202" s="272"/>
      <c r="B202" s="272"/>
      <c r="C202" s="272"/>
      <c r="D202" s="273"/>
      <c r="E202" s="274"/>
      <c r="F202" s="273"/>
      <c r="G202" s="12"/>
      <c r="H202" s="12"/>
      <c r="K202" s="12"/>
      <c r="M202" s="12"/>
      <c r="R202" s="218"/>
      <c r="S202" s="218"/>
      <c r="T202" s="218"/>
      <c r="U202" s="218"/>
    </row>
    <row r="203">
      <c r="A203" s="272"/>
      <c r="B203" s="272"/>
      <c r="C203" s="272"/>
      <c r="D203" s="273"/>
      <c r="E203" s="274"/>
      <c r="F203" s="273"/>
      <c r="G203" s="12"/>
      <c r="H203" s="12"/>
      <c r="K203" s="12"/>
      <c r="M203" s="12"/>
      <c r="R203" s="218"/>
      <c r="S203" s="218"/>
      <c r="T203" s="218"/>
      <c r="U203" s="218"/>
    </row>
    <row r="204">
      <c r="A204" s="272"/>
      <c r="B204" s="272"/>
      <c r="C204" s="272"/>
      <c r="D204" s="273"/>
      <c r="E204" s="274"/>
      <c r="F204" s="273"/>
      <c r="G204" s="12"/>
      <c r="H204" s="12"/>
      <c r="K204" s="12"/>
      <c r="M204" s="12"/>
      <c r="R204" s="218"/>
      <c r="S204" s="218"/>
      <c r="T204" s="218"/>
      <c r="U204" s="218"/>
    </row>
    <row r="205">
      <c r="A205" s="272"/>
      <c r="B205" s="272"/>
      <c r="C205" s="272"/>
      <c r="D205" s="273"/>
      <c r="E205" s="274"/>
      <c r="F205" s="273"/>
      <c r="G205" s="12"/>
      <c r="H205" s="12"/>
      <c r="K205" s="12"/>
      <c r="M205" s="12"/>
      <c r="R205" s="218"/>
      <c r="S205" s="218"/>
      <c r="T205" s="218"/>
      <c r="U205" s="218"/>
    </row>
    <row r="206">
      <c r="A206" s="272"/>
      <c r="B206" s="272"/>
      <c r="C206" s="272"/>
      <c r="D206" s="273"/>
      <c r="E206" s="274"/>
      <c r="F206" s="273"/>
      <c r="G206" s="12"/>
      <c r="H206" s="12"/>
      <c r="K206" s="12"/>
      <c r="M206" s="12"/>
      <c r="R206" s="218"/>
      <c r="S206" s="218"/>
      <c r="T206" s="218"/>
      <c r="U206" s="218"/>
    </row>
    <row r="207">
      <c r="A207" s="272"/>
      <c r="B207" s="272"/>
      <c r="C207" s="272"/>
      <c r="D207" s="273"/>
      <c r="E207" s="274"/>
      <c r="F207" s="273"/>
      <c r="G207" s="12"/>
      <c r="H207" s="12"/>
      <c r="K207" s="12"/>
      <c r="M207" s="12"/>
      <c r="R207" s="218"/>
      <c r="S207" s="218"/>
      <c r="T207" s="218"/>
      <c r="U207" s="218"/>
    </row>
    <row r="208">
      <c r="A208" s="272"/>
      <c r="B208" s="272"/>
      <c r="C208" s="272"/>
      <c r="D208" s="273"/>
      <c r="E208" s="274"/>
      <c r="F208" s="273"/>
      <c r="G208" s="12"/>
      <c r="H208" s="12"/>
      <c r="K208" s="12"/>
      <c r="M208" s="12"/>
      <c r="R208" s="218"/>
      <c r="S208" s="218"/>
      <c r="T208" s="218"/>
      <c r="U208" s="218"/>
    </row>
    <row r="209">
      <c r="A209" s="272"/>
      <c r="B209" s="272"/>
      <c r="C209" s="272"/>
      <c r="D209" s="273"/>
      <c r="E209" s="274"/>
      <c r="F209" s="273"/>
      <c r="G209" s="12"/>
      <c r="H209" s="12"/>
      <c r="K209" s="12"/>
      <c r="M209" s="12"/>
      <c r="R209" s="218"/>
      <c r="S209" s="218"/>
      <c r="T209" s="218"/>
      <c r="U209" s="218"/>
    </row>
    <row r="210">
      <c r="A210" s="272"/>
      <c r="B210" s="272"/>
      <c r="C210" s="272"/>
      <c r="D210" s="273"/>
      <c r="E210" s="274"/>
      <c r="F210" s="273"/>
      <c r="G210" s="12"/>
      <c r="H210" s="12"/>
      <c r="K210" s="12"/>
      <c r="M210" s="12"/>
      <c r="R210" s="218"/>
      <c r="S210" s="218"/>
      <c r="T210" s="218"/>
      <c r="U210" s="218"/>
    </row>
    <row r="211">
      <c r="A211" s="272"/>
      <c r="B211" s="272"/>
      <c r="C211" s="272"/>
      <c r="D211" s="273"/>
      <c r="E211" s="274"/>
      <c r="F211" s="273"/>
      <c r="G211" s="12"/>
      <c r="H211" s="12"/>
      <c r="K211" s="12"/>
      <c r="M211" s="12"/>
      <c r="R211" s="218"/>
      <c r="S211" s="218"/>
      <c r="T211" s="218"/>
      <c r="U211" s="218"/>
    </row>
    <row r="212">
      <c r="A212" s="272"/>
      <c r="B212" s="272"/>
      <c r="C212" s="272"/>
      <c r="D212" s="273"/>
      <c r="E212" s="274"/>
      <c r="F212" s="273"/>
      <c r="G212" s="12"/>
      <c r="H212" s="12"/>
      <c r="K212" s="12"/>
      <c r="M212" s="12"/>
      <c r="R212" s="218"/>
      <c r="S212" s="218"/>
      <c r="T212" s="218"/>
      <c r="U212" s="218"/>
    </row>
    <row r="213">
      <c r="A213" s="272"/>
      <c r="B213" s="272"/>
      <c r="C213" s="272"/>
      <c r="D213" s="273"/>
      <c r="E213" s="274"/>
      <c r="F213" s="273"/>
      <c r="G213" s="12"/>
      <c r="H213" s="12"/>
      <c r="K213" s="12"/>
      <c r="M213" s="12"/>
      <c r="R213" s="218"/>
      <c r="S213" s="218"/>
      <c r="T213" s="218"/>
      <c r="U213" s="218"/>
    </row>
    <row r="214">
      <c r="A214" s="272"/>
      <c r="B214" s="272"/>
      <c r="C214" s="272"/>
      <c r="D214" s="273"/>
      <c r="E214" s="274"/>
      <c r="F214" s="273"/>
      <c r="G214" s="12"/>
      <c r="H214" s="12"/>
      <c r="K214" s="12"/>
      <c r="M214" s="12"/>
      <c r="R214" s="218"/>
      <c r="S214" s="218"/>
      <c r="T214" s="218"/>
      <c r="U214" s="218"/>
    </row>
    <row r="215">
      <c r="A215" s="272"/>
      <c r="B215" s="272"/>
      <c r="C215" s="272"/>
      <c r="D215" s="273"/>
      <c r="E215" s="274"/>
      <c r="F215" s="273"/>
      <c r="G215" s="12"/>
      <c r="H215" s="12"/>
      <c r="K215" s="12"/>
      <c r="M215" s="12"/>
      <c r="R215" s="218"/>
      <c r="S215" s="218"/>
      <c r="T215" s="218"/>
      <c r="U215" s="218"/>
    </row>
    <row r="216">
      <c r="A216" s="272"/>
      <c r="B216" s="272"/>
      <c r="C216" s="272"/>
      <c r="D216" s="273"/>
      <c r="E216" s="274"/>
      <c r="F216" s="273"/>
      <c r="G216" s="12"/>
      <c r="H216" s="12"/>
      <c r="K216" s="12"/>
      <c r="M216" s="12"/>
      <c r="R216" s="218"/>
      <c r="S216" s="218"/>
      <c r="T216" s="218"/>
      <c r="U216" s="218"/>
    </row>
    <row r="217">
      <c r="A217" s="272"/>
      <c r="B217" s="272"/>
      <c r="C217" s="272"/>
      <c r="D217" s="273"/>
      <c r="E217" s="274"/>
      <c r="F217" s="273"/>
      <c r="G217" s="12"/>
      <c r="H217" s="12"/>
      <c r="K217" s="12"/>
      <c r="M217" s="12"/>
      <c r="R217" s="218"/>
      <c r="S217" s="218"/>
      <c r="T217" s="218"/>
      <c r="U217" s="218"/>
    </row>
    <row r="218">
      <c r="A218" s="272"/>
      <c r="B218" s="272"/>
      <c r="C218" s="272"/>
      <c r="D218" s="273"/>
      <c r="E218" s="274"/>
      <c r="F218" s="273"/>
      <c r="G218" s="12"/>
      <c r="H218" s="12"/>
      <c r="K218" s="12"/>
      <c r="M218" s="12"/>
      <c r="R218" s="218"/>
      <c r="S218" s="218"/>
      <c r="T218" s="218"/>
      <c r="U218" s="218"/>
    </row>
    <row r="219">
      <c r="A219" s="272"/>
      <c r="B219" s="272"/>
      <c r="C219" s="272"/>
      <c r="D219" s="273"/>
      <c r="E219" s="274"/>
      <c r="F219" s="273"/>
      <c r="G219" s="12"/>
      <c r="H219" s="12"/>
      <c r="K219" s="12"/>
      <c r="M219" s="12"/>
      <c r="R219" s="218"/>
      <c r="S219" s="218"/>
      <c r="T219" s="218"/>
      <c r="U219" s="218"/>
    </row>
    <row r="220">
      <c r="A220" s="272"/>
      <c r="B220" s="272"/>
      <c r="C220" s="272"/>
      <c r="D220" s="273"/>
      <c r="E220" s="274"/>
      <c r="F220" s="273"/>
      <c r="G220" s="12"/>
      <c r="H220" s="12"/>
      <c r="K220" s="12"/>
      <c r="M220" s="12"/>
      <c r="R220" s="218"/>
      <c r="S220" s="218"/>
      <c r="T220" s="218"/>
      <c r="U220" s="218"/>
    </row>
    <row r="221">
      <c r="A221" s="272"/>
      <c r="B221" s="272"/>
      <c r="C221" s="272"/>
      <c r="D221" s="273"/>
      <c r="E221" s="274"/>
      <c r="F221" s="273"/>
      <c r="G221" s="12"/>
      <c r="H221" s="12"/>
      <c r="K221" s="12"/>
      <c r="M221" s="12"/>
      <c r="R221" s="218"/>
      <c r="S221" s="218"/>
      <c r="T221" s="218"/>
      <c r="U221" s="218"/>
    </row>
    <row r="222">
      <c r="A222" s="272"/>
      <c r="B222" s="272"/>
      <c r="C222" s="272"/>
      <c r="D222" s="273"/>
      <c r="E222" s="274"/>
      <c r="F222" s="273"/>
      <c r="G222" s="12"/>
      <c r="H222" s="12"/>
      <c r="K222" s="12"/>
      <c r="M222" s="12"/>
      <c r="R222" s="218"/>
      <c r="S222" s="218"/>
      <c r="T222" s="218"/>
      <c r="U222" s="218"/>
    </row>
    <row r="223">
      <c r="A223" s="272"/>
      <c r="B223" s="272"/>
      <c r="C223" s="272"/>
      <c r="D223" s="273"/>
      <c r="E223" s="274"/>
      <c r="F223" s="273"/>
      <c r="G223" s="12"/>
      <c r="H223" s="12"/>
      <c r="K223" s="12"/>
      <c r="M223" s="12"/>
      <c r="R223" s="218"/>
      <c r="S223" s="218"/>
      <c r="T223" s="218"/>
      <c r="U223" s="218"/>
    </row>
    <row r="224">
      <c r="A224" s="272"/>
      <c r="B224" s="272"/>
      <c r="C224" s="272"/>
      <c r="D224" s="273"/>
      <c r="E224" s="274"/>
      <c r="F224" s="273"/>
      <c r="G224" s="12"/>
      <c r="H224" s="12"/>
      <c r="K224" s="12"/>
      <c r="M224" s="12"/>
      <c r="R224" s="218"/>
      <c r="S224" s="218"/>
      <c r="T224" s="218"/>
      <c r="U224" s="218"/>
    </row>
    <row r="225">
      <c r="A225" s="272"/>
      <c r="B225" s="272"/>
      <c r="C225" s="272"/>
      <c r="D225" s="273"/>
      <c r="E225" s="274"/>
      <c r="F225" s="273"/>
      <c r="G225" s="12"/>
      <c r="H225" s="12"/>
      <c r="K225" s="12"/>
      <c r="M225" s="12"/>
      <c r="R225" s="218"/>
      <c r="S225" s="218"/>
      <c r="T225" s="218"/>
      <c r="U225" s="218"/>
    </row>
    <row r="226">
      <c r="A226" s="272"/>
      <c r="B226" s="272"/>
      <c r="C226" s="272"/>
      <c r="D226" s="273"/>
      <c r="E226" s="274"/>
      <c r="F226" s="273"/>
      <c r="G226" s="12"/>
      <c r="H226" s="12"/>
      <c r="K226" s="12"/>
      <c r="M226" s="12"/>
      <c r="R226" s="218"/>
      <c r="S226" s="218"/>
      <c r="T226" s="218"/>
      <c r="U226" s="218"/>
    </row>
    <row r="227">
      <c r="A227" s="272"/>
      <c r="B227" s="272"/>
      <c r="C227" s="272"/>
      <c r="D227" s="273"/>
      <c r="E227" s="274"/>
      <c r="F227" s="273"/>
      <c r="G227" s="12"/>
      <c r="H227" s="12"/>
      <c r="K227" s="12"/>
      <c r="M227" s="12"/>
      <c r="R227" s="218"/>
      <c r="S227" s="218"/>
      <c r="T227" s="218"/>
      <c r="U227" s="218"/>
    </row>
    <row r="228">
      <c r="A228" s="272"/>
      <c r="B228" s="272"/>
      <c r="C228" s="272"/>
      <c r="D228" s="273"/>
      <c r="E228" s="274"/>
      <c r="F228" s="273"/>
      <c r="G228" s="12"/>
      <c r="H228" s="12"/>
      <c r="K228" s="12"/>
      <c r="M228" s="12"/>
      <c r="R228" s="218"/>
      <c r="S228" s="218"/>
      <c r="T228" s="218"/>
      <c r="U228" s="218"/>
    </row>
    <row r="229">
      <c r="A229" s="272"/>
      <c r="B229" s="272"/>
      <c r="C229" s="272"/>
      <c r="D229" s="273"/>
      <c r="E229" s="274"/>
      <c r="F229" s="273"/>
      <c r="G229" s="12"/>
      <c r="H229" s="12"/>
      <c r="K229" s="12"/>
      <c r="M229" s="12"/>
      <c r="R229" s="218"/>
      <c r="S229" s="218"/>
      <c r="T229" s="218"/>
      <c r="U229" s="218"/>
    </row>
    <row r="230">
      <c r="A230" s="272"/>
      <c r="B230" s="272"/>
      <c r="C230" s="272"/>
      <c r="D230" s="273"/>
      <c r="E230" s="274"/>
      <c r="F230" s="273"/>
      <c r="G230" s="12"/>
      <c r="H230" s="12"/>
      <c r="K230" s="12"/>
      <c r="M230" s="12"/>
      <c r="R230" s="218"/>
      <c r="S230" s="218"/>
      <c r="T230" s="218"/>
      <c r="U230" s="218"/>
    </row>
    <row r="231">
      <c r="A231" s="272"/>
      <c r="B231" s="272"/>
      <c r="C231" s="272"/>
      <c r="D231" s="273"/>
      <c r="E231" s="274"/>
      <c r="F231" s="273"/>
      <c r="G231" s="12"/>
      <c r="H231" s="12"/>
      <c r="K231" s="12"/>
      <c r="M231" s="12"/>
      <c r="R231" s="218"/>
      <c r="S231" s="218"/>
      <c r="T231" s="218"/>
      <c r="U231" s="218"/>
    </row>
    <row r="232">
      <c r="A232" s="272"/>
      <c r="B232" s="272"/>
      <c r="C232" s="272"/>
      <c r="D232" s="273"/>
      <c r="E232" s="274"/>
      <c r="F232" s="273"/>
      <c r="G232" s="12"/>
      <c r="H232" s="12"/>
      <c r="K232" s="12"/>
      <c r="M232" s="12"/>
      <c r="R232" s="218"/>
      <c r="S232" s="218"/>
      <c r="T232" s="218"/>
      <c r="U232" s="218"/>
    </row>
    <row r="233">
      <c r="A233" s="272"/>
      <c r="B233" s="272"/>
      <c r="C233" s="272"/>
      <c r="D233" s="273"/>
      <c r="E233" s="274"/>
      <c r="F233" s="273"/>
      <c r="G233" s="12"/>
      <c r="H233" s="12"/>
      <c r="K233" s="12"/>
      <c r="M233" s="12"/>
      <c r="R233" s="218"/>
      <c r="S233" s="218"/>
      <c r="T233" s="218"/>
      <c r="U233" s="218"/>
    </row>
    <row r="234">
      <c r="A234" s="272"/>
      <c r="B234" s="272"/>
      <c r="C234" s="272"/>
      <c r="D234" s="273"/>
      <c r="E234" s="274"/>
      <c r="F234" s="273"/>
      <c r="G234" s="12"/>
      <c r="H234" s="12"/>
      <c r="K234" s="12"/>
      <c r="M234" s="12"/>
      <c r="R234" s="218"/>
      <c r="S234" s="218"/>
      <c r="T234" s="218"/>
      <c r="U234" s="218"/>
    </row>
    <row r="235">
      <c r="A235" s="272"/>
      <c r="B235" s="272"/>
      <c r="C235" s="272"/>
      <c r="D235" s="273"/>
      <c r="E235" s="274"/>
      <c r="F235" s="273"/>
      <c r="G235" s="12"/>
      <c r="H235" s="12"/>
      <c r="K235" s="12"/>
      <c r="M235" s="12"/>
      <c r="R235" s="218"/>
      <c r="S235" s="218"/>
      <c r="T235" s="218"/>
      <c r="U235" s="218"/>
    </row>
    <row r="236">
      <c r="A236" s="272"/>
      <c r="B236" s="272"/>
      <c r="C236" s="272"/>
      <c r="D236" s="273"/>
      <c r="E236" s="274"/>
      <c r="F236" s="273"/>
      <c r="G236" s="12"/>
      <c r="H236" s="12"/>
      <c r="K236" s="12"/>
      <c r="M236" s="12"/>
      <c r="R236" s="218"/>
      <c r="S236" s="218"/>
      <c r="T236" s="218"/>
      <c r="U236" s="218"/>
    </row>
    <row r="237">
      <c r="A237" s="272"/>
      <c r="B237" s="272"/>
      <c r="C237" s="272"/>
      <c r="D237" s="273"/>
      <c r="E237" s="274"/>
      <c r="F237" s="273"/>
      <c r="G237" s="12"/>
      <c r="H237" s="12"/>
      <c r="K237" s="12"/>
      <c r="M237" s="12"/>
      <c r="R237" s="218"/>
      <c r="S237" s="218"/>
      <c r="T237" s="218"/>
      <c r="U237" s="218"/>
    </row>
    <row r="238">
      <c r="A238" s="272"/>
      <c r="B238" s="272"/>
      <c r="C238" s="272"/>
      <c r="D238" s="273"/>
      <c r="E238" s="274"/>
      <c r="F238" s="273"/>
      <c r="G238" s="12"/>
      <c r="H238" s="12"/>
      <c r="K238" s="12"/>
      <c r="M238" s="12"/>
      <c r="R238" s="218"/>
      <c r="S238" s="218"/>
      <c r="T238" s="218"/>
      <c r="U238" s="218"/>
    </row>
    <row r="239">
      <c r="A239" s="272"/>
      <c r="B239" s="272"/>
      <c r="C239" s="272"/>
      <c r="D239" s="273"/>
      <c r="E239" s="274"/>
      <c r="F239" s="273"/>
      <c r="G239" s="12"/>
      <c r="H239" s="12"/>
      <c r="K239" s="12"/>
      <c r="M239" s="12"/>
      <c r="R239" s="218"/>
      <c r="S239" s="218"/>
      <c r="T239" s="218"/>
      <c r="U239" s="218"/>
    </row>
    <row r="240">
      <c r="A240" s="272"/>
      <c r="B240" s="272"/>
      <c r="C240" s="272"/>
      <c r="D240" s="273"/>
      <c r="E240" s="274"/>
      <c r="F240" s="273"/>
      <c r="G240" s="12"/>
      <c r="H240" s="12"/>
      <c r="K240" s="12"/>
      <c r="M240" s="12"/>
      <c r="R240" s="218"/>
      <c r="S240" s="218"/>
      <c r="T240" s="218"/>
      <c r="U240" s="218"/>
    </row>
    <row r="241">
      <c r="A241" s="272"/>
      <c r="B241" s="272"/>
      <c r="C241" s="272"/>
      <c r="D241" s="273"/>
      <c r="E241" s="274"/>
      <c r="F241" s="273"/>
      <c r="G241" s="12"/>
      <c r="H241" s="12"/>
      <c r="K241" s="12"/>
      <c r="M241" s="12"/>
      <c r="R241" s="218"/>
      <c r="S241" s="218"/>
      <c r="T241" s="218"/>
      <c r="U241" s="218"/>
    </row>
    <row r="242">
      <c r="A242" s="272"/>
      <c r="B242" s="272"/>
      <c r="C242" s="272"/>
      <c r="D242" s="273"/>
      <c r="E242" s="274"/>
      <c r="F242" s="273"/>
      <c r="G242" s="12"/>
      <c r="H242" s="12"/>
      <c r="K242" s="12"/>
      <c r="M242" s="12"/>
      <c r="R242" s="218"/>
      <c r="S242" s="218"/>
      <c r="T242" s="218"/>
      <c r="U242" s="218"/>
    </row>
    <row r="243">
      <c r="A243" s="272"/>
      <c r="B243" s="272"/>
      <c r="C243" s="272"/>
      <c r="D243" s="273"/>
      <c r="E243" s="274"/>
      <c r="F243" s="273"/>
      <c r="G243" s="12"/>
      <c r="H243" s="12"/>
      <c r="K243" s="12"/>
      <c r="M243" s="12"/>
      <c r="R243" s="218"/>
      <c r="S243" s="218"/>
      <c r="T243" s="218"/>
      <c r="U243" s="218"/>
    </row>
    <row r="244">
      <c r="A244" s="272"/>
      <c r="B244" s="272"/>
      <c r="C244" s="272"/>
      <c r="D244" s="273"/>
      <c r="E244" s="274"/>
      <c r="F244" s="273"/>
      <c r="G244" s="12"/>
      <c r="H244" s="12"/>
      <c r="K244" s="12"/>
      <c r="M244" s="12"/>
      <c r="R244" s="218"/>
      <c r="S244" s="218"/>
      <c r="T244" s="218"/>
      <c r="U244" s="218"/>
    </row>
    <row r="245">
      <c r="A245" s="272"/>
      <c r="B245" s="272"/>
      <c r="C245" s="272"/>
      <c r="D245" s="273"/>
      <c r="E245" s="274"/>
      <c r="F245" s="273"/>
      <c r="G245" s="12"/>
      <c r="H245" s="12"/>
      <c r="K245" s="12"/>
      <c r="M245" s="12"/>
      <c r="R245" s="218"/>
      <c r="S245" s="218"/>
      <c r="T245" s="218"/>
      <c r="U245" s="218"/>
    </row>
    <row r="246">
      <c r="A246" s="272"/>
      <c r="B246" s="272"/>
      <c r="C246" s="272"/>
      <c r="D246" s="273"/>
      <c r="E246" s="274"/>
      <c r="F246" s="273"/>
      <c r="G246" s="12"/>
      <c r="H246" s="12"/>
      <c r="K246" s="12"/>
      <c r="M246" s="12"/>
      <c r="R246" s="218"/>
      <c r="S246" s="218"/>
      <c r="T246" s="218"/>
      <c r="U246" s="218"/>
    </row>
    <row r="247">
      <c r="A247" s="272"/>
      <c r="B247" s="272"/>
      <c r="C247" s="272"/>
      <c r="D247" s="273"/>
      <c r="E247" s="274"/>
      <c r="F247" s="273"/>
      <c r="G247" s="12"/>
      <c r="H247" s="12"/>
      <c r="K247" s="12"/>
      <c r="M247" s="12"/>
      <c r="R247" s="218"/>
      <c r="S247" s="218"/>
      <c r="T247" s="218"/>
      <c r="U247" s="218"/>
    </row>
    <row r="248">
      <c r="A248" s="272"/>
      <c r="B248" s="272"/>
      <c r="C248" s="272"/>
      <c r="D248" s="273"/>
      <c r="E248" s="274"/>
      <c r="F248" s="273"/>
      <c r="G248" s="12"/>
      <c r="H248" s="12"/>
      <c r="K248" s="12"/>
      <c r="M248" s="12"/>
      <c r="R248" s="218"/>
      <c r="S248" s="218"/>
      <c r="T248" s="218"/>
      <c r="U248" s="218"/>
    </row>
    <row r="249">
      <c r="A249" s="272"/>
      <c r="B249" s="272"/>
      <c r="C249" s="272"/>
      <c r="D249" s="273"/>
      <c r="E249" s="274"/>
      <c r="F249" s="273"/>
      <c r="G249" s="12"/>
      <c r="H249" s="12"/>
      <c r="K249" s="12"/>
      <c r="M249" s="12"/>
      <c r="R249" s="218"/>
      <c r="S249" s="218"/>
      <c r="T249" s="218"/>
      <c r="U249" s="218"/>
    </row>
    <row r="250">
      <c r="A250" s="272"/>
      <c r="B250" s="272"/>
      <c r="C250" s="272"/>
      <c r="D250" s="273"/>
      <c r="E250" s="274"/>
      <c r="F250" s="273"/>
      <c r="G250" s="12"/>
      <c r="H250" s="12"/>
      <c r="K250" s="12"/>
      <c r="M250" s="12"/>
      <c r="R250" s="218"/>
      <c r="S250" s="218"/>
      <c r="T250" s="218"/>
      <c r="U250" s="218"/>
    </row>
    <row r="251">
      <c r="A251" s="272"/>
      <c r="B251" s="272"/>
      <c r="C251" s="272"/>
      <c r="D251" s="273"/>
      <c r="E251" s="274"/>
      <c r="F251" s="273"/>
      <c r="G251" s="12"/>
      <c r="H251" s="12"/>
      <c r="K251" s="12"/>
      <c r="M251" s="12"/>
      <c r="R251" s="218"/>
      <c r="S251" s="218"/>
      <c r="T251" s="218"/>
      <c r="U251" s="218"/>
    </row>
    <row r="252">
      <c r="A252" s="272"/>
      <c r="B252" s="272"/>
      <c r="C252" s="272"/>
      <c r="D252" s="273"/>
      <c r="E252" s="274"/>
      <c r="F252" s="273"/>
      <c r="G252" s="12"/>
      <c r="H252" s="12"/>
      <c r="K252" s="12"/>
      <c r="M252" s="12"/>
      <c r="R252" s="218"/>
      <c r="S252" s="218"/>
      <c r="T252" s="218"/>
      <c r="U252" s="218"/>
    </row>
    <row r="253">
      <c r="A253" s="272"/>
      <c r="B253" s="272"/>
      <c r="C253" s="272"/>
      <c r="D253" s="273"/>
      <c r="E253" s="274"/>
      <c r="F253" s="273"/>
      <c r="G253" s="12"/>
      <c r="H253" s="12"/>
      <c r="K253" s="12"/>
      <c r="M253" s="12"/>
      <c r="R253" s="218"/>
      <c r="S253" s="218"/>
      <c r="T253" s="218"/>
      <c r="U253" s="218"/>
    </row>
    <row r="254">
      <c r="A254" s="272"/>
      <c r="B254" s="272"/>
      <c r="C254" s="272"/>
      <c r="D254" s="273"/>
      <c r="E254" s="274"/>
      <c r="F254" s="273"/>
      <c r="G254" s="12"/>
      <c r="H254" s="12"/>
      <c r="K254" s="12"/>
      <c r="M254" s="12"/>
      <c r="R254" s="218"/>
      <c r="S254" s="218"/>
      <c r="T254" s="218"/>
      <c r="U254" s="218"/>
    </row>
    <row r="255">
      <c r="A255" s="272"/>
      <c r="B255" s="272"/>
      <c r="C255" s="272"/>
      <c r="D255" s="273"/>
      <c r="E255" s="274"/>
      <c r="F255" s="273"/>
      <c r="G255" s="12"/>
      <c r="H255" s="12"/>
      <c r="K255" s="12"/>
      <c r="M255" s="12"/>
      <c r="R255" s="218"/>
      <c r="S255" s="218"/>
      <c r="T255" s="218"/>
      <c r="U255" s="218"/>
    </row>
    <row r="256">
      <c r="A256" s="272"/>
      <c r="B256" s="272"/>
      <c r="C256" s="272"/>
      <c r="D256" s="273"/>
      <c r="E256" s="274"/>
      <c r="F256" s="273"/>
      <c r="G256" s="12"/>
      <c r="H256" s="12"/>
      <c r="K256" s="12"/>
      <c r="M256" s="12"/>
      <c r="R256" s="218"/>
      <c r="S256" s="218"/>
      <c r="T256" s="218"/>
      <c r="U256" s="218"/>
    </row>
    <row r="257">
      <c r="A257" s="272"/>
      <c r="B257" s="272"/>
      <c r="C257" s="272"/>
      <c r="D257" s="273"/>
      <c r="E257" s="274"/>
      <c r="F257" s="273"/>
      <c r="G257" s="12"/>
      <c r="H257" s="12"/>
      <c r="K257" s="12"/>
      <c r="M257" s="12"/>
      <c r="R257" s="218"/>
      <c r="S257" s="218"/>
      <c r="T257" s="218"/>
      <c r="U257" s="218"/>
    </row>
    <row r="258">
      <c r="A258" s="272"/>
      <c r="B258" s="272"/>
      <c r="C258" s="272"/>
      <c r="D258" s="273"/>
      <c r="E258" s="274"/>
      <c r="F258" s="273"/>
      <c r="G258" s="12"/>
      <c r="H258" s="12"/>
      <c r="K258" s="12"/>
      <c r="M258" s="12"/>
      <c r="R258" s="218"/>
      <c r="S258" s="218"/>
      <c r="T258" s="218"/>
      <c r="U258" s="218"/>
    </row>
    <row r="259">
      <c r="A259" s="272"/>
      <c r="B259" s="272"/>
      <c r="C259" s="272"/>
      <c r="D259" s="273"/>
      <c r="E259" s="274"/>
      <c r="F259" s="273"/>
      <c r="G259" s="12"/>
      <c r="H259" s="12"/>
      <c r="K259" s="12"/>
      <c r="M259" s="12"/>
      <c r="R259" s="218"/>
      <c r="S259" s="218"/>
      <c r="T259" s="218"/>
      <c r="U259" s="218"/>
    </row>
    <row r="260">
      <c r="A260" s="272"/>
      <c r="B260" s="272"/>
      <c r="C260" s="272"/>
      <c r="D260" s="273"/>
      <c r="E260" s="274"/>
      <c r="F260" s="273"/>
      <c r="G260" s="12"/>
      <c r="H260" s="12"/>
      <c r="K260" s="12"/>
      <c r="M260" s="12"/>
      <c r="R260" s="218"/>
      <c r="S260" s="218"/>
      <c r="T260" s="218"/>
      <c r="U260" s="218"/>
    </row>
    <row r="261">
      <c r="A261" s="272"/>
      <c r="B261" s="272"/>
      <c r="C261" s="272"/>
      <c r="D261" s="273"/>
      <c r="E261" s="274"/>
      <c r="F261" s="273"/>
      <c r="G261" s="12"/>
      <c r="H261" s="12"/>
      <c r="K261" s="12"/>
      <c r="M261" s="12"/>
      <c r="R261" s="218"/>
      <c r="S261" s="218"/>
      <c r="T261" s="218"/>
      <c r="U261" s="218"/>
    </row>
    <row r="262">
      <c r="A262" s="272"/>
      <c r="B262" s="272"/>
      <c r="C262" s="272"/>
      <c r="D262" s="273"/>
      <c r="E262" s="274"/>
      <c r="F262" s="273"/>
      <c r="G262" s="12"/>
      <c r="H262" s="12"/>
      <c r="K262" s="12"/>
      <c r="M262" s="12"/>
      <c r="R262" s="218"/>
      <c r="S262" s="218"/>
      <c r="T262" s="218"/>
      <c r="U262" s="218"/>
    </row>
    <row r="263">
      <c r="A263" s="272"/>
      <c r="B263" s="272"/>
      <c r="C263" s="272"/>
      <c r="D263" s="273"/>
      <c r="E263" s="274"/>
      <c r="F263" s="273"/>
      <c r="G263" s="12"/>
      <c r="H263" s="12"/>
      <c r="K263" s="12"/>
      <c r="M263" s="12"/>
      <c r="R263" s="218"/>
      <c r="S263" s="218"/>
      <c r="T263" s="218"/>
      <c r="U263" s="218"/>
    </row>
    <row r="264">
      <c r="A264" s="272"/>
      <c r="B264" s="272"/>
      <c r="C264" s="272"/>
      <c r="D264" s="273"/>
      <c r="E264" s="274"/>
      <c r="F264" s="273"/>
      <c r="G264" s="12"/>
      <c r="H264" s="12"/>
      <c r="K264" s="12"/>
      <c r="M264" s="12"/>
      <c r="R264" s="218"/>
      <c r="S264" s="218"/>
      <c r="T264" s="218"/>
      <c r="U264" s="218"/>
    </row>
    <row r="265">
      <c r="A265" s="272"/>
      <c r="B265" s="272"/>
      <c r="C265" s="272"/>
      <c r="D265" s="273"/>
      <c r="E265" s="274"/>
      <c r="F265" s="273"/>
      <c r="G265" s="12"/>
      <c r="H265" s="12"/>
      <c r="K265" s="12"/>
      <c r="M265" s="12"/>
      <c r="R265" s="218"/>
      <c r="S265" s="218"/>
      <c r="T265" s="218"/>
      <c r="U265" s="218"/>
    </row>
    <row r="266">
      <c r="A266" s="272"/>
      <c r="B266" s="272"/>
      <c r="C266" s="272"/>
      <c r="D266" s="273"/>
      <c r="E266" s="274"/>
      <c r="F266" s="273"/>
      <c r="G266" s="12"/>
      <c r="H266" s="12"/>
      <c r="K266" s="12"/>
      <c r="M266" s="12"/>
      <c r="R266" s="218"/>
      <c r="S266" s="218"/>
      <c r="T266" s="218"/>
      <c r="U266" s="218"/>
    </row>
    <row r="267">
      <c r="A267" s="272"/>
      <c r="B267" s="272"/>
      <c r="C267" s="272"/>
      <c r="D267" s="273"/>
      <c r="E267" s="274"/>
      <c r="F267" s="273"/>
      <c r="G267" s="12"/>
      <c r="H267" s="12"/>
      <c r="K267" s="12"/>
      <c r="M267" s="12"/>
      <c r="R267" s="218"/>
      <c r="S267" s="218"/>
      <c r="T267" s="218"/>
      <c r="U267" s="218"/>
    </row>
    <row r="268">
      <c r="A268" s="272"/>
      <c r="B268" s="272"/>
      <c r="C268" s="272"/>
      <c r="D268" s="273"/>
      <c r="E268" s="274"/>
      <c r="F268" s="273"/>
      <c r="G268" s="12"/>
      <c r="H268" s="12"/>
      <c r="K268" s="12"/>
      <c r="M268" s="12"/>
      <c r="R268" s="218"/>
      <c r="S268" s="218"/>
      <c r="T268" s="218"/>
      <c r="U268" s="218"/>
    </row>
    <row r="269">
      <c r="A269" s="272"/>
      <c r="B269" s="272"/>
      <c r="C269" s="272"/>
      <c r="D269" s="273"/>
      <c r="E269" s="274"/>
      <c r="F269" s="273"/>
      <c r="G269" s="12"/>
      <c r="H269" s="12"/>
      <c r="K269" s="12"/>
      <c r="M269" s="12"/>
      <c r="R269" s="218"/>
      <c r="S269" s="218"/>
      <c r="T269" s="218"/>
      <c r="U269" s="218"/>
    </row>
    <row r="270">
      <c r="A270" s="272"/>
      <c r="B270" s="272"/>
      <c r="C270" s="272"/>
      <c r="D270" s="273"/>
      <c r="E270" s="274"/>
      <c r="F270" s="273"/>
      <c r="G270" s="12"/>
      <c r="H270" s="12"/>
      <c r="K270" s="12"/>
      <c r="M270" s="12"/>
      <c r="R270" s="218"/>
      <c r="S270" s="218"/>
      <c r="T270" s="218"/>
      <c r="U270" s="218"/>
    </row>
    <row r="271">
      <c r="A271" s="272"/>
      <c r="B271" s="272"/>
      <c r="C271" s="272"/>
      <c r="D271" s="273"/>
      <c r="E271" s="274"/>
      <c r="F271" s="273"/>
      <c r="G271" s="12"/>
      <c r="H271" s="12"/>
      <c r="K271" s="12"/>
      <c r="M271" s="12"/>
      <c r="R271" s="218"/>
      <c r="S271" s="218"/>
      <c r="T271" s="218"/>
      <c r="U271" s="218"/>
    </row>
    <row r="272">
      <c r="A272" s="272"/>
      <c r="B272" s="272"/>
      <c r="C272" s="272"/>
      <c r="D272" s="273"/>
      <c r="E272" s="274"/>
      <c r="F272" s="273"/>
      <c r="G272" s="12"/>
      <c r="H272" s="12"/>
      <c r="K272" s="12"/>
      <c r="M272" s="12"/>
      <c r="R272" s="218"/>
      <c r="S272" s="218"/>
      <c r="T272" s="218"/>
      <c r="U272" s="218"/>
    </row>
    <row r="273">
      <c r="A273" s="272"/>
      <c r="B273" s="272"/>
      <c r="C273" s="272"/>
      <c r="D273" s="273"/>
      <c r="E273" s="274"/>
      <c r="F273" s="273"/>
      <c r="G273" s="12"/>
      <c r="H273" s="12"/>
      <c r="K273" s="12"/>
      <c r="M273" s="12"/>
      <c r="R273" s="218"/>
      <c r="S273" s="218"/>
      <c r="T273" s="218"/>
      <c r="U273" s="218"/>
    </row>
    <row r="274">
      <c r="A274" s="272"/>
      <c r="B274" s="272"/>
      <c r="C274" s="272"/>
      <c r="D274" s="273"/>
      <c r="E274" s="274"/>
      <c r="F274" s="273"/>
      <c r="G274" s="12"/>
      <c r="H274" s="12"/>
      <c r="K274" s="12"/>
      <c r="M274" s="12"/>
      <c r="R274" s="218"/>
      <c r="S274" s="218"/>
      <c r="T274" s="218"/>
      <c r="U274" s="218"/>
    </row>
    <row r="275">
      <c r="A275" s="272"/>
      <c r="B275" s="272"/>
      <c r="C275" s="272"/>
      <c r="D275" s="273"/>
      <c r="E275" s="274"/>
      <c r="F275" s="273"/>
      <c r="G275" s="12"/>
      <c r="H275" s="12"/>
      <c r="K275" s="12"/>
      <c r="M275" s="12"/>
      <c r="R275" s="218"/>
      <c r="S275" s="218"/>
      <c r="T275" s="218"/>
      <c r="U275" s="218"/>
    </row>
    <row r="276">
      <c r="A276" s="272"/>
      <c r="B276" s="272"/>
      <c r="C276" s="272"/>
      <c r="D276" s="273"/>
      <c r="E276" s="274"/>
      <c r="F276" s="273"/>
      <c r="G276" s="12"/>
      <c r="H276" s="12"/>
      <c r="K276" s="12"/>
      <c r="M276" s="12"/>
      <c r="R276" s="218"/>
      <c r="S276" s="218"/>
      <c r="T276" s="218"/>
      <c r="U276" s="218"/>
    </row>
    <row r="277">
      <c r="A277" s="272"/>
      <c r="B277" s="272"/>
      <c r="C277" s="272"/>
      <c r="D277" s="273"/>
      <c r="E277" s="274"/>
      <c r="F277" s="273"/>
      <c r="G277" s="12"/>
      <c r="H277" s="12"/>
      <c r="K277" s="12"/>
      <c r="M277" s="12"/>
      <c r="R277" s="218"/>
      <c r="S277" s="218"/>
      <c r="T277" s="218"/>
      <c r="U277" s="218"/>
    </row>
    <row r="278">
      <c r="A278" s="272"/>
      <c r="B278" s="272"/>
      <c r="C278" s="272"/>
      <c r="D278" s="273"/>
      <c r="E278" s="274"/>
      <c r="F278" s="273"/>
      <c r="G278" s="12"/>
      <c r="H278" s="12"/>
      <c r="K278" s="12"/>
      <c r="M278" s="12"/>
      <c r="R278" s="218"/>
      <c r="S278" s="218"/>
      <c r="T278" s="218"/>
      <c r="U278" s="218"/>
    </row>
    <row r="279">
      <c r="A279" s="272"/>
      <c r="B279" s="272"/>
      <c r="C279" s="272"/>
      <c r="D279" s="273"/>
      <c r="E279" s="274"/>
      <c r="F279" s="273"/>
      <c r="G279" s="12"/>
      <c r="H279" s="12"/>
      <c r="K279" s="12"/>
      <c r="M279" s="12"/>
      <c r="R279" s="218"/>
      <c r="S279" s="218"/>
      <c r="T279" s="218"/>
      <c r="U279" s="218"/>
    </row>
    <row r="280">
      <c r="A280" s="272"/>
      <c r="B280" s="272"/>
      <c r="C280" s="272"/>
      <c r="D280" s="273"/>
      <c r="E280" s="274"/>
      <c r="F280" s="273"/>
      <c r="G280" s="12"/>
      <c r="H280" s="12"/>
      <c r="K280" s="12"/>
      <c r="M280" s="12"/>
      <c r="R280" s="218"/>
      <c r="S280" s="218"/>
      <c r="T280" s="218"/>
      <c r="U280" s="218"/>
    </row>
    <row r="281">
      <c r="A281" s="272"/>
      <c r="B281" s="272"/>
      <c r="C281" s="272"/>
      <c r="D281" s="273"/>
      <c r="E281" s="274"/>
      <c r="F281" s="273"/>
      <c r="G281" s="12"/>
      <c r="H281" s="12"/>
      <c r="K281" s="12"/>
      <c r="M281" s="12"/>
      <c r="R281" s="218"/>
      <c r="S281" s="218"/>
      <c r="T281" s="218"/>
      <c r="U281" s="218"/>
    </row>
    <row r="282">
      <c r="A282" s="272"/>
      <c r="B282" s="272"/>
      <c r="C282" s="272"/>
      <c r="D282" s="273"/>
      <c r="E282" s="274"/>
      <c r="F282" s="273"/>
      <c r="G282" s="12"/>
      <c r="H282" s="12"/>
      <c r="K282" s="12"/>
      <c r="M282" s="12"/>
      <c r="R282" s="218"/>
      <c r="S282" s="218"/>
      <c r="T282" s="218"/>
      <c r="U282" s="218"/>
    </row>
    <row r="283">
      <c r="A283" s="272"/>
      <c r="B283" s="272"/>
      <c r="C283" s="272"/>
      <c r="D283" s="273"/>
      <c r="E283" s="274"/>
      <c r="F283" s="273"/>
      <c r="G283" s="12"/>
      <c r="H283" s="12"/>
      <c r="K283" s="12"/>
      <c r="M283" s="12"/>
      <c r="R283" s="218"/>
      <c r="S283" s="218"/>
      <c r="T283" s="218"/>
      <c r="U283" s="218"/>
    </row>
    <row r="284">
      <c r="A284" s="272"/>
      <c r="B284" s="272"/>
      <c r="C284" s="272"/>
      <c r="D284" s="273"/>
      <c r="E284" s="274"/>
      <c r="F284" s="273"/>
      <c r="G284" s="12"/>
      <c r="H284" s="12"/>
      <c r="K284" s="12"/>
      <c r="M284" s="12"/>
      <c r="R284" s="218"/>
      <c r="S284" s="218"/>
      <c r="T284" s="218"/>
      <c r="U284" s="218"/>
    </row>
    <row r="285">
      <c r="D285" s="3"/>
      <c r="E285" s="112"/>
      <c r="F285" s="3"/>
      <c r="G285" s="12"/>
      <c r="H285" s="12"/>
      <c r="K285" s="12"/>
      <c r="M285" s="12"/>
      <c r="R285" s="218"/>
      <c r="S285" s="218"/>
      <c r="T285" s="218"/>
      <c r="U285" s="218"/>
    </row>
    <row r="286">
      <c r="D286" s="3"/>
      <c r="E286" s="112"/>
      <c r="F286" s="3"/>
      <c r="G286" s="12"/>
      <c r="H286" s="12"/>
      <c r="K286" s="12"/>
      <c r="M286" s="12"/>
      <c r="R286" s="218"/>
      <c r="S286" s="218"/>
      <c r="T286" s="218"/>
      <c r="U286" s="218"/>
    </row>
    <row r="287">
      <c r="D287" s="3"/>
      <c r="E287" s="112"/>
      <c r="F287" s="3"/>
      <c r="G287" s="12"/>
      <c r="H287" s="12"/>
      <c r="K287" s="12"/>
      <c r="M287" s="12"/>
      <c r="R287" s="218"/>
      <c r="S287" s="218"/>
      <c r="T287" s="218"/>
      <c r="U287" s="218"/>
    </row>
    <row r="288">
      <c r="D288" s="3"/>
      <c r="E288" s="112"/>
      <c r="F288" s="3"/>
      <c r="G288" s="12"/>
      <c r="H288" s="12"/>
      <c r="K288" s="12"/>
      <c r="M288" s="12"/>
      <c r="R288" s="218"/>
      <c r="S288" s="218"/>
      <c r="T288" s="218"/>
      <c r="U288" s="218"/>
    </row>
    <row r="289">
      <c r="D289" s="3"/>
      <c r="E289" s="112"/>
      <c r="F289" s="3"/>
      <c r="G289" s="12"/>
      <c r="H289" s="12"/>
      <c r="K289" s="12"/>
      <c r="M289" s="12"/>
      <c r="R289" s="218"/>
      <c r="S289" s="218"/>
      <c r="T289" s="218"/>
      <c r="U289" s="218"/>
    </row>
    <row r="290">
      <c r="D290" s="3"/>
      <c r="E290" s="112"/>
      <c r="F290" s="3"/>
      <c r="G290" s="12"/>
      <c r="H290" s="12"/>
      <c r="K290" s="12"/>
      <c r="M290" s="12"/>
      <c r="R290" s="218"/>
      <c r="S290" s="218"/>
      <c r="T290" s="218"/>
      <c r="U290" s="218"/>
    </row>
    <row r="291">
      <c r="D291" s="3"/>
      <c r="E291" s="112"/>
      <c r="F291" s="3"/>
      <c r="G291" s="12"/>
      <c r="H291" s="12"/>
      <c r="K291" s="12"/>
      <c r="M291" s="12"/>
      <c r="R291" s="218"/>
      <c r="S291" s="218"/>
      <c r="T291" s="218"/>
      <c r="U291" s="218"/>
    </row>
    <row r="292">
      <c r="D292" s="3"/>
      <c r="E292" s="112"/>
      <c r="F292" s="3"/>
      <c r="G292" s="12"/>
      <c r="H292" s="12"/>
      <c r="K292" s="12"/>
      <c r="M292" s="12"/>
      <c r="R292" s="218"/>
      <c r="S292" s="218"/>
      <c r="T292" s="218"/>
      <c r="U292" s="218"/>
    </row>
    <row r="293">
      <c r="D293" s="3"/>
      <c r="E293" s="112"/>
      <c r="F293" s="3"/>
      <c r="G293" s="12"/>
      <c r="H293" s="12"/>
      <c r="K293" s="12"/>
      <c r="M293" s="12"/>
      <c r="R293" s="218"/>
      <c r="S293" s="218"/>
      <c r="T293" s="218"/>
      <c r="U293" s="218"/>
    </row>
    <row r="294">
      <c r="D294" s="3"/>
      <c r="E294" s="112"/>
      <c r="F294" s="3"/>
      <c r="G294" s="12"/>
      <c r="H294" s="12"/>
      <c r="K294" s="12"/>
      <c r="M294" s="12"/>
      <c r="R294" s="218"/>
      <c r="S294" s="218"/>
      <c r="T294" s="218"/>
      <c r="U294" s="218"/>
    </row>
    <row r="295">
      <c r="D295" s="3"/>
      <c r="E295" s="112"/>
      <c r="F295" s="3"/>
      <c r="G295" s="12"/>
      <c r="H295" s="12"/>
      <c r="K295" s="12"/>
      <c r="M295" s="12"/>
      <c r="R295" s="218"/>
      <c r="S295" s="218"/>
      <c r="T295" s="218"/>
      <c r="U295" s="218"/>
    </row>
    <row r="296">
      <c r="D296" s="3"/>
      <c r="E296" s="112"/>
      <c r="F296" s="3"/>
      <c r="G296" s="12"/>
      <c r="H296" s="12"/>
      <c r="K296" s="12"/>
      <c r="M296" s="12"/>
      <c r="R296" s="218"/>
      <c r="S296" s="218"/>
      <c r="T296" s="218"/>
      <c r="U296" s="218"/>
    </row>
    <row r="297">
      <c r="D297" s="3"/>
      <c r="E297" s="112"/>
      <c r="F297" s="3"/>
      <c r="G297" s="12"/>
      <c r="H297" s="12"/>
      <c r="K297" s="12"/>
      <c r="M297" s="12"/>
      <c r="R297" s="218"/>
      <c r="S297" s="218"/>
      <c r="T297" s="218"/>
      <c r="U297" s="218"/>
    </row>
    <row r="298">
      <c r="D298" s="3"/>
      <c r="E298" s="112"/>
      <c r="F298" s="3"/>
      <c r="G298" s="12"/>
      <c r="H298" s="12"/>
      <c r="K298" s="12"/>
      <c r="M298" s="12"/>
      <c r="R298" s="218"/>
      <c r="S298" s="218"/>
      <c r="T298" s="218"/>
      <c r="U298" s="218"/>
    </row>
    <row r="299">
      <c r="D299" s="3"/>
      <c r="E299" s="112"/>
      <c r="F299" s="3"/>
      <c r="G299" s="12"/>
      <c r="H299" s="12"/>
      <c r="K299" s="12"/>
      <c r="M299" s="12"/>
      <c r="R299" s="218"/>
      <c r="S299" s="218"/>
      <c r="T299" s="218"/>
      <c r="U299" s="218"/>
    </row>
    <row r="300">
      <c r="D300" s="3"/>
      <c r="E300" s="112"/>
      <c r="F300" s="3"/>
      <c r="G300" s="12"/>
      <c r="H300" s="12"/>
      <c r="K300" s="12"/>
      <c r="M300" s="12"/>
      <c r="R300" s="218"/>
      <c r="S300" s="218"/>
      <c r="T300" s="218"/>
      <c r="U300" s="218"/>
    </row>
    <row r="301">
      <c r="D301" s="3"/>
      <c r="E301" s="112"/>
      <c r="F301" s="3"/>
      <c r="G301" s="12"/>
      <c r="H301" s="12"/>
      <c r="K301" s="12"/>
      <c r="M301" s="12"/>
      <c r="R301" s="218"/>
      <c r="S301" s="218"/>
      <c r="T301" s="218"/>
      <c r="U301" s="218"/>
    </row>
    <row r="302">
      <c r="D302" s="3"/>
      <c r="E302" s="112"/>
      <c r="F302" s="3"/>
      <c r="G302" s="12"/>
      <c r="H302" s="12"/>
      <c r="K302" s="12"/>
      <c r="M302" s="12"/>
      <c r="R302" s="218"/>
      <c r="S302" s="218"/>
      <c r="T302" s="218"/>
      <c r="U302" s="218"/>
    </row>
    <row r="303">
      <c r="D303" s="3"/>
      <c r="E303" s="112"/>
      <c r="F303" s="3"/>
      <c r="G303" s="12"/>
      <c r="H303" s="12"/>
      <c r="K303" s="12"/>
      <c r="M303" s="12"/>
      <c r="R303" s="218"/>
      <c r="S303" s="218"/>
      <c r="T303" s="218"/>
      <c r="U303" s="218"/>
    </row>
    <row r="304">
      <c r="D304" s="3"/>
      <c r="E304" s="112"/>
      <c r="F304" s="3"/>
      <c r="G304" s="12"/>
      <c r="H304" s="12"/>
      <c r="K304" s="12"/>
      <c r="M304" s="12"/>
      <c r="R304" s="218"/>
      <c r="S304" s="218"/>
      <c r="T304" s="218"/>
      <c r="U304" s="218"/>
    </row>
    <row r="305">
      <c r="D305" s="3"/>
      <c r="E305" s="112"/>
      <c r="F305" s="3"/>
      <c r="G305" s="12"/>
      <c r="H305" s="12"/>
      <c r="K305" s="12"/>
      <c r="M305" s="12"/>
      <c r="R305" s="218"/>
      <c r="S305" s="218"/>
      <c r="T305" s="218"/>
      <c r="U305" s="218"/>
    </row>
    <row r="306">
      <c r="D306" s="3"/>
      <c r="E306" s="112"/>
      <c r="F306" s="3"/>
      <c r="G306" s="12"/>
      <c r="H306" s="12"/>
      <c r="K306" s="12"/>
      <c r="M306" s="12"/>
      <c r="R306" s="218"/>
      <c r="S306" s="218"/>
      <c r="T306" s="218"/>
      <c r="U306" s="218"/>
    </row>
    <row r="307">
      <c r="D307" s="3"/>
      <c r="E307" s="112"/>
      <c r="F307" s="3"/>
      <c r="G307" s="12"/>
      <c r="H307" s="12"/>
      <c r="K307" s="12"/>
      <c r="M307" s="12"/>
      <c r="R307" s="218"/>
      <c r="S307" s="218"/>
      <c r="T307" s="218"/>
      <c r="U307" s="218"/>
    </row>
    <row r="308">
      <c r="D308" s="3"/>
      <c r="E308" s="112"/>
      <c r="F308" s="3"/>
      <c r="G308" s="12"/>
      <c r="H308" s="12"/>
      <c r="K308" s="12"/>
      <c r="M308" s="12"/>
      <c r="R308" s="218"/>
      <c r="S308" s="218"/>
      <c r="T308" s="218"/>
      <c r="U308" s="218"/>
    </row>
    <row r="309">
      <c r="D309" s="3"/>
      <c r="E309" s="112"/>
      <c r="F309" s="3"/>
      <c r="G309" s="12"/>
      <c r="H309" s="12"/>
      <c r="K309" s="12"/>
      <c r="M309" s="12"/>
      <c r="R309" s="218"/>
      <c r="S309" s="218"/>
      <c r="T309" s="218"/>
      <c r="U309" s="218"/>
    </row>
    <row r="310">
      <c r="D310" s="3"/>
      <c r="E310" s="112"/>
      <c r="F310" s="3"/>
      <c r="G310" s="12"/>
      <c r="H310" s="12"/>
      <c r="K310" s="12"/>
      <c r="M310" s="12"/>
      <c r="R310" s="218"/>
      <c r="S310" s="218"/>
      <c r="T310" s="218"/>
      <c r="U310" s="218"/>
    </row>
    <row r="311">
      <c r="D311" s="3"/>
      <c r="E311" s="112"/>
      <c r="F311" s="3"/>
      <c r="G311" s="12"/>
      <c r="H311" s="12"/>
      <c r="K311" s="12"/>
      <c r="M311" s="12"/>
      <c r="R311" s="218"/>
      <c r="S311" s="218"/>
      <c r="T311" s="218"/>
      <c r="U311" s="218"/>
    </row>
    <row r="312">
      <c r="D312" s="3"/>
      <c r="E312" s="112"/>
      <c r="F312" s="3"/>
      <c r="G312" s="12"/>
      <c r="H312" s="12"/>
      <c r="K312" s="12"/>
      <c r="M312" s="12"/>
      <c r="R312" s="218"/>
      <c r="S312" s="218"/>
      <c r="T312" s="218"/>
      <c r="U312" s="218"/>
    </row>
    <row r="313">
      <c r="D313" s="3"/>
      <c r="E313" s="112"/>
      <c r="F313" s="3"/>
      <c r="G313" s="12"/>
      <c r="H313" s="12"/>
      <c r="K313" s="12"/>
      <c r="M313" s="12"/>
      <c r="R313" s="218"/>
      <c r="S313" s="218"/>
      <c r="T313" s="218"/>
      <c r="U313" s="218"/>
    </row>
    <row r="314">
      <c r="D314" s="3"/>
      <c r="E314" s="112"/>
      <c r="F314" s="3"/>
      <c r="G314" s="12"/>
      <c r="H314" s="12"/>
      <c r="K314" s="12"/>
      <c r="M314" s="12"/>
      <c r="R314" s="218"/>
      <c r="S314" s="218"/>
      <c r="T314" s="218"/>
      <c r="U314" s="218"/>
    </row>
    <row r="315">
      <c r="D315" s="3"/>
      <c r="E315" s="112"/>
      <c r="F315" s="3"/>
      <c r="G315" s="12"/>
      <c r="H315" s="12"/>
      <c r="K315" s="12"/>
      <c r="M315" s="12"/>
      <c r="R315" s="218"/>
      <c r="S315" s="218"/>
      <c r="T315" s="218"/>
      <c r="U315" s="218"/>
    </row>
    <row r="316">
      <c r="D316" s="3"/>
      <c r="E316" s="112"/>
      <c r="F316" s="3"/>
      <c r="G316" s="12"/>
      <c r="H316" s="12"/>
      <c r="K316" s="12"/>
      <c r="M316" s="12"/>
      <c r="R316" s="218"/>
      <c r="S316" s="218"/>
      <c r="T316" s="218"/>
      <c r="U316" s="218"/>
    </row>
    <row r="317">
      <c r="D317" s="3"/>
      <c r="E317" s="112"/>
      <c r="F317" s="3"/>
      <c r="G317" s="12"/>
      <c r="H317" s="12"/>
      <c r="K317" s="12"/>
      <c r="M317" s="12"/>
      <c r="R317" s="218"/>
      <c r="S317" s="218"/>
      <c r="T317" s="218"/>
      <c r="U317" s="218"/>
    </row>
    <row r="318">
      <c r="D318" s="3"/>
      <c r="E318" s="112"/>
      <c r="F318" s="3"/>
      <c r="G318" s="12"/>
      <c r="H318" s="12"/>
      <c r="K318" s="12"/>
      <c r="M318" s="12"/>
      <c r="R318" s="218"/>
      <c r="S318" s="218"/>
      <c r="T318" s="218"/>
      <c r="U318" s="218"/>
    </row>
    <row r="319">
      <c r="D319" s="3"/>
      <c r="E319" s="112"/>
      <c r="F319" s="3"/>
      <c r="G319" s="12"/>
      <c r="H319" s="12"/>
      <c r="K319" s="12"/>
      <c r="M319" s="12"/>
      <c r="R319" s="218"/>
      <c r="S319" s="218"/>
      <c r="T319" s="218"/>
      <c r="U319" s="218"/>
    </row>
    <row r="320">
      <c r="D320" s="3"/>
      <c r="E320" s="112"/>
      <c r="F320" s="3"/>
      <c r="G320" s="12"/>
      <c r="H320" s="12"/>
      <c r="K320" s="12"/>
      <c r="M320" s="12"/>
      <c r="R320" s="218"/>
      <c r="S320" s="218"/>
      <c r="T320" s="218"/>
      <c r="U320" s="218"/>
    </row>
    <row r="321">
      <c r="D321" s="3"/>
      <c r="E321" s="112"/>
      <c r="F321" s="3"/>
      <c r="G321" s="12"/>
      <c r="H321" s="12"/>
      <c r="K321" s="12"/>
      <c r="M321" s="12"/>
      <c r="R321" s="218"/>
      <c r="S321" s="218"/>
      <c r="T321" s="218"/>
      <c r="U321" s="218"/>
    </row>
    <row r="322">
      <c r="D322" s="3"/>
      <c r="E322" s="112"/>
      <c r="F322" s="3"/>
      <c r="G322" s="12"/>
      <c r="H322" s="12"/>
      <c r="K322" s="12"/>
      <c r="M322" s="12"/>
      <c r="R322" s="218"/>
      <c r="S322" s="218"/>
      <c r="T322" s="218"/>
      <c r="U322" s="218"/>
    </row>
    <row r="323">
      <c r="D323" s="3"/>
      <c r="E323" s="112"/>
      <c r="F323" s="3"/>
      <c r="G323" s="12"/>
      <c r="H323" s="12"/>
      <c r="K323" s="12"/>
      <c r="M323" s="12"/>
      <c r="R323" s="218"/>
      <c r="S323" s="218"/>
      <c r="T323" s="218"/>
      <c r="U323" s="218"/>
    </row>
    <row r="324">
      <c r="D324" s="3"/>
      <c r="E324" s="112"/>
      <c r="F324" s="3"/>
      <c r="G324" s="12"/>
      <c r="H324" s="12"/>
      <c r="K324" s="12"/>
      <c r="M324" s="12"/>
      <c r="R324" s="218"/>
      <c r="S324" s="218"/>
      <c r="T324" s="218"/>
      <c r="U324" s="218"/>
    </row>
    <row r="325">
      <c r="D325" s="3"/>
      <c r="E325" s="112"/>
      <c r="F325" s="3"/>
      <c r="G325" s="12"/>
      <c r="H325" s="12"/>
      <c r="K325" s="12"/>
      <c r="M325" s="12"/>
      <c r="R325" s="218"/>
      <c r="S325" s="218"/>
      <c r="T325" s="218"/>
      <c r="U325" s="218"/>
    </row>
    <row r="326">
      <c r="D326" s="3"/>
      <c r="E326" s="112"/>
      <c r="F326" s="3"/>
      <c r="G326" s="12"/>
      <c r="H326" s="12"/>
      <c r="K326" s="12"/>
      <c r="M326" s="12"/>
      <c r="R326" s="218"/>
      <c r="S326" s="218"/>
      <c r="T326" s="218"/>
      <c r="U326" s="218"/>
    </row>
    <row r="327">
      <c r="D327" s="3"/>
      <c r="E327" s="112"/>
      <c r="F327" s="3"/>
      <c r="G327" s="12"/>
      <c r="H327" s="12"/>
      <c r="K327" s="12"/>
      <c r="M327" s="12"/>
      <c r="R327" s="218"/>
      <c r="S327" s="218"/>
      <c r="T327" s="218"/>
      <c r="U327" s="218"/>
    </row>
    <row r="328">
      <c r="D328" s="3"/>
      <c r="E328" s="112"/>
      <c r="F328" s="3"/>
      <c r="G328" s="12"/>
      <c r="H328" s="12"/>
      <c r="K328" s="12"/>
      <c r="M328" s="12"/>
      <c r="R328" s="218"/>
      <c r="S328" s="218"/>
      <c r="T328" s="218"/>
      <c r="U328" s="218"/>
    </row>
    <row r="329">
      <c r="D329" s="3"/>
      <c r="E329" s="112"/>
      <c r="F329" s="3"/>
      <c r="G329" s="12"/>
      <c r="H329" s="12"/>
      <c r="K329" s="12"/>
      <c r="M329" s="12"/>
      <c r="R329" s="218"/>
      <c r="S329" s="218"/>
      <c r="T329" s="218"/>
      <c r="U329" s="218"/>
    </row>
    <row r="330">
      <c r="D330" s="3"/>
      <c r="E330" s="112"/>
      <c r="F330" s="3"/>
      <c r="G330" s="12"/>
      <c r="H330" s="12"/>
      <c r="K330" s="12"/>
      <c r="M330" s="12"/>
      <c r="R330" s="218"/>
      <c r="S330" s="218"/>
      <c r="T330" s="218"/>
      <c r="U330" s="218"/>
    </row>
    <row r="331">
      <c r="D331" s="3"/>
      <c r="E331" s="112"/>
      <c r="F331" s="3"/>
      <c r="G331" s="12"/>
      <c r="H331" s="12"/>
      <c r="K331" s="12"/>
      <c r="M331" s="12"/>
      <c r="R331" s="218"/>
      <c r="S331" s="218"/>
      <c r="T331" s="218"/>
      <c r="U331" s="218"/>
    </row>
    <row r="332">
      <c r="D332" s="3"/>
      <c r="E332" s="112"/>
      <c r="F332" s="3"/>
      <c r="G332" s="12"/>
      <c r="H332" s="12"/>
      <c r="K332" s="12"/>
      <c r="M332" s="12"/>
      <c r="R332" s="218"/>
      <c r="S332" s="218"/>
      <c r="T332" s="218"/>
      <c r="U332" s="218"/>
    </row>
    <row r="333">
      <c r="D333" s="3"/>
      <c r="E333" s="112"/>
      <c r="F333" s="3"/>
      <c r="G333" s="12"/>
      <c r="H333" s="12"/>
      <c r="K333" s="12"/>
      <c r="M333" s="12"/>
      <c r="R333" s="218"/>
      <c r="S333" s="218"/>
      <c r="T333" s="218"/>
      <c r="U333" s="218"/>
    </row>
    <row r="334">
      <c r="D334" s="3"/>
      <c r="E334" s="112"/>
      <c r="F334" s="3"/>
      <c r="G334" s="12"/>
      <c r="H334" s="12"/>
      <c r="K334" s="12"/>
      <c r="M334" s="12"/>
      <c r="R334" s="218"/>
      <c r="S334" s="218"/>
      <c r="T334" s="218"/>
      <c r="U334" s="218"/>
    </row>
    <row r="335">
      <c r="D335" s="3"/>
      <c r="E335" s="112"/>
      <c r="F335" s="3"/>
      <c r="G335" s="12"/>
      <c r="H335" s="12"/>
      <c r="K335" s="12"/>
      <c r="M335" s="12"/>
      <c r="R335" s="218"/>
      <c r="S335" s="218"/>
      <c r="T335" s="218"/>
      <c r="U335" s="218"/>
    </row>
    <row r="336">
      <c r="D336" s="3"/>
      <c r="E336" s="112"/>
      <c r="F336" s="3"/>
      <c r="G336" s="12"/>
      <c r="H336" s="12"/>
      <c r="K336" s="12"/>
      <c r="M336" s="12"/>
      <c r="R336" s="218"/>
      <c r="S336" s="218"/>
      <c r="T336" s="218"/>
      <c r="U336" s="218"/>
    </row>
    <row r="337">
      <c r="D337" s="3"/>
      <c r="E337" s="112"/>
      <c r="F337" s="3"/>
      <c r="G337" s="12"/>
      <c r="H337" s="12"/>
      <c r="K337" s="12"/>
      <c r="M337" s="12"/>
      <c r="R337" s="218"/>
      <c r="S337" s="218"/>
      <c r="T337" s="218"/>
      <c r="U337" s="218"/>
    </row>
    <row r="338">
      <c r="D338" s="3"/>
      <c r="E338" s="112"/>
      <c r="F338" s="3"/>
      <c r="G338" s="12"/>
      <c r="H338" s="12"/>
      <c r="K338" s="12"/>
      <c r="M338" s="12"/>
      <c r="R338" s="218"/>
      <c r="S338" s="218"/>
      <c r="T338" s="218"/>
      <c r="U338" s="218"/>
    </row>
    <row r="339">
      <c r="D339" s="3"/>
      <c r="E339" s="112"/>
      <c r="F339" s="3"/>
      <c r="G339" s="12"/>
      <c r="H339" s="12"/>
      <c r="K339" s="12"/>
      <c r="M339" s="12"/>
      <c r="R339" s="218"/>
      <c r="S339" s="218"/>
      <c r="T339" s="218"/>
      <c r="U339" s="218"/>
    </row>
    <row r="340">
      <c r="D340" s="3"/>
      <c r="E340" s="112"/>
      <c r="F340" s="3"/>
      <c r="G340" s="12"/>
      <c r="H340" s="12"/>
      <c r="K340" s="12"/>
      <c r="M340" s="12"/>
      <c r="R340" s="218"/>
      <c r="S340" s="218"/>
      <c r="T340" s="218"/>
      <c r="U340" s="218"/>
    </row>
    <row r="341">
      <c r="D341" s="3"/>
      <c r="E341" s="112"/>
      <c r="F341" s="3"/>
      <c r="G341" s="12"/>
      <c r="H341" s="12"/>
      <c r="K341" s="12"/>
      <c r="M341" s="12"/>
      <c r="R341" s="218"/>
      <c r="S341" s="218"/>
      <c r="T341" s="218"/>
      <c r="U341" s="218"/>
    </row>
    <row r="342">
      <c r="D342" s="3"/>
      <c r="E342" s="112"/>
      <c r="F342" s="3"/>
      <c r="G342" s="12"/>
      <c r="H342" s="12"/>
      <c r="K342" s="12"/>
      <c r="M342" s="12"/>
      <c r="R342" s="218"/>
      <c r="S342" s="218"/>
      <c r="T342" s="218"/>
      <c r="U342" s="218"/>
    </row>
    <row r="343">
      <c r="D343" s="3"/>
      <c r="E343" s="112"/>
      <c r="F343" s="3"/>
      <c r="G343" s="12"/>
      <c r="H343" s="12"/>
      <c r="K343" s="12"/>
      <c r="M343" s="12"/>
      <c r="R343" s="218"/>
      <c r="S343" s="218"/>
      <c r="T343" s="218"/>
      <c r="U343" s="218"/>
    </row>
    <row r="344">
      <c r="D344" s="3"/>
      <c r="E344" s="112"/>
      <c r="F344" s="3"/>
      <c r="G344" s="12"/>
      <c r="H344" s="12"/>
      <c r="K344" s="12"/>
      <c r="M344" s="12"/>
      <c r="R344" s="218"/>
      <c r="S344" s="218"/>
      <c r="T344" s="218"/>
      <c r="U344" s="218"/>
    </row>
    <row r="345">
      <c r="D345" s="3"/>
      <c r="E345" s="112"/>
      <c r="F345" s="3"/>
      <c r="G345" s="12"/>
      <c r="H345" s="12"/>
      <c r="K345" s="12"/>
      <c r="M345" s="12"/>
      <c r="R345" s="218"/>
      <c r="S345" s="218"/>
      <c r="T345" s="218"/>
      <c r="U345" s="218"/>
    </row>
    <row r="346">
      <c r="D346" s="3"/>
      <c r="E346" s="112"/>
      <c r="F346" s="3"/>
      <c r="G346" s="12"/>
      <c r="H346" s="12"/>
      <c r="K346" s="12"/>
      <c r="M346" s="12"/>
      <c r="R346" s="218"/>
      <c r="S346" s="218"/>
      <c r="T346" s="218"/>
      <c r="U346" s="218"/>
    </row>
    <row r="347">
      <c r="D347" s="3"/>
      <c r="E347" s="112"/>
      <c r="F347" s="3"/>
      <c r="G347" s="12"/>
      <c r="H347" s="12"/>
      <c r="K347" s="12"/>
      <c r="M347" s="12"/>
      <c r="R347" s="218"/>
      <c r="S347" s="218"/>
      <c r="T347" s="218"/>
      <c r="U347" s="218"/>
    </row>
    <row r="348">
      <c r="D348" s="3"/>
      <c r="E348" s="112"/>
      <c r="F348" s="3"/>
      <c r="G348" s="12"/>
      <c r="H348" s="12"/>
      <c r="K348" s="12"/>
      <c r="M348" s="12"/>
      <c r="R348" s="218"/>
      <c r="S348" s="218"/>
      <c r="T348" s="218"/>
      <c r="U348" s="218"/>
    </row>
    <row r="349">
      <c r="D349" s="3"/>
      <c r="E349" s="112"/>
      <c r="F349" s="3"/>
      <c r="G349" s="12"/>
      <c r="H349" s="12"/>
      <c r="K349" s="12"/>
      <c r="M349" s="12"/>
      <c r="R349" s="218"/>
      <c r="S349" s="218"/>
      <c r="T349" s="218"/>
      <c r="U349" s="218"/>
    </row>
    <row r="350">
      <c r="D350" s="3"/>
      <c r="E350" s="112"/>
      <c r="F350" s="3"/>
      <c r="G350" s="12"/>
      <c r="H350" s="12"/>
      <c r="K350" s="12"/>
      <c r="M350" s="12"/>
      <c r="R350" s="218"/>
      <c r="S350" s="218"/>
      <c r="T350" s="218"/>
      <c r="U350" s="218"/>
    </row>
    <row r="351">
      <c r="D351" s="3"/>
      <c r="E351" s="112"/>
      <c r="F351" s="3"/>
      <c r="G351" s="12"/>
      <c r="H351" s="12"/>
      <c r="K351" s="12"/>
      <c r="M351" s="12"/>
      <c r="R351" s="218"/>
      <c r="S351" s="218"/>
      <c r="T351" s="218"/>
      <c r="U351" s="218"/>
    </row>
    <row r="352">
      <c r="D352" s="3"/>
      <c r="E352" s="112"/>
      <c r="F352" s="3"/>
      <c r="G352" s="12"/>
      <c r="H352" s="12"/>
      <c r="K352" s="12"/>
      <c r="M352" s="12"/>
      <c r="R352" s="218"/>
      <c r="S352" s="218"/>
      <c r="T352" s="218"/>
      <c r="U352" s="218"/>
    </row>
    <row r="353">
      <c r="D353" s="3"/>
      <c r="E353" s="112"/>
      <c r="F353" s="3"/>
      <c r="G353" s="12"/>
      <c r="H353" s="12"/>
      <c r="K353" s="12"/>
      <c r="M353" s="12"/>
      <c r="R353" s="218"/>
      <c r="S353" s="218"/>
      <c r="T353" s="218"/>
      <c r="U353" s="218"/>
    </row>
    <row r="354">
      <c r="D354" s="3"/>
      <c r="E354" s="112"/>
      <c r="F354" s="3"/>
      <c r="G354" s="12"/>
      <c r="H354" s="12"/>
      <c r="K354" s="12"/>
      <c r="M354" s="12"/>
      <c r="R354" s="218"/>
      <c r="S354" s="218"/>
      <c r="T354" s="218"/>
      <c r="U354" s="218"/>
    </row>
    <row r="355">
      <c r="D355" s="3"/>
      <c r="E355" s="112"/>
      <c r="F355" s="3"/>
      <c r="G355" s="12"/>
      <c r="H355" s="12"/>
      <c r="K355" s="12"/>
      <c r="M355" s="12"/>
      <c r="R355" s="218"/>
      <c r="S355" s="218"/>
      <c r="T355" s="218"/>
      <c r="U355" s="218"/>
    </row>
    <row r="356">
      <c r="D356" s="3"/>
      <c r="E356" s="112"/>
      <c r="F356" s="3"/>
      <c r="G356" s="12"/>
      <c r="H356" s="12"/>
      <c r="K356" s="12"/>
      <c r="M356" s="12"/>
      <c r="R356" s="218"/>
      <c r="S356" s="218"/>
      <c r="T356" s="218"/>
      <c r="U356" s="218"/>
    </row>
    <row r="357">
      <c r="D357" s="3"/>
      <c r="E357" s="112"/>
      <c r="F357" s="3"/>
      <c r="G357" s="12"/>
      <c r="H357" s="12"/>
      <c r="K357" s="12"/>
      <c r="M357" s="12"/>
      <c r="R357" s="218"/>
      <c r="S357" s="218"/>
      <c r="T357" s="218"/>
      <c r="U357" s="218"/>
    </row>
    <row r="358">
      <c r="D358" s="3"/>
      <c r="E358" s="112"/>
      <c r="F358" s="3"/>
      <c r="G358" s="12"/>
      <c r="H358" s="12"/>
      <c r="K358" s="12"/>
      <c r="M358" s="12"/>
      <c r="R358" s="218"/>
      <c r="S358" s="218"/>
      <c r="T358" s="218"/>
      <c r="U358" s="218"/>
    </row>
    <row r="359">
      <c r="D359" s="3"/>
      <c r="E359" s="112"/>
      <c r="F359" s="3"/>
      <c r="G359" s="12"/>
      <c r="H359" s="12"/>
      <c r="K359" s="12"/>
      <c r="M359" s="12"/>
      <c r="R359" s="218"/>
      <c r="S359" s="218"/>
      <c r="T359" s="218"/>
      <c r="U359" s="218"/>
    </row>
    <row r="360">
      <c r="D360" s="3"/>
      <c r="E360" s="112"/>
      <c r="F360" s="3"/>
      <c r="G360" s="12"/>
      <c r="H360" s="12"/>
      <c r="K360" s="12"/>
      <c r="M360" s="12"/>
      <c r="R360" s="218"/>
      <c r="S360" s="218"/>
      <c r="T360" s="218"/>
      <c r="U360" s="218"/>
    </row>
    <row r="361">
      <c r="D361" s="3"/>
      <c r="E361" s="112"/>
      <c r="F361" s="3"/>
      <c r="G361" s="12"/>
      <c r="H361" s="12"/>
      <c r="K361" s="12"/>
      <c r="M361" s="12"/>
      <c r="R361" s="218"/>
      <c r="S361" s="218"/>
      <c r="T361" s="218"/>
      <c r="U361" s="218"/>
    </row>
    <row r="362">
      <c r="D362" s="3"/>
      <c r="E362" s="112"/>
      <c r="F362" s="3"/>
      <c r="G362" s="12"/>
      <c r="H362" s="12"/>
      <c r="K362" s="12"/>
      <c r="M362" s="12"/>
      <c r="R362" s="218"/>
      <c r="S362" s="218"/>
      <c r="T362" s="218"/>
      <c r="U362" s="218"/>
    </row>
    <row r="363">
      <c r="D363" s="3"/>
      <c r="E363" s="112"/>
      <c r="F363" s="3"/>
      <c r="G363" s="12"/>
      <c r="H363" s="12"/>
      <c r="K363" s="12"/>
      <c r="M363" s="12"/>
      <c r="R363" s="218"/>
      <c r="S363" s="218"/>
      <c r="T363" s="218"/>
      <c r="U363" s="218"/>
    </row>
    <row r="364">
      <c r="D364" s="3"/>
      <c r="E364" s="112"/>
      <c r="F364" s="3"/>
      <c r="G364" s="12"/>
      <c r="H364" s="12"/>
      <c r="K364" s="12"/>
      <c r="M364" s="12"/>
      <c r="R364" s="218"/>
      <c r="S364" s="218"/>
      <c r="T364" s="218"/>
      <c r="U364" s="218"/>
    </row>
    <row r="365">
      <c r="D365" s="3"/>
      <c r="E365" s="112"/>
      <c r="F365" s="3"/>
      <c r="G365" s="12"/>
      <c r="H365" s="12"/>
      <c r="K365" s="12"/>
      <c r="M365" s="12"/>
      <c r="R365" s="218"/>
      <c r="S365" s="218"/>
      <c r="T365" s="218"/>
      <c r="U365" s="218"/>
    </row>
    <row r="366">
      <c r="D366" s="3"/>
      <c r="E366" s="112"/>
      <c r="F366" s="3"/>
      <c r="G366" s="12"/>
      <c r="H366" s="12"/>
      <c r="K366" s="12"/>
      <c r="M366" s="12"/>
      <c r="R366" s="218"/>
      <c r="S366" s="218"/>
      <c r="T366" s="218"/>
      <c r="U366" s="218"/>
    </row>
    <row r="367">
      <c r="D367" s="3"/>
      <c r="E367" s="112"/>
      <c r="F367" s="3"/>
      <c r="G367" s="12"/>
      <c r="H367" s="12"/>
      <c r="K367" s="12"/>
      <c r="M367" s="12"/>
      <c r="R367" s="218"/>
      <c r="S367" s="218"/>
      <c r="T367" s="218"/>
      <c r="U367" s="218"/>
    </row>
    <row r="368">
      <c r="D368" s="3"/>
      <c r="E368" s="112"/>
      <c r="F368" s="3"/>
      <c r="G368" s="12"/>
      <c r="H368" s="12"/>
      <c r="K368" s="12"/>
      <c r="M368" s="12"/>
      <c r="R368" s="218"/>
      <c r="S368" s="218"/>
      <c r="T368" s="218"/>
      <c r="U368" s="218"/>
    </row>
    <row r="369">
      <c r="D369" s="3"/>
      <c r="E369" s="112"/>
      <c r="F369" s="3"/>
      <c r="G369" s="12"/>
      <c r="H369" s="12"/>
      <c r="K369" s="12"/>
      <c r="M369" s="12"/>
      <c r="R369" s="218"/>
      <c r="S369" s="218"/>
      <c r="T369" s="218"/>
      <c r="U369" s="218"/>
    </row>
    <row r="370">
      <c r="D370" s="3"/>
      <c r="E370" s="112"/>
      <c r="F370" s="3"/>
      <c r="G370" s="12"/>
      <c r="H370" s="12"/>
      <c r="K370" s="12"/>
      <c r="M370" s="12"/>
      <c r="R370" s="218"/>
      <c r="S370" s="218"/>
      <c r="T370" s="218"/>
      <c r="U370" s="218"/>
    </row>
    <row r="371">
      <c r="D371" s="3"/>
      <c r="E371" s="112"/>
      <c r="F371" s="3"/>
      <c r="G371" s="12"/>
      <c r="H371" s="12"/>
      <c r="K371" s="12"/>
      <c r="M371" s="12"/>
      <c r="R371" s="218"/>
      <c r="S371" s="218"/>
      <c r="T371" s="218"/>
      <c r="U371" s="218"/>
    </row>
    <row r="372">
      <c r="D372" s="3"/>
      <c r="E372" s="112"/>
      <c r="F372" s="3"/>
      <c r="G372" s="12"/>
      <c r="H372" s="12"/>
      <c r="K372" s="12"/>
      <c r="M372" s="12"/>
      <c r="R372" s="218"/>
      <c r="S372" s="218"/>
      <c r="T372" s="218"/>
      <c r="U372" s="218"/>
    </row>
    <row r="373">
      <c r="D373" s="3"/>
      <c r="E373" s="112"/>
      <c r="F373" s="3"/>
      <c r="G373" s="12"/>
      <c r="H373" s="12"/>
      <c r="K373" s="12"/>
      <c r="M373" s="12"/>
      <c r="R373" s="218"/>
      <c r="S373" s="218"/>
      <c r="T373" s="218"/>
      <c r="U373" s="218"/>
    </row>
    <row r="374">
      <c r="D374" s="3"/>
      <c r="E374" s="112"/>
      <c r="F374" s="3"/>
      <c r="G374" s="12"/>
      <c r="H374" s="12"/>
      <c r="K374" s="12"/>
      <c r="M374" s="12"/>
      <c r="R374" s="218"/>
      <c r="S374" s="218"/>
      <c r="T374" s="218"/>
      <c r="U374" s="218"/>
    </row>
    <row r="375">
      <c r="D375" s="3"/>
      <c r="E375" s="112"/>
      <c r="F375" s="3"/>
      <c r="G375" s="12"/>
      <c r="H375" s="12"/>
      <c r="K375" s="12"/>
      <c r="M375" s="12"/>
      <c r="R375" s="218"/>
      <c r="S375" s="218"/>
      <c r="T375" s="218"/>
      <c r="U375" s="218"/>
    </row>
    <row r="376">
      <c r="D376" s="3"/>
      <c r="E376" s="112"/>
      <c r="F376" s="3"/>
      <c r="G376" s="12"/>
      <c r="H376" s="12"/>
      <c r="K376" s="12"/>
      <c r="M376" s="12"/>
      <c r="R376" s="218"/>
      <c r="S376" s="218"/>
      <c r="T376" s="218"/>
      <c r="U376" s="218"/>
    </row>
    <row r="377">
      <c r="D377" s="3"/>
      <c r="E377" s="112"/>
      <c r="F377" s="3"/>
      <c r="G377" s="12"/>
      <c r="H377" s="12"/>
      <c r="K377" s="12"/>
      <c r="M377" s="12"/>
      <c r="R377" s="218"/>
      <c r="S377" s="218"/>
      <c r="T377" s="218"/>
      <c r="U377" s="218"/>
    </row>
    <row r="378">
      <c r="D378" s="3"/>
      <c r="E378" s="112"/>
      <c r="F378" s="3"/>
      <c r="G378" s="12"/>
      <c r="H378" s="12"/>
      <c r="K378" s="12"/>
      <c r="M378" s="12"/>
      <c r="R378" s="218"/>
      <c r="S378" s="218"/>
      <c r="T378" s="218"/>
      <c r="U378" s="218"/>
    </row>
    <row r="379">
      <c r="D379" s="3"/>
      <c r="E379" s="112"/>
      <c r="F379" s="3"/>
      <c r="G379" s="12"/>
      <c r="H379" s="12"/>
      <c r="K379" s="12"/>
      <c r="M379" s="12"/>
      <c r="R379" s="218"/>
      <c r="S379" s="218"/>
      <c r="T379" s="218"/>
      <c r="U379" s="218"/>
    </row>
    <row r="380">
      <c r="D380" s="3"/>
      <c r="E380" s="112"/>
      <c r="F380" s="3"/>
      <c r="G380" s="12"/>
      <c r="H380" s="12"/>
      <c r="K380" s="12"/>
      <c r="M380" s="12"/>
      <c r="R380" s="218"/>
      <c r="S380" s="218"/>
      <c r="T380" s="218"/>
      <c r="U380" s="218"/>
    </row>
    <row r="381">
      <c r="D381" s="3"/>
      <c r="E381" s="112"/>
      <c r="F381" s="3"/>
      <c r="G381" s="12"/>
      <c r="H381" s="12"/>
      <c r="K381" s="12"/>
      <c r="M381" s="12"/>
      <c r="R381" s="218"/>
      <c r="S381" s="218"/>
      <c r="T381" s="218"/>
      <c r="U381" s="218"/>
    </row>
    <row r="382">
      <c r="D382" s="3"/>
      <c r="E382" s="112"/>
      <c r="F382" s="3"/>
      <c r="G382" s="12"/>
      <c r="H382" s="12"/>
      <c r="K382" s="12"/>
      <c r="M382" s="12"/>
      <c r="R382" s="218"/>
      <c r="S382" s="218"/>
      <c r="T382" s="218"/>
      <c r="U382" s="218"/>
    </row>
    <row r="383">
      <c r="D383" s="3"/>
      <c r="E383" s="112"/>
      <c r="F383" s="3"/>
      <c r="G383" s="12"/>
      <c r="H383" s="12"/>
      <c r="K383" s="12"/>
      <c r="M383" s="12"/>
      <c r="R383" s="218"/>
      <c r="S383" s="218"/>
      <c r="T383" s="218"/>
      <c r="U383" s="218"/>
    </row>
    <row r="384">
      <c r="D384" s="3"/>
      <c r="E384" s="112"/>
      <c r="F384" s="3"/>
      <c r="G384" s="12"/>
      <c r="H384" s="12"/>
      <c r="K384" s="12"/>
      <c r="M384" s="12"/>
      <c r="R384" s="218"/>
      <c r="S384" s="218"/>
      <c r="T384" s="218"/>
      <c r="U384" s="218"/>
    </row>
    <row r="385">
      <c r="D385" s="3"/>
      <c r="E385" s="112"/>
      <c r="F385" s="3"/>
      <c r="G385" s="12"/>
      <c r="H385" s="12"/>
      <c r="K385" s="12"/>
      <c r="M385" s="12"/>
      <c r="R385" s="218"/>
      <c r="S385" s="218"/>
      <c r="T385" s="218"/>
      <c r="U385" s="218"/>
    </row>
    <row r="386">
      <c r="D386" s="3"/>
      <c r="E386" s="112"/>
      <c r="F386" s="3"/>
      <c r="G386" s="12"/>
      <c r="H386" s="12"/>
      <c r="K386" s="12"/>
      <c r="M386" s="12"/>
      <c r="R386" s="218"/>
      <c r="S386" s="218"/>
      <c r="T386" s="218"/>
      <c r="U386" s="218"/>
    </row>
    <row r="387">
      <c r="D387" s="3"/>
      <c r="E387" s="112"/>
      <c r="F387" s="3"/>
      <c r="G387" s="12"/>
      <c r="H387" s="12"/>
      <c r="K387" s="12"/>
      <c r="M387" s="12"/>
      <c r="R387" s="218"/>
      <c r="S387" s="218"/>
      <c r="T387" s="218"/>
      <c r="U387" s="218"/>
    </row>
    <row r="388">
      <c r="D388" s="3"/>
      <c r="E388" s="112"/>
      <c r="F388" s="3"/>
      <c r="G388" s="12"/>
      <c r="H388" s="12"/>
      <c r="K388" s="12"/>
      <c r="M388" s="12"/>
      <c r="R388" s="218"/>
      <c r="S388" s="218"/>
      <c r="T388" s="218"/>
      <c r="U388" s="218"/>
    </row>
    <row r="389">
      <c r="D389" s="3"/>
      <c r="E389" s="112"/>
      <c r="F389" s="3"/>
      <c r="G389" s="12"/>
      <c r="H389" s="12"/>
      <c r="K389" s="12"/>
      <c r="M389" s="12"/>
      <c r="R389" s="218"/>
      <c r="S389" s="218"/>
      <c r="T389" s="218"/>
      <c r="U389" s="218"/>
    </row>
    <row r="390">
      <c r="D390" s="3"/>
      <c r="E390" s="112"/>
      <c r="F390" s="3"/>
      <c r="G390" s="12"/>
      <c r="H390" s="12"/>
      <c r="K390" s="12"/>
      <c r="M390" s="12"/>
      <c r="R390" s="218"/>
      <c r="S390" s="218"/>
      <c r="T390" s="218"/>
      <c r="U390" s="218"/>
    </row>
    <row r="391">
      <c r="D391" s="3"/>
      <c r="E391" s="112"/>
      <c r="F391" s="3"/>
      <c r="G391" s="12"/>
      <c r="H391" s="12"/>
      <c r="K391" s="12"/>
      <c r="M391" s="12"/>
      <c r="R391" s="218"/>
      <c r="S391" s="218"/>
      <c r="T391" s="218"/>
      <c r="U391" s="218"/>
    </row>
    <row r="392">
      <c r="D392" s="3"/>
      <c r="E392" s="112"/>
      <c r="F392" s="3"/>
      <c r="G392" s="12"/>
      <c r="H392" s="12"/>
      <c r="K392" s="12"/>
      <c r="M392" s="12"/>
      <c r="R392" s="218"/>
      <c r="S392" s="218"/>
      <c r="T392" s="218"/>
      <c r="U392" s="218"/>
    </row>
    <row r="393">
      <c r="D393" s="3"/>
      <c r="E393" s="112"/>
      <c r="F393" s="3"/>
      <c r="G393" s="12"/>
      <c r="H393" s="12"/>
      <c r="K393" s="12"/>
      <c r="M393" s="12"/>
      <c r="R393" s="218"/>
      <c r="S393" s="218"/>
      <c r="T393" s="218"/>
      <c r="U393" s="218"/>
    </row>
    <row r="394">
      <c r="D394" s="3"/>
      <c r="E394" s="112"/>
      <c r="F394" s="3"/>
      <c r="G394" s="12"/>
      <c r="H394" s="12"/>
      <c r="K394" s="12"/>
      <c r="M394" s="12"/>
      <c r="R394" s="218"/>
      <c r="S394" s="218"/>
      <c r="T394" s="218"/>
      <c r="U394" s="218"/>
    </row>
    <row r="395">
      <c r="D395" s="3"/>
      <c r="E395" s="112"/>
      <c r="F395" s="3"/>
      <c r="G395" s="12"/>
      <c r="H395" s="12"/>
      <c r="K395" s="12"/>
      <c r="M395" s="12"/>
      <c r="R395" s="218"/>
      <c r="S395" s="218"/>
      <c r="T395" s="218"/>
      <c r="U395" s="218"/>
    </row>
    <row r="396">
      <c r="D396" s="3"/>
      <c r="E396" s="112"/>
      <c r="F396" s="3"/>
      <c r="G396" s="12"/>
      <c r="H396" s="12"/>
      <c r="K396" s="12"/>
      <c r="M396" s="12"/>
      <c r="R396" s="218"/>
      <c r="S396" s="218"/>
      <c r="T396" s="218"/>
      <c r="U396" s="218"/>
    </row>
    <row r="397">
      <c r="D397" s="3"/>
      <c r="E397" s="112"/>
      <c r="F397" s="3"/>
      <c r="G397" s="12"/>
      <c r="H397" s="12"/>
      <c r="K397" s="12"/>
      <c r="M397" s="12"/>
      <c r="R397" s="218"/>
      <c r="S397" s="218"/>
      <c r="T397" s="218"/>
      <c r="U397" s="218"/>
    </row>
    <row r="398">
      <c r="D398" s="3"/>
      <c r="E398" s="112"/>
      <c r="F398" s="3"/>
      <c r="G398" s="12"/>
      <c r="H398" s="12"/>
      <c r="K398" s="12"/>
      <c r="M398" s="12"/>
      <c r="R398" s="218"/>
      <c r="S398" s="218"/>
      <c r="T398" s="218"/>
      <c r="U398" s="218"/>
    </row>
    <row r="399">
      <c r="D399" s="3"/>
      <c r="E399" s="112"/>
      <c r="F399" s="3"/>
      <c r="G399" s="12"/>
      <c r="H399" s="12"/>
      <c r="K399" s="12"/>
      <c r="M399" s="12"/>
      <c r="R399" s="218"/>
      <c r="S399" s="218"/>
      <c r="T399" s="218"/>
      <c r="U399" s="218"/>
    </row>
    <row r="400">
      <c r="D400" s="3"/>
      <c r="E400" s="112"/>
      <c r="F400" s="3"/>
      <c r="G400" s="12"/>
      <c r="H400" s="12"/>
      <c r="K400" s="12"/>
      <c r="M400" s="12"/>
      <c r="R400" s="218"/>
      <c r="S400" s="218"/>
      <c r="T400" s="218"/>
      <c r="U400" s="218"/>
    </row>
    <row r="401">
      <c r="D401" s="3"/>
      <c r="E401" s="112"/>
      <c r="F401" s="3"/>
      <c r="G401" s="12"/>
      <c r="H401" s="12"/>
      <c r="K401" s="12"/>
      <c r="M401" s="12"/>
      <c r="R401" s="218"/>
      <c r="S401" s="218"/>
      <c r="T401" s="218"/>
      <c r="U401" s="218"/>
    </row>
    <row r="402">
      <c r="D402" s="3"/>
      <c r="E402" s="112"/>
      <c r="F402" s="3"/>
      <c r="G402" s="12"/>
      <c r="H402" s="12"/>
      <c r="K402" s="12"/>
      <c r="M402" s="12"/>
      <c r="R402" s="218"/>
      <c r="S402" s="218"/>
      <c r="T402" s="218"/>
      <c r="U402" s="218"/>
    </row>
    <row r="403">
      <c r="D403" s="3"/>
      <c r="E403" s="112"/>
      <c r="F403" s="3"/>
      <c r="G403" s="12"/>
      <c r="H403" s="12"/>
      <c r="K403" s="12"/>
      <c r="M403" s="12"/>
      <c r="R403" s="218"/>
      <c r="S403" s="218"/>
      <c r="T403" s="218"/>
      <c r="U403" s="218"/>
    </row>
    <row r="404">
      <c r="D404" s="3"/>
      <c r="E404" s="112"/>
      <c r="F404" s="3"/>
      <c r="G404" s="12"/>
      <c r="H404" s="12"/>
      <c r="K404" s="12"/>
      <c r="M404" s="12"/>
      <c r="R404" s="218"/>
      <c r="S404" s="218"/>
      <c r="T404" s="218"/>
      <c r="U404" s="218"/>
    </row>
    <row r="405">
      <c r="D405" s="3"/>
      <c r="E405" s="112"/>
      <c r="F405" s="3"/>
      <c r="G405" s="12"/>
      <c r="H405" s="12"/>
      <c r="K405" s="12"/>
      <c r="M405" s="12"/>
      <c r="R405" s="218"/>
      <c r="S405" s="218"/>
      <c r="T405" s="218"/>
      <c r="U405" s="218"/>
    </row>
    <row r="406">
      <c r="D406" s="3"/>
      <c r="E406" s="112"/>
      <c r="F406" s="3"/>
      <c r="G406" s="12"/>
      <c r="H406" s="12"/>
      <c r="K406" s="12"/>
      <c r="M406" s="12"/>
      <c r="R406" s="218"/>
      <c r="S406" s="218"/>
      <c r="T406" s="218"/>
      <c r="U406" s="218"/>
    </row>
    <row r="407">
      <c r="D407" s="3"/>
      <c r="E407" s="112"/>
      <c r="F407" s="3"/>
      <c r="G407" s="12"/>
      <c r="H407" s="12"/>
      <c r="K407" s="12"/>
      <c r="M407" s="12"/>
      <c r="R407" s="218"/>
      <c r="S407" s="218"/>
      <c r="T407" s="218"/>
      <c r="U407" s="218"/>
    </row>
    <row r="408">
      <c r="D408" s="3"/>
      <c r="E408" s="112"/>
      <c r="F408" s="3"/>
      <c r="G408" s="12"/>
      <c r="H408" s="12"/>
      <c r="K408" s="12"/>
      <c r="M408" s="12"/>
      <c r="R408" s="218"/>
      <c r="S408" s="218"/>
      <c r="T408" s="218"/>
      <c r="U408" s="218"/>
    </row>
    <row r="409">
      <c r="D409" s="3"/>
      <c r="E409" s="112"/>
      <c r="F409" s="3"/>
      <c r="G409" s="12"/>
      <c r="H409" s="12"/>
      <c r="K409" s="12"/>
      <c r="M409" s="12"/>
      <c r="R409" s="218"/>
      <c r="S409" s="218"/>
      <c r="T409" s="218"/>
      <c r="U409" s="218"/>
    </row>
    <row r="410">
      <c r="D410" s="3"/>
      <c r="E410" s="112"/>
      <c r="F410" s="3"/>
      <c r="G410" s="12"/>
      <c r="H410" s="12"/>
      <c r="K410" s="12"/>
      <c r="M410" s="12"/>
      <c r="R410" s="218"/>
      <c r="S410" s="218"/>
      <c r="T410" s="218"/>
      <c r="U410" s="218"/>
    </row>
    <row r="411">
      <c r="D411" s="3"/>
      <c r="E411" s="112"/>
      <c r="F411" s="3"/>
      <c r="G411" s="12"/>
      <c r="H411" s="12"/>
      <c r="K411" s="12"/>
      <c r="M411" s="12"/>
      <c r="R411" s="218"/>
      <c r="S411" s="218"/>
      <c r="T411" s="218"/>
      <c r="U411" s="218"/>
    </row>
    <row r="412">
      <c r="D412" s="3"/>
      <c r="E412" s="112"/>
      <c r="F412" s="3"/>
      <c r="G412" s="12"/>
      <c r="H412" s="12"/>
      <c r="K412" s="12"/>
      <c r="M412" s="12"/>
      <c r="R412" s="218"/>
      <c r="S412" s="218"/>
      <c r="T412" s="218"/>
      <c r="U412" s="218"/>
    </row>
    <row r="413">
      <c r="D413" s="3"/>
      <c r="E413" s="112"/>
      <c r="F413" s="3"/>
      <c r="G413" s="12"/>
      <c r="H413" s="12"/>
      <c r="K413" s="12"/>
      <c r="M413" s="12"/>
      <c r="R413" s="218"/>
      <c r="S413" s="218"/>
      <c r="T413" s="218"/>
      <c r="U413" s="218"/>
    </row>
    <row r="414">
      <c r="D414" s="3"/>
      <c r="E414" s="112"/>
      <c r="F414" s="3"/>
      <c r="G414" s="12"/>
      <c r="H414" s="12"/>
      <c r="K414" s="12"/>
      <c r="M414" s="12"/>
      <c r="R414" s="218"/>
      <c r="S414" s="218"/>
      <c r="T414" s="218"/>
      <c r="U414" s="218"/>
    </row>
    <row r="415">
      <c r="D415" s="3"/>
      <c r="E415" s="112"/>
      <c r="F415" s="3"/>
      <c r="G415" s="12"/>
      <c r="H415" s="12"/>
      <c r="K415" s="12"/>
      <c r="M415" s="12"/>
      <c r="R415" s="218"/>
      <c r="S415" s="218"/>
      <c r="T415" s="218"/>
      <c r="U415" s="218"/>
    </row>
    <row r="416">
      <c r="D416" s="3"/>
      <c r="E416" s="112"/>
      <c r="F416" s="3"/>
      <c r="G416" s="12"/>
      <c r="H416" s="12"/>
      <c r="K416" s="12"/>
      <c r="M416" s="12"/>
      <c r="R416" s="218"/>
      <c r="S416" s="218"/>
      <c r="T416" s="218"/>
      <c r="U416" s="218"/>
    </row>
    <row r="417">
      <c r="D417" s="3"/>
      <c r="E417" s="112"/>
      <c r="F417" s="3"/>
      <c r="G417" s="12"/>
      <c r="H417" s="12"/>
      <c r="K417" s="12"/>
      <c r="M417" s="12"/>
      <c r="R417" s="218"/>
      <c r="S417" s="218"/>
      <c r="T417" s="218"/>
      <c r="U417" s="218"/>
    </row>
    <row r="418">
      <c r="D418" s="3"/>
      <c r="E418" s="112"/>
      <c r="F418" s="3"/>
      <c r="G418" s="12"/>
      <c r="H418" s="12"/>
      <c r="K418" s="12"/>
      <c r="M418" s="12"/>
      <c r="R418" s="218"/>
      <c r="S418" s="218"/>
      <c r="T418" s="218"/>
      <c r="U418" s="218"/>
    </row>
    <row r="419">
      <c r="D419" s="3"/>
      <c r="E419" s="112"/>
      <c r="F419" s="3"/>
      <c r="G419" s="12"/>
      <c r="H419" s="12"/>
      <c r="K419" s="12"/>
      <c r="M419" s="12"/>
      <c r="R419" s="218"/>
      <c r="S419" s="218"/>
      <c r="T419" s="218"/>
      <c r="U419" s="218"/>
    </row>
    <row r="420">
      <c r="D420" s="3"/>
      <c r="E420" s="112"/>
      <c r="F420" s="3"/>
      <c r="G420" s="12"/>
      <c r="H420" s="12"/>
      <c r="K420" s="12"/>
      <c r="M420" s="12"/>
      <c r="R420" s="218"/>
      <c r="S420" s="218"/>
      <c r="T420" s="218"/>
      <c r="U420" s="218"/>
    </row>
    <row r="421">
      <c r="D421" s="3"/>
      <c r="E421" s="112"/>
      <c r="F421" s="3"/>
      <c r="G421" s="12"/>
      <c r="H421" s="12"/>
      <c r="K421" s="12"/>
      <c r="M421" s="12"/>
      <c r="R421" s="218"/>
      <c r="S421" s="218"/>
      <c r="T421" s="218"/>
      <c r="U421" s="218"/>
    </row>
    <row r="422">
      <c r="D422" s="3"/>
      <c r="E422" s="112"/>
      <c r="F422" s="3"/>
      <c r="G422" s="12"/>
      <c r="H422" s="12"/>
      <c r="K422" s="12"/>
      <c r="M422" s="12"/>
      <c r="R422" s="218"/>
      <c r="S422" s="218"/>
      <c r="T422" s="218"/>
      <c r="U422" s="218"/>
    </row>
    <row r="423">
      <c r="D423" s="3"/>
      <c r="E423" s="112"/>
      <c r="F423" s="3"/>
      <c r="G423" s="12"/>
      <c r="H423" s="12"/>
      <c r="K423" s="12"/>
      <c r="M423" s="12"/>
      <c r="R423" s="218"/>
      <c r="S423" s="218"/>
      <c r="T423" s="218"/>
      <c r="U423" s="218"/>
    </row>
    <row r="424">
      <c r="D424" s="3"/>
      <c r="E424" s="112"/>
      <c r="F424" s="3"/>
      <c r="G424" s="12"/>
      <c r="H424" s="12"/>
      <c r="K424" s="12"/>
      <c r="M424" s="12"/>
      <c r="R424" s="218"/>
      <c r="S424" s="218"/>
      <c r="T424" s="218"/>
      <c r="U424" s="218"/>
    </row>
    <row r="425">
      <c r="D425" s="3"/>
      <c r="E425" s="112"/>
      <c r="F425" s="3"/>
      <c r="G425" s="12"/>
      <c r="H425" s="12"/>
      <c r="K425" s="12"/>
      <c r="M425" s="12"/>
      <c r="R425" s="218"/>
      <c r="S425" s="218"/>
      <c r="T425" s="218"/>
      <c r="U425" s="218"/>
    </row>
    <row r="426">
      <c r="D426" s="3"/>
      <c r="E426" s="112"/>
      <c r="F426" s="3"/>
      <c r="G426" s="12"/>
      <c r="H426" s="12"/>
      <c r="K426" s="12"/>
      <c r="M426" s="12"/>
      <c r="R426" s="218"/>
      <c r="S426" s="218"/>
      <c r="T426" s="218"/>
      <c r="U426" s="218"/>
    </row>
    <row r="427">
      <c r="D427" s="3"/>
      <c r="E427" s="112"/>
      <c r="F427" s="3"/>
      <c r="G427" s="12"/>
      <c r="H427" s="12"/>
      <c r="K427" s="12"/>
      <c r="M427" s="12"/>
      <c r="R427" s="218"/>
      <c r="S427" s="218"/>
      <c r="T427" s="218"/>
      <c r="U427" s="218"/>
    </row>
    <row r="428">
      <c r="D428" s="3"/>
      <c r="E428" s="112"/>
      <c r="F428" s="3"/>
      <c r="G428" s="12"/>
      <c r="H428" s="12"/>
      <c r="K428" s="12"/>
      <c r="M428" s="12"/>
      <c r="R428" s="218"/>
      <c r="S428" s="218"/>
      <c r="T428" s="218"/>
      <c r="U428" s="218"/>
    </row>
    <row r="429">
      <c r="D429" s="3"/>
      <c r="E429" s="112"/>
      <c r="F429" s="3"/>
      <c r="G429" s="12"/>
      <c r="H429" s="12"/>
      <c r="K429" s="12"/>
      <c r="M429" s="12"/>
      <c r="R429" s="218"/>
      <c r="S429" s="218"/>
      <c r="T429" s="218"/>
      <c r="U429" s="218"/>
    </row>
    <row r="430">
      <c r="D430" s="3"/>
      <c r="E430" s="112"/>
      <c r="F430" s="3"/>
      <c r="G430" s="12"/>
      <c r="H430" s="12"/>
      <c r="K430" s="12"/>
      <c r="M430" s="12"/>
      <c r="R430" s="218"/>
      <c r="S430" s="218"/>
      <c r="T430" s="218"/>
      <c r="U430" s="218"/>
    </row>
    <row r="431">
      <c r="D431" s="3"/>
      <c r="E431" s="112"/>
      <c r="F431" s="3"/>
      <c r="G431" s="12"/>
      <c r="H431" s="12"/>
      <c r="K431" s="12"/>
      <c r="M431" s="12"/>
      <c r="R431" s="218"/>
      <c r="S431" s="218"/>
      <c r="T431" s="218"/>
      <c r="U431" s="218"/>
    </row>
    <row r="432">
      <c r="D432" s="3"/>
      <c r="E432" s="112"/>
      <c r="F432" s="3"/>
      <c r="G432" s="12"/>
      <c r="H432" s="12"/>
      <c r="K432" s="12"/>
      <c r="M432" s="12"/>
      <c r="R432" s="218"/>
      <c r="S432" s="218"/>
      <c r="T432" s="218"/>
      <c r="U432" s="218"/>
    </row>
    <row r="433">
      <c r="D433" s="3"/>
      <c r="E433" s="112"/>
      <c r="F433" s="3"/>
      <c r="G433" s="12"/>
      <c r="H433" s="12"/>
      <c r="K433" s="12"/>
      <c r="M433" s="12"/>
      <c r="R433" s="218"/>
      <c r="S433" s="218"/>
      <c r="T433" s="218"/>
      <c r="U433" s="218"/>
    </row>
    <row r="434">
      <c r="D434" s="3"/>
      <c r="E434" s="112"/>
      <c r="F434" s="3"/>
      <c r="G434" s="12"/>
      <c r="H434" s="12"/>
      <c r="K434" s="12"/>
      <c r="M434" s="12"/>
      <c r="R434" s="218"/>
      <c r="S434" s="218"/>
      <c r="T434" s="218"/>
      <c r="U434" s="218"/>
    </row>
    <row r="435">
      <c r="D435" s="3"/>
      <c r="E435" s="112"/>
      <c r="F435" s="3"/>
      <c r="G435" s="12"/>
      <c r="H435" s="12"/>
      <c r="K435" s="12"/>
      <c r="M435" s="12"/>
      <c r="R435" s="218"/>
      <c r="S435" s="218"/>
      <c r="T435" s="218"/>
      <c r="U435" s="218"/>
    </row>
    <row r="436">
      <c r="D436" s="3"/>
      <c r="E436" s="112"/>
      <c r="F436" s="3"/>
      <c r="G436" s="12"/>
      <c r="H436" s="12"/>
      <c r="K436" s="12"/>
      <c r="M436" s="12"/>
      <c r="R436" s="218"/>
      <c r="S436" s="218"/>
      <c r="T436" s="218"/>
      <c r="U436" s="218"/>
    </row>
    <row r="437">
      <c r="D437" s="3"/>
      <c r="E437" s="112"/>
      <c r="F437" s="3"/>
      <c r="G437" s="12"/>
      <c r="H437" s="12"/>
      <c r="K437" s="12"/>
      <c r="M437" s="12"/>
      <c r="R437" s="218"/>
      <c r="S437" s="218"/>
      <c r="T437" s="218"/>
      <c r="U437" s="218"/>
    </row>
    <row r="438">
      <c r="D438" s="3"/>
      <c r="E438" s="112"/>
      <c r="F438" s="3"/>
      <c r="G438" s="12"/>
      <c r="H438" s="12"/>
      <c r="K438" s="12"/>
      <c r="M438" s="12"/>
      <c r="R438" s="218"/>
      <c r="S438" s="218"/>
      <c r="T438" s="218"/>
      <c r="U438" s="218"/>
    </row>
    <row r="439">
      <c r="D439" s="3"/>
      <c r="E439" s="112"/>
      <c r="F439" s="3"/>
      <c r="G439" s="12"/>
      <c r="H439" s="12"/>
      <c r="K439" s="12"/>
      <c r="M439" s="12"/>
      <c r="R439" s="218"/>
      <c r="S439" s="218"/>
      <c r="T439" s="218"/>
      <c r="U439" s="218"/>
    </row>
    <row r="440">
      <c r="D440" s="3"/>
      <c r="E440" s="112"/>
      <c r="F440" s="3"/>
      <c r="G440" s="12"/>
      <c r="H440" s="12"/>
      <c r="K440" s="12"/>
      <c r="M440" s="12"/>
      <c r="R440" s="218"/>
      <c r="S440" s="218"/>
      <c r="T440" s="218"/>
      <c r="U440" s="218"/>
    </row>
    <row r="441">
      <c r="D441" s="3"/>
      <c r="E441" s="112"/>
      <c r="F441" s="3"/>
      <c r="G441" s="12"/>
      <c r="H441" s="12"/>
      <c r="K441" s="12"/>
      <c r="M441" s="12"/>
      <c r="R441" s="218"/>
      <c r="S441" s="218"/>
      <c r="T441" s="218"/>
      <c r="U441" s="218"/>
    </row>
    <row r="442">
      <c r="D442" s="3"/>
      <c r="E442" s="112"/>
      <c r="F442" s="3"/>
      <c r="G442" s="12"/>
      <c r="H442" s="12"/>
      <c r="K442" s="12"/>
      <c r="M442" s="12"/>
      <c r="R442" s="218"/>
      <c r="S442" s="218"/>
      <c r="T442" s="218"/>
      <c r="U442" s="218"/>
    </row>
    <row r="443">
      <c r="D443" s="3"/>
      <c r="E443" s="112"/>
      <c r="F443" s="3"/>
      <c r="G443" s="12"/>
      <c r="H443" s="12"/>
      <c r="K443" s="12"/>
      <c r="M443" s="12"/>
      <c r="R443" s="218"/>
      <c r="S443" s="218"/>
      <c r="T443" s="218"/>
      <c r="U443" s="218"/>
    </row>
    <row r="444">
      <c r="D444" s="3"/>
      <c r="E444" s="112"/>
      <c r="F444" s="3"/>
      <c r="G444" s="12"/>
      <c r="H444" s="12"/>
      <c r="K444" s="12"/>
      <c r="M444" s="12"/>
      <c r="R444" s="218"/>
      <c r="S444" s="218"/>
      <c r="T444" s="218"/>
      <c r="U444" s="218"/>
    </row>
    <row r="445">
      <c r="D445" s="3"/>
      <c r="E445" s="112"/>
      <c r="F445" s="3"/>
      <c r="G445" s="12"/>
      <c r="H445" s="12"/>
      <c r="K445" s="12"/>
      <c r="M445" s="12"/>
      <c r="R445" s="218"/>
      <c r="S445" s="218"/>
      <c r="T445" s="218"/>
      <c r="U445" s="218"/>
    </row>
    <row r="446">
      <c r="D446" s="3"/>
      <c r="E446" s="112"/>
      <c r="F446" s="3"/>
      <c r="G446" s="12"/>
      <c r="H446" s="12"/>
      <c r="K446" s="12"/>
      <c r="M446" s="12"/>
      <c r="R446" s="218"/>
      <c r="S446" s="218"/>
      <c r="T446" s="218"/>
      <c r="U446" s="218"/>
    </row>
    <row r="447">
      <c r="D447" s="3"/>
      <c r="E447" s="112"/>
      <c r="F447" s="3"/>
      <c r="G447" s="12"/>
      <c r="H447" s="12"/>
      <c r="K447" s="12"/>
      <c r="M447" s="12"/>
      <c r="R447" s="218"/>
      <c r="S447" s="218"/>
      <c r="T447" s="218"/>
      <c r="U447" s="218"/>
    </row>
    <row r="448">
      <c r="D448" s="3"/>
      <c r="E448" s="112"/>
      <c r="F448" s="3"/>
      <c r="G448" s="12"/>
      <c r="H448" s="12"/>
      <c r="K448" s="12"/>
      <c r="M448" s="12"/>
      <c r="R448" s="218"/>
      <c r="S448" s="218"/>
      <c r="T448" s="218"/>
      <c r="U448" s="218"/>
    </row>
    <row r="449">
      <c r="D449" s="3"/>
      <c r="E449" s="112"/>
      <c r="F449" s="3"/>
      <c r="G449" s="12"/>
      <c r="H449" s="12"/>
      <c r="K449" s="12"/>
      <c r="M449" s="12"/>
      <c r="R449" s="218"/>
      <c r="S449" s="218"/>
      <c r="T449" s="218"/>
      <c r="U449" s="218"/>
    </row>
    <row r="450">
      <c r="D450" s="3"/>
      <c r="E450" s="112"/>
      <c r="F450" s="3"/>
      <c r="G450" s="12"/>
      <c r="H450" s="12"/>
      <c r="K450" s="12"/>
      <c r="M450" s="12"/>
      <c r="R450" s="218"/>
      <c r="S450" s="218"/>
      <c r="T450" s="218"/>
      <c r="U450" s="218"/>
    </row>
    <row r="451">
      <c r="D451" s="3"/>
      <c r="E451" s="112"/>
      <c r="F451" s="3"/>
      <c r="G451" s="12"/>
      <c r="H451" s="12"/>
      <c r="K451" s="12"/>
      <c r="M451" s="12"/>
      <c r="R451" s="218"/>
      <c r="S451" s="218"/>
      <c r="T451" s="218"/>
      <c r="U451" s="218"/>
    </row>
    <row r="452">
      <c r="D452" s="3"/>
      <c r="E452" s="112"/>
      <c r="F452" s="3"/>
      <c r="G452" s="12"/>
      <c r="H452" s="12"/>
      <c r="K452" s="12"/>
      <c r="M452" s="12"/>
      <c r="R452" s="218"/>
      <c r="S452" s="218"/>
      <c r="T452" s="218"/>
      <c r="U452" s="218"/>
    </row>
    <row r="453">
      <c r="D453" s="3"/>
      <c r="E453" s="112"/>
      <c r="F453" s="3"/>
      <c r="G453" s="12"/>
      <c r="H453" s="12"/>
      <c r="K453" s="12"/>
      <c r="M453" s="12"/>
      <c r="R453" s="218"/>
      <c r="S453" s="218"/>
      <c r="T453" s="218"/>
      <c r="U453" s="218"/>
    </row>
    <row r="454">
      <c r="D454" s="3"/>
      <c r="E454" s="112"/>
      <c r="F454" s="3"/>
      <c r="G454" s="12"/>
      <c r="H454" s="12"/>
      <c r="K454" s="12"/>
      <c r="M454" s="12"/>
      <c r="R454" s="218"/>
      <c r="S454" s="218"/>
      <c r="T454" s="218"/>
      <c r="U454" s="218"/>
    </row>
    <row r="455">
      <c r="D455" s="3"/>
      <c r="E455" s="112"/>
      <c r="F455" s="3"/>
      <c r="G455" s="12"/>
      <c r="H455" s="12"/>
      <c r="K455" s="12"/>
      <c r="M455" s="12"/>
      <c r="R455" s="218"/>
      <c r="S455" s="218"/>
      <c r="T455" s="218"/>
      <c r="U455" s="218"/>
    </row>
    <row r="456">
      <c r="D456" s="3"/>
      <c r="E456" s="112"/>
      <c r="F456" s="3"/>
      <c r="G456" s="12"/>
      <c r="H456" s="12"/>
      <c r="K456" s="12"/>
      <c r="M456" s="12"/>
      <c r="R456" s="218"/>
      <c r="S456" s="218"/>
      <c r="T456" s="218"/>
      <c r="U456" s="218"/>
    </row>
    <row r="457">
      <c r="D457" s="3"/>
      <c r="E457" s="112"/>
      <c r="F457" s="3"/>
      <c r="G457" s="12"/>
      <c r="H457" s="12"/>
      <c r="K457" s="12"/>
      <c r="M457" s="12"/>
      <c r="R457" s="218"/>
      <c r="S457" s="218"/>
      <c r="T457" s="218"/>
      <c r="U457" s="218"/>
    </row>
    <row r="458">
      <c r="D458" s="3"/>
      <c r="E458" s="112"/>
      <c r="F458" s="3"/>
      <c r="G458" s="12"/>
      <c r="H458" s="12"/>
      <c r="K458" s="12"/>
      <c r="M458" s="12"/>
      <c r="R458" s="218"/>
      <c r="S458" s="218"/>
      <c r="T458" s="218"/>
      <c r="U458" s="218"/>
    </row>
    <row r="459">
      <c r="D459" s="3"/>
      <c r="E459" s="112"/>
      <c r="F459" s="3"/>
      <c r="G459" s="12"/>
      <c r="H459" s="12"/>
      <c r="K459" s="12"/>
      <c r="M459" s="12"/>
      <c r="R459" s="218"/>
      <c r="S459" s="218"/>
      <c r="T459" s="218"/>
      <c r="U459" s="218"/>
    </row>
    <row r="460">
      <c r="D460" s="3"/>
      <c r="E460" s="112"/>
      <c r="F460" s="3"/>
      <c r="G460" s="12"/>
      <c r="H460" s="12"/>
      <c r="K460" s="12"/>
      <c r="M460" s="12"/>
      <c r="R460" s="218"/>
      <c r="S460" s="218"/>
      <c r="T460" s="218"/>
      <c r="U460" s="218"/>
    </row>
    <row r="461">
      <c r="D461" s="3"/>
      <c r="E461" s="112"/>
      <c r="F461" s="3"/>
      <c r="G461" s="12"/>
      <c r="H461" s="12"/>
      <c r="K461" s="12"/>
      <c r="M461" s="12"/>
      <c r="R461" s="218"/>
      <c r="S461" s="218"/>
      <c r="T461" s="218"/>
      <c r="U461" s="218"/>
    </row>
    <row r="462">
      <c r="D462" s="3"/>
      <c r="E462" s="112"/>
      <c r="F462" s="3"/>
      <c r="G462" s="12"/>
      <c r="H462" s="12"/>
      <c r="K462" s="12"/>
      <c r="M462" s="12"/>
      <c r="R462" s="218"/>
      <c r="S462" s="218"/>
      <c r="T462" s="218"/>
      <c r="U462" s="218"/>
    </row>
    <row r="463">
      <c r="D463" s="3"/>
      <c r="E463" s="112"/>
      <c r="F463" s="3"/>
      <c r="G463" s="12"/>
      <c r="H463" s="12"/>
      <c r="K463" s="12"/>
      <c r="M463" s="12"/>
      <c r="R463" s="218"/>
      <c r="S463" s="218"/>
      <c r="T463" s="218"/>
      <c r="U463" s="218"/>
    </row>
    <row r="464">
      <c r="D464" s="3"/>
      <c r="E464" s="112"/>
      <c r="F464" s="3"/>
      <c r="G464" s="12"/>
      <c r="H464" s="12"/>
      <c r="K464" s="12"/>
      <c r="M464" s="12"/>
      <c r="R464" s="218"/>
      <c r="S464" s="218"/>
      <c r="T464" s="218"/>
      <c r="U464" s="218"/>
    </row>
    <row r="465">
      <c r="D465" s="3"/>
      <c r="E465" s="112"/>
      <c r="F465" s="3"/>
      <c r="G465" s="12"/>
      <c r="H465" s="12"/>
      <c r="K465" s="12"/>
      <c r="M465" s="12"/>
      <c r="R465" s="218"/>
      <c r="S465" s="218"/>
      <c r="T465" s="218"/>
      <c r="U465" s="218"/>
    </row>
    <row r="466">
      <c r="D466" s="3"/>
      <c r="E466" s="112"/>
      <c r="F466" s="3"/>
      <c r="G466" s="12"/>
      <c r="H466" s="12"/>
      <c r="K466" s="12"/>
      <c r="M466" s="12"/>
      <c r="R466" s="218"/>
      <c r="S466" s="218"/>
      <c r="T466" s="218"/>
      <c r="U466" s="218"/>
    </row>
    <row r="467">
      <c r="D467" s="3"/>
      <c r="E467" s="112"/>
      <c r="F467" s="3"/>
      <c r="G467" s="12"/>
      <c r="H467" s="12"/>
      <c r="K467" s="12"/>
      <c r="M467" s="12"/>
      <c r="R467" s="218"/>
      <c r="S467" s="218"/>
      <c r="T467" s="218"/>
      <c r="U467" s="218"/>
    </row>
    <row r="468">
      <c r="D468" s="3"/>
      <c r="E468" s="112"/>
      <c r="F468" s="3"/>
      <c r="G468" s="12"/>
      <c r="H468" s="12"/>
      <c r="K468" s="12"/>
      <c r="M468" s="12"/>
      <c r="R468" s="218"/>
      <c r="S468" s="218"/>
      <c r="T468" s="218"/>
      <c r="U468" s="218"/>
    </row>
    <row r="469">
      <c r="D469" s="3"/>
      <c r="E469" s="112"/>
      <c r="F469" s="3"/>
      <c r="G469" s="12"/>
      <c r="H469" s="12"/>
      <c r="K469" s="12"/>
      <c r="M469" s="12"/>
      <c r="R469" s="218"/>
      <c r="S469" s="218"/>
      <c r="T469" s="218"/>
      <c r="U469" s="218"/>
    </row>
    <row r="470">
      <c r="D470" s="3"/>
      <c r="E470" s="112"/>
      <c r="F470" s="3"/>
      <c r="G470" s="12"/>
      <c r="H470" s="12"/>
      <c r="K470" s="12"/>
      <c r="M470" s="12"/>
      <c r="R470" s="218"/>
      <c r="S470" s="218"/>
      <c r="T470" s="218"/>
      <c r="U470" s="218"/>
    </row>
    <row r="471">
      <c r="D471" s="3"/>
      <c r="E471" s="112"/>
      <c r="F471" s="3"/>
      <c r="G471" s="12"/>
      <c r="H471" s="12"/>
      <c r="K471" s="12"/>
      <c r="M471" s="12"/>
      <c r="R471" s="218"/>
      <c r="S471" s="218"/>
      <c r="T471" s="218"/>
      <c r="U471" s="218"/>
    </row>
    <row r="472">
      <c r="D472" s="3"/>
      <c r="E472" s="112"/>
      <c r="F472" s="3"/>
      <c r="G472" s="12"/>
      <c r="H472" s="12"/>
      <c r="K472" s="12"/>
      <c r="M472" s="12"/>
      <c r="R472" s="218"/>
      <c r="S472" s="218"/>
      <c r="T472" s="218"/>
      <c r="U472" s="218"/>
    </row>
    <row r="473">
      <c r="D473" s="3"/>
      <c r="E473" s="112"/>
      <c r="F473" s="3"/>
      <c r="G473" s="12"/>
      <c r="H473" s="12"/>
      <c r="K473" s="12"/>
      <c r="M473" s="12"/>
      <c r="R473" s="218"/>
      <c r="S473" s="218"/>
      <c r="T473" s="218"/>
      <c r="U473" s="218"/>
    </row>
    <row r="474">
      <c r="D474" s="3"/>
      <c r="E474" s="112"/>
      <c r="F474" s="3"/>
      <c r="G474" s="12"/>
      <c r="H474" s="12"/>
      <c r="K474" s="12"/>
      <c r="M474" s="12"/>
      <c r="R474" s="218"/>
      <c r="S474" s="218"/>
      <c r="T474" s="218"/>
      <c r="U474" s="218"/>
    </row>
    <row r="475">
      <c r="D475" s="3"/>
      <c r="E475" s="112"/>
      <c r="F475" s="3"/>
      <c r="G475" s="12"/>
      <c r="H475" s="12"/>
      <c r="K475" s="12"/>
      <c r="M475" s="12"/>
      <c r="R475" s="218"/>
      <c r="S475" s="218"/>
      <c r="T475" s="218"/>
      <c r="U475" s="218"/>
    </row>
    <row r="476">
      <c r="D476" s="3"/>
      <c r="E476" s="112"/>
      <c r="F476" s="3"/>
      <c r="G476" s="12"/>
      <c r="H476" s="12"/>
      <c r="K476" s="12"/>
      <c r="M476" s="12"/>
      <c r="R476" s="218"/>
      <c r="S476" s="218"/>
      <c r="T476" s="218"/>
      <c r="U476" s="218"/>
    </row>
    <row r="477">
      <c r="D477" s="3"/>
      <c r="E477" s="112"/>
      <c r="F477" s="3"/>
      <c r="G477" s="12"/>
      <c r="H477" s="12"/>
      <c r="K477" s="12"/>
      <c r="M477" s="12"/>
      <c r="R477" s="218"/>
      <c r="S477" s="218"/>
      <c r="T477" s="218"/>
      <c r="U477" s="218"/>
    </row>
    <row r="478">
      <c r="D478" s="3"/>
      <c r="E478" s="112"/>
      <c r="F478" s="3"/>
      <c r="G478" s="12"/>
      <c r="H478" s="12"/>
      <c r="K478" s="12"/>
      <c r="M478" s="12"/>
      <c r="R478" s="218"/>
      <c r="S478" s="218"/>
      <c r="T478" s="218"/>
      <c r="U478" s="218"/>
    </row>
    <row r="479">
      <c r="D479" s="3"/>
      <c r="E479" s="112"/>
      <c r="F479" s="3"/>
      <c r="G479" s="12"/>
      <c r="H479" s="12"/>
      <c r="K479" s="12"/>
      <c r="M479" s="12"/>
      <c r="R479" s="218"/>
      <c r="S479" s="218"/>
      <c r="T479" s="218"/>
      <c r="U479" s="218"/>
    </row>
    <row r="480">
      <c r="D480" s="3"/>
      <c r="E480" s="112"/>
      <c r="F480" s="3"/>
      <c r="G480" s="12"/>
      <c r="H480" s="12"/>
      <c r="K480" s="12"/>
      <c r="M480" s="12"/>
      <c r="R480" s="218"/>
      <c r="S480" s="218"/>
      <c r="T480" s="218"/>
      <c r="U480" s="218"/>
    </row>
    <row r="481">
      <c r="D481" s="3"/>
      <c r="E481" s="112"/>
      <c r="F481" s="3"/>
      <c r="G481" s="12"/>
      <c r="H481" s="12"/>
      <c r="K481" s="12"/>
      <c r="M481" s="12"/>
      <c r="R481" s="218"/>
      <c r="S481" s="218"/>
      <c r="T481" s="218"/>
      <c r="U481" s="218"/>
    </row>
    <row r="482">
      <c r="D482" s="3"/>
      <c r="E482" s="112"/>
      <c r="F482" s="3"/>
      <c r="G482" s="12"/>
      <c r="H482" s="12"/>
      <c r="K482" s="12"/>
      <c r="M482" s="12"/>
      <c r="R482" s="218"/>
      <c r="S482" s="218"/>
      <c r="T482" s="218"/>
      <c r="U482" s="218"/>
    </row>
    <row r="483">
      <c r="D483" s="3"/>
      <c r="E483" s="112"/>
      <c r="F483" s="3"/>
      <c r="G483" s="12"/>
      <c r="H483" s="12"/>
      <c r="K483" s="12"/>
      <c r="M483" s="12"/>
      <c r="R483" s="218"/>
      <c r="S483" s="218"/>
      <c r="T483" s="218"/>
      <c r="U483" s="218"/>
    </row>
    <row r="484">
      <c r="D484" s="3"/>
      <c r="E484" s="112"/>
      <c r="F484" s="3"/>
      <c r="G484" s="12"/>
      <c r="H484" s="12"/>
      <c r="K484" s="12"/>
      <c r="M484" s="12"/>
      <c r="R484" s="218"/>
      <c r="S484" s="218"/>
      <c r="T484" s="218"/>
      <c r="U484" s="218"/>
    </row>
    <row r="485">
      <c r="D485" s="3"/>
      <c r="E485" s="112"/>
      <c r="F485" s="3"/>
      <c r="G485" s="12"/>
      <c r="H485" s="12"/>
      <c r="K485" s="12"/>
      <c r="M485" s="12"/>
      <c r="R485" s="218"/>
      <c r="S485" s="218"/>
      <c r="T485" s="218"/>
      <c r="U485" s="218"/>
    </row>
    <row r="486">
      <c r="D486" s="3"/>
      <c r="E486" s="112"/>
      <c r="F486" s="3"/>
      <c r="G486" s="12"/>
      <c r="H486" s="12"/>
      <c r="K486" s="12"/>
      <c r="M486" s="12"/>
      <c r="R486" s="218"/>
      <c r="S486" s="218"/>
      <c r="T486" s="218"/>
      <c r="U486" s="218"/>
    </row>
    <row r="487">
      <c r="D487" s="3"/>
      <c r="E487" s="112"/>
      <c r="F487" s="3"/>
      <c r="G487" s="12"/>
      <c r="H487" s="12"/>
      <c r="K487" s="12"/>
      <c r="M487" s="12"/>
      <c r="R487" s="218"/>
      <c r="S487" s="218"/>
      <c r="T487" s="218"/>
      <c r="U487" s="218"/>
    </row>
    <row r="488">
      <c r="D488" s="3"/>
      <c r="E488" s="112"/>
      <c r="F488" s="3"/>
      <c r="G488" s="12"/>
      <c r="H488" s="12"/>
      <c r="K488" s="12"/>
      <c r="M488" s="12"/>
      <c r="R488" s="218"/>
      <c r="S488" s="218"/>
      <c r="T488" s="218"/>
      <c r="U488" s="218"/>
    </row>
    <row r="489">
      <c r="D489" s="3"/>
      <c r="E489" s="112"/>
      <c r="F489" s="3"/>
      <c r="G489" s="12"/>
      <c r="H489" s="12"/>
      <c r="K489" s="12"/>
      <c r="M489" s="12"/>
      <c r="R489" s="218"/>
      <c r="S489" s="218"/>
      <c r="T489" s="218"/>
      <c r="U489" s="218"/>
    </row>
    <row r="490">
      <c r="D490" s="3"/>
      <c r="E490" s="112"/>
      <c r="F490" s="3"/>
      <c r="G490" s="12"/>
      <c r="H490" s="12"/>
      <c r="K490" s="12"/>
      <c r="M490" s="12"/>
      <c r="R490" s="218"/>
      <c r="S490" s="218"/>
      <c r="T490" s="218"/>
      <c r="U490" s="218"/>
    </row>
    <row r="491">
      <c r="D491" s="3"/>
      <c r="E491" s="112"/>
      <c r="F491" s="3"/>
      <c r="G491" s="12"/>
      <c r="H491" s="12"/>
      <c r="K491" s="12"/>
      <c r="M491" s="12"/>
      <c r="R491" s="218"/>
      <c r="S491" s="218"/>
      <c r="T491" s="218"/>
      <c r="U491" s="218"/>
    </row>
    <row r="492">
      <c r="D492" s="3"/>
      <c r="E492" s="112"/>
      <c r="F492" s="3"/>
      <c r="G492" s="12"/>
      <c r="H492" s="12"/>
      <c r="K492" s="12"/>
      <c r="M492" s="12"/>
      <c r="R492" s="218"/>
      <c r="S492" s="218"/>
      <c r="T492" s="218"/>
      <c r="U492" s="218"/>
    </row>
    <row r="493">
      <c r="D493" s="3"/>
      <c r="E493" s="112"/>
      <c r="F493" s="3"/>
      <c r="G493" s="12"/>
      <c r="H493" s="12"/>
      <c r="K493" s="12"/>
      <c r="M493" s="12"/>
      <c r="R493" s="218"/>
      <c r="S493" s="218"/>
      <c r="T493" s="218"/>
      <c r="U493" s="218"/>
    </row>
    <row r="494">
      <c r="D494" s="3"/>
      <c r="E494" s="112"/>
      <c r="F494" s="3"/>
      <c r="G494" s="12"/>
      <c r="H494" s="12"/>
      <c r="K494" s="12"/>
      <c r="M494" s="12"/>
      <c r="R494" s="218"/>
      <c r="S494" s="218"/>
      <c r="T494" s="218"/>
      <c r="U494" s="218"/>
    </row>
    <row r="495">
      <c r="D495" s="3"/>
      <c r="E495" s="112"/>
      <c r="F495" s="3"/>
      <c r="G495" s="12"/>
      <c r="H495" s="12"/>
      <c r="K495" s="12"/>
      <c r="M495" s="12"/>
      <c r="R495" s="218"/>
      <c r="S495" s="218"/>
      <c r="T495" s="218"/>
      <c r="U495" s="218"/>
    </row>
    <row r="496">
      <c r="D496" s="3"/>
      <c r="E496" s="112"/>
      <c r="F496" s="3"/>
      <c r="G496" s="12"/>
      <c r="H496" s="12"/>
      <c r="K496" s="12"/>
      <c r="M496" s="12"/>
      <c r="R496" s="218"/>
      <c r="S496" s="218"/>
      <c r="T496" s="218"/>
      <c r="U496" s="218"/>
    </row>
    <row r="497">
      <c r="D497" s="3"/>
      <c r="E497" s="112"/>
      <c r="F497" s="3"/>
      <c r="G497" s="12"/>
      <c r="H497" s="12"/>
      <c r="K497" s="12"/>
      <c r="M497" s="12"/>
      <c r="R497" s="218"/>
      <c r="S497" s="218"/>
      <c r="T497" s="218"/>
      <c r="U497" s="218"/>
    </row>
    <row r="498">
      <c r="D498" s="3"/>
      <c r="E498" s="112"/>
      <c r="F498" s="3"/>
      <c r="G498" s="12"/>
      <c r="H498" s="12"/>
      <c r="K498" s="12"/>
      <c r="M498" s="12"/>
      <c r="R498" s="218"/>
      <c r="S498" s="218"/>
      <c r="T498" s="218"/>
      <c r="U498" s="218"/>
    </row>
    <row r="499">
      <c r="D499" s="3"/>
      <c r="E499" s="112"/>
      <c r="F499" s="3"/>
      <c r="G499" s="12"/>
      <c r="H499" s="12"/>
      <c r="K499" s="12"/>
      <c r="M499" s="12"/>
      <c r="R499" s="218"/>
      <c r="S499" s="218"/>
      <c r="T499" s="218"/>
      <c r="U499" s="218"/>
    </row>
    <row r="500">
      <c r="D500" s="3"/>
      <c r="E500" s="112"/>
      <c r="F500" s="3"/>
      <c r="G500" s="12"/>
      <c r="H500" s="12"/>
      <c r="K500" s="12"/>
      <c r="M500" s="12"/>
      <c r="R500" s="218"/>
      <c r="S500" s="218"/>
      <c r="T500" s="218"/>
      <c r="U500" s="218"/>
    </row>
    <row r="501">
      <c r="D501" s="3"/>
      <c r="E501" s="112"/>
      <c r="F501" s="3"/>
      <c r="G501" s="12"/>
      <c r="H501" s="12"/>
      <c r="K501" s="12"/>
      <c r="M501" s="12"/>
      <c r="R501" s="218"/>
      <c r="S501" s="218"/>
      <c r="T501" s="218"/>
      <c r="U501" s="218"/>
    </row>
    <row r="502">
      <c r="D502" s="3"/>
      <c r="E502" s="112"/>
      <c r="F502" s="3"/>
      <c r="G502" s="12"/>
      <c r="H502" s="12"/>
      <c r="K502" s="12"/>
      <c r="M502" s="12"/>
      <c r="R502" s="218"/>
      <c r="S502" s="218"/>
      <c r="T502" s="218"/>
      <c r="U502" s="218"/>
    </row>
    <row r="503">
      <c r="D503" s="3"/>
      <c r="E503" s="112"/>
      <c r="F503" s="3"/>
      <c r="G503" s="12"/>
      <c r="H503" s="12"/>
      <c r="K503" s="12"/>
      <c r="M503" s="12"/>
      <c r="R503" s="218"/>
      <c r="S503" s="218"/>
      <c r="T503" s="218"/>
      <c r="U503" s="218"/>
    </row>
    <row r="504">
      <c r="D504" s="3"/>
      <c r="E504" s="112"/>
      <c r="F504" s="3"/>
      <c r="G504" s="12"/>
      <c r="H504" s="12"/>
      <c r="K504" s="12"/>
      <c r="M504" s="12"/>
      <c r="R504" s="218"/>
      <c r="S504" s="218"/>
      <c r="T504" s="218"/>
      <c r="U504" s="218"/>
    </row>
    <row r="505">
      <c r="D505" s="3"/>
      <c r="E505" s="112"/>
      <c r="F505" s="3"/>
      <c r="G505" s="12"/>
      <c r="H505" s="12"/>
      <c r="K505" s="12"/>
      <c r="M505" s="12"/>
      <c r="R505" s="218"/>
      <c r="S505" s="218"/>
      <c r="T505" s="218"/>
      <c r="U505" s="218"/>
    </row>
    <row r="506">
      <c r="D506" s="3"/>
      <c r="E506" s="112"/>
      <c r="F506" s="3"/>
      <c r="G506" s="12"/>
      <c r="H506" s="12"/>
      <c r="K506" s="12"/>
      <c r="M506" s="12"/>
      <c r="R506" s="218"/>
      <c r="S506" s="218"/>
      <c r="T506" s="218"/>
      <c r="U506" s="218"/>
    </row>
    <row r="507">
      <c r="D507" s="3"/>
      <c r="E507" s="112"/>
      <c r="F507" s="3"/>
      <c r="G507" s="12"/>
      <c r="H507" s="12"/>
      <c r="K507" s="12"/>
      <c r="M507" s="12"/>
      <c r="R507" s="218"/>
      <c r="S507" s="218"/>
      <c r="T507" s="218"/>
      <c r="U507" s="218"/>
    </row>
    <row r="508">
      <c r="D508" s="3"/>
      <c r="E508" s="112"/>
      <c r="F508" s="3"/>
      <c r="G508" s="12"/>
      <c r="H508" s="12"/>
      <c r="K508" s="12"/>
      <c r="M508" s="12"/>
      <c r="R508" s="218"/>
      <c r="S508" s="218"/>
      <c r="T508" s="218"/>
      <c r="U508" s="218"/>
    </row>
    <row r="509">
      <c r="D509" s="3"/>
      <c r="E509" s="112"/>
      <c r="F509" s="3"/>
      <c r="G509" s="12"/>
      <c r="H509" s="12"/>
      <c r="K509" s="12"/>
      <c r="M509" s="12"/>
      <c r="R509" s="218"/>
      <c r="S509" s="218"/>
      <c r="T509" s="218"/>
      <c r="U509" s="218"/>
    </row>
    <row r="510">
      <c r="D510" s="3"/>
      <c r="E510" s="112"/>
      <c r="F510" s="3"/>
      <c r="G510" s="12"/>
      <c r="H510" s="12"/>
      <c r="K510" s="12"/>
      <c r="M510" s="12"/>
      <c r="R510" s="218"/>
      <c r="S510" s="218"/>
      <c r="T510" s="218"/>
      <c r="U510" s="218"/>
    </row>
    <row r="511">
      <c r="D511" s="3"/>
      <c r="E511" s="112"/>
      <c r="F511" s="3"/>
      <c r="G511" s="12"/>
      <c r="H511" s="12"/>
      <c r="K511" s="12"/>
      <c r="M511" s="12"/>
      <c r="R511" s="218"/>
      <c r="S511" s="218"/>
      <c r="T511" s="218"/>
      <c r="U511" s="218"/>
    </row>
    <row r="512">
      <c r="D512" s="3"/>
      <c r="E512" s="112"/>
      <c r="F512" s="3"/>
      <c r="G512" s="12"/>
      <c r="H512" s="12"/>
      <c r="K512" s="12"/>
      <c r="M512" s="12"/>
      <c r="R512" s="218"/>
      <c r="S512" s="218"/>
      <c r="T512" s="218"/>
      <c r="U512" s="218"/>
    </row>
    <row r="513">
      <c r="D513" s="3"/>
      <c r="E513" s="112"/>
      <c r="F513" s="3"/>
      <c r="G513" s="12"/>
      <c r="H513" s="12"/>
      <c r="K513" s="12"/>
      <c r="M513" s="12"/>
      <c r="R513" s="218"/>
      <c r="S513" s="218"/>
      <c r="T513" s="218"/>
      <c r="U513" s="218"/>
    </row>
    <row r="514">
      <c r="D514" s="3"/>
      <c r="E514" s="112"/>
      <c r="F514" s="3"/>
      <c r="G514" s="12"/>
      <c r="H514" s="12"/>
      <c r="K514" s="12"/>
      <c r="M514" s="12"/>
      <c r="R514" s="218"/>
      <c r="S514" s="218"/>
      <c r="T514" s="218"/>
      <c r="U514" s="218"/>
    </row>
    <row r="515">
      <c r="D515" s="3"/>
      <c r="E515" s="112"/>
      <c r="F515" s="3"/>
      <c r="G515" s="12"/>
      <c r="H515" s="12"/>
      <c r="K515" s="12"/>
      <c r="M515" s="12"/>
      <c r="R515" s="218"/>
      <c r="S515" s="218"/>
      <c r="T515" s="218"/>
      <c r="U515" s="218"/>
    </row>
    <row r="516">
      <c r="D516" s="3"/>
      <c r="E516" s="112"/>
      <c r="F516" s="3"/>
      <c r="G516" s="12"/>
      <c r="H516" s="12"/>
      <c r="K516" s="12"/>
      <c r="M516" s="12"/>
      <c r="R516" s="218"/>
      <c r="S516" s="218"/>
      <c r="T516" s="218"/>
      <c r="U516" s="218"/>
    </row>
    <row r="517">
      <c r="D517" s="3"/>
      <c r="E517" s="112"/>
      <c r="F517" s="3"/>
      <c r="G517" s="12"/>
      <c r="H517" s="12"/>
      <c r="K517" s="12"/>
      <c r="M517" s="12"/>
      <c r="R517" s="218"/>
      <c r="S517" s="218"/>
      <c r="T517" s="218"/>
      <c r="U517" s="218"/>
    </row>
    <row r="518">
      <c r="D518" s="3"/>
      <c r="E518" s="112"/>
      <c r="F518" s="3"/>
      <c r="G518" s="12"/>
      <c r="H518" s="12"/>
      <c r="K518" s="12"/>
      <c r="M518" s="12"/>
      <c r="R518" s="218"/>
      <c r="S518" s="218"/>
      <c r="T518" s="218"/>
      <c r="U518" s="218"/>
    </row>
    <row r="519">
      <c r="D519" s="3"/>
      <c r="E519" s="112"/>
      <c r="F519" s="3"/>
      <c r="G519" s="12"/>
      <c r="H519" s="12"/>
      <c r="K519" s="12"/>
      <c r="M519" s="12"/>
      <c r="R519" s="218"/>
      <c r="S519" s="218"/>
      <c r="T519" s="218"/>
      <c r="U519" s="218"/>
    </row>
    <row r="520">
      <c r="D520" s="3"/>
      <c r="E520" s="112"/>
      <c r="F520" s="3"/>
      <c r="G520" s="12"/>
      <c r="H520" s="12"/>
      <c r="K520" s="12"/>
      <c r="M520" s="12"/>
      <c r="R520" s="218"/>
      <c r="S520" s="218"/>
      <c r="T520" s="218"/>
      <c r="U520" s="218"/>
    </row>
    <row r="521">
      <c r="D521" s="3"/>
      <c r="E521" s="112"/>
      <c r="F521" s="3"/>
      <c r="G521" s="12"/>
      <c r="H521" s="12"/>
      <c r="K521" s="12"/>
      <c r="M521" s="12"/>
      <c r="R521" s="218"/>
      <c r="S521" s="218"/>
      <c r="T521" s="218"/>
      <c r="U521" s="218"/>
    </row>
    <row r="522">
      <c r="D522" s="3"/>
      <c r="E522" s="112"/>
      <c r="F522" s="3"/>
      <c r="G522" s="12"/>
      <c r="H522" s="12"/>
      <c r="K522" s="12"/>
      <c r="M522" s="12"/>
      <c r="R522" s="218"/>
      <c r="S522" s="218"/>
      <c r="T522" s="218"/>
      <c r="U522" s="218"/>
    </row>
    <row r="523">
      <c r="D523" s="3"/>
      <c r="E523" s="112"/>
      <c r="F523" s="3"/>
      <c r="G523" s="12"/>
      <c r="H523" s="12"/>
      <c r="K523" s="12"/>
      <c r="M523" s="12"/>
      <c r="R523" s="218"/>
      <c r="S523" s="218"/>
      <c r="T523" s="218"/>
      <c r="U523" s="218"/>
    </row>
    <row r="524">
      <c r="D524" s="3"/>
      <c r="E524" s="112"/>
      <c r="F524" s="3"/>
      <c r="G524" s="12"/>
      <c r="H524" s="12"/>
      <c r="K524" s="12"/>
      <c r="M524" s="12"/>
      <c r="R524" s="218"/>
      <c r="S524" s="218"/>
      <c r="T524" s="218"/>
      <c r="U524" s="218"/>
    </row>
    <row r="525">
      <c r="D525" s="3"/>
      <c r="E525" s="112"/>
      <c r="F525" s="3"/>
      <c r="G525" s="12"/>
      <c r="H525" s="12"/>
      <c r="K525" s="12"/>
      <c r="M525" s="12"/>
      <c r="R525" s="218"/>
      <c r="S525" s="218"/>
      <c r="T525" s="218"/>
      <c r="U525" s="218"/>
    </row>
    <row r="526">
      <c r="D526" s="3"/>
      <c r="E526" s="112"/>
      <c r="F526" s="3"/>
      <c r="G526" s="12"/>
      <c r="H526" s="12"/>
      <c r="K526" s="12"/>
      <c r="M526" s="12"/>
      <c r="R526" s="218"/>
      <c r="S526" s="218"/>
      <c r="T526" s="218"/>
      <c r="U526" s="218"/>
    </row>
    <row r="527">
      <c r="D527" s="3"/>
      <c r="E527" s="112"/>
      <c r="F527" s="3"/>
      <c r="G527" s="12"/>
      <c r="H527" s="12"/>
      <c r="K527" s="12"/>
      <c r="M527" s="12"/>
      <c r="R527" s="218"/>
      <c r="S527" s="218"/>
      <c r="T527" s="218"/>
      <c r="U527" s="218"/>
    </row>
    <row r="528">
      <c r="D528" s="3"/>
      <c r="E528" s="112"/>
      <c r="F528" s="3"/>
      <c r="G528" s="12"/>
      <c r="H528" s="12"/>
      <c r="K528" s="12"/>
      <c r="M528" s="12"/>
      <c r="R528" s="218"/>
      <c r="S528" s="218"/>
      <c r="T528" s="218"/>
      <c r="U528" s="218"/>
    </row>
    <row r="529">
      <c r="D529" s="3"/>
      <c r="E529" s="112"/>
      <c r="F529" s="3"/>
      <c r="G529" s="12"/>
      <c r="H529" s="12"/>
      <c r="K529" s="12"/>
      <c r="M529" s="12"/>
      <c r="R529" s="218"/>
      <c r="S529" s="218"/>
      <c r="T529" s="218"/>
      <c r="U529" s="218"/>
    </row>
    <row r="530">
      <c r="D530" s="3"/>
      <c r="E530" s="112"/>
      <c r="F530" s="3"/>
      <c r="G530" s="12"/>
      <c r="H530" s="12"/>
      <c r="K530" s="12"/>
      <c r="M530" s="12"/>
      <c r="R530" s="218"/>
      <c r="S530" s="218"/>
      <c r="T530" s="218"/>
      <c r="U530" s="218"/>
    </row>
    <row r="531">
      <c r="D531" s="3"/>
      <c r="E531" s="112"/>
      <c r="F531" s="3"/>
      <c r="G531" s="12"/>
      <c r="H531" s="12"/>
      <c r="K531" s="12"/>
      <c r="M531" s="12"/>
      <c r="R531" s="218"/>
      <c r="S531" s="218"/>
      <c r="T531" s="218"/>
      <c r="U531" s="218"/>
    </row>
    <row r="532">
      <c r="D532" s="3"/>
      <c r="E532" s="112"/>
      <c r="F532" s="3"/>
      <c r="G532" s="12"/>
      <c r="H532" s="12"/>
      <c r="K532" s="12"/>
      <c r="M532" s="12"/>
      <c r="R532" s="218"/>
      <c r="S532" s="218"/>
      <c r="T532" s="218"/>
      <c r="U532" s="218"/>
    </row>
    <row r="533">
      <c r="D533" s="3"/>
      <c r="E533" s="112"/>
      <c r="F533" s="3"/>
      <c r="G533" s="12"/>
      <c r="H533" s="12"/>
      <c r="K533" s="12"/>
      <c r="M533" s="12"/>
      <c r="R533" s="218"/>
      <c r="S533" s="218"/>
      <c r="T533" s="218"/>
      <c r="U533" s="218"/>
    </row>
    <row r="534">
      <c r="D534" s="3"/>
      <c r="E534" s="112"/>
      <c r="F534" s="3"/>
      <c r="G534" s="12"/>
      <c r="H534" s="12"/>
      <c r="K534" s="12"/>
      <c r="M534" s="12"/>
      <c r="R534" s="218"/>
      <c r="S534" s="218"/>
      <c r="T534" s="218"/>
      <c r="U534" s="218"/>
    </row>
    <row r="535">
      <c r="D535" s="3"/>
      <c r="E535" s="112"/>
      <c r="F535" s="3"/>
      <c r="G535" s="12"/>
      <c r="H535" s="12"/>
      <c r="K535" s="12"/>
      <c r="M535" s="12"/>
      <c r="R535" s="218"/>
      <c r="S535" s="218"/>
      <c r="T535" s="218"/>
      <c r="U535" s="218"/>
    </row>
    <row r="536">
      <c r="D536" s="3"/>
      <c r="E536" s="112"/>
      <c r="F536" s="3"/>
      <c r="G536" s="12"/>
      <c r="H536" s="12"/>
      <c r="K536" s="12"/>
      <c r="M536" s="12"/>
      <c r="R536" s="218"/>
      <c r="S536" s="218"/>
      <c r="T536" s="218"/>
      <c r="U536" s="218"/>
    </row>
    <row r="537">
      <c r="D537" s="3"/>
      <c r="E537" s="112"/>
      <c r="F537" s="3"/>
      <c r="G537" s="12"/>
      <c r="H537" s="12"/>
      <c r="K537" s="12"/>
      <c r="M537" s="12"/>
      <c r="R537" s="218"/>
      <c r="S537" s="218"/>
      <c r="T537" s="218"/>
      <c r="U537" s="218"/>
    </row>
    <row r="538">
      <c r="D538" s="3"/>
      <c r="E538" s="112"/>
      <c r="F538" s="3"/>
      <c r="G538" s="12"/>
      <c r="H538" s="12"/>
      <c r="K538" s="12"/>
      <c r="M538" s="12"/>
      <c r="R538" s="218"/>
      <c r="S538" s="218"/>
      <c r="T538" s="218"/>
      <c r="U538" s="218"/>
    </row>
    <row r="539">
      <c r="D539" s="3"/>
      <c r="E539" s="112"/>
      <c r="F539" s="3"/>
      <c r="G539" s="12"/>
      <c r="H539" s="12"/>
      <c r="K539" s="12"/>
      <c r="M539" s="12"/>
      <c r="R539" s="218"/>
      <c r="S539" s="218"/>
      <c r="T539" s="218"/>
      <c r="U539" s="218"/>
    </row>
    <row r="540">
      <c r="D540" s="3"/>
      <c r="E540" s="112"/>
      <c r="F540" s="3"/>
      <c r="G540" s="12"/>
      <c r="H540" s="12"/>
      <c r="K540" s="12"/>
      <c r="M540" s="12"/>
      <c r="R540" s="218"/>
      <c r="S540" s="218"/>
      <c r="T540" s="218"/>
      <c r="U540" s="218"/>
    </row>
    <row r="541">
      <c r="D541" s="3"/>
      <c r="E541" s="112"/>
      <c r="F541" s="3"/>
      <c r="G541" s="12"/>
      <c r="H541" s="12"/>
      <c r="K541" s="12"/>
      <c r="M541" s="12"/>
      <c r="R541" s="218"/>
      <c r="S541" s="218"/>
      <c r="T541" s="218"/>
      <c r="U541" s="218"/>
    </row>
    <row r="542">
      <c r="D542" s="3"/>
      <c r="E542" s="112"/>
      <c r="F542" s="3"/>
      <c r="G542" s="12"/>
      <c r="H542" s="12"/>
      <c r="K542" s="12"/>
      <c r="M542" s="12"/>
      <c r="R542" s="218"/>
      <c r="S542" s="218"/>
      <c r="T542" s="218"/>
      <c r="U542" s="218"/>
    </row>
    <row r="543">
      <c r="D543" s="3"/>
      <c r="E543" s="112"/>
      <c r="F543" s="3"/>
      <c r="G543" s="12"/>
      <c r="H543" s="12"/>
      <c r="K543" s="12"/>
      <c r="M543" s="12"/>
      <c r="R543" s="218"/>
      <c r="S543" s="218"/>
      <c r="T543" s="218"/>
      <c r="U543" s="218"/>
    </row>
    <row r="544">
      <c r="D544" s="3"/>
      <c r="E544" s="112"/>
      <c r="F544" s="3"/>
      <c r="G544" s="12"/>
      <c r="H544" s="12"/>
      <c r="K544" s="12"/>
      <c r="M544" s="12"/>
      <c r="R544" s="218"/>
      <c r="S544" s="218"/>
      <c r="T544" s="218"/>
      <c r="U544" s="218"/>
    </row>
    <row r="545">
      <c r="D545" s="3"/>
      <c r="E545" s="112"/>
      <c r="F545" s="3"/>
      <c r="G545" s="12"/>
      <c r="H545" s="12"/>
      <c r="K545" s="12"/>
      <c r="M545" s="12"/>
      <c r="R545" s="218"/>
      <c r="S545" s="218"/>
      <c r="T545" s="218"/>
      <c r="U545" s="218"/>
    </row>
    <row r="546">
      <c r="D546" s="3"/>
      <c r="E546" s="112"/>
      <c r="F546" s="3"/>
      <c r="G546" s="12"/>
      <c r="H546" s="12"/>
      <c r="K546" s="12"/>
      <c r="M546" s="12"/>
      <c r="R546" s="218"/>
      <c r="S546" s="218"/>
      <c r="T546" s="218"/>
      <c r="U546" s="218"/>
    </row>
    <row r="547">
      <c r="D547" s="3"/>
      <c r="E547" s="112"/>
      <c r="F547" s="3"/>
      <c r="G547" s="12"/>
      <c r="H547" s="12"/>
      <c r="K547" s="12"/>
      <c r="M547" s="12"/>
      <c r="R547" s="218"/>
      <c r="S547" s="218"/>
      <c r="T547" s="218"/>
      <c r="U547" s="218"/>
    </row>
    <row r="548">
      <c r="D548" s="3"/>
      <c r="E548" s="112"/>
      <c r="F548" s="3"/>
      <c r="G548" s="12"/>
      <c r="H548" s="12"/>
      <c r="K548" s="12"/>
      <c r="M548" s="12"/>
      <c r="R548" s="218"/>
      <c r="S548" s="218"/>
      <c r="T548" s="218"/>
      <c r="U548" s="218"/>
    </row>
    <row r="549">
      <c r="D549" s="3"/>
      <c r="E549" s="112"/>
      <c r="F549" s="3"/>
      <c r="G549" s="12"/>
      <c r="H549" s="12"/>
      <c r="K549" s="12"/>
      <c r="M549" s="12"/>
      <c r="R549" s="218"/>
      <c r="S549" s="218"/>
      <c r="T549" s="218"/>
      <c r="U549" s="218"/>
    </row>
    <row r="550">
      <c r="D550" s="3"/>
      <c r="E550" s="112"/>
      <c r="F550" s="3"/>
      <c r="G550" s="12"/>
      <c r="H550" s="12"/>
      <c r="K550" s="12"/>
      <c r="M550" s="12"/>
      <c r="R550" s="218"/>
      <c r="S550" s="218"/>
      <c r="T550" s="218"/>
      <c r="U550" s="218"/>
    </row>
    <row r="551">
      <c r="D551" s="3"/>
      <c r="E551" s="112"/>
      <c r="F551" s="3"/>
      <c r="G551" s="12"/>
      <c r="H551" s="12"/>
      <c r="K551" s="12"/>
      <c r="M551" s="12"/>
      <c r="R551" s="218"/>
      <c r="S551" s="218"/>
      <c r="T551" s="218"/>
      <c r="U551" s="218"/>
    </row>
    <row r="552">
      <c r="D552" s="3"/>
      <c r="E552" s="112"/>
      <c r="F552" s="3"/>
      <c r="G552" s="12"/>
      <c r="H552" s="12"/>
      <c r="K552" s="12"/>
      <c r="M552" s="12"/>
      <c r="R552" s="218"/>
      <c r="S552" s="218"/>
      <c r="T552" s="218"/>
      <c r="U552" s="218"/>
    </row>
    <row r="553">
      <c r="D553" s="3"/>
      <c r="E553" s="112"/>
      <c r="F553" s="3"/>
      <c r="G553" s="12"/>
      <c r="H553" s="12"/>
      <c r="K553" s="12"/>
      <c r="M553" s="12"/>
      <c r="R553" s="218"/>
      <c r="S553" s="218"/>
      <c r="T553" s="218"/>
      <c r="U553" s="218"/>
    </row>
    <row r="554">
      <c r="D554" s="3"/>
      <c r="E554" s="112"/>
      <c r="F554" s="3"/>
      <c r="G554" s="12"/>
      <c r="H554" s="12"/>
      <c r="K554" s="12"/>
      <c r="M554" s="12"/>
      <c r="R554" s="218"/>
      <c r="S554" s="218"/>
      <c r="T554" s="218"/>
      <c r="U554" s="218"/>
    </row>
    <row r="555">
      <c r="D555" s="3"/>
      <c r="E555" s="112"/>
      <c r="F555" s="3"/>
      <c r="G555" s="12"/>
      <c r="H555" s="12"/>
      <c r="K555" s="12"/>
      <c r="M555" s="12"/>
      <c r="R555" s="218"/>
      <c r="S555" s="218"/>
      <c r="T555" s="218"/>
      <c r="U555" s="218"/>
    </row>
    <row r="556">
      <c r="D556" s="3"/>
      <c r="E556" s="112"/>
      <c r="F556" s="3"/>
      <c r="G556" s="12"/>
      <c r="H556" s="12"/>
      <c r="K556" s="12"/>
      <c r="M556" s="12"/>
      <c r="R556" s="218"/>
      <c r="S556" s="218"/>
      <c r="T556" s="218"/>
      <c r="U556" s="218"/>
    </row>
    <row r="557">
      <c r="D557" s="3"/>
      <c r="E557" s="112"/>
      <c r="F557" s="3"/>
      <c r="G557" s="12"/>
      <c r="H557" s="12"/>
      <c r="K557" s="12"/>
      <c r="M557" s="12"/>
      <c r="R557" s="218"/>
      <c r="S557" s="218"/>
      <c r="T557" s="218"/>
      <c r="U557" s="218"/>
    </row>
    <row r="558">
      <c r="D558" s="3"/>
      <c r="E558" s="112"/>
      <c r="F558" s="3"/>
      <c r="G558" s="12"/>
      <c r="H558" s="12"/>
      <c r="K558" s="12"/>
      <c r="M558" s="12"/>
      <c r="R558" s="218"/>
      <c r="S558" s="218"/>
      <c r="T558" s="218"/>
      <c r="U558" s="218"/>
    </row>
    <row r="559">
      <c r="D559" s="3"/>
      <c r="E559" s="112"/>
      <c r="F559" s="3"/>
      <c r="G559" s="12"/>
      <c r="H559" s="12"/>
      <c r="K559" s="12"/>
      <c r="M559" s="12"/>
      <c r="R559" s="218"/>
      <c r="S559" s="218"/>
      <c r="T559" s="218"/>
      <c r="U559" s="218"/>
    </row>
    <row r="560">
      <c r="D560" s="3"/>
      <c r="E560" s="112"/>
      <c r="F560" s="3"/>
      <c r="G560" s="12"/>
      <c r="H560" s="12"/>
      <c r="K560" s="12"/>
      <c r="M560" s="12"/>
      <c r="R560" s="218"/>
      <c r="S560" s="218"/>
      <c r="T560" s="218"/>
      <c r="U560" s="218"/>
    </row>
    <row r="561">
      <c r="D561" s="3"/>
      <c r="E561" s="112"/>
      <c r="F561" s="3"/>
      <c r="G561" s="12"/>
      <c r="H561" s="12"/>
      <c r="K561" s="12"/>
      <c r="M561" s="12"/>
      <c r="R561" s="218"/>
      <c r="S561" s="218"/>
      <c r="T561" s="218"/>
      <c r="U561" s="218"/>
    </row>
    <row r="562">
      <c r="D562" s="3"/>
      <c r="E562" s="112"/>
      <c r="F562" s="3"/>
      <c r="G562" s="12"/>
      <c r="H562" s="12"/>
      <c r="K562" s="12"/>
      <c r="M562" s="12"/>
      <c r="R562" s="218"/>
      <c r="S562" s="218"/>
      <c r="T562" s="218"/>
      <c r="U562" s="218"/>
    </row>
    <row r="563">
      <c r="D563" s="3"/>
      <c r="E563" s="112"/>
      <c r="F563" s="3"/>
      <c r="G563" s="12"/>
      <c r="H563" s="12"/>
      <c r="K563" s="12"/>
      <c r="M563" s="12"/>
      <c r="R563" s="218"/>
      <c r="S563" s="218"/>
      <c r="T563" s="218"/>
      <c r="U563" s="218"/>
    </row>
    <row r="564">
      <c r="D564" s="3"/>
      <c r="E564" s="112"/>
      <c r="F564" s="3"/>
      <c r="G564" s="12"/>
      <c r="H564" s="12"/>
      <c r="K564" s="12"/>
      <c r="M564" s="12"/>
      <c r="R564" s="218"/>
      <c r="S564" s="218"/>
      <c r="T564" s="218"/>
      <c r="U564" s="218"/>
    </row>
    <row r="565">
      <c r="D565" s="3"/>
      <c r="E565" s="112"/>
      <c r="F565" s="3"/>
      <c r="G565" s="12"/>
      <c r="H565" s="12"/>
      <c r="K565" s="12"/>
      <c r="M565" s="12"/>
      <c r="R565" s="218"/>
      <c r="S565" s="218"/>
      <c r="T565" s="218"/>
      <c r="U565" s="218"/>
    </row>
    <row r="566">
      <c r="D566" s="3"/>
      <c r="E566" s="112"/>
      <c r="F566" s="3"/>
      <c r="G566" s="12"/>
      <c r="H566" s="12"/>
      <c r="K566" s="12"/>
      <c r="M566" s="12"/>
      <c r="R566" s="218"/>
      <c r="S566" s="218"/>
      <c r="T566" s="218"/>
      <c r="U566" s="218"/>
    </row>
    <row r="567">
      <c r="D567" s="3"/>
      <c r="E567" s="112"/>
      <c r="F567" s="3"/>
      <c r="G567" s="12"/>
      <c r="H567" s="12"/>
      <c r="K567" s="12"/>
      <c r="M567" s="12"/>
      <c r="R567" s="218"/>
      <c r="S567" s="218"/>
      <c r="T567" s="218"/>
      <c r="U567" s="218"/>
    </row>
    <row r="568">
      <c r="D568" s="3"/>
      <c r="E568" s="112"/>
      <c r="F568" s="3"/>
      <c r="G568" s="12"/>
      <c r="H568" s="12"/>
      <c r="K568" s="12"/>
      <c r="M568" s="12"/>
      <c r="R568" s="218"/>
      <c r="S568" s="218"/>
      <c r="T568" s="218"/>
      <c r="U568" s="218"/>
    </row>
    <row r="569">
      <c r="D569" s="3"/>
      <c r="E569" s="112"/>
      <c r="F569" s="3"/>
      <c r="G569" s="12"/>
      <c r="H569" s="12"/>
      <c r="K569" s="12"/>
      <c r="M569" s="12"/>
      <c r="R569" s="218"/>
      <c r="S569" s="218"/>
      <c r="T569" s="218"/>
      <c r="U569" s="218"/>
    </row>
    <row r="570">
      <c r="D570" s="3"/>
      <c r="E570" s="112"/>
      <c r="F570" s="3"/>
      <c r="G570" s="12"/>
      <c r="H570" s="12"/>
      <c r="K570" s="12"/>
      <c r="M570" s="12"/>
      <c r="R570" s="218"/>
      <c r="S570" s="218"/>
      <c r="T570" s="218"/>
      <c r="U570" s="218"/>
    </row>
    <row r="571">
      <c r="D571" s="3"/>
      <c r="E571" s="112"/>
      <c r="F571" s="3"/>
      <c r="G571" s="12"/>
      <c r="H571" s="12"/>
      <c r="K571" s="12"/>
      <c r="M571" s="12"/>
      <c r="R571" s="218"/>
      <c r="S571" s="218"/>
      <c r="T571" s="218"/>
      <c r="U571" s="218"/>
    </row>
    <row r="572">
      <c r="D572" s="3"/>
      <c r="E572" s="112"/>
      <c r="F572" s="3"/>
      <c r="G572" s="12"/>
      <c r="H572" s="12"/>
      <c r="K572" s="12"/>
      <c r="M572" s="12"/>
      <c r="R572" s="218"/>
      <c r="S572" s="218"/>
      <c r="T572" s="218"/>
      <c r="U572" s="218"/>
    </row>
    <row r="573">
      <c r="D573" s="3"/>
      <c r="E573" s="112"/>
      <c r="F573" s="3"/>
      <c r="G573" s="12"/>
      <c r="H573" s="12"/>
      <c r="K573" s="12"/>
      <c r="M573" s="12"/>
      <c r="R573" s="218"/>
      <c r="S573" s="218"/>
      <c r="T573" s="218"/>
      <c r="U573" s="218"/>
    </row>
    <row r="574">
      <c r="D574" s="3"/>
      <c r="E574" s="112"/>
      <c r="F574" s="3"/>
      <c r="G574" s="12"/>
      <c r="H574" s="12"/>
      <c r="K574" s="12"/>
      <c r="M574" s="12"/>
      <c r="R574" s="218"/>
      <c r="S574" s="218"/>
      <c r="T574" s="218"/>
      <c r="U574" s="218"/>
    </row>
    <row r="575">
      <c r="D575" s="3"/>
      <c r="E575" s="112"/>
      <c r="F575" s="3"/>
      <c r="G575" s="12"/>
      <c r="H575" s="12"/>
      <c r="K575" s="12"/>
      <c r="M575" s="12"/>
      <c r="R575" s="218"/>
      <c r="S575" s="218"/>
      <c r="T575" s="218"/>
      <c r="U575" s="218"/>
    </row>
    <row r="576">
      <c r="D576" s="3"/>
      <c r="E576" s="112"/>
      <c r="F576" s="3"/>
      <c r="G576" s="12"/>
      <c r="H576" s="12"/>
      <c r="K576" s="12"/>
      <c r="M576" s="12"/>
      <c r="R576" s="218"/>
      <c r="S576" s="218"/>
      <c r="T576" s="218"/>
      <c r="U576" s="218"/>
    </row>
    <row r="577">
      <c r="D577" s="3"/>
      <c r="E577" s="112"/>
      <c r="F577" s="3"/>
      <c r="G577" s="12"/>
      <c r="H577" s="12"/>
      <c r="K577" s="12"/>
      <c r="M577" s="12"/>
      <c r="R577" s="218"/>
      <c r="S577" s="218"/>
      <c r="T577" s="218"/>
      <c r="U577" s="218"/>
    </row>
    <row r="578">
      <c r="D578" s="3"/>
      <c r="E578" s="112"/>
      <c r="F578" s="3"/>
      <c r="G578" s="12"/>
      <c r="H578" s="12"/>
      <c r="K578" s="12"/>
      <c r="M578" s="12"/>
      <c r="R578" s="218"/>
      <c r="S578" s="218"/>
      <c r="T578" s="218"/>
      <c r="U578" s="218"/>
    </row>
    <row r="579">
      <c r="D579" s="3"/>
      <c r="E579" s="112"/>
      <c r="F579" s="3"/>
      <c r="G579" s="12"/>
      <c r="H579" s="12"/>
      <c r="K579" s="12"/>
      <c r="M579" s="12"/>
      <c r="R579" s="218"/>
      <c r="S579" s="218"/>
      <c r="T579" s="218"/>
      <c r="U579" s="218"/>
    </row>
    <row r="580">
      <c r="D580" s="3"/>
      <c r="E580" s="112"/>
      <c r="F580" s="3"/>
      <c r="G580" s="12"/>
      <c r="H580" s="12"/>
      <c r="K580" s="12"/>
      <c r="M580" s="12"/>
      <c r="R580" s="218"/>
      <c r="S580" s="218"/>
      <c r="T580" s="218"/>
      <c r="U580" s="218"/>
    </row>
    <row r="581">
      <c r="D581" s="3"/>
      <c r="E581" s="112"/>
      <c r="F581" s="3"/>
      <c r="G581" s="12"/>
      <c r="H581" s="12"/>
      <c r="K581" s="12"/>
      <c r="M581" s="12"/>
      <c r="R581" s="218"/>
      <c r="S581" s="218"/>
      <c r="T581" s="218"/>
      <c r="U581" s="218"/>
    </row>
    <row r="582">
      <c r="D582" s="3"/>
      <c r="E582" s="112"/>
      <c r="F582" s="3"/>
      <c r="G582" s="12"/>
      <c r="H582" s="12"/>
      <c r="K582" s="12"/>
      <c r="M582" s="12"/>
      <c r="R582" s="218"/>
      <c r="S582" s="218"/>
      <c r="T582" s="218"/>
      <c r="U582" s="218"/>
    </row>
    <row r="583">
      <c r="D583" s="3"/>
      <c r="E583" s="112"/>
      <c r="F583" s="3"/>
      <c r="G583" s="12"/>
      <c r="H583" s="12"/>
      <c r="K583" s="12"/>
      <c r="M583" s="12"/>
      <c r="R583" s="218"/>
      <c r="S583" s="218"/>
      <c r="T583" s="218"/>
      <c r="U583" s="218"/>
    </row>
    <row r="584">
      <c r="D584" s="3"/>
      <c r="E584" s="112"/>
      <c r="F584" s="3"/>
      <c r="G584" s="12"/>
      <c r="H584" s="12"/>
      <c r="K584" s="12"/>
      <c r="M584" s="12"/>
      <c r="R584" s="218"/>
      <c r="S584" s="218"/>
      <c r="T584" s="218"/>
      <c r="U584" s="218"/>
    </row>
    <row r="585">
      <c r="D585" s="3"/>
      <c r="E585" s="112"/>
      <c r="F585" s="3"/>
      <c r="G585" s="12"/>
      <c r="H585" s="12"/>
      <c r="K585" s="12"/>
      <c r="M585" s="12"/>
      <c r="R585" s="218"/>
      <c r="S585" s="218"/>
      <c r="T585" s="218"/>
      <c r="U585" s="218"/>
    </row>
    <row r="586">
      <c r="D586" s="3"/>
      <c r="E586" s="112"/>
      <c r="F586" s="3"/>
      <c r="G586" s="12"/>
      <c r="H586" s="12"/>
      <c r="K586" s="12"/>
      <c r="M586" s="12"/>
      <c r="R586" s="218"/>
      <c r="S586" s="218"/>
      <c r="T586" s="218"/>
      <c r="U586" s="218"/>
    </row>
    <row r="587">
      <c r="D587" s="3"/>
      <c r="E587" s="112"/>
      <c r="F587" s="3"/>
      <c r="G587" s="12"/>
      <c r="H587" s="12"/>
      <c r="K587" s="12"/>
      <c r="M587" s="12"/>
      <c r="R587" s="218"/>
      <c r="S587" s="218"/>
      <c r="T587" s="218"/>
      <c r="U587" s="218"/>
    </row>
    <row r="588">
      <c r="D588" s="3"/>
      <c r="E588" s="112"/>
      <c r="F588" s="3"/>
      <c r="G588" s="12"/>
      <c r="H588" s="12"/>
      <c r="K588" s="12"/>
      <c r="M588" s="12"/>
      <c r="R588" s="218"/>
      <c r="S588" s="218"/>
      <c r="T588" s="218"/>
      <c r="U588" s="218"/>
    </row>
    <row r="589">
      <c r="D589" s="3"/>
      <c r="E589" s="112"/>
      <c r="F589" s="3"/>
      <c r="G589" s="12"/>
      <c r="H589" s="12"/>
      <c r="K589" s="12"/>
      <c r="M589" s="12"/>
      <c r="R589" s="218"/>
      <c r="S589" s="218"/>
      <c r="T589" s="218"/>
      <c r="U589" s="218"/>
    </row>
    <row r="590">
      <c r="D590" s="3"/>
      <c r="E590" s="112"/>
      <c r="F590" s="3"/>
      <c r="G590" s="12"/>
      <c r="H590" s="12"/>
      <c r="K590" s="12"/>
      <c r="M590" s="12"/>
      <c r="R590" s="218"/>
      <c r="S590" s="218"/>
      <c r="T590" s="218"/>
      <c r="U590" s="218"/>
    </row>
    <row r="591">
      <c r="D591" s="3"/>
      <c r="E591" s="112"/>
      <c r="F591" s="3"/>
      <c r="G591" s="12"/>
      <c r="H591" s="12"/>
      <c r="K591" s="12"/>
      <c r="M591" s="12"/>
      <c r="R591" s="218"/>
      <c r="S591" s="218"/>
      <c r="T591" s="218"/>
      <c r="U591" s="218"/>
    </row>
    <row r="592">
      <c r="D592" s="3"/>
      <c r="E592" s="112"/>
      <c r="F592" s="3"/>
      <c r="G592" s="12"/>
      <c r="H592" s="12"/>
      <c r="K592" s="12"/>
      <c r="M592" s="12"/>
      <c r="R592" s="218"/>
      <c r="S592" s="218"/>
      <c r="T592" s="218"/>
      <c r="U592" s="218"/>
    </row>
    <row r="593">
      <c r="D593" s="3"/>
      <c r="E593" s="112"/>
      <c r="F593" s="3"/>
      <c r="G593" s="12"/>
      <c r="H593" s="12"/>
      <c r="K593" s="12"/>
      <c r="M593" s="12"/>
      <c r="R593" s="218"/>
      <c r="S593" s="218"/>
      <c r="T593" s="218"/>
      <c r="U593" s="218"/>
    </row>
    <row r="594">
      <c r="D594" s="3"/>
      <c r="E594" s="112"/>
      <c r="F594" s="3"/>
      <c r="G594" s="12"/>
      <c r="H594" s="12"/>
      <c r="K594" s="12"/>
      <c r="M594" s="12"/>
      <c r="R594" s="218"/>
      <c r="S594" s="218"/>
      <c r="T594" s="218"/>
      <c r="U594" s="218"/>
    </row>
    <row r="595">
      <c r="D595" s="3"/>
      <c r="E595" s="112"/>
      <c r="F595" s="3"/>
      <c r="G595" s="12"/>
      <c r="H595" s="12"/>
      <c r="K595" s="12"/>
      <c r="M595" s="12"/>
      <c r="R595" s="218"/>
      <c r="S595" s="218"/>
      <c r="T595" s="218"/>
      <c r="U595" s="218"/>
    </row>
    <row r="596">
      <c r="D596" s="3"/>
      <c r="E596" s="112"/>
      <c r="F596" s="3"/>
      <c r="G596" s="12"/>
      <c r="H596" s="12"/>
      <c r="K596" s="12"/>
      <c r="M596" s="12"/>
      <c r="R596" s="218"/>
      <c r="S596" s="218"/>
      <c r="T596" s="218"/>
      <c r="U596" s="218"/>
    </row>
    <row r="597">
      <c r="D597" s="3"/>
      <c r="E597" s="112"/>
      <c r="F597" s="3"/>
      <c r="G597" s="12"/>
      <c r="H597" s="12"/>
      <c r="K597" s="12"/>
      <c r="M597" s="12"/>
      <c r="R597" s="218"/>
      <c r="S597" s="218"/>
      <c r="T597" s="218"/>
      <c r="U597" s="218"/>
    </row>
    <row r="598">
      <c r="D598" s="3"/>
      <c r="E598" s="112"/>
      <c r="F598" s="3"/>
      <c r="G598" s="12"/>
      <c r="H598" s="12"/>
      <c r="K598" s="12"/>
      <c r="M598" s="12"/>
      <c r="R598" s="218"/>
      <c r="S598" s="218"/>
      <c r="T598" s="218"/>
      <c r="U598" s="218"/>
    </row>
    <row r="599">
      <c r="D599" s="3"/>
      <c r="E599" s="112"/>
      <c r="F599" s="3"/>
      <c r="G599" s="12"/>
      <c r="H599" s="12"/>
      <c r="K599" s="12"/>
      <c r="M599" s="12"/>
      <c r="R599" s="218"/>
      <c r="S599" s="218"/>
      <c r="T599" s="218"/>
      <c r="U599" s="218"/>
    </row>
    <row r="600">
      <c r="D600" s="3"/>
      <c r="E600" s="112"/>
      <c r="F600" s="3"/>
      <c r="G600" s="12"/>
      <c r="H600" s="12"/>
      <c r="K600" s="12"/>
      <c r="M600" s="12"/>
      <c r="R600" s="218"/>
      <c r="S600" s="218"/>
      <c r="T600" s="218"/>
      <c r="U600" s="218"/>
    </row>
    <row r="601">
      <c r="D601" s="3"/>
      <c r="E601" s="112"/>
      <c r="F601" s="3"/>
      <c r="G601" s="12"/>
      <c r="H601" s="12"/>
      <c r="K601" s="12"/>
      <c r="M601" s="12"/>
      <c r="R601" s="218"/>
      <c r="S601" s="218"/>
      <c r="T601" s="218"/>
      <c r="U601" s="218"/>
    </row>
    <row r="602">
      <c r="D602" s="3"/>
      <c r="E602" s="112"/>
      <c r="F602" s="3"/>
      <c r="G602" s="12"/>
      <c r="H602" s="12"/>
      <c r="K602" s="12"/>
      <c r="M602" s="12"/>
      <c r="R602" s="218"/>
      <c r="S602" s="218"/>
      <c r="T602" s="218"/>
      <c r="U602" s="218"/>
    </row>
    <row r="603">
      <c r="D603" s="3"/>
      <c r="E603" s="112"/>
      <c r="F603" s="3"/>
      <c r="G603" s="12"/>
      <c r="H603" s="12"/>
      <c r="K603" s="12"/>
      <c r="M603" s="12"/>
      <c r="R603" s="218"/>
      <c r="S603" s="218"/>
      <c r="T603" s="218"/>
      <c r="U603" s="218"/>
    </row>
    <row r="604">
      <c r="D604" s="3"/>
      <c r="E604" s="112"/>
      <c r="F604" s="3"/>
      <c r="G604" s="12"/>
      <c r="H604" s="12"/>
      <c r="K604" s="12"/>
      <c r="M604" s="12"/>
      <c r="R604" s="218"/>
      <c r="S604" s="218"/>
      <c r="T604" s="218"/>
      <c r="U604" s="218"/>
    </row>
    <row r="605">
      <c r="D605" s="3"/>
      <c r="E605" s="112"/>
      <c r="F605" s="3"/>
      <c r="G605" s="12"/>
      <c r="H605" s="12"/>
      <c r="K605" s="12"/>
      <c r="M605" s="12"/>
      <c r="R605" s="218"/>
      <c r="S605" s="218"/>
      <c r="T605" s="218"/>
      <c r="U605" s="218"/>
    </row>
    <row r="606">
      <c r="D606" s="3"/>
      <c r="E606" s="112"/>
      <c r="F606" s="3"/>
      <c r="G606" s="12"/>
      <c r="H606" s="12"/>
      <c r="K606" s="12"/>
      <c r="M606" s="12"/>
      <c r="R606" s="218"/>
      <c r="S606" s="218"/>
      <c r="T606" s="218"/>
      <c r="U606" s="218"/>
    </row>
    <row r="607">
      <c r="D607" s="3"/>
      <c r="E607" s="112"/>
      <c r="F607" s="3"/>
      <c r="G607" s="12"/>
      <c r="H607" s="12"/>
      <c r="K607" s="12"/>
      <c r="M607" s="12"/>
      <c r="R607" s="218"/>
      <c r="S607" s="218"/>
      <c r="T607" s="218"/>
      <c r="U607" s="218"/>
    </row>
    <row r="608">
      <c r="D608" s="3"/>
      <c r="E608" s="112"/>
      <c r="F608" s="3"/>
      <c r="G608" s="12"/>
      <c r="H608" s="12"/>
      <c r="K608" s="12"/>
      <c r="M608" s="12"/>
      <c r="R608" s="218"/>
      <c r="S608" s="218"/>
      <c r="T608" s="218"/>
      <c r="U608" s="218"/>
    </row>
    <row r="609">
      <c r="D609" s="3"/>
      <c r="E609" s="112"/>
      <c r="F609" s="3"/>
      <c r="G609" s="12"/>
      <c r="H609" s="12"/>
      <c r="K609" s="12"/>
      <c r="M609" s="12"/>
      <c r="R609" s="218"/>
      <c r="S609" s="218"/>
      <c r="T609" s="218"/>
      <c r="U609" s="218"/>
    </row>
    <row r="610">
      <c r="D610" s="3"/>
      <c r="E610" s="112"/>
      <c r="F610" s="3"/>
      <c r="G610" s="12"/>
      <c r="H610" s="12"/>
      <c r="K610" s="12"/>
      <c r="M610" s="12"/>
      <c r="R610" s="218"/>
      <c r="S610" s="218"/>
      <c r="T610" s="218"/>
      <c r="U610" s="218"/>
    </row>
    <row r="611">
      <c r="D611" s="3"/>
      <c r="E611" s="112"/>
      <c r="F611" s="3"/>
      <c r="G611" s="12"/>
      <c r="H611" s="12"/>
      <c r="K611" s="12"/>
      <c r="M611" s="12"/>
      <c r="R611" s="218"/>
      <c r="S611" s="218"/>
      <c r="T611" s="218"/>
      <c r="U611" s="218"/>
    </row>
    <row r="612">
      <c r="D612" s="3"/>
      <c r="E612" s="112"/>
      <c r="F612" s="3"/>
      <c r="G612" s="12"/>
      <c r="H612" s="12"/>
      <c r="K612" s="12"/>
      <c r="M612" s="12"/>
      <c r="R612" s="218"/>
      <c r="S612" s="218"/>
      <c r="T612" s="218"/>
      <c r="U612" s="218"/>
    </row>
    <row r="613">
      <c r="D613" s="3"/>
      <c r="E613" s="112"/>
      <c r="F613" s="3"/>
      <c r="G613" s="12"/>
      <c r="H613" s="12"/>
      <c r="K613" s="12"/>
      <c r="M613" s="12"/>
      <c r="R613" s="218"/>
      <c r="S613" s="218"/>
      <c r="T613" s="218"/>
      <c r="U613" s="218"/>
    </row>
    <row r="614">
      <c r="D614" s="3"/>
      <c r="E614" s="112"/>
      <c r="F614" s="3"/>
      <c r="G614" s="12"/>
      <c r="H614" s="12"/>
      <c r="K614" s="12"/>
      <c r="M614" s="12"/>
      <c r="R614" s="218"/>
      <c r="S614" s="218"/>
      <c r="T614" s="218"/>
      <c r="U614" s="218"/>
    </row>
    <row r="615">
      <c r="D615" s="3"/>
      <c r="E615" s="112"/>
      <c r="F615" s="3"/>
      <c r="G615" s="12"/>
      <c r="H615" s="12"/>
      <c r="K615" s="12"/>
      <c r="M615" s="12"/>
      <c r="R615" s="218"/>
      <c r="S615" s="218"/>
      <c r="T615" s="218"/>
      <c r="U615" s="218"/>
    </row>
    <row r="616">
      <c r="D616" s="3"/>
      <c r="E616" s="112"/>
      <c r="F616" s="3"/>
      <c r="G616" s="12"/>
      <c r="H616" s="12"/>
      <c r="K616" s="12"/>
      <c r="M616" s="12"/>
      <c r="R616" s="218"/>
      <c r="S616" s="218"/>
      <c r="T616" s="218"/>
      <c r="U616" s="218"/>
    </row>
    <row r="617">
      <c r="D617" s="3"/>
      <c r="E617" s="112"/>
      <c r="F617" s="3"/>
      <c r="G617" s="12"/>
      <c r="H617" s="12"/>
      <c r="K617" s="12"/>
      <c r="M617" s="12"/>
      <c r="R617" s="218"/>
      <c r="S617" s="218"/>
      <c r="T617" s="218"/>
      <c r="U617" s="218"/>
    </row>
    <row r="618">
      <c r="D618" s="3"/>
      <c r="E618" s="112"/>
      <c r="F618" s="3"/>
      <c r="G618" s="12"/>
      <c r="H618" s="12"/>
      <c r="K618" s="12"/>
      <c r="M618" s="12"/>
      <c r="R618" s="218"/>
      <c r="S618" s="218"/>
      <c r="T618" s="218"/>
      <c r="U618" s="218"/>
    </row>
    <row r="619">
      <c r="D619" s="3"/>
      <c r="E619" s="112"/>
      <c r="F619" s="3"/>
      <c r="G619" s="12"/>
      <c r="H619" s="12"/>
      <c r="K619" s="12"/>
      <c r="M619" s="12"/>
      <c r="R619" s="218"/>
      <c r="S619" s="218"/>
      <c r="T619" s="218"/>
      <c r="U619" s="218"/>
    </row>
    <row r="620">
      <c r="D620" s="3"/>
      <c r="E620" s="112"/>
      <c r="F620" s="3"/>
      <c r="G620" s="12"/>
      <c r="H620" s="12"/>
      <c r="K620" s="12"/>
      <c r="M620" s="12"/>
      <c r="R620" s="218"/>
      <c r="S620" s="218"/>
      <c r="T620" s="218"/>
      <c r="U620" s="218"/>
    </row>
    <row r="621">
      <c r="D621" s="3"/>
      <c r="E621" s="112"/>
      <c r="F621" s="3"/>
      <c r="G621" s="12"/>
      <c r="H621" s="12"/>
      <c r="K621" s="12"/>
      <c r="M621" s="12"/>
      <c r="R621" s="218"/>
      <c r="S621" s="218"/>
      <c r="T621" s="218"/>
      <c r="U621" s="218"/>
    </row>
    <row r="622">
      <c r="D622" s="3"/>
      <c r="E622" s="112"/>
      <c r="F622" s="3"/>
      <c r="G622" s="12"/>
      <c r="H622" s="12"/>
      <c r="K622" s="12"/>
      <c r="M622" s="12"/>
      <c r="R622" s="218"/>
      <c r="S622" s="218"/>
      <c r="T622" s="218"/>
      <c r="U622" s="218"/>
    </row>
    <row r="623">
      <c r="D623" s="3"/>
      <c r="E623" s="112"/>
      <c r="F623" s="3"/>
      <c r="G623" s="12"/>
      <c r="H623" s="12"/>
      <c r="K623" s="12"/>
      <c r="M623" s="12"/>
      <c r="R623" s="218"/>
      <c r="S623" s="218"/>
      <c r="T623" s="218"/>
      <c r="U623" s="218"/>
    </row>
    <row r="624">
      <c r="D624" s="3"/>
      <c r="E624" s="112"/>
      <c r="F624" s="3"/>
      <c r="G624" s="12"/>
      <c r="H624" s="12"/>
      <c r="K624" s="12"/>
      <c r="M624" s="12"/>
      <c r="R624" s="218"/>
      <c r="S624" s="218"/>
      <c r="T624" s="218"/>
      <c r="U624" s="218"/>
    </row>
    <row r="625">
      <c r="D625" s="3"/>
      <c r="E625" s="112"/>
      <c r="F625" s="3"/>
      <c r="G625" s="12"/>
      <c r="H625" s="12"/>
      <c r="K625" s="12"/>
      <c r="M625" s="12"/>
      <c r="R625" s="218"/>
      <c r="S625" s="218"/>
      <c r="T625" s="218"/>
      <c r="U625" s="218"/>
    </row>
    <row r="626">
      <c r="D626" s="3"/>
      <c r="E626" s="112"/>
      <c r="F626" s="3"/>
      <c r="G626" s="12"/>
      <c r="H626" s="12"/>
      <c r="K626" s="12"/>
      <c r="M626" s="12"/>
      <c r="R626" s="218"/>
      <c r="S626" s="218"/>
      <c r="T626" s="218"/>
      <c r="U626" s="218"/>
    </row>
    <row r="627">
      <c r="D627" s="3"/>
      <c r="E627" s="112"/>
      <c r="F627" s="3"/>
      <c r="G627" s="12"/>
      <c r="H627" s="12"/>
      <c r="K627" s="12"/>
      <c r="M627" s="12"/>
      <c r="R627" s="218"/>
      <c r="S627" s="218"/>
      <c r="T627" s="218"/>
      <c r="U627" s="218"/>
    </row>
    <row r="628">
      <c r="D628" s="3"/>
      <c r="E628" s="112"/>
      <c r="F628" s="3"/>
      <c r="G628" s="12"/>
      <c r="H628" s="12"/>
      <c r="K628" s="12"/>
      <c r="M628" s="12"/>
      <c r="R628" s="218"/>
      <c r="S628" s="218"/>
      <c r="T628" s="218"/>
      <c r="U628" s="218"/>
    </row>
    <row r="629">
      <c r="D629" s="3"/>
      <c r="E629" s="112"/>
      <c r="F629" s="3"/>
      <c r="G629" s="12"/>
      <c r="H629" s="12"/>
      <c r="K629" s="12"/>
      <c r="M629" s="12"/>
      <c r="R629" s="218"/>
      <c r="S629" s="218"/>
      <c r="T629" s="218"/>
      <c r="U629" s="218"/>
    </row>
    <row r="630">
      <c r="D630" s="3"/>
      <c r="E630" s="112"/>
      <c r="F630" s="3"/>
      <c r="G630" s="12"/>
      <c r="H630" s="12"/>
      <c r="K630" s="12"/>
      <c r="M630" s="12"/>
      <c r="R630" s="218"/>
      <c r="S630" s="218"/>
      <c r="T630" s="218"/>
      <c r="U630" s="218"/>
    </row>
    <row r="631">
      <c r="D631" s="3"/>
      <c r="E631" s="112"/>
      <c r="F631" s="3"/>
      <c r="G631" s="12"/>
      <c r="H631" s="12"/>
      <c r="K631" s="12"/>
      <c r="M631" s="12"/>
      <c r="R631" s="218"/>
      <c r="S631" s="218"/>
      <c r="T631" s="218"/>
      <c r="U631" s="218"/>
    </row>
    <row r="632">
      <c r="D632" s="3"/>
      <c r="E632" s="112"/>
      <c r="F632" s="3"/>
      <c r="G632" s="12"/>
      <c r="H632" s="12"/>
      <c r="K632" s="12"/>
      <c r="M632" s="12"/>
      <c r="R632" s="218"/>
      <c r="S632" s="218"/>
      <c r="T632" s="218"/>
      <c r="U632" s="218"/>
    </row>
    <row r="633">
      <c r="D633" s="3"/>
      <c r="E633" s="112"/>
      <c r="F633" s="3"/>
      <c r="G633" s="12"/>
      <c r="H633" s="12"/>
      <c r="K633" s="12"/>
      <c r="M633" s="12"/>
      <c r="R633" s="218"/>
      <c r="S633" s="218"/>
      <c r="T633" s="218"/>
      <c r="U633" s="218"/>
    </row>
    <row r="634">
      <c r="D634" s="3"/>
      <c r="E634" s="112"/>
      <c r="F634" s="3"/>
      <c r="G634" s="12"/>
      <c r="H634" s="12"/>
      <c r="K634" s="12"/>
      <c r="M634" s="12"/>
      <c r="R634" s="218"/>
      <c r="S634" s="218"/>
      <c r="T634" s="218"/>
      <c r="U634" s="218"/>
    </row>
    <row r="635">
      <c r="D635" s="3"/>
      <c r="E635" s="112"/>
      <c r="F635" s="3"/>
      <c r="G635" s="12"/>
      <c r="H635" s="12"/>
      <c r="K635" s="12"/>
      <c r="M635" s="12"/>
      <c r="R635" s="218"/>
      <c r="S635" s="218"/>
      <c r="T635" s="218"/>
      <c r="U635" s="218"/>
    </row>
    <row r="636">
      <c r="D636" s="3"/>
      <c r="E636" s="112"/>
      <c r="F636" s="3"/>
      <c r="G636" s="12"/>
      <c r="H636" s="12"/>
      <c r="K636" s="12"/>
      <c r="M636" s="12"/>
      <c r="R636" s="218"/>
      <c r="S636" s="218"/>
      <c r="T636" s="218"/>
      <c r="U636" s="218"/>
    </row>
    <row r="637">
      <c r="D637" s="3"/>
      <c r="E637" s="112"/>
      <c r="F637" s="3"/>
      <c r="G637" s="12"/>
      <c r="H637" s="12"/>
      <c r="K637" s="12"/>
      <c r="M637" s="12"/>
      <c r="R637" s="218"/>
      <c r="S637" s="218"/>
      <c r="T637" s="218"/>
      <c r="U637" s="218"/>
    </row>
    <row r="638">
      <c r="D638" s="3"/>
      <c r="E638" s="112"/>
      <c r="F638" s="3"/>
      <c r="G638" s="12"/>
      <c r="H638" s="12"/>
      <c r="K638" s="12"/>
      <c r="M638" s="12"/>
      <c r="R638" s="218"/>
      <c r="S638" s="218"/>
      <c r="T638" s="218"/>
      <c r="U638" s="218"/>
    </row>
    <row r="639">
      <c r="D639" s="3"/>
      <c r="E639" s="112"/>
      <c r="F639" s="3"/>
      <c r="G639" s="12"/>
      <c r="H639" s="12"/>
      <c r="K639" s="12"/>
      <c r="M639" s="12"/>
      <c r="R639" s="218"/>
      <c r="S639" s="218"/>
      <c r="T639" s="218"/>
      <c r="U639" s="218"/>
    </row>
    <row r="640">
      <c r="D640" s="3"/>
      <c r="E640" s="112"/>
      <c r="F640" s="3"/>
      <c r="G640" s="12"/>
      <c r="H640" s="12"/>
      <c r="K640" s="12"/>
      <c r="M640" s="12"/>
      <c r="R640" s="218"/>
      <c r="S640" s="218"/>
      <c r="T640" s="218"/>
      <c r="U640" s="218"/>
    </row>
    <row r="641">
      <c r="D641" s="3"/>
      <c r="E641" s="112"/>
      <c r="F641" s="3"/>
      <c r="G641" s="12"/>
      <c r="H641" s="12"/>
      <c r="K641" s="12"/>
      <c r="M641" s="12"/>
      <c r="R641" s="218"/>
      <c r="S641" s="218"/>
      <c r="T641" s="218"/>
      <c r="U641" s="218"/>
    </row>
    <row r="642">
      <c r="D642" s="3"/>
      <c r="E642" s="112"/>
      <c r="F642" s="3"/>
      <c r="G642" s="12"/>
      <c r="H642" s="12"/>
      <c r="K642" s="12"/>
      <c r="M642" s="12"/>
      <c r="R642" s="218"/>
      <c r="S642" s="218"/>
      <c r="T642" s="218"/>
      <c r="U642" s="218"/>
    </row>
    <row r="643">
      <c r="D643" s="3"/>
      <c r="E643" s="112"/>
      <c r="F643" s="3"/>
      <c r="G643" s="12"/>
      <c r="H643" s="12"/>
      <c r="K643" s="12"/>
      <c r="M643" s="12"/>
      <c r="R643" s="218"/>
      <c r="S643" s="218"/>
      <c r="T643" s="218"/>
      <c r="U643" s="218"/>
    </row>
    <row r="644">
      <c r="D644" s="3"/>
      <c r="E644" s="112"/>
      <c r="F644" s="3"/>
      <c r="G644" s="12"/>
      <c r="H644" s="12"/>
      <c r="K644" s="12"/>
      <c r="M644" s="12"/>
      <c r="R644" s="218"/>
      <c r="S644" s="218"/>
      <c r="T644" s="218"/>
      <c r="U644" s="218"/>
    </row>
    <row r="645">
      <c r="D645" s="3"/>
      <c r="E645" s="112"/>
      <c r="F645" s="3"/>
      <c r="G645" s="12"/>
      <c r="H645" s="12"/>
      <c r="K645" s="12"/>
      <c r="M645" s="12"/>
      <c r="R645" s="218"/>
      <c r="S645" s="218"/>
      <c r="T645" s="218"/>
      <c r="U645" s="218"/>
    </row>
    <row r="646">
      <c r="D646" s="3"/>
      <c r="E646" s="112"/>
      <c r="F646" s="3"/>
      <c r="G646" s="12"/>
      <c r="H646" s="12"/>
      <c r="K646" s="12"/>
      <c r="M646" s="12"/>
      <c r="R646" s="218"/>
      <c r="S646" s="218"/>
      <c r="T646" s="218"/>
      <c r="U646" s="218"/>
    </row>
    <row r="647">
      <c r="D647" s="3"/>
      <c r="E647" s="112"/>
      <c r="F647" s="3"/>
      <c r="G647" s="12"/>
      <c r="H647" s="12"/>
      <c r="K647" s="12"/>
      <c r="M647" s="12"/>
      <c r="R647" s="218"/>
      <c r="S647" s="218"/>
      <c r="T647" s="218"/>
      <c r="U647" s="218"/>
    </row>
    <row r="648">
      <c r="D648" s="3"/>
      <c r="E648" s="112"/>
      <c r="F648" s="3"/>
      <c r="G648" s="12"/>
      <c r="H648" s="12"/>
      <c r="K648" s="12"/>
      <c r="M648" s="12"/>
      <c r="R648" s="218"/>
      <c r="S648" s="218"/>
      <c r="T648" s="218"/>
      <c r="U648" s="218"/>
    </row>
    <row r="649">
      <c r="D649" s="3"/>
      <c r="E649" s="112"/>
      <c r="F649" s="3"/>
      <c r="G649" s="12"/>
      <c r="H649" s="12"/>
      <c r="K649" s="12"/>
      <c r="M649" s="12"/>
      <c r="R649" s="218"/>
      <c r="S649" s="218"/>
      <c r="T649" s="218"/>
      <c r="U649" s="218"/>
    </row>
    <row r="650">
      <c r="D650" s="3"/>
      <c r="E650" s="112"/>
      <c r="F650" s="3"/>
      <c r="G650" s="12"/>
      <c r="H650" s="12"/>
      <c r="K650" s="12"/>
      <c r="M650" s="12"/>
      <c r="R650" s="218"/>
      <c r="S650" s="218"/>
      <c r="T650" s="218"/>
      <c r="U650" s="218"/>
    </row>
    <row r="651">
      <c r="D651" s="3"/>
      <c r="E651" s="112"/>
      <c r="F651" s="3"/>
      <c r="G651" s="12"/>
      <c r="H651" s="12"/>
      <c r="K651" s="12"/>
      <c r="M651" s="12"/>
      <c r="R651" s="218"/>
      <c r="S651" s="218"/>
      <c r="T651" s="218"/>
      <c r="U651" s="218"/>
    </row>
    <row r="652">
      <c r="D652" s="3"/>
      <c r="E652" s="112"/>
      <c r="F652" s="3"/>
      <c r="G652" s="12"/>
      <c r="H652" s="12"/>
      <c r="K652" s="12"/>
      <c r="M652" s="12"/>
      <c r="R652" s="218"/>
      <c r="S652" s="218"/>
      <c r="T652" s="218"/>
      <c r="U652" s="218"/>
    </row>
    <row r="653">
      <c r="D653" s="3"/>
      <c r="E653" s="112"/>
      <c r="F653" s="3"/>
      <c r="G653" s="12"/>
      <c r="H653" s="12"/>
      <c r="K653" s="12"/>
      <c r="M653" s="12"/>
      <c r="R653" s="218"/>
      <c r="S653" s="218"/>
      <c r="T653" s="218"/>
      <c r="U653" s="218"/>
    </row>
    <row r="654">
      <c r="D654" s="3"/>
      <c r="E654" s="112"/>
      <c r="F654" s="3"/>
      <c r="G654" s="12"/>
      <c r="H654" s="12"/>
      <c r="K654" s="12"/>
      <c r="M654" s="12"/>
      <c r="R654" s="218"/>
      <c r="S654" s="218"/>
      <c r="T654" s="218"/>
      <c r="U654" s="218"/>
    </row>
    <row r="655">
      <c r="D655" s="3"/>
      <c r="E655" s="112"/>
      <c r="F655" s="3"/>
      <c r="G655" s="12"/>
      <c r="H655" s="12"/>
      <c r="K655" s="12"/>
      <c r="M655" s="12"/>
      <c r="R655" s="218"/>
      <c r="S655" s="218"/>
      <c r="T655" s="218"/>
      <c r="U655" s="218"/>
    </row>
    <row r="656">
      <c r="D656" s="3"/>
      <c r="E656" s="112"/>
      <c r="F656" s="3"/>
      <c r="G656" s="12"/>
      <c r="H656" s="12"/>
      <c r="K656" s="12"/>
      <c r="M656" s="12"/>
      <c r="R656" s="218"/>
      <c r="S656" s="218"/>
      <c r="T656" s="218"/>
      <c r="U656" s="218"/>
    </row>
    <row r="657">
      <c r="D657" s="3"/>
      <c r="E657" s="112"/>
      <c r="F657" s="3"/>
      <c r="G657" s="12"/>
      <c r="H657" s="12"/>
      <c r="K657" s="12"/>
      <c r="M657" s="12"/>
      <c r="R657" s="218"/>
      <c r="S657" s="218"/>
      <c r="T657" s="218"/>
      <c r="U657" s="218"/>
    </row>
    <row r="658">
      <c r="D658" s="3"/>
      <c r="E658" s="112"/>
      <c r="F658" s="3"/>
      <c r="G658" s="12"/>
      <c r="H658" s="12"/>
      <c r="K658" s="12"/>
      <c r="M658" s="12"/>
      <c r="R658" s="218"/>
      <c r="S658" s="218"/>
      <c r="T658" s="218"/>
      <c r="U658" s="218"/>
    </row>
    <row r="659">
      <c r="D659" s="3"/>
      <c r="E659" s="112"/>
      <c r="F659" s="3"/>
      <c r="G659" s="12"/>
      <c r="H659" s="12"/>
      <c r="K659" s="12"/>
      <c r="M659" s="12"/>
      <c r="R659" s="218"/>
      <c r="S659" s="218"/>
      <c r="T659" s="218"/>
      <c r="U659" s="218"/>
    </row>
    <row r="660">
      <c r="D660" s="3"/>
      <c r="E660" s="112"/>
      <c r="F660" s="3"/>
      <c r="G660" s="12"/>
      <c r="H660" s="12"/>
      <c r="K660" s="12"/>
      <c r="M660" s="12"/>
      <c r="R660" s="218"/>
      <c r="S660" s="218"/>
      <c r="T660" s="218"/>
      <c r="U660" s="218"/>
    </row>
    <row r="661">
      <c r="D661" s="3"/>
      <c r="E661" s="112"/>
      <c r="F661" s="3"/>
      <c r="G661" s="12"/>
      <c r="H661" s="12"/>
      <c r="K661" s="12"/>
      <c r="M661" s="12"/>
      <c r="R661" s="218"/>
      <c r="S661" s="218"/>
      <c r="T661" s="218"/>
      <c r="U661" s="218"/>
    </row>
    <row r="662">
      <c r="D662" s="3"/>
      <c r="E662" s="112"/>
      <c r="F662" s="3"/>
      <c r="G662" s="12"/>
      <c r="H662" s="12"/>
      <c r="K662" s="12"/>
      <c r="M662" s="12"/>
      <c r="R662" s="218"/>
      <c r="S662" s="218"/>
      <c r="T662" s="218"/>
      <c r="U662" s="218"/>
    </row>
    <row r="663">
      <c r="D663" s="3"/>
      <c r="E663" s="112"/>
      <c r="F663" s="3"/>
      <c r="G663" s="12"/>
      <c r="H663" s="12"/>
      <c r="K663" s="12"/>
      <c r="M663" s="12"/>
      <c r="R663" s="218"/>
      <c r="S663" s="218"/>
      <c r="T663" s="218"/>
      <c r="U663" s="218"/>
    </row>
    <row r="664">
      <c r="D664" s="3"/>
      <c r="E664" s="112"/>
      <c r="F664" s="3"/>
      <c r="G664" s="12"/>
      <c r="H664" s="12"/>
      <c r="K664" s="12"/>
      <c r="M664" s="12"/>
      <c r="R664" s="218"/>
      <c r="S664" s="218"/>
      <c r="T664" s="218"/>
      <c r="U664" s="218"/>
    </row>
    <row r="665">
      <c r="D665" s="3"/>
      <c r="E665" s="112"/>
      <c r="F665" s="3"/>
      <c r="G665" s="12"/>
      <c r="H665" s="12"/>
      <c r="K665" s="12"/>
      <c r="M665" s="12"/>
      <c r="R665" s="218"/>
      <c r="S665" s="218"/>
      <c r="T665" s="218"/>
      <c r="U665" s="218"/>
    </row>
    <row r="666">
      <c r="D666" s="3"/>
      <c r="E666" s="112"/>
      <c r="F666" s="3"/>
      <c r="G666" s="12"/>
      <c r="H666" s="12"/>
      <c r="K666" s="12"/>
      <c r="M666" s="12"/>
      <c r="R666" s="218"/>
      <c r="S666" s="218"/>
      <c r="T666" s="218"/>
      <c r="U666" s="218"/>
    </row>
    <row r="667">
      <c r="D667" s="3"/>
      <c r="E667" s="112"/>
      <c r="F667" s="3"/>
      <c r="G667" s="12"/>
      <c r="H667" s="12"/>
      <c r="K667" s="12"/>
      <c r="M667" s="12"/>
      <c r="R667" s="218"/>
      <c r="S667" s="218"/>
      <c r="T667" s="218"/>
      <c r="U667" s="218"/>
    </row>
    <row r="668">
      <c r="D668" s="3"/>
      <c r="E668" s="112"/>
      <c r="F668" s="3"/>
      <c r="G668" s="12"/>
      <c r="H668" s="12"/>
      <c r="K668" s="12"/>
      <c r="M668" s="12"/>
      <c r="R668" s="218"/>
      <c r="S668" s="218"/>
      <c r="T668" s="218"/>
      <c r="U668" s="218"/>
    </row>
    <row r="669">
      <c r="D669" s="3"/>
      <c r="E669" s="112"/>
      <c r="F669" s="3"/>
      <c r="G669" s="12"/>
      <c r="H669" s="12"/>
      <c r="K669" s="12"/>
      <c r="M669" s="12"/>
      <c r="R669" s="218"/>
      <c r="S669" s="218"/>
      <c r="T669" s="218"/>
      <c r="U669" s="218"/>
    </row>
    <row r="670">
      <c r="D670" s="3"/>
      <c r="E670" s="112"/>
      <c r="F670" s="3"/>
      <c r="G670" s="12"/>
      <c r="H670" s="12"/>
      <c r="K670" s="12"/>
      <c r="M670" s="12"/>
      <c r="R670" s="218"/>
      <c r="S670" s="218"/>
      <c r="T670" s="218"/>
      <c r="U670" s="218"/>
    </row>
    <row r="671">
      <c r="D671" s="3"/>
      <c r="E671" s="112"/>
      <c r="F671" s="3"/>
      <c r="G671" s="12"/>
      <c r="H671" s="12"/>
      <c r="K671" s="12"/>
      <c r="M671" s="12"/>
      <c r="R671" s="218"/>
      <c r="S671" s="218"/>
      <c r="T671" s="218"/>
      <c r="U671" s="218"/>
    </row>
    <row r="672">
      <c r="D672" s="3"/>
      <c r="E672" s="112"/>
      <c r="F672" s="3"/>
      <c r="G672" s="12"/>
      <c r="H672" s="12"/>
      <c r="K672" s="12"/>
      <c r="M672" s="12"/>
      <c r="R672" s="218"/>
      <c r="S672" s="218"/>
      <c r="T672" s="218"/>
      <c r="U672" s="218"/>
    </row>
    <row r="673">
      <c r="D673" s="3"/>
      <c r="E673" s="112"/>
      <c r="F673" s="3"/>
      <c r="G673" s="12"/>
      <c r="H673" s="12"/>
      <c r="K673" s="12"/>
      <c r="M673" s="12"/>
      <c r="R673" s="218"/>
      <c r="S673" s="218"/>
      <c r="T673" s="218"/>
      <c r="U673" s="218"/>
    </row>
    <row r="674">
      <c r="D674" s="3"/>
      <c r="E674" s="112"/>
      <c r="F674" s="3"/>
      <c r="G674" s="12"/>
      <c r="H674" s="12"/>
      <c r="K674" s="12"/>
      <c r="M674" s="12"/>
      <c r="R674" s="218"/>
      <c r="S674" s="218"/>
      <c r="T674" s="218"/>
      <c r="U674" s="218"/>
    </row>
    <row r="675">
      <c r="D675" s="3"/>
      <c r="E675" s="112"/>
      <c r="F675" s="3"/>
      <c r="G675" s="12"/>
      <c r="H675" s="12"/>
      <c r="K675" s="12"/>
      <c r="M675" s="12"/>
      <c r="R675" s="218"/>
      <c r="S675" s="218"/>
      <c r="T675" s="218"/>
      <c r="U675" s="218"/>
    </row>
    <row r="676">
      <c r="D676" s="3"/>
      <c r="E676" s="112"/>
      <c r="F676" s="3"/>
      <c r="G676" s="12"/>
      <c r="H676" s="12"/>
      <c r="K676" s="12"/>
      <c r="M676" s="12"/>
      <c r="R676" s="218"/>
      <c r="S676" s="218"/>
      <c r="T676" s="218"/>
      <c r="U676" s="218"/>
    </row>
    <row r="677">
      <c r="D677" s="3"/>
      <c r="E677" s="112"/>
      <c r="F677" s="3"/>
      <c r="G677" s="12"/>
      <c r="H677" s="12"/>
      <c r="K677" s="12"/>
      <c r="M677" s="12"/>
      <c r="R677" s="218"/>
      <c r="S677" s="218"/>
      <c r="T677" s="218"/>
      <c r="U677" s="218"/>
    </row>
    <row r="678">
      <c r="D678" s="3"/>
      <c r="E678" s="112"/>
      <c r="F678" s="3"/>
      <c r="G678" s="12"/>
      <c r="H678" s="12"/>
      <c r="K678" s="12"/>
      <c r="M678" s="12"/>
      <c r="R678" s="218"/>
      <c r="S678" s="218"/>
      <c r="T678" s="218"/>
      <c r="U678" s="218"/>
    </row>
    <row r="679">
      <c r="D679" s="3"/>
      <c r="E679" s="112"/>
      <c r="F679" s="3"/>
      <c r="G679" s="12"/>
      <c r="H679" s="12"/>
      <c r="K679" s="12"/>
      <c r="M679" s="12"/>
      <c r="R679" s="218"/>
      <c r="S679" s="218"/>
      <c r="T679" s="218"/>
      <c r="U679" s="218"/>
    </row>
    <row r="680">
      <c r="D680" s="3"/>
      <c r="E680" s="112"/>
      <c r="F680" s="3"/>
      <c r="G680" s="12"/>
      <c r="H680" s="12"/>
      <c r="K680" s="12"/>
      <c r="M680" s="12"/>
      <c r="R680" s="218"/>
      <c r="S680" s="218"/>
      <c r="T680" s="218"/>
      <c r="U680" s="218"/>
    </row>
    <row r="681">
      <c r="D681" s="3"/>
      <c r="E681" s="112"/>
      <c r="F681" s="3"/>
      <c r="G681" s="12"/>
      <c r="H681" s="12"/>
      <c r="K681" s="12"/>
      <c r="M681" s="12"/>
      <c r="R681" s="218"/>
      <c r="S681" s="218"/>
      <c r="T681" s="218"/>
      <c r="U681" s="218"/>
    </row>
    <row r="682">
      <c r="D682" s="3"/>
      <c r="E682" s="112"/>
      <c r="F682" s="3"/>
      <c r="G682" s="12"/>
      <c r="H682" s="12"/>
      <c r="K682" s="12"/>
      <c r="M682" s="12"/>
      <c r="R682" s="218"/>
      <c r="S682" s="218"/>
      <c r="T682" s="218"/>
      <c r="U682" s="218"/>
    </row>
    <row r="683">
      <c r="D683" s="3"/>
      <c r="E683" s="112"/>
      <c r="F683" s="3"/>
      <c r="G683" s="12"/>
      <c r="H683" s="12"/>
      <c r="K683" s="12"/>
      <c r="M683" s="12"/>
      <c r="R683" s="218"/>
      <c r="S683" s="218"/>
      <c r="T683" s="218"/>
      <c r="U683" s="218"/>
    </row>
    <row r="684">
      <c r="D684" s="3"/>
      <c r="E684" s="112"/>
      <c r="F684" s="3"/>
      <c r="G684" s="12"/>
      <c r="H684" s="12"/>
      <c r="K684" s="12"/>
      <c r="M684" s="12"/>
      <c r="R684" s="218"/>
      <c r="S684" s="218"/>
      <c r="T684" s="218"/>
      <c r="U684" s="218"/>
    </row>
    <row r="685">
      <c r="D685" s="3"/>
      <c r="E685" s="112"/>
      <c r="F685" s="3"/>
      <c r="G685" s="12"/>
      <c r="H685" s="12"/>
      <c r="K685" s="12"/>
      <c r="M685" s="12"/>
      <c r="R685" s="218"/>
      <c r="S685" s="218"/>
      <c r="T685" s="218"/>
      <c r="U685" s="218"/>
    </row>
    <row r="686">
      <c r="D686" s="3"/>
      <c r="E686" s="112"/>
      <c r="F686" s="3"/>
      <c r="G686" s="12"/>
      <c r="H686" s="12"/>
      <c r="K686" s="12"/>
      <c r="M686" s="12"/>
      <c r="R686" s="218"/>
      <c r="S686" s="218"/>
      <c r="T686" s="218"/>
      <c r="U686" s="218"/>
    </row>
    <row r="687">
      <c r="D687" s="3"/>
      <c r="E687" s="112"/>
      <c r="F687" s="3"/>
      <c r="G687" s="12"/>
      <c r="H687" s="12"/>
      <c r="K687" s="12"/>
      <c r="M687" s="12"/>
      <c r="R687" s="218"/>
      <c r="S687" s="218"/>
      <c r="T687" s="218"/>
      <c r="U687" s="218"/>
    </row>
    <row r="688">
      <c r="D688" s="3"/>
      <c r="E688" s="112"/>
      <c r="F688" s="3"/>
      <c r="G688" s="12"/>
      <c r="H688" s="12"/>
      <c r="K688" s="12"/>
      <c r="M688" s="12"/>
      <c r="R688" s="218"/>
      <c r="S688" s="218"/>
      <c r="T688" s="218"/>
      <c r="U688" s="218"/>
    </row>
    <row r="689">
      <c r="D689" s="3"/>
      <c r="E689" s="112"/>
      <c r="F689" s="3"/>
      <c r="G689" s="12"/>
      <c r="H689" s="12"/>
      <c r="K689" s="12"/>
      <c r="M689" s="12"/>
      <c r="R689" s="218"/>
      <c r="S689" s="218"/>
      <c r="T689" s="218"/>
      <c r="U689" s="218"/>
    </row>
    <row r="690">
      <c r="D690" s="3"/>
      <c r="E690" s="112"/>
      <c r="F690" s="3"/>
      <c r="G690" s="12"/>
      <c r="H690" s="12"/>
      <c r="K690" s="12"/>
      <c r="M690" s="12"/>
      <c r="R690" s="218"/>
      <c r="S690" s="218"/>
      <c r="T690" s="218"/>
      <c r="U690" s="218"/>
    </row>
    <row r="691">
      <c r="D691" s="3"/>
      <c r="E691" s="112"/>
      <c r="F691" s="3"/>
      <c r="G691" s="12"/>
      <c r="H691" s="12"/>
      <c r="K691" s="12"/>
      <c r="M691" s="12"/>
      <c r="R691" s="218"/>
      <c r="S691" s="218"/>
      <c r="T691" s="218"/>
      <c r="U691" s="218"/>
    </row>
    <row r="692">
      <c r="D692" s="3"/>
      <c r="E692" s="112"/>
      <c r="F692" s="3"/>
      <c r="G692" s="12"/>
      <c r="H692" s="12"/>
      <c r="K692" s="12"/>
      <c r="M692" s="12"/>
      <c r="R692" s="218"/>
      <c r="S692" s="218"/>
      <c r="T692" s="218"/>
      <c r="U692" s="218"/>
    </row>
    <row r="693">
      <c r="D693" s="3"/>
      <c r="E693" s="112"/>
      <c r="F693" s="3"/>
      <c r="G693" s="12"/>
      <c r="H693" s="12"/>
      <c r="K693" s="12"/>
      <c r="M693" s="12"/>
      <c r="R693" s="218"/>
      <c r="S693" s="218"/>
      <c r="T693" s="218"/>
      <c r="U693" s="218"/>
    </row>
    <row r="694">
      <c r="D694" s="3"/>
      <c r="E694" s="112"/>
      <c r="F694" s="3"/>
      <c r="G694" s="12"/>
      <c r="H694" s="12"/>
      <c r="K694" s="12"/>
      <c r="M694" s="12"/>
      <c r="R694" s="218"/>
      <c r="S694" s="218"/>
      <c r="T694" s="218"/>
      <c r="U694" s="218"/>
    </row>
    <row r="695">
      <c r="D695" s="3"/>
      <c r="E695" s="112"/>
      <c r="F695" s="3"/>
      <c r="G695" s="12"/>
      <c r="H695" s="12"/>
      <c r="K695" s="12"/>
      <c r="M695" s="12"/>
      <c r="R695" s="218"/>
      <c r="S695" s="218"/>
      <c r="T695" s="218"/>
      <c r="U695" s="218"/>
    </row>
    <row r="696">
      <c r="D696" s="3"/>
      <c r="E696" s="112"/>
      <c r="F696" s="3"/>
      <c r="G696" s="12"/>
      <c r="H696" s="12"/>
      <c r="K696" s="12"/>
      <c r="M696" s="12"/>
      <c r="R696" s="218"/>
      <c r="S696" s="218"/>
      <c r="T696" s="218"/>
      <c r="U696" s="218"/>
    </row>
    <row r="697">
      <c r="D697" s="3"/>
      <c r="E697" s="112"/>
      <c r="F697" s="3"/>
      <c r="G697" s="12"/>
      <c r="H697" s="12"/>
      <c r="K697" s="12"/>
      <c r="M697" s="12"/>
      <c r="R697" s="218"/>
      <c r="S697" s="218"/>
      <c r="T697" s="218"/>
      <c r="U697" s="218"/>
    </row>
    <row r="698">
      <c r="D698" s="3"/>
      <c r="E698" s="112"/>
      <c r="F698" s="3"/>
      <c r="G698" s="12"/>
      <c r="H698" s="12"/>
      <c r="K698" s="12"/>
      <c r="M698" s="12"/>
      <c r="R698" s="218"/>
      <c r="S698" s="218"/>
      <c r="T698" s="218"/>
      <c r="U698" s="218"/>
    </row>
    <row r="699">
      <c r="D699" s="3"/>
      <c r="E699" s="112"/>
      <c r="F699" s="3"/>
      <c r="G699" s="12"/>
      <c r="H699" s="12"/>
      <c r="K699" s="12"/>
      <c r="M699" s="12"/>
      <c r="R699" s="218"/>
      <c r="S699" s="218"/>
      <c r="T699" s="218"/>
      <c r="U699" s="218"/>
    </row>
    <row r="700">
      <c r="D700" s="3"/>
      <c r="E700" s="112"/>
      <c r="F700" s="3"/>
      <c r="G700" s="12"/>
      <c r="H700" s="12"/>
      <c r="K700" s="12"/>
      <c r="M700" s="12"/>
      <c r="R700" s="218"/>
      <c r="S700" s="218"/>
      <c r="T700" s="218"/>
      <c r="U700" s="218"/>
    </row>
    <row r="701">
      <c r="D701" s="3"/>
      <c r="E701" s="112"/>
      <c r="F701" s="3"/>
      <c r="G701" s="12"/>
      <c r="H701" s="12"/>
      <c r="K701" s="12"/>
      <c r="M701" s="12"/>
      <c r="R701" s="218"/>
      <c r="S701" s="218"/>
      <c r="T701" s="218"/>
      <c r="U701" s="218"/>
    </row>
    <row r="702">
      <c r="D702" s="3"/>
      <c r="E702" s="112"/>
      <c r="F702" s="3"/>
      <c r="G702" s="12"/>
      <c r="H702" s="12"/>
      <c r="K702" s="12"/>
      <c r="M702" s="12"/>
      <c r="R702" s="218"/>
      <c r="S702" s="218"/>
      <c r="T702" s="218"/>
      <c r="U702" s="218"/>
    </row>
    <row r="703">
      <c r="D703" s="3"/>
      <c r="E703" s="112"/>
      <c r="F703" s="3"/>
      <c r="G703" s="12"/>
      <c r="H703" s="12"/>
      <c r="K703" s="12"/>
      <c r="M703" s="12"/>
      <c r="R703" s="218"/>
      <c r="S703" s="218"/>
      <c r="T703" s="218"/>
      <c r="U703" s="218"/>
    </row>
    <row r="704">
      <c r="D704" s="3"/>
      <c r="E704" s="112"/>
      <c r="F704" s="3"/>
      <c r="G704" s="12"/>
      <c r="H704" s="12"/>
      <c r="K704" s="12"/>
      <c r="M704" s="12"/>
      <c r="R704" s="218"/>
      <c r="S704" s="218"/>
      <c r="T704" s="218"/>
      <c r="U704" s="218"/>
    </row>
    <row r="705">
      <c r="D705" s="3"/>
      <c r="E705" s="112"/>
      <c r="F705" s="3"/>
      <c r="G705" s="12"/>
      <c r="H705" s="12"/>
      <c r="K705" s="12"/>
      <c r="M705" s="12"/>
      <c r="R705" s="218"/>
      <c r="S705" s="218"/>
      <c r="T705" s="218"/>
      <c r="U705" s="218"/>
    </row>
    <row r="706">
      <c r="D706" s="3"/>
      <c r="E706" s="112"/>
      <c r="F706" s="3"/>
      <c r="G706" s="12"/>
      <c r="H706" s="12"/>
      <c r="K706" s="12"/>
      <c r="M706" s="12"/>
      <c r="R706" s="218"/>
      <c r="S706" s="218"/>
      <c r="T706" s="218"/>
      <c r="U706" s="218"/>
    </row>
    <row r="707">
      <c r="D707" s="3"/>
      <c r="E707" s="112"/>
      <c r="F707" s="3"/>
      <c r="G707" s="12"/>
      <c r="H707" s="12"/>
      <c r="K707" s="12"/>
      <c r="M707" s="12"/>
      <c r="R707" s="218"/>
      <c r="S707" s="218"/>
      <c r="T707" s="218"/>
      <c r="U707" s="218"/>
    </row>
    <row r="708">
      <c r="D708" s="3"/>
      <c r="E708" s="112"/>
      <c r="F708" s="3"/>
      <c r="G708" s="12"/>
      <c r="H708" s="12"/>
      <c r="K708" s="12"/>
      <c r="M708" s="12"/>
      <c r="R708" s="218"/>
      <c r="S708" s="218"/>
      <c r="T708" s="218"/>
      <c r="U708" s="218"/>
    </row>
    <row r="709">
      <c r="D709" s="3"/>
      <c r="E709" s="112"/>
      <c r="F709" s="3"/>
      <c r="G709" s="12"/>
      <c r="H709" s="12"/>
      <c r="K709" s="12"/>
      <c r="M709" s="12"/>
      <c r="R709" s="218"/>
      <c r="S709" s="218"/>
      <c r="T709" s="218"/>
      <c r="U709" s="218"/>
    </row>
    <row r="710">
      <c r="D710" s="3"/>
      <c r="E710" s="112"/>
      <c r="F710" s="3"/>
      <c r="G710" s="12"/>
      <c r="H710" s="12"/>
      <c r="K710" s="12"/>
      <c r="M710" s="12"/>
      <c r="R710" s="218"/>
      <c r="S710" s="218"/>
      <c r="T710" s="218"/>
      <c r="U710" s="218"/>
    </row>
    <row r="711">
      <c r="D711" s="3"/>
      <c r="E711" s="112"/>
      <c r="F711" s="3"/>
      <c r="G711" s="12"/>
      <c r="H711" s="12"/>
      <c r="K711" s="12"/>
      <c r="M711" s="12"/>
      <c r="R711" s="218"/>
      <c r="S711" s="218"/>
      <c r="T711" s="218"/>
      <c r="U711" s="218"/>
    </row>
    <row r="712">
      <c r="D712" s="3"/>
      <c r="E712" s="112"/>
      <c r="F712" s="3"/>
      <c r="G712" s="12"/>
      <c r="H712" s="12"/>
      <c r="K712" s="12"/>
      <c r="M712" s="12"/>
      <c r="R712" s="218"/>
      <c r="S712" s="218"/>
      <c r="T712" s="218"/>
      <c r="U712" s="218"/>
    </row>
    <row r="713">
      <c r="D713" s="3"/>
      <c r="E713" s="112"/>
      <c r="F713" s="3"/>
      <c r="G713" s="12"/>
      <c r="H713" s="12"/>
      <c r="K713" s="12"/>
      <c r="M713" s="12"/>
      <c r="R713" s="218"/>
      <c r="S713" s="218"/>
      <c r="T713" s="218"/>
      <c r="U713" s="218"/>
    </row>
    <row r="714">
      <c r="D714" s="3"/>
      <c r="E714" s="112"/>
      <c r="F714" s="3"/>
      <c r="G714" s="12"/>
      <c r="H714" s="12"/>
      <c r="K714" s="12"/>
      <c r="M714" s="12"/>
      <c r="R714" s="218"/>
      <c r="S714" s="218"/>
      <c r="T714" s="218"/>
      <c r="U714" s="218"/>
    </row>
    <row r="715">
      <c r="D715" s="3"/>
      <c r="E715" s="112"/>
      <c r="F715" s="3"/>
      <c r="G715" s="12"/>
      <c r="H715" s="12"/>
      <c r="K715" s="12"/>
      <c r="M715" s="12"/>
      <c r="R715" s="218"/>
      <c r="S715" s="218"/>
      <c r="T715" s="218"/>
      <c r="U715" s="218"/>
    </row>
    <row r="716">
      <c r="D716" s="3"/>
      <c r="E716" s="112"/>
      <c r="F716" s="3"/>
      <c r="G716" s="12"/>
      <c r="H716" s="12"/>
      <c r="K716" s="12"/>
      <c r="M716" s="12"/>
      <c r="R716" s="218"/>
      <c r="S716" s="218"/>
      <c r="T716" s="218"/>
      <c r="U716" s="218"/>
    </row>
    <row r="717">
      <c r="D717" s="3"/>
      <c r="E717" s="112"/>
      <c r="F717" s="3"/>
      <c r="G717" s="12"/>
      <c r="H717" s="12"/>
      <c r="K717" s="12"/>
      <c r="M717" s="12"/>
      <c r="R717" s="218"/>
      <c r="S717" s="218"/>
      <c r="T717" s="218"/>
      <c r="U717" s="218"/>
    </row>
    <row r="718">
      <c r="D718" s="3"/>
      <c r="E718" s="112"/>
      <c r="F718" s="3"/>
      <c r="G718" s="12"/>
      <c r="H718" s="12"/>
      <c r="K718" s="12"/>
      <c r="M718" s="12"/>
      <c r="R718" s="218"/>
      <c r="S718" s="218"/>
      <c r="T718" s="218"/>
      <c r="U718" s="218"/>
    </row>
    <row r="719">
      <c r="D719" s="3"/>
      <c r="E719" s="112"/>
      <c r="F719" s="3"/>
      <c r="G719" s="12"/>
      <c r="H719" s="12"/>
      <c r="K719" s="12"/>
      <c r="M719" s="12"/>
      <c r="R719" s="218"/>
      <c r="S719" s="218"/>
      <c r="T719" s="218"/>
      <c r="U719" s="218"/>
    </row>
    <row r="720">
      <c r="D720" s="3"/>
      <c r="E720" s="112"/>
      <c r="F720" s="3"/>
      <c r="G720" s="12"/>
      <c r="H720" s="12"/>
      <c r="K720" s="12"/>
      <c r="M720" s="12"/>
      <c r="R720" s="218"/>
      <c r="S720" s="218"/>
      <c r="T720" s="218"/>
      <c r="U720" s="218"/>
    </row>
    <row r="721">
      <c r="D721" s="3"/>
      <c r="E721" s="112"/>
      <c r="F721" s="3"/>
      <c r="G721" s="12"/>
      <c r="H721" s="12"/>
      <c r="K721" s="12"/>
      <c r="M721" s="12"/>
      <c r="R721" s="218"/>
      <c r="S721" s="218"/>
      <c r="T721" s="218"/>
      <c r="U721" s="218"/>
    </row>
    <row r="722">
      <c r="D722" s="3"/>
      <c r="E722" s="112"/>
      <c r="F722" s="3"/>
      <c r="G722" s="12"/>
      <c r="H722" s="12"/>
      <c r="K722" s="12"/>
      <c r="M722" s="12"/>
      <c r="R722" s="218"/>
      <c r="S722" s="218"/>
      <c r="T722" s="218"/>
      <c r="U722" s="218"/>
    </row>
    <row r="723">
      <c r="D723" s="3"/>
      <c r="E723" s="112"/>
      <c r="F723" s="3"/>
      <c r="G723" s="12"/>
      <c r="H723" s="12"/>
      <c r="K723" s="12"/>
      <c r="M723" s="12"/>
      <c r="R723" s="218"/>
      <c r="S723" s="218"/>
      <c r="T723" s="218"/>
      <c r="U723" s="218"/>
    </row>
    <row r="724">
      <c r="D724" s="3"/>
      <c r="E724" s="112"/>
      <c r="F724" s="3"/>
      <c r="G724" s="12"/>
      <c r="H724" s="12"/>
      <c r="K724" s="12"/>
      <c r="M724" s="12"/>
      <c r="R724" s="218"/>
      <c r="S724" s="218"/>
      <c r="T724" s="218"/>
      <c r="U724" s="218"/>
    </row>
    <row r="725">
      <c r="D725" s="3"/>
      <c r="E725" s="112"/>
      <c r="F725" s="3"/>
      <c r="G725" s="12"/>
      <c r="H725" s="12"/>
      <c r="K725" s="12"/>
      <c r="M725" s="12"/>
      <c r="R725" s="218"/>
      <c r="S725" s="218"/>
      <c r="T725" s="218"/>
      <c r="U725" s="218"/>
    </row>
    <row r="726">
      <c r="D726" s="3"/>
      <c r="E726" s="112"/>
      <c r="F726" s="3"/>
      <c r="G726" s="12"/>
      <c r="H726" s="12"/>
      <c r="K726" s="12"/>
      <c r="M726" s="12"/>
      <c r="R726" s="218"/>
      <c r="S726" s="218"/>
      <c r="T726" s="218"/>
      <c r="U726" s="218"/>
    </row>
    <row r="727">
      <c r="D727" s="3"/>
      <c r="E727" s="112"/>
      <c r="F727" s="3"/>
      <c r="G727" s="12"/>
      <c r="H727" s="12"/>
      <c r="K727" s="12"/>
      <c r="M727" s="12"/>
      <c r="R727" s="218"/>
      <c r="S727" s="218"/>
      <c r="T727" s="218"/>
      <c r="U727" s="218"/>
    </row>
    <row r="728">
      <c r="D728" s="3"/>
      <c r="E728" s="112"/>
      <c r="F728" s="3"/>
      <c r="G728" s="12"/>
      <c r="H728" s="12"/>
      <c r="K728" s="12"/>
      <c r="M728" s="12"/>
      <c r="R728" s="218"/>
      <c r="S728" s="218"/>
      <c r="T728" s="218"/>
      <c r="U728" s="218"/>
    </row>
    <row r="729">
      <c r="D729" s="3"/>
      <c r="E729" s="112"/>
      <c r="F729" s="3"/>
      <c r="G729" s="12"/>
      <c r="H729" s="12"/>
      <c r="K729" s="12"/>
      <c r="M729" s="12"/>
      <c r="R729" s="218"/>
      <c r="S729" s="218"/>
      <c r="T729" s="218"/>
      <c r="U729" s="218"/>
    </row>
    <row r="730">
      <c r="D730" s="3"/>
      <c r="E730" s="112"/>
      <c r="F730" s="3"/>
      <c r="G730" s="12"/>
      <c r="H730" s="12"/>
      <c r="K730" s="12"/>
      <c r="M730" s="12"/>
      <c r="R730" s="218"/>
      <c r="S730" s="218"/>
      <c r="T730" s="218"/>
      <c r="U730" s="218"/>
    </row>
    <row r="731">
      <c r="D731" s="3"/>
      <c r="E731" s="112"/>
      <c r="F731" s="3"/>
      <c r="G731" s="12"/>
      <c r="H731" s="12"/>
      <c r="K731" s="12"/>
      <c r="M731" s="12"/>
      <c r="R731" s="218"/>
      <c r="S731" s="218"/>
      <c r="T731" s="218"/>
      <c r="U731" s="218"/>
    </row>
    <row r="732">
      <c r="D732" s="3"/>
      <c r="E732" s="112"/>
      <c r="F732" s="3"/>
      <c r="G732" s="12"/>
      <c r="H732" s="12"/>
      <c r="K732" s="12"/>
      <c r="M732" s="12"/>
      <c r="R732" s="218"/>
      <c r="S732" s="218"/>
      <c r="T732" s="218"/>
      <c r="U732" s="218"/>
    </row>
    <row r="733">
      <c r="D733" s="3"/>
      <c r="E733" s="112"/>
      <c r="F733" s="3"/>
      <c r="G733" s="12"/>
      <c r="H733" s="12"/>
      <c r="K733" s="12"/>
      <c r="M733" s="12"/>
      <c r="R733" s="218"/>
      <c r="S733" s="218"/>
      <c r="T733" s="218"/>
      <c r="U733" s="218"/>
    </row>
    <row r="734">
      <c r="D734" s="3"/>
      <c r="E734" s="112"/>
      <c r="F734" s="3"/>
      <c r="G734" s="12"/>
      <c r="H734" s="12"/>
      <c r="K734" s="12"/>
      <c r="M734" s="12"/>
      <c r="R734" s="218"/>
      <c r="S734" s="218"/>
      <c r="T734" s="218"/>
      <c r="U734" s="218"/>
    </row>
    <row r="735">
      <c r="D735" s="3"/>
      <c r="E735" s="112"/>
      <c r="F735" s="3"/>
      <c r="G735" s="12"/>
      <c r="H735" s="12"/>
      <c r="K735" s="12"/>
      <c r="M735" s="12"/>
      <c r="R735" s="218"/>
      <c r="S735" s="218"/>
      <c r="T735" s="218"/>
      <c r="U735" s="218"/>
    </row>
    <row r="736">
      <c r="D736" s="3"/>
      <c r="E736" s="112"/>
      <c r="F736" s="3"/>
      <c r="G736" s="12"/>
      <c r="H736" s="12"/>
      <c r="K736" s="12"/>
      <c r="M736" s="12"/>
      <c r="R736" s="218"/>
      <c r="S736" s="218"/>
      <c r="T736" s="218"/>
      <c r="U736" s="218"/>
    </row>
    <row r="737">
      <c r="D737" s="3"/>
      <c r="E737" s="112"/>
      <c r="F737" s="3"/>
      <c r="G737" s="12"/>
      <c r="H737" s="12"/>
      <c r="K737" s="12"/>
      <c r="M737" s="12"/>
      <c r="R737" s="218"/>
      <c r="S737" s="218"/>
      <c r="T737" s="218"/>
      <c r="U737" s="218"/>
    </row>
    <row r="738">
      <c r="D738" s="3"/>
      <c r="E738" s="112"/>
      <c r="F738" s="3"/>
      <c r="G738" s="12"/>
      <c r="H738" s="12"/>
      <c r="K738" s="12"/>
      <c r="M738" s="12"/>
      <c r="R738" s="218"/>
      <c r="S738" s="218"/>
      <c r="T738" s="218"/>
      <c r="U738" s="218"/>
    </row>
    <row r="739">
      <c r="D739" s="3"/>
      <c r="E739" s="112"/>
      <c r="F739" s="3"/>
      <c r="G739" s="12"/>
      <c r="H739" s="12"/>
      <c r="K739" s="12"/>
      <c r="M739" s="12"/>
      <c r="R739" s="218"/>
      <c r="S739" s="218"/>
      <c r="T739" s="218"/>
      <c r="U739" s="218"/>
    </row>
    <row r="740">
      <c r="D740" s="3"/>
      <c r="E740" s="112"/>
      <c r="F740" s="3"/>
      <c r="G740" s="12"/>
      <c r="H740" s="12"/>
      <c r="K740" s="12"/>
      <c r="M740" s="12"/>
      <c r="R740" s="218"/>
      <c r="S740" s="218"/>
      <c r="T740" s="218"/>
      <c r="U740" s="218"/>
    </row>
    <row r="741">
      <c r="D741" s="3"/>
      <c r="E741" s="112"/>
      <c r="F741" s="3"/>
      <c r="G741" s="12"/>
      <c r="H741" s="12"/>
      <c r="K741" s="12"/>
      <c r="M741" s="12"/>
      <c r="R741" s="218"/>
      <c r="S741" s="218"/>
      <c r="T741" s="218"/>
      <c r="U741" s="218"/>
    </row>
    <row r="742">
      <c r="D742" s="3"/>
      <c r="E742" s="112"/>
      <c r="F742" s="3"/>
      <c r="G742" s="12"/>
      <c r="H742" s="12"/>
      <c r="K742" s="12"/>
      <c r="M742" s="12"/>
      <c r="R742" s="218"/>
      <c r="S742" s="218"/>
      <c r="T742" s="218"/>
      <c r="U742" s="218"/>
    </row>
    <row r="743">
      <c r="D743" s="3"/>
      <c r="E743" s="112"/>
      <c r="F743" s="3"/>
      <c r="G743" s="12"/>
      <c r="H743" s="12"/>
      <c r="K743" s="12"/>
      <c r="M743" s="12"/>
      <c r="R743" s="218"/>
      <c r="S743" s="218"/>
      <c r="T743" s="218"/>
      <c r="U743" s="218"/>
    </row>
    <row r="744">
      <c r="D744" s="3"/>
      <c r="E744" s="112"/>
      <c r="F744" s="3"/>
      <c r="G744" s="12"/>
      <c r="H744" s="12"/>
      <c r="K744" s="12"/>
      <c r="M744" s="12"/>
      <c r="R744" s="218"/>
      <c r="S744" s="218"/>
      <c r="T744" s="218"/>
      <c r="U744" s="218"/>
    </row>
    <row r="745">
      <c r="D745" s="3"/>
      <c r="E745" s="112"/>
      <c r="F745" s="3"/>
      <c r="G745" s="12"/>
      <c r="H745" s="12"/>
      <c r="K745" s="12"/>
      <c r="M745" s="12"/>
      <c r="R745" s="218"/>
      <c r="S745" s="218"/>
      <c r="T745" s="218"/>
      <c r="U745" s="218"/>
    </row>
    <row r="746">
      <c r="D746" s="3"/>
      <c r="E746" s="112"/>
      <c r="F746" s="3"/>
      <c r="G746" s="12"/>
      <c r="H746" s="12"/>
      <c r="K746" s="12"/>
      <c r="M746" s="12"/>
      <c r="R746" s="218"/>
      <c r="S746" s="218"/>
      <c r="T746" s="218"/>
      <c r="U746" s="218"/>
    </row>
    <row r="747">
      <c r="D747" s="3"/>
      <c r="E747" s="112"/>
      <c r="F747" s="3"/>
      <c r="G747" s="12"/>
      <c r="H747" s="12"/>
      <c r="K747" s="12"/>
      <c r="M747" s="12"/>
      <c r="R747" s="218"/>
      <c r="S747" s="218"/>
      <c r="T747" s="218"/>
      <c r="U747" s="218"/>
    </row>
    <row r="748">
      <c r="D748" s="3"/>
      <c r="E748" s="112"/>
      <c r="F748" s="3"/>
      <c r="G748" s="12"/>
      <c r="H748" s="12"/>
      <c r="K748" s="12"/>
      <c r="M748" s="12"/>
      <c r="R748" s="218"/>
      <c r="S748" s="218"/>
      <c r="T748" s="218"/>
      <c r="U748" s="218"/>
    </row>
    <row r="749">
      <c r="D749" s="3"/>
      <c r="E749" s="112"/>
      <c r="F749" s="3"/>
      <c r="G749" s="12"/>
      <c r="H749" s="12"/>
      <c r="K749" s="12"/>
      <c r="M749" s="12"/>
      <c r="R749" s="218"/>
      <c r="S749" s="218"/>
      <c r="T749" s="218"/>
      <c r="U749" s="218"/>
    </row>
    <row r="750">
      <c r="D750" s="3"/>
      <c r="E750" s="112"/>
      <c r="F750" s="3"/>
      <c r="G750" s="12"/>
      <c r="H750" s="12"/>
      <c r="K750" s="12"/>
      <c r="M750" s="12"/>
      <c r="R750" s="218"/>
      <c r="S750" s="218"/>
      <c r="T750" s="218"/>
      <c r="U750" s="218"/>
    </row>
    <row r="751">
      <c r="D751" s="3"/>
      <c r="E751" s="112"/>
      <c r="F751" s="3"/>
      <c r="G751" s="12"/>
      <c r="H751" s="12"/>
      <c r="K751" s="12"/>
      <c r="M751" s="12"/>
      <c r="R751" s="218"/>
      <c r="S751" s="218"/>
      <c r="T751" s="218"/>
      <c r="U751" s="218"/>
    </row>
    <row r="752">
      <c r="D752" s="3"/>
      <c r="E752" s="112"/>
      <c r="F752" s="3"/>
      <c r="G752" s="12"/>
      <c r="H752" s="12"/>
      <c r="K752" s="12"/>
      <c r="M752" s="12"/>
      <c r="R752" s="218"/>
      <c r="S752" s="218"/>
      <c r="T752" s="218"/>
      <c r="U752" s="218"/>
    </row>
    <row r="753">
      <c r="D753" s="3"/>
      <c r="E753" s="112"/>
      <c r="F753" s="3"/>
      <c r="G753" s="12"/>
      <c r="H753" s="12"/>
      <c r="K753" s="12"/>
      <c r="M753" s="12"/>
      <c r="R753" s="218"/>
      <c r="S753" s="218"/>
      <c r="T753" s="218"/>
      <c r="U753" s="218"/>
    </row>
    <row r="754">
      <c r="D754" s="3"/>
      <c r="E754" s="112"/>
      <c r="F754" s="3"/>
      <c r="G754" s="12"/>
      <c r="H754" s="12"/>
      <c r="K754" s="12"/>
      <c r="M754" s="12"/>
      <c r="R754" s="218"/>
      <c r="S754" s="218"/>
      <c r="T754" s="218"/>
      <c r="U754" s="218"/>
    </row>
    <row r="755">
      <c r="D755" s="3"/>
      <c r="E755" s="112"/>
      <c r="F755" s="3"/>
      <c r="G755" s="12"/>
      <c r="H755" s="12"/>
      <c r="K755" s="12"/>
      <c r="M755" s="12"/>
      <c r="R755" s="218"/>
      <c r="S755" s="218"/>
      <c r="T755" s="218"/>
      <c r="U755" s="218"/>
    </row>
    <row r="756">
      <c r="D756" s="3"/>
      <c r="E756" s="112"/>
      <c r="F756" s="3"/>
      <c r="G756" s="12"/>
      <c r="H756" s="12"/>
      <c r="K756" s="12"/>
      <c r="M756" s="12"/>
      <c r="R756" s="218"/>
      <c r="S756" s="218"/>
      <c r="T756" s="218"/>
      <c r="U756" s="218"/>
    </row>
    <row r="757">
      <c r="D757" s="3"/>
      <c r="E757" s="112"/>
      <c r="F757" s="3"/>
      <c r="G757" s="12"/>
      <c r="H757" s="12"/>
      <c r="K757" s="12"/>
      <c r="M757" s="12"/>
      <c r="R757" s="218"/>
      <c r="S757" s="218"/>
      <c r="T757" s="218"/>
      <c r="U757" s="218"/>
    </row>
    <row r="758">
      <c r="D758" s="3"/>
      <c r="E758" s="112"/>
      <c r="F758" s="3"/>
      <c r="G758" s="12"/>
      <c r="H758" s="12"/>
      <c r="K758" s="12"/>
      <c r="M758" s="12"/>
      <c r="R758" s="218"/>
      <c r="S758" s="218"/>
      <c r="T758" s="218"/>
      <c r="U758" s="218"/>
    </row>
    <row r="759">
      <c r="D759" s="3"/>
      <c r="E759" s="112"/>
      <c r="F759" s="3"/>
      <c r="G759" s="12"/>
      <c r="H759" s="12"/>
      <c r="K759" s="12"/>
      <c r="M759" s="12"/>
      <c r="R759" s="218"/>
      <c r="S759" s="218"/>
      <c r="T759" s="218"/>
      <c r="U759" s="218"/>
    </row>
    <row r="760">
      <c r="D760" s="3"/>
      <c r="E760" s="112"/>
      <c r="F760" s="3"/>
      <c r="G760" s="12"/>
      <c r="H760" s="12"/>
      <c r="K760" s="12"/>
      <c r="M760" s="12"/>
      <c r="R760" s="218"/>
      <c r="S760" s="218"/>
      <c r="T760" s="218"/>
      <c r="U760" s="218"/>
    </row>
    <row r="761">
      <c r="D761" s="3"/>
      <c r="E761" s="112"/>
      <c r="F761" s="3"/>
      <c r="G761" s="12"/>
      <c r="H761" s="12"/>
      <c r="K761" s="12"/>
      <c r="M761" s="12"/>
      <c r="R761" s="218"/>
      <c r="S761" s="218"/>
      <c r="T761" s="218"/>
      <c r="U761" s="218"/>
    </row>
    <row r="762">
      <c r="D762" s="3"/>
      <c r="E762" s="112"/>
      <c r="F762" s="3"/>
      <c r="G762" s="12"/>
      <c r="H762" s="12"/>
      <c r="K762" s="12"/>
      <c r="M762" s="12"/>
      <c r="R762" s="218"/>
      <c r="S762" s="218"/>
      <c r="T762" s="218"/>
      <c r="U762" s="218"/>
    </row>
    <row r="763">
      <c r="D763" s="3"/>
      <c r="E763" s="112"/>
      <c r="F763" s="3"/>
      <c r="G763" s="12"/>
      <c r="H763" s="12"/>
      <c r="K763" s="12"/>
      <c r="M763" s="12"/>
      <c r="R763" s="218"/>
      <c r="S763" s="218"/>
      <c r="T763" s="218"/>
      <c r="U763" s="218"/>
    </row>
    <row r="764">
      <c r="D764" s="3"/>
      <c r="E764" s="112"/>
      <c r="F764" s="3"/>
      <c r="G764" s="12"/>
      <c r="H764" s="12"/>
      <c r="K764" s="12"/>
      <c r="M764" s="12"/>
      <c r="R764" s="218"/>
      <c r="S764" s="218"/>
      <c r="T764" s="218"/>
      <c r="U764" s="218"/>
    </row>
    <row r="765">
      <c r="D765" s="3"/>
      <c r="E765" s="112"/>
      <c r="F765" s="3"/>
      <c r="G765" s="12"/>
      <c r="H765" s="12"/>
      <c r="K765" s="12"/>
      <c r="M765" s="12"/>
      <c r="R765" s="218"/>
      <c r="S765" s="218"/>
      <c r="T765" s="218"/>
      <c r="U765" s="218"/>
    </row>
    <row r="766">
      <c r="D766" s="3"/>
      <c r="E766" s="112"/>
      <c r="F766" s="3"/>
      <c r="G766" s="12"/>
      <c r="H766" s="12"/>
      <c r="K766" s="12"/>
      <c r="M766" s="12"/>
      <c r="R766" s="218"/>
      <c r="S766" s="218"/>
      <c r="T766" s="218"/>
      <c r="U766" s="218"/>
    </row>
    <row r="767">
      <c r="D767" s="3"/>
      <c r="E767" s="112"/>
      <c r="F767" s="3"/>
      <c r="G767" s="12"/>
      <c r="H767" s="12"/>
      <c r="K767" s="12"/>
      <c r="M767" s="12"/>
      <c r="R767" s="218"/>
      <c r="S767" s="218"/>
      <c r="T767" s="218"/>
      <c r="U767" s="218"/>
    </row>
    <row r="768">
      <c r="D768" s="3"/>
      <c r="E768" s="112"/>
      <c r="F768" s="3"/>
      <c r="G768" s="12"/>
      <c r="H768" s="12"/>
      <c r="K768" s="12"/>
      <c r="M768" s="12"/>
      <c r="R768" s="218"/>
      <c r="S768" s="218"/>
      <c r="T768" s="218"/>
      <c r="U768" s="218"/>
    </row>
    <row r="769">
      <c r="D769" s="3"/>
      <c r="E769" s="112"/>
      <c r="F769" s="3"/>
      <c r="G769" s="12"/>
      <c r="H769" s="12"/>
      <c r="K769" s="12"/>
      <c r="M769" s="12"/>
      <c r="R769" s="218"/>
      <c r="S769" s="218"/>
      <c r="T769" s="218"/>
      <c r="U769" s="218"/>
    </row>
    <row r="770">
      <c r="D770" s="3"/>
      <c r="E770" s="112"/>
      <c r="F770" s="3"/>
      <c r="G770" s="12"/>
      <c r="H770" s="12"/>
      <c r="K770" s="12"/>
      <c r="M770" s="12"/>
      <c r="R770" s="218"/>
      <c r="S770" s="218"/>
      <c r="T770" s="218"/>
      <c r="U770" s="218"/>
    </row>
    <row r="771">
      <c r="D771" s="3"/>
      <c r="E771" s="112"/>
      <c r="F771" s="3"/>
      <c r="G771" s="12"/>
      <c r="H771" s="12"/>
      <c r="K771" s="12"/>
      <c r="M771" s="12"/>
      <c r="R771" s="218"/>
      <c r="S771" s="218"/>
      <c r="T771" s="218"/>
      <c r="U771" s="218"/>
    </row>
    <row r="772">
      <c r="D772" s="3"/>
      <c r="E772" s="112"/>
      <c r="F772" s="3"/>
      <c r="G772" s="12"/>
      <c r="H772" s="12"/>
      <c r="K772" s="12"/>
      <c r="M772" s="12"/>
      <c r="R772" s="218"/>
      <c r="S772" s="218"/>
      <c r="T772" s="218"/>
      <c r="U772" s="218"/>
    </row>
    <row r="773">
      <c r="D773" s="3"/>
      <c r="E773" s="112"/>
      <c r="F773" s="3"/>
      <c r="G773" s="12"/>
      <c r="H773" s="12"/>
      <c r="K773" s="12"/>
      <c r="M773" s="12"/>
      <c r="R773" s="218"/>
      <c r="S773" s="218"/>
      <c r="T773" s="218"/>
      <c r="U773" s="218"/>
    </row>
    <row r="774">
      <c r="D774" s="3"/>
      <c r="E774" s="112"/>
      <c r="F774" s="3"/>
      <c r="G774" s="12"/>
      <c r="H774" s="12"/>
      <c r="K774" s="12"/>
      <c r="M774" s="12"/>
      <c r="R774" s="218"/>
      <c r="S774" s="218"/>
      <c r="T774" s="218"/>
      <c r="U774" s="218"/>
    </row>
    <row r="775">
      <c r="D775" s="3"/>
      <c r="E775" s="112"/>
      <c r="F775" s="3"/>
      <c r="G775" s="12"/>
      <c r="H775" s="12"/>
      <c r="K775" s="12"/>
      <c r="M775" s="12"/>
      <c r="R775" s="218"/>
      <c r="S775" s="218"/>
      <c r="T775" s="218"/>
      <c r="U775" s="218"/>
    </row>
    <row r="776">
      <c r="D776" s="3"/>
      <c r="E776" s="112"/>
      <c r="F776" s="3"/>
      <c r="G776" s="12"/>
      <c r="H776" s="12"/>
      <c r="K776" s="12"/>
      <c r="M776" s="12"/>
      <c r="R776" s="218"/>
      <c r="S776" s="218"/>
      <c r="T776" s="218"/>
      <c r="U776" s="218"/>
    </row>
    <row r="777">
      <c r="D777" s="3"/>
      <c r="E777" s="112"/>
      <c r="F777" s="3"/>
      <c r="G777" s="12"/>
      <c r="H777" s="12"/>
      <c r="K777" s="12"/>
      <c r="M777" s="12"/>
      <c r="R777" s="218"/>
      <c r="S777" s="218"/>
      <c r="T777" s="218"/>
      <c r="U777" s="218"/>
    </row>
    <row r="778">
      <c r="D778" s="3"/>
      <c r="E778" s="112"/>
      <c r="F778" s="3"/>
      <c r="G778" s="12"/>
      <c r="H778" s="12"/>
      <c r="K778" s="12"/>
      <c r="M778" s="12"/>
      <c r="R778" s="218"/>
      <c r="S778" s="218"/>
      <c r="T778" s="218"/>
      <c r="U778" s="218"/>
    </row>
    <row r="779">
      <c r="D779" s="3"/>
      <c r="E779" s="112"/>
      <c r="F779" s="3"/>
      <c r="G779" s="12"/>
      <c r="H779" s="12"/>
      <c r="K779" s="12"/>
      <c r="M779" s="12"/>
      <c r="R779" s="218"/>
      <c r="S779" s="218"/>
      <c r="T779" s="218"/>
      <c r="U779" s="218"/>
    </row>
    <row r="780">
      <c r="D780" s="3"/>
      <c r="E780" s="112"/>
      <c r="F780" s="3"/>
      <c r="G780" s="12"/>
      <c r="H780" s="12"/>
      <c r="K780" s="12"/>
      <c r="M780" s="12"/>
      <c r="R780" s="218"/>
      <c r="S780" s="218"/>
      <c r="T780" s="218"/>
      <c r="U780" s="218"/>
    </row>
    <row r="781">
      <c r="D781" s="3"/>
      <c r="E781" s="112"/>
      <c r="F781" s="3"/>
      <c r="G781" s="12"/>
      <c r="H781" s="12"/>
      <c r="K781" s="12"/>
      <c r="M781" s="12"/>
      <c r="R781" s="218"/>
      <c r="S781" s="218"/>
      <c r="T781" s="218"/>
      <c r="U781" s="218"/>
    </row>
    <row r="782">
      <c r="D782" s="3"/>
      <c r="E782" s="112"/>
      <c r="F782" s="3"/>
      <c r="G782" s="12"/>
      <c r="H782" s="12"/>
      <c r="K782" s="12"/>
      <c r="M782" s="12"/>
      <c r="R782" s="218"/>
      <c r="S782" s="218"/>
      <c r="T782" s="218"/>
      <c r="U782" s="218"/>
    </row>
    <row r="783">
      <c r="D783" s="3"/>
      <c r="E783" s="112"/>
      <c r="F783" s="3"/>
      <c r="G783" s="12"/>
      <c r="H783" s="12"/>
      <c r="K783" s="12"/>
      <c r="M783" s="12"/>
      <c r="R783" s="218"/>
      <c r="S783" s="218"/>
      <c r="T783" s="218"/>
      <c r="U783" s="218"/>
    </row>
    <row r="784">
      <c r="D784" s="3"/>
      <c r="E784" s="112"/>
      <c r="F784" s="3"/>
      <c r="G784" s="12"/>
      <c r="H784" s="12"/>
      <c r="K784" s="12"/>
      <c r="M784" s="12"/>
      <c r="R784" s="218"/>
      <c r="S784" s="218"/>
      <c r="T784" s="218"/>
      <c r="U784" s="218"/>
    </row>
    <row r="785">
      <c r="D785" s="3"/>
      <c r="E785" s="112"/>
      <c r="F785" s="3"/>
      <c r="G785" s="12"/>
      <c r="H785" s="12"/>
      <c r="K785" s="12"/>
      <c r="M785" s="12"/>
      <c r="R785" s="218"/>
      <c r="S785" s="218"/>
      <c r="T785" s="218"/>
      <c r="U785" s="218"/>
    </row>
    <row r="786">
      <c r="D786" s="3"/>
      <c r="E786" s="112"/>
      <c r="F786" s="3"/>
      <c r="G786" s="12"/>
      <c r="H786" s="12"/>
      <c r="K786" s="12"/>
      <c r="M786" s="12"/>
      <c r="R786" s="218"/>
      <c r="S786" s="218"/>
      <c r="T786" s="218"/>
      <c r="U786" s="218"/>
    </row>
    <row r="787">
      <c r="D787" s="3"/>
      <c r="E787" s="112"/>
      <c r="F787" s="3"/>
      <c r="G787" s="12"/>
      <c r="H787" s="12"/>
      <c r="K787" s="12"/>
      <c r="M787" s="12"/>
      <c r="R787" s="218"/>
      <c r="S787" s="218"/>
      <c r="T787" s="218"/>
      <c r="U787" s="218"/>
    </row>
    <row r="788">
      <c r="D788" s="3"/>
      <c r="E788" s="112"/>
      <c r="F788" s="3"/>
      <c r="G788" s="12"/>
      <c r="H788" s="12"/>
      <c r="K788" s="12"/>
      <c r="M788" s="12"/>
      <c r="R788" s="218"/>
      <c r="S788" s="218"/>
      <c r="T788" s="218"/>
      <c r="U788" s="218"/>
    </row>
    <row r="789">
      <c r="D789" s="3"/>
      <c r="E789" s="112"/>
      <c r="F789" s="3"/>
      <c r="G789" s="12"/>
      <c r="H789" s="12"/>
      <c r="K789" s="12"/>
      <c r="M789" s="12"/>
      <c r="R789" s="218"/>
      <c r="S789" s="218"/>
      <c r="T789" s="218"/>
      <c r="U789" s="218"/>
    </row>
    <row r="790">
      <c r="D790" s="3"/>
      <c r="E790" s="112"/>
      <c r="F790" s="3"/>
      <c r="G790" s="12"/>
      <c r="H790" s="12"/>
      <c r="K790" s="12"/>
      <c r="M790" s="12"/>
      <c r="R790" s="218"/>
      <c r="S790" s="218"/>
      <c r="T790" s="218"/>
      <c r="U790" s="218"/>
    </row>
    <row r="791">
      <c r="D791" s="3"/>
      <c r="E791" s="112"/>
      <c r="F791" s="3"/>
      <c r="G791" s="12"/>
      <c r="H791" s="12"/>
      <c r="K791" s="12"/>
      <c r="M791" s="12"/>
      <c r="R791" s="218"/>
      <c r="S791" s="218"/>
      <c r="T791" s="218"/>
      <c r="U791" s="218"/>
    </row>
    <row r="792">
      <c r="D792" s="3"/>
      <c r="E792" s="112"/>
      <c r="F792" s="3"/>
      <c r="G792" s="12"/>
      <c r="H792" s="12"/>
      <c r="K792" s="12"/>
      <c r="M792" s="12"/>
      <c r="R792" s="218"/>
      <c r="S792" s="218"/>
      <c r="T792" s="218"/>
      <c r="U792" s="218"/>
    </row>
    <row r="793">
      <c r="D793" s="3"/>
      <c r="E793" s="112"/>
      <c r="F793" s="3"/>
      <c r="G793" s="12"/>
      <c r="H793" s="12"/>
      <c r="K793" s="12"/>
      <c r="M793" s="12"/>
      <c r="R793" s="218"/>
      <c r="S793" s="218"/>
      <c r="T793" s="218"/>
      <c r="U793" s="218"/>
    </row>
    <row r="794">
      <c r="D794" s="3"/>
      <c r="E794" s="112"/>
      <c r="F794" s="3"/>
      <c r="G794" s="12"/>
      <c r="H794" s="12"/>
      <c r="K794" s="12"/>
      <c r="M794" s="12"/>
      <c r="R794" s="218"/>
      <c r="S794" s="218"/>
      <c r="T794" s="218"/>
      <c r="U794" s="218"/>
    </row>
    <row r="795">
      <c r="D795" s="3"/>
      <c r="E795" s="112"/>
      <c r="F795" s="3"/>
      <c r="G795" s="12"/>
      <c r="H795" s="12"/>
      <c r="K795" s="12"/>
      <c r="M795" s="12"/>
      <c r="R795" s="218"/>
      <c r="S795" s="218"/>
      <c r="T795" s="218"/>
      <c r="U795" s="218"/>
    </row>
    <row r="796">
      <c r="D796" s="3"/>
      <c r="E796" s="112"/>
      <c r="F796" s="3"/>
      <c r="G796" s="12"/>
      <c r="H796" s="12"/>
      <c r="K796" s="12"/>
      <c r="M796" s="12"/>
      <c r="R796" s="218"/>
      <c r="S796" s="218"/>
      <c r="T796" s="218"/>
      <c r="U796" s="218"/>
    </row>
    <row r="797">
      <c r="D797" s="3"/>
      <c r="E797" s="112"/>
      <c r="F797" s="3"/>
      <c r="G797" s="12"/>
      <c r="H797" s="12"/>
      <c r="K797" s="12"/>
      <c r="M797" s="12"/>
      <c r="R797" s="218"/>
      <c r="S797" s="218"/>
      <c r="T797" s="218"/>
      <c r="U797" s="218"/>
    </row>
    <row r="798">
      <c r="D798" s="3"/>
      <c r="E798" s="112"/>
      <c r="F798" s="3"/>
      <c r="G798" s="12"/>
      <c r="H798" s="12"/>
      <c r="K798" s="12"/>
      <c r="M798" s="12"/>
      <c r="R798" s="218"/>
      <c r="S798" s="218"/>
      <c r="T798" s="218"/>
      <c r="U798" s="218"/>
    </row>
    <row r="799">
      <c r="D799" s="3"/>
      <c r="E799" s="112"/>
      <c r="F799" s="3"/>
      <c r="G799" s="12"/>
      <c r="H799" s="12"/>
      <c r="K799" s="12"/>
      <c r="M799" s="12"/>
      <c r="R799" s="218"/>
      <c r="S799" s="218"/>
      <c r="T799" s="218"/>
      <c r="U799" s="218"/>
    </row>
    <row r="800">
      <c r="D800" s="3"/>
      <c r="E800" s="112"/>
      <c r="F800" s="3"/>
      <c r="G800" s="12"/>
      <c r="H800" s="12"/>
      <c r="K800" s="12"/>
      <c r="M800" s="12"/>
      <c r="R800" s="218"/>
      <c r="S800" s="218"/>
      <c r="T800" s="218"/>
      <c r="U800" s="218"/>
    </row>
    <row r="801">
      <c r="D801" s="3"/>
      <c r="E801" s="112"/>
      <c r="F801" s="3"/>
      <c r="G801" s="12"/>
      <c r="H801" s="12"/>
      <c r="K801" s="12"/>
      <c r="M801" s="12"/>
      <c r="R801" s="218"/>
      <c r="S801" s="218"/>
      <c r="T801" s="218"/>
      <c r="U801" s="218"/>
    </row>
    <row r="802">
      <c r="D802" s="3"/>
      <c r="E802" s="112"/>
      <c r="F802" s="3"/>
      <c r="G802" s="12"/>
      <c r="H802" s="12"/>
      <c r="K802" s="12"/>
      <c r="M802" s="12"/>
      <c r="R802" s="218"/>
      <c r="S802" s="218"/>
      <c r="T802" s="218"/>
      <c r="U802" s="218"/>
    </row>
    <row r="803">
      <c r="D803" s="3"/>
      <c r="E803" s="112"/>
      <c r="F803" s="3"/>
      <c r="G803" s="12"/>
      <c r="H803" s="12"/>
      <c r="K803" s="12"/>
      <c r="M803" s="12"/>
      <c r="R803" s="218"/>
      <c r="S803" s="218"/>
      <c r="T803" s="218"/>
      <c r="U803" s="218"/>
    </row>
    <row r="804">
      <c r="D804" s="3"/>
      <c r="E804" s="112"/>
      <c r="F804" s="3"/>
      <c r="G804" s="12"/>
      <c r="H804" s="12"/>
      <c r="K804" s="12"/>
      <c r="M804" s="12"/>
      <c r="R804" s="218"/>
      <c r="S804" s="218"/>
      <c r="T804" s="218"/>
      <c r="U804" s="218"/>
    </row>
    <row r="805">
      <c r="D805" s="3"/>
      <c r="E805" s="112"/>
      <c r="F805" s="3"/>
      <c r="G805" s="12"/>
      <c r="H805" s="12"/>
      <c r="K805" s="12"/>
      <c r="M805" s="12"/>
      <c r="R805" s="218"/>
      <c r="S805" s="218"/>
      <c r="T805" s="218"/>
      <c r="U805" s="218"/>
    </row>
    <row r="806">
      <c r="D806" s="3"/>
      <c r="E806" s="112"/>
      <c r="F806" s="3"/>
      <c r="G806" s="12"/>
      <c r="H806" s="12"/>
      <c r="K806" s="12"/>
      <c r="M806" s="12"/>
      <c r="R806" s="218"/>
      <c r="S806" s="218"/>
      <c r="T806" s="218"/>
      <c r="U806" s="218"/>
    </row>
    <row r="807">
      <c r="D807" s="3"/>
      <c r="E807" s="112"/>
      <c r="F807" s="3"/>
      <c r="G807" s="12"/>
      <c r="H807" s="12"/>
      <c r="K807" s="12"/>
      <c r="M807" s="12"/>
      <c r="R807" s="218"/>
      <c r="S807" s="218"/>
      <c r="T807" s="218"/>
      <c r="U807" s="218"/>
    </row>
    <row r="808">
      <c r="D808" s="3"/>
      <c r="E808" s="112"/>
      <c r="F808" s="3"/>
      <c r="G808" s="12"/>
      <c r="H808" s="12"/>
      <c r="K808" s="12"/>
      <c r="M808" s="12"/>
      <c r="R808" s="218"/>
      <c r="S808" s="218"/>
      <c r="T808" s="218"/>
      <c r="U808" s="218"/>
    </row>
    <row r="809">
      <c r="D809" s="3"/>
      <c r="E809" s="112"/>
      <c r="F809" s="3"/>
      <c r="G809" s="12"/>
      <c r="H809" s="12"/>
      <c r="K809" s="12"/>
      <c r="M809" s="12"/>
      <c r="R809" s="218"/>
      <c r="S809" s="218"/>
      <c r="T809" s="218"/>
      <c r="U809" s="218"/>
    </row>
    <row r="810">
      <c r="D810" s="3"/>
      <c r="E810" s="112"/>
      <c r="F810" s="3"/>
      <c r="G810" s="12"/>
      <c r="H810" s="12"/>
      <c r="K810" s="12"/>
      <c r="M810" s="12"/>
      <c r="R810" s="218"/>
      <c r="S810" s="218"/>
      <c r="T810" s="218"/>
      <c r="U810" s="218"/>
    </row>
    <row r="811">
      <c r="D811" s="3"/>
      <c r="E811" s="112"/>
      <c r="F811" s="3"/>
      <c r="G811" s="12"/>
      <c r="H811" s="12"/>
      <c r="K811" s="12"/>
      <c r="M811" s="12"/>
      <c r="R811" s="218"/>
      <c r="S811" s="218"/>
      <c r="T811" s="218"/>
      <c r="U811" s="218"/>
    </row>
    <row r="812">
      <c r="D812" s="3"/>
      <c r="E812" s="112"/>
      <c r="F812" s="3"/>
      <c r="G812" s="12"/>
      <c r="H812" s="12"/>
      <c r="K812" s="12"/>
      <c r="M812" s="12"/>
      <c r="R812" s="218"/>
      <c r="S812" s="218"/>
      <c r="T812" s="218"/>
      <c r="U812" s="218"/>
    </row>
    <row r="813">
      <c r="D813" s="3"/>
      <c r="E813" s="112"/>
      <c r="F813" s="3"/>
      <c r="G813" s="12"/>
      <c r="H813" s="12"/>
      <c r="K813" s="12"/>
      <c r="M813" s="12"/>
      <c r="R813" s="218"/>
      <c r="S813" s="218"/>
      <c r="T813" s="218"/>
      <c r="U813" s="218"/>
    </row>
    <row r="814">
      <c r="D814" s="3"/>
      <c r="E814" s="112"/>
      <c r="F814" s="3"/>
      <c r="G814" s="12"/>
      <c r="H814" s="12"/>
      <c r="K814" s="12"/>
      <c r="M814" s="12"/>
      <c r="R814" s="218"/>
      <c r="S814" s="218"/>
      <c r="T814" s="218"/>
      <c r="U814" s="218"/>
    </row>
    <row r="815">
      <c r="D815" s="3"/>
      <c r="E815" s="112"/>
      <c r="F815" s="3"/>
      <c r="G815" s="12"/>
      <c r="H815" s="12"/>
      <c r="K815" s="12"/>
      <c r="M815" s="12"/>
      <c r="R815" s="218"/>
      <c r="S815" s="218"/>
      <c r="T815" s="218"/>
      <c r="U815" s="218"/>
    </row>
    <row r="816">
      <c r="D816" s="3"/>
      <c r="E816" s="112"/>
      <c r="F816" s="3"/>
      <c r="G816" s="12"/>
      <c r="H816" s="12"/>
      <c r="K816" s="12"/>
      <c r="M816" s="12"/>
      <c r="R816" s="218"/>
      <c r="S816" s="218"/>
      <c r="T816" s="218"/>
      <c r="U816" s="218"/>
    </row>
    <row r="817">
      <c r="D817" s="3"/>
      <c r="E817" s="112"/>
      <c r="F817" s="3"/>
      <c r="G817" s="12"/>
      <c r="H817" s="12"/>
      <c r="K817" s="12"/>
      <c r="M817" s="12"/>
      <c r="R817" s="218"/>
      <c r="S817" s="218"/>
      <c r="T817" s="218"/>
      <c r="U817" s="218"/>
    </row>
    <row r="818">
      <c r="D818" s="3"/>
      <c r="E818" s="112"/>
      <c r="F818" s="3"/>
      <c r="G818" s="12"/>
      <c r="H818" s="12"/>
      <c r="K818" s="12"/>
      <c r="M818" s="12"/>
      <c r="R818" s="218"/>
      <c r="S818" s="218"/>
      <c r="T818" s="218"/>
      <c r="U818" s="218"/>
    </row>
    <row r="819">
      <c r="D819" s="3"/>
      <c r="E819" s="112"/>
      <c r="F819" s="3"/>
      <c r="G819" s="12"/>
      <c r="H819" s="12"/>
      <c r="K819" s="12"/>
      <c r="M819" s="12"/>
      <c r="R819" s="218"/>
      <c r="S819" s="218"/>
      <c r="T819" s="218"/>
      <c r="U819" s="218"/>
    </row>
    <row r="820">
      <c r="D820" s="3"/>
      <c r="E820" s="112"/>
      <c r="F820" s="3"/>
      <c r="G820" s="12"/>
      <c r="H820" s="12"/>
      <c r="K820" s="12"/>
      <c r="M820" s="12"/>
      <c r="R820" s="218"/>
      <c r="S820" s="218"/>
      <c r="T820" s="218"/>
      <c r="U820" s="218"/>
    </row>
    <row r="821">
      <c r="D821" s="3"/>
      <c r="E821" s="112"/>
      <c r="F821" s="3"/>
      <c r="G821" s="12"/>
      <c r="H821" s="12"/>
      <c r="K821" s="12"/>
      <c r="M821" s="12"/>
      <c r="R821" s="218"/>
      <c r="S821" s="218"/>
      <c r="T821" s="218"/>
      <c r="U821" s="218"/>
    </row>
    <row r="822">
      <c r="D822" s="3"/>
      <c r="E822" s="112"/>
      <c r="F822" s="3"/>
      <c r="G822" s="12"/>
      <c r="H822" s="12"/>
      <c r="K822" s="12"/>
      <c r="M822" s="12"/>
      <c r="R822" s="218"/>
      <c r="S822" s="218"/>
      <c r="T822" s="218"/>
      <c r="U822" s="218"/>
    </row>
    <row r="823">
      <c r="D823" s="3"/>
      <c r="E823" s="112"/>
      <c r="F823" s="3"/>
      <c r="G823" s="12"/>
      <c r="H823" s="12"/>
      <c r="K823" s="12"/>
      <c r="M823" s="12"/>
      <c r="R823" s="218"/>
      <c r="S823" s="218"/>
      <c r="T823" s="218"/>
      <c r="U823" s="218"/>
    </row>
    <row r="824">
      <c r="D824" s="3"/>
      <c r="E824" s="112"/>
      <c r="F824" s="3"/>
      <c r="G824" s="12"/>
      <c r="H824" s="12"/>
      <c r="K824" s="12"/>
      <c r="M824" s="12"/>
      <c r="R824" s="218"/>
      <c r="S824" s="218"/>
      <c r="T824" s="218"/>
      <c r="U824" s="218"/>
    </row>
    <row r="825">
      <c r="D825" s="3"/>
      <c r="E825" s="112"/>
      <c r="F825" s="3"/>
      <c r="G825" s="12"/>
      <c r="H825" s="12"/>
      <c r="K825" s="12"/>
      <c r="M825" s="12"/>
      <c r="R825" s="218"/>
      <c r="S825" s="218"/>
      <c r="T825" s="218"/>
      <c r="U825" s="218"/>
    </row>
    <row r="826">
      <c r="D826" s="3"/>
      <c r="E826" s="112"/>
      <c r="F826" s="3"/>
      <c r="G826" s="12"/>
      <c r="H826" s="12"/>
      <c r="K826" s="12"/>
      <c r="M826" s="12"/>
      <c r="R826" s="218"/>
      <c r="S826" s="218"/>
      <c r="T826" s="218"/>
      <c r="U826" s="218"/>
    </row>
    <row r="827">
      <c r="D827" s="3"/>
      <c r="E827" s="112"/>
      <c r="F827" s="3"/>
      <c r="G827" s="12"/>
      <c r="H827" s="12"/>
      <c r="K827" s="12"/>
      <c r="M827" s="12"/>
      <c r="R827" s="218"/>
      <c r="S827" s="218"/>
      <c r="T827" s="218"/>
      <c r="U827" s="218"/>
    </row>
    <row r="828">
      <c r="D828" s="3"/>
      <c r="E828" s="112"/>
      <c r="F828" s="3"/>
      <c r="G828" s="12"/>
      <c r="H828" s="12"/>
      <c r="K828" s="12"/>
      <c r="M828" s="12"/>
      <c r="R828" s="218"/>
      <c r="S828" s="218"/>
      <c r="T828" s="218"/>
      <c r="U828" s="218"/>
    </row>
    <row r="829">
      <c r="D829" s="3"/>
      <c r="E829" s="112"/>
      <c r="F829" s="3"/>
      <c r="G829" s="12"/>
      <c r="H829" s="12"/>
      <c r="K829" s="12"/>
      <c r="M829" s="12"/>
      <c r="R829" s="218"/>
      <c r="S829" s="218"/>
      <c r="T829" s="218"/>
      <c r="U829" s="218"/>
    </row>
    <row r="830">
      <c r="D830" s="3"/>
      <c r="E830" s="112"/>
      <c r="F830" s="3"/>
      <c r="G830" s="12"/>
      <c r="H830" s="12"/>
      <c r="K830" s="12"/>
      <c r="M830" s="12"/>
      <c r="R830" s="218"/>
      <c r="S830" s="218"/>
      <c r="T830" s="218"/>
      <c r="U830" s="218"/>
    </row>
    <row r="831">
      <c r="D831" s="3"/>
      <c r="E831" s="112"/>
      <c r="F831" s="3"/>
      <c r="G831" s="12"/>
      <c r="H831" s="12"/>
      <c r="K831" s="12"/>
      <c r="M831" s="12"/>
      <c r="R831" s="218"/>
      <c r="S831" s="218"/>
      <c r="T831" s="218"/>
      <c r="U831" s="218"/>
    </row>
    <row r="832">
      <c r="D832" s="3"/>
      <c r="E832" s="112"/>
      <c r="F832" s="3"/>
      <c r="G832" s="12"/>
      <c r="H832" s="12"/>
      <c r="K832" s="12"/>
      <c r="M832" s="12"/>
      <c r="R832" s="218"/>
      <c r="S832" s="218"/>
      <c r="T832" s="218"/>
      <c r="U832" s="218"/>
    </row>
    <row r="833">
      <c r="D833" s="3"/>
      <c r="E833" s="112"/>
      <c r="F833" s="3"/>
      <c r="G833" s="12"/>
      <c r="H833" s="12"/>
      <c r="K833" s="12"/>
      <c r="M833" s="12"/>
      <c r="R833" s="218"/>
      <c r="S833" s="218"/>
      <c r="T833" s="218"/>
      <c r="U833" s="218"/>
    </row>
    <row r="834">
      <c r="D834" s="3"/>
      <c r="E834" s="112"/>
      <c r="F834" s="3"/>
      <c r="G834" s="12"/>
      <c r="H834" s="12"/>
      <c r="K834" s="12"/>
      <c r="M834" s="12"/>
      <c r="R834" s="218"/>
      <c r="S834" s="218"/>
      <c r="T834" s="218"/>
      <c r="U834" s="218"/>
    </row>
    <row r="835">
      <c r="D835" s="3"/>
      <c r="E835" s="112"/>
      <c r="F835" s="3"/>
      <c r="G835" s="12"/>
      <c r="H835" s="12"/>
      <c r="K835" s="12"/>
      <c r="M835" s="12"/>
      <c r="R835" s="218"/>
      <c r="S835" s="218"/>
      <c r="T835" s="218"/>
      <c r="U835" s="218"/>
    </row>
    <row r="836">
      <c r="D836" s="3"/>
      <c r="E836" s="112"/>
      <c r="F836" s="3"/>
      <c r="G836" s="12"/>
      <c r="H836" s="12"/>
      <c r="K836" s="12"/>
      <c r="M836" s="12"/>
      <c r="R836" s="218"/>
      <c r="S836" s="218"/>
      <c r="T836" s="218"/>
      <c r="U836" s="218"/>
    </row>
    <row r="837">
      <c r="D837" s="3"/>
      <c r="E837" s="112"/>
      <c r="F837" s="3"/>
      <c r="G837" s="12"/>
      <c r="H837" s="12"/>
      <c r="K837" s="12"/>
      <c r="M837" s="12"/>
      <c r="R837" s="218"/>
      <c r="S837" s="218"/>
      <c r="T837" s="218"/>
      <c r="U837" s="218"/>
    </row>
    <row r="838">
      <c r="D838" s="3"/>
      <c r="E838" s="112"/>
      <c r="F838" s="3"/>
      <c r="G838" s="12"/>
      <c r="H838" s="12"/>
      <c r="K838" s="12"/>
      <c r="M838" s="12"/>
      <c r="R838" s="218"/>
      <c r="S838" s="218"/>
      <c r="T838" s="218"/>
      <c r="U838" s="218"/>
    </row>
    <row r="839">
      <c r="D839" s="3"/>
      <c r="E839" s="112"/>
      <c r="F839" s="3"/>
      <c r="G839" s="12"/>
      <c r="H839" s="12"/>
      <c r="K839" s="12"/>
      <c r="M839" s="12"/>
      <c r="R839" s="218"/>
      <c r="S839" s="218"/>
      <c r="T839" s="218"/>
      <c r="U839" s="218"/>
    </row>
    <row r="840">
      <c r="D840" s="3"/>
      <c r="E840" s="112"/>
      <c r="F840" s="3"/>
      <c r="G840" s="12"/>
      <c r="H840" s="12"/>
      <c r="K840" s="12"/>
      <c r="M840" s="12"/>
      <c r="R840" s="218"/>
      <c r="S840" s="218"/>
      <c r="T840" s="218"/>
      <c r="U840" s="218"/>
    </row>
    <row r="841">
      <c r="D841" s="3"/>
      <c r="E841" s="112"/>
      <c r="F841" s="3"/>
      <c r="G841" s="12"/>
      <c r="H841" s="12"/>
      <c r="K841" s="12"/>
      <c r="M841" s="12"/>
      <c r="R841" s="218"/>
      <c r="S841" s="218"/>
      <c r="T841" s="218"/>
      <c r="U841" s="218"/>
    </row>
    <row r="842">
      <c r="D842" s="3"/>
      <c r="E842" s="112"/>
      <c r="F842" s="3"/>
      <c r="G842" s="12"/>
      <c r="H842" s="12"/>
      <c r="K842" s="12"/>
      <c r="M842" s="12"/>
      <c r="R842" s="218"/>
      <c r="S842" s="218"/>
      <c r="T842" s="218"/>
      <c r="U842" s="218"/>
    </row>
    <row r="843">
      <c r="D843" s="3"/>
      <c r="E843" s="112"/>
      <c r="F843" s="3"/>
      <c r="G843" s="12"/>
      <c r="H843" s="12"/>
      <c r="K843" s="12"/>
      <c r="M843" s="12"/>
      <c r="R843" s="218"/>
      <c r="S843" s="218"/>
      <c r="T843" s="218"/>
      <c r="U843" s="218"/>
    </row>
    <row r="844">
      <c r="D844" s="3"/>
      <c r="E844" s="112"/>
      <c r="F844" s="3"/>
      <c r="G844" s="12"/>
      <c r="H844" s="12"/>
      <c r="K844" s="12"/>
      <c r="M844" s="12"/>
      <c r="R844" s="218"/>
      <c r="S844" s="218"/>
      <c r="T844" s="218"/>
      <c r="U844" s="218"/>
    </row>
    <row r="845">
      <c r="D845" s="3"/>
      <c r="E845" s="112"/>
      <c r="F845" s="3"/>
      <c r="G845" s="12"/>
      <c r="H845" s="12"/>
      <c r="K845" s="12"/>
      <c r="M845" s="12"/>
      <c r="R845" s="218"/>
      <c r="S845" s="218"/>
      <c r="T845" s="218"/>
      <c r="U845" s="218"/>
    </row>
    <row r="846">
      <c r="D846" s="3"/>
      <c r="E846" s="112"/>
      <c r="F846" s="3"/>
      <c r="G846" s="12"/>
      <c r="H846" s="12"/>
      <c r="K846" s="12"/>
      <c r="M846" s="12"/>
      <c r="R846" s="218"/>
      <c r="S846" s="218"/>
      <c r="T846" s="218"/>
      <c r="U846" s="218"/>
    </row>
    <row r="847">
      <c r="D847" s="3"/>
      <c r="E847" s="112"/>
      <c r="F847" s="3"/>
      <c r="G847" s="12"/>
      <c r="H847" s="12"/>
      <c r="K847" s="12"/>
      <c r="M847" s="12"/>
      <c r="R847" s="218"/>
      <c r="S847" s="218"/>
      <c r="T847" s="218"/>
      <c r="U847" s="218"/>
    </row>
    <row r="848">
      <c r="D848" s="3"/>
      <c r="E848" s="112"/>
      <c r="F848" s="3"/>
      <c r="G848" s="12"/>
      <c r="H848" s="12"/>
      <c r="K848" s="12"/>
      <c r="M848" s="12"/>
      <c r="R848" s="218"/>
      <c r="S848" s="218"/>
      <c r="T848" s="218"/>
      <c r="U848" s="218"/>
    </row>
    <row r="849">
      <c r="D849" s="3"/>
      <c r="E849" s="112"/>
      <c r="F849" s="3"/>
      <c r="G849" s="12"/>
      <c r="H849" s="12"/>
      <c r="K849" s="12"/>
      <c r="M849" s="12"/>
      <c r="R849" s="218"/>
      <c r="S849" s="218"/>
      <c r="T849" s="218"/>
      <c r="U849" s="218"/>
    </row>
    <row r="850">
      <c r="D850" s="3"/>
      <c r="E850" s="112"/>
      <c r="F850" s="3"/>
      <c r="G850" s="12"/>
      <c r="H850" s="12"/>
      <c r="K850" s="12"/>
      <c r="M850" s="12"/>
      <c r="R850" s="218"/>
      <c r="S850" s="218"/>
      <c r="T850" s="218"/>
      <c r="U850" s="218"/>
    </row>
    <row r="851">
      <c r="D851" s="3"/>
      <c r="E851" s="112"/>
      <c r="F851" s="3"/>
      <c r="G851" s="12"/>
      <c r="H851" s="12"/>
      <c r="K851" s="12"/>
      <c r="M851" s="12"/>
      <c r="R851" s="218"/>
      <c r="S851" s="218"/>
      <c r="T851" s="218"/>
      <c r="U851" s="218"/>
    </row>
    <row r="852">
      <c r="D852" s="3"/>
      <c r="E852" s="112"/>
      <c r="F852" s="3"/>
      <c r="G852" s="12"/>
      <c r="H852" s="12"/>
      <c r="K852" s="12"/>
      <c r="M852" s="12"/>
      <c r="R852" s="218"/>
      <c r="S852" s="218"/>
      <c r="T852" s="218"/>
      <c r="U852" s="218"/>
    </row>
    <row r="853">
      <c r="D853" s="3"/>
      <c r="E853" s="112"/>
      <c r="F853" s="3"/>
      <c r="G853" s="12"/>
      <c r="H853" s="12"/>
      <c r="K853" s="12"/>
      <c r="M853" s="12"/>
      <c r="R853" s="218"/>
      <c r="S853" s="218"/>
      <c r="T853" s="218"/>
      <c r="U853" s="218"/>
    </row>
    <row r="854">
      <c r="D854" s="3"/>
      <c r="E854" s="112"/>
      <c r="F854" s="3"/>
      <c r="G854" s="12"/>
      <c r="H854" s="12"/>
      <c r="K854" s="12"/>
      <c r="M854" s="12"/>
      <c r="R854" s="218"/>
      <c r="S854" s="218"/>
      <c r="T854" s="218"/>
      <c r="U854" s="218"/>
    </row>
    <row r="855">
      <c r="D855" s="3"/>
      <c r="E855" s="112"/>
      <c r="F855" s="3"/>
      <c r="G855" s="12"/>
      <c r="H855" s="12"/>
      <c r="K855" s="12"/>
      <c r="M855" s="12"/>
      <c r="R855" s="218"/>
      <c r="S855" s="218"/>
      <c r="T855" s="218"/>
      <c r="U855" s="218"/>
    </row>
    <row r="856">
      <c r="D856" s="3"/>
      <c r="E856" s="112"/>
      <c r="F856" s="3"/>
      <c r="G856" s="12"/>
      <c r="H856" s="12"/>
      <c r="K856" s="12"/>
      <c r="M856" s="12"/>
      <c r="R856" s="218"/>
      <c r="S856" s="218"/>
      <c r="T856" s="218"/>
      <c r="U856" s="218"/>
    </row>
    <row r="857">
      <c r="D857" s="3"/>
      <c r="E857" s="112"/>
      <c r="F857" s="3"/>
      <c r="G857" s="12"/>
      <c r="H857" s="12"/>
      <c r="K857" s="12"/>
      <c r="M857" s="12"/>
      <c r="R857" s="218"/>
      <c r="S857" s="218"/>
      <c r="T857" s="218"/>
      <c r="U857" s="218"/>
    </row>
    <row r="858">
      <c r="D858" s="3"/>
      <c r="E858" s="112"/>
      <c r="F858" s="3"/>
      <c r="G858" s="12"/>
      <c r="H858" s="12"/>
      <c r="K858" s="12"/>
      <c r="M858" s="12"/>
      <c r="R858" s="218"/>
      <c r="S858" s="218"/>
      <c r="T858" s="218"/>
      <c r="U858" s="218"/>
    </row>
    <row r="859">
      <c r="D859" s="3"/>
      <c r="E859" s="112"/>
      <c r="F859" s="3"/>
      <c r="G859" s="12"/>
      <c r="H859" s="12"/>
      <c r="K859" s="12"/>
      <c r="M859" s="12"/>
      <c r="R859" s="218"/>
      <c r="S859" s="218"/>
      <c r="T859" s="218"/>
      <c r="U859" s="218"/>
    </row>
    <row r="860">
      <c r="D860" s="3"/>
      <c r="E860" s="112"/>
      <c r="F860" s="3"/>
      <c r="G860" s="12"/>
      <c r="H860" s="12"/>
      <c r="K860" s="12"/>
      <c r="M860" s="12"/>
      <c r="R860" s="218"/>
      <c r="S860" s="218"/>
      <c r="T860" s="218"/>
      <c r="U860" s="218"/>
    </row>
    <row r="861">
      <c r="D861" s="3"/>
      <c r="E861" s="112"/>
      <c r="F861" s="3"/>
      <c r="G861" s="12"/>
      <c r="H861" s="12"/>
      <c r="K861" s="12"/>
      <c r="M861" s="12"/>
      <c r="R861" s="218"/>
      <c r="S861" s="218"/>
      <c r="T861" s="218"/>
      <c r="U861" s="218"/>
    </row>
    <row r="862">
      <c r="D862" s="3"/>
      <c r="E862" s="112"/>
      <c r="F862" s="3"/>
      <c r="G862" s="12"/>
      <c r="H862" s="12"/>
      <c r="K862" s="12"/>
      <c r="M862" s="12"/>
      <c r="R862" s="218"/>
      <c r="S862" s="218"/>
      <c r="T862" s="218"/>
      <c r="U862" s="218"/>
    </row>
    <row r="863">
      <c r="D863" s="3"/>
      <c r="E863" s="112"/>
      <c r="F863" s="3"/>
      <c r="G863" s="12"/>
      <c r="H863" s="12"/>
      <c r="K863" s="12"/>
      <c r="M863" s="12"/>
      <c r="R863" s="218"/>
      <c r="S863" s="218"/>
      <c r="T863" s="218"/>
      <c r="U863" s="218"/>
    </row>
    <row r="864">
      <c r="D864" s="3"/>
      <c r="E864" s="112"/>
      <c r="F864" s="3"/>
      <c r="G864" s="12"/>
      <c r="H864" s="12"/>
      <c r="K864" s="12"/>
      <c r="M864" s="12"/>
      <c r="R864" s="218"/>
      <c r="S864" s="218"/>
      <c r="T864" s="218"/>
      <c r="U864" s="218"/>
    </row>
    <row r="865">
      <c r="D865" s="3"/>
      <c r="E865" s="112"/>
      <c r="F865" s="3"/>
      <c r="G865" s="12"/>
      <c r="H865" s="12"/>
      <c r="K865" s="12"/>
      <c r="M865" s="12"/>
      <c r="R865" s="218"/>
      <c r="S865" s="218"/>
      <c r="T865" s="218"/>
      <c r="U865" s="218"/>
    </row>
    <row r="866">
      <c r="D866" s="3"/>
      <c r="E866" s="112"/>
      <c r="F866" s="3"/>
      <c r="G866" s="12"/>
      <c r="H866" s="12"/>
      <c r="K866" s="12"/>
      <c r="M866" s="12"/>
      <c r="R866" s="218"/>
      <c r="S866" s="218"/>
      <c r="T866" s="218"/>
      <c r="U866" s="218"/>
    </row>
    <row r="867">
      <c r="D867" s="3"/>
      <c r="E867" s="112"/>
      <c r="F867" s="3"/>
      <c r="G867" s="12"/>
      <c r="H867" s="12"/>
      <c r="K867" s="12"/>
      <c r="M867" s="12"/>
      <c r="R867" s="218"/>
      <c r="S867" s="218"/>
      <c r="T867" s="218"/>
      <c r="U867" s="218"/>
    </row>
    <row r="868">
      <c r="D868" s="3"/>
      <c r="E868" s="112"/>
      <c r="F868" s="3"/>
      <c r="G868" s="12"/>
      <c r="H868" s="12"/>
      <c r="K868" s="12"/>
      <c r="M868" s="12"/>
      <c r="R868" s="218"/>
      <c r="S868" s="218"/>
      <c r="T868" s="218"/>
      <c r="U868" s="218"/>
    </row>
    <row r="869">
      <c r="D869" s="3"/>
      <c r="E869" s="112"/>
      <c r="F869" s="3"/>
      <c r="G869" s="12"/>
      <c r="H869" s="12"/>
      <c r="K869" s="12"/>
      <c r="M869" s="12"/>
      <c r="R869" s="218"/>
      <c r="S869" s="218"/>
      <c r="T869" s="218"/>
      <c r="U869" s="218"/>
    </row>
    <row r="870">
      <c r="D870" s="3"/>
      <c r="E870" s="112"/>
      <c r="F870" s="3"/>
      <c r="G870" s="12"/>
      <c r="H870" s="12"/>
      <c r="K870" s="12"/>
      <c r="M870" s="12"/>
      <c r="R870" s="218"/>
      <c r="S870" s="218"/>
      <c r="T870" s="218"/>
      <c r="U870" s="218"/>
    </row>
    <row r="871">
      <c r="D871" s="3"/>
      <c r="E871" s="112"/>
      <c r="F871" s="3"/>
      <c r="G871" s="12"/>
      <c r="H871" s="12"/>
      <c r="K871" s="12"/>
      <c r="M871" s="12"/>
      <c r="R871" s="218"/>
      <c r="S871" s="218"/>
      <c r="T871" s="218"/>
      <c r="U871" s="218"/>
    </row>
    <row r="872">
      <c r="D872" s="3"/>
      <c r="E872" s="112"/>
      <c r="F872" s="3"/>
      <c r="G872" s="12"/>
      <c r="H872" s="12"/>
      <c r="K872" s="12"/>
      <c r="M872" s="12"/>
      <c r="R872" s="218"/>
      <c r="S872" s="218"/>
      <c r="T872" s="218"/>
      <c r="U872" s="218"/>
    </row>
    <row r="873">
      <c r="D873" s="3"/>
      <c r="E873" s="112"/>
      <c r="F873" s="3"/>
      <c r="G873" s="12"/>
      <c r="H873" s="12"/>
      <c r="K873" s="12"/>
      <c r="M873" s="12"/>
      <c r="R873" s="218"/>
      <c r="S873" s="218"/>
      <c r="T873" s="218"/>
      <c r="U873" s="218"/>
    </row>
    <row r="874">
      <c r="D874" s="3"/>
      <c r="E874" s="112"/>
      <c r="F874" s="3"/>
      <c r="G874" s="12"/>
      <c r="H874" s="12"/>
      <c r="K874" s="12"/>
      <c r="M874" s="12"/>
      <c r="R874" s="218"/>
      <c r="S874" s="218"/>
      <c r="T874" s="218"/>
      <c r="U874" s="218"/>
    </row>
    <row r="875">
      <c r="D875" s="3"/>
      <c r="E875" s="112"/>
      <c r="F875" s="3"/>
      <c r="G875" s="12"/>
      <c r="H875" s="12"/>
      <c r="K875" s="12"/>
      <c r="M875" s="12"/>
      <c r="R875" s="218"/>
      <c r="S875" s="218"/>
      <c r="T875" s="218"/>
      <c r="U875" s="218"/>
    </row>
    <row r="876">
      <c r="D876" s="3"/>
      <c r="E876" s="112"/>
      <c r="F876" s="3"/>
      <c r="G876" s="12"/>
      <c r="H876" s="12"/>
      <c r="K876" s="12"/>
      <c r="M876" s="12"/>
      <c r="R876" s="218"/>
      <c r="S876" s="218"/>
      <c r="T876" s="218"/>
      <c r="U876" s="218"/>
    </row>
    <row r="877">
      <c r="D877" s="3"/>
      <c r="E877" s="112"/>
      <c r="F877" s="3"/>
      <c r="G877" s="12"/>
      <c r="H877" s="12"/>
      <c r="K877" s="12"/>
      <c r="M877" s="12"/>
      <c r="R877" s="218"/>
      <c r="S877" s="218"/>
      <c r="T877" s="218"/>
      <c r="U877" s="218"/>
    </row>
    <row r="878">
      <c r="D878" s="3"/>
      <c r="E878" s="112"/>
      <c r="F878" s="3"/>
      <c r="G878" s="12"/>
      <c r="H878" s="12"/>
      <c r="K878" s="12"/>
      <c r="M878" s="12"/>
      <c r="R878" s="218"/>
      <c r="S878" s="218"/>
      <c r="T878" s="218"/>
      <c r="U878" s="218"/>
    </row>
    <row r="879">
      <c r="D879" s="3"/>
      <c r="E879" s="112"/>
      <c r="F879" s="3"/>
      <c r="G879" s="12"/>
      <c r="H879" s="12"/>
      <c r="K879" s="12"/>
      <c r="M879" s="12"/>
      <c r="R879" s="218"/>
      <c r="S879" s="218"/>
      <c r="T879" s="218"/>
      <c r="U879" s="218"/>
    </row>
    <row r="880">
      <c r="D880" s="3"/>
      <c r="E880" s="112"/>
      <c r="F880" s="3"/>
      <c r="G880" s="12"/>
      <c r="H880" s="12"/>
      <c r="K880" s="12"/>
      <c r="M880" s="12"/>
      <c r="R880" s="218"/>
      <c r="S880" s="218"/>
      <c r="T880" s="218"/>
      <c r="U880" s="218"/>
    </row>
    <row r="881">
      <c r="D881" s="3"/>
      <c r="E881" s="112"/>
      <c r="F881" s="3"/>
      <c r="G881" s="12"/>
      <c r="H881" s="12"/>
      <c r="K881" s="12"/>
      <c r="M881" s="12"/>
      <c r="R881" s="218"/>
      <c r="S881" s="218"/>
      <c r="T881" s="218"/>
      <c r="U881" s="218"/>
    </row>
    <row r="882">
      <c r="D882" s="3"/>
      <c r="E882" s="112"/>
      <c r="F882" s="3"/>
      <c r="G882" s="12"/>
      <c r="H882" s="12"/>
      <c r="K882" s="12"/>
      <c r="M882" s="12"/>
      <c r="R882" s="218"/>
      <c r="S882" s="218"/>
      <c r="T882" s="218"/>
      <c r="U882" s="218"/>
    </row>
    <row r="883">
      <c r="D883" s="3"/>
      <c r="E883" s="112"/>
      <c r="F883" s="3"/>
      <c r="G883" s="12"/>
      <c r="H883" s="12"/>
      <c r="K883" s="12"/>
      <c r="M883" s="12"/>
      <c r="R883" s="218"/>
      <c r="S883" s="218"/>
      <c r="T883" s="218"/>
      <c r="U883" s="218"/>
    </row>
    <row r="884">
      <c r="D884" s="3"/>
      <c r="E884" s="112"/>
      <c r="F884" s="3"/>
      <c r="G884" s="12"/>
      <c r="H884" s="12"/>
      <c r="K884" s="12"/>
      <c r="M884" s="12"/>
      <c r="R884" s="218"/>
      <c r="S884" s="218"/>
      <c r="T884" s="218"/>
      <c r="U884" s="218"/>
    </row>
    <row r="885">
      <c r="D885" s="3"/>
      <c r="E885" s="112"/>
      <c r="F885" s="3"/>
      <c r="G885" s="12"/>
      <c r="H885" s="12"/>
      <c r="K885" s="12"/>
      <c r="M885" s="12"/>
      <c r="R885" s="218"/>
      <c r="S885" s="218"/>
      <c r="T885" s="218"/>
      <c r="U885" s="218"/>
    </row>
    <row r="886">
      <c r="D886" s="3"/>
      <c r="E886" s="112"/>
      <c r="F886" s="3"/>
      <c r="G886" s="12"/>
      <c r="H886" s="12"/>
      <c r="K886" s="12"/>
      <c r="M886" s="12"/>
      <c r="R886" s="218"/>
      <c r="S886" s="218"/>
      <c r="T886" s="218"/>
      <c r="U886" s="218"/>
    </row>
    <row r="887">
      <c r="D887" s="3"/>
      <c r="E887" s="112"/>
      <c r="F887" s="3"/>
      <c r="G887" s="12"/>
      <c r="H887" s="12"/>
      <c r="K887" s="12"/>
      <c r="M887" s="12"/>
      <c r="R887" s="218"/>
      <c r="S887" s="218"/>
      <c r="T887" s="218"/>
      <c r="U887" s="218"/>
    </row>
    <row r="888">
      <c r="D888" s="3"/>
      <c r="E888" s="112"/>
      <c r="F888" s="3"/>
      <c r="G888" s="12"/>
      <c r="H888" s="12"/>
      <c r="K888" s="12"/>
      <c r="M888" s="12"/>
      <c r="R888" s="218"/>
      <c r="S888" s="218"/>
      <c r="T888" s="218"/>
      <c r="U888" s="218"/>
    </row>
    <row r="889">
      <c r="D889" s="3"/>
      <c r="E889" s="112"/>
      <c r="F889" s="3"/>
      <c r="G889" s="12"/>
      <c r="H889" s="12"/>
      <c r="K889" s="12"/>
      <c r="M889" s="12"/>
      <c r="R889" s="218"/>
      <c r="S889" s="218"/>
      <c r="T889" s="218"/>
      <c r="U889" s="218"/>
    </row>
    <row r="890">
      <c r="D890" s="3"/>
      <c r="E890" s="112"/>
      <c r="F890" s="3"/>
      <c r="G890" s="12"/>
      <c r="H890" s="12"/>
      <c r="K890" s="12"/>
      <c r="M890" s="12"/>
      <c r="R890" s="218"/>
      <c r="S890" s="218"/>
      <c r="T890" s="218"/>
      <c r="U890" s="218"/>
    </row>
    <row r="891">
      <c r="D891" s="3"/>
      <c r="E891" s="112"/>
      <c r="F891" s="3"/>
      <c r="G891" s="12"/>
      <c r="H891" s="12"/>
      <c r="K891" s="12"/>
      <c r="M891" s="12"/>
      <c r="R891" s="218"/>
      <c r="S891" s="218"/>
      <c r="T891" s="218"/>
      <c r="U891" s="218"/>
    </row>
    <row r="892">
      <c r="D892" s="3"/>
      <c r="E892" s="112"/>
      <c r="F892" s="3"/>
      <c r="G892" s="12"/>
      <c r="H892" s="12"/>
      <c r="K892" s="12"/>
      <c r="M892" s="12"/>
      <c r="R892" s="218"/>
      <c r="S892" s="218"/>
      <c r="T892" s="218"/>
      <c r="U892" s="218"/>
    </row>
    <row r="893">
      <c r="D893" s="3"/>
      <c r="E893" s="112"/>
      <c r="F893" s="3"/>
      <c r="G893" s="12"/>
      <c r="H893" s="12"/>
      <c r="K893" s="12"/>
      <c r="M893" s="12"/>
      <c r="R893" s="218"/>
      <c r="S893" s="218"/>
      <c r="T893" s="218"/>
      <c r="U893" s="218"/>
    </row>
    <row r="894">
      <c r="D894" s="3"/>
      <c r="E894" s="112"/>
      <c r="F894" s="3"/>
      <c r="G894" s="12"/>
      <c r="H894" s="12"/>
      <c r="K894" s="12"/>
      <c r="M894" s="12"/>
      <c r="R894" s="218"/>
      <c r="S894" s="218"/>
      <c r="T894" s="218"/>
      <c r="U894" s="218"/>
    </row>
    <row r="895">
      <c r="D895" s="3"/>
      <c r="E895" s="112"/>
      <c r="F895" s="3"/>
      <c r="G895" s="12"/>
      <c r="H895" s="12"/>
      <c r="K895" s="12"/>
      <c r="M895" s="12"/>
      <c r="R895" s="218"/>
      <c r="S895" s="218"/>
      <c r="T895" s="218"/>
      <c r="U895" s="218"/>
    </row>
    <row r="896">
      <c r="D896" s="3"/>
      <c r="E896" s="112"/>
      <c r="F896" s="3"/>
      <c r="G896" s="12"/>
      <c r="H896" s="12"/>
      <c r="K896" s="12"/>
      <c r="M896" s="12"/>
      <c r="R896" s="218"/>
      <c r="S896" s="218"/>
      <c r="T896" s="218"/>
      <c r="U896" s="218"/>
    </row>
    <row r="897">
      <c r="D897" s="3"/>
      <c r="E897" s="112"/>
      <c r="F897" s="3"/>
      <c r="G897" s="12"/>
      <c r="H897" s="12"/>
      <c r="K897" s="12"/>
      <c r="M897" s="12"/>
      <c r="R897" s="218"/>
      <c r="S897" s="218"/>
      <c r="T897" s="218"/>
      <c r="U897" s="218"/>
    </row>
    <row r="898">
      <c r="D898" s="3"/>
      <c r="E898" s="112"/>
      <c r="F898" s="3"/>
      <c r="G898" s="12"/>
      <c r="H898" s="12"/>
      <c r="K898" s="12"/>
      <c r="M898" s="12"/>
      <c r="R898" s="218"/>
      <c r="S898" s="218"/>
      <c r="T898" s="218"/>
      <c r="U898" s="218"/>
    </row>
    <row r="899">
      <c r="D899" s="3"/>
      <c r="E899" s="112"/>
      <c r="F899" s="3"/>
      <c r="G899" s="12"/>
      <c r="H899" s="12"/>
      <c r="K899" s="12"/>
      <c r="M899" s="12"/>
      <c r="R899" s="218"/>
      <c r="S899" s="218"/>
      <c r="T899" s="218"/>
      <c r="U899" s="218"/>
    </row>
    <row r="900">
      <c r="D900" s="3"/>
      <c r="E900" s="112"/>
      <c r="F900" s="3"/>
      <c r="G900" s="12"/>
      <c r="H900" s="12"/>
      <c r="K900" s="12"/>
      <c r="M900" s="12"/>
      <c r="R900" s="218"/>
      <c r="S900" s="218"/>
      <c r="T900" s="218"/>
      <c r="U900" s="218"/>
    </row>
    <row r="901">
      <c r="D901" s="3"/>
      <c r="E901" s="112"/>
      <c r="F901" s="3"/>
      <c r="G901" s="12"/>
      <c r="H901" s="12"/>
      <c r="K901" s="12"/>
      <c r="M901" s="12"/>
      <c r="R901" s="218"/>
      <c r="S901" s="218"/>
      <c r="T901" s="218"/>
      <c r="U901" s="218"/>
    </row>
    <row r="902">
      <c r="D902" s="3"/>
      <c r="E902" s="112"/>
      <c r="F902" s="3"/>
      <c r="G902" s="12"/>
      <c r="H902" s="12"/>
      <c r="K902" s="12"/>
      <c r="M902" s="12"/>
      <c r="R902" s="218"/>
      <c r="S902" s="218"/>
      <c r="T902" s="218"/>
      <c r="U902" s="218"/>
    </row>
    <row r="903">
      <c r="D903" s="3"/>
      <c r="E903" s="112"/>
      <c r="F903" s="3"/>
      <c r="G903" s="12"/>
      <c r="H903" s="12"/>
      <c r="K903" s="12"/>
      <c r="M903" s="12"/>
      <c r="R903" s="218"/>
      <c r="S903" s="218"/>
      <c r="T903" s="218"/>
      <c r="U903" s="218"/>
    </row>
    <row r="904">
      <c r="D904" s="3"/>
      <c r="E904" s="112"/>
      <c r="F904" s="3"/>
      <c r="G904" s="12"/>
      <c r="H904" s="12"/>
      <c r="K904" s="12"/>
      <c r="M904" s="12"/>
      <c r="R904" s="218"/>
      <c r="S904" s="218"/>
      <c r="T904" s="218"/>
      <c r="U904" s="218"/>
    </row>
    <row r="905">
      <c r="D905" s="3"/>
      <c r="E905" s="112"/>
      <c r="F905" s="3"/>
      <c r="G905" s="12"/>
      <c r="H905" s="12"/>
      <c r="K905" s="12"/>
      <c r="M905" s="12"/>
      <c r="R905" s="218"/>
      <c r="S905" s="218"/>
      <c r="T905" s="218"/>
      <c r="U905" s="218"/>
    </row>
    <row r="906">
      <c r="D906" s="3"/>
      <c r="E906" s="112"/>
      <c r="F906" s="3"/>
      <c r="G906" s="12"/>
      <c r="H906" s="12"/>
      <c r="K906" s="12"/>
      <c r="M906" s="12"/>
      <c r="R906" s="218"/>
      <c r="S906" s="218"/>
      <c r="T906" s="218"/>
      <c r="U906" s="218"/>
    </row>
    <row r="907">
      <c r="D907" s="3"/>
      <c r="E907" s="112"/>
      <c r="F907" s="3"/>
      <c r="G907" s="12"/>
      <c r="H907" s="12"/>
      <c r="K907" s="12"/>
      <c r="M907" s="12"/>
      <c r="R907" s="218"/>
      <c r="S907" s="218"/>
      <c r="T907" s="218"/>
      <c r="U907" s="218"/>
    </row>
    <row r="908">
      <c r="D908" s="3"/>
      <c r="E908" s="112"/>
      <c r="F908" s="3"/>
      <c r="G908" s="12"/>
      <c r="H908" s="12"/>
      <c r="K908" s="12"/>
      <c r="M908" s="12"/>
      <c r="R908" s="218"/>
      <c r="S908" s="218"/>
      <c r="T908" s="218"/>
      <c r="U908" s="218"/>
    </row>
    <row r="909">
      <c r="D909" s="3"/>
      <c r="E909" s="112"/>
      <c r="F909" s="3"/>
      <c r="G909" s="12"/>
      <c r="H909" s="12"/>
      <c r="K909" s="12"/>
      <c r="M909" s="12"/>
      <c r="R909" s="218"/>
      <c r="S909" s="218"/>
      <c r="T909" s="218"/>
      <c r="U909" s="218"/>
    </row>
    <row r="910">
      <c r="D910" s="3"/>
      <c r="E910" s="112"/>
      <c r="F910" s="3"/>
      <c r="G910" s="12"/>
      <c r="H910" s="12"/>
      <c r="K910" s="12"/>
      <c r="M910" s="12"/>
      <c r="R910" s="218"/>
      <c r="S910" s="218"/>
      <c r="T910" s="218"/>
      <c r="U910" s="218"/>
    </row>
    <row r="911">
      <c r="D911" s="3"/>
      <c r="E911" s="112"/>
      <c r="F911" s="3"/>
      <c r="G911" s="12"/>
      <c r="H911" s="12"/>
      <c r="K911" s="12"/>
      <c r="M911" s="12"/>
      <c r="R911" s="218"/>
      <c r="S911" s="218"/>
      <c r="T911" s="218"/>
      <c r="U911" s="218"/>
    </row>
    <row r="912">
      <c r="D912" s="3"/>
      <c r="E912" s="112"/>
      <c r="F912" s="3"/>
      <c r="G912" s="12"/>
      <c r="H912" s="12"/>
      <c r="K912" s="12"/>
      <c r="M912" s="12"/>
      <c r="R912" s="218"/>
      <c r="S912" s="218"/>
      <c r="T912" s="218"/>
      <c r="U912" s="218"/>
    </row>
    <row r="913">
      <c r="D913" s="3"/>
      <c r="E913" s="112"/>
      <c r="F913" s="3"/>
      <c r="G913" s="12"/>
      <c r="H913" s="12"/>
      <c r="K913" s="12"/>
      <c r="M913" s="12"/>
      <c r="R913" s="218"/>
      <c r="S913" s="218"/>
      <c r="T913" s="218"/>
      <c r="U913" s="218"/>
    </row>
    <row r="914">
      <c r="D914" s="3"/>
      <c r="E914" s="112"/>
      <c r="F914" s="3"/>
      <c r="G914" s="12"/>
      <c r="H914" s="12"/>
      <c r="K914" s="12"/>
      <c r="M914" s="12"/>
      <c r="R914" s="218"/>
      <c r="S914" s="218"/>
      <c r="T914" s="218"/>
      <c r="U914" s="218"/>
    </row>
    <row r="915">
      <c r="D915" s="3"/>
      <c r="E915" s="112"/>
      <c r="F915" s="3"/>
      <c r="G915" s="12"/>
      <c r="H915" s="12"/>
      <c r="K915" s="12"/>
      <c r="M915" s="12"/>
      <c r="R915" s="218"/>
      <c r="S915" s="218"/>
      <c r="T915" s="218"/>
      <c r="U915" s="218"/>
    </row>
    <row r="916">
      <c r="D916" s="3"/>
      <c r="E916" s="112"/>
      <c r="F916" s="3"/>
      <c r="G916" s="12"/>
      <c r="H916" s="12"/>
      <c r="K916" s="12"/>
      <c r="M916" s="12"/>
      <c r="R916" s="218"/>
      <c r="S916" s="218"/>
      <c r="T916" s="218"/>
      <c r="U916" s="218"/>
    </row>
    <row r="917">
      <c r="D917" s="3"/>
      <c r="E917" s="112"/>
      <c r="F917" s="3"/>
      <c r="G917" s="12"/>
      <c r="H917" s="12"/>
      <c r="K917" s="12"/>
      <c r="M917" s="12"/>
      <c r="R917" s="218"/>
      <c r="S917" s="218"/>
      <c r="T917" s="218"/>
      <c r="U917" s="218"/>
    </row>
    <row r="918">
      <c r="D918" s="3"/>
      <c r="E918" s="112"/>
      <c r="F918" s="3"/>
      <c r="G918" s="12"/>
      <c r="H918" s="12"/>
      <c r="K918" s="12"/>
      <c r="M918" s="12"/>
      <c r="R918" s="218"/>
      <c r="S918" s="218"/>
      <c r="T918" s="218"/>
      <c r="U918" s="218"/>
    </row>
    <row r="919">
      <c r="D919" s="3"/>
      <c r="E919" s="112"/>
      <c r="F919" s="3"/>
      <c r="G919" s="12"/>
      <c r="H919" s="12"/>
      <c r="K919" s="12"/>
      <c r="M919" s="12"/>
      <c r="R919" s="218"/>
      <c r="S919" s="218"/>
      <c r="T919" s="218"/>
      <c r="U919" s="218"/>
    </row>
    <row r="920">
      <c r="D920" s="3"/>
      <c r="E920" s="112"/>
      <c r="F920" s="3"/>
      <c r="G920" s="12"/>
      <c r="H920" s="12"/>
      <c r="K920" s="12"/>
      <c r="M920" s="12"/>
      <c r="R920" s="218"/>
      <c r="S920" s="218"/>
      <c r="T920" s="218"/>
      <c r="U920" s="218"/>
    </row>
    <row r="921">
      <c r="D921" s="3"/>
      <c r="E921" s="112"/>
      <c r="F921" s="3"/>
      <c r="G921" s="12"/>
      <c r="H921" s="12"/>
      <c r="K921" s="12"/>
      <c r="M921" s="12"/>
      <c r="R921" s="218"/>
      <c r="S921" s="218"/>
      <c r="T921" s="218"/>
      <c r="U921" s="218"/>
    </row>
    <row r="922">
      <c r="D922" s="3"/>
      <c r="E922" s="112"/>
      <c r="F922" s="3"/>
      <c r="G922" s="12"/>
      <c r="H922" s="12"/>
      <c r="K922" s="12"/>
      <c r="M922" s="12"/>
      <c r="R922" s="218"/>
      <c r="S922" s="218"/>
      <c r="T922" s="218"/>
      <c r="U922" s="218"/>
    </row>
    <row r="923">
      <c r="D923" s="3"/>
      <c r="E923" s="112"/>
      <c r="F923" s="3"/>
      <c r="G923" s="12"/>
      <c r="H923" s="12"/>
      <c r="K923" s="12"/>
      <c r="M923" s="12"/>
      <c r="R923" s="218"/>
      <c r="S923" s="218"/>
      <c r="T923" s="218"/>
      <c r="U923" s="218"/>
    </row>
    <row r="924">
      <c r="D924" s="3"/>
      <c r="E924" s="112"/>
      <c r="F924" s="3"/>
      <c r="G924" s="12"/>
      <c r="H924" s="12"/>
      <c r="K924" s="12"/>
      <c r="M924" s="12"/>
      <c r="R924" s="218"/>
      <c r="S924" s="218"/>
      <c r="T924" s="218"/>
      <c r="U924" s="218"/>
    </row>
    <row r="925">
      <c r="D925" s="3"/>
      <c r="E925" s="112"/>
      <c r="F925" s="3"/>
      <c r="G925" s="12"/>
      <c r="H925" s="12"/>
      <c r="K925" s="12"/>
      <c r="M925" s="12"/>
      <c r="R925" s="218"/>
      <c r="S925" s="218"/>
      <c r="T925" s="218"/>
      <c r="U925" s="218"/>
    </row>
    <row r="926">
      <c r="D926" s="3"/>
      <c r="E926" s="112"/>
      <c r="F926" s="3"/>
      <c r="G926" s="12"/>
      <c r="H926" s="12"/>
      <c r="K926" s="12"/>
      <c r="M926" s="12"/>
      <c r="R926" s="218"/>
      <c r="S926" s="218"/>
      <c r="T926" s="218"/>
      <c r="U926" s="218"/>
    </row>
    <row r="927">
      <c r="D927" s="3"/>
      <c r="E927" s="112"/>
      <c r="F927" s="3"/>
      <c r="G927" s="12"/>
      <c r="H927" s="12"/>
      <c r="K927" s="12"/>
      <c r="M927" s="12"/>
      <c r="R927" s="218"/>
      <c r="S927" s="218"/>
      <c r="T927" s="218"/>
      <c r="U927" s="218"/>
    </row>
    <row r="928">
      <c r="D928" s="3"/>
      <c r="E928" s="112"/>
      <c r="F928" s="3"/>
      <c r="G928" s="12"/>
      <c r="H928" s="12"/>
      <c r="K928" s="12"/>
      <c r="M928" s="12"/>
      <c r="R928" s="218"/>
      <c r="S928" s="218"/>
      <c r="T928" s="218"/>
      <c r="U928" s="218"/>
    </row>
    <row r="929">
      <c r="D929" s="3"/>
      <c r="E929" s="112"/>
      <c r="F929" s="3"/>
      <c r="G929" s="12"/>
      <c r="H929" s="12"/>
      <c r="K929" s="12"/>
      <c r="M929" s="12"/>
      <c r="R929" s="218"/>
      <c r="S929" s="218"/>
      <c r="T929" s="218"/>
      <c r="U929" s="218"/>
    </row>
    <row r="930">
      <c r="D930" s="3"/>
      <c r="E930" s="112"/>
      <c r="F930" s="3"/>
      <c r="G930" s="12"/>
      <c r="H930" s="12"/>
      <c r="K930" s="12"/>
      <c r="M930" s="12"/>
      <c r="R930" s="218"/>
      <c r="S930" s="218"/>
      <c r="T930" s="218"/>
      <c r="U930" s="218"/>
    </row>
    <row r="931">
      <c r="D931" s="3"/>
      <c r="E931" s="112"/>
      <c r="F931" s="3"/>
      <c r="G931" s="12"/>
      <c r="H931" s="12"/>
      <c r="K931" s="12"/>
      <c r="M931" s="12"/>
      <c r="R931" s="218"/>
      <c r="S931" s="218"/>
      <c r="T931" s="218"/>
      <c r="U931" s="218"/>
    </row>
    <row r="932">
      <c r="D932" s="3"/>
      <c r="E932" s="112"/>
      <c r="F932" s="3"/>
      <c r="G932" s="12"/>
      <c r="H932" s="12"/>
      <c r="K932" s="12"/>
      <c r="M932" s="12"/>
      <c r="R932" s="218"/>
      <c r="S932" s="218"/>
      <c r="T932" s="218"/>
      <c r="U932" s="218"/>
    </row>
    <row r="933">
      <c r="D933" s="3"/>
      <c r="E933" s="112"/>
      <c r="F933" s="3"/>
      <c r="G933" s="12"/>
      <c r="H933" s="12"/>
      <c r="K933" s="12"/>
      <c r="M933" s="12"/>
      <c r="R933" s="218"/>
      <c r="S933" s="218"/>
      <c r="T933" s="218"/>
      <c r="U933" s="218"/>
    </row>
    <row r="934">
      <c r="D934" s="3"/>
      <c r="E934" s="112"/>
      <c r="F934" s="3"/>
      <c r="G934" s="12"/>
      <c r="H934" s="12"/>
      <c r="K934" s="12"/>
      <c r="M934" s="12"/>
      <c r="R934" s="218"/>
      <c r="S934" s="218"/>
      <c r="T934" s="218"/>
      <c r="U934" s="218"/>
    </row>
    <row r="935">
      <c r="D935" s="3"/>
      <c r="E935" s="112"/>
      <c r="F935" s="3"/>
      <c r="G935" s="12"/>
      <c r="H935" s="12"/>
      <c r="K935" s="12"/>
      <c r="M935" s="12"/>
      <c r="R935" s="218"/>
      <c r="S935" s="218"/>
      <c r="T935" s="218"/>
      <c r="U935" s="218"/>
    </row>
    <row r="936">
      <c r="D936" s="3"/>
      <c r="E936" s="112"/>
      <c r="F936" s="3"/>
      <c r="G936" s="12"/>
      <c r="H936" s="12"/>
      <c r="K936" s="12"/>
      <c r="M936" s="12"/>
      <c r="R936" s="218"/>
      <c r="S936" s="218"/>
      <c r="T936" s="218"/>
      <c r="U936" s="218"/>
    </row>
    <row r="937">
      <c r="D937" s="3"/>
      <c r="E937" s="112"/>
      <c r="F937" s="3"/>
      <c r="G937" s="12"/>
      <c r="H937" s="12"/>
      <c r="K937" s="12"/>
      <c r="M937" s="12"/>
      <c r="R937" s="218"/>
      <c r="S937" s="218"/>
      <c r="T937" s="218"/>
      <c r="U937" s="218"/>
    </row>
    <row r="938">
      <c r="D938" s="3"/>
      <c r="E938" s="112"/>
      <c r="F938" s="3"/>
      <c r="G938" s="12"/>
      <c r="H938" s="12"/>
      <c r="K938" s="12"/>
      <c r="M938" s="12"/>
      <c r="R938" s="218"/>
      <c r="S938" s="218"/>
      <c r="T938" s="218"/>
      <c r="U938" s="218"/>
    </row>
    <row r="939">
      <c r="D939" s="3"/>
      <c r="E939" s="112"/>
      <c r="F939" s="3"/>
      <c r="G939" s="12"/>
      <c r="H939" s="12"/>
      <c r="K939" s="12"/>
      <c r="M939" s="12"/>
      <c r="R939" s="218"/>
      <c r="S939" s="218"/>
      <c r="T939" s="218"/>
      <c r="U939" s="218"/>
    </row>
    <row r="940">
      <c r="D940" s="3"/>
      <c r="E940" s="112"/>
      <c r="F940" s="3"/>
      <c r="G940" s="12"/>
      <c r="H940" s="12"/>
      <c r="K940" s="12"/>
      <c r="M940" s="12"/>
      <c r="R940" s="218"/>
      <c r="S940" s="218"/>
      <c r="T940" s="218"/>
      <c r="U940" s="218"/>
    </row>
    <row r="941">
      <c r="D941" s="3"/>
      <c r="E941" s="112"/>
      <c r="F941" s="3"/>
      <c r="G941" s="12"/>
      <c r="H941" s="12"/>
      <c r="K941" s="12"/>
      <c r="M941" s="12"/>
      <c r="R941" s="218"/>
      <c r="S941" s="218"/>
      <c r="T941" s="218"/>
      <c r="U941" s="218"/>
    </row>
    <row r="942">
      <c r="D942" s="3"/>
      <c r="E942" s="112"/>
      <c r="F942" s="3"/>
      <c r="G942" s="12"/>
      <c r="H942" s="12"/>
      <c r="K942" s="12"/>
      <c r="M942" s="12"/>
      <c r="R942" s="218"/>
      <c r="S942" s="218"/>
      <c r="T942" s="218"/>
      <c r="U942" s="218"/>
    </row>
    <row r="943">
      <c r="D943" s="3"/>
      <c r="E943" s="112"/>
      <c r="F943" s="3"/>
      <c r="G943" s="12"/>
      <c r="H943" s="12"/>
      <c r="K943" s="12"/>
      <c r="M943" s="12"/>
      <c r="R943" s="218"/>
      <c r="S943" s="218"/>
      <c r="T943" s="218"/>
      <c r="U943" s="218"/>
    </row>
    <row r="944">
      <c r="D944" s="3"/>
      <c r="E944" s="112"/>
      <c r="F944" s="3"/>
      <c r="G944" s="12"/>
      <c r="H944" s="12"/>
      <c r="K944" s="12"/>
      <c r="M944" s="12"/>
      <c r="R944" s="218"/>
      <c r="S944" s="218"/>
      <c r="T944" s="218"/>
      <c r="U944" s="218"/>
    </row>
    <row r="945">
      <c r="D945" s="3"/>
      <c r="E945" s="112"/>
      <c r="F945" s="3"/>
      <c r="G945" s="12"/>
      <c r="H945" s="12"/>
      <c r="K945" s="12"/>
      <c r="M945" s="12"/>
      <c r="R945" s="218"/>
      <c r="S945" s="218"/>
      <c r="T945" s="218"/>
      <c r="U945" s="218"/>
    </row>
    <row r="946">
      <c r="D946" s="3"/>
      <c r="E946" s="112"/>
      <c r="F946" s="3"/>
      <c r="G946" s="12"/>
      <c r="H946" s="12"/>
      <c r="K946" s="12"/>
      <c r="M946" s="12"/>
      <c r="R946" s="218"/>
      <c r="S946" s="218"/>
      <c r="T946" s="218"/>
      <c r="U946" s="218"/>
    </row>
    <row r="947">
      <c r="D947" s="3"/>
      <c r="E947" s="112"/>
      <c r="F947" s="3"/>
      <c r="G947" s="12"/>
      <c r="H947" s="12"/>
      <c r="K947" s="12"/>
      <c r="M947" s="12"/>
      <c r="R947" s="218"/>
      <c r="S947" s="218"/>
      <c r="T947" s="218"/>
      <c r="U947" s="218"/>
    </row>
    <row r="948">
      <c r="D948" s="3"/>
      <c r="E948" s="112"/>
      <c r="F948" s="3"/>
      <c r="G948" s="12"/>
      <c r="H948" s="12"/>
      <c r="K948" s="12"/>
      <c r="M948" s="12"/>
      <c r="R948" s="218"/>
      <c r="S948" s="218"/>
      <c r="T948" s="218"/>
      <c r="U948" s="218"/>
    </row>
    <row r="949">
      <c r="D949" s="3"/>
      <c r="E949" s="112"/>
      <c r="F949" s="3"/>
      <c r="G949" s="12"/>
      <c r="H949" s="12"/>
      <c r="K949" s="12"/>
      <c r="M949" s="12"/>
      <c r="R949" s="218"/>
      <c r="S949" s="218"/>
      <c r="T949" s="218"/>
      <c r="U949" s="218"/>
    </row>
    <row r="950">
      <c r="D950" s="3"/>
      <c r="E950" s="112"/>
      <c r="F950" s="3"/>
      <c r="G950" s="12"/>
      <c r="H950" s="12"/>
      <c r="K950" s="12"/>
      <c r="M950" s="12"/>
      <c r="R950" s="218"/>
      <c r="S950" s="218"/>
      <c r="T950" s="218"/>
      <c r="U950" s="218"/>
    </row>
    <row r="951">
      <c r="D951" s="3"/>
      <c r="E951" s="112"/>
      <c r="F951" s="3"/>
      <c r="G951" s="12"/>
      <c r="H951" s="12"/>
      <c r="K951" s="12"/>
      <c r="M951" s="12"/>
      <c r="R951" s="218"/>
      <c r="S951" s="218"/>
      <c r="T951" s="218"/>
      <c r="U951" s="218"/>
    </row>
    <row r="952">
      <c r="D952" s="3"/>
      <c r="E952" s="112"/>
      <c r="F952" s="3"/>
      <c r="G952" s="12"/>
      <c r="H952" s="12"/>
      <c r="K952" s="12"/>
      <c r="M952" s="12"/>
      <c r="R952" s="218"/>
      <c r="S952" s="218"/>
      <c r="T952" s="218"/>
      <c r="U952" s="218"/>
    </row>
    <row r="953">
      <c r="D953" s="3"/>
      <c r="E953" s="112"/>
      <c r="F953" s="3"/>
      <c r="G953" s="12"/>
      <c r="H953" s="12"/>
      <c r="K953" s="12"/>
      <c r="M953" s="12"/>
      <c r="R953" s="218"/>
      <c r="S953" s="218"/>
      <c r="T953" s="218"/>
      <c r="U953" s="218"/>
    </row>
    <row r="954">
      <c r="D954" s="3"/>
      <c r="E954" s="112"/>
      <c r="F954" s="3"/>
      <c r="G954" s="12"/>
      <c r="H954" s="12"/>
      <c r="K954" s="12"/>
      <c r="M954" s="12"/>
      <c r="R954" s="218"/>
      <c r="S954" s="218"/>
      <c r="T954" s="218"/>
      <c r="U954" s="218"/>
    </row>
    <row r="955">
      <c r="D955" s="3"/>
      <c r="E955" s="112"/>
      <c r="F955" s="3"/>
      <c r="G955" s="12"/>
      <c r="H955" s="12"/>
      <c r="K955" s="12"/>
      <c r="M955" s="12"/>
      <c r="R955" s="218"/>
      <c r="S955" s="218"/>
      <c r="T955" s="218"/>
      <c r="U955" s="218"/>
    </row>
    <row r="956">
      <c r="D956" s="3"/>
      <c r="E956" s="112"/>
      <c r="F956" s="3"/>
      <c r="G956" s="12"/>
      <c r="H956" s="12"/>
      <c r="K956" s="12"/>
      <c r="M956" s="12"/>
      <c r="R956" s="218"/>
      <c r="S956" s="218"/>
      <c r="T956" s="218"/>
      <c r="U956" s="218"/>
    </row>
    <row r="957">
      <c r="D957" s="3"/>
      <c r="E957" s="112"/>
      <c r="F957" s="3"/>
      <c r="G957" s="12"/>
      <c r="H957" s="12"/>
      <c r="K957" s="12"/>
      <c r="M957" s="12"/>
      <c r="R957" s="218"/>
      <c r="S957" s="218"/>
      <c r="T957" s="218"/>
      <c r="U957" s="218"/>
    </row>
    <row r="958">
      <c r="D958" s="3"/>
      <c r="E958" s="112"/>
      <c r="F958" s="3"/>
      <c r="G958" s="12"/>
      <c r="H958" s="12"/>
      <c r="K958" s="12"/>
      <c r="M958" s="12"/>
      <c r="R958" s="218"/>
      <c r="S958" s="218"/>
      <c r="T958" s="218"/>
      <c r="U958" s="218"/>
    </row>
    <row r="959">
      <c r="D959" s="3"/>
      <c r="E959" s="112"/>
      <c r="F959" s="3"/>
      <c r="G959" s="12"/>
      <c r="H959" s="12"/>
      <c r="K959" s="12"/>
      <c r="M959" s="12"/>
      <c r="R959" s="218"/>
      <c r="S959" s="218"/>
      <c r="T959" s="218"/>
      <c r="U959" s="218"/>
    </row>
    <row r="960">
      <c r="D960" s="3"/>
      <c r="E960" s="112"/>
      <c r="F960" s="3"/>
      <c r="G960" s="12"/>
      <c r="H960" s="12"/>
      <c r="K960" s="12"/>
      <c r="M960" s="12"/>
      <c r="R960" s="218"/>
      <c r="S960" s="218"/>
      <c r="T960" s="218"/>
      <c r="U960" s="218"/>
    </row>
    <row r="961">
      <c r="D961" s="3"/>
      <c r="E961" s="112"/>
      <c r="F961" s="3"/>
      <c r="G961" s="12"/>
      <c r="H961" s="12"/>
      <c r="K961" s="12"/>
      <c r="M961" s="12"/>
      <c r="R961" s="218"/>
      <c r="S961" s="218"/>
      <c r="T961" s="218"/>
      <c r="U961" s="218"/>
    </row>
    <row r="962">
      <c r="D962" s="3"/>
      <c r="E962" s="112"/>
      <c r="F962" s="3"/>
      <c r="G962" s="12"/>
      <c r="H962" s="12"/>
      <c r="K962" s="12"/>
      <c r="M962" s="12"/>
      <c r="R962" s="218"/>
      <c r="S962" s="218"/>
      <c r="T962" s="218"/>
      <c r="U962" s="218"/>
    </row>
    <row r="963">
      <c r="D963" s="3"/>
      <c r="E963" s="112"/>
      <c r="F963" s="3"/>
      <c r="G963" s="12"/>
      <c r="H963" s="12"/>
      <c r="K963" s="12"/>
      <c r="M963" s="12"/>
      <c r="R963" s="218"/>
      <c r="S963" s="218"/>
      <c r="T963" s="218"/>
      <c r="U963" s="218"/>
    </row>
    <row r="964">
      <c r="D964" s="3"/>
      <c r="E964" s="112"/>
      <c r="F964" s="3"/>
      <c r="G964" s="12"/>
      <c r="H964" s="12"/>
      <c r="K964" s="12"/>
      <c r="M964" s="12"/>
      <c r="R964" s="218"/>
      <c r="S964" s="218"/>
      <c r="T964" s="218"/>
      <c r="U964" s="218"/>
    </row>
    <row r="965">
      <c r="D965" s="3"/>
      <c r="E965" s="112"/>
      <c r="F965" s="3"/>
      <c r="G965" s="12"/>
      <c r="H965" s="12"/>
      <c r="K965" s="12"/>
      <c r="M965" s="12"/>
      <c r="R965" s="218"/>
      <c r="S965" s="218"/>
      <c r="T965" s="218"/>
      <c r="U965" s="218"/>
    </row>
    <row r="966">
      <c r="D966" s="3"/>
      <c r="E966" s="112"/>
      <c r="F966" s="3"/>
      <c r="G966" s="12"/>
      <c r="H966" s="12"/>
      <c r="K966" s="12"/>
      <c r="M966" s="12"/>
      <c r="R966" s="218"/>
      <c r="S966" s="218"/>
      <c r="T966" s="218"/>
      <c r="U966" s="218"/>
    </row>
    <row r="967">
      <c r="D967" s="3"/>
      <c r="E967" s="112"/>
      <c r="F967" s="3"/>
      <c r="G967" s="12"/>
      <c r="H967" s="12"/>
      <c r="K967" s="12"/>
      <c r="M967" s="12"/>
      <c r="R967" s="218"/>
      <c r="S967" s="218"/>
      <c r="T967" s="218"/>
      <c r="U967" s="218"/>
    </row>
    <row r="968">
      <c r="D968" s="3"/>
      <c r="E968" s="112"/>
      <c r="F968" s="3"/>
      <c r="G968" s="12"/>
      <c r="H968" s="12"/>
      <c r="K968" s="12"/>
      <c r="M968" s="12"/>
      <c r="R968" s="218"/>
      <c r="S968" s="218"/>
      <c r="T968" s="218"/>
      <c r="U968" s="218"/>
    </row>
    <row r="969">
      <c r="D969" s="3"/>
      <c r="E969" s="112"/>
      <c r="F969" s="3"/>
      <c r="G969" s="12"/>
      <c r="H969" s="12"/>
      <c r="K969" s="12"/>
      <c r="M969" s="12"/>
      <c r="R969" s="218"/>
      <c r="S969" s="218"/>
      <c r="T969" s="218"/>
      <c r="U969" s="218"/>
    </row>
    <row r="970">
      <c r="D970" s="3"/>
      <c r="E970" s="112"/>
      <c r="F970" s="3"/>
      <c r="G970" s="12"/>
      <c r="H970" s="12"/>
      <c r="K970" s="12"/>
      <c r="M970" s="12"/>
      <c r="R970" s="218"/>
      <c r="S970" s="218"/>
      <c r="T970" s="218"/>
      <c r="U970" s="218"/>
    </row>
    <row r="971">
      <c r="D971" s="3"/>
      <c r="E971" s="112"/>
      <c r="F971" s="3"/>
      <c r="G971" s="12"/>
      <c r="H971" s="12"/>
      <c r="K971" s="12"/>
      <c r="M971" s="12"/>
      <c r="R971" s="218"/>
      <c r="S971" s="218"/>
      <c r="T971" s="218"/>
      <c r="U971" s="218"/>
    </row>
    <row r="972">
      <c r="D972" s="3"/>
      <c r="E972" s="112"/>
      <c r="F972" s="3"/>
      <c r="G972" s="12"/>
      <c r="H972" s="12"/>
      <c r="K972" s="12"/>
      <c r="M972" s="12"/>
      <c r="R972" s="218"/>
      <c r="S972" s="218"/>
      <c r="T972" s="218"/>
      <c r="U972" s="218"/>
    </row>
    <row r="973">
      <c r="D973" s="3"/>
      <c r="E973" s="112"/>
      <c r="F973" s="3"/>
      <c r="G973" s="12"/>
      <c r="H973" s="12"/>
      <c r="K973" s="12"/>
      <c r="M973" s="12"/>
      <c r="R973" s="218"/>
      <c r="S973" s="218"/>
      <c r="T973" s="218"/>
      <c r="U973" s="218"/>
    </row>
    <row r="974">
      <c r="D974" s="3"/>
      <c r="E974" s="112"/>
      <c r="F974" s="3"/>
      <c r="G974" s="12"/>
      <c r="H974" s="12"/>
      <c r="K974" s="12"/>
      <c r="M974" s="12"/>
      <c r="R974" s="218"/>
      <c r="S974" s="218"/>
      <c r="T974" s="218"/>
      <c r="U974" s="218"/>
    </row>
    <row r="975">
      <c r="D975" s="3"/>
      <c r="E975" s="112"/>
      <c r="F975" s="3"/>
      <c r="G975" s="12"/>
      <c r="H975" s="12"/>
      <c r="K975" s="12"/>
      <c r="M975" s="12"/>
      <c r="R975" s="218"/>
      <c r="S975" s="218"/>
      <c r="T975" s="218"/>
      <c r="U975" s="218"/>
    </row>
    <row r="976">
      <c r="D976" s="3"/>
      <c r="E976" s="112"/>
      <c r="F976" s="3"/>
      <c r="G976" s="12"/>
      <c r="H976" s="12"/>
      <c r="K976" s="12"/>
      <c r="M976" s="12"/>
      <c r="R976" s="218"/>
      <c r="S976" s="218"/>
      <c r="T976" s="218"/>
      <c r="U976" s="218"/>
    </row>
    <row r="977">
      <c r="D977" s="3"/>
      <c r="E977" s="112"/>
      <c r="F977" s="3"/>
      <c r="G977" s="12"/>
      <c r="H977" s="12"/>
      <c r="K977" s="12"/>
      <c r="M977" s="12"/>
      <c r="R977" s="218"/>
      <c r="S977" s="218"/>
      <c r="T977" s="218"/>
      <c r="U977" s="218"/>
    </row>
    <row r="978">
      <c r="D978" s="3"/>
      <c r="E978" s="112"/>
      <c r="F978" s="3"/>
      <c r="G978" s="12"/>
      <c r="H978" s="12"/>
      <c r="K978" s="12"/>
      <c r="M978" s="12"/>
      <c r="R978" s="218"/>
      <c r="S978" s="218"/>
      <c r="T978" s="218"/>
      <c r="U978" s="218"/>
    </row>
    <row r="979">
      <c r="D979" s="3"/>
      <c r="E979" s="112"/>
      <c r="F979" s="3"/>
      <c r="G979" s="12"/>
      <c r="H979" s="12"/>
      <c r="K979" s="12"/>
      <c r="M979" s="12"/>
      <c r="R979" s="218"/>
      <c r="S979" s="218"/>
      <c r="T979" s="218"/>
      <c r="U979" s="218"/>
    </row>
    <row r="980">
      <c r="D980" s="3"/>
      <c r="E980" s="112"/>
      <c r="F980" s="3"/>
      <c r="G980" s="12"/>
      <c r="H980" s="12"/>
      <c r="K980" s="12"/>
      <c r="M980" s="12"/>
      <c r="R980" s="218"/>
      <c r="S980" s="218"/>
      <c r="T980" s="218"/>
      <c r="U980" s="218"/>
    </row>
    <row r="981">
      <c r="D981" s="3"/>
      <c r="E981" s="112"/>
      <c r="F981" s="3"/>
      <c r="G981" s="12"/>
      <c r="H981" s="12"/>
      <c r="K981" s="12"/>
      <c r="M981" s="12"/>
      <c r="R981" s="218"/>
      <c r="S981" s="218"/>
      <c r="T981" s="218"/>
      <c r="U981" s="218"/>
    </row>
    <row r="982">
      <c r="D982" s="3"/>
      <c r="E982" s="112"/>
      <c r="F982" s="3"/>
      <c r="G982" s="12"/>
      <c r="H982" s="12"/>
      <c r="K982" s="12"/>
      <c r="M982" s="12"/>
      <c r="R982" s="218"/>
      <c r="S982" s="218"/>
      <c r="T982" s="218"/>
      <c r="U982" s="218"/>
    </row>
    <row r="983">
      <c r="D983" s="3"/>
      <c r="E983" s="112"/>
      <c r="F983" s="3"/>
      <c r="G983" s="12"/>
      <c r="H983" s="12"/>
      <c r="K983" s="12"/>
      <c r="M983" s="12"/>
      <c r="R983" s="218"/>
      <c r="S983" s="218"/>
      <c r="T983" s="218"/>
      <c r="U983" s="218"/>
    </row>
    <row r="984">
      <c r="D984" s="3"/>
      <c r="E984" s="112"/>
      <c r="F984" s="3"/>
      <c r="G984" s="12"/>
      <c r="H984" s="12"/>
      <c r="K984" s="12"/>
      <c r="M984" s="12"/>
      <c r="R984" s="218"/>
      <c r="S984" s="218"/>
      <c r="T984" s="218"/>
      <c r="U984" s="218"/>
    </row>
    <row r="985">
      <c r="D985" s="3"/>
      <c r="E985" s="112"/>
      <c r="F985" s="3"/>
      <c r="G985" s="12"/>
      <c r="H985" s="12"/>
      <c r="K985" s="12"/>
      <c r="M985" s="12"/>
      <c r="R985" s="218"/>
      <c r="S985" s="218"/>
      <c r="T985" s="218"/>
      <c r="U985" s="218"/>
    </row>
    <row r="986">
      <c r="D986" s="3"/>
      <c r="E986" s="112"/>
      <c r="F986" s="3"/>
      <c r="G986" s="12"/>
      <c r="H986" s="12"/>
      <c r="K986" s="12"/>
      <c r="M986" s="12"/>
      <c r="R986" s="218"/>
      <c r="S986" s="218"/>
      <c r="T986" s="218"/>
      <c r="U986" s="218"/>
    </row>
    <row r="987">
      <c r="D987" s="3"/>
      <c r="E987" s="112"/>
      <c r="F987" s="3"/>
      <c r="G987" s="12"/>
      <c r="H987" s="12"/>
      <c r="K987" s="12"/>
      <c r="M987" s="12"/>
      <c r="R987" s="218"/>
      <c r="S987" s="218"/>
      <c r="T987" s="218"/>
      <c r="U987" s="218"/>
    </row>
    <row r="988">
      <c r="D988" s="3"/>
      <c r="E988" s="112"/>
      <c r="F988" s="3"/>
      <c r="G988" s="12"/>
      <c r="H988" s="12"/>
      <c r="K988" s="12"/>
      <c r="M988" s="12"/>
      <c r="R988" s="218"/>
      <c r="S988" s="218"/>
      <c r="T988" s="218"/>
      <c r="U988" s="218"/>
    </row>
    <row r="989">
      <c r="D989" s="3"/>
      <c r="E989" s="112"/>
      <c r="F989" s="3"/>
      <c r="G989" s="12"/>
      <c r="H989" s="12"/>
      <c r="K989" s="12"/>
      <c r="M989" s="12"/>
      <c r="R989" s="218"/>
      <c r="S989" s="218"/>
      <c r="T989" s="218"/>
      <c r="U989" s="218"/>
    </row>
    <row r="990">
      <c r="D990" s="3"/>
      <c r="E990" s="112"/>
      <c r="F990" s="3"/>
      <c r="G990" s="12"/>
      <c r="H990" s="12"/>
      <c r="K990" s="12"/>
      <c r="M990" s="12"/>
      <c r="R990" s="218"/>
      <c r="S990" s="218"/>
      <c r="T990" s="218"/>
      <c r="U990" s="218"/>
    </row>
    <row r="991">
      <c r="D991" s="3"/>
      <c r="E991" s="112"/>
      <c r="F991" s="3"/>
      <c r="G991" s="12"/>
      <c r="H991" s="12"/>
      <c r="K991" s="12"/>
      <c r="M991" s="12"/>
      <c r="R991" s="218"/>
      <c r="S991" s="218"/>
      <c r="T991" s="218"/>
      <c r="U991" s="218"/>
    </row>
    <row r="992">
      <c r="D992" s="3"/>
      <c r="E992" s="112"/>
      <c r="F992" s="3"/>
      <c r="G992" s="12"/>
      <c r="H992" s="12"/>
      <c r="K992" s="12"/>
      <c r="M992" s="12"/>
      <c r="R992" s="218"/>
      <c r="S992" s="218"/>
      <c r="T992" s="218"/>
      <c r="U992" s="218"/>
    </row>
    <row r="993">
      <c r="D993" s="3"/>
      <c r="E993" s="112"/>
      <c r="F993" s="3"/>
      <c r="G993" s="12"/>
      <c r="H993" s="12"/>
      <c r="K993" s="12"/>
      <c r="M993" s="12"/>
      <c r="R993" s="218"/>
      <c r="S993" s="218"/>
      <c r="T993" s="218"/>
      <c r="U993" s="218"/>
    </row>
    <row r="994">
      <c r="D994" s="3"/>
      <c r="E994" s="112"/>
      <c r="F994" s="3"/>
      <c r="G994" s="12"/>
      <c r="H994" s="12"/>
      <c r="K994" s="12"/>
      <c r="M994" s="12"/>
      <c r="R994" s="218"/>
      <c r="S994" s="218"/>
      <c r="T994" s="218"/>
      <c r="U994" s="218"/>
    </row>
    <row r="995">
      <c r="D995" s="3"/>
      <c r="E995" s="112"/>
      <c r="F995" s="3"/>
      <c r="G995" s="12"/>
      <c r="H995" s="12"/>
      <c r="K995" s="12"/>
      <c r="M995" s="12"/>
      <c r="R995" s="218"/>
      <c r="S995" s="218"/>
      <c r="T995" s="218"/>
      <c r="U995" s="218"/>
    </row>
    <row r="996">
      <c r="D996" s="3"/>
      <c r="E996" s="112"/>
      <c r="F996" s="3"/>
      <c r="G996" s="12"/>
      <c r="H996" s="12"/>
      <c r="K996" s="12"/>
      <c r="M996" s="12"/>
      <c r="R996" s="218"/>
      <c r="S996" s="218"/>
      <c r="T996" s="218"/>
      <c r="U996" s="218"/>
    </row>
    <row r="997">
      <c r="D997" s="3"/>
      <c r="E997" s="112"/>
      <c r="F997" s="3"/>
      <c r="G997" s="12"/>
      <c r="H997" s="12"/>
      <c r="K997" s="12"/>
      <c r="M997" s="12"/>
      <c r="R997" s="218"/>
      <c r="S997" s="218"/>
      <c r="T997" s="218"/>
      <c r="U997" s="218"/>
    </row>
    <row r="998">
      <c r="D998" s="3"/>
      <c r="E998" s="112"/>
      <c r="F998" s="3"/>
      <c r="G998" s="12"/>
      <c r="H998" s="12"/>
      <c r="K998" s="12"/>
      <c r="M998" s="12"/>
      <c r="R998" s="218"/>
      <c r="S998" s="218"/>
      <c r="T998" s="218"/>
      <c r="U998" s="218"/>
    </row>
    <row r="999">
      <c r="D999" s="3"/>
      <c r="E999" s="112"/>
      <c r="F999" s="3"/>
      <c r="G999" s="12"/>
      <c r="H999" s="12"/>
      <c r="K999" s="12"/>
      <c r="M999" s="12"/>
      <c r="R999" s="218"/>
      <c r="S999" s="218"/>
      <c r="T999" s="218"/>
      <c r="U999" s="218"/>
    </row>
    <row r="1000">
      <c r="D1000" s="3"/>
      <c r="E1000" s="112"/>
      <c r="F1000" s="3"/>
      <c r="G1000" s="12"/>
      <c r="H1000" s="12"/>
      <c r="K1000" s="12"/>
      <c r="M1000" s="12"/>
      <c r="R1000" s="218"/>
      <c r="S1000" s="218"/>
      <c r="T1000" s="218"/>
      <c r="U1000" s="218"/>
    </row>
    <row r="1001">
      <c r="D1001" s="3"/>
      <c r="E1001" s="112"/>
      <c r="F1001" s="3"/>
      <c r="G1001" s="12"/>
      <c r="H1001" s="12"/>
      <c r="K1001" s="12"/>
      <c r="M1001" s="12"/>
      <c r="R1001" s="218"/>
      <c r="S1001" s="218"/>
      <c r="T1001" s="218"/>
      <c r="U1001" s="218"/>
    </row>
    <row r="1002">
      <c r="D1002" s="3"/>
      <c r="E1002" s="112"/>
      <c r="F1002" s="3"/>
      <c r="G1002" s="12"/>
      <c r="H1002" s="12"/>
      <c r="K1002" s="12"/>
      <c r="M1002" s="12"/>
      <c r="R1002" s="218"/>
      <c r="S1002" s="218"/>
      <c r="T1002" s="218"/>
      <c r="U1002" s="218"/>
    </row>
    <row r="1003">
      <c r="D1003" s="3"/>
      <c r="E1003" s="112"/>
      <c r="F1003" s="3"/>
      <c r="G1003" s="12"/>
      <c r="H1003" s="12"/>
      <c r="K1003" s="12"/>
      <c r="M1003" s="12"/>
      <c r="R1003" s="218"/>
      <c r="S1003" s="218"/>
      <c r="T1003" s="218"/>
      <c r="U1003" s="218"/>
    </row>
    <row r="1004">
      <c r="D1004" s="3"/>
      <c r="E1004" s="112"/>
      <c r="F1004" s="3"/>
      <c r="G1004" s="12"/>
      <c r="H1004" s="12"/>
      <c r="K1004" s="12"/>
      <c r="M1004" s="12"/>
      <c r="R1004" s="218"/>
      <c r="S1004" s="218"/>
      <c r="T1004" s="218"/>
      <c r="U1004" s="218"/>
    </row>
    <row r="1005">
      <c r="D1005" s="3"/>
      <c r="E1005" s="112"/>
      <c r="F1005" s="3"/>
      <c r="G1005" s="12"/>
      <c r="H1005" s="12"/>
      <c r="K1005" s="12"/>
      <c r="M1005" s="12"/>
      <c r="R1005" s="218"/>
      <c r="S1005" s="218"/>
      <c r="T1005" s="218"/>
      <c r="U1005" s="218"/>
    </row>
    <row r="1006">
      <c r="D1006" s="3"/>
      <c r="E1006" s="112"/>
      <c r="F1006" s="3"/>
      <c r="G1006" s="12"/>
      <c r="H1006" s="12"/>
      <c r="K1006" s="12"/>
      <c r="M1006" s="12"/>
      <c r="R1006" s="218"/>
      <c r="S1006" s="218"/>
      <c r="T1006" s="218"/>
      <c r="U1006" s="218"/>
    </row>
    <row r="1007">
      <c r="D1007" s="3"/>
      <c r="E1007" s="112"/>
      <c r="F1007" s="3"/>
      <c r="G1007" s="12"/>
      <c r="H1007" s="12"/>
      <c r="K1007" s="12"/>
      <c r="M1007" s="12"/>
      <c r="R1007" s="218"/>
      <c r="S1007" s="218"/>
      <c r="T1007" s="218"/>
      <c r="U1007" s="218"/>
    </row>
    <row r="1008">
      <c r="D1008" s="3"/>
      <c r="E1008" s="112"/>
      <c r="F1008" s="3"/>
      <c r="G1008" s="12"/>
      <c r="H1008" s="12"/>
      <c r="K1008" s="12"/>
      <c r="M1008" s="12"/>
      <c r="R1008" s="218"/>
      <c r="S1008" s="218"/>
      <c r="T1008" s="218"/>
      <c r="U1008" s="218"/>
    </row>
    <row r="1009">
      <c r="D1009" s="3"/>
      <c r="E1009" s="112"/>
      <c r="F1009" s="3"/>
      <c r="G1009" s="12"/>
      <c r="H1009" s="12"/>
      <c r="K1009" s="12"/>
      <c r="M1009" s="12"/>
      <c r="R1009" s="218"/>
      <c r="S1009" s="218"/>
      <c r="T1009" s="218"/>
      <c r="U1009" s="218"/>
    </row>
    <row r="1010">
      <c r="D1010" s="3"/>
      <c r="E1010" s="112"/>
      <c r="F1010" s="3"/>
      <c r="G1010" s="12"/>
      <c r="H1010" s="12"/>
      <c r="K1010" s="12"/>
      <c r="M1010" s="12"/>
      <c r="R1010" s="218"/>
      <c r="S1010" s="218"/>
      <c r="T1010" s="218"/>
      <c r="U1010" s="218"/>
    </row>
    <row r="1011">
      <c r="D1011" s="3"/>
      <c r="E1011" s="112"/>
      <c r="F1011" s="3"/>
      <c r="G1011" s="12"/>
      <c r="H1011" s="12"/>
      <c r="K1011" s="12"/>
      <c r="M1011" s="12"/>
      <c r="R1011" s="218"/>
      <c r="S1011" s="218"/>
      <c r="T1011" s="218"/>
      <c r="U1011" s="218"/>
    </row>
    <row r="1012">
      <c r="D1012" s="3"/>
      <c r="E1012" s="112"/>
      <c r="F1012" s="3"/>
      <c r="G1012" s="12"/>
      <c r="H1012" s="12"/>
      <c r="K1012" s="12"/>
      <c r="M1012" s="12"/>
      <c r="R1012" s="218"/>
      <c r="S1012" s="218"/>
      <c r="T1012" s="218"/>
      <c r="U1012" s="218"/>
    </row>
  </sheetData>
  <mergeCells count="24">
    <mergeCell ref="J2:M2"/>
    <mergeCell ref="J3:K3"/>
    <mergeCell ref="L3:M3"/>
    <mergeCell ref="J4:K5"/>
    <mergeCell ref="L4:M5"/>
    <mergeCell ref="A3:B5"/>
    <mergeCell ref="A6:B8"/>
    <mergeCell ref="A9:B11"/>
    <mergeCell ref="A1:C1"/>
    <mergeCell ref="E1:H1"/>
    <mergeCell ref="J1:M1"/>
    <mergeCell ref="A2:B2"/>
    <mergeCell ref="E2:H2"/>
    <mergeCell ref="E3:H4"/>
    <mergeCell ref="E5:H5"/>
    <mergeCell ref="J10:K11"/>
    <mergeCell ref="L10:M11"/>
    <mergeCell ref="E6:H7"/>
    <mergeCell ref="J6:M6"/>
    <mergeCell ref="J7:K8"/>
    <mergeCell ref="L7:M8"/>
    <mergeCell ref="E8:H8"/>
    <mergeCell ref="E9:H10"/>
    <mergeCell ref="J9:M9"/>
  </mergeCells>
  <dataValidations>
    <dataValidation type="list" allowBlank="1" showErrorMessage="1" sqref="I16:I160">
      <formula1>"Sampai,Sudah Proses Pengiriman,Kendala [FU!],Done Req Sample"</formula1>
    </dataValidation>
    <dataValidation type="list" allowBlank="1" showErrorMessage="1" sqref="A16:A160">
      <formula1>"MEGA,MACRO,MICRO,NANO"</formula1>
    </dataValidation>
    <dataValidation type="list" allowBlank="1" showErrorMessage="1" sqref="J16:J160 L16:L160 N16:N160 P16:P160">
      <formula1>" Concept 1,Concept 2,Concept 3,Concept 4"</formula1>
    </dataValidation>
  </dataValidations>
  <hyperlinks>
    <hyperlink r:id="rId1" ref="C16"/>
    <hyperlink r:id="rId2" ref="K16"/>
    <hyperlink r:id="rId3" ref="M16"/>
    <hyperlink r:id="rId4" ref="C17"/>
    <hyperlink r:id="rId5" ref="C18"/>
    <hyperlink r:id="rId6" ref="K18"/>
    <hyperlink r:id="rId7" ref="M18"/>
    <hyperlink r:id="rId8" ref="O18"/>
    <hyperlink r:id="rId9" ref="C19"/>
    <hyperlink r:id="rId10" ref="C20"/>
    <hyperlink r:id="rId11" ref="K20"/>
    <hyperlink r:id="rId12" ref="C21"/>
    <hyperlink r:id="rId13" ref="K21"/>
    <hyperlink r:id="rId14" ref="M21"/>
    <hyperlink r:id="rId15" ref="C22"/>
    <hyperlink r:id="rId16" ref="K22"/>
    <hyperlink r:id="rId17" ref="M22"/>
    <hyperlink r:id="rId18" ref="C23"/>
    <hyperlink r:id="rId19" ref="K23"/>
    <hyperlink r:id="rId20" ref="C24"/>
    <hyperlink r:id="rId21" ref="C25"/>
    <hyperlink r:id="rId22" ref="K25"/>
    <hyperlink r:id="rId23" ref="M25"/>
    <hyperlink r:id="rId24" ref="O25"/>
    <hyperlink r:id="rId25" ref="C26"/>
    <hyperlink r:id="rId26" ref="C27"/>
    <hyperlink r:id="rId27" ref="K27"/>
    <hyperlink r:id="rId28" ref="M27"/>
    <hyperlink r:id="rId29" ref="O27"/>
    <hyperlink r:id="rId30" ref="C28"/>
    <hyperlink r:id="rId31" ref="K28"/>
    <hyperlink r:id="rId32" ref="M28"/>
    <hyperlink r:id="rId33" ref="O28"/>
    <hyperlink r:id="rId34" ref="Q28"/>
    <hyperlink r:id="rId35" ref="C29"/>
    <hyperlink r:id="rId36" ref="K29"/>
    <hyperlink r:id="rId37" ref="M29"/>
    <hyperlink r:id="rId38" ref="O29"/>
    <hyperlink r:id="rId39" ref="Q29"/>
    <hyperlink r:id="rId40" ref="C30"/>
    <hyperlink r:id="rId41" ref="C31"/>
    <hyperlink r:id="rId42" ref="K31"/>
    <hyperlink r:id="rId43" ref="M31"/>
    <hyperlink r:id="rId44" ref="C32"/>
    <hyperlink r:id="rId45" ref="K32"/>
    <hyperlink r:id="rId46" ref="M32"/>
    <hyperlink r:id="rId47" ref="C33"/>
    <hyperlink r:id="rId48" ref="K33"/>
    <hyperlink r:id="rId49" ref="M33"/>
    <hyperlink r:id="rId50" ref="O33"/>
    <hyperlink r:id="rId51" ref="C34"/>
    <hyperlink r:id="rId52" ref="K34"/>
    <hyperlink r:id="rId53" ref="C35"/>
    <hyperlink r:id="rId54" ref="K35"/>
    <hyperlink r:id="rId55" ref="C36"/>
    <hyperlink r:id="rId56" ref="K36"/>
    <hyperlink r:id="rId57" ref="M36"/>
    <hyperlink r:id="rId58" ref="O36"/>
    <hyperlink r:id="rId59" ref="Q36"/>
    <hyperlink r:id="rId60" ref="C37"/>
    <hyperlink r:id="rId61" ref="K37"/>
    <hyperlink r:id="rId62" ref="M37"/>
    <hyperlink r:id="rId63" ref="C38"/>
    <hyperlink r:id="rId64" ref="C39"/>
    <hyperlink r:id="rId65" ref="C40"/>
    <hyperlink r:id="rId66" ref="K40"/>
    <hyperlink r:id="rId67" ref="M40"/>
    <hyperlink r:id="rId68" ref="O40"/>
    <hyperlink r:id="rId69" ref="Q40"/>
    <hyperlink r:id="rId70" ref="C41"/>
    <hyperlink r:id="rId71" ref="C42"/>
    <hyperlink r:id="rId72" ref="C43"/>
    <hyperlink r:id="rId73" ref="K43"/>
    <hyperlink r:id="rId74" ref="M43"/>
    <hyperlink r:id="rId75" ref="C44"/>
    <hyperlink r:id="rId76" ref="K44"/>
    <hyperlink r:id="rId77" ref="M44"/>
    <hyperlink r:id="rId78" ref="C45"/>
    <hyperlink r:id="rId79" ref="K45"/>
    <hyperlink r:id="rId80" ref="C46"/>
    <hyperlink r:id="rId81" ref="C47"/>
    <hyperlink r:id="rId82" ref="C48"/>
    <hyperlink r:id="rId83" ref="C49"/>
    <hyperlink r:id="rId84" ref="K49"/>
    <hyperlink r:id="rId85" ref="M49"/>
    <hyperlink r:id="rId86" ref="O49"/>
    <hyperlink r:id="rId87" ref="C50"/>
    <hyperlink r:id="rId88" ref="K50"/>
    <hyperlink r:id="rId89" ref="M50"/>
    <hyperlink r:id="rId90" ref="B51"/>
    <hyperlink r:id="rId91" ref="C51"/>
    <hyperlink r:id="rId92" ref="C52"/>
    <hyperlink r:id="rId93" ref="C53"/>
    <hyperlink r:id="rId94" ref="K53"/>
    <hyperlink r:id="rId95" ref="C54"/>
    <hyperlink r:id="rId96" ref="K54"/>
    <hyperlink r:id="rId97" ref="C55"/>
    <hyperlink r:id="rId98" ref="K55"/>
    <hyperlink r:id="rId99" ref="M55"/>
    <hyperlink r:id="rId100" ref="C56"/>
    <hyperlink r:id="rId101" ref="C57"/>
    <hyperlink r:id="rId102" ref="C58"/>
    <hyperlink r:id="rId103" ref="K58"/>
    <hyperlink r:id="rId104" ref="M58"/>
    <hyperlink r:id="rId105" ref="C59"/>
    <hyperlink r:id="rId106" ref="C60"/>
    <hyperlink r:id="rId107" ref="C61"/>
    <hyperlink r:id="rId108" ref="K61"/>
    <hyperlink r:id="rId109" ref="M61"/>
    <hyperlink r:id="rId110" ref="C62"/>
    <hyperlink r:id="rId111" ref="C63"/>
    <hyperlink r:id="rId112" ref="C64"/>
    <hyperlink r:id="rId113" ref="C65"/>
    <hyperlink r:id="rId114" ref="K65"/>
    <hyperlink r:id="rId115" ref="M65"/>
    <hyperlink r:id="rId116" ref="C66"/>
    <hyperlink r:id="rId117" ref="C67"/>
    <hyperlink r:id="rId118" ref="C68"/>
    <hyperlink r:id="rId119" ref="C69"/>
    <hyperlink r:id="rId120" ref="C70"/>
    <hyperlink r:id="rId121" ref="C71"/>
    <hyperlink r:id="rId122" ref="C72"/>
    <hyperlink r:id="rId123" ref="C73"/>
    <hyperlink r:id="rId124" ref="C74"/>
    <hyperlink r:id="rId125" ref="C75"/>
    <hyperlink r:id="rId126" ref="C76"/>
    <hyperlink r:id="rId127" ref="C77"/>
    <hyperlink r:id="rId128" ref="C78"/>
    <hyperlink r:id="rId129" ref="C79"/>
    <hyperlink r:id="rId130" ref="C80"/>
    <hyperlink r:id="rId131" ref="C81"/>
    <hyperlink r:id="rId132" ref="C82"/>
    <hyperlink r:id="rId133" ref="C83"/>
    <hyperlink r:id="rId134" ref="C84"/>
  </hyperlinks>
  <drawing r:id="rId13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2" max="2" width="13.75"/>
    <col customWidth="1" min="3" max="3" width="22.38"/>
    <col customWidth="1" min="6" max="6" width="12.25"/>
    <col customWidth="1" min="7" max="7" width="21.75"/>
    <col customWidth="1" min="10" max="10" width="16.63"/>
    <col customWidth="1" min="13" max="13" width="15.5"/>
  </cols>
  <sheetData>
    <row r="1">
      <c r="A1" s="509" t="s">
        <v>455</v>
      </c>
      <c r="B1" s="214"/>
      <c r="C1" s="214"/>
      <c r="D1" s="285"/>
      <c r="E1" s="284" t="s">
        <v>328</v>
      </c>
      <c r="F1" s="214"/>
      <c r="G1" s="216"/>
      <c r="H1" s="286"/>
      <c r="I1" s="287" t="s">
        <v>456</v>
      </c>
      <c r="J1" s="214"/>
      <c r="K1" s="214"/>
      <c r="L1" s="214"/>
      <c r="M1" s="510"/>
      <c r="N1" s="511"/>
      <c r="O1" s="511"/>
      <c r="P1" s="511"/>
      <c r="Q1" s="286"/>
      <c r="R1" s="286"/>
      <c r="S1" s="286"/>
      <c r="T1" s="286"/>
      <c r="U1" s="286"/>
      <c r="V1" s="286"/>
      <c r="W1" s="286"/>
      <c r="X1" s="286"/>
      <c r="Y1" s="286"/>
      <c r="Z1" s="286"/>
      <c r="AA1" s="286"/>
      <c r="AB1" s="286"/>
    </row>
    <row r="2">
      <c r="A2" s="512" t="s">
        <v>457</v>
      </c>
      <c r="B2" s="220"/>
      <c r="C2" s="513" t="s">
        <v>455</v>
      </c>
      <c r="D2" s="285"/>
      <c r="E2" s="289" t="s">
        <v>374</v>
      </c>
      <c r="F2" s="290" t="s">
        <v>375</v>
      </c>
      <c r="G2" s="291" t="s">
        <v>479</v>
      </c>
      <c r="H2" s="286"/>
      <c r="I2" s="292" t="s">
        <v>458</v>
      </c>
      <c r="J2" s="214"/>
      <c r="K2" s="214"/>
      <c r="L2" s="214"/>
      <c r="M2" s="514"/>
      <c r="N2" s="243"/>
      <c r="O2" s="243"/>
      <c r="P2" s="243"/>
      <c r="Q2" s="286"/>
      <c r="R2" s="286"/>
      <c r="S2" s="286"/>
      <c r="T2" s="286"/>
      <c r="U2" s="286"/>
      <c r="V2" s="286"/>
      <c r="W2" s="286"/>
      <c r="X2" s="286"/>
      <c r="Y2" s="286"/>
      <c r="Z2" s="286"/>
      <c r="AA2" s="286"/>
      <c r="AB2" s="286"/>
    </row>
    <row r="3">
      <c r="A3" s="515">
        <v>1.0</v>
      </c>
      <c r="B3" s="224"/>
      <c r="C3" s="516">
        <v>1.0</v>
      </c>
      <c r="D3" s="285"/>
      <c r="E3" s="517">
        <v>250.0</v>
      </c>
      <c r="F3" s="517">
        <v>500.0</v>
      </c>
      <c r="G3" s="518"/>
      <c r="H3" s="286"/>
      <c r="I3" s="295" t="s">
        <v>459</v>
      </c>
      <c r="J3" s="216"/>
      <c r="K3" s="296" t="s">
        <v>460</v>
      </c>
      <c r="L3" s="214"/>
      <c r="M3" s="519"/>
      <c r="N3" s="520"/>
      <c r="O3" s="520"/>
      <c r="P3" s="520"/>
      <c r="Q3" s="286"/>
      <c r="R3" s="286"/>
      <c r="S3" s="286"/>
      <c r="T3" s="286"/>
      <c r="U3" s="286"/>
      <c r="V3" s="286"/>
      <c r="W3" s="286"/>
      <c r="X3" s="286"/>
      <c r="Y3" s="286"/>
      <c r="Z3" s="286"/>
      <c r="AA3" s="286"/>
      <c r="AB3" s="286"/>
    </row>
    <row r="4">
      <c r="A4" s="231"/>
      <c r="B4" s="220"/>
      <c r="C4" s="516">
        <v>2.0</v>
      </c>
      <c r="D4" s="285"/>
      <c r="E4" s="297"/>
      <c r="F4" s="297"/>
      <c r="G4" s="297"/>
      <c r="H4" s="286"/>
      <c r="I4" s="298">
        <f>IFERROR(__xludf.DUMMYFUNCTION("IMPORTRANGE(""https://docs.google.com/spreadsheets/d/1XGHyffJQ7KjI292zt5QVK_1XTfEMh_HDpl_2BHAzd4c/edit?gid=1335890585#gid=1335890585"",""DIOLY!H16"")        "),1.5E7)</f>
        <v>15000000</v>
      </c>
      <c r="J4" s="228"/>
      <c r="K4" s="298">
        <f>IFERROR(__xludf.DUMMYFUNCTION("IMPORTRANGE(""https://docs.google.com/spreadsheets/d/1XGHyffJQ7KjI292zt5QVK_1XTfEMh_HDpl_2BHAzd4c/edit?gid=1335890585#gid=1335890585"",""KIMME!H21"")        "),0.0)</f>
        <v>0</v>
      </c>
      <c r="L4" s="228"/>
      <c r="M4" s="521"/>
      <c r="N4" s="522"/>
      <c r="O4" s="522"/>
      <c r="P4" s="522"/>
      <c r="Q4" s="286"/>
      <c r="R4" s="286"/>
      <c r="S4" s="286"/>
      <c r="T4" s="286"/>
      <c r="U4" s="286"/>
      <c r="V4" s="286"/>
      <c r="W4" s="286"/>
      <c r="X4" s="286"/>
      <c r="Y4" s="286"/>
      <c r="Z4" s="286"/>
      <c r="AA4" s="286"/>
      <c r="AB4" s="286"/>
    </row>
    <row r="5">
      <c r="A5" s="523">
        <v>2.0</v>
      </c>
      <c r="B5" s="224"/>
      <c r="C5" s="516">
        <v>1.0</v>
      </c>
      <c r="D5" s="285"/>
      <c r="E5" s="300" t="s">
        <v>481</v>
      </c>
      <c r="F5" s="300" t="s">
        <v>409</v>
      </c>
      <c r="G5" s="300" t="s">
        <v>482</v>
      </c>
      <c r="H5" s="286"/>
      <c r="I5" s="232"/>
      <c r="J5" s="234"/>
      <c r="K5" s="232"/>
      <c r="L5" s="234"/>
      <c r="M5" s="521"/>
      <c r="N5" s="522"/>
      <c r="O5" s="522"/>
      <c r="P5" s="522"/>
      <c r="Q5" s="286"/>
      <c r="R5" s="286"/>
      <c r="S5" s="286"/>
      <c r="T5" s="286"/>
      <c r="U5" s="286"/>
      <c r="V5" s="286"/>
      <c r="W5" s="286"/>
      <c r="X5" s="286"/>
      <c r="Y5" s="286"/>
      <c r="Z5" s="286"/>
      <c r="AA5" s="286"/>
      <c r="AB5" s="286"/>
    </row>
    <row r="6">
      <c r="A6" s="231"/>
      <c r="B6" s="220"/>
      <c r="C6" s="516">
        <v>2.0</v>
      </c>
      <c r="D6" s="285"/>
      <c r="E6" s="301">
        <f>COUNTA(B16:B1000)</f>
        <v>99</v>
      </c>
      <c r="F6" s="301">
        <f>COUNTA(J17:J1000,M17:M1000,O17:O1000)</f>
        <v>149</v>
      </c>
      <c r="G6" s="524"/>
      <c r="H6" s="286"/>
      <c r="I6" s="302" t="s">
        <v>462</v>
      </c>
      <c r="J6" s="214"/>
      <c r="K6" s="214"/>
      <c r="L6" s="214"/>
      <c r="M6" s="525"/>
      <c r="N6" s="526"/>
      <c r="O6" s="526"/>
      <c r="P6" s="526"/>
      <c r="Q6" s="286"/>
      <c r="R6" s="286"/>
      <c r="S6" s="286"/>
      <c r="T6" s="286"/>
      <c r="U6" s="286"/>
      <c r="V6" s="286"/>
      <c r="W6" s="286"/>
      <c r="X6" s="286"/>
      <c r="Y6" s="286"/>
      <c r="Z6" s="286"/>
      <c r="AA6" s="286"/>
      <c r="AB6" s="286"/>
    </row>
    <row r="7">
      <c r="A7" s="523">
        <v>3.0</v>
      </c>
      <c r="B7" s="224"/>
      <c r="C7" s="516">
        <v>1.0</v>
      </c>
      <c r="D7" s="285"/>
      <c r="E7" s="297"/>
      <c r="F7" s="297"/>
      <c r="G7" s="297"/>
      <c r="H7" s="286"/>
      <c r="I7" s="298">
        <f>IFERROR(__xludf.DUMMYFUNCTION("IMPORTRANGE(""https://docs.google.com/spreadsheets/d/1XGHyffJQ7KjI292zt5QVK_1XTfEMh_HDpl_2BHAzd4c/edit?gid=1335890585#gid=1335890585"",""DIOLY!H2"")        "),9100000.0)</f>
        <v>9100000</v>
      </c>
      <c r="J7" s="228"/>
      <c r="K7" s="527" t="s">
        <v>518</v>
      </c>
      <c r="L7" s="228"/>
      <c r="M7" s="521"/>
      <c r="N7" s="522"/>
      <c r="O7" s="522"/>
      <c r="P7" s="522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286"/>
      <c r="AB7" s="286"/>
    </row>
    <row r="8">
      <c r="A8" s="231"/>
      <c r="B8" s="220"/>
      <c r="C8" s="516">
        <v>2.0</v>
      </c>
      <c r="D8" s="285"/>
      <c r="E8" s="303" t="s">
        <v>329</v>
      </c>
      <c r="F8" s="233"/>
      <c r="G8" s="234"/>
      <c r="H8" s="286"/>
      <c r="I8" s="232"/>
      <c r="J8" s="234"/>
      <c r="K8" s="232"/>
      <c r="L8" s="234"/>
      <c r="M8" s="521"/>
      <c r="N8" s="522"/>
      <c r="O8" s="522"/>
      <c r="P8" s="522"/>
      <c r="Q8" s="286"/>
      <c r="R8" s="286"/>
      <c r="S8" s="286"/>
      <c r="T8" s="286"/>
      <c r="U8" s="286"/>
      <c r="V8" s="286"/>
      <c r="W8" s="286"/>
      <c r="X8" s="286"/>
      <c r="Y8" s="286"/>
      <c r="Z8" s="286"/>
      <c r="AA8" s="286"/>
      <c r="AB8" s="286"/>
    </row>
    <row r="9">
      <c r="A9" s="523">
        <v>4.0</v>
      </c>
      <c r="B9" s="224"/>
      <c r="C9" s="516">
        <v>1.0</v>
      </c>
      <c r="D9" s="285"/>
      <c r="E9" s="304">
        <f>E6/E3</f>
        <v>0.396</v>
      </c>
      <c r="F9" s="304"/>
      <c r="G9" s="304"/>
      <c r="H9" s="286"/>
      <c r="I9" s="292" t="s">
        <v>463</v>
      </c>
      <c r="J9" s="214"/>
      <c r="K9" s="214"/>
      <c r="L9" s="214"/>
      <c r="M9" s="514"/>
      <c r="N9" s="243"/>
      <c r="O9" s="243"/>
      <c r="P9" s="243"/>
      <c r="Q9" s="286"/>
      <c r="R9" s="286"/>
      <c r="S9" s="286"/>
      <c r="T9" s="286"/>
      <c r="U9" s="286"/>
      <c r="V9" s="286"/>
      <c r="W9" s="286"/>
      <c r="X9" s="286"/>
      <c r="Y9" s="286"/>
      <c r="Z9" s="286"/>
      <c r="AA9" s="286"/>
      <c r="AB9" s="286"/>
    </row>
    <row r="10">
      <c r="A10" s="231"/>
      <c r="B10" s="220"/>
      <c r="C10" s="516">
        <v>2.0</v>
      </c>
      <c r="D10" s="285"/>
      <c r="E10" s="297"/>
      <c r="F10" s="297"/>
      <c r="G10" s="297"/>
      <c r="H10" s="286"/>
      <c r="I10" s="298">
        <f>I4-I7</f>
        <v>5900000</v>
      </c>
      <c r="J10" s="228"/>
      <c r="K10" s="299"/>
      <c r="L10" s="228"/>
      <c r="M10" s="521"/>
      <c r="N10" s="522"/>
      <c r="O10" s="522"/>
      <c r="P10" s="522"/>
      <c r="Q10" s="286"/>
      <c r="R10" s="286"/>
      <c r="S10" s="286"/>
      <c r="T10" s="286"/>
      <c r="U10" s="286"/>
      <c r="V10" s="286"/>
      <c r="W10" s="286"/>
      <c r="X10" s="286"/>
      <c r="Y10" s="286"/>
      <c r="Z10" s="286"/>
      <c r="AA10" s="286"/>
      <c r="AB10" s="286"/>
    </row>
    <row r="11">
      <c r="A11" s="523">
        <v>5.0</v>
      </c>
      <c r="B11" s="224"/>
      <c r="C11" s="516">
        <v>1.0</v>
      </c>
      <c r="D11" s="285"/>
      <c r="E11" s="285"/>
      <c r="F11" s="306"/>
      <c r="G11" s="528"/>
      <c r="H11" s="286"/>
      <c r="I11" s="232"/>
      <c r="J11" s="234"/>
      <c r="K11" s="232"/>
      <c r="L11" s="234"/>
      <c r="M11" s="529"/>
      <c r="N11" s="522"/>
      <c r="O11" s="522"/>
      <c r="P11" s="522"/>
      <c r="Q11" s="286"/>
      <c r="R11" s="286"/>
      <c r="S11" s="286"/>
      <c r="T11" s="286"/>
      <c r="U11" s="286"/>
      <c r="V11" s="286"/>
      <c r="W11" s="286"/>
      <c r="X11" s="286"/>
      <c r="Y11" s="286"/>
      <c r="Z11" s="286"/>
      <c r="AA11" s="286"/>
      <c r="AB11" s="286"/>
    </row>
    <row r="12">
      <c r="A12" s="231"/>
      <c r="B12" s="220"/>
      <c r="C12" s="516">
        <v>2.0</v>
      </c>
      <c r="D12" s="285"/>
      <c r="E12" s="285"/>
      <c r="F12" s="306"/>
      <c r="G12" s="528"/>
      <c r="H12" s="286"/>
      <c r="I12" s="286"/>
      <c r="J12" s="305"/>
      <c r="K12" s="285"/>
      <c r="L12" s="285"/>
      <c r="M12" s="305"/>
      <c r="N12" s="243"/>
      <c r="O12" s="243"/>
      <c r="P12" s="243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</row>
    <row r="13">
      <c r="A13" s="285"/>
      <c r="B13" s="285"/>
      <c r="C13" s="305"/>
      <c r="D13" s="285"/>
      <c r="E13" s="285"/>
      <c r="F13" s="306"/>
      <c r="G13" s="528"/>
      <c r="H13" s="286"/>
      <c r="I13" s="286"/>
      <c r="J13" s="305"/>
      <c r="K13" s="285"/>
      <c r="L13" s="285"/>
      <c r="M13" s="305"/>
      <c r="N13" s="243"/>
      <c r="O13" s="243"/>
      <c r="P13" s="243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</row>
    <row r="14">
      <c r="A14" s="245"/>
      <c r="B14" s="245"/>
      <c r="C14" s="529"/>
      <c r="D14" s="306"/>
      <c r="E14" s="306"/>
      <c r="F14" s="306"/>
      <c r="G14" s="528"/>
      <c r="H14" s="286"/>
      <c r="I14" s="286"/>
      <c r="J14" s="529"/>
      <c r="K14" s="286"/>
      <c r="L14" s="243"/>
      <c r="M14" s="243"/>
      <c r="N14" s="243"/>
      <c r="O14" s="243"/>
      <c r="P14" s="243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</row>
    <row r="15">
      <c r="A15" s="530"/>
      <c r="B15" s="530"/>
      <c r="C15" s="531"/>
      <c r="D15" s="532"/>
      <c r="E15" s="532"/>
      <c r="F15" s="532"/>
      <c r="G15" s="533"/>
      <c r="H15" s="530"/>
      <c r="I15" s="531"/>
      <c r="J15" s="531"/>
      <c r="K15" s="531"/>
      <c r="L15" s="531"/>
      <c r="M15" s="531"/>
      <c r="N15" s="531"/>
      <c r="O15" s="531"/>
      <c r="P15" s="531"/>
      <c r="Q15" s="531"/>
      <c r="R15" s="529"/>
      <c r="S15" s="529"/>
      <c r="T15" s="529"/>
      <c r="U15" s="529"/>
      <c r="V15" s="286"/>
      <c r="W15" s="286"/>
      <c r="X15" s="286"/>
      <c r="Y15" s="286"/>
      <c r="Z15" s="286"/>
      <c r="AA15" s="286"/>
      <c r="AB15" s="286"/>
    </row>
    <row r="16">
      <c r="A16" s="345" t="s">
        <v>466</v>
      </c>
      <c r="B16" s="250" t="s">
        <v>467</v>
      </c>
      <c r="C16" s="346" t="s">
        <v>468</v>
      </c>
      <c r="D16" s="347" t="s">
        <v>469</v>
      </c>
      <c r="E16" s="348" t="s">
        <v>470</v>
      </c>
      <c r="F16" s="346" t="s">
        <v>471</v>
      </c>
      <c r="G16" s="350" t="s">
        <v>457</v>
      </c>
      <c r="H16" s="351" t="s">
        <v>472</v>
      </c>
      <c r="I16" s="352" t="s">
        <v>455</v>
      </c>
      <c r="J16" s="352" t="s">
        <v>473</v>
      </c>
      <c r="K16" s="534" t="s">
        <v>519</v>
      </c>
      <c r="L16" s="352" t="s">
        <v>455</v>
      </c>
      <c r="M16" s="346" t="s">
        <v>474</v>
      </c>
      <c r="N16" s="534" t="s">
        <v>519</v>
      </c>
      <c r="O16" s="534" t="s">
        <v>475</v>
      </c>
      <c r="P16" s="534" t="s">
        <v>519</v>
      </c>
      <c r="Q16" s="349" t="s">
        <v>483</v>
      </c>
      <c r="R16" s="529"/>
      <c r="S16" s="529"/>
      <c r="T16" s="529"/>
      <c r="U16" s="529"/>
      <c r="V16" s="286"/>
      <c r="W16" s="286"/>
      <c r="X16" s="286"/>
      <c r="Y16" s="286"/>
      <c r="Z16" s="286"/>
      <c r="AA16" s="286"/>
      <c r="AB16" s="286"/>
    </row>
    <row r="17">
      <c r="A17" s="318" t="str">
        <f>IFERROR(__xludf.DUMMYFUNCTION("QUERY(IMPORTRANGE(""https://docs.google.com/spreadsheets/d/10wdjc5GKQIqHka9D7QGq1b4WkRuVqG0ylA8lw57ns-I/edit?usp=sharing"", ""DIOLY!A3:Y200""), ""SELECT Col1, Col2, Col3, Col4, Col5, Col6, Col11, Col16, Col17, Col18, Col19, Col20, Col21, Col22, Col24, Col"&amp;"25 WHERE Col12 = 'Approved'"")"),"MICRO")</f>
        <v>MICRO</v>
      </c>
      <c r="B17" s="318" t="str">
        <f>IFERROR(__xludf.DUMMYFUNCTION("""COMPUTED_VALUE"""),"ndiranavsyari")</f>
        <v>ndiranavsyari</v>
      </c>
      <c r="C17" s="535" t="str">
        <f>IFERROR(__xludf.DUMMYFUNCTION("""COMPUTED_VALUE"""),"https://www.tiktok.com/@ndiranavsyari")</f>
        <v>https://www.tiktok.com/@ndiranavsyari</v>
      </c>
      <c r="D17" s="536">
        <f>IFERROR(__xludf.DUMMYFUNCTION("""COMPUTED_VALUE"""),8.5751160469E10)</f>
        <v>85751160469</v>
      </c>
      <c r="E17" s="537">
        <f>IFERROR(__xludf.DUMMYFUNCTION("""COMPUTED_VALUE"""),0.0)</f>
        <v>0</v>
      </c>
      <c r="F17" s="311">
        <f>IFERROR(__xludf.DUMMYFUNCTION("""COMPUTED_VALUE"""),2.0)</f>
        <v>2</v>
      </c>
      <c r="G17" s="538" t="str">
        <f>IFERROR(__xludf.DUMMYFUNCTION("""COMPUTED_VALUE"""),"Glowing Face Wash")</f>
        <v>Glowing Face Wash</v>
      </c>
      <c r="H17" s="463" t="str">
        <f>IFERROR(__xludf.DUMMYFUNCTION("""COMPUTED_VALUE"""),"Sampai")</f>
        <v>Sampai</v>
      </c>
      <c r="I17" s="539" t="str">
        <f>IFERROR(__xludf.DUMMYFUNCTION("""COMPUTED_VALUE"""),"Concept 2")</f>
        <v>Concept 2</v>
      </c>
      <c r="J17" s="540" t="str">
        <f>IFERROR(__xludf.DUMMYFUNCTION("""COMPUTED_VALUE"""),"https://vt.tiktok.com/ZSHe6GfwE/")</f>
        <v>https://vt.tiktok.com/ZSHe6GfwE/</v>
      </c>
      <c r="K17" s="541"/>
      <c r="L17" s="539" t="str">
        <f>IFERROR(__xludf.DUMMYFUNCTION("""COMPUTED_VALUE""")," Concept 1")</f>
        <v> Concept 1</v>
      </c>
      <c r="M17" s="540" t="str">
        <f>IFERROR(__xludf.DUMMYFUNCTION("""COMPUTED_VALUE"""),"https://vt.tiktok.com/ZS9rWDfhg/ ")</f>
        <v>https://vt.tiktok.com/ZS9rWDfhg/ </v>
      </c>
      <c r="N17" s="541"/>
      <c r="O17" s="541"/>
      <c r="P17" s="541"/>
      <c r="Q17" s="541"/>
      <c r="R17" s="529"/>
      <c r="S17" s="529"/>
      <c r="T17" s="529"/>
      <c r="U17" s="529"/>
      <c r="V17" s="286"/>
      <c r="W17" s="286"/>
      <c r="X17" s="286"/>
      <c r="Y17" s="286"/>
      <c r="Z17" s="286"/>
      <c r="AA17" s="286"/>
      <c r="AB17" s="286"/>
    </row>
    <row r="18">
      <c r="A18" s="307" t="str">
        <f>IFERROR(__xludf.DUMMYFUNCTION("""COMPUTED_VALUE"""),"MICRO")</f>
        <v>MICRO</v>
      </c>
      <c r="B18" s="318" t="str">
        <f>IFERROR(__xludf.DUMMYFUNCTION("""COMPUTED_VALUE"""),"vivikimss")</f>
        <v>vivikimss</v>
      </c>
      <c r="C18" s="535" t="str">
        <f>IFERROR(__xludf.DUMMYFUNCTION("""COMPUTED_VALUE"""),"https://www.tiktok.com/@vivikimss")</f>
        <v>https://www.tiktok.com/@vivikimss</v>
      </c>
      <c r="D18" s="536">
        <f>IFERROR(__xludf.DUMMYFUNCTION("""COMPUTED_VALUE"""),8.2241420854E10)</f>
        <v>82241420854</v>
      </c>
      <c r="E18" s="537">
        <f>IFERROR(__xludf.DUMMYFUNCTION("""COMPUTED_VALUE"""),50000.0)</f>
        <v>50000</v>
      </c>
      <c r="F18" s="311">
        <f>IFERROR(__xludf.DUMMYFUNCTION("""COMPUTED_VALUE"""),2.0)</f>
        <v>2</v>
      </c>
      <c r="G18" s="538" t="str">
        <f>IFERROR(__xludf.DUMMYFUNCTION("""COMPUTED_VALUE"""),"Acne Face Wash")</f>
        <v>Acne Face Wash</v>
      </c>
      <c r="H18" s="463" t="str">
        <f>IFERROR(__xludf.DUMMYFUNCTION("""COMPUTED_VALUE"""),"Sampai")</f>
        <v>Sampai</v>
      </c>
      <c r="I18" s="539"/>
      <c r="J18" s="541"/>
      <c r="K18" s="541"/>
      <c r="L18" s="539"/>
      <c r="M18" s="541"/>
      <c r="N18" s="541"/>
      <c r="O18" s="541"/>
      <c r="P18" s="541"/>
      <c r="Q18" s="541"/>
      <c r="R18" s="529"/>
      <c r="S18" s="529"/>
      <c r="T18" s="529"/>
      <c r="U18" s="529"/>
      <c r="V18" s="286"/>
      <c r="W18" s="286"/>
      <c r="X18" s="286"/>
      <c r="Y18" s="286"/>
      <c r="Z18" s="286"/>
      <c r="AA18" s="286"/>
      <c r="AB18" s="286"/>
    </row>
    <row r="19">
      <c r="A19" s="307" t="str">
        <f>IFERROR(__xludf.DUMMYFUNCTION("""COMPUTED_VALUE"""),"MICRO")</f>
        <v>MICRO</v>
      </c>
      <c r="B19" s="318" t="str">
        <f>IFERROR(__xludf.DUMMYFUNCTION("""COMPUTED_VALUE"""),"harumpertiwi12")</f>
        <v>harumpertiwi12</v>
      </c>
      <c r="C19" s="535" t="str">
        <f>IFERROR(__xludf.DUMMYFUNCTION("""COMPUTED_VALUE"""),"https://www.tiktok.com/@harumpertiwi12")</f>
        <v>https://www.tiktok.com/@harumpertiwi12</v>
      </c>
      <c r="D19" s="536">
        <f>IFERROR(__xludf.DUMMYFUNCTION("""COMPUTED_VALUE"""),8.2221419929E10)</f>
        <v>82221419929</v>
      </c>
      <c r="E19" s="537">
        <f>IFERROR(__xludf.DUMMYFUNCTION("""COMPUTED_VALUE"""),0.0)</f>
        <v>0</v>
      </c>
      <c r="F19" s="311">
        <f>IFERROR(__xludf.DUMMYFUNCTION("""COMPUTED_VALUE"""),2.0)</f>
        <v>2</v>
      </c>
      <c r="G19" s="538" t="str">
        <f>IFERROR(__xludf.DUMMYFUNCTION("""COMPUTED_VALUE"""),"Acne Face Wash")</f>
        <v>Acne Face Wash</v>
      </c>
      <c r="H19" s="463" t="str">
        <f>IFERROR(__xludf.DUMMYFUNCTION("""COMPUTED_VALUE"""),"Sampai")</f>
        <v>Sampai</v>
      </c>
      <c r="I19" s="539" t="str">
        <f>IFERROR(__xludf.DUMMYFUNCTION("""COMPUTED_VALUE"""),"Concept 2")</f>
        <v>Concept 2</v>
      </c>
      <c r="J19" s="540" t="str">
        <f>IFERROR(__xludf.DUMMYFUNCTION("""COMPUTED_VALUE"""),"https://vt.tiktok.com/ZSH514ev8/")</f>
        <v>https://vt.tiktok.com/ZSH514ev8/</v>
      </c>
      <c r="K19" s="541" t="str">
        <f>IFERROR(__xludf.DUMMYFUNCTION("""COMPUTED_VALUE"""),"#MiFqlVBiyHhFIJvJ4pMABGJ8Vdyk+7NNtri8NPtp6dR49oqZqF2gBv2MuTiz/1Y=")</f>
        <v>#MiFqlVBiyHhFIJvJ4pMABGJ8Vdyk+7NNtri8NPtp6dR49oqZqF2gBv2MuTiz/1Y=</v>
      </c>
      <c r="L19" s="539" t="str">
        <f>IFERROR(__xludf.DUMMYFUNCTION("""COMPUTED_VALUE"""),"Concept 3")</f>
        <v>Concept 3</v>
      </c>
      <c r="M19" s="540" t="str">
        <f>IFERROR(__xludf.DUMMYFUNCTION("""COMPUTED_VALUE"""),"https://vt.tiktok.com/ZS9qVCNP8/ ")</f>
        <v>https://vt.tiktok.com/ZS9qVCNP8/ </v>
      </c>
      <c r="N19" s="541" t="str">
        <f>IFERROR(__xludf.DUMMYFUNCTION("""COMPUTED_VALUE"""),"#MVVdZ1vQVxduI/kW2ZsXuiT9XJjR4vxXVpL86hikgThyLk4HX9lyOyTes95uBIc=")</f>
        <v>#MVVdZ1vQVxduI/kW2ZsXuiT9XJjR4vxXVpL86hikgThyLk4HX9lyOyTes95uBIc=</v>
      </c>
      <c r="O19" s="541"/>
      <c r="P19" s="541"/>
      <c r="Q19" s="541"/>
      <c r="R19" s="529"/>
      <c r="S19" s="529"/>
      <c r="T19" s="529"/>
      <c r="U19" s="529"/>
      <c r="V19" s="286"/>
      <c r="W19" s="286"/>
      <c r="X19" s="286"/>
      <c r="Y19" s="286"/>
      <c r="Z19" s="286"/>
      <c r="AA19" s="286"/>
      <c r="AB19" s="286"/>
    </row>
    <row r="20">
      <c r="A20" s="307" t="str">
        <f>IFERROR(__xludf.DUMMYFUNCTION("""COMPUTED_VALUE"""),"MICRO")</f>
        <v>MICRO</v>
      </c>
      <c r="B20" s="318" t="str">
        <f>IFERROR(__xludf.DUMMYFUNCTION("""COMPUTED_VALUE"""),"seli.desi.liani")</f>
        <v>seli.desi.liani</v>
      </c>
      <c r="C20" s="535" t="str">
        <f>IFERROR(__xludf.DUMMYFUNCTION("""COMPUTED_VALUE"""),"https://www.tiktok.com/@seli.desi.liani")</f>
        <v>https://www.tiktok.com/@seli.desi.liani</v>
      </c>
      <c r="D20" s="465">
        <f>IFERROR(__xludf.DUMMYFUNCTION("""COMPUTED_VALUE"""),8.95361055479E11)</f>
        <v>895361055479</v>
      </c>
      <c r="E20" s="537">
        <f>IFERROR(__xludf.DUMMYFUNCTION("""COMPUTED_VALUE"""),0.0)</f>
        <v>0</v>
      </c>
      <c r="F20" s="311">
        <f>IFERROR(__xludf.DUMMYFUNCTION("""COMPUTED_VALUE"""),2.0)</f>
        <v>2</v>
      </c>
      <c r="G20" s="538" t="str">
        <f>IFERROR(__xludf.DUMMYFUNCTION("""COMPUTED_VALUE"""),"Glowing Face Wash")</f>
        <v>Glowing Face Wash</v>
      </c>
      <c r="H20" s="463" t="str">
        <f>IFERROR(__xludf.DUMMYFUNCTION("""COMPUTED_VALUE"""),"Sampai")</f>
        <v>Sampai</v>
      </c>
      <c r="I20" s="539" t="str">
        <f>IFERROR(__xludf.DUMMYFUNCTION("""COMPUTED_VALUE""")," Concept 1")</f>
        <v> Concept 1</v>
      </c>
      <c r="J20" s="540" t="str">
        <f>IFERROR(__xludf.DUMMYFUNCTION("""COMPUTED_VALUE"""),"https://vt.tiktok.com/ZSHgT1x1b/ ")</f>
        <v>https://vt.tiktok.com/ZSHgT1x1b/ </v>
      </c>
      <c r="K20" s="541" t="str">
        <f>IFERROR(__xludf.DUMMYFUNCTION("""COMPUTED_VALUE"""),"#mOGER0kz71UUh63DI17idOQV/bhpsHIxCkP+eF++mStTCljF72FXddSmn75pYAs=")</f>
        <v>#mOGER0kz71UUh63DI17idOQV/bhpsHIxCkP+eF++mStTCljF72FXddSmn75pYAs=</v>
      </c>
      <c r="L20" s="539" t="str">
        <f>IFERROR(__xludf.DUMMYFUNCTION("""COMPUTED_VALUE"""),"Concept 2")</f>
        <v>Concept 2</v>
      </c>
      <c r="M20" s="540" t="str">
        <f>IFERROR(__xludf.DUMMYFUNCTION("""COMPUTED_VALUE"""),"https://vt.tiktok.com/ZSxHdJP3n/ ")</f>
        <v>https://vt.tiktok.com/ZSxHdJP3n/ </v>
      </c>
      <c r="N20" s="541" t="str">
        <f>IFERROR(__xludf.DUMMYFUNCTION("""COMPUTED_VALUE"""),"#ZU57ex70ZyEgllGjj3Q+mCPKOv2Otu35suWA0XaKc/rN3CbDWTGR7v//DdSCcgQ=")</f>
        <v>#ZU57ex70ZyEgllGjj3Q+mCPKOv2Otu35suWA0XaKc/rN3CbDWTGR7v//DdSCcgQ=</v>
      </c>
      <c r="O20" s="541"/>
      <c r="P20" s="541"/>
      <c r="Q20" s="541"/>
      <c r="R20" s="529"/>
      <c r="S20" s="529"/>
      <c r="T20" s="529"/>
      <c r="U20" s="529"/>
      <c r="V20" s="286"/>
      <c r="W20" s="286"/>
      <c r="X20" s="286"/>
      <c r="Y20" s="286"/>
      <c r="Z20" s="286"/>
      <c r="AA20" s="286"/>
      <c r="AB20" s="286"/>
    </row>
    <row r="21">
      <c r="A21" s="307" t="str">
        <f>IFERROR(__xludf.DUMMYFUNCTION("""COMPUTED_VALUE"""),"MICRO")</f>
        <v>MICRO</v>
      </c>
      <c r="B21" s="542" t="str">
        <f>IFERROR(__xludf.DUMMYFUNCTION("""COMPUTED_VALUE"""),"nandajeliss")</f>
        <v>nandajeliss</v>
      </c>
      <c r="C21" s="535" t="str">
        <f>IFERROR(__xludf.DUMMYFUNCTION("""COMPUTED_VALUE"""),"https://www.tiktok.com/@nandajeliss")</f>
        <v>https://www.tiktok.com/@nandajeliss</v>
      </c>
      <c r="D21" s="543"/>
      <c r="E21" s="537">
        <f>IFERROR(__xludf.DUMMYFUNCTION("""COMPUTED_VALUE"""),0.0)</f>
        <v>0</v>
      </c>
      <c r="F21" s="311">
        <f>IFERROR(__xludf.DUMMYFUNCTION("""COMPUTED_VALUE"""),2.0)</f>
        <v>2</v>
      </c>
      <c r="G21" s="538" t="str">
        <f>IFERROR(__xludf.DUMMYFUNCTION("""COMPUTED_VALUE"""),"Acne Face Wash")</f>
        <v>Acne Face Wash</v>
      </c>
      <c r="H21" s="463" t="str">
        <f>IFERROR(__xludf.DUMMYFUNCTION("""COMPUTED_VALUE"""),"Sampai")</f>
        <v>Sampai</v>
      </c>
      <c r="I21" s="539" t="str">
        <f>IFERROR(__xludf.DUMMYFUNCTION("""COMPUTED_VALUE""")," Concept 1")</f>
        <v> Concept 1</v>
      </c>
      <c r="J21" s="540" t="str">
        <f>IFERROR(__xludf.DUMMYFUNCTION("""COMPUTED_VALUE"""),"https://vt.tiktok.com/ZSuwgjdn2/")</f>
        <v>https://vt.tiktok.com/ZSuwgjdn2/</v>
      </c>
      <c r="K21" s="541" t="str">
        <f>IFERROR(__xludf.DUMMYFUNCTION("""COMPUTED_VALUE"""),"#dAZXKeBo96jONN3ofWjOJL63mNx13z9OBEywP046oeLaoHijZQOG2CsUw+urCKY=")</f>
        <v>#dAZXKeBo96jONN3ofWjOJL63mNx13z9OBEywP046oeLaoHijZQOG2CsUw+urCKY=</v>
      </c>
      <c r="L21" s="539" t="str">
        <f>IFERROR(__xludf.DUMMYFUNCTION("""COMPUTED_VALUE""")," Concept 1")</f>
        <v> Concept 1</v>
      </c>
      <c r="M21" s="540" t="str">
        <f>IFERROR(__xludf.DUMMYFUNCTION("""COMPUTED_VALUE"""),"https://vt.tiktok.com/ZS9RgPKj3/")</f>
        <v>https://vt.tiktok.com/ZS9RgPKj3/</v>
      </c>
      <c r="N21" s="541" t="str">
        <f>IFERROR(__xludf.DUMMYFUNCTION("""COMPUTED_VALUE"""),"#f7dq7TnSHLZrEc3PMjnA6JFfpbou5V0oCPWszdhYA6GT70eMrp0mHecJlWUiG7I=")</f>
        <v>#f7dq7TnSHLZrEc3PMjnA6JFfpbou5V0oCPWszdhYA6GT70eMrp0mHecJlWUiG7I=</v>
      </c>
      <c r="O21" s="541"/>
      <c r="P21" s="541"/>
      <c r="Q21" s="541"/>
      <c r="R21" s="529"/>
      <c r="S21" s="529"/>
      <c r="T21" s="529"/>
      <c r="U21" s="529"/>
      <c r="V21" s="286"/>
      <c r="W21" s="286"/>
      <c r="X21" s="286"/>
      <c r="Y21" s="286"/>
      <c r="Z21" s="286"/>
      <c r="AA21" s="286"/>
      <c r="AB21" s="286"/>
    </row>
    <row r="22">
      <c r="A22" s="307" t="str">
        <f>IFERROR(__xludf.DUMMYFUNCTION("""COMPUTED_VALUE"""),"MACRO")</f>
        <v>MACRO</v>
      </c>
      <c r="B22" s="318" t="str">
        <f>IFERROR(__xludf.DUMMYFUNCTION("""COMPUTED_VALUE"""),"salmahsrii")</f>
        <v>salmahsrii</v>
      </c>
      <c r="C22" s="535" t="str">
        <f>IFERROR(__xludf.DUMMYFUNCTION("""COMPUTED_VALUE"""),"https://www.tiktok.com/@salmahsrii")</f>
        <v>https://www.tiktok.com/@salmahsrii</v>
      </c>
      <c r="D22" s="316">
        <f>IFERROR(__xludf.DUMMYFUNCTION("""COMPUTED_VALUE"""),8.5710697868E10)</f>
        <v>85710697868</v>
      </c>
      <c r="E22" s="537">
        <f>IFERROR(__xludf.DUMMYFUNCTION("""COMPUTED_VALUE"""),0.0)</f>
        <v>0</v>
      </c>
      <c r="F22" s="316">
        <f>IFERROR(__xludf.DUMMYFUNCTION("""COMPUTED_VALUE"""),2.0)</f>
        <v>2</v>
      </c>
      <c r="G22" s="538" t="str">
        <f>IFERROR(__xludf.DUMMYFUNCTION("""COMPUTED_VALUE"""),"Acne Face Wash")</f>
        <v>Acne Face Wash</v>
      </c>
      <c r="H22" s="463" t="str">
        <f>IFERROR(__xludf.DUMMYFUNCTION("""COMPUTED_VALUE"""),"Sampai")</f>
        <v>Sampai</v>
      </c>
      <c r="I22" s="539" t="str">
        <f>IFERROR(__xludf.DUMMYFUNCTION("""COMPUTED_VALUE""")," Concept 1")</f>
        <v> Concept 1</v>
      </c>
      <c r="J22" s="540" t="str">
        <f>IFERROR(__xludf.DUMMYFUNCTION("""COMPUTED_VALUE"""),"https://vt.tiktok.com/ZSHyVVXf5/")</f>
        <v>https://vt.tiktok.com/ZSHyVVXf5/</v>
      </c>
      <c r="K22" s="541" t="str">
        <f>IFERROR(__xludf.DUMMYFUNCTION("""COMPUTED_VALUE"""),"#KFZ5iiwh4mmvqonUxEcCFqhNQq9q31UrOQyjXvjTiJ0uFHS7gRvONnwtUsTepG4=")</f>
        <v>#KFZ5iiwh4mmvqonUxEcCFqhNQq9q31UrOQyjXvjTiJ0uFHS7gRvONnwtUsTepG4=</v>
      </c>
      <c r="L22" s="539" t="str">
        <f>IFERROR(__xludf.DUMMYFUNCTION("""COMPUTED_VALUE"""),"Concept 2")</f>
        <v>Concept 2</v>
      </c>
      <c r="M22" s="540" t="str">
        <f>IFERROR(__xludf.DUMMYFUNCTION("""COMPUTED_VALUE"""),"https://vt.tiktok.com/ZS983GYLq/ ")</f>
        <v>https://vt.tiktok.com/ZS983GYLq/ </v>
      </c>
      <c r="N22" s="541" t="str">
        <f>IFERROR(__xludf.DUMMYFUNCTION("""COMPUTED_VALUE"""),"#YG/0GzXnQFHC2SH7VUKfUXprAaiyIS/qNTOhK1ZsrrYaTNIMWgDNuFkseLjUI7c=44,6 °F")</f>
        <v>#YG/0GzXnQFHC2SH7VUKfUXprAaiyIS/qNTOhK1ZsrrYaTNIMWgDNuFkseLjUI7c=44,6 °F</v>
      </c>
      <c r="O22" s="541"/>
      <c r="P22" s="541"/>
      <c r="Q22" s="541"/>
      <c r="R22" s="529"/>
      <c r="S22" s="529"/>
      <c r="T22" s="529"/>
      <c r="U22" s="529"/>
      <c r="V22" s="286"/>
      <c r="W22" s="286"/>
      <c r="X22" s="286"/>
      <c r="Y22" s="286"/>
      <c r="Z22" s="286"/>
      <c r="AA22" s="286"/>
      <c r="AB22" s="286"/>
    </row>
    <row r="23">
      <c r="A23" s="307" t="str">
        <f>IFERROR(__xludf.DUMMYFUNCTION("""COMPUTED_VALUE"""),"MICRO")</f>
        <v>MICRO</v>
      </c>
      <c r="B23" s="318" t="str">
        <f>IFERROR(__xludf.DUMMYFUNCTION("""COMPUTED_VALUE"""),"weni_ilham")</f>
        <v>weni_ilham</v>
      </c>
      <c r="C23" s="535" t="str">
        <f>IFERROR(__xludf.DUMMYFUNCTION("""COMPUTED_VALUE"""),"https://www.tiktok.com/@weni_ilham")</f>
        <v>https://www.tiktok.com/@weni_ilham</v>
      </c>
      <c r="D23" s="316">
        <f>IFERROR(__xludf.DUMMYFUNCTION("""COMPUTED_VALUE"""),8.822452132E10)</f>
        <v>88224521320</v>
      </c>
      <c r="E23" s="319">
        <f>IFERROR(__xludf.DUMMYFUNCTION("""COMPUTED_VALUE"""),0.0)</f>
        <v>0</v>
      </c>
      <c r="F23" s="316">
        <f>IFERROR(__xludf.DUMMYFUNCTION("""COMPUTED_VALUE"""),2.0)</f>
        <v>2</v>
      </c>
      <c r="G23" s="538" t="str">
        <f>IFERROR(__xludf.DUMMYFUNCTION("""COMPUTED_VALUE"""),"Glowing Face Wash")</f>
        <v>Glowing Face Wash</v>
      </c>
      <c r="H23" s="463" t="str">
        <f>IFERROR(__xludf.DUMMYFUNCTION("""COMPUTED_VALUE"""),"Sampai")</f>
        <v>Sampai</v>
      </c>
      <c r="I23" s="539" t="str">
        <f>IFERROR(__xludf.DUMMYFUNCTION("""COMPUTED_VALUE""")," Concept 1")</f>
        <v> Concept 1</v>
      </c>
      <c r="J23" s="540" t="str">
        <f>IFERROR(__xludf.DUMMYFUNCTION("""COMPUTED_VALUE"""),"https://vt.tiktok.com/ZSuHXWTJT/")</f>
        <v>https://vt.tiktok.com/ZSuHXWTJT/</v>
      </c>
      <c r="K23" s="541" t="str">
        <f>IFERROR(__xludf.DUMMYFUNCTION("""COMPUTED_VALUE"""),"#4DMZuqab912rorF7Un9XJ3HnhDPEj9Imp2xnmzQkbj1Ao9210vi4BAUnsKxHN6w=")</f>
        <v>#4DMZuqab912rorF7Un9XJ3HnhDPEj9Imp2xnmzQkbj1Ao9210vi4BAUnsKxHN6w=</v>
      </c>
      <c r="L23" s="539" t="str">
        <f>IFERROR(__xludf.DUMMYFUNCTION("""COMPUTED_VALUE"""),"Concept 2")</f>
        <v>Concept 2</v>
      </c>
      <c r="M23" s="540" t="str">
        <f>IFERROR(__xludf.DUMMYFUNCTION("""COMPUTED_VALUE"""),"https://vt.tiktok.com/ZSmosNhAL/ ")</f>
        <v>https://vt.tiktok.com/ZSmosNhAL/ </v>
      </c>
      <c r="N23" s="541" t="str">
        <f>IFERROR(__xludf.DUMMYFUNCTION("""COMPUTED_VALUE"""),"#IVH1kSJd4MGppbhDKvEbppTGkoZ0mPuR+YKLNdoSaSS58c7smi/kOlmg80rmLw8=")</f>
        <v>#IVH1kSJd4MGppbhDKvEbppTGkoZ0mPuR+YKLNdoSaSS58c7smi/kOlmg80rmLw8=</v>
      </c>
      <c r="O23" s="541"/>
      <c r="P23" s="541"/>
      <c r="Q23" s="541"/>
      <c r="R23" s="529"/>
      <c r="S23" s="529"/>
      <c r="T23" s="529"/>
      <c r="U23" s="529"/>
      <c r="V23" s="286"/>
      <c r="W23" s="286"/>
      <c r="X23" s="286"/>
      <c r="Y23" s="286"/>
      <c r="Z23" s="286"/>
      <c r="AA23" s="286"/>
      <c r="AB23" s="286"/>
    </row>
    <row r="24">
      <c r="A24" s="307" t="str">
        <f>IFERROR(__xludf.DUMMYFUNCTION("""COMPUTED_VALUE"""),"MACRO")</f>
        <v>MACRO</v>
      </c>
      <c r="B24" s="318" t="str">
        <f>IFERROR(__xludf.DUMMYFUNCTION("""COMPUTED_VALUE"""),"putri.antris")</f>
        <v>putri.antris</v>
      </c>
      <c r="C24" s="535" t="str">
        <f>IFERROR(__xludf.DUMMYFUNCTION("""COMPUTED_VALUE"""),"https://www.tiktok.com/@putri.antris")</f>
        <v>https://www.tiktok.com/@putri.antris</v>
      </c>
      <c r="D24" s="316">
        <f>IFERROR(__xludf.DUMMYFUNCTION("""COMPUTED_VALUE"""),8.978216006E9)</f>
        <v>8978216006</v>
      </c>
      <c r="E24" s="319">
        <f>IFERROR(__xludf.DUMMYFUNCTION("""COMPUTED_VALUE"""),0.0)</f>
        <v>0</v>
      </c>
      <c r="F24" s="316">
        <f>IFERROR(__xludf.DUMMYFUNCTION("""COMPUTED_VALUE"""),2.0)</f>
        <v>2</v>
      </c>
      <c r="G24" s="538" t="str">
        <f>IFERROR(__xludf.DUMMYFUNCTION("""COMPUTED_VALUE"""),"Glowing Face Wash")</f>
        <v>Glowing Face Wash</v>
      </c>
      <c r="H24" s="463" t="str">
        <f>IFERROR(__xludf.DUMMYFUNCTION("""COMPUTED_VALUE"""),"Sampai")</f>
        <v>Sampai</v>
      </c>
      <c r="I24" s="539" t="str">
        <f>IFERROR(__xludf.DUMMYFUNCTION("""COMPUTED_VALUE"""),"Concept 2")</f>
        <v>Concept 2</v>
      </c>
      <c r="J24" s="540" t="str">
        <f>IFERROR(__xludf.DUMMYFUNCTION("""COMPUTED_VALUE"""),"https://vt.tiktok.com/ZS9RUXuQu/ ")</f>
        <v>https://vt.tiktok.com/ZS9RUXuQu/ </v>
      </c>
      <c r="K24" s="541" t="str">
        <f>IFERROR(__xludf.DUMMYFUNCTION("""COMPUTED_VALUE"""),"#UbK9C0WTMjTW0VMKNGDPq+aFtqHSeGlzMbQeLRDAhr1JpOiFGjrEeFBdWmi/l8Q=")</f>
        <v>#UbK9C0WTMjTW0VMKNGDPq+aFtqHSeGlzMbQeLRDAhr1JpOiFGjrEeFBdWmi/l8Q=</v>
      </c>
      <c r="L24" s="539" t="str">
        <f>IFERROR(__xludf.DUMMYFUNCTION("""COMPUTED_VALUE""")," Concept 1")</f>
        <v> Concept 1</v>
      </c>
      <c r="M24" s="540" t="str">
        <f>IFERROR(__xludf.DUMMYFUNCTION("""COMPUTED_VALUE"""),"https://vt.tiktok.com/ZS9RUx778/ ")</f>
        <v>https://vt.tiktok.com/ZS9RUx778/ </v>
      </c>
      <c r="N24" s="541" t="str">
        <f>IFERROR(__xludf.DUMMYFUNCTION("""COMPUTED_VALUE"""),"#CHypg76YZ7zsJN8/WewxLSkQk6tlrnCzjkL+GaEkPZsgVdzdodf71Avs1eqGd1I=")</f>
        <v>#CHypg76YZ7zsJN8/WewxLSkQk6tlrnCzjkL+GaEkPZsgVdzdodf71Avs1eqGd1I=</v>
      </c>
      <c r="O24" s="540" t="str">
        <f>IFERROR(__xludf.DUMMYFUNCTION("""COMPUTED_VALUE"""),"https://vt.tiktok.com/ZS9RU413c/ ")</f>
        <v>https://vt.tiktok.com/ZS9RU413c/ </v>
      </c>
      <c r="P24" s="541" t="str">
        <f>IFERROR(__xludf.DUMMYFUNCTION("""COMPUTED_VALUE"""),"#VjOY/piMZlZLmYiPz1Bu2blgw6ZfWdxp2/26P807joJ48mK87AIl//gisZo48/g=1.360,777/oz")</f>
        <v>#VjOY/piMZlZLmYiPz1Bu2blgw6ZfWdxp2/26P807joJ48mK87AIl//gisZo48/g=1.360,777/oz</v>
      </c>
      <c r="Q24" s="541"/>
      <c r="R24" s="529"/>
      <c r="S24" s="529"/>
      <c r="T24" s="529"/>
      <c r="U24" s="529"/>
      <c r="V24" s="286"/>
      <c r="W24" s="286"/>
      <c r="X24" s="286"/>
      <c r="Y24" s="286"/>
      <c r="Z24" s="286"/>
      <c r="AA24" s="286"/>
      <c r="AB24" s="286"/>
    </row>
    <row r="25">
      <c r="A25" s="307" t="str">
        <f>IFERROR(__xludf.DUMMYFUNCTION("""COMPUTED_VALUE"""),"MICRO")</f>
        <v>MICRO</v>
      </c>
      <c r="B25" s="544" t="str">
        <f>IFERROR(__xludf.DUMMYFUNCTION("""COMPUTED_VALUE"""),"auroraaa.jm")</f>
        <v>auroraaa.jm</v>
      </c>
      <c r="C25" s="535" t="str">
        <f>IFERROR(__xludf.DUMMYFUNCTION("""COMPUTED_VALUE"""),"https://www.tiktok.com/@auroraaa.jm")</f>
        <v>https://www.tiktok.com/@auroraaa.jm</v>
      </c>
      <c r="D25" s="316">
        <f>IFERROR(__xludf.DUMMYFUNCTION("""COMPUTED_VALUE"""),8.1385659729E10)</f>
        <v>81385659729</v>
      </c>
      <c r="E25" s="319">
        <f>IFERROR(__xludf.DUMMYFUNCTION("""COMPUTED_VALUE"""),0.0)</f>
        <v>0</v>
      </c>
      <c r="F25" s="316">
        <f>IFERROR(__xludf.DUMMYFUNCTION("""COMPUTED_VALUE"""),2.0)</f>
        <v>2</v>
      </c>
      <c r="G25" s="538" t="str">
        <f>IFERROR(__xludf.DUMMYFUNCTION("""COMPUTED_VALUE"""),"Glowing Face Wash")</f>
        <v>Glowing Face Wash</v>
      </c>
      <c r="H25" s="463" t="str">
        <f>IFERROR(__xludf.DUMMYFUNCTION("""COMPUTED_VALUE"""),"Sampai")</f>
        <v>Sampai</v>
      </c>
      <c r="I25" s="539" t="str">
        <f>IFERROR(__xludf.DUMMYFUNCTION("""COMPUTED_VALUE""")," Concept 1")</f>
        <v> Concept 1</v>
      </c>
      <c r="J25" s="540" t="str">
        <f>IFERROR(__xludf.DUMMYFUNCTION("""COMPUTED_VALUE"""),"https://vt.tiktok.com/ZSHpFqQU4/")</f>
        <v>https://vt.tiktok.com/ZSHpFqQU4/</v>
      </c>
      <c r="K25" s="541" t="str">
        <f>IFERROR(__xludf.DUMMYFUNCTION("""COMPUTED_VALUE"""),"#CXc6wpsLct/t3FOtm5+BNuPKmfhnZmICZq/Z/jyl5Bob+sdfjp7cetVwrdtxhVE=")</f>
        <v>#CXc6wpsLct/t3FOtm5+BNuPKmfhnZmICZq/Z/jyl5Bob+sdfjp7cetVwrdtxhVE=</v>
      </c>
      <c r="L25" s="539" t="str">
        <f>IFERROR(__xludf.DUMMYFUNCTION("""COMPUTED_VALUE"""),"Concept 2")</f>
        <v>Concept 2</v>
      </c>
      <c r="M25" s="540" t="str">
        <f>IFERROR(__xludf.DUMMYFUNCTION("""COMPUTED_VALUE"""),"https://vt.tiktok.com/ZSHpF47XA/ ")</f>
        <v>https://vt.tiktok.com/ZSHpF47XA/ </v>
      </c>
      <c r="N25" s="541" t="str">
        <f>IFERROR(__xludf.DUMMYFUNCTION("""COMPUTED_VALUE"""),"#CXc6wpsLct/t3FOtm5+BNuPKmfhnZmICZq/Z/jyl5Bob+sdfjp7cetVwrdtxhVE=")</f>
        <v>#CXc6wpsLct/t3FOtm5+BNuPKmfhnZmICZq/Z/jyl5Bob+sdfjp7cetVwrdtxhVE=</v>
      </c>
      <c r="O25" s="541"/>
      <c r="P25" s="541"/>
      <c r="Q25" s="541"/>
      <c r="R25" s="529"/>
      <c r="S25" s="529"/>
      <c r="T25" s="529"/>
      <c r="U25" s="529"/>
      <c r="V25" s="286"/>
      <c r="W25" s="286"/>
      <c r="X25" s="286"/>
      <c r="Y25" s="286"/>
      <c r="Z25" s="286"/>
      <c r="AA25" s="286"/>
      <c r="AB25" s="286"/>
    </row>
    <row r="26">
      <c r="A26" s="307" t="str">
        <f>IFERROR(__xludf.DUMMYFUNCTION("""COMPUTED_VALUE"""),"MICRO")</f>
        <v>MICRO</v>
      </c>
      <c r="B26" s="318" t="str">
        <f>IFERROR(__xludf.DUMMYFUNCTION("""COMPUTED_VALUE"""),"rumahaika")</f>
        <v>rumahaika</v>
      </c>
      <c r="C26" s="535" t="str">
        <f>IFERROR(__xludf.DUMMYFUNCTION("""COMPUTED_VALUE"""),"https://www.tiktok.com/@rumahaika")</f>
        <v>https://www.tiktok.com/@rumahaika</v>
      </c>
      <c r="D26" s="316">
        <f>IFERROR(__xludf.DUMMYFUNCTION("""COMPUTED_VALUE"""),8.2210444237E10)</f>
        <v>82210444237</v>
      </c>
      <c r="E26" s="319">
        <f>IFERROR(__xludf.DUMMYFUNCTION("""COMPUTED_VALUE"""),0.0)</f>
        <v>0</v>
      </c>
      <c r="F26" s="316">
        <f>IFERROR(__xludf.DUMMYFUNCTION("""COMPUTED_VALUE"""),2.0)</f>
        <v>2</v>
      </c>
      <c r="G26" s="538" t="str">
        <f>IFERROR(__xludf.DUMMYFUNCTION("""COMPUTED_VALUE"""),"Acne Face Wash")</f>
        <v>Acne Face Wash</v>
      </c>
      <c r="H26" s="463" t="str">
        <f>IFERROR(__xludf.DUMMYFUNCTION("""COMPUTED_VALUE"""),"Sampai")</f>
        <v>Sampai</v>
      </c>
      <c r="I26" s="539" t="str">
        <f>IFERROR(__xludf.DUMMYFUNCTION("""COMPUTED_VALUE""")," Concept 1")</f>
        <v> Concept 1</v>
      </c>
      <c r="J26" s="540" t="str">
        <f>IFERROR(__xludf.DUMMYFUNCTION("""COMPUTED_VALUE"""),"https://vt.tiktok.com/ZSHfcunxN/")</f>
        <v>https://vt.tiktok.com/ZSHfcunxN/</v>
      </c>
      <c r="K26" s="541" t="str">
        <f>IFERROR(__xludf.DUMMYFUNCTION("""COMPUTED_VALUE"""),"#aMINmZskdU3OvDslERzSgB+IXPtIR4WSGQnhlSGqWf8h06djzUzmNQnCo/av60A= ")</f>
        <v>#aMINmZskdU3OvDslERzSgB+IXPtIR4WSGQnhlSGqWf8h06djzUzmNQnCo/av60A= </v>
      </c>
      <c r="L26" s="539" t="str">
        <f>IFERROR(__xludf.DUMMYFUNCTION("""COMPUTED_VALUE"""),"Concept 2")</f>
        <v>Concept 2</v>
      </c>
      <c r="M26" s="540" t="str">
        <f>IFERROR(__xludf.DUMMYFUNCTION("""COMPUTED_VALUE"""),"https://vt.tiktok.com/ZSHfcbKT3/")</f>
        <v>https://vt.tiktok.com/ZSHfcbKT3/</v>
      </c>
      <c r="N26" s="541" t="str">
        <f>IFERROR(__xludf.DUMMYFUNCTION("""COMPUTED_VALUE"""),"#IU4bV7oDH5PRbRfgoaaV+0s8O5sxy08NLVmmrU1I43+6dDFUa4TUNMBI48YBFUw= ")</f>
        <v>#IU4bV7oDH5PRbRfgoaaV+0s8O5sxy08NLVmmrU1I43+6dDFUa4TUNMBI48YBFUw= </v>
      </c>
      <c r="O26" s="541"/>
      <c r="P26" s="541"/>
      <c r="Q26" s="541"/>
      <c r="R26" s="529"/>
      <c r="S26" s="529"/>
      <c r="T26" s="529"/>
      <c r="U26" s="529"/>
      <c r="V26" s="286"/>
      <c r="W26" s="286"/>
      <c r="X26" s="286"/>
      <c r="Y26" s="286"/>
      <c r="Z26" s="286"/>
      <c r="AA26" s="286"/>
      <c r="AB26" s="286"/>
    </row>
    <row r="27">
      <c r="A27" s="307" t="str">
        <f>IFERROR(__xludf.DUMMYFUNCTION("""COMPUTED_VALUE"""),"MICRO")</f>
        <v>MICRO</v>
      </c>
      <c r="B27" s="318" t="str">
        <f>IFERROR(__xludf.DUMMYFUNCTION("""COMPUTED_VALUE"""),"thya_pookie")</f>
        <v>thya_pookie</v>
      </c>
      <c r="C27" s="535" t="str">
        <f>IFERROR(__xludf.DUMMYFUNCTION("""COMPUTED_VALUE"""),"https://www.tiktok.com/@thya_pookie")</f>
        <v>https://www.tiktok.com/@thya_pookie</v>
      </c>
      <c r="D27" s="316">
        <f>IFERROR(__xludf.DUMMYFUNCTION("""COMPUTED_VALUE"""),8.5842486796E10)</f>
        <v>85842486796</v>
      </c>
      <c r="E27" s="319">
        <f>IFERROR(__xludf.DUMMYFUNCTION("""COMPUTED_VALUE"""),200000.0)</f>
        <v>200000</v>
      </c>
      <c r="F27" s="316">
        <f>IFERROR(__xludf.DUMMYFUNCTION("""COMPUTED_VALUE"""),2.0)</f>
        <v>2</v>
      </c>
      <c r="G27" s="538" t="str">
        <f>IFERROR(__xludf.DUMMYFUNCTION("""COMPUTED_VALUE"""),"Glowing Face Wash")</f>
        <v>Glowing Face Wash</v>
      </c>
      <c r="H27" s="463" t="str">
        <f>IFERROR(__xludf.DUMMYFUNCTION("""COMPUTED_VALUE"""),"Sampai")</f>
        <v>Sampai</v>
      </c>
      <c r="I27" s="539" t="str">
        <f>IFERROR(__xludf.DUMMYFUNCTION("""COMPUTED_VALUE""")," Concept 1")</f>
        <v> Concept 1</v>
      </c>
      <c r="J27" s="540" t="str">
        <f>IFERROR(__xludf.DUMMYFUNCTION("""COMPUTED_VALUE"""),"https://vt.tiktok.com/ZSuHEXWnk/")</f>
        <v>https://vt.tiktok.com/ZSuHEXWnk/</v>
      </c>
      <c r="K27" s="541" t="str">
        <f>IFERROR(__xludf.DUMMYFUNCTION("""COMPUTED_VALUE"""),"#zHwzSvLoIsB7y+u6kZ1Vnz96dB0zKvmAIrQyOxnkJ4gC904rtAr+U/NGw0DR0+o=")</f>
        <v>#zHwzSvLoIsB7y+u6kZ1Vnz96dB0zKvmAIrQyOxnkJ4gC904rtAr+U/NGw0DR0+o=</v>
      </c>
      <c r="L27" s="539" t="str">
        <f>IFERROR(__xludf.DUMMYFUNCTION("""COMPUTED_VALUE"""),"Concept 2")</f>
        <v>Concept 2</v>
      </c>
      <c r="M27" s="540" t="str">
        <f>IFERROR(__xludf.DUMMYFUNCTION("""COMPUTED_VALUE"""),"https://vt.tiktok.com/ZSu3MF6CC/")</f>
        <v>https://vt.tiktok.com/ZSu3MF6CC/</v>
      </c>
      <c r="N27" s="541" t="str">
        <f>IFERROR(__xludf.DUMMYFUNCTION("""COMPUTED_VALUE"""),"#8uhG6HGs6zOSw6qmZNmI57ote2TPHUETKI9wNIuAmW7MU+QcknIZsWSjdIovQbI=")</f>
        <v>#8uhG6HGs6zOSw6qmZNmI57ote2TPHUETKI9wNIuAmW7MU+QcknIZsWSjdIovQbI=</v>
      </c>
      <c r="O27" s="541"/>
      <c r="P27" s="541"/>
      <c r="Q27" s="541"/>
      <c r="R27" s="529"/>
      <c r="S27" s="529"/>
      <c r="T27" s="529"/>
      <c r="U27" s="529"/>
      <c r="V27" s="286"/>
      <c r="W27" s="286"/>
      <c r="X27" s="286"/>
      <c r="Y27" s="286"/>
      <c r="Z27" s="286"/>
      <c r="AA27" s="286"/>
      <c r="AB27" s="286"/>
    </row>
    <row r="28">
      <c r="A28" s="307" t="str">
        <f>IFERROR(__xludf.DUMMYFUNCTION("""COMPUTED_VALUE"""),"MICRO")</f>
        <v>MICRO</v>
      </c>
      <c r="B28" s="318" t="str">
        <f>IFERROR(__xludf.DUMMYFUNCTION("""COMPUTED_VALUE"""),"itsdianity")</f>
        <v>itsdianity</v>
      </c>
      <c r="C28" s="535" t="str">
        <f>IFERROR(__xludf.DUMMYFUNCTION("""COMPUTED_VALUE"""),"https://www.tiktok.com/@itsdianity")</f>
        <v>https://www.tiktok.com/@itsdianity</v>
      </c>
      <c r="D28" s="316">
        <f>IFERROR(__xludf.DUMMYFUNCTION("""COMPUTED_VALUE"""),8.2385502712E10)</f>
        <v>82385502712</v>
      </c>
      <c r="E28" s="319">
        <f>IFERROR(__xludf.DUMMYFUNCTION("""COMPUTED_VALUE"""),0.0)</f>
        <v>0</v>
      </c>
      <c r="F28" s="316">
        <f>IFERROR(__xludf.DUMMYFUNCTION("""COMPUTED_VALUE"""),2.0)</f>
        <v>2</v>
      </c>
      <c r="G28" s="538" t="str">
        <f>IFERROR(__xludf.DUMMYFUNCTION("""COMPUTED_VALUE"""),"Glowing Face Wash")</f>
        <v>Glowing Face Wash</v>
      </c>
      <c r="H28" s="463" t="str">
        <f>IFERROR(__xludf.DUMMYFUNCTION("""COMPUTED_VALUE"""),"Sampai")</f>
        <v>Sampai</v>
      </c>
      <c r="I28" s="539" t="str">
        <f>IFERROR(__xludf.DUMMYFUNCTION("""COMPUTED_VALUE"""),"Concept 2")</f>
        <v>Concept 2</v>
      </c>
      <c r="J28" s="540" t="str">
        <f>IFERROR(__xludf.DUMMYFUNCTION("""COMPUTED_VALUE"""),"https://vt.tiktok.com/ZSH6n7cbr/")</f>
        <v>https://vt.tiktok.com/ZSH6n7cbr/</v>
      </c>
      <c r="K28" s="541" t="str">
        <f>IFERROR(__xludf.DUMMYFUNCTION("""COMPUTED_VALUE"""),"#jZBl0xp14kMg1vHVwCMtcZLg3Ba1YFb2Tvfznkl7kKlwKDfV8L77NrHYkEzrcYU=")</f>
        <v>#jZBl0xp14kMg1vHVwCMtcZLg3Ba1YFb2Tvfznkl7kKlwKDfV8L77NrHYkEzrcYU=</v>
      </c>
      <c r="L28" s="539" t="str">
        <f>IFERROR(__xludf.DUMMYFUNCTION("""COMPUTED_VALUE""")," Concept 1")</f>
        <v> Concept 1</v>
      </c>
      <c r="M28" s="540" t="str">
        <f>IFERROR(__xludf.DUMMYFUNCTION("""COMPUTED_VALUE"""),"https://vt.tiktok.com/ZSHMK1tcU/")</f>
        <v>https://vt.tiktok.com/ZSHMK1tcU/</v>
      </c>
      <c r="N28" s="541" t="str">
        <f>IFERROR(__xludf.DUMMYFUNCTION("""COMPUTED_VALUE"""),"#/CEGSKibmCza6rAUozPU0zNALXrhGCGR7lgXWjOtGVu+W35Mn2F7RKulFHmzgaY=")</f>
        <v>#/CEGSKibmCza6rAUozPU0zNALXrhGCGR7lgXWjOtGVu+W35Mn2F7RKulFHmzgaY=</v>
      </c>
      <c r="O28" s="541"/>
      <c r="P28" s="541"/>
      <c r="Q28" s="541"/>
      <c r="R28" s="529"/>
      <c r="S28" s="529"/>
      <c r="T28" s="529"/>
      <c r="U28" s="529"/>
      <c r="V28" s="286"/>
      <c r="W28" s="286"/>
      <c r="X28" s="286"/>
      <c r="Y28" s="286"/>
      <c r="Z28" s="286"/>
      <c r="AA28" s="286"/>
      <c r="AB28" s="286"/>
    </row>
    <row r="29">
      <c r="A29" s="307" t="str">
        <f>IFERROR(__xludf.DUMMYFUNCTION("""COMPUTED_VALUE"""),"MICRO")</f>
        <v>MICRO</v>
      </c>
      <c r="B29" s="318" t="str">
        <f>IFERROR(__xludf.DUMMYFUNCTION("""COMPUTED_VALUE"""),"umashanum ")</f>
        <v>umashanum </v>
      </c>
      <c r="C29" s="535" t="str">
        <f>IFERROR(__xludf.DUMMYFUNCTION("""COMPUTED_VALUE"""),"https://www.tiktok.com/@umashanum ")</f>
        <v>https://www.tiktok.com/@umashanum </v>
      </c>
      <c r="D29" s="316">
        <f>IFERROR(__xludf.DUMMYFUNCTION("""COMPUTED_VALUE"""),8.5815301817E10)</f>
        <v>85815301817</v>
      </c>
      <c r="E29" s="319">
        <f>IFERROR(__xludf.DUMMYFUNCTION("""COMPUTED_VALUE"""),150000.0)</f>
        <v>150000</v>
      </c>
      <c r="F29" s="316">
        <f>IFERROR(__xludf.DUMMYFUNCTION("""COMPUTED_VALUE"""),2.0)</f>
        <v>2</v>
      </c>
      <c r="G29" s="538" t="str">
        <f>IFERROR(__xludf.DUMMYFUNCTION("""COMPUTED_VALUE"""),"Acne Face Wash")</f>
        <v>Acne Face Wash</v>
      </c>
      <c r="H29" s="463" t="str">
        <f>IFERROR(__xludf.DUMMYFUNCTION("""COMPUTED_VALUE"""),"Sampai")</f>
        <v>Sampai</v>
      </c>
      <c r="I29" s="539" t="str">
        <f>IFERROR(__xludf.DUMMYFUNCTION("""COMPUTED_VALUE""")," Concept 1")</f>
        <v> Concept 1</v>
      </c>
      <c r="J29" s="540" t="str">
        <f>IFERROR(__xludf.DUMMYFUNCTION("""COMPUTED_VALUE"""),"https://vt.tiktok.com/ZSH2mPD2g/")</f>
        <v>https://vt.tiktok.com/ZSH2mPD2g/</v>
      </c>
      <c r="K29" s="541" t="str">
        <f>IFERROR(__xludf.DUMMYFUNCTION("""COMPUTED_VALUE"""),"#fKd1yLtoZ8wMu1q78JsO4QDPfgv5jKcTWPXOZEO2SnUaPKu2PRRqC8UpgXG2DkQ=")</f>
        <v>#fKd1yLtoZ8wMu1q78JsO4QDPfgv5jKcTWPXOZEO2SnUaPKu2PRRqC8UpgXG2DkQ=</v>
      </c>
      <c r="L29" s="539" t="str">
        <f>IFERROR(__xludf.DUMMYFUNCTION("""COMPUTED_VALUE"""),"Concept 2")</f>
        <v>Concept 2</v>
      </c>
      <c r="M29" s="540" t="str">
        <f>IFERROR(__xludf.DUMMYFUNCTION("""COMPUTED_VALUE"""),"https://vt.tiktok.com/ZSH9dAWNQ/")</f>
        <v>https://vt.tiktok.com/ZSH9dAWNQ/</v>
      </c>
      <c r="N29" s="541" t="str">
        <f>IFERROR(__xludf.DUMMYFUNCTION("""COMPUTED_VALUE"""),"#i7q3X08Lg2OaVFjfBZ/T8FOGyL7aXCEg/1ibL5b4rytNso53sKSH3ern2d4QBWA=")</f>
        <v>#i7q3X08Lg2OaVFjfBZ/T8FOGyL7aXCEg/1ibL5b4rytNso53sKSH3ern2d4QBWA=</v>
      </c>
      <c r="O29" s="541"/>
      <c r="P29" s="541"/>
      <c r="Q29" s="541"/>
      <c r="R29" s="529"/>
      <c r="S29" s="529"/>
      <c r="T29" s="529"/>
      <c r="U29" s="529"/>
      <c r="V29" s="286"/>
      <c r="W29" s="286"/>
      <c r="X29" s="286"/>
      <c r="Y29" s="286"/>
      <c r="Z29" s="286"/>
      <c r="AA29" s="286"/>
      <c r="AB29" s="286"/>
    </row>
    <row r="30">
      <c r="A30" s="307" t="str">
        <f>IFERROR(__xludf.DUMMYFUNCTION("""COMPUTED_VALUE"""),"MICRO")</f>
        <v>MICRO</v>
      </c>
      <c r="B30" s="318" t="str">
        <f>IFERROR(__xludf.DUMMYFUNCTION("""COMPUTED_VALUE"""),"thnlykai")</f>
        <v>thnlykai</v>
      </c>
      <c r="C30" s="535" t="str">
        <f>IFERROR(__xludf.DUMMYFUNCTION("""COMPUTED_VALUE"""),"https://www.tiktok.com/@thnlykai")</f>
        <v>https://www.tiktok.com/@thnlykai</v>
      </c>
      <c r="D30" s="316">
        <f>IFERROR(__xludf.DUMMYFUNCTION("""COMPUTED_VALUE"""),8.98613759E9)</f>
        <v>8986137590</v>
      </c>
      <c r="E30" s="319">
        <f>IFERROR(__xludf.DUMMYFUNCTION("""COMPUTED_VALUE"""),150000.0)</f>
        <v>150000</v>
      </c>
      <c r="F30" s="316">
        <f>IFERROR(__xludf.DUMMYFUNCTION("""COMPUTED_VALUE"""),2.0)</f>
        <v>2</v>
      </c>
      <c r="G30" s="538" t="str">
        <f>IFERROR(__xludf.DUMMYFUNCTION("""COMPUTED_VALUE"""),"Acne Face Wash")</f>
        <v>Acne Face Wash</v>
      </c>
      <c r="H30" s="463" t="str">
        <f>IFERROR(__xludf.DUMMYFUNCTION("""COMPUTED_VALUE"""),"Sampai")</f>
        <v>Sampai</v>
      </c>
      <c r="I30" s="539" t="str">
        <f>IFERROR(__xludf.DUMMYFUNCTION("""COMPUTED_VALUE"""),"Concept 2")</f>
        <v>Concept 2</v>
      </c>
      <c r="J30" s="540" t="str">
        <f>IFERROR(__xludf.DUMMYFUNCTION("""COMPUTED_VALUE"""),"https://vt.tiktok.com/ZSHXB136e/")</f>
        <v>https://vt.tiktok.com/ZSHXB136e/</v>
      </c>
      <c r="K30" s="541" t="str">
        <f>IFERROR(__xludf.DUMMYFUNCTION("""COMPUTED_VALUE"""),"#9tV5BfTDRfW1ltEea4I2+3U7VGx5M+r89LVtpqqmMSydOHnQ3F5PL+wImZpx0yI=")</f>
        <v>#9tV5BfTDRfW1ltEea4I2+3U7VGx5M+r89LVtpqqmMSydOHnQ3F5PL+wImZpx0yI=</v>
      </c>
      <c r="L30" s="539" t="str">
        <f>IFERROR(__xludf.DUMMYFUNCTION("""COMPUTED_VALUE""")," Concept 1")</f>
        <v> Concept 1</v>
      </c>
      <c r="M30" s="540" t="str">
        <f>IFERROR(__xludf.DUMMYFUNCTION("""COMPUTED_VALUE"""),"https://vt.tiktok.com/ZSHXkcLUj/ ")</f>
        <v>https://vt.tiktok.com/ZSHXkcLUj/ </v>
      </c>
      <c r="N30" s="541" t="str">
        <f>IFERROR(__xludf.DUMMYFUNCTION("""COMPUTED_VALUE"""),"#ZD0dAJeTJCQTgzGV1Y5O0slN4sOwZIK2/puRAyPIpNylJLAfyekYquzmQGkhc+o=")</f>
        <v>#ZD0dAJeTJCQTgzGV1Y5O0slN4sOwZIK2/puRAyPIpNylJLAfyekYquzmQGkhc+o=</v>
      </c>
      <c r="O30" s="541"/>
      <c r="P30" s="541"/>
      <c r="Q30" s="541"/>
      <c r="R30" s="529"/>
      <c r="S30" s="529"/>
      <c r="T30" s="529"/>
      <c r="U30" s="529"/>
      <c r="V30" s="286"/>
      <c r="W30" s="286"/>
      <c r="X30" s="286"/>
      <c r="Y30" s="286"/>
      <c r="Z30" s="286"/>
      <c r="AA30" s="286"/>
      <c r="AB30" s="286"/>
    </row>
    <row r="31">
      <c r="A31" s="307" t="str">
        <f>IFERROR(__xludf.DUMMYFUNCTION("""COMPUTED_VALUE"""),"MICRO")</f>
        <v>MICRO</v>
      </c>
      <c r="B31" s="318" t="str">
        <f>IFERROR(__xludf.DUMMYFUNCTION("""COMPUTED_VALUE"""),"angelmatondang14")</f>
        <v>angelmatondang14</v>
      </c>
      <c r="C31" s="535" t="str">
        <f>IFERROR(__xludf.DUMMYFUNCTION("""COMPUTED_VALUE"""),"https://www.tiktok.com/@angelmatondang14")</f>
        <v>https://www.tiktok.com/@angelmatondang14</v>
      </c>
      <c r="D31" s="316">
        <f>IFERROR(__xludf.DUMMYFUNCTION("""COMPUTED_VALUE"""),8.77510358E10)</f>
        <v>87751035800</v>
      </c>
      <c r="E31" s="319">
        <f>IFERROR(__xludf.DUMMYFUNCTION("""COMPUTED_VALUE"""),0.0)</f>
        <v>0</v>
      </c>
      <c r="F31" s="316">
        <f>IFERROR(__xludf.DUMMYFUNCTION("""COMPUTED_VALUE"""),2.0)</f>
        <v>2</v>
      </c>
      <c r="G31" s="538" t="str">
        <f>IFERROR(__xludf.DUMMYFUNCTION("""COMPUTED_VALUE"""),"Acne Face Wash")</f>
        <v>Acne Face Wash</v>
      </c>
      <c r="H31" s="463" t="str">
        <f>IFERROR(__xludf.DUMMYFUNCTION("""COMPUTED_VALUE"""),"Sampai")</f>
        <v>Sampai</v>
      </c>
      <c r="I31" s="539" t="str">
        <f>IFERROR(__xludf.DUMMYFUNCTION("""COMPUTED_VALUE""")," Concept 1")</f>
        <v> Concept 1</v>
      </c>
      <c r="J31" s="540" t="str">
        <f>IFERROR(__xludf.DUMMYFUNCTION("""COMPUTED_VALUE"""),"https://vt.tiktok.com/ZS95oj2Hq/")</f>
        <v>https://vt.tiktok.com/ZS95oj2Hq/</v>
      </c>
      <c r="K31" s="541"/>
      <c r="L31" s="539"/>
      <c r="M31" s="541"/>
      <c r="N31" s="541"/>
      <c r="O31" s="541"/>
      <c r="P31" s="541"/>
      <c r="Q31" s="541"/>
      <c r="R31" s="529"/>
      <c r="S31" s="529"/>
      <c r="T31" s="529"/>
      <c r="U31" s="529"/>
      <c r="V31" s="286"/>
      <c r="W31" s="286"/>
      <c r="X31" s="286"/>
      <c r="Y31" s="286"/>
      <c r="Z31" s="286"/>
      <c r="AA31" s="286"/>
      <c r="AB31" s="286"/>
    </row>
    <row r="32">
      <c r="A32" s="307" t="str">
        <f>IFERROR(__xludf.DUMMYFUNCTION("""COMPUTED_VALUE"""),"MICRO")</f>
        <v>MICRO</v>
      </c>
      <c r="B32" s="318" t="str">
        <f>IFERROR(__xludf.DUMMYFUNCTION("""COMPUTED_VALUE"""),"apriliakartiningsih")</f>
        <v>apriliakartiningsih</v>
      </c>
      <c r="C32" s="535" t="str">
        <f>IFERROR(__xludf.DUMMYFUNCTION("""COMPUTED_VALUE"""),"https://www.tiktok.com/@apriliakartiningsih")</f>
        <v>https://www.tiktok.com/@apriliakartiningsih</v>
      </c>
      <c r="D32" s="316">
        <f>IFERROR(__xludf.DUMMYFUNCTION("""COMPUTED_VALUE"""),8.9651779766E10)</f>
        <v>89651779766</v>
      </c>
      <c r="E32" s="319">
        <f>IFERROR(__xludf.DUMMYFUNCTION("""COMPUTED_VALUE"""),0.0)</f>
        <v>0</v>
      </c>
      <c r="F32" s="316">
        <f>IFERROR(__xludf.DUMMYFUNCTION("""COMPUTED_VALUE"""),2.0)</f>
        <v>2</v>
      </c>
      <c r="G32" s="538" t="str">
        <f>IFERROR(__xludf.DUMMYFUNCTION("""COMPUTED_VALUE"""),"Glowing Face Wash")</f>
        <v>Glowing Face Wash</v>
      </c>
      <c r="H32" s="463" t="str">
        <f>IFERROR(__xludf.DUMMYFUNCTION("""COMPUTED_VALUE"""),"Sampai")</f>
        <v>Sampai</v>
      </c>
      <c r="I32" s="539" t="str">
        <f>IFERROR(__xludf.DUMMYFUNCTION("""COMPUTED_VALUE"""),"Concept 2")</f>
        <v>Concept 2</v>
      </c>
      <c r="J32" s="540" t="str">
        <f>IFERROR(__xludf.DUMMYFUNCTION("""COMPUTED_VALUE"""),"https://vt.tiktok.com/ZSHayACt2/")</f>
        <v>https://vt.tiktok.com/ZSHayACt2/</v>
      </c>
      <c r="K32" s="541" t="str">
        <f>IFERROR(__xludf.DUMMYFUNCTION("""COMPUTED_VALUE"""),"#vrtOugQpfhSenyndWZkoVDwizKHQzweGRDBKTe1ugvXrXsTnNTS0kZexPuI4flg=")</f>
        <v>#vrtOugQpfhSenyndWZkoVDwizKHQzweGRDBKTe1ugvXrXsTnNTS0kZexPuI4flg=</v>
      </c>
      <c r="L32" s="539" t="str">
        <f>IFERROR(__xludf.DUMMYFUNCTION("""COMPUTED_VALUE""")," Concept 1")</f>
        <v> Concept 1</v>
      </c>
      <c r="M32" s="540" t="str">
        <f>IFERROR(__xludf.DUMMYFUNCTION("""COMPUTED_VALUE"""),"https://vt.tiktok.com/ZS9S84V9a/ ")</f>
        <v>https://vt.tiktok.com/ZS9S84V9a/ </v>
      </c>
      <c r="N32" s="541" t="str">
        <f>IFERROR(__xludf.DUMMYFUNCTION("""COMPUTED_VALUE"""),"#ZikKBCSJqME2vKOhWKe3Had8azzSX9WJGLnJVWeXsQEWl2lXK6kyhq+TKB2O7ac=")</f>
        <v>#ZikKBCSJqME2vKOhWKe3Had8azzSX9WJGLnJVWeXsQEWl2lXK6kyhq+TKB2O7ac=</v>
      </c>
      <c r="O32" s="541"/>
      <c r="P32" s="541"/>
      <c r="Q32" s="541"/>
      <c r="R32" s="529"/>
      <c r="S32" s="529"/>
      <c r="T32" s="529"/>
      <c r="U32" s="529"/>
      <c r="V32" s="286"/>
      <c r="W32" s="286"/>
      <c r="X32" s="286"/>
      <c r="Y32" s="286"/>
      <c r="Z32" s="286"/>
      <c r="AA32" s="286"/>
      <c r="AB32" s="286"/>
    </row>
    <row r="33">
      <c r="A33" s="307" t="str">
        <f>IFERROR(__xludf.DUMMYFUNCTION("""COMPUTED_VALUE"""),"MICRO")</f>
        <v>MICRO</v>
      </c>
      <c r="B33" s="318" t="str">
        <f>IFERROR(__xludf.DUMMYFUNCTION("""COMPUTED_VALUE"""),"ifanasyiffa")</f>
        <v>ifanasyiffa</v>
      </c>
      <c r="C33" s="535" t="str">
        <f>IFERROR(__xludf.DUMMYFUNCTION("""COMPUTED_VALUE"""),"https://www.tiktok.com/@ifanasyiffa")</f>
        <v>https://www.tiktok.com/@ifanasyiffa</v>
      </c>
      <c r="D33" s="316">
        <f>IFERROR(__xludf.DUMMYFUNCTION("""COMPUTED_VALUE"""),8.3155871008E10)</f>
        <v>83155871008</v>
      </c>
      <c r="E33" s="319">
        <f>IFERROR(__xludf.DUMMYFUNCTION("""COMPUTED_VALUE"""),0.0)</f>
        <v>0</v>
      </c>
      <c r="F33" s="316">
        <f>IFERROR(__xludf.DUMMYFUNCTION("""COMPUTED_VALUE"""),2.0)</f>
        <v>2</v>
      </c>
      <c r="G33" s="538" t="str">
        <f>IFERROR(__xludf.DUMMYFUNCTION("""COMPUTED_VALUE"""),"Acne Face Wash")</f>
        <v>Acne Face Wash</v>
      </c>
      <c r="H33" s="463" t="str">
        <f>IFERROR(__xludf.DUMMYFUNCTION("""COMPUTED_VALUE"""),"Sampai")</f>
        <v>Sampai</v>
      </c>
      <c r="I33" s="539" t="str">
        <f>IFERROR(__xludf.DUMMYFUNCTION("""COMPUTED_VALUE""")," Concept 1")</f>
        <v> Concept 1</v>
      </c>
      <c r="J33" s="540" t="str">
        <f>IFERROR(__xludf.DUMMYFUNCTION("""COMPUTED_VALUE"""),"https://vt.tiktok.com/ZS9YCmuG2/")</f>
        <v>https://vt.tiktok.com/ZS9YCmuG2/</v>
      </c>
      <c r="K33" s="541" t="str">
        <f>IFERROR(__xludf.DUMMYFUNCTION("""COMPUTED_VALUE"""),"#XQ3AEwQ+oAa5tKm8W3pT1Ufl0fqU1JoJ3Rpbw9V4rgYVVtCnDtdMSWLzGOFiWS8=")</f>
        <v>#XQ3AEwQ+oAa5tKm8W3pT1Ufl0fqU1JoJ3Rpbw9V4rgYVVtCnDtdMSWLzGOFiWS8=</v>
      </c>
      <c r="L33" s="539" t="str">
        <f>IFERROR(__xludf.DUMMYFUNCTION("""COMPUTED_VALUE"""),"Concept 2")</f>
        <v>Concept 2</v>
      </c>
      <c r="M33" s="540" t="str">
        <f>IFERROR(__xludf.DUMMYFUNCTION("""COMPUTED_VALUE"""),"https://vt.tiktok.com/ZS9gtSmYJ/ ")</f>
        <v>https://vt.tiktok.com/ZS9gtSmYJ/ </v>
      </c>
      <c r="N33" s="541" t="str">
        <f>IFERROR(__xludf.DUMMYFUNCTION("""COMPUTED_VALUE"""),"#kzMKWWXRBmGl+/IFc2I/WHQpZ5nPy6wLJq54DCyJ8lM9zCqAh9hi6faK2hhw69M=")</f>
        <v>#kzMKWWXRBmGl+/IFc2I/WHQpZ5nPy6wLJq54DCyJ8lM9zCqAh9hi6faK2hhw69M=</v>
      </c>
      <c r="O33" s="541"/>
      <c r="P33" s="541"/>
      <c r="Q33" s="541"/>
      <c r="R33" s="529"/>
      <c r="S33" s="529"/>
      <c r="T33" s="529"/>
      <c r="U33" s="529"/>
      <c r="V33" s="286"/>
      <c r="W33" s="286"/>
      <c r="X33" s="286"/>
      <c r="Y33" s="286"/>
      <c r="Z33" s="286"/>
      <c r="AA33" s="286"/>
      <c r="AB33" s="286"/>
    </row>
    <row r="34">
      <c r="A34" s="307" t="str">
        <f>IFERROR(__xludf.DUMMYFUNCTION("""COMPUTED_VALUE"""),"MICRO")</f>
        <v>MICRO</v>
      </c>
      <c r="B34" s="318" t="str">
        <f>IFERROR(__xludf.DUMMYFUNCTION("""COMPUTED_VALUE"""),"moodtiaraaaaa")</f>
        <v>moodtiaraaaaa</v>
      </c>
      <c r="C34" s="535" t="str">
        <f>IFERROR(__xludf.DUMMYFUNCTION("""COMPUTED_VALUE"""),"https://www.tiktok.com/@moodtiaraaaaa")</f>
        <v>https://www.tiktok.com/@moodtiaraaaaa</v>
      </c>
      <c r="D34" s="316">
        <f>IFERROR(__xludf.DUMMYFUNCTION("""COMPUTED_VALUE"""),8.1210255102E10)</f>
        <v>81210255102</v>
      </c>
      <c r="E34" s="319">
        <f>IFERROR(__xludf.DUMMYFUNCTION("""COMPUTED_VALUE"""),700000.0)</f>
        <v>700000</v>
      </c>
      <c r="F34" s="316">
        <f>IFERROR(__xludf.DUMMYFUNCTION("""COMPUTED_VALUE"""),2.0)</f>
        <v>2</v>
      </c>
      <c r="G34" s="538" t="str">
        <f>IFERROR(__xludf.DUMMYFUNCTION("""COMPUTED_VALUE"""),"Acne Face Wash")</f>
        <v>Acne Face Wash</v>
      </c>
      <c r="H34" s="463" t="str">
        <f>IFERROR(__xludf.DUMMYFUNCTION("""COMPUTED_VALUE"""),"Sampai")</f>
        <v>Sampai</v>
      </c>
      <c r="I34" s="539" t="str">
        <f>IFERROR(__xludf.DUMMYFUNCTION("""COMPUTED_VALUE""")," Concept 1")</f>
        <v> Concept 1</v>
      </c>
      <c r="J34" s="540" t="str">
        <f>IFERROR(__xludf.DUMMYFUNCTION("""COMPUTED_VALUE"""),"https://vt.tiktok.com/ZSHjnf1uN/")</f>
        <v>https://vt.tiktok.com/ZSHjnf1uN/</v>
      </c>
      <c r="K34" s="541" t="str">
        <f>IFERROR(__xludf.DUMMYFUNCTION("""COMPUTED_VALUE"""),"#eNynpED82ln2WISlTtM78aBuItBSaGq+uxaA7hQPTvJU/6IR7mk0lGq5tGAm2OM=")</f>
        <v>#eNynpED82ln2WISlTtM78aBuItBSaGq+uxaA7hQPTvJU/6IR7mk0lGq5tGAm2OM=</v>
      </c>
      <c r="L34" s="539" t="str">
        <f>IFERROR(__xludf.DUMMYFUNCTION("""COMPUTED_VALUE"""),"Concept 2")</f>
        <v>Concept 2</v>
      </c>
      <c r="M34" s="540" t="str">
        <f>IFERROR(__xludf.DUMMYFUNCTION("""COMPUTED_VALUE"""),"https://vt.tiktok.com/ZS9SLQSJQ/ ")</f>
        <v>https://vt.tiktok.com/ZS9SLQSJQ/ </v>
      </c>
      <c r="N34" s="541" t="str">
        <f>IFERROR(__xludf.DUMMYFUNCTION("""COMPUTED_VALUE"""),"#Z011lYQNwcmjPDh4X/e8y+CFXOlNa27jTsdDLUHrmt3qUGLYFslcgZz6luDWhWI=")</f>
        <v>#Z011lYQNwcmjPDh4X/e8y+CFXOlNa27jTsdDLUHrmt3qUGLYFslcgZz6luDWhWI=</v>
      </c>
      <c r="O34" s="541"/>
      <c r="P34" s="541"/>
      <c r="Q34" s="541"/>
      <c r="R34" s="529"/>
      <c r="S34" s="529"/>
      <c r="T34" s="529"/>
      <c r="U34" s="529"/>
      <c r="V34" s="286"/>
      <c r="W34" s="286"/>
      <c r="X34" s="286"/>
      <c r="Y34" s="286"/>
      <c r="Z34" s="286"/>
      <c r="AA34" s="286"/>
      <c r="AB34" s="286"/>
    </row>
    <row r="35">
      <c r="A35" s="307" t="str">
        <f>IFERROR(__xludf.DUMMYFUNCTION("""COMPUTED_VALUE"""),"MICRO")</f>
        <v>MICRO</v>
      </c>
      <c r="B35" s="318" t="str">
        <f>IFERROR(__xludf.DUMMYFUNCTION("""COMPUTED_VALUE"""),"maydarafsha")</f>
        <v>maydarafsha</v>
      </c>
      <c r="C35" s="535" t="str">
        <f>IFERROR(__xludf.DUMMYFUNCTION("""COMPUTED_VALUE"""),"https://www.tiktok.com/@maydarafsha")</f>
        <v>https://www.tiktok.com/@maydarafsha</v>
      </c>
      <c r="D35" s="316">
        <f>IFERROR(__xludf.DUMMYFUNCTION("""COMPUTED_VALUE"""),8.5850688023E10)</f>
        <v>85850688023</v>
      </c>
      <c r="E35" s="319">
        <f>IFERROR(__xludf.DUMMYFUNCTION("""COMPUTED_VALUE"""),0.0)</f>
        <v>0</v>
      </c>
      <c r="F35" s="316">
        <f>IFERROR(__xludf.DUMMYFUNCTION("""COMPUTED_VALUE"""),2.0)</f>
        <v>2</v>
      </c>
      <c r="G35" s="538" t="str">
        <f>IFERROR(__xludf.DUMMYFUNCTION("""COMPUTED_VALUE"""),"Glowing Face Wash")</f>
        <v>Glowing Face Wash</v>
      </c>
      <c r="H35" s="463" t="str">
        <f>IFERROR(__xludf.DUMMYFUNCTION("""COMPUTED_VALUE"""),"Sampai")</f>
        <v>Sampai</v>
      </c>
      <c r="I35" s="539" t="str">
        <f>IFERROR(__xludf.DUMMYFUNCTION("""COMPUTED_VALUE"""),"Concept 2")</f>
        <v>Concept 2</v>
      </c>
      <c r="J35" s="540" t="str">
        <f>IFERROR(__xludf.DUMMYFUNCTION("""COMPUTED_VALUE"""),"https://vt.tiktok.com/ZSHxxdeoX/")</f>
        <v>https://vt.tiktok.com/ZSHxxdeoX/</v>
      </c>
      <c r="K35" s="541" t="str">
        <f>IFERROR(__xludf.DUMMYFUNCTION("""COMPUTED_VALUE"""),"#lYoke6tKLnZUCDy0C7Mkts6N0ryUeWFNPDq1QSoBDbRPhMeTOLmmj7oMbaNDrMU=")</f>
        <v>#lYoke6tKLnZUCDy0C7Mkts6N0ryUeWFNPDq1QSoBDbRPhMeTOLmmj7oMbaNDrMU=</v>
      </c>
      <c r="L35" s="539"/>
      <c r="M35" s="541"/>
      <c r="N35" s="541"/>
      <c r="O35" s="541"/>
      <c r="P35" s="541"/>
      <c r="Q35" s="541"/>
      <c r="R35" s="529"/>
      <c r="S35" s="529"/>
      <c r="T35" s="529"/>
      <c r="U35" s="529"/>
      <c r="V35" s="286"/>
      <c r="W35" s="286"/>
      <c r="X35" s="286"/>
      <c r="Y35" s="286"/>
      <c r="Z35" s="286"/>
      <c r="AA35" s="286"/>
      <c r="AB35" s="286"/>
    </row>
    <row r="36">
      <c r="A36" s="307" t="str">
        <f>IFERROR(__xludf.DUMMYFUNCTION("""COMPUTED_VALUE"""),"MICRO")</f>
        <v>MICRO</v>
      </c>
      <c r="B36" s="318" t="str">
        <f>IFERROR(__xludf.DUMMYFUNCTION("""COMPUTED_VALUE"""),"upaahsn")</f>
        <v>upaahsn</v>
      </c>
      <c r="C36" s="535" t="str">
        <f>IFERROR(__xludf.DUMMYFUNCTION("""COMPUTED_VALUE"""),"https://www.tiktok.com/@upaahsn")</f>
        <v>https://www.tiktok.com/@upaahsn</v>
      </c>
      <c r="D36" s="316">
        <f>IFERROR(__xludf.DUMMYFUNCTION("""COMPUTED_VALUE"""),8.2279790694E10)</f>
        <v>82279790694</v>
      </c>
      <c r="E36" s="319">
        <f>IFERROR(__xludf.DUMMYFUNCTION("""COMPUTED_VALUE"""),0.0)</f>
        <v>0</v>
      </c>
      <c r="F36" s="316">
        <f>IFERROR(__xludf.DUMMYFUNCTION("""COMPUTED_VALUE"""),2.0)</f>
        <v>2</v>
      </c>
      <c r="G36" s="538" t="str">
        <f>IFERROR(__xludf.DUMMYFUNCTION("""COMPUTED_VALUE"""),"Acne Face Wash")</f>
        <v>Acne Face Wash</v>
      </c>
      <c r="H36" s="463" t="str">
        <f>IFERROR(__xludf.DUMMYFUNCTION("""COMPUTED_VALUE"""),"Sampai")</f>
        <v>Sampai</v>
      </c>
      <c r="I36" s="539" t="str">
        <f>IFERROR(__xludf.DUMMYFUNCTION("""COMPUTED_VALUE"""),"Concept 2")</f>
        <v>Concept 2</v>
      </c>
      <c r="J36" s="540" t="str">
        <f>IFERROR(__xludf.DUMMYFUNCTION("""COMPUTED_VALUE"""),"https://vt.tiktok.com/ZS936TvHr/ ")</f>
        <v>https://vt.tiktok.com/ZS936TvHr/ </v>
      </c>
      <c r="K36" s="541" t="str">
        <f>IFERROR(__xludf.DUMMYFUNCTION("""COMPUTED_VALUE"""),"#cBJqXuHWRT4znuusbXudfDSpHWKGaXP6ZAnZPfRwuUIJKouNh44nZPICSzuQJ9Q=")</f>
        <v>#cBJqXuHWRT4znuusbXudfDSpHWKGaXP6ZAnZPfRwuUIJKouNh44nZPICSzuQJ9Q=</v>
      </c>
      <c r="L36" s="539"/>
      <c r="M36" s="541"/>
      <c r="N36" s="541"/>
      <c r="O36" s="541"/>
      <c r="P36" s="541"/>
      <c r="Q36" s="541"/>
      <c r="R36" s="529"/>
      <c r="S36" s="529"/>
      <c r="T36" s="529"/>
      <c r="U36" s="529"/>
      <c r="V36" s="286"/>
      <c r="W36" s="286"/>
      <c r="X36" s="286"/>
      <c r="Y36" s="286"/>
      <c r="Z36" s="286"/>
      <c r="AA36" s="286"/>
      <c r="AB36" s="286"/>
    </row>
    <row r="37">
      <c r="A37" s="307" t="str">
        <f>IFERROR(__xludf.DUMMYFUNCTION("""COMPUTED_VALUE"""),"MICRO")</f>
        <v>MICRO</v>
      </c>
      <c r="B37" s="318" t="str">
        <f>IFERROR(__xludf.DUMMYFUNCTION("""COMPUTED_VALUE"""),"storyandine")</f>
        <v>storyandine</v>
      </c>
      <c r="C37" s="535" t="str">
        <f>IFERROR(__xludf.DUMMYFUNCTION("""COMPUTED_VALUE"""),"https://www.tiktok.com/@storyandine")</f>
        <v>https://www.tiktok.com/@storyandine</v>
      </c>
      <c r="D37" s="316"/>
      <c r="E37" s="319">
        <f>IFERROR(__xludf.DUMMYFUNCTION("""COMPUTED_VALUE"""),0.0)</f>
        <v>0</v>
      </c>
      <c r="F37" s="316">
        <f>IFERROR(__xludf.DUMMYFUNCTION("""COMPUTED_VALUE"""),2.0)</f>
        <v>2</v>
      </c>
      <c r="G37" s="538" t="str">
        <f>IFERROR(__xludf.DUMMYFUNCTION("""COMPUTED_VALUE"""),"Glowing Face Wash")</f>
        <v>Glowing Face Wash</v>
      </c>
      <c r="H37" s="463" t="str">
        <f>IFERROR(__xludf.DUMMYFUNCTION("""COMPUTED_VALUE"""),"Sampai")</f>
        <v>Sampai</v>
      </c>
      <c r="I37" s="539" t="str">
        <f>IFERROR(__xludf.DUMMYFUNCTION("""COMPUTED_VALUE"""),"Concept 2")</f>
        <v>Concept 2</v>
      </c>
      <c r="J37" s="540" t="str">
        <f>IFERROR(__xludf.DUMMYFUNCTION("""COMPUTED_VALUE"""),"https://vt.tiktok.com/ZS98LF73s/ ")</f>
        <v>https://vt.tiktok.com/ZS98LF73s/ </v>
      </c>
      <c r="K37" s="541" t="str">
        <f>IFERROR(__xludf.DUMMYFUNCTION("""COMPUTED_VALUE"""),"#Vdf56ltJnTbdc1q/Z6Fk4GlqwC4gE+G7VfjvvcZryJauJHWZNSib+VccE8NcIa4=")</f>
        <v>#Vdf56ltJnTbdc1q/Z6Fk4GlqwC4gE+G7VfjvvcZryJauJHWZNSib+VccE8NcIa4=</v>
      </c>
      <c r="L37" s="539" t="str">
        <f>IFERROR(__xludf.DUMMYFUNCTION("""COMPUTED_VALUE"""),"Concept 3")</f>
        <v>Concept 3</v>
      </c>
      <c r="M37" s="540" t="str">
        <f>IFERROR(__xludf.DUMMYFUNCTION("""COMPUTED_VALUE"""),"https://vt.tiktok.com/ZS94H12G7/ ")</f>
        <v>https://vt.tiktok.com/ZS94H12G7/ </v>
      </c>
      <c r="N37" s="541" t="str">
        <f>IFERROR(__xludf.DUMMYFUNCTION("""COMPUTED_VALUE"""),"#/7QxgmDX4nWh+bquy0/JLNA0AXy1f5CTBdYQz77Fae379RUxVi/8qt56r7sSCiA=")</f>
        <v>#/7QxgmDX4nWh+bquy0/JLNA0AXy1f5CTBdYQz77Fae379RUxVi/8qt56r7sSCiA=</v>
      </c>
      <c r="O37" s="541"/>
      <c r="P37" s="541"/>
      <c r="Q37" s="541"/>
      <c r="R37" s="529"/>
      <c r="S37" s="529"/>
      <c r="T37" s="529"/>
      <c r="U37" s="529"/>
      <c r="V37" s="286"/>
      <c r="W37" s="286"/>
      <c r="X37" s="286"/>
      <c r="Y37" s="286"/>
      <c r="Z37" s="286"/>
      <c r="AA37" s="286"/>
      <c r="AB37" s="286"/>
    </row>
    <row r="38">
      <c r="A38" s="307" t="str">
        <f>IFERROR(__xludf.DUMMYFUNCTION("""COMPUTED_VALUE"""),"MACRO")</f>
        <v>MACRO</v>
      </c>
      <c r="B38" s="318" t="str">
        <f>IFERROR(__xludf.DUMMYFUNCTION("""COMPUTED_VALUE"""),"Anitanursyifa")</f>
        <v>Anitanursyifa</v>
      </c>
      <c r="C38" s="535" t="str">
        <f>IFERROR(__xludf.DUMMYFUNCTION("""COMPUTED_VALUE"""),"https://www.tiktok.com/@Anitanursyifa")</f>
        <v>https://www.tiktok.com/@Anitanursyifa</v>
      </c>
      <c r="D38" s="316"/>
      <c r="E38" s="545">
        <f>IFERROR(__xludf.DUMMYFUNCTION("""COMPUTED_VALUE"""),0.0)</f>
        <v>0</v>
      </c>
      <c r="F38" s="316">
        <f>IFERROR(__xludf.DUMMYFUNCTION("""COMPUTED_VALUE"""),2.0)</f>
        <v>2</v>
      </c>
      <c r="G38" s="538" t="str">
        <f>IFERROR(__xludf.DUMMYFUNCTION("""COMPUTED_VALUE"""),"Glowing Face Wash")</f>
        <v>Glowing Face Wash</v>
      </c>
      <c r="H38" s="463" t="str">
        <f>IFERROR(__xludf.DUMMYFUNCTION("""COMPUTED_VALUE"""),"Sampai")</f>
        <v>Sampai</v>
      </c>
      <c r="I38" s="539" t="str">
        <f>IFERROR(__xludf.DUMMYFUNCTION("""COMPUTED_VALUE"""),"Concept 2")</f>
        <v>Concept 2</v>
      </c>
      <c r="J38" s="540" t="str">
        <f>IFERROR(__xludf.DUMMYFUNCTION("""COMPUTED_VALUE"""),"https://vt.tiktok.com/ZS9TSSUPr/ ")</f>
        <v>https://vt.tiktok.com/ZS9TSSUPr/ </v>
      </c>
      <c r="K38" s="541" t="str">
        <f>IFERROR(__xludf.DUMMYFUNCTION("""COMPUTED_VALUE"""),"#rsXSmdcfsYgnUMnIO6kZC2PJv+nmzIIcXr1CAHWOckFEcDknqnX2LTfFYxHNtSw=")</f>
        <v>#rsXSmdcfsYgnUMnIO6kZC2PJv+nmzIIcXr1CAHWOckFEcDknqnX2LTfFYxHNtSw=</v>
      </c>
      <c r="L38" s="539" t="str">
        <f>IFERROR(__xludf.DUMMYFUNCTION("""COMPUTED_VALUE""")," Concept 1")</f>
        <v> Concept 1</v>
      </c>
      <c r="M38" s="540" t="str">
        <f>IFERROR(__xludf.DUMMYFUNCTION("""COMPUTED_VALUE"""),"https://vt.tiktok.com/ZSxRoPfQU/ ")</f>
        <v>https://vt.tiktok.com/ZSxRoPfQU/ </v>
      </c>
      <c r="N38" s="541" t="str">
        <f>IFERROR(__xludf.DUMMYFUNCTION("""COMPUTED_VALUE"""),"#5vGJ0SWjUuN1R0da/HZxD3c6x2h4hWbMFtLEAxIAvUBu6+yCC/Z/7Q4lZFwS37o=")</f>
        <v>#5vGJ0SWjUuN1R0da/HZxD3c6x2h4hWbMFtLEAxIAvUBu6+yCC/Z/7Q4lZFwS37o=</v>
      </c>
      <c r="O38" s="541"/>
      <c r="P38" s="541"/>
      <c r="Q38" s="541"/>
      <c r="R38" s="529"/>
      <c r="S38" s="529"/>
      <c r="T38" s="529"/>
      <c r="U38" s="529"/>
      <c r="V38" s="286"/>
      <c r="W38" s="286"/>
      <c r="X38" s="286"/>
      <c r="Y38" s="286"/>
      <c r="Z38" s="286"/>
      <c r="AA38" s="286"/>
      <c r="AB38" s="286"/>
    </row>
    <row r="39">
      <c r="A39" s="307" t="str">
        <f>IFERROR(__xludf.DUMMYFUNCTION("""COMPUTED_VALUE"""),"MICRO")</f>
        <v>MICRO</v>
      </c>
      <c r="B39" s="318" t="str">
        <f>IFERROR(__xludf.DUMMYFUNCTION("""COMPUTED_VALUE"""),"shinta.deput")</f>
        <v>shinta.deput</v>
      </c>
      <c r="C39" s="535" t="str">
        <f>IFERROR(__xludf.DUMMYFUNCTION("""COMPUTED_VALUE"""),"https://www.tiktok.com/@shinta.deput")</f>
        <v>https://www.tiktok.com/@shinta.deput</v>
      </c>
      <c r="D39" s="316">
        <f>IFERROR(__xludf.DUMMYFUNCTION("""COMPUTED_VALUE"""),8.5740007341E10)</f>
        <v>85740007341</v>
      </c>
      <c r="E39" s="545">
        <f>IFERROR(__xludf.DUMMYFUNCTION("""COMPUTED_VALUE"""),50000.0)</f>
        <v>50000</v>
      </c>
      <c r="F39" s="316">
        <f>IFERROR(__xludf.DUMMYFUNCTION("""COMPUTED_VALUE"""),2.0)</f>
        <v>2</v>
      </c>
      <c r="G39" s="538" t="str">
        <f>IFERROR(__xludf.DUMMYFUNCTION("""COMPUTED_VALUE"""),"Acne Face Wash")</f>
        <v>Acne Face Wash</v>
      </c>
      <c r="H39" s="463" t="str">
        <f>IFERROR(__xludf.DUMMYFUNCTION("""COMPUTED_VALUE"""),"Sampai")</f>
        <v>Sampai</v>
      </c>
      <c r="I39" s="539" t="str">
        <f>IFERROR(__xludf.DUMMYFUNCTION("""COMPUTED_VALUE"""),"Concept 2")</f>
        <v>Concept 2</v>
      </c>
      <c r="J39" s="540" t="str">
        <f>IFERROR(__xludf.DUMMYFUNCTION("""COMPUTED_VALUE"""),"https://vt.tiktok.com/ZS96SC5e8/")</f>
        <v>https://vt.tiktok.com/ZS96SC5e8/</v>
      </c>
      <c r="K39" s="541" t="str">
        <f>IFERROR(__xludf.DUMMYFUNCTION("""COMPUTED_VALUE"""),"#wI1EG6wwRoIgDZvT1aNQX/X3caS9uVLzrBq1zJKfyJt9s3spM/JuJGWJhjWLwss=")</f>
        <v>#wI1EG6wwRoIgDZvT1aNQX/X3caS9uVLzrBq1zJKfyJt9s3spM/JuJGWJhjWLwss=</v>
      </c>
      <c r="L39" s="539" t="str">
        <f>IFERROR(__xludf.DUMMYFUNCTION("""COMPUTED_VALUE""")," Concept 1")</f>
        <v> Concept 1</v>
      </c>
      <c r="M39" s="540" t="str">
        <f>IFERROR(__xludf.DUMMYFUNCTION("""COMPUTED_VALUE"""),"https://vt.tiktok.com/ZS9qrk87h/ ")</f>
        <v>https://vt.tiktok.com/ZS9qrk87h/ </v>
      </c>
      <c r="N39" s="541" t="str">
        <f>IFERROR(__xludf.DUMMYFUNCTION("""COMPUTED_VALUE"""),"#DuPkxA/H+7tLwn8YOnvfjwsn6sEJA4DEU4gESIllfbQV2/TZgUuCyHKA4ighot0=")</f>
        <v>#DuPkxA/H+7tLwn8YOnvfjwsn6sEJA4DEU4gESIllfbQV2/TZgUuCyHKA4ighot0=</v>
      </c>
      <c r="O39" s="541"/>
      <c r="P39" s="541"/>
      <c r="Q39" s="541"/>
      <c r="R39" s="529"/>
      <c r="S39" s="529"/>
      <c r="T39" s="529"/>
      <c r="U39" s="529"/>
      <c r="V39" s="286"/>
      <c r="W39" s="286"/>
      <c r="X39" s="286"/>
      <c r="Y39" s="286"/>
      <c r="Z39" s="286"/>
      <c r="AA39" s="286"/>
      <c r="AB39" s="286"/>
    </row>
    <row r="40">
      <c r="A40" s="307" t="str">
        <f>IFERROR(__xludf.DUMMYFUNCTION("""COMPUTED_VALUE"""),"MICRO")</f>
        <v>MICRO</v>
      </c>
      <c r="B40" s="318" t="str">
        <f>IFERROR(__xludf.DUMMYFUNCTION("""COMPUTED_VALUE"""),"queenrfl")</f>
        <v>queenrfl</v>
      </c>
      <c r="C40" s="535" t="str">
        <f>IFERROR(__xludf.DUMMYFUNCTION("""COMPUTED_VALUE"""),"https://www.tiktok.com/@queenrfl")</f>
        <v>https://www.tiktok.com/@queenrfl</v>
      </c>
      <c r="D40" s="316"/>
      <c r="E40" s="545">
        <f>IFERROR(__xludf.DUMMYFUNCTION("""COMPUTED_VALUE"""),0.0)</f>
        <v>0</v>
      </c>
      <c r="F40" s="316">
        <f>IFERROR(__xludf.DUMMYFUNCTION("""COMPUTED_VALUE"""),2.0)</f>
        <v>2</v>
      </c>
      <c r="G40" s="538" t="str">
        <f>IFERROR(__xludf.DUMMYFUNCTION("""COMPUTED_VALUE"""),"Glowing Face Wash")</f>
        <v>Glowing Face Wash</v>
      </c>
      <c r="H40" s="463" t="str">
        <f>IFERROR(__xludf.DUMMYFUNCTION("""COMPUTED_VALUE"""),"Sampai")</f>
        <v>Sampai</v>
      </c>
      <c r="I40" s="546" t="str">
        <f>IFERROR(__xludf.DUMMYFUNCTION("""COMPUTED_VALUE""")," Concept 1")</f>
        <v> Concept 1</v>
      </c>
      <c r="J40" s="540" t="str">
        <f>IFERROR(__xludf.DUMMYFUNCTION("""COMPUTED_VALUE"""),"https://vt.tiktok.com/ZS9R96LND/ ")</f>
        <v>https://vt.tiktok.com/ZS9R96LND/ </v>
      </c>
      <c r="K40" s="312" t="str">
        <f>IFERROR(__xludf.DUMMYFUNCTION("""COMPUTED_VALUE"""),"#uAVvu0kO0egj1hZTwSbsWuEybHzMPdKVw6Kk7cQP2USRjyTMsZreApPX7RlsGHA=")</f>
        <v>#uAVvu0kO0egj1hZTwSbsWuEybHzMPdKVw6Kk7cQP2USRjyTMsZreApPX7RlsGHA=</v>
      </c>
      <c r="L40" s="546" t="str">
        <f>IFERROR(__xludf.DUMMYFUNCTION("""COMPUTED_VALUE"""),"Concept 2")</f>
        <v>Concept 2</v>
      </c>
      <c r="M40" s="540" t="str">
        <f>IFERROR(__xludf.DUMMYFUNCTION("""COMPUTED_VALUE"""),"https://vt.tiktok.com/ZSxhRJtU7/ ")</f>
        <v>https://vt.tiktok.com/ZSxhRJtU7/ </v>
      </c>
      <c r="N40" s="541" t="str">
        <f>IFERROR(__xludf.DUMMYFUNCTION("""COMPUTED_VALUE"""),"#KLHRsFn407O0feL5T1wGH210Vb/24DgYXuheUDzErtMTuiil12N1Y4+hF9+WmLY=")</f>
        <v>#KLHRsFn407O0feL5T1wGH210Vb/24DgYXuheUDzErtMTuiil12N1Y4+hF9+WmLY=</v>
      </c>
      <c r="O40" s="541"/>
      <c r="P40" s="541"/>
      <c r="Q40" s="312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</row>
    <row r="41">
      <c r="A41" s="307" t="str">
        <f>IFERROR(__xludf.DUMMYFUNCTION("""COMPUTED_VALUE"""),"MICRO")</f>
        <v>MICRO</v>
      </c>
      <c r="B41" s="318" t="str">
        <f>IFERROR(__xludf.DUMMYFUNCTION("""COMPUTED_VALUE"""),"innaahhiyan")</f>
        <v>innaahhiyan</v>
      </c>
      <c r="C41" s="535" t="str">
        <f>IFERROR(__xludf.DUMMYFUNCTION("""COMPUTED_VALUE"""),"https://www.tiktok.com/@innaahhiyan")</f>
        <v>https://www.tiktok.com/@innaahhiyan</v>
      </c>
      <c r="D41" s="316">
        <f>IFERROR(__xludf.DUMMYFUNCTION("""COMPUTED_VALUE"""),8.5226956975E10)</f>
        <v>85226956975</v>
      </c>
      <c r="E41" s="545">
        <f>IFERROR(__xludf.DUMMYFUNCTION("""COMPUTED_VALUE"""),0.0)</f>
        <v>0</v>
      </c>
      <c r="F41" s="316">
        <f>IFERROR(__xludf.DUMMYFUNCTION("""COMPUTED_VALUE"""),2.0)</f>
        <v>2</v>
      </c>
      <c r="G41" s="538" t="str">
        <f>IFERROR(__xludf.DUMMYFUNCTION("""COMPUTED_VALUE"""),"Acne Face Wash")</f>
        <v>Acne Face Wash</v>
      </c>
      <c r="H41" s="463" t="str">
        <f>IFERROR(__xludf.DUMMYFUNCTION("""COMPUTED_VALUE"""),"Sampai")</f>
        <v>Sampai</v>
      </c>
      <c r="I41" s="546" t="str">
        <f>IFERROR(__xludf.DUMMYFUNCTION("""COMPUTED_VALUE""")," Concept 1")</f>
        <v> Concept 1</v>
      </c>
      <c r="J41" s="540" t="str">
        <f>IFERROR(__xludf.DUMMYFUNCTION("""COMPUTED_VALUE"""),"https://vt.tiktok.com/ZS9UH4NaC/ ")</f>
        <v>https://vt.tiktok.com/ZS9UH4NaC/ </v>
      </c>
      <c r="K41" s="312" t="str">
        <f>IFERROR(__xludf.DUMMYFUNCTION("""COMPUTED_VALUE"""),"#SE3sJ4HyBot+AL9fuOqEO+UZQ0Bkq8Sv5omFg7mGioToSZaAT8F4gMFcDITkgOo=")</f>
        <v>#SE3sJ4HyBot+AL9fuOqEO+UZQ0Bkq8Sv5omFg7mGioToSZaAT8F4gMFcDITkgOo=</v>
      </c>
      <c r="L41" s="546" t="str">
        <f>IFERROR(__xludf.DUMMYFUNCTION("""COMPUTED_VALUE"""),"Concept 2")</f>
        <v>Concept 2</v>
      </c>
      <c r="M41" s="540" t="str">
        <f>IFERROR(__xludf.DUMMYFUNCTION("""COMPUTED_VALUE"""),"https://vt.tiktok.com/ZS94DYY8v/ ")</f>
        <v>https://vt.tiktok.com/ZS94DYY8v/ </v>
      </c>
      <c r="N41" s="541" t="str">
        <f>IFERROR(__xludf.DUMMYFUNCTION("""COMPUTED_VALUE"""),"#OSRCViup1wdpnKiRhZmBBAOf5kv5YHk87uUire4q3F/WIpBCdvP26Uc00ns7SNU=")</f>
        <v>#OSRCViup1wdpnKiRhZmBBAOf5kv5YHk87uUire4q3F/WIpBCdvP26Uc00ns7SNU=</v>
      </c>
      <c r="O41" s="541"/>
      <c r="P41" s="541"/>
      <c r="Q41" s="312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286"/>
    </row>
    <row r="42">
      <c r="A42" s="307" t="str">
        <f>IFERROR(__xludf.DUMMYFUNCTION("""COMPUTED_VALUE"""),"MICRO")</f>
        <v>MICRO</v>
      </c>
      <c r="B42" s="318" t="str">
        <f>IFERROR(__xludf.DUMMYFUNCTION("""COMPUTED_VALUE"""),"focusonmeehh")</f>
        <v>focusonmeehh</v>
      </c>
      <c r="C42" s="535" t="str">
        <f>IFERROR(__xludf.DUMMYFUNCTION("""COMPUTED_VALUE"""),"https://www.tiktok.com/@focusonmeehh")</f>
        <v>https://www.tiktok.com/@focusonmeehh</v>
      </c>
      <c r="D42" s="316">
        <f>IFERROR(__xludf.DUMMYFUNCTION("""COMPUTED_VALUE"""),8.1278546432E10)</f>
        <v>81278546432</v>
      </c>
      <c r="E42" s="545">
        <f>IFERROR(__xludf.DUMMYFUNCTION("""COMPUTED_VALUE"""),0.0)</f>
        <v>0</v>
      </c>
      <c r="F42" s="316">
        <f>IFERROR(__xludf.DUMMYFUNCTION("""COMPUTED_VALUE"""),2.0)</f>
        <v>2</v>
      </c>
      <c r="G42" s="538" t="str">
        <f>IFERROR(__xludf.DUMMYFUNCTION("""COMPUTED_VALUE"""),"Acne Face Wash")</f>
        <v>Acne Face Wash</v>
      </c>
      <c r="H42" s="463" t="str">
        <f>IFERROR(__xludf.DUMMYFUNCTION("""COMPUTED_VALUE"""),"Sampai")</f>
        <v>Sampai</v>
      </c>
      <c r="I42" s="546" t="str">
        <f>IFERROR(__xludf.DUMMYFUNCTION("""COMPUTED_VALUE""")," Concept 1")</f>
        <v> Concept 1</v>
      </c>
      <c r="J42" s="540" t="str">
        <f>IFERROR(__xludf.DUMMYFUNCTION("""COMPUTED_VALUE"""),"https://vt.tiktok.com/ZSHxarxGd/")</f>
        <v>https://vt.tiktok.com/ZSHxarxGd/</v>
      </c>
      <c r="K42" s="312"/>
      <c r="L42" s="546"/>
      <c r="M42" s="541"/>
      <c r="N42" s="541"/>
      <c r="O42" s="541"/>
      <c r="P42" s="541"/>
      <c r="Q42" s="312"/>
      <c r="R42" s="286"/>
      <c r="S42" s="286"/>
      <c r="T42" s="286"/>
      <c r="U42" s="286"/>
      <c r="V42" s="286"/>
      <c r="W42" s="286"/>
      <c r="X42" s="286"/>
      <c r="Y42" s="286"/>
      <c r="Z42" s="286"/>
      <c r="AA42" s="286"/>
      <c r="AB42" s="286"/>
    </row>
    <row r="43">
      <c r="A43" s="307" t="str">
        <f>IFERROR(__xludf.DUMMYFUNCTION("""COMPUTED_VALUE"""),"MICRO")</f>
        <v>MICRO</v>
      </c>
      <c r="B43" s="318" t="str">
        <f>IFERROR(__xludf.DUMMYFUNCTION("""COMPUTED_VALUE"""),"liayulianti1278")</f>
        <v>liayulianti1278</v>
      </c>
      <c r="C43" s="535" t="str">
        <f>IFERROR(__xludf.DUMMYFUNCTION("""COMPUTED_VALUE"""),"https://www.tiktok.com/@liayulianti1278")</f>
        <v>https://www.tiktok.com/@liayulianti1278</v>
      </c>
      <c r="D43" s="316">
        <f>IFERROR(__xludf.DUMMYFUNCTION("""COMPUTED_VALUE"""),8.1220183515E10)</f>
        <v>81220183515</v>
      </c>
      <c r="E43" s="545">
        <f>IFERROR(__xludf.DUMMYFUNCTION("""COMPUTED_VALUE"""),0.0)</f>
        <v>0</v>
      </c>
      <c r="F43" s="316">
        <f>IFERROR(__xludf.DUMMYFUNCTION("""COMPUTED_VALUE"""),2.0)</f>
        <v>2</v>
      </c>
      <c r="G43" s="538" t="str">
        <f>IFERROR(__xludf.DUMMYFUNCTION("""COMPUTED_VALUE"""),"Glowing Face Wash")</f>
        <v>Glowing Face Wash</v>
      </c>
      <c r="H43" s="463" t="str">
        <f>IFERROR(__xludf.DUMMYFUNCTION("""COMPUTED_VALUE"""),"Sampai")</f>
        <v>Sampai</v>
      </c>
      <c r="I43" s="546" t="str">
        <f>IFERROR(__xludf.DUMMYFUNCTION("""COMPUTED_VALUE""")," Concept 1")</f>
        <v> Concept 1</v>
      </c>
      <c r="J43" s="540" t="str">
        <f>IFERROR(__xludf.DUMMYFUNCTION("""COMPUTED_VALUE"""),"https://vt.tiktok.com/ZS9S2EPxm/ ")</f>
        <v>https://vt.tiktok.com/ZS9S2EPxm/ </v>
      </c>
      <c r="K43" s="312" t="str">
        <f>IFERROR(__xludf.DUMMYFUNCTION("""COMPUTED_VALUE"""),"#p6SVRSBzNwpQyrWaqElIMl8RQqPiwpe1SMtxM36U0HRpV+xEeo2xt+uaiXtSUZ0=")</f>
        <v>#p6SVRSBzNwpQyrWaqElIMl8RQqPiwpe1SMtxM36U0HRpV+xEeo2xt+uaiXtSUZ0=</v>
      </c>
      <c r="L43" s="546" t="str">
        <f>IFERROR(__xludf.DUMMYFUNCTION("""COMPUTED_VALUE""")," Concept 1")</f>
        <v> Concept 1</v>
      </c>
      <c r="M43" s="540" t="str">
        <f>IFERROR(__xludf.DUMMYFUNCTION("""COMPUTED_VALUE"""),"https://vt.tiktok.com/ZS9XQ5RjH/ ")</f>
        <v>https://vt.tiktok.com/ZS9XQ5RjH/ </v>
      </c>
      <c r="N43" s="541" t="str">
        <f>IFERROR(__xludf.DUMMYFUNCTION("""COMPUTED_VALUE"""),"#7ddd2ka/DPCvrNhKUSVOPcFdpa/NCuPIdx4M2gHnDhX12jniGHWa86LejXNRxaI=")</f>
        <v>#7ddd2ka/DPCvrNhKUSVOPcFdpa/NCuPIdx4M2gHnDhX12jniGHWa86LejXNRxaI=</v>
      </c>
      <c r="O43" s="540" t="str">
        <f>IFERROR(__xludf.DUMMYFUNCTION("""COMPUTED_VALUE"""),"https://vt.tiktok.com/ZS93pgXhN/ ")</f>
        <v>https://vt.tiktok.com/ZS93pgXhN/ </v>
      </c>
      <c r="P43" s="541" t="str">
        <f>IFERROR(__xludf.DUMMYFUNCTION("""COMPUTED_VALUE"""),"#UdWhqeGp3z44Yi6k6f89O1U+NrDQ06RMTqHoHOtnuYCc6V8oRLOJttlmSCOFQ3Q=")</f>
        <v>#UdWhqeGp3z44Yi6k6f89O1U+NrDQ06RMTqHoHOtnuYCc6V8oRLOJttlmSCOFQ3Q=</v>
      </c>
      <c r="Q43" s="312"/>
      <c r="R43" s="286"/>
      <c r="S43" s="286"/>
      <c r="T43" s="286"/>
      <c r="U43" s="286"/>
      <c r="V43" s="286"/>
      <c r="W43" s="286"/>
      <c r="X43" s="286"/>
      <c r="Y43" s="286"/>
      <c r="Z43" s="286"/>
      <c r="AA43" s="286"/>
      <c r="AB43" s="286"/>
    </row>
    <row r="44">
      <c r="A44" s="307" t="str">
        <f>IFERROR(__xludf.DUMMYFUNCTION("""COMPUTED_VALUE"""),"MACRO")</f>
        <v>MACRO</v>
      </c>
      <c r="B44" s="318" t="str">
        <f>IFERROR(__xludf.DUMMYFUNCTION("""COMPUTED_VALUE"""),"elzahiraa25")</f>
        <v>elzahiraa25</v>
      </c>
      <c r="C44" s="535" t="str">
        <f>IFERROR(__xludf.DUMMYFUNCTION("""COMPUTED_VALUE"""),"https://www.tiktok.com/@elzahiraa25")</f>
        <v>https://www.tiktok.com/@elzahiraa25</v>
      </c>
      <c r="D44" s="316">
        <f>IFERROR(__xludf.DUMMYFUNCTION("""COMPUTED_VALUE"""),8.979443408E9)</f>
        <v>8979443408</v>
      </c>
      <c r="E44" s="545">
        <f>IFERROR(__xludf.DUMMYFUNCTION("""COMPUTED_VALUE"""),150000.0)</f>
        <v>150000</v>
      </c>
      <c r="F44" s="316">
        <f>IFERROR(__xludf.DUMMYFUNCTION("""COMPUTED_VALUE"""),2.0)</f>
        <v>2</v>
      </c>
      <c r="G44" s="538" t="str">
        <f>IFERROR(__xludf.DUMMYFUNCTION("""COMPUTED_VALUE"""),"Glowing Face Wash")</f>
        <v>Glowing Face Wash</v>
      </c>
      <c r="H44" s="463" t="str">
        <f>IFERROR(__xludf.DUMMYFUNCTION("""COMPUTED_VALUE"""),"Sampai")</f>
        <v>Sampai</v>
      </c>
      <c r="I44" s="546" t="str">
        <f>IFERROR(__xludf.DUMMYFUNCTION("""COMPUTED_VALUE"""),"Concept 2")</f>
        <v>Concept 2</v>
      </c>
      <c r="J44" s="540" t="str">
        <f>IFERROR(__xludf.DUMMYFUNCTION("""COMPUTED_VALUE"""),"https://vt.tiktok.com/ZS96Mgetf/")</f>
        <v>https://vt.tiktok.com/ZS96Mgetf/</v>
      </c>
      <c r="K44" s="312" t="str">
        <f>IFERROR(__xludf.DUMMYFUNCTION("""COMPUTED_VALUE"""),"#12d6wUQCX/56iLMo4Gv6OdhCiu1wROS0E3VjGNZIjZK1Dad6Rw8JqbTlYwEaSE8=")</f>
        <v>#12d6wUQCX/56iLMo4Gv6OdhCiu1wROS0E3VjGNZIjZK1Dad6Rw8JqbTlYwEaSE8=</v>
      </c>
      <c r="L44" s="546" t="str">
        <f>IFERROR(__xludf.DUMMYFUNCTION("""COMPUTED_VALUE"""),"Concept 3")</f>
        <v>Concept 3</v>
      </c>
      <c r="M44" s="540" t="str">
        <f>IFERROR(__xludf.DUMMYFUNCTION("""COMPUTED_VALUE"""),"https://vt.tiktok.com/ZS9Snx7wC/ ")</f>
        <v>https://vt.tiktok.com/ZS9Snx7wC/ </v>
      </c>
      <c r="N44" s="541" t="str">
        <f>IFERROR(__xludf.DUMMYFUNCTION("""COMPUTED_VALUE"""),"#8zV//DgR8T+aLNGDjcGaoAsLajOCVN4qhGOZXS98f5j5L7lsEuI+hpSYfbyNww4=")</f>
        <v>#8zV//DgR8T+aLNGDjcGaoAsLajOCVN4qhGOZXS98f5j5L7lsEuI+hpSYfbyNww4=</v>
      </c>
      <c r="O44" s="541"/>
      <c r="P44" s="541"/>
      <c r="Q44" s="312"/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286"/>
    </row>
    <row r="45">
      <c r="A45" s="307" t="str">
        <f>IFERROR(__xludf.DUMMYFUNCTION("""COMPUTED_VALUE"""),"MICRO")</f>
        <v>MICRO</v>
      </c>
      <c r="B45" s="318" t="str">
        <f>IFERROR(__xludf.DUMMYFUNCTION("""COMPUTED_VALUE"""),"nurnnyas")</f>
        <v>nurnnyas</v>
      </c>
      <c r="C45" s="535" t="str">
        <f>IFERROR(__xludf.DUMMYFUNCTION("""COMPUTED_VALUE"""),"https://www.tiktok.com/@nurnnyas")</f>
        <v>https://www.tiktok.com/@nurnnyas</v>
      </c>
      <c r="D45" s="316">
        <f>IFERROR(__xludf.DUMMYFUNCTION("""COMPUTED_VALUE"""),8.9690789074E10)</f>
        <v>89690789074</v>
      </c>
      <c r="E45" s="545">
        <f>IFERROR(__xludf.DUMMYFUNCTION("""COMPUTED_VALUE"""),150000.0)</f>
        <v>150000</v>
      </c>
      <c r="F45" s="316">
        <f>IFERROR(__xludf.DUMMYFUNCTION("""COMPUTED_VALUE"""),2.0)</f>
        <v>2</v>
      </c>
      <c r="G45" s="538" t="str">
        <f>IFERROR(__xludf.DUMMYFUNCTION("""COMPUTED_VALUE"""),"Glowing Face Wash")</f>
        <v>Glowing Face Wash</v>
      </c>
      <c r="H45" s="463" t="str">
        <f>IFERROR(__xludf.DUMMYFUNCTION("""COMPUTED_VALUE"""),"Sampai")</f>
        <v>Sampai</v>
      </c>
      <c r="I45" s="546" t="str">
        <f>IFERROR(__xludf.DUMMYFUNCTION("""COMPUTED_VALUE""")," Concept 1")</f>
        <v> Concept 1</v>
      </c>
      <c r="J45" s="540" t="str">
        <f>IFERROR(__xludf.DUMMYFUNCTION("""COMPUTED_VALUE"""),"https://vt.tiktok.com/ZSQerrnak/ ")</f>
        <v>https://vt.tiktok.com/ZSQerrnak/ </v>
      </c>
      <c r="K45" s="312"/>
      <c r="L45" s="546"/>
      <c r="M45" s="541"/>
      <c r="N45" s="541"/>
      <c r="O45" s="541"/>
      <c r="P45" s="541"/>
      <c r="Q45" s="312"/>
      <c r="R45" s="286"/>
      <c r="S45" s="286"/>
      <c r="T45" s="286"/>
      <c r="U45" s="286"/>
      <c r="V45" s="286"/>
      <c r="W45" s="286"/>
      <c r="X45" s="286"/>
      <c r="Y45" s="286"/>
      <c r="Z45" s="286"/>
      <c r="AA45" s="286"/>
      <c r="AB45" s="286"/>
    </row>
    <row r="46">
      <c r="A46" s="307" t="str">
        <f>IFERROR(__xludf.DUMMYFUNCTION("""COMPUTED_VALUE"""),"MICRO")</f>
        <v>MICRO</v>
      </c>
      <c r="B46" s="318" t="str">
        <f>IFERROR(__xludf.DUMMYFUNCTION("""COMPUTED_VALUE"""),"nris9")</f>
        <v>nris9</v>
      </c>
      <c r="C46" s="535" t="str">
        <f>IFERROR(__xludf.DUMMYFUNCTION("""COMPUTED_VALUE"""),"https://www.tiktok.com/@nris9")</f>
        <v>https://www.tiktok.com/@nris9</v>
      </c>
      <c r="D46" s="316">
        <f>IFERROR(__xludf.DUMMYFUNCTION("""COMPUTED_VALUE"""),8.7721316159E10)</f>
        <v>87721316159</v>
      </c>
      <c r="E46" s="545">
        <f>IFERROR(__xludf.DUMMYFUNCTION("""COMPUTED_VALUE"""),250000.0)</f>
        <v>250000</v>
      </c>
      <c r="F46" s="316">
        <f>IFERROR(__xludf.DUMMYFUNCTION("""COMPUTED_VALUE"""),2.0)</f>
        <v>2</v>
      </c>
      <c r="G46" s="538" t="str">
        <f>IFERROR(__xludf.DUMMYFUNCTION("""COMPUTED_VALUE"""),"Acne Face Wash")</f>
        <v>Acne Face Wash</v>
      </c>
      <c r="H46" s="463" t="str">
        <f>IFERROR(__xludf.DUMMYFUNCTION("""COMPUTED_VALUE"""),"Sampai")</f>
        <v>Sampai</v>
      </c>
      <c r="I46" s="546" t="str">
        <f>IFERROR(__xludf.DUMMYFUNCTION("""COMPUTED_VALUE""")," Concept 1")</f>
        <v> Concept 1</v>
      </c>
      <c r="J46" s="540" t="str">
        <f>IFERROR(__xludf.DUMMYFUNCTION("""COMPUTED_VALUE"""),"https://vt.tiktok.com/ZS9e9FRqk/ ")</f>
        <v>https://vt.tiktok.com/ZS9e9FRqk/ </v>
      </c>
      <c r="K46" s="312" t="str">
        <f>IFERROR(__xludf.DUMMYFUNCTION("""COMPUTED_VALUE"""),"#fAuoe6u3XFl8izrpehQHIr+n9+Juf55ueUUCafJSjIyPX0m1LfsvH0zlJTxeUAI=")</f>
        <v>#fAuoe6u3XFl8izrpehQHIr+n9+Juf55ueUUCafJSjIyPX0m1LfsvH0zlJTxeUAI=</v>
      </c>
      <c r="L46" s="546" t="str">
        <f>IFERROR(__xludf.DUMMYFUNCTION("""COMPUTED_VALUE"""),"Concept 2")</f>
        <v>Concept 2</v>
      </c>
      <c r="M46" s="540" t="str">
        <f>IFERROR(__xludf.DUMMYFUNCTION("""COMPUTED_VALUE"""),"https://vt.tiktok.com/ZS9NyrYft/ ")</f>
        <v>https://vt.tiktok.com/ZS9NyrYft/ </v>
      </c>
      <c r="N46" s="541" t="str">
        <f>IFERROR(__xludf.DUMMYFUNCTION("""COMPUTED_VALUE"""),"#3Ovw6yk1Z84xPA/IRZGKFLEgkjGBTA8kfgcWr1dA+z0aWmROFCSTfk2IK3EwneQ=")</f>
        <v>#3Ovw6yk1Z84xPA/IRZGKFLEgkjGBTA8kfgcWr1dA+z0aWmROFCSTfk2IK3EwneQ=</v>
      </c>
      <c r="O46" s="541"/>
      <c r="P46" s="541"/>
      <c r="Q46" s="312"/>
      <c r="R46" s="286"/>
      <c r="S46" s="286"/>
      <c r="T46" s="286"/>
      <c r="U46" s="286"/>
      <c r="V46" s="286"/>
      <c r="W46" s="286"/>
      <c r="X46" s="286"/>
      <c r="Y46" s="286"/>
      <c r="Z46" s="286"/>
      <c r="AA46" s="286"/>
      <c r="AB46" s="286"/>
    </row>
    <row r="47">
      <c r="A47" s="307" t="str">
        <f>IFERROR(__xludf.DUMMYFUNCTION("""COMPUTED_VALUE"""),"MICRO")</f>
        <v>MICRO</v>
      </c>
      <c r="B47" s="318" t="str">
        <f>IFERROR(__xludf.DUMMYFUNCTION("""COMPUTED_VALUE"""),"ferenaceta")</f>
        <v>ferenaceta</v>
      </c>
      <c r="C47" s="535" t="str">
        <f>IFERROR(__xludf.DUMMYFUNCTION("""COMPUTED_VALUE"""),"https://www.tiktok.com/@ferenaceta")</f>
        <v>https://www.tiktok.com/@ferenaceta</v>
      </c>
      <c r="D47" s="316">
        <f>IFERROR(__xludf.DUMMYFUNCTION("""COMPUTED_VALUE"""),8.95705700911E11)</f>
        <v>895705700911</v>
      </c>
      <c r="E47" s="545">
        <f>IFERROR(__xludf.DUMMYFUNCTION("""COMPUTED_VALUE"""),150000.0)</f>
        <v>150000</v>
      </c>
      <c r="F47" s="316">
        <f>IFERROR(__xludf.DUMMYFUNCTION("""COMPUTED_VALUE"""),2.0)</f>
        <v>2</v>
      </c>
      <c r="G47" s="538" t="str">
        <f>IFERROR(__xludf.DUMMYFUNCTION("""COMPUTED_VALUE"""),"Acne Face Wash")</f>
        <v>Acne Face Wash</v>
      </c>
      <c r="H47" s="463" t="str">
        <f>IFERROR(__xludf.DUMMYFUNCTION("""COMPUTED_VALUE"""),"Sampai")</f>
        <v>Sampai</v>
      </c>
      <c r="I47" s="546" t="str">
        <f>IFERROR(__xludf.DUMMYFUNCTION("""COMPUTED_VALUE"""),"Concept 2")</f>
        <v>Concept 2</v>
      </c>
      <c r="J47" s="540" t="str">
        <f>IFERROR(__xludf.DUMMYFUNCTION("""COMPUTED_VALUE"""),"https://vt.tiktok.com/ZSHyktPQL/ ")</f>
        <v>https://vt.tiktok.com/ZSHyktPQL/ </v>
      </c>
      <c r="K47" s="312" t="str">
        <f>IFERROR(__xludf.DUMMYFUNCTION("""COMPUTED_VALUE"""),"#xBeX6YbAIt7CTdE++y+vAGgzskmqeBBxLSlzyw4YXK625YuOUtLozmbaVrB1MUk=")</f>
        <v>#xBeX6YbAIt7CTdE++y+vAGgzskmqeBBxLSlzyw4YXK625YuOUtLozmbaVrB1MUk=</v>
      </c>
      <c r="L47" s="546" t="str">
        <f>IFERROR(__xludf.DUMMYFUNCTION("""COMPUTED_VALUE""")," Concept 1")</f>
        <v> Concept 1</v>
      </c>
      <c r="M47" s="540" t="str">
        <f>IFERROR(__xludf.DUMMYFUNCTION("""COMPUTED_VALUE"""),"https://vt.tiktok.com/ZSHXDPkRL/ ")</f>
        <v>https://vt.tiktok.com/ZSHXDPkRL/ </v>
      </c>
      <c r="N47" s="541" t="str">
        <f>IFERROR(__xludf.DUMMYFUNCTION("""COMPUTED_VALUE"""),"#8o1qO0QneJMa8pfgGwgRYe/Rtz+8mdvLOA/Q1BKlQmLuxnvOkDuhagbhvgfdGGY=")</f>
        <v>#8o1qO0QneJMa8pfgGwgRYe/Rtz+8mdvLOA/Q1BKlQmLuxnvOkDuhagbhvgfdGGY=</v>
      </c>
      <c r="O47" s="541"/>
      <c r="P47" s="541"/>
      <c r="Q47" s="312"/>
      <c r="R47" s="286"/>
      <c r="S47" s="286"/>
      <c r="T47" s="286"/>
      <c r="U47" s="286"/>
      <c r="V47" s="286"/>
      <c r="W47" s="286"/>
      <c r="X47" s="286"/>
      <c r="Y47" s="286"/>
      <c r="Z47" s="286"/>
      <c r="AA47" s="286"/>
      <c r="AB47" s="286"/>
    </row>
    <row r="48">
      <c r="A48" s="307" t="str">
        <f>IFERROR(__xludf.DUMMYFUNCTION("""COMPUTED_VALUE"""),"MICRO")</f>
        <v>MICRO</v>
      </c>
      <c r="B48" s="318" t="str">
        <f>IFERROR(__xludf.DUMMYFUNCTION("""COMPUTED_VALUE"""),"fitrianahisnainy")</f>
        <v>fitrianahisnainy</v>
      </c>
      <c r="C48" s="535" t="str">
        <f>IFERROR(__xludf.DUMMYFUNCTION("""COMPUTED_VALUE"""),"https://www.tiktok.com/@fitrianahisnainy")</f>
        <v>https://www.tiktok.com/@fitrianahisnainy</v>
      </c>
      <c r="D48" s="316">
        <f>IFERROR(__xludf.DUMMYFUNCTION("""COMPUTED_VALUE"""),8.5210191147E10)</f>
        <v>85210191147</v>
      </c>
      <c r="E48" s="545">
        <f>IFERROR(__xludf.DUMMYFUNCTION("""COMPUTED_VALUE"""),300000.0)</f>
        <v>300000</v>
      </c>
      <c r="F48" s="316">
        <f>IFERROR(__xludf.DUMMYFUNCTION("""COMPUTED_VALUE"""),2.0)</f>
        <v>2</v>
      </c>
      <c r="G48" s="538" t="str">
        <f>IFERROR(__xludf.DUMMYFUNCTION("""COMPUTED_VALUE"""),"Acne Face Wash")</f>
        <v>Acne Face Wash</v>
      </c>
      <c r="H48" s="463" t="str">
        <f>IFERROR(__xludf.DUMMYFUNCTION("""COMPUTED_VALUE"""),"Sampai")</f>
        <v>Sampai</v>
      </c>
      <c r="I48" s="546" t="str">
        <f>IFERROR(__xludf.DUMMYFUNCTION("""COMPUTED_VALUE"""),"Concept 3")</f>
        <v>Concept 3</v>
      </c>
      <c r="J48" s="540" t="str">
        <f>IFERROR(__xludf.DUMMYFUNCTION("""COMPUTED_VALUE"""),"https://vt.tiktok.com/ZS94Sqmxa/ ")</f>
        <v>https://vt.tiktok.com/ZS94Sqmxa/ </v>
      </c>
      <c r="K48" s="312" t="str">
        <f>IFERROR(__xludf.DUMMYFUNCTION("""COMPUTED_VALUE"""),"#jfn5lLtE6Ak6JtY+4BwE7GoJ8ycImRzL6607FcJpc6/jq+fcbU4AJ7KFj8jVNvU=")</f>
        <v>#jfn5lLtE6Ak6JtY+4BwE7GoJ8ycImRzL6607FcJpc6/jq+fcbU4AJ7KFj8jVNvU=</v>
      </c>
      <c r="L48" s="546" t="str">
        <f>IFERROR(__xludf.DUMMYFUNCTION("""COMPUTED_VALUE""")," Concept 1")</f>
        <v> Concept 1</v>
      </c>
      <c r="M48" s="540" t="str">
        <f>IFERROR(__xludf.DUMMYFUNCTION("""COMPUTED_VALUE"""),"https://vt.tiktok.com/ZSx6YafL1/ ")</f>
        <v>https://vt.tiktok.com/ZSx6YafL1/ </v>
      </c>
      <c r="N48" s="541" t="str">
        <f>IFERROR(__xludf.DUMMYFUNCTION("""COMPUTED_VALUE"""),"#n2ZDaBwNkkuUTlY5xd1nIva2iC6Xc3DdTaIXqXOZEr7EJZYxit7RJ1y7r63ufDw=")</f>
        <v>#n2ZDaBwNkkuUTlY5xd1nIva2iC6Xc3DdTaIXqXOZEr7EJZYxit7RJ1y7r63ufDw=</v>
      </c>
      <c r="O48" s="541"/>
      <c r="P48" s="541"/>
      <c r="Q48" s="312"/>
      <c r="R48" s="286"/>
      <c r="S48" s="286"/>
      <c r="T48" s="286"/>
      <c r="U48" s="286"/>
      <c r="V48" s="286"/>
      <c r="W48" s="286"/>
      <c r="X48" s="286"/>
      <c r="Y48" s="286"/>
      <c r="Z48" s="286"/>
      <c r="AA48" s="286"/>
      <c r="AB48" s="286"/>
    </row>
    <row r="49">
      <c r="A49" s="307" t="str">
        <f>IFERROR(__xludf.DUMMYFUNCTION("""COMPUTED_VALUE"""),"MICRO")</f>
        <v>MICRO</v>
      </c>
      <c r="B49" s="318" t="str">
        <f>IFERROR(__xludf.DUMMYFUNCTION("""COMPUTED_VALUE"""),"ayla19553")</f>
        <v>ayla19553</v>
      </c>
      <c r="C49" s="535" t="str">
        <f>IFERROR(__xludf.DUMMYFUNCTION("""COMPUTED_VALUE"""),"https://www.tiktok.com/@ayla19553")</f>
        <v>https://www.tiktok.com/@ayla19553</v>
      </c>
      <c r="D49" s="316">
        <f>IFERROR(__xludf.DUMMYFUNCTION("""COMPUTED_VALUE"""),8.1332677895E10)</f>
        <v>81332677895</v>
      </c>
      <c r="E49" s="545">
        <f>IFERROR(__xludf.DUMMYFUNCTION("""COMPUTED_VALUE"""),50000.0)</f>
        <v>50000</v>
      </c>
      <c r="F49" s="316">
        <f>IFERROR(__xludf.DUMMYFUNCTION("""COMPUTED_VALUE"""),2.0)</f>
        <v>2</v>
      </c>
      <c r="G49" s="538" t="str">
        <f>IFERROR(__xludf.DUMMYFUNCTION("""COMPUTED_VALUE"""),"Glowing Face Wash")</f>
        <v>Glowing Face Wash</v>
      </c>
      <c r="H49" s="463" t="str">
        <f>IFERROR(__xludf.DUMMYFUNCTION("""COMPUTED_VALUE"""),"Sampai")</f>
        <v>Sampai</v>
      </c>
      <c r="I49" s="546" t="str">
        <f>IFERROR(__xludf.DUMMYFUNCTION("""COMPUTED_VALUE"""),"Concept 2")</f>
        <v>Concept 2</v>
      </c>
      <c r="J49" s="540" t="str">
        <f>IFERROR(__xludf.DUMMYFUNCTION("""COMPUTED_VALUE"""),"https://vt.tiktok.com/ZS9rmMKDB/")</f>
        <v>https://vt.tiktok.com/ZS9rmMKDB/</v>
      </c>
      <c r="K49" s="312" t="str">
        <f>IFERROR(__xludf.DUMMYFUNCTION("""COMPUTED_VALUE"""),"#qKjfGJDqnGWSTlcWdeRXA1UlbyHme3SswEYCrcczbw3t3xUF5BP1c07KOwXrY8c=")</f>
        <v>#qKjfGJDqnGWSTlcWdeRXA1UlbyHme3SswEYCrcczbw3t3xUF5BP1c07KOwXrY8c=</v>
      </c>
      <c r="L49" s="546" t="str">
        <f>IFERROR(__xludf.DUMMYFUNCTION("""COMPUTED_VALUE"""),"Concept 3")</f>
        <v>Concept 3</v>
      </c>
      <c r="M49" s="540" t="str">
        <f>IFERROR(__xludf.DUMMYFUNCTION("""COMPUTED_VALUE"""),"https://vt.tiktok.com/ZS997t783/ ")</f>
        <v>https://vt.tiktok.com/ZS997t783/ </v>
      </c>
      <c r="N49" s="541" t="str">
        <f>IFERROR(__xludf.DUMMYFUNCTION("""COMPUTED_VALUE"""),"#i4JMHzwGzNH9vS1ERsunqPBy67S6I7KWjlCBhD/vXNbRixVGfmBoP4AI41dcG3s=")</f>
        <v>#i4JMHzwGzNH9vS1ERsunqPBy67S6I7KWjlCBhD/vXNbRixVGfmBoP4AI41dcG3s=</v>
      </c>
      <c r="O49" s="541"/>
      <c r="P49" s="541"/>
      <c r="Q49" s="312"/>
      <c r="R49" s="286"/>
      <c r="S49" s="286"/>
      <c r="T49" s="286"/>
      <c r="U49" s="286"/>
      <c r="V49" s="286"/>
      <c r="W49" s="286"/>
      <c r="X49" s="286"/>
      <c r="Y49" s="286"/>
      <c r="Z49" s="286"/>
      <c r="AA49" s="286"/>
      <c r="AB49" s="286"/>
    </row>
    <row r="50">
      <c r="A50" s="307" t="str">
        <f>IFERROR(__xludf.DUMMYFUNCTION("""COMPUTED_VALUE"""),"MICRO")</f>
        <v>MICRO</v>
      </c>
      <c r="B50" s="318" t="str">
        <f>IFERROR(__xludf.DUMMYFUNCTION("""COMPUTED_VALUE"""),"cherry_review21")</f>
        <v>cherry_review21</v>
      </c>
      <c r="C50" s="535" t="str">
        <f>IFERROR(__xludf.DUMMYFUNCTION("""COMPUTED_VALUE"""),"https://www.tiktok.com/@cherry_review21")</f>
        <v>https://www.tiktok.com/@cherry_review21</v>
      </c>
      <c r="D50" s="316">
        <f>IFERROR(__xludf.DUMMYFUNCTION("""COMPUTED_VALUE"""),8.5714778994E10)</f>
        <v>85714778994</v>
      </c>
      <c r="E50" s="545">
        <f>IFERROR(__xludf.DUMMYFUNCTION("""COMPUTED_VALUE"""),50000.0)</f>
        <v>50000</v>
      </c>
      <c r="F50" s="316">
        <f>IFERROR(__xludf.DUMMYFUNCTION("""COMPUTED_VALUE"""),2.0)</f>
        <v>2</v>
      </c>
      <c r="G50" s="538" t="str">
        <f>IFERROR(__xludf.DUMMYFUNCTION("""COMPUTED_VALUE"""),"Glowing Face Wash")</f>
        <v>Glowing Face Wash</v>
      </c>
      <c r="H50" s="463" t="str">
        <f>IFERROR(__xludf.DUMMYFUNCTION("""COMPUTED_VALUE"""),"Sampai")</f>
        <v>Sampai</v>
      </c>
      <c r="I50" s="546" t="str">
        <f>IFERROR(__xludf.DUMMYFUNCTION("""COMPUTED_VALUE""")," Concept 1")</f>
        <v> Concept 1</v>
      </c>
      <c r="J50" s="540" t="str">
        <f>IFERROR(__xludf.DUMMYFUNCTION("""COMPUTED_VALUE"""),"https://vt.tiktok.com/ZS9yXoa2t/ ")</f>
        <v>https://vt.tiktok.com/ZS9yXoa2t/ </v>
      </c>
      <c r="K50" s="312" t="str">
        <f>IFERROR(__xludf.DUMMYFUNCTION("""COMPUTED_VALUE"""),"#4uZJKuFLKDozTT+xr63HPVBu16gmFHYYNJyXRYZWGgbMHkoyLKWpN19Q7/7vMYo=")</f>
        <v>#4uZJKuFLKDozTT+xr63HPVBu16gmFHYYNJyXRYZWGgbMHkoyLKWpN19Q7/7vMYo=</v>
      </c>
      <c r="L50" s="546" t="str">
        <f>IFERROR(__xludf.DUMMYFUNCTION("""COMPUTED_VALUE"""),"Concept 2")</f>
        <v>Concept 2</v>
      </c>
      <c r="M50" s="540" t="str">
        <f>IFERROR(__xludf.DUMMYFUNCTION("""COMPUTED_VALUE"""),"https://vt.tiktok.com/ZS9xJEfvn/ ")</f>
        <v>https://vt.tiktok.com/ZS9xJEfvn/ </v>
      </c>
      <c r="N50" s="541" t="str">
        <f>IFERROR(__xludf.DUMMYFUNCTION("""COMPUTED_VALUE"""),"#p9EsHV7asoaZmb7Ah9KewcXYdt30EUq+zm8xfxxaqJclrEZGWMmFTid/VcOuIlg=")</f>
        <v>#p9EsHV7asoaZmb7Ah9KewcXYdt30EUq+zm8xfxxaqJclrEZGWMmFTid/VcOuIlg=</v>
      </c>
      <c r="O50" s="541"/>
      <c r="P50" s="541"/>
      <c r="Q50" s="312"/>
      <c r="R50" s="286"/>
      <c r="S50" s="286"/>
      <c r="T50" s="286"/>
      <c r="U50" s="286"/>
      <c r="V50" s="286"/>
      <c r="W50" s="286"/>
      <c r="X50" s="286"/>
      <c r="Y50" s="286"/>
      <c r="Z50" s="286"/>
      <c r="AA50" s="286"/>
      <c r="AB50" s="286"/>
    </row>
    <row r="51">
      <c r="A51" s="307" t="str">
        <f>IFERROR(__xludf.DUMMYFUNCTION("""COMPUTED_VALUE"""),"MICRO")</f>
        <v>MICRO</v>
      </c>
      <c r="B51" s="318" t="str">
        <f>IFERROR(__xludf.DUMMYFUNCTION("""COMPUTED_VALUE"""),"_nonatidore")</f>
        <v>_nonatidore</v>
      </c>
      <c r="C51" s="535" t="str">
        <f>IFERROR(__xludf.DUMMYFUNCTION("""COMPUTED_VALUE"""),"https://www.tiktok.com/@_nonatidore")</f>
        <v>https://www.tiktok.com/@_nonatidore</v>
      </c>
      <c r="D51" s="316">
        <f>IFERROR(__xludf.DUMMYFUNCTION("""COMPUTED_VALUE"""),8.5145141344E10)</f>
        <v>85145141344</v>
      </c>
      <c r="E51" s="545">
        <f>IFERROR(__xludf.DUMMYFUNCTION("""COMPUTED_VALUE"""),0.0)</f>
        <v>0</v>
      </c>
      <c r="F51" s="316">
        <f>IFERROR(__xludf.DUMMYFUNCTION("""COMPUTED_VALUE"""),2.0)</f>
        <v>2</v>
      </c>
      <c r="G51" s="538" t="str">
        <f>IFERROR(__xludf.DUMMYFUNCTION("""COMPUTED_VALUE"""),"Acne Face Wash")</f>
        <v>Acne Face Wash</v>
      </c>
      <c r="H51" s="463" t="str">
        <f>IFERROR(__xludf.DUMMYFUNCTION("""COMPUTED_VALUE"""),"Sampai")</f>
        <v>Sampai</v>
      </c>
      <c r="I51" s="546" t="str">
        <f>IFERROR(__xludf.DUMMYFUNCTION("""COMPUTED_VALUE"""),"Concept 3")</f>
        <v>Concept 3</v>
      </c>
      <c r="J51" s="540" t="str">
        <f>IFERROR(__xludf.DUMMYFUNCTION("""COMPUTED_VALUE"""),"https://vt.tiktok.com/ZS9wTac7c/ ")</f>
        <v>https://vt.tiktok.com/ZS9wTac7c/ </v>
      </c>
      <c r="K51" s="312" t="str">
        <f>IFERROR(__xludf.DUMMYFUNCTION("""COMPUTED_VALUE"""),"#5cUYVSswkAXVXbaKVTVMZUi4TuGAeabDRY9vxjYkjEtzkB+9QqCkonC1xrA3N/g=3.000 m/dtk²")</f>
        <v>#5cUYVSswkAXVXbaKVTVMZUi4TuGAeabDRY9vxjYkjEtzkB+9QqCkonC1xrA3N/g=3.000 m/dtk²</v>
      </c>
      <c r="L51" s="546" t="str">
        <f>IFERROR(__xludf.DUMMYFUNCTION("""COMPUTED_VALUE"""),"Concept 2")</f>
        <v>Concept 2</v>
      </c>
      <c r="M51" s="540" t="str">
        <f>IFERROR(__xludf.DUMMYFUNCTION("""COMPUTED_VALUE"""),"https://vt.tiktok.com/ZSxr63d12/ ")</f>
        <v>https://vt.tiktok.com/ZSxr63d12/ </v>
      </c>
      <c r="N51" s="541" t="str">
        <f>IFERROR(__xludf.DUMMYFUNCTION("""COMPUTED_VALUE"""),"#KCsleQeX00FHY6k30Xyrn20IC8KHw/lPtQ6KjT8P3Ve+VA69ByMp+TmiYwPeW2Q=")</f>
        <v>#KCsleQeX00FHY6k30Xyrn20IC8KHw/lPtQ6KjT8P3Ve+VA69ByMp+TmiYwPeW2Q=</v>
      </c>
      <c r="O51" s="541"/>
      <c r="P51" s="541"/>
      <c r="Q51" s="312"/>
      <c r="R51" s="286"/>
      <c r="S51" s="286"/>
      <c r="T51" s="286"/>
      <c r="U51" s="286"/>
      <c r="V51" s="286"/>
      <c r="W51" s="286"/>
      <c r="X51" s="286"/>
      <c r="Y51" s="286"/>
      <c r="Z51" s="286"/>
      <c r="AA51" s="286"/>
      <c r="AB51" s="286"/>
    </row>
    <row r="52">
      <c r="A52" s="307" t="str">
        <f>IFERROR(__xludf.DUMMYFUNCTION("""COMPUTED_VALUE"""),"MICRO")</f>
        <v>MICRO</v>
      </c>
      <c r="B52" s="318" t="str">
        <f>IFERROR(__xludf.DUMMYFUNCTION("""COMPUTED_VALUE"""),"reviewofbeauty")</f>
        <v>reviewofbeauty</v>
      </c>
      <c r="C52" s="535" t="str">
        <f>IFERROR(__xludf.DUMMYFUNCTION("""COMPUTED_VALUE"""),"https://www.tiktok.com/@reviewofbeauty")</f>
        <v>https://www.tiktok.com/@reviewofbeauty</v>
      </c>
      <c r="D52" s="316">
        <f>IFERROR(__xludf.DUMMYFUNCTION("""COMPUTED_VALUE"""),8.9518532655E10)</f>
        <v>89518532655</v>
      </c>
      <c r="E52" s="545">
        <f>IFERROR(__xludf.DUMMYFUNCTION("""COMPUTED_VALUE"""),400000.0)</f>
        <v>400000</v>
      </c>
      <c r="F52" s="316">
        <f>IFERROR(__xludf.DUMMYFUNCTION("""COMPUTED_VALUE"""),2.0)</f>
        <v>2</v>
      </c>
      <c r="G52" s="538" t="str">
        <f>IFERROR(__xludf.DUMMYFUNCTION("""COMPUTED_VALUE"""),"Glowing Face Wash")</f>
        <v>Glowing Face Wash</v>
      </c>
      <c r="H52" s="463" t="str">
        <f>IFERROR(__xludf.DUMMYFUNCTION("""COMPUTED_VALUE"""),"Sampai")</f>
        <v>Sampai</v>
      </c>
      <c r="I52" s="546" t="str">
        <f>IFERROR(__xludf.DUMMYFUNCTION("""COMPUTED_VALUE"""),"Concept 2")</f>
        <v>Concept 2</v>
      </c>
      <c r="J52" s="540" t="str">
        <f>IFERROR(__xludf.DUMMYFUNCTION("""COMPUTED_VALUE"""),"https://vt.tiktok.com/ZS9YErnr1/ ")</f>
        <v>https://vt.tiktok.com/ZS9YErnr1/ </v>
      </c>
      <c r="K52" s="312" t="str">
        <f>IFERROR(__xludf.DUMMYFUNCTION("""COMPUTED_VALUE"""),"#f4U9y5yoqrr9+CeAdjN9KHKM3PpAOp1dI7knHA6E/HFzSUMvVTzx4nWhEO1yez0=")</f>
        <v>#f4U9y5yoqrr9+CeAdjN9KHKM3PpAOp1dI7knHA6E/HFzSUMvVTzx4nWhEO1yez0=</v>
      </c>
      <c r="L52" s="546" t="str">
        <f>IFERROR(__xludf.DUMMYFUNCTION("""COMPUTED_VALUE""")," Concept 1")</f>
        <v> Concept 1</v>
      </c>
      <c r="M52" s="540" t="str">
        <f>IFERROR(__xludf.DUMMYFUNCTION("""COMPUTED_VALUE"""),"https://vt.tiktok.com/ZS9A2jpS8/ ")</f>
        <v>https://vt.tiktok.com/ZS9A2jpS8/ </v>
      </c>
      <c r="N52" s="541" t="str">
        <f>IFERROR(__xludf.DUMMYFUNCTION("""COMPUTED_VALUE"""),"#Q5mLr40q4rnpXniHKTpuPKs5uIfB531ioXQXK6gTNjv7KHUiFIot+cLO1W+laA8=")</f>
        <v>#Q5mLr40q4rnpXniHKTpuPKs5uIfB531ioXQXK6gTNjv7KHUiFIot+cLO1W+laA8=</v>
      </c>
      <c r="O52" s="541"/>
      <c r="P52" s="541"/>
      <c r="Q52" s="312"/>
      <c r="R52" s="286"/>
      <c r="S52" s="286"/>
      <c r="T52" s="286"/>
      <c r="U52" s="286"/>
      <c r="V52" s="286"/>
      <c r="W52" s="286"/>
      <c r="X52" s="286"/>
      <c r="Y52" s="286"/>
      <c r="Z52" s="286"/>
      <c r="AA52" s="286"/>
      <c r="AB52" s="286"/>
    </row>
    <row r="53">
      <c r="A53" s="307" t="str">
        <f>IFERROR(__xludf.DUMMYFUNCTION("""COMPUTED_VALUE"""),"MICRO")</f>
        <v>MICRO</v>
      </c>
      <c r="B53" s="318" t="str">
        <f>IFERROR(__xludf.DUMMYFUNCTION("""COMPUTED_VALUE"""),"andiniekaputri2211")</f>
        <v>andiniekaputri2211</v>
      </c>
      <c r="C53" s="535" t="str">
        <f>IFERROR(__xludf.DUMMYFUNCTION("""COMPUTED_VALUE"""),"https://www.tiktok.com/@andiniekaputri2211")</f>
        <v>https://www.tiktok.com/@andiniekaputri2211</v>
      </c>
      <c r="D53" s="316">
        <f>IFERROR(__xludf.DUMMYFUNCTION("""COMPUTED_VALUE"""),8.95602165368E11)</f>
        <v>895602165368</v>
      </c>
      <c r="E53" s="545">
        <f>IFERROR(__xludf.DUMMYFUNCTION("""COMPUTED_VALUE"""),250000.0)</f>
        <v>250000</v>
      </c>
      <c r="F53" s="316">
        <f>IFERROR(__xludf.DUMMYFUNCTION("""COMPUTED_VALUE"""),2.0)</f>
        <v>2</v>
      </c>
      <c r="G53" s="538" t="str">
        <f>IFERROR(__xludf.DUMMYFUNCTION("""COMPUTED_VALUE"""),"Glowing Face Wash")</f>
        <v>Glowing Face Wash</v>
      </c>
      <c r="H53" s="463" t="str">
        <f>IFERROR(__xludf.DUMMYFUNCTION("""COMPUTED_VALUE"""),"Sampai")</f>
        <v>Sampai</v>
      </c>
      <c r="I53" s="546" t="str">
        <f>IFERROR(__xludf.DUMMYFUNCTION("""COMPUTED_VALUE""")," Concept 1")</f>
        <v> Concept 1</v>
      </c>
      <c r="J53" s="540" t="str">
        <f>IFERROR(__xludf.DUMMYFUNCTION("""COMPUTED_VALUE"""),"https://vt.tiktok.com/ZSxM56a3y/")</f>
        <v>https://vt.tiktok.com/ZSxM56a3y/</v>
      </c>
      <c r="K53" s="312" t="str">
        <f>IFERROR(__xludf.DUMMYFUNCTION("""COMPUTED_VALUE"""),"#J+S5yLvGfjq/Q6Sr3ES1kKCDLqZsg66zmz6nFm3iAaTQZznRJdkAi0OxXcl0N8k=")</f>
        <v>#J+S5yLvGfjq/Q6Sr3ES1kKCDLqZsg66zmz6nFm3iAaTQZznRJdkAi0OxXcl0N8k=</v>
      </c>
      <c r="L53" s="546" t="str">
        <f>IFERROR(__xludf.DUMMYFUNCTION("""COMPUTED_VALUE"""),"Concept 2")</f>
        <v>Concept 2</v>
      </c>
      <c r="M53" s="540" t="str">
        <f>IFERROR(__xludf.DUMMYFUNCTION("""COMPUTED_VALUE"""),"https://vt.tiktok.com/ZSxEjXYCk/ ")</f>
        <v>https://vt.tiktok.com/ZSxEjXYCk/ </v>
      </c>
      <c r="N53" s="541"/>
      <c r="O53" s="541"/>
      <c r="P53" s="541"/>
      <c r="Q53" s="312"/>
      <c r="R53" s="286"/>
      <c r="S53" s="286"/>
      <c r="T53" s="286"/>
      <c r="U53" s="286"/>
      <c r="V53" s="286"/>
      <c r="W53" s="286"/>
      <c r="X53" s="286"/>
      <c r="Y53" s="286"/>
      <c r="Z53" s="286"/>
      <c r="AA53" s="286"/>
      <c r="AB53" s="286"/>
    </row>
    <row r="54">
      <c r="A54" s="307" t="str">
        <f>IFERROR(__xludf.DUMMYFUNCTION("""COMPUTED_VALUE"""),"MICRO")</f>
        <v>MICRO</v>
      </c>
      <c r="B54" s="318" t="str">
        <f>IFERROR(__xludf.DUMMYFUNCTION("""COMPUTED_VALUE"""),"lohshindy")</f>
        <v>lohshindy</v>
      </c>
      <c r="C54" s="535" t="str">
        <f>IFERROR(__xludf.DUMMYFUNCTION("""COMPUTED_VALUE"""),"https://www.tiktok.com/@lohshindy")</f>
        <v>https://www.tiktok.com/@lohshindy</v>
      </c>
      <c r="D54" s="316">
        <f>IFERROR(__xludf.DUMMYFUNCTION("""COMPUTED_VALUE"""),8.5379984121E10)</f>
        <v>85379984121</v>
      </c>
      <c r="E54" s="545">
        <f>IFERROR(__xludf.DUMMYFUNCTION("""COMPUTED_VALUE"""),300000.0)</f>
        <v>300000</v>
      </c>
      <c r="F54" s="316">
        <f>IFERROR(__xludf.DUMMYFUNCTION("""COMPUTED_VALUE"""),2.0)</f>
        <v>2</v>
      </c>
      <c r="G54" s="538" t="str">
        <f>IFERROR(__xludf.DUMMYFUNCTION("""COMPUTED_VALUE"""),"Acne Face Wash")</f>
        <v>Acne Face Wash</v>
      </c>
      <c r="H54" s="463" t="str">
        <f>IFERROR(__xludf.DUMMYFUNCTION("""COMPUTED_VALUE"""),"Sampai")</f>
        <v>Sampai</v>
      </c>
      <c r="I54" s="546" t="str">
        <f>IFERROR(__xludf.DUMMYFUNCTION("""COMPUTED_VALUE""")," Concept 1")</f>
        <v> Concept 1</v>
      </c>
      <c r="J54" s="540" t="str">
        <f>IFERROR(__xludf.DUMMYFUNCTION("""COMPUTED_VALUE"""),"https://vt.tiktok.com/ZS9gnXWVb/ ")</f>
        <v>https://vt.tiktok.com/ZS9gnXWVb/ </v>
      </c>
      <c r="K54" s="312" t="str">
        <f>IFERROR(__xludf.DUMMYFUNCTION("""COMPUTED_VALUE"""),"#bvQ5TgQpt2tDXlcmuIoaAzpZFUmyg9HSNvTZXmgG+1DIAKZsjOpQeRFC9SqlxTI=")</f>
        <v>#bvQ5TgQpt2tDXlcmuIoaAzpZFUmyg9HSNvTZXmgG+1DIAKZsjOpQeRFC9SqlxTI=</v>
      </c>
      <c r="L54" s="546" t="str">
        <f>IFERROR(__xludf.DUMMYFUNCTION("""COMPUTED_VALUE"""),"Concept 2")</f>
        <v>Concept 2</v>
      </c>
      <c r="M54" s="540" t="str">
        <f>IFERROR(__xludf.DUMMYFUNCTION("""COMPUTED_VALUE"""),"https://vt.tiktok.com/ZS9T6fxCu/ ")</f>
        <v>https://vt.tiktok.com/ZS9T6fxCu/ </v>
      </c>
      <c r="N54" s="541" t="str">
        <f>IFERROR(__xludf.DUMMYFUNCTION("""COMPUTED_VALUE"""),"#n6psCl0ve/Oe4NY5v61KbhgleNsAA4Y5aLFrM98H+BqeZwMFbTBfZ0xcdrYEicA=")</f>
        <v>#n6psCl0ve/Oe4NY5v61KbhgleNsAA4Y5aLFrM98H+BqeZwMFbTBfZ0xcdrYEicA=</v>
      </c>
      <c r="O54" s="541"/>
      <c r="P54" s="541"/>
      <c r="Q54" s="312"/>
      <c r="R54" s="286"/>
      <c r="S54" s="286"/>
      <c r="T54" s="286"/>
      <c r="U54" s="286"/>
      <c r="V54" s="286"/>
      <c r="W54" s="286"/>
      <c r="X54" s="286"/>
      <c r="Y54" s="286"/>
      <c r="Z54" s="286"/>
      <c r="AA54" s="286"/>
      <c r="AB54" s="286"/>
    </row>
    <row r="55">
      <c r="A55" s="307" t="str">
        <f>IFERROR(__xludf.DUMMYFUNCTION("""COMPUTED_VALUE"""),"MICRO")</f>
        <v>MICRO</v>
      </c>
      <c r="B55" s="318" t="str">
        <f>IFERROR(__xludf.DUMMYFUNCTION("""COMPUTED_VALUE"""),"tesazakia")</f>
        <v>tesazakia</v>
      </c>
      <c r="C55" s="535" t="str">
        <f>IFERROR(__xludf.DUMMYFUNCTION("""COMPUTED_VALUE"""),"https://www.tiktok.com/@tesazakia")</f>
        <v>https://www.tiktok.com/@tesazakia</v>
      </c>
      <c r="D55" s="316">
        <f>IFERROR(__xludf.DUMMYFUNCTION("""COMPUTED_VALUE"""),8.523051969E10)</f>
        <v>85230519690</v>
      </c>
      <c r="E55" s="545">
        <f>IFERROR(__xludf.DUMMYFUNCTION("""COMPUTED_VALUE"""),300000.0)</f>
        <v>300000</v>
      </c>
      <c r="F55" s="316">
        <f>IFERROR(__xludf.DUMMYFUNCTION("""COMPUTED_VALUE"""),2.0)</f>
        <v>2</v>
      </c>
      <c r="G55" s="538" t="str">
        <f>IFERROR(__xludf.DUMMYFUNCTION("""COMPUTED_VALUE"""),"Acne Face Wash")</f>
        <v>Acne Face Wash</v>
      </c>
      <c r="H55" s="463" t="str">
        <f>IFERROR(__xludf.DUMMYFUNCTION("""COMPUTED_VALUE"""),"Sampai")</f>
        <v>Sampai</v>
      </c>
      <c r="I55" s="546" t="str">
        <f>IFERROR(__xludf.DUMMYFUNCTION("""COMPUTED_VALUE""")," Concept 1")</f>
        <v> Concept 1</v>
      </c>
      <c r="J55" s="540" t="str">
        <f>IFERROR(__xludf.DUMMYFUNCTION("""COMPUTED_VALUE"""),"https://vt.tiktok.com/ZS9XV6TXX/ ")</f>
        <v>https://vt.tiktok.com/ZS9XV6TXX/ </v>
      </c>
      <c r="K55" s="312" t="str">
        <f>IFERROR(__xludf.DUMMYFUNCTION("""COMPUTED_VALUE"""),"#Eq0e58cmplNixmgylm+VZILc0aYewAKUFD5nOsbaN/uDAqreRi0I2NFHqKYhnTA=")</f>
        <v>#Eq0e58cmplNixmgylm+VZILc0aYewAKUFD5nOsbaN/uDAqreRi0I2NFHqKYhnTA=</v>
      </c>
      <c r="L55" s="546" t="str">
        <f>IFERROR(__xludf.DUMMYFUNCTION("""COMPUTED_VALUE"""),"Concept 2")</f>
        <v>Concept 2</v>
      </c>
      <c r="M55" s="540" t="str">
        <f>IFERROR(__xludf.DUMMYFUNCTION("""COMPUTED_VALUE"""),"https://vt.tiktok.com/ZSx2oJWE7/ ")</f>
        <v>https://vt.tiktok.com/ZSx2oJWE7/ </v>
      </c>
      <c r="N55" s="541" t="str">
        <f>IFERROR(__xludf.DUMMYFUNCTION("""COMPUTED_VALUE"""),"#1zZTMp+dK76xHLjOmZDL6w8RSSV39GdTCzrVtHemYA+K8KKfVShCQ+c9UegbaPE=")</f>
        <v>#1zZTMp+dK76xHLjOmZDL6w8RSSV39GdTCzrVtHemYA+K8KKfVShCQ+c9UegbaPE=</v>
      </c>
      <c r="O55" s="541"/>
      <c r="P55" s="541"/>
      <c r="Q55" s="312"/>
      <c r="R55" s="286"/>
      <c r="S55" s="286"/>
      <c r="T55" s="286"/>
      <c r="U55" s="286"/>
      <c r="V55" s="286"/>
      <c r="W55" s="286"/>
      <c r="X55" s="286"/>
      <c r="Y55" s="286"/>
      <c r="Z55" s="286"/>
      <c r="AA55" s="286"/>
      <c r="AB55" s="286"/>
    </row>
    <row r="56">
      <c r="A56" s="307" t="str">
        <f>IFERROR(__xludf.DUMMYFUNCTION("""COMPUTED_VALUE"""),"MEGA")</f>
        <v>MEGA</v>
      </c>
      <c r="B56" s="318" t="str">
        <f>IFERROR(__xludf.DUMMYFUNCTION("""COMPUTED_VALUE"""),"lehabottoh")</f>
        <v>lehabottoh</v>
      </c>
      <c r="C56" s="535" t="str">
        <f>IFERROR(__xludf.DUMMYFUNCTION("""COMPUTED_VALUE"""),"https://www.tiktok.com/@lehabottoh")</f>
        <v>https://www.tiktok.com/@lehabottoh</v>
      </c>
      <c r="D56" s="316">
        <f>IFERROR(__xludf.DUMMYFUNCTION("""COMPUTED_VALUE"""),8.7820442711E10)</f>
        <v>87820442711</v>
      </c>
      <c r="E56" s="545">
        <f>IFERROR(__xludf.DUMMYFUNCTION("""COMPUTED_VALUE"""),400000.0)</f>
        <v>400000</v>
      </c>
      <c r="F56" s="316">
        <f>IFERROR(__xludf.DUMMYFUNCTION("""COMPUTED_VALUE"""),2.0)</f>
        <v>2</v>
      </c>
      <c r="G56" s="538" t="str">
        <f>IFERROR(__xludf.DUMMYFUNCTION("""COMPUTED_VALUE"""),"Acne Face Wash")</f>
        <v>Acne Face Wash</v>
      </c>
      <c r="H56" s="463" t="str">
        <f>IFERROR(__xludf.DUMMYFUNCTION("""COMPUTED_VALUE"""),"Sampai")</f>
        <v>Sampai</v>
      </c>
      <c r="I56" s="546" t="str">
        <f>IFERROR(__xludf.DUMMYFUNCTION("""COMPUTED_VALUE""")," Concept 1")</f>
        <v> Concept 1</v>
      </c>
      <c r="J56" s="540" t="str">
        <f>IFERROR(__xludf.DUMMYFUNCTION("""COMPUTED_VALUE"""),"https://vt.tiktok.com/ZS9eYBM1f/ ")</f>
        <v>https://vt.tiktok.com/ZS9eYBM1f/ </v>
      </c>
      <c r="K56" s="312" t="str">
        <f>IFERROR(__xludf.DUMMYFUNCTION("""COMPUTED_VALUE"""),"#P5OpWnB7+WpYxVVprsPBswwbOOuvZOz1x1no1XVx3qtD8ALWTklnFJoRwbvB10M=")</f>
        <v>#P5OpWnB7+WpYxVVprsPBswwbOOuvZOz1x1no1XVx3qtD8ALWTklnFJoRwbvB10M=</v>
      </c>
      <c r="L56" s="546" t="str">
        <f>IFERROR(__xludf.DUMMYFUNCTION("""COMPUTED_VALUE"""),"Concept 2")</f>
        <v>Concept 2</v>
      </c>
      <c r="M56" s="540" t="str">
        <f>IFERROR(__xludf.DUMMYFUNCTION("""COMPUTED_VALUE"""),"https://vt.tiktok.com/ZS9NkMmdB/ ")</f>
        <v>https://vt.tiktok.com/ZS9NkMmdB/ </v>
      </c>
      <c r="N56" s="541" t="str">
        <f>IFERROR(__xludf.DUMMYFUNCTION("""COMPUTED_VALUE"""),"#Tq4i3VPdQayTxbqgQ/mzb3GHaBaas8nv3FULg/gC6ot7e0TpHG8yt9NCE4Eeisc=")</f>
        <v>#Tq4i3VPdQayTxbqgQ/mzb3GHaBaas8nv3FULg/gC6ot7e0TpHG8yt9NCE4Eeisc=</v>
      </c>
      <c r="O56" s="541"/>
      <c r="P56" s="541"/>
      <c r="Q56" s="312"/>
      <c r="R56" s="286"/>
      <c r="S56" s="286"/>
      <c r="T56" s="286"/>
      <c r="U56" s="286"/>
      <c r="V56" s="286"/>
      <c r="W56" s="286"/>
      <c r="X56" s="286"/>
      <c r="Y56" s="286"/>
      <c r="Z56" s="286"/>
      <c r="AA56" s="286"/>
      <c r="AB56" s="286"/>
    </row>
    <row r="57">
      <c r="A57" s="307" t="str">
        <f>IFERROR(__xludf.DUMMYFUNCTION("""COMPUTED_VALUE"""),"MICRO")</f>
        <v>MICRO</v>
      </c>
      <c r="B57" s="318" t="str">
        <f>IFERROR(__xludf.DUMMYFUNCTION("""COMPUTED_VALUE"""),"itsmeanie3")</f>
        <v>itsmeanie3</v>
      </c>
      <c r="C57" s="535" t="str">
        <f>IFERROR(__xludf.DUMMYFUNCTION("""COMPUTED_VALUE"""),"https://www.tiktok.com/@itsmeanie3")</f>
        <v>https://www.tiktok.com/@itsmeanie3</v>
      </c>
      <c r="D57" s="316">
        <f>IFERROR(__xludf.DUMMYFUNCTION("""COMPUTED_VALUE"""),8.5975395086E10)</f>
        <v>85975395086</v>
      </c>
      <c r="E57" s="545">
        <f>IFERROR(__xludf.DUMMYFUNCTION("""COMPUTED_VALUE"""),300000.0)</f>
        <v>300000</v>
      </c>
      <c r="F57" s="316">
        <f>IFERROR(__xludf.DUMMYFUNCTION("""COMPUTED_VALUE"""),2.0)</f>
        <v>2</v>
      </c>
      <c r="G57" s="538" t="str">
        <f>IFERROR(__xludf.DUMMYFUNCTION("""COMPUTED_VALUE"""),"Acne Face Wash")</f>
        <v>Acne Face Wash</v>
      </c>
      <c r="H57" s="463" t="str">
        <f>IFERROR(__xludf.DUMMYFUNCTION("""COMPUTED_VALUE"""),"Sampai")</f>
        <v>Sampai</v>
      </c>
      <c r="I57" s="546" t="str">
        <f>IFERROR(__xludf.DUMMYFUNCTION("""COMPUTED_VALUE"""),"Concept 2")</f>
        <v>Concept 2</v>
      </c>
      <c r="J57" s="540" t="str">
        <f>IFERROR(__xludf.DUMMYFUNCTION("""COMPUTED_VALUE"""),"https://vt.tiktok.com/ZS9RTpMpg/ ")</f>
        <v>https://vt.tiktok.com/ZS9RTpMpg/ </v>
      </c>
      <c r="K57" s="312" t="str">
        <f>IFERROR(__xludf.DUMMYFUNCTION("""COMPUTED_VALUE"""),"#/nBG+mPvLuzKR1bHK733mawfG4QuoHwJpsrQ9owFzvZL2iaqAWRfgbK6SS/wN74=")</f>
        <v>#/nBG+mPvLuzKR1bHK733mawfG4QuoHwJpsrQ9owFzvZL2iaqAWRfgbK6SS/wN74=</v>
      </c>
      <c r="L57" s="546" t="str">
        <f>IFERROR(__xludf.DUMMYFUNCTION("""COMPUTED_VALUE""")," Concept 1")</f>
        <v> Concept 1</v>
      </c>
      <c r="M57" s="540" t="str">
        <f>IFERROR(__xludf.DUMMYFUNCTION("""COMPUTED_VALUE"""),"https://vt.tiktok.com/ZS9CaHJsM/ ")</f>
        <v>https://vt.tiktok.com/ZS9CaHJsM/ </v>
      </c>
      <c r="N57" s="541" t="str">
        <f>IFERROR(__xludf.DUMMYFUNCTION("""COMPUTED_VALUE"""),"#3EIgNrL4/MEv4OeX6Xb2dGGNVPtQlhHbH2OfNQbplvJIbcUcG1te6nFs10lAsS8=")</f>
        <v>#3EIgNrL4/MEv4OeX6Xb2dGGNVPtQlhHbH2OfNQbplvJIbcUcG1te6nFs10lAsS8=</v>
      </c>
      <c r="O57" s="541"/>
      <c r="P57" s="541"/>
      <c r="Q57" s="312"/>
      <c r="R57" s="286"/>
      <c r="S57" s="286"/>
      <c r="T57" s="286"/>
      <c r="U57" s="286"/>
      <c r="V57" s="286"/>
      <c r="W57" s="286"/>
      <c r="X57" s="286"/>
      <c r="Y57" s="286"/>
      <c r="Z57" s="286"/>
      <c r="AA57" s="286"/>
      <c r="AB57" s="286"/>
    </row>
    <row r="58">
      <c r="A58" s="307" t="str">
        <f>IFERROR(__xludf.DUMMYFUNCTION("""COMPUTED_VALUE"""),"MICRO")</f>
        <v>MICRO</v>
      </c>
      <c r="B58" s="318" t="str">
        <f>IFERROR(__xludf.DUMMYFUNCTION("""COMPUTED_VALUE"""),"ririwindarii")</f>
        <v>ririwindarii</v>
      </c>
      <c r="C58" s="535" t="str">
        <f>IFERROR(__xludf.DUMMYFUNCTION("""COMPUTED_VALUE"""),"https://www.tiktok.com/@ririwindarii")</f>
        <v>https://www.tiktok.com/@ririwindarii</v>
      </c>
      <c r="D58" s="316">
        <f>IFERROR(__xludf.DUMMYFUNCTION("""COMPUTED_VALUE"""),8.5282405115E10)</f>
        <v>85282405115</v>
      </c>
      <c r="E58" s="545">
        <f>IFERROR(__xludf.DUMMYFUNCTION("""COMPUTED_VALUE"""),150000.0)</f>
        <v>150000</v>
      </c>
      <c r="F58" s="316">
        <f>IFERROR(__xludf.DUMMYFUNCTION("""COMPUTED_VALUE"""),2.0)</f>
        <v>2</v>
      </c>
      <c r="G58" s="538" t="str">
        <f>IFERROR(__xludf.DUMMYFUNCTION("""COMPUTED_VALUE"""),"Acne Face Wash")</f>
        <v>Acne Face Wash</v>
      </c>
      <c r="H58" s="463" t="str">
        <f>IFERROR(__xludf.DUMMYFUNCTION("""COMPUTED_VALUE"""),"Sampai")</f>
        <v>Sampai</v>
      </c>
      <c r="I58" s="546" t="str">
        <f>IFERROR(__xludf.DUMMYFUNCTION("""COMPUTED_VALUE"""),"Concept 2")</f>
        <v>Concept 2</v>
      </c>
      <c r="J58" s="540" t="str">
        <f>IFERROR(__xludf.DUMMYFUNCTION("""COMPUTED_VALUE"""),"https://vt.tiktok.com/ZS9kaN78E/ ")</f>
        <v>https://vt.tiktok.com/ZS9kaN78E/ </v>
      </c>
      <c r="K58" s="312" t="str">
        <f>IFERROR(__xludf.DUMMYFUNCTION("""COMPUTED_VALUE"""),"#kj1kThPnsy55s3lqlHNfyGmzFcFncpN/7ewmnY4n8xwLxQ2mOw0y9mZ03PF2MKk=")</f>
        <v>#kj1kThPnsy55s3lqlHNfyGmzFcFncpN/7ewmnY4n8xwLxQ2mOw0y9mZ03PF2MKk=</v>
      </c>
      <c r="L58" s="546" t="str">
        <f>IFERROR(__xludf.DUMMYFUNCTION("""COMPUTED_VALUE""")," Concept 1")</f>
        <v> Concept 1</v>
      </c>
      <c r="M58" s="540" t="str">
        <f>IFERROR(__xludf.DUMMYFUNCTION("""COMPUTED_VALUE"""),"https://vt.tiktok.com/ZSxEXrNwJ/ ")</f>
        <v>https://vt.tiktok.com/ZSxEXrNwJ/ </v>
      </c>
      <c r="N58" s="541" t="str">
        <f>IFERROR(__xludf.DUMMYFUNCTION("""COMPUTED_VALUE"""),"#/LXIs9xLXyc12hRqGEhBQsYiMWqt51jigFtPVIdGY2nemi9664kwDmjmfQ9+zgw=")</f>
        <v>#/LXIs9xLXyc12hRqGEhBQsYiMWqt51jigFtPVIdGY2nemi9664kwDmjmfQ9+zgw=</v>
      </c>
      <c r="O58" s="541"/>
      <c r="P58" s="541"/>
      <c r="Q58" s="312"/>
      <c r="R58" s="286"/>
      <c r="S58" s="286"/>
      <c r="T58" s="286"/>
      <c r="U58" s="286"/>
      <c r="V58" s="286"/>
      <c r="W58" s="286"/>
      <c r="X58" s="286"/>
      <c r="Y58" s="286"/>
      <c r="Z58" s="286"/>
      <c r="AA58" s="286"/>
      <c r="AB58" s="286"/>
    </row>
    <row r="59">
      <c r="A59" s="307" t="str">
        <f>IFERROR(__xludf.DUMMYFUNCTION("""COMPUTED_VALUE"""),"MICRO")</f>
        <v>MICRO</v>
      </c>
      <c r="B59" s="318" t="str">
        <f>IFERROR(__xludf.DUMMYFUNCTION("""COMPUTED_VALUE"""),"sygkmu__3")</f>
        <v>sygkmu__3</v>
      </c>
      <c r="C59" s="535" t="str">
        <f>IFERROR(__xludf.DUMMYFUNCTION("""COMPUTED_VALUE"""),"https://www.tiktok.com/@sygkmu__3")</f>
        <v>https://www.tiktok.com/@sygkmu__3</v>
      </c>
      <c r="D59" s="316">
        <f>IFERROR(__xludf.DUMMYFUNCTION("""COMPUTED_VALUE"""),8.95417340374E11)</f>
        <v>895417340374</v>
      </c>
      <c r="E59" s="545">
        <f>IFERROR(__xludf.DUMMYFUNCTION("""COMPUTED_VALUE"""),200000.0)</f>
        <v>200000</v>
      </c>
      <c r="F59" s="316">
        <f>IFERROR(__xludf.DUMMYFUNCTION("""COMPUTED_VALUE"""),2.0)</f>
        <v>2</v>
      </c>
      <c r="G59" s="538" t="str">
        <f>IFERROR(__xludf.DUMMYFUNCTION("""COMPUTED_VALUE"""),"Acne Face Wash")</f>
        <v>Acne Face Wash</v>
      </c>
      <c r="H59" s="463" t="str">
        <f>IFERROR(__xludf.DUMMYFUNCTION("""COMPUTED_VALUE"""),"Sampai")</f>
        <v>Sampai</v>
      </c>
      <c r="I59" s="546" t="str">
        <f>IFERROR(__xludf.DUMMYFUNCTION("""COMPUTED_VALUE""")," Concept 1")</f>
        <v> Concept 1</v>
      </c>
      <c r="J59" s="540" t="str">
        <f>IFERROR(__xludf.DUMMYFUNCTION("""COMPUTED_VALUE"""),"https://vt.tiktok.com/ZSHCXAhEb/")</f>
        <v>https://vt.tiktok.com/ZSHCXAhEb/</v>
      </c>
      <c r="K59" s="312" t="str">
        <f>IFERROR(__xludf.DUMMYFUNCTION("""COMPUTED_VALUE"""),"#aJAi7378TljNFF2BcdLMlI5B+olxgboVIo/lXbKFfk1xITKKPaaJlP8+IGx4dqg=")</f>
        <v>#aJAi7378TljNFF2BcdLMlI5B+olxgboVIo/lXbKFfk1xITKKPaaJlP8+IGx4dqg=</v>
      </c>
      <c r="L59" s="546" t="str">
        <f>IFERROR(__xludf.DUMMYFUNCTION("""COMPUTED_VALUE"""),"Concept 2")</f>
        <v>Concept 2</v>
      </c>
      <c r="M59" s="540" t="str">
        <f>IFERROR(__xludf.DUMMYFUNCTION("""COMPUTED_VALUE"""),"https://vt.tiktok.com/ZSHwGb4CR/ ")</f>
        <v>https://vt.tiktok.com/ZSHwGb4CR/ </v>
      </c>
      <c r="N59" s="541" t="str">
        <f>IFERROR(__xludf.DUMMYFUNCTION("""COMPUTED_VALUE"""),"#48Osh+zLTLKMCFWss9mItVwBK/EFCsTpmVkd93byXJFPJR8SVWLC2DPw5b+UDdg=")</f>
        <v>#48Osh+zLTLKMCFWss9mItVwBK/EFCsTpmVkd93byXJFPJR8SVWLC2DPw5b+UDdg=</v>
      </c>
      <c r="O59" s="541"/>
      <c r="P59" s="541"/>
      <c r="Q59" s="312"/>
      <c r="R59" s="286"/>
      <c r="S59" s="286"/>
      <c r="T59" s="286"/>
      <c r="U59" s="286"/>
      <c r="V59" s="286"/>
      <c r="W59" s="286"/>
      <c r="X59" s="286"/>
      <c r="Y59" s="286"/>
      <c r="Z59" s="286"/>
      <c r="AA59" s="286"/>
      <c r="AB59" s="286"/>
    </row>
    <row r="60">
      <c r="A60" s="307" t="str">
        <f>IFERROR(__xludf.DUMMYFUNCTION("""COMPUTED_VALUE"""),"MICRO")</f>
        <v>MICRO</v>
      </c>
      <c r="B60" s="318" t="str">
        <f>IFERROR(__xludf.DUMMYFUNCTION("""COMPUTED_VALUE"""),"salwanarulita")</f>
        <v>salwanarulita</v>
      </c>
      <c r="C60" s="535" t="str">
        <f>IFERROR(__xludf.DUMMYFUNCTION("""COMPUTED_VALUE"""),"https://www.tiktok.com/@salwanarulita")</f>
        <v>https://www.tiktok.com/@salwanarulita</v>
      </c>
      <c r="D60" s="316">
        <f>IFERROR(__xludf.DUMMYFUNCTION("""COMPUTED_VALUE"""),8.1546953308E10)</f>
        <v>81546953308</v>
      </c>
      <c r="E60" s="545">
        <f>IFERROR(__xludf.DUMMYFUNCTION("""COMPUTED_VALUE"""),100000.0)</f>
        <v>100000</v>
      </c>
      <c r="F60" s="316">
        <f>IFERROR(__xludf.DUMMYFUNCTION("""COMPUTED_VALUE"""),2.0)</f>
        <v>2</v>
      </c>
      <c r="G60" s="538" t="str">
        <f>IFERROR(__xludf.DUMMYFUNCTION("""COMPUTED_VALUE"""),"Glowing Face Wash")</f>
        <v>Glowing Face Wash</v>
      </c>
      <c r="H60" s="463" t="str">
        <f>IFERROR(__xludf.DUMMYFUNCTION("""COMPUTED_VALUE"""),"Sampai")</f>
        <v>Sampai</v>
      </c>
      <c r="I60" s="546" t="str">
        <f>IFERROR(__xludf.DUMMYFUNCTION("""COMPUTED_VALUE"""),"Concept 2")</f>
        <v>Concept 2</v>
      </c>
      <c r="J60" s="540" t="str">
        <f>IFERROR(__xludf.DUMMYFUNCTION("""COMPUTED_VALUE"""),"https://vt.tiktok.com/ZS95HNhFs/ ")</f>
        <v>https://vt.tiktok.com/ZS95HNhFs/ </v>
      </c>
      <c r="K60" s="312" t="str">
        <f>IFERROR(__xludf.DUMMYFUNCTION("""COMPUTED_VALUE"""),"#PlHz+Hj+6LdVMxFkC3B8PRsaYdOMTBEuz+xk7PDjyLm7ak5i8UQW4LKDe6cLJ0k=")</f>
        <v>#PlHz+Hj+6LdVMxFkC3B8PRsaYdOMTBEuz+xk7PDjyLm7ak5i8UQW4LKDe6cLJ0k=</v>
      </c>
      <c r="L60" s="546" t="str">
        <f>IFERROR(__xludf.DUMMYFUNCTION("""COMPUTED_VALUE""")," Concept 1")</f>
        <v> Concept 1</v>
      </c>
      <c r="M60" s="540" t="str">
        <f>IFERROR(__xludf.DUMMYFUNCTION("""COMPUTED_VALUE"""),"https://vt.tiktok.com/ZS9Q32aqj/ ")</f>
        <v>https://vt.tiktok.com/ZS9Q32aqj/ </v>
      </c>
      <c r="N60" s="541" t="str">
        <f>IFERROR(__xludf.DUMMYFUNCTION("""COMPUTED_VALUE"""),"#Gr/zkTAY1FJOcNYrGv9URVsZKofI+QlXllpvqXiKxmAbR9KuwHaT7b93JVSKgYc=")</f>
        <v>#Gr/zkTAY1FJOcNYrGv9URVsZKofI+QlXllpvqXiKxmAbR9KuwHaT7b93JVSKgYc=</v>
      </c>
      <c r="O60" s="541"/>
      <c r="P60" s="541"/>
      <c r="Q60" s="312"/>
      <c r="R60" s="286"/>
      <c r="S60" s="286"/>
      <c r="T60" s="286"/>
      <c r="U60" s="286"/>
      <c r="V60" s="286"/>
      <c r="W60" s="286"/>
      <c r="X60" s="286"/>
      <c r="Y60" s="286"/>
      <c r="Z60" s="286"/>
      <c r="AA60" s="286"/>
      <c r="AB60" s="286"/>
    </row>
    <row r="61">
      <c r="A61" s="307" t="str">
        <f>IFERROR(__xludf.DUMMYFUNCTION("""COMPUTED_VALUE"""),"MICRO")</f>
        <v>MICRO</v>
      </c>
      <c r="B61" s="318" t="str">
        <f>IFERROR(__xludf.DUMMYFUNCTION("""COMPUTED_VALUE"""),"aputtii")</f>
        <v>aputtii</v>
      </c>
      <c r="C61" s="535" t="str">
        <f>IFERROR(__xludf.DUMMYFUNCTION("""COMPUTED_VALUE"""),"https://www.tiktok.com/@aputtii")</f>
        <v>https://www.tiktok.com/@aputtii</v>
      </c>
      <c r="D61" s="316">
        <f>IFERROR(__xludf.DUMMYFUNCTION("""COMPUTED_VALUE"""),8.1529590712E10)</f>
        <v>81529590712</v>
      </c>
      <c r="E61" s="545">
        <f>IFERROR(__xludf.DUMMYFUNCTION("""COMPUTED_VALUE"""),500000.0)</f>
        <v>500000</v>
      </c>
      <c r="F61" s="316">
        <f>IFERROR(__xludf.DUMMYFUNCTION("""COMPUTED_VALUE"""),2.0)</f>
        <v>2</v>
      </c>
      <c r="G61" s="538" t="str">
        <f>IFERROR(__xludf.DUMMYFUNCTION("""COMPUTED_VALUE"""),"Glowing Face Wash")</f>
        <v>Glowing Face Wash</v>
      </c>
      <c r="H61" s="463" t="str">
        <f>IFERROR(__xludf.DUMMYFUNCTION("""COMPUTED_VALUE"""),"Sampai")</f>
        <v>Sampai</v>
      </c>
      <c r="I61" s="546" t="str">
        <f>IFERROR(__xludf.DUMMYFUNCTION("""COMPUTED_VALUE""")," Concept 1")</f>
        <v> Concept 1</v>
      </c>
      <c r="J61" s="540" t="str">
        <f>IFERROR(__xludf.DUMMYFUNCTION("""COMPUTED_VALUE"""),"https://vt.tiktok.com/ZS9qXLBsT/ ")</f>
        <v>https://vt.tiktok.com/ZS9qXLBsT/ </v>
      </c>
      <c r="K61" s="312" t="str">
        <f>IFERROR(__xludf.DUMMYFUNCTION("""COMPUTED_VALUE"""),"#6kLvcfxkhrZvxgTbOkFEhrvlgTot3MCD7U8doAWBESg59sr3TA6VO6H5qsk4buo=")</f>
        <v>#6kLvcfxkhrZvxgTbOkFEhrvlgTot3MCD7U8doAWBESg59sr3TA6VO6H5qsk4buo=</v>
      </c>
      <c r="L61" s="546" t="str">
        <f>IFERROR(__xludf.DUMMYFUNCTION("""COMPUTED_VALUE"""),"Concept 2")</f>
        <v>Concept 2</v>
      </c>
      <c r="M61" s="540" t="str">
        <f>IFERROR(__xludf.DUMMYFUNCTION("""COMPUTED_VALUE"""),"https://vt.tiktok.com/ZSx6dhpvb/ ")</f>
        <v>https://vt.tiktok.com/ZSx6dhpvb/ </v>
      </c>
      <c r="N61" s="541" t="str">
        <f>IFERROR(__xludf.DUMMYFUNCTION("""COMPUTED_VALUE"""),"#4fmXdDl1SVqOylUZmzxOfpbXQICPBgV90Rqy4nuYUG2d0M5ptaehHOirYEYduYc=")</f>
        <v>#4fmXdDl1SVqOylUZmzxOfpbXQICPBgV90Rqy4nuYUG2d0M5ptaehHOirYEYduYc=</v>
      </c>
      <c r="O61" s="541"/>
      <c r="P61" s="541"/>
      <c r="Q61" s="312"/>
      <c r="R61" s="286"/>
      <c r="S61" s="286"/>
      <c r="T61" s="286"/>
      <c r="U61" s="286"/>
      <c r="V61" s="286"/>
      <c r="W61" s="286"/>
      <c r="X61" s="286"/>
      <c r="Y61" s="286"/>
      <c r="Z61" s="286"/>
      <c r="AA61" s="286"/>
      <c r="AB61" s="286"/>
    </row>
    <row r="62">
      <c r="A62" s="307" t="str">
        <f>IFERROR(__xludf.DUMMYFUNCTION("""COMPUTED_VALUE"""),"MICRO")</f>
        <v>MICRO</v>
      </c>
      <c r="B62" s="318" t="str">
        <f>IFERROR(__xludf.DUMMYFUNCTION("""COMPUTED_VALUE"""),"princessbackpacker_")</f>
        <v>princessbackpacker_</v>
      </c>
      <c r="C62" s="535" t="str">
        <f>IFERROR(__xludf.DUMMYFUNCTION("""COMPUTED_VALUE"""),"https://www.tiktok.com/@princessbackpacker_")</f>
        <v>https://www.tiktok.com/@princessbackpacker_</v>
      </c>
      <c r="D62" s="316"/>
      <c r="E62" s="545">
        <f>IFERROR(__xludf.DUMMYFUNCTION("""COMPUTED_VALUE"""),200000.0)</f>
        <v>200000</v>
      </c>
      <c r="F62" s="316">
        <f>IFERROR(__xludf.DUMMYFUNCTION("""COMPUTED_VALUE"""),2.0)</f>
        <v>2</v>
      </c>
      <c r="G62" s="538" t="str">
        <f>IFERROR(__xludf.DUMMYFUNCTION("""COMPUTED_VALUE"""),"Acne Face Wash")</f>
        <v>Acne Face Wash</v>
      </c>
      <c r="H62" s="463" t="str">
        <f>IFERROR(__xludf.DUMMYFUNCTION("""COMPUTED_VALUE"""),"Sampai")</f>
        <v>Sampai</v>
      </c>
      <c r="I62" s="546"/>
      <c r="J62" s="541"/>
      <c r="K62" s="312"/>
      <c r="L62" s="546"/>
      <c r="M62" s="541"/>
      <c r="N62" s="541"/>
      <c r="O62" s="541"/>
      <c r="P62" s="541"/>
      <c r="Q62" s="312"/>
      <c r="R62" s="286"/>
      <c r="S62" s="286"/>
      <c r="T62" s="286"/>
      <c r="U62" s="286"/>
      <c r="V62" s="286"/>
      <c r="W62" s="286"/>
      <c r="X62" s="286"/>
      <c r="Y62" s="286"/>
      <c r="Z62" s="286"/>
      <c r="AA62" s="286"/>
      <c r="AB62" s="286"/>
    </row>
    <row r="63">
      <c r="A63" s="307" t="str">
        <f>IFERROR(__xludf.DUMMYFUNCTION("""COMPUTED_VALUE"""),"MICRO")</f>
        <v>MICRO</v>
      </c>
      <c r="B63" s="318" t="str">
        <f>IFERROR(__xludf.DUMMYFUNCTION("""COMPUTED_VALUE"""),"vernikaariani")</f>
        <v>vernikaariani</v>
      </c>
      <c r="C63" s="535" t="str">
        <f>IFERROR(__xludf.DUMMYFUNCTION("""COMPUTED_VALUE"""),"https://www.tiktok.com/@vernikaariani")</f>
        <v>https://www.tiktok.com/@vernikaariani</v>
      </c>
      <c r="D63" s="316">
        <f>IFERROR(__xludf.DUMMYFUNCTION("""COMPUTED_VALUE"""),8.5326728022E10)</f>
        <v>85326728022</v>
      </c>
      <c r="E63" s="545">
        <f>IFERROR(__xludf.DUMMYFUNCTION("""COMPUTED_VALUE"""),0.0)</f>
        <v>0</v>
      </c>
      <c r="F63" s="316">
        <f>IFERROR(__xludf.DUMMYFUNCTION("""COMPUTED_VALUE"""),2.0)</f>
        <v>2</v>
      </c>
      <c r="G63" s="538" t="str">
        <f>IFERROR(__xludf.DUMMYFUNCTION("""COMPUTED_VALUE"""),"Acne Face Wash")</f>
        <v>Acne Face Wash</v>
      </c>
      <c r="H63" s="463" t="str">
        <f>IFERROR(__xludf.DUMMYFUNCTION("""COMPUTED_VALUE"""),"Sampai")</f>
        <v>Sampai</v>
      </c>
      <c r="I63" s="546" t="str">
        <f>IFERROR(__xludf.DUMMYFUNCTION("""COMPUTED_VALUE""")," Concept 1")</f>
        <v> Concept 1</v>
      </c>
      <c r="J63" s="540" t="str">
        <f>IFERROR(__xludf.DUMMYFUNCTION("""COMPUTED_VALUE"""),"https://vt.tiktok.com/ZS9uefekq/ ")</f>
        <v>https://vt.tiktok.com/ZS9uefekq/ </v>
      </c>
      <c r="K63" s="312" t="str">
        <f>IFERROR(__xludf.DUMMYFUNCTION("""COMPUTED_VALUE"""),"#W8EWooVn2NAYNOe4CwLeV9RjtjD2xlgI37tDFYkmpuSFgqwNi9+9qqojS+X4L4A=")</f>
        <v>#W8EWooVn2NAYNOe4CwLeV9RjtjD2xlgI37tDFYkmpuSFgqwNi9+9qqojS+X4L4A=</v>
      </c>
      <c r="L63" s="546" t="str">
        <f>IFERROR(__xludf.DUMMYFUNCTION("""COMPUTED_VALUE"""),"Concept 2")</f>
        <v>Concept 2</v>
      </c>
      <c r="M63" s="540" t="str">
        <f>IFERROR(__xludf.DUMMYFUNCTION("""COMPUTED_VALUE"""),"https://vt.tiktok.com/ZS9ue9Nvc/ ")</f>
        <v>https://vt.tiktok.com/ZS9ue9Nvc/ </v>
      </c>
      <c r="N63" s="541" t="str">
        <f>IFERROR(__xludf.DUMMYFUNCTION("""COMPUTED_VALUE"""),"#teqplYaBLK/net+TnLVZZ9bdDzJlRDeeCpwNDRl4tlnHsbYzS9LLu9y8jAhzUqE=")</f>
        <v>#teqplYaBLK/net+TnLVZZ9bdDzJlRDeeCpwNDRl4tlnHsbYzS9LLu9y8jAhzUqE=</v>
      </c>
      <c r="O63" s="540" t="str">
        <f>IFERROR(__xludf.DUMMYFUNCTION("""COMPUTED_VALUE"""),"https://vt.tiktok.com/ZS9ueARQ5/ ")</f>
        <v>https://vt.tiktok.com/ZS9ueARQ5/ </v>
      </c>
      <c r="P63" s="541" t="str">
        <f>IFERROR(__xludf.DUMMYFUNCTION("""COMPUTED_VALUE"""),"#UAFjBw2q0emulsoUBKmzYTmKZN/1PGQFUNTNK0gqtNkKZi87DTH8B7ILG2aNCUo=")</f>
        <v>#UAFjBw2q0emulsoUBKmzYTmKZN/1PGQFUNTNK0gqtNkKZi87DTH8B7ILG2aNCUo=</v>
      </c>
      <c r="Q63" s="312"/>
      <c r="R63" s="286"/>
      <c r="S63" s="286"/>
      <c r="T63" s="286"/>
      <c r="U63" s="286"/>
      <c r="V63" s="286"/>
      <c r="W63" s="286"/>
      <c r="X63" s="286"/>
      <c r="Y63" s="286"/>
      <c r="Z63" s="286"/>
      <c r="AA63" s="286"/>
      <c r="AB63" s="286"/>
    </row>
    <row r="64">
      <c r="A64" s="307" t="str">
        <f>IFERROR(__xludf.DUMMYFUNCTION("""COMPUTED_VALUE"""),"MICRO")</f>
        <v>MICRO</v>
      </c>
      <c r="B64" s="318" t="str">
        <f>IFERROR(__xludf.DUMMYFUNCTION("""COMPUTED_VALUE"""),"gabolegalakya")</f>
        <v>gabolegalakya</v>
      </c>
      <c r="C64" s="535" t="str">
        <f>IFERROR(__xludf.DUMMYFUNCTION("""COMPUTED_VALUE"""),"https://www.tiktok.com/@gabolegalakya")</f>
        <v>https://www.tiktok.com/@gabolegalakya</v>
      </c>
      <c r="D64" s="316">
        <f>IFERROR(__xludf.DUMMYFUNCTION("""COMPUTED_VALUE"""),8.1375495494E10)</f>
        <v>81375495494</v>
      </c>
      <c r="E64" s="545">
        <f>IFERROR(__xludf.DUMMYFUNCTION("""COMPUTED_VALUE"""),200000.0)</f>
        <v>200000</v>
      </c>
      <c r="F64" s="316">
        <f>IFERROR(__xludf.DUMMYFUNCTION("""COMPUTED_VALUE"""),2.0)</f>
        <v>2</v>
      </c>
      <c r="G64" s="538" t="str">
        <f>IFERROR(__xludf.DUMMYFUNCTION("""COMPUTED_VALUE"""),"Acne Face Wash")</f>
        <v>Acne Face Wash</v>
      </c>
      <c r="H64" s="463" t="str">
        <f>IFERROR(__xludf.DUMMYFUNCTION("""COMPUTED_VALUE"""),"Sampai")</f>
        <v>Sampai</v>
      </c>
      <c r="I64" s="546" t="str">
        <f>IFERROR(__xludf.DUMMYFUNCTION("""COMPUTED_VALUE""")," Concept 1")</f>
        <v> Concept 1</v>
      </c>
      <c r="J64" s="540" t="str">
        <f>IFERROR(__xludf.DUMMYFUNCTION("""COMPUTED_VALUE"""),"https://vt.tiktok.com/ZS9CRBkCt/")</f>
        <v>https://vt.tiktok.com/ZS9CRBkCt/</v>
      </c>
      <c r="K64" s="312" t="str">
        <f>IFERROR(__xludf.DUMMYFUNCTION("""COMPUTED_VALUE"""),"#HEDv+exI4YN4RCOzsa7eyk3GOUxp5/66QcaOQKCRx+T76Y74xrjVNFdGuHbEpU0=")</f>
        <v>#HEDv+exI4YN4RCOzsa7eyk3GOUxp5/66QcaOQKCRx+T76Y74xrjVNFdGuHbEpU0=</v>
      </c>
      <c r="L64" s="546" t="str">
        <f>IFERROR(__xludf.DUMMYFUNCTION("""COMPUTED_VALUE"""),"Concept 2")</f>
        <v>Concept 2</v>
      </c>
      <c r="M64" s="540" t="str">
        <f>IFERROR(__xludf.DUMMYFUNCTION("""COMPUTED_VALUE"""),"https://vt.tiktok.com/ZS9b8jhB6/ ")</f>
        <v>https://vt.tiktok.com/ZS9b8jhB6/ </v>
      </c>
      <c r="N64" s="541" t="str">
        <f>IFERROR(__xludf.DUMMYFUNCTION("""COMPUTED_VALUE"""),"#NpBT8YfiYUbuM/0jDxXzSwHTdlfsxHfVD3qMTAO6N4MURhRSO+f3/nnwXqZHdVs=")</f>
        <v>#NpBT8YfiYUbuM/0jDxXzSwHTdlfsxHfVD3qMTAO6N4MURhRSO+f3/nnwXqZHdVs=</v>
      </c>
      <c r="O64" s="541"/>
      <c r="P64" s="541"/>
      <c r="Q64" s="312"/>
      <c r="R64" s="286"/>
      <c r="S64" s="286"/>
      <c r="T64" s="286"/>
      <c r="U64" s="286"/>
      <c r="V64" s="286"/>
      <c r="W64" s="286"/>
      <c r="X64" s="286"/>
      <c r="Y64" s="286"/>
      <c r="Z64" s="286"/>
      <c r="AA64" s="286"/>
      <c r="AB64" s="286"/>
    </row>
    <row r="65">
      <c r="A65" s="307" t="str">
        <f>IFERROR(__xludf.DUMMYFUNCTION("""COMPUTED_VALUE"""),"MICRO")</f>
        <v>MICRO</v>
      </c>
      <c r="B65" s="318" t="str">
        <f>IFERROR(__xludf.DUMMYFUNCTION("""COMPUTED_VALUE"""),"mardi_yanti ")</f>
        <v>mardi_yanti </v>
      </c>
      <c r="C65" s="535" t="str">
        <f>IFERROR(__xludf.DUMMYFUNCTION("""COMPUTED_VALUE"""),"https://www.tiktok.com/@mardi_yanti ")</f>
        <v>https://www.tiktok.com/@mardi_yanti </v>
      </c>
      <c r="D65" s="316">
        <f>IFERROR(__xludf.DUMMYFUNCTION("""COMPUTED_VALUE"""),8.1375892721E10)</f>
        <v>81375892721</v>
      </c>
      <c r="E65" s="545">
        <f>IFERROR(__xludf.DUMMYFUNCTION("""COMPUTED_VALUE"""),0.0)</f>
        <v>0</v>
      </c>
      <c r="F65" s="316">
        <f>IFERROR(__xludf.DUMMYFUNCTION("""COMPUTED_VALUE"""),2.0)</f>
        <v>2</v>
      </c>
      <c r="G65" s="538" t="str">
        <f>IFERROR(__xludf.DUMMYFUNCTION("""COMPUTED_VALUE"""),"Acne Face Wash")</f>
        <v>Acne Face Wash</v>
      </c>
      <c r="H65" s="463" t="str">
        <f>IFERROR(__xludf.DUMMYFUNCTION("""COMPUTED_VALUE"""),"Sampai")</f>
        <v>Sampai</v>
      </c>
      <c r="I65" s="546"/>
      <c r="J65" s="541" t="str">
        <f>IFERROR(__xludf.DUMMYFUNCTION("""COMPUTED_VALUE"""),"lagi sakit")</f>
        <v>lagi sakit</v>
      </c>
      <c r="K65" s="312"/>
      <c r="L65" s="546"/>
      <c r="M65" s="541"/>
      <c r="N65" s="541"/>
      <c r="O65" s="541"/>
      <c r="P65" s="541"/>
      <c r="Q65" s="312"/>
      <c r="R65" s="286"/>
      <c r="S65" s="286"/>
      <c r="T65" s="286"/>
      <c r="U65" s="286"/>
      <c r="V65" s="286"/>
      <c r="W65" s="286"/>
      <c r="X65" s="286"/>
      <c r="Y65" s="286"/>
      <c r="Z65" s="286"/>
      <c r="AA65" s="286"/>
      <c r="AB65" s="286"/>
    </row>
    <row r="66">
      <c r="A66" s="307" t="str">
        <f>IFERROR(__xludf.DUMMYFUNCTION("""COMPUTED_VALUE"""),"MICRO")</f>
        <v>MICRO</v>
      </c>
      <c r="B66" s="318" t="str">
        <f>IFERROR(__xludf.DUMMYFUNCTION("""COMPUTED_VALUE"""),"review.erna27")</f>
        <v>review.erna27</v>
      </c>
      <c r="C66" s="535" t="str">
        <f>IFERROR(__xludf.DUMMYFUNCTION("""COMPUTED_VALUE"""),"https://www.tiktok.com/@review.erna27")</f>
        <v>https://www.tiktok.com/@review.erna27</v>
      </c>
      <c r="D66" s="316">
        <f>IFERROR(__xludf.DUMMYFUNCTION("""COMPUTED_VALUE"""),8.2310268988E10)</f>
        <v>82310268988</v>
      </c>
      <c r="E66" s="545">
        <f>IFERROR(__xludf.DUMMYFUNCTION("""COMPUTED_VALUE"""),50000.0)</f>
        <v>50000</v>
      </c>
      <c r="F66" s="316">
        <f>IFERROR(__xludf.DUMMYFUNCTION("""COMPUTED_VALUE"""),2.0)</f>
        <v>2</v>
      </c>
      <c r="G66" s="538" t="str">
        <f>IFERROR(__xludf.DUMMYFUNCTION("""COMPUTED_VALUE"""),"Glowing Face Wash")</f>
        <v>Glowing Face Wash</v>
      </c>
      <c r="H66" s="463" t="str">
        <f>IFERROR(__xludf.DUMMYFUNCTION("""COMPUTED_VALUE"""),"Sampai")</f>
        <v>Sampai</v>
      </c>
      <c r="I66" s="546" t="str">
        <f>IFERROR(__xludf.DUMMYFUNCTION("""COMPUTED_VALUE"""),"Concept 2")</f>
        <v>Concept 2</v>
      </c>
      <c r="J66" s="540" t="str">
        <f>IFERROR(__xludf.DUMMYFUNCTION("""COMPUTED_VALUE"""),"https://vt.tiktok.com/ZS9kx1gQa/")</f>
        <v>https://vt.tiktok.com/ZS9kx1gQa/</v>
      </c>
      <c r="K66" s="312" t="str">
        <f>IFERROR(__xludf.DUMMYFUNCTION("""COMPUTED_VALUE"""),"#BILwmoCZj+lwEoml9i4HTUfUUGVENS/aywhdOmL5R9RckR8nO+sGY2QwLF+G/7I=")</f>
        <v>#BILwmoCZj+lwEoml9i4HTUfUUGVENS/aywhdOmL5R9RckR8nO+sGY2QwLF+G/7I=</v>
      </c>
      <c r="L66" s="546" t="str">
        <f>IFERROR(__xludf.DUMMYFUNCTION("""COMPUTED_VALUE"""),"Concept 3")</f>
        <v>Concept 3</v>
      </c>
      <c r="M66" s="540" t="str">
        <f>IFERROR(__xludf.DUMMYFUNCTION("""COMPUTED_VALUE"""),"https://vt.tiktok.com/ZS9ygUkxT/ ")</f>
        <v>https://vt.tiktok.com/ZS9ygUkxT/ </v>
      </c>
      <c r="N66" s="541" t="str">
        <f>IFERROR(__xludf.DUMMYFUNCTION("""COMPUTED_VALUE"""),"#QXVJUzfJ3qchq8Hl8snB0KPFJ2oVNrXtdAOM8kubKSh/XZ+FpUDm0+n4V3rcNiY=")</f>
        <v>#QXVJUzfJ3qchq8Hl8snB0KPFJ2oVNrXtdAOM8kubKSh/XZ+FpUDm0+n4V3rcNiY=</v>
      </c>
      <c r="O66" s="541"/>
      <c r="P66" s="541"/>
      <c r="Q66" s="312"/>
      <c r="R66" s="286"/>
      <c r="S66" s="286"/>
      <c r="T66" s="286"/>
      <c r="U66" s="286"/>
      <c r="V66" s="286"/>
      <c r="W66" s="286"/>
      <c r="X66" s="286"/>
      <c r="Y66" s="286"/>
      <c r="Z66" s="286"/>
      <c r="AA66" s="286"/>
      <c r="AB66" s="286"/>
    </row>
    <row r="67">
      <c r="A67" s="307" t="str">
        <f>IFERROR(__xludf.DUMMYFUNCTION("""COMPUTED_VALUE"""),"MACRO")</f>
        <v>MACRO</v>
      </c>
      <c r="B67" s="318" t="str">
        <f>IFERROR(__xludf.DUMMYFUNCTION("""COMPUTED_VALUE"""),"review_ama")</f>
        <v>review_ama</v>
      </c>
      <c r="C67" s="535" t="str">
        <f>IFERROR(__xludf.DUMMYFUNCTION("""COMPUTED_VALUE"""),"https://www.tiktok.com/@review_ama")</f>
        <v>https://www.tiktok.com/@review_ama</v>
      </c>
      <c r="D67" s="316">
        <f>IFERROR(__xludf.DUMMYFUNCTION("""COMPUTED_VALUE"""),8.9622337862E10)</f>
        <v>89622337862</v>
      </c>
      <c r="E67" s="545">
        <f>IFERROR(__xludf.DUMMYFUNCTION("""COMPUTED_VALUE"""),50000.0)</f>
        <v>50000</v>
      </c>
      <c r="F67" s="316">
        <f>IFERROR(__xludf.DUMMYFUNCTION("""COMPUTED_VALUE"""),2.0)</f>
        <v>2</v>
      </c>
      <c r="G67" s="538" t="str">
        <f>IFERROR(__xludf.DUMMYFUNCTION("""COMPUTED_VALUE"""),"Glowing Face Wash")</f>
        <v>Glowing Face Wash</v>
      </c>
      <c r="H67" s="463" t="str">
        <f>IFERROR(__xludf.DUMMYFUNCTION("""COMPUTED_VALUE"""),"Sampai")</f>
        <v>Sampai</v>
      </c>
      <c r="I67" s="546" t="str">
        <f>IFERROR(__xludf.DUMMYFUNCTION("""COMPUTED_VALUE""")," Concept 1")</f>
        <v> Concept 1</v>
      </c>
      <c r="J67" s="540" t="str">
        <f>IFERROR(__xludf.DUMMYFUNCTION("""COMPUTED_VALUE"""),"https://vt.tiktok.com/ZS9CRkbVs/ ")</f>
        <v>https://vt.tiktok.com/ZS9CRkbVs/ </v>
      </c>
      <c r="K67" s="312" t="str">
        <f>IFERROR(__xludf.DUMMYFUNCTION("""COMPUTED_VALUE"""),"#BW9fSDl0Ch738QxxGG2Cgd9Kf6mIJzaI8oPCVjZruSqG5ZZJn+zJp7EFPB/Vjjw=")</f>
        <v>#BW9fSDl0Ch738QxxGG2Cgd9Kf6mIJzaI8oPCVjZruSqG5ZZJn+zJp7EFPB/Vjjw=</v>
      </c>
      <c r="L67" s="546" t="str">
        <f>IFERROR(__xludf.DUMMYFUNCTION("""COMPUTED_VALUE""")," Concept 1")</f>
        <v> Concept 1</v>
      </c>
      <c r="M67" s="540" t="str">
        <f>IFERROR(__xludf.DUMMYFUNCTION("""COMPUTED_VALUE"""),"https://vt.tiktok.com/ZS9CLhM6y/ ")</f>
        <v>https://vt.tiktok.com/ZS9CLhM6y/ </v>
      </c>
      <c r="N67" s="541" t="str">
        <f>IFERROR(__xludf.DUMMYFUNCTION("""COMPUTED_VALUE"""),"#ByHce8i24WHgNtI2VzdZG3Tk9TeeyNt+mCe7rfHtpQ0qRnQcvyJiDfC/oe8/puw=")</f>
        <v>#ByHce8i24WHgNtI2VzdZG3Tk9TeeyNt+mCe7rfHtpQ0qRnQcvyJiDfC/oe8/puw=</v>
      </c>
      <c r="O67" s="541"/>
      <c r="P67" s="541"/>
      <c r="Q67" s="312"/>
      <c r="R67" s="286"/>
      <c r="S67" s="286"/>
      <c r="T67" s="286"/>
      <c r="U67" s="286"/>
      <c r="V67" s="286"/>
      <c r="W67" s="286"/>
      <c r="X67" s="286"/>
      <c r="Y67" s="286"/>
      <c r="Z67" s="286"/>
      <c r="AA67" s="286"/>
      <c r="AB67" s="286"/>
    </row>
    <row r="68">
      <c r="A68" s="307" t="str">
        <f>IFERROR(__xludf.DUMMYFUNCTION("""COMPUTED_VALUE"""),"MICRO")</f>
        <v>MICRO</v>
      </c>
      <c r="B68" s="318" t="str">
        <f>IFERROR(__xludf.DUMMYFUNCTION("""COMPUTED_VALUE"""),"friiskaaay_4")</f>
        <v>friiskaaay_4</v>
      </c>
      <c r="C68" s="535" t="str">
        <f>IFERROR(__xludf.DUMMYFUNCTION("""COMPUTED_VALUE"""),"https://www.tiktok.com/@friiskaaay_4")</f>
        <v>https://www.tiktok.com/@friiskaaay_4</v>
      </c>
      <c r="D68" s="316">
        <f>IFERROR(__xludf.DUMMYFUNCTION("""COMPUTED_VALUE"""),8.2323676841E10)</f>
        <v>82323676841</v>
      </c>
      <c r="E68" s="545">
        <f>IFERROR(__xludf.DUMMYFUNCTION("""COMPUTED_VALUE"""),50000.0)</f>
        <v>50000</v>
      </c>
      <c r="F68" s="316">
        <f>IFERROR(__xludf.DUMMYFUNCTION("""COMPUTED_VALUE"""),2.0)</f>
        <v>2</v>
      </c>
      <c r="G68" s="538" t="str">
        <f>IFERROR(__xludf.DUMMYFUNCTION("""COMPUTED_VALUE"""),"Glowing Face Wash")</f>
        <v>Glowing Face Wash</v>
      </c>
      <c r="H68" s="463" t="str">
        <f>IFERROR(__xludf.DUMMYFUNCTION("""COMPUTED_VALUE"""),"Sampai")</f>
        <v>Sampai</v>
      </c>
      <c r="I68" s="546" t="str">
        <f>IFERROR(__xludf.DUMMYFUNCTION("""COMPUTED_VALUE"""),"Concept 2")</f>
        <v>Concept 2</v>
      </c>
      <c r="J68" s="540" t="str">
        <f>IFERROR(__xludf.DUMMYFUNCTION("""COMPUTED_VALUE"""),"https://vt.tiktok.com/ZS99GfKap/ ")</f>
        <v>https://vt.tiktok.com/ZS99GfKap/ </v>
      </c>
      <c r="K68" s="312" t="str">
        <f>IFERROR(__xludf.DUMMYFUNCTION("""COMPUTED_VALUE"""),"#gawmGablGPx2ldUJsr0ZlsqAL0w8Mpva6B1+8k+BJCKppPkIbuXz/uSHyHDZA48=")</f>
        <v>#gawmGablGPx2ldUJsr0ZlsqAL0w8Mpva6B1+8k+BJCKppPkIbuXz/uSHyHDZA48=</v>
      </c>
      <c r="L68" s="546" t="str">
        <f>IFERROR(__xludf.DUMMYFUNCTION("""COMPUTED_VALUE"""),"Concept 3")</f>
        <v>Concept 3</v>
      </c>
      <c r="M68" s="540" t="str">
        <f>IFERROR(__xludf.DUMMYFUNCTION("""COMPUTED_VALUE"""),"https://vt.tiktok.com/ZS9pa6exc/ ")</f>
        <v>https://vt.tiktok.com/ZS9pa6exc/ </v>
      </c>
      <c r="N68" s="541" t="str">
        <f>IFERROR(__xludf.DUMMYFUNCTION("""COMPUTED_VALUE"""),"#pVOaHxolPlTU1e+FQIpvYEjYt0jyrFhVjA6So8gC/Z+Hqmu7gECxYF09OFTbUVM=")</f>
        <v>#pVOaHxolPlTU1e+FQIpvYEjYt0jyrFhVjA6So8gC/Z+Hqmu7gECxYF09OFTbUVM=</v>
      </c>
      <c r="O68" s="541"/>
      <c r="P68" s="541"/>
      <c r="Q68" s="312"/>
      <c r="R68" s="286"/>
      <c r="S68" s="286"/>
      <c r="T68" s="286"/>
      <c r="U68" s="286"/>
      <c r="V68" s="286"/>
      <c r="W68" s="286"/>
      <c r="X68" s="286"/>
      <c r="Y68" s="286"/>
      <c r="Z68" s="286"/>
      <c r="AA68" s="286"/>
      <c r="AB68" s="286"/>
    </row>
    <row r="69">
      <c r="A69" s="307" t="str">
        <f>IFERROR(__xludf.DUMMYFUNCTION("""COMPUTED_VALUE"""),"MICRO")</f>
        <v>MICRO</v>
      </c>
      <c r="B69" s="318" t="str">
        <f>IFERROR(__xludf.DUMMYFUNCTION("""COMPUTED_VALUE"""),"aghania02")</f>
        <v>aghania02</v>
      </c>
      <c r="C69" s="535" t="str">
        <f>IFERROR(__xludf.DUMMYFUNCTION("""COMPUTED_VALUE"""),"https://www.tiktok.com/@aghania02")</f>
        <v>https://www.tiktok.com/@aghania02</v>
      </c>
      <c r="D69" s="316">
        <f>IFERROR(__xludf.DUMMYFUNCTION("""COMPUTED_VALUE"""),8.9659116628E10)</f>
        <v>89659116628</v>
      </c>
      <c r="E69" s="545">
        <f>IFERROR(__xludf.DUMMYFUNCTION("""COMPUTED_VALUE"""),50000.0)</f>
        <v>50000</v>
      </c>
      <c r="F69" s="316">
        <f>IFERROR(__xludf.DUMMYFUNCTION("""COMPUTED_VALUE"""),2.0)</f>
        <v>2</v>
      </c>
      <c r="G69" s="538" t="str">
        <f>IFERROR(__xludf.DUMMYFUNCTION("""COMPUTED_VALUE"""),"Glowing Face Wash")</f>
        <v>Glowing Face Wash</v>
      </c>
      <c r="H69" s="463" t="str">
        <f>IFERROR(__xludf.DUMMYFUNCTION("""COMPUTED_VALUE"""),"Sampai")</f>
        <v>Sampai</v>
      </c>
      <c r="I69" s="546" t="str">
        <f>IFERROR(__xludf.DUMMYFUNCTION("""COMPUTED_VALUE""")," Concept 1")</f>
        <v> Concept 1</v>
      </c>
      <c r="J69" s="540" t="str">
        <f>IFERROR(__xludf.DUMMYFUNCTION("""COMPUTED_VALUE"""),"https://vt.tiktok.com/ZS9dntomQ/")</f>
        <v>https://vt.tiktok.com/ZS9dntomQ/</v>
      </c>
      <c r="K69" s="312" t="str">
        <f>IFERROR(__xludf.DUMMYFUNCTION("""COMPUTED_VALUE"""),"#iXxu0wcZoyPBVJBbLyrEmcODXPRzvG4tP02MZ1xiBCfHsOYeHRcSuRAm+piYLN8=")</f>
        <v>#iXxu0wcZoyPBVJBbLyrEmcODXPRzvG4tP02MZ1xiBCfHsOYeHRcSuRAm+piYLN8=</v>
      </c>
      <c r="L69" s="546" t="str">
        <f>IFERROR(__xludf.DUMMYFUNCTION("""COMPUTED_VALUE"""),"Concept 2")</f>
        <v>Concept 2</v>
      </c>
      <c r="M69" s="540" t="str">
        <f>IFERROR(__xludf.DUMMYFUNCTION("""COMPUTED_VALUE"""),"https://vt.tiktok.com/ZS9RH476Y/")</f>
        <v>https://vt.tiktok.com/ZS9RH476Y/</v>
      </c>
      <c r="N69" s="541" t="str">
        <f>IFERROR(__xludf.DUMMYFUNCTION("""COMPUTED_VALUE"""),"#IJjgzGIFEVKT7xDrN7Ot1YekSAKNyOXy0XkoZ8+1ypPgDBOEz6DgX0VFRA7zsgM=")</f>
        <v>#IJjgzGIFEVKT7xDrN7Ot1YekSAKNyOXy0XkoZ8+1ypPgDBOEz6DgX0VFRA7zsgM=</v>
      </c>
      <c r="O69" s="541"/>
      <c r="P69" s="541"/>
      <c r="Q69" s="312"/>
      <c r="R69" s="286"/>
      <c r="S69" s="286"/>
      <c r="T69" s="286"/>
      <c r="U69" s="286"/>
      <c r="V69" s="286"/>
      <c r="W69" s="286"/>
      <c r="X69" s="286"/>
      <c r="Y69" s="286"/>
      <c r="Z69" s="286"/>
      <c r="AA69" s="286"/>
      <c r="AB69" s="286"/>
    </row>
    <row r="70">
      <c r="A70" s="307" t="str">
        <f>IFERROR(__xludf.DUMMYFUNCTION("""COMPUTED_VALUE"""),"MACRO")</f>
        <v>MACRO</v>
      </c>
      <c r="B70" s="318" t="str">
        <f>IFERROR(__xludf.DUMMYFUNCTION("""COMPUTED_VALUE"""),"raninuraeni143")</f>
        <v>raninuraeni143</v>
      </c>
      <c r="C70" s="535" t="str">
        <f>IFERROR(__xludf.DUMMYFUNCTION("""COMPUTED_VALUE"""),"https://www.tiktok.com/@raninuraeni143")</f>
        <v>https://www.tiktok.com/@raninuraeni143</v>
      </c>
      <c r="D70" s="316">
        <f>IFERROR(__xludf.DUMMYFUNCTION("""COMPUTED_VALUE"""),8.1460921508E10)</f>
        <v>81460921508</v>
      </c>
      <c r="E70" s="545">
        <f>IFERROR(__xludf.DUMMYFUNCTION("""COMPUTED_VALUE"""),50000.0)</f>
        <v>50000</v>
      </c>
      <c r="F70" s="316">
        <f>IFERROR(__xludf.DUMMYFUNCTION("""COMPUTED_VALUE"""),2.0)</f>
        <v>2</v>
      </c>
      <c r="G70" s="538" t="str">
        <f>IFERROR(__xludf.DUMMYFUNCTION("""COMPUTED_VALUE"""),"Glowing Face Wash")</f>
        <v>Glowing Face Wash</v>
      </c>
      <c r="H70" s="463" t="str">
        <f>IFERROR(__xludf.DUMMYFUNCTION("""COMPUTED_VALUE"""),"Sampai")</f>
        <v>Sampai</v>
      </c>
      <c r="I70" s="546" t="str">
        <f>IFERROR(__xludf.DUMMYFUNCTION("""COMPUTED_VALUE"""),"Concept 2")</f>
        <v>Concept 2</v>
      </c>
      <c r="J70" s="540" t="str">
        <f>IFERROR(__xludf.DUMMYFUNCTION("""COMPUTED_VALUE"""),"https://vt.tiktok.com/ZS9dsjUAq/")</f>
        <v>https://vt.tiktok.com/ZS9dsjUAq/</v>
      </c>
      <c r="K70" s="312" t="str">
        <f>IFERROR(__xludf.DUMMYFUNCTION("""COMPUTED_VALUE"""),"#1C0Ie29wrt1tcgAHvqAJtim00zBfC/j1hvVHnduB4OvuqrkhUiaCxFuMCD9BhqY=")</f>
        <v>#1C0Ie29wrt1tcgAHvqAJtim00zBfC/j1hvVHnduB4OvuqrkhUiaCxFuMCD9BhqY=</v>
      </c>
      <c r="L70" s="546" t="str">
        <f>IFERROR(__xludf.DUMMYFUNCTION("""COMPUTED_VALUE"""),"Concept 2")</f>
        <v>Concept 2</v>
      </c>
      <c r="M70" s="540" t="str">
        <f>IFERROR(__xludf.DUMMYFUNCTION("""COMPUTED_VALUE"""),"https://vt.tiktok.com/ZS99t2XK1/ ")</f>
        <v>https://vt.tiktok.com/ZS99t2XK1/ </v>
      </c>
      <c r="N70" s="541" t="str">
        <f>IFERROR(__xludf.DUMMYFUNCTION("""COMPUTED_VALUE"""),"#4zYTipgYKEmG/XVqOzEiUAIPrDcGQRVSU/YHUDkKQxs8iLAi1LIJmr+q0LSWqPw=")</f>
        <v>#4zYTipgYKEmG/XVqOzEiUAIPrDcGQRVSU/YHUDkKQxs8iLAi1LIJmr+q0LSWqPw=</v>
      </c>
      <c r="O70" s="541"/>
      <c r="P70" s="541"/>
      <c r="Q70" s="312"/>
      <c r="R70" s="286"/>
      <c r="S70" s="286"/>
      <c r="T70" s="286"/>
      <c r="U70" s="286"/>
      <c r="V70" s="286"/>
      <c r="W70" s="286"/>
      <c r="X70" s="286"/>
      <c r="Y70" s="286"/>
      <c r="Z70" s="286"/>
      <c r="AA70" s="286"/>
      <c r="AB70" s="286"/>
    </row>
    <row r="71">
      <c r="A71" s="307" t="str">
        <f>IFERROR(__xludf.DUMMYFUNCTION("""COMPUTED_VALUE"""),"MICRO")</f>
        <v>MICRO</v>
      </c>
      <c r="B71" s="547" t="str">
        <f>IFERROR(__xludf.DUMMYFUNCTION("""COMPUTED_VALUE"""),"itsme_enjesyn")</f>
        <v>itsme_enjesyn</v>
      </c>
      <c r="C71" s="535" t="str">
        <f>IFERROR(__xludf.DUMMYFUNCTION("""COMPUTED_VALUE"""),"https://www.tiktok.com/@itsme_enjesyn")</f>
        <v>https://www.tiktok.com/@itsme_enjesyn</v>
      </c>
      <c r="D71" s="316">
        <f>IFERROR(__xludf.DUMMYFUNCTION("""COMPUTED_VALUE"""),8.2280809055E10)</f>
        <v>82280809055</v>
      </c>
      <c r="E71" s="545">
        <f>IFERROR(__xludf.DUMMYFUNCTION("""COMPUTED_VALUE"""),50000.0)</f>
        <v>50000</v>
      </c>
      <c r="F71" s="316">
        <f>IFERROR(__xludf.DUMMYFUNCTION("""COMPUTED_VALUE"""),2.0)</f>
        <v>2</v>
      </c>
      <c r="G71" s="538" t="str">
        <f>IFERROR(__xludf.DUMMYFUNCTION("""COMPUTED_VALUE"""),"Glowing Face Wash")</f>
        <v>Glowing Face Wash</v>
      </c>
      <c r="H71" s="463" t="str">
        <f>IFERROR(__xludf.DUMMYFUNCTION("""COMPUTED_VALUE"""),"Sampai")</f>
        <v>Sampai</v>
      </c>
      <c r="I71" s="546" t="str">
        <f>IFERROR(__xludf.DUMMYFUNCTION("""COMPUTED_VALUE""")," Concept 1")</f>
        <v> Concept 1</v>
      </c>
      <c r="J71" s="540" t="str">
        <f>IFERROR(__xludf.DUMMYFUNCTION("""COMPUTED_VALUE"""),"https://www.tiktok.com/@itsme_enjesyn/video/7633302193608641813")</f>
        <v>https://www.tiktok.com/@itsme_enjesyn/video/7633302193608641813</v>
      </c>
      <c r="K71" s="312" t="str">
        <f>IFERROR(__xludf.DUMMYFUNCTION("""COMPUTED_VALUE"""),"#5zL/ZgRix25jztlupwE3zYpyWVDP5LtZP8qiV8ieoEL/naQwstIN6FfQ+hJW9ws=")</f>
        <v>#5zL/ZgRix25jztlupwE3zYpyWVDP5LtZP8qiV8ieoEL/naQwstIN6FfQ+hJW9ws=</v>
      </c>
      <c r="L71" s="546" t="str">
        <f>IFERROR(__xludf.DUMMYFUNCTION("""COMPUTED_VALUE"""),"Concept 2")</f>
        <v>Concept 2</v>
      </c>
      <c r="M71" s="540" t="str">
        <f>IFERROR(__xludf.DUMMYFUNCTION("""COMPUTED_VALUE"""),"https://www.tiktok.com/@itsme_enjesyn/video/7633310841495948565")</f>
        <v>https://www.tiktok.com/@itsme_enjesyn/video/7633310841495948565</v>
      </c>
      <c r="N71" s="541" t="str">
        <f>IFERROR(__xludf.DUMMYFUNCTION("""COMPUTED_VALUE"""),"#TKgZneM3lzAVKhsN+/YcY7dsysJwIBnecZ+CNk4+Wo2tRZwXkfC/uCRZu5U+O+o=")</f>
        <v>#TKgZneM3lzAVKhsN+/YcY7dsysJwIBnecZ+CNk4+Wo2tRZwXkfC/uCRZu5U+O+o=</v>
      </c>
      <c r="O71" s="541"/>
      <c r="P71" s="541"/>
      <c r="Q71" s="312"/>
      <c r="R71" s="286"/>
      <c r="S71" s="286"/>
      <c r="T71" s="286"/>
      <c r="U71" s="286"/>
      <c r="V71" s="286"/>
      <c r="W71" s="286"/>
      <c r="X71" s="286"/>
      <c r="Y71" s="286"/>
      <c r="Z71" s="286"/>
      <c r="AA71" s="286"/>
      <c r="AB71" s="286"/>
    </row>
    <row r="72">
      <c r="A72" s="307" t="str">
        <f>IFERROR(__xludf.DUMMYFUNCTION("""COMPUTED_VALUE"""),"MICRO")</f>
        <v>MICRO</v>
      </c>
      <c r="B72" s="318" t="str">
        <f>IFERROR(__xludf.DUMMYFUNCTION("""COMPUTED_VALUE"""),"meirayu2")</f>
        <v>meirayu2</v>
      </c>
      <c r="C72" s="535" t="str">
        <f>IFERROR(__xludf.DUMMYFUNCTION("""COMPUTED_VALUE"""),"https://www.tiktok.com/@meirayu2")</f>
        <v>https://www.tiktok.com/@meirayu2</v>
      </c>
      <c r="D72" s="316">
        <f>IFERROR(__xludf.DUMMYFUNCTION("""COMPUTED_VALUE"""),8.1310949206E10)</f>
        <v>81310949206</v>
      </c>
      <c r="E72" s="545">
        <f>IFERROR(__xludf.DUMMYFUNCTION("""COMPUTED_VALUE"""),50000.0)</f>
        <v>50000</v>
      </c>
      <c r="F72" s="316">
        <f>IFERROR(__xludf.DUMMYFUNCTION("""COMPUTED_VALUE"""),2.0)</f>
        <v>2</v>
      </c>
      <c r="G72" s="538" t="str">
        <f>IFERROR(__xludf.DUMMYFUNCTION("""COMPUTED_VALUE"""),"Acne Face Wash")</f>
        <v>Acne Face Wash</v>
      </c>
      <c r="H72" s="463" t="str">
        <f>IFERROR(__xludf.DUMMYFUNCTION("""COMPUTED_VALUE"""),"Sampai")</f>
        <v>Sampai</v>
      </c>
      <c r="I72" s="546" t="str">
        <f>IFERROR(__xludf.DUMMYFUNCTION("""COMPUTED_VALUE"""),"Concept 2")</f>
        <v>Concept 2</v>
      </c>
      <c r="J72" s="540" t="str">
        <f>IFERROR(__xludf.DUMMYFUNCTION("""COMPUTED_VALUE"""),"https://vt.tiktok.com/ZS9RVSufG/")</f>
        <v>https://vt.tiktok.com/ZS9RVSufG/</v>
      </c>
      <c r="K72" s="312" t="str">
        <f>IFERROR(__xludf.DUMMYFUNCTION("""COMPUTED_VALUE"""),"#4boYpGKxhn8PFBKfq36POspxlwfZuW9Zk+VZv75P3DWbbFON9lVTTX8DRKgk010=")</f>
        <v>#4boYpGKxhn8PFBKfq36POspxlwfZuW9Zk+VZv75P3DWbbFON9lVTTX8DRKgk010=</v>
      </c>
      <c r="L72" s="546" t="str">
        <f>IFERROR(__xludf.DUMMYFUNCTION("""COMPUTED_VALUE""")," Concept 1")</f>
        <v> Concept 1</v>
      </c>
      <c r="M72" s="540" t="str">
        <f>IFERROR(__xludf.DUMMYFUNCTION("""COMPUTED_VALUE"""),"https://vt.tiktok.com/ZS99us4Lr/")</f>
        <v>https://vt.tiktok.com/ZS99us4Lr/</v>
      </c>
      <c r="N72" s="541" t="str">
        <f>IFERROR(__xludf.DUMMYFUNCTION("""COMPUTED_VALUE"""),"#bV9cC4rfjAoa41qQCyYn8PoY/DJchRRmMxnUbYQDu4r1WjTtc6S6Ku1qoh+jUuE=")</f>
        <v>#bV9cC4rfjAoa41qQCyYn8PoY/DJchRRmMxnUbYQDu4r1WjTtc6S6Ku1qoh+jUuE=</v>
      </c>
      <c r="O72" s="541"/>
      <c r="P72" s="541"/>
      <c r="Q72" s="312"/>
      <c r="R72" s="286"/>
      <c r="S72" s="286"/>
      <c r="T72" s="286"/>
      <c r="U72" s="286"/>
      <c r="V72" s="286"/>
      <c r="W72" s="286"/>
      <c r="X72" s="286"/>
      <c r="Y72" s="286"/>
      <c r="Z72" s="286"/>
      <c r="AA72" s="286"/>
      <c r="AB72" s="286"/>
    </row>
    <row r="73">
      <c r="A73" s="307" t="str">
        <f>IFERROR(__xludf.DUMMYFUNCTION("""COMPUTED_VALUE"""),"MICRO")</f>
        <v>MICRO</v>
      </c>
      <c r="B73" s="318" t="str">
        <f>IFERROR(__xludf.DUMMYFUNCTION("""COMPUTED_VALUE"""),"matchaaa.cha4")</f>
        <v>matchaaa.cha4</v>
      </c>
      <c r="C73" s="535" t="str">
        <f>IFERROR(__xludf.DUMMYFUNCTION("""COMPUTED_VALUE"""),"https://www.tiktok.com/@matchaaa.cha4")</f>
        <v>https://www.tiktok.com/@matchaaa.cha4</v>
      </c>
      <c r="D73" s="316">
        <f>IFERROR(__xludf.DUMMYFUNCTION("""COMPUTED_VALUE"""),8.81011136725E11)</f>
        <v>881011136725</v>
      </c>
      <c r="E73" s="545">
        <f>IFERROR(__xludf.DUMMYFUNCTION("""COMPUTED_VALUE"""),50000.0)</f>
        <v>50000</v>
      </c>
      <c r="F73" s="316">
        <f>IFERROR(__xludf.DUMMYFUNCTION("""COMPUTED_VALUE"""),2.0)</f>
        <v>2</v>
      </c>
      <c r="G73" s="538" t="str">
        <f>IFERROR(__xludf.DUMMYFUNCTION("""COMPUTED_VALUE"""),"Acne Face Wash")</f>
        <v>Acne Face Wash</v>
      </c>
      <c r="H73" s="463" t="str">
        <f>IFERROR(__xludf.DUMMYFUNCTION("""COMPUTED_VALUE"""),"Sampai")</f>
        <v>Sampai</v>
      </c>
      <c r="I73" s="546" t="str">
        <f>IFERROR(__xludf.DUMMYFUNCTION("""COMPUTED_VALUE""")," Concept 1")</f>
        <v> Concept 1</v>
      </c>
      <c r="J73" s="540" t="str">
        <f>IFERROR(__xludf.DUMMYFUNCTION("""COMPUTED_VALUE"""),"https://vt.tiktok.com/ZS9Ck1aoT/ ")</f>
        <v>https://vt.tiktok.com/ZS9Ck1aoT/ </v>
      </c>
      <c r="K73" s="312" t="str">
        <f>IFERROR(__xludf.DUMMYFUNCTION("""COMPUTED_VALUE"""),"#h4r6RG6AOdzzk43rjoeENj8NX5pcp+9L3+FSWgEoA0UwMY35cCYLsBbX7hAzjNI=")</f>
        <v>#h4r6RG6AOdzzk43rjoeENj8NX5pcp+9L3+FSWgEoA0UwMY35cCYLsBbX7hAzjNI=</v>
      </c>
      <c r="L73" s="546" t="str">
        <f>IFERROR(__xludf.DUMMYFUNCTION("""COMPUTED_VALUE"""),"Concept 2")</f>
        <v>Concept 2</v>
      </c>
      <c r="M73" s="540" t="str">
        <f>IFERROR(__xludf.DUMMYFUNCTION("""COMPUTED_VALUE"""),"https://vt.tiktok.com/ZSxe9QGUe/ ")</f>
        <v>https://vt.tiktok.com/ZSxe9QGUe/ </v>
      </c>
      <c r="N73" s="541" t="str">
        <f>IFERROR(__xludf.DUMMYFUNCTION("""COMPUTED_VALUE"""),"#9q2YnEN86rlXU/4sY8q4cJlwfD4hK4L94wxmyqlJcNY6DwgqKRQT5dQjtMppiNY=")</f>
        <v>#9q2YnEN86rlXU/4sY8q4cJlwfD4hK4L94wxmyqlJcNY6DwgqKRQT5dQjtMppiNY=</v>
      </c>
      <c r="O73" s="541"/>
      <c r="P73" s="541"/>
      <c r="Q73" s="312"/>
      <c r="R73" s="286"/>
      <c r="S73" s="286"/>
      <c r="T73" s="286"/>
      <c r="U73" s="286"/>
      <c r="V73" s="286"/>
      <c r="W73" s="286"/>
      <c r="X73" s="286"/>
      <c r="Y73" s="286"/>
      <c r="Z73" s="286"/>
      <c r="AA73" s="286"/>
      <c r="AB73" s="286"/>
    </row>
    <row r="74">
      <c r="A74" s="307" t="str">
        <f>IFERROR(__xludf.DUMMYFUNCTION("""COMPUTED_VALUE"""),"MICRO")</f>
        <v>MICRO</v>
      </c>
      <c r="B74" s="318" t="str">
        <f>IFERROR(__xludf.DUMMYFUNCTION("""COMPUTED_VALUE"""),"ini_uniii")</f>
        <v>ini_uniii</v>
      </c>
      <c r="C74" s="535" t="str">
        <f>IFERROR(__xludf.DUMMYFUNCTION("""COMPUTED_VALUE"""),"https://www.tiktok.com/@ini_uniii")</f>
        <v>https://www.tiktok.com/@ini_uniii</v>
      </c>
      <c r="D74" s="316">
        <f>IFERROR(__xludf.DUMMYFUNCTION("""COMPUTED_VALUE"""),8.9677135405E10)</f>
        <v>89677135405</v>
      </c>
      <c r="E74" s="545">
        <f>IFERROR(__xludf.DUMMYFUNCTION("""COMPUTED_VALUE"""),50000.0)</f>
        <v>50000</v>
      </c>
      <c r="F74" s="316">
        <f>IFERROR(__xludf.DUMMYFUNCTION("""COMPUTED_VALUE"""),2.0)</f>
        <v>2</v>
      </c>
      <c r="G74" s="538" t="str">
        <f>IFERROR(__xludf.DUMMYFUNCTION("""COMPUTED_VALUE"""),"Glowing Face Wash")</f>
        <v>Glowing Face Wash</v>
      </c>
      <c r="H74" s="463" t="str">
        <f>IFERROR(__xludf.DUMMYFUNCTION("""COMPUTED_VALUE"""),"Sampai")</f>
        <v>Sampai</v>
      </c>
      <c r="I74" s="546" t="str">
        <f>IFERROR(__xludf.DUMMYFUNCTION("""COMPUTED_VALUE""")," Concept 1")</f>
        <v> Concept 1</v>
      </c>
      <c r="J74" s="540" t="str">
        <f>IFERROR(__xludf.DUMMYFUNCTION("""COMPUTED_VALUE"""),"https://vt.tiktok.com/ZS9hFrEbP/ ")</f>
        <v>https://vt.tiktok.com/ZS9hFrEbP/ </v>
      </c>
      <c r="K74" s="312" t="str">
        <f>IFERROR(__xludf.DUMMYFUNCTION("""COMPUTED_VALUE"""),"#8VTdr93VjQNO3aoZALTtTpVvC8/wBwIz+mgGP86Myh45nY7hG3NJ52cqtWPTktw=")</f>
        <v>#8VTdr93VjQNO3aoZALTtTpVvC8/wBwIz+mgGP86Myh45nY7hG3NJ52cqtWPTktw=</v>
      </c>
      <c r="L74" s="546" t="str">
        <f>IFERROR(__xludf.DUMMYFUNCTION("""COMPUTED_VALUE"""),"Concept 2")</f>
        <v>Concept 2</v>
      </c>
      <c r="M74" s="540" t="str">
        <f>IFERROR(__xludf.DUMMYFUNCTION("""COMPUTED_VALUE"""),"https://vt.tiktok.com/ZS9xM2dA4/ ")</f>
        <v>https://vt.tiktok.com/ZS9xM2dA4/ </v>
      </c>
      <c r="N74" s="541" t="str">
        <f>IFERROR(__xludf.DUMMYFUNCTION("""COMPUTED_VALUE"""),"#fKNYx/+h7lviC0NWBLQ/ejoGw92S6o9TtHYqgCZUMnzKQsDsWBlYGwJ0fE7dfaE=")</f>
        <v>#fKNYx/+h7lviC0NWBLQ/ejoGw92S6o9TtHYqgCZUMnzKQsDsWBlYGwJ0fE7dfaE=</v>
      </c>
      <c r="O74" s="541"/>
      <c r="P74" s="541"/>
      <c r="Q74" s="312"/>
      <c r="R74" s="286"/>
      <c r="S74" s="286"/>
      <c r="T74" s="286"/>
      <c r="U74" s="286"/>
      <c r="V74" s="286"/>
      <c r="W74" s="286"/>
      <c r="X74" s="286"/>
      <c r="Y74" s="286"/>
      <c r="Z74" s="286"/>
      <c r="AA74" s="286"/>
      <c r="AB74" s="286"/>
    </row>
    <row r="75">
      <c r="A75" s="307" t="str">
        <f>IFERROR(__xludf.DUMMYFUNCTION("""COMPUTED_VALUE"""),"MACRO")</f>
        <v>MACRO</v>
      </c>
      <c r="B75" s="318" t="str">
        <f>IFERROR(__xludf.DUMMYFUNCTION("""COMPUTED_VALUE"""),"anayeppeo77")</f>
        <v>anayeppeo77</v>
      </c>
      <c r="C75" s="535" t="str">
        <f>IFERROR(__xludf.DUMMYFUNCTION("""COMPUTED_VALUE"""),"https://www.tiktok.com/@anayeppeo77")</f>
        <v>https://www.tiktok.com/@anayeppeo77</v>
      </c>
      <c r="D75" s="316">
        <f>IFERROR(__xludf.DUMMYFUNCTION("""COMPUTED_VALUE"""),8.5272657877E10)</f>
        <v>85272657877</v>
      </c>
      <c r="E75" s="545">
        <f>IFERROR(__xludf.DUMMYFUNCTION("""COMPUTED_VALUE"""),50000.0)</f>
        <v>50000</v>
      </c>
      <c r="F75" s="316">
        <f>IFERROR(__xludf.DUMMYFUNCTION("""COMPUTED_VALUE"""),2.0)</f>
        <v>2</v>
      </c>
      <c r="G75" s="538" t="str">
        <f>IFERROR(__xludf.DUMMYFUNCTION("""COMPUTED_VALUE"""),"Glowing Face Wash")</f>
        <v>Glowing Face Wash</v>
      </c>
      <c r="H75" s="463" t="str">
        <f>IFERROR(__xludf.DUMMYFUNCTION("""COMPUTED_VALUE"""),"Sampai")</f>
        <v>Sampai</v>
      </c>
      <c r="I75" s="546" t="str">
        <f>IFERROR(__xludf.DUMMYFUNCTION("""COMPUTED_VALUE"""),"Concept 2")</f>
        <v>Concept 2</v>
      </c>
      <c r="J75" s="540" t="str">
        <f>IFERROR(__xludf.DUMMYFUNCTION("""COMPUTED_VALUE"""),"https://vt.tiktok.com/ZS9e1Sobv/")</f>
        <v>https://vt.tiktok.com/ZS9e1Sobv/</v>
      </c>
      <c r="K75" s="312" t="str">
        <f>IFERROR(__xludf.DUMMYFUNCTION("""COMPUTED_VALUE"""),"#qZh2xqIROtxBzSuPEA09Sys//aoo0LeXsuxEDI4LzwbxggDqp2IwZN5qOFcpQKM=")</f>
        <v>#qZh2xqIROtxBzSuPEA09Sys//aoo0LeXsuxEDI4LzwbxggDqp2IwZN5qOFcpQKM=</v>
      </c>
      <c r="L75" s="546" t="str">
        <f>IFERROR(__xludf.DUMMYFUNCTION("""COMPUTED_VALUE""")," Concept 1")</f>
        <v> Concept 1</v>
      </c>
      <c r="M75" s="540" t="str">
        <f>IFERROR(__xludf.DUMMYFUNCTION("""COMPUTED_VALUE"""),"https://vt.tiktok.com/ZS9FG81oa/")</f>
        <v>https://vt.tiktok.com/ZS9FG81oa/</v>
      </c>
      <c r="N75" s="541" t="str">
        <f>IFERROR(__xludf.DUMMYFUNCTION("""COMPUTED_VALUE"""),"#w5R7h3ZWwrYgNIbOtSyg/iUTWjis9f0wT5puNmPTGRY7MhD5zr5Q+Ik8B78VjuU=")</f>
        <v>#w5R7h3ZWwrYgNIbOtSyg/iUTWjis9f0wT5puNmPTGRY7MhD5zr5Q+Ik8B78VjuU=</v>
      </c>
      <c r="O75" s="541"/>
      <c r="P75" s="541"/>
      <c r="Q75" s="312"/>
      <c r="R75" s="286"/>
      <c r="S75" s="286"/>
      <c r="T75" s="286"/>
      <c r="U75" s="286"/>
      <c r="V75" s="286"/>
      <c r="W75" s="286"/>
      <c r="X75" s="286"/>
      <c r="Y75" s="286"/>
      <c r="Z75" s="286"/>
      <c r="AA75" s="286"/>
      <c r="AB75" s="286"/>
    </row>
    <row r="76">
      <c r="A76" s="307" t="str">
        <f>IFERROR(__xludf.DUMMYFUNCTION("""COMPUTED_VALUE"""),"MICRO")</f>
        <v>MICRO</v>
      </c>
      <c r="B76" s="318" t="str">
        <f>IFERROR(__xludf.DUMMYFUNCTION("""COMPUTED_VALUE"""),"queena_03kl")</f>
        <v>queena_03kl</v>
      </c>
      <c r="C76" s="535" t="str">
        <f>IFERROR(__xludf.DUMMYFUNCTION("""COMPUTED_VALUE"""),"https://www.tiktok.com/@queena_03kl")</f>
        <v>https://www.tiktok.com/@queena_03kl</v>
      </c>
      <c r="D76" s="316">
        <f>IFERROR(__xludf.DUMMYFUNCTION("""COMPUTED_VALUE"""),8.59552513E10)</f>
        <v>85955251300</v>
      </c>
      <c r="E76" s="545">
        <f>IFERROR(__xludf.DUMMYFUNCTION("""COMPUTED_VALUE"""),50000.0)</f>
        <v>50000</v>
      </c>
      <c r="F76" s="316">
        <f>IFERROR(__xludf.DUMMYFUNCTION("""COMPUTED_VALUE"""),2.0)</f>
        <v>2</v>
      </c>
      <c r="G76" s="538" t="str">
        <f>IFERROR(__xludf.DUMMYFUNCTION("""COMPUTED_VALUE"""),"Glowing Face Wash")</f>
        <v>Glowing Face Wash</v>
      </c>
      <c r="H76" s="463" t="str">
        <f>IFERROR(__xludf.DUMMYFUNCTION("""COMPUTED_VALUE"""),"Sampai")</f>
        <v>Sampai</v>
      </c>
      <c r="I76" s="546" t="str">
        <f>IFERROR(__xludf.DUMMYFUNCTION("""COMPUTED_VALUE""")," Concept 1")</f>
        <v> Concept 1</v>
      </c>
      <c r="J76" s="540" t="str">
        <f>IFERROR(__xludf.DUMMYFUNCTION("""COMPUTED_VALUE"""),"https://vt.tiktok.com/ZSxreEtq7/")</f>
        <v>https://vt.tiktok.com/ZSxreEtq7/</v>
      </c>
      <c r="K76" s="312" t="str">
        <f>IFERROR(__xludf.DUMMYFUNCTION("""COMPUTED_VALUE"""),"#sLH+ivviRZyYg15dWON+fttHgkneGqImlcvLeY6Z491de0vFjmgmbEI2vg4RCFw=")</f>
        <v>#sLH+ivviRZyYg15dWON+fttHgkneGqImlcvLeY6Z491de0vFjmgmbEI2vg4RCFw=</v>
      </c>
      <c r="L76" s="546" t="str">
        <f>IFERROR(__xludf.DUMMYFUNCTION("""COMPUTED_VALUE"""),"Concept 2")</f>
        <v>Concept 2</v>
      </c>
      <c r="M76" s="540" t="str">
        <f>IFERROR(__xludf.DUMMYFUNCTION("""COMPUTED_VALUE"""),"https://vt.tiktok.com/ZS9QcbR7y/ ")</f>
        <v>https://vt.tiktok.com/ZS9QcbR7y/ </v>
      </c>
      <c r="N76" s="541" t="str">
        <f>IFERROR(__xludf.DUMMYFUNCTION("""COMPUTED_VALUE"""),"#C1MQT4GuQF5ECzHVC8+ZYvnLfLCV2tJ5gazMSScR67bWtI+0wvKZMMQ2NvIEsHk=")</f>
        <v>#C1MQT4GuQF5ECzHVC8+ZYvnLfLCV2tJ5gazMSScR67bWtI+0wvKZMMQ2NvIEsHk=</v>
      </c>
      <c r="O76" s="541"/>
      <c r="P76" s="541"/>
      <c r="Q76" s="312"/>
      <c r="R76" s="286"/>
      <c r="S76" s="286"/>
      <c r="T76" s="286"/>
      <c r="U76" s="286"/>
      <c r="V76" s="286"/>
      <c r="W76" s="286"/>
      <c r="X76" s="286"/>
      <c r="Y76" s="286"/>
      <c r="Z76" s="286"/>
      <c r="AA76" s="286"/>
      <c r="AB76" s="286"/>
    </row>
    <row r="77">
      <c r="A77" s="307" t="str">
        <f>IFERROR(__xludf.DUMMYFUNCTION("""COMPUTED_VALUE"""),"MACRO")</f>
        <v>MACRO</v>
      </c>
      <c r="B77" s="318" t="str">
        <f>IFERROR(__xludf.DUMMYFUNCTION("""COMPUTED_VALUE"""),"haymawardah12")</f>
        <v>haymawardah12</v>
      </c>
      <c r="C77" s="535" t="str">
        <f>IFERROR(__xludf.DUMMYFUNCTION("""COMPUTED_VALUE"""),"https://www.tiktok.com/@haymawardah12")</f>
        <v>https://www.tiktok.com/@haymawardah12</v>
      </c>
      <c r="D77" s="316">
        <f>IFERROR(__xludf.DUMMYFUNCTION("""COMPUTED_VALUE"""),8.5123692926E10)</f>
        <v>85123692926</v>
      </c>
      <c r="E77" s="545">
        <f>IFERROR(__xludf.DUMMYFUNCTION("""COMPUTED_VALUE"""),50000.0)</f>
        <v>50000</v>
      </c>
      <c r="F77" s="316">
        <f>IFERROR(__xludf.DUMMYFUNCTION("""COMPUTED_VALUE"""),2.0)</f>
        <v>2</v>
      </c>
      <c r="G77" s="538" t="str">
        <f>IFERROR(__xludf.DUMMYFUNCTION("""COMPUTED_VALUE"""),"Glowing Face Wash")</f>
        <v>Glowing Face Wash</v>
      </c>
      <c r="H77" s="463" t="str">
        <f>IFERROR(__xludf.DUMMYFUNCTION("""COMPUTED_VALUE"""),"Sampai")</f>
        <v>Sampai</v>
      </c>
      <c r="I77" s="546" t="str">
        <f>IFERROR(__xludf.DUMMYFUNCTION("""COMPUTED_VALUE""")," Concept 1")</f>
        <v> Concept 1</v>
      </c>
      <c r="J77" s="540" t="str">
        <f>IFERROR(__xludf.DUMMYFUNCTION("""COMPUTED_VALUE"""),"https://vt.tiktok.com/ZS9ycNPrp/ ")</f>
        <v>https://vt.tiktok.com/ZS9ycNPrp/ </v>
      </c>
      <c r="K77" s="312" t="str">
        <f>IFERROR(__xludf.DUMMYFUNCTION("""COMPUTED_VALUE"""),"#sN30hoi571YTbDNBzsqctAzl8iXDKvJWxl+0OrQCRW8Wjd2fM8b0ZzBxNMs1h44=")</f>
        <v>#sN30hoi571YTbDNBzsqctAzl8iXDKvJWxl+0OrQCRW8Wjd2fM8b0ZzBxNMs1h44=</v>
      </c>
      <c r="L77" s="546" t="str">
        <f>IFERROR(__xludf.DUMMYFUNCTION("""COMPUTED_VALUE"""),"Concept 2")</f>
        <v>Concept 2</v>
      </c>
      <c r="M77" s="540" t="str">
        <f>IFERROR(__xludf.DUMMYFUNCTION("""COMPUTED_VALUE"""),"https://vt.tiktok.com/ZS999WmBb/ ")</f>
        <v>https://vt.tiktok.com/ZS999WmBb/ </v>
      </c>
      <c r="N77" s="541" t="str">
        <f>IFERROR(__xludf.DUMMYFUNCTION("""COMPUTED_VALUE"""),"#v8RngoGh2/W2ee6893G39cKcAn5ifKrti2U73CkI1/kOBxzuAq4sib6nw46QM4M=")</f>
        <v>#v8RngoGh2/W2ee6893G39cKcAn5ifKrti2U73CkI1/kOBxzuAq4sib6nw46QM4M=</v>
      </c>
      <c r="O77" s="541"/>
      <c r="P77" s="541"/>
      <c r="Q77" s="312"/>
      <c r="R77" s="286"/>
      <c r="S77" s="286"/>
      <c r="T77" s="286"/>
      <c r="U77" s="286"/>
      <c r="V77" s="286"/>
      <c r="W77" s="286"/>
      <c r="X77" s="286"/>
      <c r="Y77" s="286"/>
      <c r="Z77" s="286"/>
      <c r="AA77" s="286"/>
      <c r="AB77" s="286"/>
    </row>
    <row r="78">
      <c r="A78" s="307" t="str">
        <f>IFERROR(__xludf.DUMMYFUNCTION("""COMPUTED_VALUE"""),"MACRO")</f>
        <v>MACRO</v>
      </c>
      <c r="B78" s="318" t="str">
        <f>IFERROR(__xludf.DUMMYFUNCTION("""COMPUTED_VALUE"""),"shofi_aliyatuningrum")</f>
        <v>shofi_aliyatuningrum</v>
      </c>
      <c r="C78" s="535" t="str">
        <f>IFERROR(__xludf.DUMMYFUNCTION("""COMPUTED_VALUE"""),"https://www.tiktok.com/@shofi_aliyatuningrum")</f>
        <v>https://www.tiktok.com/@shofi_aliyatuningrum</v>
      </c>
      <c r="D78" s="316">
        <f>IFERROR(__xludf.DUMMYFUNCTION("""COMPUTED_VALUE"""),8.5213690956E10)</f>
        <v>85213690956</v>
      </c>
      <c r="E78" s="545">
        <f>IFERROR(__xludf.DUMMYFUNCTION("""COMPUTED_VALUE"""),50000.0)</f>
        <v>50000</v>
      </c>
      <c r="F78" s="316">
        <f>IFERROR(__xludf.DUMMYFUNCTION("""COMPUTED_VALUE"""),2.0)</f>
        <v>2</v>
      </c>
      <c r="G78" s="538" t="str">
        <f>IFERROR(__xludf.DUMMYFUNCTION("""COMPUTED_VALUE"""),"Glowing Face Wash")</f>
        <v>Glowing Face Wash</v>
      </c>
      <c r="H78" s="463" t="str">
        <f>IFERROR(__xludf.DUMMYFUNCTION("""COMPUTED_VALUE"""),"Sampai")</f>
        <v>Sampai</v>
      </c>
      <c r="I78" s="546" t="str">
        <f>IFERROR(__xludf.DUMMYFUNCTION("""COMPUTED_VALUE"""),"Concept 2")</f>
        <v>Concept 2</v>
      </c>
      <c r="J78" s="540" t="str">
        <f>IFERROR(__xludf.DUMMYFUNCTION("""COMPUTED_VALUE"""),"https://vt.tiktok.com/ZS9x6wxbB/ ")</f>
        <v>https://vt.tiktok.com/ZS9x6wxbB/ </v>
      </c>
      <c r="K78" s="312" t="str">
        <f>IFERROR(__xludf.DUMMYFUNCTION("""COMPUTED_VALUE"""),"#PsCC8tbBvI2RZVDEv0wDzF1ns1TSl1DMkbwbqvRoo0MIsNyauTHb0uvKYX4DUDo=")</f>
        <v>#PsCC8tbBvI2RZVDEv0wDzF1ns1TSl1DMkbwbqvRoo0MIsNyauTHb0uvKYX4DUDo=</v>
      </c>
      <c r="L78" s="546" t="str">
        <f>IFERROR(__xludf.DUMMYFUNCTION("""COMPUTED_VALUE""")," Concept 1")</f>
        <v> Concept 1</v>
      </c>
      <c r="M78" s="540" t="str">
        <f>IFERROR(__xludf.DUMMYFUNCTION("""COMPUTED_VALUE"""),"https://vt.tiktok.com/ZS9C2aHLp/ ")</f>
        <v>https://vt.tiktok.com/ZS9C2aHLp/ </v>
      </c>
      <c r="N78" s="541" t="str">
        <f>IFERROR(__xludf.DUMMYFUNCTION("""COMPUTED_VALUE"""),"#Rdly/L9qyQ+FpaV6VZy6feR214JG5Php5bQPooUnQhV4/nS3IU0tXGxPImKAx6g=")</f>
        <v>#Rdly/L9qyQ+FpaV6VZy6feR214JG5Php5bQPooUnQhV4/nS3IU0tXGxPImKAx6g=</v>
      </c>
      <c r="O78" s="541"/>
      <c r="P78" s="541"/>
      <c r="Q78" s="312"/>
      <c r="R78" s="286"/>
      <c r="S78" s="286"/>
      <c r="T78" s="286"/>
      <c r="U78" s="286"/>
      <c r="V78" s="286"/>
      <c r="W78" s="286"/>
      <c r="X78" s="286"/>
      <c r="Y78" s="286"/>
      <c r="Z78" s="286"/>
      <c r="AA78" s="286"/>
      <c r="AB78" s="286"/>
    </row>
    <row r="79">
      <c r="A79" s="307" t="str">
        <f>IFERROR(__xludf.DUMMYFUNCTION("""COMPUTED_VALUE"""),"MACRO")</f>
        <v>MACRO</v>
      </c>
      <c r="B79" s="318" t="str">
        <f>IFERROR(__xludf.DUMMYFUNCTION("""COMPUTED_VALUE"""),"dreamyglow_up")</f>
        <v>dreamyglow_up</v>
      </c>
      <c r="C79" s="535" t="str">
        <f>IFERROR(__xludf.DUMMYFUNCTION("""COMPUTED_VALUE"""),"https://www.tiktok.com/@dreamyglow_up")</f>
        <v>https://www.tiktok.com/@dreamyglow_up</v>
      </c>
      <c r="D79" s="316">
        <f>IFERROR(__xludf.DUMMYFUNCTION("""COMPUTED_VALUE"""),8.5179568067E10)</f>
        <v>85179568067</v>
      </c>
      <c r="E79" s="545">
        <f>IFERROR(__xludf.DUMMYFUNCTION("""COMPUTED_VALUE"""),50000.0)</f>
        <v>50000</v>
      </c>
      <c r="F79" s="316">
        <f>IFERROR(__xludf.DUMMYFUNCTION("""COMPUTED_VALUE"""),2.0)</f>
        <v>2</v>
      </c>
      <c r="G79" s="538" t="str">
        <f>IFERROR(__xludf.DUMMYFUNCTION("""COMPUTED_VALUE"""),"Glowing Face Wash")</f>
        <v>Glowing Face Wash</v>
      </c>
      <c r="H79" s="463" t="str">
        <f>IFERROR(__xludf.DUMMYFUNCTION("""COMPUTED_VALUE"""),"Sampai")</f>
        <v>Sampai</v>
      </c>
      <c r="I79" s="546" t="str">
        <f>IFERROR(__xludf.DUMMYFUNCTION("""COMPUTED_VALUE"""),"Concept 2")</f>
        <v>Concept 2</v>
      </c>
      <c r="J79" s="540" t="str">
        <f>IFERROR(__xludf.DUMMYFUNCTION("""COMPUTED_VALUE"""),"https://vt.tiktok.com/ZSxPAk9Qs/ ")</f>
        <v>https://vt.tiktok.com/ZSxPAk9Qs/ </v>
      </c>
      <c r="K79" s="312" t="str">
        <f>IFERROR(__xludf.DUMMYFUNCTION("""COMPUTED_VALUE"""),"#F8DuRUFdyd12wmylHYHKF3AMALIKAUV2LMBwTNDh278G3QxuSfDXxKrIokVNQ60=")</f>
        <v>#F8DuRUFdyd12wmylHYHKF3AMALIKAUV2LMBwTNDh278G3QxuSfDXxKrIokVNQ60=</v>
      </c>
      <c r="L79" s="546" t="str">
        <f>IFERROR(__xludf.DUMMYFUNCTION("""COMPUTED_VALUE"""),"Concept 3")</f>
        <v>Concept 3</v>
      </c>
      <c r="M79" s="540" t="str">
        <f>IFERROR(__xludf.DUMMYFUNCTION("""COMPUTED_VALUE"""),"https://vt.tiktok.com/ZSxPABUsp/ ")</f>
        <v>https://vt.tiktok.com/ZSxPABUsp/ </v>
      </c>
      <c r="N79" s="541" t="str">
        <f>IFERROR(__xludf.DUMMYFUNCTION("""COMPUTED_VALUE"""),"#oAY13765BYchyhnn9iChHtvBS3Oj/aiBjQfWV8NyLXLALUjKIBKOM77YWZ0UtBE=")</f>
        <v>#oAY13765BYchyhnn9iChHtvBS3Oj/aiBjQfWV8NyLXLALUjKIBKOM77YWZ0UtBE=</v>
      </c>
      <c r="O79" s="541"/>
      <c r="P79" s="541"/>
      <c r="Q79" s="312"/>
      <c r="R79" s="286"/>
      <c r="S79" s="286"/>
      <c r="T79" s="286"/>
      <c r="U79" s="286"/>
      <c r="V79" s="286"/>
      <c r="W79" s="286"/>
      <c r="X79" s="286"/>
      <c r="Y79" s="286"/>
      <c r="Z79" s="286"/>
      <c r="AA79" s="286"/>
      <c r="AB79" s="286"/>
    </row>
    <row r="80">
      <c r="A80" s="307" t="str">
        <f>IFERROR(__xludf.DUMMYFUNCTION("""COMPUTED_VALUE"""),"MICRO")</f>
        <v>MICRO</v>
      </c>
      <c r="B80" s="318" t="str">
        <f>IFERROR(__xludf.DUMMYFUNCTION("""COMPUTED_VALUE"""),"yanpuspita05")</f>
        <v>yanpuspita05</v>
      </c>
      <c r="C80" s="535" t="str">
        <f>IFERROR(__xludf.DUMMYFUNCTION("""COMPUTED_VALUE"""),"https://www.tiktok.com/@yanpuspita05")</f>
        <v>https://www.tiktok.com/@yanpuspita05</v>
      </c>
      <c r="D80" s="316">
        <f>IFERROR(__xludf.DUMMYFUNCTION("""COMPUTED_VALUE"""),8.9519814486E10)</f>
        <v>89519814486</v>
      </c>
      <c r="E80" s="545">
        <f>IFERROR(__xludf.DUMMYFUNCTION("""COMPUTED_VALUE"""),50000.0)</f>
        <v>50000</v>
      </c>
      <c r="F80" s="316">
        <f>IFERROR(__xludf.DUMMYFUNCTION("""COMPUTED_VALUE"""),2.0)</f>
        <v>2</v>
      </c>
      <c r="G80" s="538" t="str">
        <f>IFERROR(__xludf.DUMMYFUNCTION("""COMPUTED_VALUE"""),"Acne Face Wash")</f>
        <v>Acne Face Wash</v>
      </c>
      <c r="H80" s="463" t="str">
        <f>IFERROR(__xludf.DUMMYFUNCTION("""COMPUTED_VALUE"""),"Sampai")</f>
        <v>Sampai</v>
      </c>
      <c r="I80" s="546" t="str">
        <f>IFERROR(__xludf.DUMMYFUNCTION("""COMPUTED_VALUE"""),"Concept 2")</f>
        <v>Concept 2</v>
      </c>
      <c r="J80" s="540" t="str">
        <f>IFERROR(__xludf.DUMMYFUNCTION("""COMPUTED_VALUE"""),"https://vt.tiktok.com/ZS9MQXSja/")</f>
        <v>https://vt.tiktok.com/ZS9MQXSja/</v>
      </c>
      <c r="K80" s="312" t="str">
        <f>IFERROR(__xludf.DUMMYFUNCTION("""COMPUTED_VALUE"""),"#0Her9W/ha6JlerFNU/cCB7ktmT5D0pzPuuCQ0r7jNEZB6VeWEX8dab0bNM3OA9M=")</f>
        <v>#0Her9W/ha6JlerFNU/cCB7ktmT5D0pzPuuCQ0r7jNEZB6VeWEX8dab0bNM3OA9M=</v>
      </c>
      <c r="L80" s="546" t="str">
        <f>IFERROR(__xludf.DUMMYFUNCTION("""COMPUTED_VALUE"""),"Concept 3")</f>
        <v>Concept 3</v>
      </c>
      <c r="M80" s="540" t="str">
        <f>IFERROR(__xludf.DUMMYFUNCTION("""COMPUTED_VALUE"""),"https://vt.tiktok.com/ZS9pE7x1d/ ")</f>
        <v>https://vt.tiktok.com/ZS9pE7x1d/ </v>
      </c>
      <c r="N80" s="541" t="str">
        <f>IFERROR(__xludf.DUMMYFUNCTION("""COMPUTED_VALUE"""),"#nqn/vwgdsQg7nIPsmtJZIbYyJDqem9+touBBwWG6ym64/KZ4FNFNixIBgF+OP6U=")</f>
        <v>#nqn/vwgdsQg7nIPsmtJZIbYyJDqem9+touBBwWG6ym64/KZ4FNFNixIBgF+OP6U=</v>
      </c>
      <c r="O80" s="541"/>
      <c r="P80" s="541"/>
      <c r="Q80" s="312"/>
      <c r="R80" s="286"/>
      <c r="S80" s="286"/>
      <c r="T80" s="286"/>
      <c r="U80" s="286"/>
      <c r="V80" s="286"/>
      <c r="W80" s="286"/>
      <c r="X80" s="286"/>
      <c r="Y80" s="286"/>
      <c r="Z80" s="286"/>
      <c r="AA80" s="286"/>
      <c r="AB80" s="286"/>
    </row>
    <row r="81">
      <c r="A81" s="307" t="str">
        <f>IFERROR(__xludf.DUMMYFUNCTION("""COMPUTED_VALUE"""),"MICRO")</f>
        <v>MICRO</v>
      </c>
      <c r="B81" s="318" t="str">
        <f>IFERROR(__xludf.DUMMYFUNCTION("""COMPUTED_VALUE"""),"inii.dyan")</f>
        <v>inii.dyan</v>
      </c>
      <c r="C81" s="535" t="str">
        <f>IFERROR(__xludf.DUMMYFUNCTION("""COMPUTED_VALUE"""),"https://www.tiktok.com/@inii.dyan")</f>
        <v>https://www.tiktok.com/@inii.dyan</v>
      </c>
      <c r="D81" s="316">
        <f>IFERROR(__xludf.DUMMYFUNCTION("""COMPUTED_VALUE"""),8.5641803383E10)</f>
        <v>85641803383</v>
      </c>
      <c r="E81" s="545">
        <f>IFERROR(__xludf.DUMMYFUNCTION("""COMPUTED_VALUE"""),50000.0)</f>
        <v>50000</v>
      </c>
      <c r="F81" s="316">
        <f>IFERROR(__xludf.DUMMYFUNCTION("""COMPUTED_VALUE"""),2.0)</f>
        <v>2</v>
      </c>
      <c r="G81" s="538" t="str">
        <f>IFERROR(__xludf.DUMMYFUNCTION("""COMPUTED_VALUE"""),"Acne Face Wash")</f>
        <v>Acne Face Wash</v>
      </c>
      <c r="H81" s="463" t="str">
        <f>IFERROR(__xludf.DUMMYFUNCTION("""COMPUTED_VALUE"""),"Sampai")</f>
        <v>Sampai</v>
      </c>
      <c r="I81" s="546" t="str">
        <f>IFERROR(__xludf.DUMMYFUNCTION("""COMPUTED_VALUE""")," Concept 1")</f>
        <v> Concept 1</v>
      </c>
      <c r="J81" s="540" t="str">
        <f>IFERROR(__xludf.DUMMYFUNCTION("""COMPUTED_VALUE"""),"https://vt.tiktok.com/ZS9Y7LpWH/")</f>
        <v>https://vt.tiktok.com/ZS9Y7LpWH/</v>
      </c>
      <c r="K81" s="312" t="str">
        <f>IFERROR(__xludf.DUMMYFUNCTION("""COMPUTED_VALUE"""),"#yhOplHvHirQm5SD/qWsUxQ5S6EuSqntQB842ceXnSJu2rSryPRUcDXsJmy1iceU=")</f>
        <v>#yhOplHvHirQm5SD/qWsUxQ5S6EuSqntQB842ceXnSJu2rSryPRUcDXsJmy1iceU=</v>
      </c>
      <c r="L81" s="546" t="str">
        <f>IFERROR(__xludf.DUMMYFUNCTION("""COMPUTED_VALUE"""),"Concept 3")</f>
        <v>Concept 3</v>
      </c>
      <c r="M81" s="540" t="str">
        <f>IFERROR(__xludf.DUMMYFUNCTION("""COMPUTED_VALUE"""),"https://vt.tiktok.com/ZS9MfQmMB/")</f>
        <v>https://vt.tiktok.com/ZS9MfQmMB/</v>
      </c>
      <c r="N81" s="541" t="str">
        <f>IFERROR(__xludf.DUMMYFUNCTION("""COMPUTED_VALUE"""),"#L/WLxmN5xy31ir5r3ccnR5urgZ39lLTd93Gku1PYSvDZ+Wt6w3Bb9tfM2+4K+uU=")</f>
        <v>#L/WLxmN5xy31ir5r3ccnR5urgZ39lLTd93Gku1PYSvDZ+Wt6w3Bb9tfM2+4K+uU=</v>
      </c>
      <c r="O81" s="541"/>
      <c r="P81" s="541"/>
      <c r="Q81" s="312"/>
      <c r="R81" s="286"/>
      <c r="S81" s="286"/>
      <c r="T81" s="286"/>
      <c r="U81" s="286"/>
      <c r="V81" s="286"/>
      <c r="W81" s="286"/>
      <c r="X81" s="286"/>
      <c r="Y81" s="286"/>
      <c r="Z81" s="286"/>
      <c r="AA81" s="286"/>
      <c r="AB81" s="286"/>
    </row>
    <row r="82">
      <c r="A82" s="307" t="str">
        <f>IFERROR(__xludf.DUMMYFUNCTION("""COMPUTED_VALUE"""),"MACRO")</f>
        <v>MACRO</v>
      </c>
      <c r="B82" s="318" t="str">
        <f>IFERROR(__xludf.DUMMYFUNCTION("""COMPUTED_VALUE"""),"isnainimaria2")</f>
        <v>isnainimaria2</v>
      </c>
      <c r="C82" s="535" t="str">
        <f>IFERROR(__xludf.DUMMYFUNCTION("""COMPUTED_VALUE"""),"https://www.tiktok.com/@isnainimaria2")</f>
        <v>https://www.tiktok.com/@isnainimaria2</v>
      </c>
      <c r="D82" s="316">
        <f>IFERROR(__xludf.DUMMYFUNCTION("""COMPUTED_VALUE"""),8.9526271087E10)</f>
        <v>89526271087</v>
      </c>
      <c r="E82" s="545">
        <f>IFERROR(__xludf.DUMMYFUNCTION("""COMPUTED_VALUE"""),50000.0)</f>
        <v>50000</v>
      </c>
      <c r="F82" s="316">
        <f>IFERROR(__xludf.DUMMYFUNCTION("""COMPUTED_VALUE"""),2.0)</f>
        <v>2</v>
      </c>
      <c r="G82" s="538" t="str">
        <f>IFERROR(__xludf.DUMMYFUNCTION("""COMPUTED_VALUE"""),"Acne Face Wash")</f>
        <v>Acne Face Wash</v>
      </c>
      <c r="H82" s="463" t="str">
        <f>IFERROR(__xludf.DUMMYFUNCTION("""COMPUTED_VALUE"""),"Sampai")</f>
        <v>Sampai</v>
      </c>
      <c r="I82" s="546" t="str">
        <f>IFERROR(__xludf.DUMMYFUNCTION("""COMPUTED_VALUE""")," Concept 1")</f>
        <v> Concept 1</v>
      </c>
      <c r="J82" s="540" t="str">
        <f>IFERROR(__xludf.DUMMYFUNCTION("""COMPUTED_VALUE"""),"https://vt.tiktok.com/ZS9S1MmHv/ ")</f>
        <v>https://vt.tiktok.com/ZS9S1MmHv/ </v>
      </c>
      <c r="K82" s="312" t="str">
        <f>IFERROR(__xludf.DUMMYFUNCTION("""COMPUTED_VALUE"""),"#TuYT/7pOWrhJKub2wl6bBQVNbgyO4NgYEUGdjf/eCJs/aUrzNW0L5aXQyyevysQ=")</f>
        <v>#TuYT/7pOWrhJKub2wl6bBQVNbgyO4NgYEUGdjf/eCJs/aUrzNW0L5aXQyyevysQ=</v>
      </c>
      <c r="L82" s="546" t="str">
        <f>IFERROR(__xludf.DUMMYFUNCTION("""COMPUTED_VALUE""")," Concept 1")</f>
        <v> Concept 1</v>
      </c>
      <c r="M82" s="540" t="str">
        <f>IFERROR(__xludf.DUMMYFUNCTION("""COMPUTED_VALUE"""),"https://vt.tiktok.com/ZS99geugS/ ")</f>
        <v>https://vt.tiktok.com/ZS99geugS/ </v>
      </c>
      <c r="N82" s="541" t="str">
        <f>IFERROR(__xludf.DUMMYFUNCTION("""COMPUTED_VALUE"""),"#29TiOldlcJeBWZ74qZ3FBrc/ziG2Fd01ikQCjmpY19jNLpP1vic70kyRNUQg8Ns=")</f>
        <v>#29TiOldlcJeBWZ74qZ3FBrc/ziG2Fd01ikQCjmpY19jNLpP1vic70kyRNUQg8Ns=</v>
      </c>
      <c r="O82" s="541"/>
      <c r="P82" s="541"/>
      <c r="Q82" s="312"/>
      <c r="R82" s="286"/>
      <c r="S82" s="286"/>
      <c r="T82" s="286"/>
      <c r="U82" s="286"/>
      <c r="V82" s="286"/>
      <c r="W82" s="286"/>
      <c r="X82" s="286"/>
      <c r="Y82" s="286"/>
      <c r="Z82" s="286"/>
      <c r="AA82" s="286"/>
      <c r="AB82" s="286"/>
    </row>
    <row r="83">
      <c r="A83" s="307" t="str">
        <f>IFERROR(__xludf.DUMMYFUNCTION("""COMPUTED_VALUE"""),"MICRO")</f>
        <v>MICRO</v>
      </c>
      <c r="B83" s="318" t="str">
        <f>IFERROR(__xludf.DUMMYFUNCTION("""COMPUTED_VALUE"""),"storydhch2g")</f>
        <v>storydhch2g</v>
      </c>
      <c r="C83" s="535" t="str">
        <f>IFERROR(__xludf.DUMMYFUNCTION("""COMPUTED_VALUE"""),"https://www.tiktok.com/@storydhch2g")</f>
        <v>https://www.tiktok.com/@storydhch2g</v>
      </c>
      <c r="D83" s="316">
        <f>IFERROR(__xludf.DUMMYFUNCTION("""COMPUTED_VALUE"""),8.1219632378E10)</f>
        <v>81219632378</v>
      </c>
      <c r="E83" s="545">
        <f>IFERROR(__xludf.DUMMYFUNCTION("""COMPUTED_VALUE"""),50000.0)</f>
        <v>50000</v>
      </c>
      <c r="F83" s="316">
        <f>IFERROR(__xludf.DUMMYFUNCTION("""COMPUTED_VALUE"""),2.0)</f>
        <v>2</v>
      </c>
      <c r="G83" s="538" t="str">
        <f>IFERROR(__xludf.DUMMYFUNCTION("""COMPUTED_VALUE"""),"Acne Face Wash")</f>
        <v>Acne Face Wash</v>
      </c>
      <c r="H83" s="463" t="str">
        <f>IFERROR(__xludf.DUMMYFUNCTION("""COMPUTED_VALUE"""),"Sampai")</f>
        <v>Sampai</v>
      </c>
      <c r="I83" s="546" t="str">
        <f>IFERROR(__xludf.DUMMYFUNCTION("""COMPUTED_VALUE"""),"Concept 2")</f>
        <v>Concept 2</v>
      </c>
      <c r="J83" s="540" t="str">
        <f>IFERROR(__xludf.DUMMYFUNCTION("""COMPUTED_VALUE"""),"https://vt.tiktok.com/ZS9TADeS2/")</f>
        <v>https://vt.tiktok.com/ZS9TADeS2/</v>
      </c>
      <c r="K83" s="312" t="str">
        <f>IFERROR(__xludf.DUMMYFUNCTION("""COMPUTED_VALUE"""),"#Mrh6cl62SpH3TDH36WGGuNpSxUBUeQfQgfYLa4/0ZojJ5nJq7kZH14FLlPuiC54=")</f>
        <v>#Mrh6cl62SpH3TDH36WGGuNpSxUBUeQfQgfYLa4/0ZojJ5nJq7kZH14FLlPuiC54=</v>
      </c>
      <c r="L83" s="546" t="str">
        <f>IFERROR(__xludf.DUMMYFUNCTION("""COMPUTED_VALUE""")," Concept 1")</f>
        <v> Concept 1</v>
      </c>
      <c r="M83" s="540" t="str">
        <f>IFERROR(__xludf.DUMMYFUNCTION("""COMPUTED_VALUE"""),"https://vt.tiktok.com/ZSx626Wm2/ ")</f>
        <v>https://vt.tiktok.com/ZSx626Wm2/ </v>
      </c>
      <c r="N83" s="541" t="str">
        <f>IFERROR(__xludf.DUMMYFUNCTION("""COMPUTED_VALUE"""),"#wekaCYiONAmY7tzhklZ8AmIT/axx7zRe2Qi1s+8+hsgyAWCX2hoMua1zctqXf6w=")</f>
        <v>#wekaCYiONAmY7tzhklZ8AmIT/axx7zRe2Qi1s+8+hsgyAWCX2hoMua1zctqXf6w=</v>
      </c>
      <c r="O83" s="541"/>
      <c r="P83" s="541"/>
      <c r="Q83" s="312"/>
      <c r="R83" s="286"/>
      <c r="S83" s="286"/>
      <c r="T83" s="286"/>
      <c r="U83" s="286"/>
      <c r="V83" s="286"/>
      <c r="W83" s="286"/>
      <c r="X83" s="286"/>
      <c r="Y83" s="286"/>
      <c r="Z83" s="286"/>
      <c r="AA83" s="286"/>
      <c r="AB83" s="286"/>
    </row>
    <row r="84">
      <c r="A84" s="307" t="str">
        <f>IFERROR(__xludf.DUMMYFUNCTION("""COMPUTED_VALUE"""),"MICRO")</f>
        <v>MICRO</v>
      </c>
      <c r="B84" s="318" t="str">
        <f>IFERROR(__xludf.DUMMYFUNCTION("""COMPUTED_VALUE"""),"riviewbywina")</f>
        <v>riviewbywina</v>
      </c>
      <c r="C84" s="535" t="str">
        <f>IFERROR(__xludf.DUMMYFUNCTION("""COMPUTED_VALUE"""),"https://www.tiktok.com/@riviewbywina")</f>
        <v>https://www.tiktok.com/@riviewbywina</v>
      </c>
      <c r="D84" s="316">
        <f>IFERROR(__xludf.DUMMYFUNCTION("""COMPUTED_VALUE"""),8.7789398956E10)</f>
        <v>87789398956</v>
      </c>
      <c r="E84" s="545">
        <f>IFERROR(__xludf.DUMMYFUNCTION("""COMPUTED_VALUE"""),50000.0)</f>
        <v>50000</v>
      </c>
      <c r="F84" s="316">
        <f>IFERROR(__xludf.DUMMYFUNCTION("""COMPUTED_VALUE"""),2.0)</f>
        <v>2</v>
      </c>
      <c r="G84" s="538" t="str">
        <f>IFERROR(__xludf.DUMMYFUNCTION("""COMPUTED_VALUE"""),"Glowing Face Wash")</f>
        <v>Glowing Face Wash</v>
      </c>
      <c r="H84" s="463" t="str">
        <f>IFERROR(__xludf.DUMMYFUNCTION("""COMPUTED_VALUE"""),"Sampai")</f>
        <v>Sampai</v>
      </c>
      <c r="I84" s="546"/>
      <c r="J84" s="541"/>
      <c r="K84" s="312"/>
      <c r="L84" s="546"/>
      <c r="M84" s="541"/>
      <c r="N84" s="541"/>
      <c r="O84" s="541"/>
      <c r="P84" s="541"/>
      <c r="Q84" s="312"/>
      <c r="R84" s="286"/>
      <c r="S84" s="286"/>
      <c r="T84" s="286"/>
      <c r="U84" s="286"/>
      <c r="V84" s="286"/>
      <c r="W84" s="286"/>
      <c r="X84" s="286"/>
      <c r="Y84" s="286"/>
      <c r="Z84" s="286"/>
      <c r="AA84" s="286"/>
      <c r="AB84" s="286"/>
    </row>
    <row r="85">
      <c r="A85" s="307" t="str">
        <f>IFERROR(__xludf.DUMMYFUNCTION("""COMPUTED_VALUE"""),"MICRO")</f>
        <v>MICRO</v>
      </c>
      <c r="B85" s="318" t="str">
        <f>IFERROR(__xludf.DUMMYFUNCTION("""COMPUTED_VALUE"""),"rika_yusnia")</f>
        <v>rika_yusnia</v>
      </c>
      <c r="C85" s="535" t="str">
        <f>IFERROR(__xludf.DUMMYFUNCTION("""COMPUTED_VALUE"""),"https://www.tiktok.com/@rika_yusnia")</f>
        <v>https://www.tiktok.com/@rika_yusnia</v>
      </c>
      <c r="D85" s="316">
        <f>IFERROR(__xludf.DUMMYFUNCTION("""COMPUTED_VALUE"""),8.5729020229E10)</f>
        <v>85729020229</v>
      </c>
      <c r="E85" s="545">
        <f>IFERROR(__xludf.DUMMYFUNCTION("""COMPUTED_VALUE"""),50000.0)</f>
        <v>50000</v>
      </c>
      <c r="F85" s="316">
        <f>IFERROR(__xludf.DUMMYFUNCTION("""COMPUTED_VALUE"""),2.0)</f>
        <v>2</v>
      </c>
      <c r="G85" s="538" t="str">
        <f>IFERROR(__xludf.DUMMYFUNCTION("""COMPUTED_VALUE"""),"Glowing Face Wash")</f>
        <v>Glowing Face Wash</v>
      </c>
      <c r="H85" s="463" t="str">
        <f>IFERROR(__xludf.DUMMYFUNCTION("""COMPUTED_VALUE"""),"Sampai")</f>
        <v>Sampai</v>
      </c>
      <c r="I85" s="546" t="str">
        <f>IFERROR(__xludf.DUMMYFUNCTION("""COMPUTED_VALUE""")," Concept 1")</f>
        <v> Concept 1</v>
      </c>
      <c r="J85" s="540" t="str">
        <f>IFERROR(__xludf.DUMMYFUNCTION("""COMPUTED_VALUE"""),"https://vt.tiktok.com/ZS9SDfwbQ/")</f>
        <v>https://vt.tiktok.com/ZS9SDfwbQ/</v>
      </c>
      <c r="K85" s="312" t="str">
        <f>IFERROR(__xludf.DUMMYFUNCTION("""COMPUTED_VALUE"""),"#Mzu8fnCKaKKXUDEwVFGMlo4X5h2T/Mu3TyOqqqi0U44hvzBb3ipQq+RfMMKHHas=")</f>
        <v>#Mzu8fnCKaKKXUDEwVFGMlo4X5h2T/Mu3TyOqqqi0U44hvzBb3ipQq+RfMMKHHas=</v>
      </c>
      <c r="L85" s="546" t="str">
        <f>IFERROR(__xludf.DUMMYFUNCTION("""COMPUTED_VALUE"""),"Concept 2")</f>
        <v>Concept 2</v>
      </c>
      <c r="M85" s="540" t="str">
        <f>IFERROR(__xludf.DUMMYFUNCTION("""COMPUTED_VALUE"""),"https://vt.tiktok.com/ZS9SvYfHW/")</f>
        <v>https://vt.tiktok.com/ZS9SvYfHW/</v>
      </c>
      <c r="N85" s="541" t="str">
        <f>IFERROR(__xludf.DUMMYFUNCTION("""COMPUTED_VALUE"""),"#u0xsoP8ORH5zuysiy+rJGAOVENHFBgd2HDurK1vAhYb35okR9y/fcNsTeGs9XU8=")</f>
        <v>#u0xsoP8ORH5zuysiy+rJGAOVENHFBgd2HDurK1vAhYb35okR9y/fcNsTeGs9XU8=</v>
      </c>
      <c r="O85" s="541"/>
      <c r="P85" s="541"/>
      <c r="Q85" s="312"/>
      <c r="R85" s="286"/>
      <c r="S85" s="286"/>
      <c r="T85" s="286"/>
      <c r="U85" s="286"/>
      <c r="V85" s="286"/>
      <c r="W85" s="286"/>
      <c r="X85" s="286"/>
      <c r="Y85" s="286"/>
      <c r="Z85" s="286"/>
      <c r="AA85" s="286"/>
      <c r="AB85" s="286"/>
    </row>
    <row r="86">
      <c r="A86" s="307" t="str">
        <f>IFERROR(__xludf.DUMMYFUNCTION("""COMPUTED_VALUE"""),"MICRO")</f>
        <v>MICRO</v>
      </c>
      <c r="B86" s="318" t="str">
        <f>IFERROR(__xludf.DUMMYFUNCTION("""COMPUTED_VALUE"""),"atsatsah")</f>
        <v>atsatsah</v>
      </c>
      <c r="C86" s="535" t="str">
        <f>IFERROR(__xludf.DUMMYFUNCTION("""COMPUTED_VALUE"""),"https://www.tiktok.com/@atsatsah")</f>
        <v>https://www.tiktok.com/@atsatsah</v>
      </c>
      <c r="D86" s="316">
        <f>IFERROR(__xludf.DUMMYFUNCTION("""COMPUTED_VALUE"""),8.1320534893E10)</f>
        <v>81320534893</v>
      </c>
      <c r="E86" s="545">
        <f>IFERROR(__xludf.DUMMYFUNCTION("""COMPUTED_VALUE"""),50000.0)</f>
        <v>50000</v>
      </c>
      <c r="F86" s="316">
        <f>IFERROR(__xludf.DUMMYFUNCTION("""COMPUTED_VALUE"""),2.0)</f>
        <v>2</v>
      </c>
      <c r="G86" s="538" t="str">
        <f>IFERROR(__xludf.DUMMYFUNCTION("""COMPUTED_VALUE"""),"Glowing Face Wash")</f>
        <v>Glowing Face Wash</v>
      </c>
      <c r="H86" s="463" t="str">
        <f>IFERROR(__xludf.DUMMYFUNCTION("""COMPUTED_VALUE"""),"Sampai")</f>
        <v>Sampai</v>
      </c>
      <c r="I86" s="546" t="str">
        <f>IFERROR(__xludf.DUMMYFUNCTION("""COMPUTED_VALUE""")," Concept 1")</f>
        <v> Concept 1</v>
      </c>
      <c r="J86" s="540" t="str">
        <f>IFERROR(__xludf.DUMMYFUNCTION("""COMPUTED_VALUE"""),"https://vt.tiktok.com/ZS9S4MB8T/")</f>
        <v>https://vt.tiktok.com/ZS9S4MB8T/</v>
      </c>
      <c r="K86" s="312" t="str">
        <f>IFERROR(__xludf.DUMMYFUNCTION("""COMPUTED_VALUE"""),"#n+8e94q0JOAXZ+IukkjQDKhasK7ayGHRSJCkqNKg/JQLK+FdxTH0B7JdVvCqgng=")</f>
        <v>#n+8e94q0JOAXZ+IukkjQDKhasK7ayGHRSJCkqNKg/JQLK+FdxTH0B7JdVvCqgng=</v>
      </c>
      <c r="L86" s="546" t="str">
        <f>IFERROR(__xludf.DUMMYFUNCTION("""COMPUTED_VALUE"""),"Concept 2")</f>
        <v>Concept 2</v>
      </c>
      <c r="M86" s="540" t="str">
        <f>IFERROR(__xludf.DUMMYFUNCTION("""COMPUTED_VALUE"""),"https://vt.tiktok.com/ZS9Qp9JF3/ ")</f>
        <v>https://vt.tiktok.com/ZS9Qp9JF3/ </v>
      </c>
      <c r="N86" s="541" t="str">
        <f>IFERROR(__xludf.DUMMYFUNCTION("""COMPUTED_VALUE"""),"#jmFBtCE1TBFl+sY7aixVizU+pgQbaxa81HodqY++VsNtuccL8C80CDzbmfdC7rE=")</f>
        <v>#jmFBtCE1TBFl+sY7aixVizU+pgQbaxa81HodqY++VsNtuccL8C80CDzbmfdC7rE=</v>
      </c>
      <c r="O86" s="541"/>
      <c r="P86" s="541"/>
      <c r="Q86" s="312"/>
      <c r="R86" s="286"/>
      <c r="S86" s="286"/>
      <c r="T86" s="286"/>
      <c r="U86" s="286"/>
      <c r="V86" s="286"/>
      <c r="W86" s="286"/>
      <c r="X86" s="286"/>
      <c r="Y86" s="286"/>
      <c r="Z86" s="286"/>
      <c r="AA86" s="286"/>
      <c r="AB86" s="286"/>
    </row>
    <row r="87">
      <c r="A87" s="307" t="str">
        <f>IFERROR(__xludf.DUMMYFUNCTION("""COMPUTED_VALUE"""),"MICRO")</f>
        <v>MICRO</v>
      </c>
      <c r="B87" s="318" t="str">
        <f>IFERROR(__xludf.DUMMYFUNCTION("""COMPUTED_VALUE"""),"nurul_amelia47")</f>
        <v>nurul_amelia47</v>
      </c>
      <c r="C87" s="535" t="str">
        <f>IFERROR(__xludf.DUMMYFUNCTION("""COMPUTED_VALUE"""),"https://www.tiktok.com/@nurul_amelia47")</f>
        <v>https://www.tiktok.com/@nurul_amelia47</v>
      </c>
      <c r="D87" s="316">
        <f>IFERROR(__xludf.DUMMYFUNCTION("""COMPUTED_VALUE"""),8.1511323758E10)</f>
        <v>81511323758</v>
      </c>
      <c r="E87" s="545">
        <f>IFERROR(__xludf.DUMMYFUNCTION("""COMPUTED_VALUE"""),50000.0)</f>
        <v>50000</v>
      </c>
      <c r="F87" s="316">
        <f>IFERROR(__xludf.DUMMYFUNCTION("""COMPUTED_VALUE"""),2.0)</f>
        <v>2</v>
      </c>
      <c r="G87" s="538" t="str">
        <f>IFERROR(__xludf.DUMMYFUNCTION("""COMPUTED_VALUE"""),"Glowing Face Wash")</f>
        <v>Glowing Face Wash</v>
      </c>
      <c r="H87" s="463" t="str">
        <f>IFERROR(__xludf.DUMMYFUNCTION("""COMPUTED_VALUE"""),"Sampai")</f>
        <v>Sampai</v>
      </c>
      <c r="I87" s="546" t="str">
        <f>IFERROR(__xludf.DUMMYFUNCTION("""COMPUTED_VALUE"""),"Concept 2")</f>
        <v>Concept 2</v>
      </c>
      <c r="J87" s="540" t="str">
        <f>IFERROR(__xludf.DUMMYFUNCTION("""COMPUTED_VALUE"""),"https://vt.tiktok.com/ZS9krsYDV/ ")</f>
        <v>https://vt.tiktok.com/ZS9krsYDV/ </v>
      </c>
      <c r="K87" s="312" t="str">
        <f>IFERROR(__xludf.DUMMYFUNCTION("""COMPUTED_VALUE"""),"#XmJb3VcoBUDvp5IjezP8KJmUWy7kRSDxqHP1pVqhOKdQyiKAHRUMhy/Wo7TkVlU=")</f>
        <v>#XmJb3VcoBUDvp5IjezP8KJmUWy7kRSDxqHP1pVqhOKdQyiKAHRUMhy/Wo7TkVlU=</v>
      </c>
      <c r="L87" s="546" t="str">
        <f>IFERROR(__xludf.DUMMYFUNCTION("""COMPUTED_VALUE""")," Concept 1")</f>
        <v> Concept 1</v>
      </c>
      <c r="M87" s="540" t="str">
        <f>IFERROR(__xludf.DUMMYFUNCTION("""COMPUTED_VALUE"""),"https://vt.tiktok.com/ZS9CUUr5B/ ")</f>
        <v>https://vt.tiktok.com/ZS9CUUr5B/ </v>
      </c>
      <c r="N87" s="541" t="str">
        <f>IFERROR(__xludf.DUMMYFUNCTION("""COMPUTED_VALUE"""),"#BkveShbeG/aYdq40rAYSWRrv5RspIGdAYrLQxz+g9c0HNSPszbzCriPnsBZBYHA=")</f>
        <v>#BkveShbeG/aYdq40rAYSWRrv5RspIGdAYrLQxz+g9c0HNSPszbzCriPnsBZBYHA=</v>
      </c>
      <c r="O87" s="541"/>
      <c r="P87" s="541"/>
      <c r="Q87" s="312"/>
      <c r="R87" s="286"/>
      <c r="S87" s="286"/>
      <c r="T87" s="286"/>
      <c r="U87" s="286"/>
      <c r="V87" s="286"/>
      <c r="W87" s="286"/>
      <c r="X87" s="286"/>
      <c r="Y87" s="286"/>
      <c r="Z87" s="286"/>
      <c r="AA87" s="286"/>
      <c r="AB87" s="286"/>
    </row>
    <row r="88">
      <c r="A88" s="307" t="str">
        <f>IFERROR(__xludf.DUMMYFUNCTION("""COMPUTED_VALUE"""),"MICRO")</f>
        <v>MICRO</v>
      </c>
      <c r="B88" s="318" t="str">
        <f>IFERROR(__xludf.DUMMYFUNCTION("""COMPUTED_VALUE"""),"gadisaries97")</f>
        <v>gadisaries97</v>
      </c>
      <c r="C88" s="535" t="str">
        <f>IFERROR(__xludf.DUMMYFUNCTION("""COMPUTED_VALUE"""),"https://www.tiktok.com/@gadisaries97")</f>
        <v>https://www.tiktok.com/@gadisaries97</v>
      </c>
      <c r="D88" s="316">
        <f>IFERROR(__xludf.DUMMYFUNCTION("""COMPUTED_VALUE"""),8.3148641923E10)</f>
        <v>83148641923</v>
      </c>
      <c r="E88" s="545">
        <f>IFERROR(__xludf.DUMMYFUNCTION("""COMPUTED_VALUE"""),350000.0)</f>
        <v>350000</v>
      </c>
      <c r="F88" s="316">
        <f>IFERROR(__xludf.DUMMYFUNCTION("""COMPUTED_VALUE"""),2.0)</f>
        <v>2</v>
      </c>
      <c r="G88" s="538" t="str">
        <f>IFERROR(__xludf.DUMMYFUNCTION("""COMPUTED_VALUE"""),"Glowing Face Wash")</f>
        <v>Glowing Face Wash</v>
      </c>
      <c r="H88" s="463" t="str">
        <f>IFERROR(__xludf.DUMMYFUNCTION("""COMPUTED_VALUE"""),"Sampai")</f>
        <v>Sampai</v>
      </c>
      <c r="I88" s="546" t="str">
        <f>IFERROR(__xludf.DUMMYFUNCTION("""COMPUTED_VALUE""")," Concept 1")</f>
        <v> Concept 1</v>
      </c>
      <c r="J88" s="540" t="str">
        <f>IFERROR(__xludf.DUMMYFUNCTION("""COMPUTED_VALUE"""),"https://vt.tiktok.com/ZS9p8S53F/ ")</f>
        <v>https://vt.tiktok.com/ZS9p8S53F/ </v>
      </c>
      <c r="K88" s="312" t="str">
        <f>IFERROR(__xludf.DUMMYFUNCTION("""COMPUTED_VALUE"""),"#OnLYbj14lBCirrhQTtcO/Y+uVVWJDyAjwDtXX4XyWVLsqPI4ZigD6Mkl0pwziCQ=")</f>
        <v>#OnLYbj14lBCirrhQTtcO/Y+uVVWJDyAjwDtXX4XyWVLsqPI4ZigD6Mkl0pwziCQ=</v>
      </c>
      <c r="L88" s="546" t="str">
        <f>IFERROR(__xludf.DUMMYFUNCTION("""COMPUTED_VALUE"""),"Concept 2")</f>
        <v>Concept 2</v>
      </c>
      <c r="M88" s="540" t="str">
        <f>IFERROR(__xludf.DUMMYFUNCTION("""COMPUTED_VALUE"""),"https://vt.tiktok.com/ZSxmhVsvK/ ")</f>
        <v>https://vt.tiktok.com/ZSxmhVsvK/ </v>
      </c>
      <c r="N88" s="541" t="str">
        <f>IFERROR(__xludf.DUMMYFUNCTION("""COMPUTED_VALUE"""),"#NrgknbN5BrkEeBMmuwiKiHbJugzhrKg1a/GohSdsR19YXgnmED7DH1JBfGLHPg8=")</f>
        <v>#NrgknbN5BrkEeBMmuwiKiHbJugzhrKg1a/GohSdsR19YXgnmED7DH1JBfGLHPg8=</v>
      </c>
      <c r="O88" s="541"/>
      <c r="P88" s="541"/>
      <c r="Q88" s="312"/>
      <c r="R88" s="286"/>
      <c r="S88" s="286"/>
      <c r="T88" s="286"/>
      <c r="U88" s="286"/>
      <c r="V88" s="286"/>
      <c r="W88" s="286"/>
      <c r="X88" s="286"/>
      <c r="Y88" s="286"/>
      <c r="Z88" s="286"/>
      <c r="AA88" s="286"/>
      <c r="AB88" s="286"/>
    </row>
    <row r="89">
      <c r="A89" s="307" t="str">
        <f>IFERROR(__xludf.DUMMYFUNCTION("""COMPUTED_VALUE"""),"MICRO")</f>
        <v>MICRO</v>
      </c>
      <c r="B89" s="318" t="str">
        <f>IFERROR(__xludf.DUMMYFUNCTION("""COMPUTED_VALUE"""),"kaaaaast")</f>
        <v>kaaaaast</v>
      </c>
      <c r="C89" s="535" t="str">
        <f>IFERROR(__xludf.DUMMYFUNCTION("""COMPUTED_VALUE"""),"https://www.tiktok.com/@kaaaaast")</f>
        <v>https://www.tiktok.com/@kaaaaast</v>
      </c>
      <c r="D89" s="316">
        <f>IFERROR(__xludf.DUMMYFUNCTION("""COMPUTED_VALUE"""),8.2243166916E10)</f>
        <v>82243166916</v>
      </c>
      <c r="E89" s="545">
        <f>IFERROR(__xludf.DUMMYFUNCTION("""COMPUTED_VALUE"""),0.0)</f>
        <v>0</v>
      </c>
      <c r="F89" s="316">
        <f>IFERROR(__xludf.DUMMYFUNCTION("""COMPUTED_VALUE"""),2.0)</f>
        <v>2</v>
      </c>
      <c r="G89" s="538" t="str">
        <f>IFERROR(__xludf.DUMMYFUNCTION("""COMPUTED_VALUE"""),"Acne Face Wash")</f>
        <v>Acne Face Wash</v>
      </c>
      <c r="H89" s="463" t="str">
        <f>IFERROR(__xludf.DUMMYFUNCTION("""COMPUTED_VALUE"""),"Sampai")</f>
        <v>Sampai</v>
      </c>
      <c r="I89" s="546" t="str">
        <f>IFERROR(__xludf.DUMMYFUNCTION("""COMPUTED_VALUE""")," Concept 1")</f>
        <v> Concept 1</v>
      </c>
      <c r="J89" s="540" t="str">
        <f>IFERROR(__xludf.DUMMYFUNCTION("""COMPUTED_VALUE"""),"https://vt.tiktok.com/ZSx6ovCbL/ ")</f>
        <v>https://vt.tiktok.com/ZSx6ovCbL/ </v>
      </c>
      <c r="K89" s="312" t="str">
        <f>IFERROR(__xludf.DUMMYFUNCTION("""COMPUTED_VALUE"""),"#vDxgKJxdO5GO3g3gLiNOc6uJlkZQEeSI168ndti12cDW74MJA657FhuLZHa2S78=")</f>
        <v>#vDxgKJxdO5GO3g3gLiNOc6uJlkZQEeSI168ndti12cDW74MJA657FhuLZHa2S78=</v>
      </c>
      <c r="L89" s="546"/>
      <c r="M89" s="541"/>
      <c r="N89" s="541"/>
      <c r="O89" s="541"/>
      <c r="P89" s="541"/>
      <c r="Q89" s="312"/>
      <c r="R89" s="286"/>
      <c r="S89" s="286"/>
      <c r="T89" s="286"/>
      <c r="U89" s="286"/>
      <c r="V89" s="286"/>
      <c r="W89" s="286"/>
      <c r="X89" s="286"/>
      <c r="Y89" s="286"/>
      <c r="Z89" s="286"/>
      <c r="AA89" s="286"/>
      <c r="AB89" s="286"/>
    </row>
    <row r="90">
      <c r="A90" s="307" t="str">
        <f>IFERROR(__xludf.DUMMYFUNCTION("""COMPUTED_VALUE"""),"MICRO")</f>
        <v>MICRO</v>
      </c>
      <c r="B90" s="318" t="str">
        <f>IFERROR(__xludf.DUMMYFUNCTION("""COMPUTED_VALUE"""),"sellaaaalala")</f>
        <v>sellaaaalala</v>
      </c>
      <c r="C90" s="535" t="str">
        <f>IFERROR(__xludf.DUMMYFUNCTION("""COMPUTED_VALUE"""),"https://www.tiktok.com/@sellaaaalala")</f>
        <v>https://www.tiktok.com/@sellaaaalala</v>
      </c>
      <c r="D90" s="316">
        <f>IFERROR(__xludf.DUMMYFUNCTION("""COMPUTED_VALUE"""),8.3892543585E10)</f>
        <v>83892543585</v>
      </c>
      <c r="E90" s="545">
        <f>IFERROR(__xludf.DUMMYFUNCTION("""COMPUTED_VALUE"""),300000.0)</f>
        <v>300000</v>
      </c>
      <c r="F90" s="316">
        <f>IFERROR(__xludf.DUMMYFUNCTION("""COMPUTED_VALUE"""),2.0)</f>
        <v>2</v>
      </c>
      <c r="G90" s="538" t="str">
        <f>IFERROR(__xludf.DUMMYFUNCTION("""COMPUTED_VALUE"""),"Glowing Face Wash")</f>
        <v>Glowing Face Wash</v>
      </c>
      <c r="H90" s="463" t="str">
        <f>IFERROR(__xludf.DUMMYFUNCTION("""COMPUTED_VALUE"""),"Sampai")</f>
        <v>Sampai</v>
      </c>
      <c r="I90" s="546" t="str">
        <f>IFERROR(__xludf.DUMMYFUNCTION("""COMPUTED_VALUE""")," Concept 1")</f>
        <v> Concept 1</v>
      </c>
      <c r="J90" s="540" t="str">
        <f>IFERROR(__xludf.DUMMYFUNCTION("""COMPUTED_VALUE"""),"https://vt.tiktok.com/ZSx617yYe/ ")</f>
        <v>https://vt.tiktok.com/ZSx617yYe/ </v>
      </c>
      <c r="K90" s="312" t="str">
        <f>IFERROR(__xludf.DUMMYFUNCTION("""COMPUTED_VALUE"""),"#7GLD0RwfdM0yHqbi076NFbrEpUB72bKkvGr7NkCuAu8+uprWd2wgbTMSEUk57Rc=")</f>
        <v>#7GLD0RwfdM0yHqbi076NFbrEpUB72bKkvGr7NkCuAu8+uprWd2wgbTMSEUk57Rc=</v>
      </c>
      <c r="L90" s="546" t="str">
        <f>IFERROR(__xludf.DUMMYFUNCTION("""COMPUTED_VALUE"""),"Concept 2")</f>
        <v>Concept 2</v>
      </c>
      <c r="M90" s="540" t="str">
        <f>IFERROR(__xludf.DUMMYFUNCTION("""COMPUTED_VALUE"""),"https://vt.tiktok.com/ZSxSTNSto/ ")</f>
        <v>https://vt.tiktok.com/ZSxSTNSto/ </v>
      </c>
      <c r="N90" s="541" t="str">
        <f>IFERROR(__xludf.DUMMYFUNCTION("""COMPUTED_VALUE"""),"#zKQU1eN4crx6dBaX29XDJQZgnBZkDn9HTgAivDgi2EuthB1BZrtHHA2HXuWcqow=")</f>
        <v>#zKQU1eN4crx6dBaX29XDJQZgnBZkDn9HTgAivDgi2EuthB1BZrtHHA2HXuWcqow=</v>
      </c>
      <c r="O90" s="541"/>
      <c r="P90" s="541"/>
      <c r="Q90" s="312"/>
      <c r="R90" s="286"/>
      <c r="S90" s="286"/>
      <c r="T90" s="286"/>
      <c r="U90" s="286"/>
      <c r="V90" s="286"/>
      <c r="W90" s="286"/>
      <c r="X90" s="286"/>
      <c r="Y90" s="286"/>
      <c r="Z90" s="286"/>
      <c r="AA90" s="286"/>
      <c r="AB90" s="286"/>
    </row>
    <row r="91">
      <c r="A91" s="307" t="str">
        <f>IFERROR(__xludf.DUMMYFUNCTION("""COMPUTED_VALUE"""),"MICRO")</f>
        <v>MICRO</v>
      </c>
      <c r="B91" s="318" t="str">
        <f>IFERROR(__xludf.DUMMYFUNCTION("""COMPUTED_VALUE"""),"stvncae")</f>
        <v>stvncae</v>
      </c>
      <c r="C91" s="535" t="str">
        <f>IFERROR(__xludf.DUMMYFUNCTION("""COMPUTED_VALUE"""),"https://www.tiktok.com/@stvncae")</f>
        <v>https://www.tiktok.com/@stvncae</v>
      </c>
      <c r="D91" s="316">
        <f>IFERROR(__xludf.DUMMYFUNCTION("""COMPUTED_VALUE"""),8.7885668872E10)</f>
        <v>87885668872</v>
      </c>
      <c r="E91" s="545">
        <f>IFERROR(__xludf.DUMMYFUNCTION("""COMPUTED_VALUE"""),0.0)</f>
        <v>0</v>
      </c>
      <c r="F91" s="316">
        <f>IFERROR(__xludf.DUMMYFUNCTION("""COMPUTED_VALUE"""),2.0)</f>
        <v>2</v>
      </c>
      <c r="G91" s="538" t="str">
        <f>IFERROR(__xludf.DUMMYFUNCTION("""COMPUTED_VALUE"""),"Glowing Face Wash")</f>
        <v>Glowing Face Wash</v>
      </c>
      <c r="H91" s="463" t="str">
        <f>IFERROR(__xludf.DUMMYFUNCTION("""COMPUTED_VALUE"""),"Sudah Proses Pengiriman")</f>
        <v>Sudah Proses Pengiriman</v>
      </c>
      <c r="I91" s="546"/>
      <c r="J91" s="541" t="str">
        <f>IFERROR(__xludf.DUMMYFUNCTION("""COMPUTED_VALUE"""),"sudah follow up")</f>
        <v>sudah follow up</v>
      </c>
      <c r="K91" s="312"/>
      <c r="L91" s="546"/>
      <c r="M91" s="541"/>
      <c r="N91" s="541"/>
      <c r="O91" s="541"/>
      <c r="P91" s="541"/>
      <c r="Q91" s="312"/>
      <c r="R91" s="286"/>
      <c r="S91" s="286"/>
      <c r="T91" s="286"/>
      <c r="U91" s="286"/>
      <c r="V91" s="286"/>
      <c r="W91" s="286"/>
      <c r="X91" s="286"/>
      <c r="Y91" s="286"/>
      <c r="Z91" s="286"/>
      <c r="AA91" s="286"/>
      <c r="AB91" s="286"/>
    </row>
    <row r="92">
      <c r="A92" s="307" t="str">
        <f>IFERROR(__xludf.DUMMYFUNCTION("""COMPUTED_VALUE"""),"MICRO")</f>
        <v>MICRO</v>
      </c>
      <c r="B92" s="318" t="str">
        <f>IFERROR(__xludf.DUMMYFUNCTION("""COMPUTED_VALUE"""),"verapurn")</f>
        <v>verapurn</v>
      </c>
      <c r="C92" s="535" t="str">
        <f>IFERROR(__xludf.DUMMYFUNCTION("""COMPUTED_VALUE"""),"https://www.tiktok.com/@verapurn")</f>
        <v>https://www.tiktok.com/@verapurn</v>
      </c>
      <c r="D92" s="316">
        <f>IFERROR(__xludf.DUMMYFUNCTION("""COMPUTED_VALUE"""),8.1292214475E10)</f>
        <v>81292214475</v>
      </c>
      <c r="E92" s="545">
        <f>IFERROR(__xludf.DUMMYFUNCTION("""COMPUTED_VALUE"""),150000.0)</f>
        <v>150000</v>
      </c>
      <c r="F92" s="316">
        <f>IFERROR(__xludf.DUMMYFUNCTION("""COMPUTED_VALUE"""),2.0)</f>
        <v>2</v>
      </c>
      <c r="G92" s="538" t="str">
        <f>IFERROR(__xludf.DUMMYFUNCTION("""COMPUTED_VALUE"""),"Acne Face Wash")</f>
        <v>Acne Face Wash</v>
      </c>
      <c r="H92" s="463" t="str">
        <f>IFERROR(__xludf.DUMMYFUNCTION("""COMPUTED_VALUE"""),"Done Req Sample")</f>
        <v>Done Req Sample</v>
      </c>
      <c r="I92" s="546"/>
      <c r="J92" s="541"/>
      <c r="K92" s="312"/>
      <c r="L92" s="546"/>
      <c r="M92" s="541"/>
      <c r="N92" s="541"/>
      <c r="O92" s="541"/>
      <c r="P92" s="541"/>
      <c r="Q92" s="312"/>
      <c r="R92" s="286"/>
      <c r="S92" s="286"/>
      <c r="T92" s="286"/>
      <c r="U92" s="286"/>
      <c r="V92" s="286"/>
      <c r="W92" s="286"/>
      <c r="X92" s="286"/>
      <c r="Y92" s="286"/>
      <c r="Z92" s="286"/>
      <c r="AA92" s="286"/>
      <c r="AB92" s="286"/>
    </row>
    <row r="93">
      <c r="A93" s="307" t="str">
        <f>IFERROR(__xludf.DUMMYFUNCTION("""COMPUTED_VALUE"""),"MICRO")</f>
        <v>MICRO</v>
      </c>
      <c r="B93" s="318" t="str">
        <f>IFERROR(__xludf.DUMMYFUNCTION("""COMPUTED_VALUE"""),"slvistory")</f>
        <v>slvistory</v>
      </c>
      <c r="C93" s="535" t="str">
        <f>IFERROR(__xludf.DUMMYFUNCTION("""COMPUTED_VALUE"""),"https://www.tiktok.com/@slvistory")</f>
        <v>https://www.tiktok.com/@slvistory</v>
      </c>
      <c r="D93" s="316">
        <f>IFERROR(__xludf.DUMMYFUNCTION("""COMPUTED_VALUE"""),8.5882608699E10)</f>
        <v>85882608699</v>
      </c>
      <c r="E93" s="545">
        <f>IFERROR(__xludf.DUMMYFUNCTION("""COMPUTED_VALUE"""),250000.0)</f>
        <v>250000</v>
      </c>
      <c r="F93" s="316">
        <f>IFERROR(__xludf.DUMMYFUNCTION("""COMPUTED_VALUE"""),2.0)</f>
        <v>2</v>
      </c>
      <c r="G93" s="538" t="str">
        <f>IFERROR(__xludf.DUMMYFUNCTION("""COMPUTED_VALUE"""),"Glowing Face Wash")</f>
        <v>Glowing Face Wash</v>
      </c>
      <c r="H93" s="463" t="str">
        <f>IFERROR(__xludf.DUMMYFUNCTION("""COMPUTED_VALUE"""),"Done Req Sample")</f>
        <v>Done Req Sample</v>
      </c>
      <c r="I93" s="546"/>
      <c r="J93" s="541"/>
      <c r="K93" s="312"/>
      <c r="L93" s="546"/>
      <c r="M93" s="541"/>
      <c r="N93" s="541"/>
      <c r="O93" s="541"/>
      <c r="P93" s="541"/>
      <c r="Q93" s="312"/>
      <c r="R93" s="286"/>
      <c r="S93" s="286"/>
      <c r="T93" s="286"/>
      <c r="U93" s="286"/>
      <c r="V93" s="286"/>
      <c r="W93" s="286"/>
      <c r="X93" s="286"/>
      <c r="Y93" s="286"/>
      <c r="Z93" s="286"/>
      <c r="AA93" s="286"/>
      <c r="AB93" s="286"/>
    </row>
    <row r="94">
      <c r="A94" s="307" t="str">
        <f>IFERROR(__xludf.DUMMYFUNCTION("""COMPUTED_VALUE"""),"NANO")</f>
        <v>NANO</v>
      </c>
      <c r="B94" s="318" t="str">
        <f>IFERROR(__xludf.DUMMYFUNCTION("""COMPUTED_VALUE"""),"zrshafaaaa ")</f>
        <v>zrshafaaaa </v>
      </c>
      <c r="C94" s="535" t="str">
        <f>IFERROR(__xludf.DUMMYFUNCTION("""COMPUTED_VALUE"""),"https://www.tiktok.com/@zrshafaaaa ")</f>
        <v>https://www.tiktok.com/@zrshafaaaa </v>
      </c>
      <c r="D94" s="316">
        <f>IFERROR(__xludf.DUMMYFUNCTION("""COMPUTED_VALUE"""),8.513359946E10)</f>
        <v>85133599460</v>
      </c>
      <c r="E94" s="545">
        <f>IFERROR(__xludf.DUMMYFUNCTION("""COMPUTED_VALUE"""),0.0)</f>
        <v>0</v>
      </c>
      <c r="F94" s="316">
        <f>IFERROR(__xludf.DUMMYFUNCTION("""COMPUTED_VALUE"""),2.0)</f>
        <v>2</v>
      </c>
      <c r="G94" s="538" t="str">
        <f>IFERROR(__xludf.DUMMYFUNCTION("""COMPUTED_VALUE"""),"Glowing Face Wash")</f>
        <v>Glowing Face Wash</v>
      </c>
      <c r="H94" s="463" t="str">
        <f>IFERROR(__xludf.DUMMYFUNCTION("""COMPUTED_VALUE"""),"Sampai")</f>
        <v>Sampai</v>
      </c>
      <c r="I94" s="546" t="str">
        <f>IFERROR(__xludf.DUMMYFUNCTION("""COMPUTED_VALUE""")," Concept 1")</f>
        <v> Concept 1</v>
      </c>
      <c r="J94" s="540" t="str">
        <f>IFERROR(__xludf.DUMMYFUNCTION("""COMPUTED_VALUE"""),"https://vt.tiktok.com/ZSQRtUEra/")</f>
        <v>https://vt.tiktok.com/ZSQRtUEra/</v>
      </c>
      <c r="K94" s="312"/>
      <c r="L94" s="546"/>
      <c r="M94" s="541"/>
      <c r="N94" s="541"/>
      <c r="O94" s="541"/>
      <c r="P94" s="541"/>
      <c r="Q94" s="312"/>
      <c r="R94" s="286"/>
      <c r="S94" s="286"/>
      <c r="T94" s="286"/>
      <c r="U94" s="286"/>
      <c r="V94" s="286"/>
      <c r="W94" s="286"/>
      <c r="X94" s="286"/>
      <c r="Y94" s="286"/>
      <c r="Z94" s="286"/>
      <c r="AA94" s="286"/>
      <c r="AB94" s="286"/>
    </row>
    <row r="95">
      <c r="A95" s="307" t="str">
        <f>IFERROR(__xludf.DUMMYFUNCTION("""COMPUTED_VALUE"""),"NANO")</f>
        <v>NANO</v>
      </c>
      <c r="B95" s="318" t="str">
        <f>IFERROR(__xludf.DUMMYFUNCTION("""COMPUTED_VALUE"""),"naadeblue")</f>
        <v>naadeblue</v>
      </c>
      <c r="C95" s="535" t="str">
        <f>IFERROR(__xludf.DUMMYFUNCTION("""COMPUTED_VALUE"""),"https://www.tiktok.com/@naadeblue")</f>
        <v>https://www.tiktok.com/@naadeblue</v>
      </c>
      <c r="D95" s="316">
        <f>IFERROR(__xludf.DUMMYFUNCTION("""COMPUTED_VALUE"""),8.5747947988E10)</f>
        <v>85747947988</v>
      </c>
      <c r="E95" s="545">
        <f>IFERROR(__xludf.DUMMYFUNCTION("""COMPUTED_VALUE"""),0.0)</f>
        <v>0</v>
      </c>
      <c r="F95" s="316">
        <f>IFERROR(__xludf.DUMMYFUNCTION("""COMPUTED_VALUE"""),2.0)</f>
        <v>2</v>
      </c>
      <c r="G95" s="538" t="str">
        <f>IFERROR(__xludf.DUMMYFUNCTION("""COMPUTED_VALUE"""),"Acne Face Wash")</f>
        <v>Acne Face Wash</v>
      </c>
      <c r="H95" s="463" t="str">
        <f>IFERROR(__xludf.DUMMYFUNCTION("""COMPUTED_VALUE"""),"Sampai")</f>
        <v>Sampai</v>
      </c>
      <c r="I95" s="546" t="str">
        <f>IFERROR(__xludf.DUMMYFUNCTION("""COMPUTED_VALUE"""),"Concept 2")</f>
        <v>Concept 2</v>
      </c>
      <c r="J95" s="540" t="str">
        <f>IFERROR(__xludf.DUMMYFUNCTION("""COMPUTED_VALUE"""),"https://vt.tiktok.com/ZSQRxNhpd/ ")</f>
        <v>https://vt.tiktok.com/ZSQRxNhpd/ </v>
      </c>
      <c r="K95" s="312" t="str">
        <f>IFERROR(__xludf.DUMMYFUNCTION("""COMPUTED_VALUE"""),"#aEOih3aPcRaLY4hfcudmfEvg2eJ+NPTSF7TwF+D+OTKjx23p1obfvjnR/6rtFho=")</f>
        <v>#aEOih3aPcRaLY4hfcudmfEvg2eJ+NPTSF7TwF+D+OTKjx23p1obfvjnR/6rtFho=</v>
      </c>
      <c r="L95" s="546"/>
      <c r="M95" s="541"/>
      <c r="N95" s="541"/>
      <c r="O95" s="541"/>
      <c r="P95" s="541"/>
      <c r="Q95" s="312"/>
      <c r="R95" s="286"/>
      <c r="S95" s="286"/>
      <c r="T95" s="286"/>
      <c r="U95" s="286"/>
      <c r="V95" s="286"/>
      <c r="W95" s="286"/>
      <c r="X95" s="286"/>
      <c r="Y95" s="286"/>
      <c r="Z95" s="286"/>
      <c r="AA95" s="286"/>
      <c r="AB95" s="286"/>
    </row>
    <row r="96">
      <c r="A96" s="307" t="str">
        <f>IFERROR(__xludf.DUMMYFUNCTION("""COMPUTED_VALUE"""),"MICRO")</f>
        <v>MICRO</v>
      </c>
      <c r="B96" s="318" t="str">
        <f>IFERROR(__xludf.DUMMYFUNCTION("""COMPUTED_VALUE"""),"tia.vlogkampung")</f>
        <v>tia.vlogkampung</v>
      </c>
      <c r="C96" s="535" t="str">
        <f>IFERROR(__xludf.DUMMYFUNCTION("""COMPUTED_VALUE"""),"https://www.tiktok.com/@tia.vlogkampung")</f>
        <v>https://www.tiktok.com/@tia.vlogkampung</v>
      </c>
      <c r="D96" s="316">
        <f>IFERROR(__xludf.DUMMYFUNCTION("""COMPUTED_VALUE"""),8.5322020006E10)</f>
        <v>85322020006</v>
      </c>
      <c r="E96" s="545">
        <f>IFERROR(__xludf.DUMMYFUNCTION("""COMPUTED_VALUE"""),0.0)</f>
        <v>0</v>
      </c>
      <c r="F96" s="316">
        <f>IFERROR(__xludf.DUMMYFUNCTION("""COMPUTED_VALUE"""),3.0)</f>
        <v>3</v>
      </c>
      <c r="G96" s="538" t="str">
        <f>IFERROR(__xludf.DUMMYFUNCTION("""COMPUTED_VALUE"""),"Acne Face Wash")</f>
        <v>Acne Face Wash</v>
      </c>
      <c r="H96" s="463" t="str">
        <f>IFERROR(__xludf.DUMMYFUNCTION("""COMPUTED_VALUE"""),"Sampai")</f>
        <v>Sampai</v>
      </c>
      <c r="I96" s="546"/>
      <c r="J96" s="541"/>
      <c r="K96" s="312"/>
      <c r="L96" s="546"/>
      <c r="M96" s="541"/>
      <c r="N96" s="541"/>
      <c r="O96" s="541"/>
      <c r="P96" s="541"/>
      <c r="Q96" s="312"/>
      <c r="R96" s="286"/>
      <c r="S96" s="286"/>
      <c r="T96" s="286"/>
      <c r="U96" s="286"/>
      <c r="V96" s="286"/>
      <c r="W96" s="286"/>
      <c r="X96" s="286"/>
      <c r="Y96" s="286"/>
      <c r="Z96" s="286"/>
      <c r="AA96" s="286"/>
      <c r="AB96" s="286"/>
    </row>
    <row r="97">
      <c r="A97" s="307" t="str">
        <f>IFERROR(__xludf.DUMMYFUNCTION("""COMPUTED_VALUE"""),"MICRO")</f>
        <v>MICRO</v>
      </c>
      <c r="B97" s="318" t="str">
        <f>IFERROR(__xludf.DUMMYFUNCTION("""COMPUTED_VALUE"""),"kimoy59")</f>
        <v>kimoy59</v>
      </c>
      <c r="C97" s="535" t="str">
        <f>IFERROR(__xludf.DUMMYFUNCTION("""COMPUTED_VALUE"""),"https://www.tiktok.com/@kimoy59")</f>
        <v>https://www.tiktok.com/@kimoy59</v>
      </c>
      <c r="D97" s="316">
        <f>IFERROR(__xludf.DUMMYFUNCTION("""COMPUTED_VALUE"""),8.5669798271E10)</f>
        <v>85669798271</v>
      </c>
      <c r="E97" s="545">
        <f>IFERROR(__xludf.DUMMYFUNCTION("""COMPUTED_VALUE"""),0.0)</f>
        <v>0</v>
      </c>
      <c r="F97" s="316">
        <f>IFERROR(__xludf.DUMMYFUNCTION("""COMPUTED_VALUE"""),3.0)</f>
        <v>3</v>
      </c>
      <c r="G97" s="538" t="str">
        <f>IFERROR(__xludf.DUMMYFUNCTION("""COMPUTED_VALUE"""),"Glowing Face Wash")</f>
        <v>Glowing Face Wash</v>
      </c>
      <c r="H97" s="463" t="str">
        <f>IFERROR(__xludf.DUMMYFUNCTION("""COMPUTED_VALUE"""),"Sampai")</f>
        <v>Sampai</v>
      </c>
      <c r="I97" s="546" t="str">
        <f>IFERROR(__xludf.DUMMYFUNCTION("""COMPUTED_VALUE"""),"Concept 2")</f>
        <v>Concept 2</v>
      </c>
      <c r="J97" s="540" t="str">
        <f>IFERROR(__xludf.DUMMYFUNCTION("""COMPUTED_VALUE"""),"https://vt.tiktok.com/ZSxkWAEc4/ ")</f>
        <v>https://vt.tiktok.com/ZSxkWAEc4/ </v>
      </c>
      <c r="K97" s="312" t="str">
        <f>IFERROR(__xludf.DUMMYFUNCTION("""COMPUTED_VALUE"""),"#l7ki08TDTwQjMN9hrZvXDOegb6EGowkJFsqYw7MyBN1JQ/VueVbHXLMaxpN/N/4=")</f>
        <v>#l7ki08TDTwQjMN9hrZvXDOegb6EGowkJFsqYw7MyBN1JQ/VueVbHXLMaxpN/N/4=</v>
      </c>
      <c r="L97" s="546"/>
      <c r="M97" s="541"/>
      <c r="N97" s="541"/>
      <c r="O97" s="541"/>
      <c r="P97" s="541"/>
      <c r="Q97" s="312"/>
      <c r="R97" s="286"/>
      <c r="S97" s="286"/>
      <c r="T97" s="286"/>
      <c r="U97" s="286"/>
      <c r="V97" s="286"/>
      <c r="W97" s="286"/>
      <c r="X97" s="286"/>
      <c r="Y97" s="286"/>
      <c r="Z97" s="286"/>
      <c r="AA97" s="286"/>
      <c r="AB97" s="286"/>
    </row>
    <row r="98">
      <c r="A98" s="307" t="str">
        <f>IFERROR(__xludf.DUMMYFUNCTION("""COMPUTED_VALUE"""),"MICRO")</f>
        <v>MICRO</v>
      </c>
      <c r="B98" s="318" t="str">
        <f>IFERROR(__xludf.DUMMYFUNCTION("""COMPUTED_VALUE"""),"nursidah54")</f>
        <v>nursidah54</v>
      </c>
      <c r="C98" s="535" t="str">
        <f>IFERROR(__xludf.DUMMYFUNCTION("""COMPUTED_VALUE"""),"https://www.tiktok.com/@nursidah54")</f>
        <v>https://www.tiktok.com/@nursidah54</v>
      </c>
      <c r="D98" s="316">
        <f>IFERROR(__xludf.DUMMYFUNCTION("""COMPUTED_VALUE"""),8.95339467395E11)</f>
        <v>895339467395</v>
      </c>
      <c r="E98" s="545">
        <f>IFERROR(__xludf.DUMMYFUNCTION("""COMPUTED_VALUE"""),0.0)</f>
        <v>0</v>
      </c>
      <c r="F98" s="316">
        <f>IFERROR(__xludf.DUMMYFUNCTION("""COMPUTED_VALUE"""),2.0)</f>
        <v>2</v>
      </c>
      <c r="G98" s="538" t="str">
        <f>IFERROR(__xludf.DUMMYFUNCTION("""COMPUTED_VALUE"""),"Acne Face Wash")</f>
        <v>Acne Face Wash</v>
      </c>
      <c r="H98" s="463" t="str">
        <f>IFERROR(__xludf.DUMMYFUNCTION("""COMPUTED_VALUE"""),"Sampai")</f>
        <v>Sampai</v>
      </c>
      <c r="I98" s="546" t="str">
        <f>IFERROR(__xludf.DUMMYFUNCTION("""COMPUTED_VALUE""")," Concept 1")</f>
        <v> Concept 1</v>
      </c>
      <c r="J98" s="540" t="str">
        <f>IFERROR(__xludf.DUMMYFUNCTION("""COMPUTED_VALUE"""),"https://vt.tiktok.com/ZSxUEDYKg/ ")</f>
        <v>https://vt.tiktok.com/ZSxUEDYKg/ </v>
      </c>
      <c r="K98" s="312" t="str">
        <f>IFERROR(__xludf.DUMMYFUNCTION("""COMPUTED_VALUE"""),"#mB2Yf/QriUS8GVDTHWU6YNlmmEsWwHVBDO2BKEaFHDNVPLVPutf+uQI4tANcwws=")</f>
        <v>#mB2Yf/QriUS8GVDTHWU6YNlmmEsWwHVBDO2BKEaFHDNVPLVPutf+uQI4tANcwws=</v>
      </c>
      <c r="L98" s="546" t="str">
        <f>IFERROR(__xludf.DUMMYFUNCTION("""COMPUTED_VALUE"""),"Concept 2")</f>
        <v>Concept 2</v>
      </c>
      <c r="M98" s="540" t="str">
        <f>IFERROR(__xludf.DUMMYFUNCTION("""COMPUTED_VALUE"""),"https://vt.tiktok.com/ZSQRwvXAv/")</f>
        <v>https://vt.tiktok.com/ZSQRwvXAv/</v>
      </c>
      <c r="N98" s="541"/>
      <c r="O98" s="541"/>
      <c r="P98" s="541"/>
      <c r="Q98" s="312"/>
      <c r="R98" s="286"/>
      <c r="S98" s="286"/>
      <c r="T98" s="286"/>
      <c r="U98" s="286"/>
      <c r="V98" s="286"/>
      <c r="W98" s="286"/>
      <c r="X98" s="286"/>
      <c r="Y98" s="286"/>
      <c r="Z98" s="286"/>
      <c r="AA98" s="286"/>
      <c r="AB98" s="286"/>
    </row>
    <row r="99">
      <c r="A99" s="307" t="str">
        <f>IFERROR(__xludf.DUMMYFUNCTION("""COMPUTED_VALUE"""),"MICRO")</f>
        <v>MICRO</v>
      </c>
      <c r="B99" s="318" t="str">
        <f>IFERROR(__xludf.DUMMYFUNCTION("""COMPUTED_VALUE"""),"lisna_tanjung")</f>
        <v>lisna_tanjung</v>
      </c>
      <c r="C99" s="535" t="str">
        <f>IFERROR(__xludf.DUMMYFUNCTION("""COMPUTED_VALUE"""),"https://www.tiktok.com/@lisna_tanjung")</f>
        <v>https://www.tiktok.com/@lisna_tanjung</v>
      </c>
      <c r="D99" s="316">
        <f>IFERROR(__xludf.DUMMYFUNCTION("""COMPUTED_VALUE"""),8.2385033597E10)</f>
        <v>82385033597</v>
      </c>
      <c r="E99" s="545">
        <f>IFERROR(__xludf.DUMMYFUNCTION("""COMPUTED_VALUE"""),0.0)</f>
        <v>0</v>
      </c>
      <c r="F99" s="316">
        <f>IFERROR(__xludf.DUMMYFUNCTION("""COMPUTED_VALUE"""),2.0)</f>
        <v>2</v>
      </c>
      <c r="G99" s="538" t="str">
        <f>IFERROR(__xludf.DUMMYFUNCTION("""COMPUTED_VALUE"""),"Glowing Face Wash")</f>
        <v>Glowing Face Wash</v>
      </c>
      <c r="H99" s="463" t="str">
        <f>IFERROR(__xludf.DUMMYFUNCTION("""COMPUTED_VALUE"""),"Sampai")</f>
        <v>Sampai</v>
      </c>
      <c r="I99" s="546" t="str">
        <f>IFERROR(__xludf.DUMMYFUNCTION("""COMPUTED_VALUE""")," Concept 1")</f>
        <v> Concept 1</v>
      </c>
      <c r="J99" s="540" t="str">
        <f>IFERROR(__xludf.DUMMYFUNCTION("""COMPUTED_VALUE"""),"https://vt.tiktok.com/ZSxuEqHXV/ ")</f>
        <v>https://vt.tiktok.com/ZSxuEqHXV/ </v>
      </c>
      <c r="K99" s="312" t="str">
        <f>IFERROR(__xludf.DUMMYFUNCTION("""COMPUTED_VALUE"""),"#G41aKkjPd56FQ+UDGrnWWJqHWHr0iLYpccJpEAHXl4hele3gRWHE+4TQEtpD9Ms=")</f>
        <v>#G41aKkjPd56FQ+UDGrnWWJqHWHr0iLYpccJpEAHXl4hele3gRWHE+4TQEtpD9Ms=</v>
      </c>
      <c r="L99" s="546" t="str">
        <f>IFERROR(__xludf.DUMMYFUNCTION("""COMPUTED_VALUE"""),"Concept 2")</f>
        <v>Concept 2</v>
      </c>
      <c r="M99" s="540" t="str">
        <f>IFERROR(__xludf.DUMMYFUNCTION("""COMPUTED_VALUE"""),"https://vt.tiktok.com/ZSQNfRcxc/")</f>
        <v>https://vt.tiktok.com/ZSQNfRcxc/</v>
      </c>
      <c r="N99" s="541"/>
      <c r="O99" s="541"/>
      <c r="P99" s="541"/>
      <c r="Q99" s="312"/>
      <c r="R99" s="286"/>
      <c r="S99" s="286"/>
      <c r="T99" s="286"/>
      <c r="U99" s="286"/>
      <c r="V99" s="286"/>
      <c r="W99" s="286"/>
      <c r="X99" s="286"/>
      <c r="Y99" s="286"/>
      <c r="Z99" s="286"/>
      <c r="AA99" s="286"/>
      <c r="AB99" s="286"/>
    </row>
    <row r="100">
      <c r="A100" s="307" t="str">
        <f>IFERROR(__xludf.DUMMYFUNCTION("""COMPUTED_VALUE"""),"NANO")</f>
        <v>NANO</v>
      </c>
      <c r="B100" s="318" t="str">
        <f>IFERROR(__xludf.DUMMYFUNCTION("""COMPUTED_VALUE"""),"haloastrii")</f>
        <v>haloastrii</v>
      </c>
      <c r="C100" s="535" t="str">
        <f>IFERROR(__xludf.DUMMYFUNCTION("""COMPUTED_VALUE"""),"https://www.tiktok.com/@haloastrii")</f>
        <v>https://www.tiktok.com/@haloastrii</v>
      </c>
      <c r="D100" s="316"/>
      <c r="E100" s="545">
        <f>IFERROR(__xludf.DUMMYFUNCTION("""COMPUTED_VALUE"""),0.0)</f>
        <v>0</v>
      </c>
      <c r="F100" s="316">
        <f>IFERROR(__xludf.DUMMYFUNCTION("""COMPUTED_VALUE"""),2.0)</f>
        <v>2</v>
      </c>
      <c r="G100" s="538" t="str">
        <f>IFERROR(__xludf.DUMMYFUNCTION("""COMPUTED_VALUE"""),"Glowing Face Wash")</f>
        <v>Glowing Face Wash</v>
      </c>
      <c r="H100" s="463"/>
      <c r="I100" s="546"/>
      <c r="J100" s="541"/>
      <c r="K100" s="312"/>
      <c r="L100" s="546"/>
      <c r="M100" s="541"/>
      <c r="N100" s="541"/>
      <c r="O100" s="541"/>
      <c r="P100" s="541"/>
      <c r="Q100" s="312"/>
      <c r="R100" s="286"/>
      <c r="S100" s="286"/>
      <c r="T100" s="286"/>
      <c r="U100" s="286"/>
      <c r="V100" s="286"/>
      <c r="W100" s="286"/>
      <c r="X100" s="286"/>
      <c r="Y100" s="286"/>
      <c r="Z100" s="286"/>
      <c r="AA100" s="286"/>
      <c r="AB100" s="286"/>
    </row>
    <row r="101">
      <c r="A101" s="307" t="str">
        <f>IFERROR(__xludf.DUMMYFUNCTION("""COMPUTED_VALUE"""),"MICRO")</f>
        <v>MICRO</v>
      </c>
      <c r="B101" s="318" t="str">
        <f>IFERROR(__xludf.DUMMYFUNCTION("""COMPUTED_VALUE"""),"eristaaa03")</f>
        <v>eristaaa03</v>
      </c>
      <c r="C101" s="535" t="str">
        <f>IFERROR(__xludf.DUMMYFUNCTION("""COMPUTED_VALUE"""),"https://www.tiktok.com/@eristaaa03")</f>
        <v>https://www.tiktok.com/@eristaaa03</v>
      </c>
      <c r="D101" s="316"/>
      <c r="E101" s="545">
        <f>IFERROR(__xludf.DUMMYFUNCTION("""COMPUTED_VALUE"""),200000.0)</f>
        <v>200000</v>
      </c>
      <c r="F101" s="316">
        <f>IFERROR(__xludf.DUMMYFUNCTION("""COMPUTED_VALUE"""),2.0)</f>
        <v>2</v>
      </c>
      <c r="G101" s="538" t="str">
        <f>IFERROR(__xludf.DUMMYFUNCTION("""COMPUTED_VALUE"""),"Glowing Face Wash")</f>
        <v>Glowing Face Wash</v>
      </c>
      <c r="H101" s="463"/>
      <c r="I101" s="546"/>
      <c r="J101" s="541"/>
      <c r="K101" s="312"/>
      <c r="L101" s="546"/>
      <c r="M101" s="541"/>
      <c r="N101" s="541"/>
      <c r="O101" s="541"/>
      <c r="P101" s="541"/>
      <c r="Q101" s="312"/>
      <c r="R101" s="286"/>
      <c r="S101" s="286"/>
      <c r="T101" s="286"/>
      <c r="U101" s="286"/>
      <c r="V101" s="286"/>
      <c r="W101" s="286"/>
      <c r="X101" s="286"/>
      <c r="Y101" s="286"/>
      <c r="Z101" s="286"/>
      <c r="AA101" s="286"/>
      <c r="AB101" s="286"/>
    </row>
    <row r="102">
      <c r="A102" s="307" t="str">
        <f>IFERROR(__xludf.DUMMYFUNCTION("""COMPUTED_VALUE"""),"NANO")</f>
        <v>NANO</v>
      </c>
      <c r="B102" s="318" t="str">
        <f>IFERROR(__xludf.DUMMYFUNCTION("""COMPUTED_VALUE"""),"lehaa.27")</f>
        <v>lehaa.27</v>
      </c>
      <c r="C102" s="535" t="str">
        <f>IFERROR(__xludf.DUMMYFUNCTION("""COMPUTED_VALUE"""),"https://www.tiktok.com/@lehaa.27")</f>
        <v>https://www.tiktok.com/@lehaa.27</v>
      </c>
      <c r="D102" s="316"/>
      <c r="E102" s="545">
        <f>IFERROR(__xludf.DUMMYFUNCTION("""COMPUTED_VALUE"""),0.0)</f>
        <v>0</v>
      </c>
      <c r="F102" s="316">
        <f>IFERROR(__xludf.DUMMYFUNCTION("""COMPUTED_VALUE"""),2.0)</f>
        <v>2</v>
      </c>
      <c r="G102" s="538" t="str">
        <f>IFERROR(__xludf.DUMMYFUNCTION("""COMPUTED_VALUE"""),"Glowing Face Wash")</f>
        <v>Glowing Face Wash</v>
      </c>
      <c r="H102" s="463" t="str">
        <f>IFERROR(__xludf.DUMMYFUNCTION("""COMPUTED_VALUE"""),"Sampai")</f>
        <v>Sampai</v>
      </c>
      <c r="I102" s="546" t="str">
        <f>IFERROR(__xludf.DUMMYFUNCTION("""COMPUTED_VALUE""")," Concept 1")</f>
        <v> Concept 1</v>
      </c>
      <c r="J102" s="540" t="str">
        <f>IFERROR(__xludf.DUMMYFUNCTION("""COMPUTED_VALUE"""),"https://vt.tiktok.com/ZSxkvdX7j/ ")</f>
        <v>https://vt.tiktok.com/ZSxkvdX7j/ </v>
      </c>
      <c r="K102" s="312"/>
      <c r="L102" s="546"/>
      <c r="M102" s="541"/>
      <c r="N102" s="541"/>
      <c r="O102" s="541"/>
      <c r="P102" s="541"/>
      <c r="Q102" s="312"/>
      <c r="R102" s="286"/>
      <c r="S102" s="286"/>
      <c r="T102" s="286"/>
      <c r="U102" s="286"/>
      <c r="V102" s="286"/>
      <c r="W102" s="286"/>
      <c r="X102" s="286"/>
      <c r="Y102" s="286"/>
      <c r="Z102" s="286"/>
      <c r="AA102" s="286"/>
      <c r="AB102" s="286"/>
    </row>
    <row r="103">
      <c r="A103" s="307" t="str">
        <f>IFERROR(__xludf.DUMMYFUNCTION("""COMPUTED_VALUE"""),"MICRO")</f>
        <v>MICRO</v>
      </c>
      <c r="B103" s="318" t="str">
        <f>IFERROR(__xludf.DUMMYFUNCTION("""COMPUTED_VALUE"""),"oliviasompie")</f>
        <v>oliviasompie</v>
      </c>
      <c r="C103" s="535" t="str">
        <f>IFERROR(__xludf.DUMMYFUNCTION("""COMPUTED_VALUE"""),"https://www.tiktok.com/@oliviasompie")</f>
        <v>https://www.tiktok.com/@oliviasompie</v>
      </c>
      <c r="D103" s="316">
        <f>IFERROR(__xludf.DUMMYFUNCTION("""COMPUTED_VALUE"""),8.1245249849E10)</f>
        <v>81245249849</v>
      </c>
      <c r="E103" s="545">
        <f>IFERROR(__xludf.DUMMYFUNCTION("""COMPUTED_VALUE"""),400000.0)</f>
        <v>400000</v>
      </c>
      <c r="F103" s="316">
        <f>IFERROR(__xludf.DUMMYFUNCTION("""COMPUTED_VALUE"""),2.0)</f>
        <v>2</v>
      </c>
      <c r="G103" s="538" t="str">
        <f>IFERROR(__xludf.DUMMYFUNCTION("""COMPUTED_VALUE"""),"Acne Face Wash")</f>
        <v>Acne Face Wash</v>
      </c>
      <c r="H103" s="463"/>
      <c r="I103" s="546"/>
      <c r="J103" s="541"/>
      <c r="K103" s="312"/>
      <c r="L103" s="546"/>
      <c r="M103" s="541"/>
      <c r="N103" s="541"/>
      <c r="O103" s="541"/>
      <c r="P103" s="541"/>
      <c r="Q103" s="312"/>
      <c r="R103" s="286"/>
      <c r="S103" s="286"/>
      <c r="T103" s="286"/>
      <c r="U103" s="286"/>
      <c r="V103" s="286"/>
      <c r="W103" s="286"/>
      <c r="X103" s="286"/>
      <c r="Y103" s="286"/>
      <c r="Z103" s="286"/>
      <c r="AA103" s="286"/>
      <c r="AB103" s="286"/>
    </row>
    <row r="104">
      <c r="A104" s="307" t="str">
        <f>IFERROR(__xludf.DUMMYFUNCTION("""COMPUTED_VALUE"""),"MICRO")</f>
        <v>MICRO</v>
      </c>
      <c r="B104" s="318" t="str">
        <f>IFERROR(__xludf.DUMMYFUNCTION("""COMPUTED_VALUE"""),"leonejessi")</f>
        <v>leonejessi</v>
      </c>
      <c r="C104" s="535" t="str">
        <f>IFERROR(__xludf.DUMMYFUNCTION("""COMPUTED_VALUE"""),"https://www.tiktok.com/@leonejessi")</f>
        <v>https://www.tiktok.com/@leonejessi</v>
      </c>
      <c r="D104" s="316">
        <f>IFERROR(__xludf.DUMMYFUNCTION("""COMPUTED_VALUE"""),8.1219000686E10)</f>
        <v>81219000686</v>
      </c>
      <c r="E104" s="545">
        <f>IFERROR(__xludf.DUMMYFUNCTION("""COMPUTED_VALUE"""),300000.0)</f>
        <v>300000</v>
      </c>
      <c r="F104" s="316">
        <f>IFERROR(__xludf.DUMMYFUNCTION("""COMPUTED_VALUE"""),2.0)</f>
        <v>2</v>
      </c>
      <c r="G104" s="538" t="str">
        <f>IFERROR(__xludf.DUMMYFUNCTION("""COMPUTED_VALUE"""),"Glowing Face Wash")</f>
        <v>Glowing Face Wash</v>
      </c>
      <c r="H104" s="463"/>
      <c r="I104" s="546"/>
      <c r="J104" s="541"/>
      <c r="K104" s="312"/>
      <c r="L104" s="546"/>
      <c r="M104" s="541"/>
      <c r="N104" s="541"/>
      <c r="O104" s="541"/>
      <c r="P104" s="541"/>
      <c r="Q104" s="312"/>
      <c r="R104" s="286"/>
      <c r="S104" s="286"/>
      <c r="T104" s="286"/>
      <c r="U104" s="286"/>
      <c r="V104" s="286"/>
      <c r="W104" s="286"/>
      <c r="X104" s="286"/>
      <c r="Y104" s="286"/>
      <c r="Z104" s="286"/>
      <c r="AA104" s="286"/>
      <c r="AB104" s="286"/>
    </row>
    <row r="105">
      <c r="A105" s="307" t="str">
        <f>IFERROR(__xludf.DUMMYFUNCTION("""COMPUTED_VALUE"""),"NANO")</f>
        <v>NANO</v>
      </c>
      <c r="B105" s="318" t="str">
        <f>IFERROR(__xludf.DUMMYFUNCTION("""COMPUTED_VALUE"""),"indriminyo")</f>
        <v>indriminyo</v>
      </c>
      <c r="C105" s="535" t="str">
        <f>IFERROR(__xludf.DUMMYFUNCTION("""COMPUTED_VALUE"""),"https://www.tiktok.com/@indriminyo")</f>
        <v>https://www.tiktok.com/@indriminyo</v>
      </c>
      <c r="D105" s="316">
        <f>IFERROR(__xludf.DUMMYFUNCTION("""COMPUTED_VALUE"""),8.2211778525E10)</f>
        <v>82211778525</v>
      </c>
      <c r="E105" s="545">
        <f>IFERROR(__xludf.DUMMYFUNCTION("""COMPUTED_VALUE"""),0.0)</f>
        <v>0</v>
      </c>
      <c r="F105" s="316">
        <f>IFERROR(__xludf.DUMMYFUNCTION("""COMPUTED_VALUE"""),2.0)</f>
        <v>2</v>
      </c>
      <c r="G105" s="538" t="str">
        <f>IFERROR(__xludf.DUMMYFUNCTION("""COMPUTED_VALUE"""),"Glowing Face Wash")</f>
        <v>Glowing Face Wash</v>
      </c>
      <c r="H105" s="463"/>
      <c r="I105" s="546"/>
      <c r="J105" s="541"/>
      <c r="K105" s="312"/>
      <c r="L105" s="546"/>
      <c r="M105" s="541"/>
      <c r="N105" s="541"/>
      <c r="O105" s="541"/>
      <c r="P105" s="541"/>
      <c r="Q105" s="312"/>
      <c r="R105" s="286"/>
      <c r="S105" s="286"/>
      <c r="T105" s="286"/>
      <c r="U105" s="286"/>
      <c r="V105" s="286"/>
      <c r="W105" s="286"/>
      <c r="X105" s="286"/>
      <c r="Y105" s="286"/>
      <c r="Z105" s="286"/>
      <c r="AA105" s="286"/>
      <c r="AB105" s="286"/>
    </row>
    <row r="106">
      <c r="A106" s="307" t="str">
        <f>IFERROR(__xludf.DUMMYFUNCTION("""COMPUTED_VALUE"""),"NANO")</f>
        <v>NANO</v>
      </c>
      <c r="B106" s="318" t="str">
        <f>IFERROR(__xludf.DUMMYFUNCTION("""COMPUTED_VALUE"""),"bypujii")</f>
        <v>bypujii</v>
      </c>
      <c r="C106" s="535" t="str">
        <f>IFERROR(__xludf.DUMMYFUNCTION("""COMPUTED_VALUE"""),"https://www.tiktok.com/@bypujii")</f>
        <v>https://www.tiktok.com/@bypujii</v>
      </c>
      <c r="D106" s="316">
        <f>IFERROR(__xludf.DUMMYFUNCTION("""COMPUTED_VALUE"""),8.1210184695E10)</f>
        <v>81210184695</v>
      </c>
      <c r="E106" s="545">
        <f>IFERROR(__xludf.DUMMYFUNCTION("""COMPUTED_VALUE"""),0.0)</f>
        <v>0</v>
      </c>
      <c r="F106" s="316">
        <f>IFERROR(__xludf.DUMMYFUNCTION("""COMPUTED_VALUE"""),2.0)</f>
        <v>2</v>
      </c>
      <c r="G106" s="538" t="str">
        <f>IFERROR(__xludf.DUMMYFUNCTION("""COMPUTED_VALUE"""),"Glowing Face Wash")</f>
        <v>Glowing Face Wash</v>
      </c>
      <c r="H106" s="463"/>
      <c r="I106" s="546"/>
      <c r="J106" s="541"/>
      <c r="K106" s="312"/>
      <c r="L106" s="312"/>
      <c r="M106" s="541"/>
      <c r="N106" s="541"/>
      <c r="O106" s="541"/>
      <c r="P106" s="541"/>
      <c r="Q106" s="312"/>
      <c r="R106" s="286"/>
      <c r="S106" s="286"/>
      <c r="T106" s="286"/>
      <c r="U106" s="286"/>
      <c r="V106" s="286"/>
      <c r="W106" s="286"/>
      <c r="X106" s="286"/>
      <c r="Y106" s="286"/>
      <c r="Z106" s="286"/>
      <c r="AA106" s="286"/>
      <c r="AB106" s="286"/>
    </row>
    <row r="107">
      <c r="A107" s="307" t="str">
        <f>IFERROR(__xludf.DUMMYFUNCTION("""COMPUTED_VALUE"""),"MICRO")</f>
        <v>MICRO</v>
      </c>
      <c r="B107" s="318" t="str">
        <f>IFERROR(__xludf.DUMMYFUNCTION("""COMPUTED_VALUE"""),"yanti_nainggolan")</f>
        <v>yanti_nainggolan</v>
      </c>
      <c r="C107" s="535" t="str">
        <f>IFERROR(__xludf.DUMMYFUNCTION("""COMPUTED_VALUE"""),"https://www.tiktok.com/@yanti_nainggolan")</f>
        <v>https://www.tiktok.com/@yanti_nainggolan</v>
      </c>
      <c r="D107" s="316">
        <f>IFERROR(__xludf.DUMMYFUNCTION("""COMPUTED_VALUE"""),8.217057017E10)</f>
        <v>82170570170</v>
      </c>
      <c r="E107" s="545">
        <f>IFERROR(__xludf.DUMMYFUNCTION("""COMPUTED_VALUE"""),100000.0)</f>
        <v>100000</v>
      </c>
      <c r="F107" s="316">
        <f>IFERROR(__xludf.DUMMYFUNCTION("""COMPUTED_VALUE"""),2.0)</f>
        <v>2</v>
      </c>
      <c r="G107" s="538" t="str">
        <f>IFERROR(__xludf.DUMMYFUNCTION("""COMPUTED_VALUE"""),"Glowing Face Wash")</f>
        <v>Glowing Face Wash</v>
      </c>
      <c r="H107" s="463" t="str">
        <f>IFERROR(__xludf.DUMMYFUNCTION("""COMPUTED_VALUE"""),"Sampai")</f>
        <v>Sampai</v>
      </c>
      <c r="I107" s="546" t="str">
        <f>IFERROR(__xludf.DUMMYFUNCTION("""COMPUTED_VALUE""")," Concept 1")</f>
        <v> Concept 1</v>
      </c>
      <c r="J107" s="540" t="str">
        <f>IFERROR(__xludf.DUMMYFUNCTION("""COMPUTED_VALUE"""),"https://vt.tiktok.com/ZSxVXHdmD/ ")</f>
        <v>https://vt.tiktok.com/ZSxVXHdmD/ </v>
      </c>
      <c r="K107" s="312" t="str">
        <f>IFERROR(__xludf.DUMMYFUNCTION("""COMPUTED_VALUE"""),"#Yi1YDKGvZyY5zU7zDlgDmtdgcU0iKt4C4sYp/xY2eiAeZoi2JGHiNFPb52fgktk=")</f>
        <v>#Yi1YDKGvZyY5zU7zDlgDmtdgcU0iKt4C4sYp/xY2eiAeZoi2JGHiNFPb52fgktk=</v>
      </c>
      <c r="L107" s="312" t="str">
        <f>IFERROR(__xludf.DUMMYFUNCTION("""COMPUTED_VALUE"""),"Concept 2")</f>
        <v>Concept 2</v>
      </c>
      <c r="M107" s="540" t="str">
        <f>IFERROR(__xludf.DUMMYFUNCTION("""COMPUTED_VALUE"""),"https://vt.tiktok.com/ZSxTmwwNs/")</f>
        <v>https://vt.tiktok.com/ZSxTmwwNs/</v>
      </c>
      <c r="N107" s="541" t="str">
        <f>IFERROR(__xludf.DUMMYFUNCTION("""COMPUTED_VALUE"""),"#Omn81/HJMOvHd90pcCbulnlcUpJv8PvJJBWwfQgaleY3qzxwb2PQnllTIMvnoXk=")</f>
        <v>#Omn81/HJMOvHd90pcCbulnlcUpJv8PvJJBWwfQgaleY3qzxwb2PQnllTIMvnoXk=</v>
      </c>
      <c r="O107" s="541"/>
      <c r="P107" s="541"/>
      <c r="Q107" s="312"/>
      <c r="R107" s="286"/>
      <c r="S107" s="286"/>
      <c r="T107" s="286"/>
      <c r="U107" s="286"/>
      <c r="V107" s="286"/>
      <c r="W107" s="286"/>
      <c r="X107" s="286"/>
      <c r="Y107" s="286"/>
      <c r="Z107" s="286"/>
      <c r="AA107" s="286"/>
      <c r="AB107" s="286"/>
    </row>
    <row r="108">
      <c r="A108" s="307" t="str">
        <f>IFERROR(__xludf.DUMMYFUNCTION("""COMPUTED_VALUE"""),"NANO")</f>
        <v>NANO</v>
      </c>
      <c r="B108" s="318" t="str">
        <f>IFERROR(__xludf.DUMMYFUNCTION("""COMPUTED_VALUE"""),"hi_jaenaa")</f>
        <v>hi_jaenaa</v>
      </c>
      <c r="C108" s="535" t="str">
        <f>IFERROR(__xludf.DUMMYFUNCTION("""COMPUTED_VALUE"""),"https://www.tiktok.com/@hi_jaenaa")</f>
        <v>https://www.tiktok.com/@hi_jaenaa</v>
      </c>
      <c r="D108" s="316">
        <f>IFERROR(__xludf.DUMMYFUNCTION("""COMPUTED_VALUE"""),8.82006643919E11)</f>
        <v>882006643919</v>
      </c>
      <c r="E108" s="545">
        <f>IFERROR(__xludf.DUMMYFUNCTION("""COMPUTED_VALUE"""),0.0)</f>
        <v>0</v>
      </c>
      <c r="F108" s="316">
        <f>IFERROR(__xludf.DUMMYFUNCTION("""COMPUTED_VALUE"""),2.0)</f>
        <v>2</v>
      </c>
      <c r="G108" s="538"/>
      <c r="H108" s="463"/>
      <c r="I108" s="546"/>
      <c r="J108" s="541"/>
      <c r="K108" s="312"/>
      <c r="L108" s="312"/>
      <c r="M108" s="541"/>
      <c r="N108" s="541"/>
      <c r="O108" s="541"/>
      <c r="P108" s="541"/>
      <c r="Q108" s="312"/>
      <c r="R108" s="286"/>
      <c r="S108" s="286"/>
      <c r="T108" s="286"/>
      <c r="U108" s="286"/>
      <c r="V108" s="286"/>
      <c r="W108" s="286"/>
      <c r="X108" s="286"/>
      <c r="Y108" s="286"/>
      <c r="Z108" s="286"/>
      <c r="AA108" s="286"/>
      <c r="AB108" s="286"/>
    </row>
    <row r="109">
      <c r="A109" s="307" t="str">
        <f>IFERROR(__xludf.DUMMYFUNCTION("""COMPUTED_VALUE"""),"MICRO")</f>
        <v>MICRO</v>
      </c>
      <c r="B109" s="318" t="str">
        <f>IFERROR(__xludf.DUMMYFUNCTION("""COMPUTED_VALUE"""),"ihaamour")</f>
        <v>ihaamour</v>
      </c>
      <c r="C109" s="535" t="str">
        <f>IFERROR(__xludf.DUMMYFUNCTION("""COMPUTED_VALUE"""),"https://www.tiktok.com/@ihaamour")</f>
        <v>https://www.tiktok.com/@ihaamour</v>
      </c>
      <c r="D109" s="316"/>
      <c r="E109" s="545">
        <f>IFERROR(__xludf.DUMMYFUNCTION("""COMPUTED_VALUE"""),0.0)</f>
        <v>0</v>
      </c>
      <c r="F109" s="316">
        <f>IFERROR(__xludf.DUMMYFUNCTION("""COMPUTED_VALUE"""),2.0)</f>
        <v>2</v>
      </c>
      <c r="G109" s="538" t="str">
        <f>IFERROR(__xludf.DUMMYFUNCTION("""COMPUTED_VALUE"""),"Glowing Face Wash")</f>
        <v>Glowing Face Wash</v>
      </c>
      <c r="H109" s="463"/>
      <c r="I109" s="546"/>
      <c r="J109" s="541"/>
      <c r="K109" s="312"/>
      <c r="L109" s="312"/>
      <c r="M109" s="541"/>
      <c r="N109" s="541"/>
      <c r="O109" s="541"/>
      <c r="P109" s="541"/>
      <c r="Q109" s="312"/>
      <c r="R109" s="286"/>
      <c r="S109" s="286"/>
      <c r="T109" s="286"/>
      <c r="U109" s="286"/>
      <c r="V109" s="286"/>
      <c r="W109" s="286"/>
      <c r="X109" s="286"/>
      <c r="Y109" s="286"/>
      <c r="Z109" s="286"/>
      <c r="AA109" s="286"/>
      <c r="AB109" s="286"/>
    </row>
    <row r="110">
      <c r="A110" s="307" t="str">
        <f>IFERROR(__xludf.DUMMYFUNCTION("""COMPUTED_VALUE"""),"NANO")</f>
        <v>NANO</v>
      </c>
      <c r="B110" s="318" t="str">
        <f>IFERROR(__xludf.DUMMYFUNCTION("""COMPUTED_VALUE"""),"dialecxy")</f>
        <v>dialecxy</v>
      </c>
      <c r="C110" s="535" t="str">
        <f>IFERROR(__xludf.DUMMYFUNCTION("""COMPUTED_VALUE"""),"https://www.tiktok.com/@dialecxy")</f>
        <v>https://www.tiktok.com/@dialecxy</v>
      </c>
      <c r="D110" s="316"/>
      <c r="E110" s="545">
        <f>IFERROR(__xludf.DUMMYFUNCTION("""COMPUTED_VALUE"""),50000.0)</f>
        <v>50000</v>
      </c>
      <c r="F110" s="316"/>
      <c r="G110" s="538" t="str">
        <f>IFERROR(__xludf.DUMMYFUNCTION("""COMPUTED_VALUE"""),"Acne Face Wash")</f>
        <v>Acne Face Wash</v>
      </c>
      <c r="H110" s="463"/>
      <c r="I110" s="546"/>
      <c r="J110" s="541"/>
      <c r="K110" s="312"/>
      <c r="L110" s="312"/>
      <c r="M110" s="541"/>
      <c r="N110" s="541"/>
      <c r="O110" s="541"/>
      <c r="P110" s="541"/>
      <c r="Q110" s="312"/>
      <c r="R110" s="286"/>
      <c r="S110" s="286"/>
      <c r="T110" s="286"/>
      <c r="U110" s="286"/>
      <c r="V110" s="286"/>
      <c r="W110" s="286"/>
      <c r="X110" s="286"/>
      <c r="Y110" s="286"/>
      <c r="Z110" s="286"/>
      <c r="AA110" s="286"/>
      <c r="AB110" s="286"/>
    </row>
    <row r="111">
      <c r="A111" s="307" t="str">
        <f>IFERROR(__xludf.DUMMYFUNCTION("""COMPUTED_VALUE"""),"NANO")</f>
        <v>NANO</v>
      </c>
      <c r="B111" s="544" t="str">
        <f>IFERROR(__xludf.DUMMYFUNCTION("""COMPUTED_VALUE"""),"kheaa.kr")</f>
        <v>kheaa.kr</v>
      </c>
      <c r="C111" s="535" t="str">
        <f>IFERROR(__xludf.DUMMYFUNCTION("""COMPUTED_VALUE"""),"https://www.tiktok.com/@kheaa.kr")</f>
        <v>https://www.tiktok.com/@kheaa.kr</v>
      </c>
      <c r="D111" s="316"/>
      <c r="E111" s="545">
        <f>IFERROR(__xludf.DUMMYFUNCTION("""COMPUTED_VALUE"""),50000.0)</f>
        <v>50000</v>
      </c>
      <c r="F111" s="316"/>
      <c r="G111" s="538" t="str">
        <f>IFERROR(__xludf.DUMMYFUNCTION("""COMPUTED_VALUE"""),"Glowing Face Wash")</f>
        <v>Glowing Face Wash</v>
      </c>
      <c r="H111" s="463"/>
      <c r="I111" s="546"/>
      <c r="J111" s="541"/>
      <c r="K111" s="312"/>
      <c r="L111" s="312"/>
      <c r="M111" s="541"/>
      <c r="N111" s="541"/>
      <c r="O111" s="541"/>
      <c r="P111" s="541"/>
      <c r="Q111" s="312"/>
      <c r="R111" s="286"/>
      <c r="S111" s="286"/>
      <c r="T111" s="286"/>
      <c r="U111" s="286"/>
      <c r="V111" s="286"/>
      <c r="W111" s="286"/>
      <c r="X111" s="286"/>
      <c r="Y111" s="286"/>
      <c r="Z111" s="286"/>
      <c r="AA111" s="286"/>
      <c r="AB111" s="286"/>
    </row>
    <row r="112">
      <c r="A112" s="307" t="str">
        <f>IFERROR(__xludf.DUMMYFUNCTION("""COMPUTED_VALUE"""),"NANO")</f>
        <v>NANO</v>
      </c>
      <c r="B112" s="312" t="str">
        <f>IFERROR(__xludf.DUMMYFUNCTION("""COMPUTED_VALUE"""),"meyjayanti3")</f>
        <v>meyjayanti3</v>
      </c>
      <c r="C112" s="540" t="str">
        <f>IFERROR(__xludf.DUMMYFUNCTION("""COMPUTED_VALUE"""),"https://www.tiktok.com/@meyjayanti3")</f>
        <v>https://www.tiktok.com/@meyjayanti3</v>
      </c>
      <c r="D112" s="548"/>
      <c r="E112" s="549">
        <f>IFERROR(__xludf.DUMMYFUNCTION("""COMPUTED_VALUE"""),50000.0)</f>
        <v>50000</v>
      </c>
      <c r="F112" s="548"/>
      <c r="G112" s="538" t="str">
        <f>IFERROR(__xludf.DUMMYFUNCTION("""COMPUTED_VALUE"""),"Acne Face Wash")</f>
        <v>Acne Face Wash</v>
      </c>
      <c r="H112" s="463"/>
      <c r="I112" s="546"/>
      <c r="J112" s="541"/>
      <c r="K112" s="312"/>
      <c r="L112" s="312"/>
      <c r="M112" s="541"/>
      <c r="N112" s="541"/>
      <c r="O112" s="541"/>
      <c r="P112" s="541"/>
      <c r="Q112" s="312"/>
      <c r="R112" s="286"/>
      <c r="S112" s="286"/>
      <c r="T112" s="286"/>
      <c r="U112" s="286"/>
      <c r="V112" s="286"/>
      <c r="W112" s="286"/>
      <c r="X112" s="286"/>
      <c r="Y112" s="286"/>
      <c r="Z112" s="286"/>
      <c r="AA112" s="286"/>
      <c r="AB112" s="286"/>
    </row>
    <row r="113">
      <c r="A113" s="307" t="str">
        <f>IFERROR(__xludf.DUMMYFUNCTION("""COMPUTED_VALUE"""),"NANO")</f>
        <v>NANO</v>
      </c>
      <c r="B113" s="312" t="str">
        <f>IFERROR(__xludf.DUMMYFUNCTION("""COMPUTED_VALUE"""),"somethinlostt")</f>
        <v>somethinlostt</v>
      </c>
      <c r="C113" s="540" t="str">
        <f>IFERROR(__xludf.DUMMYFUNCTION("""COMPUTED_VALUE"""),"https://www.tiktok.com/@somethinlostt")</f>
        <v>https://www.tiktok.com/@somethinlostt</v>
      </c>
      <c r="D113" s="548"/>
      <c r="E113" s="549">
        <f>IFERROR(__xludf.DUMMYFUNCTION("""COMPUTED_VALUE"""),50000.0)</f>
        <v>50000</v>
      </c>
      <c r="F113" s="548"/>
      <c r="G113" s="538" t="str">
        <f>IFERROR(__xludf.DUMMYFUNCTION("""COMPUTED_VALUE"""),"Acne Face Wash")</f>
        <v>Acne Face Wash</v>
      </c>
      <c r="H113" s="463"/>
      <c r="I113" s="546"/>
      <c r="J113" s="541"/>
      <c r="K113" s="312"/>
      <c r="L113" s="312"/>
      <c r="M113" s="541"/>
      <c r="N113" s="541"/>
      <c r="O113" s="541"/>
      <c r="P113" s="541"/>
      <c r="Q113" s="312"/>
      <c r="R113" s="286"/>
      <c r="S113" s="286"/>
      <c r="T113" s="286"/>
      <c r="U113" s="286"/>
      <c r="V113" s="286"/>
      <c r="W113" s="286"/>
      <c r="X113" s="286"/>
      <c r="Y113" s="286"/>
      <c r="Z113" s="286"/>
      <c r="AA113" s="286"/>
      <c r="AB113" s="286"/>
    </row>
    <row r="114">
      <c r="A114" s="307" t="str">
        <f>IFERROR(__xludf.DUMMYFUNCTION("""COMPUTED_VALUE"""),"NANO")</f>
        <v>NANO</v>
      </c>
      <c r="B114" s="312" t="str">
        <f>IFERROR(__xludf.DUMMYFUNCTION("""COMPUTED_VALUE"""),"ceciliazebua")</f>
        <v>ceciliazebua</v>
      </c>
      <c r="C114" s="540" t="str">
        <f>IFERROR(__xludf.DUMMYFUNCTION("""COMPUTED_VALUE"""),"https://www.tiktok.com/@ceciliazebua")</f>
        <v>https://www.tiktok.com/@ceciliazebua</v>
      </c>
      <c r="D114" s="548"/>
      <c r="E114" s="549">
        <f>IFERROR(__xludf.DUMMYFUNCTION("""COMPUTED_VALUE"""),50000.0)</f>
        <v>50000</v>
      </c>
      <c r="F114" s="548"/>
      <c r="G114" s="538" t="str">
        <f>IFERROR(__xludf.DUMMYFUNCTION("""COMPUTED_VALUE"""),"Glowing Face Wash")</f>
        <v>Glowing Face Wash</v>
      </c>
      <c r="H114" s="463"/>
      <c r="I114" s="546"/>
      <c r="J114" s="541"/>
      <c r="K114" s="312"/>
      <c r="L114" s="312"/>
      <c r="M114" s="541"/>
      <c r="N114" s="541"/>
      <c r="O114" s="541"/>
      <c r="P114" s="541"/>
      <c r="Q114" s="312"/>
      <c r="R114" s="286"/>
      <c r="S114" s="286"/>
      <c r="T114" s="286"/>
      <c r="U114" s="286"/>
      <c r="V114" s="286"/>
      <c r="W114" s="286"/>
      <c r="X114" s="286"/>
      <c r="Y114" s="286"/>
      <c r="Z114" s="286"/>
      <c r="AA114" s="286"/>
      <c r="AB114" s="286"/>
    </row>
    <row r="115">
      <c r="A115" s="307"/>
      <c r="B115" s="312"/>
      <c r="C115" s="540" t="str">
        <f>IFERROR(__xludf.DUMMYFUNCTION("""COMPUTED_VALUE"""),"https://www.tiktok.com/@")</f>
        <v>https://www.tiktok.com/@</v>
      </c>
      <c r="D115" s="548"/>
      <c r="E115" s="549"/>
      <c r="F115" s="548"/>
      <c r="G115" s="538"/>
      <c r="H115" s="463"/>
      <c r="I115" s="546"/>
      <c r="J115" s="541"/>
      <c r="K115" s="312"/>
      <c r="L115" s="312"/>
      <c r="M115" s="541"/>
      <c r="N115" s="541"/>
      <c r="O115" s="541"/>
      <c r="P115" s="541"/>
      <c r="Q115" s="312"/>
      <c r="R115" s="286"/>
      <c r="S115" s="286"/>
      <c r="T115" s="286"/>
      <c r="U115" s="286"/>
      <c r="V115" s="286"/>
      <c r="W115" s="286"/>
      <c r="X115" s="286"/>
      <c r="Y115" s="286"/>
      <c r="Z115" s="286"/>
      <c r="AA115" s="286"/>
      <c r="AB115" s="286"/>
    </row>
    <row r="116">
      <c r="A116" s="307"/>
      <c r="B116" s="312"/>
      <c r="C116" s="541"/>
      <c r="D116" s="548"/>
      <c r="E116" s="548"/>
      <c r="F116" s="548"/>
      <c r="G116" s="538"/>
      <c r="H116" s="463"/>
      <c r="I116" s="546"/>
      <c r="J116" s="541"/>
      <c r="K116" s="312"/>
      <c r="L116" s="312"/>
      <c r="M116" s="541"/>
      <c r="N116" s="541"/>
      <c r="O116" s="541"/>
      <c r="P116" s="541"/>
      <c r="Q116" s="312"/>
      <c r="R116" s="286"/>
      <c r="S116" s="286"/>
      <c r="T116" s="286"/>
      <c r="U116" s="286"/>
      <c r="V116" s="286"/>
      <c r="W116" s="286"/>
      <c r="X116" s="286"/>
      <c r="Y116" s="286"/>
      <c r="Z116" s="286"/>
      <c r="AA116" s="286"/>
      <c r="AB116" s="286"/>
    </row>
    <row r="117">
      <c r="A117" s="307"/>
      <c r="B117" s="312"/>
      <c r="C117" s="541"/>
      <c r="D117" s="548"/>
      <c r="E117" s="548"/>
      <c r="F117" s="548"/>
      <c r="G117" s="538"/>
      <c r="H117" s="463"/>
      <c r="I117" s="546"/>
      <c r="J117" s="541"/>
      <c r="K117" s="312"/>
      <c r="L117" s="312"/>
      <c r="M117" s="541"/>
      <c r="N117" s="541"/>
      <c r="O117" s="541"/>
      <c r="P117" s="541"/>
      <c r="Q117" s="312"/>
      <c r="R117" s="286"/>
      <c r="S117" s="286"/>
      <c r="T117" s="286"/>
      <c r="U117" s="286"/>
      <c r="V117" s="286"/>
      <c r="W117" s="286"/>
      <c r="X117" s="286"/>
      <c r="Y117" s="286"/>
      <c r="Z117" s="286"/>
      <c r="AA117" s="286"/>
      <c r="AB117" s="286"/>
    </row>
    <row r="118">
      <c r="A118" s="307"/>
      <c r="B118" s="312"/>
      <c r="C118" s="541"/>
      <c r="D118" s="548"/>
      <c r="E118" s="548"/>
      <c r="F118" s="548"/>
      <c r="G118" s="538"/>
      <c r="H118" s="463"/>
      <c r="I118" s="546"/>
      <c r="J118" s="541"/>
      <c r="K118" s="312"/>
      <c r="L118" s="312"/>
      <c r="M118" s="541"/>
      <c r="N118" s="541"/>
      <c r="O118" s="541"/>
      <c r="P118" s="541"/>
      <c r="Q118" s="312"/>
      <c r="R118" s="286"/>
      <c r="S118" s="286"/>
      <c r="T118" s="286"/>
      <c r="U118" s="286"/>
      <c r="V118" s="286"/>
      <c r="W118" s="286"/>
      <c r="X118" s="286"/>
      <c r="Y118" s="286"/>
      <c r="Z118" s="286"/>
      <c r="AA118" s="286"/>
      <c r="AB118" s="286"/>
    </row>
    <row r="119">
      <c r="A119" s="307"/>
      <c r="B119" s="312"/>
      <c r="C119" s="541"/>
      <c r="D119" s="548"/>
      <c r="E119" s="548"/>
      <c r="F119" s="548"/>
      <c r="G119" s="538"/>
      <c r="H119" s="312"/>
      <c r="I119" s="546"/>
      <c r="J119" s="541"/>
      <c r="K119" s="312"/>
      <c r="L119" s="312"/>
      <c r="M119" s="541"/>
      <c r="N119" s="541"/>
      <c r="O119" s="541"/>
      <c r="P119" s="541"/>
      <c r="Q119" s="312"/>
      <c r="R119" s="286"/>
      <c r="S119" s="286"/>
      <c r="T119" s="286"/>
      <c r="U119" s="286"/>
      <c r="V119" s="286"/>
      <c r="W119" s="286"/>
      <c r="X119" s="286"/>
      <c r="Y119" s="286"/>
      <c r="Z119" s="286"/>
      <c r="AA119" s="286"/>
      <c r="AB119" s="286"/>
    </row>
    <row r="120">
      <c r="A120" s="307"/>
      <c r="B120" s="312"/>
      <c r="C120" s="541"/>
      <c r="D120" s="548"/>
      <c r="E120" s="548"/>
      <c r="F120" s="548"/>
      <c r="G120" s="538"/>
      <c r="H120" s="312"/>
      <c r="I120" s="546"/>
      <c r="J120" s="541"/>
      <c r="K120" s="312"/>
      <c r="L120" s="312"/>
      <c r="M120" s="541"/>
      <c r="N120" s="541"/>
      <c r="O120" s="541"/>
      <c r="P120" s="541"/>
      <c r="Q120" s="312"/>
      <c r="R120" s="286"/>
      <c r="S120" s="286"/>
      <c r="T120" s="286"/>
      <c r="U120" s="286"/>
      <c r="V120" s="286"/>
      <c r="W120" s="286"/>
      <c r="X120" s="286"/>
      <c r="Y120" s="286"/>
      <c r="Z120" s="286"/>
      <c r="AA120" s="286"/>
      <c r="AB120" s="286"/>
    </row>
    <row r="121">
      <c r="A121" s="307"/>
      <c r="B121" s="312"/>
      <c r="C121" s="541"/>
      <c r="D121" s="548"/>
      <c r="E121" s="548"/>
      <c r="F121" s="548"/>
      <c r="G121" s="538"/>
      <c r="H121" s="312"/>
      <c r="I121" s="546"/>
      <c r="J121" s="541"/>
      <c r="K121" s="312"/>
      <c r="L121" s="312"/>
      <c r="M121" s="541"/>
      <c r="N121" s="541"/>
      <c r="O121" s="541"/>
      <c r="P121" s="541"/>
      <c r="Q121" s="312"/>
      <c r="R121" s="286"/>
      <c r="S121" s="286"/>
      <c r="T121" s="286"/>
      <c r="U121" s="286"/>
      <c r="V121" s="286"/>
      <c r="W121" s="286"/>
      <c r="X121" s="286"/>
      <c r="Y121" s="286"/>
      <c r="Z121" s="286"/>
      <c r="AA121" s="286"/>
      <c r="AB121" s="286"/>
    </row>
    <row r="122">
      <c r="A122" s="307"/>
      <c r="B122" s="312"/>
      <c r="C122" s="541"/>
      <c r="D122" s="548"/>
      <c r="E122" s="548"/>
      <c r="F122" s="548"/>
      <c r="G122" s="550"/>
      <c r="H122" s="312"/>
      <c r="I122" s="546"/>
      <c r="J122" s="541"/>
      <c r="K122" s="312"/>
      <c r="L122" s="312"/>
      <c r="M122" s="541"/>
      <c r="N122" s="541"/>
      <c r="O122" s="541"/>
      <c r="P122" s="541"/>
      <c r="Q122" s="312"/>
      <c r="R122" s="286"/>
      <c r="S122" s="286"/>
      <c r="T122" s="286"/>
      <c r="U122" s="286"/>
      <c r="V122" s="286"/>
      <c r="W122" s="286"/>
      <c r="X122" s="286"/>
      <c r="Y122" s="286"/>
      <c r="Z122" s="286"/>
      <c r="AA122" s="286"/>
      <c r="AB122" s="286"/>
    </row>
    <row r="123">
      <c r="A123" s="307"/>
      <c r="B123" s="312"/>
      <c r="C123" s="541"/>
      <c r="D123" s="548"/>
      <c r="E123" s="548"/>
      <c r="F123" s="548"/>
      <c r="G123" s="550"/>
      <c r="H123" s="312"/>
      <c r="I123" s="546"/>
      <c r="J123" s="541"/>
      <c r="K123" s="312"/>
      <c r="L123" s="312"/>
      <c r="M123" s="541"/>
      <c r="N123" s="541"/>
      <c r="O123" s="541"/>
      <c r="P123" s="541"/>
      <c r="Q123" s="312"/>
      <c r="R123" s="286"/>
      <c r="S123" s="286"/>
      <c r="T123" s="286"/>
      <c r="U123" s="286"/>
      <c r="V123" s="286"/>
      <c r="W123" s="286"/>
      <c r="X123" s="286"/>
      <c r="Y123" s="286"/>
      <c r="Z123" s="286"/>
      <c r="AA123" s="286"/>
      <c r="AB123" s="286"/>
    </row>
    <row r="124">
      <c r="A124" s="307"/>
      <c r="B124" s="312"/>
      <c r="C124" s="541"/>
      <c r="D124" s="548"/>
      <c r="E124" s="548"/>
      <c r="F124" s="548"/>
      <c r="G124" s="550"/>
      <c r="H124" s="312"/>
      <c r="I124" s="546"/>
      <c r="J124" s="541"/>
      <c r="K124" s="312"/>
      <c r="L124" s="312"/>
      <c r="M124" s="541"/>
      <c r="N124" s="541"/>
      <c r="O124" s="541"/>
      <c r="P124" s="541"/>
      <c r="Q124" s="312"/>
      <c r="R124" s="286"/>
      <c r="S124" s="286"/>
      <c r="T124" s="286"/>
      <c r="U124" s="286"/>
      <c r="V124" s="286"/>
      <c r="W124" s="286"/>
      <c r="X124" s="286"/>
      <c r="Y124" s="286"/>
      <c r="Z124" s="286"/>
      <c r="AA124" s="286"/>
      <c r="AB124" s="286"/>
    </row>
    <row r="125">
      <c r="A125" s="307"/>
      <c r="B125" s="312"/>
      <c r="C125" s="541"/>
      <c r="D125" s="548"/>
      <c r="E125" s="548"/>
      <c r="F125" s="548"/>
      <c r="G125" s="550"/>
      <c r="H125" s="312"/>
      <c r="I125" s="546"/>
      <c r="J125" s="541"/>
      <c r="K125" s="312"/>
      <c r="L125" s="312"/>
      <c r="M125" s="541"/>
      <c r="N125" s="541"/>
      <c r="O125" s="541"/>
      <c r="P125" s="541"/>
      <c r="Q125" s="312"/>
      <c r="R125" s="286"/>
      <c r="S125" s="286"/>
      <c r="T125" s="286"/>
      <c r="U125" s="286"/>
      <c r="V125" s="286"/>
      <c r="W125" s="286"/>
      <c r="X125" s="286"/>
      <c r="Y125" s="286"/>
      <c r="Z125" s="286"/>
      <c r="AA125" s="286"/>
      <c r="AB125" s="286"/>
    </row>
    <row r="126">
      <c r="A126" s="307"/>
      <c r="B126" s="312"/>
      <c r="C126" s="541"/>
      <c r="D126" s="548"/>
      <c r="E126" s="548"/>
      <c r="F126" s="548"/>
      <c r="G126" s="550"/>
      <c r="H126" s="312"/>
      <c r="I126" s="546"/>
      <c r="J126" s="541"/>
      <c r="K126" s="312"/>
      <c r="L126" s="312"/>
      <c r="M126" s="541"/>
      <c r="N126" s="541"/>
      <c r="O126" s="541"/>
      <c r="P126" s="541"/>
      <c r="Q126" s="312"/>
      <c r="R126" s="286"/>
      <c r="S126" s="286"/>
      <c r="T126" s="286"/>
      <c r="U126" s="286"/>
      <c r="V126" s="286"/>
      <c r="W126" s="286"/>
      <c r="X126" s="286"/>
      <c r="Y126" s="286"/>
      <c r="Z126" s="286"/>
      <c r="AA126" s="286"/>
      <c r="AB126" s="286"/>
    </row>
    <row r="127">
      <c r="A127" s="307"/>
      <c r="B127" s="312"/>
      <c r="C127" s="541"/>
      <c r="D127" s="548"/>
      <c r="E127" s="548"/>
      <c r="F127" s="548"/>
      <c r="G127" s="550"/>
      <c r="H127" s="312"/>
      <c r="I127" s="546"/>
      <c r="J127" s="541"/>
      <c r="K127" s="312"/>
      <c r="L127" s="312"/>
      <c r="M127" s="541"/>
      <c r="N127" s="541"/>
      <c r="O127" s="541"/>
      <c r="P127" s="541"/>
      <c r="Q127" s="312"/>
      <c r="R127" s="286"/>
      <c r="S127" s="286"/>
      <c r="T127" s="286"/>
      <c r="U127" s="286"/>
      <c r="V127" s="286"/>
      <c r="W127" s="286"/>
      <c r="X127" s="286"/>
      <c r="Y127" s="286"/>
      <c r="Z127" s="286"/>
      <c r="AA127" s="286"/>
      <c r="AB127" s="286"/>
    </row>
    <row r="128">
      <c r="A128" s="307"/>
      <c r="B128" s="312"/>
      <c r="C128" s="541"/>
      <c r="D128" s="548"/>
      <c r="E128" s="548"/>
      <c r="F128" s="548"/>
      <c r="G128" s="550"/>
      <c r="H128" s="312"/>
      <c r="I128" s="546"/>
      <c r="J128" s="541"/>
      <c r="K128" s="312"/>
      <c r="L128" s="312"/>
      <c r="M128" s="541"/>
      <c r="N128" s="541"/>
      <c r="O128" s="541"/>
      <c r="P128" s="541"/>
      <c r="Q128" s="312"/>
      <c r="R128" s="286"/>
      <c r="S128" s="286"/>
      <c r="T128" s="286"/>
      <c r="U128" s="286"/>
      <c r="V128" s="286"/>
      <c r="W128" s="286"/>
      <c r="X128" s="286"/>
      <c r="Y128" s="286"/>
      <c r="Z128" s="286"/>
      <c r="AA128" s="286"/>
      <c r="AB128" s="286"/>
    </row>
    <row r="129">
      <c r="A129" s="307"/>
      <c r="B129" s="312"/>
      <c r="C129" s="541"/>
      <c r="D129" s="548"/>
      <c r="E129" s="548"/>
      <c r="F129" s="548"/>
      <c r="G129" s="550"/>
      <c r="H129" s="312"/>
      <c r="I129" s="546"/>
      <c r="J129" s="541"/>
      <c r="K129" s="312"/>
      <c r="L129" s="312"/>
      <c r="M129" s="541"/>
      <c r="N129" s="541"/>
      <c r="O129" s="541"/>
      <c r="P129" s="541"/>
      <c r="Q129" s="312"/>
      <c r="R129" s="286"/>
      <c r="S129" s="286"/>
      <c r="T129" s="286"/>
      <c r="U129" s="286"/>
      <c r="V129" s="286"/>
      <c r="W129" s="286"/>
      <c r="X129" s="286"/>
      <c r="Y129" s="286"/>
      <c r="Z129" s="286"/>
      <c r="AA129" s="286"/>
      <c r="AB129" s="286"/>
    </row>
    <row r="130">
      <c r="A130" s="307"/>
      <c r="B130" s="312"/>
      <c r="C130" s="541"/>
      <c r="D130" s="548"/>
      <c r="E130" s="548"/>
      <c r="F130" s="548"/>
      <c r="G130" s="550"/>
      <c r="H130" s="312"/>
      <c r="I130" s="546"/>
      <c r="J130" s="541"/>
      <c r="K130" s="312"/>
      <c r="L130" s="312"/>
      <c r="M130" s="541"/>
      <c r="N130" s="541"/>
      <c r="O130" s="541"/>
      <c r="P130" s="541"/>
      <c r="Q130" s="312"/>
      <c r="R130" s="286"/>
      <c r="S130" s="286"/>
      <c r="T130" s="286"/>
      <c r="U130" s="286"/>
      <c r="V130" s="286"/>
      <c r="W130" s="286"/>
      <c r="X130" s="286"/>
      <c r="Y130" s="286"/>
      <c r="Z130" s="286"/>
      <c r="AA130" s="286"/>
      <c r="AB130" s="286"/>
    </row>
    <row r="131">
      <c r="A131" s="307"/>
      <c r="B131" s="312"/>
      <c r="C131" s="541"/>
      <c r="D131" s="548"/>
      <c r="E131" s="548"/>
      <c r="F131" s="548"/>
      <c r="G131" s="550"/>
      <c r="H131" s="312"/>
      <c r="I131" s="546"/>
      <c r="J131" s="541"/>
      <c r="K131" s="312"/>
      <c r="L131" s="312"/>
      <c r="M131" s="541"/>
      <c r="N131" s="541"/>
      <c r="O131" s="541"/>
      <c r="P131" s="541"/>
      <c r="Q131" s="312"/>
      <c r="R131" s="286"/>
      <c r="S131" s="286"/>
      <c r="T131" s="286"/>
      <c r="U131" s="286"/>
      <c r="V131" s="286"/>
      <c r="W131" s="286"/>
      <c r="X131" s="286"/>
      <c r="Y131" s="286"/>
      <c r="Z131" s="286"/>
      <c r="AA131" s="286"/>
      <c r="AB131" s="286"/>
    </row>
    <row r="132">
      <c r="A132" s="307"/>
      <c r="B132" s="312"/>
      <c r="C132" s="541"/>
      <c r="D132" s="548"/>
      <c r="E132" s="548"/>
      <c r="F132" s="548"/>
      <c r="G132" s="550"/>
      <c r="H132" s="312"/>
      <c r="I132" s="546"/>
      <c r="J132" s="541"/>
      <c r="K132" s="312"/>
      <c r="L132" s="312"/>
      <c r="M132" s="541"/>
      <c r="N132" s="541"/>
      <c r="O132" s="541"/>
      <c r="P132" s="541"/>
      <c r="Q132" s="312"/>
      <c r="R132" s="286"/>
      <c r="S132" s="286"/>
      <c r="T132" s="286"/>
      <c r="U132" s="286"/>
      <c r="V132" s="286"/>
      <c r="W132" s="286"/>
      <c r="X132" s="286"/>
      <c r="Y132" s="286"/>
      <c r="Z132" s="286"/>
      <c r="AA132" s="286"/>
      <c r="AB132" s="286"/>
    </row>
    <row r="133">
      <c r="A133" s="307"/>
      <c r="B133" s="312"/>
      <c r="C133" s="541"/>
      <c r="D133" s="548"/>
      <c r="E133" s="548"/>
      <c r="F133" s="548"/>
      <c r="G133" s="550"/>
      <c r="H133" s="312"/>
      <c r="I133" s="546"/>
      <c r="J133" s="541"/>
      <c r="K133" s="312"/>
      <c r="L133" s="312"/>
      <c r="M133" s="541"/>
      <c r="N133" s="541"/>
      <c r="O133" s="541"/>
      <c r="P133" s="541"/>
      <c r="Q133" s="312"/>
      <c r="R133" s="286"/>
      <c r="S133" s="286"/>
      <c r="T133" s="286"/>
      <c r="U133" s="286"/>
      <c r="V133" s="286"/>
      <c r="W133" s="286"/>
      <c r="X133" s="286"/>
      <c r="Y133" s="286"/>
      <c r="Z133" s="286"/>
      <c r="AA133" s="286"/>
      <c r="AB133" s="286"/>
    </row>
    <row r="134">
      <c r="A134" s="307"/>
      <c r="B134" s="312"/>
      <c r="C134" s="541"/>
      <c r="D134" s="548"/>
      <c r="E134" s="548"/>
      <c r="F134" s="548"/>
      <c r="G134" s="550"/>
      <c r="H134" s="312"/>
      <c r="I134" s="546"/>
      <c r="J134" s="541"/>
      <c r="K134" s="312"/>
      <c r="L134" s="312"/>
      <c r="M134" s="541"/>
      <c r="N134" s="541"/>
      <c r="O134" s="541"/>
      <c r="P134" s="541"/>
      <c r="Q134" s="312"/>
      <c r="R134" s="286"/>
      <c r="S134" s="286"/>
      <c r="T134" s="286"/>
      <c r="U134" s="286"/>
      <c r="V134" s="286"/>
      <c r="W134" s="286"/>
      <c r="X134" s="286"/>
      <c r="Y134" s="286"/>
      <c r="Z134" s="286"/>
      <c r="AA134" s="286"/>
      <c r="AB134" s="286"/>
    </row>
    <row r="135">
      <c r="A135" s="307"/>
      <c r="B135" s="312"/>
      <c r="C135" s="541"/>
      <c r="D135" s="548"/>
      <c r="E135" s="548"/>
      <c r="F135" s="548"/>
      <c r="G135" s="550"/>
      <c r="H135" s="312"/>
      <c r="I135" s="546"/>
      <c r="J135" s="541"/>
      <c r="K135" s="312"/>
      <c r="L135" s="312"/>
      <c r="M135" s="541"/>
      <c r="N135" s="541"/>
      <c r="O135" s="541"/>
      <c r="P135" s="541"/>
      <c r="Q135" s="312"/>
      <c r="R135" s="286"/>
      <c r="S135" s="286"/>
      <c r="T135" s="286"/>
      <c r="U135" s="286"/>
      <c r="V135" s="286"/>
      <c r="W135" s="286"/>
      <c r="X135" s="286"/>
      <c r="Y135" s="286"/>
      <c r="Z135" s="286"/>
      <c r="AA135" s="286"/>
      <c r="AB135" s="286"/>
    </row>
    <row r="136">
      <c r="A136" s="307"/>
      <c r="B136" s="312"/>
      <c r="C136" s="541"/>
      <c r="D136" s="548"/>
      <c r="E136" s="548"/>
      <c r="F136" s="548"/>
      <c r="G136" s="550"/>
      <c r="H136" s="312"/>
      <c r="I136" s="546"/>
      <c r="J136" s="541"/>
      <c r="K136" s="312"/>
      <c r="L136" s="312"/>
      <c r="M136" s="541"/>
      <c r="N136" s="541"/>
      <c r="O136" s="541"/>
      <c r="P136" s="541"/>
      <c r="Q136" s="312"/>
      <c r="R136" s="286"/>
      <c r="S136" s="286"/>
      <c r="T136" s="286"/>
      <c r="U136" s="286"/>
      <c r="V136" s="286"/>
      <c r="W136" s="286"/>
      <c r="X136" s="286"/>
      <c r="Y136" s="286"/>
      <c r="Z136" s="286"/>
      <c r="AA136" s="286"/>
      <c r="AB136" s="286"/>
    </row>
    <row r="137">
      <c r="A137" s="307"/>
      <c r="B137" s="312"/>
      <c r="C137" s="541"/>
      <c r="D137" s="548"/>
      <c r="E137" s="548"/>
      <c r="F137" s="548"/>
      <c r="G137" s="550"/>
      <c r="H137" s="312"/>
      <c r="I137" s="546"/>
      <c r="J137" s="541"/>
      <c r="K137" s="312"/>
      <c r="L137" s="312"/>
      <c r="M137" s="541"/>
      <c r="N137" s="541"/>
      <c r="O137" s="541"/>
      <c r="P137" s="541"/>
      <c r="Q137" s="312"/>
      <c r="R137" s="286"/>
      <c r="S137" s="286"/>
      <c r="T137" s="286"/>
      <c r="U137" s="286"/>
      <c r="V137" s="286"/>
      <c r="W137" s="286"/>
      <c r="X137" s="286"/>
      <c r="Y137" s="286"/>
      <c r="Z137" s="286"/>
      <c r="AA137" s="286"/>
      <c r="AB137" s="286"/>
    </row>
    <row r="138">
      <c r="A138" s="307"/>
      <c r="B138" s="312"/>
      <c r="C138" s="541"/>
      <c r="D138" s="548"/>
      <c r="E138" s="548"/>
      <c r="F138" s="548"/>
      <c r="G138" s="550"/>
      <c r="H138" s="312"/>
      <c r="I138" s="312"/>
      <c r="J138" s="541"/>
      <c r="K138" s="312"/>
      <c r="L138" s="312"/>
      <c r="M138" s="541"/>
      <c r="N138" s="541"/>
      <c r="O138" s="541"/>
      <c r="P138" s="541"/>
      <c r="Q138" s="312"/>
      <c r="R138" s="286"/>
      <c r="S138" s="286"/>
      <c r="T138" s="286"/>
      <c r="U138" s="286"/>
      <c r="V138" s="286"/>
      <c r="W138" s="286"/>
      <c r="X138" s="286"/>
      <c r="Y138" s="286"/>
      <c r="Z138" s="286"/>
      <c r="AA138" s="286"/>
      <c r="AB138" s="286"/>
    </row>
    <row r="139">
      <c r="A139" s="307"/>
      <c r="B139" s="312"/>
      <c r="C139" s="541"/>
      <c r="D139" s="548"/>
      <c r="E139" s="548"/>
      <c r="F139" s="548"/>
      <c r="G139" s="550"/>
      <c r="H139" s="312"/>
      <c r="I139" s="312"/>
      <c r="J139" s="541"/>
      <c r="K139" s="312"/>
      <c r="L139" s="312"/>
      <c r="M139" s="541"/>
      <c r="N139" s="541"/>
      <c r="O139" s="541"/>
      <c r="P139" s="541"/>
      <c r="Q139" s="312"/>
      <c r="R139" s="286"/>
      <c r="S139" s="286"/>
      <c r="T139" s="286"/>
      <c r="U139" s="286"/>
      <c r="V139" s="286"/>
      <c r="W139" s="286"/>
      <c r="X139" s="286"/>
      <c r="Y139" s="286"/>
      <c r="Z139" s="286"/>
      <c r="AA139" s="286"/>
      <c r="AB139" s="286"/>
    </row>
    <row r="140">
      <c r="A140" s="307"/>
      <c r="B140" s="312"/>
      <c r="C140" s="541"/>
      <c r="D140" s="548"/>
      <c r="E140" s="548"/>
      <c r="F140" s="548"/>
      <c r="G140" s="550"/>
      <c r="H140" s="312"/>
      <c r="I140" s="312"/>
      <c r="J140" s="541"/>
      <c r="K140" s="312"/>
      <c r="L140" s="312"/>
      <c r="M140" s="541"/>
      <c r="N140" s="541"/>
      <c r="O140" s="541"/>
      <c r="P140" s="541"/>
      <c r="Q140" s="312"/>
      <c r="R140" s="286"/>
      <c r="S140" s="286"/>
      <c r="T140" s="286"/>
      <c r="U140" s="286"/>
      <c r="V140" s="286"/>
      <c r="W140" s="286"/>
      <c r="X140" s="286"/>
      <c r="Y140" s="286"/>
      <c r="Z140" s="286"/>
      <c r="AA140" s="286"/>
      <c r="AB140" s="286"/>
    </row>
    <row r="141">
      <c r="A141" s="307"/>
      <c r="B141" s="312"/>
      <c r="C141" s="541"/>
      <c r="D141" s="548"/>
      <c r="E141" s="548"/>
      <c r="F141" s="548"/>
      <c r="G141" s="550"/>
      <c r="H141" s="312"/>
      <c r="I141" s="312"/>
      <c r="J141" s="541"/>
      <c r="K141" s="312"/>
      <c r="L141" s="312"/>
      <c r="M141" s="541"/>
      <c r="N141" s="541"/>
      <c r="O141" s="541"/>
      <c r="P141" s="541"/>
      <c r="Q141" s="312"/>
      <c r="R141" s="286"/>
      <c r="S141" s="286"/>
      <c r="T141" s="286"/>
      <c r="U141" s="286"/>
      <c r="V141" s="286"/>
      <c r="W141" s="286"/>
      <c r="X141" s="286"/>
      <c r="Y141" s="286"/>
      <c r="Z141" s="286"/>
      <c r="AA141" s="286"/>
      <c r="AB141" s="286"/>
    </row>
    <row r="142">
      <c r="A142" s="312"/>
      <c r="B142" s="312"/>
      <c r="C142" s="541"/>
      <c r="D142" s="548"/>
      <c r="E142" s="548"/>
      <c r="F142" s="548"/>
      <c r="G142" s="550"/>
      <c r="H142" s="312"/>
      <c r="I142" s="312"/>
      <c r="J142" s="541"/>
      <c r="K142" s="312"/>
      <c r="L142" s="312"/>
      <c r="M142" s="541"/>
      <c r="N142" s="541"/>
      <c r="O142" s="541"/>
      <c r="P142" s="541"/>
      <c r="Q142" s="312"/>
      <c r="R142" s="286"/>
      <c r="S142" s="286"/>
      <c r="T142" s="286"/>
      <c r="U142" s="286"/>
      <c r="V142" s="286"/>
      <c r="W142" s="286"/>
      <c r="X142" s="286"/>
      <c r="Y142" s="286"/>
      <c r="Z142" s="286"/>
      <c r="AA142" s="286"/>
      <c r="AB142" s="286"/>
    </row>
    <row r="143">
      <c r="A143" s="312"/>
      <c r="B143" s="312"/>
      <c r="C143" s="541"/>
      <c r="D143" s="548"/>
      <c r="E143" s="548"/>
      <c r="F143" s="548"/>
      <c r="G143" s="550"/>
      <c r="H143" s="312"/>
      <c r="I143" s="312"/>
      <c r="J143" s="541"/>
      <c r="K143" s="312"/>
      <c r="L143" s="312"/>
      <c r="M143" s="541"/>
      <c r="N143" s="541"/>
      <c r="O143" s="541"/>
      <c r="P143" s="541"/>
      <c r="Q143" s="312"/>
      <c r="R143" s="286"/>
      <c r="S143" s="286"/>
      <c r="T143" s="286"/>
      <c r="U143" s="286"/>
      <c r="V143" s="286"/>
      <c r="W143" s="286"/>
      <c r="X143" s="286"/>
      <c r="Y143" s="286"/>
      <c r="Z143" s="286"/>
      <c r="AA143" s="286"/>
      <c r="AB143" s="286"/>
    </row>
    <row r="144">
      <c r="A144" s="312"/>
      <c r="B144" s="312"/>
      <c r="C144" s="541"/>
      <c r="D144" s="548"/>
      <c r="E144" s="548"/>
      <c r="F144" s="548"/>
      <c r="G144" s="550"/>
      <c r="H144" s="312"/>
      <c r="I144" s="312"/>
      <c r="J144" s="541"/>
      <c r="K144" s="312"/>
      <c r="L144" s="312"/>
      <c r="M144" s="541"/>
      <c r="N144" s="541"/>
      <c r="O144" s="541"/>
      <c r="P144" s="541"/>
      <c r="Q144" s="312"/>
      <c r="R144" s="286"/>
      <c r="S144" s="286"/>
      <c r="T144" s="286"/>
      <c r="U144" s="286"/>
      <c r="V144" s="286"/>
      <c r="W144" s="286"/>
      <c r="X144" s="286"/>
      <c r="Y144" s="286"/>
      <c r="Z144" s="286"/>
      <c r="AA144" s="286"/>
      <c r="AB144" s="286"/>
    </row>
    <row r="145">
      <c r="A145" s="312"/>
      <c r="B145" s="312"/>
      <c r="C145" s="541"/>
      <c r="D145" s="548"/>
      <c r="E145" s="548"/>
      <c r="F145" s="548"/>
      <c r="G145" s="550"/>
      <c r="H145" s="312"/>
      <c r="I145" s="312"/>
      <c r="J145" s="541"/>
      <c r="K145" s="312"/>
      <c r="L145" s="312"/>
      <c r="M145" s="541"/>
      <c r="N145" s="541"/>
      <c r="O145" s="541"/>
      <c r="P145" s="541"/>
      <c r="Q145" s="312"/>
      <c r="R145" s="286"/>
      <c r="S145" s="286"/>
      <c r="T145" s="286"/>
      <c r="U145" s="286"/>
      <c r="V145" s="286"/>
      <c r="W145" s="286"/>
      <c r="X145" s="286"/>
      <c r="Y145" s="286"/>
      <c r="Z145" s="286"/>
      <c r="AA145" s="286"/>
      <c r="AB145" s="286"/>
    </row>
    <row r="146">
      <c r="A146" s="312"/>
      <c r="B146" s="312"/>
      <c r="C146" s="541"/>
      <c r="D146" s="548"/>
      <c r="E146" s="548"/>
      <c r="F146" s="548"/>
      <c r="G146" s="550"/>
      <c r="H146" s="312"/>
      <c r="I146" s="312"/>
      <c r="J146" s="541"/>
      <c r="K146" s="312"/>
      <c r="L146" s="312"/>
      <c r="M146" s="541"/>
      <c r="N146" s="541"/>
      <c r="O146" s="541"/>
      <c r="P146" s="541"/>
      <c r="Q146" s="312"/>
      <c r="R146" s="286"/>
      <c r="S146" s="286"/>
      <c r="T146" s="286"/>
      <c r="U146" s="286"/>
      <c r="V146" s="286"/>
      <c r="W146" s="286"/>
      <c r="X146" s="286"/>
      <c r="Y146" s="286"/>
      <c r="Z146" s="286"/>
      <c r="AA146" s="286"/>
      <c r="AB146" s="286"/>
    </row>
    <row r="147">
      <c r="A147" s="312"/>
      <c r="B147" s="312"/>
      <c r="C147" s="541"/>
      <c r="D147" s="548"/>
      <c r="E147" s="548"/>
      <c r="F147" s="548"/>
      <c r="G147" s="550"/>
      <c r="H147" s="312"/>
      <c r="I147" s="312"/>
      <c r="J147" s="541"/>
      <c r="K147" s="312"/>
      <c r="L147" s="312"/>
      <c r="M147" s="541"/>
      <c r="N147" s="541"/>
      <c r="O147" s="541"/>
      <c r="P147" s="541"/>
      <c r="Q147" s="312"/>
      <c r="R147" s="286"/>
      <c r="S147" s="286"/>
      <c r="T147" s="286"/>
      <c r="U147" s="286"/>
      <c r="V147" s="286"/>
      <c r="W147" s="286"/>
      <c r="X147" s="286"/>
      <c r="Y147" s="286"/>
      <c r="Z147" s="286"/>
      <c r="AA147" s="286"/>
      <c r="AB147" s="286"/>
    </row>
    <row r="148">
      <c r="A148" s="312"/>
      <c r="B148" s="312"/>
      <c r="C148" s="541"/>
      <c r="D148" s="548"/>
      <c r="E148" s="548"/>
      <c r="F148" s="548"/>
      <c r="G148" s="550"/>
      <c r="H148" s="312"/>
      <c r="I148" s="312"/>
      <c r="J148" s="541"/>
      <c r="K148" s="312"/>
      <c r="L148" s="312"/>
      <c r="M148" s="541"/>
      <c r="N148" s="541"/>
      <c r="O148" s="541"/>
      <c r="P148" s="541"/>
      <c r="Q148" s="312"/>
      <c r="R148" s="286"/>
      <c r="S148" s="286"/>
      <c r="T148" s="286"/>
      <c r="U148" s="286"/>
      <c r="V148" s="286"/>
      <c r="W148" s="286"/>
      <c r="X148" s="286"/>
      <c r="Y148" s="286"/>
      <c r="Z148" s="286"/>
      <c r="AA148" s="286"/>
      <c r="AB148" s="286"/>
    </row>
    <row r="149">
      <c r="A149" s="312"/>
      <c r="B149" s="312"/>
      <c r="C149" s="541"/>
      <c r="D149" s="548"/>
      <c r="E149" s="548"/>
      <c r="F149" s="548"/>
      <c r="G149" s="550"/>
      <c r="H149" s="312"/>
      <c r="I149" s="312"/>
      <c r="J149" s="541"/>
      <c r="K149" s="312"/>
      <c r="L149" s="312"/>
      <c r="M149" s="541"/>
      <c r="N149" s="541"/>
      <c r="O149" s="541"/>
      <c r="P149" s="541"/>
      <c r="Q149" s="312"/>
      <c r="R149" s="286"/>
      <c r="S149" s="286"/>
      <c r="T149" s="286"/>
      <c r="U149" s="286"/>
      <c r="V149" s="286"/>
      <c r="W149" s="286"/>
      <c r="X149" s="286"/>
      <c r="Y149" s="286"/>
      <c r="Z149" s="286"/>
      <c r="AA149" s="286"/>
      <c r="AB149" s="286"/>
    </row>
    <row r="150">
      <c r="A150" s="312"/>
      <c r="B150" s="312"/>
      <c r="C150" s="541"/>
      <c r="D150" s="548"/>
      <c r="E150" s="548"/>
      <c r="F150" s="548"/>
      <c r="G150" s="550"/>
      <c r="H150" s="312"/>
      <c r="I150" s="312"/>
      <c r="J150" s="541"/>
      <c r="K150" s="312"/>
      <c r="L150" s="312"/>
      <c r="M150" s="541"/>
      <c r="N150" s="541"/>
      <c r="O150" s="541"/>
      <c r="P150" s="541"/>
      <c r="Q150" s="312"/>
      <c r="R150" s="286"/>
      <c r="S150" s="286"/>
      <c r="T150" s="286"/>
      <c r="U150" s="286"/>
      <c r="V150" s="286"/>
      <c r="W150" s="286"/>
      <c r="X150" s="286"/>
      <c r="Y150" s="286"/>
      <c r="Z150" s="286"/>
      <c r="AA150" s="286"/>
      <c r="AB150" s="286"/>
    </row>
    <row r="151">
      <c r="A151" s="312"/>
      <c r="B151" s="312"/>
      <c r="C151" s="541"/>
      <c r="D151" s="548"/>
      <c r="E151" s="548"/>
      <c r="F151" s="548"/>
      <c r="G151" s="550"/>
      <c r="H151" s="312"/>
      <c r="I151" s="312"/>
      <c r="J151" s="541"/>
      <c r="K151" s="312"/>
      <c r="L151" s="312"/>
      <c r="M151" s="541"/>
      <c r="N151" s="541"/>
      <c r="O151" s="541"/>
      <c r="P151" s="541"/>
      <c r="Q151" s="312"/>
      <c r="R151" s="286"/>
      <c r="S151" s="286"/>
      <c r="T151" s="286"/>
      <c r="U151" s="286"/>
      <c r="V151" s="286"/>
      <c r="W151" s="286"/>
      <c r="X151" s="286"/>
      <c r="Y151" s="286"/>
      <c r="Z151" s="286"/>
      <c r="AA151" s="286"/>
      <c r="AB151" s="286"/>
    </row>
    <row r="152">
      <c r="A152" s="312"/>
      <c r="B152" s="312"/>
      <c r="C152" s="541"/>
      <c r="D152" s="548"/>
      <c r="E152" s="548"/>
      <c r="F152" s="548"/>
      <c r="G152" s="550"/>
      <c r="H152" s="312"/>
      <c r="I152" s="312"/>
      <c r="J152" s="541"/>
      <c r="K152" s="312"/>
      <c r="L152" s="312"/>
      <c r="M152" s="541"/>
      <c r="N152" s="541"/>
      <c r="O152" s="541"/>
      <c r="P152" s="541"/>
      <c r="Q152" s="312"/>
      <c r="R152" s="286"/>
      <c r="S152" s="286"/>
      <c r="T152" s="286"/>
      <c r="U152" s="286"/>
      <c r="V152" s="286"/>
      <c r="W152" s="286"/>
      <c r="X152" s="286"/>
      <c r="Y152" s="286"/>
      <c r="Z152" s="286"/>
      <c r="AA152" s="286"/>
      <c r="AB152" s="286"/>
    </row>
    <row r="153">
      <c r="A153" s="312"/>
      <c r="B153" s="312"/>
      <c r="C153" s="541"/>
      <c r="D153" s="548"/>
      <c r="E153" s="548"/>
      <c r="F153" s="548"/>
      <c r="G153" s="550"/>
      <c r="H153" s="312"/>
      <c r="I153" s="312"/>
      <c r="J153" s="541"/>
      <c r="K153" s="312"/>
      <c r="L153" s="312"/>
      <c r="M153" s="541"/>
      <c r="N153" s="541"/>
      <c r="O153" s="541"/>
      <c r="P153" s="541"/>
      <c r="Q153" s="312"/>
      <c r="R153" s="286"/>
      <c r="S153" s="286"/>
      <c r="T153" s="286"/>
      <c r="U153" s="286"/>
      <c r="V153" s="286"/>
      <c r="W153" s="286"/>
      <c r="X153" s="286"/>
      <c r="Y153" s="286"/>
      <c r="Z153" s="286"/>
      <c r="AA153" s="286"/>
      <c r="AB153" s="286"/>
    </row>
    <row r="154">
      <c r="A154" s="312"/>
      <c r="B154" s="312"/>
      <c r="C154" s="541"/>
      <c r="D154" s="548"/>
      <c r="E154" s="548"/>
      <c r="F154" s="548"/>
      <c r="G154" s="550"/>
      <c r="H154" s="312"/>
      <c r="I154" s="312"/>
      <c r="J154" s="541"/>
      <c r="K154" s="312"/>
      <c r="L154" s="312"/>
      <c r="M154" s="541"/>
      <c r="N154" s="541"/>
      <c r="O154" s="541"/>
      <c r="P154" s="541"/>
      <c r="Q154" s="312"/>
      <c r="R154" s="286"/>
      <c r="S154" s="286"/>
      <c r="T154" s="286"/>
      <c r="U154" s="286"/>
      <c r="V154" s="286"/>
      <c r="W154" s="286"/>
      <c r="X154" s="286"/>
      <c r="Y154" s="286"/>
      <c r="Z154" s="286"/>
      <c r="AA154" s="286"/>
      <c r="AB154" s="286"/>
    </row>
    <row r="155">
      <c r="A155" s="312"/>
      <c r="B155" s="312"/>
      <c r="C155" s="541"/>
      <c r="D155" s="548"/>
      <c r="E155" s="548"/>
      <c r="F155" s="548"/>
      <c r="G155" s="550"/>
      <c r="H155" s="312"/>
      <c r="I155" s="312"/>
      <c r="J155" s="541"/>
      <c r="K155" s="312"/>
      <c r="L155" s="312"/>
      <c r="M155" s="541"/>
      <c r="N155" s="541"/>
      <c r="O155" s="541"/>
      <c r="P155" s="541"/>
      <c r="Q155" s="312"/>
      <c r="R155" s="286"/>
      <c r="S155" s="286"/>
      <c r="T155" s="286"/>
      <c r="U155" s="286"/>
      <c r="V155" s="286"/>
      <c r="W155" s="286"/>
      <c r="X155" s="286"/>
      <c r="Y155" s="286"/>
      <c r="Z155" s="286"/>
      <c r="AA155" s="286"/>
      <c r="AB155" s="286"/>
    </row>
    <row r="156">
      <c r="A156" s="312"/>
      <c r="B156" s="312"/>
      <c r="C156" s="541"/>
      <c r="D156" s="548"/>
      <c r="E156" s="548"/>
      <c r="F156" s="548"/>
      <c r="G156" s="550"/>
      <c r="H156" s="312"/>
      <c r="I156" s="312"/>
      <c r="J156" s="541"/>
      <c r="K156" s="312"/>
      <c r="L156" s="312"/>
      <c r="M156" s="541"/>
      <c r="N156" s="541"/>
      <c r="O156" s="541"/>
      <c r="P156" s="541"/>
      <c r="Q156" s="312"/>
      <c r="R156" s="286"/>
      <c r="S156" s="286"/>
      <c r="T156" s="286"/>
      <c r="U156" s="286"/>
      <c r="V156" s="286"/>
      <c r="W156" s="286"/>
      <c r="X156" s="286"/>
      <c r="Y156" s="286"/>
      <c r="Z156" s="286"/>
      <c r="AA156" s="286"/>
      <c r="AB156" s="286"/>
    </row>
    <row r="157">
      <c r="A157" s="312"/>
      <c r="B157" s="312"/>
      <c r="C157" s="541"/>
      <c r="D157" s="548"/>
      <c r="E157" s="548"/>
      <c r="F157" s="548"/>
      <c r="G157" s="550"/>
      <c r="H157" s="312"/>
      <c r="I157" s="312"/>
      <c r="J157" s="541"/>
      <c r="K157" s="312"/>
      <c r="L157" s="312"/>
      <c r="M157" s="541"/>
      <c r="N157" s="541"/>
      <c r="O157" s="541"/>
      <c r="P157" s="541"/>
      <c r="Q157" s="312"/>
      <c r="R157" s="286"/>
      <c r="S157" s="286"/>
      <c r="T157" s="286"/>
      <c r="U157" s="286"/>
      <c r="V157" s="286"/>
      <c r="W157" s="286"/>
      <c r="X157" s="286"/>
      <c r="Y157" s="286"/>
      <c r="Z157" s="286"/>
      <c r="AA157" s="286"/>
      <c r="AB157" s="286"/>
    </row>
    <row r="158">
      <c r="A158" s="312"/>
      <c r="B158" s="312"/>
      <c r="C158" s="541"/>
      <c r="D158" s="548"/>
      <c r="E158" s="548"/>
      <c r="F158" s="548"/>
      <c r="G158" s="550"/>
      <c r="H158" s="312"/>
      <c r="I158" s="312"/>
      <c r="J158" s="541"/>
      <c r="K158" s="312"/>
      <c r="L158" s="312"/>
      <c r="M158" s="541"/>
      <c r="N158" s="541"/>
      <c r="O158" s="541"/>
      <c r="P158" s="541"/>
      <c r="Q158" s="312"/>
      <c r="R158" s="286"/>
      <c r="S158" s="286"/>
      <c r="T158" s="286"/>
      <c r="U158" s="286"/>
      <c r="V158" s="286"/>
      <c r="W158" s="286"/>
      <c r="X158" s="286"/>
      <c r="Y158" s="286"/>
      <c r="Z158" s="286"/>
      <c r="AA158" s="286"/>
      <c r="AB158" s="286"/>
    </row>
    <row r="159">
      <c r="A159" s="312"/>
      <c r="B159" s="312"/>
      <c r="C159" s="541"/>
      <c r="D159" s="548"/>
      <c r="E159" s="548"/>
      <c r="F159" s="548"/>
      <c r="G159" s="550"/>
      <c r="H159" s="312"/>
      <c r="I159" s="312"/>
      <c r="J159" s="541"/>
      <c r="K159" s="312"/>
      <c r="L159" s="312"/>
      <c r="M159" s="541"/>
      <c r="N159" s="541"/>
      <c r="O159" s="541"/>
      <c r="P159" s="541"/>
      <c r="Q159" s="312"/>
      <c r="R159" s="286"/>
      <c r="S159" s="286"/>
      <c r="T159" s="286"/>
      <c r="U159" s="286"/>
      <c r="V159" s="286"/>
      <c r="W159" s="286"/>
      <c r="X159" s="286"/>
      <c r="Y159" s="286"/>
      <c r="Z159" s="286"/>
      <c r="AA159" s="286"/>
      <c r="AB159" s="286"/>
    </row>
    <row r="160">
      <c r="A160" s="312"/>
      <c r="B160" s="312"/>
      <c r="C160" s="541"/>
      <c r="D160" s="548"/>
      <c r="E160" s="548"/>
      <c r="F160" s="548"/>
      <c r="G160" s="550"/>
      <c r="H160" s="312"/>
      <c r="I160" s="312"/>
      <c r="J160" s="541"/>
      <c r="K160" s="312"/>
      <c r="L160" s="312"/>
      <c r="M160" s="541"/>
      <c r="N160" s="541"/>
      <c r="O160" s="541"/>
      <c r="P160" s="541"/>
      <c r="Q160" s="312"/>
      <c r="R160" s="286"/>
      <c r="S160" s="286"/>
      <c r="T160" s="286"/>
      <c r="U160" s="286"/>
      <c r="V160" s="286"/>
      <c r="W160" s="286"/>
      <c r="X160" s="286"/>
      <c r="Y160" s="286"/>
      <c r="Z160" s="286"/>
      <c r="AA160" s="286"/>
      <c r="AB160" s="286"/>
    </row>
    <row r="161">
      <c r="A161" s="312"/>
      <c r="B161" s="312"/>
      <c r="C161" s="541"/>
      <c r="D161" s="548"/>
      <c r="E161" s="548"/>
      <c r="F161" s="548"/>
      <c r="G161" s="550"/>
      <c r="H161" s="312"/>
      <c r="I161" s="312"/>
      <c r="J161" s="541"/>
      <c r="K161" s="312"/>
      <c r="L161" s="312"/>
      <c r="M161" s="541"/>
      <c r="N161" s="541"/>
      <c r="O161" s="541"/>
      <c r="P161" s="541"/>
      <c r="Q161" s="312"/>
      <c r="R161" s="286"/>
      <c r="S161" s="286"/>
      <c r="T161" s="286"/>
      <c r="U161" s="286"/>
      <c r="V161" s="286"/>
      <c r="W161" s="286"/>
      <c r="X161" s="286"/>
      <c r="Y161" s="286"/>
      <c r="Z161" s="286"/>
      <c r="AA161" s="286"/>
      <c r="AB161" s="286"/>
    </row>
    <row r="162">
      <c r="A162" s="312"/>
      <c r="B162" s="312"/>
      <c r="C162" s="541"/>
      <c r="D162" s="548"/>
      <c r="E162" s="548"/>
      <c r="F162" s="548"/>
      <c r="G162" s="550"/>
      <c r="H162" s="312"/>
      <c r="I162" s="312"/>
      <c r="J162" s="541"/>
      <c r="K162" s="312"/>
      <c r="L162" s="312"/>
      <c r="M162" s="541"/>
      <c r="N162" s="541"/>
      <c r="O162" s="541"/>
      <c r="P162" s="541"/>
      <c r="Q162" s="312"/>
      <c r="R162" s="286"/>
      <c r="S162" s="286"/>
      <c r="T162" s="286"/>
      <c r="U162" s="286"/>
      <c r="V162" s="286"/>
      <c r="W162" s="286"/>
      <c r="X162" s="286"/>
      <c r="Y162" s="286"/>
      <c r="Z162" s="286"/>
      <c r="AA162" s="286"/>
      <c r="AB162" s="286"/>
    </row>
    <row r="163">
      <c r="A163" s="312"/>
      <c r="B163" s="312"/>
      <c r="C163" s="541"/>
      <c r="D163" s="548"/>
      <c r="E163" s="548"/>
      <c r="F163" s="548"/>
      <c r="G163" s="550"/>
      <c r="H163" s="312"/>
      <c r="I163" s="312"/>
      <c r="J163" s="541"/>
      <c r="K163" s="312"/>
      <c r="L163" s="312"/>
      <c r="M163" s="541"/>
      <c r="N163" s="541"/>
      <c r="O163" s="541"/>
      <c r="P163" s="541"/>
      <c r="Q163" s="312"/>
      <c r="R163" s="286"/>
      <c r="S163" s="286"/>
      <c r="T163" s="286"/>
      <c r="U163" s="286"/>
      <c r="V163" s="286"/>
      <c r="W163" s="286"/>
      <c r="X163" s="286"/>
      <c r="Y163" s="286"/>
      <c r="Z163" s="286"/>
      <c r="AA163" s="286"/>
      <c r="AB163" s="286"/>
    </row>
    <row r="164">
      <c r="A164" s="312"/>
      <c r="B164" s="312"/>
      <c r="C164" s="541"/>
      <c r="D164" s="548"/>
      <c r="E164" s="548"/>
      <c r="F164" s="548"/>
      <c r="G164" s="550"/>
      <c r="H164" s="312"/>
      <c r="I164" s="312"/>
      <c r="J164" s="541"/>
      <c r="K164" s="312"/>
      <c r="L164" s="312"/>
      <c r="M164" s="541"/>
      <c r="N164" s="541"/>
      <c r="O164" s="541"/>
      <c r="P164" s="541"/>
      <c r="Q164" s="312"/>
      <c r="R164" s="286"/>
      <c r="S164" s="286"/>
      <c r="T164" s="286"/>
      <c r="U164" s="286"/>
      <c r="V164" s="286"/>
      <c r="W164" s="286"/>
      <c r="X164" s="286"/>
      <c r="Y164" s="286"/>
      <c r="Z164" s="286"/>
      <c r="AA164" s="286"/>
      <c r="AB164" s="286"/>
    </row>
    <row r="165">
      <c r="A165" s="312"/>
      <c r="B165" s="312"/>
      <c r="C165" s="541"/>
      <c r="D165" s="548"/>
      <c r="E165" s="548"/>
      <c r="F165" s="548"/>
      <c r="G165" s="550"/>
      <c r="H165" s="312"/>
      <c r="I165" s="312"/>
      <c r="J165" s="541"/>
      <c r="K165" s="312"/>
      <c r="L165" s="312"/>
      <c r="M165" s="541"/>
      <c r="N165" s="541"/>
      <c r="O165" s="541"/>
      <c r="P165" s="541"/>
      <c r="Q165" s="312"/>
      <c r="R165" s="286"/>
      <c r="S165" s="286"/>
      <c r="T165" s="286"/>
      <c r="U165" s="286"/>
      <c r="V165" s="286"/>
      <c r="W165" s="286"/>
      <c r="X165" s="286"/>
      <c r="Y165" s="286"/>
      <c r="Z165" s="286"/>
      <c r="AA165" s="286"/>
      <c r="AB165" s="286"/>
    </row>
    <row r="166">
      <c r="A166" s="312"/>
      <c r="B166" s="312"/>
      <c r="C166" s="541"/>
      <c r="D166" s="548"/>
      <c r="E166" s="548"/>
      <c r="F166" s="548"/>
      <c r="G166" s="550"/>
      <c r="H166" s="312"/>
      <c r="I166" s="312"/>
      <c r="J166" s="541"/>
      <c r="K166" s="312"/>
      <c r="L166" s="312"/>
      <c r="M166" s="541"/>
      <c r="N166" s="541"/>
      <c r="O166" s="541"/>
      <c r="P166" s="541"/>
      <c r="Q166" s="312"/>
      <c r="R166" s="286"/>
      <c r="S166" s="286"/>
      <c r="T166" s="286"/>
      <c r="U166" s="286"/>
      <c r="V166" s="286"/>
      <c r="W166" s="286"/>
      <c r="X166" s="286"/>
      <c r="Y166" s="286"/>
      <c r="Z166" s="286"/>
      <c r="AA166" s="286"/>
      <c r="AB166" s="286"/>
    </row>
    <row r="167">
      <c r="A167" s="312"/>
      <c r="B167" s="312"/>
      <c r="C167" s="541"/>
      <c r="D167" s="548"/>
      <c r="E167" s="548"/>
      <c r="F167" s="548"/>
      <c r="G167" s="550"/>
      <c r="H167" s="312"/>
      <c r="I167" s="312"/>
      <c r="J167" s="541"/>
      <c r="K167" s="312"/>
      <c r="L167" s="312"/>
      <c r="M167" s="541"/>
      <c r="N167" s="541"/>
      <c r="O167" s="541"/>
      <c r="P167" s="541"/>
      <c r="Q167" s="312"/>
      <c r="R167" s="286"/>
      <c r="S167" s="286"/>
      <c r="T167" s="286"/>
      <c r="U167" s="286"/>
      <c r="V167" s="286"/>
      <c r="W167" s="286"/>
      <c r="X167" s="286"/>
      <c r="Y167" s="286"/>
      <c r="Z167" s="286"/>
      <c r="AA167" s="286"/>
      <c r="AB167" s="286"/>
    </row>
    <row r="168">
      <c r="A168" s="312"/>
      <c r="B168" s="312"/>
      <c r="C168" s="541"/>
      <c r="D168" s="548"/>
      <c r="E168" s="548"/>
      <c r="F168" s="548"/>
      <c r="G168" s="550"/>
      <c r="H168" s="312"/>
      <c r="I168" s="312"/>
      <c r="J168" s="541"/>
      <c r="K168" s="312"/>
      <c r="L168" s="312"/>
      <c r="M168" s="541"/>
      <c r="N168" s="541"/>
      <c r="O168" s="541"/>
      <c r="P168" s="541"/>
      <c r="Q168" s="312"/>
      <c r="R168" s="286"/>
      <c r="S168" s="286"/>
      <c r="T168" s="286"/>
      <c r="U168" s="286"/>
      <c r="V168" s="286"/>
      <c r="W168" s="286"/>
      <c r="X168" s="286"/>
      <c r="Y168" s="286"/>
      <c r="Z168" s="286"/>
      <c r="AA168" s="286"/>
      <c r="AB168" s="286"/>
    </row>
    <row r="169">
      <c r="A169" s="312"/>
      <c r="B169" s="312"/>
      <c r="C169" s="541"/>
      <c r="D169" s="548"/>
      <c r="E169" s="548"/>
      <c r="F169" s="548"/>
      <c r="G169" s="550"/>
      <c r="H169" s="312"/>
      <c r="I169" s="312"/>
      <c r="J169" s="541"/>
      <c r="K169" s="312"/>
      <c r="L169" s="312"/>
      <c r="M169" s="541"/>
      <c r="N169" s="541"/>
      <c r="O169" s="541"/>
      <c r="P169" s="541"/>
      <c r="Q169" s="312"/>
      <c r="R169" s="286"/>
      <c r="S169" s="286"/>
      <c r="T169" s="286"/>
      <c r="U169" s="286"/>
      <c r="V169" s="286"/>
      <c r="W169" s="286"/>
      <c r="X169" s="286"/>
      <c r="Y169" s="286"/>
      <c r="Z169" s="286"/>
      <c r="AA169" s="286"/>
      <c r="AB169" s="286"/>
    </row>
    <row r="170">
      <c r="A170" s="312"/>
      <c r="B170" s="312"/>
      <c r="C170" s="541"/>
      <c r="D170" s="548"/>
      <c r="E170" s="548"/>
      <c r="F170" s="548"/>
      <c r="G170" s="550"/>
      <c r="H170" s="312"/>
      <c r="I170" s="312"/>
      <c r="J170" s="541"/>
      <c r="K170" s="312"/>
      <c r="L170" s="312"/>
      <c r="M170" s="541"/>
      <c r="N170" s="541"/>
      <c r="O170" s="541"/>
      <c r="P170" s="541"/>
      <c r="Q170" s="312"/>
      <c r="R170" s="286"/>
      <c r="S170" s="286"/>
      <c r="T170" s="286"/>
      <c r="U170" s="286"/>
      <c r="V170" s="286"/>
      <c r="W170" s="286"/>
      <c r="X170" s="286"/>
      <c r="Y170" s="286"/>
      <c r="Z170" s="286"/>
      <c r="AA170" s="286"/>
      <c r="AB170" s="286"/>
    </row>
    <row r="171">
      <c r="A171" s="312"/>
      <c r="B171" s="312"/>
      <c r="C171" s="541"/>
      <c r="D171" s="548"/>
      <c r="E171" s="548"/>
      <c r="F171" s="548"/>
      <c r="G171" s="550"/>
      <c r="H171" s="312"/>
      <c r="I171" s="312"/>
      <c r="J171" s="541"/>
      <c r="K171" s="312"/>
      <c r="L171" s="312"/>
      <c r="M171" s="541"/>
      <c r="N171" s="541"/>
      <c r="O171" s="541"/>
      <c r="P171" s="541"/>
      <c r="Q171" s="312"/>
      <c r="R171" s="286"/>
      <c r="S171" s="286"/>
      <c r="T171" s="286"/>
      <c r="U171" s="286"/>
      <c r="V171" s="286"/>
      <c r="W171" s="286"/>
      <c r="X171" s="286"/>
      <c r="Y171" s="286"/>
      <c r="Z171" s="286"/>
      <c r="AA171" s="286"/>
      <c r="AB171" s="286"/>
    </row>
    <row r="172">
      <c r="A172" s="312"/>
      <c r="B172" s="312"/>
      <c r="C172" s="541"/>
      <c r="D172" s="548"/>
      <c r="E172" s="548"/>
      <c r="F172" s="548"/>
      <c r="G172" s="550"/>
      <c r="H172" s="312"/>
      <c r="I172" s="312"/>
      <c r="J172" s="541"/>
      <c r="K172" s="312"/>
      <c r="L172" s="312"/>
      <c r="M172" s="541"/>
      <c r="N172" s="541"/>
      <c r="O172" s="541"/>
      <c r="P172" s="541"/>
      <c r="Q172" s="312"/>
      <c r="R172" s="286"/>
      <c r="S172" s="286"/>
      <c r="T172" s="286"/>
      <c r="U172" s="286"/>
      <c r="V172" s="286"/>
      <c r="W172" s="286"/>
      <c r="X172" s="286"/>
      <c r="Y172" s="286"/>
      <c r="Z172" s="286"/>
      <c r="AA172" s="286"/>
      <c r="AB172" s="286"/>
    </row>
    <row r="173">
      <c r="A173" s="312"/>
      <c r="B173" s="312"/>
      <c r="C173" s="541"/>
      <c r="D173" s="548"/>
      <c r="E173" s="548"/>
      <c r="F173" s="548"/>
      <c r="G173" s="550"/>
      <c r="H173" s="312"/>
      <c r="I173" s="312"/>
      <c r="J173" s="541"/>
      <c r="K173" s="312"/>
      <c r="L173" s="312"/>
      <c r="M173" s="541"/>
      <c r="N173" s="541"/>
      <c r="O173" s="541"/>
      <c r="P173" s="541"/>
      <c r="Q173" s="312"/>
      <c r="R173" s="286"/>
      <c r="S173" s="286"/>
      <c r="T173" s="286"/>
      <c r="U173" s="286"/>
      <c r="V173" s="286"/>
      <c r="W173" s="286"/>
      <c r="X173" s="286"/>
      <c r="Y173" s="286"/>
      <c r="Z173" s="286"/>
      <c r="AA173" s="286"/>
      <c r="AB173" s="286"/>
    </row>
    <row r="174">
      <c r="A174" s="312"/>
      <c r="B174" s="312"/>
      <c r="C174" s="541"/>
      <c r="D174" s="548"/>
      <c r="E174" s="548"/>
      <c r="F174" s="548"/>
      <c r="G174" s="550"/>
      <c r="H174" s="312"/>
      <c r="I174" s="312"/>
      <c r="J174" s="541"/>
      <c r="K174" s="312"/>
      <c r="L174" s="312"/>
      <c r="M174" s="541"/>
      <c r="N174" s="541"/>
      <c r="O174" s="541"/>
      <c r="P174" s="541"/>
      <c r="Q174" s="312"/>
      <c r="R174" s="286"/>
      <c r="S174" s="286"/>
      <c r="T174" s="286"/>
      <c r="U174" s="286"/>
      <c r="V174" s="286"/>
      <c r="W174" s="286"/>
      <c r="X174" s="286"/>
      <c r="Y174" s="286"/>
      <c r="Z174" s="286"/>
      <c r="AA174" s="286"/>
      <c r="AB174" s="286"/>
    </row>
    <row r="175">
      <c r="A175" s="312"/>
      <c r="B175" s="312"/>
      <c r="C175" s="541"/>
      <c r="D175" s="548"/>
      <c r="E175" s="548"/>
      <c r="F175" s="548"/>
      <c r="G175" s="550"/>
      <c r="H175" s="312"/>
      <c r="I175" s="312"/>
      <c r="J175" s="541"/>
      <c r="K175" s="312"/>
      <c r="L175" s="312"/>
      <c r="M175" s="541"/>
      <c r="N175" s="541"/>
      <c r="O175" s="541"/>
      <c r="P175" s="541"/>
      <c r="Q175" s="312"/>
      <c r="R175" s="286"/>
      <c r="S175" s="286"/>
      <c r="T175" s="286"/>
      <c r="U175" s="286"/>
      <c r="V175" s="286"/>
      <c r="W175" s="286"/>
      <c r="X175" s="286"/>
      <c r="Y175" s="286"/>
      <c r="Z175" s="286"/>
      <c r="AA175" s="286"/>
      <c r="AB175" s="286"/>
    </row>
    <row r="176">
      <c r="A176" s="312"/>
      <c r="B176" s="312"/>
      <c r="C176" s="541"/>
      <c r="D176" s="548"/>
      <c r="E176" s="548"/>
      <c r="F176" s="548"/>
      <c r="G176" s="550"/>
      <c r="H176" s="312"/>
      <c r="I176" s="312"/>
      <c r="J176" s="541"/>
      <c r="K176" s="312"/>
      <c r="L176" s="312"/>
      <c r="M176" s="541"/>
      <c r="N176" s="541"/>
      <c r="O176" s="541"/>
      <c r="P176" s="541"/>
      <c r="Q176" s="312"/>
      <c r="R176" s="286"/>
      <c r="S176" s="286"/>
      <c r="T176" s="286"/>
      <c r="U176" s="286"/>
      <c r="V176" s="286"/>
      <c r="W176" s="286"/>
      <c r="X176" s="286"/>
      <c r="Y176" s="286"/>
      <c r="Z176" s="286"/>
      <c r="AA176" s="286"/>
      <c r="AB176" s="286"/>
    </row>
    <row r="177">
      <c r="A177" s="312"/>
      <c r="B177" s="312"/>
      <c r="C177" s="541"/>
      <c r="D177" s="548"/>
      <c r="E177" s="548"/>
      <c r="F177" s="548"/>
      <c r="G177" s="550"/>
      <c r="H177" s="312"/>
      <c r="I177" s="312"/>
      <c r="J177" s="541"/>
      <c r="K177" s="312"/>
      <c r="L177" s="312"/>
      <c r="M177" s="541"/>
      <c r="N177" s="541"/>
      <c r="O177" s="541"/>
      <c r="P177" s="541"/>
      <c r="Q177" s="312"/>
      <c r="R177" s="286"/>
      <c r="S177" s="286"/>
      <c r="T177" s="286"/>
      <c r="U177" s="286"/>
      <c r="V177" s="286"/>
      <c r="W177" s="286"/>
      <c r="X177" s="286"/>
      <c r="Y177" s="286"/>
      <c r="Z177" s="286"/>
      <c r="AA177" s="286"/>
      <c r="AB177" s="286"/>
    </row>
    <row r="178">
      <c r="A178" s="312"/>
      <c r="B178" s="312"/>
      <c r="C178" s="541"/>
      <c r="D178" s="548"/>
      <c r="E178" s="548"/>
      <c r="F178" s="548"/>
      <c r="G178" s="550"/>
      <c r="H178" s="312"/>
      <c r="I178" s="312"/>
      <c r="J178" s="541"/>
      <c r="K178" s="312"/>
      <c r="L178" s="312"/>
      <c r="M178" s="541"/>
      <c r="N178" s="541"/>
      <c r="O178" s="541"/>
      <c r="P178" s="541"/>
      <c r="Q178" s="312"/>
      <c r="R178" s="286"/>
      <c r="S178" s="286"/>
      <c r="T178" s="286"/>
      <c r="U178" s="286"/>
      <c r="V178" s="286"/>
      <c r="W178" s="286"/>
      <c r="X178" s="286"/>
      <c r="Y178" s="286"/>
      <c r="Z178" s="286"/>
      <c r="AA178" s="286"/>
      <c r="AB178" s="286"/>
    </row>
    <row r="179">
      <c r="A179" s="312"/>
      <c r="B179" s="312"/>
      <c r="C179" s="541"/>
      <c r="D179" s="548"/>
      <c r="E179" s="548"/>
      <c r="F179" s="548"/>
      <c r="G179" s="550"/>
      <c r="H179" s="312"/>
      <c r="I179" s="312"/>
      <c r="J179" s="541"/>
      <c r="K179" s="312"/>
      <c r="L179" s="312"/>
      <c r="M179" s="541"/>
      <c r="N179" s="541"/>
      <c r="O179" s="541"/>
      <c r="P179" s="541"/>
      <c r="Q179" s="312"/>
      <c r="R179" s="286"/>
      <c r="S179" s="286"/>
      <c r="T179" s="286"/>
      <c r="U179" s="286"/>
      <c r="V179" s="286"/>
      <c r="W179" s="286"/>
      <c r="X179" s="286"/>
      <c r="Y179" s="286"/>
      <c r="Z179" s="286"/>
      <c r="AA179" s="286"/>
      <c r="AB179" s="286"/>
    </row>
    <row r="180">
      <c r="A180" s="312"/>
      <c r="B180" s="312"/>
      <c r="C180" s="541"/>
      <c r="D180" s="548"/>
      <c r="E180" s="548"/>
      <c r="F180" s="548"/>
      <c r="G180" s="550"/>
      <c r="H180" s="312"/>
      <c r="I180" s="312"/>
      <c r="J180" s="541"/>
      <c r="K180" s="312"/>
      <c r="L180" s="312"/>
      <c r="M180" s="541"/>
      <c r="N180" s="541"/>
      <c r="O180" s="541"/>
      <c r="P180" s="541"/>
      <c r="Q180" s="312"/>
      <c r="R180" s="286"/>
      <c r="S180" s="286"/>
      <c r="T180" s="286"/>
      <c r="U180" s="286"/>
      <c r="V180" s="286"/>
      <c r="W180" s="286"/>
      <c r="X180" s="286"/>
      <c r="Y180" s="286"/>
      <c r="Z180" s="286"/>
      <c r="AA180" s="286"/>
      <c r="AB180" s="286"/>
    </row>
    <row r="181">
      <c r="A181" s="312"/>
      <c r="B181" s="312"/>
      <c r="C181" s="541"/>
      <c r="D181" s="548"/>
      <c r="E181" s="548"/>
      <c r="F181" s="548"/>
      <c r="G181" s="550"/>
      <c r="H181" s="312"/>
      <c r="I181" s="312"/>
      <c r="J181" s="541"/>
      <c r="K181" s="312"/>
      <c r="L181" s="312"/>
      <c r="M181" s="541"/>
      <c r="N181" s="541"/>
      <c r="O181" s="541"/>
      <c r="P181" s="541"/>
      <c r="Q181" s="312"/>
      <c r="R181" s="286"/>
      <c r="S181" s="286"/>
      <c r="T181" s="286"/>
      <c r="U181" s="286"/>
      <c r="V181" s="286"/>
      <c r="W181" s="286"/>
      <c r="X181" s="286"/>
      <c r="Y181" s="286"/>
      <c r="Z181" s="286"/>
      <c r="AA181" s="286"/>
      <c r="AB181" s="286"/>
    </row>
    <row r="182">
      <c r="A182" s="312"/>
      <c r="B182" s="312"/>
      <c r="C182" s="541"/>
      <c r="D182" s="548"/>
      <c r="E182" s="548"/>
      <c r="F182" s="548"/>
      <c r="G182" s="550"/>
      <c r="H182" s="312"/>
      <c r="I182" s="312"/>
      <c r="J182" s="541"/>
      <c r="K182" s="312"/>
      <c r="L182" s="312"/>
      <c r="M182" s="541"/>
      <c r="N182" s="541"/>
      <c r="O182" s="541"/>
      <c r="P182" s="541"/>
      <c r="Q182" s="312"/>
      <c r="R182" s="286"/>
      <c r="S182" s="286"/>
      <c r="T182" s="286"/>
      <c r="U182" s="286"/>
      <c r="V182" s="286"/>
      <c r="W182" s="286"/>
      <c r="X182" s="286"/>
      <c r="Y182" s="286"/>
      <c r="Z182" s="286"/>
      <c r="AA182" s="286"/>
      <c r="AB182" s="286"/>
    </row>
    <row r="183">
      <c r="A183" s="312"/>
      <c r="B183" s="312"/>
      <c r="C183" s="541"/>
      <c r="D183" s="548"/>
      <c r="E183" s="548"/>
      <c r="F183" s="548"/>
      <c r="G183" s="550"/>
      <c r="H183" s="312"/>
      <c r="I183" s="312"/>
      <c r="J183" s="541"/>
      <c r="K183" s="312"/>
      <c r="L183" s="312"/>
      <c r="M183" s="541"/>
      <c r="N183" s="541"/>
      <c r="O183" s="541"/>
      <c r="P183" s="541"/>
      <c r="Q183" s="312"/>
      <c r="R183" s="286"/>
      <c r="S183" s="286"/>
      <c r="T183" s="286"/>
      <c r="U183" s="286"/>
      <c r="V183" s="286"/>
      <c r="W183" s="286"/>
      <c r="X183" s="286"/>
      <c r="Y183" s="286"/>
      <c r="Z183" s="286"/>
      <c r="AA183" s="286"/>
      <c r="AB183" s="286"/>
    </row>
    <row r="184">
      <c r="A184" s="312"/>
      <c r="B184" s="312"/>
      <c r="C184" s="541"/>
      <c r="D184" s="548"/>
      <c r="E184" s="548"/>
      <c r="F184" s="548"/>
      <c r="G184" s="550"/>
      <c r="H184" s="312"/>
      <c r="I184" s="312"/>
      <c r="J184" s="541"/>
      <c r="K184" s="312"/>
      <c r="L184" s="312"/>
      <c r="M184" s="541"/>
      <c r="N184" s="541"/>
      <c r="O184" s="541"/>
      <c r="P184" s="541"/>
      <c r="Q184" s="312"/>
      <c r="R184" s="286"/>
      <c r="S184" s="286"/>
      <c r="T184" s="286"/>
      <c r="U184" s="286"/>
      <c r="V184" s="286"/>
      <c r="W184" s="286"/>
      <c r="X184" s="286"/>
      <c r="Y184" s="286"/>
      <c r="Z184" s="286"/>
      <c r="AA184" s="286"/>
      <c r="AB184" s="286"/>
    </row>
    <row r="185">
      <c r="A185" s="312"/>
      <c r="B185" s="312"/>
      <c r="C185" s="541"/>
      <c r="D185" s="548"/>
      <c r="E185" s="548"/>
      <c r="F185" s="548"/>
      <c r="G185" s="550"/>
      <c r="H185" s="312"/>
      <c r="I185" s="312"/>
      <c r="J185" s="541"/>
      <c r="K185" s="312"/>
      <c r="L185" s="312"/>
      <c r="M185" s="541"/>
      <c r="N185" s="541"/>
      <c r="O185" s="541"/>
      <c r="P185" s="541"/>
      <c r="Q185" s="312"/>
      <c r="R185" s="286"/>
      <c r="S185" s="286"/>
      <c r="T185" s="286"/>
      <c r="U185" s="286"/>
      <c r="V185" s="286"/>
      <c r="W185" s="286"/>
      <c r="X185" s="286"/>
      <c r="Y185" s="286"/>
      <c r="Z185" s="286"/>
      <c r="AA185" s="286"/>
      <c r="AB185" s="286"/>
    </row>
    <row r="186">
      <c r="A186" s="312"/>
      <c r="B186" s="312"/>
      <c r="C186" s="541"/>
      <c r="D186" s="548"/>
      <c r="E186" s="548"/>
      <c r="F186" s="548"/>
      <c r="G186" s="550"/>
      <c r="H186" s="312"/>
      <c r="I186" s="312"/>
      <c r="J186" s="541"/>
      <c r="K186" s="312"/>
      <c r="L186" s="312"/>
      <c r="M186" s="541"/>
      <c r="N186" s="541"/>
      <c r="O186" s="541"/>
      <c r="P186" s="541"/>
      <c r="Q186" s="312"/>
      <c r="R186" s="286"/>
      <c r="S186" s="286"/>
      <c r="T186" s="286"/>
      <c r="U186" s="286"/>
      <c r="V186" s="286"/>
      <c r="W186" s="286"/>
      <c r="X186" s="286"/>
      <c r="Y186" s="286"/>
      <c r="Z186" s="286"/>
      <c r="AA186" s="286"/>
      <c r="AB186" s="286"/>
    </row>
    <row r="187">
      <c r="A187" s="312"/>
      <c r="B187" s="312"/>
      <c r="C187" s="541"/>
      <c r="D187" s="548"/>
      <c r="E187" s="548"/>
      <c r="F187" s="548"/>
      <c r="G187" s="550"/>
      <c r="H187" s="312"/>
      <c r="I187" s="312"/>
      <c r="J187" s="541"/>
      <c r="K187" s="312"/>
      <c r="L187" s="312"/>
      <c r="M187" s="541"/>
      <c r="N187" s="541"/>
      <c r="O187" s="541"/>
      <c r="P187" s="541"/>
      <c r="Q187" s="312"/>
      <c r="R187" s="286"/>
      <c r="S187" s="286"/>
      <c r="T187" s="286"/>
      <c r="U187" s="286"/>
      <c r="V187" s="286"/>
      <c r="W187" s="286"/>
      <c r="X187" s="286"/>
      <c r="Y187" s="286"/>
      <c r="Z187" s="286"/>
      <c r="AA187" s="286"/>
      <c r="AB187" s="286"/>
    </row>
    <row r="188">
      <c r="A188" s="312"/>
      <c r="B188" s="312"/>
      <c r="C188" s="541"/>
      <c r="D188" s="548"/>
      <c r="E188" s="548"/>
      <c r="F188" s="548"/>
      <c r="G188" s="550"/>
      <c r="H188" s="312"/>
      <c r="I188" s="312"/>
      <c r="J188" s="541"/>
      <c r="K188" s="312"/>
      <c r="L188" s="312"/>
      <c r="M188" s="541"/>
      <c r="N188" s="541"/>
      <c r="O188" s="541"/>
      <c r="P188" s="541"/>
      <c r="Q188" s="312"/>
      <c r="R188" s="286"/>
      <c r="S188" s="286"/>
      <c r="T188" s="286"/>
      <c r="U188" s="286"/>
      <c r="V188" s="286"/>
      <c r="W188" s="286"/>
      <c r="X188" s="286"/>
      <c r="Y188" s="286"/>
      <c r="Z188" s="286"/>
      <c r="AA188" s="286"/>
      <c r="AB188" s="286"/>
    </row>
    <row r="189">
      <c r="A189" s="312"/>
      <c r="B189" s="312"/>
      <c r="C189" s="541"/>
      <c r="D189" s="548"/>
      <c r="E189" s="548"/>
      <c r="F189" s="548"/>
      <c r="G189" s="550"/>
      <c r="H189" s="312"/>
      <c r="I189" s="312"/>
      <c r="J189" s="541"/>
      <c r="K189" s="312"/>
      <c r="L189" s="312"/>
      <c r="M189" s="541"/>
      <c r="N189" s="541"/>
      <c r="O189" s="541"/>
      <c r="P189" s="541"/>
      <c r="Q189" s="312"/>
      <c r="R189" s="286"/>
      <c r="S189" s="286"/>
      <c r="T189" s="286"/>
      <c r="U189" s="286"/>
      <c r="V189" s="286"/>
      <c r="W189" s="286"/>
      <c r="X189" s="286"/>
      <c r="Y189" s="286"/>
      <c r="Z189" s="286"/>
      <c r="AA189" s="286"/>
      <c r="AB189" s="286"/>
    </row>
    <row r="190">
      <c r="A190" s="312"/>
      <c r="B190" s="312"/>
      <c r="C190" s="541"/>
      <c r="D190" s="548"/>
      <c r="E190" s="548"/>
      <c r="F190" s="548"/>
      <c r="G190" s="550"/>
      <c r="H190" s="312"/>
      <c r="I190" s="312"/>
      <c r="J190" s="541"/>
      <c r="K190" s="312"/>
      <c r="L190" s="312"/>
      <c r="M190" s="541"/>
      <c r="N190" s="541"/>
      <c r="O190" s="541"/>
      <c r="P190" s="541"/>
      <c r="Q190" s="312"/>
      <c r="R190" s="286"/>
      <c r="S190" s="286"/>
      <c r="T190" s="286"/>
      <c r="U190" s="286"/>
      <c r="V190" s="286"/>
      <c r="W190" s="286"/>
      <c r="X190" s="286"/>
      <c r="Y190" s="286"/>
      <c r="Z190" s="286"/>
      <c r="AA190" s="286"/>
      <c r="AB190" s="286"/>
    </row>
    <row r="191">
      <c r="A191" s="312"/>
      <c r="B191" s="312"/>
      <c r="C191" s="541"/>
      <c r="D191" s="548"/>
      <c r="E191" s="548"/>
      <c r="F191" s="548"/>
      <c r="G191" s="550"/>
      <c r="H191" s="312"/>
      <c r="I191" s="312"/>
      <c r="J191" s="541"/>
      <c r="K191" s="312"/>
      <c r="L191" s="312"/>
      <c r="M191" s="541"/>
      <c r="N191" s="541"/>
      <c r="O191" s="541"/>
      <c r="P191" s="541"/>
      <c r="Q191" s="312"/>
      <c r="R191" s="286"/>
      <c r="S191" s="286"/>
      <c r="T191" s="286"/>
      <c r="U191" s="286"/>
      <c r="V191" s="286"/>
      <c r="W191" s="286"/>
      <c r="X191" s="286"/>
      <c r="Y191" s="286"/>
      <c r="Z191" s="286"/>
      <c r="AA191" s="286"/>
      <c r="AB191" s="286"/>
    </row>
    <row r="192">
      <c r="A192" s="312"/>
      <c r="B192" s="312"/>
      <c r="C192" s="541"/>
      <c r="D192" s="548"/>
      <c r="E192" s="548"/>
      <c r="F192" s="548"/>
      <c r="G192" s="550"/>
      <c r="H192" s="312"/>
      <c r="I192" s="312"/>
      <c r="J192" s="541"/>
      <c r="K192" s="312"/>
      <c r="L192" s="312"/>
      <c r="M192" s="541"/>
      <c r="N192" s="541"/>
      <c r="O192" s="541"/>
      <c r="P192" s="541"/>
      <c r="Q192" s="312"/>
      <c r="R192" s="286"/>
      <c r="S192" s="286"/>
      <c r="T192" s="286"/>
      <c r="U192" s="286"/>
      <c r="V192" s="286"/>
      <c r="W192" s="286"/>
      <c r="X192" s="286"/>
      <c r="Y192" s="286"/>
      <c r="Z192" s="286"/>
      <c r="AA192" s="286"/>
      <c r="AB192" s="286"/>
    </row>
    <row r="193">
      <c r="A193" s="312"/>
      <c r="B193" s="312"/>
      <c r="C193" s="541"/>
      <c r="D193" s="548"/>
      <c r="E193" s="548"/>
      <c r="F193" s="548"/>
      <c r="G193" s="550"/>
      <c r="H193" s="312"/>
      <c r="I193" s="312"/>
      <c r="J193" s="541"/>
      <c r="K193" s="312"/>
      <c r="L193" s="312"/>
      <c r="M193" s="541"/>
      <c r="N193" s="541"/>
      <c r="O193" s="541"/>
      <c r="P193" s="541"/>
      <c r="Q193" s="312"/>
      <c r="R193" s="286"/>
      <c r="S193" s="286"/>
      <c r="T193" s="286"/>
      <c r="U193" s="286"/>
      <c r="V193" s="286"/>
      <c r="W193" s="286"/>
      <c r="X193" s="286"/>
      <c r="Y193" s="286"/>
      <c r="Z193" s="286"/>
      <c r="AA193" s="286"/>
      <c r="AB193" s="286"/>
    </row>
    <row r="194">
      <c r="A194" s="312"/>
      <c r="B194" s="312"/>
      <c r="C194" s="541"/>
      <c r="D194" s="548"/>
      <c r="E194" s="548"/>
      <c r="F194" s="548"/>
      <c r="G194" s="550"/>
      <c r="H194" s="312"/>
      <c r="I194" s="312"/>
      <c r="J194" s="541"/>
      <c r="K194" s="312"/>
      <c r="L194" s="312"/>
      <c r="M194" s="541"/>
      <c r="N194" s="541"/>
      <c r="O194" s="541"/>
      <c r="P194" s="541"/>
      <c r="Q194" s="312"/>
      <c r="R194" s="286"/>
      <c r="S194" s="286"/>
      <c r="T194" s="286"/>
      <c r="U194" s="286"/>
      <c r="V194" s="286"/>
      <c r="W194" s="286"/>
      <c r="X194" s="286"/>
      <c r="Y194" s="286"/>
      <c r="Z194" s="286"/>
      <c r="AA194" s="286"/>
      <c r="AB194" s="286"/>
    </row>
    <row r="195">
      <c r="A195" s="312"/>
      <c r="B195" s="312"/>
      <c r="C195" s="541"/>
      <c r="D195" s="548"/>
      <c r="E195" s="548"/>
      <c r="F195" s="548"/>
      <c r="G195" s="550"/>
      <c r="H195" s="312"/>
      <c r="I195" s="312"/>
      <c r="J195" s="541"/>
      <c r="K195" s="312"/>
      <c r="L195" s="312"/>
      <c r="M195" s="541"/>
      <c r="N195" s="541"/>
      <c r="O195" s="541"/>
      <c r="P195" s="541"/>
      <c r="Q195" s="312"/>
      <c r="R195" s="286"/>
      <c r="S195" s="286"/>
      <c r="T195" s="286"/>
      <c r="U195" s="286"/>
      <c r="V195" s="286"/>
      <c r="W195" s="286"/>
      <c r="X195" s="286"/>
      <c r="Y195" s="286"/>
      <c r="Z195" s="286"/>
      <c r="AA195" s="286"/>
      <c r="AB195" s="286"/>
    </row>
    <row r="196">
      <c r="A196" s="286"/>
      <c r="B196" s="286"/>
      <c r="C196" s="529"/>
      <c r="D196" s="306"/>
      <c r="E196" s="306"/>
      <c r="F196" s="306"/>
      <c r="G196" s="528"/>
      <c r="H196" s="286"/>
      <c r="I196" s="286"/>
      <c r="J196" s="529"/>
      <c r="K196" s="286"/>
      <c r="L196" s="286"/>
      <c r="M196" s="529"/>
      <c r="N196" s="529"/>
      <c r="O196" s="529"/>
      <c r="P196" s="529"/>
      <c r="Q196" s="286"/>
      <c r="R196" s="286"/>
      <c r="S196" s="286"/>
      <c r="T196" s="286"/>
      <c r="U196" s="286"/>
      <c r="V196" s="286"/>
      <c r="W196" s="286"/>
      <c r="X196" s="286"/>
      <c r="Y196" s="286"/>
      <c r="Z196" s="286"/>
      <c r="AA196" s="286"/>
      <c r="AB196" s="286"/>
    </row>
    <row r="197">
      <c r="A197" s="286"/>
      <c r="B197" s="286"/>
      <c r="C197" s="529"/>
      <c r="D197" s="306"/>
      <c r="E197" s="306"/>
      <c r="F197" s="306"/>
      <c r="G197" s="528"/>
      <c r="H197" s="286"/>
      <c r="I197" s="286"/>
      <c r="J197" s="529"/>
      <c r="K197" s="286"/>
      <c r="L197" s="286"/>
      <c r="M197" s="529"/>
      <c r="N197" s="529"/>
      <c r="O197" s="529"/>
      <c r="P197" s="529"/>
      <c r="Q197" s="286"/>
      <c r="R197" s="286"/>
      <c r="S197" s="286"/>
      <c r="T197" s="286"/>
      <c r="U197" s="286"/>
      <c r="V197" s="286"/>
      <c r="W197" s="286"/>
      <c r="X197" s="286"/>
      <c r="Y197" s="286"/>
      <c r="Z197" s="286"/>
      <c r="AA197" s="286"/>
      <c r="AB197" s="286"/>
    </row>
    <row r="198">
      <c r="A198" s="286"/>
      <c r="B198" s="286"/>
      <c r="C198" s="529"/>
      <c r="D198" s="306"/>
      <c r="E198" s="306"/>
      <c r="F198" s="306"/>
      <c r="G198" s="528"/>
      <c r="H198" s="286"/>
      <c r="I198" s="286"/>
      <c r="J198" s="529"/>
      <c r="K198" s="286"/>
      <c r="L198" s="286"/>
      <c r="M198" s="529"/>
      <c r="N198" s="529"/>
      <c r="O198" s="529"/>
      <c r="P198" s="529"/>
      <c r="Q198" s="286"/>
      <c r="R198" s="286"/>
      <c r="S198" s="286"/>
      <c r="T198" s="286"/>
      <c r="U198" s="286"/>
      <c r="V198" s="286"/>
      <c r="W198" s="286"/>
      <c r="X198" s="286"/>
      <c r="Y198" s="286"/>
      <c r="Z198" s="286"/>
      <c r="AA198" s="286"/>
      <c r="AB198" s="286"/>
    </row>
    <row r="199">
      <c r="A199" s="286"/>
      <c r="B199" s="286"/>
      <c r="C199" s="529"/>
      <c r="D199" s="306"/>
      <c r="E199" s="306"/>
      <c r="F199" s="306"/>
      <c r="G199" s="528"/>
      <c r="H199" s="286"/>
      <c r="I199" s="286"/>
      <c r="J199" s="529"/>
      <c r="K199" s="286"/>
      <c r="L199" s="286"/>
      <c r="M199" s="529"/>
      <c r="N199" s="529"/>
      <c r="O199" s="529"/>
      <c r="P199" s="529"/>
      <c r="Q199" s="286"/>
      <c r="R199" s="286"/>
      <c r="S199" s="286"/>
      <c r="T199" s="286"/>
      <c r="U199" s="286"/>
      <c r="V199" s="286"/>
      <c r="W199" s="286"/>
      <c r="X199" s="286"/>
      <c r="Y199" s="286"/>
      <c r="Z199" s="286"/>
      <c r="AA199" s="286"/>
      <c r="AB199" s="286"/>
    </row>
    <row r="200">
      <c r="A200" s="286"/>
      <c r="B200" s="286"/>
      <c r="C200" s="529"/>
      <c r="D200" s="306"/>
      <c r="E200" s="306"/>
      <c r="F200" s="306"/>
      <c r="G200" s="528"/>
      <c r="H200" s="286"/>
      <c r="I200" s="286"/>
      <c r="J200" s="529"/>
      <c r="K200" s="286"/>
      <c r="L200" s="286"/>
      <c r="M200" s="529"/>
      <c r="N200" s="529"/>
      <c r="O200" s="529"/>
      <c r="P200" s="529"/>
      <c r="Q200" s="286"/>
      <c r="R200" s="286"/>
      <c r="S200" s="286"/>
      <c r="T200" s="286"/>
      <c r="U200" s="286"/>
      <c r="V200" s="286"/>
      <c r="W200" s="286"/>
      <c r="X200" s="286"/>
      <c r="Y200" s="286"/>
      <c r="Z200" s="286"/>
      <c r="AA200" s="286"/>
      <c r="AB200" s="286"/>
    </row>
    <row r="201">
      <c r="A201" s="286"/>
      <c r="B201" s="286"/>
      <c r="C201" s="529"/>
      <c r="D201" s="306"/>
      <c r="E201" s="306"/>
      <c r="F201" s="306"/>
      <c r="G201" s="528"/>
      <c r="H201" s="286"/>
      <c r="I201" s="286"/>
      <c r="J201" s="529"/>
      <c r="K201" s="286"/>
      <c r="L201" s="286"/>
      <c r="M201" s="529"/>
      <c r="N201" s="529"/>
      <c r="O201" s="529"/>
      <c r="P201" s="529"/>
      <c r="Q201" s="286"/>
      <c r="R201" s="286"/>
      <c r="S201" s="286"/>
      <c r="T201" s="286"/>
      <c r="U201" s="286"/>
      <c r="V201" s="286"/>
      <c r="W201" s="286"/>
      <c r="X201" s="286"/>
      <c r="Y201" s="286"/>
      <c r="Z201" s="286"/>
      <c r="AA201" s="286"/>
      <c r="AB201" s="286"/>
    </row>
    <row r="202">
      <c r="A202" s="286"/>
      <c r="B202" s="286"/>
      <c r="C202" s="529"/>
      <c r="D202" s="306"/>
      <c r="E202" s="306"/>
      <c r="F202" s="306"/>
      <c r="G202" s="528"/>
      <c r="H202" s="286"/>
      <c r="I202" s="286"/>
      <c r="J202" s="529"/>
      <c r="K202" s="286"/>
      <c r="L202" s="286"/>
      <c r="M202" s="529"/>
      <c r="N202" s="529"/>
      <c r="O202" s="529"/>
      <c r="P202" s="529"/>
      <c r="Q202" s="286"/>
      <c r="R202" s="286"/>
      <c r="S202" s="286"/>
      <c r="T202" s="286"/>
      <c r="U202" s="286"/>
      <c r="V202" s="286"/>
      <c r="W202" s="286"/>
      <c r="X202" s="286"/>
      <c r="Y202" s="286"/>
      <c r="Z202" s="286"/>
      <c r="AA202" s="286"/>
      <c r="AB202" s="286"/>
    </row>
    <row r="203">
      <c r="A203" s="286"/>
      <c r="B203" s="286"/>
      <c r="C203" s="529"/>
      <c r="D203" s="306"/>
      <c r="E203" s="306"/>
      <c r="F203" s="306"/>
      <c r="G203" s="528"/>
      <c r="H203" s="286"/>
      <c r="I203" s="286"/>
      <c r="J203" s="529"/>
      <c r="K203" s="286"/>
      <c r="L203" s="286"/>
      <c r="M203" s="529"/>
      <c r="N203" s="529"/>
      <c r="O203" s="529"/>
      <c r="P203" s="529"/>
      <c r="Q203" s="286"/>
      <c r="R203" s="286"/>
      <c r="S203" s="286"/>
      <c r="T203" s="286"/>
      <c r="U203" s="286"/>
      <c r="V203" s="286"/>
      <c r="W203" s="286"/>
      <c r="X203" s="286"/>
      <c r="Y203" s="286"/>
      <c r="Z203" s="286"/>
      <c r="AA203" s="286"/>
      <c r="AB203" s="286"/>
    </row>
    <row r="204">
      <c r="A204" s="286"/>
      <c r="B204" s="286"/>
      <c r="C204" s="529"/>
      <c r="D204" s="306"/>
      <c r="E204" s="306"/>
      <c r="F204" s="306"/>
      <c r="G204" s="528"/>
      <c r="H204" s="286"/>
      <c r="I204" s="286"/>
      <c r="J204" s="529"/>
      <c r="K204" s="286"/>
      <c r="L204" s="286"/>
      <c r="M204" s="529"/>
      <c r="N204" s="529"/>
      <c r="O204" s="529"/>
      <c r="P204" s="529"/>
      <c r="Q204" s="286"/>
      <c r="R204" s="286"/>
      <c r="S204" s="286"/>
      <c r="T204" s="286"/>
      <c r="U204" s="286"/>
      <c r="V204" s="286"/>
      <c r="W204" s="286"/>
      <c r="X204" s="286"/>
      <c r="Y204" s="286"/>
      <c r="Z204" s="286"/>
      <c r="AA204" s="286"/>
      <c r="AB204" s="286"/>
    </row>
    <row r="205">
      <c r="A205" s="286"/>
      <c r="B205" s="286"/>
      <c r="C205" s="529"/>
      <c r="D205" s="306"/>
      <c r="E205" s="306"/>
      <c r="F205" s="306"/>
      <c r="G205" s="528"/>
      <c r="H205" s="286"/>
      <c r="I205" s="286"/>
      <c r="J205" s="529"/>
      <c r="K205" s="286"/>
      <c r="L205" s="286"/>
      <c r="M205" s="529"/>
      <c r="N205" s="529"/>
      <c r="O205" s="529"/>
      <c r="P205" s="529"/>
      <c r="Q205" s="286"/>
      <c r="R205" s="286"/>
      <c r="S205" s="286"/>
      <c r="T205" s="286"/>
      <c r="U205" s="286"/>
      <c r="V205" s="286"/>
      <c r="W205" s="286"/>
      <c r="X205" s="286"/>
      <c r="Y205" s="286"/>
      <c r="Z205" s="286"/>
      <c r="AA205" s="286"/>
      <c r="AB205" s="286"/>
    </row>
    <row r="206">
      <c r="A206" s="286"/>
      <c r="B206" s="286"/>
      <c r="C206" s="529"/>
      <c r="D206" s="306"/>
      <c r="E206" s="306"/>
      <c r="F206" s="306"/>
      <c r="G206" s="528"/>
      <c r="H206" s="286"/>
      <c r="I206" s="286"/>
      <c r="J206" s="529"/>
      <c r="K206" s="286"/>
      <c r="L206" s="286"/>
      <c r="M206" s="529"/>
      <c r="N206" s="529"/>
      <c r="O206" s="529"/>
      <c r="P206" s="529"/>
      <c r="Q206" s="286"/>
      <c r="R206" s="286"/>
      <c r="S206" s="286"/>
      <c r="T206" s="286"/>
      <c r="U206" s="286"/>
      <c r="V206" s="286"/>
      <c r="W206" s="286"/>
      <c r="X206" s="286"/>
      <c r="Y206" s="286"/>
      <c r="Z206" s="286"/>
      <c r="AA206" s="286"/>
      <c r="AB206" s="286"/>
    </row>
    <row r="207">
      <c r="A207" s="286"/>
      <c r="B207" s="286"/>
      <c r="C207" s="529"/>
      <c r="D207" s="306"/>
      <c r="E207" s="306"/>
      <c r="F207" s="306"/>
      <c r="G207" s="528"/>
      <c r="H207" s="286"/>
      <c r="I207" s="286"/>
      <c r="J207" s="529"/>
      <c r="K207" s="286"/>
      <c r="L207" s="286"/>
      <c r="M207" s="529"/>
      <c r="N207" s="529"/>
      <c r="O207" s="529"/>
      <c r="P207" s="529"/>
      <c r="Q207" s="286"/>
      <c r="R207" s="286"/>
      <c r="S207" s="286"/>
      <c r="T207" s="286"/>
      <c r="U207" s="286"/>
      <c r="V207" s="286"/>
      <c r="W207" s="286"/>
      <c r="X207" s="286"/>
      <c r="Y207" s="286"/>
      <c r="Z207" s="286"/>
      <c r="AA207" s="286"/>
      <c r="AB207" s="286"/>
    </row>
    <row r="208">
      <c r="A208" s="286"/>
      <c r="B208" s="286"/>
      <c r="C208" s="529"/>
      <c r="D208" s="306"/>
      <c r="E208" s="306"/>
      <c r="F208" s="306"/>
      <c r="G208" s="528"/>
      <c r="H208" s="286"/>
      <c r="I208" s="286"/>
      <c r="J208" s="529"/>
      <c r="K208" s="286"/>
      <c r="L208" s="286"/>
      <c r="M208" s="529"/>
      <c r="N208" s="529"/>
      <c r="O208" s="529"/>
      <c r="P208" s="529"/>
      <c r="Q208" s="286"/>
      <c r="R208" s="286"/>
      <c r="S208" s="286"/>
      <c r="T208" s="286"/>
      <c r="U208" s="286"/>
      <c r="V208" s="286"/>
      <c r="W208" s="286"/>
      <c r="X208" s="286"/>
      <c r="Y208" s="286"/>
      <c r="Z208" s="286"/>
      <c r="AA208" s="286"/>
      <c r="AB208" s="286"/>
    </row>
    <row r="209">
      <c r="A209" s="286"/>
      <c r="B209" s="286"/>
      <c r="C209" s="529"/>
      <c r="D209" s="306"/>
      <c r="E209" s="306"/>
      <c r="F209" s="306"/>
      <c r="G209" s="528"/>
      <c r="H209" s="286"/>
      <c r="I209" s="286"/>
      <c r="J209" s="529"/>
      <c r="K209" s="286"/>
      <c r="L209" s="286"/>
      <c r="M209" s="529"/>
      <c r="N209" s="529"/>
      <c r="O209" s="529"/>
      <c r="P209" s="529"/>
      <c r="Q209" s="286"/>
      <c r="R209" s="286"/>
      <c r="S209" s="286"/>
      <c r="T209" s="286"/>
      <c r="U209" s="286"/>
      <c r="V209" s="286"/>
      <c r="W209" s="286"/>
      <c r="X209" s="286"/>
      <c r="Y209" s="286"/>
      <c r="Z209" s="286"/>
      <c r="AA209" s="286"/>
      <c r="AB209" s="286"/>
    </row>
    <row r="210">
      <c r="A210" s="286"/>
      <c r="B210" s="286"/>
      <c r="C210" s="529"/>
      <c r="D210" s="306"/>
      <c r="E210" s="306"/>
      <c r="F210" s="306"/>
      <c r="G210" s="528"/>
      <c r="H210" s="286"/>
      <c r="I210" s="286"/>
      <c r="J210" s="529"/>
      <c r="K210" s="286"/>
      <c r="L210" s="286"/>
      <c r="M210" s="529"/>
      <c r="N210" s="529"/>
      <c r="O210" s="529"/>
      <c r="P210" s="529"/>
      <c r="Q210" s="286"/>
      <c r="R210" s="286"/>
      <c r="S210" s="286"/>
      <c r="T210" s="286"/>
      <c r="U210" s="286"/>
      <c r="V210" s="286"/>
      <c r="W210" s="286"/>
      <c r="X210" s="286"/>
      <c r="Y210" s="286"/>
      <c r="Z210" s="286"/>
      <c r="AA210" s="286"/>
      <c r="AB210" s="286"/>
    </row>
    <row r="211">
      <c r="A211" s="286"/>
      <c r="B211" s="286"/>
      <c r="C211" s="529"/>
      <c r="D211" s="306"/>
      <c r="E211" s="306"/>
      <c r="F211" s="306"/>
      <c r="G211" s="528"/>
      <c r="H211" s="286"/>
      <c r="I211" s="286"/>
      <c r="J211" s="529"/>
      <c r="K211" s="286"/>
      <c r="L211" s="286"/>
      <c r="M211" s="529"/>
      <c r="N211" s="529"/>
      <c r="O211" s="529"/>
      <c r="P211" s="529"/>
      <c r="Q211" s="286"/>
      <c r="R211" s="286"/>
      <c r="S211" s="286"/>
      <c r="T211" s="286"/>
      <c r="U211" s="286"/>
      <c r="V211" s="286"/>
      <c r="W211" s="286"/>
      <c r="X211" s="286"/>
      <c r="Y211" s="286"/>
      <c r="Z211" s="286"/>
      <c r="AA211" s="286"/>
      <c r="AB211" s="286"/>
    </row>
    <row r="212">
      <c r="A212" s="286"/>
      <c r="B212" s="286"/>
      <c r="C212" s="529"/>
      <c r="D212" s="306"/>
      <c r="E212" s="306"/>
      <c r="F212" s="306"/>
      <c r="G212" s="528"/>
      <c r="H212" s="286"/>
      <c r="I212" s="286"/>
      <c r="J212" s="529"/>
      <c r="K212" s="286"/>
      <c r="L212" s="286"/>
      <c r="M212" s="529"/>
      <c r="N212" s="529"/>
      <c r="O212" s="529"/>
      <c r="P212" s="529"/>
      <c r="Q212" s="286"/>
      <c r="R212" s="286"/>
      <c r="S212" s="286"/>
      <c r="T212" s="286"/>
      <c r="U212" s="286"/>
      <c r="V212" s="286"/>
      <c r="W212" s="286"/>
      <c r="X212" s="286"/>
      <c r="Y212" s="286"/>
      <c r="Z212" s="286"/>
      <c r="AA212" s="286"/>
      <c r="AB212" s="286"/>
    </row>
    <row r="213">
      <c r="A213" s="286"/>
      <c r="B213" s="286"/>
      <c r="C213" s="529"/>
      <c r="D213" s="306"/>
      <c r="E213" s="306"/>
      <c r="F213" s="306"/>
      <c r="G213" s="528"/>
      <c r="H213" s="286"/>
      <c r="I213" s="286"/>
      <c r="J213" s="529"/>
      <c r="K213" s="286"/>
      <c r="L213" s="286"/>
      <c r="M213" s="529"/>
      <c r="N213" s="529"/>
      <c r="O213" s="529"/>
      <c r="P213" s="529"/>
      <c r="Q213" s="286"/>
      <c r="R213" s="286"/>
      <c r="S213" s="286"/>
      <c r="T213" s="286"/>
      <c r="U213" s="286"/>
      <c r="V213" s="286"/>
      <c r="W213" s="286"/>
      <c r="X213" s="286"/>
      <c r="Y213" s="286"/>
      <c r="Z213" s="286"/>
      <c r="AA213" s="286"/>
      <c r="AB213" s="286"/>
    </row>
    <row r="214">
      <c r="A214" s="286"/>
      <c r="B214" s="286"/>
      <c r="C214" s="529"/>
      <c r="D214" s="306"/>
      <c r="E214" s="306"/>
      <c r="F214" s="306"/>
      <c r="G214" s="528"/>
      <c r="H214" s="286"/>
      <c r="I214" s="286"/>
      <c r="J214" s="529"/>
      <c r="K214" s="286"/>
      <c r="L214" s="286"/>
      <c r="M214" s="529"/>
      <c r="N214" s="529"/>
      <c r="O214" s="529"/>
      <c r="P214" s="529"/>
      <c r="Q214" s="286"/>
      <c r="R214" s="286"/>
      <c r="S214" s="286"/>
      <c r="T214" s="286"/>
      <c r="U214" s="286"/>
      <c r="V214" s="286"/>
      <c r="W214" s="286"/>
      <c r="X214" s="286"/>
      <c r="Y214" s="286"/>
      <c r="Z214" s="286"/>
      <c r="AA214" s="286"/>
      <c r="AB214" s="286"/>
    </row>
    <row r="215">
      <c r="A215" s="286"/>
      <c r="B215" s="286"/>
      <c r="C215" s="529"/>
      <c r="D215" s="306"/>
      <c r="E215" s="306"/>
      <c r="F215" s="306"/>
      <c r="G215" s="528"/>
      <c r="H215" s="286"/>
      <c r="I215" s="286"/>
      <c r="J215" s="529"/>
      <c r="K215" s="286"/>
      <c r="L215" s="286"/>
      <c r="M215" s="529"/>
      <c r="N215" s="529"/>
      <c r="O215" s="529"/>
      <c r="P215" s="529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  <c r="AA215" s="286"/>
      <c r="AB215" s="286"/>
    </row>
    <row r="216">
      <c r="A216" s="286"/>
      <c r="B216" s="286"/>
      <c r="C216" s="529"/>
      <c r="D216" s="306"/>
      <c r="E216" s="306"/>
      <c r="F216" s="306"/>
      <c r="G216" s="528"/>
      <c r="H216" s="286"/>
      <c r="I216" s="286"/>
      <c r="J216" s="529"/>
      <c r="K216" s="286"/>
      <c r="L216" s="286"/>
      <c r="M216" s="529"/>
      <c r="N216" s="529"/>
      <c r="O216" s="529"/>
      <c r="P216" s="529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  <c r="AA216" s="286"/>
      <c r="AB216" s="286"/>
    </row>
    <row r="217">
      <c r="A217" s="286"/>
      <c r="B217" s="286"/>
      <c r="C217" s="529"/>
      <c r="D217" s="306"/>
      <c r="E217" s="306"/>
      <c r="F217" s="306"/>
      <c r="G217" s="528"/>
      <c r="H217" s="286"/>
      <c r="I217" s="286"/>
      <c r="J217" s="529"/>
      <c r="K217" s="286"/>
      <c r="L217" s="286"/>
      <c r="M217" s="529"/>
      <c r="N217" s="529"/>
      <c r="O217" s="529"/>
      <c r="P217" s="529"/>
      <c r="Q217" s="286"/>
      <c r="R217" s="286"/>
      <c r="S217" s="286"/>
      <c r="T217" s="286"/>
      <c r="U217" s="286"/>
      <c r="V217" s="286"/>
      <c r="W217" s="286"/>
      <c r="X217" s="286"/>
      <c r="Y217" s="286"/>
      <c r="Z217" s="286"/>
      <c r="AA217" s="286"/>
      <c r="AB217" s="286"/>
    </row>
    <row r="218">
      <c r="A218" s="286"/>
      <c r="B218" s="286"/>
      <c r="C218" s="529"/>
      <c r="D218" s="306"/>
      <c r="E218" s="306"/>
      <c r="F218" s="306"/>
      <c r="G218" s="528"/>
      <c r="H218" s="286"/>
      <c r="I218" s="286"/>
      <c r="J218" s="529"/>
      <c r="K218" s="286"/>
      <c r="L218" s="286"/>
      <c r="M218" s="529"/>
      <c r="N218" s="529"/>
      <c r="O218" s="529"/>
      <c r="P218" s="529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  <c r="AA218" s="286"/>
      <c r="AB218" s="286"/>
    </row>
    <row r="219">
      <c r="A219" s="286"/>
      <c r="B219" s="286"/>
      <c r="C219" s="529"/>
      <c r="D219" s="306"/>
      <c r="E219" s="306"/>
      <c r="F219" s="306"/>
      <c r="G219" s="528"/>
      <c r="H219" s="286"/>
      <c r="I219" s="286"/>
      <c r="J219" s="529"/>
      <c r="K219" s="286"/>
      <c r="L219" s="286"/>
      <c r="M219" s="529"/>
      <c r="N219" s="529"/>
      <c r="O219" s="529"/>
      <c r="P219" s="529"/>
      <c r="Q219" s="286"/>
      <c r="R219" s="286"/>
      <c r="S219" s="286"/>
      <c r="T219" s="286"/>
      <c r="U219" s="286"/>
      <c r="V219" s="286"/>
      <c r="W219" s="286"/>
      <c r="X219" s="286"/>
      <c r="Y219" s="286"/>
      <c r="Z219" s="286"/>
      <c r="AA219" s="286"/>
      <c r="AB219" s="286"/>
    </row>
    <row r="220">
      <c r="A220" s="286"/>
      <c r="B220" s="286"/>
      <c r="C220" s="529"/>
      <c r="D220" s="306"/>
      <c r="E220" s="306"/>
      <c r="F220" s="306"/>
      <c r="G220" s="528"/>
      <c r="H220" s="286"/>
      <c r="I220" s="286"/>
      <c r="J220" s="529"/>
      <c r="K220" s="286"/>
      <c r="L220" s="286"/>
      <c r="M220" s="529"/>
      <c r="N220" s="529"/>
      <c r="O220" s="529"/>
      <c r="P220" s="529"/>
      <c r="Q220" s="286"/>
      <c r="R220" s="286"/>
      <c r="S220" s="286"/>
      <c r="T220" s="286"/>
      <c r="U220" s="286"/>
      <c r="V220" s="286"/>
      <c r="W220" s="286"/>
      <c r="X220" s="286"/>
      <c r="Y220" s="286"/>
      <c r="Z220" s="286"/>
      <c r="AA220" s="286"/>
      <c r="AB220" s="286"/>
    </row>
    <row r="221">
      <c r="A221" s="286"/>
      <c r="B221" s="286"/>
      <c r="C221" s="529"/>
      <c r="D221" s="306"/>
      <c r="E221" s="306"/>
      <c r="F221" s="306"/>
      <c r="G221" s="528"/>
      <c r="H221" s="286"/>
      <c r="I221" s="286"/>
      <c r="J221" s="529"/>
      <c r="K221" s="286"/>
      <c r="L221" s="286"/>
      <c r="M221" s="529"/>
      <c r="N221" s="529"/>
      <c r="O221" s="529"/>
      <c r="P221" s="529"/>
      <c r="Q221" s="286"/>
      <c r="R221" s="286"/>
      <c r="S221" s="286"/>
      <c r="T221" s="286"/>
      <c r="U221" s="286"/>
      <c r="V221" s="286"/>
      <c r="W221" s="286"/>
      <c r="X221" s="286"/>
      <c r="Y221" s="286"/>
      <c r="Z221" s="286"/>
      <c r="AA221" s="286"/>
      <c r="AB221" s="286"/>
    </row>
    <row r="222">
      <c r="A222" s="286"/>
      <c r="B222" s="286"/>
      <c r="C222" s="529"/>
      <c r="D222" s="306"/>
      <c r="E222" s="306"/>
      <c r="F222" s="306"/>
      <c r="G222" s="528"/>
      <c r="H222" s="286"/>
      <c r="I222" s="286"/>
      <c r="J222" s="529"/>
      <c r="K222" s="286"/>
      <c r="L222" s="286"/>
      <c r="M222" s="529"/>
      <c r="N222" s="529"/>
      <c r="O222" s="529"/>
      <c r="P222" s="529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  <c r="AA222" s="286"/>
      <c r="AB222" s="286"/>
    </row>
    <row r="223">
      <c r="A223" s="286"/>
      <c r="B223" s="286"/>
      <c r="C223" s="529"/>
      <c r="D223" s="306"/>
      <c r="E223" s="306"/>
      <c r="F223" s="306"/>
      <c r="G223" s="528"/>
      <c r="H223" s="286"/>
      <c r="I223" s="286"/>
      <c r="J223" s="529"/>
      <c r="K223" s="286"/>
      <c r="L223" s="286"/>
      <c r="M223" s="529"/>
      <c r="N223" s="529"/>
      <c r="O223" s="529"/>
      <c r="P223" s="529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  <c r="AA223" s="286"/>
      <c r="AB223" s="286"/>
    </row>
    <row r="224">
      <c r="A224" s="286"/>
      <c r="B224" s="286"/>
      <c r="C224" s="529"/>
      <c r="D224" s="306"/>
      <c r="E224" s="306"/>
      <c r="F224" s="306"/>
      <c r="G224" s="528"/>
      <c r="H224" s="286"/>
      <c r="I224" s="286"/>
      <c r="J224" s="529"/>
      <c r="K224" s="286"/>
      <c r="L224" s="286"/>
      <c r="M224" s="529"/>
      <c r="N224" s="529"/>
      <c r="O224" s="529"/>
      <c r="P224" s="529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  <c r="AA224" s="286"/>
      <c r="AB224" s="286"/>
    </row>
    <row r="225">
      <c r="A225" s="286"/>
      <c r="B225" s="286"/>
      <c r="C225" s="529"/>
      <c r="D225" s="306"/>
      <c r="E225" s="306"/>
      <c r="F225" s="306"/>
      <c r="G225" s="528"/>
      <c r="H225" s="286"/>
      <c r="I225" s="286"/>
      <c r="J225" s="529"/>
      <c r="K225" s="286"/>
      <c r="L225" s="286"/>
      <c r="M225" s="529"/>
      <c r="N225" s="529"/>
      <c r="O225" s="529"/>
      <c r="P225" s="529"/>
      <c r="Q225" s="286"/>
      <c r="R225" s="286"/>
      <c r="S225" s="286"/>
      <c r="T225" s="286"/>
      <c r="U225" s="286"/>
      <c r="V225" s="286"/>
      <c r="W225" s="286"/>
      <c r="X225" s="286"/>
      <c r="Y225" s="286"/>
      <c r="Z225" s="286"/>
      <c r="AA225" s="286"/>
      <c r="AB225" s="286"/>
    </row>
    <row r="226">
      <c r="A226" s="286"/>
      <c r="B226" s="286"/>
      <c r="C226" s="529"/>
      <c r="D226" s="306"/>
      <c r="E226" s="306"/>
      <c r="F226" s="306"/>
      <c r="G226" s="528"/>
      <c r="H226" s="286"/>
      <c r="I226" s="286"/>
      <c r="J226" s="529"/>
      <c r="K226" s="286"/>
      <c r="L226" s="286"/>
      <c r="M226" s="529"/>
      <c r="N226" s="529"/>
      <c r="O226" s="529"/>
      <c r="P226" s="529"/>
      <c r="Q226" s="286"/>
      <c r="R226" s="286"/>
      <c r="S226" s="286"/>
      <c r="T226" s="286"/>
      <c r="U226" s="286"/>
      <c r="V226" s="286"/>
      <c r="W226" s="286"/>
      <c r="X226" s="286"/>
      <c r="Y226" s="286"/>
      <c r="Z226" s="286"/>
      <c r="AA226" s="286"/>
      <c r="AB226" s="286"/>
    </row>
    <row r="227">
      <c r="A227" s="286"/>
      <c r="B227" s="286"/>
      <c r="C227" s="529"/>
      <c r="D227" s="306"/>
      <c r="E227" s="306"/>
      <c r="F227" s="306"/>
      <c r="G227" s="528"/>
      <c r="H227" s="286"/>
      <c r="I227" s="286"/>
      <c r="J227" s="529"/>
      <c r="K227" s="286"/>
      <c r="L227" s="286"/>
      <c r="M227" s="529"/>
      <c r="N227" s="529"/>
      <c r="O227" s="529"/>
      <c r="P227" s="529"/>
      <c r="Q227" s="286"/>
      <c r="R227" s="286"/>
      <c r="S227" s="286"/>
      <c r="T227" s="286"/>
      <c r="U227" s="286"/>
      <c r="V227" s="286"/>
      <c r="W227" s="286"/>
      <c r="X227" s="286"/>
      <c r="Y227" s="286"/>
      <c r="Z227" s="286"/>
      <c r="AA227" s="286"/>
      <c r="AB227" s="286"/>
    </row>
    <row r="228">
      <c r="A228" s="286"/>
      <c r="B228" s="286"/>
      <c r="C228" s="529"/>
      <c r="D228" s="306"/>
      <c r="E228" s="306"/>
      <c r="F228" s="306"/>
      <c r="G228" s="528"/>
      <c r="H228" s="286"/>
      <c r="I228" s="286"/>
      <c r="J228" s="529"/>
      <c r="K228" s="286"/>
      <c r="L228" s="286"/>
      <c r="M228" s="529"/>
      <c r="N228" s="529"/>
      <c r="O228" s="529"/>
      <c r="P228" s="529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  <c r="AA228" s="286"/>
      <c r="AB228" s="286"/>
    </row>
    <row r="229">
      <c r="A229" s="286"/>
      <c r="B229" s="286"/>
      <c r="C229" s="529"/>
      <c r="D229" s="306"/>
      <c r="E229" s="306"/>
      <c r="F229" s="306"/>
      <c r="G229" s="528"/>
      <c r="H229" s="286"/>
      <c r="I229" s="286"/>
      <c r="J229" s="529"/>
      <c r="K229" s="286"/>
      <c r="L229" s="286"/>
      <c r="M229" s="529"/>
      <c r="N229" s="529"/>
      <c r="O229" s="529"/>
      <c r="P229" s="529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  <c r="AA229" s="286"/>
      <c r="AB229" s="286"/>
    </row>
    <row r="230">
      <c r="A230" s="286"/>
      <c r="B230" s="286"/>
      <c r="C230" s="529"/>
      <c r="D230" s="306"/>
      <c r="E230" s="306"/>
      <c r="F230" s="306"/>
      <c r="G230" s="528"/>
      <c r="H230" s="286"/>
      <c r="I230" s="286"/>
      <c r="J230" s="529"/>
      <c r="K230" s="286"/>
      <c r="L230" s="286"/>
      <c r="M230" s="529"/>
      <c r="N230" s="529"/>
      <c r="O230" s="529"/>
      <c r="P230" s="529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  <c r="AA230" s="286"/>
      <c r="AB230" s="286"/>
    </row>
    <row r="231">
      <c r="A231" s="286"/>
      <c r="B231" s="286"/>
      <c r="C231" s="529"/>
      <c r="D231" s="306"/>
      <c r="E231" s="306"/>
      <c r="F231" s="306"/>
      <c r="G231" s="528"/>
      <c r="H231" s="286"/>
      <c r="I231" s="286"/>
      <c r="J231" s="529"/>
      <c r="K231" s="286"/>
      <c r="L231" s="286"/>
      <c r="M231" s="529"/>
      <c r="N231" s="529"/>
      <c r="O231" s="529"/>
      <c r="P231" s="529"/>
      <c r="Q231" s="286"/>
      <c r="R231" s="286"/>
      <c r="S231" s="286"/>
      <c r="T231" s="286"/>
      <c r="U231" s="286"/>
      <c r="V231" s="286"/>
      <c r="W231" s="286"/>
      <c r="X231" s="286"/>
      <c r="Y231" s="286"/>
      <c r="Z231" s="286"/>
      <c r="AA231" s="286"/>
      <c r="AB231" s="286"/>
    </row>
    <row r="232">
      <c r="A232" s="286"/>
      <c r="B232" s="286"/>
      <c r="C232" s="529"/>
      <c r="D232" s="306"/>
      <c r="E232" s="306"/>
      <c r="F232" s="306"/>
      <c r="G232" s="528"/>
      <c r="H232" s="286"/>
      <c r="I232" s="286"/>
      <c r="J232" s="529"/>
      <c r="K232" s="286"/>
      <c r="L232" s="286"/>
      <c r="M232" s="529"/>
      <c r="N232" s="529"/>
      <c r="O232" s="529"/>
      <c r="P232" s="529"/>
      <c r="Q232" s="286"/>
      <c r="R232" s="286"/>
      <c r="S232" s="286"/>
      <c r="T232" s="286"/>
      <c r="U232" s="286"/>
      <c r="V232" s="286"/>
      <c r="W232" s="286"/>
      <c r="X232" s="286"/>
      <c r="Y232" s="286"/>
      <c r="Z232" s="286"/>
      <c r="AA232" s="286"/>
      <c r="AB232" s="286"/>
    </row>
    <row r="233">
      <c r="A233" s="286"/>
      <c r="B233" s="286"/>
      <c r="C233" s="529"/>
      <c r="D233" s="306"/>
      <c r="E233" s="306"/>
      <c r="F233" s="306"/>
      <c r="G233" s="528"/>
      <c r="H233" s="286"/>
      <c r="I233" s="286"/>
      <c r="J233" s="529"/>
      <c r="K233" s="286"/>
      <c r="L233" s="286"/>
      <c r="M233" s="529"/>
      <c r="N233" s="529"/>
      <c r="O233" s="529"/>
      <c r="P233" s="529"/>
      <c r="Q233" s="286"/>
      <c r="R233" s="286"/>
      <c r="S233" s="286"/>
      <c r="T233" s="286"/>
      <c r="U233" s="286"/>
      <c r="V233" s="286"/>
      <c r="W233" s="286"/>
      <c r="X233" s="286"/>
      <c r="Y233" s="286"/>
      <c r="Z233" s="286"/>
      <c r="AA233" s="286"/>
      <c r="AB233" s="286"/>
    </row>
    <row r="234">
      <c r="A234" s="286"/>
      <c r="B234" s="286"/>
      <c r="C234" s="529"/>
      <c r="D234" s="306"/>
      <c r="E234" s="306"/>
      <c r="F234" s="306"/>
      <c r="G234" s="528"/>
      <c r="H234" s="286"/>
      <c r="I234" s="286"/>
      <c r="J234" s="529"/>
      <c r="K234" s="286"/>
      <c r="L234" s="286"/>
      <c r="M234" s="529"/>
      <c r="N234" s="529"/>
      <c r="O234" s="529"/>
      <c r="P234" s="529"/>
      <c r="Q234" s="286"/>
      <c r="R234" s="286"/>
      <c r="S234" s="286"/>
      <c r="T234" s="286"/>
      <c r="U234" s="286"/>
      <c r="V234" s="286"/>
      <c r="W234" s="286"/>
      <c r="X234" s="286"/>
      <c r="Y234" s="286"/>
      <c r="Z234" s="286"/>
      <c r="AA234" s="286"/>
      <c r="AB234" s="286"/>
    </row>
    <row r="235">
      <c r="A235" s="286"/>
      <c r="B235" s="286"/>
      <c r="C235" s="529"/>
      <c r="D235" s="306"/>
      <c r="E235" s="306"/>
      <c r="F235" s="306"/>
      <c r="G235" s="528"/>
      <c r="H235" s="286"/>
      <c r="I235" s="286"/>
      <c r="J235" s="529"/>
      <c r="K235" s="286"/>
      <c r="L235" s="286"/>
      <c r="M235" s="529"/>
      <c r="N235" s="529"/>
      <c r="O235" s="529"/>
      <c r="P235" s="529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  <c r="AA235" s="286"/>
      <c r="AB235" s="286"/>
    </row>
    <row r="236">
      <c r="A236" s="286"/>
      <c r="B236" s="286"/>
      <c r="C236" s="529"/>
      <c r="D236" s="306"/>
      <c r="E236" s="306"/>
      <c r="F236" s="306"/>
      <c r="G236" s="528"/>
      <c r="H236" s="286"/>
      <c r="I236" s="286"/>
      <c r="J236" s="529"/>
      <c r="K236" s="286"/>
      <c r="L236" s="286"/>
      <c r="M236" s="529"/>
      <c r="N236" s="529"/>
      <c r="O236" s="529"/>
      <c r="P236" s="529"/>
      <c r="Q236" s="286"/>
      <c r="R236" s="286"/>
      <c r="S236" s="286"/>
      <c r="T236" s="286"/>
      <c r="U236" s="286"/>
      <c r="V236" s="286"/>
      <c r="W236" s="286"/>
      <c r="X236" s="286"/>
      <c r="Y236" s="286"/>
      <c r="Z236" s="286"/>
      <c r="AA236" s="286"/>
      <c r="AB236" s="286"/>
    </row>
    <row r="237">
      <c r="A237" s="286"/>
      <c r="B237" s="286"/>
      <c r="C237" s="529"/>
      <c r="D237" s="306"/>
      <c r="E237" s="306"/>
      <c r="F237" s="306"/>
      <c r="G237" s="528"/>
      <c r="H237" s="286"/>
      <c r="I237" s="286"/>
      <c r="J237" s="529"/>
      <c r="K237" s="286"/>
      <c r="L237" s="286"/>
      <c r="M237" s="529"/>
      <c r="N237" s="529"/>
      <c r="O237" s="529"/>
      <c r="P237" s="529"/>
      <c r="Q237" s="286"/>
      <c r="R237" s="286"/>
      <c r="S237" s="286"/>
      <c r="T237" s="286"/>
      <c r="U237" s="286"/>
      <c r="V237" s="286"/>
      <c r="W237" s="286"/>
      <c r="X237" s="286"/>
      <c r="Y237" s="286"/>
      <c r="Z237" s="286"/>
      <c r="AA237" s="286"/>
      <c r="AB237" s="286"/>
    </row>
    <row r="238">
      <c r="A238" s="286"/>
      <c r="B238" s="286"/>
      <c r="C238" s="529"/>
      <c r="D238" s="306"/>
      <c r="E238" s="306"/>
      <c r="F238" s="306"/>
      <c r="G238" s="528"/>
      <c r="H238" s="286"/>
      <c r="I238" s="286"/>
      <c r="J238" s="529"/>
      <c r="K238" s="286"/>
      <c r="L238" s="286"/>
      <c r="M238" s="529"/>
      <c r="N238" s="529"/>
      <c r="O238" s="529"/>
      <c r="P238" s="529"/>
      <c r="Q238" s="286"/>
      <c r="R238" s="286"/>
      <c r="S238" s="286"/>
      <c r="T238" s="286"/>
      <c r="U238" s="286"/>
      <c r="V238" s="286"/>
      <c r="W238" s="286"/>
      <c r="X238" s="286"/>
      <c r="Y238" s="286"/>
      <c r="Z238" s="286"/>
      <c r="AA238" s="286"/>
      <c r="AB238" s="286"/>
    </row>
    <row r="239">
      <c r="A239" s="286"/>
      <c r="B239" s="286"/>
      <c r="C239" s="529"/>
      <c r="D239" s="306"/>
      <c r="E239" s="306"/>
      <c r="F239" s="306"/>
      <c r="G239" s="528"/>
      <c r="H239" s="286"/>
      <c r="I239" s="286"/>
      <c r="J239" s="529"/>
      <c r="K239" s="286"/>
      <c r="L239" s="286"/>
      <c r="M239" s="529"/>
      <c r="N239" s="529"/>
      <c r="O239" s="529"/>
      <c r="P239" s="529"/>
      <c r="Q239" s="286"/>
      <c r="R239" s="286"/>
      <c r="S239" s="286"/>
      <c r="T239" s="286"/>
      <c r="U239" s="286"/>
      <c r="V239" s="286"/>
      <c r="W239" s="286"/>
      <c r="X239" s="286"/>
      <c r="Y239" s="286"/>
      <c r="Z239" s="286"/>
      <c r="AA239" s="286"/>
      <c r="AB239" s="286"/>
    </row>
    <row r="240">
      <c r="A240" s="286"/>
      <c r="B240" s="286"/>
      <c r="C240" s="529"/>
      <c r="D240" s="306"/>
      <c r="E240" s="306"/>
      <c r="F240" s="306"/>
      <c r="G240" s="528"/>
      <c r="H240" s="286"/>
      <c r="I240" s="286"/>
      <c r="J240" s="529"/>
      <c r="K240" s="286"/>
      <c r="L240" s="286"/>
      <c r="M240" s="529"/>
      <c r="N240" s="529"/>
      <c r="O240" s="529"/>
      <c r="P240" s="529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  <c r="AA240" s="286"/>
      <c r="AB240" s="286"/>
    </row>
    <row r="241">
      <c r="A241" s="286"/>
      <c r="B241" s="286"/>
      <c r="C241" s="529"/>
      <c r="D241" s="306"/>
      <c r="E241" s="306"/>
      <c r="F241" s="306"/>
      <c r="G241" s="528"/>
      <c r="H241" s="286"/>
      <c r="I241" s="286"/>
      <c r="J241" s="529"/>
      <c r="K241" s="286"/>
      <c r="L241" s="286"/>
      <c r="M241" s="529"/>
      <c r="N241" s="529"/>
      <c r="O241" s="529"/>
      <c r="P241" s="529"/>
      <c r="Q241" s="286"/>
      <c r="R241" s="286"/>
      <c r="S241" s="286"/>
      <c r="T241" s="286"/>
      <c r="U241" s="286"/>
      <c r="V241" s="286"/>
      <c r="W241" s="286"/>
      <c r="X241" s="286"/>
      <c r="Y241" s="286"/>
      <c r="Z241" s="286"/>
      <c r="AA241" s="286"/>
      <c r="AB241" s="286"/>
    </row>
    <row r="242">
      <c r="A242" s="286"/>
      <c r="B242" s="286"/>
      <c r="C242" s="529"/>
      <c r="D242" s="306"/>
      <c r="E242" s="306"/>
      <c r="F242" s="306"/>
      <c r="G242" s="528"/>
      <c r="H242" s="286"/>
      <c r="I242" s="286"/>
      <c r="J242" s="529"/>
      <c r="K242" s="286"/>
      <c r="L242" s="286"/>
      <c r="M242" s="529"/>
      <c r="N242" s="529"/>
      <c r="O242" s="529"/>
      <c r="P242" s="529"/>
      <c r="Q242" s="286"/>
      <c r="R242" s="286"/>
      <c r="S242" s="286"/>
      <c r="T242" s="286"/>
      <c r="U242" s="286"/>
      <c r="V242" s="286"/>
      <c r="W242" s="286"/>
      <c r="X242" s="286"/>
      <c r="Y242" s="286"/>
      <c r="Z242" s="286"/>
      <c r="AA242" s="286"/>
      <c r="AB242" s="286"/>
    </row>
    <row r="243">
      <c r="A243" s="286"/>
      <c r="B243" s="286"/>
      <c r="C243" s="529"/>
      <c r="D243" s="306"/>
      <c r="E243" s="306"/>
      <c r="F243" s="306"/>
      <c r="G243" s="528"/>
      <c r="H243" s="286"/>
      <c r="I243" s="286"/>
      <c r="J243" s="529"/>
      <c r="K243" s="286"/>
      <c r="L243" s="286"/>
      <c r="M243" s="529"/>
      <c r="N243" s="529"/>
      <c r="O243" s="529"/>
      <c r="P243" s="529"/>
      <c r="Q243" s="286"/>
      <c r="R243" s="286"/>
      <c r="S243" s="286"/>
      <c r="T243" s="286"/>
      <c r="U243" s="286"/>
      <c r="V243" s="286"/>
      <c r="W243" s="286"/>
      <c r="X243" s="286"/>
      <c r="Y243" s="286"/>
      <c r="Z243" s="286"/>
      <c r="AA243" s="286"/>
      <c r="AB243" s="286"/>
    </row>
    <row r="244">
      <c r="A244" s="286"/>
      <c r="B244" s="286"/>
      <c r="C244" s="529"/>
      <c r="D244" s="306"/>
      <c r="E244" s="306"/>
      <c r="F244" s="306"/>
      <c r="G244" s="528"/>
      <c r="H244" s="286"/>
      <c r="I244" s="286"/>
      <c r="J244" s="529"/>
      <c r="K244" s="286"/>
      <c r="L244" s="286"/>
      <c r="M244" s="529"/>
      <c r="N244" s="529"/>
      <c r="O244" s="529"/>
      <c r="P244" s="529"/>
      <c r="Q244" s="286"/>
      <c r="R244" s="286"/>
      <c r="S244" s="286"/>
      <c r="T244" s="286"/>
      <c r="U244" s="286"/>
      <c r="V244" s="286"/>
      <c r="W244" s="286"/>
      <c r="X244" s="286"/>
      <c r="Y244" s="286"/>
      <c r="Z244" s="286"/>
      <c r="AA244" s="286"/>
      <c r="AB244" s="286"/>
    </row>
    <row r="245">
      <c r="A245" s="286"/>
      <c r="B245" s="286"/>
      <c r="C245" s="529"/>
      <c r="D245" s="306"/>
      <c r="E245" s="306"/>
      <c r="F245" s="306"/>
      <c r="G245" s="528"/>
      <c r="H245" s="286"/>
      <c r="I245" s="286"/>
      <c r="J245" s="529"/>
      <c r="K245" s="286"/>
      <c r="L245" s="286"/>
      <c r="M245" s="529"/>
      <c r="N245" s="529"/>
      <c r="O245" s="529"/>
      <c r="P245" s="529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  <c r="AA245" s="286"/>
      <c r="AB245" s="286"/>
    </row>
    <row r="246">
      <c r="A246" s="286"/>
      <c r="B246" s="286"/>
      <c r="C246" s="529"/>
      <c r="D246" s="306"/>
      <c r="E246" s="306"/>
      <c r="F246" s="306"/>
      <c r="G246" s="528"/>
      <c r="H246" s="286"/>
      <c r="I246" s="286"/>
      <c r="J246" s="529"/>
      <c r="K246" s="286"/>
      <c r="L246" s="286"/>
      <c r="M246" s="529"/>
      <c r="N246" s="529"/>
      <c r="O246" s="529"/>
      <c r="P246" s="529"/>
      <c r="Q246" s="286"/>
      <c r="R246" s="286"/>
      <c r="S246" s="286"/>
      <c r="T246" s="286"/>
      <c r="U246" s="286"/>
      <c r="V246" s="286"/>
      <c r="W246" s="286"/>
      <c r="X246" s="286"/>
      <c r="Y246" s="286"/>
      <c r="Z246" s="286"/>
      <c r="AA246" s="286"/>
      <c r="AB246" s="286"/>
    </row>
    <row r="247">
      <c r="A247" s="286"/>
      <c r="B247" s="286"/>
      <c r="C247" s="529"/>
      <c r="D247" s="306"/>
      <c r="E247" s="306"/>
      <c r="F247" s="306"/>
      <c r="G247" s="528"/>
      <c r="H247" s="286"/>
      <c r="I247" s="286"/>
      <c r="J247" s="529"/>
      <c r="K247" s="286"/>
      <c r="L247" s="286"/>
      <c r="M247" s="529"/>
      <c r="N247" s="529"/>
      <c r="O247" s="529"/>
      <c r="P247" s="529"/>
      <c r="Q247" s="286"/>
      <c r="R247" s="286"/>
      <c r="S247" s="286"/>
      <c r="T247" s="286"/>
      <c r="U247" s="286"/>
      <c r="V247" s="286"/>
      <c r="W247" s="286"/>
      <c r="X247" s="286"/>
      <c r="Y247" s="286"/>
      <c r="Z247" s="286"/>
      <c r="AA247" s="286"/>
      <c r="AB247" s="286"/>
    </row>
    <row r="248">
      <c r="A248" s="286"/>
      <c r="B248" s="286"/>
      <c r="C248" s="529"/>
      <c r="D248" s="306"/>
      <c r="E248" s="306"/>
      <c r="F248" s="306"/>
      <c r="G248" s="528"/>
      <c r="H248" s="286"/>
      <c r="I248" s="286"/>
      <c r="J248" s="529"/>
      <c r="K248" s="286"/>
      <c r="L248" s="286"/>
      <c r="M248" s="529"/>
      <c r="N248" s="529"/>
      <c r="O248" s="529"/>
      <c r="P248" s="529"/>
      <c r="Q248" s="286"/>
      <c r="R248" s="286"/>
      <c r="S248" s="286"/>
      <c r="T248" s="286"/>
      <c r="U248" s="286"/>
      <c r="V248" s="286"/>
      <c r="W248" s="286"/>
      <c r="X248" s="286"/>
      <c r="Y248" s="286"/>
      <c r="Z248" s="286"/>
      <c r="AA248" s="286"/>
      <c r="AB248" s="286"/>
    </row>
    <row r="249">
      <c r="A249" s="286"/>
      <c r="B249" s="286"/>
      <c r="C249" s="529"/>
      <c r="D249" s="306"/>
      <c r="E249" s="306"/>
      <c r="F249" s="306"/>
      <c r="G249" s="528"/>
      <c r="H249" s="286"/>
      <c r="I249" s="286"/>
      <c r="J249" s="529"/>
      <c r="K249" s="286"/>
      <c r="L249" s="286"/>
      <c r="M249" s="529"/>
      <c r="N249" s="529"/>
      <c r="O249" s="529"/>
      <c r="P249" s="529"/>
      <c r="Q249" s="286"/>
      <c r="R249" s="286"/>
      <c r="S249" s="286"/>
      <c r="T249" s="286"/>
      <c r="U249" s="286"/>
      <c r="V249" s="286"/>
      <c r="W249" s="286"/>
      <c r="X249" s="286"/>
      <c r="Y249" s="286"/>
      <c r="Z249" s="286"/>
      <c r="AA249" s="286"/>
      <c r="AB249" s="286"/>
    </row>
    <row r="250">
      <c r="A250" s="286"/>
      <c r="B250" s="286"/>
      <c r="C250" s="529"/>
      <c r="D250" s="306"/>
      <c r="E250" s="306"/>
      <c r="F250" s="306"/>
      <c r="G250" s="528"/>
      <c r="H250" s="286"/>
      <c r="I250" s="286"/>
      <c r="J250" s="529"/>
      <c r="K250" s="286"/>
      <c r="L250" s="286"/>
      <c r="M250" s="529"/>
      <c r="N250" s="529"/>
      <c r="O250" s="529"/>
      <c r="P250" s="529"/>
      <c r="Q250" s="286"/>
      <c r="R250" s="286"/>
      <c r="S250" s="286"/>
      <c r="T250" s="286"/>
      <c r="U250" s="286"/>
      <c r="V250" s="286"/>
      <c r="W250" s="286"/>
      <c r="X250" s="286"/>
      <c r="Y250" s="286"/>
      <c r="Z250" s="286"/>
      <c r="AA250" s="286"/>
      <c r="AB250" s="286"/>
    </row>
    <row r="251">
      <c r="A251" s="286"/>
      <c r="B251" s="286"/>
      <c r="C251" s="529"/>
      <c r="D251" s="306"/>
      <c r="E251" s="306"/>
      <c r="F251" s="306"/>
      <c r="G251" s="528"/>
      <c r="H251" s="286"/>
      <c r="I251" s="286"/>
      <c r="J251" s="529"/>
      <c r="K251" s="286"/>
      <c r="L251" s="286"/>
      <c r="M251" s="529"/>
      <c r="N251" s="529"/>
      <c r="O251" s="529"/>
      <c r="P251" s="529"/>
      <c r="Q251" s="286"/>
      <c r="R251" s="286"/>
      <c r="S251" s="286"/>
      <c r="T251" s="286"/>
      <c r="U251" s="286"/>
      <c r="V251" s="286"/>
      <c r="W251" s="286"/>
      <c r="X251" s="286"/>
      <c r="Y251" s="286"/>
      <c r="Z251" s="286"/>
      <c r="AA251" s="286"/>
      <c r="AB251" s="286"/>
    </row>
    <row r="252">
      <c r="A252" s="286"/>
      <c r="B252" s="286"/>
      <c r="C252" s="529"/>
      <c r="D252" s="306"/>
      <c r="E252" s="306"/>
      <c r="F252" s="306"/>
      <c r="G252" s="528"/>
      <c r="H252" s="286"/>
      <c r="I252" s="286"/>
      <c r="J252" s="529"/>
      <c r="K252" s="286"/>
      <c r="L252" s="286"/>
      <c r="M252" s="529"/>
      <c r="N252" s="529"/>
      <c r="O252" s="529"/>
      <c r="P252" s="529"/>
      <c r="Q252" s="286"/>
      <c r="R252" s="286"/>
      <c r="S252" s="286"/>
      <c r="T252" s="286"/>
      <c r="U252" s="286"/>
      <c r="V252" s="286"/>
      <c r="W252" s="286"/>
      <c r="X252" s="286"/>
      <c r="Y252" s="286"/>
      <c r="Z252" s="286"/>
      <c r="AA252" s="286"/>
      <c r="AB252" s="286"/>
    </row>
    <row r="253">
      <c r="A253" s="286"/>
      <c r="B253" s="286"/>
      <c r="C253" s="529"/>
      <c r="D253" s="306"/>
      <c r="E253" s="306"/>
      <c r="F253" s="306"/>
      <c r="G253" s="528"/>
      <c r="H253" s="286"/>
      <c r="I253" s="286"/>
      <c r="J253" s="529"/>
      <c r="K253" s="286"/>
      <c r="L253" s="286"/>
      <c r="M253" s="529"/>
      <c r="N253" s="529"/>
      <c r="O253" s="529"/>
      <c r="P253" s="529"/>
      <c r="Q253" s="286"/>
      <c r="R253" s="286"/>
      <c r="S253" s="286"/>
      <c r="T253" s="286"/>
      <c r="U253" s="286"/>
      <c r="V253" s="286"/>
      <c r="W253" s="286"/>
      <c r="X253" s="286"/>
      <c r="Y253" s="286"/>
      <c r="Z253" s="286"/>
      <c r="AA253" s="286"/>
      <c r="AB253" s="286"/>
    </row>
    <row r="254">
      <c r="A254" s="286"/>
      <c r="B254" s="286"/>
      <c r="C254" s="529"/>
      <c r="D254" s="306"/>
      <c r="E254" s="306"/>
      <c r="F254" s="306"/>
      <c r="G254" s="528"/>
      <c r="H254" s="286"/>
      <c r="I254" s="286"/>
      <c r="J254" s="529"/>
      <c r="K254" s="286"/>
      <c r="L254" s="286"/>
      <c r="M254" s="529"/>
      <c r="N254" s="529"/>
      <c r="O254" s="529"/>
      <c r="P254" s="529"/>
      <c r="Q254" s="286"/>
      <c r="R254" s="286"/>
      <c r="S254" s="286"/>
      <c r="T254" s="286"/>
      <c r="U254" s="286"/>
      <c r="V254" s="286"/>
      <c r="W254" s="286"/>
      <c r="X254" s="286"/>
      <c r="Y254" s="286"/>
      <c r="Z254" s="286"/>
      <c r="AA254" s="286"/>
      <c r="AB254" s="286"/>
    </row>
    <row r="255">
      <c r="A255" s="286"/>
      <c r="B255" s="286"/>
      <c r="C255" s="529"/>
      <c r="D255" s="306"/>
      <c r="E255" s="306"/>
      <c r="F255" s="306"/>
      <c r="G255" s="528"/>
      <c r="H255" s="286"/>
      <c r="I255" s="286"/>
      <c r="J255" s="529"/>
      <c r="K255" s="286"/>
      <c r="L255" s="286"/>
      <c r="M255" s="529"/>
      <c r="N255" s="529"/>
      <c r="O255" s="529"/>
      <c r="P255" s="529"/>
      <c r="Q255" s="286"/>
      <c r="R255" s="286"/>
      <c r="S255" s="286"/>
      <c r="T255" s="286"/>
      <c r="U255" s="286"/>
      <c r="V255" s="286"/>
      <c r="W255" s="286"/>
      <c r="X255" s="286"/>
      <c r="Y255" s="286"/>
      <c r="Z255" s="286"/>
      <c r="AA255" s="286"/>
      <c r="AB255" s="286"/>
    </row>
    <row r="256">
      <c r="A256" s="286"/>
      <c r="B256" s="286"/>
      <c r="C256" s="529"/>
      <c r="D256" s="306"/>
      <c r="E256" s="306"/>
      <c r="F256" s="306"/>
      <c r="G256" s="528"/>
      <c r="H256" s="286"/>
      <c r="I256" s="286"/>
      <c r="J256" s="529"/>
      <c r="K256" s="286"/>
      <c r="L256" s="286"/>
      <c r="M256" s="529"/>
      <c r="N256" s="529"/>
      <c r="O256" s="529"/>
      <c r="P256" s="529"/>
      <c r="Q256" s="286"/>
      <c r="R256" s="286"/>
      <c r="S256" s="286"/>
      <c r="T256" s="286"/>
      <c r="U256" s="286"/>
      <c r="V256" s="286"/>
      <c r="W256" s="286"/>
      <c r="X256" s="286"/>
      <c r="Y256" s="286"/>
      <c r="Z256" s="286"/>
      <c r="AA256" s="286"/>
      <c r="AB256" s="286"/>
    </row>
    <row r="257">
      <c r="A257" s="286"/>
      <c r="B257" s="286"/>
      <c r="C257" s="529"/>
      <c r="D257" s="306"/>
      <c r="E257" s="306"/>
      <c r="F257" s="306"/>
      <c r="G257" s="528"/>
      <c r="H257" s="286"/>
      <c r="I257" s="286"/>
      <c r="J257" s="529"/>
      <c r="K257" s="286"/>
      <c r="L257" s="286"/>
      <c r="M257" s="529"/>
      <c r="N257" s="529"/>
      <c r="O257" s="529"/>
      <c r="P257" s="529"/>
      <c r="Q257" s="286"/>
      <c r="R257" s="286"/>
      <c r="S257" s="286"/>
      <c r="T257" s="286"/>
      <c r="U257" s="286"/>
      <c r="V257" s="286"/>
      <c r="W257" s="286"/>
      <c r="X257" s="286"/>
      <c r="Y257" s="286"/>
      <c r="Z257" s="286"/>
      <c r="AA257" s="286"/>
      <c r="AB257" s="286"/>
    </row>
    <row r="258">
      <c r="A258" s="286"/>
      <c r="B258" s="286"/>
      <c r="C258" s="529"/>
      <c r="D258" s="306"/>
      <c r="E258" s="306"/>
      <c r="F258" s="306"/>
      <c r="G258" s="528"/>
      <c r="H258" s="286"/>
      <c r="I258" s="286"/>
      <c r="J258" s="529"/>
      <c r="K258" s="286"/>
      <c r="L258" s="286"/>
      <c r="M258" s="529"/>
      <c r="N258" s="529"/>
      <c r="O258" s="529"/>
      <c r="P258" s="529"/>
      <c r="Q258" s="286"/>
      <c r="R258" s="286"/>
      <c r="S258" s="286"/>
      <c r="T258" s="286"/>
      <c r="U258" s="286"/>
      <c r="V258" s="286"/>
      <c r="W258" s="286"/>
      <c r="X258" s="286"/>
      <c r="Y258" s="286"/>
      <c r="Z258" s="286"/>
      <c r="AA258" s="286"/>
      <c r="AB258" s="286"/>
    </row>
    <row r="259">
      <c r="A259" s="286"/>
      <c r="B259" s="286"/>
      <c r="C259" s="529"/>
      <c r="D259" s="306"/>
      <c r="E259" s="306"/>
      <c r="F259" s="306"/>
      <c r="G259" s="528"/>
      <c r="H259" s="286"/>
      <c r="I259" s="286"/>
      <c r="J259" s="529"/>
      <c r="K259" s="286"/>
      <c r="L259" s="286"/>
      <c r="M259" s="529"/>
      <c r="N259" s="529"/>
      <c r="O259" s="529"/>
      <c r="P259" s="529"/>
      <c r="Q259" s="286"/>
      <c r="R259" s="286"/>
      <c r="S259" s="286"/>
      <c r="T259" s="286"/>
      <c r="U259" s="286"/>
      <c r="V259" s="286"/>
      <c r="W259" s="286"/>
      <c r="X259" s="286"/>
      <c r="Y259" s="286"/>
      <c r="Z259" s="286"/>
      <c r="AA259" s="286"/>
      <c r="AB259" s="286"/>
    </row>
    <row r="260">
      <c r="A260" s="286"/>
      <c r="B260" s="286"/>
      <c r="C260" s="529"/>
      <c r="D260" s="306"/>
      <c r="E260" s="306"/>
      <c r="F260" s="306"/>
      <c r="G260" s="528"/>
      <c r="H260" s="286"/>
      <c r="I260" s="286"/>
      <c r="J260" s="529"/>
      <c r="K260" s="286"/>
      <c r="L260" s="286"/>
      <c r="M260" s="529"/>
      <c r="N260" s="529"/>
      <c r="O260" s="529"/>
      <c r="P260" s="529"/>
      <c r="Q260" s="286"/>
      <c r="R260" s="286"/>
      <c r="S260" s="286"/>
      <c r="T260" s="286"/>
      <c r="U260" s="286"/>
      <c r="V260" s="286"/>
      <c r="W260" s="286"/>
      <c r="X260" s="286"/>
      <c r="Y260" s="286"/>
      <c r="Z260" s="286"/>
      <c r="AA260" s="286"/>
      <c r="AB260" s="286"/>
    </row>
    <row r="261">
      <c r="A261" s="286"/>
      <c r="B261" s="286"/>
      <c r="C261" s="529"/>
      <c r="D261" s="306"/>
      <c r="E261" s="306"/>
      <c r="F261" s="306"/>
      <c r="G261" s="528"/>
      <c r="H261" s="286"/>
      <c r="I261" s="286"/>
      <c r="J261" s="529"/>
      <c r="K261" s="286"/>
      <c r="L261" s="286"/>
      <c r="M261" s="529"/>
      <c r="N261" s="529"/>
      <c r="O261" s="529"/>
      <c r="P261" s="529"/>
      <c r="Q261" s="286"/>
      <c r="R261" s="286"/>
      <c r="S261" s="286"/>
      <c r="T261" s="286"/>
      <c r="U261" s="286"/>
      <c r="V261" s="286"/>
      <c r="W261" s="286"/>
      <c r="X261" s="286"/>
      <c r="Y261" s="286"/>
      <c r="Z261" s="286"/>
      <c r="AA261" s="286"/>
      <c r="AB261" s="286"/>
    </row>
    <row r="262">
      <c r="A262" s="286"/>
      <c r="B262" s="286"/>
      <c r="C262" s="529"/>
      <c r="D262" s="306"/>
      <c r="E262" s="306"/>
      <c r="F262" s="306"/>
      <c r="G262" s="528"/>
      <c r="H262" s="286"/>
      <c r="I262" s="286"/>
      <c r="J262" s="529"/>
      <c r="K262" s="286"/>
      <c r="L262" s="286"/>
      <c r="M262" s="529"/>
      <c r="N262" s="529"/>
      <c r="O262" s="529"/>
      <c r="P262" s="529"/>
      <c r="Q262" s="286"/>
      <c r="R262" s="286"/>
      <c r="S262" s="286"/>
      <c r="T262" s="286"/>
      <c r="U262" s="286"/>
      <c r="V262" s="286"/>
      <c r="W262" s="286"/>
      <c r="X262" s="286"/>
      <c r="Y262" s="286"/>
      <c r="Z262" s="286"/>
      <c r="AA262" s="286"/>
      <c r="AB262" s="286"/>
    </row>
    <row r="263">
      <c r="A263" s="286"/>
      <c r="B263" s="286"/>
      <c r="C263" s="529"/>
      <c r="D263" s="306"/>
      <c r="E263" s="306"/>
      <c r="F263" s="306"/>
      <c r="G263" s="528"/>
      <c r="H263" s="286"/>
      <c r="I263" s="286"/>
      <c r="J263" s="529"/>
      <c r="K263" s="286"/>
      <c r="L263" s="286"/>
      <c r="M263" s="529"/>
      <c r="N263" s="529"/>
      <c r="O263" s="529"/>
      <c r="P263" s="529"/>
      <c r="Q263" s="286"/>
      <c r="R263" s="286"/>
      <c r="S263" s="286"/>
      <c r="T263" s="286"/>
      <c r="U263" s="286"/>
      <c r="V263" s="286"/>
      <c r="W263" s="286"/>
      <c r="X263" s="286"/>
      <c r="Y263" s="286"/>
      <c r="Z263" s="286"/>
      <c r="AA263" s="286"/>
      <c r="AB263" s="286"/>
    </row>
    <row r="264">
      <c r="A264" s="286"/>
      <c r="B264" s="286"/>
      <c r="C264" s="529"/>
      <c r="D264" s="306"/>
      <c r="E264" s="306"/>
      <c r="F264" s="306"/>
      <c r="G264" s="528"/>
      <c r="H264" s="286"/>
      <c r="I264" s="286"/>
      <c r="J264" s="529"/>
      <c r="K264" s="286"/>
      <c r="L264" s="286"/>
      <c r="M264" s="529"/>
      <c r="N264" s="529"/>
      <c r="O264" s="529"/>
      <c r="P264" s="529"/>
      <c r="Q264" s="286"/>
      <c r="R264" s="286"/>
      <c r="S264" s="286"/>
      <c r="T264" s="286"/>
      <c r="U264" s="286"/>
      <c r="V264" s="286"/>
      <c r="W264" s="286"/>
      <c r="X264" s="286"/>
      <c r="Y264" s="286"/>
      <c r="Z264" s="286"/>
      <c r="AA264" s="286"/>
      <c r="AB264" s="286"/>
    </row>
    <row r="265">
      <c r="A265" s="286"/>
      <c r="B265" s="286"/>
      <c r="C265" s="529"/>
      <c r="D265" s="306"/>
      <c r="E265" s="306"/>
      <c r="F265" s="306"/>
      <c r="G265" s="528"/>
      <c r="H265" s="286"/>
      <c r="I265" s="286"/>
      <c r="J265" s="529"/>
      <c r="K265" s="286"/>
      <c r="L265" s="286"/>
      <c r="M265" s="529"/>
      <c r="N265" s="529"/>
      <c r="O265" s="529"/>
      <c r="P265" s="529"/>
      <c r="Q265" s="286"/>
      <c r="R265" s="286"/>
      <c r="S265" s="286"/>
      <c r="T265" s="286"/>
      <c r="U265" s="286"/>
      <c r="V265" s="286"/>
      <c r="W265" s="286"/>
      <c r="X265" s="286"/>
      <c r="Y265" s="286"/>
      <c r="Z265" s="286"/>
      <c r="AA265" s="286"/>
      <c r="AB265" s="286"/>
    </row>
    <row r="266">
      <c r="A266" s="286"/>
      <c r="B266" s="286"/>
      <c r="C266" s="529"/>
      <c r="D266" s="306"/>
      <c r="E266" s="306"/>
      <c r="F266" s="306"/>
      <c r="G266" s="528"/>
      <c r="H266" s="286"/>
      <c r="I266" s="286"/>
      <c r="J266" s="529"/>
      <c r="K266" s="286"/>
      <c r="L266" s="286"/>
      <c r="M266" s="529"/>
      <c r="N266" s="529"/>
      <c r="O266" s="529"/>
      <c r="P266" s="529"/>
      <c r="Q266" s="286"/>
      <c r="R266" s="286"/>
      <c r="S266" s="286"/>
      <c r="T266" s="286"/>
      <c r="U266" s="286"/>
      <c r="V266" s="286"/>
      <c r="W266" s="286"/>
      <c r="X266" s="286"/>
      <c r="Y266" s="286"/>
      <c r="Z266" s="286"/>
      <c r="AA266" s="286"/>
      <c r="AB266" s="286"/>
    </row>
    <row r="267">
      <c r="A267" s="286"/>
      <c r="B267" s="286"/>
      <c r="C267" s="529"/>
      <c r="D267" s="306"/>
      <c r="E267" s="306"/>
      <c r="F267" s="306"/>
      <c r="G267" s="528"/>
      <c r="H267" s="286"/>
      <c r="I267" s="286"/>
      <c r="J267" s="529"/>
      <c r="K267" s="286"/>
      <c r="L267" s="286"/>
      <c r="M267" s="529"/>
      <c r="N267" s="529"/>
      <c r="O267" s="529"/>
      <c r="P267" s="529"/>
      <c r="Q267" s="286"/>
      <c r="R267" s="286"/>
      <c r="S267" s="286"/>
      <c r="T267" s="286"/>
      <c r="U267" s="286"/>
      <c r="V267" s="286"/>
      <c r="W267" s="286"/>
      <c r="X267" s="286"/>
      <c r="Y267" s="286"/>
      <c r="Z267" s="286"/>
      <c r="AA267" s="286"/>
      <c r="AB267" s="286"/>
    </row>
    <row r="268">
      <c r="A268" s="286"/>
      <c r="B268" s="286"/>
      <c r="C268" s="529"/>
      <c r="D268" s="306"/>
      <c r="E268" s="306"/>
      <c r="F268" s="306"/>
      <c r="G268" s="528"/>
      <c r="H268" s="286"/>
      <c r="I268" s="286"/>
      <c r="J268" s="529"/>
      <c r="K268" s="286"/>
      <c r="L268" s="286"/>
      <c r="M268" s="529"/>
      <c r="N268" s="529"/>
      <c r="O268" s="529"/>
      <c r="P268" s="529"/>
      <c r="Q268" s="286"/>
      <c r="R268" s="286"/>
      <c r="S268" s="286"/>
      <c r="T268" s="286"/>
      <c r="U268" s="286"/>
      <c r="V268" s="286"/>
      <c r="W268" s="286"/>
      <c r="X268" s="286"/>
      <c r="Y268" s="286"/>
      <c r="Z268" s="286"/>
      <c r="AA268" s="286"/>
      <c r="AB268" s="286"/>
    </row>
    <row r="269">
      <c r="A269" s="286"/>
      <c r="B269" s="286"/>
      <c r="C269" s="529"/>
      <c r="D269" s="306"/>
      <c r="E269" s="306"/>
      <c r="F269" s="306"/>
      <c r="G269" s="528"/>
      <c r="H269" s="286"/>
      <c r="I269" s="286"/>
      <c r="J269" s="529"/>
      <c r="K269" s="286"/>
      <c r="L269" s="286"/>
      <c r="M269" s="529"/>
      <c r="N269" s="529"/>
      <c r="O269" s="529"/>
      <c r="P269" s="529"/>
      <c r="Q269" s="286"/>
      <c r="R269" s="286"/>
      <c r="S269" s="286"/>
      <c r="T269" s="286"/>
      <c r="U269" s="286"/>
      <c r="V269" s="286"/>
      <c r="W269" s="286"/>
      <c r="X269" s="286"/>
      <c r="Y269" s="286"/>
      <c r="Z269" s="286"/>
      <c r="AA269" s="286"/>
      <c r="AB269" s="286"/>
    </row>
    <row r="270">
      <c r="A270" s="286"/>
      <c r="B270" s="286"/>
      <c r="C270" s="529"/>
      <c r="D270" s="306"/>
      <c r="E270" s="306"/>
      <c r="F270" s="306"/>
      <c r="G270" s="528"/>
      <c r="H270" s="286"/>
      <c r="I270" s="286"/>
      <c r="J270" s="529"/>
      <c r="K270" s="286"/>
      <c r="L270" s="286"/>
      <c r="M270" s="529"/>
      <c r="N270" s="529"/>
      <c r="O270" s="529"/>
      <c r="P270" s="529"/>
      <c r="Q270" s="286"/>
      <c r="R270" s="286"/>
      <c r="S270" s="286"/>
      <c r="T270" s="286"/>
      <c r="U270" s="286"/>
      <c r="V270" s="286"/>
      <c r="W270" s="286"/>
      <c r="X270" s="286"/>
      <c r="Y270" s="286"/>
      <c r="Z270" s="286"/>
      <c r="AA270" s="286"/>
      <c r="AB270" s="286"/>
    </row>
    <row r="271">
      <c r="A271" s="286"/>
      <c r="B271" s="286"/>
      <c r="C271" s="529"/>
      <c r="D271" s="306"/>
      <c r="E271" s="306"/>
      <c r="F271" s="306"/>
      <c r="G271" s="528"/>
      <c r="H271" s="286"/>
      <c r="I271" s="286"/>
      <c r="J271" s="529"/>
      <c r="K271" s="286"/>
      <c r="L271" s="286"/>
      <c r="M271" s="529"/>
      <c r="N271" s="529"/>
      <c r="O271" s="529"/>
      <c r="P271" s="529"/>
      <c r="Q271" s="286"/>
      <c r="R271" s="286"/>
      <c r="S271" s="286"/>
      <c r="T271" s="286"/>
      <c r="U271" s="286"/>
      <c r="V271" s="286"/>
      <c r="W271" s="286"/>
      <c r="X271" s="286"/>
      <c r="Y271" s="286"/>
      <c r="Z271" s="286"/>
      <c r="AA271" s="286"/>
      <c r="AB271" s="286"/>
    </row>
    <row r="272">
      <c r="A272" s="286"/>
      <c r="B272" s="286"/>
      <c r="C272" s="529"/>
      <c r="D272" s="306"/>
      <c r="E272" s="306"/>
      <c r="F272" s="306"/>
      <c r="G272" s="528"/>
      <c r="H272" s="286"/>
      <c r="I272" s="286"/>
      <c r="J272" s="529"/>
      <c r="K272" s="286"/>
      <c r="L272" s="286"/>
      <c r="M272" s="529"/>
      <c r="N272" s="529"/>
      <c r="O272" s="529"/>
      <c r="P272" s="529"/>
      <c r="Q272" s="286"/>
      <c r="R272" s="286"/>
      <c r="S272" s="286"/>
      <c r="T272" s="286"/>
      <c r="U272" s="286"/>
      <c r="V272" s="286"/>
      <c r="W272" s="286"/>
      <c r="X272" s="286"/>
      <c r="Y272" s="286"/>
      <c r="Z272" s="286"/>
      <c r="AA272" s="286"/>
      <c r="AB272" s="286"/>
    </row>
    <row r="273">
      <c r="A273" s="286"/>
      <c r="B273" s="286"/>
      <c r="C273" s="529"/>
      <c r="D273" s="306"/>
      <c r="E273" s="306"/>
      <c r="F273" s="306"/>
      <c r="G273" s="528"/>
      <c r="H273" s="286"/>
      <c r="I273" s="286"/>
      <c r="J273" s="529"/>
      <c r="K273" s="286"/>
      <c r="L273" s="286"/>
      <c r="M273" s="529"/>
      <c r="N273" s="529"/>
      <c r="O273" s="529"/>
      <c r="P273" s="529"/>
      <c r="Q273" s="286"/>
      <c r="R273" s="286"/>
      <c r="S273" s="286"/>
      <c r="T273" s="286"/>
      <c r="U273" s="286"/>
      <c r="V273" s="286"/>
      <c r="W273" s="286"/>
      <c r="X273" s="286"/>
      <c r="Y273" s="286"/>
      <c r="Z273" s="286"/>
      <c r="AA273" s="286"/>
      <c r="AB273" s="286"/>
    </row>
    <row r="274">
      <c r="A274" s="286"/>
      <c r="B274" s="286"/>
      <c r="C274" s="529"/>
      <c r="D274" s="306"/>
      <c r="E274" s="306"/>
      <c r="F274" s="306"/>
      <c r="G274" s="528"/>
      <c r="H274" s="286"/>
      <c r="I274" s="286"/>
      <c r="J274" s="529"/>
      <c r="K274" s="286"/>
      <c r="L274" s="286"/>
      <c r="M274" s="529"/>
      <c r="N274" s="529"/>
      <c r="O274" s="529"/>
      <c r="P274" s="529"/>
      <c r="Q274" s="286"/>
      <c r="R274" s="286"/>
      <c r="S274" s="286"/>
      <c r="T274" s="286"/>
      <c r="U274" s="286"/>
      <c r="V274" s="286"/>
      <c r="W274" s="286"/>
      <c r="X274" s="286"/>
      <c r="Y274" s="286"/>
      <c r="Z274" s="286"/>
      <c r="AA274" s="286"/>
      <c r="AB274" s="286"/>
    </row>
    <row r="275">
      <c r="A275" s="286"/>
      <c r="B275" s="286"/>
      <c r="C275" s="529"/>
      <c r="D275" s="306"/>
      <c r="E275" s="306"/>
      <c r="F275" s="306"/>
      <c r="G275" s="528"/>
      <c r="H275" s="286"/>
      <c r="I275" s="286"/>
      <c r="J275" s="529"/>
      <c r="K275" s="286"/>
      <c r="L275" s="286"/>
      <c r="M275" s="529"/>
      <c r="N275" s="529"/>
      <c r="O275" s="529"/>
      <c r="P275" s="529"/>
      <c r="Q275" s="286"/>
      <c r="R275" s="286"/>
      <c r="S275" s="286"/>
      <c r="T275" s="286"/>
      <c r="U275" s="286"/>
      <c r="V275" s="286"/>
      <c r="W275" s="286"/>
      <c r="X275" s="286"/>
      <c r="Y275" s="286"/>
      <c r="Z275" s="286"/>
      <c r="AA275" s="286"/>
      <c r="AB275" s="286"/>
    </row>
    <row r="276">
      <c r="A276" s="286"/>
      <c r="B276" s="286"/>
      <c r="C276" s="529"/>
      <c r="D276" s="306"/>
      <c r="E276" s="306"/>
      <c r="F276" s="306"/>
      <c r="G276" s="528"/>
      <c r="H276" s="286"/>
      <c r="I276" s="286"/>
      <c r="J276" s="529"/>
      <c r="K276" s="286"/>
      <c r="L276" s="286"/>
      <c r="M276" s="529"/>
      <c r="N276" s="529"/>
      <c r="O276" s="529"/>
      <c r="P276" s="529"/>
      <c r="Q276" s="286"/>
      <c r="R276" s="286"/>
      <c r="S276" s="286"/>
      <c r="T276" s="286"/>
      <c r="U276" s="286"/>
      <c r="V276" s="286"/>
      <c r="W276" s="286"/>
      <c r="X276" s="286"/>
      <c r="Y276" s="286"/>
      <c r="Z276" s="286"/>
      <c r="AA276" s="286"/>
      <c r="AB276" s="286"/>
    </row>
    <row r="277">
      <c r="A277" s="286"/>
      <c r="B277" s="286"/>
      <c r="C277" s="529"/>
      <c r="D277" s="306"/>
      <c r="E277" s="306"/>
      <c r="F277" s="306"/>
      <c r="G277" s="528"/>
      <c r="H277" s="286"/>
      <c r="I277" s="286"/>
      <c r="J277" s="529"/>
      <c r="K277" s="286"/>
      <c r="L277" s="286"/>
      <c r="M277" s="529"/>
      <c r="N277" s="529"/>
      <c r="O277" s="529"/>
      <c r="P277" s="529"/>
      <c r="Q277" s="286"/>
      <c r="R277" s="286"/>
      <c r="S277" s="286"/>
      <c r="T277" s="286"/>
      <c r="U277" s="286"/>
      <c r="V277" s="286"/>
      <c r="W277" s="286"/>
      <c r="X277" s="286"/>
      <c r="Y277" s="286"/>
      <c r="Z277" s="286"/>
      <c r="AA277" s="286"/>
      <c r="AB277" s="286"/>
    </row>
    <row r="278">
      <c r="A278" s="286"/>
      <c r="B278" s="286"/>
      <c r="C278" s="529"/>
      <c r="D278" s="306"/>
      <c r="E278" s="306"/>
      <c r="F278" s="306"/>
      <c r="G278" s="528"/>
      <c r="H278" s="286"/>
      <c r="I278" s="286"/>
      <c r="J278" s="529"/>
      <c r="K278" s="286"/>
      <c r="L278" s="286"/>
      <c r="M278" s="529"/>
      <c r="N278" s="529"/>
      <c r="O278" s="529"/>
      <c r="P278" s="529"/>
      <c r="Q278" s="286"/>
      <c r="R278" s="286"/>
      <c r="S278" s="286"/>
      <c r="T278" s="286"/>
      <c r="U278" s="286"/>
      <c r="V278" s="286"/>
      <c r="W278" s="286"/>
      <c r="X278" s="286"/>
      <c r="Y278" s="286"/>
      <c r="Z278" s="286"/>
      <c r="AA278" s="286"/>
      <c r="AB278" s="286"/>
    </row>
    <row r="279">
      <c r="A279" s="286"/>
      <c r="B279" s="286"/>
      <c r="C279" s="529"/>
      <c r="D279" s="306"/>
      <c r="E279" s="306"/>
      <c r="F279" s="306"/>
      <c r="G279" s="528"/>
      <c r="H279" s="286"/>
      <c r="I279" s="286"/>
      <c r="J279" s="529"/>
      <c r="K279" s="286"/>
      <c r="L279" s="286"/>
      <c r="M279" s="529"/>
      <c r="N279" s="529"/>
      <c r="O279" s="529"/>
      <c r="P279" s="529"/>
      <c r="Q279" s="286"/>
      <c r="R279" s="286"/>
      <c r="S279" s="286"/>
      <c r="T279" s="286"/>
      <c r="U279" s="286"/>
      <c r="V279" s="286"/>
      <c r="W279" s="286"/>
      <c r="X279" s="286"/>
      <c r="Y279" s="286"/>
      <c r="Z279" s="286"/>
      <c r="AA279" s="286"/>
      <c r="AB279" s="286"/>
    </row>
    <row r="280">
      <c r="A280" s="286"/>
      <c r="B280" s="286"/>
      <c r="C280" s="529"/>
      <c r="D280" s="306"/>
      <c r="E280" s="306"/>
      <c r="F280" s="306"/>
      <c r="G280" s="528"/>
      <c r="H280" s="286"/>
      <c r="I280" s="286"/>
      <c r="J280" s="529"/>
      <c r="K280" s="286"/>
      <c r="L280" s="286"/>
      <c r="M280" s="529"/>
      <c r="N280" s="529"/>
      <c r="O280" s="529"/>
      <c r="P280" s="529"/>
      <c r="Q280" s="286"/>
      <c r="R280" s="286"/>
      <c r="S280" s="286"/>
      <c r="T280" s="286"/>
      <c r="U280" s="286"/>
      <c r="V280" s="286"/>
      <c r="W280" s="286"/>
      <c r="X280" s="286"/>
      <c r="Y280" s="286"/>
      <c r="Z280" s="286"/>
      <c r="AA280" s="286"/>
      <c r="AB280" s="286"/>
    </row>
    <row r="281">
      <c r="A281" s="286"/>
      <c r="B281" s="286"/>
      <c r="C281" s="529"/>
      <c r="D281" s="306"/>
      <c r="E281" s="306"/>
      <c r="F281" s="306"/>
      <c r="G281" s="528"/>
      <c r="H281" s="286"/>
      <c r="I281" s="286"/>
      <c r="J281" s="529"/>
      <c r="K281" s="286"/>
      <c r="L281" s="286"/>
      <c r="M281" s="529"/>
      <c r="N281" s="529"/>
      <c r="O281" s="529"/>
      <c r="P281" s="529"/>
      <c r="Q281" s="286"/>
      <c r="R281" s="286"/>
      <c r="S281" s="286"/>
      <c r="T281" s="286"/>
      <c r="U281" s="286"/>
      <c r="V281" s="286"/>
      <c r="W281" s="286"/>
      <c r="X281" s="286"/>
      <c r="Y281" s="286"/>
      <c r="Z281" s="286"/>
      <c r="AA281" s="286"/>
      <c r="AB281" s="286"/>
    </row>
    <row r="282">
      <c r="A282" s="286"/>
      <c r="B282" s="286"/>
      <c r="C282" s="529"/>
      <c r="D282" s="306"/>
      <c r="E282" s="306"/>
      <c r="F282" s="306"/>
      <c r="G282" s="528"/>
      <c r="H282" s="286"/>
      <c r="I282" s="286"/>
      <c r="J282" s="529"/>
      <c r="K282" s="286"/>
      <c r="L282" s="286"/>
      <c r="M282" s="529"/>
      <c r="N282" s="529"/>
      <c r="O282" s="529"/>
      <c r="P282" s="529"/>
      <c r="Q282" s="286"/>
      <c r="R282" s="286"/>
      <c r="S282" s="286"/>
      <c r="T282" s="286"/>
      <c r="U282" s="286"/>
      <c r="V282" s="286"/>
      <c r="W282" s="286"/>
      <c r="X282" s="286"/>
      <c r="Y282" s="286"/>
      <c r="Z282" s="286"/>
      <c r="AA282" s="286"/>
      <c r="AB282" s="286"/>
    </row>
    <row r="283">
      <c r="A283" s="286"/>
      <c r="B283" s="286"/>
      <c r="C283" s="529"/>
      <c r="D283" s="306"/>
      <c r="E283" s="306"/>
      <c r="F283" s="306"/>
      <c r="G283" s="528"/>
      <c r="H283" s="286"/>
      <c r="I283" s="286"/>
      <c r="J283" s="529"/>
      <c r="K283" s="286"/>
      <c r="L283" s="286"/>
      <c r="M283" s="529"/>
      <c r="N283" s="529"/>
      <c r="O283" s="529"/>
      <c r="P283" s="529"/>
      <c r="Q283" s="286"/>
      <c r="R283" s="286"/>
      <c r="S283" s="286"/>
      <c r="T283" s="286"/>
      <c r="U283" s="286"/>
      <c r="V283" s="286"/>
      <c r="W283" s="286"/>
      <c r="X283" s="286"/>
      <c r="Y283" s="286"/>
      <c r="Z283" s="286"/>
      <c r="AA283" s="286"/>
      <c r="AB283" s="286"/>
    </row>
    <row r="284">
      <c r="A284" s="286"/>
      <c r="B284" s="286"/>
      <c r="C284" s="529"/>
      <c r="D284" s="306"/>
      <c r="E284" s="306"/>
      <c r="F284" s="306"/>
      <c r="G284" s="528"/>
      <c r="H284" s="286"/>
      <c r="I284" s="286"/>
      <c r="J284" s="529"/>
      <c r="K284" s="286"/>
      <c r="L284" s="286"/>
      <c r="M284" s="529"/>
      <c r="N284" s="529"/>
      <c r="O284" s="529"/>
      <c r="P284" s="529"/>
      <c r="Q284" s="286"/>
      <c r="R284" s="286"/>
      <c r="S284" s="286"/>
      <c r="T284" s="286"/>
      <c r="U284" s="286"/>
      <c r="V284" s="286"/>
      <c r="W284" s="286"/>
      <c r="X284" s="286"/>
      <c r="Y284" s="286"/>
      <c r="Z284" s="286"/>
      <c r="AA284" s="286"/>
      <c r="AB284" s="286"/>
    </row>
    <row r="285">
      <c r="A285" s="286"/>
      <c r="B285" s="286"/>
      <c r="C285" s="529"/>
      <c r="D285" s="306"/>
      <c r="E285" s="306"/>
      <c r="F285" s="306"/>
      <c r="G285" s="528"/>
      <c r="H285" s="286"/>
      <c r="I285" s="286"/>
      <c r="J285" s="529"/>
      <c r="K285" s="286"/>
      <c r="L285" s="286"/>
      <c r="M285" s="529"/>
      <c r="N285" s="529"/>
      <c r="O285" s="529"/>
      <c r="P285" s="529"/>
      <c r="Q285" s="286"/>
      <c r="R285" s="286"/>
      <c r="S285" s="286"/>
      <c r="T285" s="286"/>
      <c r="U285" s="286"/>
      <c r="V285" s="286"/>
      <c r="W285" s="286"/>
      <c r="X285" s="286"/>
      <c r="Y285" s="286"/>
      <c r="Z285" s="286"/>
      <c r="AA285" s="286"/>
      <c r="AB285" s="286"/>
    </row>
    <row r="286">
      <c r="A286" s="286"/>
      <c r="B286" s="286"/>
      <c r="C286" s="529"/>
      <c r="D286" s="306"/>
      <c r="E286" s="306"/>
      <c r="F286" s="306"/>
      <c r="G286" s="528"/>
      <c r="H286" s="286"/>
      <c r="I286" s="286"/>
      <c r="J286" s="529"/>
      <c r="K286" s="286"/>
      <c r="L286" s="286"/>
      <c r="M286" s="529"/>
      <c r="N286" s="529"/>
      <c r="O286" s="529"/>
      <c r="P286" s="529"/>
      <c r="Q286" s="286"/>
      <c r="R286" s="286"/>
      <c r="S286" s="286"/>
      <c r="T286" s="286"/>
      <c r="U286" s="286"/>
      <c r="V286" s="286"/>
      <c r="W286" s="286"/>
      <c r="X286" s="286"/>
      <c r="Y286" s="286"/>
      <c r="Z286" s="286"/>
      <c r="AA286" s="286"/>
      <c r="AB286" s="286"/>
    </row>
    <row r="287">
      <c r="A287" s="286"/>
      <c r="B287" s="286"/>
      <c r="C287" s="529"/>
      <c r="D287" s="306"/>
      <c r="E287" s="306"/>
      <c r="F287" s="306"/>
      <c r="G287" s="528"/>
      <c r="H287" s="286"/>
      <c r="I287" s="286"/>
      <c r="J287" s="529"/>
      <c r="K287" s="286"/>
      <c r="L287" s="286"/>
      <c r="M287" s="529"/>
      <c r="N287" s="529"/>
      <c r="O287" s="529"/>
      <c r="P287" s="529"/>
      <c r="Q287" s="286"/>
      <c r="R287" s="286"/>
      <c r="S287" s="286"/>
      <c r="T287" s="286"/>
      <c r="U287" s="286"/>
      <c r="V287" s="286"/>
      <c r="W287" s="286"/>
      <c r="X287" s="286"/>
      <c r="Y287" s="286"/>
      <c r="Z287" s="286"/>
      <c r="AA287" s="286"/>
      <c r="AB287" s="286"/>
    </row>
    <row r="288">
      <c r="A288" s="286"/>
      <c r="B288" s="286"/>
      <c r="C288" s="529"/>
      <c r="D288" s="306"/>
      <c r="E288" s="306"/>
      <c r="F288" s="306"/>
      <c r="G288" s="528"/>
      <c r="H288" s="286"/>
      <c r="I288" s="286"/>
      <c r="J288" s="529"/>
      <c r="K288" s="286"/>
      <c r="L288" s="286"/>
      <c r="M288" s="529"/>
      <c r="N288" s="529"/>
      <c r="O288" s="529"/>
      <c r="P288" s="529"/>
      <c r="Q288" s="286"/>
      <c r="R288" s="286"/>
      <c r="S288" s="286"/>
      <c r="T288" s="286"/>
      <c r="U288" s="286"/>
      <c r="V288" s="286"/>
      <c r="W288" s="286"/>
      <c r="X288" s="286"/>
      <c r="Y288" s="286"/>
      <c r="Z288" s="286"/>
      <c r="AA288" s="286"/>
      <c r="AB288" s="286"/>
    </row>
    <row r="289">
      <c r="A289" s="286"/>
      <c r="B289" s="286"/>
      <c r="C289" s="529"/>
      <c r="D289" s="306"/>
      <c r="E289" s="306"/>
      <c r="F289" s="306"/>
      <c r="G289" s="528"/>
      <c r="H289" s="286"/>
      <c r="I289" s="286"/>
      <c r="J289" s="529"/>
      <c r="K289" s="286"/>
      <c r="L289" s="286"/>
      <c r="M289" s="529"/>
      <c r="N289" s="529"/>
      <c r="O289" s="529"/>
      <c r="P289" s="529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</row>
    <row r="290">
      <c r="A290" s="286"/>
      <c r="B290" s="286"/>
      <c r="C290" s="529"/>
      <c r="D290" s="306"/>
      <c r="E290" s="306"/>
      <c r="F290" s="306"/>
      <c r="G290" s="528"/>
      <c r="H290" s="286"/>
      <c r="I290" s="286"/>
      <c r="J290" s="529"/>
      <c r="K290" s="286"/>
      <c r="L290" s="286"/>
      <c r="M290" s="529"/>
      <c r="N290" s="529"/>
      <c r="O290" s="529"/>
      <c r="P290" s="529"/>
      <c r="Q290" s="286"/>
      <c r="R290" s="286"/>
      <c r="S290" s="286"/>
      <c r="T290" s="286"/>
      <c r="U290" s="286"/>
      <c r="V290" s="286"/>
      <c r="W290" s="286"/>
      <c r="X290" s="286"/>
      <c r="Y290" s="286"/>
      <c r="Z290" s="286"/>
      <c r="AA290" s="286"/>
      <c r="AB290" s="286"/>
    </row>
    <row r="291">
      <c r="A291" s="286"/>
      <c r="B291" s="286"/>
      <c r="C291" s="529"/>
      <c r="D291" s="306"/>
      <c r="E291" s="306"/>
      <c r="F291" s="306"/>
      <c r="G291" s="528"/>
      <c r="H291" s="286"/>
      <c r="I291" s="286"/>
      <c r="J291" s="529"/>
      <c r="K291" s="286"/>
      <c r="L291" s="286"/>
      <c r="M291" s="529"/>
      <c r="N291" s="529"/>
      <c r="O291" s="529"/>
      <c r="P291" s="529"/>
      <c r="Q291" s="286"/>
      <c r="R291" s="286"/>
      <c r="S291" s="286"/>
      <c r="T291" s="286"/>
      <c r="U291" s="286"/>
      <c r="V291" s="286"/>
      <c r="W291" s="286"/>
      <c r="X291" s="286"/>
      <c r="Y291" s="286"/>
      <c r="Z291" s="286"/>
      <c r="AA291" s="286"/>
      <c r="AB291" s="286"/>
    </row>
    <row r="292">
      <c r="A292" s="286"/>
      <c r="B292" s="286"/>
      <c r="C292" s="529"/>
      <c r="D292" s="306"/>
      <c r="E292" s="306"/>
      <c r="F292" s="306"/>
      <c r="G292" s="528"/>
      <c r="H292" s="286"/>
      <c r="I292" s="286"/>
      <c r="J292" s="529"/>
      <c r="K292" s="286"/>
      <c r="L292" s="286"/>
      <c r="M292" s="529"/>
      <c r="N292" s="529"/>
      <c r="O292" s="529"/>
      <c r="P292" s="529"/>
      <c r="Q292" s="286"/>
      <c r="R292" s="286"/>
      <c r="S292" s="286"/>
      <c r="T292" s="286"/>
      <c r="U292" s="286"/>
      <c r="V292" s="286"/>
      <c r="W292" s="286"/>
      <c r="X292" s="286"/>
      <c r="Y292" s="286"/>
      <c r="Z292" s="286"/>
      <c r="AA292" s="286"/>
      <c r="AB292" s="286"/>
    </row>
    <row r="293">
      <c r="A293" s="286"/>
      <c r="B293" s="286"/>
      <c r="C293" s="529"/>
      <c r="D293" s="306"/>
      <c r="E293" s="306"/>
      <c r="F293" s="306"/>
      <c r="G293" s="528"/>
      <c r="H293" s="286"/>
      <c r="I293" s="286"/>
      <c r="J293" s="529"/>
      <c r="K293" s="286"/>
      <c r="L293" s="286"/>
      <c r="M293" s="529"/>
      <c r="N293" s="529"/>
      <c r="O293" s="529"/>
      <c r="P293" s="529"/>
      <c r="Q293" s="286"/>
      <c r="R293" s="286"/>
      <c r="S293" s="286"/>
      <c r="T293" s="286"/>
      <c r="U293" s="286"/>
      <c r="V293" s="286"/>
      <c r="W293" s="286"/>
      <c r="X293" s="286"/>
      <c r="Y293" s="286"/>
      <c r="Z293" s="286"/>
      <c r="AA293" s="286"/>
      <c r="AB293" s="286"/>
    </row>
    <row r="294">
      <c r="A294" s="286"/>
      <c r="B294" s="286"/>
      <c r="C294" s="529"/>
      <c r="D294" s="306"/>
      <c r="E294" s="306"/>
      <c r="F294" s="306"/>
      <c r="G294" s="528"/>
      <c r="H294" s="286"/>
      <c r="I294" s="286"/>
      <c r="J294" s="529"/>
      <c r="K294" s="286"/>
      <c r="L294" s="286"/>
      <c r="M294" s="529"/>
      <c r="N294" s="529"/>
      <c r="O294" s="529"/>
      <c r="P294" s="529"/>
      <c r="Q294" s="286"/>
      <c r="R294" s="286"/>
      <c r="S294" s="286"/>
      <c r="T294" s="286"/>
      <c r="U294" s="286"/>
      <c r="V294" s="286"/>
      <c r="W294" s="286"/>
      <c r="X294" s="286"/>
      <c r="Y294" s="286"/>
      <c r="Z294" s="286"/>
      <c r="AA294" s="286"/>
      <c r="AB294" s="286"/>
    </row>
    <row r="295">
      <c r="A295" s="286"/>
      <c r="B295" s="286"/>
      <c r="C295" s="529"/>
      <c r="D295" s="306"/>
      <c r="E295" s="306"/>
      <c r="F295" s="306"/>
      <c r="G295" s="528"/>
      <c r="H295" s="286"/>
      <c r="I295" s="286"/>
      <c r="J295" s="529"/>
      <c r="K295" s="286"/>
      <c r="L295" s="286"/>
      <c r="M295" s="529"/>
      <c r="N295" s="529"/>
      <c r="O295" s="529"/>
      <c r="P295" s="529"/>
      <c r="Q295" s="286"/>
      <c r="R295" s="286"/>
      <c r="S295" s="286"/>
      <c r="T295" s="286"/>
      <c r="U295" s="286"/>
      <c r="V295" s="286"/>
      <c r="W295" s="286"/>
      <c r="X295" s="286"/>
      <c r="Y295" s="286"/>
      <c r="Z295" s="286"/>
      <c r="AA295" s="286"/>
      <c r="AB295" s="286"/>
    </row>
    <row r="296">
      <c r="A296" s="286"/>
      <c r="B296" s="286"/>
      <c r="C296" s="529"/>
      <c r="D296" s="306"/>
      <c r="E296" s="306"/>
      <c r="F296" s="306"/>
      <c r="G296" s="528"/>
      <c r="H296" s="286"/>
      <c r="I296" s="286"/>
      <c r="J296" s="529"/>
      <c r="K296" s="286"/>
      <c r="L296" s="286"/>
      <c r="M296" s="529"/>
      <c r="N296" s="529"/>
      <c r="O296" s="529"/>
      <c r="P296" s="529"/>
      <c r="Q296" s="286"/>
      <c r="R296" s="286"/>
      <c r="S296" s="286"/>
      <c r="T296" s="286"/>
      <c r="U296" s="286"/>
      <c r="V296" s="286"/>
      <c r="W296" s="286"/>
      <c r="X296" s="286"/>
      <c r="Y296" s="286"/>
      <c r="Z296" s="286"/>
      <c r="AA296" s="286"/>
      <c r="AB296" s="286"/>
    </row>
    <row r="297">
      <c r="A297" s="286"/>
      <c r="B297" s="286"/>
      <c r="C297" s="529"/>
      <c r="D297" s="306"/>
      <c r="E297" s="306"/>
      <c r="F297" s="306"/>
      <c r="G297" s="528"/>
      <c r="H297" s="286"/>
      <c r="I297" s="286"/>
      <c r="J297" s="529"/>
      <c r="K297" s="286"/>
      <c r="L297" s="286"/>
      <c r="M297" s="529"/>
      <c r="N297" s="529"/>
      <c r="O297" s="529"/>
      <c r="P297" s="529"/>
      <c r="Q297" s="286"/>
      <c r="R297" s="286"/>
      <c r="S297" s="286"/>
      <c r="T297" s="286"/>
      <c r="U297" s="286"/>
      <c r="V297" s="286"/>
      <c r="W297" s="286"/>
      <c r="X297" s="286"/>
      <c r="Y297" s="286"/>
      <c r="Z297" s="286"/>
      <c r="AA297" s="286"/>
      <c r="AB297" s="286"/>
    </row>
    <row r="298">
      <c r="A298" s="286"/>
      <c r="B298" s="286"/>
      <c r="C298" s="529"/>
      <c r="D298" s="306"/>
      <c r="E298" s="306"/>
      <c r="F298" s="306"/>
      <c r="G298" s="528"/>
      <c r="H298" s="286"/>
      <c r="I298" s="286"/>
      <c r="J298" s="529"/>
      <c r="K298" s="286"/>
      <c r="L298" s="286"/>
      <c r="M298" s="529"/>
      <c r="N298" s="529"/>
      <c r="O298" s="529"/>
      <c r="P298" s="529"/>
      <c r="Q298" s="286"/>
      <c r="R298" s="286"/>
      <c r="S298" s="286"/>
      <c r="T298" s="286"/>
      <c r="U298" s="286"/>
      <c r="V298" s="286"/>
      <c r="W298" s="286"/>
      <c r="X298" s="286"/>
      <c r="Y298" s="286"/>
      <c r="Z298" s="286"/>
      <c r="AA298" s="286"/>
      <c r="AB298" s="286"/>
    </row>
    <row r="299">
      <c r="A299" s="286"/>
      <c r="B299" s="286"/>
      <c r="C299" s="529"/>
      <c r="D299" s="306"/>
      <c r="E299" s="306"/>
      <c r="F299" s="306"/>
      <c r="G299" s="528"/>
      <c r="H299" s="286"/>
      <c r="I299" s="286"/>
      <c r="J299" s="529"/>
      <c r="K299" s="286"/>
      <c r="L299" s="286"/>
      <c r="M299" s="529"/>
      <c r="N299" s="529"/>
      <c r="O299" s="529"/>
      <c r="P299" s="529"/>
      <c r="Q299" s="286"/>
      <c r="R299" s="286"/>
      <c r="S299" s="286"/>
      <c r="T299" s="286"/>
      <c r="U299" s="286"/>
      <c r="V299" s="286"/>
      <c r="W299" s="286"/>
      <c r="X299" s="286"/>
      <c r="Y299" s="286"/>
      <c r="Z299" s="286"/>
      <c r="AA299" s="286"/>
      <c r="AB299" s="286"/>
    </row>
    <row r="300">
      <c r="A300" s="286"/>
      <c r="B300" s="286"/>
      <c r="C300" s="529"/>
      <c r="D300" s="306"/>
      <c r="E300" s="306"/>
      <c r="F300" s="306"/>
      <c r="G300" s="528"/>
      <c r="H300" s="286"/>
      <c r="I300" s="286"/>
      <c r="J300" s="529"/>
      <c r="K300" s="286"/>
      <c r="L300" s="286"/>
      <c r="M300" s="529"/>
      <c r="N300" s="529"/>
      <c r="O300" s="529"/>
      <c r="P300" s="529"/>
      <c r="Q300" s="286"/>
      <c r="R300" s="286"/>
      <c r="S300" s="286"/>
      <c r="T300" s="286"/>
      <c r="U300" s="286"/>
      <c r="V300" s="286"/>
      <c r="W300" s="286"/>
      <c r="X300" s="286"/>
      <c r="Y300" s="286"/>
      <c r="Z300" s="286"/>
      <c r="AA300" s="286"/>
      <c r="AB300" s="286"/>
    </row>
    <row r="301">
      <c r="A301" s="286"/>
      <c r="B301" s="286"/>
      <c r="C301" s="529"/>
      <c r="D301" s="306"/>
      <c r="E301" s="306"/>
      <c r="F301" s="306"/>
      <c r="G301" s="528"/>
      <c r="H301" s="286"/>
      <c r="I301" s="286"/>
      <c r="J301" s="529"/>
      <c r="K301" s="286"/>
      <c r="L301" s="286"/>
      <c r="M301" s="529"/>
      <c r="N301" s="529"/>
      <c r="O301" s="529"/>
      <c r="P301" s="529"/>
      <c r="Q301" s="286"/>
      <c r="R301" s="286"/>
      <c r="S301" s="286"/>
      <c r="T301" s="286"/>
      <c r="U301" s="286"/>
      <c r="V301" s="286"/>
      <c r="W301" s="286"/>
      <c r="X301" s="286"/>
      <c r="Y301" s="286"/>
      <c r="Z301" s="286"/>
      <c r="AA301" s="286"/>
      <c r="AB301" s="286"/>
    </row>
    <row r="302">
      <c r="A302" s="286"/>
      <c r="B302" s="286"/>
      <c r="C302" s="529"/>
      <c r="D302" s="306"/>
      <c r="E302" s="306"/>
      <c r="F302" s="306"/>
      <c r="G302" s="528"/>
      <c r="H302" s="286"/>
      <c r="I302" s="286"/>
      <c r="J302" s="529"/>
      <c r="K302" s="286"/>
      <c r="L302" s="286"/>
      <c r="M302" s="529"/>
      <c r="N302" s="529"/>
      <c r="O302" s="529"/>
      <c r="P302" s="529"/>
      <c r="Q302" s="286"/>
      <c r="R302" s="286"/>
      <c r="S302" s="286"/>
      <c r="T302" s="286"/>
      <c r="U302" s="286"/>
      <c r="V302" s="286"/>
      <c r="W302" s="286"/>
      <c r="X302" s="286"/>
      <c r="Y302" s="286"/>
      <c r="Z302" s="286"/>
      <c r="AA302" s="286"/>
      <c r="AB302" s="286"/>
    </row>
    <row r="303">
      <c r="A303" s="286"/>
      <c r="B303" s="286"/>
      <c r="C303" s="529"/>
      <c r="D303" s="306"/>
      <c r="E303" s="306"/>
      <c r="F303" s="306"/>
      <c r="G303" s="528"/>
      <c r="H303" s="286"/>
      <c r="I303" s="286"/>
      <c r="J303" s="529"/>
      <c r="K303" s="286"/>
      <c r="L303" s="286"/>
      <c r="M303" s="529"/>
      <c r="N303" s="529"/>
      <c r="O303" s="529"/>
      <c r="P303" s="529"/>
      <c r="Q303" s="286"/>
      <c r="R303" s="286"/>
      <c r="S303" s="286"/>
      <c r="T303" s="286"/>
      <c r="U303" s="286"/>
      <c r="V303" s="286"/>
      <c r="W303" s="286"/>
      <c r="X303" s="286"/>
      <c r="Y303" s="286"/>
      <c r="Z303" s="286"/>
      <c r="AA303" s="286"/>
      <c r="AB303" s="286"/>
    </row>
    <row r="304">
      <c r="A304" s="286"/>
      <c r="B304" s="286"/>
      <c r="C304" s="529"/>
      <c r="D304" s="306"/>
      <c r="E304" s="306"/>
      <c r="F304" s="306"/>
      <c r="G304" s="528"/>
      <c r="H304" s="286"/>
      <c r="I304" s="286"/>
      <c r="J304" s="529"/>
      <c r="K304" s="286"/>
      <c r="L304" s="286"/>
      <c r="M304" s="529"/>
      <c r="N304" s="529"/>
      <c r="O304" s="529"/>
      <c r="P304" s="529"/>
      <c r="Q304" s="286"/>
      <c r="R304" s="286"/>
      <c r="S304" s="286"/>
      <c r="T304" s="286"/>
      <c r="U304" s="286"/>
      <c r="V304" s="286"/>
      <c r="W304" s="286"/>
      <c r="X304" s="286"/>
      <c r="Y304" s="286"/>
      <c r="Z304" s="286"/>
      <c r="AA304" s="286"/>
      <c r="AB304" s="286"/>
    </row>
    <row r="305">
      <c r="A305" s="286"/>
      <c r="B305" s="286"/>
      <c r="C305" s="529"/>
      <c r="D305" s="306"/>
      <c r="E305" s="306"/>
      <c r="F305" s="306"/>
      <c r="G305" s="528"/>
      <c r="H305" s="286"/>
      <c r="I305" s="286"/>
      <c r="J305" s="529"/>
      <c r="K305" s="286"/>
      <c r="L305" s="286"/>
      <c r="M305" s="529"/>
      <c r="N305" s="529"/>
      <c r="O305" s="529"/>
      <c r="P305" s="529"/>
      <c r="Q305" s="286"/>
      <c r="R305" s="286"/>
      <c r="S305" s="286"/>
      <c r="T305" s="286"/>
      <c r="U305" s="286"/>
      <c r="V305" s="286"/>
      <c r="W305" s="286"/>
      <c r="X305" s="286"/>
      <c r="Y305" s="286"/>
      <c r="Z305" s="286"/>
      <c r="AA305" s="286"/>
      <c r="AB305" s="286"/>
    </row>
    <row r="306">
      <c r="A306" s="286"/>
      <c r="B306" s="286"/>
      <c r="C306" s="529"/>
      <c r="D306" s="306"/>
      <c r="E306" s="306"/>
      <c r="F306" s="306"/>
      <c r="G306" s="528"/>
      <c r="H306" s="286"/>
      <c r="I306" s="286"/>
      <c r="J306" s="529"/>
      <c r="K306" s="286"/>
      <c r="L306" s="286"/>
      <c r="M306" s="529"/>
      <c r="N306" s="529"/>
      <c r="O306" s="529"/>
      <c r="P306" s="529"/>
      <c r="Q306" s="286"/>
      <c r="R306" s="286"/>
      <c r="S306" s="286"/>
      <c r="T306" s="286"/>
      <c r="U306" s="286"/>
      <c r="V306" s="286"/>
      <c r="W306" s="286"/>
      <c r="X306" s="286"/>
      <c r="Y306" s="286"/>
      <c r="Z306" s="286"/>
      <c r="AA306" s="286"/>
      <c r="AB306" s="286"/>
    </row>
    <row r="307">
      <c r="A307" s="286"/>
      <c r="B307" s="286"/>
      <c r="C307" s="529"/>
      <c r="D307" s="306"/>
      <c r="E307" s="306"/>
      <c r="F307" s="306"/>
      <c r="G307" s="528"/>
      <c r="H307" s="286"/>
      <c r="I307" s="286"/>
      <c r="J307" s="529"/>
      <c r="K307" s="286"/>
      <c r="L307" s="286"/>
      <c r="M307" s="529"/>
      <c r="N307" s="529"/>
      <c r="O307" s="529"/>
      <c r="P307" s="529"/>
      <c r="Q307" s="286"/>
      <c r="R307" s="286"/>
      <c r="S307" s="286"/>
      <c r="T307" s="286"/>
      <c r="U307" s="286"/>
      <c r="V307" s="286"/>
      <c r="W307" s="286"/>
      <c r="X307" s="286"/>
      <c r="Y307" s="286"/>
      <c r="Z307" s="286"/>
      <c r="AA307" s="286"/>
      <c r="AB307" s="286"/>
    </row>
    <row r="308">
      <c r="A308" s="286"/>
      <c r="B308" s="286"/>
      <c r="C308" s="529"/>
      <c r="D308" s="306"/>
      <c r="E308" s="306"/>
      <c r="F308" s="306"/>
      <c r="G308" s="528"/>
      <c r="H308" s="286"/>
      <c r="I308" s="286"/>
      <c r="J308" s="529"/>
      <c r="K308" s="286"/>
      <c r="L308" s="286"/>
      <c r="M308" s="529"/>
      <c r="N308" s="529"/>
      <c r="O308" s="529"/>
      <c r="P308" s="529"/>
      <c r="Q308" s="286"/>
      <c r="R308" s="286"/>
      <c r="S308" s="286"/>
      <c r="T308" s="286"/>
      <c r="U308" s="286"/>
      <c r="V308" s="286"/>
      <c r="W308" s="286"/>
      <c r="X308" s="286"/>
      <c r="Y308" s="286"/>
      <c r="Z308" s="286"/>
      <c r="AA308" s="286"/>
      <c r="AB308" s="286"/>
    </row>
    <row r="309">
      <c r="A309" s="286"/>
      <c r="B309" s="286"/>
      <c r="C309" s="529"/>
      <c r="D309" s="306"/>
      <c r="E309" s="306"/>
      <c r="F309" s="306"/>
      <c r="G309" s="528"/>
      <c r="H309" s="286"/>
      <c r="I309" s="286"/>
      <c r="J309" s="529"/>
      <c r="K309" s="286"/>
      <c r="L309" s="286"/>
      <c r="M309" s="529"/>
      <c r="N309" s="529"/>
      <c r="O309" s="529"/>
      <c r="P309" s="529"/>
      <c r="Q309" s="286"/>
      <c r="R309" s="286"/>
      <c r="S309" s="286"/>
      <c r="T309" s="286"/>
      <c r="U309" s="286"/>
      <c r="V309" s="286"/>
      <c r="W309" s="286"/>
      <c r="X309" s="286"/>
      <c r="Y309" s="286"/>
      <c r="Z309" s="286"/>
      <c r="AA309" s="286"/>
      <c r="AB309" s="286"/>
    </row>
    <row r="310">
      <c r="A310" s="286"/>
      <c r="B310" s="286"/>
      <c r="C310" s="529"/>
      <c r="D310" s="306"/>
      <c r="E310" s="306"/>
      <c r="F310" s="306"/>
      <c r="G310" s="528"/>
      <c r="H310" s="286"/>
      <c r="I310" s="286"/>
      <c r="J310" s="529"/>
      <c r="K310" s="286"/>
      <c r="L310" s="286"/>
      <c r="M310" s="529"/>
      <c r="N310" s="529"/>
      <c r="O310" s="529"/>
      <c r="P310" s="529"/>
      <c r="Q310" s="286"/>
      <c r="R310" s="286"/>
      <c r="S310" s="286"/>
      <c r="T310" s="286"/>
      <c r="U310" s="286"/>
      <c r="V310" s="286"/>
      <c r="W310" s="286"/>
      <c r="X310" s="286"/>
      <c r="Y310" s="286"/>
      <c r="Z310" s="286"/>
      <c r="AA310" s="286"/>
      <c r="AB310" s="286"/>
    </row>
    <row r="311">
      <c r="A311" s="286"/>
      <c r="B311" s="286"/>
      <c r="C311" s="529"/>
      <c r="D311" s="306"/>
      <c r="E311" s="306"/>
      <c r="F311" s="306"/>
      <c r="G311" s="528"/>
      <c r="H311" s="286"/>
      <c r="I311" s="286"/>
      <c r="J311" s="529"/>
      <c r="K311" s="286"/>
      <c r="L311" s="286"/>
      <c r="M311" s="529"/>
      <c r="N311" s="529"/>
      <c r="O311" s="529"/>
      <c r="P311" s="529"/>
      <c r="Q311" s="286"/>
      <c r="R311" s="286"/>
      <c r="S311" s="286"/>
      <c r="T311" s="286"/>
      <c r="U311" s="286"/>
      <c r="V311" s="286"/>
      <c r="W311" s="286"/>
      <c r="X311" s="286"/>
      <c r="Y311" s="286"/>
      <c r="Z311" s="286"/>
      <c r="AA311" s="286"/>
      <c r="AB311" s="286"/>
    </row>
    <row r="312">
      <c r="A312" s="286"/>
      <c r="B312" s="286"/>
      <c r="C312" s="529"/>
      <c r="D312" s="306"/>
      <c r="E312" s="306"/>
      <c r="F312" s="306"/>
      <c r="G312" s="528"/>
      <c r="H312" s="286"/>
      <c r="I312" s="286"/>
      <c r="J312" s="529"/>
      <c r="K312" s="286"/>
      <c r="L312" s="286"/>
      <c r="M312" s="529"/>
      <c r="N312" s="529"/>
      <c r="O312" s="529"/>
      <c r="P312" s="529"/>
      <c r="Q312" s="286"/>
      <c r="R312" s="286"/>
      <c r="S312" s="286"/>
      <c r="T312" s="286"/>
      <c r="U312" s="286"/>
      <c r="V312" s="286"/>
      <c r="W312" s="286"/>
      <c r="X312" s="286"/>
      <c r="Y312" s="286"/>
      <c r="Z312" s="286"/>
      <c r="AA312" s="286"/>
      <c r="AB312" s="286"/>
    </row>
    <row r="313">
      <c r="A313" s="286"/>
      <c r="B313" s="286"/>
      <c r="C313" s="529"/>
      <c r="D313" s="306"/>
      <c r="E313" s="306"/>
      <c r="F313" s="306"/>
      <c r="G313" s="528"/>
      <c r="H313" s="286"/>
      <c r="I313" s="286"/>
      <c r="J313" s="529"/>
      <c r="K313" s="286"/>
      <c r="L313" s="286"/>
      <c r="M313" s="529"/>
      <c r="N313" s="529"/>
      <c r="O313" s="529"/>
      <c r="P313" s="529"/>
      <c r="Q313" s="286"/>
      <c r="R313" s="286"/>
      <c r="S313" s="286"/>
      <c r="T313" s="286"/>
      <c r="U313" s="286"/>
      <c r="V313" s="286"/>
      <c r="W313" s="286"/>
      <c r="X313" s="286"/>
      <c r="Y313" s="286"/>
      <c r="Z313" s="286"/>
      <c r="AA313" s="286"/>
      <c r="AB313" s="286"/>
    </row>
    <row r="314">
      <c r="A314" s="286"/>
      <c r="B314" s="286"/>
      <c r="C314" s="529"/>
      <c r="D314" s="306"/>
      <c r="E314" s="306"/>
      <c r="F314" s="306"/>
      <c r="G314" s="528"/>
      <c r="H314" s="286"/>
      <c r="I314" s="286"/>
      <c r="J314" s="529"/>
      <c r="K314" s="286"/>
      <c r="L314" s="286"/>
      <c r="M314" s="529"/>
      <c r="N314" s="529"/>
      <c r="O314" s="529"/>
      <c r="P314" s="529"/>
      <c r="Q314" s="286"/>
      <c r="R314" s="286"/>
      <c r="S314" s="286"/>
      <c r="T314" s="286"/>
      <c r="U314" s="286"/>
      <c r="V314" s="286"/>
      <c r="W314" s="286"/>
      <c r="X314" s="286"/>
      <c r="Y314" s="286"/>
      <c r="Z314" s="286"/>
      <c r="AA314" s="286"/>
      <c r="AB314" s="286"/>
    </row>
    <row r="315">
      <c r="A315" s="286"/>
      <c r="B315" s="286"/>
      <c r="C315" s="529"/>
      <c r="D315" s="306"/>
      <c r="E315" s="306"/>
      <c r="F315" s="306"/>
      <c r="G315" s="528"/>
      <c r="H315" s="286"/>
      <c r="I315" s="286"/>
      <c r="J315" s="529"/>
      <c r="K315" s="286"/>
      <c r="L315" s="286"/>
      <c r="M315" s="529"/>
      <c r="N315" s="529"/>
      <c r="O315" s="529"/>
      <c r="P315" s="529"/>
      <c r="Q315" s="286"/>
      <c r="R315" s="286"/>
      <c r="S315" s="286"/>
      <c r="T315" s="286"/>
      <c r="U315" s="286"/>
      <c r="V315" s="286"/>
      <c r="W315" s="286"/>
      <c r="X315" s="286"/>
      <c r="Y315" s="286"/>
      <c r="Z315" s="286"/>
      <c r="AA315" s="286"/>
      <c r="AB315" s="286"/>
    </row>
    <row r="316">
      <c r="A316" s="286"/>
      <c r="B316" s="286"/>
      <c r="C316" s="529"/>
      <c r="D316" s="306"/>
      <c r="E316" s="306"/>
      <c r="F316" s="306"/>
      <c r="G316" s="528"/>
      <c r="H316" s="286"/>
      <c r="I316" s="286"/>
      <c r="J316" s="529"/>
      <c r="K316" s="286"/>
      <c r="L316" s="286"/>
      <c r="M316" s="529"/>
      <c r="N316" s="529"/>
      <c r="O316" s="529"/>
      <c r="P316" s="529"/>
      <c r="Q316" s="286"/>
      <c r="R316" s="286"/>
      <c r="S316" s="286"/>
      <c r="T316" s="286"/>
      <c r="U316" s="286"/>
      <c r="V316" s="286"/>
      <c r="W316" s="286"/>
      <c r="X316" s="286"/>
      <c r="Y316" s="286"/>
      <c r="Z316" s="286"/>
      <c r="AA316" s="286"/>
      <c r="AB316" s="286"/>
    </row>
    <row r="317">
      <c r="A317" s="286"/>
      <c r="B317" s="286"/>
      <c r="C317" s="529"/>
      <c r="D317" s="306"/>
      <c r="E317" s="306"/>
      <c r="F317" s="306"/>
      <c r="G317" s="528"/>
      <c r="H317" s="286"/>
      <c r="I317" s="286"/>
      <c r="J317" s="529"/>
      <c r="K317" s="286"/>
      <c r="L317" s="286"/>
      <c r="M317" s="529"/>
      <c r="N317" s="529"/>
      <c r="O317" s="529"/>
      <c r="P317" s="529"/>
      <c r="Q317" s="286"/>
      <c r="R317" s="286"/>
      <c r="S317" s="286"/>
      <c r="T317" s="286"/>
      <c r="U317" s="286"/>
      <c r="V317" s="286"/>
      <c r="W317" s="286"/>
      <c r="X317" s="286"/>
      <c r="Y317" s="286"/>
      <c r="Z317" s="286"/>
      <c r="AA317" s="286"/>
      <c r="AB317" s="286"/>
    </row>
    <row r="318">
      <c r="A318" s="286"/>
      <c r="B318" s="286"/>
      <c r="C318" s="529"/>
      <c r="D318" s="306"/>
      <c r="E318" s="306"/>
      <c r="F318" s="306"/>
      <c r="G318" s="528"/>
      <c r="H318" s="286"/>
      <c r="I318" s="286"/>
      <c r="J318" s="529"/>
      <c r="K318" s="286"/>
      <c r="L318" s="286"/>
      <c r="M318" s="529"/>
      <c r="N318" s="529"/>
      <c r="O318" s="529"/>
      <c r="P318" s="529"/>
      <c r="Q318" s="286"/>
      <c r="R318" s="286"/>
      <c r="S318" s="286"/>
      <c r="T318" s="286"/>
      <c r="U318" s="286"/>
      <c r="V318" s="286"/>
      <c r="W318" s="286"/>
      <c r="X318" s="286"/>
      <c r="Y318" s="286"/>
      <c r="Z318" s="286"/>
      <c r="AA318" s="286"/>
      <c r="AB318" s="286"/>
    </row>
    <row r="319">
      <c r="A319" s="286"/>
      <c r="B319" s="286"/>
      <c r="C319" s="529"/>
      <c r="D319" s="306"/>
      <c r="E319" s="306"/>
      <c r="F319" s="306"/>
      <c r="G319" s="528"/>
      <c r="H319" s="286"/>
      <c r="I319" s="286"/>
      <c r="J319" s="529"/>
      <c r="K319" s="286"/>
      <c r="L319" s="286"/>
      <c r="M319" s="529"/>
      <c r="N319" s="529"/>
      <c r="O319" s="529"/>
      <c r="P319" s="529"/>
      <c r="Q319" s="286"/>
      <c r="R319" s="286"/>
      <c r="S319" s="286"/>
      <c r="T319" s="286"/>
      <c r="U319" s="286"/>
      <c r="V319" s="286"/>
      <c r="W319" s="286"/>
      <c r="X319" s="286"/>
      <c r="Y319" s="286"/>
      <c r="Z319" s="286"/>
      <c r="AA319" s="286"/>
      <c r="AB319" s="286"/>
    </row>
    <row r="320">
      <c r="A320" s="286"/>
      <c r="B320" s="286"/>
      <c r="C320" s="529"/>
      <c r="D320" s="306"/>
      <c r="E320" s="306"/>
      <c r="F320" s="306"/>
      <c r="G320" s="528"/>
      <c r="H320" s="286"/>
      <c r="I320" s="286"/>
      <c r="J320" s="529"/>
      <c r="K320" s="286"/>
      <c r="L320" s="286"/>
      <c r="M320" s="529"/>
      <c r="N320" s="529"/>
      <c r="O320" s="529"/>
      <c r="P320" s="529"/>
      <c r="Q320" s="286"/>
      <c r="R320" s="286"/>
      <c r="S320" s="286"/>
      <c r="T320" s="286"/>
      <c r="U320" s="286"/>
      <c r="V320" s="286"/>
      <c r="W320" s="286"/>
      <c r="X320" s="286"/>
      <c r="Y320" s="286"/>
      <c r="Z320" s="286"/>
      <c r="AA320" s="286"/>
      <c r="AB320" s="286"/>
    </row>
    <row r="321">
      <c r="A321" s="286"/>
      <c r="B321" s="286"/>
      <c r="C321" s="529"/>
      <c r="D321" s="306"/>
      <c r="E321" s="306"/>
      <c r="F321" s="306"/>
      <c r="G321" s="528"/>
      <c r="H321" s="286"/>
      <c r="I321" s="286"/>
      <c r="J321" s="529"/>
      <c r="K321" s="286"/>
      <c r="L321" s="286"/>
      <c r="M321" s="529"/>
      <c r="N321" s="529"/>
      <c r="O321" s="529"/>
      <c r="P321" s="529"/>
      <c r="Q321" s="286"/>
      <c r="R321" s="286"/>
      <c r="S321" s="286"/>
      <c r="T321" s="286"/>
      <c r="U321" s="286"/>
      <c r="V321" s="286"/>
      <c r="W321" s="286"/>
      <c r="X321" s="286"/>
      <c r="Y321" s="286"/>
      <c r="Z321" s="286"/>
      <c r="AA321" s="286"/>
      <c r="AB321" s="286"/>
    </row>
    <row r="322">
      <c r="A322" s="286"/>
      <c r="B322" s="286"/>
      <c r="C322" s="529"/>
      <c r="D322" s="306"/>
      <c r="E322" s="306"/>
      <c r="F322" s="306"/>
      <c r="G322" s="528"/>
      <c r="H322" s="286"/>
      <c r="I322" s="286"/>
      <c r="J322" s="529"/>
      <c r="K322" s="286"/>
      <c r="L322" s="286"/>
      <c r="M322" s="529"/>
      <c r="N322" s="529"/>
      <c r="O322" s="529"/>
      <c r="P322" s="529"/>
      <c r="Q322" s="286"/>
      <c r="R322" s="286"/>
      <c r="S322" s="286"/>
      <c r="T322" s="286"/>
      <c r="U322" s="286"/>
      <c r="V322" s="286"/>
      <c r="W322" s="286"/>
      <c r="X322" s="286"/>
      <c r="Y322" s="286"/>
      <c r="Z322" s="286"/>
      <c r="AA322" s="286"/>
      <c r="AB322" s="286"/>
    </row>
    <row r="323">
      <c r="A323" s="286"/>
      <c r="B323" s="286"/>
      <c r="C323" s="529"/>
      <c r="D323" s="306"/>
      <c r="E323" s="306"/>
      <c r="F323" s="306"/>
      <c r="G323" s="528"/>
      <c r="H323" s="286"/>
      <c r="I323" s="286"/>
      <c r="J323" s="529"/>
      <c r="K323" s="286"/>
      <c r="L323" s="286"/>
      <c r="M323" s="529"/>
      <c r="N323" s="529"/>
      <c r="O323" s="529"/>
      <c r="P323" s="529"/>
      <c r="Q323" s="286"/>
      <c r="R323" s="286"/>
      <c r="S323" s="286"/>
      <c r="T323" s="286"/>
      <c r="U323" s="286"/>
      <c r="V323" s="286"/>
      <c r="W323" s="286"/>
      <c r="X323" s="286"/>
      <c r="Y323" s="286"/>
      <c r="Z323" s="286"/>
      <c r="AA323" s="286"/>
      <c r="AB323" s="286"/>
    </row>
    <row r="324">
      <c r="A324" s="286"/>
      <c r="B324" s="286"/>
      <c r="C324" s="529"/>
      <c r="D324" s="306"/>
      <c r="E324" s="306"/>
      <c r="F324" s="306"/>
      <c r="G324" s="528"/>
      <c r="H324" s="286"/>
      <c r="I324" s="286"/>
      <c r="J324" s="529"/>
      <c r="K324" s="286"/>
      <c r="L324" s="286"/>
      <c r="M324" s="529"/>
      <c r="N324" s="529"/>
      <c r="O324" s="529"/>
      <c r="P324" s="529"/>
      <c r="Q324" s="286"/>
      <c r="R324" s="286"/>
      <c r="S324" s="286"/>
      <c r="T324" s="286"/>
      <c r="U324" s="286"/>
      <c r="V324" s="286"/>
      <c r="W324" s="286"/>
      <c r="X324" s="286"/>
      <c r="Y324" s="286"/>
      <c r="Z324" s="286"/>
      <c r="AA324" s="286"/>
      <c r="AB324" s="286"/>
    </row>
    <row r="325">
      <c r="A325" s="286"/>
      <c r="B325" s="286"/>
      <c r="C325" s="529"/>
      <c r="D325" s="306"/>
      <c r="E325" s="306"/>
      <c r="F325" s="306"/>
      <c r="G325" s="528"/>
      <c r="H325" s="286"/>
      <c r="I325" s="286"/>
      <c r="J325" s="529"/>
      <c r="K325" s="286"/>
      <c r="L325" s="286"/>
      <c r="M325" s="529"/>
      <c r="N325" s="529"/>
      <c r="O325" s="529"/>
      <c r="P325" s="529"/>
      <c r="Q325" s="286"/>
      <c r="R325" s="286"/>
      <c r="S325" s="286"/>
      <c r="T325" s="286"/>
      <c r="U325" s="286"/>
      <c r="V325" s="286"/>
      <c r="W325" s="286"/>
      <c r="X325" s="286"/>
      <c r="Y325" s="286"/>
      <c r="Z325" s="286"/>
      <c r="AA325" s="286"/>
      <c r="AB325" s="286"/>
    </row>
    <row r="326">
      <c r="A326" s="286"/>
      <c r="B326" s="286"/>
      <c r="C326" s="529"/>
      <c r="D326" s="306"/>
      <c r="E326" s="306"/>
      <c r="F326" s="306"/>
      <c r="G326" s="528"/>
      <c r="H326" s="286"/>
      <c r="I326" s="286"/>
      <c r="J326" s="529"/>
      <c r="K326" s="286"/>
      <c r="L326" s="286"/>
      <c r="M326" s="529"/>
      <c r="N326" s="529"/>
      <c r="O326" s="529"/>
      <c r="P326" s="529"/>
      <c r="Q326" s="286"/>
      <c r="R326" s="286"/>
      <c r="S326" s="286"/>
      <c r="T326" s="286"/>
      <c r="U326" s="286"/>
      <c r="V326" s="286"/>
      <c r="W326" s="286"/>
      <c r="X326" s="286"/>
      <c r="Y326" s="286"/>
      <c r="Z326" s="286"/>
      <c r="AA326" s="286"/>
      <c r="AB326" s="286"/>
    </row>
    <row r="327">
      <c r="A327" s="286"/>
      <c r="B327" s="286"/>
      <c r="C327" s="529"/>
      <c r="D327" s="306"/>
      <c r="E327" s="306"/>
      <c r="F327" s="306"/>
      <c r="G327" s="528"/>
      <c r="H327" s="286"/>
      <c r="I327" s="286"/>
      <c r="J327" s="529"/>
      <c r="K327" s="286"/>
      <c r="L327" s="286"/>
      <c r="M327" s="529"/>
      <c r="N327" s="529"/>
      <c r="O327" s="529"/>
      <c r="P327" s="529"/>
      <c r="Q327" s="286"/>
      <c r="R327" s="286"/>
      <c r="S327" s="286"/>
      <c r="T327" s="286"/>
      <c r="U327" s="286"/>
      <c r="V327" s="286"/>
      <c r="W327" s="286"/>
      <c r="X327" s="286"/>
      <c r="Y327" s="286"/>
      <c r="Z327" s="286"/>
      <c r="AA327" s="286"/>
      <c r="AB327" s="286"/>
    </row>
    <row r="328">
      <c r="A328" s="286"/>
      <c r="B328" s="286"/>
      <c r="C328" s="529"/>
      <c r="D328" s="306"/>
      <c r="E328" s="306"/>
      <c r="F328" s="306"/>
      <c r="G328" s="528"/>
      <c r="H328" s="286"/>
      <c r="I328" s="286"/>
      <c r="J328" s="529"/>
      <c r="K328" s="286"/>
      <c r="L328" s="286"/>
      <c r="M328" s="529"/>
      <c r="N328" s="529"/>
      <c r="O328" s="529"/>
      <c r="P328" s="529"/>
      <c r="Q328" s="286"/>
      <c r="R328" s="286"/>
      <c r="S328" s="286"/>
      <c r="T328" s="286"/>
      <c r="U328" s="286"/>
      <c r="V328" s="286"/>
      <c r="W328" s="286"/>
      <c r="X328" s="286"/>
      <c r="Y328" s="286"/>
      <c r="Z328" s="286"/>
      <c r="AA328" s="286"/>
      <c r="AB328" s="286"/>
    </row>
    <row r="329">
      <c r="A329" s="286"/>
      <c r="B329" s="286"/>
      <c r="C329" s="529"/>
      <c r="D329" s="306"/>
      <c r="E329" s="306"/>
      <c r="F329" s="306"/>
      <c r="G329" s="528"/>
      <c r="H329" s="286"/>
      <c r="I329" s="286"/>
      <c r="J329" s="529"/>
      <c r="K329" s="286"/>
      <c r="L329" s="286"/>
      <c r="M329" s="529"/>
      <c r="N329" s="529"/>
      <c r="O329" s="529"/>
      <c r="P329" s="529"/>
      <c r="Q329" s="286"/>
      <c r="R329" s="286"/>
      <c r="S329" s="286"/>
      <c r="T329" s="286"/>
      <c r="U329" s="286"/>
      <c r="V329" s="286"/>
      <c r="W329" s="286"/>
      <c r="X329" s="286"/>
      <c r="Y329" s="286"/>
      <c r="Z329" s="286"/>
      <c r="AA329" s="286"/>
      <c r="AB329" s="286"/>
    </row>
    <row r="330">
      <c r="A330" s="286"/>
      <c r="B330" s="286"/>
      <c r="C330" s="529"/>
      <c r="D330" s="306"/>
      <c r="E330" s="306"/>
      <c r="F330" s="306"/>
      <c r="G330" s="528"/>
      <c r="H330" s="286"/>
      <c r="I330" s="286"/>
      <c r="J330" s="529"/>
      <c r="K330" s="286"/>
      <c r="L330" s="286"/>
      <c r="M330" s="529"/>
      <c r="N330" s="529"/>
      <c r="O330" s="529"/>
      <c r="P330" s="529"/>
      <c r="Q330" s="286"/>
      <c r="R330" s="286"/>
      <c r="S330" s="286"/>
      <c r="T330" s="286"/>
      <c r="U330" s="286"/>
      <c r="V330" s="286"/>
      <c r="W330" s="286"/>
      <c r="X330" s="286"/>
      <c r="Y330" s="286"/>
      <c r="Z330" s="286"/>
      <c r="AA330" s="286"/>
      <c r="AB330" s="286"/>
    </row>
    <row r="331">
      <c r="A331" s="286"/>
      <c r="B331" s="286"/>
      <c r="C331" s="529"/>
      <c r="D331" s="306"/>
      <c r="E331" s="306"/>
      <c r="F331" s="306"/>
      <c r="G331" s="528"/>
      <c r="H331" s="286"/>
      <c r="I331" s="286"/>
      <c r="J331" s="529"/>
      <c r="K331" s="286"/>
      <c r="L331" s="286"/>
      <c r="M331" s="529"/>
      <c r="N331" s="529"/>
      <c r="O331" s="529"/>
      <c r="P331" s="529"/>
      <c r="Q331" s="286"/>
      <c r="R331" s="286"/>
      <c r="S331" s="286"/>
      <c r="T331" s="286"/>
      <c r="U331" s="286"/>
      <c r="V331" s="286"/>
      <c r="W331" s="286"/>
      <c r="X331" s="286"/>
      <c r="Y331" s="286"/>
      <c r="Z331" s="286"/>
      <c r="AA331" s="286"/>
      <c r="AB331" s="286"/>
    </row>
    <row r="332">
      <c r="A332" s="286"/>
      <c r="B332" s="286"/>
      <c r="C332" s="529"/>
      <c r="D332" s="306"/>
      <c r="E332" s="306"/>
      <c r="F332" s="306"/>
      <c r="G332" s="528"/>
      <c r="H332" s="286"/>
      <c r="I332" s="286"/>
      <c r="J332" s="529"/>
      <c r="K332" s="286"/>
      <c r="L332" s="286"/>
      <c r="M332" s="529"/>
      <c r="N332" s="529"/>
      <c r="O332" s="529"/>
      <c r="P332" s="529"/>
      <c r="Q332" s="286"/>
      <c r="R332" s="286"/>
      <c r="S332" s="286"/>
      <c r="T332" s="286"/>
      <c r="U332" s="286"/>
      <c r="V332" s="286"/>
      <c r="W332" s="286"/>
      <c r="X332" s="286"/>
      <c r="Y332" s="286"/>
      <c r="Z332" s="286"/>
      <c r="AA332" s="286"/>
      <c r="AB332" s="286"/>
    </row>
    <row r="333">
      <c r="A333" s="286"/>
      <c r="B333" s="286"/>
      <c r="C333" s="529"/>
      <c r="D333" s="306"/>
      <c r="E333" s="306"/>
      <c r="F333" s="306"/>
      <c r="G333" s="528"/>
      <c r="H333" s="286"/>
      <c r="I333" s="286"/>
      <c r="J333" s="529"/>
      <c r="K333" s="286"/>
      <c r="L333" s="286"/>
      <c r="M333" s="529"/>
      <c r="N333" s="529"/>
      <c r="O333" s="529"/>
      <c r="P333" s="529"/>
      <c r="Q333" s="286"/>
      <c r="R333" s="286"/>
      <c r="S333" s="286"/>
      <c r="T333" s="286"/>
      <c r="U333" s="286"/>
      <c r="V333" s="286"/>
      <c r="W333" s="286"/>
      <c r="X333" s="286"/>
      <c r="Y333" s="286"/>
      <c r="Z333" s="286"/>
      <c r="AA333" s="286"/>
      <c r="AB333" s="286"/>
    </row>
    <row r="334">
      <c r="A334" s="286"/>
      <c r="B334" s="286"/>
      <c r="C334" s="529"/>
      <c r="D334" s="306"/>
      <c r="E334" s="306"/>
      <c r="F334" s="306"/>
      <c r="G334" s="528"/>
      <c r="H334" s="286"/>
      <c r="I334" s="286"/>
      <c r="J334" s="529"/>
      <c r="K334" s="286"/>
      <c r="L334" s="286"/>
      <c r="M334" s="529"/>
      <c r="N334" s="529"/>
      <c r="O334" s="529"/>
      <c r="P334" s="529"/>
      <c r="Q334" s="286"/>
      <c r="R334" s="286"/>
      <c r="S334" s="286"/>
      <c r="T334" s="286"/>
      <c r="U334" s="286"/>
      <c r="V334" s="286"/>
      <c r="W334" s="286"/>
      <c r="X334" s="286"/>
      <c r="Y334" s="286"/>
      <c r="Z334" s="286"/>
      <c r="AA334" s="286"/>
      <c r="AB334" s="286"/>
    </row>
    <row r="335">
      <c r="A335" s="286"/>
      <c r="B335" s="286"/>
      <c r="C335" s="529"/>
      <c r="D335" s="306"/>
      <c r="E335" s="306"/>
      <c r="F335" s="306"/>
      <c r="G335" s="528"/>
      <c r="H335" s="286"/>
      <c r="I335" s="286"/>
      <c r="J335" s="529"/>
      <c r="K335" s="286"/>
      <c r="L335" s="286"/>
      <c r="M335" s="529"/>
      <c r="N335" s="529"/>
      <c r="O335" s="529"/>
      <c r="P335" s="529"/>
      <c r="Q335" s="286"/>
      <c r="R335" s="286"/>
      <c r="S335" s="286"/>
      <c r="T335" s="286"/>
      <c r="U335" s="286"/>
      <c r="V335" s="286"/>
      <c r="W335" s="286"/>
      <c r="X335" s="286"/>
      <c r="Y335" s="286"/>
      <c r="Z335" s="286"/>
      <c r="AA335" s="286"/>
      <c r="AB335" s="286"/>
    </row>
    <row r="336">
      <c r="A336" s="286"/>
      <c r="B336" s="286"/>
      <c r="C336" s="529"/>
      <c r="D336" s="306"/>
      <c r="E336" s="306"/>
      <c r="F336" s="306"/>
      <c r="G336" s="528"/>
      <c r="H336" s="286"/>
      <c r="I336" s="286"/>
      <c r="J336" s="529"/>
      <c r="K336" s="286"/>
      <c r="L336" s="286"/>
      <c r="M336" s="529"/>
      <c r="N336" s="529"/>
      <c r="O336" s="529"/>
      <c r="P336" s="529"/>
      <c r="Q336" s="286"/>
      <c r="R336" s="286"/>
      <c r="S336" s="286"/>
      <c r="T336" s="286"/>
      <c r="U336" s="286"/>
      <c r="V336" s="286"/>
      <c r="W336" s="286"/>
      <c r="X336" s="286"/>
      <c r="Y336" s="286"/>
      <c r="Z336" s="286"/>
      <c r="AA336" s="286"/>
      <c r="AB336" s="286"/>
    </row>
    <row r="337">
      <c r="A337" s="286"/>
      <c r="B337" s="286"/>
      <c r="C337" s="529"/>
      <c r="D337" s="306"/>
      <c r="E337" s="306"/>
      <c r="F337" s="306"/>
      <c r="G337" s="528"/>
      <c r="H337" s="286"/>
      <c r="I337" s="286"/>
      <c r="J337" s="529"/>
      <c r="K337" s="286"/>
      <c r="L337" s="286"/>
      <c r="M337" s="529"/>
      <c r="N337" s="529"/>
      <c r="O337" s="529"/>
      <c r="P337" s="529"/>
      <c r="Q337" s="286"/>
      <c r="R337" s="286"/>
      <c r="S337" s="286"/>
      <c r="T337" s="286"/>
      <c r="U337" s="286"/>
      <c r="V337" s="286"/>
      <c r="W337" s="286"/>
      <c r="X337" s="286"/>
      <c r="Y337" s="286"/>
      <c r="Z337" s="286"/>
      <c r="AA337" s="286"/>
      <c r="AB337" s="286"/>
    </row>
    <row r="338">
      <c r="A338" s="286"/>
      <c r="B338" s="286"/>
      <c r="C338" s="529"/>
      <c r="D338" s="306"/>
      <c r="E338" s="306"/>
      <c r="F338" s="306"/>
      <c r="G338" s="528"/>
      <c r="H338" s="286"/>
      <c r="I338" s="286"/>
      <c r="J338" s="529"/>
      <c r="K338" s="286"/>
      <c r="L338" s="286"/>
      <c r="M338" s="529"/>
      <c r="N338" s="529"/>
      <c r="O338" s="529"/>
      <c r="P338" s="529"/>
      <c r="Q338" s="286"/>
      <c r="R338" s="286"/>
      <c r="S338" s="286"/>
      <c r="T338" s="286"/>
      <c r="U338" s="286"/>
      <c r="V338" s="286"/>
      <c r="W338" s="286"/>
      <c r="X338" s="286"/>
      <c r="Y338" s="286"/>
      <c r="Z338" s="286"/>
      <c r="AA338" s="286"/>
      <c r="AB338" s="286"/>
    </row>
    <row r="339">
      <c r="A339" s="286"/>
      <c r="B339" s="286"/>
      <c r="C339" s="529"/>
      <c r="D339" s="306"/>
      <c r="E339" s="306"/>
      <c r="F339" s="306"/>
      <c r="G339" s="528"/>
      <c r="H339" s="286"/>
      <c r="I339" s="286"/>
      <c r="J339" s="529"/>
      <c r="K339" s="286"/>
      <c r="L339" s="286"/>
      <c r="M339" s="529"/>
      <c r="N339" s="529"/>
      <c r="O339" s="529"/>
      <c r="P339" s="529"/>
      <c r="Q339" s="286"/>
      <c r="R339" s="286"/>
      <c r="S339" s="286"/>
      <c r="T339" s="286"/>
      <c r="U339" s="286"/>
      <c r="V339" s="286"/>
      <c r="W339" s="286"/>
      <c r="X339" s="286"/>
      <c r="Y339" s="286"/>
      <c r="Z339" s="286"/>
      <c r="AA339" s="286"/>
      <c r="AB339" s="286"/>
    </row>
    <row r="340">
      <c r="A340" s="286"/>
      <c r="B340" s="286"/>
      <c r="C340" s="529"/>
      <c r="D340" s="306"/>
      <c r="E340" s="306"/>
      <c r="F340" s="306"/>
      <c r="G340" s="528"/>
      <c r="H340" s="286"/>
      <c r="I340" s="286"/>
      <c r="J340" s="529"/>
      <c r="K340" s="286"/>
      <c r="L340" s="286"/>
      <c r="M340" s="529"/>
      <c r="N340" s="529"/>
      <c r="O340" s="529"/>
      <c r="P340" s="529"/>
      <c r="Q340" s="286"/>
      <c r="R340" s="286"/>
      <c r="S340" s="286"/>
      <c r="T340" s="286"/>
      <c r="U340" s="286"/>
      <c r="V340" s="286"/>
      <c r="W340" s="286"/>
      <c r="X340" s="286"/>
      <c r="Y340" s="286"/>
      <c r="Z340" s="286"/>
      <c r="AA340" s="286"/>
      <c r="AB340" s="286"/>
    </row>
    <row r="341">
      <c r="A341" s="286"/>
      <c r="B341" s="286"/>
      <c r="C341" s="529"/>
      <c r="D341" s="306"/>
      <c r="E341" s="306"/>
      <c r="F341" s="306"/>
      <c r="G341" s="528"/>
      <c r="H341" s="286"/>
      <c r="I341" s="286"/>
      <c r="J341" s="529"/>
      <c r="K341" s="286"/>
      <c r="L341" s="286"/>
      <c r="M341" s="529"/>
      <c r="N341" s="529"/>
      <c r="O341" s="529"/>
      <c r="P341" s="529"/>
      <c r="Q341" s="286"/>
      <c r="R341" s="286"/>
      <c r="S341" s="286"/>
      <c r="T341" s="286"/>
      <c r="U341" s="286"/>
      <c r="V341" s="286"/>
      <c r="W341" s="286"/>
      <c r="X341" s="286"/>
      <c r="Y341" s="286"/>
      <c r="Z341" s="286"/>
      <c r="AA341" s="286"/>
      <c r="AB341" s="286"/>
    </row>
    <row r="342">
      <c r="A342" s="286"/>
      <c r="B342" s="286"/>
      <c r="C342" s="529"/>
      <c r="D342" s="306"/>
      <c r="E342" s="306"/>
      <c r="F342" s="306"/>
      <c r="G342" s="528"/>
      <c r="H342" s="286"/>
      <c r="I342" s="286"/>
      <c r="J342" s="529"/>
      <c r="K342" s="286"/>
      <c r="L342" s="286"/>
      <c r="M342" s="529"/>
      <c r="N342" s="529"/>
      <c r="O342" s="529"/>
      <c r="P342" s="529"/>
      <c r="Q342" s="286"/>
      <c r="R342" s="286"/>
      <c r="S342" s="286"/>
      <c r="T342" s="286"/>
      <c r="U342" s="286"/>
      <c r="V342" s="286"/>
      <c r="W342" s="286"/>
      <c r="X342" s="286"/>
      <c r="Y342" s="286"/>
      <c r="Z342" s="286"/>
      <c r="AA342" s="286"/>
      <c r="AB342" s="286"/>
    </row>
    <row r="343">
      <c r="A343" s="286"/>
      <c r="B343" s="286"/>
      <c r="C343" s="529"/>
      <c r="D343" s="306"/>
      <c r="E343" s="306"/>
      <c r="F343" s="306"/>
      <c r="G343" s="528"/>
      <c r="H343" s="286"/>
      <c r="I343" s="286"/>
      <c r="J343" s="529"/>
      <c r="K343" s="286"/>
      <c r="L343" s="286"/>
      <c r="M343" s="529"/>
      <c r="N343" s="529"/>
      <c r="O343" s="529"/>
      <c r="P343" s="529"/>
      <c r="Q343" s="286"/>
      <c r="R343" s="286"/>
      <c r="S343" s="286"/>
      <c r="T343" s="286"/>
      <c r="U343" s="286"/>
      <c r="V343" s="286"/>
      <c r="W343" s="286"/>
      <c r="X343" s="286"/>
      <c r="Y343" s="286"/>
      <c r="Z343" s="286"/>
      <c r="AA343" s="286"/>
      <c r="AB343" s="286"/>
    </row>
    <row r="344">
      <c r="A344" s="286"/>
      <c r="B344" s="286"/>
      <c r="C344" s="529"/>
      <c r="D344" s="306"/>
      <c r="E344" s="306"/>
      <c r="F344" s="306"/>
      <c r="G344" s="528"/>
      <c r="H344" s="286"/>
      <c r="I344" s="286"/>
      <c r="J344" s="529"/>
      <c r="K344" s="286"/>
      <c r="L344" s="286"/>
      <c r="M344" s="529"/>
      <c r="N344" s="529"/>
      <c r="O344" s="529"/>
      <c r="P344" s="529"/>
      <c r="Q344" s="286"/>
      <c r="R344" s="286"/>
      <c r="S344" s="286"/>
      <c r="T344" s="286"/>
      <c r="U344" s="286"/>
      <c r="V344" s="286"/>
      <c r="W344" s="286"/>
      <c r="X344" s="286"/>
      <c r="Y344" s="286"/>
      <c r="Z344" s="286"/>
      <c r="AA344" s="286"/>
      <c r="AB344" s="286"/>
    </row>
    <row r="345">
      <c r="A345" s="286"/>
      <c r="B345" s="286"/>
      <c r="C345" s="529"/>
      <c r="D345" s="306"/>
      <c r="E345" s="306"/>
      <c r="F345" s="306"/>
      <c r="G345" s="528"/>
      <c r="H345" s="286"/>
      <c r="I345" s="286"/>
      <c r="J345" s="529"/>
      <c r="K345" s="286"/>
      <c r="L345" s="286"/>
      <c r="M345" s="529"/>
      <c r="N345" s="529"/>
      <c r="O345" s="529"/>
      <c r="P345" s="529"/>
      <c r="Q345" s="286"/>
      <c r="R345" s="286"/>
      <c r="S345" s="286"/>
      <c r="T345" s="286"/>
      <c r="U345" s="286"/>
      <c r="V345" s="286"/>
      <c r="W345" s="286"/>
      <c r="X345" s="286"/>
      <c r="Y345" s="286"/>
      <c r="Z345" s="286"/>
      <c r="AA345" s="286"/>
      <c r="AB345" s="286"/>
    </row>
    <row r="346">
      <c r="A346" s="286"/>
      <c r="B346" s="286"/>
      <c r="C346" s="529"/>
      <c r="D346" s="306"/>
      <c r="E346" s="306"/>
      <c r="F346" s="306"/>
      <c r="G346" s="528"/>
      <c r="H346" s="286"/>
      <c r="I346" s="286"/>
      <c r="J346" s="529"/>
      <c r="K346" s="286"/>
      <c r="L346" s="286"/>
      <c r="M346" s="529"/>
      <c r="N346" s="529"/>
      <c r="O346" s="529"/>
      <c r="P346" s="529"/>
      <c r="Q346" s="286"/>
      <c r="R346" s="286"/>
      <c r="S346" s="286"/>
      <c r="T346" s="286"/>
      <c r="U346" s="286"/>
      <c r="V346" s="286"/>
      <c r="W346" s="286"/>
      <c r="X346" s="286"/>
      <c r="Y346" s="286"/>
      <c r="Z346" s="286"/>
      <c r="AA346" s="286"/>
      <c r="AB346" s="286"/>
    </row>
    <row r="347">
      <c r="A347" s="286"/>
      <c r="B347" s="286"/>
      <c r="C347" s="529"/>
      <c r="D347" s="306"/>
      <c r="E347" s="306"/>
      <c r="F347" s="306"/>
      <c r="G347" s="528"/>
      <c r="H347" s="286"/>
      <c r="I347" s="286"/>
      <c r="J347" s="529"/>
      <c r="K347" s="286"/>
      <c r="L347" s="286"/>
      <c r="M347" s="529"/>
      <c r="N347" s="529"/>
      <c r="O347" s="529"/>
      <c r="P347" s="529"/>
      <c r="Q347" s="286"/>
      <c r="R347" s="286"/>
      <c r="S347" s="286"/>
      <c r="T347" s="286"/>
      <c r="U347" s="286"/>
      <c r="V347" s="286"/>
      <c r="W347" s="286"/>
      <c r="X347" s="286"/>
      <c r="Y347" s="286"/>
      <c r="Z347" s="286"/>
      <c r="AA347" s="286"/>
      <c r="AB347" s="286"/>
    </row>
    <row r="348">
      <c r="A348" s="286"/>
      <c r="B348" s="286"/>
      <c r="C348" s="529"/>
      <c r="D348" s="306"/>
      <c r="E348" s="306"/>
      <c r="F348" s="306"/>
      <c r="G348" s="528"/>
      <c r="H348" s="286"/>
      <c r="I348" s="286"/>
      <c r="J348" s="529"/>
      <c r="K348" s="286"/>
      <c r="L348" s="286"/>
      <c r="M348" s="529"/>
      <c r="N348" s="529"/>
      <c r="O348" s="529"/>
      <c r="P348" s="529"/>
      <c r="Q348" s="286"/>
      <c r="R348" s="286"/>
      <c r="S348" s="286"/>
      <c r="T348" s="286"/>
      <c r="U348" s="286"/>
      <c r="V348" s="286"/>
      <c r="W348" s="286"/>
      <c r="X348" s="286"/>
      <c r="Y348" s="286"/>
      <c r="Z348" s="286"/>
      <c r="AA348" s="286"/>
      <c r="AB348" s="286"/>
    </row>
    <row r="349">
      <c r="A349" s="286"/>
      <c r="B349" s="286"/>
      <c r="C349" s="529"/>
      <c r="D349" s="306"/>
      <c r="E349" s="306"/>
      <c r="F349" s="306"/>
      <c r="G349" s="528"/>
      <c r="H349" s="286"/>
      <c r="I349" s="286"/>
      <c r="J349" s="529"/>
      <c r="K349" s="286"/>
      <c r="L349" s="286"/>
      <c r="M349" s="529"/>
      <c r="N349" s="529"/>
      <c r="O349" s="529"/>
      <c r="P349" s="529"/>
      <c r="Q349" s="286"/>
      <c r="R349" s="286"/>
      <c r="S349" s="286"/>
      <c r="T349" s="286"/>
      <c r="U349" s="286"/>
      <c r="V349" s="286"/>
      <c r="W349" s="286"/>
      <c r="X349" s="286"/>
      <c r="Y349" s="286"/>
      <c r="Z349" s="286"/>
      <c r="AA349" s="286"/>
      <c r="AB349" s="286"/>
    </row>
    <row r="350">
      <c r="A350" s="286"/>
      <c r="B350" s="286"/>
      <c r="C350" s="529"/>
      <c r="D350" s="306"/>
      <c r="E350" s="306"/>
      <c r="F350" s="306"/>
      <c r="G350" s="528"/>
      <c r="H350" s="286"/>
      <c r="I350" s="286"/>
      <c r="J350" s="529"/>
      <c r="K350" s="286"/>
      <c r="L350" s="286"/>
      <c r="M350" s="529"/>
      <c r="N350" s="529"/>
      <c r="O350" s="529"/>
      <c r="P350" s="529"/>
      <c r="Q350" s="286"/>
      <c r="R350" s="286"/>
      <c r="S350" s="286"/>
      <c r="T350" s="286"/>
      <c r="U350" s="286"/>
      <c r="V350" s="286"/>
      <c r="W350" s="286"/>
      <c r="X350" s="286"/>
      <c r="Y350" s="286"/>
      <c r="Z350" s="286"/>
      <c r="AA350" s="286"/>
      <c r="AB350" s="286"/>
    </row>
    <row r="351">
      <c r="A351" s="286"/>
      <c r="B351" s="286"/>
      <c r="C351" s="529"/>
      <c r="D351" s="306"/>
      <c r="E351" s="306"/>
      <c r="F351" s="306"/>
      <c r="G351" s="528"/>
      <c r="H351" s="286"/>
      <c r="I351" s="286"/>
      <c r="J351" s="529"/>
      <c r="K351" s="286"/>
      <c r="L351" s="286"/>
      <c r="M351" s="529"/>
      <c r="N351" s="529"/>
      <c r="O351" s="529"/>
      <c r="P351" s="529"/>
      <c r="Q351" s="286"/>
      <c r="R351" s="286"/>
      <c r="S351" s="286"/>
      <c r="T351" s="286"/>
      <c r="U351" s="286"/>
      <c r="V351" s="286"/>
      <c r="W351" s="286"/>
      <c r="X351" s="286"/>
      <c r="Y351" s="286"/>
      <c r="Z351" s="286"/>
      <c r="AA351" s="286"/>
      <c r="AB351" s="286"/>
    </row>
    <row r="352">
      <c r="A352" s="286"/>
      <c r="B352" s="286"/>
      <c r="C352" s="529"/>
      <c r="D352" s="306"/>
      <c r="E352" s="306"/>
      <c r="F352" s="306"/>
      <c r="G352" s="528"/>
      <c r="H352" s="286"/>
      <c r="I352" s="286"/>
      <c r="J352" s="529"/>
      <c r="K352" s="286"/>
      <c r="L352" s="286"/>
      <c r="M352" s="529"/>
      <c r="N352" s="529"/>
      <c r="O352" s="529"/>
      <c r="P352" s="529"/>
      <c r="Q352" s="286"/>
      <c r="R352" s="286"/>
      <c r="S352" s="286"/>
      <c r="T352" s="286"/>
      <c r="U352" s="286"/>
      <c r="V352" s="286"/>
      <c r="W352" s="286"/>
      <c r="X352" s="286"/>
      <c r="Y352" s="286"/>
      <c r="Z352" s="286"/>
      <c r="AA352" s="286"/>
      <c r="AB352" s="286"/>
    </row>
    <row r="353">
      <c r="A353" s="286"/>
      <c r="B353" s="286"/>
      <c r="C353" s="529"/>
      <c r="D353" s="306"/>
      <c r="E353" s="306"/>
      <c r="F353" s="306"/>
      <c r="G353" s="528"/>
      <c r="H353" s="286"/>
      <c r="I353" s="286"/>
      <c r="J353" s="529"/>
      <c r="K353" s="286"/>
      <c r="L353" s="286"/>
      <c r="M353" s="529"/>
      <c r="N353" s="529"/>
      <c r="O353" s="529"/>
      <c r="P353" s="529"/>
      <c r="Q353" s="286"/>
      <c r="R353" s="286"/>
      <c r="S353" s="286"/>
      <c r="T353" s="286"/>
      <c r="U353" s="286"/>
      <c r="V353" s="286"/>
      <c r="W353" s="286"/>
      <c r="X353" s="286"/>
      <c r="Y353" s="286"/>
      <c r="Z353" s="286"/>
      <c r="AA353" s="286"/>
      <c r="AB353" s="286"/>
    </row>
    <row r="354">
      <c r="A354" s="286"/>
      <c r="B354" s="286"/>
      <c r="C354" s="529"/>
      <c r="D354" s="306"/>
      <c r="E354" s="306"/>
      <c r="F354" s="306"/>
      <c r="G354" s="528"/>
      <c r="H354" s="286"/>
      <c r="I354" s="286"/>
      <c r="J354" s="529"/>
      <c r="K354" s="286"/>
      <c r="L354" s="286"/>
      <c r="M354" s="529"/>
      <c r="N354" s="529"/>
      <c r="O354" s="529"/>
      <c r="P354" s="529"/>
      <c r="Q354" s="286"/>
      <c r="R354" s="286"/>
      <c r="S354" s="286"/>
      <c r="T354" s="286"/>
      <c r="U354" s="286"/>
      <c r="V354" s="286"/>
      <c r="W354" s="286"/>
      <c r="X354" s="286"/>
      <c r="Y354" s="286"/>
      <c r="Z354" s="286"/>
      <c r="AA354" s="286"/>
      <c r="AB354" s="286"/>
    </row>
    <row r="355">
      <c r="A355" s="286"/>
      <c r="B355" s="286"/>
      <c r="C355" s="529"/>
      <c r="D355" s="306"/>
      <c r="E355" s="306"/>
      <c r="F355" s="306"/>
      <c r="G355" s="528"/>
      <c r="H355" s="286"/>
      <c r="I355" s="286"/>
      <c r="J355" s="529"/>
      <c r="K355" s="286"/>
      <c r="L355" s="286"/>
      <c r="M355" s="529"/>
      <c r="N355" s="529"/>
      <c r="O355" s="529"/>
      <c r="P355" s="529"/>
      <c r="Q355" s="286"/>
      <c r="R355" s="286"/>
      <c r="S355" s="286"/>
      <c r="T355" s="286"/>
      <c r="U355" s="286"/>
      <c r="V355" s="286"/>
      <c r="W355" s="286"/>
      <c r="X355" s="286"/>
      <c r="Y355" s="286"/>
      <c r="Z355" s="286"/>
      <c r="AA355" s="286"/>
      <c r="AB355" s="286"/>
    </row>
    <row r="356">
      <c r="A356" s="286"/>
      <c r="B356" s="286"/>
      <c r="C356" s="529"/>
      <c r="D356" s="306"/>
      <c r="E356" s="306"/>
      <c r="F356" s="306"/>
      <c r="G356" s="528"/>
      <c r="H356" s="286"/>
      <c r="I356" s="286"/>
      <c r="J356" s="529"/>
      <c r="K356" s="286"/>
      <c r="L356" s="286"/>
      <c r="M356" s="529"/>
      <c r="N356" s="529"/>
      <c r="O356" s="529"/>
      <c r="P356" s="529"/>
      <c r="Q356" s="286"/>
      <c r="R356" s="286"/>
      <c r="S356" s="286"/>
      <c r="T356" s="286"/>
      <c r="U356" s="286"/>
      <c r="V356" s="286"/>
      <c r="W356" s="286"/>
      <c r="X356" s="286"/>
      <c r="Y356" s="286"/>
      <c r="Z356" s="286"/>
      <c r="AA356" s="286"/>
      <c r="AB356" s="286"/>
    </row>
    <row r="357">
      <c r="A357" s="286"/>
      <c r="B357" s="286"/>
      <c r="C357" s="529"/>
      <c r="D357" s="306"/>
      <c r="E357" s="306"/>
      <c r="F357" s="306"/>
      <c r="G357" s="528"/>
      <c r="H357" s="286"/>
      <c r="I357" s="286"/>
      <c r="J357" s="529"/>
      <c r="K357" s="286"/>
      <c r="L357" s="286"/>
      <c r="M357" s="529"/>
      <c r="N357" s="529"/>
      <c r="O357" s="529"/>
      <c r="P357" s="529"/>
      <c r="Q357" s="286"/>
      <c r="R357" s="286"/>
      <c r="S357" s="286"/>
      <c r="T357" s="286"/>
      <c r="U357" s="286"/>
      <c r="V357" s="286"/>
      <c r="W357" s="286"/>
      <c r="X357" s="286"/>
      <c r="Y357" s="286"/>
      <c r="Z357" s="286"/>
      <c r="AA357" s="286"/>
      <c r="AB357" s="286"/>
    </row>
    <row r="358">
      <c r="A358" s="286"/>
      <c r="B358" s="286"/>
      <c r="C358" s="529"/>
      <c r="D358" s="306"/>
      <c r="E358" s="306"/>
      <c r="F358" s="306"/>
      <c r="G358" s="528"/>
      <c r="H358" s="286"/>
      <c r="I358" s="286"/>
      <c r="J358" s="529"/>
      <c r="K358" s="286"/>
      <c r="L358" s="286"/>
      <c r="M358" s="529"/>
      <c r="N358" s="529"/>
      <c r="O358" s="529"/>
      <c r="P358" s="529"/>
      <c r="Q358" s="286"/>
      <c r="R358" s="286"/>
      <c r="S358" s="286"/>
      <c r="T358" s="286"/>
      <c r="U358" s="286"/>
      <c r="V358" s="286"/>
      <c r="W358" s="286"/>
      <c r="X358" s="286"/>
      <c r="Y358" s="286"/>
      <c r="Z358" s="286"/>
      <c r="AA358" s="286"/>
      <c r="AB358" s="286"/>
    </row>
    <row r="359">
      <c r="A359" s="286"/>
      <c r="B359" s="286"/>
      <c r="C359" s="529"/>
      <c r="D359" s="306"/>
      <c r="E359" s="306"/>
      <c r="F359" s="306"/>
      <c r="G359" s="528"/>
      <c r="H359" s="286"/>
      <c r="I359" s="286"/>
      <c r="J359" s="529"/>
      <c r="K359" s="286"/>
      <c r="L359" s="286"/>
      <c r="M359" s="529"/>
      <c r="N359" s="529"/>
      <c r="O359" s="529"/>
      <c r="P359" s="529"/>
      <c r="Q359" s="286"/>
      <c r="R359" s="286"/>
      <c r="S359" s="286"/>
      <c r="T359" s="286"/>
      <c r="U359" s="286"/>
      <c r="V359" s="286"/>
      <c r="W359" s="286"/>
      <c r="X359" s="286"/>
      <c r="Y359" s="286"/>
      <c r="Z359" s="286"/>
      <c r="AA359" s="286"/>
      <c r="AB359" s="286"/>
    </row>
    <row r="360">
      <c r="A360" s="286"/>
      <c r="B360" s="286"/>
      <c r="C360" s="529"/>
      <c r="D360" s="306"/>
      <c r="E360" s="306"/>
      <c r="F360" s="306"/>
      <c r="G360" s="528"/>
      <c r="H360" s="286"/>
      <c r="I360" s="286"/>
      <c r="J360" s="529"/>
      <c r="K360" s="286"/>
      <c r="L360" s="286"/>
      <c r="M360" s="529"/>
      <c r="N360" s="529"/>
      <c r="O360" s="529"/>
      <c r="P360" s="529"/>
      <c r="Q360" s="286"/>
      <c r="R360" s="286"/>
      <c r="S360" s="286"/>
      <c r="T360" s="286"/>
      <c r="U360" s="286"/>
      <c r="V360" s="286"/>
      <c r="W360" s="286"/>
      <c r="X360" s="286"/>
      <c r="Y360" s="286"/>
      <c r="Z360" s="286"/>
      <c r="AA360" s="286"/>
      <c r="AB360" s="286"/>
    </row>
    <row r="361">
      <c r="A361" s="286"/>
      <c r="B361" s="286"/>
      <c r="C361" s="529"/>
      <c r="D361" s="306"/>
      <c r="E361" s="306"/>
      <c r="F361" s="306"/>
      <c r="G361" s="528"/>
      <c r="H361" s="286"/>
      <c r="I361" s="286"/>
      <c r="J361" s="529"/>
      <c r="K361" s="286"/>
      <c r="L361" s="286"/>
      <c r="M361" s="529"/>
      <c r="N361" s="529"/>
      <c r="O361" s="529"/>
      <c r="P361" s="529"/>
      <c r="Q361" s="286"/>
      <c r="R361" s="286"/>
      <c r="S361" s="286"/>
      <c r="T361" s="286"/>
      <c r="U361" s="286"/>
      <c r="V361" s="286"/>
      <c r="W361" s="286"/>
      <c r="X361" s="286"/>
      <c r="Y361" s="286"/>
      <c r="Z361" s="286"/>
      <c r="AA361" s="286"/>
      <c r="AB361" s="286"/>
    </row>
    <row r="362">
      <c r="A362" s="286"/>
      <c r="B362" s="286"/>
      <c r="C362" s="529"/>
      <c r="D362" s="306"/>
      <c r="E362" s="306"/>
      <c r="F362" s="306"/>
      <c r="G362" s="528"/>
      <c r="H362" s="286"/>
      <c r="I362" s="286"/>
      <c r="J362" s="529"/>
      <c r="K362" s="286"/>
      <c r="L362" s="286"/>
      <c r="M362" s="529"/>
      <c r="N362" s="529"/>
      <c r="O362" s="529"/>
      <c r="P362" s="529"/>
      <c r="Q362" s="286"/>
      <c r="R362" s="286"/>
      <c r="S362" s="286"/>
      <c r="T362" s="286"/>
      <c r="U362" s="286"/>
      <c r="V362" s="286"/>
      <c r="W362" s="286"/>
      <c r="X362" s="286"/>
      <c r="Y362" s="286"/>
      <c r="Z362" s="286"/>
      <c r="AA362" s="286"/>
      <c r="AB362" s="286"/>
    </row>
    <row r="363">
      <c r="A363" s="286"/>
      <c r="B363" s="286"/>
      <c r="C363" s="529"/>
      <c r="D363" s="306"/>
      <c r="E363" s="306"/>
      <c r="F363" s="306"/>
      <c r="G363" s="528"/>
      <c r="H363" s="286"/>
      <c r="I363" s="286"/>
      <c r="J363" s="529"/>
      <c r="K363" s="286"/>
      <c r="L363" s="286"/>
      <c r="M363" s="529"/>
      <c r="N363" s="529"/>
      <c r="O363" s="529"/>
      <c r="P363" s="529"/>
      <c r="Q363" s="286"/>
      <c r="R363" s="286"/>
      <c r="S363" s="286"/>
      <c r="T363" s="286"/>
      <c r="U363" s="286"/>
      <c r="V363" s="286"/>
      <c r="W363" s="286"/>
      <c r="X363" s="286"/>
      <c r="Y363" s="286"/>
      <c r="Z363" s="286"/>
      <c r="AA363" s="286"/>
      <c r="AB363" s="286"/>
    </row>
    <row r="364">
      <c r="A364" s="286"/>
      <c r="B364" s="286"/>
      <c r="C364" s="529"/>
      <c r="D364" s="306"/>
      <c r="E364" s="306"/>
      <c r="F364" s="306"/>
      <c r="G364" s="528"/>
      <c r="H364" s="286"/>
      <c r="I364" s="286"/>
      <c r="J364" s="529"/>
      <c r="K364" s="286"/>
      <c r="L364" s="286"/>
      <c r="M364" s="529"/>
      <c r="N364" s="529"/>
      <c r="O364" s="529"/>
      <c r="P364" s="529"/>
      <c r="Q364" s="286"/>
      <c r="R364" s="286"/>
      <c r="S364" s="286"/>
      <c r="T364" s="286"/>
      <c r="U364" s="286"/>
      <c r="V364" s="286"/>
      <c r="W364" s="286"/>
      <c r="X364" s="286"/>
      <c r="Y364" s="286"/>
      <c r="Z364" s="286"/>
      <c r="AA364" s="286"/>
      <c r="AB364" s="286"/>
    </row>
    <row r="365">
      <c r="A365" s="286"/>
      <c r="B365" s="286"/>
      <c r="C365" s="529"/>
      <c r="D365" s="306"/>
      <c r="E365" s="306"/>
      <c r="F365" s="306"/>
      <c r="G365" s="528"/>
      <c r="H365" s="286"/>
      <c r="I365" s="286"/>
      <c r="J365" s="529"/>
      <c r="K365" s="286"/>
      <c r="L365" s="286"/>
      <c r="M365" s="529"/>
      <c r="N365" s="529"/>
      <c r="O365" s="529"/>
      <c r="P365" s="529"/>
      <c r="Q365" s="286"/>
      <c r="R365" s="286"/>
      <c r="S365" s="286"/>
      <c r="T365" s="286"/>
      <c r="U365" s="286"/>
      <c r="V365" s="286"/>
      <c r="W365" s="286"/>
      <c r="X365" s="286"/>
      <c r="Y365" s="286"/>
      <c r="Z365" s="286"/>
      <c r="AA365" s="286"/>
      <c r="AB365" s="286"/>
    </row>
    <row r="366">
      <c r="A366" s="286"/>
      <c r="B366" s="286"/>
      <c r="C366" s="529"/>
      <c r="D366" s="306"/>
      <c r="E366" s="306"/>
      <c r="F366" s="306"/>
      <c r="G366" s="528"/>
      <c r="H366" s="286"/>
      <c r="I366" s="286"/>
      <c r="J366" s="529"/>
      <c r="K366" s="286"/>
      <c r="L366" s="286"/>
      <c r="M366" s="529"/>
      <c r="N366" s="529"/>
      <c r="O366" s="529"/>
      <c r="P366" s="529"/>
      <c r="Q366" s="286"/>
      <c r="R366" s="286"/>
      <c r="S366" s="286"/>
      <c r="T366" s="286"/>
      <c r="U366" s="286"/>
      <c r="V366" s="286"/>
      <c r="W366" s="286"/>
      <c r="X366" s="286"/>
      <c r="Y366" s="286"/>
      <c r="Z366" s="286"/>
      <c r="AA366" s="286"/>
      <c r="AB366" s="286"/>
    </row>
    <row r="367">
      <c r="A367" s="286"/>
      <c r="B367" s="286"/>
      <c r="C367" s="529"/>
      <c r="D367" s="306"/>
      <c r="E367" s="306"/>
      <c r="F367" s="306"/>
      <c r="G367" s="528"/>
      <c r="H367" s="286"/>
      <c r="I367" s="286"/>
      <c r="J367" s="529"/>
      <c r="K367" s="286"/>
      <c r="L367" s="286"/>
      <c r="M367" s="529"/>
      <c r="N367" s="529"/>
      <c r="O367" s="529"/>
      <c r="P367" s="529"/>
      <c r="Q367" s="286"/>
      <c r="R367" s="286"/>
      <c r="S367" s="286"/>
      <c r="T367" s="286"/>
      <c r="U367" s="286"/>
      <c r="V367" s="286"/>
      <c r="W367" s="286"/>
      <c r="X367" s="286"/>
      <c r="Y367" s="286"/>
      <c r="Z367" s="286"/>
      <c r="AA367" s="286"/>
      <c r="AB367" s="286"/>
    </row>
    <row r="368">
      <c r="A368" s="286"/>
      <c r="B368" s="286"/>
      <c r="C368" s="529"/>
      <c r="D368" s="306"/>
      <c r="E368" s="306"/>
      <c r="F368" s="306"/>
      <c r="G368" s="528"/>
      <c r="H368" s="286"/>
      <c r="I368" s="286"/>
      <c r="J368" s="529"/>
      <c r="K368" s="286"/>
      <c r="L368" s="286"/>
      <c r="M368" s="529"/>
      <c r="N368" s="529"/>
      <c r="O368" s="529"/>
      <c r="P368" s="529"/>
      <c r="Q368" s="286"/>
      <c r="R368" s="286"/>
      <c r="S368" s="286"/>
      <c r="T368" s="286"/>
      <c r="U368" s="286"/>
      <c r="V368" s="286"/>
      <c r="W368" s="286"/>
      <c r="X368" s="286"/>
      <c r="Y368" s="286"/>
      <c r="Z368" s="286"/>
      <c r="AA368" s="286"/>
      <c r="AB368" s="286"/>
    </row>
    <row r="369">
      <c r="A369" s="286"/>
      <c r="B369" s="286"/>
      <c r="C369" s="529"/>
      <c r="D369" s="306"/>
      <c r="E369" s="306"/>
      <c r="F369" s="306"/>
      <c r="G369" s="528"/>
      <c r="H369" s="286"/>
      <c r="I369" s="286"/>
      <c r="J369" s="529"/>
      <c r="K369" s="286"/>
      <c r="L369" s="286"/>
      <c r="M369" s="529"/>
      <c r="N369" s="529"/>
      <c r="O369" s="529"/>
      <c r="P369" s="529"/>
      <c r="Q369" s="286"/>
      <c r="R369" s="286"/>
      <c r="S369" s="286"/>
      <c r="T369" s="286"/>
      <c r="U369" s="286"/>
      <c r="V369" s="286"/>
      <c r="W369" s="286"/>
      <c r="X369" s="286"/>
      <c r="Y369" s="286"/>
      <c r="Z369" s="286"/>
      <c r="AA369" s="286"/>
      <c r="AB369" s="286"/>
    </row>
    <row r="370">
      <c r="A370" s="286"/>
      <c r="B370" s="286"/>
      <c r="C370" s="529"/>
      <c r="D370" s="306"/>
      <c r="E370" s="306"/>
      <c r="F370" s="306"/>
      <c r="G370" s="528"/>
      <c r="H370" s="286"/>
      <c r="I370" s="286"/>
      <c r="J370" s="529"/>
      <c r="K370" s="286"/>
      <c r="L370" s="286"/>
      <c r="M370" s="529"/>
      <c r="N370" s="529"/>
      <c r="O370" s="529"/>
      <c r="P370" s="529"/>
      <c r="Q370" s="286"/>
      <c r="R370" s="286"/>
      <c r="S370" s="286"/>
      <c r="T370" s="286"/>
      <c r="U370" s="286"/>
      <c r="V370" s="286"/>
      <c r="W370" s="286"/>
      <c r="X370" s="286"/>
      <c r="Y370" s="286"/>
      <c r="Z370" s="286"/>
      <c r="AA370" s="286"/>
      <c r="AB370" s="286"/>
    </row>
    <row r="371">
      <c r="A371" s="286"/>
      <c r="B371" s="286"/>
      <c r="C371" s="529"/>
      <c r="D371" s="306"/>
      <c r="E371" s="306"/>
      <c r="F371" s="306"/>
      <c r="G371" s="528"/>
      <c r="H371" s="286"/>
      <c r="I371" s="286"/>
      <c r="J371" s="529"/>
      <c r="K371" s="286"/>
      <c r="L371" s="286"/>
      <c r="M371" s="529"/>
      <c r="N371" s="529"/>
      <c r="O371" s="529"/>
      <c r="P371" s="529"/>
      <c r="Q371" s="286"/>
      <c r="R371" s="286"/>
      <c r="S371" s="286"/>
      <c r="T371" s="286"/>
      <c r="U371" s="286"/>
      <c r="V371" s="286"/>
      <c r="W371" s="286"/>
      <c r="X371" s="286"/>
      <c r="Y371" s="286"/>
      <c r="Z371" s="286"/>
      <c r="AA371" s="286"/>
      <c r="AB371" s="286"/>
    </row>
    <row r="372">
      <c r="A372" s="286"/>
      <c r="B372" s="286"/>
      <c r="C372" s="529"/>
      <c r="D372" s="306"/>
      <c r="E372" s="306"/>
      <c r="F372" s="306"/>
      <c r="G372" s="528"/>
      <c r="H372" s="286"/>
      <c r="I372" s="286"/>
      <c r="J372" s="529"/>
      <c r="K372" s="286"/>
      <c r="L372" s="286"/>
      <c r="M372" s="529"/>
      <c r="N372" s="529"/>
      <c r="O372" s="529"/>
      <c r="P372" s="529"/>
      <c r="Q372" s="286"/>
      <c r="R372" s="286"/>
      <c r="S372" s="286"/>
      <c r="T372" s="286"/>
      <c r="U372" s="286"/>
      <c r="V372" s="286"/>
      <c r="W372" s="286"/>
      <c r="X372" s="286"/>
      <c r="Y372" s="286"/>
      <c r="Z372" s="286"/>
      <c r="AA372" s="286"/>
      <c r="AB372" s="286"/>
    </row>
    <row r="373">
      <c r="A373" s="286"/>
      <c r="B373" s="286"/>
      <c r="C373" s="529"/>
      <c r="D373" s="306"/>
      <c r="E373" s="306"/>
      <c r="F373" s="306"/>
      <c r="G373" s="528"/>
      <c r="H373" s="286"/>
      <c r="I373" s="286"/>
      <c r="J373" s="529"/>
      <c r="K373" s="286"/>
      <c r="L373" s="286"/>
      <c r="M373" s="529"/>
      <c r="N373" s="529"/>
      <c r="O373" s="529"/>
      <c r="P373" s="529"/>
      <c r="Q373" s="286"/>
      <c r="R373" s="286"/>
      <c r="S373" s="286"/>
      <c r="T373" s="286"/>
      <c r="U373" s="286"/>
      <c r="V373" s="286"/>
      <c r="W373" s="286"/>
      <c r="X373" s="286"/>
      <c r="Y373" s="286"/>
      <c r="Z373" s="286"/>
      <c r="AA373" s="286"/>
      <c r="AB373" s="286"/>
    </row>
    <row r="374">
      <c r="A374" s="286"/>
      <c r="B374" s="286"/>
      <c r="C374" s="529"/>
      <c r="D374" s="306"/>
      <c r="E374" s="306"/>
      <c r="F374" s="306"/>
      <c r="G374" s="528"/>
      <c r="H374" s="286"/>
      <c r="I374" s="286"/>
      <c r="J374" s="529"/>
      <c r="K374" s="286"/>
      <c r="L374" s="286"/>
      <c r="M374" s="529"/>
      <c r="N374" s="529"/>
      <c r="O374" s="529"/>
      <c r="P374" s="529"/>
      <c r="Q374" s="286"/>
      <c r="R374" s="286"/>
      <c r="S374" s="286"/>
      <c r="T374" s="286"/>
      <c r="U374" s="286"/>
      <c r="V374" s="286"/>
      <c r="W374" s="286"/>
      <c r="X374" s="286"/>
      <c r="Y374" s="286"/>
      <c r="Z374" s="286"/>
      <c r="AA374" s="286"/>
      <c r="AB374" s="286"/>
    </row>
    <row r="375">
      <c r="A375" s="286"/>
      <c r="B375" s="286"/>
      <c r="C375" s="529"/>
      <c r="D375" s="306"/>
      <c r="E375" s="306"/>
      <c r="F375" s="306"/>
      <c r="G375" s="528"/>
      <c r="H375" s="286"/>
      <c r="I375" s="286"/>
      <c r="J375" s="529"/>
      <c r="K375" s="286"/>
      <c r="L375" s="286"/>
      <c r="M375" s="529"/>
      <c r="N375" s="529"/>
      <c r="O375" s="529"/>
      <c r="P375" s="529"/>
      <c r="Q375" s="286"/>
      <c r="R375" s="286"/>
      <c r="S375" s="286"/>
      <c r="T375" s="286"/>
      <c r="U375" s="286"/>
      <c r="V375" s="286"/>
      <c r="W375" s="286"/>
      <c r="X375" s="286"/>
      <c r="Y375" s="286"/>
      <c r="Z375" s="286"/>
      <c r="AA375" s="286"/>
      <c r="AB375" s="286"/>
    </row>
    <row r="376">
      <c r="A376" s="286"/>
      <c r="B376" s="286"/>
      <c r="C376" s="529"/>
      <c r="D376" s="306"/>
      <c r="E376" s="306"/>
      <c r="F376" s="306"/>
      <c r="G376" s="528"/>
      <c r="H376" s="286"/>
      <c r="I376" s="286"/>
      <c r="J376" s="529"/>
      <c r="K376" s="286"/>
      <c r="L376" s="286"/>
      <c r="M376" s="529"/>
      <c r="N376" s="529"/>
      <c r="O376" s="529"/>
      <c r="P376" s="529"/>
      <c r="Q376" s="286"/>
      <c r="R376" s="286"/>
      <c r="S376" s="286"/>
      <c r="T376" s="286"/>
      <c r="U376" s="286"/>
      <c r="V376" s="286"/>
      <c r="W376" s="286"/>
      <c r="X376" s="286"/>
      <c r="Y376" s="286"/>
      <c r="Z376" s="286"/>
      <c r="AA376" s="286"/>
      <c r="AB376" s="286"/>
    </row>
    <row r="377">
      <c r="A377" s="286"/>
      <c r="B377" s="286"/>
      <c r="C377" s="529"/>
      <c r="D377" s="306"/>
      <c r="E377" s="306"/>
      <c r="F377" s="306"/>
      <c r="G377" s="528"/>
      <c r="H377" s="286"/>
      <c r="I377" s="286"/>
      <c r="J377" s="529"/>
      <c r="K377" s="286"/>
      <c r="L377" s="286"/>
      <c r="M377" s="529"/>
      <c r="N377" s="529"/>
      <c r="O377" s="529"/>
      <c r="P377" s="529"/>
      <c r="Q377" s="286"/>
      <c r="R377" s="286"/>
      <c r="S377" s="286"/>
      <c r="T377" s="286"/>
      <c r="U377" s="286"/>
      <c r="V377" s="286"/>
      <c r="W377" s="286"/>
      <c r="X377" s="286"/>
      <c r="Y377" s="286"/>
      <c r="Z377" s="286"/>
      <c r="AA377" s="286"/>
      <c r="AB377" s="286"/>
    </row>
    <row r="378">
      <c r="A378" s="286"/>
      <c r="B378" s="286"/>
      <c r="C378" s="529"/>
      <c r="D378" s="306"/>
      <c r="E378" s="306"/>
      <c r="F378" s="306"/>
      <c r="G378" s="528"/>
      <c r="H378" s="286"/>
      <c r="I378" s="286"/>
      <c r="J378" s="529"/>
      <c r="K378" s="286"/>
      <c r="L378" s="286"/>
      <c r="M378" s="529"/>
      <c r="N378" s="529"/>
      <c r="O378" s="529"/>
      <c r="P378" s="529"/>
      <c r="Q378" s="286"/>
      <c r="R378" s="286"/>
      <c r="S378" s="286"/>
      <c r="T378" s="286"/>
      <c r="U378" s="286"/>
      <c r="V378" s="286"/>
      <c r="W378" s="286"/>
      <c r="X378" s="286"/>
      <c r="Y378" s="286"/>
      <c r="Z378" s="286"/>
      <c r="AA378" s="286"/>
      <c r="AB378" s="286"/>
    </row>
    <row r="379">
      <c r="A379" s="286"/>
      <c r="B379" s="286"/>
      <c r="C379" s="529"/>
      <c r="D379" s="306"/>
      <c r="E379" s="306"/>
      <c r="F379" s="306"/>
      <c r="G379" s="528"/>
      <c r="H379" s="286"/>
      <c r="I379" s="286"/>
      <c r="J379" s="529"/>
      <c r="K379" s="286"/>
      <c r="L379" s="286"/>
      <c r="M379" s="529"/>
      <c r="N379" s="529"/>
      <c r="O379" s="529"/>
      <c r="P379" s="529"/>
      <c r="Q379" s="286"/>
      <c r="R379" s="286"/>
      <c r="S379" s="286"/>
      <c r="T379" s="286"/>
      <c r="U379" s="286"/>
      <c r="V379" s="286"/>
      <c r="W379" s="286"/>
      <c r="X379" s="286"/>
      <c r="Y379" s="286"/>
      <c r="Z379" s="286"/>
      <c r="AA379" s="286"/>
      <c r="AB379" s="286"/>
    </row>
    <row r="380">
      <c r="A380" s="286"/>
      <c r="B380" s="286"/>
      <c r="C380" s="529"/>
      <c r="D380" s="306"/>
      <c r="E380" s="306"/>
      <c r="F380" s="306"/>
      <c r="G380" s="528"/>
      <c r="H380" s="286"/>
      <c r="I380" s="286"/>
      <c r="J380" s="529"/>
      <c r="K380" s="286"/>
      <c r="L380" s="286"/>
      <c r="M380" s="529"/>
      <c r="N380" s="529"/>
      <c r="O380" s="529"/>
      <c r="P380" s="529"/>
      <c r="Q380" s="286"/>
      <c r="R380" s="286"/>
      <c r="S380" s="286"/>
      <c r="T380" s="286"/>
      <c r="U380" s="286"/>
      <c r="V380" s="286"/>
      <c r="W380" s="286"/>
      <c r="X380" s="286"/>
      <c r="Y380" s="286"/>
      <c r="Z380" s="286"/>
      <c r="AA380" s="286"/>
      <c r="AB380" s="286"/>
    </row>
    <row r="381">
      <c r="A381" s="286"/>
      <c r="B381" s="286"/>
      <c r="C381" s="529"/>
      <c r="D381" s="306"/>
      <c r="E381" s="306"/>
      <c r="F381" s="306"/>
      <c r="G381" s="528"/>
      <c r="H381" s="286"/>
      <c r="I381" s="286"/>
      <c r="J381" s="529"/>
      <c r="K381" s="286"/>
      <c r="L381" s="286"/>
      <c r="M381" s="529"/>
      <c r="N381" s="529"/>
      <c r="O381" s="529"/>
      <c r="P381" s="529"/>
      <c r="Q381" s="286"/>
      <c r="R381" s="286"/>
      <c r="S381" s="286"/>
      <c r="T381" s="286"/>
      <c r="U381" s="286"/>
      <c r="V381" s="286"/>
      <c r="W381" s="286"/>
      <c r="X381" s="286"/>
      <c r="Y381" s="286"/>
      <c r="Z381" s="286"/>
      <c r="AA381" s="286"/>
      <c r="AB381" s="286"/>
    </row>
    <row r="382">
      <c r="A382" s="286"/>
      <c r="B382" s="286"/>
      <c r="C382" s="529"/>
      <c r="D382" s="306"/>
      <c r="E382" s="306"/>
      <c r="F382" s="306"/>
      <c r="G382" s="528"/>
      <c r="H382" s="286"/>
      <c r="I382" s="286"/>
      <c r="J382" s="529"/>
      <c r="K382" s="286"/>
      <c r="L382" s="286"/>
      <c r="M382" s="529"/>
      <c r="N382" s="529"/>
      <c r="O382" s="529"/>
      <c r="P382" s="529"/>
      <c r="Q382" s="286"/>
      <c r="R382" s="286"/>
      <c r="S382" s="286"/>
      <c r="T382" s="286"/>
      <c r="U382" s="286"/>
      <c r="V382" s="286"/>
      <c r="W382" s="286"/>
      <c r="X382" s="286"/>
      <c r="Y382" s="286"/>
      <c r="Z382" s="286"/>
      <c r="AA382" s="286"/>
      <c r="AB382" s="286"/>
    </row>
    <row r="383">
      <c r="A383" s="286"/>
      <c r="B383" s="286"/>
      <c r="C383" s="529"/>
      <c r="D383" s="306"/>
      <c r="E383" s="306"/>
      <c r="F383" s="306"/>
      <c r="G383" s="528"/>
      <c r="H383" s="286"/>
      <c r="I383" s="286"/>
      <c r="J383" s="529"/>
      <c r="K383" s="286"/>
      <c r="L383" s="286"/>
      <c r="M383" s="529"/>
      <c r="N383" s="529"/>
      <c r="O383" s="529"/>
      <c r="P383" s="529"/>
      <c r="Q383" s="286"/>
      <c r="R383" s="286"/>
      <c r="S383" s="286"/>
      <c r="T383" s="286"/>
      <c r="U383" s="286"/>
      <c r="V383" s="286"/>
      <c r="W383" s="286"/>
      <c r="X383" s="286"/>
      <c r="Y383" s="286"/>
      <c r="Z383" s="286"/>
      <c r="AA383" s="286"/>
      <c r="AB383" s="286"/>
    </row>
    <row r="384">
      <c r="A384" s="286"/>
      <c r="B384" s="286"/>
      <c r="C384" s="529"/>
      <c r="D384" s="306"/>
      <c r="E384" s="306"/>
      <c r="F384" s="306"/>
      <c r="G384" s="528"/>
      <c r="H384" s="286"/>
      <c r="I384" s="286"/>
      <c r="J384" s="529"/>
      <c r="K384" s="286"/>
      <c r="L384" s="286"/>
      <c r="M384" s="529"/>
      <c r="N384" s="529"/>
      <c r="O384" s="529"/>
      <c r="P384" s="529"/>
      <c r="Q384" s="286"/>
      <c r="R384" s="286"/>
      <c r="S384" s="286"/>
      <c r="T384" s="286"/>
      <c r="U384" s="286"/>
      <c r="V384" s="286"/>
      <c r="W384" s="286"/>
      <c r="X384" s="286"/>
      <c r="Y384" s="286"/>
      <c r="Z384" s="286"/>
      <c r="AA384" s="286"/>
      <c r="AB384" s="286"/>
    </row>
    <row r="385">
      <c r="A385" s="286"/>
      <c r="B385" s="286"/>
      <c r="C385" s="529"/>
      <c r="D385" s="306"/>
      <c r="E385" s="306"/>
      <c r="F385" s="306"/>
      <c r="G385" s="528"/>
      <c r="H385" s="286"/>
      <c r="I385" s="286"/>
      <c r="J385" s="529"/>
      <c r="K385" s="286"/>
      <c r="L385" s="286"/>
      <c r="M385" s="529"/>
      <c r="N385" s="529"/>
      <c r="O385" s="529"/>
      <c r="P385" s="529"/>
      <c r="Q385" s="286"/>
      <c r="R385" s="286"/>
      <c r="S385" s="286"/>
      <c r="T385" s="286"/>
      <c r="U385" s="286"/>
      <c r="V385" s="286"/>
      <c r="W385" s="286"/>
      <c r="X385" s="286"/>
      <c r="Y385" s="286"/>
      <c r="Z385" s="286"/>
      <c r="AA385" s="286"/>
      <c r="AB385" s="286"/>
    </row>
    <row r="386">
      <c r="A386" s="286"/>
      <c r="B386" s="286"/>
      <c r="C386" s="529"/>
      <c r="D386" s="306"/>
      <c r="E386" s="306"/>
      <c r="F386" s="306"/>
      <c r="G386" s="528"/>
      <c r="H386" s="286"/>
      <c r="I386" s="286"/>
      <c r="J386" s="529"/>
      <c r="K386" s="286"/>
      <c r="L386" s="286"/>
      <c r="M386" s="529"/>
      <c r="N386" s="529"/>
      <c r="O386" s="529"/>
      <c r="P386" s="529"/>
      <c r="Q386" s="286"/>
      <c r="R386" s="286"/>
      <c r="S386" s="286"/>
      <c r="T386" s="286"/>
      <c r="U386" s="286"/>
      <c r="V386" s="286"/>
      <c r="W386" s="286"/>
      <c r="X386" s="286"/>
      <c r="Y386" s="286"/>
      <c r="Z386" s="286"/>
      <c r="AA386" s="286"/>
      <c r="AB386" s="286"/>
    </row>
    <row r="387">
      <c r="A387" s="286"/>
      <c r="B387" s="286"/>
      <c r="C387" s="529"/>
      <c r="D387" s="306"/>
      <c r="E387" s="306"/>
      <c r="F387" s="306"/>
      <c r="G387" s="528"/>
      <c r="H387" s="286"/>
      <c r="I387" s="286"/>
      <c r="J387" s="529"/>
      <c r="K387" s="286"/>
      <c r="L387" s="286"/>
      <c r="M387" s="529"/>
      <c r="N387" s="529"/>
      <c r="O387" s="529"/>
      <c r="P387" s="529"/>
      <c r="Q387" s="286"/>
      <c r="R387" s="286"/>
      <c r="S387" s="286"/>
      <c r="T387" s="286"/>
      <c r="U387" s="286"/>
      <c r="V387" s="286"/>
      <c r="W387" s="286"/>
      <c r="X387" s="286"/>
      <c r="Y387" s="286"/>
      <c r="Z387" s="286"/>
      <c r="AA387" s="286"/>
      <c r="AB387" s="286"/>
    </row>
    <row r="388">
      <c r="A388" s="286"/>
      <c r="B388" s="286"/>
      <c r="C388" s="529"/>
      <c r="D388" s="306"/>
      <c r="E388" s="306"/>
      <c r="F388" s="306"/>
      <c r="G388" s="528"/>
      <c r="H388" s="286"/>
      <c r="I388" s="286"/>
      <c r="J388" s="529"/>
      <c r="K388" s="286"/>
      <c r="L388" s="286"/>
      <c r="M388" s="529"/>
      <c r="N388" s="529"/>
      <c r="O388" s="529"/>
      <c r="P388" s="529"/>
      <c r="Q388" s="286"/>
      <c r="R388" s="286"/>
      <c r="S388" s="286"/>
      <c r="T388" s="286"/>
      <c r="U388" s="286"/>
      <c r="V388" s="286"/>
      <c r="W388" s="286"/>
      <c r="X388" s="286"/>
      <c r="Y388" s="286"/>
      <c r="Z388" s="286"/>
      <c r="AA388" s="286"/>
      <c r="AB388" s="286"/>
    </row>
    <row r="389">
      <c r="A389" s="286"/>
      <c r="B389" s="286"/>
      <c r="C389" s="529"/>
      <c r="D389" s="306"/>
      <c r="E389" s="306"/>
      <c r="F389" s="306"/>
      <c r="G389" s="528"/>
      <c r="H389" s="286"/>
      <c r="I389" s="286"/>
      <c r="J389" s="529"/>
      <c r="K389" s="286"/>
      <c r="L389" s="286"/>
      <c r="M389" s="529"/>
      <c r="N389" s="529"/>
      <c r="O389" s="529"/>
      <c r="P389" s="529"/>
      <c r="Q389" s="286"/>
      <c r="R389" s="286"/>
      <c r="S389" s="286"/>
      <c r="T389" s="286"/>
      <c r="U389" s="286"/>
      <c r="V389" s="286"/>
      <c r="W389" s="286"/>
      <c r="X389" s="286"/>
      <c r="Y389" s="286"/>
      <c r="Z389" s="286"/>
      <c r="AA389" s="286"/>
      <c r="AB389" s="286"/>
    </row>
    <row r="390">
      <c r="A390" s="286"/>
      <c r="B390" s="286"/>
      <c r="C390" s="529"/>
      <c r="D390" s="306"/>
      <c r="E390" s="306"/>
      <c r="F390" s="306"/>
      <c r="G390" s="528"/>
      <c r="H390" s="286"/>
      <c r="I390" s="286"/>
      <c r="J390" s="529"/>
      <c r="K390" s="286"/>
      <c r="L390" s="286"/>
      <c r="M390" s="529"/>
      <c r="N390" s="529"/>
      <c r="O390" s="529"/>
      <c r="P390" s="529"/>
      <c r="Q390" s="286"/>
      <c r="R390" s="286"/>
      <c r="S390" s="286"/>
      <c r="T390" s="286"/>
      <c r="U390" s="286"/>
      <c r="V390" s="286"/>
      <c r="W390" s="286"/>
      <c r="X390" s="286"/>
      <c r="Y390" s="286"/>
      <c r="Z390" s="286"/>
      <c r="AA390" s="286"/>
      <c r="AB390" s="286"/>
    </row>
    <row r="391">
      <c r="A391" s="286"/>
      <c r="B391" s="286"/>
      <c r="C391" s="529"/>
      <c r="D391" s="306"/>
      <c r="E391" s="306"/>
      <c r="F391" s="306"/>
      <c r="G391" s="528"/>
      <c r="H391" s="286"/>
      <c r="I391" s="286"/>
      <c r="J391" s="529"/>
      <c r="K391" s="286"/>
      <c r="L391" s="286"/>
      <c r="M391" s="529"/>
      <c r="N391" s="529"/>
      <c r="O391" s="529"/>
      <c r="P391" s="529"/>
      <c r="Q391" s="286"/>
      <c r="R391" s="286"/>
      <c r="S391" s="286"/>
      <c r="T391" s="286"/>
      <c r="U391" s="286"/>
      <c r="V391" s="286"/>
      <c r="W391" s="286"/>
      <c r="X391" s="286"/>
      <c r="Y391" s="286"/>
      <c r="Z391" s="286"/>
      <c r="AA391" s="286"/>
      <c r="AB391" s="286"/>
    </row>
    <row r="392">
      <c r="A392" s="286"/>
      <c r="B392" s="286"/>
      <c r="C392" s="529"/>
      <c r="D392" s="306"/>
      <c r="E392" s="306"/>
      <c r="F392" s="306"/>
      <c r="G392" s="528"/>
      <c r="H392" s="286"/>
      <c r="I392" s="286"/>
      <c r="J392" s="529"/>
      <c r="K392" s="286"/>
      <c r="L392" s="286"/>
      <c r="M392" s="529"/>
      <c r="N392" s="529"/>
      <c r="O392" s="529"/>
      <c r="P392" s="529"/>
      <c r="Q392" s="286"/>
      <c r="R392" s="286"/>
      <c r="S392" s="286"/>
      <c r="T392" s="286"/>
      <c r="U392" s="286"/>
      <c r="V392" s="286"/>
      <c r="W392" s="286"/>
      <c r="X392" s="286"/>
      <c r="Y392" s="286"/>
      <c r="Z392" s="286"/>
      <c r="AA392" s="286"/>
      <c r="AB392" s="286"/>
    </row>
    <row r="393">
      <c r="A393" s="286"/>
      <c r="B393" s="286"/>
      <c r="C393" s="529"/>
      <c r="D393" s="306"/>
      <c r="E393" s="306"/>
      <c r="F393" s="306"/>
      <c r="G393" s="528"/>
      <c r="H393" s="286"/>
      <c r="I393" s="286"/>
      <c r="J393" s="529"/>
      <c r="K393" s="286"/>
      <c r="L393" s="286"/>
      <c r="M393" s="529"/>
      <c r="N393" s="529"/>
      <c r="O393" s="529"/>
      <c r="P393" s="529"/>
      <c r="Q393" s="286"/>
      <c r="R393" s="286"/>
      <c r="S393" s="286"/>
      <c r="T393" s="286"/>
      <c r="U393" s="286"/>
      <c r="V393" s="286"/>
      <c r="W393" s="286"/>
      <c r="X393" s="286"/>
      <c r="Y393" s="286"/>
      <c r="Z393" s="286"/>
      <c r="AA393" s="286"/>
      <c r="AB393" s="286"/>
    </row>
    <row r="394">
      <c r="A394" s="286"/>
      <c r="B394" s="286"/>
      <c r="C394" s="529"/>
      <c r="D394" s="306"/>
      <c r="E394" s="306"/>
      <c r="F394" s="306"/>
      <c r="G394" s="528"/>
      <c r="H394" s="286"/>
      <c r="I394" s="286"/>
      <c r="J394" s="529"/>
      <c r="K394" s="286"/>
      <c r="L394" s="286"/>
      <c r="M394" s="529"/>
      <c r="N394" s="529"/>
      <c r="O394" s="529"/>
      <c r="P394" s="529"/>
      <c r="Q394" s="286"/>
      <c r="R394" s="286"/>
      <c r="S394" s="286"/>
      <c r="T394" s="286"/>
      <c r="U394" s="286"/>
      <c r="V394" s="286"/>
      <c r="W394" s="286"/>
      <c r="X394" s="286"/>
      <c r="Y394" s="286"/>
      <c r="Z394" s="286"/>
      <c r="AA394" s="286"/>
      <c r="AB394" s="286"/>
    </row>
    <row r="395">
      <c r="A395" s="286"/>
      <c r="B395" s="286"/>
      <c r="C395" s="529"/>
      <c r="D395" s="306"/>
      <c r="E395" s="306"/>
      <c r="F395" s="306"/>
      <c r="G395" s="528"/>
      <c r="H395" s="286"/>
      <c r="I395" s="286"/>
      <c r="J395" s="529"/>
      <c r="K395" s="286"/>
      <c r="L395" s="286"/>
      <c r="M395" s="529"/>
      <c r="N395" s="529"/>
      <c r="O395" s="529"/>
      <c r="P395" s="529"/>
      <c r="Q395" s="286"/>
      <c r="R395" s="286"/>
      <c r="S395" s="286"/>
      <c r="T395" s="286"/>
      <c r="U395" s="286"/>
      <c r="V395" s="286"/>
      <c r="W395" s="286"/>
      <c r="X395" s="286"/>
      <c r="Y395" s="286"/>
      <c r="Z395" s="286"/>
      <c r="AA395" s="286"/>
      <c r="AB395" s="286"/>
    </row>
    <row r="396">
      <c r="A396" s="286"/>
      <c r="B396" s="286"/>
      <c r="C396" s="529"/>
      <c r="D396" s="306"/>
      <c r="E396" s="306"/>
      <c r="F396" s="306"/>
      <c r="G396" s="528"/>
      <c r="H396" s="286"/>
      <c r="I396" s="286"/>
      <c r="J396" s="529"/>
      <c r="K396" s="286"/>
      <c r="L396" s="286"/>
      <c r="M396" s="529"/>
      <c r="N396" s="529"/>
      <c r="O396" s="529"/>
      <c r="P396" s="529"/>
      <c r="Q396" s="286"/>
      <c r="R396" s="286"/>
      <c r="S396" s="286"/>
      <c r="T396" s="286"/>
      <c r="U396" s="286"/>
      <c r="V396" s="286"/>
      <c r="W396" s="286"/>
      <c r="X396" s="286"/>
      <c r="Y396" s="286"/>
      <c r="Z396" s="286"/>
      <c r="AA396" s="286"/>
      <c r="AB396" s="286"/>
    </row>
    <row r="397">
      <c r="A397" s="286"/>
      <c r="B397" s="286"/>
      <c r="C397" s="529"/>
      <c r="D397" s="306"/>
      <c r="E397" s="306"/>
      <c r="F397" s="306"/>
      <c r="G397" s="528"/>
      <c r="H397" s="286"/>
      <c r="I397" s="286"/>
      <c r="J397" s="529"/>
      <c r="K397" s="286"/>
      <c r="L397" s="286"/>
      <c r="M397" s="529"/>
      <c r="N397" s="529"/>
      <c r="O397" s="529"/>
      <c r="P397" s="529"/>
      <c r="Q397" s="286"/>
      <c r="R397" s="286"/>
      <c r="S397" s="286"/>
      <c r="T397" s="286"/>
      <c r="U397" s="286"/>
      <c r="V397" s="286"/>
      <c r="W397" s="286"/>
      <c r="X397" s="286"/>
      <c r="Y397" s="286"/>
      <c r="Z397" s="286"/>
      <c r="AA397" s="286"/>
      <c r="AB397" s="286"/>
    </row>
    <row r="398">
      <c r="A398" s="286"/>
      <c r="B398" s="286"/>
      <c r="C398" s="529"/>
      <c r="D398" s="306"/>
      <c r="E398" s="306"/>
      <c r="F398" s="306"/>
      <c r="G398" s="528"/>
      <c r="H398" s="286"/>
      <c r="I398" s="286"/>
      <c r="J398" s="529"/>
      <c r="K398" s="286"/>
      <c r="L398" s="286"/>
      <c r="M398" s="529"/>
      <c r="N398" s="529"/>
      <c r="O398" s="529"/>
      <c r="P398" s="529"/>
      <c r="Q398" s="286"/>
      <c r="R398" s="286"/>
      <c r="S398" s="286"/>
      <c r="T398" s="286"/>
      <c r="U398" s="286"/>
      <c r="V398" s="286"/>
      <c r="W398" s="286"/>
      <c r="X398" s="286"/>
      <c r="Y398" s="286"/>
      <c r="Z398" s="286"/>
      <c r="AA398" s="286"/>
      <c r="AB398" s="286"/>
    </row>
    <row r="399">
      <c r="A399" s="286"/>
      <c r="B399" s="286"/>
      <c r="C399" s="529"/>
      <c r="D399" s="306"/>
      <c r="E399" s="306"/>
      <c r="F399" s="306"/>
      <c r="G399" s="528"/>
      <c r="H399" s="286"/>
      <c r="I399" s="286"/>
      <c r="J399" s="529"/>
      <c r="K399" s="286"/>
      <c r="L399" s="286"/>
      <c r="M399" s="529"/>
      <c r="N399" s="529"/>
      <c r="O399" s="529"/>
      <c r="P399" s="529"/>
      <c r="Q399" s="286"/>
      <c r="R399" s="286"/>
      <c r="S399" s="286"/>
      <c r="T399" s="286"/>
      <c r="U399" s="286"/>
      <c r="V399" s="286"/>
      <c r="W399" s="286"/>
      <c r="X399" s="286"/>
      <c r="Y399" s="286"/>
      <c r="Z399" s="286"/>
      <c r="AA399" s="286"/>
      <c r="AB399" s="286"/>
    </row>
    <row r="400">
      <c r="A400" s="286"/>
      <c r="B400" s="286"/>
      <c r="C400" s="529"/>
      <c r="D400" s="306"/>
      <c r="E400" s="306"/>
      <c r="F400" s="306"/>
      <c r="G400" s="528"/>
      <c r="H400" s="286"/>
      <c r="I400" s="286"/>
      <c r="J400" s="529"/>
      <c r="K400" s="286"/>
      <c r="L400" s="286"/>
      <c r="M400" s="529"/>
      <c r="N400" s="529"/>
      <c r="O400" s="529"/>
      <c r="P400" s="529"/>
      <c r="Q400" s="286"/>
      <c r="R400" s="286"/>
      <c r="S400" s="286"/>
      <c r="T400" s="286"/>
      <c r="U400" s="286"/>
      <c r="V400" s="286"/>
      <c r="W400" s="286"/>
      <c r="X400" s="286"/>
      <c r="Y400" s="286"/>
      <c r="Z400" s="286"/>
      <c r="AA400" s="286"/>
      <c r="AB400" s="286"/>
    </row>
    <row r="401">
      <c r="A401" s="286"/>
      <c r="B401" s="286"/>
      <c r="C401" s="529"/>
      <c r="D401" s="306"/>
      <c r="E401" s="306"/>
      <c r="F401" s="306"/>
      <c r="G401" s="528"/>
      <c r="H401" s="286"/>
      <c r="I401" s="286"/>
      <c r="J401" s="529"/>
      <c r="K401" s="286"/>
      <c r="L401" s="286"/>
      <c r="M401" s="529"/>
      <c r="N401" s="529"/>
      <c r="O401" s="529"/>
      <c r="P401" s="529"/>
      <c r="Q401" s="286"/>
      <c r="R401" s="286"/>
      <c r="S401" s="286"/>
      <c r="T401" s="286"/>
      <c r="U401" s="286"/>
      <c r="V401" s="286"/>
      <c r="W401" s="286"/>
      <c r="X401" s="286"/>
      <c r="Y401" s="286"/>
      <c r="Z401" s="286"/>
      <c r="AA401" s="286"/>
      <c r="AB401" s="286"/>
    </row>
    <row r="402">
      <c r="A402" s="286"/>
      <c r="B402" s="286"/>
      <c r="C402" s="529"/>
      <c r="D402" s="306"/>
      <c r="E402" s="306"/>
      <c r="F402" s="306"/>
      <c r="G402" s="528"/>
      <c r="H402" s="286"/>
      <c r="I402" s="286"/>
      <c r="J402" s="529"/>
      <c r="K402" s="286"/>
      <c r="L402" s="286"/>
      <c r="M402" s="529"/>
      <c r="N402" s="529"/>
      <c r="O402" s="529"/>
      <c r="P402" s="529"/>
      <c r="Q402" s="286"/>
      <c r="R402" s="286"/>
      <c r="S402" s="286"/>
      <c r="T402" s="286"/>
      <c r="U402" s="286"/>
      <c r="V402" s="286"/>
      <c r="W402" s="286"/>
      <c r="X402" s="286"/>
      <c r="Y402" s="286"/>
      <c r="Z402" s="286"/>
      <c r="AA402" s="286"/>
      <c r="AB402" s="286"/>
    </row>
    <row r="403">
      <c r="A403" s="286"/>
      <c r="B403" s="286"/>
      <c r="C403" s="529"/>
      <c r="D403" s="306"/>
      <c r="E403" s="306"/>
      <c r="F403" s="306"/>
      <c r="G403" s="528"/>
      <c r="H403" s="286"/>
      <c r="I403" s="286"/>
      <c r="J403" s="529"/>
      <c r="K403" s="286"/>
      <c r="L403" s="286"/>
      <c r="M403" s="529"/>
      <c r="N403" s="529"/>
      <c r="O403" s="529"/>
      <c r="P403" s="529"/>
      <c r="Q403" s="286"/>
      <c r="R403" s="286"/>
      <c r="S403" s="286"/>
      <c r="T403" s="286"/>
      <c r="U403" s="286"/>
      <c r="V403" s="286"/>
      <c r="W403" s="286"/>
      <c r="X403" s="286"/>
      <c r="Y403" s="286"/>
      <c r="Z403" s="286"/>
      <c r="AA403" s="286"/>
      <c r="AB403" s="286"/>
    </row>
    <row r="404">
      <c r="A404" s="286"/>
      <c r="B404" s="286"/>
      <c r="C404" s="529"/>
      <c r="D404" s="306"/>
      <c r="E404" s="306"/>
      <c r="F404" s="306"/>
      <c r="G404" s="528"/>
      <c r="H404" s="286"/>
      <c r="I404" s="286"/>
      <c r="J404" s="529"/>
      <c r="K404" s="286"/>
      <c r="L404" s="286"/>
      <c r="M404" s="529"/>
      <c r="N404" s="529"/>
      <c r="O404" s="529"/>
      <c r="P404" s="529"/>
      <c r="Q404" s="286"/>
      <c r="R404" s="286"/>
      <c r="S404" s="286"/>
      <c r="T404" s="286"/>
      <c r="U404" s="286"/>
      <c r="V404" s="286"/>
      <c r="W404" s="286"/>
      <c r="X404" s="286"/>
      <c r="Y404" s="286"/>
      <c r="Z404" s="286"/>
      <c r="AA404" s="286"/>
      <c r="AB404" s="286"/>
    </row>
    <row r="405">
      <c r="A405" s="286"/>
      <c r="B405" s="286"/>
      <c r="C405" s="529"/>
      <c r="D405" s="306"/>
      <c r="E405" s="306"/>
      <c r="F405" s="306"/>
      <c r="G405" s="528"/>
      <c r="H405" s="286"/>
      <c r="I405" s="286"/>
      <c r="J405" s="529"/>
      <c r="K405" s="286"/>
      <c r="L405" s="286"/>
      <c r="M405" s="529"/>
      <c r="N405" s="529"/>
      <c r="O405" s="529"/>
      <c r="P405" s="529"/>
      <c r="Q405" s="286"/>
      <c r="R405" s="286"/>
      <c r="S405" s="286"/>
      <c r="T405" s="286"/>
      <c r="U405" s="286"/>
      <c r="V405" s="286"/>
      <c r="W405" s="286"/>
      <c r="X405" s="286"/>
      <c r="Y405" s="286"/>
      <c r="Z405" s="286"/>
      <c r="AA405" s="286"/>
      <c r="AB405" s="286"/>
    </row>
    <row r="406">
      <c r="A406" s="286"/>
      <c r="B406" s="286"/>
      <c r="C406" s="529"/>
      <c r="D406" s="306"/>
      <c r="E406" s="306"/>
      <c r="F406" s="306"/>
      <c r="G406" s="528"/>
      <c r="H406" s="286"/>
      <c r="I406" s="286"/>
      <c r="J406" s="529"/>
      <c r="K406" s="286"/>
      <c r="L406" s="286"/>
      <c r="M406" s="529"/>
      <c r="N406" s="529"/>
      <c r="O406" s="529"/>
      <c r="P406" s="529"/>
      <c r="Q406" s="286"/>
      <c r="R406" s="286"/>
      <c r="S406" s="286"/>
      <c r="T406" s="286"/>
      <c r="U406" s="286"/>
      <c r="V406" s="286"/>
      <c r="W406" s="286"/>
      <c r="X406" s="286"/>
      <c r="Y406" s="286"/>
      <c r="Z406" s="286"/>
      <c r="AA406" s="286"/>
      <c r="AB406" s="286"/>
    </row>
    <row r="407">
      <c r="A407" s="286"/>
      <c r="B407" s="286"/>
      <c r="C407" s="529"/>
      <c r="D407" s="306"/>
      <c r="E407" s="306"/>
      <c r="F407" s="306"/>
      <c r="G407" s="528"/>
      <c r="H407" s="286"/>
      <c r="I407" s="286"/>
      <c r="J407" s="529"/>
      <c r="K407" s="286"/>
      <c r="L407" s="286"/>
      <c r="M407" s="529"/>
      <c r="N407" s="529"/>
      <c r="O407" s="529"/>
      <c r="P407" s="529"/>
      <c r="Q407" s="286"/>
      <c r="R407" s="286"/>
      <c r="S407" s="286"/>
      <c r="T407" s="286"/>
      <c r="U407" s="286"/>
      <c r="V407" s="286"/>
      <c r="W407" s="286"/>
      <c r="X407" s="286"/>
      <c r="Y407" s="286"/>
      <c r="Z407" s="286"/>
      <c r="AA407" s="286"/>
      <c r="AB407" s="286"/>
    </row>
    <row r="408">
      <c r="A408" s="286"/>
      <c r="B408" s="286"/>
      <c r="C408" s="529"/>
      <c r="D408" s="306"/>
      <c r="E408" s="306"/>
      <c r="F408" s="306"/>
      <c r="G408" s="528"/>
      <c r="H408" s="286"/>
      <c r="I408" s="286"/>
      <c r="J408" s="529"/>
      <c r="K408" s="286"/>
      <c r="L408" s="286"/>
      <c r="M408" s="529"/>
      <c r="N408" s="529"/>
      <c r="O408" s="529"/>
      <c r="P408" s="529"/>
      <c r="Q408" s="286"/>
      <c r="R408" s="286"/>
      <c r="S408" s="286"/>
      <c r="T408" s="286"/>
      <c r="U408" s="286"/>
      <c r="V408" s="286"/>
      <c r="W408" s="286"/>
      <c r="X408" s="286"/>
      <c r="Y408" s="286"/>
      <c r="Z408" s="286"/>
      <c r="AA408" s="286"/>
      <c r="AB408" s="286"/>
    </row>
    <row r="409">
      <c r="A409" s="286"/>
      <c r="B409" s="286"/>
      <c r="C409" s="529"/>
      <c r="D409" s="306"/>
      <c r="E409" s="306"/>
      <c r="F409" s="306"/>
      <c r="G409" s="528"/>
      <c r="H409" s="286"/>
      <c r="I409" s="286"/>
      <c r="J409" s="529"/>
      <c r="K409" s="286"/>
      <c r="L409" s="286"/>
      <c r="M409" s="529"/>
      <c r="N409" s="529"/>
      <c r="O409" s="529"/>
      <c r="P409" s="529"/>
      <c r="Q409" s="286"/>
      <c r="R409" s="286"/>
      <c r="S409" s="286"/>
      <c r="T409" s="286"/>
      <c r="U409" s="286"/>
      <c r="V409" s="286"/>
      <c r="W409" s="286"/>
      <c r="X409" s="286"/>
      <c r="Y409" s="286"/>
      <c r="Z409" s="286"/>
      <c r="AA409" s="286"/>
      <c r="AB409" s="286"/>
    </row>
    <row r="410">
      <c r="A410" s="286"/>
      <c r="B410" s="286"/>
      <c r="C410" s="529"/>
      <c r="D410" s="306"/>
      <c r="E410" s="306"/>
      <c r="F410" s="306"/>
      <c r="G410" s="528"/>
      <c r="H410" s="286"/>
      <c r="I410" s="286"/>
      <c r="J410" s="529"/>
      <c r="K410" s="286"/>
      <c r="L410" s="286"/>
      <c r="M410" s="529"/>
      <c r="N410" s="529"/>
      <c r="O410" s="529"/>
      <c r="P410" s="529"/>
      <c r="Q410" s="286"/>
      <c r="R410" s="286"/>
      <c r="S410" s="286"/>
      <c r="T410" s="286"/>
      <c r="U410" s="286"/>
      <c r="V410" s="286"/>
      <c r="W410" s="286"/>
      <c r="X410" s="286"/>
      <c r="Y410" s="286"/>
      <c r="Z410" s="286"/>
      <c r="AA410" s="286"/>
      <c r="AB410" s="286"/>
    </row>
    <row r="411">
      <c r="A411" s="286"/>
      <c r="B411" s="286"/>
      <c r="C411" s="529"/>
      <c r="D411" s="306"/>
      <c r="E411" s="306"/>
      <c r="F411" s="306"/>
      <c r="G411" s="528"/>
      <c r="H411" s="286"/>
      <c r="I411" s="286"/>
      <c r="J411" s="529"/>
      <c r="K411" s="286"/>
      <c r="L411" s="286"/>
      <c r="M411" s="529"/>
      <c r="N411" s="529"/>
      <c r="O411" s="529"/>
      <c r="P411" s="529"/>
      <c r="Q411" s="286"/>
      <c r="R411" s="286"/>
      <c r="S411" s="286"/>
      <c r="T411" s="286"/>
      <c r="U411" s="286"/>
      <c r="V411" s="286"/>
      <c r="W411" s="286"/>
      <c r="X411" s="286"/>
      <c r="Y411" s="286"/>
      <c r="Z411" s="286"/>
      <c r="AA411" s="286"/>
      <c r="AB411" s="286"/>
    </row>
    <row r="412">
      <c r="A412" s="286"/>
      <c r="B412" s="286"/>
      <c r="C412" s="529"/>
      <c r="D412" s="306"/>
      <c r="E412" s="306"/>
      <c r="F412" s="306"/>
      <c r="G412" s="528"/>
      <c r="H412" s="286"/>
      <c r="I412" s="286"/>
      <c r="J412" s="529"/>
      <c r="K412" s="286"/>
      <c r="L412" s="286"/>
      <c r="M412" s="529"/>
      <c r="N412" s="529"/>
      <c r="O412" s="529"/>
      <c r="P412" s="529"/>
      <c r="Q412" s="286"/>
      <c r="R412" s="286"/>
      <c r="S412" s="286"/>
      <c r="T412" s="286"/>
      <c r="U412" s="286"/>
      <c r="V412" s="286"/>
      <c r="W412" s="286"/>
      <c r="X412" s="286"/>
      <c r="Y412" s="286"/>
      <c r="Z412" s="286"/>
      <c r="AA412" s="286"/>
      <c r="AB412" s="286"/>
    </row>
    <row r="413">
      <c r="A413" s="286"/>
      <c r="B413" s="286"/>
      <c r="C413" s="529"/>
      <c r="D413" s="306"/>
      <c r="E413" s="306"/>
      <c r="F413" s="306"/>
      <c r="G413" s="528"/>
      <c r="H413" s="286"/>
      <c r="I413" s="286"/>
      <c r="J413" s="529"/>
      <c r="K413" s="286"/>
      <c r="L413" s="286"/>
      <c r="M413" s="529"/>
      <c r="N413" s="529"/>
      <c r="O413" s="529"/>
      <c r="P413" s="529"/>
      <c r="Q413" s="286"/>
      <c r="R413" s="286"/>
      <c r="S413" s="286"/>
      <c r="T413" s="286"/>
      <c r="U413" s="286"/>
      <c r="V413" s="286"/>
      <c r="W413" s="286"/>
      <c r="X413" s="286"/>
      <c r="Y413" s="286"/>
      <c r="Z413" s="286"/>
      <c r="AA413" s="286"/>
      <c r="AB413" s="286"/>
    </row>
    <row r="414">
      <c r="A414" s="286"/>
      <c r="B414" s="286"/>
      <c r="C414" s="529"/>
      <c r="D414" s="306"/>
      <c r="E414" s="306"/>
      <c r="F414" s="306"/>
      <c r="G414" s="528"/>
      <c r="H414" s="286"/>
      <c r="I414" s="286"/>
      <c r="J414" s="529"/>
      <c r="K414" s="286"/>
      <c r="L414" s="286"/>
      <c r="M414" s="529"/>
      <c r="N414" s="529"/>
      <c r="O414" s="529"/>
      <c r="P414" s="529"/>
      <c r="Q414" s="286"/>
      <c r="R414" s="286"/>
      <c r="S414" s="286"/>
      <c r="T414" s="286"/>
      <c r="U414" s="286"/>
      <c r="V414" s="286"/>
      <c r="W414" s="286"/>
      <c r="X414" s="286"/>
      <c r="Y414" s="286"/>
      <c r="Z414" s="286"/>
      <c r="AA414" s="286"/>
      <c r="AB414" s="286"/>
    </row>
    <row r="415">
      <c r="A415" s="286"/>
      <c r="B415" s="286"/>
      <c r="C415" s="529"/>
      <c r="D415" s="306"/>
      <c r="E415" s="306"/>
      <c r="F415" s="306"/>
      <c r="G415" s="528"/>
      <c r="H415" s="286"/>
      <c r="I415" s="286"/>
      <c r="J415" s="529"/>
      <c r="K415" s="286"/>
      <c r="L415" s="286"/>
      <c r="M415" s="529"/>
      <c r="N415" s="529"/>
      <c r="O415" s="529"/>
      <c r="P415" s="529"/>
      <c r="Q415" s="286"/>
      <c r="R415" s="286"/>
      <c r="S415" s="286"/>
      <c r="T415" s="286"/>
      <c r="U415" s="286"/>
      <c r="V415" s="286"/>
      <c r="W415" s="286"/>
      <c r="X415" s="286"/>
      <c r="Y415" s="286"/>
      <c r="Z415" s="286"/>
      <c r="AA415" s="286"/>
      <c r="AB415" s="286"/>
    </row>
    <row r="416">
      <c r="A416" s="286"/>
      <c r="B416" s="286"/>
      <c r="C416" s="529"/>
      <c r="D416" s="306"/>
      <c r="E416" s="306"/>
      <c r="F416" s="306"/>
      <c r="G416" s="528"/>
      <c r="H416" s="286"/>
      <c r="I416" s="286"/>
      <c r="J416" s="529"/>
      <c r="K416" s="286"/>
      <c r="L416" s="286"/>
      <c r="M416" s="529"/>
      <c r="N416" s="529"/>
      <c r="O416" s="529"/>
      <c r="P416" s="529"/>
      <c r="Q416" s="286"/>
      <c r="R416" s="286"/>
      <c r="S416" s="286"/>
      <c r="T416" s="286"/>
      <c r="U416" s="286"/>
      <c r="V416" s="286"/>
      <c r="W416" s="286"/>
      <c r="X416" s="286"/>
      <c r="Y416" s="286"/>
      <c r="Z416" s="286"/>
      <c r="AA416" s="286"/>
      <c r="AB416" s="286"/>
    </row>
    <row r="417">
      <c r="A417" s="286"/>
      <c r="B417" s="286"/>
      <c r="C417" s="529"/>
      <c r="D417" s="306"/>
      <c r="E417" s="306"/>
      <c r="F417" s="306"/>
      <c r="G417" s="528"/>
      <c r="H417" s="286"/>
      <c r="I417" s="286"/>
      <c r="J417" s="529"/>
      <c r="K417" s="286"/>
      <c r="L417" s="286"/>
      <c r="M417" s="529"/>
      <c r="N417" s="529"/>
      <c r="O417" s="529"/>
      <c r="P417" s="529"/>
      <c r="Q417" s="286"/>
      <c r="R417" s="286"/>
      <c r="S417" s="286"/>
      <c r="T417" s="286"/>
      <c r="U417" s="286"/>
      <c r="V417" s="286"/>
      <c r="W417" s="286"/>
      <c r="X417" s="286"/>
      <c r="Y417" s="286"/>
      <c r="Z417" s="286"/>
      <c r="AA417" s="286"/>
      <c r="AB417" s="286"/>
    </row>
    <row r="418">
      <c r="A418" s="286"/>
      <c r="B418" s="286"/>
      <c r="C418" s="529"/>
      <c r="D418" s="306"/>
      <c r="E418" s="306"/>
      <c r="F418" s="306"/>
      <c r="G418" s="528"/>
      <c r="H418" s="286"/>
      <c r="I418" s="286"/>
      <c r="J418" s="529"/>
      <c r="K418" s="286"/>
      <c r="L418" s="286"/>
      <c r="M418" s="529"/>
      <c r="N418" s="529"/>
      <c r="O418" s="529"/>
      <c r="P418" s="529"/>
      <c r="Q418" s="286"/>
      <c r="R418" s="286"/>
      <c r="S418" s="286"/>
      <c r="T418" s="286"/>
      <c r="U418" s="286"/>
      <c r="V418" s="286"/>
      <c r="W418" s="286"/>
      <c r="X418" s="286"/>
      <c r="Y418" s="286"/>
      <c r="Z418" s="286"/>
      <c r="AA418" s="286"/>
      <c r="AB418" s="286"/>
    </row>
    <row r="419">
      <c r="A419" s="286"/>
      <c r="B419" s="286"/>
      <c r="C419" s="529"/>
      <c r="D419" s="306"/>
      <c r="E419" s="306"/>
      <c r="F419" s="306"/>
      <c r="G419" s="528"/>
      <c r="H419" s="286"/>
      <c r="I419" s="286"/>
      <c r="J419" s="529"/>
      <c r="K419" s="286"/>
      <c r="L419" s="286"/>
      <c r="M419" s="529"/>
      <c r="N419" s="529"/>
      <c r="O419" s="529"/>
      <c r="P419" s="529"/>
      <c r="Q419" s="286"/>
      <c r="R419" s="286"/>
      <c r="S419" s="286"/>
      <c r="T419" s="286"/>
      <c r="U419" s="286"/>
      <c r="V419" s="286"/>
      <c r="W419" s="286"/>
      <c r="X419" s="286"/>
      <c r="Y419" s="286"/>
      <c r="Z419" s="286"/>
      <c r="AA419" s="286"/>
      <c r="AB419" s="286"/>
    </row>
    <row r="420">
      <c r="A420" s="286"/>
      <c r="B420" s="286"/>
      <c r="C420" s="529"/>
      <c r="D420" s="306"/>
      <c r="E420" s="306"/>
      <c r="F420" s="306"/>
      <c r="G420" s="528"/>
      <c r="H420" s="286"/>
      <c r="I420" s="286"/>
      <c r="J420" s="529"/>
      <c r="K420" s="286"/>
      <c r="L420" s="286"/>
      <c r="M420" s="529"/>
      <c r="N420" s="529"/>
      <c r="O420" s="529"/>
      <c r="P420" s="529"/>
      <c r="Q420" s="286"/>
      <c r="R420" s="286"/>
      <c r="S420" s="286"/>
      <c r="T420" s="286"/>
      <c r="U420" s="286"/>
      <c r="V420" s="286"/>
      <c r="W420" s="286"/>
      <c r="X420" s="286"/>
      <c r="Y420" s="286"/>
      <c r="Z420" s="286"/>
      <c r="AA420" s="286"/>
      <c r="AB420" s="286"/>
    </row>
    <row r="421">
      <c r="A421" s="286"/>
      <c r="B421" s="286"/>
      <c r="C421" s="529"/>
      <c r="D421" s="306"/>
      <c r="E421" s="306"/>
      <c r="F421" s="306"/>
      <c r="G421" s="528"/>
      <c r="H421" s="286"/>
      <c r="I421" s="286"/>
      <c r="J421" s="529"/>
      <c r="K421" s="286"/>
      <c r="L421" s="286"/>
      <c r="M421" s="529"/>
      <c r="N421" s="529"/>
      <c r="O421" s="529"/>
      <c r="P421" s="529"/>
      <c r="Q421" s="286"/>
      <c r="R421" s="286"/>
      <c r="S421" s="286"/>
      <c r="T421" s="286"/>
      <c r="U421" s="286"/>
      <c r="V421" s="286"/>
      <c r="W421" s="286"/>
      <c r="X421" s="286"/>
      <c r="Y421" s="286"/>
      <c r="Z421" s="286"/>
      <c r="AA421" s="286"/>
      <c r="AB421" s="286"/>
    </row>
    <row r="422">
      <c r="A422" s="286"/>
      <c r="B422" s="286"/>
      <c r="C422" s="529"/>
      <c r="D422" s="306"/>
      <c r="E422" s="306"/>
      <c r="F422" s="306"/>
      <c r="G422" s="528"/>
      <c r="H422" s="286"/>
      <c r="I422" s="286"/>
      <c r="J422" s="529"/>
      <c r="K422" s="286"/>
      <c r="L422" s="286"/>
      <c r="M422" s="529"/>
      <c r="N422" s="529"/>
      <c r="O422" s="529"/>
      <c r="P422" s="529"/>
      <c r="Q422" s="286"/>
      <c r="R422" s="286"/>
      <c r="S422" s="286"/>
      <c r="T422" s="286"/>
      <c r="U422" s="286"/>
      <c r="V422" s="286"/>
      <c r="W422" s="286"/>
      <c r="X422" s="286"/>
      <c r="Y422" s="286"/>
      <c r="Z422" s="286"/>
      <c r="AA422" s="286"/>
      <c r="AB422" s="286"/>
    </row>
    <row r="423">
      <c r="A423" s="286"/>
      <c r="B423" s="286"/>
      <c r="C423" s="529"/>
      <c r="D423" s="306"/>
      <c r="E423" s="306"/>
      <c r="F423" s="306"/>
      <c r="G423" s="528"/>
      <c r="H423" s="286"/>
      <c r="I423" s="286"/>
      <c r="J423" s="529"/>
      <c r="K423" s="286"/>
      <c r="L423" s="286"/>
      <c r="M423" s="529"/>
      <c r="N423" s="529"/>
      <c r="O423" s="529"/>
      <c r="P423" s="529"/>
      <c r="Q423" s="286"/>
      <c r="R423" s="286"/>
      <c r="S423" s="286"/>
      <c r="T423" s="286"/>
      <c r="U423" s="286"/>
      <c r="V423" s="286"/>
      <c r="W423" s="286"/>
      <c r="X423" s="286"/>
      <c r="Y423" s="286"/>
      <c r="Z423" s="286"/>
      <c r="AA423" s="286"/>
      <c r="AB423" s="286"/>
    </row>
    <row r="424">
      <c r="A424" s="286"/>
      <c r="B424" s="286"/>
      <c r="C424" s="529"/>
      <c r="D424" s="306"/>
      <c r="E424" s="306"/>
      <c r="F424" s="306"/>
      <c r="G424" s="528"/>
      <c r="H424" s="286"/>
      <c r="I424" s="286"/>
      <c r="J424" s="529"/>
      <c r="K424" s="286"/>
      <c r="L424" s="286"/>
      <c r="M424" s="529"/>
      <c r="N424" s="529"/>
      <c r="O424" s="529"/>
      <c r="P424" s="529"/>
      <c r="Q424" s="286"/>
      <c r="R424" s="286"/>
      <c r="S424" s="286"/>
      <c r="T424" s="286"/>
      <c r="U424" s="286"/>
      <c r="V424" s="286"/>
      <c r="W424" s="286"/>
      <c r="X424" s="286"/>
      <c r="Y424" s="286"/>
      <c r="Z424" s="286"/>
      <c r="AA424" s="286"/>
      <c r="AB424" s="286"/>
    </row>
    <row r="425">
      <c r="A425" s="286"/>
      <c r="B425" s="286"/>
      <c r="C425" s="529"/>
      <c r="D425" s="306"/>
      <c r="E425" s="306"/>
      <c r="F425" s="306"/>
      <c r="G425" s="528"/>
      <c r="H425" s="286"/>
      <c r="I425" s="286"/>
      <c r="J425" s="529"/>
      <c r="K425" s="286"/>
      <c r="L425" s="286"/>
      <c r="M425" s="529"/>
      <c r="N425" s="529"/>
      <c r="O425" s="529"/>
      <c r="P425" s="529"/>
      <c r="Q425" s="286"/>
      <c r="R425" s="286"/>
      <c r="S425" s="286"/>
      <c r="T425" s="286"/>
      <c r="U425" s="286"/>
      <c r="V425" s="286"/>
      <c r="W425" s="286"/>
      <c r="X425" s="286"/>
      <c r="Y425" s="286"/>
      <c r="Z425" s="286"/>
      <c r="AA425" s="286"/>
      <c r="AB425" s="286"/>
    </row>
    <row r="426">
      <c r="A426" s="286"/>
      <c r="B426" s="286"/>
      <c r="C426" s="529"/>
      <c r="D426" s="306"/>
      <c r="E426" s="306"/>
      <c r="F426" s="306"/>
      <c r="G426" s="528"/>
      <c r="H426" s="286"/>
      <c r="I426" s="286"/>
      <c r="J426" s="529"/>
      <c r="K426" s="286"/>
      <c r="L426" s="286"/>
      <c r="M426" s="529"/>
      <c r="N426" s="529"/>
      <c r="O426" s="529"/>
      <c r="P426" s="529"/>
      <c r="Q426" s="286"/>
      <c r="R426" s="286"/>
      <c r="S426" s="286"/>
      <c r="T426" s="286"/>
      <c r="U426" s="286"/>
      <c r="V426" s="286"/>
      <c r="W426" s="286"/>
      <c r="X426" s="286"/>
      <c r="Y426" s="286"/>
      <c r="Z426" s="286"/>
      <c r="AA426" s="286"/>
      <c r="AB426" s="286"/>
    </row>
    <row r="427">
      <c r="A427" s="286"/>
      <c r="B427" s="286"/>
      <c r="C427" s="529"/>
      <c r="D427" s="306"/>
      <c r="E427" s="306"/>
      <c r="F427" s="306"/>
      <c r="G427" s="528"/>
      <c r="H427" s="286"/>
      <c r="I427" s="286"/>
      <c r="J427" s="529"/>
      <c r="K427" s="286"/>
      <c r="L427" s="286"/>
      <c r="M427" s="529"/>
      <c r="N427" s="529"/>
      <c r="O427" s="529"/>
      <c r="P427" s="529"/>
      <c r="Q427" s="286"/>
      <c r="R427" s="286"/>
      <c r="S427" s="286"/>
      <c r="T427" s="286"/>
      <c r="U427" s="286"/>
      <c r="V427" s="286"/>
      <c r="W427" s="286"/>
      <c r="X427" s="286"/>
      <c r="Y427" s="286"/>
      <c r="Z427" s="286"/>
      <c r="AA427" s="286"/>
      <c r="AB427" s="286"/>
    </row>
    <row r="428">
      <c r="A428" s="286"/>
      <c r="B428" s="286"/>
      <c r="C428" s="529"/>
      <c r="D428" s="306"/>
      <c r="E428" s="306"/>
      <c r="F428" s="306"/>
      <c r="G428" s="528"/>
      <c r="H428" s="286"/>
      <c r="I428" s="286"/>
      <c r="J428" s="529"/>
      <c r="K428" s="286"/>
      <c r="L428" s="286"/>
      <c r="M428" s="529"/>
      <c r="N428" s="529"/>
      <c r="O428" s="529"/>
      <c r="P428" s="529"/>
      <c r="Q428" s="286"/>
      <c r="R428" s="286"/>
      <c r="S428" s="286"/>
      <c r="T428" s="286"/>
      <c r="U428" s="286"/>
      <c r="V428" s="286"/>
      <c r="W428" s="286"/>
      <c r="X428" s="286"/>
      <c r="Y428" s="286"/>
      <c r="Z428" s="286"/>
      <c r="AA428" s="286"/>
      <c r="AB428" s="286"/>
    </row>
    <row r="429">
      <c r="A429" s="286"/>
      <c r="B429" s="286"/>
      <c r="C429" s="529"/>
      <c r="D429" s="306"/>
      <c r="E429" s="306"/>
      <c r="F429" s="306"/>
      <c r="G429" s="528"/>
      <c r="H429" s="286"/>
      <c r="I429" s="286"/>
      <c r="J429" s="529"/>
      <c r="K429" s="286"/>
      <c r="L429" s="286"/>
      <c r="M429" s="529"/>
      <c r="N429" s="529"/>
      <c r="O429" s="529"/>
      <c r="P429" s="529"/>
      <c r="Q429" s="286"/>
      <c r="R429" s="286"/>
      <c r="S429" s="286"/>
      <c r="T429" s="286"/>
      <c r="U429" s="286"/>
      <c r="V429" s="286"/>
      <c r="W429" s="286"/>
      <c r="X429" s="286"/>
      <c r="Y429" s="286"/>
      <c r="Z429" s="286"/>
      <c r="AA429" s="286"/>
      <c r="AB429" s="286"/>
    </row>
    <row r="430">
      <c r="A430" s="286"/>
      <c r="B430" s="286"/>
      <c r="C430" s="529"/>
      <c r="D430" s="306"/>
      <c r="E430" s="306"/>
      <c r="F430" s="306"/>
      <c r="G430" s="528"/>
      <c r="H430" s="286"/>
      <c r="I430" s="286"/>
      <c r="J430" s="529"/>
      <c r="K430" s="286"/>
      <c r="L430" s="286"/>
      <c r="M430" s="529"/>
      <c r="N430" s="529"/>
      <c r="O430" s="529"/>
      <c r="P430" s="529"/>
      <c r="Q430" s="286"/>
      <c r="R430" s="286"/>
      <c r="S430" s="286"/>
      <c r="T430" s="286"/>
      <c r="U430" s="286"/>
      <c r="V430" s="286"/>
      <c r="W430" s="286"/>
      <c r="X430" s="286"/>
      <c r="Y430" s="286"/>
      <c r="Z430" s="286"/>
      <c r="AA430" s="286"/>
      <c r="AB430" s="286"/>
    </row>
    <row r="431">
      <c r="A431" s="286"/>
      <c r="B431" s="286"/>
      <c r="C431" s="529"/>
      <c r="D431" s="306"/>
      <c r="E431" s="306"/>
      <c r="F431" s="306"/>
      <c r="G431" s="528"/>
      <c r="H431" s="286"/>
      <c r="I431" s="286"/>
      <c r="J431" s="529"/>
      <c r="K431" s="286"/>
      <c r="L431" s="286"/>
      <c r="M431" s="529"/>
      <c r="N431" s="529"/>
      <c r="O431" s="529"/>
      <c r="P431" s="529"/>
      <c r="Q431" s="286"/>
      <c r="R431" s="286"/>
      <c r="S431" s="286"/>
      <c r="T431" s="286"/>
      <c r="U431" s="286"/>
      <c r="V431" s="286"/>
      <c r="W431" s="286"/>
      <c r="X431" s="286"/>
      <c r="Y431" s="286"/>
      <c r="Z431" s="286"/>
      <c r="AA431" s="286"/>
      <c r="AB431" s="286"/>
    </row>
    <row r="432">
      <c r="A432" s="286"/>
      <c r="B432" s="286"/>
      <c r="C432" s="529"/>
      <c r="D432" s="306"/>
      <c r="E432" s="306"/>
      <c r="F432" s="306"/>
      <c r="G432" s="528"/>
      <c r="H432" s="286"/>
      <c r="I432" s="286"/>
      <c r="J432" s="529"/>
      <c r="K432" s="286"/>
      <c r="L432" s="286"/>
      <c r="M432" s="529"/>
      <c r="N432" s="529"/>
      <c r="O432" s="529"/>
      <c r="P432" s="529"/>
      <c r="Q432" s="286"/>
      <c r="R432" s="286"/>
      <c r="S432" s="286"/>
      <c r="T432" s="286"/>
      <c r="U432" s="286"/>
      <c r="V432" s="286"/>
      <c r="W432" s="286"/>
      <c r="X432" s="286"/>
      <c r="Y432" s="286"/>
      <c r="Z432" s="286"/>
      <c r="AA432" s="286"/>
      <c r="AB432" s="286"/>
    </row>
    <row r="433">
      <c r="A433" s="286"/>
      <c r="B433" s="286"/>
      <c r="C433" s="529"/>
      <c r="D433" s="306"/>
      <c r="E433" s="306"/>
      <c r="F433" s="306"/>
      <c r="G433" s="528"/>
      <c r="H433" s="286"/>
      <c r="I433" s="286"/>
      <c r="J433" s="529"/>
      <c r="K433" s="286"/>
      <c r="L433" s="286"/>
      <c r="M433" s="529"/>
      <c r="N433" s="529"/>
      <c r="O433" s="529"/>
      <c r="P433" s="529"/>
      <c r="Q433" s="286"/>
      <c r="R433" s="286"/>
      <c r="S433" s="286"/>
      <c r="T433" s="286"/>
      <c r="U433" s="286"/>
      <c r="V433" s="286"/>
      <c r="W433" s="286"/>
      <c r="X433" s="286"/>
      <c r="Y433" s="286"/>
      <c r="Z433" s="286"/>
      <c r="AA433" s="286"/>
      <c r="AB433" s="286"/>
    </row>
    <row r="434">
      <c r="A434" s="286"/>
      <c r="B434" s="286"/>
      <c r="C434" s="529"/>
      <c r="D434" s="306"/>
      <c r="E434" s="306"/>
      <c r="F434" s="306"/>
      <c r="G434" s="528"/>
      <c r="H434" s="286"/>
      <c r="I434" s="286"/>
      <c r="J434" s="529"/>
      <c r="K434" s="286"/>
      <c r="L434" s="286"/>
      <c r="M434" s="529"/>
      <c r="N434" s="529"/>
      <c r="O434" s="529"/>
      <c r="P434" s="529"/>
      <c r="Q434" s="286"/>
      <c r="R434" s="286"/>
      <c r="S434" s="286"/>
      <c r="T434" s="286"/>
      <c r="U434" s="286"/>
      <c r="V434" s="286"/>
      <c r="W434" s="286"/>
      <c r="X434" s="286"/>
      <c r="Y434" s="286"/>
      <c r="Z434" s="286"/>
      <c r="AA434" s="286"/>
      <c r="AB434" s="286"/>
    </row>
    <row r="435">
      <c r="A435" s="286"/>
      <c r="B435" s="286"/>
      <c r="C435" s="529"/>
      <c r="D435" s="306"/>
      <c r="E435" s="306"/>
      <c r="F435" s="306"/>
      <c r="G435" s="528"/>
      <c r="H435" s="286"/>
      <c r="I435" s="286"/>
      <c r="J435" s="529"/>
      <c r="K435" s="286"/>
      <c r="L435" s="286"/>
      <c r="M435" s="529"/>
      <c r="N435" s="529"/>
      <c r="O435" s="529"/>
      <c r="P435" s="529"/>
      <c r="Q435" s="286"/>
      <c r="R435" s="286"/>
      <c r="S435" s="286"/>
      <c r="T435" s="286"/>
      <c r="U435" s="286"/>
      <c r="V435" s="286"/>
      <c r="W435" s="286"/>
      <c r="X435" s="286"/>
      <c r="Y435" s="286"/>
      <c r="Z435" s="286"/>
      <c r="AA435" s="286"/>
      <c r="AB435" s="286"/>
    </row>
    <row r="436">
      <c r="A436" s="286"/>
      <c r="B436" s="286"/>
      <c r="C436" s="529"/>
      <c r="D436" s="306"/>
      <c r="E436" s="306"/>
      <c r="F436" s="306"/>
      <c r="G436" s="528"/>
      <c r="H436" s="286"/>
      <c r="I436" s="286"/>
      <c r="J436" s="529"/>
      <c r="K436" s="286"/>
      <c r="L436" s="286"/>
      <c r="M436" s="529"/>
      <c r="N436" s="529"/>
      <c r="O436" s="529"/>
      <c r="P436" s="529"/>
      <c r="Q436" s="286"/>
      <c r="R436" s="286"/>
      <c r="S436" s="286"/>
      <c r="T436" s="286"/>
      <c r="U436" s="286"/>
      <c r="V436" s="286"/>
      <c r="W436" s="286"/>
      <c r="X436" s="286"/>
      <c r="Y436" s="286"/>
      <c r="Z436" s="286"/>
      <c r="AA436" s="286"/>
      <c r="AB436" s="286"/>
    </row>
    <row r="437">
      <c r="A437" s="286"/>
      <c r="B437" s="286"/>
      <c r="C437" s="529"/>
      <c r="D437" s="306"/>
      <c r="E437" s="306"/>
      <c r="F437" s="306"/>
      <c r="G437" s="528"/>
      <c r="H437" s="286"/>
      <c r="I437" s="286"/>
      <c r="J437" s="529"/>
      <c r="K437" s="286"/>
      <c r="L437" s="286"/>
      <c r="M437" s="529"/>
      <c r="N437" s="529"/>
      <c r="O437" s="529"/>
      <c r="P437" s="529"/>
      <c r="Q437" s="286"/>
      <c r="R437" s="286"/>
      <c r="S437" s="286"/>
      <c r="T437" s="286"/>
      <c r="U437" s="286"/>
      <c r="V437" s="286"/>
      <c r="W437" s="286"/>
      <c r="X437" s="286"/>
      <c r="Y437" s="286"/>
      <c r="Z437" s="286"/>
      <c r="AA437" s="286"/>
      <c r="AB437" s="286"/>
    </row>
    <row r="438">
      <c r="A438" s="286"/>
      <c r="B438" s="286"/>
      <c r="C438" s="529"/>
      <c r="D438" s="306"/>
      <c r="E438" s="306"/>
      <c r="F438" s="306"/>
      <c r="G438" s="528"/>
      <c r="H438" s="286"/>
      <c r="I438" s="286"/>
      <c r="J438" s="529"/>
      <c r="K438" s="286"/>
      <c r="L438" s="286"/>
      <c r="M438" s="529"/>
      <c r="N438" s="529"/>
      <c r="O438" s="529"/>
      <c r="P438" s="529"/>
      <c r="Q438" s="286"/>
      <c r="R438" s="286"/>
      <c r="S438" s="286"/>
      <c r="T438" s="286"/>
      <c r="U438" s="286"/>
      <c r="V438" s="286"/>
      <c r="W438" s="286"/>
      <c r="X438" s="286"/>
      <c r="Y438" s="286"/>
      <c r="Z438" s="286"/>
      <c r="AA438" s="286"/>
      <c r="AB438" s="286"/>
    </row>
    <row r="439">
      <c r="A439" s="286"/>
      <c r="B439" s="286"/>
      <c r="C439" s="529"/>
      <c r="D439" s="306"/>
      <c r="E439" s="306"/>
      <c r="F439" s="306"/>
      <c r="G439" s="528"/>
      <c r="H439" s="286"/>
      <c r="I439" s="286"/>
      <c r="J439" s="529"/>
      <c r="K439" s="286"/>
      <c r="L439" s="286"/>
      <c r="M439" s="529"/>
      <c r="N439" s="529"/>
      <c r="O439" s="529"/>
      <c r="P439" s="529"/>
      <c r="Q439" s="286"/>
      <c r="R439" s="286"/>
      <c r="S439" s="286"/>
      <c r="T439" s="286"/>
      <c r="U439" s="286"/>
      <c r="V439" s="286"/>
      <c r="W439" s="286"/>
      <c r="X439" s="286"/>
      <c r="Y439" s="286"/>
      <c r="Z439" s="286"/>
      <c r="AA439" s="286"/>
      <c r="AB439" s="286"/>
    </row>
    <row r="440">
      <c r="A440" s="286"/>
      <c r="B440" s="286"/>
      <c r="C440" s="529"/>
      <c r="D440" s="306"/>
      <c r="E440" s="306"/>
      <c r="F440" s="306"/>
      <c r="G440" s="528"/>
      <c r="H440" s="286"/>
      <c r="I440" s="286"/>
      <c r="J440" s="529"/>
      <c r="K440" s="286"/>
      <c r="L440" s="286"/>
      <c r="M440" s="529"/>
      <c r="N440" s="529"/>
      <c r="O440" s="529"/>
      <c r="P440" s="529"/>
      <c r="Q440" s="286"/>
      <c r="R440" s="286"/>
      <c r="S440" s="286"/>
      <c r="T440" s="286"/>
      <c r="U440" s="286"/>
      <c r="V440" s="286"/>
      <c r="W440" s="286"/>
      <c r="X440" s="286"/>
      <c r="Y440" s="286"/>
      <c r="Z440" s="286"/>
      <c r="AA440" s="286"/>
      <c r="AB440" s="286"/>
    </row>
    <row r="441">
      <c r="A441" s="286"/>
      <c r="B441" s="286"/>
      <c r="C441" s="529"/>
      <c r="D441" s="306"/>
      <c r="E441" s="306"/>
      <c r="F441" s="306"/>
      <c r="G441" s="528"/>
      <c r="H441" s="286"/>
      <c r="I441" s="286"/>
      <c r="J441" s="529"/>
      <c r="K441" s="286"/>
      <c r="L441" s="286"/>
      <c r="M441" s="529"/>
      <c r="N441" s="529"/>
      <c r="O441" s="529"/>
      <c r="P441" s="529"/>
      <c r="Q441" s="286"/>
      <c r="R441" s="286"/>
      <c r="S441" s="286"/>
      <c r="T441" s="286"/>
      <c r="U441" s="286"/>
      <c r="V441" s="286"/>
      <c r="W441" s="286"/>
      <c r="X441" s="286"/>
      <c r="Y441" s="286"/>
      <c r="Z441" s="286"/>
      <c r="AA441" s="286"/>
      <c r="AB441" s="286"/>
    </row>
    <row r="442">
      <c r="A442" s="286"/>
      <c r="B442" s="286"/>
      <c r="C442" s="529"/>
      <c r="D442" s="306"/>
      <c r="E442" s="306"/>
      <c r="F442" s="306"/>
      <c r="G442" s="528"/>
      <c r="H442" s="286"/>
      <c r="I442" s="286"/>
      <c r="J442" s="529"/>
      <c r="K442" s="286"/>
      <c r="L442" s="286"/>
      <c r="M442" s="529"/>
      <c r="N442" s="529"/>
      <c r="O442" s="529"/>
      <c r="P442" s="529"/>
      <c r="Q442" s="286"/>
      <c r="R442" s="286"/>
      <c r="S442" s="286"/>
      <c r="T442" s="286"/>
      <c r="U442" s="286"/>
      <c r="V442" s="286"/>
      <c r="W442" s="286"/>
      <c r="X442" s="286"/>
      <c r="Y442" s="286"/>
      <c r="Z442" s="286"/>
      <c r="AA442" s="286"/>
      <c r="AB442" s="286"/>
    </row>
    <row r="443">
      <c r="A443" s="286"/>
      <c r="B443" s="286"/>
      <c r="C443" s="529"/>
      <c r="D443" s="306"/>
      <c r="E443" s="306"/>
      <c r="F443" s="306"/>
      <c r="G443" s="528"/>
      <c r="H443" s="286"/>
      <c r="I443" s="286"/>
      <c r="J443" s="529"/>
      <c r="K443" s="286"/>
      <c r="L443" s="286"/>
      <c r="M443" s="529"/>
      <c r="N443" s="529"/>
      <c r="O443" s="529"/>
      <c r="P443" s="529"/>
      <c r="Q443" s="286"/>
      <c r="R443" s="286"/>
      <c r="S443" s="286"/>
      <c r="T443" s="286"/>
      <c r="U443" s="286"/>
      <c r="V443" s="286"/>
      <c r="W443" s="286"/>
      <c r="X443" s="286"/>
      <c r="Y443" s="286"/>
      <c r="Z443" s="286"/>
      <c r="AA443" s="286"/>
      <c r="AB443" s="286"/>
    </row>
    <row r="444">
      <c r="A444" s="286"/>
      <c r="B444" s="286"/>
      <c r="C444" s="529"/>
      <c r="D444" s="306"/>
      <c r="E444" s="306"/>
      <c r="F444" s="306"/>
      <c r="G444" s="528"/>
      <c r="H444" s="286"/>
      <c r="I444" s="286"/>
      <c r="J444" s="529"/>
      <c r="K444" s="286"/>
      <c r="L444" s="286"/>
      <c r="M444" s="529"/>
      <c r="N444" s="529"/>
      <c r="O444" s="529"/>
      <c r="P444" s="529"/>
      <c r="Q444" s="286"/>
      <c r="R444" s="286"/>
      <c r="S444" s="286"/>
      <c r="T444" s="286"/>
      <c r="U444" s="286"/>
      <c r="V444" s="286"/>
      <c r="W444" s="286"/>
      <c r="X444" s="286"/>
      <c r="Y444" s="286"/>
      <c r="Z444" s="286"/>
      <c r="AA444" s="286"/>
      <c r="AB444" s="286"/>
    </row>
    <row r="445">
      <c r="A445" s="286"/>
      <c r="B445" s="286"/>
      <c r="C445" s="529"/>
      <c r="D445" s="306"/>
      <c r="E445" s="306"/>
      <c r="F445" s="306"/>
      <c r="G445" s="528"/>
      <c r="H445" s="286"/>
      <c r="I445" s="286"/>
      <c r="J445" s="529"/>
      <c r="K445" s="286"/>
      <c r="L445" s="286"/>
      <c r="M445" s="529"/>
      <c r="N445" s="529"/>
      <c r="O445" s="529"/>
      <c r="P445" s="529"/>
      <c r="Q445" s="286"/>
      <c r="R445" s="286"/>
      <c r="S445" s="286"/>
      <c r="T445" s="286"/>
      <c r="U445" s="286"/>
      <c r="V445" s="286"/>
      <c r="W445" s="286"/>
      <c r="X445" s="286"/>
      <c r="Y445" s="286"/>
      <c r="Z445" s="286"/>
      <c r="AA445" s="286"/>
      <c r="AB445" s="286"/>
    </row>
    <row r="446">
      <c r="A446" s="286"/>
      <c r="B446" s="286"/>
      <c r="C446" s="529"/>
      <c r="D446" s="306"/>
      <c r="E446" s="306"/>
      <c r="F446" s="306"/>
      <c r="G446" s="528"/>
      <c r="H446" s="286"/>
      <c r="I446" s="286"/>
      <c r="J446" s="529"/>
      <c r="K446" s="286"/>
      <c r="L446" s="286"/>
      <c r="M446" s="529"/>
      <c r="N446" s="529"/>
      <c r="O446" s="529"/>
      <c r="P446" s="529"/>
      <c r="Q446" s="286"/>
      <c r="R446" s="286"/>
      <c r="S446" s="286"/>
      <c r="T446" s="286"/>
      <c r="U446" s="286"/>
      <c r="V446" s="286"/>
      <c r="W446" s="286"/>
      <c r="X446" s="286"/>
      <c r="Y446" s="286"/>
      <c r="Z446" s="286"/>
      <c r="AA446" s="286"/>
      <c r="AB446" s="286"/>
    </row>
    <row r="447">
      <c r="A447" s="286"/>
      <c r="B447" s="286"/>
      <c r="C447" s="529"/>
      <c r="D447" s="306"/>
      <c r="E447" s="306"/>
      <c r="F447" s="306"/>
      <c r="G447" s="528"/>
      <c r="H447" s="286"/>
      <c r="I447" s="286"/>
      <c r="J447" s="529"/>
      <c r="K447" s="286"/>
      <c r="L447" s="286"/>
      <c r="M447" s="529"/>
      <c r="N447" s="529"/>
      <c r="O447" s="529"/>
      <c r="P447" s="529"/>
      <c r="Q447" s="286"/>
      <c r="R447" s="286"/>
      <c r="S447" s="286"/>
      <c r="T447" s="286"/>
      <c r="U447" s="286"/>
      <c r="V447" s="286"/>
      <c r="W447" s="286"/>
      <c r="X447" s="286"/>
      <c r="Y447" s="286"/>
      <c r="Z447" s="286"/>
      <c r="AA447" s="286"/>
      <c r="AB447" s="286"/>
    </row>
    <row r="448">
      <c r="A448" s="286"/>
      <c r="B448" s="286"/>
      <c r="C448" s="529"/>
      <c r="D448" s="306"/>
      <c r="E448" s="306"/>
      <c r="F448" s="306"/>
      <c r="G448" s="528"/>
      <c r="H448" s="286"/>
      <c r="I448" s="286"/>
      <c r="J448" s="529"/>
      <c r="K448" s="286"/>
      <c r="L448" s="286"/>
      <c r="M448" s="529"/>
      <c r="N448" s="529"/>
      <c r="O448" s="529"/>
      <c r="P448" s="529"/>
      <c r="Q448" s="286"/>
      <c r="R448" s="286"/>
      <c r="S448" s="286"/>
      <c r="T448" s="286"/>
      <c r="U448" s="286"/>
      <c r="V448" s="286"/>
      <c r="W448" s="286"/>
      <c r="X448" s="286"/>
      <c r="Y448" s="286"/>
      <c r="Z448" s="286"/>
      <c r="AA448" s="286"/>
      <c r="AB448" s="286"/>
    </row>
    <row r="449">
      <c r="A449" s="286"/>
      <c r="B449" s="286"/>
      <c r="C449" s="529"/>
      <c r="D449" s="306"/>
      <c r="E449" s="306"/>
      <c r="F449" s="306"/>
      <c r="G449" s="528"/>
      <c r="H449" s="286"/>
      <c r="I449" s="286"/>
      <c r="J449" s="529"/>
      <c r="K449" s="286"/>
      <c r="L449" s="286"/>
      <c r="M449" s="529"/>
      <c r="N449" s="529"/>
      <c r="O449" s="529"/>
      <c r="P449" s="529"/>
      <c r="Q449" s="286"/>
      <c r="R449" s="286"/>
      <c r="S449" s="286"/>
      <c r="T449" s="286"/>
      <c r="U449" s="286"/>
      <c r="V449" s="286"/>
      <c r="W449" s="286"/>
      <c r="X449" s="286"/>
      <c r="Y449" s="286"/>
      <c r="Z449" s="286"/>
      <c r="AA449" s="286"/>
      <c r="AB449" s="286"/>
    </row>
    <row r="450">
      <c r="A450" s="286"/>
      <c r="B450" s="286"/>
      <c r="C450" s="529"/>
      <c r="D450" s="306"/>
      <c r="E450" s="306"/>
      <c r="F450" s="306"/>
      <c r="G450" s="528"/>
      <c r="H450" s="286"/>
      <c r="I450" s="286"/>
      <c r="J450" s="529"/>
      <c r="K450" s="286"/>
      <c r="L450" s="286"/>
      <c r="M450" s="529"/>
      <c r="N450" s="529"/>
      <c r="O450" s="529"/>
      <c r="P450" s="529"/>
      <c r="Q450" s="286"/>
      <c r="R450" s="286"/>
      <c r="S450" s="286"/>
      <c r="T450" s="286"/>
      <c r="U450" s="286"/>
      <c r="V450" s="286"/>
      <c r="W450" s="286"/>
      <c r="X450" s="286"/>
      <c r="Y450" s="286"/>
      <c r="Z450" s="286"/>
      <c r="AA450" s="286"/>
      <c r="AB450" s="286"/>
    </row>
    <row r="451">
      <c r="A451" s="286"/>
      <c r="B451" s="286"/>
      <c r="C451" s="529"/>
      <c r="D451" s="306"/>
      <c r="E451" s="306"/>
      <c r="F451" s="306"/>
      <c r="G451" s="528"/>
      <c r="H451" s="286"/>
      <c r="I451" s="286"/>
      <c r="J451" s="529"/>
      <c r="K451" s="286"/>
      <c r="L451" s="286"/>
      <c r="M451" s="529"/>
      <c r="N451" s="529"/>
      <c r="O451" s="529"/>
      <c r="P451" s="529"/>
      <c r="Q451" s="286"/>
      <c r="R451" s="286"/>
      <c r="S451" s="286"/>
      <c r="T451" s="286"/>
      <c r="U451" s="286"/>
      <c r="V451" s="286"/>
      <c r="W451" s="286"/>
      <c r="X451" s="286"/>
      <c r="Y451" s="286"/>
      <c r="Z451" s="286"/>
      <c r="AA451" s="286"/>
      <c r="AB451" s="286"/>
    </row>
    <row r="452">
      <c r="A452" s="286"/>
      <c r="B452" s="286"/>
      <c r="C452" s="529"/>
      <c r="D452" s="306"/>
      <c r="E452" s="306"/>
      <c r="F452" s="306"/>
      <c r="G452" s="528"/>
      <c r="H452" s="286"/>
      <c r="I452" s="286"/>
      <c r="J452" s="529"/>
      <c r="K452" s="286"/>
      <c r="L452" s="286"/>
      <c r="M452" s="529"/>
      <c r="N452" s="529"/>
      <c r="O452" s="529"/>
      <c r="P452" s="529"/>
      <c r="Q452" s="286"/>
      <c r="R452" s="286"/>
      <c r="S452" s="286"/>
      <c r="T452" s="286"/>
      <c r="U452" s="286"/>
      <c r="V452" s="286"/>
      <c r="W452" s="286"/>
      <c r="X452" s="286"/>
      <c r="Y452" s="286"/>
      <c r="Z452" s="286"/>
      <c r="AA452" s="286"/>
      <c r="AB452" s="286"/>
    </row>
    <row r="453">
      <c r="A453" s="286"/>
      <c r="B453" s="286"/>
      <c r="C453" s="529"/>
      <c r="D453" s="306"/>
      <c r="E453" s="306"/>
      <c r="F453" s="306"/>
      <c r="G453" s="528"/>
      <c r="H453" s="286"/>
      <c r="I453" s="286"/>
      <c r="J453" s="529"/>
      <c r="K453" s="286"/>
      <c r="L453" s="286"/>
      <c r="M453" s="529"/>
      <c r="N453" s="529"/>
      <c r="O453" s="529"/>
      <c r="P453" s="529"/>
      <c r="Q453" s="286"/>
      <c r="R453" s="286"/>
      <c r="S453" s="286"/>
      <c r="T453" s="286"/>
      <c r="U453" s="286"/>
      <c r="V453" s="286"/>
      <c r="W453" s="286"/>
      <c r="X453" s="286"/>
      <c r="Y453" s="286"/>
      <c r="Z453" s="286"/>
      <c r="AA453" s="286"/>
      <c r="AB453" s="286"/>
    </row>
    <row r="454">
      <c r="A454" s="286"/>
      <c r="B454" s="286"/>
      <c r="C454" s="529"/>
      <c r="D454" s="306"/>
      <c r="E454" s="306"/>
      <c r="F454" s="306"/>
      <c r="G454" s="528"/>
      <c r="H454" s="286"/>
      <c r="I454" s="286"/>
      <c r="J454" s="529"/>
      <c r="K454" s="286"/>
      <c r="L454" s="286"/>
      <c r="M454" s="529"/>
      <c r="N454" s="529"/>
      <c r="O454" s="529"/>
      <c r="P454" s="529"/>
      <c r="Q454" s="286"/>
      <c r="R454" s="286"/>
      <c r="S454" s="286"/>
      <c r="T454" s="286"/>
      <c r="U454" s="286"/>
      <c r="V454" s="286"/>
      <c r="W454" s="286"/>
      <c r="X454" s="286"/>
      <c r="Y454" s="286"/>
      <c r="Z454" s="286"/>
      <c r="AA454" s="286"/>
      <c r="AB454" s="286"/>
    </row>
    <row r="455">
      <c r="A455" s="286"/>
      <c r="B455" s="286"/>
      <c r="C455" s="529"/>
      <c r="D455" s="306"/>
      <c r="E455" s="306"/>
      <c r="F455" s="306"/>
      <c r="G455" s="528"/>
      <c r="H455" s="286"/>
      <c r="I455" s="286"/>
      <c r="J455" s="529"/>
      <c r="K455" s="286"/>
      <c r="L455" s="286"/>
      <c r="M455" s="529"/>
      <c r="N455" s="529"/>
      <c r="O455" s="529"/>
      <c r="P455" s="529"/>
      <c r="Q455" s="286"/>
      <c r="R455" s="286"/>
      <c r="S455" s="286"/>
      <c r="T455" s="286"/>
      <c r="U455" s="286"/>
      <c r="V455" s="286"/>
      <c r="W455" s="286"/>
      <c r="X455" s="286"/>
      <c r="Y455" s="286"/>
      <c r="Z455" s="286"/>
      <c r="AA455" s="286"/>
      <c r="AB455" s="286"/>
    </row>
    <row r="456">
      <c r="A456" s="286"/>
      <c r="B456" s="286"/>
      <c r="C456" s="529"/>
      <c r="D456" s="306"/>
      <c r="E456" s="306"/>
      <c r="F456" s="306"/>
      <c r="G456" s="528"/>
      <c r="H456" s="286"/>
      <c r="I456" s="286"/>
      <c r="J456" s="529"/>
      <c r="K456" s="286"/>
      <c r="L456" s="286"/>
      <c r="M456" s="529"/>
      <c r="N456" s="529"/>
      <c r="O456" s="529"/>
      <c r="P456" s="529"/>
      <c r="Q456" s="286"/>
      <c r="R456" s="286"/>
      <c r="S456" s="286"/>
      <c r="T456" s="286"/>
      <c r="U456" s="286"/>
      <c r="V456" s="286"/>
      <c r="W456" s="286"/>
      <c r="X456" s="286"/>
      <c r="Y456" s="286"/>
      <c r="Z456" s="286"/>
      <c r="AA456" s="286"/>
      <c r="AB456" s="286"/>
    </row>
    <row r="457">
      <c r="A457" s="286"/>
      <c r="B457" s="286"/>
      <c r="C457" s="529"/>
      <c r="D457" s="306"/>
      <c r="E457" s="306"/>
      <c r="F457" s="306"/>
      <c r="G457" s="528"/>
      <c r="H457" s="286"/>
      <c r="I457" s="286"/>
      <c r="J457" s="529"/>
      <c r="K457" s="286"/>
      <c r="L457" s="286"/>
      <c r="M457" s="529"/>
      <c r="N457" s="529"/>
      <c r="O457" s="529"/>
      <c r="P457" s="529"/>
      <c r="Q457" s="286"/>
      <c r="R457" s="286"/>
      <c r="S457" s="286"/>
      <c r="T457" s="286"/>
      <c r="U457" s="286"/>
      <c r="V457" s="286"/>
      <c r="W457" s="286"/>
      <c r="X457" s="286"/>
      <c r="Y457" s="286"/>
      <c r="Z457" s="286"/>
      <c r="AA457" s="286"/>
      <c r="AB457" s="286"/>
    </row>
    <row r="458">
      <c r="A458" s="286"/>
      <c r="B458" s="286"/>
      <c r="C458" s="529"/>
      <c r="D458" s="306"/>
      <c r="E458" s="306"/>
      <c r="F458" s="306"/>
      <c r="G458" s="528"/>
      <c r="H458" s="286"/>
      <c r="I458" s="286"/>
      <c r="J458" s="529"/>
      <c r="K458" s="286"/>
      <c r="L458" s="286"/>
      <c r="M458" s="529"/>
      <c r="N458" s="529"/>
      <c r="O458" s="529"/>
      <c r="P458" s="529"/>
      <c r="Q458" s="286"/>
      <c r="R458" s="286"/>
      <c r="S458" s="286"/>
      <c r="T458" s="286"/>
      <c r="U458" s="286"/>
      <c r="V458" s="286"/>
      <c r="W458" s="286"/>
      <c r="X458" s="286"/>
      <c r="Y458" s="286"/>
      <c r="Z458" s="286"/>
      <c r="AA458" s="286"/>
      <c r="AB458" s="286"/>
    </row>
    <row r="459">
      <c r="A459" s="286"/>
      <c r="B459" s="286"/>
      <c r="C459" s="529"/>
      <c r="D459" s="306"/>
      <c r="E459" s="306"/>
      <c r="F459" s="306"/>
      <c r="G459" s="528"/>
      <c r="H459" s="286"/>
      <c r="I459" s="286"/>
      <c r="J459" s="529"/>
      <c r="K459" s="286"/>
      <c r="L459" s="286"/>
      <c r="M459" s="529"/>
      <c r="N459" s="529"/>
      <c r="O459" s="529"/>
      <c r="P459" s="529"/>
      <c r="Q459" s="286"/>
      <c r="R459" s="286"/>
      <c r="S459" s="286"/>
      <c r="T459" s="286"/>
      <c r="U459" s="286"/>
      <c r="V459" s="286"/>
      <c r="W459" s="286"/>
      <c r="X459" s="286"/>
      <c r="Y459" s="286"/>
      <c r="Z459" s="286"/>
      <c r="AA459" s="286"/>
      <c r="AB459" s="286"/>
    </row>
    <row r="460">
      <c r="A460" s="286"/>
      <c r="B460" s="286"/>
      <c r="C460" s="529"/>
      <c r="D460" s="306"/>
      <c r="E460" s="306"/>
      <c r="F460" s="306"/>
      <c r="G460" s="528"/>
      <c r="H460" s="286"/>
      <c r="I460" s="286"/>
      <c r="J460" s="529"/>
      <c r="K460" s="286"/>
      <c r="L460" s="286"/>
      <c r="M460" s="529"/>
      <c r="N460" s="529"/>
      <c r="O460" s="529"/>
      <c r="P460" s="529"/>
      <c r="Q460" s="286"/>
      <c r="R460" s="286"/>
      <c r="S460" s="286"/>
      <c r="T460" s="286"/>
      <c r="U460" s="286"/>
      <c r="V460" s="286"/>
      <c r="W460" s="286"/>
      <c r="X460" s="286"/>
      <c r="Y460" s="286"/>
      <c r="Z460" s="286"/>
      <c r="AA460" s="286"/>
      <c r="AB460" s="286"/>
    </row>
    <row r="461">
      <c r="A461" s="286"/>
      <c r="B461" s="286"/>
      <c r="C461" s="529"/>
      <c r="D461" s="306"/>
      <c r="E461" s="306"/>
      <c r="F461" s="306"/>
      <c r="G461" s="528"/>
      <c r="H461" s="286"/>
      <c r="I461" s="286"/>
      <c r="J461" s="529"/>
      <c r="K461" s="286"/>
      <c r="L461" s="286"/>
      <c r="M461" s="529"/>
      <c r="N461" s="529"/>
      <c r="O461" s="529"/>
      <c r="P461" s="529"/>
      <c r="Q461" s="286"/>
      <c r="R461" s="286"/>
      <c r="S461" s="286"/>
      <c r="T461" s="286"/>
      <c r="U461" s="286"/>
      <c r="V461" s="286"/>
      <c r="W461" s="286"/>
      <c r="X461" s="286"/>
      <c r="Y461" s="286"/>
      <c r="Z461" s="286"/>
      <c r="AA461" s="286"/>
      <c r="AB461" s="286"/>
    </row>
    <row r="462">
      <c r="A462" s="286"/>
      <c r="B462" s="286"/>
      <c r="C462" s="529"/>
      <c r="D462" s="306"/>
      <c r="E462" s="306"/>
      <c r="F462" s="306"/>
      <c r="G462" s="528"/>
      <c r="H462" s="286"/>
      <c r="I462" s="286"/>
      <c r="J462" s="529"/>
      <c r="K462" s="286"/>
      <c r="L462" s="286"/>
      <c r="M462" s="529"/>
      <c r="N462" s="529"/>
      <c r="O462" s="529"/>
      <c r="P462" s="529"/>
      <c r="Q462" s="286"/>
      <c r="R462" s="286"/>
      <c r="S462" s="286"/>
      <c r="T462" s="286"/>
      <c r="U462" s="286"/>
      <c r="V462" s="286"/>
      <c r="W462" s="286"/>
      <c r="X462" s="286"/>
      <c r="Y462" s="286"/>
      <c r="Z462" s="286"/>
      <c r="AA462" s="286"/>
      <c r="AB462" s="286"/>
    </row>
    <row r="463">
      <c r="A463" s="286"/>
      <c r="B463" s="286"/>
      <c r="C463" s="529"/>
      <c r="D463" s="306"/>
      <c r="E463" s="306"/>
      <c r="F463" s="306"/>
      <c r="G463" s="528"/>
      <c r="H463" s="286"/>
      <c r="I463" s="286"/>
      <c r="J463" s="529"/>
      <c r="K463" s="286"/>
      <c r="L463" s="286"/>
      <c r="M463" s="529"/>
      <c r="N463" s="529"/>
      <c r="O463" s="529"/>
      <c r="P463" s="529"/>
      <c r="Q463" s="286"/>
      <c r="R463" s="286"/>
      <c r="S463" s="286"/>
      <c r="T463" s="286"/>
      <c r="U463" s="286"/>
      <c r="V463" s="286"/>
      <c r="W463" s="286"/>
      <c r="X463" s="286"/>
      <c r="Y463" s="286"/>
      <c r="Z463" s="286"/>
      <c r="AA463" s="286"/>
      <c r="AB463" s="286"/>
    </row>
    <row r="464">
      <c r="A464" s="286"/>
      <c r="B464" s="286"/>
      <c r="C464" s="529"/>
      <c r="D464" s="306"/>
      <c r="E464" s="306"/>
      <c r="F464" s="306"/>
      <c r="G464" s="528"/>
      <c r="H464" s="286"/>
      <c r="I464" s="286"/>
      <c r="J464" s="529"/>
      <c r="K464" s="286"/>
      <c r="L464" s="286"/>
      <c r="M464" s="529"/>
      <c r="N464" s="529"/>
      <c r="O464" s="529"/>
      <c r="P464" s="529"/>
      <c r="Q464" s="286"/>
      <c r="R464" s="286"/>
      <c r="S464" s="286"/>
      <c r="T464" s="286"/>
      <c r="U464" s="286"/>
      <c r="V464" s="286"/>
      <c r="W464" s="286"/>
      <c r="X464" s="286"/>
      <c r="Y464" s="286"/>
      <c r="Z464" s="286"/>
      <c r="AA464" s="286"/>
      <c r="AB464" s="286"/>
    </row>
    <row r="465">
      <c r="A465" s="286"/>
      <c r="B465" s="286"/>
      <c r="C465" s="529"/>
      <c r="D465" s="306"/>
      <c r="E465" s="306"/>
      <c r="F465" s="306"/>
      <c r="G465" s="528"/>
      <c r="H465" s="286"/>
      <c r="I465" s="286"/>
      <c r="J465" s="529"/>
      <c r="K465" s="286"/>
      <c r="L465" s="286"/>
      <c r="M465" s="529"/>
      <c r="N465" s="529"/>
      <c r="O465" s="529"/>
      <c r="P465" s="529"/>
      <c r="Q465" s="286"/>
      <c r="R465" s="286"/>
      <c r="S465" s="286"/>
      <c r="T465" s="286"/>
      <c r="U465" s="286"/>
      <c r="V465" s="286"/>
      <c r="W465" s="286"/>
      <c r="X465" s="286"/>
      <c r="Y465" s="286"/>
      <c r="Z465" s="286"/>
      <c r="AA465" s="286"/>
      <c r="AB465" s="286"/>
    </row>
    <row r="466">
      <c r="A466" s="286"/>
      <c r="B466" s="286"/>
      <c r="C466" s="529"/>
      <c r="D466" s="306"/>
      <c r="E466" s="306"/>
      <c r="F466" s="306"/>
      <c r="G466" s="528"/>
      <c r="H466" s="286"/>
      <c r="I466" s="286"/>
      <c r="J466" s="529"/>
      <c r="K466" s="286"/>
      <c r="L466" s="286"/>
      <c r="M466" s="529"/>
      <c r="N466" s="529"/>
      <c r="O466" s="529"/>
      <c r="P466" s="529"/>
      <c r="Q466" s="286"/>
      <c r="R466" s="286"/>
      <c r="S466" s="286"/>
      <c r="T466" s="286"/>
      <c r="U466" s="286"/>
      <c r="V466" s="286"/>
      <c r="W466" s="286"/>
      <c r="X466" s="286"/>
      <c r="Y466" s="286"/>
      <c r="Z466" s="286"/>
      <c r="AA466" s="286"/>
      <c r="AB466" s="286"/>
    </row>
    <row r="467">
      <c r="A467" s="286"/>
      <c r="B467" s="286"/>
      <c r="C467" s="529"/>
      <c r="D467" s="306"/>
      <c r="E467" s="306"/>
      <c r="F467" s="306"/>
      <c r="G467" s="528"/>
      <c r="H467" s="286"/>
      <c r="I467" s="286"/>
      <c r="J467" s="529"/>
      <c r="K467" s="286"/>
      <c r="L467" s="286"/>
      <c r="M467" s="529"/>
      <c r="N467" s="529"/>
      <c r="O467" s="529"/>
      <c r="P467" s="529"/>
      <c r="Q467" s="286"/>
      <c r="R467" s="286"/>
      <c r="S467" s="286"/>
      <c r="T467" s="286"/>
      <c r="U467" s="286"/>
      <c r="V467" s="286"/>
      <c r="W467" s="286"/>
      <c r="X467" s="286"/>
      <c r="Y467" s="286"/>
      <c r="Z467" s="286"/>
      <c r="AA467" s="286"/>
      <c r="AB467" s="286"/>
    </row>
    <row r="468">
      <c r="A468" s="286"/>
      <c r="B468" s="286"/>
      <c r="C468" s="529"/>
      <c r="D468" s="306"/>
      <c r="E468" s="306"/>
      <c r="F468" s="306"/>
      <c r="G468" s="528"/>
      <c r="H468" s="286"/>
      <c r="I468" s="286"/>
      <c r="J468" s="529"/>
      <c r="K468" s="286"/>
      <c r="L468" s="286"/>
      <c r="M468" s="529"/>
      <c r="N468" s="529"/>
      <c r="O468" s="529"/>
      <c r="P468" s="529"/>
      <c r="Q468" s="286"/>
      <c r="R468" s="286"/>
      <c r="S468" s="286"/>
      <c r="T468" s="286"/>
      <c r="U468" s="286"/>
      <c r="V468" s="286"/>
      <c r="W468" s="286"/>
      <c r="X468" s="286"/>
      <c r="Y468" s="286"/>
      <c r="Z468" s="286"/>
      <c r="AA468" s="286"/>
      <c r="AB468" s="286"/>
    </row>
    <row r="469">
      <c r="A469" s="286"/>
      <c r="B469" s="286"/>
      <c r="C469" s="529"/>
      <c r="D469" s="306"/>
      <c r="E469" s="306"/>
      <c r="F469" s="306"/>
      <c r="G469" s="528"/>
      <c r="H469" s="286"/>
      <c r="I469" s="286"/>
      <c r="J469" s="529"/>
      <c r="K469" s="286"/>
      <c r="L469" s="286"/>
      <c r="M469" s="529"/>
      <c r="N469" s="529"/>
      <c r="O469" s="529"/>
      <c r="P469" s="529"/>
      <c r="Q469" s="286"/>
      <c r="R469" s="286"/>
      <c r="S469" s="286"/>
      <c r="T469" s="286"/>
      <c r="U469" s="286"/>
      <c r="V469" s="286"/>
      <c r="W469" s="286"/>
      <c r="X469" s="286"/>
      <c r="Y469" s="286"/>
      <c r="Z469" s="286"/>
      <c r="AA469" s="286"/>
      <c r="AB469" s="286"/>
    </row>
    <row r="470">
      <c r="A470" s="286"/>
      <c r="B470" s="286"/>
      <c r="C470" s="529"/>
      <c r="D470" s="306"/>
      <c r="E470" s="306"/>
      <c r="F470" s="306"/>
      <c r="G470" s="528"/>
      <c r="H470" s="286"/>
      <c r="I470" s="286"/>
      <c r="J470" s="529"/>
      <c r="K470" s="286"/>
      <c r="L470" s="286"/>
      <c r="M470" s="529"/>
      <c r="N470" s="529"/>
      <c r="O470" s="529"/>
      <c r="P470" s="529"/>
      <c r="Q470" s="286"/>
      <c r="R470" s="286"/>
      <c r="S470" s="286"/>
      <c r="T470" s="286"/>
      <c r="U470" s="286"/>
      <c r="V470" s="286"/>
      <c r="W470" s="286"/>
      <c r="X470" s="286"/>
      <c r="Y470" s="286"/>
      <c r="Z470" s="286"/>
      <c r="AA470" s="286"/>
      <c r="AB470" s="286"/>
    </row>
    <row r="471">
      <c r="A471" s="286"/>
      <c r="B471" s="286"/>
      <c r="C471" s="529"/>
      <c r="D471" s="306"/>
      <c r="E471" s="306"/>
      <c r="F471" s="306"/>
      <c r="G471" s="528"/>
      <c r="H471" s="286"/>
      <c r="I471" s="286"/>
      <c r="J471" s="529"/>
      <c r="K471" s="286"/>
      <c r="L471" s="286"/>
      <c r="M471" s="529"/>
      <c r="N471" s="529"/>
      <c r="O471" s="529"/>
      <c r="P471" s="529"/>
      <c r="Q471" s="286"/>
      <c r="R471" s="286"/>
      <c r="S471" s="286"/>
      <c r="T471" s="286"/>
      <c r="U471" s="286"/>
      <c r="V471" s="286"/>
      <c r="W471" s="286"/>
      <c r="X471" s="286"/>
      <c r="Y471" s="286"/>
      <c r="Z471" s="286"/>
      <c r="AA471" s="286"/>
      <c r="AB471" s="286"/>
    </row>
    <row r="472">
      <c r="A472" s="286"/>
      <c r="B472" s="286"/>
      <c r="C472" s="529"/>
      <c r="D472" s="306"/>
      <c r="E472" s="306"/>
      <c r="F472" s="306"/>
      <c r="G472" s="528"/>
      <c r="H472" s="286"/>
      <c r="I472" s="286"/>
      <c r="J472" s="529"/>
      <c r="K472" s="286"/>
      <c r="L472" s="286"/>
      <c r="M472" s="529"/>
      <c r="N472" s="529"/>
      <c r="O472" s="529"/>
      <c r="P472" s="529"/>
      <c r="Q472" s="286"/>
      <c r="R472" s="286"/>
      <c r="S472" s="286"/>
      <c r="T472" s="286"/>
      <c r="U472" s="286"/>
      <c r="V472" s="286"/>
      <c r="W472" s="286"/>
      <c r="X472" s="286"/>
      <c r="Y472" s="286"/>
      <c r="Z472" s="286"/>
      <c r="AA472" s="286"/>
      <c r="AB472" s="286"/>
    </row>
    <row r="473">
      <c r="A473" s="286"/>
      <c r="B473" s="286"/>
      <c r="C473" s="529"/>
      <c r="D473" s="306"/>
      <c r="E473" s="306"/>
      <c r="F473" s="306"/>
      <c r="G473" s="528"/>
      <c r="H473" s="286"/>
      <c r="I473" s="286"/>
      <c r="J473" s="529"/>
      <c r="K473" s="286"/>
      <c r="L473" s="286"/>
      <c r="M473" s="529"/>
      <c r="N473" s="529"/>
      <c r="O473" s="529"/>
      <c r="P473" s="529"/>
      <c r="Q473" s="286"/>
      <c r="R473" s="286"/>
      <c r="S473" s="286"/>
      <c r="T473" s="286"/>
      <c r="U473" s="286"/>
      <c r="V473" s="286"/>
      <c r="W473" s="286"/>
      <c r="X473" s="286"/>
      <c r="Y473" s="286"/>
      <c r="Z473" s="286"/>
      <c r="AA473" s="286"/>
      <c r="AB473" s="286"/>
    </row>
    <row r="474">
      <c r="A474" s="286"/>
      <c r="B474" s="286"/>
      <c r="C474" s="529"/>
      <c r="D474" s="306"/>
      <c r="E474" s="306"/>
      <c r="F474" s="306"/>
      <c r="G474" s="528"/>
      <c r="H474" s="286"/>
      <c r="I474" s="286"/>
      <c r="J474" s="529"/>
      <c r="K474" s="286"/>
      <c r="L474" s="286"/>
      <c r="M474" s="529"/>
      <c r="N474" s="529"/>
      <c r="O474" s="529"/>
      <c r="P474" s="529"/>
      <c r="Q474" s="286"/>
      <c r="R474" s="286"/>
      <c r="S474" s="286"/>
      <c r="T474" s="286"/>
      <c r="U474" s="286"/>
      <c r="V474" s="286"/>
      <c r="W474" s="286"/>
      <c r="X474" s="286"/>
      <c r="Y474" s="286"/>
      <c r="Z474" s="286"/>
      <c r="AA474" s="286"/>
      <c r="AB474" s="286"/>
    </row>
    <row r="475">
      <c r="A475" s="286"/>
      <c r="B475" s="286"/>
      <c r="C475" s="529"/>
      <c r="D475" s="306"/>
      <c r="E475" s="306"/>
      <c r="F475" s="306"/>
      <c r="G475" s="528"/>
      <c r="H475" s="286"/>
      <c r="I475" s="286"/>
      <c r="J475" s="529"/>
      <c r="K475" s="286"/>
      <c r="L475" s="286"/>
      <c r="M475" s="529"/>
      <c r="N475" s="529"/>
      <c r="O475" s="529"/>
      <c r="P475" s="529"/>
      <c r="Q475" s="286"/>
      <c r="R475" s="286"/>
      <c r="S475" s="286"/>
      <c r="T475" s="286"/>
      <c r="U475" s="286"/>
      <c r="V475" s="286"/>
      <c r="W475" s="286"/>
      <c r="X475" s="286"/>
      <c r="Y475" s="286"/>
      <c r="Z475" s="286"/>
      <c r="AA475" s="286"/>
      <c r="AB475" s="286"/>
    </row>
    <row r="476">
      <c r="A476" s="286"/>
      <c r="B476" s="286"/>
      <c r="C476" s="529"/>
      <c r="D476" s="306"/>
      <c r="E476" s="306"/>
      <c r="F476" s="306"/>
      <c r="G476" s="528"/>
      <c r="H476" s="286"/>
      <c r="I476" s="286"/>
      <c r="J476" s="529"/>
      <c r="K476" s="286"/>
      <c r="L476" s="286"/>
      <c r="M476" s="529"/>
      <c r="N476" s="529"/>
      <c r="O476" s="529"/>
      <c r="P476" s="529"/>
      <c r="Q476" s="286"/>
      <c r="R476" s="286"/>
      <c r="S476" s="286"/>
      <c r="T476" s="286"/>
      <c r="U476" s="286"/>
      <c r="V476" s="286"/>
      <c r="W476" s="286"/>
      <c r="X476" s="286"/>
      <c r="Y476" s="286"/>
      <c r="Z476" s="286"/>
      <c r="AA476" s="286"/>
      <c r="AB476" s="286"/>
    </row>
    <row r="477">
      <c r="A477" s="286"/>
      <c r="B477" s="286"/>
      <c r="C477" s="529"/>
      <c r="D477" s="306"/>
      <c r="E477" s="306"/>
      <c r="F477" s="306"/>
      <c r="G477" s="528"/>
      <c r="H477" s="286"/>
      <c r="I477" s="286"/>
      <c r="J477" s="529"/>
      <c r="K477" s="286"/>
      <c r="L477" s="286"/>
      <c r="M477" s="529"/>
      <c r="N477" s="529"/>
      <c r="O477" s="529"/>
      <c r="P477" s="529"/>
      <c r="Q477" s="286"/>
      <c r="R477" s="286"/>
      <c r="S477" s="286"/>
      <c r="T477" s="286"/>
      <c r="U477" s="286"/>
      <c r="V477" s="286"/>
      <c r="W477" s="286"/>
      <c r="X477" s="286"/>
      <c r="Y477" s="286"/>
      <c r="Z477" s="286"/>
      <c r="AA477" s="286"/>
      <c r="AB477" s="286"/>
    </row>
    <row r="478">
      <c r="A478" s="286"/>
      <c r="B478" s="286"/>
      <c r="C478" s="529"/>
      <c r="D478" s="306"/>
      <c r="E478" s="306"/>
      <c r="F478" s="306"/>
      <c r="G478" s="528"/>
      <c r="H478" s="286"/>
      <c r="I478" s="286"/>
      <c r="J478" s="529"/>
      <c r="K478" s="286"/>
      <c r="L478" s="286"/>
      <c r="M478" s="529"/>
      <c r="N478" s="529"/>
      <c r="O478" s="529"/>
      <c r="P478" s="529"/>
      <c r="Q478" s="286"/>
      <c r="R478" s="286"/>
      <c r="S478" s="286"/>
      <c r="T478" s="286"/>
      <c r="U478" s="286"/>
      <c r="V478" s="286"/>
      <c r="W478" s="286"/>
      <c r="X478" s="286"/>
      <c r="Y478" s="286"/>
      <c r="Z478" s="286"/>
      <c r="AA478" s="286"/>
      <c r="AB478" s="286"/>
    </row>
    <row r="479">
      <c r="A479" s="286"/>
      <c r="B479" s="286"/>
      <c r="C479" s="529"/>
      <c r="D479" s="306"/>
      <c r="E479" s="306"/>
      <c r="F479" s="306"/>
      <c r="G479" s="528"/>
      <c r="H479" s="286"/>
      <c r="I479" s="286"/>
      <c r="J479" s="529"/>
      <c r="K479" s="286"/>
      <c r="L479" s="286"/>
      <c r="M479" s="529"/>
      <c r="N479" s="529"/>
      <c r="O479" s="529"/>
      <c r="P479" s="529"/>
      <c r="Q479" s="286"/>
      <c r="R479" s="286"/>
      <c r="S479" s="286"/>
      <c r="T479" s="286"/>
      <c r="U479" s="286"/>
      <c r="V479" s="286"/>
      <c r="W479" s="286"/>
      <c r="X479" s="286"/>
      <c r="Y479" s="286"/>
      <c r="Z479" s="286"/>
      <c r="AA479" s="286"/>
      <c r="AB479" s="286"/>
    </row>
    <row r="480">
      <c r="A480" s="286"/>
      <c r="B480" s="286"/>
      <c r="C480" s="529"/>
      <c r="D480" s="306"/>
      <c r="E480" s="306"/>
      <c r="F480" s="306"/>
      <c r="G480" s="528"/>
      <c r="H480" s="286"/>
      <c r="I480" s="286"/>
      <c r="J480" s="529"/>
      <c r="K480" s="286"/>
      <c r="L480" s="286"/>
      <c r="M480" s="529"/>
      <c r="N480" s="529"/>
      <c r="O480" s="529"/>
      <c r="P480" s="529"/>
      <c r="Q480" s="286"/>
      <c r="R480" s="286"/>
      <c r="S480" s="286"/>
      <c r="T480" s="286"/>
      <c r="U480" s="286"/>
      <c r="V480" s="286"/>
      <c r="W480" s="286"/>
      <c r="X480" s="286"/>
      <c r="Y480" s="286"/>
      <c r="Z480" s="286"/>
      <c r="AA480" s="286"/>
      <c r="AB480" s="286"/>
    </row>
    <row r="481">
      <c r="A481" s="286"/>
      <c r="B481" s="286"/>
      <c r="C481" s="529"/>
      <c r="D481" s="306"/>
      <c r="E481" s="306"/>
      <c r="F481" s="306"/>
      <c r="G481" s="528"/>
      <c r="H481" s="286"/>
      <c r="I481" s="286"/>
      <c r="J481" s="529"/>
      <c r="K481" s="286"/>
      <c r="L481" s="286"/>
      <c r="M481" s="529"/>
      <c r="N481" s="529"/>
      <c r="O481" s="529"/>
      <c r="P481" s="529"/>
      <c r="Q481" s="286"/>
      <c r="R481" s="286"/>
      <c r="S481" s="286"/>
      <c r="T481" s="286"/>
      <c r="U481" s="286"/>
      <c r="V481" s="286"/>
      <c r="W481" s="286"/>
      <c r="X481" s="286"/>
      <c r="Y481" s="286"/>
      <c r="Z481" s="286"/>
      <c r="AA481" s="286"/>
      <c r="AB481" s="286"/>
    </row>
    <row r="482">
      <c r="A482" s="286"/>
      <c r="B482" s="286"/>
      <c r="C482" s="529"/>
      <c r="D482" s="306"/>
      <c r="E482" s="306"/>
      <c r="F482" s="306"/>
      <c r="G482" s="528"/>
      <c r="H482" s="286"/>
      <c r="I482" s="286"/>
      <c r="J482" s="529"/>
      <c r="K482" s="286"/>
      <c r="L482" s="286"/>
      <c r="M482" s="529"/>
      <c r="N482" s="529"/>
      <c r="O482" s="529"/>
      <c r="P482" s="529"/>
      <c r="Q482" s="286"/>
      <c r="R482" s="286"/>
      <c r="S482" s="286"/>
      <c r="T482" s="286"/>
      <c r="U482" s="286"/>
      <c r="V482" s="286"/>
      <c r="W482" s="286"/>
      <c r="X482" s="286"/>
      <c r="Y482" s="286"/>
      <c r="Z482" s="286"/>
      <c r="AA482" s="286"/>
      <c r="AB482" s="286"/>
    </row>
    <row r="483">
      <c r="A483" s="286"/>
      <c r="B483" s="286"/>
      <c r="C483" s="529"/>
      <c r="D483" s="306"/>
      <c r="E483" s="306"/>
      <c r="F483" s="306"/>
      <c r="G483" s="528"/>
      <c r="H483" s="286"/>
      <c r="I483" s="286"/>
      <c r="J483" s="529"/>
      <c r="K483" s="286"/>
      <c r="L483" s="286"/>
      <c r="M483" s="529"/>
      <c r="N483" s="529"/>
      <c r="O483" s="529"/>
      <c r="P483" s="529"/>
      <c r="Q483" s="286"/>
      <c r="R483" s="286"/>
      <c r="S483" s="286"/>
      <c r="T483" s="286"/>
      <c r="U483" s="286"/>
      <c r="V483" s="286"/>
      <c r="W483" s="286"/>
      <c r="X483" s="286"/>
      <c r="Y483" s="286"/>
      <c r="Z483" s="286"/>
      <c r="AA483" s="286"/>
      <c r="AB483" s="286"/>
    </row>
    <row r="484">
      <c r="A484" s="286"/>
      <c r="B484" s="286"/>
      <c r="C484" s="529"/>
      <c r="D484" s="306"/>
      <c r="E484" s="306"/>
      <c r="F484" s="306"/>
      <c r="G484" s="528"/>
      <c r="H484" s="286"/>
      <c r="I484" s="286"/>
      <c r="J484" s="529"/>
      <c r="K484" s="286"/>
      <c r="L484" s="286"/>
      <c r="M484" s="529"/>
      <c r="N484" s="529"/>
      <c r="O484" s="529"/>
      <c r="P484" s="529"/>
      <c r="Q484" s="286"/>
      <c r="R484" s="286"/>
      <c r="S484" s="286"/>
      <c r="T484" s="286"/>
      <c r="U484" s="286"/>
      <c r="V484" s="286"/>
      <c r="W484" s="286"/>
      <c r="X484" s="286"/>
      <c r="Y484" s="286"/>
      <c r="Z484" s="286"/>
      <c r="AA484" s="286"/>
      <c r="AB484" s="286"/>
    </row>
    <row r="485">
      <c r="A485" s="286"/>
      <c r="B485" s="286"/>
      <c r="C485" s="529"/>
      <c r="D485" s="306"/>
      <c r="E485" s="306"/>
      <c r="F485" s="306"/>
      <c r="G485" s="528"/>
      <c r="H485" s="286"/>
      <c r="I485" s="286"/>
      <c r="J485" s="529"/>
      <c r="K485" s="286"/>
      <c r="L485" s="286"/>
      <c r="M485" s="529"/>
      <c r="N485" s="529"/>
      <c r="O485" s="529"/>
      <c r="P485" s="529"/>
      <c r="Q485" s="286"/>
      <c r="R485" s="286"/>
      <c r="S485" s="286"/>
      <c r="T485" s="286"/>
      <c r="U485" s="286"/>
      <c r="V485" s="286"/>
      <c r="W485" s="286"/>
      <c r="X485" s="286"/>
      <c r="Y485" s="286"/>
      <c r="Z485" s="286"/>
      <c r="AA485" s="286"/>
      <c r="AB485" s="286"/>
    </row>
    <row r="486">
      <c r="A486" s="286"/>
      <c r="B486" s="286"/>
      <c r="C486" s="529"/>
      <c r="D486" s="306"/>
      <c r="E486" s="306"/>
      <c r="F486" s="306"/>
      <c r="G486" s="528"/>
      <c r="H486" s="286"/>
      <c r="I486" s="286"/>
      <c r="J486" s="529"/>
      <c r="K486" s="286"/>
      <c r="L486" s="286"/>
      <c r="M486" s="529"/>
      <c r="N486" s="529"/>
      <c r="O486" s="529"/>
      <c r="P486" s="529"/>
      <c r="Q486" s="286"/>
      <c r="R486" s="286"/>
      <c r="S486" s="286"/>
      <c r="T486" s="286"/>
      <c r="U486" s="286"/>
      <c r="V486" s="286"/>
      <c r="W486" s="286"/>
      <c r="X486" s="286"/>
      <c r="Y486" s="286"/>
      <c r="Z486" s="286"/>
      <c r="AA486" s="286"/>
      <c r="AB486" s="286"/>
    </row>
    <row r="487">
      <c r="A487" s="286"/>
      <c r="B487" s="286"/>
      <c r="C487" s="529"/>
      <c r="D487" s="306"/>
      <c r="E487" s="306"/>
      <c r="F487" s="306"/>
      <c r="G487" s="528"/>
      <c r="H487" s="286"/>
      <c r="I487" s="286"/>
      <c r="J487" s="529"/>
      <c r="K487" s="286"/>
      <c r="L487" s="286"/>
      <c r="M487" s="529"/>
      <c r="N487" s="529"/>
      <c r="O487" s="529"/>
      <c r="P487" s="529"/>
      <c r="Q487" s="286"/>
      <c r="R487" s="286"/>
      <c r="S487" s="286"/>
      <c r="T487" s="286"/>
      <c r="U487" s="286"/>
      <c r="V487" s="286"/>
      <c r="W487" s="286"/>
      <c r="X487" s="286"/>
      <c r="Y487" s="286"/>
      <c r="Z487" s="286"/>
      <c r="AA487" s="286"/>
      <c r="AB487" s="286"/>
    </row>
    <row r="488">
      <c r="A488" s="286"/>
      <c r="B488" s="286"/>
      <c r="C488" s="529"/>
      <c r="D488" s="306"/>
      <c r="E488" s="306"/>
      <c r="F488" s="306"/>
      <c r="G488" s="528"/>
      <c r="H488" s="286"/>
      <c r="I488" s="286"/>
      <c r="J488" s="529"/>
      <c r="K488" s="286"/>
      <c r="L488" s="286"/>
      <c r="M488" s="529"/>
      <c r="N488" s="529"/>
      <c r="O488" s="529"/>
      <c r="P488" s="529"/>
      <c r="Q488" s="286"/>
      <c r="R488" s="286"/>
      <c r="S488" s="286"/>
      <c r="T488" s="286"/>
      <c r="U488" s="286"/>
      <c r="V488" s="286"/>
      <c r="W488" s="286"/>
      <c r="X488" s="286"/>
      <c r="Y488" s="286"/>
      <c r="Z488" s="286"/>
      <c r="AA488" s="286"/>
      <c r="AB488" s="286"/>
    </row>
    <row r="489">
      <c r="A489" s="286"/>
      <c r="B489" s="286"/>
      <c r="C489" s="529"/>
      <c r="D489" s="306"/>
      <c r="E489" s="306"/>
      <c r="F489" s="306"/>
      <c r="G489" s="528"/>
      <c r="H489" s="286"/>
      <c r="I489" s="286"/>
      <c r="J489" s="529"/>
      <c r="K489" s="286"/>
      <c r="L489" s="286"/>
      <c r="M489" s="529"/>
      <c r="N489" s="529"/>
      <c r="O489" s="529"/>
      <c r="P489" s="529"/>
      <c r="Q489" s="286"/>
      <c r="R489" s="286"/>
      <c r="S489" s="286"/>
      <c r="T489" s="286"/>
      <c r="U489" s="286"/>
      <c r="V489" s="286"/>
      <c r="W489" s="286"/>
      <c r="X489" s="286"/>
      <c r="Y489" s="286"/>
      <c r="Z489" s="286"/>
      <c r="AA489" s="286"/>
      <c r="AB489" s="286"/>
    </row>
    <row r="490">
      <c r="A490" s="286"/>
      <c r="B490" s="286"/>
      <c r="C490" s="529"/>
      <c r="D490" s="306"/>
      <c r="E490" s="306"/>
      <c r="F490" s="306"/>
      <c r="G490" s="528"/>
      <c r="H490" s="286"/>
      <c r="I490" s="286"/>
      <c r="J490" s="529"/>
      <c r="K490" s="286"/>
      <c r="L490" s="286"/>
      <c r="M490" s="529"/>
      <c r="N490" s="529"/>
      <c r="O490" s="529"/>
      <c r="P490" s="529"/>
      <c r="Q490" s="286"/>
      <c r="R490" s="286"/>
      <c r="S490" s="286"/>
      <c r="T490" s="286"/>
      <c r="U490" s="286"/>
      <c r="V490" s="286"/>
      <c r="W490" s="286"/>
      <c r="X490" s="286"/>
      <c r="Y490" s="286"/>
      <c r="Z490" s="286"/>
      <c r="AA490" s="286"/>
      <c r="AB490" s="286"/>
    </row>
    <row r="491">
      <c r="A491" s="286"/>
      <c r="B491" s="286"/>
      <c r="C491" s="529"/>
      <c r="D491" s="306"/>
      <c r="E491" s="306"/>
      <c r="F491" s="306"/>
      <c r="G491" s="528"/>
      <c r="H491" s="286"/>
      <c r="I491" s="286"/>
      <c r="J491" s="529"/>
      <c r="K491" s="286"/>
      <c r="L491" s="286"/>
      <c r="M491" s="529"/>
      <c r="N491" s="529"/>
      <c r="O491" s="529"/>
      <c r="P491" s="529"/>
      <c r="Q491" s="286"/>
      <c r="R491" s="286"/>
      <c r="S491" s="286"/>
      <c r="T491" s="286"/>
      <c r="U491" s="286"/>
      <c r="V491" s="286"/>
      <c r="W491" s="286"/>
      <c r="X491" s="286"/>
      <c r="Y491" s="286"/>
      <c r="Z491" s="286"/>
      <c r="AA491" s="286"/>
      <c r="AB491" s="286"/>
    </row>
    <row r="492">
      <c r="A492" s="286"/>
      <c r="B492" s="286"/>
      <c r="C492" s="529"/>
      <c r="D492" s="306"/>
      <c r="E492" s="306"/>
      <c r="F492" s="306"/>
      <c r="G492" s="528"/>
      <c r="H492" s="286"/>
      <c r="I492" s="286"/>
      <c r="J492" s="529"/>
      <c r="K492" s="286"/>
      <c r="L492" s="286"/>
      <c r="M492" s="529"/>
      <c r="N492" s="529"/>
      <c r="O492" s="529"/>
      <c r="P492" s="529"/>
      <c r="Q492" s="286"/>
      <c r="R492" s="286"/>
      <c r="S492" s="286"/>
      <c r="T492" s="286"/>
      <c r="U492" s="286"/>
      <c r="V492" s="286"/>
      <c r="W492" s="286"/>
      <c r="X492" s="286"/>
      <c r="Y492" s="286"/>
      <c r="Z492" s="286"/>
      <c r="AA492" s="286"/>
      <c r="AB492" s="286"/>
    </row>
    <row r="493">
      <c r="A493" s="286"/>
      <c r="B493" s="286"/>
      <c r="C493" s="529"/>
      <c r="D493" s="306"/>
      <c r="E493" s="306"/>
      <c r="F493" s="306"/>
      <c r="G493" s="528"/>
      <c r="H493" s="286"/>
      <c r="I493" s="286"/>
      <c r="J493" s="529"/>
      <c r="K493" s="286"/>
      <c r="L493" s="286"/>
      <c r="M493" s="529"/>
      <c r="N493" s="529"/>
      <c r="O493" s="529"/>
      <c r="P493" s="529"/>
      <c r="Q493" s="286"/>
      <c r="R493" s="286"/>
      <c r="S493" s="286"/>
      <c r="T493" s="286"/>
      <c r="U493" s="286"/>
      <c r="V493" s="286"/>
      <c r="W493" s="286"/>
      <c r="X493" s="286"/>
      <c r="Y493" s="286"/>
      <c r="Z493" s="286"/>
      <c r="AA493" s="286"/>
      <c r="AB493" s="286"/>
    </row>
    <row r="494">
      <c r="A494" s="286"/>
      <c r="B494" s="286"/>
      <c r="C494" s="529"/>
      <c r="D494" s="306"/>
      <c r="E494" s="306"/>
      <c r="F494" s="306"/>
      <c r="G494" s="528"/>
      <c r="H494" s="286"/>
      <c r="I494" s="286"/>
      <c r="J494" s="529"/>
      <c r="K494" s="286"/>
      <c r="L494" s="286"/>
      <c r="M494" s="529"/>
      <c r="N494" s="529"/>
      <c r="O494" s="529"/>
      <c r="P494" s="529"/>
      <c r="Q494" s="286"/>
      <c r="R494" s="286"/>
      <c r="S494" s="286"/>
      <c r="T494" s="286"/>
      <c r="U494" s="286"/>
      <c r="V494" s="286"/>
      <c r="W494" s="286"/>
      <c r="X494" s="286"/>
      <c r="Y494" s="286"/>
      <c r="Z494" s="286"/>
      <c r="AA494" s="286"/>
      <c r="AB494" s="286"/>
    </row>
    <row r="495">
      <c r="A495" s="286"/>
      <c r="B495" s="286"/>
      <c r="C495" s="529"/>
      <c r="D495" s="306"/>
      <c r="E495" s="306"/>
      <c r="F495" s="306"/>
      <c r="G495" s="528"/>
      <c r="H495" s="286"/>
      <c r="I495" s="286"/>
      <c r="J495" s="529"/>
      <c r="K495" s="286"/>
      <c r="L495" s="286"/>
      <c r="M495" s="529"/>
      <c r="N495" s="529"/>
      <c r="O495" s="529"/>
      <c r="P495" s="529"/>
      <c r="Q495" s="286"/>
      <c r="R495" s="286"/>
      <c r="S495" s="286"/>
      <c r="T495" s="286"/>
      <c r="U495" s="286"/>
      <c r="V495" s="286"/>
      <c r="W495" s="286"/>
      <c r="X495" s="286"/>
      <c r="Y495" s="286"/>
      <c r="Z495" s="286"/>
      <c r="AA495" s="286"/>
      <c r="AB495" s="286"/>
    </row>
    <row r="496">
      <c r="A496" s="286"/>
      <c r="B496" s="286"/>
      <c r="C496" s="529"/>
      <c r="D496" s="306"/>
      <c r="E496" s="306"/>
      <c r="F496" s="306"/>
      <c r="G496" s="528"/>
      <c r="H496" s="286"/>
      <c r="I496" s="286"/>
      <c r="J496" s="529"/>
      <c r="K496" s="286"/>
      <c r="L496" s="286"/>
      <c r="M496" s="529"/>
      <c r="N496" s="529"/>
      <c r="O496" s="529"/>
      <c r="P496" s="529"/>
      <c r="Q496" s="286"/>
      <c r="R496" s="286"/>
      <c r="S496" s="286"/>
      <c r="T496" s="286"/>
      <c r="U496" s="286"/>
      <c r="V496" s="286"/>
      <c r="W496" s="286"/>
      <c r="X496" s="286"/>
      <c r="Y496" s="286"/>
      <c r="Z496" s="286"/>
      <c r="AA496" s="286"/>
      <c r="AB496" s="286"/>
    </row>
    <row r="497">
      <c r="A497" s="286"/>
      <c r="B497" s="286"/>
      <c r="C497" s="529"/>
      <c r="D497" s="306"/>
      <c r="E497" s="306"/>
      <c r="F497" s="306"/>
      <c r="G497" s="528"/>
      <c r="H497" s="286"/>
      <c r="I497" s="286"/>
      <c r="J497" s="529"/>
      <c r="K497" s="286"/>
      <c r="L497" s="286"/>
      <c r="M497" s="529"/>
      <c r="N497" s="529"/>
      <c r="O497" s="529"/>
      <c r="P497" s="529"/>
      <c r="Q497" s="286"/>
      <c r="R497" s="286"/>
      <c r="S497" s="286"/>
      <c r="T497" s="286"/>
      <c r="U497" s="286"/>
      <c r="V497" s="286"/>
      <c r="W497" s="286"/>
      <c r="X497" s="286"/>
      <c r="Y497" s="286"/>
      <c r="Z497" s="286"/>
      <c r="AA497" s="286"/>
      <c r="AB497" s="286"/>
    </row>
    <row r="498">
      <c r="A498" s="286"/>
      <c r="B498" s="286"/>
      <c r="C498" s="529"/>
      <c r="D498" s="306"/>
      <c r="E498" s="306"/>
      <c r="F498" s="306"/>
      <c r="G498" s="528"/>
      <c r="H498" s="286"/>
      <c r="I498" s="286"/>
      <c r="J498" s="529"/>
      <c r="K498" s="286"/>
      <c r="L498" s="286"/>
      <c r="M498" s="529"/>
      <c r="N498" s="529"/>
      <c r="O498" s="529"/>
      <c r="P498" s="529"/>
      <c r="Q498" s="286"/>
      <c r="R498" s="286"/>
      <c r="S498" s="286"/>
      <c r="T498" s="286"/>
      <c r="U498" s="286"/>
      <c r="V498" s="286"/>
      <c r="W498" s="286"/>
      <c r="X498" s="286"/>
      <c r="Y498" s="286"/>
      <c r="Z498" s="286"/>
      <c r="AA498" s="286"/>
      <c r="AB498" s="286"/>
    </row>
    <row r="499">
      <c r="A499" s="286"/>
      <c r="B499" s="286"/>
      <c r="C499" s="529"/>
      <c r="D499" s="306"/>
      <c r="E499" s="306"/>
      <c r="F499" s="306"/>
      <c r="G499" s="528"/>
      <c r="H499" s="286"/>
      <c r="I499" s="286"/>
      <c r="J499" s="529"/>
      <c r="K499" s="286"/>
      <c r="L499" s="286"/>
      <c r="M499" s="529"/>
      <c r="N499" s="529"/>
      <c r="O499" s="529"/>
      <c r="P499" s="529"/>
      <c r="Q499" s="286"/>
      <c r="R499" s="286"/>
      <c r="S499" s="286"/>
      <c r="T499" s="286"/>
      <c r="U499" s="286"/>
      <c r="V499" s="286"/>
      <c r="W499" s="286"/>
      <c r="X499" s="286"/>
      <c r="Y499" s="286"/>
      <c r="Z499" s="286"/>
      <c r="AA499" s="286"/>
      <c r="AB499" s="286"/>
    </row>
    <row r="500">
      <c r="A500" s="286"/>
      <c r="B500" s="286"/>
      <c r="C500" s="529"/>
      <c r="D500" s="306"/>
      <c r="E500" s="306"/>
      <c r="F500" s="306"/>
      <c r="G500" s="528"/>
      <c r="H500" s="286"/>
      <c r="I500" s="286"/>
      <c r="J500" s="529"/>
      <c r="K500" s="286"/>
      <c r="L500" s="286"/>
      <c r="M500" s="529"/>
      <c r="N500" s="529"/>
      <c r="O500" s="529"/>
      <c r="P500" s="529"/>
      <c r="Q500" s="286"/>
      <c r="R500" s="286"/>
      <c r="S500" s="286"/>
      <c r="T500" s="286"/>
      <c r="U500" s="286"/>
      <c r="V500" s="286"/>
      <c r="W500" s="286"/>
      <c r="X500" s="286"/>
      <c r="Y500" s="286"/>
      <c r="Z500" s="286"/>
      <c r="AA500" s="286"/>
      <c r="AB500" s="286"/>
    </row>
    <row r="501">
      <c r="A501" s="286"/>
      <c r="B501" s="286"/>
      <c r="C501" s="529"/>
      <c r="D501" s="306"/>
      <c r="E501" s="306"/>
      <c r="F501" s="306"/>
      <c r="G501" s="528"/>
      <c r="H501" s="286"/>
      <c r="I501" s="286"/>
      <c r="J501" s="529"/>
      <c r="K501" s="286"/>
      <c r="L501" s="286"/>
      <c r="M501" s="529"/>
      <c r="N501" s="529"/>
      <c r="O501" s="529"/>
      <c r="P501" s="529"/>
      <c r="Q501" s="286"/>
      <c r="R501" s="286"/>
      <c r="S501" s="286"/>
      <c r="T501" s="286"/>
      <c r="U501" s="286"/>
      <c r="V501" s="286"/>
      <c r="W501" s="286"/>
      <c r="X501" s="286"/>
      <c r="Y501" s="286"/>
      <c r="Z501" s="286"/>
      <c r="AA501" s="286"/>
      <c r="AB501" s="286"/>
    </row>
    <row r="502">
      <c r="A502" s="286"/>
      <c r="B502" s="286"/>
      <c r="C502" s="529"/>
      <c r="D502" s="306"/>
      <c r="E502" s="306"/>
      <c r="F502" s="306"/>
      <c r="G502" s="528"/>
      <c r="H502" s="286"/>
      <c r="I502" s="286"/>
      <c r="J502" s="529"/>
      <c r="K502" s="286"/>
      <c r="L502" s="286"/>
      <c r="M502" s="529"/>
      <c r="N502" s="529"/>
      <c r="O502" s="529"/>
      <c r="P502" s="529"/>
      <c r="Q502" s="286"/>
      <c r="R502" s="286"/>
      <c r="S502" s="286"/>
      <c r="T502" s="286"/>
      <c r="U502" s="286"/>
      <c r="V502" s="286"/>
      <c r="W502" s="286"/>
      <c r="X502" s="286"/>
      <c r="Y502" s="286"/>
      <c r="Z502" s="286"/>
      <c r="AA502" s="286"/>
      <c r="AB502" s="286"/>
    </row>
    <row r="503">
      <c r="A503" s="286"/>
      <c r="B503" s="286"/>
      <c r="C503" s="529"/>
      <c r="D503" s="306"/>
      <c r="E503" s="306"/>
      <c r="F503" s="306"/>
      <c r="G503" s="528"/>
      <c r="H503" s="286"/>
      <c r="I503" s="286"/>
      <c r="J503" s="529"/>
      <c r="K503" s="286"/>
      <c r="L503" s="286"/>
      <c r="M503" s="529"/>
      <c r="N503" s="529"/>
      <c r="O503" s="529"/>
      <c r="P503" s="529"/>
      <c r="Q503" s="286"/>
      <c r="R503" s="286"/>
      <c r="S503" s="286"/>
      <c r="T503" s="286"/>
      <c r="U503" s="286"/>
      <c r="V503" s="286"/>
      <c r="W503" s="286"/>
      <c r="X503" s="286"/>
      <c r="Y503" s="286"/>
      <c r="Z503" s="286"/>
      <c r="AA503" s="286"/>
      <c r="AB503" s="286"/>
    </row>
    <row r="504">
      <c r="A504" s="286"/>
      <c r="B504" s="286"/>
      <c r="C504" s="529"/>
      <c r="D504" s="306"/>
      <c r="E504" s="306"/>
      <c r="F504" s="306"/>
      <c r="G504" s="528"/>
      <c r="H504" s="286"/>
      <c r="I504" s="286"/>
      <c r="J504" s="529"/>
      <c r="K504" s="286"/>
      <c r="L504" s="286"/>
      <c r="M504" s="529"/>
      <c r="N504" s="529"/>
      <c r="O504" s="529"/>
      <c r="P504" s="529"/>
      <c r="Q504" s="286"/>
      <c r="R504" s="286"/>
      <c r="S504" s="286"/>
      <c r="T504" s="286"/>
      <c r="U504" s="286"/>
      <c r="V504" s="286"/>
      <c r="W504" s="286"/>
      <c r="X504" s="286"/>
      <c r="Y504" s="286"/>
      <c r="Z504" s="286"/>
      <c r="AA504" s="286"/>
      <c r="AB504" s="286"/>
    </row>
    <row r="505">
      <c r="A505" s="286"/>
      <c r="B505" s="286"/>
      <c r="C505" s="529"/>
      <c r="D505" s="306"/>
      <c r="E505" s="306"/>
      <c r="F505" s="306"/>
      <c r="G505" s="528"/>
      <c r="H505" s="286"/>
      <c r="I505" s="286"/>
      <c r="J505" s="529"/>
      <c r="K505" s="286"/>
      <c r="L505" s="286"/>
      <c r="M505" s="529"/>
      <c r="N505" s="529"/>
      <c r="O505" s="529"/>
      <c r="P505" s="529"/>
      <c r="Q505" s="286"/>
      <c r="R505" s="286"/>
      <c r="S505" s="286"/>
      <c r="T505" s="286"/>
      <c r="U505" s="286"/>
      <c r="V505" s="286"/>
      <c r="W505" s="286"/>
      <c r="X505" s="286"/>
      <c r="Y505" s="286"/>
      <c r="Z505" s="286"/>
      <c r="AA505" s="286"/>
      <c r="AB505" s="286"/>
    </row>
    <row r="506">
      <c r="A506" s="286"/>
      <c r="B506" s="286"/>
      <c r="C506" s="529"/>
      <c r="D506" s="306"/>
      <c r="E506" s="306"/>
      <c r="F506" s="306"/>
      <c r="G506" s="528"/>
      <c r="H506" s="286"/>
      <c r="I506" s="286"/>
      <c r="J506" s="529"/>
      <c r="K506" s="286"/>
      <c r="L506" s="286"/>
      <c r="M506" s="529"/>
      <c r="N506" s="529"/>
      <c r="O506" s="529"/>
      <c r="P506" s="529"/>
      <c r="Q506" s="286"/>
      <c r="R506" s="286"/>
      <c r="S506" s="286"/>
      <c r="T506" s="286"/>
      <c r="U506" s="286"/>
      <c r="V506" s="286"/>
      <c r="W506" s="286"/>
      <c r="X506" s="286"/>
      <c r="Y506" s="286"/>
      <c r="Z506" s="286"/>
      <c r="AA506" s="286"/>
      <c r="AB506" s="286"/>
    </row>
    <row r="507">
      <c r="A507" s="286"/>
      <c r="B507" s="286"/>
      <c r="C507" s="529"/>
      <c r="D507" s="306"/>
      <c r="E507" s="306"/>
      <c r="F507" s="306"/>
      <c r="G507" s="528"/>
      <c r="H507" s="286"/>
      <c r="I507" s="286"/>
      <c r="J507" s="529"/>
      <c r="K507" s="286"/>
      <c r="L507" s="286"/>
      <c r="M507" s="529"/>
      <c r="N507" s="529"/>
      <c r="O507" s="529"/>
      <c r="P507" s="529"/>
      <c r="Q507" s="286"/>
      <c r="R507" s="286"/>
      <c r="S507" s="286"/>
      <c r="T507" s="286"/>
      <c r="U507" s="286"/>
      <c r="V507" s="286"/>
      <c r="W507" s="286"/>
      <c r="X507" s="286"/>
      <c r="Y507" s="286"/>
      <c r="Z507" s="286"/>
      <c r="AA507" s="286"/>
      <c r="AB507" s="286"/>
    </row>
    <row r="508">
      <c r="A508" s="286"/>
      <c r="B508" s="286"/>
      <c r="C508" s="529"/>
      <c r="D508" s="306"/>
      <c r="E508" s="306"/>
      <c r="F508" s="306"/>
      <c r="G508" s="528"/>
      <c r="H508" s="286"/>
      <c r="I508" s="286"/>
      <c r="J508" s="529"/>
      <c r="K508" s="286"/>
      <c r="L508" s="286"/>
      <c r="M508" s="529"/>
      <c r="N508" s="529"/>
      <c r="O508" s="529"/>
      <c r="P508" s="529"/>
      <c r="Q508" s="286"/>
      <c r="R508" s="286"/>
      <c r="S508" s="286"/>
      <c r="T508" s="286"/>
      <c r="U508" s="286"/>
      <c r="V508" s="286"/>
      <c r="W508" s="286"/>
      <c r="X508" s="286"/>
      <c r="Y508" s="286"/>
      <c r="Z508" s="286"/>
      <c r="AA508" s="286"/>
      <c r="AB508" s="286"/>
    </row>
    <row r="509">
      <c r="A509" s="286"/>
      <c r="B509" s="286"/>
      <c r="C509" s="529"/>
      <c r="D509" s="306"/>
      <c r="E509" s="306"/>
      <c r="F509" s="306"/>
      <c r="G509" s="528"/>
      <c r="H509" s="286"/>
      <c r="I509" s="286"/>
      <c r="J509" s="529"/>
      <c r="K509" s="286"/>
      <c r="L509" s="286"/>
      <c r="M509" s="529"/>
      <c r="N509" s="529"/>
      <c r="O509" s="529"/>
      <c r="P509" s="529"/>
      <c r="Q509" s="286"/>
      <c r="R509" s="286"/>
      <c r="S509" s="286"/>
      <c r="T509" s="286"/>
      <c r="U509" s="286"/>
      <c r="V509" s="286"/>
      <c r="W509" s="286"/>
      <c r="X509" s="286"/>
      <c r="Y509" s="286"/>
      <c r="Z509" s="286"/>
      <c r="AA509" s="286"/>
      <c r="AB509" s="286"/>
    </row>
    <row r="510">
      <c r="A510" s="286"/>
      <c r="B510" s="286"/>
      <c r="C510" s="529"/>
      <c r="D510" s="306"/>
      <c r="E510" s="306"/>
      <c r="F510" s="306"/>
      <c r="G510" s="528"/>
      <c r="H510" s="286"/>
      <c r="I510" s="286"/>
      <c r="J510" s="529"/>
      <c r="K510" s="286"/>
      <c r="L510" s="286"/>
      <c r="M510" s="529"/>
      <c r="N510" s="529"/>
      <c r="O510" s="529"/>
      <c r="P510" s="529"/>
      <c r="Q510" s="286"/>
      <c r="R510" s="286"/>
      <c r="S510" s="286"/>
      <c r="T510" s="286"/>
      <c r="U510" s="286"/>
      <c r="V510" s="286"/>
      <c r="W510" s="286"/>
      <c r="X510" s="286"/>
      <c r="Y510" s="286"/>
      <c r="Z510" s="286"/>
      <c r="AA510" s="286"/>
      <c r="AB510" s="286"/>
    </row>
    <row r="511">
      <c r="A511" s="286"/>
      <c r="B511" s="286"/>
      <c r="C511" s="529"/>
      <c r="D511" s="306"/>
      <c r="E511" s="306"/>
      <c r="F511" s="306"/>
      <c r="G511" s="528"/>
      <c r="H511" s="286"/>
      <c r="I511" s="286"/>
      <c r="J511" s="529"/>
      <c r="K511" s="286"/>
      <c r="L511" s="286"/>
      <c r="M511" s="529"/>
      <c r="N511" s="529"/>
      <c r="O511" s="529"/>
      <c r="P511" s="529"/>
      <c r="Q511" s="286"/>
      <c r="R511" s="286"/>
      <c r="S511" s="286"/>
      <c r="T511" s="286"/>
      <c r="U511" s="286"/>
      <c r="V511" s="286"/>
      <c r="W511" s="286"/>
      <c r="X511" s="286"/>
      <c r="Y511" s="286"/>
      <c r="Z511" s="286"/>
      <c r="AA511" s="286"/>
      <c r="AB511" s="286"/>
    </row>
    <row r="512">
      <c r="A512" s="286"/>
      <c r="B512" s="286"/>
      <c r="C512" s="529"/>
      <c r="D512" s="306"/>
      <c r="E512" s="306"/>
      <c r="F512" s="306"/>
      <c r="G512" s="528"/>
      <c r="H512" s="286"/>
      <c r="I512" s="286"/>
      <c r="J512" s="529"/>
      <c r="K512" s="286"/>
      <c r="L512" s="286"/>
      <c r="M512" s="529"/>
      <c r="N512" s="529"/>
      <c r="O512" s="529"/>
      <c r="P512" s="529"/>
      <c r="Q512" s="286"/>
      <c r="R512" s="286"/>
      <c r="S512" s="286"/>
      <c r="T512" s="286"/>
      <c r="U512" s="286"/>
      <c r="V512" s="286"/>
      <c r="W512" s="286"/>
      <c r="X512" s="286"/>
      <c r="Y512" s="286"/>
      <c r="Z512" s="286"/>
      <c r="AA512" s="286"/>
      <c r="AB512" s="286"/>
    </row>
    <row r="513">
      <c r="A513" s="286"/>
      <c r="B513" s="286"/>
      <c r="C513" s="529"/>
      <c r="D513" s="306"/>
      <c r="E513" s="306"/>
      <c r="F513" s="306"/>
      <c r="G513" s="528"/>
      <c r="H513" s="286"/>
      <c r="I513" s="286"/>
      <c r="J513" s="529"/>
      <c r="K513" s="286"/>
      <c r="L513" s="286"/>
      <c r="M513" s="529"/>
      <c r="N513" s="529"/>
      <c r="O513" s="529"/>
      <c r="P513" s="529"/>
      <c r="Q513" s="286"/>
      <c r="R513" s="286"/>
      <c r="S513" s="286"/>
      <c r="T513" s="286"/>
      <c r="U513" s="286"/>
      <c r="V513" s="286"/>
      <c r="W513" s="286"/>
      <c r="X513" s="286"/>
      <c r="Y513" s="286"/>
      <c r="Z513" s="286"/>
      <c r="AA513" s="286"/>
      <c r="AB513" s="286"/>
    </row>
    <row r="514">
      <c r="A514" s="286"/>
      <c r="B514" s="286"/>
      <c r="C514" s="529"/>
      <c r="D514" s="306"/>
      <c r="E514" s="306"/>
      <c r="F514" s="306"/>
      <c r="G514" s="528"/>
      <c r="H514" s="286"/>
      <c r="I514" s="286"/>
      <c r="J514" s="529"/>
      <c r="K514" s="286"/>
      <c r="L514" s="286"/>
      <c r="M514" s="529"/>
      <c r="N514" s="529"/>
      <c r="O514" s="529"/>
      <c r="P514" s="529"/>
      <c r="Q514" s="286"/>
      <c r="R514" s="286"/>
      <c r="S514" s="286"/>
      <c r="T514" s="286"/>
      <c r="U514" s="286"/>
      <c r="V514" s="286"/>
      <c r="W514" s="286"/>
      <c r="X514" s="286"/>
      <c r="Y514" s="286"/>
      <c r="Z514" s="286"/>
      <c r="AA514" s="286"/>
      <c r="AB514" s="286"/>
    </row>
    <row r="515">
      <c r="A515" s="286"/>
      <c r="B515" s="286"/>
      <c r="C515" s="529"/>
      <c r="D515" s="306"/>
      <c r="E515" s="306"/>
      <c r="F515" s="306"/>
      <c r="G515" s="528"/>
      <c r="H515" s="286"/>
      <c r="I515" s="286"/>
      <c r="J515" s="529"/>
      <c r="K515" s="286"/>
      <c r="L515" s="286"/>
      <c r="M515" s="529"/>
      <c r="N515" s="529"/>
      <c r="O515" s="529"/>
      <c r="P515" s="529"/>
      <c r="Q515" s="286"/>
      <c r="R515" s="286"/>
      <c r="S515" s="286"/>
      <c r="T515" s="286"/>
      <c r="U515" s="286"/>
      <c r="V515" s="286"/>
      <c r="W515" s="286"/>
      <c r="X515" s="286"/>
      <c r="Y515" s="286"/>
      <c r="Z515" s="286"/>
      <c r="AA515" s="286"/>
      <c r="AB515" s="286"/>
    </row>
    <row r="516">
      <c r="A516" s="286"/>
      <c r="B516" s="286"/>
      <c r="C516" s="529"/>
      <c r="D516" s="306"/>
      <c r="E516" s="306"/>
      <c r="F516" s="306"/>
      <c r="G516" s="528"/>
      <c r="H516" s="286"/>
      <c r="I516" s="286"/>
      <c r="J516" s="529"/>
      <c r="K516" s="286"/>
      <c r="L516" s="286"/>
      <c r="M516" s="529"/>
      <c r="N516" s="529"/>
      <c r="O516" s="529"/>
      <c r="P516" s="529"/>
      <c r="Q516" s="286"/>
      <c r="R516" s="286"/>
      <c r="S516" s="286"/>
      <c r="T516" s="286"/>
      <c r="U516" s="286"/>
      <c r="V516" s="286"/>
      <c r="W516" s="286"/>
      <c r="X516" s="286"/>
      <c r="Y516" s="286"/>
      <c r="Z516" s="286"/>
      <c r="AA516" s="286"/>
      <c r="AB516" s="286"/>
    </row>
    <row r="517">
      <c r="A517" s="286"/>
      <c r="B517" s="286"/>
      <c r="C517" s="529"/>
      <c r="D517" s="306"/>
      <c r="E517" s="306"/>
      <c r="F517" s="306"/>
      <c r="G517" s="528"/>
      <c r="H517" s="286"/>
      <c r="I517" s="286"/>
      <c r="J517" s="529"/>
      <c r="K517" s="286"/>
      <c r="L517" s="286"/>
      <c r="M517" s="529"/>
      <c r="N517" s="529"/>
      <c r="O517" s="529"/>
      <c r="P517" s="529"/>
      <c r="Q517" s="286"/>
      <c r="R517" s="286"/>
      <c r="S517" s="286"/>
      <c r="T517" s="286"/>
      <c r="U517" s="286"/>
      <c r="V517" s="286"/>
      <c r="W517" s="286"/>
      <c r="X517" s="286"/>
      <c r="Y517" s="286"/>
      <c r="Z517" s="286"/>
      <c r="AA517" s="286"/>
      <c r="AB517" s="286"/>
    </row>
    <row r="518">
      <c r="A518" s="286"/>
      <c r="B518" s="286"/>
      <c r="C518" s="529"/>
      <c r="D518" s="306"/>
      <c r="E518" s="306"/>
      <c r="F518" s="306"/>
      <c r="G518" s="528"/>
      <c r="H518" s="286"/>
      <c r="I518" s="286"/>
      <c r="J518" s="529"/>
      <c r="K518" s="286"/>
      <c r="L518" s="286"/>
      <c r="M518" s="529"/>
      <c r="N518" s="529"/>
      <c r="O518" s="529"/>
      <c r="P518" s="529"/>
      <c r="Q518" s="286"/>
      <c r="R518" s="286"/>
      <c r="S518" s="286"/>
      <c r="T518" s="286"/>
      <c r="U518" s="286"/>
      <c r="V518" s="286"/>
      <c r="W518" s="286"/>
      <c r="X518" s="286"/>
      <c r="Y518" s="286"/>
      <c r="Z518" s="286"/>
      <c r="AA518" s="286"/>
      <c r="AB518" s="286"/>
    </row>
    <row r="519">
      <c r="A519" s="286"/>
      <c r="B519" s="286"/>
      <c r="C519" s="529"/>
      <c r="D519" s="306"/>
      <c r="E519" s="306"/>
      <c r="F519" s="306"/>
      <c r="G519" s="528"/>
      <c r="H519" s="286"/>
      <c r="I519" s="286"/>
      <c r="J519" s="529"/>
      <c r="K519" s="286"/>
      <c r="L519" s="286"/>
      <c r="M519" s="529"/>
      <c r="N519" s="529"/>
      <c r="O519" s="529"/>
      <c r="P519" s="529"/>
      <c r="Q519" s="286"/>
      <c r="R519" s="286"/>
      <c r="S519" s="286"/>
      <c r="T519" s="286"/>
      <c r="U519" s="286"/>
      <c r="V519" s="286"/>
      <c r="W519" s="286"/>
      <c r="X519" s="286"/>
      <c r="Y519" s="286"/>
      <c r="Z519" s="286"/>
      <c r="AA519" s="286"/>
      <c r="AB519" s="286"/>
    </row>
    <row r="520">
      <c r="A520" s="286"/>
      <c r="B520" s="286"/>
      <c r="C520" s="529"/>
      <c r="D520" s="306"/>
      <c r="E520" s="306"/>
      <c r="F520" s="306"/>
      <c r="G520" s="528"/>
      <c r="H520" s="286"/>
      <c r="I520" s="286"/>
      <c r="J520" s="529"/>
      <c r="K520" s="286"/>
      <c r="L520" s="286"/>
      <c r="M520" s="529"/>
      <c r="N520" s="529"/>
      <c r="O520" s="529"/>
      <c r="P520" s="529"/>
      <c r="Q520" s="286"/>
      <c r="R520" s="286"/>
      <c r="S520" s="286"/>
      <c r="T520" s="286"/>
      <c r="U520" s="286"/>
      <c r="V520" s="286"/>
      <c r="W520" s="286"/>
      <c r="X520" s="286"/>
      <c r="Y520" s="286"/>
      <c r="Z520" s="286"/>
      <c r="AA520" s="286"/>
      <c r="AB520" s="286"/>
    </row>
    <row r="521">
      <c r="A521" s="286"/>
      <c r="B521" s="286"/>
      <c r="C521" s="529"/>
      <c r="D521" s="306"/>
      <c r="E521" s="306"/>
      <c r="F521" s="306"/>
      <c r="G521" s="528"/>
      <c r="H521" s="286"/>
      <c r="I521" s="286"/>
      <c r="J521" s="529"/>
      <c r="K521" s="286"/>
      <c r="L521" s="286"/>
      <c r="M521" s="529"/>
      <c r="N521" s="529"/>
      <c r="O521" s="529"/>
      <c r="P521" s="529"/>
      <c r="Q521" s="286"/>
      <c r="R521" s="286"/>
      <c r="S521" s="286"/>
      <c r="T521" s="286"/>
      <c r="U521" s="286"/>
      <c r="V521" s="286"/>
      <c r="W521" s="286"/>
      <c r="X521" s="286"/>
      <c r="Y521" s="286"/>
      <c r="Z521" s="286"/>
      <c r="AA521" s="286"/>
      <c r="AB521" s="286"/>
    </row>
    <row r="522">
      <c r="A522" s="286"/>
      <c r="B522" s="286"/>
      <c r="C522" s="529"/>
      <c r="D522" s="306"/>
      <c r="E522" s="306"/>
      <c r="F522" s="306"/>
      <c r="G522" s="528"/>
      <c r="H522" s="286"/>
      <c r="I522" s="286"/>
      <c r="J522" s="529"/>
      <c r="K522" s="286"/>
      <c r="L522" s="286"/>
      <c r="M522" s="529"/>
      <c r="N522" s="529"/>
      <c r="O522" s="529"/>
      <c r="P522" s="529"/>
      <c r="Q522" s="286"/>
      <c r="R522" s="286"/>
      <c r="S522" s="286"/>
      <c r="T522" s="286"/>
      <c r="U522" s="286"/>
      <c r="V522" s="286"/>
      <c r="W522" s="286"/>
      <c r="X522" s="286"/>
      <c r="Y522" s="286"/>
      <c r="Z522" s="286"/>
      <c r="AA522" s="286"/>
      <c r="AB522" s="286"/>
    </row>
    <row r="523">
      <c r="A523" s="286"/>
      <c r="B523" s="286"/>
      <c r="C523" s="529"/>
      <c r="D523" s="306"/>
      <c r="E523" s="306"/>
      <c r="F523" s="306"/>
      <c r="G523" s="528"/>
      <c r="H523" s="286"/>
      <c r="I523" s="286"/>
      <c r="J523" s="529"/>
      <c r="K523" s="286"/>
      <c r="L523" s="286"/>
      <c r="M523" s="529"/>
      <c r="N523" s="529"/>
      <c r="O523" s="529"/>
      <c r="P523" s="529"/>
      <c r="Q523" s="286"/>
      <c r="R523" s="286"/>
      <c r="S523" s="286"/>
      <c r="T523" s="286"/>
      <c r="U523" s="286"/>
      <c r="V523" s="286"/>
      <c r="W523" s="286"/>
      <c r="X523" s="286"/>
      <c r="Y523" s="286"/>
      <c r="Z523" s="286"/>
      <c r="AA523" s="286"/>
      <c r="AB523" s="286"/>
    </row>
    <row r="524">
      <c r="A524" s="286"/>
      <c r="B524" s="286"/>
      <c r="C524" s="529"/>
      <c r="D524" s="306"/>
      <c r="E524" s="306"/>
      <c r="F524" s="306"/>
      <c r="G524" s="528"/>
      <c r="H524" s="286"/>
      <c r="I524" s="286"/>
      <c r="J524" s="529"/>
      <c r="K524" s="286"/>
      <c r="L524" s="286"/>
      <c r="M524" s="529"/>
      <c r="N524" s="529"/>
      <c r="O524" s="529"/>
      <c r="P524" s="529"/>
      <c r="Q524" s="286"/>
      <c r="R524" s="286"/>
      <c r="S524" s="286"/>
      <c r="T524" s="286"/>
      <c r="U524" s="286"/>
      <c r="V524" s="286"/>
      <c r="W524" s="286"/>
      <c r="X524" s="286"/>
      <c r="Y524" s="286"/>
      <c r="Z524" s="286"/>
      <c r="AA524" s="286"/>
      <c r="AB524" s="286"/>
    </row>
    <row r="525">
      <c r="A525" s="286"/>
      <c r="B525" s="286"/>
      <c r="C525" s="529"/>
      <c r="D525" s="306"/>
      <c r="E525" s="306"/>
      <c r="F525" s="306"/>
      <c r="G525" s="528"/>
      <c r="H525" s="286"/>
      <c r="I525" s="286"/>
      <c r="J525" s="529"/>
      <c r="K525" s="286"/>
      <c r="L525" s="286"/>
      <c r="M525" s="529"/>
      <c r="N525" s="529"/>
      <c r="O525" s="529"/>
      <c r="P525" s="529"/>
      <c r="Q525" s="286"/>
      <c r="R525" s="286"/>
      <c r="S525" s="286"/>
      <c r="T525" s="286"/>
      <c r="U525" s="286"/>
      <c r="V525" s="286"/>
      <c r="W525" s="286"/>
      <c r="X525" s="286"/>
      <c r="Y525" s="286"/>
      <c r="Z525" s="286"/>
      <c r="AA525" s="286"/>
      <c r="AB525" s="286"/>
    </row>
    <row r="526">
      <c r="A526" s="286"/>
      <c r="B526" s="286"/>
      <c r="C526" s="529"/>
      <c r="D526" s="306"/>
      <c r="E526" s="306"/>
      <c r="F526" s="306"/>
      <c r="G526" s="528"/>
      <c r="H526" s="286"/>
      <c r="I526" s="286"/>
      <c r="J526" s="529"/>
      <c r="K526" s="286"/>
      <c r="L526" s="286"/>
      <c r="M526" s="529"/>
      <c r="N526" s="529"/>
      <c r="O526" s="529"/>
      <c r="P526" s="529"/>
      <c r="Q526" s="286"/>
      <c r="R526" s="286"/>
      <c r="S526" s="286"/>
      <c r="T526" s="286"/>
      <c r="U526" s="286"/>
      <c r="V526" s="286"/>
      <c r="W526" s="286"/>
      <c r="X526" s="286"/>
      <c r="Y526" s="286"/>
      <c r="Z526" s="286"/>
      <c r="AA526" s="286"/>
      <c r="AB526" s="286"/>
    </row>
    <row r="527">
      <c r="A527" s="286"/>
      <c r="B527" s="286"/>
      <c r="C527" s="529"/>
      <c r="D527" s="306"/>
      <c r="E527" s="306"/>
      <c r="F527" s="306"/>
      <c r="G527" s="528"/>
      <c r="H527" s="286"/>
      <c r="I527" s="286"/>
      <c r="J527" s="529"/>
      <c r="K527" s="286"/>
      <c r="L527" s="286"/>
      <c r="M527" s="529"/>
      <c r="N527" s="529"/>
      <c r="O527" s="529"/>
      <c r="P527" s="529"/>
      <c r="Q527" s="286"/>
      <c r="R527" s="286"/>
      <c r="S527" s="286"/>
      <c r="T527" s="286"/>
      <c r="U527" s="286"/>
      <c r="V527" s="286"/>
      <c r="W527" s="286"/>
      <c r="X527" s="286"/>
      <c r="Y527" s="286"/>
      <c r="Z527" s="286"/>
      <c r="AA527" s="286"/>
      <c r="AB527" s="286"/>
    </row>
    <row r="528">
      <c r="A528" s="286"/>
      <c r="B528" s="286"/>
      <c r="C528" s="529"/>
      <c r="D528" s="306"/>
      <c r="E528" s="306"/>
      <c r="F528" s="306"/>
      <c r="G528" s="528"/>
      <c r="H528" s="286"/>
      <c r="I528" s="286"/>
      <c r="J528" s="529"/>
      <c r="K528" s="286"/>
      <c r="L528" s="286"/>
      <c r="M528" s="529"/>
      <c r="N528" s="529"/>
      <c r="O528" s="529"/>
      <c r="P528" s="529"/>
      <c r="Q528" s="286"/>
      <c r="R528" s="286"/>
      <c r="S528" s="286"/>
      <c r="T528" s="286"/>
      <c r="U528" s="286"/>
      <c r="V528" s="286"/>
      <c r="W528" s="286"/>
      <c r="X528" s="286"/>
      <c r="Y528" s="286"/>
      <c r="Z528" s="286"/>
      <c r="AA528" s="286"/>
      <c r="AB528" s="286"/>
    </row>
    <row r="529">
      <c r="A529" s="286"/>
      <c r="B529" s="286"/>
      <c r="C529" s="529"/>
      <c r="D529" s="306"/>
      <c r="E529" s="306"/>
      <c r="F529" s="306"/>
      <c r="G529" s="528"/>
      <c r="H529" s="286"/>
      <c r="I529" s="286"/>
      <c r="J529" s="529"/>
      <c r="K529" s="286"/>
      <c r="L529" s="286"/>
      <c r="M529" s="529"/>
      <c r="N529" s="529"/>
      <c r="O529" s="529"/>
      <c r="P529" s="529"/>
      <c r="Q529" s="286"/>
      <c r="R529" s="286"/>
      <c r="S529" s="286"/>
      <c r="T529" s="286"/>
      <c r="U529" s="286"/>
      <c r="V529" s="286"/>
      <c r="W529" s="286"/>
      <c r="X529" s="286"/>
      <c r="Y529" s="286"/>
      <c r="Z529" s="286"/>
      <c r="AA529" s="286"/>
      <c r="AB529" s="286"/>
    </row>
    <row r="530">
      <c r="A530" s="286"/>
      <c r="B530" s="286"/>
      <c r="C530" s="529"/>
      <c r="D530" s="306"/>
      <c r="E530" s="306"/>
      <c r="F530" s="306"/>
      <c r="G530" s="528"/>
      <c r="H530" s="286"/>
      <c r="I530" s="286"/>
      <c r="J530" s="529"/>
      <c r="K530" s="286"/>
      <c r="L530" s="286"/>
      <c r="M530" s="529"/>
      <c r="N530" s="529"/>
      <c r="O530" s="529"/>
      <c r="P530" s="529"/>
      <c r="Q530" s="286"/>
      <c r="R530" s="286"/>
      <c r="S530" s="286"/>
      <c r="T530" s="286"/>
      <c r="U530" s="286"/>
      <c r="V530" s="286"/>
      <c r="W530" s="286"/>
      <c r="X530" s="286"/>
      <c r="Y530" s="286"/>
      <c r="Z530" s="286"/>
      <c r="AA530" s="286"/>
      <c r="AB530" s="286"/>
    </row>
    <row r="531">
      <c r="A531" s="286"/>
      <c r="B531" s="286"/>
      <c r="C531" s="529"/>
      <c r="D531" s="306"/>
      <c r="E531" s="306"/>
      <c r="F531" s="306"/>
      <c r="G531" s="528"/>
      <c r="H531" s="286"/>
      <c r="I531" s="286"/>
      <c r="J531" s="529"/>
      <c r="K531" s="286"/>
      <c r="L531" s="286"/>
      <c r="M531" s="529"/>
      <c r="N531" s="529"/>
      <c r="O531" s="529"/>
      <c r="P531" s="529"/>
      <c r="Q531" s="286"/>
      <c r="R531" s="286"/>
      <c r="S531" s="286"/>
      <c r="T531" s="286"/>
      <c r="U531" s="286"/>
      <c r="V531" s="286"/>
      <c r="W531" s="286"/>
      <c r="X531" s="286"/>
      <c r="Y531" s="286"/>
      <c r="Z531" s="286"/>
      <c r="AA531" s="286"/>
      <c r="AB531" s="286"/>
    </row>
    <row r="532">
      <c r="A532" s="286"/>
      <c r="B532" s="286"/>
      <c r="C532" s="529"/>
      <c r="D532" s="306"/>
      <c r="E532" s="306"/>
      <c r="F532" s="306"/>
      <c r="G532" s="528"/>
      <c r="H532" s="286"/>
      <c r="I532" s="286"/>
      <c r="J532" s="529"/>
      <c r="K532" s="286"/>
      <c r="L532" s="286"/>
      <c r="M532" s="529"/>
      <c r="N532" s="529"/>
      <c r="O532" s="529"/>
      <c r="P532" s="529"/>
      <c r="Q532" s="286"/>
      <c r="R532" s="286"/>
      <c r="S532" s="286"/>
      <c r="T532" s="286"/>
      <c r="U532" s="286"/>
      <c r="V532" s="286"/>
      <c r="W532" s="286"/>
      <c r="X532" s="286"/>
      <c r="Y532" s="286"/>
      <c r="Z532" s="286"/>
      <c r="AA532" s="286"/>
      <c r="AB532" s="286"/>
    </row>
    <row r="533">
      <c r="A533" s="286"/>
      <c r="B533" s="286"/>
      <c r="C533" s="529"/>
      <c r="D533" s="306"/>
      <c r="E533" s="306"/>
      <c r="F533" s="306"/>
      <c r="G533" s="528"/>
      <c r="H533" s="286"/>
      <c r="I533" s="286"/>
      <c r="J533" s="529"/>
      <c r="K533" s="286"/>
      <c r="L533" s="286"/>
      <c r="M533" s="529"/>
      <c r="N533" s="529"/>
      <c r="O533" s="529"/>
      <c r="P533" s="529"/>
      <c r="Q533" s="286"/>
      <c r="R533" s="286"/>
      <c r="S533" s="286"/>
      <c r="T533" s="286"/>
      <c r="U533" s="286"/>
      <c r="V533" s="286"/>
      <c r="W533" s="286"/>
      <c r="X533" s="286"/>
      <c r="Y533" s="286"/>
      <c r="Z533" s="286"/>
      <c r="AA533" s="286"/>
      <c r="AB533" s="286"/>
    </row>
    <row r="534">
      <c r="A534" s="286"/>
      <c r="B534" s="286"/>
      <c r="C534" s="529"/>
      <c r="D534" s="306"/>
      <c r="E534" s="306"/>
      <c r="F534" s="306"/>
      <c r="G534" s="528"/>
      <c r="H534" s="286"/>
      <c r="I534" s="286"/>
      <c r="J534" s="529"/>
      <c r="K534" s="286"/>
      <c r="L534" s="286"/>
      <c r="M534" s="529"/>
      <c r="N534" s="529"/>
      <c r="O534" s="529"/>
      <c r="P534" s="529"/>
      <c r="Q534" s="286"/>
      <c r="R534" s="286"/>
      <c r="S534" s="286"/>
      <c r="T534" s="286"/>
      <c r="U534" s="286"/>
      <c r="V534" s="286"/>
      <c r="W534" s="286"/>
      <c r="X534" s="286"/>
      <c r="Y534" s="286"/>
      <c r="Z534" s="286"/>
      <c r="AA534" s="286"/>
      <c r="AB534" s="286"/>
    </row>
    <row r="535">
      <c r="A535" s="286"/>
      <c r="B535" s="286"/>
      <c r="C535" s="529"/>
      <c r="D535" s="306"/>
      <c r="E535" s="306"/>
      <c r="F535" s="306"/>
      <c r="G535" s="528"/>
      <c r="H535" s="286"/>
      <c r="I535" s="286"/>
      <c r="J535" s="529"/>
      <c r="K535" s="286"/>
      <c r="L535" s="286"/>
      <c r="M535" s="529"/>
      <c r="N535" s="529"/>
      <c r="O535" s="529"/>
      <c r="P535" s="529"/>
      <c r="Q535" s="286"/>
      <c r="R535" s="286"/>
      <c r="S535" s="286"/>
      <c r="T535" s="286"/>
      <c r="U535" s="286"/>
      <c r="V535" s="286"/>
      <c r="W535" s="286"/>
      <c r="X535" s="286"/>
      <c r="Y535" s="286"/>
      <c r="Z535" s="286"/>
      <c r="AA535" s="286"/>
      <c r="AB535" s="286"/>
    </row>
    <row r="536">
      <c r="A536" s="286"/>
      <c r="B536" s="286"/>
      <c r="C536" s="529"/>
      <c r="D536" s="306"/>
      <c r="E536" s="306"/>
      <c r="F536" s="306"/>
      <c r="G536" s="528"/>
      <c r="H536" s="286"/>
      <c r="I536" s="286"/>
      <c r="J536" s="529"/>
      <c r="K536" s="286"/>
      <c r="L536" s="286"/>
      <c r="M536" s="529"/>
      <c r="N536" s="529"/>
      <c r="O536" s="529"/>
      <c r="P536" s="529"/>
      <c r="Q536" s="286"/>
      <c r="R536" s="286"/>
      <c r="S536" s="286"/>
      <c r="T536" s="286"/>
      <c r="U536" s="286"/>
      <c r="V536" s="286"/>
      <c r="W536" s="286"/>
      <c r="X536" s="286"/>
      <c r="Y536" s="286"/>
      <c r="Z536" s="286"/>
      <c r="AA536" s="286"/>
      <c r="AB536" s="286"/>
    </row>
    <row r="537">
      <c r="A537" s="286"/>
      <c r="B537" s="286"/>
      <c r="C537" s="529"/>
      <c r="D537" s="306"/>
      <c r="E537" s="306"/>
      <c r="F537" s="306"/>
      <c r="G537" s="528"/>
      <c r="H537" s="286"/>
      <c r="I537" s="286"/>
      <c r="J537" s="529"/>
      <c r="K537" s="286"/>
      <c r="L537" s="286"/>
      <c r="M537" s="529"/>
      <c r="N537" s="529"/>
      <c r="O537" s="529"/>
      <c r="P537" s="529"/>
      <c r="Q537" s="286"/>
      <c r="R537" s="286"/>
      <c r="S537" s="286"/>
      <c r="T537" s="286"/>
      <c r="U537" s="286"/>
      <c r="V537" s="286"/>
      <c r="W537" s="286"/>
      <c r="X537" s="286"/>
      <c r="Y537" s="286"/>
      <c r="Z537" s="286"/>
      <c r="AA537" s="286"/>
      <c r="AB537" s="286"/>
    </row>
    <row r="538">
      <c r="A538" s="286"/>
      <c r="B538" s="286"/>
      <c r="C538" s="529"/>
      <c r="D538" s="306"/>
      <c r="E538" s="306"/>
      <c r="F538" s="306"/>
      <c r="G538" s="528"/>
      <c r="H538" s="286"/>
      <c r="I538" s="286"/>
      <c r="J538" s="529"/>
      <c r="K538" s="286"/>
      <c r="L538" s="286"/>
      <c r="M538" s="529"/>
      <c r="N538" s="529"/>
      <c r="O538" s="529"/>
      <c r="P538" s="529"/>
      <c r="Q538" s="286"/>
      <c r="R538" s="286"/>
      <c r="S538" s="286"/>
      <c r="T538" s="286"/>
      <c r="U538" s="286"/>
      <c r="V538" s="286"/>
      <c r="W538" s="286"/>
      <c r="X538" s="286"/>
      <c r="Y538" s="286"/>
      <c r="Z538" s="286"/>
      <c r="AA538" s="286"/>
      <c r="AB538" s="286"/>
    </row>
    <row r="539">
      <c r="A539" s="286"/>
      <c r="B539" s="286"/>
      <c r="C539" s="529"/>
      <c r="D539" s="306"/>
      <c r="E539" s="306"/>
      <c r="F539" s="306"/>
      <c r="G539" s="528"/>
      <c r="H539" s="286"/>
      <c r="I539" s="286"/>
      <c r="J539" s="529"/>
      <c r="K539" s="286"/>
      <c r="L539" s="286"/>
      <c r="M539" s="529"/>
      <c r="N539" s="529"/>
      <c r="O539" s="529"/>
      <c r="P539" s="529"/>
      <c r="Q539" s="286"/>
      <c r="R539" s="286"/>
      <c r="S539" s="286"/>
      <c r="T539" s="286"/>
      <c r="U539" s="286"/>
      <c r="V539" s="286"/>
      <c r="W539" s="286"/>
      <c r="X539" s="286"/>
      <c r="Y539" s="286"/>
      <c r="Z539" s="286"/>
      <c r="AA539" s="286"/>
      <c r="AB539" s="286"/>
    </row>
    <row r="540">
      <c r="A540" s="286"/>
      <c r="B540" s="286"/>
      <c r="C540" s="529"/>
      <c r="D540" s="306"/>
      <c r="E540" s="306"/>
      <c r="F540" s="306"/>
      <c r="G540" s="528"/>
      <c r="H540" s="286"/>
      <c r="I540" s="286"/>
      <c r="J540" s="529"/>
      <c r="K540" s="286"/>
      <c r="L540" s="286"/>
      <c r="M540" s="529"/>
      <c r="N540" s="529"/>
      <c r="O540" s="529"/>
      <c r="P540" s="529"/>
      <c r="Q540" s="286"/>
      <c r="R540" s="286"/>
      <c r="S540" s="286"/>
      <c r="T540" s="286"/>
      <c r="U540" s="286"/>
      <c r="V540" s="286"/>
      <c r="W540" s="286"/>
      <c r="X540" s="286"/>
      <c r="Y540" s="286"/>
      <c r="Z540" s="286"/>
      <c r="AA540" s="286"/>
      <c r="AB540" s="286"/>
    </row>
    <row r="541">
      <c r="A541" s="286"/>
      <c r="B541" s="286"/>
      <c r="C541" s="529"/>
      <c r="D541" s="306"/>
      <c r="E541" s="306"/>
      <c r="F541" s="306"/>
      <c r="G541" s="528"/>
      <c r="H541" s="286"/>
      <c r="I541" s="286"/>
      <c r="J541" s="529"/>
      <c r="K541" s="286"/>
      <c r="L541" s="286"/>
      <c r="M541" s="529"/>
      <c r="N541" s="529"/>
      <c r="O541" s="529"/>
      <c r="P541" s="529"/>
      <c r="Q541" s="286"/>
      <c r="R541" s="286"/>
      <c r="S541" s="286"/>
      <c r="T541" s="286"/>
      <c r="U541" s="286"/>
      <c r="V541" s="286"/>
      <c r="W541" s="286"/>
      <c r="X541" s="286"/>
      <c r="Y541" s="286"/>
      <c r="Z541" s="286"/>
      <c r="AA541" s="286"/>
      <c r="AB541" s="286"/>
    </row>
    <row r="542">
      <c r="A542" s="286"/>
      <c r="B542" s="286"/>
      <c r="C542" s="529"/>
      <c r="D542" s="306"/>
      <c r="E542" s="306"/>
      <c r="F542" s="306"/>
      <c r="G542" s="528"/>
      <c r="H542" s="286"/>
      <c r="I542" s="286"/>
      <c r="J542" s="529"/>
      <c r="K542" s="286"/>
      <c r="L542" s="286"/>
      <c r="M542" s="529"/>
      <c r="N542" s="529"/>
      <c r="O542" s="529"/>
      <c r="P542" s="529"/>
      <c r="Q542" s="286"/>
      <c r="R542" s="286"/>
      <c r="S542" s="286"/>
      <c r="T542" s="286"/>
      <c r="U542" s="286"/>
      <c r="V542" s="286"/>
      <c r="W542" s="286"/>
      <c r="X542" s="286"/>
      <c r="Y542" s="286"/>
      <c r="Z542" s="286"/>
      <c r="AA542" s="286"/>
      <c r="AB542" s="286"/>
    </row>
    <row r="543">
      <c r="A543" s="286"/>
      <c r="B543" s="286"/>
      <c r="C543" s="529"/>
      <c r="D543" s="306"/>
      <c r="E543" s="306"/>
      <c r="F543" s="306"/>
      <c r="G543" s="528"/>
      <c r="H543" s="286"/>
      <c r="I543" s="286"/>
      <c r="J543" s="529"/>
      <c r="K543" s="286"/>
      <c r="L543" s="286"/>
      <c r="M543" s="529"/>
      <c r="N543" s="529"/>
      <c r="O543" s="529"/>
      <c r="P543" s="529"/>
      <c r="Q543" s="286"/>
      <c r="R543" s="286"/>
      <c r="S543" s="286"/>
      <c r="T543" s="286"/>
      <c r="U543" s="286"/>
      <c r="V543" s="286"/>
      <c r="W543" s="286"/>
      <c r="X543" s="286"/>
      <c r="Y543" s="286"/>
      <c r="Z543" s="286"/>
      <c r="AA543" s="286"/>
      <c r="AB543" s="286"/>
    </row>
    <row r="544">
      <c r="A544" s="286"/>
      <c r="B544" s="286"/>
      <c r="C544" s="529"/>
      <c r="D544" s="306"/>
      <c r="E544" s="306"/>
      <c r="F544" s="306"/>
      <c r="G544" s="528"/>
      <c r="H544" s="286"/>
      <c r="I544" s="286"/>
      <c r="J544" s="529"/>
      <c r="K544" s="286"/>
      <c r="L544" s="286"/>
      <c r="M544" s="529"/>
      <c r="N544" s="529"/>
      <c r="O544" s="529"/>
      <c r="P544" s="529"/>
      <c r="Q544" s="286"/>
      <c r="R544" s="286"/>
      <c r="S544" s="286"/>
      <c r="T544" s="286"/>
      <c r="U544" s="286"/>
      <c r="V544" s="286"/>
      <c r="W544" s="286"/>
      <c r="X544" s="286"/>
      <c r="Y544" s="286"/>
      <c r="Z544" s="286"/>
      <c r="AA544" s="286"/>
      <c r="AB544" s="286"/>
    </row>
    <row r="545">
      <c r="A545" s="286"/>
      <c r="B545" s="286"/>
      <c r="C545" s="529"/>
      <c r="D545" s="306"/>
      <c r="E545" s="306"/>
      <c r="F545" s="306"/>
      <c r="G545" s="528"/>
      <c r="H545" s="286"/>
      <c r="I545" s="286"/>
      <c r="J545" s="529"/>
      <c r="K545" s="286"/>
      <c r="L545" s="286"/>
      <c r="M545" s="529"/>
      <c r="N545" s="529"/>
      <c r="O545" s="529"/>
      <c r="P545" s="529"/>
      <c r="Q545" s="286"/>
      <c r="R545" s="286"/>
      <c r="S545" s="286"/>
      <c r="T545" s="286"/>
      <c r="U545" s="286"/>
      <c r="V545" s="286"/>
      <c r="W545" s="286"/>
      <c r="X545" s="286"/>
      <c r="Y545" s="286"/>
      <c r="Z545" s="286"/>
      <c r="AA545" s="286"/>
      <c r="AB545" s="286"/>
    </row>
    <row r="546">
      <c r="A546" s="286"/>
      <c r="B546" s="286"/>
      <c r="C546" s="529"/>
      <c r="D546" s="306"/>
      <c r="E546" s="306"/>
      <c r="F546" s="306"/>
      <c r="G546" s="528"/>
      <c r="H546" s="286"/>
      <c r="I546" s="286"/>
      <c r="J546" s="529"/>
      <c r="K546" s="286"/>
      <c r="L546" s="286"/>
      <c r="M546" s="529"/>
      <c r="N546" s="529"/>
      <c r="O546" s="529"/>
      <c r="P546" s="529"/>
      <c r="Q546" s="286"/>
      <c r="R546" s="286"/>
      <c r="S546" s="286"/>
      <c r="T546" s="286"/>
      <c r="U546" s="286"/>
      <c r="V546" s="286"/>
      <c r="W546" s="286"/>
      <c r="X546" s="286"/>
      <c r="Y546" s="286"/>
      <c r="Z546" s="286"/>
      <c r="AA546" s="286"/>
      <c r="AB546" s="286"/>
    </row>
    <row r="547">
      <c r="A547" s="286"/>
      <c r="B547" s="286"/>
      <c r="C547" s="529"/>
      <c r="D547" s="306"/>
      <c r="E547" s="306"/>
      <c r="F547" s="306"/>
      <c r="G547" s="528"/>
      <c r="H547" s="286"/>
      <c r="I547" s="286"/>
      <c r="J547" s="529"/>
      <c r="K547" s="286"/>
      <c r="L547" s="286"/>
      <c r="M547" s="529"/>
      <c r="N547" s="529"/>
      <c r="O547" s="529"/>
      <c r="P547" s="529"/>
      <c r="Q547" s="286"/>
      <c r="R547" s="286"/>
      <c r="S547" s="286"/>
      <c r="T547" s="286"/>
      <c r="U547" s="286"/>
      <c r="V547" s="286"/>
      <c r="W547" s="286"/>
      <c r="X547" s="286"/>
      <c r="Y547" s="286"/>
      <c r="Z547" s="286"/>
      <c r="AA547" s="286"/>
      <c r="AB547" s="286"/>
    </row>
    <row r="548">
      <c r="A548" s="286"/>
      <c r="B548" s="286"/>
      <c r="C548" s="529"/>
      <c r="D548" s="306"/>
      <c r="E548" s="306"/>
      <c r="F548" s="306"/>
      <c r="G548" s="528"/>
      <c r="H548" s="286"/>
      <c r="I548" s="286"/>
      <c r="J548" s="529"/>
      <c r="K548" s="286"/>
      <c r="L548" s="286"/>
      <c r="M548" s="529"/>
      <c r="N548" s="529"/>
      <c r="O548" s="529"/>
      <c r="P548" s="529"/>
      <c r="Q548" s="286"/>
      <c r="R548" s="286"/>
      <c r="S548" s="286"/>
      <c r="T548" s="286"/>
      <c r="U548" s="286"/>
      <c r="V548" s="286"/>
      <c r="W548" s="286"/>
      <c r="X548" s="286"/>
      <c r="Y548" s="286"/>
      <c r="Z548" s="286"/>
      <c r="AA548" s="286"/>
      <c r="AB548" s="286"/>
    </row>
    <row r="549">
      <c r="A549" s="286"/>
      <c r="B549" s="286"/>
      <c r="C549" s="529"/>
      <c r="D549" s="306"/>
      <c r="E549" s="306"/>
      <c r="F549" s="306"/>
      <c r="G549" s="528"/>
      <c r="H549" s="286"/>
      <c r="I549" s="286"/>
      <c r="J549" s="529"/>
      <c r="K549" s="286"/>
      <c r="L549" s="286"/>
      <c r="M549" s="529"/>
      <c r="N549" s="529"/>
      <c r="O549" s="529"/>
      <c r="P549" s="529"/>
      <c r="Q549" s="286"/>
      <c r="R549" s="286"/>
      <c r="S549" s="286"/>
      <c r="T549" s="286"/>
      <c r="U549" s="286"/>
      <c r="V549" s="286"/>
      <c r="W549" s="286"/>
      <c r="X549" s="286"/>
      <c r="Y549" s="286"/>
      <c r="Z549" s="286"/>
      <c r="AA549" s="286"/>
      <c r="AB549" s="286"/>
    </row>
    <row r="550">
      <c r="A550" s="286"/>
      <c r="B550" s="286"/>
      <c r="C550" s="529"/>
      <c r="D550" s="306"/>
      <c r="E550" s="306"/>
      <c r="F550" s="306"/>
      <c r="G550" s="528"/>
      <c r="H550" s="286"/>
      <c r="I550" s="286"/>
      <c r="J550" s="529"/>
      <c r="K550" s="286"/>
      <c r="L550" s="286"/>
      <c r="M550" s="529"/>
      <c r="N550" s="529"/>
      <c r="O550" s="529"/>
      <c r="P550" s="529"/>
      <c r="Q550" s="286"/>
      <c r="R550" s="286"/>
      <c r="S550" s="286"/>
      <c r="T550" s="286"/>
      <c r="U550" s="286"/>
      <c r="V550" s="286"/>
      <c r="W550" s="286"/>
      <c r="X550" s="286"/>
      <c r="Y550" s="286"/>
      <c r="Z550" s="286"/>
      <c r="AA550" s="286"/>
      <c r="AB550" s="286"/>
    </row>
    <row r="551">
      <c r="A551" s="286"/>
      <c r="B551" s="286"/>
      <c r="C551" s="529"/>
      <c r="D551" s="306"/>
      <c r="E551" s="306"/>
      <c r="F551" s="306"/>
      <c r="G551" s="528"/>
      <c r="H551" s="286"/>
      <c r="I551" s="286"/>
      <c r="J551" s="529"/>
      <c r="K551" s="286"/>
      <c r="L551" s="286"/>
      <c r="M551" s="529"/>
      <c r="N551" s="529"/>
      <c r="O551" s="529"/>
      <c r="P551" s="529"/>
      <c r="Q551" s="286"/>
      <c r="R551" s="286"/>
      <c r="S551" s="286"/>
      <c r="T551" s="286"/>
      <c r="U551" s="286"/>
      <c r="V551" s="286"/>
      <c r="W551" s="286"/>
      <c r="X551" s="286"/>
      <c r="Y551" s="286"/>
      <c r="Z551" s="286"/>
      <c r="AA551" s="286"/>
      <c r="AB551" s="286"/>
    </row>
    <row r="552">
      <c r="A552" s="286"/>
      <c r="B552" s="286"/>
      <c r="C552" s="529"/>
      <c r="D552" s="306"/>
      <c r="E552" s="306"/>
      <c r="F552" s="306"/>
      <c r="G552" s="528"/>
      <c r="H552" s="286"/>
      <c r="I552" s="286"/>
      <c r="J552" s="529"/>
      <c r="K552" s="286"/>
      <c r="L552" s="286"/>
      <c r="M552" s="529"/>
      <c r="N552" s="529"/>
      <c r="O552" s="529"/>
      <c r="P552" s="529"/>
      <c r="Q552" s="286"/>
      <c r="R552" s="286"/>
      <c r="S552" s="286"/>
      <c r="T552" s="286"/>
      <c r="U552" s="286"/>
      <c r="V552" s="286"/>
      <c r="W552" s="286"/>
      <c r="X552" s="286"/>
      <c r="Y552" s="286"/>
      <c r="Z552" s="286"/>
      <c r="AA552" s="286"/>
      <c r="AB552" s="286"/>
    </row>
    <row r="553">
      <c r="A553" s="286"/>
      <c r="B553" s="286"/>
      <c r="C553" s="529"/>
      <c r="D553" s="306"/>
      <c r="E553" s="306"/>
      <c r="F553" s="306"/>
      <c r="G553" s="528"/>
      <c r="H553" s="286"/>
      <c r="I553" s="286"/>
      <c r="J553" s="529"/>
      <c r="K553" s="286"/>
      <c r="L553" s="286"/>
      <c r="M553" s="529"/>
      <c r="N553" s="529"/>
      <c r="O553" s="529"/>
      <c r="P553" s="529"/>
      <c r="Q553" s="286"/>
      <c r="R553" s="286"/>
      <c r="S553" s="286"/>
      <c r="T553" s="286"/>
      <c r="U553" s="286"/>
      <c r="V553" s="286"/>
      <c r="W553" s="286"/>
      <c r="X553" s="286"/>
      <c r="Y553" s="286"/>
      <c r="Z553" s="286"/>
      <c r="AA553" s="286"/>
      <c r="AB553" s="286"/>
    </row>
    <row r="554">
      <c r="A554" s="286"/>
      <c r="B554" s="286"/>
      <c r="C554" s="529"/>
      <c r="D554" s="306"/>
      <c r="E554" s="306"/>
      <c r="F554" s="306"/>
      <c r="G554" s="528"/>
      <c r="H554" s="286"/>
      <c r="I554" s="286"/>
      <c r="J554" s="529"/>
      <c r="K554" s="286"/>
      <c r="L554" s="286"/>
      <c r="M554" s="529"/>
      <c r="N554" s="529"/>
      <c r="O554" s="529"/>
      <c r="P554" s="529"/>
      <c r="Q554" s="286"/>
      <c r="R554" s="286"/>
      <c r="S554" s="286"/>
      <c r="T554" s="286"/>
      <c r="U554" s="286"/>
      <c r="V554" s="286"/>
      <c r="W554" s="286"/>
      <c r="X554" s="286"/>
      <c r="Y554" s="286"/>
      <c r="Z554" s="286"/>
      <c r="AA554" s="286"/>
      <c r="AB554" s="286"/>
    </row>
    <row r="555">
      <c r="A555" s="286"/>
      <c r="B555" s="286"/>
      <c r="C555" s="529"/>
      <c r="D555" s="306"/>
      <c r="E555" s="306"/>
      <c r="F555" s="306"/>
      <c r="G555" s="528"/>
      <c r="H555" s="286"/>
      <c r="I555" s="286"/>
      <c r="J555" s="529"/>
      <c r="K555" s="286"/>
      <c r="L555" s="286"/>
      <c r="M555" s="529"/>
      <c r="N555" s="529"/>
      <c r="O555" s="529"/>
      <c r="P555" s="529"/>
      <c r="Q555" s="286"/>
      <c r="R555" s="286"/>
      <c r="S555" s="286"/>
      <c r="T555" s="286"/>
      <c r="U555" s="286"/>
      <c r="V555" s="286"/>
      <c r="W555" s="286"/>
      <c r="X555" s="286"/>
      <c r="Y555" s="286"/>
      <c r="Z555" s="286"/>
      <c r="AA555" s="286"/>
      <c r="AB555" s="286"/>
    </row>
    <row r="556">
      <c r="A556" s="286"/>
      <c r="B556" s="286"/>
      <c r="C556" s="529"/>
      <c r="D556" s="306"/>
      <c r="E556" s="306"/>
      <c r="F556" s="306"/>
      <c r="G556" s="528"/>
      <c r="H556" s="286"/>
      <c r="I556" s="286"/>
      <c r="J556" s="529"/>
      <c r="K556" s="286"/>
      <c r="L556" s="286"/>
      <c r="M556" s="529"/>
      <c r="N556" s="529"/>
      <c r="O556" s="529"/>
      <c r="P556" s="529"/>
      <c r="Q556" s="286"/>
      <c r="R556" s="286"/>
      <c r="S556" s="286"/>
      <c r="T556" s="286"/>
      <c r="U556" s="286"/>
      <c r="V556" s="286"/>
      <c r="W556" s="286"/>
      <c r="X556" s="286"/>
      <c r="Y556" s="286"/>
      <c r="Z556" s="286"/>
      <c r="AA556" s="286"/>
      <c r="AB556" s="286"/>
    </row>
    <row r="557">
      <c r="A557" s="286"/>
      <c r="B557" s="286"/>
      <c r="C557" s="529"/>
      <c r="D557" s="306"/>
      <c r="E557" s="306"/>
      <c r="F557" s="306"/>
      <c r="G557" s="528"/>
      <c r="H557" s="286"/>
      <c r="I557" s="286"/>
      <c r="J557" s="529"/>
      <c r="K557" s="286"/>
      <c r="L557" s="286"/>
      <c r="M557" s="529"/>
      <c r="N557" s="529"/>
      <c r="O557" s="529"/>
      <c r="P557" s="529"/>
      <c r="Q557" s="286"/>
      <c r="R557" s="286"/>
      <c r="S557" s="286"/>
      <c r="T557" s="286"/>
      <c r="U557" s="286"/>
      <c r="V557" s="286"/>
      <c r="W557" s="286"/>
      <c r="X557" s="286"/>
      <c r="Y557" s="286"/>
      <c r="Z557" s="286"/>
      <c r="AA557" s="286"/>
      <c r="AB557" s="286"/>
    </row>
    <row r="558">
      <c r="A558" s="286"/>
      <c r="B558" s="286"/>
      <c r="C558" s="529"/>
      <c r="D558" s="306"/>
      <c r="E558" s="306"/>
      <c r="F558" s="306"/>
      <c r="G558" s="528"/>
      <c r="H558" s="286"/>
      <c r="I558" s="286"/>
      <c r="J558" s="529"/>
      <c r="K558" s="286"/>
      <c r="L558" s="286"/>
      <c r="M558" s="529"/>
      <c r="N558" s="529"/>
      <c r="O558" s="529"/>
      <c r="P558" s="529"/>
      <c r="Q558" s="286"/>
      <c r="R558" s="286"/>
      <c r="S558" s="286"/>
      <c r="T558" s="286"/>
      <c r="U558" s="286"/>
      <c r="V558" s="286"/>
      <c r="W558" s="286"/>
      <c r="X558" s="286"/>
      <c r="Y558" s="286"/>
      <c r="Z558" s="286"/>
      <c r="AA558" s="286"/>
      <c r="AB558" s="286"/>
    </row>
    <row r="559">
      <c r="A559" s="286"/>
      <c r="B559" s="286"/>
      <c r="C559" s="529"/>
      <c r="D559" s="306"/>
      <c r="E559" s="306"/>
      <c r="F559" s="306"/>
      <c r="G559" s="528"/>
      <c r="H559" s="286"/>
      <c r="I559" s="286"/>
      <c r="J559" s="529"/>
      <c r="K559" s="286"/>
      <c r="L559" s="286"/>
      <c r="M559" s="529"/>
      <c r="N559" s="529"/>
      <c r="O559" s="529"/>
      <c r="P559" s="529"/>
      <c r="Q559" s="286"/>
      <c r="R559" s="286"/>
      <c r="S559" s="286"/>
      <c r="T559" s="286"/>
      <c r="U559" s="286"/>
      <c r="V559" s="286"/>
      <c r="W559" s="286"/>
      <c r="X559" s="286"/>
      <c r="Y559" s="286"/>
      <c r="Z559" s="286"/>
      <c r="AA559" s="286"/>
      <c r="AB559" s="286"/>
    </row>
    <row r="560">
      <c r="A560" s="286"/>
      <c r="B560" s="286"/>
      <c r="C560" s="529"/>
      <c r="D560" s="306"/>
      <c r="E560" s="306"/>
      <c r="F560" s="306"/>
      <c r="G560" s="528"/>
      <c r="H560" s="286"/>
      <c r="I560" s="286"/>
      <c r="J560" s="529"/>
      <c r="K560" s="286"/>
      <c r="L560" s="286"/>
      <c r="M560" s="529"/>
      <c r="N560" s="529"/>
      <c r="O560" s="529"/>
      <c r="P560" s="529"/>
      <c r="Q560" s="286"/>
      <c r="R560" s="286"/>
      <c r="S560" s="286"/>
      <c r="T560" s="286"/>
      <c r="U560" s="286"/>
      <c r="V560" s="286"/>
      <c r="W560" s="286"/>
      <c r="X560" s="286"/>
      <c r="Y560" s="286"/>
      <c r="Z560" s="286"/>
      <c r="AA560" s="286"/>
      <c r="AB560" s="286"/>
    </row>
    <row r="561">
      <c r="A561" s="286"/>
      <c r="B561" s="286"/>
      <c r="C561" s="529"/>
      <c r="D561" s="306"/>
      <c r="E561" s="306"/>
      <c r="F561" s="306"/>
      <c r="G561" s="528"/>
      <c r="H561" s="286"/>
      <c r="I561" s="286"/>
      <c r="J561" s="529"/>
      <c r="K561" s="286"/>
      <c r="L561" s="286"/>
      <c r="M561" s="529"/>
      <c r="N561" s="529"/>
      <c r="O561" s="529"/>
      <c r="P561" s="529"/>
      <c r="Q561" s="286"/>
      <c r="R561" s="286"/>
      <c r="S561" s="286"/>
      <c r="T561" s="286"/>
      <c r="U561" s="286"/>
      <c r="V561" s="286"/>
      <c r="W561" s="286"/>
      <c r="X561" s="286"/>
      <c r="Y561" s="286"/>
      <c r="Z561" s="286"/>
      <c r="AA561" s="286"/>
      <c r="AB561" s="286"/>
    </row>
    <row r="562">
      <c r="A562" s="286"/>
      <c r="B562" s="286"/>
      <c r="C562" s="529"/>
      <c r="D562" s="306"/>
      <c r="E562" s="306"/>
      <c r="F562" s="306"/>
      <c r="G562" s="528"/>
      <c r="H562" s="286"/>
      <c r="I562" s="286"/>
      <c r="J562" s="529"/>
      <c r="K562" s="286"/>
      <c r="L562" s="286"/>
      <c r="M562" s="529"/>
      <c r="N562" s="529"/>
      <c r="O562" s="529"/>
      <c r="P562" s="529"/>
      <c r="Q562" s="286"/>
      <c r="R562" s="286"/>
      <c r="S562" s="286"/>
      <c r="T562" s="286"/>
      <c r="U562" s="286"/>
      <c r="V562" s="286"/>
      <c r="W562" s="286"/>
      <c r="X562" s="286"/>
      <c r="Y562" s="286"/>
      <c r="Z562" s="286"/>
      <c r="AA562" s="286"/>
      <c r="AB562" s="286"/>
    </row>
    <row r="563">
      <c r="A563" s="286"/>
      <c r="B563" s="286"/>
      <c r="C563" s="529"/>
      <c r="D563" s="306"/>
      <c r="E563" s="306"/>
      <c r="F563" s="306"/>
      <c r="G563" s="528"/>
      <c r="H563" s="286"/>
      <c r="I563" s="286"/>
      <c r="J563" s="529"/>
      <c r="K563" s="286"/>
      <c r="L563" s="286"/>
      <c r="M563" s="529"/>
      <c r="N563" s="529"/>
      <c r="O563" s="529"/>
      <c r="P563" s="529"/>
      <c r="Q563" s="286"/>
      <c r="R563" s="286"/>
      <c r="S563" s="286"/>
      <c r="T563" s="286"/>
      <c r="U563" s="286"/>
      <c r="V563" s="286"/>
      <c r="W563" s="286"/>
      <c r="X563" s="286"/>
      <c r="Y563" s="286"/>
      <c r="Z563" s="286"/>
      <c r="AA563" s="286"/>
      <c r="AB563" s="286"/>
    </row>
    <row r="564">
      <c r="A564" s="286"/>
      <c r="B564" s="286"/>
      <c r="C564" s="529"/>
      <c r="D564" s="306"/>
      <c r="E564" s="306"/>
      <c r="F564" s="306"/>
      <c r="G564" s="528"/>
      <c r="H564" s="286"/>
      <c r="I564" s="286"/>
      <c r="J564" s="529"/>
      <c r="K564" s="286"/>
      <c r="L564" s="286"/>
      <c r="M564" s="529"/>
      <c r="N564" s="529"/>
      <c r="O564" s="529"/>
      <c r="P564" s="529"/>
      <c r="Q564" s="286"/>
      <c r="R564" s="286"/>
      <c r="S564" s="286"/>
      <c r="T564" s="286"/>
      <c r="U564" s="286"/>
      <c r="V564" s="286"/>
      <c r="W564" s="286"/>
      <c r="X564" s="286"/>
      <c r="Y564" s="286"/>
      <c r="Z564" s="286"/>
      <c r="AA564" s="286"/>
      <c r="AB564" s="286"/>
    </row>
    <row r="565">
      <c r="A565" s="286"/>
      <c r="B565" s="286"/>
      <c r="C565" s="529"/>
      <c r="D565" s="306"/>
      <c r="E565" s="306"/>
      <c r="F565" s="306"/>
      <c r="G565" s="528"/>
      <c r="H565" s="286"/>
      <c r="I565" s="286"/>
      <c r="J565" s="529"/>
      <c r="K565" s="286"/>
      <c r="L565" s="286"/>
      <c r="M565" s="529"/>
      <c r="N565" s="529"/>
      <c r="O565" s="529"/>
      <c r="P565" s="529"/>
      <c r="Q565" s="286"/>
      <c r="R565" s="286"/>
      <c r="S565" s="286"/>
      <c r="T565" s="286"/>
      <c r="U565" s="286"/>
      <c r="V565" s="286"/>
      <c r="W565" s="286"/>
      <c r="X565" s="286"/>
      <c r="Y565" s="286"/>
      <c r="Z565" s="286"/>
      <c r="AA565" s="286"/>
      <c r="AB565" s="286"/>
    </row>
    <row r="566">
      <c r="A566" s="286"/>
      <c r="B566" s="286"/>
      <c r="C566" s="529"/>
      <c r="D566" s="306"/>
      <c r="E566" s="306"/>
      <c r="F566" s="306"/>
      <c r="G566" s="528"/>
      <c r="H566" s="286"/>
      <c r="I566" s="286"/>
      <c r="J566" s="529"/>
      <c r="K566" s="286"/>
      <c r="L566" s="286"/>
      <c r="M566" s="529"/>
      <c r="N566" s="529"/>
      <c r="O566" s="529"/>
      <c r="P566" s="529"/>
      <c r="Q566" s="286"/>
      <c r="R566" s="286"/>
      <c r="S566" s="286"/>
      <c r="T566" s="286"/>
      <c r="U566" s="286"/>
      <c r="V566" s="286"/>
      <c r="W566" s="286"/>
      <c r="X566" s="286"/>
      <c r="Y566" s="286"/>
      <c r="Z566" s="286"/>
      <c r="AA566" s="286"/>
      <c r="AB566" s="286"/>
    </row>
    <row r="567">
      <c r="A567" s="286"/>
      <c r="B567" s="286"/>
      <c r="C567" s="529"/>
      <c r="D567" s="306"/>
      <c r="E567" s="306"/>
      <c r="F567" s="306"/>
      <c r="G567" s="528"/>
      <c r="H567" s="286"/>
      <c r="I567" s="286"/>
      <c r="J567" s="529"/>
      <c r="K567" s="286"/>
      <c r="L567" s="286"/>
      <c r="M567" s="529"/>
      <c r="N567" s="529"/>
      <c r="O567" s="529"/>
      <c r="P567" s="529"/>
      <c r="Q567" s="286"/>
      <c r="R567" s="286"/>
      <c r="S567" s="286"/>
      <c r="T567" s="286"/>
      <c r="U567" s="286"/>
      <c r="V567" s="286"/>
      <c r="W567" s="286"/>
      <c r="X567" s="286"/>
      <c r="Y567" s="286"/>
      <c r="Z567" s="286"/>
      <c r="AA567" s="286"/>
      <c r="AB567" s="286"/>
    </row>
    <row r="568">
      <c r="A568" s="286"/>
      <c r="B568" s="286"/>
      <c r="C568" s="529"/>
      <c r="D568" s="306"/>
      <c r="E568" s="306"/>
      <c r="F568" s="306"/>
      <c r="G568" s="528"/>
      <c r="H568" s="286"/>
      <c r="I568" s="286"/>
      <c r="J568" s="529"/>
      <c r="K568" s="286"/>
      <c r="L568" s="286"/>
      <c r="M568" s="529"/>
      <c r="N568" s="529"/>
      <c r="O568" s="529"/>
      <c r="P568" s="529"/>
      <c r="Q568" s="286"/>
      <c r="R568" s="286"/>
      <c r="S568" s="286"/>
      <c r="T568" s="286"/>
      <c r="U568" s="286"/>
      <c r="V568" s="286"/>
      <c r="W568" s="286"/>
      <c r="X568" s="286"/>
      <c r="Y568" s="286"/>
      <c r="Z568" s="286"/>
      <c r="AA568" s="286"/>
      <c r="AB568" s="286"/>
    </row>
    <row r="569">
      <c r="A569" s="286"/>
      <c r="B569" s="286"/>
      <c r="C569" s="529"/>
      <c r="D569" s="306"/>
      <c r="E569" s="306"/>
      <c r="F569" s="306"/>
      <c r="G569" s="528"/>
      <c r="H569" s="286"/>
      <c r="I569" s="286"/>
      <c r="J569" s="529"/>
      <c r="K569" s="286"/>
      <c r="L569" s="286"/>
      <c r="M569" s="529"/>
      <c r="N569" s="529"/>
      <c r="O569" s="529"/>
      <c r="P569" s="529"/>
      <c r="Q569" s="286"/>
      <c r="R569" s="286"/>
      <c r="S569" s="286"/>
      <c r="T569" s="286"/>
      <c r="U569" s="286"/>
      <c r="V569" s="286"/>
      <c r="W569" s="286"/>
      <c r="X569" s="286"/>
      <c r="Y569" s="286"/>
      <c r="Z569" s="286"/>
      <c r="AA569" s="286"/>
      <c r="AB569" s="286"/>
    </row>
    <row r="570">
      <c r="A570" s="286"/>
      <c r="B570" s="286"/>
      <c r="C570" s="529"/>
      <c r="D570" s="306"/>
      <c r="E570" s="306"/>
      <c r="F570" s="306"/>
      <c r="G570" s="528"/>
      <c r="H570" s="286"/>
      <c r="I570" s="286"/>
      <c r="J570" s="529"/>
      <c r="K570" s="286"/>
      <c r="L570" s="286"/>
      <c r="M570" s="529"/>
      <c r="N570" s="529"/>
      <c r="O570" s="529"/>
      <c r="P570" s="529"/>
      <c r="Q570" s="286"/>
      <c r="R570" s="286"/>
      <c r="S570" s="286"/>
      <c r="T570" s="286"/>
      <c r="U570" s="286"/>
      <c r="V570" s="286"/>
      <c r="W570" s="286"/>
      <c r="X570" s="286"/>
      <c r="Y570" s="286"/>
      <c r="Z570" s="286"/>
      <c r="AA570" s="286"/>
      <c r="AB570" s="286"/>
    </row>
    <row r="571">
      <c r="A571" s="286"/>
      <c r="B571" s="286"/>
      <c r="C571" s="529"/>
      <c r="D571" s="306"/>
      <c r="E571" s="306"/>
      <c r="F571" s="306"/>
      <c r="G571" s="528"/>
      <c r="H571" s="286"/>
      <c r="I571" s="286"/>
      <c r="J571" s="529"/>
      <c r="K571" s="286"/>
      <c r="L571" s="286"/>
      <c r="M571" s="529"/>
      <c r="N571" s="529"/>
      <c r="O571" s="529"/>
      <c r="P571" s="529"/>
      <c r="Q571" s="286"/>
      <c r="R571" s="286"/>
      <c r="S571" s="286"/>
      <c r="T571" s="286"/>
      <c r="U571" s="286"/>
      <c r="V571" s="286"/>
      <c r="W571" s="286"/>
      <c r="X571" s="286"/>
      <c r="Y571" s="286"/>
      <c r="Z571" s="286"/>
      <c r="AA571" s="286"/>
      <c r="AB571" s="286"/>
    </row>
    <row r="572">
      <c r="A572" s="286"/>
      <c r="B572" s="286"/>
      <c r="C572" s="529"/>
      <c r="D572" s="306"/>
      <c r="E572" s="306"/>
      <c r="F572" s="306"/>
      <c r="G572" s="528"/>
      <c r="H572" s="286"/>
      <c r="I572" s="286"/>
      <c r="J572" s="529"/>
      <c r="K572" s="286"/>
      <c r="L572" s="286"/>
      <c r="M572" s="529"/>
      <c r="N572" s="529"/>
      <c r="O572" s="529"/>
      <c r="P572" s="529"/>
      <c r="Q572" s="286"/>
      <c r="R572" s="286"/>
      <c r="S572" s="286"/>
      <c r="T572" s="286"/>
      <c r="U572" s="286"/>
      <c r="V572" s="286"/>
      <c r="W572" s="286"/>
      <c r="X572" s="286"/>
      <c r="Y572" s="286"/>
      <c r="Z572" s="286"/>
      <c r="AA572" s="286"/>
      <c r="AB572" s="286"/>
    </row>
    <row r="573">
      <c r="A573" s="286"/>
      <c r="B573" s="286"/>
      <c r="C573" s="529"/>
      <c r="D573" s="306"/>
      <c r="E573" s="306"/>
      <c r="F573" s="306"/>
      <c r="G573" s="528"/>
      <c r="H573" s="286"/>
      <c r="I573" s="286"/>
      <c r="J573" s="529"/>
      <c r="K573" s="286"/>
      <c r="L573" s="286"/>
      <c r="M573" s="529"/>
      <c r="N573" s="529"/>
      <c r="O573" s="529"/>
      <c r="P573" s="529"/>
      <c r="Q573" s="286"/>
      <c r="R573" s="286"/>
      <c r="S573" s="286"/>
      <c r="T573" s="286"/>
      <c r="U573" s="286"/>
      <c r="V573" s="286"/>
      <c r="W573" s="286"/>
      <c r="X573" s="286"/>
      <c r="Y573" s="286"/>
      <c r="Z573" s="286"/>
      <c r="AA573" s="286"/>
      <c r="AB573" s="286"/>
    </row>
    <row r="574">
      <c r="A574" s="286"/>
      <c r="B574" s="286"/>
      <c r="C574" s="529"/>
      <c r="D574" s="306"/>
      <c r="E574" s="306"/>
      <c r="F574" s="306"/>
      <c r="G574" s="528"/>
      <c r="H574" s="286"/>
      <c r="I574" s="286"/>
      <c r="J574" s="529"/>
      <c r="K574" s="286"/>
      <c r="L574" s="286"/>
      <c r="M574" s="529"/>
      <c r="N574" s="529"/>
      <c r="O574" s="529"/>
      <c r="P574" s="529"/>
      <c r="Q574" s="286"/>
      <c r="R574" s="286"/>
      <c r="S574" s="286"/>
      <c r="T574" s="286"/>
      <c r="U574" s="286"/>
      <c r="V574" s="286"/>
      <c r="W574" s="286"/>
      <c r="X574" s="286"/>
      <c r="Y574" s="286"/>
      <c r="Z574" s="286"/>
      <c r="AA574" s="286"/>
      <c r="AB574" s="286"/>
    </row>
    <row r="575">
      <c r="A575" s="286"/>
      <c r="B575" s="286"/>
      <c r="C575" s="529"/>
      <c r="D575" s="306"/>
      <c r="E575" s="306"/>
      <c r="F575" s="306"/>
      <c r="G575" s="528"/>
      <c r="H575" s="286"/>
      <c r="I575" s="286"/>
      <c r="J575" s="529"/>
      <c r="K575" s="286"/>
      <c r="L575" s="286"/>
      <c r="M575" s="529"/>
      <c r="N575" s="529"/>
      <c r="O575" s="529"/>
      <c r="P575" s="529"/>
      <c r="Q575" s="286"/>
      <c r="R575" s="286"/>
      <c r="S575" s="286"/>
      <c r="T575" s="286"/>
      <c r="U575" s="286"/>
      <c r="V575" s="286"/>
      <c r="W575" s="286"/>
      <c r="X575" s="286"/>
      <c r="Y575" s="286"/>
      <c r="Z575" s="286"/>
      <c r="AA575" s="286"/>
      <c r="AB575" s="286"/>
    </row>
    <row r="576">
      <c r="A576" s="286"/>
      <c r="B576" s="286"/>
      <c r="C576" s="529"/>
      <c r="D576" s="306"/>
      <c r="E576" s="306"/>
      <c r="F576" s="306"/>
      <c r="G576" s="528"/>
      <c r="H576" s="286"/>
      <c r="I576" s="286"/>
      <c r="J576" s="529"/>
      <c r="K576" s="286"/>
      <c r="L576" s="286"/>
      <c r="M576" s="529"/>
      <c r="N576" s="529"/>
      <c r="O576" s="529"/>
      <c r="P576" s="529"/>
      <c r="Q576" s="286"/>
      <c r="R576" s="286"/>
      <c r="S576" s="286"/>
      <c r="T576" s="286"/>
      <c r="U576" s="286"/>
      <c r="V576" s="286"/>
      <c r="W576" s="286"/>
      <c r="X576" s="286"/>
      <c r="Y576" s="286"/>
      <c r="Z576" s="286"/>
      <c r="AA576" s="286"/>
      <c r="AB576" s="286"/>
    </row>
    <row r="577">
      <c r="A577" s="286"/>
      <c r="B577" s="286"/>
      <c r="C577" s="529"/>
      <c r="D577" s="306"/>
      <c r="E577" s="306"/>
      <c r="F577" s="306"/>
      <c r="G577" s="528"/>
      <c r="H577" s="286"/>
      <c r="I577" s="286"/>
      <c r="J577" s="529"/>
      <c r="K577" s="286"/>
      <c r="L577" s="286"/>
      <c r="M577" s="529"/>
      <c r="N577" s="529"/>
      <c r="O577" s="529"/>
      <c r="P577" s="529"/>
      <c r="Q577" s="286"/>
      <c r="R577" s="286"/>
      <c r="S577" s="286"/>
      <c r="T577" s="286"/>
      <c r="U577" s="286"/>
      <c r="V577" s="286"/>
      <c r="W577" s="286"/>
      <c r="X577" s="286"/>
      <c r="Y577" s="286"/>
      <c r="Z577" s="286"/>
      <c r="AA577" s="286"/>
      <c r="AB577" s="286"/>
    </row>
    <row r="578">
      <c r="A578" s="286"/>
      <c r="B578" s="286"/>
      <c r="C578" s="529"/>
      <c r="D578" s="306"/>
      <c r="E578" s="306"/>
      <c r="F578" s="306"/>
      <c r="G578" s="528"/>
      <c r="H578" s="286"/>
      <c r="I578" s="286"/>
      <c r="J578" s="529"/>
      <c r="K578" s="286"/>
      <c r="L578" s="286"/>
      <c r="M578" s="529"/>
      <c r="N578" s="529"/>
      <c r="O578" s="529"/>
      <c r="P578" s="529"/>
      <c r="Q578" s="286"/>
      <c r="R578" s="286"/>
      <c r="S578" s="286"/>
      <c r="T578" s="286"/>
      <c r="U578" s="286"/>
      <c r="V578" s="286"/>
      <c r="W578" s="286"/>
      <c r="X578" s="286"/>
      <c r="Y578" s="286"/>
      <c r="Z578" s="286"/>
      <c r="AA578" s="286"/>
      <c r="AB578" s="286"/>
    </row>
    <row r="579">
      <c r="A579" s="286"/>
      <c r="B579" s="286"/>
      <c r="C579" s="529"/>
      <c r="D579" s="306"/>
      <c r="E579" s="306"/>
      <c r="F579" s="306"/>
      <c r="G579" s="528"/>
      <c r="H579" s="286"/>
      <c r="I579" s="286"/>
      <c r="J579" s="529"/>
      <c r="K579" s="286"/>
      <c r="L579" s="286"/>
      <c r="M579" s="529"/>
      <c r="N579" s="529"/>
      <c r="O579" s="529"/>
      <c r="P579" s="529"/>
      <c r="Q579" s="286"/>
      <c r="R579" s="286"/>
      <c r="S579" s="286"/>
      <c r="T579" s="286"/>
      <c r="U579" s="286"/>
      <c r="V579" s="286"/>
      <c r="W579" s="286"/>
      <c r="X579" s="286"/>
      <c r="Y579" s="286"/>
      <c r="Z579" s="286"/>
      <c r="AA579" s="286"/>
      <c r="AB579" s="286"/>
    </row>
    <row r="580">
      <c r="A580" s="286"/>
      <c r="B580" s="286"/>
      <c r="C580" s="529"/>
      <c r="D580" s="306"/>
      <c r="E580" s="306"/>
      <c r="F580" s="306"/>
      <c r="G580" s="528"/>
      <c r="H580" s="286"/>
      <c r="I580" s="286"/>
      <c r="J580" s="529"/>
      <c r="K580" s="286"/>
      <c r="L580" s="286"/>
      <c r="M580" s="529"/>
      <c r="N580" s="529"/>
      <c r="O580" s="529"/>
      <c r="P580" s="529"/>
      <c r="Q580" s="286"/>
      <c r="R580" s="286"/>
      <c r="S580" s="286"/>
      <c r="T580" s="286"/>
      <c r="U580" s="286"/>
      <c r="V580" s="286"/>
      <c r="W580" s="286"/>
      <c r="X580" s="286"/>
      <c r="Y580" s="286"/>
      <c r="Z580" s="286"/>
      <c r="AA580" s="286"/>
      <c r="AB580" s="286"/>
    </row>
    <row r="581">
      <c r="A581" s="286"/>
      <c r="B581" s="286"/>
      <c r="C581" s="529"/>
      <c r="D581" s="306"/>
      <c r="E581" s="306"/>
      <c r="F581" s="306"/>
      <c r="G581" s="528"/>
      <c r="H581" s="286"/>
      <c r="I581" s="286"/>
      <c r="J581" s="529"/>
      <c r="K581" s="286"/>
      <c r="L581" s="286"/>
      <c r="M581" s="529"/>
      <c r="N581" s="529"/>
      <c r="O581" s="529"/>
      <c r="P581" s="529"/>
      <c r="Q581" s="286"/>
      <c r="R581" s="286"/>
      <c r="S581" s="286"/>
      <c r="T581" s="286"/>
      <c r="U581" s="286"/>
      <c r="V581" s="286"/>
      <c r="W581" s="286"/>
      <c r="X581" s="286"/>
      <c r="Y581" s="286"/>
      <c r="Z581" s="286"/>
      <c r="AA581" s="286"/>
      <c r="AB581" s="286"/>
    </row>
    <row r="582">
      <c r="A582" s="286"/>
      <c r="B582" s="286"/>
      <c r="C582" s="529"/>
      <c r="D582" s="306"/>
      <c r="E582" s="306"/>
      <c r="F582" s="306"/>
      <c r="G582" s="528"/>
      <c r="H582" s="286"/>
      <c r="I582" s="286"/>
      <c r="J582" s="529"/>
      <c r="K582" s="286"/>
      <c r="L582" s="286"/>
      <c r="M582" s="529"/>
      <c r="N582" s="529"/>
      <c r="O582" s="529"/>
      <c r="P582" s="529"/>
      <c r="Q582" s="286"/>
      <c r="R582" s="286"/>
      <c r="S582" s="286"/>
      <c r="T582" s="286"/>
      <c r="U582" s="286"/>
      <c r="V582" s="286"/>
      <c r="W582" s="286"/>
      <c r="X582" s="286"/>
      <c r="Y582" s="286"/>
      <c r="Z582" s="286"/>
      <c r="AA582" s="286"/>
      <c r="AB582" s="286"/>
    </row>
    <row r="583">
      <c r="A583" s="286"/>
      <c r="B583" s="286"/>
      <c r="C583" s="529"/>
      <c r="D583" s="306"/>
      <c r="E583" s="306"/>
      <c r="F583" s="306"/>
      <c r="G583" s="528"/>
      <c r="H583" s="286"/>
      <c r="I583" s="286"/>
      <c r="J583" s="529"/>
      <c r="K583" s="286"/>
      <c r="L583" s="286"/>
      <c r="M583" s="529"/>
      <c r="N583" s="529"/>
      <c r="O583" s="529"/>
      <c r="P583" s="529"/>
      <c r="Q583" s="286"/>
      <c r="R583" s="286"/>
      <c r="S583" s="286"/>
      <c r="T583" s="286"/>
      <c r="U583" s="286"/>
      <c r="V583" s="286"/>
      <c r="W583" s="286"/>
      <c r="X583" s="286"/>
      <c r="Y583" s="286"/>
      <c r="Z583" s="286"/>
      <c r="AA583" s="286"/>
      <c r="AB583" s="286"/>
    </row>
    <row r="584">
      <c r="A584" s="286"/>
      <c r="B584" s="286"/>
      <c r="C584" s="529"/>
      <c r="D584" s="306"/>
      <c r="E584" s="306"/>
      <c r="F584" s="306"/>
      <c r="G584" s="528"/>
      <c r="H584" s="286"/>
      <c r="I584" s="286"/>
      <c r="J584" s="529"/>
      <c r="K584" s="286"/>
      <c r="L584" s="286"/>
      <c r="M584" s="529"/>
      <c r="N584" s="529"/>
      <c r="O584" s="529"/>
      <c r="P584" s="529"/>
      <c r="Q584" s="286"/>
      <c r="R584" s="286"/>
      <c r="S584" s="286"/>
      <c r="T584" s="286"/>
      <c r="U584" s="286"/>
      <c r="V584" s="286"/>
      <c r="W584" s="286"/>
      <c r="X584" s="286"/>
      <c r="Y584" s="286"/>
      <c r="Z584" s="286"/>
      <c r="AA584" s="286"/>
      <c r="AB584" s="286"/>
    </row>
    <row r="585">
      <c r="A585" s="286"/>
      <c r="B585" s="286"/>
      <c r="C585" s="529"/>
      <c r="D585" s="306"/>
      <c r="E585" s="306"/>
      <c r="F585" s="306"/>
      <c r="G585" s="528"/>
      <c r="H585" s="286"/>
      <c r="I585" s="286"/>
      <c r="J585" s="529"/>
      <c r="K585" s="286"/>
      <c r="L585" s="286"/>
      <c r="M585" s="529"/>
      <c r="N585" s="529"/>
      <c r="O585" s="529"/>
      <c r="P585" s="529"/>
      <c r="Q585" s="286"/>
      <c r="R585" s="286"/>
      <c r="S585" s="286"/>
      <c r="T585" s="286"/>
      <c r="U585" s="286"/>
      <c r="V585" s="286"/>
      <c r="W585" s="286"/>
      <c r="X585" s="286"/>
      <c r="Y585" s="286"/>
      <c r="Z585" s="286"/>
      <c r="AA585" s="286"/>
      <c r="AB585" s="286"/>
    </row>
    <row r="586">
      <c r="A586" s="286"/>
      <c r="B586" s="286"/>
      <c r="C586" s="529"/>
      <c r="D586" s="306"/>
      <c r="E586" s="306"/>
      <c r="F586" s="306"/>
      <c r="G586" s="528"/>
      <c r="H586" s="286"/>
      <c r="I586" s="286"/>
      <c r="J586" s="529"/>
      <c r="K586" s="286"/>
      <c r="L586" s="286"/>
      <c r="M586" s="529"/>
      <c r="N586" s="529"/>
      <c r="O586" s="529"/>
      <c r="P586" s="529"/>
      <c r="Q586" s="286"/>
      <c r="R586" s="286"/>
      <c r="S586" s="286"/>
      <c r="T586" s="286"/>
      <c r="U586" s="286"/>
      <c r="V586" s="286"/>
      <c r="W586" s="286"/>
      <c r="X586" s="286"/>
      <c r="Y586" s="286"/>
      <c r="Z586" s="286"/>
      <c r="AA586" s="286"/>
      <c r="AB586" s="286"/>
    </row>
    <row r="587">
      <c r="A587" s="286"/>
      <c r="B587" s="286"/>
      <c r="C587" s="529"/>
      <c r="D587" s="306"/>
      <c r="E587" s="306"/>
      <c r="F587" s="306"/>
      <c r="G587" s="528"/>
      <c r="H587" s="286"/>
      <c r="I587" s="286"/>
      <c r="J587" s="529"/>
      <c r="K587" s="286"/>
      <c r="L587" s="286"/>
      <c r="M587" s="529"/>
      <c r="N587" s="529"/>
      <c r="O587" s="529"/>
      <c r="P587" s="529"/>
      <c r="Q587" s="286"/>
      <c r="R587" s="286"/>
      <c r="S587" s="286"/>
      <c r="T587" s="286"/>
      <c r="U587" s="286"/>
      <c r="V587" s="286"/>
      <c r="W587" s="286"/>
      <c r="X587" s="286"/>
      <c r="Y587" s="286"/>
      <c r="Z587" s="286"/>
      <c r="AA587" s="286"/>
      <c r="AB587" s="286"/>
    </row>
    <row r="588">
      <c r="A588" s="286"/>
      <c r="B588" s="286"/>
      <c r="C588" s="529"/>
      <c r="D588" s="306"/>
      <c r="E588" s="306"/>
      <c r="F588" s="306"/>
      <c r="G588" s="528"/>
      <c r="H588" s="286"/>
      <c r="I588" s="286"/>
      <c r="J588" s="529"/>
      <c r="K588" s="286"/>
      <c r="L588" s="286"/>
      <c r="M588" s="529"/>
      <c r="N588" s="529"/>
      <c r="O588" s="529"/>
      <c r="P588" s="529"/>
      <c r="Q588" s="286"/>
      <c r="R588" s="286"/>
      <c r="S588" s="286"/>
      <c r="T588" s="286"/>
      <c r="U588" s="286"/>
      <c r="V588" s="286"/>
      <c r="W588" s="286"/>
      <c r="X588" s="286"/>
      <c r="Y588" s="286"/>
      <c r="Z588" s="286"/>
      <c r="AA588" s="286"/>
      <c r="AB588" s="286"/>
    </row>
    <row r="589">
      <c r="A589" s="286"/>
      <c r="B589" s="286"/>
      <c r="C589" s="529"/>
      <c r="D589" s="306"/>
      <c r="E589" s="306"/>
      <c r="F589" s="306"/>
      <c r="G589" s="528"/>
      <c r="H589" s="286"/>
      <c r="I589" s="286"/>
      <c r="J589" s="529"/>
      <c r="K589" s="286"/>
      <c r="L589" s="286"/>
      <c r="M589" s="529"/>
      <c r="N589" s="529"/>
      <c r="O589" s="529"/>
      <c r="P589" s="529"/>
      <c r="Q589" s="286"/>
      <c r="R589" s="286"/>
      <c r="S589" s="286"/>
      <c r="T589" s="286"/>
      <c r="U589" s="286"/>
      <c r="V589" s="286"/>
      <c r="W589" s="286"/>
      <c r="X589" s="286"/>
      <c r="Y589" s="286"/>
      <c r="Z589" s="286"/>
      <c r="AA589" s="286"/>
      <c r="AB589" s="286"/>
    </row>
    <row r="590">
      <c r="A590" s="286"/>
      <c r="B590" s="286"/>
      <c r="C590" s="529"/>
      <c r="D590" s="306"/>
      <c r="E590" s="306"/>
      <c r="F590" s="306"/>
      <c r="G590" s="528"/>
      <c r="H590" s="286"/>
      <c r="I590" s="286"/>
      <c r="J590" s="529"/>
      <c r="K590" s="286"/>
      <c r="L590" s="286"/>
      <c r="M590" s="529"/>
      <c r="N590" s="529"/>
      <c r="O590" s="529"/>
      <c r="P590" s="529"/>
      <c r="Q590" s="286"/>
      <c r="R590" s="286"/>
      <c r="S590" s="286"/>
      <c r="T590" s="286"/>
      <c r="U590" s="286"/>
      <c r="V590" s="286"/>
      <c r="W590" s="286"/>
      <c r="X590" s="286"/>
      <c r="Y590" s="286"/>
      <c r="Z590" s="286"/>
      <c r="AA590" s="286"/>
      <c r="AB590" s="286"/>
    </row>
    <row r="591">
      <c r="A591" s="286"/>
      <c r="B591" s="286"/>
      <c r="C591" s="529"/>
      <c r="D591" s="306"/>
      <c r="E591" s="306"/>
      <c r="F591" s="306"/>
      <c r="G591" s="528"/>
      <c r="H591" s="286"/>
      <c r="I591" s="286"/>
      <c r="J591" s="529"/>
      <c r="K591" s="286"/>
      <c r="L591" s="286"/>
      <c r="M591" s="529"/>
      <c r="N591" s="529"/>
      <c r="O591" s="529"/>
      <c r="P591" s="529"/>
      <c r="Q591" s="286"/>
      <c r="R591" s="286"/>
      <c r="S591" s="286"/>
      <c r="T591" s="286"/>
      <c r="U591" s="286"/>
      <c r="V591" s="286"/>
      <c r="W591" s="286"/>
      <c r="X591" s="286"/>
      <c r="Y591" s="286"/>
      <c r="Z591" s="286"/>
      <c r="AA591" s="286"/>
      <c r="AB591" s="286"/>
    </row>
    <row r="592">
      <c r="A592" s="286"/>
      <c r="B592" s="286"/>
      <c r="C592" s="529"/>
      <c r="D592" s="306"/>
      <c r="E592" s="306"/>
      <c r="F592" s="306"/>
      <c r="G592" s="528"/>
      <c r="H592" s="286"/>
      <c r="I592" s="286"/>
      <c r="J592" s="529"/>
      <c r="K592" s="286"/>
      <c r="L592" s="286"/>
      <c r="M592" s="529"/>
      <c r="N592" s="529"/>
      <c r="O592" s="529"/>
      <c r="P592" s="529"/>
      <c r="Q592" s="286"/>
      <c r="R592" s="286"/>
      <c r="S592" s="286"/>
      <c r="T592" s="286"/>
      <c r="U592" s="286"/>
      <c r="V592" s="286"/>
      <c r="W592" s="286"/>
      <c r="X592" s="286"/>
      <c r="Y592" s="286"/>
      <c r="Z592" s="286"/>
      <c r="AA592" s="286"/>
      <c r="AB592" s="286"/>
    </row>
    <row r="593">
      <c r="A593" s="286"/>
      <c r="B593" s="286"/>
      <c r="C593" s="529"/>
      <c r="D593" s="306"/>
      <c r="E593" s="306"/>
      <c r="F593" s="306"/>
      <c r="G593" s="528"/>
      <c r="H593" s="286"/>
      <c r="I593" s="286"/>
      <c r="J593" s="529"/>
      <c r="K593" s="286"/>
      <c r="L593" s="286"/>
      <c r="M593" s="529"/>
      <c r="N593" s="529"/>
      <c r="O593" s="529"/>
      <c r="P593" s="529"/>
      <c r="Q593" s="286"/>
      <c r="R593" s="286"/>
      <c r="S593" s="286"/>
      <c r="T593" s="286"/>
      <c r="U593" s="286"/>
      <c r="V593" s="286"/>
      <c r="W593" s="286"/>
      <c r="X593" s="286"/>
      <c r="Y593" s="286"/>
      <c r="Z593" s="286"/>
      <c r="AA593" s="286"/>
      <c r="AB593" s="286"/>
    </row>
    <row r="594">
      <c r="A594" s="286"/>
      <c r="B594" s="286"/>
      <c r="C594" s="529"/>
      <c r="D594" s="306"/>
      <c r="E594" s="306"/>
      <c r="F594" s="306"/>
      <c r="G594" s="528"/>
      <c r="H594" s="286"/>
      <c r="I594" s="286"/>
      <c r="J594" s="529"/>
      <c r="K594" s="286"/>
      <c r="L594" s="286"/>
      <c r="M594" s="529"/>
      <c r="N594" s="529"/>
      <c r="O594" s="529"/>
      <c r="P594" s="529"/>
      <c r="Q594" s="286"/>
      <c r="R594" s="286"/>
      <c r="S594" s="286"/>
      <c r="T594" s="286"/>
      <c r="U594" s="286"/>
      <c r="V594" s="286"/>
      <c r="W594" s="286"/>
      <c r="X594" s="286"/>
      <c r="Y594" s="286"/>
      <c r="Z594" s="286"/>
      <c r="AA594" s="286"/>
      <c r="AB594" s="286"/>
    </row>
    <row r="595">
      <c r="A595" s="286"/>
      <c r="B595" s="286"/>
      <c r="C595" s="529"/>
      <c r="D595" s="306"/>
      <c r="E595" s="306"/>
      <c r="F595" s="306"/>
      <c r="G595" s="528"/>
      <c r="H595" s="286"/>
      <c r="I595" s="286"/>
      <c r="J595" s="529"/>
      <c r="K595" s="286"/>
      <c r="L595" s="286"/>
      <c r="M595" s="529"/>
      <c r="N595" s="529"/>
      <c r="O595" s="529"/>
      <c r="P595" s="529"/>
      <c r="Q595" s="286"/>
      <c r="R595" s="286"/>
      <c r="S595" s="286"/>
      <c r="T595" s="286"/>
      <c r="U595" s="286"/>
      <c r="V595" s="286"/>
      <c r="W595" s="286"/>
      <c r="X595" s="286"/>
      <c r="Y595" s="286"/>
      <c r="Z595" s="286"/>
      <c r="AA595" s="286"/>
      <c r="AB595" s="286"/>
    </row>
    <row r="596">
      <c r="A596" s="286"/>
      <c r="B596" s="286"/>
      <c r="C596" s="529"/>
      <c r="D596" s="306"/>
      <c r="E596" s="306"/>
      <c r="F596" s="306"/>
      <c r="G596" s="528"/>
      <c r="H596" s="286"/>
      <c r="I596" s="286"/>
      <c r="J596" s="529"/>
      <c r="K596" s="286"/>
      <c r="L596" s="286"/>
      <c r="M596" s="529"/>
      <c r="N596" s="529"/>
      <c r="O596" s="529"/>
      <c r="P596" s="529"/>
      <c r="Q596" s="286"/>
      <c r="R596" s="286"/>
      <c r="S596" s="286"/>
      <c r="T596" s="286"/>
      <c r="U596" s="286"/>
      <c r="V596" s="286"/>
      <c r="W596" s="286"/>
      <c r="X596" s="286"/>
      <c r="Y596" s="286"/>
      <c r="Z596" s="286"/>
      <c r="AA596" s="286"/>
      <c r="AB596" s="286"/>
    </row>
    <row r="597">
      <c r="A597" s="286"/>
      <c r="B597" s="286"/>
      <c r="C597" s="529"/>
      <c r="D597" s="306"/>
      <c r="E597" s="306"/>
      <c r="F597" s="306"/>
      <c r="G597" s="528"/>
      <c r="H597" s="286"/>
      <c r="I597" s="286"/>
      <c r="J597" s="529"/>
      <c r="K597" s="286"/>
      <c r="L597" s="286"/>
      <c r="M597" s="529"/>
      <c r="N597" s="529"/>
      <c r="O597" s="529"/>
      <c r="P597" s="529"/>
      <c r="Q597" s="286"/>
      <c r="R597" s="286"/>
      <c r="S597" s="286"/>
      <c r="T597" s="286"/>
      <c r="U597" s="286"/>
      <c r="V597" s="286"/>
      <c r="W597" s="286"/>
      <c r="X597" s="286"/>
      <c r="Y597" s="286"/>
      <c r="Z597" s="286"/>
      <c r="AA597" s="286"/>
      <c r="AB597" s="286"/>
    </row>
    <row r="598">
      <c r="A598" s="286"/>
      <c r="B598" s="286"/>
      <c r="C598" s="529"/>
      <c r="D598" s="306"/>
      <c r="E598" s="306"/>
      <c r="F598" s="306"/>
      <c r="G598" s="528"/>
      <c r="H598" s="286"/>
      <c r="I598" s="286"/>
      <c r="J598" s="529"/>
      <c r="K598" s="286"/>
      <c r="L598" s="286"/>
      <c r="M598" s="529"/>
      <c r="N598" s="529"/>
      <c r="O598" s="529"/>
      <c r="P598" s="529"/>
      <c r="Q598" s="286"/>
      <c r="R598" s="286"/>
      <c r="S598" s="286"/>
      <c r="T598" s="286"/>
      <c r="U598" s="286"/>
      <c r="V598" s="286"/>
      <c r="W598" s="286"/>
      <c r="X598" s="286"/>
      <c r="Y598" s="286"/>
      <c r="Z598" s="286"/>
      <c r="AA598" s="286"/>
      <c r="AB598" s="286"/>
    </row>
    <row r="599">
      <c r="A599" s="286"/>
      <c r="B599" s="286"/>
      <c r="C599" s="529"/>
      <c r="D599" s="306"/>
      <c r="E599" s="306"/>
      <c r="F599" s="306"/>
      <c r="G599" s="528"/>
      <c r="H599" s="286"/>
      <c r="I599" s="286"/>
      <c r="J599" s="529"/>
      <c r="K599" s="286"/>
      <c r="L599" s="286"/>
      <c r="M599" s="529"/>
      <c r="N599" s="529"/>
      <c r="O599" s="529"/>
      <c r="P599" s="529"/>
      <c r="Q599" s="286"/>
      <c r="R599" s="286"/>
      <c r="S599" s="286"/>
      <c r="T599" s="286"/>
      <c r="U599" s="286"/>
      <c r="V599" s="286"/>
      <c r="W599" s="286"/>
      <c r="X599" s="286"/>
      <c r="Y599" s="286"/>
      <c r="Z599" s="286"/>
      <c r="AA599" s="286"/>
      <c r="AB599" s="286"/>
    </row>
    <row r="600">
      <c r="A600" s="286"/>
      <c r="B600" s="286"/>
      <c r="C600" s="529"/>
      <c r="D600" s="306"/>
      <c r="E600" s="306"/>
      <c r="F600" s="306"/>
      <c r="G600" s="528"/>
      <c r="H600" s="286"/>
      <c r="I600" s="286"/>
      <c r="J600" s="529"/>
      <c r="K600" s="286"/>
      <c r="L600" s="286"/>
      <c r="M600" s="529"/>
      <c r="N600" s="529"/>
      <c r="O600" s="529"/>
      <c r="P600" s="529"/>
      <c r="Q600" s="286"/>
      <c r="R600" s="286"/>
      <c r="S600" s="286"/>
      <c r="T600" s="286"/>
      <c r="U600" s="286"/>
      <c r="V600" s="286"/>
      <c r="W600" s="286"/>
      <c r="X600" s="286"/>
      <c r="Y600" s="286"/>
      <c r="Z600" s="286"/>
      <c r="AA600" s="286"/>
      <c r="AB600" s="286"/>
    </row>
    <row r="601">
      <c r="A601" s="286"/>
      <c r="B601" s="286"/>
      <c r="C601" s="529"/>
      <c r="D601" s="306"/>
      <c r="E601" s="306"/>
      <c r="F601" s="306"/>
      <c r="G601" s="528"/>
      <c r="H601" s="286"/>
      <c r="I601" s="286"/>
      <c r="J601" s="529"/>
      <c r="K601" s="286"/>
      <c r="L601" s="286"/>
      <c r="M601" s="529"/>
      <c r="N601" s="529"/>
      <c r="O601" s="529"/>
      <c r="P601" s="529"/>
      <c r="Q601" s="286"/>
      <c r="R601" s="286"/>
      <c r="S601" s="286"/>
      <c r="T601" s="286"/>
      <c r="U601" s="286"/>
      <c r="V601" s="286"/>
      <c r="W601" s="286"/>
      <c r="X601" s="286"/>
      <c r="Y601" s="286"/>
      <c r="Z601" s="286"/>
      <c r="AA601" s="286"/>
      <c r="AB601" s="286"/>
    </row>
    <row r="602">
      <c r="A602" s="286"/>
      <c r="B602" s="286"/>
      <c r="C602" s="529"/>
      <c r="D602" s="306"/>
      <c r="E602" s="306"/>
      <c r="F602" s="306"/>
      <c r="G602" s="528"/>
      <c r="H602" s="286"/>
      <c r="I602" s="286"/>
      <c r="J602" s="529"/>
      <c r="K602" s="286"/>
      <c r="L602" s="286"/>
      <c r="M602" s="529"/>
      <c r="N602" s="529"/>
      <c r="O602" s="529"/>
      <c r="P602" s="529"/>
      <c r="Q602" s="286"/>
      <c r="R602" s="286"/>
      <c r="S602" s="286"/>
      <c r="T602" s="286"/>
      <c r="U602" s="286"/>
      <c r="V602" s="286"/>
      <c r="W602" s="286"/>
      <c r="X602" s="286"/>
      <c r="Y602" s="286"/>
      <c r="Z602" s="286"/>
      <c r="AA602" s="286"/>
      <c r="AB602" s="286"/>
    </row>
    <row r="603">
      <c r="A603" s="286"/>
      <c r="B603" s="286"/>
      <c r="C603" s="529"/>
      <c r="D603" s="306"/>
      <c r="E603" s="306"/>
      <c r="F603" s="306"/>
      <c r="G603" s="528"/>
      <c r="H603" s="286"/>
      <c r="I603" s="286"/>
      <c r="J603" s="529"/>
      <c r="K603" s="286"/>
      <c r="L603" s="286"/>
      <c r="M603" s="529"/>
      <c r="N603" s="529"/>
      <c r="O603" s="529"/>
      <c r="P603" s="529"/>
      <c r="Q603" s="286"/>
      <c r="R603" s="286"/>
      <c r="S603" s="286"/>
      <c r="T603" s="286"/>
      <c r="U603" s="286"/>
      <c r="V603" s="286"/>
      <c r="W603" s="286"/>
      <c r="X603" s="286"/>
      <c r="Y603" s="286"/>
      <c r="Z603" s="286"/>
      <c r="AA603" s="286"/>
      <c r="AB603" s="286"/>
    </row>
    <row r="604">
      <c r="A604" s="286"/>
      <c r="B604" s="286"/>
      <c r="C604" s="529"/>
      <c r="D604" s="306"/>
      <c r="E604" s="306"/>
      <c r="F604" s="306"/>
      <c r="G604" s="528"/>
      <c r="H604" s="286"/>
      <c r="I604" s="286"/>
      <c r="J604" s="529"/>
      <c r="K604" s="286"/>
      <c r="L604" s="286"/>
      <c r="M604" s="529"/>
      <c r="N604" s="529"/>
      <c r="O604" s="529"/>
      <c r="P604" s="529"/>
      <c r="Q604" s="286"/>
      <c r="R604" s="286"/>
      <c r="S604" s="286"/>
      <c r="T604" s="286"/>
      <c r="U604" s="286"/>
      <c r="V604" s="286"/>
      <c r="W604" s="286"/>
      <c r="X604" s="286"/>
      <c r="Y604" s="286"/>
      <c r="Z604" s="286"/>
      <c r="AA604" s="286"/>
      <c r="AB604" s="286"/>
    </row>
    <row r="605">
      <c r="A605" s="286"/>
      <c r="B605" s="286"/>
      <c r="C605" s="529"/>
      <c r="D605" s="306"/>
      <c r="E605" s="306"/>
      <c r="F605" s="306"/>
      <c r="G605" s="528"/>
      <c r="H605" s="286"/>
      <c r="I605" s="286"/>
      <c r="J605" s="529"/>
      <c r="K605" s="286"/>
      <c r="L605" s="286"/>
      <c r="M605" s="529"/>
      <c r="N605" s="529"/>
      <c r="O605" s="529"/>
      <c r="P605" s="529"/>
      <c r="Q605" s="286"/>
      <c r="R605" s="286"/>
      <c r="S605" s="286"/>
      <c r="T605" s="286"/>
      <c r="U605" s="286"/>
      <c r="V605" s="286"/>
      <c r="W605" s="286"/>
      <c r="X605" s="286"/>
      <c r="Y605" s="286"/>
      <c r="Z605" s="286"/>
      <c r="AA605" s="286"/>
      <c r="AB605" s="286"/>
    </row>
    <row r="606">
      <c r="A606" s="286"/>
      <c r="B606" s="286"/>
      <c r="C606" s="529"/>
      <c r="D606" s="306"/>
      <c r="E606" s="306"/>
      <c r="F606" s="306"/>
      <c r="G606" s="528"/>
      <c r="H606" s="286"/>
      <c r="I606" s="286"/>
      <c r="J606" s="529"/>
      <c r="K606" s="286"/>
      <c r="L606" s="286"/>
      <c r="M606" s="529"/>
      <c r="N606" s="529"/>
      <c r="O606" s="529"/>
      <c r="P606" s="529"/>
      <c r="Q606" s="286"/>
      <c r="R606" s="286"/>
      <c r="S606" s="286"/>
      <c r="T606" s="286"/>
      <c r="U606" s="286"/>
      <c r="V606" s="286"/>
      <c r="W606" s="286"/>
      <c r="X606" s="286"/>
      <c r="Y606" s="286"/>
      <c r="Z606" s="286"/>
      <c r="AA606" s="286"/>
      <c r="AB606" s="286"/>
    </row>
    <row r="607">
      <c r="A607" s="286"/>
      <c r="B607" s="286"/>
      <c r="C607" s="529"/>
      <c r="D607" s="306"/>
      <c r="E607" s="306"/>
      <c r="F607" s="306"/>
      <c r="G607" s="528"/>
      <c r="H607" s="286"/>
      <c r="I607" s="286"/>
      <c r="J607" s="529"/>
      <c r="K607" s="286"/>
      <c r="L607" s="286"/>
      <c r="M607" s="529"/>
      <c r="N607" s="529"/>
      <c r="O607" s="529"/>
      <c r="P607" s="529"/>
      <c r="Q607" s="286"/>
      <c r="R607" s="286"/>
      <c r="S607" s="286"/>
      <c r="T607" s="286"/>
      <c r="U607" s="286"/>
      <c r="V607" s="286"/>
      <c r="W607" s="286"/>
      <c r="X607" s="286"/>
      <c r="Y607" s="286"/>
      <c r="Z607" s="286"/>
      <c r="AA607" s="286"/>
      <c r="AB607" s="286"/>
    </row>
    <row r="608">
      <c r="A608" s="286"/>
      <c r="B608" s="286"/>
      <c r="C608" s="529"/>
      <c r="D608" s="306"/>
      <c r="E608" s="306"/>
      <c r="F608" s="306"/>
      <c r="G608" s="528"/>
      <c r="H608" s="286"/>
      <c r="I608" s="286"/>
      <c r="J608" s="529"/>
      <c r="K608" s="286"/>
      <c r="L608" s="286"/>
      <c r="M608" s="529"/>
      <c r="N608" s="529"/>
      <c r="O608" s="529"/>
      <c r="P608" s="529"/>
      <c r="Q608" s="286"/>
      <c r="R608" s="286"/>
      <c r="S608" s="286"/>
      <c r="T608" s="286"/>
      <c r="U608" s="286"/>
      <c r="V608" s="286"/>
      <c r="W608" s="286"/>
      <c r="X608" s="286"/>
      <c r="Y608" s="286"/>
      <c r="Z608" s="286"/>
      <c r="AA608" s="286"/>
      <c r="AB608" s="286"/>
    </row>
    <row r="609">
      <c r="A609" s="286"/>
      <c r="B609" s="286"/>
      <c r="C609" s="529"/>
      <c r="D609" s="306"/>
      <c r="E609" s="306"/>
      <c r="F609" s="306"/>
      <c r="G609" s="528"/>
      <c r="H609" s="286"/>
      <c r="I609" s="286"/>
      <c r="J609" s="529"/>
      <c r="K609" s="286"/>
      <c r="L609" s="286"/>
      <c r="M609" s="529"/>
      <c r="N609" s="529"/>
      <c r="O609" s="529"/>
      <c r="P609" s="529"/>
      <c r="Q609" s="286"/>
      <c r="R609" s="286"/>
      <c r="S609" s="286"/>
      <c r="T609" s="286"/>
      <c r="U609" s="286"/>
      <c r="V609" s="286"/>
      <c r="W609" s="286"/>
      <c r="X609" s="286"/>
      <c r="Y609" s="286"/>
      <c r="Z609" s="286"/>
      <c r="AA609" s="286"/>
      <c r="AB609" s="286"/>
    </row>
    <row r="610">
      <c r="A610" s="286"/>
      <c r="B610" s="286"/>
      <c r="C610" s="529"/>
      <c r="D610" s="306"/>
      <c r="E610" s="306"/>
      <c r="F610" s="306"/>
      <c r="G610" s="528"/>
      <c r="H610" s="286"/>
      <c r="I610" s="286"/>
      <c r="J610" s="529"/>
      <c r="K610" s="286"/>
      <c r="L610" s="286"/>
      <c r="M610" s="529"/>
      <c r="N610" s="529"/>
      <c r="O610" s="529"/>
      <c r="P610" s="529"/>
      <c r="Q610" s="286"/>
      <c r="R610" s="286"/>
      <c r="S610" s="286"/>
      <c r="T610" s="286"/>
      <c r="U610" s="286"/>
      <c r="V610" s="286"/>
      <c r="W610" s="286"/>
      <c r="X610" s="286"/>
      <c r="Y610" s="286"/>
      <c r="Z610" s="286"/>
      <c r="AA610" s="286"/>
      <c r="AB610" s="286"/>
    </row>
    <row r="611">
      <c r="A611" s="286"/>
      <c r="B611" s="286"/>
      <c r="C611" s="529"/>
      <c r="D611" s="306"/>
      <c r="E611" s="306"/>
      <c r="F611" s="306"/>
      <c r="G611" s="528"/>
      <c r="H611" s="286"/>
      <c r="I611" s="286"/>
      <c r="J611" s="529"/>
      <c r="K611" s="286"/>
      <c r="L611" s="286"/>
      <c r="M611" s="529"/>
      <c r="N611" s="529"/>
      <c r="O611" s="529"/>
      <c r="P611" s="529"/>
      <c r="Q611" s="286"/>
      <c r="R611" s="286"/>
      <c r="S611" s="286"/>
      <c r="T611" s="286"/>
      <c r="U611" s="286"/>
      <c r="V611" s="286"/>
      <c r="W611" s="286"/>
      <c r="X611" s="286"/>
      <c r="Y611" s="286"/>
      <c r="Z611" s="286"/>
      <c r="AA611" s="286"/>
      <c r="AB611" s="286"/>
    </row>
    <row r="612">
      <c r="A612" s="286"/>
      <c r="B612" s="286"/>
      <c r="C612" s="529"/>
      <c r="D612" s="306"/>
      <c r="E612" s="306"/>
      <c r="F612" s="306"/>
      <c r="G612" s="528"/>
      <c r="H612" s="286"/>
      <c r="I612" s="286"/>
      <c r="J612" s="529"/>
      <c r="K612" s="286"/>
      <c r="L612" s="286"/>
      <c r="M612" s="529"/>
      <c r="N612" s="529"/>
      <c r="O612" s="529"/>
      <c r="P612" s="529"/>
      <c r="Q612" s="286"/>
      <c r="R612" s="286"/>
      <c r="S612" s="286"/>
      <c r="T612" s="286"/>
      <c r="U612" s="286"/>
      <c r="V612" s="286"/>
      <c r="W612" s="286"/>
      <c r="X612" s="286"/>
      <c r="Y612" s="286"/>
      <c r="Z612" s="286"/>
      <c r="AA612" s="286"/>
      <c r="AB612" s="286"/>
    </row>
    <row r="613">
      <c r="A613" s="286"/>
      <c r="B613" s="286"/>
      <c r="C613" s="529"/>
      <c r="D613" s="306"/>
      <c r="E613" s="306"/>
      <c r="F613" s="306"/>
      <c r="G613" s="528"/>
      <c r="H613" s="286"/>
      <c r="I613" s="286"/>
      <c r="J613" s="529"/>
      <c r="K613" s="286"/>
      <c r="L613" s="286"/>
      <c r="M613" s="529"/>
      <c r="N613" s="529"/>
      <c r="O613" s="529"/>
      <c r="P613" s="529"/>
      <c r="Q613" s="286"/>
      <c r="R613" s="286"/>
      <c r="S613" s="286"/>
      <c r="T613" s="286"/>
      <c r="U613" s="286"/>
      <c r="V613" s="286"/>
      <c r="W613" s="286"/>
      <c r="X613" s="286"/>
      <c r="Y613" s="286"/>
      <c r="Z613" s="286"/>
      <c r="AA613" s="286"/>
      <c r="AB613" s="286"/>
    </row>
    <row r="614">
      <c r="A614" s="286"/>
      <c r="B614" s="286"/>
      <c r="C614" s="529"/>
      <c r="D614" s="306"/>
      <c r="E614" s="306"/>
      <c r="F614" s="306"/>
      <c r="G614" s="528"/>
      <c r="H614" s="286"/>
      <c r="I614" s="286"/>
      <c r="J614" s="529"/>
      <c r="K614" s="286"/>
      <c r="L614" s="286"/>
      <c r="M614" s="529"/>
      <c r="N614" s="529"/>
      <c r="O614" s="529"/>
      <c r="P614" s="529"/>
      <c r="Q614" s="286"/>
      <c r="R614" s="286"/>
      <c r="S614" s="286"/>
      <c r="T614" s="286"/>
      <c r="U614" s="286"/>
      <c r="V614" s="286"/>
      <c r="W614" s="286"/>
      <c r="X614" s="286"/>
      <c r="Y614" s="286"/>
      <c r="Z614" s="286"/>
      <c r="AA614" s="286"/>
      <c r="AB614" s="286"/>
    </row>
    <row r="615">
      <c r="A615" s="286"/>
      <c r="B615" s="286"/>
      <c r="C615" s="529"/>
      <c r="D615" s="306"/>
      <c r="E615" s="306"/>
      <c r="F615" s="306"/>
      <c r="G615" s="528"/>
      <c r="H615" s="286"/>
      <c r="I615" s="286"/>
      <c r="J615" s="529"/>
      <c r="K615" s="286"/>
      <c r="L615" s="286"/>
      <c r="M615" s="529"/>
      <c r="N615" s="529"/>
      <c r="O615" s="529"/>
      <c r="P615" s="529"/>
      <c r="Q615" s="286"/>
      <c r="R615" s="286"/>
      <c r="S615" s="286"/>
      <c r="T615" s="286"/>
      <c r="U615" s="286"/>
      <c r="V615" s="286"/>
      <c r="W615" s="286"/>
      <c r="X615" s="286"/>
      <c r="Y615" s="286"/>
      <c r="Z615" s="286"/>
      <c r="AA615" s="286"/>
      <c r="AB615" s="286"/>
    </row>
    <row r="616">
      <c r="A616" s="286"/>
      <c r="B616" s="286"/>
      <c r="C616" s="529"/>
      <c r="D616" s="306"/>
      <c r="E616" s="306"/>
      <c r="F616" s="306"/>
      <c r="G616" s="528"/>
      <c r="H616" s="286"/>
      <c r="I616" s="286"/>
      <c r="J616" s="529"/>
      <c r="K616" s="286"/>
      <c r="L616" s="286"/>
      <c r="M616" s="529"/>
      <c r="N616" s="529"/>
      <c r="O616" s="529"/>
      <c r="P616" s="529"/>
      <c r="Q616" s="286"/>
      <c r="R616" s="286"/>
      <c r="S616" s="286"/>
      <c r="T616" s="286"/>
      <c r="U616" s="286"/>
      <c r="V616" s="286"/>
      <c r="W616" s="286"/>
      <c r="X616" s="286"/>
      <c r="Y616" s="286"/>
      <c r="Z616" s="286"/>
      <c r="AA616" s="286"/>
      <c r="AB616" s="286"/>
    </row>
    <row r="617">
      <c r="A617" s="286"/>
      <c r="B617" s="286"/>
      <c r="C617" s="529"/>
      <c r="D617" s="306"/>
      <c r="E617" s="306"/>
      <c r="F617" s="306"/>
      <c r="G617" s="528"/>
      <c r="H617" s="286"/>
      <c r="I617" s="286"/>
      <c r="J617" s="529"/>
      <c r="K617" s="286"/>
      <c r="L617" s="286"/>
      <c r="M617" s="529"/>
      <c r="N617" s="529"/>
      <c r="O617" s="529"/>
      <c r="P617" s="529"/>
      <c r="Q617" s="286"/>
      <c r="R617" s="286"/>
      <c r="S617" s="286"/>
      <c r="T617" s="286"/>
      <c r="U617" s="286"/>
      <c r="V617" s="286"/>
      <c r="W617" s="286"/>
      <c r="X617" s="286"/>
      <c r="Y617" s="286"/>
      <c r="Z617" s="286"/>
      <c r="AA617" s="286"/>
      <c r="AB617" s="286"/>
    </row>
    <row r="618">
      <c r="A618" s="286"/>
      <c r="B618" s="286"/>
      <c r="C618" s="529"/>
      <c r="D618" s="306"/>
      <c r="E618" s="306"/>
      <c r="F618" s="306"/>
      <c r="G618" s="528"/>
      <c r="H618" s="286"/>
      <c r="I618" s="286"/>
      <c r="J618" s="529"/>
      <c r="K618" s="286"/>
      <c r="L618" s="286"/>
      <c r="M618" s="529"/>
      <c r="N618" s="529"/>
      <c r="O618" s="529"/>
      <c r="P618" s="529"/>
      <c r="Q618" s="286"/>
      <c r="R618" s="286"/>
      <c r="S618" s="286"/>
      <c r="T618" s="286"/>
      <c r="U618" s="286"/>
      <c r="V618" s="286"/>
      <c r="W618" s="286"/>
      <c r="X618" s="286"/>
      <c r="Y618" s="286"/>
      <c r="Z618" s="286"/>
      <c r="AA618" s="286"/>
      <c r="AB618" s="286"/>
    </row>
    <row r="619">
      <c r="A619" s="286"/>
      <c r="B619" s="286"/>
      <c r="C619" s="529"/>
      <c r="D619" s="306"/>
      <c r="E619" s="306"/>
      <c r="F619" s="306"/>
      <c r="G619" s="528"/>
      <c r="H619" s="286"/>
      <c r="I619" s="286"/>
      <c r="J619" s="529"/>
      <c r="K619" s="286"/>
      <c r="L619" s="286"/>
      <c r="M619" s="529"/>
      <c r="N619" s="529"/>
      <c r="O619" s="529"/>
      <c r="P619" s="529"/>
      <c r="Q619" s="286"/>
      <c r="R619" s="286"/>
      <c r="S619" s="286"/>
      <c r="T619" s="286"/>
      <c r="U619" s="286"/>
      <c r="V619" s="286"/>
      <c r="W619" s="286"/>
      <c r="X619" s="286"/>
      <c r="Y619" s="286"/>
      <c r="Z619" s="286"/>
      <c r="AA619" s="286"/>
      <c r="AB619" s="286"/>
    </row>
    <row r="620">
      <c r="A620" s="286"/>
      <c r="B620" s="286"/>
      <c r="C620" s="529"/>
      <c r="D620" s="306"/>
      <c r="E620" s="306"/>
      <c r="F620" s="306"/>
      <c r="G620" s="528"/>
      <c r="H620" s="286"/>
      <c r="I620" s="286"/>
      <c r="J620" s="529"/>
      <c r="K620" s="286"/>
      <c r="L620" s="286"/>
      <c r="M620" s="529"/>
      <c r="N620" s="529"/>
      <c r="O620" s="529"/>
      <c r="P620" s="529"/>
      <c r="Q620" s="286"/>
      <c r="R620" s="286"/>
      <c r="S620" s="286"/>
      <c r="T620" s="286"/>
      <c r="U620" s="286"/>
      <c r="V620" s="286"/>
      <c r="W620" s="286"/>
      <c r="X620" s="286"/>
      <c r="Y620" s="286"/>
      <c r="Z620" s="286"/>
      <c r="AA620" s="286"/>
      <c r="AB620" s="286"/>
    </row>
    <row r="621">
      <c r="A621" s="286"/>
      <c r="B621" s="286"/>
      <c r="C621" s="529"/>
      <c r="D621" s="306"/>
      <c r="E621" s="306"/>
      <c r="F621" s="306"/>
      <c r="G621" s="528"/>
      <c r="H621" s="286"/>
      <c r="I621" s="286"/>
      <c r="J621" s="529"/>
      <c r="K621" s="286"/>
      <c r="L621" s="286"/>
      <c r="M621" s="529"/>
      <c r="N621" s="529"/>
      <c r="O621" s="529"/>
      <c r="P621" s="529"/>
      <c r="Q621" s="286"/>
      <c r="R621" s="286"/>
      <c r="S621" s="286"/>
      <c r="T621" s="286"/>
      <c r="U621" s="286"/>
      <c r="V621" s="286"/>
      <c r="W621" s="286"/>
      <c r="X621" s="286"/>
      <c r="Y621" s="286"/>
      <c r="Z621" s="286"/>
      <c r="AA621" s="286"/>
      <c r="AB621" s="286"/>
    </row>
    <row r="622">
      <c r="A622" s="286"/>
      <c r="B622" s="286"/>
      <c r="C622" s="529"/>
      <c r="D622" s="306"/>
      <c r="E622" s="306"/>
      <c r="F622" s="306"/>
      <c r="G622" s="528"/>
      <c r="H622" s="286"/>
      <c r="I622" s="286"/>
      <c r="J622" s="529"/>
      <c r="K622" s="286"/>
      <c r="L622" s="286"/>
      <c r="M622" s="529"/>
      <c r="N622" s="529"/>
      <c r="O622" s="529"/>
      <c r="P622" s="529"/>
      <c r="Q622" s="286"/>
      <c r="R622" s="286"/>
      <c r="S622" s="286"/>
      <c r="T622" s="286"/>
      <c r="U622" s="286"/>
      <c r="V622" s="286"/>
      <c r="W622" s="286"/>
      <c r="X622" s="286"/>
      <c r="Y622" s="286"/>
      <c r="Z622" s="286"/>
      <c r="AA622" s="286"/>
      <c r="AB622" s="286"/>
    </row>
    <row r="623">
      <c r="A623" s="286"/>
      <c r="B623" s="286"/>
      <c r="C623" s="529"/>
      <c r="D623" s="306"/>
      <c r="E623" s="306"/>
      <c r="F623" s="306"/>
      <c r="G623" s="528"/>
      <c r="H623" s="286"/>
      <c r="I623" s="286"/>
      <c r="J623" s="529"/>
      <c r="K623" s="286"/>
      <c r="L623" s="286"/>
      <c r="M623" s="529"/>
      <c r="N623" s="529"/>
      <c r="O623" s="529"/>
      <c r="P623" s="529"/>
      <c r="Q623" s="286"/>
      <c r="R623" s="286"/>
      <c r="S623" s="286"/>
      <c r="T623" s="286"/>
      <c r="U623" s="286"/>
      <c r="V623" s="286"/>
      <c r="W623" s="286"/>
      <c r="X623" s="286"/>
      <c r="Y623" s="286"/>
      <c r="Z623" s="286"/>
      <c r="AA623" s="286"/>
      <c r="AB623" s="286"/>
    </row>
    <row r="624">
      <c r="A624" s="286"/>
      <c r="B624" s="286"/>
      <c r="C624" s="529"/>
      <c r="D624" s="306"/>
      <c r="E624" s="306"/>
      <c r="F624" s="306"/>
      <c r="G624" s="528"/>
      <c r="H624" s="286"/>
      <c r="I624" s="286"/>
      <c r="J624" s="529"/>
      <c r="K624" s="286"/>
      <c r="L624" s="286"/>
      <c r="M624" s="529"/>
      <c r="N624" s="529"/>
      <c r="O624" s="529"/>
      <c r="P624" s="529"/>
      <c r="Q624" s="286"/>
      <c r="R624" s="286"/>
      <c r="S624" s="286"/>
      <c r="T624" s="286"/>
      <c r="U624" s="286"/>
      <c r="V624" s="286"/>
      <c r="W624" s="286"/>
      <c r="X624" s="286"/>
      <c r="Y624" s="286"/>
      <c r="Z624" s="286"/>
      <c r="AA624" s="286"/>
      <c r="AB624" s="286"/>
    </row>
    <row r="625">
      <c r="A625" s="286"/>
      <c r="B625" s="286"/>
      <c r="C625" s="529"/>
      <c r="D625" s="306"/>
      <c r="E625" s="306"/>
      <c r="F625" s="306"/>
      <c r="G625" s="528"/>
      <c r="H625" s="286"/>
      <c r="I625" s="286"/>
      <c r="J625" s="529"/>
      <c r="K625" s="286"/>
      <c r="L625" s="286"/>
      <c r="M625" s="529"/>
      <c r="N625" s="529"/>
      <c r="O625" s="529"/>
      <c r="P625" s="529"/>
      <c r="Q625" s="286"/>
      <c r="R625" s="286"/>
      <c r="S625" s="286"/>
      <c r="T625" s="286"/>
      <c r="U625" s="286"/>
      <c r="V625" s="286"/>
      <c r="W625" s="286"/>
      <c r="X625" s="286"/>
      <c r="Y625" s="286"/>
      <c r="Z625" s="286"/>
      <c r="AA625" s="286"/>
      <c r="AB625" s="286"/>
    </row>
    <row r="626">
      <c r="A626" s="286"/>
      <c r="B626" s="286"/>
      <c r="C626" s="529"/>
      <c r="D626" s="306"/>
      <c r="E626" s="306"/>
      <c r="F626" s="306"/>
      <c r="G626" s="528"/>
      <c r="H626" s="286"/>
      <c r="I626" s="286"/>
      <c r="J626" s="529"/>
      <c r="K626" s="286"/>
      <c r="L626" s="286"/>
      <c r="M626" s="529"/>
      <c r="N626" s="529"/>
      <c r="O626" s="529"/>
      <c r="P626" s="529"/>
      <c r="Q626" s="286"/>
      <c r="R626" s="286"/>
      <c r="S626" s="286"/>
      <c r="T626" s="286"/>
      <c r="U626" s="286"/>
      <c r="V626" s="286"/>
      <c r="W626" s="286"/>
      <c r="X626" s="286"/>
      <c r="Y626" s="286"/>
      <c r="Z626" s="286"/>
      <c r="AA626" s="286"/>
      <c r="AB626" s="286"/>
    </row>
    <row r="627">
      <c r="A627" s="286"/>
      <c r="B627" s="286"/>
      <c r="C627" s="529"/>
      <c r="D627" s="306"/>
      <c r="E627" s="306"/>
      <c r="F627" s="306"/>
      <c r="G627" s="528"/>
      <c r="H627" s="286"/>
      <c r="I627" s="286"/>
      <c r="J627" s="529"/>
      <c r="K627" s="286"/>
      <c r="L627" s="286"/>
      <c r="M627" s="529"/>
      <c r="N627" s="529"/>
      <c r="O627" s="529"/>
      <c r="P627" s="529"/>
      <c r="Q627" s="286"/>
      <c r="R627" s="286"/>
      <c r="S627" s="286"/>
      <c r="T627" s="286"/>
      <c r="U627" s="286"/>
      <c r="V627" s="286"/>
      <c r="W627" s="286"/>
      <c r="X627" s="286"/>
      <c r="Y627" s="286"/>
      <c r="Z627" s="286"/>
      <c r="AA627" s="286"/>
      <c r="AB627" s="286"/>
    </row>
    <row r="628">
      <c r="A628" s="286"/>
      <c r="B628" s="286"/>
      <c r="C628" s="529"/>
      <c r="D628" s="306"/>
      <c r="E628" s="306"/>
      <c r="F628" s="306"/>
      <c r="G628" s="528"/>
      <c r="H628" s="286"/>
      <c r="I628" s="286"/>
      <c r="J628" s="529"/>
      <c r="K628" s="286"/>
      <c r="L628" s="286"/>
      <c r="M628" s="529"/>
      <c r="N628" s="529"/>
      <c r="O628" s="529"/>
      <c r="P628" s="529"/>
      <c r="Q628" s="286"/>
      <c r="R628" s="286"/>
      <c r="S628" s="286"/>
      <c r="T628" s="286"/>
      <c r="U628" s="286"/>
      <c r="V628" s="286"/>
      <c r="W628" s="286"/>
      <c r="X628" s="286"/>
      <c r="Y628" s="286"/>
      <c r="Z628" s="286"/>
      <c r="AA628" s="286"/>
      <c r="AB628" s="286"/>
    </row>
    <row r="629">
      <c r="A629" s="286"/>
      <c r="B629" s="286"/>
      <c r="C629" s="529"/>
      <c r="D629" s="306"/>
      <c r="E629" s="306"/>
      <c r="F629" s="306"/>
      <c r="G629" s="528"/>
      <c r="H629" s="286"/>
      <c r="I629" s="286"/>
      <c r="J629" s="529"/>
      <c r="K629" s="286"/>
      <c r="L629" s="286"/>
      <c r="M629" s="529"/>
      <c r="N629" s="529"/>
      <c r="O629" s="529"/>
      <c r="P629" s="529"/>
      <c r="Q629" s="286"/>
      <c r="R629" s="286"/>
      <c r="S629" s="286"/>
      <c r="T629" s="286"/>
      <c r="U629" s="286"/>
      <c r="V629" s="286"/>
      <c r="W629" s="286"/>
      <c r="X629" s="286"/>
      <c r="Y629" s="286"/>
      <c r="Z629" s="286"/>
      <c r="AA629" s="286"/>
      <c r="AB629" s="286"/>
    </row>
    <row r="630">
      <c r="A630" s="286"/>
      <c r="B630" s="286"/>
      <c r="C630" s="529"/>
      <c r="D630" s="306"/>
      <c r="E630" s="306"/>
      <c r="F630" s="306"/>
      <c r="G630" s="528"/>
      <c r="H630" s="286"/>
      <c r="I630" s="286"/>
      <c r="J630" s="529"/>
      <c r="K630" s="286"/>
      <c r="L630" s="286"/>
      <c r="M630" s="529"/>
      <c r="N630" s="529"/>
      <c r="O630" s="529"/>
      <c r="P630" s="529"/>
      <c r="Q630" s="286"/>
      <c r="R630" s="286"/>
      <c r="S630" s="286"/>
      <c r="T630" s="286"/>
      <c r="U630" s="286"/>
      <c r="V630" s="286"/>
      <c r="W630" s="286"/>
      <c r="X630" s="286"/>
      <c r="Y630" s="286"/>
      <c r="Z630" s="286"/>
      <c r="AA630" s="286"/>
      <c r="AB630" s="286"/>
    </row>
    <row r="631">
      <c r="A631" s="286"/>
      <c r="B631" s="286"/>
      <c r="C631" s="529"/>
      <c r="D631" s="306"/>
      <c r="E631" s="306"/>
      <c r="F631" s="306"/>
      <c r="G631" s="528"/>
      <c r="H631" s="286"/>
      <c r="I631" s="286"/>
      <c r="J631" s="529"/>
      <c r="K631" s="286"/>
      <c r="L631" s="286"/>
      <c r="M631" s="529"/>
      <c r="N631" s="529"/>
      <c r="O631" s="529"/>
      <c r="P631" s="529"/>
      <c r="Q631" s="286"/>
      <c r="R631" s="286"/>
      <c r="S631" s="286"/>
      <c r="T631" s="286"/>
      <c r="U631" s="286"/>
      <c r="V631" s="286"/>
      <c r="W631" s="286"/>
      <c r="X631" s="286"/>
      <c r="Y631" s="286"/>
      <c r="Z631" s="286"/>
      <c r="AA631" s="286"/>
      <c r="AB631" s="286"/>
    </row>
    <row r="632">
      <c r="A632" s="286"/>
      <c r="B632" s="286"/>
      <c r="C632" s="529"/>
      <c r="D632" s="306"/>
      <c r="E632" s="306"/>
      <c r="F632" s="306"/>
      <c r="G632" s="528"/>
      <c r="H632" s="286"/>
      <c r="I632" s="286"/>
      <c r="J632" s="529"/>
      <c r="K632" s="286"/>
      <c r="L632" s="286"/>
      <c r="M632" s="529"/>
      <c r="N632" s="529"/>
      <c r="O632" s="529"/>
      <c r="P632" s="529"/>
      <c r="Q632" s="286"/>
      <c r="R632" s="286"/>
      <c r="S632" s="286"/>
      <c r="T632" s="286"/>
      <c r="U632" s="286"/>
      <c r="V632" s="286"/>
      <c r="W632" s="286"/>
      <c r="X632" s="286"/>
      <c r="Y632" s="286"/>
      <c r="Z632" s="286"/>
      <c r="AA632" s="286"/>
      <c r="AB632" s="286"/>
    </row>
    <row r="633">
      <c r="A633" s="286"/>
      <c r="B633" s="286"/>
      <c r="C633" s="529"/>
      <c r="D633" s="306"/>
      <c r="E633" s="306"/>
      <c r="F633" s="306"/>
      <c r="G633" s="528"/>
      <c r="H633" s="286"/>
      <c r="I633" s="286"/>
      <c r="J633" s="529"/>
      <c r="K633" s="286"/>
      <c r="L633" s="286"/>
      <c r="M633" s="529"/>
      <c r="N633" s="529"/>
      <c r="O633" s="529"/>
      <c r="P633" s="529"/>
      <c r="Q633" s="286"/>
      <c r="R633" s="286"/>
      <c r="S633" s="286"/>
      <c r="T633" s="286"/>
      <c r="U633" s="286"/>
      <c r="V633" s="286"/>
      <c r="W633" s="286"/>
      <c r="X633" s="286"/>
      <c r="Y633" s="286"/>
      <c r="Z633" s="286"/>
      <c r="AA633" s="286"/>
      <c r="AB633" s="286"/>
    </row>
    <row r="634">
      <c r="A634" s="286"/>
      <c r="B634" s="286"/>
      <c r="C634" s="529"/>
      <c r="D634" s="306"/>
      <c r="E634" s="306"/>
      <c r="F634" s="306"/>
      <c r="G634" s="528"/>
      <c r="H634" s="286"/>
      <c r="I634" s="286"/>
      <c r="J634" s="529"/>
      <c r="K634" s="286"/>
      <c r="L634" s="286"/>
      <c r="M634" s="529"/>
      <c r="N634" s="529"/>
      <c r="O634" s="529"/>
      <c r="P634" s="529"/>
      <c r="Q634" s="286"/>
      <c r="R634" s="286"/>
      <c r="S634" s="286"/>
      <c r="T634" s="286"/>
      <c r="U634" s="286"/>
      <c r="V634" s="286"/>
      <c r="W634" s="286"/>
      <c r="X634" s="286"/>
      <c r="Y634" s="286"/>
      <c r="Z634" s="286"/>
      <c r="AA634" s="286"/>
      <c r="AB634" s="286"/>
    </row>
    <row r="635">
      <c r="A635" s="286"/>
      <c r="B635" s="286"/>
      <c r="C635" s="529"/>
      <c r="D635" s="306"/>
      <c r="E635" s="306"/>
      <c r="F635" s="306"/>
      <c r="G635" s="528"/>
      <c r="H635" s="286"/>
      <c r="I635" s="286"/>
      <c r="J635" s="529"/>
      <c r="K635" s="286"/>
      <c r="L635" s="286"/>
      <c r="M635" s="529"/>
      <c r="N635" s="529"/>
      <c r="O635" s="529"/>
      <c r="P635" s="529"/>
      <c r="Q635" s="286"/>
      <c r="R635" s="286"/>
      <c r="S635" s="286"/>
      <c r="T635" s="286"/>
      <c r="U635" s="286"/>
      <c r="V635" s="286"/>
      <c r="W635" s="286"/>
      <c r="X635" s="286"/>
      <c r="Y635" s="286"/>
      <c r="Z635" s="286"/>
      <c r="AA635" s="286"/>
      <c r="AB635" s="286"/>
    </row>
    <row r="636">
      <c r="A636" s="286"/>
      <c r="B636" s="286"/>
      <c r="C636" s="529"/>
      <c r="D636" s="306"/>
      <c r="E636" s="306"/>
      <c r="F636" s="306"/>
      <c r="G636" s="528"/>
      <c r="H636" s="286"/>
      <c r="I636" s="286"/>
      <c r="J636" s="529"/>
      <c r="K636" s="286"/>
      <c r="L636" s="286"/>
      <c r="M636" s="529"/>
      <c r="N636" s="529"/>
      <c r="O636" s="529"/>
      <c r="P636" s="529"/>
      <c r="Q636" s="286"/>
      <c r="R636" s="286"/>
      <c r="S636" s="286"/>
      <c r="T636" s="286"/>
      <c r="U636" s="286"/>
      <c r="V636" s="286"/>
      <c r="W636" s="286"/>
      <c r="X636" s="286"/>
      <c r="Y636" s="286"/>
      <c r="Z636" s="286"/>
      <c r="AA636" s="286"/>
      <c r="AB636" s="286"/>
    </row>
    <row r="637">
      <c r="A637" s="286"/>
      <c r="B637" s="286"/>
      <c r="C637" s="529"/>
      <c r="D637" s="306"/>
      <c r="E637" s="306"/>
      <c r="F637" s="306"/>
      <c r="G637" s="528"/>
      <c r="H637" s="286"/>
      <c r="I637" s="286"/>
      <c r="J637" s="529"/>
      <c r="K637" s="286"/>
      <c r="L637" s="286"/>
      <c r="M637" s="529"/>
      <c r="N637" s="529"/>
      <c r="O637" s="529"/>
      <c r="P637" s="529"/>
      <c r="Q637" s="286"/>
      <c r="R637" s="286"/>
      <c r="S637" s="286"/>
      <c r="T637" s="286"/>
      <c r="U637" s="286"/>
      <c r="V637" s="286"/>
      <c r="W637" s="286"/>
      <c r="X637" s="286"/>
      <c r="Y637" s="286"/>
      <c r="Z637" s="286"/>
      <c r="AA637" s="286"/>
      <c r="AB637" s="286"/>
    </row>
    <row r="638">
      <c r="A638" s="286"/>
      <c r="B638" s="286"/>
      <c r="C638" s="529"/>
      <c r="D638" s="306"/>
      <c r="E638" s="306"/>
      <c r="F638" s="306"/>
      <c r="G638" s="528"/>
      <c r="H638" s="286"/>
      <c r="I638" s="286"/>
      <c r="J638" s="529"/>
      <c r="K638" s="286"/>
      <c r="L638" s="286"/>
      <c r="M638" s="529"/>
      <c r="N638" s="529"/>
      <c r="O638" s="529"/>
      <c r="P638" s="529"/>
      <c r="Q638" s="286"/>
      <c r="R638" s="286"/>
      <c r="S638" s="286"/>
      <c r="T638" s="286"/>
      <c r="U638" s="286"/>
      <c r="V638" s="286"/>
      <c r="W638" s="286"/>
      <c r="X638" s="286"/>
      <c r="Y638" s="286"/>
      <c r="Z638" s="286"/>
      <c r="AA638" s="286"/>
      <c r="AB638" s="286"/>
    </row>
    <row r="639">
      <c r="A639" s="286"/>
      <c r="B639" s="286"/>
      <c r="C639" s="529"/>
      <c r="D639" s="306"/>
      <c r="E639" s="306"/>
      <c r="F639" s="306"/>
      <c r="G639" s="528"/>
      <c r="H639" s="286"/>
      <c r="I639" s="286"/>
      <c r="J639" s="529"/>
      <c r="K639" s="286"/>
      <c r="L639" s="286"/>
      <c r="M639" s="529"/>
      <c r="N639" s="529"/>
      <c r="O639" s="529"/>
      <c r="P639" s="529"/>
      <c r="Q639" s="286"/>
      <c r="R639" s="286"/>
      <c r="S639" s="286"/>
      <c r="T639" s="286"/>
      <c r="U639" s="286"/>
      <c r="V639" s="286"/>
      <c r="W639" s="286"/>
      <c r="X639" s="286"/>
      <c r="Y639" s="286"/>
      <c r="Z639" s="286"/>
      <c r="AA639" s="286"/>
      <c r="AB639" s="286"/>
    </row>
    <row r="640">
      <c r="A640" s="286"/>
      <c r="B640" s="286"/>
      <c r="C640" s="529"/>
      <c r="D640" s="306"/>
      <c r="E640" s="306"/>
      <c r="F640" s="306"/>
      <c r="G640" s="528"/>
      <c r="H640" s="286"/>
      <c r="I640" s="286"/>
      <c r="J640" s="529"/>
      <c r="K640" s="286"/>
      <c r="L640" s="286"/>
      <c r="M640" s="529"/>
      <c r="N640" s="529"/>
      <c r="O640" s="529"/>
      <c r="P640" s="529"/>
      <c r="Q640" s="286"/>
      <c r="R640" s="286"/>
      <c r="S640" s="286"/>
      <c r="T640" s="286"/>
      <c r="U640" s="286"/>
      <c r="V640" s="286"/>
      <c r="W640" s="286"/>
      <c r="X640" s="286"/>
      <c r="Y640" s="286"/>
      <c r="Z640" s="286"/>
      <c r="AA640" s="286"/>
      <c r="AB640" s="286"/>
    </row>
    <row r="641">
      <c r="A641" s="286"/>
      <c r="B641" s="286"/>
      <c r="C641" s="529"/>
      <c r="D641" s="306"/>
      <c r="E641" s="306"/>
      <c r="F641" s="306"/>
      <c r="G641" s="528"/>
      <c r="H641" s="286"/>
      <c r="I641" s="286"/>
      <c r="J641" s="529"/>
      <c r="K641" s="286"/>
      <c r="L641" s="286"/>
      <c r="M641" s="529"/>
      <c r="N641" s="529"/>
      <c r="O641" s="529"/>
      <c r="P641" s="529"/>
      <c r="Q641" s="286"/>
      <c r="R641" s="286"/>
      <c r="S641" s="286"/>
      <c r="T641" s="286"/>
      <c r="U641" s="286"/>
      <c r="V641" s="286"/>
      <c r="W641" s="286"/>
      <c r="X641" s="286"/>
      <c r="Y641" s="286"/>
      <c r="Z641" s="286"/>
      <c r="AA641" s="286"/>
      <c r="AB641" s="286"/>
    </row>
    <row r="642">
      <c r="A642" s="286"/>
      <c r="B642" s="286"/>
      <c r="C642" s="529"/>
      <c r="D642" s="306"/>
      <c r="E642" s="306"/>
      <c r="F642" s="306"/>
      <c r="G642" s="528"/>
      <c r="H642" s="286"/>
      <c r="I642" s="286"/>
      <c r="J642" s="529"/>
      <c r="K642" s="286"/>
      <c r="L642" s="286"/>
      <c r="M642" s="529"/>
      <c r="N642" s="529"/>
      <c r="O642" s="529"/>
      <c r="P642" s="529"/>
      <c r="Q642" s="286"/>
      <c r="R642" s="286"/>
      <c r="S642" s="286"/>
      <c r="T642" s="286"/>
      <c r="U642" s="286"/>
      <c r="V642" s="286"/>
      <c r="W642" s="286"/>
      <c r="X642" s="286"/>
      <c r="Y642" s="286"/>
      <c r="Z642" s="286"/>
      <c r="AA642" s="286"/>
      <c r="AB642" s="286"/>
    </row>
    <row r="643">
      <c r="A643" s="286"/>
      <c r="B643" s="286"/>
      <c r="C643" s="529"/>
      <c r="D643" s="306"/>
      <c r="E643" s="306"/>
      <c r="F643" s="306"/>
      <c r="G643" s="528"/>
      <c r="H643" s="286"/>
      <c r="I643" s="286"/>
      <c r="J643" s="529"/>
      <c r="K643" s="286"/>
      <c r="L643" s="286"/>
      <c r="M643" s="529"/>
      <c r="N643" s="529"/>
      <c r="O643" s="529"/>
      <c r="P643" s="529"/>
      <c r="Q643" s="286"/>
      <c r="R643" s="286"/>
      <c r="S643" s="286"/>
      <c r="T643" s="286"/>
      <c r="U643" s="286"/>
      <c r="V643" s="286"/>
      <c r="W643" s="286"/>
      <c r="X643" s="286"/>
      <c r="Y643" s="286"/>
      <c r="Z643" s="286"/>
      <c r="AA643" s="286"/>
      <c r="AB643" s="286"/>
    </row>
    <row r="644">
      <c r="A644" s="286"/>
      <c r="B644" s="286"/>
      <c r="C644" s="529"/>
      <c r="D644" s="306"/>
      <c r="E644" s="306"/>
      <c r="F644" s="306"/>
      <c r="G644" s="528"/>
      <c r="H644" s="286"/>
      <c r="I644" s="286"/>
      <c r="J644" s="529"/>
      <c r="K644" s="286"/>
      <c r="L644" s="286"/>
      <c r="M644" s="529"/>
      <c r="N644" s="529"/>
      <c r="O644" s="529"/>
      <c r="P644" s="529"/>
      <c r="Q644" s="286"/>
      <c r="R644" s="286"/>
      <c r="S644" s="286"/>
      <c r="T644" s="286"/>
      <c r="U644" s="286"/>
      <c r="V644" s="286"/>
      <c r="W644" s="286"/>
      <c r="X644" s="286"/>
      <c r="Y644" s="286"/>
      <c r="Z644" s="286"/>
      <c r="AA644" s="286"/>
      <c r="AB644" s="286"/>
    </row>
    <row r="645">
      <c r="A645" s="286"/>
      <c r="B645" s="286"/>
      <c r="C645" s="529"/>
      <c r="D645" s="306"/>
      <c r="E645" s="306"/>
      <c r="F645" s="306"/>
      <c r="G645" s="528"/>
      <c r="H645" s="286"/>
      <c r="I645" s="286"/>
      <c r="J645" s="529"/>
      <c r="K645" s="286"/>
      <c r="L645" s="286"/>
      <c r="M645" s="529"/>
      <c r="N645" s="529"/>
      <c r="O645" s="529"/>
      <c r="P645" s="529"/>
      <c r="Q645" s="286"/>
      <c r="R645" s="286"/>
      <c r="S645" s="286"/>
      <c r="T645" s="286"/>
      <c r="U645" s="286"/>
      <c r="V645" s="286"/>
      <c r="W645" s="286"/>
      <c r="X645" s="286"/>
      <c r="Y645" s="286"/>
      <c r="Z645" s="286"/>
      <c r="AA645" s="286"/>
      <c r="AB645" s="286"/>
    </row>
    <row r="646">
      <c r="A646" s="286"/>
      <c r="B646" s="286"/>
      <c r="C646" s="529"/>
      <c r="D646" s="306"/>
      <c r="E646" s="306"/>
      <c r="F646" s="306"/>
      <c r="G646" s="528"/>
      <c r="H646" s="286"/>
      <c r="I646" s="286"/>
      <c r="J646" s="529"/>
      <c r="K646" s="286"/>
      <c r="L646" s="286"/>
      <c r="M646" s="529"/>
      <c r="N646" s="529"/>
      <c r="O646" s="529"/>
      <c r="P646" s="529"/>
      <c r="Q646" s="286"/>
      <c r="R646" s="286"/>
      <c r="S646" s="286"/>
      <c r="T646" s="286"/>
      <c r="U646" s="286"/>
      <c r="V646" s="286"/>
      <c r="W646" s="286"/>
      <c r="X646" s="286"/>
      <c r="Y646" s="286"/>
      <c r="Z646" s="286"/>
      <c r="AA646" s="286"/>
      <c r="AB646" s="286"/>
    </row>
    <row r="647">
      <c r="A647" s="286"/>
      <c r="B647" s="286"/>
      <c r="C647" s="529"/>
      <c r="D647" s="306"/>
      <c r="E647" s="306"/>
      <c r="F647" s="306"/>
      <c r="G647" s="528"/>
      <c r="H647" s="286"/>
      <c r="I647" s="286"/>
      <c r="J647" s="529"/>
      <c r="K647" s="286"/>
      <c r="L647" s="286"/>
      <c r="M647" s="529"/>
      <c r="N647" s="529"/>
      <c r="O647" s="529"/>
      <c r="P647" s="529"/>
      <c r="Q647" s="286"/>
      <c r="R647" s="286"/>
      <c r="S647" s="286"/>
      <c r="T647" s="286"/>
      <c r="U647" s="286"/>
      <c r="V647" s="286"/>
      <c r="W647" s="286"/>
      <c r="X647" s="286"/>
      <c r="Y647" s="286"/>
      <c r="Z647" s="286"/>
      <c r="AA647" s="286"/>
      <c r="AB647" s="286"/>
    </row>
    <row r="648">
      <c r="A648" s="286"/>
      <c r="B648" s="286"/>
      <c r="C648" s="529"/>
      <c r="D648" s="306"/>
      <c r="E648" s="306"/>
      <c r="F648" s="306"/>
      <c r="G648" s="528"/>
      <c r="H648" s="286"/>
      <c r="I648" s="286"/>
      <c r="J648" s="529"/>
      <c r="K648" s="286"/>
      <c r="L648" s="286"/>
      <c r="M648" s="529"/>
      <c r="N648" s="529"/>
      <c r="O648" s="529"/>
      <c r="P648" s="529"/>
      <c r="Q648" s="286"/>
      <c r="R648" s="286"/>
      <c r="S648" s="286"/>
      <c r="T648" s="286"/>
      <c r="U648" s="286"/>
      <c r="V648" s="286"/>
      <c r="W648" s="286"/>
      <c r="X648" s="286"/>
      <c r="Y648" s="286"/>
      <c r="Z648" s="286"/>
      <c r="AA648" s="286"/>
      <c r="AB648" s="286"/>
    </row>
    <row r="649">
      <c r="A649" s="286"/>
      <c r="B649" s="286"/>
      <c r="C649" s="529"/>
      <c r="D649" s="306"/>
      <c r="E649" s="306"/>
      <c r="F649" s="306"/>
      <c r="G649" s="528"/>
      <c r="H649" s="286"/>
      <c r="I649" s="286"/>
      <c r="J649" s="529"/>
      <c r="K649" s="286"/>
      <c r="L649" s="286"/>
      <c r="M649" s="529"/>
      <c r="N649" s="529"/>
      <c r="O649" s="529"/>
      <c r="P649" s="529"/>
      <c r="Q649" s="286"/>
      <c r="R649" s="286"/>
      <c r="S649" s="286"/>
      <c r="T649" s="286"/>
      <c r="U649" s="286"/>
      <c r="V649" s="286"/>
      <c r="W649" s="286"/>
      <c r="X649" s="286"/>
      <c r="Y649" s="286"/>
      <c r="Z649" s="286"/>
      <c r="AA649" s="286"/>
      <c r="AB649" s="286"/>
    </row>
    <row r="650">
      <c r="A650" s="286"/>
      <c r="B650" s="286"/>
      <c r="C650" s="529"/>
      <c r="D650" s="306"/>
      <c r="E650" s="306"/>
      <c r="F650" s="306"/>
      <c r="G650" s="528"/>
      <c r="H650" s="286"/>
      <c r="I650" s="286"/>
      <c r="J650" s="529"/>
      <c r="K650" s="286"/>
      <c r="L650" s="286"/>
      <c r="M650" s="529"/>
      <c r="N650" s="529"/>
      <c r="O650" s="529"/>
      <c r="P650" s="529"/>
      <c r="Q650" s="286"/>
      <c r="R650" s="286"/>
      <c r="S650" s="286"/>
      <c r="T650" s="286"/>
      <c r="U650" s="286"/>
      <c r="V650" s="286"/>
      <c r="W650" s="286"/>
      <c r="X650" s="286"/>
      <c r="Y650" s="286"/>
      <c r="Z650" s="286"/>
      <c r="AA650" s="286"/>
      <c r="AB650" s="286"/>
    </row>
    <row r="651">
      <c r="A651" s="286"/>
      <c r="B651" s="286"/>
      <c r="C651" s="529"/>
      <c r="D651" s="306"/>
      <c r="E651" s="306"/>
      <c r="F651" s="306"/>
      <c r="G651" s="528"/>
      <c r="H651" s="286"/>
      <c r="I651" s="286"/>
      <c r="J651" s="529"/>
      <c r="K651" s="286"/>
      <c r="L651" s="286"/>
      <c r="M651" s="529"/>
      <c r="N651" s="529"/>
      <c r="O651" s="529"/>
      <c r="P651" s="529"/>
      <c r="Q651" s="286"/>
      <c r="R651" s="286"/>
      <c r="S651" s="286"/>
      <c r="T651" s="286"/>
      <c r="U651" s="286"/>
      <c r="V651" s="286"/>
      <c r="W651" s="286"/>
      <c r="X651" s="286"/>
      <c r="Y651" s="286"/>
      <c r="Z651" s="286"/>
      <c r="AA651" s="286"/>
      <c r="AB651" s="286"/>
    </row>
    <row r="652">
      <c r="A652" s="286"/>
      <c r="B652" s="286"/>
      <c r="C652" s="529"/>
      <c r="D652" s="306"/>
      <c r="E652" s="306"/>
      <c r="F652" s="306"/>
      <c r="G652" s="528"/>
      <c r="H652" s="286"/>
      <c r="I652" s="286"/>
      <c r="J652" s="529"/>
      <c r="K652" s="286"/>
      <c r="L652" s="286"/>
      <c r="M652" s="529"/>
      <c r="N652" s="529"/>
      <c r="O652" s="529"/>
      <c r="P652" s="529"/>
      <c r="Q652" s="286"/>
      <c r="R652" s="286"/>
      <c r="S652" s="286"/>
      <c r="T652" s="286"/>
      <c r="U652" s="286"/>
      <c r="V652" s="286"/>
      <c r="W652" s="286"/>
      <c r="X652" s="286"/>
      <c r="Y652" s="286"/>
      <c r="Z652" s="286"/>
      <c r="AA652" s="286"/>
      <c r="AB652" s="286"/>
    </row>
    <row r="653">
      <c r="A653" s="286"/>
      <c r="B653" s="286"/>
      <c r="C653" s="529"/>
      <c r="D653" s="306"/>
      <c r="E653" s="306"/>
      <c r="F653" s="306"/>
      <c r="G653" s="528"/>
      <c r="H653" s="286"/>
      <c r="I653" s="286"/>
      <c r="J653" s="529"/>
      <c r="K653" s="286"/>
      <c r="L653" s="286"/>
      <c r="M653" s="529"/>
      <c r="N653" s="529"/>
      <c r="O653" s="529"/>
      <c r="P653" s="529"/>
      <c r="Q653" s="286"/>
      <c r="R653" s="286"/>
      <c r="S653" s="286"/>
      <c r="T653" s="286"/>
      <c r="U653" s="286"/>
      <c r="V653" s="286"/>
      <c r="W653" s="286"/>
      <c r="X653" s="286"/>
      <c r="Y653" s="286"/>
      <c r="Z653" s="286"/>
      <c r="AA653" s="286"/>
      <c r="AB653" s="286"/>
    </row>
    <row r="654">
      <c r="A654" s="286"/>
      <c r="B654" s="286"/>
      <c r="C654" s="529"/>
      <c r="D654" s="306"/>
      <c r="E654" s="306"/>
      <c r="F654" s="306"/>
      <c r="G654" s="528"/>
      <c r="H654" s="286"/>
      <c r="I654" s="286"/>
      <c r="J654" s="529"/>
      <c r="K654" s="286"/>
      <c r="L654" s="286"/>
      <c r="M654" s="529"/>
      <c r="N654" s="529"/>
      <c r="O654" s="529"/>
      <c r="P654" s="529"/>
      <c r="Q654" s="286"/>
      <c r="R654" s="286"/>
      <c r="S654" s="286"/>
      <c r="T654" s="286"/>
      <c r="U654" s="286"/>
      <c r="V654" s="286"/>
      <c r="W654" s="286"/>
      <c r="X654" s="286"/>
      <c r="Y654" s="286"/>
      <c r="Z654" s="286"/>
      <c r="AA654" s="286"/>
      <c r="AB654" s="286"/>
    </row>
    <row r="655">
      <c r="A655" s="286"/>
      <c r="B655" s="286"/>
      <c r="C655" s="529"/>
      <c r="D655" s="306"/>
      <c r="E655" s="306"/>
      <c r="F655" s="306"/>
      <c r="G655" s="528"/>
      <c r="H655" s="286"/>
      <c r="I655" s="286"/>
      <c r="J655" s="529"/>
      <c r="K655" s="286"/>
      <c r="L655" s="286"/>
      <c r="M655" s="529"/>
      <c r="N655" s="529"/>
      <c r="O655" s="529"/>
      <c r="P655" s="529"/>
      <c r="Q655" s="286"/>
      <c r="R655" s="286"/>
      <c r="S655" s="286"/>
      <c r="T655" s="286"/>
      <c r="U655" s="286"/>
      <c r="V655" s="286"/>
      <c r="W655" s="286"/>
      <c r="X655" s="286"/>
      <c r="Y655" s="286"/>
      <c r="Z655" s="286"/>
      <c r="AA655" s="286"/>
      <c r="AB655" s="286"/>
    </row>
    <row r="656">
      <c r="A656" s="286"/>
      <c r="B656" s="286"/>
      <c r="C656" s="529"/>
      <c r="D656" s="306"/>
      <c r="E656" s="306"/>
      <c r="F656" s="306"/>
      <c r="G656" s="528"/>
      <c r="H656" s="286"/>
      <c r="I656" s="286"/>
      <c r="J656" s="529"/>
      <c r="K656" s="286"/>
      <c r="L656" s="286"/>
      <c r="M656" s="529"/>
      <c r="N656" s="529"/>
      <c r="O656" s="529"/>
      <c r="P656" s="529"/>
      <c r="Q656" s="286"/>
      <c r="R656" s="286"/>
      <c r="S656" s="286"/>
      <c r="T656" s="286"/>
      <c r="U656" s="286"/>
      <c r="V656" s="286"/>
      <c r="W656" s="286"/>
      <c r="X656" s="286"/>
      <c r="Y656" s="286"/>
      <c r="Z656" s="286"/>
      <c r="AA656" s="286"/>
      <c r="AB656" s="286"/>
    </row>
    <row r="657">
      <c r="A657" s="286"/>
      <c r="B657" s="286"/>
      <c r="C657" s="529"/>
      <c r="D657" s="306"/>
      <c r="E657" s="306"/>
      <c r="F657" s="306"/>
      <c r="G657" s="528"/>
      <c r="H657" s="286"/>
      <c r="I657" s="286"/>
      <c r="J657" s="529"/>
      <c r="K657" s="286"/>
      <c r="L657" s="286"/>
      <c r="M657" s="529"/>
      <c r="N657" s="529"/>
      <c r="O657" s="529"/>
      <c r="P657" s="529"/>
      <c r="Q657" s="286"/>
      <c r="R657" s="286"/>
      <c r="S657" s="286"/>
      <c r="T657" s="286"/>
      <c r="U657" s="286"/>
      <c r="V657" s="286"/>
      <c r="W657" s="286"/>
      <c r="X657" s="286"/>
      <c r="Y657" s="286"/>
      <c r="Z657" s="286"/>
      <c r="AA657" s="286"/>
      <c r="AB657" s="286"/>
    </row>
    <row r="658">
      <c r="A658" s="286"/>
      <c r="B658" s="286"/>
      <c r="C658" s="529"/>
      <c r="D658" s="306"/>
      <c r="E658" s="306"/>
      <c r="F658" s="306"/>
      <c r="G658" s="528"/>
      <c r="H658" s="286"/>
      <c r="I658" s="286"/>
      <c r="J658" s="529"/>
      <c r="K658" s="286"/>
      <c r="L658" s="286"/>
      <c r="M658" s="529"/>
      <c r="N658" s="529"/>
      <c r="O658" s="529"/>
      <c r="P658" s="529"/>
      <c r="Q658" s="286"/>
      <c r="R658" s="286"/>
      <c r="S658" s="286"/>
      <c r="T658" s="286"/>
      <c r="U658" s="286"/>
      <c r="V658" s="286"/>
      <c r="W658" s="286"/>
      <c r="X658" s="286"/>
      <c r="Y658" s="286"/>
      <c r="Z658" s="286"/>
      <c r="AA658" s="286"/>
      <c r="AB658" s="286"/>
    </row>
    <row r="659">
      <c r="A659" s="286"/>
      <c r="B659" s="286"/>
      <c r="C659" s="529"/>
      <c r="D659" s="306"/>
      <c r="E659" s="306"/>
      <c r="F659" s="306"/>
      <c r="G659" s="528"/>
      <c r="H659" s="286"/>
      <c r="I659" s="286"/>
      <c r="J659" s="529"/>
      <c r="K659" s="286"/>
      <c r="L659" s="286"/>
      <c r="M659" s="529"/>
      <c r="N659" s="529"/>
      <c r="O659" s="529"/>
      <c r="P659" s="529"/>
      <c r="Q659" s="286"/>
      <c r="R659" s="286"/>
      <c r="S659" s="286"/>
      <c r="T659" s="286"/>
      <c r="U659" s="286"/>
      <c r="V659" s="286"/>
      <c r="W659" s="286"/>
      <c r="X659" s="286"/>
      <c r="Y659" s="286"/>
      <c r="Z659" s="286"/>
      <c r="AA659" s="286"/>
      <c r="AB659" s="286"/>
    </row>
    <row r="660">
      <c r="A660" s="286"/>
      <c r="B660" s="286"/>
      <c r="C660" s="529"/>
      <c r="D660" s="306"/>
      <c r="E660" s="306"/>
      <c r="F660" s="306"/>
      <c r="G660" s="528"/>
      <c r="H660" s="286"/>
      <c r="I660" s="286"/>
      <c r="J660" s="529"/>
      <c r="K660" s="286"/>
      <c r="L660" s="286"/>
      <c r="M660" s="529"/>
      <c r="N660" s="529"/>
      <c r="O660" s="529"/>
      <c r="P660" s="529"/>
      <c r="Q660" s="286"/>
      <c r="R660" s="286"/>
      <c r="S660" s="286"/>
      <c r="T660" s="286"/>
      <c r="U660" s="286"/>
      <c r="V660" s="286"/>
      <c r="W660" s="286"/>
      <c r="X660" s="286"/>
      <c r="Y660" s="286"/>
      <c r="Z660" s="286"/>
      <c r="AA660" s="286"/>
      <c r="AB660" s="286"/>
    </row>
    <row r="661">
      <c r="A661" s="286"/>
      <c r="B661" s="286"/>
      <c r="C661" s="529"/>
      <c r="D661" s="306"/>
      <c r="E661" s="306"/>
      <c r="F661" s="306"/>
      <c r="G661" s="528"/>
      <c r="H661" s="286"/>
      <c r="I661" s="286"/>
      <c r="J661" s="529"/>
      <c r="K661" s="286"/>
      <c r="L661" s="286"/>
      <c r="M661" s="529"/>
      <c r="N661" s="529"/>
      <c r="O661" s="529"/>
      <c r="P661" s="529"/>
      <c r="Q661" s="286"/>
      <c r="R661" s="286"/>
      <c r="S661" s="286"/>
      <c r="T661" s="286"/>
      <c r="U661" s="286"/>
      <c r="V661" s="286"/>
      <c r="W661" s="286"/>
      <c r="X661" s="286"/>
      <c r="Y661" s="286"/>
      <c r="Z661" s="286"/>
      <c r="AA661" s="286"/>
      <c r="AB661" s="286"/>
    </row>
    <row r="662">
      <c r="A662" s="286"/>
      <c r="B662" s="286"/>
      <c r="C662" s="529"/>
      <c r="D662" s="306"/>
      <c r="E662" s="306"/>
      <c r="F662" s="306"/>
      <c r="G662" s="528"/>
      <c r="H662" s="286"/>
      <c r="I662" s="286"/>
      <c r="J662" s="529"/>
      <c r="K662" s="286"/>
      <c r="L662" s="286"/>
      <c r="M662" s="529"/>
      <c r="N662" s="529"/>
      <c r="O662" s="529"/>
      <c r="P662" s="529"/>
      <c r="Q662" s="286"/>
      <c r="R662" s="286"/>
      <c r="S662" s="286"/>
      <c r="T662" s="286"/>
      <c r="U662" s="286"/>
      <c r="V662" s="286"/>
      <c r="W662" s="286"/>
      <c r="X662" s="286"/>
      <c r="Y662" s="286"/>
      <c r="Z662" s="286"/>
      <c r="AA662" s="286"/>
      <c r="AB662" s="286"/>
    </row>
    <row r="663">
      <c r="A663" s="286"/>
      <c r="B663" s="286"/>
      <c r="C663" s="529"/>
      <c r="D663" s="306"/>
      <c r="E663" s="306"/>
      <c r="F663" s="306"/>
      <c r="G663" s="528"/>
      <c r="H663" s="286"/>
      <c r="I663" s="286"/>
      <c r="J663" s="529"/>
      <c r="K663" s="286"/>
      <c r="L663" s="286"/>
      <c r="M663" s="529"/>
      <c r="N663" s="529"/>
      <c r="O663" s="529"/>
      <c r="P663" s="529"/>
      <c r="Q663" s="286"/>
      <c r="R663" s="286"/>
      <c r="S663" s="286"/>
      <c r="T663" s="286"/>
      <c r="U663" s="286"/>
      <c r="V663" s="286"/>
      <c r="W663" s="286"/>
      <c r="X663" s="286"/>
      <c r="Y663" s="286"/>
      <c r="Z663" s="286"/>
      <c r="AA663" s="286"/>
      <c r="AB663" s="286"/>
    </row>
    <row r="664">
      <c r="A664" s="286"/>
      <c r="B664" s="286"/>
      <c r="C664" s="529"/>
      <c r="D664" s="306"/>
      <c r="E664" s="306"/>
      <c r="F664" s="306"/>
      <c r="G664" s="528"/>
      <c r="H664" s="286"/>
      <c r="I664" s="286"/>
      <c r="J664" s="529"/>
      <c r="K664" s="286"/>
      <c r="L664" s="286"/>
      <c r="M664" s="529"/>
      <c r="N664" s="529"/>
      <c r="O664" s="529"/>
      <c r="P664" s="529"/>
      <c r="Q664" s="286"/>
      <c r="R664" s="286"/>
      <c r="S664" s="286"/>
      <c r="T664" s="286"/>
      <c r="U664" s="286"/>
      <c r="V664" s="286"/>
      <c r="W664" s="286"/>
      <c r="X664" s="286"/>
      <c r="Y664" s="286"/>
      <c r="Z664" s="286"/>
      <c r="AA664" s="286"/>
      <c r="AB664" s="286"/>
    </row>
    <row r="665">
      <c r="A665" s="286"/>
      <c r="B665" s="286"/>
      <c r="C665" s="529"/>
      <c r="D665" s="306"/>
      <c r="E665" s="306"/>
      <c r="F665" s="306"/>
      <c r="G665" s="528"/>
      <c r="H665" s="286"/>
      <c r="I665" s="286"/>
      <c r="J665" s="529"/>
      <c r="K665" s="286"/>
      <c r="L665" s="286"/>
      <c r="M665" s="529"/>
      <c r="N665" s="529"/>
      <c r="O665" s="529"/>
      <c r="P665" s="529"/>
      <c r="Q665" s="286"/>
      <c r="R665" s="286"/>
      <c r="S665" s="286"/>
      <c r="T665" s="286"/>
      <c r="U665" s="286"/>
      <c r="V665" s="286"/>
      <c r="W665" s="286"/>
      <c r="X665" s="286"/>
      <c r="Y665" s="286"/>
      <c r="Z665" s="286"/>
      <c r="AA665" s="286"/>
      <c r="AB665" s="286"/>
    </row>
    <row r="666">
      <c r="A666" s="286"/>
      <c r="B666" s="286"/>
      <c r="C666" s="529"/>
      <c r="D666" s="306"/>
      <c r="E666" s="306"/>
      <c r="F666" s="306"/>
      <c r="G666" s="528"/>
      <c r="H666" s="286"/>
      <c r="I666" s="286"/>
      <c r="J666" s="529"/>
      <c r="K666" s="286"/>
      <c r="L666" s="286"/>
      <c r="M666" s="529"/>
      <c r="N666" s="529"/>
      <c r="O666" s="529"/>
      <c r="P666" s="529"/>
      <c r="Q666" s="286"/>
      <c r="R666" s="286"/>
      <c r="S666" s="286"/>
      <c r="T666" s="286"/>
      <c r="U666" s="286"/>
      <c r="V666" s="286"/>
      <c r="W666" s="286"/>
      <c r="X666" s="286"/>
      <c r="Y666" s="286"/>
      <c r="Z666" s="286"/>
      <c r="AA666" s="286"/>
      <c r="AB666" s="286"/>
    </row>
    <row r="667">
      <c r="A667" s="286"/>
      <c r="B667" s="286"/>
      <c r="C667" s="529"/>
      <c r="D667" s="306"/>
      <c r="E667" s="306"/>
      <c r="F667" s="306"/>
      <c r="G667" s="528"/>
      <c r="H667" s="286"/>
      <c r="I667" s="286"/>
      <c r="J667" s="529"/>
      <c r="K667" s="286"/>
      <c r="L667" s="286"/>
      <c r="M667" s="529"/>
      <c r="N667" s="529"/>
      <c r="O667" s="529"/>
      <c r="P667" s="529"/>
      <c r="Q667" s="286"/>
      <c r="R667" s="286"/>
      <c r="S667" s="286"/>
      <c r="T667" s="286"/>
      <c r="U667" s="286"/>
      <c r="V667" s="286"/>
      <c r="W667" s="286"/>
      <c r="X667" s="286"/>
      <c r="Y667" s="286"/>
      <c r="Z667" s="286"/>
      <c r="AA667" s="286"/>
      <c r="AB667" s="286"/>
    </row>
    <row r="668">
      <c r="A668" s="286"/>
      <c r="B668" s="286"/>
      <c r="C668" s="529"/>
      <c r="D668" s="306"/>
      <c r="E668" s="306"/>
      <c r="F668" s="306"/>
      <c r="G668" s="528"/>
      <c r="H668" s="286"/>
      <c r="I668" s="286"/>
      <c r="J668" s="529"/>
      <c r="K668" s="286"/>
      <c r="L668" s="286"/>
      <c r="M668" s="529"/>
      <c r="N668" s="529"/>
      <c r="O668" s="529"/>
      <c r="P668" s="529"/>
      <c r="Q668" s="286"/>
      <c r="R668" s="286"/>
      <c r="S668" s="286"/>
      <c r="T668" s="286"/>
      <c r="U668" s="286"/>
      <c r="V668" s="286"/>
      <c r="W668" s="286"/>
      <c r="X668" s="286"/>
      <c r="Y668" s="286"/>
      <c r="Z668" s="286"/>
      <c r="AA668" s="286"/>
      <c r="AB668" s="286"/>
    </row>
    <row r="669">
      <c r="A669" s="286"/>
      <c r="B669" s="286"/>
      <c r="C669" s="529"/>
      <c r="D669" s="306"/>
      <c r="E669" s="306"/>
      <c r="F669" s="306"/>
      <c r="G669" s="528"/>
      <c r="H669" s="286"/>
      <c r="I669" s="286"/>
      <c r="J669" s="529"/>
      <c r="K669" s="286"/>
      <c r="L669" s="286"/>
      <c r="M669" s="529"/>
      <c r="N669" s="529"/>
      <c r="O669" s="529"/>
      <c r="P669" s="529"/>
      <c r="Q669" s="286"/>
      <c r="R669" s="286"/>
      <c r="S669" s="286"/>
      <c r="T669" s="286"/>
      <c r="U669" s="286"/>
      <c r="V669" s="286"/>
      <c r="W669" s="286"/>
      <c r="X669" s="286"/>
      <c r="Y669" s="286"/>
      <c r="Z669" s="286"/>
      <c r="AA669" s="286"/>
      <c r="AB669" s="286"/>
    </row>
    <row r="670">
      <c r="A670" s="286"/>
      <c r="B670" s="286"/>
      <c r="C670" s="529"/>
      <c r="D670" s="306"/>
      <c r="E670" s="306"/>
      <c r="F670" s="306"/>
      <c r="G670" s="528"/>
      <c r="H670" s="286"/>
      <c r="I670" s="286"/>
      <c r="J670" s="529"/>
      <c r="K670" s="286"/>
      <c r="L670" s="286"/>
      <c r="M670" s="529"/>
      <c r="N670" s="529"/>
      <c r="O670" s="529"/>
      <c r="P670" s="529"/>
      <c r="Q670" s="286"/>
      <c r="R670" s="286"/>
      <c r="S670" s="286"/>
      <c r="T670" s="286"/>
      <c r="U670" s="286"/>
      <c r="V670" s="286"/>
      <c r="W670" s="286"/>
      <c r="X670" s="286"/>
      <c r="Y670" s="286"/>
      <c r="Z670" s="286"/>
      <c r="AA670" s="286"/>
      <c r="AB670" s="286"/>
    </row>
    <row r="671">
      <c r="A671" s="286"/>
      <c r="B671" s="286"/>
      <c r="C671" s="529"/>
      <c r="D671" s="306"/>
      <c r="E671" s="306"/>
      <c r="F671" s="306"/>
      <c r="G671" s="528"/>
      <c r="H671" s="286"/>
      <c r="I671" s="286"/>
      <c r="J671" s="529"/>
      <c r="K671" s="286"/>
      <c r="L671" s="286"/>
      <c r="M671" s="529"/>
      <c r="N671" s="529"/>
      <c r="O671" s="529"/>
      <c r="P671" s="529"/>
      <c r="Q671" s="286"/>
      <c r="R671" s="286"/>
      <c r="S671" s="286"/>
      <c r="T671" s="286"/>
      <c r="U671" s="286"/>
      <c r="V671" s="286"/>
      <c r="W671" s="286"/>
      <c r="X671" s="286"/>
      <c r="Y671" s="286"/>
      <c r="Z671" s="286"/>
      <c r="AA671" s="286"/>
      <c r="AB671" s="286"/>
    </row>
    <row r="672">
      <c r="A672" s="286"/>
      <c r="B672" s="286"/>
      <c r="C672" s="529"/>
      <c r="D672" s="306"/>
      <c r="E672" s="306"/>
      <c r="F672" s="306"/>
      <c r="G672" s="528"/>
      <c r="H672" s="286"/>
      <c r="I672" s="286"/>
      <c r="J672" s="529"/>
      <c r="K672" s="286"/>
      <c r="L672" s="286"/>
      <c r="M672" s="529"/>
      <c r="N672" s="529"/>
      <c r="O672" s="529"/>
      <c r="P672" s="529"/>
      <c r="Q672" s="286"/>
      <c r="R672" s="286"/>
      <c r="S672" s="286"/>
      <c r="T672" s="286"/>
      <c r="U672" s="286"/>
      <c r="V672" s="286"/>
      <c r="W672" s="286"/>
      <c r="X672" s="286"/>
      <c r="Y672" s="286"/>
      <c r="Z672" s="286"/>
      <c r="AA672" s="286"/>
      <c r="AB672" s="286"/>
    </row>
    <row r="673">
      <c r="A673" s="286"/>
      <c r="B673" s="286"/>
      <c r="C673" s="529"/>
      <c r="D673" s="306"/>
      <c r="E673" s="306"/>
      <c r="F673" s="306"/>
      <c r="G673" s="528"/>
      <c r="H673" s="286"/>
      <c r="I673" s="286"/>
      <c r="J673" s="529"/>
      <c r="K673" s="286"/>
      <c r="L673" s="286"/>
      <c r="M673" s="529"/>
      <c r="N673" s="529"/>
      <c r="O673" s="529"/>
      <c r="P673" s="529"/>
      <c r="Q673" s="286"/>
      <c r="R673" s="286"/>
      <c r="S673" s="286"/>
      <c r="T673" s="286"/>
      <c r="U673" s="286"/>
      <c r="V673" s="286"/>
      <c r="W673" s="286"/>
      <c r="X673" s="286"/>
      <c r="Y673" s="286"/>
      <c r="Z673" s="286"/>
      <c r="AA673" s="286"/>
      <c r="AB673" s="286"/>
    </row>
    <row r="674">
      <c r="A674" s="286"/>
      <c r="B674" s="286"/>
      <c r="C674" s="529"/>
      <c r="D674" s="306"/>
      <c r="E674" s="306"/>
      <c r="F674" s="306"/>
      <c r="G674" s="528"/>
      <c r="H674" s="286"/>
      <c r="I674" s="286"/>
      <c r="J674" s="529"/>
      <c r="K674" s="286"/>
      <c r="L674" s="286"/>
      <c r="M674" s="529"/>
      <c r="N674" s="529"/>
      <c r="O674" s="529"/>
      <c r="P674" s="529"/>
      <c r="Q674" s="286"/>
      <c r="R674" s="286"/>
      <c r="S674" s="286"/>
      <c r="T674" s="286"/>
      <c r="U674" s="286"/>
      <c r="V674" s="286"/>
      <c r="W674" s="286"/>
      <c r="X674" s="286"/>
      <c r="Y674" s="286"/>
      <c r="Z674" s="286"/>
      <c r="AA674" s="286"/>
      <c r="AB674" s="286"/>
    </row>
    <row r="675">
      <c r="A675" s="286"/>
      <c r="B675" s="286"/>
      <c r="C675" s="529"/>
      <c r="D675" s="306"/>
      <c r="E675" s="306"/>
      <c r="F675" s="306"/>
      <c r="G675" s="528"/>
      <c r="H675" s="286"/>
      <c r="I675" s="286"/>
      <c r="J675" s="529"/>
      <c r="K675" s="286"/>
      <c r="L675" s="286"/>
      <c r="M675" s="529"/>
      <c r="N675" s="529"/>
      <c r="O675" s="529"/>
      <c r="P675" s="529"/>
      <c r="Q675" s="286"/>
      <c r="R675" s="286"/>
      <c r="S675" s="286"/>
      <c r="T675" s="286"/>
      <c r="U675" s="286"/>
      <c r="V675" s="286"/>
      <c r="W675" s="286"/>
      <c r="X675" s="286"/>
      <c r="Y675" s="286"/>
      <c r="Z675" s="286"/>
      <c r="AA675" s="286"/>
      <c r="AB675" s="286"/>
    </row>
    <row r="676">
      <c r="A676" s="286"/>
      <c r="B676" s="286"/>
      <c r="C676" s="529"/>
      <c r="D676" s="306"/>
      <c r="E676" s="306"/>
      <c r="F676" s="306"/>
      <c r="G676" s="528"/>
      <c r="H676" s="286"/>
      <c r="I676" s="286"/>
      <c r="J676" s="529"/>
      <c r="K676" s="286"/>
      <c r="L676" s="286"/>
      <c r="M676" s="529"/>
      <c r="N676" s="529"/>
      <c r="O676" s="529"/>
      <c r="P676" s="529"/>
      <c r="Q676" s="286"/>
      <c r="R676" s="286"/>
      <c r="S676" s="286"/>
      <c r="T676" s="286"/>
      <c r="U676" s="286"/>
      <c r="V676" s="286"/>
      <c r="W676" s="286"/>
      <c r="X676" s="286"/>
      <c r="Y676" s="286"/>
      <c r="Z676" s="286"/>
      <c r="AA676" s="286"/>
      <c r="AB676" s="286"/>
    </row>
    <row r="677">
      <c r="A677" s="286"/>
      <c r="B677" s="286"/>
      <c r="C677" s="529"/>
      <c r="D677" s="306"/>
      <c r="E677" s="306"/>
      <c r="F677" s="306"/>
      <c r="G677" s="528"/>
      <c r="H677" s="286"/>
      <c r="I677" s="286"/>
      <c r="J677" s="529"/>
      <c r="K677" s="286"/>
      <c r="L677" s="286"/>
      <c r="M677" s="529"/>
      <c r="N677" s="529"/>
      <c r="O677" s="529"/>
      <c r="P677" s="529"/>
      <c r="Q677" s="286"/>
      <c r="R677" s="286"/>
      <c r="S677" s="286"/>
      <c r="T677" s="286"/>
      <c r="U677" s="286"/>
      <c r="V677" s="286"/>
      <c r="W677" s="286"/>
      <c r="X677" s="286"/>
      <c r="Y677" s="286"/>
      <c r="Z677" s="286"/>
      <c r="AA677" s="286"/>
      <c r="AB677" s="286"/>
    </row>
    <row r="678">
      <c r="A678" s="286"/>
      <c r="B678" s="286"/>
      <c r="C678" s="529"/>
      <c r="D678" s="306"/>
      <c r="E678" s="306"/>
      <c r="F678" s="306"/>
      <c r="G678" s="528"/>
      <c r="H678" s="286"/>
      <c r="I678" s="286"/>
      <c r="J678" s="529"/>
      <c r="K678" s="286"/>
      <c r="L678" s="286"/>
      <c r="M678" s="529"/>
      <c r="N678" s="529"/>
      <c r="O678" s="529"/>
      <c r="P678" s="529"/>
      <c r="Q678" s="286"/>
      <c r="R678" s="286"/>
      <c r="S678" s="286"/>
      <c r="T678" s="286"/>
      <c r="U678" s="286"/>
      <c r="V678" s="286"/>
      <c r="W678" s="286"/>
      <c r="X678" s="286"/>
      <c r="Y678" s="286"/>
      <c r="Z678" s="286"/>
      <c r="AA678" s="286"/>
      <c r="AB678" s="286"/>
    </row>
    <row r="679">
      <c r="A679" s="286"/>
      <c r="B679" s="286"/>
      <c r="C679" s="529"/>
      <c r="D679" s="306"/>
      <c r="E679" s="306"/>
      <c r="F679" s="306"/>
      <c r="G679" s="528"/>
      <c r="H679" s="286"/>
      <c r="I679" s="286"/>
      <c r="J679" s="529"/>
      <c r="K679" s="286"/>
      <c r="L679" s="286"/>
      <c r="M679" s="529"/>
      <c r="N679" s="529"/>
      <c r="O679" s="529"/>
      <c r="P679" s="529"/>
      <c r="Q679" s="286"/>
      <c r="R679" s="286"/>
      <c r="S679" s="286"/>
      <c r="T679" s="286"/>
      <c r="U679" s="286"/>
      <c r="V679" s="286"/>
      <c r="W679" s="286"/>
      <c r="X679" s="286"/>
      <c r="Y679" s="286"/>
      <c r="Z679" s="286"/>
      <c r="AA679" s="286"/>
      <c r="AB679" s="286"/>
    </row>
    <row r="680">
      <c r="A680" s="286"/>
      <c r="B680" s="286"/>
      <c r="C680" s="529"/>
      <c r="D680" s="306"/>
      <c r="E680" s="306"/>
      <c r="F680" s="306"/>
      <c r="G680" s="528"/>
      <c r="H680" s="286"/>
      <c r="I680" s="286"/>
      <c r="J680" s="529"/>
      <c r="K680" s="286"/>
      <c r="L680" s="286"/>
      <c r="M680" s="529"/>
      <c r="N680" s="529"/>
      <c r="O680" s="529"/>
      <c r="P680" s="529"/>
      <c r="Q680" s="286"/>
      <c r="R680" s="286"/>
      <c r="S680" s="286"/>
      <c r="T680" s="286"/>
      <c r="U680" s="286"/>
      <c r="V680" s="286"/>
      <c r="W680" s="286"/>
      <c r="X680" s="286"/>
      <c r="Y680" s="286"/>
      <c r="Z680" s="286"/>
      <c r="AA680" s="286"/>
      <c r="AB680" s="286"/>
    </row>
    <row r="681">
      <c r="A681" s="286"/>
      <c r="B681" s="286"/>
      <c r="C681" s="529"/>
      <c r="D681" s="306"/>
      <c r="E681" s="306"/>
      <c r="F681" s="306"/>
      <c r="G681" s="528"/>
      <c r="H681" s="286"/>
      <c r="I681" s="286"/>
      <c r="J681" s="529"/>
      <c r="K681" s="286"/>
      <c r="L681" s="286"/>
      <c r="M681" s="529"/>
      <c r="N681" s="529"/>
      <c r="O681" s="529"/>
      <c r="P681" s="529"/>
      <c r="Q681" s="286"/>
      <c r="R681" s="286"/>
      <c r="S681" s="286"/>
      <c r="T681" s="286"/>
      <c r="U681" s="286"/>
      <c r="V681" s="286"/>
      <c r="W681" s="286"/>
      <c r="X681" s="286"/>
      <c r="Y681" s="286"/>
      <c r="Z681" s="286"/>
      <c r="AA681" s="286"/>
      <c r="AB681" s="286"/>
    </row>
    <row r="682">
      <c r="A682" s="286"/>
      <c r="B682" s="286"/>
      <c r="C682" s="529"/>
      <c r="D682" s="306"/>
      <c r="E682" s="306"/>
      <c r="F682" s="306"/>
      <c r="G682" s="528"/>
      <c r="H682" s="286"/>
      <c r="I682" s="286"/>
      <c r="J682" s="529"/>
      <c r="K682" s="286"/>
      <c r="L682" s="286"/>
      <c r="M682" s="529"/>
      <c r="N682" s="529"/>
      <c r="O682" s="529"/>
      <c r="P682" s="529"/>
      <c r="Q682" s="286"/>
      <c r="R682" s="286"/>
      <c r="S682" s="286"/>
      <c r="T682" s="286"/>
      <c r="U682" s="286"/>
      <c r="V682" s="286"/>
      <c r="W682" s="286"/>
      <c r="X682" s="286"/>
      <c r="Y682" s="286"/>
      <c r="Z682" s="286"/>
      <c r="AA682" s="286"/>
      <c r="AB682" s="286"/>
    </row>
    <row r="683">
      <c r="A683" s="286"/>
      <c r="B683" s="286"/>
      <c r="C683" s="529"/>
      <c r="D683" s="306"/>
      <c r="E683" s="306"/>
      <c r="F683" s="306"/>
      <c r="G683" s="528"/>
      <c r="H683" s="286"/>
      <c r="I683" s="286"/>
      <c r="J683" s="529"/>
      <c r="K683" s="286"/>
      <c r="L683" s="286"/>
      <c r="M683" s="529"/>
      <c r="N683" s="529"/>
      <c r="O683" s="529"/>
      <c r="P683" s="529"/>
      <c r="Q683" s="286"/>
      <c r="R683" s="286"/>
      <c r="S683" s="286"/>
      <c r="T683" s="286"/>
      <c r="U683" s="286"/>
      <c r="V683" s="286"/>
      <c r="W683" s="286"/>
      <c r="X683" s="286"/>
      <c r="Y683" s="286"/>
      <c r="Z683" s="286"/>
      <c r="AA683" s="286"/>
      <c r="AB683" s="286"/>
    </row>
    <row r="684">
      <c r="A684" s="286"/>
      <c r="B684" s="286"/>
      <c r="C684" s="529"/>
      <c r="D684" s="306"/>
      <c r="E684" s="306"/>
      <c r="F684" s="306"/>
      <c r="G684" s="528"/>
      <c r="H684" s="286"/>
      <c r="I684" s="286"/>
      <c r="J684" s="529"/>
      <c r="K684" s="286"/>
      <c r="L684" s="286"/>
      <c r="M684" s="529"/>
      <c r="N684" s="529"/>
      <c r="O684" s="529"/>
      <c r="P684" s="529"/>
      <c r="Q684" s="286"/>
      <c r="R684" s="286"/>
      <c r="S684" s="286"/>
      <c r="T684" s="286"/>
      <c r="U684" s="286"/>
      <c r="V684" s="286"/>
      <c r="W684" s="286"/>
      <c r="X684" s="286"/>
      <c r="Y684" s="286"/>
      <c r="Z684" s="286"/>
      <c r="AA684" s="286"/>
      <c r="AB684" s="286"/>
    </row>
    <row r="685">
      <c r="A685" s="286"/>
      <c r="B685" s="286"/>
      <c r="C685" s="529"/>
      <c r="D685" s="306"/>
      <c r="E685" s="306"/>
      <c r="F685" s="306"/>
      <c r="G685" s="528"/>
      <c r="H685" s="286"/>
      <c r="I685" s="286"/>
      <c r="J685" s="529"/>
      <c r="K685" s="286"/>
      <c r="L685" s="286"/>
      <c r="M685" s="529"/>
      <c r="N685" s="529"/>
      <c r="O685" s="529"/>
      <c r="P685" s="529"/>
      <c r="Q685" s="286"/>
      <c r="R685" s="286"/>
      <c r="S685" s="286"/>
      <c r="T685" s="286"/>
      <c r="U685" s="286"/>
      <c r="V685" s="286"/>
      <c r="W685" s="286"/>
      <c r="X685" s="286"/>
      <c r="Y685" s="286"/>
      <c r="Z685" s="286"/>
      <c r="AA685" s="286"/>
      <c r="AB685" s="286"/>
    </row>
    <row r="686">
      <c r="A686" s="286"/>
      <c r="B686" s="286"/>
      <c r="C686" s="529"/>
      <c r="D686" s="306"/>
      <c r="E686" s="306"/>
      <c r="F686" s="306"/>
      <c r="G686" s="528"/>
      <c r="H686" s="286"/>
      <c r="I686" s="286"/>
      <c r="J686" s="529"/>
      <c r="K686" s="286"/>
      <c r="L686" s="286"/>
      <c r="M686" s="529"/>
      <c r="N686" s="529"/>
      <c r="O686" s="529"/>
      <c r="P686" s="529"/>
      <c r="Q686" s="286"/>
      <c r="R686" s="286"/>
      <c r="S686" s="286"/>
      <c r="T686" s="286"/>
      <c r="U686" s="286"/>
      <c r="V686" s="286"/>
      <c r="W686" s="286"/>
      <c r="X686" s="286"/>
      <c r="Y686" s="286"/>
      <c r="Z686" s="286"/>
      <c r="AA686" s="286"/>
      <c r="AB686" s="286"/>
    </row>
    <row r="687">
      <c r="A687" s="286"/>
      <c r="B687" s="286"/>
      <c r="C687" s="529"/>
      <c r="D687" s="306"/>
      <c r="E687" s="306"/>
      <c r="F687" s="306"/>
      <c r="G687" s="528"/>
      <c r="H687" s="286"/>
      <c r="I687" s="286"/>
      <c r="J687" s="529"/>
      <c r="K687" s="286"/>
      <c r="L687" s="286"/>
      <c r="M687" s="529"/>
      <c r="N687" s="529"/>
      <c r="O687" s="529"/>
      <c r="P687" s="529"/>
      <c r="Q687" s="286"/>
      <c r="R687" s="286"/>
      <c r="S687" s="286"/>
      <c r="T687" s="286"/>
      <c r="U687" s="286"/>
      <c r="V687" s="286"/>
      <c r="W687" s="286"/>
      <c r="X687" s="286"/>
      <c r="Y687" s="286"/>
      <c r="Z687" s="286"/>
      <c r="AA687" s="286"/>
      <c r="AB687" s="286"/>
    </row>
    <row r="688">
      <c r="A688" s="286"/>
      <c r="B688" s="286"/>
      <c r="C688" s="529"/>
      <c r="D688" s="306"/>
      <c r="E688" s="306"/>
      <c r="F688" s="306"/>
      <c r="G688" s="528"/>
      <c r="H688" s="286"/>
      <c r="I688" s="286"/>
      <c r="J688" s="529"/>
      <c r="K688" s="286"/>
      <c r="L688" s="286"/>
      <c r="M688" s="529"/>
      <c r="N688" s="529"/>
      <c r="O688" s="529"/>
      <c r="P688" s="529"/>
      <c r="Q688" s="286"/>
      <c r="R688" s="286"/>
      <c r="S688" s="286"/>
      <c r="T688" s="286"/>
      <c r="U688" s="286"/>
      <c r="V688" s="286"/>
      <c r="W688" s="286"/>
      <c r="X688" s="286"/>
      <c r="Y688" s="286"/>
      <c r="Z688" s="286"/>
      <c r="AA688" s="286"/>
      <c r="AB688" s="286"/>
    </row>
    <row r="689">
      <c r="A689" s="286"/>
      <c r="B689" s="286"/>
      <c r="C689" s="529"/>
      <c r="D689" s="306"/>
      <c r="E689" s="306"/>
      <c r="F689" s="306"/>
      <c r="G689" s="528"/>
      <c r="H689" s="286"/>
      <c r="I689" s="286"/>
      <c r="J689" s="529"/>
      <c r="K689" s="286"/>
      <c r="L689" s="286"/>
      <c r="M689" s="529"/>
      <c r="N689" s="529"/>
      <c r="O689" s="529"/>
      <c r="P689" s="529"/>
      <c r="Q689" s="286"/>
      <c r="R689" s="286"/>
      <c r="S689" s="286"/>
      <c r="T689" s="286"/>
      <c r="U689" s="286"/>
      <c r="V689" s="286"/>
      <c r="W689" s="286"/>
      <c r="X689" s="286"/>
      <c r="Y689" s="286"/>
      <c r="Z689" s="286"/>
      <c r="AA689" s="286"/>
      <c r="AB689" s="286"/>
    </row>
    <row r="690">
      <c r="A690" s="286"/>
      <c r="B690" s="286"/>
      <c r="C690" s="529"/>
      <c r="D690" s="306"/>
      <c r="E690" s="306"/>
      <c r="F690" s="306"/>
      <c r="G690" s="528"/>
      <c r="H690" s="286"/>
      <c r="I690" s="286"/>
      <c r="J690" s="529"/>
      <c r="K690" s="286"/>
      <c r="L690" s="286"/>
      <c r="M690" s="529"/>
      <c r="N690" s="529"/>
      <c r="O690" s="529"/>
      <c r="P690" s="529"/>
      <c r="Q690" s="286"/>
      <c r="R690" s="286"/>
      <c r="S690" s="286"/>
      <c r="T690" s="286"/>
      <c r="U690" s="286"/>
      <c r="V690" s="286"/>
      <c r="W690" s="286"/>
      <c r="X690" s="286"/>
      <c r="Y690" s="286"/>
      <c r="Z690" s="286"/>
      <c r="AA690" s="286"/>
      <c r="AB690" s="286"/>
    </row>
    <row r="691">
      <c r="A691" s="286"/>
      <c r="B691" s="286"/>
      <c r="C691" s="529"/>
      <c r="D691" s="306"/>
      <c r="E691" s="306"/>
      <c r="F691" s="306"/>
      <c r="G691" s="528"/>
      <c r="H691" s="286"/>
      <c r="I691" s="286"/>
      <c r="J691" s="529"/>
      <c r="K691" s="286"/>
      <c r="L691" s="286"/>
      <c r="M691" s="529"/>
      <c r="N691" s="529"/>
      <c r="O691" s="529"/>
      <c r="P691" s="529"/>
      <c r="Q691" s="286"/>
      <c r="R691" s="286"/>
      <c r="S691" s="286"/>
      <c r="T691" s="286"/>
      <c r="U691" s="286"/>
      <c r="V691" s="286"/>
      <c r="W691" s="286"/>
      <c r="X691" s="286"/>
      <c r="Y691" s="286"/>
      <c r="Z691" s="286"/>
      <c r="AA691" s="286"/>
      <c r="AB691" s="286"/>
    </row>
    <row r="692">
      <c r="A692" s="286"/>
      <c r="B692" s="286"/>
      <c r="C692" s="529"/>
      <c r="D692" s="306"/>
      <c r="E692" s="306"/>
      <c r="F692" s="306"/>
      <c r="G692" s="528"/>
      <c r="H692" s="286"/>
      <c r="I692" s="286"/>
      <c r="J692" s="529"/>
      <c r="K692" s="286"/>
      <c r="L692" s="286"/>
      <c r="M692" s="529"/>
      <c r="N692" s="529"/>
      <c r="O692" s="529"/>
      <c r="P692" s="529"/>
      <c r="Q692" s="286"/>
      <c r="R692" s="286"/>
      <c r="S692" s="286"/>
      <c r="T692" s="286"/>
      <c r="U692" s="286"/>
      <c r="V692" s="286"/>
      <c r="W692" s="286"/>
      <c r="X692" s="286"/>
      <c r="Y692" s="286"/>
      <c r="Z692" s="286"/>
      <c r="AA692" s="286"/>
      <c r="AB692" s="286"/>
    </row>
    <row r="693">
      <c r="A693" s="286"/>
      <c r="B693" s="286"/>
      <c r="C693" s="529"/>
      <c r="D693" s="306"/>
      <c r="E693" s="306"/>
      <c r="F693" s="306"/>
      <c r="G693" s="528"/>
      <c r="H693" s="286"/>
      <c r="I693" s="286"/>
      <c r="J693" s="529"/>
      <c r="K693" s="286"/>
      <c r="L693" s="286"/>
      <c r="M693" s="529"/>
      <c r="N693" s="529"/>
      <c r="O693" s="529"/>
      <c r="P693" s="529"/>
      <c r="Q693" s="286"/>
      <c r="R693" s="286"/>
      <c r="S693" s="286"/>
      <c r="T693" s="286"/>
      <c r="U693" s="286"/>
      <c r="V693" s="286"/>
      <c r="W693" s="286"/>
      <c r="X693" s="286"/>
      <c r="Y693" s="286"/>
      <c r="Z693" s="286"/>
      <c r="AA693" s="286"/>
      <c r="AB693" s="286"/>
    </row>
    <row r="694">
      <c r="A694" s="286"/>
      <c r="B694" s="286"/>
      <c r="C694" s="529"/>
      <c r="D694" s="306"/>
      <c r="E694" s="306"/>
      <c r="F694" s="306"/>
      <c r="G694" s="528"/>
      <c r="H694" s="286"/>
      <c r="I694" s="286"/>
      <c r="J694" s="529"/>
      <c r="K694" s="286"/>
      <c r="L694" s="286"/>
      <c r="M694" s="529"/>
      <c r="N694" s="529"/>
      <c r="O694" s="529"/>
      <c r="P694" s="529"/>
      <c r="Q694" s="286"/>
      <c r="R694" s="286"/>
      <c r="S694" s="286"/>
      <c r="T694" s="286"/>
      <c r="U694" s="286"/>
      <c r="V694" s="286"/>
      <c r="W694" s="286"/>
      <c r="X694" s="286"/>
      <c r="Y694" s="286"/>
      <c r="Z694" s="286"/>
      <c r="AA694" s="286"/>
      <c r="AB694" s="286"/>
    </row>
    <row r="695">
      <c r="A695" s="286"/>
      <c r="B695" s="286"/>
      <c r="C695" s="529"/>
      <c r="D695" s="306"/>
      <c r="E695" s="306"/>
      <c r="F695" s="306"/>
      <c r="G695" s="528"/>
      <c r="H695" s="286"/>
      <c r="I695" s="286"/>
      <c r="J695" s="529"/>
      <c r="K695" s="286"/>
      <c r="L695" s="286"/>
      <c r="M695" s="529"/>
      <c r="N695" s="529"/>
      <c r="O695" s="529"/>
      <c r="P695" s="529"/>
      <c r="Q695" s="286"/>
      <c r="R695" s="286"/>
      <c r="S695" s="286"/>
      <c r="T695" s="286"/>
      <c r="U695" s="286"/>
      <c r="V695" s="286"/>
      <c r="W695" s="286"/>
      <c r="X695" s="286"/>
      <c r="Y695" s="286"/>
      <c r="Z695" s="286"/>
      <c r="AA695" s="286"/>
      <c r="AB695" s="286"/>
    </row>
    <row r="696">
      <c r="A696" s="286"/>
      <c r="B696" s="286"/>
      <c r="C696" s="529"/>
      <c r="D696" s="306"/>
      <c r="E696" s="306"/>
      <c r="F696" s="306"/>
      <c r="G696" s="528"/>
      <c r="H696" s="286"/>
      <c r="I696" s="286"/>
      <c r="J696" s="529"/>
      <c r="K696" s="286"/>
      <c r="L696" s="286"/>
      <c r="M696" s="529"/>
      <c r="N696" s="529"/>
      <c r="O696" s="529"/>
      <c r="P696" s="529"/>
      <c r="Q696" s="286"/>
      <c r="R696" s="286"/>
      <c r="S696" s="286"/>
      <c r="T696" s="286"/>
      <c r="U696" s="286"/>
      <c r="V696" s="286"/>
      <c r="W696" s="286"/>
      <c r="X696" s="286"/>
      <c r="Y696" s="286"/>
      <c r="Z696" s="286"/>
      <c r="AA696" s="286"/>
      <c r="AB696" s="286"/>
    </row>
    <row r="697">
      <c r="A697" s="286"/>
      <c r="B697" s="286"/>
      <c r="C697" s="529"/>
      <c r="D697" s="306"/>
      <c r="E697" s="306"/>
      <c r="F697" s="306"/>
      <c r="G697" s="528"/>
      <c r="H697" s="286"/>
      <c r="I697" s="286"/>
      <c r="J697" s="529"/>
      <c r="K697" s="286"/>
      <c r="L697" s="286"/>
      <c r="M697" s="529"/>
      <c r="N697" s="529"/>
      <c r="O697" s="529"/>
      <c r="P697" s="529"/>
      <c r="Q697" s="286"/>
      <c r="R697" s="286"/>
      <c r="S697" s="286"/>
      <c r="T697" s="286"/>
      <c r="U697" s="286"/>
      <c r="V697" s="286"/>
      <c r="W697" s="286"/>
      <c r="X697" s="286"/>
      <c r="Y697" s="286"/>
      <c r="Z697" s="286"/>
      <c r="AA697" s="286"/>
      <c r="AB697" s="286"/>
    </row>
    <row r="698">
      <c r="A698" s="286"/>
      <c r="B698" s="286"/>
      <c r="C698" s="529"/>
      <c r="D698" s="306"/>
      <c r="E698" s="306"/>
      <c r="F698" s="306"/>
      <c r="G698" s="528"/>
      <c r="H698" s="286"/>
      <c r="I698" s="286"/>
      <c r="J698" s="529"/>
      <c r="K698" s="286"/>
      <c r="L698" s="286"/>
      <c r="M698" s="529"/>
      <c r="N698" s="529"/>
      <c r="O698" s="529"/>
      <c r="P698" s="529"/>
      <c r="Q698" s="286"/>
      <c r="R698" s="286"/>
      <c r="S698" s="286"/>
      <c r="T698" s="286"/>
      <c r="U698" s="286"/>
      <c r="V698" s="286"/>
      <c r="W698" s="286"/>
      <c r="X698" s="286"/>
      <c r="Y698" s="286"/>
      <c r="Z698" s="286"/>
      <c r="AA698" s="286"/>
      <c r="AB698" s="286"/>
    </row>
    <row r="699">
      <c r="A699" s="286"/>
      <c r="B699" s="286"/>
      <c r="C699" s="529"/>
      <c r="D699" s="306"/>
      <c r="E699" s="306"/>
      <c r="F699" s="306"/>
      <c r="G699" s="528"/>
      <c r="H699" s="286"/>
      <c r="I699" s="286"/>
      <c r="J699" s="529"/>
      <c r="K699" s="286"/>
      <c r="L699" s="286"/>
      <c r="M699" s="529"/>
      <c r="N699" s="529"/>
      <c r="O699" s="529"/>
      <c r="P699" s="529"/>
      <c r="Q699" s="286"/>
      <c r="R699" s="286"/>
      <c r="S699" s="286"/>
      <c r="T699" s="286"/>
      <c r="U699" s="286"/>
      <c r="V699" s="286"/>
      <c r="W699" s="286"/>
      <c r="X699" s="286"/>
      <c r="Y699" s="286"/>
      <c r="Z699" s="286"/>
      <c r="AA699" s="286"/>
      <c r="AB699" s="286"/>
    </row>
    <row r="700">
      <c r="A700" s="286"/>
      <c r="B700" s="286"/>
      <c r="C700" s="529"/>
      <c r="D700" s="306"/>
      <c r="E700" s="306"/>
      <c r="F700" s="306"/>
      <c r="G700" s="528"/>
      <c r="H700" s="286"/>
      <c r="I700" s="286"/>
      <c r="J700" s="529"/>
      <c r="K700" s="286"/>
      <c r="L700" s="286"/>
      <c r="M700" s="529"/>
      <c r="N700" s="529"/>
      <c r="O700" s="529"/>
      <c r="P700" s="529"/>
      <c r="Q700" s="286"/>
      <c r="R700" s="286"/>
      <c r="S700" s="286"/>
      <c r="T700" s="286"/>
      <c r="U700" s="286"/>
      <c r="V700" s="286"/>
      <c r="W700" s="286"/>
      <c r="X700" s="286"/>
      <c r="Y700" s="286"/>
      <c r="Z700" s="286"/>
      <c r="AA700" s="286"/>
      <c r="AB700" s="286"/>
    </row>
    <row r="701">
      <c r="A701" s="286"/>
      <c r="B701" s="286"/>
      <c r="C701" s="529"/>
      <c r="D701" s="306"/>
      <c r="E701" s="306"/>
      <c r="F701" s="306"/>
      <c r="G701" s="528"/>
      <c r="H701" s="286"/>
      <c r="I701" s="286"/>
      <c r="J701" s="529"/>
      <c r="K701" s="286"/>
      <c r="L701" s="286"/>
      <c r="M701" s="529"/>
      <c r="N701" s="529"/>
      <c r="O701" s="529"/>
      <c r="P701" s="529"/>
      <c r="Q701" s="286"/>
      <c r="R701" s="286"/>
      <c r="S701" s="286"/>
      <c r="T701" s="286"/>
      <c r="U701" s="286"/>
      <c r="V701" s="286"/>
      <c r="W701" s="286"/>
      <c r="X701" s="286"/>
      <c r="Y701" s="286"/>
      <c r="Z701" s="286"/>
      <c r="AA701" s="286"/>
      <c r="AB701" s="286"/>
    </row>
    <row r="702">
      <c r="A702" s="286"/>
      <c r="B702" s="286"/>
      <c r="C702" s="529"/>
      <c r="D702" s="306"/>
      <c r="E702" s="306"/>
      <c r="F702" s="306"/>
      <c r="G702" s="528"/>
      <c r="H702" s="286"/>
      <c r="I702" s="286"/>
      <c r="J702" s="529"/>
      <c r="K702" s="286"/>
      <c r="L702" s="286"/>
      <c r="M702" s="529"/>
      <c r="N702" s="529"/>
      <c r="O702" s="529"/>
      <c r="P702" s="529"/>
      <c r="Q702" s="286"/>
      <c r="R702" s="286"/>
      <c r="S702" s="286"/>
      <c r="T702" s="286"/>
      <c r="U702" s="286"/>
      <c r="V702" s="286"/>
      <c r="W702" s="286"/>
      <c r="X702" s="286"/>
      <c r="Y702" s="286"/>
      <c r="Z702" s="286"/>
      <c r="AA702" s="286"/>
      <c r="AB702" s="286"/>
    </row>
    <row r="703">
      <c r="A703" s="286"/>
      <c r="B703" s="286"/>
      <c r="C703" s="529"/>
      <c r="D703" s="306"/>
      <c r="E703" s="306"/>
      <c r="F703" s="306"/>
      <c r="G703" s="528"/>
      <c r="H703" s="286"/>
      <c r="I703" s="286"/>
      <c r="J703" s="529"/>
      <c r="K703" s="286"/>
      <c r="L703" s="286"/>
      <c r="M703" s="529"/>
      <c r="N703" s="529"/>
      <c r="O703" s="529"/>
      <c r="P703" s="529"/>
      <c r="Q703" s="286"/>
      <c r="R703" s="286"/>
      <c r="S703" s="286"/>
      <c r="T703" s="286"/>
      <c r="U703" s="286"/>
      <c r="V703" s="286"/>
      <c r="W703" s="286"/>
      <c r="X703" s="286"/>
      <c r="Y703" s="286"/>
      <c r="Z703" s="286"/>
      <c r="AA703" s="286"/>
      <c r="AB703" s="286"/>
    </row>
    <row r="704">
      <c r="A704" s="286"/>
      <c r="B704" s="286"/>
      <c r="C704" s="529"/>
      <c r="D704" s="306"/>
      <c r="E704" s="306"/>
      <c r="F704" s="306"/>
      <c r="G704" s="528"/>
      <c r="H704" s="286"/>
      <c r="I704" s="286"/>
      <c r="J704" s="529"/>
      <c r="K704" s="286"/>
      <c r="L704" s="286"/>
      <c r="M704" s="529"/>
      <c r="N704" s="529"/>
      <c r="O704" s="529"/>
      <c r="P704" s="529"/>
      <c r="Q704" s="286"/>
      <c r="R704" s="286"/>
      <c r="S704" s="286"/>
      <c r="T704" s="286"/>
      <c r="U704" s="286"/>
      <c r="V704" s="286"/>
      <c r="W704" s="286"/>
      <c r="X704" s="286"/>
      <c r="Y704" s="286"/>
      <c r="Z704" s="286"/>
      <c r="AA704" s="286"/>
      <c r="AB704" s="286"/>
    </row>
    <row r="705">
      <c r="A705" s="286"/>
      <c r="B705" s="286"/>
      <c r="C705" s="529"/>
      <c r="D705" s="306"/>
      <c r="E705" s="306"/>
      <c r="F705" s="306"/>
      <c r="G705" s="528"/>
      <c r="H705" s="286"/>
      <c r="I705" s="286"/>
      <c r="J705" s="529"/>
      <c r="K705" s="286"/>
      <c r="L705" s="286"/>
      <c r="M705" s="529"/>
      <c r="N705" s="529"/>
      <c r="O705" s="529"/>
      <c r="P705" s="529"/>
      <c r="Q705" s="286"/>
      <c r="R705" s="286"/>
      <c r="S705" s="286"/>
      <c r="T705" s="286"/>
      <c r="U705" s="286"/>
      <c r="V705" s="286"/>
      <c r="W705" s="286"/>
      <c r="X705" s="286"/>
      <c r="Y705" s="286"/>
      <c r="Z705" s="286"/>
      <c r="AA705" s="286"/>
      <c r="AB705" s="286"/>
    </row>
    <row r="706">
      <c r="A706" s="286"/>
      <c r="B706" s="286"/>
      <c r="C706" s="529"/>
      <c r="D706" s="306"/>
      <c r="E706" s="306"/>
      <c r="F706" s="306"/>
      <c r="G706" s="528"/>
      <c r="H706" s="286"/>
      <c r="I706" s="286"/>
      <c r="J706" s="529"/>
      <c r="K706" s="286"/>
      <c r="L706" s="286"/>
      <c r="M706" s="529"/>
      <c r="N706" s="529"/>
      <c r="O706" s="529"/>
      <c r="P706" s="529"/>
      <c r="Q706" s="286"/>
      <c r="R706" s="286"/>
      <c r="S706" s="286"/>
      <c r="T706" s="286"/>
      <c r="U706" s="286"/>
      <c r="V706" s="286"/>
      <c r="W706" s="286"/>
      <c r="X706" s="286"/>
      <c r="Y706" s="286"/>
      <c r="Z706" s="286"/>
      <c r="AA706" s="286"/>
      <c r="AB706" s="286"/>
    </row>
    <row r="707">
      <c r="A707" s="286"/>
      <c r="B707" s="286"/>
      <c r="C707" s="529"/>
      <c r="D707" s="306"/>
      <c r="E707" s="306"/>
      <c r="F707" s="306"/>
      <c r="G707" s="528"/>
      <c r="H707" s="286"/>
      <c r="I707" s="286"/>
      <c r="J707" s="529"/>
      <c r="K707" s="286"/>
      <c r="L707" s="286"/>
      <c r="M707" s="529"/>
      <c r="N707" s="529"/>
      <c r="O707" s="529"/>
      <c r="P707" s="529"/>
      <c r="Q707" s="286"/>
      <c r="R707" s="286"/>
      <c r="S707" s="286"/>
      <c r="T707" s="286"/>
      <c r="U707" s="286"/>
      <c r="V707" s="286"/>
      <c r="W707" s="286"/>
      <c r="X707" s="286"/>
      <c r="Y707" s="286"/>
      <c r="Z707" s="286"/>
      <c r="AA707" s="286"/>
      <c r="AB707" s="286"/>
    </row>
    <row r="708">
      <c r="A708" s="286"/>
      <c r="B708" s="286"/>
      <c r="C708" s="529"/>
      <c r="D708" s="306"/>
      <c r="E708" s="306"/>
      <c r="F708" s="306"/>
      <c r="G708" s="528"/>
      <c r="H708" s="286"/>
      <c r="I708" s="286"/>
      <c r="J708" s="529"/>
      <c r="K708" s="286"/>
      <c r="L708" s="286"/>
      <c r="M708" s="529"/>
      <c r="N708" s="529"/>
      <c r="O708" s="529"/>
      <c r="P708" s="529"/>
      <c r="Q708" s="286"/>
      <c r="R708" s="286"/>
      <c r="S708" s="286"/>
      <c r="T708" s="286"/>
      <c r="U708" s="286"/>
      <c r="V708" s="286"/>
      <c r="W708" s="286"/>
      <c r="X708" s="286"/>
      <c r="Y708" s="286"/>
      <c r="Z708" s="286"/>
      <c r="AA708" s="286"/>
      <c r="AB708" s="286"/>
    </row>
    <row r="709">
      <c r="A709" s="286"/>
      <c r="B709" s="286"/>
      <c r="C709" s="529"/>
      <c r="D709" s="306"/>
      <c r="E709" s="306"/>
      <c r="F709" s="306"/>
      <c r="G709" s="528"/>
      <c r="H709" s="286"/>
      <c r="I709" s="286"/>
      <c r="J709" s="529"/>
      <c r="K709" s="286"/>
      <c r="L709" s="286"/>
      <c r="M709" s="529"/>
      <c r="N709" s="529"/>
      <c r="O709" s="529"/>
      <c r="P709" s="529"/>
      <c r="Q709" s="286"/>
      <c r="R709" s="286"/>
      <c r="S709" s="286"/>
      <c r="T709" s="286"/>
      <c r="U709" s="286"/>
      <c r="V709" s="286"/>
      <c r="W709" s="286"/>
      <c r="X709" s="286"/>
      <c r="Y709" s="286"/>
      <c r="Z709" s="286"/>
      <c r="AA709" s="286"/>
      <c r="AB709" s="286"/>
    </row>
    <row r="710">
      <c r="A710" s="286"/>
      <c r="B710" s="286"/>
      <c r="C710" s="529"/>
      <c r="D710" s="306"/>
      <c r="E710" s="306"/>
      <c r="F710" s="306"/>
      <c r="G710" s="528"/>
      <c r="H710" s="286"/>
      <c r="I710" s="286"/>
      <c r="J710" s="529"/>
      <c r="K710" s="286"/>
      <c r="L710" s="286"/>
      <c r="M710" s="529"/>
      <c r="N710" s="529"/>
      <c r="O710" s="529"/>
      <c r="P710" s="529"/>
      <c r="Q710" s="286"/>
      <c r="R710" s="286"/>
      <c r="S710" s="286"/>
      <c r="T710" s="286"/>
      <c r="U710" s="286"/>
      <c r="V710" s="286"/>
      <c r="W710" s="286"/>
      <c r="X710" s="286"/>
      <c r="Y710" s="286"/>
      <c r="Z710" s="286"/>
      <c r="AA710" s="286"/>
      <c r="AB710" s="286"/>
    </row>
    <row r="711">
      <c r="A711" s="286"/>
      <c r="B711" s="286"/>
      <c r="C711" s="529"/>
      <c r="D711" s="306"/>
      <c r="E711" s="306"/>
      <c r="F711" s="306"/>
      <c r="G711" s="528"/>
      <c r="H711" s="286"/>
      <c r="I711" s="286"/>
      <c r="J711" s="529"/>
      <c r="K711" s="286"/>
      <c r="L711" s="286"/>
      <c r="M711" s="529"/>
      <c r="N711" s="529"/>
      <c r="O711" s="529"/>
      <c r="P711" s="529"/>
      <c r="Q711" s="286"/>
      <c r="R711" s="286"/>
      <c r="S711" s="286"/>
      <c r="T711" s="286"/>
      <c r="U711" s="286"/>
      <c r="V711" s="286"/>
      <c r="W711" s="286"/>
      <c r="X711" s="286"/>
      <c r="Y711" s="286"/>
      <c r="Z711" s="286"/>
      <c r="AA711" s="286"/>
      <c r="AB711" s="286"/>
    </row>
    <row r="712">
      <c r="A712" s="286"/>
      <c r="B712" s="286"/>
      <c r="C712" s="529"/>
      <c r="D712" s="306"/>
      <c r="E712" s="306"/>
      <c r="F712" s="306"/>
      <c r="G712" s="528"/>
      <c r="H712" s="286"/>
      <c r="I712" s="286"/>
      <c r="J712" s="529"/>
      <c r="K712" s="286"/>
      <c r="L712" s="286"/>
      <c r="M712" s="529"/>
      <c r="N712" s="529"/>
      <c r="O712" s="529"/>
      <c r="P712" s="529"/>
      <c r="Q712" s="286"/>
      <c r="R712" s="286"/>
      <c r="S712" s="286"/>
      <c r="T712" s="286"/>
      <c r="U712" s="286"/>
      <c r="V712" s="286"/>
      <c r="W712" s="286"/>
      <c r="X712" s="286"/>
      <c r="Y712" s="286"/>
      <c r="Z712" s="286"/>
      <c r="AA712" s="286"/>
      <c r="AB712" s="286"/>
    </row>
    <row r="713">
      <c r="A713" s="286"/>
      <c r="B713" s="286"/>
      <c r="C713" s="529"/>
      <c r="D713" s="306"/>
      <c r="E713" s="306"/>
      <c r="F713" s="306"/>
      <c r="G713" s="528"/>
      <c r="H713" s="286"/>
      <c r="I713" s="286"/>
      <c r="J713" s="529"/>
      <c r="K713" s="286"/>
      <c r="L713" s="286"/>
      <c r="M713" s="529"/>
      <c r="N713" s="529"/>
      <c r="O713" s="529"/>
      <c r="P713" s="529"/>
      <c r="Q713" s="286"/>
      <c r="R713" s="286"/>
      <c r="S713" s="286"/>
      <c r="T713" s="286"/>
      <c r="U713" s="286"/>
      <c r="V713" s="286"/>
      <c r="W713" s="286"/>
      <c r="X713" s="286"/>
      <c r="Y713" s="286"/>
      <c r="Z713" s="286"/>
      <c r="AA713" s="286"/>
      <c r="AB713" s="286"/>
    </row>
    <row r="714">
      <c r="A714" s="286"/>
      <c r="B714" s="286"/>
      <c r="C714" s="529"/>
      <c r="D714" s="306"/>
      <c r="E714" s="306"/>
      <c r="F714" s="306"/>
      <c r="G714" s="528"/>
      <c r="H714" s="286"/>
      <c r="I714" s="286"/>
      <c r="J714" s="529"/>
      <c r="K714" s="286"/>
      <c r="L714" s="286"/>
      <c r="M714" s="529"/>
      <c r="N714" s="529"/>
      <c r="O714" s="529"/>
      <c r="P714" s="529"/>
      <c r="Q714" s="286"/>
      <c r="R714" s="286"/>
      <c r="S714" s="286"/>
      <c r="T714" s="286"/>
      <c r="U714" s="286"/>
      <c r="V714" s="286"/>
      <c r="W714" s="286"/>
      <c r="X714" s="286"/>
      <c r="Y714" s="286"/>
      <c r="Z714" s="286"/>
      <c r="AA714" s="286"/>
      <c r="AB714" s="286"/>
    </row>
    <row r="715">
      <c r="A715" s="286"/>
      <c r="B715" s="286"/>
      <c r="C715" s="529"/>
      <c r="D715" s="306"/>
      <c r="E715" s="306"/>
      <c r="F715" s="306"/>
      <c r="G715" s="528"/>
      <c r="H715" s="286"/>
      <c r="I715" s="286"/>
      <c r="J715" s="529"/>
      <c r="K715" s="286"/>
      <c r="L715" s="286"/>
      <c r="M715" s="529"/>
      <c r="N715" s="529"/>
      <c r="O715" s="529"/>
      <c r="P715" s="529"/>
      <c r="Q715" s="286"/>
      <c r="R715" s="286"/>
      <c r="S715" s="286"/>
      <c r="T715" s="286"/>
      <c r="U715" s="286"/>
      <c r="V715" s="286"/>
      <c r="W715" s="286"/>
      <c r="X715" s="286"/>
      <c r="Y715" s="286"/>
      <c r="Z715" s="286"/>
      <c r="AA715" s="286"/>
      <c r="AB715" s="286"/>
    </row>
    <row r="716">
      <c r="A716" s="286"/>
      <c r="B716" s="286"/>
      <c r="C716" s="529"/>
      <c r="D716" s="306"/>
      <c r="E716" s="306"/>
      <c r="F716" s="306"/>
      <c r="G716" s="528"/>
      <c r="H716" s="286"/>
      <c r="I716" s="286"/>
      <c r="J716" s="529"/>
      <c r="K716" s="286"/>
      <c r="L716" s="286"/>
      <c r="M716" s="529"/>
      <c r="N716" s="529"/>
      <c r="O716" s="529"/>
      <c r="P716" s="529"/>
      <c r="Q716" s="286"/>
      <c r="R716" s="286"/>
      <c r="S716" s="286"/>
      <c r="T716" s="286"/>
      <c r="U716" s="286"/>
      <c r="V716" s="286"/>
      <c r="W716" s="286"/>
      <c r="X716" s="286"/>
      <c r="Y716" s="286"/>
      <c r="Z716" s="286"/>
      <c r="AA716" s="286"/>
      <c r="AB716" s="286"/>
    </row>
    <row r="717">
      <c r="A717" s="286"/>
      <c r="B717" s="286"/>
      <c r="C717" s="529"/>
      <c r="D717" s="306"/>
      <c r="E717" s="306"/>
      <c r="F717" s="306"/>
      <c r="G717" s="528"/>
      <c r="H717" s="286"/>
      <c r="I717" s="286"/>
      <c r="J717" s="529"/>
      <c r="K717" s="286"/>
      <c r="L717" s="286"/>
      <c r="M717" s="529"/>
      <c r="N717" s="529"/>
      <c r="O717" s="529"/>
      <c r="P717" s="529"/>
      <c r="Q717" s="286"/>
      <c r="R717" s="286"/>
      <c r="S717" s="286"/>
      <c r="T717" s="286"/>
      <c r="U717" s="286"/>
      <c r="V717" s="286"/>
      <c r="W717" s="286"/>
      <c r="X717" s="286"/>
      <c r="Y717" s="286"/>
      <c r="Z717" s="286"/>
      <c r="AA717" s="286"/>
      <c r="AB717" s="286"/>
    </row>
    <row r="718">
      <c r="A718" s="286"/>
      <c r="B718" s="286"/>
      <c r="C718" s="529"/>
      <c r="D718" s="306"/>
      <c r="E718" s="306"/>
      <c r="F718" s="306"/>
      <c r="G718" s="528"/>
      <c r="H718" s="286"/>
      <c r="I718" s="286"/>
      <c r="J718" s="529"/>
      <c r="K718" s="286"/>
      <c r="L718" s="286"/>
      <c r="M718" s="529"/>
      <c r="N718" s="529"/>
      <c r="O718" s="529"/>
      <c r="P718" s="529"/>
      <c r="Q718" s="286"/>
      <c r="R718" s="286"/>
      <c r="S718" s="286"/>
      <c r="T718" s="286"/>
      <c r="U718" s="286"/>
      <c r="V718" s="286"/>
      <c r="W718" s="286"/>
      <c r="X718" s="286"/>
      <c r="Y718" s="286"/>
      <c r="Z718" s="286"/>
      <c r="AA718" s="286"/>
      <c r="AB718" s="286"/>
    </row>
    <row r="719">
      <c r="A719" s="286"/>
      <c r="B719" s="286"/>
      <c r="C719" s="529"/>
      <c r="D719" s="306"/>
      <c r="E719" s="306"/>
      <c r="F719" s="306"/>
      <c r="G719" s="528"/>
      <c r="H719" s="286"/>
      <c r="I719" s="286"/>
      <c r="J719" s="529"/>
      <c r="K719" s="286"/>
      <c r="L719" s="286"/>
      <c r="M719" s="529"/>
      <c r="N719" s="529"/>
      <c r="O719" s="529"/>
      <c r="P719" s="529"/>
      <c r="Q719" s="286"/>
      <c r="R719" s="286"/>
      <c r="S719" s="286"/>
      <c r="T719" s="286"/>
      <c r="U719" s="286"/>
      <c r="V719" s="286"/>
      <c r="W719" s="286"/>
      <c r="X719" s="286"/>
      <c r="Y719" s="286"/>
      <c r="Z719" s="286"/>
      <c r="AA719" s="286"/>
      <c r="AB719" s="286"/>
    </row>
    <row r="720">
      <c r="A720" s="286"/>
      <c r="B720" s="286"/>
      <c r="C720" s="529"/>
      <c r="D720" s="306"/>
      <c r="E720" s="306"/>
      <c r="F720" s="306"/>
      <c r="G720" s="528"/>
      <c r="H720" s="286"/>
      <c r="I720" s="286"/>
      <c r="J720" s="529"/>
      <c r="K720" s="286"/>
      <c r="L720" s="286"/>
      <c r="M720" s="529"/>
      <c r="N720" s="529"/>
      <c r="O720" s="529"/>
      <c r="P720" s="529"/>
      <c r="Q720" s="286"/>
      <c r="R720" s="286"/>
      <c r="S720" s="286"/>
      <c r="T720" s="286"/>
      <c r="U720" s="286"/>
      <c r="V720" s="286"/>
      <c r="W720" s="286"/>
      <c r="X720" s="286"/>
      <c r="Y720" s="286"/>
      <c r="Z720" s="286"/>
      <c r="AA720" s="286"/>
      <c r="AB720" s="286"/>
    </row>
    <row r="721">
      <c r="A721" s="286"/>
      <c r="B721" s="286"/>
      <c r="C721" s="529"/>
      <c r="D721" s="306"/>
      <c r="E721" s="306"/>
      <c r="F721" s="306"/>
      <c r="G721" s="528"/>
      <c r="H721" s="286"/>
      <c r="I721" s="286"/>
      <c r="J721" s="529"/>
      <c r="K721" s="286"/>
      <c r="L721" s="286"/>
      <c r="M721" s="529"/>
      <c r="N721" s="529"/>
      <c r="O721" s="529"/>
      <c r="P721" s="529"/>
      <c r="Q721" s="286"/>
      <c r="R721" s="286"/>
      <c r="S721" s="286"/>
      <c r="T721" s="286"/>
      <c r="U721" s="286"/>
      <c r="V721" s="286"/>
      <c r="W721" s="286"/>
      <c r="X721" s="286"/>
      <c r="Y721" s="286"/>
      <c r="Z721" s="286"/>
      <c r="AA721" s="286"/>
      <c r="AB721" s="286"/>
    </row>
    <row r="722">
      <c r="A722" s="286"/>
      <c r="B722" s="286"/>
      <c r="C722" s="529"/>
      <c r="D722" s="306"/>
      <c r="E722" s="306"/>
      <c r="F722" s="306"/>
      <c r="G722" s="528"/>
      <c r="H722" s="286"/>
      <c r="I722" s="286"/>
      <c r="J722" s="529"/>
      <c r="K722" s="286"/>
      <c r="L722" s="286"/>
      <c r="M722" s="529"/>
      <c r="N722" s="529"/>
      <c r="O722" s="529"/>
      <c r="P722" s="529"/>
      <c r="Q722" s="286"/>
      <c r="R722" s="286"/>
      <c r="S722" s="286"/>
      <c r="T722" s="286"/>
      <c r="U722" s="286"/>
      <c r="V722" s="286"/>
      <c r="W722" s="286"/>
      <c r="X722" s="286"/>
      <c r="Y722" s="286"/>
      <c r="Z722" s="286"/>
      <c r="AA722" s="286"/>
      <c r="AB722" s="286"/>
    </row>
    <row r="723">
      <c r="A723" s="286"/>
      <c r="B723" s="286"/>
      <c r="C723" s="529"/>
      <c r="D723" s="306"/>
      <c r="E723" s="306"/>
      <c r="F723" s="306"/>
      <c r="G723" s="528"/>
      <c r="H723" s="286"/>
      <c r="I723" s="286"/>
      <c r="J723" s="529"/>
      <c r="K723" s="286"/>
      <c r="L723" s="286"/>
      <c r="M723" s="529"/>
      <c r="N723" s="529"/>
      <c r="O723" s="529"/>
      <c r="P723" s="529"/>
      <c r="Q723" s="286"/>
      <c r="R723" s="286"/>
      <c r="S723" s="286"/>
      <c r="T723" s="286"/>
      <c r="U723" s="286"/>
      <c r="V723" s="286"/>
      <c r="W723" s="286"/>
      <c r="X723" s="286"/>
      <c r="Y723" s="286"/>
      <c r="Z723" s="286"/>
      <c r="AA723" s="286"/>
      <c r="AB723" s="286"/>
    </row>
    <row r="724">
      <c r="A724" s="286"/>
      <c r="B724" s="286"/>
      <c r="C724" s="529"/>
      <c r="D724" s="306"/>
      <c r="E724" s="306"/>
      <c r="F724" s="306"/>
      <c r="G724" s="528"/>
      <c r="H724" s="286"/>
      <c r="I724" s="286"/>
      <c r="J724" s="529"/>
      <c r="K724" s="286"/>
      <c r="L724" s="286"/>
      <c r="M724" s="529"/>
      <c r="N724" s="529"/>
      <c r="O724" s="529"/>
      <c r="P724" s="529"/>
      <c r="Q724" s="286"/>
      <c r="R724" s="286"/>
      <c r="S724" s="286"/>
      <c r="T724" s="286"/>
      <c r="U724" s="286"/>
      <c r="V724" s="286"/>
      <c r="W724" s="286"/>
      <c r="X724" s="286"/>
      <c r="Y724" s="286"/>
      <c r="Z724" s="286"/>
      <c r="AA724" s="286"/>
      <c r="AB724" s="286"/>
    </row>
    <row r="725">
      <c r="A725" s="286"/>
      <c r="B725" s="286"/>
      <c r="C725" s="529"/>
      <c r="D725" s="306"/>
      <c r="E725" s="306"/>
      <c r="F725" s="306"/>
      <c r="G725" s="528"/>
      <c r="H725" s="286"/>
      <c r="I725" s="286"/>
      <c r="J725" s="529"/>
      <c r="K725" s="286"/>
      <c r="L725" s="286"/>
      <c r="M725" s="529"/>
      <c r="N725" s="529"/>
      <c r="O725" s="529"/>
      <c r="P725" s="529"/>
      <c r="Q725" s="286"/>
      <c r="R725" s="286"/>
      <c r="S725" s="286"/>
      <c r="T725" s="286"/>
      <c r="U725" s="286"/>
      <c r="V725" s="286"/>
      <c r="W725" s="286"/>
      <c r="X725" s="286"/>
      <c r="Y725" s="286"/>
      <c r="Z725" s="286"/>
      <c r="AA725" s="286"/>
      <c r="AB725" s="286"/>
    </row>
    <row r="726">
      <c r="A726" s="286"/>
      <c r="B726" s="286"/>
      <c r="C726" s="529"/>
      <c r="D726" s="306"/>
      <c r="E726" s="306"/>
      <c r="F726" s="306"/>
      <c r="G726" s="528"/>
      <c r="H726" s="286"/>
      <c r="I726" s="286"/>
      <c r="J726" s="529"/>
      <c r="K726" s="286"/>
      <c r="L726" s="286"/>
      <c r="M726" s="529"/>
      <c r="N726" s="529"/>
      <c r="O726" s="529"/>
      <c r="P726" s="529"/>
      <c r="Q726" s="286"/>
      <c r="R726" s="286"/>
      <c r="S726" s="286"/>
      <c r="T726" s="286"/>
      <c r="U726" s="286"/>
      <c r="V726" s="286"/>
      <c r="W726" s="286"/>
      <c r="X726" s="286"/>
      <c r="Y726" s="286"/>
      <c r="Z726" s="286"/>
      <c r="AA726" s="286"/>
      <c r="AB726" s="286"/>
    </row>
    <row r="727">
      <c r="A727" s="286"/>
      <c r="B727" s="286"/>
      <c r="C727" s="529"/>
      <c r="D727" s="306"/>
      <c r="E727" s="306"/>
      <c r="F727" s="306"/>
      <c r="G727" s="528"/>
      <c r="H727" s="286"/>
      <c r="I727" s="286"/>
      <c r="J727" s="529"/>
      <c r="K727" s="286"/>
      <c r="L727" s="286"/>
      <c r="M727" s="529"/>
      <c r="N727" s="529"/>
      <c r="O727" s="529"/>
      <c r="P727" s="529"/>
      <c r="Q727" s="286"/>
      <c r="R727" s="286"/>
      <c r="S727" s="286"/>
      <c r="T727" s="286"/>
      <c r="U727" s="286"/>
      <c r="V727" s="286"/>
      <c r="W727" s="286"/>
      <c r="X727" s="286"/>
      <c r="Y727" s="286"/>
      <c r="Z727" s="286"/>
      <c r="AA727" s="286"/>
      <c r="AB727" s="286"/>
    </row>
    <row r="728">
      <c r="A728" s="286"/>
      <c r="B728" s="286"/>
      <c r="C728" s="529"/>
      <c r="D728" s="306"/>
      <c r="E728" s="306"/>
      <c r="F728" s="306"/>
      <c r="G728" s="528"/>
      <c r="H728" s="286"/>
      <c r="I728" s="286"/>
      <c r="J728" s="529"/>
      <c r="K728" s="286"/>
      <c r="L728" s="286"/>
      <c r="M728" s="529"/>
      <c r="N728" s="529"/>
      <c r="O728" s="529"/>
      <c r="P728" s="529"/>
      <c r="Q728" s="286"/>
      <c r="R728" s="286"/>
      <c r="S728" s="286"/>
      <c r="T728" s="286"/>
      <c r="U728" s="286"/>
      <c r="V728" s="286"/>
      <c r="W728" s="286"/>
      <c r="X728" s="286"/>
      <c r="Y728" s="286"/>
      <c r="Z728" s="286"/>
      <c r="AA728" s="286"/>
      <c r="AB728" s="286"/>
    </row>
    <row r="729">
      <c r="A729" s="286"/>
      <c r="B729" s="286"/>
      <c r="C729" s="529"/>
      <c r="D729" s="306"/>
      <c r="E729" s="306"/>
      <c r="F729" s="306"/>
      <c r="G729" s="528"/>
      <c r="H729" s="286"/>
      <c r="I729" s="286"/>
      <c r="J729" s="529"/>
      <c r="K729" s="286"/>
      <c r="L729" s="286"/>
      <c r="M729" s="529"/>
      <c r="N729" s="529"/>
      <c r="O729" s="529"/>
      <c r="P729" s="529"/>
      <c r="Q729" s="286"/>
      <c r="R729" s="286"/>
      <c r="S729" s="286"/>
      <c r="T729" s="286"/>
      <c r="U729" s="286"/>
      <c r="V729" s="286"/>
      <c r="W729" s="286"/>
      <c r="X729" s="286"/>
      <c r="Y729" s="286"/>
      <c r="Z729" s="286"/>
      <c r="AA729" s="286"/>
      <c r="AB729" s="286"/>
    </row>
    <row r="730">
      <c r="A730" s="286"/>
      <c r="B730" s="286"/>
      <c r="C730" s="529"/>
      <c r="D730" s="306"/>
      <c r="E730" s="306"/>
      <c r="F730" s="306"/>
      <c r="G730" s="528"/>
      <c r="H730" s="286"/>
      <c r="I730" s="286"/>
      <c r="J730" s="529"/>
      <c r="K730" s="286"/>
      <c r="L730" s="286"/>
      <c r="M730" s="529"/>
      <c r="N730" s="529"/>
      <c r="O730" s="529"/>
      <c r="P730" s="529"/>
      <c r="Q730" s="286"/>
      <c r="R730" s="286"/>
      <c r="S730" s="286"/>
      <c r="T730" s="286"/>
      <c r="U730" s="286"/>
      <c r="V730" s="286"/>
      <c r="W730" s="286"/>
      <c r="X730" s="286"/>
      <c r="Y730" s="286"/>
      <c r="Z730" s="286"/>
      <c r="AA730" s="286"/>
      <c r="AB730" s="286"/>
    </row>
    <row r="731">
      <c r="A731" s="286"/>
      <c r="B731" s="286"/>
      <c r="C731" s="529"/>
      <c r="D731" s="306"/>
      <c r="E731" s="306"/>
      <c r="F731" s="306"/>
      <c r="G731" s="528"/>
      <c r="H731" s="286"/>
      <c r="I731" s="286"/>
      <c r="J731" s="529"/>
      <c r="K731" s="286"/>
      <c r="L731" s="286"/>
      <c r="M731" s="529"/>
      <c r="N731" s="529"/>
      <c r="O731" s="529"/>
      <c r="P731" s="529"/>
      <c r="Q731" s="286"/>
      <c r="R731" s="286"/>
      <c r="S731" s="286"/>
      <c r="T731" s="286"/>
      <c r="U731" s="286"/>
      <c r="V731" s="286"/>
      <c r="W731" s="286"/>
      <c r="X731" s="286"/>
      <c r="Y731" s="286"/>
      <c r="Z731" s="286"/>
      <c r="AA731" s="286"/>
      <c r="AB731" s="286"/>
    </row>
    <row r="732">
      <c r="A732" s="286"/>
      <c r="B732" s="286"/>
      <c r="C732" s="529"/>
      <c r="D732" s="306"/>
      <c r="E732" s="306"/>
      <c r="F732" s="306"/>
      <c r="G732" s="528"/>
      <c r="H732" s="286"/>
      <c r="I732" s="286"/>
      <c r="J732" s="529"/>
      <c r="K732" s="286"/>
      <c r="L732" s="286"/>
      <c r="M732" s="529"/>
      <c r="N732" s="529"/>
      <c r="O732" s="529"/>
      <c r="P732" s="529"/>
      <c r="Q732" s="286"/>
      <c r="R732" s="286"/>
      <c r="S732" s="286"/>
      <c r="T732" s="286"/>
      <c r="U732" s="286"/>
      <c r="V732" s="286"/>
      <c r="W732" s="286"/>
      <c r="X732" s="286"/>
      <c r="Y732" s="286"/>
      <c r="Z732" s="286"/>
      <c r="AA732" s="286"/>
      <c r="AB732" s="286"/>
    </row>
    <row r="733">
      <c r="A733" s="286"/>
      <c r="B733" s="286"/>
      <c r="C733" s="529"/>
      <c r="D733" s="306"/>
      <c r="E733" s="306"/>
      <c r="F733" s="306"/>
      <c r="G733" s="528"/>
      <c r="H733" s="286"/>
      <c r="I733" s="286"/>
      <c r="J733" s="529"/>
      <c r="K733" s="286"/>
      <c r="L733" s="286"/>
      <c r="M733" s="529"/>
      <c r="N733" s="529"/>
      <c r="O733" s="529"/>
      <c r="P733" s="529"/>
      <c r="Q733" s="286"/>
      <c r="R733" s="286"/>
      <c r="S733" s="286"/>
      <c r="T733" s="286"/>
      <c r="U733" s="286"/>
      <c r="V733" s="286"/>
      <c r="W733" s="286"/>
      <c r="X733" s="286"/>
      <c r="Y733" s="286"/>
      <c r="Z733" s="286"/>
      <c r="AA733" s="286"/>
      <c r="AB733" s="286"/>
    </row>
    <row r="734">
      <c r="A734" s="286"/>
      <c r="B734" s="286"/>
      <c r="C734" s="529"/>
      <c r="D734" s="306"/>
      <c r="E734" s="306"/>
      <c r="F734" s="306"/>
      <c r="G734" s="528"/>
      <c r="H734" s="286"/>
      <c r="I734" s="286"/>
      <c r="J734" s="529"/>
      <c r="K734" s="286"/>
      <c r="L734" s="286"/>
      <c r="M734" s="529"/>
      <c r="N734" s="529"/>
      <c r="O734" s="529"/>
      <c r="P734" s="529"/>
      <c r="Q734" s="286"/>
      <c r="R734" s="286"/>
      <c r="S734" s="286"/>
      <c r="T734" s="286"/>
      <c r="U734" s="286"/>
      <c r="V734" s="286"/>
      <c r="W734" s="286"/>
      <c r="X734" s="286"/>
      <c r="Y734" s="286"/>
      <c r="Z734" s="286"/>
      <c r="AA734" s="286"/>
      <c r="AB734" s="286"/>
    </row>
    <row r="735">
      <c r="A735" s="286"/>
      <c r="B735" s="286"/>
      <c r="C735" s="529"/>
      <c r="D735" s="306"/>
      <c r="E735" s="306"/>
      <c r="F735" s="306"/>
      <c r="G735" s="528"/>
      <c r="H735" s="286"/>
      <c r="I735" s="286"/>
      <c r="J735" s="529"/>
      <c r="K735" s="286"/>
      <c r="L735" s="286"/>
      <c r="M735" s="529"/>
      <c r="N735" s="529"/>
      <c r="O735" s="529"/>
      <c r="P735" s="529"/>
      <c r="Q735" s="286"/>
      <c r="R735" s="286"/>
      <c r="S735" s="286"/>
      <c r="T735" s="286"/>
      <c r="U735" s="286"/>
      <c r="V735" s="286"/>
      <c r="W735" s="286"/>
      <c r="X735" s="286"/>
      <c r="Y735" s="286"/>
      <c r="Z735" s="286"/>
      <c r="AA735" s="286"/>
      <c r="AB735" s="286"/>
    </row>
    <row r="736">
      <c r="A736" s="286"/>
      <c r="B736" s="286"/>
      <c r="C736" s="529"/>
      <c r="D736" s="306"/>
      <c r="E736" s="306"/>
      <c r="F736" s="306"/>
      <c r="G736" s="528"/>
      <c r="H736" s="286"/>
      <c r="I736" s="286"/>
      <c r="J736" s="529"/>
      <c r="K736" s="286"/>
      <c r="L736" s="286"/>
      <c r="M736" s="529"/>
      <c r="N736" s="529"/>
      <c r="O736" s="529"/>
      <c r="P736" s="529"/>
      <c r="Q736" s="286"/>
      <c r="R736" s="286"/>
      <c r="S736" s="286"/>
      <c r="T736" s="286"/>
      <c r="U736" s="286"/>
      <c r="V736" s="286"/>
      <c r="W736" s="286"/>
      <c r="X736" s="286"/>
      <c r="Y736" s="286"/>
      <c r="Z736" s="286"/>
      <c r="AA736" s="286"/>
      <c r="AB736" s="286"/>
    </row>
    <row r="737">
      <c r="A737" s="286"/>
      <c r="B737" s="286"/>
      <c r="C737" s="529"/>
      <c r="D737" s="306"/>
      <c r="E737" s="306"/>
      <c r="F737" s="306"/>
      <c r="G737" s="528"/>
      <c r="H737" s="286"/>
      <c r="I737" s="286"/>
      <c r="J737" s="529"/>
      <c r="K737" s="286"/>
      <c r="L737" s="286"/>
      <c r="M737" s="529"/>
      <c r="N737" s="529"/>
      <c r="O737" s="529"/>
      <c r="P737" s="529"/>
      <c r="Q737" s="286"/>
      <c r="R737" s="286"/>
      <c r="S737" s="286"/>
      <c r="T737" s="286"/>
      <c r="U737" s="286"/>
      <c r="V737" s="286"/>
      <c r="W737" s="286"/>
      <c r="X737" s="286"/>
      <c r="Y737" s="286"/>
      <c r="Z737" s="286"/>
      <c r="AA737" s="286"/>
      <c r="AB737" s="286"/>
    </row>
    <row r="738">
      <c r="A738" s="286"/>
      <c r="B738" s="286"/>
      <c r="C738" s="529"/>
      <c r="D738" s="306"/>
      <c r="E738" s="306"/>
      <c r="F738" s="306"/>
      <c r="G738" s="528"/>
      <c r="H738" s="286"/>
      <c r="I738" s="286"/>
      <c r="J738" s="529"/>
      <c r="K738" s="286"/>
      <c r="L738" s="286"/>
      <c r="M738" s="529"/>
      <c r="N738" s="529"/>
      <c r="O738" s="529"/>
      <c r="P738" s="529"/>
      <c r="Q738" s="286"/>
      <c r="R738" s="286"/>
      <c r="S738" s="286"/>
      <c r="T738" s="286"/>
      <c r="U738" s="286"/>
      <c r="V738" s="286"/>
      <c r="W738" s="286"/>
      <c r="X738" s="286"/>
      <c r="Y738" s="286"/>
      <c r="Z738" s="286"/>
      <c r="AA738" s="286"/>
      <c r="AB738" s="286"/>
    </row>
    <row r="739">
      <c r="A739" s="286"/>
      <c r="B739" s="286"/>
      <c r="C739" s="529"/>
      <c r="D739" s="306"/>
      <c r="E739" s="306"/>
      <c r="F739" s="306"/>
      <c r="G739" s="528"/>
      <c r="H739" s="286"/>
      <c r="I739" s="286"/>
      <c r="J739" s="529"/>
      <c r="K739" s="286"/>
      <c r="L739" s="286"/>
      <c r="M739" s="529"/>
      <c r="N739" s="529"/>
      <c r="O739" s="529"/>
      <c r="P739" s="529"/>
      <c r="Q739" s="286"/>
      <c r="R739" s="286"/>
      <c r="S739" s="286"/>
      <c r="T739" s="286"/>
      <c r="U739" s="286"/>
      <c r="V739" s="286"/>
      <c r="W739" s="286"/>
      <c r="X739" s="286"/>
      <c r="Y739" s="286"/>
      <c r="Z739" s="286"/>
      <c r="AA739" s="286"/>
      <c r="AB739" s="286"/>
    </row>
    <row r="740">
      <c r="A740" s="286"/>
      <c r="B740" s="286"/>
      <c r="C740" s="529"/>
      <c r="D740" s="306"/>
      <c r="E740" s="306"/>
      <c r="F740" s="306"/>
      <c r="G740" s="528"/>
      <c r="H740" s="286"/>
      <c r="I740" s="286"/>
      <c r="J740" s="529"/>
      <c r="K740" s="286"/>
      <c r="L740" s="286"/>
      <c r="M740" s="529"/>
      <c r="N740" s="529"/>
      <c r="O740" s="529"/>
      <c r="P740" s="529"/>
      <c r="Q740" s="286"/>
      <c r="R740" s="286"/>
      <c r="S740" s="286"/>
      <c r="T740" s="286"/>
      <c r="U740" s="286"/>
      <c r="V740" s="286"/>
      <c r="W740" s="286"/>
      <c r="X740" s="286"/>
      <c r="Y740" s="286"/>
      <c r="Z740" s="286"/>
      <c r="AA740" s="286"/>
      <c r="AB740" s="286"/>
    </row>
    <row r="741">
      <c r="A741" s="286"/>
      <c r="B741" s="286"/>
      <c r="C741" s="529"/>
      <c r="D741" s="306"/>
      <c r="E741" s="306"/>
      <c r="F741" s="306"/>
      <c r="G741" s="528"/>
      <c r="H741" s="286"/>
      <c r="I741" s="286"/>
      <c r="J741" s="529"/>
      <c r="K741" s="286"/>
      <c r="L741" s="286"/>
      <c r="M741" s="529"/>
      <c r="N741" s="529"/>
      <c r="O741" s="529"/>
      <c r="P741" s="529"/>
      <c r="Q741" s="286"/>
      <c r="R741" s="286"/>
      <c r="S741" s="286"/>
      <c r="T741" s="286"/>
      <c r="U741" s="286"/>
      <c r="V741" s="286"/>
      <c r="W741" s="286"/>
      <c r="X741" s="286"/>
      <c r="Y741" s="286"/>
      <c r="Z741" s="286"/>
      <c r="AA741" s="286"/>
      <c r="AB741" s="286"/>
    </row>
    <row r="742">
      <c r="A742" s="286"/>
      <c r="B742" s="286"/>
      <c r="C742" s="529"/>
      <c r="D742" s="306"/>
      <c r="E742" s="306"/>
      <c r="F742" s="306"/>
      <c r="G742" s="528"/>
      <c r="H742" s="286"/>
      <c r="I742" s="286"/>
      <c r="J742" s="529"/>
      <c r="K742" s="286"/>
      <c r="L742" s="286"/>
      <c r="M742" s="529"/>
      <c r="N742" s="529"/>
      <c r="O742" s="529"/>
      <c r="P742" s="529"/>
      <c r="Q742" s="286"/>
      <c r="R742" s="286"/>
      <c r="S742" s="286"/>
      <c r="T742" s="286"/>
      <c r="U742" s="286"/>
      <c r="V742" s="286"/>
      <c r="W742" s="286"/>
      <c r="X742" s="286"/>
      <c r="Y742" s="286"/>
      <c r="Z742" s="286"/>
      <c r="AA742" s="286"/>
      <c r="AB742" s="286"/>
    </row>
    <row r="743">
      <c r="A743" s="286"/>
      <c r="B743" s="286"/>
      <c r="C743" s="529"/>
      <c r="D743" s="306"/>
      <c r="E743" s="306"/>
      <c r="F743" s="306"/>
      <c r="G743" s="528"/>
      <c r="H743" s="286"/>
      <c r="I743" s="286"/>
      <c r="J743" s="529"/>
      <c r="K743" s="286"/>
      <c r="L743" s="286"/>
      <c r="M743" s="529"/>
      <c r="N743" s="529"/>
      <c r="O743" s="529"/>
      <c r="P743" s="529"/>
      <c r="Q743" s="286"/>
      <c r="R743" s="286"/>
      <c r="S743" s="286"/>
      <c r="T743" s="286"/>
      <c r="U743" s="286"/>
      <c r="V743" s="286"/>
      <c r="W743" s="286"/>
      <c r="X743" s="286"/>
      <c r="Y743" s="286"/>
      <c r="Z743" s="286"/>
      <c r="AA743" s="286"/>
      <c r="AB743" s="286"/>
    </row>
    <row r="744">
      <c r="A744" s="286"/>
      <c r="B744" s="286"/>
      <c r="C744" s="529"/>
      <c r="D744" s="306"/>
      <c r="E744" s="306"/>
      <c r="F744" s="306"/>
      <c r="G744" s="528"/>
      <c r="H744" s="286"/>
      <c r="I744" s="286"/>
      <c r="J744" s="529"/>
      <c r="K744" s="286"/>
      <c r="L744" s="286"/>
      <c r="M744" s="529"/>
      <c r="N744" s="529"/>
      <c r="O744" s="529"/>
      <c r="P744" s="529"/>
      <c r="Q744" s="286"/>
      <c r="R744" s="286"/>
      <c r="S744" s="286"/>
      <c r="T744" s="286"/>
      <c r="U744" s="286"/>
      <c r="V744" s="286"/>
      <c r="W744" s="286"/>
      <c r="X744" s="286"/>
      <c r="Y744" s="286"/>
      <c r="Z744" s="286"/>
      <c r="AA744" s="286"/>
      <c r="AB744" s="286"/>
    </row>
    <row r="745">
      <c r="A745" s="286"/>
      <c r="B745" s="286"/>
      <c r="C745" s="529"/>
      <c r="D745" s="306"/>
      <c r="E745" s="306"/>
      <c r="F745" s="306"/>
      <c r="G745" s="528"/>
      <c r="H745" s="286"/>
      <c r="I745" s="286"/>
      <c r="J745" s="529"/>
      <c r="K745" s="286"/>
      <c r="L745" s="286"/>
      <c r="M745" s="529"/>
      <c r="N745" s="529"/>
      <c r="O745" s="529"/>
      <c r="P745" s="529"/>
      <c r="Q745" s="286"/>
      <c r="R745" s="286"/>
      <c r="S745" s="286"/>
      <c r="T745" s="286"/>
      <c r="U745" s="286"/>
      <c r="V745" s="286"/>
      <c r="W745" s="286"/>
      <c r="X745" s="286"/>
      <c r="Y745" s="286"/>
      <c r="Z745" s="286"/>
      <c r="AA745" s="286"/>
      <c r="AB745" s="286"/>
    </row>
    <row r="746">
      <c r="A746" s="286"/>
      <c r="B746" s="286"/>
      <c r="C746" s="529"/>
      <c r="D746" s="306"/>
      <c r="E746" s="306"/>
      <c r="F746" s="306"/>
      <c r="G746" s="528"/>
      <c r="H746" s="286"/>
      <c r="I746" s="286"/>
      <c r="J746" s="529"/>
      <c r="K746" s="286"/>
      <c r="L746" s="286"/>
      <c r="M746" s="529"/>
      <c r="N746" s="529"/>
      <c r="O746" s="529"/>
      <c r="P746" s="529"/>
      <c r="Q746" s="286"/>
      <c r="R746" s="286"/>
      <c r="S746" s="286"/>
      <c r="T746" s="286"/>
      <c r="U746" s="286"/>
      <c r="V746" s="286"/>
      <c r="W746" s="286"/>
      <c r="X746" s="286"/>
      <c r="Y746" s="286"/>
      <c r="Z746" s="286"/>
      <c r="AA746" s="286"/>
      <c r="AB746" s="286"/>
    </row>
    <row r="747">
      <c r="A747" s="286"/>
      <c r="B747" s="286"/>
      <c r="C747" s="529"/>
      <c r="D747" s="306"/>
      <c r="E747" s="306"/>
      <c r="F747" s="306"/>
      <c r="G747" s="528"/>
      <c r="H747" s="286"/>
      <c r="I747" s="286"/>
      <c r="J747" s="529"/>
      <c r="K747" s="286"/>
      <c r="L747" s="286"/>
      <c r="M747" s="529"/>
      <c r="N747" s="529"/>
      <c r="O747" s="529"/>
      <c r="P747" s="529"/>
      <c r="Q747" s="286"/>
      <c r="R747" s="286"/>
      <c r="S747" s="286"/>
      <c r="T747" s="286"/>
      <c r="U747" s="286"/>
      <c r="V747" s="286"/>
      <c r="W747" s="286"/>
      <c r="X747" s="286"/>
      <c r="Y747" s="286"/>
      <c r="Z747" s="286"/>
      <c r="AA747" s="286"/>
      <c r="AB747" s="286"/>
    </row>
    <row r="748">
      <c r="A748" s="286"/>
      <c r="B748" s="286"/>
      <c r="C748" s="529"/>
      <c r="D748" s="306"/>
      <c r="E748" s="306"/>
      <c r="F748" s="306"/>
      <c r="G748" s="528"/>
      <c r="H748" s="286"/>
      <c r="I748" s="286"/>
      <c r="J748" s="529"/>
      <c r="K748" s="286"/>
      <c r="L748" s="286"/>
      <c r="M748" s="529"/>
      <c r="N748" s="529"/>
      <c r="O748" s="529"/>
      <c r="P748" s="529"/>
      <c r="Q748" s="286"/>
      <c r="R748" s="286"/>
      <c r="S748" s="286"/>
      <c r="T748" s="286"/>
      <c r="U748" s="286"/>
      <c r="V748" s="286"/>
      <c r="W748" s="286"/>
      <c r="X748" s="286"/>
      <c r="Y748" s="286"/>
      <c r="Z748" s="286"/>
      <c r="AA748" s="286"/>
      <c r="AB748" s="286"/>
    </row>
    <row r="749">
      <c r="A749" s="286"/>
      <c r="B749" s="286"/>
      <c r="C749" s="529"/>
      <c r="D749" s="306"/>
      <c r="E749" s="306"/>
      <c r="F749" s="306"/>
      <c r="G749" s="528"/>
      <c r="H749" s="286"/>
      <c r="I749" s="286"/>
      <c r="J749" s="529"/>
      <c r="K749" s="286"/>
      <c r="L749" s="286"/>
      <c r="M749" s="529"/>
      <c r="N749" s="529"/>
      <c r="O749" s="529"/>
      <c r="P749" s="529"/>
      <c r="Q749" s="286"/>
      <c r="R749" s="286"/>
      <c r="S749" s="286"/>
      <c r="T749" s="286"/>
      <c r="U749" s="286"/>
      <c r="V749" s="286"/>
      <c r="W749" s="286"/>
      <c r="X749" s="286"/>
      <c r="Y749" s="286"/>
      <c r="Z749" s="286"/>
      <c r="AA749" s="286"/>
      <c r="AB749" s="286"/>
    </row>
    <row r="750">
      <c r="A750" s="286"/>
      <c r="B750" s="286"/>
      <c r="C750" s="529"/>
      <c r="D750" s="306"/>
      <c r="E750" s="306"/>
      <c r="F750" s="306"/>
      <c r="G750" s="528"/>
      <c r="H750" s="286"/>
      <c r="I750" s="286"/>
      <c r="J750" s="529"/>
      <c r="K750" s="286"/>
      <c r="L750" s="286"/>
      <c r="M750" s="529"/>
      <c r="N750" s="529"/>
      <c r="O750" s="529"/>
      <c r="P750" s="529"/>
      <c r="Q750" s="286"/>
      <c r="R750" s="286"/>
      <c r="S750" s="286"/>
      <c r="T750" s="286"/>
      <c r="U750" s="286"/>
      <c r="V750" s="286"/>
      <c r="W750" s="286"/>
      <c r="X750" s="286"/>
      <c r="Y750" s="286"/>
      <c r="Z750" s="286"/>
      <c r="AA750" s="286"/>
      <c r="AB750" s="286"/>
    </row>
    <row r="751">
      <c r="A751" s="286"/>
      <c r="B751" s="286"/>
      <c r="C751" s="529"/>
      <c r="D751" s="306"/>
      <c r="E751" s="306"/>
      <c r="F751" s="306"/>
      <c r="G751" s="528"/>
      <c r="H751" s="286"/>
      <c r="I751" s="286"/>
      <c r="J751" s="529"/>
      <c r="K751" s="286"/>
      <c r="L751" s="286"/>
      <c r="M751" s="529"/>
      <c r="N751" s="529"/>
      <c r="O751" s="529"/>
      <c r="P751" s="529"/>
      <c r="Q751" s="286"/>
      <c r="R751" s="286"/>
      <c r="S751" s="286"/>
      <c r="T751" s="286"/>
      <c r="U751" s="286"/>
      <c r="V751" s="286"/>
      <c r="W751" s="286"/>
      <c r="X751" s="286"/>
      <c r="Y751" s="286"/>
      <c r="Z751" s="286"/>
      <c r="AA751" s="286"/>
      <c r="AB751" s="286"/>
    </row>
    <row r="752">
      <c r="A752" s="286"/>
      <c r="B752" s="286"/>
      <c r="C752" s="529"/>
      <c r="D752" s="306"/>
      <c r="E752" s="306"/>
      <c r="F752" s="306"/>
      <c r="G752" s="528"/>
      <c r="H752" s="286"/>
      <c r="I752" s="286"/>
      <c r="J752" s="529"/>
      <c r="K752" s="286"/>
      <c r="L752" s="286"/>
      <c r="M752" s="529"/>
      <c r="N752" s="529"/>
      <c r="O752" s="529"/>
      <c r="P752" s="529"/>
      <c r="Q752" s="286"/>
      <c r="R752" s="286"/>
      <c r="S752" s="286"/>
      <c r="T752" s="286"/>
      <c r="U752" s="286"/>
      <c r="V752" s="286"/>
      <c r="W752" s="286"/>
      <c r="X752" s="286"/>
      <c r="Y752" s="286"/>
      <c r="Z752" s="286"/>
      <c r="AA752" s="286"/>
      <c r="AB752" s="286"/>
    </row>
    <row r="753">
      <c r="A753" s="286"/>
      <c r="B753" s="286"/>
      <c r="C753" s="529"/>
      <c r="D753" s="306"/>
      <c r="E753" s="306"/>
      <c r="F753" s="306"/>
      <c r="G753" s="528"/>
      <c r="H753" s="286"/>
      <c r="I753" s="286"/>
      <c r="J753" s="529"/>
      <c r="K753" s="286"/>
      <c r="L753" s="286"/>
      <c r="M753" s="529"/>
      <c r="N753" s="529"/>
      <c r="O753" s="529"/>
      <c r="P753" s="529"/>
      <c r="Q753" s="286"/>
      <c r="R753" s="286"/>
      <c r="S753" s="286"/>
      <c r="T753" s="286"/>
      <c r="U753" s="286"/>
      <c r="V753" s="286"/>
      <c r="W753" s="286"/>
      <c r="X753" s="286"/>
      <c r="Y753" s="286"/>
      <c r="Z753" s="286"/>
      <c r="AA753" s="286"/>
      <c r="AB753" s="286"/>
    </row>
    <row r="754">
      <c r="A754" s="286"/>
      <c r="B754" s="286"/>
      <c r="C754" s="529"/>
      <c r="D754" s="306"/>
      <c r="E754" s="306"/>
      <c r="F754" s="306"/>
      <c r="G754" s="528"/>
      <c r="H754" s="286"/>
      <c r="I754" s="286"/>
      <c r="J754" s="529"/>
      <c r="K754" s="286"/>
      <c r="L754" s="286"/>
      <c r="M754" s="529"/>
      <c r="N754" s="529"/>
      <c r="O754" s="529"/>
      <c r="P754" s="529"/>
      <c r="Q754" s="286"/>
      <c r="R754" s="286"/>
      <c r="S754" s="286"/>
      <c r="T754" s="286"/>
      <c r="U754" s="286"/>
      <c r="V754" s="286"/>
      <c r="W754" s="286"/>
      <c r="X754" s="286"/>
      <c r="Y754" s="286"/>
      <c r="Z754" s="286"/>
      <c r="AA754" s="286"/>
      <c r="AB754" s="286"/>
    </row>
    <row r="755">
      <c r="A755" s="286"/>
      <c r="B755" s="286"/>
      <c r="C755" s="529"/>
      <c r="D755" s="306"/>
      <c r="E755" s="306"/>
      <c r="F755" s="306"/>
      <c r="G755" s="528"/>
      <c r="H755" s="286"/>
      <c r="I755" s="286"/>
      <c r="J755" s="529"/>
      <c r="K755" s="286"/>
      <c r="L755" s="286"/>
      <c r="M755" s="529"/>
      <c r="N755" s="529"/>
      <c r="O755" s="529"/>
      <c r="P755" s="529"/>
      <c r="Q755" s="286"/>
      <c r="R755" s="286"/>
      <c r="S755" s="286"/>
      <c r="T755" s="286"/>
      <c r="U755" s="286"/>
      <c r="V755" s="286"/>
      <c r="W755" s="286"/>
      <c r="X755" s="286"/>
      <c r="Y755" s="286"/>
      <c r="Z755" s="286"/>
      <c r="AA755" s="286"/>
      <c r="AB755" s="286"/>
    </row>
    <row r="756">
      <c r="A756" s="286"/>
      <c r="B756" s="286"/>
      <c r="C756" s="529"/>
      <c r="D756" s="306"/>
      <c r="E756" s="306"/>
      <c r="F756" s="306"/>
      <c r="G756" s="528"/>
      <c r="H756" s="286"/>
      <c r="I756" s="286"/>
      <c r="J756" s="529"/>
      <c r="K756" s="286"/>
      <c r="L756" s="286"/>
      <c r="M756" s="529"/>
      <c r="N756" s="529"/>
      <c r="O756" s="529"/>
      <c r="P756" s="529"/>
      <c r="Q756" s="286"/>
      <c r="R756" s="286"/>
      <c r="S756" s="286"/>
      <c r="T756" s="286"/>
      <c r="U756" s="286"/>
      <c r="V756" s="286"/>
      <c r="W756" s="286"/>
      <c r="X756" s="286"/>
      <c r="Y756" s="286"/>
      <c r="Z756" s="286"/>
      <c r="AA756" s="286"/>
      <c r="AB756" s="286"/>
    </row>
    <row r="757">
      <c r="A757" s="286"/>
      <c r="B757" s="286"/>
      <c r="C757" s="529"/>
      <c r="D757" s="306"/>
      <c r="E757" s="306"/>
      <c r="F757" s="306"/>
      <c r="G757" s="528"/>
      <c r="H757" s="286"/>
      <c r="I757" s="286"/>
      <c r="J757" s="529"/>
      <c r="K757" s="286"/>
      <c r="L757" s="286"/>
      <c r="M757" s="529"/>
      <c r="N757" s="529"/>
      <c r="O757" s="529"/>
      <c r="P757" s="529"/>
      <c r="Q757" s="286"/>
      <c r="R757" s="286"/>
      <c r="S757" s="286"/>
      <c r="T757" s="286"/>
      <c r="U757" s="286"/>
      <c r="V757" s="286"/>
      <c r="W757" s="286"/>
      <c r="X757" s="286"/>
      <c r="Y757" s="286"/>
      <c r="Z757" s="286"/>
      <c r="AA757" s="286"/>
      <c r="AB757" s="286"/>
    </row>
    <row r="758">
      <c r="A758" s="286"/>
      <c r="B758" s="286"/>
      <c r="C758" s="529"/>
      <c r="D758" s="306"/>
      <c r="E758" s="306"/>
      <c r="F758" s="306"/>
      <c r="G758" s="528"/>
      <c r="H758" s="286"/>
      <c r="I758" s="286"/>
      <c r="J758" s="529"/>
      <c r="K758" s="286"/>
      <c r="L758" s="286"/>
      <c r="M758" s="529"/>
      <c r="N758" s="529"/>
      <c r="O758" s="529"/>
      <c r="P758" s="529"/>
      <c r="Q758" s="286"/>
      <c r="R758" s="286"/>
      <c r="S758" s="286"/>
      <c r="T758" s="286"/>
      <c r="U758" s="286"/>
      <c r="V758" s="286"/>
      <c r="W758" s="286"/>
      <c r="X758" s="286"/>
      <c r="Y758" s="286"/>
      <c r="Z758" s="286"/>
      <c r="AA758" s="286"/>
      <c r="AB758" s="286"/>
    </row>
    <row r="759">
      <c r="A759" s="286"/>
      <c r="B759" s="286"/>
      <c r="C759" s="529"/>
      <c r="D759" s="306"/>
      <c r="E759" s="306"/>
      <c r="F759" s="306"/>
      <c r="G759" s="528"/>
      <c r="H759" s="286"/>
      <c r="I759" s="286"/>
      <c r="J759" s="529"/>
      <c r="K759" s="286"/>
      <c r="L759" s="286"/>
      <c r="M759" s="529"/>
      <c r="N759" s="529"/>
      <c r="O759" s="529"/>
      <c r="P759" s="529"/>
      <c r="Q759" s="286"/>
      <c r="R759" s="286"/>
      <c r="S759" s="286"/>
      <c r="T759" s="286"/>
      <c r="U759" s="286"/>
      <c r="V759" s="286"/>
      <c r="W759" s="286"/>
      <c r="X759" s="286"/>
      <c r="Y759" s="286"/>
      <c r="Z759" s="286"/>
      <c r="AA759" s="286"/>
      <c r="AB759" s="286"/>
    </row>
    <row r="760">
      <c r="A760" s="286"/>
      <c r="B760" s="286"/>
      <c r="C760" s="529"/>
      <c r="D760" s="306"/>
      <c r="E760" s="306"/>
      <c r="F760" s="306"/>
      <c r="G760" s="528"/>
      <c r="H760" s="286"/>
      <c r="I760" s="286"/>
      <c r="J760" s="529"/>
      <c r="K760" s="286"/>
      <c r="L760" s="286"/>
      <c r="M760" s="529"/>
      <c r="N760" s="529"/>
      <c r="O760" s="529"/>
      <c r="P760" s="529"/>
      <c r="Q760" s="286"/>
      <c r="R760" s="286"/>
      <c r="S760" s="286"/>
      <c r="T760" s="286"/>
      <c r="U760" s="286"/>
      <c r="V760" s="286"/>
      <c r="W760" s="286"/>
      <c r="X760" s="286"/>
      <c r="Y760" s="286"/>
      <c r="Z760" s="286"/>
      <c r="AA760" s="286"/>
      <c r="AB760" s="286"/>
    </row>
    <row r="761">
      <c r="A761" s="286"/>
      <c r="B761" s="286"/>
      <c r="C761" s="529"/>
      <c r="D761" s="306"/>
      <c r="E761" s="306"/>
      <c r="F761" s="306"/>
      <c r="G761" s="528"/>
      <c r="H761" s="286"/>
      <c r="I761" s="286"/>
      <c r="J761" s="529"/>
      <c r="K761" s="286"/>
      <c r="L761" s="286"/>
      <c r="M761" s="529"/>
      <c r="N761" s="529"/>
      <c r="O761" s="529"/>
      <c r="P761" s="529"/>
      <c r="Q761" s="286"/>
      <c r="R761" s="286"/>
      <c r="S761" s="286"/>
      <c r="T761" s="286"/>
      <c r="U761" s="286"/>
      <c r="V761" s="286"/>
      <c r="W761" s="286"/>
      <c r="X761" s="286"/>
      <c r="Y761" s="286"/>
      <c r="Z761" s="286"/>
      <c r="AA761" s="286"/>
      <c r="AB761" s="286"/>
    </row>
    <row r="762">
      <c r="A762" s="286"/>
      <c r="B762" s="286"/>
      <c r="C762" s="529"/>
      <c r="D762" s="306"/>
      <c r="E762" s="306"/>
      <c r="F762" s="306"/>
      <c r="G762" s="528"/>
      <c r="H762" s="286"/>
      <c r="I762" s="286"/>
      <c r="J762" s="529"/>
      <c r="K762" s="286"/>
      <c r="L762" s="286"/>
      <c r="M762" s="529"/>
      <c r="N762" s="529"/>
      <c r="O762" s="529"/>
      <c r="P762" s="529"/>
      <c r="Q762" s="286"/>
      <c r="R762" s="286"/>
      <c r="S762" s="286"/>
      <c r="T762" s="286"/>
      <c r="U762" s="286"/>
      <c r="V762" s="286"/>
      <c r="W762" s="286"/>
      <c r="X762" s="286"/>
      <c r="Y762" s="286"/>
      <c r="Z762" s="286"/>
      <c r="AA762" s="286"/>
      <c r="AB762" s="286"/>
    </row>
    <row r="763">
      <c r="A763" s="286"/>
      <c r="B763" s="286"/>
      <c r="C763" s="529"/>
      <c r="D763" s="306"/>
      <c r="E763" s="306"/>
      <c r="F763" s="306"/>
      <c r="G763" s="528"/>
      <c r="H763" s="286"/>
      <c r="I763" s="286"/>
      <c r="J763" s="529"/>
      <c r="K763" s="286"/>
      <c r="L763" s="286"/>
      <c r="M763" s="529"/>
      <c r="N763" s="529"/>
      <c r="O763" s="529"/>
      <c r="P763" s="529"/>
      <c r="Q763" s="286"/>
      <c r="R763" s="286"/>
      <c r="S763" s="286"/>
      <c r="T763" s="286"/>
      <c r="U763" s="286"/>
      <c r="V763" s="286"/>
      <c r="W763" s="286"/>
      <c r="X763" s="286"/>
      <c r="Y763" s="286"/>
      <c r="Z763" s="286"/>
      <c r="AA763" s="286"/>
      <c r="AB763" s="286"/>
    </row>
    <row r="764">
      <c r="A764" s="286"/>
      <c r="B764" s="286"/>
      <c r="C764" s="529"/>
      <c r="D764" s="306"/>
      <c r="E764" s="306"/>
      <c r="F764" s="306"/>
      <c r="G764" s="528"/>
      <c r="H764" s="286"/>
      <c r="I764" s="286"/>
      <c r="J764" s="529"/>
      <c r="K764" s="286"/>
      <c r="L764" s="286"/>
      <c r="M764" s="529"/>
      <c r="N764" s="529"/>
      <c r="O764" s="529"/>
      <c r="P764" s="529"/>
      <c r="Q764" s="286"/>
      <c r="R764" s="286"/>
      <c r="S764" s="286"/>
      <c r="T764" s="286"/>
      <c r="U764" s="286"/>
      <c r="V764" s="286"/>
      <c r="W764" s="286"/>
      <c r="X764" s="286"/>
      <c r="Y764" s="286"/>
      <c r="Z764" s="286"/>
      <c r="AA764" s="286"/>
      <c r="AB764" s="286"/>
    </row>
    <row r="765">
      <c r="A765" s="286"/>
      <c r="B765" s="286"/>
      <c r="C765" s="529"/>
      <c r="D765" s="306"/>
      <c r="E765" s="306"/>
      <c r="F765" s="306"/>
      <c r="G765" s="528"/>
      <c r="H765" s="286"/>
      <c r="I765" s="286"/>
      <c r="J765" s="529"/>
      <c r="K765" s="286"/>
      <c r="L765" s="286"/>
      <c r="M765" s="529"/>
      <c r="N765" s="529"/>
      <c r="O765" s="529"/>
      <c r="P765" s="529"/>
      <c r="Q765" s="286"/>
      <c r="R765" s="286"/>
      <c r="S765" s="286"/>
      <c r="T765" s="286"/>
      <c r="U765" s="286"/>
      <c r="V765" s="286"/>
      <c r="W765" s="286"/>
      <c r="X765" s="286"/>
      <c r="Y765" s="286"/>
      <c r="Z765" s="286"/>
      <c r="AA765" s="286"/>
      <c r="AB765" s="286"/>
    </row>
    <row r="766">
      <c r="A766" s="286"/>
      <c r="B766" s="286"/>
      <c r="C766" s="529"/>
      <c r="D766" s="306"/>
      <c r="E766" s="306"/>
      <c r="F766" s="306"/>
      <c r="G766" s="528"/>
      <c r="H766" s="286"/>
      <c r="I766" s="286"/>
      <c r="J766" s="529"/>
      <c r="K766" s="286"/>
      <c r="L766" s="286"/>
      <c r="M766" s="529"/>
      <c r="N766" s="529"/>
      <c r="O766" s="529"/>
      <c r="P766" s="529"/>
      <c r="Q766" s="286"/>
      <c r="R766" s="286"/>
      <c r="S766" s="286"/>
      <c r="T766" s="286"/>
      <c r="U766" s="286"/>
      <c r="V766" s="286"/>
      <c r="W766" s="286"/>
      <c r="X766" s="286"/>
      <c r="Y766" s="286"/>
      <c r="Z766" s="286"/>
      <c r="AA766" s="286"/>
      <c r="AB766" s="286"/>
    </row>
    <row r="767">
      <c r="A767" s="286"/>
      <c r="B767" s="286"/>
      <c r="C767" s="529"/>
      <c r="D767" s="306"/>
      <c r="E767" s="306"/>
      <c r="F767" s="306"/>
      <c r="G767" s="528"/>
      <c r="H767" s="286"/>
      <c r="I767" s="286"/>
      <c r="J767" s="529"/>
      <c r="K767" s="286"/>
      <c r="L767" s="286"/>
      <c r="M767" s="529"/>
      <c r="N767" s="529"/>
      <c r="O767" s="529"/>
      <c r="P767" s="529"/>
      <c r="Q767" s="286"/>
      <c r="R767" s="286"/>
      <c r="S767" s="286"/>
      <c r="T767" s="286"/>
      <c r="U767" s="286"/>
      <c r="V767" s="286"/>
      <c r="W767" s="286"/>
      <c r="X767" s="286"/>
      <c r="Y767" s="286"/>
      <c r="Z767" s="286"/>
      <c r="AA767" s="286"/>
      <c r="AB767" s="286"/>
    </row>
    <row r="768">
      <c r="A768" s="286"/>
      <c r="B768" s="286"/>
      <c r="C768" s="529"/>
      <c r="D768" s="306"/>
      <c r="E768" s="306"/>
      <c r="F768" s="306"/>
      <c r="G768" s="528"/>
      <c r="H768" s="286"/>
      <c r="I768" s="286"/>
      <c r="J768" s="529"/>
      <c r="K768" s="286"/>
      <c r="L768" s="286"/>
      <c r="M768" s="529"/>
      <c r="N768" s="529"/>
      <c r="O768" s="529"/>
      <c r="P768" s="529"/>
      <c r="Q768" s="286"/>
      <c r="R768" s="286"/>
      <c r="S768" s="286"/>
      <c r="T768" s="286"/>
      <c r="U768" s="286"/>
      <c r="V768" s="286"/>
      <c r="W768" s="286"/>
      <c r="X768" s="286"/>
      <c r="Y768" s="286"/>
      <c r="Z768" s="286"/>
      <c r="AA768" s="286"/>
      <c r="AB768" s="286"/>
    </row>
    <row r="769">
      <c r="A769" s="286"/>
      <c r="B769" s="286"/>
      <c r="C769" s="529"/>
      <c r="D769" s="306"/>
      <c r="E769" s="306"/>
      <c r="F769" s="306"/>
      <c r="G769" s="528"/>
      <c r="H769" s="286"/>
      <c r="I769" s="286"/>
      <c r="J769" s="529"/>
      <c r="K769" s="286"/>
      <c r="L769" s="286"/>
      <c r="M769" s="529"/>
      <c r="N769" s="529"/>
      <c r="O769" s="529"/>
      <c r="P769" s="529"/>
      <c r="Q769" s="286"/>
      <c r="R769" s="286"/>
      <c r="S769" s="286"/>
      <c r="T769" s="286"/>
      <c r="U769" s="286"/>
      <c r="V769" s="286"/>
      <c r="W769" s="286"/>
      <c r="X769" s="286"/>
      <c r="Y769" s="286"/>
      <c r="Z769" s="286"/>
      <c r="AA769" s="286"/>
      <c r="AB769" s="286"/>
    </row>
    <row r="770">
      <c r="A770" s="286"/>
      <c r="B770" s="286"/>
      <c r="C770" s="529"/>
      <c r="D770" s="306"/>
      <c r="E770" s="306"/>
      <c r="F770" s="306"/>
      <c r="G770" s="528"/>
      <c r="H770" s="286"/>
      <c r="I770" s="286"/>
      <c r="J770" s="529"/>
      <c r="K770" s="286"/>
      <c r="L770" s="286"/>
      <c r="M770" s="529"/>
      <c r="N770" s="529"/>
      <c r="O770" s="529"/>
      <c r="P770" s="529"/>
      <c r="Q770" s="286"/>
      <c r="R770" s="286"/>
      <c r="S770" s="286"/>
      <c r="T770" s="286"/>
      <c r="U770" s="286"/>
      <c r="V770" s="286"/>
      <c r="W770" s="286"/>
      <c r="X770" s="286"/>
      <c r="Y770" s="286"/>
      <c r="Z770" s="286"/>
      <c r="AA770" s="286"/>
      <c r="AB770" s="286"/>
    </row>
    <row r="771">
      <c r="A771" s="286"/>
      <c r="B771" s="286"/>
      <c r="C771" s="529"/>
      <c r="D771" s="306"/>
      <c r="E771" s="306"/>
      <c r="F771" s="306"/>
      <c r="G771" s="528"/>
      <c r="H771" s="286"/>
      <c r="I771" s="286"/>
      <c r="J771" s="529"/>
      <c r="K771" s="286"/>
      <c r="L771" s="286"/>
      <c r="M771" s="529"/>
      <c r="N771" s="529"/>
      <c r="O771" s="529"/>
      <c r="P771" s="529"/>
      <c r="Q771" s="286"/>
      <c r="R771" s="286"/>
      <c r="S771" s="286"/>
      <c r="T771" s="286"/>
      <c r="U771" s="286"/>
      <c r="V771" s="286"/>
      <c r="W771" s="286"/>
      <c r="X771" s="286"/>
      <c r="Y771" s="286"/>
      <c r="Z771" s="286"/>
      <c r="AA771" s="286"/>
      <c r="AB771" s="286"/>
    </row>
    <row r="772">
      <c r="A772" s="286"/>
      <c r="B772" s="286"/>
      <c r="C772" s="529"/>
      <c r="D772" s="306"/>
      <c r="E772" s="306"/>
      <c r="F772" s="306"/>
      <c r="G772" s="528"/>
      <c r="H772" s="286"/>
      <c r="I772" s="286"/>
      <c r="J772" s="529"/>
      <c r="K772" s="286"/>
      <c r="L772" s="286"/>
      <c r="M772" s="529"/>
      <c r="N772" s="529"/>
      <c r="O772" s="529"/>
      <c r="P772" s="529"/>
      <c r="Q772" s="286"/>
      <c r="R772" s="286"/>
      <c r="S772" s="286"/>
      <c r="T772" s="286"/>
      <c r="U772" s="286"/>
      <c r="V772" s="286"/>
      <c r="W772" s="286"/>
      <c r="X772" s="286"/>
      <c r="Y772" s="286"/>
      <c r="Z772" s="286"/>
      <c r="AA772" s="286"/>
      <c r="AB772" s="286"/>
    </row>
    <row r="773">
      <c r="A773" s="286"/>
      <c r="B773" s="286"/>
      <c r="C773" s="529"/>
      <c r="D773" s="306"/>
      <c r="E773" s="306"/>
      <c r="F773" s="306"/>
      <c r="G773" s="528"/>
      <c r="H773" s="286"/>
      <c r="I773" s="286"/>
      <c r="J773" s="529"/>
      <c r="K773" s="286"/>
      <c r="L773" s="286"/>
      <c r="M773" s="529"/>
      <c r="N773" s="529"/>
      <c r="O773" s="529"/>
      <c r="P773" s="529"/>
      <c r="Q773" s="286"/>
      <c r="R773" s="286"/>
      <c r="S773" s="286"/>
      <c r="T773" s="286"/>
      <c r="U773" s="286"/>
      <c r="V773" s="286"/>
      <c r="W773" s="286"/>
      <c r="X773" s="286"/>
      <c r="Y773" s="286"/>
      <c r="Z773" s="286"/>
      <c r="AA773" s="286"/>
      <c r="AB773" s="286"/>
    </row>
    <row r="774">
      <c r="A774" s="286"/>
      <c r="B774" s="286"/>
      <c r="C774" s="529"/>
      <c r="D774" s="306"/>
      <c r="E774" s="306"/>
      <c r="F774" s="306"/>
      <c r="G774" s="528"/>
      <c r="H774" s="286"/>
      <c r="I774" s="286"/>
      <c r="J774" s="529"/>
      <c r="K774" s="286"/>
      <c r="L774" s="286"/>
      <c r="M774" s="529"/>
      <c r="N774" s="529"/>
      <c r="O774" s="529"/>
      <c r="P774" s="529"/>
      <c r="Q774" s="286"/>
      <c r="R774" s="286"/>
      <c r="S774" s="286"/>
      <c r="T774" s="286"/>
      <c r="U774" s="286"/>
      <c r="V774" s="286"/>
      <c r="W774" s="286"/>
      <c r="X774" s="286"/>
      <c r="Y774" s="286"/>
      <c r="Z774" s="286"/>
      <c r="AA774" s="286"/>
      <c r="AB774" s="286"/>
    </row>
    <row r="775">
      <c r="A775" s="286"/>
      <c r="B775" s="286"/>
      <c r="C775" s="529"/>
      <c r="D775" s="306"/>
      <c r="E775" s="306"/>
      <c r="F775" s="306"/>
      <c r="G775" s="528"/>
      <c r="H775" s="286"/>
      <c r="I775" s="286"/>
      <c r="J775" s="529"/>
      <c r="K775" s="286"/>
      <c r="L775" s="286"/>
      <c r="M775" s="529"/>
      <c r="N775" s="529"/>
      <c r="O775" s="529"/>
      <c r="P775" s="529"/>
      <c r="Q775" s="286"/>
      <c r="R775" s="286"/>
      <c r="S775" s="286"/>
      <c r="T775" s="286"/>
      <c r="U775" s="286"/>
      <c r="V775" s="286"/>
      <c r="W775" s="286"/>
      <c r="X775" s="286"/>
      <c r="Y775" s="286"/>
      <c r="Z775" s="286"/>
      <c r="AA775" s="286"/>
      <c r="AB775" s="286"/>
    </row>
    <row r="776">
      <c r="A776" s="286"/>
      <c r="B776" s="286"/>
      <c r="C776" s="529"/>
      <c r="D776" s="306"/>
      <c r="E776" s="306"/>
      <c r="F776" s="306"/>
      <c r="G776" s="528"/>
      <c r="H776" s="286"/>
      <c r="I776" s="286"/>
      <c r="J776" s="529"/>
      <c r="K776" s="286"/>
      <c r="L776" s="286"/>
      <c r="M776" s="529"/>
      <c r="N776" s="529"/>
      <c r="O776" s="529"/>
      <c r="P776" s="529"/>
      <c r="Q776" s="286"/>
      <c r="R776" s="286"/>
      <c r="S776" s="286"/>
      <c r="T776" s="286"/>
      <c r="U776" s="286"/>
      <c r="V776" s="286"/>
      <c r="W776" s="286"/>
      <c r="X776" s="286"/>
      <c r="Y776" s="286"/>
      <c r="Z776" s="286"/>
      <c r="AA776" s="286"/>
      <c r="AB776" s="286"/>
    </row>
    <row r="777">
      <c r="A777" s="286"/>
      <c r="B777" s="286"/>
      <c r="C777" s="529"/>
      <c r="D777" s="306"/>
      <c r="E777" s="306"/>
      <c r="F777" s="306"/>
      <c r="G777" s="528"/>
      <c r="H777" s="286"/>
      <c r="I777" s="286"/>
      <c r="J777" s="529"/>
      <c r="K777" s="286"/>
      <c r="L777" s="286"/>
      <c r="M777" s="529"/>
      <c r="N777" s="529"/>
      <c r="O777" s="529"/>
      <c r="P777" s="529"/>
      <c r="Q777" s="286"/>
      <c r="R777" s="286"/>
      <c r="S777" s="286"/>
      <c r="T777" s="286"/>
      <c r="U777" s="286"/>
      <c r="V777" s="286"/>
      <c r="W777" s="286"/>
      <c r="X777" s="286"/>
      <c r="Y777" s="286"/>
      <c r="Z777" s="286"/>
      <c r="AA777" s="286"/>
      <c r="AB777" s="286"/>
    </row>
    <row r="778">
      <c r="A778" s="286"/>
      <c r="B778" s="286"/>
      <c r="C778" s="529"/>
      <c r="D778" s="306"/>
      <c r="E778" s="306"/>
      <c r="F778" s="306"/>
      <c r="G778" s="528"/>
      <c r="H778" s="286"/>
      <c r="I778" s="286"/>
      <c r="J778" s="529"/>
      <c r="K778" s="286"/>
      <c r="L778" s="286"/>
      <c r="M778" s="529"/>
      <c r="N778" s="529"/>
      <c r="O778" s="529"/>
      <c r="P778" s="529"/>
      <c r="Q778" s="286"/>
      <c r="R778" s="286"/>
      <c r="S778" s="286"/>
      <c r="T778" s="286"/>
      <c r="U778" s="286"/>
      <c r="V778" s="286"/>
      <c r="W778" s="286"/>
      <c r="X778" s="286"/>
      <c r="Y778" s="286"/>
      <c r="Z778" s="286"/>
      <c r="AA778" s="286"/>
      <c r="AB778" s="286"/>
    </row>
    <row r="779">
      <c r="A779" s="286"/>
      <c r="B779" s="286"/>
      <c r="C779" s="529"/>
      <c r="D779" s="306"/>
      <c r="E779" s="306"/>
      <c r="F779" s="306"/>
      <c r="G779" s="528"/>
      <c r="H779" s="286"/>
      <c r="I779" s="286"/>
      <c r="J779" s="529"/>
      <c r="K779" s="286"/>
      <c r="L779" s="286"/>
      <c r="M779" s="529"/>
      <c r="N779" s="529"/>
      <c r="O779" s="529"/>
      <c r="P779" s="529"/>
      <c r="Q779" s="286"/>
      <c r="R779" s="286"/>
      <c r="S779" s="286"/>
      <c r="T779" s="286"/>
      <c r="U779" s="286"/>
      <c r="V779" s="286"/>
      <c r="W779" s="286"/>
      <c r="X779" s="286"/>
      <c r="Y779" s="286"/>
      <c r="Z779" s="286"/>
      <c r="AA779" s="286"/>
      <c r="AB779" s="286"/>
    </row>
    <row r="780">
      <c r="A780" s="286"/>
      <c r="B780" s="286"/>
      <c r="C780" s="529"/>
      <c r="D780" s="306"/>
      <c r="E780" s="306"/>
      <c r="F780" s="306"/>
      <c r="G780" s="528"/>
      <c r="H780" s="286"/>
      <c r="I780" s="286"/>
      <c r="J780" s="529"/>
      <c r="K780" s="286"/>
      <c r="L780" s="286"/>
      <c r="M780" s="529"/>
      <c r="N780" s="529"/>
      <c r="O780" s="529"/>
      <c r="P780" s="529"/>
      <c r="Q780" s="286"/>
      <c r="R780" s="286"/>
      <c r="S780" s="286"/>
      <c r="T780" s="286"/>
      <c r="U780" s="286"/>
      <c r="V780" s="286"/>
      <c r="W780" s="286"/>
      <c r="X780" s="286"/>
      <c r="Y780" s="286"/>
      <c r="Z780" s="286"/>
      <c r="AA780" s="286"/>
      <c r="AB780" s="286"/>
    </row>
    <row r="781">
      <c r="A781" s="286"/>
      <c r="B781" s="286"/>
      <c r="C781" s="529"/>
      <c r="D781" s="306"/>
      <c r="E781" s="306"/>
      <c r="F781" s="306"/>
      <c r="G781" s="528"/>
      <c r="H781" s="286"/>
      <c r="I781" s="286"/>
      <c r="J781" s="529"/>
      <c r="K781" s="286"/>
      <c r="L781" s="286"/>
      <c r="M781" s="529"/>
      <c r="N781" s="529"/>
      <c r="O781" s="529"/>
      <c r="P781" s="529"/>
      <c r="Q781" s="286"/>
      <c r="R781" s="286"/>
      <c r="S781" s="286"/>
      <c r="T781" s="286"/>
      <c r="U781" s="286"/>
      <c r="V781" s="286"/>
      <c r="W781" s="286"/>
      <c r="X781" s="286"/>
      <c r="Y781" s="286"/>
      <c r="Z781" s="286"/>
      <c r="AA781" s="286"/>
      <c r="AB781" s="286"/>
    </row>
    <row r="782">
      <c r="A782" s="286"/>
      <c r="B782" s="286"/>
      <c r="C782" s="529"/>
      <c r="D782" s="306"/>
      <c r="E782" s="306"/>
      <c r="F782" s="306"/>
      <c r="G782" s="528"/>
      <c r="H782" s="286"/>
      <c r="I782" s="286"/>
      <c r="J782" s="529"/>
      <c r="K782" s="286"/>
      <c r="L782" s="286"/>
      <c r="M782" s="529"/>
      <c r="N782" s="529"/>
      <c r="O782" s="529"/>
      <c r="P782" s="529"/>
      <c r="Q782" s="286"/>
      <c r="R782" s="286"/>
      <c r="S782" s="286"/>
      <c r="T782" s="286"/>
      <c r="U782" s="286"/>
      <c r="V782" s="286"/>
      <c r="W782" s="286"/>
      <c r="X782" s="286"/>
      <c r="Y782" s="286"/>
      <c r="Z782" s="286"/>
      <c r="AA782" s="286"/>
      <c r="AB782" s="286"/>
    </row>
    <row r="783">
      <c r="A783" s="286"/>
      <c r="B783" s="286"/>
      <c r="C783" s="529"/>
      <c r="D783" s="306"/>
      <c r="E783" s="306"/>
      <c r="F783" s="306"/>
      <c r="G783" s="528"/>
      <c r="H783" s="286"/>
      <c r="I783" s="286"/>
      <c r="J783" s="529"/>
      <c r="K783" s="286"/>
      <c r="L783" s="286"/>
      <c r="M783" s="529"/>
      <c r="N783" s="529"/>
      <c r="O783" s="529"/>
      <c r="P783" s="529"/>
      <c r="Q783" s="286"/>
      <c r="R783" s="286"/>
      <c r="S783" s="286"/>
      <c r="T783" s="286"/>
      <c r="U783" s="286"/>
      <c r="V783" s="286"/>
      <c r="W783" s="286"/>
      <c r="X783" s="286"/>
      <c r="Y783" s="286"/>
      <c r="Z783" s="286"/>
      <c r="AA783" s="286"/>
      <c r="AB783" s="286"/>
    </row>
    <row r="784">
      <c r="A784" s="286"/>
      <c r="B784" s="286"/>
      <c r="C784" s="529"/>
      <c r="D784" s="306"/>
      <c r="E784" s="306"/>
      <c r="F784" s="306"/>
      <c r="G784" s="528"/>
      <c r="H784" s="286"/>
      <c r="I784" s="286"/>
      <c r="J784" s="529"/>
      <c r="K784" s="286"/>
      <c r="L784" s="286"/>
      <c r="M784" s="529"/>
      <c r="N784" s="529"/>
      <c r="O784" s="529"/>
      <c r="P784" s="529"/>
      <c r="Q784" s="286"/>
      <c r="R784" s="286"/>
      <c r="S784" s="286"/>
      <c r="T784" s="286"/>
      <c r="U784" s="286"/>
      <c r="V784" s="286"/>
      <c r="W784" s="286"/>
      <c r="X784" s="286"/>
      <c r="Y784" s="286"/>
      <c r="Z784" s="286"/>
      <c r="AA784" s="286"/>
      <c r="AB784" s="286"/>
    </row>
    <row r="785">
      <c r="A785" s="286"/>
      <c r="B785" s="286"/>
      <c r="C785" s="529"/>
      <c r="D785" s="306"/>
      <c r="E785" s="306"/>
      <c r="F785" s="306"/>
      <c r="G785" s="528"/>
      <c r="H785" s="286"/>
      <c r="I785" s="286"/>
      <c r="J785" s="529"/>
      <c r="K785" s="286"/>
      <c r="L785" s="286"/>
      <c r="M785" s="529"/>
      <c r="N785" s="529"/>
      <c r="O785" s="529"/>
      <c r="P785" s="529"/>
      <c r="Q785" s="286"/>
      <c r="R785" s="286"/>
      <c r="S785" s="286"/>
      <c r="T785" s="286"/>
      <c r="U785" s="286"/>
      <c r="V785" s="286"/>
      <c r="W785" s="286"/>
      <c r="X785" s="286"/>
      <c r="Y785" s="286"/>
      <c r="Z785" s="286"/>
      <c r="AA785" s="286"/>
      <c r="AB785" s="286"/>
    </row>
    <row r="786">
      <c r="A786" s="286"/>
      <c r="B786" s="286"/>
      <c r="C786" s="529"/>
      <c r="D786" s="306"/>
      <c r="E786" s="306"/>
      <c r="F786" s="306"/>
      <c r="G786" s="528"/>
      <c r="H786" s="286"/>
      <c r="I786" s="286"/>
      <c r="J786" s="529"/>
      <c r="K786" s="286"/>
      <c r="L786" s="286"/>
      <c r="M786" s="529"/>
      <c r="N786" s="529"/>
      <c r="O786" s="529"/>
      <c r="P786" s="529"/>
      <c r="Q786" s="286"/>
      <c r="R786" s="286"/>
      <c r="S786" s="286"/>
      <c r="T786" s="286"/>
      <c r="U786" s="286"/>
      <c r="V786" s="286"/>
      <c r="W786" s="286"/>
      <c r="X786" s="286"/>
      <c r="Y786" s="286"/>
      <c r="Z786" s="286"/>
      <c r="AA786" s="286"/>
      <c r="AB786" s="286"/>
    </row>
    <row r="787">
      <c r="A787" s="286"/>
      <c r="B787" s="286"/>
      <c r="C787" s="529"/>
      <c r="D787" s="306"/>
      <c r="E787" s="306"/>
      <c r="F787" s="306"/>
      <c r="G787" s="528"/>
      <c r="H787" s="286"/>
      <c r="I787" s="286"/>
      <c r="J787" s="529"/>
      <c r="K787" s="286"/>
      <c r="L787" s="286"/>
      <c r="M787" s="529"/>
      <c r="N787" s="529"/>
      <c r="O787" s="529"/>
      <c r="P787" s="529"/>
      <c r="Q787" s="286"/>
      <c r="R787" s="286"/>
      <c r="S787" s="286"/>
      <c r="T787" s="286"/>
      <c r="U787" s="286"/>
      <c r="V787" s="286"/>
      <c r="W787" s="286"/>
      <c r="X787" s="286"/>
      <c r="Y787" s="286"/>
      <c r="Z787" s="286"/>
      <c r="AA787" s="286"/>
      <c r="AB787" s="286"/>
    </row>
    <row r="788">
      <c r="A788" s="286"/>
      <c r="B788" s="286"/>
      <c r="C788" s="529"/>
      <c r="D788" s="306"/>
      <c r="E788" s="306"/>
      <c r="F788" s="306"/>
      <c r="G788" s="528"/>
      <c r="H788" s="286"/>
      <c r="I788" s="286"/>
      <c r="J788" s="529"/>
      <c r="K788" s="286"/>
      <c r="L788" s="286"/>
      <c r="M788" s="529"/>
      <c r="N788" s="529"/>
      <c r="O788" s="529"/>
      <c r="P788" s="529"/>
      <c r="Q788" s="286"/>
      <c r="R788" s="286"/>
      <c r="S788" s="286"/>
      <c r="T788" s="286"/>
      <c r="U788" s="286"/>
      <c r="V788" s="286"/>
      <c r="W788" s="286"/>
      <c r="X788" s="286"/>
      <c r="Y788" s="286"/>
      <c r="Z788" s="286"/>
      <c r="AA788" s="286"/>
      <c r="AB788" s="286"/>
    </row>
    <row r="789">
      <c r="A789" s="286"/>
      <c r="B789" s="286"/>
      <c r="C789" s="529"/>
      <c r="D789" s="306"/>
      <c r="E789" s="306"/>
      <c r="F789" s="306"/>
      <c r="G789" s="528"/>
      <c r="H789" s="286"/>
      <c r="I789" s="286"/>
      <c r="J789" s="529"/>
      <c r="K789" s="286"/>
      <c r="L789" s="286"/>
      <c r="M789" s="529"/>
      <c r="N789" s="529"/>
      <c r="O789" s="529"/>
      <c r="P789" s="529"/>
      <c r="Q789" s="286"/>
      <c r="R789" s="286"/>
      <c r="S789" s="286"/>
      <c r="T789" s="286"/>
      <c r="U789" s="286"/>
      <c r="V789" s="286"/>
      <c r="W789" s="286"/>
      <c r="X789" s="286"/>
      <c r="Y789" s="286"/>
      <c r="Z789" s="286"/>
      <c r="AA789" s="286"/>
      <c r="AB789" s="286"/>
    </row>
    <row r="790">
      <c r="A790" s="286"/>
      <c r="B790" s="286"/>
      <c r="C790" s="529"/>
      <c r="D790" s="306"/>
      <c r="E790" s="306"/>
      <c r="F790" s="306"/>
      <c r="G790" s="528"/>
      <c r="H790" s="286"/>
      <c r="I790" s="286"/>
      <c r="J790" s="529"/>
      <c r="K790" s="286"/>
      <c r="L790" s="286"/>
      <c r="M790" s="529"/>
      <c r="N790" s="529"/>
      <c r="O790" s="529"/>
      <c r="P790" s="529"/>
      <c r="Q790" s="286"/>
      <c r="R790" s="286"/>
      <c r="S790" s="286"/>
      <c r="T790" s="286"/>
      <c r="U790" s="286"/>
      <c r="V790" s="286"/>
      <c r="W790" s="286"/>
      <c r="X790" s="286"/>
      <c r="Y790" s="286"/>
      <c r="Z790" s="286"/>
      <c r="AA790" s="286"/>
      <c r="AB790" s="286"/>
    </row>
    <row r="791">
      <c r="A791" s="286"/>
      <c r="B791" s="286"/>
      <c r="C791" s="529"/>
      <c r="D791" s="306"/>
      <c r="E791" s="306"/>
      <c r="F791" s="306"/>
      <c r="G791" s="528"/>
      <c r="H791" s="286"/>
      <c r="I791" s="286"/>
      <c r="J791" s="529"/>
      <c r="K791" s="286"/>
      <c r="L791" s="286"/>
      <c r="M791" s="529"/>
      <c r="N791" s="529"/>
      <c r="O791" s="529"/>
      <c r="P791" s="529"/>
      <c r="Q791" s="286"/>
      <c r="R791" s="286"/>
      <c r="S791" s="286"/>
      <c r="T791" s="286"/>
      <c r="U791" s="286"/>
      <c r="V791" s="286"/>
      <c r="W791" s="286"/>
      <c r="X791" s="286"/>
      <c r="Y791" s="286"/>
      <c r="Z791" s="286"/>
      <c r="AA791" s="286"/>
      <c r="AB791" s="286"/>
    </row>
    <row r="792">
      <c r="A792" s="286"/>
      <c r="B792" s="286"/>
      <c r="C792" s="529"/>
      <c r="D792" s="306"/>
      <c r="E792" s="306"/>
      <c r="F792" s="306"/>
      <c r="G792" s="528"/>
      <c r="H792" s="286"/>
      <c r="I792" s="286"/>
      <c r="J792" s="529"/>
      <c r="K792" s="286"/>
      <c r="L792" s="286"/>
      <c r="M792" s="529"/>
      <c r="N792" s="529"/>
      <c r="O792" s="529"/>
      <c r="P792" s="529"/>
      <c r="Q792" s="286"/>
      <c r="R792" s="286"/>
      <c r="S792" s="286"/>
      <c r="T792" s="286"/>
      <c r="U792" s="286"/>
      <c r="V792" s="286"/>
      <c r="W792" s="286"/>
      <c r="X792" s="286"/>
      <c r="Y792" s="286"/>
      <c r="Z792" s="286"/>
      <c r="AA792" s="286"/>
      <c r="AB792" s="286"/>
    </row>
    <row r="793">
      <c r="A793" s="286"/>
      <c r="B793" s="286"/>
      <c r="C793" s="529"/>
      <c r="D793" s="306"/>
      <c r="E793" s="306"/>
      <c r="F793" s="306"/>
      <c r="G793" s="528"/>
      <c r="H793" s="286"/>
      <c r="I793" s="286"/>
      <c r="J793" s="529"/>
      <c r="K793" s="286"/>
      <c r="L793" s="286"/>
      <c r="M793" s="529"/>
      <c r="N793" s="529"/>
      <c r="O793" s="529"/>
      <c r="P793" s="529"/>
      <c r="Q793" s="286"/>
      <c r="R793" s="286"/>
      <c r="S793" s="286"/>
      <c r="T793" s="286"/>
      <c r="U793" s="286"/>
      <c r="V793" s="286"/>
      <c r="W793" s="286"/>
      <c r="X793" s="286"/>
      <c r="Y793" s="286"/>
      <c r="Z793" s="286"/>
      <c r="AA793" s="286"/>
      <c r="AB793" s="286"/>
    </row>
    <row r="794">
      <c r="A794" s="286"/>
      <c r="B794" s="286"/>
      <c r="C794" s="529"/>
      <c r="D794" s="306"/>
      <c r="E794" s="306"/>
      <c r="F794" s="306"/>
      <c r="G794" s="528"/>
      <c r="H794" s="286"/>
      <c r="I794" s="286"/>
      <c r="J794" s="529"/>
      <c r="K794" s="286"/>
      <c r="L794" s="286"/>
      <c r="M794" s="529"/>
      <c r="N794" s="529"/>
      <c r="O794" s="529"/>
      <c r="P794" s="529"/>
      <c r="Q794" s="286"/>
      <c r="R794" s="286"/>
      <c r="S794" s="286"/>
      <c r="T794" s="286"/>
      <c r="U794" s="286"/>
      <c r="V794" s="286"/>
      <c r="W794" s="286"/>
      <c r="X794" s="286"/>
      <c r="Y794" s="286"/>
      <c r="Z794" s="286"/>
      <c r="AA794" s="286"/>
      <c r="AB794" s="286"/>
    </row>
    <row r="795">
      <c r="A795" s="286"/>
      <c r="B795" s="286"/>
      <c r="C795" s="529"/>
      <c r="D795" s="306"/>
      <c r="E795" s="306"/>
      <c r="F795" s="306"/>
      <c r="G795" s="528"/>
      <c r="H795" s="286"/>
      <c r="I795" s="286"/>
      <c r="J795" s="529"/>
      <c r="K795" s="286"/>
      <c r="L795" s="286"/>
      <c r="M795" s="529"/>
      <c r="N795" s="529"/>
      <c r="O795" s="529"/>
      <c r="P795" s="529"/>
      <c r="Q795" s="286"/>
      <c r="R795" s="286"/>
      <c r="S795" s="286"/>
      <c r="T795" s="286"/>
      <c r="U795" s="286"/>
      <c r="V795" s="286"/>
      <c r="W795" s="286"/>
      <c r="X795" s="286"/>
      <c r="Y795" s="286"/>
      <c r="Z795" s="286"/>
      <c r="AA795" s="286"/>
      <c r="AB795" s="286"/>
    </row>
    <row r="796">
      <c r="A796" s="286"/>
      <c r="B796" s="286"/>
      <c r="C796" s="529"/>
      <c r="D796" s="306"/>
      <c r="E796" s="306"/>
      <c r="F796" s="306"/>
      <c r="G796" s="528"/>
      <c r="H796" s="286"/>
      <c r="I796" s="286"/>
      <c r="J796" s="529"/>
      <c r="K796" s="286"/>
      <c r="L796" s="286"/>
      <c r="M796" s="529"/>
      <c r="N796" s="529"/>
      <c r="O796" s="529"/>
      <c r="P796" s="529"/>
      <c r="Q796" s="286"/>
      <c r="R796" s="286"/>
      <c r="S796" s="286"/>
      <c r="T796" s="286"/>
      <c r="U796" s="286"/>
      <c r="V796" s="286"/>
      <c r="W796" s="286"/>
      <c r="X796" s="286"/>
      <c r="Y796" s="286"/>
      <c r="Z796" s="286"/>
      <c r="AA796" s="286"/>
      <c r="AB796" s="286"/>
    </row>
    <row r="797">
      <c r="A797" s="286"/>
      <c r="B797" s="286"/>
      <c r="C797" s="529"/>
      <c r="D797" s="306"/>
      <c r="E797" s="306"/>
      <c r="F797" s="306"/>
      <c r="G797" s="528"/>
      <c r="H797" s="286"/>
      <c r="I797" s="286"/>
      <c r="J797" s="529"/>
      <c r="K797" s="286"/>
      <c r="L797" s="286"/>
      <c r="M797" s="529"/>
      <c r="N797" s="529"/>
      <c r="O797" s="529"/>
      <c r="P797" s="529"/>
      <c r="Q797" s="286"/>
      <c r="R797" s="286"/>
      <c r="S797" s="286"/>
      <c r="T797" s="286"/>
      <c r="U797" s="286"/>
      <c r="V797" s="286"/>
      <c r="W797" s="286"/>
      <c r="X797" s="286"/>
      <c r="Y797" s="286"/>
      <c r="Z797" s="286"/>
      <c r="AA797" s="286"/>
      <c r="AB797" s="286"/>
    </row>
    <row r="798">
      <c r="A798" s="286"/>
      <c r="B798" s="286"/>
      <c r="C798" s="529"/>
      <c r="D798" s="306"/>
      <c r="E798" s="306"/>
      <c r="F798" s="306"/>
      <c r="G798" s="528"/>
      <c r="H798" s="286"/>
      <c r="I798" s="286"/>
      <c r="J798" s="529"/>
      <c r="K798" s="286"/>
      <c r="L798" s="286"/>
      <c r="M798" s="529"/>
      <c r="N798" s="529"/>
      <c r="O798" s="529"/>
      <c r="P798" s="529"/>
      <c r="Q798" s="286"/>
      <c r="R798" s="286"/>
      <c r="S798" s="286"/>
      <c r="T798" s="286"/>
      <c r="U798" s="286"/>
      <c r="V798" s="286"/>
      <c r="W798" s="286"/>
      <c r="X798" s="286"/>
      <c r="Y798" s="286"/>
      <c r="Z798" s="286"/>
      <c r="AA798" s="286"/>
      <c r="AB798" s="286"/>
    </row>
    <row r="799">
      <c r="A799" s="286"/>
      <c r="B799" s="286"/>
      <c r="C799" s="529"/>
      <c r="D799" s="306"/>
      <c r="E799" s="306"/>
      <c r="F799" s="306"/>
      <c r="G799" s="528"/>
      <c r="H799" s="286"/>
      <c r="I799" s="286"/>
      <c r="J799" s="529"/>
      <c r="K799" s="286"/>
      <c r="L799" s="286"/>
      <c r="M799" s="529"/>
      <c r="N799" s="529"/>
      <c r="O799" s="529"/>
      <c r="P799" s="529"/>
      <c r="Q799" s="286"/>
      <c r="R799" s="286"/>
      <c r="S799" s="286"/>
      <c r="T799" s="286"/>
      <c r="U799" s="286"/>
      <c r="V799" s="286"/>
      <c r="W799" s="286"/>
      <c r="X799" s="286"/>
      <c r="Y799" s="286"/>
      <c r="Z799" s="286"/>
      <c r="AA799" s="286"/>
      <c r="AB799" s="286"/>
    </row>
    <row r="800">
      <c r="A800" s="286"/>
      <c r="B800" s="286"/>
      <c r="C800" s="529"/>
      <c r="D800" s="306"/>
      <c r="E800" s="306"/>
      <c r="F800" s="306"/>
      <c r="G800" s="528"/>
      <c r="H800" s="286"/>
      <c r="I800" s="286"/>
      <c r="J800" s="529"/>
      <c r="K800" s="286"/>
      <c r="L800" s="286"/>
      <c r="M800" s="529"/>
      <c r="N800" s="529"/>
      <c r="O800" s="529"/>
      <c r="P800" s="529"/>
      <c r="Q800" s="286"/>
      <c r="R800" s="286"/>
      <c r="S800" s="286"/>
      <c r="T800" s="286"/>
      <c r="U800" s="286"/>
      <c r="V800" s="286"/>
      <c r="W800" s="286"/>
      <c r="X800" s="286"/>
      <c r="Y800" s="286"/>
      <c r="Z800" s="286"/>
      <c r="AA800" s="286"/>
      <c r="AB800" s="286"/>
    </row>
    <row r="801">
      <c r="A801" s="286"/>
      <c r="B801" s="286"/>
      <c r="C801" s="529"/>
      <c r="D801" s="306"/>
      <c r="E801" s="306"/>
      <c r="F801" s="306"/>
      <c r="G801" s="528"/>
      <c r="H801" s="286"/>
      <c r="I801" s="286"/>
      <c r="J801" s="529"/>
      <c r="K801" s="286"/>
      <c r="L801" s="286"/>
      <c r="M801" s="529"/>
      <c r="N801" s="529"/>
      <c r="O801" s="529"/>
      <c r="P801" s="529"/>
      <c r="Q801" s="286"/>
      <c r="R801" s="286"/>
      <c r="S801" s="286"/>
      <c r="T801" s="286"/>
      <c r="U801" s="286"/>
      <c r="V801" s="286"/>
      <c r="W801" s="286"/>
      <c r="X801" s="286"/>
      <c r="Y801" s="286"/>
      <c r="Z801" s="286"/>
      <c r="AA801" s="286"/>
      <c r="AB801" s="286"/>
    </row>
    <row r="802">
      <c r="A802" s="286"/>
      <c r="B802" s="286"/>
      <c r="C802" s="529"/>
      <c r="D802" s="306"/>
      <c r="E802" s="306"/>
      <c r="F802" s="306"/>
      <c r="G802" s="528"/>
      <c r="H802" s="286"/>
      <c r="I802" s="286"/>
      <c r="J802" s="529"/>
      <c r="K802" s="286"/>
      <c r="L802" s="286"/>
      <c r="M802" s="529"/>
      <c r="N802" s="529"/>
      <c r="O802" s="529"/>
      <c r="P802" s="529"/>
      <c r="Q802" s="286"/>
      <c r="R802" s="286"/>
      <c r="S802" s="286"/>
      <c r="T802" s="286"/>
      <c r="U802" s="286"/>
      <c r="V802" s="286"/>
      <c r="W802" s="286"/>
      <c r="X802" s="286"/>
      <c r="Y802" s="286"/>
      <c r="Z802" s="286"/>
      <c r="AA802" s="286"/>
      <c r="AB802" s="286"/>
    </row>
    <row r="803">
      <c r="A803" s="286"/>
      <c r="B803" s="286"/>
      <c r="C803" s="529"/>
      <c r="D803" s="306"/>
      <c r="E803" s="306"/>
      <c r="F803" s="306"/>
      <c r="G803" s="528"/>
      <c r="H803" s="286"/>
      <c r="I803" s="286"/>
      <c r="J803" s="529"/>
      <c r="K803" s="286"/>
      <c r="L803" s="286"/>
      <c r="M803" s="529"/>
      <c r="N803" s="529"/>
      <c r="O803" s="529"/>
      <c r="P803" s="529"/>
      <c r="Q803" s="286"/>
      <c r="R803" s="286"/>
      <c r="S803" s="286"/>
      <c r="T803" s="286"/>
      <c r="U803" s="286"/>
      <c r="V803" s="286"/>
      <c r="W803" s="286"/>
      <c r="X803" s="286"/>
      <c r="Y803" s="286"/>
      <c r="Z803" s="286"/>
      <c r="AA803" s="286"/>
      <c r="AB803" s="286"/>
    </row>
    <row r="804">
      <c r="A804" s="286"/>
      <c r="B804" s="286"/>
      <c r="C804" s="529"/>
      <c r="D804" s="306"/>
      <c r="E804" s="306"/>
      <c r="F804" s="306"/>
      <c r="G804" s="528"/>
      <c r="H804" s="286"/>
      <c r="I804" s="286"/>
      <c r="J804" s="529"/>
      <c r="K804" s="286"/>
      <c r="L804" s="286"/>
      <c r="M804" s="529"/>
      <c r="N804" s="529"/>
      <c r="O804" s="529"/>
      <c r="P804" s="529"/>
      <c r="Q804" s="286"/>
      <c r="R804" s="286"/>
      <c r="S804" s="286"/>
      <c r="T804" s="286"/>
      <c r="U804" s="286"/>
      <c r="V804" s="286"/>
      <c r="W804" s="286"/>
      <c r="X804" s="286"/>
      <c r="Y804" s="286"/>
      <c r="Z804" s="286"/>
      <c r="AA804" s="286"/>
      <c r="AB804" s="286"/>
    </row>
    <row r="805">
      <c r="A805" s="286"/>
      <c r="B805" s="286"/>
      <c r="C805" s="529"/>
      <c r="D805" s="306"/>
      <c r="E805" s="306"/>
      <c r="F805" s="306"/>
      <c r="G805" s="528"/>
      <c r="H805" s="286"/>
      <c r="I805" s="286"/>
      <c r="J805" s="529"/>
      <c r="K805" s="286"/>
      <c r="L805" s="286"/>
      <c r="M805" s="529"/>
      <c r="N805" s="529"/>
      <c r="O805" s="529"/>
      <c r="P805" s="529"/>
      <c r="Q805" s="286"/>
      <c r="R805" s="286"/>
      <c r="S805" s="286"/>
      <c r="T805" s="286"/>
      <c r="U805" s="286"/>
      <c r="V805" s="286"/>
      <c r="W805" s="286"/>
      <c r="X805" s="286"/>
      <c r="Y805" s="286"/>
      <c r="Z805" s="286"/>
      <c r="AA805" s="286"/>
      <c r="AB805" s="286"/>
    </row>
    <row r="806">
      <c r="A806" s="286"/>
      <c r="B806" s="286"/>
      <c r="C806" s="529"/>
      <c r="D806" s="306"/>
      <c r="E806" s="306"/>
      <c r="F806" s="306"/>
      <c r="G806" s="528"/>
      <c r="H806" s="286"/>
      <c r="I806" s="286"/>
      <c r="J806" s="529"/>
      <c r="K806" s="286"/>
      <c r="L806" s="286"/>
      <c r="M806" s="529"/>
      <c r="N806" s="529"/>
      <c r="O806" s="529"/>
      <c r="P806" s="529"/>
      <c r="Q806" s="286"/>
      <c r="R806" s="286"/>
      <c r="S806" s="286"/>
      <c r="T806" s="286"/>
      <c r="U806" s="286"/>
      <c r="V806" s="286"/>
      <c r="W806" s="286"/>
      <c r="X806" s="286"/>
      <c r="Y806" s="286"/>
      <c r="Z806" s="286"/>
      <c r="AA806" s="286"/>
      <c r="AB806" s="286"/>
    </row>
    <row r="807">
      <c r="A807" s="286"/>
      <c r="B807" s="286"/>
      <c r="C807" s="529"/>
      <c r="D807" s="306"/>
      <c r="E807" s="306"/>
      <c r="F807" s="306"/>
      <c r="G807" s="528"/>
      <c r="H807" s="286"/>
      <c r="I807" s="286"/>
      <c r="J807" s="529"/>
      <c r="K807" s="286"/>
      <c r="L807" s="286"/>
      <c r="M807" s="529"/>
      <c r="N807" s="529"/>
      <c r="O807" s="529"/>
      <c r="P807" s="529"/>
      <c r="Q807" s="286"/>
      <c r="R807" s="286"/>
      <c r="S807" s="286"/>
      <c r="T807" s="286"/>
      <c r="U807" s="286"/>
      <c r="V807" s="286"/>
      <c r="W807" s="286"/>
      <c r="X807" s="286"/>
      <c r="Y807" s="286"/>
      <c r="Z807" s="286"/>
      <c r="AA807" s="286"/>
      <c r="AB807" s="286"/>
    </row>
    <row r="808">
      <c r="A808" s="286"/>
      <c r="B808" s="286"/>
      <c r="C808" s="529"/>
      <c r="D808" s="306"/>
      <c r="E808" s="306"/>
      <c r="F808" s="306"/>
      <c r="G808" s="528"/>
      <c r="H808" s="286"/>
      <c r="I808" s="286"/>
      <c r="J808" s="529"/>
      <c r="K808" s="286"/>
      <c r="L808" s="286"/>
      <c r="M808" s="529"/>
      <c r="N808" s="529"/>
      <c r="O808" s="529"/>
      <c r="P808" s="529"/>
      <c r="Q808" s="286"/>
      <c r="R808" s="286"/>
      <c r="S808" s="286"/>
      <c r="T808" s="286"/>
      <c r="U808" s="286"/>
      <c r="V808" s="286"/>
      <c r="W808" s="286"/>
      <c r="X808" s="286"/>
      <c r="Y808" s="286"/>
      <c r="Z808" s="286"/>
      <c r="AA808" s="286"/>
      <c r="AB808" s="286"/>
    </row>
    <row r="809">
      <c r="A809" s="286"/>
      <c r="B809" s="286"/>
      <c r="C809" s="529"/>
      <c r="D809" s="306"/>
      <c r="E809" s="306"/>
      <c r="F809" s="306"/>
      <c r="G809" s="528"/>
      <c r="H809" s="286"/>
      <c r="I809" s="286"/>
      <c r="J809" s="529"/>
      <c r="K809" s="286"/>
      <c r="L809" s="286"/>
      <c r="M809" s="529"/>
      <c r="N809" s="529"/>
      <c r="O809" s="529"/>
      <c r="P809" s="529"/>
      <c r="Q809" s="286"/>
      <c r="R809" s="286"/>
      <c r="S809" s="286"/>
      <c r="T809" s="286"/>
      <c r="U809" s="286"/>
      <c r="V809" s="286"/>
      <c r="W809" s="286"/>
      <c r="X809" s="286"/>
      <c r="Y809" s="286"/>
      <c r="Z809" s="286"/>
      <c r="AA809" s="286"/>
      <c r="AB809" s="286"/>
    </row>
    <row r="810">
      <c r="A810" s="286"/>
      <c r="B810" s="286"/>
      <c r="C810" s="529"/>
      <c r="D810" s="306"/>
      <c r="E810" s="306"/>
      <c r="F810" s="306"/>
      <c r="G810" s="528"/>
      <c r="H810" s="286"/>
      <c r="I810" s="286"/>
      <c r="J810" s="529"/>
      <c r="K810" s="286"/>
      <c r="L810" s="286"/>
      <c r="M810" s="529"/>
      <c r="N810" s="529"/>
      <c r="O810" s="529"/>
      <c r="P810" s="529"/>
      <c r="Q810" s="286"/>
      <c r="R810" s="286"/>
      <c r="S810" s="286"/>
      <c r="T810" s="286"/>
      <c r="U810" s="286"/>
      <c r="V810" s="286"/>
      <c r="W810" s="286"/>
      <c r="X810" s="286"/>
      <c r="Y810" s="286"/>
      <c r="Z810" s="286"/>
      <c r="AA810" s="286"/>
      <c r="AB810" s="286"/>
    </row>
    <row r="811">
      <c r="A811" s="286"/>
      <c r="B811" s="286"/>
      <c r="C811" s="529"/>
      <c r="D811" s="306"/>
      <c r="E811" s="306"/>
      <c r="F811" s="306"/>
      <c r="G811" s="528"/>
      <c r="H811" s="286"/>
      <c r="I811" s="286"/>
      <c r="J811" s="529"/>
      <c r="K811" s="286"/>
      <c r="L811" s="286"/>
      <c r="M811" s="529"/>
      <c r="N811" s="529"/>
      <c r="O811" s="529"/>
      <c r="P811" s="529"/>
      <c r="Q811" s="286"/>
      <c r="R811" s="286"/>
      <c r="S811" s="286"/>
      <c r="T811" s="286"/>
      <c r="U811" s="286"/>
      <c r="V811" s="286"/>
      <c r="W811" s="286"/>
      <c r="X811" s="286"/>
      <c r="Y811" s="286"/>
      <c r="Z811" s="286"/>
      <c r="AA811" s="286"/>
      <c r="AB811" s="286"/>
    </row>
    <row r="812">
      <c r="A812" s="286"/>
      <c r="B812" s="286"/>
      <c r="C812" s="529"/>
      <c r="D812" s="306"/>
      <c r="E812" s="306"/>
      <c r="F812" s="306"/>
      <c r="G812" s="528"/>
      <c r="H812" s="286"/>
      <c r="I812" s="286"/>
      <c r="J812" s="529"/>
      <c r="K812" s="286"/>
      <c r="L812" s="286"/>
      <c r="M812" s="529"/>
      <c r="N812" s="529"/>
      <c r="O812" s="529"/>
      <c r="P812" s="529"/>
      <c r="Q812" s="286"/>
      <c r="R812" s="286"/>
      <c r="S812" s="286"/>
      <c r="T812" s="286"/>
      <c r="U812" s="286"/>
      <c r="V812" s="286"/>
      <c r="W812" s="286"/>
      <c r="X812" s="286"/>
      <c r="Y812" s="286"/>
      <c r="Z812" s="286"/>
      <c r="AA812" s="286"/>
      <c r="AB812" s="286"/>
    </row>
    <row r="813">
      <c r="A813" s="286"/>
      <c r="B813" s="286"/>
      <c r="C813" s="529"/>
      <c r="D813" s="306"/>
      <c r="E813" s="306"/>
      <c r="F813" s="306"/>
      <c r="G813" s="528"/>
      <c r="H813" s="286"/>
      <c r="I813" s="286"/>
      <c r="J813" s="529"/>
      <c r="K813" s="286"/>
      <c r="L813" s="286"/>
      <c r="M813" s="529"/>
      <c r="N813" s="529"/>
      <c r="O813" s="529"/>
      <c r="P813" s="529"/>
      <c r="Q813" s="286"/>
      <c r="R813" s="286"/>
      <c r="S813" s="286"/>
      <c r="T813" s="286"/>
      <c r="U813" s="286"/>
      <c r="V813" s="286"/>
      <c r="W813" s="286"/>
      <c r="X813" s="286"/>
      <c r="Y813" s="286"/>
      <c r="Z813" s="286"/>
      <c r="AA813" s="286"/>
      <c r="AB813" s="286"/>
    </row>
    <row r="814">
      <c r="A814" s="286"/>
      <c r="B814" s="286"/>
      <c r="C814" s="529"/>
      <c r="D814" s="306"/>
      <c r="E814" s="306"/>
      <c r="F814" s="306"/>
      <c r="G814" s="528"/>
      <c r="H814" s="286"/>
      <c r="I814" s="286"/>
      <c r="J814" s="529"/>
      <c r="K814" s="286"/>
      <c r="L814" s="286"/>
      <c r="M814" s="529"/>
      <c r="N814" s="529"/>
      <c r="O814" s="529"/>
      <c r="P814" s="529"/>
      <c r="Q814" s="286"/>
      <c r="R814" s="286"/>
      <c r="S814" s="286"/>
      <c r="T814" s="286"/>
      <c r="U814" s="286"/>
      <c r="V814" s="286"/>
      <c r="W814" s="286"/>
      <c r="X814" s="286"/>
      <c r="Y814" s="286"/>
      <c r="Z814" s="286"/>
      <c r="AA814" s="286"/>
      <c r="AB814" s="286"/>
    </row>
    <row r="815">
      <c r="A815" s="286"/>
      <c r="B815" s="286"/>
      <c r="C815" s="529"/>
      <c r="D815" s="306"/>
      <c r="E815" s="306"/>
      <c r="F815" s="306"/>
      <c r="G815" s="528"/>
      <c r="H815" s="286"/>
      <c r="I815" s="286"/>
      <c r="J815" s="529"/>
      <c r="K815" s="286"/>
      <c r="L815" s="286"/>
      <c r="M815" s="529"/>
      <c r="N815" s="529"/>
      <c r="O815" s="529"/>
      <c r="P815" s="529"/>
      <c r="Q815" s="286"/>
      <c r="R815" s="286"/>
      <c r="S815" s="286"/>
      <c r="T815" s="286"/>
      <c r="U815" s="286"/>
      <c r="V815" s="286"/>
      <c r="W815" s="286"/>
      <c r="X815" s="286"/>
      <c r="Y815" s="286"/>
      <c r="Z815" s="286"/>
      <c r="AA815" s="286"/>
      <c r="AB815" s="286"/>
    </row>
    <row r="816">
      <c r="A816" s="286"/>
      <c r="B816" s="286"/>
      <c r="C816" s="529"/>
      <c r="D816" s="306"/>
      <c r="E816" s="306"/>
      <c r="F816" s="306"/>
      <c r="G816" s="528"/>
      <c r="H816" s="286"/>
      <c r="I816" s="286"/>
      <c r="J816" s="529"/>
      <c r="K816" s="286"/>
      <c r="L816" s="286"/>
      <c r="M816" s="529"/>
      <c r="N816" s="529"/>
      <c r="O816" s="529"/>
      <c r="P816" s="529"/>
      <c r="Q816" s="286"/>
      <c r="R816" s="286"/>
      <c r="S816" s="286"/>
      <c r="T816" s="286"/>
      <c r="U816" s="286"/>
      <c r="V816" s="286"/>
      <c r="W816" s="286"/>
      <c r="X816" s="286"/>
      <c r="Y816" s="286"/>
      <c r="Z816" s="286"/>
      <c r="AA816" s="286"/>
      <c r="AB816" s="286"/>
    </row>
    <row r="817">
      <c r="A817" s="286"/>
      <c r="B817" s="286"/>
      <c r="C817" s="529"/>
      <c r="D817" s="306"/>
      <c r="E817" s="306"/>
      <c r="F817" s="306"/>
      <c r="G817" s="528"/>
      <c r="H817" s="286"/>
      <c r="I817" s="286"/>
      <c r="J817" s="529"/>
      <c r="K817" s="286"/>
      <c r="L817" s="286"/>
      <c r="M817" s="529"/>
      <c r="N817" s="529"/>
      <c r="O817" s="529"/>
      <c r="P817" s="529"/>
      <c r="Q817" s="286"/>
      <c r="R817" s="286"/>
      <c r="S817" s="286"/>
      <c r="T817" s="286"/>
      <c r="U817" s="286"/>
      <c r="V817" s="286"/>
      <c r="W817" s="286"/>
      <c r="X817" s="286"/>
      <c r="Y817" s="286"/>
      <c r="Z817" s="286"/>
      <c r="AA817" s="286"/>
      <c r="AB817" s="286"/>
    </row>
    <row r="818">
      <c r="A818" s="286"/>
      <c r="B818" s="286"/>
      <c r="C818" s="529"/>
      <c r="D818" s="306"/>
      <c r="E818" s="306"/>
      <c r="F818" s="306"/>
      <c r="G818" s="528"/>
      <c r="H818" s="286"/>
      <c r="I818" s="286"/>
      <c r="J818" s="529"/>
      <c r="K818" s="286"/>
      <c r="L818" s="286"/>
      <c r="M818" s="529"/>
      <c r="N818" s="529"/>
      <c r="O818" s="529"/>
      <c r="P818" s="529"/>
      <c r="Q818" s="286"/>
      <c r="R818" s="286"/>
      <c r="S818" s="286"/>
      <c r="T818" s="286"/>
      <c r="U818" s="286"/>
      <c r="V818" s="286"/>
      <c r="W818" s="286"/>
      <c r="X818" s="286"/>
      <c r="Y818" s="286"/>
      <c r="Z818" s="286"/>
      <c r="AA818" s="286"/>
      <c r="AB818" s="286"/>
    </row>
    <row r="819">
      <c r="A819" s="286"/>
      <c r="B819" s="286"/>
      <c r="C819" s="529"/>
      <c r="D819" s="306"/>
      <c r="E819" s="306"/>
      <c r="F819" s="306"/>
      <c r="G819" s="528"/>
      <c r="H819" s="286"/>
      <c r="I819" s="286"/>
      <c r="J819" s="529"/>
      <c r="K819" s="286"/>
      <c r="L819" s="286"/>
      <c r="M819" s="529"/>
      <c r="N819" s="529"/>
      <c r="O819" s="529"/>
      <c r="P819" s="529"/>
      <c r="Q819" s="286"/>
      <c r="R819" s="286"/>
      <c r="S819" s="286"/>
      <c r="T819" s="286"/>
      <c r="U819" s="286"/>
      <c r="V819" s="286"/>
      <c r="W819" s="286"/>
      <c r="X819" s="286"/>
      <c r="Y819" s="286"/>
      <c r="Z819" s="286"/>
      <c r="AA819" s="286"/>
      <c r="AB819" s="286"/>
    </row>
    <row r="820">
      <c r="A820" s="286"/>
      <c r="B820" s="286"/>
      <c r="C820" s="529"/>
      <c r="D820" s="306"/>
      <c r="E820" s="306"/>
      <c r="F820" s="306"/>
      <c r="G820" s="528"/>
      <c r="H820" s="286"/>
      <c r="I820" s="286"/>
      <c r="J820" s="529"/>
      <c r="K820" s="286"/>
      <c r="L820" s="286"/>
      <c r="M820" s="529"/>
      <c r="N820" s="529"/>
      <c r="O820" s="529"/>
      <c r="P820" s="529"/>
      <c r="Q820" s="286"/>
      <c r="R820" s="286"/>
      <c r="S820" s="286"/>
      <c r="T820" s="286"/>
      <c r="U820" s="286"/>
      <c r="V820" s="286"/>
      <c r="W820" s="286"/>
      <c r="X820" s="286"/>
      <c r="Y820" s="286"/>
      <c r="Z820" s="286"/>
      <c r="AA820" s="286"/>
      <c r="AB820" s="286"/>
    </row>
    <row r="821">
      <c r="A821" s="286"/>
      <c r="B821" s="286"/>
      <c r="C821" s="529"/>
      <c r="D821" s="306"/>
      <c r="E821" s="306"/>
      <c r="F821" s="306"/>
      <c r="G821" s="528"/>
      <c r="H821" s="286"/>
      <c r="I821" s="286"/>
      <c r="J821" s="529"/>
      <c r="K821" s="286"/>
      <c r="L821" s="286"/>
      <c r="M821" s="529"/>
      <c r="N821" s="529"/>
      <c r="O821" s="529"/>
      <c r="P821" s="529"/>
      <c r="Q821" s="286"/>
      <c r="R821" s="286"/>
      <c r="S821" s="286"/>
      <c r="T821" s="286"/>
      <c r="U821" s="286"/>
      <c r="V821" s="286"/>
      <c r="W821" s="286"/>
      <c r="X821" s="286"/>
      <c r="Y821" s="286"/>
      <c r="Z821" s="286"/>
      <c r="AA821" s="286"/>
      <c r="AB821" s="286"/>
    </row>
    <row r="822">
      <c r="A822" s="286"/>
      <c r="B822" s="286"/>
      <c r="C822" s="529"/>
      <c r="D822" s="306"/>
      <c r="E822" s="306"/>
      <c r="F822" s="306"/>
      <c r="G822" s="528"/>
      <c r="H822" s="286"/>
      <c r="I822" s="286"/>
      <c r="J822" s="529"/>
      <c r="K822" s="286"/>
      <c r="L822" s="286"/>
      <c r="M822" s="529"/>
      <c r="N822" s="529"/>
      <c r="O822" s="529"/>
      <c r="P822" s="529"/>
      <c r="Q822" s="286"/>
      <c r="R822" s="286"/>
      <c r="S822" s="286"/>
      <c r="T822" s="286"/>
      <c r="U822" s="286"/>
      <c r="V822" s="286"/>
      <c r="W822" s="286"/>
      <c r="X822" s="286"/>
      <c r="Y822" s="286"/>
      <c r="Z822" s="286"/>
      <c r="AA822" s="286"/>
      <c r="AB822" s="286"/>
    </row>
    <row r="823">
      <c r="A823" s="286"/>
      <c r="B823" s="286"/>
      <c r="C823" s="529"/>
      <c r="D823" s="306"/>
      <c r="E823" s="306"/>
      <c r="F823" s="306"/>
      <c r="G823" s="528"/>
      <c r="H823" s="286"/>
      <c r="I823" s="286"/>
      <c r="J823" s="529"/>
      <c r="K823" s="286"/>
      <c r="L823" s="286"/>
      <c r="M823" s="529"/>
      <c r="N823" s="529"/>
      <c r="O823" s="529"/>
      <c r="P823" s="529"/>
      <c r="Q823" s="286"/>
      <c r="R823" s="286"/>
      <c r="S823" s="286"/>
      <c r="T823" s="286"/>
      <c r="U823" s="286"/>
      <c r="V823" s="286"/>
      <c r="W823" s="286"/>
      <c r="X823" s="286"/>
      <c r="Y823" s="286"/>
      <c r="Z823" s="286"/>
      <c r="AA823" s="286"/>
      <c r="AB823" s="286"/>
    </row>
    <row r="824">
      <c r="A824" s="286"/>
      <c r="B824" s="286"/>
      <c r="C824" s="529"/>
      <c r="D824" s="306"/>
      <c r="E824" s="306"/>
      <c r="F824" s="306"/>
      <c r="G824" s="528"/>
      <c r="H824" s="286"/>
      <c r="I824" s="286"/>
      <c r="J824" s="529"/>
      <c r="K824" s="286"/>
      <c r="L824" s="286"/>
      <c r="M824" s="529"/>
      <c r="N824" s="529"/>
      <c r="O824" s="529"/>
      <c r="P824" s="529"/>
      <c r="Q824" s="286"/>
      <c r="R824" s="286"/>
      <c r="S824" s="286"/>
      <c r="T824" s="286"/>
      <c r="U824" s="286"/>
      <c r="V824" s="286"/>
      <c r="W824" s="286"/>
      <c r="X824" s="286"/>
      <c r="Y824" s="286"/>
      <c r="Z824" s="286"/>
      <c r="AA824" s="286"/>
      <c r="AB824" s="286"/>
    </row>
    <row r="825">
      <c r="A825" s="286"/>
      <c r="B825" s="286"/>
      <c r="C825" s="529"/>
      <c r="D825" s="306"/>
      <c r="E825" s="306"/>
      <c r="F825" s="306"/>
      <c r="G825" s="528"/>
      <c r="H825" s="286"/>
      <c r="I825" s="286"/>
      <c r="J825" s="529"/>
      <c r="K825" s="286"/>
      <c r="L825" s="286"/>
      <c r="M825" s="529"/>
      <c r="N825" s="529"/>
      <c r="O825" s="529"/>
      <c r="P825" s="529"/>
      <c r="Q825" s="286"/>
      <c r="R825" s="286"/>
      <c r="S825" s="286"/>
      <c r="T825" s="286"/>
      <c r="U825" s="286"/>
      <c r="V825" s="286"/>
      <c r="W825" s="286"/>
      <c r="X825" s="286"/>
      <c r="Y825" s="286"/>
      <c r="Z825" s="286"/>
      <c r="AA825" s="286"/>
      <c r="AB825" s="286"/>
    </row>
    <row r="826">
      <c r="A826" s="286"/>
      <c r="B826" s="286"/>
      <c r="C826" s="529"/>
      <c r="D826" s="306"/>
      <c r="E826" s="306"/>
      <c r="F826" s="306"/>
      <c r="G826" s="528"/>
      <c r="H826" s="286"/>
      <c r="I826" s="286"/>
      <c r="J826" s="529"/>
      <c r="K826" s="286"/>
      <c r="L826" s="286"/>
      <c r="M826" s="529"/>
      <c r="N826" s="529"/>
      <c r="O826" s="529"/>
      <c r="P826" s="529"/>
      <c r="Q826" s="286"/>
      <c r="R826" s="286"/>
      <c r="S826" s="286"/>
      <c r="T826" s="286"/>
      <c r="U826" s="286"/>
      <c r="V826" s="286"/>
      <c r="W826" s="286"/>
      <c r="X826" s="286"/>
      <c r="Y826" s="286"/>
      <c r="Z826" s="286"/>
      <c r="AA826" s="286"/>
      <c r="AB826" s="286"/>
    </row>
    <row r="827">
      <c r="A827" s="286"/>
      <c r="B827" s="286"/>
      <c r="C827" s="529"/>
      <c r="D827" s="306"/>
      <c r="E827" s="306"/>
      <c r="F827" s="306"/>
      <c r="G827" s="528"/>
      <c r="H827" s="286"/>
      <c r="I827" s="286"/>
      <c r="J827" s="529"/>
      <c r="K827" s="286"/>
      <c r="L827" s="286"/>
      <c r="M827" s="529"/>
      <c r="N827" s="529"/>
      <c r="O827" s="529"/>
      <c r="P827" s="529"/>
      <c r="Q827" s="286"/>
      <c r="R827" s="286"/>
      <c r="S827" s="286"/>
      <c r="T827" s="286"/>
      <c r="U827" s="286"/>
      <c r="V827" s="286"/>
      <c r="W827" s="286"/>
      <c r="X827" s="286"/>
      <c r="Y827" s="286"/>
      <c r="Z827" s="286"/>
      <c r="AA827" s="286"/>
      <c r="AB827" s="286"/>
    </row>
    <row r="828">
      <c r="A828" s="286"/>
      <c r="B828" s="286"/>
      <c r="C828" s="529"/>
      <c r="D828" s="306"/>
      <c r="E828" s="306"/>
      <c r="F828" s="306"/>
      <c r="G828" s="528"/>
      <c r="H828" s="286"/>
      <c r="I828" s="286"/>
      <c r="J828" s="529"/>
      <c r="K828" s="286"/>
      <c r="L828" s="286"/>
      <c r="M828" s="529"/>
      <c r="N828" s="529"/>
      <c r="O828" s="529"/>
      <c r="P828" s="529"/>
      <c r="Q828" s="286"/>
      <c r="R828" s="286"/>
      <c r="S828" s="286"/>
      <c r="T828" s="286"/>
      <c r="U828" s="286"/>
      <c r="V828" s="286"/>
      <c r="W828" s="286"/>
      <c r="X828" s="286"/>
      <c r="Y828" s="286"/>
      <c r="Z828" s="286"/>
      <c r="AA828" s="286"/>
      <c r="AB828" s="286"/>
    </row>
    <row r="829">
      <c r="A829" s="286"/>
      <c r="B829" s="286"/>
      <c r="C829" s="529"/>
      <c r="D829" s="306"/>
      <c r="E829" s="306"/>
      <c r="F829" s="306"/>
      <c r="G829" s="528"/>
      <c r="H829" s="286"/>
      <c r="I829" s="286"/>
      <c r="J829" s="529"/>
      <c r="K829" s="286"/>
      <c r="L829" s="286"/>
      <c r="M829" s="529"/>
      <c r="N829" s="529"/>
      <c r="O829" s="529"/>
      <c r="P829" s="529"/>
      <c r="Q829" s="286"/>
      <c r="R829" s="286"/>
      <c r="S829" s="286"/>
      <c r="T829" s="286"/>
      <c r="U829" s="286"/>
      <c r="V829" s="286"/>
      <c r="W829" s="286"/>
      <c r="X829" s="286"/>
      <c r="Y829" s="286"/>
      <c r="Z829" s="286"/>
      <c r="AA829" s="286"/>
      <c r="AB829" s="286"/>
    </row>
    <row r="830">
      <c r="A830" s="286"/>
      <c r="B830" s="286"/>
      <c r="C830" s="529"/>
      <c r="D830" s="306"/>
      <c r="E830" s="306"/>
      <c r="F830" s="306"/>
      <c r="G830" s="528"/>
      <c r="H830" s="286"/>
      <c r="I830" s="286"/>
      <c r="J830" s="529"/>
      <c r="K830" s="286"/>
      <c r="L830" s="286"/>
      <c r="M830" s="529"/>
      <c r="N830" s="529"/>
      <c r="O830" s="529"/>
      <c r="P830" s="529"/>
      <c r="Q830" s="286"/>
      <c r="R830" s="286"/>
      <c r="S830" s="286"/>
      <c r="T830" s="286"/>
      <c r="U830" s="286"/>
      <c r="V830" s="286"/>
      <c r="W830" s="286"/>
      <c r="X830" s="286"/>
      <c r="Y830" s="286"/>
      <c r="Z830" s="286"/>
      <c r="AA830" s="286"/>
      <c r="AB830" s="286"/>
    </row>
    <row r="831">
      <c r="A831" s="286"/>
      <c r="B831" s="286"/>
      <c r="C831" s="529"/>
      <c r="D831" s="306"/>
      <c r="E831" s="306"/>
      <c r="F831" s="306"/>
      <c r="G831" s="528"/>
      <c r="H831" s="286"/>
      <c r="I831" s="286"/>
      <c r="J831" s="529"/>
      <c r="K831" s="286"/>
      <c r="L831" s="286"/>
      <c r="M831" s="529"/>
      <c r="N831" s="529"/>
      <c r="O831" s="529"/>
      <c r="P831" s="529"/>
      <c r="Q831" s="286"/>
      <c r="R831" s="286"/>
      <c r="S831" s="286"/>
      <c r="T831" s="286"/>
      <c r="U831" s="286"/>
      <c r="V831" s="286"/>
      <c r="W831" s="286"/>
      <c r="X831" s="286"/>
      <c r="Y831" s="286"/>
      <c r="Z831" s="286"/>
      <c r="AA831" s="286"/>
      <c r="AB831" s="286"/>
    </row>
    <row r="832">
      <c r="A832" s="286"/>
      <c r="B832" s="286"/>
      <c r="C832" s="529"/>
      <c r="D832" s="306"/>
      <c r="E832" s="306"/>
      <c r="F832" s="306"/>
      <c r="G832" s="528"/>
      <c r="H832" s="286"/>
      <c r="I832" s="286"/>
      <c r="J832" s="529"/>
      <c r="K832" s="286"/>
      <c r="L832" s="286"/>
      <c r="M832" s="529"/>
      <c r="N832" s="529"/>
      <c r="O832" s="529"/>
      <c r="P832" s="529"/>
      <c r="Q832" s="286"/>
      <c r="R832" s="286"/>
      <c r="S832" s="286"/>
      <c r="T832" s="286"/>
      <c r="U832" s="286"/>
      <c r="V832" s="286"/>
      <c r="W832" s="286"/>
      <c r="X832" s="286"/>
      <c r="Y832" s="286"/>
      <c r="Z832" s="286"/>
      <c r="AA832" s="286"/>
      <c r="AB832" s="286"/>
    </row>
    <row r="833">
      <c r="A833" s="286"/>
      <c r="B833" s="286"/>
      <c r="C833" s="529"/>
      <c r="D833" s="306"/>
      <c r="E833" s="306"/>
      <c r="F833" s="306"/>
      <c r="G833" s="528"/>
      <c r="H833" s="286"/>
      <c r="I833" s="286"/>
      <c r="J833" s="529"/>
      <c r="K833" s="286"/>
      <c r="L833" s="286"/>
      <c r="M833" s="529"/>
      <c r="N833" s="529"/>
      <c r="O833" s="529"/>
      <c r="P833" s="529"/>
      <c r="Q833" s="286"/>
      <c r="R833" s="286"/>
      <c r="S833" s="286"/>
      <c r="T833" s="286"/>
      <c r="U833" s="286"/>
      <c r="V833" s="286"/>
      <c r="W833" s="286"/>
      <c r="X833" s="286"/>
      <c r="Y833" s="286"/>
      <c r="Z833" s="286"/>
      <c r="AA833" s="286"/>
      <c r="AB833" s="286"/>
    </row>
    <row r="834">
      <c r="A834" s="286"/>
      <c r="B834" s="286"/>
      <c r="C834" s="529"/>
      <c r="D834" s="306"/>
      <c r="E834" s="306"/>
      <c r="F834" s="306"/>
      <c r="G834" s="528"/>
      <c r="H834" s="286"/>
      <c r="I834" s="286"/>
      <c r="J834" s="529"/>
      <c r="K834" s="286"/>
      <c r="L834" s="286"/>
      <c r="M834" s="529"/>
      <c r="N834" s="529"/>
      <c r="O834" s="529"/>
      <c r="P834" s="529"/>
      <c r="Q834" s="286"/>
      <c r="R834" s="286"/>
      <c r="S834" s="286"/>
      <c r="T834" s="286"/>
      <c r="U834" s="286"/>
      <c r="V834" s="286"/>
      <c r="W834" s="286"/>
      <c r="X834" s="286"/>
      <c r="Y834" s="286"/>
      <c r="Z834" s="286"/>
      <c r="AA834" s="286"/>
      <c r="AB834" s="286"/>
    </row>
    <row r="835">
      <c r="A835" s="286"/>
      <c r="B835" s="286"/>
      <c r="C835" s="529"/>
      <c r="D835" s="306"/>
      <c r="E835" s="306"/>
      <c r="F835" s="306"/>
      <c r="G835" s="528"/>
      <c r="H835" s="286"/>
      <c r="I835" s="286"/>
      <c r="J835" s="529"/>
      <c r="K835" s="286"/>
      <c r="L835" s="286"/>
      <c r="M835" s="529"/>
      <c r="N835" s="529"/>
      <c r="O835" s="529"/>
      <c r="P835" s="529"/>
      <c r="Q835" s="286"/>
      <c r="R835" s="286"/>
      <c r="S835" s="286"/>
      <c r="T835" s="286"/>
      <c r="U835" s="286"/>
      <c r="V835" s="286"/>
      <c r="W835" s="286"/>
      <c r="X835" s="286"/>
      <c r="Y835" s="286"/>
      <c r="Z835" s="286"/>
      <c r="AA835" s="286"/>
      <c r="AB835" s="286"/>
    </row>
    <row r="836">
      <c r="A836" s="286"/>
      <c r="B836" s="286"/>
      <c r="C836" s="529"/>
      <c r="D836" s="306"/>
      <c r="E836" s="306"/>
      <c r="F836" s="306"/>
      <c r="G836" s="528"/>
      <c r="H836" s="286"/>
      <c r="I836" s="286"/>
      <c r="J836" s="529"/>
      <c r="K836" s="286"/>
      <c r="L836" s="286"/>
      <c r="M836" s="529"/>
      <c r="N836" s="529"/>
      <c r="O836" s="529"/>
      <c r="P836" s="529"/>
      <c r="Q836" s="286"/>
      <c r="R836" s="286"/>
      <c r="S836" s="286"/>
      <c r="T836" s="286"/>
      <c r="U836" s="286"/>
      <c r="V836" s="286"/>
      <c r="W836" s="286"/>
      <c r="X836" s="286"/>
      <c r="Y836" s="286"/>
      <c r="Z836" s="286"/>
      <c r="AA836" s="286"/>
      <c r="AB836" s="286"/>
    </row>
    <row r="837">
      <c r="A837" s="286"/>
      <c r="B837" s="286"/>
      <c r="C837" s="529"/>
      <c r="D837" s="306"/>
      <c r="E837" s="306"/>
      <c r="F837" s="306"/>
      <c r="G837" s="528"/>
      <c r="H837" s="286"/>
      <c r="I837" s="286"/>
      <c r="J837" s="529"/>
      <c r="K837" s="286"/>
      <c r="L837" s="286"/>
      <c r="M837" s="529"/>
      <c r="N837" s="529"/>
      <c r="O837" s="529"/>
      <c r="P837" s="529"/>
      <c r="Q837" s="286"/>
      <c r="R837" s="286"/>
      <c r="S837" s="286"/>
      <c r="T837" s="286"/>
      <c r="U837" s="286"/>
      <c r="V837" s="286"/>
      <c r="W837" s="286"/>
      <c r="X837" s="286"/>
      <c r="Y837" s="286"/>
      <c r="Z837" s="286"/>
      <c r="AA837" s="286"/>
      <c r="AB837" s="286"/>
    </row>
    <row r="838">
      <c r="A838" s="286"/>
      <c r="B838" s="286"/>
      <c r="C838" s="529"/>
      <c r="D838" s="306"/>
      <c r="E838" s="306"/>
      <c r="F838" s="306"/>
      <c r="G838" s="528"/>
      <c r="H838" s="286"/>
      <c r="I838" s="286"/>
      <c r="J838" s="529"/>
      <c r="K838" s="286"/>
      <c r="L838" s="286"/>
      <c r="M838" s="529"/>
      <c r="N838" s="529"/>
      <c r="O838" s="529"/>
      <c r="P838" s="529"/>
      <c r="Q838" s="286"/>
      <c r="R838" s="286"/>
      <c r="S838" s="286"/>
      <c r="T838" s="286"/>
      <c r="U838" s="286"/>
      <c r="V838" s="286"/>
      <c r="W838" s="286"/>
      <c r="X838" s="286"/>
      <c r="Y838" s="286"/>
      <c r="Z838" s="286"/>
      <c r="AA838" s="286"/>
      <c r="AB838" s="286"/>
    </row>
    <row r="839">
      <c r="A839" s="286"/>
      <c r="B839" s="286"/>
      <c r="C839" s="529"/>
      <c r="D839" s="306"/>
      <c r="E839" s="306"/>
      <c r="F839" s="306"/>
      <c r="G839" s="528"/>
      <c r="H839" s="286"/>
      <c r="I839" s="286"/>
      <c r="J839" s="529"/>
      <c r="K839" s="286"/>
      <c r="L839" s="286"/>
      <c r="M839" s="529"/>
      <c r="N839" s="529"/>
      <c r="O839" s="529"/>
      <c r="P839" s="529"/>
      <c r="Q839" s="286"/>
      <c r="R839" s="286"/>
      <c r="S839" s="286"/>
      <c r="T839" s="286"/>
      <c r="U839" s="286"/>
      <c r="V839" s="286"/>
      <c r="W839" s="286"/>
      <c r="X839" s="286"/>
      <c r="Y839" s="286"/>
      <c r="Z839" s="286"/>
      <c r="AA839" s="286"/>
      <c r="AB839" s="286"/>
    </row>
    <row r="840">
      <c r="A840" s="286"/>
      <c r="B840" s="286"/>
      <c r="C840" s="529"/>
      <c r="D840" s="306"/>
      <c r="E840" s="306"/>
      <c r="F840" s="306"/>
      <c r="G840" s="528"/>
      <c r="H840" s="286"/>
      <c r="I840" s="286"/>
      <c r="J840" s="529"/>
      <c r="K840" s="286"/>
      <c r="L840" s="286"/>
      <c r="M840" s="529"/>
      <c r="N840" s="529"/>
      <c r="O840" s="529"/>
      <c r="P840" s="529"/>
      <c r="Q840" s="286"/>
      <c r="R840" s="286"/>
      <c r="S840" s="286"/>
      <c r="T840" s="286"/>
      <c r="U840" s="286"/>
      <c r="V840" s="286"/>
      <c r="W840" s="286"/>
      <c r="X840" s="286"/>
      <c r="Y840" s="286"/>
      <c r="Z840" s="286"/>
      <c r="AA840" s="286"/>
      <c r="AB840" s="286"/>
    </row>
    <row r="841">
      <c r="A841" s="286"/>
      <c r="B841" s="286"/>
      <c r="C841" s="529"/>
      <c r="D841" s="306"/>
      <c r="E841" s="306"/>
      <c r="F841" s="306"/>
      <c r="G841" s="528"/>
      <c r="H841" s="286"/>
      <c r="I841" s="286"/>
      <c r="J841" s="529"/>
      <c r="K841" s="286"/>
      <c r="L841" s="286"/>
      <c r="M841" s="529"/>
      <c r="N841" s="529"/>
      <c r="O841" s="529"/>
      <c r="P841" s="529"/>
      <c r="Q841" s="286"/>
      <c r="R841" s="286"/>
      <c r="S841" s="286"/>
      <c r="T841" s="286"/>
      <c r="U841" s="286"/>
      <c r="V841" s="286"/>
      <c r="W841" s="286"/>
      <c r="X841" s="286"/>
      <c r="Y841" s="286"/>
      <c r="Z841" s="286"/>
      <c r="AA841" s="286"/>
      <c r="AB841" s="286"/>
    </row>
    <row r="842">
      <c r="A842" s="286"/>
      <c r="B842" s="286"/>
      <c r="C842" s="529"/>
      <c r="D842" s="306"/>
      <c r="E842" s="306"/>
      <c r="F842" s="306"/>
      <c r="G842" s="528"/>
      <c r="H842" s="286"/>
      <c r="I842" s="286"/>
      <c r="J842" s="529"/>
      <c r="K842" s="286"/>
      <c r="L842" s="286"/>
      <c r="M842" s="529"/>
      <c r="N842" s="529"/>
      <c r="O842" s="529"/>
      <c r="P842" s="529"/>
      <c r="Q842" s="286"/>
      <c r="R842" s="286"/>
      <c r="S842" s="286"/>
      <c r="T842" s="286"/>
      <c r="U842" s="286"/>
      <c r="V842" s="286"/>
      <c r="W842" s="286"/>
      <c r="X842" s="286"/>
      <c r="Y842" s="286"/>
      <c r="Z842" s="286"/>
      <c r="AA842" s="286"/>
      <c r="AB842" s="286"/>
    </row>
    <row r="843">
      <c r="A843" s="286"/>
      <c r="B843" s="286"/>
      <c r="C843" s="529"/>
      <c r="D843" s="306"/>
      <c r="E843" s="306"/>
      <c r="F843" s="306"/>
      <c r="G843" s="528"/>
      <c r="H843" s="286"/>
      <c r="I843" s="286"/>
      <c r="J843" s="529"/>
      <c r="K843" s="286"/>
      <c r="L843" s="286"/>
      <c r="M843" s="529"/>
      <c r="N843" s="529"/>
      <c r="O843" s="529"/>
      <c r="P843" s="529"/>
      <c r="Q843" s="286"/>
      <c r="R843" s="286"/>
      <c r="S843" s="286"/>
      <c r="T843" s="286"/>
      <c r="U843" s="286"/>
      <c r="V843" s="286"/>
      <c r="W843" s="286"/>
      <c r="X843" s="286"/>
      <c r="Y843" s="286"/>
      <c r="Z843" s="286"/>
      <c r="AA843" s="286"/>
      <c r="AB843" s="286"/>
    </row>
    <row r="844">
      <c r="A844" s="286"/>
      <c r="B844" s="286"/>
      <c r="C844" s="529"/>
      <c r="D844" s="306"/>
      <c r="E844" s="306"/>
      <c r="F844" s="306"/>
      <c r="G844" s="528"/>
      <c r="H844" s="286"/>
      <c r="I844" s="286"/>
      <c r="J844" s="529"/>
      <c r="K844" s="286"/>
      <c r="L844" s="286"/>
      <c r="M844" s="529"/>
      <c r="N844" s="529"/>
      <c r="O844" s="529"/>
      <c r="P844" s="529"/>
      <c r="Q844" s="286"/>
      <c r="R844" s="286"/>
      <c r="S844" s="286"/>
      <c r="T844" s="286"/>
      <c r="U844" s="286"/>
      <c r="V844" s="286"/>
      <c r="W844" s="286"/>
      <c r="X844" s="286"/>
      <c r="Y844" s="286"/>
      <c r="Z844" s="286"/>
      <c r="AA844" s="286"/>
      <c r="AB844" s="286"/>
    </row>
    <row r="845">
      <c r="A845" s="286"/>
      <c r="B845" s="286"/>
      <c r="C845" s="529"/>
      <c r="D845" s="306"/>
      <c r="E845" s="306"/>
      <c r="F845" s="306"/>
      <c r="G845" s="528"/>
      <c r="H845" s="286"/>
      <c r="I845" s="286"/>
      <c r="J845" s="529"/>
      <c r="K845" s="286"/>
      <c r="L845" s="286"/>
      <c r="M845" s="529"/>
      <c r="N845" s="529"/>
      <c r="O845" s="529"/>
      <c r="P845" s="529"/>
      <c r="Q845" s="286"/>
      <c r="R845" s="286"/>
      <c r="S845" s="286"/>
      <c r="T845" s="286"/>
      <c r="U845" s="286"/>
      <c r="V845" s="286"/>
      <c r="W845" s="286"/>
      <c r="X845" s="286"/>
      <c r="Y845" s="286"/>
      <c r="Z845" s="286"/>
      <c r="AA845" s="286"/>
      <c r="AB845" s="286"/>
    </row>
    <row r="846">
      <c r="A846" s="286"/>
      <c r="B846" s="286"/>
      <c r="C846" s="529"/>
      <c r="D846" s="306"/>
      <c r="E846" s="306"/>
      <c r="F846" s="306"/>
      <c r="G846" s="528"/>
      <c r="H846" s="286"/>
      <c r="I846" s="286"/>
      <c r="J846" s="529"/>
      <c r="K846" s="286"/>
      <c r="L846" s="286"/>
      <c r="M846" s="529"/>
      <c r="N846" s="529"/>
      <c r="O846" s="529"/>
      <c r="P846" s="529"/>
      <c r="Q846" s="286"/>
      <c r="R846" s="286"/>
      <c r="S846" s="286"/>
      <c r="T846" s="286"/>
      <c r="U846" s="286"/>
      <c r="V846" s="286"/>
      <c r="W846" s="286"/>
      <c r="X846" s="286"/>
      <c r="Y846" s="286"/>
      <c r="Z846" s="286"/>
      <c r="AA846" s="286"/>
      <c r="AB846" s="286"/>
    </row>
    <row r="847">
      <c r="A847" s="286"/>
      <c r="B847" s="286"/>
      <c r="C847" s="529"/>
      <c r="D847" s="306"/>
      <c r="E847" s="306"/>
      <c r="F847" s="306"/>
      <c r="G847" s="528"/>
      <c r="H847" s="286"/>
      <c r="I847" s="286"/>
      <c r="J847" s="529"/>
      <c r="K847" s="286"/>
      <c r="L847" s="286"/>
      <c r="M847" s="529"/>
      <c r="N847" s="529"/>
      <c r="O847" s="529"/>
      <c r="P847" s="529"/>
      <c r="Q847" s="286"/>
      <c r="R847" s="286"/>
      <c r="S847" s="286"/>
      <c r="T847" s="286"/>
      <c r="U847" s="286"/>
      <c r="V847" s="286"/>
      <c r="W847" s="286"/>
      <c r="X847" s="286"/>
      <c r="Y847" s="286"/>
      <c r="Z847" s="286"/>
      <c r="AA847" s="286"/>
      <c r="AB847" s="286"/>
    </row>
    <row r="848">
      <c r="A848" s="286"/>
      <c r="B848" s="286"/>
      <c r="C848" s="529"/>
      <c r="D848" s="306"/>
      <c r="E848" s="306"/>
      <c r="F848" s="306"/>
      <c r="G848" s="528"/>
      <c r="H848" s="286"/>
      <c r="I848" s="286"/>
      <c r="J848" s="529"/>
      <c r="K848" s="286"/>
      <c r="L848" s="286"/>
      <c r="M848" s="529"/>
      <c r="N848" s="529"/>
      <c r="O848" s="529"/>
      <c r="P848" s="529"/>
      <c r="Q848" s="286"/>
      <c r="R848" s="286"/>
      <c r="S848" s="286"/>
      <c r="T848" s="286"/>
      <c r="U848" s="286"/>
      <c r="V848" s="286"/>
      <c r="W848" s="286"/>
      <c r="X848" s="286"/>
      <c r="Y848" s="286"/>
      <c r="Z848" s="286"/>
      <c r="AA848" s="286"/>
      <c r="AB848" s="286"/>
    </row>
    <row r="849">
      <c r="A849" s="286"/>
      <c r="B849" s="286"/>
      <c r="C849" s="529"/>
      <c r="D849" s="306"/>
      <c r="E849" s="306"/>
      <c r="F849" s="306"/>
      <c r="G849" s="528"/>
      <c r="H849" s="286"/>
      <c r="I849" s="286"/>
      <c r="J849" s="529"/>
      <c r="K849" s="286"/>
      <c r="L849" s="286"/>
      <c r="M849" s="529"/>
      <c r="N849" s="529"/>
      <c r="O849" s="529"/>
      <c r="P849" s="529"/>
      <c r="Q849" s="286"/>
      <c r="R849" s="286"/>
      <c r="S849" s="286"/>
      <c r="T849" s="286"/>
      <c r="U849" s="286"/>
      <c r="V849" s="286"/>
      <c r="W849" s="286"/>
      <c r="X849" s="286"/>
      <c r="Y849" s="286"/>
      <c r="Z849" s="286"/>
      <c r="AA849" s="286"/>
      <c r="AB849" s="286"/>
    </row>
    <row r="850">
      <c r="A850" s="286"/>
      <c r="B850" s="286"/>
      <c r="C850" s="529"/>
      <c r="D850" s="306"/>
      <c r="E850" s="306"/>
      <c r="F850" s="306"/>
      <c r="G850" s="528"/>
      <c r="H850" s="286"/>
      <c r="I850" s="286"/>
      <c r="J850" s="529"/>
      <c r="K850" s="286"/>
      <c r="L850" s="286"/>
      <c r="M850" s="529"/>
      <c r="N850" s="529"/>
      <c r="O850" s="529"/>
      <c r="P850" s="529"/>
      <c r="Q850" s="286"/>
      <c r="R850" s="286"/>
      <c r="S850" s="286"/>
      <c r="T850" s="286"/>
      <c r="U850" s="286"/>
      <c r="V850" s="286"/>
      <c r="W850" s="286"/>
      <c r="X850" s="286"/>
      <c r="Y850" s="286"/>
      <c r="Z850" s="286"/>
      <c r="AA850" s="286"/>
      <c r="AB850" s="286"/>
    </row>
    <row r="851">
      <c r="A851" s="286"/>
      <c r="B851" s="286"/>
      <c r="C851" s="529"/>
      <c r="D851" s="306"/>
      <c r="E851" s="306"/>
      <c r="F851" s="306"/>
      <c r="G851" s="528"/>
      <c r="H851" s="286"/>
      <c r="I851" s="286"/>
      <c r="J851" s="529"/>
      <c r="K851" s="286"/>
      <c r="L851" s="286"/>
      <c r="M851" s="529"/>
      <c r="N851" s="529"/>
      <c r="O851" s="529"/>
      <c r="P851" s="529"/>
      <c r="Q851" s="286"/>
      <c r="R851" s="286"/>
      <c r="S851" s="286"/>
      <c r="T851" s="286"/>
      <c r="U851" s="286"/>
      <c r="V851" s="286"/>
      <c r="W851" s="286"/>
      <c r="X851" s="286"/>
      <c r="Y851" s="286"/>
      <c r="Z851" s="286"/>
      <c r="AA851" s="286"/>
      <c r="AB851" s="286"/>
    </row>
    <row r="852">
      <c r="A852" s="286"/>
      <c r="B852" s="286"/>
      <c r="C852" s="529"/>
      <c r="D852" s="306"/>
      <c r="E852" s="306"/>
      <c r="F852" s="306"/>
      <c r="G852" s="528"/>
      <c r="H852" s="286"/>
      <c r="I852" s="286"/>
      <c r="J852" s="529"/>
      <c r="K852" s="286"/>
      <c r="L852" s="286"/>
      <c r="M852" s="529"/>
      <c r="N852" s="529"/>
      <c r="O852" s="529"/>
      <c r="P852" s="529"/>
      <c r="Q852" s="286"/>
      <c r="R852" s="286"/>
      <c r="S852" s="286"/>
      <c r="T852" s="286"/>
      <c r="U852" s="286"/>
      <c r="V852" s="286"/>
      <c r="W852" s="286"/>
      <c r="X852" s="286"/>
      <c r="Y852" s="286"/>
      <c r="Z852" s="286"/>
      <c r="AA852" s="286"/>
      <c r="AB852" s="286"/>
    </row>
    <row r="853">
      <c r="A853" s="286"/>
      <c r="B853" s="286"/>
      <c r="C853" s="529"/>
      <c r="D853" s="306"/>
      <c r="E853" s="306"/>
      <c r="F853" s="306"/>
      <c r="G853" s="528"/>
      <c r="H853" s="286"/>
      <c r="I853" s="286"/>
      <c r="J853" s="529"/>
      <c r="K853" s="286"/>
      <c r="L853" s="286"/>
      <c r="M853" s="529"/>
      <c r="N853" s="529"/>
      <c r="O853" s="529"/>
      <c r="P853" s="529"/>
      <c r="Q853" s="286"/>
      <c r="R853" s="286"/>
      <c r="S853" s="286"/>
      <c r="T853" s="286"/>
      <c r="U853" s="286"/>
      <c r="V853" s="286"/>
      <c r="W853" s="286"/>
      <c r="X853" s="286"/>
      <c r="Y853" s="286"/>
      <c r="Z853" s="286"/>
      <c r="AA853" s="286"/>
      <c r="AB853" s="286"/>
    </row>
    <row r="854">
      <c r="A854" s="286"/>
      <c r="B854" s="286"/>
      <c r="C854" s="529"/>
      <c r="D854" s="306"/>
      <c r="E854" s="306"/>
      <c r="F854" s="306"/>
      <c r="G854" s="528"/>
      <c r="H854" s="286"/>
      <c r="I854" s="286"/>
      <c r="J854" s="529"/>
      <c r="K854" s="286"/>
      <c r="L854" s="286"/>
      <c r="M854" s="529"/>
      <c r="N854" s="529"/>
      <c r="O854" s="529"/>
      <c r="P854" s="529"/>
      <c r="Q854" s="286"/>
      <c r="R854" s="286"/>
      <c r="S854" s="286"/>
      <c r="T854" s="286"/>
      <c r="U854" s="286"/>
      <c r="V854" s="286"/>
      <c r="W854" s="286"/>
      <c r="X854" s="286"/>
      <c r="Y854" s="286"/>
      <c r="Z854" s="286"/>
      <c r="AA854" s="286"/>
      <c r="AB854" s="286"/>
    </row>
    <row r="855">
      <c r="A855" s="286"/>
      <c r="B855" s="286"/>
      <c r="C855" s="529"/>
      <c r="D855" s="306"/>
      <c r="E855" s="306"/>
      <c r="F855" s="306"/>
      <c r="G855" s="528"/>
      <c r="H855" s="286"/>
      <c r="I855" s="286"/>
      <c r="J855" s="529"/>
      <c r="K855" s="286"/>
      <c r="L855" s="286"/>
      <c r="M855" s="529"/>
      <c r="N855" s="529"/>
      <c r="O855" s="529"/>
      <c r="P855" s="529"/>
      <c r="Q855" s="286"/>
      <c r="R855" s="286"/>
      <c r="S855" s="286"/>
      <c r="T855" s="286"/>
      <c r="U855" s="286"/>
      <c r="V855" s="286"/>
      <c r="W855" s="286"/>
      <c r="X855" s="286"/>
      <c r="Y855" s="286"/>
      <c r="Z855" s="286"/>
      <c r="AA855" s="286"/>
      <c r="AB855" s="286"/>
    </row>
    <row r="856">
      <c r="A856" s="286"/>
      <c r="B856" s="286"/>
      <c r="C856" s="529"/>
      <c r="D856" s="306"/>
      <c r="E856" s="306"/>
      <c r="F856" s="306"/>
      <c r="G856" s="528"/>
      <c r="H856" s="286"/>
      <c r="I856" s="286"/>
      <c r="J856" s="529"/>
      <c r="K856" s="286"/>
      <c r="L856" s="286"/>
      <c r="M856" s="529"/>
      <c r="N856" s="529"/>
      <c r="O856" s="529"/>
      <c r="P856" s="529"/>
      <c r="Q856" s="286"/>
      <c r="R856" s="286"/>
      <c r="S856" s="286"/>
      <c r="T856" s="286"/>
      <c r="U856" s="286"/>
      <c r="V856" s="286"/>
      <c r="W856" s="286"/>
      <c r="X856" s="286"/>
      <c r="Y856" s="286"/>
      <c r="Z856" s="286"/>
      <c r="AA856" s="286"/>
      <c r="AB856" s="286"/>
    </row>
    <row r="857">
      <c r="A857" s="286"/>
      <c r="B857" s="286"/>
      <c r="C857" s="529"/>
      <c r="D857" s="306"/>
      <c r="E857" s="306"/>
      <c r="F857" s="306"/>
      <c r="G857" s="528"/>
      <c r="H857" s="286"/>
      <c r="I857" s="286"/>
      <c r="J857" s="529"/>
      <c r="K857" s="286"/>
      <c r="L857" s="286"/>
      <c r="M857" s="529"/>
      <c r="N857" s="529"/>
      <c r="O857" s="529"/>
      <c r="P857" s="529"/>
      <c r="Q857" s="286"/>
      <c r="R857" s="286"/>
      <c r="S857" s="286"/>
      <c r="T857" s="286"/>
      <c r="U857" s="286"/>
      <c r="V857" s="286"/>
      <c r="W857" s="286"/>
      <c r="X857" s="286"/>
      <c r="Y857" s="286"/>
      <c r="Z857" s="286"/>
      <c r="AA857" s="286"/>
      <c r="AB857" s="286"/>
    </row>
    <row r="858">
      <c r="A858" s="286"/>
      <c r="B858" s="286"/>
      <c r="C858" s="529"/>
      <c r="D858" s="306"/>
      <c r="E858" s="306"/>
      <c r="F858" s="306"/>
      <c r="G858" s="528"/>
      <c r="H858" s="286"/>
      <c r="I858" s="286"/>
      <c r="J858" s="529"/>
      <c r="K858" s="286"/>
      <c r="L858" s="286"/>
      <c r="M858" s="529"/>
      <c r="N858" s="529"/>
      <c r="O858" s="529"/>
      <c r="P858" s="529"/>
      <c r="Q858" s="286"/>
      <c r="R858" s="286"/>
      <c r="S858" s="286"/>
      <c r="T858" s="286"/>
      <c r="U858" s="286"/>
      <c r="V858" s="286"/>
      <c r="W858" s="286"/>
      <c r="X858" s="286"/>
      <c r="Y858" s="286"/>
      <c r="Z858" s="286"/>
      <c r="AA858" s="286"/>
      <c r="AB858" s="286"/>
    </row>
    <row r="859">
      <c r="A859" s="286"/>
      <c r="B859" s="286"/>
      <c r="C859" s="529"/>
      <c r="D859" s="306"/>
      <c r="E859" s="306"/>
      <c r="F859" s="306"/>
      <c r="G859" s="528"/>
      <c r="H859" s="286"/>
      <c r="I859" s="286"/>
      <c r="J859" s="529"/>
      <c r="K859" s="286"/>
      <c r="L859" s="286"/>
      <c r="M859" s="529"/>
      <c r="N859" s="529"/>
      <c r="O859" s="529"/>
      <c r="P859" s="529"/>
      <c r="Q859" s="286"/>
      <c r="R859" s="286"/>
      <c r="S859" s="286"/>
      <c r="T859" s="286"/>
      <c r="U859" s="286"/>
      <c r="V859" s="286"/>
      <c r="W859" s="286"/>
      <c r="X859" s="286"/>
      <c r="Y859" s="286"/>
      <c r="Z859" s="286"/>
      <c r="AA859" s="286"/>
      <c r="AB859" s="286"/>
    </row>
    <row r="860">
      <c r="A860" s="286"/>
      <c r="B860" s="286"/>
      <c r="C860" s="529"/>
      <c r="D860" s="306"/>
      <c r="E860" s="306"/>
      <c r="F860" s="306"/>
      <c r="G860" s="528"/>
      <c r="H860" s="286"/>
      <c r="I860" s="286"/>
      <c r="J860" s="529"/>
      <c r="K860" s="286"/>
      <c r="L860" s="286"/>
      <c r="M860" s="529"/>
      <c r="N860" s="529"/>
      <c r="O860" s="529"/>
      <c r="P860" s="529"/>
      <c r="Q860" s="286"/>
      <c r="R860" s="286"/>
      <c r="S860" s="286"/>
      <c r="T860" s="286"/>
      <c r="U860" s="286"/>
      <c r="V860" s="286"/>
      <c r="W860" s="286"/>
      <c r="X860" s="286"/>
      <c r="Y860" s="286"/>
      <c r="Z860" s="286"/>
      <c r="AA860" s="286"/>
      <c r="AB860" s="286"/>
    </row>
    <row r="861">
      <c r="A861" s="286"/>
      <c r="B861" s="286"/>
      <c r="C861" s="529"/>
      <c r="D861" s="306"/>
      <c r="E861" s="306"/>
      <c r="F861" s="306"/>
      <c r="G861" s="528"/>
      <c r="H861" s="286"/>
      <c r="I861" s="286"/>
      <c r="J861" s="529"/>
      <c r="K861" s="286"/>
      <c r="L861" s="286"/>
      <c r="M861" s="529"/>
      <c r="N861" s="529"/>
      <c r="O861" s="529"/>
      <c r="P861" s="529"/>
      <c r="Q861" s="286"/>
      <c r="R861" s="286"/>
      <c r="S861" s="286"/>
      <c r="T861" s="286"/>
      <c r="U861" s="286"/>
      <c r="V861" s="286"/>
      <c r="W861" s="286"/>
      <c r="X861" s="286"/>
      <c r="Y861" s="286"/>
      <c r="Z861" s="286"/>
      <c r="AA861" s="286"/>
      <c r="AB861" s="286"/>
    </row>
    <row r="862">
      <c r="A862" s="286"/>
      <c r="B862" s="286"/>
      <c r="C862" s="529"/>
      <c r="D862" s="306"/>
      <c r="E862" s="306"/>
      <c r="F862" s="306"/>
      <c r="G862" s="528"/>
      <c r="H862" s="286"/>
      <c r="I862" s="286"/>
      <c r="J862" s="529"/>
      <c r="K862" s="286"/>
      <c r="L862" s="286"/>
      <c r="M862" s="529"/>
      <c r="N862" s="529"/>
      <c r="O862" s="529"/>
      <c r="P862" s="529"/>
      <c r="Q862" s="286"/>
      <c r="R862" s="286"/>
      <c r="S862" s="286"/>
      <c r="T862" s="286"/>
      <c r="U862" s="286"/>
      <c r="V862" s="286"/>
      <c r="W862" s="286"/>
      <c r="X862" s="286"/>
      <c r="Y862" s="286"/>
      <c r="Z862" s="286"/>
      <c r="AA862" s="286"/>
      <c r="AB862" s="286"/>
    </row>
    <row r="863">
      <c r="A863" s="286"/>
      <c r="B863" s="286"/>
      <c r="C863" s="529"/>
      <c r="D863" s="306"/>
      <c r="E863" s="306"/>
      <c r="F863" s="306"/>
      <c r="G863" s="528"/>
      <c r="H863" s="286"/>
      <c r="I863" s="286"/>
      <c r="J863" s="529"/>
      <c r="K863" s="286"/>
      <c r="L863" s="286"/>
      <c r="M863" s="529"/>
      <c r="N863" s="529"/>
      <c r="O863" s="529"/>
      <c r="P863" s="529"/>
      <c r="Q863" s="286"/>
      <c r="R863" s="286"/>
      <c r="S863" s="286"/>
      <c r="T863" s="286"/>
      <c r="U863" s="286"/>
      <c r="V863" s="286"/>
      <c r="W863" s="286"/>
      <c r="X863" s="286"/>
      <c r="Y863" s="286"/>
      <c r="Z863" s="286"/>
      <c r="AA863" s="286"/>
      <c r="AB863" s="286"/>
    </row>
    <row r="864">
      <c r="A864" s="286"/>
      <c r="B864" s="286"/>
      <c r="C864" s="529"/>
      <c r="D864" s="306"/>
      <c r="E864" s="306"/>
      <c r="F864" s="306"/>
      <c r="G864" s="528"/>
      <c r="H864" s="286"/>
      <c r="I864" s="286"/>
      <c r="J864" s="529"/>
      <c r="K864" s="286"/>
      <c r="L864" s="286"/>
      <c r="M864" s="529"/>
      <c r="N864" s="529"/>
      <c r="O864" s="529"/>
      <c r="P864" s="529"/>
      <c r="Q864" s="286"/>
      <c r="R864" s="286"/>
      <c r="S864" s="286"/>
      <c r="T864" s="286"/>
      <c r="U864" s="286"/>
      <c r="V864" s="286"/>
      <c r="W864" s="286"/>
      <c r="X864" s="286"/>
      <c r="Y864" s="286"/>
      <c r="Z864" s="286"/>
      <c r="AA864" s="286"/>
      <c r="AB864" s="286"/>
    </row>
    <row r="865">
      <c r="A865" s="286"/>
      <c r="B865" s="286"/>
      <c r="C865" s="529"/>
      <c r="D865" s="306"/>
      <c r="E865" s="306"/>
      <c r="F865" s="306"/>
      <c r="G865" s="528"/>
      <c r="H865" s="286"/>
      <c r="I865" s="286"/>
      <c r="J865" s="529"/>
      <c r="K865" s="286"/>
      <c r="L865" s="286"/>
      <c r="M865" s="529"/>
      <c r="N865" s="529"/>
      <c r="O865" s="529"/>
      <c r="P865" s="529"/>
      <c r="Q865" s="286"/>
      <c r="R865" s="286"/>
      <c r="S865" s="286"/>
      <c r="T865" s="286"/>
      <c r="U865" s="286"/>
      <c r="V865" s="286"/>
      <c r="W865" s="286"/>
      <c r="X865" s="286"/>
      <c r="Y865" s="286"/>
      <c r="Z865" s="286"/>
      <c r="AA865" s="286"/>
      <c r="AB865" s="286"/>
    </row>
    <row r="866">
      <c r="A866" s="286"/>
      <c r="B866" s="286"/>
      <c r="C866" s="529"/>
      <c r="D866" s="306"/>
      <c r="E866" s="306"/>
      <c r="F866" s="306"/>
      <c r="G866" s="528"/>
      <c r="H866" s="286"/>
      <c r="I866" s="286"/>
      <c r="J866" s="529"/>
      <c r="K866" s="286"/>
      <c r="L866" s="286"/>
      <c r="M866" s="529"/>
      <c r="N866" s="529"/>
      <c r="O866" s="529"/>
      <c r="P866" s="529"/>
      <c r="Q866" s="286"/>
      <c r="R866" s="286"/>
      <c r="S866" s="286"/>
      <c r="T866" s="286"/>
      <c r="U866" s="286"/>
      <c r="V866" s="286"/>
      <c r="W866" s="286"/>
      <c r="X866" s="286"/>
      <c r="Y866" s="286"/>
      <c r="Z866" s="286"/>
      <c r="AA866" s="286"/>
      <c r="AB866" s="286"/>
    </row>
    <row r="867">
      <c r="A867" s="286"/>
      <c r="B867" s="286"/>
      <c r="C867" s="529"/>
      <c r="D867" s="306"/>
      <c r="E867" s="306"/>
      <c r="F867" s="306"/>
      <c r="G867" s="528"/>
      <c r="H867" s="286"/>
      <c r="I867" s="286"/>
      <c r="J867" s="529"/>
      <c r="K867" s="286"/>
      <c r="L867" s="286"/>
      <c r="M867" s="529"/>
      <c r="N867" s="529"/>
      <c r="O867" s="529"/>
      <c r="P867" s="529"/>
      <c r="Q867" s="286"/>
      <c r="R867" s="286"/>
      <c r="S867" s="286"/>
      <c r="T867" s="286"/>
      <c r="U867" s="286"/>
      <c r="V867" s="286"/>
      <c r="W867" s="286"/>
      <c r="X867" s="286"/>
      <c r="Y867" s="286"/>
      <c r="Z867" s="286"/>
      <c r="AA867" s="286"/>
      <c r="AB867" s="286"/>
    </row>
    <row r="868">
      <c r="A868" s="286"/>
      <c r="B868" s="286"/>
      <c r="C868" s="529"/>
      <c r="D868" s="306"/>
      <c r="E868" s="306"/>
      <c r="F868" s="306"/>
      <c r="G868" s="528"/>
      <c r="H868" s="286"/>
      <c r="I868" s="286"/>
      <c r="J868" s="529"/>
      <c r="K868" s="286"/>
      <c r="L868" s="286"/>
      <c r="M868" s="529"/>
      <c r="N868" s="529"/>
      <c r="O868" s="529"/>
      <c r="P868" s="529"/>
      <c r="Q868" s="286"/>
      <c r="R868" s="286"/>
      <c r="S868" s="286"/>
      <c r="T868" s="286"/>
      <c r="U868" s="286"/>
      <c r="V868" s="286"/>
      <c r="W868" s="286"/>
      <c r="X868" s="286"/>
      <c r="Y868" s="286"/>
      <c r="Z868" s="286"/>
      <c r="AA868" s="286"/>
      <c r="AB868" s="286"/>
    </row>
    <row r="869">
      <c r="A869" s="286"/>
      <c r="B869" s="286"/>
      <c r="C869" s="529"/>
      <c r="D869" s="306"/>
      <c r="E869" s="306"/>
      <c r="F869" s="306"/>
      <c r="G869" s="528"/>
      <c r="H869" s="286"/>
      <c r="I869" s="286"/>
      <c r="J869" s="529"/>
      <c r="K869" s="286"/>
      <c r="L869" s="286"/>
      <c r="M869" s="529"/>
      <c r="N869" s="529"/>
      <c r="O869" s="529"/>
      <c r="P869" s="529"/>
      <c r="Q869" s="286"/>
      <c r="R869" s="286"/>
      <c r="S869" s="286"/>
      <c r="T869" s="286"/>
      <c r="U869" s="286"/>
      <c r="V869" s="286"/>
      <c r="W869" s="286"/>
      <c r="X869" s="286"/>
      <c r="Y869" s="286"/>
      <c r="Z869" s="286"/>
      <c r="AA869" s="286"/>
      <c r="AB869" s="286"/>
    </row>
    <row r="870">
      <c r="A870" s="286"/>
      <c r="B870" s="286"/>
      <c r="C870" s="529"/>
      <c r="D870" s="306"/>
      <c r="E870" s="306"/>
      <c r="F870" s="306"/>
      <c r="G870" s="528"/>
      <c r="H870" s="286"/>
      <c r="I870" s="286"/>
      <c r="J870" s="529"/>
      <c r="K870" s="286"/>
      <c r="L870" s="286"/>
      <c r="M870" s="529"/>
      <c r="N870" s="529"/>
      <c r="O870" s="529"/>
      <c r="P870" s="529"/>
      <c r="Q870" s="286"/>
      <c r="R870" s="286"/>
      <c r="S870" s="286"/>
      <c r="T870" s="286"/>
      <c r="U870" s="286"/>
      <c r="V870" s="286"/>
      <c r="W870" s="286"/>
      <c r="X870" s="286"/>
      <c r="Y870" s="286"/>
      <c r="Z870" s="286"/>
      <c r="AA870" s="286"/>
      <c r="AB870" s="286"/>
    </row>
    <row r="871">
      <c r="A871" s="286"/>
      <c r="B871" s="286"/>
      <c r="C871" s="529"/>
      <c r="D871" s="306"/>
      <c r="E871" s="306"/>
      <c r="F871" s="306"/>
      <c r="G871" s="528"/>
      <c r="H871" s="286"/>
      <c r="I871" s="286"/>
      <c r="J871" s="529"/>
      <c r="K871" s="286"/>
      <c r="L871" s="286"/>
      <c r="M871" s="529"/>
      <c r="N871" s="529"/>
      <c r="O871" s="529"/>
      <c r="P871" s="529"/>
      <c r="Q871" s="286"/>
      <c r="R871" s="286"/>
      <c r="S871" s="286"/>
      <c r="T871" s="286"/>
      <c r="U871" s="286"/>
      <c r="V871" s="286"/>
      <c r="W871" s="286"/>
      <c r="X871" s="286"/>
      <c r="Y871" s="286"/>
      <c r="Z871" s="286"/>
      <c r="AA871" s="286"/>
      <c r="AB871" s="286"/>
    </row>
    <row r="872">
      <c r="A872" s="286"/>
      <c r="B872" s="286"/>
      <c r="C872" s="529"/>
      <c r="D872" s="306"/>
      <c r="E872" s="306"/>
      <c r="F872" s="306"/>
      <c r="G872" s="528"/>
      <c r="H872" s="286"/>
      <c r="I872" s="286"/>
      <c r="J872" s="529"/>
      <c r="K872" s="286"/>
      <c r="L872" s="286"/>
      <c r="M872" s="529"/>
      <c r="N872" s="529"/>
      <c r="O872" s="529"/>
      <c r="P872" s="529"/>
      <c r="Q872" s="286"/>
      <c r="R872" s="286"/>
      <c r="S872" s="286"/>
      <c r="T872" s="286"/>
      <c r="U872" s="286"/>
      <c r="V872" s="286"/>
      <c r="W872" s="286"/>
      <c r="X872" s="286"/>
      <c r="Y872" s="286"/>
      <c r="Z872" s="286"/>
      <c r="AA872" s="286"/>
      <c r="AB872" s="286"/>
    </row>
    <row r="873">
      <c r="A873" s="286"/>
      <c r="B873" s="286"/>
      <c r="C873" s="529"/>
      <c r="D873" s="306"/>
      <c r="E873" s="306"/>
      <c r="F873" s="306"/>
      <c r="G873" s="528"/>
      <c r="H873" s="286"/>
      <c r="I873" s="286"/>
      <c r="J873" s="529"/>
      <c r="K873" s="286"/>
      <c r="L873" s="286"/>
      <c r="M873" s="529"/>
      <c r="N873" s="529"/>
      <c r="O873" s="529"/>
      <c r="P873" s="529"/>
      <c r="Q873" s="286"/>
      <c r="R873" s="286"/>
      <c r="S873" s="286"/>
      <c r="T873" s="286"/>
      <c r="U873" s="286"/>
      <c r="V873" s="286"/>
      <c r="W873" s="286"/>
      <c r="X873" s="286"/>
      <c r="Y873" s="286"/>
      <c r="Z873" s="286"/>
      <c r="AA873" s="286"/>
      <c r="AB873" s="286"/>
    </row>
    <row r="874">
      <c r="A874" s="286"/>
      <c r="B874" s="286"/>
      <c r="C874" s="529"/>
      <c r="D874" s="306"/>
      <c r="E874" s="306"/>
      <c r="F874" s="306"/>
      <c r="G874" s="528"/>
      <c r="H874" s="286"/>
      <c r="I874" s="286"/>
      <c r="J874" s="529"/>
      <c r="K874" s="286"/>
      <c r="L874" s="286"/>
      <c r="M874" s="529"/>
      <c r="N874" s="529"/>
      <c r="O874" s="529"/>
      <c r="P874" s="529"/>
      <c r="Q874" s="286"/>
      <c r="R874" s="286"/>
      <c r="S874" s="286"/>
      <c r="T874" s="286"/>
      <c r="U874" s="286"/>
      <c r="V874" s="286"/>
      <c r="W874" s="286"/>
      <c r="X874" s="286"/>
      <c r="Y874" s="286"/>
      <c r="Z874" s="286"/>
      <c r="AA874" s="286"/>
      <c r="AB874" s="286"/>
    </row>
    <row r="875">
      <c r="A875" s="286"/>
      <c r="B875" s="286"/>
      <c r="C875" s="529"/>
      <c r="D875" s="306"/>
      <c r="E875" s="306"/>
      <c r="F875" s="306"/>
      <c r="G875" s="528"/>
      <c r="H875" s="286"/>
      <c r="I875" s="286"/>
      <c r="J875" s="529"/>
      <c r="K875" s="286"/>
      <c r="L875" s="286"/>
      <c r="M875" s="529"/>
      <c r="N875" s="529"/>
      <c r="O875" s="529"/>
      <c r="P875" s="529"/>
      <c r="Q875" s="286"/>
      <c r="R875" s="286"/>
      <c r="S875" s="286"/>
      <c r="T875" s="286"/>
      <c r="U875" s="286"/>
      <c r="V875" s="286"/>
      <c r="W875" s="286"/>
      <c r="X875" s="286"/>
      <c r="Y875" s="286"/>
      <c r="Z875" s="286"/>
      <c r="AA875" s="286"/>
      <c r="AB875" s="286"/>
    </row>
    <row r="876">
      <c r="A876" s="286"/>
      <c r="B876" s="286"/>
      <c r="C876" s="529"/>
      <c r="D876" s="306"/>
      <c r="E876" s="306"/>
      <c r="F876" s="306"/>
      <c r="G876" s="528"/>
      <c r="H876" s="286"/>
      <c r="I876" s="286"/>
      <c r="J876" s="529"/>
      <c r="K876" s="286"/>
      <c r="L876" s="286"/>
      <c r="M876" s="529"/>
      <c r="N876" s="529"/>
      <c r="O876" s="529"/>
      <c r="P876" s="529"/>
      <c r="Q876" s="286"/>
      <c r="R876" s="286"/>
      <c r="S876" s="286"/>
      <c r="T876" s="286"/>
      <c r="U876" s="286"/>
      <c r="V876" s="286"/>
      <c r="W876" s="286"/>
      <c r="X876" s="286"/>
      <c r="Y876" s="286"/>
      <c r="Z876" s="286"/>
      <c r="AA876" s="286"/>
      <c r="AB876" s="286"/>
    </row>
    <row r="877">
      <c r="A877" s="286"/>
      <c r="B877" s="286"/>
      <c r="C877" s="529"/>
      <c r="D877" s="306"/>
      <c r="E877" s="306"/>
      <c r="F877" s="306"/>
      <c r="G877" s="528"/>
      <c r="H877" s="286"/>
      <c r="I877" s="286"/>
      <c r="J877" s="529"/>
      <c r="K877" s="286"/>
      <c r="L877" s="286"/>
      <c r="M877" s="529"/>
      <c r="N877" s="529"/>
      <c r="O877" s="529"/>
      <c r="P877" s="529"/>
      <c r="Q877" s="286"/>
      <c r="R877" s="286"/>
      <c r="S877" s="286"/>
      <c r="T877" s="286"/>
      <c r="U877" s="286"/>
      <c r="V877" s="286"/>
      <c r="W877" s="286"/>
      <c r="X877" s="286"/>
      <c r="Y877" s="286"/>
      <c r="Z877" s="286"/>
      <c r="AA877" s="286"/>
      <c r="AB877" s="286"/>
    </row>
    <row r="878">
      <c r="A878" s="286"/>
      <c r="B878" s="286"/>
      <c r="C878" s="529"/>
      <c r="D878" s="306"/>
      <c r="E878" s="306"/>
      <c r="F878" s="306"/>
      <c r="G878" s="528"/>
      <c r="H878" s="286"/>
      <c r="I878" s="286"/>
      <c r="J878" s="529"/>
      <c r="K878" s="286"/>
      <c r="L878" s="286"/>
      <c r="M878" s="529"/>
      <c r="N878" s="529"/>
      <c r="O878" s="529"/>
      <c r="P878" s="529"/>
      <c r="Q878" s="286"/>
      <c r="R878" s="286"/>
      <c r="S878" s="286"/>
      <c r="T878" s="286"/>
      <c r="U878" s="286"/>
      <c r="V878" s="286"/>
      <c r="W878" s="286"/>
      <c r="X878" s="286"/>
      <c r="Y878" s="286"/>
      <c r="Z878" s="286"/>
      <c r="AA878" s="286"/>
      <c r="AB878" s="286"/>
    </row>
    <row r="879">
      <c r="A879" s="286"/>
      <c r="B879" s="286"/>
      <c r="C879" s="529"/>
      <c r="D879" s="306"/>
      <c r="E879" s="306"/>
      <c r="F879" s="306"/>
      <c r="G879" s="528"/>
      <c r="H879" s="286"/>
      <c r="I879" s="286"/>
      <c r="J879" s="529"/>
      <c r="K879" s="286"/>
      <c r="L879" s="286"/>
      <c r="M879" s="529"/>
      <c r="N879" s="529"/>
      <c r="O879" s="529"/>
      <c r="P879" s="529"/>
      <c r="Q879" s="286"/>
      <c r="R879" s="286"/>
      <c r="S879" s="286"/>
      <c r="T879" s="286"/>
      <c r="U879" s="286"/>
      <c r="V879" s="286"/>
      <c r="W879" s="286"/>
      <c r="X879" s="286"/>
      <c r="Y879" s="286"/>
      <c r="Z879" s="286"/>
      <c r="AA879" s="286"/>
      <c r="AB879" s="286"/>
    </row>
    <row r="880">
      <c r="A880" s="286"/>
      <c r="B880" s="286"/>
      <c r="C880" s="529"/>
      <c r="D880" s="306"/>
      <c r="E880" s="306"/>
      <c r="F880" s="306"/>
      <c r="G880" s="528"/>
      <c r="H880" s="286"/>
      <c r="I880" s="286"/>
      <c r="J880" s="529"/>
      <c r="K880" s="286"/>
      <c r="L880" s="286"/>
      <c r="M880" s="529"/>
      <c r="N880" s="529"/>
      <c r="O880" s="529"/>
      <c r="P880" s="529"/>
      <c r="Q880" s="286"/>
      <c r="R880" s="286"/>
      <c r="S880" s="286"/>
      <c r="T880" s="286"/>
      <c r="U880" s="286"/>
      <c r="V880" s="286"/>
      <c r="W880" s="286"/>
      <c r="X880" s="286"/>
      <c r="Y880" s="286"/>
      <c r="Z880" s="286"/>
      <c r="AA880" s="286"/>
      <c r="AB880" s="286"/>
    </row>
    <row r="881">
      <c r="A881" s="286"/>
      <c r="B881" s="286"/>
      <c r="C881" s="529"/>
      <c r="D881" s="306"/>
      <c r="E881" s="306"/>
      <c r="F881" s="306"/>
      <c r="G881" s="528"/>
      <c r="H881" s="286"/>
      <c r="I881" s="286"/>
      <c r="J881" s="529"/>
      <c r="K881" s="286"/>
      <c r="L881" s="286"/>
      <c r="M881" s="529"/>
      <c r="N881" s="529"/>
      <c r="O881" s="529"/>
      <c r="P881" s="529"/>
      <c r="Q881" s="286"/>
      <c r="R881" s="286"/>
      <c r="S881" s="286"/>
      <c r="T881" s="286"/>
      <c r="U881" s="286"/>
      <c r="V881" s="286"/>
      <c r="W881" s="286"/>
      <c r="X881" s="286"/>
      <c r="Y881" s="286"/>
      <c r="Z881" s="286"/>
      <c r="AA881" s="286"/>
      <c r="AB881" s="286"/>
    </row>
    <row r="882">
      <c r="A882" s="286"/>
      <c r="B882" s="286"/>
      <c r="C882" s="529"/>
      <c r="D882" s="306"/>
      <c r="E882" s="306"/>
      <c r="F882" s="306"/>
      <c r="G882" s="528"/>
      <c r="H882" s="286"/>
      <c r="I882" s="286"/>
      <c r="J882" s="529"/>
      <c r="K882" s="286"/>
      <c r="L882" s="286"/>
      <c r="M882" s="529"/>
      <c r="N882" s="529"/>
      <c r="O882" s="529"/>
      <c r="P882" s="529"/>
      <c r="Q882" s="286"/>
      <c r="R882" s="286"/>
      <c r="S882" s="286"/>
      <c r="T882" s="286"/>
      <c r="U882" s="286"/>
      <c r="V882" s="286"/>
      <c r="W882" s="286"/>
      <c r="X882" s="286"/>
      <c r="Y882" s="286"/>
      <c r="Z882" s="286"/>
      <c r="AA882" s="286"/>
      <c r="AB882" s="286"/>
    </row>
    <row r="883">
      <c r="A883" s="286"/>
      <c r="B883" s="286"/>
      <c r="C883" s="529"/>
      <c r="D883" s="306"/>
      <c r="E883" s="306"/>
      <c r="F883" s="306"/>
      <c r="G883" s="528"/>
      <c r="H883" s="286"/>
      <c r="I883" s="286"/>
      <c r="J883" s="529"/>
      <c r="K883" s="286"/>
      <c r="L883" s="286"/>
      <c r="M883" s="529"/>
      <c r="N883" s="529"/>
      <c r="O883" s="529"/>
      <c r="P883" s="529"/>
      <c r="Q883" s="286"/>
      <c r="R883" s="286"/>
      <c r="S883" s="286"/>
      <c r="T883" s="286"/>
      <c r="U883" s="286"/>
      <c r="V883" s="286"/>
      <c r="W883" s="286"/>
      <c r="X883" s="286"/>
      <c r="Y883" s="286"/>
      <c r="Z883" s="286"/>
      <c r="AA883" s="286"/>
      <c r="AB883" s="286"/>
    </row>
    <row r="884">
      <c r="A884" s="286"/>
      <c r="B884" s="286"/>
      <c r="C884" s="529"/>
      <c r="D884" s="306"/>
      <c r="E884" s="306"/>
      <c r="F884" s="306"/>
      <c r="G884" s="528"/>
      <c r="H884" s="286"/>
      <c r="I884" s="286"/>
      <c r="J884" s="529"/>
      <c r="K884" s="286"/>
      <c r="L884" s="286"/>
      <c r="M884" s="529"/>
      <c r="N884" s="529"/>
      <c r="O884" s="529"/>
      <c r="P884" s="529"/>
      <c r="Q884" s="286"/>
      <c r="R884" s="286"/>
      <c r="S884" s="286"/>
      <c r="T884" s="286"/>
      <c r="U884" s="286"/>
      <c r="V884" s="286"/>
      <c r="W884" s="286"/>
      <c r="X884" s="286"/>
      <c r="Y884" s="286"/>
      <c r="Z884" s="286"/>
      <c r="AA884" s="286"/>
      <c r="AB884" s="286"/>
    </row>
    <row r="885">
      <c r="A885" s="286"/>
      <c r="B885" s="286"/>
      <c r="C885" s="529"/>
      <c r="D885" s="306"/>
      <c r="E885" s="306"/>
      <c r="F885" s="306"/>
      <c r="G885" s="528"/>
      <c r="H885" s="286"/>
      <c r="I885" s="286"/>
      <c r="J885" s="529"/>
      <c r="K885" s="286"/>
      <c r="L885" s="286"/>
      <c r="M885" s="529"/>
      <c r="N885" s="529"/>
      <c r="O885" s="529"/>
      <c r="P885" s="529"/>
      <c r="Q885" s="286"/>
      <c r="R885" s="286"/>
      <c r="S885" s="286"/>
      <c r="T885" s="286"/>
      <c r="U885" s="286"/>
      <c r="V885" s="286"/>
      <c r="W885" s="286"/>
      <c r="X885" s="286"/>
      <c r="Y885" s="286"/>
      <c r="Z885" s="286"/>
      <c r="AA885" s="286"/>
      <c r="AB885" s="286"/>
    </row>
    <row r="886">
      <c r="A886" s="286"/>
      <c r="B886" s="286"/>
      <c r="C886" s="529"/>
      <c r="D886" s="306"/>
      <c r="E886" s="306"/>
      <c r="F886" s="306"/>
      <c r="G886" s="528"/>
      <c r="H886" s="286"/>
      <c r="I886" s="286"/>
      <c r="J886" s="529"/>
      <c r="K886" s="286"/>
      <c r="L886" s="286"/>
      <c r="M886" s="529"/>
      <c r="N886" s="529"/>
      <c r="O886" s="529"/>
      <c r="P886" s="529"/>
      <c r="Q886" s="286"/>
      <c r="R886" s="286"/>
      <c r="S886" s="286"/>
      <c r="T886" s="286"/>
      <c r="U886" s="286"/>
      <c r="V886" s="286"/>
      <c r="W886" s="286"/>
      <c r="X886" s="286"/>
      <c r="Y886" s="286"/>
      <c r="Z886" s="286"/>
      <c r="AA886" s="286"/>
      <c r="AB886" s="286"/>
    </row>
    <row r="887">
      <c r="A887" s="286"/>
      <c r="B887" s="286"/>
      <c r="C887" s="529"/>
      <c r="D887" s="306"/>
      <c r="E887" s="306"/>
      <c r="F887" s="306"/>
      <c r="G887" s="528"/>
      <c r="H887" s="286"/>
      <c r="I887" s="286"/>
      <c r="J887" s="529"/>
      <c r="K887" s="286"/>
      <c r="L887" s="286"/>
      <c r="M887" s="529"/>
      <c r="N887" s="529"/>
      <c r="O887" s="529"/>
      <c r="P887" s="529"/>
      <c r="Q887" s="286"/>
      <c r="R887" s="286"/>
      <c r="S887" s="286"/>
      <c r="T887" s="286"/>
      <c r="U887" s="286"/>
      <c r="V887" s="286"/>
      <c r="W887" s="286"/>
      <c r="X887" s="286"/>
      <c r="Y887" s="286"/>
      <c r="Z887" s="286"/>
      <c r="AA887" s="286"/>
      <c r="AB887" s="286"/>
    </row>
    <row r="888">
      <c r="A888" s="286"/>
      <c r="B888" s="286"/>
      <c r="C888" s="529"/>
      <c r="D888" s="306"/>
      <c r="E888" s="306"/>
      <c r="F888" s="306"/>
      <c r="G888" s="528"/>
      <c r="H888" s="286"/>
      <c r="I888" s="286"/>
      <c r="J888" s="529"/>
      <c r="K888" s="286"/>
      <c r="L888" s="286"/>
      <c r="M888" s="529"/>
      <c r="N888" s="529"/>
      <c r="O888" s="529"/>
      <c r="P888" s="529"/>
      <c r="Q888" s="286"/>
      <c r="R888" s="286"/>
      <c r="S888" s="286"/>
      <c r="T888" s="286"/>
      <c r="U888" s="286"/>
      <c r="V888" s="286"/>
      <c r="W888" s="286"/>
      <c r="X888" s="286"/>
      <c r="Y888" s="286"/>
      <c r="Z888" s="286"/>
      <c r="AA888" s="286"/>
      <c r="AB888" s="286"/>
    </row>
    <row r="889">
      <c r="A889" s="286"/>
      <c r="B889" s="286"/>
      <c r="C889" s="529"/>
      <c r="D889" s="306"/>
      <c r="E889" s="306"/>
      <c r="F889" s="306"/>
      <c r="G889" s="528"/>
      <c r="H889" s="286"/>
      <c r="I889" s="286"/>
      <c r="J889" s="529"/>
      <c r="K889" s="286"/>
      <c r="L889" s="286"/>
      <c r="M889" s="529"/>
      <c r="N889" s="529"/>
      <c r="O889" s="529"/>
      <c r="P889" s="529"/>
      <c r="Q889" s="286"/>
      <c r="R889" s="286"/>
      <c r="S889" s="286"/>
      <c r="T889" s="286"/>
      <c r="U889" s="286"/>
      <c r="V889" s="286"/>
      <c r="W889" s="286"/>
      <c r="X889" s="286"/>
      <c r="Y889" s="286"/>
      <c r="Z889" s="286"/>
      <c r="AA889" s="286"/>
      <c r="AB889" s="286"/>
    </row>
    <row r="890">
      <c r="A890" s="286"/>
      <c r="B890" s="286"/>
      <c r="C890" s="529"/>
      <c r="D890" s="306"/>
      <c r="E890" s="306"/>
      <c r="F890" s="306"/>
      <c r="G890" s="528"/>
      <c r="H890" s="286"/>
      <c r="I890" s="286"/>
      <c r="J890" s="529"/>
      <c r="K890" s="286"/>
      <c r="L890" s="286"/>
      <c r="M890" s="529"/>
      <c r="N890" s="529"/>
      <c r="O890" s="529"/>
      <c r="P890" s="529"/>
      <c r="Q890" s="286"/>
      <c r="R890" s="286"/>
      <c r="S890" s="286"/>
      <c r="T890" s="286"/>
      <c r="U890" s="286"/>
      <c r="V890" s="286"/>
      <c r="W890" s="286"/>
      <c r="X890" s="286"/>
      <c r="Y890" s="286"/>
      <c r="Z890" s="286"/>
      <c r="AA890" s="286"/>
      <c r="AB890" s="286"/>
    </row>
    <row r="891">
      <c r="A891" s="286"/>
      <c r="B891" s="286"/>
      <c r="C891" s="529"/>
      <c r="D891" s="306"/>
      <c r="E891" s="306"/>
      <c r="F891" s="306"/>
      <c r="G891" s="528"/>
      <c r="H891" s="286"/>
      <c r="I891" s="286"/>
      <c r="J891" s="529"/>
      <c r="K891" s="286"/>
      <c r="L891" s="286"/>
      <c r="M891" s="529"/>
      <c r="N891" s="529"/>
      <c r="O891" s="529"/>
      <c r="P891" s="529"/>
      <c r="Q891" s="286"/>
      <c r="R891" s="286"/>
      <c r="S891" s="286"/>
      <c r="T891" s="286"/>
      <c r="U891" s="286"/>
      <c r="V891" s="286"/>
      <c r="W891" s="286"/>
      <c r="X891" s="286"/>
      <c r="Y891" s="286"/>
      <c r="Z891" s="286"/>
      <c r="AA891" s="286"/>
      <c r="AB891" s="286"/>
    </row>
    <row r="892">
      <c r="A892" s="286"/>
      <c r="B892" s="286"/>
      <c r="C892" s="529"/>
      <c r="D892" s="306"/>
      <c r="E892" s="306"/>
      <c r="F892" s="306"/>
      <c r="G892" s="528"/>
      <c r="H892" s="286"/>
      <c r="I892" s="286"/>
      <c r="J892" s="529"/>
      <c r="K892" s="286"/>
      <c r="L892" s="286"/>
      <c r="M892" s="529"/>
      <c r="N892" s="529"/>
      <c r="O892" s="529"/>
      <c r="P892" s="529"/>
      <c r="Q892" s="286"/>
      <c r="R892" s="286"/>
      <c r="S892" s="286"/>
      <c r="T892" s="286"/>
      <c r="U892" s="286"/>
      <c r="V892" s="286"/>
      <c r="W892" s="286"/>
      <c r="X892" s="286"/>
      <c r="Y892" s="286"/>
      <c r="Z892" s="286"/>
      <c r="AA892" s="286"/>
      <c r="AB892" s="286"/>
    </row>
    <row r="893">
      <c r="A893" s="286"/>
      <c r="B893" s="286"/>
      <c r="C893" s="529"/>
      <c r="D893" s="306"/>
      <c r="E893" s="306"/>
      <c r="F893" s="306"/>
      <c r="G893" s="528"/>
      <c r="H893" s="286"/>
      <c r="I893" s="286"/>
      <c r="J893" s="529"/>
      <c r="K893" s="286"/>
      <c r="L893" s="286"/>
      <c r="M893" s="529"/>
      <c r="N893" s="529"/>
      <c r="O893" s="529"/>
      <c r="P893" s="529"/>
      <c r="Q893" s="286"/>
      <c r="R893" s="286"/>
      <c r="S893" s="286"/>
      <c r="T893" s="286"/>
      <c r="U893" s="286"/>
      <c r="V893" s="286"/>
      <c r="W893" s="286"/>
      <c r="X893" s="286"/>
      <c r="Y893" s="286"/>
      <c r="Z893" s="286"/>
      <c r="AA893" s="286"/>
      <c r="AB893" s="286"/>
    </row>
    <row r="894">
      <c r="A894" s="286"/>
      <c r="B894" s="286"/>
      <c r="C894" s="529"/>
      <c r="D894" s="306"/>
      <c r="E894" s="306"/>
      <c r="F894" s="306"/>
      <c r="G894" s="528"/>
      <c r="H894" s="286"/>
      <c r="I894" s="286"/>
      <c r="J894" s="529"/>
      <c r="K894" s="286"/>
      <c r="L894" s="286"/>
      <c r="M894" s="529"/>
      <c r="N894" s="529"/>
      <c r="O894" s="529"/>
      <c r="P894" s="529"/>
      <c r="Q894" s="286"/>
      <c r="R894" s="286"/>
      <c r="S894" s="286"/>
      <c r="T894" s="286"/>
      <c r="U894" s="286"/>
      <c r="V894" s="286"/>
      <c r="W894" s="286"/>
      <c r="X894" s="286"/>
      <c r="Y894" s="286"/>
      <c r="Z894" s="286"/>
      <c r="AA894" s="286"/>
      <c r="AB894" s="286"/>
    </row>
    <row r="895">
      <c r="A895" s="286"/>
      <c r="B895" s="286"/>
      <c r="C895" s="529"/>
      <c r="D895" s="306"/>
      <c r="E895" s="306"/>
      <c r="F895" s="306"/>
      <c r="G895" s="528"/>
      <c r="H895" s="286"/>
      <c r="I895" s="286"/>
      <c r="J895" s="529"/>
      <c r="K895" s="286"/>
      <c r="L895" s="286"/>
      <c r="M895" s="529"/>
      <c r="N895" s="529"/>
      <c r="O895" s="529"/>
      <c r="P895" s="529"/>
      <c r="Q895" s="286"/>
      <c r="R895" s="286"/>
      <c r="S895" s="286"/>
      <c r="T895" s="286"/>
      <c r="U895" s="286"/>
      <c r="V895" s="286"/>
      <c r="W895" s="286"/>
      <c r="X895" s="286"/>
      <c r="Y895" s="286"/>
      <c r="Z895" s="286"/>
      <c r="AA895" s="286"/>
      <c r="AB895" s="286"/>
    </row>
    <row r="896">
      <c r="A896" s="286"/>
      <c r="B896" s="286"/>
      <c r="C896" s="529"/>
      <c r="D896" s="306"/>
      <c r="E896" s="306"/>
      <c r="F896" s="306"/>
      <c r="G896" s="528"/>
      <c r="H896" s="286"/>
      <c r="I896" s="286"/>
      <c r="J896" s="529"/>
      <c r="K896" s="286"/>
      <c r="L896" s="286"/>
      <c r="M896" s="529"/>
      <c r="N896" s="529"/>
      <c r="O896" s="529"/>
      <c r="P896" s="529"/>
      <c r="Q896" s="286"/>
      <c r="R896" s="286"/>
      <c r="S896" s="286"/>
      <c r="T896" s="286"/>
      <c r="U896" s="286"/>
      <c r="V896" s="286"/>
      <c r="W896" s="286"/>
      <c r="X896" s="286"/>
      <c r="Y896" s="286"/>
      <c r="Z896" s="286"/>
      <c r="AA896" s="286"/>
      <c r="AB896" s="286"/>
    </row>
    <row r="897">
      <c r="A897" s="286"/>
      <c r="B897" s="286"/>
      <c r="C897" s="529"/>
      <c r="D897" s="306"/>
      <c r="E897" s="306"/>
      <c r="F897" s="306"/>
      <c r="G897" s="528"/>
      <c r="H897" s="286"/>
      <c r="I897" s="286"/>
      <c r="J897" s="529"/>
      <c r="K897" s="286"/>
      <c r="L897" s="286"/>
      <c r="M897" s="529"/>
      <c r="N897" s="529"/>
      <c r="O897" s="529"/>
      <c r="P897" s="529"/>
      <c r="Q897" s="286"/>
      <c r="R897" s="286"/>
      <c r="S897" s="286"/>
      <c r="T897" s="286"/>
      <c r="U897" s="286"/>
      <c r="V897" s="286"/>
      <c r="W897" s="286"/>
      <c r="X897" s="286"/>
      <c r="Y897" s="286"/>
      <c r="Z897" s="286"/>
      <c r="AA897" s="286"/>
      <c r="AB897" s="286"/>
    </row>
    <row r="898">
      <c r="A898" s="286"/>
      <c r="B898" s="286"/>
      <c r="C898" s="529"/>
      <c r="D898" s="306"/>
      <c r="E898" s="306"/>
      <c r="F898" s="306"/>
      <c r="G898" s="528"/>
      <c r="H898" s="286"/>
      <c r="I898" s="286"/>
      <c r="J898" s="529"/>
      <c r="K898" s="286"/>
      <c r="L898" s="286"/>
      <c r="M898" s="529"/>
      <c r="N898" s="529"/>
      <c r="O898" s="529"/>
      <c r="P898" s="529"/>
      <c r="Q898" s="286"/>
      <c r="R898" s="286"/>
      <c r="S898" s="286"/>
      <c r="T898" s="286"/>
      <c r="U898" s="286"/>
      <c r="V898" s="286"/>
      <c r="W898" s="286"/>
      <c r="X898" s="286"/>
      <c r="Y898" s="286"/>
      <c r="Z898" s="286"/>
      <c r="AA898" s="286"/>
      <c r="AB898" s="286"/>
    </row>
    <row r="899">
      <c r="A899" s="286"/>
      <c r="B899" s="286"/>
      <c r="C899" s="529"/>
      <c r="D899" s="306"/>
      <c r="E899" s="306"/>
      <c r="F899" s="306"/>
      <c r="G899" s="528"/>
      <c r="H899" s="286"/>
      <c r="I899" s="286"/>
      <c r="J899" s="529"/>
      <c r="K899" s="286"/>
      <c r="L899" s="286"/>
      <c r="M899" s="529"/>
      <c r="N899" s="529"/>
      <c r="O899" s="529"/>
      <c r="P899" s="529"/>
      <c r="Q899" s="286"/>
      <c r="R899" s="286"/>
      <c r="S899" s="286"/>
      <c r="T899" s="286"/>
      <c r="U899" s="286"/>
      <c r="V899" s="286"/>
      <c r="W899" s="286"/>
      <c r="X899" s="286"/>
      <c r="Y899" s="286"/>
      <c r="Z899" s="286"/>
      <c r="AA899" s="286"/>
      <c r="AB899" s="286"/>
    </row>
    <row r="900">
      <c r="A900" s="286"/>
      <c r="B900" s="286"/>
      <c r="C900" s="529"/>
      <c r="D900" s="306"/>
      <c r="E900" s="306"/>
      <c r="F900" s="306"/>
      <c r="G900" s="528"/>
      <c r="H900" s="286"/>
      <c r="I900" s="286"/>
      <c r="J900" s="529"/>
      <c r="K900" s="286"/>
      <c r="L900" s="286"/>
      <c r="M900" s="529"/>
      <c r="N900" s="529"/>
      <c r="O900" s="529"/>
      <c r="P900" s="529"/>
      <c r="Q900" s="286"/>
      <c r="R900" s="286"/>
      <c r="S900" s="286"/>
      <c r="T900" s="286"/>
      <c r="U900" s="286"/>
      <c r="V900" s="286"/>
      <c r="W900" s="286"/>
      <c r="X900" s="286"/>
      <c r="Y900" s="286"/>
      <c r="Z900" s="286"/>
      <c r="AA900" s="286"/>
      <c r="AB900" s="286"/>
    </row>
    <row r="901">
      <c r="A901" s="286"/>
      <c r="B901" s="286"/>
      <c r="C901" s="529"/>
      <c r="D901" s="306"/>
      <c r="E901" s="306"/>
      <c r="F901" s="306"/>
      <c r="G901" s="528"/>
      <c r="H901" s="286"/>
      <c r="I901" s="286"/>
      <c r="J901" s="529"/>
      <c r="K901" s="286"/>
      <c r="L901" s="286"/>
      <c r="M901" s="529"/>
      <c r="N901" s="529"/>
      <c r="O901" s="529"/>
      <c r="P901" s="529"/>
      <c r="Q901" s="286"/>
      <c r="R901" s="286"/>
      <c r="S901" s="286"/>
      <c r="T901" s="286"/>
      <c r="U901" s="286"/>
      <c r="V901" s="286"/>
      <c r="W901" s="286"/>
      <c r="X901" s="286"/>
      <c r="Y901" s="286"/>
      <c r="Z901" s="286"/>
      <c r="AA901" s="286"/>
      <c r="AB901" s="286"/>
    </row>
    <row r="902">
      <c r="A902" s="286"/>
      <c r="B902" s="286"/>
      <c r="C902" s="529"/>
      <c r="D902" s="306"/>
      <c r="E902" s="306"/>
      <c r="F902" s="306"/>
      <c r="G902" s="528"/>
      <c r="H902" s="286"/>
      <c r="I902" s="286"/>
      <c r="J902" s="529"/>
      <c r="K902" s="286"/>
      <c r="L902" s="286"/>
      <c r="M902" s="529"/>
      <c r="N902" s="529"/>
      <c r="O902" s="529"/>
      <c r="P902" s="529"/>
      <c r="Q902" s="286"/>
      <c r="R902" s="286"/>
      <c r="S902" s="286"/>
      <c r="T902" s="286"/>
      <c r="U902" s="286"/>
      <c r="V902" s="286"/>
      <c r="W902" s="286"/>
      <c r="X902" s="286"/>
      <c r="Y902" s="286"/>
      <c r="Z902" s="286"/>
      <c r="AA902" s="286"/>
      <c r="AB902" s="286"/>
    </row>
    <row r="903">
      <c r="A903" s="286"/>
      <c r="B903" s="286"/>
      <c r="C903" s="529"/>
      <c r="D903" s="306"/>
      <c r="E903" s="306"/>
      <c r="F903" s="306"/>
      <c r="G903" s="528"/>
      <c r="H903" s="286"/>
      <c r="I903" s="286"/>
      <c r="J903" s="529"/>
      <c r="K903" s="286"/>
      <c r="L903" s="286"/>
      <c r="M903" s="529"/>
      <c r="N903" s="529"/>
      <c r="O903" s="529"/>
      <c r="P903" s="529"/>
      <c r="Q903" s="286"/>
      <c r="R903" s="286"/>
      <c r="S903" s="286"/>
      <c r="T903" s="286"/>
      <c r="U903" s="286"/>
      <c r="V903" s="286"/>
      <c r="W903" s="286"/>
      <c r="X903" s="286"/>
      <c r="Y903" s="286"/>
      <c r="Z903" s="286"/>
      <c r="AA903" s="286"/>
      <c r="AB903" s="286"/>
    </row>
    <row r="904">
      <c r="A904" s="286"/>
      <c r="B904" s="286"/>
      <c r="C904" s="529"/>
      <c r="D904" s="306"/>
      <c r="E904" s="306"/>
      <c r="F904" s="306"/>
      <c r="G904" s="528"/>
      <c r="H904" s="286"/>
      <c r="I904" s="286"/>
      <c r="J904" s="529"/>
      <c r="K904" s="286"/>
      <c r="L904" s="286"/>
      <c r="M904" s="529"/>
      <c r="N904" s="529"/>
      <c r="O904" s="529"/>
      <c r="P904" s="529"/>
      <c r="Q904" s="286"/>
      <c r="R904" s="286"/>
      <c r="S904" s="286"/>
      <c r="T904" s="286"/>
      <c r="U904" s="286"/>
      <c r="V904" s="286"/>
      <c r="W904" s="286"/>
      <c r="X904" s="286"/>
      <c r="Y904" s="286"/>
      <c r="Z904" s="286"/>
      <c r="AA904" s="286"/>
      <c r="AB904" s="286"/>
    </row>
    <row r="905">
      <c r="A905" s="286"/>
      <c r="B905" s="286"/>
      <c r="C905" s="529"/>
      <c r="D905" s="306"/>
      <c r="E905" s="306"/>
      <c r="F905" s="306"/>
      <c r="G905" s="528"/>
      <c r="H905" s="286"/>
      <c r="I905" s="286"/>
      <c r="J905" s="529"/>
      <c r="K905" s="286"/>
      <c r="L905" s="286"/>
      <c r="M905" s="529"/>
      <c r="N905" s="529"/>
      <c r="O905" s="529"/>
      <c r="P905" s="529"/>
      <c r="Q905" s="286"/>
      <c r="R905" s="286"/>
      <c r="S905" s="286"/>
      <c r="T905" s="286"/>
      <c r="U905" s="286"/>
      <c r="V905" s="286"/>
      <c r="W905" s="286"/>
      <c r="X905" s="286"/>
      <c r="Y905" s="286"/>
      <c r="Z905" s="286"/>
      <c r="AA905" s="286"/>
      <c r="AB905" s="286"/>
    </row>
    <row r="906">
      <c r="A906" s="286"/>
      <c r="B906" s="286"/>
      <c r="C906" s="529"/>
      <c r="D906" s="306"/>
      <c r="E906" s="306"/>
      <c r="F906" s="306"/>
      <c r="G906" s="528"/>
      <c r="H906" s="286"/>
      <c r="I906" s="286"/>
      <c r="J906" s="529"/>
      <c r="K906" s="286"/>
      <c r="L906" s="286"/>
      <c r="M906" s="529"/>
      <c r="N906" s="529"/>
      <c r="O906" s="529"/>
      <c r="P906" s="529"/>
      <c r="Q906" s="286"/>
      <c r="R906" s="286"/>
      <c r="S906" s="286"/>
      <c r="T906" s="286"/>
      <c r="U906" s="286"/>
      <c r="V906" s="286"/>
      <c r="W906" s="286"/>
      <c r="X906" s="286"/>
      <c r="Y906" s="286"/>
      <c r="Z906" s="286"/>
      <c r="AA906" s="286"/>
      <c r="AB906" s="286"/>
    </row>
    <row r="907">
      <c r="A907" s="286"/>
      <c r="B907" s="286"/>
      <c r="C907" s="529"/>
      <c r="D907" s="306"/>
      <c r="E907" s="306"/>
      <c r="F907" s="306"/>
      <c r="G907" s="528"/>
      <c r="H907" s="286"/>
      <c r="I907" s="286"/>
      <c r="J907" s="529"/>
      <c r="K907" s="286"/>
      <c r="L907" s="286"/>
      <c r="M907" s="529"/>
      <c r="N907" s="529"/>
      <c r="O907" s="529"/>
      <c r="P907" s="529"/>
      <c r="Q907" s="286"/>
      <c r="R907" s="286"/>
      <c r="S907" s="286"/>
      <c r="T907" s="286"/>
      <c r="U907" s="286"/>
      <c r="V907" s="286"/>
      <c r="W907" s="286"/>
      <c r="X907" s="286"/>
      <c r="Y907" s="286"/>
      <c r="Z907" s="286"/>
      <c r="AA907" s="286"/>
      <c r="AB907" s="286"/>
    </row>
    <row r="908">
      <c r="A908" s="286"/>
      <c r="B908" s="286"/>
      <c r="C908" s="529"/>
      <c r="D908" s="306"/>
      <c r="E908" s="306"/>
      <c r="F908" s="306"/>
      <c r="G908" s="528"/>
      <c r="H908" s="286"/>
      <c r="I908" s="286"/>
      <c r="J908" s="529"/>
      <c r="K908" s="286"/>
      <c r="L908" s="286"/>
      <c r="M908" s="529"/>
      <c r="N908" s="529"/>
      <c r="O908" s="529"/>
      <c r="P908" s="529"/>
      <c r="Q908" s="286"/>
      <c r="R908" s="286"/>
      <c r="S908" s="286"/>
      <c r="T908" s="286"/>
      <c r="U908" s="286"/>
      <c r="V908" s="286"/>
      <c r="W908" s="286"/>
      <c r="X908" s="286"/>
      <c r="Y908" s="286"/>
      <c r="Z908" s="286"/>
      <c r="AA908" s="286"/>
      <c r="AB908" s="286"/>
    </row>
    <row r="909">
      <c r="A909" s="286"/>
      <c r="B909" s="286"/>
      <c r="C909" s="529"/>
      <c r="D909" s="306"/>
      <c r="E909" s="306"/>
      <c r="F909" s="306"/>
      <c r="G909" s="528"/>
      <c r="H909" s="286"/>
      <c r="I909" s="286"/>
      <c r="J909" s="529"/>
      <c r="K909" s="286"/>
      <c r="L909" s="286"/>
      <c r="M909" s="529"/>
      <c r="N909" s="529"/>
      <c r="O909" s="529"/>
      <c r="P909" s="529"/>
      <c r="Q909" s="286"/>
      <c r="R909" s="286"/>
      <c r="S909" s="286"/>
      <c r="T909" s="286"/>
      <c r="U909" s="286"/>
      <c r="V909" s="286"/>
      <c r="W909" s="286"/>
      <c r="X909" s="286"/>
      <c r="Y909" s="286"/>
      <c r="Z909" s="286"/>
      <c r="AA909" s="286"/>
      <c r="AB909" s="286"/>
    </row>
    <row r="910">
      <c r="A910" s="286"/>
      <c r="B910" s="286"/>
      <c r="C910" s="529"/>
      <c r="D910" s="306"/>
      <c r="E910" s="306"/>
      <c r="F910" s="306"/>
      <c r="G910" s="528"/>
      <c r="H910" s="286"/>
      <c r="I910" s="286"/>
      <c r="J910" s="529"/>
      <c r="K910" s="286"/>
      <c r="L910" s="286"/>
      <c r="M910" s="529"/>
      <c r="N910" s="529"/>
      <c r="O910" s="529"/>
      <c r="P910" s="529"/>
      <c r="Q910" s="286"/>
      <c r="R910" s="286"/>
      <c r="S910" s="286"/>
      <c r="T910" s="286"/>
      <c r="U910" s="286"/>
      <c r="V910" s="286"/>
      <c r="W910" s="286"/>
      <c r="X910" s="286"/>
      <c r="Y910" s="286"/>
      <c r="Z910" s="286"/>
      <c r="AA910" s="286"/>
      <c r="AB910" s="286"/>
    </row>
    <row r="911">
      <c r="A911" s="286"/>
      <c r="B911" s="286"/>
      <c r="C911" s="529"/>
      <c r="D911" s="306"/>
      <c r="E911" s="306"/>
      <c r="F911" s="306"/>
      <c r="G911" s="528"/>
      <c r="H911" s="286"/>
      <c r="I911" s="286"/>
      <c r="J911" s="529"/>
      <c r="K911" s="286"/>
      <c r="L911" s="286"/>
      <c r="M911" s="529"/>
      <c r="N911" s="529"/>
      <c r="O911" s="529"/>
      <c r="P911" s="529"/>
      <c r="Q911" s="286"/>
      <c r="R911" s="286"/>
      <c r="S911" s="286"/>
      <c r="T911" s="286"/>
      <c r="U911" s="286"/>
      <c r="V911" s="286"/>
      <c r="W911" s="286"/>
      <c r="X911" s="286"/>
      <c r="Y911" s="286"/>
      <c r="Z911" s="286"/>
      <c r="AA911" s="286"/>
      <c r="AB911" s="286"/>
    </row>
    <row r="912">
      <c r="A912" s="286"/>
      <c r="B912" s="286"/>
      <c r="C912" s="529"/>
      <c r="D912" s="306"/>
      <c r="E912" s="306"/>
      <c r="F912" s="306"/>
      <c r="G912" s="528"/>
      <c r="H912" s="286"/>
      <c r="I912" s="286"/>
      <c r="J912" s="529"/>
      <c r="K912" s="286"/>
      <c r="L912" s="286"/>
      <c r="M912" s="529"/>
      <c r="N912" s="529"/>
      <c r="O912" s="529"/>
      <c r="P912" s="529"/>
      <c r="Q912" s="286"/>
      <c r="R912" s="286"/>
      <c r="S912" s="286"/>
      <c r="T912" s="286"/>
      <c r="U912" s="286"/>
      <c r="V912" s="286"/>
      <c r="W912" s="286"/>
      <c r="X912" s="286"/>
      <c r="Y912" s="286"/>
      <c r="Z912" s="286"/>
      <c r="AA912" s="286"/>
      <c r="AB912" s="286"/>
    </row>
    <row r="913">
      <c r="A913" s="286"/>
      <c r="B913" s="286"/>
      <c r="C913" s="529"/>
      <c r="D913" s="306"/>
      <c r="E913" s="306"/>
      <c r="F913" s="306"/>
      <c r="G913" s="528"/>
      <c r="H913" s="286"/>
      <c r="I913" s="286"/>
      <c r="J913" s="529"/>
      <c r="K913" s="286"/>
      <c r="L913" s="286"/>
      <c r="M913" s="529"/>
      <c r="N913" s="529"/>
      <c r="O913" s="529"/>
      <c r="P913" s="529"/>
      <c r="Q913" s="286"/>
      <c r="R913" s="286"/>
      <c r="S913" s="286"/>
      <c r="T913" s="286"/>
      <c r="U913" s="286"/>
      <c r="V913" s="286"/>
      <c r="W913" s="286"/>
      <c r="X913" s="286"/>
      <c r="Y913" s="286"/>
      <c r="Z913" s="286"/>
      <c r="AA913" s="286"/>
      <c r="AB913" s="286"/>
    </row>
    <row r="914">
      <c r="A914" s="286"/>
      <c r="B914" s="286"/>
      <c r="C914" s="529"/>
      <c r="D914" s="306"/>
      <c r="E914" s="306"/>
      <c r="F914" s="306"/>
      <c r="G914" s="528"/>
      <c r="H914" s="286"/>
      <c r="I914" s="286"/>
      <c r="J914" s="529"/>
      <c r="K914" s="286"/>
      <c r="L914" s="286"/>
      <c r="M914" s="529"/>
      <c r="N914" s="529"/>
      <c r="O914" s="529"/>
      <c r="P914" s="529"/>
      <c r="Q914" s="286"/>
      <c r="R914" s="286"/>
      <c r="S914" s="286"/>
      <c r="T914" s="286"/>
      <c r="U914" s="286"/>
      <c r="V914" s="286"/>
      <c r="W914" s="286"/>
      <c r="X914" s="286"/>
      <c r="Y914" s="286"/>
      <c r="Z914" s="286"/>
      <c r="AA914" s="286"/>
      <c r="AB914" s="286"/>
    </row>
    <row r="915">
      <c r="A915" s="286"/>
      <c r="B915" s="286"/>
      <c r="C915" s="529"/>
      <c r="D915" s="306"/>
      <c r="E915" s="306"/>
      <c r="F915" s="306"/>
      <c r="G915" s="528"/>
      <c r="H915" s="286"/>
      <c r="I915" s="286"/>
      <c r="J915" s="529"/>
      <c r="K915" s="286"/>
      <c r="L915" s="286"/>
      <c r="M915" s="529"/>
      <c r="N915" s="529"/>
      <c r="O915" s="529"/>
      <c r="P915" s="529"/>
      <c r="Q915" s="286"/>
      <c r="R915" s="286"/>
      <c r="S915" s="286"/>
      <c r="T915" s="286"/>
      <c r="U915" s="286"/>
      <c r="V915" s="286"/>
      <c r="W915" s="286"/>
      <c r="X915" s="286"/>
      <c r="Y915" s="286"/>
      <c r="Z915" s="286"/>
      <c r="AA915" s="286"/>
      <c r="AB915" s="286"/>
    </row>
    <row r="916">
      <c r="A916" s="286"/>
      <c r="B916" s="286"/>
      <c r="C916" s="529"/>
      <c r="D916" s="306"/>
      <c r="E916" s="306"/>
      <c r="F916" s="306"/>
      <c r="G916" s="528"/>
      <c r="H916" s="286"/>
      <c r="I916" s="286"/>
      <c r="J916" s="529"/>
      <c r="K916" s="286"/>
      <c r="L916" s="286"/>
      <c r="M916" s="529"/>
      <c r="N916" s="529"/>
      <c r="O916" s="529"/>
      <c r="P916" s="529"/>
      <c r="Q916" s="286"/>
      <c r="R916" s="286"/>
      <c r="S916" s="286"/>
      <c r="T916" s="286"/>
      <c r="U916" s="286"/>
      <c r="V916" s="286"/>
      <c r="W916" s="286"/>
      <c r="X916" s="286"/>
      <c r="Y916" s="286"/>
      <c r="Z916" s="286"/>
      <c r="AA916" s="286"/>
      <c r="AB916" s="286"/>
    </row>
    <row r="917">
      <c r="A917" s="286"/>
      <c r="B917" s="286"/>
      <c r="C917" s="529"/>
      <c r="D917" s="306"/>
      <c r="E917" s="306"/>
      <c r="F917" s="306"/>
      <c r="G917" s="528"/>
      <c r="H917" s="286"/>
      <c r="I917" s="286"/>
      <c r="J917" s="529"/>
      <c r="K917" s="286"/>
      <c r="L917" s="286"/>
      <c r="M917" s="529"/>
      <c r="N917" s="529"/>
      <c r="O917" s="529"/>
      <c r="P917" s="529"/>
      <c r="Q917" s="286"/>
      <c r="R917" s="286"/>
      <c r="S917" s="286"/>
      <c r="T917" s="286"/>
      <c r="U917" s="286"/>
      <c r="V917" s="286"/>
      <c r="W917" s="286"/>
      <c r="X917" s="286"/>
      <c r="Y917" s="286"/>
      <c r="Z917" s="286"/>
      <c r="AA917" s="286"/>
      <c r="AB917" s="286"/>
    </row>
    <row r="918">
      <c r="A918" s="286"/>
      <c r="B918" s="286"/>
      <c r="C918" s="529"/>
      <c r="D918" s="306"/>
      <c r="E918" s="306"/>
      <c r="F918" s="306"/>
      <c r="G918" s="528"/>
      <c r="H918" s="286"/>
      <c r="I918" s="286"/>
      <c r="J918" s="529"/>
      <c r="K918" s="286"/>
      <c r="L918" s="286"/>
      <c r="M918" s="529"/>
      <c r="N918" s="529"/>
      <c r="O918" s="529"/>
      <c r="P918" s="529"/>
      <c r="Q918" s="286"/>
      <c r="R918" s="286"/>
      <c r="S918" s="286"/>
      <c r="T918" s="286"/>
      <c r="U918" s="286"/>
      <c r="V918" s="286"/>
      <c r="W918" s="286"/>
      <c r="X918" s="286"/>
      <c r="Y918" s="286"/>
      <c r="Z918" s="286"/>
      <c r="AA918" s="286"/>
      <c r="AB918" s="286"/>
    </row>
    <row r="919">
      <c r="A919" s="286"/>
      <c r="B919" s="286"/>
      <c r="C919" s="529"/>
      <c r="D919" s="306"/>
      <c r="E919" s="306"/>
      <c r="F919" s="306"/>
      <c r="G919" s="528"/>
      <c r="H919" s="286"/>
      <c r="I919" s="286"/>
      <c r="J919" s="529"/>
      <c r="K919" s="286"/>
      <c r="L919" s="286"/>
      <c r="M919" s="529"/>
      <c r="N919" s="529"/>
      <c r="O919" s="529"/>
      <c r="P919" s="529"/>
      <c r="Q919" s="286"/>
      <c r="R919" s="286"/>
      <c r="S919" s="286"/>
      <c r="T919" s="286"/>
      <c r="U919" s="286"/>
      <c r="V919" s="286"/>
      <c r="W919" s="286"/>
      <c r="X919" s="286"/>
      <c r="Y919" s="286"/>
      <c r="Z919" s="286"/>
      <c r="AA919" s="286"/>
      <c r="AB919" s="286"/>
    </row>
    <row r="920">
      <c r="A920" s="286"/>
      <c r="B920" s="286"/>
      <c r="C920" s="529"/>
      <c r="D920" s="306"/>
      <c r="E920" s="306"/>
      <c r="F920" s="306"/>
      <c r="G920" s="528"/>
      <c r="H920" s="286"/>
      <c r="I920" s="286"/>
      <c r="J920" s="529"/>
      <c r="K920" s="286"/>
      <c r="L920" s="286"/>
      <c r="M920" s="529"/>
      <c r="N920" s="529"/>
      <c r="O920" s="529"/>
      <c r="P920" s="529"/>
      <c r="Q920" s="286"/>
      <c r="R920" s="286"/>
      <c r="S920" s="286"/>
      <c r="T920" s="286"/>
      <c r="U920" s="286"/>
      <c r="V920" s="286"/>
      <c r="W920" s="286"/>
      <c r="X920" s="286"/>
      <c r="Y920" s="286"/>
      <c r="Z920" s="286"/>
      <c r="AA920" s="286"/>
      <c r="AB920" s="286"/>
    </row>
    <row r="921">
      <c r="A921" s="286"/>
      <c r="B921" s="286"/>
      <c r="C921" s="529"/>
      <c r="D921" s="306"/>
      <c r="E921" s="306"/>
      <c r="F921" s="306"/>
      <c r="G921" s="528"/>
      <c r="H921" s="286"/>
      <c r="I921" s="286"/>
      <c r="J921" s="529"/>
      <c r="K921" s="286"/>
      <c r="L921" s="286"/>
      <c r="M921" s="529"/>
      <c r="N921" s="529"/>
      <c r="O921" s="529"/>
      <c r="P921" s="529"/>
      <c r="Q921" s="286"/>
      <c r="R921" s="286"/>
      <c r="S921" s="286"/>
      <c r="T921" s="286"/>
      <c r="U921" s="286"/>
      <c r="V921" s="286"/>
      <c r="W921" s="286"/>
      <c r="X921" s="286"/>
      <c r="Y921" s="286"/>
      <c r="Z921" s="286"/>
      <c r="AA921" s="286"/>
      <c r="AB921" s="286"/>
    </row>
    <row r="922">
      <c r="A922" s="286"/>
      <c r="B922" s="286"/>
      <c r="C922" s="529"/>
      <c r="D922" s="306"/>
      <c r="E922" s="306"/>
      <c r="F922" s="306"/>
      <c r="G922" s="528"/>
      <c r="H922" s="286"/>
      <c r="I922" s="286"/>
      <c r="J922" s="529"/>
      <c r="K922" s="286"/>
      <c r="L922" s="286"/>
      <c r="M922" s="529"/>
      <c r="N922" s="529"/>
      <c r="O922" s="529"/>
      <c r="P922" s="529"/>
      <c r="Q922" s="286"/>
      <c r="R922" s="286"/>
      <c r="S922" s="286"/>
      <c r="T922" s="286"/>
      <c r="U922" s="286"/>
      <c r="V922" s="286"/>
      <c r="W922" s="286"/>
      <c r="X922" s="286"/>
      <c r="Y922" s="286"/>
      <c r="Z922" s="286"/>
      <c r="AA922" s="286"/>
      <c r="AB922" s="286"/>
    </row>
    <row r="923">
      <c r="A923" s="286"/>
      <c r="B923" s="286"/>
      <c r="C923" s="529"/>
      <c r="D923" s="306"/>
      <c r="E923" s="306"/>
      <c r="F923" s="306"/>
      <c r="G923" s="528"/>
      <c r="H923" s="286"/>
      <c r="I923" s="286"/>
      <c r="J923" s="529"/>
      <c r="K923" s="286"/>
      <c r="L923" s="286"/>
      <c r="M923" s="529"/>
      <c r="N923" s="529"/>
      <c r="O923" s="529"/>
      <c r="P923" s="529"/>
      <c r="Q923" s="286"/>
      <c r="R923" s="286"/>
      <c r="S923" s="286"/>
      <c r="T923" s="286"/>
      <c r="U923" s="286"/>
      <c r="V923" s="286"/>
      <c r="W923" s="286"/>
      <c r="X923" s="286"/>
      <c r="Y923" s="286"/>
      <c r="Z923" s="286"/>
      <c r="AA923" s="286"/>
      <c r="AB923" s="286"/>
    </row>
    <row r="924">
      <c r="A924" s="286"/>
      <c r="B924" s="286"/>
      <c r="C924" s="529"/>
      <c r="D924" s="306"/>
      <c r="E924" s="306"/>
      <c r="F924" s="306"/>
      <c r="G924" s="528"/>
      <c r="H924" s="286"/>
      <c r="I924" s="286"/>
      <c r="J924" s="529"/>
      <c r="K924" s="286"/>
      <c r="L924" s="286"/>
      <c r="M924" s="529"/>
      <c r="N924" s="529"/>
      <c r="O924" s="529"/>
      <c r="P924" s="529"/>
      <c r="Q924" s="286"/>
      <c r="R924" s="286"/>
      <c r="S924" s="286"/>
      <c r="T924" s="286"/>
      <c r="U924" s="286"/>
      <c r="V924" s="286"/>
      <c r="W924" s="286"/>
      <c r="X924" s="286"/>
      <c r="Y924" s="286"/>
      <c r="Z924" s="286"/>
      <c r="AA924" s="286"/>
      <c r="AB924" s="286"/>
    </row>
    <row r="925">
      <c r="A925" s="286"/>
      <c r="B925" s="286"/>
      <c r="C925" s="529"/>
      <c r="D925" s="306"/>
      <c r="E925" s="306"/>
      <c r="F925" s="306"/>
      <c r="G925" s="528"/>
      <c r="H925" s="286"/>
      <c r="I925" s="286"/>
      <c r="J925" s="529"/>
      <c r="K925" s="286"/>
      <c r="L925" s="286"/>
      <c r="M925" s="529"/>
      <c r="N925" s="529"/>
      <c r="O925" s="529"/>
      <c r="P925" s="529"/>
      <c r="Q925" s="286"/>
      <c r="R925" s="286"/>
      <c r="S925" s="286"/>
      <c r="T925" s="286"/>
      <c r="U925" s="286"/>
      <c r="V925" s="286"/>
      <c r="W925" s="286"/>
      <c r="X925" s="286"/>
      <c r="Y925" s="286"/>
      <c r="Z925" s="286"/>
      <c r="AA925" s="286"/>
      <c r="AB925" s="286"/>
    </row>
    <row r="926">
      <c r="A926" s="286"/>
      <c r="B926" s="286"/>
      <c r="C926" s="529"/>
      <c r="D926" s="306"/>
      <c r="E926" s="306"/>
      <c r="F926" s="306"/>
      <c r="G926" s="528"/>
      <c r="H926" s="286"/>
      <c r="I926" s="286"/>
      <c r="J926" s="529"/>
      <c r="K926" s="286"/>
      <c r="L926" s="286"/>
      <c r="M926" s="529"/>
      <c r="N926" s="529"/>
      <c r="O926" s="529"/>
      <c r="P926" s="529"/>
      <c r="Q926" s="286"/>
      <c r="R926" s="286"/>
      <c r="S926" s="286"/>
      <c r="T926" s="286"/>
      <c r="U926" s="286"/>
      <c r="V926" s="286"/>
      <c r="W926" s="286"/>
      <c r="X926" s="286"/>
      <c r="Y926" s="286"/>
      <c r="Z926" s="286"/>
      <c r="AA926" s="286"/>
      <c r="AB926" s="286"/>
    </row>
    <row r="927">
      <c r="A927" s="286"/>
      <c r="B927" s="286"/>
      <c r="C927" s="529"/>
      <c r="D927" s="306"/>
      <c r="E927" s="306"/>
      <c r="F927" s="306"/>
      <c r="G927" s="528"/>
      <c r="H927" s="286"/>
      <c r="I927" s="286"/>
      <c r="J927" s="529"/>
      <c r="K927" s="286"/>
      <c r="L927" s="286"/>
      <c r="M927" s="529"/>
      <c r="N927" s="529"/>
      <c r="O927" s="529"/>
      <c r="P927" s="529"/>
      <c r="Q927" s="286"/>
      <c r="R927" s="286"/>
      <c r="S927" s="286"/>
      <c r="T927" s="286"/>
      <c r="U927" s="286"/>
      <c r="V927" s="286"/>
      <c r="W927" s="286"/>
      <c r="X927" s="286"/>
      <c r="Y927" s="286"/>
      <c r="Z927" s="286"/>
      <c r="AA927" s="286"/>
      <c r="AB927" s="286"/>
    </row>
    <row r="928">
      <c r="A928" s="286"/>
      <c r="B928" s="286"/>
      <c r="C928" s="529"/>
      <c r="D928" s="306"/>
      <c r="E928" s="306"/>
      <c r="F928" s="306"/>
      <c r="G928" s="528"/>
      <c r="H928" s="286"/>
      <c r="I928" s="286"/>
      <c r="J928" s="529"/>
      <c r="K928" s="286"/>
      <c r="L928" s="286"/>
      <c r="M928" s="529"/>
      <c r="N928" s="529"/>
      <c r="O928" s="529"/>
      <c r="P928" s="529"/>
      <c r="Q928" s="286"/>
      <c r="R928" s="286"/>
      <c r="S928" s="286"/>
      <c r="T928" s="286"/>
      <c r="U928" s="286"/>
      <c r="V928" s="286"/>
      <c r="W928" s="286"/>
      <c r="X928" s="286"/>
      <c r="Y928" s="286"/>
      <c r="Z928" s="286"/>
      <c r="AA928" s="286"/>
      <c r="AB928" s="286"/>
    </row>
    <row r="929">
      <c r="A929" s="286"/>
      <c r="B929" s="286"/>
      <c r="C929" s="529"/>
      <c r="D929" s="306"/>
      <c r="E929" s="306"/>
      <c r="F929" s="306"/>
      <c r="G929" s="528"/>
      <c r="H929" s="286"/>
      <c r="I929" s="286"/>
      <c r="J929" s="529"/>
      <c r="K929" s="286"/>
      <c r="L929" s="286"/>
      <c r="M929" s="529"/>
      <c r="N929" s="529"/>
      <c r="O929" s="529"/>
      <c r="P929" s="529"/>
      <c r="Q929" s="286"/>
      <c r="R929" s="286"/>
      <c r="S929" s="286"/>
      <c r="T929" s="286"/>
      <c r="U929" s="286"/>
      <c r="V929" s="286"/>
      <c r="W929" s="286"/>
      <c r="X929" s="286"/>
      <c r="Y929" s="286"/>
      <c r="Z929" s="286"/>
      <c r="AA929" s="286"/>
      <c r="AB929" s="286"/>
    </row>
    <row r="930">
      <c r="A930" s="286"/>
      <c r="B930" s="286"/>
      <c r="C930" s="529"/>
      <c r="D930" s="306"/>
      <c r="E930" s="306"/>
      <c r="F930" s="306"/>
      <c r="G930" s="528"/>
      <c r="H930" s="286"/>
      <c r="I930" s="286"/>
      <c r="J930" s="529"/>
      <c r="K930" s="286"/>
      <c r="L930" s="286"/>
      <c r="M930" s="529"/>
      <c r="N930" s="529"/>
      <c r="O930" s="529"/>
      <c r="P930" s="529"/>
      <c r="Q930" s="286"/>
      <c r="R930" s="286"/>
      <c r="S930" s="286"/>
      <c r="T930" s="286"/>
      <c r="U930" s="286"/>
      <c r="V930" s="286"/>
      <c r="W930" s="286"/>
      <c r="X930" s="286"/>
      <c r="Y930" s="286"/>
      <c r="Z930" s="286"/>
      <c r="AA930" s="286"/>
      <c r="AB930" s="286"/>
    </row>
    <row r="931">
      <c r="A931" s="286"/>
      <c r="B931" s="286"/>
      <c r="C931" s="529"/>
      <c r="D931" s="306"/>
      <c r="E931" s="306"/>
      <c r="F931" s="306"/>
      <c r="G931" s="528"/>
      <c r="H931" s="286"/>
      <c r="I931" s="286"/>
      <c r="J931" s="529"/>
      <c r="K931" s="286"/>
      <c r="L931" s="286"/>
      <c r="M931" s="529"/>
      <c r="N931" s="529"/>
      <c r="O931" s="529"/>
      <c r="P931" s="529"/>
      <c r="Q931" s="286"/>
      <c r="R931" s="286"/>
      <c r="S931" s="286"/>
      <c r="T931" s="286"/>
      <c r="U931" s="286"/>
      <c r="V931" s="286"/>
      <c r="W931" s="286"/>
      <c r="X931" s="286"/>
      <c r="Y931" s="286"/>
      <c r="Z931" s="286"/>
      <c r="AA931" s="286"/>
      <c r="AB931" s="286"/>
    </row>
    <row r="932">
      <c r="A932" s="286"/>
      <c r="B932" s="286"/>
      <c r="C932" s="529"/>
      <c r="D932" s="306"/>
      <c r="E932" s="306"/>
      <c r="F932" s="306"/>
      <c r="G932" s="528"/>
      <c r="H932" s="286"/>
      <c r="I932" s="286"/>
      <c r="J932" s="529"/>
      <c r="K932" s="286"/>
      <c r="L932" s="286"/>
      <c r="M932" s="529"/>
      <c r="N932" s="529"/>
      <c r="O932" s="529"/>
      <c r="P932" s="529"/>
      <c r="Q932" s="286"/>
      <c r="R932" s="286"/>
      <c r="S932" s="286"/>
      <c r="T932" s="286"/>
      <c r="U932" s="286"/>
      <c r="V932" s="286"/>
      <c r="W932" s="286"/>
      <c r="X932" s="286"/>
      <c r="Y932" s="286"/>
      <c r="Z932" s="286"/>
      <c r="AA932" s="286"/>
      <c r="AB932" s="286"/>
    </row>
    <row r="933">
      <c r="A933" s="286"/>
      <c r="B933" s="286"/>
      <c r="C933" s="529"/>
      <c r="D933" s="306"/>
      <c r="E933" s="306"/>
      <c r="F933" s="306"/>
      <c r="G933" s="528"/>
      <c r="H933" s="286"/>
      <c r="I933" s="286"/>
      <c r="J933" s="529"/>
      <c r="K933" s="286"/>
      <c r="L933" s="286"/>
      <c r="M933" s="529"/>
      <c r="N933" s="529"/>
      <c r="O933" s="529"/>
      <c r="P933" s="529"/>
      <c r="Q933" s="286"/>
      <c r="R933" s="286"/>
      <c r="S933" s="286"/>
      <c r="T933" s="286"/>
      <c r="U933" s="286"/>
      <c r="V933" s="286"/>
      <c r="W933" s="286"/>
      <c r="X933" s="286"/>
      <c r="Y933" s="286"/>
      <c r="Z933" s="286"/>
      <c r="AA933" s="286"/>
      <c r="AB933" s="286"/>
    </row>
    <row r="934">
      <c r="A934" s="286"/>
      <c r="B934" s="286"/>
      <c r="C934" s="529"/>
      <c r="D934" s="306"/>
      <c r="E934" s="306"/>
      <c r="F934" s="306"/>
      <c r="G934" s="528"/>
      <c r="H934" s="286"/>
      <c r="I934" s="286"/>
      <c r="J934" s="529"/>
      <c r="K934" s="286"/>
      <c r="L934" s="286"/>
      <c r="M934" s="529"/>
      <c r="N934" s="529"/>
      <c r="O934" s="529"/>
      <c r="P934" s="529"/>
      <c r="Q934" s="286"/>
      <c r="R934" s="286"/>
      <c r="S934" s="286"/>
      <c r="T934" s="286"/>
      <c r="U934" s="286"/>
      <c r="V934" s="286"/>
      <c r="W934" s="286"/>
      <c r="X934" s="286"/>
      <c r="Y934" s="286"/>
      <c r="Z934" s="286"/>
      <c r="AA934" s="286"/>
      <c r="AB934" s="286"/>
    </row>
    <row r="935">
      <c r="A935" s="286"/>
      <c r="B935" s="286"/>
      <c r="C935" s="529"/>
      <c r="D935" s="306"/>
      <c r="E935" s="306"/>
      <c r="F935" s="306"/>
      <c r="G935" s="528"/>
      <c r="H935" s="286"/>
      <c r="I935" s="286"/>
      <c r="J935" s="529"/>
      <c r="K935" s="286"/>
      <c r="L935" s="286"/>
      <c r="M935" s="529"/>
      <c r="N935" s="529"/>
      <c r="O935" s="529"/>
      <c r="P935" s="529"/>
      <c r="Q935" s="286"/>
      <c r="R935" s="286"/>
      <c r="S935" s="286"/>
      <c r="T935" s="286"/>
      <c r="U935" s="286"/>
      <c r="V935" s="286"/>
      <c r="W935" s="286"/>
      <c r="X935" s="286"/>
      <c r="Y935" s="286"/>
      <c r="Z935" s="286"/>
      <c r="AA935" s="286"/>
      <c r="AB935" s="286"/>
    </row>
    <row r="936">
      <c r="A936" s="286"/>
      <c r="B936" s="286"/>
      <c r="C936" s="529"/>
      <c r="D936" s="306"/>
      <c r="E936" s="306"/>
      <c r="F936" s="306"/>
      <c r="G936" s="528"/>
      <c r="H936" s="286"/>
      <c r="I936" s="286"/>
      <c r="J936" s="529"/>
      <c r="K936" s="286"/>
      <c r="L936" s="286"/>
      <c r="M936" s="529"/>
      <c r="N936" s="529"/>
      <c r="O936" s="529"/>
      <c r="P936" s="529"/>
      <c r="Q936" s="286"/>
      <c r="R936" s="286"/>
      <c r="S936" s="286"/>
      <c r="T936" s="286"/>
      <c r="U936" s="286"/>
      <c r="V936" s="286"/>
      <c r="W936" s="286"/>
      <c r="X936" s="286"/>
      <c r="Y936" s="286"/>
      <c r="Z936" s="286"/>
      <c r="AA936" s="286"/>
      <c r="AB936" s="286"/>
    </row>
    <row r="937">
      <c r="A937" s="286"/>
      <c r="B937" s="286"/>
      <c r="C937" s="529"/>
      <c r="D937" s="306"/>
      <c r="E937" s="306"/>
      <c r="F937" s="306"/>
      <c r="G937" s="528"/>
      <c r="H937" s="286"/>
      <c r="I937" s="286"/>
      <c r="J937" s="529"/>
      <c r="K937" s="286"/>
      <c r="L937" s="286"/>
      <c r="M937" s="529"/>
      <c r="N937" s="529"/>
      <c r="O937" s="529"/>
      <c r="P937" s="529"/>
      <c r="Q937" s="286"/>
      <c r="R937" s="286"/>
      <c r="S937" s="286"/>
      <c r="T937" s="286"/>
      <c r="U937" s="286"/>
      <c r="V937" s="286"/>
      <c r="W937" s="286"/>
      <c r="X937" s="286"/>
      <c r="Y937" s="286"/>
      <c r="Z937" s="286"/>
      <c r="AA937" s="286"/>
      <c r="AB937" s="286"/>
    </row>
    <row r="938">
      <c r="A938" s="286"/>
      <c r="B938" s="286"/>
      <c r="C938" s="529"/>
      <c r="D938" s="306"/>
      <c r="E938" s="306"/>
      <c r="F938" s="306"/>
      <c r="G938" s="528"/>
      <c r="H938" s="286"/>
      <c r="I938" s="286"/>
      <c r="J938" s="529"/>
      <c r="K938" s="286"/>
      <c r="L938" s="286"/>
      <c r="M938" s="529"/>
      <c r="N938" s="529"/>
      <c r="O938" s="529"/>
      <c r="P938" s="529"/>
      <c r="Q938" s="286"/>
      <c r="R938" s="286"/>
      <c r="S938" s="286"/>
      <c r="T938" s="286"/>
      <c r="U938" s="286"/>
      <c r="V938" s="286"/>
      <c r="W938" s="286"/>
      <c r="X938" s="286"/>
      <c r="Y938" s="286"/>
      <c r="Z938" s="286"/>
      <c r="AA938" s="286"/>
      <c r="AB938" s="286"/>
    </row>
    <row r="939">
      <c r="A939" s="286"/>
      <c r="B939" s="286"/>
      <c r="C939" s="529"/>
      <c r="D939" s="306"/>
      <c r="E939" s="306"/>
      <c r="F939" s="306"/>
      <c r="G939" s="528"/>
      <c r="H939" s="286"/>
      <c r="I939" s="286"/>
      <c r="J939" s="529"/>
      <c r="K939" s="286"/>
      <c r="L939" s="286"/>
      <c r="M939" s="529"/>
      <c r="N939" s="529"/>
      <c r="O939" s="529"/>
      <c r="P939" s="529"/>
      <c r="Q939" s="286"/>
      <c r="R939" s="286"/>
      <c r="S939" s="286"/>
      <c r="T939" s="286"/>
      <c r="U939" s="286"/>
      <c r="V939" s="286"/>
      <c r="W939" s="286"/>
      <c r="X939" s="286"/>
      <c r="Y939" s="286"/>
      <c r="Z939" s="286"/>
      <c r="AA939" s="286"/>
      <c r="AB939" s="286"/>
    </row>
    <row r="940">
      <c r="A940" s="286"/>
      <c r="B940" s="286"/>
      <c r="C940" s="529"/>
      <c r="D940" s="306"/>
      <c r="E940" s="306"/>
      <c r="F940" s="306"/>
      <c r="G940" s="528"/>
      <c r="H940" s="286"/>
      <c r="I940" s="286"/>
      <c r="J940" s="529"/>
      <c r="K940" s="286"/>
      <c r="L940" s="286"/>
      <c r="M940" s="529"/>
      <c r="N940" s="529"/>
      <c r="O940" s="529"/>
      <c r="P940" s="529"/>
      <c r="Q940" s="286"/>
      <c r="R940" s="286"/>
      <c r="S940" s="286"/>
      <c r="T940" s="286"/>
      <c r="U940" s="286"/>
      <c r="V940" s="286"/>
      <c r="W940" s="286"/>
      <c r="X940" s="286"/>
      <c r="Y940" s="286"/>
      <c r="Z940" s="286"/>
      <c r="AA940" s="286"/>
      <c r="AB940" s="286"/>
    </row>
    <row r="941">
      <c r="A941" s="286"/>
      <c r="B941" s="286"/>
      <c r="C941" s="529"/>
      <c r="D941" s="306"/>
      <c r="E941" s="306"/>
      <c r="F941" s="306"/>
      <c r="G941" s="528"/>
      <c r="H941" s="286"/>
      <c r="I941" s="286"/>
      <c r="J941" s="529"/>
      <c r="K941" s="286"/>
      <c r="L941" s="286"/>
      <c r="M941" s="529"/>
      <c r="N941" s="529"/>
      <c r="O941" s="529"/>
      <c r="P941" s="529"/>
      <c r="Q941" s="286"/>
      <c r="R941" s="286"/>
      <c r="S941" s="286"/>
      <c r="T941" s="286"/>
      <c r="U941" s="286"/>
      <c r="V941" s="286"/>
      <c r="W941" s="286"/>
      <c r="X941" s="286"/>
      <c r="Y941" s="286"/>
      <c r="Z941" s="286"/>
      <c r="AA941" s="286"/>
      <c r="AB941" s="286"/>
    </row>
    <row r="942">
      <c r="A942" s="286"/>
      <c r="B942" s="286"/>
      <c r="C942" s="529"/>
      <c r="D942" s="306"/>
      <c r="E942" s="306"/>
      <c r="F942" s="306"/>
      <c r="G942" s="528"/>
      <c r="H942" s="286"/>
      <c r="I942" s="286"/>
      <c r="J942" s="529"/>
      <c r="K942" s="286"/>
      <c r="L942" s="286"/>
      <c r="M942" s="529"/>
      <c r="N942" s="529"/>
      <c r="O942" s="529"/>
      <c r="P942" s="529"/>
      <c r="Q942" s="286"/>
      <c r="R942" s="286"/>
      <c r="S942" s="286"/>
      <c r="T942" s="286"/>
      <c r="U942" s="286"/>
      <c r="V942" s="286"/>
      <c r="W942" s="286"/>
      <c r="X942" s="286"/>
      <c r="Y942" s="286"/>
      <c r="Z942" s="286"/>
      <c r="AA942" s="286"/>
      <c r="AB942" s="286"/>
    </row>
    <row r="943">
      <c r="A943" s="286"/>
      <c r="B943" s="286"/>
      <c r="C943" s="529"/>
      <c r="D943" s="306"/>
      <c r="E943" s="306"/>
      <c r="F943" s="306"/>
      <c r="G943" s="528"/>
      <c r="H943" s="286"/>
      <c r="I943" s="286"/>
      <c r="J943" s="529"/>
      <c r="K943" s="286"/>
      <c r="L943" s="286"/>
      <c r="M943" s="529"/>
      <c r="N943" s="529"/>
      <c r="O943" s="529"/>
      <c r="P943" s="529"/>
      <c r="Q943" s="286"/>
      <c r="R943" s="286"/>
      <c r="S943" s="286"/>
      <c r="T943" s="286"/>
      <c r="U943" s="286"/>
      <c r="V943" s="286"/>
      <c r="W943" s="286"/>
      <c r="X943" s="286"/>
      <c r="Y943" s="286"/>
      <c r="Z943" s="286"/>
      <c r="AA943" s="286"/>
      <c r="AB943" s="286"/>
    </row>
    <row r="944">
      <c r="A944" s="286"/>
      <c r="B944" s="286"/>
      <c r="C944" s="529"/>
      <c r="D944" s="306"/>
      <c r="E944" s="306"/>
      <c r="F944" s="306"/>
      <c r="G944" s="528"/>
      <c r="H944" s="286"/>
      <c r="I944" s="286"/>
      <c r="J944" s="529"/>
      <c r="K944" s="286"/>
      <c r="L944" s="286"/>
      <c r="M944" s="529"/>
      <c r="N944" s="529"/>
      <c r="O944" s="529"/>
      <c r="P944" s="529"/>
      <c r="Q944" s="286"/>
      <c r="R944" s="286"/>
      <c r="S944" s="286"/>
      <c r="T944" s="286"/>
      <c r="U944" s="286"/>
      <c r="V944" s="286"/>
      <c r="W944" s="286"/>
      <c r="X944" s="286"/>
      <c r="Y944" s="286"/>
      <c r="Z944" s="286"/>
      <c r="AA944" s="286"/>
      <c r="AB944" s="286"/>
    </row>
    <row r="945">
      <c r="A945" s="286"/>
      <c r="B945" s="286"/>
      <c r="C945" s="529"/>
      <c r="D945" s="306"/>
      <c r="E945" s="306"/>
      <c r="F945" s="306"/>
      <c r="G945" s="528"/>
      <c r="H945" s="286"/>
      <c r="I945" s="286"/>
      <c r="J945" s="529"/>
      <c r="K945" s="286"/>
      <c r="L945" s="286"/>
      <c r="M945" s="529"/>
      <c r="N945" s="529"/>
      <c r="O945" s="529"/>
      <c r="P945" s="529"/>
      <c r="Q945" s="286"/>
      <c r="R945" s="286"/>
      <c r="S945" s="286"/>
      <c r="T945" s="286"/>
      <c r="U945" s="286"/>
      <c r="V945" s="286"/>
      <c r="W945" s="286"/>
      <c r="X945" s="286"/>
      <c r="Y945" s="286"/>
      <c r="Z945" s="286"/>
      <c r="AA945" s="286"/>
      <c r="AB945" s="286"/>
    </row>
    <row r="946">
      <c r="A946" s="286"/>
      <c r="B946" s="286"/>
      <c r="C946" s="529"/>
      <c r="D946" s="306"/>
      <c r="E946" s="306"/>
      <c r="F946" s="306"/>
      <c r="G946" s="528"/>
      <c r="H946" s="286"/>
      <c r="I946" s="286"/>
      <c r="J946" s="529"/>
      <c r="K946" s="286"/>
      <c r="L946" s="286"/>
      <c r="M946" s="529"/>
      <c r="N946" s="529"/>
      <c r="O946" s="529"/>
      <c r="P946" s="529"/>
      <c r="Q946" s="286"/>
      <c r="R946" s="286"/>
      <c r="S946" s="286"/>
      <c r="T946" s="286"/>
      <c r="U946" s="286"/>
      <c r="V946" s="286"/>
      <c r="W946" s="286"/>
      <c r="X946" s="286"/>
      <c r="Y946" s="286"/>
      <c r="Z946" s="286"/>
      <c r="AA946" s="286"/>
      <c r="AB946" s="286"/>
    </row>
    <row r="947">
      <c r="A947" s="286"/>
      <c r="B947" s="286"/>
      <c r="C947" s="529"/>
      <c r="D947" s="306"/>
      <c r="E947" s="306"/>
      <c r="F947" s="306"/>
      <c r="G947" s="528"/>
      <c r="H947" s="286"/>
      <c r="I947" s="286"/>
      <c r="J947" s="529"/>
      <c r="K947" s="286"/>
      <c r="L947" s="286"/>
      <c r="M947" s="529"/>
      <c r="N947" s="529"/>
      <c r="O947" s="529"/>
      <c r="P947" s="529"/>
      <c r="Q947" s="286"/>
      <c r="R947" s="286"/>
      <c r="S947" s="286"/>
      <c r="T947" s="286"/>
      <c r="U947" s="286"/>
      <c r="V947" s="286"/>
      <c r="W947" s="286"/>
      <c r="X947" s="286"/>
      <c r="Y947" s="286"/>
      <c r="Z947" s="286"/>
      <c r="AA947" s="286"/>
      <c r="AB947" s="286"/>
    </row>
    <row r="948">
      <c r="A948" s="286"/>
      <c r="B948" s="286"/>
      <c r="C948" s="529"/>
      <c r="D948" s="306"/>
      <c r="E948" s="306"/>
      <c r="F948" s="306"/>
      <c r="G948" s="528"/>
      <c r="H948" s="286"/>
      <c r="I948" s="286"/>
      <c r="J948" s="529"/>
      <c r="K948" s="286"/>
      <c r="L948" s="286"/>
      <c r="M948" s="529"/>
      <c r="N948" s="529"/>
      <c r="O948" s="529"/>
      <c r="P948" s="529"/>
      <c r="Q948" s="286"/>
      <c r="R948" s="286"/>
      <c r="S948" s="286"/>
      <c r="T948" s="286"/>
      <c r="U948" s="286"/>
      <c r="V948" s="286"/>
      <c r="W948" s="286"/>
      <c r="X948" s="286"/>
      <c r="Y948" s="286"/>
      <c r="Z948" s="286"/>
      <c r="AA948" s="286"/>
      <c r="AB948" s="286"/>
    </row>
    <row r="949">
      <c r="A949" s="286"/>
      <c r="B949" s="286"/>
      <c r="C949" s="529"/>
      <c r="D949" s="306"/>
      <c r="E949" s="306"/>
      <c r="F949" s="306"/>
      <c r="G949" s="528"/>
      <c r="H949" s="286"/>
      <c r="I949" s="286"/>
      <c r="J949" s="529"/>
      <c r="K949" s="286"/>
      <c r="L949" s="286"/>
      <c r="M949" s="529"/>
      <c r="N949" s="529"/>
      <c r="O949" s="529"/>
      <c r="P949" s="529"/>
      <c r="Q949" s="286"/>
      <c r="R949" s="286"/>
      <c r="S949" s="286"/>
      <c r="T949" s="286"/>
      <c r="U949" s="286"/>
      <c r="V949" s="286"/>
      <c r="W949" s="286"/>
      <c r="X949" s="286"/>
      <c r="Y949" s="286"/>
      <c r="Z949" s="286"/>
      <c r="AA949" s="286"/>
      <c r="AB949" s="286"/>
    </row>
    <row r="950">
      <c r="A950" s="286"/>
      <c r="B950" s="286"/>
      <c r="C950" s="529"/>
      <c r="D950" s="306"/>
      <c r="E950" s="306"/>
      <c r="F950" s="306"/>
      <c r="G950" s="528"/>
      <c r="H950" s="286"/>
      <c r="I950" s="286"/>
      <c r="J950" s="529"/>
      <c r="K950" s="286"/>
      <c r="L950" s="286"/>
      <c r="M950" s="529"/>
      <c r="N950" s="529"/>
      <c r="O950" s="529"/>
      <c r="P950" s="529"/>
      <c r="Q950" s="286"/>
      <c r="R950" s="286"/>
      <c r="S950" s="286"/>
      <c r="T950" s="286"/>
      <c r="U950" s="286"/>
      <c r="V950" s="286"/>
      <c r="W950" s="286"/>
      <c r="X950" s="286"/>
      <c r="Y950" s="286"/>
      <c r="Z950" s="286"/>
      <c r="AA950" s="286"/>
      <c r="AB950" s="286"/>
    </row>
    <row r="951">
      <c r="A951" s="286"/>
      <c r="B951" s="286"/>
      <c r="C951" s="529"/>
      <c r="D951" s="306"/>
      <c r="E951" s="306"/>
      <c r="F951" s="306"/>
      <c r="G951" s="528"/>
      <c r="H951" s="286"/>
      <c r="I951" s="286"/>
      <c r="J951" s="529"/>
      <c r="K951" s="286"/>
      <c r="L951" s="286"/>
      <c r="M951" s="529"/>
      <c r="N951" s="529"/>
      <c r="O951" s="529"/>
      <c r="P951" s="529"/>
      <c r="Q951" s="286"/>
      <c r="R951" s="286"/>
      <c r="S951" s="286"/>
      <c r="T951" s="286"/>
      <c r="U951" s="286"/>
      <c r="V951" s="286"/>
      <c r="W951" s="286"/>
      <c r="X951" s="286"/>
      <c r="Y951" s="286"/>
      <c r="Z951" s="286"/>
      <c r="AA951" s="286"/>
      <c r="AB951" s="286"/>
    </row>
    <row r="952">
      <c r="A952" s="286"/>
      <c r="B952" s="286"/>
      <c r="C952" s="529"/>
      <c r="D952" s="306"/>
      <c r="E952" s="306"/>
      <c r="F952" s="306"/>
      <c r="G952" s="528"/>
      <c r="H952" s="286"/>
      <c r="I952" s="286"/>
      <c r="J952" s="529"/>
      <c r="K952" s="286"/>
      <c r="L952" s="286"/>
      <c r="M952" s="529"/>
      <c r="N952" s="529"/>
      <c r="O952" s="529"/>
      <c r="P952" s="529"/>
      <c r="Q952" s="286"/>
      <c r="R952" s="286"/>
      <c r="S952" s="286"/>
      <c r="T952" s="286"/>
      <c r="U952" s="286"/>
      <c r="V952" s="286"/>
      <c r="W952" s="286"/>
      <c r="X952" s="286"/>
      <c r="Y952" s="286"/>
      <c r="Z952" s="286"/>
      <c r="AA952" s="286"/>
      <c r="AB952" s="286"/>
    </row>
    <row r="953">
      <c r="A953" s="286"/>
      <c r="B953" s="286"/>
      <c r="C953" s="529"/>
      <c r="D953" s="306"/>
      <c r="E953" s="306"/>
      <c r="F953" s="306"/>
      <c r="G953" s="528"/>
      <c r="H953" s="286"/>
      <c r="I953" s="286"/>
      <c r="J953" s="529"/>
      <c r="K953" s="286"/>
      <c r="L953" s="286"/>
      <c r="M953" s="529"/>
      <c r="N953" s="529"/>
      <c r="O953" s="529"/>
      <c r="P953" s="529"/>
      <c r="Q953" s="286"/>
      <c r="R953" s="286"/>
      <c r="S953" s="286"/>
      <c r="T953" s="286"/>
      <c r="U953" s="286"/>
      <c r="V953" s="286"/>
      <c r="W953" s="286"/>
      <c r="X953" s="286"/>
      <c r="Y953" s="286"/>
      <c r="Z953" s="286"/>
      <c r="AA953" s="286"/>
      <c r="AB953" s="286"/>
    </row>
    <row r="954">
      <c r="A954" s="286"/>
      <c r="B954" s="286"/>
      <c r="C954" s="529"/>
      <c r="D954" s="306"/>
      <c r="E954" s="306"/>
      <c r="F954" s="306"/>
      <c r="G954" s="528"/>
      <c r="H954" s="286"/>
      <c r="I954" s="286"/>
      <c r="J954" s="529"/>
      <c r="K954" s="286"/>
      <c r="L954" s="286"/>
      <c r="M954" s="529"/>
      <c r="N954" s="529"/>
      <c r="O954" s="529"/>
      <c r="P954" s="529"/>
      <c r="Q954" s="286"/>
      <c r="R954" s="286"/>
      <c r="S954" s="286"/>
      <c r="T954" s="286"/>
      <c r="U954" s="286"/>
      <c r="V954" s="286"/>
      <c r="W954" s="286"/>
      <c r="X954" s="286"/>
      <c r="Y954" s="286"/>
      <c r="Z954" s="286"/>
      <c r="AA954" s="286"/>
      <c r="AB954" s="286"/>
    </row>
    <row r="955">
      <c r="A955" s="286"/>
      <c r="B955" s="286"/>
      <c r="C955" s="529"/>
      <c r="D955" s="306"/>
      <c r="E955" s="306"/>
      <c r="F955" s="306"/>
      <c r="G955" s="528"/>
      <c r="H955" s="286"/>
      <c r="I955" s="286"/>
      <c r="J955" s="529"/>
      <c r="K955" s="286"/>
      <c r="L955" s="286"/>
      <c r="M955" s="529"/>
      <c r="N955" s="529"/>
      <c r="O955" s="529"/>
      <c r="P955" s="529"/>
      <c r="Q955" s="286"/>
      <c r="R955" s="286"/>
      <c r="S955" s="286"/>
      <c r="T955" s="286"/>
      <c r="U955" s="286"/>
      <c r="V955" s="286"/>
      <c r="W955" s="286"/>
      <c r="X955" s="286"/>
      <c r="Y955" s="286"/>
      <c r="Z955" s="286"/>
      <c r="AA955" s="286"/>
      <c r="AB955" s="286"/>
    </row>
    <row r="956">
      <c r="A956" s="286"/>
      <c r="B956" s="286"/>
      <c r="C956" s="529"/>
      <c r="D956" s="306"/>
      <c r="E956" s="306"/>
      <c r="F956" s="306"/>
      <c r="G956" s="528"/>
      <c r="H956" s="286"/>
      <c r="I956" s="286"/>
      <c r="J956" s="529"/>
      <c r="K956" s="286"/>
      <c r="L956" s="286"/>
      <c r="M956" s="529"/>
      <c r="N956" s="529"/>
      <c r="O956" s="529"/>
      <c r="P956" s="529"/>
      <c r="Q956" s="286"/>
      <c r="R956" s="286"/>
      <c r="S956" s="286"/>
      <c r="T956" s="286"/>
      <c r="U956" s="286"/>
      <c r="V956" s="286"/>
      <c r="W956" s="286"/>
      <c r="X956" s="286"/>
      <c r="Y956" s="286"/>
      <c r="Z956" s="286"/>
      <c r="AA956" s="286"/>
      <c r="AB956" s="286"/>
    </row>
    <row r="957">
      <c r="A957" s="286"/>
      <c r="B957" s="286"/>
      <c r="C957" s="529"/>
      <c r="D957" s="306"/>
      <c r="E957" s="306"/>
      <c r="F957" s="306"/>
      <c r="G957" s="528"/>
      <c r="H957" s="286"/>
      <c r="I957" s="286"/>
      <c r="J957" s="529"/>
      <c r="K957" s="286"/>
      <c r="L957" s="286"/>
      <c r="M957" s="529"/>
      <c r="N957" s="529"/>
      <c r="O957" s="529"/>
      <c r="P957" s="529"/>
      <c r="Q957" s="286"/>
      <c r="R957" s="286"/>
      <c r="S957" s="286"/>
      <c r="T957" s="286"/>
      <c r="U957" s="286"/>
      <c r="V957" s="286"/>
      <c r="W957" s="286"/>
      <c r="X957" s="286"/>
      <c r="Y957" s="286"/>
      <c r="Z957" s="286"/>
      <c r="AA957" s="286"/>
      <c r="AB957" s="286"/>
    </row>
    <row r="958">
      <c r="A958" s="286"/>
      <c r="B958" s="286"/>
      <c r="C958" s="529"/>
      <c r="D958" s="306"/>
      <c r="E958" s="306"/>
      <c r="F958" s="306"/>
      <c r="G958" s="528"/>
      <c r="H958" s="286"/>
      <c r="I958" s="286"/>
      <c r="J958" s="529"/>
      <c r="K958" s="286"/>
      <c r="L958" s="286"/>
      <c r="M958" s="529"/>
      <c r="N958" s="529"/>
      <c r="O958" s="529"/>
      <c r="P958" s="529"/>
      <c r="Q958" s="286"/>
      <c r="R958" s="286"/>
      <c r="S958" s="286"/>
      <c r="T958" s="286"/>
      <c r="U958" s="286"/>
      <c r="V958" s="286"/>
      <c r="W958" s="286"/>
      <c r="X958" s="286"/>
      <c r="Y958" s="286"/>
      <c r="Z958" s="286"/>
      <c r="AA958" s="286"/>
      <c r="AB958" s="286"/>
    </row>
    <row r="959">
      <c r="A959" s="286"/>
      <c r="B959" s="286"/>
      <c r="C959" s="529"/>
      <c r="D959" s="306"/>
      <c r="E959" s="306"/>
      <c r="F959" s="306"/>
      <c r="G959" s="528"/>
      <c r="H959" s="286"/>
      <c r="I959" s="286"/>
      <c r="J959" s="529"/>
      <c r="K959" s="286"/>
      <c r="L959" s="286"/>
      <c r="M959" s="529"/>
      <c r="N959" s="529"/>
      <c r="O959" s="529"/>
      <c r="P959" s="529"/>
      <c r="Q959" s="286"/>
      <c r="R959" s="286"/>
      <c r="S959" s="286"/>
      <c r="T959" s="286"/>
      <c r="U959" s="286"/>
      <c r="V959" s="286"/>
      <c r="W959" s="286"/>
      <c r="X959" s="286"/>
      <c r="Y959" s="286"/>
      <c r="Z959" s="286"/>
      <c r="AA959" s="286"/>
      <c r="AB959" s="286"/>
    </row>
    <row r="960">
      <c r="A960" s="286"/>
      <c r="B960" s="286"/>
      <c r="C960" s="529"/>
      <c r="D960" s="306"/>
      <c r="E960" s="306"/>
      <c r="F960" s="306"/>
      <c r="G960" s="528"/>
      <c r="H960" s="286"/>
      <c r="I960" s="286"/>
      <c r="J960" s="529"/>
      <c r="K960" s="286"/>
      <c r="L960" s="286"/>
      <c r="M960" s="529"/>
      <c r="N960" s="529"/>
      <c r="O960" s="529"/>
      <c r="P960" s="529"/>
      <c r="Q960" s="286"/>
      <c r="R960" s="286"/>
      <c r="S960" s="286"/>
      <c r="T960" s="286"/>
      <c r="U960" s="286"/>
      <c r="V960" s="286"/>
      <c r="W960" s="286"/>
      <c r="X960" s="286"/>
      <c r="Y960" s="286"/>
      <c r="Z960" s="286"/>
      <c r="AA960" s="286"/>
      <c r="AB960" s="286"/>
    </row>
    <row r="961">
      <c r="A961" s="286"/>
      <c r="B961" s="286"/>
      <c r="C961" s="529"/>
      <c r="D961" s="306"/>
      <c r="E961" s="306"/>
      <c r="F961" s="306"/>
      <c r="G961" s="528"/>
      <c r="H961" s="286"/>
      <c r="I961" s="286"/>
      <c r="J961" s="529"/>
      <c r="K961" s="286"/>
      <c r="L961" s="286"/>
      <c r="M961" s="529"/>
      <c r="N961" s="529"/>
      <c r="O961" s="529"/>
      <c r="P961" s="529"/>
      <c r="Q961" s="286"/>
      <c r="R961" s="286"/>
      <c r="S961" s="286"/>
      <c r="T961" s="286"/>
      <c r="U961" s="286"/>
      <c r="V961" s="286"/>
      <c r="W961" s="286"/>
      <c r="X961" s="286"/>
      <c r="Y961" s="286"/>
      <c r="Z961" s="286"/>
      <c r="AA961" s="286"/>
      <c r="AB961" s="286"/>
    </row>
    <row r="962">
      <c r="A962" s="286"/>
      <c r="B962" s="286"/>
      <c r="C962" s="529"/>
      <c r="D962" s="306"/>
      <c r="E962" s="306"/>
      <c r="F962" s="306"/>
      <c r="G962" s="528"/>
      <c r="H962" s="286"/>
      <c r="I962" s="286"/>
      <c r="J962" s="529"/>
      <c r="K962" s="286"/>
      <c r="L962" s="286"/>
      <c r="M962" s="529"/>
      <c r="N962" s="529"/>
      <c r="O962" s="529"/>
      <c r="P962" s="529"/>
      <c r="Q962" s="286"/>
      <c r="R962" s="286"/>
      <c r="S962" s="286"/>
      <c r="T962" s="286"/>
      <c r="U962" s="286"/>
      <c r="V962" s="286"/>
      <c r="W962" s="286"/>
      <c r="X962" s="286"/>
      <c r="Y962" s="286"/>
      <c r="Z962" s="286"/>
      <c r="AA962" s="286"/>
      <c r="AB962" s="286"/>
    </row>
    <row r="963">
      <c r="A963" s="286"/>
      <c r="B963" s="286"/>
      <c r="C963" s="529"/>
      <c r="D963" s="306"/>
      <c r="E963" s="306"/>
      <c r="F963" s="306"/>
      <c r="G963" s="528"/>
      <c r="H963" s="286"/>
      <c r="I963" s="286"/>
      <c r="J963" s="529"/>
      <c r="K963" s="286"/>
      <c r="L963" s="286"/>
      <c r="M963" s="529"/>
      <c r="N963" s="529"/>
      <c r="O963" s="529"/>
      <c r="P963" s="529"/>
      <c r="Q963" s="286"/>
      <c r="R963" s="286"/>
      <c r="S963" s="286"/>
      <c r="T963" s="286"/>
      <c r="U963" s="286"/>
      <c r="V963" s="286"/>
      <c r="W963" s="286"/>
      <c r="X963" s="286"/>
      <c r="Y963" s="286"/>
      <c r="Z963" s="286"/>
      <c r="AA963" s="286"/>
      <c r="AB963" s="286"/>
    </row>
    <row r="964">
      <c r="A964" s="286"/>
      <c r="B964" s="286"/>
      <c r="C964" s="529"/>
      <c r="D964" s="306"/>
      <c r="E964" s="306"/>
      <c r="F964" s="306"/>
      <c r="G964" s="528"/>
      <c r="H964" s="286"/>
      <c r="I964" s="286"/>
      <c r="J964" s="529"/>
      <c r="K964" s="286"/>
      <c r="L964" s="286"/>
      <c r="M964" s="529"/>
      <c r="N964" s="529"/>
      <c r="O964" s="529"/>
      <c r="P964" s="529"/>
      <c r="Q964" s="286"/>
      <c r="R964" s="286"/>
      <c r="S964" s="286"/>
      <c r="T964" s="286"/>
      <c r="U964" s="286"/>
      <c r="V964" s="286"/>
      <c r="W964" s="286"/>
      <c r="X964" s="286"/>
      <c r="Y964" s="286"/>
      <c r="Z964" s="286"/>
      <c r="AA964" s="286"/>
      <c r="AB964" s="286"/>
    </row>
    <row r="965">
      <c r="A965" s="286"/>
      <c r="B965" s="286"/>
      <c r="C965" s="529"/>
      <c r="D965" s="306"/>
      <c r="E965" s="306"/>
      <c r="F965" s="306"/>
      <c r="G965" s="528"/>
      <c r="H965" s="286"/>
      <c r="I965" s="286"/>
      <c r="J965" s="529"/>
      <c r="K965" s="286"/>
      <c r="L965" s="286"/>
      <c r="M965" s="529"/>
      <c r="N965" s="529"/>
      <c r="O965" s="529"/>
      <c r="P965" s="529"/>
      <c r="Q965" s="286"/>
      <c r="R965" s="286"/>
      <c r="S965" s="286"/>
      <c r="T965" s="286"/>
      <c r="U965" s="286"/>
      <c r="V965" s="286"/>
      <c r="W965" s="286"/>
      <c r="X965" s="286"/>
      <c r="Y965" s="286"/>
      <c r="Z965" s="286"/>
      <c r="AA965" s="286"/>
      <c r="AB965" s="286"/>
    </row>
    <row r="966">
      <c r="A966" s="286"/>
      <c r="B966" s="286"/>
      <c r="C966" s="529"/>
      <c r="D966" s="306"/>
      <c r="E966" s="306"/>
      <c r="F966" s="306"/>
      <c r="G966" s="528"/>
      <c r="H966" s="286"/>
      <c r="I966" s="286"/>
      <c r="J966" s="529"/>
      <c r="K966" s="286"/>
      <c r="L966" s="286"/>
      <c r="M966" s="529"/>
      <c r="N966" s="529"/>
      <c r="O966" s="529"/>
      <c r="P966" s="529"/>
      <c r="Q966" s="286"/>
      <c r="R966" s="286"/>
      <c r="S966" s="286"/>
      <c r="T966" s="286"/>
      <c r="U966" s="286"/>
      <c r="V966" s="286"/>
      <c r="W966" s="286"/>
      <c r="X966" s="286"/>
      <c r="Y966" s="286"/>
      <c r="Z966" s="286"/>
      <c r="AA966" s="286"/>
      <c r="AB966" s="286"/>
    </row>
    <row r="967">
      <c r="A967" s="286"/>
      <c r="B967" s="286"/>
      <c r="C967" s="529"/>
      <c r="D967" s="306"/>
      <c r="E967" s="306"/>
      <c r="F967" s="306"/>
      <c r="G967" s="528"/>
      <c r="H967" s="286"/>
      <c r="I967" s="286"/>
      <c r="J967" s="529"/>
      <c r="K967" s="286"/>
      <c r="L967" s="286"/>
      <c r="M967" s="529"/>
      <c r="N967" s="529"/>
      <c r="O967" s="529"/>
      <c r="P967" s="529"/>
      <c r="Q967" s="286"/>
      <c r="R967" s="286"/>
      <c r="S967" s="286"/>
      <c r="T967" s="286"/>
      <c r="U967" s="286"/>
      <c r="V967" s="286"/>
      <c r="W967" s="286"/>
      <c r="X967" s="286"/>
      <c r="Y967" s="286"/>
      <c r="Z967" s="286"/>
      <c r="AA967" s="286"/>
      <c r="AB967" s="286"/>
    </row>
    <row r="968">
      <c r="A968" s="286"/>
      <c r="B968" s="286"/>
      <c r="C968" s="529"/>
      <c r="D968" s="306"/>
      <c r="E968" s="306"/>
      <c r="F968" s="306"/>
      <c r="G968" s="528"/>
      <c r="H968" s="286"/>
      <c r="I968" s="286"/>
      <c r="J968" s="529"/>
      <c r="K968" s="286"/>
      <c r="L968" s="286"/>
      <c r="M968" s="529"/>
      <c r="N968" s="529"/>
      <c r="O968" s="529"/>
      <c r="P968" s="529"/>
      <c r="Q968" s="286"/>
      <c r="R968" s="286"/>
      <c r="S968" s="286"/>
      <c r="T968" s="286"/>
      <c r="U968" s="286"/>
      <c r="V968" s="286"/>
      <c r="W968" s="286"/>
      <c r="X968" s="286"/>
      <c r="Y968" s="286"/>
      <c r="Z968" s="286"/>
      <c r="AA968" s="286"/>
      <c r="AB968" s="286"/>
    </row>
    <row r="969">
      <c r="A969" s="286"/>
      <c r="B969" s="286"/>
      <c r="C969" s="529"/>
      <c r="D969" s="306"/>
      <c r="E969" s="306"/>
      <c r="F969" s="306"/>
      <c r="G969" s="528"/>
      <c r="H969" s="286"/>
      <c r="I969" s="286"/>
      <c r="J969" s="529"/>
      <c r="K969" s="286"/>
      <c r="L969" s="286"/>
      <c r="M969" s="529"/>
      <c r="N969" s="529"/>
      <c r="O969" s="529"/>
      <c r="P969" s="529"/>
      <c r="Q969" s="286"/>
      <c r="R969" s="286"/>
      <c r="S969" s="286"/>
      <c r="T969" s="286"/>
      <c r="U969" s="286"/>
      <c r="V969" s="286"/>
      <c r="W969" s="286"/>
      <c r="X969" s="286"/>
      <c r="Y969" s="286"/>
      <c r="Z969" s="286"/>
      <c r="AA969" s="286"/>
      <c r="AB969" s="286"/>
    </row>
    <row r="970">
      <c r="A970" s="286"/>
      <c r="B970" s="286"/>
      <c r="C970" s="529"/>
      <c r="D970" s="306"/>
      <c r="E970" s="306"/>
      <c r="F970" s="306"/>
      <c r="G970" s="528"/>
      <c r="H970" s="286"/>
      <c r="I970" s="286"/>
      <c r="J970" s="529"/>
      <c r="K970" s="286"/>
      <c r="L970" s="286"/>
      <c r="M970" s="529"/>
      <c r="N970" s="529"/>
      <c r="O970" s="529"/>
      <c r="P970" s="529"/>
      <c r="Q970" s="286"/>
      <c r="R970" s="286"/>
      <c r="S970" s="286"/>
      <c r="T970" s="286"/>
      <c r="U970" s="286"/>
      <c r="V970" s="286"/>
      <c r="W970" s="286"/>
      <c r="X970" s="286"/>
      <c r="Y970" s="286"/>
      <c r="Z970" s="286"/>
      <c r="AA970" s="286"/>
      <c r="AB970" s="286"/>
    </row>
    <row r="971">
      <c r="A971" s="286"/>
      <c r="B971" s="286"/>
      <c r="C971" s="529"/>
      <c r="D971" s="306"/>
      <c r="E971" s="306"/>
      <c r="F971" s="306"/>
      <c r="G971" s="528"/>
      <c r="H971" s="286"/>
      <c r="I971" s="286"/>
      <c r="J971" s="529"/>
      <c r="K971" s="286"/>
      <c r="L971" s="286"/>
      <c r="M971" s="529"/>
      <c r="N971" s="529"/>
      <c r="O971" s="529"/>
      <c r="P971" s="529"/>
      <c r="Q971" s="286"/>
      <c r="R971" s="286"/>
      <c r="S971" s="286"/>
      <c r="T971" s="286"/>
      <c r="U971" s="286"/>
      <c r="V971" s="286"/>
      <c r="W971" s="286"/>
      <c r="X971" s="286"/>
      <c r="Y971" s="286"/>
      <c r="Z971" s="286"/>
      <c r="AA971" s="286"/>
      <c r="AB971" s="286"/>
    </row>
    <row r="972">
      <c r="A972" s="286"/>
      <c r="B972" s="286"/>
      <c r="C972" s="529"/>
      <c r="D972" s="306"/>
      <c r="E972" s="306"/>
      <c r="F972" s="306"/>
      <c r="G972" s="528"/>
      <c r="H972" s="286"/>
      <c r="I972" s="286"/>
      <c r="J972" s="529"/>
      <c r="K972" s="286"/>
      <c r="L972" s="286"/>
      <c r="M972" s="529"/>
      <c r="N972" s="529"/>
      <c r="O972" s="529"/>
      <c r="P972" s="529"/>
      <c r="Q972" s="286"/>
      <c r="R972" s="286"/>
      <c r="S972" s="286"/>
      <c r="T972" s="286"/>
      <c r="U972" s="286"/>
      <c r="V972" s="286"/>
      <c r="W972" s="286"/>
      <c r="X972" s="286"/>
      <c r="Y972" s="286"/>
      <c r="Z972" s="286"/>
      <c r="AA972" s="286"/>
      <c r="AB972" s="286"/>
    </row>
    <row r="973">
      <c r="A973" s="286"/>
      <c r="B973" s="286"/>
      <c r="C973" s="529"/>
      <c r="D973" s="306"/>
      <c r="E973" s="306"/>
      <c r="F973" s="306"/>
      <c r="G973" s="528"/>
      <c r="H973" s="286"/>
      <c r="I973" s="286"/>
      <c r="J973" s="529"/>
      <c r="K973" s="286"/>
      <c r="L973" s="286"/>
      <c r="M973" s="529"/>
      <c r="N973" s="529"/>
      <c r="O973" s="529"/>
      <c r="P973" s="529"/>
      <c r="Q973" s="286"/>
      <c r="R973" s="286"/>
      <c r="S973" s="286"/>
      <c r="T973" s="286"/>
      <c r="U973" s="286"/>
      <c r="V973" s="286"/>
      <c r="W973" s="286"/>
      <c r="X973" s="286"/>
      <c r="Y973" s="286"/>
      <c r="Z973" s="286"/>
      <c r="AA973" s="286"/>
      <c r="AB973" s="286"/>
    </row>
    <row r="974">
      <c r="A974" s="286"/>
      <c r="B974" s="286"/>
      <c r="C974" s="529"/>
      <c r="D974" s="306"/>
      <c r="E974" s="306"/>
      <c r="F974" s="306"/>
      <c r="G974" s="528"/>
      <c r="H974" s="286"/>
      <c r="I974" s="286"/>
      <c r="J974" s="529"/>
      <c r="K974" s="286"/>
      <c r="L974" s="286"/>
      <c r="M974" s="529"/>
      <c r="N974" s="529"/>
      <c r="O974" s="529"/>
      <c r="P974" s="529"/>
      <c r="Q974" s="286"/>
      <c r="R974" s="286"/>
      <c r="S974" s="286"/>
      <c r="T974" s="286"/>
      <c r="U974" s="286"/>
      <c r="V974" s="286"/>
      <c r="W974" s="286"/>
      <c r="X974" s="286"/>
      <c r="Y974" s="286"/>
      <c r="Z974" s="286"/>
      <c r="AA974" s="286"/>
      <c r="AB974" s="286"/>
    </row>
    <row r="975">
      <c r="A975" s="286"/>
      <c r="B975" s="286"/>
      <c r="C975" s="529"/>
      <c r="D975" s="306"/>
      <c r="E975" s="306"/>
      <c r="F975" s="306"/>
      <c r="G975" s="528"/>
      <c r="H975" s="286"/>
      <c r="I975" s="286"/>
      <c r="J975" s="529"/>
      <c r="K975" s="286"/>
      <c r="L975" s="286"/>
      <c r="M975" s="529"/>
      <c r="N975" s="529"/>
      <c r="O975" s="529"/>
      <c r="P975" s="529"/>
      <c r="Q975" s="286"/>
      <c r="R975" s="286"/>
      <c r="S975" s="286"/>
      <c r="T975" s="286"/>
      <c r="U975" s="286"/>
      <c r="V975" s="286"/>
      <c r="W975" s="286"/>
      <c r="X975" s="286"/>
      <c r="Y975" s="286"/>
      <c r="Z975" s="286"/>
      <c r="AA975" s="286"/>
      <c r="AB975" s="286"/>
    </row>
    <row r="976">
      <c r="A976" s="286"/>
      <c r="B976" s="286"/>
      <c r="C976" s="529"/>
      <c r="D976" s="306"/>
      <c r="E976" s="306"/>
      <c r="F976" s="306"/>
      <c r="G976" s="528"/>
      <c r="H976" s="286"/>
      <c r="I976" s="286"/>
      <c r="J976" s="529"/>
      <c r="K976" s="286"/>
      <c r="L976" s="286"/>
      <c r="M976" s="529"/>
      <c r="N976" s="529"/>
      <c r="O976" s="529"/>
      <c r="P976" s="529"/>
      <c r="Q976" s="286"/>
      <c r="R976" s="286"/>
      <c r="S976" s="286"/>
      <c r="T976" s="286"/>
      <c r="U976" s="286"/>
      <c r="V976" s="286"/>
      <c r="W976" s="286"/>
      <c r="X976" s="286"/>
      <c r="Y976" s="286"/>
      <c r="Z976" s="286"/>
      <c r="AA976" s="286"/>
      <c r="AB976" s="286"/>
    </row>
    <row r="977">
      <c r="A977" s="286"/>
      <c r="B977" s="286"/>
      <c r="C977" s="529"/>
      <c r="D977" s="306"/>
      <c r="E977" s="306"/>
      <c r="F977" s="306"/>
      <c r="G977" s="528"/>
      <c r="H977" s="286"/>
      <c r="I977" s="286"/>
      <c r="J977" s="529"/>
      <c r="K977" s="286"/>
      <c r="L977" s="286"/>
      <c r="M977" s="529"/>
      <c r="N977" s="529"/>
      <c r="O977" s="529"/>
      <c r="P977" s="529"/>
      <c r="Q977" s="286"/>
      <c r="R977" s="286"/>
      <c r="S977" s="286"/>
      <c r="T977" s="286"/>
      <c r="U977" s="286"/>
      <c r="V977" s="286"/>
      <c r="W977" s="286"/>
      <c r="X977" s="286"/>
      <c r="Y977" s="286"/>
      <c r="Z977" s="286"/>
      <c r="AA977" s="286"/>
      <c r="AB977" s="286"/>
    </row>
    <row r="978">
      <c r="A978" s="286"/>
      <c r="B978" s="286"/>
      <c r="C978" s="529"/>
      <c r="D978" s="306"/>
      <c r="E978" s="306"/>
      <c r="F978" s="306"/>
      <c r="G978" s="528"/>
      <c r="H978" s="286"/>
      <c r="I978" s="286"/>
      <c r="J978" s="529"/>
      <c r="K978" s="286"/>
      <c r="L978" s="286"/>
      <c r="M978" s="529"/>
      <c r="N978" s="529"/>
      <c r="O978" s="529"/>
      <c r="P978" s="529"/>
      <c r="Q978" s="286"/>
      <c r="R978" s="286"/>
      <c r="S978" s="286"/>
      <c r="T978" s="286"/>
      <c r="U978" s="286"/>
      <c r="V978" s="286"/>
      <c r="W978" s="286"/>
      <c r="X978" s="286"/>
      <c r="Y978" s="286"/>
      <c r="Z978" s="286"/>
      <c r="AA978" s="286"/>
      <c r="AB978" s="286"/>
    </row>
    <row r="979">
      <c r="A979" s="286"/>
      <c r="B979" s="286"/>
      <c r="C979" s="529"/>
      <c r="D979" s="306"/>
      <c r="E979" s="306"/>
      <c r="F979" s="306"/>
      <c r="G979" s="528"/>
      <c r="H979" s="286"/>
      <c r="I979" s="286"/>
      <c r="J979" s="529"/>
      <c r="K979" s="286"/>
      <c r="L979" s="286"/>
      <c r="M979" s="529"/>
      <c r="N979" s="529"/>
      <c r="O979" s="529"/>
      <c r="P979" s="529"/>
      <c r="Q979" s="286"/>
      <c r="R979" s="286"/>
      <c r="S979" s="286"/>
      <c r="T979" s="286"/>
      <c r="U979" s="286"/>
      <c r="V979" s="286"/>
      <c r="W979" s="286"/>
      <c r="X979" s="286"/>
      <c r="Y979" s="286"/>
      <c r="Z979" s="286"/>
      <c r="AA979" s="286"/>
      <c r="AB979" s="286"/>
    </row>
    <row r="980">
      <c r="A980" s="286"/>
      <c r="B980" s="286"/>
      <c r="C980" s="529"/>
      <c r="D980" s="306"/>
      <c r="E980" s="306"/>
      <c r="F980" s="306"/>
      <c r="G980" s="528"/>
      <c r="H980" s="286"/>
      <c r="I980" s="286"/>
      <c r="J980" s="529"/>
      <c r="K980" s="286"/>
      <c r="L980" s="286"/>
      <c r="M980" s="529"/>
      <c r="N980" s="529"/>
      <c r="O980" s="529"/>
      <c r="P980" s="529"/>
      <c r="Q980" s="286"/>
      <c r="R980" s="286"/>
      <c r="S980" s="286"/>
      <c r="T980" s="286"/>
      <c r="U980" s="286"/>
      <c r="V980" s="286"/>
      <c r="W980" s="286"/>
      <c r="X980" s="286"/>
      <c r="Y980" s="286"/>
      <c r="Z980" s="286"/>
      <c r="AA980" s="286"/>
      <c r="AB980" s="286"/>
    </row>
    <row r="981">
      <c r="A981" s="286"/>
      <c r="B981" s="286"/>
      <c r="C981" s="529"/>
      <c r="D981" s="306"/>
      <c r="E981" s="306"/>
      <c r="F981" s="306"/>
      <c r="G981" s="528"/>
      <c r="H981" s="286"/>
      <c r="I981" s="286"/>
      <c r="J981" s="529"/>
      <c r="K981" s="286"/>
      <c r="L981" s="286"/>
      <c r="M981" s="529"/>
      <c r="N981" s="529"/>
      <c r="O981" s="529"/>
      <c r="P981" s="529"/>
      <c r="Q981" s="286"/>
      <c r="R981" s="286"/>
      <c r="S981" s="286"/>
      <c r="T981" s="286"/>
      <c r="U981" s="286"/>
      <c r="V981" s="286"/>
      <c r="W981" s="286"/>
      <c r="X981" s="286"/>
      <c r="Y981" s="286"/>
      <c r="Z981" s="286"/>
      <c r="AA981" s="286"/>
      <c r="AB981" s="286"/>
    </row>
    <row r="982">
      <c r="A982" s="286"/>
      <c r="B982" s="286"/>
      <c r="C982" s="529"/>
      <c r="D982" s="306"/>
      <c r="E982" s="306"/>
      <c r="F982" s="306"/>
      <c r="G982" s="528"/>
      <c r="H982" s="286"/>
      <c r="I982" s="286"/>
      <c r="J982" s="529"/>
      <c r="K982" s="286"/>
      <c r="L982" s="286"/>
      <c r="M982" s="529"/>
      <c r="N982" s="529"/>
      <c r="O982" s="529"/>
      <c r="P982" s="529"/>
      <c r="Q982" s="286"/>
      <c r="R982" s="286"/>
      <c r="S982" s="286"/>
      <c r="T982" s="286"/>
      <c r="U982" s="286"/>
      <c r="V982" s="286"/>
      <c r="W982" s="286"/>
      <c r="X982" s="286"/>
      <c r="Y982" s="286"/>
      <c r="Z982" s="286"/>
      <c r="AA982" s="286"/>
      <c r="AB982" s="286"/>
    </row>
    <row r="983">
      <c r="A983" s="286"/>
      <c r="B983" s="286"/>
      <c r="C983" s="529"/>
      <c r="D983" s="306"/>
      <c r="E983" s="306"/>
      <c r="F983" s="306"/>
      <c r="G983" s="528"/>
      <c r="H983" s="286"/>
      <c r="I983" s="286"/>
      <c r="J983" s="529"/>
      <c r="K983" s="286"/>
      <c r="L983" s="286"/>
      <c r="M983" s="529"/>
      <c r="N983" s="529"/>
      <c r="O983" s="529"/>
      <c r="P983" s="529"/>
      <c r="Q983" s="286"/>
      <c r="R983" s="286"/>
      <c r="S983" s="286"/>
      <c r="T983" s="286"/>
      <c r="U983" s="286"/>
      <c r="V983" s="286"/>
      <c r="W983" s="286"/>
      <c r="X983" s="286"/>
      <c r="Y983" s="286"/>
      <c r="Z983" s="286"/>
      <c r="AA983" s="286"/>
      <c r="AB983" s="286"/>
    </row>
    <row r="984">
      <c r="A984" s="286"/>
      <c r="B984" s="286"/>
      <c r="C984" s="529"/>
      <c r="D984" s="306"/>
      <c r="E984" s="306"/>
      <c r="F984" s="306"/>
      <c r="G984" s="528"/>
      <c r="H984" s="286"/>
      <c r="I984" s="286"/>
      <c r="J984" s="529"/>
      <c r="K984" s="286"/>
      <c r="L984" s="286"/>
      <c r="M984" s="529"/>
      <c r="N984" s="529"/>
      <c r="O984" s="529"/>
      <c r="P984" s="529"/>
      <c r="Q984" s="286"/>
      <c r="R984" s="286"/>
      <c r="S984" s="286"/>
      <c r="T984" s="286"/>
      <c r="U984" s="286"/>
      <c r="V984" s="286"/>
      <c r="W984" s="286"/>
      <c r="X984" s="286"/>
      <c r="Y984" s="286"/>
      <c r="Z984" s="286"/>
      <c r="AA984" s="286"/>
      <c r="AB984" s="286"/>
    </row>
    <row r="985">
      <c r="A985" s="286"/>
      <c r="B985" s="286"/>
      <c r="C985" s="529"/>
      <c r="D985" s="306"/>
      <c r="E985" s="306"/>
      <c r="F985" s="306"/>
      <c r="G985" s="528"/>
      <c r="H985" s="286"/>
      <c r="I985" s="286"/>
      <c r="J985" s="529"/>
      <c r="K985" s="286"/>
      <c r="L985" s="286"/>
      <c r="M985" s="529"/>
      <c r="N985" s="529"/>
      <c r="O985" s="529"/>
      <c r="P985" s="529"/>
      <c r="Q985" s="286"/>
      <c r="R985" s="286"/>
      <c r="S985" s="286"/>
      <c r="T985" s="286"/>
      <c r="U985" s="286"/>
      <c r="V985" s="286"/>
      <c r="W985" s="286"/>
      <c r="X985" s="286"/>
      <c r="Y985" s="286"/>
      <c r="Z985" s="286"/>
      <c r="AA985" s="286"/>
      <c r="AB985" s="286"/>
    </row>
    <row r="986">
      <c r="A986" s="286"/>
      <c r="B986" s="286"/>
      <c r="C986" s="529"/>
      <c r="D986" s="306"/>
      <c r="E986" s="306"/>
      <c r="F986" s="306"/>
      <c r="G986" s="528"/>
      <c r="H986" s="286"/>
      <c r="I986" s="286"/>
      <c r="J986" s="529"/>
      <c r="K986" s="286"/>
      <c r="L986" s="286"/>
      <c r="M986" s="529"/>
      <c r="N986" s="529"/>
      <c r="O986" s="529"/>
      <c r="P986" s="529"/>
      <c r="Q986" s="286"/>
      <c r="R986" s="286"/>
      <c r="S986" s="286"/>
      <c r="T986" s="286"/>
      <c r="U986" s="286"/>
      <c r="V986" s="286"/>
      <c r="W986" s="286"/>
      <c r="X986" s="286"/>
      <c r="Y986" s="286"/>
      <c r="Z986" s="286"/>
      <c r="AA986" s="286"/>
      <c r="AB986" s="286"/>
    </row>
    <row r="987">
      <c r="A987" s="286"/>
      <c r="B987" s="286"/>
      <c r="C987" s="529"/>
      <c r="D987" s="306"/>
      <c r="E987" s="306"/>
      <c r="F987" s="306"/>
      <c r="G987" s="528"/>
      <c r="H987" s="286"/>
      <c r="I987" s="286"/>
      <c r="J987" s="529"/>
      <c r="K987" s="286"/>
      <c r="L987" s="286"/>
      <c r="M987" s="529"/>
      <c r="N987" s="529"/>
      <c r="O987" s="529"/>
      <c r="P987" s="529"/>
      <c r="Q987" s="286"/>
      <c r="R987" s="286"/>
      <c r="S987" s="286"/>
      <c r="T987" s="286"/>
      <c r="U987" s="286"/>
      <c r="V987" s="286"/>
      <c r="W987" s="286"/>
      <c r="X987" s="286"/>
      <c r="Y987" s="286"/>
      <c r="Z987" s="286"/>
      <c r="AA987" s="286"/>
      <c r="AB987" s="286"/>
    </row>
    <row r="988">
      <c r="A988" s="286"/>
      <c r="B988" s="286"/>
      <c r="C988" s="286"/>
      <c r="D988" s="286"/>
      <c r="E988" s="286"/>
      <c r="F988" s="286"/>
      <c r="G988" s="528"/>
      <c r="H988" s="286"/>
      <c r="I988" s="286"/>
      <c r="J988" s="286"/>
      <c r="K988" s="286"/>
      <c r="L988" s="286"/>
      <c r="M988" s="529"/>
      <c r="N988" s="286"/>
      <c r="O988" s="286"/>
      <c r="P988" s="286"/>
      <c r="Q988" s="286"/>
      <c r="R988" s="286"/>
      <c r="S988" s="286"/>
      <c r="T988" s="286"/>
      <c r="U988" s="286"/>
      <c r="V988" s="286"/>
      <c r="W988" s="286"/>
      <c r="X988" s="286"/>
      <c r="Y988" s="286"/>
      <c r="Z988" s="286"/>
      <c r="AA988" s="286"/>
      <c r="AB988" s="286"/>
    </row>
    <row r="989">
      <c r="A989" s="286"/>
      <c r="B989" s="286"/>
      <c r="C989" s="286"/>
      <c r="D989" s="286"/>
      <c r="E989" s="286"/>
      <c r="F989" s="286"/>
      <c r="G989" s="528"/>
      <c r="H989" s="286"/>
      <c r="I989" s="286"/>
      <c r="J989" s="286"/>
      <c r="K989" s="286"/>
      <c r="L989" s="286"/>
      <c r="M989" s="529"/>
      <c r="N989" s="286"/>
      <c r="O989" s="286"/>
      <c r="P989" s="286"/>
      <c r="Q989" s="286"/>
      <c r="R989" s="286"/>
      <c r="S989" s="286"/>
      <c r="T989" s="286"/>
      <c r="U989" s="286"/>
      <c r="V989" s="286"/>
      <c r="W989" s="286"/>
      <c r="X989" s="286"/>
      <c r="Y989" s="286"/>
      <c r="Z989" s="286"/>
      <c r="AA989" s="286"/>
      <c r="AB989" s="286"/>
    </row>
    <row r="990">
      <c r="A990" s="286"/>
      <c r="B990" s="286"/>
      <c r="C990" s="286"/>
      <c r="D990" s="286"/>
      <c r="E990" s="286"/>
      <c r="F990" s="286"/>
      <c r="G990" s="528"/>
      <c r="H990" s="286"/>
      <c r="I990" s="286"/>
      <c r="J990" s="286"/>
      <c r="K990" s="286"/>
      <c r="L990" s="286"/>
      <c r="M990" s="529"/>
      <c r="N990" s="286"/>
      <c r="O990" s="286"/>
      <c r="P990" s="286"/>
      <c r="Q990" s="286"/>
      <c r="R990" s="286"/>
      <c r="S990" s="286"/>
      <c r="T990" s="286"/>
      <c r="U990" s="286"/>
      <c r="V990" s="286"/>
      <c r="W990" s="286"/>
      <c r="X990" s="286"/>
      <c r="Y990" s="286"/>
      <c r="Z990" s="286"/>
      <c r="AA990" s="286"/>
      <c r="AB990" s="286"/>
    </row>
    <row r="991">
      <c r="A991" s="286"/>
      <c r="B991" s="286"/>
      <c r="C991" s="286"/>
      <c r="D991" s="286"/>
      <c r="E991" s="286"/>
      <c r="F991" s="286"/>
      <c r="G991" s="528"/>
      <c r="H991" s="286"/>
      <c r="I991" s="286"/>
      <c r="J991" s="286"/>
      <c r="K991" s="286"/>
      <c r="L991" s="286"/>
      <c r="M991" s="529"/>
      <c r="N991" s="286"/>
      <c r="O991" s="286"/>
      <c r="P991" s="286"/>
      <c r="Q991" s="286"/>
      <c r="R991" s="286"/>
      <c r="S991" s="286"/>
      <c r="T991" s="286"/>
      <c r="U991" s="286"/>
      <c r="V991" s="286"/>
      <c r="W991" s="286"/>
      <c r="X991" s="286"/>
      <c r="Y991" s="286"/>
      <c r="Z991" s="286"/>
      <c r="AA991" s="286"/>
      <c r="AB991" s="286"/>
    </row>
    <row r="992">
      <c r="A992" s="286"/>
      <c r="B992" s="286"/>
      <c r="C992" s="286"/>
      <c r="D992" s="286"/>
      <c r="E992" s="286"/>
      <c r="F992" s="286"/>
      <c r="G992" s="528"/>
      <c r="H992" s="286"/>
      <c r="I992" s="286"/>
      <c r="J992" s="286"/>
      <c r="K992" s="286"/>
      <c r="L992" s="286"/>
      <c r="M992" s="529"/>
      <c r="N992" s="286"/>
      <c r="O992" s="286"/>
      <c r="P992" s="286"/>
      <c r="Q992" s="286"/>
      <c r="R992" s="286"/>
      <c r="S992" s="286"/>
      <c r="T992" s="286"/>
      <c r="U992" s="286"/>
      <c r="V992" s="286"/>
      <c r="W992" s="286"/>
      <c r="X992" s="286"/>
      <c r="Y992" s="286"/>
      <c r="Z992" s="286"/>
      <c r="AA992" s="286"/>
      <c r="AB992" s="286"/>
    </row>
    <row r="993">
      <c r="A993" s="286"/>
      <c r="B993" s="286"/>
      <c r="C993" s="286"/>
      <c r="D993" s="286"/>
      <c r="E993" s="286"/>
      <c r="F993" s="286"/>
      <c r="G993" s="528"/>
      <c r="H993" s="286"/>
      <c r="I993" s="286"/>
      <c r="J993" s="286"/>
      <c r="K993" s="286"/>
      <c r="L993" s="286"/>
      <c r="M993" s="529"/>
      <c r="N993" s="286"/>
      <c r="O993" s="286"/>
      <c r="P993" s="286"/>
      <c r="Q993" s="286"/>
      <c r="R993" s="286"/>
      <c r="S993" s="286"/>
      <c r="T993" s="286"/>
      <c r="U993" s="286"/>
      <c r="V993" s="286"/>
      <c r="W993" s="286"/>
      <c r="X993" s="286"/>
      <c r="Y993" s="286"/>
      <c r="Z993" s="286"/>
      <c r="AA993" s="286"/>
      <c r="AB993" s="286"/>
    </row>
    <row r="994">
      <c r="A994" s="286"/>
      <c r="B994" s="286"/>
      <c r="C994" s="286"/>
      <c r="D994" s="286"/>
      <c r="E994" s="286"/>
      <c r="F994" s="286"/>
      <c r="G994" s="528"/>
      <c r="H994" s="286"/>
      <c r="I994" s="286"/>
      <c r="J994" s="286"/>
      <c r="K994" s="286"/>
      <c r="L994" s="286"/>
      <c r="M994" s="529"/>
      <c r="N994" s="286"/>
      <c r="O994" s="286"/>
      <c r="P994" s="286"/>
      <c r="Q994" s="286"/>
      <c r="R994" s="286"/>
      <c r="S994" s="286"/>
      <c r="T994" s="286"/>
      <c r="U994" s="286"/>
      <c r="V994" s="286"/>
      <c r="W994" s="286"/>
      <c r="X994" s="286"/>
      <c r="Y994" s="286"/>
      <c r="Z994" s="286"/>
      <c r="AA994" s="286"/>
      <c r="AB994" s="286"/>
    </row>
    <row r="995">
      <c r="A995" s="286"/>
      <c r="B995" s="286"/>
      <c r="C995" s="286"/>
      <c r="D995" s="286"/>
      <c r="E995" s="286"/>
      <c r="F995" s="286"/>
      <c r="G995" s="528"/>
      <c r="H995" s="286"/>
      <c r="I995" s="286"/>
      <c r="J995" s="286"/>
      <c r="K995" s="286"/>
      <c r="L995" s="286"/>
      <c r="M995" s="529"/>
      <c r="N995" s="286"/>
      <c r="O995" s="286"/>
      <c r="P995" s="286"/>
      <c r="Q995" s="286"/>
      <c r="R995" s="286"/>
      <c r="S995" s="286"/>
      <c r="T995" s="286"/>
      <c r="U995" s="286"/>
      <c r="V995" s="286"/>
      <c r="W995" s="286"/>
      <c r="X995" s="286"/>
      <c r="Y995" s="286"/>
      <c r="Z995" s="286"/>
      <c r="AA995" s="286"/>
      <c r="AB995" s="286"/>
    </row>
    <row r="996">
      <c r="A996" s="286"/>
      <c r="B996" s="286"/>
      <c r="C996" s="286"/>
      <c r="D996" s="286"/>
      <c r="E996" s="286"/>
      <c r="F996" s="286"/>
      <c r="G996" s="528"/>
      <c r="H996" s="286"/>
      <c r="I996" s="286"/>
      <c r="J996" s="286"/>
      <c r="K996" s="286"/>
      <c r="L996" s="286"/>
      <c r="M996" s="529"/>
      <c r="N996" s="286"/>
      <c r="O996" s="286"/>
      <c r="P996" s="286"/>
      <c r="Q996" s="286"/>
      <c r="R996" s="286"/>
      <c r="S996" s="286"/>
      <c r="T996" s="286"/>
      <c r="U996" s="286"/>
      <c r="V996" s="286"/>
      <c r="W996" s="286"/>
      <c r="X996" s="286"/>
      <c r="Y996" s="286"/>
      <c r="Z996" s="286"/>
      <c r="AA996" s="286"/>
      <c r="AB996" s="286"/>
    </row>
    <row r="997">
      <c r="A997" s="286"/>
      <c r="B997" s="286"/>
      <c r="C997" s="286"/>
      <c r="D997" s="286"/>
      <c r="E997" s="286"/>
      <c r="F997" s="286"/>
      <c r="G997" s="528"/>
      <c r="H997" s="286"/>
      <c r="I997" s="286"/>
      <c r="J997" s="286"/>
      <c r="K997" s="286"/>
      <c r="L997" s="286"/>
      <c r="M997" s="529"/>
      <c r="N997" s="286"/>
      <c r="O997" s="286"/>
      <c r="P997" s="286"/>
      <c r="Q997" s="286"/>
      <c r="R997" s="286"/>
      <c r="S997" s="286"/>
      <c r="T997" s="286"/>
      <c r="U997" s="286"/>
      <c r="V997" s="286"/>
      <c r="W997" s="286"/>
      <c r="X997" s="286"/>
      <c r="Y997" s="286"/>
      <c r="Z997" s="286"/>
      <c r="AA997" s="286"/>
      <c r="AB997" s="286"/>
    </row>
    <row r="998">
      <c r="A998" s="286"/>
      <c r="B998" s="286"/>
      <c r="C998" s="286"/>
      <c r="D998" s="286"/>
      <c r="E998" s="286"/>
      <c r="F998" s="286"/>
      <c r="G998" s="528"/>
      <c r="H998" s="286"/>
      <c r="I998" s="286"/>
      <c r="J998" s="286"/>
      <c r="K998" s="286"/>
      <c r="L998" s="286"/>
      <c r="M998" s="529"/>
      <c r="N998" s="286"/>
      <c r="O998" s="286"/>
      <c r="P998" s="286"/>
      <c r="Q998" s="286"/>
      <c r="R998" s="286"/>
      <c r="S998" s="286"/>
      <c r="T998" s="286"/>
      <c r="U998" s="286"/>
      <c r="V998" s="286"/>
      <c r="W998" s="286"/>
      <c r="X998" s="286"/>
      <c r="Y998" s="286"/>
      <c r="Z998" s="286"/>
      <c r="AA998" s="286"/>
      <c r="AB998" s="286"/>
    </row>
    <row r="999">
      <c r="A999" s="286"/>
      <c r="B999" s="286"/>
      <c r="C999" s="286"/>
      <c r="D999" s="286"/>
      <c r="E999" s="286"/>
      <c r="F999" s="286"/>
      <c r="G999" s="528"/>
      <c r="H999" s="286"/>
      <c r="I999" s="286"/>
      <c r="J999" s="286"/>
      <c r="K999" s="286"/>
      <c r="L999" s="286"/>
      <c r="M999" s="529"/>
      <c r="N999" s="286"/>
      <c r="O999" s="286"/>
      <c r="P999" s="286"/>
      <c r="Q999" s="286"/>
      <c r="R999" s="286"/>
      <c r="S999" s="286"/>
      <c r="T999" s="286"/>
      <c r="U999" s="286"/>
      <c r="V999" s="286"/>
      <c r="W999" s="286"/>
      <c r="X999" s="286"/>
      <c r="Y999" s="286"/>
      <c r="Z999" s="286"/>
      <c r="AA999" s="286"/>
      <c r="AB999" s="286"/>
    </row>
    <row r="1000">
      <c r="A1000" s="286"/>
      <c r="B1000" s="286"/>
      <c r="C1000" s="286"/>
      <c r="D1000" s="286"/>
      <c r="E1000" s="286"/>
      <c r="F1000" s="286"/>
      <c r="G1000" s="528"/>
      <c r="H1000" s="286"/>
      <c r="I1000" s="286"/>
      <c r="J1000" s="286"/>
      <c r="K1000" s="286"/>
      <c r="L1000" s="286"/>
      <c r="M1000" s="529"/>
      <c r="N1000" s="286"/>
      <c r="O1000" s="286"/>
      <c r="P1000" s="286"/>
      <c r="Q1000" s="286"/>
      <c r="R1000" s="286"/>
      <c r="S1000" s="286"/>
      <c r="T1000" s="286"/>
      <c r="U1000" s="286"/>
      <c r="V1000" s="286"/>
      <c r="W1000" s="286"/>
      <c r="X1000" s="286"/>
      <c r="Y1000" s="286"/>
      <c r="Z1000" s="286"/>
      <c r="AA1000" s="286"/>
      <c r="AB1000" s="286"/>
    </row>
  </sheetData>
  <mergeCells count="30">
    <mergeCell ref="F3:F4"/>
    <mergeCell ref="G3:G4"/>
    <mergeCell ref="E6:E7"/>
    <mergeCell ref="F6:F7"/>
    <mergeCell ref="G6:G7"/>
    <mergeCell ref="I3:J3"/>
    <mergeCell ref="K3:L3"/>
    <mergeCell ref="I4:J5"/>
    <mergeCell ref="K4:L5"/>
    <mergeCell ref="I2:L2"/>
    <mergeCell ref="I6:L6"/>
    <mergeCell ref="A1:C1"/>
    <mergeCell ref="E1:G1"/>
    <mergeCell ref="I1:L1"/>
    <mergeCell ref="A2:B2"/>
    <mergeCell ref="A3:B4"/>
    <mergeCell ref="E3:E4"/>
    <mergeCell ref="A5:B6"/>
    <mergeCell ref="K7:L8"/>
    <mergeCell ref="I9:L9"/>
    <mergeCell ref="I10:J11"/>
    <mergeCell ref="K10:L11"/>
    <mergeCell ref="A7:B8"/>
    <mergeCell ref="I7:J8"/>
    <mergeCell ref="E8:G8"/>
    <mergeCell ref="A9:B10"/>
    <mergeCell ref="E9:E10"/>
    <mergeCell ref="F9:F10"/>
    <mergeCell ref="G9:G10"/>
    <mergeCell ref="A11:B12"/>
  </mergeCells>
  <dataValidations>
    <dataValidation type="list" allowBlank="1" showErrorMessage="1" sqref="G17:G121">
      <formula1>"Glowing Face Wash,Acne Face Wash"</formula1>
    </dataValidation>
    <dataValidation type="list" allowBlank="1" showErrorMessage="1" sqref="H17:H118">
      <formula1>"Sampai,Sudah Proses Pengiriman,Kendala [FU!],Done Req Sample"</formula1>
    </dataValidation>
    <dataValidation type="list" allowBlank="1" showErrorMessage="1" sqref="A17">
      <formula1>"NANO"</formula1>
    </dataValidation>
    <dataValidation type="list" allowBlank="1" showErrorMessage="1" sqref="L17:L105 I17:I137">
      <formula1>" Concept 1,Concept 2,Concept 3"</formula1>
    </dataValidation>
    <dataValidation type="list" allowBlank="1" showErrorMessage="1" sqref="A18:A141">
      <formula1>"MEGA,MACRO,MICRO,NANO"</formula1>
    </dataValidation>
  </dataValidations>
  <hyperlinks>
    <hyperlink r:id="rId1" ref="C17"/>
    <hyperlink r:id="rId2" ref="J17"/>
    <hyperlink r:id="rId3" ref="M17"/>
    <hyperlink r:id="rId4" ref="C18"/>
    <hyperlink r:id="rId5" ref="C19"/>
    <hyperlink r:id="rId6" ref="J19"/>
    <hyperlink r:id="rId7" ref="M19"/>
    <hyperlink r:id="rId8" ref="C20"/>
    <hyperlink r:id="rId9" ref="J20"/>
    <hyperlink r:id="rId10" ref="M20"/>
    <hyperlink r:id="rId11" ref="C21"/>
    <hyperlink r:id="rId12" ref="J21"/>
    <hyperlink r:id="rId13" ref="M21"/>
    <hyperlink r:id="rId14" ref="C22"/>
    <hyperlink r:id="rId15" ref="J22"/>
    <hyperlink r:id="rId16" ref="M22"/>
    <hyperlink r:id="rId17" ref="C23"/>
    <hyperlink r:id="rId18" ref="J23"/>
    <hyperlink r:id="rId19" ref="M23"/>
    <hyperlink r:id="rId20" ref="C24"/>
    <hyperlink r:id="rId21" ref="J24"/>
    <hyperlink r:id="rId22" ref="M24"/>
    <hyperlink r:id="rId23" ref="O24"/>
    <hyperlink r:id="rId24" ref="B25"/>
    <hyperlink r:id="rId25" ref="C25"/>
    <hyperlink r:id="rId26" ref="J25"/>
    <hyperlink r:id="rId27" ref="M25"/>
    <hyperlink r:id="rId28" ref="C26"/>
    <hyperlink r:id="rId29" ref="J26"/>
    <hyperlink r:id="rId30" ref="M26"/>
    <hyperlink r:id="rId31" ref="C27"/>
    <hyperlink r:id="rId32" ref="J27"/>
    <hyperlink r:id="rId33" ref="M27"/>
    <hyperlink r:id="rId34" ref="C28"/>
    <hyperlink r:id="rId35" ref="J28"/>
    <hyperlink r:id="rId36" ref="M28"/>
    <hyperlink r:id="rId37" ref="C29"/>
    <hyperlink r:id="rId38" ref="J29"/>
    <hyperlink r:id="rId39" ref="M29"/>
    <hyperlink r:id="rId40" ref="C30"/>
    <hyperlink r:id="rId41" ref="J30"/>
    <hyperlink r:id="rId42" ref="M30"/>
    <hyperlink r:id="rId43" ref="C31"/>
    <hyperlink r:id="rId44" ref="J31"/>
    <hyperlink r:id="rId45" ref="C32"/>
    <hyperlink r:id="rId46" ref="J32"/>
    <hyperlink r:id="rId47" ref="M32"/>
    <hyperlink r:id="rId48" ref="C33"/>
    <hyperlink r:id="rId49" ref="J33"/>
    <hyperlink r:id="rId50" ref="M33"/>
    <hyperlink r:id="rId51" ref="C34"/>
    <hyperlink r:id="rId52" ref="J34"/>
    <hyperlink r:id="rId53" ref="M34"/>
    <hyperlink r:id="rId54" ref="C35"/>
    <hyperlink r:id="rId55" ref="J35"/>
    <hyperlink r:id="rId56" ref="C36"/>
    <hyperlink r:id="rId57" ref="J36"/>
    <hyperlink r:id="rId58" ref="C37"/>
    <hyperlink r:id="rId59" ref="J37"/>
    <hyperlink r:id="rId60" ref="M37"/>
    <hyperlink r:id="rId61" ref="C38"/>
    <hyperlink r:id="rId62" ref="J38"/>
    <hyperlink r:id="rId63" ref="M38"/>
    <hyperlink r:id="rId64" ref="C39"/>
    <hyperlink r:id="rId65" ref="J39"/>
    <hyperlink r:id="rId66" ref="M39"/>
    <hyperlink r:id="rId67" ref="C40"/>
    <hyperlink r:id="rId68" ref="J40"/>
    <hyperlink r:id="rId69" ref="M40"/>
    <hyperlink r:id="rId70" ref="C41"/>
    <hyperlink r:id="rId71" ref="J41"/>
    <hyperlink r:id="rId72" ref="M41"/>
    <hyperlink r:id="rId73" ref="C42"/>
    <hyperlink r:id="rId74" ref="J42"/>
    <hyperlink r:id="rId75" ref="C43"/>
    <hyperlink r:id="rId76" ref="J43"/>
    <hyperlink r:id="rId77" ref="M43"/>
    <hyperlink r:id="rId78" ref="O43"/>
    <hyperlink r:id="rId79" ref="C44"/>
    <hyperlink r:id="rId80" ref="J44"/>
    <hyperlink r:id="rId81" ref="M44"/>
    <hyperlink r:id="rId82" ref="C45"/>
    <hyperlink r:id="rId83" ref="J45"/>
    <hyperlink r:id="rId84" ref="C46"/>
    <hyperlink r:id="rId85" ref="J46"/>
    <hyperlink r:id="rId86" ref="M46"/>
    <hyperlink r:id="rId87" ref="C47"/>
    <hyperlink r:id="rId88" ref="J47"/>
    <hyperlink r:id="rId89" ref="M47"/>
    <hyperlink r:id="rId90" ref="C48"/>
    <hyperlink r:id="rId91" ref="J48"/>
    <hyperlink r:id="rId92" ref="M48"/>
    <hyperlink r:id="rId93" ref="C49"/>
    <hyperlink r:id="rId94" ref="J49"/>
    <hyperlink r:id="rId95" ref="M49"/>
    <hyperlink r:id="rId96" ref="C50"/>
    <hyperlink r:id="rId97" ref="J50"/>
    <hyperlink r:id="rId98" ref="M50"/>
    <hyperlink r:id="rId99" ref="C51"/>
    <hyperlink r:id="rId100" ref="J51"/>
    <hyperlink r:id="rId101" ref="M51"/>
    <hyperlink r:id="rId102" ref="C52"/>
    <hyperlink r:id="rId103" ref="J52"/>
    <hyperlink r:id="rId104" ref="M52"/>
    <hyperlink r:id="rId105" ref="C53"/>
    <hyperlink r:id="rId106" ref="J53"/>
    <hyperlink r:id="rId107" ref="M53"/>
    <hyperlink r:id="rId108" ref="C54"/>
    <hyperlink r:id="rId109" ref="J54"/>
    <hyperlink r:id="rId110" ref="M54"/>
    <hyperlink r:id="rId111" ref="C55"/>
    <hyperlink r:id="rId112" ref="J55"/>
    <hyperlink r:id="rId113" ref="M55"/>
    <hyperlink r:id="rId114" ref="C56"/>
    <hyperlink r:id="rId115" ref="J56"/>
    <hyperlink r:id="rId116" ref="M56"/>
    <hyperlink r:id="rId117" ref="C57"/>
    <hyperlink r:id="rId118" ref="J57"/>
    <hyperlink r:id="rId119" ref="M57"/>
    <hyperlink r:id="rId120" ref="C58"/>
    <hyperlink r:id="rId121" ref="J58"/>
    <hyperlink r:id="rId122" ref="M58"/>
    <hyperlink r:id="rId123" ref="C59"/>
    <hyperlink r:id="rId124" ref="J59"/>
    <hyperlink r:id="rId125" ref="M59"/>
    <hyperlink r:id="rId126" ref="C60"/>
    <hyperlink r:id="rId127" ref="J60"/>
    <hyperlink r:id="rId128" ref="M60"/>
    <hyperlink r:id="rId129" ref="C61"/>
    <hyperlink r:id="rId130" ref="J61"/>
    <hyperlink r:id="rId131" ref="M61"/>
    <hyperlink r:id="rId132" ref="C62"/>
    <hyperlink r:id="rId133" ref="C63"/>
    <hyperlink r:id="rId134" ref="J63"/>
    <hyperlink r:id="rId135" ref="M63"/>
    <hyperlink r:id="rId136" ref="O63"/>
    <hyperlink r:id="rId137" ref="C64"/>
    <hyperlink r:id="rId138" ref="J64"/>
    <hyperlink r:id="rId139" ref="M64"/>
    <hyperlink r:id="rId140" ref="C65"/>
    <hyperlink r:id="rId141" ref="C66"/>
    <hyperlink r:id="rId142" ref="J66"/>
    <hyperlink r:id="rId143" ref="M66"/>
    <hyperlink r:id="rId144" ref="C67"/>
    <hyperlink r:id="rId145" ref="J67"/>
    <hyperlink r:id="rId146" ref="M67"/>
    <hyperlink r:id="rId147" ref="C68"/>
    <hyperlink r:id="rId148" ref="J68"/>
    <hyperlink r:id="rId149" ref="M68"/>
    <hyperlink r:id="rId150" ref="C69"/>
    <hyperlink r:id="rId151" ref="J69"/>
    <hyperlink r:id="rId152" ref="M69"/>
    <hyperlink r:id="rId153" ref="C70"/>
    <hyperlink r:id="rId154" ref="J70"/>
    <hyperlink r:id="rId155" ref="M70"/>
    <hyperlink r:id="rId156" ref="C71"/>
    <hyperlink r:id="rId157" ref="J71"/>
    <hyperlink r:id="rId158" ref="M71"/>
    <hyperlink r:id="rId159" ref="C72"/>
    <hyperlink r:id="rId160" ref="J72"/>
    <hyperlink r:id="rId161" ref="M72"/>
    <hyperlink r:id="rId162" ref="C73"/>
    <hyperlink r:id="rId163" ref="J73"/>
    <hyperlink r:id="rId164" ref="M73"/>
    <hyperlink r:id="rId165" ref="C74"/>
    <hyperlink r:id="rId166" ref="J74"/>
    <hyperlink r:id="rId167" ref="M74"/>
    <hyperlink r:id="rId168" ref="C75"/>
    <hyperlink r:id="rId169" ref="J75"/>
    <hyperlink r:id="rId170" ref="M75"/>
    <hyperlink r:id="rId171" ref="C76"/>
    <hyperlink r:id="rId172" ref="J76"/>
    <hyperlink r:id="rId173" ref="M76"/>
    <hyperlink r:id="rId174" ref="C77"/>
    <hyperlink r:id="rId175" ref="J77"/>
    <hyperlink r:id="rId176" ref="M77"/>
    <hyperlink r:id="rId177" ref="C78"/>
    <hyperlink r:id="rId178" ref="J78"/>
    <hyperlink r:id="rId179" ref="M78"/>
    <hyperlink r:id="rId180" ref="C79"/>
    <hyperlink r:id="rId181" ref="J79"/>
    <hyperlink r:id="rId182" ref="M79"/>
    <hyperlink r:id="rId183" ref="C80"/>
    <hyperlink r:id="rId184" ref="J80"/>
    <hyperlink r:id="rId185" ref="M80"/>
    <hyperlink r:id="rId186" ref="C81"/>
    <hyperlink r:id="rId187" ref="J81"/>
    <hyperlink r:id="rId188" ref="M81"/>
    <hyperlink r:id="rId189" ref="C82"/>
    <hyperlink r:id="rId190" ref="J82"/>
    <hyperlink r:id="rId191" ref="M82"/>
    <hyperlink r:id="rId192" ref="C83"/>
    <hyperlink r:id="rId193" ref="J83"/>
    <hyperlink r:id="rId194" ref="M83"/>
    <hyperlink r:id="rId195" ref="C84"/>
    <hyperlink r:id="rId196" ref="C85"/>
    <hyperlink r:id="rId197" ref="J85"/>
    <hyperlink r:id="rId198" ref="M85"/>
    <hyperlink r:id="rId199" ref="C86"/>
    <hyperlink r:id="rId200" ref="J86"/>
    <hyperlink r:id="rId201" ref="M86"/>
    <hyperlink r:id="rId202" ref="C87"/>
    <hyperlink r:id="rId203" ref="J87"/>
    <hyperlink r:id="rId204" ref="M87"/>
    <hyperlink r:id="rId205" ref="C88"/>
    <hyperlink r:id="rId206" ref="J88"/>
    <hyperlink r:id="rId207" ref="M88"/>
    <hyperlink r:id="rId208" ref="C89"/>
    <hyperlink r:id="rId209" ref="J89"/>
    <hyperlink r:id="rId210" ref="C90"/>
    <hyperlink r:id="rId211" ref="J90"/>
    <hyperlink r:id="rId212" ref="M90"/>
    <hyperlink r:id="rId213" ref="C91"/>
    <hyperlink r:id="rId214" ref="C92"/>
    <hyperlink r:id="rId215" ref="C93"/>
    <hyperlink r:id="rId216" ref="C94"/>
    <hyperlink r:id="rId217" ref="J94"/>
    <hyperlink r:id="rId218" ref="C95"/>
    <hyperlink r:id="rId219" ref="J95"/>
    <hyperlink r:id="rId220" ref="C96"/>
    <hyperlink r:id="rId221" ref="C97"/>
    <hyperlink r:id="rId222" ref="J97"/>
    <hyperlink r:id="rId223" ref="C98"/>
    <hyperlink r:id="rId224" ref="J98"/>
    <hyperlink r:id="rId225" ref="M98"/>
    <hyperlink r:id="rId226" ref="C99"/>
    <hyperlink r:id="rId227" ref="J99"/>
    <hyperlink r:id="rId228" ref="M99"/>
    <hyperlink r:id="rId229" ref="C100"/>
    <hyperlink r:id="rId230" ref="C101"/>
    <hyperlink r:id="rId231" ref="C102"/>
    <hyperlink r:id="rId232" ref="J102"/>
    <hyperlink r:id="rId233" ref="C103"/>
    <hyperlink r:id="rId234" ref="C104"/>
    <hyperlink r:id="rId235" ref="C105"/>
    <hyperlink r:id="rId236" ref="C106"/>
    <hyperlink r:id="rId237" ref="C107"/>
    <hyperlink r:id="rId238" ref="J107"/>
    <hyperlink r:id="rId239" ref="M107"/>
    <hyperlink r:id="rId240" ref="C108"/>
    <hyperlink r:id="rId241" ref="C109"/>
    <hyperlink r:id="rId242" ref="C110"/>
    <hyperlink r:id="rId243" ref="B111"/>
    <hyperlink r:id="rId244" ref="C111"/>
    <hyperlink r:id="rId245" ref="C112"/>
    <hyperlink r:id="rId246" ref="C113"/>
    <hyperlink r:id="rId247" ref="C114"/>
    <hyperlink r:id="rId248" ref="C115"/>
  </hyperlinks>
  <drawing r:id="rId24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2" max="2" width="13.75"/>
    <col customWidth="1" min="3" max="3" width="17.5"/>
    <col customWidth="1" min="6" max="6" width="12.25"/>
    <col customWidth="1" min="10" max="10" width="16.63"/>
    <col customWidth="1" min="13" max="13" width="15.5"/>
  </cols>
  <sheetData>
    <row r="1">
      <c r="A1" s="509" t="s">
        <v>455</v>
      </c>
      <c r="B1" s="214"/>
      <c r="C1" s="214"/>
      <c r="D1" s="285"/>
      <c r="E1" s="284" t="s">
        <v>328</v>
      </c>
      <c r="F1" s="214"/>
      <c r="G1" s="216"/>
      <c r="H1" s="286"/>
      <c r="I1" s="287" t="s">
        <v>456</v>
      </c>
      <c r="J1" s="214"/>
      <c r="K1" s="214"/>
      <c r="L1" s="214"/>
      <c r="M1" s="510"/>
      <c r="N1" s="511"/>
      <c r="O1" s="511"/>
      <c r="P1" s="511"/>
      <c r="Q1" s="511"/>
      <c r="R1" s="286"/>
      <c r="S1" s="286"/>
      <c r="T1" s="286"/>
      <c r="U1" s="286"/>
      <c r="V1" s="286"/>
      <c r="W1" s="286"/>
    </row>
    <row r="2">
      <c r="A2" s="512" t="s">
        <v>457</v>
      </c>
      <c r="B2" s="220"/>
      <c r="C2" s="513" t="s">
        <v>455</v>
      </c>
      <c r="D2" s="285"/>
      <c r="E2" s="289" t="s">
        <v>374</v>
      </c>
      <c r="F2" s="290" t="s">
        <v>375</v>
      </c>
      <c r="G2" s="291" t="s">
        <v>479</v>
      </c>
      <c r="H2" s="286"/>
      <c r="I2" s="292" t="s">
        <v>458</v>
      </c>
      <c r="J2" s="214"/>
      <c r="K2" s="214"/>
      <c r="L2" s="214"/>
      <c r="M2" s="514"/>
      <c r="N2" s="243"/>
      <c r="O2" s="243"/>
      <c r="P2" s="243"/>
      <c r="Q2" s="243"/>
      <c r="R2" s="286"/>
      <c r="S2" s="286"/>
      <c r="T2" s="286"/>
      <c r="U2" s="286"/>
      <c r="V2" s="286"/>
      <c r="W2" s="286"/>
    </row>
    <row r="3">
      <c r="A3" s="515">
        <v>1.0</v>
      </c>
      <c r="B3" s="224"/>
      <c r="C3" s="516">
        <v>1.0</v>
      </c>
      <c r="D3" s="285"/>
      <c r="E3" s="517">
        <v>70.0</v>
      </c>
      <c r="F3" s="517">
        <v>140.0</v>
      </c>
      <c r="G3" s="518"/>
      <c r="H3" s="286"/>
      <c r="I3" s="295" t="s">
        <v>459</v>
      </c>
      <c r="J3" s="216"/>
      <c r="K3" s="296" t="s">
        <v>460</v>
      </c>
      <c r="L3" s="214"/>
      <c r="M3" s="519"/>
      <c r="N3" s="520"/>
      <c r="O3" s="520"/>
      <c r="P3" s="520"/>
      <c r="Q3" s="520"/>
      <c r="R3" s="286"/>
      <c r="S3" s="286"/>
      <c r="T3" s="286"/>
      <c r="U3" s="286"/>
      <c r="V3" s="286"/>
      <c r="W3" s="286"/>
    </row>
    <row r="4">
      <c r="A4" s="231"/>
      <c r="B4" s="220"/>
      <c r="C4" s="516">
        <v>2.0</v>
      </c>
      <c r="D4" s="285"/>
      <c r="E4" s="297"/>
      <c r="F4" s="297"/>
      <c r="G4" s="297"/>
      <c r="H4" s="286"/>
      <c r="I4" s="298">
        <f>IFERROR(__xludf.DUMMYFUNCTION("IMPORTRANGE(""https://docs.google.com/spreadsheets/d/1XGHyffJQ7KjI292zt5QVK_1XTfEMh_HDpl_2BHAzd4c/edit?gid=1335890585#gid=1335890585"",""SKINMOLOGY!H16"")        "),5000000.0)</f>
        <v>5000000</v>
      </c>
      <c r="J4" s="228"/>
      <c r="K4" s="298">
        <f>IFERROR(__xludf.DUMMYFUNCTION("IMPORTRANGE(""https://docs.google.com/spreadsheets/d/1XGHyffJQ7KjI292zt5QVK_1XTfEMh_HDpl_2BHAzd4c/edit?gid=1335890585#gid=1335890585"",""KIMME!H21"")        "),0.0)</f>
        <v>0</v>
      </c>
      <c r="L4" s="228"/>
      <c r="M4" s="521"/>
      <c r="N4" s="522"/>
      <c r="O4" s="522"/>
      <c r="P4" s="522"/>
      <c r="Q4" s="522"/>
      <c r="R4" s="286"/>
      <c r="S4" s="286"/>
      <c r="T4" s="286"/>
      <c r="U4" s="286"/>
      <c r="V4" s="286"/>
      <c r="W4" s="286"/>
    </row>
    <row r="5">
      <c r="A5" s="523">
        <v>2.0</v>
      </c>
      <c r="B5" s="224"/>
      <c r="C5" s="516">
        <v>1.0</v>
      </c>
      <c r="D5" s="285"/>
      <c r="E5" s="300" t="s">
        <v>481</v>
      </c>
      <c r="F5" s="300" t="s">
        <v>409</v>
      </c>
      <c r="G5" s="300" t="s">
        <v>482</v>
      </c>
      <c r="H5" s="286"/>
      <c r="I5" s="232"/>
      <c r="J5" s="234"/>
      <c r="K5" s="232"/>
      <c r="L5" s="234"/>
      <c r="M5" s="521"/>
      <c r="N5" s="522"/>
      <c r="O5" s="522"/>
      <c r="P5" s="522"/>
      <c r="Q5" s="522"/>
      <c r="R5" s="286"/>
      <c r="S5" s="286"/>
      <c r="T5" s="286"/>
      <c r="U5" s="286"/>
      <c r="V5" s="286"/>
      <c r="W5" s="286"/>
    </row>
    <row r="6">
      <c r="A6" s="231"/>
      <c r="B6" s="220"/>
      <c r="C6" s="516">
        <v>2.0</v>
      </c>
      <c r="D6" s="285"/>
      <c r="E6" s="301">
        <f>COUNTA(B17:B987)</f>
        <v>70</v>
      </c>
      <c r="F6" s="301">
        <f>COUNTA(J17:J987,M17:M987,O17:O987,Q17:Q987)</f>
        <v>147</v>
      </c>
      <c r="G6" s="524"/>
      <c r="H6" s="286"/>
      <c r="I6" s="302" t="s">
        <v>462</v>
      </c>
      <c r="J6" s="214"/>
      <c r="K6" s="214"/>
      <c r="L6" s="214"/>
      <c r="M6" s="525"/>
      <c r="N6" s="526"/>
      <c r="O6" s="526"/>
      <c r="P6" s="526"/>
      <c r="Q6" s="526"/>
      <c r="R6" s="286"/>
      <c r="S6" s="286"/>
      <c r="T6" s="286"/>
      <c r="U6" s="286"/>
      <c r="V6" s="286"/>
      <c r="W6" s="286"/>
    </row>
    <row r="7">
      <c r="A7" s="523">
        <v>3.0</v>
      </c>
      <c r="B7" s="224"/>
      <c r="C7" s="516">
        <v>1.0</v>
      </c>
      <c r="D7" s="285"/>
      <c r="E7" s="297"/>
      <c r="F7" s="297"/>
      <c r="G7" s="297"/>
      <c r="H7" s="286"/>
      <c r="I7" s="298">
        <f>IFERROR(__xludf.DUMMYFUNCTION("IMPORTRANGE(""https://docs.google.com/spreadsheets/d/1XGHyffJQ7KjI292zt5QVK_1XTfEMh_HDpl_2BHAzd4c/edit?gid=1335890585#gid=1335890585"",""SKINMOLOGY!H2"")        "),3802500.0)</f>
        <v>3802500</v>
      </c>
      <c r="J7" s="228"/>
      <c r="K7" s="527">
        <v>0.0</v>
      </c>
      <c r="L7" s="228"/>
      <c r="M7" s="521"/>
      <c r="N7" s="522"/>
      <c r="O7" s="522"/>
      <c r="P7" s="522"/>
      <c r="Q7" s="522"/>
      <c r="R7" s="286"/>
      <c r="S7" s="286"/>
      <c r="T7" s="286"/>
      <c r="U7" s="286"/>
      <c r="V7" s="286"/>
      <c r="W7" s="286"/>
    </row>
    <row r="8">
      <c r="A8" s="231"/>
      <c r="B8" s="220"/>
      <c r="C8" s="516">
        <v>2.0</v>
      </c>
      <c r="D8" s="285"/>
      <c r="E8" s="303" t="s">
        <v>329</v>
      </c>
      <c r="F8" s="233"/>
      <c r="G8" s="234"/>
      <c r="H8" s="286"/>
      <c r="I8" s="232"/>
      <c r="J8" s="234"/>
      <c r="K8" s="232"/>
      <c r="L8" s="234"/>
      <c r="M8" s="521"/>
      <c r="N8" s="522"/>
      <c r="O8" s="522"/>
      <c r="P8" s="522"/>
      <c r="Q8" s="522"/>
      <c r="R8" s="286"/>
      <c r="S8" s="286"/>
      <c r="T8" s="286"/>
      <c r="U8" s="286"/>
      <c r="V8" s="286"/>
      <c r="W8" s="286"/>
    </row>
    <row r="9">
      <c r="A9" s="523">
        <v>4.0</v>
      </c>
      <c r="B9" s="224"/>
      <c r="C9" s="516">
        <v>1.0</v>
      </c>
      <c r="D9" s="285"/>
      <c r="E9" s="304">
        <f t="shared" ref="E9:F9" si="1">E6/E3</f>
        <v>1</v>
      </c>
      <c r="F9" s="304">
        <f t="shared" si="1"/>
        <v>1.05</v>
      </c>
      <c r="G9" s="304"/>
      <c r="H9" s="286"/>
      <c r="I9" s="292" t="s">
        <v>463</v>
      </c>
      <c r="J9" s="214"/>
      <c r="K9" s="214"/>
      <c r="L9" s="214"/>
      <c r="M9" s="514"/>
      <c r="N9" s="243"/>
      <c r="O9" s="243"/>
      <c r="P9" s="243"/>
      <c r="Q9" s="243"/>
      <c r="R9" s="286"/>
      <c r="S9" s="286"/>
      <c r="T9" s="286"/>
      <c r="U9" s="286"/>
      <c r="V9" s="286"/>
      <c r="W9" s="286"/>
    </row>
    <row r="10">
      <c r="A10" s="231"/>
      <c r="B10" s="220"/>
      <c r="C10" s="516">
        <v>2.0</v>
      </c>
      <c r="D10" s="285"/>
      <c r="E10" s="297"/>
      <c r="F10" s="297"/>
      <c r="G10" s="297"/>
      <c r="H10" s="286"/>
      <c r="I10" s="298">
        <f>I4-I7</f>
        <v>1197500</v>
      </c>
      <c r="J10" s="228"/>
      <c r="K10" s="299">
        <f>K4-K7</f>
        <v>0</v>
      </c>
      <c r="L10" s="228"/>
      <c r="M10" s="521"/>
      <c r="N10" s="522"/>
      <c r="O10" s="522"/>
      <c r="P10" s="522"/>
      <c r="Q10" s="522"/>
      <c r="R10" s="286"/>
      <c r="S10" s="286"/>
      <c r="T10" s="286"/>
      <c r="U10" s="286"/>
      <c r="V10" s="286"/>
      <c r="W10" s="286"/>
    </row>
    <row r="11">
      <c r="A11" s="523">
        <v>5.0</v>
      </c>
      <c r="B11" s="224"/>
      <c r="C11" s="516">
        <v>1.0</v>
      </c>
      <c r="D11" s="285"/>
      <c r="E11" s="285"/>
      <c r="F11" s="306"/>
      <c r="G11" s="286"/>
      <c r="H11" s="286"/>
      <c r="I11" s="232"/>
      <c r="J11" s="234"/>
      <c r="K11" s="232"/>
      <c r="L11" s="234"/>
      <c r="M11" s="529"/>
      <c r="N11" s="522"/>
      <c r="O11" s="522"/>
      <c r="P11" s="522"/>
      <c r="Q11" s="522"/>
      <c r="R11" s="286"/>
      <c r="S11" s="286"/>
      <c r="T11" s="286"/>
      <c r="U11" s="286"/>
      <c r="V11" s="286"/>
      <c r="W11" s="286"/>
    </row>
    <row r="12">
      <c r="A12" s="231"/>
      <c r="B12" s="220"/>
      <c r="C12" s="516">
        <v>2.0</v>
      </c>
      <c r="D12" s="285"/>
      <c r="E12" s="285"/>
      <c r="F12" s="306"/>
      <c r="G12" s="286"/>
      <c r="H12" s="286"/>
      <c r="I12" s="286"/>
      <c r="J12" s="305"/>
      <c r="K12" s="285"/>
      <c r="L12" s="285"/>
      <c r="M12" s="305"/>
      <c r="N12" s="243"/>
      <c r="O12" s="243"/>
      <c r="P12" s="243"/>
      <c r="Q12" s="243"/>
      <c r="R12" s="286"/>
      <c r="S12" s="286"/>
      <c r="T12" s="286"/>
      <c r="U12" s="286"/>
      <c r="V12" s="286"/>
      <c r="W12" s="286"/>
    </row>
    <row r="13">
      <c r="A13" s="285"/>
      <c r="B13" s="285"/>
      <c r="C13" s="305"/>
      <c r="D13" s="285"/>
      <c r="E13" s="285"/>
      <c r="F13" s="306"/>
      <c r="G13" s="286"/>
      <c r="H13" s="286"/>
      <c r="I13" s="286"/>
      <c r="J13" s="305"/>
      <c r="K13" s="285"/>
      <c r="L13" s="285"/>
      <c r="M13" s="305"/>
      <c r="N13" s="243"/>
      <c r="O13" s="243"/>
      <c r="P13" s="243"/>
      <c r="Q13" s="243"/>
      <c r="R13" s="286"/>
      <c r="S13" s="286"/>
      <c r="T13" s="286"/>
      <c r="U13" s="286"/>
      <c r="V13" s="286"/>
      <c r="W13" s="286"/>
    </row>
    <row r="14">
      <c r="A14" s="245"/>
      <c r="B14" s="245"/>
      <c r="C14" s="529"/>
      <c r="D14" s="306"/>
      <c r="E14" s="306"/>
      <c r="F14" s="306"/>
      <c r="G14" s="286"/>
      <c r="H14" s="286"/>
      <c r="I14" s="286"/>
      <c r="J14" s="529"/>
      <c r="K14" s="286"/>
      <c r="L14" s="243"/>
      <c r="M14" s="243"/>
      <c r="N14" s="243"/>
      <c r="O14" s="243"/>
      <c r="P14" s="243"/>
      <c r="Q14" s="243"/>
      <c r="R14" s="286"/>
      <c r="S14" s="286"/>
      <c r="T14" s="286"/>
      <c r="U14" s="286"/>
      <c r="V14" s="286"/>
      <c r="W14" s="286"/>
    </row>
    <row r="15">
      <c r="A15" s="530"/>
      <c r="B15" s="530"/>
      <c r="C15" s="531"/>
      <c r="D15" s="532"/>
      <c r="E15" s="532"/>
      <c r="F15" s="532"/>
      <c r="G15" s="530"/>
      <c r="H15" s="530"/>
      <c r="I15" s="530"/>
      <c r="J15" s="531"/>
      <c r="K15" s="530"/>
      <c r="L15" s="530"/>
      <c r="M15" s="531"/>
      <c r="N15" s="531"/>
      <c r="O15" s="531"/>
      <c r="P15" s="531"/>
      <c r="Q15" s="531"/>
      <c r="R15" s="530"/>
      <c r="S15" s="286"/>
      <c r="T15" s="286"/>
      <c r="U15" s="286"/>
      <c r="V15" s="286"/>
      <c r="W15" s="286"/>
    </row>
    <row r="16">
      <c r="A16" s="345" t="s">
        <v>466</v>
      </c>
      <c r="B16" s="250" t="s">
        <v>467</v>
      </c>
      <c r="C16" s="346" t="s">
        <v>468</v>
      </c>
      <c r="D16" s="347" t="s">
        <v>469</v>
      </c>
      <c r="E16" s="348" t="s">
        <v>470</v>
      </c>
      <c r="F16" s="346" t="s">
        <v>471</v>
      </c>
      <c r="G16" s="350" t="s">
        <v>457</v>
      </c>
      <c r="H16" s="351" t="s">
        <v>472</v>
      </c>
      <c r="I16" s="352" t="s">
        <v>455</v>
      </c>
      <c r="J16" s="352" t="s">
        <v>473</v>
      </c>
      <c r="K16" s="534" t="s">
        <v>519</v>
      </c>
      <c r="L16" s="352" t="s">
        <v>455</v>
      </c>
      <c r="M16" s="346" t="s">
        <v>474</v>
      </c>
      <c r="N16" s="534" t="s">
        <v>519</v>
      </c>
      <c r="O16" s="534" t="s">
        <v>520</v>
      </c>
      <c r="P16" s="534" t="s">
        <v>519</v>
      </c>
      <c r="Q16" s="534" t="s">
        <v>521</v>
      </c>
      <c r="R16" s="349" t="s">
        <v>483</v>
      </c>
      <c r="S16" s="286"/>
      <c r="T16" s="286"/>
      <c r="U16" s="286"/>
      <c r="V16" s="286"/>
      <c r="W16" s="286"/>
    </row>
    <row r="17">
      <c r="A17" s="318" t="str">
        <f>IFERROR(__xludf.DUMMYFUNCTION("QUERY(IMPORTRANGE(""https://docs.google.com/spreadsheets/d/10wdjc5GKQIqHka9D7QGq1b4WkRuVqG0ylA8lw57ns-I/edit?usp=sharing"", ""SKINMOLOGY!A3:Y200""), ""SELECT Col1, Col2, Col3, Col4, Col5, Col6, Col11, Col16, Col17, Col18, Col19, Col20, Col21, Col22, Col23"&amp;", Col24, Col25 WHERE Col12 = 'Approved'"")"),"NANO")</f>
        <v>NANO</v>
      </c>
      <c r="B17" s="318" t="str">
        <f>IFERROR(__xludf.DUMMYFUNCTION("""COMPUTED_VALUE"""),"_ikaawdwnty")</f>
        <v>_ikaawdwnty</v>
      </c>
      <c r="C17" s="535" t="str">
        <f>IFERROR(__xludf.DUMMYFUNCTION("""COMPUTED_VALUE"""),"https://www.tiktok.com/@_ikaawdwnty")</f>
        <v>https://www.tiktok.com/@_ikaawdwnty</v>
      </c>
      <c r="D17" s="536">
        <f>IFERROR(__xludf.DUMMYFUNCTION("""COMPUTED_VALUE"""),8.5727795289E10)</f>
        <v>85727795289</v>
      </c>
      <c r="E17" s="537">
        <f>IFERROR(__xludf.DUMMYFUNCTION("""COMPUTED_VALUE"""),0.0)</f>
        <v>0</v>
      </c>
      <c r="F17" s="311">
        <f>IFERROR(__xludf.DUMMYFUNCTION("""COMPUTED_VALUE"""),2.0)</f>
        <v>2</v>
      </c>
      <c r="G17" s="551" t="str">
        <f>IFERROR(__xludf.DUMMYFUNCTION("""COMPUTED_VALUE"""),"PR Package")</f>
        <v>PR Package</v>
      </c>
      <c r="H17" s="463" t="str">
        <f>IFERROR(__xludf.DUMMYFUNCTION("""COMPUTED_VALUE"""),"Sampai")</f>
        <v>Sampai</v>
      </c>
      <c r="I17" s="546" t="str">
        <f>IFERROR(__xludf.DUMMYFUNCTION("""COMPUTED_VALUE""")," Concept 1")</f>
        <v> Concept 1</v>
      </c>
      <c r="J17" s="540" t="str">
        <f>IFERROR(__xludf.DUMMYFUNCTION("""COMPUTED_VALUE"""),"https://vt.tiktok.com/ZSmf7CG6q/")</f>
        <v>https://vt.tiktok.com/ZSmf7CG6q/</v>
      </c>
      <c r="K17" s="312" t="str">
        <f>IFERROR(__xludf.DUMMYFUNCTION("""COMPUTED_VALUE"""),"#/fdXP/+iFJJg4XnUZS0R3FVMCAdgVZhrpyezQSQxUyVT38cW3NK6S7FD4PTVCUM=")</f>
        <v>#/fdXP/+iFJJg4XnUZS0R3FVMCAdgVZhrpyezQSQxUyVT38cW3NK6S7FD4PTVCUM=</v>
      </c>
      <c r="L17" s="546" t="str">
        <f>IFERROR(__xludf.DUMMYFUNCTION("""COMPUTED_VALUE""")," Concept 1")</f>
        <v> Concept 1</v>
      </c>
      <c r="M17" s="540" t="str">
        <f>IFERROR(__xludf.DUMMYFUNCTION("""COMPUTED_VALUE"""),"https://vt.tiktok.com/ZSmGaGoTt/")</f>
        <v>https://vt.tiktok.com/ZSmGaGoTt/</v>
      </c>
      <c r="N17" s="541" t="str">
        <f>IFERROR(__xludf.DUMMYFUNCTION("""COMPUTED_VALUE"""),"#XsFnNfujxnTtV5Cjrf5xM807QlQG+cDUcklbcUsWDK26YE/z+a7N5IbmBTtczLI=")</f>
        <v>#XsFnNfujxnTtV5Cjrf5xM807QlQG+cDUcklbcUsWDK26YE/z+a7N5IbmBTtczLI=</v>
      </c>
      <c r="O17" s="541"/>
      <c r="P17" s="541"/>
      <c r="Q17" s="541"/>
      <c r="R17" s="312"/>
      <c r="S17" s="286"/>
      <c r="T17" s="286"/>
      <c r="U17" s="286"/>
      <c r="V17" s="286"/>
      <c r="W17" s="286"/>
    </row>
    <row r="18">
      <c r="A18" s="307" t="str">
        <f>IFERROR(__xludf.DUMMYFUNCTION("""COMPUTED_VALUE"""),"NANO")</f>
        <v>NANO</v>
      </c>
      <c r="B18" s="318" t="str">
        <f>IFERROR(__xludf.DUMMYFUNCTION("""COMPUTED_VALUE"""),"justnedder")</f>
        <v>justnedder</v>
      </c>
      <c r="C18" s="535" t="str">
        <f>IFERROR(__xludf.DUMMYFUNCTION("""COMPUTED_VALUE"""),"https://www.tiktok.com/@justnedder")</f>
        <v>https://www.tiktok.com/@justnedder</v>
      </c>
      <c r="D18" s="536">
        <f>IFERROR(__xludf.DUMMYFUNCTION("""COMPUTED_VALUE"""),8.2363336649E10)</f>
        <v>82363336649</v>
      </c>
      <c r="E18" s="537">
        <f>IFERROR(__xludf.DUMMYFUNCTION("""COMPUTED_VALUE"""),0.0)</f>
        <v>0</v>
      </c>
      <c r="F18" s="311">
        <f>IFERROR(__xludf.DUMMYFUNCTION("""COMPUTED_VALUE"""),2.0)</f>
        <v>2</v>
      </c>
      <c r="G18" s="551" t="str">
        <f>IFERROR(__xludf.DUMMYFUNCTION("""COMPUTED_VALUE"""),"PR Package")</f>
        <v>PR Package</v>
      </c>
      <c r="H18" s="463" t="str">
        <f>IFERROR(__xludf.DUMMYFUNCTION("""COMPUTED_VALUE"""),"Sampai")</f>
        <v>Sampai</v>
      </c>
      <c r="I18" s="546" t="str">
        <f>IFERROR(__xludf.DUMMYFUNCTION("""COMPUTED_VALUE""")," Concept 1")</f>
        <v> Concept 1</v>
      </c>
      <c r="J18" s="540" t="str">
        <f>IFERROR(__xludf.DUMMYFUNCTION("""COMPUTED_VALUE"""),"https://vt.tiktok.com/ZSHpmmuUe/ ")</f>
        <v>https://vt.tiktok.com/ZSHpmmuUe/ </v>
      </c>
      <c r="K18" s="312" t="str">
        <f>IFERROR(__xludf.DUMMYFUNCTION("""COMPUTED_VALUE"""),"#Ws+aHdf0cA9/uCffCJKzitjdkXg4fF8p9jBlc520FA4n1HE05oK++P3/nYDjW6A=")</f>
        <v>#Ws+aHdf0cA9/uCffCJKzitjdkXg4fF8p9jBlc520FA4n1HE05oK++P3/nYDjW6A=</v>
      </c>
      <c r="L18" s="546" t="str">
        <f>IFERROR(__xludf.DUMMYFUNCTION("""COMPUTED_VALUE"""),"Concept 2")</f>
        <v>Concept 2</v>
      </c>
      <c r="M18" s="540" t="str">
        <f>IFERROR(__xludf.DUMMYFUNCTION("""COMPUTED_VALUE"""),"https://vt.tiktok.com/ZSmEccNGL/")</f>
        <v>https://vt.tiktok.com/ZSmEccNGL/</v>
      </c>
      <c r="N18" s="541" t="str">
        <f>IFERROR(__xludf.DUMMYFUNCTION("""COMPUTED_VALUE"""),"#U0R6V/ZpvbD8GAqjJVZpnRTyjCCw6A+sOTBjv1vW3DOAfbL2RRNnR9fRRRUA698=")</f>
        <v>#U0R6V/ZpvbD8GAqjJVZpnRTyjCCw6A+sOTBjv1vW3DOAfbL2RRNnR9fRRRUA698=</v>
      </c>
      <c r="O18" s="541"/>
      <c r="P18" s="541"/>
      <c r="Q18" s="541"/>
      <c r="R18" s="312"/>
      <c r="S18" s="286"/>
      <c r="T18" s="286"/>
      <c r="U18" s="286"/>
      <c r="V18" s="286"/>
      <c r="W18" s="286"/>
    </row>
    <row r="19">
      <c r="A19" s="307" t="str">
        <f>IFERROR(__xludf.DUMMYFUNCTION("""COMPUTED_VALUE"""),"NANO")</f>
        <v>NANO</v>
      </c>
      <c r="B19" s="318" t="str">
        <f>IFERROR(__xludf.DUMMYFUNCTION("""COMPUTED_VALUE"""),"medumee")</f>
        <v>medumee</v>
      </c>
      <c r="C19" s="535" t="str">
        <f>IFERROR(__xludf.DUMMYFUNCTION("""COMPUTED_VALUE"""),"https://www.tiktok.com/@medumee")</f>
        <v>https://www.tiktok.com/@medumee</v>
      </c>
      <c r="D19" s="536">
        <f>IFERROR(__xludf.DUMMYFUNCTION("""COMPUTED_VALUE"""),8.58263931E10)</f>
        <v>85826393100</v>
      </c>
      <c r="E19" s="537">
        <f>IFERROR(__xludf.DUMMYFUNCTION("""COMPUTED_VALUE"""),0.0)</f>
        <v>0</v>
      </c>
      <c r="F19" s="311">
        <f>IFERROR(__xludf.DUMMYFUNCTION("""COMPUTED_VALUE"""),2.0)</f>
        <v>2</v>
      </c>
      <c r="G19" s="551" t="str">
        <f>IFERROR(__xludf.DUMMYFUNCTION("""COMPUTED_VALUE"""),"PR Package")</f>
        <v>PR Package</v>
      </c>
      <c r="H19" s="463" t="str">
        <f>IFERROR(__xludf.DUMMYFUNCTION("""COMPUTED_VALUE"""),"Sampai")</f>
        <v>Sampai</v>
      </c>
      <c r="I19" s="546" t="str">
        <f>IFERROR(__xludf.DUMMYFUNCTION("""COMPUTED_VALUE"""),"Concept 2")</f>
        <v>Concept 2</v>
      </c>
      <c r="J19" s="540" t="str">
        <f>IFERROR(__xludf.DUMMYFUNCTION("""COMPUTED_VALUE"""),"https://vt.tiktok.com/ZSmGrXdTv/")</f>
        <v>https://vt.tiktok.com/ZSmGrXdTv/</v>
      </c>
      <c r="K19" s="312" t="str">
        <f>IFERROR(__xludf.DUMMYFUNCTION("""COMPUTED_VALUE"""),"#ZR1+m7ZHLJi+EnvY1smsGZ3OpMvbOl5qoh+hIG3fdEp89xhLX4SiGxF9wQ2bgYw=")</f>
        <v>#ZR1+m7ZHLJi+EnvY1smsGZ3OpMvbOl5qoh+hIG3fdEp89xhLX4SiGxF9wQ2bgYw=</v>
      </c>
      <c r="L19" s="546" t="str">
        <f>IFERROR(__xludf.DUMMYFUNCTION("""COMPUTED_VALUE"""),"Concept 2")</f>
        <v>Concept 2</v>
      </c>
      <c r="M19" s="540" t="str">
        <f>IFERROR(__xludf.DUMMYFUNCTION("""COMPUTED_VALUE"""),"https://vt.tiktok.com/ZSm3RQbpL/")</f>
        <v>https://vt.tiktok.com/ZSm3RQbpL/</v>
      </c>
      <c r="N19" s="541" t="str">
        <f>IFERROR(__xludf.DUMMYFUNCTION("""COMPUTED_VALUE"""),"#fYoG+8wTzGuEq2IoOOQ+YoGIXUv99Sq1yJWe7ivwC1WGtd5bqhvwsKfLonFr6n0=")</f>
        <v>#fYoG+8wTzGuEq2IoOOQ+YoGIXUv99Sq1yJWe7ivwC1WGtd5bqhvwsKfLonFr6n0=</v>
      </c>
      <c r="O19" s="541"/>
      <c r="P19" s="541"/>
      <c r="Q19" s="541"/>
      <c r="R19" s="312"/>
      <c r="S19" s="286"/>
      <c r="T19" s="286"/>
      <c r="U19" s="286"/>
      <c r="V19" s="286"/>
      <c r="W19" s="286"/>
    </row>
    <row r="20">
      <c r="A20" s="307" t="str">
        <f>IFERROR(__xludf.DUMMYFUNCTION("""COMPUTED_VALUE"""),"MICRO")</f>
        <v>MICRO</v>
      </c>
      <c r="B20" s="318" t="str">
        <f>IFERROR(__xludf.DUMMYFUNCTION("""COMPUTED_VALUE"""),"anifanadifa")</f>
        <v>anifanadifa</v>
      </c>
      <c r="C20" s="535" t="str">
        <f>IFERROR(__xludf.DUMMYFUNCTION("""COMPUTED_VALUE"""),"https://www.tiktok.com/@anifanadifa")</f>
        <v>https://www.tiktok.com/@anifanadifa</v>
      </c>
      <c r="D20" s="465">
        <f>IFERROR(__xludf.DUMMYFUNCTION("""COMPUTED_VALUE"""),8.5794910521E10)</f>
        <v>85794910521</v>
      </c>
      <c r="E20" s="537">
        <f>IFERROR(__xludf.DUMMYFUNCTION("""COMPUTED_VALUE"""),0.0)</f>
        <v>0</v>
      </c>
      <c r="F20" s="311">
        <f>IFERROR(__xludf.DUMMYFUNCTION("""COMPUTED_VALUE"""),2.0)</f>
        <v>2</v>
      </c>
      <c r="G20" s="551" t="str">
        <f>IFERROR(__xludf.DUMMYFUNCTION("""COMPUTED_VALUE"""),"PR Package")</f>
        <v>PR Package</v>
      </c>
      <c r="H20" s="463" t="str">
        <f>IFERROR(__xludf.DUMMYFUNCTION("""COMPUTED_VALUE"""),"Sampai")</f>
        <v>Sampai</v>
      </c>
      <c r="I20" s="546" t="str">
        <f>IFERROR(__xludf.DUMMYFUNCTION("""COMPUTED_VALUE"""),"Concept 2")</f>
        <v>Concept 2</v>
      </c>
      <c r="J20" s="540" t="str">
        <f>IFERROR(__xludf.DUMMYFUNCTION("""COMPUTED_VALUE"""),"https://vt.tiktok.com/ZSm64chj7/")</f>
        <v>https://vt.tiktok.com/ZSm64chj7/</v>
      </c>
      <c r="K20" s="312" t="str">
        <f>IFERROR(__xludf.DUMMYFUNCTION("""COMPUTED_VALUE"""),"#qqD0Izlw7Vawz14PlnQaUXsPR3HyvTQZMRjXspDMdd1QMHNuFc30mXTq74Nh2ps=")</f>
        <v>#qqD0Izlw7Vawz14PlnQaUXsPR3HyvTQZMRjXspDMdd1QMHNuFc30mXTq74Nh2ps=</v>
      </c>
      <c r="L20" s="546" t="str">
        <f>IFERROR(__xludf.DUMMYFUNCTION("""COMPUTED_VALUE"""),"Concept 3")</f>
        <v>Concept 3</v>
      </c>
      <c r="M20" s="540" t="str">
        <f>IFERROR(__xludf.DUMMYFUNCTION("""COMPUTED_VALUE"""),"https://vt.tiktok.com/ZSms4vg8V/")</f>
        <v>https://vt.tiktok.com/ZSms4vg8V/</v>
      </c>
      <c r="N20" s="541" t="str">
        <f>IFERROR(__xludf.DUMMYFUNCTION("""COMPUTED_VALUE"""),"#LryyNmDkCI6QyFmktDKOkHr6dqKEhpUXCvxh51XjCZCZ5pleI6Ic4K+IIzRNO0o=")</f>
        <v>#LryyNmDkCI6QyFmktDKOkHr6dqKEhpUXCvxh51XjCZCZ5pleI6Ic4K+IIzRNO0o=</v>
      </c>
      <c r="O20" s="541"/>
      <c r="P20" s="541"/>
      <c r="Q20" s="541"/>
      <c r="R20" s="312"/>
      <c r="S20" s="286"/>
      <c r="T20" s="286"/>
      <c r="U20" s="286"/>
      <c r="V20" s="286"/>
      <c r="W20" s="286"/>
    </row>
    <row r="21">
      <c r="A21" s="307" t="str">
        <f>IFERROR(__xludf.DUMMYFUNCTION("""COMPUTED_VALUE"""),"MICRO")</f>
        <v>MICRO</v>
      </c>
      <c r="B21" s="542" t="str">
        <f>IFERROR(__xludf.DUMMYFUNCTION("""COMPUTED_VALUE"""),"apriliakartiningsih")</f>
        <v>apriliakartiningsih</v>
      </c>
      <c r="C21" s="535" t="str">
        <f>IFERROR(__xludf.DUMMYFUNCTION("""COMPUTED_VALUE"""),"https://www.tiktok.com/@apriliakartiningsih")</f>
        <v>https://www.tiktok.com/@apriliakartiningsih</v>
      </c>
      <c r="D21" s="543">
        <f>IFERROR(__xludf.DUMMYFUNCTION("""COMPUTED_VALUE"""),8.9651779766E10)</f>
        <v>89651779766</v>
      </c>
      <c r="E21" s="537">
        <f>IFERROR(__xludf.DUMMYFUNCTION("""COMPUTED_VALUE"""),0.0)</f>
        <v>0</v>
      </c>
      <c r="F21" s="311">
        <f>IFERROR(__xludf.DUMMYFUNCTION("""COMPUTED_VALUE"""),2.0)</f>
        <v>2</v>
      </c>
      <c r="G21" s="551" t="str">
        <f>IFERROR(__xludf.DUMMYFUNCTION("""COMPUTED_VALUE"""),"PR Package")</f>
        <v>PR Package</v>
      </c>
      <c r="H21" s="463" t="str">
        <f>IFERROR(__xludf.DUMMYFUNCTION("""COMPUTED_VALUE"""),"Sampai")</f>
        <v>Sampai</v>
      </c>
      <c r="I21" s="546" t="str">
        <f>IFERROR(__xludf.DUMMYFUNCTION("""COMPUTED_VALUE""")," Concept 1")</f>
        <v> Concept 1</v>
      </c>
      <c r="J21" s="540" t="str">
        <f>IFERROR(__xludf.DUMMYFUNCTION("""COMPUTED_VALUE"""),"https://vt.tiktok.com/ZSawGwwWd/")</f>
        <v>https://vt.tiktok.com/ZSawGwwWd/</v>
      </c>
      <c r="K21" s="312" t="str">
        <f>IFERROR(__xludf.DUMMYFUNCTION("""COMPUTED_VALUE"""),"#LKs/S5830eNBh7YBuW93bNV1BLA22CIzi5K5Awrv2ngfEtUmOsxhEzLJhszW06w=")</f>
        <v>#LKs/S5830eNBh7YBuW93bNV1BLA22CIzi5K5Awrv2ngfEtUmOsxhEzLJhszW06w=</v>
      </c>
      <c r="L21" s="546" t="str">
        <f>IFERROR(__xludf.DUMMYFUNCTION("""COMPUTED_VALUE"""),"Concept 2")</f>
        <v>Concept 2</v>
      </c>
      <c r="M21" s="540" t="str">
        <f>IFERROR(__xludf.DUMMYFUNCTION("""COMPUTED_VALUE"""),"https://vt.tiktok.com/ZSmffQ4gx/")</f>
        <v>https://vt.tiktok.com/ZSmffQ4gx/</v>
      </c>
      <c r="N21" s="541" t="str">
        <f>IFERROR(__xludf.DUMMYFUNCTION("""COMPUTED_VALUE"""),"#XkblWHPteUYJlHvfNptPuutyUgy95wGWtvZgeOy1mEQ4PnhW4+ddrIQSjwRonJk=")</f>
        <v>#XkblWHPteUYJlHvfNptPuutyUgy95wGWtvZgeOy1mEQ4PnhW4+ddrIQSjwRonJk=</v>
      </c>
      <c r="O21" s="540" t="str">
        <f>IFERROR(__xludf.DUMMYFUNCTION("""COMPUTED_VALUE"""),"https://vt.tiktok.com/ZS9RWEyKM/ ")</f>
        <v>https://vt.tiktok.com/ZS9RWEyKM/ </v>
      </c>
      <c r="P21" s="541" t="str">
        <f>IFERROR(__xludf.DUMMYFUNCTION("""COMPUTED_VALUE"""),"#I0FVncW4F0VzMm2NBcoKEc8aaB4BTJ1EiGFKsAuHaVVvqBNAa0IYh5QRoRsTrhk=")</f>
        <v>#I0FVncW4F0VzMm2NBcoKEc8aaB4BTJ1EiGFKsAuHaVVvqBNAa0IYh5QRoRsTrhk=</v>
      </c>
      <c r="Q21" s="541"/>
      <c r="R21" s="312"/>
      <c r="S21" s="286"/>
      <c r="T21" s="286"/>
      <c r="U21" s="286"/>
      <c r="V21" s="286"/>
      <c r="W21" s="286"/>
    </row>
    <row r="22">
      <c r="A22" s="307" t="str">
        <f>IFERROR(__xludf.DUMMYFUNCTION("""COMPUTED_VALUE"""),"MICRO")</f>
        <v>MICRO</v>
      </c>
      <c r="B22" s="318" t="str">
        <f>IFERROR(__xludf.DUMMYFUNCTION("""COMPUTED_VALUE"""),"focusonmeehh")</f>
        <v>focusonmeehh</v>
      </c>
      <c r="C22" s="535" t="str">
        <f>IFERROR(__xludf.DUMMYFUNCTION("""COMPUTED_VALUE"""),"https://www.tiktok.com/@focusonmeehh")</f>
        <v>https://www.tiktok.com/@focusonmeehh</v>
      </c>
      <c r="D22" s="316">
        <f>IFERROR(__xludf.DUMMYFUNCTION("""COMPUTED_VALUE"""),8.1278546432E10)</f>
        <v>81278546432</v>
      </c>
      <c r="E22" s="537">
        <f>IFERROR(__xludf.DUMMYFUNCTION("""COMPUTED_VALUE"""),0.0)</f>
        <v>0</v>
      </c>
      <c r="F22" s="316">
        <f>IFERROR(__xludf.DUMMYFUNCTION("""COMPUTED_VALUE"""),2.0)</f>
        <v>2</v>
      </c>
      <c r="G22" s="551" t="str">
        <f>IFERROR(__xludf.DUMMYFUNCTION("""COMPUTED_VALUE"""),"PR Package")</f>
        <v>PR Package</v>
      </c>
      <c r="H22" s="463" t="str">
        <f>IFERROR(__xludf.DUMMYFUNCTION("""COMPUTED_VALUE"""),"Sampai")</f>
        <v>Sampai</v>
      </c>
      <c r="I22" s="546" t="str">
        <f>IFERROR(__xludf.DUMMYFUNCTION("""COMPUTED_VALUE"""),"Concept 2")</f>
        <v>Concept 2</v>
      </c>
      <c r="J22" s="540" t="str">
        <f>IFERROR(__xludf.DUMMYFUNCTION("""COMPUTED_VALUE"""),"https://vt.tiktok.com/ZSmj24Sps/")</f>
        <v>https://vt.tiktok.com/ZSmj24Sps/</v>
      </c>
      <c r="K22" s="312" t="str">
        <f>IFERROR(__xludf.DUMMYFUNCTION("""COMPUTED_VALUE"""),"#MBIpE5sPF8LfQFiS5hubbL2nZll8DEJW80bDrFSJBr7OXZ02rZ0mgoFpGhLVC1E=")</f>
        <v>#MBIpE5sPF8LfQFiS5hubbL2nZll8DEJW80bDrFSJBr7OXZ02rZ0mgoFpGhLVC1E=</v>
      </c>
      <c r="L22" s="546" t="str">
        <f>IFERROR(__xludf.DUMMYFUNCTION("""COMPUTED_VALUE""")," Concept 1")</f>
        <v> Concept 1</v>
      </c>
      <c r="M22" s="540" t="str">
        <f>IFERROR(__xludf.DUMMYFUNCTION("""COMPUTED_VALUE"""),"https://vt.tiktok.com/ZSmQB5SBV/")</f>
        <v>https://vt.tiktok.com/ZSmQB5SBV/</v>
      </c>
      <c r="N22" s="541" t="str">
        <f>IFERROR(__xludf.DUMMYFUNCTION("""COMPUTED_VALUE"""),"#JBiW3qAite+BTYIqnnXjEpzQCv0aYlv9jxgoNo8vKYz3tx75ZBOFPkxUC4LIO+c=")</f>
        <v>#JBiW3qAite+BTYIqnnXjEpzQCv0aYlv9jxgoNo8vKYz3tx75ZBOFPkxUC4LIO+c=</v>
      </c>
      <c r="O22" s="541"/>
      <c r="P22" s="541"/>
      <c r="Q22" s="541"/>
      <c r="R22" s="312"/>
      <c r="S22" s="286"/>
      <c r="T22" s="286"/>
      <c r="U22" s="286"/>
      <c r="V22" s="286"/>
      <c r="W22" s="286"/>
    </row>
    <row r="23">
      <c r="A23" s="307" t="str">
        <f>IFERROR(__xludf.DUMMYFUNCTION("""COMPUTED_VALUE"""),"NANO")</f>
        <v>NANO</v>
      </c>
      <c r="B23" s="318" t="str">
        <f>IFERROR(__xludf.DUMMYFUNCTION("""COMPUTED_VALUE"""),"sunny.beaute")</f>
        <v>sunny.beaute</v>
      </c>
      <c r="C23" s="535" t="str">
        <f>IFERROR(__xludf.DUMMYFUNCTION("""COMPUTED_VALUE"""),"https://www.tiktok.com/@sunny.beaute")</f>
        <v>https://www.tiktok.com/@sunny.beaute</v>
      </c>
      <c r="D23" s="316">
        <f>IFERROR(__xludf.DUMMYFUNCTION("""COMPUTED_VALUE"""),8.1359683514E10)</f>
        <v>81359683514</v>
      </c>
      <c r="E23" s="319">
        <f>IFERROR(__xludf.DUMMYFUNCTION("""COMPUTED_VALUE"""),0.0)</f>
        <v>0</v>
      </c>
      <c r="F23" s="316">
        <f>IFERROR(__xludf.DUMMYFUNCTION("""COMPUTED_VALUE"""),2.0)</f>
        <v>2</v>
      </c>
      <c r="G23" s="551" t="str">
        <f>IFERROR(__xludf.DUMMYFUNCTION("""COMPUTED_VALUE"""),"PR Package")</f>
        <v>PR Package</v>
      </c>
      <c r="H23" s="463" t="str">
        <f>IFERROR(__xludf.DUMMYFUNCTION("""COMPUTED_VALUE"""),"Sampai")</f>
        <v>Sampai</v>
      </c>
      <c r="I23" s="546" t="str">
        <f>IFERROR(__xludf.DUMMYFUNCTION("""COMPUTED_VALUE""")," Concept 1")</f>
        <v> Concept 1</v>
      </c>
      <c r="J23" s="540" t="str">
        <f>IFERROR(__xludf.DUMMYFUNCTION("""COMPUTED_VALUE"""),"https://vt.tiktok.com/ZSmWaasBh/")</f>
        <v>https://vt.tiktok.com/ZSmWaasBh/</v>
      </c>
      <c r="K23" s="312" t="str">
        <f>IFERROR(__xludf.DUMMYFUNCTION("""COMPUTED_VALUE"""),"#Z2qc/b8oxQ+7FBaV05jP+JNMMQR/MOYWU/xq9q6984IMXX9NT+TRQVyqEHvhXuA=")</f>
        <v>#Z2qc/b8oxQ+7FBaV05jP+JNMMQR/MOYWU/xq9q6984IMXX9NT+TRQVyqEHvhXuA=</v>
      </c>
      <c r="L23" s="546" t="str">
        <f>IFERROR(__xludf.DUMMYFUNCTION("""COMPUTED_VALUE"""),"Concept 2")</f>
        <v>Concept 2</v>
      </c>
      <c r="M23" s="540" t="str">
        <f>IFERROR(__xludf.DUMMYFUNCTION("""COMPUTED_VALUE"""),"https://vt.tiktok.com/ZSujB5mJM/")</f>
        <v>https://vt.tiktok.com/ZSujB5mJM/</v>
      </c>
      <c r="N23" s="541" t="str">
        <f>IFERROR(__xludf.DUMMYFUNCTION("""COMPUTED_VALUE"""),"#Uym23olxP5TX5IeUiAo2d7hFnjbDgTnso2hDedWomN8sCUPNsb2FEJEPLsJlIuw=")</f>
        <v>#Uym23olxP5TX5IeUiAo2d7hFnjbDgTnso2hDedWomN8sCUPNsb2FEJEPLsJlIuw=</v>
      </c>
      <c r="O23" s="541"/>
      <c r="P23" s="541"/>
      <c r="Q23" s="541"/>
      <c r="R23" s="312"/>
      <c r="S23" s="286"/>
      <c r="T23" s="286"/>
      <c r="U23" s="286"/>
      <c r="V23" s="286"/>
      <c r="W23" s="286"/>
    </row>
    <row r="24">
      <c r="A24" s="307" t="str">
        <f>IFERROR(__xludf.DUMMYFUNCTION("""COMPUTED_VALUE"""),"NANO")</f>
        <v>NANO</v>
      </c>
      <c r="B24" s="318" t="str">
        <f>IFERROR(__xludf.DUMMYFUNCTION("""COMPUTED_VALUE"""),"sforsheilaww")</f>
        <v>sforsheilaww</v>
      </c>
      <c r="C24" s="535" t="str">
        <f>IFERROR(__xludf.DUMMYFUNCTION("""COMPUTED_VALUE"""),"https://www.tiktok.com/@sforsheilaww")</f>
        <v>https://www.tiktok.com/@sforsheilaww</v>
      </c>
      <c r="D24" s="316">
        <f>IFERROR(__xludf.DUMMYFUNCTION("""COMPUTED_VALUE"""),8.3138956424E10)</f>
        <v>83138956424</v>
      </c>
      <c r="E24" s="319">
        <f>IFERROR(__xludf.DUMMYFUNCTION("""COMPUTED_VALUE"""),0.0)</f>
        <v>0</v>
      </c>
      <c r="F24" s="316">
        <f>IFERROR(__xludf.DUMMYFUNCTION("""COMPUTED_VALUE"""),2.0)</f>
        <v>2</v>
      </c>
      <c r="G24" s="551" t="str">
        <f>IFERROR(__xludf.DUMMYFUNCTION("""COMPUTED_VALUE"""),"PR Package")</f>
        <v>PR Package</v>
      </c>
      <c r="H24" s="463" t="str">
        <f>IFERROR(__xludf.DUMMYFUNCTION("""COMPUTED_VALUE"""),"Sampai")</f>
        <v>Sampai</v>
      </c>
      <c r="I24" s="546" t="str">
        <f>IFERROR(__xludf.DUMMYFUNCTION("""COMPUTED_VALUE""")," Concept 1")</f>
        <v> Concept 1</v>
      </c>
      <c r="J24" s="540" t="str">
        <f>IFERROR(__xludf.DUMMYFUNCTION("""COMPUTED_VALUE"""),"https://vt.tiktok.com/ZSab5BcX5/")</f>
        <v>https://vt.tiktok.com/ZSab5BcX5/</v>
      </c>
      <c r="K24" s="312" t="str">
        <f>IFERROR(__xludf.DUMMYFUNCTION("""COMPUTED_VALUE"""),"#t42lE6Ff5bjpGrowl0yPe8VNMUR3ELDCBTQRgwk/SoqnIIGo4o76PBf4I9fnW7U=")</f>
        <v>#t42lE6Ff5bjpGrowl0yPe8VNMUR3ELDCBTQRgwk/SoqnIIGo4o76PBf4I9fnW7U=</v>
      </c>
      <c r="L24" s="546" t="str">
        <f>IFERROR(__xludf.DUMMYFUNCTION("""COMPUTED_VALUE"""),"Concept 2")</f>
        <v>Concept 2</v>
      </c>
      <c r="M24" s="540" t="str">
        <f>IFERROR(__xludf.DUMMYFUNCTION("""COMPUTED_VALUE"""),"https://vt.tiktok.com/ZSmK13rdC/")</f>
        <v>https://vt.tiktok.com/ZSmK13rdC/</v>
      </c>
      <c r="N24" s="541" t="str">
        <f>IFERROR(__xludf.DUMMYFUNCTION("""COMPUTED_VALUE"""),"#1+NN2A9wv40SBAN2MHHcqZKiOCxGvucpVs151QP541edluaRpOuT8cbyOw19fUw=")</f>
        <v>#1+NN2A9wv40SBAN2MHHcqZKiOCxGvucpVs151QP541edluaRpOuT8cbyOw19fUw=</v>
      </c>
      <c r="O24" s="541"/>
      <c r="P24" s="541"/>
      <c r="Q24" s="541"/>
      <c r="R24" s="312"/>
      <c r="S24" s="286"/>
      <c r="T24" s="286"/>
      <c r="U24" s="286"/>
      <c r="V24" s="286"/>
      <c r="W24" s="286"/>
    </row>
    <row r="25">
      <c r="A25" s="307" t="str">
        <f>IFERROR(__xludf.DUMMYFUNCTION("""COMPUTED_VALUE"""),"NANO")</f>
        <v>NANO</v>
      </c>
      <c r="B25" s="318" t="str">
        <f>IFERROR(__xludf.DUMMYFUNCTION("""COMPUTED_VALUE"""),"Racunversiaku")</f>
        <v>Racunversiaku</v>
      </c>
      <c r="C25" s="535" t="str">
        <f>IFERROR(__xludf.DUMMYFUNCTION("""COMPUTED_VALUE"""),"https://www.tiktok.com/@Racunversiaku")</f>
        <v>https://www.tiktok.com/@Racunversiaku</v>
      </c>
      <c r="D25" s="316">
        <f>IFERROR(__xludf.DUMMYFUNCTION("""COMPUTED_VALUE"""),8.1225533448E10)</f>
        <v>81225533448</v>
      </c>
      <c r="E25" s="319">
        <f>IFERROR(__xludf.DUMMYFUNCTION("""COMPUTED_VALUE"""),0.0)</f>
        <v>0</v>
      </c>
      <c r="F25" s="316">
        <f>IFERROR(__xludf.DUMMYFUNCTION("""COMPUTED_VALUE"""),2.0)</f>
        <v>2</v>
      </c>
      <c r="G25" s="551" t="str">
        <f>IFERROR(__xludf.DUMMYFUNCTION("""COMPUTED_VALUE"""),"PR Package")</f>
        <v>PR Package</v>
      </c>
      <c r="H25" s="463" t="str">
        <f>IFERROR(__xludf.DUMMYFUNCTION("""COMPUTED_VALUE"""),"Sampai")</f>
        <v>Sampai</v>
      </c>
      <c r="I25" s="546" t="str">
        <f>IFERROR(__xludf.DUMMYFUNCTION("""COMPUTED_VALUE""")," Concept 1")</f>
        <v> Concept 1</v>
      </c>
      <c r="J25" s="540" t="str">
        <f>IFERROR(__xludf.DUMMYFUNCTION("""COMPUTED_VALUE"""),"https://vt.tiktok.com/ZSanheQqu/")</f>
        <v>https://vt.tiktok.com/ZSanheQqu/</v>
      </c>
      <c r="K25" s="312" t="str">
        <f>IFERROR(__xludf.DUMMYFUNCTION("""COMPUTED_VALUE"""),"#O5ImBdiz12pcSSXfbgFzSSSxosGjRrJGWpEjCShTAgLR1WntBSVZMA2xd2hJMcc=")</f>
        <v>#O5ImBdiz12pcSSXfbgFzSSSxosGjRrJGWpEjCShTAgLR1WntBSVZMA2xd2hJMcc=</v>
      </c>
      <c r="L25" s="546" t="str">
        <f>IFERROR(__xludf.DUMMYFUNCTION("""COMPUTED_VALUE"""),"Concept 2")</f>
        <v>Concept 2</v>
      </c>
      <c r="M25" s="540" t="str">
        <f>IFERROR(__xludf.DUMMYFUNCTION("""COMPUTED_VALUE"""),"https://vt.tiktok.com/ZSanh1af5/")</f>
        <v>https://vt.tiktok.com/ZSanh1af5/</v>
      </c>
      <c r="N25" s="541" t="str">
        <f>IFERROR(__xludf.DUMMYFUNCTION("""COMPUTED_VALUE"""),"#HPyWoDWHXQkkZv6HmnBrUIvuQtbL8xQRpu792kkgL2V03EeZ+XhWMYlog8nxKOw=")</f>
        <v>#HPyWoDWHXQkkZv6HmnBrUIvuQtbL8xQRpu792kkgL2V03EeZ+XhWMYlog8nxKOw=</v>
      </c>
      <c r="O25" s="541"/>
      <c r="P25" s="541"/>
      <c r="Q25" s="541"/>
      <c r="R25" s="312"/>
      <c r="S25" s="286"/>
      <c r="T25" s="286"/>
      <c r="U25" s="286"/>
      <c r="V25" s="286"/>
      <c r="W25" s="286"/>
    </row>
    <row r="26">
      <c r="A26" s="307" t="str">
        <f>IFERROR(__xludf.DUMMYFUNCTION("""COMPUTED_VALUE"""),"MICRO")</f>
        <v>MICRO</v>
      </c>
      <c r="B26" s="318" t="str">
        <f>IFERROR(__xludf.DUMMYFUNCTION("""COMPUTED_VALUE"""),"Wulandarisabda ")</f>
        <v>Wulandarisabda </v>
      </c>
      <c r="C26" s="535" t="str">
        <f>IFERROR(__xludf.DUMMYFUNCTION("""COMPUTED_VALUE"""),"https://www.tiktok.com/@Wulandarisabda ")</f>
        <v>https://www.tiktok.com/@Wulandarisabda </v>
      </c>
      <c r="D26" s="316">
        <f>IFERROR(__xludf.DUMMYFUNCTION("""COMPUTED_VALUE"""),8.95339671777E11)</f>
        <v>895339671777</v>
      </c>
      <c r="E26" s="319">
        <f>IFERROR(__xludf.DUMMYFUNCTION("""COMPUTED_VALUE"""),0.0)</f>
        <v>0</v>
      </c>
      <c r="F26" s="316">
        <f>IFERROR(__xludf.DUMMYFUNCTION("""COMPUTED_VALUE"""),2.0)</f>
        <v>2</v>
      </c>
      <c r="G26" s="551" t="str">
        <f>IFERROR(__xludf.DUMMYFUNCTION("""COMPUTED_VALUE"""),"PR Package")</f>
        <v>PR Package</v>
      </c>
      <c r="H26" s="463" t="str">
        <f>IFERROR(__xludf.DUMMYFUNCTION("""COMPUTED_VALUE"""),"Sampai")</f>
        <v>Sampai</v>
      </c>
      <c r="I26" s="546" t="str">
        <f>IFERROR(__xludf.DUMMYFUNCTION("""COMPUTED_VALUE"""),"Concept 2")</f>
        <v>Concept 2</v>
      </c>
      <c r="J26" s="540" t="str">
        <f>IFERROR(__xludf.DUMMYFUNCTION("""COMPUTED_VALUE"""),"https://vt.tiktok.com/ZSm7MtFU6/")</f>
        <v>https://vt.tiktok.com/ZSm7MtFU6/</v>
      </c>
      <c r="K26" s="312" t="str">
        <f>IFERROR(__xludf.DUMMYFUNCTION("""COMPUTED_VALUE"""),"#0pZ+KMgx8NS4379SWvjqOW/JNl//JE4H+/Lo0tEbDKYT1phcl8PKKcZonxJ3tqw=")</f>
        <v>#0pZ+KMgx8NS4379SWvjqOW/JNl//JE4H+/Lo0tEbDKYT1phcl8PKKcZonxJ3tqw=</v>
      </c>
      <c r="L26" s="546" t="str">
        <f>IFERROR(__xludf.DUMMYFUNCTION("""COMPUTED_VALUE""")," Concept 1")</f>
        <v> Concept 1</v>
      </c>
      <c r="M26" s="540" t="str">
        <f>IFERROR(__xludf.DUMMYFUNCTION("""COMPUTED_VALUE"""),"https://vt.tiktok.com/ZSuVFPyg2/")</f>
        <v>https://vt.tiktok.com/ZSuVFPyg2/</v>
      </c>
      <c r="N26" s="541" t="str">
        <f>IFERROR(__xludf.DUMMYFUNCTION("""COMPUTED_VALUE"""),"#YUHyHzL35B07dnpzxSvSLZX+I2gVFl/1ot1P6pvS/WypxhtF85Nz8wvOcYik3QU=")</f>
        <v>#YUHyHzL35B07dnpzxSvSLZX+I2gVFl/1ot1P6pvS/WypxhtF85Nz8wvOcYik3QU=</v>
      </c>
      <c r="O26" s="541"/>
      <c r="P26" s="541"/>
      <c r="Q26" s="541"/>
      <c r="R26" s="312"/>
      <c r="S26" s="286"/>
      <c r="T26" s="286"/>
      <c r="U26" s="286"/>
      <c r="V26" s="286"/>
      <c r="W26" s="286"/>
    </row>
    <row r="27">
      <c r="A27" s="307" t="str">
        <f>IFERROR(__xludf.DUMMYFUNCTION("""COMPUTED_VALUE"""),"MICRO")</f>
        <v>MICRO</v>
      </c>
      <c r="B27" s="544" t="str">
        <f>IFERROR(__xludf.DUMMYFUNCTION("""COMPUTED_VALUE"""),"arfatus.sh")</f>
        <v>arfatus.sh</v>
      </c>
      <c r="C27" s="535" t="str">
        <f>IFERROR(__xludf.DUMMYFUNCTION("""COMPUTED_VALUE"""),"https://www.tiktok.com/@arfatus.sh")</f>
        <v>https://www.tiktok.com/@arfatus.sh</v>
      </c>
      <c r="D27" s="316">
        <f>IFERROR(__xludf.DUMMYFUNCTION("""COMPUTED_VALUE"""),8.1271828887E10)</f>
        <v>81271828887</v>
      </c>
      <c r="E27" s="319">
        <f>IFERROR(__xludf.DUMMYFUNCTION("""COMPUTED_VALUE"""),0.0)</f>
        <v>0</v>
      </c>
      <c r="F27" s="316">
        <f>IFERROR(__xludf.DUMMYFUNCTION("""COMPUTED_VALUE"""),2.0)</f>
        <v>2</v>
      </c>
      <c r="G27" s="551" t="str">
        <f>IFERROR(__xludf.DUMMYFUNCTION("""COMPUTED_VALUE"""),"PR Package")</f>
        <v>PR Package</v>
      </c>
      <c r="H27" s="463" t="str">
        <f>IFERROR(__xludf.DUMMYFUNCTION("""COMPUTED_VALUE"""),"Sampai")</f>
        <v>Sampai</v>
      </c>
      <c r="I27" s="546" t="str">
        <f>IFERROR(__xludf.DUMMYFUNCTION("""COMPUTED_VALUE"""),"Concept 2")</f>
        <v>Concept 2</v>
      </c>
      <c r="J27" s="540" t="str">
        <f>IFERROR(__xludf.DUMMYFUNCTION("""COMPUTED_VALUE"""),"https://vt.tiktok.com/ZSms441hs/")</f>
        <v>https://vt.tiktok.com/ZSms441hs/</v>
      </c>
      <c r="K27" s="312" t="str">
        <f>IFERROR(__xludf.DUMMYFUNCTION("""COMPUTED_VALUE"""),"#FLcwDjXI8SGVxyUgRjTcVreTU3lDl6LOVBzsXaes4DIMjcOq6k1hA7YBvlMWKwA=")</f>
        <v>#FLcwDjXI8SGVxyUgRjTcVreTU3lDl6LOVBzsXaes4DIMjcOq6k1hA7YBvlMWKwA=</v>
      </c>
      <c r="L27" s="546" t="str">
        <f>IFERROR(__xludf.DUMMYFUNCTION("""COMPUTED_VALUE""")," Concept 1")</f>
        <v> Concept 1</v>
      </c>
      <c r="M27" s="540" t="str">
        <f>IFERROR(__xludf.DUMMYFUNCTION("""COMPUTED_VALUE"""),"https://vt.tiktok.com/ZSuk5vrbB/")</f>
        <v>https://vt.tiktok.com/ZSuk5vrbB/</v>
      </c>
      <c r="N27" s="541" t="str">
        <f>IFERROR(__xludf.DUMMYFUNCTION("""COMPUTED_VALUE"""),"#hGP8ZkU8PC/0SwM90iboM9T8T0uTiYY4dQ7KQk88La/v0pI8fKi0oqOjPN4GQa0=")</f>
        <v>#hGP8ZkU8PC/0SwM90iboM9T8T0uTiYY4dQ7KQk88La/v0pI8fKi0oqOjPN4GQa0=</v>
      </c>
      <c r="O27" s="541"/>
      <c r="P27" s="541"/>
      <c r="Q27" s="541"/>
      <c r="R27" s="312"/>
      <c r="S27" s="286"/>
      <c r="T27" s="286"/>
      <c r="U27" s="286"/>
      <c r="V27" s="286"/>
      <c r="W27" s="286"/>
    </row>
    <row r="28">
      <c r="A28" s="307" t="str">
        <f>IFERROR(__xludf.DUMMYFUNCTION("""COMPUTED_VALUE"""),"NANO")</f>
        <v>NANO</v>
      </c>
      <c r="B28" s="318" t="str">
        <f>IFERROR(__xludf.DUMMYFUNCTION("""COMPUTED_VALUE"""),"hi_jaenaa")</f>
        <v>hi_jaenaa</v>
      </c>
      <c r="C28" s="535" t="str">
        <f>IFERROR(__xludf.DUMMYFUNCTION("""COMPUTED_VALUE"""),"https://www.tiktok.com/@hi_jaenaa")</f>
        <v>https://www.tiktok.com/@hi_jaenaa</v>
      </c>
      <c r="D28" s="316">
        <f>IFERROR(__xludf.DUMMYFUNCTION("""COMPUTED_VALUE"""),8.82006643919E11)</f>
        <v>882006643919</v>
      </c>
      <c r="E28" s="319">
        <f>IFERROR(__xludf.DUMMYFUNCTION("""COMPUTED_VALUE"""),0.0)</f>
        <v>0</v>
      </c>
      <c r="F28" s="316">
        <f>IFERROR(__xludf.DUMMYFUNCTION("""COMPUTED_VALUE"""),2.0)</f>
        <v>2</v>
      </c>
      <c r="G28" s="551" t="str">
        <f>IFERROR(__xludf.DUMMYFUNCTION("""COMPUTED_VALUE"""),"PR Package")</f>
        <v>PR Package</v>
      </c>
      <c r="H28" s="463" t="str">
        <f>IFERROR(__xludf.DUMMYFUNCTION("""COMPUTED_VALUE"""),"Sampai")</f>
        <v>Sampai</v>
      </c>
      <c r="I28" s="546" t="str">
        <f>IFERROR(__xludf.DUMMYFUNCTION("""COMPUTED_VALUE""")," Concept 1")</f>
        <v> Concept 1</v>
      </c>
      <c r="J28" s="540" t="str">
        <f>IFERROR(__xludf.DUMMYFUNCTION("""COMPUTED_VALUE"""),"https://vt.tiktok.com/ZSmdUhF1m/")</f>
        <v>https://vt.tiktok.com/ZSmdUhF1m/</v>
      </c>
      <c r="K28" s="312" t="str">
        <f>IFERROR(__xludf.DUMMYFUNCTION("""COMPUTED_VALUE"""),"#u9LjseGbklgyuwqzklb06AFep/FP834qyC6lkGRopER0AbgQkuRY56paMcf2IOQ= ")</f>
        <v>#u9LjseGbklgyuwqzklb06AFep/FP834qyC6lkGRopER0AbgQkuRY56paMcf2IOQ= </v>
      </c>
      <c r="L28" s="546" t="str">
        <f>IFERROR(__xludf.DUMMYFUNCTION("""COMPUTED_VALUE"""),"Concept 2")</f>
        <v>Concept 2</v>
      </c>
      <c r="M28" s="540" t="str">
        <f>IFERROR(__xludf.DUMMYFUNCTION("""COMPUTED_VALUE"""),"https://vt.tiktok.com/ZSm3fPf41/")</f>
        <v>https://vt.tiktok.com/ZSm3fPf41/</v>
      </c>
      <c r="N28" s="541" t="str">
        <f>IFERROR(__xludf.DUMMYFUNCTION("""COMPUTED_VALUE"""),"#o4gPVS++mBiJueBBosZwley95Ti6BbInkCdgea+MbuM8EHsmu/Nj9QY5Fu/GRsk=")</f>
        <v>#o4gPVS++mBiJueBBosZwley95Ti6BbInkCdgea+MbuM8EHsmu/Nj9QY5Fu/GRsk=</v>
      </c>
      <c r="O28" s="541"/>
      <c r="P28" s="541"/>
      <c r="Q28" s="541"/>
      <c r="R28" s="312"/>
      <c r="S28" s="286"/>
      <c r="T28" s="286"/>
      <c r="U28" s="286"/>
      <c r="V28" s="286"/>
      <c r="W28" s="286"/>
    </row>
    <row r="29">
      <c r="A29" s="307" t="str">
        <f>IFERROR(__xludf.DUMMYFUNCTION("""COMPUTED_VALUE"""),"NANO")</f>
        <v>NANO</v>
      </c>
      <c r="B29" s="318" t="str">
        <f>IFERROR(__xludf.DUMMYFUNCTION("""COMPUTED_VALUE"""),"sinanr18")</f>
        <v>sinanr18</v>
      </c>
      <c r="C29" s="535" t="str">
        <f>IFERROR(__xludf.DUMMYFUNCTION("""COMPUTED_VALUE"""),"https://www.tiktok.com/@sinanr18")</f>
        <v>https://www.tiktok.com/@sinanr18</v>
      </c>
      <c r="D29" s="316">
        <f>IFERROR(__xludf.DUMMYFUNCTION("""COMPUTED_VALUE"""),8.9670305045E10)</f>
        <v>89670305045</v>
      </c>
      <c r="E29" s="319">
        <f>IFERROR(__xludf.DUMMYFUNCTION("""COMPUTED_VALUE"""),0.0)</f>
        <v>0</v>
      </c>
      <c r="F29" s="316">
        <f>IFERROR(__xludf.DUMMYFUNCTION("""COMPUTED_VALUE"""),2.0)</f>
        <v>2</v>
      </c>
      <c r="G29" s="551" t="str">
        <f>IFERROR(__xludf.DUMMYFUNCTION("""COMPUTED_VALUE"""),"PR Package")</f>
        <v>PR Package</v>
      </c>
      <c r="H29" s="463" t="str">
        <f>IFERROR(__xludf.DUMMYFUNCTION("""COMPUTED_VALUE"""),"Sampai")</f>
        <v>Sampai</v>
      </c>
      <c r="I29" s="546" t="str">
        <f>IFERROR(__xludf.DUMMYFUNCTION("""COMPUTED_VALUE"""),"Concept 2")</f>
        <v>Concept 2</v>
      </c>
      <c r="J29" s="540" t="str">
        <f>IFERROR(__xludf.DUMMYFUNCTION("""COMPUTED_VALUE"""),"https://vt.tiktok.com/ZSmjNcJJD/")</f>
        <v>https://vt.tiktok.com/ZSmjNcJJD/</v>
      </c>
      <c r="K29" s="312" t="str">
        <f>IFERROR(__xludf.DUMMYFUNCTION("""COMPUTED_VALUE"""),"#5cF8Bk2KieNQSOHvNsfzJQmE/v8sBl1EinqVuKzZHqATQbLyy3WzbpD0d0rhgzQ=")</f>
        <v>#5cF8Bk2KieNQSOHvNsfzJQmE/v8sBl1EinqVuKzZHqATQbLyy3WzbpD0d0rhgzQ=</v>
      </c>
      <c r="L29" s="546" t="str">
        <f>IFERROR(__xludf.DUMMYFUNCTION("""COMPUTED_VALUE"""),"Concept 2")</f>
        <v>Concept 2</v>
      </c>
      <c r="M29" s="540" t="str">
        <f>IFERROR(__xludf.DUMMYFUNCTION("""COMPUTED_VALUE"""),"https://vt.tiktok.com/ZSmBWY9nB/")</f>
        <v>https://vt.tiktok.com/ZSmBWY9nB/</v>
      </c>
      <c r="N29" s="541" t="str">
        <f>IFERROR(__xludf.DUMMYFUNCTION("""COMPUTED_VALUE"""),"#J2aT+2G84GDaW8JP87U1aIOuWYBB0o07aU38hfxslP+PfNeCpi1sIBeVePmWbOo=")</f>
        <v>#J2aT+2G84GDaW8JP87U1aIOuWYBB0o07aU38hfxslP+PfNeCpi1sIBeVePmWbOo=</v>
      </c>
      <c r="O29" s="541"/>
      <c r="P29" s="541"/>
      <c r="Q29" s="541"/>
      <c r="R29" s="312"/>
      <c r="S29" s="286"/>
      <c r="T29" s="286"/>
      <c r="U29" s="286"/>
      <c r="V29" s="286"/>
      <c r="W29" s="286"/>
    </row>
    <row r="30">
      <c r="A30" s="307" t="str">
        <f>IFERROR(__xludf.DUMMYFUNCTION("""COMPUTED_VALUE"""),"MICRO")</f>
        <v>MICRO</v>
      </c>
      <c r="B30" s="318" t="str">
        <f>IFERROR(__xludf.DUMMYFUNCTION("""COMPUTED_VALUE"""),"they.callmelst")</f>
        <v>they.callmelst</v>
      </c>
      <c r="C30" s="535" t="str">
        <f>IFERROR(__xludf.DUMMYFUNCTION("""COMPUTED_VALUE"""),"https://www.tiktok.com/@they.callmelst")</f>
        <v>https://www.tiktok.com/@they.callmelst</v>
      </c>
      <c r="D30" s="316">
        <f>IFERROR(__xludf.DUMMYFUNCTION("""COMPUTED_VALUE"""),8.9604299344E10)</f>
        <v>89604299344</v>
      </c>
      <c r="E30" s="319">
        <f>IFERROR(__xludf.DUMMYFUNCTION("""COMPUTED_VALUE"""),0.0)</f>
        <v>0</v>
      </c>
      <c r="F30" s="316">
        <f>IFERROR(__xludf.DUMMYFUNCTION("""COMPUTED_VALUE"""),2.0)</f>
        <v>2</v>
      </c>
      <c r="G30" s="551" t="str">
        <f>IFERROR(__xludf.DUMMYFUNCTION("""COMPUTED_VALUE"""),"PR Package")</f>
        <v>PR Package</v>
      </c>
      <c r="H30" s="463" t="str">
        <f>IFERROR(__xludf.DUMMYFUNCTION("""COMPUTED_VALUE"""),"Sampai")</f>
        <v>Sampai</v>
      </c>
      <c r="I30" s="546" t="str">
        <f>IFERROR(__xludf.DUMMYFUNCTION("""COMPUTED_VALUE""")," Concept 1")</f>
        <v> Concept 1</v>
      </c>
      <c r="J30" s="540" t="str">
        <f>IFERROR(__xludf.DUMMYFUNCTION("""COMPUTED_VALUE"""),"https://vt.tiktok.com/ZSmJ7bWSW/")</f>
        <v>https://vt.tiktok.com/ZSmJ7bWSW/</v>
      </c>
      <c r="K30" s="312" t="str">
        <f>IFERROR(__xludf.DUMMYFUNCTION("""COMPUTED_VALUE"""),"#VrD8jVv605IcPmanUjmweVF8au7eaAnOxYAy7OsVa3hTNSQnpRkZDRsmeMbw5DE=")</f>
        <v>#VrD8jVv605IcPmanUjmweVF8au7eaAnOxYAy7OsVa3hTNSQnpRkZDRsmeMbw5DE=</v>
      </c>
      <c r="L30" s="546" t="str">
        <f>IFERROR(__xludf.DUMMYFUNCTION("""COMPUTED_VALUE"""),"Concept 2")</f>
        <v>Concept 2</v>
      </c>
      <c r="M30" s="540" t="str">
        <f>IFERROR(__xludf.DUMMYFUNCTION("""COMPUTED_VALUE"""),"https://vt.tiktok.com/ZSmJ79LTQ/")</f>
        <v>https://vt.tiktok.com/ZSmJ79LTQ/</v>
      </c>
      <c r="N30" s="541" t="str">
        <f>IFERROR(__xludf.DUMMYFUNCTION("""COMPUTED_VALUE"""),"#30lBj6t6BeCSOCJC3KtVSo83rIP4U77a9Ycw1smhJdFYeJ5XJdF1Craz3XRRiBg=")</f>
        <v>#30lBj6t6BeCSOCJC3KtVSo83rIP4U77a9Ycw1smhJdFYeJ5XJdF1Craz3XRRiBg=</v>
      </c>
      <c r="O30" s="541"/>
      <c r="P30" s="541"/>
      <c r="Q30" s="541"/>
      <c r="R30" s="312"/>
      <c r="S30" s="286"/>
      <c r="T30" s="286"/>
      <c r="U30" s="286"/>
      <c r="V30" s="286"/>
      <c r="W30" s="286"/>
    </row>
    <row r="31">
      <c r="A31" s="307" t="str">
        <f>IFERROR(__xludf.DUMMYFUNCTION("""COMPUTED_VALUE"""),"MICRO")</f>
        <v>MICRO</v>
      </c>
      <c r="B31" s="318" t="str">
        <f>IFERROR(__xludf.DUMMYFUNCTION("""COMPUTED_VALUE"""),"itscendi")</f>
        <v>itscendi</v>
      </c>
      <c r="C31" s="535" t="str">
        <f>IFERROR(__xludf.DUMMYFUNCTION("""COMPUTED_VALUE"""),"https://www.tiktok.com/@itscendi")</f>
        <v>https://www.tiktok.com/@itscendi</v>
      </c>
      <c r="D31" s="316">
        <f>IFERROR(__xludf.DUMMYFUNCTION("""COMPUTED_VALUE"""),8.7746514165E10)</f>
        <v>87746514165</v>
      </c>
      <c r="E31" s="319">
        <f>IFERROR(__xludf.DUMMYFUNCTION("""COMPUTED_VALUE"""),300000.0)</f>
        <v>300000</v>
      </c>
      <c r="F31" s="316">
        <f>IFERROR(__xludf.DUMMYFUNCTION("""COMPUTED_VALUE"""),2.0)</f>
        <v>2</v>
      </c>
      <c r="G31" s="551" t="str">
        <f>IFERROR(__xludf.DUMMYFUNCTION("""COMPUTED_VALUE"""),"PR Package")</f>
        <v>PR Package</v>
      </c>
      <c r="H31" s="463" t="str">
        <f>IFERROR(__xludf.DUMMYFUNCTION("""COMPUTED_VALUE"""),"Sampai")</f>
        <v>Sampai</v>
      </c>
      <c r="I31" s="546" t="str">
        <f>IFERROR(__xludf.DUMMYFUNCTION("""COMPUTED_VALUE""")," Concept 1")</f>
        <v> Concept 1</v>
      </c>
      <c r="J31" s="540" t="str">
        <f>IFERROR(__xludf.DUMMYFUNCTION("""COMPUTED_VALUE"""),"https://vt.tiktok.com/ZSmScyfoS/")</f>
        <v>https://vt.tiktok.com/ZSmScyfoS/</v>
      </c>
      <c r="K31" s="312" t="str">
        <f>IFERROR(__xludf.DUMMYFUNCTION("""COMPUTED_VALUE"""),"#Hx/yKOsuPHa5/YLNG9xZV1pG67OHZh013MwGjwz9AMP/3s1dQRdi7nnf6f6Af+w=")</f>
        <v>#Hx/yKOsuPHa5/YLNG9xZV1pG67OHZh013MwGjwz9AMP/3s1dQRdi7nnf6f6Af+w=</v>
      </c>
      <c r="L31" s="546" t="str">
        <f>IFERROR(__xludf.DUMMYFUNCTION("""COMPUTED_VALUE"""),"Concept 2")</f>
        <v>Concept 2</v>
      </c>
      <c r="M31" s="540" t="str">
        <f>IFERROR(__xludf.DUMMYFUNCTION("""COMPUTED_VALUE"""),"https://vt.tiktok.com/ZSm5A241B/")</f>
        <v>https://vt.tiktok.com/ZSm5A241B/</v>
      </c>
      <c r="N31" s="541" t="str">
        <f>IFERROR(__xludf.DUMMYFUNCTION("""COMPUTED_VALUE"""),"#oLZLfiQ9SO2YmhjS1kENn5Gm6xzXVZp3B3RvI1521igwggBQSnGYrou03CqbFag=")</f>
        <v>#oLZLfiQ9SO2YmhjS1kENn5Gm6xzXVZp3B3RvI1521igwggBQSnGYrou03CqbFag=</v>
      </c>
      <c r="O31" s="541"/>
      <c r="P31" s="541"/>
      <c r="Q31" s="541"/>
      <c r="R31" s="312"/>
      <c r="S31" s="286"/>
      <c r="T31" s="286"/>
      <c r="U31" s="286"/>
      <c r="V31" s="286"/>
      <c r="W31" s="286"/>
    </row>
    <row r="32">
      <c r="A32" s="307" t="str">
        <f>IFERROR(__xludf.DUMMYFUNCTION("""COMPUTED_VALUE"""),"MICRO")</f>
        <v>MICRO</v>
      </c>
      <c r="B32" s="318" t="str">
        <f>IFERROR(__xludf.DUMMYFUNCTION("""COMPUTED_VALUE"""),"gadisaries97")</f>
        <v>gadisaries97</v>
      </c>
      <c r="C32" s="535" t="str">
        <f>IFERROR(__xludf.DUMMYFUNCTION("""COMPUTED_VALUE"""),"https://www.tiktok.com/@gadisaries97")</f>
        <v>https://www.tiktok.com/@gadisaries97</v>
      </c>
      <c r="D32" s="316">
        <f>IFERROR(__xludf.DUMMYFUNCTION("""COMPUTED_VALUE"""),8.3148641923E10)</f>
        <v>83148641923</v>
      </c>
      <c r="E32" s="319">
        <f>IFERROR(__xludf.DUMMYFUNCTION("""COMPUTED_VALUE"""),350000.0)</f>
        <v>350000</v>
      </c>
      <c r="F32" s="316">
        <f>IFERROR(__xludf.DUMMYFUNCTION("""COMPUTED_VALUE"""),2.0)</f>
        <v>2</v>
      </c>
      <c r="G32" s="551" t="str">
        <f>IFERROR(__xludf.DUMMYFUNCTION("""COMPUTED_VALUE"""),"PR Package")</f>
        <v>PR Package</v>
      </c>
      <c r="H32" s="463" t="str">
        <f>IFERROR(__xludf.DUMMYFUNCTION("""COMPUTED_VALUE"""),"Sampai")</f>
        <v>Sampai</v>
      </c>
      <c r="I32" s="546" t="str">
        <f>IFERROR(__xludf.DUMMYFUNCTION("""COMPUTED_VALUE"""),"Concept 2")</f>
        <v>Concept 2</v>
      </c>
      <c r="J32" s="540" t="str">
        <f>IFERROR(__xludf.DUMMYFUNCTION("""COMPUTED_VALUE"""),"https://vt.tiktok.com/ZSmWCeGYe/")</f>
        <v>https://vt.tiktok.com/ZSmWCeGYe/</v>
      </c>
      <c r="K32" s="312" t="str">
        <f>IFERROR(__xludf.DUMMYFUNCTION("""COMPUTED_VALUE"""),"#u6C2ITwGQhWLJ4UwIWN43wxTp3ls0TQ3usvhNEqkpoT8tH2NW4UkFSevhjdo3HI=")</f>
        <v>#u6C2ITwGQhWLJ4UwIWN43wxTp3ls0TQ3usvhNEqkpoT8tH2NW4UkFSevhjdo3HI=</v>
      </c>
      <c r="L32" s="546" t="str">
        <f>IFERROR(__xludf.DUMMYFUNCTION("""COMPUTED_VALUE"""),"Concept 3")</f>
        <v>Concept 3</v>
      </c>
      <c r="M32" s="540" t="str">
        <f>IFERROR(__xludf.DUMMYFUNCTION("""COMPUTED_VALUE"""),"https://vt.tiktok.com/ZSu6JLJUK/")</f>
        <v>https://vt.tiktok.com/ZSu6JLJUK/</v>
      </c>
      <c r="N32" s="541" t="str">
        <f>IFERROR(__xludf.DUMMYFUNCTION("""COMPUTED_VALUE"""),"#1F1VUhzn563q1P0k0ejBv/cwnOIHYMpaPevwLiffMU9GRb65T1SvSmwP+gqKSKg=")</f>
        <v>#1F1VUhzn563q1P0k0ejBv/cwnOIHYMpaPevwLiffMU9GRb65T1SvSmwP+gqKSKg=</v>
      </c>
      <c r="O32" s="541"/>
      <c r="P32" s="541"/>
      <c r="Q32" s="541"/>
      <c r="R32" s="312"/>
      <c r="S32" s="286"/>
      <c r="T32" s="286"/>
      <c r="U32" s="286"/>
      <c r="V32" s="286"/>
      <c r="W32" s="286"/>
    </row>
    <row r="33">
      <c r="A33" s="307" t="str">
        <f>IFERROR(__xludf.DUMMYFUNCTION("""COMPUTED_VALUE"""),"NANO")</f>
        <v>NANO</v>
      </c>
      <c r="B33" s="318" t="str">
        <f>IFERROR(__xludf.DUMMYFUNCTION("""COMPUTED_VALUE"""),"dvirh9")</f>
        <v>dvirh9</v>
      </c>
      <c r="C33" s="535" t="str">
        <f>IFERROR(__xludf.DUMMYFUNCTION("""COMPUTED_VALUE"""),"https://www.tiktok.com/@dvirh9")</f>
        <v>https://www.tiktok.com/@dvirh9</v>
      </c>
      <c r="D33" s="316">
        <f>IFERROR(__xludf.DUMMYFUNCTION("""COMPUTED_VALUE"""),8.7723109306E10)</f>
        <v>87723109306</v>
      </c>
      <c r="E33" s="319">
        <f>IFERROR(__xludf.DUMMYFUNCTION("""COMPUTED_VALUE"""),0.0)</f>
        <v>0</v>
      </c>
      <c r="F33" s="316">
        <f>IFERROR(__xludf.DUMMYFUNCTION("""COMPUTED_VALUE"""),2.0)</f>
        <v>2</v>
      </c>
      <c r="G33" s="551" t="str">
        <f>IFERROR(__xludf.DUMMYFUNCTION("""COMPUTED_VALUE"""),"PR Package")</f>
        <v>PR Package</v>
      </c>
      <c r="H33" s="463" t="str">
        <f>IFERROR(__xludf.DUMMYFUNCTION("""COMPUTED_VALUE"""),"Sampai")</f>
        <v>Sampai</v>
      </c>
      <c r="I33" s="546" t="str">
        <f>IFERROR(__xludf.DUMMYFUNCTION("""COMPUTED_VALUE""")," Concept 1")</f>
        <v> Concept 1</v>
      </c>
      <c r="J33" s="540" t="str">
        <f>IFERROR(__xludf.DUMMYFUNCTION("""COMPUTED_VALUE"""),"https://vt.tiktok.com/ZSagHMUrQ/")</f>
        <v>https://vt.tiktok.com/ZSagHMUrQ/</v>
      </c>
      <c r="K33" s="312" t="str">
        <f>IFERROR(__xludf.DUMMYFUNCTION("""COMPUTED_VALUE"""),"#zFFQG5emyElVeDINwbqIO0QIh+EnHu4U0CyaBnfyka8ms+lBzNVNyKIZ8h5pNyQ=")</f>
        <v>#zFFQG5emyElVeDINwbqIO0QIh+EnHu4U0CyaBnfyka8ms+lBzNVNyKIZ8h5pNyQ=</v>
      </c>
      <c r="L33" s="546" t="str">
        <f>IFERROR(__xludf.DUMMYFUNCTION("""COMPUTED_VALUE"""),"Concept 2")</f>
        <v>Concept 2</v>
      </c>
      <c r="M33" s="540" t="str">
        <f>IFERROR(__xludf.DUMMYFUNCTION("""COMPUTED_VALUE"""),"https://vt.tiktok.com/ZSm2cQctq/")</f>
        <v>https://vt.tiktok.com/ZSm2cQctq/</v>
      </c>
      <c r="N33" s="541" t="str">
        <f>IFERROR(__xludf.DUMMYFUNCTION("""COMPUTED_VALUE"""),"#IGmqbeAHFfED0/SdULCqwvUvlBrEKPk1pBbHyS18lSGpgg6ZSLoEOZPI0BKV//o=")</f>
        <v>#IGmqbeAHFfED0/SdULCqwvUvlBrEKPk1pBbHyS18lSGpgg6ZSLoEOZPI0BKV//o=</v>
      </c>
      <c r="O33" s="541"/>
      <c r="P33" s="541"/>
      <c r="Q33" s="541"/>
      <c r="R33" s="312"/>
      <c r="S33" s="286"/>
      <c r="T33" s="286"/>
      <c r="U33" s="286"/>
      <c r="V33" s="286"/>
      <c r="W33" s="286"/>
    </row>
    <row r="34">
      <c r="A34" s="307" t="str">
        <f>IFERROR(__xludf.DUMMYFUNCTION("""COMPUTED_VALUE"""),"NANO")</f>
        <v>NANO</v>
      </c>
      <c r="B34" s="318" t="str">
        <f>IFERROR(__xludf.DUMMYFUNCTION("""COMPUTED_VALUE"""),"beautysan_ ")</f>
        <v>beautysan_ </v>
      </c>
      <c r="C34" s="535" t="str">
        <f>IFERROR(__xludf.DUMMYFUNCTION("""COMPUTED_VALUE"""),"https://www.tiktok.com/@beautysan_ ")</f>
        <v>https://www.tiktok.com/@beautysan_ </v>
      </c>
      <c r="D34" s="316">
        <f>IFERROR(__xludf.DUMMYFUNCTION("""COMPUTED_VALUE"""),8.9542303633E11)</f>
        <v>895423036330</v>
      </c>
      <c r="E34" s="319">
        <f>IFERROR(__xludf.DUMMYFUNCTION("""COMPUTED_VALUE"""),0.0)</f>
        <v>0</v>
      </c>
      <c r="F34" s="316">
        <f>IFERROR(__xludf.DUMMYFUNCTION("""COMPUTED_VALUE"""),2.0)</f>
        <v>2</v>
      </c>
      <c r="G34" s="551" t="str">
        <f>IFERROR(__xludf.DUMMYFUNCTION("""COMPUTED_VALUE"""),"PR Package")</f>
        <v>PR Package</v>
      </c>
      <c r="H34" s="463" t="str">
        <f>IFERROR(__xludf.DUMMYFUNCTION("""COMPUTED_VALUE"""),"Sampai")</f>
        <v>Sampai</v>
      </c>
      <c r="I34" s="546" t="str">
        <f>IFERROR(__xludf.DUMMYFUNCTION("""COMPUTED_VALUE""")," Concept 1")</f>
        <v> Concept 1</v>
      </c>
      <c r="J34" s="540" t="str">
        <f>IFERROR(__xludf.DUMMYFUNCTION("""COMPUTED_VALUE"""),"https://vt.tiktok.com/ZSm5PRGE7/")</f>
        <v>https://vt.tiktok.com/ZSm5PRGE7/</v>
      </c>
      <c r="K34" s="312" t="str">
        <f>IFERROR(__xludf.DUMMYFUNCTION("""COMPUTED_VALUE"""),"#6lxP4r66VUA+ZqNhz5QVMtV8IWKIHnUyVxt76D8pNBQU6jtTOme+wDEmTVRijLU=")</f>
        <v>#6lxP4r66VUA+ZqNhz5QVMtV8IWKIHnUyVxt76D8pNBQU6jtTOme+wDEmTVRijLU=</v>
      </c>
      <c r="L34" s="546" t="str">
        <f>IFERROR(__xludf.DUMMYFUNCTION("""COMPUTED_VALUE"""),"Concept 3")</f>
        <v>Concept 3</v>
      </c>
      <c r="M34" s="540" t="str">
        <f>IFERROR(__xludf.DUMMYFUNCTION("""COMPUTED_VALUE"""),"https://vt.tiktok.com/ZSmqkw9Hp/")</f>
        <v>https://vt.tiktok.com/ZSmqkw9Hp/</v>
      </c>
      <c r="N34" s="541" t="str">
        <f>IFERROR(__xludf.DUMMYFUNCTION("""COMPUTED_VALUE"""),"#w2LgW+9Yaoq1idchByJXFWZrQo5v7lyWUgzw7cb1yAOuzm30AUsYkawsL2bRUh8=")</f>
        <v>#w2LgW+9Yaoq1idchByJXFWZrQo5v7lyWUgzw7cb1yAOuzm30AUsYkawsL2bRUh8=</v>
      </c>
      <c r="O34" s="541"/>
      <c r="P34" s="541"/>
      <c r="Q34" s="541"/>
      <c r="R34" s="312"/>
      <c r="S34" s="286"/>
      <c r="T34" s="286"/>
      <c r="U34" s="286"/>
      <c r="V34" s="286"/>
      <c r="W34" s="286"/>
    </row>
    <row r="35">
      <c r="A35" s="307" t="str">
        <f>IFERROR(__xludf.DUMMYFUNCTION("""COMPUTED_VALUE"""),"MICRO")</f>
        <v>MICRO</v>
      </c>
      <c r="B35" s="318" t="str">
        <f>IFERROR(__xludf.DUMMYFUNCTION("""COMPUTED_VALUE"""),"liayulianti1278")</f>
        <v>liayulianti1278</v>
      </c>
      <c r="C35" s="535" t="str">
        <f>IFERROR(__xludf.DUMMYFUNCTION("""COMPUTED_VALUE"""),"https://www.tiktok.com/@liayulianti1278")</f>
        <v>https://www.tiktok.com/@liayulianti1278</v>
      </c>
      <c r="D35" s="316">
        <f>IFERROR(__xludf.DUMMYFUNCTION("""COMPUTED_VALUE"""),8.1220183515E10)</f>
        <v>81220183515</v>
      </c>
      <c r="E35" s="319">
        <f>IFERROR(__xludf.DUMMYFUNCTION("""COMPUTED_VALUE"""),0.0)</f>
        <v>0</v>
      </c>
      <c r="F35" s="316">
        <f>IFERROR(__xludf.DUMMYFUNCTION("""COMPUTED_VALUE"""),2.0)</f>
        <v>2</v>
      </c>
      <c r="G35" s="551" t="str">
        <f>IFERROR(__xludf.DUMMYFUNCTION("""COMPUTED_VALUE"""),"PR Package")</f>
        <v>PR Package</v>
      </c>
      <c r="H35" s="463" t="str">
        <f>IFERROR(__xludf.DUMMYFUNCTION("""COMPUTED_VALUE"""),"Sampai")</f>
        <v>Sampai</v>
      </c>
      <c r="I35" s="546" t="str">
        <f>IFERROR(__xludf.DUMMYFUNCTION("""COMPUTED_VALUE""")," Concept 1")</f>
        <v> Concept 1</v>
      </c>
      <c r="J35" s="540" t="str">
        <f>IFERROR(__xludf.DUMMYFUNCTION("""COMPUTED_VALUE"""),"https://vt.tiktok.com/ZSmY1sS1X/")</f>
        <v>https://vt.tiktok.com/ZSmY1sS1X/</v>
      </c>
      <c r="K35" s="312" t="str">
        <f>IFERROR(__xludf.DUMMYFUNCTION("""COMPUTED_VALUE"""),"#o/CjfIC+lxVus01cNKoDZc09nXwQGjcoUn9Zl6R9RINGt0QqFHpqSb0d1DVso7E=19,028")</f>
        <v>#o/CjfIC+lxVus01cNKoDZc09nXwQGjcoUn9Zl6R9RINGt0QqFHpqSb0d1DVso7E=19,028</v>
      </c>
      <c r="L35" s="546" t="str">
        <f>IFERROR(__xludf.DUMMYFUNCTION("""COMPUTED_VALUE"""),"Concept 3")</f>
        <v>Concept 3</v>
      </c>
      <c r="M35" s="540" t="str">
        <f>IFERROR(__xludf.DUMMYFUNCTION("""COMPUTED_VALUE"""),"https://vt.tiktok.com/ZSuJgvEDX/")</f>
        <v>https://vt.tiktok.com/ZSuJgvEDX/</v>
      </c>
      <c r="N35" s="541" t="str">
        <f>IFERROR(__xludf.DUMMYFUNCTION("""COMPUTED_VALUE"""),"#cMu8suXp0XvDNqGegVFVpWKldhEFucmGkkM7u/vnicZGPrHAupAFXgrHNnpt3oY=")</f>
        <v>#cMu8suXp0XvDNqGegVFVpWKldhEFucmGkkM7u/vnicZGPrHAupAFXgrHNnpt3oY=</v>
      </c>
      <c r="O35" s="540" t="str">
        <f>IFERROR(__xludf.DUMMYFUNCTION("""COMPUTED_VALUE"""),"https://vt.tiktok.com/ZSHmk38Ey/")</f>
        <v>https://vt.tiktok.com/ZSHmk38Ey/</v>
      </c>
      <c r="P35" s="541" t="str">
        <f>IFERROR(__xludf.DUMMYFUNCTION("""COMPUTED_VALUE"""),"#YYd3P5YJGDk3JN3moH5YRu604PjXn1AeyImUC/yrV+qXR6mE0xSKSTMPWXW7amY=")</f>
        <v>#YYd3P5YJGDk3JN3moH5YRu604PjXn1AeyImUC/yrV+qXR6mE0xSKSTMPWXW7amY=</v>
      </c>
      <c r="Q35" s="540" t="str">
        <f>IFERROR(__xludf.DUMMYFUNCTION("""COMPUTED_VALUE"""),"https://vt.tiktok.com/ZSHmBhL2X/")</f>
        <v>https://vt.tiktok.com/ZSHmBhL2X/</v>
      </c>
      <c r="R35" s="312"/>
      <c r="S35" s="286"/>
      <c r="T35" s="286"/>
      <c r="U35" s="286"/>
      <c r="V35" s="286"/>
      <c r="W35" s="286"/>
    </row>
    <row r="36">
      <c r="A36" s="307" t="str">
        <f>IFERROR(__xludf.DUMMYFUNCTION("""COMPUTED_VALUE"""),"NANO")</f>
        <v>NANO</v>
      </c>
      <c r="B36" s="318" t="str">
        <f>IFERROR(__xludf.DUMMYFUNCTION("""COMPUTED_VALUE"""),"dinifu1")</f>
        <v>dinifu1</v>
      </c>
      <c r="C36" s="535" t="str">
        <f>IFERROR(__xludf.DUMMYFUNCTION("""COMPUTED_VALUE"""),"https://www.tiktok.com/@dinifu1")</f>
        <v>https://www.tiktok.com/@dinifu1</v>
      </c>
      <c r="D36" s="316">
        <f>IFERROR(__xludf.DUMMYFUNCTION("""COMPUTED_VALUE"""),8.1312275695E10)</f>
        <v>81312275695</v>
      </c>
      <c r="E36" s="319">
        <f>IFERROR(__xludf.DUMMYFUNCTION("""COMPUTED_VALUE"""),0.0)</f>
        <v>0</v>
      </c>
      <c r="F36" s="316">
        <f>IFERROR(__xludf.DUMMYFUNCTION("""COMPUTED_VALUE"""),2.0)</f>
        <v>2</v>
      </c>
      <c r="G36" s="551" t="str">
        <f>IFERROR(__xludf.DUMMYFUNCTION("""COMPUTED_VALUE"""),"PR Package")</f>
        <v>PR Package</v>
      </c>
      <c r="H36" s="463" t="str">
        <f>IFERROR(__xludf.DUMMYFUNCTION("""COMPUTED_VALUE"""),"Sampai")</f>
        <v>Sampai</v>
      </c>
      <c r="I36" s="546" t="str">
        <f>IFERROR(__xludf.DUMMYFUNCTION("""COMPUTED_VALUE""")," Concept 1")</f>
        <v> Concept 1</v>
      </c>
      <c r="J36" s="540" t="str">
        <f>IFERROR(__xludf.DUMMYFUNCTION("""COMPUTED_VALUE"""),"https://vt.tiktok.com/ZSmq1BrAY/")</f>
        <v>https://vt.tiktok.com/ZSmq1BrAY/</v>
      </c>
      <c r="K36" s="312" t="str">
        <f>IFERROR(__xludf.DUMMYFUNCTION("""COMPUTED_VALUE"""),"#0ncZ5233K+lXTw1Bl4wCQY3VW2trm/NnLs3GjC5yFAVUgszyotb6nfGWwnDV7bY=")</f>
        <v>#0ncZ5233K+lXTw1Bl4wCQY3VW2trm/NnLs3GjC5yFAVUgszyotb6nfGWwnDV7bY=</v>
      </c>
      <c r="L36" s="546" t="str">
        <f>IFERROR(__xludf.DUMMYFUNCTION("""COMPUTED_VALUE"""),"Concept 3")</f>
        <v>Concept 3</v>
      </c>
      <c r="M36" s="540" t="str">
        <f>IFERROR(__xludf.DUMMYFUNCTION("""COMPUTED_VALUE"""),"https://vt.tiktok.com/ZSmW5Ek8f/")</f>
        <v>https://vt.tiktok.com/ZSmW5Ek8f/</v>
      </c>
      <c r="N36" s="541" t="str">
        <f>IFERROR(__xludf.DUMMYFUNCTION("""COMPUTED_VALUE"""),"#eiDrri/yo1o9L/ykkA8QjHbwXq12iRSwlqRs2RuhJERLZT4hT+imLVTZOM4qoI4=")</f>
        <v>#eiDrri/yo1o9L/ykkA8QjHbwXq12iRSwlqRs2RuhJERLZT4hT+imLVTZOM4qoI4=</v>
      </c>
      <c r="O36" s="541"/>
      <c r="P36" s="541"/>
      <c r="Q36" s="541"/>
      <c r="R36" s="312"/>
      <c r="S36" s="286"/>
      <c r="T36" s="286"/>
      <c r="U36" s="286"/>
      <c r="V36" s="286"/>
      <c r="W36" s="286"/>
    </row>
    <row r="37">
      <c r="A37" s="307" t="str">
        <f>IFERROR(__xludf.DUMMYFUNCTION("""COMPUTED_VALUE"""),"NANO")</f>
        <v>NANO</v>
      </c>
      <c r="B37" s="318" t="str">
        <f>IFERROR(__xludf.DUMMYFUNCTION("""COMPUTED_VALUE"""),"queenhannisss")</f>
        <v>queenhannisss</v>
      </c>
      <c r="C37" s="535" t="str">
        <f>IFERROR(__xludf.DUMMYFUNCTION("""COMPUTED_VALUE"""),"https://www.tiktok.com/@queenhannisss")</f>
        <v>https://www.tiktok.com/@queenhannisss</v>
      </c>
      <c r="D37" s="316">
        <f>IFERROR(__xludf.DUMMYFUNCTION("""COMPUTED_VALUE"""),8.126685182E9)</f>
        <v>8126685182</v>
      </c>
      <c r="E37" s="319">
        <f>IFERROR(__xludf.DUMMYFUNCTION("""COMPUTED_VALUE"""),0.0)</f>
        <v>0</v>
      </c>
      <c r="F37" s="316">
        <f>IFERROR(__xludf.DUMMYFUNCTION("""COMPUTED_VALUE"""),2.0)</f>
        <v>2</v>
      </c>
      <c r="G37" s="551" t="str">
        <f>IFERROR(__xludf.DUMMYFUNCTION("""COMPUTED_VALUE"""),"PR Package")</f>
        <v>PR Package</v>
      </c>
      <c r="H37" s="463" t="str">
        <f>IFERROR(__xludf.DUMMYFUNCTION("""COMPUTED_VALUE"""),"Sampai")</f>
        <v>Sampai</v>
      </c>
      <c r="I37" s="546" t="str">
        <f>IFERROR(__xludf.DUMMYFUNCTION("""COMPUTED_VALUE"""),"Concept 2")</f>
        <v>Concept 2</v>
      </c>
      <c r="J37" s="540" t="str">
        <f>IFERROR(__xludf.DUMMYFUNCTION("""COMPUTED_VALUE"""),"https://vt.tiktok.com/ZSmfQNxqF/")</f>
        <v>https://vt.tiktok.com/ZSmfQNxqF/</v>
      </c>
      <c r="K37" s="312" t="str">
        <f>IFERROR(__xludf.DUMMYFUNCTION("""COMPUTED_VALUE"""),"#4MO0dzwdi7ASu7+u5hJ3IhZD08n3lLbodBmMT/q95PtjJbjDm+Teo7dSnq95gEU=")</f>
        <v>#4MO0dzwdi7ASu7+u5hJ3IhZD08n3lLbodBmMT/q95PtjJbjDm+Teo7dSnq95gEU=</v>
      </c>
      <c r="L37" s="546" t="str">
        <f>IFERROR(__xludf.DUMMYFUNCTION("""COMPUTED_VALUE""")," Concept 1")</f>
        <v> Concept 1</v>
      </c>
      <c r="M37" s="540" t="str">
        <f>IFERROR(__xludf.DUMMYFUNCTION("""COMPUTED_VALUE"""),"https://vt.tiktok.com/ZSmQDj2Qd/")</f>
        <v>https://vt.tiktok.com/ZSmQDj2Qd/</v>
      </c>
      <c r="N37" s="541" t="str">
        <f>IFERROR(__xludf.DUMMYFUNCTION("""COMPUTED_VALUE"""),"#9Tor9MRhyqco9Kemn5Papltir/nEW1TIPHSKhbssBRE92N+8TGxzGA2ta/qpCx0=")</f>
        <v>#9Tor9MRhyqco9Kemn5Papltir/nEW1TIPHSKhbssBRE92N+8TGxzGA2ta/qpCx0=</v>
      </c>
      <c r="O37" s="541"/>
      <c r="P37" s="541"/>
      <c r="Q37" s="541"/>
      <c r="R37" s="312"/>
      <c r="S37" s="286"/>
      <c r="T37" s="286"/>
      <c r="U37" s="286"/>
      <c r="V37" s="286"/>
      <c r="W37" s="286"/>
    </row>
    <row r="38">
      <c r="A38" s="307" t="str">
        <f>IFERROR(__xludf.DUMMYFUNCTION("""COMPUTED_VALUE"""),"NANO")</f>
        <v>NANO</v>
      </c>
      <c r="B38" s="318" t="str">
        <f>IFERROR(__xludf.DUMMYFUNCTION("""COMPUTED_VALUE"""),"melani.makeup17")</f>
        <v>melani.makeup17</v>
      </c>
      <c r="C38" s="535" t="str">
        <f>IFERROR(__xludf.DUMMYFUNCTION("""COMPUTED_VALUE"""),"https://www.tiktok.com/@melani.makeup17")</f>
        <v>https://www.tiktok.com/@melani.makeup17</v>
      </c>
      <c r="D38" s="316">
        <f>IFERROR(__xludf.DUMMYFUNCTION("""COMPUTED_VALUE"""),8.5728913779E10)</f>
        <v>85728913779</v>
      </c>
      <c r="E38" s="552">
        <f>IFERROR(__xludf.DUMMYFUNCTION("""COMPUTED_VALUE"""),0.0)</f>
        <v>0</v>
      </c>
      <c r="F38" s="316">
        <f>IFERROR(__xludf.DUMMYFUNCTION("""COMPUTED_VALUE"""),2.0)</f>
        <v>2</v>
      </c>
      <c r="G38" s="551" t="str">
        <f>IFERROR(__xludf.DUMMYFUNCTION("""COMPUTED_VALUE"""),"PR Package")</f>
        <v>PR Package</v>
      </c>
      <c r="H38" s="463" t="str">
        <f>IFERROR(__xludf.DUMMYFUNCTION("""COMPUTED_VALUE"""),"Sampai")</f>
        <v>Sampai</v>
      </c>
      <c r="I38" s="546" t="str">
        <f>IFERROR(__xludf.DUMMYFUNCTION("""COMPUTED_VALUE""")," Concept 1")</f>
        <v> Concept 1</v>
      </c>
      <c r="J38" s="540" t="str">
        <f>IFERROR(__xludf.DUMMYFUNCTION("""COMPUTED_VALUE"""),"https://vt.tiktok.com/ZSatUQUfR/")</f>
        <v>https://vt.tiktok.com/ZSatUQUfR/</v>
      </c>
      <c r="K38" s="312" t="str">
        <f>IFERROR(__xludf.DUMMYFUNCTION("""COMPUTED_VALUE"""),"#X1mYRZB6FB2oWUqfeFoMpVdqmSrQkP/FJpkXe9eNxkq1+SZ7/Li8r6Gvv7RBlrw=")</f>
        <v>#X1mYRZB6FB2oWUqfeFoMpVdqmSrQkP/FJpkXe9eNxkq1+SZ7/Li8r6Gvv7RBlrw=</v>
      </c>
      <c r="L38" s="546" t="str">
        <f>IFERROR(__xludf.DUMMYFUNCTION("""COMPUTED_VALUE"""),"Concept 2")</f>
        <v>Concept 2</v>
      </c>
      <c r="M38" s="540" t="str">
        <f>IFERROR(__xludf.DUMMYFUNCTION("""COMPUTED_VALUE"""),"https://vt.tiktok.com/ZSavuEWFf/")</f>
        <v>https://vt.tiktok.com/ZSavuEWFf/</v>
      </c>
      <c r="N38" s="541" t="str">
        <f>IFERROR(__xludf.DUMMYFUNCTION("""COMPUTED_VALUE"""),"#KFr4EBhb9HF9+BVeC7kU6VhqeGOzKBNAcMuS8ng0PD5ksXDbe80xDUAFiF57/Ic=")</f>
        <v>#KFr4EBhb9HF9+BVeC7kU6VhqeGOzKBNAcMuS8ng0PD5ksXDbe80xDUAFiF57/Ic=</v>
      </c>
      <c r="O38" s="541"/>
      <c r="P38" s="541"/>
      <c r="Q38" s="541"/>
      <c r="R38" s="312"/>
      <c r="S38" s="286"/>
      <c r="T38" s="286"/>
      <c r="U38" s="286"/>
      <c r="V38" s="286"/>
      <c r="W38" s="286"/>
    </row>
    <row r="39">
      <c r="A39" s="307" t="str">
        <f>IFERROR(__xludf.DUMMYFUNCTION("""COMPUTED_VALUE"""),"NANO")</f>
        <v>NANO</v>
      </c>
      <c r="B39" s="318" t="str">
        <f>IFERROR(__xludf.DUMMYFUNCTION("""COMPUTED_VALUE"""),"zrshafaaaa ")</f>
        <v>zrshafaaaa </v>
      </c>
      <c r="C39" s="535" t="str">
        <f>IFERROR(__xludf.DUMMYFUNCTION("""COMPUTED_VALUE"""),"https://www.tiktok.com/@zrshafaaaa ")</f>
        <v>https://www.tiktok.com/@zrshafaaaa </v>
      </c>
      <c r="D39" s="316">
        <f>IFERROR(__xludf.DUMMYFUNCTION("""COMPUTED_VALUE"""),8.513359946E10)</f>
        <v>85133599460</v>
      </c>
      <c r="E39" s="552">
        <f>IFERROR(__xludf.DUMMYFUNCTION("""COMPUTED_VALUE"""),0.0)</f>
        <v>0</v>
      </c>
      <c r="F39" s="316">
        <f>IFERROR(__xludf.DUMMYFUNCTION("""COMPUTED_VALUE"""),2.0)</f>
        <v>2</v>
      </c>
      <c r="G39" s="551" t="str">
        <f>IFERROR(__xludf.DUMMYFUNCTION("""COMPUTED_VALUE"""),"PR Package")</f>
        <v>PR Package</v>
      </c>
      <c r="H39" s="463" t="str">
        <f>IFERROR(__xludf.DUMMYFUNCTION("""COMPUTED_VALUE"""),"Sampai")</f>
        <v>Sampai</v>
      </c>
      <c r="I39" s="546" t="str">
        <f>IFERROR(__xludf.DUMMYFUNCTION("""COMPUTED_VALUE""")," Concept 1")</f>
        <v> Concept 1</v>
      </c>
      <c r="J39" s="540" t="str">
        <f>IFERROR(__xludf.DUMMYFUNCTION("""COMPUTED_VALUE"""),"https://vt.tiktok.com/ZSmh6y3VC/")</f>
        <v>https://vt.tiktok.com/ZSmh6y3VC/</v>
      </c>
      <c r="K39" s="312" t="str">
        <f>IFERROR(__xludf.DUMMYFUNCTION("""COMPUTED_VALUE"""),"#NhQFhtx2tBOHMzNxv2TCsHvVLwTZYooNaCDlTH7hrLzlzopvz+3Qk+SOlpVl4VU=")</f>
        <v>#NhQFhtx2tBOHMzNxv2TCsHvVLwTZYooNaCDlTH7hrLzlzopvz+3Qk+SOlpVl4VU=</v>
      </c>
      <c r="L39" s="546" t="str">
        <f>IFERROR(__xludf.DUMMYFUNCTION("""COMPUTED_VALUE"""),"Concept 2")</f>
        <v>Concept 2</v>
      </c>
      <c r="M39" s="540" t="str">
        <f>IFERROR(__xludf.DUMMYFUNCTION("""COMPUTED_VALUE"""),"https://vt.tiktok.com/ZSm4N14wY/ ")</f>
        <v>https://vt.tiktok.com/ZSm4N14wY/ </v>
      </c>
      <c r="N39" s="541" t="str">
        <f>IFERROR(__xludf.DUMMYFUNCTION("""COMPUTED_VALUE"""),"#tVMo1P0B5c5UmD87eXPMEA3z3rvmFVqdVzKg8lDX9naQqBRWQqWdUhIROR9q7UE=")</f>
        <v>#tVMo1P0B5c5UmD87eXPMEA3z3rvmFVqdVzKg8lDX9naQqBRWQqWdUhIROR9q7UE=</v>
      </c>
      <c r="O39" s="541"/>
      <c r="P39" s="541"/>
      <c r="Q39" s="541"/>
      <c r="R39" s="312"/>
      <c r="S39" s="286"/>
      <c r="T39" s="286"/>
      <c r="U39" s="286"/>
      <c r="V39" s="286"/>
      <c r="W39" s="286"/>
    </row>
    <row r="40">
      <c r="A40" s="307" t="str">
        <f>IFERROR(__xludf.DUMMYFUNCTION("""COMPUTED_VALUE"""),"NANO")</f>
        <v>NANO</v>
      </c>
      <c r="B40" s="318" t="str">
        <f>IFERROR(__xludf.DUMMYFUNCTION("""COMPUTED_VALUE"""),"naadeblue ")</f>
        <v>naadeblue </v>
      </c>
      <c r="C40" s="535" t="str">
        <f>IFERROR(__xludf.DUMMYFUNCTION("""COMPUTED_VALUE"""),"https://www.tiktok.com/@naadeblue ")</f>
        <v>https://www.tiktok.com/@naadeblue </v>
      </c>
      <c r="D40" s="316">
        <f>IFERROR(__xludf.DUMMYFUNCTION("""COMPUTED_VALUE"""),8.5747947988E10)</f>
        <v>85747947988</v>
      </c>
      <c r="E40" s="552">
        <f>IFERROR(__xludf.DUMMYFUNCTION("""COMPUTED_VALUE"""),0.0)</f>
        <v>0</v>
      </c>
      <c r="F40" s="316">
        <f>IFERROR(__xludf.DUMMYFUNCTION("""COMPUTED_VALUE"""),2.0)</f>
        <v>2</v>
      </c>
      <c r="G40" s="551" t="str">
        <f>IFERROR(__xludf.DUMMYFUNCTION("""COMPUTED_VALUE"""),"PR Package")</f>
        <v>PR Package</v>
      </c>
      <c r="H40" s="463" t="str">
        <f>IFERROR(__xludf.DUMMYFUNCTION("""COMPUTED_VALUE"""),"Sampai")</f>
        <v>Sampai</v>
      </c>
      <c r="I40" s="546" t="str">
        <f>IFERROR(__xludf.DUMMYFUNCTION("""COMPUTED_VALUE"""),"Concept 2")</f>
        <v>Concept 2</v>
      </c>
      <c r="J40" s="540" t="str">
        <f>IFERROR(__xludf.DUMMYFUNCTION("""COMPUTED_VALUE"""),"https://vt.tiktok.com/ZSmY8UnUp/")</f>
        <v>https://vt.tiktok.com/ZSmY8UnUp/</v>
      </c>
      <c r="K40" s="312" t="str">
        <f>IFERROR(__xludf.DUMMYFUNCTION("""COMPUTED_VALUE"""),"#KiKD9ZVQTggPjFMw5gJqMWVC8eE4nmjfsMLSfD9jJZqCvBTCevxHnYe11GOSzDk=")</f>
        <v>#KiKD9ZVQTggPjFMw5gJqMWVC8eE4nmjfsMLSfD9jJZqCvBTCevxHnYe11GOSzDk=</v>
      </c>
      <c r="L40" s="546" t="str">
        <f>IFERROR(__xludf.DUMMYFUNCTION("""COMPUTED_VALUE""")," Concept 1")</f>
        <v> Concept 1</v>
      </c>
      <c r="M40" s="540" t="str">
        <f>IFERROR(__xludf.DUMMYFUNCTION("""COMPUTED_VALUE"""),"https://vt.tiktok.com/ZSmY8mJsN/")</f>
        <v>https://vt.tiktok.com/ZSmY8mJsN/</v>
      </c>
      <c r="N40" s="541" t="str">
        <f>IFERROR(__xludf.DUMMYFUNCTION("""COMPUTED_VALUE"""),"#SS/07iYMoWJCtjst5aNUH3QtcQwFEbTW/3zYGzUVoleTf1TDkF4sPPcr/d1hRgo=")</f>
        <v>#SS/07iYMoWJCtjst5aNUH3QtcQwFEbTW/3zYGzUVoleTf1TDkF4sPPcr/d1hRgo=</v>
      </c>
      <c r="O40" s="541"/>
      <c r="P40" s="541"/>
      <c r="Q40" s="541"/>
      <c r="R40" s="312"/>
      <c r="S40" s="286"/>
      <c r="T40" s="286"/>
      <c r="U40" s="286"/>
      <c r="V40" s="286"/>
      <c r="W40" s="286"/>
    </row>
    <row r="41">
      <c r="A41" s="307" t="str">
        <f>IFERROR(__xludf.DUMMYFUNCTION("""COMPUTED_VALUE"""),"MACRO")</f>
        <v>MACRO</v>
      </c>
      <c r="B41" s="318" t="str">
        <f>IFERROR(__xludf.DUMMYFUNCTION("""COMPUTED_VALUE"""),"elzahiraa25")</f>
        <v>elzahiraa25</v>
      </c>
      <c r="C41" s="535" t="str">
        <f>IFERROR(__xludf.DUMMYFUNCTION("""COMPUTED_VALUE"""),"https://www.tiktok.com/@elzahiraa25")</f>
        <v>https://www.tiktok.com/@elzahiraa25</v>
      </c>
      <c r="D41" s="316">
        <f>IFERROR(__xludf.DUMMYFUNCTION("""COMPUTED_VALUE"""),8.979443408E9)</f>
        <v>8979443408</v>
      </c>
      <c r="E41" s="552">
        <f>IFERROR(__xludf.DUMMYFUNCTION("""COMPUTED_VALUE"""),0.0)</f>
        <v>0</v>
      </c>
      <c r="F41" s="316">
        <f>IFERROR(__xludf.DUMMYFUNCTION("""COMPUTED_VALUE"""),2.0)</f>
        <v>2</v>
      </c>
      <c r="G41" s="551" t="str">
        <f>IFERROR(__xludf.DUMMYFUNCTION("""COMPUTED_VALUE"""),"PR Package")</f>
        <v>PR Package</v>
      </c>
      <c r="H41" s="463" t="str">
        <f>IFERROR(__xludf.DUMMYFUNCTION("""COMPUTED_VALUE"""),"Sampai")</f>
        <v>Sampai</v>
      </c>
      <c r="I41" s="546" t="str">
        <f>IFERROR(__xludf.DUMMYFUNCTION("""COMPUTED_VALUE"""),"Concept 3")</f>
        <v>Concept 3</v>
      </c>
      <c r="J41" s="540" t="str">
        <f>IFERROR(__xludf.DUMMYFUNCTION("""COMPUTED_VALUE"""),"https://vt.tiktok.com/ZSmYRR3Qf/")</f>
        <v>https://vt.tiktok.com/ZSmYRR3Qf/</v>
      </c>
      <c r="K41" s="312" t="str">
        <f>IFERROR(__xludf.DUMMYFUNCTION("""COMPUTED_VALUE"""),"#HevJXHUFSBkOfbEyBFwwBCqJkBkCR9FrjsDdU6qF81W/+jmT28qmkiim/6KgmRc=")</f>
        <v>#HevJXHUFSBkOfbEyBFwwBCqJkBkCR9FrjsDdU6qF81W/+jmT28qmkiim/6KgmRc=</v>
      </c>
      <c r="L41" s="546" t="str">
        <f>IFERROR(__xludf.DUMMYFUNCTION("""COMPUTED_VALUE"""),"Concept 3")</f>
        <v>Concept 3</v>
      </c>
      <c r="M41" s="540" t="str">
        <f>IFERROR(__xludf.DUMMYFUNCTION("""COMPUTED_VALUE"""),"https://vt.tiktok.com/ZSm5VJt8V/")</f>
        <v>https://vt.tiktok.com/ZSm5VJt8V/</v>
      </c>
      <c r="N41" s="541" t="str">
        <f>IFERROR(__xludf.DUMMYFUNCTION("""COMPUTED_VALUE"""),"#wBxpPlecwegTo4q02QEet1PPtoITay4SwdlJSS79dNV4mDqC3DjuT/QUOK/6pCc=")</f>
        <v>#wBxpPlecwegTo4q02QEet1PPtoITay4SwdlJSS79dNV4mDqC3DjuT/QUOK/6pCc=</v>
      </c>
      <c r="O41" s="541"/>
      <c r="P41" s="541"/>
      <c r="Q41" s="541"/>
      <c r="R41" s="312"/>
      <c r="S41" s="286"/>
      <c r="T41" s="286"/>
      <c r="U41" s="286"/>
      <c r="V41" s="286"/>
      <c r="W41" s="286"/>
    </row>
    <row r="42">
      <c r="A42" s="307" t="str">
        <f>IFERROR(__xludf.DUMMYFUNCTION("""COMPUTED_VALUE"""),"NANO")</f>
        <v>NANO</v>
      </c>
      <c r="B42" s="318" t="str">
        <f>IFERROR(__xludf.DUMMYFUNCTION("""COMPUTED_VALUE"""),"ssndeti")</f>
        <v>ssndeti</v>
      </c>
      <c r="C42" s="535" t="str">
        <f>IFERROR(__xludf.DUMMYFUNCTION("""COMPUTED_VALUE"""),"https://www.tiktok.com/@ssndeti")</f>
        <v>https://www.tiktok.com/@ssndeti</v>
      </c>
      <c r="D42" s="316">
        <f>IFERROR(__xludf.DUMMYFUNCTION("""COMPUTED_VALUE"""),8.5890742278E10)</f>
        <v>85890742278</v>
      </c>
      <c r="E42" s="552">
        <f>IFERROR(__xludf.DUMMYFUNCTION("""COMPUTED_VALUE"""),0.0)</f>
        <v>0</v>
      </c>
      <c r="F42" s="316">
        <f>IFERROR(__xludf.DUMMYFUNCTION("""COMPUTED_VALUE"""),2.0)</f>
        <v>2</v>
      </c>
      <c r="G42" s="551" t="str">
        <f>IFERROR(__xludf.DUMMYFUNCTION("""COMPUTED_VALUE"""),"PR Package")</f>
        <v>PR Package</v>
      </c>
      <c r="H42" s="463" t="str">
        <f>IFERROR(__xludf.DUMMYFUNCTION("""COMPUTED_VALUE"""),"Sampai")</f>
        <v>Sampai</v>
      </c>
      <c r="I42" s="546" t="str">
        <f>IFERROR(__xludf.DUMMYFUNCTION("""COMPUTED_VALUE""")," Concept 1")</f>
        <v> Concept 1</v>
      </c>
      <c r="J42" s="540" t="str">
        <f>IFERROR(__xludf.DUMMYFUNCTION("""COMPUTED_VALUE"""),"https://vt.tiktok.com/ZSmpwCwWM/")</f>
        <v>https://vt.tiktok.com/ZSmpwCwWM/</v>
      </c>
      <c r="K42" s="312" t="str">
        <f>IFERROR(__xludf.DUMMYFUNCTION("""COMPUTED_VALUE"""),"#Kl0y06fzYhvpH3YG8vtFg6WesmqQJ7JkqNWw/2H+/ediOkI3NYB3gwcM65ghq0Y=")</f>
        <v>#Kl0y06fzYhvpH3YG8vtFg6WesmqQJ7JkqNWw/2H+/ediOkI3NYB3gwcM65ghq0Y=</v>
      </c>
      <c r="L42" s="546" t="str">
        <f>IFERROR(__xludf.DUMMYFUNCTION("""COMPUTED_VALUE"""),"Concept 2")</f>
        <v>Concept 2</v>
      </c>
      <c r="M42" s="540" t="str">
        <f>IFERROR(__xludf.DUMMYFUNCTION("""COMPUTED_VALUE"""),"https://vt.tiktok.com/ZSmWhEDWn/")</f>
        <v>https://vt.tiktok.com/ZSmWhEDWn/</v>
      </c>
      <c r="N42" s="541" t="str">
        <f>IFERROR(__xludf.DUMMYFUNCTION("""COMPUTED_VALUE"""),"#jlsDoYZ9zXQAr+dQYiYma4uHrQlzDuSvLcJyc1+GVQdnDLdL5tDUmEpHaWA4yP4=")</f>
        <v>#jlsDoYZ9zXQAr+dQYiYma4uHrQlzDuSvLcJyc1+GVQdnDLdL5tDUmEpHaWA4yP4=</v>
      </c>
      <c r="O42" s="541"/>
      <c r="P42" s="541"/>
      <c r="Q42" s="541"/>
      <c r="R42" s="312"/>
      <c r="S42" s="286"/>
      <c r="T42" s="286"/>
      <c r="U42" s="286"/>
      <c r="V42" s="286"/>
      <c r="W42" s="286"/>
    </row>
    <row r="43">
      <c r="A43" s="307" t="str">
        <f>IFERROR(__xludf.DUMMYFUNCTION("""COMPUTED_VALUE"""),"NANO")</f>
        <v>NANO</v>
      </c>
      <c r="B43" s="318" t="str">
        <f>IFERROR(__xludf.DUMMYFUNCTION("""COMPUTED_VALUE"""),"urchocobite ")</f>
        <v>urchocobite </v>
      </c>
      <c r="C43" s="535" t="str">
        <f>IFERROR(__xludf.DUMMYFUNCTION("""COMPUTED_VALUE"""),"https://www.tiktok.com/@urchocobite ")</f>
        <v>https://www.tiktok.com/@urchocobite </v>
      </c>
      <c r="D43" s="316">
        <f>IFERROR(__xludf.DUMMYFUNCTION("""COMPUTED_VALUE"""),8.5691025371E10)</f>
        <v>85691025371</v>
      </c>
      <c r="E43" s="552">
        <f>IFERROR(__xludf.DUMMYFUNCTION("""COMPUTED_VALUE"""),0.0)</f>
        <v>0</v>
      </c>
      <c r="F43" s="316">
        <f>IFERROR(__xludf.DUMMYFUNCTION("""COMPUTED_VALUE"""),2.0)</f>
        <v>2</v>
      </c>
      <c r="G43" s="551" t="str">
        <f>IFERROR(__xludf.DUMMYFUNCTION("""COMPUTED_VALUE"""),"PR Package")</f>
        <v>PR Package</v>
      </c>
      <c r="H43" s="463" t="str">
        <f>IFERROR(__xludf.DUMMYFUNCTION("""COMPUTED_VALUE"""),"Sampai")</f>
        <v>Sampai</v>
      </c>
      <c r="I43" s="546" t="str">
        <f>IFERROR(__xludf.DUMMYFUNCTION("""COMPUTED_VALUE""")," Concept 1")</f>
        <v> Concept 1</v>
      </c>
      <c r="J43" s="540" t="str">
        <f>IFERROR(__xludf.DUMMYFUNCTION("""COMPUTED_VALUE"""),"https://vt.tiktok.com/ZSm56APov/")</f>
        <v>https://vt.tiktok.com/ZSm56APov/</v>
      </c>
      <c r="K43" s="312" t="str">
        <f>IFERROR(__xludf.DUMMYFUNCTION("""COMPUTED_VALUE"""),"#mfp5gvRtZ1yLGQKcNDg8pgPxcYGJ8DMoBeyn2robdRlr1gJwcVQ24tAzhJlT0xQ=")</f>
        <v>#mfp5gvRtZ1yLGQKcNDg8pgPxcYGJ8DMoBeyn2robdRlr1gJwcVQ24tAzhJlT0xQ=</v>
      </c>
      <c r="L43" s="546" t="str">
        <f>IFERROR(__xludf.DUMMYFUNCTION("""COMPUTED_VALUE"""),"Concept 3")</f>
        <v>Concept 3</v>
      </c>
      <c r="M43" s="540" t="str">
        <f>IFERROR(__xludf.DUMMYFUNCTION("""COMPUTED_VALUE"""),"https://vt.tiktok.com/ZSmXSF3cg/")</f>
        <v>https://vt.tiktok.com/ZSmXSF3cg/</v>
      </c>
      <c r="N43" s="541" t="str">
        <f>IFERROR(__xludf.DUMMYFUNCTION("""COMPUTED_VALUE"""),"#aJZo5k/kkmT2LOmblMAVhsvHE6IBqgVANiwB5o1KwGQUXFdWbdltxo/ZsNcPxW0=")</f>
        <v>#aJZo5k/kkmT2LOmblMAVhsvHE6IBqgVANiwB5o1KwGQUXFdWbdltxo/ZsNcPxW0=</v>
      </c>
      <c r="O43" s="541"/>
      <c r="P43" s="541"/>
      <c r="Q43" s="541"/>
      <c r="R43" s="312"/>
      <c r="S43" s="286"/>
      <c r="T43" s="286"/>
      <c r="U43" s="286"/>
      <c r="V43" s="286"/>
      <c r="W43" s="286"/>
    </row>
    <row r="44">
      <c r="A44" s="307" t="str">
        <f>IFERROR(__xludf.DUMMYFUNCTION("""COMPUTED_VALUE"""),"MICRO")</f>
        <v>MICRO</v>
      </c>
      <c r="B44" s="318" t="str">
        <f>IFERROR(__xludf.DUMMYFUNCTION("""COMPUTED_VALUE"""),"nris9")</f>
        <v>nris9</v>
      </c>
      <c r="C44" s="535" t="str">
        <f>IFERROR(__xludf.DUMMYFUNCTION("""COMPUTED_VALUE"""),"https://www.tiktok.com/@nris9")</f>
        <v>https://www.tiktok.com/@nris9</v>
      </c>
      <c r="D44" s="316">
        <f>IFERROR(__xludf.DUMMYFUNCTION("""COMPUTED_VALUE"""),8.7721316159E10)</f>
        <v>87721316159</v>
      </c>
      <c r="E44" s="552">
        <f>IFERROR(__xludf.DUMMYFUNCTION("""COMPUTED_VALUE"""),250000.0)</f>
        <v>250000</v>
      </c>
      <c r="F44" s="316">
        <f>IFERROR(__xludf.DUMMYFUNCTION("""COMPUTED_VALUE"""),2.0)</f>
        <v>2</v>
      </c>
      <c r="G44" s="551" t="str">
        <f>IFERROR(__xludf.DUMMYFUNCTION("""COMPUTED_VALUE"""),"PR Package")</f>
        <v>PR Package</v>
      </c>
      <c r="H44" s="463" t="str">
        <f>IFERROR(__xludf.DUMMYFUNCTION("""COMPUTED_VALUE"""),"Sampai")</f>
        <v>Sampai</v>
      </c>
      <c r="I44" s="546" t="str">
        <f>IFERROR(__xludf.DUMMYFUNCTION("""COMPUTED_VALUE""")," Concept 1")</f>
        <v> Concept 1</v>
      </c>
      <c r="J44" s="540" t="str">
        <f>IFERROR(__xludf.DUMMYFUNCTION("""COMPUTED_VALUE"""),"https://vt.tiktok.com/ZSmCqAXoG/")</f>
        <v>https://vt.tiktok.com/ZSmCqAXoG/</v>
      </c>
      <c r="K44" s="312" t="str">
        <f>IFERROR(__xludf.DUMMYFUNCTION("""COMPUTED_VALUE"""),"#kil0GQdzVuEl2RHugT13uq42O1TT1pgwfA5bna5mleLaWB6Izd74JjVDMc2w2tQ=")</f>
        <v>#kil0GQdzVuEl2RHugT13uq42O1TT1pgwfA5bna5mleLaWB6Izd74JjVDMc2w2tQ=</v>
      </c>
      <c r="L44" s="546" t="str">
        <f>IFERROR(__xludf.DUMMYFUNCTION("""COMPUTED_VALUE"""),"Concept 2")</f>
        <v>Concept 2</v>
      </c>
      <c r="M44" s="540" t="str">
        <f>IFERROR(__xludf.DUMMYFUNCTION("""COMPUTED_VALUE"""),"https://vt.tiktok.com/ZSmGocbqa/")</f>
        <v>https://vt.tiktok.com/ZSmGocbqa/</v>
      </c>
      <c r="N44" s="541" t="str">
        <f>IFERROR(__xludf.DUMMYFUNCTION("""COMPUTED_VALUE"""),"#vD8ME7nLerZ+mxo1cjx7+SvXIOxUCvpfOSdgVVzewxOI8fyCQACX6T4znd+sDiQ=")</f>
        <v>#vD8ME7nLerZ+mxo1cjx7+SvXIOxUCvpfOSdgVVzewxOI8fyCQACX6T4znd+sDiQ=</v>
      </c>
      <c r="O44" s="541"/>
      <c r="P44" s="541"/>
      <c r="Q44" s="541"/>
      <c r="R44" s="312"/>
      <c r="S44" s="286"/>
      <c r="T44" s="286"/>
      <c r="U44" s="286"/>
      <c r="V44" s="286"/>
      <c r="W44" s="286"/>
    </row>
    <row r="45">
      <c r="A45" s="307" t="str">
        <f>IFERROR(__xludf.DUMMYFUNCTION("""COMPUTED_VALUE"""),"NANO")</f>
        <v>NANO</v>
      </c>
      <c r="B45" s="318" t="str">
        <f>IFERROR(__xludf.DUMMYFUNCTION("""COMPUTED_VALUE"""),"armiheppii")</f>
        <v>armiheppii</v>
      </c>
      <c r="C45" s="535" t="str">
        <f>IFERROR(__xludf.DUMMYFUNCTION("""COMPUTED_VALUE"""),"https://www.tiktok.com/@armiheppii")</f>
        <v>https://www.tiktok.com/@armiheppii</v>
      </c>
      <c r="D45" s="316">
        <f>IFERROR(__xludf.DUMMYFUNCTION("""COMPUTED_VALUE"""),8.5643823022E10)</f>
        <v>85643823022</v>
      </c>
      <c r="E45" s="552">
        <f>IFERROR(__xludf.DUMMYFUNCTION("""COMPUTED_VALUE"""),0.0)</f>
        <v>0</v>
      </c>
      <c r="F45" s="316">
        <f>IFERROR(__xludf.DUMMYFUNCTION("""COMPUTED_VALUE"""),2.0)</f>
        <v>2</v>
      </c>
      <c r="G45" s="551" t="str">
        <f>IFERROR(__xludf.DUMMYFUNCTION("""COMPUTED_VALUE"""),"PR Package")</f>
        <v>PR Package</v>
      </c>
      <c r="H45" s="463" t="str">
        <f>IFERROR(__xludf.DUMMYFUNCTION("""COMPUTED_VALUE"""),"Sampai")</f>
        <v>Sampai</v>
      </c>
      <c r="I45" s="546" t="str">
        <f>IFERROR(__xludf.DUMMYFUNCTION("""COMPUTED_VALUE"""),"Concept 2")</f>
        <v>Concept 2</v>
      </c>
      <c r="J45" s="540" t="str">
        <f>IFERROR(__xludf.DUMMYFUNCTION("""COMPUTED_VALUE"""),"https://vt.tiktok.com/ZSmgHRDuc/")</f>
        <v>https://vt.tiktok.com/ZSmgHRDuc/</v>
      </c>
      <c r="K45" s="312" t="str">
        <f>IFERROR(__xludf.DUMMYFUNCTION("""COMPUTED_VALUE"""),"#oKegk5ubaNM/Sf2ms3LKX3oQtsNpJ7hwsZRqg7gEE813YntqDLC7uxvDD8r9E/c=24,465/℃")</f>
        <v>#oKegk5ubaNM/Sf2ms3LKX3oQtsNpJ7hwsZRqg7gEE813YntqDLC7uxvDD8r9E/c=24,465/℃</v>
      </c>
      <c r="L45" s="546" t="str">
        <f>IFERROR(__xludf.DUMMYFUNCTION("""COMPUTED_VALUE"""),"Concept 3")</f>
        <v>Concept 3</v>
      </c>
      <c r="M45" s="540" t="str">
        <f>IFERROR(__xludf.DUMMYFUNCTION("""COMPUTED_VALUE"""),"https://vt.tiktok.com/ZSHgoYbqm/ ")</f>
        <v>https://vt.tiktok.com/ZSHgoYbqm/ </v>
      </c>
      <c r="N45" s="541" t="str">
        <f>IFERROR(__xludf.DUMMYFUNCTION("""COMPUTED_VALUE"""),"#tMm35z/O5olcG3BOedAMKmvTAIH7/CzO2g22w1Il2wfOKNwjWnb5nNdCCEXipwE=")</f>
        <v>#tMm35z/O5olcG3BOedAMKmvTAIH7/CzO2g22w1Il2wfOKNwjWnb5nNdCCEXipwE=</v>
      </c>
      <c r="O45" s="541"/>
      <c r="P45" s="541"/>
      <c r="Q45" s="541"/>
      <c r="R45" s="312"/>
      <c r="S45" s="286"/>
      <c r="T45" s="286"/>
      <c r="U45" s="286"/>
      <c r="V45" s="286"/>
      <c r="W45" s="286"/>
    </row>
    <row r="46">
      <c r="A46" s="307" t="str">
        <f>IFERROR(__xludf.DUMMYFUNCTION("""COMPUTED_VALUE"""),"NANO")</f>
        <v>NANO</v>
      </c>
      <c r="B46" s="318" t="str">
        <f>IFERROR(__xludf.DUMMYFUNCTION("""COMPUTED_VALUE"""),"septiaammelia ")</f>
        <v>septiaammelia </v>
      </c>
      <c r="C46" s="535" t="str">
        <f>IFERROR(__xludf.DUMMYFUNCTION("""COMPUTED_VALUE"""),"https://www.tiktok.com/@septiaammelia ")</f>
        <v>https://www.tiktok.com/@septiaammelia </v>
      </c>
      <c r="D46" s="316">
        <f>IFERROR(__xludf.DUMMYFUNCTION("""COMPUTED_VALUE"""),8.9659691898E10)</f>
        <v>89659691898</v>
      </c>
      <c r="E46" s="552">
        <f>IFERROR(__xludf.DUMMYFUNCTION("""COMPUTED_VALUE"""),0.0)</f>
        <v>0</v>
      </c>
      <c r="F46" s="316">
        <f>IFERROR(__xludf.DUMMYFUNCTION("""COMPUTED_VALUE"""),2.0)</f>
        <v>2</v>
      </c>
      <c r="G46" s="551" t="str">
        <f>IFERROR(__xludf.DUMMYFUNCTION("""COMPUTED_VALUE"""),"PR Package")</f>
        <v>PR Package</v>
      </c>
      <c r="H46" s="463" t="str">
        <f>IFERROR(__xludf.DUMMYFUNCTION("""COMPUTED_VALUE"""),"Sampai")</f>
        <v>Sampai</v>
      </c>
      <c r="I46" s="546" t="str">
        <f>IFERROR(__xludf.DUMMYFUNCTION("""COMPUTED_VALUE""")," Concept 1")</f>
        <v> Concept 1</v>
      </c>
      <c r="J46" s="540" t="str">
        <f>IFERROR(__xludf.DUMMYFUNCTION("""COMPUTED_VALUE"""),"https://vt.tiktok.com/ZSmhAUXH4/")</f>
        <v>https://vt.tiktok.com/ZSmhAUXH4/</v>
      </c>
      <c r="K46" s="312" t="str">
        <f>IFERROR(__xludf.DUMMYFUNCTION("""COMPUTED_VALUE"""),"#DfKvV0VcoLz/DDETJaH0UmrKI/2o1RteAPoIs8IFMcnFvXTR9y2yoHCCNBPmBRI= ")</f>
        <v>#DfKvV0VcoLz/DDETJaH0UmrKI/2o1RteAPoIs8IFMcnFvXTR9y2yoHCCNBPmBRI= </v>
      </c>
      <c r="L46" s="546" t="str">
        <f>IFERROR(__xludf.DUMMYFUNCTION("""COMPUTED_VALUE"""),"Concept 2")</f>
        <v>Concept 2</v>
      </c>
      <c r="M46" s="540" t="str">
        <f>IFERROR(__xludf.DUMMYFUNCTION("""COMPUTED_VALUE"""),"https://vt.tiktok.com/ZSmQXYk8S/")</f>
        <v>https://vt.tiktok.com/ZSmQXYk8S/</v>
      </c>
      <c r="N46" s="541" t="str">
        <f>IFERROR(__xludf.DUMMYFUNCTION("""COMPUTED_VALUE"""),"#oaFhZUt9XC5YKmwLAVJqdvHkKLewyPGch7kNgTQ4xmq/g83r8l7vSjPEXD1Le0o=")</f>
        <v>#oaFhZUt9XC5YKmwLAVJqdvHkKLewyPGch7kNgTQ4xmq/g83r8l7vSjPEXD1Le0o=</v>
      </c>
      <c r="O46" s="541"/>
      <c r="P46" s="541"/>
      <c r="Q46" s="541"/>
      <c r="R46" s="312"/>
      <c r="S46" s="286"/>
      <c r="T46" s="286"/>
      <c r="U46" s="286"/>
      <c r="V46" s="286"/>
      <c r="W46" s="286"/>
    </row>
    <row r="47">
      <c r="A47" s="307" t="str">
        <f>IFERROR(__xludf.DUMMYFUNCTION("""COMPUTED_VALUE"""),"MICRO")</f>
        <v>MICRO</v>
      </c>
      <c r="B47" s="318" t="str">
        <f>IFERROR(__xludf.DUMMYFUNCTION("""COMPUTED_VALUE"""),"thya_pookie")</f>
        <v>thya_pookie</v>
      </c>
      <c r="C47" s="535" t="str">
        <f>IFERROR(__xludf.DUMMYFUNCTION("""COMPUTED_VALUE"""),"https://www.tiktok.com/@thya_pookie")</f>
        <v>https://www.tiktok.com/@thya_pookie</v>
      </c>
      <c r="D47" s="316">
        <f>IFERROR(__xludf.DUMMYFUNCTION("""COMPUTED_VALUE"""),8.5842486796E10)</f>
        <v>85842486796</v>
      </c>
      <c r="E47" s="552">
        <f>IFERROR(__xludf.DUMMYFUNCTION("""COMPUTED_VALUE"""),300000.0)</f>
        <v>300000</v>
      </c>
      <c r="F47" s="316">
        <f>IFERROR(__xludf.DUMMYFUNCTION("""COMPUTED_VALUE"""),2.0)</f>
        <v>2</v>
      </c>
      <c r="G47" s="551" t="str">
        <f>IFERROR(__xludf.DUMMYFUNCTION("""COMPUTED_VALUE"""),"PR Package")</f>
        <v>PR Package</v>
      </c>
      <c r="H47" s="463" t="str">
        <f>IFERROR(__xludf.DUMMYFUNCTION("""COMPUTED_VALUE"""),"Sampai")</f>
        <v>Sampai</v>
      </c>
      <c r="I47" s="546" t="str">
        <f>IFERROR(__xludf.DUMMYFUNCTION("""COMPUTED_VALUE""")," Concept 1")</f>
        <v> Concept 1</v>
      </c>
      <c r="J47" s="540" t="str">
        <f>IFERROR(__xludf.DUMMYFUNCTION("""COMPUTED_VALUE"""),"https://vt.tiktok.com/ZSmBrfdYM/")</f>
        <v>https://vt.tiktok.com/ZSmBrfdYM/</v>
      </c>
      <c r="K47" s="312" t="str">
        <f>IFERROR(__xludf.DUMMYFUNCTION("""COMPUTED_VALUE"""),"#cA1m6p/MnFVbccDEq7EUwFYXuaGmPIxW2auskp3snZ7Va0DypMDJB2E4njTTGXo=")</f>
        <v>#cA1m6p/MnFVbccDEq7EUwFYXuaGmPIxW2auskp3snZ7Va0DypMDJB2E4njTTGXo=</v>
      </c>
      <c r="L47" s="546" t="str">
        <f>IFERROR(__xludf.DUMMYFUNCTION("""COMPUTED_VALUE"""),"Concept 2")</f>
        <v>Concept 2</v>
      </c>
      <c r="M47" s="540" t="str">
        <f>IFERROR(__xludf.DUMMYFUNCTION("""COMPUTED_VALUE"""),"https://vt.tiktok.com/ZSmf34mya/")</f>
        <v>https://vt.tiktok.com/ZSmf34mya/</v>
      </c>
      <c r="N47" s="541" t="str">
        <f>IFERROR(__xludf.DUMMYFUNCTION("""COMPUTED_VALUE"""),"#trqIzE5W+DjhUeIDWFnulJi4GHvitTWU211dJV0rTrkscZD9x0K0xWgZqBvk5A4=")</f>
        <v>#trqIzE5W+DjhUeIDWFnulJi4GHvitTWU211dJV0rTrkscZD9x0K0xWgZqBvk5A4=</v>
      </c>
      <c r="O47" s="541"/>
      <c r="P47" s="541"/>
      <c r="Q47" s="541"/>
      <c r="R47" s="312"/>
      <c r="S47" s="286"/>
      <c r="T47" s="286"/>
      <c r="U47" s="286"/>
      <c r="V47" s="286"/>
      <c r="W47" s="286"/>
    </row>
    <row r="48">
      <c r="A48" s="553" t="str">
        <f>IFERROR(__xludf.DUMMYFUNCTION("""COMPUTED_VALUE"""),"NANO")</f>
        <v>NANO</v>
      </c>
      <c r="B48" s="554" t="str">
        <f>IFERROR(__xludf.DUMMYFUNCTION("""COMPUTED_VALUE"""),"ridathoughts")</f>
        <v>ridathoughts</v>
      </c>
      <c r="C48" s="555" t="str">
        <f>IFERROR(__xludf.DUMMYFUNCTION("""COMPUTED_VALUE"""),"https://www.tiktok.com/@ridathoughts")</f>
        <v>https://www.tiktok.com/@ridathoughts</v>
      </c>
      <c r="D48" s="556">
        <f>IFERROR(__xludf.DUMMYFUNCTION("""COMPUTED_VALUE"""),8.5162823115E10)</f>
        <v>85162823115</v>
      </c>
      <c r="E48" s="557">
        <f>IFERROR(__xludf.DUMMYFUNCTION("""COMPUTED_VALUE"""),0.0)</f>
        <v>0</v>
      </c>
      <c r="F48" s="556">
        <f>IFERROR(__xludf.DUMMYFUNCTION("""COMPUTED_VALUE"""),2.0)</f>
        <v>2</v>
      </c>
      <c r="G48" s="558" t="str">
        <f>IFERROR(__xludf.DUMMYFUNCTION("""COMPUTED_VALUE"""),"PR Package")</f>
        <v>PR Package</v>
      </c>
      <c r="H48" s="559" t="str">
        <f>IFERROR(__xludf.DUMMYFUNCTION("""COMPUTED_VALUE"""),"Sampai")</f>
        <v>Sampai</v>
      </c>
      <c r="I48" s="560" t="str">
        <f>IFERROR(__xludf.DUMMYFUNCTION("""COMPUTED_VALUE"""),"Concept 2")</f>
        <v>Concept 2</v>
      </c>
      <c r="J48" s="555" t="str">
        <f>IFERROR(__xludf.DUMMYFUNCTION("""COMPUTED_VALUE"""),"https://vt.tiktok.com/ZSuXycYjU/")</f>
        <v>https://vt.tiktok.com/ZSuXycYjU/</v>
      </c>
      <c r="K48" s="554"/>
      <c r="L48" s="560"/>
      <c r="M48" s="561"/>
      <c r="N48" s="561"/>
      <c r="O48" s="561"/>
      <c r="P48" s="561"/>
      <c r="Q48" s="561"/>
      <c r="R48" s="554"/>
      <c r="S48" s="562"/>
      <c r="T48" s="562"/>
      <c r="U48" s="562"/>
      <c r="V48" s="562"/>
      <c r="W48" s="562"/>
    </row>
    <row r="49">
      <c r="A49" s="307" t="str">
        <f>IFERROR(__xludf.DUMMYFUNCTION("""COMPUTED_VALUE"""),"MICRO")</f>
        <v>MICRO</v>
      </c>
      <c r="B49" s="318" t="str">
        <f>IFERROR(__xludf.DUMMYFUNCTION("""COMPUTED_VALUE"""),"ferenaceta")</f>
        <v>ferenaceta</v>
      </c>
      <c r="C49" s="535" t="str">
        <f>IFERROR(__xludf.DUMMYFUNCTION("""COMPUTED_VALUE"""),"https://www.tiktok.com/@ferenaceta")</f>
        <v>https://www.tiktok.com/@ferenaceta</v>
      </c>
      <c r="D49" s="316">
        <f>IFERROR(__xludf.DUMMYFUNCTION("""COMPUTED_VALUE"""),8.95705700911E11)</f>
        <v>895705700911</v>
      </c>
      <c r="E49" s="552">
        <f>IFERROR(__xludf.DUMMYFUNCTION("""COMPUTED_VALUE"""),150000.0)</f>
        <v>150000</v>
      </c>
      <c r="F49" s="316">
        <f>IFERROR(__xludf.DUMMYFUNCTION("""COMPUTED_VALUE"""),2.0)</f>
        <v>2</v>
      </c>
      <c r="G49" s="551" t="str">
        <f>IFERROR(__xludf.DUMMYFUNCTION("""COMPUTED_VALUE"""),"PR Package")</f>
        <v>PR Package</v>
      </c>
      <c r="H49" s="463" t="str">
        <f>IFERROR(__xludf.DUMMYFUNCTION("""COMPUTED_VALUE"""),"Sampai")</f>
        <v>Sampai</v>
      </c>
      <c r="I49" s="546" t="str">
        <f>IFERROR(__xludf.DUMMYFUNCTION("""COMPUTED_VALUE""")," Concept 1")</f>
        <v> Concept 1</v>
      </c>
      <c r="J49" s="540" t="str">
        <f>IFERROR(__xludf.DUMMYFUNCTION("""COMPUTED_VALUE"""),"https://vt.tiktok.com/ZSmhJ9nX3/")</f>
        <v>https://vt.tiktok.com/ZSmhJ9nX3/</v>
      </c>
      <c r="K49" s="312" t="str">
        <f>IFERROR(__xludf.DUMMYFUNCTION("""COMPUTED_VALUE"""),"#rB6rUATZEiS24ITzwQ/nyAVtPHMM6kaUy73ySMOGNsexUq6YauuHUmfQz2o5T8Y=")</f>
        <v>#rB6rUATZEiS24ITzwQ/nyAVtPHMM6kaUy73ySMOGNsexUq6YauuHUmfQz2o5T8Y=</v>
      </c>
      <c r="L49" s="546" t="str">
        <f>IFERROR(__xludf.DUMMYFUNCTION("""COMPUTED_VALUE"""),"Concept 2")</f>
        <v>Concept 2</v>
      </c>
      <c r="M49" s="540" t="str">
        <f>IFERROR(__xludf.DUMMYFUNCTION("""COMPUTED_VALUE"""),"https://vt.tiktok.com/ZSmVUGoeQ/")</f>
        <v>https://vt.tiktok.com/ZSmVUGoeQ/</v>
      </c>
      <c r="N49" s="541" t="str">
        <f>IFERROR(__xludf.DUMMYFUNCTION("""COMPUTED_VALUE"""),"#8zroXyJSQSWKehDdujE/8r8skmIMXuUf413ZDbT4mpmC8FlFGEZk2cjsZifIboI=")</f>
        <v>#8zroXyJSQSWKehDdujE/8r8skmIMXuUf413ZDbT4mpmC8FlFGEZk2cjsZifIboI=</v>
      </c>
      <c r="O49" s="541"/>
      <c r="P49" s="541"/>
      <c r="Q49" s="541"/>
      <c r="R49" s="312"/>
      <c r="S49" s="286"/>
      <c r="T49" s="286"/>
      <c r="U49" s="286"/>
      <c r="V49" s="286"/>
      <c r="W49" s="286"/>
    </row>
    <row r="50">
      <c r="A50" s="307" t="str">
        <f>IFERROR(__xludf.DUMMYFUNCTION("""COMPUTED_VALUE"""),"MICRO")</f>
        <v>MICRO</v>
      </c>
      <c r="B50" s="318" t="str">
        <f>IFERROR(__xludf.DUMMYFUNCTION("""COMPUTED_VALUE"""),"itsmeevaniii")</f>
        <v>itsmeevaniii</v>
      </c>
      <c r="C50" s="535" t="str">
        <f>IFERROR(__xludf.DUMMYFUNCTION("""COMPUTED_VALUE"""),"https://www.tiktok.com/@itsmeevaniii")</f>
        <v>https://www.tiktok.com/@itsmeevaniii</v>
      </c>
      <c r="D50" s="316">
        <f>IFERROR(__xludf.DUMMYFUNCTION("""COMPUTED_VALUE"""),8.5283494606E10)</f>
        <v>85283494606</v>
      </c>
      <c r="E50" s="552">
        <f>IFERROR(__xludf.DUMMYFUNCTION("""COMPUTED_VALUE"""),400000.0)</f>
        <v>400000</v>
      </c>
      <c r="F50" s="316">
        <f>IFERROR(__xludf.DUMMYFUNCTION("""COMPUTED_VALUE"""),2.0)</f>
        <v>2</v>
      </c>
      <c r="G50" s="551" t="str">
        <f>IFERROR(__xludf.DUMMYFUNCTION("""COMPUTED_VALUE"""),"PR Package")</f>
        <v>PR Package</v>
      </c>
      <c r="H50" s="463" t="str">
        <f>IFERROR(__xludf.DUMMYFUNCTION("""COMPUTED_VALUE"""),"Sampai")</f>
        <v>Sampai</v>
      </c>
      <c r="I50" s="546" t="str">
        <f>IFERROR(__xludf.DUMMYFUNCTION("""COMPUTED_VALUE"""),"Concept 2")</f>
        <v>Concept 2</v>
      </c>
      <c r="J50" s="540" t="str">
        <f>IFERROR(__xludf.DUMMYFUNCTION("""COMPUTED_VALUE"""),"https://vt.tiktok.com/ZSmyqoxAE/")</f>
        <v>https://vt.tiktok.com/ZSmyqoxAE/</v>
      </c>
      <c r="K50" s="312" t="str">
        <f>IFERROR(__xludf.DUMMYFUNCTION("""COMPUTED_VALUE"""),"#ylpb/uk0TtAwR6RaBssMYgaBoRxncfAXVD5uiyNkx49y7F/lWCr1gtRG093SgJQ=")</f>
        <v>#ylpb/uk0TtAwR6RaBssMYgaBoRxncfAXVD5uiyNkx49y7F/lWCr1gtRG093SgJQ=</v>
      </c>
      <c r="L50" s="546" t="str">
        <f>IFERROR(__xludf.DUMMYFUNCTION("""COMPUTED_VALUE""")," Concept 1")</f>
        <v> Concept 1</v>
      </c>
      <c r="M50" s="540" t="str">
        <f>IFERROR(__xludf.DUMMYFUNCTION("""COMPUTED_VALUE"""),"https://vt.tiktok.com/ZSmspPUfy/")</f>
        <v>https://vt.tiktok.com/ZSmspPUfy/</v>
      </c>
      <c r="N50" s="541" t="str">
        <f>IFERROR(__xludf.DUMMYFUNCTION("""COMPUTED_VALUE"""),"#JLzhrT9a3g6MfdWDgvVwBBPhDiAkdiIq4ttPsqThNR+NMHLKloPm8Pw1JgR6Whk=")</f>
        <v>#JLzhrT9a3g6MfdWDgvVwBBPhDiAkdiIq4ttPsqThNR+NMHLKloPm8Pw1JgR6Whk=</v>
      </c>
      <c r="O50" s="541"/>
      <c r="P50" s="541"/>
      <c r="Q50" s="541"/>
      <c r="R50" s="312"/>
      <c r="S50" s="286"/>
      <c r="T50" s="286"/>
      <c r="U50" s="286"/>
      <c r="V50" s="286"/>
      <c r="W50" s="286"/>
    </row>
    <row r="51">
      <c r="A51" s="307" t="str">
        <f>IFERROR(__xludf.DUMMYFUNCTION("""COMPUTED_VALUE"""),"NANO")</f>
        <v>NANO</v>
      </c>
      <c r="B51" s="318" t="str">
        <f>IFERROR(__xludf.DUMMYFUNCTION("""COMPUTED_VALUE"""),"Friskafrl")</f>
        <v>Friskafrl</v>
      </c>
      <c r="C51" s="535" t="str">
        <f>IFERROR(__xludf.DUMMYFUNCTION("""COMPUTED_VALUE"""),"https://www.tiktok.com/@Friskafrl")</f>
        <v>https://www.tiktok.com/@Friskafrl</v>
      </c>
      <c r="D51" s="316">
        <f>IFERROR(__xludf.DUMMYFUNCTION("""COMPUTED_VALUE"""),8.3162081028E10)</f>
        <v>83162081028</v>
      </c>
      <c r="E51" s="552">
        <f>IFERROR(__xludf.DUMMYFUNCTION("""COMPUTED_VALUE"""),0.0)</f>
        <v>0</v>
      </c>
      <c r="F51" s="316">
        <f>IFERROR(__xludf.DUMMYFUNCTION("""COMPUTED_VALUE"""),2.0)</f>
        <v>2</v>
      </c>
      <c r="G51" s="551" t="str">
        <f>IFERROR(__xludf.DUMMYFUNCTION("""COMPUTED_VALUE"""),"PR Package")</f>
        <v>PR Package</v>
      </c>
      <c r="H51" s="463" t="str">
        <f>IFERROR(__xludf.DUMMYFUNCTION("""COMPUTED_VALUE"""),"Sampai")</f>
        <v>Sampai</v>
      </c>
      <c r="I51" s="546" t="str">
        <f>IFERROR(__xludf.DUMMYFUNCTION("""COMPUTED_VALUE"""),"Concept 2")</f>
        <v>Concept 2</v>
      </c>
      <c r="J51" s="540" t="str">
        <f>IFERROR(__xludf.DUMMYFUNCTION("""COMPUTED_VALUE"""),"https://vt.tiktok.com/ZSmU2Dh1u/")</f>
        <v>https://vt.tiktok.com/ZSmU2Dh1u/</v>
      </c>
      <c r="K51" s="312" t="str">
        <f>IFERROR(__xludf.DUMMYFUNCTION("""COMPUTED_VALUE"""),"#RYaAt3qQ+xYeG5SUqlGq7YbVxt2/6XajKwOyQS9pyAXNqPmhcCvKkM3wu9Yvom8=")</f>
        <v>#RYaAt3qQ+xYeG5SUqlGq7YbVxt2/6XajKwOyQS9pyAXNqPmhcCvKkM3wu9Yvom8=</v>
      </c>
      <c r="L51" s="546" t="str">
        <f>IFERROR(__xludf.DUMMYFUNCTION("""COMPUTED_VALUE"""),"Concept 3")</f>
        <v>Concept 3</v>
      </c>
      <c r="M51" s="540" t="str">
        <f>IFERROR(__xludf.DUMMYFUNCTION("""COMPUTED_VALUE"""),"https://vt.tiktok.com/ZSmgAxcB3/")</f>
        <v>https://vt.tiktok.com/ZSmgAxcB3/</v>
      </c>
      <c r="N51" s="541" t="str">
        <f>IFERROR(__xludf.DUMMYFUNCTION("""COMPUTED_VALUE"""),"#QaoRUzZRxtpr0LhHgkwetSxdrauCbiPDY3pRwNrrVJi6AY6JH0zcct+34VO2qEo=")</f>
        <v>#QaoRUzZRxtpr0LhHgkwetSxdrauCbiPDY3pRwNrrVJi6AY6JH0zcct+34VO2qEo=</v>
      </c>
      <c r="O51" s="541"/>
      <c r="P51" s="541"/>
      <c r="Q51" s="541"/>
      <c r="R51" s="312"/>
      <c r="S51" s="286"/>
      <c r="T51" s="286"/>
      <c r="U51" s="286"/>
      <c r="V51" s="286"/>
      <c r="W51" s="286"/>
    </row>
    <row r="52">
      <c r="A52" s="307" t="str">
        <f>IFERROR(__xludf.DUMMYFUNCTION("""COMPUTED_VALUE"""),"MICRO")</f>
        <v>MICRO</v>
      </c>
      <c r="B52" s="318" t="str">
        <f>IFERROR(__xludf.DUMMYFUNCTION("""COMPUTED_VALUE"""),"popynoviana_")</f>
        <v>popynoviana_</v>
      </c>
      <c r="C52" s="535" t="str">
        <f>IFERROR(__xludf.DUMMYFUNCTION("""COMPUTED_VALUE"""),"https://www.tiktok.com/@popynoviana_")</f>
        <v>https://www.tiktok.com/@popynoviana_</v>
      </c>
      <c r="D52" s="316">
        <f>IFERROR(__xludf.DUMMYFUNCTION("""COMPUTED_VALUE"""),8.2122355727E10)</f>
        <v>82122355727</v>
      </c>
      <c r="E52" s="552">
        <f>IFERROR(__xludf.DUMMYFUNCTION("""COMPUTED_VALUE"""),0.0)</f>
        <v>0</v>
      </c>
      <c r="F52" s="316">
        <f>IFERROR(__xludf.DUMMYFUNCTION("""COMPUTED_VALUE"""),2.0)</f>
        <v>2</v>
      </c>
      <c r="G52" s="551" t="str">
        <f>IFERROR(__xludf.DUMMYFUNCTION("""COMPUTED_VALUE"""),"PR Package")</f>
        <v>PR Package</v>
      </c>
      <c r="H52" s="463" t="str">
        <f>IFERROR(__xludf.DUMMYFUNCTION("""COMPUTED_VALUE"""),"Sampai")</f>
        <v>Sampai</v>
      </c>
      <c r="I52" s="546" t="str">
        <f>IFERROR(__xludf.DUMMYFUNCTION("""COMPUTED_VALUE""")," Concept 1")</f>
        <v> Concept 1</v>
      </c>
      <c r="J52" s="540" t="str">
        <f>IFERROR(__xludf.DUMMYFUNCTION("""COMPUTED_VALUE"""),"https://vt.tiktok.com/ZSmQPykUh/")</f>
        <v>https://vt.tiktok.com/ZSmQPykUh/</v>
      </c>
      <c r="K52" s="312" t="str">
        <f>IFERROR(__xludf.DUMMYFUNCTION("""COMPUTED_VALUE"""),"#0SiAzShRyRxKIIop3T4PF5ykUZrT+UYSfMHYr7z3Gef7egJE5whm8H105wZn624=")</f>
        <v>#0SiAzShRyRxKIIop3T4PF5ykUZrT+UYSfMHYr7z3Gef7egJE5whm8H105wZn624=</v>
      </c>
      <c r="L52" s="546" t="str">
        <f>IFERROR(__xludf.DUMMYFUNCTION("""COMPUTED_VALUE"""),"Concept 3")</f>
        <v>Concept 3</v>
      </c>
      <c r="M52" s="540" t="str">
        <f>IFERROR(__xludf.DUMMYFUNCTION("""COMPUTED_VALUE"""),"https://vt.tiktok.com/ZSmnsrhJv//")</f>
        <v>https://vt.tiktok.com/ZSmnsrhJv//</v>
      </c>
      <c r="N52" s="541" t="str">
        <f>IFERROR(__xludf.DUMMYFUNCTION("""COMPUTED_VALUE"""),"#fRnaGiIrjSufhgi1DrZHbsHQzsFgbO2hhplmp0TCPCYaRvKWN6HS4TwmNX0CzhA=")</f>
        <v>#fRnaGiIrjSufhgi1DrZHbsHQzsFgbO2hhplmp0TCPCYaRvKWN6HS4TwmNX0CzhA=</v>
      </c>
      <c r="O52" s="541"/>
      <c r="P52" s="541"/>
      <c r="Q52" s="541"/>
      <c r="R52" s="312"/>
      <c r="S52" s="286"/>
      <c r="T52" s="286"/>
      <c r="U52" s="286"/>
      <c r="V52" s="286"/>
      <c r="W52" s="286"/>
    </row>
    <row r="53">
      <c r="A53" s="307" t="str">
        <f>IFERROR(__xludf.DUMMYFUNCTION("""COMPUTED_VALUE"""),"NANO")</f>
        <v>NANO</v>
      </c>
      <c r="B53" s="318" t="str">
        <f>IFERROR(__xludf.DUMMYFUNCTION("""COMPUTED_VALUE"""),"qrtlaenii_")</f>
        <v>qrtlaenii_</v>
      </c>
      <c r="C53" s="535" t="str">
        <f>IFERROR(__xludf.DUMMYFUNCTION("""COMPUTED_VALUE"""),"https://www.tiktok.com/@qrtlaenii_")</f>
        <v>https://www.tiktok.com/@qrtlaenii_</v>
      </c>
      <c r="D53" s="316">
        <f>IFERROR(__xludf.DUMMYFUNCTION("""COMPUTED_VALUE"""),8.7861632826E10)</f>
        <v>87861632826</v>
      </c>
      <c r="E53" s="552">
        <f>IFERROR(__xludf.DUMMYFUNCTION("""COMPUTED_VALUE"""),0.0)</f>
        <v>0</v>
      </c>
      <c r="F53" s="316">
        <f>IFERROR(__xludf.DUMMYFUNCTION("""COMPUTED_VALUE"""),2.0)</f>
        <v>2</v>
      </c>
      <c r="G53" s="551" t="str">
        <f>IFERROR(__xludf.DUMMYFUNCTION("""COMPUTED_VALUE"""),"PR Package")</f>
        <v>PR Package</v>
      </c>
      <c r="H53" s="463" t="str">
        <f>IFERROR(__xludf.DUMMYFUNCTION("""COMPUTED_VALUE"""),"Sampai")</f>
        <v>Sampai</v>
      </c>
      <c r="I53" s="546" t="str">
        <f>IFERROR(__xludf.DUMMYFUNCTION("""COMPUTED_VALUE"""),"Concept 2")</f>
        <v>Concept 2</v>
      </c>
      <c r="J53" s="540" t="str">
        <f>IFERROR(__xludf.DUMMYFUNCTION("""COMPUTED_VALUE"""),"https://vt.tiktok.com/ZSmuQvEar/")</f>
        <v>https://vt.tiktok.com/ZSmuQvEar/</v>
      </c>
      <c r="K53" s="312" t="str">
        <f>IFERROR(__xludf.DUMMYFUNCTION("""COMPUTED_VALUE"""),"#AU0+YyR5st9YSW3tDtr7PAU47G6kqNgEQy9lmX0Yrq/qnmjPKP1CmgitFahIFtU=")</f>
        <v>#AU0+YyR5st9YSW3tDtr7PAU47G6kqNgEQy9lmX0Yrq/qnmjPKP1CmgitFahIFtU=</v>
      </c>
      <c r="L53" s="546" t="str">
        <f>IFERROR(__xludf.DUMMYFUNCTION("""COMPUTED_VALUE""")," Concept 1")</f>
        <v> Concept 1</v>
      </c>
      <c r="M53" s="540" t="str">
        <f>IFERROR(__xludf.DUMMYFUNCTION("""COMPUTED_VALUE"""),"https://vt.tiktok.com/ZSmvJ4ERF/")</f>
        <v>https://vt.tiktok.com/ZSmvJ4ERF/</v>
      </c>
      <c r="N53" s="541" t="str">
        <f>IFERROR(__xludf.DUMMYFUNCTION("""COMPUTED_VALUE"""),"#A8g0fcLAvFtvqdGZd8cxxgK/yPaUDH3T6ibBBXMPviwlhdZBGrL1ST6HxAWaVZo=")</f>
        <v>#A8g0fcLAvFtvqdGZd8cxxgK/yPaUDH3T6ibBBXMPviwlhdZBGrL1ST6HxAWaVZo=</v>
      </c>
      <c r="O53" s="541"/>
      <c r="P53" s="541"/>
      <c r="Q53" s="541"/>
      <c r="R53" s="312"/>
      <c r="S53" s="286"/>
      <c r="T53" s="286"/>
      <c r="U53" s="286"/>
      <c r="V53" s="286"/>
      <c r="W53" s="286"/>
    </row>
    <row r="54">
      <c r="A54" s="307" t="str">
        <f>IFERROR(__xludf.DUMMYFUNCTION("""COMPUTED_VALUE"""),"NANO")</f>
        <v>NANO</v>
      </c>
      <c r="B54" s="318" t="str">
        <f>IFERROR(__xludf.DUMMYFUNCTION("""COMPUTED_VALUE"""),"erisawahyunii")</f>
        <v>erisawahyunii</v>
      </c>
      <c r="C54" s="535" t="str">
        <f>IFERROR(__xludf.DUMMYFUNCTION("""COMPUTED_VALUE"""),"https://www.tiktok.com/@erisawahyunii")</f>
        <v>https://www.tiktok.com/@erisawahyunii</v>
      </c>
      <c r="D54" s="316">
        <f>IFERROR(__xludf.DUMMYFUNCTION("""COMPUTED_VALUE"""),8.82002356802E11)</f>
        <v>882002356802</v>
      </c>
      <c r="E54" s="552">
        <f>IFERROR(__xludf.DUMMYFUNCTION("""COMPUTED_VALUE"""),0.0)</f>
        <v>0</v>
      </c>
      <c r="F54" s="316">
        <f>IFERROR(__xludf.DUMMYFUNCTION("""COMPUTED_VALUE"""),2.0)</f>
        <v>2</v>
      </c>
      <c r="G54" s="551" t="str">
        <f>IFERROR(__xludf.DUMMYFUNCTION("""COMPUTED_VALUE"""),"PR Package")</f>
        <v>PR Package</v>
      </c>
      <c r="H54" s="463" t="str">
        <f>IFERROR(__xludf.DUMMYFUNCTION("""COMPUTED_VALUE"""),"Sampai")</f>
        <v>Sampai</v>
      </c>
      <c r="I54" s="546" t="str">
        <f>IFERROR(__xludf.DUMMYFUNCTION("""COMPUTED_VALUE""")," Concept 1")</f>
        <v> Concept 1</v>
      </c>
      <c r="J54" s="540" t="str">
        <f>IFERROR(__xludf.DUMMYFUNCTION("""COMPUTED_VALUE"""),"https://vt.tiktok.com/ZSmfpw5QQ/")</f>
        <v>https://vt.tiktok.com/ZSmfpw5QQ/</v>
      </c>
      <c r="K54" s="312" t="str">
        <f>IFERROR(__xludf.DUMMYFUNCTION("""COMPUTED_VALUE"""),"#idjghvOyceYiGGbrDQkF3/YQIrSmjtj6DmK8S14Ez/yhJ4YRjLUIk+XhoEAgUNI=")</f>
        <v>#idjghvOyceYiGGbrDQkF3/YQIrSmjtj6DmK8S14Ez/yhJ4YRjLUIk+XhoEAgUNI=</v>
      </c>
      <c r="L54" s="546" t="str">
        <f>IFERROR(__xludf.DUMMYFUNCTION("""COMPUTED_VALUE"""),"Concept 2")</f>
        <v>Concept 2</v>
      </c>
      <c r="M54" s="540" t="str">
        <f>IFERROR(__xludf.DUMMYFUNCTION("""COMPUTED_VALUE"""),"https://vt.tiktok.com/ZSmCFFJkX/")</f>
        <v>https://vt.tiktok.com/ZSmCFFJkX/</v>
      </c>
      <c r="N54" s="541" t="str">
        <f>IFERROR(__xludf.DUMMYFUNCTION("""COMPUTED_VALUE"""),"#lLv041k95ADA6GnvM7znplaUIAinjegi1ABocQxxMr3LraCGLKTo7z8Q5fy/k4Q=")</f>
        <v>#lLv041k95ADA6GnvM7znplaUIAinjegi1ABocQxxMr3LraCGLKTo7z8Q5fy/k4Q=</v>
      </c>
      <c r="O54" s="541"/>
      <c r="P54" s="541"/>
      <c r="Q54" s="541"/>
      <c r="R54" s="312"/>
      <c r="S54" s="286"/>
      <c r="T54" s="286"/>
      <c r="U54" s="286"/>
      <c r="V54" s="286"/>
      <c r="W54" s="286"/>
    </row>
    <row r="55">
      <c r="A55" s="307" t="str">
        <f>IFERROR(__xludf.DUMMYFUNCTION("""COMPUTED_VALUE"""),"MICRO")</f>
        <v>MICRO</v>
      </c>
      <c r="B55" s="318" t="str">
        <f>IFERROR(__xludf.DUMMYFUNCTION("""COMPUTED_VALUE"""),"ekbardiary")</f>
        <v>ekbardiary</v>
      </c>
      <c r="C55" s="535" t="str">
        <f>IFERROR(__xludf.DUMMYFUNCTION("""COMPUTED_VALUE"""),"https://www.tiktok.com/@ekbardiary")</f>
        <v>https://www.tiktok.com/@ekbardiary</v>
      </c>
      <c r="D55" s="316">
        <f>IFERROR(__xludf.DUMMYFUNCTION("""COMPUTED_VALUE"""),8.2118716575E10)</f>
        <v>82118716575</v>
      </c>
      <c r="E55" s="552">
        <f>IFERROR(__xludf.DUMMYFUNCTION("""COMPUTED_VALUE"""),652500.0)</f>
        <v>652500</v>
      </c>
      <c r="F55" s="316">
        <f>IFERROR(__xludf.DUMMYFUNCTION("""COMPUTED_VALUE"""),2.0)</f>
        <v>2</v>
      </c>
      <c r="G55" s="551" t="str">
        <f>IFERROR(__xludf.DUMMYFUNCTION("""COMPUTED_VALUE"""),"PR Package")</f>
        <v>PR Package</v>
      </c>
      <c r="H55" s="463" t="str">
        <f>IFERROR(__xludf.DUMMYFUNCTION("""COMPUTED_VALUE"""),"Sampai")</f>
        <v>Sampai</v>
      </c>
      <c r="I55" s="546" t="str">
        <f>IFERROR(__xludf.DUMMYFUNCTION("""COMPUTED_VALUE"""),"Concept 2")</f>
        <v>Concept 2</v>
      </c>
      <c r="J55" s="540" t="str">
        <f>IFERROR(__xludf.DUMMYFUNCTION("""COMPUTED_VALUE"""),"https://vt.tiktok.com/ZSuRAQGtf/")</f>
        <v>https://vt.tiktok.com/ZSuRAQGtf/</v>
      </c>
      <c r="K55" s="312" t="str">
        <f>IFERROR(__xludf.DUMMYFUNCTION("""COMPUTED_VALUE"""),"#fzVWyy6/dK1oAxCs3ZHHsxfUk8+psZm2HKbcW0r5wuxQzhYqLGIVSHEGBn2VqwM=")</f>
        <v>#fzVWyy6/dK1oAxCs3ZHHsxfUk8+psZm2HKbcW0r5wuxQzhYqLGIVSHEGBn2VqwM=</v>
      </c>
      <c r="L55" s="546" t="str">
        <f>IFERROR(__xludf.DUMMYFUNCTION("""COMPUTED_VALUE""")," Concept 1")</f>
        <v> Concept 1</v>
      </c>
      <c r="M55" s="540" t="str">
        <f>IFERROR(__xludf.DUMMYFUNCTION("""COMPUTED_VALUE"""),"https://vt.tiktok.com/ZSuj9QW3R/")</f>
        <v>https://vt.tiktok.com/ZSuj9QW3R/</v>
      </c>
      <c r="N55" s="541" t="str">
        <f>IFERROR(__xludf.DUMMYFUNCTION("""COMPUTED_VALUE"""),"#fQXMl+pXzdZduPCZmS996U066bnL2PGKq76fUmvbdT5w/ZD4AD/O62DLD3kgXWI=")</f>
        <v>#fQXMl+pXzdZduPCZmS996U066bnL2PGKq76fUmvbdT5w/ZD4AD/O62DLD3kgXWI=</v>
      </c>
      <c r="O55" s="541"/>
      <c r="P55" s="541"/>
      <c r="Q55" s="541"/>
      <c r="R55" s="312"/>
      <c r="S55" s="286"/>
      <c r="T55" s="286"/>
      <c r="U55" s="286"/>
      <c r="V55" s="286"/>
      <c r="W55" s="286"/>
    </row>
    <row r="56">
      <c r="A56" s="307" t="str">
        <f>IFERROR(__xludf.DUMMYFUNCTION("""COMPUTED_VALUE"""),"MICRO")</f>
        <v>MICRO</v>
      </c>
      <c r="B56" s="318" t="str">
        <f>IFERROR(__xludf.DUMMYFUNCTION("""COMPUTED_VALUE"""),"anasthetixs")</f>
        <v>anasthetixs</v>
      </c>
      <c r="C56" s="535" t="str">
        <f>IFERROR(__xludf.DUMMYFUNCTION("""COMPUTED_VALUE"""),"https://www.tiktok.com/@anasthetixs")</f>
        <v>https://www.tiktok.com/@anasthetixs</v>
      </c>
      <c r="D56" s="316">
        <f>IFERROR(__xludf.DUMMYFUNCTION("""COMPUTED_VALUE"""),8.136157581E10)</f>
        <v>81361575810</v>
      </c>
      <c r="E56" s="552">
        <f>IFERROR(__xludf.DUMMYFUNCTION("""COMPUTED_VALUE"""),0.0)</f>
        <v>0</v>
      </c>
      <c r="F56" s="316">
        <f>IFERROR(__xludf.DUMMYFUNCTION("""COMPUTED_VALUE"""),2.0)</f>
        <v>2</v>
      </c>
      <c r="G56" s="551" t="str">
        <f>IFERROR(__xludf.DUMMYFUNCTION("""COMPUTED_VALUE"""),"PR Package")</f>
        <v>PR Package</v>
      </c>
      <c r="H56" s="463" t="str">
        <f>IFERROR(__xludf.DUMMYFUNCTION("""COMPUTED_VALUE"""),"Sampai")</f>
        <v>Sampai</v>
      </c>
      <c r="I56" s="546" t="str">
        <f>IFERROR(__xludf.DUMMYFUNCTION("""COMPUTED_VALUE""")," Concept 1")</f>
        <v> Concept 1</v>
      </c>
      <c r="J56" s="540" t="str">
        <f>IFERROR(__xludf.DUMMYFUNCTION("""COMPUTED_VALUE"""),"https://vt.tiktok.com/ZSuyuynPf/")</f>
        <v>https://vt.tiktok.com/ZSuyuynPf/</v>
      </c>
      <c r="K56" s="312" t="str">
        <f>IFERROR(__xludf.DUMMYFUNCTION("""COMPUTED_VALUE"""),"#bbgjmUw4BvAmUzVLNvastGgmCFpPNvvfiOOaQfhMlx4pSZpSgvGRiw85MSEFhKE=")</f>
        <v>#bbgjmUw4BvAmUzVLNvastGgmCFpPNvvfiOOaQfhMlx4pSZpSgvGRiw85MSEFhKE=</v>
      </c>
      <c r="L56" s="546" t="str">
        <f>IFERROR(__xludf.DUMMYFUNCTION("""COMPUTED_VALUE"""),"Concept 2")</f>
        <v>Concept 2</v>
      </c>
      <c r="M56" s="540" t="str">
        <f>IFERROR(__xludf.DUMMYFUNCTION("""COMPUTED_VALUE"""),"https://vt.tiktok.com/ZSHhWc4n4/")</f>
        <v>https://vt.tiktok.com/ZSHhWc4n4/</v>
      </c>
      <c r="N56" s="541" t="str">
        <f>IFERROR(__xludf.DUMMYFUNCTION("""COMPUTED_VALUE"""),"#rBzmtUJqgTl7JNMuDx9MVtH8gOizph9Kiq4vorrtr1TrZ5NN+544k7UC3Z2VMZQ=")</f>
        <v>#rBzmtUJqgTl7JNMuDx9MVtH8gOizph9Kiq4vorrtr1TrZ5NN+544k7UC3Z2VMZQ=</v>
      </c>
      <c r="O56" s="540" t="str">
        <f>IFERROR(__xludf.DUMMYFUNCTION("""COMPUTED_VALUE"""),"https://vt.tiktok.com/ZSHXubC47/ ")</f>
        <v>https://vt.tiktok.com/ZSHXubC47/ </v>
      </c>
      <c r="P56" s="541" t="str">
        <f>IFERROR(__xludf.DUMMYFUNCTION("""COMPUTED_VALUE"""),"#p2SlgnbFncKSeGvKvOd0m72jtASYqAmjmBxZgQL1LIw2BadEPi4RA6LbX3Uo340=")</f>
        <v>#p2SlgnbFncKSeGvKvOd0m72jtASYqAmjmBxZgQL1LIw2BadEPi4RA6LbX3Uo340=</v>
      </c>
      <c r="Q56" s="541"/>
      <c r="R56" s="312"/>
      <c r="S56" s="286"/>
      <c r="T56" s="286"/>
      <c r="U56" s="286"/>
      <c r="V56" s="286"/>
      <c r="W56" s="286"/>
    </row>
    <row r="57">
      <c r="A57" s="307" t="str">
        <f>IFERROR(__xludf.DUMMYFUNCTION("""COMPUTED_VALUE"""),"MICRO")</f>
        <v>MICRO</v>
      </c>
      <c r="B57" s="318" t="str">
        <f>IFERROR(__xludf.DUMMYFUNCTION("""COMPUTED_VALUE"""),"maydarafsha")</f>
        <v>maydarafsha</v>
      </c>
      <c r="C57" s="535" t="str">
        <f>IFERROR(__xludf.DUMMYFUNCTION("""COMPUTED_VALUE"""),"https://www.tiktok.com/@maydarafsha")</f>
        <v>https://www.tiktok.com/@maydarafsha</v>
      </c>
      <c r="D57" s="316">
        <f>IFERROR(__xludf.DUMMYFUNCTION("""COMPUTED_VALUE"""),8.5850688023E10)</f>
        <v>85850688023</v>
      </c>
      <c r="E57" s="552">
        <f>IFERROR(__xludf.DUMMYFUNCTION("""COMPUTED_VALUE"""),0.0)</f>
        <v>0</v>
      </c>
      <c r="F57" s="316">
        <f>IFERROR(__xludf.DUMMYFUNCTION("""COMPUTED_VALUE"""),3.0)</f>
        <v>3</v>
      </c>
      <c r="G57" s="551" t="str">
        <f>IFERROR(__xludf.DUMMYFUNCTION("""COMPUTED_VALUE"""),"PR Package")</f>
        <v>PR Package</v>
      </c>
      <c r="H57" s="463" t="str">
        <f>IFERROR(__xludf.DUMMYFUNCTION("""COMPUTED_VALUE"""),"Sampai")</f>
        <v>Sampai</v>
      </c>
      <c r="I57" s="546" t="str">
        <f>IFERROR(__xludf.DUMMYFUNCTION("""COMPUTED_VALUE""")," Concept 1")</f>
        <v> Concept 1</v>
      </c>
      <c r="J57" s="540" t="str">
        <f>IFERROR(__xludf.DUMMYFUNCTION("""COMPUTED_VALUE"""),"https://vt.tiktok.com/ZSukhPKSe/")</f>
        <v>https://vt.tiktok.com/ZSukhPKSe/</v>
      </c>
      <c r="K57" s="312" t="str">
        <f>IFERROR(__xludf.DUMMYFUNCTION("""COMPUTED_VALUE"""),"#WrGBQfy5F87F+z5eOO29xZbbxeG3U2UExiQ+aE71Nw4E7q2DJm2w4JP8rxOFi40=")</f>
        <v>#WrGBQfy5F87F+z5eOO29xZbbxeG3U2UExiQ+aE71Nw4E7q2DJm2w4JP8rxOFi40=</v>
      </c>
      <c r="L57" s="546" t="str">
        <f>IFERROR(__xludf.DUMMYFUNCTION("""COMPUTED_VALUE"""),"Concept 3")</f>
        <v>Concept 3</v>
      </c>
      <c r="M57" s="540" t="str">
        <f>IFERROR(__xludf.DUMMYFUNCTION("""COMPUTED_VALUE"""),"https://vt.tiktok.com/ZSmwWLboY/")</f>
        <v>https://vt.tiktok.com/ZSmwWLboY/</v>
      </c>
      <c r="N57" s="541" t="str">
        <f>IFERROR(__xludf.DUMMYFUNCTION("""COMPUTED_VALUE"""),"#32WJrz+7JYLS/AKxfNzu7IeFAihTYtUAI9Lx4mmzOlgBaTg5vsC09GpDSbCro8U=")</f>
        <v>#32WJrz+7JYLS/AKxfNzu7IeFAihTYtUAI9Lx4mmzOlgBaTg5vsC09GpDSbCro8U=</v>
      </c>
      <c r="O57" s="540" t="str">
        <f>IFERROR(__xludf.DUMMYFUNCTION("""COMPUTED_VALUE"""),"https://vt.tiktok.com/ZSujWTB2b/")</f>
        <v>https://vt.tiktok.com/ZSujWTB2b/</v>
      </c>
      <c r="P57" s="541" t="str">
        <f>IFERROR(__xludf.DUMMYFUNCTION("""COMPUTED_VALUE"""),"#8lf68iFS8zCp1WpYCV5gxg0fBePbaYFtAUovZapEnfdIpMtRezNVSsQLuEP96Uk=")</f>
        <v>#8lf68iFS8zCp1WpYCV5gxg0fBePbaYFtAUovZapEnfdIpMtRezNVSsQLuEP96Uk=</v>
      </c>
      <c r="Q57" s="540" t="str">
        <f>IFERROR(__xludf.DUMMYFUNCTION("""COMPUTED_VALUE"""),"https://vt.tiktok.com/ZSHXuvkKJ/ ")</f>
        <v>https://vt.tiktok.com/ZSHXuvkKJ/ </v>
      </c>
      <c r="R57" s="312"/>
      <c r="S57" s="286"/>
      <c r="T57" s="286"/>
      <c r="U57" s="286"/>
      <c r="V57" s="286"/>
      <c r="W57" s="286"/>
    </row>
    <row r="58">
      <c r="A58" s="307" t="str">
        <f>IFERROR(__xludf.DUMMYFUNCTION("""COMPUTED_VALUE"""),"NANO")</f>
        <v>NANO</v>
      </c>
      <c r="B58" s="318" t="str">
        <f>IFERROR(__xludf.DUMMYFUNCTION("""COMPUTED_VALUE"""),"pinkiesgurl")</f>
        <v>pinkiesgurl</v>
      </c>
      <c r="C58" s="535" t="str">
        <f>IFERROR(__xludf.DUMMYFUNCTION("""COMPUTED_VALUE"""),"https://www.tiktok.com/@pinkiesgurl")</f>
        <v>https://www.tiktok.com/@pinkiesgurl</v>
      </c>
      <c r="D58" s="316">
        <f>IFERROR(__xludf.DUMMYFUNCTION("""COMPUTED_VALUE"""),8.5798859993E10)</f>
        <v>85798859993</v>
      </c>
      <c r="E58" s="552">
        <f>IFERROR(__xludf.DUMMYFUNCTION("""COMPUTED_VALUE"""),0.0)</f>
        <v>0</v>
      </c>
      <c r="F58" s="316">
        <f>IFERROR(__xludf.DUMMYFUNCTION("""COMPUTED_VALUE"""),3.0)</f>
        <v>3</v>
      </c>
      <c r="G58" s="551" t="str">
        <f>IFERROR(__xludf.DUMMYFUNCTION("""COMPUTED_VALUE"""),"PR Package")</f>
        <v>PR Package</v>
      </c>
      <c r="H58" s="463" t="str">
        <f>IFERROR(__xludf.DUMMYFUNCTION("""COMPUTED_VALUE"""),"Sampai")</f>
        <v>Sampai</v>
      </c>
      <c r="I58" s="546" t="str">
        <f>IFERROR(__xludf.DUMMYFUNCTION("""COMPUTED_VALUE"""),"Concept 2")</f>
        <v>Concept 2</v>
      </c>
      <c r="J58" s="540" t="str">
        <f>IFERROR(__xludf.DUMMYFUNCTION("""COMPUTED_VALUE"""),"https://vt.tiktok.com/ZSmgVwqRt/")</f>
        <v>https://vt.tiktok.com/ZSmgVwqRt/</v>
      </c>
      <c r="K58" s="312" t="str">
        <f>IFERROR(__xludf.DUMMYFUNCTION("""COMPUTED_VALUE"""),"#rp5BsADT0W9H2TkiDu+A4Na/2cBhA/Vhqmt6QaSDNj6JHdiAgEiulZCgjUXjWtQ=")</f>
        <v>#rp5BsADT0W9H2TkiDu+A4Na/2cBhA/Vhqmt6QaSDNj6JHdiAgEiulZCgjUXjWtQ=</v>
      </c>
      <c r="L58" s="546" t="str">
        <f>IFERROR(__xludf.DUMMYFUNCTION("""COMPUTED_VALUE"""),"Concept 3")</f>
        <v>Concept 3</v>
      </c>
      <c r="M58" s="540" t="str">
        <f>IFERROR(__xludf.DUMMYFUNCTION("""COMPUTED_VALUE"""),"https://vt.tiktok.com/ZSm7dTvc6/")</f>
        <v>https://vt.tiktok.com/ZSm7dTvc6/</v>
      </c>
      <c r="N58" s="541" t="str">
        <f>IFERROR(__xludf.DUMMYFUNCTION("""COMPUTED_VALUE"""),"#IDyGA0iVRN/f4XKIwOm7RNRDUoBoXOQWwLloURRItEjDmIiZlucf/ngJVlrKuO4=")</f>
        <v>#IDyGA0iVRN/f4XKIwOm7RNRDUoBoXOQWwLloURRItEjDmIiZlucf/ngJVlrKuO4=</v>
      </c>
      <c r="O58" s="540" t="str">
        <f>IFERROR(__xludf.DUMMYFUNCTION("""COMPUTED_VALUE"""),"https://vt.tiktok.com/ZSmo9Qj8D/")</f>
        <v>https://vt.tiktok.com/ZSmo9Qj8D/</v>
      </c>
      <c r="P58" s="541" t="str">
        <f>IFERROR(__xludf.DUMMYFUNCTION("""COMPUTED_VALUE"""),"#F2BKlAXfSnDMOkZkLXvQmfuhBYm0ReHMmRfy6S6ZR1k+B3QbQIzE5dd+ByeIzTI=")</f>
        <v>#F2BKlAXfSnDMOkZkLXvQmfuhBYm0ReHMmRfy6S6ZR1k+B3QbQIzE5dd+ByeIzTI=</v>
      </c>
      <c r="Q58" s="541"/>
      <c r="R58" s="312"/>
      <c r="S58" s="286"/>
      <c r="T58" s="286"/>
      <c r="U58" s="286"/>
      <c r="V58" s="286"/>
      <c r="W58" s="286"/>
    </row>
    <row r="59">
      <c r="A59" s="307" t="str">
        <f>IFERROR(__xludf.DUMMYFUNCTION("""COMPUTED_VALUE"""),"NANO")</f>
        <v>NANO</v>
      </c>
      <c r="B59" s="318" t="str">
        <f>IFERROR(__xludf.DUMMYFUNCTION("""COMPUTED_VALUE"""),"sekaaulia2")</f>
        <v>sekaaulia2</v>
      </c>
      <c r="C59" s="535" t="str">
        <f>IFERROR(__xludf.DUMMYFUNCTION("""COMPUTED_VALUE"""),"https://www.tiktok.com/@sekaaulia2")</f>
        <v>https://www.tiktok.com/@sekaaulia2</v>
      </c>
      <c r="D59" s="316">
        <f>IFERROR(__xludf.DUMMYFUNCTION("""COMPUTED_VALUE"""),8.1224952636E10)</f>
        <v>81224952636</v>
      </c>
      <c r="E59" s="552">
        <f>IFERROR(__xludf.DUMMYFUNCTION("""COMPUTED_VALUE"""),0.0)</f>
        <v>0</v>
      </c>
      <c r="F59" s="316">
        <f>IFERROR(__xludf.DUMMYFUNCTION("""COMPUTED_VALUE"""),3.0)</f>
        <v>3</v>
      </c>
      <c r="G59" s="551" t="str">
        <f>IFERROR(__xludf.DUMMYFUNCTION("""COMPUTED_VALUE"""),"PR Package")</f>
        <v>PR Package</v>
      </c>
      <c r="H59" s="463" t="str">
        <f>IFERROR(__xludf.DUMMYFUNCTION("""COMPUTED_VALUE"""),"Sampai")</f>
        <v>Sampai</v>
      </c>
      <c r="I59" s="546" t="str">
        <f>IFERROR(__xludf.DUMMYFUNCTION("""COMPUTED_VALUE""")," Concept 1")</f>
        <v> Concept 1</v>
      </c>
      <c r="J59" s="540" t="str">
        <f>IFERROR(__xludf.DUMMYFUNCTION("""COMPUTED_VALUE"""),"https://vt.tiktok.com/ZSmwywY66/")</f>
        <v>https://vt.tiktok.com/ZSmwywY66/</v>
      </c>
      <c r="K59" s="312" t="str">
        <f>IFERROR(__xludf.DUMMYFUNCTION("""COMPUTED_VALUE"""),"#4+16BBxippJ50hrfhFSj/1439OyOsY3PRpwRzSeYQxA4aP5ciM77j0yC9AA78EY=")</f>
        <v>#4+16BBxippJ50hrfhFSj/1439OyOsY3PRpwRzSeYQxA4aP5ciM77j0yC9AA78EY=</v>
      </c>
      <c r="L59" s="546" t="str">
        <f>IFERROR(__xludf.DUMMYFUNCTION("""COMPUTED_VALUE"""),"Concept 3")</f>
        <v>Concept 3</v>
      </c>
      <c r="M59" s="540" t="str">
        <f>IFERROR(__xludf.DUMMYFUNCTION("""COMPUTED_VALUE"""),"https://vt.tiktok.com/ZSH1ksPB5/")</f>
        <v>https://vt.tiktok.com/ZSH1ksPB5/</v>
      </c>
      <c r="N59" s="541" t="str">
        <f>IFERROR(__xludf.DUMMYFUNCTION("""COMPUTED_VALUE"""),"#wK79OL0+RvHQzmjz6RVxTRZqb22QNF4O37SiPmbJAajW8hWfSFbVEiCR32nw684=")</f>
        <v>#wK79OL0+RvHQzmjz6RVxTRZqb22QNF4O37SiPmbJAajW8hWfSFbVEiCR32nw684=</v>
      </c>
      <c r="O59" s="541"/>
      <c r="P59" s="541"/>
      <c r="Q59" s="541"/>
      <c r="R59" s="312"/>
      <c r="S59" s="286"/>
      <c r="T59" s="286"/>
      <c r="U59" s="286"/>
      <c r="V59" s="286"/>
      <c r="W59" s="286"/>
    </row>
    <row r="60">
      <c r="A60" s="307" t="str">
        <f>IFERROR(__xludf.DUMMYFUNCTION("""COMPUTED_VALUE"""),"NANO")</f>
        <v>NANO</v>
      </c>
      <c r="B60" s="318" t="str">
        <f>IFERROR(__xludf.DUMMYFUNCTION("""COMPUTED_VALUE"""),"theonlyara_6")</f>
        <v>theonlyara_6</v>
      </c>
      <c r="C60" s="535" t="str">
        <f>IFERROR(__xludf.DUMMYFUNCTION("""COMPUTED_VALUE"""),"https://www.tiktok.com/@theonlyara_6")</f>
        <v>https://www.tiktok.com/@theonlyara_6</v>
      </c>
      <c r="D60" s="316">
        <f>IFERROR(__xludf.DUMMYFUNCTION("""COMPUTED_VALUE"""),8.158845894E9)</f>
        <v>8158845894</v>
      </c>
      <c r="E60" s="552">
        <f>IFERROR(__xludf.DUMMYFUNCTION("""COMPUTED_VALUE"""),0.0)</f>
        <v>0</v>
      </c>
      <c r="F60" s="316">
        <f>IFERROR(__xludf.DUMMYFUNCTION("""COMPUTED_VALUE"""),3.0)</f>
        <v>3</v>
      </c>
      <c r="G60" s="551" t="str">
        <f>IFERROR(__xludf.DUMMYFUNCTION("""COMPUTED_VALUE"""),"PR Package")</f>
        <v>PR Package</v>
      </c>
      <c r="H60" s="463" t="str">
        <f>IFERROR(__xludf.DUMMYFUNCTION("""COMPUTED_VALUE"""),"Sampai")</f>
        <v>Sampai</v>
      </c>
      <c r="I60" s="546" t="str">
        <f>IFERROR(__xludf.DUMMYFUNCTION("""COMPUTED_VALUE""")," Concept 1")</f>
        <v> Concept 1</v>
      </c>
      <c r="J60" s="540" t="str">
        <f>IFERROR(__xludf.DUMMYFUNCTION("""COMPUTED_VALUE"""),"https://vt.tiktok.com/ZSmGHdAhG/")</f>
        <v>https://vt.tiktok.com/ZSmGHdAhG/</v>
      </c>
      <c r="K60" s="312" t="str">
        <f>IFERROR(__xludf.DUMMYFUNCTION("""COMPUTED_VALUE"""),"#YRRi2u2m31fs4S7lqREBFNdwxGlhnZpTH1TNNhFRMWzdAttMDoOEjYTmExQ1Pnw=")</f>
        <v>#YRRi2u2m31fs4S7lqREBFNdwxGlhnZpTH1TNNhFRMWzdAttMDoOEjYTmExQ1Pnw=</v>
      </c>
      <c r="L60" s="546" t="str">
        <f>IFERROR(__xludf.DUMMYFUNCTION("""COMPUTED_VALUE"""),"Concept 2")</f>
        <v>Concept 2</v>
      </c>
      <c r="M60" s="540" t="str">
        <f>IFERROR(__xludf.DUMMYFUNCTION("""COMPUTED_VALUE"""),"https://vt.tiktok.com/ZSu6GXBfc/")</f>
        <v>https://vt.tiktok.com/ZSu6GXBfc/</v>
      </c>
      <c r="N60" s="541" t="str">
        <f>IFERROR(__xludf.DUMMYFUNCTION("""COMPUTED_VALUE"""),"#be+s+Dqtmrcfx752oTK1bBnlYIutKrseDtACylwHBcRN+hDWQO/A5G7iSjfd3i4=")</f>
        <v>#be+s+Dqtmrcfx752oTK1bBnlYIutKrseDtACylwHBcRN+hDWQO/A5G7iSjfd3i4=</v>
      </c>
      <c r="O60" s="541"/>
      <c r="P60" s="541"/>
      <c r="Q60" s="541"/>
      <c r="R60" s="312"/>
      <c r="S60" s="286"/>
      <c r="T60" s="286"/>
      <c r="U60" s="286"/>
      <c r="V60" s="286"/>
      <c r="W60" s="286"/>
    </row>
    <row r="61">
      <c r="A61" s="307" t="str">
        <f>IFERROR(__xludf.DUMMYFUNCTION("""COMPUTED_VALUE"""),"MICRO")</f>
        <v>MICRO</v>
      </c>
      <c r="B61" s="318" t="str">
        <f>IFERROR(__xludf.DUMMYFUNCTION("""COMPUTED_VALUE"""),"upaahsn")</f>
        <v>upaahsn</v>
      </c>
      <c r="C61" s="535" t="str">
        <f>IFERROR(__xludf.DUMMYFUNCTION("""COMPUTED_VALUE"""),"https://www.tiktok.com/@upaahsn")</f>
        <v>https://www.tiktok.com/@upaahsn</v>
      </c>
      <c r="D61" s="316">
        <f>IFERROR(__xludf.DUMMYFUNCTION("""COMPUTED_VALUE"""),8.2279790694E10)</f>
        <v>82279790694</v>
      </c>
      <c r="E61" s="552">
        <f>IFERROR(__xludf.DUMMYFUNCTION("""COMPUTED_VALUE"""),0.0)</f>
        <v>0</v>
      </c>
      <c r="F61" s="316">
        <f>IFERROR(__xludf.DUMMYFUNCTION("""COMPUTED_VALUE"""),2.0)</f>
        <v>2</v>
      </c>
      <c r="G61" s="551" t="str">
        <f>IFERROR(__xludf.DUMMYFUNCTION("""COMPUTED_VALUE"""),"PR Package")</f>
        <v>PR Package</v>
      </c>
      <c r="H61" s="463" t="str">
        <f>IFERROR(__xludf.DUMMYFUNCTION("""COMPUTED_VALUE"""),"Sampai")</f>
        <v>Sampai</v>
      </c>
      <c r="I61" s="546" t="str">
        <f>IFERROR(__xludf.DUMMYFUNCTION("""COMPUTED_VALUE"""),"Concept 2")</f>
        <v>Concept 2</v>
      </c>
      <c r="J61" s="540" t="str">
        <f>IFERROR(__xludf.DUMMYFUNCTION("""COMPUTED_VALUE"""),"https://vt.tiktok.com/ZSHrtexeY/ ")</f>
        <v>https://vt.tiktok.com/ZSHrtexeY/ </v>
      </c>
      <c r="K61" s="312" t="str">
        <f>IFERROR(__xludf.DUMMYFUNCTION("""COMPUTED_VALUE"""),"#PgqQZztdeNsDKjJCQ5XXaWc3fwTIaK0OKPXBOt3ij14JCipmtyhs1sW2bRZVsI0=")</f>
        <v>#PgqQZztdeNsDKjJCQ5XXaWc3fwTIaK0OKPXBOt3ij14JCipmtyhs1sW2bRZVsI0=</v>
      </c>
      <c r="L61" s="546" t="str">
        <f>IFERROR(__xludf.DUMMYFUNCTION("""COMPUTED_VALUE""")," Concept 1")</f>
        <v> Concept 1</v>
      </c>
      <c r="M61" s="540" t="str">
        <f>IFERROR(__xludf.DUMMYFUNCTION("""COMPUTED_VALUE"""),"https://vt.tiktok.com/ZSH3YMmQv/ ")</f>
        <v>https://vt.tiktok.com/ZSH3YMmQv/ </v>
      </c>
      <c r="N61" s="541" t="str">
        <f>IFERROR(__xludf.DUMMYFUNCTION("""COMPUTED_VALUE"""),"#4E3tVqZeF0Bq9M1754fjtcKUY1iB1GA1sN3GuXPea0nRFUf6w/bDra9RsarIRjc=")</f>
        <v>#4E3tVqZeF0Bq9M1754fjtcKUY1iB1GA1sN3GuXPea0nRFUf6w/bDra9RsarIRjc=</v>
      </c>
      <c r="O61" s="541"/>
      <c r="P61" s="541"/>
      <c r="Q61" s="541"/>
      <c r="R61" s="312"/>
      <c r="S61" s="286"/>
      <c r="T61" s="286"/>
      <c r="U61" s="286"/>
      <c r="V61" s="286"/>
      <c r="W61" s="286"/>
    </row>
    <row r="62">
      <c r="A62" s="307" t="str">
        <f>IFERROR(__xludf.DUMMYFUNCTION("""COMPUTED_VALUE"""),"NANO")</f>
        <v>NANO</v>
      </c>
      <c r="B62" s="318" t="str">
        <f>IFERROR(__xludf.DUMMYFUNCTION("""COMPUTED_VALUE"""),"mrsrepiew")</f>
        <v>mrsrepiew</v>
      </c>
      <c r="C62" s="535" t="str">
        <f>IFERROR(__xludf.DUMMYFUNCTION("""COMPUTED_VALUE"""),"https://www.tiktok.com/@mrsrepiew")</f>
        <v>https://www.tiktok.com/@mrsrepiew</v>
      </c>
      <c r="D62" s="316">
        <f>IFERROR(__xludf.DUMMYFUNCTION("""COMPUTED_VALUE"""),8.5336219873E10)</f>
        <v>85336219873</v>
      </c>
      <c r="E62" s="552">
        <f>IFERROR(__xludf.DUMMYFUNCTION("""COMPUTED_VALUE"""),200000.0)</f>
        <v>200000</v>
      </c>
      <c r="F62" s="316">
        <f>IFERROR(__xludf.DUMMYFUNCTION("""COMPUTED_VALUE"""),2.0)</f>
        <v>2</v>
      </c>
      <c r="G62" s="551" t="str">
        <f>IFERROR(__xludf.DUMMYFUNCTION("""COMPUTED_VALUE"""),"PR Package")</f>
        <v>PR Package</v>
      </c>
      <c r="H62" s="463" t="str">
        <f>IFERROR(__xludf.DUMMYFUNCTION("""COMPUTED_VALUE"""),"Sampai")</f>
        <v>Sampai</v>
      </c>
      <c r="I62" s="546" t="str">
        <f>IFERROR(__xludf.DUMMYFUNCTION("""COMPUTED_VALUE"""),"Concept 2")</f>
        <v>Concept 2</v>
      </c>
      <c r="J62" s="540" t="str">
        <f>IFERROR(__xludf.DUMMYFUNCTION("""COMPUTED_VALUE"""),"https://vt.tiktok.com/ZSmE7tfdA/")</f>
        <v>https://vt.tiktok.com/ZSmE7tfdA/</v>
      </c>
      <c r="K62" s="312" t="str">
        <f>IFERROR(__xludf.DUMMYFUNCTION("""COMPUTED_VALUE"""),"#CQ3HBPmzClOgEKeCnbZADDYuGU9fK3lrwt4ZKoZH5SFz6xpcfS2D6TCv4SyoqnE=")</f>
        <v>#CQ3HBPmzClOgEKeCnbZADDYuGU9fK3lrwt4ZKoZH5SFz6xpcfS2D6TCv4SyoqnE=</v>
      </c>
      <c r="L62" s="546" t="str">
        <f>IFERROR(__xludf.DUMMYFUNCTION("""COMPUTED_VALUE""")," Concept 1")</f>
        <v> Concept 1</v>
      </c>
      <c r="M62" s="540" t="str">
        <f>IFERROR(__xludf.DUMMYFUNCTION("""COMPUTED_VALUE"""),"https://vt.tiktok.com/ZSuAajoaA/")</f>
        <v>https://vt.tiktok.com/ZSuAajoaA/</v>
      </c>
      <c r="N62" s="541" t="str">
        <f>IFERROR(__xludf.DUMMYFUNCTION("""COMPUTED_VALUE"""),"#Fw7t2It9JFHRiW7mRPXo1lzRRgToP+ohTaQAUWuAKL1GqVM1lZXbfh8ir695S64=")</f>
        <v>#Fw7t2It9JFHRiW7mRPXo1lzRRgToP+ohTaQAUWuAKL1GqVM1lZXbfh8ir695S64=</v>
      </c>
      <c r="O62" s="541"/>
      <c r="P62" s="541"/>
      <c r="Q62" s="541"/>
      <c r="R62" s="312"/>
      <c r="S62" s="286"/>
      <c r="T62" s="286"/>
      <c r="U62" s="286"/>
      <c r="V62" s="286"/>
      <c r="W62" s="286"/>
    </row>
    <row r="63">
      <c r="A63" s="307" t="str">
        <f>IFERROR(__xludf.DUMMYFUNCTION("""COMPUTED_VALUE"""),"MICRO")</f>
        <v>MICRO</v>
      </c>
      <c r="B63" s="318" t="str">
        <f>IFERROR(__xludf.DUMMYFUNCTION("""COMPUTED_VALUE"""),"thnlykai")</f>
        <v>thnlykai</v>
      </c>
      <c r="C63" s="535" t="str">
        <f>IFERROR(__xludf.DUMMYFUNCTION("""COMPUTED_VALUE"""),"https://www.tiktok.com/@thnlykai")</f>
        <v>https://www.tiktok.com/@thnlykai</v>
      </c>
      <c r="D63" s="316">
        <f>IFERROR(__xludf.DUMMYFUNCTION("""COMPUTED_VALUE"""),8.98613759E9)</f>
        <v>8986137590</v>
      </c>
      <c r="E63" s="552">
        <f>IFERROR(__xludf.DUMMYFUNCTION("""COMPUTED_VALUE"""),150000.0)</f>
        <v>150000</v>
      </c>
      <c r="F63" s="316">
        <f>IFERROR(__xludf.DUMMYFUNCTION("""COMPUTED_VALUE"""),2.0)</f>
        <v>2</v>
      </c>
      <c r="G63" s="551" t="str">
        <f>IFERROR(__xludf.DUMMYFUNCTION("""COMPUTED_VALUE"""),"PR Package")</f>
        <v>PR Package</v>
      </c>
      <c r="H63" s="463" t="str">
        <f>IFERROR(__xludf.DUMMYFUNCTION("""COMPUTED_VALUE"""),"Sampai")</f>
        <v>Sampai</v>
      </c>
      <c r="I63" s="546" t="str">
        <f>IFERROR(__xludf.DUMMYFUNCTION("""COMPUTED_VALUE"""),"Concept 2")</f>
        <v>Concept 2</v>
      </c>
      <c r="J63" s="540" t="str">
        <f>IFERROR(__xludf.DUMMYFUNCTION("""COMPUTED_VALUE"""),"https://vt.tiktok.com/ZSmEvm3mu/")</f>
        <v>https://vt.tiktok.com/ZSmEvm3mu/</v>
      </c>
      <c r="K63" s="312" t="str">
        <f>IFERROR(__xludf.DUMMYFUNCTION("""COMPUTED_VALUE"""),"#KmcJfdmgV2IPmAzbfk4GPCW035IVRIpdE5pc7OaoxPbqLE0lmyMFbgpqV85oveo=")</f>
        <v>#KmcJfdmgV2IPmAzbfk4GPCW035IVRIpdE5pc7OaoxPbqLE0lmyMFbgpqV85oveo=</v>
      </c>
      <c r="L63" s="546" t="str">
        <f>IFERROR(__xludf.DUMMYFUNCTION("""COMPUTED_VALUE"""),"Concept 3")</f>
        <v>Concept 3</v>
      </c>
      <c r="M63" s="540" t="str">
        <f>IFERROR(__xludf.DUMMYFUNCTION("""COMPUTED_VALUE"""),"https://vt.tiktok.com/ZSuydaH7u/")</f>
        <v>https://vt.tiktok.com/ZSuydaH7u/</v>
      </c>
      <c r="N63" s="541" t="str">
        <f>IFERROR(__xludf.DUMMYFUNCTION("""COMPUTED_VALUE"""),"#wwoAWS5jBDR0758sKfX9DbDtN0qy29vHIfSKBcnkUHYMTy/UIqgAG/GPznqnrzk=")</f>
        <v>#wwoAWS5jBDR0758sKfX9DbDtN0qy29vHIfSKBcnkUHYMTy/UIqgAG/GPznqnrzk=</v>
      </c>
      <c r="O63" s="541"/>
      <c r="P63" s="541"/>
      <c r="Q63" s="541"/>
      <c r="R63" s="312"/>
      <c r="S63" s="286"/>
      <c r="T63" s="286"/>
      <c r="U63" s="286"/>
      <c r="V63" s="286"/>
      <c r="W63" s="286"/>
    </row>
    <row r="64">
      <c r="A64" s="307" t="str">
        <f>IFERROR(__xludf.DUMMYFUNCTION("""COMPUTED_VALUE"""),"MICRO")</f>
        <v>MICRO</v>
      </c>
      <c r="B64" s="318" t="str">
        <f>IFERROR(__xludf.DUMMYFUNCTION("""COMPUTED_VALUE"""),"vivikimss")</f>
        <v>vivikimss</v>
      </c>
      <c r="C64" s="535" t="str">
        <f>IFERROR(__xludf.DUMMYFUNCTION("""COMPUTED_VALUE"""),"https://www.tiktok.com/@vivikimss")</f>
        <v>https://www.tiktok.com/@vivikimss</v>
      </c>
      <c r="D64" s="316">
        <f>IFERROR(__xludf.DUMMYFUNCTION("""COMPUTED_VALUE"""),8.2241420854E10)</f>
        <v>82241420854</v>
      </c>
      <c r="E64" s="552">
        <f>IFERROR(__xludf.DUMMYFUNCTION("""COMPUTED_VALUE"""),0.0)</f>
        <v>0</v>
      </c>
      <c r="F64" s="316">
        <f>IFERROR(__xludf.DUMMYFUNCTION("""COMPUTED_VALUE"""),2.0)</f>
        <v>2</v>
      </c>
      <c r="G64" s="551" t="str">
        <f>IFERROR(__xludf.DUMMYFUNCTION("""COMPUTED_VALUE"""),"PR Package")</f>
        <v>PR Package</v>
      </c>
      <c r="H64" s="463" t="str">
        <f>IFERROR(__xludf.DUMMYFUNCTION("""COMPUTED_VALUE"""),"Sampai")</f>
        <v>Sampai</v>
      </c>
      <c r="I64" s="546" t="str">
        <f>IFERROR(__xludf.DUMMYFUNCTION("""COMPUTED_VALUE"""),"Concept 2")</f>
        <v>Concept 2</v>
      </c>
      <c r="J64" s="540" t="str">
        <f>IFERROR(__xludf.DUMMYFUNCTION("""COMPUTED_VALUE"""),"https://vt.tiktok.com/ZSmqLKU9N/")</f>
        <v>https://vt.tiktok.com/ZSmqLKU9N/</v>
      </c>
      <c r="K64" s="312" t="str">
        <f>IFERROR(__xludf.DUMMYFUNCTION("""COMPUTED_VALUE"""),"#7bCHxGPSjQzpqzmY9k8BvqblhgZmGnReSv/Mk8g5soHQqgsDaQm2/TH3KXvnucU=")</f>
        <v>#7bCHxGPSjQzpqzmY9k8BvqblhgZmGnReSv/Mk8g5soHQqgsDaQm2/TH3KXvnucU=</v>
      </c>
      <c r="L64" s="546" t="str">
        <f>IFERROR(__xludf.DUMMYFUNCTION("""COMPUTED_VALUE""")," Concept 1")</f>
        <v> Concept 1</v>
      </c>
      <c r="M64" s="540" t="str">
        <f>IFERROR(__xludf.DUMMYFUNCTION("""COMPUTED_VALUE"""),"https://vt.tiktok.com/ZSmEt9osV/")</f>
        <v>https://vt.tiktok.com/ZSmEt9osV/</v>
      </c>
      <c r="N64" s="541" t="str">
        <f>IFERROR(__xludf.DUMMYFUNCTION("""COMPUTED_VALUE"""),"#mA7OAlMZtFCNWWzzBVHblpQaoFCVinDB0vH8sJgBVoSFtJmXlygrvSGPvq/DNag=")</f>
        <v>#mA7OAlMZtFCNWWzzBVHblpQaoFCVinDB0vH8sJgBVoSFtJmXlygrvSGPvq/DNag=</v>
      </c>
      <c r="O64" s="541"/>
      <c r="P64" s="541"/>
      <c r="Q64" s="541"/>
      <c r="R64" s="312"/>
      <c r="S64" s="286"/>
      <c r="T64" s="286"/>
      <c r="U64" s="286"/>
      <c r="V64" s="286"/>
      <c r="W64" s="286"/>
    </row>
    <row r="65">
      <c r="A65" s="307" t="str">
        <f>IFERROR(__xludf.DUMMYFUNCTION("""COMPUTED_VALUE"""),"MICRO")</f>
        <v>MICRO</v>
      </c>
      <c r="B65" s="318" t="str">
        <f>IFERROR(__xludf.DUMMYFUNCTION("""COMPUTED_VALUE"""),"angelmatondang14")</f>
        <v>angelmatondang14</v>
      </c>
      <c r="C65" s="535" t="str">
        <f>IFERROR(__xludf.DUMMYFUNCTION("""COMPUTED_VALUE"""),"https://www.tiktok.com/@angelmatondang14")</f>
        <v>https://www.tiktok.com/@angelmatondang14</v>
      </c>
      <c r="D65" s="316">
        <f>IFERROR(__xludf.DUMMYFUNCTION("""COMPUTED_VALUE"""),8.77510358E10)</f>
        <v>87751035800</v>
      </c>
      <c r="E65" s="552">
        <f>IFERROR(__xludf.DUMMYFUNCTION("""COMPUTED_VALUE"""),0.0)</f>
        <v>0</v>
      </c>
      <c r="F65" s="316">
        <f>IFERROR(__xludf.DUMMYFUNCTION("""COMPUTED_VALUE"""),2.0)</f>
        <v>2</v>
      </c>
      <c r="G65" s="551" t="str">
        <f>IFERROR(__xludf.DUMMYFUNCTION("""COMPUTED_VALUE"""),"PR Package")</f>
        <v>PR Package</v>
      </c>
      <c r="H65" s="463" t="str">
        <f>IFERROR(__xludf.DUMMYFUNCTION("""COMPUTED_VALUE"""),"Sampai")</f>
        <v>Sampai</v>
      </c>
      <c r="I65" s="546" t="str">
        <f>IFERROR(__xludf.DUMMYFUNCTION("""COMPUTED_VALUE"""),"Concept 2")</f>
        <v>Concept 2</v>
      </c>
      <c r="J65" s="540" t="str">
        <f>IFERROR(__xludf.DUMMYFUNCTION("""COMPUTED_VALUE"""),"https://vt.tiktok.com/ZSm4BBosF/")</f>
        <v>https://vt.tiktok.com/ZSm4BBosF/</v>
      </c>
      <c r="K65" s="312" t="str">
        <f>IFERROR(__xludf.DUMMYFUNCTION("""COMPUTED_VALUE"""),"#Rdz3gY1TZOVxfGgSR9gUA/I5Czo8nHyDTBtZRMv+Qu2/dfxew5dQyZs0f7rLhYg=")</f>
        <v>#Rdz3gY1TZOVxfGgSR9gUA/I5Czo8nHyDTBtZRMv+Qu2/dfxew5dQyZs0f7rLhYg=</v>
      </c>
      <c r="L65" s="546" t="str">
        <f>IFERROR(__xludf.DUMMYFUNCTION("""COMPUTED_VALUE""")," Concept 1")</f>
        <v> Concept 1</v>
      </c>
      <c r="M65" s="540" t="str">
        <f>IFERROR(__xludf.DUMMYFUNCTION("""COMPUTED_VALUE"""),"https://vt.tiktok.com/ZSuYtnSdq/")</f>
        <v>https://vt.tiktok.com/ZSuYtnSdq/</v>
      </c>
      <c r="N65" s="541" t="str">
        <f>IFERROR(__xludf.DUMMYFUNCTION("""COMPUTED_VALUE"""),"#Fk2qCgVMQTPMHxiRxKgYP74eqJsl2RMv2lp/MREq8mRXKTVdbImJWWQ7EY7Rl2U=")</f>
        <v>#Fk2qCgVMQTPMHxiRxKgYP74eqJsl2RMv2lp/MREq8mRXKTVdbImJWWQ7EY7Rl2U=</v>
      </c>
      <c r="O65" s="541"/>
      <c r="P65" s="541"/>
      <c r="Q65" s="541"/>
      <c r="R65" s="312"/>
      <c r="S65" s="286"/>
      <c r="T65" s="286"/>
      <c r="U65" s="286"/>
      <c r="V65" s="286"/>
      <c r="W65" s="286"/>
    </row>
    <row r="66">
      <c r="A66" s="307" t="str">
        <f>IFERROR(__xludf.DUMMYFUNCTION("""COMPUTED_VALUE"""),"MICRO")</f>
        <v>MICRO</v>
      </c>
      <c r="B66" s="318" t="str">
        <f>IFERROR(__xludf.DUMMYFUNCTION("""COMPUTED_VALUE"""),"ndiranavsyari")</f>
        <v>ndiranavsyari</v>
      </c>
      <c r="C66" s="535" t="str">
        <f>IFERROR(__xludf.DUMMYFUNCTION("""COMPUTED_VALUE"""),"https://www.tiktok.com/@ndiranavsyari")</f>
        <v>https://www.tiktok.com/@ndiranavsyari</v>
      </c>
      <c r="D66" s="316">
        <f>IFERROR(__xludf.DUMMYFUNCTION("""COMPUTED_VALUE"""),8.5751160469E10)</f>
        <v>85751160469</v>
      </c>
      <c r="E66" s="552">
        <f>IFERROR(__xludf.DUMMYFUNCTION("""COMPUTED_VALUE"""),0.0)</f>
        <v>0</v>
      </c>
      <c r="F66" s="316">
        <f>IFERROR(__xludf.DUMMYFUNCTION("""COMPUTED_VALUE"""),2.0)</f>
        <v>2</v>
      </c>
      <c r="G66" s="551" t="str">
        <f>IFERROR(__xludf.DUMMYFUNCTION("""COMPUTED_VALUE"""),"PR Package")</f>
        <v>PR Package</v>
      </c>
      <c r="H66" s="463" t="str">
        <f>IFERROR(__xludf.DUMMYFUNCTION("""COMPUTED_VALUE"""),"Sampai")</f>
        <v>Sampai</v>
      </c>
      <c r="I66" s="546" t="str">
        <f>IFERROR(__xludf.DUMMYFUNCTION("""COMPUTED_VALUE""")," Concept 1")</f>
        <v> Concept 1</v>
      </c>
      <c r="J66" s="540" t="str">
        <f>IFERROR(__xludf.DUMMYFUNCTION("""COMPUTED_VALUE"""),"https://vt.tiktok.com/ZSuLaoAQT/")</f>
        <v>https://vt.tiktok.com/ZSuLaoAQT/</v>
      </c>
      <c r="K66" s="312" t="str">
        <f>IFERROR(__xludf.DUMMYFUNCTION("""COMPUTED_VALUE"""),"#RCp/gDMdYD7OLMk3pNZ+arM8RH0j7BiTcHoz+zc/ym3h+3koSOLZHjtiYpZOyv8=")</f>
        <v>#RCp/gDMdYD7OLMk3pNZ+arM8RH0j7BiTcHoz+zc/ym3h+3koSOLZHjtiYpZOyv8=</v>
      </c>
      <c r="L66" s="546" t="str">
        <f>IFERROR(__xludf.DUMMYFUNCTION("""COMPUTED_VALUE"""),"Concept 2")</f>
        <v>Concept 2</v>
      </c>
      <c r="M66" s="540" t="str">
        <f>IFERROR(__xludf.DUMMYFUNCTION("""COMPUTED_VALUE"""),"https://vt.tiktok.com/ZSuHJQ64o/")</f>
        <v>https://vt.tiktok.com/ZSuHJQ64o/</v>
      </c>
      <c r="N66" s="541" t="str">
        <f>IFERROR(__xludf.DUMMYFUNCTION("""COMPUTED_VALUE"""),"#ukVncXRwdWJbT3mzrOBIc4t/qfyr+kThsndA8dq/fXkfVMieSpxodYPFj5FAR9c=48,2 °F")</f>
        <v>#ukVncXRwdWJbT3mzrOBIc4t/qfyr+kThsndA8dq/fXkfVMieSpxodYPFj5FAR9c=48,2 °F</v>
      </c>
      <c r="O66" s="541"/>
      <c r="P66" s="541"/>
      <c r="Q66" s="541"/>
      <c r="R66" s="312"/>
      <c r="S66" s="286"/>
      <c r="T66" s="286"/>
      <c r="U66" s="286"/>
      <c r="V66" s="286"/>
      <c r="W66" s="286"/>
    </row>
    <row r="67">
      <c r="A67" s="307" t="str">
        <f>IFERROR(__xludf.DUMMYFUNCTION("""COMPUTED_VALUE"""),"MICRO")</f>
        <v>MICRO</v>
      </c>
      <c r="B67" s="318" t="str">
        <f>IFERROR(__xludf.DUMMYFUNCTION("""COMPUTED_VALUE"""),"fitrianahisnainy")</f>
        <v>fitrianahisnainy</v>
      </c>
      <c r="C67" s="535" t="str">
        <f>IFERROR(__xludf.DUMMYFUNCTION("""COMPUTED_VALUE"""),"https://www.tiktok.com/@fitrianahisnainy")</f>
        <v>https://www.tiktok.com/@fitrianahisnainy</v>
      </c>
      <c r="D67" s="316">
        <f>IFERROR(__xludf.DUMMYFUNCTION("""COMPUTED_VALUE"""),8.5210191147E10)</f>
        <v>85210191147</v>
      </c>
      <c r="E67" s="552">
        <f>IFERROR(__xludf.DUMMYFUNCTION("""COMPUTED_VALUE"""),250000.0)</f>
        <v>250000</v>
      </c>
      <c r="F67" s="316">
        <f>IFERROR(__xludf.DUMMYFUNCTION("""COMPUTED_VALUE"""),2.0)</f>
        <v>2</v>
      </c>
      <c r="G67" s="551" t="str">
        <f>IFERROR(__xludf.DUMMYFUNCTION("""COMPUTED_VALUE"""),"PR Package")</f>
        <v>PR Package</v>
      </c>
      <c r="H67" s="463" t="str">
        <f>IFERROR(__xludf.DUMMYFUNCTION("""COMPUTED_VALUE"""),"Sampai")</f>
        <v>Sampai</v>
      </c>
      <c r="I67" s="546" t="str">
        <f>IFERROR(__xludf.DUMMYFUNCTION("""COMPUTED_VALUE"""),"Concept 2")</f>
        <v>Concept 2</v>
      </c>
      <c r="J67" s="540" t="str">
        <f>IFERROR(__xludf.DUMMYFUNCTION("""COMPUTED_VALUE"""),"https://vt.tiktok.com/ZSmUkaxVk/")</f>
        <v>https://vt.tiktok.com/ZSmUkaxVk/</v>
      </c>
      <c r="K67" s="312" t="str">
        <f>IFERROR(__xludf.DUMMYFUNCTION("""COMPUTED_VALUE"""),"#xe2pOX/9PA+4nxjKMu0yozTcYl2SE7M5j+yZbJzcJ6bIGrK1hnp7VCP9+PLiT9g=")</f>
        <v>#xe2pOX/9PA+4nxjKMu0yozTcYl2SE7M5j+yZbJzcJ6bIGrK1hnp7VCP9+PLiT9g=</v>
      </c>
      <c r="L67" s="546" t="str">
        <f>IFERROR(__xludf.DUMMYFUNCTION("""COMPUTED_VALUE"""),"Concept 3")</f>
        <v>Concept 3</v>
      </c>
      <c r="M67" s="540" t="str">
        <f>IFERROR(__xludf.DUMMYFUNCTION("""COMPUTED_VALUE"""),"https://vt.tiktok.com/ZSma9n82U/")</f>
        <v>https://vt.tiktok.com/ZSma9n82U/</v>
      </c>
      <c r="N67" s="541" t="str">
        <f>IFERROR(__xludf.DUMMYFUNCTION("""COMPUTED_VALUE"""),"#wtpFB+k/RUgHOeLjqj68CfXECkuWz2jSKe3Mr7cT+GpvTkuHBS+05SE/0tsdHRc=")</f>
        <v>#wtpFB+k/RUgHOeLjqj68CfXECkuWz2jSKe3Mr7cT+GpvTkuHBS+05SE/0tsdHRc=</v>
      </c>
      <c r="O67" s="541"/>
      <c r="P67" s="541"/>
      <c r="Q67" s="541"/>
      <c r="R67" s="312"/>
      <c r="S67" s="286"/>
      <c r="T67" s="286"/>
      <c r="U67" s="286"/>
      <c r="V67" s="286"/>
      <c r="W67" s="286"/>
    </row>
    <row r="68">
      <c r="A68" s="307" t="str">
        <f>IFERROR(__xludf.DUMMYFUNCTION("""COMPUTED_VALUE"""),"NANO")</f>
        <v>NANO</v>
      </c>
      <c r="B68" s="318" t="str">
        <f>IFERROR(__xludf.DUMMYFUNCTION("""COMPUTED_VALUE"""),"nbillahnc")</f>
        <v>nbillahnc</v>
      </c>
      <c r="C68" s="535" t="str">
        <f>IFERROR(__xludf.DUMMYFUNCTION("""COMPUTED_VALUE"""),"https://www.tiktok.com/@nbillahnc")</f>
        <v>https://www.tiktok.com/@nbillahnc</v>
      </c>
      <c r="D68" s="316">
        <f>IFERROR(__xludf.DUMMYFUNCTION("""COMPUTED_VALUE"""),8.5846120741E10)</f>
        <v>85846120741</v>
      </c>
      <c r="E68" s="552">
        <f>IFERROR(__xludf.DUMMYFUNCTION("""COMPUTED_VALUE"""),0.0)</f>
        <v>0</v>
      </c>
      <c r="F68" s="316">
        <f>IFERROR(__xludf.DUMMYFUNCTION("""COMPUTED_VALUE"""),2.0)</f>
        <v>2</v>
      </c>
      <c r="G68" s="551" t="str">
        <f>IFERROR(__xludf.DUMMYFUNCTION("""COMPUTED_VALUE"""),"PR Package")</f>
        <v>PR Package</v>
      </c>
      <c r="H68" s="463" t="str">
        <f>IFERROR(__xludf.DUMMYFUNCTION("""COMPUTED_VALUE"""),"Sampai")</f>
        <v>Sampai</v>
      </c>
      <c r="I68" s="546" t="str">
        <f>IFERROR(__xludf.DUMMYFUNCTION("""COMPUTED_VALUE""")," Concept 1")</f>
        <v> Concept 1</v>
      </c>
      <c r="J68" s="540" t="str">
        <f>IFERROR(__xludf.DUMMYFUNCTION("""COMPUTED_VALUE"""),"https://vt.tiktok.com/ZSmUmpYxV/")</f>
        <v>https://vt.tiktok.com/ZSmUmpYxV/</v>
      </c>
      <c r="K68" s="312" t="str">
        <f>IFERROR(__xludf.DUMMYFUNCTION("""COMPUTED_VALUE"""),"#clYvjUujrRtchlCY6fN8p32zmkb4cpi4VKykPKHdK7zkl3U997UevbGWAmGqjvs=")</f>
        <v>#clYvjUujrRtchlCY6fN8p32zmkb4cpi4VKykPKHdK7zkl3U997UevbGWAmGqjvs=</v>
      </c>
      <c r="L68" s="546" t="str">
        <f>IFERROR(__xludf.DUMMYFUNCTION("""COMPUTED_VALUE"""),"Concept 2")</f>
        <v>Concept 2</v>
      </c>
      <c r="M68" s="540" t="str">
        <f>IFERROR(__xludf.DUMMYFUNCTION("""COMPUTED_VALUE"""),"https://vt.tiktok.com/ZSmPVfxdw/")</f>
        <v>https://vt.tiktok.com/ZSmPVfxdw/</v>
      </c>
      <c r="N68" s="541" t="str">
        <f>IFERROR(__xludf.DUMMYFUNCTION("""COMPUTED_VALUE"""),"#Nq3tC3WP7YSTOs8RnvUPBUvw758zYFueUz/Ilmb1Bx4e87aCJCIpBnR7KqRe8ps=")</f>
        <v>#Nq3tC3WP7YSTOs8RnvUPBUvw758zYFueUz/Ilmb1Bx4e87aCJCIpBnR7KqRe8ps=</v>
      </c>
      <c r="O68" s="541"/>
      <c r="P68" s="541"/>
      <c r="Q68" s="541"/>
      <c r="R68" s="312"/>
      <c r="S68" s="286"/>
      <c r="T68" s="286"/>
      <c r="U68" s="286"/>
      <c r="V68" s="286"/>
      <c r="W68" s="286"/>
    </row>
    <row r="69">
      <c r="A69" s="307" t="str">
        <f>IFERROR(__xludf.DUMMYFUNCTION("""COMPUTED_VALUE"""),"NANO")</f>
        <v>NANO</v>
      </c>
      <c r="B69" s="318" t="str">
        <f>IFERROR(__xludf.DUMMYFUNCTION("""COMPUTED_VALUE"""),"melisadyp")</f>
        <v>melisadyp</v>
      </c>
      <c r="C69" s="535" t="str">
        <f>IFERROR(__xludf.DUMMYFUNCTION("""COMPUTED_VALUE"""),"https://www.tiktok.com/@melisadyp")</f>
        <v>https://www.tiktok.com/@melisadyp</v>
      </c>
      <c r="D69" s="316">
        <f>IFERROR(__xludf.DUMMYFUNCTION("""COMPUTED_VALUE"""),8.5174215253E10)</f>
        <v>85174215253</v>
      </c>
      <c r="E69" s="552">
        <f>IFERROR(__xludf.DUMMYFUNCTION("""COMPUTED_VALUE"""),0.0)</f>
        <v>0</v>
      </c>
      <c r="F69" s="316">
        <f>IFERROR(__xludf.DUMMYFUNCTION("""COMPUTED_VALUE"""),2.0)</f>
        <v>2</v>
      </c>
      <c r="G69" s="551" t="str">
        <f>IFERROR(__xludf.DUMMYFUNCTION("""COMPUTED_VALUE"""),"PR Package")</f>
        <v>PR Package</v>
      </c>
      <c r="H69" s="463" t="str">
        <f>IFERROR(__xludf.DUMMYFUNCTION("""COMPUTED_VALUE"""),"Sampai")</f>
        <v>Sampai</v>
      </c>
      <c r="I69" s="546" t="str">
        <f>IFERROR(__xludf.DUMMYFUNCTION("""COMPUTED_VALUE"""),"Concept 2")</f>
        <v>Concept 2</v>
      </c>
      <c r="J69" s="540" t="str">
        <f>IFERROR(__xludf.DUMMYFUNCTION("""COMPUTED_VALUE"""),"https://vt.tiktok.com/ZSmgC12RF/")</f>
        <v>https://vt.tiktok.com/ZSmgC12RF/</v>
      </c>
      <c r="K69" s="312" t="str">
        <f>IFERROR(__xludf.DUMMYFUNCTION("""COMPUTED_VALUE"""),"#eoLv/HG4+q4SFp5+QQ7t+uvYMbG7YD68gg7heOXCYuZ1hdw100tCsrj/kf9fOyY=")</f>
        <v>#eoLv/HG4+q4SFp5+QQ7t+uvYMbG7YD68gg7heOXCYuZ1hdw100tCsrj/kf9fOyY=</v>
      </c>
      <c r="L69" s="546" t="str">
        <f>IFERROR(__xludf.DUMMYFUNCTION("""COMPUTED_VALUE""")," Concept 1")</f>
        <v> Concept 1</v>
      </c>
      <c r="M69" s="540" t="str">
        <f>IFERROR(__xludf.DUMMYFUNCTION("""COMPUTED_VALUE"""),"https://vt.tiktok.com/ZSurqoNou/")</f>
        <v>https://vt.tiktok.com/ZSurqoNou/</v>
      </c>
      <c r="N69" s="541" t="str">
        <f>IFERROR(__xludf.DUMMYFUNCTION("""COMPUTED_VALUE"""),"#CN1KB2dYELbVJjPG8kiOyOeW60tWVYbAMGwhIvb+MJfDk5gEvf5Gj+83PkZET7A=")</f>
        <v>#CN1KB2dYELbVJjPG8kiOyOeW60tWVYbAMGwhIvb+MJfDk5gEvf5Gj+83PkZET7A=</v>
      </c>
      <c r="O69" s="541"/>
      <c r="P69" s="541"/>
      <c r="Q69" s="541"/>
      <c r="R69" s="312"/>
      <c r="S69" s="286"/>
      <c r="T69" s="286"/>
      <c r="U69" s="286"/>
      <c r="V69" s="286"/>
      <c r="W69" s="286"/>
    </row>
    <row r="70">
      <c r="A70" s="307" t="str">
        <f>IFERROR(__xludf.DUMMYFUNCTION("""COMPUTED_VALUE"""),"MICRO")</f>
        <v>MICRO</v>
      </c>
      <c r="B70" s="318" t="str">
        <f>IFERROR(__xludf.DUMMYFUNCTION("""COMPUTED_VALUE"""),"ayla19553")</f>
        <v>ayla19553</v>
      </c>
      <c r="C70" s="535" t="str">
        <f>IFERROR(__xludf.DUMMYFUNCTION("""COMPUTED_VALUE"""),"https://www.tiktok.com/@ayla19553")</f>
        <v>https://www.tiktok.com/@ayla19553</v>
      </c>
      <c r="D70" s="316">
        <f>IFERROR(__xludf.DUMMYFUNCTION("""COMPUTED_VALUE"""),8.1332677895E10)</f>
        <v>81332677895</v>
      </c>
      <c r="E70" s="552">
        <f>IFERROR(__xludf.DUMMYFUNCTION("""COMPUTED_VALUE"""),0.0)</f>
        <v>0</v>
      </c>
      <c r="F70" s="316">
        <f>IFERROR(__xludf.DUMMYFUNCTION("""COMPUTED_VALUE"""),2.0)</f>
        <v>2</v>
      </c>
      <c r="G70" s="551" t="str">
        <f>IFERROR(__xludf.DUMMYFUNCTION("""COMPUTED_VALUE"""),"PR Package")</f>
        <v>PR Package</v>
      </c>
      <c r="H70" s="463" t="str">
        <f>IFERROR(__xludf.DUMMYFUNCTION("""COMPUTED_VALUE"""),"Sampai")</f>
        <v>Sampai</v>
      </c>
      <c r="I70" s="546" t="str">
        <f>IFERROR(__xludf.DUMMYFUNCTION("""COMPUTED_VALUE""")," Concept 1")</f>
        <v> Concept 1</v>
      </c>
      <c r="J70" s="540" t="str">
        <f>IFERROR(__xludf.DUMMYFUNCTION("""COMPUTED_VALUE"""),"https://vt.tiktok.com/ZSuj5YwDf/")</f>
        <v>https://vt.tiktok.com/ZSuj5YwDf/</v>
      </c>
      <c r="K70" s="312" t="str">
        <f>IFERROR(__xludf.DUMMYFUNCTION("""COMPUTED_VALUE"""),"#8KPFDKhN0knb77stoOHC4gTNm+eAcV1hqQ34yrM1MuSzbkwl7NIWwt91iPjUou0=")</f>
        <v>#8KPFDKhN0knb77stoOHC4gTNm+eAcV1hqQ34yrM1MuSzbkwl7NIWwt91iPjUou0=</v>
      </c>
      <c r="L70" s="546" t="str">
        <f>IFERROR(__xludf.DUMMYFUNCTION("""COMPUTED_VALUE"""),"Concept 2")</f>
        <v>Concept 2</v>
      </c>
      <c r="M70" s="540" t="str">
        <f>IFERROR(__xludf.DUMMYFUNCTION("""COMPUTED_VALUE"""),"https://vt.tiktok.com/ZSurunegv/")</f>
        <v>https://vt.tiktok.com/ZSurunegv/</v>
      </c>
      <c r="N70" s="541" t="str">
        <f>IFERROR(__xludf.DUMMYFUNCTION("""COMPUTED_VALUE"""),"#QXtFURKqoHy+hmmGxvgLWntjXnpSNqxz/BaHGbOML26fZ0ybxvr5ufeMtPuGqmo=")</f>
        <v>#QXtFURKqoHy+hmmGxvgLWntjXnpSNqxz/BaHGbOML26fZ0ybxvr5ufeMtPuGqmo=</v>
      </c>
      <c r="O70" s="541"/>
      <c r="P70" s="541"/>
      <c r="Q70" s="541"/>
      <c r="R70" s="312"/>
      <c r="S70" s="286"/>
      <c r="T70" s="286"/>
      <c r="U70" s="286"/>
      <c r="V70" s="286"/>
      <c r="W70" s="286"/>
    </row>
    <row r="71">
      <c r="A71" s="307" t="str">
        <f>IFERROR(__xludf.DUMMYFUNCTION("""COMPUTED_VALUE"""),"MICRO")</f>
        <v>MICRO</v>
      </c>
      <c r="B71" s="547" t="str">
        <f>IFERROR(__xludf.DUMMYFUNCTION("""COMPUTED_VALUE"""),"cherry_review21")</f>
        <v>cherry_review21</v>
      </c>
      <c r="C71" s="535" t="str">
        <f>IFERROR(__xludf.DUMMYFUNCTION("""COMPUTED_VALUE"""),"https://www.tiktok.com/@cherry_review21")</f>
        <v>https://www.tiktok.com/@cherry_review21</v>
      </c>
      <c r="D71" s="316">
        <f>IFERROR(__xludf.DUMMYFUNCTION("""COMPUTED_VALUE"""),8.5714778994E10)</f>
        <v>85714778994</v>
      </c>
      <c r="E71" s="552">
        <f>IFERROR(__xludf.DUMMYFUNCTION("""COMPUTED_VALUE"""),0.0)</f>
        <v>0</v>
      </c>
      <c r="F71" s="316">
        <f>IFERROR(__xludf.DUMMYFUNCTION("""COMPUTED_VALUE"""),2.0)</f>
        <v>2</v>
      </c>
      <c r="G71" s="551" t="str">
        <f>IFERROR(__xludf.DUMMYFUNCTION("""COMPUTED_VALUE"""),"PR Package")</f>
        <v>PR Package</v>
      </c>
      <c r="H71" s="463" t="str">
        <f>IFERROR(__xludf.DUMMYFUNCTION("""COMPUTED_VALUE"""),"Sampai")</f>
        <v>Sampai</v>
      </c>
      <c r="I71" s="546" t="str">
        <f>IFERROR(__xludf.DUMMYFUNCTION("""COMPUTED_VALUE""")," Concept 1")</f>
        <v> Concept 1</v>
      </c>
      <c r="J71" s="540" t="str">
        <f>IFERROR(__xludf.DUMMYFUNCTION("""COMPUTED_VALUE"""),"https://vt.tiktok.com/ZSueBNEwY/")</f>
        <v>https://vt.tiktok.com/ZSueBNEwY/</v>
      </c>
      <c r="K71" s="312" t="str">
        <f>IFERROR(__xludf.DUMMYFUNCTION("""COMPUTED_VALUE"""),"#TUYS7j90T61SmR1X3ZzopOpbTC0t3+xH4+ACAG5fNCdEEdZbTFCm/f026+fC0HE=")</f>
        <v>#TUYS7j90T61SmR1X3ZzopOpbTC0t3+xH4+ACAG5fNCdEEdZbTFCm/f026+fC0HE=</v>
      </c>
      <c r="L71" s="546" t="str">
        <f>IFERROR(__xludf.DUMMYFUNCTION("""COMPUTED_VALUE"""),"Concept 3")</f>
        <v>Concept 3</v>
      </c>
      <c r="M71" s="540" t="str">
        <f>IFERROR(__xludf.DUMMYFUNCTION("""COMPUTED_VALUE"""),"https://vt.tiktok.com/ZSuhJJu5o/")</f>
        <v>https://vt.tiktok.com/ZSuhJJu5o/</v>
      </c>
      <c r="N71" s="541" t="str">
        <f>IFERROR(__xludf.DUMMYFUNCTION("""COMPUTED_VALUE"""),"#hDOXwXdXqxo63/sHvHffqor3wDnKo3wBmUN0Alywy0q9vVK0YkJ36o/o95B/sAU=")</f>
        <v>#hDOXwXdXqxo63/sHvHffqor3wDnKo3wBmUN0Alywy0q9vVK0YkJ36o/o95B/sAU=</v>
      </c>
      <c r="O71" s="541"/>
      <c r="P71" s="541"/>
      <c r="Q71" s="541"/>
      <c r="R71" s="312"/>
      <c r="S71" s="286"/>
      <c r="T71" s="286"/>
      <c r="U71" s="286"/>
      <c r="V71" s="286"/>
      <c r="W71" s="286"/>
    </row>
    <row r="72">
      <c r="A72" s="307" t="str">
        <f>IFERROR(__xludf.DUMMYFUNCTION("""COMPUTED_VALUE"""),"MICRO")</f>
        <v>MICRO</v>
      </c>
      <c r="B72" s="318" t="str">
        <f>IFERROR(__xludf.DUMMYFUNCTION("""COMPUTED_VALUE"""),"nandajeliss")</f>
        <v>nandajeliss</v>
      </c>
      <c r="C72" s="535" t="str">
        <f>IFERROR(__xludf.DUMMYFUNCTION("""COMPUTED_VALUE"""),"https://www.tiktok.com/@nandajeliss")</f>
        <v>https://www.tiktok.com/@nandajeliss</v>
      </c>
      <c r="D72" s="316">
        <f>IFERROR(__xludf.DUMMYFUNCTION("""COMPUTED_VALUE"""),8.1575544282E10)</f>
        <v>81575544282</v>
      </c>
      <c r="E72" s="552">
        <f>IFERROR(__xludf.DUMMYFUNCTION("""COMPUTED_VALUE"""),0.0)</f>
        <v>0</v>
      </c>
      <c r="F72" s="316">
        <f>IFERROR(__xludf.DUMMYFUNCTION("""COMPUTED_VALUE"""),2.0)</f>
        <v>2</v>
      </c>
      <c r="G72" s="551" t="str">
        <f>IFERROR(__xludf.DUMMYFUNCTION("""COMPUTED_VALUE"""),"PR Package")</f>
        <v>PR Package</v>
      </c>
      <c r="H72" s="463" t="str">
        <f>IFERROR(__xludf.DUMMYFUNCTION("""COMPUTED_VALUE"""),"Sampai")</f>
        <v>Sampai</v>
      </c>
      <c r="I72" s="546" t="str">
        <f>IFERROR(__xludf.DUMMYFUNCTION("""COMPUTED_VALUE""")," Concept 1")</f>
        <v> Concept 1</v>
      </c>
      <c r="J72" s="540" t="str">
        <f>IFERROR(__xludf.DUMMYFUNCTION("""COMPUTED_VALUE"""),"https://vt.tiktok.com/ZSueABbAQ/")</f>
        <v>https://vt.tiktok.com/ZSueABbAQ/</v>
      </c>
      <c r="K72" s="312" t="str">
        <f>IFERROR(__xludf.DUMMYFUNCTION("""COMPUTED_VALUE"""),"#IXNv9LvSZCK9ivY3DSRj9DAk5rnBId7nPUM+ug+o1opD/YOSdIEN9LdWajWnLpQ=")</f>
        <v>#IXNv9LvSZCK9ivY3DSRj9DAk5rnBId7nPUM+ug+o1opD/YOSdIEN9LdWajWnLpQ=</v>
      </c>
      <c r="L72" s="546" t="str">
        <f>IFERROR(__xludf.DUMMYFUNCTION("""COMPUTED_VALUE"""),"Concept 2")</f>
        <v>Concept 2</v>
      </c>
      <c r="M72" s="540" t="str">
        <f>IFERROR(__xludf.DUMMYFUNCTION("""COMPUTED_VALUE"""),"https://vt.tiktok.com/ZSujDN1JV/")</f>
        <v>https://vt.tiktok.com/ZSujDN1JV/</v>
      </c>
      <c r="N72" s="541" t="str">
        <f>IFERROR(__xludf.DUMMYFUNCTION("""COMPUTED_VALUE"""),"#YwaluCNHTpe2z8pKPi51u5xMTkkelVV3XWid5+XW+IPXAGCs2osDi5FuOxLpdj4=")</f>
        <v>#YwaluCNHTpe2z8pKPi51u5xMTkkelVV3XWid5+XW+IPXAGCs2osDi5FuOxLpdj4=</v>
      </c>
      <c r="O72" s="541"/>
      <c r="P72" s="541"/>
      <c r="Q72" s="541"/>
      <c r="R72" s="312"/>
      <c r="S72" s="286"/>
      <c r="T72" s="286"/>
      <c r="U72" s="286"/>
      <c r="V72" s="286"/>
      <c r="W72" s="286"/>
    </row>
    <row r="73">
      <c r="A73" s="307" t="str">
        <f>IFERROR(__xludf.DUMMYFUNCTION("""COMPUTED_VALUE"""),"NANO")</f>
        <v>NANO</v>
      </c>
      <c r="B73" s="318" t="str">
        <f>IFERROR(__xludf.DUMMYFUNCTION("""COMPUTED_VALUE"""),"hanasofianaa")</f>
        <v>hanasofianaa</v>
      </c>
      <c r="C73" s="535" t="str">
        <f>IFERROR(__xludf.DUMMYFUNCTION("""COMPUTED_VALUE"""),"https://www.tiktok.com/@hanasofianaa")</f>
        <v>https://www.tiktok.com/@hanasofianaa</v>
      </c>
      <c r="D73" s="316">
        <f>IFERROR(__xludf.DUMMYFUNCTION("""COMPUTED_VALUE"""),8.5711725311E10)</f>
        <v>85711725311</v>
      </c>
      <c r="E73" s="552">
        <f>IFERROR(__xludf.DUMMYFUNCTION("""COMPUTED_VALUE"""),0.0)</f>
        <v>0</v>
      </c>
      <c r="F73" s="316">
        <f>IFERROR(__xludf.DUMMYFUNCTION("""COMPUTED_VALUE"""),2.0)</f>
        <v>2</v>
      </c>
      <c r="G73" s="551" t="str">
        <f>IFERROR(__xludf.DUMMYFUNCTION("""COMPUTED_VALUE"""),"PR Package")</f>
        <v>PR Package</v>
      </c>
      <c r="H73" s="463" t="str">
        <f>IFERROR(__xludf.DUMMYFUNCTION("""COMPUTED_VALUE"""),"Sampai")</f>
        <v>Sampai</v>
      </c>
      <c r="I73" s="546" t="str">
        <f>IFERROR(__xludf.DUMMYFUNCTION("""COMPUTED_VALUE"""),"Concept 2")</f>
        <v>Concept 2</v>
      </c>
      <c r="J73" s="540" t="str">
        <f>IFERROR(__xludf.DUMMYFUNCTION("""COMPUTED_VALUE"""),"https://vt.tiktok.com/ZSue55wed/")</f>
        <v>https://vt.tiktok.com/ZSue55wed/</v>
      </c>
      <c r="K73" s="312" t="str">
        <f>IFERROR(__xludf.DUMMYFUNCTION("""COMPUTED_VALUE"""),"#eLiOoWLNz3JgAn5MsEYWqPqQJZx+4MG2GO4NcvrwPldITNX5ljo8jxA1Z3ix+0c=")</f>
        <v>#eLiOoWLNz3JgAn5MsEYWqPqQJZx+4MG2GO4NcvrwPldITNX5ljo8jxA1Z3ix+0c=</v>
      </c>
      <c r="L73" s="546" t="str">
        <f>IFERROR(__xludf.DUMMYFUNCTION("""COMPUTED_VALUE"""),"Concept 3")</f>
        <v>Concept 3</v>
      </c>
      <c r="M73" s="540" t="str">
        <f>IFERROR(__xludf.DUMMYFUNCTION("""COMPUTED_VALUE"""),"https://vt.tiktok.com/ZSu6hDMEu/")</f>
        <v>https://vt.tiktok.com/ZSu6hDMEu/</v>
      </c>
      <c r="N73" s="541" t="str">
        <f>IFERROR(__xludf.DUMMYFUNCTION("""COMPUTED_VALUE"""),"#QlaK4ehytC3H0FAmP6CQFhzKZkE/f7POf7bs9APT6e6LhFLJjYvFk8VAxKMf4ZI=")</f>
        <v>#QlaK4ehytC3H0FAmP6CQFhzKZkE/f7POf7bs9APT6e6LhFLJjYvFk8VAxKMf4ZI=</v>
      </c>
      <c r="O73" s="541"/>
      <c r="P73" s="541"/>
      <c r="Q73" s="541"/>
      <c r="R73" s="312"/>
      <c r="S73" s="286"/>
      <c r="T73" s="286"/>
      <c r="U73" s="286"/>
      <c r="V73" s="286"/>
      <c r="W73" s="286"/>
    </row>
    <row r="74">
      <c r="A74" s="307" t="str">
        <f>IFERROR(__xludf.DUMMYFUNCTION("""COMPUTED_VALUE"""),"MICRO")</f>
        <v>MICRO</v>
      </c>
      <c r="B74" s="318" t="str">
        <f>IFERROR(__xludf.DUMMYFUNCTION("""COMPUTED_VALUE"""),"shinta.deput")</f>
        <v>shinta.deput</v>
      </c>
      <c r="C74" s="535" t="str">
        <f>IFERROR(__xludf.DUMMYFUNCTION("""COMPUTED_VALUE"""),"https://www.tiktok.com/@shinta.deput")</f>
        <v>https://www.tiktok.com/@shinta.deput</v>
      </c>
      <c r="D74" s="316">
        <f>IFERROR(__xludf.DUMMYFUNCTION("""COMPUTED_VALUE"""),8.5740007341E10)</f>
        <v>85740007341</v>
      </c>
      <c r="E74" s="552">
        <f>IFERROR(__xludf.DUMMYFUNCTION("""COMPUTED_VALUE"""),0.0)</f>
        <v>0</v>
      </c>
      <c r="F74" s="316">
        <f>IFERROR(__xludf.DUMMYFUNCTION("""COMPUTED_VALUE"""),2.0)</f>
        <v>2</v>
      </c>
      <c r="G74" s="551" t="str">
        <f>IFERROR(__xludf.DUMMYFUNCTION("""COMPUTED_VALUE"""),"PR Package")</f>
        <v>PR Package</v>
      </c>
      <c r="H74" s="463" t="str">
        <f>IFERROR(__xludf.DUMMYFUNCTION("""COMPUTED_VALUE"""),"Sampai")</f>
        <v>Sampai</v>
      </c>
      <c r="I74" s="546" t="str">
        <f>IFERROR(__xludf.DUMMYFUNCTION("""COMPUTED_VALUE""")," Concept 1")</f>
        <v> Concept 1</v>
      </c>
      <c r="J74" s="540" t="str">
        <f>IFERROR(__xludf.DUMMYFUNCTION("""COMPUTED_VALUE"""),"https://vt.tiktok.com/ZSurmFpdm/")</f>
        <v>https://vt.tiktok.com/ZSurmFpdm/</v>
      </c>
      <c r="K74" s="312" t="str">
        <f>IFERROR(__xludf.DUMMYFUNCTION("""COMPUTED_VALUE"""),"#9yavTyk4NorGINGbsYezO9+bRybz+qeGSe2QOo5WSUQq0rwZfT+aWqdrjox7xVA=")</f>
        <v>#9yavTyk4NorGINGbsYezO9+bRybz+qeGSe2QOo5WSUQq0rwZfT+aWqdrjox7xVA=</v>
      </c>
      <c r="L74" s="546" t="str">
        <f>IFERROR(__xludf.DUMMYFUNCTION("""COMPUTED_VALUE"""),"Concept 2")</f>
        <v>Concept 2</v>
      </c>
      <c r="M74" s="540" t="str">
        <f>IFERROR(__xludf.DUMMYFUNCTION("""COMPUTED_VALUE"""),"https://vt.tiktok.com/ZSuoa2mAQ/")</f>
        <v>https://vt.tiktok.com/ZSuoa2mAQ/</v>
      </c>
      <c r="N74" s="541" t="str">
        <f>IFERROR(__xludf.DUMMYFUNCTION("""COMPUTED_VALUE"""),"#ys4MWwHYa94Mw09Bh9qZwgpLF6wxqaMx9ne2QT5aRU5zgntmyi/QYtygv30TeJA=")</f>
        <v>#ys4MWwHYa94Mw09Bh9qZwgpLF6wxqaMx9ne2QT5aRU5zgntmyi/QYtygv30TeJA=</v>
      </c>
      <c r="O74" s="541"/>
      <c r="P74" s="541"/>
      <c r="Q74" s="541"/>
      <c r="R74" s="312"/>
      <c r="S74" s="286"/>
      <c r="T74" s="286"/>
      <c r="U74" s="286"/>
      <c r="V74" s="286"/>
      <c r="W74" s="286"/>
    </row>
    <row r="75">
      <c r="A75" s="307" t="str">
        <f>IFERROR(__xludf.DUMMYFUNCTION("""COMPUTED_VALUE"""),"NANO")</f>
        <v>NANO</v>
      </c>
      <c r="B75" s="318" t="str">
        <f>IFERROR(__xludf.DUMMYFUNCTION("""COMPUTED_VALUE"""),"im.here__")</f>
        <v>im.here__</v>
      </c>
      <c r="C75" s="535" t="str">
        <f>IFERROR(__xludf.DUMMYFUNCTION("""COMPUTED_VALUE"""),"https://www.tiktok.com/@im.here__")</f>
        <v>https://www.tiktok.com/@im.here__</v>
      </c>
      <c r="D75" s="316">
        <f>IFERROR(__xludf.DUMMYFUNCTION("""COMPUTED_VALUE"""),8.5769373769E10)</f>
        <v>85769373769</v>
      </c>
      <c r="E75" s="552">
        <f>IFERROR(__xludf.DUMMYFUNCTION("""COMPUTED_VALUE"""),0.0)</f>
        <v>0</v>
      </c>
      <c r="F75" s="316">
        <f>IFERROR(__xludf.DUMMYFUNCTION("""COMPUTED_VALUE"""),2.0)</f>
        <v>2</v>
      </c>
      <c r="G75" s="551" t="str">
        <f>IFERROR(__xludf.DUMMYFUNCTION("""COMPUTED_VALUE"""),"PR Package")</f>
        <v>PR Package</v>
      </c>
      <c r="H75" s="463" t="str">
        <f>IFERROR(__xludf.DUMMYFUNCTION("""COMPUTED_VALUE"""),"Sampai")</f>
        <v>Sampai</v>
      </c>
      <c r="I75" s="546" t="str">
        <f>IFERROR(__xludf.DUMMYFUNCTION("""COMPUTED_VALUE""")," Concept 1")</f>
        <v> Concept 1</v>
      </c>
      <c r="J75" s="540" t="str">
        <f>IFERROR(__xludf.DUMMYFUNCTION("""COMPUTED_VALUE"""),"https://vt.tiktok.com/ZSuR18ymU/")</f>
        <v>https://vt.tiktok.com/ZSuR18ymU/</v>
      </c>
      <c r="K75" s="312" t="str">
        <f>IFERROR(__xludf.DUMMYFUNCTION("""COMPUTED_VALUE"""),"#xUWOjCr3EOhdBt8reK8H6AVUs8EtrwfMDst4ukBYHJISDe3qBBF+CKG+9gsJMe8=")</f>
        <v>#xUWOjCr3EOhdBt8reK8H6AVUs8EtrwfMDst4ukBYHJISDe3qBBF+CKG+9gsJMe8=</v>
      </c>
      <c r="L75" s="546" t="str">
        <f>IFERROR(__xludf.DUMMYFUNCTION("""COMPUTED_VALUE"""),"Concept 2")</f>
        <v>Concept 2</v>
      </c>
      <c r="M75" s="540" t="str">
        <f>IFERROR(__xludf.DUMMYFUNCTION("""COMPUTED_VALUE"""),"https://vt.tiktok.com/ZSujybNcc/ ")</f>
        <v>https://vt.tiktok.com/ZSujybNcc/ </v>
      </c>
      <c r="N75" s="541" t="str">
        <f>IFERROR(__xludf.DUMMYFUNCTION("""COMPUTED_VALUE"""),"#MADmJ3hlASScHm7YIOdvtrfDavKIOWTLkGPkCsfWRm9NsEQOthh/Ertq4oRinSw= ini kak")</f>
        <v>#MADmJ3hlASScHm7YIOdvtrfDavKIOWTLkGPkCsfWRm9NsEQOthh/Ertq4oRinSw= ini kak</v>
      </c>
      <c r="O75" s="541"/>
      <c r="P75" s="541"/>
      <c r="Q75" s="541"/>
      <c r="R75" s="312"/>
      <c r="S75" s="286"/>
      <c r="T75" s="286"/>
      <c r="U75" s="286"/>
      <c r="V75" s="286"/>
      <c r="W75" s="286"/>
    </row>
    <row r="76">
      <c r="A76" s="307" t="str">
        <f>IFERROR(__xludf.DUMMYFUNCTION("""COMPUTED_VALUE"""),"MICRO")</f>
        <v>MICRO</v>
      </c>
      <c r="B76" s="318" t="str">
        <f>IFERROR(__xludf.DUMMYFUNCTION("""COMPUTED_VALUE"""),"innaahhiyan")</f>
        <v>innaahhiyan</v>
      </c>
      <c r="C76" s="535" t="str">
        <f>IFERROR(__xludf.DUMMYFUNCTION("""COMPUTED_VALUE"""),"https://www.tiktok.com/@innaahhiyan")</f>
        <v>https://www.tiktok.com/@innaahhiyan</v>
      </c>
      <c r="D76" s="316">
        <f>IFERROR(__xludf.DUMMYFUNCTION("""COMPUTED_VALUE"""),8.5226956975E10)</f>
        <v>85226956975</v>
      </c>
      <c r="E76" s="552">
        <f>IFERROR(__xludf.DUMMYFUNCTION("""COMPUTED_VALUE"""),0.0)</f>
        <v>0</v>
      </c>
      <c r="F76" s="316">
        <f>IFERROR(__xludf.DUMMYFUNCTION("""COMPUTED_VALUE"""),2.0)</f>
        <v>2</v>
      </c>
      <c r="G76" s="551" t="str">
        <f>IFERROR(__xludf.DUMMYFUNCTION("""COMPUTED_VALUE"""),"PR Package")</f>
        <v>PR Package</v>
      </c>
      <c r="H76" s="463" t="str">
        <f>IFERROR(__xludf.DUMMYFUNCTION("""COMPUTED_VALUE"""),"Sampai")</f>
        <v>Sampai</v>
      </c>
      <c r="I76" s="546" t="str">
        <f>IFERROR(__xludf.DUMMYFUNCTION("""COMPUTED_VALUE"""),"Concept 2")</f>
        <v>Concept 2</v>
      </c>
      <c r="J76" s="540" t="str">
        <f>IFERROR(__xludf.DUMMYFUNCTION("""COMPUTED_VALUE"""),"https://vt.tiktok.com/ZSHhEwGXA/")</f>
        <v>https://vt.tiktok.com/ZSHhEwGXA/</v>
      </c>
      <c r="K76" s="312"/>
      <c r="L76" s="546" t="str">
        <f>IFERROR(__xludf.DUMMYFUNCTION("""COMPUTED_VALUE"""),"Concept 3")</f>
        <v>Concept 3</v>
      </c>
      <c r="M76" s="540" t="str">
        <f>IFERROR(__xludf.DUMMYFUNCTION("""COMPUTED_VALUE"""),"https://vt.tiktok.com/ZSHL6h5hh/")</f>
        <v>https://vt.tiktok.com/ZSHL6h5hh/</v>
      </c>
      <c r="N76" s="541"/>
      <c r="O76" s="540" t="str">
        <f>IFERROR(__xludf.DUMMYFUNCTION("""COMPUTED_VALUE"""),"https://vt.tiktok.com/ZS9RqTvKh/ ")</f>
        <v>https://vt.tiktok.com/ZS9RqTvKh/ </v>
      </c>
      <c r="P76" s="541" t="str">
        <f>IFERROR(__xludf.DUMMYFUNCTION("""COMPUTED_VALUE"""),"#A+zPoez8mdcSoQzq/ftazBcD2CGlz5P3Q712A243lPbTAKDBmBJxwPVNXSDO0xo=")</f>
        <v>#A+zPoez8mdcSoQzq/ftazBcD2CGlz5P3Q712A243lPbTAKDBmBJxwPVNXSDO0xo=</v>
      </c>
      <c r="Q76" s="541"/>
      <c r="R76" s="312"/>
      <c r="S76" s="286"/>
      <c r="T76" s="286"/>
      <c r="U76" s="286"/>
      <c r="V76" s="286"/>
      <c r="W76" s="286"/>
    </row>
    <row r="77">
      <c r="A77" s="307" t="str">
        <f>IFERROR(__xludf.DUMMYFUNCTION("""COMPUTED_VALUE"""),"NANO")</f>
        <v>NANO</v>
      </c>
      <c r="B77" s="318" t="str">
        <f>IFERROR(__xludf.DUMMYFUNCTION("""COMPUTED_VALUE"""),"nonazawaa2")</f>
        <v>nonazawaa2</v>
      </c>
      <c r="C77" s="535" t="str">
        <f>IFERROR(__xludf.DUMMYFUNCTION("""COMPUTED_VALUE"""),"https://www.tiktok.com/@nonazawaa2")</f>
        <v>https://www.tiktok.com/@nonazawaa2</v>
      </c>
      <c r="D77" s="316"/>
      <c r="E77" s="552">
        <f>IFERROR(__xludf.DUMMYFUNCTION("""COMPUTED_VALUE"""),800000.0)</f>
        <v>800000</v>
      </c>
      <c r="F77" s="316">
        <f>IFERROR(__xludf.DUMMYFUNCTION("""COMPUTED_VALUE"""),2.0)</f>
        <v>2</v>
      </c>
      <c r="G77" s="551" t="str">
        <f>IFERROR(__xludf.DUMMYFUNCTION("""COMPUTED_VALUE"""),"PR Package")</f>
        <v>PR Package</v>
      </c>
      <c r="H77" s="463" t="str">
        <f>IFERROR(__xludf.DUMMYFUNCTION("""COMPUTED_VALUE"""),"Sampai")</f>
        <v>Sampai</v>
      </c>
      <c r="I77" s="546" t="str">
        <f>IFERROR(__xludf.DUMMYFUNCTION("""COMPUTED_VALUE""")," Concept 1")</f>
        <v> Concept 1</v>
      </c>
      <c r="J77" s="540" t="str">
        <f>IFERROR(__xludf.DUMMYFUNCTION("""COMPUTED_VALUE"""),"https://www.tiktok.com/@nonazawaa2/video/7626748446745185544")</f>
        <v>https://www.tiktok.com/@nonazawaa2/video/7626748446745185544</v>
      </c>
      <c r="K77" s="312" t="str">
        <f>IFERROR(__xludf.DUMMYFUNCTION("""COMPUTED_VALUE"""),"#BW02hFPOLAHpJLRDWh5/lt5TCJo16X0nK/v7cNkMCNVDxY5YmE/CcZ/Z9rmW2wo=")</f>
        <v>#BW02hFPOLAHpJLRDWh5/lt5TCJo16X0nK/v7cNkMCNVDxY5YmE/CcZ/Z9rmW2wo=</v>
      </c>
      <c r="L77" s="546" t="str">
        <f>IFERROR(__xludf.DUMMYFUNCTION("""COMPUTED_VALUE"""),"Concept 2")</f>
        <v>Concept 2</v>
      </c>
      <c r="M77" s="540" t="str">
        <f>IFERROR(__xludf.DUMMYFUNCTION("""COMPUTED_VALUE"""),"https://vt.tiktok.com/ZSHG2hj69/")</f>
        <v>https://vt.tiktok.com/ZSHG2hj69/</v>
      </c>
      <c r="N77" s="541" t="str">
        <f>IFERROR(__xludf.DUMMYFUNCTION("""COMPUTED_VALUE"""),"#7TrHXu3rmVt4cfn4whEVoDh4ResIquAKGJ+0LmNe/JEbL6G/ElMycJl5K157IZY=")</f>
        <v>#7TrHXu3rmVt4cfn4whEVoDh4ResIquAKGJ+0LmNe/JEbL6G/ElMycJl5K157IZY=</v>
      </c>
      <c r="O77" s="541"/>
      <c r="P77" s="541"/>
      <c r="Q77" s="541"/>
      <c r="R77" s="312"/>
      <c r="S77" s="286"/>
      <c r="T77" s="286"/>
      <c r="U77" s="286"/>
      <c r="V77" s="286"/>
      <c r="W77" s="286"/>
    </row>
    <row r="78">
      <c r="A78" s="307" t="str">
        <f>IFERROR(__xludf.DUMMYFUNCTION("""COMPUTED_VALUE"""),"MICRO")</f>
        <v>MICRO</v>
      </c>
      <c r="B78" s="318" t="str">
        <f>IFERROR(__xludf.DUMMYFUNCTION("""COMPUTED_VALUE"""),"storyandine")</f>
        <v>storyandine</v>
      </c>
      <c r="C78" s="535" t="str">
        <f>IFERROR(__xludf.DUMMYFUNCTION("""COMPUTED_VALUE"""),"https://www.tiktok.com/@storyandine")</f>
        <v>https://www.tiktok.com/@storyandine</v>
      </c>
      <c r="D78" s="316"/>
      <c r="E78" s="552">
        <f>IFERROR(__xludf.DUMMYFUNCTION("""COMPUTED_VALUE"""),0.0)</f>
        <v>0</v>
      </c>
      <c r="F78" s="316">
        <f>IFERROR(__xludf.DUMMYFUNCTION("""COMPUTED_VALUE"""),2.0)</f>
        <v>2</v>
      </c>
      <c r="G78" s="551" t="str">
        <f>IFERROR(__xludf.DUMMYFUNCTION("""COMPUTED_VALUE"""),"PR Package")</f>
        <v>PR Package</v>
      </c>
      <c r="H78" s="463" t="str">
        <f>IFERROR(__xludf.DUMMYFUNCTION("""COMPUTED_VALUE"""),"Sampai")</f>
        <v>Sampai</v>
      </c>
      <c r="I78" s="546" t="str">
        <f>IFERROR(__xludf.DUMMYFUNCTION("""COMPUTED_VALUE""")," Concept 1")</f>
        <v> Concept 1</v>
      </c>
      <c r="J78" s="540" t="str">
        <f>IFERROR(__xludf.DUMMYFUNCTION("""COMPUTED_VALUE"""),"https://vt.tiktok.com/ZSHP8Qw8u/ ")</f>
        <v>https://vt.tiktok.com/ZSHP8Qw8u/ </v>
      </c>
      <c r="K78" s="312" t="str">
        <f>IFERROR(__xludf.DUMMYFUNCTION("""COMPUTED_VALUE"""),"#aJkWM2yoHFHYfLUPcByBE7e+zMoRWzjb4nohISvJiapV0eol88xfaq10qMqoVYE=")</f>
        <v>#aJkWM2yoHFHYfLUPcByBE7e+zMoRWzjb4nohISvJiapV0eol88xfaq10qMqoVYE=</v>
      </c>
      <c r="L78" s="546" t="str">
        <f>IFERROR(__xludf.DUMMYFUNCTION("""COMPUTED_VALUE"""),"Concept 2")</f>
        <v>Concept 2</v>
      </c>
      <c r="M78" s="540" t="str">
        <f>IFERROR(__xludf.DUMMYFUNCTION("""COMPUTED_VALUE"""),"https://vt.tiktok.com/ZSHP8r5Mb/ ")</f>
        <v>https://vt.tiktok.com/ZSHP8r5Mb/ </v>
      </c>
      <c r="N78" s="541" t="str">
        <f>IFERROR(__xludf.DUMMYFUNCTION("""COMPUTED_VALUE"""),"#9LIs3BhacQynXBma1A6SmdM7DTe3YtvnduJ5oPmGck7oWs1bdfyzu6lcARIQb/8=")</f>
        <v>#9LIs3BhacQynXBma1A6SmdM7DTe3YtvnduJ5oPmGck7oWs1bdfyzu6lcARIQb/8=</v>
      </c>
      <c r="O78" s="541"/>
      <c r="P78" s="541"/>
      <c r="Q78" s="541"/>
      <c r="R78" s="312"/>
      <c r="S78" s="286"/>
      <c r="T78" s="286"/>
      <c r="U78" s="286"/>
      <c r="V78" s="286"/>
      <c r="W78" s="286"/>
    </row>
    <row r="79">
      <c r="A79" s="307" t="str">
        <f>IFERROR(__xludf.DUMMYFUNCTION("""COMPUTED_VALUE"""),"NANO")</f>
        <v>NANO</v>
      </c>
      <c r="B79" s="318" t="str">
        <f>IFERROR(__xludf.DUMMYFUNCTION("""COMPUTED_VALUE"""),"__vaaadwis")</f>
        <v>__vaaadwis</v>
      </c>
      <c r="C79" s="535" t="str">
        <f>IFERROR(__xludf.DUMMYFUNCTION("""COMPUTED_VALUE"""),"https://www.tiktok.com/@__vaaadwis")</f>
        <v>https://www.tiktok.com/@__vaaadwis</v>
      </c>
      <c r="D79" s="316">
        <f>IFERROR(__xludf.DUMMYFUNCTION("""COMPUTED_VALUE"""),8.5221104259E10)</f>
        <v>85221104259</v>
      </c>
      <c r="E79" s="552">
        <f>IFERROR(__xludf.DUMMYFUNCTION("""COMPUTED_VALUE"""),0.0)</f>
        <v>0</v>
      </c>
      <c r="F79" s="316">
        <f>IFERROR(__xludf.DUMMYFUNCTION("""COMPUTED_VALUE"""),2.0)</f>
        <v>2</v>
      </c>
      <c r="G79" s="551" t="str">
        <f>IFERROR(__xludf.DUMMYFUNCTION("""COMPUTED_VALUE"""),"PR Package")</f>
        <v>PR Package</v>
      </c>
      <c r="H79" s="463" t="str">
        <f>IFERROR(__xludf.DUMMYFUNCTION("""COMPUTED_VALUE"""),"Sampai")</f>
        <v>Sampai</v>
      </c>
      <c r="I79" s="546" t="str">
        <f>IFERROR(__xludf.DUMMYFUNCTION("""COMPUTED_VALUE""")," Concept 1")</f>
        <v> Concept 1</v>
      </c>
      <c r="J79" s="540" t="str">
        <f>IFERROR(__xludf.DUMMYFUNCTION("""COMPUTED_VALUE"""),"https://vt.tiktok.com/ZSuRLUFJS/")</f>
        <v>https://vt.tiktok.com/ZSuRLUFJS/</v>
      </c>
      <c r="K79" s="312" t="str">
        <f>IFERROR(__xludf.DUMMYFUNCTION("""COMPUTED_VALUE"""),"#Pgf1qcoBivYILqT8w7Q0NqtPZyMPICmqSybyjKGeP/NPibPngtMY3q5cj3fuEOU=")</f>
        <v>#Pgf1qcoBivYILqT8w7Q0NqtPZyMPICmqSybyjKGeP/NPibPngtMY3q5cj3fuEOU=</v>
      </c>
      <c r="L79" s="546" t="str">
        <f>IFERROR(__xludf.DUMMYFUNCTION("""COMPUTED_VALUE"""),"Concept 3")</f>
        <v>Concept 3</v>
      </c>
      <c r="M79" s="540" t="str">
        <f>IFERROR(__xludf.DUMMYFUNCTION("""COMPUTED_VALUE"""),"https://vt.tiktok.com/ZSuLHDYM3/ ")</f>
        <v>https://vt.tiktok.com/ZSuLHDYM3/ </v>
      </c>
      <c r="N79" s="541" t="str">
        <f>IFERROR(__xludf.DUMMYFUNCTION("""COMPUTED_VALUE"""),"#CQVhTrQIT7kBcVilb3KJ3aSj9Y3A+5G+3UKb2ejOolXkVuE3zvAFGKl2g5+gGBU=")</f>
        <v>#CQVhTrQIT7kBcVilb3KJ3aSj9Y3A+5G+3UKb2ejOolXkVuE3zvAFGKl2g5+gGBU=</v>
      </c>
      <c r="O79" s="541"/>
      <c r="P79" s="541"/>
      <c r="Q79" s="541"/>
      <c r="R79" s="312"/>
      <c r="S79" s="286"/>
      <c r="T79" s="286"/>
      <c r="U79" s="286"/>
      <c r="V79" s="286"/>
      <c r="W79" s="286"/>
    </row>
    <row r="80">
      <c r="A80" s="307" t="str">
        <f>IFERROR(__xludf.DUMMYFUNCTION("""COMPUTED_VALUE"""),"NANO")</f>
        <v>NANO</v>
      </c>
      <c r="B80" s="318" t="str">
        <f>IFERROR(__xludf.DUMMYFUNCTION("""COMPUTED_VALUE"""),"atin.sglow")</f>
        <v>atin.sglow</v>
      </c>
      <c r="C80" s="535" t="str">
        <f>IFERROR(__xludf.DUMMYFUNCTION("""COMPUTED_VALUE"""),"https://www.tiktok.com/@atin.sglow")</f>
        <v>https://www.tiktok.com/@atin.sglow</v>
      </c>
      <c r="D80" s="316">
        <f>IFERROR(__xludf.DUMMYFUNCTION("""COMPUTED_VALUE"""),8.1574790209E10)</f>
        <v>81574790209</v>
      </c>
      <c r="E80" s="552">
        <f>IFERROR(__xludf.DUMMYFUNCTION("""COMPUTED_VALUE"""),0.0)</f>
        <v>0</v>
      </c>
      <c r="F80" s="316">
        <f>IFERROR(__xludf.DUMMYFUNCTION("""COMPUTED_VALUE"""),2.0)</f>
        <v>2</v>
      </c>
      <c r="G80" s="551" t="str">
        <f>IFERROR(__xludf.DUMMYFUNCTION("""COMPUTED_VALUE"""),"PR Package")</f>
        <v>PR Package</v>
      </c>
      <c r="H80" s="463" t="str">
        <f>IFERROR(__xludf.DUMMYFUNCTION("""COMPUTED_VALUE"""),"Sampai")</f>
        <v>Sampai</v>
      </c>
      <c r="I80" s="546" t="str">
        <f>IFERROR(__xludf.DUMMYFUNCTION("""COMPUTED_VALUE"""),"Concept 3")</f>
        <v>Concept 3</v>
      </c>
      <c r="J80" s="540" t="str">
        <f>IFERROR(__xludf.DUMMYFUNCTION("""COMPUTED_VALUE"""),"https://vt.tiktok.com/ZSmwXs3cj/")</f>
        <v>https://vt.tiktok.com/ZSmwXs3cj/</v>
      </c>
      <c r="K80" s="312" t="str">
        <f>IFERROR(__xludf.DUMMYFUNCTION("""COMPUTED_VALUE"""),"kerkun ke banned")</f>
        <v>kerkun ke banned</v>
      </c>
      <c r="L80" s="546" t="str">
        <f>IFERROR(__xludf.DUMMYFUNCTION("""COMPUTED_VALUE""")," Concept 1")</f>
        <v> Concept 1</v>
      </c>
      <c r="M80" s="540" t="str">
        <f>IFERROR(__xludf.DUMMYFUNCTION("""COMPUTED_VALUE"""),"https://vt.tiktok.com/ZSuRWUwMK/ ")</f>
        <v>https://vt.tiktok.com/ZSuRWUwMK/ </v>
      </c>
      <c r="N80" s="541" t="str">
        <f>IFERROR(__xludf.DUMMYFUNCTION("""COMPUTED_VALUE"""),"#mbK9gNVBCcaCdJpDOc8sPneHIoYNfgoz00G2VHLdfsVfomT/2/8h9O7vxhPUETo=")</f>
        <v>#mbK9gNVBCcaCdJpDOc8sPneHIoYNfgoz00G2VHLdfsVfomT/2/8h9O7vxhPUETo=</v>
      </c>
      <c r="O80" s="541"/>
      <c r="P80" s="541"/>
      <c r="Q80" s="541"/>
      <c r="R80" s="312"/>
      <c r="S80" s="286"/>
      <c r="T80" s="286"/>
      <c r="U80" s="286"/>
      <c r="V80" s="286"/>
      <c r="W80" s="286"/>
    </row>
    <row r="81">
      <c r="A81" s="307" t="str">
        <f>IFERROR(__xludf.DUMMYFUNCTION("""COMPUTED_VALUE"""),"MICRO")</f>
        <v>MICRO</v>
      </c>
      <c r="B81" s="318" t="str">
        <f>IFERROR(__xludf.DUMMYFUNCTION("""COMPUTED_VALUE"""),"weni_ilham")</f>
        <v>weni_ilham</v>
      </c>
      <c r="C81" s="535" t="str">
        <f>IFERROR(__xludf.DUMMYFUNCTION("""COMPUTED_VALUE"""),"https://www.tiktok.com/@weni_ilham")</f>
        <v>https://www.tiktok.com/@weni_ilham</v>
      </c>
      <c r="D81" s="316">
        <f>IFERROR(__xludf.DUMMYFUNCTION("""COMPUTED_VALUE"""),8.822452132E10)</f>
        <v>88224521320</v>
      </c>
      <c r="E81" s="552">
        <f>IFERROR(__xludf.DUMMYFUNCTION("""COMPUTED_VALUE"""),0.0)</f>
        <v>0</v>
      </c>
      <c r="F81" s="316">
        <f>IFERROR(__xludf.DUMMYFUNCTION("""COMPUTED_VALUE"""),2.0)</f>
        <v>2</v>
      </c>
      <c r="G81" s="551" t="str">
        <f>IFERROR(__xludf.DUMMYFUNCTION("""COMPUTED_VALUE"""),"PR Package")</f>
        <v>PR Package</v>
      </c>
      <c r="H81" s="463" t="str">
        <f>IFERROR(__xludf.DUMMYFUNCTION("""COMPUTED_VALUE"""),"Sampai")</f>
        <v>Sampai</v>
      </c>
      <c r="I81" s="546" t="str">
        <f>IFERROR(__xludf.DUMMYFUNCTION("""COMPUTED_VALUE"""),"Concept 3")</f>
        <v>Concept 3</v>
      </c>
      <c r="J81" s="540" t="str">
        <f>IFERROR(__xludf.DUMMYFUNCTION("""COMPUTED_VALUE"""),"https://vt.tiktok.com/ZSmKSvGuW/")</f>
        <v>https://vt.tiktok.com/ZSmKSvGuW/</v>
      </c>
      <c r="K81" s="312" t="str">
        <f>IFERROR(__xludf.DUMMYFUNCTION("""COMPUTED_VALUE"""),"#I7i87GLwYjNV3oD91FZ3pyAZIxYw6Tt+93MmrUSFADYNFpmpJMvgnJ85J+v8wgA=")</f>
        <v>#I7i87GLwYjNV3oD91FZ3pyAZIxYw6Tt+93MmrUSFADYNFpmpJMvgnJ85J+v8wgA=</v>
      </c>
      <c r="L81" s="546" t="str">
        <f>IFERROR(__xludf.DUMMYFUNCTION("""COMPUTED_VALUE""")," Concept 1")</f>
        <v> Concept 1</v>
      </c>
      <c r="M81" s="540" t="str">
        <f>IFERROR(__xludf.DUMMYFUNCTION("""COMPUTED_VALUE"""),"https://vt.tiktok.com/ZSmosNhAL/ ")</f>
        <v>https://vt.tiktok.com/ZSmosNhAL/ </v>
      </c>
      <c r="N81" s="541" t="str">
        <f>IFERROR(__xludf.DUMMYFUNCTION("""COMPUTED_VALUE"""),"#IVH1kSJd4MGppbhDKvEbppTGkoZ0mPuR+YKLNdoSaSS58c7smi/kOlmg80rmLw8=")</f>
        <v>#IVH1kSJd4MGppbhDKvEbppTGkoZ0mPuR+YKLNdoSaSS58c7smi/kOlmg80rmLw8=</v>
      </c>
      <c r="O81" s="541"/>
      <c r="P81" s="541"/>
      <c r="Q81" s="541"/>
      <c r="R81" s="312"/>
      <c r="S81" s="286"/>
      <c r="T81" s="286"/>
      <c r="U81" s="286"/>
      <c r="V81" s="286"/>
      <c r="W81" s="286"/>
    </row>
    <row r="82">
      <c r="A82" s="307" t="str">
        <f>IFERROR(__xludf.DUMMYFUNCTION("""COMPUTED_VALUE"""),"MICRO")</f>
        <v>MICRO</v>
      </c>
      <c r="B82" s="318" t="str">
        <f>IFERROR(__xludf.DUMMYFUNCTION("""COMPUTED_VALUE"""),"indribilal25")</f>
        <v>indribilal25</v>
      </c>
      <c r="C82" s="535" t="str">
        <f>IFERROR(__xludf.DUMMYFUNCTION("""COMPUTED_VALUE"""),"https://www.tiktok.com/@indribilal25")</f>
        <v>https://www.tiktok.com/@indribilal25</v>
      </c>
      <c r="D82" s="316">
        <f>IFERROR(__xludf.DUMMYFUNCTION("""COMPUTED_VALUE"""),8.5780455044E10)</f>
        <v>85780455044</v>
      </c>
      <c r="E82" s="552">
        <f>IFERROR(__xludf.DUMMYFUNCTION("""COMPUTED_VALUE"""),0.0)</f>
        <v>0</v>
      </c>
      <c r="F82" s="316">
        <f>IFERROR(__xludf.DUMMYFUNCTION("""COMPUTED_VALUE"""),2.0)</f>
        <v>2</v>
      </c>
      <c r="G82" s="551" t="str">
        <f>IFERROR(__xludf.DUMMYFUNCTION("""COMPUTED_VALUE"""),"PR Package")</f>
        <v>PR Package</v>
      </c>
      <c r="H82" s="463" t="str">
        <f>IFERROR(__xludf.DUMMYFUNCTION("""COMPUTED_VALUE"""),"Sampai")</f>
        <v>Sampai</v>
      </c>
      <c r="I82" s="546" t="str">
        <f>IFERROR(__xludf.DUMMYFUNCTION("""COMPUTED_VALUE""")," Concept 1")</f>
        <v> Concept 1</v>
      </c>
      <c r="J82" s="540" t="str">
        <f>IFERROR(__xludf.DUMMYFUNCTION("""COMPUTED_VALUE"""),"https://vt.tiktok.com/ZSuk9HTt8/")</f>
        <v>https://vt.tiktok.com/ZSuk9HTt8/</v>
      </c>
      <c r="K82" s="312" t="str">
        <f>IFERROR(__xludf.DUMMYFUNCTION("""COMPUTED_VALUE"""),"#uw9z89TtSLziF9sx6dBg2qyAgbM9K79vHzcZKN7tjA3zJKMjed7nt+Z246Wc6KI=")</f>
        <v>#uw9z89TtSLziF9sx6dBg2qyAgbM9K79vHzcZKN7tjA3zJKMjed7nt+Z246Wc6KI=</v>
      </c>
      <c r="L82" s="546" t="str">
        <f>IFERROR(__xludf.DUMMYFUNCTION("""COMPUTED_VALUE"""),"Concept 2")</f>
        <v>Concept 2</v>
      </c>
      <c r="M82" s="540" t="str">
        <f>IFERROR(__xludf.DUMMYFUNCTION("""COMPUTED_VALUE"""),"https://vt.tiktok.com/ZSu9mGXgA/")</f>
        <v>https://vt.tiktok.com/ZSu9mGXgA/</v>
      </c>
      <c r="N82" s="541" t="str">
        <f>IFERROR(__xludf.DUMMYFUNCTION("""COMPUTED_VALUE"""),"#0uKXq3NR7PdSnL/IL3mel7w2ej4dGv3lWVN8f4JNna8375usLZLG5C1OEBM0Oy8=")</f>
        <v>#0uKXq3NR7PdSnL/IL3mel7w2ej4dGv3lWVN8f4JNna8375usLZLG5C1OEBM0Oy8=</v>
      </c>
      <c r="O82" s="541"/>
      <c r="P82" s="541"/>
      <c r="Q82" s="541"/>
      <c r="R82" s="312"/>
      <c r="S82" s="286"/>
      <c r="T82" s="286"/>
      <c r="U82" s="286"/>
      <c r="V82" s="286"/>
      <c r="W82" s="286"/>
    </row>
    <row r="83">
      <c r="A83" s="307" t="str">
        <f>IFERROR(__xludf.DUMMYFUNCTION("""COMPUTED_VALUE"""),"MICRO")</f>
        <v>MICRO</v>
      </c>
      <c r="B83" s="318" t="str">
        <f>IFERROR(__xludf.DUMMYFUNCTION("""COMPUTED_VALUE"""),"hixybinn")</f>
        <v>hixybinn</v>
      </c>
      <c r="C83" s="535" t="str">
        <f>IFERROR(__xludf.DUMMYFUNCTION("""COMPUTED_VALUE"""),"https://www.tiktok.com/@hixybinn")</f>
        <v>https://www.tiktok.com/@hixybinn</v>
      </c>
      <c r="D83" s="316">
        <f>IFERROR(__xludf.DUMMYFUNCTION("""COMPUTED_VALUE"""),8.5894524079E10)</f>
        <v>85894524079</v>
      </c>
      <c r="E83" s="552">
        <f>IFERROR(__xludf.DUMMYFUNCTION("""COMPUTED_VALUE"""),0.0)</f>
        <v>0</v>
      </c>
      <c r="F83" s="316">
        <f>IFERROR(__xludf.DUMMYFUNCTION("""COMPUTED_VALUE"""),2.0)</f>
        <v>2</v>
      </c>
      <c r="G83" s="551" t="str">
        <f>IFERROR(__xludf.DUMMYFUNCTION("""COMPUTED_VALUE"""),"PR Package")</f>
        <v>PR Package</v>
      </c>
      <c r="H83" s="463" t="str">
        <f>IFERROR(__xludf.DUMMYFUNCTION("""COMPUTED_VALUE"""),"Sampai")</f>
        <v>Sampai</v>
      </c>
      <c r="I83" s="546" t="str">
        <f>IFERROR(__xludf.DUMMYFUNCTION("""COMPUTED_VALUE"""),"Concept 2")</f>
        <v>Concept 2</v>
      </c>
      <c r="J83" s="540" t="str">
        <f>IFERROR(__xludf.DUMMYFUNCTION("""COMPUTED_VALUE"""),"https://vt.tiktok.com/ZSHa5o4J3/ ")</f>
        <v>https://vt.tiktok.com/ZSHa5o4J3/ </v>
      </c>
      <c r="K83" s="312" t="str">
        <f>IFERROR(__xludf.DUMMYFUNCTION("""COMPUTED_VALUE"""),"#K/4saeOrmCrDf2ZeKAaYECqf4dEx2eLLgDIeyBbw8qR2cmcJktRMnNcWsekLELs=")</f>
        <v>#K/4saeOrmCrDf2ZeKAaYECqf4dEx2eLLgDIeyBbw8qR2cmcJktRMnNcWsekLELs=</v>
      </c>
      <c r="L83" s="546" t="str">
        <f>IFERROR(__xludf.DUMMYFUNCTION("""COMPUTED_VALUE""")," Concept 1")</f>
        <v> Concept 1</v>
      </c>
      <c r="M83" s="540" t="str">
        <f>IFERROR(__xludf.DUMMYFUNCTION("""COMPUTED_VALUE"""),"https://www.tiktok.com/@hixybinn/video/7626699638187248916?_d=")</f>
        <v>https://www.tiktok.com/@hixybinn/video/7626699638187248916?_d=</v>
      </c>
      <c r="N83" s="541" t="str">
        <f>IFERROR(__xludf.DUMMYFUNCTION("""COMPUTED_VALUE"""),"#qpx1tCL7gVypzR3ZZFgDy9OGnnovFEzaKgpw3xNFsSbdPj8mc9Yk7l3kY1Av+Zc=")</f>
        <v>#qpx1tCL7gVypzR3ZZFgDy9OGnnovFEzaKgpw3xNFsSbdPj8mc9Yk7l3kY1Av+Zc=</v>
      </c>
      <c r="O83" s="541"/>
      <c r="P83" s="541"/>
      <c r="Q83" s="541"/>
      <c r="R83" s="312"/>
      <c r="S83" s="286"/>
      <c r="T83" s="286"/>
      <c r="U83" s="286"/>
      <c r="V83" s="286"/>
      <c r="W83" s="286"/>
    </row>
    <row r="84">
      <c r="A84" s="307" t="str">
        <f>IFERROR(__xludf.DUMMYFUNCTION("""COMPUTED_VALUE"""),"NANO")</f>
        <v>NANO</v>
      </c>
      <c r="B84" s="318" t="str">
        <f>IFERROR(__xludf.DUMMYFUNCTION("""COMPUTED_VALUE"""),"Rnggrn_")</f>
        <v>Rnggrn_</v>
      </c>
      <c r="C84" s="535" t="str">
        <f>IFERROR(__xludf.DUMMYFUNCTION("""COMPUTED_VALUE"""),"https://www.tiktok.com/@Rnggrn_")</f>
        <v>https://www.tiktok.com/@Rnggrn_</v>
      </c>
      <c r="D84" s="316">
        <f>IFERROR(__xludf.DUMMYFUNCTION("""COMPUTED_VALUE"""),8.5143277203E10)</f>
        <v>85143277203</v>
      </c>
      <c r="E84" s="552">
        <f>IFERROR(__xludf.DUMMYFUNCTION("""COMPUTED_VALUE"""),0.0)</f>
        <v>0</v>
      </c>
      <c r="F84" s="316">
        <f>IFERROR(__xludf.DUMMYFUNCTION("""COMPUTED_VALUE"""),2.0)</f>
        <v>2</v>
      </c>
      <c r="G84" s="551" t="str">
        <f>IFERROR(__xludf.DUMMYFUNCTION("""COMPUTED_VALUE"""),"PR Package")</f>
        <v>PR Package</v>
      </c>
      <c r="H84" s="463" t="str">
        <f>IFERROR(__xludf.DUMMYFUNCTION("""COMPUTED_VALUE"""),"Sampai")</f>
        <v>Sampai</v>
      </c>
      <c r="I84" s="546" t="str">
        <f>IFERROR(__xludf.DUMMYFUNCTION("""COMPUTED_VALUE"""),"Concept 2")</f>
        <v>Concept 2</v>
      </c>
      <c r="J84" s="540" t="str">
        <f>IFERROR(__xludf.DUMMYFUNCTION("""COMPUTED_VALUE"""),"https://vt.tiktok.com/ZSuBAMftD/")</f>
        <v>https://vt.tiktok.com/ZSuBAMftD/</v>
      </c>
      <c r="K84" s="312" t="str">
        <f>IFERROR(__xludf.DUMMYFUNCTION("""COMPUTED_VALUE"""),"#69hBjvPO5rhkSjLYCjJnRqpZrtr39tmO5uYis/WCbV8ob1zdf737gQdvrXQUFV0=")</f>
        <v>#69hBjvPO5rhkSjLYCjJnRqpZrtr39tmO5uYis/WCbV8ob1zdf737gQdvrXQUFV0=</v>
      </c>
      <c r="L84" s="546" t="str">
        <f>IFERROR(__xludf.DUMMYFUNCTION("""COMPUTED_VALUE""")," Concept 1")</f>
        <v> Concept 1</v>
      </c>
      <c r="M84" s="540" t="str">
        <f>IFERROR(__xludf.DUMMYFUNCTION("""COMPUTED_VALUE"""),"https://vt.tiktok.com/ZSuH9VvX7/")</f>
        <v>https://vt.tiktok.com/ZSuH9VvX7/</v>
      </c>
      <c r="N84" s="541" t="str">
        <f>IFERROR(__xludf.DUMMYFUNCTION("""COMPUTED_VALUE"""),"#31uue5DoOW3niYt3KfjVvnFVyiH0DaTvVybiSBOUyOgRLB36HuLKEYZA0a4pWdc=")</f>
        <v>#31uue5DoOW3niYt3KfjVvnFVyiH0DaTvVybiSBOUyOgRLB36HuLKEYZA0a4pWdc=</v>
      </c>
      <c r="O84" s="541"/>
      <c r="P84" s="541"/>
      <c r="Q84" s="541"/>
      <c r="R84" s="312"/>
      <c r="S84" s="286"/>
      <c r="T84" s="286"/>
      <c r="U84" s="286"/>
      <c r="V84" s="286"/>
      <c r="W84" s="286"/>
    </row>
    <row r="85">
      <c r="A85" s="307" t="str">
        <f>IFERROR(__xludf.DUMMYFUNCTION("""COMPUTED_VALUE"""),"NANO")</f>
        <v>NANO</v>
      </c>
      <c r="B85" s="318" t="str">
        <f>IFERROR(__xludf.DUMMYFUNCTION("""COMPUTED_VALUE"""),"euis.nry")</f>
        <v>euis.nry</v>
      </c>
      <c r="C85" s="535" t="str">
        <f>IFERROR(__xludf.DUMMYFUNCTION("""COMPUTED_VALUE"""),"https://www.tiktok.com/@euis.nry")</f>
        <v>https://www.tiktok.com/@euis.nry</v>
      </c>
      <c r="D85" s="316">
        <f>IFERROR(__xludf.DUMMYFUNCTION("""COMPUTED_VALUE"""),8.2115150885E10)</f>
        <v>82115150885</v>
      </c>
      <c r="E85" s="552">
        <f>IFERROR(__xludf.DUMMYFUNCTION("""COMPUTED_VALUE"""),0.0)</f>
        <v>0</v>
      </c>
      <c r="F85" s="316">
        <f>IFERROR(__xludf.DUMMYFUNCTION("""COMPUTED_VALUE"""),2.0)</f>
        <v>2</v>
      </c>
      <c r="G85" s="551" t="str">
        <f>IFERROR(__xludf.DUMMYFUNCTION("""COMPUTED_VALUE"""),"PR Package")</f>
        <v>PR Package</v>
      </c>
      <c r="H85" s="463" t="str">
        <f>IFERROR(__xludf.DUMMYFUNCTION("""COMPUTED_VALUE"""),"Sampai")</f>
        <v>Sampai</v>
      </c>
      <c r="I85" s="546" t="str">
        <f>IFERROR(__xludf.DUMMYFUNCTION("""COMPUTED_VALUE"""),"Concept 3")</f>
        <v>Concept 3</v>
      </c>
      <c r="J85" s="540" t="str">
        <f>IFERROR(__xludf.DUMMYFUNCTION("""COMPUTED_VALUE"""),"https://vt.tiktok.com/ZSH8tNB1a/")</f>
        <v>https://vt.tiktok.com/ZSH8tNB1a/</v>
      </c>
      <c r="K85" s="312" t="str">
        <f>IFERROR(__xludf.DUMMYFUNCTION("""COMPUTED_VALUE"""),"#pzdQbonbeb6kBUZ0Kbx6WP9DZKM35AnN9y5CrAL86eD0/TQwIcc7rW0WWjvkXBI=")</f>
        <v>#pzdQbonbeb6kBUZ0Kbx6WP9DZKM35AnN9y5CrAL86eD0/TQwIcc7rW0WWjvkXBI=</v>
      </c>
      <c r="L85" s="546" t="str">
        <f>IFERROR(__xludf.DUMMYFUNCTION("""COMPUTED_VALUE"""),"Concept 3")</f>
        <v>Concept 3</v>
      </c>
      <c r="M85" s="540" t="str">
        <f>IFERROR(__xludf.DUMMYFUNCTION("""COMPUTED_VALUE"""),"https://vt.tiktok.com/ZSHm82AgY/")</f>
        <v>https://vt.tiktok.com/ZSHm82AgY/</v>
      </c>
      <c r="N85" s="541" t="str">
        <f>IFERROR(__xludf.DUMMYFUNCTION("""COMPUTED_VALUE"""),"#JsmGoz4VsMYEq+Xmb0ptjsiA7TYKZKpWy7P2s4jG0j/+lXoJbCRmpW8I2K93flY=")</f>
        <v>#JsmGoz4VsMYEq+Xmb0ptjsiA7TYKZKpWy7P2s4jG0j/+lXoJbCRmpW8I2K93flY=</v>
      </c>
      <c r="O85" s="541"/>
      <c r="P85" s="541"/>
      <c r="Q85" s="541"/>
      <c r="R85" s="312"/>
      <c r="S85" s="286"/>
      <c r="T85" s="286"/>
      <c r="U85" s="286"/>
      <c r="V85" s="286"/>
      <c r="W85" s="286"/>
    </row>
    <row r="86">
      <c r="A86" s="307" t="str">
        <f>IFERROR(__xludf.DUMMYFUNCTION("""COMPUTED_VALUE"""),"NANO")</f>
        <v>NANO</v>
      </c>
      <c r="B86" s="318" t="str">
        <f>IFERROR(__xludf.DUMMYFUNCTION("""COMPUTED_VALUE"""),"itsyeeelllaaa")</f>
        <v>itsyeeelllaaa</v>
      </c>
      <c r="C86" s="535" t="str">
        <f>IFERROR(__xludf.DUMMYFUNCTION("""COMPUTED_VALUE"""),"https://www.tiktok.com/@itsyeeelllaaa")</f>
        <v>https://www.tiktok.com/@itsyeeelllaaa</v>
      </c>
      <c r="D86" s="316">
        <f>IFERROR(__xludf.DUMMYFUNCTION("""COMPUTED_VALUE"""),8.5764211754E10)</f>
        <v>85764211754</v>
      </c>
      <c r="E86" s="552">
        <f>IFERROR(__xludf.DUMMYFUNCTION("""COMPUTED_VALUE"""),0.0)</f>
        <v>0</v>
      </c>
      <c r="F86" s="316">
        <f>IFERROR(__xludf.DUMMYFUNCTION("""COMPUTED_VALUE"""),2.0)</f>
        <v>2</v>
      </c>
      <c r="G86" s="551" t="str">
        <f>IFERROR(__xludf.DUMMYFUNCTION("""COMPUTED_VALUE"""),"PR Package")</f>
        <v>PR Package</v>
      </c>
      <c r="H86" s="463" t="str">
        <f>IFERROR(__xludf.DUMMYFUNCTION("""COMPUTED_VALUE"""),"Sampai")</f>
        <v>Sampai</v>
      </c>
      <c r="I86" s="546" t="str">
        <f>IFERROR(__xludf.DUMMYFUNCTION("""COMPUTED_VALUE"""),"Concept 2")</f>
        <v>Concept 2</v>
      </c>
      <c r="J86" s="540" t="str">
        <f>IFERROR(__xludf.DUMMYFUNCTION("""COMPUTED_VALUE"""),"https://vt.tiktok.com/ZSuykgtDj/")</f>
        <v>https://vt.tiktok.com/ZSuykgtDj/</v>
      </c>
      <c r="K86" s="312" t="str">
        <f>IFERROR(__xludf.DUMMYFUNCTION("""COMPUTED_VALUE"""),"#pg4NI7Ah/lbimDAzkV3cUn+sdt2t7SVYr9TgDArXT33mptZWmuGAnDUjSSh3h0I=")</f>
        <v>#pg4NI7Ah/lbimDAzkV3cUn+sdt2t7SVYr9TgDArXT33mptZWmuGAnDUjSSh3h0I=</v>
      </c>
      <c r="L86" s="546" t="str">
        <f>IFERROR(__xludf.DUMMYFUNCTION("""COMPUTED_VALUE"""),"Concept 3")</f>
        <v>Concept 3</v>
      </c>
      <c r="M86" s="540" t="str">
        <f>IFERROR(__xludf.DUMMYFUNCTION("""COMPUTED_VALUE"""),"https://vt.tiktok.com/ZSuyksMog/")</f>
        <v>https://vt.tiktok.com/ZSuyksMog/</v>
      </c>
      <c r="N86" s="541" t="str">
        <f>IFERROR(__xludf.DUMMYFUNCTION("""COMPUTED_VALUE"""),"#4fcoGVCCkg3wbWqeblKboCw0Ipiq8zdj5o7BZBmcyL/YRSOrI4E9Jcx8LbTyPjo= ")</f>
        <v>#4fcoGVCCkg3wbWqeblKboCw0Ipiq8zdj5o7BZBmcyL/YRSOrI4E9Jcx8LbTyPjo= </v>
      </c>
      <c r="O86" s="541"/>
      <c r="P86" s="541"/>
      <c r="Q86" s="541"/>
      <c r="R86" s="312"/>
      <c r="S86" s="286"/>
      <c r="T86" s="286"/>
      <c r="U86" s="286"/>
      <c r="V86" s="286"/>
      <c r="W86" s="286"/>
    </row>
    <row r="87">
      <c r="A87" s="307"/>
      <c r="B87" s="318"/>
      <c r="C87" s="563"/>
      <c r="D87" s="316"/>
      <c r="E87" s="316"/>
      <c r="F87" s="316"/>
      <c r="G87" s="551"/>
      <c r="H87" s="463"/>
      <c r="I87" s="546"/>
      <c r="J87" s="541"/>
      <c r="K87" s="312"/>
      <c r="L87" s="546"/>
      <c r="M87" s="541"/>
      <c r="N87" s="541"/>
      <c r="O87" s="541"/>
      <c r="P87" s="541"/>
      <c r="Q87" s="541"/>
      <c r="R87" s="312"/>
      <c r="S87" s="286"/>
      <c r="T87" s="286"/>
      <c r="U87" s="286"/>
      <c r="V87" s="286"/>
      <c r="W87" s="286"/>
    </row>
    <row r="88">
      <c r="A88" s="307"/>
      <c r="B88" s="318"/>
      <c r="C88" s="563"/>
      <c r="D88" s="316"/>
      <c r="E88" s="316"/>
      <c r="F88" s="316"/>
      <c r="G88" s="551"/>
      <c r="H88" s="463"/>
      <c r="I88" s="546"/>
      <c r="J88" s="541"/>
      <c r="K88" s="312"/>
      <c r="L88" s="546"/>
      <c r="M88" s="541"/>
      <c r="N88" s="541"/>
      <c r="O88" s="541"/>
      <c r="P88" s="541"/>
      <c r="Q88" s="541"/>
      <c r="R88" s="312"/>
      <c r="S88" s="286"/>
      <c r="T88" s="286"/>
      <c r="U88" s="286"/>
      <c r="V88" s="286"/>
      <c r="W88" s="286"/>
    </row>
    <row r="89">
      <c r="A89" s="307"/>
      <c r="B89" s="318"/>
      <c r="C89" s="563"/>
      <c r="D89" s="316"/>
      <c r="E89" s="316"/>
      <c r="F89" s="316"/>
      <c r="G89" s="551"/>
      <c r="H89" s="463"/>
      <c r="I89" s="546"/>
      <c r="J89" s="541"/>
      <c r="K89" s="312"/>
      <c r="L89" s="546"/>
      <c r="M89" s="541"/>
      <c r="N89" s="541"/>
      <c r="O89" s="541"/>
      <c r="P89" s="541"/>
      <c r="Q89" s="541"/>
      <c r="R89" s="312"/>
      <c r="S89" s="286"/>
      <c r="T89" s="286"/>
      <c r="U89" s="286"/>
      <c r="V89" s="286"/>
      <c r="W89" s="286"/>
    </row>
    <row r="90">
      <c r="A90" s="307"/>
      <c r="B90" s="318"/>
      <c r="C90" s="563"/>
      <c r="D90" s="316"/>
      <c r="E90" s="316"/>
      <c r="F90" s="316"/>
      <c r="G90" s="551"/>
      <c r="H90" s="463"/>
      <c r="I90" s="546"/>
      <c r="J90" s="541"/>
      <c r="K90" s="312"/>
      <c r="L90" s="546"/>
      <c r="M90" s="541"/>
      <c r="N90" s="541"/>
      <c r="O90" s="541"/>
      <c r="P90" s="541"/>
      <c r="Q90" s="541"/>
      <c r="R90" s="312"/>
      <c r="S90" s="286"/>
      <c r="T90" s="286"/>
      <c r="U90" s="286"/>
      <c r="V90" s="286"/>
      <c r="W90" s="286"/>
    </row>
    <row r="91">
      <c r="A91" s="307"/>
      <c r="B91" s="318"/>
      <c r="C91" s="563"/>
      <c r="D91" s="316"/>
      <c r="E91" s="316"/>
      <c r="F91" s="316"/>
      <c r="G91" s="551"/>
      <c r="H91" s="463"/>
      <c r="I91" s="546"/>
      <c r="J91" s="541"/>
      <c r="K91" s="312"/>
      <c r="L91" s="546"/>
      <c r="M91" s="541"/>
      <c r="N91" s="541"/>
      <c r="O91" s="541"/>
      <c r="P91" s="541"/>
      <c r="Q91" s="541"/>
      <c r="R91" s="312"/>
      <c r="S91" s="286"/>
      <c r="T91" s="286"/>
      <c r="U91" s="286"/>
      <c r="V91" s="286"/>
      <c r="W91" s="286"/>
    </row>
    <row r="92">
      <c r="A92" s="307"/>
      <c r="B92" s="318"/>
      <c r="C92" s="563"/>
      <c r="D92" s="316"/>
      <c r="E92" s="316"/>
      <c r="F92" s="316"/>
      <c r="G92" s="551"/>
      <c r="H92" s="463"/>
      <c r="I92" s="546"/>
      <c r="J92" s="541"/>
      <c r="K92" s="312"/>
      <c r="L92" s="546"/>
      <c r="M92" s="541"/>
      <c r="N92" s="541"/>
      <c r="O92" s="541"/>
      <c r="P92" s="541"/>
      <c r="Q92" s="541"/>
      <c r="R92" s="312"/>
      <c r="S92" s="286"/>
      <c r="T92" s="286"/>
      <c r="U92" s="286"/>
      <c r="V92" s="286"/>
      <c r="W92" s="286"/>
    </row>
    <row r="93">
      <c r="A93" s="307"/>
      <c r="B93" s="318"/>
      <c r="C93" s="563"/>
      <c r="D93" s="316"/>
      <c r="E93" s="316"/>
      <c r="F93" s="316"/>
      <c r="G93" s="551"/>
      <c r="H93" s="463"/>
      <c r="I93" s="546"/>
      <c r="J93" s="541"/>
      <c r="K93" s="312"/>
      <c r="L93" s="546"/>
      <c r="M93" s="541"/>
      <c r="N93" s="541"/>
      <c r="O93" s="541"/>
      <c r="P93" s="541"/>
      <c r="Q93" s="541"/>
      <c r="R93" s="312"/>
      <c r="S93" s="286"/>
      <c r="T93" s="286"/>
      <c r="U93" s="286"/>
      <c r="V93" s="286"/>
      <c r="W93" s="286"/>
    </row>
    <row r="94">
      <c r="A94" s="307"/>
      <c r="B94" s="318"/>
      <c r="C94" s="563"/>
      <c r="D94" s="316"/>
      <c r="E94" s="316"/>
      <c r="F94" s="316"/>
      <c r="G94" s="551"/>
      <c r="H94" s="463"/>
      <c r="I94" s="546"/>
      <c r="J94" s="541"/>
      <c r="K94" s="312"/>
      <c r="L94" s="546"/>
      <c r="M94" s="541"/>
      <c r="N94" s="541"/>
      <c r="O94" s="541"/>
      <c r="P94" s="541"/>
      <c r="Q94" s="541"/>
      <c r="R94" s="312"/>
      <c r="S94" s="286"/>
      <c r="T94" s="286"/>
      <c r="U94" s="286"/>
      <c r="V94" s="286"/>
      <c r="W94" s="286"/>
    </row>
    <row r="95">
      <c r="A95" s="307"/>
      <c r="B95" s="318"/>
      <c r="C95" s="563"/>
      <c r="D95" s="316"/>
      <c r="E95" s="316"/>
      <c r="F95" s="316"/>
      <c r="G95" s="551"/>
      <c r="H95" s="463"/>
      <c r="I95" s="546"/>
      <c r="J95" s="541"/>
      <c r="K95" s="312"/>
      <c r="L95" s="546"/>
      <c r="M95" s="541"/>
      <c r="N95" s="541"/>
      <c r="O95" s="541"/>
      <c r="P95" s="541"/>
      <c r="Q95" s="541"/>
      <c r="R95" s="312"/>
      <c r="S95" s="286"/>
      <c r="T95" s="286"/>
      <c r="U95" s="286"/>
      <c r="V95" s="286"/>
      <c r="W95" s="286"/>
    </row>
    <row r="96">
      <c r="A96" s="307"/>
      <c r="B96" s="318"/>
      <c r="C96" s="563"/>
      <c r="D96" s="316"/>
      <c r="E96" s="316"/>
      <c r="F96" s="316"/>
      <c r="G96" s="551"/>
      <c r="H96" s="463"/>
      <c r="I96" s="546"/>
      <c r="J96" s="541"/>
      <c r="K96" s="312"/>
      <c r="L96" s="546"/>
      <c r="M96" s="541"/>
      <c r="N96" s="541"/>
      <c r="O96" s="541"/>
      <c r="P96" s="541"/>
      <c r="Q96" s="541"/>
      <c r="R96" s="312"/>
      <c r="S96" s="286"/>
      <c r="T96" s="286"/>
      <c r="U96" s="286"/>
      <c r="V96" s="286"/>
      <c r="W96" s="286"/>
    </row>
    <row r="97">
      <c r="A97" s="307"/>
      <c r="B97" s="318"/>
      <c r="C97" s="563"/>
      <c r="D97" s="316"/>
      <c r="E97" s="316"/>
      <c r="F97" s="316"/>
      <c r="G97" s="551"/>
      <c r="H97" s="463"/>
      <c r="I97" s="546"/>
      <c r="J97" s="541"/>
      <c r="K97" s="312"/>
      <c r="L97" s="546"/>
      <c r="M97" s="541"/>
      <c r="N97" s="541"/>
      <c r="O97" s="541"/>
      <c r="P97" s="541"/>
      <c r="Q97" s="541"/>
      <c r="R97" s="312"/>
      <c r="S97" s="286"/>
      <c r="T97" s="286"/>
      <c r="U97" s="286"/>
      <c r="V97" s="286"/>
      <c r="W97" s="286"/>
    </row>
    <row r="98">
      <c r="A98" s="307"/>
      <c r="B98" s="318"/>
      <c r="C98" s="563"/>
      <c r="D98" s="316"/>
      <c r="E98" s="316"/>
      <c r="F98" s="316"/>
      <c r="G98" s="551"/>
      <c r="H98" s="463"/>
      <c r="I98" s="546"/>
      <c r="J98" s="541"/>
      <c r="K98" s="312"/>
      <c r="L98" s="546"/>
      <c r="M98" s="541"/>
      <c r="N98" s="541"/>
      <c r="O98" s="541"/>
      <c r="P98" s="541"/>
      <c r="Q98" s="541"/>
      <c r="R98" s="312"/>
      <c r="S98" s="286"/>
      <c r="T98" s="286"/>
      <c r="U98" s="286"/>
      <c r="V98" s="286"/>
      <c r="W98" s="286"/>
    </row>
    <row r="99">
      <c r="A99" s="307"/>
      <c r="B99" s="318"/>
      <c r="C99" s="563"/>
      <c r="D99" s="316"/>
      <c r="E99" s="316"/>
      <c r="F99" s="316"/>
      <c r="G99" s="551"/>
      <c r="H99" s="463"/>
      <c r="I99" s="546"/>
      <c r="J99" s="541"/>
      <c r="K99" s="312"/>
      <c r="L99" s="546"/>
      <c r="M99" s="541"/>
      <c r="N99" s="541"/>
      <c r="O99" s="541"/>
      <c r="P99" s="541"/>
      <c r="Q99" s="541"/>
      <c r="R99" s="312"/>
      <c r="S99" s="286"/>
      <c r="T99" s="286"/>
      <c r="U99" s="286"/>
      <c r="V99" s="286"/>
      <c r="W99" s="286"/>
    </row>
    <row r="100">
      <c r="A100" s="307"/>
      <c r="B100" s="318"/>
      <c r="C100" s="563"/>
      <c r="D100" s="316"/>
      <c r="E100" s="316"/>
      <c r="F100" s="316"/>
      <c r="G100" s="551"/>
      <c r="H100" s="463"/>
      <c r="I100" s="546"/>
      <c r="J100" s="541"/>
      <c r="K100" s="312"/>
      <c r="L100" s="546"/>
      <c r="M100" s="541"/>
      <c r="N100" s="541"/>
      <c r="O100" s="541"/>
      <c r="P100" s="541"/>
      <c r="Q100" s="541"/>
      <c r="R100" s="312"/>
      <c r="S100" s="286"/>
      <c r="T100" s="286"/>
      <c r="U100" s="286"/>
      <c r="V100" s="286"/>
      <c r="W100" s="286"/>
    </row>
    <row r="101">
      <c r="A101" s="307"/>
      <c r="B101" s="318"/>
      <c r="C101" s="563"/>
      <c r="D101" s="316"/>
      <c r="E101" s="316"/>
      <c r="F101" s="316"/>
      <c r="G101" s="551"/>
      <c r="H101" s="463"/>
      <c r="I101" s="546"/>
      <c r="J101" s="541"/>
      <c r="K101" s="312"/>
      <c r="L101" s="546"/>
      <c r="M101" s="541"/>
      <c r="N101" s="541"/>
      <c r="O101" s="541"/>
      <c r="P101" s="541"/>
      <c r="Q101" s="541"/>
      <c r="R101" s="312"/>
      <c r="S101" s="286"/>
      <c r="T101" s="286"/>
      <c r="U101" s="286"/>
      <c r="V101" s="286"/>
      <c r="W101" s="286"/>
    </row>
    <row r="102">
      <c r="A102" s="307"/>
      <c r="B102" s="318"/>
      <c r="C102" s="563"/>
      <c r="D102" s="316"/>
      <c r="E102" s="316"/>
      <c r="F102" s="316"/>
      <c r="G102" s="551"/>
      <c r="H102" s="463"/>
      <c r="I102" s="546"/>
      <c r="J102" s="541"/>
      <c r="K102" s="312"/>
      <c r="L102" s="546"/>
      <c r="M102" s="541"/>
      <c r="N102" s="541"/>
      <c r="O102" s="541"/>
      <c r="P102" s="541"/>
      <c r="Q102" s="541"/>
      <c r="R102" s="312"/>
      <c r="S102" s="286"/>
      <c r="T102" s="286"/>
      <c r="U102" s="286"/>
      <c r="V102" s="286"/>
      <c r="W102" s="286"/>
    </row>
    <row r="103">
      <c r="A103" s="307"/>
      <c r="B103" s="318"/>
      <c r="C103" s="563"/>
      <c r="D103" s="316"/>
      <c r="E103" s="316"/>
      <c r="F103" s="316"/>
      <c r="G103" s="551"/>
      <c r="H103" s="463"/>
      <c r="I103" s="546"/>
      <c r="J103" s="541"/>
      <c r="K103" s="312"/>
      <c r="L103" s="546"/>
      <c r="M103" s="541"/>
      <c r="N103" s="541"/>
      <c r="O103" s="541"/>
      <c r="P103" s="541"/>
      <c r="Q103" s="541"/>
      <c r="R103" s="312"/>
      <c r="S103" s="286"/>
      <c r="T103" s="286"/>
      <c r="U103" s="286"/>
      <c r="V103" s="286"/>
      <c r="W103" s="286"/>
    </row>
    <row r="104">
      <c r="A104" s="307"/>
      <c r="B104" s="318"/>
      <c r="C104" s="563"/>
      <c r="D104" s="316"/>
      <c r="E104" s="316"/>
      <c r="F104" s="316"/>
      <c r="G104" s="551"/>
      <c r="H104" s="463"/>
      <c r="I104" s="546"/>
      <c r="J104" s="541"/>
      <c r="K104" s="312"/>
      <c r="L104" s="546"/>
      <c r="M104" s="541"/>
      <c r="N104" s="541"/>
      <c r="O104" s="541"/>
      <c r="P104" s="541"/>
      <c r="Q104" s="541"/>
      <c r="R104" s="312"/>
      <c r="S104" s="286"/>
      <c r="T104" s="286"/>
      <c r="U104" s="286"/>
      <c r="V104" s="286"/>
      <c r="W104" s="286"/>
    </row>
    <row r="105">
      <c r="A105" s="307"/>
      <c r="B105" s="318"/>
      <c r="C105" s="563"/>
      <c r="D105" s="316"/>
      <c r="E105" s="316"/>
      <c r="F105" s="316"/>
      <c r="G105" s="551"/>
      <c r="H105" s="463"/>
      <c r="I105" s="546"/>
      <c r="J105" s="541"/>
      <c r="K105" s="312"/>
      <c r="L105" s="546"/>
      <c r="M105" s="541"/>
      <c r="N105" s="541"/>
      <c r="O105" s="541"/>
      <c r="P105" s="541"/>
      <c r="Q105" s="541"/>
      <c r="R105" s="312"/>
      <c r="S105" s="286"/>
      <c r="T105" s="286"/>
      <c r="U105" s="286"/>
      <c r="V105" s="286"/>
      <c r="W105" s="286"/>
    </row>
    <row r="106">
      <c r="A106" s="321"/>
      <c r="B106" s="321"/>
      <c r="C106" s="564"/>
      <c r="D106" s="322"/>
      <c r="E106" s="322"/>
      <c r="F106" s="322"/>
      <c r="G106" s="286"/>
      <c r="H106" s="286"/>
      <c r="I106" s="286"/>
      <c r="J106" s="529"/>
      <c r="K106" s="286"/>
      <c r="L106" s="286"/>
      <c r="M106" s="529"/>
      <c r="N106" s="529"/>
      <c r="O106" s="529"/>
      <c r="P106" s="529"/>
      <c r="Q106" s="529"/>
      <c r="R106" s="286"/>
      <c r="S106" s="286"/>
      <c r="T106" s="286"/>
      <c r="U106" s="286"/>
      <c r="V106" s="286"/>
      <c r="W106" s="286"/>
    </row>
    <row r="107">
      <c r="A107" s="321"/>
      <c r="B107" s="321"/>
      <c r="C107" s="564"/>
      <c r="D107" s="322"/>
      <c r="E107" s="322"/>
      <c r="F107" s="322"/>
      <c r="G107" s="286"/>
      <c r="H107" s="286"/>
      <c r="I107" s="286"/>
      <c r="J107" s="529"/>
      <c r="K107" s="286"/>
      <c r="L107" s="286"/>
      <c r="M107" s="529"/>
      <c r="N107" s="529"/>
      <c r="O107" s="529"/>
      <c r="P107" s="529"/>
      <c r="Q107" s="529"/>
      <c r="R107" s="286"/>
      <c r="S107" s="286"/>
      <c r="T107" s="286"/>
      <c r="U107" s="286"/>
      <c r="V107" s="286"/>
      <c r="W107" s="286"/>
    </row>
    <row r="108">
      <c r="A108" s="321"/>
      <c r="B108" s="321"/>
      <c r="C108" s="564"/>
      <c r="D108" s="322"/>
      <c r="E108" s="322"/>
      <c r="F108" s="322"/>
      <c r="G108" s="286"/>
      <c r="H108" s="286"/>
      <c r="I108" s="286"/>
      <c r="J108" s="529"/>
      <c r="K108" s="286"/>
      <c r="L108" s="286"/>
      <c r="M108" s="529"/>
      <c r="N108" s="529"/>
      <c r="O108" s="529"/>
      <c r="P108" s="529"/>
      <c r="Q108" s="529"/>
      <c r="R108" s="286"/>
      <c r="S108" s="286"/>
      <c r="T108" s="286"/>
      <c r="U108" s="286"/>
      <c r="V108" s="286"/>
      <c r="W108" s="286"/>
    </row>
    <row r="109">
      <c r="A109" s="321"/>
      <c r="B109" s="321"/>
      <c r="C109" s="564"/>
      <c r="D109" s="322"/>
      <c r="E109" s="322"/>
      <c r="F109" s="322"/>
      <c r="G109" s="286"/>
      <c r="H109" s="286"/>
      <c r="I109" s="286"/>
      <c r="J109" s="529"/>
      <c r="K109" s="286"/>
      <c r="L109" s="286"/>
      <c r="M109" s="529"/>
      <c r="N109" s="529"/>
      <c r="O109" s="529"/>
      <c r="P109" s="529"/>
      <c r="Q109" s="529"/>
      <c r="R109" s="286"/>
      <c r="S109" s="286"/>
      <c r="T109" s="286"/>
      <c r="U109" s="286"/>
      <c r="V109" s="286"/>
      <c r="W109" s="286"/>
    </row>
    <row r="110">
      <c r="A110" s="321"/>
      <c r="B110" s="321"/>
      <c r="C110" s="564"/>
      <c r="D110" s="322"/>
      <c r="E110" s="322"/>
      <c r="F110" s="322"/>
      <c r="G110" s="286"/>
      <c r="H110" s="286"/>
      <c r="I110" s="286"/>
      <c r="J110" s="529"/>
      <c r="K110" s="286"/>
      <c r="L110" s="286"/>
      <c r="M110" s="529"/>
      <c r="N110" s="529"/>
      <c r="O110" s="529"/>
      <c r="P110" s="529"/>
      <c r="Q110" s="529"/>
      <c r="R110" s="286"/>
      <c r="S110" s="286"/>
      <c r="T110" s="286"/>
      <c r="U110" s="286"/>
      <c r="V110" s="286"/>
      <c r="W110" s="286"/>
    </row>
    <row r="111">
      <c r="A111" s="321"/>
      <c r="B111" s="321"/>
      <c r="C111" s="564"/>
      <c r="D111" s="322"/>
      <c r="E111" s="322"/>
      <c r="F111" s="322"/>
      <c r="G111" s="286"/>
      <c r="H111" s="286"/>
      <c r="I111" s="286"/>
      <c r="J111" s="529"/>
      <c r="K111" s="286"/>
      <c r="L111" s="286"/>
      <c r="M111" s="529"/>
      <c r="N111" s="529"/>
      <c r="O111" s="529"/>
      <c r="P111" s="529"/>
      <c r="Q111" s="529"/>
      <c r="R111" s="286"/>
      <c r="S111" s="286"/>
      <c r="T111" s="286"/>
      <c r="U111" s="286"/>
      <c r="V111" s="286"/>
      <c r="W111" s="286"/>
    </row>
    <row r="112">
      <c r="A112" s="286"/>
      <c r="B112" s="286"/>
      <c r="C112" s="529"/>
      <c r="D112" s="306"/>
      <c r="E112" s="306"/>
      <c r="F112" s="306"/>
      <c r="G112" s="286"/>
      <c r="H112" s="286"/>
      <c r="I112" s="286"/>
      <c r="J112" s="529"/>
      <c r="K112" s="286"/>
      <c r="L112" s="286"/>
      <c r="M112" s="529"/>
      <c r="N112" s="529"/>
      <c r="O112" s="529"/>
      <c r="P112" s="529"/>
      <c r="Q112" s="529"/>
      <c r="R112" s="286"/>
      <c r="S112" s="286"/>
      <c r="T112" s="286"/>
      <c r="U112" s="286"/>
      <c r="V112" s="286"/>
      <c r="W112" s="286"/>
    </row>
    <row r="113">
      <c r="A113" s="286"/>
      <c r="B113" s="286"/>
      <c r="C113" s="529"/>
      <c r="D113" s="306"/>
      <c r="E113" s="306"/>
      <c r="F113" s="306"/>
      <c r="G113" s="286"/>
      <c r="H113" s="286"/>
      <c r="I113" s="286"/>
      <c r="J113" s="529"/>
      <c r="K113" s="286"/>
      <c r="L113" s="286"/>
      <c r="M113" s="529"/>
      <c r="N113" s="529"/>
      <c r="O113" s="529"/>
      <c r="P113" s="529"/>
      <c r="Q113" s="529"/>
      <c r="R113" s="286"/>
      <c r="S113" s="286"/>
      <c r="T113" s="286"/>
      <c r="U113" s="286"/>
      <c r="V113" s="286"/>
      <c r="W113" s="286"/>
    </row>
    <row r="114">
      <c r="A114" s="286"/>
      <c r="B114" s="286"/>
      <c r="C114" s="529"/>
      <c r="D114" s="306"/>
      <c r="E114" s="306"/>
      <c r="F114" s="306"/>
      <c r="G114" s="286"/>
      <c r="H114" s="286"/>
      <c r="I114" s="286"/>
      <c r="J114" s="529"/>
      <c r="K114" s="286"/>
      <c r="L114" s="286"/>
      <c r="M114" s="529"/>
      <c r="N114" s="529"/>
      <c r="O114" s="529"/>
      <c r="P114" s="529"/>
      <c r="Q114" s="529"/>
      <c r="R114" s="286"/>
      <c r="S114" s="286"/>
      <c r="T114" s="286"/>
      <c r="U114" s="286"/>
      <c r="V114" s="286"/>
      <c r="W114" s="286"/>
    </row>
    <row r="115">
      <c r="A115" s="286"/>
      <c r="B115" s="286"/>
      <c r="C115" s="529"/>
      <c r="D115" s="306"/>
      <c r="E115" s="306"/>
      <c r="F115" s="306"/>
      <c r="G115" s="286"/>
      <c r="H115" s="286"/>
      <c r="I115" s="286"/>
      <c r="J115" s="529"/>
      <c r="K115" s="286"/>
      <c r="L115" s="286"/>
      <c r="M115" s="529"/>
      <c r="N115" s="529"/>
      <c r="O115" s="529"/>
      <c r="P115" s="529"/>
      <c r="Q115" s="529"/>
      <c r="R115" s="286"/>
      <c r="S115" s="286"/>
      <c r="T115" s="286"/>
      <c r="U115" s="286"/>
      <c r="V115" s="286"/>
      <c r="W115" s="286"/>
    </row>
    <row r="116">
      <c r="A116" s="286"/>
      <c r="B116" s="286"/>
      <c r="C116" s="529"/>
      <c r="D116" s="306"/>
      <c r="E116" s="306"/>
      <c r="F116" s="306"/>
      <c r="G116" s="286"/>
      <c r="H116" s="286"/>
      <c r="I116" s="286"/>
      <c r="J116" s="529"/>
      <c r="K116" s="286"/>
      <c r="L116" s="286"/>
      <c r="M116" s="529"/>
      <c r="N116" s="529"/>
      <c r="O116" s="529"/>
      <c r="P116" s="529"/>
      <c r="Q116" s="529"/>
      <c r="R116" s="286"/>
      <c r="S116" s="286"/>
      <c r="T116" s="286"/>
      <c r="U116" s="286"/>
      <c r="V116" s="286"/>
      <c r="W116" s="286"/>
    </row>
    <row r="117">
      <c r="A117" s="286"/>
      <c r="B117" s="286"/>
      <c r="C117" s="529"/>
      <c r="D117" s="306"/>
      <c r="E117" s="306"/>
      <c r="F117" s="306"/>
      <c r="G117" s="286"/>
      <c r="H117" s="286"/>
      <c r="I117" s="286"/>
      <c r="J117" s="529"/>
      <c r="K117" s="286"/>
      <c r="L117" s="286"/>
      <c r="M117" s="529"/>
      <c r="N117" s="529"/>
      <c r="O117" s="529"/>
      <c r="P117" s="529"/>
      <c r="Q117" s="529"/>
      <c r="R117" s="286"/>
      <c r="S117" s="286"/>
      <c r="T117" s="286"/>
      <c r="U117" s="286"/>
      <c r="V117" s="286"/>
      <c r="W117" s="286"/>
    </row>
    <row r="118">
      <c r="A118" s="286"/>
      <c r="B118" s="286"/>
      <c r="C118" s="529"/>
      <c r="D118" s="306"/>
      <c r="E118" s="306"/>
      <c r="F118" s="306"/>
      <c r="G118" s="286"/>
      <c r="H118" s="286"/>
      <c r="I118" s="286"/>
      <c r="J118" s="529"/>
      <c r="K118" s="286"/>
      <c r="L118" s="286"/>
      <c r="M118" s="529"/>
      <c r="N118" s="529"/>
      <c r="O118" s="529"/>
      <c r="P118" s="529"/>
      <c r="Q118" s="529"/>
      <c r="R118" s="286"/>
      <c r="S118" s="286"/>
      <c r="T118" s="286"/>
      <c r="U118" s="286"/>
      <c r="V118" s="286"/>
      <c r="W118" s="286"/>
    </row>
    <row r="119">
      <c r="A119" s="286"/>
      <c r="B119" s="286"/>
      <c r="C119" s="529"/>
      <c r="D119" s="306"/>
      <c r="E119" s="306"/>
      <c r="F119" s="306"/>
      <c r="G119" s="286"/>
      <c r="H119" s="286"/>
      <c r="I119" s="286"/>
      <c r="J119" s="529"/>
      <c r="K119" s="286"/>
      <c r="L119" s="286"/>
      <c r="M119" s="529"/>
      <c r="N119" s="529"/>
      <c r="O119" s="529"/>
      <c r="P119" s="529"/>
      <c r="Q119" s="529"/>
      <c r="R119" s="286"/>
      <c r="S119" s="286"/>
      <c r="T119" s="286"/>
      <c r="U119" s="286"/>
      <c r="V119" s="286"/>
      <c r="W119" s="286"/>
    </row>
    <row r="120">
      <c r="A120" s="286"/>
      <c r="B120" s="286"/>
      <c r="C120" s="529"/>
      <c r="D120" s="306"/>
      <c r="E120" s="306"/>
      <c r="F120" s="306"/>
      <c r="G120" s="286"/>
      <c r="H120" s="286"/>
      <c r="I120" s="286"/>
      <c r="J120" s="529"/>
      <c r="K120" s="286"/>
      <c r="L120" s="286"/>
      <c r="M120" s="529"/>
      <c r="N120" s="529"/>
      <c r="O120" s="529"/>
      <c r="P120" s="529"/>
      <c r="Q120" s="529"/>
      <c r="R120" s="286"/>
      <c r="S120" s="286"/>
      <c r="T120" s="286"/>
      <c r="U120" s="286"/>
      <c r="V120" s="286"/>
      <c r="W120" s="286"/>
    </row>
    <row r="121">
      <c r="A121" s="286"/>
      <c r="B121" s="286"/>
      <c r="C121" s="529"/>
      <c r="D121" s="306"/>
      <c r="E121" s="306"/>
      <c r="F121" s="306"/>
      <c r="G121" s="286"/>
      <c r="H121" s="286"/>
      <c r="I121" s="286"/>
      <c r="J121" s="529"/>
      <c r="K121" s="286"/>
      <c r="L121" s="286"/>
      <c r="M121" s="529"/>
      <c r="N121" s="529"/>
      <c r="O121" s="529"/>
      <c r="P121" s="529"/>
      <c r="Q121" s="529"/>
      <c r="R121" s="286"/>
      <c r="S121" s="286"/>
      <c r="T121" s="286"/>
      <c r="U121" s="286"/>
      <c r="V121" s="286"/>
      <c r="W121" s="286"/>
    </row>
    <row r="122">
      <c r="A122" s="286"/>
      <c r="B122" s="286"/>
      <c r="C122" s="529"/>
      <c r="D122" s="306"/>
      <c r="E122" s="306"/>
      <c r="F122" s="306"/>
      <c r="G122" s="286"/>
      <c r="H122" s="286"/>
      <c r="I122" s="286"/>
      <c r="J122" s="529"/>
      <c r="K122" s="286"/>
      <c r="L122" s="286"/>
      <c r="M122" s="529"/>
      <c r="N122" s="529"/>
      <c r="O122" s="529"/>
      <c r="P122" s="529"/>
      <c r="Q122" s="529"/>
      <c r="R122" s="286"/>
      <c r="S122" s="286"/>
      <c r="T122" s="286"/>
      <c r="U122" s="286"/>
      <c r="V122" s="286"/>
      <c r="W122" s="286"/>
    </row>
    <row r="123">
      <c r="A123" s="286"/>
      <c r="B123" s="286"/>
      <c r="C123" s="529"/>
      <c r="D123" s="306"/>
      <c r="E123" s="306"/>
      <c r="F123" s="306"/>
      <c r="G123" s="286"/>
      <c r="H123" s="286"/>
      <c r="I123" s="286"/>
      <c r="J123" s="529"/>
      <c r="K123" s="286"/>
      <c r="L123" s="286"/>
      <c r="M123" s="529"/>
      <c r="N123" s="529"/>
      <c r="O123" s="529"/>
      <c r="P123" s="529"/>
      <c r="Q123" s="529"/>
      <c r="R123" s="286"/>
      <c r="S123" s="286"/>
      <c r="T123" s="286"/>
      <c r="U123" s="286"/>
      <c r="V123" s="286"/>
      <c r="W123" s="286"/>
    </row>
    <row r="124">
      <c r="A124" s="286"/>
      <c r="B124" s="286"/>
      <c r="C124" s="529"/>
      <c r="D124" s="306"/>
      <c r="E124" s="306"/>
      <c r="F124" s="306"/>
      <c r="G124" s="286"/>
      <c r="H124" s="286"/>
      <c r="I124" s="286"/>
      <c r="J124" s="529"/>
      <c r="K124" s="286"/>
      <c r="L124" s="286"/>
      <c r="M124" s="529"/>
      <c r="N124" s="529"/>
      <c r="O124" s="529"/>
      <c r="P124" s="529"/>
      <c r="Q124" s="529"/>
      <c r="R124" s="286"/>
      <c r="S124" s="286"/>
      <c r="T124" s="286"/>
      <c r="U124" s="286"/>
      <c r="V124" s="286"/>
      <c r="W124" s="286"/>
    </row>
    <row r="125">
      <c r="A125" s="286"/>
      <c r="B125" s="286"/>
      <c r="C125" s="529"/>
      <c r="D125" s="306"/>
      <c r="E125" s="306"/>
      <c r="F125" s="306"/>
      <c r="G125" s="286"/>
      <c r="H125" s="286"/>
      <c r="I125" s="286"/>
      <c r="J125" s="529"/>
      <c r="K125" s="286"/>
      <c r="L125" s="286"/>
      <c r="M125" s="529"/>
      <c r="N125" s="529"/>
      <c r="O125" s="529"/>
      <c r="P125" s="529"/>
      <c r="Q125" s="529"/>
      <c r="R125" s="286"/>
      <c r="S125" s="286"/>
      <c r="T125" s="286"/>
      <c r="U125" s="286"/>
      <c r="V125" s="286"/>
      <c r="W125" s="286"/>
    </row>
    <row r="126">
      <c r="A126" s="286"/>
      <c r="B126" s="286"/>
      <c r="C126" s="529"/>
      <c r="D126" s="306"/>
      <c r="E126" s="306"/>
      <c r="F126" s="306"/>
      <c r="G126" s="286"/>
      <c r="H126" s="286"/>
      <c r="I126" s="286"/>
      <c r="J126" s="529"/>
      <c r="K126" s="286"/>
      <c r="L126" s="286"/>
      <c r="M126" s="529"/>
      <c r="N126" s="529"/>
      <c r="O126" s="529"/>
      <c r="P126" s="529"/>
      <c r="Q126" s="529"/>
      <c r="R126" s="286"/>
      <c r="S126" s="286"/>
      <c r="T126" s="286"/>
      <c r="U126" s="286"/>
      <c r="V126" s="286"/>
      <c r="W126" s="286"/>
    </row>
    <row r="127">
      <c r="A127" s="286"/>
      <c r="B127" s="286"/>
      <c r="C127" s="529"/>
      <c r="D127" s="306"/>
      <c r="E127" s="306"/>
      <c r="F127" s="306"/>
      <c r="G127" s="286"/>
      <c r="H127" s="286"/>
      <c r="I127" s="286"/>
      <c r="J127" s="529"/>
      <c r="K127" s="286"/>
      <c r="L127" s="286"/>
      <c r="M127" s="529"/>
      <c r="N127" s="529"/>
      <c r="O127" s="529"/>
      <c r="P127" s="529"/>
      <c r="Q127" s="529"/>
      <c r="R127" s="286"/>
      <c r="S127" s="286"/>
      <c r="T127" s="286"/>
      <c r="U127" s="286"/>
      <c r="V127" s="286"/>
      <c r="W127" s="286"/>
    </row>
    <row r="128">
      <c r="A128" s="286"/>
      <c r="B128" s="286"/>
      <c r="C128" s="529"/>
      <c r="D128" s="306"/>
      <c r="E128" s="306"/>
      <c r="F128" s="306"/>
      <c r="G128" s="286"/>
      <c r="H128" s="286"/>
      <c r="I128" s="286"/>
      <c r="J128" s="529"/>
      <c r="K128" s="286"/>
      <c r="L128" s="286"/>
      <c r="M128" s="529"/>
      <c r="N128" s="529"/>
      <c r="O128" s="529"/>
      <c r="P128" s="529"/>
      <c r="Q128" s="529"/>
      <c r="R128" s="286"/>
      <c r="S128" s="286"/>
      <c r="T128" s="286"/>
      <c r="U128" s="286"/>
      <c r="V128" s="286"/>
      <c r="W128" s="286"/>
    </row>
    <row r="129">
      <c r="A129" s="286"/>
      <c r="B129" s="286"/>
      <c r="C129" s="529"/>
      <c r="D129" s="306"/>
      <c r="E129" s="306"/>
      <c r="F129" s="306"/>
      <c r="G129" s="286"/>
      <c r="H129" s="286"/>
      <c r="I129" s="286"/>
      <c r="J129" s="529"/>
      <c r="K129" s="286"/>
      <c r="L129" s="286"/>
      <c r="M129" s="529"/>
      <c r="N129" s="529"/>
      <c r="O129" s="529"/>
      <c r="P129" s="529"/>
      <c r="Q129" s="529"/>
      <c r="R129" s="286"/>
      <c r="S129" s="286"/>
      <c r="T129" s="286"/>
      <c r="U129" s="286"/>
      <c r="V129" s="286"/>
      <c r="W129" s="286"/>
    </row>
    <row r="130">
      <c r="A130" s="286"/>
      <c r="B130" s="286"/>
      <c r="C130" s="529"/>
      <c r="D130" s="306"/>
      <c r="E130" s="306"/>
      <c r="F130" s="306"/>
      <c r="G130" s="286"/>
      <c r="H130" s="286"/>
      <c r="I130" s="286"/>
      <c r="J130" s="529"/>
      <c r="K130" s="286"/>
      <c r="L130" s="286"/>
      <c r="M130" s="529"/>
      <c r="N130" s="529"/>
      <c r="O130" s="529"/>
      <c r="P130" s="529"/>
      <c r="Q130" s="529"/>
      <c r="R130" s="286"/>
      <c r="S130" s="286"/>
      <c r="T130" s="286"/>
      <c r="U130" s="286"/>
      <c r="V130" s="286"/>
      <c r="W130" s="286"/>
    </row>
    <row r="131">
      <c r="A131" s="286"/>
      <c r="B131" s="286"/>
      <c r="C131" s="529"/>
      <c r="D131" s="306"/>
      <c r="E131" s="306"/>
      <c r="F131" s="306"/>
      <c r="G131" s="286"/>
      <c r="H131" s="286"/>
      <c r="I131" s="286"/>
      <c r="J131" s="529"/>
      <c r="K131" s="286"/>
      <c r="L131" s="286"/>
      <c r="M131" s="529"/>
      <c r="N131" s="529"/>
      <c r="O131" s="529"/>
      <c r="P131" s="529"/>
      <c r="Q131" s="529"/>
      <c r="R131" s="286"/>
      <c r="S131" s="286"/>
      <c r="T131" s="286"/>
      <c r="U131" s="286"/>
      <c r="V131" s="286"/>
      <c r="W131" s="286"/>
    </row>
    <row r="132">
      <c r="A132" s="286"/>
      <c r="B132" s="286"/>
      <c r="C132" s="529"/>
      <c r="D132" s="306"/>
      <c r="E132" s="306"/>
      <c r="F132" s="306"/>
      <c r="G132" s="286"/>
      <c r="H132" s="286"/>
      <c r="I132" s="286"/>
      <c r="J132" s="529"/>
      <c r="K132" s="286"/>
      <c r="L132" s="286"/>
      <c r="M132" s="529"/>
      <c r="N132" s="529"/>
      <c r="O132" s="529"/>
      <c r="P132" s="529"/>
      <c r="Q132" s="529"/>
      <c r="R132" s="286"/>
      <c r="S132" s="286"/>
      <c r="T132" s="286"/>
      <c r="U132" s="286"/>
      <c r="V132" s="286"/>
      <c r="W132" s="286"/>
    </row>
    <row r="133">
      <c r="A133" s="286"/>
      <c r="B133" s="286"/>
      <c r="C133" s="529"/>
      <c r="D133" s="306"/>
      <c r="E133" s="306"/>
      <c r="F133" s="306"/>
      <c r="G133" s="286"/>
      <c r="H133" s="286"/>
      <c r="I133" s="286"/>
      <c r="J133" s="529"/>
      <c r="K133" s="286"/>
      <c r="L133" s="286"/>
      <c r="M133" s="529"/>
      <c r="N133" s="529"/>
      <c r="O133" s="529"/>
      <c r="P133" s="529"/>
      <c r="Q133" s="529"/>
      <c r="R133" s="286"/>
      <c r="S133" s="286"/>
      <c r="T133" s="286"/>
      <c r="U133" s="286"/>
      <c r="V133" s="286"/>
      <c r="W133" s="286"/>
    </row>
    <row r="134">
      <c r="A134" s="286"/>
      <c r="B134" s="286"/>
      <c r="C134" s="529"/>
      <c r="D134" s="306"/>
      <c r="E134" s="306"/>
      <c r="F134" s="306"/>
      <c r="G134" s="286"/>
      <c r="H134" s="286"/>
      <c r="I134" s="286"/>
      <c r="J134" s="529"/>
      <c r="K134" s="286"/>
      <c r="L134" s="286"/>
      <c r="M134" s="529"/>
      <c r="N134" s="529"/>
      <c r="O134" s="529"/>
      <c r="P134" s="529"/>
      <c r="Q134" s="529"/>
      <c r="R134" s="286"/>
      <c r="S134" s="286"/>
      <c r="T134" s="286"/>
      <c r="U134" s="286"/>
      <c r="V134" s="286"/>
      <c r="W134" s="286"/>
    </row>
    <row r="135">
      <c r="A135" s="286"/>
      <c r="B135" s="286"/>
      <c r="C135" s="529"/>
      <c r="D135" s="306"/>
      <c r="E135" s="306"/>
      <c r="F135" s="306"/>
      <c r="G135" s="286"/>
      <c r="H135" s="286"/>
      <c r="I135" s="286"/>
      <c r="J135" s="529"/>
      <c r="K135" s="286"/>
      <c r="L135" s="286"/>
      <c r="M135" s="529"/>
      <c r="N135" s="529"/>
      <c r="O135" s="529"/>
      <c r="P135" s="529"/>
      <c r="Q135" s="529"/>
      <c r="R135" s="286"/>
      <c r="S135" s="286"/>
      <c r="T135" s="286"/>
      <c r="U135" s="286"/>
      <c r="V135" s="286"/>
      <c r="W135" s="286"/>
    </row>
    <row r="136">
      <c r="A136" s="286"/>
      <c r="B136" s="286"/>
      <c r="C136" s="529"/>
      <c r="D136" s="306"/>
      <c r="E136" s="306"/>
      <c r="F136" s="306"/>
      <c r="G136" s="286"/>
      <c r="H136" s="286"/>
      <c r="I136" s="286"/>
      <c r="J136" s="529"/>
      <c r="K136" s="286"/>
      <c r="L136" s="286"/>
      <c r="M136" s="529"/>
      <c r="N136" s="529"/>
      <c r="O136" s="529"/>
      <c r="P136" s="529"/>
      <c r="Q136" s="529"/>
      <c r="R136" s="286"/>
      <c r="S136" s="286"/>
      <c r="T136" s="286"/>
      <c r="U136" s="286"/>
      <c r="V136" s="286"/>
      <c r="W136" s="286"/>
    </row>
    <row r="137">
      <c r="A137" s="286"/>
      <c r="B137" s="286"/>
      <c r="C137" s="529"/>
      <c r="D137" s="306"/>
      <c r="E137" s="306"/>
      <c r="F137" s="306"/>
      <c r="G137" s="286"/>
      <c r="H137" s="286"/>
      <c r="I137" s="286"/>
      <c r="J137" s="529"/>
      <c r="K137" s="286"/>
      <c r="L137" s="286"/>
      <c r="M137" s="529"/>
      <c r="N137" s="529"/>
      <c r="O137" s="529"/>
      <c r="P137" s="529"/>
      <c r="Q137" s="529"/>
      <c r="R137" s="286"/>
      <c r="S137" s="286"/>
      <c r="T137" s="286"/>
      <c r="U137" s="286"/>
      <c r="V137" s="286"/>
      <c r="W137" s="286"/>
    </row>
    <row r="138">
      <c r="A138" s="286"/>
      <c r="B138" s="286"/>
      <c r="C138" s="529"/>
      <c r="D138" s="306"/>
      <c r="E138" s="306"/>
      <c r="F138" s="306"/>
      <c r="G138" s="286"/>
      <c r="H138" s="286"/>
      <c r="I138" s="286"/>
      <c r="J138" s="529"/>
      <c r="K138" s="286"/>
      <c r="L138" s="286"/>
      <c r="M138" s="529"/>
      <c r="N138" s="529"/>
      <c r="O138" s="529"/>
      <c r="P138" s="529"/>
      <c r="Q138" s="529"/>
      <c r="R138" s="286"/>
      <c r="S138" s="286"/>
      <c r="T138" s="286"/>
      <c r="U138" s="286"/>
      <c r="V138" s="286"/>
      <c r="W138" s="286"/>
    </row>
    <row r="139">
      <c r="A139" s="286"/>
      <c r="B139" s="286"/>
      <c r="C139" s="529"/>
      <c r="D139" s="306"/>
      <c r="E139" s="306"/>
      <c r="F139" s="306"/>
      <c r="G139" s="286"/>
      <c r="H139" s="286"/>
      <c r="I139" s="286"/>
      <c r="J139" s="529"/>
      <c r="K139" s="286"/>
      <c r="L139" s="286"/>
      <c r="M139" s="529"/>
      <c r="N139" s="529"/>
      <c r="O139" s="529"/>
      <c r="P139" s="529"/>
      <c r="Q139" s="529"/>
      <c r="R139" s="286"/>
      <c r="S139" s="286"/>
      <c r="T139" s="286"/>
      <c r="U139" s="286"/>
      <c r="V139" s="286"/>
      <c r="W139" s="286"/>
    </row>
    <row r="140">
      <c r="A140" s="286"/>
      <c r="B140" s="286"/>
      <c r="C140" s="529"/>
      <c r="D140" s="306"/>
      <c r="E140" s="306"/>
      <c r="F140" s="306"/>
      <c r="G140" s="286"/>
      <c r="H140" s="286"/>
      <c r="I140" s="286"/>
      <c r="J140" s="529"/>
      <c r="K140" s="286"/>
      <c r="L140" s="286"/>
      <c r="M140" s="529"/>
      <c r="N140" s="529"/>
      <c r="O140" s="529"/>
      <c r="P140" s="529"/>
      <c r="Q140" s="529"/>
      <c r="R140" s="286"/>
      <c r="S140" s="286"/>
      <c r="T140" s="286"/>
      <c r="U140" s="286"/>
      <c r="V140" s="286"/>
      <c r="W140" s="286"/>
    </row>
    <row r="141">
      <c r="A141" s="286"/>
      <c r="B141" s="286"/>
      <c r="C141" s="529"/>
      <c r="D141" s="306"/>
      <c r="E141" s="306"/>
      <c r="F141" s="306"/>
      <c r="G141" s="286"/>
      <c r="H141" s="286"/>
      <c r="I141" s="286"/>
      <c r="J141" s="529"/>
      <c r="K141" s="286"/>
      <c r="L141" s="286"/>
      <c r="M141" s="529"/>
      <c r="N141" s="529"/>
      <c r="O141" s="529"/>
      <c r="P141" s="529"/>
      <c r="Q141" s="529"/>
      <c r="R141" s="286"/>
      <c r="S141" s="286"/>
      <c r="T141" s="286"/>
      <c r="U141" s="286"/>
      <c r="V141" s="286"/>
      <c r="W141" s="286"/>
    </row>
    <row r="142">
      <c r="A142" s="286"/>
      <c r="B142" s="286"/>
      <c r="C142" s="529"/>
      <c r="D142" s="306"/>
      <c r="E142" s="306"/>
      <c r="F142" s="306"/>
      <c r="G142" s="286"/>
      <c r="H142" s="286"/>
      <c r="I142" s="286"/>
      <c r="J142" s="529"/>
      <c r="K142" s="286"/>
      <c r="L142" s="286"/>
      <c r="M142" s="529"/>
      <c r="N142" s="529"/>
      <c r="O142" s="529"/>
      <c r="P142" s="529"/>
      <c r="Q142" s="529"/>
      <c r="R142" s="286"/>
      <c r="S142" s="286"/>
      <c r="T142" s="286"/>
      <c r="U142" s="286"/>
      <c r="V142" s="286"/>
      <c r="W142" s="286"/>
    </row>
    <row r="143">
      <c r="A143" s="286"/>
      <c r="B143" s="286"/>
      <c r="C143" s="529"/>
      <c r="D143" s="306"/>
      <c r="E143" s="306"/>
      <c r="F143" s="306"/>
      <c r="G143" s="286"/>
      <c r="H143" s="286"/>
      <c r="I143" s="286"/>
      <c r="J143" s="529"/>
      <c r="K143" s="286"/>
      <c r="L143" s="286"/>
      <c r="M143" s="529"/>
      <c r="N143" s="529"/>
      <c r="O143" s="529"/>
      <c r="P143" s="529"/>
      <c r="Q143" s="529"/>
      <c r="R143" s="286"/>
      <c r="S143" s="286"/>
      <c r="T143" s="286"/>
      <c r="U143" s="286"/>
      <c r="V143" s="286"/>
      <c r="W143" s="286"/>
    </row>
    <row r="144">
      <c r="A144" s="286"/>
      <c r="B144" s="286"/>
      <c r="C144" s="529"/>
      <c r="D144" s="306"/>
      <c r="E144" s="306"/>
      <c r="F144" s="306"/>
      <c r="G144" s="286"/>
      <c r="H144" s="286"/>
      <c r="I144" s="286"/>
      <c r="J144" s="529"/>
      <c r="K144" s="286"/>
      <c r="L144" s="286"/>
      <c r="M144" s="529"/>
      <c r="N144" s="529"/>
      <c r="O144" s="529"/>
      <c r="P144" s="529"/>
      <c r="Q144" s="529"/>
      <c r="R144" s="286"/>
      <c r="S144" s="286"/>
      <c r="T144" s="286"/>
      <c r="U144" s="286"/>
      <c r="V144" s="286"/>
      <c r="W144" s="286"/>
    </row>
    <row r="145">
      <c r="A145" s="286"/>
      <c r="B145" s="286"/>
      <c r="C145" s="529"/>
      <c r="D145" s="306"/>
      <c r="E145" s="306"/>
      <c r="F145" s="306"/>
      <c r="G145" s="286"/>
      <c r="H145" s="286"/>
      <c r="I145" s="286"/>
      <c r="J145" s="529"/>
      <c r="K145" s="286"/>
      <c r="L145" s="286"/>
      <c r="M145" s="529"/>
      <c r="N145" s="529"/>
      <c r="O145" s="529"/>
      <c r="P145" s="529"/>
      <c r="Q145" s="529"/>
      <c r="R145" s="286"/>
      <c r="S145" s="286"/>
      <c r="T145" s="286"/>
      <c r="U145" s="286"/>
      <c r="V145" s="286"/>
      <c r="W145" s="286"/>
    </row>
    <row r="146">
      <c r="A146" s="286"/>
      <c r="B146" s="286"/>
      <c r="C146" s="529"/>
      <c r="D146" s="306"/>
      <c r="E146" s="306"/>
      <c r="F146" s="306"/>
      <c r="G146" s="286"/>
      <c r="H146" s="286"/>
      <c r="I146" s="286"/>
      <c r="J146" s="529"/>
      <c r="K146" s="286"/>
      <c r="L146" s="286"/>
      <c r="M146" s="529"/>
      <c r="N146" s="529"/>
      <c r="O146" s="529"/>
      <c r="P146" s="529"/>
      <c r="Q146" s="529"/>
      <c r="R146" s="286"/>
      <c r="S146" s="286"/>
      <c r="T146" s="286"/>
      <c r="U146" s="286"/>
      <c r="V146" s="286"/>
      <c r="W146" s="286"/>
    </row>
    <row r="147">
      <c r="A147" s="286"/>
      <c r="B147" s="286"/>
      <c r="C147" s="529"/>
      <c r="D147" s="306"/>
      <c r="E147" s="306"/>
      <c r="F147" s="306"/>
      <c r="G147" s="286"/>
      <c r="H147" s="286"/>
      <c r="I147" s="286"/>
      <c r="J147" s="529"/>
      <c r="K147" s="286"/>
      <c r="L147" s="286"/>
      <c r="M147" s="529"/>
      <c r="N147" s="529"/>
      <c r="O147" s="529"/>
      <c r="P147" s="529"/>
      <c r="Q147" s="529"/>
      <c r="R147" s="286"/>
      <c r="S147" s="286"/>
      <c r="T147" s="286"/>
      <c r="U147" s="286"/>
      <c r="V147" s="286"/>
      <c r="W147" s="286"/>
    </row>
    <row r="148">
      <c r="A148" s="286"/>
      <c r="B148" s="286"/>
      <c r="C148" s="529"/>
      <c r="D148" s="306"/>
      <c r="E148" s="306"/>
      <c r="F148" s="306"/>
      <c r="G148" s="286"/>
      <c r="H148" s="286"/>
      <c r="I148" s="286"/>
      <c r="J148" s="529"/>
      <c r="K148" s="286"/>
      <c r="L148" s="286"/>
      <c r="M148" s="529"/>
      <c r="N148" s="529"/>
      <c r="O148" s="529"/>
      <c r="P148" s="529"/>
      <c r="Q148" s="529"/>
      <c r="R148" s="286"/>
      <c r="S148" s="286"/>
      <c r="T148" s="286"/>
      <c r="U148" s="286"/>
      <c r="V148" s="286"/>
      <c r="W148" s="286"/>
    </row>
    <row r="149">
      <c r="A149" s="286"/>
      <c r="B149" s="286"/>
      <c r="C149" s="529"/>
      <c r="D149" s="306"/>
      <c r="E149" s="306"/>
      <c r="F149" s="306"/>
      <c r="G149" s="286"/>
      <c r="H149" s="286"/>
      <c r="I149" s="286"/>
      <c r="J149" s="529"/>
      <c r="K149" s="286"/>
      <c r="L149" s="286"/>
      <c r="M149" s="529"/>
      <c r="N149" s="529"/>
      <c r="O149" s="529"/>
      <c r="P149" s="529"/>
      <c r="Q149" s="529"/>
      <c r="R149" s="286"/>
      <c r="S149" s="286"/>
      <c r="T149" s="286"/>
      <c r="U149" s="286"/>
      <c r="V149" s="286"/>
      <c r="W149" s="286"/>
    </row>
    <row r="150">
      <c r="A150" s="286"/>
      <c r="B150" s="286"/>
      <c r="C150" s="529"/>
      <c r="D150" s="306"/>
      <c r="E150" s="306"/>
      <c r="F150" s="306"/>
      <c r="G150" s="286"/>
      <c r="H150" s="286"/>
      <c r="I150" s="286"/>
      <c r="J150" s="529"/>
      <c r="K150" s="286"/>
      <c r="L150" s="286"/>
      <c r="M150" s="529"/>
      <c r="N150" s="529"/>
      <c r="O150" s="529"/>
      <c r="P150" s="529"/>
      <c r="Q150" s="529"/>
      <c r="R150" s="286"/>
      <c r="S150" s="286"/>
      <c r="T150" s="286"/>
      <c r="U150" s="286"/>
      <c r="V150" s="286"/>
      <c r="W150" s="286"/>
    </row>
    <row r="151">
      <c r="A151" s="286"/>
      <c r="B151" s="286"/>
      <c r="C151" s="529"/>
      <c r="D151" s="306"/>
      <c r="E151" s="306"/>
      <c r="F151" s="306"/>
      <c r="G151" s="286"/>
      <c r="H151" s="286"/>
      <c r="I151" s="286"/>
      <c r="J151" s="529"/>
      <c r="K151" s="286"/>
      <c r="L151" s="286"/>
      <c r="M151" s="529"/>
      <c r="N151" s="529"/>
      <c r="O151" s="529"/>
      <c r="P151" s="529"/>
      <c r="Q151" s="529"/>
      <c r="R151" s="286"/>
      <c r="S151" s="286"/>
      <c r="T151" s="286"/>
      <c r="U151" s="286"/>
      <c r="V151" s="286"/>
      <c r="W151" s="286"/>
    </row>
    <row r="152">
      <c r="A152" s="286"/>
      <c r="B152" s="286"/>
      <c r="C152" s="529"/>
      <c r="D152" s="306"/>
      <c r="E152" s="306"/>
      <c r="F152" s="306"/>
      <c r="G152" s="286"/>
      <c r="H152" s="286"/>
      <c r="I152" s="286"/>
      <c r="J152" s="529"/>
      <c r="K152" s="286"/>
      <c r="L152" s="286"/>
      <c r="M152" s="529"/>
      <c r="N152" s="529"/>
      <c r="O152" s="529"/>
      <c r="P152" s="529"/>
      <c r="Q152" s="529"/>
      <c r="R152" s="286"/>
      <c r="S152" s="286"/>
      <c r="T152" s="286"/>
      <c r="U152" s="286"/>
      <c r="V152" s="286"/>
      <c r="W152" s="286"/>
    </row>
    <row r="153">
      <c r="A153" s="286"/>
      <c r="B153" s="286"/>
      <c r="C153" s="529"/>
      <c r="D153" s="306"/>
      <c r="E153" s="306"/>
      <c r="F153" s="306"/>
      <c r="G153" s="286"/>
      <c r="H153" s="286"/>
      <c r="I153" s="286"/>
      <c r="J153" s="529"/>
      <c r="K153" s="286"/>
      <c r="L153" s="286"/>
      <c r="M153" s="529"/>
      <c r="N153" s="529"/>
      <c r="O153" s="529"/>
      <c r="P153" s="529"/>
      <c r="Q153" s="529"/>
      <c r="R153" s="286"/>
      <c r="S153" s="286"/>
      <c r="T153" s="286"/>
      <c r="U153" s="286"/>
      <c r="V153" s="286"/>
      <c r="W153" s="286"/>
    </row>
    <row r="154">
      <c r="A154" s="286"/>
      <c r="B154" s="286"/>
      <c r="C154" s="529"/>
      <c r="D154" s="306"/>
      <c r="E154" s="306"/>
      <c r="F154" s="306"/>
      <c r="G154" s="286"/>
      <c r="H154" s="286"/>
      <c r="I154" s="286"/>
      <c r="J154" s="529"/>
      <c r="K154" s="286"/>
      <c r="L154" s="286"/>
      <c r="M154" s="529"/>
      <c r="N154" s="529"/>
      <c r="O154" s="529"/>
      <c r="P154" s="529"/>
      <c r="Q154" s="529"/>
      <c r="R154" s="286"/>
      <c r="S154" s="286"/>
      <c r="T154" s="286"/>
      <c r="U154" s="286"/>
      <c r="V154" s="286"/>
      <c r="W154" s="286"/>
    </row>
    <row r="155">
      <c r="A155" s="286"/>
      <c r="B155" s="286"/>
      <c r="C155" s="529"/>
      <c r="D155" s="306"/>
      <c r="E155" s="306"/>
      <c r="F155" s="306"/>
      <c r="G155" s="286"/>
      <c r="H155" s="286"/>
      <c r="I155" s="286"/>
      <c r="J155" s="529"/>
      <c r="K155" s="286"/>
      <c r="L155" s="286"/>
      <c r="M155" s="529"/>
      <c r="N155" s="529"/>
      <c r="O155" s="529"/>
      <c r="P155" s="529"/>
      <c r="Q155" s="529"/>
      <c r="R155" s="286"/>
      <c r="S155" s="286"/>
      <c r="T155" s="286"/>
      <c r="U155" s="286"/>
      <c r="V155" s="286"/>
      <c r="W155" s="286"/>
    </row>
    <row r="156">
      <c r="A156" s="286"/>
      <c r="B156" s="286"/>
      <c r="C156" s="529"/>
      <c r="D156" s="306"/>
      <c r="E156" s="306"/>
      <c r="F156" s="306"/>
      <c r="G156" s="286"/>
      <c r="H156" s="286"/>
      <c r="I156" s="286"/>
      <c r="J156" s="529"/>
      <c r="K156" s="286"/>
      <c r="L156" s="286"/>
      <c r="M156" s="529"/>
      <c r="N156" s="529"/>
      <c r="O156" s="529"/>
      <c r="P156" s="529"/>
      <c r="Q156" s="529"/>
      <c r="R156" s="286"/>
      <c r="S156" s="286"/>
      <c r="T156" s="286"/>
      <c r="U156" s="286"/>
      <c r="V156" s="286"/>
      <c r="W156" s="286"/>
    </row>
    <row r="157">
      <c r="A157" s="286"/>
      <c r="B157" s="286"/>
      <c r="C157" s="529"/>
      <c r="D157" s="306"/>
      <c r="E157" s="306"/>
      <c r="F157" s="306"/>
      <c r="G157" s="286"/>
      <c r="H157" s="286"/>
      <c r="I157" s="286"/>
      <c r="J157" s="529"/>
      <c r="K157" s="286"/>
      <c r="L157" s="286"/>
      <c r="M157" s="529"/>
      <c r="N157" s="529"/>
      <c r="O157" s="529"/>
      <c r="P157" s="529"/>
      <c r="Q157" s="529"/>
      <c r="R157" s="286"/>
      <c r="S157" s="286"/>
      <c r="T157" s="286"/>
      <c r="U157" s="286"/>
      <c r="V157" s="286"/>
      <c r="W157" s="286"/>
    </row>
    <row r="158">
      <c r="A158" s="286"/>
      <c r="B158" s="286"/>
      <c r="C158" s="529"/>
      <c r="D158" s="306"/>
      <c r="E158" s="306"/>
      <c r="F158" s="306"/>
      <c r="G158" s="286"/>
      <c r="H158" s="286"/>
      <c r="I158" s="286"/>
      <c r="J158" s="529"/>
      <c r="K158" s="286"/>
      <c r="L158" s="286"/>
      <c r="M158" s="529"/>
      <c r="N158" s="529"/>
      <c r="O158" s="529"/>
      <c r="P158" s="529"/>
      <c r="Q158" s="529"/>
      <c r="R158" s="286"/>
      <c r="S158" s="286"/>
      <c r="T158" s="286"/>
      <c r="U158" s="286"/>
      <c r="V158" s="286"/>
      <c r="W158" s="286"/>
    </row>
    <row r="159">
      <c r="A159" s="286"/>
      <c r="B159" s="286"/>
      <c r="C159" s="529"/>
      <c r="D159" s="306"/>
      <c r="E159" s="306"/>
      <c r="F159" s="306"/>
      <c r="G159" s="286"/>
      <c r="H159" s="286"/>
      <c r="I159" s="286"/>
      <c r="J159" s="529"/>
      <c r="K159" s="286"/>
      <c r="L159" s="286"/>
      <c r="M159" s="529"/>
      <c r="N159" s="529"/>
      <c r="O159" s="529"/>
      <c r="P159" s="529"/>
      <c r="Q159" s="529"/>
      <c r="R159" s="286"/>
      <c r="S159" s="286"/>
      <c r="T159" s="286"/>
      <c r="U159" s="286"/>
      <c r="V159" s="286"/>
      <c r="W159" s="286"/>
    </row>
    <row r="160">
      <c r="A160" s="286"/>
      <c r="B160" s="286"/>
      <c r="C160" s="529"/>
      <c r="D160" s="306"/>
      <c r="E160" s="306"/>
      <c r="F160" s="306"/>
      <c r="G160" s="286"/>
      <c r="H160" s="286"/>
      <c r="I160" s="286"/>
      <c r="J160" s="529"/>
      <c r="K160" s="286"/>
      <c r="L160" s="286"/>
      <c r="M160" s="529"/>
      <c r="N160" s="529"/>
      <c r="O160" s="529"/>
      <c r="P160" s="529"/>
      <c r="Q160" s="529"/>
      <c r="R160" s="286"/>
      <c r="S160" s="286"/>
      <c r="T160" s="286"/>
      <c r="U160" s="286"/>
      <c r="V160" s="286"/>
      <c r="W160" s="286"/>
    </row>
    <row r="161">
      <c r="A161" s="286"/>
      <c r="B161" s="286"/>
      <c r="C161" s="529"/>
      <c r="D161" s="306"/>
      <c r="E161" s="306"/>
      <c r="F161" s="306"/>
      <c r="G161" s="286"/>
      <c r="H161" s="286"/>
      <c r="I161" s="286"/>
      <c r="J161" s="529"/>
      <c r="K161" s="286"/>
      <c r="L161" s="286"/>
      <c r="M161" s="529"/>
      <c r="N161" s="529"/>
      <c r="O161" s="529"/>
      <c r="P161" s="529"/>
      <c r="Q161" s="529"/>
      <c r="R161" s="286"/>
      <c r="S161" s="286"/>
      <c r="T161" s="286"/>
      <c r="U161" s="286"/>
      <c r="V161" s="286"/>
      <c r="W161" s="286"/>
    </row>
    <row r="162">
      <c r="A162" s="286"/>
      <c r="B162" s="286"/>
      <c r="C162" s="529"/>
      <c r="D162" s="306"/>
      <c r="E162" s="306"/>
      <c r="F162" s="306"/>
      <c r="G162" s="286"/>
      <c r="H162" s="286"/>
      <c r="I162" s="286"/>
      <c r="J162" s="529"/>
      <c r="K162" s="286"/>
      <c r="L162" s="286"/>
      <c r="M162" s="529"/>
      <c r="N162" s="529"/>
      <c r="O162" s="529"/>
      <c r="P162" s="529"/>
      <c r="Q162" s="529"/>
      <c r="R162" s="286"/>
      <c r="S162" s="286"/>
      <c r="T162" s="286"/>
      <c r="U162" s="286"/>
      <c r="V162" s="286"/>
      <c r="W162" s="286"/>
    </row>
    <row r="163">
      <c r="A163" s="286"/>
      <c r="B163" s="286"/>
      <c r="C163" s="529"/>
      <c r="D163" s="306"/>
      <c r="E163" s="306"/>
      <c r="F163" s="306"/>
      <c r="G163" s="286"/>
      <c r="H163" s="286"/>
      <c r="I163" s="286"/>
      <c r="J163" s="529"/>
      <c r="K163" s="286"/>
      <c r="L163" s="286"/>
      <c r="M163" s="529"/>
      <c r="N163" s="529"/>
      <c r="O163" s="529"/>
      <c r="P163" s="529"/>
      <c r="Q163" s="529"/>
      <c r="R163" s="286"/>
      <c r="S163" s="286"/>
      <c r="T163" s="286"/>
      <c r="U163" s="286"/>
      <c r="V163" s="286"/>
      <c r="W163" s="286"/>
    </row>
    <row r="164">
      <c r="A164" s="286"/>
      <c r="B164" s="286"/>
      <c r="C164" s="529"/>
      <c r="D164" s="306"/>
      <c r="E164" s="306"/>
      <c r="F164" s="306"/>
      <c r="G164" s="286"/>
      <c r="H164" s="286"/>
      <c r="I164" s="286"/>
      <c r="J164" s="529"/>
      <c r="K164" s="286"/>
      <c r="L164" s="286"/>
      <c r="M164" s="529"/>
      <c r="N164" s="529"/>
      <c r="O164" s="529"/>
      <c r="P164" s="529"/>
      <c r="Q164" s="529"/>
      <c r="R164" s="286"/>
      <c r="S164" s="286"/>
      <c r="T164" s="286"/>
      <c r="U164" s="286"/>
      <c r="V164" s="286"/>
      <c r="W164" s="286"/>
    </row>
    <row r="165">
      <c r="A165" s="286"/>
      <c r="B165" s="286"/>
      <c r="C165" s="529"/>
      <c r="D165" s="306"/>
      <c r="E165" s="306"/>
      <c r="F165" s="306"/>
      <c r="G165" s="286"/>
      <c r="H165" s="286"/>
      <c r="I165" s="286"/>
      <c r="J165" s="529"/>
      <c r="K165" s="286"/>
      <c r="L165" s="286"/>
      <c r="M165" s="529"/>
      <c r="N165" s="529"/>
      <c r="O165" s="529"/>
      <c r="P165" s="529"/>
      <c r="Q165" s="529"/>
      <c r="R165" s="286"/>
      <c r="S165" s="286"/>
      <c r="T165" s="286"/>
      <c r="U165" s="286"/>
      <c r="V165" s="286"/>
      <c r="W165" s="286"/>
    </row>
    <row r="166">
      <c r="A166" s="286"/>
      <c r="B166" s="286"/>
      <c r="C166" s="529"/>
      <c r="D166" s="306"/>
      <c r="E166" s="306"/>
      <c r="F166" s="306"/>
      <c r="G166" s="286"/>
      <c r="H166" s="286"/>
      <c r="I166" s="286"/>
      <c r="J166" s="529"/>
      <c r="K166" s="286"/>
      <c r="L166" s="286"/>
      <c r="M166" s="529"/>
      <c r="N166" s="529"/>
      <c r="O166" s="529"/>
      <c r="P166" s="529"/>
      <c r="Q166" s="529"/>
      <c r="R166" s="286"/>
      <c r="S166" s="286"/>
      <c r="T166" s="286"/>
      <c r="U166" s="286"/>
      <c r="V166" s="286"/>
      <c r="W166" s="286"/>
    </row>
    <row r="167">
      <c r="A167" s="286"/>
      <c r="B167" s="286"/>
      <c r="C167" s="529"/>
      <c r="D167" s="306"/>
      <c r="E167" s="306"/>
      <c r="F167" s="306"/>
      <c r="G167" s="286"/>
      <c r="H167" s="286"/>
      <c r="I167" s="286"/>
      <c r="J167" s="529"/>
      <c r="K167" s="286"/>
      <c r="L167" s="286"/>
      <c r="M167" s="529"/>
      <c r="N167" s="529"/>
      <c r="O167" s="529"/>
      <c r="P167" s="529"/>
      <c r="Q167" s="529"/>
      <c r="R167" s="286"/>
      <c r="S167" s="286"/>
      <c r="T167" s="286"/>
      <c r="U167" s="286"/>
      <c r="V167" s="286"/>
      <c r="W167" s="286"/>
    </row>
    <row r="168">
      <c r="A168" s="286"/>
      <c r="B168" s="286"/>
      <c r="C168" s="529"/>
      <c r="D168" s="306"/>
      <c r="E168" s="306"/>
      <c r="F168" s="306"/>
      <c r="G168" s="286"/>
      <c r="H168" s="286"/>
      <c r="I168" s="286"/>
      <c r="J168" s="529"/>
      <c r="K168" s="286"/>
      <c r="L168" s="286"/>
      <c r="M168" s="529"/>
      <c r="N168" s="529"/>
      <c r="O168" s="529"/>
      <c r="P168" s="529"/>
      <c r="Q168" s="529"/>
      <c r="R168" s="286"/>
      <c r="S168" s="286"/>
      <c r="T168" s="286"/>
      <c r="U168" s="286"/>
      <c r="V168" s="286"/>
      <c r="W168" s="286"/>
    </row>
    <row r="169">
      <c r="A169" s="286"/>
      <c r="B169" s="286"/>
      <c r="C169" s="529"/>
      <c r="D169" s="306"/>
      <c r="E169" s="306"/>
      <c r="F169" s="306"/>
      <c r="G169" s="286"/>
      <c r="H169" s="286"/>
      <c r="I169" s="286"/>
      <c r="J169" s="529"/>
      <c r="K169" s="286"/>
      <c r="L169" s="286"/>
      <c r="M169" s="529"/>
      <c r="N169" s="529"/>
      <c r="O169" s="529"/>
      <c r="P169" s="529"/>
      <c r="Q169" s="529"/>
      <c r="R169" s="286"/>
      <c r="S169" s="286"/>
      <c r="T169" s="286"/>
      <c r="U169" s="286"/>
      <c r="V169" s="286"/>
      <c r="W169" s="286"/>
    </row>
    <row r="170">
      <c r="A170" s="286"/>
      <c r="B170" s="286"/>
      <c r="C170" s="529"/>
      <c r="D170" s="306"/>
      <c r="E170" s="306"/>
      <c r="F170" s="306"/>
      <c r="G170" s="286"/>
      <c r="H170" s="286"/>
      <c r="I170" s="286"/>
      <c r="J170" s="529"/>
      <c r="K170" s="286"/>
      <c r="L170" s="286"/>
      <c r="M170" s="529"/>
      <c r="N170" s="529"/>
      <c r="O170" s="529"/>
      <c r="P170" s="529"/>
      <c r="Q170" s="529"/>
      <c r="R170" s="286"/>
      <c r="S170" s="286"/>
      <c r="T170" s="286"/>
      <c r="U170" s="286"/>
      <c r="V170" s="286"/>
      <c r="W170" s="286"/>
    </row>
    <row r="171">
      <c r="A171" s="286"/>
      <c r="B171" s="286"/>
      <c r="C171" s="529"/>
      <c r="D171" s="306"/>
      <c r="E171" s="306"/>
      <c r="F171" s="306"/>
      <c r="G171" s="286"/>
      <c r="H171" s="286"/>
      <c r="I171" s="286"/>
      <c r="J171" s="529"/>
      <c r="K171" s="286"/>
      <c r="L171" s="286"/>
      <c r="M171" s="529"/>
      <c r="N171" s="529"/>
      <c r="O171" s="529"/>
      <c r="P171" s="529"/>
      <c r="Q171" s="529"/>
      <c r="R171" s="286"/>
      <c r="S171" s="286"/>
      <c r="T171" s="286"/>
      <c r="U171" s="286"/>
      <c r="V171" s="286"/>
      <c r="W171" s="286"/>
    </row>
    <row r="172">
      <c r="A172" s="286"/>
      <c r="B172" s="286"/>
      <c r="C172" s="529"/>
      <c r="D172" s="306"/>
      <c r="E172" s="306"/>
      <c r="F172" s="306"/>
      <c r="G172" s="286"/>
      <c r="H172" s="286"/>
      <c r="I172" s="286"/>
      <c r="J172" s="529"/>
      <c r="K172" s="286"/>
      <c r="L172" s="286"/>
      <c r="M172" s="529"/>
      <c r="N172" s="529"/>
      <c r="O172" s="529"/>
      <c r="P172" s="529"/>
      <c r="Q172" s="529"/>
      <c r="R172" s="286"/>
      <c r="S172" s="286"/>
      <c r="T172" s="286"/>
      <c r="U172" s="286"/>
      <c r="V172" s="286"/>
      <c r="W172" s="286"/>
    </row>
    <row r="173">
      <c r="A173" s="286"/>
      <c r="B173" s="286"/>
      <c r="C173" s="529"/>
      <c r="D173" s="306"/>
      <c r="E173" s="306"/>
      <c r="F173" s="306"/>
      <c r="G173" s="286"/>
      <c r="H173" s="286"/>
      <c r="I173" s="286"/>
      <c r="J173" s="529"/>
      <c r="K173" s="286"/>
      <c r="L173" s="286"/>
      <c r="M173" s="529"/>
      <c r="N173" s="529"/>
      <c r="O173" s="529"/>
      <c r="P173" s="529"/>
      <c r="Q173" s="529"/>
      <c r="R173" s="286"/>
      <c r="S173" s="286"/>
      <c r="T173" s="286"/>
      <c r="U173" s="286"/>
      <c r="V173" s="286"/>
      <c r="W173" s="286"/>
    </row>
    <row r="174">
      <c r="A174" s="286"/>
      <c r="B174" s="286"/>
      <c r="C174" s="529"/>
      <c r="D174" s="306"/>
      <c r="E174" s="306"/>
      <c r="F174" s="306"/>
      <c r="G174" s="286"/>
      <c r="H174" s="286"/>
      <c r="I174" s="286"/>
      <c r="J174" s="529"/>
      <c r="K174" s="286"/>
      <c r="L174" s="286"/>
      <c r="M174" s="529"/>
      <c r="N174" s="529"/>
      <c r="O174" s="529"/>
      <c r="P174" s="529"/>
      <c r="Q174" s="529"/>
      <c r="R174" s="286"/>
      <c r="S174" s="286"/>
      <c r="T174" s="286"/>
      <c r="U174" s="286"/>
      <c r="V174" s="286"/>
      <c r="W174" s="286"/>
    </row>
    <row r="175">
      <c r="A175" s="286"/>
      <c r="B175" s="286"/>
      <c r="C175" s="529"/>
      <c r="D175" s="306"/>
      <c r="E175" s="306"/>
      <c r="F175" s="306"/>
      <c r="G175" s="286"/>
      <c r="H175" s="286"/>
      <c r="I175" s="286"/>
      <c r="J175" s="529"/>
      <c r="K175" s="286"/>
      <c r="L175" s="286"/>
      <c r="M175" s="529"/>
      <c r="N175" s="529"/>
      <c r="O175" s="529"/>
      <c r="P175" s="529"/>
      <c r="Q175" s="529"/>
      <c r="R175" s="286"/>
      <c r="S175" s="286"/>
      <c r="T175" s="286"/>
      <c r="U175" s="286"/>
      <c r="V175" s="286"/>
      <c r="W175" s="286"/>
    </row>
    <row r="176">
      <c r="A176" s="286"/>
      <c r="B176" s="286"/>
      <c r="C176" s="529"/>
      <c r="D176" s="306"/>
      <c r="E176" s="306"/>
      <c r="F176" s="306"/>
      <c r="G176" s="286"/>
      <c r="H176" s="286"/>
      <c r="I176" s="286"/>
      <c r="J176" s="529"/>
      <c r="K176" s="286"/>
      <c r="L176" s="286"/>
      <c r="M176" s="529"/>
      <c r="N176" s="529"/>
      <c r="O176" s="529"/>
      <c r="P176" s="529"/>
      <c r="Q176" s="529"/>
      <c r="R176" s="286"/>
      <c r="S176" s="286"/>
      <c r="T176" s="286"/>
      <c r="U176" s="286"/>
      <c r="V176" s="286"/>
      <c r="W176" s="286"/>
    </row>
    <row r="177">
      <c r="A177" s="286"/>
      <c r="B177" s="286"/>
      <c r="C177" s="529"/>
      <c r="D177" s="306"/>
      <c r="E177" s="306"/>
      <c r="F177" s="306"/>
      <c r="G177" s="286"/>
      <c r="H177" s="286"/>
      <c r="I177" s="286"/>
      <c r="J177" s="529"/>
      <c r="K177" s="286"/>
      <c r="L177" s="286"/>
      <c r="M177" s="529"/>
      <c r="N177" s="529"/>
      <c r="O177" s="529"/>
      <c r="P177" s="529"/>
      <c r="Q177" s="529"/>
      <c r="R177" s="286"/>
      <c r="S177" s="286"/>
      <c r="T177" s="286"/>
      <c r="U177" s="286"/>
      <c r="V177" s="286"/>
      <c r="W177" s="286"/>
    </row>
    <row r="178">
      <c r="A178" s="286"/>
      <c r="B178" s="286"/>
      <c r="C178" s="529"/>
      <c r="D178" s="306"/>
      <c r="E178" s="306"/>
      <c r="F178" s="306"/>
      <c r="G178" s="286"/>
      <c r="H178" s="286"/>
      <c r="I178" s="286"/>
      <c r="J178" s="529"/>
      <c r="K178" s="286"/>
      <c r="L178" s="286"/>
      <c r="M178" s="529"/>
      <c r="N178" s="529"/>
      <c r="O178" s="529"/>
      <c r="P178" s="529"/>
      <c r="Q178" s="529"/>
      <c r="R178" s="286"/>
      <c r="S178" s="286"/>
      <c r="T178" s="286"/>
      <c r="U178" s="286"/>
      <c r="V178" s="286"/>
      <c r="W178" s="286"/>
    </row>
    <row r="179">
      <c r="A179" s="286"/>
      <c r="B179" s="286"/>
      <c r="C179" s="529"/>
      <c r="D179" s="306"/>
      <c r="E179" s="306"/>
      <c r="F179" s="306"/>
      <c r="G179" s="286"/>
      <c r="H179" s="286"/>
      <c r="I179" s="286"/>
      <c r="J179" s="529"/>
      <c r="K179" s="286"/>
      <c r="L179" s="286"/>
      <c r="M179" s="529"/>
      <c r="N179" s="529"/>
      <c r="O179" s="529"/>
      <c r="P179" s="529"/>
      <c r="Q179" s="529"/>
      <c r="R179" s="286"/>
      <c r="S179" s="286"/>
      <c r="T179" s="286"/>
      <c r="U179" s="286"/>
      <c r="V179" s="286"/>
      <c r="W179" s="286"/>
    </row>
    <row r="180">
      <c r="A180" s="286"/>
      <c r="B180" s="286"/>
      <c r="C180" s="529"/>
      <c r="D180" s="306"/>
      <c r="E180" s="306"/>
      <c r="F180" s="306"/>
      <c r="G180" s="286"/>
      <c r="H180" s="286"/>
      <c r="I180" s="286"/>
      <c r="J180" s="529"/>
      <c r="K180" s="286"/>
      <c r="L180" s="286"/>
      <c r="M180" s="529"/>
      <c r="N180" s="529"/>
      <c r="O180" s="529"/>
      <c r="P180" s="529"/>
      <c r="Q180" s="529"/>
      <c r="R180" s="286"/>
      <c r="S180" s="286"/>
      <c r="T180" s="286"/>
      <c r="U180" s="286"/>
      <c r="V180" s="286"/>
      <c r="W180" s="286"/>
    </row>
    <row r="181">
      <c r="A181" s="286"/>
      <c r="B181" s="286"/>
      <c r="C181" s="529"/>
      <c r="D181" s="306"/>
      <c r="E181" s="306"/>
      <c r="F181" s="306"/>
      <c r="G181" s="286"/>
      <c r="H181" s="286"/>
      <c r="I181" s="286"/>
      <c r="J181" s="529"/>
      <c r="K181" s="286"/>
      <c r="L181" s="286"/>
      <c r="M181" s="529"/>
      <c r="N181" s="529"/>
      <c r="O181" s="529"/>
      <c r="P181" s="529"/>
      <c r="Q181" s="529"/>
      <c r="R181" s="286"/>
      <c r="S181" s="286"/>
      <c r="T181" s="286"/>
      <c r="U181" s="286"/>
      <c r="V181" s="286"/>
      <c r="W181" s="286"/>
    </row>
    <row r="182">
      <c r="A182" s="286"/>
      <c r="B182" s="286"/>
      <c r="C182" s="529"/>
      <c r="D182" s="306"/>
      <c r="E182" s="306"/>
      <c r="F182" s="306"/>
      <c r="G182" s="286"/>
      <c r="H182" s="286"/>
      <c r="I182" s="286"/>
      <c r="J182" s="529"/>
      <c r="K182" s="286"/>
      <c r="L182" s="286"/>
      <c r="M182" s="529"/>
      <c r="N182" s="529"/>
      <c r="O182" s="529"/>
      <c r="P182" s="529"/>
      <c r="Q182" s="529"/>
      <c r="R182" s="286"/>
      <c r="S182" s="286"/>
      <c r="T182" s="286"/>
      <c r="U182" s="286"/>
      <c r="V182" s="286"/>
      <c r="W182" s="286"/>
    </row>
    <row r="183">
      <c r="A183" s="286"/>
      <c r="B183" s="286"/>
      <c r="C183" s="529"/>
      <c r="D183" s="306"/>
      <c r="E183" s="306"/>
      <c r="F183" s="306"/>
      <c r="G183" s="286"/>
      <c r="H183" s="286"/>
      <c r="I183" s="286"/>
      <c r="J183" s="529"/>
      <c r="K183" s="286"/>
      <c r="L183" s="286"/>
      <c r="M183" s="529"/>
      <c r="N183" s="529"/>
      <c r="O183" s="529"/>
      <c r="P183" s="529"/>
      <c r="Q183" s="529"/>
      <c r="R183" s="286"/>
      <c r="S183" s="286"/>
      <c r="T183" s="286"/>
      <c r="U183" s="286"/>
      <c r="V183" s="286"/>
      <c r="W183" s="286"/>
    </row>
    <row r="184">
      <c r="A184" s="286"/>
      <c r="B184" s="286"/>
      <c r="C184" s="529"/>
      <c r="D184" s="306"/>
      <c r="E184" s="306"/>
      <c r="F184" s="306"/>
      <c r="G184" s="286"/>
      <c r="H184" s="286"/>
      <c r="I184" s="286"/>
      <c r="J184" s="529"/>
      <c r="K184" s="286"/>
      <c r="L184" s="286"/>
      <c r="M184" s="529"/>
      <c r="N184" s="529"/>
      <c r="O184" s="529"/>
      <c r="P184" s="529"/>
      <c r="Q184" s="529"/>
      <c r="R184" s="286"/>
      <c r="S184" s="286"/>
      <c r="T184" s="286"/>
      <c r="U184" s="286"/>
      <c r="V184" s="286"/>
      <c r="W184" s="286"/>
    </row>
    <row r="185">
      <c r="A185" s="286"/>
      <c r="B185" s="286"/>
      <c r="C185" s="529"/>
      <c r="D185" s="306"/>
      <c r="E185" s="306"/>
      <c r="F185" s="306"/>
      <c r="G185" s="286"/>
      <c r="H185" s="286"/>
      <c r="I185" s="286"/>
      <c r="J185" s="529"/>
      <c r="K185" s="286"/>
      <c r="L185" s="286"/>
      <c r="M185" s="529"/>
      <c r="N185" s="529"/>
      <c r="O185" s="529"/>
      <c r="P185" s="529"/>
      <c r="Q185" s="529"/>
      <c r="R185" s="286"/>
      <c r="S185" s="286"/>
      <c r="T185" s="286"/>
      <c r="U185" s="286"/>
      <c r="V185" s="286"/>
      <c r="W185" s="286"/>
    </row>
    <row r="186">
      <c r="A186" s="286"/>
      <c r="B186" s="286"/>
      <c r="C186" s="529"/>
      <c r="D186" s="306"/>
      <c r="E186" s="306"/>
      <c r="F186" s="306"/>
      <c r="G186" s="286"/>
      <c r="H186" s="286"/>
      <c r="I186" s="286"/>
      <c r="J186" s="529"/>
      <c r="K186" s="286"/>
      <c r="L186" s="286"/>
      <c r="M186" s="529"/>
      <c r="N186" s="529"/>
      <c r="O186" s="529"/>
      <c r="P186" s="529"/>
      <c r="Q186" s="529"/>
      <c r="R186" s="286"/>
      <c r="S186" s="286"/>
      <c r="T186" s="286"/>
      <c r="U186" s="286"/>
      <c r="V186" s="286"/>
      <c r="W186" s="286"/>
    </row>
    <row r="187">
      <c r="A187" s="286"/>
      <c r="B187" s="286"/>
      <c r="C187" s="529"/>
      <c r="D187" s="306"/>
      <c r="E187" s="306"/>
      <c r="F187" s="306"/>
      <c r="G187" s="286"/>
      <c r="H187" s="286"/>
      <c r="I187" s="286"/>
      <c r="J187" s="529"/>
      <c r="K187" s="286"/>
      <c r="L187" s="286"/>
      <c r="M187" s="529"/>
      <c r="N187" s="529"/>
      <c r="O187" s="529"/>
      <c r="P187" s="529"/>
      <c r="Q187" s="529"/>
      <c r="R187" s="286"/>
      <c r="S187" s="286"/>
      <c r="T187" s="286"/>
      <c r="U187" s="286"/>
      <c r="V187" s="286"/>
      <c r="W187" s="286"/>
    </row>
    <row r="188">
      <c r="A188" s="286"/>
      <c r="B188" s="286"/>
      <c r="C188" s="529"/>
      <c r="D188" s="306"/>
      <c r="E188" s="306"/>
      <c r="F188" s="306"/>
      <c r="G188" s="286"/>
      <c r="H188" s="286"/>
      <c r="I188" s="286"/>
      <c r="J188" s="529"/>
      <c r="K188" s="286"/>
      <c r="L188" s="286"/>
      <c r="M188" s="529"/>
      <c r="N188" s="529"/>
      <c r="O188" s="529"/>
      <c r="P188" s="529"/>
      <c r="Q188" s="529"/>
      <c r="R188" s="286"/>
      <c r="S188" s="286"/>
      <c r="T188" s="286"/>
      <c r="U188" s="286"/>
      <c r="V188" s="286"/>
      <c r="W188" s="286"/>
    </row>
    <row r="189">
      <c r="A189" s="286"/>
      <c r="B189" s="286"/>
      <c r="C189" s="529"/>
      <c r="D189" s="306"/>
      <c r="E189" s="306"/>
      <c r="F189" s="306"/>
      <c r="G189" s="286"/>
      <c r="H189" s="286"/>
      <c r="I189" s="286"/>
      <c r="J189" s="529"/>
      <c r="K189" s="286"/>
      <c r="L189" s="286"/>
      <c r="M189" s="529"/>
      <c r="N189" s="529"/>
      <c r="O189" s="529"/>
      <c r="P189" s="529"/>
      <c r="Q189" s="529"/>
      <c r="R189" s="286"/>
      <c r="S189" s="286"/>
      <c r="T189" s="286"/>
      <c r="U189" s="286"/>
      <c r="V189" s="286"/>
      <c r="W189" s="286"/>
    </row>
    <row r="190">
      <c r="A190" s="286"/>
      <c r="B190" s="286"/>
      <c r="C190" s="529"/>
      <c r="D190" s="306"/>
      <c r="E190" s="306"/>
      <c r="F190" s="306"/>
      <c r="G190" s="286"/>
      <c r="H190" s="286"/>
      <c r="I190" s="286"/>
      <c r="J190" s="529"/>
      <c r="K190" s="286"/>
      <c r="L190" s="286"/>
      <c r="M190" s="529"/>
      <c r="N190" s="529"/>
      <c r="O190" s="529"/>
      <c r="P190" s="529"/>
      <c r="Q190" s="529"/>
      <c r="R190" s="286"/>
      <c r="S190" s="286"/>
      <c r="T190" s="286"/>
      <c r="U190" s="286"/>
      <c r="V190" s="286"/>
      <c r="W190" s="286"/>
    </row>
    <row r="191">
      <c r="A191" s="286"/>
      <c r="B191" s="286"/>
      <c r="C191" s="529"/>
      <c r="D191" s="306"/>
      <c r="E191" s="306"/>
      <c r="F191" s="306"/>
      <c r="G191" s="286"/>
      <c r="H191" s="286"/>
      <c r="I191" s="286"/>
      <c r="J191" s="529"/>
      <c r="K191" s="286"/>
      <c r="L191" s="286"/>
      <c r="M191" s="529"/>
      <c r="N191" s="529"/>
      <c r="O191" s="529"/>
      <c r="P191" s="529"/>
      <c r="Q191" s="529"/>
      <c r="R191" s="286"/>
      <c r="S191" s="286"/>
      <c r="T191" s="286"/>
      <c r="U191" s="286"/>
      <c r="V191" s="286"/>
      <c r="W191" s="286"/>
    </row>
    <row r="192">
      <c r="A192" s="286"/>
      <c r="B192" s="286"/>
      <c r="C192" s="529"/>
      <c r="D192" s="306"/>
      <c r="E192" s="306"/>
      <c r="F192" s="306"/>
      <c r="G192" s="286"/>
      <c r="H192" s="286"/>
      <c r="I192" s="286"/>
      <c r="J192" s="529"/>
      <c r="K192" s="286"/>
      <c r="L192" s="286"/>
      <c r="M192" s="529"/>
      <c r="N192" s="529"/>
      <c r="O192" s="529"/>
      <c r="P192" s="529"/>
      <c r="Q192" s="529"/>
      <c r="R192" s="286"/>
      <c r="S192" s="286"/>
      <c r="T192" s="286"/>
      <c r="U192" s="286"/>
      <c r="V192" s="286"/>
      <c r="W192" s="286"/>
    </row>
    <row r="193">
      <c r="A193" s="286"/>
      <c r="B193" s="286"/>
      <c r="C193" s="529"/>
      <c r="D193" s="306"/>
      <c r="E193" s="306"/>
      <c r="F193" s="306"/>
      <c r="G193" s="286"/>
      <c r="H193" s="286"/>
      <c r="I193" s="286"/>
      <c r="J193" s="529"/>
      <c r="K193" s="286"/>
      <c r="L193" s="286"/>
      <c r="M193" s="529"/>
      <c r="N193" s="529"/>
      <c r="O193" s="529"/>
      <c r="P193" s="529"/>
      <c r="Q193" s="529"/>
      <c r="R193" s="286"/>
      <c r="S193" s="286"/>
      <c r="T193" s="286"/>
      <c r="U193" s="286"/>
      <c r="V193" s="286"/>
      <c r="W193" s="286"/>
    </row>
    <row r="194">
      <c r="A194" s="286"/>
      <c r="B194" s="286"/>
      <c r="C194" s="529"/>
      <c r="D194" s="306"/>
      <c r="E194" s="306"/>
      <c r="F194" s="306"/>
      <c r="G194" s="286"/>
      <c r="H194" s="286"/>
      <c r="I194" s="286"/>
      <c r="J194" s="529"/>
      <c r="K194" s="286"/>
      <c r="L194" s="286"/>
      <c r="M194" s="529"/>
      <c r="N194" s="529"/>
      <c r="O194" s="529"/>
      <c r="P194" s="529"/>
      <c r="Q194" s="529"/>
      <c r="R194" s="286"/>
      <c r="S194" s="286"/>
      <c r="T194" s="286"/>
      <c r="U194" s="286"/>
      <c r="V194" s="286"/>
      <c r="W194" s="286"/>
    </row>
    <row r="195">
      <c r="A195" s="286"/>
      <c r="B195" s="286"/>
      <c r="C195" s="529"/>
      <c r="D195" s="306"/>
      <c r="E195" s="306"/>
      <c r="F195" s="306"/>
      <c r="G195" s="286"/>
      <c r="H195" s="286"/>
      <c r="I195" s="286"/>
      <c r="J195" s="529"/>
      <c r="K195" s="286"/>
      <c r="L195" s="286"/>
      <c r="M195" s="529"/>
      <c r="N195" s="529"/>
      <c r="O195" s="529"/>
      <c r="P195" s="529"/>
      <c r="Q195" s="529"/>
      <c r="R195" s="286"/>
      <c r="S195" s="286"/>
      <c r="T195" s="286"/>
      <c r="U195" s="286"/>
      <c r="V195" s="286"/>
      <c r="W195" s="286"/>
    </row>
    <row r="196">
      <c r="A196" s="286"/>
      <c r="B196" s="286"/>
      <c r="C196" s="529"/>
      <c r="D196" s="306"/>
      <c r="E196" s="306"/>
      <c r="F196" s="306"/>
      <c r="G196" s="286"/>
      <c r="H196" s="286"/>
      <c r="I196" s="286"/>
      <c r="J196" s="529"/>
      <c r="K196" s="286"/>
      <c r="L196" s="286"/>
      <c r="M196" s="529"/>
      <c r="N196" s="529"/>
      <c r="O196" s="529"/>
      <c r="P196" s="529"/>
      <c r="Q196" s="529"/>
      <c r="R196" s="286"/>
      <c r="S196" s="286"/>
      <c r="T196" s="286"/>
      <c r="U196" s="286"/>
      <c r="V196" s="286"/>
      <c r="W196" s="286"/>
    </row>
    <row r="197">
      <c r="A197" s="286"/>
      <c r="B197" s="286"/>
      <c r="C197" s="529"/>
      <c r="D197" s="306"/>
      <c r="E197" s="306"/>
      <c r="F197" s="306"/>
      <c r="G197" s="286"/>
      <c r="H197" s="286"/>
      <c r="I197" s="286"/>
      <c r="J197" s="529"/>
      <c r="K197" s="286"/>
      <c r="L197" s="286"/>
      <c r="M197" s="529"/>
      <c r="N197" s="529"/>
      <c r="O197" s="529"/>
      <c r="P197" s="529"/>
      <c r="Q197" s="529"/>
      <c r="R197" s="286"/>
      <c r="S197" s="286"/>
      <c r="T197" s="286"/>
      <c r="U197" s="286"/>
      <c r="V197" s="286"/>
      <c r="W197" s="286"/>
    </row>
    <row r="198">
      <c r="A198" s="286"/>
      <c r="B198" s="286"/>
      <c r="C198" s="529"/>
      <c r="D198" s="306"/>
      <c r="E198" s="306"/>
      <c r="F198" s="306"/>
      <c r="G198" s="286"/>
      <c r="H198" s="286"/>
      <c r="I198" s="286"/>
      <c r="J198" s="529"/>
      <c r="K198" s="286"/>
      <c r="L198" s="286"/>
      <c r="M198" s="529"/>
      <c r="N198" s="529"/>
      <c r="O198" s="529"/>
      <c r="P198" s="529"/>
      <c r="Q198" s="529"/>
      <c r="R198" s="286"/>
      <c r="S198" s="286"/>
      <c r="T198" s="286"/>
      <c r="U198" s="286"/>
      <c r="V198" s="286"/>
      <c r="W198" s="286"/>
    </row>
    <row r="199">
      <c r="A199" s="286"/>
      <c r="B199" s="286"/>
      <c r="C199" s="529"/>
      <c r="D199" s="306"/>
      <c r="E199" s="306"/>
      <c r="F199" s="306"/>
      <c r="G199" s="286"/>
      <c r="H199" s="286"/>
      <c r="I199" s="286"/>
      <c r="J199" s="529"/>
      <c r="K199" s="286"/>
      <c r="L199" s="286"/>
      <c r="M199" s="529"/>
      <c r="N199" s="529"/>
      <c r="O199" s="529"/>
      <c r="P199" s="529"/>
      <c r="Q199" s="529"/>
      <c r="R199" s="286"/>
      <c r="S199" s="286"/>
      <c r="T199" s="286"/>
      <c r="U199" s="286"/>
      <c r="V199" s="286"/>
      <c r="W199" s="286"/>
    </row>
    <row r="200">
      <c r="A200" s="286"/>
      <c r="B200" s="286"/>
      <c r="C200" s="529"/>
      <c r="D200" s="306"/>
      <c r="E200" s="306"/>
      <c r="F200" s="306"/>
      <c r="G200" s="286"/>
      <c r="H200" s="286"/>
      <c r="I200" s="286"/>
      <c r="J200" s="529"/>
      <c r="K200" s="286"/>
      <c r="L200" s="286"/>
      <c r="M200" s="529"/>
      <c r="N200" s="529"/>
      <c r="O200" s="529"/>
      <c r="P200" s="529"/>
      <c r="Q200" s="529"/>
      <c r="R200" s="286"/>
      <c r="S200" s="286"/>
      <c r="T200" s="286"/>
      <c r="U200" s="286"/>
      <c r="V200" s="286"/>
      <c r="W200" s="286"/>
    </row>
    <row r="201">
      <c r="A201" s="286"/>
      <c r="B201" s="286"/>
      <c r="C201" s="529"/>
      <c r="D201" s="306"/>
      <c r="E201" s="306"/>
      <c r="F201" s="306"/>
      <c r="G201" s="286"/>
      <c r="H201" s="286"/>
      <c r="I201" s="286"/>
      <c r="J201" s="529"/>
      <c r="K201" s="286"/>
      <c r="L201" s="286"/>
      <c r="M201" s="529"/>
      <c r="N201" s="529"/>
      <c r="O201" s="529"/>
      <c r="P201" s="529"/>
      <c r="Q201" s="529"/>
      <c r="R201" s="286"/>
      <c r="S201" s="286"/>
      <c r="T201" s="286"/>
      <c r="U201" s="286"/>
      <c r="V201" s="286"/>
      <c r="W201" s="286"/>
    </row>
    <row r="202">
      <c r="A202" s="286"/>
      <c r="B202" s="286"/>
      <c r="C202" s="529"/>
      <c r="D202" s="306"/>
      <c r="E202" s="306"/>
      <c r="F202" s="306"/>
      <c r="G202" s="286"/>
      <c r="H202" s="286"/>
      <c r="I202" s="286"/>
      <c r="J202" s="529"/>
      <c r="K202" s="286"/>
      <c r="L202" s="286"/>
      <c r="M202" s="529"/>
      <c r="N202" s="529"/>
      <c r="O202" s="529"/>
      <c r="P202" s="529"/>
      <c r="Q202" s="529"/>
      <c r="R202" s="286"/>
      <c r="S202" s="286"/>
      <c r="T202" s="286"/>
      <c r="U202" s="286"/>
      <c r="V202" s="286"/>
      <c r="W202" s="286"/>
    </row>
    <row r="203">
      <c r="A203" s="286"/>
      <c r="B203" s="286"/>
      <c r="C203" s="529"/>
      <c r="D203" s="306"/>
      <c r="E203" s="306"/>
      <c r="F203" s="306"/>
      <c r="G203" s="286"/>
      <c r="H203" s="286"/>
      <c r="I203" s="286"/>
      <c r="J203" s="529"/>
      <c r="K203" s="286"/>
      <c r="L203" s="286"/>
      <c r="M203" s="529"/>
      <c r="N203" s="529"/>
      <c r="O203" s="529"/>
      <c r="P203" s="529"/>
      <c r="Q203" s="529"/>
      <c r="R203" s="286"/>
      <c r="S203" s="286"/>
      <c r="T203" s="286"/>
      <c r="U203" s="286"/>
      <c r="V203" s="286"/>
      <c r="W203" s="286"/>
    </row>
    <row r="204">
      <c r="A204" s="286"/>
      <c r="B204" s="286"/>
      <c r="C204" s="529"/>
      <c r="D204" s="306"/>
      <c r="E204" s="306"/>
      <c r="F204" s="306"/>
      <c r="G204" s="286"/>
      <c r="H204" s="286"/>
      <c r="I204" s="286"/>
      <c r="J204" s="529"/>
      <c r="K204" s="286"/>
      <c r="L204" s="286"/>
      <c r="M204" s="529"/>
      <c r="N204" s="529"/>
      <c r="O204" s="529"/>
      <c r="P204" s="529"/>
      <c r="Q204" s="529"/>
      <c r="R204" s="286"/>
      <c r="S204" s="286"/>
      <c r="T204" s="286"/>
      <c r="U204" s="286"/>
      <c r="V204" s="286"/>
      <c r="W204" s="286"/>
    </row>
    <row r="205">
      <c r="A205" s="286"/>
      <c r="B205" s="286"/>
      <c r="C205" s="529"/>
      <c r="D205" s="306"/>
      <c r="E205" s="306"/>
      <c r="F205" s="306"/>
      <c r="G205" s="286"/>
      <c r="H205" s="286"/>
      <c r="I205" s="286"/>
      <c r="J205" s="529"/>
      <c r="K205" s="286"/>
      <c r="L205" s="286"/>
      <c r="M205" s="529"/>
      <c r="N205" s="529"/>
      <c r="O205" s="529"/>
      <c r="P205" s="529"/>
      <c r="Q205" s="529"/>
      <c r="R205" s="286"/>
      <c r="S205" s="286"/>
      <c r="T205" s="286"/>
      <c r="U205" s="286"/>
      <c r="V205" s="286"/>
      <c r="W205" s="286"/>
    </row>
    <row r="206">
      <c r="A206" s="286"/>
      <c r="B206" s="286"/>
      <c r="C206" s="529"/>
      <c r="D206" s="306"/>
      <c r="E206" s="306"/>
      <c r="F206" s="306"/>
      <c r="G206" s="286"/>
      <c r="H206" s="286"/>
      <c r="I206" s="286"/>
      <c r="J206" s="529"/>
      <c r="K206" s="286"/>
      <c r="L206" s="286"/>
      <c r="M206" s="529"/>
      <c r="N206" s="529"/>
      <c r="O206" s="529"/>
      <c r="P206" s="529"/>
      <c r="Q206" s="529"/>
      <c r="R206" s="286"/>
      <c r="S206" s="286"/>
      <c r="T206" s="286"/>
      <c r="U206" s="286"/>
      <c r="V206" s="286"/>
      <c r="W206" s="286"/>
    </row>
    <row r="207">
      <c r="A207" s="286"/>
      <c r="B207" s="286"/>
      <c r="C207" s="529"/>
      <c r="D207" s="306"/>
      <c r="E207" s="306"/>
      <c r="F207" s="306"/>
      <c r="G207" s="286"/>
      <c r="H207" s="286"/>
      <c r="I207" s="286"/>
      <c r="J207" s="529"/>
      <c r="K207" s="286"/>
      <c r="L207" s="286"/>
      <c r="M207" s="529"/>
      <c r="N207" s="529"/>
      <c r="O207" s="529"/>
      <c r="P207" s="529"/>
      <c r="Q207" s="529"/>
      <c r="R207" s="286"/>
      <c r="S207" s="286"/>
      <c r="T207" s="286"/>
      <c r="U207" s="286"/>
      <c r="V207" s="286"/>
      <c r="W207" s="286"/>
    </row>
    <row r="208">
      <c r="A208" s="286"/>
      <c r="B208" s="286"/>
      <c r="C208" s="529"/>
      <c r="D208" s="306"/>
      <c r="E208" s="306"/>
      <c r="F208" s="306"/>
      <c r="G208" s="286"/>
      <c r="H208" s="286"/>
      <c r="I208" s="286"/>
      <c r="J208" s="529"/>
      <c r="K208" s="286"/>
      <c r="L208" s="286"/>
      <c r="M208" s="529"/>
      <c r="N208" s="529"/>
      <c r="O208" s="529"/>
      <c r="P208" s="529"/>
      <c r="Q208" s="529"/>
      <c r="R208" s="286"/>
      <c r="S208" s="286"/>
      <c r="T208" s="286"/>
      <c r="U208" s="286"/>
      <c r="V208" s="286"/>
      <c r="W208" s="286"/>
    </row>
    <row r="209">
      <c r="A209" s="286"/>
      <c r="B209" s="286"/>
      <c r="C209" s="529"/>
      <c r="D209" s="306"/>
      <c r="E209" s="306"/>
      <c r="F209" s="306"/>
      <c r="G209" s="286"/>
      <c r="H209" s="286"/>
      <c r="I209" s="286"/>
      <c r="J209" s="529"/>
      <c r="K209" s="286"/>
      <c r="L209" s="286"/>
      <c r="M209" s="529"/>
      <c r="N209" s="529"/>
      <c r="O209" s="529"/>
      <c r="P209" s="529"/>
      <c r="Q209" s="529"/>
      <c r="R209" s="286"/>
      <c r="S209" s="286"/>
      <c r="T209" s="286"/>
      <c r="U209" s="286"/>
      <c r="V209" s="286"/>
      <c r="W209" s="286"/>
    </row>
    <row r="210">
      <c r="A210" s="286"/>
      <c r="B210" s="286"/>
      <c r="C210" s="529"/>
      <c r="D210" s="306"/>
      <c r="E210" s="306"/>
      <c r="F210" s="306"/>
      <c r="G210" s="286"/>
      <c r="H210" s="286"/>
      <c r="I210" s="286"/>
      <c r="J210" s="529"/>
      <c r="K210" s="286"/>
      <c r="L210" s="286"/>
      <c r="M210" s="529"/>
      <c r="N210" s="529"/>
      <c r="O210" s="529"/>
      <c r="P210" s="529"/>
      <c r="Q210" s="529"/>
      <c r="R210" s="286"/>
      <c r="S210" s="286"/>
      <c r="T210" s="286"/>
      <c r="U210" s="286"/>
      <c r="V210" s="286"/>
      <c r="W210" s="286"/>
    </row>
    <row r="211">
      <c r="A211" s="286"/>
      <c r="B211" s="286"/>
      <c r="C211" s="529"/>
      <c r="D211" s="306"/>
      <c r="E211" s="306"/>
      <c r="F211" s="306"/>
      <c r="G211" s="286"/>
      <c r="H211" s="286"/>
      <c r="I211" s="286"/>
      <c r="J211" s="529"/>
      <c r="K211" s="286"/>
      <c r="L211" s="286"/>
      <c r="M211" s="529"/>
      <c r="N211" s="529"/>
      <c r="O211" s="529"/>
      <c r="P211" s="529"/>
      <c r="Q211" s="529"/>
      <c r="R211" s="286"/>
      <c r="S211" s="286"/>
      <c r="T211" s="286"/>
      <c r="U211" s="286"/>
      <c r="V211" s="286"/>
      <c r="W211" s="286"/>
    </row>
    <row r="212">
      <c r="A212" s="286"/>
      <c r="B212" s="286"/>
      <c r="C212" s="529"/>
      <c r="D212" s="306"/>
      <c r="E212" s="306"/>
      <c r="F212" s="306"/>
      <c r="G212" s="286"/>
      <c r="H212" s="286"/>
      <c r="I212" s="286"/>
      <c r="J212" s="529"/>
      <c r="K212" s="286"/>
      <c r="L212" s="286"/>
      <c r="M212" s="529"/>
      <c r="N212" s="529"/>
      <c r="O212" s="529"/>
      <c r="P212" s="529"/>
      <c r="Q212" s="529"/>
      <c r="R212" s="286"/>
      <c r="S212" s="286"/>
      <c r="T212" s="286"/>
      <c r="U212" s="286"/>
      <c r="V212" s="286"/>
      <c r="W212" s="286"/>
    </row>
    <row r="213">
      <c r="A213" s="286"/>
      <c r="B213" s="286"/>
      <c r="C213" s="529"/>
      <c r="D213" s="306"/>
      <c r="E213" s="306"/>
      <c r="F213" s="306"/>
      <c r="G213" s="286"/>
      <c r="H213" s="286"/>
      <c r="I213" s="286"/>
      <c r="J213" s="529"/>
      <c r="K213" s="286"/>
      <c r="L213" s="286"/>
      <c r="M213" s="529"/>
      <c r="N213" s="529"/>
      <c r="O213" s="529"/>
      <c r="P213" s="529"/>
      <c r="Q213" s="529"/>
      <c r="R213" s="286"/>
      <c r="S213" s="286"/>
      <c r="T213" s="286"/>
      <c r="U213" s="286"/>
      <c r="V213" s="286"/>
      <c r="W213" s="286"/>
    </row>
    <row r="214">
      <c r="A214" s="286"/>
      <c r="B214" s="286"/>
      <c r="C214" s="529"/>
      <c r="D214" s="306"/>
      <c r="E214" s="306"/>
      <c r="F214" s="306"/>
      <c r="G214" s="286"/>
      <c r="H214" s="286"/>
      <c r="I214" s="286"/>
      <c r="J214" s="529"/>
      <c r="K214" s="286"/>
      <c r="L214" s="286"/>
      <c r="M214" s="529"/>
      <c r="N214" s="529"/>
      <c r="O214" s="529"/>
      <c r="P214" s="529"/>
      <c r="Q214" s="529"/>
      <c r="R214" s="286"/>
      <c r="S214" s="286"/>
      <c r="T214" s="286"/>
      <c r="U214" s="286"/>
      <c r="V214" s="286"/>
      <c r="W214" s="286"/>
    </row>
    <row r="215">
      <c r="A215" s="286"/>
      <c r="B215" s="286"/>
      <c r="C215" s="529"/>
      <c r="D215" s="306"/>
      <c r="E215" s="306"/>
      <c r="F215" s="306"/>
      <c r="G215" s="286"/>
      <c r="H215" s="286"/>
      <c r="I215" s="286"/>
      <c r="J215" s="529"/>
      <c r="K215" s="286"/>
      <c r="L215" s="286"/>
      <c r="M215" s="529"/>
      <c r="N215" s="529"/>
      <c r="O215" s="529"/>
      <c r="P215" s="529"/>
      <c r="Q215" s="529"/>
      <c r="R215" s="286"/>
      <c r="S215" s="286"/>
      <c r="T215" s="286"/>
      <c r="U215" s="286"/>
      <c r="V215" s="286"/>
      <c r="W215" s="286"/>
    </row>
    <row r="216">
      <c r="A216" s="286"/>
      <c r="B216" s="286"/>
      <c r="C216" s="529"/>
      <c r="D216" s="306"/>
      <c r="E216" s="306"/>
      <c r="F216" s="306"/>
      <c r="G216" s="286"/>
      <c r="H216" s="286"/>
      <c r="I216" s="286"/>
      <c r="J216" s="529"/>
      <c r="K216" s="286"/>
      <c r="L216" s="286"/>
      <c r="M216" s="529"/>
      <c r="N216" s="529"/>
      <c r="O216" s="529"/>
      <c r="P216" s="529"/>
      <c r="Q216" s="529"/>
      <c r="R216" s="286"/>
      <c r="S216" s="286"/>
      <c r="T216" s="286"/>
      <c r="U216" s="286"/>
      <c r="V216" s="286"/>
      <c r="W216" s="286"/>
    </row>
    <row r="217">
      <c r="A217" s="286"/>
      <c r="B217" s="286"/>
      <c r="C217" s="529"/>
      <c r="D217" s="306"/>
      <c r="E217" s="306"/>
      <c r="F217" s="306"/>
      <c r="G217" s="286"/>
      <c r="H217" s="286"/>
      <c r="I217" s="286"/>
      <c r="J217" s="529"/>
      <c r="K217" s="286"/>
      <c r="L217" s="286"/>
      <c r="M217" s="529"/>
      <c r="N217" s="529"/>
      <c r="O217" s="529"/>
      <c r="P217" s="529"/>
      <c r="Q217" s="529"/>
      <c r="R217" s="286"/>
      <c r="S217" s="286"/>
      <c r="T217" s="286"/>
      <c r="U217" s="286"/>
      <c r="V217" s="286"/>
      <c r="W217" s="286"/>
    </row>
    <row r="218">
      <c r="A218" s="286"/>
      <c r="B218" s="286"/>
      <c r="C218" s="529"/>
      <c r="D218" s="306"/>
      <c r="E218" s="306"/>
      <c r="F218" s="306"/>
      <c r="G218" s="286"/>
      <c r="H218" s="286"/>
      <c r="I218" s="286"/>
      <c r="J218" s="529"/>
      <c r="K218" s="286"/>
      <c r="L218" s="286"/>
      <c r="M218" s="529"/>
      <c r="N218" s="529"/>
      <c r="O218" s="529"/>
      <c r="P218" s="529"/>
      <c r="Q218" s="529"/>
      <c r="R218" s="286"/>
      <c r="S218" s="286"/>
      <c r="T218" s="286"/>
      <c r="U218" s="286"/>
      <c r="V218" s="286"/>
      <c r="W218" s="286"/>
    </row>
    <row r="219">
      <c r="A219" s="286"/>
      <c r="B219" s="286"/>
      <c r="C219" s="529"/>
      <c r="D219" s="306"/>
      <c r="E219" s="306"/>
      <c r="F219" s="306"/>
      <c r="G219" s="286"/>
      <c r="H219" s="286"/>
      <c r="I219" s="286"/>
      <c r="J219" s="529"/>
      <c r="K219" s="286"/>
      <c r="L219" s="286"/>
      <c r="M219" s="529"/>
      <c r="N219" s="529"/>
      <c r="O219" s="529"/>
      <c r="P219" s="529"/>
      <c r="Q219" s="529"/>
      <c r="R219" s="286"/>
      <c r="S219" s="286"/>
      <c r="T219" s="286"/>
      <c r="U219" s="286"/>
      <c r="V219" s="286"/>
      <c r="W219" s="286"/>
    </row>
    <row r="220">
      <c r="A220" s="286"/>
      <c r="B220" s="286"/>
      <c r="C220" s="529"/>
      <c r="D220" s="306"/>
      <c r="E220" s="306"/>
      <c r="F220" s="306"/>
      <c r="G220" s="286"/>
      <c r="H220" s="286"/>
      <c r="I220" s="286"/>
      <c r="J220" s="529"/>
      <c r="K220" s="286"/>
      <c r="L220" s="286"/>
      <c r="M220" s="529"/>
      <c r="N220" s="529"/>
      <c r="O220" s="529"/>
      <c r="P220" s="529"/>
      <c r="Q220" s="529"/>
      <c r="R220" s="286"/>
      <c r="S220" s="286"/>
      <c r="T220" s="286"/>
      <c r="U220" s="286"/>
      <c r="V220" s="286"/>
      <c r="W220" s="286"/>
    </row>
    <row r="221">
      <c r="A221" s="286"/>
      <c r="B221" s="286"/>
      <c r="C221" s="529"/>
      <c r="D221" s="306"/>
      <c r="E221" s="306"/>
      <c r="F221" s="306"/>
      <c r="G221" s="286"/>
      <c r="H221" s="286"/>
      <c r="I221" s="286"/>
      <c r="J221" s="529"/>
      <c r="K221" s="286"/>
      <c r="L221" s="286"/>
      <c r="M221" s="529"/>
      <c r="N221" s="529"/>
      <c r="O221" s="529"/>
      <c r="P221" s="529"/>
      <c r="Q221" s="529"/>
      <c r="R221" s="286"/>
      <c r="S221" s="286"/>
      <c r="T221" s="286"/>
      <c r="U221" s="286"/>
      <c r="V221" s="286"/>
      <c r="W221" s="286"/>
    </row>
    <row r="222">
      <c r="A222" s="286"/>
      <c r="B222" s="286"/>
      <c r="C222" s="529"/>
      <c r="D222" s="306"/>
      <c r="E222" s="306"/>
      <c r="F222" s="306"/>
      <c r="G222" s="286"/>
      <c r="H222" s="286"/>
      <c r="I222" s="286"/>
      <c r="J222" s="529"/>
      <c r="K222" s="286"/>
      <c r="L222" s="286"/>
      <c r="M222" s="529"/>
      <c r="N222" s="529"/>
      <c r="O222" s="529"/>
      <c r="P222" s="529"/>
      <c r="Q222" s="529"/>
      <c r="R222" s="286"/>
      <c r="S222" s="286"/>
      <c r="T222" s="286"/>
      <c r="U222" s="286"/>
      <c r="V222" s="286"/>
      <c r="W222" s="286"/>
    </row>
    <row r="223">
      <c r="A223" s="286"/>
      <c r="B223" s="286"/>
      <c r="C223" s="529"/>
      <c r="D223" s="306"/>
      <c r="E223" s="306"/>
      <c r="F223" s="306"/>
      <c r="G223" s="286"/>
      <c r="H223" s="286"/>
      <c r="I223" s="286"/>
      <c r="J223" s="529"/>
      <c r="K223" s="286"/>
      <c r="L223" s="286"/>
      <c r="M223" s="529"/>
      <c r="N223" s="529"/>
      <c r="O223" s="529"/>
      <c r="P223" s="529"/>
      <c r="Q223" s="529"/>
      <c r="R223" s="286"/>
      <c r="S223" s="286"/>
      <c r="T223" s="286"/>
      <c r="U223" s="286"/>
      <c r="V223" s="286"/>
      <c r="W223" s="286"/>
    </row>
    <row r="224">
      <c r="A224" s="286"/>
      <c r="B224" s="286"/>
      <c r="C224" s="529"/>
      <c r="D224" s="306"/>
      <c r="E224" s="306"/>
      <c r="F224" s="306"/>
      <c r="G224" s="286"/>
      <c r="H224" s="286"/>
      <c r="I224" s="286"/>
      <c r="J224" s="529"/>
      <c r="K224" s="286"/>
      <c r="L224" s="286"/>
      <c r="M224" s="529"/>
      <c r="N224" s="529"/>
      <c r="O224" s="529"/>
      <c r="P224" s="529"/>
      <c r="Q224" s="529"/>
      <c r="R224" s="286"/>
      <c r="S224" s="286"/>
      <c r="T224" s="286"/>
      <c r="U224" s="286"/>
      <c r="V224" s="286"/>
      <c r="W224" s="286"/>
    </row>
    <row r="225">
      <c r="A225" s="286"/>
      <c r="B225" s="286"/>
      <c r="C225" s="529"/>
      <c r="D225" s="306"/>
      <c r="E225" s="306"/>
      <c r="F225" s="306"/>
      <c r="G225" s="286"/>
      <c r="H225" s="286"/>
      <c r="I225" s="286"/>
      <c r="J225" s="529"/>
      <c r="K225" s="286"/>
      <c r="L225" s="286"/>
      <c r="M225" s="529"/>
      <c r="N225" s="529"/>
      <c r="O225" s="529"/>
      <c r="P225" s="529"/>
      <c r="Q225" s="529"/>
      <c r="R225" s="286"/>
      <c r="S225" s="286"/>
      <c r="T225" s="286"/>
      <c r="U225" s="286"/>
      <c r="V225" s="286"/>
      <c r="W225" s="286"/>
    </row>
    <row r="226">
      <c r="A226" s="286"/>
      <c r="B226" s="286"/>
      <c r="C226" s="529"/>
      <c r="D226" s="306"/>
      <c r="E226" s="306"/>
      <c r="F226" s="306"/>
      <c r="G226" s="286"/>
      <c r="H226" s="286"/>
      <c r="I226" s="286"/>
      <c r="J226" s="529"/>
      <c r="K226" s="286"/>
      <c r="L226" s="286"/>
      <c r="M226" s="529"/>
      <c r="N226" s="529"/>
      <c r="O226" s="529"/>
      <c r="P226" s="529"/>
      <c r="Q226" s="529"/>
      <c r="R226" s="286"/>
      <c r="S226" s="286"/>
      <c r="T226" s="286"/>
      <c r="U226" s="286"/>
      <c r="V226" s="286"/>
      <c r="W226" s="286"/>
    </row>
    <row r="227">
      <c r="A227" s="286"/>
      <c r="B227" s="286"/>
      <c r="C227" s="529"/>
      <c r="D227" s="306"/>
      <c r="E227" s="306"/>
      <c r="F227" s="306"/>
      <c r="G227" s="286"/>
      <c r="H227" s="286"/>
      <c r="I227" s="286"/>
      <c r="J227" s="529"/>
      <c r="K227" s="286"/>
      <c r="L227" s="286"/>
      <c r="M227" s="529"/>
      <c r="N227" s="529"/>
      <c r="O227" s="529"/>
      <c r="P227" s="529"/>
      <c r="Q227" s="529"/>
      <c r="R227" s="286"/>
      <c r="S227" s="286"/>
      <c r="T227" s="286"/>
      <c r="U227" s="286"/>
      <c r="V227" s="286"/>
      <c r="W227" s="286"/>
    </row>
    <row r="228">
      <c r="A228" s="286"/>
      <c r="B228" s="286"/>
      <c r="C228" s="529"/>
      <c r="D228" s="306"/>
      <c r="E228" s="306"/>
      <c r="F228" s="306"/>
      <c r="G228" s="286"/>
      <c r="H228" s="286"/>
      <c r="I228" s="286"/>
      <c r="J228" s="529"/>
      <c r="K228" s="286"/>
      <c r="L228" s="286"/>
      <c r="M228" s="529"/>
      <c r="N228" s="529"/>
      <c r="O228" s="529"/>
      <c r="P228" s="529"/>
      <c r="Q228" s="529"/>
      <c r="R228" s="286"/>
      <c r="S228" s="286"/>
      <c r="T228" s="286"/>
      <c r="U228" s="286"/>
      <c r="V228" s="286"/>
      <c r="W228" s="286"/>
    </row>
    <row r="229">
      <c r="A229" s="286"/>
      <c r="B229" s="286"/>
      <c r="C229" s="529"/>
      <c r="D229" s="306"/>
      <c r="E229" s="306"/>
      <c r="F229" s="306"/>
      <c r="G229" s="286"/>
      <c r="H229" s="286"/>
      <c r="I229" s="286"/>
      <c r="J229" s="529"/>
      <c r="K229" s="286"/>
      <c r="L229" s="286"/>
      <c r="M229" s="529"/>
      <c r="N229" s="529"/>
      <c r="O229" s="529"/>
      <c r="P229" s="529"/>
      <c r="Q229" s="529"/>
      <c r="R229" s="286"/>
      <c r="S229" s="286"/>
      <c r="T229" s="286"/>
      <c r="U229" s="286"/>
      <c r="V229" s="286"/>
      <c r="W229" s="286"/>
    </row>
    <row r="230">
      <c r="A230" s="286"/>
      <c r="B230" s="286"/>
      <c r="C230" s="529"/>
      <c r="D230" s="306"/>
      <c r="E230" s="306"/>
      <c r="F230" s="306"/>
      <c r="G230" s="286"/>
      <c r="H230" s="286"/>
      <c r="I230" s="286"/>
      <c r="J230" s="529"/>
      <c r="K230" s="286"/>
      <c r="L230" s="286"/>
      <c r="M230" s="529"/>
      <c r="N230" s="529"/>
      <c r="O230" s="529"/>
      <c r="P230" s="529"/>
      <c r="Q230" s="529"/>
      <c r="R230" s="286"/>
      <c r="S230" s="286"/>
      <c r="T230" s="286"/>
      <c r="U230" s="286"/>
      <c r="V230" s="286"/>
      <c r="W230" s="286"/>
    </row>
    <row r="231">
      <c r="A231" s="286"/>
      <c r="B231" s="286"/>
      <c r="C231" s="529"/>
      <c r="D231" s="306"/>
      <c r="E231" s="306"/>
      <c r="F231" s="306"/>
      <c r="G231" s="286"/>
      <c r="H231" s="286"/>
      <c r="I231" s="286"/>
      <c r="J231" s="529"/>
      <c r="K231" s="286"/>
      <c r="L231" s="286"/>
      <c r="M231" s="529"/>
      <c r="N231" s="529"/>
      <c r="O231" s="529"/>
      <c r="P231" s="529"/>
      <c r="Q231" s="529"/>
      <c r="R231" s="286"/>
      <c r="S231" s="286"/>
      <c r="T231" s="286"/>
      <c r="U231" s="286"/>
      <c r="V231" s="286"/>
      <c r="W231" s="286"/>
    </row>
    <row r="232">
      <c r="A232" s="286"/>
      <c r="B232" s="286"/>
      <c r="C232" s="529"/>
      <c r="D232" s="306"/>
      <c r="E232" s="306"/>
      <c r="F232" s="306"/>
      <c r="G232" s="286"/>
      <c r="H232" s="286"/>
      <c r="I232" s="286"/>
      <c r="J232" s="529"/>
      <c r="K232" s="286"/>
      <c r="L232" s="286"/>
      <c r="M232" s="529"/>
      <c r="N232" s="529"/>
      <c r="O232" s="529"/>
      <c r="P232" s="529"/>
      <c r="Q232" s="529"/>
      <c r="R232" s="286"/>
      <c r="S232" s="286"/>
      <c r="T232" s="286"/>
      <c r="U232" s="286"/>
      <c r="V232" s="286"/>
      <c r="W232" s="286"/>
    </row>
    <row r="233">
      <c r="A233" s="286"/>
      <c r="B233" s="286"/>
      <c r="C233" s="529"/>
      <c r="D233" s="306"/>
      <c r="E233" s="306"/>
      <c r="F233" s="306"/>
      <c r="G233" s="286"/>
      <c r="H233" s="286"/>
      <c r="I233" s="286"/>
      <c r="J233" s="529"/>
      <c r="K233" s="286"/>
      <c r="L233" s="286"/>
      <c r="M233" s="529"/>
      <c r="N233" s="529"/>
      <c r="O233" s="529"/>
      <c r="P233" s="529"/>
      <c r="Q233" s="529"/>
      <c r="R233" s="286"/>
      <c r="S233" s="286"/>
      <c r="T233" s="286"/>
      <c r="U233" s="286"/>
      <c r="V233" s="286"/>
      <c r="W233" s="286"/>
    </row>
    <row r="234">
      <c r="A234" s="286"/>
      <c r="B234" s="286"/>
      <c r="C234" s="529"/>
      <c r="D234" s="306"/>
      <c r="E234" s="306"/>
      <c r="F234" s="306"/>
      <c r="G234" s="286"/>
      <c r="H234" s="286"/>
      <c r="I234" s="286"/>
      <c r="J234" s="529"/>
      <c r="K234" s="286"/>
      <c r="L234" s="286"/>
      <c r="M234" s="529"/>
      <c r="N234" s="529"/>
      <c r="O234" s="529"/>
      <c r="P234" s="529"/>
      <c r="Q234" s="529"/>
      <c r="R234" s="286"/>
      <c r="S234" s="286"/>
      <c r="T234" s="286"/>
      <c r="U234" s="286"/>
      <c r="V234" s="286"/>
      <c r="W234" s="286"/>
    </row>
    <row r="235">
      <c r="A235" s="286"/>
      <c r="B235" s="286"/>
      <c r="C235" s="529"/>
      <c r="D235" s="306"/>
      <c r="E235" s="306"/>
      <c r="F235" s="306"/>
      <c r="G235" s="286"/>
      <c r="H235" s="286"/>
      <c r="I235" s="286"/>
      <c r="J235" s="529"/>
      <c r="K235" s="286"/>
      <c r="L235" s="286"/>
      <c r="M235" s="529"/>
      <c r="N235" s="529"/>
      <c r="O235" s="529"/>
      <c r="P235" s="529"/>
      <c r="Q235" s="529"/>
      <c r="R235" s="286"/>
      <c r="S235" s="286"/>
      <c r="T235" s="286"/>
      <c r="U235" s="286"/>
      <c r="V235" s="286"/>
      <c r="W235" s="286"/>
    </row>
    <row r="236">
      <c r="A236" s="286"/>
      <c r="B236" s="286"/>
      <c r="C236" s="529"/>
      <c r="D236" s="306"/>
      <c r="E236" s="306"/>
      <c r="F236" s="306"/>
      <c r="G236" s="286"/>
      <c r="H236" s="286"/>
      <c r="I236" s="286"/>
      <c r="J236" s="529"/>
      <c r="K236" s="286"/>
      <c r="L236" s="286"/>
      <c r="M236" s="529"/>
      <c r="N236" s="529"/>
      <c r="O236" s="529"/>
      <c r="P236" s="529"/>
      <c r="Q236" s="529"/>
      <c r="R236" s="286"/>
      <c r="S236" s="286"/>
      <c r="T236" s="286"/>
      <c r="U236" s="286"/>
      <c r="V236" s="286"/>
      <c r="W236" s="286"/>
    </row>
    <row r="237">
      <c r="A237" s="286"/>
      <c r="B237" s="286"/>
      <c r="C237" s="529"/>
      <c r="D237" s="306"/>
      <c r="E237" s="306"/>
      <c r="F237" s="306"/>
      <c r="G237" s="286"/>
      <c r="H237" s="286"/>
      <c r="I237" s="286"/>
      <c r="J237" s="529"/>
      <c r="K237" s="286"/>
      <c r="L237" s="286"/>
      <c r="M237" s="529"/>
      <c r="N237" s="529"/>
      <c r="O237" s="529"/>
      <c r="P237" s="529"/>
      <c r="Q237" s="529"/>
      <c r="R237" s="286"/>
      <c r="S237" s="286"/>
      <c r="T237" s="286"/>
      <c r="U237" s="286"/>
      <c r="V237" s="286"/>
      <c r="W237" s="286"/>
    </row>
    <row r="238">
      <c r="A238" s="286"/>
      <c r="B238" s="286"/>
      <c r="C238" s="529"/>
      <c r="D238" s="306"/>
      <c r="E238" s="306"/>
      <c r="F238" s="306"/>
      <c r="G238" s="286"/>
      <c r="H238" s="286"/>
      <c r="I238" s="286"/>
      <c r="J238" s="529"/>
      <c r="K238" s="286"/>
      <c r="L238" s="286"/>
      <c r="M238" s="529"/>
      <c r="N238" s="529"/>
      <c r="O238" s="529"/>
      <c r="P238" s="529"/>
      <c r="Q238" s="529"/>
      <c r="R238" s="286"/>
      <c r="S238" s="286"/>
      <c r="T238" s="286"/>
      <c r="U238" s="286"/>
      <c r="V238" s="286"/>
      <c r="W238" s="286"/>
    </row>
    <row r="239">
      <c r="A239" s="286"/>
      <c r="B239" s="286"/>
      <c r="C239" s="529"/>
      <c r="D239" s="306"/>
      <c r="E239" s="306"/>
      <c r="F239" s="306"/>
      <c r="G239" s="286"/>
      <c r="H239" s="286"/>
      <c r="I239" s="286"/>
      <c r="J239" s="529"/>
      <c r="K239" s="286"/>
      <c r="L239" s="286"/>
      <c r="M239" s="529"/>
      <c r="N239" s="529"/>
      <c r="O239" s="529"/>
      <c r="P239" s="529"/>
      <c r="Q239" s="529"/>
      <c r="R239" s="286"/>
      <c r="S239" s="286"/>
      <c r="T239" s="286"/>
      <c r="U239" s="286"/>
      <c r="V239" s="286"/>
      <c r="W239" s="286"/>
    </row>
    <row r="240">
      <c r="A240" s="286"/>
      <c r="B240" s="286"/>
      <c r="C240" s="529"/>
      <c r="D240" s="306"/>
      <c r="E240" s="306"/>
      <c r="F240" s="306"/>
      <c r="G240" s="286"/>
      <c r="H240" s="286"/>
      <c r="I240" s="286"/>
      <c r="J240" s="529"/>
      <c r="K240" s="286"/>
      <c r="L240" s="286"/>
      <c r="M240" s="529"/>
      <c r="N240" s="529"/>
      <c r="O240" s="529"/>
      <c r="P240" s="529"/>
      <c r="Q240" s="529"/>
      <c r="R240" s="286"/>
      <c r="S240" s="286"/>
      <c r="T240" s="286"/>
      <c r="U240" s="286"/>
      <c r="V240" s="286"/>
      <c r="W240" s="286"/>
    </row>
    <row r="241">
      <c r="A241" s="286"/>
      <c r="B241" s="286"/>
      <c r="C241" s="529"/>
      <c r="D241" s="306"/>
      <c r="E241" s="306"/>
      <c r="F241" s="306"/>
      <c r="G241" s="286"/>
      <c r="H241" s="286"/>
      <c r="I241" s="286"/>
      <c r="J241" s="529"/>
      <c r="K241" s="286"/>
      <c r="L241" s="286"/>
      <c r="M241" s="529"/>
      <c r="N241" s="529"/>
      <c r="O241" s="529"/>
      <c r="P241" s="529"/>
      <c r="Q241" s="529"/>
      <c r="R241" s="286"/>
      <c r="S241" s="286"/>
      <c r="T241" s="286"/>
      <c r="U241" s="286"/>
      <c r="V241" s="286"/>
      <c r="W241" s="286"/>
    </row>
    <row r="242">
      <c r="A242" s="286"/>
      <c r="B242" s="286"/>
      <c r="C242" s="529"/>
      <c r="D242" s="306"/>
      <c r="E242" s="306"/>
      <c r="F242" s="306"/>
      <c r="G242" s="286"/>
      <c r="H242" s="286"/>
      <c r="I242" s="286"/>
      <c r="J242" s="529"/>
      <c r="K242" s="286"/>
      <c r="L242" s="286"/>
      <c r="M242" s="529"/>
      <c r="N242" s="529"/>
      <c r="O242" s="529"/>
      <c r="P242" s="529"/>
      <c r="Q242" s="529"/>
      <c r="R242" s="286"/>
      <c r="S242" s="286"/>
      <c r="T242" s="286"/>
      <c r="U242" s="286"/>
      <c r="V242" s="286"/>
      <c r="W242" s="286"/>
    </row>
    <row r="243">
      <c r="A243" s="286"/>
      <c r="B243" s="286"/>
      <c r="C243" s="529"/>
      <c r="D243" s="306"/>
      <c r="E243" s="306"/>
      <c r="F243" s="306"/>
      <c r="G243" s="286"/>
      <c r="H243" s="286"/>
      <c r="I243" s="286"/>
      <c r="J243" s="529"/>
      <c r="K243" s="286"/>
      <c r="L243" s="286"/>
      <c r="M243" s="529"/>
      <c r="N243" s="529"/>
      <c r="O243" s="529"/>
      <c r="P243" s="529"/>
      <c r="Q243" s="529"/>
      <c r="R243" s="286"/>
      <c r="S243" s="286"/>
      <c r="T243" s="286"/>
      <c r="U243" s="286"/>
      <c r="V243" s="286"/>
      <c r="W243" s="286"/>
    </row>
    <row r="244">
      <c r="A244" s="286"/>
      <c r="B244" s="286"/>
      <c r="C244" s="529"/>
      <c r="D244" s="306"/>
      <c r="E244" s="306"/>
      <c r="F244" s="306"/>
      <c r="G244" s="286"/>
      <c r="H244" s="286"/>
      <c r="I244" s="286"/>
      <c r="J244" s="529"/>
      <c r="K244" s="286"/>
      <c r="L244" s="286"/>
      <c r="M244" s="529"/>
      <c r="N244" s="529"/>
      <c r="O244" s="529"/>
      <c r="P244" s="529"/>
      <c r="Q244" s="529"/>
      <c r="R244" s="286"/>
      <c r="S244" s="286"/>
      <c r="T244" s="286"/>
      <c r="U244" s="286"/>
      <c r="V244" s="286"/>
      <c r="W244" s="286"/>
    </row>
    <row r="245">
      <c r="A245" s="286"/>
      <c r="B245" s="286"/>
      <c r="C245" s="529"/>
      <c r="D245" s="306"/>
      <c r="E245" s="306"/>
      <c r="F245" s="306"/>
      <c r="G245" s="286"/>
      <c r="H245" s="286"/>
      <c r="I245" s="286"/>
      <c r="J245" s="529"/>
      <c r="K245" s="286"/>
      <c r="L245" s="286"/>
      <c r="M245" s="529"/>
      <c r="N245" s="529"/>
      <c r="O245" s="529"/>
      <c r="P245" s="529"/>
      <c r="Q245" s="529"/>
      <c r="R245" s="286"/>
      <c r="S245" s="286"/>
      <c r="T245" s="286"/>
      <c r="U245" s="286"/>
      <c r="V245" s="286"/>
      <c r="W245" s="286"/>
    </row>
    <row r="246">
      <c r="A246" s="286"/>
      <c r="B246" s="286"/>
      <c r="C246" s="529"/>
      <c r="D246" s="306"/>
      <c r="E246" s="306"/>
      <c r="F246" s="306"/>
      <c r="G246" s="286"/>
      <c r="H246" s="286"/>
      <c r="I246" s="286"/>
      <c r="J246" s="529"/>
      <c r="K246" s="286"/>
      <c r="L246" s="286"/>
      <c r="M246" s="529"/>
      <c r="N246" s="529"/>
      <c r="O246" s="529"/>
      <c r="P246" s="529"/>
      <c r="Q246" s="529"/>
      <c r="R246" s="286"/>
      <c r="S246" s="286"/>
      <c r="T246" s="286"/>
      <c r="U246" s="286"/>
      <c r="V246" s="286"/>
      <c r="W246" s="286"/>
    </row>
    <row r="247">
      <c r="A247" s="286"/>
      <c r="B247" s="286"/>
      <c r="C247" s="529"/>
      <c r="D247" s="306"/>
      <c r="E247" s="306"/>
      <c r="F247" s="306"/>
      <c r="G247" s="286"/>
      <c r="H247" s="286"/>
      <c r="I247" s="286"/>
      <c r="J247" s="529"/>
      <c r="K247" s="286"/>
      <c r="L247" s="286"/>
      <c r="M247" s="529"/>
      <c r="N247" s="529"/>
      <c r="O247" s="529"/>
      <c r="P247" s="529"/>
      <c r="Q247" s="529"/>
      <c r="R247" s="286"/>
      <c r="S247" s="286"/>
      <c r="T247" s="286"/>
      <c r="U247" s="286"/>
      <c r="V247" s="286"/>
      <c r="W247" s="286"/>
    </row>
    <row r="248">
      <c r="A248" s="286"/>
      <c r="B248" s="286"/>
      <c r="C248" s="529"/>
      <c r="D248" s="306"/>
      <c r="E248" s="306"/>
      <c r="F248" s="306"/>
      <c r="G248" s="286"/>
      <c r="H248" s="286"/>
      <c r="I248" s="286"/>
      <c r="J248" s="529"/>
      <c r="K248" s="286"/>
      <c r="L248" s="286"/>
      <c r="M248" s="529"/>
      <c r="N248" s="529"/>
      <c r="O248" s="529"/>
      <c r="P248" s="529"/>
      <c r="Q248" s="529"/>
      <c r="R248" s="286"/>
      <c r="S248" s="286"/>
      <c r="T248" s="286"/>
      <c r="U248" s="286"/>
      <c r="V248" s="286"/>
      <c r="W248" s="286"/>
    </row>
    <row r="249">
      <c r="A249" s="286"/>
      <c r="B249" s="286"/>
      <c r="C249" s="529"/>
      <c r="D249" s="306"/>
      <c r="E249" s="306"/>
      <c r="F249" s="306"/>
      <c r="G249" s="286"/>
      <c r="H249" s="286"/>
      <c r="I249" s="286"/>
      <c r="J249" s="529"/>
      <c r="K249" s="286"/>
      <c r="L249" s="286"/>
      <c r="M249" s="529"/>
      <c r="N249" s="529"/>
      <c r="O249" s="529"/>
      <c r="P249" s="529"/>
      <c r="Q249" s="529"/>
      <c r="R249" s="286"/>
      <c r="S249" s="286"/>
      <c r="T249" s="286"/>
      <c r="U249" s="286"/>
      <c r="V249" s="286"/>
      <c r="W249" s="286"/>
    </row>
    <row r="250">
      <c r="A250" s="286"/>
      <c r="B250" s="286"/>
      <c r="C250" s="529"/>
      <c r="D250" s="306"/>
      <c r="E250" s="306"/>
      <c r="F250" s="306"/>
      <c r="G250" s="286"/>
      <c r="H250" s="286"/>
      <c r="I250" s="286"/>
      <c r="J250" s="529"/>
      <c r="K250" s="286"/>
      <c r="L250" s="286"/>
      <c r="M250" s="529"/>
      <c r="N250" s="529"/>
      <c r="O250" s="529"/>
      <c r="P250" s="529"/>
      <c r="Q250" s="529"/>
      <c r="R250" s="286"/>
      <c r="S250" s="286"/>
      <c r="T250" s="286"/>
      <c r="U250" s="286"/>
      <c r="V250" s="286"/>
      <c r="W250" s="286"/>
    </row>
    <row r="251">
      <c r="A251" s="286"/>
      <c r="B251" s="286"/>
      <c r="C251" s="529"/>
      <c r="D251" s="306"/>
      <c r="E251" s="306"/>
      <c r="F251" s="306"/>
      <c r="G251" s="286"/>
      <c r="H251" s="286"/>
      <c r="I251" s="286"/>
      <c r="J251" s="529"/>
      <c r="K251" s="286"/>
      <c r="L251" s="286"/>
      <c r="M251" s="529"/>
      <c r="N251" s="529"/>
      <c r="O251" s="529"/>
      <c r="P251" s="529"/>
      <c r="Q251" s="529"/>
      <c r="R251" s="286"/>
      <c r="S251" s="286"/>
      <c r="T251" s="286"/>
      <c r="U251" s="286"/>
      <c r="V251" s="286"/>
      <c r="W251" s="286"/>
    </row>
    <row r="252">
      <c r="A252" s="286"/>
      <c r="B252" s="286"/>
      <c r="C252" s="529"/>
      <c r="D252" s="306"/>
      <c r="E252" s="306"/>
      <c r="F252" s="306"/>
      <c r="G252" s="286"/>
      <c r="H252" s="286"/>
      <c r="I252" s="286"/>
      <c r="J252" s="529"/>
      <c r="K252" s="286"/>
      <c r="L252" s="286"/>
      <c r="M252" s="529"/>
      <c r="N252" s="529"/>
      <c r="O252" s="529"/>
      <c r="P252" s="529"/>
      <c r="Q252" s="529"/>
      <c r="R252" s="286"/>
      <c r="S252" s="286"/>
      <c r="T252" s="286"/>
      <c r="U252" s="286"/>
      <c r="V252" s="286"/>
      <c r="W252" s="286"/>
    </row>
    <row r="253">
      <c r="A253" s="286"/>
      <c r="B253" s="286"/>
      <c r="C253" s="529"/>
      <c r="D253" s="306"/>
      <c r="E253" s="306"/>
      <c r="F253" s="306"/>
      <c r="G253" s="286"/>
      <c r="H253" s="286"/>
      <c r="I253" s="286"/>
      <c r="J253" s="529"/>
      <c r="K253" s="286"/>
      <c r="L253" s="286"/>
      <c r="M253" s="529"/>
      <c r="N253" s="529"/>
      <c r="O253" s="529"/>
      <c r="P253" s="529"/>
      <c r="Q253" s="529"/>
      <c r="R253" s="286"/>
      <c r="S253" s="286"/>
      <c r="T253" s="286"/>
      <c r="U253" s="286"/>
      <c r="V253" s="286"/>
      <c r="W253" s="286"/>
    </row>
    <row r="254">
      <c r="A254" s="286"/>
      <c r="B254" s="286"/>
      <c r="C254" s="529"/>
      <c r="D254" s="306"/>
      <c r="E254" s="306"/>
      <c r="F254" s="306"/>
      <c r="G254" s="286"/>
      <c r="H254" s="286"/>
      <c r="I254" s="286"/>
      <c r="J254" s="529"/>
      <c r="K254" s="286"/>
      <c r="L254" s="286"/>
      <c r="M254" s="529"/>
      <c r="N254" s="529"/>
      <c r="O254" s="529"/>
      <c r="P254" s="529"/>
      <c r="Q254" s="529"/>
      <c r="R254" s="286"/>
      <c r="S254" s="286"/>
      <c r="T254" s="286"/>
      <c r="U254" s="286"/>
      <c r="V254" s="286"/>
      <c r="W254" s="286"/>
    </row>
    <row r="255">
      <c r="A255" s="286"/>
      <c r="B255" s="286"/>
      <c r="C255" s="529"/>
      <c r="D255" s="306"/>
      <c r="E255" s="306"/>
      <c r="F255" s="306"/>
      <c r="G255" s="286"/>
      <c r="H255" s="286"/>
      <c r="I255" s="286"/>
      <c r="J255" s="529"/>
      <c r="K255" s="286"/>
      <c r="L255" s="286"/>
      <c r="M255" s="529"/>
      <c r="N255" s="529"/>
      <c r="O255" s="529"/>
      <c r="P255" s="529"/>
      <c r="Q255" s="529"/>
      <c r="R255" s="286"/>
      <c r="S255" s="286"/>
      <c r="T255" s="286"/>
      <c r="U255" s="286"/>
      <c r="V255" s="286"/>
      <c r="W255" s="286"/>
    </row>
    <row r="256">
      <c r="A256" s="286"/>
      <c r="B256" s="286"/>
      <c r="C256" s="529"/>
      <c r="D256" s="306"/>
      <c r="E256" s="306"/>
      <c r="F256" s="306"/>
      <c r="G256" s="286"/>
      <c r="H256" s="286"/>
      <c r="I256" s="286"/>
      <c r="J256" s="529"/>
      <c r="K256" s="286"/>
      <c r="L256" s="286"/>
      <c r="M256" s="529"/>
      <c r="N256" s="529"/>
      <c r="O256" s="529"/>
      <c r="P256" s="529"/>
      <c r="Q256" s="529"/>
      <c r="R256" s="286"/>
      <c r="S256" s="286"/>
      <c r="T256" s="286"/>
      <c r="U256" s="286"/>
      <c r="V256" s="286"/>
      <c r="W256" s="286"/>
    </row>
    <row r="257">
      <c r="A257" s="286"/>
      <c r="B257" s="286"/>
      <c r="C257" s="529"/>
      <c r="D257" s="306"/>
      <c r="E257" s="306"/>
      <c r="F257" s="306"/>
      <c r="G257" s="286"/>
      <c r="H257" s="286"/>
      <c r="I257" s="286"/>
      <c r="J257" s="529"/>
      <c r="K257" s="286"/>
      <c r="L257" s="286"/>
      <c r="M257" s="529"/>
      <c r="N257" s="529"/>
      <c r="O257" s="529"/>
      <c r="P257" s="529"/>
      <c r="Q257" s="529"/>
      <c r="R257" s="286"/>
      <c r="S257" s="286"/>
      <c r="T257" s="286"/>
      <c r="U257" s="286"/>
      <c r="V257" s="286"/>
      <c r="W257" s="286"/>
    </row>
    <row r="258">
      <c r="A258" s="286"/>
      <c r="B258" s="286"/>
      <c r="C258" s="529"/>
      <c r="D258" s="306"/>
      <c r="E258" s="306"/>
      <c r="F258" s="306"/>
      <c r="G258" s="286"/>
      <c r="H258" s="286"/>
      <c r="I258" s="286"/>
      <c r="J258" s="529"/>
      <c r="K258" s="286"/>
      <c r="L258" s="286"/>
      <c r="M258" s="529"/>
      <c r="N258" s="529"/>
      <c r="O258" s="529"/>
      <c r="P258" s="529"/>
      <c r="Q258" s="529"/>
      <c r="R258" s="286"/>
      <c r="S258" s="286"/>
      <c r="T258" s="286"/>
      <c r="U258" s="286"/>
      <c r="V258" s="286"/>
      <c r="W258" s="286"/>
    </row>
    <row r="259">
      <c r="A259" s="286"/>
      <c r="B259" s="286"/>
      <c r="C259" s="529"/>
      <c r="D259" s="306"/>
      <c r="E259" s="306"/>
      <c r="F259" s="306"/>
      <c r="G259" s="286"/>
      <c r="H259" s="286"/>
      <c r="I259" s="286"/>
      <c r="J259" s="529"/>
      <c r="K259" s="286"/>
      <c r="L259" s="286"/>
      <c r="M259" s="529"/>
      <c r="N259" s="529"/>
      <c r="O259" s="529"/>
      <c r="P259" s="529"/>
      <c r="Q259" s="529"/>
      <c r="R259" s="286"/>
      <c r="S259" s="286"/>
      <c r="T259" s="286"/>
      <c r="U259" s="286"/>
      <c r="V259" s="286"/>
      <c r="W259" s="286"/>
    </row>
    <row r="260">
      <c r="A260" s="286"/>
      <c r="B260" s="286"/>
      <c r="C260" s="529"/>
      <c r="D260" s="306"/>
      <c r="E260" s="306"/>
      <c r="F260" s="306"/>
      <c r="G260" s="286"/>
      <c r="H260" s="286"/>
      <c r="I260" s="286"/>
      <c r="J260" s="529"/>
      <c r="K260" s="286"/>
      <c r="L260" s="286"/>
      <c r="M260" s="529"/>
      <c r="N260" s="529"/>
      <c r="O260" s="529"/>
      <c r="P260" s="529"/>
      <c r="Q260" s="529"/>
      <c r="R260" s="286"/>
      <c r="S260" s="286"/>
      <c r="T260" s="286"/>
      <c r="U260" s="286"/>
      <c r="V260" s="286"/>
      <c r="W260" s="286"/>
    </row>
    <row r="261">
      <c r="A261" s="286"/>
      <c r="B261" s="286"/>
      <c r="C261" s="529"/>
      <c r="D261" s="306"/>
      <c r="E261" s="306"/>
      <c r="F261" s="306"/>
      <c r="G261" s="286"/>
      <c r="H261" s="286"/>
      <c r="I261" s="286"/>
      <c r="J261" s="529"/>
      <c r="K261" s="286"/>
      <c r="L261" s="286"/>
      <c r="M261" s="529"/>
      <c r="N261" s="529"/>
      <c r="O261" s="529"/>
      <c r="P261" s="529"/>
      <c r="Q261" s="529"/>
      <c r="R261" s="286"/>
      <c r="S261" s="286"/>
      <c r="T261" s="286"/>
      <c r="U261" s="286"/>
      <c r="V261" s="286"/>
      <c r="W261" s="286"/>
    </row>
    <row r="262">
      <c r="A262" s="286"/>
      <c r="B262" s="286"/>
      <c r="C262" s="529"/>
      <c r="D262" s="306"/>
      <c r="E262" s="306"/>
      <c r="F262" s="306"/>
      <c r="G262" s="286"/>
      <c r="H262" s="286"/>
      <c r="I262" s="286"/>
      <c r="J262" s="529"/>
      <c r="K262" s="286"/>
      <c r="L262" s="286"/>
      <c r="M262" s="529"/>
      <c r="N262" s="529"/>
      <c r="O262" s="529"/>
      <c r="P262" s="529"/>
      <c r="Q262" s="529"/>
      <c r="R262" s="286"/>
      <c r="S262" s="286"/>
      <c r="T262" s="286"/>
      <c r="U262" s="286"/>
      <c r="V262" s="286"/>
      <c r="W262" s="286"/>
    </row>
    <row r="263">
      <c r="A263" s="286"/>
      <c r="B263" s="286"/>
      <c r="C263" s="529"/>
      <c r="D263" s="306"/>
      <c r="E263" s="306"/>
      <c r="F263" s="306"/>
      <c r="G263" s="286"/>
      <c r="H263" s="286"/>
      <c r="I263" s="286"/>
      <c r="J263" s="529"/>
      <c r="K263" s="286"/>
      <c r="L263" s="286"/>
      <c r="M263" s="529"/>
      <c r="N263" s="529"/>
      <c r="O263" s="529"/>
      <c r="P263" s="529"/>
      <c r="Q263" s="529"/>
      <c r="R263" s="286"/>
      <c r="S263" s="286"/>
      <c r="T263" s="286"/>
      <c r="U263" s="286"/>
      <c r="V263" s="286"/>
      <c r="W263" s="286"/>
    </row>
    <row r="264">
      <c r="A264" s="286"/>
      <c r="B264" s="286"/>
      <c r="C264" s="529"/>
      <c r="D264" s="306"/>
      <c r="E264" s="306"/>
      <c r="F264" s="306"/>
      <c r="G264" s="286"/>
      <c r="H264" s="286"/>
      <c r="I264" s="286"/>
      <c r="J264" s="529"/>
      <c r="K264" s="286"/>
      <c r="L264" s="286"/>
      <c r="M264" s="529"/>
      <c r="N264" s="529"/>
      <c r="O264" s="529"/>
      <c r="P264" s="529"/>
      <c r="Q264" s="529"/>
      <c r="R264" s="286"/>
      <c r="S264" s="286"/>
      <c r="T264" s="286"/>
      <c r="U264" s="286"/>
      <c r="V264" s="286"/>
      <c r="W264" s="286"/>
    </row>
    <row r="265">
      <c r="A265" s="286"/>
      <c r="B265" s="286"/>
      <c r="C265" s="529"/>
      <c r="D265" s="306"/>
      <c r="E265" s="306"/>
      <c r="F265" s="306"/>
      <c r="G265" s="286"/>
      <c r="H265" s="286"/>
      <c r="I265" s="286"/>
      <c r="J265" s="529"/>
      <c r="K265" s="286"/>
      <c r="L265" s="286"/>
      <c r="M265" s="529"/>
      <c r="N265" s="529"/>
      <c r="O265" s="529"/>
      <c r="P265" s="529"/>
      <c r="Q265" s="529"/>
      <c r="R265" s="286"/>
      <c r="S265" s="286"/>
      <c r="T265" s="286"/>
      <c r="U265" s="286"/>
      <c r="V265" s="286"/>
      <c r="W265" s="286"/>
    </row>
    <row r="266">
      <c r="A266" s="286"/>
      <c r="B266" s="286"/>
      <c r="C266" s="529"/>
      <c r="D266" s="306"/>
      <c r="E266" s="306"/>
      <c r="F266" s="306"/>
      <c r="G266" s="286"/>
      <c r="H266" s="286"/>
      <c r="I266" s="286"/>
      <c r="J266" s="529"/>
      <c r="K266" s="286"/>
      <c r="L266" s="286"/>
      <c r="M266" s="529"/>
      <c r="N266" s="529"/>
      <c r="O266" s="529"/>
      <c r="P266" s="529"/>
      <c r="Q266" s="529"/>
      <c r="R266" s="286"/>
      <c r="S266" s="286"/>
      <c r="T266" s="286"/>
      <c r="U266" s="286"/>
      <c r="V266" s="286"/>
      <c r="W266" s="286"/>
    </row>
    <row r="267">
      <c r="A267" s="286"/>
      <c r="B267" s="286"/>
      <c r="C267" s="529"/>
      <c r="D267" s="306"/>
      <c r="E267" s="306"/>
      <c r="F267" s="306"/>
      <c r="G267" s="286"/>
      <c r="H267" s="286"/>
      <c r="I267" s="286"/>
      <c r="J267" s="529"/>
      <c r="K267" s="286"/>
      <c r="L267" s="286"/>
      <c r="M267" s="529"/>
      <c r="N267" s="529"/>
      <c r="O267" s="529"/>
      <c r="P267" s="529"/>
      <c r="Q267" s="529"/>
      <c r="R267" s="286"/>
      <c r="S267" s="286"/>
      <c r="T267" s="286"/>
      <c r="U267" s="286"/>
      <c r="V267" s="286"/>
      <c r="W267" s="286"/>
    </row>
    <row r="268">
      <c r="A268" s="286"/>
      <c r="B268" s="286"/>
      <c r="C268" s="529"/>
      <c r="D268" s="306"/>
      <c r="E268" s="306"/>
      <c r="F268" s="306"/>
      <c r="G268" s="286"/>
      <c r="H268" s="286"/>
      <c r="I268" s="286"/>
      <c r="J268" s="529"/>
      <c r="K268" s="286"/>
      <c r="L268" s="286"/>
      <c r="M268" s="529"/>
      <c r="N268" s="529"/>
      <c r="O268" s="529"/>
      <c r="P268" s="529"/>
      <c r="Q268" s="529"/>
      <c r="R268" s="286"/>
      <c r="S268" s="286"/>
      <c r="T268" s="286"/>
      <c r="U268" s="286"/>
      <c r="V268" s="286"/>
      <c r="W268" s="286"/>
    </row>
    <row r="269">
      <c r="A269" s="286"/>
      <c r="B269" s="286"/>
      <c r="C269" s="529"/>
      <c r="D269" s="306"/>
      <c r="E269" s="306"/>
      <c r="F269" s="306"/>
      <c r="G269" s="286"/>
      <c r="H269" s="286"/>
      <c r="I269" s="286"/>
      <c r="J269" s="529"/>
      <c r="K269" s="286"/>
      <c r="L269" s="286"/>
      <c r="M269" s="529"/>
      <c r="N269" s="529"/>
      <c r="O269" s="529"/>
      <c r="P269" s="529"/>
      <c r="Q269" s="529"/>
      <c r="R269" s="286"/>
      <c r="S269" s="286"/>
      <c r="T269" s="286"/>
      <c r="U269" s="286"/>
      <c r="V269" s="286"/>
      <c r="W269" s="286"/>
    </row>
    <row r="270">
      <c r="A270" s="286"/>
      <c r="B270" s="286"/>
      <c r="C270" s="529"/>
      <c r="D270" s="306"/>
      <c r="E270" s="306"/>
      <c r="F270" s="306"/>
      <c r="G270" s="286"/>
      <c r="H270" s="286"/>
      <c r="I270" s="286"/>
      <c r="J270" s="529"/>
      <c r="K270" s="286"/>
      <c r="L270" s="286"/>
      <c r="M270" s="529"/>
      <c r="N270" s="529"/>
      <c r="O270" s="529"/>
      <c r="P270" s="529"/>
      <c r="Q270" s="529"/>
      <c r="R270" s="286"/>
      <c r="S270" s="286"/>
      <c r="T270" s="286"/>
      <c r="U270" s="286"/>
      <c r="V270" s="286"/>
      <c r="W270" s="286"/>
    </row>
    <row r="271">
      <c r="A271" s="286"/>
      <c r="B271" s="286"/>
      <c r="C271" s="529"/>
      <c r="D271" s="306"/>
      <c r="E271" s="306"/>
      <c r="F271" s="306"/>
      <c r="G271" s="286"/>
      <c r="H271" s="286"/>
      <c r="I271" s="286"/>
      <c r="J271" s="529"/>
      <c r="K271" s="286"/>
      <c r="L271" s="286"/>
      <c r="M271" s="529"/>
      <c r="N271" s="529"/>
      <c r="O271" s="529"/>
      <c r="P271" s="529"/>
      <c r="Q271" s="529"/>
      <c r="R271" s="286"/>
      <c r="S271" s="286"/>
      <c r="T271" s="286"/>
      <c r="U271" s="286"/>
      <c r="V271" s="286"/>
      <c r="W271" s="286"/>
    </row>
    <row r="272">
      <c r="A272" s="286"/>
      <c r="B272" s="286"/>
      <c r="C272" s="529"/>
      <c r="D272" s="306"/>
      <c r="E272" s="306"/>
      <c r="F272" s="306"/>
      <c r="G272" s="286"/>
      <c r="H272" s="286"/>
      <c r="I272" s="286"/>
      <c r="J272" s="529"/>
      <c r="K272" s="286"/>
      <c r="L272" s="286"/>
      <c r="M272" s="529"/>
      <c r="N272" s="529"/>
      <c r="O272" s="529"/>
      <c r="P272" s="529"/>
      <c r="Q272" s="529"/>
      <c r="R272" s="286"/>
      <c r="S272" s="286"/>
      <c r="T272" s="286"/>
      <c r="U272" s="286"/>
      <c r="V272" s="286"/>
      <c r="W272" s="286"/>
    </row>
    <row r="273">
      <c r="A273" s="286"/>
      <c r="B273" s="286"/>
      <c r="C273" s="529"/>
      <c r="D273" s="306"/>
      <c r="E273" s="306"/>
      <c r="F273" s="306"/>
      <c r="G273" s="286"/>
      <c r="H273" s="286"/>
      <c r="I273" s="286"/>
      <c r="J273" s="529"/>
      <c r="K273" s="286"/>
      <c r="L273" s="286"/>
      <c r="M273" s="529"/>
      <c r="N273" s="529"/>
      <c r="O273" s="529"/>
      <c r="P273" s="529"/>
      <c r="Q273" s="529"/>
      <c r="R273" s="286"/>
      <c r="S273" s="286"/>
      <c r="T273" s="286"/>
      <c r="U273" s="286"/>
      <c r="V273" s="286"/>
      <c r="W273" s="286"/>
    </row>
    <row r="274">
      <c r="A274" s="286"/>
      <c r="B274" s="286"/>
      <c r="C274" s="529"/>
      <c r="D274" s="306"/>
      <c r="E274" s="306"/>
      <c r="F274" s="306"/>
      <c r="G274" s="286"/>
      <c r="H274" s="286"/>
      <c r="I274" s="286"/>
      <c r="J274" s="529"/>
      <c r="K274" s="286"/>
      <c r="L274" s="286"/>
      <c r="M274" s="529"/>
      <c r="N274" s="529"/>
      <c r="O274" s="529"/>
      <c r="P274" s="529"/>
      <c r="Q274" s="529"/>
      <c r="R274" s="286"/>
      <c r="S274" s="286"/>
      <c r="T274" s="286"/>
      <c r="U274" s="286"/>
      <c r="V274" s="286"/>
      <c r="W274" s="286"/>
    </row>
    <row r="275">
      <c r="A275" s="286"/>
      <c r="B275" s="286"/>
      <c r="C275" s="529"/>
      <c r="D275" s="306"/>
      <c r="E275" s="306"/>
      <c r="F275" s="306"/>
      <c r="G275" s="286"/>
      <c r="H275" s="286"/>
      <c r="I275" s="286"/>
      <c r="J275" s="529"/>
      <c r="K275" s="286"/>
      <c r="L275" s="286"/>
      <c r="M275" s="529"/>
      <c r="N275" s="529"/>
      <c r="O275" s="529"/>
      <c r="P275" s="529"/>
      <c r="Q275" s="529"/>
      <c r="R275" s="286"/>
      <c r="S275" s="286"/>
      <c r="T275" s="286"/>
      <c r="U275" s="286"/>
      <c r="V275" s="286"/>
      <c r="W275" s="286"/>
    </row>
    <row r="276">
      <c r="A276" s="286"/>
      <c r="B276" s="286"/>
      <c r="C276" s="529"/>
      <c r="D276" s="306"/>
      <c r="E276" s="306"/>
      <c r="F276" s="306"/>
      <c r="G276" s="286"/>
      <c r="H276" s="286"/>
      <c r="I276" s="286"/>
      <c r="J276" s="529"/>
      <c r="K276" s="286"/>
      <c r="L276" s="286"/>
      <c r="M276" s="529"/>
      <c r="N276" s="529"/>
      <c r="O276" s="529"/>
      <c r="P276" s="529"/>
      <c r="Q276" s="529"/>
      <c r="R276" s="286"/>
      <c r="S276" s="286"/>
      <c r="T276" s="286"/>
      <c r="U276" s="286"/>
      <c r="V276" s="286"/>
      <c r="W276" s="286"/>
    </row>
    <row r="277">
      <c r="A277" s="286"/>
      <c r="B277" s="286"/>
      <c r="C277" s="529"/>
      <c r="D277" s="306"/>
      <c r="E277" s="306"/>
      <c r="F277" s="306"/>
      <c r="G277" s="286"/>
      <c r="H277" s="286"/>
      <c r="I277" s="286"/>
      <c r="J277" s="529"/>
      <c r="K277" s="286"/>
      <c r="L277" s="286"/>
      <c r="M277" s="529"/>
      <c r="N277" s="529"/>
      <c r="O277" s="529"/>
      <c r="P277" s="529"/>
      <c r="Q277" s="529"/>
      <c r="R277" s="286"/>
      <c r="S277" s="286"/>
      <c r="T277" s="286"/>
      <c r="U277" s="286"/>
      <c r="V277" s="286"/>
      <c r="W277" s="286"/>
    </row>
    <row r="278">
      <c r="A278" s="286"/>
      <c r="B278" s="286"/>
      <c r="C278" s="529"/>
      <c r="D278" s="306"/>
      <c r="E278" s="306"/>
      <c r="F278" s="306"/>
      <c r="G278" s="286"/>
      <c r="H278" s="286"/>
      <c r="I278" s="286"/>
      <c r="J278" s="529"/>
      <c r="K278" s="286"/>
      <c r="L278" s="286"/>
      <c r="M278" s="529"/>
      <c r="N278" s="529"/>
      <c r="O278" s="529"/>
      <c r="P278" s="529"/>
      <c r="Q278" s="529"/>
      <c r="R278" s="286"/>
      <c r="S278" s="286"/>
      <c r="T278" s="286"/>
      <c r="U278" s="286"/>
      <c r="V278" s="286"/>
      <c r="W278" s="286"/>
    </row>
    <row r="279">
      <c r="A279" s="286"/>
      <c r="B279" s="286"/>
      <c r="C279" s="529"/>
      <c r="D279" s="306"/>
      <c r="E279" s="306"/>
      <c r="F279" s="306"/>
      <c r="G279" s="286"/>
      <c r="H279" s="286"/>
      <c r="I279" s="286"/>
      <c r="J279" s="529"/>
      <c r="K279" s="286"/>
      <c r="L279" s="286"/>
      <c r="M279" s="529"/>
      <c r="N279" s="529"/>
      <c r="O279" s="529"/>
      <c r="P279" s="529"/>
      <c r="Q279" s="529"/>
      <c r="R279" s="286"/>
      <c r="S279" s="286"/>
      <c r="T279" s="286"/>
      <c r="U279" s="286"/>
      <c r="V279" s="286"/>
      <c r="W279" s="286"/>
    </row>
    <row r="280">
      <c r="A280" s="286"/>
      <c r="B280" s="286"/>
      <c r="C280" s="529"/>
      <c r="D280" s="306"/>
      <c r="E280" s="306"/>
      <c r="F280" s="306"/>
      <c r="G280" s="286"/>
      <c r="H280" s="286"/>
      <c r="I280" s="286"/>
      <c r="J280" s="529"/>
      <c r="K280" s="286"/>
      <c r="L280" s="286"/>
      <c r="M280" s="529"/>
      <c r="N280" s="529"/>
      <c r="O280" s="529"/>
      <c r="P280" s="529"/>
      <c r="Q280" s="529"/>
      <c r="R280" s="286"/>
      <c r="S280" s="286"/>
      <c r="T280" s="286"/>
      <c r="U280" s="286"/>
      <c r="V280" s="286"/>
      <c r="W280" s="286"/>
    </row>
    <row r="281">
      <c r="A281" s="286"/>
      <c r="B281" s="286"/>
      <c r="C281" s="529"/>
      <c r="D281" s="306"/>
      <c r="E281" s="306"/>
      <c r="F281" s="306"/>
      <c r="G281" s="286"/>
      <c r="H281" s="286"/>
      <c r="I281" s="286"/>
      <c r="J281" s="529"/>
      <c r="K281" s="286"/>
      <c r="L281" s="286"/>
      <c r="M281" s="529"/>
      <c r="N281" s="529"/>
      <c r="O281" s="529"/>
      <c r="P281" s="529"/>
      <c r="Q281" s="529"/>
      <c r="R281" s="286"/>
      <c r="S281" s="286"/>
      <c r="T281" s="286"/>
      <c r="U281" s="286"/>
      <c r="V281" s="286"/>
      <c r="W281" s="286"/>
    </row>
    <row r="282">
      <c r="A282" s="286"/>
      <c r="B282" s="286"/>
      <c r="C282" s="529"/>
      <c r="D282" s="306"/>
      <c r="E282" s="306"/>
      <c r="F282" s="306"/>
      <c r="G282" s="286"/>
      <c r="H282" s="286"/>
      <c r="I282" s="286"/>
      <c r="J282" s="529"/>
      <c r="K282" s="286"/>
      <c r="L282" s="286"/>
      <c r="M282" s="529"/>
      <c r="N282" s="529"/>
      <c r="O282" s="529"/>
      <c r="P282" s="529"/>
      <c r="Q282" s="529"/>
      <c r="R282" s="286"/>
      <c r="S282" s="286"/>
      <c r="T282" s="286"/>
      <c r="U282" s="286"/>
      <c r="V282" s="286"/>
      <c r="W282" s="286"/>
    </row>
    <row r="283">
      <c r="A283" s="286"/>
      <c r="B283" s="286"/>
      <c r="C283" s="529"/>
      <c r="D283" s="306"/>
      <c r="E283" s="306"/>
      <c r="F283" s="306"/>
      <c r="G283" s="286"/>
      <c r="H283" s="286"/>
      <c r="I283" s="286"/>
      <c r="J283" s="529"/>
      <c r="K283" s="286"/>
      <c r="L283" s="286"/>
      <c r="M283" s="529"/>
      <c r="N283" s="529"/>
      <c r="O283" s="529"/>
      <c r="P283" s="529"/>
      <c r="Q283" s="529"/>
      <c r="R283" s="286"/>
      <c r="S283" s="286"/>
      <c r="T283" s="286"/>
      <c r="U283" s="286"/>
      <c r="V283" s="286"/>
      <c r="W283" s="286"/>
    </row>
    <row r="284">
      <c r="A284" s="286"/>
      <c r="B284" s="286"/>
      <c r="C284" s="529"/>
      <c r="D284" s="306"/>
      <c r="E284" s="306"/>
      <c r="F284" s="306"/>
      <c r="G284" s="286"/>
      <c r="H284" s="286"/>
      <c r="I284" s="286"/>
      <c r="J284" s="529"/>
      <c r="K284" s="286"/>
      <c r="L284" s="286"/>
      <c r="M284" s="529"/>
      <c r="N284" s="529"/>
      <c r="O284" s="529"/>
      <c r="P284" s="529"/>
      <c r="Q284" s="529"/>
      <c r="R284" s="286"/>
      <c r="S284" s="286"/>
      <c r="T284" s="286"/>
      <c r="U284" s="286"/>
      <c r="V284" s="286"/>
      <c r="W284" s="286"/>
    </row>
    <row r="285">
      <c r="A285" s="286"/>
      <c r="B285" s="286"/>
      <c r="C285" s="529"/>
      <c r="D285" s="306"/>
      <c r="E285" s="306"/>
      <c r="F285" s="306"/>
      <c r="G285" s="286"/>
      <c r="H285" s="286"/>
      <c r="I285" s="286"/>
      <c r="J285" s="529"/>
      <c r="K285" s="286"/>
      <c r="L285" s="286"/>
      <c r="M285" s="529"/>
      <c r="N285" s="529"/>
      <c r="O285" s="529"/>
      <c r="P285" s="529"/>
      <c r="Q285" s="529"/>
      <c r="R285" s="286"/>
      <c r="S285" s="286"/>
      <c r="T285" s="286"/>
      <c r="U285" s="286"/>
      <c r="V285" s="286"/>
      <c r="W285" s="286"/>
    </row>
    <row r="286">
      <c r="A286" s="286"/>
      <c r="B286" s="286"/>
      <c r="C286" s="529"/>
      <c r="D286" s="306"/>
      <c r="E286" s="306"/>
      <c r="F286" s="306"/>
      <c r="G286" s="286"/>
      <c r="H286" s="286"/>
      <c r="I286" s="286"/>
      <c r="J286" s="529"/>
      <c r="K286" s="286"/>
      <c r="L286" s="286"/>
      <c r="M286" s="529"/>
      <c r="N286" s="529"/>
      <c r="O286" s="529"/>
      <c r="P286" s="529"/>
      <c r="Q286" s="529"/>
      <c r="R286" s="286"/>
      <c r="S286" s="286"/>
      <c r="T286" s="286"/>
      <c r="U286" s="286"/>
      <c r="V286" s="286"/>
      <c r="W286" s="286"/>
    </row>
    <row r="287">
      <c r="A287" s="286"/>
      <c r="B287" s="286"/>
      <c r="C287" s="529"/>
      <c r="D287" s="306"/>
      <c r="E287" s="306"/>
      <c r="F287" s="306"/>
      <c r="G287" s="286"/>
      <c r="H287" s="286"/>
      <c r="I287" s="286"/>
      <c r="J287" s="529"/>
      <c r="K287" s="286"/>
      <c r="L287" s="286"/>
      <c r="M287" s="529"/>
      <c r="N287" s="529"/>
      <c r="O287" s="529"/>
      <c r="P287" s="529"/>
      <c r="Q287" s="529"/>
      <c r="R287" s="286"/>
      <c r="S287" s="286"/>
      <c r="T287" s="286"/>
      <c r="U287" s="286"/>
      <c r="V287" s="286"/>
      <c r="W287" s="286"/>
    </row>
    <row r="288">
      <c r="A288" s="286"/>
      <c r="B288" s="286"/>
      <c r="C288" s="529"/>
      <c r="D288" s="306"/>
      <c r="E288" s="306"/>
      <c r="F288" s="306"/>
      <c r="G288" s="286"/>
      <c r="H288" s="286"/>
      <c r="I288" s="286"/>
      <c r="J288" s="529"/>
      <c r="K288" s="286"/>
      <c r="L288" s="286"/>
      <c r="M288" s="529"/>
      <c r="N288" s="529"/>
      <c r="O288" s="529"/>
      <c r="P288" s="529"/>
      <c r="Q288" s="529"/>
      <c r="R288" s="286"/>
      <c r="S288" s="286"/>
      <c r="T288" s="286"/>
      <c r="U288" s="286"/>
      <c r="V288" s="286"/>
      <c r="W288" s="286"/>
    </row>
    <row r="289">
      <c r="A289" s="286"/>
      <c r="B289" s="286"/>
      <c r="C289" s="529"/>
      <c r="D289" s="306"/>
      <c r="E289" s="306"/>
      <c r="F289" s="306"/>
      <c r="G289" s="286"/>
      <c r="H289" s="286"/>
      <c r="I289" s="286"/>
      <c r="J289" s="529"/>
      <c r="K289" s="286"/>
      <c r="L289" s="286"/>
      <c r="M289" s="529"/>
      <c r="N289" s="529"/>
      <c r="O289" s="529"/>
      <c r="P289" s="529"/>
      <c r="Q289" s="529"/>
      <c r="R289" s="286"/>
      <c r="S289" s="286"/>
      <c r="T289" s="286"/>
      <c r="U289" s="286"/>
      <c r="V289" s="286"/>
      <c r="W289" s="286"/>
    </row>
    <row r="290">
      <c r="A290" s="286"/>
      <c r="B290" s="286"/>
      <c r="C290" s="529"/>
      <c r="D290" s="306"/>
      <c r="E290" s="306"/>
      <c r="F290" s="306"/>
      <c r="G290" s="286"/>
      <c r="H290" s="286"/>
      <c r="I290" s="286"/>
      <c r="J290" s="529"/>
      <c r="K290" s="286"/>
      <c r="L290" s="286"/>
      <c r="M290" s="529"/>
      <c r="N290" s="529"/>
      <c r="O290" s="529"/>
      <c r="P290" s="529"/>
      <c r="Q290" s="529"/>
      <c r="R290" s="286"/>
      <c r="S290" s="286"/>
      <c r="T290" s="286"/>
      <c r="U290" s="286"/>
      <c r="V290" s="286"/>
      <c r="W290" s="286"/>
    </row>
    <row r="291">
      <c r="A291" s="286"/>
      <c r="B291" s="286"/>
      <c r="C291" s="529"/>
      <c r="D291" s="306"/>
      <c r="E291" s="306"/>
      <c r="F291" s="306"/>
      <c r="G291" s="286"/>
      <c r="H291" s="286"/>
      <c r="I291" s="286"/>
      <c r="J291" s="529"/>
      <c r="K291" s="286"/>
      <c r="L291" s="286"/>
      <c r="M291" s="529"/>
      <c r="N291" s="529"/>
      <c r="O291" s="529"/>
      <c r="P291" s="529"/>
      <c r="Q291" s="529"/>
      <c r="R291" s="286"/>
      <c r="S291" s="286"/>
      <c r="T291" s="286"/>
      <c r="U291" s="286"/>
      <c r="V291" s="286"/>
      <c r="W291" s="286"/>
    </row>
    <row r="292">
      <c r="A292" s="286"/>
      <c r="B292" s="286"/>
      <c r="C292" s="529"/>
      <c r="D292" s="306"/>
      <c r="E292" s="306"/>
      <c r="F292" s="306"/>
      <c r="G292" s="286"/>
      <c r="H292" s="286"/>
      <c r="I292" s="286"/>
      <c r="J292" s="529"/>
      <c r="K292" s="286"/>
      <c r="L292" s="286"/>
      <c r="M292" s="529"/>
      <c r="N292" s="529"/>
      <c r="O292" s="529"/>
      <c r="P292" s="529"/>
      <c r="Q292" s="529"/>
      <c r="R292" s="286"/>
      <c r="S292" s="286"/>
      <c r="T292" s="286"/>
      <c r="U292" s="286"/>
      <c r="V292" s="286"/>
      <c r="W292" s="286"/>
    </row>
    <row r="293">
      <c r="A293" s="286"/>
      <c r="B293" s="286"/>
      <c r="C293" s="529"/>
      <c r="D293" s="306"/>
      <c r="E293" s="306"/>
      <c r="F293" s="306"/>
      <c r="G293" s="286"/>
      <c r="H293" s="286"/>
      <c r="I293" s="286"/>
      <c r="J293" s="529"/>
      <c r="K293" s="286"/>
      <c r="L293" s="286"/>
      <c r="M293" s="529"/>
      <c r="N293" s="529"/>
      <c r="O293" s="529"/>
      <c r="P293" s="529"/>
      <c r="Q293" s="529"/>
      <c r="R293" s="286"/>
      <c r="S293" s="286"/>
      <c r="T293" s="286"/>
      <c r="U293" s="286"/>
      <c r="V293" s="286"/>
      <c r="W293" s="286"/>
    </row>
    <row r="294">
      <c r="A294" s="286"/>
      <c r="B294" s="286"/>
      <c r="C294" s="529"/>
      <c r="D294" s="306"/>
      <c r="E294" s="306"/>
      <c r="F294" s="306"/>
      <c r="G294" s="286"/>
      <c r="H294" s="286"/>
      <c r="I294" s="286"/>
      <c r="J294" s="529"/>
      <c r="K294" s="286"/>
      <c r="L294" s="286"/>
      <c r="M294" s="529"/>
      <c r="N294" s="529"/>
      <c r="O294" s="529"/>
      <c r="P294" s="529"/>
      <c r="Q294" s="529"/>
      <c r="R294" s="286"/>
      <c r="S294" s="286"/>
      <c r="T294" s="286"/>
      <c r="U294" s="286"/>
      <c r="V294" s="286"/>
      <c r="W294" s="286"/>
    </row>
    <row r="295">
      <c r="A295" s="286"/>
      <c r="B295" s="286"/>
      <c r="C295" s="529"/>
      <c r="D295" s="306"/>
      <c r="E295" s="306"/>
      <c r="F295" s="306"/>
      <c r="G295" s="286"/>
      <c r="H295" s="286"/>
      <c r="I295" s="286"/>
      <c r="J295" s="529"/>
      <c r="K295" s="286"/>
      <c r="L295" s="286"/>
      <c r="M295" s="529"/>
      <c r="N295" s="529"/>
      <c r="O295" s="529"/>
      <c r="P295" s="529"/>
      <c r="Q295" s="529"/>
      <c r="R295" s="286"/>
      <c r="S295" s="286"/>
      <c r="T295" s="286"/>
      <c r="U295" s="286"/>
      <c r="V295" s="286"/>
      <c r="W295" s="286"/>
    </row>
    <row r="296">
      <c r="A296" s="286"/>
      <c r="B296" s="286"/>
      <c r="C296" s="529"/>
      <c r="D296" s="306"/>
      <c r="E296" s="306"/>
      <c r="F296" s="306"/>
      <c r="G296" s="286"/>
      <c r="H296" s="286"/>
      <c r="I296" s="286"/>
      <c r="J296" s="529"/>
      <c r="K296" s="286"/>
      <c r="L296" s="286"/>
      <c r="M296" s="529"/>
      <c r="N296" s="529"/>
      <c r="O296" s="529"/>
      <c r="P296" s="529"/>
      <c r="Q296" s="529"/>
      <c r="R296" s="286"/>
      <c r="S296" s="286"/>
      <c r="T296" s="286"/>
      <c r="U296" s="286"/>
      <c r="V296" s="286"/>
      <c r="W296" s="286"/>
    </row>
    <row r="297">
      <c r="A297" s="286"/>
      <c r="B297" s="286"/>
      <c r="C297" s="529"/>
      <c r="D297" s="306"/>
      <c r="E297" s="306"/>
      <c r="F297" s="306"/>
      <c r="G297" s="286"/>
      <c r="H297" s="286"/>
      <c r="I297" s="286"/>
      <c r="J297" s="529"/>
      <c r="K297" s="286"/>
      <c r="L297" s="286"/>
      <c r="M297" s="529"/>
      <c r="N297" s="529"/>
      <c r="O297" s="529"/>
      <c r="P297" s="529"/>
      <c r="Q297" s="529"/>
      <c r="R297" s="286"/>
      <c r="S297" s="286"/>
      <c r="T297" s="286"/>
      <c r="U297" s="286"/>
      <c r="V297" s="286"/>
      <c r="W297" s="286"/>
    </row>
    <row r="298">
      <c r="A298" s="286"/>
      <c r="B298" s="286"/>
      <c r="C298" s="529"/>
      <c r="D298" s="306"/>
      <c r="E298" s="306"/>
      <c r="F298" s="306"/>
      <c r="G298" s="286"/>
      <c r="H298" s="286"/>
      <c r="I298" s="286"/>
      <c r="J298" s="529"/>
      <c r="K298" s="286"/>
      <c r="L298" s="286"/>
      <c r="M298" s="529"/>
      <c r="N298" s="529"/>
      <c r="O298" s="529"/>
      <c r="P298" s="529"/>
      <c r="Q298" s="529"/>
      <c r="R298" s="286"/>
      <c r="S298" s="286"/>
      <c r="T298" s="286"/>
      <c r="U298" s="286"/>
      <c r="V298" s="286"/>
      <c r="W298" s="286"/>
    </row>
    <row r="299">
      <c r="A299" s="286"/>
      <c r="B299" s="286"/>
      <c r="C299" s="529"/>
      <c r="D299" s="306"/>
      <c r="E299" s="306"/>
      <c r="F299" s="306"/>
      <c r="G299" s="286"/>
      <c r="H299" s="286"/>
      <c r="I299" s="286"/>
      <c r="J299" s="529"/>
      <c r="K299" s="286"/>
      <c r="L299" s="286"/>
      <c r="M299" s="529"/>
      <c r="N299" s="529"/>
      <c r="O299" s="529"/>
      <c r="P299" s="529"/>
      <c r="Q299" s="529"/>
      <c r="R299" s="286"/>
      <c r="S299" s="286"/>
      <c r="T299" s="286"/>
      <c r="U299" s="286"/>
      <c r="V299" s="286"/>
      <c r="W299" s="286"/>
    </row>
    <row r="300">
      <c r="A300" s="286"/>
      <c r="B300" s="286"/>
      <c r="C300" s="529"/>
      <c r="D300" s="306"/>
      <c r="E300" s="306"/>
      <c r="F300" s="306"/>
      <c r="G300" s="286"/>
      <c r="H300" s="286"/>
      <c r="I300" s="286"/>
      <c r="J300" s="529"/>
      <c r="K300" s="286"/>
      <c r="L300" s="286"/>
      <c r="M300" s="529"/>
      <c r="N300" s="529"/>
      <c r="O300" s="529"/>
      <c r="P300" s="529"/>
      <c r="Q300" s="529"/>
      <c r="R300" s="286"/>
      <c r="S300" s="286"/>
      <c r="T300" s="286"/>
      <c r="U300" s="286"/>
      <c r="V300" s="286"/>
      <c r="W300" s="286"/>
    </row>
    <row r="301">
      <c r="A301" s="286"/>
      <c r="B301" s="286"/>
      <c r="C301" s="529"/>
      <c r="D301" s="306"/>
      <c r="E301" s="306"/>
      <c r="F301" s="306"/>
      <c r="G301" s="286"/>
      <c r="H301" s="286"/>
      <c r="I301" s="286"/>
      <c r="J301" s="529"/>
      <c r="K301" s="286"/>
      <c r="L301" s="286"/>
      <c r="M301" s="529"/>
      <c r="N301" s="529"/>
      <c r="O301" s="529"/>
      <c r="P301" s="529"/>
      <c r="Q301" s="529"/>
      <c r="R301" s="286"/>
      <c r="S301" s="286"/>
      <c r="T301" s="286"/>
      <c r="U301" s="286"/>
      <c r="V301" s="286"/>
      <c r="W301" s="286"/>
    </row>
    <row r="302">
      <c r="A302" s="286"/>
      <c r="B302" s="286"/>
      <c r="C302" s="529"/>
      <c r="D302" s="306"/>
      <c r="E302" s="306"/>
      <c r="F302" s="306"/>
      <c r="G302" s="286"/>
      <c r="H302" s="286"/>
      <c r="I302" s="286"/>
      <c r="J302" s="529"/>
      <c r="K302" s="286"/>
      <c r="L302" s="286"/>
      <c r="M302" s="529"/>
      <c r="N302" s="529"/>
      <c r="O302" s="529"/>
      <c r="P302" s="529"/>
      <c r="Q302" s="529"/>
      <c r="R302" s="286"/>
      <c r="S302" s="286"/>
      <c r="T302" s="286"/>
      <c r="U302" s="286"/>
      <c r="V302" s="286"/>
      <c r="W302" s="286"/>
    </row>
    <row r="303">
      <c r="A303" s="286"/>
      <c r="B303" s="286"/>
      <c r="C303" s="529"/>
      <c r="D303" s="306"/>
      <c r="E303" s="306"/>
      <c r="F303" s="306"/>
      <c r="G303" s="286"/>
      <c r="H303" s="286"/>
      <c r="I303" s="286"/>
      <c r="J303" s="529"/>
      <c r="K303" s="286"/>
      <c r="L303" s="286"/>
      <c r="M303" s="529"/>
      <c r="N303" s="529"/>
      <c r="O303" s="529"/>
      <c r="P303" s="529"/>
      <c r="Q303" s="529"/>
      <c r="R303" s="286"/>
      <c r="S303" s="286"/>
      <c r="T303" s="286"/>
      <c r="U303" s="286"/>
      <c r="V303" s="286"/>
      <c r="W303" s="286"/>
    </row>
    <row r="304">
      <c r="A304" s="286"/>
      <c r="B304" s="286"/>
      <c r="C304" s="529"/>
      <c r="D304" s="306"/>
      <c r="E304" s="306"/>
      <c r="F304" s="306"/>
      <c r="G304" s="286"/>
      <c r="H304" s="286"/>
      <c r="I304" s="286"/>
      <c r="J304" s="529"/>
      <c r="K304" s="286"/>
      <c r="L304" s="286"/>
      <c r="M304" s="529"/>
      <c r="N304" s="529"/>
      <c r="O304" s="529"/>
      <c r="P304" s="529"/>
      <c r="Q304" s="529"/>
      <c r="R304" s="286"/>
      <c r="S304" s="286"/>
      <c r="T304" s="286"/>
      <c r="U304" s="286"/>
      <c r="V304" s="286"/>
      <c r="W304" s="286"/>
    </row>
    <row r="305">
      <c r="A305" s="286"/>
      <c r="B305" s="286"/>
      <c r="C305" s="529"/>
      <c r="D305" s="306"/>
      <c r="E305" s="306"/>
      <c r="F305" s="306"/>
      <c r="G305" s="286"/>
      <c r="H305" s="286"/>
      <c r="I305" s="286"/>
      <c r="J305" s="529"/>
      <c r="K305" s="286"/>
      <c r="L305" s="286"/>
      <c r="M305" s="529"/>
      <c r="N305" s="529"/>
      <c r="O305" s="529"/>
      <c r="P305" s="529"/>
      <c r="Q305" s="529"/>
      <c r="R305" s="286"/>
      <c r="S305" s="286"/>
      <c r="T305" s="286"/>
      <c r="U305" s="286"/>
      <c r="V305" s="286"/>
      <c r="W305" s="286"/>
    </row>
    <row r="306">
      <c r="A306" s="286"/>
      <c r="B306" s="286"/>
      <c r="C306" s="529"/>
      <c r="D306" s="306"/>
      <c r="E306" s="306"/>
      <c r="F306" s="306"/>
      <c r="G306" s="286"/>
      <c r="H306" s="286"/>
      <c r="I306" s="286"/>
      <c r="J306" s="529"/>
      <c r="K306" s="286"/>
      <c r="L306" s="286"/>
      <c r="M306" s="529"/>
      <c r="N306" s="529"/>
      <c r="O306" s="529"/>
      <c r="P306" s="529"/>
      <c r="Q306" s="529"/>
      <c r="R306" s="286"/>
      <c r="S306" s="286"/>
      <c r="T306" s="286"/>
      <c r="U306" s="286"/>
      <c r="V306" s="286"/>
      <c r="W306" s="286"/>
    </row>
    <row r="307">
      <c r="A307" s="286"/>
      <c r="B307" s="286"/>
      <c r="C307" s="529"/>
      <c r="D307" s="306"/>
      <c r="E307" s="306"/>
      <c r="F307" s="306"/>
      <c r="G307" s="286"/>
      <c r="H307" s="286"/>
      <c r="I307" s="286"/>
      <c r="J307" s="529"/>
      <c r="K307" s="286"/>
      <c r="L307" s="286"/>
      <c r="M307" s="529"/>
      <c r="N307" s="529"/>
      <c r="O307" s="529"/>
      <c r="P307" s="529"/>
      <c r="Q307" s="529"/>
      <c r="R307" s="286"/>
      <c r="S307" s="286"/>
      <c r="T307" s="286"/>
      <c r="U307" s="286"/>
      <c r="V307" s="286"/>
      <c r="W307" s="286"/>
    </row>
    <row r="308">
      <c r="A308" s="286"/>
      <c r="B308" s="286"/>
      <c r="C308" s="529"/>
      <c r="D308" s="306"/>
      <c r="E308" s="306"/>
      <c r="F308" s="306"/>
      <c r="G308" s="286"/>
      <c r="H308" s="286"/>
      <c r="I308" s="286"/>
      <c r="J308" s="529"/>
      <c r="K308" s="286"/>
      <c r="L308" s="286"/>
      <c r="M308" s="529"/>
      <c r="N308" s="529"/>
      <c r="O308" s="529"/>
      <c r="P308" s="529"/>
      <c r="Q308" s="529"/>
      <c r="R308" s="286"/>
      <c r="S308" s="286"/>
      <c r="T308" s="286"/>
      <c r="U308" s="286"/>
      <c r="V308" s="286"/>
      <c r="W308" s="286"/>
    </row>
    <row r="309">
      <c r="A309" s="286"/>
      <c r="B309" s="286"/>
      <c r="C309" s="529"/>
      <c r="D309" s="306"/>
      <c r="E309" s="306"/>
      <c r="F309" s="306"/>
      <c r="G309" s="286"/>
      <c r="H309" s="286"/>
      <c r="I309" s="286"/>
      <c r="J309" s="529"/>
      <c r="K309" s="286"/>
      <c r="L309" s="286"/>
      <c r="M309" s="529"/>
      <c r="N309" s="529"/>
      <c r="O309" s="529"/>
      <c r="P309" s="529"/>
      <c r="Q309" s="529"/>
      <c r="R309" s="286"/>
      <c r="S309" s="286"/>
      <c r="T309" s="286"/>
      <c r="U309" s="286"/>
      <c r="V309" s="286"/>
      <c r="W309" s="286"/>
    </row>
    <row r="310">
      <c r="A310" s="286"/>
      <c r="B310" s="286"/>
      <c r="C310" s="529"/>
      <c r="D310" s="306"/>
      <c r="E310" s="306"/>
      <c r="F310" s="306"/>
      <c r="G310" s="286"/>
      <c r="H310" s="286"/>
      <c r="I310" s="286"/>
      <c r="J310" s="529"/>
      <c r="K310" s="286"/>
      <c r="L310" s="286"/>
      <c r="M310" s="529"/>
      <c r="N310" s="529"/>
      <c r="O310" s="529"/>
      <c r="P310" s="529"/>
      <c r="Q310" s="529"/>
      <c r="R310" s="286"/>
      <c r="S310" s="286"/>
      <c r="T310" s="286"/>
      <c r="U310" s="286"/>
      <c r="V310" s="286"/>
      <c r="W310" s="286"/>
    </row>
    <row r="311">
      <c r="A311" s="286"/>
      <c r="B311" s="286"/>
      <c r="C311" s="529"/>
      <c r="D311" s="306"/>
      <c r="E311" s="306"/>
      <c r="F311" s="306"/>
      <c r="G311" s="286"/>
      <c r="H311" s="286"/>
      <c r="I311" s="286"/>
      <c r="J311" s="529"/>
      <c r="K311" s="286"/>
      <c r="L311" s="286"/>
      <c r="M311" s="529"/>
      <c r="N311" s="529"/>
      <c r="O311" s="529"/>
      <c r="P311" s="529"/>
      <c r="Q311" s="529"/>
      <c r="R311" s="286"/>
      <c r="S311" s="286"/>
      <c r="T311" s="286"/>
      <c r="U311" s="286"/>
      <c r="V311" s="286"/>
      <c r="W311" s="286"/>
    </row>
    <row r="312">
      <c r="A312" s="286"/>
      <c r="B312" s="286"/>
      <c r="C312" s="529"/>
      <c r="D312" s="306"/>
      <c r="E312" s="306"/>
      <c r="F312" s="306"/>
      <c r="G312" s="286"/>
      <c r="H312" s="286"/>
      <c r="I312" s="286"/>
      <c r="J312" s="529"/>
      <c r="K312" s="286"/>
      <c r="L312" s="286"/>
      <c r="M312" s="529"/>
      <c r="N312" s="529"/>
      <c r="O312" s="529"/>
      <c r="P312" s="529"/>
      <c r="Q312" s="529"/>
      <c r="R312" s="286"/>
      <c r="S312" s="286"/>
      <c r="T312" s="286"/>
      <c r="U312" s="286"/>
      <c r="V312" s="286"/>
      <c r="W312" s="286"/>
    </row>
    <row r="313">
      <c r="A313" s="286"/>
      <c r="B313" s="286"/>
      <c r="C313" s="529"/>
      <c r="D313" s="306"/>
      <c r="E313" s="306"/>
      <c r="F313" s="306"/>
      <c r="G313" s="286"/>
      <c r="H313" s="286"/>
      <c r="I313" s="286"/>
      <c r="J313" s="529"/>
      <c r="K313" s="286"/>
      <c r="L313" s="286"/>
      <c r="M313" s="529"/>
      <c r="N313" s="529"/>
      <c r="O313" s="529"/>
      <c r="P313" s="529"/>
      <c r="Q313" s="529"/>
      <c r="R313" s="286"/>
      <c r="S313" s="286"/>
      <c r="T313" s="286"/>
      <c r="U313" s="286"/>
      <c r="V313" s="286"/>
      <c r="W313" s="286"/>
    </row>
    <row r="314">
      <c r="A314" s="286"/>
      <c r="B314" s="286"/>
      <c r="C314" s="529"/>
      <c r="D314" s="306"/>
      <c r="E314" s="306"/>
      <c r="F314" s="306"/>
      <c r="G314" s="286"/>
      <c r="H314" s="286"/>
      <c r="I314" s="286"/>
      <c r="J314" s="529"/>
      <c r="K314" s="286"/>
      <c r="L314" s="286"/>
      <c r="M314" s="529"/>
      <c r="N314" s="529"/>
      <c r="O314" s="529"/>
      <c r="P314" s="529"/>
      <c r="Q314" s="529"/>
      <c r="R314" s="286"/>
      <c r="S314" s="286"/>
      <c r="T314" s="286"/>
      <c r="U314" s="286"/>
      <c r="V314" s="286"/>
      <c r="W314" s="286"/>
    </row>
    <row r="315">
      <c r="A315" s="286"/>
      <c r="B315" s="286"/>
      <c r="C315" s="529"/>
      <c r="D315" s="306"/>
      <c r="E315" s="306"/>
      <c r="F315" s="306"/>
      <c r="G315" s="286"/>
      <c r="H315" s="286"/>
      <c r="I315" s="286"/>
      <c r="J315" s="529"/>
      <c r="K315" s="286"/>
      <c r="L315" s="286"/>
      <c r="M315" s="529"/>
      <c r="N315" s="529"/>
      <c r="O315" s="529"/>
      <c r="P315" s="529"/>
      <c r="Q315" s="529"/>
      <c r="R315" s="286"/>
      <c r="S315" s="286"/>
      <c r="T315" s="286"/>
      <c r="U315" s="286"/>
      <c r="V315" s="286"/>
      <c r="W315" s="286"/>
    </row>
    <row r="316">
      <c r="A316" s="286"/>
      <c r="B316" s="286"/>
      <c r="C316" s="529"/>
      <c r="D316" s="306"/>
      <c r="E316" s="306"/>
      <c r="F316" s="306"/>
      <c r="G316" s="286"/>
      <c r="H316" s="286"/>
      <c r="I316" s="286"/>
      <c r="J316" s="529"/>
      <c r="K316" s="286"/>
      <c r="L316" s="286"/>
      <c r="M316" s="529"/>
      <c r="N316" s="529"/>
      <c r="O316" s="529"/>
      <c r="P316" s="529"/>
      <c r="Q316" s="529"/>
      <c r="R316" s="286"/>
      <c r="S316" s="286"/>
      <c r="T316" s="286"/>
      <c r="U316" s="286"/>
      <c r="V316" s="286"/>
      <c r="W316" s="286"/>
    </row>
    <row r="317">
      <c r="A317" s="286"/>
      <c r="B317" s="286"/>
      <c r="C317" s="529"/>
      <c r="D317" s="306"/>
      <c r="E317" s="306"/>
      <c r="F317" s="306"/>
      <c r="G317" s="286"/>
      <c r="H317" s="286"/>
      <c r="I317" s="286"/>
      <c r="J317" s="529"/>
      <c r="K317" s="286"/>
      <c r="L317" s="286"/>
      <c r="M317" s="529"/>
      <c r="N317" s="529"/>
      <c r="O317" s="529"/>
      <c r="P317" s="529"/>
      <c r="Q317" s="529"/>
      <c r="R317" s="286"/>
      <c r="S317" s="286"/>
      <c r="T317" s="286"/>
      <c r="U317" s="286"/>
      <c r="V317" s="286"/>
      <c r="W317" s="286"/>
    </row>
    <row r="318">
      <c r="A318" s="286"/>
      <c r="B318" s="286"/>
      <c r="C318" s="529"/>
      <c r="D318" s="306"/>
      <c r="E318" s="306"/>
      <c r="F318" s="306"/>
      <c r="G318" s="286"/>
      <c r="H318" s="286"/>
      <c r="I318" s="286"/>
      <c r="J318" s="529"/>
      <c r="K318" s="286"/>
      <c r="L318" s="286"/>
      <c r="M318" s="529"/>
      <c r="N318" s="529"/>
      <c r="O318" s="529"/>
      <c r="P318" s="529"/>
      <c r="Q318" s="529"/>
      <c r="R318" s="286"/>
      <c r="S318" s="286"/>
      <c r="T318" s="286"/>
      <c r="U318" s="286"/>
      <c r="V318" s="286"/>
      <c r="W318" s="286"/>
    </row>
    <row r="319">
      <c r="A319" s="286"/>
      <c r="B319" s="286"/>
      <c r="C319" s="529"/>
      <c r="D319" s="306"/>
      <c r="E319" s="306"/>
      <c r="F319" s="306"/>
      <c r="G319" s="286"/>
      <c r="H319" s="286"/>
      <c r="I319" s="286"/>
      <c r="J319" s="529"/>
      <c r="K319" s="286"/>
      <c r="L319" s="286"/>
      <c r="M319" s="529"/>
      <c r="N319" s="529"/>
      <c r="O319" s="529"/>
      <c r="P319" s="529"/>
      <c r="Q319" s="529"/>
      <c r="R319" s="286"/>
      <c r="S319" s="286"/>
      <c r="T319" s="286"/>
      <c r="U319" s="286"/>
      <c r="V319" s="286"/>
      <c r="W319" s="286"/>
    </row>
    <row r="320">
      <c r="A320" s="286"/>
      <c r="B320" s="286"/>
      <c r="C320" s="529"/>
      <c r="D320" s="306"/>
      <c r="E320" s="306"/>
      <c r="F320" s="306"/>
      <c r="G320" s="286"/>
      <c r="H320" s="286"/>
      <c r="I320" s="286"/>
      <c r="J320" s="529"/>
      <c r="K320" s="286"/>
      <c r="L320" s="286"/>
      <c r="M320" s="529"/>
      <c r="N320" s="529"/>
      <c r="O320" s="529"/>
      <c r="P320" s="529"/>
      <c r="Q320" s="529"/>
      <c r="R320" s="286"/>
      <c r="S320" s="286"/>
      <c r="T320" s="286"/>
      <c r="U320" s="286"/>
      <c r="V320" s="286"/>
      <c r="W320" s="286"/>
    </row>
    <row r="321">
      <c r="A321" s="286"/>
      <c r="B321" s="286"/>
      <c r="C321" s="529"/>
      <c r="D321" s="306"/>
      <c r="E321" s="306"/>
      <c r="F321" s="306"/>
      <c r="G321" s="286"/>
      <c r="H321" s="286"/>
      <c r="I321" s="286"/>
      <c r="J321" s="529"/>
      <c r="K321" s="286"/>
      <c r="L321" s="286"/>
      <c r="M321" s="529"/>
      <c r="N321" s="529"/>
      <c r="O321" s="529"/>
      <c r="P321" s="529"/>
      <c r="Q321" s="529"/>
      <c r="R321" s="286"/>
      <c r="S321" s="286"/>
      <c r="T321" s="286"/>
      <c r="U321" s="286"/>
      <c r="V321" s="286"/>
      <c r="W321" s="286"/>
    </row>
    <row r="322">
      <c r="A322" s="286"/>
      <c r="B322" s="286"/>
      <c r="C322" s="529"/>
      <c r="D322" s="306"/>
      <c r="E322" s="306"/>
      <c r="F322" s="306"/>
      <c r="G322" s="286"/>
      <c r="H322" s="286"/>
      <c r="I322" s="286"/>
      <c r="J322" s="529"/>
      <c r="K322" s="286"/>
      <c r="L322" s="286"/>
      <c r="M322" s="529"/>
      <c r="N322" s="529"/>
      <c r="O322" s="529"/>
      <c r="P322" s="529"/>
      <c r="Q322" s="529"/>
      <c r="R322" s="286"/>
      <c r="S322" s="286"/>
      <c r="T322" s="286"/>
      <c r="U322" s="286"/>
      <c r="V322" s="286"/>
      <c r="W322" s="286"/>
    </row>
    <row r="323">
      <c r="A323" s="286"/>
      <c r="B323" s="286"/>
      <c r="C323" s="529"/>
      <c r="D323" s="306"/>
      <c r="E323" s="306"/>
      <c r="F323" s="306"/>
      <c r="G323" s="286"/>
      <c r="H323" s="286"/>
      <c r="I323" s="286"/>
      <c r="J323" s="529"/>
      <c r="K323" s="286"/>
      <c r="L323" s="286"/>
      <c r="M323" s="529"/>
      <c r="N323" s="529"/>
      <c r="O323" s="529"/>
      <c r="P323" s="529"/>
      <c r="Q323" s="529"/>
      <c r="R323" s="286"/>
      <c r="S323" s="286"/>
      <c r="T323" s="286"/>
      <c r="U323" s="286"/>
      <c r="V323" s="286"/>
      <c r="W323" s="286"/>
    </row>
    <row r="324">
      <c r="A324" s="286"/>
      <c r="B324" s="286"/>
      <c r="C324" s="529"/>
      <c r="D324" s="306"/>
      <c r="E324" s="306"/>
      <c r="F324" s="306"/>
      <c r="G324" s="286"/>
      <c r="H324" s="286"/>
      <c r="I324" s="286"/>
      <c r="J324" s="529"/>
      <c r="K324" s="286"/>
      <c r="L324" s="286"/>
      <c r="M324" s="529"/>
      <c r="N324" s="529"/>
      <c r="O324" s="529"/>
      <c r="P324" s="529"/>
      <c r="Q324" s="529"/>
      <c r="R324" s="286"/>
      <c r="S324" s="286"/>
      <c r="T324" s="286"/>
      <c r="U324" s="286"/>
      <c r="V324" s="286"/>
      <c r="W324" s="286"/>
    </row>
    <row r="325">
      <c r="A325" s="286"/>
      <c r="B325" s="286"/>
      <c r="C325" s="529"/>
      <c r="D325" s="306"/>
      <c r="E325" s="306"/>
      <c r="F325" s="306"/>
      <c r="G325" s="286"/>
      <c r="H325" s="286"/>
      <c r="I325" s="286"/>
      <c r="J325" s="529"/>
      <c r="K325" s="286"/>
      <c r="L325" s="286"/>
      <c r="M325" s="529"/>
      <c r="N325" s="529"/>
      <c r="O325" s="529"/>
      <c r="P325" s="529"/>
      <c r="Q325" s="529"/>
      <c r="R325" s="286"/>
      <c r="S325" s="286"/>
      <c r="T325" s="286"/>
      <c r="U325" s="286"/>
      <c r="V325" s="286"/>
      <c r="W325" s="286"/>
    </row>
    <row r="326">
      <c r="A326" s="286"/>
      <c r="B326" s="286"/>
      <c r="C326" s="529"/>
      <c r="D326" s="306"/>
      <c r="E326" s="306"/>
      <c r="F326" s="306"/>
      <c r="G326" s="286"/>
      <c r="H326" s="286"/>
      <c r="I326" s="286"/>
      <c r="J326" s="529"/>
      <c r="K326" s="286"/>
      <c r="L326" s="286"/>
      <c r="M326" s="529"/>
      <c r="N326" s="529"/>
      <c r="O326" s="529"/>
      <c r="P326" s="529"/>
      <c r="Q326" s="529"/>
      <c r="R326" s="286"/>
      <c r="S326" s="286"/>
      <c r="T326" s="286"/>
      <c r="U326" s="286"/>
      <c r="V326" s="286"/>
      <c r="W326" s="286"/>
    </row>
    <row r="327">
      <c r="A327" s="286"/>
      <c r="B327" s="286"/>
      <c r="C327" s="529"/>
      <c r="D327" s="306"/>
      <c r="E327" s="306"/>
      <c r="F327" s="306"/>
      <c r="G327" s="286"/>
      <c r="H327" s="286"/>
      <c r="I327" s="286"/>
      <c r="J327" s="529"/>
      <c r="K327" s="286"/>
      <c r="L327" s="286"/>
      <c r="M327" s="529"/>
      <c r="N327" s="529"/>
      <c r="O327" s="529"/>
      <c r="P327" s="529"/>
      <c r="Q327" s="529"/>
      <c r="R327" s="286"/>
      <c r="S327" s="286"/>
      <c r="T327" s="286"/>
      <c r="U327" s="286"/>
      <c r="V327" s="286"/>
      <c r="W327" s="286"/>
    </row>
    <row r="328">
      <c r="A328" s="286"/>
      <c r="B328" s="286"/>
      <c r="C328" s="529"/>
      <c r="D328" s="306"/>
      <c r="E328" s="306"/>
      <c r="F328" s="306"/>
      <c r="G328" s="286"/>
      <c r="H328" s="286"/>
      <c r="I328" s="286"/>
      <c r="J328" s="529"/>
      <c r="K328" s="286"/>
      <c r="L328" s="286"/>
      <c r="M328" s="529"/>
      <c r="N328" s="529"/>
      <c r="O328" s="529"/>
      <c r="P328" s="529"/>
      <c r="Q328" s="529"/>
      <c r="R328" s="286"/>
      <c r="S328" s="286"/>
      <c r="T328" s="286"/>
      <c r="U328" s="286"/>
      <c r="V328" s="286"/>
      <c r="W328" s="286"/>
    </row>
    <row r="329">
      <c r="A329" s="286"/>
      <c r="B329" s="286"/>
      <c r="C329" s="529"/>
      <c r="D329" s="306"/>
      <c r="E329" s="306"/>
      <c r="F329" s="306"/>
      <c r="G329" s="286"/>
      <c r="H329" s="286"/>
      <c r="I329" s="286"/>
      <c r="J329" s="529"/>
      <c r="K329" s="286"/>
      <c r="L329" s="286"/>
      <c r="M329" s="529"/>
      <c r="N329" s="529"/>
      <c r="O329" s="529"/>
      <c r="P329" s="529"/>
      <c r="Q329" s="529"/>
      <c r="R329" s="286"/>
      <c r="S329" s="286"/>
      <c r="T329" s="286"/>
      <c r="U329" s="286"/>
      <c r="V329" s="286"/>
      <c r="W329" s="286"/>
    </row>
    <row r="330">
      <c r="A330" s="286"/>
      <c r="B330" s="286"/>
      <c r="C330" s="529"/>
      <c r="D330" s="306"/>
      <c r="E330" s="306"/>
      <c r="F330" s="306"/>
      <c r="G330" s="286"/>
      <c r="H330" s="286"/>
      <c r="I330" s="286"/>
      <c r="J330" s="529"/>
      <c r="K330" s="286"/>
      <c r="L330" s="286"/>
      <c r="M330" s="529"/>
      <c r="N330" s="529"/>
      <c r="O330" s="529"/>
      <c r="P330" s="529"/>
      <c r="Q330" s="529"/>
      <c r="R330" s="286"/>
      <c r="S330" s="286"/>
      <c r="T330" s="286"/>
      <c r="U330" s="286"/>
      <c r="V330" s="286"/>
      <c r="W330" s="286"/>
    </row>
    <row r="331">
      <c r="A331" s="286"/>
      <c r="B331" s="286"/>
      <c r="C331" s="529"/>
      <c r="D331" s="306"/>
      <c r="E331" s="306"/>
      <c r="F331" s="306"/>
      <c r="G331" s="286"/>
      <c r="H331" s="286"/>
      <c r="I331" s="286"/>
      <c r="J331" s="529"/>
      <c r="K331" s="286"/>
      <c r="L331" s="286"/>
      <c r="M331" s="529"/>
      <c r="N331" s="529"/>
      <c r="O331" s="529"/>
      <c r="P331" s="529"/>
      <c r="Q331" s="529"/>
      <c r="R331" s="286"/>
      <c r="S331" s="286"/>
      <c r="T331" s="286"/>
      <c r="U331" s="286"/>
      <c r="V331" s="286"/>
      <c r="W331" s="286"/>
    </row>
    <row r="332">
      <c r="A332" s="286"/>
      <c r="B332" s="286"/>
      <c r="C332" s="529"/>
      <c r="D332" s="306"/>
      <c r="E332" s="306"/>
      <c r="F332" s="306"/>
      <c r="G332" s="286"/>
      <c r="H332" s="286"/>
      <c r="I332" s="286"/>
      <c r="J332" s="529"/>
      <c r="K332" s="286"/>
      <c r="L332" s="286"/>
      <c r="M332" s="529"/>
      <c r="N332" s="529"/>
      <c r="O332" s="529"/>
      <c r="P332" s="529"/>
      <c r="Q332" s="529"/>
      <c r="R332" s="286"/>
      <c r="S332" s="286"/>
      <c r="T332" s="286"/>
      <c r="U332" s="286"/>
      <c r="V332" s="286"/>
      <c r="W332" s="286"/>
    </row>
    <row r="333">
      <c r="A333" s="286"/>
      <c r="B333" s="286"/>
      <c r="C333" s="529"/>
      <c r="D333" s="306"/>
      <c r="E333" s="306"/>
      <c r="F333" s="306"/>
      <c r="G333" s="286"/>
      <c r="H333" s="286"/>
      <c r="I333" s="286"/>
      <c r="J333" s="529"/>
      <c r="K333" s="286"/>
      <c r="L333" s="286"/>
      <c r="M333" s="529"/>
      <c r="N333" s="529"/>
      <c r="O333" s="529"/>
      <c r="P333" s="529"/>
      <c r="Q333" s="529"/>
      <c r="R333" s="286"/>
      <c r="S333" s="286"/>
      <c r="T333" s="286"/>
      <c r="U333" s="286"/>
      <c r="V333" s="286"/>
      <c r="W333" s="286"/>
    </row>
    <row r="334">
      <c r="A334" s="286"/>
      <c r="B334" s="286"/>
      <c r="C334" s="529"/>
      <c r="D334" s="306"/>
      <c r="E334" s="306"/>
      <c r="F334" s="306"/>
      <c r="G334" s="286"/>
      <c r="H334" s="286"/>
      <c r="I334" s="286"/>
      <c r="J334" s="529"/>
      <c r="K334" s="286"/>
      <c r="L334" s="286"/>
      <c r="M334" s="529"/>
      <c r="N334" s="529"/>
      <c r="O334" s="529"/>
      <c r="P334" s="529"/>
      <c r="Q334" s="529"/>
      <c r="R334" s="286"/>
      <c r="S334" s="286"/>
      <c r="T334" s="286"/>
      <c r="U334" s="286"/>
      <c r="V334" s="286"/>
      <c r="W334" s="286"/>
    </row>
    <row r="335">
      <c r="A335" s="286"/>
      <c r="B335" s="286"/>
      <c r="C335" s="529"/>
      <c r="D335" s="306"/>
      <c r="E335" s="306"/>
      <c r="F335" s="306"/>
      <c r="G335" s="286"/>
      <c r="H335" s="286"/>
      <c r="I335" s="286"/>
      <c r="J335" s="529"/>
      <c r="K335" s="286"/>
      <c r="L335" s="286"/>
      <c r="M335" s="529"/>
      <c r="N335" s="529"/>
      <c r="O335" s="529"/>
      <c r="P335" s="529"/>
      <c r="Q335" s="529"/>
      <c r="R335" s="286"/>
      <c r="S335" s="286"/>
      <c r="T335" s="286"/>
      <c r="U335" s="286"/>
      <c r="V335" s="286"/>
      <c r="W335" s="286"/>
    </row>
    <row r="336">
      <c r="A336" s="286"/>
      <c r="B336" s="286"/>
      <c r="C336" s="529"/>
      <c r="D336" s="306"/>
      <c r="E336" s="306"/>
      <c r="F336" s="306"/>
      <c r="G336" s="286"/>
      <c r="H336" s="286"/>
      <c r="I336" s="286"/>
      <c r="J336" s="529"/>
      <c r="K336" s="286"/>
      <c r="L336" s="286"/>
      <c r="M336" s="529"/>
      <c r="N336" s="529"/>
      <c r="O336" s="529"/>
      <c r="P336" s="529"/>
      <c r="Q336" s="529"/>
      <c r="R336" s="286"/>
      <c r="S336" s="286"/>
      <c r="T336" s="286"/>
      <c r="U336" s="286"/>
      <c r="V336" s="286"/>
      <c r="W336" s="286"/>
    </row>
    <row r="337">
      <c r="A337" s="286"/>
      <c r="B337" s="286"/>
      <c r="C337" s="529"/>
      <c r="D337" s="306"/>
      <c r="E337" s="306"/>
      <c r="F337" s="306"/>
      <c r="G337" s="286"/>
      <c r="H337" s="286"/>
      <c r="I337" s="286"/>
      <c r="J337" s="529"/>
      <c r="K337" s="286"/>
      <c r="L337" s="286"/>
      <c r="M337" s="529"/>
      <c r="N337" s="529"/>
      <c r="O337" s="529"/>
      <c r="P337" s="529"/>
      <c r="Q337" s="529"/>
      <c r="R337" s="286"/>
      <c r="S337" s="286"/>
      <c r="T337" s="286"/>
      <c r="U337" s="286"/>
      <c r="V337" s="286"/>
      <c r="W337" s="286"/>
    </row>
    <row r="338">
      <c r="A338" s="286"/>
      <c r="B338" s="286"/>
      <c r="C338" s="529"/>
      <c r="D338" s="306"/>
      <c r="E338" s="306"/>
      <c r="F338" s="306"/>
      <c r="G338" s="286"/>
      <c r="H338" s="286"/>
      <c r="I338" s="286"/>
      <c r="J338" s="529"/>
      <c r="K338" s="286"/>
      <c r="L338" s="286"/>
      <c r="M338" s="529"/>
      <c r="N338" s="529"/>
      <c r="O338" s="529"/>
      <c r="P338" s="529"/>
      <c r="Q338" s="529"/>
      <c r="R338" s="286"/>
      <c r="S338" s="286"/>
      <c r="T338" s="286"/>
      <c r="U338" s="286"/>
      <c r="V338" s="286"/>
      <c r="W338" s="286"/>
    </row>
    <row r="339">
      <c r="A339" s="286"/>
      <c r="B339" s="286"/>
      <c r="C339" s="529"/>
      <c r="D339" s="306"/>
      <c r="E339" s="306"/>
      <c r="F339" s="306"/>
      <c r="G339" s="286"/>
      <c r="H339" s="286"/>
      <c r="I339" s="286"/>
      <c r="J339" s="529"/>
      <c r="K339" s="286"/>
      <c r="L339" s="286"/>
      <c r="M339" s="529"/>
      <c r="N339" s="529"/>
      <c r="O339" s="529"/>
      <c r="P339" s="529"/>
      <c r="Q339" s="529"/>
      <c r="R339" s="286"/>
      <c r="S339" s="286"/>
      <c r="T339" s="286"/>
      <c r="U339" s="286"/>
      <c r="V339" s="286"/>
      <c r="W339" s="286"/>
    </row>
    <row r="340">
      <c r="A340" s="286"/>
      <c r="B340" s="286"/>
      <c r="C340" s="529"/>
      <c r="D340" s="306"/>
      <c r="E340" s="306"/>
      <c r="F340" s="306"/>
      <c r="G340" s="286"/>
      <c r="H340" s="286"/>
      <c r="I340" s="286"/>
      <c r="J340" s="529"/>
      <c r="K340" s="286"/>
      <c r="L340" s="286"/>
      <c r="M340" s="529"/>
      <c r="N340" s="529"/>
      <c r="O340" s="529"/>
      <c r="P340" s="529"/>
      <c r="Q340" s="529"/>
      <c r="R340" s="286"/>
      <c r="S340" s="286"/>
      <c r="T340" s="286"/>
      <c r="U340" s="286"/>
      <c r="V340" s="286"/>
      <c r="W340" s="286"/>
    </row>
    <row r="341">
      <c r="A341" s="286"/>
      <c r="B341" s="286"/>
      <c r="C341" s="529"/>
      <c r="D341" s="306"/>
      <c r="E341" s="306"/>
      <c r="F341" s="306"/>
      <c r="G341" s="286"/>
      <c r="H341" s="286"/>
      <c r="I341" s="286"/>
      <c r="J341" s="529"/>
      <c r="K341" s="286"/>
      <c r="L341" s="286"/>
      <c r="M341" s="529"/>
      <c r="N341" s="529"/>
      <c r="O341" s="529"/>
      <c r="P341" s="529"/>
      <c r="Q341" s="529"/>
      <c r="R341" s="286"/>
      <c r="S341" s="286"/>
      <c r="T341" s="286"/>
      <c r="U341" s="286"/>
      <c r="V341" s="286"/>
      <c r="W341" s="286"/>
    </row>
    <row r="342">
      <c r="A342" s="286"/>
      <c r="B342" s="286"/>
      <c r="C342" s="529"/>
      <c r="D342" s="306"/>
      <c r="E342" s="306"/>
      <c r="F342" s="306"/>
      <c r="G342" s="286"/>
      <c r="H342" s="286"/>
      <c r="I342" s="286"/>
      <c r="J342" s="529"/>
      <c r="K342" s="286"/>
      <c r="L342" s="286"/>
      <c r="M342" s="529"/>
      <c r="N342" s="529"/>
      <c r="O342" s="529"/>
      <c r="P342" s="529"/>
      <c r="Q342" s="529"/>
      <c r="R342" s="286"/>
      <c r="S342" s="286"/>
      <c r="T342" s="286"/>
      <c r="U342" s="286"/>
      <c r="V342" s="286"/>
      <c r="W342" s="286"/>
    </row>
    <row r="343">
      <c r="A343" s="286"/>
      <c r="B343" s="286"/>
      <c r="C343" s="529"/>
      <c r="D343" s="306"/>
      <c r="E343" s="306"/>
      <c r="F343" s="306"/>
      <c r="G343" s="286"/>
      <c r="H343" s="286"/>
      <c r="I343" s="286"/>
      <c r="J343" s="529"/>
      <c r="K343" s="286"/>
      <c r="L343" s="286"/>
      <c r="M343" s="529"/>
      <c r="N343" s="529"/>
      <c r="O343" s="529"/>
      <c r="P343" s="529"/>
      <c r="Q343" s="529"/>
      <c r="R343" s="286"/>
      <c r="S343" s="286"/>
      <c r="T343" s="286"/>
      <c r="U343" s="286"/>
      <c r="V343" s="286"/>
      <c r="W343" s="286"/>
    </row>
    <row r="344">
      <c r="A344" s="286"/>
      <c r="B344" s="286"/>
      <c r="C344" s="529"/>
      <c r="D344" s="306"/>
      <c r="E344" s="306"/>
      <c r="F344" s="306"/>
      <c r="G344" s="286"/>
      <c r="H344" s="286"/>
      <c r="I344" s="286"/>
      <c r="J344" s="529"/>
      <c r="K344" s="286"/>
      <c r="L344" s="286"/>
      <c r="M344" s="529"/>
      <c r="N344" s="529"/>
      <c r="O344" s="529"/>
      <c r="P344" s="529"/>
      <c r="Q344" s="529"/>
      <c r="R344" s="286"/>
      <c r="S344" s="286"/>
      <c r="T344" s="286"/>
      <c r="U344" s="286"/>
      <c r="V344" s="286"/>
      <c r="W344" s="286"/>
    </row>
    <row r="345">
      <c r="A345" s="286"/>
      <c r="B345" s="286"/>
      <c r="C345" s="529"/>
      <c r="D345" s="306"/>
      <c r="E345" s="306"/>
      <c r="F345" s="306"/>
      <c r="G345" s="286"/>
      <c r="H345" s="286"/>
      <c r="I345" s="286"/>
      <c r="J345" s="529"/>
      <c r="K345" s="286"/>
      <c r="L345" s="286"/>
      <c r="M345" s="529"/>
      <c r="N345" s="529"/>
      <c r="O345" s="529"/>
      <c r="P345" s="529"/>
      <c r="Q345" s="529"/>
      <c r="R345" s="286"/>
      <c r="S345" s="286"/>
      <c r="T345" s="286"/>
      <c r="U345" s="286"/>
      <c r="V345" s="286"/>
      <c r="W345" s="286"/>
    </row>
    <row r="346">
      <c r="A346" s="286"/>
      <c r="B346" s="286"/>
      <c r="C346" s="529"/>
      <c r="D346" s="306"/>
      <c r="E346" s="306"/>
      <c r="F346" s="306"/>
      <c r="G346" s="286"/>
      <c r="H346" s="286"/>
      <c r="I346" s="286"/>
      <c r="J346" s="529"/>
      <c r="K346" s="286"/>
      <c r="L346" s="286"/>
      <c r="M346" s="529"/>
      <c r="N346" s="529"/>
      <c r="O346" s="529"/>
      <c r="P346" s="529"/>
      <c r="Q346" s="529"/>
      <c r="R346" s="286"/>
      <c r="S346" s="286"/>
      <c r="T346" s="286"/>
      <c r="U346" s="286"/>
      <c r="V346" s="286"/>
      <c r="W346" s="286"/>
    </row>
    <row r="347">
      <c r="A347" s="286"/>
      <c r="B347" s="286"/>
      <c r="C347" s="529"/>
      <c r="D347" s="306"/>
      <c r="E347" s="306"/>
      <c r="F347" s="306"/>
      <c r="G347" s="286"/>
      <c r="H347" s="286"/>
      <c r="I347" s="286"/>
      <c r="J347" s="529"/>
      <c r="K347" s="286"/>
      <c r="L347" s="286"/>
      <c r="M347" s="529"/>
      <c r="N347" s="529"/>
      <c r="O347" s="529"/>
      <c r="P347" s="529"/>
      <c r="Q347" s="529"/>
      <c r="R347" s="286"/>
      <c r="S347" s="286"/>
      <c r="T347" s="286"/>
      <c r="U347" s="286"/>
      <c r="V347" s="286"/>
      <c r="W347" s="286"/>
    </row>
    <row r="348">
      <c r="A348" s="286"/>
      <c r="B348" s="286"/>
      <c r="C348" s="529"/>
      <c r="D348" s="306"/>
      <c r="E348" s="306"/>
      <c r="F348" s="306"/>
      <c r="G348" s="286"/>
      <c r="H348" s="286"/>
      <c r="I348" s="286"/>
      <c r="J348" s="529"/>
      <c r="K348" s="286"/>
      <c r="L348" s="286"/>
      <c r="M348" s="529"/>
      <c r="N348" s="529"/>
      <c r="O348" s="529"/>
      <c r="P348" s="529"/>
      <c r="Q348" s="529"/>
      <c r="R348" s="286"/>
      <c r="S348" s="286"/>
      <c r="T348" s="286"/>
      <c r="U348" s="286"/>
      <c r="V348" s="286"/>
      <c r="W348" s="286"/>
    </row>
    <row r="349">
      <c r="A349" s="286"/>
      <c r="B349" s="286"/>
      <c r="C349" s="529"/>
      <c r="D349" s="306"/>
      <c r="E349" s="306"/>
      <c r="F349" s="306"/>
      <c r="G349" s="286"/>
      <c r="H349" s="286"/>
      <c r="I349" s="286"/>
      <c r="J349" s="529"/>
      <c r="K349" s="286"/>
      <c r="L349" s="286"/>
      <c r="M349" s="529"/>
      <c r="N349" s="529"/>
      <c r="O349" s="529"/>
      <c r="P349" s="529"/>
      <c r="Q349" s="529"/>
      <c r="R349" s="286"/>
      <c r="S349" s="286"/>
      <c r="T349" s="286"/>
      <c r="U349" s="286"/>
      <c r="V349" s="286"/>
      <c r="W349" s="286"/>
    </row>
    <row r="350">
      <c r="A350" s="286"/>
      <c r="B350" s="286"/>
      <c r="C350" s="529"/>
      <c r="D350" s="306"/>
      <c r="E350" s="306"/>
      <c r="F350" s="306"/>
      <c r="G350" s="286"/>
      <c r="H350" s="286"/>
      <c r="I350" s="286"/>
      <c r="J350" s="529"/>
      <c r="K350" s="286"/>
      <c r="L350" s="286"/>
      <c r="M350" s="529"/>
      <c r="N350" s="529"/>
      <c r="O350" s="529"/>
      <c r="P350" s="529"/>
      <c r="Q350" s="529"/>
      <c r="R350" s="286"/>
      <c r="S350" s="286"/>
      <c r="T350" s="286"/>
      <c r="U350" s="286"/>
      <c r="V350" s="286"/>
      <c r="W350" s="286"/>
    </row>
    <row r="351">
      <c r="A351" s="286"/>
      <c r="B351" s="286"/>
      <c r="C351" s="529"/>
      <c r="D351" s="306"/>
      <c r="E351" s="306"/>
      <c r="F351" s="306"/>
      <c r="G351" s="286"/>
      <c r="H351" s="286"/>
      <c r="I351" s="286"/>
      <c r="J351" s="529"/>
      <c r="K351" s="286"/>
      <c r="L351" s="286"/>
      <c r="M351" s="529"/>
      <c r="N351" s="529"/>
      <c r="O351" s="529"/>
      <c r="P351" s="529"/>
      <c r="Q351" s="529"/>
      <c r="R351" s="286"/>
      <c r="S351" s="286"/>
      <c r="T351" s="286"/>
      <c r="U351" s="286"/>
      <c r="V351" s="286"/>
      <c r="W351" s="286"/>
    </row>
    <row r="352">
      <c r="A352" s="286"/>
      <c r="B352" s="286"/>
      <c r="C352" s="529"/>
      <c r="D352" s="306"/>
      <c r="E352" s="306"/>
      <c r="F352" s="306"/>
      <c r="G352" s="286"/>
      <c r="H352" s="286"/>
      <c r="I352" s="286"/>
      <c r="J352" s="529"/>
      <c r="K352" s="286"/>
      <c r="L352" s="286"/>
      <c r="M352" s="529"/>
      <c r="N352" s="529"/>
      <c r="O352" s="529"/>
      <c r="P352" s="529"/>
      <c r="Q352" s="529"/>
      <c r="R352" s="286"/>
      <c r="S352" s="286"/>
      <c r="T352" s="286"/>
      <c r="U352" s="286"/>
      <c r="V352" s="286"/>
      <c r="W352" s="286"/>
    </row>
    <row r="353">
      <c r="A353" s="286"/>
      <c r="B353" s="286"/>
      <c r="C353" s="529"/>
      <c r="D353" s="306"/>
      <c r="E353" s="306"/>
      <c r="F353" s="306"/>
      <c r="G353" s="286"/>
      <c r="H353" s="286"/>
      <c r="I353" s="286"/>
      <c r="J353" s="529"/>
      <c r="K353" s="286"/>
      <c r="L353" s="286"/>
      <c r="M353" s="529"/>
      <c r="N353" s="529"/>
      <c r="O353" s="529"/>
      <c r="P353" s="529"/>
      <c r="Q353" s="529"/>
      <c r="R353" s="286"/>
      <c r="S353" s="286"/>
      <c r="T353" s="286"/>
      <c r="U353" s="286"/>
      <c r="V353" s="286"/>
      <c r="W353" s="286"/>
    </row>
    <row r="354">
      <c r="A354" s="286"/>
      <c r="B354" s="286"/>
      <c r="C354" s="529"/>
      <c r="D354" s="306"/>
      <c r="E354" s="306"/>
      <c r="F354" s="306"/>
      <c r="G354" s="286"/>
      <c r="H354" s="286"/>
      <c r="I354" s="286"/>
      <c r="J354" s="529"/>
      <c r="K354" s="286"/>
      <c r="L354" s="286"/>
      <c r="M354" s="529"/>
      <c r="N354" s="529"/>
      <c r="O354" s="529"/>
      <c r="P354" s="529"/>
      <c r="Q354" s="529"/>
      <c r="R354" s="286"/>
      <c r="S354" s="286"/>
      <c r="T354" s="286"/>
      <c r="U354" s="286"/>
      <c r="V354" s="286"/>
      <c r="W354" s="286"/>
    </row>
    <row r="355">
      <c r="A355" s="286"/>
      <c r="B355" s="286"/>
      <c r="C355" s="529"/>
      <c r="D355" s="306"/>
      <c r="E355" s="306"/>
      <c r="F355" s="306"/>
      <c r="G355" s="286"/>
      <c r="H355" s="286"/>
      <c r="I355" s="286"/>
      <c r="J355" s="529"/>
      <c r="K355" s="286"/>
      <c r="L355" s="286"/>
      <c r="M355" s="529"/>
      <c r="N355" s="529"/>
      <c r="O355" s="529"/>
      <c r="P355" s="529"/>
      <c r="Q355" s="529"/>
      <c r="R355" s="286"/>
      <c r="S355" s="286"/>
      <c r="T355" s="286"/>
      <c r="U355" s="286"/>
      <c r="V355" s="286"/>
      <c r="W355" s="286"/>
    </row>
    <row r="356">
      <c r="A356" s="286"/>
      <c r="B356" s="286"/>
      <c r="C356" s="529"/>
      <c r="D356" s="306"/>
      <c r="E356" s="306"/>
      <c r="F356" s="306"/>
      <c r="G356" s="286"/>
      <c r="H356" s="286"/>
      <c r="I356" s="286"/>
      <c r="J356" s="529"/>
      <c r="K356" s="286"/>
      <c r="L356" s="286"/>
      <c r="M356" s="529"/>
      <c r="N356" s="529"/>
      <c r="O356" s="529"/>
      <c r="P356" s="529"/>
      <c r="Q356" s="529"/>
      <c r="R356" s="286"/>
      <c r="S356" s="286"/>
      <c r="T356" s="286"/>
      <c r="U356" s="286"/>
      <c r="V356" s="286"/>
      <c r="W356" s="286"/>
    </row>
    <row r="357">
      <c r="A357" s="286"/>
      <c r="B357" s="286"/>
      <c r="C357" s="529"/>
      <c r="D357" s="306"/>
      <c r="E357" s="306"/>
      <c r="F357" s="306"/>
      <c r="G357" s="286"/>
      <c r="H357" s="286"/>
      <c r="I357" s="286"/>
      <c r="J357" s="529"/>
      <c r="K357" s="286"/>
      <c r="L357" s="286"/>
      <c r="M357" s="529"/>
      <c r="N357" s="529"/>
      <c r="O357" s="529"/>
      <c r="P357" s="529"/>
      <c r="Q357" s="529"/>
      <c r="R357" s="286"/>
      <c r="S357" s="286"/>
      <c r="T357" s="286"/>
      <c r="U357" s="286"/>
      <c r="V357" s="286"/>
      <c r="W357" s="286"/>
    </row>
    <row r="358">
      <c r="A358" s="286"/>
      <c r="B358" s="286"/>
      <c r="C358" s="529"/>
      <c r="D358" s="306"/>
      <c r="E358" s="306"/>
      <c r="F358" s="306"/>
      <c r="G358" s="286"/>
      <c r="H358" s="286"/>
      <c r="I358" s="286"/>
      <c r="J358" s="529"/>
      <c r="K358" s="286"/>
      <c r="L358" s="286"/>
      <c r="M358" s="529"/>
      <c r="N358" s="529"/>
      <c r="O358" s="529"/>
      <c r="P358" s="529"/>
      <c r="Q358" s="529"/>
      <c r="R358" s="286"/>
      <c r="S358" s="286"/>
      <c r="T358" s="286"/>
      <c r="U358" s="286"/>
      <c r="V358" s="286"/>
      <c r="W358" s="286"/>
    </row>
    <row r="359">
      <c r="A359" s="286"/>
      <c r="B359" s="286"/>
      <c r="C359" s="529"/>
      <c r="D359" s="306"/>
      <c r="E359" s="306"/>
      <c r="F359" s="306"/>
      <c r="G359" s="286"/>
      <c r="H359" s="286"/>
      <c r="I359" s="286"/>
      <c r="J359" s="529"/>
      <c r="K359" s="286"/>
      <c r="L359" s="286"/>
      <c r="M359" s="529"/>
      <c r="N359" s="529"/>
      <c r="O359" s="529"/>
      <c r="P359" s="529"/>
      <c r="Q359" s="529"/>
      <c r="R359" s="286"/>
      <c r="S359" s="286"/>
      <c r="T359" s="286"/>
      <c r="U359" s="286"/>
      <c r="V359" s="286"/>
      <c r="W359" s="286"/>
    </row>
    <row r="360">
      <c r="A360" s="286"/>
      <c r="B360" s="286"/>
      <c r="C360" s="529"/>
      <c r="D360" s="306"/>
      <c r="E360" s="306"/>
      <c r="F360" s="306"/>
      <c r="G360" s="286"/>
      <c r="H360" s="286"/>
      <c r="I360" s="286"/>
      <c r="J360" s="529"/>
      <c r="K360" s="286"/>
      <c r="L360" s="286"/>
      <c r="M360" s="529"/>
      <c r="N360" s="529"/>
      <c r="O360" s="529"/>
      <c r="P360" s="529"/>
      <c r="Q360" s="529"/>
      <c r="R360" s="286"/>
      <c r="S360" s="286"/>
      <c r="T360" s="286"/>
      <c r="U360" s="286"/>
      <c r="V360" s="286"/>
      <c r="W360" s="286"/>
    </row>
    <row r="361">
      <c r="A361" s="286"/>
      <c r="B361" s="286"/>
      <c r="C361" s="529"/>
      <c r="D361" s="306"/>
      <c r="E361" s="306"/>
      <c r="F361" s="306"/>
      <c r="G361" s="286"/>
      <c r="H361" s="286"/>
      <c r="I361" s="286"/>
      <c r="J361" s="529"/>
      <c r="K361" s="286"/>
      <c r="L361" s="286"/>
      <c r="M361" s="529"/>
      <c r="N361" s="529"/>
      <c r="O361" s="529"/>
      <c r="P361" s="529"/>
      <c r="Q361" s="529"/>
      <c r="R361" s="286"/>
      <c r="S361" s="286"/>
      <c r="T361" s="286"/>
      <c r="U361" s="286"/>
      <c r="V361" s="286"/>
      <c r="W361" s="286"/>
    </row>
    <row r="362">
      <c r="A362" s="286"/>
      <c r="B362" s="286"/>
      <c r="C362" s="529"/>
      <c r="D362" s="306"/>
      <c r="E362" s="306"/>
      <c r="F362" s="306"/>
      <c r="G362" s="286"/>
      <c r="H362" s="286"/>
      <c r="I362" s="286"/>
      <c r="J362" s="529"/>
      <c r="K362" s="286"/>
      <c r="L362" s="286"/>
      <c r="M362" s="529"/>
      <c r="N362" s="529"/>
      <c r="O362" s="529"/>
      <c r="P362" s="529"/>
      <c r="Q362" s="529"/>
      <c r="R362" s="286"/>
      <c r="S362" s="286"/>
      <c r="T362" s="286"/>
      <c r="U362" s="286"/>
      <c r="V362" s="286"/>
      <c r="W362" s="286"/>
    </row>
    <row r="363">
      <c r="A363" s="286"/>
      <c r="B363" s="286"/>
      <c r="C363" s="529"/>
      <c r="D363" s="306"/>
      <c r="E363" s="306"/>
      <c r="F363" s="306"/>
      <c r="G363" s="286"/>
      <c r="H363" s="286"/>
      <c r="I363" s="286"/>
      <c r="J363" s="529"/>
      <c r="K363" s="286"/>
      <c r="L363" s="286"/>
      <c r="M363" s="529"/>
      <c r="N363" s="529"/>
      <c r="O363" s="529"/>
      <c r="P363" s="529"/>
      <c r="Q363" s="529"/>
      <c r="R363" s="286"/>
      <c r="S363" s="286"/>
      <c r="T363" s="286"/>
      <c r="U363" s="286"/>
      <c r="V363" s="286"/>
      <c r="W363" s="286"/>
    </row>
    <row r="364">
      <c r="A364" s="286"/>
      <c r="B364" s="286"/>
      <c r="C364" s="529"/>
      <c r="D364" s="306"/>
      <c r="E364" s="306"/>
      <c r="F364" s="306"/>
      <c r="G364" s="286"/>
      <c r="H364" s="286"/>
      <c r="I364" s="286"/>
      <c r="J364" s="529"/>
      <c r="K364" s="286"/>
      <c r="L364" s="286"/>
      <c r="M364" s="529"/>
      <c r="N364" s="529"/>
      <c r="O364" s="529"/>
      <c r="P364" s="529"/>
      <c r="Q364" s="529"/>
      <c r="R364" s="286"/>
      <c r="S364" s="286"/>
      <c r="T364" s="286"/>
      <c r="U364" s="286"/>
      <c r="V364" s="286"/>
      <c r="W364" s="286"/>
    </row>
    <row r="365">
      <c r="A365" s="286"/>
      <c r="B365" s="286"/>
      <c r="C365" s="529"/>
      <c r="D365" s="306"/>
      <c r="E365" s="306"/>
      <c r="F365" s="306"/>
      <c r="G365" s="286"/>
      <c r="H365" s="286"/>
      <c r="I365" s="286"/>
      <c r="J365" s="529"/>
      <c r="K365" s="286"/>
      <c r="L365" s="286"/>
      <c r="M365" s="529"/>
      <c r="N365" s="529"/>
      <c r="O365" s="529"/>
      <c r="P365" s="529"/>
      <c r="Q365" s="529"/>
      <c r="R365" s="286"/>
      <c r="S365" s="286"/>
      <c r="T365" s="286"/>
      <c r="U365" s="286"/>
      <c r="V365" s="286"/>
      <c r="W365" s="286"/>
    </row>
    <row r="366">
      <c r="A366" s="286"/>
      <c r="B366" s="286"/>
      <c r="C366" s="529"/>
      <c r="D366" s="306"/>
      <c r="E366" s="306"/>
      <c r="F366" s="306"/>
      <c r="G366" s="286"/>
      <c r="H366" s="286"/>
      <c r="I366" s="286"/>
      <c r="J366" s="529"/>
      <c r="K366" s="286"/>
      <c r="L366" s="286"/>
      <c r="M366" s="529"/>
      <c r="N366" s="529"/>
      <c r="O366" s="529"/>
      <c r="P366" s="529"/>
      <c r="Q366" s="529"/>
      <c r="R366" s="286"/>
      <c r="S366" s="286"/>
      <c r="T366" s="286"/>
      <c r="U366" s="286"/>
      <c r="V366" s="286"/>
      <c r="W366" s="286"/>
    </row>
    <row r="367">
      <c r="A367" s="286"/>
      <c r="B367" s="286"/>
      <c r="C367" s="529"/>
      <c r="D367" s="306"/>
      <c r="E367" s="306"/>
      <c r="F367" s="306"/>
      <c r="G367" s="286"/>
      <c r="H367" s="286"/>
      <c r="I367" s="286"/>
      <c r="J367" s="529"/>
      <c r="K367" s="286"/>
      <c r="L367" s="286"/>
      <c r="M367" s="529"/>
      <c r="N367" s="529"/>
      <c r="O367" s="529"/>
      <c r="P367" s="529"/>
      <c r="Q367" s="529"/>
      <c r="R367" s="286"/>
      <c r="S367" s="286"/>
      <c r="T367" s="286"/>
      <c r="U367" s="286"/>
      <c r="V367" s="286"/>
      <c r="W367" s="286"/>
    </row>
    <row r="368">
      <c r="A368" s="286"/>
      <c r="B368" s="286"/>
      <c r="C368" s="529"/>
      <c r="D368" s="306"/>
      <c r="E368" s="306"/>
      <c r="F368" s="306"/>
      <c r="G368" s="286"/>
      <c r="H368" s="286"/>
      <c r="I368" s="286"/>
      <c r="J368" s="529"/>
      <c r="K368" s="286"/>
      <c r="L368" s="286"/>
      <c r="M368" s="529"/>
      <c r="N368" s="529"/>
      <c r="O368" s="529"/>
      <c r="P368" s="529"/>
      <c r="Q368" s="529"/>
      <c r="R368" s="286"/>
      <c r="S368" s="286"/>
      <c r="T368" s="286"/>
      <c r="U368" s="286"/>
      <c r="V368" s="286"/>
      <c r="W368" s="286"/>
    </row>
    <row r="369">
      <c r="A369" s="286"/>
      <c r="B369" s="286"/>
      <c r="C369" s="529"/>
      <c r="D369" s="306"/>
      <c r="E369" s="306"/>
      <c r="F369" s="306"/>
      <c r="G369" s="286"/>
      <c r="H369" s="286"/>
      <c r="I369" s="286"/>
      <c r="J369" s="529"/>
      <c r="K369" s="286"/>
      <c r="L369" s="286"/>
      <c r="M369" s="529"/>
      <c r="N369" s="529"/>
      <c r="O369" s="529"/>
      <c r="P369" s="529"/>
      <c r="Q369" s="529"/>
      <c r="R369" s="286"/>
      <c r="S369" s="286"/>
      <c r="T369" s="286"/>
      <c r="U369" s="286"/>
      <c r="V369" s="286"/>
      <c r="W369" s="286"/>
    </row>
    <row r="370">
      <c r="A370" s="286"/>
      <c r="B370" s="286"/>
      <c r="C370" s="529"/>
      <c r="D370" s="306"/>
      <c r="E370" s="306"/>
      <c r="F370" s="306"/>
      <c r="G370" s="286"/>
      <c r="H370" s="286"/>
      <c r="I370" s="286"/>
      <c r="J370" s="529"/>
      <c r="K370" s="286"/>
      <c r="L370" s="286"/>
      <c r="M370" s="529"/>
      <c r="N370" s="529"/>
      <c r="O370" s="529"/>
      <c r="P370" s="529"/>
      <c r="Q370" s="529"/>
      <c r="R370" s="286"/>
      <c r="S370" s="286"/>
      <c r="T370" s="286"/>
      <c r="U370" s="286"/>
      <c r="V370" s="286"/>
      <c r="W370" s="286"/>
    </row>
    <row r="371">
      <c r="A371" s="286"/>
      <c r="B371" s="286"/>
      <c r="C371" s="529"/>
      <c r="D371" s="306"/>
      <c r="E371" s="306"/>
      <c r="F371" s="306"/>
      <c r="G371" s="286"/>
      <c r="H371" s="286"/>
      <c r="I371" s="286"/>
      <c r="J371" s="529"/>
      <c r="K371" s="286"/>
      <c r="L371" s="286"/>
      <c r="M371" s="529"/>
      <c r="N371" s="529"/>
      <c r="O371" s="529"/>
      <c r="P371" s="529"/>
      <c r="Q371" s="529"/>
      <c r="R371" s="286"/>
      <c r="S371" s="286"/>
      <c r="T371" s="286"/>
      <c r="U371" s="286"/>
      <c r="V371" s="286"/>
      <c r="W371" s="286"/>
    </row>
    <row r="372">
      <c r="A372" s="286"/>
      <c r="B372" s="286"/>
      <c r="C372" s="529"/>
      <c r="D372" s="306"/>
      <c r="E372" s="306"/>
      <c r="F372" s="306"/>
      <c r="G372" s="286"/>
      <c r="H372" s="286"/>
      <c r="I372" s="286"/>
      <c r="J372" s="529"/>
      <c r="K372" s="286"/>
      <c r="L372" s="286"/>
      <c r="M372" s="529"/>
      <c r="N372" s="529"/>
      <c r="O372" s="529"/>
      <c r="P372" s="529"/>
      <c r="Q372" s="529"/>
      <c r="R372" s="286"/>
      <c r="S372" s="286"/>
      <c r="T372" s="286"/>
      <c r="U372" s="286"/>
      <c r="V372" s="286"/>
      <c r="W372" s="286"/>
    </row>
    <row r="373">
      <c r="A373" s="286"/>
      <c r="B373" s="286"/>
      <c r="C373" s="529"/>
      <c r="D373" s="306"/>
      <c r="E373" s="306"/>
      <c r="F373" s="306"/>
      <c r="G373" s="286"/>
      <c r="H373" s="286"/>
      <c r="I373" s="286"/>
      <c r="J373" s="529"/>
      <c r="K373" s="286"/>
      <c r="L373" s="286"/>
      <c r="M373" s="529"/>
      <c r="N373" s="529"/>
      <c r="O373" s="529"/>
      <c r="P373" s="529"/>
      <c r="Q373" s="529"/>
      <c r="R373" s="286"/>
      <c r="S373" s="286"/>
      <c r="T373" s="286"/>
      <c r="U373" s="286"/>
      <c r="V373" s="286"/>
      <c r="W373" s="286"/>
    </row>
    <row r="374">
      <c r="A374" s="286"/>
      <c r="B374" s="286"/>
      <c r="C374" s="529"/>
      <c r="D374" s="306"/>
      <c r="E374" s="306"/>
      <c r="F374" s="306"/>
      <c r="G374" s="286"/>
      <c r="H374" s="286"/>
      <c r="I374" s="286"/>
      <c r="J374" s="529"/>
      <c r="K374" s="286"/>
      <c r="L374" s="286"/>
      <c r="M374" s="529"/>
      <c r="N374" s="529"/>
      <c r="O374" s="529"/>
      <c r="P374" s="529"/>
      <c r="Q374" s="529"/>
      <c r="R374" s="286"/>
      <c r="S374" s="286"/>
      <c r="T374" s="286"/>
      <c r="U374" s="286"/>
      <c r="V374" s="286"/>
      <c r="W374" s="286"/>
    </row>
    <row r="375">
      <c r="A375" s="286"/>
      <c r="B375" s="286"/>
      <c r="C375" s="529"/>
      <c r="D375" s="306"/>
      <c r="E375" s="306"/>
      <c r="F375" s="306"/>
      <c r="G375" s="286"/>
      <c r="H375" s="286"/>
      <c r="I375" s="286"/>
      <c r="J375" s="529"/>
      <c r="K375" s="286"/>
      <c r="L375" s="286"/>
      <c r="M375" s="529"/>
      <c r="N375" s="529"/>
      <c r="O375" s="529"/>
      <c r="P375" s="529"/>
      <c r="Q375" s="529"/>
      <c r="R375" s="286"/>
      <c r="S375" s="286"/>
      <c r="T375" s="286"/>
      <c r="U375" s="286"/>
      <c r="V375" s="286"/>
      <c r="W375" s="286"/>
    </row>
    <row r="376">
      <c r="A376" s="286"/>
      <c r="B376" s="286"/>
      <c r="C376" s="529"/>
      <c r="D376" s="306"/>
      <c r="E376" s="306"/>
      <c r="F376" s="306"/>
      <c r="G376" s="286"/>
      <c r="H376" s="286"/>
      <c r="I376" s="286"/>
      <c r="J376" s="529"/>
      <c r="K376" s="286"/>
      <c r="L376" s="286"/>
      <c r="M376" s="529"/>
      <c r="N376" s="529"/>
      <c r="O376" s="529"/>
      <c r="P376" s="529"/>
      <c r="Q376" s="529"/>
      <c r="R376" s="286"/>
      <c r="S376" s="286"/>
      <c r="T376" s="286"/>
      <c r="U376" s="286"/>
      <c r="V376" s="286"/>
      <c r="W376" s="286"/>
    </row>
    <row r="377">
      <c r="A377" s="286"/>
      <c r="B377" s="286"/>
      <c r="C377" s="529"/>
      <c r="D377" s="306"/>
      <c r="E377" s="306"/>
      <c r="F377" s="306"/>
      <c r="G377" s="286"/>
      <c r="H377" s="286"/>
      <c r="I377" s="286"/>
      <c r="J377" s="529"/>
      <c r="K377" s="286"/>
      <c r="L377" s="286"/>
      <c r="M377" s="529"/>
      <c r="N377" s="529"/>
      <c r="O377" s="529"/>
      <c r="P377" s="529"/>
      <c r="Q377" s="529"/>
      <c r="R377" s="286"/>
      <c r="S377" s="286"/>
      <c r="T377" s="286"/>
      <c r="U377" s="286"/>
      <c r="V377" s="286"/>
      <c r="W377" s="286"/>
    </row>
    <row r="378">
      <c r="A378" s="286"/>
      <c r="B378" s="286"/>
      <c r="C378" s="529"/>
      <c r="D378" s="306"/>
      <c r="E378" s="306"/>
      <c r="F378" s="306"/>
      <c r="G378" s="286"/>
      <c r="H378" s="286"/>
      <c r="I378" s="286"/>
      <c r="J378" s="529"/>
      <c r="K378" s="286"/>
      <c r="L378" s="286"/>
      <c r="M378" s="529"/>
      <c r="N378" s="529"/>
      <c r="O378" s="529"/>
      <c r="P378" s="529"/>
      <c r="Q378" s="529"/>
      <c r="R378" s="286"/>
      <c r="S378" s="286"/>
      <c r="T378" s="286"/>
      <c r="U378" s="286"/>
      <c r="V378" s="286"/>
      <c r="W378" s="286"/>
    </row>
    <row r="379">
      <c r="A379" s="286"/>
      <c r="B379" s="286"/>
      <c r="C379" s="529"/>
      <c r="D379" s="306"/>
      <c r="E379" s="306"/>
      <c r="F379" s="306"/>
      <c r="G379" s="286"/>
      <c r="H379" s="286"/>
      <c r="I379" s="286"/>
      <c r="J379" s="529"/>
      <c r="K379" s="286"/>
      <c r="L379" s="286"/>
      <c r="M379" s="529"/>
      <c r="N379" s="529"/>
      <c r="O379" s="529"/>
      <c r="P379" s="529"/>
      <c r="Q379" s="529"/>
      <c r="R379" s="286"/>
      <c r="S379" s="286"/>
      <c r="T379" s="286"/>
      <c r="U379" s="286"/>
      <c r="V379" s="286"/>
      <c r="W379" s="286"/>
    </row>
    <row r="380">
      <c r="A380" s="286"/>
      <c r="B380" s="286"/>
      <c r="C380" s="529"/>
      <c r="D380" s="306"/>
      <c r="E380" s="306"/>
      <c r="F380" s="306"/>
      <c r="G380" s="286"/>
      <c r="H380" s="286"/>
      <c r="I380" s="286"/>
      <c r="J380" s="529"/>
      <c r="K380" s="286"/>
      <c r="L380" s="286"/>
      <c r="M380" s="529"/>
      <c r="N380" s="529"/>
      <c r="O380" s="529"/>
      <c r="P380" s="529"/>
      <c r="Q380" s="529"/>
      <c r="R380" s="286"/>
      <c r="S380" s="286"/>
      <c r="T380" s="286"/>
      <c r="U380" s="286"/>
      <c r="V380" s="286"/>
      <c r="W380" s="286"/>
    </row>
    <row r="381">
      <c r="A381" s="286"/>
      <c r="B381" s="286"/>
      <c r="C381" s="529"/>
      <c r="D381" s="306"/>
      <c r="E381" s="306"/>
      <c r="F381" s="306"/>
      <c r="G381" s="286"/>
      <c r="H381" s="286"/>
      <c r="I381" s="286"/>
      <c r="J381" s="529"/>
      <c r="K381" s="286"/>
      <c r="L381" s="286"/>
      <c r="M381" s="529"/>
      <c r="N381" s="529"/>
      <c r="O381" s="529"/>
      <c r="P381" s="529"/>
      <c r="Q381" s="529"/>
      <c r="R381" s="286"/>
      <c r="S381" s="286"/>
      <c r="T381" s="286"/>
      <c r="U381" s="286"/>
      <c r="V381" s="286"/>
      <c r="W381" s="286"/>
    </row>
    <row r="382">
      <c r="A382" s="286"/>
      <c r="B382" s="286"/>
      <c r="C382" s="529"/>
      <c r="D382" s="306"/>
      <c r="E382" s="306"/>
      <c r="F382" s="306"/>
      <c r="G382" s="286"/>
      <c r="H382" s="286"/>
      <c r="I382" s="286"/>
      <c r="J382" s="529"/>
      <c r="K382" s="286"/>
      <c r="L382" s="286"/>
      <c r="M382" s="529"/>
      <c r="N382" s="529"/>
      <c r="O382" s="529"/>
      <c r="P382" s="529"/>
      <c r="Q382" s="529"/>
      <c r="R382" s="286"/>
      <c r="S382" s="286"/>
      <c r="T382" s="286"/>
      <c r="U382" s="286"/>
      <c r="V382" s="286"/>
      <c r="W382" s="286"/>
    </row>
    <row r="383">
      <c r="A383" s="286"/>
      <c r="B383" s="286"/>
      <c r="C383" s="529"/>
      <c r="D383" s="306"/>
      <c r="E383" s="306"/>
      <c r="F383" s="306"/>
      <c r="G383" s="286"/>
      <c r="H383" s="286"/>
      <c r="I383" s="286"/>
      <c r="J383" s="529"/>
      <c r="K383" s="286"/>
      <c r="L383" s="286"/>
      <c r="M383" s="529"/>
      <c r="N383" s="529"/>
      <c r="O383" s="529"/>
      <c r="P383" s="529"/>
      <c r="Q383" s="529"/>
      <c r="R383" s="286"/>
      <c r="S383" s="286"/>
      <c r="T383" s="286"/>
      <c r="U383" s="286"/>
      <c r="V383" s="286"/>
      <c r="W383" s="286"/>
    </row>
    <row r="384">
      <c r="A384" s="286"/>
      <c r="B384" s="286"/>
      <c r="C384" s="529"/>
      <c r="D384" s="306"/>
      <c r="E384" s="306"/>
      <c r="F384" s="306"/>
      <c r="G384" s="286"/>
      <c r="H384" s="286"/>
      <c r="I384" s="286"/>
      <c r="J384" s="529"/>
      <c r="K384" s="286"/>
      <c r="L384" s="286"/>
      <c r="M384" s="529"/>
      <c r="N384" s="529"/>
      <c r="O384" s="529"/>
      <c r="P384" s="529"/>
      <c r="Q384" s="529"/>
      <c r="R384" s="286"/>
      <c r="S384" s="286"/>
      <c r="T384" s="286"/>
      <c r="U384" s="286"/>
      <c r="V384" s="286"/>
      <c r="W384" s="286"/>
    </row>
    <row r="385">
      <c r="A385" s="286"/>
      <c r="B385" s="286"/>
      <c r="C385" s="529"/>
      <c r="D385" s="306"/>
      <c r="E385" s="306"/>
      <c r="F385" s="306"/>
      <c r="G385" s="286"/>
      <c r="H385" s="286"/>
      <c r="I385" s="286"/>
      <c r="J385" s="529"/>
      <c r="K385" s="286"/>
      <c r="L385" s="286"/>
      <c r="M385" s="529"/>
      <c r="N385" s="529"/>
      <c r="O385" s="529"/>
      <c r="P385" s="529"/>
      <c r="Q385" s="529"/>
      <c r="R385" s="286"/>
      <c r="S385" s="286"/>
      <c r="T385" s="286"/>
      <c r="U385" s="286"/>
      <c r="V385" s="286"/>
      <c r="W385" s="286"/>
    </row>
    <row r="386">
      <c r="A386" s="286"/>
      <c r="B386" s="286"/>
      <c r="C386" s="529"/>
      <c r="D386" s="306"/>
      <c r="E386" s="306"/>
      <c r="F386" s="306"/>
      <c r="G386" s="286"/>
      <c r="H386" s="286"/>
      <c r="I386" s="286"/>
      <c r="J386" s="529"/>
      <c r="K386" s="286"/>
      <c r="L386" s="286"/>
      <c r="M386" s="529"/>
      <c r="N386" s="529"/>
      <c r="O386" s="529"/>
      <c r="P386" s="529"/>
      <c r="Q386" s="529"/>
      <c r="R386" s="286"/>
      <c r="S386" s="286"/>
      <c r="T386" s="286"/>
      <c r="U386" s="286"/>
      <c r="V386" s="286"/>
      <c r="W386" s="286"/>
    </row>
    <row r="387">
      <c r="A387" s="286"/>
      <c r="B387" s="286"/>
      <c r="C387" s="529"/>
      <c r="D387" s="306"/>
      <c r="E387" s="306"/>
      <c r="F387" s="306"/>
      <c r="G387" s="286"/>
      <c r="H387" s="286"/>
      <c r="I387" s="286"/>
      <c r="J387" s="529"/>
      <c r="K387" s="286"/>
      <c r="L387" s="286"/>
      <c r="M387" s="529"/>
      <c r="N387" s="529"/>
      <c r="O387" s="529"/>
      <c r="P387" s="529"/>
      <c r="Q387" s="529"/>
      <c r="R387" s="286"/>
      <c r="S387" s="286"/>
      <c r="T387" s="286"/>
      <c r="U387" s="286"/>
      <c r="V387" s="286"/>
      <c r="W387" s="286"/>
    </row>
    <row r="388">
      <c r="A388" s="286"/>
      <c r="B388" s="286"/>
      <c r="C388" s="529"/>
      <c r="D388" s="306"/>
      <c r="E388" s="306"/>
      <c r="F388" s="306"/>
      <c r="G388" s="286"/>
      <c r="H388" s="286"/>
      <c r="I388" s="286"/>
      <c r="J388" s="529"/>
      <c r="K388" s="286"/>
      <c r="L388" s="286"/>
      <c r="M388" s="529"/>
      <c r="N388" s="529"/>
      <c r="O388" s="529"/>
      <c r="P388" s="529"/>
      <c r="Q388" s="529"/>
      <c r="R388" s="286"/>
      <c r="S388" s="286"/>
      <c r="T388" s="286"/>
      <c r="U388" s="286"/>
      <c r="V388" s="286"/>
      <c r="W388" s="286"/>
    </row>
    <row r="389">
      <c r="A389" s="286"/>
      <c r="B389" s="286"/>
      <c r="C389" s="529"/>
      <c r="D389" s="306"/>
      <c r="E389" s="306"/>
      <c r="F389" s="306"/>
      <c r="G389" s="286"/>
      <c r="H389" s="286"/>
      <c r="I389" s="286"/>
      <c r="J389" s="529"/>
      <c r="K389" s="286"/>
      <c r="L389" s="286"/>
      <c r="M389" s="529"/>
      <c r="N389" s="529"/>
      <c r="O389" s="529"/>
      <c r="P389" s="529"/>
      <c r="Q389" s="529"/>
      <c r="R389" s="286"/>
      <c r="S389" s="286"/>
      <c r="T389" s="286"/>
      <c r="U389" s="286"/>
      <c r="V389" s="286"/>
      <c r="W389" s="286"/>
    </row>
    <row r="390">
      <c r="A390" s="286"/>
      <c r="B390" s="286"/>
      <c r="C390" s="529"/>
      <c r="D390" s="306"/>
      <c r="E390" s="306"/>
      <c r="F390" s="306"/>
      <c r="G390" s="286"/>
      <c r="H390" s="286"/>
      <c r="I390" s="286"/>
      <c r="J390" s="529"/>
      <c r="K390" s="286"/>
      <c r="L390" s="286"/>
      <c r="M390" s="529"/>
      <c r="N390" s="529"/>
      <c r="O390" s="529"/>
      <c r="P390" s="529"/>
      <c r="Q390" s="529"/>
      <c r="R390" s="286"/>
      <c r="S390" s="286"/>
      <c r="T390" s="286"/>
      <c r="U390" s="286"/>
      <c r="V390" s="286"/>
      <c r="W390" s="286"/>
    </row>
    <row r="391">
      <c r="A391" s="286"/>
      <c r="B391" s="286"/>
      <c r="C391" s="529"/>
      <c r="D391" s="306"/>
      <c r="E391" s="306"/>
      <c r="F391" s="306"/>
      <c r="G391" s="286"/>
      <c r="H391" s="286"/>
      <c r="I391" s="286"/>
      <c r="J391" s="529"/>
      <c r="K391" s="286"/>
      <c r="L391" s="286"/>
      <c r="M391" s="529"/>
      <c r="N391" s="529"/>
      <c r="O391" s="529"/>
      <c r="P391" s="529"/>
      <c r="Q391" s="529"/>
      <c r="R391" s="286"/>
      <c r="S391" s="286"/>
      <c r="T391" s="286"/>
      <c r="U391" s="286"/>
      <c r="V391" s="286"/>
      <c r="W391" s="286"/>
    </row>
    <row r="392">
      <c r="A392" s="286"/>
      <c r="B392" s="286"/>
      <c r="C392" s="529"/>
      <c r="D392" s="306"/>
      <c r="E392" s="306"/>
      <c r="F392" s="306"/>
      <c r="G392" s="286"/>
      <c r="H392" s="286"/>
      <c r="I392" s="286"/>
      <c r="J392" s="529"/>
      <c r="K392" s="286"/>
      <c r="L392" s="286"/>
      <c r="M392" s="529"/>
      <c r="N392" s="529"/>
      <c r="O392" s="529"/>
      <c r="P392" s="529"/>
      <c r="Q392" s="529"/>
      <c r="R392" s="286"/>
      <c r="S392" s="286"/>
      <c r="T392" s="286"/>
      <c r="U392" s="286"/>
      <c r="V392" s="286"/>
      <c r="W392" s="286"/>
    </row>
    <row r="393">
      <c r="A393" s="286"/>
      <c r="B393" s="286"/>
      <c r="C393" s="529"/>
      <c r="D393" s="306"/>
      <c r="E393" s="306"/>
      <c r="F393" s="306"/>
      <c r="G393" s="286"/>
      <c r="H393" s="286"/>
      <c r="I393" s="286"/>
      <c r="J393" s="529"/>
      <c r="K393" s="286"/>
      <c r="L393" s="286"/>
      <c r="M393" s="529"/>
      <c r="N393" s="529"/>
      <c r="O393" s="529"/>
      <c r="P393" s="529"/>
      <c r="Q393" s="529"/>
      <c r="R393" s="286"/>
      <c r="S393" s="286"/>
      <c r="T393" s="286"/>
      <c r="U393" s="286"/>
      <c r="V393" s="286"/>
      <c r="W393" s="286"/>
    </row>
    <row r="394">
      <c r="A394" s="286"/>
      <c r="B394" s="286"/>
      <c r="C394" s="529"/>
      <c r="D394" s="306"/>
      <c r="E394" s="306"/>
      <c r="F394" s="306"/>
      <c r="G394" s="286"/>
      <c r="H394" s="286"/>
      <c r="I394" s="286"/>
      <c r="J394" s="529"/>
      <c r="K394" s="286"/>
      <c r="L394" s="286"/>
      <c r="M394" s="529"/>
      <c r="N394" s="529"/>
      <c r="O394" s="529"/>
      <c r="P394" s="529"/>
      <c r="Q394" s="529"/>
      <c r="R394" s="286"/>
      <c r="S394" s="286"/>
      <c r="T394" s="286"/>
      <c r="U394" s="286"/>
      <c r="V394" s="286"/>
      <c r="W394" s="286"/>
    </row>
    <row r="395">
      <c r="A395" s="286"/>
      <c r="B395" s="286"/>
      <c r="C395" s="529"/>
      <c r="D395" s="306"/>
      <c r="E395" s="306"/>
      <c r="F395" s="306"/>
      <c r="G395" s="286"/>
      <c r="H395" s="286"/>
      <c r="I395" s="286"/>
      <c r="J395" s="529"/>
      <c r="K395" s="286"/>
      <c r="L395" s="286"/>
      <c r="M395" s="529"/>
      <c r="N395" s="529"/>
      <c r="O395" s="529"/>
      <c r="P395" s="529"/>
      <c r="Q395" s="529"/>
      <c r="R395" s="286"/>
      <c r="S395" s="286"/>
      <c r="T395" s="286"/>
      <c r="U395" s="286"/>
      <c r="V395" s="286"/>
      <c r="W395" s="286"/>
    </row>
    <row r="396">
      <c r="A396" s="286"/>
      <c r="B396" s="286"/>
      <c r="C396" s="529"/>
      <c r="D396" s="306"/>
      <c r="E396" s="306"/>
      <c r="F396" s="306"/>
      <c r="G396" s="286"/>
      <c r="H396" s="286"/>
      <c r="I396" s="286"/>
      <c r="J396" s="529"/>
      <c r="K396" s="286"/>
      <c r="L396" s="286"/>
      <c r="M396" s="529"/>
      <c r="N396" s="529"/>
      <c r="O396" s="529"/>
      <c r="P396" s="529"/>
      <c r="Q396" s="529"/>
      <c r="R396" s="286"/>
      <c r="S396" s="286"/>
      <c r="T396" s="286"/>
      <c r="U396" s="286"/>
      <c r="V396" s="286"/>
      <c r="W396" s="286"/>
    </row>
    <row r="397">
      <c r="A397" s="286"/>
      <c r="B397" s="286"/>
      <c r="C397" s="529"/>
      <c r="D397" s="306"/>
      <c r="E397" s="306"/>
      <c r="F397" s="306"/>
      <c r="G397" s="286"/>
      <c r="H397" s="286"/>
      <c r="I397" s="286"/>
      <c r="J397" s="529"/>
      <c r="K397" s="286"/>
      <c r="L397" s="286"/>
      <c r="M397" s="529"/>
      <c r="N397" s="529"/>
      <c r="O397" s="529"/>
      <c r="P397" s="529"/>
      <c r="Q397" s="529"/>
      <c r="R397" s="286"/>
      <c r="S397" s="286"/>
      <c r="T397" s="286"/>
      <c r="U397" s="286"/>
      <c r="V397" s="286"/>
      <c r="W397" s="286"/>
    </row>
    <row r="398">
      <c r="A398" s="286"/>
      <c r="B398" s="286"/>
      <c r="C398" s="529"/>
      <c r="D398" s="306"/>
      <c r="E398" s="306"/>
      <c r="F398" s="306"/>
      <c r="G398" s="286"/>
      <c r="H398" s="286"/>
      <c r="I398" s="286"/>
      <c r="J398" s="529"/>
      <c r="K398" s="286"/>
      <c r="L398" s="286"/>
      <c r="M398" s="529"/>
      <c r="N398" s="529"/>
      <c r="O398" s="529"/>
      <c r="P398" s="529"/>
      <c r="Q398" s="529"/>
      <c r="R398" s="286"/>
      <c r="S398" s="286"/>
      <c r="T398" s="286"/>
      <c r="U398" s="286"/>
      <c r="V398" s="286"/>
      <c r="W398" s="286"/>
    </row>
    <row r="399">
      <c r="A399" s="286"/>
      <c r="B399" s="286"/>
      <c r="C399" s="529"/>
      <c r="D399" s="306"/>
      <c r="E399" s="306"/>
      <c r="F399" s="306"/>
      <c r="G399" s="286"/>
      <c r="H399" s="286"/>
      <c r="I399" s="286"/>
      <c r="J399" s="529"/>
      <c r="K399" s="286"/>
      <c r="L399" s="286"/>
      <c r="M399" s="529"/>
      <c r="N399" s="529"/>
      <c r="O399" s="529"/>
      <c r="P399" s="529"/>
      <c r="Q399" s="529"/>
      <c r="R399" s="286"/>
      <c r="S399" s="286"/>
      <c r="T399" s="286"/>
      <c r="U399" s="286"/>
      <c r="V399" s="286"/>
      <c r="W399" s="286"/>
    </row>
    <row r="400">
      <c r="A400" s="286"/>
      <c r="B400" s="286"/>
      <c r="C400" s="529"/>
      <c r="D400" s="306"/>
      <c r="E400" s="306"/>
      <c r="F400" s="306"/>
      <c r="G400" s="286"/>
      <c r="H400" s="286"/>
      <c r="I400" s="286"/>
      <c r="J400" s="529"/>
      <c r="K400" s="286"/>
      <c r="L400" s="286"/>
      <c r="M400" s="529"/>
      <c r="N400" s="529"/>
      <c r="O400" s="529"/>
      <c r="P400" s="529"/>
      <c r="Q400" s="529"/>
      <c r="R400" s="286"/>
      <c r="S400" s="286"/>
      <c r="T400" s="286"/>
      <c r="U400" s="286"/>
      <c r="V400" s="286"/>
      <c r="W400" s="286"/>
    </row>
    <row r="401">
      <c r="A401" s="286"/>
      <c r="B401" s="286"/>
      <c r="C401" s="529"/>
      <c r="D401" s="306"/>
      <c r="E401" s="306"/>
      <c r="F401" s="306"/>
      <c r="G401" s="286"/>
      <c r="H401" s="286"/>
      <c r="I401" s="286"/>
      <c r="J401" s="529"/>
      <c r="K401" s="286"/>
      <c r="L401" s="286"/>
      <c r="M401" s="529"/>
      <c r="N401" s="529"/>
      <c r="O401" s="529"/>
      <c r="P401" s="529"/>
      <c r="Q401" s="529"/>
      <c r="R401" s="286"/>
      <c r="S401" s="286"/>
      <c r="T401" s="286"/>
      <c r="U401" s="286"/>
      <c r="V401" s="286"/>
      <c r="W401" s="286"/>
    </row>
    <row r="402">
      <c r="A402" s="286"/>
      <c r="B402" s="286"/>
      <c r="C402" s="529"/>
      <c r="D402" s="306"/>
      <c r="E402" s="306"/>
      <c r="F402" s="306"/>
      <c r="G402" s="286"/>
      <c r="H402" s="286"/>
      <c r="I402" s="286"/>
      <c r="J402" s="529"/>
      <c r="K402" s="286"/>
      <c r="L402" s="286"/>
      <c r="M402" s="529"/>
      <c r="N402" s="529"/>
      <c r="O402" s="529"/>
      <c r="P402" s="529"/>
      <c r="Q402" s="529"/>
      <c r="R402" s="286"/>
      <c r="S402" s="286"/>
      <c r="T402" s="286"/>
      <c r="U402" s="286"/>
      <c r="V402" s="286"/>
      <c r="W402" s="286"/>
    </row>
    <row r="403">
      <c r="A403" s="286"/>
      <c r="B403" s="286"/>
      <c r="C403" s="529"/>
      <c r="D403" s="306"/>
      <c r="E403" s="306"/>
      <c r="F403" s="306"/>
      <c r="G403" s="286"/>
      <c r="H403" s="286"/>
      <c r="I403" s="286"/>
      <c r="J403" s="529"/>
      <c r="K403" s="286"/>
      <c r="L403" s="286"/>
      <c r="M403" s="529"/>
      <c r="N403" s="529"/>
      <c r="O403" s="529"/>
      <c r="P403" s="529"/>
      <c r="Q403" s="529"/>
      <c r="R403" s="286"/>
      <c r="S403" s="286"/>
      <c r="T403" s="286"/>
      <c r="U403" s="286"/>
      <c r="V403" s="286"/>
      <c r="W403" s="286"/>
    </row>
    <row r="404">
      <c r="A404" s="286"/>
      <c r="B404" s="286"/>
      <c r="C404" s="529"/>
      <c r="D404" s="306"/>
      <c r="E404" s="306"/>
      <c r="F404" s="306"/>
      <c r="G404" s="286"/>
      <c r="H404" s="286"/>
      <c r="I404" s="286"/>
      <c r="J404" s="529"/>
      <c r="K404" s="286"/>
      <c r="L404" s="286"/>
      <c r="M404" s="529"/>
      <c r="N404" s="529"/>
      <c r="O404" s="529"/>
      <c r="P404" s="529"/>
      <c r="Q404" s="529"/>
      <c r="R404" s="286"/>
      <c r="S404" s="286"/>
      <c r="T404" s="286"/>
      <c r="U404" s="286"/>
      <c r="V404" s="286"/>
      <c r="W404" s="286"/>
    </row>
    <row r="405">
      <c r="A405" s="286"/>
      <c r="B405" s="286"/>
      <c r="C405" s="529"/>
      <c r="D405" s="306"/>
      <c r="E405" s="306"/>
      <c r="F405" s="306"/>
      <c r="G405" s="286"/>
      <c r="H405" s="286"/>
      <c r="I405" s="286"/>
      <c r="J405" s="529"/>
      <c r="K405" s="286"/>
      <c r="L405" s="286"/>
      <c r="M405" s="529"/>
      <c r="N405" s="529"/>
      <c r="O405" s="529"/>
      <c r="P405" s="529"/>
      <c r="Q405" s="529"/>
      <c r="R405" s="286"/>
      <c r="S405" s="286"/>
      <c r="T405" s="286"/>
      <c r="U405" s="286"/>
      <c r="V405" s="286"/>
      <c r="W405" s="286"/>
    </row>
    <row r="406">
      <c r="A406" s="286"/>
      <c r="B406" s="286"/>
      <c r="C406" s="529"/>
      <c r="D406" s="306"/>
      <c r="E406" s="306"/>
      <c r="F406" s="306"/>
      <c r="G406" s="286"/>
      <c r="H406" s="286"/>
      <c r="I406" s="286"/>
      <c r="J406" s="529"/>
      <c r="K406" s="286"/>
      <c r="L406" s="286"/>
      <c r="M406" s="529"/>
      <c r="N406" s="529"/>
      <c r="O406" s="529"/>
      <c r="P406" s="529"/>
      <c r="Q406" s="529"/>
      <c r="R406" s="286"/>
      <c r="S406" s="286"/>
      <c r="T406" s="286"/>
      <c r="U406" s="286"/>
      <c r="V406" s="286"/>
      <c r="W406" s="286"/>
    </row>
    <row r="407">
      <c r="A407" s="286"/>
      <c r="B407" s="286"/>
      <c r="C407" s="529"/>
      <c r="D407" s="306"/>
      <c r="E407" s="306"/>
      <c r="F407" s="306"/>
      <c r="G407" s="286"/>
      <c r="H407" s="286"/>
      <c r="I407" s="286"/>
      <c r="J407" s="529"/>
      <c r="K407" s="286"/>
      <c r="L407" s="286"/>
      <c r="M407" s="529"/>
      <c r="N407" s="529"/>
      <c r="O407" s="529"/>
      <c r="P407" s="529"/>
      <c r="Q407" s="529"/>
      <c r="R407" s="286"/>
      <c r="S407" s="286"/>
      <c r="T407" s="286"/>
      <c r="U407" s="286"/>
      <c r="V407" s="286"/>
      <c r="W407" s="286"/>
    </row>
    <row r="408">
      <c r="A408" s="286"/>
      <c r="B408" s="286"/>
      <c r="C408" s="529"/>
      <c r="D408" s="306"/>
      <c r="E408" s="306"/>
      <c r="F408" s="306"/>
      <c r="G408" s="286"/>
      <c r="H408" s="286"/>
      <c r="I408" s="286"/>
      <c r="J408" s="529"/>
      <c r="K408" s="286"/>
      <c r="L408" s="286"/>
      <c r="M408" s="529"/>
      <c r="N408" s="529"/>
      <c r="O408" s="529"/>
      <c r="P408" s="529"/>
      <c r="Q408" s="529"/>
      <c r="R408" s="286"/>
      <c r="S408" s="286"/>
      <c r="T408" s="286"/>
      <c r="U408" s="286"/>
      <c r="V408" s="286"/>
      <c r="W408" s="286"/>
    </row>
    <row r="409">
      <c r="A409" s="286"/>
      <c r="B409" s="286"/>
      <c r="C409" s="529"/>
      <c r="D409" s="306"/>
      <c r="E409" s="306"/>
      <c r="F409" s="306"/>
      <c r="G409" s="286"/>
      <c r="H409" s="286"/>
      <c r="I409" s="286"/>
      <c r="J409" s="529"/>
      <c r="K409" s="286"/>
      <c r="L409" s="286"/>
      <c r="M409" s="529"/>
      <c r="N409" s="529"/>
      <c r="O409" s="529"/>
      <c r="P409" s="529"/>
      <c r="Q409" s="529"/>
      <c r="R409" s="286"/>
      <c r="S409" s="286"/>
      <c r="T409" s="286"/>
      <c r="U409" s="286"/>
      <c r="V409" s="286"/>
      <c r="W409" s="286"/>
    </row>
    <row r="410">
      <c r="A410" s="286"/>
      <c r="B410" s="286"/>
      <c r="C410" s="529"/>
      <c r="D410" s="306"/>
      <c r="E410" s="306"/>
      <c r="F410" s="306"/>
      <c r="G410" s="286"/>
      <c r="H410" s="286"/>
      <c r="I410" s="286"/>
      <c r="J410" s="529"/>
      <c r="K410" s="286"/>
      <c r="L410" s="286"/>
      <c r="M410" s="529"/>
      <c r="N410" s="529"/>
      <c r="O410" s="529"/>
      <c r="P410" s="529"/>
      <c r="Q410" s="529"/>
      <c r="R410" s="286"/>
      <c r="S410" s="286"/>
      <c r="T410" s="286"/>
      <c r="U410" s="286"/>
      <c r="V410" s="286"/>
      <c r="W410" s="286"/>
    </row>
    <row r="411">
      <c r="A411" s="286"/>
      <c r="B411" s="286"/>
      <c r="C411" s="529"/>
      <c r="D411" s="306"/>
      <c r="E411" s="306"/>
      <c r="F411" s="306"/>
      <c r="G411" s="286"/>
      <c r="H411" s="286"/>
      <c r="I411" s="286"/>
      <c r="J411" s="529"/>
      <c r="K411" s="286"/>
      <c r="L411" s="286"/>
      <c r="M411" s="529"/>
      <c r="N411" s="529"/>
      <c r="O411" s="529"/>
      <c r="P411" s="529"/>
      <c r="Q411" s="529"/>
      <c r="R411" s="286"/>
      <c r="S411" s="286"/>
      <c r="T411" s="286"/>
      <c r="U411" s="286"/>
      <c r="V411" s="286"/>
      <c r="W411" s="286"/>
    </row>
    <row r="412">
      <c r="A412" s="286"/>
      <c r="B412" s="286"/>
      <c r="C412" s="529"/>
      <c r="D412" s="306"/>
      <c r="E412" s="306"/>
      <c r="F412" s="306"/>
      <c r="G412" s="286"/>
      <c r="H412" s="286"/>
      <c r="I412" s="286"/>
      <c r="J412" s="529"/>
      <c r="K412" s="286"/>
      <c r="L412" s="286"/>
      <c r="M412" s="529"/>
      <c r="N412" s="529"/>
      <c r="O412" s="529"/>
      <c r="P412" s="529"/>
      <c r="Q412" s="529"/>
      <c r="R412" s="286"/>
      <c r="S412" s="286"/>
      <c r="T412" s="286"/>
      <c r="U412" s="286"/>
      <c r="V412" s="286"/>
      <c r="W412" s="286"/>
    </row>
    <row r="413">
      <c r="A413" s="286"/>
      <c r="B413" s="286"/>
      <c r="C413" s="529"/>
      <c r="D413" s="306"/>
      <c r="E413" s="306"/>
      <c r="F413" s="306"/>
      <c r="G413" s="286"/>
      <c r="H413" s="286"/>
      <c r="I413" s="286"/>
      <c r="J413" s="529"/>
      <c r="K413" s="286"/>
      <c r="L413" s="286"/>
      <c r="M413" s="529"/>
      <c r="N413" s="529"/>
      <c r="O413" s="529"/>
      <c r="P413" s="529"/>
      <c r="Q413" s="529"/>
      <c r="R413" s="286"/>
      <c r="S413" s="286"/>
      <c r="T413" s="286"/>
      <c r="U413" s="286"/>
      <c r="V413" s="286"/>
      <c r="W413" s="286"/>
    </row>
    <row r="414">
      <c r="A414" s="286"/>
      <c r="B414" s="286"/>
      <c r="C414" s="529"/>
      <c r="D414" s="306"/>
      <c r="E414" s="306"/>
      <c r="F414" s="306"/>
      <c r="G414" s="286"/>
      <c r="H414" s="286"/>
      <c r="I414" s="286"/>
      <c r="J414" s="529"/>
      <c r="K414" s="286"/>
      <c r="L414" s="286"/>
      <c r="M414" s="529"/>
      <c r="N414" s="529"/>
      <c r="O414" s="529"/>
      <c r="P414" s="529"/>
      <c r="Q414" s="529"/>
      <c r="R414" s="286"/>
      <c r="S414" s="286"/>
      <c r="T414" s="286"/>
      <c r="U414" s="286"/>
      <c r="V414" s="286"/>
      <c r="W414" s="286"/>
    </row>
    <row r="415">
      <c r="A415" s="286"/>
      <c r="B415" s="286"/>
      <c r="C415" s="529"/>
      <c r="D415" s="306"/>
      <c r="E415" s="306"/>
      <c r="F415" s="306"/>
      <c r="G415" s="286"/>
      <c r="H415" s="286"/>
      <c r="I415" s="286"/>
      <c r="J415" s="529"/>
      <c r="K415" s="286"/>
      <c r="L415" s="286"/>
      <c r="M415" s="529"/>
      <c r="N415" s="529"/>
      <c r="O415" s="529"/>
      <c r="P415" s="529"/>
      <c r="Q415" s="529"/>
      <c r="R415" s="286"/>
      <c r="S415" s="286"/>
      <c r="T415" s="286"/>
      <c r="U415" s="286"/>
      <c r="V415" s="286"/>
      <c r="W415" s="286"/>
    </row>
    <row r="416">
      <c r="A416" s="286"/>
      <c r="B416" s="286"/>
      <c r="C416" s="529"/>
      <c r="D416" s="306"/>
      <c r="E416" s="306"/>
      <c r="F416" s="306"/>
      <c r="G416" s="286"/>
      <c r="H416" s="286"/>
      <c r="I416" s="286"/>
      <c r="J416" s="529"/>
      <c r="K416" s="286"/>
      <c r="L416" s="286"/>
      <c r="M416" s="529"/>
      <c r="N416" s="529"/>
      <c r="O416" s="529"/>
      <c r="P416" s="529"/>
      <c r="Q416" s="529"/>
      <c r="R416" s="286"/>
      <c r="S416" s="286"/>
      <c r="T416" s="286"/>
      <c r="U416" s="286"/>
      <c r="V416" s="286"/>
      <c r="W416" s="286"/>
    </row>
    <row r="417">
      <c r="A417" s="286"/>
      <c r="B417" s="286"/>
      <c r="C417" s="529"/>
      <c r="D417" s="306"/>
      <c r="E417" s="306"/>
      <c r="F417" s="306"/>
      <c r="G417" s="286"/>
      <c r="H417" s="286"/>
      <c r="I417" s="286"/>
      <c r="J417" s="529"/>
      <c r="K417" s="286"/>
      <c r="L417" s="286"/>
      <c r="M417" s="529"/>
      <c r="N417" s="529"/>
      <c r="O417" s="529"/>
      <c r="P417" s="529"/>
      <c r="Q417" s="529"/>
      <c r="R417" s="286"/>
      <c r="S417" s="286"/>
      <c r="T417" s="286"/>
      <c r="U417" s="286"/>
      <c r="V417" s="286"/>
      <c r="W417" s="286"/>
    </row>
    <row r="418">
      <c r="A418" s="286"/>
      <c r="B418" s="286"/>
      <c r="C418" s="529"/>
      <c r="D418" s="306"/>
      <c r="E418" s="306"/>
      <c r="F418" s="306"/>
      <c r="G418" s="286"/>
      <c r="H418" s="286"/>
      <c r="I418" s="286"/>
      <c r="J418" s="529"/>
      <c r="K418" s="286"/>
      <c r="L418" s="286"/>
      <c r="M418" s="529"/>
      <c r="N418" s="529"/>
      <c r="O418" s="529"/>
      <c r="P418" s="529"/>
      <c r="Q418" s="529"/>
      <c r="R418" s="286"/>
      <c r="S418" s="286"/>
      <c r="T418" s="286"/>
      <c r="U418" s="286"/>
      <c r="V418" s="286"/>
      <c r="W418" s="286"/>
    </row>
    <row r="419">
      <c r="A419" s="286"/>
      <c r="B419" s="286"/>
      <c r="C419" s="529"/>
      <c r="D419" s="306"/>
      <c r="E419" s="306"/>
      <c r="F419" s="306"/>
      <c r="G419" s="286"/>
      <c r="H419" s="286"/>
      <c r="I419" s="286"/>
      <c r="J419" s="529"/>
      <c r="K419" s="286"/>
      <c r="L419" s="286"/>
      <c r="M419" s="529"/>
      <c r="N419" s="529"/>
      <c r="O419" s="529"/>
      <c r="P419" s="529"/>
      <c r="Q419" s="529"/>
      <c r="R419" s="286"/>
      <c r="S419" s="286"/>
      <c r="T419" s="286"/>
      <c r="U419" s="286"/>
      <c r="V419" s="286"/>
      <c r="W419" s="286"/>
    </row>
    <row r="420">
      <c r="A420" s="286"/>
      <c r="B420" s="286"/>
      <c r="C420" s="529"/>
      <c r="D420" s="306"/>
      <c r="E420" s="306"/>
      <c r="F420" s="306"/>
      <c r="G420" s="286"/>
      <c r="H420" s="286"/>
      <c r="I420" s="286"/>
      <c r="J420" s="529"/>
      <c r="K420" s="286"/>
      <c r="L420" s="286"/>
      <c r="M420" s="529"/>
      <c r="N420" s="529"/>
      <c r="O420" s="529"/>
      <c r="P420" s="529"/>
      <c r="Q420" s="529"/>
      <c r="R420" s="286"/>
      <c r="S420" s="286"/>
      <c r="T420" s="286"/>
      <c r="U420" s="286"/>
      <c r="V420" s="286"/>
      <c r="W420" s="286"/>
    </row>
    <row r="421">
      <c r="A421" s="286"/>
      <c r="B421" s="286"/>
      <c r="C421" s="529"/>
      <c r="D421" s="306"/>
      <c r="E421" s="306"/>
      <c r="F421" s="306"/>
      <c r="G421" s="286"/>
      <c r="H421" s="286"/>
      <c r="I421" s="286"/>
      <c r="J421" s="529"/>
      <c r="K421" s="286"/>
      <c r="L421" s="286"/>
      <c r="M421" s="529"/>
      <c r="N421" s="529"/>
      <c r="O421" s="529"/>
      <c r="P421" s="529"/>
      <c r="Q421" s="529"/>
      <c r="R421" s="286"/>
      <c r="S421" s="286"/>
      <c r="T421" s="286"/>
      <c r="U421" s="286"/>
      <c r="V421" s="286"/>
      <c r="W421" s="286"/>
    </row>
    <row r="422">
      <c r="A422" s="286"/>
      <c r="B422" s="286"/>
      <c r="C422" s="529"/>
      <c r="D422" s="306"/>
      <c r="E422" s="306"/>
      <c r="F422" s="306"/>
      <c r="G422" s="286"/>
      <c r="H422" s="286"/>
      <c r="I422" s="286"/>
      <c r="J422" s="529"/>
      <c r="K422" s="286"/>
      <c r="L422" s="286"/>
      <c r="M422" s="529"/>
      <c r="N422" s="529"/>
      <c r="O422" s="529"/>
      <c r="P422" s="529"/>
      <c r="Q422" s="529"/>
      <c r="R422" s="286"/>
      <c r="S422" s="286"/>
      <c r="T422" s="286"/>
      <c r="U422" s="286"/>
      <c r="V422" s="286"/>
      <c r="W422" s="286"/>
    </row>
    <row r="423">
      <c r="A423" s="286"/>
      <c r="B423" s="286"/>
      <c r="C423" s="529"/>
      <c r="D423" s="306"/>
      <c r="E423" s="306"/>
      <c r="F423" s="306"/>
      <c r="G423" s="286"/>
      <c r="H423" s="286"/>
      <c r="I423" s="286"/>
      <c r="J423" s="529"/>
      <c r="K423" s="286"/>
      <c r="L423" s="286"/>
      <c r="M423" s="529"/>
      <c r="N423" s="529"/>
      <c r="O423" s="529"/>
      <c r="P423" s="529"/>
      <c r="Q423" s="529"/>
      <c r="R423" s="286"/>
      <c r="S423" s="286"/>
      <c r="T423" s="286"/>
      <c r="U423" s="286"/>
      <c r="V423" s="286"/>
      <c r="W423" s="286"/>
    </row>
    <row r="424">
      <c r="A424" s="286"/>
      <c r="B424" s="286"/>
      <c r="C424" s="529"/>
      <c r="D424" s="306"/>
      <c r="E424" s="306"/>
      <c r="F424" s="306"/>
      <c r="G424" s="286"/>
      <c r="H424" s="286"/>
      <c r="I424" s="286"/>
      <c r="J424" s="529"/>
      <c r="K424" s="286"/>
      <c r="L424" s="286"/>
      <c r="M424" s="529"/>
      <c r="N424" s="529"/>
      <c r="O424" s="529"/>
      <c r="P424" s="529"/>
      <c r="Q424" s="529"/>
      <c r="R424" s="286"/>
      <c r="S424" s="286"/>
      <c r="T424" s="286"/>
      <c r="U424" s="286"/>
      <c r="V424" s="286"/>
      <c r="W424" s="286"/>
    </row>
    <row r="425">
      <c r="A425" s="286"/>
      <c r="B425" s="286"/>
      <c r="C425" s="529"/>
      <c r="D425" s="306"/>
      <c r="E425" s="306"/>
      <c r="F425" s="306"/>
      <c r="G425" s="286"/>
      <c r="H425" s="286"/>
      <c r="I425" s="286"/>
      <c r="J425" s="529"/>
      <c r="K425" s="286"/>
      <c r="L425" s="286"/>
      <c r="M425" s="529"/>
      <c r="N425" s="529"/>
      <c r="O425" s="529"/>
      <c r="P425" s="529"/>
      <c r="Q425" s="529"/>
      <c r="R425" s="286"/>
      <c r="S425" s="286"/>
      <c r="T425" s="286"/>
      <c r="U425" s="286"/>
      <c r="V425" s="286"/>
      <c r="W425" s="286"/>
    </row>
    <row r="426">
      <c r="A426" s="286"/>
      <c r="B426" s="286"/>
      <c r="C426" s="529"/>
      <c r="D426" s="306"/>
      <c r="E426" s="306"/>
      <c r="F426" s="306"/>
      <c r="G426" s="286"/>
      <c r="H426" s="286"/>
      <c r="I426" s="286"/>
      <c r="J426" s="529"/>
      <c r="K426" s="286"/>
      <c r="L426" s="286"/>
      <c r="M426" s="529"/>
      <c r="N426" s="529"/>
      <c r="O426" s="529"/>
      <c r="P426" s="529"/>
      <c r="Q426" s="529"/>
      <c r="R426" s="286"/>
      <c r="S426" s="286"/>
      <c r="T426" s="286"/>
      <c r="U426" s="286"/>
      <c r="V426" s="286"/>
      <c r="W426" s="286"/>
    </row>
    <row r="427">
      <c r="A427" s="286"/>
      <c r="B427" s="286"/>
      <c r="C427" s="529"/>
      <c r="D427" s="306"/>
      <c r="E427" s="306"/>
      <c r="F427" s="306"/>
      <c r="G427" s="286"/>
      <c r="H427" s="286"/>
      <c r="I427" s="286"/>
      <c r="J427" s="529"/>
      <c r="K427" s="286"/>
      <c r="L427" s="286"/>
      <c r="M427" s="529"/>
      <c r="N427" s="529"/>
      <c r="O427" s="529"/>
      <c r="P427" s="529"/>
      <c r="Q427" s="529"/>
      <c r="R427" s="286"/>
      <c r="S427" s="286"/>
      <c r="T427" s="286"/>
      <c r="U427" s="286"/>
      <c r="V427" s="286"/>
      <c r="W427" s="286"/>
    </row>
    <row r="428">
      <c r="A428" s="286"/>
      <c r="B428" s="286"/>
      <c r="C428" s="529"/>
      <c r="D428" s="306"/>
      <c r="E428" s="306"/>
      <c r="F428" s="306"/>
      <c r="G428" s="286"/>
      <c r="H428" s="286"/>
      <c r="I428" s="286"/>
      <c r="J428" s="529"/>
      <c r="K428" s="286"/>
      <c r="L428" s="286"/>
      <c r="M428" s="529"/>
      <c r="N428" s="529"/>
      <c r="O428" s="529"/>
      <c r="P428" s="529"/>
      <c r="Q428" s="529"/>
      <c r="R428" s="286"/>
      <c r="S428" s="286"/>
      <c r="T428" s="286"/>
      <c r="U428" s="286"/>
      <c r="V428" s="286"/>
      <c r="W428" s="286"/>
    </row>
    <row r="429">
      <c r="A429" s="286"/>
      <c r="B429" s="286"/>
      <c r="C429" s="529"/>
      <c r="D429" s="306"/>
      <c r="E429" s="306"/>
      <c r="F429" s="306"/>
      <c r="G429" s="286"/>
      <c r="H429" s="286"/>
      <c r="I429" s="286"/>
      <c r="J429" s="529"/>
      <c r="K429" s="286"/>
      <c r="L429" s="286"/>
      <c r="M429" s="529"/>
      <c r="N429" s="529"/>
      <c r="O429" s="529"/>
      <c r="P429" s="529"/>
      <c r="Q429" s="529"/>
      <c r="R429" s="286"/>
      <c r="S429" s="286"/>
      <c r="T429" s="286"/>
      <c r="U429" s="286"/>
      <c r="V429" s="286"/>
      <c r="W429" s="286"/>
    </row>
    <row r="430">
      <c r="A430" s="286"/>
      <c r="B430" s="286"/>
      <c r="C430" s="529"/>
      <c r="D430" s="306"/>
      <c r="E430" s="306"/>
      <c r="F430" s="306"/>
      <c r="G430" s="286"/>
      <c r="H430" s="286"/>
      <c r="I430" s="286"/>
      <c r="J430" s="529"/>
      <c r="K430" s="286"/>
      <c r="L430" s="286"/>
      <c r="M430" s="529"/>
      <c r="N430" s="529"/>
      <c r="O430" s="529"/>
      <c r="P430" s="529"/>
      <c r="Q430" s="529"/>
      <c r="R430" s="286"/>
      <c r="S430" s="286"/>
      <c r="T430" s="286"/>
      <c r="U430" s="286"/>
      <c r="V430" s="286"/>
      <c r="W430" s="286"/>
    </row>
    <row r="431">
      <c r="A431" s="286"/>
      <c r="B431" s="286"/>
      <c r="C431" s="529"/>
      <c r="D431" s="306"/>
      <c r="E431" s="306"/>
      <c r="F431" s="306"/>
      <c r="G431" s="286"/>
      <c r="H431" s="286"/>
      <c r="I431" s="286"/>
      <c r="J431" s="529"/>
      <c r="K431" s="286"/>
      <c r="L431" s="286"/>
      <c r="M431" s="529"/>
      <c r="N431" s="529"/>
      <c r="O431" s="529"/>
      <c r="P431" s="529"/>
      <c r="Q431" s="529"/>
      <c r="R431" s="286"/>
      <c r="S431" s="286"/>
      <c r="T431" s="286"/>
      <c r="U431" s="286"/>
      <c r="V431" s="286"/>
      <c r="W431" s="286"/>
    </row>
    <row r="432">
      <c r="A432" s="286"/>
      <c r="B432" s="286"/>
      <c r="C432" s="529"/>
      <c r="D432" s="306"/>
      <c r="E432" s="306"/>
      <c r="F432" s="306"/>
      <c r="G432" s="286"/>
      <c r="H432" s="286"/>
      <c r="I432" s="286"/>
      <c r="J432" s="529"/>
      <c r="K432" s="286"/>
      <c r="L432" s="286"/>
      <c r="M432" s="529"/>
      <c r="N432" s="529"/>
      <c r="O432" s="529"/>
      <c r="P432" s="529"/>
      <c r="Q432" s="529"/>
      <c r="R432" s="286"/>
      <c r="S432" s="286"/>
      <c r="T432" s="286"/>
      <c r="U432" s="286"/>
      <c r="V432" s="286"/>
      <c r="W432" s="286"/>
    </row>
    <row r="433">
      <c r="A433" s="286"/>
      <c r="B433" s="286"/>
      <c r="C433" s="529"/>
      <c r="D433" s="306"/>
      <c r="E433" s="306"/>
      <c r="F433" s="306"/>
      <c r="G433" s="286"/>
      <c r="H433" s="286"/>
      <c r="I433" s="286"/>
      <c r="J433" s="529"/>
      <c r="K433" s="286"/>
      <c r="L433" s="286"/>
      <c r="M433" s="529"/>
      <c r="N433" s="529"/>
      <c r="O433" s="529"/>
      <c r="P433" s="529"/>
      <c r="Q433" s="529"/>
      <c r="R433" s="286"/>
      <c r="S433" s="286"/>
      <c r="T433" s="286"/>
      <c r="U433" s="286"/>
      <c r="V433" s="286"/>
      <c r="W433" s="286"/>
    </row>
    <row r="434">
      <c r="A434" s="286"/>
      <c r="B434" s="286"/>
      <c r="C434" s="529"/>
      <c r="D434" s="306"/>
      <c r="E434" s="306"/>
      <c r="F434" s="306"/>
      <c r="G434" s="286"/>
      <c r="H434" s="286"/>
      <c r="I434" s="286"/>
      <c r="J434" s="529"/>
      <c r="K434" s="286"/>
      <c r="L434" s="286"/>
      <c r="M434" s="529"/>
      <c r="N434" s="529"/>
      <c r="O434" s="529"/>
      <c r="P434" s="529"/>
      <c r="Q434" s="529"/>
      <c r="R434" s="286"/>
      <c r="S434" s="286"/>
      <c r="T434" s="286"/>
      <c r="U434" s="286"/>
      <c r="V434" s="286"/>
      <c r="W434" s="286"/>
    </row>
    <row r="435">
      <c r="A435" s="286"/>
      <c r="B435" s="286"/>
      <c r="C435" s="529"/>
      <c r="D435" s="306"/>
      <c r="E435" s="306"/>
      <c r="F435" s="306"/>
      <c r="G435" s="286"/>
      <c r="H435" s="286"/>
      <c r="I435" s="286"/>
      <c r="J435" s="529"/>
      <c r="K435" s="286"/>
      <c r="L435" s="286"/>
      <c r="M435" s="529"/>
      <c r="N435" s="529"/>
      <c r="O435" s="529"/>
      <c r="P435" s="529"/>
      <c r="Q435" s="529"/>
      <c r="R435" s="286"/>
      <c r="S435" s="286"/>
      <c r="T435" s="286"/>
      <c r="U435" s="286"/>
      <c r="V435" s="286"/>
      <c r="W435" s="286"/>
    </row>
    <row r="436">
      <c r="A436" s="286"/>
      <c r="B436" s="286"/>
      <c r="C436" s="529"/>
      <c r="D436" s="306"/>
      <c r="E436" s="306"/>
      <c r="F436" s="306"/>
      <c r="G436" s="286"/>
      <c r="H436" s="286"/>
      <c r="I436" s="286"/>
      <c r="J436" s="529"/>
      <c r="K436" s="286"/>
      <c r="L436" s="286"/>
      <c r="M436" s="529"/>
      <c r="N436" s="529"/>
      <c r="O436" s="529"/>
      <c r="P436" s="529"/>
      <c r="Q436" s="529"/>
      <c r="R436" s="286"/>
      <c r="S436" s="286"/>
      <c r="T436" s="286"/>
      <c r="U436" s="286"/>
      <c r="V436" s="286"/>
      <c r="W436" s="286"/>
    </row>
    <row r="437">
      <c r="A437" s="286"/>
      <c r="B437" s="286"/>
      <c r="C437" s="529"/>
      <c r="D437" s="306"/>
      <c r="E437" s="306"/>
      <c r="F437" s="306"/>
      <c r="G437" s="286"/>
      <c r="H437" s="286"/>
      <c r="I437" s="286"/>
      <c r="J437" s="529"/>
      <c r="K437" s="286"/>
      <c r="L437" s="286"/>
      <c r="M437" s="529"/>
      <c r="N437" s="529"/>
      <c r="O437" s="529"/>
      <c r="P437" s="529"/>
      <c r="Q437" s="529"/>
      <c r="R437" s="286"/>
      <c r="S437" s="286"/>
      <c r="T437" s="286"/>
      <c r="U437" s="286"/>
      <c r="V437" s="286"/>
      <c r="W437" s="286"/>
    </row>
    <row r="438">
      <c r="A438" s="286"/>
      <c r="B438" s="286"/>
      <c r="C438" s="529"/>
      <c r="D438" s="306"/>
      <c r="E438" s="306"/>
      <c r="F438" s="306"/>
      <c r="G438" s="286"/>
      <c r="H438" s="286"/>
      <c r="I438" s="286"/>
      <c r="J438" s="529"/>
      <c r="K438" s="286"/>
      <c r="L438" s="286"/>
      <c r="M438" s="529"/>
      <c r="N438" s="529"/>
      <c r="O438" s="529"/>
      <c r="P438" s="529"/>
      <c r="Q438" s="529"/>
      <c r="R438" s="286"/>
      <c r="S438" s="286"/>
      <c r="T438" s="286"/>
      <c r="U438" s="286"/>
      <c r="V438" s="286"/>
      <c r="W438" s="286"/>
    </row>
    <row r="439">
      <c r="A439" s="286"/>
      <c r="B439" s="286"/>
      <c r="C439" s="529"/>
      <c r="D439" s="306"/>
      <c r="E439" s="306"/>
      <c r="F439" s="306"/>
      <c r="G439" s="286"/>
      <c r="H439" s="286"/>
      <c r="I439" s="286"/>
      <c r="J439" s="529"/>
      <c r="K439" s="286"/>
      <c r="L439" s="286"/>
      <c r="M439" s="529"/>
      <c r="N439" s="529"/>
      <c r="O439" s="529"/>
      <c r="P439" s="529"/>
      <c r="Q439" s="529"/>
      <c r="R439" s="286"/>
      <c r="S439" s="286"/>
      <c r="T439" s="286"/>
      <c r="U439" s="286"/>
      <c r="V439" s="286"/>
      <c r="W439" s="286"/>
    </row>
    <row r="440">
      <c r="A440" s="286"/>
      <c r="B440" s="286"/>
      <c r="C440" s="529"/>
      <c r="D440" s="306"/>
      <c r="E440" s="306"/>
      <c r="F440" s="306"/>
      <c r="G440" s="286"/>
      <c r="H440" s="286"/>
      <c r="I440" s="286"/>
      <c r="J440" s="529"/>
      <c r="K440" s="286"/>
      <c r="L440" s="286"/>
      <c r="M440" s="529"/>
      <c r="N440" s="529"/>
      <c r="O440" s="529"/>
      <c r="P440" s="529"/>
      <c r="Q440" s="529"/>
      <c r="R440" s="286"/>
      <c r="S440" s="286"/>
      <c r="T440" s="286"/>
      <c r="U440" s="286"/>
      <c r="V440" s="286"/>
      <c r="W440" s="286"/>
    </row>
    <row r="441">
      <c r="A441" s="286"/>
      <c r="B441" s="286"/>
      <c r="C441" s="529"/>
      <c r="D441" s="306"/>
      <c r="E441" s="306"/>
      <c r="F441" s="306"/>
      <c r="G441" s="286"/>
      <c r="H441" s="286"/>
      <c r="I441" s="286"/>
      <c r="J441" s="529"/>
      <c r="K441" s="286"/>
      <c r="L441" s="286"/>
      <c r="M441" s="529"/>
      <c r="N441" s="529"/>
      <c r="O441" s="529"/>
      <c r="P441" s="529"/>
      <c r="Q441" s="529"/>
      <c r="R441" s="286"/>
      <c r="S441" s="286"/>
      <c r="T441" s="286"/>
      <c r="U441" s="286"/>
      <c r="V441" s="286"/>
      <c r="W441" s="286"/>
    </row>
    <row r="442">
      <c r="A442" s="286"/>
      <c r="B442" s="286"/>
      <c r="C442" s="529"/>
      <c r="D442" s="306"/>
      <c r="E442" s="306"/>
      <c r="F442" s="306"/>
      <c r="G442" s="286"/>
      <c r="H442" s="286"/>
      <c r="I442" s="286"/>
      <c r="J442" s="529"/>
      <c r="K442" s="286"/>
      <c r="L442" s="286"/>
      <c r="M442" s="529"/>
      <c r="N442" s="529"/>
      <c r="O442" s="529"/>
      <c r="P442" s="529"/>
      <c r="Q442" s="529"/>
      <c r="R442" s="286"/>
      <c r="S442" s="286"/>
      <c r="T442" s="286"/>
      <c r="U442" s="286"/>
      <c r="V442" s="286"/>
      <c r="W442" s="286"/>
    </row>
    <row r="443">
      <c r="A443" s="286"/>
      <c r="B443" s="286"/>
      <c r="C443" s="529"/>
      <c r="D443" s="306"/>
      <c r="E443" s="306"/>
      <c r="F443" s="306"/>
      <c r="G443" s="286"/>
      <c r="H443" s="286"/>
      <c r="I443" s="286"/>
      <c r="J443" s="529"/>
      <c r="K443" s="286"/>
      <c r="L443" s="286"/>
      <c r="M443" s="529"/>
      <c r="N443" s="529"/>
      <c r="O443" s="529"/>
      <c r="P443" s="529"/>
      <c r="Q443" s="529"/>
      <c r="R443" s="286"/>
      <c r="S443" s="286"/>
      <c r="T443" s="286"/>
      <c r="U443" s="286"/>
      <c r="V443" s="286"/>
      <c r="W443" s="286"/>
    </row>
    <row r="444">
      <c r="A444" s="286"/>
      <c r="B444" s="286"/>
      <c r="C444" s="529"/>
      <c r="D444" s="306"/>
      <c r="E444" s="306"/>
      <c r="F444" s="306"/>
      <c r="G444" s="286"/>
      <c r="H444" s="286"/>
      <c r="I444" s="286"/>
      <c r="J444" s="529"/>
      <c r="K444" s="286"/>
      <c r="L444" s="286"/>
      <c r="M444" s="529"/>
      <c r="N444" s="529"/>
      <c r="O444" s="529"/>
      <c r="P444" s="529"/>
      <c r="Q444" s="529"/>
      <c r="R444" s="286"/>
      <c r="S444" s="286"/>
      <c r="T444" s="286"/>
      <c r="U444" s="286"/>
      <c r="V444" s="286"/>
      <c r="W444" s="286"/>
    </row>
    <row r="445">
      <c r="A445" s="286"/>
      <c r="B445" s="286"/>
      <c r="C445" s="529"/>
      <c r="D445" s="306"/>
      <c r="E445" s="306"/>
      <c r="F445" s="306"/>
      <c r="G445" s="286"/>
      <c r="H445" s="286"/>
      <c r="I445" s="286"/>
      <c r="J445" s="529"/>
      <c r="K445" s="286"/>
      <c r="L445" s="286"/>
      <c r="M445" s="529"/>
      <c r="N445" s="529"/>
      <c r="O445" s="529"/>
      <c r="P445" s="529"/>
      <c r="Q445" s="529"/>
      <c r="R445" s="286"/>
      <c r="S445" s="286"/>
      <c r="T445" s="286"/>
      <c r="U445" s="286"/>
      <c r="V445" s="286"/>
      <c r="W445" s="286"/>
    </row>
    <row r="446">
      <c r="A446" s="286"/>
      <c r="B446" s="286"/>
      <c r="C446" s="529"/>
      <c r="D446" s="306"/>
      <c r="E446" s="306"/>
      <c r="F446" s="306"/>
      <c r="G446" s="286"/>
      <c r="H446" s="286"/>
      <c r="I446" s="286"/>
      <c r="J446" s="529"/>
      <c r="K446" s="286"/>
      <c r="L446" s="286"/>
      <c r="M446" s="529"/>
      <c r="N446" s="529"/>
      <c r="O446" s="529"/>
      <c r="P446" s="529"/>
      <c r="Q446" s="529"/>
      <c r="R446" s="286"/>
      <c r="S446" s="286"/>
      <c r="T446" s="286"/>
      <c r="U446" s="286"/>
      <c r="V446" s="286"/>
      <c r="W446" s="286"/>
    </row>
    <row r="447">
      <c r="A447" s="286"/>
      <c r="B447" s="286"/>
      <c r="C447" s="529"/>
      <c r="D447" s="306"/>
      <c r="E447" s="306"/>
      <c r="F447" s="306"/>
      <c r="G447" s="286"/>
      <c r="H447" s="286"/>
      <c r="I447" s="286"/>
      <c r="J447" s="529"/>
      <c r="K447" s="286"/>
      <c r="L447" s="286"/>
      <c r="M447" s="529"/>
      <c r="N447" s="529"/>
      <c r="O447" s="529"/>
      <c r="P447" s="529"/>
      <c r="Q447" s="529"/>
      <c r="R447" s="286"/>
      <c r="S447" s="286"/>
      <c r="T447" s="286"/>
      <c r="U447" s="286"/>
      <c r="V447" s="286"/>
      <c r="W447" s="286"/>
    </row>
    <row r="448">
      <c r="A448" s="286"/>
      <c r="B448" s="286"/>
      <c r="C448" s="529"/>
      <c r="D448" s="306"/>
      <c r="E448" s="306"/>
      <c r="F448" s="306"/>
      <c r="G448" s="286"/>
      <c r="H448" s="286"/>
      <c r="I448" s="286"/>
      <c r="J448" s="529"/>
      <c r="K448" s="286"/>
      <c r="L448" s="286"/>
      <c r="M448" s="529"/>
      <c r="N448" s="529"/>
      <c r="O448" s="529"/>
      <c r="P448" s="529"/>
      <c r="Q448" s="529"/>
      <c r="R448" s="286"/>
      <c r="S448" s="286"/>
      <c r="T448" s="286"/>
      <c r="U448" s="286"/>
      <c r="V448" s="286"/>
      <c r="W448" s="286"/>
    </row>
    <row r="449">
      <c r="A449" s="286"/>
      <c r="B449" s="286"/>
      <c r="C449" s="529"/>
      <c r="D449" s="306"/>
      <c r="E449" s="306"/>
      <c r="F449" s="306"/>
      <c r="G449" s="286"/>
      <c r="H449" s="286"/>
      <c r="I449" s="286"/>
      <c r="J449" s="529"/>
      <c r="K449" s="286"/>
      <c r="L449" s="286"/>
      <c r="M449" s="529"/>
      <c r="N449" s="529"/>
      <c r="O449" s="529"/>
      <c r="P449" s="529"/>
      <c r="Q449" s="529"/>
      <c r="R449" s="286"/>
      <c r="S449" s="286"/>
      <c r="T449" s="286"/>
      <c r="U449" s="286"/>
      <c r="V449" s="286"/>
      <c r="W449" s="286"/>
    </row>
    <row r="450">
      <c r="A450" s="286"/>
      <c r="B450" s="286"/>
      <c r="C450" s="529"/>
      <c r="D450" s="306"/>
      <c r="E450" s="306"/>
      <c r="F450" s="306"/>
      <c r="G450" s="286"/>
      <c r="H450" s="286"/>
      <c r="I450" s="286"/>
      <c r="J450" s="529"/>
      <c r="K450" s="286"/>
      <c r="L450" s="286"/>
      <c r="M450" s="529"/>
      <c r="N450" s="529"/>
      <c r="O450" s="529"/>
      <c r="P450" s="529"/>
      <c r="Q450" s="529"/>
      <c r="R450" s="286"/>
      <c r="S450" s="286"/>
      <c r="T450" s="286"/>
      <c r="U450" s="286"/>
      <c r="V450" s="286"/>
      <c r="W450" s="286"/>
    </row>
    <row r="451">
      <c r="A451" s="286"/>
      <c r="B451" s="286"/>
      <c r="C451" s="529"/>
      <c r="D451" s="306"/>
      <c r="E451" s="306"/>
      <c r="F451" s="306"/>
      <c r="G451" s="286"/>
      <c r="H451" s="286"/>
      <c r="I451" s="286"/>
      <c r="J451" s="529"/>
      <c r="K451" s="286"/>
      <c r="L451" s="286"/>
      <c r="M451" s="529"/>
      <c r="N451" s="529"/>
      <c r="O451" s="529"/>
      <c r="P451" s="529"/>
      <c r="Q451" s="529"/>
      <c r="R451" s="286"/>
      <c r="S451" s="286"/>
      <c r="T451" s="286"/>
      <c r="U451" s="286"/>
      <c r="V451" s="286"/>
      <c r="W451" s="286"/>
    </row>
    <row r="452">
      <c r="A452" s="286"/>
      <c r="B452" s="286"/>
      <c r="C452" s="529"/>
      <c r="D452" s="306"/>
      <c r="E452" s="306"/>
      <c r="F452" s="306"/>
      <c r="G452" s="286"/>
      <c r="H452" s="286"/>
      <c r="I452" s="286"/>
      <c r="J452" s="529"/>
      <c r="K452" s="286"/>
      <c r="L452" s="286"/>
      <c r="M452" s="529"/>
      <c r="N452" s="529"/>
      <c r="O452" s="529"/>
      <c r="P452" s="529"/>
      <c r="Q452" s="529"/>
      <c r="R452" s="286"/>
      <c r="S452" s="286"/>
      <c r="T452" s="286"/>
      <c r="U452" s="286"/>
      <c r="V452" s="286"/>
      <c r="W452" s="286"/>
    </row>
    <row r="453">
      <c r="A453" s="286"/>
      <c r="B453" s="286"/>
      <c r="C453" s="529"/>
      <c r="D453" s="306"/>
      <c r="E453" s="306"/>
      <c r="F453" s="306"/>
      <c r="G453" s="286"/>
      <c r="H453" s="286"/>
      <c r="I453" s="286"/>
      <c r="J453" s="529"/>
      <c r="K453" s="286"/>
      <c r="L453" s="286"/>
      <c r="M453" s="529"/>
      <c r="N453" s="529"/>
      <c r="O453" s="529"/>
      <c r="P453" s="529"/>
      <c r="Q453" s="529"/>
      <c r="R453" s="286"/>
      <c r="S453" s="286"/>
      <c r="T453" s="286"/>
      <c r="U453" s="286"/>
      <c r="V453" s="286"/>
      <c r="W453" s="286"/>
    </row>
    <row r="454">
      <c r="A454" s="286"/>
      <c r="B454" s="286"/>
      <c r="C454" s="529"/>
      <c r="D454" s="306"/>
      <c r="E454" s="306"/>
      <c r="F454" s="306"/>
      <c r="G454" s="286"/>
      <c r="H454" s="286"/>
      <c r="I454" s="286"/>
      <c r="J454" s="529"/>
      <c r="K454" s="286"/>
      <c r="L454" s="286"/>
      <c r="M454" s="529"/>
      <c r="N454" s="529"/>
      <c r="O454" s="529"/>
      <c r="P454" s="529"/>
      <c r="Q454" s="529"/>
      <c r="R454" s="286"/>
      <c r="S454" s="286"/>
      <c r="T454" s="286"/>
      <c r="U454" s="286"/>
      <c r="V454" s="286"/>
      <c r="W454" s="286"/>
    </row>
    <row r="455">
      <c r="A455" s="286"/>
      <c r="B455" s="286"/>
      <c r="C455" s="529"/>
      <c r="D455" s="306"/>
      <c r="E455" s="306"/>
      <c r="F455" s="306"/>
      <c r="G455" s="286"/>
      <c r="H455" s="286"/>
      <c r="I455" s="286"/>
      <c r="J455" s="529"/>
      <c r="K455" s="286"/>
      <c r="L455" s="286"/>
      <c r="M455" s="529"/>
      <c r="N455" s="529"/>
      <c r="O455" s="529"/>
      <c r="P455" s="529"/>
      <c r="Q455" s="529"/>
      <c r="R455" s="286"/>
      <c r="S455" s="286"/>
      <c r="T455" s="286"/>
      <c r="U455" s="286"/>
      <c r="V455" s="286"/>
      <c r="W455" s="286"/>
    </row>
    <row r="456">
      <c r="A456" s="286"/>
      <c r="B456" s="286"/>
      <c r="C456" s="529"/>
      <c r="D456" s="306"/>
      <c r="E456" s="306"/>
      <c r="F456" s="306"/>
      <c r="G456" s="286"/>
      <c r="H456" s="286"/>
      <c r="I456" s="286"/>
      <c r="J456" s="529"/>
      <c r="K456" s="286"/>
      <c r="L456" s="286"/>
      <c r="M456" s="529"/>
      <c r="N456" s="529"/>
      <c r="O456" s="529"/>
      <c r="P456" s="529"/>
      <c r="Q456" s="529"/>
      <c r="R456" s="286"/>
      <c r="S456" s="286"/>
      <c r="T456" s="286"/>
      <c r="U456" s="286"/>
      <c r="V456" s="286"/>
      <c r="W456" s="286"/>
    </row>
    <row r="457">
      <c r="A457" s="286"/>
      <c r="B457" s="286"/>
      <c r="C457" s="529"/>
      <c r="D457" s="306"/>
      <c r="E457" s="306"/>
      <c r="F457" s="306"/>
      <c r="G457" s="286"/>
      <c r="H457" s="286"/>
      <c r="I457" s="286"/>
      <c r="J457" s="529"/>
      <c r="K457" s="286"/>
      <c r="L457" s="286"/>
      <c r="M457" s="529"/>
      <c r="N457" s="529"/>
      <c r="O457" s="529"/>
      <c r="P457" s="529"/>
      <c r="Q457" s="529"/>
      <c r="R457" s="286"/>
      <c r="S457" s="286"/>
      <c r="T457" s="286"/>
      <c r="U457" s="286"/>
      <c r="V457" s="286"/>
      <c r="W457" s="286"/>
    </row>
    <row r="458">
      <c r="A458" s="286"/>
      <c r="B458" s="286"/>
      <c r="C458" s="529"/>
      <c r="D458" s="306"/>
      <c r="E458" s="306"/>
      <c r="F458" s="306"/>
      <c r="G458" s="286"/>
      <c r="H458" s="286"/>
      <c r="I458" s="286"/>
      <c r="J458" s="529"/>
      <c r="K458" s="286"/>
      <c r="L458" s="286"/>
      <c r="M458" s="529"/>
      <c r="N458" s="529"/>
      <c r="O458" s="529"/>
      <c r="P458" s="529"/>
      <c r="Q458" s="529"/>
      <c r="R458" s="286"/>
      <c r="S458" s="286"/>
      <c r="T458" s="286"/>
      <c r="U458" s="286"/>
      <c r="V458" s="286"/>
      <c r="W458" s="286"/>
    </row>
    <row r="459">
      <c r="A459" s="286"/>
      <c r="B459" s="286"/>
      <c r="C459" s="529"/>
      <c r="D459" s="306"/>
      <c r="E459" s="306"/>
      <c r="F459" s="306"/>
      <c r="G459" s="286"/>
      <c r="H459" s="286"/>
      <c r="I459" s="286"/>
      <c r="J459" s="529"/>
      <c r="K459" s="286"/>
      <c r="L459" s="286"/>
      <c r="M459" s="529"/>
      <c r="N459" s="529"/>
      <c r="O459" s="529"/>
      <c r="P459" s="529"/>
      <c r="Q459" s="529"/>
      <c r="R459" s="286"/>
      <c r="S459" s="286"/>
      <c r="T459" s="286"/>
      <c r="U459" s="286"/>
      <c r="V459" s="286"/>
      <c r="W459" s="286"/>
    </row>
    <row r="460">
      <c r="A460" s="286"/>
      <c r="B460" s="286"/>
      <c r="C460" s="529"/>
      <c r="D460" s="306"/>
      <c r="E460" s="306"/>
      <c r="F460" s="306"/>
      <c r="G460" s="286"/>
      <c r="H460" s="286"/>
      <c r="I460" s="286"/>
      <c r="J460" s="529"/>
      <c r="K460" s="286"/>
      <c r="L460" s="286"/>
      <c r="M460" s="529"/>
      <c r="N460" s="529"/>
      <c r="O460" s="529"/>
      <c r="P460" s="529"/>
      <c r="Q460" s="529"/>
      <c r="R460" s="286"/>
      <c r="S460" s="286"/>
      <c r="T460" s="286"/>
      <c r="U460" s="286"/>
      <c r="V460" s="286"/>
      <c r="W460" s="286"/>
    </row>
    <row r="461">
      <c r="A461" s="286"/>
      <c r="B461" s="286"/>
      <c r="C461" s="529"/>
      <c r="D461" s="306"/>
      <c r="E461" s="306"/>
      <c r="F461" s="306"/>
      <c r="G461" s="286"/>
      <c r="H461" s="286"/>
      <c r="I461" s="286"/>
      <c r="J461" s="529"/>
      <c r="K461" s="286"/>
      <c r="L461" s="286"/>
      <c r="M461" s="529"/>
      <c r="N461" s="529"/>
      <c r="O461" s="529"/>
      <c r="P461" s="529"/>
      <c r="Q461" s="529"/>
      <c r="R461" s="286"/>
      <c r="S461" s="286"/>
      <c r="T461" s="286"/>
      <c r="U461" s="286"/>
      <c r="V461" s="286"/>
      <c r="W461" s="286"/>
    </row>
    <row r="462">
      <c r="A462" s="286"/>
      <c r="B462" s="286"/>
      <c r="C462" s="529"/>
      <c r="D462" s="306"/>
      <c r="E462" s="306"/>
      <c r="F462" s="306"/>
      <c r="G462" s="286"/>
      <c r="H462" s="286"/>
      <c r="I462" s="286"/>
      <c r="J462" s="529"/>
      <c r="K462" s="286"/>
      <c r="L462" s="286"/>
      <c r="M462" s="529"/>
      <c r="N462" s="529"/>
      <c r="O462" s="529"/>
      <c r="P462" s="529"/>
      <c r="Q462" s="529"/>
      <c r="R462" s="286"/>
      <c r="S462" s="286"/>
      <c r="T462" s="286"/>
      <c r="U462" s="286"/>
      <c r="V462" s="286"/>
      <c r="W462" s="286"/>
    </row>
    <row r="463">
      <c r="A463" s="286"/>
      <c r="B463" s="286"/>
      <c r="C463" s="529"/>
      <c r="D463" s="306"/>
      <c r="E463" s="306"/>
      <c r="F463" s="306"/>
      <c r="G463" s="286"/>
      <c r="H463" s="286"/>
      <c r="I463" s="286"/>
      <c r="J463" s="529"/>
      <c r="K463" s="286"/>
      <c r="L463" s="286"/>
      <c r="M463" s="529"/>
      <c r="N463" s="529"/>
      <c r="O463" s="529"/>
      <c r="P463" s="529"/>
      <c r="Q463" s="529"/>
      <c r="R463" s="286"/>
      <c r="S463" s="286"/>
      <c r="T463" s="286"/>
      <c r="U463" s="286"/>
      <c r="V463" s="286"/>
      <c r="W463" s="286"/>
    </row>
    <row r="464">
      <c r="A464" s="286"/>
      <c r="B464" s="286"/>
      <c r="C464" s="529"/>
      <c r="D464" s="306"/>
      <c r="E464" s="306"/>
      <c r="F464" s="306"/>
      <c r="G464" s="286"/>
      <c r="H464" s="286"/>
      <c r="I464" s="286"/>
      <c r="J464" s="529"/>
      <c r="K464" s="286"/>
      <c r="L464" s="286"/>
      <c r="M464" s="529"/>
      <c r="N464" s="529"/>
      <c r="O464" s="529"/>
      <c r="P464" s="529"/>
      <c r="Q464" s="529"/>
      <c r="R464" s="286"/>
      <c r="S464" s="286"/>
      <c r="T464" s="286"/>
      <c r="U464" s="286"/>
      <c r="V464" s="286"/>
      <c r="W464" s="286"/>
    </row>
    <row r="465">
      <c r="A465" s="286"/>
      <c r="B465" s="286"/>
      <c r="C465" s="529"/>
      <c r="D465" s="306"/>
      <c r="E465" s="306"/>
      <c r="F465" s="306"/>
      <c r="G465" s="286"/>
      <c r="H465" s="286"/>
      <c r="I465" s="286"/>
      <c r="J465" s="529"/>
      <c r="K465" s="286"/>
      <c r="L465" s="286"/>
      <c r="M465" s="529"/>
      <c r="N465" s="529"/>
      <c r="O465" s="529"/>
      <c r="P465" s="529"/>
      <c r="Q465" s="529"/>
      <c r="R465" s="286"/>
      <c r="S465" s="286"/>
      <c r="T465" s="286"/>
      <c r="U465" s="286"/>
      <c r="V465" s="286"/>
      <c r="W465" s="286"/>
    </row>
    <row r="466">
      <c r="A466" s="286"/>
      <c r="B466" s="286"/>
      <c r="C466" s="529"/>
      <c r="D466" s="306"/>
      <c r="E466" s="306"/>
      <c r="F466" s="306"/>
      <c r="G466" s="286"/>
      <c r="H466" s="286"/>
      <c r="I466" s="286"/>
      <c r="J466" s="529"/>
      <c r="K466" s="286"/>
      <c r="L466" s="286"/>
      <c r="M466" s="529"/>
      <c r="N466" s="529"/>
      <c r="O466" s="529"/>
      <c r="P466" s="529"/>
      <c r="Q466" s="529"/>
      <c r="R466" s="286"/>
      <c r="S466" s="286"/>
      <c r="T466" s="286"/>
      <c r="U466" s="286"/>
      <c r="V466" s="286"/>
      <c r="W466" s="286"/>
    </row>
    <row r="467">
      <c r="A467" s="286"/>
      <c r="B467" s="286"/>
      <c r="C467" s="529"/>
      <c r="D467" s="306"/>
      <c r="E467" s="306"/>
      <c r="F467" s="306"/>
      <c r="G467" s="286"/>
      <c r="H467" s="286"/>
      <c r="I467" s="286"/>
      <c r="J467" s="529"/>
      <c r="K467" s="286"/>
      <c r="L467" s="286"/>
      <c r="M467" s="529"/>
      <c r="N467" s="529"/>
      <c r="O467" s="529"/>
      <c r="P467" s="529"/>
      <c r="Q467" s="529"/>
      <c r="R467" s="286"/>
      <c r="S467" s="286"/>
      <c r="T467" s="286"/>
      <c r="U467" s="286"/>
      <c r="V467" s="286"/>
      <c r="W467" s="286"/>
    </row>
    <row r="468">
      <c r="A468" s="286"/>
      <c r="B468" s="286"/>
      <c r="C468" s="529"/>
      <c r="D468" s="306"/>
      <c r="E468" s="306"/>
      <c r="F468" s="306"/>
      <c r="G468" s="286"/>
      <c r="H468" s="286"/>
      <c r="I468" s="286"/>
      <c r="J468" s="529"/>
      <c r="K468" s="286"/>
      <c r="L468" s="286"/>
      <c r="M468" s="529"/>
      <c r="N468" s="529"/>
      <c r="O468" s="529"/>
      <c r="P468" s="529"/>
      <c r="Q468" s="529"/>
      <c r="R468" s="286"/>
      <c r="S468" s="286"/>
      <c r="T468" s="286"/>
      <c r="U468" s="286"/>
      <c r="V468" s="286"/>
      <c r="W468" s="286"/>
    </row>
    <row r="469">
      <c r="A469" s="286"/>
      <c r="B469" s="286"/>
      <c r="C469" s="529"/>
      <c r="D469" s="306"/>
      <c r="E469" s="306"/>
      <c r="F469" s="306"/>
      <c r="G469" s="286"/>
      <c r="H469" s="286"/>
      <c r="I469" s="286"/>
      <c r="J469" s="529"/>
      <c r="K469" s="286"/>
      <c r="L469" s="286"/>
      <c r="M469" s="529"/>
      <c r="N469" s="529"/>
      <c r="O469" s="529"/>
      <c r="P469" s="529"/>
      <c r="Q469" s="529"/>
      <c r="R469" s="286"/>
      <c r="S469" s="286"/>
      <c r="T469" s="286"/>
      <c r="U469" s="286"/>
      <c r="V469" s="286"/>
      <c r="W469" s="286"/>
    </row>
    <row r="470">
      <c r="A470" s="286"/>
      <c r="B470" s="286"/>
      <c r="C470" s="529"/>
      <c r="D470" s="306"/>
      <c r="E470" s="306"/>
      <c r="F470" s="306"/>
      <c r="G470" s="286"/>
      <c r="H470" s="286"/>
      <c r="I470" s="286"/>
      <c r="J470" s="529"/>
      <c r="K470" s="286"/>
      <c r="L470" s="286"/>
      <c r="M470" s="529"/>
      <c r="N470" s="529"/>
      <c r="O470" s="529"/>
      <c r="P470" s="529"/>
      <c r="Q470" s="529"/>
      <c r="R470" s="286"/>
      <c r="S470" s="286"/>
      <c r="T470" s="286"/>
      <c r="U470" s="286"/>
      <c r="V470" s="286"/>
      <c r="W470" s="286"/>
    </row>
    <row r="471">
      <c r="A471" s="286"/>
      <c r="B471" s="286"/>
      <c r="C471" s="529"/>
      <c r="D471" s="306"/>
      <c r="E471" s="306"/>
      <c r="F471" s="306"/>
      <c r="G471" s="286"/>
      <c r="H471" s="286"/>
      <c r="I471" s="286"/>
      <c r="J471" s="529"/>
      <c r="K471" s="286"/>
      <c r="L471" s="286"/>
      <c r="M471" s="529"/>
      <c r="N471" s="529"/>
      <c r="O471" s="529"/>
      <c r="P471" s="529"/>
      <c r="Q471" s="529"/>
      <c r="R471" s="286"/>
      <c r="S471" s="286"/>
      <c r="T471" s="286"/>
      <c r="U471" s="286"/>
      <c r="V471" s="286"/>
      <c r="W471" s="286"/>
    </row>
    <row r="472">
      <c r="A472" s="286"/>
      <c r="B472" s="286"/>
      <c r="C472" s="529"/>
      <c r="D472" s="306"/>
      <c r="E472" s="306"/>
      <c r="F472" s="306"/>
      <c r="G472" s="286"/>
      <c r="H472" s="286"/>
      <c r="I472" s="286"/>
      <c r="J472" s="529"/>
      <c r="K472" s="286"/>
      <c r="L472" s="286"/>
      <c r="M472" s="529"/>
      <c r="N472" s="529"/>
      <c r="O472" s="529"/>
      <c r="P472" s="529"/>
      <c r="Q472" s="529"/>
      <c r="R472" s="286"/>
      <c r="S472" s="286"/>
      <c r="T472" s="286"/>
      <c r="U472" s="286"/>
      <c r="V472" s="286"/>
      <c r="W472" s="286"/>
    </row>
    <row r="473">
      <c r="A473" s="286"/>
      <c r="B473" s="286"/>
      <c r="C473" s="529"/>
      <c r="D473" s="306"/>
      <c r="E473" s="306"/>
      <c r="F473" s="306"/>
      <c r="G473" s="286"/>
      <c r="H473" s="286"/>
      <c r="I473" s="286"/>
      <c r="J473" s="529"/>
      <c r="K473" s="286"/>
      <c r="L473" s="286"/>
      <c r="M473" s="529"/>
      <c r="N473" s="529"/>
      <c r="O473" s="529"/>
      <c r="P473" s="529"/>
      <c r="Q473" s="529"/>
      <c r="R473" s="286"/>
      <c r="S473" s="286"/>
      <c r="T473" s="286"/>
      <c r="U473" s="286"/>
      <c r="V473" s="286"/>
      <c r="W473" s="286"/>
    </row>
    <row r="474">
      <c r="A474" s="286"/>
      <c r="B474" s="286"/>
      <c r="C474" s="529"/>
      <c r="D474" s="306"/>
      <c r="E474" s="306"/>
      <c r="F474" s="306"/>
      <c r="G474" s="286"/>
      <c r="H474" s="286"/>
      <c r="I474" s="286"/>
      <c r="J474" s="529"/>
      <c r="K474" s="286"/>
      <c r="L474" s="286"/>
      <c r="M474" s="529"/>
      <c r="N474" s="529"/>
      <c r="O474" s="529"/>
      <c r="P474" s="529"/>
      <c r="Q474" s="529"/>
      <c r="R474" s="286"/>
      <c r="S474" s="286"/>
      <c r="T474" s="286"/>
      <c r="U474" s="286"/>
      <c r="V474" s="286"/>
      <c r="W474" s="286"/>
    </row>
    <row r="475">
      <c r="A475" s="286"/>
      <c r="B475" s="286"/>
      <c r="C475" s="529"/>
      <c r="D475" s="306"/>
      <c r="E475" s="306"/>
      <c r="F475" s="306"/>
      <c r="G475" s="286"/>
      <c r="H475" s="286"/>
      <c r="I475" s="286"/>
      <c r="J475" s="529"/>
      <c r="K475" s="286"/>
      <c r="L475" s="286"/>
      <c r="M475" s="529"/>
      <c r="N475" s="529"/>
      <c r="O475" s="529"/>
      <c r="P475" s="529"/>
      <c r="Q475" s="529"/>
      <c r="R475" s="286"/>
      <c r="S475" s="286"/>
      <c r="T475" s="286"/>
      <c r="U475" s="286"/>
      <c r="V475" s="286"/>
      <c r="W475" s="286"/>
    </row>
    <row r="476">
      <c r="A476" s="286"/>
      <c r="B476" s="286"/>
      <c r="C476" s="529"/>
      <c r="D476" s="306"/>
      <c r="E476" s="306"/>
      <c r="F476" s="306"/>
      <c r="G476" s="286"/>
      <c r="H476" s="286"/>
      <c r="I476" s="286"/>
      <c r="J476" s="529"/>
      <c r="K476" s="286"/>
      <c r="L476" s="286"/>
      <c r="M476" s="529"/>
      <c r="N476" s="529"/>
      <c r="O476" s="529"/>
      <c r="P476" s="529"/>
      <c r="Q476" s="529"/>
      <c r="R476" s="286"/>
      <c r="S476" s="286"/>
      <c r="T476" s="286"/>
      <c r="U476" s="286"/>
      <c r="V476" s="286"/>
      <c r="W476" s="286"/>
    </row>
    <row r="477">
      <c r="A477" s="286"/>
      <c r="B477" s="286"/>
      <c r="C477" s="529"/>
      <c r="D477" s="306"/>
      <c r="E477" s="306"/>
      <c r="F477" s="306"/>
      <c r="G477" s="286"/>
      <c r="H477" s="286"/>
      <c r="I477" s="286"/>
      <c r="J477" s="529"/>
      <c r="K477" s="286"/>
      <c r="L477" s="286"/>
      <c r="M477" s="529"/>
      <c r="N477" s="529"/>
      <c r="O477" s="529"/>
      <c r="P477" s="529"/>
      <c r="Q477" s="529"/>
      <c r="R477" s="286"/>
      <c r="S477" s="286"/>
      <c r="T477" s="286"/>
      <c r="U477" s="286"/>
      <c r="V477" s="286"/>
      <c r="W477" s="286"/>
    </row>
    <row r="478">
      <c r="A478" s="286"/>
      <c r="B478" s="286"/>
      <c r="C478" s="529"/>
      <c r="D478" s="306"/>
      <c r="E478" s="306"/>
      <c r="F478" s="306"/>
      <c r="G478" s="286"/>
      <c r="H478" s="286"/>
      <c r="I478" s="286"/>
      <c r="J478" s="529"/>
      <c r="K478" s="286"/>
      <c r="L478" s="286"/>
      <c r="M478" s="529"/>
      <c r="N478" s="529"/>
      <c r="O478" s="529"/>
      <c r="P478" s="529"/>
      <c r="Q478" s="529"/>
      <c r="R478" s="286"/>
      <c r="S478" s="286"/>
      <c r="T478" s="286"/>
      <c r="U478" s="286"/>
      <c r="V478" s="286"/>
      <c r="W478" s="286"/>
    </row>
    <row r="479">
      <c r="A479" s="286"/>
      <c r="B479" s="286"/>
      <c r="C479" s="529"/>
      <c r="D479" s="306"/>
      <c r="E479" s="306"/>
      <c r="F479" s="306"/>
      <c r="G479" s="286"/>
      <c r="H479" s="286"/>
      <c r="I479" s="286"/>
      <c r="J479" s="529"/>
      <c r="K479" s="286"/>
      <c r="L479" s="286"/>
      <c r="M479" s="529"/>
      <c r="N479" s="529"/>
      <c r="O479" s="529"/>
      <c r="P479" s="529"/>
      <c r="Q479" s="529"/>
      <c r="R479" s="286"/>
      <c r="S479" s="286"/>
      <c r="T479" s="286"/>
      <c r="U479" s="286"/>
      <c r="V479" s="286"/>
      <c r="W479" s="286"/>
    </row>
    <row r="480">
      <c r="A480" s="286"/>
      <c r="B480" s="286"/>
      <c r="C480" s="529"/>
      <c r="D480" s="306"/>
      <c r="E480" s="306"/>
      <c r="F480" s="306"/>
      <c r="G480" s="286"/>
      <c r="H480" s="286"/>
      <c r="I480" s="286"/>
      <c r="J480" s="529"/>
      <c r="K480" s="286"/>
      <c r="L480" s="286"/>
      <c r="M480" s="529"/>
      <c r="N480" s="529"/>
      <c r="O480" s="529"/>
      <c r="P480" s="529"/>
      <c r="Q480" s="529"/>
      <c r="R480" s="286"/>
      <c r="S480" s="286"/>
      <c r="T480" s="286"/>
      <c r="U480" s="286"/>
      <c r="V480" s="286"/>
      <c r="W480" s="286"/>
    </row>
    <row r="481">
      <c r="A481" s="286"/>
      <c r="B481" s="286"/>
      <c r="C481" s="529"/>
      <c r="D481" s="306"/>
      <c r="E481" s="306"/>
      <c r="F481" s="306"/>
      <c r="G481" s="286"/>
      <c r="H481" s="286"/>
      <c r="I481" s="286"/>
      <c r="J481" s="529"/>
      <c r="K481" s="286"/>
      <c r="L481" s="286"/>
      <c r="M481" s="529"/>
      <c r="N481" s="529"/>
      <c r="O481" s="529"/>
      <c r="P481" s="529"/>
      <c r="Q481" s="529"/>
      <c r="R481" s="286"/>
      <c r="S481" s="286"/>
      <c r="T481" s="286"/>
      <c r="U481" s="286"/>
      <c r="V481" s="286"/>
      <c r="W481" s="286"/>
    </row>
    <row r="482">
      <c r="A482" s="286"/>
      <c r="B482" s="286"/>
      <c r="C482" s="529"/>
      <c r="D482" s="306"/>
      <c r="E482" s="306"/>
      <c r="F482" s="306"/>
      <c r="G482" s="286"/>
      <c r="H482" s="286"/>
      <c r="I482" s="286"/>
      <c r="J482" s="529"/>
      <c r="K482" s="286"/>
      <c r="L482" s="286"/>
      <c r="M482" s="529"/>
      <c r="N482" s="529"/>
      <c r="O482" s="529"/>
      <c r="P482" s="529"/>
      <c r="Q482" s="529"/>
      <c r="R482" s="286"/>
      <c r="S482" s="286"/>
      <c r="T482" s="286"/>
      <c r="U482" s="286"/>
      <c r="V482" s="286"/>
      <c r="W482" s="286"/>
    </row>
    <row r="483">
      <c r="A483" s="286"/>
      <c r="B483" s="286"/>
      <c r="C483" s="529"/>
      <c r="D483" s="306"/>
      <c r="E483" s="306"/>
      <c r="F483" s="306"/>
      <c r="G483" s="286"/>
      <c r="H483" s="286"/>
      <c r="I483" s="286"/>
      <c r="J483" s="529"/>
      <c r="K483" s="286"/>
      <c r="L483" s="286"/>
      <c r="M483" s="529"/>
      <c r="N483" s="529"/>
      <c r="O483" s="529"/>
      <c r="P483" s="529"/>
      <c r="Q483" s="529"/>
      <c r="R483" s="286"/>
      <c r="S483" s="286"/>
      <c r="T483" s="286"/>
      <c r="U483" s="286"/>
      <c r="V483" s="286"/>
      <c r="W483" s="286"/>
    </row>
    <row r="484">
      <c r="A484" s="286"/>
      <c r="B484" s="286"/>
      <c r="C484" s="529"/>
      <c r="D484" s="306"/>
      <c r="E484" s="306"/>
      <c r="F484" s="306"/>
      <c r="G484" s="286"/>
      <c r="H484" s="286"/>
      <c r="I484" s="286"/>
      <c r="J484" s="529"/>
      <c r="K484" s="286"/>
      <c r="L484" s="286"/>
      <c r="M484" s="529"/>
      <c r="N484" s="529"/>
      <c r="O484" s="529"/>
      <c r="P484" s="529"/>
      <c r="Q484" s="529"/>
      <c r="R484" s="286"/>
      <c r="S484" s="286"/>
      <c r="T484" s="286"/>
      <c r="U484" s="286"/>
      <c r="V484" s="286"/>
      <c r="W484" s="286"/>
    </row>
    <row r="485">
      <c r="A485" s="286"/>
      <c r="B485" s="286"/>
      <c r="C485" s="529"/>
      <c r="D485" s="306"/>
      <c r="E485" s="306"/>
      <c r="F485" s="306"/>
      <c r="G485" s="286"/>
      <c r="H485" s="286"/>
      <c r="I485" s="286"/>
      <c r="J485" s="529"/>
      <c r="K485" s="286"/>
      <c r="L485" s="286"/>
      <c r="M485" s="529"/>
      <c r="N485" s="529"/>
      <c r="O485" s="529"/>
      <c r="P485" s="529"/>
      <c r="Q485" s="529"/>
      <c r="R485" s="286"/>
      <c r="S485" s="286"/>
      <c r="T485" s="286"/>
      <c r="U485" s="286"/>
      <c r="V485" s="286"/>
      <c r="W485" s="286"/>
    </row>
    <row r="486">
      <c r="A486" s="286"/>
      <c r="B486" s="286"/>
      <c r="C486" s="529"/>
      <c r="D486" s="306"/>
      <c r="E486" s="306"/>
      <c r="F486" s="306"/>
      <c r="G486" s="286"/>
      <c r="H486" s="286"/>
      <c r="I486" s="286"/>
      <c r="J486" s="529"/>
      <c r="K486" s="286"/>
      <c r="L486" s="286"/>
      <c r="M486" s="529"/>
      <c r="N486" s="529"/>
      <c r="O486" s="529"/>
      <c r="P486" s="529"/>
      <c r="Q486" s="529"/>
      <c r="R486" s="286"/>
      <c r="S486" s="286"/>
      <c r="T486" s="286"/>
      <c r="U486" s="286"/>
      <c r="V486" s="286"/>
      <c r="W486" s="286"/>
    </row>
    <row r="487">
      <c r="A487" s="286"/>
      <c r="B487" s="286"/>
      <c r="C487" s="529"/>
      <c r="D487" s="306"/>
      <c r="E487" s="306"/>
      <c r="F487" s="306"/>
      <c r="G487" s="286"/>
      <c r="H487" s="286"/>
      <c r="I487" s="286"/>
      <c r="J487" s="529"/>
      <c r="K487" s="286"/>
      <c r="L487" s="286"/>
      <c r="M487" s="529"/>
      <c r="N487" s="529"/>
      <c r="O487" s="529"/>
      <c r="P487" s="529"/>
      <c r="Q487" s="529"/>
      <c r="R487" s="286"/>
      <c r="S487" s="286"/>
      <c r="T487" s="286"/>
      <c r="U487" s="286"/>
      <c r="V487" s="286"/>
      <c r="W487" s="286"/>
    </row>
    <row r="488">
      <c r="A488" s="286"/>
      <c r="B488" s="286"/>
      <c r="C488" s="529"/>
      <c r="D488" s="306"/>
      <c r="E488" s="306"/>
      <c r="F488" s="306"/>
      <c r="G488" s="286"/>
      <c r="H488" s="286"/>
      <c r="I488" s="286"/>
      <c r="J488" s="529"/>
      <c r="K488" s="286"/>
      <c r="L488" s="286"/>
      <c r="M488" s="529"/>
      <c r="N488" s="529"/>
      <c r="O488" s="529"/>
      <c r="P488" s="529"/>
      <c r="Q488" s="529"/>
      <c r="R488" s="286"/>
      <c r="S488" s="286"/>
      <c r="T488" s="286"/>
      <c r="U488" s="286"/>
      <c r="V488" s="286"/>
      <c r="W488" s="286"/>
    </row>
    <row r="489">
      <c r="A489" s="286"/>
      <c r="B489" s="286"/>
      <c r="C489" s="529"/>
      <c r="D489" s="306"/>
      <c r="E489" s="306"/>
      <c r="F489" s="306"/>
      <c r="G489" s="286"/>
      <c r="H489" s="286"/>
      <c r="I489" s="286"/>
      <c r="J489" s="529"/>
      <c r="K489" s="286"/>
      <c r="L489" s="286"/>
      <c r="M489" s="529"/>
      <c r="N489" s="529"/>
      <c r="O489" s="529"/>
      <c r="P489" s="529"/>
      <c r="Q489" s="529"/>
      <c r="R489" s="286"/>
      <c r="S489" s="286"/>
      <c r="T489" s="286"/>
      <c r="U489" s="286"/>
      <c r="V489" s="286"/>
      <c r="W489" s="286"/>
    </row>
    <row r="490">
      <c r="A490" s="286"/>
      <c r="B490" s="286"/>
      <c r="C490" s="529"/>
      <c r="D490" s="306"/>
      <c r="E490" s="306"/>
      <c r="F490" s="306"/>
      <c r="G490" s="286"/>
      <c r="H490" s="286"/>
      <c r="I490" s="286"/>
      <c r="J490" s="529"/>
      <c r="K490" s="286"/>
      <c r="L490" s="286"/>
      <c r="M490" s="529"/>
      <c r="N490" s="529"/>
      <c r="O490" s="529"/>
      <c r="P490" s="529"/>
      <c r="Q490" s="529"/>
      <c r="R490" s="286"/>
      <c r="S490" s="286"/>
      <c r="T490" s="286"/>
      <c r="U490" s="286"/>
      <c r="V490" s="286"/>
      <c r="W490" s="286"/>
    </row>
    <row r="491">
      <c r="A491" s="286"/>
      <c r="B491" s="286"/>
      <c r="C491" s="529"/>
      <c r="D491" s="306"/>
      <c r="E491" s="306"/>
      <c r="F491" s="306"/>
      <c r="G491" s="286"/>
      <c r="H491" s="286"/>
      <c r="I491" s="286"/>
      <c r="J491" s="529"/>
      <c r="K491" s="286"/>
      <c r="L491" s="286"/>
      <c r="M491" s="529"/>
      <c r="N491" s="529"/>
      <c r="O491" s="529"/>
      <c r="P491" s="529"/>
      <c r="Q491" s="529"/>
      <c r="R491" s="286"/>
      <c r="S491" s="286"/>
      <c r="T491" s="286"/>
      <c r="U491" s="286"/>
      <c r="V491" s="286"/>
      <c r="W491" s="286"/>
    </row>
    <row r="492">
      <c r="A492" s="286"/>
      <c r="B492" s="286"/>
      <c r="C492" s="529"/>
      <c r="D492" s="306"/>
      <c r="E492" s="306"/>
      <c r="F492" s="306"/>
      <c r="G492" s="286"/>
      <c r="H492" s="286"/>
      <c r="I492" s="286"/>
      <c r="J492" s="529"/>
      <c r="K492" s="286"/>
      <c r="L492" s="286"/>
      <c r="M492" s="529"/>
      <c r="N492" s="529"/>
      <c r="O492" s="529"/>
      <c r="P492" s="529"/>
      <c r="Q492" s="529"/>
      <c r="R492" s="286"/>
      <c r="S492" s="286"/>
      <c r="T492" s="286"/>
      <c r="U492" s="286"/>
      <c r="V492" s="286"/>
      <c r="W492" s="286"/>
    </row>
    <row r="493">
      <c r="A493" s="286"/>
      <c r="B493" s="286"/>
      <c r="C493" s="529"/>
      <c r="D493" s="306"/>
      <c r="E493" s="306"/>
      <c r="F493" s="306"/>
      <c r="G493" s="286"/>
      <c r="H493" s="286"/>
      <c r="I493" s="286"/>
      <c r="J493" s="529"/>
      <c r="K493" s="286"/>
      <c r="L493" s="286"/>
      <c r="M493" s="529"/>
      <c r="N493" s="529"/>
      <c r="O493" s="529"/>
      <c r="P493" s="529"/>
      <c r="Q493" s="529"/>
      <c r="R493" s="286"/>
      <c r="S493" s="286"/>
      <c r="T493" s="286"/>
      <c r="U493" s="286"/>
      <c r="V493" s="286"/>
      <c r="W493" s="286"/>
    </row>
    <row r="494">
      <c r="A494" s="286"/>
      <c r="B494" s="286"/>
      <c r="C494" s="529"/>
      <c r="D494" s="306"/>
      <c r="E494" s="306"/>
      <c r="F494" s="306"/>
      <c r="G494" s="286"/>
      <c r="H494" s="286"/>
      <c r="I494" s="286"/>
      <c r="J494" s="529"/>
      <c r="K494" s="286"/>
      <c r="L494" s="286"/>
      <c r="M494" s="529"/>
      <c r="N494" s="529"/>
      <c r="O494" s="529"/>
      <c r="P494" s="529"/>
      <c r="Q494" s="529"/>
      <c r="R494" s="286"/>
      <c r="S494" s="286"/>
      <c r="T494" s="286"/>
      <c r="U494" s="286"/>
      <c r="V494" s="286"/>
      <c r="W494" s="286"/>
    </row>
    <row r="495">
      <c r="A495" s="286"/>
      <c r="B495" s="286"/>
      <c r="C495" s="529"/>
      <c r="D495" s="306"/>
      <c r="E495" s="306"/>
      <c r="F495" s="306"/>
      <c r="G495" s="286"/>
      <c r="H495" s="286"/>
      <c r="I495" s="286"/>
      <c r="J495" s="529"/>
      <c r="K495" s="286"/>
      <c r="L495" s="286"/>
      <c r="M495" s="529"/>
      <c r="N495" s="529"/>
      <c r="O495" s="529"/>
      <c r="P495" s="529"/>
      <c r="Q495" s="529"/>
      <c r="R495" s="286"/>
      <c r="S495" s="286"/>
      <c r="T495" s="286"/>
      <c r="U495" s="286"/>
      <c r="V495" s="286"/>
      <c r="W495" s="286"/>
    </row>
    <row r="496">
      <c r="A496" s="286"/>
      <c r="B496" s="286"/>
      <c r="C496" s="529"/>
      <c r="D496" s="306"/>
      <c r="E496" s="306"/>
      <c r="F496" s="306"/>
      <c r="G496" s="286"/>
      <c r="H496" s="286"/>
      <c r="I496" s="286"/>
      <c r="J496" s="529"/>
      <c r="K496" s="286"/>
      <c r="L496" s="286"/>
      <c r="M496" s="529"/>
      <c r="N496" s="529"/>
      <c r="O496" s="529"/>
      <c r="P496" s="529"/>
      <c r="Q496" s="529"/>
      <c r="R496" s="286"/>
      <c r="S496" s="286"/>
      <c r="T496" s="286"/>
      <c r="U496" s="286"/>
      <c r="V496" s="286"/>
      <c r="W496" s="286"/>
    </row>
    <row r="497">
      <c r="A497" s="286"/>
      <c r="B497" s="286"/>
      <c r="C497" s="529"/>
      <c r="D497" s="306"/>
      <c r="E497" s="306"/>
      <c r="F497" s="306"/>
      <c r="G497" s="286"/>
      <c r="H497" s="286"/>
      <c r="I497" s="286"/>
      <c r="J497" s="529"/>
      <c r="K497" s="286"/>
      <c r="L497" s="286"/>
      <c r="M497" s="529"/>
      <c r="N497" s="529"/>
      <c r="O497" s="529"/>
      <c r="P497" s="529"/>
      <c r="Q497" s="529"/>
      <c r="R497" s="286"/>
      <c r="S497" s="286"/>
      <c r="T497" s="286"/>
      <c r="U497" s="286"/>
      <c r="V497" s="286"/>
      <c r="W497" s="286"/>
    </row>
    <row r="498">
      <c r="A498" s="286"/>
      <c r="B498" s="286"/>
      <c r="C498" s="529"/>
      <c r="D498" s="306"/>
      <c r="E498" s="306"/>
      <c r="F498" s="306"/>
      <c r="G498" s="286"/>
      <c r="H498" s="286"/>
      <c r="I498" s="286"/>
      <c r="J498" s="529"/>
      <c r="K498" s="286"/>
      <c r="L498" s="286"/>
      <c r="M498" s="529"/>
      <c r="N498" s="529"/>
      <c r="O498" s="529"/>
      <c r="P498" s="529"/>
      <c r="Q498" s="529"/>
      <c r="R498" s="286"/>
      <c r="S498" s="286"/>
      <c r="T498" s="286"/>
      <c r="U498" s="286"/>
      <c r="V498" s="286"/>
      <c r="W498" s="286"/>
    </row>
    <row r="499">
      <c r="A499" s="286"/>
      <c r="B499" s="286"/>
      <c r="C499" s="529"/>
      <c r="D499" s="306"/>
      <c r="E499" s="306"/>
      <c r="F499" s="306"/>
      <c r="G499" s="286"/>
      <c r="H499" s="286"/>
      <c r="I499" s="286"/>
      <c r="J499" s="529"/>
      <c r="K499" s="286"/>
      <c r="L499" s="286"/>
      <c r="M499" s="529"/>
      <c r="N499" s="529"/>
      <c r="O499" s="529"/>
      <c r="P499" s="529"/>
      <c r="Q499" s="529"/>
      <c r="R499" s="286"/>
      <c r="S499" s="286"/>
      <c r="T499" s="286"/>
      <c r="U499" s="286"/>
      <c r="V499" s="286"/>
      <c r="W499" s="286"/>
    </row>
    <row r="500">
      <c r="A500" s="286"/>
      <c r="B500" s="286"/>
      <c r="C500" s="529"/>
      <c r="D500" s="306"/>
      <c r="E500" s="306"/>
      <c r="F500" s="306"/>
      <c r="G500" s="286"/>
      <c r="H500" s="286"/>
      <c r="I500" s="286"/>
      <c r="J500" s="529"/>
      <c r="K500" s="286"/>
      <c r="L500" s="286"/>
      <c r="M500" s="529"/>
      <c r="N500" s="529"/>
      <c r="O500" s="529"/>
      <c r="P500" s="529"/>
      <c r="Q500" s="529"/>
      <c r="R500" s="286"/>
      <c r="S500" s="286"/>
      <c r="T500" s="286"/>
      <c r="U500" s="286"/>
      <c r="V500" s="286"/>
      <c r="W500" s="286"/>
    </row>
    <row r="501">
      <c r="A501" s="286"/>
      <c r="B501" s="286"/>
      <c r="C501" s="529"/>
      <c r="D501" s="306"/>
      <c r="E501" s="306"/>
      <c r="F501" s="306"/>
      <c r="G501" s="286"/>
      <c r="H501" s="286"/>
      <c r="I501" s="286"/>
      <c r="J501" s="529"/>
      <c r="K501" s="286"/>
      <c r="L501" s="286"/>
      <c r="M501" s="529"/>
      <c r="N501" s="529"/>
      <c r="O501" s="529"/>
      <c r="P501" s="529"/>
      <c r="Q501" s="529"/>
      <c r="R501" s="286"/>
      <c r="S501" s="286"/>
      <c r="T501" s="286"/>
      <c r="U501" s="286"/>
      <c r="V501" s="286"/>
      <c r="W501" s="286"/>
    </row>
    <row r="502">
      <c r="A502" s="286"/>
      <c r="B502" s="286"/>
      <c r="C502" s="529"/>
      <c r="D502" s="306"/>
      <c r="E502" s="306"/>
      <c r="F502" s="306"/>
      <c r="G502" s="286"/>
      <c r="H502" s="286"/>
      <c r="I502" s="286"/>
      <c r="J502" s="529"/>
      <c r="K502" s="286"/>
      <c r="L502" s="286"/>
      <c r="M502" s="529"/>
      <c r="N502" s="529"/>
      <c r="O502" s="529"/>
      <c r="P502" s="529"/>
      <c r="Q502" s="529"/>
      <c r="R502" s="286"/>
      <c r="S502" s="286"/>
      <c r="T502" s="286"/>
      <c r="U502" s="286"/>
      <c r="V502" s="286"/>
      <c r="W502" s="286"/>
    </row>
    <row r="503">
      <c r="A503" s="286"/>
      <c r="B503" s="286"/>
      <c r="C503" s="529"/>
      <c r="D503" s="306"/>
      <c r="E503" s="306"/>
      <c r="F503" s="306"/>
      <c r="G503" s="286"/>
      <c r="H503" s="286"/>
      <c r="I503" s="286"/>
      <c r="J503" s="529"/>
      <c r="K503" s="286"/>
      <c r="L503" s="286"/>
      <c r="M503" s="529"/>
      <c r="N503" s="529"/>
      <c r="O503" s="529"/>
      <c r="P503" s="529"/>
      <c r="Q503" s="529"/>
      <c r="R503" s="286"/>
      <c r="S503" s="286"/>
      <c r="T503" s="286"/>
      <c r="U503" s="286"/>
      <c r="V503" s="286"/>
      <c r="W503" s="286"/>
    </row>
    <row r="504">
      <c r="A504" s="286"/>
      <c r="B504" s="286"/>
      <c r="C504" s="529"/>
      <c r="D504" s="306"/>
      <c r="E504" s="306"/>
      <c r="F504" s="306"/>
      <c r="G504" s="286"/>
      <c r="H504" s="286"/>
      <c r="I504" s="286"/>
      <c r="J504" s="529"/>
      <c r="K504" s="286"/>
      <c r="L504" s="286"/>
      <c r="M504" s="529"/>
      <c r="N504" s="529"/>
      <c r="O504" s="529"/>
      <c r="P504" s="529"/>
      <c r="Q504" s="529"/>
      <c r="R504" s="286"/>
      <c r="S504" s="286"/>
      <c r="T504" s="286"/>
      <c r="U504" s="286"/>
      <c r="V504" s="286"/>
      <c r="W504" s="286"/>
    </row>
    <row r="505">
      <c r="A505" s="286"/>
      <c r="B505" s="286"/>
      <c r="C505" s="529"/>
      <c r="D505" s="306"/>
      <c r="E505" s="306"/>
      <c r="F505" s="306"/>
      <c r="G505" s="286"/>
      <c r="H505" s="286"/>
      <c r="I505" s="286"/>
      <c r="J505" s="529"/>
      <c r="K505" s="286"/>
      <c r="L505" s="286"/>
      <c r="M505" s="529"/>
      <c r="N505" s="529"/>
      <c r="O505" s="529"/>
      <c r="P505" s="529"/>
      <c r="Q505" s="529"/>
      <c r="R505" s="286"/>
      <c r="S505" s="286"/>
      <c r="T505" s="286"/>
      <c r="U505" s="286"/>
      <c r="V505" s="286"/>
      <c r="W505" s="286"/>
    </row>
    <row r="506">
      <c r="A506" s="286"/>
      <c r="B506" s="286"/>
      <c r="C506" s="529"/>
      <c r="D506" s="306"/>
      <c r="E506" s="306"/>
      <c r="F506" s="306"/>
      <c r="G506" s="286"/>
      <c r="H506" s="286"/>
      <c r="I506" s="286"/>
      <c r="J506" s="529"/>
      <c r="K506" s="286"/>
      <c r="L506" s="286"/>
      <c r="M506" s="529"/>
      <c r="N506" s="529"/>
      <c r="O506" s="529"/>
      <c r="P506" s="529"/>
      <c r="Q506" s="529"/>
      <c r="R506" s="286"/>
      <c r="S506" s="286"/>
      <c r="T506" s="286"/>
      <c r="U506" s="286"/>
      <c r="V506" s="286"/>
      <c r="W506" s="286"/>
    </row>
    <row r="507">
      <c r="A507" s="286"/>
      <c r="B507" s="286"/>
      <c r="C507" s="529"/>
      <c r="D507" s="306"/>
      <c r="E507" s="306"/>
      <c r="F507" s="306"/>
      <c r="G507" s="286"/>
      <c r="H507" s="286"/>
      <c r="I507" s="286"/>
      <c r="J507" s="529"/>
      <c r="K507" s="286"/>
      <c r="L507" s="286"/>
      <c r="M507" s="529"/>
      <c r="N507" s="529"/>
      <c r="O507" s="529"/>
      <c r="P507" s="529"/>
      <c r="Q507" s="529"/>
      <c r="R507" s="286"/>
      <c r="S507" s="286"/>
      <c r="T507" s="286"/>
      <c r="U507" s="286"/>
      <c r="V507" s="286"/>
      <c r="W507" s="286"/>
    </row>
    <row r="508">
      <c r="A508" s="286"/>
      <c r="B508" s="286"/>
      <c r="C508" s="529"/>
      <c r="D508" s="306"/>
      <c r="E508" s="306"/>
      <c r="F508" s="306"/>
      <c r="G508" s="286"/>
      <c r="H508" s="286"/>
      <c r="I508" s="286"/>
      <c r="J508" s="529"/>
      <c r="K508" s="286"/>
      <c r="L508" s="286"/>
      <c r="M508" s="529"/>
      <c r="N508" s="529"/>
      <c r="O508" s="529"/>
      <c r="P508" s="529"/>
      <c r="Q508" s="529"/>
      <c r="R508" s="286"/>
      <c r="S508" s="286"/>
      <c r="T508" s="286"/>
      <c r="U508" s="286"/>
      <c r="V508" s="286"/>
      <c r="W508" s="286"/>
    </row>
    <row r="509">
      <c r="A509" s="286"/>
      <c r="B509" s="286"/>
      <c r="C509" s="529"/>
      <c r="D509" s="306"/>
      <c r="E509" s="306"/>
      <c r="F509" s="306"/>
      <c r="G509" s="286"/>
      <c r="H509" s="286"/>
      <c r="I509" s="286"/>
      <c r="J509" s="529"/>
      <c r="K509" s="286"/>
      <c r="L509" s="286"/>
      <c r="M509" s="529"/>
      <c r="N509" s="529"/>
      <c r="O509" s="529"/>
      <c r="P509" s="529"/>
      <c r="Q509" s="529"/>
      <c r="R509" s="286"/>
      <c r="S509" s="286"/>
      <c r="T509" s="286"/>
      <c r="U509" s="286"/>
      <c r="V509" s="286"/>
      <c r="W509" s="286"/>
    </row>
    <row r="510">
      <c r="A510" s="286"/>
      <c r="B510" s="286"/>
      <c r="C510" s="529"/>
      <c r="D510" s="306"/>
      <c r="E510" s="306"/>
      <c r="F510" s="306"/>
      <c r="G510" s="286"/>
      <c r="H510" s="286"/>
      <c r="I510" s="286"/>
      <c r="J510" s="529"/>
      <c r="K510" s="286"/>
      <c r="L510" s="286"/>
      <c r="M510" s="529"/>
      <c r="N510" s="529"/>
      <c r="O510" s="529"/>
      <c r="P510" s="529"/>
      <c r="Q510" s="529"/>
      <c r="R510" s="286"/>
      <c r="S510" s="286"/>
      <c r="T510" s="286"/>
      <c r="U510" s="286"/>
      <c r="V510" s="286"/>
      <c r="W510" s="286"/>
    </row>
    <row r="511">
      <c r="A511" s="286"/>
      <c r="B511" s="286"/>
      <c r="C511" s="529"/>
      <c r="D511" s="306"/>
      <c r="E511" s="306"/>
      <c r="F511" s="306"/>
      <c r="G511" s="286"/>
      <c r="H511" s="286"/>
      <c r="I511" s="286"/>
      <c r="J511" s="529"/>
      <c r="K511" s="286"/>
      <c r="L511" s="286"/>
      <c r="M511" s="529"/>
      <c r="N511" s="529"/>
      <c r="O511" s="529"/>
      <c r="P511" s="529"/>
      <c r="Q511" s="529"/>
      <c r="R511" s="286"/>
      <c r="S511" s="286"/>
      <c r="T511" s="286"/>
      <c r="U511" s="286"/>
      <c r="V511" s="286"/>
      <c r="W511" s="286"/>
    </row>
    <row r="512">
      <c r="A512" s="286"/>
      <c r="B512" s="286"/>
      <c r="C512" s="529"/>
      <c r="D512" s="306"/>
      <c r="E512" s="306"/>
      <c r="F512" s="306"/>
      <c r="G512" s="286"/>
      <c r="H512" s="286"/>
      <c r="I512" s="286"/>
      <c r="J512" s="529"/>
      <c r="K512" s="286"/>
      <c r="L512" s="286"/>
      <c r="M512" s="529"/>
      <c r="N512" s="529"/>
      <c r="O512" s="529"/>
      <c r="P512" s="529"/>
      <c r="Q512" s="529"/>
      <c r="R512" s="286"/>
      <c r="S512" s="286"/>
      <c r="T512" s="286"/>
      <c r="U512" s="286"/>
      <c r="V512" s="286"/>
      <c r="W512" s="286"/>
    </row>
    <row r="513">
      <c r="A513" s="286"/>
      <c r="B513" s="286"/>
      <c r="C513" s="529"/>
      <c r="D513" s="306"/>
      <c r="E513" s="306"/>
      <c r="F513" s="306"/>
      <c r="G513" s="286"/>
      <c r="H513" s="286"/>
      <c r="I513" s="286"/>
      <c r="J513" s="529"/>
      <c r="K513" s="286"/>
      <c r="L513" s="286"/>
      <c r="M513" s="529"/>
      <c r="N513" s="529"/>
      <c r="O513" s="529"/>
      <c r="P513" s="529"/>
      <c r="Q513" s="529"/>
      <c r="R513" s="286"/>
      <c r="S513" s="286"/>
      <c r="T513" s="286"/>
      <c r="U513" s="286"/>
      <c r="V513" s="286"/>
      <c r="W513" s="286"/>
    </row>
    <row r="514">
      <c r="A514" s="286"/>
      <c r="B514" s="286"/>
      <c r="C514" s="529"/>
      <c r="D514" s="306"/>
      <c r="E514" s="306"/>
      <c r="F514" s="306"/>
      <c r="G514" s="286"/>
      <c r="H514" s="286"/>
      <c r="I514" s="286"/>
      <c r="J514" s="529"/>
      <c r="K514" s="286"/>
      <c r="L514" s="286"/>
      <c r="M514" s="529"/>
      <c r="N514" s="529"/>
      <c r="O514" s="529"/>
      <c r="P514" s="529"/>
      <c r="Q514" s="529"/>
      <c r="R514" s="286"/>
      <c r="S514" s="286"/>
      <c r="T514" s="286"/>
      <c r="U514" s="286"/>
      <c r="V514" s="286"/>
      <c r="W514" s="286"/>
    </row>
    <row r="515">
      <c r="A515" s="286"/>
      <c r="B515" s="286"/>
      <c r="C515" s="529"/>
      <c r="D515" s="306"/>
      <c r="E515" s="306"/>
      <c r="F515" s="306"/>
      <c r="G515" s="286"/>
      <c r="H515" s="286"/>
      <c r="I515" s="286"/>
      <c r="J515" s="529"/>
      <c r="K515" s="286"/>
      <c r="L515" s="286"/>
      <c r="M515" s="529"/>
      <c r="N515" s="529"/>
      <c r="O515" s="529"/>
      <c r="P515" s="529"/>
      <c r="Q515" s="529"/>
      <c r="R515" s="286"/>
      <c r="S515" s="286"/>
      <c r="T515" s="286"/>
      <c r="U515" s="286"/>
      <c r="V515" s="286"/>
      <c r="W515" s="286"/>
    </row>
    <row r="516">
      <c r="A516" s="286"/>
      <c r="B516" s="286"/>
      <c r="C516" s="529"/>
      <c r="D516" s="306"/>
      <c r="E516" s="306"/>
      <c r="F516" s="306"/>
      <c r="G516" s="286"/>
      <c r="H516" s="286"/>
      <c r="I516" s="286"/>
      <c r="J516" s="529"/>
      <c r="K516" s="286"/>
      <c r="L516" s="286"/>
      <c r="M516" s="529"/>
      <c r="N516" s="529"/>
      <c r="O516" s="529"/>
      <c r="P516" s="529"/>
      <c r="Q516" s="529"/>
      <c r="R516" s="286"/>
      <c r="S516" s="286"/>
      <c r="T516" s="286"/>
      <c r="U516" s="286"/>
      <c r="V516" s="286"/>
      <c r="W516" s="286"/>
    </row>
    <row r="517">
      <c r="A517" s="286"/>
      <c r="B517" s="286"/>
      <c r="C517" s="529"/>
      <c r="D517" s="306"/>
      <c r="E517" s="306"/>
      <c r="F517" s="306"/>
      <c r="G517" s="286"/>
      <c r="H517" s="286"/>
      <c r="I517" s="286"/>
      <c r="J517" s="529"/>
      <c r="K517" s="286"/>
      <c r="L517" s="286"/>
      <c r="M517" s="529"/>
      <c r="N517" s="529"/>
      <c r="O517" s="529"/>
      <c r="P517" s="529"/>
      <c r="Q517" s="529"/>
      <c r="R517" s="286"/>
      <c r="S517" s="286"/>
      <c r="T517" s="286"/>
      <c r="U517" s="286"/>
      <c r="V517" s="286"/>
      <c r="W517" s="286"/>
    </row>
    <row r="518">
      <c r="A518" s="286"/>
      <c r="B518" s="286"/>
      <c r="C518" s="529"/>
      <c r="D518" s="306"/>
      <c r="E518" s="306"/>
      <c r="F518" s="306"/>
      <c r="G518" s="286"/>
      <c r="H518" s="286"/>
      <c r="I518" s="286"/>
      <c r="J518" s="529"/>
      <c r="K518" s="286"/>
      <c r="L518" s="286"/>
      <c r="M518" s="529"/>
      <c r="N518" s="529"/>
      <c r="O518" s="529"/>
      <c r="P518" s="529"/>
      <c r="Q518" s="529"/>
      <c r="R518" s="286"/>
      <c r="S518" s="286"/>
      <c r="T518" s="286"/>
      <c r="U518" s="286"/>
      <c r="V518" s="286"/>
      <c r="W518" s="286"/>
    </row>
    <row r="519">
      <c r="A519" s="286"/>
      <c r="B519" s="286"/>
      <c r="C519" s="529"/>
      <c r="D519" s="306"/>
      <c r="E519" s="306"/>
      <c r="F519" s="306"/>
      <c r="G519" s="286"/>
      <c r="H519" s="286"/>
      <c r="I519" s="286"/>
      <c r="J519" s="529"/>
      <c r="K519" s="286"/>
      <c r="L519" s="286"/>
      <c r="M519" s="529"/>
      <c r="N519" s="529"/>
      <c r="O519" s="529"/>
      <c r="P519" s="529"/>
      <c r="Q519" s="529"/>
      <c r="R519" s="286"/>
      <c r="S519" s="286"/>
      <c r="T519" s="286"/>
      <c r="U519" s="286"/>
      <c r="V519" s="286"/>
      <c r="W519" s="286"/>
    </row>
    <row r="520">
      <c r="A520" s="286"/>
      <c r="B520" s="286"/>
      <c r="C520" s="529"/>
      <c r="D520" s="306"/>
      <c r="E520" s="306"/>
      <c r="F520" s="306"/>
      <c r="G520" s="286"/>
      <c r="H520" s="286"/>
      <c r="I520" s="286"/>
      <c r="J520" s="529"/>
      <c r="K520" s="286"/>
      <c r="L520" s="286"/>
      <c r="M520" s="529"/>
      <c r="N520" s="529"/>
      <c r="O520" s="529"/>
      <c r="P520" s="529"/>
      <c r="Q520" s="529"/>
      <c r="R520" s="286"/>
      <c r="S520" s="286"/>
      <c r="T520" s="286"/>
      <c r="U520" s="286"/>
      <c r="V520" s="286"/>
      <c r="W520" s="286"/>
    </row>
    <row r="521">
      <c r="A521" s="286"/>
      <c r="B521" s="286"/>
      <c r="C521" s="529"/>
      <c r="D521" s="306"/>
      <c r="E521" s="306"/>
      <c r="F521" s="306"/>
      <c r="G521" s="286"/>
      <c r="H521" s="286"/>
      <c r="I521" s="286"/>
      <c r="J521" s="529"/>
      <c r="K521" s="286"/>
      <c r="L521" s="286"/>
      <c r="M521" s="529"/>
      <c r="N521" s="529"/>
      <c r="O521" s="529"/>
      <c r="P521" s="529"/>
      <c r="Q521" s="529"/>
      <c r="R521" s="286"/>
      <c r="S521" s="286"/>
      <c r="T521" s="286"/>
      <c r="U521" s="286"/>
      <c r="V521" s="286"/>
      <c r="W521" s="286"/>
    </row>
    <row r="522">
      <c r="A522" s="286"/>
      <c r="B522" s="286"/>
      <c r="C522" s="529"/>
      <c r="D522" s="306"/>
      <c r="E522" s="306"/>
      <c r="F522" s="306"/>
      <c r="G522" s="286"/>
      <c r="H522" s="286"/>
      <c r="I522" s="286"/>
      <c r="J522" s="529"/>
      <c r="K522" s="286"/>
      <c r="L522" s="286"/>
      <c r="M522" s="529"/>
      <c r="N522" s="529"/>
      <c r="O522" s="529"/>
      <c r="P522" s="529"/>
      <c r="Q522" s="529"/>
      <c r="R522" s="286"/>
      <c r="S522" s="286"/>
      <c r="T522" s="286"/>
      <c r="U522" s="286"/>
      <c r="V522" s="286"/>
      <c r="W522" s="286"/>
    </row>
    <row r="523">
      <c r="A523" s="286"/>
      <c r="B523" s="286"/>
      <c r="C523" s="529"/>
      <c r="D523" s="306"/>
      <c r="E523" s="306"/>
      <c r="F523" s="306"/>
      <c r="G523" s="286"/>
      <c r="H523" s="286"/>
      <c r="I523" s="286"/>
      <c r="J523" s="529"/>
      <c r="K523" s="286"/>
      <c r="L523" s="286"/>
      <c r="M523" s="529"/>
      <c r="N523" s="529"/>
      <c r="O523" s="529"/>
      <c r="P523" s="529"/>
      <c r="Q523" s="529"/>
      <c r="R523" s="286"/>
      <c r="S523" s="286"/>
      <c r="T523" s="286"/>
      <c r="U523" s="286"/>
      <c r="V523" s="286"/>
      <c r="W523" s="286"/>
    </row>
    <row r="524">
      <c r="A524" s="286"/>
      <c r="B524" s="286"/>
      <c r="C524" s="529"/>
      <c r="D524" s="306"/>
      <c r="E524" s="306"/>
      <c r="F524" s="306"/>
      <c r="G524" s="286"/>
      <c r="H524" s="286"/>
      <c r="I524" s="286"/>
      <c r="J524" s="529"/>
      <c r="K524" s="286"/>
      <c r="L524" s="286"/>
      <c r="M524" s="529"/>
      <c r="N524" s="529"/>
      <c r="O524" s="529"/>
      <c r="P524" s="529"/>
      <c r="Q524" s="529"/>
      <c r="R524" s="286"/>
      <c r="S524" s="286"/>
      <c r="T524" s="286"/>
      <c r="U524" s="286"/>
      <c r="V524" s="286"/>
      <c r="W524" s="286"/>
    </row>
    <row r="525">
      <c r="A525" s="286"/>
      <c r="B525" s="286"/>
      <c r="C525" s="529"/>
      <c r="D525" s="306"/>
      <c r="E525" s="306"/>
      <c r="F525" s="306"/>
      <c r="G525" s="286"/>
      <c r="H525" s="286"/>
      <c r="I525" s="286"/>
      <c r="J525" s="529"/>
      <c r="K525" s="286"/>
      <c r="L525" s="286"/>
      <c r="M525" s="529"/>
      <c r="N525" s="529"/>
      <c r="O525" s="529"/>
      <c r="P525" s="529"/>
      <c r="Q525" s="529"/>
      <c r="R525" s="286"/>
      <c r="S525" s="286"/>
      <c r="T525" s="286"/>
      <c r="U525" s="286"/>
      <c r="V525" s="286"/>
      <c r="W525" s="286"/>
    </row>
    <row r="526">
      <c r="A526" s="286"/>
      <c r="B526" s="286"/>
      <c r="C526" s="529"/>
      <c r="D526" s="306"/>
      <c r="E526" s="306"/>
      <c r="F526" s="306"/>
      <c r="G526" s="286"/>
      <c r="H526" s="286"/>
      <c r="I526" s="286"/>
      <c r="J526" s="529"/>
      <c r="K526" s="286"/>
      <c r="L526" s="286"/>
      <c r="M526" s="529"/>
      <c r="N526" s="529"/>
      <c r="O526" s="529"/>
      <c r="P526" s="529"/>
      <c r="Q526" s="529"/>
      <c r="R526" s="286"/>
      <c r="S526" s="286"/>
      <c r="T526" s="286"/>
      <c r="U526" s="286"/>
      <c r="V526" s="286"/>
      <c r="W526" s="286"/>
    </row>
    <row r="527">
      <c r="A527" s="286"/>
      <c r="B527" s="286"/>
      <c r="C527" s="529"/>
      <c r="D527" s="306"/>
      <c r="E527" s="306"/>
      <c r="F527" s="306"/>
      <c r="G527" s="286"/>
      <c r="H527" s="286"/>
      <c r="I527" s="286"/>
      <c r="J527" s="529"/>
      <c r="K527" s="286"/>
      <c r="L527" s="286"/>
      <c r="M527" s="529"/>
      <c r="N527" s="529"/>
      <c r="O527" s="529"/>
      <c r="P527" s="529"/>
      <c r="Q527" s="529"/>
      <c r="R527" s="286"/>
      <c r="S527" s="286"/>
      <c r="T527" s="286"/>
      <c r="U527" s="286"/>
      <c r="V527" s="286"/>
      <c r="W527" s="286"/>
    </row>
    <row r="528">
      <c r="A528" s="286"/>
      <c r="B528" s="286"/>
      <c r="C528" s="529"/>
      <c r="D528" s="306"/>
      <c r="E528" s="306"/>
      <c r="F528" s="306"/>
      <c r="G528" s="286"/>
      <c r="H528" s="286"/>
      <c r="I528" s="286"/>
      <c r="J528" s="529"/>
      <c r="K528" s="286"/>
      <c r="L528" s="286"/>
      <c r="M528" s="529"/>
      <c r="N528" s="529"/>
      <c r="O528" s="529"/>
      <c r="P528" s="529"/>
      <c r="Q528" s="529"/>
      <c r="R528" s="286"/>
      <c r="S528" s="286"/>
      <c r="T528" s="286"/>
      <c r="U528" s="286"/>
      <c r="V528" s="286"/>
      <c r="W528" s="286"/>
    </row>
    <row r="529">
      <c r="A529" s="286"/>
      <c r="B529" s="286"/>
      <c r="C529" s="529"/>
      <c r="D529" s="306"/>
      <c r="E529" s="306"/>
      <c r="F529" s="306"/>
      <c r="G529" s="286"/>
      <c r="H529" s="286"/>
      <c r="I529" s="286"/>
      <c r="J529" s="529"/>
      <c r="K529" s="286"/>
      <c r="L529" s="286"/>
      <c r="M529" s="529"/>
      <c r="N529" s="529"/>
      <c r="O529" s="529"/>
      <c r="P529" s="529"/>
      <c r="Q529" s="529"/>
      <c r="R529" s="286"/>
      <c r="S529" s="286"/>
      <c r="T529" s="286"/>
      <c r="U529" s="286"/>
      <c r="V529" s="286"/>
      <c r="W529" s="286"/>
    </row>
    <row r="530">
      <c r="A530" s="286"/>
      <c r="B530" s="286"/>
      <c r="C530" s="529"/>
      <c r="D530" s="306"/>
      <c r="E530" s="306"/>
      <c r="F530" s="306"/>
      <c r="G530" s="286"/>
      <c r="H530" s="286"/>
      <c r="I530" s="286"/>
      <c r="J530" s="529"/>
      <c r="K530" s="286"/>
      <c r="L530" s="286"/>
      <c r="M530" s="529"/>
      <c r="N530" s="529"/>
      <c r="O530" s="529"/>
      <c r="P530" s="529"/>
      <c r="Q530" s="529"/>
      <c r="R530" s="286"/>
      <c r="S530" s="286"/>
      <c r="T530" s="286"/>
      <c r="U530" s="286"/>
      <c r="V530" s="286"/>
      <c r="W530" s="286"/>
    </row>
    <row r="531">
      <c r="A531" s="286"/>
      <c r="B531" s="286"/>
      <c r="C531" s="529"/>
      <c r="D531" s="306"/>
      <c r="E531" s="306"/>
      <c r="F531" s="306"/>
      <c r="G531" s="286"/>
      <c r="H531" s="286"/>
      <c r="I531" s="286"/>
      <c r="J531" s="529"/>
      <c r="K531" s="286"/>
      <c r="L531" s="286"/>
      <c r="M531" s="529"/>
      <c r="N531" s="529"/>
      <c r="O531" s="529"/>
      <c r="P531" s="529"/>
      <c r="Q531" s="529"/>
      <c r="R531" s="286"/>
      <c r="S531" s="286"/>
      <c r="T531" s="286"/>
      <c r="U531" s="286"/>
      <c r="V531" s="286"/>
      <c r="W531" s="286"/>
    </row>
    <row r="532">
      <c r="A532" s="286"/>
      <c r="B532" s="286"/>
      <c r="C532" s="529"/>
      <c r="D532" s="306"/>
      <c r="E532" s="306"/>
      <c r="F532" s="306"/>
      <c r="G532" s="286"/>
      <c r="H532" s="286"/>
      <c r="I532" s="286"/>
      <c r="J532" s="529"/>
      <c r="K532" s="286"/>
      <c r="L532" s="286"/>
      <c r="M532" s="529"/>
      <c r="N532" s="529"/>
      <c r="O532" s="529"/>
      <c r="P532" s="529"/>
      <c r="Q532" s="529"/>
      <c r="R532" s="286"/>
      <c r="S532" s="286"/>
      <c r="T532" s="286"/>
      <c r="U532" s="286"/>
      <c r="V532" s="286"/>
      <c r="W532" s="286"/>
    </row>
    <row r="533">
      <c r="A533" s="286"/>
      <c r="B533" s="286"/>
      <c r="C533" s="529"/>
      <c r="D533" s="306"/>
      <c r="E533" s="306"/>
      <c r="F533" s="306"/>
      <c r="G533" s="286"/>
      <c r="H533" s="286"/>
      <c r="I533" s="286"/>
      <c r="J533" s="529"/>
      <c r="K533" s="286"/>
      <c r="L533" s="286"/>
      <c r="M533" s="529"/>
      <c r="N533" s="529"/>
      <c r="O533" s="529"/>
      <c r="P533" s="529"/>
      <c r="Q533" s="529"/>
      <c r="R533" s="286"/>
      <c r="S533" s="286"/>
      <c r="T533" s="286"/>
      <c r="U533" s="286"/>
      <c r="V533" s="286"/>
      <c r="W533" s="286"/>
    </row>
    <row r="534">
      <c r="A534" s="286"/>
      <c r="B534" s="286"/>
      <c r="C534" s="529"/>
      <c r="D534" s="306"/>
      <c r="E534" s="306"/>
      <c r="F534" s="306"/>
      <c r="G534" s="286"/>
      <c r="H534" s="286"/>
      <c r="I534" s="286"/>
      <c r="J534" s="529"/>
      <c r="K534" s="286"/>
      <c r="L534" s="286"/>
      <c r="M534" s="529"/>
      <c r="N534" s="529"/>
      <c r="O534" s="529"/>
      <c r="P534" s="529"/>
      <c r="Q534" s="529"/>
      <c r="R534" s="286"/>
      <c r="S534" s="286"/>
      <c r="T534" s="286"/>
      <c r="U534" s="286"/>
      <c r="V534" s="286"/>
      <c r="W534" s="286"/>
    </row>
    <row r="535">
      <c r="A535" s="286"/>
      <c r="B535" s="286"/>
      <c r="C535" s="529"/>
      <c r="D535" s="306"/>
      <c r="E535" s="306"/>
      <c r="F535" s="306"/>
      <c r="G535" s="286"/>
      <c r="H535" s="286"/>
      <c r="I535" s="286"/>
      <c r="J535" s="529"/>
      <c r="K535" s="286"/>
      <c r="L535" s="286"/>
      <c r="M535" s="529"/>
      <c r="N535" s="529"/>
      <c r="O535" s="529"/>
      <c r="P535" s="529"/>
      <c r="Q535" s="529"/>
      <c r="R535" s="286"/>
      <c r="S535" s="286"/>
      <c r="T535" s="286"/>
      <c r="U535" s="286"/>
      <c r="V535" s="286"/>
      <c r="W535" s="286"/>
    </row>
    <row r="536">
      <c r="A536" s="286"/>
      <c r="B536" s="286"/>
      <c r="C536" s="529"/>
      <c r="D536" s="306"/>
      <c r="E536" s="306"/>
      <c r="F536" s="306"/>
      <c r="G536" s="286"/>
      <c r="H536" s="286"/>
      <c r="I536" s="286"/>
      <c r="J536" s="529"/>
      <c r="K536" s="286"/>
      <c r="L536" s="286"/>
      <c r="M536" s="529"/>
      <c r="N536" s="529"/>
      <c r="O536" s="529"/>
      <c r="P536" s="529"/>
      <c r="Q536" s="529"/>
      <c r="R536" s="286"/>
      <c r="S536" s="286"/>
      <c r="T536" s="286"/>
      <c r="U536" s="286"/>
      <c r="V536" s="286"/>
      <c r="W536" s="286"/>
    </row>
    <row r="537">
      <c r="A537" s="286"/>
      <c r="B537" s="286"/>
      <c r="C537" s="529"/>
      <c r="D537" s="306"/>
      <c r="E537" s="306"/>
      <c r="F537" s="306"/>
      <c r="G537" s="286"/>
      <c r="H537" s="286"/>
      <c r="I537" s="286"/>
      <c r="J537" s="529"/>
      <c r="K537" s="286"/>
      <c r="L537" s="286"/>
      <c r="M537" s="529"/>
      <c r="N537" s="529"/>
      <c r="O537" s="529"/>
      <c r="P537" s="529"/>
      <c r="Q537" s="529"/>
      <c r="R537" s="286"/>
      <c r="S537" s="286"/>
      <c r="T537" s="286"/>
      <c r="U537" s="286"/>
      <c r="V537" s="286"/>
      <c r="W537" s="286"/>
    </row>
    <row r="538">
      <c r="A538" s="286"/>
      <c r="B538" s="286"/>
      <c r="C538" s="529"/>
      <c r="D538" s="306"/>
      <c r="E538" s="306"/>
      <c r="F538" s="306"/>
      <c r="G538" s="286"/>
      <c r="H538" s="286"/>
      <c r="I538" s="286"/>
      <c r="J538" s="529"/>
      <c r="K538" s="286"/>
      <c r="L538" s="286"/>
      <c r="M538" s="529"/>
      <c r="N538" s="529"/>
      <c r="O538" s="529"/>
      <c r="P538" s="529"/>
      <c r="Q538" s="529"/>
      <c r="R538" s="286"/>
      <c r="S538" s="286"/>
      <c r="T538" s="286"/>
      <c r="U538" s="286"/>
      <c r="V538" s="286"/>
      <c r="W538" s="286"/>
    </row>
    <row r="539">
      <c r="A539" s="286"/>
      <c r="B539" s="286"/>
      <c r="C539" s="529"/>
      <c r="D539" s="306"/>
      <c r="E539" s="306"/>
      <c r="F539" s="306"/>
      <c r="G539" s="286"/>
      <c r="H539" s="286"/>
      <c r="I539" s="286"/>
      <c r="J539" s="529"/>
      <c r="K539" s="286"/>
      <c r="L539" s="286"/>
      <c r="M539" s="529"/>
      <c r="N539" s="529"/>
      <c r="O539" s="529"/>
      <c r="P539" s="529"/>
      <c r="Q539" s="529"/>
      <c r="R539" s="286"/>
      <c r="S539" s="286"/>
      <c r="T539" s="286"/>
      <c r="U539" s="286"/>
      <c r="V539" s="286"/>
      <c r="W539" s="286"/>
    </row>
    <row r="540">
      <c r="A540" s="286"/>
      <c r="B540" s="286"/>
      <c r="C540" s="529"/>
      <c r="D540" s="306"/>
      <c r="E540" s="306"/>
      <c r="F540" s="306"/>
      <c r="G540" s="286"/>
      <c r="H540" s="286"/>
      <c r="I540" s="286"/>
      <c r="J540" s="529"/>
      <c r="K540" s="286"/>
      <c r="L540" s="286"/>
      <c r="M540" s="529"/>
      <c r="N540" s="529"/>
      <c r="O540" s="529"/>
      <c r="P540" s="529"/>
      <c r="Q540" s="529"/>
      <c r="R540" s="286"/>
      <c r="S540" s="286"/>
      <c r="T540" s="286"/>
      <c r="U540" s="286"/>
      <c r="V540" s="286"/>
      <c r="W540" s="286"/>
    </row>
    <row r="541">
      <c r="A541" s="286"/>
      <c r="B541" s="286"/>
      <c r="C541" s="529"/>
      <c r="D541" s="306"/>
      <c r="E541" s="306"/>
      <c r="F541" s="306"/>
      <c r="G541" s="286"/>
      <c r="H541" s="286"/>
      <c r="I541" s="286"/>
      <c r="J541" s="529"/>
      <c r="K541" s="286"/>
      <c r="L541" s="286"/>
      <c r="M541" s="529"/>
      <c r="N541" s="529"/>
      <c r="O541" s="529"/>
      <c r="P541" s="529"/>
      <c r="Q541" s="529"/>
      <c r="R541" s="286"/>
      <c r="S541" s="286"/>
      <c r="T541" s="286"/>
      <c r="U541" s="286"/>
      <c r="V541" s="286"/>
      <c r="W541" s="286"/>
    </row>
    <row r="542">
      <c r="A542" s="286"/>
      <c r="B542" s="286"/>
      <c r="C542" s="529"/>
      <c r="D542" s="306"/>
      <c r="E542" s="306"/>
      <c r="F542" s="306"/>
      <c r="G542" s="286"/>
      <c r="H542" s="286"/>
      <c r="I542" s="286"/>
      <c r="J542" s="529"/>
      <c r="K542" s="286"/>
      <c r="L542" s="286"/>
      <c r="M542" s="529"/>
      <c r="N542" s="529"/>
      <c r="O542" s="529"/>
      <c r="P542" s="529"/>
      <c r="Q542" s="529"/>
      <c r="R542" s="286"/>
      <c r="S542" s="286"/>
      <c r="T542" s="286"/>
      <c r="U542" s="286"/>
      <c r="V542" s="286"/>
      <c r="W542" s="286"/>
    </row>
    <row r="543">
      <c r="A543" s="286"/>
      <c r="B543" s="286"/>
      <c r="C543" s="529"/>
      <c r="D543" s="306"/>
      <c r="E543" s="306"/>
      <c r="F543" s="306"/>
      <c r="G543" s="286"/>
      <c r="H543" s="286"/>
      <c r="I543" s="286"/>
      <c r="J543" s="529"/>
      <c r="K543" s="286"/>
      <c r="L543" s="286"/>
      <c r="M543" s="529"/>
      <c r="N543" s="529"/>
      <c r="O543" s="529"/>
      <c r="P543" s="529"/>
      <c r="Q543" s="529"/>
      <c r="R543" s="286"/>
      <c r="S543" s="286"/>
      <c r="T543" s="286"/>
      <c r="U543" s="286"/>
      <c r="V543" s="286"/>
      <c r="W543" s="286"/>
    </row>
    <row r="544">
      <c r="A544" s="286"/>
      <c r="B544" s="286"/>
      <c r="C544" s="529"/>
      <c r="D544" s="306"/>
      <c r="E544" s="306"/>
      <c r="F544" s="306"/>
      <c r="G544" s="286"/>
      <c r="H544" s="286"/>
      <c r="I544" s="286"/>
      <c r="J544" s="529"/>
      <c r="K544" s="286"/>
      <c r="L544" s="286"/>
      <c r="M544" s="529"/>
      <c r="N544" s="529"/>
      <c r="O544" s="529"/>
      <c r="P544" s="529"/>
      <c r="Q544" s="529"/>
      <c r="R544" s="286"/>
      <c r="S544" s="286"/>
      <c r="T544" s="286"/>
      <c r="U544" s="286"/>
      <c r="V544" s="286"/>
      <c r="W544" s="286"/>
    </row>
    <row r="545">
      <c r="A545" s="286"/>
      <c r="B545" s="286"/>
      <c r="C545" s="529"/>
      <c r="D545" s="306"/>
      <c r="E545" s="306"/>
      <c r="F545" s="306"/>
      <c r="G545" s="286"/>
      <c r="H545" s="286"/>
      <c r="I545" s="286"/>
      <c r="J545" s="529"/>
      <c r="K545" s="286"/>
      <c r="L545" s="286"/>
      <c r="M545" s="529"/>
      <c r="N545" s="529"/>
      <c r="O545" s="529"/>
      <c r="P545" s="529"/>
      <c r="Q545" s="529"/>
      <c r="R545" s="286"/>
      <c r="S545" s="286"/>
      <c r="T545" s="286"/>
      <c r="U545" s="286"/>
      <c r="V545" s="286"/>
      <c r="W545" s="286"/>
    </row>
    <row r="546">
      <c r="A546" s="286"/>
      <c r="B546" s="286"/>
      <c r="C546" s="529"/>
      <c r="D546" s="306"/>
      <c r="E546" s="306"/>
      <c r="F546" s="306"/>
      <c r="G546" s="286"/>
      <c r="H546" s="286"/>
      <c r="I546" s="286"/>
      <c r="J546" s="529"/>
      <c r="K546" s="286"/>
      <c r="L546" s="286"/>
      <c r="M546" s="529"/>
      <c r="N546" s="529"/>
      <c r="O546" s="529"/>
      <c r="P546" s="529"/>
      <c r="Q546" s="529"/>
      <c r="R546" s="286"/>
      <c r="S546" s="286"/>
      <c r="T546" s="286"/>
      <c r="U546" s="286"/>
      <c r="V546" s="286"/>
      <c r="W546" s="286"/>
    </row>
    <row r="547">
      <c r="A547" s="286"/>
      <c r="B547" s="286"/>
      <c r="C547" s="529"/>
      <c r="D547" s="306"/>
      <c r="E547" s="306"/>
      <c r="F547" s="306"/>
      <c r="G547" s="286"/>
      <c r="H547" s="286"/>
      <c r="I547" s="286"/>
      <c r="J547" s="529"/>
      <c r="K547" s="286"/>
      <c r="L547" s="286"/>
      <c r="M547" s="529"/>
      <c r="N547" s="529"/>
      <c r="O547" s="529"/>
      <c r="P547" s="529"/>
      <c r="Q547" s="529"/>
      <c r="R547" s="286"/>
      <c r="S547" s="286"/>
      <c r="T547" s="286"/>
      <c r="U547" s="286"/>
      <c r="V547" s="286"/>
      <c r="W547" s="286"/>
    </row>
    <row r="548">
      <c r="A548" s="286"/>
      <c r="B548" s="286"/>
      <c r="C548" s="529"/>
      <c r="D548" s="306"/>
      <c r="E548" s="306"/>
      <c r="F548" s="306"/>
      <c r="G548" s="286"/>
      <c r="H548" s="286"/>
      <c r="I548" s="286"/>
      <c r="J548" s="529"/>
      <c r="K548" s="286"/>
      <c r="L548" s="286"/>
      <c r="M548" s="529"/>
      <c r="N548" s="529"/>
      <c r="O548" s="529"/>
      <c r="P548" s="529"/>
      <c r="Q548" s="529"/>
      <c r="R548" s="286"/>
      <c r="S548" s="286"/>
      <c r="T548" s="286"/>
      <c r="U548" s="286"/>
      <c r="V548" s="286"/>
      <c r="W548" s="286"/>
    </row>
    <row r="549">
      <c r="A549" s="286"/>
      <c r="B549" s="286"/>
      <c r="C549" s="529"/>
      <c r="D549" s="306"/>
      <c r="E549" s="306"/>
      <c r="F549" s="306"/>
      <c r="G549" s="286"/>
      <c r="H549" s="286"/>
      <c r="I549" s="286"/>
      <c r="J549" s="529"/>
      <c r="K549" s="286"/>
      <c r="L549" s="286"/>
      <c r="M549" s="529"/>
      <c r="N549" s="529"/>
      <c r="O549" s="529"/>
      <c r="P549" s="529"/>
      <c r="Q549" s="529"/>
      <c r="R549" s="286"/>
      <c r="S549" s="286"/>
      <c r="T549" s="286"/>
      <c r="U549" s="286"/>
      <c r="V549" s="286"/>
      <c r="W549" s="286"/>
    </row>
    <row r="550">
      <c r="A550" s="286"/>
      <c r="B550" s="286"/>
      <c r="C550" s="529"/>
      <c r="D550" s="306"/>
      <c r="E550" s="306"/>
      <c r="F550" s="306"/>
      <c r="G550" s="286"/>
      <c r="H550" s="286"/>
      <c r="I550" s="286"/>
      <c r="J550" s="529"/>
      <c r="K550" s="286"/>
      <c r="L550" s="286"/>
      <c r="M550" s="529"/>
      <c r="N550" s="529"/>
      <c r="O550" s="529"/>
      <c r="P550" s="529"/>
      <c r="Q550" s="529"/>
      <c r="R550" s="286"/>
      <c r="S550" s="286"/>
      <c r="T550" s="286"/>
      <c r="U550" s="286"/>
      <c r="V550" s="286"/>
      <c r="W550" s="286"/>
    </row>
    <row r="551">
      <c r="A551" s="286"/>
      <c r="B551" s="286"/>
      <c r="C551" s="529"/>
      <c r="D551" s="306"/>
      <c r="E551" s="306"/>
      <c r="F551" s="306"/>
      <c r="G551" s="286"/>
      <c r="H551" s="286"/>
      <c r="I551" s="286"/>
      <c r="J551" s="529"/>
      <c r="K551" s="286"/>
      <c r="L551" s="286"/>
      <c r="M551" s="529"/>
      <c r="N551" s="529"/>
      <c r="O551" s="529"/>
      <c r="P551" s="529"/>
      <c r="Q551" s="529"/>
      <c r="R551" s="286"/>
      <c r="S551" s="286"/>
      <c r="T551" s="286"/>
      <c r="U551" s="286"/>
      <c r="V551" s="286"/>
      <c r="W551" s="286"/>
    </row>
    <row r="552">
      <c r="A552" s="286"/>
      <c r="B552" s="286"/>
      <c r="C552" s="529"/>
      <c r="D552" s="306"/>
      <c r="E552" s="306"/>
      <c r="F552" s="306"/>
      <c r="G552" s="286"/>
      <c r="H552" s="286"/>
      <c r="I552" s="286"/>
      <c r="J552" s="529"/>
      <c r="K552" s="286"/>
      <c r="L552" s="286"/>
      <c r="M552" s="529"/>
      <c r="N552" s="529"/>
      <c r="O552" s="529"/>
      <c r="P552" s="529"/>
      <c r="Q552" s="529"/>
      <c r="R552" s="286"/>
      <c r="S552" s="286"/>
      <c r="T552" s="286"/>
      <c r="U552" s="286"/>
      <c r="V552" s="286"/>
      <c r="W552" s="286"/>
    </row>
    <row r="553">
      <c r="A553" s="286"/>
      <c r="B553" s="286"/>
      <c r="C553" s="529"/>
      <c r="D553" s="306"/>
      <c r="E553" s="306"/>
      <c r="F553" s="306"/>
      <c r="G553" s="286"/>
      <c r="H553" s="286"/>
      <c r="I553" s="286"/>
      <c r="J553" s="529"/>
      <c r="K553" s="286"/>
      <c r="L553" s="286"/>
      <c r="M553" s="529"/>
      <c r="N553" s="529"/>
      <c r="O553" s="529"/>
      <c r="P553" s="529"/>
      <c r="Q553" s="529"/>
      <c r="R553" s="286"/>
      <c r="S553" s="286"/>
      <c r="T553" s="286"/>
      <c r="U553" s="286"/>
      <c r="V553" s="286"/>
      <c r="W553" s="286"/>
    </row>
    <row r="554">
      <c r="A554" s="286"/>
      <c r="B554" s="286"/>
      <c r="C554" s="529"/>
      <c r="D554" s="306"/>
      <c r="E554" s="306"/>
      <c r="F554" s="306"/>
      <c r="G554" s="286"/>
      <c r="H554" s="286"/>
      <c r="I554" s="286"/>
      <c r="J554" s="529"/>
      <c r="K554" s="286"/>
      <c r="L554" s="286"/>
      <c r="M554" s="529"/>
      <c r="N554" s="529"/>
      <c r="O554" s="529"/>
      <c r="P554" s="529"/>
      <c r="Q554" s="529"/>
      <c r="R554" s="286"/>
      <c r="S554" s="286"/>
      <c r="T554" s="286"/>
      <c r="U554" s="286"/>
      <c r="V554" s="286"/>
      <c r="W554" s="286"/>
    </row>
    <row r="555">
      <c r="A555" s="286"/>
      <c r="B555" s="286"/>
      <c r="C555" s="529"/>
      <c r="D555" s="306"/>
      <c r="E555" s="306"/>
      <c r="F555" s="306"/>
      <c r="G555" s="286"/>
      <c r="H555" s="286"/>
      <c r="I555" s="286"/>
      <c r="J555" s="529"/>
      <c r="K555" s="286"/>
      <c r="L555" s="286"/>
      <c r="M555" s="529"/>
      <c r="N555" s="529"/>
      <c r="O555" s="529"/>
      <c r="P555" s="529"/>
      <c r="Q555" s="529"/>
      <c r="R555" s="286"/>
      <c r="S555" s="286"/>
      <c r="T555" s="286"/>
      <c r="U555" s="286"/>
      <c r="V555" s="286"/>
      <c r="W555" s="286"/>
    </row>
    <row r="556">
      <c r="A556" s="286"/>
      <c r="B556" s="286"/>
      <c r="C556" s="529"/>
      <c r="D556" s="306"/>
      <c r="E556" s="306"/>
      <c r="F556" s="306"/>
      <c r="G556" s="286"/>
      <c r="H556" s="286"/>
      <c r="I556" s="286"/>
      <c r="J556" s="529"/>
      <c r="K556" s="286"/>
      <c r="L556" s="286"/>
      <c r="M556" s="529"/>
      <c r="N556" s="529"/>
      <c r="O556" s="529"/>
      <c r="P556" s="529"/>
      <c r="Q556" s="529"/>
      <c r="R556" s="286"/>
      <c r="S556" s="286"/>
      <c r="T556" s="286"/>
      <c r="U556" s="286"/>
      <c r="V556" s="286"/>
      <c r="W556" s="286"/>
    </row>
    <row r="557">
      <c r="A557" s="286"/>
      <c r="B557" s="286"/>
      <c r="C557" s="529"/>
      <c r="D557" s="306"/>
      <c r="E557" s="306"/>
      <c r="F557" s="306"/>
      <c r="G557" s="286"/>
      <c r="H557" s="286"/>
      <c r="I557" s="286"/>
      <c r="J557" s="529"/>
      <c r="K557" s="286"/>
      <c r="L557" s="286"/>
      <c r="M557" s="529"/>
      <c r="N557" s="529"/>
      <c r="O557" s="529"/>
      <c r="P557" s="529"/>
      <c r="Q557" s="529"/>
      <c r="R557" s="286"/>
      <c r="S557" s="286"/>
      <c r="T557" s="286"/>
      <c r="U557" s="286"/>
      <c r="V557" s="286"/>
      <c r="W557" s="286"/>
    </row>
    <row r="558">
      <c r="A558" s="286"/>
      <c r="B558" s="286"/>
      <c r="C558" s="529"/>
      <c r="D558" s="306"/>
      <c r="E558" s="306"/>
      <c r="F558" s="306"/>
      <c r="G558" s="286"/>
      <c r="H558" s="286"/>
      <c r="I558" s="286"/>
      <c r="J558" s="529"/>
      <c r="K558" s="286"/>
      <c r="L558" s="286"/>
      <c r="M558" s="529"/>
      <c r="N558" s="529"/>
      <c r="O558" s="529"/>
      <c r="P558" s="529"/>
      <c r="Q558" s="529"/>
      <c r="R558" s="286"/>
      <c r="S558" s="286"/>
      <c r="T558" s="286"/>
      <c r="U558" s="286"/>
      <c r="V558" s="286"/>
      <c r="W558" s="286"/>
    </row>
    <row r="559">
      <c r="A559" s="286"/>
      <c r="B559" s="286"/>
      <c r="C559" s="529"/>
      <c r="D559" s="306"/>
      <c r="E559" s="306"/>
      <c r="F559" s="306"/>
      <c r="G559" s="286"/>
      <c r="H559" s="286"/>
      <c r="I559" s="286"/>
      <c r="J559" s="529"/>
      <c r="K559" s="286"/>
      <c r="L559" s="286"/>
      <c r="M559" s="529"/>
      <c r="N559" s="529"/>
      <c r="O559" s="529"/>
      <c r="P559" s="529"/>
      <c r="Q559" s="529"/>
      <c r="R559" s="286"/>
      <c r="S559" s="286"/>
      <c r="T559" s="286"/>
      <c r="U559" s="286"/>
      <c r="V559" s="286"/>
      <c r="W559" s="286"/>
    </row>
    <row r="560">
      <c r="A560" s="286"/>
      <c r="B560" s="286"/>
      <c r="C560" s="529"/>
      <c r="D560" s="306"/>
      <c r="E560" s="306"/>
      <c r="F560" s="306"/>
      <c r="G560" s="286"/>
      <c r="H560" s="286"/>
      <c r="I560" s="286"/>
      <c r="J560" s="529"/>
      <c r="K560" s="286"/>
      <c r="L560" s="286"/>
      <c r="M560" s="529"/>
      <c r="N560" s="529"/>
      <c r="O560" s="529"/>
      <c r="P560" s="529"/>
      <c r="Q560" s="529"/>
      <c r="R560" s="286"/>
      <c r="S560" s="286"/>
      <c r="T560" s="286"/>
      <c r="U560" s="286"/>
      <c r="V560" s="286"/>
      <c r="W560" s="286"/>
    </row>
    <row r="561">
      <c r="A561" s="286"/>
      <c r="B561" s="286"/>
      <c r="C561" s="529"/>
      <c r="D561" s="306"/>
      <c r="E561" s="306"/>
      <c r="F561" s="306"/>
      <c r="G561" s="286"/>
      <c r="H561" s="286"/>
      <c r="I561" s="286"/>
      <c r="J561" s="529"/>
      <c r="K561" s="286"/>
      <c r="L561" s="286"/>
      <c r="M561" s="529"/>
      <c r="N561" s="529"/>
      <c r="O561" s="529"/>
      <c r="P561" s="529"/>
      <c r="Q561" s="529"/>
      <c r="R561" s="286"/>
      <c r="S561" s="286"/>
      <c r="T561" s="286"/>
      <c r="U561" s="286"/>
      <c r="V561" s="286"/>
      <c r="W561" s="286"/>
    </row>
    <row r="562">
      <c r="A562" s="286"/>
      <c r="B562" s="286"/>
      <c r="C562" s="529"/>
      <c r="D562" s="306"/>
      <c r="E562" s="306"/>
      <c r="F562" s="306"/>
      <c r="G562" s="286"/>
      <c r="H562" s="286"/>
      <c r="I562" s="286"/>
      <c r="J562" s="529"/>
      <c r="K562" s="286"/>
      <c r="L562" s="286"/>
      <c r="M562" s="529"/>
      <c r="N562" s="529"/>
      <c r="O562" s="529"/>
      <c r="P562" s="529"/>
      <c r="Q562" s="529"/>
      <c r="R562" s="286"/>
      <c r="S562" s="286"/>
      <c r="T562" s="286"/>
      <c r="U562" s="286"/>
      <c r="V562" s="286"/>
      <c r="W562" s="286"/>
    </row>
    <row r="563">
      <c r="A563" s="286"/>
      <c r="B563" s="286"/>
      <c r="C563" s="529"/>
      <c r="D563" s="306"/>
      <c r="E563" s="306"/>
      <c r="F563" s="306"/>
      <c r="G563" s="286"/>
      <c r="H563" s="286"/>
      <c r="I563" s="286"/>
      <c r="J563" s="529"/>
      <c r="K563" s="286"/>
      <c r="L563" s="286"/>
      <c r="M563" s="529"/>
      <c r="N563" s="529"/>
      <c r="O563" s="529"/>
      <c r="P563" s="529"/>
      <c r="Q563" s="529"/>
      <c r="R563" s="286"/>
      <c r="S563" s="286"/>
      <c r="T563" s="286"/>
      <c r="U563" s="286"/>
      <c r="V563" s="286"/>
      <c r="W563" s="286"/>
    </row>
    <row r="564">
      <c r="A564" s="286"/>
      <c r="B564" s="286"/>
      <c r="C564" s="529"/>
      <c r="D564" s="306"/>
      <c r="E564" s="306"/>
      <c r="F564" s="306"/>
      <c r="G564" s="286"/>
      <c r="H564" s="286"/>
      <c r="I564" s="286"/>
      <c r="J564" s="529"/>
      <c r="K564" s="286"/>
      <c r="L564" s="286"/>
      <c r="M564" s="529"/>
      <c r="N564" s="529"/>
      <c r="O564" s="529"/>
      <c r="P564" s="529"/>
      <c r="Q564" s="529"/>
      <c r="R564" s="286"/>
      <c r="S564" s="286"/>
      <c r="T564" s="286"/>
      <c r="U564" s="286"/>
      <c r="V564" s="286"/>
      <c r="W564" s="286"/>
    </row>
    <row r="565">
      <c r="A565" s="286"/>
      <c r="B565" s="286"/>
      <c r="C565" s="529"/>
      <c r="D565" s="306"/>
      <c r="E565" s="306"/>
      <c r="F565" s="306"/>
      <c r="G565" s="286"/>
      <c r="H565" s="286"/>
      <c r="I565" s="286"/>
      <c r="J565" s="529"/>
      <c r="K565" s="286"/>
      <c r="L565" s="286"/>
      <c r="M565" s="529"/>
      <c r="N565" s="529"/>
      <c r="O565" s="529"/>
      <c r="P565" s="529"/>
      <c r="Q565" s="529"/>
      <c r="R565" s="286"/>
      <c r="S565" s="286"/>
      <c r="T565" s="286"/>
      <c r="U565" s="286"/>
      <c r="V565" s="286"/>
      <c r="W565" s="286"/>
    </row>
    <row r="566">
      <c r="A566" s="286"/>
      <c r="B566" s="286"/>
      <c r="C566" s="529"/>
      <c r="D566" s="306"/>
      <c r="E566" s="306"/>
      <c r="F566" s="306"/>
      <c r="G566" s="286"/>
      <c r="H566" s="286"/>
      <c r="I566" s="286"/>
      <c r="J566" s="529"/>
      <c r="K566" s="286"/>
      <c r="L566" s="286"/>
      <c r="M566" s="529"/>
      <c r="N566" s="529"/>
      <c r="O566" s="529"/>
      <c r="P566" s="529"/>
      <c r="Q566" s="529"/>
      <c r="R566" s="286"/>
      <c r="S566" s="286"/>
      <c r="T566" s="286"/>
      <c r="U566" s="286"/>
      <c r="V566" s="286"/>
      <c r="W566" s="286"/>
    </row>
    <row r="567">
      <c r="A567" s="286"/>
      <c r="B567" s="286"/>
      <c r="C567" s="529"/>
      <c r="D567" s="306"/>
      <c r="E567" s="306"/>
      <c r="F567" s="306"/>
      <c r="G567" s="286"/>
      <c r="H567" s="286"/>
      <c r="I567" s="286"/>
      <c r="J567" s="529"/>
      <c r="K567" s="286"/>
      <c r="L567" s="286"/>
      <c r="M567" s="529"/>
      <c r="N567" s="529"/>
      <c r="O567" s="529"/>
      <c r="P567" s="529"/>
      <c r="Q567" s="529"/>
      <c r="R567" s="286"/>
      <c r="S567" s="286"/>
      <c r="T567" s="286"/>
      <c r="U567" s="286"/>
      <c r="V567" s="286"/>
      <c r="W567" s="286"/>
    </row>
    <row r="568">
      <c r="A568" s="286"/>
      <c r="B568" s="286"/>
      <c r="C568" s="529"/>
      <c r="D568" s="306"/>
      <c r="E568" s="306"/>
      <c r="F568" s="306"/>
      <c r="G568" s="286"/>
      <c r="H568" s="286"/>
      <c r="I568" s="286"/>
      <c r="J568" s="529"/>
      <c r="K568" s="286"/>
      <c r="L568" s="286"/>
      <c r="M568" s="529"/>
      <c r="N568" s="529"/>
      <c r="O568" s="529"/>
      <c r="P568" s="529"/>
      <c r="Q568" s="529"/>
      <c r="R568" s="286"/>
      <c r="S568" s="286"/>
      <c r="T568" s="286"/>
      <c r="U568" s="286"/>
      <c r="V568" s="286"/>
      <c r="W568" s="286"/>
    </row>
    <row r="569">
      <c r="A569" s="286"/>
      <c r="B569" s="286"/>
      <c r="C569" s="529"/>
      <c r="D569" s="306"/>
      <c r="E569" s="306"/>
      <c r="F569" s="306"/>
      <c r="G569" s="286"/>
      <c r="H569" s="286"/>
      <c r="I569" s="286"/>
      <c r="J569" s="529"/>
      <c r="K569" s="286"/>
      <c r="L569" s="286"/>
      <c r="M569" s="529"/>
      <c r="N569" s="529"/>
      <c r="O569" s="529"/>
      <c r="P569" s="529"/>
      <c r="Q569" s="529"/>
      <c r="R569" s="286"/>
      <c r="S569" s="286"/>
      <c r="T569" s="286"/>
      <c r="U569" s="286"/>
      <c r="V569" s="286"/>
      <c r="W569" s="286"/>
    </row>
    <row r="570">
      <c r="A570" s="286"/>
      <c r="B570" s="286"/>
      <c r="C570" s="529"/>
      <c r="D570" s="306"/>
      <c r="E570" s="306"/>
      <c r="F570" s="306"/>
      <c r="G570" s="286"/>
      <c r="H570" s="286"/>
      <c r="I570" s="286"/>
      <c r="J570" s="529"/>
      <c r="K570" s="286"/>
      <c r="L570" s="286"/>
      <c r="M570" s="529"/>
      <c r="N570" s="529"/>
      <c r="O570" s="529"/>
      <c r="P570" s="529"/>
      <c r="Q570" s="529"/>
      <c r="R570" s="286"/>
      <c r="S570" s="286"/>
      <c r="T570" s="286"/>
      <c r="U570" s="286"/>
      <c r="V570" s="286"/>
      <c r="W570" s="286"/>
    </row>
    <row r="571">
      <c r="A571" s="286"/>
      <c r="B571" s="286"/>
      <c r="C571" s="529"/>
      <c r="D571" s="306"/>
      <c r="E571" s="306"/>
      <c r="F571" s="306"/>
      <c r="G571" s="286"/>
      <c r="H571" s="286"/>
      <c r="I571" s="286"/>
      <c r="J571" s="529"/>
      <c r="K571" s="286"/>
      <c r="L571" s="286"/>
      <c r="M571" s="529"/>
      <c r="N571" s="529"/>
      <c r="O571" s="529"/>
      <c r="P571" s="529"/>
      <c r="Q571" s="529"/>
      <c r="R571" s="286"/>
      <c r="S571" s="286"/>
      <c r="T571" s="286"/>
      <c r="U571" s="286"/>
      <c r="V571" s="286"/>
      <c r="W571" s="286"/>
    </row>
    <row r="572">
      <c r="A572" s="286"/>
      <c r="B572" s="286"/>
      <c r="C572" s="529"/>
      <c r="D572" s="306"/>
      <c r="E572" s="306"/>
      <c r="F572" s="306"/>
      <c r="G572" s="286"/>
      <c r="H572" s="286"/>
      <c r="I572" s="286"/>
      <c r="J572" s="529"/>
      <c r="K572" s="286"/>
      <c r="L572" s="286"/>
      <c r="M572" s="529"/>
      <c r="N572" s="529"/>
      <c r="O572" s="529"/>
      <c r="P572" s="529"/>
      <c r="Q572" s="529"/>
      <c r="R572" s="286"/>
      <c r="S572" s="286"/>
      <c r="T572" s="286"/>
      <c r="U572" s="286"/>
      <c r="V572" s="286"/>
      <c r="W572" s="286"/>
    </row>
    <row r="573">
      <c r="A573" s="286"/>
      <c r="B573" s="286"/>
      <c r="C573" s="529"/>
      <c r="D573" s="306"/>
      <c r="E573" s="306"/>
      <c r="F573" s="306"/>
      <c r="G573" s="286"/>
      <c r="H573" s="286"/>
      <c r="I573" s="286"/>
      <c r="J573" s="529"/>
      <c r="K573" s="286"/>
      <c r="L573" s="286"/>
      <c r="M573" s="529"/>
      <c r="N573" s="529"/>
      <c r="O573" s="529"/>
      <c r="P573" s="529"/>
      <c r="Q573" s="529"/>
      <c r="R573" s="286"/>
      <c r="S573" s="286"/>
      <c r="T573" s="286"/>
      <c r="U573" s="286"/>
      <c r="V573" s="286"/>
      <c r="W573" s="286"/>
    </row>
    <row r="574">
      <c r="A574" s="286"/>
      <c r="B574" s="286"/>
      <c r="C574" s="529"/>
      <c r="D574" s="306"/>
      <c r="E574" s="306"/>
      <c r="F574" s="306"/>
      <c r="G574" s="286"/>
      <c r="H574" s="286"/>
      <c r="I574" s="286"/>
      <c r="J574" s="529"/>
      <c r="K574" s="286"/>
      <c r="L574" s="286"/>
      <c r="M574" s="529"/>
      <c r="N574" s="529"/>
      <c r="O574" s="529"/>
      <c r="P574" s="529"/>
      <c r="Q574" s="529"/>
      <c r="R574" s="286"/>
      <c r="S574" s="286"/>
      <c r="T574" s="286"/>
      <c r="U574" s="286"/>
      <c r="V574" s="286"/>
      <c r="W574" s="286"/>
    </row>
    <row r="575">
      <c r="A575" s="286"/>
      <c r="B575" s="286"/>
      <c r="C575" s="529"/>
      <c r="D575" s="306"/>
      <c r="E575" s="306"/>
      <c r="F575" s="306"/>
      <c r="G575" s="286"/>
      <c r="H575" s="286"/>
      <c r="I575" s="286"/>
      <c r="J575" s="529"/>
      <c r="K575" s="286"/>
      <c r="L575" s="286"/>
      <c r="M575" s="529"/>
      <c r="N575" s="529"/>
      <c r="O575" s="529"/>
      <c r="P575" s="529"/>
      <c r="Q575" s="529"/>
      <c r="R575" s="286"/>
      <c r="S575" s="286"/>
      <c r="T575" s="286"/>
      <c r="U575" s="286"/>
      <c r="V575" s="286"/>
      <c r="W575" s="286"/>
    </row>
    <row r="576">
      <c r="A576" s="286"/>
      <c r="B576" s="286"/>
      <c r="C576" s="529"/>
      <c r="D576" s="306"/>
      <c r="E576" s="306"/>
      <c r="F576" s="306"/>
      <c r="G576" s="286"/>
      <c r="H576" s="286"/>
      <c r="I576" s="286"/>
      <c r="J576" s="529"/>
      <c r="K576" s="286"/>
      <c r="L576" s="286"/>
      <c r="M576" s="529"/>
      <c r="N576" s="529"/>
      <c r="O576" s="529"/>
      <c r="P576" s="529"/>
      <c r="Q576" s="529"/>
      <c r="R576" s="286"/>
      <c r="S576" s="286"/>
      <c r="T576" s="286"/>
      <c r="U576" s="286"/>
      <c r="V576" s="286"/>
      <c r="W576" s="286"/>
    </row>
    <row r="577">
      <c r="A577" s="286"/>
      <c r="B577" s="286"/>
      <c r="C577" s="529"/>
      <c r="D577" s="306"/>
      <c r="E577" s="306"/>
      <c r="F577" s="306"/>
      <c r="G577" s="286"/>
      <c r="H577" s="286"/>
      <c r="I577" s="286"/>
      <c r="J577" s="529"/>
      <c r="K577" s="286"/>
      <c r="L577" s="286"/>
      <c r="M577" s="529"/>
      <c r="N577" s="529"/>
      <c r="O577" s="529"/>
      <c r="P577" s="529"/>
      <c r="Q577" s="529"/>
      <c r="R577" s="286"/>
      <c r="S577" s="286"/>
      <c r="T577" s="286"/>
      <c r="U577" s="286"/>
      <c r="V577" s="286"/>
      <c r="W577" s="286"/>
    </row>
    <row r="578">
      <c r="A578" s="286"/>
      <c r="B578" s="286"/>
      <c r="C578" s="529"/>
      <c r="D578" s="306"/>
      <c r="E578" s="306"/>
      <c r="F578" s="306"/>
      <c r="G578" s="286"/>
      <c r="H578" s="286"/>
      <c r="I578" s="286"/>
      <c r="J578" s="529"/>
      <c r="K578" s="286"/>
      <c r="L578" s="286"/>
      <c r="M578" s="529"/>
      <c r="N578" s="529"/>
      <c r="O578" s="529"/>
      <c r="P578" s="529"/>
      <c r="Q578" s="529"/>
      <c r="R578" s="286"/>
      <c r="S578" s="286"/>
      <c r="T578" s="286"/>
      <c r="U578" s="286"/>
      <c r="V578" s="286"/>
      <c r="W578" s="286"/>
    </row>
    <row r="579">
      <c r="A579" s="286"/>
      <c r="B579" s="286"/>
      <c r="C579" s="529"/>
      <c r="D579" s="306"/>
      <c r="E579" s="306"/>
      <c r="F579" s="306"/>
      <c r="G579" s="286"/>
      <c r="H579" s="286"/>
      <c r="I579" s="286"/>
      <c r="J579" s="529"/>
      <c r="K579" s="286"/>
      <c r="L579" s="286"/>
      <c r="M579" s="529"/>
      <c r="N579" s="529"/>
      <c r="O579" s="529"/>
      <c r="P579" s="529"/>
      <c r="Q579" s="529"/>
      <c r="R579" s="286"/>
      <c r="S579" s="286"/>
      <c r="T579" s="286"/>
      <c r="U579" s="286"/>
      <c r="V579" s="286"/>
      <c r="W579" s="286"/>
    </row>
    <row r="580">
      <c r="A580" s="286"/>
      <c r="B580" s="286"/>
      <c r="C580" s="529"/>
      <c r="D580" s="306"/>
      <c r="E580" s="306"/>
      <c r="F580" s="306"/>
      <c r="G580" s="286"/>
      <c r="H580" s="286"/>
      <c r="I580" s="286"/>
      <c r="J580" s="529"/>
      <c r="K580" s="286"/>
      <c r="L580" s="286"/>
      <c r="M580" s="529"/>
      <c r="N580" s="529"/>
      <c r="O580" s="529"/>
      <c r="P580" s="529"/>
      <c r="Q580" s="529"/>
      <c r="R580" s="286"/>
      <c r="S580" s="286"/>
      <c r="T580" s="286"/>
      <c r="U580" s="286"/>
      <c r="V580" s="286"/>
      <c r="W580" s="286"/>
    </row>
    <row r="581">
      <c r="A581" s="286"/>
      <c r="B581" s="286"/>
      <c r="C581" s="529"/>
      <c r="D581" s="306"/>
      <c r="E581" s="306"/>
      <c r="F581" s="306"/>
      <c r="G581" s="286"/>
      <c r="H581" s="286"/>
      <c r="I581" s="286"/>
      <c r="J581" s="529"/>
      <c r="K581" s="286"/>
      <c r="L581" s="286"/>
      <c r="M581" s="529"/>
      <c r="N581" s="529"/>
      <c r="O581" s="529"/>
      <c r="P581" s="529"/>
      <c r="Q581" s="529"/>
      <c r="R581" s="286"/>
      <c r="S581" s="286"/>
      <c r="T581" s="286"/>
      <c r="U581" s="286"/>
      <c r="V581" s="286"/>
      <c r="W581" s="286"/>
    </row>
    <row r="582">
      <c r="A582" s="286"/>
      <c r="B582" s="286"/>
      <c r="C582" s="529"/>
      <c r="D582" s="306"/>
      <c r="E582" s="306"/>
      <c r="F582" s="306"/>
      <c r="G582" s="286"/>
      <c r="H582" s="286"/>
      <c r="I582" s="286"/>
      <c r="J582" s="529"/>
      <c r="K582" s="286"/>
      <c r="L582" s="286"/>
      <c r="M582" s="529"/>
      <c r="N582" s="529"/>
      <c r="O582" s="529"/>
      <c r="P582" s="529"/>
      <c r="Q582" s="529"/>
      <c r="R582" s="286"/>
      <c r="S582" s="286"/>
      <c r="T582" s="286"/>
      <c r="U582" s="286"/>
      <c r="V582" s="286"/>
      <c r="W582" s="286"/>
    </row>
    <row r="583">
      <c r="A583" s="286"/>
      <c r="B583" s="286"/>
      <c r="C583" s="529"/>
      <c r="D583" s="306"/>
      <c r="E583" s="306"/>
      <c r="F583" s="306"/>
      <c r="G583" s="286"/>
      <c r="H583" s="286"/>
      <c r="I583" s="286"/>
      <c r="J583" s="529"/>
      <c r="K583" s="286"/>
      <c r="L583" s="286"/>
      <c r="M583" s="529"/>
      <c r="N583" s="529"/>
      <c r="O583" s="529"/>
      <c r="P583" s="529"/>
      <c r="Q583" s="529"/>
      <c r="R583" s="286"/>
      <c r="S583" s="286"/>
      <c r="T583" s="286"/>
      <c r="U583" s="286"/>
      <c r="V583" s="286"/>
      <c r="W583" s="286"/>
    </row>
    <row r="584">
      <c r="A584" s="286"/>
      <c r="B584" s="286"/>
      <c r="C584" s="529"/>
      <c r="D584" s="306"/>
      <c r="E584" s="306"/>
      <c r="F584" s="306"/>
      <c r="G584" s="286"/>
      <c r="H584" s="286"/>
      <c r="I584" s="286"/>
      <c r="J584" s="529"/>
      <c r="K584" s="286"/>
      <c r="L584" s="286"/>
      <c r="M584" s="529"/>
      <c r="N584" s="529"/>
      <c r="O584" s="529"/>
      <c r="P584" s="529"/>
      <c r="Q584" s="529"/>
      <c r="R584" s="286"/>
      <c r="S584" s="286"/>
      <c r="T584" s="286"/>
      <c r="U584" s="286"/>
      <c r="V584" s="286"/>
      <c r="W584" s="286"/>
    </row>
    <row r="585">
      <c r="A585" s="286"/>
      <c r="B585" s="286"/>
      <c r="C585" s="529"/>
      <c r="D585" s="306"/>
      <c r="E585" s="306"/>
      <c r="F585" s="306"/>
      <c r="G585" s="286"/>
      <c r="H585" s="286"/>
      <c r="I585" s="286"/>
      <c r="J585" s="529"/>
      <c r="K585" s="286"/>
      <c r="L585" s="286"/>
      <c r="M585" s="529"/>
      <c r="N585" s="529"/>
      <c r="O585" s="529"/>
      <c r="P585" s="529"/>
      <c r="Q585" s="529"/>
      <c r="R585" s="286"/>
      <c r="S585" s="286"/>
      <c r="T585" s="286"/>
      <c r="U585" s="286"/>
      <c r="V585" s="286"/>
      <c r="W585" s="286"/>
    </row>
    <row r="586">
      <c r="A586" s="286"/>
      <c r="B586" s="286"/>
      <c r="C586" s="529"/>
      <c r="D586" s="306"/>
      <c r="E586" s="306"/>
      <c r="F586" s="306"/>
      <c r="G586" s="286"/>
      <c r="H586" s="286"/>
      <c r="I586" s="286"/>
      <c r="J586" s="529"/>
      <c r="K586" s="286"/>
      <c r="L586" s="286"/>
      <c r="M586" s="529"/>
      <c r="N586" s="529"/>
      <c r="O586" s="529"/>
      <c r="P586" s="529"/>
      <c r="Q586" s="529"/>
      <c r="R586" s="286"/>
      <c r="S586" s="286"/>
      <c r="T586" s="286"/>
      <c r="U586" s="286"/>
      <c r="V586" s="286"/>
      <c r="W586" s="286"/>
    </row>
    <row r="587">
      <c r="A587" s="286"/>
      <c r="B587" s="286"/>
      <c r="C587" s="529"/>
      <c r="D587" s="306"/>
      <c r="E587" s="306"/>
      <c r="F587" s="306"/>
      <c r="G587" s="286"/>
      <c r="H587" s="286"/>
      <c r="I587" s="286"/>
      <c r="J587" s="529"/>
      <c r="K587" s="286"/>
      <c r="L587" s="286"/>
      <c r="M587" s="529"/>
      <c r="N587" s="529"/>
      <c r="O587" s="529"/>
      <c r="P587" s="529"/>
      <c r="Q587" s="529"/>
      <c r="R587" s="286"/>
      <c r="S587" s="286"/>
      <c r="T587" s="286"/>
      <c r="U587" s="286"/>
      <c r="V587" s="286"/>
      <c r="W587" s="286"/>
    </row>
    <row r="588">
      <c r="A588" s="286"/>
      <c r="B588" s="286"/>
      <c r="C588" s="529"/>
      <c r="D588" s="306"/>
      <c r="E588" s="306"/>
      <c r="F588" s="306"/>
      <c r="G588" s="286"/>
      <c r="H588" s="286"/>
      <c r="I588" s="286"/>
      <c r="J588" s="529"/>
      <c r="K588" s="286"/>
      <c r="L588" s="286"/>
      <c r="M588" s="529"/>
      <c r="N588" s="529"/>
      <c r="O588" s="529"/>
      <c r="P588" s="529"/>
      <c r="Q588" s="529"/>
      <c r="R588" s="286"/>
      <c r="S588" s="286"/>
      <c r="T588" s="286"/>
      <c r="U588" s="286"/>
      <c r="V588" s="286"/>
      <c r="W588" s="286"/>
    </row>
    <row r="589">
      <c r="A589" s="286"/>
      <c r="B589" s="286"/>
      <c r="C589" s="529"/>
      <c r="D589" s="306"/>
      <c r="E589" s="306"/>
      <c r="F589" s="306"/>
      <c r="G589" s="286"/>
      <c r="H589" s="286"/>
      <c r="I589" s="286"/>
      <c r="J589" s="529"/>
      <c r="K589" s="286"/>
      <c r="L589" s="286"/>
      <c r="M589" s="529"/>
      <c r="N589" s="529"/>
      <c r="O589" s="529"/>
      <c r="P589" s="529"/>
      <c r="Q589" s="529"/>
      <c r="R589" s="286"/>
      <c r="S589" s="286"/>
      <c r="T589" s="286"/>
      <c r="U589" s="286"/>
      <c r="V589" s="286"/>
      <c r="W589" s="286"/>
    </row>
    <row r="590">
      <c r="A590" s="286"/>
      <c r="B590" s="286"/>
      <c r="C590" s="529"/>
      <c r="D590" s="306"/>
      <c r="E590" s="306"/>
      <c r="F590" s="306"/>
      <c r="G590" s="286"/>
      <c r="H590" s="286"/>
      <c r="I590" s="286"/>
      <c r="J590" s="529"/>
      <c r="K590" s="286"/>
      <c r="L590" s="286"/>
      <c r="M590" s="529"/>
      <c r="N590" s="529"/>
      <c r="O590" s="529"/>
      <c r="P590" s="529"/>
      <c r="Q590" s="529"/>
      <c r="R590" s="286"/>
      <c r="S590" s="286"/>
      <c r="T590" s="286"/>
      <c r="U590" s="286"/>
      <c r="V590" s="286"/>
      <c r="W590" s="286"/>
    </row>
    <row r="591">
      <c r="A591" s="286"/>
      <c r="B591" s="286"/>
      <c r="C591" s="529"/>
      <c r="D591" s="306"/>
      <c r="E591" s="306"/>
      <c r="F591" s="306"/>
      <c r="G591" s="286"/>
      <c r="H591" s="286"/>
      <c r="I591" s="286"/>
      <c r="J591" s="529"/>
      <c r="K591" s="286"/>
      <c r="L591" s="286"/>
      <c r="M591" s="529"/>
      <c r="N591" s="529"/>
      <c r="O591" s="529"/>
      <c r="P591" s="529"/>
      <c r="Q591" s="529"/>
      <c r="R591" s="286"/>
      <c r="S591" s="286"/>
      <c r="T591" s="286"/>
      <c r="U591" s="286"/>
      <c r="V591" s="286"/>
      <c r="W591" s="286"/>
    </row>
    <row r="592">
      <c r="A592" s="286"/>
      <c r="B592" s="286"/>
      <c r="C592" s="529"/>
      <c r="D592" s="306"/>
      <c r="E592" s="306"/>
      <c r="F592" s="306"/>
      <c r="G592" s="286"/>
      <c r="H592" s="286"/>
      <c r="I592" s="286"/>
      <c r="J592" s="529"/>
      <c r="K592" s="286"/>
      <c r="L592" s="286"/>
      <c r="M592" s="529"/>
      <c r="N592" s="529"/>
      <c r="O592" s="529"/>
      <c r="P592" s="529"/>
      <c r="Q592" s="529"/>
      <c r="R592" s="286"/>
      <c r="S592" s="286"/>
      <c r="T592" s="286"/>
      <c r="U592" s="286"/>
      <c r="V592" s="286"/>
      <c r="W592" s="286"/>
    </row>
    <row r="593">
      <c r="A593" s="286"/>
      <c r="B593" s="286"/>
      <c r="C593" s="529"/>
      <c r="D593" s="306"/>
      <c r="E593" s="306"/>
      <c r="F593" s="306"/>
      <c r="G593" s="286"/>
      <c r="H593" s="286"/>
      <c r="I593" s="286"/>
      <c r="J593" s="529"/>
      <c r="K593" s="286"/>
      <c r="L593" s="286"/>
      <c r="M593" s="529"/>
      <c r="N593" s="529"/>
      <c r="O593" s="529"/>
      <c r="P593" s="529"/>
      <c r="Q593" s="529"/>
      <c r="R593" s="286"/>
      <c r="S593" s="286"/>
      <c r="T593" s="286"/>
      <c r="U593" s="286"/>
      <c r="V593" s="286"/>
      <c r="W593" s="286"/>
    </row>
    <row r="594">
      <c r="A594" s="286"/>
      <c r="B594" s="286"/>
      <c r="C594" s="529"/>
      <c r="D594" s="306"/>
      <c r="E594" s="306"/>
      <c r="F594" s="306"/>
      <c r="G594" s="286"/>
      <c r="H594" s="286"/>
      <c r="I594" s="286"/>
      <c r="J594" s="529"/>
      <c r="K594" s="286"/>
      <c r="L594" s="286"/>
      <c r="M594" s="529"/>
      <c r="N594" s="529"/>
      <c r="O594" s="529"/>
      <c r="P594" s="529"/>
      <c r="Q594" s="529"/>
      <c r="R594" s="286"/>
      <c r="S594" s="286"/>
      <c r="T594" s="286"/>
      <c r="U594" s="286"/>
      <c r="V594" s="286"/>
      <c r="W594" s="286"/>
    </row>
    <row r="595">
      <c r="A595" s="286"/>
      <c r="B595" s="286"/>
      <c r="C595" s="529"/>
      <c r="D595" s="306"/>
      <c r="E595" s="306"/>
      <c r="F595" s="306"/>
      <c r="G595" s="286"/>
      <c r="H595" s="286"/>
      <c r="I595" s="286"/>
      <c r="J595" s="529"/>
      <c r="K595" s="286"/>
      <c r="L595" s="286"/>
      <c r="M595" s="529"/>
      <c r="N595" s="529"/>
      <c r="O595" s="529"/>
      <c r="P595" s="529"/>
      <c r="Q595" s="529"/>
      <c r="R595" s="286"/>
      <c r="S595" s="286"/>
      <c r="T595" s="286"/>
      <c r="U595" s="286"/>
      <c r="V595" s="286"/>
      <c r="W595" s="286"/>
    </row>
    <row r="596">
      <c r="A596" s="286"/>
      <c r="B596" s="286"/>
      <c r="C596" s="529"/>
      <c r="D596" s="306"/>
      <c r="E596" s="306"/>
      <c r="F596" s="306"/>
      <c r="G596" s="286"/>
      <c r="H596" s="286"/>
      <c r="I596" s="286"/>
      <c r="J596" s="529"/>
      <c r="K596" s="286"/>
      <c r="L596" s="286"/>
      <c r="M596" s="529"/>
      <c r="N596" s="529"/>
      <c r="O596" s="529"/>
      <c r="P596" s="529"/>
      <c r="Q596" s="529"/>
      <c r="R596" s="286"/>
      <c r="S596" s="286"/>
      <c r="T596" s="286"/>
      <c r="U596" s="286"/>
      <c r="V596" s="286"/>
      <c r="W596" s="286"/>
    </row>
    <row r="597">
      <c r="A597" s="286"/>
      <c r="B597" s="286"/>
      <c r="C597" s="529"/>
      <c r="D597" s="306"/>
      <c r="E597" s="306"/>
      <c r="F597" s="306"/>
      <c r="G597" s="286"/>
      <c r="H597" s="286"/>
      <c r="I597" s="286"/>
      <c r="J597" s="529"/>
      <c r="K597" s="286"/>
      <c r="L597" s="286"/>
      <c r="M597" s="529"/>
      <c r="N597" s="529"/>
      <c r="O597" s="529"/>
      <c r="P597" s="529"/>
      <c r="Q597" s="529"/>
      <c r="R597" s="286"/>
      <c r="S597" s="286"/>
      <c r="T597" s="286"/>
      <c r="U597" s="286"/>
      <c r="V597" s="286"/>
      <c r="W597" s="286"/>
    </row>
    <row r="598">
      <c r="A598" s="286"/>
      <c r="B598" s="286"/>
      <c r="C598" s="529"/>
      <c r="D598" s="306"/>
      <c r="E598" s="306"/>
      <c r="F598" s="306"/>
      <c r="G598" s="286"/>
      <c r="H598" s="286"/>
      <c r="I598" s="286"/>
      <c r="J598" s="529"/>
      <c r="K598" s="286"/>
      <c r="L598" s="286"/>
      <c r="M598" s="529"/>
      <c r="N598" s="529"/>
      <c r="O598" s="529"/>
      <c r="P598" s="529"/>
      <c r="Q598" s="529"/>
      <c r="R598" s="286"/>
      <c r="S598" s="286"/>
      <c r="T598" s="286"/>
      <c r="U598" s="286"/>
      <c r="V598" s="286"/>
      <c r="W598" s="286"/>
    </row>
    <row r="599">
      <c r="A599" s="286"/>
      <c r="B599" s="286"/>
      <c r="C599" s="529"/>
      <c r="D599" s="306"/>
      <c r="E599" s="306"/>
      <c r="F599" s="306"/>
      <c r="G599" s="286"/>
      <c r="H599" s="286"/>
      <c r="I599" s="286"/>
      <c r="J599" s="529"/>
      <c r="K599" s="286"/>
      <c r="L599" s="286"/>
      <c r="M599" s="529"/>
      <c r="N599" s="529"/>
      <c r="O599" s="529"/>
      <c r="P599" s="529"/>
      <c r="Q599" s="529"/>
      <c r="R599" s="286"/>
      <c r="S599" s="286"/>
      <c r="T599" s="286"/>
      <c r="U599" s="286"/>
      <c r="V599" s="286"/>
      <c r="W599" s="286"/>
    </row>
    <row r="600">
      <c r="A600" s="286"/>
      <c r="B600" s="286"/>
      <c r="C600" s="529"/>
      <c r="D600" s="306"/>
      <c r="E600" s="306"/>
      <c r="F600" s="306"/>
      <c r="G600" s="286"/>
      <c r="H600" s="286"/>
      <c r="I600" s="286"/>
      <c r="J600" s="529"/>
      <c r="K600" s="286"/>
      <c r="L600" s="286"/>
      <c r="M600" s="529"/>
      <c r="N600" s="529"/>
      <c r="O600" s="529"/>
      <c r="P600" s="529"/>
      <c r="Q600" s="529"/>
      <c r="R600" s="286"/>
      <c r="S600" s="286"/>
      <c r="T600" s="286"/>
      <c r="U600" s="286"/>
      <c r="V600" s="286"/>
      <c r="W600" s="286"/>
    </row>
    <row r="601">
      <c r="A601" s="286"/>
      <c r="B601" s="286"/>
      <c r="C601" s="529"/>
      <c r="D601" s="306"/>
      <c r="E601" s="306"/>
      <c r="F601" s="306"/>
      <c r="G601" s="286"/>
      <c r="H601" s="286"/>
      <c r="I601" s="286"/>
      <c r="J601" s="529"/>
      <c r="K601" s="286"/>
      <c r="L601" s="286"/>
      <c r="M601" s="529"/>
      <c r="N601" s="529"/>
      <c r="O601" s="529"/>
      <c r="P601" s="529"/>
      <c r="Q601" s="529"/>
      <c r="R601" s="286"/>
      <c r="S601" s="286"/>
      <c r="T601" s="286"/>
      <c r="U601" s="286"/>
      <c r="V601" s="286"/>
      <c r="W601" s="286"/>
    </row>
    <row r="602">
      <c r="A602" s="286"/>
      <c r="B602" s="286"/>
      <c r="C602" s="529"/>
      <c r="D602" s="306"/>
      <c r="E602" s="306"/>
      <c r="F602" s="306"/>
      <c r="G602" s="286"/>
      <c r="H602" s="286"/>
      <c r="I602" s="286"/>
      <c r="J602" s="529"/>
      <c r="K602" s="286"/>
      <c r="L602" s="286"/>
      <c r="M602" s="529"/>
      <c r="N602" s="529"/>
      <c r="O602" s="529"/>
      <c r="P602" s="529"/>
      <c r="Q602" s="529"/>
      <c r="R602" s="286"/>
      <c r="S602" s="286"/>
      <c r="T602" s="286"/>
      <c r="U602" s="286"/>
      <c r="V602" s="286"/>
      <c r="W602" s="286"/>
    </row>
    <row r="603">
      <c r="A603" s="286"/>
      <c r="B603" s="286"/>
      <c r="C603" s="529"/>
      <c r="D603" s="306"/>
      <c r="E603" s="306"/>
      <c r="F603" s="306"/>
      <c r="G603" s="286"/>
      <c r="H603" s="286"/>
      <c r="I603" s="286"/>
      <c r="J603" s="529"/>
      <c r="K603" s="286"/>
      <c r="L603" s="286"/>
      <c r="M603" s="529"/>
      <c r="N603" s="529"/>
      <c r="O603" s="529"/>
      <c r="P603" s="529"/>
      <c r="Q603" s="529"/>
      <c r="R603" s="286"/>
      <c r="S603" s="286"/>
      <c r="T603" s="286"/>
      <c r="U603" s="286"/>
      <c r="V603" s="286"/>
      <c r="W603" s="286"/>
    </row>
    <row r="604">
      <c r="A604" s="286"/>
      <c r="B604" s="286"/>
      <c r="C604" s="529"/>
      <c r="D604" s="306"/>
      <c r="E604" s="306"/>
      <c r="F604" s="306"/>
      <c r="G604" s="286"/>
      <c r="H604" s="286"/>
      <c r="I604" s="286"/>
      <c r="J604" s="529"/>
      <c r="K604" s="286"/>
      <c r="L604" s="286"/>
      <c r="M604" s="529"/>
      <c r="N604" s="529"/>
      <c r="O604" s="529"/>
      <c r="P604" s="529"/>
      <c r="Q604" s="529"/>
      <c r="R604" s="286"/>
      <c r="S604" s="286"/>
      <c r="T604" s="286"/>
      <c r="U604" s="286"/>
      <c r="V604" s="286"/>
      <c r="W604" s="286"/>
    </row>
    <row r="605">
      <c r="A605" s="286"/>
      <c r="B605" s="286"/>
      <c r="C605" s="529"/>
      <c r="D605" s="306"/>
      <c r="E605" s="306"/>
      <c r="F605" s="306"/>
      <c r="G605" s="286"/>
      <c r="H605" s="286"/>
      <c r="I605" s="286"/>
      <c r="J605" s="529"/>
      <c r="K605" s="286"/>
      <c r="L605" s="286"/>
      <c r="M605" s="529"/>
      <c r="N605" s="529"/>
      <c r="O605" s="529"/>
      <c r="P605" s="529"/>
      <c r="Q605" s="529"/>
      <c r="R605" s="286"/>
      <c r="S605" s="286"/>
      <c r="T605" s="286"/>
      <c r="U605" s="286"/>
      <c r="V605" s="286"/>
      <c r="W605" s="286"/>
    </row>
    <row r="606">
      <c r="A606" s="286"/>
      <c r="B606" s="286"/>
      <c r="C606" s="529"/>
      <c r="D606" s="306"/>
      <c r="E606" s="306"/>
      <c r="F606" s="306"/>
      <c r="G606" s="286"/>
      <c r="H606" s="286"/>
      <c r="I606" s="286"/>
      <c r="J606" s="529"/>
      <c r="K606" s="286"/>
      <c r="L606" s="286"/>
      <c r="M606" s="529"/>
      <c r="N606" s="529"/>
      <c r="O606" s="529"/>
      <c r="P606" s="529"/>
      <c r="Q606" s="529"/>
      <c r="R606" s="286"/>
      <c r="S606" s="286"/>
      <c r="T606" s="286"/>
      <c r="U606" s="286"/>
      <c r="V606" s="286"/>
      <c r="W606" s="286"/>
    </row>
    <row r="607">
      <c r="A607" s="286"/>
      <c r="B607" s="286"/>
      <c r="C607" s="529"/>
      <c r="D607" s="306"/>
      <c r="E607" s="306"/>
      <c r="F607" s="306"/>
      <c r="G607" s="286"/>
      <c r="H607" s="286"/>
      <c r="I607" s="286"/>
      <c r="J607" s="529"/>
      <c r="K607" s="286"/>
      <c r="L607" s="286"/>
      <c r="M607" s="529"/>
      <c r="N607" s="529"/>
      <c r="O607" s="529"/>
      <c r="P607" s="529"/>
      <c r="Q607" s="529"/>
      <c r="R607" s="286"/>
      <c r="S607" s="286"/>
      <c r="T607" s="286"/>
      <c r="U607" s="286"/>
      <c r="V607" s="286"/>
      <c r="W607" s="286"/>
    </row>
    <row r="608">
      <c r="A608" s="286"/>
      <c r="B608" s="286"/>
      <c r="C608" s="529"/>
      <c r="D608" s="306"/>
      <c r="E608" s="306"/>
      <c r="F608" s="306"/>
      <c r="G608" s="286"/>
      <c r="H608" s="286"/>
      <c r="I608" s="286"/>
      <c r="J608" s="529"/>
      <c r="K608" s="286"/>
      <c r="L608" s="286"/>
      <c r="M608" s="529"/>
      <c r="N608" s="529"/>
      <c r="O608" s="529"/>
      <c r="P608" s="529"/>
      <c r="Q608" s="529"/>
      <c r="R608" s="286"/>
      <c r="S608" s="286"/>
      <c r="T608" s="286"/>
      <c r="U608" s="286"/>
      <c r="V608" s="286"/>
      <c r="W608" s="286"/>
    </row>
    <row r="609">
      <c r="A609" s="286"/>
      <c r="B609" s="286"/>
      <c r="C609" s="529"/>
      <c r="D609" s="306"/>
      <c r="E609" s="306"/>
      <c r="F609" s="306"/>
      <c r="G609" s="286"/>
      <c r="H609" s="286"/>
      <c r="I609" s="286"/>
      <c r="J609" s="529"/>
      <c r="K609" s="286"/>
      <c r="L609" s="286"/>
      <c r="M609" s="529"/>
      <c r="N609" s="529"/>
      <c r="O609" s="529"/>
      <c r="P609" s="529"/>
      <c r="Q609" s="529"/>
      <c r="R609" s="286"/>
      <c r="S609" s="286"/>
      <c r="T609" s="286"/>
      <c r="U609" s="286"/>
      <c r="V609" s="286"/>
      <c r="W609" s="286"/>
    </row>
    <row r="610">
      <c r="A610" s="286"/>
      <c r="B610" s="286"/>
      <c r="C610" s="529"/>
      <c r="D610" s="306"/>
      <c r="E610" s="306"/>
      <c r="F610" s="306"/>
      <c r="G610" s="286"/>
      <c r="H610" s="286"/>
      <c r="I610" s="286"/>
      <c r="J610" s="529"/>
      <c r="K610" s="286"/>
      <c r="L610" s="286"/>
      <c r="M610" s="529"/>
      <c r="N610" s="529"/>
      <c r="O610" s="529"/>
      <c r="P610" s="529"/>
      <c r="Q610" s="529"/>
      <c r="R610" s="286"/>
      <c r="S610" s="286"/>
      <c r="T610" s="286"/>
      <c r="U610" s="286"/>
      <c r="V610" s="286"/>
      <c r="W610" s="286"/>
    </row>
    <row r="611">
      <c r="A611" s="286"/>
      <c r="B611" s="286"/>
      <c r="C611" s="529"/>
      <c r="D611" s="306"/>
      <c r="E611" s="306"/>
      <c r="F611" s="306"/>
      <c r="G611" s="286"/>
      <c r="H611" s="286"/>
      <c r="I611" s="286"/>
      <c r="J611" s="529"/>
      <c r="K611" s="286"/>
      <c r="L611" s="286"/>
      <c r="M611" s="529"/>
      <c r="N611" s="529"/>
      <c r="O611" s="529"/>
      <c r="P611" s="529"/>
      <c r="Q611" s="529"/>
      <c r="R611" s="286"/>
      <c r="S611" s="286"/>
      <c r="T611" s="286"/>
      <c r="U611" s="286"/>
      <c r="V611" s="286"/>
      <c r="W611" s="286"/>
    </row>
    <row r="612">
      <c r="A612" s="286"/>
      <c r="B612" s="286"/>
      <c r="C612" s="529"/>
      <c r="D612" s="306"/>
      <c r="E612" s="306"/>
      <c r="F612" s="306"/>
      <c r="G612" s="286"/>
      <c r="H612" s="286"/>
      <c r="I612" s="286"/>
      <c r="J612" s="529"/>
      <c r="K612" s="286"/>
      <c r="L612" s="286"/>
      <c r="M612" s="529"/>
      <c r="N612" s="529"/>
      <c r="O612" s="529"/>
      <c r="P612" s="529"/>
      <c r="Q612" s="529"/>
      <c r="R612" s="286"/>
      <c r="S612" s="286"/>
      <c r="T612" s="286"/>
      <c r="U612" s="286"/>
      <c r="V612" s="286"/>
      <c r="W612" s="286"/>
    </row>
    <row r="613">
      <c r="A613" s="286"/>
      <c r="B613" s="286"/>
      <c r="C613" s="529"/>
      <c r="D613" s="306"/>
      <c r="E613" s="306"/>
      <c r="F613" s="306"/>
      <c r="G613" s="286"/>
      <c r="H613" s="286"/>
      <c r="I613" s="286"/>
      <c r="J613" s="529"/>
      <c r="K613" s="286"/>
      <c r="L613" s="286"/>
      <c r="M613" s="529"/>
      <c r="N613" s="529"/>
      <c r="O613" s="529"/>
      <c r="P613" s="529"/>
      <c r="Q613" s="529"/>
      <c r="R613" s="286"/>
      <c r="S613" s="286"/>
      <c r="T613" s="286"/>
      <c r="U613" s="286"/>
      <c r="V613" s="286"/>
      <c r="W613" s="286"/>
    </row>
    <row r="614">
      <c r="A614" s="286"/>
      <c r="B614" s="286"/>
      <c r="C614" s="529"/>
      <c r="D614" s="306"/>
      <c r="E614" s="306"/>
      <c r="F614" s="306"/>
      <c r="G614" s="286"/>
      <c r="H614" s="286"/>
      <c r="I614" s="286"/>
      <c r="J614" s="529"/>
      <c r="K614" s="286"/>
      <c r="L614" s="286"/>
      <c r="M614" s="529"/>
      <c r="N614" s="529"/>
      <c r="O614" s="529"/>
      <c r="P614" s="529"/>
      <c r="Q614" s="529"/>
      <c r="R614" s="286"/>
      <c r="S614" s="286"/>
      <c r="T614" s="286"/>
      <c r="U614" s="286"/>
      <c r="V614" s="286"/>
      <c r="W614" s="286"/>
    </row>
    <row r="615">
      <c r="A615" s="286"/>
      <c r="B615" s="286"/>
      <c r="C615" s="529"/>
      <c r="D615" s="306"/>
      <c r="E615" s="306"/>
      <c r="F615" s="306"/>
      <c r="G615" s="286"/>
      <c r="H615" s="286"/>
      <c r="I615" s="286"/>
      <c r="J615" s="529"/>
      <c r="K615" s="286"/>
      <c r="L615" s="286"/>
      <c r="M615" s="529"/>
      <c r="N615" s="529"/>
      <c r="O615" s="529"/>
      <c r="P615" s="529"/>
      <c r="Q615" s="529"/>
      <c r="R615" s="286"/>
      <c r="S615" s="286"/>
      <c r="T615" s="286"/>
      <c r="U615" s="286"/>
      <c r="V615" s="286"/>
      <c r="W615" s="286"/>
    </row>
    <row r="616">
      <c r="A616" s="286"/>
      <c r="B616" s="286"/>
      <c r="C616" s="529"/>
      <c r="D616" s="306"/>
      <c r="E616" s="306"/>
      <c r="F616" s="306"/>
      <c r="G616" s="286"/>
      <c r="H616" s="286"/>
      <c r="I616" s="286"/>
      <c r="J616" s="529"/>
      <c r="K616" s="286"/>
      <c r="L616" s="286"/>
      <c r="M616" s="529"/>
      <c r="N616" s="529"/>
      <c r="O616" s="529"/>
      <c r="P616" s="529"/>
      <c r="Q616" s="529"/>
      <c r="R616" s="286"/>
      <c r="S616" s="286"/>
      <c r="T616" s="286"/>
      <c r="U616" s="286"/>
      <c r="V616" s="286"/>
      <c r="W616" s="286"/>
    </row>
    <row r="617">
      <c r="A617" s="286"/>
      <c r="B617" s="286"/>
      <c r="C617" s="529"/>
      <c r="D617" s="306"/>
      <c r="E617" s="306"/>
      <c r="F617" s="306"/>
      <c r="G617" s="286"/>
      <c r="H617" s="286"/>
      <c r="I617" s="286"/>
      <c r="J617" s="529"/>
      <c r="K617" s="286"/>
      <c r="L617" s="286"/>
      <c r="M617" s="529"/>
      <c r="N617" s="529"/>
      <c r="O617" s="529"/>
      <c r="P617" s="529"/>
      <c r="Q617" s="529"/>
      <c r="R617" s="286"/>
      <c r="S617" s="286"/>
      <c r="T617" s="286"/>
      <c r="U617" s="286"/>
      <c r="V617" s="286"/>
      <c r="W617" s="286"/>
    </row>
    <row r="618">
      <c r="A618" s="286"/>
      <c r="B618" s="286"/>
      <c r="C618" s="529"/>
      <c r="D618" s="306"/>
      <c r="E618" s="306"/>
      <c r="F618" s="306"/>
      <c r="G618" s="286"/>
      <c r="H618" s="286"/>
      <c r="I618" s="286"/>
      <c r="J618" s="529"/>
      <c r="K618" s="286"/>
      <c r="L618" s="286"/>
      <c r="M618" s="529"/>
      <c r="N618" s="529"/>
      <c r="O618" s="529"/>
      <c r="P618" s="529"/>
      <c r="Q618" s="529"/>
      <c r="R618" s="286"/>
      <c r="S618" s="286"/>
      <c r="T618" s="286"/>
      <c r="U618" s="286"/>
      <c r="V618" s="286"/>
      <c r="W618" s="286"/>
    </row>
    <row r="619">
      <c r="A619" s="286"/>
      <c r="B619" s="286"/>
      <c r="C619" s="529"/>
      <c r="D619" s="306"/>
      <c r="E619" s="306"/>
      <c r="F619" s="306"/>
      <c r="G619" s="286"/>
      <c r="H619" s="286"/>
      <c r="I619" s="286"/>
      <c r="J619" s="529"/>
      <c r="K619" s="286"/>
      <c r="L619" s="286"/>
      <c r="M619" s="529"/>
      <c r="N619" s="529"/>
      <c r="O619" s="529"/>
      <c r="P619" s="529"/>
      <c r="Q619" s="529"/>
      <c r="R619" s="286"/>
      <c r="S619" s="286"/>
      <c r="T619" s="286"/>
      <c r="U619" s="286"/>
      <c r="V619" s="286"/>
      <c r="W619" s="286"/>
    </row>
    <row r="620">
      <c r="A620" s="286"/>
      <c r="B620" s="286"/>
      <c r="C620" s="529"/>
      <c r="D620" s="306"/>
      <c r="E620" s="306"/>
      <c r="F620" s="306"/>
      <c r="G620" s="286"/>
      <c r="H620" s="286"/>
      <c r="I620" s="286"/>
      <c r="J620" s="529"/>
      <c r="K620" s="286"/>
      <c r="L620" s="286"/>
      <c r="M620" s="529"/>
      <c r="N620" s="529"/>
      <c r="O620" s="529"/>
      <c r="P620" s="529"/>
      <c r="Q620" s="529"/>
      <c r="R620" s="286"/>
      <c r="S620" s="286"/>
      <c r="T620" s="286"/>
      <c r="U620" s="286"/>
      <c r="V620" s="286"/>
      <c r="W620" s="286"/>
    </row>
    <row r="621">
      <c r="A621" s="286"/>
      <c r="B621" s="286"/>
      <c r="C621" s="529"/>
      <c r="D621" s="306"/>
      <c r="E621" s="306"/>
      <c r="F621" s="306"/>
      <c r="G621" s="286"/>
      <c r="H621" s="286"/>
      <c r="I621" s="286"/>
      <c r="J621" s="529"/>
      <c r="K621" s="286"/>
      <c r="L621" s="286"/>
      <c r="M621" s="529"/>
      <c r="N621" s="529"/>
      <c r="O621" s="529"/>
      <c r="P621" s="529"/>
      <c r="Q621" s="529"/>
      <c r="R621" s="286"/>
      <c r="S621" s="286"/>
      <c r="T621" s="286"/>
      <c r="U621" s="286"/>
      <c r="V621" s="286"/>
      <c r="W621" s="286"/>
    </row>
    <row r="622">
      <c r="A622" s="286"/>
      <c r="B622" s="286"/>
      <c r="C622" s="529"/>
      <c r="D622" s="306"/>
      <c r="E622" s="306"/>
      <c r="F622" s="306"/>
      <c r="G622" s="286"/>
      <c r="H622" s="286"/>
      <c r="I622" s="286"/>
      <c r="J622" s="529"/>
      <c r="K622" s="286"/>
      <c r="L622" s="286"/>
      <c r="M622" s="529"/>
      <c r="N622" s="529"/>
      <c r="O622" s="529"/>
      <c r="P622" s="529"/>
      <c r="Q622" s="529"/>
      <c r="R622" s="286"/>
      <c r="S622" s="286"/>
      <c r="T622" s="286"/>
      <c r="U622" s="286"/>
      <c r="V622" s="286"/>
      <c r="W622" s="286"/>
    </row>
    <row r="623">
      <c r="A623" s="286"/>
      <c r="B623" s="286"/>
      <c r="C623" s="529"/>
      <c r="D623" s="306"/>
      <c r="E623" s="306"/>
      <c r="F623" s="306"/>
      <c r="G623" s="286"/>
      <c r="H623" s="286"/>
      <c r="I623" s="286"/>
      <c r="J623" s="529"/>
      <c r="K623" s="286"/>
      <c r="L623" s="286"/>
      <c r="M623" s="529"/>
      <c r="N623" s="529"/>
      <c r="O623" s="529"/>
      <c r="P623" s="529"/>
      <c r="Q623" s="529"/>
      <c r="R623" s="286"/>
      <c r="S623" s="286"/>
      <c r="T623" s="286"/>
      <c r="U623" s="286"/>
      <c r="V623" s="286"/>
      <c r="W623" s="286"/>
    </row>
    <row r="624">
      <c r="A624" s="286"/>
      <c r="B624" s="286"/>
      <c r="C624" s="529"/>
      <c r="D624" s="306"/>
      <c r="E624" s="306"/>
      <c r="F624" s="306"/>
      <c r="G624" s="286"/>
      <c r="H624" s="286"/>
      <c r="I624" s="286"/>
      <c r="J624" s="529"/>
      <c r="K624" s="286"/>
      <c r="L624" s="286"/>
      <c r="M624" s="529"/>
      <c r="N624" s="529"/>
      <c r="O624" s="529"/>
      <c r="P624" s="529"/>
      <c r="Q624" s="529"/>
      <c r="R624" s="286"/>
      <c r="S624" s="286"/>
      <c r="T624" s="286"/>
      <c r="U624" s="286"/>
      <c r="V624" s="286"/>
      <c r="W624" s="286"/>
    </row>
    <row r="625">
      <c r="A625" s="286"/>
      <c r="B625" s="286"/>
      <c r="C625" s="529"/>
      <c r="D625" s="306"/>
      <c r="E625" s="306"/>
      <c r="F625" s="306"/>
      <c r="G625" s="286"/>
      <c r="H625" s="286"/>
      <c r="I625" s="286"/>
      <c r="J625" s="529"/>
      <c r="K625" s="286"/>
      <c r="L625" s="286"/>
      <c r="M625" s="529"/>
      <c r="N625" s="529"/>
      <c r="O625" s="529"/>
      <c r="P625" s="529"/>
      <c r="Q625" s="529"/>
      <c r="R625" s="286"/>
      <c r="S625" s="286"/>
      <c r="T625" s="286"/>
      <c r="U625" s="286"/>
      <c r="V625" s="286"/>
      <c r="W625" s="286"/>
    </row>
    <row r="626">
      <c r="A626" s="286"/>
      <c r="B626" s="286"/>
      <c r="C626" s="529"/>
      <c r="D626" s="306"/>
      <c r="E626" s="306"/>
      <c r="F626" s="306"/>
      <c r="G626" s="286"/>
      <c r="H626" s="286"/>
      <c r="I626" s="286"/>
      <c r="J626" s="529"/>
      <c r="K626" s="286"/>
      <c r="L626" s="286"/>
      <c r="M626" s="529"/>
      <c r="N626" s="529"/>
      <c r="O626" s="529"/>
      <c r="P626" s="529"/>
      <c r="Q626" s="529"/>
      <c r="R626" s="286"/>
      <c r="S626" s="286"/>
      <c r="T626" s="286"/>
      <c r="U626" s="286"/>
      <c r="V626" s="286"/>
      <c r="W626" s="286"/>
    </row>
    <row r="627">
      <c r="A627" s="286"/>
      <c r="B627" s="286"/>
      <c r="C627" s="529"/>
      <c r="D627" s="306"/>
      <c r="E627" s="306"/>
      <c r="F627" s="306"/>
      <c r="G627" s="286"/>
      <c r="H627" s="286"/>
      <c r="I627" s="286"/>
      <c r="J627" s="529"/>
      <c r="K627" s="286"/>
      <c r="L627" s="286"/>
      <c r="M627" s="529"/>
      <c r="N627" s="529"/>
      <c r="O627" s="529"/>
      <c r="P627" s="529"/>
      <c r="Q627" s="529"/>
      <c r="R627" s="286"/>
      <c r="S627" s="286"/>
      <c r="T627" s="286"/>
      <c r="U627" s="286"/>
      <c r="V627" s="286"/>
      <c r="W627" s="286"/>
    </row>
    <row r="628">
      <c r="A628" s="286"/>
      <c r="B628" s="286"/>
      <c r="C628" s="529"/>
      <c r="D628" s="306"/>
      <c r="E628" s="306"/>
      <c r="F628" s="306"/>
      <c r="G628" s="286"/>
      <c r="H628" s="286"/>
      <c r="I628" s="286"/>
      <c r="J628" s="529"/>
      <c r="K628" s="286"/>
      <c r="L628" s="286"/>
      <c r="M628" s="529"/>
      <c r="N628" s="529"/>
      <c r="O628" s="529"/>
      <c r="P628" s="529"/>
      <c r="Q628" s="529"/>
      <c r="R628" s="286"/>
      <c r="S628" s="286"/>
      <c r="T628" s="286"/>
      <c r="U628" s="286"/>
      <c r="V628" s="286"/>
      <c r="W628" s="286"/>
    </row>
    <row r="629">
      <c r="A629" s="286"/>
      <c r="B629" s="286"/>
      <c r="C629" s="529"/>
      <c r="D629" s="306"/>
      <c r="E629" s="306"/>
      <c r="F629" s="306"/>
      <c r="G629" s="286"/>
      <c r="H629" s="286"/>
      <c r="I629" s="286"/>
      <c r="J629" s="529"/>
      <c r="K629" s="286"/>
      <c r="L629" s="286"/>
      <c r="M629" s="529"/>
      <c r="N629" s="529"/>
      <c r="O629" s="529"/>
      <c r="P629" s="529"/>
      <c r="Q629" s="529"/>
      <c r="R629" s="286"/>
      <c r="S629" s="286"/>
      <c r="T629" s="286"/>
      <c r="U629" s="286"/>
      <c r="V629" s="286"/>
      <c r="W629" s="286"/>
    </row>
    <row r="630">
      <c r="A630" s="286"/>
      <c r="B630" s="286"/>
      <c r="C630" s="529"/>
      <c r="D630" s="306"/>
      <c r="E630" s="306"/>
      <c r="F630" s="306"/>
      <c r="G630" s="286"/>
      <c r="H630" s="286"/>
      <c r="I630" s="286"/>
      <c r="J630" s="529"/>
      <c r="K630" s="286"/>
      <c r="L630" s="286"/>
      <c r="M630" s="529"/>
      <c r="N630" s="529"/>
      <c r="O630" s="529"/>
      <c r="P630" s="529"/>
      <c r="Q630" s="529"/>
      <c r="R630" s="286"/>
      <c r="S630" s="286"/>
      <c r="T630" s="286"/>
      <c r="U630" s="286"/>
      <c r="V630" s="286"/>
      <c r="W630" s="286"/>
    </row>
    <row r="631">
      <c r="A631" s="286"/>
      <c r="B631" s="286"/>
      <c r="C631" s="529"/>
      <c r="D631" s="306"/>
      <c r="E631" s="306"/>
      <c r="F631" s="306"/>
      <c r="G631" s="286"/>
      <c r="H631" s="286"/>
      <c r="I631" s="286"/>
      <c r="J631" s="529"/>
      <c r="K631" s="286"/>
      <c r="L631" s="286"/>
      <c r="M631" s="529"/>
      <c r="N631" s="529"/>
      <c r="O631" s="529"/>
      <c r="P631" s="529"/>
      <c r="Q631" s="529"/>
      <c r="R631" s="286"/>
      <c r="S631" s="286"/>
      <c r="T631" s="286"/>
      <c r="U631" s="286"/>
      <c r="V631" s="286"/>
      <c r="W631" s="286"/>
    </row>
    <row r="632">
      <c r="A632" s="286"/>
      <c r="B632" s="286"/>
      <c r="C632" s="529"/>
      <c r="D632" s="306"/>
      <c r="E632" s="306"/>
      <c r="F632" s="306"/>
      <c r="G632" s="286"/>
      <c r="H632" s="286"/>
      <c r="I632" s="286"/>
      <c r="J632" s="529"/>
      <c r="K632" s="286"/>
      <c r="L632" s="286"/>
      <c r="M632" s="529"/>
      <c r="N632" s="529"/>
      <c r="O632" s="529"/>
      <c r="P632" s="529"/>
      <c r="Q632" s="529"/>
      <c r="R632" s="286"/>
      <c r="S632" s="286"/>
      <c r="T632" s="286"/>
      <c r="U632" s="286"/>
      <c r="V632" s="286"/>
      <c r="W632" s="286"/>
    </row>
    <row r="633">
      <c r="A633" s="286"/>
      <c r="B633" s="286"/>
      <c r="C633" s="529"/>
      <c r="D633" s="306"/>
      <c r="E633" s="306"/>
      <c r="F633" s="306"/>
      <c r="G633" s="286"/>
      <c r="H633" s="286"/>
      <c r="I633" s="286"/>
      <c r="J633" s="529"/>
      <c r="K633" s="286"/>
      <c r="L633" s="286"/>
      <c r="M633" s="529"/>
      <c r="N633" s="529"/>
      <c r="O633" s="529"/>
      <c r="P633" s="529"/>
      <c r="Q633" s="529"/>
      <c r="R633" s="286"/>
      <c r="S633" s="286"/>
      <c r="T633" s="286"/>
      <c r="U633" s="286"/>
      <c r="V633" s="286"/>
      <c r="W633" s="286"/>
    </row>
    <row r="634">
      <c r="A634" s="286"/>
      <c r="B634" s="286"/>
      <c r="C634" s="529"/>
      <c r="D634" s="306"/>
      <c r="E634" s="306"/>
      <c r="F634" s="306"/>
      <c r="G634" s="286"/>
      <c r="H634" s="286"/>
      <c r="I634" s="286"/>
      <c r="J634" s="529"/>
      <c r="K634" s="286"/>
      <c r="L634" s="286"/>
      <c r="M634" s="529"/>
      <c r="N634" s="529"/>
      <c r="O634" s="529"/>
      <c r="P634" s="529"/>
      <c r="Q634" s="529"/>
      <c r="R634" s="286"/>
      <c r="S634" s="286"/>
      <c r="T634" s="286"/>
      <c r="U634" s="286"/>
      <c r="V634" s="286"/>
      <c r="W634" s="286"/>
    </row>
    <row r="635">
      <c r="A635" s="286"/>
      <c r="B635" s="286"/>
      <c r="C635" s="529"/>
      <c r="D635" s="306"/>
      <c r="E635" s="306"/>
      <c r="F635" s="306"/>
      <c r="G635" s="286"/>
      <c r="H635" s="286"/>
      <c r="I635" s="286"/>
      <c r="J635" s="529"/>
      <c r="K635" s="286"/>
      <c r="L635" s="286"/>
      <c r="M635" s="529"/>
      <c r="N635" s="529"/>
      <c r="O635" s="529"/>
      <c r="P635" s="529"/>
      <c r="Q635" s="529"/>
      <c r="R635" s="286"/>
      <c r="S635" s="286"/>
      <c r="T635" s="286"/>
      <c r="U635" s="286"/>
      <c r="V635" s="286"/>
      <c r="W635" s="286"/>
    </row>
    <row r="636">
      <c r="A636" s="286"/>
      <c r="B636" s="286"/>
      <c r="C636" s="529"/>
      <c r="D636" s="306"/>
      <c r="E636" s="306"/>
      <c r="F636" s="306"/>
      <c r="G636" s="286"/>
      <c r="H636" s="286"/>
      <c r="I636" s="286"/>
      <c r="J636" s="529"/>
      <c r="K636" s="286"/>
      <c r="L636" s="286"/>
      <c r="M636" s="529"/>
      <c r="N636" s="529"/>
      <c r="O636" s="529"/>
      <c r="P636" s="529"/>
      <c r="Q636" s="529"/>
      <c r="R636" s="286"/>
      <c r="S636" s="286"/>
      <c r="T636" s="286"/>
      <c r="U636" s="286"/>
      <c r="V636" s="286"/>
      <c r="W636" s="286"/>
    </row>
    <row r="637">
      <c r="A637" s="286"/>
      <c r="B637" s="286"/>
      <c r="C637" s="529"/>
      <c r="D637" s="306"/>
      <c r="E637" s="306"/>
      <c r="F637" s="306"/>
      <c r="G637" s="286"/>
      <c r="H637" s="286"/>
      <c r="I637" s="286"/>
      <c r="J637" s="529"/>
      <c r="K637" s="286"/>
      <c r="L637" s="286"/>
      <c r="M637" s="529"/>
      <c r="N637" s="529"/>
      <c r="O637" s="529"/>
      <c r="P637" s="529"/>
      <c r="Q637" s="529"/>
      <c r="R637" s="286"/>
      <c r="S637" s="286"/>
      <c r="T637" s="286"/>
      <c r="U637" s="286"/>
      <c r="V637" s="286"/>
      <c r="W637" s="286"/>
    </row>
    <row r="638">
      <c r="A638" s="286"/>
      <c r="B638" s="286"/>
      <c r="C638" s="529"/>
      <c r="D638" s="306"/>
      <c r="E638" s="306"/>
      <c r="F638" s="306"/>
      <c r="G638" s="286"/>
      <c r="H638" s="286"/>
      <c r="I638" s="286"/>
      <c r="J638" s="529"/>
      <c r="K638" s="286"/>
      <c r="L638" s="286"/>
      <c r="M638" s="529"/>
      <c r="N638" s="529"/>
      <c r="O638" s="529"/>
      <c r="P638" s="529"/>
      <c r="Q638" s="529"/>
      <c r="R638" s="286"/>
      <c r="S638" s="286"/>
      <c r="T638" s="286"/>
      <c r="U638" s="286"/>
      <c r="V638" s="286"/>
      <c r="W638" s="286"/>
    </row>
    <row r="639">
      <c r="A639" s="286"/>
      <c r="B639" s="286"/>
      <c r="C639" s="529"/>
      <c r="D639" s="306"/>
      <c r="E639" s="306"/>
      <c r="F639" s="306"/>
      <c r="G639" s="286"/>
      <c r="H639" s="286"/>
      <c r="I639" s="286"/>
      <c r="J639" s="529"/>
      <c r="K639" s="286"/>
      <c r="L639" s="286"/>
      <c r="M639" s="529"/>
      <c r="N639" s="529"/>
      <c r="O639" s="529"/>
      <c r="P639" s="529"/>
      <c r="Q639" s="529"/>
      <c r="R639" s="286"/>
      <c r="S639" s="286"/>
      <c r="T639" s="286"/>
      <c r="U639" s="286"/>
      <c r="V639" s="286"/>
      <c r="W639" s="286"/>
    </row>
    <row r="640">
      <c r="A640" s="286"/>
      <c r="B640" s="286"/>
      <c r="C640" s="529"/>
      <c r="D640" s="306"/>
      <c r="E640" s="306"/>
      <c r="F640" s="306"/>
      <c r="G640" s="286"/>
      <c r="H640" s="286"/>
      <c r="I640" s="286"/>
      <c r="J640" s="529"/>
      <c r="K640" s="286"/>
      <c r="L640" s="286"/>
      <c r="M640" s="529"/>
      <c r="N640" s="529"/>
      <c r="O640" s="529"/>
      <c r="P640" s="529"/>
      <c r="Q640" s="529"/>
      <c r="R640" s="286"/>
      <c r="S640" s="286"/>
      <c r="T640" s="286"/>
      <c r="U640" s="286"/>
      <c r="V640" s="286"/>
      <c r="W640" s="286"/>
    </row>
    <row r="641">
      <c r="A641" s="286"/>
      <c r="B641" s="286"/>
      <c r="C641" s="529"/>
      <c r="D641" s="306"/>
      <c r="E641" s="306"/>
      <c r="F641" s="306"/>
      <c r="G641" s="286"/>
      <c r="H641" s="286"/>
      <c r="I641" s="286"/>
      <c r="J641" s="529"/>
      <c r="K641" s="286"/>
      <c r="L641" s="286"/>
      <c r="M641" s="529"/>
      <c r="N641" s="529"/>
      <c r="O641" s="529"/>
      <c r="P641" s="529"/>
      <c r="Q641" s="529"/>
      <c r="R641" s="286"/>
      <c r="S641" s="286"/>
      <c r="T641" s="286"/>
      <c r="U641" s="286"/>
      <c r="V641" s="286"/>
      <c r="W641" s="286"/>
    </row>
    <row r="642">
      <c r="A642" s="286"/>
      <c r="B642" s="286"/>
      <c r="C642" s="529"/>
      <c r="D642" s="306"/>
      <c r="E642" s="306"/>
      <c r="F642" s="306"/>
      <c r="G642" s="286"/>
      <c r="H642" s="286"/>
      <c r="I642" s="286"/>
      <c r="J642" s="529"/>
      <c r="K642" s="286"/>
      <c r="L642" s="286"/>
      <c r="M642" s="529"/>
      <c r="N642" s="529"/>
      <c r="O642" s="529"/>
      <c r="P642" s="529"/>
      <c r="Q642" s="529"/>
      <c r="R642" s="286"/>
      <c r="S642" s="286"/>
      <c r="T642" s="286"/>
      <c r="U642" s="286"/>
      <c r="V642" s="286"/>
      <c r="W642" s="286"/>
    </row>
    <row r="643">
      <c r="A643" s="286"/>
      <c r="B643" s="286"/>
      <c r="C643" s="529"/>
      <c r="D643" s="306"/>
      <c r="E643" s="306"/>
      <c r="F643" s="306"/>
      <c r="G643" s="286"/>
      <c r="H643" s="286"/>
      <c r="I643" s="286"/>
      <c r="J643" s="529"/>
      <c r="K643" s="286"/>
      <c r="L643" s="286"/>
      <c r="M643" s="529"/>
      <c r="N643" s="529"/>
      <c r="O643" s="529"/>
      <c r="P643" s="529"/>
      <c r="Q643" s="529"/>
      <c r="R643" s="286"/>
      <c r="S643" s="286"/>
      <c r="T643" s="286"/>
      <c r="U643" s="286"/>
      <c r="V643" s="286"/>
      <c r="W643" s="286"/>
    </row>
    <row r="644">
      <c r="A644" s="286"/>
      <c r="B644" s="286"/>
      <c r="C644" s="529"/>
      <c r="D644" s="306"/>
      <c r="E644" s="306"/>
      <c r="F644" s="306"/>
      <c r="G644" s="286"/>
      <c r="H644" s="286"/>
      <c r="I644" s="286"/>
      <c r="J644" s="529"/>
      <c r="K644" s="286"/>
      <c r="L644" s="286"/>
      <c r="M644" s="529"/>
      <c r="N644" s="529"/>
      <c r="O644" s="529"/>
      <c r="P644" s="529"/>
      <c r="Q644" s="529"/>
      <c r="R644" s="286"/>
      <c r="S644" s="286"/>
      <c r="T644" s="286"/>
      <c r="U644" s="286"/>
      <c r="V644" s="286"/>
      <c r="W644" s="286"/>
    </row>
    <row r="645">
      <c r="A645" s="286"/>
      <c r="B645" s="286"/>
      <c r="C645" s="529"/>
      <c r="D645" s="306"/>
      <c r="E645" s="306"/>
      <c r="F645" s="306"/>
      <c r="G645" s="286"/>
      <c r="H645" s="286"/>
      <c r="I645" s="286"/>
      <c r="J645" s="529"/>
      <c r="K645" s="286"/>
      <c r="L645" s="286"/>
      <c r="M645" s="529"/>
      <c r="N645" s="529"/>
      <c r="O645" s="529"/>
      <c r="P645" s="529"/>
      <c r="Q645" s="529"/>
      <c r="R645" s="286"/>
      <c r="S645" s="286"/>
      <c r="T645" s="286"/>
      <c r="U645" s="286"/>
      <c r="V645" s="286"/>
      <c r="W645" s="286"/>
    </row>
    <row r="646">
      <c r="A646" s="286"/>
      <c r="B646" s="286"/>
      <c r="C646" s="529"/>
      <c r="D646" s="306"/>
      <c r="E646" s="306"/>
      <c r="F646" s="306"/>
      <c r="G646" s="286"/>
      <c r="H646" s="286"/>
      <c r="I646" s="286"/>
      <c r="J646" s="529"/>
      <c r="K646" s="286"/>
      <c r="L646" s="286"/>
      <c r="M646" s="529"/>
      <c r="N646" s="529"/>
      <c r="O646" s="529"/>
      <c r="P646" s="529"/>
      <c r="Q646" s="529"/>
      <c r="R646" s="286"/>
      <c r="S646" s="286"/>
      <c r="T646" s="286"/>
      <c r="U646" s="286"/>
      <c r="V646" s="286"/>
      <c r="W646" s="286"/>
    </row>
    <row r="647">
      <c r="A647" s="286"/>
      <c r="B647" s="286"/>
      <c r="C647" s="529"/>
      <c r="D647" s="306"/>
      <c r="E647" s="306"/>
      <c r="F647" s="306"/>
      <c r="G647" s="286"/>
      <c r="H647" s="286"/>
      <c r="I647" s="286"/>
      <c r="J647" s="529"/>
      <c r="K647" s="286"/>
      <c r="L647" s="286"/>
      <c r="M647" s="529"/>
      <c r="N647" s="529"/>
      <c r="O647" s="529"/>
      <c r="P647" s="529"/>
      <c r="Q647" s="529"/>
      <c r="R647" s="286"/>
      <c r="S647" s="286"/>
      <c r="T647" s="286"/>
      <c r="U647" s="286"/>
      <c r="V647" s="286"/>
      <c r="W647" s="286"/>
    </row>
    <row r="648">
      <c r="A648" s="286"/>
      <c r="B648" s="286"/>
      <c r="C648" s="529"/>
      <c r="D648" s="306"/>
      <c r="E648" s="306"/>
      <c r="F648" s="306"/>
      <c r="G648" s="286"/>
      <c r="H648" s="286"/>
      <c r="I648" s="286"/>
      <c r="J648" s="529"/>
      <c r="K648" s="286"/>
      <c r="L648" s="286"/>
      <c r="M648" s="529"/>
      <c r="N648" s="529"/>
      <c r="O648" s="529"/>
      <c r="P648" s="529"/>
      <c r="Q648" s="529"/>
      <c r="R648" s="286"/>
      <c r="S648" s="286"/>
      <c r="T648" s="286"/>
      <c r="U648" s="286"/>
      <c r="V648" s="286"/>
      <c r="W648" s="286"/>
    </row>
    <row r="649">
      <c r="A649" s="286"/>
      <c r="B649" s="286"/>
      <c r="C649" s="529"/>
      <c r="D649" s="306"/>
      <c r="E649" s="306"/>
      <c r="F649" s="306"/>
      <c r="G649" s="286"/>
      <c r="H649" s="286"/>
      <c r="I649" s="286"/>
      <c r="J649" s="529"/>
      <c r="K649" s="286"/>
      <c r="L649" s="286"/>
      <c r="M649" s="529"/>
      <c r="N649" s="529"/>
      <c r="O649" s="529"/>
      <c r="P649" s="529"/>
      <c r="Q649" s="529"/>
      <c r="R649" s="286"/>
      <c r="S649" s="286"/>
      <c r="T649" s="286"/>
      <c r="U649" s="286"/>
      <c r="V649" s="286"/>
      <c r="W649" s="286"/>
    </row>
    <row r="650">
      <c r="A650" s="286"/>
      <c r="B650" s="286"/>
      <c r="C650" s="529"/>
      <c r="D650" s="306"/>
      <c r="E650" s="306"/>
      <c r="F650" s="306"/>
      <c r="G650" s="286"/>
      <c r="H650" s="286"/>
      <c r="I650" s="286"/>
      <c r="J650" s="529"/>
      <c r="K650" s="286"/>
      <c r="L650" s="286"/>
      <c r="M650" s="529"/>
      <c r="N650" s="529"/>
      <c r="O650" s="529"/>
      <c r="P650" s="529"/>
      <c r="Q650" s="529"/>
      <c r="R650" s="286"/>
      <c r="S650" s="286"/>
      <c r="T650" s="286"/>
      <c r="U650" s="286"/>
      <c r="V650" s="286"/>
      <c r="W650" s="286"/>
    </row>
    <row r="651">
      <c r="A651" s="286"/>
      <c r="B651" s="286"/>
      <c r="C651" s="529"/>
      <c r="D651" s="306"/>
      <c r="E651" s="306"/>
      <c r="F651" s="306"/>
      <c r="G651" s="286"/>
      <c r="H651" s="286"/>
      <c r="I651" s="286"/>
      <c r="J651" s="529"/>
      <c r="K651" s="286"/>
      <c r="L651" s="286"/>
      <c r="M651" s="529"/>
      <c r="N651" s="529"/>
      <c r="O651" s="529"/>
      <c r="P651" s="529"/>
      <c r="Q651" s="529"/>
      <c r="R651" s="286"/>
      <c r="S651" s="286"/>
      <c r="T651" s="286"/>
      <c r="U651" s="286"/>
      <c r="V651" s="286"/>
      <c r="W651" s="286"/>
    </row>
    <row r="652">
      <c r="A652" s="286"/>
      <c r="B652" s="286"/>
      <c r="C652" s="529"/>
      <c r="D652" s="306"/>
      <c r="E652" s="306"/>
      <c r="F652" s="306"/>
      <c r="G652" s="286"/>
      <c r="H652" s="286"/>
      <c r="I652" s="286"/>
      <c r="J652" s="529"/>
      <c r="K652" s="286"/>
      <c r="L652" s="286"/>
      <c r="M652" s="529"/>
      <c r="N652" s="529"/>
      <c r="O652" s="529"/>
      <c r="P652" s="529"/>
      <c r="Q652" s="529"/>
      <c r="R652" s="286"/>
      <c r="S652" s="286"/>
      <c r="T652" s="286"/>
      <c r="U652" s="286"/>
      <c r="V652" s="286"/>
      <c r="W652" s="286"/>
    </row>
    <row r="653">
      <c r="A653" s="286"/>
      <c r="B653" s="286"/>
      <c r="C653" s="529"/>
      <c r="D653" s="306"/>
      <c r="E653" s="306"/>
      <c r="F653" s="306"/>
      <c r="G653" s="286"/>
      <c r="H653" s="286"/>
      <c r="I653" s="286"/>
      <c r="J653" s="529"/>
      <c r="K653" s="286"/>
      <c r="L653" s="286"/>
      <c r="M653" s="529"/>
      <c r="N653" s="529"/>
      <c r="O653" s="529"/>
      <c r="P653" s="529"/>
      <c r="Q653" s="529"/>
      <c r="R653" s="286"/>
      <c r="S653" s="286"/>
      <c r="T653" s="286"/>
      <c r="U653" s="286"/>
      <c r="V653" s="286"/>
      <c r="W653" s="286"/>
    </row>
    <row r="654">
      <c r="A654" s="286"/>
      <c r="B654" s="286"/>
      <c r="C654" s="529"/>
      <c r="D654" s="306"/>
      <c r="E654" s="306"/>
      <c r="F654" s="306"/>
      <c r="G654" s="286"/>
      <c r="H654" s="286"/>
      <c r="I654" s="286"/>
      <c r="J654" s="529"/>
      <c r="K654" s="286"/>
      <c r="L654" s="286"/>
      <c r="M654" s="529"/>
      <c r="N654" s="529"/>
      <c r="O654" s="529"/>
      <c r="P654" s="529"/>
      <c r="Q654" s="529"/>
      <c r="R654" s="286"/>
      <c r="S654" s="286"/>
      <c r="T654" s="286"/>
      <c r="U654" s="286"/>
      <c r="V654" s="286"/>
      <c r="W654" s="286"/>
    </row>
    <row r="655">
      <c r="A655" s="286"/>
      <c r="B655" s="286"/>
      <c r="C655" s="529"/>
      <c r="D655" s="306"/>
      <c r="E655" s="306"/>
      <c r="F655" s="306"/>
      <c r="G655" s="286"/>
      <c r="H655" s="286"/>
      <c r="I655" s="286"/>
      <c r="J655" s="529"/>
      <c r="K655" s="286"/>
      <c r="L655" s="286"/>
      <c r="M655" s="529"/>
      <c r="N655" s="529"/>
      <c r="O655" s="529"/>
      <c r="P655" s="529"/>
      <c r="Q655" s="529"/>
      <c r="R655" s="286"/>
      <c r="S655" s="286"/>
      <c r="T655" s="286"/>
      <c r="U655" s="286"/>
      <c r="V655" s="286"/>
      <c r="W655" s="286"/>
    </row>
    <row r="656">
      <c r="A656" s="286"/>
      <c r="B656" s="286"/>
      <c r="C656" s="529"/>
      <c r="D656" s="306"/>
      <c r="E656" s="306"/>
      <c r="F656" s="306"/>
      <c r="G656" s="286"/>
      <c r="H656" s="286"/>
      <c r="I656" s="286"/>
      <c r="J656" s="529"/>
      <c r="K656" s="286"/>
      <c r="L656" s="286"/>
      <c r="M656" s="529"/>
      <c r="N656" s="529"/>
      <c r="O656" s="529"/>
      <c r="P656" s="529"/>
      <c r="Q656" s="529"/>
      <c r="R656" s="286"/>
      <c r="S656" s="286"/>
      <c r="T656" s="286"/>
      <c r="U656" s="286"/>
      <c r="V656" s="286"/>
      <c r="W656" s="286"/>
    </row>
    <row r="657">
      <c r="A657" s="286"/>
      <c r="B657" s="286"/>
      <c r="C657" s="529"/>
      <c r="D657" s="306"/>
      <c r="E657" s="306"/>
      <c r="F657" s="306"/>
      <c r="G657" s="286"/>
      <c r="H657" s="286"/>
      <c r="I657" s="286"/>
      <c r="J657" s="529"/>
      <c r="K657" s="286"/>
      <c r="L657" s="286"/>
      <c r="M657" s="529"/>
      <c r="N657" s="529"/>
      <c r="O657" s="529"/>
      <c r="P657" s="529"/>
      <c r="Q657" s="529"/>
      <c r="R657" s="286"/>
      <c r="S657" s="286"/>
      <c r="T657" s="286"/>
      <c r="U657" s="286"/>
      <c r="V657" s="286"/>
      <c r="W657" s="286"/>
    </row>
    <row r="658">
      <c r="A658" s="286"/>
      <c r="B658" s="286"/>
      <c r="C658" s="529"/>
      <c r="D658" s="306"/>
      <c r="E658" s="306"/>
      <c r="F658" s="306"/>
      <c r="G658" s="286"/>
      <c r="H658" s="286"/>
      <c r="I658" s="286"/>
      <c r="J658" s="529"/>
      <c r="K658" s="286"/>
      <c r="L658" s="286"/>
      <c r="M658" s="529"/>
      <c r="N658" s="529"/>
      <c r="O658" s="529"/>
      <c r="P658" s="529"/>
      <c r="Q658" s="529"/>
      <c r="R658" s="286"/>
      <c r="S658" s="286"/>
      <c r="T658" s="286"/>
      <c r="U658" s="286"/>
      <c r="V658" s="286"/>
      <c r="W658" s="286"/>
    </row>
    <row r="659">
      <c r="A659" s="286"/>
      <c r="B659" s="286"/>
      <c r="C659" s="529"/>
      <c r="D659" s="306"/>
      <c r="E659" s="306"/>
      <c r="F659" s="306"/>
      <c r="G659" s="286"/>
      <c r="H659" s="286"/>
      <c r="I659" s="286"/>
      <c r="J659" s="529"/>
      <c r="K659" s="286"/>
      <c r="L659" s="286"/>
      <c r="M659" s="529"/>
      <c r="N659" s="529"/>
      <c r="O659" s="529"/>
      <c r="P659" s="529"/>
      <c r="Q659" s="529"/>
      <c r="R659" s="286"/>
      <c r="S659" s="286"/>
      <c r="T659" s="286"/>
      <c r="U659" s="286"/>
      <c r="V659" s="286"/>
      <c r="W659" s="286"/>
    </row>
    <row r="660">
      <c r="A660" s="286"/>
      <c r="B660" s="286"/>
      <c r="C660" s="529"/>
      <c r="D660" s="306"/>
      <c r="E660" s="306"/>
      <c r="F660" s="306"/>
      <c r="G660" s="286"/>
      <c r="H660" s="286"/>
      <c r="I660" s="286"/>
      <c r="J660" s="529"/>
      <c r="K660" s="286"/>
      <c r="L660" s="286"/>
      <c r="M660" s="529"/>
      <c r="N660" s="529"/>
      <c r="O660" s="529"/>
      <c r="P660" s="529"/>
      <c r="Q660" s="529"/>
      <c r="R660" s="286"/>
      <c r="S660" s="286"/>
      <c r="T660" s="286"/>
      <c r="U660" s="286"/>
      <c r="V660" s="286"/>
      <c r="W660" s="286"/>
    </row>
    <row r="661">
      <c r="A661" s="286"/>
      <c r="B661" s="286"/>
      <c r="C661" s="529"/>
      <c r="D661" s="306"/>
      <c r="E661" s="306"/>
      <c r="F661" s="306"/>
      <c r="G661" s="286"/>
      <c r="H661" s="286"/>
      <c r="I661" s="286"/>
      <c r="J661" s="529"/>
      <c r="K661" s="286"/>
      <c r="L661" s="286"/>
      <c r="M661" s="529"/>
      <c r="N661" s="529"/>
      <c r="O661" s="529"/>
      <c r="P661" s="529"/>
      <c r="Q661" s="529"/>
      <c r="R661" s="286"/>
      <c r="S661" s="286"/>
      <c r="T661" s="286"/>
      <c r="U661" s="286"/>
      <c r="V661" s="286"/>
      <c r="W661" s="286"/>
    </row>
    <row r="662">
      <c r="A662" s="286"/>
      <c r="B662" s="286"/>
      <c r="C662" s="529"/>
      <c r="D662" s="306"/>
      <c r="E662" s="306"/>
      <c r="F662" s="306"/>
      <c r="G662" s="286"/>
      <c r="H662" s="286"/>
      <c r="I662" s="286"/>
      <c r="J662" s="529"/>
      <c r="K662" s="286"/>
      <c r="L662" s="286"/>
      <c r="M662" s="529"/>
      <c r="N662" s="529"/>
      <c r="O662" s="529"/>
      <c r="P662" s="529"/>
      <c r="Q662" s="529"/>
      <c r="R662" s="286"/>
      <c r="S662" s="286"/>
      <c r="T662" s="286"/>
      <c r="U662" s="286"/>
      <c r="V662" s="286"/>
      <c r="W662" s="286"/>
    </row>
    <row r="663">
      <c r="A663" s="286"/>
      <c r="B663" s="286"/>
      <c r="C663" s="529"/>
      <c r="D663" s="306"/>
      <c r="E663" s="306"/>
      <c r="F663" s="306"/>
      <c r="G663" s="286"/>
      <c r="H663" s="286"/>
      <c r="I663" s="286"/>
      <c r="J663" s="529"/>
      <c r="K663" s="286"/>
      <c r="L663" s="286"/>
      <c r="M663" s="529"/>
      <c r="N663" s="529"/>
      <c r="O663" s="529"/>
      <c r="P663" s="529"/>
      <c r="Q663" s="529"/>
      <c r="R663" s="286"/>
      <c r="S663" s="286"/>
      <c r="T663" s="286"/>
      <c r="U663" s="286"/>
      <c r="V663" s="286"/>
      <c r="W663" s="286"/>
    </row>
    <row r="664">
      <c r="A664" s="286"/>
      <c r="B664" s="286"/>
      <c r="C664" s="529"/>
      <c r="D664" s="306"/>
      <c r="E664" s="306"/>
      <c r="F664" s="306"/>
      <c r="G664" s="286"/>
      <c r="H664" s="286"/>
      <c r="I664" s="286"/>
      <c r="J664" s="529"/>
      <c r="K664" s="286"/>
      <c r="L664" s="286"/>
      <c r="M664" s="529"/>
      <c r="N664" s="529"/>
      <c r="O664" s="529"/>
      <c r="P664" s="529"/>
      <c r="Q664" s="529"/>
      <c r="R664" s="286"/>
      <c r="S664" s="286"/>
      <c r="T664" s="286"/>
      <c r="U664" s="286"/>
      <c r="V664" s="286"/>
      <c r="W664" s="286"/>
    </row>
    <row r="665">
      <c r="A665" s="286"/>
      <c r="B665" s="286"/>
      <c r="C665" s="529"/>
      <c r="D665" s="306"/>
      <c r="E665" s="306"/>
      <c r="F665" s="306"/>
      <c r="G665" s="286"/>
      <c r="H665" s="286"/>
      <c r="I665" s="286"/>
      <c r="J665" s="529"/>
      <c r="K665" s="286"/>
      <c r="L665" s="286"/>
      <c r="M665" s="529"/>
      <c r="N665" s="529"/>
      <c r="O665" s="529"/>
      <c r="P665" s="529"/>
      <c r="Q665" s="529"/>
      <c r="R665" s="286"/>
      <c r="S665" s="286"/>
      <c r="T665" s="286"/>
      <c r="U665" s="286"/>
      <c r="V665" s="286"/>
      <c r="W665" s="286"/>
    </row>
    <row r="666">
      <c r="A666" s="286"/>
      <c r="B666" s="286"/>
      <c r="C666" s="529"/>
      <c r="D666" s="306"/>
      <c r="E666" s="306"/>
      <c r="F666" s="306"/>
      <c r="G666" s="286"/>
      <c r="H666" s="286"/>
      <c r="I666" s="286"/>
      <c r="J666" s="529"/>
      <c r="K666" s="286"/>
      <c r="L666" s="286"/>
      <c r="M666" s="529"/>
      <c r="N666" s="529"/>
      <c r="O666" s="529"/>
      <c r="P666" s="529"/>
      <c r="Q666" s="529"/>
      <c r="R666" s="286"/>
      <c r="S666" s="286"/>
      <c r="T666" s="286"/>
      <c r="U666" s="286"/>
      <c r="V666" s="286"/>
      <c r="W666" s="286"/>
    </row>
    <row r="667">
      <c r="A667" s="286"/>
      <c r="B667" s="286"/>
      <c r="C667" s="529"/>
      <c r="D667" s="306"/>
      <c r="E667" s="306"/>
      <c r="F667" s="306"/>
      <c r="G667" s="286"/>
      <c r="H667" s="286"/>
      <c r="I667" s="286"/>
      <c r="J667" s="529"/>
      <c r="K667" s="286"/>
      <c r="L667" s="286"/>
      <c r="M667" s="529"/>
      <c r="N667" s="529"/>
      <c r="O667" s="529"/>
      <c r="P667" s="529"/>
      <c r="Q667" s="529"/>
      <c r="R667" s="286"/>
      <c r="S667" s="286"/>
      <c r="T667" s="286"/>
      <c r="U667" s="286"/>
      <c r="V667" s="286"/>
      <c r="W667" s="286"/>
    </row>
    <row r="668">
      <c r="A668" s="286"/>
      <c r="B668" s="286"/>
      <c r="C668" s="529"/>
      <c r="D668" s="306"/>
      <c r="E668" s="306"/>
      <c r="F668" s="306"/>
      <c r="G668" s="286"/>
      <c r="H668" s="286"/>
      <c r="I668" s="286"/>
      <c r="J668" s="529"/>
      <c r="K668" s="286"/>
      <c r="L668" s="286"/>
      <c r="M668" s="529"/>
      <c r="N668" s="529"/>
      <c r="O668" s="529"/>
      <c r="P668" s="529"/>
      <c r="Q668" s="529"/>
      <c r="R668" s="286"/>
      <c r="S668" s="286"/>
      <c r="T668" s="286"/>
      <c r="U668" s="286"/>
      <c r="V668" s="286"/>
      <c r="W668" s="286"/>
    </row>
    <row r="669">
      <c r="A669" s="286"/>
      <c r="B669" s="286"/>
      <c r="C669" s="529"/>
      <c r="D669" s="306"/>
      <c r="E669" s="306"/>
      <c r="F669" s="306"/>
      <c r="G669" s="286"/>
      <c r="H669" s="286"/>
      <c r="I669" s="286"/>
      <c r="J669" s="529"/>
      <c r="K669" s="286"/>
      <c r="L669" s="286"/>
      <c r="M669" s="529"/>
      <c r="N669" s="529"/>
      <c r="O669" s="529"/>
      <c r="P669" s="529"/>
      <c r="Q669" s="529"/>
      <c r="R669" s="286"/>
      <c r="S669" s="286"/>
      <c r="T669" s="286"/>
      <c r="U669" s="286"/>
      <c r="V669" s="286"/>
      <c r="W669" s="286"/>
    </row>
    <row r="670">
      <c r="A670" s="286"/>
      <c r="B670" s="286"/>
      <c r="C670" s="529"/>
      <c r="D670" s="306"/>
      <c r="E670" s="306"/>
      <c r="F670" s="306"/>
      <c r="G670" s="286"/>
      <c r="H670" s="286"/>
      <c r="I670" s="286"/>
      <c r="J670" s="529"/>
      <c r="K670" s="286"/>
      <c r="L670" s="286"/>
      <c r="M670" s="529"/>
      <c r="N670" s="529"/>
      <c r="O670" s="529"/>
      <c r="P670" s="529"/>
      <c r="Q670" s="529"/>
      <c r="R670" s="286"/>
      <c r="S670" s="286"/>
      <c r="T670" s="286"/>
      <c r="U670" s="286"/>
      <c r="V670" s="286"/>
      <c r="W670" s="286"/>
    </row>
    <row r="671">
      <c r="A671" s="286"/>
      <c r="B671" s="286"/>
      <c r="C671" s="529"/>
      <c r="D671" s="306"/>
      <c r="E671" s="306"/>
      <c r="F671" s="306"/>
      <c r="G671" s="286"/>
      <c r="H671" s="286"/>
      <c r="I671" s="286"/>
      <c r="J671" s="529"/>
      <c r="K671" s="286"/>
      <c r="L671" s="286"/>
      <c r="M671" s="529"/>
      <c r="N671" s="529"/>
      <c r="O671" s="529"/>
      <c r="P671" s="529"/>
      <c r="Q671" s="529"/>
      <c r="R671" s="286"/>
      <c r="S671" s="286"/>
      <c r="T671" s="286"/>
      <c r="U671" s="286"/>
      <c r="V671" s="286"/>
      <c r="W671" s="286"/>
    </row>
    <row r="672">
      <c r="A672" s="286"/>
      <c r="B672" s="286"/>
      <c r="C672" s="529"/>
      <c r="D672" s="306"/>
      <c r="E672" s="306"/>
      <c r="F672" s="306"/>
      <c r="G672" s="286"/>
      <c r="H672" s="286"/>
      <c r="I672" s="286"/>
      <c r="J672" s="529"/>
      <c r="K672" s="286"/>
      <c r="L672" s="286"/>
      <c r="M672" s="529"/>
      <c r="N672" s="529"/>
      <c r="O672" s="529"/>
      <c r="P672" s="529"/>
      <c r="Q672" s="529"/>
      <c r="R672" s="286"/>
      <c r="S672" s="286"/>
      <c r="T672" s="286"/>
      <c r="U672" s="286"/>
      <c r="V672" s="286"/>
      <c r="W672" s="286"/>
    </row>
    <row r="673">
      <c r="A673" s="286"/>
      <c r="B673" s="286"/>
      <c r="C673" s="529"/>
      <c r="D673" s="306"/>
      <c r="E673" s="306"/>
      <c r="F673" s="306"/>
      <c r="G673" s="286"/>
      <c r="H673" s="286"/>
      <c r="I673" s="286"/>
      <c r="J673" s="529"/>
      <c r="K673" s="286"/>
      <c r="L673" s="286"/>
      <c r="M673" s="529"/>
      <c r="N673" s="529"/>
      <c r="O673" s="529"/>
      <c r="P673" s="529"/>
      <c r="Q673" s="529"/>
      <c r="R673" s="286"/>
      <c r="S673" s="286"/>
      <c r="T673" s="286"/>
      <c r="U673" s="286"/>
      <c r="V673" s="286"/>
      <c r="W673" s="286"/>
    </row>
    <row r="674">
      <c r="A674" s="286"/>
      <c r="B674" s="286"/>
      <c r="C674" s="529"/>
      <c r="D674" s="306"/>
      <c r="E674" s="306"/>
      <c r="F674" s="306"/>
      <c r="G674" s="286"/>
      <c r="H674" s="286"/>
      <c r="I674" s="286"/>
      <c r="J674" s="529"/>
      <c r="K674" s="286"/>
      <c r="L674" s="286"/>
      <c r="M674" s="529"/>
      <c r="N674" s="529"/>
      <c r="O674" s="529"/>
      <c r="P674" s="529"/>
      <c r="Q674" s="529"/>
      <c r="R674" s="286"/>
      <c r="S674" s="286"/>
      <c r="T674" s="286"/>
      <c r="U674" s="286"/>
      <c r="V674" s="286"/>
      <c r="W674" s="286"/>
    </row>
    <row r="675">
      <c r="A675" s="286"/>
      <c r="B675" s="286"/>
      <c r="C675" s="529"/>
      <c r="D675" s="306"/>
      <c r="E675" s="306"/>
      <c r="F675" s="306"/>
      <c r="G675" s="286"/>
      <c r="H675" s="286"/>
      <c r="I675" s="286"/>
      <c r="J675" s="529"/>
      <c r="K675" s="286"/>
      <c r="L675" s="286"/>
      <c r="M675" s="529"/>
      <c r="N675" s="529"/>
      <c r="O675" s="529"/>
      <c r="P675" s="529"/>
      <c r="Q675" s="529"/>
      <c r="R675" s="286"/>
      <c r="S675" s="286"/>
      <c r="T675" s="286"/>
      <c r="U675" s="286"/>
      <c r="V675" s="286"/>
      <c r="W675" s="286"/>
    </row>
    <row r="676">
      <c r="A676" s="286"/>
      <c r="B676" s="286"/>
      <c r="C676" s="529"/>
      <c r="D676" s="306"/>
      <c r="E676" s="306"/>
      <c r="F676" s="306"/>
      <c r="G676" s="286"/>
      <c r="H676" s="286"/>
      <c r="I676" s="286"/>
      <c r="J676" s="529"/>
      <c r="K676" s="286"/>
      <c r="L676" s="286"/>
      <c r="M676" s="529"/>
      <c r="N676" s="529"/>
      <c r="O676" s="529"/>
      <c r="P676" s="529"/>
      <c r="Q676" s="529"/>
      <c r="R676" s="286"/>
      <c r="S676" s="286"/>
      <c r="T676" s="286"/>
      <c r="U676" s="286"/>
      <c r="V676" s="286"/>
      <c r="W676" s="286"/>
    </row>
    <row r="677">
      <c r="A677" s="286"/>
      <c r="B677" s="286"/>
      <c r="C677" s="529"/>
      <c r="D677" s="306"/>
      <c r="E677" s="306"/>
      <c r="F677" s="306"/>
      <c r="G677" s="286"/>
      <c r="H677" s="286"/>
      <c r="I677" s="286"/>
      <c r="J677" s="529"/>
      <c r="K677" s="286"/>
      <c r="L677" s="286"/>
      <c r="M677" s="529"/>
      <c r="N677" s="529"/>
      <c r="O677" s="529"/>
      <c r="P677" s="529"/>
      <c r="Q677" s="529"/>
      <c r="R677" s="286"/>
      <c r="S677" s="286"/>
      <c r="T677" s="286"/>
      <c r="U677" s="286"/>
      <c r="V677" s="286"/>
      <c r="W677" s="286"/>
    </row>
    <row r="678">
      <c r="A678" s="286"/>
      <c r="B678" s="286"/>
      <c r="C678" s="529"/>
      <c r="D678" s="306"/>
      <c r="E678" s="306"/>
      <c r="F678" s="306"/>
      <c r="G678" s="286"/>
      <c r="H678" s="286"/>
      <c r="I678" s="286"/>
      <c r="J678" s="529"/>
      <c r="K678" s="286"/>
      <c r="L678" s="286"/>
      <c r="M678" s="529"/>
      <c r="N678" s="529"/>
      <c r="O678" s="529"/>
      <c r="P678" s="529"/>
      <c r="Q678" s="529"/>
      <c r="R678" s="286"/>
      <c r="S678" s="286"/>
      <c r="T678" s="286"/>
      <c r="U678" s="286"/>
      <c r="V678" s="286"/>
      <c r="W678" s="286"/>
    </row>
    <row r="679">
      <c r="A679" s="286"/>
      <c r="B679" s="286"/>
      <c r="C679" s="529"/>
      <c r="D679" s="306"/>
      <c r="E679" s="306"/>
      <c r="F679" s="306"/>
      <c r="G679" s="286"/>
      <c r="H679" s="286"/>
      <c r="I679" s="286"/>
      <c r="J679" s="529"/>
      <c r="K679" s="286"/>
      <c r="L679" s="286"/>
      <c r="M679" s="529"/>
      <c r="N679" s="529"/>
      <c r="O679" s="529"/>
      <c r="P679" s="529"/>
      <c r="Q679" s="529"/>
      <c r="R679" s="286"/>
      <c r="S679" s="286"/>
      <c r="T679" s="286"/>
      <c r="U679" s="286"/>
      <c r="V679" s="286"/>
      <c r="W679" s="286"/>
    </row>
    <row r="680">
      <c r="A680" s="286"/>
      <c r="B680" s="286"/>
      <c r="C680" s="529"/>
      <c r="D680" s="306"/>
      <c r="E680" s="306"/>
      <c r="F680" s="306"/>
      <c r="G680" s="286"/>
      <c r="H680" s="286"/>
      <c r="I680" s="286"/>
      <c r="J680" s="529"/>
      <c r="K680" s="286"/>
      <c r="L680" s="286"/>
      <c r="M680" s="529"/>
      <c r="N680" s="529"/>
      <c r="O680" s="529"/>
      <c r="P680" s="529"/>
      <c r="Q680" s="529"/>
      <c r="R680" s="286"/>
      <c r="S680" s="286"/>
      <c r="T680" s="286"/>
      <c r="U680" s="286"/>
      <c r="V680" s="286"/>
      <c r="W680" s="286"/>
    </row>
    <row r="681">
      <c r="A681" s="286"/>
      <c r="B681" s="286"/>
      <c r="C681" s="529"/>
      <c r="D681" s="306"/>
      <c r="E681" s="306"/>
      <c r="F681" s="306"/>
      <c r="G681" s="286"/>
      <c r="H681" s="286"/>
      <c r="I681" s="286"/>
      <c r="J681" s="529"/>
      <c r="K681" s="286"/>
      <c r="L681" s="286"/>
      <c r="M681" s="529"/>
      <c r="N681" s="529"/>
      <c r="O681" s="529"/>
      <c r="P681" s="529"/>
      <c r="Q681" s="529"/>
      <c r="R681" s="286"/>
      <c r="S681" s="286"/>
      <c r="T681" s="286"/>
      <c r="U681" s="286"/>
      <c r="V681" s="286"/>
      <c r="W681" s="286"/>
    </row>
    <row r="682">
      <c r="A682" s="286"/>
      <c r="B682" s="286"/>
      <c r="C682" s="529"/>
      <c r="D682" s="306"/>
      <c r="E682" s="306"/>
      <c r="F682" s="306"/>
      <c r="G682" s="286"/>
      <c r="H682" s="286"/>
      <c r="I682" s="286"/>
      <c r="J682" s="529"/>
      <c r="K682" s="286"/>
      <c r="L682" s="286"/>
      <c r="M682" s="529"/>
      <c r="N682" s="529"/>
      <c r="O682" s="529"/>
      <c r="P682" s="529"/>
      <c r="Q682" s="529"/>
      <c r="R682" s="286"/>
      <c r="S682" s="286"/>
      <c r="T682" s="286"/>
      <c r="U682" s="286"/>
      <c r="V682" s="286"/>
      <c r="W682" s="286"/>
    </row>
    <row r="683">
      <c r="A683" s="286"/>
      <c r="B683" s="286"/>
      <c r="C683" s="529"/>
      <c r="D683" s="306"/>
      <c r="E683" s="306"/>
      <c r="F683" s="306"/>
      <c r="G683" s="286"/>
      <c r="H683" s="286"/>
      <c r="I683" s="286"/>
      <c r="J683" s="529"/>
      <c r="K683" s="286"/>
      <c r="L683" s="286"/>
      <c r="M683" s="529"/>
      <c r="N683" s="529"/>
      <c r="O683" s="529"/>
      <c r="P683" s="529"/>
      <c r="Q683" s="529"/>
      <c r="R683" s="286"/>
      <c r="S683" s="286"/>
      <c r="T683" s="286"/>
      <c r="U683" s="286"/>
      <c r="V683" s="286"/>
      <c r="W683" s="286"/>
    </row>
    <row r="684">
      <c r="A684" s="286"/>
      <c r="B684" s="286"/>
      <c r="C684" s="529"/>
      <c r="D684" s="306"/>
      <c r="E684" s="306"/>
      <c r="F684" s="306"/>
      <c r="G684" s="286"/>
      <c r="H684" s="286"/>
      <c r="I684" s="286"/>
      <c r="J684" s="529"/>
      <c r="K684" s="286"/>
      <c r="L684" s="286"/>
      <c r="M684" s="529"/>
      <c r="N684" s="529"/>
      <c r="O684" s="529"/>
      <c r="P684" s="529"/>
      <c r="Q684" s="529"/>
      <c r="R684" s="286"/>
      <c r="S684" s="286"/>
      <c r="T684" s="286"/>
      <c r="U684" s="286"/>
      <c r="V684" s="286"/>
      <c r="W684" s="286"/>
    </row>
    <row r="685">
      <c r="A685" s="286"/>
      <c r="B685" s="286"/>
      <c r="C685" s="529"/>
      <c r="D685" s="306"/>
      <c r="E685" s="306"/>
      <c r="F685" s="306"/>
      <c r="G685" s="286"/>
      <c r="H685" s="286"/>
      <c r="I685" s="286"/>
      <c r="J685" s="529"/>
      <c r="K685" s="286"/>
      <c r="L685" s="286"/>
      <c r="M685" s="529"/>
      <c r="N685" s="529"/>
      <c r="O685" s="529"/>
      <c r="P685" s="529"/>
      <c r="Q685" s="529"/>
      <c r="R685" s="286"/>
      <c r="S685" s="286"/>
      <c r="T685" s="286"/>
      <c r="U685" s="286"/>
      <c r="V685" s="286"/>
      <c r="W685" s="286"/>
    </row>
    <row r="686">
      <c r="A686" s="286"/>
      <c r="B686" s="286"/>
      <c r="C686" s="529"/>
      <c r="D686" s="306"/>
      <c r="E686" s="306"/>
      <c r="F686" s="306"/>
      <c r="G686" s="286"/>
      <c r="H686" s="286"/>
      <c r="I686" s="286"/>
      <c r="J686" s="529"/>
      <c r="K686" s="286"/>
      <c r="L686" s="286"/>
      <c r="M686" s="529"/>
      <c r="N686" s="529"/>
      <c r="O686" s="529"/>
      <c r="P686" s="529"/>
      <c r="Q686" s="529"/>
      <c r="R686" s="286"/>
      <c r="S686" s="286"/>
      <c r="T686" s="286"/>
      <c r="U686" s="286"/>
      <c r="V686" s="286"/>
      <c r="W686" s="286"/>
    </row>
    <row r="687">
      <c r="A687" s="286"/>
      <c r="B687" s="286"/>
      <c r="C687" s="529"/>
      <c r="D687" s="306"/>
      <c r="E687" s="306"/>
      <c r="F687" s="306"/>
      <c r="G687" s="286"/>
      <c r="H687" s="286"/>
      <c r="I687" s="286"/>
      <c r="J687" s="529"/>
      <c r="K687" s="286"/>
      <c r="L687" s="286"/>
      <c r="M687" s="529"/>
      <c r="N687" s="529"/>
      <c r="O687" s="529"/>
      <c r="P687" s="529"/>
      <c r="Q687" s="529"/>
      <c r="R687" s="286"/>
      <c r="S687" s="286"/>
      <c r="T687" s="286"/>
      <c r="U687" s="286"/>
      <c r="V687" s="286"/>
      <c r="W687" s="286"/>
    </row>
    <row r="688">
      <c r="A688" s="286"/>
      <c r="B688" s="286"/>
      <c r="C688" s="529"/>
      <c r="D688" s="306"/>
      <c r="E688" s="306"/>
      <c r="F688" s="306"/>
      <c r="G688" s="286"/>
      <c r="H688" s="286"/>
      <c r="I688" s="286"/>
      <c r="J688" s="529"/>
      <c r="K688" s="286"/>
      <c r="L688" s="286"/>
      <c r="M688" s="529"/>
      <c r="N688" s="529"/>
      <c r="O688" s="529"/>
      <c r="P688" s="529"/>
      <c r="Q688" s="529"/>
      <c r="R688" s="286"/>
      <c r="S688" s="286"/>
      <c r="T688" s="286"/>
      <c r="U688" s="286"/>
      <c r="V688" s="286"/>
      <c r="W688" s="286"/>
    </row>
    <row r="689">
      <c r="A689" s="286"/>
      <c r="B689" s="286"/>
      <c r="C689" s="529"/>
      <c r="D689" s="306"/>
      <c r="E689" s="306"/>
      <c r="F689" s="306"/>
      <c r="G689" s="286"/>
      <c r="H689" s="286"/>
      <c r="I689" s="286"/>
      <c r="J689" s="529"/>
      <c r="K689" s="286"/>
      <c r="L689" s="286"/>
      <c r="M689" s="529"/>
      <c r="N689" s="529"/>
      <c r="O689" s="529"/>
      <c r="P689" s="529"/>
      <c r="Q689" s="529"/>
      <c r="R689" s="286"/>
      <c r="S689" s="286"/>
      <c r="T689" s="286"/>
      <c r="U689" s="286"/>
      <c r="V689" s="286"/>
      <c r="W689" s="286"/>
    </row>
    <row r="690">
      <c r="A690" s="286"/>
      <c r="B690" s="286"/>
      <c r="C690" s="529"/>
      <c r="D690" s="306"/>
      <c r="E690" s="306"/>
      <c r="F690" s="306"/>
      <c r="G690" s="286"/>
      <c r="H690" s="286"/>
      <c r="I690" s="286"/>
      <c r="J690" s="529"/>
      <c r="K690" s="286"/>
      <c r="L690" s="286"/>
      <c r="M690" s="529"/>
      <c r="N690" s="529"/>
      <c r="O690" s="529"/>
      <c r="P690" s="529"/>
      <c r="Q690" s="529"/>
      <c r="R690" s="286"/>
      <c r="S690" s="286"/>
      <c r="T690" s="286"/>
      <c r="U690" s="286"/>
      <c r="V690" s="286"/>
      <c r="W690" s="286"/>
    </row>
    <row r="691">
      <c r="A691" s="286"/>
      <c r="B691" s="286"/>
      <c r="C691" s="529"/>
      <c r="D691" s="306"/>
      <c r="E691" s="306"/>
      <c r="F691" s="306"/>
      <c r="G691" s="286"/>
      <c r="H691" s="286"/>
      <c r="I691" s="286"/>
      <c r="J691" s="529"/>
      <c r="K691" s="286"/>
      <c r="L691" s="286"/>
      <c r="M691" s="529"/>
      <c r="N691" s="529"/>
      <c r="O691" s="529"/>
      <c r="P691" s="529"/>
      <c r="Q691" s="529"/>
      <c r="R691" s="286"/>
      <c r="S691" s="286"/>
      <c r="T691" s="286"/>
      <c r="U691" s="286"/>
      <c r="V691" s="286"/>
      <c r="W691" s="286"/>
    </row>
    <row r="692">
      <c r="A692" s="286"/>
      <c r="B692" s="286"/>
      <c r="C692" s="529"/>
      <c r="D692" s="306"/>
      <c r="E692" s="306"/>
      <c r="F692" s="306"/>
      <c r="G692" s="286"/>
      <c r="H692" s="286"/>
      <c r="I692" s="286"/>
      <c r="J692" s="529"/>
      <c r="K692" s="286"/>
      <c r="L692" s="286"/>
      <c r="M692" s="529"/>
      <c r="N692" s="529"/>
      <c r="O692" s="529"/>
      <c r="P692" s="529"/>
      <c r="Q692" s="529"/>
      <c r="R692" s="286"/>
      <c r="S692" s="286"/>
      <c r="T692" s="286"/>
      <c r="U692" s="286"/>
      <c r="V692" s="286"/>
      <c r="W692" s="286"/>
    </row>
    <row r="693">
      <c r="A693" s="286"/>
      <c r="B693" s="286"/>
      <c r="C693" s="529"/>
      <c r="D693" s="306"/>
      <c r="E693" s="306"/>
      <c r="F693" s="306"/>
      <c r="G693" s="286"/>
      <c r="H693" s="286"/>
      <c r="I693" s="286"/>
      <c r="J693" s="529"/>
      <c r="K693" s="286"/>
      <c r="L693" s="286"/>
      <c r="M693" s="529"/>
      <c r="N693" s="529"/>
      <c r="O693" s="529"/>
      <c r="P693" s="529"/>
      <c r="Q693" s="529"/>
      <c r="R693" s="286"/>
      <c r="S693" s="286"/>
      <c r="T693" s="286"/>
      <c r="U693" s="286"/>
      <c r="V693" s="286"/>
      <c r="W693" s="286"/>
    </row>
    <row r="694">
      <c r="A694" s="286"/>
      <c r="B694" s="286"/>
      <c r="C694" s="529"/>
      <c r="D694" s="306"/>
      <c r="E694" s="306"/>
      <c r="F694" s="306"/>
      <c r="G694" s="286"/>
      <c r="H694" s="286"/>
      <c r="I694" s="286"/>
      <c r="J694" s="529"/>
      <c r="K694" s="286"/>
      <c r="L694" s="286"/>
      <c r="M694" s="529"/>
      <c r="N694" s="529"/>
      <c r="O694" s="529"/>
      <c r="P694" s="529"/>
      <c r="Q694" s="529"/>
      <c r="R694" s="286"/>
      <c r="S694" s="286"/>
      <c r="T694" s="286"/>
      <c r="U694" s="286"/>
      <c r="V694" s="286"/>
      <c r="W694" s="286"/>
    </row>
    <row r="695">
      <c r="A695" s="286"/>
      <c r="B695" s="286"/>
      <c r="C695" s="529"/>
      <c r="D695" s="306"/>
      <c r="E695" s="306"/>
      <c r="F695" s="306"/>
      <c r="G695" s="286"/>
      <c r="H695" s="286"/>
      <c r="I695" s="286"/>
      <c r="J695" s="529"/>
      <c r="K695" s="286"/>
      <c r="L695" s="286"/>
      <c r="M695" s="529"/>
      <c r="N695" s="529"/>
      <c r="O695" s="529"/>
      <c r="P695" s="529"/>
      <c r="Q695" s="529"/>
      <c r="R695" s="286"/>
      <c r="S695" s="286"/>
      <c r="T695" s="286"/>
      <c r="U695" s="286"/>
      <c r="V695" s="286"/>
      <c r="W695" s="286"/>
    </row>
    <row r="696">
      <c r="A696" s="286"/>
      <c r="B696" s="286"/>
      <c r="C696" s="529"/>
      <c r="D696" s="306"/>
      <c r="E696" s="306"/>
      <c r="F696" s="306"/>
      <c r="G696" s="286"/>
      <c r="H696" s="286"/>
      <c r="I696" s="286"/>
      <c r="J696" s="529"/>
      <c r="K696" s="286"/>
      <c r="L696" s="286"/>
      <c r="M696" s="529"/>
      <c r="N696" s="529"/>
      <c r="O696" s="529"/>
      <c r="P696" s="529"/>
      <c r="Q696" s="529"/>
      <c r="R696" s="286"/>
      <c r="S696" s="286"/>
      <c r="T696" s="286"/>
      <c r="U696" s="286"/>
      <c r="V696" s="286"/>
      <c r="W696" s="286"/>
    </row>
    <row r="697">
      <c r="A697" s="286"/>
      <c r="B697" s="286"/>
      <c r="C697" s="529"/>
      <c r="D697" s="306"/>
      <c r="E697" s="306"/>
      <c r="F697" s="306"/>
      <c r="G697" s="286"/>
      <c r="H697" s="286"/>
      <c r="I697" s="286"/>
      <c r="J697" s="529"/>
      <c r="K697" s="286"/>
      <c r="L697" s="286"/>
      <c r="M697" s="529"/>
      <c r="N697" s="529"/>
      <c r="O697" s="529"/>
      <c r="P697" s="529"/>
      <c r="Q697" s="529"/>
      <c r="R697" s="286"/>
      <c r="S697" s="286"/>
      <c r="T697" s="286"/>
      <c r="U697" s="286"/>
      <c r="V697" s="286"/>
      <c r="W697" s="286"/>
    </row>
    <row r="698">
      <c r="A698" s="286"/>
      <c r="B698" s="286"/>
      <c r="C698" s="529"/>
      <c r="D698" s="306"/>
      <c r="E698" s="306"/>
      <c r="F698" s="306"/>
      <c r="G698" s="286"/>
      <c r="H698" s="286"/>
      <c r="I698" s="286"/>
      <c r="J698" s="529"/>
      <c r="K698" s="286"/>
      <c r="L698" s="286"/>
      <c r="M698" s="529"/>
      <c r="N698" s="529"/>
      <c r="O698" s="529"/>
      <c r="P698" s="529"/>
      <c r="Q698" s="529"/>
      <c r="R698" s="286"/>
      <c r="S698" s="286"/>
      <c r="T698" s="286"/>
      <c r="U698" s="286"/>
      <c r="V698" s="286"/>
      <c r="W698" s="286"/>
    </row>
    <row r="699">
      <c r="A699" s="286"/>
      <c r="B699" s="286"/>
      <c r="C699" s="529"/>
      <c r="D699" s="306"/>
      <c r="E699" s="306"/>
      <c r="F699" s="306"/>
      <c r="G699" s="286"/>
      <c r="H699" s="286"/>
      <c r="I699" s="286"/>
      <c r="J699" s="529"/>
      <c r="K699" s="286"/>
      <c r="L699" s="286"/>
      <c r="M699" s="529"/>
      <c r="N699" s="529"/>
      <c r="O699" s="529"/>
      <c r="P699" s="529"/>
      <c r="Q699" s="529"/>
      <c r="R699" s="286"/>
      <c r="S699" s="286"/>
      <c r="T699" s="286"/>
      <c r="U699" s="286"/>
      <c r="V699" s="286"/>
      <c r="W699" s="286"/>
    </row>
    <row r="700">
      <c r="A700" s="286"/>
      <c r="B700" s="286"/>
      <c r="C700" s="529"/>
      <c r="D700" s="306"/>
      <c r="E700" s="306"/>
      <c r="F700" s="306"/>
      <c r="G700" s="286"/>
      <c r="H700" s="286"/>
      <c r="I700" s="286"/>
      <c r="J700" s="529"/>
      <c r="K700" s="286"/>
      <c r="L700" s="286"/>
      <c r="M700" s="529"/>
      <c r="N700" s="529"/>
      <c r="O700" s="529"/>
      <c r="P700" s="529"/>
      <c r="Q700" s="529"/>
      <c r="R700" s="286"/>
      <c r="S700" s="286"/>
      <c r="T700" s="286"/>
      <c r="U700" s="286"/>
      <c r="V700" s="286"/>
      <c r="W700" s="286"/>
    </row>
    <row r="701">
      <c r="A701" s="286"/>
      <c r="B701" s="286"/>
      <c r="C701" s="529"/>
      <c r="D701" s="306"/>
      <c r="E701" s="306"/>
      <c r="F701" s="306"/>
      <c r="G701" s="286"/>
      <c r="H701" s="286"/>
      <c r="I701" s="286"/>
      <c r="J701" s="529"/>
      <c r="K701" s="286"/>
      <c r="L701" s="286"/>
      <c r="M701" s="529"/>
      <c r="N701" s="529"/>
      <c r="O701" s="529"/>
      <c r="P701" s="529"/>
      <c r="Q701" s="529"/>
      <c r="R701" s="286"/>
      <c r="S701" s="286"/>
      <c r="T701" s="286"/>
      <c r="U701" s="286"/>
      <c r="V701" s="286"/>
      <c r="W701" s="286"/>
    </row>
    <row r="702">
      <c r="A702" s="286"/>
      <c r="B702" s="286"/>
      <c r="C702" s="529"/>
      <c r="D702" s="306"/>
      <c r="E702" s="306"/>
      <c r="F702" s="306"/>
      <c r="G702" s="286"/>
      <c r="H702" s="286"/>
      <c r="I702" s="286"/>
      <c r="J702" s="529"/>
      <c r="K702" s="286"/>
      <c r="L702" s="286"/>
      <c r="M702" s="529"/>
      <c r="N702" s="529"/>
      <c r="O702" s="529"/>
      <c r="P702" s="529"/>
      <c r="Q702" s="529"/>
      <c r="R702" s="286"/>
      <c r="S702" s="286"/>
      <c r="T702" s="286"/>
      <c r="U702" s="286"/>
      <c r="V702" s="286"/>
      <c r="W702" s="286"/>
    </row>
    <row r="703">
      <c r="A703" s="286"/>
      <c r="B703" s="286"/>
      <c r="C703" s="529"/>
      <c r="D703" s="306"/>
      <c r="E703" s="306"/>
      <c r="F703" s="306"/>
      <c r="G703" s="286"/>
      <c r="H703" s="286"/>
      <c r="I703" s="286"/>
      <c r="J703" s="529"/>
      <c r="K703" s="286"/>
      <c r="L703" s="286"/>
      <c r="M703" s="529"/>
      <c r="N703" s="529"/>
      <c r="O703" s="529"/>
      <c r="P703" s="529"/>
      <c r="Q703" s="529"/>
      <c r="R703" s="286"/>
      <c r="S703" s="286"/>
      <c r="T703" s="286"/>
      <c r="U703" s="286"/>
      <c r="V703" s="286"/>
      <c r="W703" s="286"/>
    </row>
    <row r="704">
      <c r="A704" s="286"/>
      <c r="B704" s="286"/>
      <c r="C704" s="529"/>
      <c r="D704" s="306"/>
      <c r="E704" s="306"/>
      <c r="F704" s="306"/>
      <c r="G704" s="286"/>
      <c r="H704" s="286"/>
      <c r="I704" s="286"/>
      <c r="J704" s="529"/>
      <c r="K704" s="286"/>
      <c r="L704" s="286"/>
      <c r="M704" s="529"/>
      <c r="N704" s="529"/>
      <c r="O704" s="529"/>
      <c r="P704" s="529"/>
      <c r="Q704" s="529"/>
      <c r="R704" s="286"/>
      <c r="S704" s="286"/>
      <c r="T704" s="286"/>
      <c r="U704" s="286"/>
      <c r="V704" s="286"/>
      <c r="W704" s="286"/>
    </row>
    <row r="705">
      <c r="A705" s="286"/>
      <c r="B705" s="286"/>
      <c r="C705" s="529"/>
      <c r="D705" s="306"/>
      <c r="E705" s="306"/>
      <c r="F705" s="306"/>
      <c r="G705" s="286"/>
      <c r="H705" s="286"/>
      <c r="I705" s="286"/>
      <c r="J705" s="529"/>
      <c r="K705" s="286"/>
      <c r="L705" s="286"/>
      <c r="M705" s="529"/>
      <c r="N705" s="529"/>
      <c r="O705" s="529"/>
      <c r="P705" s="529"/>
      <c r="Q705" s="529"/>
      <c r="R705" s="286"/>
      <c r="S705" s="286"/>
      <c r="T705" s="286"/>
      <c r="U705" s="286"/>
      <c r="V705" s="286"/>
      <c r="W705" s="286"/>
    </row>
    <row r="706">
      <c r="A706" s="286"/>
      <c r="B706" s="286"/>
      <c r="C706" s="529"/>
      <c r="D706" s="306"/>
      <c r="E706" s="306"/>
      <c r="F706" s="306"/>
      <c r="G706" s="286"/>
      <c r="H706" s="286"/>
      <c r="I706" s="286"/>
      <c r="J706" s="529"/>
      <c r="K706" s="286"/>
      <c r="L706" s="286"/>
      <c r="M706" s="529"/>
      <c r="N706" s="529"/>
      <c r="O706" s="529"/>
      <c r="P706" s="529"/>
      <c r="Q706" s="529"/>
      <c r="R706" s="286"/>
      <c r="S706" s="286"/>
      <c r="T706" s="286"/>
      <c r="U706" s="286"/>
      <c r="V706" s="286"/>
      <c r="W706" s="286"/>
    </row>
    <row r="707">
      <c r="A707" s="286"/>
      <c r="B707" s="286"/>
      <c r="C707" s="529"/>
      <c r="D707" s="306"/>
      <c r="E707" s="306"/>
      <c r="F707" s="306"/>
      <c r="G707" s="286"/>
      <c r="H707" s="286"/>
      <c r="I707" s="286"/>
      <c r="J707" s="529"/>
      <c r="K707" s="286"/>
      <c r="L707" s="286"/>
      <c r="M707" s="529"/>
      <c r="N707" s="529"/>
      <c r="O707" s="529"/>
      <c r="P707" s="529"/>
      <c r="Q707" s="529"/>
      <c r="R707" s="286"/>
      <c r="S707" s="286"/>
      <c r="T707" s="286"/>
      <c r="U707" s="286"/>
      <c r="V707" s="286"/>
      <c r="W707" s="286"/>
    </row>
    <row r="708">
      <c r="A708" s="286"/>
      <c r="B708" s="286"/>
      <c r="C708" s="529"/>
      <c r="D708" s="306"/>
      <c r="E708" s="306"/>
      <c r="F708" s="306"/>
      <c r="G708" s="286"/>
      <c r="H708" s="286"/>
      <c r="I708" s="286"/>
      <c r="J708" s="529"/>
      <c r="K708" s="286"/>
      <c r="L708" s="286"/>
      <c r="M708" s="529"/>
      <c r="N708" s="529"/>
      <c r="O708" s="529"/>
      <c r="P708" s="529"/>
      <c r="Q708" s="529"/>
      <c r="R708" s="286"/>
      <c r="S708" s="286"/>
      <c r="T708" s="286"/>
      <c r="U708" s="286"/>
      <c r="V708" s="286"/>
      <c r="W708" s="286"/>
    </row>
    <row r="709">
      <c r="A709" s="286"/>
      <c r="B709" s="286"/>
      <c r="C709" s="529"/>
      <c r="D709" s="306"/>
      <c r="E709" s="306"/>
      <c r="F709" s="306"/>
      <c r="G709" s="286"/>
      <c r="H709" s="286"/>
      <c r="I709" s="286"/>
      <c r="J709" s="529"/>
      <c r="K709" s="286"/>
      <c r="L709" s="286"/>
      <c r="M709" s="529"/>
      <c r="N709" s="529"/>
      <c r="O709" s="529"/>
      <c r="P709" s="529"/>
      <c r="Q709" s="529"/>
      <c r="R709" s="286"/>
      <c r="S709" s="286"/>
      <c r="T709" s="286"/>
      <c r="U709" s="286"/>
      <c r="V709" s="286"/>
      <c r="W709" s="286"/>
    </row>
    <row r="710">
      <c r="A710" s="286"/>
      <c r="B710" s="286"/>
      <c r="C710" s="529"/>
      <c r="D710" s="306"/>
      <c r="E710" s="306"/>
      <c r="F710" s="306"/>
      <c r="G710" s="286"/>
      <c r="H710" s="286"/>
      <c r="I710" s="286"/>
      <c r="J710" s="529"/>
      <c r="K710" s="286"/>
      <c r="L710" s="286"/>
      <c r="M710" s="529"/>
      <c r="N710" s="529"/>
      <c r="O710" s="529"/>
      <c r="P710" s="529"/>
      <c r="Q710" s="529"/>
      <c r="R710" s="286"/>
      <c r="S710" s="286"/>
      <c r="T710" s="286"/>
      <c r="U710" s="286"/>
      <c r="V710" s="286"/>
      <c r="W710" s="286"/>
    </row>
    <row r="711">
      <c r="A711" s="286"/>
      <c r="B711" s="286"/>
      <c r="C711" s="529"/>
      <c r="D711" s="306"/>
      <c r="E711" s="306"/>
      <c r="F711" s="306"/>
      <c r="G711" s="286"/>
      <c r="H711" s="286"/>
      <c r="I711" s="286"/>
      <c r="J711" s="529"/>
      <c r="K711" s="286"/>
      <c r="L711" s="286"/>
      <c r="M711" s="529"/>
      <c r="N711" s="529"/>
      <c r="O711" s="529"/>
      <c r="P711" s="529"/>
      <c r="Q711" s="529"/>
      <c r="R711" s="286"/>
      <c r="S711" s="286"/>
      <c r="T711" s="286"/>
      <c r="U711" s="286"/>
      <c r="V711" s="286"/>
      <c r="W711" s="286"/>
    </row>
    <row r="712">
      <c r="A712" s="286"/>
      <c r="B712" s="286"/>
      <c r="C712" s="529"/>
      <c r="D712" s="306"/>
      <c r="E712" s="306"/>
      <c r="F712" s="306"/>
      <c r="G712" s="286"/>
      <c r="H712" s="286"/>
      <c r="I712" s="286"/>
      <c r="J712" s="529"/>
      <c r="K712" s="286"/>
      <c r="L712" s="286"/>
      <c r="M712" s="529"/>
      <c r="N712" s="529"/>
      <c r="O712" s="529"/>
      <c r="P712" s="529"/>
      <c r="Q712" s="529"/>
      <c r="R712" s="286"/>
      <c r="S712" s="286"/>
      <c r="T712" s="286"/>
      <c r="U712" s="286"/>
      <c r="V712" s="286"/>
      <c r="W712" s="286"/>
    </row>
    <row r="713">
      <c r="A713" s="286"/>
      <c r="B713" s="286"/>
      <c r="C713" s="529"/>
      <c r="D713" s="306"/>
      <c r="E713" s="306"/>
      <c r="F713" s="306"/>
      <c r="G713" s="286"/>
      <c r="H713" s="286"/>
      <c r="I713" s="286"/>
      <c r="J713" s="529"/>
      <c r="K713" s="286"/>
      <c r="L713" s="286"/>
      <c r="M713" s="529"/>
      <c r="N713" s="529"/>
      <c r="O713" s="529"/>
      <c r="P713" s="529"/>
      <c r="Q713" s="529"/>
      <c r="R713" s="286"/>
      <c r="S713" s="286"/>
      <c r="T713" s="286"/>
      <c r="U713" s="286"/>
      <c r="V713" s="286"/>
      <c r="W713" s="286"/>
    </row>
    <row r="714">
      <c r="A714" s="286"/>
      <c r="B714" s="286"/>
      <c r="C714" s="529"/>
      <c r="D714" s="306"/>
      <c r="E714" s="306"/>
      <c r="F714" s="306"/>
      <c r="G714" s="286"/>
      <c r="H714" s="286"/>
      <c r="I714" s="286"/>
      <c r="J714" s="529"/>
      <c r="K714" s="286"/>
      <c r="L714" s="286"/>
      <c r="M714" s="529"/>
      <c r="N714" s="529"/>
      <c r="O714" s="529"/>
      <c r="P714" s="529"/>
      <c r="Q714" s="529"/>
      <c r="R714" s="286"/>
      <c r="S714" s="286"/>
      <c r="T714" s="286"/>
      <c r="U714" s="286"/>
      <c r="V714" s="286"/>
      <c r="W714" s="286"/>
    </row>
    <row r="715">
      <c r="A715" s="286"/>
      <c r="B715" s="286"/>
      <c r="C715" s="529"/>
      <c r="D715" s="306"/>
      <c r="E715" s="306"/>
      <c r="F715" s="306"/>
      <c r="G715" s="286"/>
      <c r="H715" s="286"/>
      <c r="I715" s="286"/>
      <c r="J715" s="529"/>
      <c r="K715" s="286"/>
      <c r="L715" s="286"/>
      <c r="M715" s="529"/>
      <c r="N715" s="529"/>
      <c r="O715" s="529"/>
      <c r="P715" s="529"/>
      <c r="Q715" s="529"/>
      <c r="R715" s="286"/>
      <c r="S715" s="286"/>
      <c r="T715" s="286"/>
      <c r="U715" s="286"/>
      <c r="V715" s="286"/>
      <c r="W715" s="286"/>
    </row>
    <row r="716">
      <c r="A716" s="286"/>
      <c r="B716" s="286"/>
      <c r="C716" s="529"/>
      <c r="D716" s="306"/>
      <c r="E716" s="306"/>
      <c r="F716" s="306"/>
      <c r="G716" s="286"/>
      <c r="H716" s="286"/>
      <c r="I716" s="286"/>
      <c r="J716" s="529"/>
      <c r="K716" s="286"/>
      <c r="L716" s="286"/>
      <c r="M716" s="529"/>
      <c r="N716" s="529"/>
      <c r="O716" s="529"/>
      <c r="P716" s="529"/>
      <c r="Q716" s="529"/>
      <c r="R716" s="286"/>
      <c r="S716" s="286"/>
      <c r="T716" s="286"/>
      <c r="U716" s="286"/>
      <c r="V716" s="286"/>
      <c r="W716" s="286"/>
    </row>
    <row r="717">
      <c r="A717" s="286"/>
      <c r="B717" s="286"/>
      <c r="C717" s="529"/>
      <c r="D717" s="306"/>
      <c r="E717" s="306"/>
      <c r="F717" s="306"/>
      <c r="G717" s="286"/>
      <c r="H717" s="286"/>
      <c r="I717" s="286"/>
      <c r="J717" s="529"/>
      <c r="K717" s="286"/>
      <c r="L717" s="286"/>
      <c r="M717" s="529"/>
      <c r="N717" s="529"/>
      <c r="O717" s="529"/>
      <c r="P717" s="529"/>
      <c r="Q717" s="529"/>
      <c r="R717" s="286"/>
      <c r="S717" s="286"/>
      <c r="T717" s="286"/>
      <c r="U717" s="286"/>
      <c r="V717" s="286"/>
      <c r="W717" s="286"/>
    </row>
    <row r="718">
      <c r="A718" s="286"/>
      <c r="B718" s="286"/>
      <c r="C718" s="529"/>
      <c r="D718" s="306"/>
      <c r="E718" s="306"/>
      <c r="F718" s="306"/>
      <c r="G718" s="286"/>
      <c r="H718" s="286"/>
      <c r="I718" s="286"/>
      <c r="J718" s="529"/>
      <c r="K718" s="286"/>
      <c r="L718" s="286"/>
      <c r="M718" s="529"/>
      <c r="N718" s="529"/>
      <c r="O718" s="529"/>
      <c r="P718" s="529"/>
      <c r="Q718" s="529"/>
      <c r="R718" s="286"/>
      <c r="S718" s="286"/>
      <c r="T718" s="286"/>
      <c r="U718" s="286"/>
      <c r="V718" s="286"/>
      <c r="W718" s="286"/>
    </row>
    <row r="719">
      <c r="A719" s="286"/>
      <c r="B719" s="286"/>
      <c r="C719" s="529"/>
      <c r="D719" s="306"/>
      <c r="E719" s="306"/>
      <c r="F719" s="306"/>
      <c r="G719" s="286"/>
      <c r="H719" s="286"/>
      <c r="I719" s="286"/>
      <c r="J719" s="529"/>
      <c r="K719" s="286"/>
      <c r="L719" s="286"/>
      <c r="M719" s="529"/>
      <c r="N719" s="529"/>
      <c r="O719" s="529"/>
      <c r="P719" s="529"/>
      <c r="Q719" s="529"/>
      <c r="R719" s="286"/>
      <c r="S719" s="286"/>
      <c r="T719" s="286"/>
      <c r="U719" s="286"/>
      <c r="V719" s="286"/>
      <c r="W719" s="286"/>
    </row>
    <row r="720">
      <c r="A720" s="286"/>
      <c r="B720" s="286"/>
      <c r="C720" s="529"/>
      <c r="D720" s="306"/>
      <c r="E720" s="306"/>
      <c r="F720" s="306"/>
      <c r="G720" s="286"/>
      <c r="H720" s="286"/>
      <c r="I720" s="286"/>
      <c r="J720" s="529"/>
      <c r="K720" s="286"/>
      <c r="L720" s="286"/>
      <c r="M720" s="529"/>
      <c r="N720" s="529"/>
      <c r="O720" s="529"/>
      <c r="P720" s="529"/>
      <c r="Q720" s="529"/>
      <c r="R720" s="286"/>
      <c r="S720" s="286"/>
      <c r="T720" s="286"/>
      <c r="U720" s="286"/>
      <c r="V720" s="286"/>
      <c r="W720" s="286"/>
    </row>
    <row r="721">
      <c r="A721" s="286"/>
      <c r="B721" s="286"/>
      <c r="C721" s="529"/>
      <c r="D721" s="306"/>
      <c r="E721" s="306"/>
      <c r="F721" s="306"/>
      <c r="G721" s="286"/>
      <c r="H721" s="286"/>
      <c r="I721" s="286"/>
      <c r="J721" s="529"/>
      <c r="K721" s="286"/>
      <c r="L721" s="286"/>
      <c r="M721" s="529"/>
      <c r="N721" s="529"/>
      <c r="O721" s="529"/>
      <c r="P721" s="529"/>
      <c r="Q721" s="529"/>
      <c r="R721" s="286"/>
      <c r="S721" s="286"/>
      <c r="T721" s="286"/>
      <c r="U721" s="286"/>
      <c r="V721" s="286"/>
      <c r="W721" s="286"/>
    </row>
    <row r="722">
      <c r="A722" s="286"/>
      <c r="B722" s="286"/>
      <c r="C722" s="529"/>
      <c r="D722" s="306"/>
      <c r="E722" s="306"/>
      <c r="F722" s="306"/>
      <c r="G722" s="286"/>
      <c r="H722" s="286"/>
      <c r="I722" s="286"/>
      <c r="J722" s="529"/>
      <c r="K722" s="286"/>
      <c r="L722" s="286"/>
      <c r="M722" s="529"/>
      <c r="N722" s="529"/>
      <c r="O722" s="529"/>
      <c r="P722" s="529"/>
      <c r="Q722" s="529"/>
      <c r="R722" s="286"/>
      <c r="S722" s="286"/>
      <c r="T722" s="286"/>
      <c r="U722" s="286"/>
      <c r="V722" s="286"/>
      <c r="W722" s="286"/>
    </row>
    <row r="723">
      <c r="A723" s="286"/>
      <c r="B723" s="286"/>
      <c r="C723" s="529"/>
      <c r="D723" s="306"/>
      <c r="E723" s="306"/>
      <c r="F723" s="306"/>
      <c r="G723" s="286"/>
      <c r="H723" s="286"/>
      <c r="I723" s="286"/>
      <c r="J723" s="529"/>
      <c r="K723" s="286"/>
      <c r="L723" s="286"/>
      <c r="M723" s="529"/>
      <c r="N723" s="529"/>
      <c r="O723" s="529"/>
      <c r="P723" s="529"/>
      <c r="Q723" s="529"/>
      <c r="R723" s="286"/>
      <c r="S723" s="286"/>
      <c r="T723" s="286"/>
      <c r="U723" s="286"/>
      <c r="V723" s="286"/>
      <c r="W723" s="286"/>
    </row>
    <row r="724">
      <c r="A724" s="286"/>
      <c r="B724" s="286"/>
      <c r="C724" s="529"/>
      <c r="D724" s="306"/>
      <c r="E724" s="306"/>
      <c r="F724" s="306"/>
      <c r="G724" s="286"/>
      <c r="H724" s="286"/>
      <c r="I724" s="286"/>
      <c r="J724" s="529"/>
      <c r="K724" s="286"/>
      <c r="L724" s="286"/>
      <c r="M724" s="529"/>
      <c r="N724" s="529"/>
      <c r="O724" s="529"/>
      <c r="P724" s="529"/>
      <c r="Q724" s="529"/>
      <c r="R724" s="286"/>
      <c r="S724" s="286"/>
      <c r="T724" s="286"/>
      <c r="U724" s="286"/>
      <c r="V724" s="286"/>
      <c r="W724" s="286"/>
    </row>
    <row r="725">
      <c r="A725" s="286"/>
      <c r="B725" s="286"/>
      <c r="C725" s="529"/>
      <c r="D725" s="306"/>
      <c r="E725" s="306"/>
      <c r="F725" s="306"/>
      <c r="G725" s="286"/>
      <c r="H725" s="286"/>
      <c r="I725" s="286"/>
      <c r="J725" s="529"/>
      <c r="K725" s="286"/>
      <c r="L725" s="286"/>
      <c r="M725" s="529"/>
      <c r="N725" s="529"/>
      <c r="O725" s="529"/>
      <c r="P725" s="529"/>
      <c r="Q725" s="529"/>
      <c r="R725" s="286"/>
      <c r="S725" s="286"/>
      <c r="T725" s="286"/>
      <c r="U725" s="286"/>
      <c r="V725" s="286"/>
      <c r="W725" s="286"/>
    </row>
    <row r="726">
      <c r="A726" s="286"/>
      <c r="B726" s="286"/>
      <c r="C726" s="529"/>
      <c r="D726" s="306"/>
      <c r="E726" s="306"/>
      <c r="F726" s="306"/>
      <c r="G726" s="286"/>
      <c r="H726" s="286"/>
      <c r="I726" s="286"/>
      <c r="J726" s="529"/>
      <c r="K726" s="286"/>
      <c r="L726" s="286"/>
      <c r="M726" s="529"/>
      <c r="N726" s="529"/>
      <c r="O726" s="529"/>
      <c r="P726" s="529"/>
      <c r="Q726" s="529"/>
      <c r="R726" s="286"/>
      <c r="S726" s="286"/>
      <c r="T726" s="286"/>
      <c r="U726" s="286"/>
      <c r="V726" s="286"/>
      <c r="W726" s="286"/>
    </row>
    <row r="727">
      <c r="A727" s="286"/>
      <c r="B727" s="286"/>
      <c r="C727" s="529"/>
      <c r="D727" s="306"/>
      <c r="E727" s="306"/>
      <c r="F727" s="306"/>
      <c r="G727" s="286"/>
      <c r="H727" s="286"/>
      <c r="I727" s="286"/>
      <c r="J727" s="529"/>
      <c r="K727" s="286"/>
      <c r="L727" s="286"/>
      <c r="M727" s="529"/>
      <c r="N727" s="529"/>
      <c r="O727" s="529"/>
      <c r="P727" s="529"/>
      <c r="Q727" s="529"/>
      <c r="R727" s="286"/>
      <c r="S727" s="286"/>
      <c r="T727" s="286"/>
      <c r="U727" s="286"/>
      <c r="V727" s="286"/>
      <c r="W727" s="286"/>
    </row>
    <row r="728">
      <c r="A728" s="286"/>
      <c r="B728" s="286"/>
      <c r="C728" s="529"/>
      <c r="D728" s="306"/>
      <c r="E728" s="306"/>
      <c r="F728" s="306"/>
      <c r="G728" s="286"/>
      <c r="H728" s="286"/>
      <c r="I728" s="286"/>
      <c r="J728" s="529"/>
      <c r="K728" s="286"/>
      <c r="L728" s="286"/>
      <c r="M728" s="529"/>
      <c r="N728" s="529"/>
      <c r="O728" s="529"/>
      <c r="P728" s="529"/>
      <c r="Q728" s="529"/>
      <c r="R728" s="286"/>
      <c r="S728" s="286"/>
      <c r="T728" s="286"/>
      <c r="U728" s="286"/>
      <c r="V728" s="286"/>
      <c r="W728" s="286"/>
    </row>
    <row r="729">
      <c r="A729" s="286"/>
      <c r="B729" s="286"/>
      <c r="C729" s="529"/>
      <c r="D729" s="306"/>
      <c r="E729" s="306"/>
      <c r="F729" s="306"/>
      <c r="G729" s="286"/>
      <c r="H729" s="286"/>
      <c r="I729" s="286"/>
      <c r="J729" s="529"/>
      <c r="K729" s="286"/>
      <c r="L729" s="286"/>
      <c r="M729" s="529"/>
      <c r="N729" s="529"/>
      <c r="O729" s="529"/>
      <c r="P729" s="529"/>
      <c r="Q729" s="529"/>
      <c r="R729" s="286"/>
      <c r="S729" s="286"/>
      <c r="T729" s="286"/>
      <c r="U729" s="286"/>
      <c r="V729" s="286"/>
      <c r="W729" s="286"/>
    </row>
    <row r="730">
      <c r="A730" s="286"/>
      <c r="B730" s="286"/>
      <c r="C730" s="529"/>
      <c r="D730" s="306"/>
      <c r="E730" s="306"/>
      <c r="F730" s="306"/>
      <c r="G730" s="286"/>
      <c r="H730" s="286"/>
      <c r="I730" s="286"/>
      <c r="J730" s="529"/>
      <c r="K730" s="286"/>
      <c r="L730" s="286"/>
      <c r="M730" s="529"/>
      <c r="N730" s="529"/>
      <c r="O730" s="529"/>
      <c r="P730" s="529"/>
      <c r="Q730" s="529"/>
      <c r="R730" s="286"/>
      <c r="S730" s="286"/>
      <c r="T730" s="286"/>
      <c r="U730" s="286"/>
      <c r="V730" s="286"/>
      <c r="W730" s="286"/>
    </row>
    <row r="731">
      <c r="A731" s="286"/>
      <c r="B731" s="286"/>
      <c r="C731" s="529"/>
      <c r="D731" s="306"/>
      <c r="E731" s="306"/>
      <c r="F731" s="306"/>
      <c r="G731" s="286"/>
      <c r="H731" s="286"/>
      <c r="I731" s="286"/>
      <c r="J731" s="529"/>
      <c r="K731" s="286"/>
      <c r="L731" s="286"/>
      <c r="M731" s="529"/>
      <c r="N731" s="529"/>
      <c r="O731" s="529"/>
      <c r="P731" s="529"/>
      <c r="Q731" s="529"/>
      <c r="R731" s="286"/>
      <c r="S731" s="286"/>
      <c r="T731" s="286"/>
      <c r="U731" s="286"/>
      <c r="V731" s="286"/>
      <c r="W731" s="286"/>
    </row>
    <row r="732">
      <c r="A732" s="286"/>
      <c r="B732" s="286"/>
      <c r="C732" s="529"/>
      <c r="D732" s="306"/>
      <c r="E732" s="306"/>
      <c r="F732" s="306"/>
      <c r="G732" s="286"/>
      <c r="H732" s="286"/>
      <c r="I732" s="286"/>
      <c r="J732" s="529"/>
      <c r="K732" s="286"/>
      <c r="L732" s="286"/>
      <c r="M732" s="529"/>
      <c r="N732" s="529"/>
      <c r="O732" s="529"/>
      <c r="P732" s="529"/>
      <c r="Q732" s="529"/>
      <c r="R732" s="286"/>
      <c r="S732" s="286"/>
      <c r="T732" s="286"/>
      <c r="U732" s="286"/>
      <c r="V732" s="286"/>
      <c r="W732" s="286"/>
    </row>
    <row r="733">
      <c r="A733" s="286"/>
      <c r="B733" s="286"/>
      <c r="C733" s="529"/>
      <c r="D733" s="306"/>
      <c r="E733" s="306"/>
      <c r="F733" s="306"/>
      <c r="G733" s="286"/>
      <c r="H733" s="286"/>
      <c r="I733" s="286"/>
      <c r="J733" s="529"/>
      <c r="K733" s="286"/>
      <c r="L733" s="286"/>
      <c r="M733" s="529"/>
      <c r="N733" s="529"/>
      <c r="O733" s="529"/>
      <c r="P733" s="529"/>
      <c r="Q733" s="529"/>
      <c r="R733" s="286"/>
      <c r="S733" s="286"/>
      <c r="T733" s="286"/>
      <c r="U733" s="286"/>
      <c r="V733" s="286"/>
      <c r="W733" s="286"/>
    </row>
    <row r="734">
      <c r="A734" s="286"/>
      <c r="B734" s="286"/>
      <c r="C734" s="529"/>
      <c r="D734" s="306"/>
      <c r="E734" s="306"/>
      <c r="F734" s="306"/>
      <c r="G734" s="286"/>
      <c r="H734" s="286"/>
      <c r="I734" s="286"/>
      <c r="J734" s="529"/>
      <c r="K734" s="286"/>
      <c r="L734" s="286"/>
      <c r="M734" s="529"/>
      <c r="N734" s="529"/>
      <c r="O734" s="529"/>
      <c r="P734" s="529"/>
      <c r="Q734" s="529"/>
      <c r="R734" s="286"/>
      <c r="S734" s="286"/>
      <c r="T734" s="286"/>
      <c r="U734" s="286"/>
      <c r="V734" s="286"/>
      <c r="W734" s="286"/>
    </row>
    <row r="735">
      <c r="A735" s="286"/>
      <c r="B735" s="286"/>
      <c r="C735" s="529"/>
      <c r="D735" s="306"/>
      <c r="E735" s="306"/>
      <c r="F735" s="306"/>
      <c r="G735" s="286"/>
      <c r="H735" s="286"/>
      <c r="I735" s="286"/>
      <c r="J735" s="529"/>
      <c r="K735" s="286"/>
      <c r="L735" s="286"/>
      <c r="M735" s="529"/>
      <c r="N735" s="529"/>
      <c r="O735" s="529"/>
      <c r="P735" s="529"/>
      <c r="Q735" s="529"/>
      <c r="R735" s="286"/>
      <c r="S735" s="286"/>
      <c r="T735" s="286"/>
      <c r="U735" s="286"/>
      <c r="V735" s="286"/>
      <c r="W735" s="286"/>
    </row>
    <row r="736">
      <c r="A736" s="286"/>
      <c r="B736" s="286"/>
      <c r="C736" s="529"/>
      <c r="D736" s="306"/>
      <c r="E736" s="306"/>
      <c r="F736" s="306"/>
      <c r="G736" s="286"/>
      <c r="H736" s="286"/>
      <c r="I736" s="286"/>
      <c r="J736" s="529"/>
      <c r="K736" s="286"/>
      <c r="L736" s="286"/>
      <c r="M736" s="529"/>
      <c r="N736" s="529"/>
      <c r="O736" s="529"/>
      <c r="P736" s="529"/>
      <c r="Q736" s="529"/>
      <c r="R736" s="286"/>
      <c r="S736" s="286"/>
      <c r="T736" s="286"/>
      <c r="U736" s="286"/>
      <c r="V736" s="286"/>
      <c r="W736" s="286"/>
    </row>
    <row r="737">
      <c r="A737" s="286"/>
      <c r="B737" s="286"/>
      <c r="C737" s="529"/>
      <c r="D737" s="306"/>
      <c r="E737" s="306"/>
      <c r="F737" s="306"/>
      <c r="G737" s="286"/>
      <c r="H737" s="286"/>
      <c r="I737" s="286"/>
      <c r="J737" s="529"/>
      <c r="K737" s="286"/>
      <c r="L737" s="286"/>
      <c r="M737" s="529"/>
      <c r="N737" s="529"/>
      <c r="O737" s="529"/>
      <c r="P737" s="529"/>
      <c r="Q737" s="529"/>
      <c r="R737" s="286"/>
      <c r="S737" s="286"/>
      <c r="T737" s="286"/>
      <c r="U737" s="286"/>
      <c r="V737" s="286"/>
      <c r="W737" s="286"/>
    </row>
    <row r="738">
      <c r="A738" s="286"/>
      <c r="B738" s="286"/>
      <c r="C738" s="529"/>
      <c r="D738" s="306"/>
      <c r="E738" s="306"/>
      <c r="F738" s="306"/>
      <c r="G738" s="286"/>
      <c r="H738" s="286"/>
      <c r="I738" s="286"/>
      <c r="J738" s="529"/>
      <c r="K738" s="286"/>
      <c r="L738" s="286"/>
      <c r="M738" s="529"/>
      <c r="N738" s="529"/>
      <c r="O738" s="529"/>
      <c r="P738" s="529"/>
      <c r="Q738" s="529"/>
      <c r="R738" s="286"/>
      <c r="S738" s="286"/>
      <c r="T738" s="286"/>
      <c r="U738" s="286"/>
      <c r="V738" s="286"/>
      <c r="W738" s="286"/>
    </row>
    <row r="739">
      <c r="A739" s="286"/>
      <c r="B739" s="286"/>
      <c r="C739" s="529"/>
      <c r="D739" s="306"/>
      <c r="E739" s="306"/>
      <c r="F739" s="306"/>
      <c r="G739" s="286"/>
      <c r="H739" s="286"/>
      <c r="I739" s="286"/>
      <c r="J739" s="529"/>
      <c r="K739" s="286"/>
      <c r="L739" s="286"/>
      <c r="M739" s="529"/>
      <c r="N739" s="529"/>
      <c r="O739" s="529"/>
      <c r="P739" s="529"/>
      <c r="Q739" s="529"/>
      <c r="R739" s="286"/>
      <c r="S739" s="286"/>
      <c r="T739" s="286"/>
      <c r="U739" s="286"/>
      <c r="V739" s="286"/>
      <c r="W739" s="286"/>
    </row>
    <row r="740">
      <c r="A740" s="286"/>
      <c r="B740" s="286"/>
      <c r="C740" s="529"/>
      <c r="D740" s="306"/>
      <c r="E740" s="306"/>
      <c r="F740" s="306"/>
      <c r="G740" s="286"/>
      <c r="H740" s="286"/>
      <c r="I740" s="286"/>
      <c r="J740" s="529"/>
      <c r="K740" s="286"/>
      <c r="L740" s="286"/>
      <c r="M740" s="529"/>
      <c r="N740" s="529"/>
      <c r="O740" s="529"/>
      <c r="P740" s="529"/>
      <c r="Q740" s="529"/>
      <c r="R740" s="286"/>
      <c r="S740" s="286"/>
      <c r="T740" s="286"/>
      <c r="U740" s="286"/>
      <c r="V740" s="286"/>
      <c r="W740" s="286"/>
    </row>
    <row r="741">
      <c r="A741" s="286"/>
      <c r="B741" s="286"/>
      <c r="C741" s="529"/>
      <c r="D741" s="306"/>
      <c r="E741" s="306"/>
      <c r="F741" s="306"/>
      <c r="G741" s="286"/>
      <c r="H741" s="286"/>
      <c r="I741" s="286"/>
      <c r="J741" s="529"/>
      <c r="K741" s="286"/>
      <c r="L741" s="286"/>
      <c r="M741" s="529"/>
      <c r="N741" s="529"/>
      <c r="O741" s="529"/>
      <c r="P741" s="529"/>
      <c r="Q741" s="529"/>
      <c r="R741" s="286"/>
      <c r="S741" s="286"/>
      <c r="T741" s="286"/>
      <c r="U741" s="286"/>
      <c r="V741" s="286"/>
      <c r="W741" s="286"/>
    </row>
    <row r="742">
      <c r="A742" s="286"/>
      <c r="B742" s="286"/>
      <c r="C742" s="529"/>
      <c r="D742" s="306"/>
      <c r="E742" s="306"/>
      <c r="F742" s="306"/>
      <c r="G742" s="286"/>
      <c r="H742" s="286"/>
      <c r="I742" s="286"/>
      <c r="J742" s="529"/>
      <c r="K742" s="286"/>
      <c r="L742" s="286"/>
      <c r="M742" s="529"/>
      <c r="N742" s="529"/>
      <c r="O742" s="529"/>
      <c r="P742" s="529"/>
      <c r="Q742" s="529"/>
      <c r="R742" s="286"/>
      <c r="S742" s="286"/>
      <c r="T742" s="286"/>
      <c r="U742" s="286"/>
      <c r="V742" s="286"/>
      <c r="W742" s="286"/>
    </row>
    <row r="743">
      <c r="A743" s="286"/>
      <c r="B743" s="286"/>
      <c r="C743" s="529"/>
      <c r="D743" s="306"/>
      <c r="E743" s="306"/>
      <c r="F743" s="306"/>
      <c r="G743" s="286"/>
      <c r="H743" s="286"/>
      <c r="I743" s="286"/>
      <c r="J743" s="529"/>
      <c r="K743" s="286"/>
      <c r="L743" s="286"/>
      <c r="M743" s="529"/>
      <c r="N743" s="529"/>
      <c r="O743" s="529"/>
      <c r="P743" s="529"/>
      <c r="Q743" s="529"/>
      <c r="R743" s="286"/>
      <c r="S743" s="286"/>
      <c r="T743" s="286"/>
      <c r="U743" s="286"/>
      <c r="V743" s="286"/>
      <c r="W743" s="286"/>
    </row>
    <row r="744">
      <c r="A744" s="286"/>
      <c r="B744" s="286"/>
      <c r="C744" s="529"/>
      <c r="D744" s="306"/>
      <c r="E744" s="306"/>
      <c r="F744" s="306"/>
      <c r="G744" s="286"/>
      <c r="H744" s="286"/>
      <c r="I744" s="286"/>
      <c r="J744" s="529"/>
      <c r="K744" s="286"/>
      <c r="L744" s="286"/>
      <c r="M744" s="529"/>
      <c r="N744" s="529"/>
      <c r="O744" s="529"/>
      <c r="P744" s="529"/>
      <c r="Q744" s="529"/>
      <c r="R744" s="286"/>
      <c r="S744" s="286"/>
      <c r="T744" s="286"/>
      <c r="U744" s="286"/>
      <c r="V744" s="286"/>
      <c r="W744" s="286"/>
    </row>
    <row r="745">
      <c r="A745" s="286"/>
      <c r="B745" s="286"/>
      <c r="C745" s="529"/>
      <c r="D745" s="306"/>
      <c r="E745" s="306"/>
      <c r="F745" s="306"/>
      <c r="G745" s="286"/>
      <c r="H745" s="286"/>
      <c r="I745" s="286"/>
      <c r="J745" s="529"/>
      <c r="K745" s="286"/>
      <c r="L745" s="286"/>
      <c r="M745" s="529"/>
      <c r="N745" s="529"/>
      <c r="O745" s="529"/>
      <c r="P745" s="529"/>
      <c r="Q745" s="529"/>
      <c r="R745" s="286"/>
      <c r="S745" s="286"/>
      <c r="T745" s="286"/>
      <c r="U745" s="286"/>
      <c r="V745" s="286"/>
      <c r="W745" s="286"/>
    </row>
    <row r="746">
      <c r="A746" s="286"/>
      <c r="B746" s="286"/>
      <c r="C746" s="529"/>
      <c r="D746" s="306"/>
      <c r="E746" s="306"/>
      <c r="F746" s="306"/>
      <c r="G746" s="286"/>
      <c r="H746" s="286"/>
      <c r="I746" s="286"/>
      <c r="J746" s="529"/>
      <c r="K746" s="286"/>
      <c r="L746" s="286"/>
      <c r="M746" s="529"/>
      <c r="N746" s="529"/>
      <c r="O746" s="529"/>
      <c r="P746" s="529"/>
      <c r="Q746" s="529"/>
      <c r="R746" s="286"/>
      <c r="S746" s="286"/>
      <c r="T746" s="286"/>
      <c r="U746" s="286"/>
      <c r="V746" s="286"/>
      <c r="W746" s="286"/>
    </row>
    <row r="747">
      <c r="A747" s="286"/>
      <c r="B747" s="286"/>
      <c r="C747" s="529"/>
      <c r="D747" s="306"/>
      <c r="E747" s="306"/>
      <c r="F747" s="306"/>
      <c r="G747" s="286"/>
      <c r="H747" s="286"/>
      <c r="I747" s="286"/>
      <c r="J747" s="529"/>
      <c r="K747" s="286"/>
      <c r="L747" s="286"/>
      <c r="M747" s="529"/>
      <c r="N747" s="529"/>
      <c r="O747" s="529"/>
      <c r="P747" s="529"/>
      <c r="Q747" s="529"/>
      <c r="R747" s="286"/>
      <c r="S747" s="286"/>
      <c r="T747" s="286"/>
      <c r="U747" s="286"/>
      <c r="V747" s="286"/>
      <c r="W747" s="286"/>
    </row>
    <row r="748">
      <c r="A748" s="286"/>
      <c r="B748" s="286"/>
      <c r="C748" s="529"/>
      <c r="D748" s="306"/>
      <c r="E748" s="306"/>
      <c r="F748" s="306"/>
      <c r="G748" s="286"/>
      <c r="H748" s="286"/>
      <c r="I748" s="286"/>
      <c r="J748" s="529"/>
      <c r="K748" s="286"/>
      <c r="L748" s="286"/>
      <c r="M748" s="529"/>
      <c r="N748" s="529"/>
      <c r="O748" s="529"/>
      <c r="P748" s="529"/>
      <c r="Q748" s="529"/>
      <c r="R748" s="286"/>
      <c r="S748" s="286"/>
      <c r="T748" s="286"/>
      <c r="U748" s="286"/>
      <c r="V748" s="286"/>
      <c r="W748" s="286"/>
    </row>
    <row r="749">
      <c r="A749" s="286"/>
      <c r="B749" s="286"/>
      <c r="C749" s="529"/>
      <c r="D749" s="306"/>
      <c r="E749" s="306"/>
      <c r="F749" s="306"/>
      <c r="G749" s="286"/>
      <c r="H749" s="286"/>
      <c r="I749" s="286"/>
      <c r="J749" s="529"/>
      <c r="K749" s="286"/>
      <c r="L749" s="286"/>
      <c r="M749" s="529"/>
      <c r="N749" s="529"/>
      <c r="O749" s="529"/>
      <c r="P749" s="529"/>
      <c r="Q749" s="529"/>
      <c r="R749" s="286"/>
      <c r="S749" s="286"/>
      <c r="T749" s="286"/>
      <c r="U749" s="286"/>
      <c r="V749" s="286"/>
      <c r="W749" s="286"/>
    </row>
    <row r="750">
      <c r="A750" s="286"/>
      <c r="B750" s="286"/>
      <c r="C750" s="529"/>
      <c r="D750" s="306"/>
      <c r="E750" s="306"/>
      <c r="F750" s="306"/>
      <c r="G750" s="286"/>
      <c r="H750" s="286"/>
      <c r="I750" s="286"/>
      <c r="J750" s="529"/>
      <c r="K750" s="286"/>
      <c r="L750" s="286"/>
      <c r="M750" s="529"/>
      <c r="N750" s="529"/>
      <c r="O750" s="529"/>
      <c r="P750" s="529"/>
      <c r="Q750" s="529"/>
      <c r="R750" s="286"/>
      <c r="S750" s="286"/>
      <c r="T750" s="286"/>
      <c r="U750" s="286"/>
      <c r="V750" s="286"/>
      <c r="W750" s="286"/>
    </row>
    <row r="751">
      <c r="A751" s="286"/>
      <c r="B751" s="286"/>
      <c r="C751" s="529"/>
      <c r="D751" s="306"/>
      <c r="E751" s="306"/>
      <c r="F751" s="306"/>
      <c r="G751" s="286"/>
      <c r="H751" s="286"/>
      <c r="I751" s="286"/>
      <c r="J751" s="529"/>
      <c r="K751" s="286"/>
      <c r="L751" s="286"/>
      <c r="M751" s="529"/>
      <c r="N751" s="529"/>
      <c r="O751" s="529"/>
      <c r="P751" s="529"/>
      <c r="Q751" s="529"/>
      <c r="R751" s="286"/>
      <c r="S751" s="286"/>
      <c r="T751" s="286"/>
      <c r="U751" s="286"/>
      <c r="V751" s="286"/>
      <c r="W751" s="286"/>
    </row>
    <row r="752">
      <c r="A752" s="286"/>
      <c r="B752" s="286"/>
      <c r="C752" s="529"/>
      <c r="D752" s="306"/>
      <c r="E752" s="306"/>
      <c r="F752" s="306"/>
      <c r="G752" s="286"/>
      <c r="H752" s="286"/>
      <c r="I752" s="286"/>
      <c r="J752" s="529"/>
      <c r="K752" s="286"/>
      <c r="L752" s="286"/>
      <c r="M752" s="529"/>
      <c r="N752" s="529"/>
      <c r="O752" s="529"/>
      <c r="P752" s="529"/>
      <c r="Q752" s="529"/>
      <c r="R752" s="286"/>
      <c r="S752" s="286"/>
      <c r="T752" s="286"/>
      <c r="U752" s="286"/>
      <c r="V752" s="286"/>
      <c r="W752" s="286"/>
    </row>
    <row r="753">
      <c r="A753" s="286"/>
      <c r="B753" s="286"/>
      <c r="C753" s="529"/>
      <c r="D753" s="306"/>
      <c r="E753" s="306"/>
      <c r="F753" s="306"/>
      <c r="G753" s="286"/>
      <c r="H753" s="286"/>
      <c r="I753" s="286"/>
      <c r="J753" s="529"/>
      <c r="K753" s="286"/>
      <c r="L753" s="286"/>
      <c r="M753" s="529"/>
      <c r="N753" s="529"/>
      <c r="O753" s="529"/>
      <c r="P753" s="529"/>
      <c r="Q753" s="529"/>
      <c r="R753" s="286"/>
      <c r="S753" s="286"/>
      <c r="T753" s="286"/>
      <c r="U753" s="286"/>
      <c r="V753" s="286"/>
      <c r="W753" s="286"/>
    </row>
    <row r="754">
      <c r="A754" s="286"/>
      <c r="B754" s="286"/>
      <c r="C754" s="529"/>
      <c r="D754" s="306"/>
      <c r="E754" s="306"/>
      <c r="F754" s="306"/>
      <c r="G754" s="286"/>
      <c r="H754" s="286"/>
      <c r="I754" s="286"/>
      <c r="J754" s="529"/>
      <c r="K754" s="286"/>
      <c r="L754" s="286"/>
      <c r="M754" s="529"/>
      <c r="N754" s="529"/>
      <c r="O754" s="529"/>
      <c r="P754" s="529"/>
      <c r="Q754" s="529"/>
      <c r="R754" s="286"/>
      <c r="S754" s="286"/>
      <c r="T754" s="286"/>
      <c r="U754" s="286"/>
      <c r="V754" s="286"/>
      <c r="W754" s="286"/>
    </row>
    <row r="755">
      <c r="A755" s="286"/>
      <c r="B755" s="286"/>
      <c r="C755" s="529"/>
      <c r="D755" s="306"/>
      <c r="E755" s="306"/>
      <c r="F755" s="306"/>
      <c r="G755" s="286"/>
      <c r="H755" s="286"/>
      <c r="I755" s="286"/>
      <c r="J755" s="529"/>
      <c r="K755" s="286"/>
      <c r="L755" s="286"/>
      <c r="M755" s="529"/>
      <c r="N755" s="529"/>
      <c r="O755" s="529"/>
      <c r="P755" s="529"/>
      <c r="Q755" s="529"/>
      <c r="R755" s="286"/>
      <c r="S755" s="286"/>
      <c r="T755" s="286"/>
      <c r="U755" s="286"/>
      <c r="V755" s="286"/>
      <c r="W755" s="286"/>
    </row>
    <row r="756">
      <c r="A756" s="286"/>
      <c r="B756" s="286"/>
      <c r="C756" s="529"/>
      <c r="D756" s="306"/>
      <c r="E756" s="306"/>
      <c r="F756" s="306"/>
      <c r="G756" s="286"/>
      <c r="H756" s="286"/>
      <c r="I756" s="286"/>
      <c r="J756" s="529"/>
      <c r="K756" s="286"/>
      <c r="L756" s="286"/>
      <c r="M756" s="529"/>
      <c r="N756" s="529"/>
      <c r="O756" s="529"/>
      <c r="P756" s="529"/>
      <c r="Q756" s="529"/>
      <c r="R756" s="286"/>
      <c r="S756" s="286"/>
      <c r="T756" s="286"/>
      <c r="U756" s="286"/>
      <c r="V756" s="286"/>
      <c r="W756" s="286"/>
    </row>
    <row r="757">
      <c r="A757" s="286"/>
      <c r="B757" s="286"/>
      <c r="C757" s="529"/>
      <c r="D757" s="306"/>
      <c r="E757" s="306"/>
      <c r="F757" s="306"/>
      <c r="G757" s="286"/>
      <c r="H757" s="286"/>
      <c r="I757" s="286"/>
      <c r="J757" s="529"/>
      <c r="K757" s="286"/>
      <c r="L757" s="286"/>
      <c r="M757" s="529"/>
      <c r="N757" s="529"/>
      <c r="O757" s="529"/>
      <c r="P757" s="529"/>
      <c r="Q757" s="529"/>
      <c r="R757" s="286"/>
      <c r="S757" s="286"/>
      <c r="T757" s="286"/>
      <c r="U757" s="286"/>
      <c r="V757" s="286"/>
      <c r="W757" s="286"/>
    </row>
    <row r="758">
      <c r="A758" s="286"/>
      <c r="B758" s="286"/>
      <c r="C758" s="529"/>
      <c r="D758" s="306"/>
      <c r="E758" s="306"/>
      <c r="F758" s="306"/>
      <c r="G758" s="286"/>
      <c r="H758" s="286"/>
      <c r="I758" s="286"/>
      <c r="J758" s="529"/>
      <c r="K758" s="286"/>
      <c r="L758" s="286"/>
      <c r="M758" s="529"/>
      <c r="N758" s="529"/>
      <c r="O758" s="529"/>
      <c r="P758" s="529"/>
      <c r="Q758" s="529"/>
      <c r="R758" s="286"/>
      <c r="S758" s="286"/>
      <c r="T758" s="286"/>
      <c r="U758" s="286"/>
      <c r="V758" s="286"/>
      <c r="W758" s="286"/>
    </row>
    <row r="759">
      <c r="A759" s="286"/>
      <c r="B759" s="286"/>
      <c r="C759" s="529"/>
      <c r="D759" s="306"/>
      <c r="E759" s="306"/>
      <c r="F759" s="306"/>
      <c r="G759" s="286"/>
      <c r="H759" s="286"/>
      <c r="I759" s="286"/>
      <c r="J759" s="529"/>
      <c r="K759" s="286"/>
      <c r="L759" s="286"/>
      <c r="M759" s="529"/>
      <c r="N759" s="529"/>
      <c r="O759" s="529"/>
      <c r="P759" s="529"/>
      <c r="Q759" s="529"/>
      <c r="R759" s="286"/>
      <c r="S759" s="286"/>
      <c r="T759" s="286"/>
      <c r="U759" s="286"/>
      <c r="V759" s="286"/>
      <c r="W759" s="286"/>
    </row>
    <row r="760">
      <c r="A760" s="286"/>
      <c r="B760" s="286"/>
      <c r="C760" s="529"/>
      <c r="D760" s="306"/>
      <c r="E760" s="306"/>
      <c r="F760" s="306"/>
      <c r="G760" s="286"/>
      <c r="H760" s="286"/>
      <c r="I760" s="286"/>
      <c r="J760" s="529"/>
      <c r="K760" s="286"/>
      <c r="L760" s="286"/>
      <c r="M760" s="529"/>
      <c r="N760" s="529"/>
      <c r="O760" s="529"/>
      <c r="P760" s="529"/>
      <c r="Q760" s="529"/>
      <c r="R760" s="286"/>
      <c r="S760" s="286"/>
      <c r="T760" s="286"/>
      <c r="U760" s="286"/>
      <c r="V760" s="286"/>
      <c r="W760" s="286"/>
    </row>
    <row r="761">
      <c r="A761" s="286"/>
      <c r="B761" s="286"/>
      <c r="C761" s="529"/>
      <c r="D761" s="306"/>
      <c r="E761" s="306"/>
      <c r="F761" s="306"/>
      <c r="G761" s="286"/>
      <c r="H761" s="286"/>
      <c r="I761" s="286"/>
      <c r="J761" s="529"/>
      <c r="K761" s="286"/>
      <c r="L761" s="286"/>
      <c r="M761" s="529"/>
      <c r="N761" s="529"/>
      <c r="O761" s="529"/>
      <c r="P761" s="529"/>
      <c r="Q761" s="529"/>
      <c r="R761" s="286"/>
      <c r="S761" s="286"/>
      <c r="T761" s="286"/>
      <c r="U761" s="286"/>
      <c r="V761" s="286"/>
      <c r="W761" s="286"/>
    </row>
    <row r="762">
      <c r="A762" s="286"/>
      <c r="B762" s="286"/>
      <c r="C762" s="529"/>
      <c r="D762" s="306"/>
      <c r="E762" s="306"/>
      <c r="F762" s="306"/>
      <c r="G762" s="286"/>
      <c r="H762" s="286"/>
      <c r="I762" s="286"/>
      <c r="J762" s="529"/>
      <c r="K762" s="286"/>
      <c r="L762" s="286"/>
      <c r="M762" s="529"/>
      <c r="N762" s="529"/>
      <c r="O762" s="529"/>
      <c r="P762" s="529"/>
      <c r="Q762" s="529"/>
      <c r="R762" s="286"/>
      <c r="S762" s="286"/>
      <c r="T762" s="286"/>
      <c r="U762" s="286"/>
      <c r="V762" s="286"/>
      <c r="W762" s="286"/>
    </row>
    <row r="763">
      <c r="A763" s="286"/>
      <c r="B763" s="286"/>
      <c r="C763" s="529"/>
      <c r="D763" s="306"/>
      <c r="E763" s="306"/>
      <c r="F763" s="306"/>
      <c r="G763" s="286"/>
      <c r="H763" s="286"/>
      <c r="I763" s="286"/>
      <c r="J763" s="529"/>
      <c r="K763" s="286"/>
      <c r="L763" s="286"/>
      <c r="M763" s="529"/>
      <c r="N763" s="529"/>
      <c r="O763" s="529"/>
      <c r="P763" s="529"/>
      <c r="Q763" s="529"/>
      <c r="R763" s="286"/>
      <c r="S763" s="286"/>
      <c r="T763" s="286"/>
      <c r="U763" s="286"/>
      <c r="V763" s="286"/>
      <c r="W763" s="286"/>
    </row>
    <row r="764">
      <c r="A764" s="286"/>
      <c r="B764" s="286"/>
      <c r="C764" s="529"/>
      <c r="D764" s="306"/>
      <c r="E764" s="306"/>
      <c r="F764" s="306"/>
      <c r="G764" s="286"/>
      <c r="H764" s="286"/>
      <c r="I764" s="286"/>
      <c r="J764" s="529"/>
      <c r="K764" s="286"/>
      <c r="L764" s="286"/>
      <c r="M764" s="529"/>
      <c r="N764" s="529"/>
      <c r="O764" s="529"/>
      <c r="P764" s="529"/>
      <c r="Q764" s="529"/>
      <c r="R764" s="286"/>
      <c r="S764" s="286"/>
      <c r="T764" s="286"/>
      <c r="U764" s="286"/>
      <c r="V764" s="286"/>
      <c r="W764" s="286"/>
    </row>
    <row r="765">
      <c r="A765" s="286"/>
      <c r="B765" s="286"/>
      <c r="C765" s="529"/>
      <c r="D765" s="306"/>
      <c r="E765" s="306"/>
      <c r="F765" s="306"/>
      <c r="G765" s="286"/>
      <c r="H765" s="286"/>
      <c r="I765" s="286"/>
      <c r="J765" s="529"/>
      <c r="K765" s="286"/>
      <c r="L765" s="286"/>
      <c r="M765" s="529"/>
      <c r="N765" s="529"/>
      <c r="O765" s="529"/>
      <c r="P765" s="529"/>
      <c r="Q765" s="529"/>
      <c r="R765" s="286"/>
      <c r="S765" s="286"/>
      <c r="T765" s="286"/>
      <c r="U765" s="286"/>
      <c r="V765" s="286"/>
      <c r="W765" s="286"/>
    </row>
    <row r="766">
      <c r="A766" s="286"/>
      <c r="B766" s="286"/>
      <c r="C766" s="529"/>
      <c r="D766" s="306"/>
      <c r="E766" s="306"/>
      <c r="F766" s="306"/>
      <c r="G766" s="286"/>
      <c r="H766" s="286"/>
      <c r="I766" s="286"/>
      <c r="J766" s="529"/>
      <c r="K766" s="286"/>
      <c r="L766" s="286"/>
      <c r="M766" s="529"/>
      <c r="N766" s="529"/>
      <c r="O766" s="529"/>
      <c r="P766" s="529"/>
      <c r="Q766" s="529"/>
      <c r="R766" s="286"/>
      <c r="S766" s="286"/>
      <c r="T766" s="286"/>
      <c r="U766" s="286"/>
      <c r="V766" s="286"/>
      <c r="W766" s="286"/>
    </row>
    <row r="767">
      <c r="A767" s="286"/>
      <c r="B767" s="286"/>
      <c r="C767" s="529"/>
      <c r="D767" s="306"/>
      <c r="E767" s="306"/>
      <c r="F767" s="306"/>
      <c r="G767" s="286"/>
      <c r="H767" s="286"/>
      <c r="I767" s="286"/>
      <c r="J767" s="529"/>
      <c r="K767" s="286"/>
      <c r="L767" s="286"/>
      <c r="M767" s="529"/>
      <c r="N767" s="529"/>
      <c r="O767" s="529"/>
      <c r="P767" s="529"/>
      <c r="Q767" s="529"/>
      <c r="R767" s="286"/>
      <c r="S767" s="286"/>
      <c r="T767" s="286"/>
      <c r="U767" s="286"/>
      <c r="V767" s="286"/>
      <c r="W767" s="286"/>
    </row>
    <row r="768">
      <c r="A768" s="286"/>
      <c r="B768" s="286"/>
      <c r="C768" s="529"/>
      <c r="D768" s="306"/>
      <c r="E768" s="306"/>
      <c r="F768" s="306"/>
      <c r="G768" s="286"/>
      <c r="H768" s="286"/>
      <c r="I768" s="286"/>
      <c r="J768" s="529"/>
      <c r="K768" s="286"/>
      <c r="L768" s="286"/>
      <c r="M768" s="529"/>
      <c r="N768" s="529"/>
      <c r="O768" s="529"/>
      <c r="P768" s="529"/>
      <c r="Q768" s="529"/>
      <c r="R768" s="286"/>
      <c r="S768" s="286"/>
      <c r="T768" s="286"/>
      <c r="U768" s="286"/>
      <c r="V768" s="286"/>
      <c r="W768" s="286"/>
    </row>
    <row r="769">
      <c r="A769" s="286"/>
      <c r="B769" s="286"/>
      <c r="C769" s="529"/>
      <c r="D769" s="306"/>
      <c r="E769" s="306"/>
      <c r="F769" s="306"/>
      <c r="G769" s="286"/>
      <c r="H769" s="286"/>
      <c r="I769" s="286"/>
      <c r="J769" s="529"/>
      <c r="K769" s="286"/>
      <c r="L769" s="286"/>
      <c r="M769" s="529"/>
      <c r="N769" s="529"/>
      <c r="O769" s="529"/>
      <c r="P769" s="529"/>
      <c r="Q769" s="529"/>
      <c r="R769" s="286"/>
      <c r="S769" s="286"/>
      <c r="T769" s="286"/>
      <c r="U769" s="286"/>
      <c r="V769" s="286"/>
      <c r="W769" s="286"/>
    </row>
    <row r="770">
      <c r="A770" s="286"/>
      <c r="B770" s="286"/>
      <c r="C770" s="529"/>
      <c r="D770" s="306"/>
      <c r="E770" s="306"/>
      <c r="F770" s="306"/>
      <c r="G770" s="286"/>
      <c r="H770" s="286"/>
      <c r="I770" s="286"/>
      <c r="J770" s="529"/>
      <c r="K770" s="286"/>
      <c r="L770" s="286"/>
      <c r="M770" s="529"/>
      <c r="N770" s="529"/>
      <c r="O770" s="529"/>
      <c r="P770" s="529"/>
      <c r="Q770" s="529"/>
      <c r="R770" s="286"/>
      <c r="S770" s="286"/>
      <c r="T770" s="286"/>
      <c r="U770" s="286"/>
      <c r="V770" s="286"/>
      <c r="W770" s="286"/>
    </row>
    <row r="771">
      <c r="A771" s="286"/>
      <c r="B771" s="286"/>
      <c r="C771" s="529"/>
      <c r="D771" s="306"/>
      <c r="E771" s="306"/>
      <c r="F771" s="306"/>
      <c r="G771" s="286"/>
      <c r="H771" s="286"/>
      <c r="I771" s="286"/>
      <c r="J771" s="529"/>
      <c r="K771" s="286"/>
      <c r="L771" s="286"/>
      <c r="M771" s="529"/>
      <c r="N771" s="529"/>
      <c r="O771" s="529"/>
      <c r="P771" s="529"/>
      <c r="Q771" s="529"/>
      <c r="R771" s="286"/>
      <c r="S771" s="286"/>
      <c r="T771" s="286"/>
      <c r="U771" s="286"/>
      <c r="V771" s="286"/>
      <c r="W771" s="286"/>
    </row>
    <row r="772">
      <c r="A772" s="286"/>
      <c r="B772" s="286"/>
      <c r="C772" s="529"/>
      <c r="D772" s="306"/>
      <c r="E772" s="306"/>
      <c r="F772" s="306"/>
      <c r="G772" s="286"/>
      <c r="H772" s="286"/>
      <c r="I772" s="286"/>
      <c r="J772" s="529"/>
      <c r="K772" s="286"/>
      <c r="L772" s="286"/>
      <c r="M772" s="529"/>
      <c r="N772" s="529"/>
      <c r="O772" s="529"/>
      <c r="P772" s="529"/>
      <c r="Q772" s="529"/>
      <c r="R772" s="286"/>
      <c r="S772" s="286"/>
      <c r="T772" s="286"/>
      <c r="U772" s="286"/>
      <c r="V772" s="286"/>
      <c r="W772" s="286"/>
    </row>
    <row r="773">
      <c r="A773" s="286"/>
      <c r="B773" s="286"/>
      <c r="C773" s="529"/>
      <c r="D773" s="306"/>
      <c r="E773" s="306"/>
      <c r="F773" s="306"/>
      <c r="G773" s="286"/>
      <c r="H773" s="286"/>
      <c r="I773" s="286"/>
      <c r="J773" s="529"/>
      <c r="K773" s="286"/>
      <c r="L773" s="286"/>
      <c r="M773" s="529"/>
      <c r="N773" s="529"/>
      <c r="O773" s="529"/>
      <c r="P773" s="529"/>
      <c r="Q773" s="529"/>
      <c r="R773" s="286"/>
      <c r="S773" s="286"/>
      <c r="T773" s="286"/>
      <c r="U773" s="286"/>
      <c r="V773" s="286"/>
      <c r="W773" s="286"/>
    </row>
    <row r="774">
      <c r="A774" s="286"/>
      <c r="B774" s="286"/>
      <c r="C774" s="529"/>
      <c r="D774" s="306"/>
      <c r="E774" s="306"/>
      <c r="F774" s="306"/>
      <c r="G774" s="286"/>
      <c r="H774" s="286"/>
      <c r="I774" s="286"/>
      <c r="J774" s="529"/>
      <c r="K774" s="286"/>
      <c r="L774" s="286"/>
      <c r="M774" s="529"/>
      <c r="N774" s="529"/>
      <c r="O774" s="529"/>
      <c r="P774" s="529"/>
      <c r="Q774" s="529"/>
      <c r="R774" s="286"/>
      <c r="S774" s="286"/>
      <c r="T774" s="286"/>
      <c r="U774" s="286"/>
      <c r="V774" s="286"/>
      <c r="W774" s="286"/>
    </row>
    <row r="775">
      <c r="A775" s="286"/>
      <c r="B775" s="286"/>
      <c r="C775" s="529"/>
      <c r="D775" s="306"/>
      <c r="E775" s="306"/>
      <c r="F775" s="306"/>
      <c r="G775" s="286"/>
      <c r="H775" s="286"/>
      <c r="I775" s="286"/>
      <c r="J775" s="529"/>
      <c r="K775" s="286"/>
      <c r="L775" s="286"/>
      <c r="M775" s="529"/>
      <c r="N775" s="529"/>
      <c r="O775" s="529"/>
      <c r="P775" s="529"/>
      <c r="Q775" s="529"/>
      <c r="R775" s="286"/>
      <c r="S775" s="286"/>
      <c r="T775" s="286"/>
      <c r="U775" s="286"/>
      <c r="V775" s="286"/>
      <c r="W775" s="286"/>
    </row>
    <row r="776">
      <c r="A776" s="286"/>
      <c r="B776" s="286"/>
      <c r="C776" s="529"/>
      <c r="D776" s="306"/>
      <c r="E776" s="306"/>
      <c r="F776" s="306"/>
      <c r="G776" s="286"/>
      <c r="H776" s="286"/>
      <c r="I776" s="286"/>
      <c r="J776" s="529"/>
      <c r="K776" s="286"/>
      <c r="L776" s="286"/>
      <c r="M776" s="529"/>
      <c r="N776" s="529"/>
      <c r="O776" s="529"/>
      <c r="P776" s="529"/>
      <c r="Q776" s="529"/>
      <c r="R776" s="286"/>
      <c r="S776" s="286"/>
      <c r="T776" s="286"/>
      <c r="U776" s="286"/>
      <c r="V776" s="286"/>
      <c r="W776" s="286"/>
    </row>
    <row r="777">
      <c r="A777" s="286"/>
      <c r="B777" s="286"/>
      <c r="C777" s="529"/>
      <c r="D777" s="306"/>
      <c r="E777" s="306"/>
      <c r="F777" s="306"/>
      <c r="G777" s="286"/>
      <c r="H777" s="286"/>
      <c r="I777" s="286"/>
      <c r="J777" s="529"/>
      <c r="K777" s="286"/>
      <c r="L777" s="286"/>
      <c r="M777" s="529"/>
      <c r="N777" s="529"/>
      <c r="O777" s="529"/>
      <c r="P777" s="529"/>
      <c r="Q777" s="529"/>
      <c r="R777" s="286"/>
      <c r="S777" s="286"/>
      <c r="T777" s="286"/>
      <c r="U777" s="286"/>
      <c r="V777" s="286"/>
      <c r="W777" s="286"/>
    </row>
    <row r="778">
      <c r="A778" s="286"/>
      <c r="B778" s="286"/>
      <c r="C778" s="529"/>
      <c r="D778" s="306"/>
      <c r="E778" s="306"/>
      <c r="F778" s="306"/>
      <c r="G778" s="286"/>
      <c r="H778" s="286"/>
      <c r="I778" s="286"/>
      <c r="J778" s="529"/>
      <c r="K778" s="286"/>
      <c r="L778" s="286"/>
      <c r="M778" s="529"/>
      <c r="N778" s="529"/>
      <c r="O778" s="529"/>
      <c r="P778" s="529"/>
      <c r="Q778" s="529"/>
      <c r="R778" s="286"/>
      <c r="S778" s="286"/>
      <c r="T778" s="286"/>
      <c r="U778" s="286"/>
      <c r="V778" s="286"/>
      <c r="W778" s="286"/>
    </row>
    <row r="779">
      <c r="A779" s="286"/>
      <c r="B779" s="286"/>
      <c r="C779" s="529"/>
      <c r="D779" s="306"/>
      <c r="E779" s="306"/>
      <c r="F779" s="306"/>
      <c r="G779" s="286"/>
      <c r="H779" s="286"/>
      <c r="I779" s="286"/>
      <c r="J779" s="529"/>
      <c r="K779" s="286"/>
      <c r="L779" s="286"/>
      <c r="M779" s="529"/>
      <c r="N779" s="529"/>
      <c r="O779" s="529"/>
      <c r="P779" s="529"/>
      <c r="Q779" s="529"/>
      <c r="R779" s="286"/>
      <c r="S779" s="286"/>
      <c r="T779" s="286"/>
      <c r="U779" s="286"/>
      <c r="V779" s="286"/>
      <c r="W779" s="286"/>
    </row>
    <row r="780">
      <c r="A780" s="286"/>
      <c r="B780" s="286"/>
      <c r="C780" s="529"/>
      <c r="D780" s="306"/>
      <c r="E780" s="306"/>
      <c r="F780" s="306"/>
      <c r="G780" s="286"/>
      <c r="H780" s="286"/>
      <c r="I780" s="286"/>
      <c r="J780" s="529"/>
      <c r="K780" s="286"/>
      <c r="L780" s="286"/>
      <c r="M780" s="529"/>
      <c r="N780" s="529"/>
      <c r="O780" s="529"/>
      <c r="P780" s="529"/>
      <c r="Q780" s="529"/>
      <c r="R780" s="286"/>
      <c r="S780" s="286"/>
      <c r="T780" s="286"/>
      <c r="U780" s="286"/>
      <c r="V780" s="286"/>
      <c r="W780" s="286"/>
    </row>
    <row r="781">
      <c r="A781" s="286"/>
      <c r="B781" s="286"/>
      <c r="C781" s="529"/>
      <c r="D781" s="306"/>
      <c r="E781" s="306"/>
      <c r="F781" s="306"/>
      <c r="G781" s="286"/>
      <c r="H781" s="286"/>
      <c r="I781" s="286"/>
      <c r="J781" s="529"/>
      <c r="K781" s="286"/>
      <c r="L781" s="286"/>
      <c r="M781" s="529"/>
      <c r="N781" s="529"/>
      <c r="O781" s="529"/>
      <c r="P781" s="529"/>
      <c r="Q781" s="529"/>
      <c r="R781" s="286"/>
      <c r="S781" s="286"/>
      <c r="T781" s="286"/>
      <c r="U781" s="286"/>
      <c r="V781" s="286"/>
      <c r="W781" s="286"/>
    </row>
    <row r="782">
      <c r="A782" s="286"/>
      <c r="B782" s="286"/>
      <c r="C782" s="529"/>
      <c r="D782" s="306"/>
      <c r="E782" s="306"/>
      <c r="F782" s="306"/>
      <c r="G782" s="286"/>
      <c r="H782" s="286"/>
      <c r="I782" s="286"/>
      <c r="J782" s="529"/>
      <c r="K782" s="286"/>
      <c r="L782" s="286"/>
      <c r="M782" s="529"/>
      <c r="N782" s="529"/>
      <c r="O782" s="529"/>
      <c r="P782" s="529"/>
      <c r="Q782" s="529"/>
      <c r="R782" s="286"/>
      <c r="S782" s="286"/>
      <c r="T782" s="286"/>
      <c r="U782" s="286"/>
      <c r="V782" s="286"/>
      <c r="W782" s="286"/>
    </row>
    <row r="783">
      <c r="A783" s="286"/>
      <c r="B783" s="286"/>
      <c r="C783" s="529"/>
      <c r="D783" s="306"/>
      <c r="E783" s="306"/>
      <c r="F783" s="306"/>
      <c r="G783" s="286"/>
      <c r="H783" s="286"/>
      <c r="I783" s="286"/>
      <c r="J783" s="529"/>
      <c r="K783" s="286"/>
      <c r="L783" s="286"/>
      <c r="M783" s="529"/>
      <c r="N783" s="529"/>
      <c r="O783" s="529"/>
      <c r="P783" s="529"/>
      <c r="Q783" s="529"/>
      <c r="R783" s="286"/>
      <c r="S783" s="286"/>
      <c r="T783" s="286"/>
      <c r="U783" s="286"/>
      <c r="V783" s="286"/>
      <c r="W783" s="286"/>
    </row>
    <row r="784">
      <c r="A784" s="286"/>
      <c r="B784" s="286"/>
      <c r="C784" s="529"/>
      <c r="D784" s="306"/>
      <c r="E784" s="306"/>
      <c r="F784" s="306"/>
      <c r="G784" s="286"/>
      <c r="H784" s="286"/>
      <c r="I784" s="286"/>
      <c r="J784" s="529"/>
      <c r="K784" s="286"/>
      <c r="L784" s="286"/>
      <c r="M784" s="529"/>
      <c r="N784" s="529"/>
      <c r="O784" s="529"/>
      <c r="P784" s="529"/>
      <c r="Q784" s="529"/>
      <c r="R784" s="286"/>
      <c r="S784" s="286"/>
      <c r="T784" s="286"/>
      <c r="U784" s="286"/>
      <c r="V784" s="286"/>
      <c r="W784" s="286"/>
    </row>
    <row r="785">
      <c r="A785" s="286"/>
      <c r="B785" s="286"/>
      <c r="C785" s="529"/>
      <c r="D785" s="306"/>
      <c r="E785" s="306"/>
      <c r="F785" s="306"/>
      <c r="G785" s="286"/>
      <c r="H785" s="286"/>
      <c r="I785" s="286"/>
      <c r="J785" s="529"/>
      <c r="K785" s="286"/>
      <c r="L785" s="286"/>
      <c r="M785" s="529"/>
      <c r="N785" s="529"/>
      <c r="O785" s="529"/>
      <c r="P785" s="529"/>
      <c r="Q785" s="529"/>
      <c r="R785" s="286"/>
      <c r="S785" s="286"/>
      <c r="T785" s="286"/>
      <c r="U785" s="286"/>
      <c r="V785" s="286"/>
      <c r="W785" s="286"/>
    </row>
    <row r="786">
      <c r="A786" s="286"/>
      <c r="B786" s="286"/>
      <c r="C786" s="529"/>
      <c r="D786" s="306"/>
      <c r="E786" s="306"/>
      <c r="F786" s="306"/>
      <c r="G786" s="286"/>
      <c r="H786" s="286"/>
      <c r="I786" s="286"/>
      <c r="J786" s="529"/>
      <c r="K786" s="286"/>
      <c r="L786" s="286"/>
      <c r="M786" s="529"/>
      <c r="N786" s="529"/>
      <c r="O786" s="529"/>
      <c r="P786" s="529"/>
      <c r="Q786" s="529"/>
      <c r="R786" s="286"/>
      <c r="S786" s="286"/>
      <c r="T786" s="286"/>
      <c r="U786" s="286"/>
      <c r="V786" s="286"/>
      <c r="W786" s="286"/>
    </row>
    <row r="787">
      <c r="A787" s="286"/>
      <c r="B787" s="286"/>
      <c r="C787" s="529"/>
      <c r="D787" s="306"/>
      <c r="E787" s="306"/>
      <c r="F787" s="306"/>
      <c r="G787" s="286"/>
      <c r="H787" s="286"/>
      <c r="I787" s="286"/>
      <c r="J787" s="529"/>
      <c r="K787" s="286"/>
      <c r="L787" s="286"/>
      <c r="M787" s="529"/>
      <c r="N787" s="529"/>
      <c r="O787" s="529"/>
      <c r="P787" s="529"/>
      <c r="Q787" s="529"/>
      <c r="R787" s="286"/>
      <c r="S787" s="286"/>
      <c r="T787" s="286"/>
      <c r="U787" s="286"/>
      <c r="V787" s="286"/>
      <c r="W787" s="286"/>
    </row>
    <row r="788">
      <c r="A788" s="286"/>
      <c r="B788" s="286"/>
      <c r="C788" s="529"/>
      <c r="D788" s="306"/>
      <c r="E788" s="306"/>
      <c r="F788" s="306"/>
      <c r="G788" s="286"/>
      <c r="H788" s="286"/>
      <c r="I788" s="286"/>
      <c r="J788" s="529"/>
      <c r="K788" s="286"/>
      <c r="L788" s="286"/>
      <c r="M788" s="529"/>
      <c r="N788" s="529"/>
      <c r="O788" s="529"/>
      <c r="P788" s="529"/>
      <c r="Q788" s="529"/>
      <c r="R788" s="286"/>
      <c r="S788" s="286"/>
      <c r="T788" s="286"/>
      <c r="U788" s="286"/>
      <c r="V788" s="286"/>
      <c r="W788" s="286"/>
    </row>
    <row r="789">
      <c r="A789" s="286"/>
      <c r="B789" s="286"/>
      <c r="C789" s="529"/>
      <c r="D789" s="306"/>
      <c r="E789" s="306"/>
      <c r="F789" s="306"/>
      <c r="G789" s="286"/>
      <c r="H789" s="286"/>
      <c r="I789" s="286"/>
      <c r="J789" s="529"/>
      <c r="K789" s="286"/>
      <c r="L789" s="286"/>
      <c r="M789" s="529"/>
      <c r="N789" s="529"/>
      <c r="O789" s="529"/>
      <c r="P789" s="529"/>
      <c r="Q789" s="529"/>
      <c r="R789" s="286"/>
      <c r="S789" s="286"/>
      <c r="T789" s="286"/>
      <c r="U789" s="286"/>
      <c r="V789" s="286"/>
      <c r="W789" s="286"/>
    </row>
    <row r="790">
      <c r="A790" s="286"/>
      <c r="B790" s="286"/>
      <c r="C790" s="529"/>
      <c r="D790" s="306"/>
      <c r="E790" s="306"/>
      <c r="F790" s="306"/>
      <c r="G790" s="286"/>
      <c r="H790" s="286"/>
      <c r="I790" s="286"/>
      <c r="J790" s="529"/>
      <c r="K790" s="286"/>
      <c r="L790" s="286"/>
      <c r="M790" s="529"/>
      <c r="N790" s="529"/>
      <c r="O790" s="529"/>
      <c r="P790" s="529"/>
      <c r="Q790" s="529"/>
      <c r="R790" s="286"/>
      <c r="S790" s="286"/>
      <c r="T790" s="286"/>
      <c r="U790" s="286"/>
      <c r="V790" s="286"/>
      <c r="W790" s="286"/>
    </row>
    <row r="791">
      <c r="A791" s="286"/>
      <c r="B791" s="286"/>
      <c r="C791" s="529"/>
      <c r="D791" s="306"/>
      <c r="E791" s="306"/>
      <c r="F791" s="306"/>
      <c r="G791" s="286"/>
      <c r="H791" s="286"/>
      <c r="I791" s="286"/>
      <c r="J791" s="529"/>
      <c r="K791" s="286"/>
      <c r="L791" s="286"/>
      <c r="M791" s="529"/>
      <c r="N791" s="529"/>
      <c r="O791" s="529"/>
      <c r="P791" s="529"/>
      <c r="Q791" s="529"/>
      <c r="R791" s="286"/>
      <c r="S791" s="286"/>
      <c r="T791" s="286"/>
      <c r="U791" s="286"/>
      <c r="V791" s="286"/>
      <c r="W791" s="286"/>
    </row>
    <row r="792">
      <c r="A792" s="286"/>
      <c r="B792" s="286"/>
      <c r="C792" s="529"/>
      <c r="D792" s="306"/>
      <c r="E792" s="306"/>
      <c r="F792" s="306"/>
      <c r="G792" s="286"/>
      <c r="H792" s="286"/>
      <c r="I792" s="286"/>
      <c r="J792" s="529"/>
      <c r="K792" s="286"/>
      <c r="L792" s="286"/>
      <c r="M792" s="529"/>
      <c r="N792" s="529"/>
      <c r="O792" s="529"/>
      <c r="P792" s="529"/>
      <c r="Q792" s="529"/>
      <c r="R792" s="286"/>
      <c r="S792" s="286"/>
      <c r="T792" s="286"/>
      <c r="U792" s="286"/>
      <c r="V792" s="286"/>
      <c r="W792" s="286"/>
    </row>
    <row r="793">
      <c r="A793" s="286"/>
      <c r="B793" s="286"/>
      <c r="C793" s="529"/>
      <c r="D793" s="306"/>
      <c r="E793" s="306"/>
      <c r="F793" s="306"/>
      <c r="G793" s="286"/>
      <c r="H793" s="286"/>
      <c r="I793" s="286"/>
      <c r="J793" s="529"/>
      <c r="K793" s="286"/>
      <c r="L793" s="286"/>
      <c r="M793" s="529"/>
      <c r="N793" s="529"/>
      <c r="O793" s="529"/>
      <c r="P793" s="529"/>
      <c r="Q793" s="529"/>
      <c r="R793" s="286"/>
      <c r="S793" s="286"/>
      <c r="T793" s="286"/>
      <c r="U793" s="286"/>
      <c r="V793" s="286"/>
      <c r="W793" s="286"/>
    </row>
    <row r="794">
      <c r="A794" s="286"/>
      <c r="B794" s="286"/>
      <c r="C794" s="529"/>
      <c r="D794" s="306"/>
      <c r="E794" s="306"/>
      <c r="F794" s="306"/>
      <c r="G794" s="286"/>
      <c r="H794" s="286"/>
      <c r="I794" s="286"/>
      <c r="J794" s="529"/>
      <c r="K794" s="286"/>
      <c r="L794" s="286"/>
      <c r="M794" s="529"/>
      <c r="N794" s="529"/>
      <c r="O794" s="529"/>
      <c r="P794" s="529"/>
      <c r="Q794" s="529"/>
      <c r="R794" s="286"/>
      <c r="S794" s="286"/>
      <c r="T794" s="286"/>
      <c r="U794" s="286"/>
      <c r="V794" s="286"/>
      <c r="W794" s="286"/>
    </row>
    <row r="795">
      <c r="A795" s="286"/>
      <c r="B795" s="286"/>
      <c r="C795" s="529"/>
      <c r="D795" s="306"/>
      <c r="E795" s="306"/>
      <c r="F795" s="306"/>
      <c r="G795" s="286"/>
      <c r="H795" s="286"/>
      <c r="I795" s="286"/>
      <c r="J795" s="529"/>
      <c r="K795" s="286"/>
      <c r="L795" s="286"/>
      <c r="M795" s="529"/>
      <c r="N795" s="529"/>
      <c r="O795" s="529"/>
      <c r="P795" s="529"/>
      <c r="Q795" s="529"/>
      <c r="R795" s="286"/>
      <c r="S795" s="286"/>
      <c r="T795" s="286"/>
      <c r="U795" s="286"/>
      <c r="V795" s="286"/>
      <c r="W795" s="286"/>
    </row>
    <row r="796">
      <c r="A796" s="286"/>
      <c r="B796" s="286"/>
      <c r="C796" s="529"/>
      <c r="D796" s="306"/>
      <c r="E796" s="306"/>
      <c r="F796" s="306"/>
      <c r="G796" s="286"/>
      <c r="H796" s="286"/>
      <c r="I796" s="286"/>
      <c r="J796" s="529"/>
      <c r="K796" s="286"/>
      <c r="L796" s="286"/>
      <c r="M796" s="529"/>
      <c r="N796" s="529"/>
      <c r="O796" s="529"/>
      <c r="P796" s="529"/>
      <c r="Q796" s="529"/>
      <c r="R796" s="286"/>
      <c r="S796" s="286"/>
      <c r="T796" s="286"/>
      <c r="U796" s="286"/>
      <c r="V796" s="286"/>
      <c r="W796" s="286"/>
    </row>
    <row r="797">
      <c r="A797" s="286"/>
      <c r="B797" s="286"/>
      <c r="C797" s="529"/>
      <c r="D797" s="306"/>
      <c r="E797" s="306"/>
      <c r="F797" s="306"/>
      <c r="G797" s="286"/>
      <c r="H797" s="286"/>
      <c r="I797" s="286"/>
      <c r="J797" s="529"/>
      <c r="K797" s="286"/>
      <c r="L797" s="286"/>
      <c r="M797" s="529"/>
      <c r="N797" s="529"/>
      <c r="O797" s="529"/>
      <c r="P797" s="529"/>
      <c r="Q797" s="529"/>
      <c r="R797" s="286"/>
      <c r="S797" s="286"/>
      <c r="T797" s="286"/>
      <c r="U797" s="286"/>
      <c r="V797" s="286"/>
      <c r="W797" s="286"/>
    </row>
    <row r="798">
      <c r="A798" s="286"/>
      <c r="B798" s="286"/>
      <c r="C798" s="529"/>
      <c r="D798" s="306"/>
      <c r="E798" s="306"/>
      <c r="F798" s="306"/>
      <c r="G798" s="286"/>
      <c r="H798" s="286"/>
      <c r="I798" s="286"/>
      <c r="J798" s="529"/>
      <c r="K798" s="286"/>
      <c r="L798" s="286"/>
      <c r="M798" s="529"/>
      <c r="N798" s="529"/>
      <c r="O798" s="529"/>
      <c r="P798" s="529"/>
      <c r="Q798" s="529"/>
      <c r="R798" s="286"/>
      <c r="S798" s="286"/>
      <c r="T798" s="286"/>
      <c r="U798" s="286"/>
      <c r="V798" s="286"/>
      <c r="W798" s="286"/>
    </row>
    <row r="799">
      <c r="A799" s="286"/>
      <c r="B799" s="286"/>
      <c r="C799" s="529"/>
      <c r="D799" s="306"/>
      <c r="E799" s="306"/>
      <c r="F799" s="306"/>
      <c r="G799" s="286"/>
      <c r="H799" s="286"/>
      <c r="I799" s="286"/>
      <c r="J799" s="529"/>
      <c r="K799" s="286"/>
      <c r="L799" s="286"/>
      <c r="M799" s="529"/>
      <c r="N799" s="529"/>
      <c r="O799" s="529"/>
      <c r="P799" s="529"/>
      <c r="Q799" s="529"/>
      <c r="R799" s="286"/>
      <c r="S799" s="286"/>
      <c r="T799" s="286"/>
      <c r="U799" s="286"/>
      <c r="V799" s="286"/>
      <c r="W799" s="286"/>
    </row>
    <row r="800">
      <c r="A800" s="286"/>
      <c r="B800" s="286"/>
      <c r="C800" s="529"/>
      <c r="D800" s="306"/>
      <c r="E800" s="306"/>
      <c r="F800" s="306"/>
      <c r="G800" s="286"/>
      <c r="H800" s="286"/>
      <c r="I800" s="286"/>
      <c r="J800" s="529"/>
      <c r="K800" s="286"/>
      <c r="L800" s="286"/>
      <c r="M800" s="529"/>
      <c r="N800" s="529"/>
      <c r="O800" s="529"/>
      <c r="P800" s="529"/>
      <c r="Q800" s="529"/>
      <c r="R800" s="286"/>
      <c r="S800" s="286"/>
      <c r="T800" s="286"/>
      <c r="U800" s="286"/>
      <c r="V800" s="286"/>
      <c r="W800" s="286"/>
    </row>
    <row r="801">
      <c r="A801" s="286"/>
      <c r="B801" s="286"/>
      <c r="C801" s="529"/>
      <c r="D801" s="306"/>
      <c r="E801" s="306"/>
      <c r="F801" s="306"/>
      <c r="G801" s="286"/>
      <c r="H801" s="286"/>
      <c r="I801" s="286"/>
      <c r="J801" s="529"/>
      <c r="K801" s="286"/>
      <c r="L801" s="286"/>
      <c r="M801" s="529"/>
      <c r="N801" s="529"/>
      <c r="O801" s="529"/>
      <c r="P801" s="529"/>
      <c r="Q801" s="529"/>
      <c r="R801" s="286"/>
      <c r="S801" s="286"/>
      <c r="T801" s="286"/>
      <c r="U801" s="286"/>
      <c r="V801" s="286"/>
      <c r="W801" s="286"/>
    </row>
    <row r="802">
      <c r="A802" s="286"/>
      <c r="B802" s="286"/>
      <c r="C802" s="529"/>
      <c r="D802" s="306"/>
      <c r="E802" s="306"/>
      <c r="F802" s="306"/>
      <c r="G802" s="286"/>
      <c r="H802" s="286"/>
      <c r="I802" s="286"/>
      <c r="J802" s="529"/>
      <c r="K802" s="286"/>
      <c r="L802" s="286"/>
      <c r="M802" s="529"/>
      <c r="N802" s="529"/>
      <c r="O802" s="529"/>
      <c r="P802" s="529"/>
      <c r="Q802" s="529"/>
      <c r="R802" s="286"/>
      <c r="S802" s="286"/>
      <c r="T802" s="286"/>
      <c r="U802" s="286"/>
      <c r="V802" s="286"/>
      <c r="W802" s="286"/>
    </row>
    <row r="803">
      <c r="A803" s="286"/>
      <c r="B803" s="286"/>
      <c r="C803" s="529"/>
      <c r="D803" s="306"/>
      <c r="E803" s="306"/>
      <c r="F803" s="306"/>
      <c r="G803" s="286"/>
      <c r="H803" s="286"/>
      <c r="I803" s="286"/>
      <c r="J803" s="529"/>
      <c r="K803" s="286"/>
      <c r="L803" s="286"/>
      <c r="M803" s="529"/>
      <c r="N803" s="529"/>
      <c r="O803" s="529"/>
      <c r="P803" s="529"/>
      <c r="Q803" s="529"/>
      <c r="R803" s="286"/>
      <c r="S803" s="286"/>
      <c r="T803" s="286"/>
      <c r="U803" s="286"/>
      <c r="V803" s="286"/>
      <c r="W803" s="286"/>
    </row>
    <row r="804">
      <c r="A804" s="286"/>
      <c r="B804" s="286"/>
      <c r="C804" s="529"/>
      <c r="D804" s="306"/>
      <c r="E804" s="306"/>
      <c r="F804" s="306"/>
      <c r="G804" s="286"/>
      <c r="H804" s="286"/>
      <c r="I804" s="286"/>
      <c r="J804" s="529"/>
      <c r="K804" s="286"/>
      <c r="L804" s="286"/>
      <c r="M804" s="529"/>
      <c r="N804" s="529"/>
      <c r="O804" s="529"/>
      <c r="P804" s="529"/>
      <c r="Q804" s="529"/>
      <c r="R804" s="286"/>
      <c r="S804" s="286"/>
      <c r="T804" s="286"/>
      <c r="U804" s="286"/>
      <c r="V804" s="286"/>
      <c r="W804" s="286"/>
    </row>
    <row r="805">
      <c r="A805" s="286"/>
      <c r="B805" s="286"/>
      <c r="C805" s="529"/>
      <c r="D805" s="306"/>
      <c r="E805" s="306"/>
      <c r="F805" s="306"/>
      <c r="G805" s="286"/>
      <c r="H805" s="286"/>
      <c r="I805" s="286"/>
      <c r="J805" s="529"/>
      <c r="K805" s="286"/>
      <c r="L805" s="286"/>
      <c r="M805" s="529"/>
      <c r="N805" s="529"/>
      <c r="O805" s="529"/>
      <c r="P805" s="529"/>
      <c r="Q805" s="529"/>
      <c r="R805" s="286"/>
      <c r="S805" s="286"/>
      <c r="T805" s="286"/>
      <c r="U805" s="286"/>
      <c r="V805" s="286"/>
      <c r="W805" s="286"/>
    </row>
    <row r="806">
      <c r="A806" s="286"/>
      <c r="B806" s="286"/>
      <c r="C806" s="529"/>
      <c r="D806" s="306"/>
      <c r="E806" s="306"/>
      <c r="F806" s="306"/>
      <c r="G806" s="286"/>
      <c r="H806" s="286"/>
      <c r="I806" s="286"/>
      <c r="J806" s="529"/>
      <c r="K806" s="286"/>
      <c r="L806" s="286"/>
      <c r="M806" s="529"/>
      <c r="N806" s="529"/>
      <c r="O806" s="529"/>
      <c r="P806" s="529"/>
      <c r="Q806" s="529"/>
      <c r="R806" s="286"/>
      <c r="S806" s="286"/>
      <c r="T806" s="286"/>
      <c r="U806" s="286"/>
      <c r="V806" s="286"/>
      <c r="W806" s="286"/>
    </row>
    <row r="807">
      <c r="A807" s="286"/>
      <c r="B807" s="286"/>
      <c r="C807" s="529"/>
      <c r="D807" s="306"/>
      <c r="E807" s="306"/>
      <c r="F807" s="306"/>
      <c r="G807" s="286"/>
      <c r="H807" s="286"/>
      <c r="I807" s="286"/>
      <c r="J807" s="529"/>
      <c r="K807" s="286"/>
      <c r="L807" s="286"/>
      <c r="M807" s="529"/>
      <c r="N807" s="529"/>
      <c r="O807" s="529"/>
      <c r="P807" s="529"/>
      <c r="Q807" s="529"/>
      <c r="R807" s="286"/>
      <c r="S807" s="286"/>
      <c r="T807" s="286"/>
      <c r="U807" s="286"/>
      <c r="V807" s="286"/>
      <c r="W807" s="286"/>
    </row>
    <row r="808">
      <c r="A808" s="286"/>
      <c r="B808" s="286"/>
      <c r="C808" s="529"/>
      <c r="D808" s="306"/>
      <c r="E808" s="306"/>
      <c r="F808" s="306"/>
      <c r="G808" s="286"/>
      <c r="H808" s="286"/>
      <c r="I808" s="286"/>
      <c r="J808" s="529"/>
      <c r="K808" s="286"/>
      <c r="L808" s="286"/>
      <c r="M808" s="529"/>
      <c r="N808" s="529"/>
      <c r="O808" s="529"/>
      <c r="P808" s="529"/>
      <c r="Q808" s="529"/>
      <c r="R808" s="286"/>
      <c r="S808" s="286"/>
      <c r="T808" s="286"/>
      <c r="U808" s="286"/>
      <c r="V808" s="286"/>
      <c r="W808" s="286"/>
    </row>
    <row r="809">
      <c r="A809" s="286"/>
      <c r="B809" s="286"/>
      <c r="C809" s="529"/>
      <c r="D809" s="306"/>
      <c r="E809" s="306"/>
      <c r="F809" s="306"/>
      <c r="G809" s="286"/>
      <c r="H809" s="286"/>
      <c r="I809" s="286"/>
      <c r="J809" s="529"/>
      <c r="K809" s="286"/>
      <c r="L809" s="286"/>
      <c r="M809" s="529"/>
      <c r="N809" s="529"/>
      <c r="O809" s="529"/>
      <c r="P809" s="529"/>
      <c r="Q809" s="529"/>
      <c r="R809" s="286"/>
      <c r="S809" s="286"/>
      <c r="T809" s="286"/>
      <c r="U809" s="286"/>
      <c r="V809" s="286"/>
      <c r="W809" s="286"/>
    </row>
    <row r="810">
      <c r="A810" s="286"/>
      <c r="B810" s="286"/>
      <c r="C810" s="529"/>
      <c r="D810" s="306"/>
      <c r="E810" s="306"/>
      <c r="F810" s="306"/>
      <c r="G810" s="286"/>
      <c r="H810" s="286"/>
      <c r="I810" s="286"/>
      <c r="J810" s="529"/>
      <c r="K810" s="286"/>
      <c r="L810" s="286"/>
      <c r="M810" s="529"/>
      <c r="N810" s="529"/>
      <c r="O810" s="529"/>
      <c r="P810" s="529"/>
      <c r="Q810" s="529"/>
      <c r="R810" s="286"/>
      <c r="S810" s="286"/>
      <c r="T810" s="286"/>
      <c r="U810" s="286"/>
      <c r="V810" s="286"/>
      <c r="W810" s="286"/>
    </row>
    <row r="811">
      <c r="A811" s="286"/>
      <c r="B811" s="286"/>
      <c r="C811" s="529"/>
      <c r="D811" s="306"/>
      <c r="E811" s="306"/>
      <c r="F811" s="306"/>
      <c r="G811" s="286"/>
      <c r="H811" s="286"/>
      <c r="I811" s="286"/>
      <c r="J811" s="529"/>
      <c r="K811" s="286"/>
      <c r="L811" s="286"/>
      <c r="M811" s="529"/>
      <c r="N811" s="529"/>
      <c r="O811" s="529"/>
      <c r="P811" s="529"/>
      <c r="Q811" s="529"/>
      <c r="R811" s="286"/>
      <c r="S811" s="286"/>
      <c r="T811" s="286"/>
      <c r="U811" s="286"/>
      <c r="V811" s="286"/>
      <c r="W811" s="286"/>
    </row>
    <row r="812">
      <c r="A812" s="286"/>
      <c r="B812" s="286"/>
      <c r="C812" s="529"/>
      <c r="D812" s="306"/>
      <c r="E812" s="306"/>
      <c r="F812" s="306"/>
      <c r="G812" s="286"/>
      <c r="H812" s="286"/>
      <c r="I812" s="286"/>
      <c r="J812" s="529"/>
      <c r="K812" s="286"/>
      <c r="L812" s="286"/>
      <c r="M812" s="529"/>
      <c r="N812" s="529"/>
      <c r="O812" s="529"/>
      <c r="P812" s="529"/>
      <c r="Q812" s="529"/>
      <c r="R812" s="286"/>
      <c r="S812" s="286"/>
      <c r="T812" s="286"/>
      <c r="U812" s="286"/>
      <c r="V812" s="286"/>
      <c r="W812" s="286"/>
    </row>
    <row r="813">
      <c r="A813" s="286"/>
      <c r="B813" s="286"/>
      <c r="C813" s="529"/>
      <c r="D813" s="306"/>
      <c r="E813" s="306"/>
      <c r="F813" s="306"/>
      <c r="G813" s="286"/>
      <c r="H813" s="286"/>
      <c r="I813" s="286"/>
      <c r="J813" s="529"/>
      <c r="K813" s="286"/>
      <c r="L813" s="286"/>
      <c r="M813" s="529"/>
      <c r="N813" s="529"/>
      <c r="O813" s="529"/>
      <c r="P813" s="529"/>
      <c r="Q813" s="529"/>
      <c r="R813" s="286"/>
      <c r="S813" s="286"/>
      <c r="T813" s="286"/>
      <c r="U813" s="286"/>
      <c r="V813" s="286"/>
      <c r="W813" s="286"/>
    </row>
    <row r="814">
      <c r="A814" s="286"/>
      <c r="B814" s="286"/>
      <c r="C814" s="529"/>
      <c r="D814" s="306"/>
      <c r="E814" s="306"/>
      <c r="F814" s="306"/>
      <c r="G814" s="286"/>
      <c r="H814" s="286"/>
      <c r="I814" s="286"/>
      <c r="J814" s="529"/>
      <c r="K814" s="286"/>
      <c r="L814" s="286"/>
      <c r="M814" s="529"/>
      <c r="N814" s="529"/>
      <c r="O814" s="529"/>
      <c r="P814" s="529"/>
      <c r="Q814" s="529"/>
      <c r="R814" s="286"/>
      <c r="S814" s="286"/>
      <c r="T814" s="286"/>
      <c r="U814" s="286"/>
      <c r="V814" s="286"/>
      <c r="W814" s="286"/>
    </row>
    <row r="815">
      <c r="A815" s="286"/>
      <c r="B815" s="286"/>
      <c r="C815" s="529"/>
      <c r="D815" s="306"/>
      <c r="E815" s="306"/>
      <c r="F815" s="306"/>
      <c r="G815" s="286"/>
      <c r="H815" s="286"/>
      <c r="I815" s="286"/>
      <c r="J815" s="529"/>
      <c r="K815" s="286"/>
      <c r="L815" s="286"/>
      <c r="M815" s="529"/>
      <c r="N815" s="529"/>
      <c r="O815" s="529"/>
      <c r="P815" s="529"/>
      <c r="Q815" s="529"/>
      <c r="R815" s="286"/>
      <c r="S815" s="286"/>
      <c r="T815" s="286"/>
      <c r="U815" s="286"/>
      <c r="V815" s="286"/>
      <c r="W815" s="286"/>
    </row>
    <row r="816">
      <c r="A816" s="286"/>
      <c r="B816" s="286"/>
      <c r="C816" s="529"/>
      <c r="D816" s="306"/>
      <c r="E816" s="306"/>
      <c r="F816" s="306"/>
      <c r="G816" s="286"/>
      <c r="H816" s="286"/>
      <c r="I816" s="286"/>
      <c r="J816" s="529"/>
      <c r="K816" s="286"/>
      <c r="L816" s="286"/>
      <c r="M816" s="529"/>
      <c r="N816" s="529"/>
      <c r="O816" s="529"/>
      <c r="P816" s="529"/>
      <c r="Q816" s="529"/>
      <c r="R816" s="286"/>
      <c r="S816" s="286"/>
      <c r="T816" s="286"/>
      <c r="U816" s="286"/>
      <c r="V816" s="286"/>
      <c r="W816" s="286"/>
    </row>
    <row r="817">
      <c r="A817" s="286"/>
      <c r="B817" s="286"/>
      <c r="C817" s="529"/>
      <c r="D817" s="306"/>
      <c r="E817" s="306"/>
      <c r="F817" s="306"/>
      <c r="G817" s="286"/>
      <c r="H817" s="286"/>
      <c r="I817" s="286"/>
      <c r="J817" s="529"/>
      <c r="K817" s="286"/>
      <c r="L817" s="286"/>
      <c r="M817" s="529"/>
      <c r="N817" s="529"/>
      <c r="O817" s="529"/>
      <c r="P817" s="529"/>
      <c r="Q817" s="529"/>
      <c r="R817" s="286"/>
      <c r="S817" s="286"/>
      <c r="T817" s="286"/>
      <c r="U817" s="286"/>
      <c r="V817" s="286"/>
      <c r="W817" s="286"/>
    </row>
    <row r="818">
      <c r="A818" s="286"/>
      <c r="B818" s="286"/>
      <c r="C818" s="529"/>
      <c r="D818" s="306"/>
      <c r="E818" s="306"/>
      <c r="F818" s="306"/>
      <c r="G818" s="286"/>
      <c r="H818" s="286"/>
      <c r="I818" s="286"/>
      <c r="J818" s="529"/>
      <c r="K818" s="286"/>
      <c r="L818" s="286"/>
      <c r="M818" s="529"/>
      <c r="N818" s="529"/>
      <c r="O818" s="529"/>
      <c r="P818" s="529"/>
      <c r="Q818" s="529"/>
      <c r="R818" s="286"/>
      <c r="S818" s="286"/>
      <c r="T818" s="286"/>
      <c r="U818" s="286"/>
      <c r="V818" s="286"/>
      <c r="W818" s="286"/>
    </row>
    <row r="819">
      <c r="A819" s="286"/>
      <c r="B819" s="286"/>
      <c r="C819" s="529"/>
      <c r="D819" s="306"/>
      <c r="E819" s="306"/>
      <c r="F819" s="306"/>
      <c r="G819" s="286"/>
      <c r="H819" s="286"/>
      <c r="I819" s="286"/>
      <c r="J819" s="529"/>
      <c r="K819" s="286"/>
      <c r="L819" s="286"/>
      <c r="M819" s="529"/>
      <c r="N819" s="529"/>
      <c r="O819" s="529"/>
      <c r="P819" s="529"/>
      <c r="Q819" s="529"/>
      <c r="R819" s="286"/>
      <c r="S819" s="286"/>
      <c r="T819" s="286"/>
      <c r="U819" s="286"/>
      <c r="V819" s="286"/>
      <c r="W819" s="286"/>
    </row>
    <row r="820">
      <c r="A820" s="286"/>
      <c r="B820" s="286"/>
      <c r="C820" s="529"/>
      <c r="D820" s="306"/>
      <c r="E820" s="306"/>
      <c r="F820" s="306"/>
      <c r="G820" s="286"/>
      <c r="H820" s="286"/>
      <c r="I820" s="286"/>
      <c r="J820" s="529"/>
      <c r="K820" s="286"/>
      <c r="L820" s="286"/>
      <c r="M820" s="529"/>
      <c r="N820" s="529"/>
      <c r="O820" s="529"/>
      <c r="P820" s="529"/>
      <c r="Q820" s="529"/>
      <c r="R820" s="286"/>
      <c r="S820" s="286"/>
      <c r="T820" s="286"/>
      <c r="U820" s="286"/>
      <c r="V820" s="286"/>
      <c r="W820" s="286"/>
    </row>
    <row r="821">
      <c r="A821" s="286"/>
      <c r="B821" s="286"/>
      <c r="C821" s="529"/>
      <c r="D821" s="306"/>
      <c r="E821" s="306"/>
      <c r="F821" s="306"/>
      <c r="G821" s="286"/>
      <c r="H821" s="286"/>
      <c r="I821" s="286"/>
      <c r="J821" s="529"/>
      <c r="K821" s="286"/>
      <c r="L821" s="286"/>
      <c r="M821" s="529"/>
      <c r="N821" s="529"/>
      <c r="O821" s="529"/>
      <c r="P821" s="529"/>
      <c r="Q821" s="529"/>
      <c r="R821" s="286"/>
      <c r="S821" s="286"/>
      <c r="T821" s="286"/>
      <c r="U821" s="286"/>
      <c r="V821" s="286"/>
      <c r="W821" s="286"/>
    </row>
    <row r="822">
      <c r="A822" s="286"/>
      <c r="B822" s="286"/>
      <c r="C822" s="529"/>
      <c r="D822" s="306"/>
      <c r="E822" s="306"/>
      <c r="F822" s="306"/>
      <c r="G822" s="286"/>
      <c r="H822" s="286"/>
      <c r="I822" s="286"/>
      <c r="J822" s="529"/>
      <c r="K822" s="286"/>
      <c r="L822" s="286"/>
      <c r="M822" s="529"/>
      <c r="N822" s="529"/>
      <c r="O822" s="529"/>
      <c r="P822" s="529"/>
      <c r="Q822" s="529"/>
      <c r="R822" s="286"/>
      <c r="S822" s="286"/>
      <c r="T822" s="286"/>
      <c r="U822" s="286"/>
      <c r="V822" s="286"/>
      <c r="W822" s="286"/>
    </row>
    <row r="823">
      <c r="A823" s="286"/>
      <c r="B823" s="286"/>
      <c r="C823" s="529"/>
      <c r="D823" s="306"/>
      <c r="E823" s="306"/>
      <c r="F823" s="306"/>
      <c r="G823" s="286"/>
      <c r="H823" s="286"/>
      <c r="I823" s="286"/>
      <c r="J823" s="529"/>
      <c r="K823" s="286"/>
      <c r="L823" s="286"/>
      <c r="M823" s="529"/>
      <c r="N823" s="529"/>
      <c r="O823" s="529"/>
      <c r="P823" s="529"/>
      <c r="Q823" s="529"/>
      <c r="R823" s="286"/>
      <c r="S823" s="286"/>
      <c r="T823" s="286"/>
      <c r="U823" s="286"/>
      <c r="V823" s="286"/>
      <c r="W823" s="286"/>
    </row>
    <row r="824">
      <c r="A824" s="286"/>
      <c r="B824" s="286"/>
      <c r="C824" s="529"/>
      <c r="D824" s="306"/>
      <c r="E824" s="306"/>
      <c r="F824" s="306"/>
      <c r="G824" s="286"/>
      <c r="H824" s="286"/>
      <c r="I824" s="286"/>
      <c r="J824" s="529"/>
      <c r="K824" s="286"/>
      <c r="L824" s="286"/>
      <c r="M824" s="529"/>
      <c r="N824" s="529"/>
      <c r="O824" s="529"/>
      <c r="P824" s="529"/>
      <c r="Q824" s="529"/>
      <c r="R824" s="286"/>
      <c r="S824" s="286"/>
      <c r="T824" s="286"/>
      <c r="U824" s="286"/>
      <c r="V824" s="286"/>
      <c r="W824" s="286"/>
    </row>
    <row r="825">
      <c r="A825" s="286"/>
      <c r="B825" s="286"/>
      <c r="C825" s="529"/>
      <c r="D825" s="306"/>
      <c r="E825" s="306"/>
      <c r="F825" s="306"/>
      <c r="G825" s="286"/>
      <c r="H825" s="286"/>
      <c r="I825" s="286"/>
      <c r="J825" s="529"/>
      <c r="K825" s="286"/>
      <c r="L825" s="286"/>
      <c r="M825" s="529"/>
      <c r="N825" s="529"/>
      <c r="O825" s="529"/>
      <c r="P825" s="529"/>
      <c r="Q825" s="529"/>
      <c r="R825" s="286"/>
      <c r="S825" s="286"/>
      <c r="T825" s="286"/>
      <c r="U825" s="286"/>
      <c r="V825" s="286"/>
      <c r="W825" s="286"/>
    </row>
    <row r="826">
      <c r="A826" s="286"/>
      <c r="B826" s="286"/>
      <c r="C826" s="529"/>
      <c r="D826" s="306"/>
      <c r="E826" s="306"/>
      <c r="F826" s="306"/>
      <c r="G826" s="286"/>
      <c r="H826" s="286"/>
      <c r="I826" s="286"/>
      <c r="J826" s="529"/>
      <c r="K826" s="286"/>
      <c r="L826" s="286"/>
      <c r="M826" s="529"/>
      <c r="N826" s="529"/>
      <c r="O826" s="529"/>
      <c r="P826" s="529"/>
      <c r="Q826" s="529"/>
      <c r="R826" s="286"/>
      <c r="S826" s="286"/>
      <c r="T826" s="286"/>
      <c r="U826" s="286"/>
      <c r="V826" s="286"/>
      <c r="W826" s="286"/>
    </row>
    <row r="827">
      <c r="A827" s="286"/>
      <c r="B827" s="286"/>
      <c r="C827" s="529"/>
      <c r="D827" s="306"/>
      <c r="E827" s="306"/>
      <c r="F827" s="306"/>
      <c r="G827" s="286"/>
      <c r="H827" s="286"/>
      <c r="I827" s="286"/>
      <c r="J827" s="529"/>
      <c r="K827" s="286"/>
      <c r="L827" s="286"/>
      <c r="M827" s="529"/>
      <c r="N827" s="529"/>
      <c r="O827" s="529"/>
      <c r="P827" s="529"/>
      <c r="Q827" s="529"/>
      <c r="R827" s="286"/>
      <c r="S827" s="286"/>
      <c r="T827" s="286"/>
      <c r="U827" s="286"/>
      <c r="V827" s="286"/>
      <c r="W827" s="286"/>
    </row>
    <row r="828">
      <c r="A828" s="286"/>
      <c r="B828" s="286"/>
      <c r="C828" s="529"/>
      <c r="D828" s="306"/>
      <c r="E828" s="306"/>
      <c r="F828" s="306"/>
      <c r="G828" s="286"/>
      <c r="H828" s="286"/>
      <c r="I828" s="286"/>
      <c r="J828" s="529"/>
      <c r="K828" s="286"/>
      <c r="L828" s="286"/>
      <c r="M828" s="529"/>
      <c r="N828" s="529"/>
      <c r="O828" s="529"/>
      <c r="P828" s="529"/>
      <c r="Q828" s="529"/>
      <c r="R828" s="286"/>
      <c r="S828" s="286"/>
      <c r="T828" s="286"/>
      <c r="U828" s="286"/>
      <c r="V828" s="286"/>
      <c r="W828" s="286"/>
    </row>
    <row r="829">
      <c r="A829" s="286"/>
      <c r="B829" s="286"/>
      <c r="C829" s="529"/>
      <c r="D829" s="306"/>
      <c r="E829" s="306"/>
      <c r="F829" s="306"/>
      <c r="G829" s="286"/>
      <c r="H829" s="286"/>
      <c r="I829" s="286"/>
      <c r="J829" s="529"/>
      <c r="K829" s="286"/>
      <c r="L829" s="286"/>
      <c r="M829" s="529"/>
      <c r="N829" s="529"/>
      <c r="O829" s="529"/>
      <c r="P829" s="529"/>
      <c r="Q829" s="529"/>
      <c r="R829" s="286"/>
      <c r="S829" s="286"/>
      <c r="T829" s="286"/>
      <c r="U829" s="286"/>
      <c r="V829" s="286"/>
      <c r="W829" s="286"/>
    </row>
    <row r="830">
      <c r="A830" s="286"/>
      <c r="B830" s="286"/>
      <c r="C830" s="529"/>
      <c r="D830" s="306"/>
      <c r="E830" s="306"/>
      <c r="F830" s="306"/>
      <c r="G830" s="286"/>
      <c r="H830" s="286"/>
      <c r="I830" s="286"/>
      <c r="J830" s="529"/>
      <c r="K830" s="286"/>
      <c r="L830" s="286"/>
      <c r="M830" s="529"/>
      <c r="N830" s="529"/>
      <c r="O830" s="529"/>
      <c r="P830" s="529"/>
      <c r="Q830" s="529"/>
      <c r="R830" s="286"/>
      <c r="S830" s="286"/>
      <c r="T830" s="286"/>
      <c r="U830" s="286"/>
      <c r="V830" s="286"/>
      <c r="W830" s="286"/>
    </row>
    <row r="831">
      <c r="A831" s="286"/>
      <c r="B831" s="286"/>
      <c r="C831" s="529"/>
      <c r="D831" s="306"/>
      <c r="E831" s="306"/>
      <c r="F831" s="306"/>
      <c r="G831" s="286"/>
      <c r="H831" s="286"/>
      <c r="I831" s="286"/>
      <c r="J831" s="529"/>
      <c r="K831" s="286"/>
      <c r="L831" s="286"/>
      <c r="M831" s="529"/>
      <c r="N831" s="529"/>
      <c r="O831" s="529"/>
      <c r="P831" s="529"/>
      <c r="Q831" s="529"/>
      <c r="R831" s="286"/>
      <c r="S831" s="286"/>
      <c r="T831" s="286"/>
      <c r="U831" s="286"/>
      <c r="V831" s="286"/>
      <c r="W831" s="286"/>
    </row>
    <row r="832">
      <c r="A832" s="286"/>
      <c r="B832" s="286"/>
      <c r="C832" s="529"/>
      <c r="D832" s="306"/>
      <c r="E832" s="306"/>
      <c r="F832" s="306"/>
      <c r="G832" s="286"/>
      <c r="H832" s="286"/>
      <c r="I832" s="286"/>
      <c r="J832" s="529"/>
      <c r="K832" s="286"/>
      <c r="L832" s="286"/>
      <c r="M832" s="529"/>
      <c r="N832" s="529"/>
      <c r="O832" s="529"/>
      <c r="P832" s="529"/>
      <c r="Q832" s="529"/>
      <c r="R832" s="286"/>
      <c r="S832" s="286"/>
      <c r="T832" s="286"/>
      <c r="U832" s="286"/>
      <c r="V832" s="286"/>
      <c r="W832" s="286"/>
    </row>
    <row r="833">
      <c r="A833" s="286"/>
      <c r="B833" s="286"/>
      <c r="C833" s="529"/>
      <c r="D833" s="306"/>
      <c r="E833" s="306"/>
      <c r="F833" s="306"/>
      <c r="G833" s="286"/>
      <c r="H833" s="286"/>
      <c r="I833" s="286"/>
      <c r="J833" s="529"/>
      <c r="K833" s="286"/>
      <c r="L833" s="286"/>
      <c r="M833" s="529"/>
      <c r="N833" s="529"/>
      <c r="O833" s="529"/>
      <c r="P833" s="529"/>
      <c r="Q833" s="529"/>
      <c r="R833" s="286"/>
      <c r="S833" s="286"/>
      <c r="T833" s="286"/>
      <c r="U833" s="286"/>
      <c r="V833" s="286"/>
      <c r="W833" s="286"/>
    </row>
    <row r="834">
      <c r="A834" s="286"/>
      <c r="B834" s="286"/>
      <c r="C834" s="529"/>
      <c r="D834" s="306"/>
      <c r="E834" s="306"/>
      <c r="F834" s="306"/>
      <c r="G834" s="286"/>
      <c r="H834" s="286"/>
      <c r="I834" s="286"/>
      <c r="J834" s="529"/>
      <c r="K834" s="286"/>
      <c r="L834" s="286"/>
      <c r="M834" s="529"/>
      <c r="N834" s="529"/>
      <c r="O834" s="529"/>
      <c r="P834" s="529"/>
      <c r="Q834" s="529"/>
      <c r="R834" s="286"/>
      <c r="S834" s="286"/>
      <c r="T834" s="286"/>
      <c r="U834" s="286"/>
      <c r="V834" s="286"/>
      <c r="W834" s="286"/>
    </row>
    <row r="835">
      <c r="A835" s="286"/>
      <c r="B835" s="286"/>
      <c r="C835" s="529"/>
      <c r="D835" s="306"/>
      <c r="E835" s="306"/>
      <c r="F835" s="306"/>
      <c r="G835" s="286"/>
      <c r="H835" s="286"/>
      <c r="I835" s="286"/>
      <c r="J835" s="529"/>
      <c r="K835" s="286"/>
      <c r="L835" s="286"/>
      <c r="M835" s="529"/>
      <c r="N835" s="529"/>
      <c r="O835" s="529"/>
      <c r="P835" s="529"/>
      <c r="Q835" s="529"/>
      <c r="R835" s="286"/>
      <c r="S835" s="286"/>
      <c r="T835" s="286"/>
      <c r="U835" s="286"/>
      <c r="V835" s="286"/>
      <c r="W835" s="286"/>
    </row>
    <row r="836">
      <c r="A836" s="286"/>
      <c r="B836" s="286"/>
      <c r="C836" s="529"/>
      <c r="D836" s="306"/>
      <c r="E836" s="306"/>
      <c r="F836" s="306"/>
      <c r="G836" s="286"/>
      <c r="H836" s="286"/>
      <c r="I836" s="286"/>
      <c r="J836" s="529"/>
      <c r="K836" s="286"/>
      <c r="L836" s="286"/>
      <c r="M836" s="529"/>
      <c r="N836" s="529"/>
      <c r="O836" s="529"/>
      <c r="P836" s="529"/>
      <c r="Q836" s="529"/>
      <c r="R836" s="286"/>
      <c r="S836" s="286"/>
      <c r="T836" s="286"/>
      <c r="U836" s="286"/>
      <c r="V836" s="286"/>
      <c r="W836" s="286"/>
    </row>
    <row r="837">
      <c r="A837" s="286"/>
      <c r="B837" s="286"/>
      <c r="C837" s="529"/>
      <c r="D837" s="306"/>
      <c r="E837" s="306"/>
      <c r="F837" s="306"/>
      <c r="G837" s="286"/>
      <c r="H837" s="286"/>
      <c r="I837" s="286"/>
      <c r="J837" s="529"/>
      <c r="K837" s="286"/>
      <c r="L837" s="286"/>
      <c r="M837" s="529"/>
      <c r="N837" s="529"/>
      <c r="O837" s="529"/>
      <c r="P837" s="529"/>
      <c r="Q837" s="529"/>
      <c r="R837" s="286"/>
      <c r="S837" s="286"/>
      <c r="T837" s="286"/>
      <c r="U837" s="286"/>
      <c r="V837" s="286"/>
      <c r="W837" s="286"/>
    </row>
    <row r="838">
      <c r="A838" s="286"/>
      <c r="B838" s="286"/>
      <c r="C838" s="529"/>
      <c r="D838" s="306"/>
      <c r="E838" s="306"/>
      <c r="F838" s="306"/>
      <c r="G838" s="286"/>
      <c r="H838" s="286"/>
      <c r="I838" s="286"/>
      <c r="J838" s="529"/>
      <c r="K838" s="286"/>
      <c r="L838" s="286"/>
      <c r="M838" s="529"/>
      <c r="N838" s="529"/>
      <c r="O838" s="529"/>
      <c r="P838" s="529"/>
      <c r="Q838" s="529"/>
      <c r="R838" s="286"/>
      <c r="S838" s="286"/>
      <c r="T838" s="286"/>
      <c r="U838" s="286"/>
      <c r="V838" s="286"/>
      <c r="W838" s="286"/>
    </row>
    <row r="839">
      <c r="A839" s="286"/>
      <c r="B839" s="286"/>
      <c r="C839" s="529"/>
      <c r="D839" s="306"/>
      <c r="E839" s="306"/>
      <c r="F839" s="306"/>
      <c r="G839" s="286"/>
      <c r="H839" s="286"/>
      <c r="I839" s="286"/>
      <c r="J839" s="529"/>
      <c r="K839" s="286"/>
      <c r="L839" s="286"/>
      <c r="M839" s="529"/>
      <c r="N839" s="529"/>
      <c r="O839" s="529"/>
      <c r="P839" s="529"/>
      <c r="Q839" s="529"/>
      <c r="R839" s="286"/>
      <c r="S839" s="286"/>
      <c r="T839" s="286"/>
      <c r="U839" s="286"/>
      <c r="V839" s="286"/>
      <c r="W839" s="286"/>
    </row>
    <row r="840">
      <c r="A840" s="286"/>
      <c r="B840" s="286"/>
      <c r="C840" s="529"/>
      <c r="D840" s="306"/>
      <c r="E840" s="306"/>
      <c r="F840" s="306"/>
      <c r="G840" s="286"/>
      <c r="H840" s="286"/>
      <c r="I840" s="286"/>
      <c r="J840" s="529"/>
      <c r="K840" s="286"/>
      <c r="L840" s="286"/>
      <c r="M840" s="529"/>
      <c r="N840" s="529"/>
      <c r="O840" s="529"/>
      <c r="P840" s="529"/>
      <c r="Q840" s="529"/>
      <c r="R840" s="286"/>
      <c r="S840" s="286"/>
      <c r="T840" s="286"/>
      <c r="U840" s="286"/>
      <c r="V840" s="286"/>
      <c r="W840" s="286"/>
    </row>
    <row r="841">
      <c r="A841" s="286"/>
      <c r="B841" s="286"/>
      <c r="C841" s="529"/>
      <c r="D841" s="306"/>
      <c r="E841" s="306"/>
      <c r="F841" s="306"/>
      <c r="G841" s="286"/>
      <c r="H841" s="286"/>
      <c r="I841" s="286"/>
      <c r="J841" s="529"/>
      <c r="K841" s="286"/>
      <c r="L841" s="286"/>
      <c r="M841" s="529"/>
      <c r="N841" s="529"/>
      <c r="O841" s="529"/>
      <c r="P841" s="529"/>
      <c r="Q841" s="529"/>
      <c r="R841" s="286"/>
      <c r="S841" s="286"/>
      <c r="T841" s="286"/>
      <c r="U841" s="286"/>
      <c r="V841" s="286"/>
      <c r="W841" s="286"/>
    </row>
    <row r="842">
      <c r="A842" s="286"/>
      <c r="B842" s="286"/>
      <c r="C842" s="529"/>
      <c r="D842" s="306"/>
      <c r="E842" s="306"/>
      <c r="F842" s="306"/>
      <c r="G842" s="286"/>
      <c r="H842" s="286"/>
      <c r="I842" s="286"/>
      <c r="J842" s="529"/>
      <c r="K842" s="286"/>
      <c r="L842" s="286"/>
      <c r="M842" s="529"/>
      <c r="N842" s="529"/>
      <c r="O842" s="529"/>
      <c r="P842" s="529"/>
      <c r="Q842" s="529"/>
      <c r="R842" s="286"/>
      <c r="S842" s="286"/>
      <c r="T842" s="286"/>
      <c r="U842" s="286"/>
      <c r="V842" s="286"/>
      <c r="W842" s="286"/>
    </row>
    <row r="843">
      <c r="A843" s="286"/>
      <c r="B843" s="286"/>
      <c r="C843" s="529"/>
      <c r="D843" s="306"/>
      <c r="E843" s="306"/>
      <c r="F843" s="306"/>
      <c r="G843" s="286"/>
      <c r="H843" s="286"/>
      <c r="I843" s="286"/>
      <c r="J843" s="529"/>
      <c r="K843" s="286"/>
      <c r="L843" s="286"/>
      <c r="M843" s="529"/>
      <c r="N843" s="529"/>
      <c r="O843" s="529"/>
      <c r="P843" s="529"/>
      <c r="Q843" s="529"/>
      <c r="R843" s="286"/>
      <c r="S843" s="286"/>
      <c r="T843" s="286"/>
      <c r="U843" s="286"/>
      <c r="V843" s="286"/>
      <c r="W843" s="286"/>
    </row>
    <row r="844">
      <c r="A844" s="286"/>
      <c r="B844" s="286"/>
      <c r="C844" s="529"/>
      <c r="D844" s="306"/>
      <c r="E844" s="306"/>
      <c r="F844" s="306"/>
      <c r="G844" s="286"/>
      <c r="H844" s="286"/>
      <c r="I844" s="286"/>
      <c r="J844" s="529"/>
      <c r="K844" s="286"/>
      <c r="L844" s="286"/>
      <c r="M844" s="529"/>
      <c r="N844" s="529"/>
      <c r="O844" s="529"/>
      <c r="P844" s="529"/>
      <c r="Q844" s="529"/>
      <c r="R844" s="286"/>
      <c r="S844" s="286"/>
      <c r="T844" s="286"/>
      <c r="U844" s="286"/>
      <c r="V844" s="286"/>
      <c r="W844" s="286"/>
    </row>
    <row r="845">
      <c r="A845" s="286"/>
      <c r="B845" s="286"/>
      <c r="C845" s="529"/>
      <c r="D845" s="306"/>
      <c r="E845" s="306"/>
      <c r="F845" s="306"/>
      <c r="G845" s="286"/>
      <c r="H845" s="286"/>
      <c r="I845" s="286"/>
      <c r="J845" s="529"/>
      <c r="K845" s="286"/>
      <c r="L845" s="286"/>
      <c r="M845" s="529"/>
      <c r="N845" s="529"/>
      <c r="O845" s="529"/>
      <c r="P845" s="529"/>
      <c r="Q845" s="529"/>
      <c r="R845" s="286"/>
      <c r="S845" s="286"/>
      <c r="T845" s="286"/>
      <c r="U845" s="286"/>
      <c r="V845" s="286"/>
      <c r="W845" s="286"/>
    </row>
    <row r="846">
      <c r="A846" s="286"/>
      <c r="B846" s="286"/>
      <c r="C846" s="529"/>
      <c r="D846" s="306"/>
      <c r="E846" s="306"/>
      <c r="F846" s="306"/>
      <c r="G846" s="286"/>
      <c r="H846" s="286"/>
      <c r="I846" s="286"/>
      <c r="J846" s="529"/>
      <c r="K846" s="286"/>
      <c r="L846" s="286"/>
      <c r="M846" s="529"/>
      <c r="N846" s="529"/>
      <c r="O846" s="529"/>
      <c r="P846" s="529"/>
      <c r="Q846" s="529"/>
      <c r="R846" s="286"/>
      <c r="S846" s="286"/>
      <c r="T846" s="286"/>
      <c r="U846" s="286"/>
      <c r="V846" s="286"/>
      <c r="W846" s="286"/>
    </row>
    <row r="847">
      <c r="A847" s="286"/>
      <c r="B847" s="286"/>
      <c r="C847" s="529"/>
      <c r="D847" s="306"/>
      <c r="E847" s="306"/>
      <c r="F847" s="306"/>
      <c r="G847" s="286"/>
      <c r="H847" s="286"/>
      <c r="I847" s="286"/>
      <c r="J847" s="529"/>
      <c r="K847" s="286"/>
      <c r="L847" s="286"/>
      <c r="M847" s="529"/>
      <c r="N847" s="529"/>
      <c r="O847" s="529"/>
      <c r="P847" s="529"/>
      <c r="Q847" s="529"/>
      <c r="R847" s="286"/>
      <c r="S847" s="286"/>
      <c r="T847" s="286"/>
      <c r="U847" s="286"/>
      <c r="V847" s="286"/>
      <c r="W847" s="286"/>
    </row>
    <row r="848">
      <c r="A848" s="286"/>
      <c r="B848" s="286"/>
      <c r="C848" s="529"/>
      <c r="D848" s="306"/>
      <c r="E848" s="306"/>
      <c r="F848" s="306"/>
      <c r="G848" s="286"/>
      <c r="H848" s="286"/>
      <c r="I848" s="286"/>
      <c r="J848" s="529"/>
      <c r="K848" s="286"/>
      <c r="L848" s="286"/>
      <c r="M848" s="529"/>
      <c r="N848" s="529"/>
      <c r="O848" s="529"/>
      <c r="P848" s="529"/>
      <c r="Q848" s="529"/>
      <c r="R848" s="286"/>
      <c r="S848" s="286"/>
      <c r="T848" s="286"/>
      <c r="U848" s="286"/>
      <c r="V848" s="286"/>
      <c r="W848" s="286"/>
    </row>
    <row r="849">
      <c r="A849" s="286"/>
      <c r="B849" s="286"/>
      <c r="C849" s="529"/>
      <c r="D849" s="306"/>
      <c r="E849" s="306"/>
      <c r="F849" s="306"/>
      <c r="G849" s="286"/>
      <c r="H849" s="286"/>
      <c r="I849" s="286"/>
      <c r="J849" s="529"/>
      <c r="K849" s="286"/>
      <c r="L849" s="286"/>
      <c r="M849" s="529"/>
      <c r="N849" s="529"/>
      <c r="O849" s="529"/>
      <c r="P849" s="529"/>
      <c r="Q849" s="529"/>
      <c r="R849" s="286"/>
      <c r="S849" s="286"/>
      <c r="T849" s="286"/>
      <c r="U849" s="286"/>
      <c r="V849" s="286"/>
      <c r="W849" s="286"/>
    </row>
    <row r="850">
      <c r="A850" s="286"/>
      <c r="B850" s="286"/>
      <c r="C850" s="529"/>
      <c r="D850" s="306"/>
      <c r="E850" s="306"/>
      <c r="F850" s="306"/>
      <c r="G850" s="286"/>
      <c r="H850" s="286"/>
      <c r="I850" s="286"/>
      <c r="J850" s="529"/>
      <c r="K850" s="286"/>
      <c r="L850" s="286"/>
      <c r="M850" s="529"/>
      <c r="N850" s="529"/>
      <c r="O850" s="529"/>
      <c r="P850" s="529"/>
      <c r="Q850" s="529"/>
      <c r="R850" s="286"/>
      <c r="S850" s="286"/>
      <c r="T850" s="286"/>
      <c r="U850" s="286"/>
      <c r="V850" s="286"/>
      <c r="W850" s="286"/>
    </row>
    <row r="851">
      <c r="A851" s="286"/>
      <c r="B851" s="286"/>
      <c r="C851" s="529"/>
      <c r="D851" s="306"/>
      <c r="E851" s="306"/>
      <c r="F851" s="306"/>
      <c r="G851" s="286"/>
      <c r="H851" s="286"/>
      <c r="I851" s="286"/>
      <c r="J851" s="529"/>
      <c r="K851" s="286"/>
      <c r="L851" s="286"/>
      <c r="M851" s="529"/>
      <c r="N851" s="529"/>
      <c r="O851" s="529"/>
      <c r="P851" s="529"/>
      <c r="Q851" s="529"/>
      <c r="R851" s="286"/>
      <c r="S851" s="286"/>
      <c r="T851" s="286"/>
      <c r="U851" s="286"/>
      <c r="V851" s="286"/>
      <c r="W851" s="286"/>
    </row>
    <row r="852">
      <c r="A852" s="286"/>
      <c r="B852" s="286"/>
      <c r="C852" s="529"/>
      <c r="D852" s="306"/>
      <c r="E852" s="306"/>
      <c r="F852" s="306"/>
      <c r="G852" s="286"/>
      <c r="H852" s="286"/>
      <c r="I852" s="286"/>
      <c r="J852" s="529"/>
      <c r="K852" s="286"/>
      <c r="L852" s="286"/>
      <c r="M852" s="529"/>
      <c r="N852" s="529"/>
      <c r="O852" s="529"/>
      <c r="P852" s="529"/>
      <c r="Q852" s="529"/>
      <c r="R852" s="286"/>
      <c r="S852" s="286"/>
      <c r="T852" s="286"/>
      <c r="U852" s="286"/>
      <c r="V852" s="286"/>
      <c r="W852" s="286"/>
    </row>
    <row r="853">
      <c r="A853" s="286"/>
      <c r="B853" s="286"/>
      <c r="C853" s="529"/>
      <c r="D853" s="306"/>
      <c r="E853" s="306"/>
      <c r="F853" s="306"/>
      <c r="G853" s="286"/>
      <c r="H853" s="286"/>
      <c r="I853" s="286"/>
      <c r="J853" s="529"/>
      <c r="K853" s="286"/>
      <c r="L853" s="286"/>
      <c r="M853" s="529"/>
      <c r="N853" s="529"/>
      <c r="O853" s="529"/>
      <c r="P853" s="529"/>
      <c r="Q853" s="529"/>
      <c r="R853" s="286"/>
      <c r="S853" s="286"/>
      <c r="T853" s="286"/>
      <c r="U853" s="286"/>
      <c r="V853" s="286"/>
      <c r="W853" s="286"/>
    </row>
    <row r="854">
      <c r="A854" s="286"/>
      <c r="B854" s="286"/>
      <c r="C854" s="529"/>
      <c r="D854" s="306"/>
      <c r="E854" s="306"/>
      <c r="F854" s="306"/>
      <c r="G854" s="286"/>
      <c r="H854" s="286"/>
      <c r="I854" s="286"/>
      <c r="J854" s="529"/>
      <c r="K854" s="286"/>
      <c r="L854" s="286"/>
      <c r="M854" s="529"/>
      <c r="N854" s="529"/>
      <c r="O854" s="529"/>
      <c r="P854" s="529"/>
      <c r="Q854" s="529"/>
      <c r="R854" s="286"/>
      <c r="S854" s="286"/>
      <c r="T854" s="286"/>
      <c r="U854" s="286"/>
      <c r="V854" s="286"/>
      <c r="W854" s="286"/>
    </row>
    <row r="855">
      <c r="A855" s="286"/>
      <c r="B855" s="286"/>
      <c r="C855" s="529"/>
      <c r="D855" s="306"/>
      <c r="E855" s="306"/>
      <c r="F855" s="306"/>
      <c r="G855" s="286"/>
      <c r="H855" s="286"/>
      <c r="I855" s="286"/>
      <c r="J855" s="529"/>
      <c r="K855" s="286"/>
      <c r="L855" s="286"/>
      <c r="M855" s="529"/>
      <c r="N855" s="529"/>
      <c r="O855" s="529"/>
      <c r="P855" s="529"/>
      <c r="Q855" s="529"/>
      <c r="R855" s="286"/>
      <c r="S855" s="286"/>
      <c r="T855" s="286"/>
      <c r="U855" s="286"/>
      <c r="V855" s="286"/>
      <c r="W855" s="286"/>
    </row>
    <row r="856">
      <c r="A856" s="286"/>
      <c r="B856" s="286"/>
      <c r="C856" s="529"/>
      <c r="D856" s="306"/>
      <c r="E856" s="306"/>
      <c r="F856" s="306"/>
      <c r="G856" s="286"/>
      <c r="H856" s="286"/>
      <c r="I856" s="286"/>
      <c r="J856" s="529"/>
      <c r="K856" s="286"/>
      <c r="L856" s="286"/>
      <c r="M856" s="529"/>
      <c r="N856" s="529"/>
      <c r="O856" s="529"/>
      <c r="P856" s="529"/>
      <c r="Q856" s="529"/>
      <c r="R856" s="286"/>
      <c r="S856" s="286"/>
      <c r="T856" s="286"/>
      <c r="U856" s="286"/>
      <c r="V856" s="286"/>
      <c r="W856" s="286"/>
    </row>
    <row r="857">
      <c r="A857" s="286"/>
      <c r="B857" s="286"/>
      <c r="C857" s="529"/>
      <c r="D857" s="306"/>
      <c r="E857" s="306"/>
      <c r="F857" s="306"/>
      <c r="G857" s="286"/>
      <c r="H857" s="286"/>
      <c r="I857" s="286"/>
      <c r="J857" s="529"/>
      <c r="K857" s="286"/>
      <c r="L857" s="286"/>
      <c r="M857" s="529"/>
      <c r="N857" s="529"/>
      <c r="O857" s="529"/>
      <c r="P857" s="529"/>
      <c r="Q857" s="529"/>
      <c r="R857" s="286"/>
      <c r="S857" s="286"/>
      <c r="T857" s="286"/>
      <c r="U857" s="286"/>
      <c r="V857" s="286"/>
      <c r="W857" s="286"/>
    </row>
    <row r="858">
      <c r="A858" s="286"/>
      <c r="B858" s="286"/>
      <c r="C858" s="529"/>
      <c r="D858" s="306"/>
      <c r="E858" s="306"/>
      <c r="F858" s="306"/>
      <c r="G858" s="286"/>
      <c r="H858" s="286"/>
      <c r="I858" s="286"/>
      <c r="J858" s="529"/>
      <c r="K858" s="286"/>
      <c r="L858" s="286"/>
      <c r="M858" s="529"/>
      <c r="N858" s="529"/>
      <c r="O858" s="529"/>
      <c r="P858" s="529"/>
      <c r="Q858" s="529"/>
      <c r="R858" s="286"/>
      <c r="S858" s="286"/>
      <c r="T858" s="286"/>
      <c r="U858" s="286"/>
      <c r="V858" s="286"/>
      <c r="W858" s="286"/>
    </row>
    <row r="859">
      <c r="A859" s="286"/>
      <c r="B859" s="286"/>
      <c r="C859" s="529"/>
      <c r="D859" s="306"/>
      <c r="E859" s="306"/>
      <c r="F859" s="306"/>
      <c r="G859" s="286"/>
      <c r="H859" s="286"/>
      <c r="I859" s="286"/>
      <c r="J859" s="529"/>
      <c r="K859" s="286"/>
      <c r="L859" s="286"/>
      <c r="M859" s="529"/>
      <c r="N859" s="529"/>
      <c r="O859" s="529"/>
      <c r="P859" s="529"/>
      <c r="Q859" s="529"/>
      <c r="R859" s="286"/>
      <c r="S859" s="286"/>
      <c r="T859" s="286"/>
      <c r="U859" s="286"/>
      <c r="V859" s="286"/>
      <c r="W859" s="286"/>
    </row>
    <row r="860">
      <c r="A860" s="286"/>
      <c r="B860" s="286"/>
      <c r="C860" s="529"/>
      <c r="D860" s="306"/>
      <c r="E860" s="306"/>
      <c r="F860" s="306"/>
      <c r="G860" s="286"/>
      <c r="H860" s="286"/>
      <c r="I860" s="286"/>
      <c r="J860" s="529"/>
      <c r="K860" s="286"/>
      <c r="L860" s="286"/>
      <c r="M860" s="529"/>
      <c r="N860" s="529"/>
      <c r="O860" s="529"/>
      <c r="P860" s="529"/>
      <c r="Q860" s="529"/>
      <c r="R860" s="286"/>
      <c r="S860" s="286"/>
      <c r="T860" s="286"/>
      <c r="U860" s="286"/>
      <c r="V860" s="286"/>
      <c r="W860" s="286"/>
    </row>
    <row r="861">
      <c r="A861" s="286"/>
      <c r="B861" s="286"/>
      <c r="C861" s="529"/>
      <c r="D861" s="306"/>
      <c r="E861" s="306"/>
      <c r="F861" s="306"/>
      <c r="G861" s="286"/>
      <c r="H861" s="286"/>
      <c r="I861" s="286"/>
      <c r="J861" s="529"/>
      <c r="K861" s="286"/>
      <c r="L861" s="286"/>
      <c r="M861" s="529"/>
      <c r="N861" s="529"/>
      <c r="O861" s="529"/>
      <c r="P861" s="529"/>
      <c r="Q861" s="529"/>
      <c r="R861" s="286"/>
      <c r="S861" s="286"/>
      <c r="T861" s="286"/>
      <c r="U861" s="286"/>
      <c r="V861" s="286"/>
      <c r="W861" s="286"/>
    </row>
    <row r="862">
      <c r="A862" s="286"/>
      <c r="B862" s="286"/>
      <c r="C862" s="529"/>
      <c r="D862" s="306"/>
      <c r="E862" s="306"/>
      <c r="F862" s="306"/>
      <c r="G862" s="286"/>
      <c r="H862" s="286"/>
      <c r="I862" s="286"/>
      <c r="J862" s="529"/>
      <c r="K862" s="286"/>
      <c r="L862" s="286"/>
      <c r="M862" s="529"/>
      <c r="N862" s="529"/>
      <c r="O862" s="529"/>
      <c r="P862" s="529"/>
      <c r="Q862" s="529"/>
      <c r="R862" s="286"/>
      <c r="S862" s="286"/>
      <c r="T862" s="286"/>
      <c r="U862" s="286"/>
      <c r="V862" s="286"/>
      <c r="W862" s="286"/>
    </row>
    <row r="863">
      <c r="A863" s="286"/>
      <c r="B863" s="286"/>
      <c r="C863" s="529"/>
      <c r="D863" s="306"/>
      <c r="E863" s="306"/>
      <c r="F863" s="306"/>
      <c r="G863" s="286"/>
      <c r="H863" s="286"/>
      <c r="I863" s="286"/>
      <c r="J863" s="529"/>
      <c r="K863" s="286"/>
      <c r="L863" s="286"/>
      <c r="M863" s="529"/>
      <c r="N863" s="529"/>
      <c r="O863" s="529"/>
      <c r="P863" s="529"/>
      <c r="Q863" s="529"/>
      <c r="R863" s="286"/>
      <c r="S863" s="286"/>
      <c r="T863" s="286"/>
      <c r="U863" s="286"/>
      <c r="V863" s="286"/>
      <c r="W863" s="286"/>
    </row>
    <row r="864">
      <c r="A864" s="286"/>
      <c r="B864" s="286"/>
      <c r="C864" s="529"/>
      <c r="D864" s="306"/>
      <c r="E864" s="306"/>
      <c r="F864" s="306"/>
      <c r="G864" s="286"/>
      <c r="H864" s="286"/>
      <c r="I864" s="286"/>
      <c r="J864" s="529"/>
      <c r="K864" s="286"/>
      <c r="L864" s="286"/>
      <c r="M864" s="529"/>
      <c r="N864" s="529"/>
      <c r="O864" s="529"/>
      <c r="P864" s="529"/>
      <c r="Q864" s="529"/>
      <c r="R864" s="286"/>
      <c r="S864" s="286"/>
      <c r="T864" s="286"/>
      <c r="U864" s="286"/>
      <c r="V864" s="286"/>
      <c r="W864" s="286"/>
    </row>
    <row r="865">
      <c r="A865" s="286"/>
      <c r="B865" s="286"/>
      <c r="C865" s="529"/>
      <c r="D865" s="306"/>
      <c r="E865" s="306"/>
      <c r="F865" s="306"/>
      <c r="G865" s="286"/>
      <c r="H865" s="286"/>
      <c r="I865" s="286"/>
      <c r="J865" s="529"/>
      <c r="K865" s="286"/>
      <c r="L865" s="286"/>
      <c r="M865" s="529"/>
      <c r="N865" s="529"/>
      <c r="O865" s="529"/>
      <c r="P865" s="529"/>
      <c r="Q865" s="529"/>
      <c r="R865" s="286"/>
      <c r="S865" s="286"/>
      <c r="T865" s="286"/>
      <c r="U865" s="286"/>
      <c r="V865" s="286"/>
      <c r="W865" s="286"/>
    </row>
    <row r="866">
      <c r="A866" s="286"/>
      <c r="B866" s="286"/>
      <c r="C866" s="529"/>
      <c r="D866" s="306"/>
      <c r="E866" s="306"/>
      <c r="F866" s="306"/>
      <c r="G866" s="286"/>
      <c r="H866" s="286"/>
      <c r="I866" s="286"/>
      <c r="J866" s="529"/>
      <c r="K866" s="286"/>
      <c r="L866" s="286"/>
      <c r="M866" s="529"/>
      <c r="N866" s="529"/>
      <c r="O866" s="529"/>
      <c r="P866" s="529"/>
      <c r="Q866" s="529"/>
      <c r="R866" s="286"/>
      <c r="S866" s="286"/>
      <c r="T866" s="286"/>
      <c r="U866" s="286"/>
      <c r="V866" s="286"/>
      <c r="W866" s="286"/>
    </row>
    <row r="867">
      <c r="A867" s="286"/>
      <c r="B867" s="286"/>
      <c r="C867" s="529"/>
      <c r="D867" s="306"/>
      <c r="E867" s="306"/>
      <c r="F867" s="306"/>
      <c r="G867" s="286"/>
      <c r="H867" s="286"/>
      <c r="I867" s="286"/>
      <c r="J867" s="529"/>
      <c r="K867" s="286"/>
      <c r="L867" s="286"/>
      <c r="M867" s="529"/>
      <c r="N867" s="529"/>
      <c r="O867" s="529"/>
      <c r="P867" s="529"/>
      <c r="Q867" s="529"/>
      <c r="R867" s="286"/>
      <c r="S867" s="286"/>
      <c r="T867" s="286"/>
      <c r="U867" s="286"/>
      <c r="V867" s="286"/>
      <c r="W867" s="286"/>
    </row>
    <row r="868">
      <c r="A868" s="286"/>
      <c r="B868" s="286"/>
      <c r="C868" s="529"/>
      <c r="D868" s="306"/>
      <c r="E868" s="306"/>
      <c r="F868" s="306"/>
      <c r="G868" s="286"/>
      <c r="H868" s="286"/>
      <c r="I868" s="286"/>
      <c r="J868" s="529"/>
      <c r="K868" s="286"/>
      <c r="L868" s="286"/>
      <c r="M868" s="529"/>
      <c r="N868" s="529"/>
      <c r="O868" s="529"/>
      <c r="P868" s="529"/>
      <c r="Q868" s="529"/>
      <c r="R868" s="286"/>
      <c r="S868" s="286"/>
      <c r="T868" s="286"/>
      <c r="U868" s="286"/>
      <c r="V868" s="286"/>
      <c r="W868" s="286"/>
    </row>
    <row r="869">
      <c r="A869" s="286"/>
      <c r="B869" s="286"/>
      <c r="C869" s="529"/>
      <c r="D869" s="306"/>
      <c r="E869" s="306"/>
      <c r="F869" s="306"/>
      <c r="G869" s="286"/>
      <c r="H869" s="286"/>
      <c r="I869" s="286"/>
      <c r="J869" s="529"/>
      <c r="K869" s="286"/>
      <c r="L869" s="286"/>
      <c r="M869" s="529"/>
      <c r="N869" s="529"/>
      <c r="O869" s="529"/>
      <c r="P869" s="529"/>
      <c r="Q869" s="529"/>
      <c r="R869" s="286"/>
      <c r="S869" s="286"/>
      <c r="T869" s="286"/>
      <c r="U869" s="286"/>
      <c r="V869" s="286"/>
      <c r="W869" s="286"/>
    </row>
    <row r="870">
      <c r="A870" s="286"/>
      <c r="B870" s="286"/>
      <c r="C870" s="529"/>
      <c r="D870" s="306"/>
      <c r="E870" s="306"/>
      <c r="F870" s="306"/>
      <c r="G870" s="286"/>
      <c r="H870" s="286"/>
      <c r="I870" s="286"/>
      <c r="J870" s="529"/>
      <c r="K870" s="286"/>
      <c r="L870" s="286"/>
      <c r="M870" s="529"/>
      <c r="N870" s="529"/>
      <c r="O870" s="529"/>
      <c r="P870" s="529"/>
      <c r="Q870" s="529"/>
      <c r="R870" s="286"/>
      <c r="S870" s="286"/>
      <c r="T870" s="286"/>
      <c r="U870" s="286"/>
      <c r="V870" s="286"/>
      <c r="W870" s="286"/>
    </row>
    <row r="871">
      <c r="A871" s="286"/>
      <c r="B871" s="286"/>
      <c r="C871" s="529"/>
      <c r="D871" s="306"/>
      <c r="E871" s="306"/>
      <c r="F871" s="306"/>
      <c r="G871" s="286"/>
      <c r="H871" s="286"/>
      <c r="I871" s="286"/>
      <c r="J871" s="529"/>
      <c r="K871" s="286"/>
      <c r="L871" s="286"/>
      <c r="M871" s="529"/>
      <c r="N871" s="529"/>
      <c r="O871" s="529"/>
      <c r="P871" s="529"/>
      <c r="Q871" s="529"/>
      <c r="R871" s="286"/>
      <c r="S871" s="286"/>
      <c r="T871" s="286"/>
      <c r="U871" s="286"/>
      <c r="V871" s="286"/>
      <c r="W871" s="286"/>
    </row>
    <row r="872">
      <c r="A872" s="286"/>
      <c r="B872" s="286"/>
      <c r="C872" s="529"/>
      <c r="D872" s="306"/>
      <c r="E872" s="306"/>
      <c r="F872" s="306"/>
      <c r="G872" s="286"/>
      <c r="H872" s="286"/>
      <c r="I872" s="286"/>
      <c r="J872" s="529"/>
      <c r="K872" s="286"/>
      <c r="L872" s="286"/>
      <c r="M872" s="529"/>
      <c r="N872" s="529"/>
      <c r="O872" s="529"/>
      <c r="P872" s="529"/>
      <c r="Q872" s="529"/>
      <c r="R872" s="286"/>
      <c r="S872" s="286"/>
      <c r="T872" s="286"/>
      <c r="U872" s="286"/>
      <c r="V872" s="286"/>
      <c r="W872" s="286"/>
    </row>
    <row r="873">
      <c r="A873" s="286"/>
      <c r="B873" s="286"/>
      <c r="C873" s="529"/>
      <c r="D873" s="306"/>
      <c r="E873" s="306"/>
      <c r="F873" s="306"/>
      <c r="G873" s="286"/>
      <c r="H873" s="286"/>
      <c r="I873" s="286"/>
      <c r="J873" s="529"/>
      <c r="K873" s="286"/>
      <c r="L873" s="286"/>
      <c r="M873" s="529"/>
      <c r="N873" s="529"/>
      <c r="O873" s="529"/>
      <c r="P873" s="529"/>
      <c r="Q873" s="529"/>
      <c r="R873" s="286"/>
      <c r="S873" s="286"/>
      <c r="T873" s="286"/>
      <c r="U873" s="286"/>
      <c r="V873" s="286"/>
      <c r="W873" s="286"/>
    </row>
    <row r="874">
      <c r="A874" s="286"/>
      <c r="B874" s="286"/>
      <c r="C874" s="529"/>
      <c r="D874" s="306"/>
      <c r="E874" s="306"/>
      <c r="F874" s="306"/>
      <c r="G874" s="286"/>
      <c r="H874" s="286"/>
      <c r="I874" s="286"/>
      <c r="J874" s="529"/>
      <c r="K874" s="286"/>
      <c r="L874" s="286"/>
      <c r="M874" s="529"/>
      <c r="N874" s="529"/>
      <c r="O874" s="529"/>
      <c r="P874" s="529"/>
      <c r="Q874" s="529"/>
      <c r="R874" s="286"/>
      <c r="S874" s="286"/>
      <c r="T874" s="286"/>
      <c r="U874" s="286"/>
      <c r="V874" s="286"/>
      <c r="W874" s="286"/>
    </row>
    <row r="875">
      <c r="A875" s="286"/>
      <c r="B875" s="286"/>
      <c r="C875" s="529"/>
      <c r="D875" s="306"/>
      <c r="E875" s="306"/>
      <c r="F875" s="306"/>
      <c r="G875" s="286"/>
      <c r="H875" s="286"/>
      <c r="I875" s="286"/>
      <c r="J875" s="529"/>
      <c r="K875" s="286"/>
      <c r="L875" s="286"/>
      <c r="M875" s="529"/>
      <c r="N875" s="529"/>
      <c r="O875" s="529"/>
      <c r="P875" s="529"/>
      <c r="Q875" s="529"/>
      <c r="R875" s="286"/>
      <c r="S875" s="286"/>
      <c r="T875" s="286"/>
      <c r="U875" s="286"/>
      <c r="V875" s="286"/>
      <c r="W875" s="286"/>
    </row>
    <row r="876">
      <c r="A876" s="286"/>
      <c r="B876" s="286"/>
      <c r="C876" s="529"/>
      <c r="D876" s="306"/>
      <c r="E876" s="306"/>
      <c r="F876" s="306"/>
      <c r="G876" s="286"/>
      <c r="H876" s="286"/>
      <c r="I876" s="286"/>
      <c r="J876" s="529"/>
      <c r="K876" s="286"/>
      <c r="L876" s="286"/>
      <c r="M876" s="529"/>
      <c r="N876" s="529"/>
      <c r="O876" s="529"/>
      <c r="P876" s="529"/>
      <c r="Q876" s="529"/>
      <c r="R876" s="286"/>
      <c r="S876" s="286"/>
      <c r="T876" s="286"/>
      <c r="U876" s="286"/>
      <c r="V876" s="286"/>
      <c r="W876" s="286"/>
    </row>
    <row r="877">
      <c r="A877" s="286"/>
      <c r="B877" s="286"/>
      <c r="C877" s="529"/>
      <c r="D877" s="306"/>
      <c r="E877" s="306"/>
      <c r="F877" s="306"/>
      <c r="G877" s="286"/>
      <c r="H877" s="286"/>
      <c r="I877" s="286"/>
      <c r="J877" s="529"/>
      <c r="K877" s="286"/>
      <c r="L877" s="286"/>
      <c r="M877" s="529"/>
      <c r="N877" s="529"/>
      <c r="O877" s="529"/>
      <c r="P877" s="529"/>
      <c r="Q877" s="529"/>
      <c r="R877" s="286"/>
      <c r="S877" s="286"/>
      <c r="T877" s="286"/>
      <c r="U877" s="286"/>
      <c r="V877" s="286"/>
      <c r="W877" s="286"/>
    </row>
    <row r="878">
      <c r="A878" s="286"/>
      <c r="B878" s="286"/>
      <c r="C878" s="529"/>
      <c r="D878" s="306"/>
      <c r="E878" s="306"/>
      <c r="F878" s="306"/>
      <c r="G878" s="286"/>
      <c r="H878" s="286"/>
      <c r="I878" s="286"/>
      <c r="J878" s="529"/>
      <c r="K878" s="286"/>
      <c r="L878" s="286"/>
      <c r="M878" s="529"/>
      <c r="N878" s="529"/>
      <c r="O878" s="529"/>
      <c r="P878" s="529"/>
      <c r="Q878" s="529"/>
      <c r="R878" s="286"/>
      <c r="S878" s="286"/>
      <c r="T878" s="286"/>
      <c r="U878" s="286"/>
      <c r="V878" s="286"/>
      <c r="W878" s="286"/>
    </row>
    <row r="879">
      <c r="A879" s="286"/>
      <c r="B879" s="286"/>
      <c r="C879" s="529"/>
      <c r="D879" s="306"/>
      <c r="E879" s="306"/>
      <c r="F879" s="306"/>
      <c r="G879" s="286"/>
      <c r="H879" s="286"/>
      <c r="I879" s="286"/>
      <c r="J879" s="529"/>
      <c r="K879" s="286"/>
      <c r="L879" s="286"/>
      <c r="M879" s="529"/>
      <c r="N879" s="529"/>
      <c r="O879" s="529"/>
      <c r="P879" s="529"/>
      <c r="Q879" s="529"/>
      <c r="R879" s="286"/>
      <c r="S879" s="286"/>
      <c r="T879" s="286"/>
      <c r="U879" s="286"/>
      <c r="V879" s="286"/>
      <c r="W879" s="286"/>
    </row>
    <row r="880">
      <c r="A880" s="286"/>
      <c r="B880" s="286"/>
      <c r="C880" s="529"/>
      <c r="D880" s="306"/>
      <c r="E880" s="306"/>
      <c r="F880" s="306"/>
      <c r="G880" s="286"/>
      <c r="H880" s="286"/>
      <c r="I880" s="286"/>
      <c r="J880" s="529"/>
      <c r="K880" s="286"/>
      <c r="L880" s="286"/>
      <c r="M880" s="529"/>
      <c r="N880" s="529"/>
      <c r="O880" s="529"/>
      <c r="P880" s="529"/>
      <c r="Q880" s="529"/>
      <c r="R880" s="286"/>
      <c r="S880" s="286"/>
      <c r="T880" s="286"/>
      <c r="U880" s="286"/>
      <c r="V880" s="286"/>
      <c r="W880" s="286"/>
    </row>
    <row r="881">
      <c r="A881" s="286"/>
      <c r="B881" s="286"/>
      <c r="C881" s="529"/>
      <c r="D881" s="306"/>
      <c r="E881" s="306"/>
      <c r="F881" s="306"/>
      <c r="G881" s="286"/>
      <c r="H881" s="286"/>
      <c r="I881" s="286"/>
      <c r="J881" s="529"/>
      <c r="K881" s="286"/>
      <c r="L881" s="286"/>
      <c r="M881" s="529"/>
      <c r="N881" s="529"/>
      <c r="O881" s="529"/>
      <c r="P881" s="529"/>
      <c r="Q881" s="529"/>
      <c r="R881" s="286"/>
      <c r="S881" s="286"/>
      <c r="T881" s="286"/>
      <c r="U881" s="286"/>
      <c r="V881" s="286"/>
      <c r="W881" s="286"/>
    </row>
    <row r="882">
      <c r="A882" s="286"/>
      <c r="B882" s="286"/>
      <c r="C882" s="529"/>
      <c r="D882" s="306"/>
      <c r="E882" s="306"/>
      <c r="F882" s="306"/>
      <c r="G882" s="286"/>
      <c r="H882" s="286"/>
      <c r="I882" s="286"/>
      <c r="J882" s="529"/>
      <c r="K882" s="286"/>
      <c r="L882" s="286"/>
      <c r="M882" s="529"/>
      <c r="N882" s="529"/>
      <c r="O882" s="529"/>
      <c r="P882" s="529"/>
      <c r="Q882" s="529"/>
      <c r="R882" s="286"/>
      <c r="S882" s="286"/>
      <c r="T882" s="286"/>
      <c r="U882" s="286"/>
      <c r="V882" s="286"/>
      <c r="W882" s="286"/>
    </row>
    <row r="883">
      <c r="A883" s="286"/>
      <c r="B883" s="286"/>
      <c r="C883" s="529"/>
      <c r="D883" s="306"/>
      <c r="E883" s="306"/>
      <c r="F883" s="306"/>
      <c r="G883" s="286"/>
      <c r="H883" s="286"/>
      <c r="I883" s="286"/>
      <c r="J883" s="529"/>
      <c r="K883" s="286"/>
      <c r="L883" s="286"/>
      <c r="M883" s="529"/>
      <c r="N883" s="529"/>
      <c r="O883" s="529"/>
      <c r="P883" s="529"/>
      <c r="Q883" s="529"/>
      <c r="R883" s="286"/>
      <c r="S883" s="286"/>
      <c r="T883" s="286"/>
      <c r="U883" s="286"/>
      <c r="V883" s="286"/>
      <c r="W883" s="286"/>
    </row>
    <row r="884">
      <c r="A884" s="286"/>
      <c r="B884" s="286"/>
      <c r="C884" s="529"/>
      <c r="D884" s="306"/>
      <c r="E884" s="306"/>
      <c r="F884" s="306"/>
      <c r="G884" s="286"/>
      <c r="H884" s="286"/>
      <c r="I884" s="286"/>
      <c r="J884" s="529"/>
      <c r="K884" s="286"/>
      <c r="L884" s="286"/>
      <c r="M884" s="529"/>
      <c r="N884" s="529"/>
      <c r="O884" s="529"/>
      <c r="P884" s="529"/>
      <c r="Q884" s="529"/>
      <c r="R884" s="286"/>
      <c r="S884" s="286"/>
      <c r="T884" s="286"/>
      <c r="U884" s="286"/>
      <c r="V884" s="286"/>
      <c r="W884" s="286"/>
    </row>
    <row r="885">
      <c r="A885" s="286"/>
      <c r="B885" s="286"/>
      <c r="C885" s="529"/>
      <c r="D885" s="306"/>
      <c r="E885" s="306"/>
      <c r="F885" s="306"/>
      <c r="G885" s="286"/>
      <c r="H885" s="286"/>
      <c r="I885" s="286"/>
      <c r="J885" s="529"/>
      <c r="K885" s="286"/>
      <c r="L885" s="286"/>
      <c r="M885" s="529"/>
      <c r="N885" s="529"/>
      <c r="O885" s="529"/>
      <c r="P885" s="529"/>
      <c r="Q885" s="529"/>
      <c r="R885" s="286"/>
      <c r="S885" s="286"/>
      <c r="T885" s="286"/>
      <c r="U885" s="286"/>
      <c r="V885" s="286"/>
      <c r="W885" s="286"/>
    </row>
    <row r="886">
      <c r="A886" s="286"/>
      <c r="B886" s="286"/>
      <c r="C886" s="529"/>
      <c r="D886" s="306"/>
      <c r="E886" s="306"/>
      <c r="F886" s="306"/>
      <c r="G886" s="286"/>
      <c r="H886" s="286"/>
      <c r="I886" s="286"/>
      <c r="J886" s="529"/>
      <c r="K886" s="286"/>
      <c r="L886" s="286"/>
      <c r="M886" s="529"/>
      <c r="N886" s="529"/>
      <c r="O886" s="529"/>
      <c r="P886" s="529"/>
      <c r="Q886" s="529"/>
      <c r="R886" s="286"/>
      <c r="S886" s="286"/>
      <c r="T886" s="286"/>
      <c r="U886" s="286"/>
      <c r="V886" s="286"/>
      <c r="W886" s="286"/>
    </row>
    <row r="887">
      <c r="A887" s="286"/>
      <c r="B887" s="286"/>
      <c r="C887" s="529"/>
      <c r="D887" s="306"/>
      <c r="E887" s="306"/>
      <c r="F887" s="306"/>
      <c r="G887" s="286"/>
      <c r="H887" s="286"/>
      <c r="I887" s="286"/>
      <c r="J887" s="529"/>
      <c r="K887" s="286"/>
      <c r="L887" s="286"/>
      <c r="M887" s="529"/>
      <c r="N887" s="529"/>
      <c r="O887" s="529"/>
      <c r="P887" s="529"/>
      <c r="Q887" s="529"/>
      <c r="R887" s="286"/>
      <c r="S887" s="286"/>
      <c r="T887" s="286"/>
      <c r="U887" s="286"/>
      <c r="V887" s="286"/>
      <c r="W887" s="286"/>
    </row>
    <row r="888">
      <c r="A888" s="286"/>
      <c r="B888" s="286"/>
      <c r="C888" s="529"/>
      <c r="D888" s="306"/>
      <c r="E888" s="306"/>
      <c r="F888" s="306"/>
      <c r="G888" s="286"/>
      <c r="H888" s="286"/>
      <c r="I888" s="286"/>
      <c r="J888" s="529"/>
      <c r="K888" s="286"/>
      <c r="L888" s="286"/>
      <c r="M888" s="529"/>
      <c r="N888" s="529"/>
      <c r="O888" s="529"/>
      <c r="P888" s="529"/>
      <c r="Q888" s="529"/>
      <c r="R888" s="286"/>
      <c r="S888" s="286"/>
      <c r="T888" s="286"/>
      <c r="U888" s="286"/>
      <c r="V888" s="286"/>
      <c r="W888" s="286"/>
    </row>
    <row r="889">
      <c r="A889" s="286"/>
      <c r="B889" s="286"/>
      <c r="C889" s="529"/>
      <c r="D889" s="306"/>
      <c r="E889" s="306"/>
      <c r="F889" s="306"/>
      <c r="G889" s="286"/>
      <c r="H889" s="286"/>
      <c r="I889" s="286"/>
      <c r="J889" s="529"/>
      <c r="K889" s="286"/>
      <c r="L889" s="286"/>
      <c r="M889" s="529"/>
      <c r="N889" s="529"/>
      <c r="O889" s="529"/>
      <c r="P889" s="529"/>
      <c r="Q889" s="529"/>
      <c r="R889" s="286"/>
      <c r="S889" s="286"/>
      <c r="T889" s="286"/>
      <c r="U889" s="286"/>
      <c r="V889" s="286"/>
      <c r="W889" s="286"/>
    </row>
    <row r="890">
      <c r="A890" s="286"/>
      <c r="B890" s="286"/>
      <c r="C890" s="529"/>
      <c r="D890" s="306"/>
      <c r="E890" s="306"/>
      <c r="F890" s="306"/>
      <c r="G890" s="286"/>
      <c r="H890" s="286"/>
      <c r="I890" s="286"/>
      <c r="J890" s="529"/>
      <c r="K890" s="286"/>
      <c r="L890" s="286"/>
      <c r="M890" s="529"/>
      <c r="N890" s="529"/>
      <c r="O890" s="529"/>
      <c r="P890" s="529"/>
      <c r="Q890" s="529"/>
      <c r="R890" s="286"/>
      <c r="S890" s="286"/>
      <c r="T890" s="286"/>
      <c r="U890" s="286"/>
      <c r="V890" s="286"/>
      <c r="W890" s="286"/>
    </row>
    <row r="891">
      <c r="A891" s="286"/>
      <c r="B891" s="286"/>
      <c r="C891" s="529"/>
      <c r="D891" s="306"/>
      <c r="E891" s="306"/>
      <c r="F891" s="306"/>
      <c r="G891" s="286"/>
      <c r="H891" s="286"/>
      <c r="I891" s="286"/>
      <c r="J891" s="529"/>
      <c r="K891" s="286"/>
      <c r="L891" s="286"/>
      <c r="M891" s="529"/>
      <c r="N891" s="529"/>
      <c r="O891" s="529"/>
      <c r="P891" s="529"/>
      <c r="Q891" s="529"/>
      <c r="R891" s="286"/>
      <c r="S891" s="286"/>
      <c r="T891" s="286"/>
      <c r="U891" s="286"/>
      <c r="V891" s="286"/>
      <c r="W891" s="286"/>
    </row>
    <row r="892">
      <c r="A892" s="286"/>
      <c r="B892" s="286"/>
      <c r="C892" s="529"/>
      <c r="D892" s="306"/>
      <c r="E892" s="306"/>
      <c r="F892" s="306"/>
      <c r="G892" s="286"/>
      <c r="H892" s="286"/>
      <c r="I892" s="286"/>
      <c r="J892" s="529"/>
      <c r="K892" s="286"/>
      <c r="L892" s="286"/>
      <c r="M892" s="529"/>
      <c r="N892" s="529"/>
      <c r="O892" s="529"/>
      <c r="P892" s="529"/>
      <c r="Q892" s="529"/>
      <c r="R892" s="286"/>
      <c r="S892" s="286"/>
      <c r="T892" s="286"/>
      <c r="U892" s="286"/>
      <c r="V892" s="286"/>
      <c r="W892" s="286"/>
    </row>
    <row r="893">
      <c r="A893" s="286"/>
      <c r="B893" s="286"/>
      <c r="C893" s="529"/>
      <c r="D893" s="306"/>
      <c r="E893" s="306"/>
      <c r="F893" s="306"/>
      <c r="G893" s="286"/>
      <c r="H893" s="286"/>
      <c r="I893" s="286"/>
      <c r="J893" s="529"/>
      <c r="K893" s="286"/>
      <c r="L893" s="286"/>
      <c r="M893" s="529"/>
      <c r="N893" s="529"/>
      <c r="O893" s="529"/>
      <c r="P893" s="529"/>
      <c r="Q893" s="529"/>
      <c r="R893" s="286"/>
      <c r="S893" s="286"/>
      <c r="T893" s="286"/>
      <c r="U893" s="286"/>
      <c r="V893" s="286"/>
      <c r="W893" s="286"/>
    </row>
    <row r="894">
      <c r="A894" s="286"/>
      <c r="B894" s="286"/>
      <c r="C894" s="529"/>
      <c r="D894" s="306"/>
      <c r="E894" s="306"/>
      <c r="F894" s="306"/>
      <c r="G894" s="286"/>
      <c r="H894" s="286"/>
      <c r="I894" s="286"/>
      <c r="J894" s="529"/>
      <c r="K894" s="286"/>
      <c r="L894" s="286"/>
      <c r="M894" s="529"/>
      <c r="N894" s="529"/>
      <c r="O894" s="529"/>
      <c r="P894" s="529"/>
      <c r="Q894" s="529"/>
      <c r="R894" s="286"/>
      <c r="S894" s="286"/>
      <c r="T894" s="286"/>
      <c r="U894" s="286"/>
      <c r="V894" s="286"/>
      <c r="W894" s="286"/>
    </row>
    <row r="895">
      <c r="A895" s="286"/>
      <c r="B895" s="286"/>
      <c r="C895" s="529"/>
      <c r="D895" s="306"/>
      <c r="E895" s="306"/>
      <c r="F895" s="306"/>
      <c r="G895" s="286"/>
      <c r="H895" s="286"/>
      <c r="I895" s="286"/>
      <c r="J895" s="529"/>
      <c r="K895" s="286"/>
      <c r="L895" s="286"/>
      <c r="M895" s="529"/>
      <c r="N895" s="529"/>
      <c r="O895" s="529"/>
      <c r="P895" s="529"/>
      <c r="Q895" s="529"/>
      <c r="R895" s="286"/>
      <c r="S895" s="286"/>
      <c r="T895" s="286"/>
      <c r="U895" s="286"/>
      <c r="V895" s="286"/>
      <c r="W895" s="286"/>
    </row>
    <row r="896">
      <c r="A896" s="286"/>
      <c r="B896" s="286"/>
      <c r="C896" s="529"/>
      <c r="D896" s="306"/>
      <c r="E896" s="306"/>
      <c r="F896" s="306"/>
      <c r="G896" s="286"/>
      <c r="H896" s="286"/>
      <c r="I896" s="286"/>
      <c r="J896" s="529"/>
      <c r="K896" s="286"/>
      <c r="L896" s="286"/>
      <c r="M896" s="529"/>
      <c r="N896" s="529"/>
      <c r="O896" s="529"/>
      <c r="P896" s="529"/>
      <c r="Q896" s="529"/>
      <c r="R896" s="286"/>
      <c r="S896" s="286"/>
      <c r="T896" s="286"/>
      <c r="U896" s="286"/>
      <c r="V896" s="286"/>
      <c r="W896" s="286"/>
    </row>
    <row r="897">
      <c r="A897" s="286"/>
      <c r="B897" s="286"/>
      <c r="C897" s="529"/>
      <c r="D897" s="306"/>
      <c r="E897" s="306"/>
      <c r="F897" s="306"/>
      <c r="G897" s="286"/>
      <c r="H897" s="286"/>
      <c r="I897" s="286"/>
      <c r="J897" s="529"/>
      <c r="K897" s="286"/>
      <c r="L897" s="286"/>
      <c r="M897" s="529"/>
      <c r="N897" s="529"/>
      <c r="O897" s="529"/>
      <c r="P897" s="529"/>
      <c r="Q897" s="529"/>
      <c r="R897" s="286"/>
      <c r="S897" s="286"/>
      <c r="T897" s="286"/>
      <c r="U897" s="286"/>
      <c r="V897" s="286"/>
      <c r="W897" s="286"/>
    </row>
    <row r="898">
      <c r="A898" s="286"/>
      <c r="B898" s="286"/>
      <c r="C898" s="529"/>
      <c r="D898" s="306"/>
      <c r="E898" s="306"/>
      <c r="F898" s="306"/>
      <c r="G898" s="286"/>
      <c r="H898" s="286"/>
      <c r="I898" s="286"/>
      <c r="J898" s="529"/>
      <c r="K898" s="286"/>
      <c r="L898" s="286"/>
      <c r="M898" s="529"/>
      <c r="N898" s="529"/>
      <c r="O898" s="529"/>
      <c r="P898" s="529"/>
      <c r="Q898" s="529"/>
      <c r="R898" s="286"/>
      <c r="S898" s="286"/>
      <c r="T898" s="286"/>
      <c r="U898" s="286"/>
      <c r="V898" s="286"/>
      <c r="W898" s="286"/>
    </row>
    <row r="899">
      <c r="A899" s="286"/>
      <c r="B899" s="286"/>
      <c r="C899" s="529"/>
      <c r="D899" s="306"/>
      <c r="E899" s="306"/>
      <c r="F899" s="306"/>
      <c r="G899" s="286"/>
      <c r="H899" s="286"/>
      <c r="I899" s="286"/>
      <c r="J899" s="529"/>
      <c r="K899" s="286"/>
      <c r="L899" s="286"/>
      <c r="M899" s="529"/>
      <c r="N899" s="529"/>
      <c r="O899" s="529"/>
      <c r="P899" s="529"/>
      <c r="Q899" s="529"/>
      <c r="R899" s="286"/>
      <c r="S899" s="286"/>
      <c r="T899" s="286"/>
      <c r="U899" s="286"/>
      <c r="V899" s="286"/>
      <c r="W899" s="286"/>
    </row>
    <row r="900">
      <c r="A900" s="286"/>
      <c r="B900" s="286"/>
      <c r="C900" s="529"/>
      <c r="D900" s="306"/>
      <c r="E900" s="306"/>
      <c r="F900" s="306"/>
      <c r="G900" s="286"/>
      <c r="H900" s="286"/>
      <c r="I900" s="286"/>
      <c r="J900" s="529"/>
      <c r="K900" s="286"/>
      <c r="L900" s="286"/>
      <c r="M900" s="529"/>
      <c r="N900" s="529"/>
      <c r="O900" s="529"/>
      <c r="P900" s="529"/>
      <c r="Q900" s="529"/>
      <c r="R900" s="286"/>
      <c r="S900" s="286"/>
      <c r="T900" s="286"/>
      <c r="U900" s="286"/>
      <c r="V900" s="286"/>
      <c r="W900" s="286"/>
    </row>
    <row r="901">
      <c r="A901" s="286"/>
      <c r="B901" s="286"/>
      <c r="C901" s="529"/>
      <c r="D901" s="306"/>
      <c r="E901" s="306"/>
      <c r="F901" s="306"/>
      <c r="G901" s="286"/>
      <c r="H901" s="286"/>
      <c r="I901" s="286"/>
      <c r="J901" s="529"/>
      <c r="K901" s="286"/>
      <c r="L901" s="286"/>
      <c r="M901" s="529"/>
      <c r="N901" s="529"/>
      <c r="O901" s="529"/>
      <c r="P901" s="529"/>
      <c r="Q901" s="529"/>
      <c r="R901" s="286"/>
      <c r="S901" s="286"/>
      <c r="T901" s="286"/>
      <c r="U901" s="286"/>
      <c r="V901" s="286"/>
      <c r="W901" s="286"/>
    </row>
    <row r="902">
      <c r="A902" s="286"/>
      <c r="B902" s="286"/>
      <c r="C902" s="529"/>
      <c r="D902" s="306"/>
      <c r="E902" s="306"/>
      <c r="F902" s="306"/>
      <c r="G902" s="286"/>
      <c r="H902" s="286"/>
      <c r="I902" s="286"/>
      <c r="J902" s="529"/>
      <c r="K902" s="286"/>
      <c r="L902" s="286"/>
      <c r="M902" s="529"/>
      <c r="N902" s="529"/>
      <c r="O902" s="529"/>
      <c r="P902" s="529"/>
      <c r="Q902" s="529"/>
      <c r="R902" s="286"/>
      <c r="S902" s="286"/>
      <c r="T902" s="286"/>
      <c r="U902" s="286"/>
      <c r="V902" s="286"/>
      <c r="W902" s="286"/>
    </row>
    <row r="903">
      <c r="A903" s="286"/>
      <c r="B903" s="286"/>
      <c r="C903" s="529"/>
      <c r="D903" s="306"/>
      <c r="E903" s="306"/>
      <c r="F903" s="306"/>
      <c r="G903" s="286"/>
      <c r="H903" s="286"/>
      <c r="I903" s="286"/>
      <c r="J903" s="529"/>
      <c r="K903" s="286"/>
      <c r="L903" s="286"/>
      <c r="M903" s="529"/>
      <c r="N903" s="529"/>
      <c r="O903" s="529"/>
      <c r="P903" s="529"/>
      <c r="Q903" s="529"/>
      <c r="R903" s="286"/>
      <c r="S903" s="286"/>
      <c r="T903" s="286"/>
      <c r="U903" s="286"/>
      <c r="V903" s="286"/>
      <c r="W903" s="286"/>
    </row>
    <row r="904">
      <c r="A904" s="286"/>
      <c r="B904" s="286"/>
      <c r="C904" s="529"/>
      <c r="D904" s="306"/>
      <c r="E904" s="306"/>
      <c r="F904" s="306"/>
      <c r="G904" s="286"/>
      <c r="H904" s="286"/>
      <c r="I904" s="286"/>
      <c r="J904" s="529"/>
      <c r="K904" s="286"/>
      <c r="L904" s="286"/>
      <c r="M904" s="529"/>
      <c r="N904" s="529"/>
      <c r="O904" s="529"/>
      <c r="P904" s="529"/>
      <c r="Q904" s="529"/>
      <c r="R904" s="286"/>
      <c r="S904" s="286"/>
      <c r="T904" s="286"/>
      <c r="U904" s="286"/>
      <c r="V904" s="286"/>
      <c r="W904" s="286"/>
    </row>
    <row r="905">
      <c r="A905" s="286"/>
      <c r="B905" s="286"/>
      <c r="C905" s="529"/>
      <c r="D905" s="306"/>
      <c r="E905" s="306"/>
      <c r="F905" s="306"/>
      <c r="G905" s="286"/>
      <c r="H905" s="286"/>
      <c r="I905" s="286"/>
      <c r="J905" s="529"/>
      <c r="K905" s="286"/>
      <c r="L905" s="286"/>
      <c r="M905" s="529"/>
      <c r="N905" s="529"/>
      <c r="O905" s="529"/>
      <c r="P905" s="529"/>
      <c r="Q905" s="529"/>
      <c r="R905" s="286"/>
      <c r="S905" s="286"/>
      <c r="T905" s="286"/>
      <c r="U905" s="286"/>
      <c r="V905" s="286"/>
      <c r="W905" s="286"/>
    </row>
    <row r="906">
      <c r="A906" s="286"/>
      <c r="B906" s="286"/>
      <c r="C906" s="529"/>
      <c r="D906" s="306"/>
      <c r="E906" s="306"/>
      <c r="F906" s="306"/>
      <c r="G906" s="286"/>
      <c r="H906" s="286"/>
      <c r="I906" s="286"/>
      <c r="J906" s="529"/>
      <c r="K906" s="286"/>
      <c r="L906" s="286"/>
      <c r="M906" s="529"/>
      <c r="N906" s="529"/>
      <c r="O906" s="529"/>
      <c r="P906" s="529"/>
      <c r="Q906" s="529"/>
      <c r="R906" s="286"/>
      <c r="S906" s="286"/>
      <c r="T906" s="286"/>
      <c r="U906" s="286"/>
      <c r="V906" s="286"/>
      <c r="W906" s="286"/>
    </row>
    <row r="907">
      <c r="A907" s="286"/>
      <c r="B907" s="286"/>
      <c r="C907" s="529"/>
      <c r="D907" s="306"/>
      <c r="E907" s="306"/>
      <c r="F907" s="306"/>
      <c r="G907" s="286"/>
      <c r="H907" s="286"/>
      <c r="I907" s="286"/>
      <c r="J907" s="529"/>
      <c r="K907" s="286"/>
      <c r="L907" s="286"/>
      <c r="M907" s="529"/>
      <c r="N907" s="529"/>
      <c r="O907" s="529"/>
      <c r="P907" s="529"/>
      <c r="Q907" s="529"/>
      <c r="R907" s="286"/>
      <c r="S907" s="286"/>
      <c r="T907" s="286"/>
      <c r="U907" s="286"/>
      <c r="V907" s="286"/>
      <c r="W907" s="286"/>
    </row>
    <row r="908">
      <c r="A908" s="286"/>
      <c r="B908" s="286"/>
      <c r="C908" s="529"/>
      <c r="D908" s="306"/>
      <c r="E908" s="306"/>
      <c r="F908" s="306"/>
      <c r="G908" s="286"/>
      <c r="H908" s="286"/>
      <c r="I908" s="286"/>
      <c r="J908" s="529"/>
      <c r="K908" s="286"/>
      <c r="L908" s="286"/>
      <c r="M908" s="529"/>
      <c r="N908" s="529"/>
      <c r="O908" s="529"/>
      <c r="P908" s="529"/>
      <c r="Q908" s="529"/>
      <c r="R908" s="286"/>
      <c r="S908" s="286"/>
      <c r="T908" s="286"/>
      <c r="U908" s="286"/>
      <c r="V908" s="286"/>
      <c r="W908" s="286"/>
    </row>
    <row r="909">
      <c r="A909" s="286"/>
      <c r="B909" s="286"/>
      <c r="C909" s="529"/>
      <c r="D909" s="306"/>
      <c r="E909" s="306"/>
      <c r="F909" s="306"/>
      <c r="G909" s="286"/>
      <c r="H909" s="286"/>
      <c r="I909" s="286"/>
      <c r="J909" s="529"/>
      <c r="K909" s="286"/>
      <c r="L909" s="286"/>
      <c r="M909" s="529"/>
      <c r="N909" s="529"/>
      <c r="O909" s="529"/>
      <c r="P909" s="529"/>
      <c r="Q909" s="529"/>
      <c r="R909" s="286"/>
      <c r="S909" s="286"/>
      <c r="T909" s="286"/>
      <c r="U909" s="286"/>
      <c r="V909" s="286"/>
      <c r="W909" s="286"/>
    </row>
    <row r="910">
      <c r="A910" s="286"/>
      <c r="B910" s="286"/>
      <c r="C910" s="529"/>
      <c r="D910" s="306"/>
      <c r="E910" s="306"/>
      <c r="F910" s="306"/>
      <c r="G910" s="286"/>
      <c r="H910" s="286"/>
      <c r="I910" s="286"/>
      <c r="J910" s="529"/>
      <c r="K910" s="286"/>
      <c r="L910" s="286"/>
      <c r="M910" s="529"/>
      <c r="N910" s="529"/>
      <c r="O910" s="529"/>
      <c r="P910" s="529"/>
      <c r="Q910" s="529"/>
      <c r="R910" s="286"/>
      <c r="S910" s="286"/>
      <c r="T910" s="286"/>
      <c r="U910" s="286"/>
      <c r="V910" s="286"/>
      <c r="W910" s="286"/>
    </row>
    <row r="911">
      <c r="A911" s="286"/>
      <c r="B911" s="286"/>
      <c r="C911" s="529"/>
      <c r="D911" s="306"/>
      <c r="E911" s="306"/>
      <c r="F911" s="306"/>
      <c r="G911" s="286"/>
      <c r="H911" s="286"/>
      <c r="I911" s="286"/>
      <c r="J911" s="529"/>
      <c r="K911" s="286"/>
      <c r="L911" s="286"/>
      <c r="M911" s="529"/>
      <c r="N911" s="529"/>
      <c r="O911" s="529"/>
      <c r="P911" s="529"/>
      <c r="Q911" s="529"/>
      <c r="R911" s="286"/>
      <c r="S911" s="286"/>
      <c r="T911" s="286"/>
      <c r="U911" s="286"/>
      <c r="V911" s="286"/>
      <c r="W911" s="286"/>
    </row>
    <row r="912">
      <c r="A912" s="286"/>
      <c r="B912" s="286"/>
      <c r="C912" s="529"/>
      <c r="D912" s="306"/>
      <c r="E912" s="306"/>
      <c r="F912" s="306"/>
      <c r="G912" s="286"/>
      <c r="H912" s="286"/>
      <c r="I912" s="286"/>
      <c r="J912" s="529"/>
      <c r="K912" s="286"/>
      <c r="L912" s="286"/>
      <c r="M912" s="529"/>
      <c r="N912" s="529"/>
      <c r="O912" s="529"/>
      <c r="P912" s="529"/>
      <c r="Q912" s="529"/>
      <c r="R912" s="286"/>
      <c r="S912" s="286"/>
      <c r="T912" s="286"/>
      <c r="U912" s="286"/>
      <c r="V912" s="286"/>
      <c r="W912" s="286"/>
    </row>
    <row r="913">
      <c r="A913" s="286"/>
      <c r="B913" s="286"/>
      <c r="C913" s="529"/>
      <c r="D913" s="306"/>
      <c r="E913" s="306"/>
      <c r="F913" s="306"/>
      <c r="G913" s="286"/>
      <c r="H913" s="286"/>
      <c r="I913" s="286"/>
      <c r="J913" s="529"/>
      <c r="K913" s="286"/>
      <c r="L913" s="286"/>
      <c r="M913" s="529"/>
      <c r="N913" s="529"/>
      <c r="O913" s="529"/>
      <c r="P913" s="529"/>
      <c r="Q913" s="529"/>
      <c r="R913" s="286"/>
      <c r="S913" s="286"/>
      <c r="T913" s="286"/>
      <c r="U913" s="286"/>
      <c r="V913" s="286"/>
      <c r="W913" s="286"/>
    </row>
    <row r="914">
      <c r="A914" s="286"/>
      <c r="B914" s="286"/>
      <c r="C914" s="529"/>
      <c r="D914" s="306"/>
      <c r="E914" s="306"/>
      <c r="F914" s="306"/>
      <c r="G914" s="286"/>
      <c r="H914" s="286"/>
      <c r="I914" s="286"/>
      <c r="J914" s="529"/>
      <c r="K914" s="286"/>
      <c r="L914" s="286"/>
      <c r="M914" s="529"/>
      <c r="N914" s="529"/>
      <c r="O914" s="529"/>
      <c r="P914" s="529"/>
      <c r="Q914" s="529"/>
      <c r="R914" s="286"/>
      <c r="S914" s="286"/>
      <c r="T914" s="286"/>
      <c r="U914" s="286"/>
      <c r="V914" s="286"/>
      <c r="W914" s="286"/>
    </row>
    <row r="915">
      <c r="A915" s="286"/>
      <c r="B915" s="286"/>
      <c r="C915" s="529"/>
      <c r="D915" s="306"/>
      <c r="E915" s="306"/>
      <c r="F915" s="306"/>
      <c r="G915" s="286"/>
      <c r="H915" s="286"/>
      <c r="I915" s="286"/>
      <c r="J915" s="529"/>
      <c r="K915" s="286"/>
      <c r="L915" s="286"/>
      <c r="M915" s="529"/>
      <c r="N915" s="529"/>
      <c r="O915" s="529"/>
      <c r="P915" s="529"/>
      <c r="Q915" s="529"/>
      <c r="R915" s="286"/>
      <c r="S915" s="286"/>
      <c r="T915" s="286"/>
      <c r="U915" s="286"/>
      <c r="V915" s="286"/>
      <c r="W915" s="286"/>
    </row>
    <row r="916">
      <c r="A916" s="286"/>
      <c r="B916" s="286"/>
      <c r="C916" s="529"/>
      <c r="D916" s="306"/>
      <c r="E916" s="306"/>
      <c r="F916" s="306"/>
      <c r="G916" s="286"/>
      <c r="H916" s="286"/>
      <c r="I916" s="286"/>
      <c r="J916" s="529"/>
      <c r="K916" s="286"/>
      <c r="L916" s="286"/>
      <c r="M916" s="529"/>
      <c r="N916" s="529"/>
      <c r="O916" s="529"/>
      <c r="P916" s="529"/>
      <c r="Q916" s="529"/>
      <c r="R916" s="286"/>
      <c r="S916" s="286"/>
      <c r="T916" s="286"/>
      <c r="U916" s="286"/>
      <c r="V916" s="286"/>
      <c r="W916" s="286"/>
    </row>
    <row r="917">
      <c r="A917" s="286"/>
      <c r="B917" s="286"/>
      <c r="C917" s="529"/>
      <c r="D917" s="306"/>
      <c r="E917" s="306"/>
      <c r="F917" s="306"/>
      <c r="G917" s="286"/>
      <c r="H917" s="286"/>
      <c r="I917" s="286"/>
      <c r="J917" s="529"/>
      <c r="K917" s="286"/>
      <c r="L917" s="286"/>
      <c r="M917" s="529"/>
      <c r="N917" s="529"/>
      <c r="O917" s="529"/>
      <c r="P917" s="529"/>
      <c r="Q917" s="529"/>
      <c r="R917" s="286"/>
      <c r="S917" s="286"/>
      <c r="T917" s="286"/>
      <c r="U917" s="286"/>
      <c r="V917" s="286"/>
      <c r="W917" s="286"/>
    </row>
    <row r="918">
      <c r="A918" s="286"/>
      <c r="B918" s="286"/>
      <c r="C918" s="529"/>
      <c r="D918" s="306"/>
      <c r="E918" s="306"/>
      <c r="F918" s="306"/>
      <c r="G918" s="286"/>
      <c r="H918" s="286"/>
      <c r="I918" s="286"/>
      <c r="J918" s="529"/>
      <c r="K918" s="286"/>
      <c r="L918" s="286"/>
      <c r="M918" s="529"/>
      <c r="N918" s="529"/>
      <c r="O918" s="529"/>
      <c r="P918" s="529"/>
      <c r="Q918" s="529"/>
      <c r="R918" s="286"/>
      <c r="S918" s="286"/>
      <c r="T918" s="286"/>
      <c r="U918" s="286"/>
      <c r="V918" s="286"/>
      <c r="W918" s="286"/>
    </row>
    <row r="919">
      <c r="A919" s="286"/>
      <c r="B919" s="286"/>
      <c r="C919" s="529"/>
      <c r="D919" s="306"/>
      <c r="E919" s="306"/>
      <c r="F919" s="306"/>
      <c r="G919" s="286"/>
      <c r="H919" s="286"/>
      <c r="I919" s="286"/>
      <c r="J919" s="529"/>
      <c r="K919" s="286"/>
      <c r="L919" s="286"/>
      <c r="M919" s="529"/>
      <c r="N919" s="529"/>
      <c r="O919" s="529"/>
      <c r="P919" s="529"/>
      <c r="Q919" s="529"/>
      <c r="R919" s="286"/>
      <c r="S919" s="286"/>
      <c r="T919" s="286"/>
      <c r="U919" s="286"/>
      <c r="V919" s="286"/>
      <c r="W919" s="286"/>
    </row>
    <row r="920">
      <c r="A920" s="286"/>
      <c r="B920" s="286"/>
      <c r="C920" s="529"/>
      <c r="D920" s="306"/>
      <c r="E920" s="306"/>
      <c r="F920" s="306"/>
      <c r="G920" s="286"/>
      <c r="H920" s="286"/>
      <c r="I920" s="286"/>
      <c r="J920" s="529"/>
      <c r="K920" s="286"/>
      <c r="L920" s="286"/>
      <c r="M920" s="529"/>
      <c r="N920" s="529"/>
      <c r="O920" s="529"/>
      <c r="P920" s="529"/>
      <c r="Q920" s="529"/>
      <c r="R920" s="286"/>
      <c r="S920" s="286"/>
      <c r="T920" s="286"/>
      <c r="U920" s="286"/>
      <c r="V920" s="286"/>
      <c r="W920" s="286"/>
    </row>
    <row r="921">
      <c r="A921" s="286"/>
      <c r="B921" s="286"/>
      <c r="C921" s="529"/>
      <c r="D921" s="306"/>
      <c r="E921" s="306"/>
      <c r="F921" s="306"/>
      <c r="G921" s="286"/>
      <c r="H921" s="286"/>
      <c r="I921" s="286"/>
      <c r="J921" s="529"/>
      <c r="K921" s="286"/>
      <c r="L921" s="286"/>
      <c r="M921" s="529"/>
      <c r="N921" s="529"/>
      <c r="O921" s="529"/>
      <c r="P921" s="529"/>
      <c r="Q921" s="529"/>
      <c r="R921" s="286"/>
      <c r="S921" s="286"/>
      <c r="T921" s="286"/>
      <c r="U921" s="286"/>
      <c r="V921" s="286"/>
      <c r="W921" s="286"/>
    </row>
    <row r="922">
      <c r="A922" s="286"/>
      <c r="B922" s="286"/>
      <c r="C922" s="529"/>
      <c r="D922" s="306"/>
      <c r="E922" s="306"/>
      <c r="F922" s="306"/>
      <c r="G922" s="286"/>
      <c r="H922" s="286"/>
      <c r="I922" s="286"/>
      <c r="J922" s="529"/>
      <c r="K922" s="286"/>
      <c r="L922" s="286"/>
      <c r="M922" s="529"/>
      <c r="N922" s="529"/>
      <c r="O922" s="529"/>
      <c r="P922" s="529"/>
      <c r="Q922" s="529"/>
      <c r="R922" s="286"/>
      <c r="S922" s="286"/>
      <c r="T922" s="286"/>
      <c r="U922" s="286"/>
      <c r="V922" s="286"/>
      <c r="W922" s="286"/>
    </row>
    <row r="923">
      <c r="A923" s="286"/>
      <c r="B923" s="286"/>
      <c r="C923" s="529"/>
      <c r="D923" s="306"/>
      <c r="E923" s="306"/>
      <c r="F923" s="306"/>
      <c r="G923" s="286"/>
      <c r="H923" s="286"/>
      <c r="I923" s="286"/>
      <c r="J923" s="529"/>
      <c r="K923" s="286"/>
      <c r="L923" s="286"/>
      <c r="M923" s="529"/>
      <c r="N923" s="529"/>
      <c r="O923" s="529"/>
      <c r="P923" s="529"/>
      <c r="Q923" s="529"/>
      <c r="R923" s="286"/>
      <c r="S923" s="286"/>
      <c r="T923" s="286"/>
      <c r="U923" s="286"/>
      <c r="V923" s="286"/>
      <c r="W923" s="286"/>
    </row>
    <row r="924">
      <c r="A924" s="286"/>
      <c r="B924" s="286"/>
      <c r="C924" s="529"/>
      <c r="D924" s="306"/>
      <c r="E924" s="306"/>
      <c r="F924" s="306"/>
      <c r="G924" s="286"/>
      <c r="H924" s="286"/>
      <c r="I924" s="286"/>
      <c r="J924" s="529"/>
      <c r="K924" s="286"/>
      <c r="L924" s="286"/>
      <c r="M924" s="529"/>
      <c r="N924" s="529"/>
      <c r="O924" s="529"/>
      <c r="P924" s="529"/>
      <c r="Q924" s="529"/>
      <c r="R924" s="286"/>
      <c r="S924" s="286"/>
      <c r="T924" s="286"/>
      <c r="U924" s="286"/>
      <c r="V924" s="286"/>
      <c r="W924" s="286"/>
    </row>
    <row r="925">
      <c r="A925" s="286"/>
      <c r="B925" s="286"/>
      <c r="C925" s="529"/>
      <c r="D925" s="306"/>
      <c r="E925" s="306"/>
      <c r="F925" s="306"/>
      <c r="G925" s="286"/>
      <c r="H925" s="286"/>
      <c r="I925" s="286"/>
      <c r="J925" s="529"/>
      <c r="K925" s="286"/>
      <c r="L925" s="286"/>
      <c r="M925" s="529"/>
      <c r="N925" s="529"/>
      <c r="O925" s="529"/>
      <c r="P925" s="529"/>
      <c r="Q925" s="529"/>
      <c r="R925" s="286"/>
      <c r="S925" s="286"/>
      <c r="T925" s="286"/>
      <c r="U925" s="286"/>
      <c r="V925" s="286"/>
      <c r="W925" s="286"/>
    </row>
    <row r="926">
      <c r="A926" s="286"/>
      <c r="B926" s="286"/>
      <c r="C926" s="529"/>
      <c r="D926" s="306"/>
      <c r="E926" s="306"/>
      <c r="F926" s="306"/>
      <c r="G926" s="286"/>
      <c r="H926" s="286"/>
      <c r="I926" s="286"/>
      <c r="J926" s="529"/>
      <c r="K926" s="286"/>
      <c r="L926" s="286"/>
      <c r="M926" s="529"/>
      <c r="N926" s="529"/>
      <c r="O926" s="529"/>
      <c r="P926" s="529"/>
      <c r="Q926" s="529"/>
      <c r="R926" s="286"/>
      <c r="S926" s="286"/>
      <c r="T926" s="286"/>
      <c r="U926" s="286"/>
      <c r="V926" s="286"/>
      <c r="W926" s="286"/>
    </row>
    <row r="927">
      <c r="A927" s="286"/>
      <c r="B927" s="286"/>
      <c r="C927" s="529"/>
      <c r="D927" s="306"/>
      <c r="E927" s="306"/>
      <c r="F927" s="306"/>
      <c r="G927" s="286"/>
      <c r="H927" s="286"/>
      <c r="I927" s="286"/>
      <c r="J927" s="529"/>
      <c r="K927" s="286"/>
      <c r="L927" s="286"/>
      <c r="M927" s="529"/>
      <c r="N927" s="529"/>
      <c r="O927" s="529"/>
      <c r="P927" s="529"/>
      <c r="Q927" s="529"/>
      <c r="R927" s="286"/>
      <c r="S927" s="286"/>
      <c r="T927" s="286"/>
      <c r="U927" s="286"/>
      <c r="V927" s="286"/>
      <c r="W927" s="286"/>
    </row>
    <row r="928">
      <c r="A928" s="286"/>
      <c r="B928" s="286"/>
      <c r="C928" s="529"/>
      <c r="D928" s="306"/>
      <c r="E928" s="306"/>
      <c r="F928" s="306"/>
      <c r="G928" s="286"/>
      <c r="H928" s="286"/>
      <c r="I928" s="286"/>
      <c r="J928" s="529"/>
      <c r="K928" s="286"/>
      <c r="L928" s="286"/>
      <c r="M928" s="529"/>
      <c r="N928" s="529"/>
      <c r="O928" s="529"/>
      <c r="P928" s="529"/>
      <c r="Q928" s="529"/>
      <c r="R928" s="286"/>
      <c r="S928" s="286"/>
      <c r="T928" s="286"/>
      <c r="U928" s="286"/>
      <c r="V928" s="286"/>
      <c r="W928" s="286"/>
    </row>
    <row r="929">
      <c r="A929" s="286"/>
      <c r="B929" s="286"/>
      <c r="C929" s="529"/>
      <c r="D929" s="306"/>
      <c r="E929" s="306"/>
      <c r="F929" s="306"/>
      <c r="G929" s="286"/>
      <c r="H929" s="286"/>
      <c r="I929" s="286"/>
      <c r="J929" s="529"/>
      <c r="K929" s="286"/>
      <c r="L929" s="286"/>
      <c r="M929" s="529"/>
      <c r="N929" s="529"/>
      <c r="O929" s="529"/>
      <c r="P929" s="529"/>
      <c r="Q929" s="529"/>
      <c r="R929" s="286"/>
      <c r="S929" s="286"/>
      <c r="T929" s="286"/>
      <c r="U929" s="286"/>
      <c r="V929" s="286"/>
      <c r="W929" s="286"/>
    </row>
    <row r="930">
      <c r="A930" s="286"/>
      <c r="B930" s="286"/>
      <c r="C930" s="529"/>
      <c r="D930" s="306"/>
      <c r="E930" s="306"/>
      <c r="F930" s="306"/>
      <c r="G930" s="286"/>
      <c r="H930" s="286"/>
      <c r="I930" s="286"/>
      <c r="J930" s="529"/>
      <c r="K930" s="286"/>
      <c r="L930" s="286"/>
      <c r="M930" s="529"/>
      <c r="N930" s="529"/>
      <c r="O930" s="529"/>
      <c r="P930" s="529"/>
      <c r="Q930" s="529"/>
      <c r="R930" s="286"/>
      <c r="S930" s="286"/>
      <c r="T930" s="286"/>
      <c r="U930" s="286"/>
      <c r="V930" s="286"/>
      <c r="W930" s="286"/>
    </row>
    <row r="931">
      <c r="A931" s="286"/>
      <c r="B931" s="286"/>
      <c r="C931" s="529"/>
      <c r="D931" s="306"/>
      <c r="E931" s="306"/>
      <c r="F931" s="306"/>
      <c r="G931" s="286"/>
      <c r="H931" s="286"/>
      <c r="I931" s="286"/>
      <c r="J931" s="529"/>
      <c r="K931" s="286"/>
      <c r="L931" s="286"/>
      <c r="M931" s="529"/>
      <c r="N931" s="529"/>
      <c r="O931" s="529"/>
      <c r="P931" s="529"/>
      <c r="Q931" s="529"/>
      <c r="R931" s="286"/>
      <c r="S931" s="286"/>
      <c r="T931" s="286"/>
      <c r="U931" s="286"/>
      <c r="V931" s="286"/>
      <c r="W931" s="286"/>
    </row>
    <row r="932">
      <c r="A932" s="286"/>
      <c r="B932" s="286"/>
      <c r="C932" s="529"/>
      <c r="D932" s="306"/>
      <c r="E932" s="306"/>
      <c r="F932" s="306"/>
      <c r="G932" s="286"/>
      <c r="H932" s="286"/>
      <c r="I932" s="286"/>
      <c r="J932" s="529"/>
      <c r="K932" s="286"/>
      <c r="L932" s="286"/>
      <c r="M932" s="529"/>
      <c r="N932" s="529"/>
      <c r="O932" s="529"/>
      <c r="P932" s="529"/>
      <c r="Q932" s="529"/>
      <c r="R932" s="286"/>
      <c r="S932" s="286"/>
      <c r="T932" s="286"/>
      <c r="U932" s="286"/>
      <c r="V932" s="286"/>
      <c r="W932" s="286"/>
    </row>
    <row r="933">
      <c r="A933" s="286"/>
      <c r="B933" s="286"/>
      <c r="C933" s="529"/>
      <c r="D933" s="306"/>
      <c r="E933" s="306"/>
      <c r="F933" s="306"/>
      <c r="G933" s="286"/>
      <c r="H933" s="286"/>
      <c r="I933" s="286"/>
      <c r="J933" s="529"/>
      <c r="K933" s="286"/>
      <c r="L933" s="286"/>
      <c r="M933" s="529"/>
      <c r="N933" s="529"/>
      <c r="O933" s="529"/>
      <c r="P933" s="529"/>
      <c r="Q933" s="529"/>
      <c r="R933" s="286"/>
      <c r="S933" s="286"/>
      <c r="T933" s="286"/>
      <c r="U933" s="286"/>
      <c r="V933" s="286"/>
      <c r="W933" s="286"/>
    </row>
    <row r="934">
      <c r="A934" s="286"/>
      <c r="B934" s="286"/>
      <c r="C934" s="529"/>
      <c r="D934" s="306"/>
      <c r="E934" s="306"/>
      <c r="F934" s="306"/>
      <c r="G934" s="286"/>
      <c r="H934" s="286"/>
      <c r="I934" s="286"/>
      <c r="J934" s="529"/>
      <c r="K934" s="286"/>
      <c r="L934" s="286"/>
      <c r="M934" s="529"/>
      <c r="N934" s="529"/>
      <c r="O934" s="529"/>
      <c r="P934" s="529"/>
      <c r="Q934" s="529"/>
      <c r="R934" s="286"/>
      <c r="S934" s="286"/>
      <c r="T934" s="286"/>
      <c r="U934" s="286"/>
      <c r="V934" s="286"/>
      <c r="W934" s="286"/>
    </row>
    <row r="935">
      <c r="A935" s="286"/>
      <c r="B935" s="286"/>
      <c r="C935" s="529"/>
      <c r="D935" s="306"/>
      <c r="E935" s="306"/>
      <c r="F935" s="306"/>
      <c r="G935" s="286"/>
      <c r="H935" s="286"/>
      <c r="I935" s="286"/>
      <c r="J935" s="529"/>
      <c r="K935" s="286"/>
      <c r="L935" s="286"/>
      <c r="M935" s="529"/>
      <c r="N935" s="529"/>
      <c r="O935" s="529"/>
      <c r="P935" s="529"/>
      <c r="Q935" s="529"/>
      <c r="R935" s="286"/>
      <c r="S935" s="286"/>
      <c r="T935" s="286"/>
      <c r="U935" s="286"/>
      <c r="V935" s="286"/>
      <c r="W935" s="286"/>
    </row>
    <row r="936">
      <c r="A936" s="286"/>
      <c r="B936" s="286"/>
      <c r="C936" s="529"/>
      <c r="D936" s="306"/>
      <c r="E936" s="306"/>
      <c r="F936" s="306"/>
      <c r="G936" s="286"/>
      <c r="H936" s="286"/>
      <c r="I936" s="286"/>
      <c r="J936" s="529"/>
      <c r="K936" s="286"/>
      <c r="L936" s="286"/>
      <c r="M936" s="529"/>
      <c r="N936" s="529"/>
      <c r="O936" s="529"/>
      <c r="P936" s="529"/>
      <c r="Q936" s="529"/>
      <c r="R936" s="286"/>
      <c r="S936" s="286"/>
      <c r="T936" s="286"/>
      <c r="U936" s="286"/>
      <c r="V936" s="286"/>
      <c r="W936" s="286"/>
    </row>
    <row r="937">
      <c r="A937" s="286"/>
      <c r="B937" s="286"/>
      <c r="C937" s="529"/>
      <c r="D937" s="306"/>
      <c r="E937" s="306"/>
      <c r="F937" s="306"/>
      <c r="G937" s="286"/>
      <c r="H937" s="286"/>
      <c r="I937" s="286"/>
      <c r="J937" s="529"/>
      <c r="K937" s="286"/>
      <c r="L937" s="286"/>
      <c r="M937" s="529"/>
      <c r="N937" s="529"/>
      <c r="O937" s="529"/>
      <c r="P937" s="529"/>
      <c r="Q937" s="529"/>
      <c r="R937" s="286"/>
      <c r="S937" s="286"/>
      <c r="T937" s="286"/>
      <c r="U937" s="286"/>
      <c r="V937" s="286"/>
      <c r="W937" s="286"/>
    </row>
    <row r="938">
      <c r="A938" s="286"/>
      <c r="B938" s="286"/>
      <c r="C938" s="529"/>
      <c r="D938" s="306"/>
      <c r="E938" s="306"/>
      <c r="F938" s="306"/>
      <c r="G938" s="286"/>
      <c r="H938" s="286"/>
      <c r="I938" s="286"/>
      <c r="J938" s="529"/>
      <c r="K938" s="286"/>
      <c r="L938" s="286"/>
      <c r="M938" s="529"/>
      <c r="N938" s="529"/>
      <c r="O938" s="529"/>
      <c r="P938" s="529"/>
      <c r="Q938" s="529"/>
      <c r="R938" s="286"/>
      <c r="S938" s="286"/>
      <c r="T938" s="286"/>
      <c r="U938" s="286"/>
      <c r="V938" s="286"/>
      <c r="W938" s="286"/>
    </row>
    <row r="939">
      <c r="A939" s="286"/>
      <c r="B939" s="286"/>
      <c r="C939" s="529"/>
      <c r="D939" s="306"/>
      <c r="E939" s="306"/>
      <c r="F939" s="306"/>
      <c r="G939" s="286"/>
      <c r="H939" s="286"/>
      <c r="I939" s="286"/>
      <c r="J939" s="529"/>
      <c r="K939" s="286"/>
      <c r="L939" s="286"/>
      <c r="M939" s="529"/>
      <c r="N939" s="529"/>
      <c r="O939" s="529"/>
      <c r="P939" s="529"/>
      <c r="Q939" s="529"/>
      <c r="R939" s="286"/>
      <c r="S939" s="286"/>
      <c r="T939" s="286"/>
      <c r="U939" s="286"/>
      <c r="V939" s="286"/>
      <c r="W939" s="286"/>
    </row>
    <row r="940">
      <c r="A940" s="286"/>
      <c r="B940" s="286"/>
      <c r="C940" s="529"/>
      <c r="D940" s="306"/>
      <c r="E940" s="306"/>
      <c r="F940" s="306"/>
      <c r="G940" s="286"/>
      <c r="H940" s="286"/>
      <c r="I940" s="286"/>
      <c r="J940" s="529"/>
      <c r="K940" s="286"/>
      <c r="L940" s="286"/>
      <c r="M940" s="529"/>
      <c r="N940" s="529"/>
      <c r="O940" s="529"/>
      <c r="P940" s="529"/>
      <c r="Q940" s="529"/>
      <c r="R940" s="286"/>
      <c r="S940" s="286"/>
      <c r="T940" s="286"/>
      <c r="U940" s="286"/>
      <c r="V940" s="286"/>
      <c r="W940" s="286"/>
    </row>
    <row r="941">
      <c r="A941" s="286"/>
      <c r="B941" s="286"/>
      <c r="C941" s="529"/>
      <c r="D941" s="306"/>
      <c r="E941" s="306"/>
      <c r="F941" s="306"/>
      <c r="G941" s="286"/>
      <c r="H941" s="286"/>
      <c r="I941" s="286"/>
      <c r="J941" s="529"/>
      <c r="K941" s="286"/>
      <c r="L941" s="286"/>
      <c r="M941" s="529"/>
      <c r="N941" s="529"/>
      <c r="O941" s="529"/>
      <c r="P941" s="529"/>
      <c r="Q941" s="529"/>
      <c r="R941" s="286"/>
      <c r="S941" s="286"/>
      <c r="T941" s="286"/>
      <c r="U941" s="286"/>
      <c r="V941" s="286"/>
      <c r="W941" s="286"/>
    </row>
    <row r="942">
      <c r="A942" s="286"/>
      <c r="B942" s="286"/>
      <c r="C942" s="529"/>
      <c r="D942" s="306"/>
      <c r="E942" s="306"/>
      <c r="F942" s="306"/>
      <c r="G942" s="286"/>
      <c r="H942" s="286"/>
      <c r="I942" s="286"/>
      <c r="J942" s="529"/>
      <c r="K942" s="286"/>
      <c r="L942" s="286"/>
      <c r="M942" s="529"/>
      <c r="N942" s="529"/>
      <c r="O942" s="529"/>
      <c r="P942" s="529"/>
      <c r="Q942" s="529"/>
      <c r="R942" s="286"/>
      <c r="S942" s="286"/>
      <c r="T942" s="286"/>
      <c r="U942" s="286"/>
      <c r="V942" s="286"/>
      <c r="W942" s="286"/>
    </row>
    <row r="943">
      <c r="A943" s="286"/>
      <c r="B943" s="286"/>
      <c r="C943" s="529"/>
      <c r="D943" s="306"/>
      <c r="E943" s="306"/>
      <c r="F943" s="306"/>
      <c r="G943" s="286"/>
      <c r="H943" s="286"/>
      <c r="I943" s="286"/>
      <c r="J943" s="529"/>
      <c r="K943" s="286"/>
      <c r="L943" s="286"/>
      <c r="M943" s="529"/>
      <c r="N943" s="529"/>
      <c r="O943" s="529"/>
      <c r="P943" s="529"/>
      <c r="Q943" s="529"/>
      <c r="R943" s="286"/>
      <c r="S943" s="286"/>
      <c r="T943" s="286"/>
      <c r="U943" s="286"/>
      <c r="V943" s="286"/>
      <c r="W943" s="286"/>
    </row>
    <row r="944">
      <c r="A944" s="286"/>
      <c r="B944" s="286"/>
      <c r="C944" s="529"/>
      <c r="D944" s="306"/>
      <c r="E944" s="306"/>
      <c r="F944" s="306"/>
      <c r="G944" s="286"/>
      <c r="H944" s="286"/>
      <c r="I944" s="286"/>
      <c r="J944" s="529"/>
      <c r="K944" s="286"/>
      <c r="L944" s="286"/>
      <c r="M944" s="529"/>
      <c r="N944" s="529"/>
      <c r="O944" s="529"/>
      <c r="P944" s="529"/>
      <c r="Q944" s="529"/>
      <c r="R944" s="286"/>
      <c r="S944" s="286"/>
      <c r="T944" s="286"/>
      <c r="U944" s="286"/>
      <c r="V944" s="286"/>
      <c r="W944" s="286"/>
    </row>
    <row r="945">
      <c r="A945" s="286"/>
      <c r="B945" s="286"/>
      <c r="C945" s="529"/>
      <c r="D945" s="306"/>
      <c r="E945" s="306"/>
      <c r="F945" s="306"/>
      <c r="G945" s="286"/>
      <c r="H945" s="286"/>
      <c r="I945" s="286"/>
      <c r="J945" s="529"/>
      <c r="K945" s="286"/>
      <c r="L945" s="286"/>
      <c r="M945" s="529"/>
      <c r="N945" s="529"/>
      <c r="O945" s="529"/>
      <c r="P945" s="529"/>
      <c r="Q945" s="529"/>
      <c r="R945" s="286"/>
      <c r="S945" s="286"/>
      <c r="T945" s="286"/>
      <c r="U945" s="286"/>
      <c r="V945" s="286"/>
      <c r="W945" s="286"/>
    </row>
    <row r="946">
      <c r="A946" s="286"/>
      <c r="B946" s="286"/>
      <c r="C946" s="529"/>
      <c r="D946" s="306"/>
      <c r="E946" s="306"/>
      <c r="F946" s="306"/>
      <c r="G946" s="286"/>
      <c r="H946" s="286"/>
      <c r="I946" s="286"/>
      <c r="J946" s="529"/>
      <c r="K946" s="286"/>
      <c r="L946" s="286"/>
      <c r="M946" s="529"/>
      <c r="N946" s="529"/>
      <c r="O946" s="529"/>
      <c r="P946" s="529"/>
      <c r="Q946" s="529"/>
      <c r="R946" s="286"/>
      <c r="S946" s="286"/>
      <c r="T946" s="286"/>
      <c r="U946" s="286"/>
      <c r="V946" s="286"/>
      <c r="W946" s="286"/>
    </row>
    <row r="947">
      <c r="A947" s="286"/>
      <c r="B947" s="286"/>
      <c r="C947" s="529"/>
      <c r="D947" s="306"/>
      <c r="E947" s="306"/>
      <c r="F947" s="306"/>
      <c r="G947" s="286"/>
      <c r="H947" s="286"/>
      <c r="I947" s="286"/>
      <c r="J947" s="529"/>
      <c r="K947" s="286"/>
      <c r="L947" s="286"/>
      <c r="M947" s="529"/>
      <c r="N947" s="529"/>
      <c r="O947" s="529"/>
      <c r="P947" s="529"/>
      <c r="Q947" s="529"/>
      <c r="R947" s="286"/>
      <c r="S947" s="286"/>
      <c r="T947" s="286"/>
      <c r="U947" s="286"/>
      <c r="V947" s="286"/>
      <c r="W947" s="286"/>
    </row>
    <row r="948">
      <c r="A948" s="286"/>
      <c r="B948" s="286"/>
      <c r="C948" s="529"/>
      <c r="D948" s="306"/>
      <c r="E948" s="306"/>
      <c r="F948" s="306"/>
      <c r="G948" s="286"/>
      <c r="H948" s="286"/>
      <c r="I948" s="286"/>
      <c r="J948" s="529"/>
      <c r="K948" s="286"/>
      <c r="L948" s="286"/>
      <c r="M948" s="529"/>
      <c r="N948" s="529"/>
      <c r="O948" s="529"/>
      <c r="P948" s="529"/>
      <c r="Q948" s="529"/>
      <c r="R948" s="286"/>
      <c r="S948" s="286"/>
      <c r="T948" s="286"/>
      <c r="U948" s="286"/>
      <c r="V948" s="286"/>
      <c r="W948" s="286"/>
    </row>
    <row r="949">
      <c r="A949" s="286"/>
      <c r="B949" s="286"/>
      <c r="C949" s="529"/>
      <c r="D949" s="306"/>
      <c r="E949" s="306"/>
      <c r="F949" s="306"/>
      <c r="G949" s="286"/>
      <c r="H949" s="286"/>
      <c r="I949" s="286"/>
      <c r="J949" s="529"/>
      <c r="K949" s="286"/>
      <c r="L949" s="286"/>
      <c r="M949" s="529"/>
      <c r="N949" s="529"/>
      <c r="O949" s="529"/>
      <c r="P949" s="529"/>
      <c r="Q949" s="529"/>
      <c r="R949" s="286"/>
      <c r="S949" s="286"/>
      <c r="T949" s="286"/>
      <c r="U949" s="286"/>
      <c r="V949" s="286"/>
      <c r="W949" s="286"/>
    </row>
    <row r="950">
      <c r="A950" s="286"/>
      <c r="B950" s="286"/>
      <c r="C950" s="529"/>
      <c r="D950" s="306"/>
      <c r="E950" s="306"/>
      <c r="F950" s="306"/>
      <c r="G950" s="286"/>
      <c r="H950" s="286"/>
      <c r="I950" s="286"/>
      <c r="J950" s="529"/>
      <c r="K950" s="286"/>
      <c r="L950" s="286"/>
      <c r="M950" s="529"/>
      <c r="N950" s="529"/>
      <c r="O950" s="529"/>
      <c r="P950" s="529"/>
      <c r="Q950" s="529"/>
      <c r="R950" s="286"/>
      <c r="S950" s="286"/>
      <c r="T950" s="286"/>
      <c r="U950" s="286"/>
      <c r="V950" s="286"/>
      <c r="W950" s="286"/>
    </row>
    <row r="951">
      <c r="A951" s="286"/>
      <c r="B951" s="286"/>
      <c r="C951" s="529"/>
      <c r="D951" s="306"/>
      <c r="E951" s="306"/>
      <c r="F951" s="306"/>
      <c r="G951" s="286"/>
      <c r="H951" s="286"/>
      <c r="I951" s="286"/>
      <c r="J951" s="529"/>
      <c r="K951" s="286"/>
      <c r="L951" s="286"/>
      <c r="M951" s="529"/>
      <c r="N951" s="529"/>
      <c r="O951" s="529"/>
      <c r="P951" s="529"/>
      <c r="Q951" s="529"/>
      <c r="R951" s="286"/>
      <c r="S951" s="286"/>
      <c r="T951" s="286"/>
      <c r="U951" s="286"/>
      <c r="V951" s="286"/>
      <c r="W951" s="286"/>
    </row>
    <row r="952">
      <c r="A952" s="286"/>
      <c r="B952" s="286"/>
      <c r="C952" s="529"/>
      <c r="D952" s="306"/>
      <c r="E952" s="306"/>
      <c r="F952" s="306"/>
      <c r="G952" s="286"/>
      <c r="H952" s="286"/>
      <c r="I952" s="286"/>
      <c r="J952" s="529"/>
      <c r="K952" s="286"/>
      <c r="L952" s="286"/>
      <c r="M952" s="529"/>
      <c r="N952" s="529"/>
      <c r="O952" s="529"/>
      <c r="P952" s="529"/>
      <c r="Q952" s="529"/>
      <c r="R952" s="286"/>
      <c r="S952" s="286"/>
      <c r="T952" s="286"/>
      <c r="U952" s="286"/>
      <c r="V952" s="286"/>
      <c r="W952" s="286"/>
    </row>
    <row r="953">
      <c r="A953" s="286"/>
      <c r="B953" s="286"/>
      <c r="C953" s="529"/>
      <c r="D953" s="306"/>
      <c r="E953" s="306"/>
      <c r="F953" s="306"/>
      <c r="G953" s="286"/>
      <c r="H953" s="286"/>
      <c r="I953" s="286"/>
      <c r="J953" s="529"/>
      <c r="K953" s="286"/>
      <c r="L953" s="286"/>
      <c r="M953" s="529"/>
      <c r="N953" s="529"/>
      <c r="O953" s="529"/>
      <c r="P953" s="529"/>
      <c r="Q953" s="529"/>
      <c r="R953" s="286"/>
      <c r="S953" s="286"/>
      <c r="T953" s="286"/>
      <c r="U953" s="286"/>
      <c r="V953" s="286"/>
      <c r="W953" s="286"/>
    </row>
    <row r="954">
      <c r="A954" s="286"/>
      <c r="B954" s="286"/>
      <c r="C954" s="529"/>
      <c r="D954" s="306"/>
      <c r="E954" s="306"/>
      <c r="F954" s="306"/>
      <c r="G954" s="286"/>
      <c r="H954" s="286"/>
      <c r="I954" s="286"/>
      <c r="J954" s="529"/>
      <c r="K954" s="286"/>
      <c r="L954" s="286"/>
      <c r="M954" s="529"/>
      <c r="N954" s="529"/>
      <c r="O954" s="529"/>
      <c r="P954" s="529"/>
      <c r="Q954" s="529"/>
      <c r="R954" s="286"/>
      <c r="S954" s="286"/>
      <c r="T954" s="286"/>
      <c r="U954" s="286"/>
      <c r="V954" s="286"/>
      <c r="W954" s="286"/>
    </row>
    <row r="955">
      <c r="A955" s="286"/>
      <c r="B955" s="286"/>
      <c r="C955" s="529"/>
      <c r="D955" s="306"/>
      <c r="E955" s="306"/>
      <c r="F955" s="306"/>
      <c r="G955" s="286"/>
      <c r="H955" s="286"/>
      <c r="I955" s="286"/>
      <c r="J955" s="529"/>
      <c r="K955" s="286"/>
      <c r="L955" s="286"/>
      <c r="M955" s="529"/>
      <c r="N955" s="529"/>
      <c r="O955" s="529"/>
      <c r="P955" s="529"/>
      <c r="Q955" s="529"/>
      <c r="R955" s="286"/>
      <c r="S955" s="286"/>
      <c r="T955" s="286"/>
      <c r="U955" s="286"/>
      <c r="V955" s="286"/>
      <c r="W955" s="286"/>
    </row>
    <row r="956">
      <c r="A956" s="286"/>
      <c r="B956" s="286"/>
      <c r="C956" s="529"/>
      <c r="D956" s="306"/>
      <c r="E956" s="306"/>
      <c r="F956" s="306"/>
      <c r="G956" s="286"/>
      <c r="H956" s="286"/>
      <c r="I956" s="286"/>
      <c r="J956" s="529"/>
      <c r="K956" s="286"/>
      <c r="L956" s="286"/>
      <c r="M956" s="529"/>
      <c r="N956" s="529"/>
      <c r="O956" s="529"/>
      <c r="P956" s="529"/>
      <c r="Q956" s="529"/>
      <c r="R956" s="286"/>
      <c r="S956" s="286"/>
      <c r="T956" s="286"/>
      <c r="U956" s="286"/>
      <c r="V956" s="286"/>
      <c r="W956" s="286"/>
    </row>
    <row r="957">
      <c r="A957" s="286"/>
      <c r="B957" s="286"/>
      <c r="C957" s="529"/>
      <c r="D957" s="306"/>
      <c r="E957" s="306"/>
      <c r="F957" s="306"/>
      <c r="G957" s="286"/>
      <c r="H957" s="286"/>
      <c r="I957" s="286"/>
      <c r="J957" s="529"/>
      <c r="K957" s="286"/>
      <c r="L957" s="286"/>
      <c r="M957" s="529"/>
      <c r="N957" s="529"/>
      <c r="O957" s="529"/>
      <c r="P957" s="529"/>
      <c r="Q957" s="529"/>
      <c r="R957" s="286"/>
      <c r="S957" s="286"/>
      <c r="T957" s="286"/>
      <c r="U957" s="286"/>
      <c r="V957" s="286"/>
      <c r="W957" s="286"/>
    </row>
    <row r="958">
      <c r="A958" s="286"/>
      <c r="B958" s="286"/>
      <c r="C958" s="529"/>
      <c r="D958" s="306"/>
      <c r="E958" s="306"/>
      <c r="F958" s="306"/>
      <c r="G958" s="286"/>
      <c r="H958" s="286"/>
      <c r="I958" s="286"/>
      <c r="J958" s="529"/>
      <c r="K958" s="286"/>
      <c r="L958" s="286"/>
      <c r="M958" s="529"/>
      <c r="N958" s="529"/>
      <c r="O958" s="529"/>
      <c r="P958" s="529"/>
      <c r="Q958" s="529"/>
      <c r="R958" s="286"/>
      <c r="S958" s="286"/>
      <c r="T958" s="286"/>
      <c r="U958" s="286"/>
      <c r="V958" s="286"/>
      <c r="W958" s="286"/>
    </row>
    <row r="959">
      <c r="A959" s="286"/>
      <c r="B959" s="286"/>
      <c r="C959" s="529"/>
      <c r="D959" s="306"/>
      <c r="E959" s="306"/>
      <c r="F959" s="306"/>
      <c r="G959" s="286"/>
      <c r="H959" s="286"/>
      <c r="I959" s="286"/>
      <c r="J959" s="529"/>
      <c r="K959" s="286"/>
      <c r="L959" s="286"/>
      <c r="M959" s="529"/>
      <c r="N959" s="529"/>
      <c r="O959" s="529"/>
      <c r="P959" s="529"/>
      <c r="Q959" s="529"/>
      <c r="R959" s="286"/>
      <c r="S959" s="286"/>
      <c r="T959" s="286"/>
      <c r="U959" s="286"/>
      <c r="V959" s="286"/>
      <c r="W959" s="286"/>
    </row>
    <row r="960">
      <c r="A960" s="286"/>
      <c r="B960" s="286"/>
      <c r="C960" s="529"/>
      <c r="D960" s="306"/>
      <c r="E960" s="306"/>
      <c r="F960" s="306"/>
      <c r="G960" s="286"/>
      <c r="H960" s="286"/>
      <c r="I960" s="286"/>
      <c r="J960" s="529"/>
      <c r="K960" s="286"/>
      <c r="L960" s="286"/>
      <c r="M960" s="529"/>
      <c r="N960" s="529"/>
      <c r="O960" s="529"/>
      <c r="P960" s="529"/>
      <c r="Q960" s="529"/>
      <c r="R960" s="286"/>
      <c r="S960" s="286"/>
      <c r="T960" s="286"/>
      <c r="U960" s="286"/>
      <c r="V960" s="286"/>
      <c r="W960" s="286"/>
    </row>
    <row r="961">
      <c r="A961" s="286"/>
      <c r="B961" s="286"/>
      <c r="C961" s="529"/>
      <c r="D961" s="306"/>
      <c r="E961" s="306"/>
      <c r="F961" s="306"/>
      <c r="G961" s="286"/>
      <c r="H961" s="286"/>
      <c r="I961" s="286"/>
      <c r="J961" s="529"/>
      <c r="K961" s="286"/>
      <c r="L961" s="286"/>
      <c r="M961" s="529"/>
      <c r="N961" s="529"/>
      <c r="O961" s="529"/>
      <c r="P961" s="529"/>
      <c r="Q961" s="529"/>
      <c r="R961" s="286"/>
      <c r="S961" s="286"/>
      <c r="T961" s="286"/>
      <c r="U961" s="286"/>
      <c r="V961" s="286"/>
      <c r="W961" s="286"/>
    </row>
    <row r="962">
      <c r="A962" s="286"/>
      <c r="B962" s="286"/>
      <c r="C962" s="529"/>
      <c r="D962" s="306"/>
      <c r="E962" s="306"/>
      <c r="F962" s="306"/>
      <c r="G962" s="286"/>
      <c r="H962" s="286"/>
      <c r="I962" s="286"/>
      <c r="J962" s="529"/>
      <c r="K962" s="286"/>
      <c r="L962" s="286"/>
      <c r="M962" s="529"/>
      <c r="N962" s="529"/>
      <c r="O962" s="529"/>
      <c r="P962" s="529"/>
      <c r="Q962" s="529"/>
      <c r="R962" s="286"/>
      <c r="S962" s="286"/>
      <c r="T962" s="286"/>
      <c r="U962" s="286"/>
      <c r="V962" s="286"/>
      <c r="W962" s="286"/>
    </row>
    <row r="963">
      <c r="A963" s="286"/>
      <c r="B963" s="286"/>
      <c r="C963" s="529"/>
      <c r="D963" s="306"/>
      <c r="E963" s="306"/>
      <c r="F963" s="306"/>
      <c r="G963" s="286"/>
      <c r="H963" s="286"/>
      <c r="I963" s="286"/>
      <c r="J963" s="529"/>
      <c r="K963" s="286"/>
      <c r="L963" s="286"/>
      <c r="M963" s="529"/>
      <c r="N963" s="529"/>
      <c r="O963" s="529"/>
      <c r="P963" s="529"/>
      <c r="Q963" s="529"/>
      <c r="R963" s="286"/>
      <c r="S963" s="286"/>
      <c r="T963" s="286"/>
      <c r="U963" s="286"/>
      <c r="V963" s="286"/>
      <c r="W963" s="286"/>
    </row>
    <row r="964">
      <c r="A964" s="286"/>
      <c r="B964" s="286"/>
      <c r="C964" s="529"/>
      <c r="D964" s="306"/>
      <c r="E964" s="306"/>
      <c r="F964" s="306"/>
      <c r="G964" s="286"/>
      <c r="H964" s="286"/>
      <c r="I964" s="286"/>
      <c r="J964" s="529"/>
      <c r="K964" s="286"/>
      <c r="L964" s="286"/>
      <c r="M964" s="529"/>
      <c r="N964" s="529"/>
      <c r="O964" s="529"/>
      <c r="P964" s="529"/>
      <c r="Q964" s="529"/>
      <c r="R964" s="286"/>
      <c r="S964" s="286"/>
      <c r="T964" s="286"/>
      <c r="U964" s="286"/>
      <c r="V964" s="286"/>
      <c r="W964" s="286"/>
    </row>
    <row r="965">
      <c r="A965" s="286"/>
      <c r="B965" s="286"/>
      <c r="C965" s="529"/>
      <c r="D965" s="306"/>
      <c r="E965" s="306"/>
      <c r="F965" s="306"/>
      <c r="G965" s="286"/>
      <c r="H965" s="286"/>
      <c r="I965" s="286"/>
      <c r="J965" s="529"/>
      <c r="K965" s="286"/>
      <c r="L965" s="286"/>
      <c r="M965" s="529"/>
      <c r="N965" s="529"/>
      <c r="O965" s="529"/>
      <c r="P965" s="529"/>
      <c r="Q965" s="529"/>
      <c r="R965" s="286"/>
      <c r="S965" s="286"/>
      <c r="T965" s="286"/>
      <c r="U965" s="286"/>
      <c r="V965" s="286"/>
      <c r="W965" s="286"/>
    </row>
    <row r="966">
      <c r="A966" s="286"/>
      <c r="B966" s="286"/>
      <c r="C966" s="529"/>
      <c r="D966" s="306"/>
      <c r="E966" s="306"/>
      <c r="F966" s="306"/>
      <c r="G966" s="286"/>
      <c r="H966" s="286"/>
      <c r="I966" s="286"/>
      <c r="J966" s="529"/>
      <c r="K966" s="286"/>
      <c r="L966" s="286"/>
      <c r="M966" s="529"/>
      <c r="N966" s="529"/>
      <c r="O966" s="529"/>
      <c r="P966" s="529"/>
      <c r="Q966" s="529"/>
      <c r="R966" s="286"/>
      <c r="S966" s="286"/>
      <c r="T966" s="286"/>
      <c r="U966" s="286"/>
      <c r="V966" s="286"/>
      <c r="W966" s="286"/>
    </row>
    <row r="967">
      <c r="A967" s="286"/>
      <c r="B967" s="286"/>
      <c r="C967" s="529"/>
      <c r="D967" s="306"/>
      <c r="E967" s="306"/>
      <c r="F967" s="306"/>
      <c r="G967" s="286"/>
      <c r="H967" s="286"/>
      <c r="I967" s="286"/>
      <c r="J967" s="529"/>
      <c r="K967" s="286"/>
      <c r="L967" s="286"/>
      <c r="M967" s="529"/>
      <c r="N967" s="529"/>
      <c r="O967" s="529"/>
      <c r="P967" s="529"/>
      <c r="Q967" s="529"/>
      <c r="R967" s="286"/>
      <c r="S967" s="286"/>
      <c r="T967" s="286"/>
      <c r="U967" s="286"/>
      <c r="V967" s="286"/>
      <c r="W967" s="286"/>
    </row>
    <row r="968">
      <c r="A968" s="286"/>
      <c r="B968" s="286"/>
      <c r="C968" s="529"/>
      <c r="D968" s="306"/>
      <c r="E968" s="306"/>
      <c r="F968" s="306"/>
      <c r="G968" s="286"/>
      <c r="H968" s="286"/>
      <c r="I968" s="286"/>
      <c r="J968" s="529"/>
      <c r="K968" s="286"/>
      <c r="L968" s="286"/>
      <c r="M968" s="529"/>
      <c r="N968" s="529"/>
      <c r="O968" s="529"/>
      <c r="P968" s="529"/>
      <c r="Q968" s="529"/>
      <c r="R968" s="286"/>
      <c r="S968" s="286"/>
      <c r="T968" s="286"/>
      <c r="U968" s="286"/>
      <c r="V968" s="286"/>
      <c r="W968" s="286"/>
    </row>
    <row r="969">
      <c r="A969" s="286"/>
      <c r="B969" s="286"/>
      <c r="C969" s="529"/>
      <c r="D969" s="306"/>
      <c r="E969" s="306"/>
      <c r="F969" s="306"/>
      <c r="G969" s="286"/>
      <c r="H969" s="286"/>
      <c r="I969" s="286"/>
      <c r="J969" s="529"/>
      <c r="K969" s="286"/>
      <c r="L969" s="286"/>
      <c r="M969" s="529"/>
      <c r="N969" s="529"/>
      <c r="O969" s="529"/>
      <c r="P969" s="529"/>
      <c r="Q969" s="529"/>
      <c r="R969" s="286"/>
      <c r="S969" s="286"/>
      <c r="T969" s="286"/>
      <c r="U969" s="286"/>
      <c r="V969" s="286"/>
      <c r="W969" s="286"/>
    </row>
    <row r="970">
      <c r="A970" s="286"/>
      <c r="B970" s="286"/>
      <c r="C970" s="529"/>
      <c r="D970" s="306"/>
      <c r="E970" s="306"/>
      <c r="F970" s="306"/>
      <c r="G970" s="286"/>
      <c r="H970" s="286"/>
      <c r="I970" s="286"/>
      <c r="J970" s="529"/>
      <c r="K970" s="286"/>
      <c r="L970" s="286"/>
      <c r="M970" s="529"/>
      <c r="N970" s="529"/>
      <c r="O970" s="529"/>
      <c r="P970" s="529"/>
      <c r="Q970" s="529"/>
      <c r="R970" s="286"/>
      <c r="S970" s="286"/>
      <c r="T970" s="286"/>
      <c r="U970" s="286"/>
      <c r="V970" s="286"/>
      <c r="W970" s="286"/>
    </row>
    <row r="971">
      <c r="A971" s="286"/>
      <c r="B971" s="286"/>
      <c r="C971" s="529"/>
      <c r="D971" s="306"/>
      <c r="E971" s="306"/>
      <c r="F971" s="306"/>
      <c r="G971" s="286"/>
      <c r="H971" s="286"/>
      <c r="I971" s="286"/>
      <c r="J971" s="529"/>
      <c r="K971" s="286"/>
      <c r="L971" s="286"/>
      <c r="M971" s="529"/>
      <c r="N971" s="529"/>
      <c r="O971" s="529"/>
      <c r="P971" s="529"/>
      <c r="Q971" s="529"/>
      <c r="R971" s="286"/>
      <c r="S971" s="286"/>
      <c r="T971" s="286"/>
      <c r="U971" s="286"/>
      <c r="V971" s="286"/>
      <c r="W971" s="286"/>
    </row>
    <row r="972">
      <c r="A972" s="286"/>
      <c r="B972" s="286"/>
      <c r="C972" s="529"/>
      <c r="D972" s="306"/>
      <c r="E972" s="306"/>
      <c r="F972" s="306"/>
      <c r="G972" s="286"/>
      <c r="H972" s="286"/>
      <c r="I972" s="286"/>
      <c r="J972" s="529"/>
      <c r="K972" s="286"/>
      <c r="L972" s="286"/>
      <c r="M972" s="529"/>
      <c r="N972" s="529"/>
      <c r="O972" s="529"/>
      <c r="P972" s="529"/>
      <c r="Q972" s="529"/>
      <c r="R972" s="286"/>
      <c r="S972" s="286"/>
      <c r="T972" s="286"/>
      <c r="U972" s="286"/>
      <c r="V972" s="286"/>
      <c r="W972" s="286"/>
    </row>
    <row r="973">
      <c r="A973" s="286"/>
      <c r="B973" s="286"/>
      <c r="C973" s="529"/>
      <c r="D973" s="306"/>
      <c r="E973" s="306"/>
      <c r="F973" s="306"/>
      <c r="G973" s="286"/>
      <c r="H973" s="286"/>
      <c r="I973" s="286"/>
      <c r="J973" s="529"/>
      <c r="K973" s="286"/>
      <c r="L973" s="286"/>
      <c r="M973" s="529"/>
      <c r="N973" s="529"/>
      <c r="O973" s="529"/>
      <c r="P973" s="529"/>
      <c r="Q973" s="529"/>
      <c r="R973" s="286"/>
      <c r="S973" s="286"/>
      <c r="T973" s="286"/>
      <c r="U973" s="286"/>
      <c r="V973" s="286"/>
      <c r="W973" s="286"/>
    </row>
    <row r="974">
      <c r="A974" s="286"/>
      <c r="B974" s="286"/>
      <c r="C974" s="529"/>
      <c r="D974" s="306"/>
      <c r="E974" s="306"/>
      <c r="F974" s="306"/>
      <c r="G974" s="286"/>
      <c r="H974" s="286"/>
      <c r="I974" s="286"/>
      <c r="J974" s="529"/>
      <c r="K974" s="286"/>
      <c r="L974" s="286"/>
      <c r="M974" s="529"/>
      <c r="N974" s="529"/>
      <c r="O974" s="529"/>
      <c r="P974" s="529"/>
      <c r="Q974" s="529"/>
      <c r="R974" s="286"/>
      <c r="S974" s="286"/>
      <c r="T974" s="286"/>
      <c r="U974" s="286"/>
      <c r="V974" s="286"/>
      <c r="W974" s="286"/>
    </row>
    <row r="975">
      <c r="A975" s="286"/>
      <c r="B975" s="286"/>
      <c r="C975" s="529"/>
      <c r="D975" s="306"/>
      <c r="E975" s="306"/>
      <c r="F975" s="306"/>
      <c r="G975" s="286"/>
      <c r="H975" s="286"/>
      <c r="I975" s="286"/>
      <c r="J975" s="529"/>
      <c r="K975" s="286"/>
      <c r="L975" s="286"/>
      <c r="M975" s="529"/>
      <c r="N975" s="529"/>
      <c r="O975" s="529"/>
      <c r="P975" s="529"/>
      <c r="Q975" s="529"/>
      <c r="R975" s="286"/>
      <c r="S975" s="286"/>
      <c r="T975" s="286"/>
      <c r="U975" s="286"/>
      <c r="V975" s="286"/>
      <c r="W975" s="286"/>
    </row>
    <row r="976">
      <c r="A976" s="286"/>
      <c r="B976" s="286"/>
      <c r="C976" s="529"/>
      <c r="D976" s="306"/>
      <c r="E976" s="306"/>
      <c r="F976" s="306"/>
      <c r="G976" s="286"/>
      <c r="H976" s="286"/>
      <c r="I976" s="286"/>
      <c r="J976" s="529"/>
      <c r="K976" s="286"/>
      <c r="L976" s="286"/>
      <c r="M976" s="529"/>
      <c r="N976" s="529"/>
      <c r="O976" s="529"/>
      <c r="P976" s="529"/>
      <c r="Q976" s="529"/>
      <c r="R976" s="286"/>
      <c r="S976" s="286"/>
      <c r="T976" s="286"/>
      <c r="U976" s="286"/>
      <c r="V976" s="286"/>
      <c r="W976" s="286"/>
    </row>
    <row r="977">
      <c r="A977" s="286"/>
      <c r="B977" s="286"/>
      <c r="C977" s="529"/>
      <c r="D977" s="306"/>
      <c r="E977" s="306"/>
      <c r="F977" s="306"/>
      <c r="G977" s="286"/>
      <c r="H977" s="286"/>
      <c r="I977" s="286"/>
      <c r="J977" s="529"/>
      <c r="K977" s="286"/>
      <c r="L977" s="286"/>
      <c r="M977" s="529"/>
      <c r="N977" s="529"/>
      <c r="O977" s="529"/>
      <c r="P977" s="529"/>
      <c r="Q977" s="529"/>
      <c r="R977" s="286"/>
      <c r="S977" s="286"/>
      <c r="T977" s="286"/>
      <c r="U977" s="286"/>
      <c r="V977" s="286"/>
      <c r="W977" s="286"/>
    </row>
    <row r="978">
      <c r="A978" s="286"/>
      <c r="B978" s="286"/>
      <c r="C978" s="529"/>
      <c r="D978" s="306"/>
      <c r="E978" s="306"/>
      <c r="F978" s="306"/>
      <c r="G978" s="286"/>
      <c r="H978" s="286"/>
      <c r="I978" s="286"/>
      <c r="J978" s="529"/>
      <c r="K978" s="286"/>
      <c r="L978" s="286"/>
      <c r="M978" s="529"/>
      <c r="N978" s="529"/>
      <c r="O978" s="529"/>
      <c r="P978" s="529"/>
      <c r="Q978" s="529"/>
      <c r="R978" s="286"/>
      <c r="S978" s="286"/>
      <c r="T978" s="286"/>
      <c r="U978" s="286"/>
      <c r="V978" s="286"/>
      <c r="W978" s="286"/>
    </row>
    <row r="979">
      <c r="A979" s="286"/>
      <c r="B979" s="286"/>
      <c r="C979" s="529"/>
      <c r="D979" s="306"/>
      <c r="E979" s="306"/>
      <c r="F979" s="306"/>
      <c r="G979" s="286"/>
      <c r="H979" s="286"/>
      <c r="I979" s="286"/>
      <c r="J979" s="529"/>
      <c r="K979" s="286"/>
      <c r="L979" s="286"/>
      <c r="M979" s="529"/>
      <c r="N979" s="529"/>
      <c r="O979" s="529"/>
      <c r="P979" s="529"/>
      <c r="Q979" s="529"/>
      <c r="R979" s="286"/>
      <c r="S979" s="286"/>
      <c r="T979" s="286"/>
      <c r="U979" s="286"/>
      <c r="V979" s="286"/>
      <c r="W979" s="286"/>
    </row>
    <row r="980">
      <c r="A980" s="286"/>
      <c r="B980" s="286"/>
      <c r="C980" s="529"/>
      <c r="D980" s="306"/>
      <c r="E980" s="306"/>
      <c r="F980" s="306"/>
      <c r="G980" s="286"/>
      <c r="H980" s="286"/>
      <c r="I980" s="286"/>
      <c r="J980" s="529"/>
      <c r="K980" s="286"/>
      <c r="L980" s="286"/>
      <c r="M980" s="529"/>
      <c r="N980" s="529"/>
      <c r="O980" s="529"/>
      <c r="P980" s="529"/>
      <c r="Q980" s="529"/>
      <c r="R980" s="286"/>
      <c r="S980" s="286"/>
      <c r="T980" s="286"/>
      <c r="U980" s="286"/>
      <c r="V980" s="286"/>
      <c r="W980" s="286"/>
    </row>
    <row r="981">
      <c r="A981" s="286"/>
      <c r="B981" s="286"/>
      <c r="C981" s="529"/>
      <c r="D981" s="306"/>
      <c r="E981" s="306"/>
      <c r="F981" s="306"/>
      <c r="G981" s="286"/>
      <c r="H981" s="286"/>
      <c r="I981" s="286"/>
      <c r="J981" s="529"/>
      <c r="K981" s="286"/>
      <c r="L981" s="286"/>
      <c r="M981" s="529"/>
      <c r="N981" s="529"/>
      <c r="O981" s="529"/>
      <c r="P981" s="529"/>
      <c r="Q981" s="529"/>
      <c r="R981" s="286"/>
      <c r="S981" s="286"/>
      <c r="T981" s="286"/>
      <c r="U981" s="286"/>
      <c r="V981" s="286"/>
      <c r="W981" s="286"/>
    </row>
    <row r="982">
      <c r="A982" s="286"/>
      <c r="B982" s="286"/>
      <c r="C982" s="529"/>
      <c r="D982" s="306"/>
      <c r="E982" s="306"/>
      <c r="F982" s="306"/>
      <c r="G982" s="286"/>
      <c r="H982" s="286"/>
      <c r="I982" s="286"/>
      <c r="J982" s="529"/>
      <c r="K982" s="286"/>
      <c r="L982" s="286"/>
      <c r="M982" s="529"/>
      <c r="N982" s="529"/>
      <c r="O982" s="529"/>
      <c r="P982" s="529"/>
      <c r="Q982" s="529"/>
      <c r="R982" s="286"/>
      <c r="S982" s="286"/>
      <c r="T982" s="286"/>
      <c r="U982" s="286"/>
      <c r="V982" s="286"/>
      <c r="W982" s="286"/>
    </row>
    <row r="983">
      <c r="A983" s="286"/>
      <c r="B983" s="286"/>
      <c r="C983" s="529"/>
      <c r="D983" s="306"/>
      <c r="E983" s="306"/>
      <c r="F983" s="306"/>
      <c r="G983" s="286"/>
      <c r="H983" s="286"/>
      <c r="I983" s="286"/>
      <c r="J983" s="529"/>
      <c r="K983" s="286"/>
      <c r="L983" s="286"/>
      <c r="M983" s="529"/>
      <c r="N983" s="529"/>
      <c r="O983" s="529"/>
      <c r="P983" s="529"/>
      <c r="Q983" s="529"/>
      <c r="R983" s="286"/>
      <c r="S983" s="286"/>
      <c r="T983" s="286"/>
      <c r="U983" s="286"/>
      <c r="V983" s="286"/>
      <c r="W983" s="286"/>
    </row>
    <row r="984">
      <c r="A984" s="286"/>
      <c r="B984" s="286"/>
      <c r="C984" s="529"/>
      <c r="D984" s="306"/>
      <c r="E984" s="306"/>
      <c r="F984" s="306"/>
      <c r="G984" s="286"/>
      <c r="H984" s="286"/>
      <c r="I984" s="286"/>
      <c r="J984" s="529"/>
      <c r="K984" s="286"/>
      <c r="L984" s="286"/>
      <c r="M984" s="529"/>
      <c r="N984" s="529"/>
      <c r="O984" s="529"/>
      <c r="P984" s="529"/>
      <c r="Q984" s="529"/>
      <c r="R984" s="286"/>
      <c r="S984" s="286"/>
      <c r="T984" s="286"/>
      <c r="U984" s="286"/>
      <c r="V984" s="286"/>
      <c r="W984" s="286"/>
    </row>
    <row r="985">
      <c r="A985" s="286"/>
      <c r="B985" s="286"/>
      <c r="C985" s="529"/>
      <c r="D985" s="306"/>
      <c r="E985" s="306"/>
      <c r="F985" s="306"/>
      <c r="G985" s="286"/>
      <c r="H985" s="286"/>
      <c r="I985" s="286"/>
      <c r="J985" s="529"/>
      <c r="K985" s="286"/>
      <c r="L985" s="286"/>
      <c r="M985" s="529"/>
      <c r="N985" s="529"/>
      <c r="O985" s="529"/>
      <c r="P985" s="529"/>
      <c r="Q985" s="529"/>
      <c r="R985" s="286"/>
      <c r="S985" s="286"/>
      <c r="T985" s="286"/>
      <c r="U985" s="286"/>
      <c r="V985" s="286"/>
      <c r="W985" s="286"/>
    </row>
    <row r="986">
      <c r="A986" s="286"/>
      <c r="B986" s="286"/>
      <c r="C986" s="529"/>
      <c r="D986" s="306"/>
      <c r="E986" s="306"/>
      <c r="F986" s="306"/>
      <c r="G986" s="286"/>
      <c r="H986" s="286"/>
      <c r="I986" s="286"/>
      <c r="J986" s="529"/>
      <c r="K986" s="286"/>
      <c r="L986" s="286"/>
      <c r="M986" s="529"/>
      <c r="N986" s="529"/>
      <c r="O986" s="529"/>
      <c r="P986" s="529"/>
      <c r="Q986" s="529"/>
      <c r="R986" s="286"/>
      <c r="S986" s="286"/>
      <c r="T986" s="286"/>
      <c r="U986" s="286"/>
      <c r="V986" s="286"/>
      <c r="W986" s="286"/>
    </row>
    <row r="987">
      <c r="A987" s="286"/>
      <c r="B987" s="286"/>
      <c r="C987" s="529"/>
      <c r="D987" s="306"/>
      <c r="E987" s="306"/>
      <c r="F987" s="306"/>
      <c r="G987" s="286"/>
      <c r="H987" s="286"/>
      <c r="I987" s="286"/>
      <c r="J987" s="529"/>
      <c r="K987" s="286"/>
      <c r="L987" s="286"/>
      <c r="M987" s="529"/>
      <c r="N987" s="529"/>
      <c r="O987" s="529"/>
      <c r="P987" s="529"/>
      <c r="Q987" s="529"/>
      <c r="R987" s="286"/>
      <c r="S987" s="286"/>
      <c r="T987" s="286"/>
      <c r="U987" s="286"/>
      <c r="V987" s="286"/>
      <c r="W987" s="286"/>
    </row>
  </sheetData>
  <mergeCells count="30">
    <mergeCell ref="F3:F4"/>
    <mergeCell ref="G3:G4"/>
    <mergeCell ref="E6:E7"/>
    <mergeCell ref="F6:F7"/>
    <mergeCell ref="G6:G7"/>
    <mergeCell ref="I3:J3"/>
    <mergeCell ref="K3:L3"/>
    <mergeCell ref="I4:J5"/>
    <mergeCell ref="K4:L5"/>
    <mergeCell ref="I2:L2"/>
    <mergeCell ref="I6:L6"/>
    <mergeCell ref="A1:C1"/>
    <mergeCell ref="E1:G1"/>
    <mergeCell ref="I1:L1"/>
    <mergeCell ref="A2:B2"/>
    <mergeCell ref="A3:B4"/>
    <mergeCell ref="E3:E4"/>
    <mergeCell ref="A5:B6"/>
    <mergeCell ref="K7:L8"/>
    <mergeCell ref="I9:L9"/>
    <mergeCell ref="I10:J11"/>
    <mergeCell ref="K10:L11"/>
    <mergeCell ref="A7:B8"/>
    <mergeCell ref="I7:J8"/>
    <mergeCell ref="E8:G8"/>
    <mergeCell ref="A9:B10"/>
    <mergeCell ref="E9:E10"/>
    <mergeCell ref="F9:F10"/>
    <mergeCell ref="G9:G10"/>
    <mergeCell ref="A11:B12"/>
  </mergeCells>
  <dataValidations>
    <dataValidation type="list" allowBlank="1" showErrorMessage="1" sqref="G17:G105">
      <formula1>"PR Package"</formula1>
    </dataValidation>
    <dataValidation type="list" allowBlank="1" showErrorMessage="1" sqref="H17:H105">
      <formula1>"Sampai,Sudah Proses Pengiriman,Kendala [FU!],Done Req Sample"</formula1>
    </dataValidation>
    <dataValidation type="list" allowBlank="1" showErrorMessage="1" sqref="A17">
      <formula1>"NANO"</formula1>
    </dataValidation>
    <dataValidation type="list" allowBlank="1" showErrorMessage="1" sqref="I17:I105 L17:L105">
      <formula1>" Concept 1,Concept 2,Concept 3"</formula1>
    </dataValidation>
    <dataValidation type="list" allowBlank="1" showErrorMessage="1" sqref="A18:A105">
      <formula1>"MEGA,MACRO,MICRO,NANO"</formula1>
    </dataValidation>
  </dataValidations>
  <hyperlinks>
    <hyperlink r:id="rId1" ref="C17"/>
    <hyperlink r:id="rId2" ref="J17"/>
    <hyperlink r:id="rId3" ref="M17"/>
    <hyperlink r:id="rId4" ref="C18"/>
    <hyperlink r:id="rId5" ref="J18"/>
    <hyperlink r:id="rId6" ref="M18"/>
    <hyperlink r:id="rId7" ref="C19"/>
    <hyperlink r:id="rId8" ref="J19"/>
    <hyperlink r:id="rId9" ref="M19"/>
    <hyperlink r:id="rId10" ref="C20"/>
    <hyperlink r:id="rId11" ref="J20"/>
    <hyperlink r:id="rId12" ref="M20"/>
    <hyperlink r:id="rId13" ref="C21"/>
    <hyperlink r:id="rId14" ref="J21"/>
    <hyperlink r:id="rId15" ref="M21"/>
    <hyperlink r:id="rId16" ref="O21"/>
    <hyperlink r:id="rId17" ref="C22"/>
    <hyperlink r:id="rId18" ref="J22"/>
    <hyperlink r:id="rId19" ref="M22"/>
    <hyperlink r:id="rId20" ref="C23"/>
    <hyperlink r:id="rId21" ref="J23"/>
    <hyperlink r:id="rId22" ref="M23"/>
    <hyperlink r:id="rId23" ref="C24"/>
    <hyperlink r:id="rId24" ref="J24"/>
    <hyperlink r:id="rId25" ref="M24"/>
    <hyperlink r:id="rId26" ref="C25"/>
    <hyperlink r:id="rId27" ref="J25"/>
    <hyperlink r:id="rId28" ref="M25"/>
    <hyperlink r:id="rId29" ref="C26"/>
    <hyperlink r:id="rId30" ref="J26"/>
    <hyperlink r:id="rId31" ref="M26"/>
    <hyperlink r:id="rId32" ref="B27"/>
    <hyperlink r:id="rId33" ref="C27"/>
    <hyperlink r:id="rId34" ref="J27"/>
    <hyperlink r:id="rId35" ref="M27"/>
    <hyperlink r:id="rId36" ref="C28"/>
    <hyperlink r:id="rId37" ref="J28"/>
    <hyperlink r:id="rId38" ref="M28"/>
    <hyperlink r:id="rId39" ref="C29"/>
    <hyperlink r:id="rId40" ref="J29"/>
    <hyperlink r:id="rId41" ref="M29"/>
    <hyperlink r:id="rId42" ref="C30"/>
    <hyperlink r:id="rId43" ref="J30"/>
    <hyperlink r:id="rId44" ref="M30"/>
    <hyperlink r:id="rId45" ref="C31"/>
    <hyperlink r:id="rId46" ref="J31"/>
    <hyperlink r:id="rId47" ref="M31"/>
    <hyperlink r:id="rId48" ref="C32"/>
    <hyperlink r:id="rId49" ref="J32"/>
    <hyperlink r:id="rId50" ref="M32"/>
    <hyperlink r:id="rId51" ref="C33"/>
    <hyperlink r:id="rId52" ref="J33"/>
    <hyperlink r:id="rId53" ref="M33"/>
    <hyperlink r:id="rId54" ref="C34"/>
    <hyperlink r:id="rId55" ref="J34"/>
    <hyperlink r:id="rId56" ref="M34"/>
    <hyperlink r:id="rId57" ref="C35"/>
    <hyperlink r:id="rId58" ref="J35"/>
    <hyperlink r:id="rId59" ref="M35"/>
    <hyperlink r:id="rId60" ref="O35"/>
    <hyperlink r:id="rId61" ref="Q35"/>
    <hyperlink r:id="rId62" ref="C36"/>
    <hyperlink r:id="rId63" ref="J36"/>
    <hyperlink r:id="rId64" ref="M36"/>
    <hyperlink r:id="rId65" ref="C37"/>
    <hyperlink r:id="rId66" ref="J37"/>
    <hyperlink r:id="rId67" ref="M37"/>
    <hyperlink r:id="rId68" ref="C38"/>
    <hyperlink r:id="rId69" ref="J38"/>
    <hyperlink r:id="rId70" ref="M38"/>
    <hyperlink r:id="rId71" ref="C39"/>
    <hyperlink r:id="rId72" ref="J39"/>
    <hyperlink r:id="rId73" ref="M39"/>
    <hyperlink r:id="rId74" ref="C40"/>
    <hyperlink r:id="rId75" ref="J40"/>
    <hyperlink r:id="rId76" ref="M40"/>
    <hyperlink r:id="rId77" ref="C41"/>
    <hyperlink r:id="rId78" ref="J41"/>
    <hyperlink r:id="rId79" ref="M41"/>
    <hyperlink r:id="rId80" ref="C42"/>
    <hyperlink r:id="rId81" ref="J42"/>
    <hyperlink r:id="rId82" ref="M42"/>
    <hyperlink r:id="rId83" ref="C43"/>
    <hyperlink r:id="rId84" ref="J43"/>
    <hyperlink r:id="rId85" ref="M43"/>
    <hyperlink r:id="rId86" ref="C44"/>
    <hyperlink r:id="rId87" ref="J44"/>
    <hyperlink r:id="rId88" ref="M44"/>
    <hyperlink r:id="rId89" ref="C45"/>
    <hyperlink r:id="rId90" ref="J45"/>
    <hyperlink r:id="rId91" ref="M45"/>
    <hyperlink r:id="rId92" ref="C46"/>
    <hyperlink r:id="rId93" ref="J46"/>
    <hyperlink r:id="rId94" ref="M46"/>
    <hyperlink r:id="rId95" ref="C47"/>
    <hyperlink r:id="rId96" ref="J47"/>
    <hyperlink r:id="rId97" ref="M47"/>
    <hyperlink r:id="rId98" ref="C48"/>
    <hyperlink r:id="rId99" ref="J48"/>
    <hyperlink r:id="rId100" ref="C49"/>
    <hyperlink r:id="rId101" ref="J49"/>
    <hyperlink r:id="rId102" ref="M49"/>
    <hyperlink r:id="rId103" ref="C50"/>
    <hyperlink r:id="rId104" ref="J50"/>
    <hyperlink r:id="rId105" ref="M50"/>
    <hyperlink r:id="rId106" ref="C51"/>
    <hyperlink r:id="rId107" ref="J51"/>
    <hyperlink r:id="rId108" ref="M51"/>
    <hyperlink r:id="rId109" ref="C52"/>
    <hyperlink r:id="rId110" ref="J52"/>
    <hyperlink r:id="rId111" ref="M52"/>
    <hyperlink r:id="rId112" ref="C53"/>
    <hyperlink r:id="rId113" ref="J53"/>
    <hyperlink r:id="rId114" ref="M53"/>
    <hyperlink r:id="rId115" ref="C54"/>
    <hyperlink r:id="rId116" ref="J54"/>
    <hyperlink r:id="rId117" ref="M54"/>
    <hyperlink r:id="rId118" ref="C55"/>
    <hyperlink r:id="rId119" ref="J55"/>
    <hyperlink r:id="rId120" ref="M55"/>
    <hyperlink r:id="rId121" ref="C56"/>
    <hyperlink r:id="rId122" ref="J56"/>
    <hyperlink r:id="rId123" ref="M56"/>
    <hyperlink r:id="rId124" ref="O56"/>
    <hyperlink r:id="rId125" ref="C57"/>
    <hyperlink r:id="rId126" ref="J57"/>
    <hyperlink r:id="rId127" ref="M57"/>
    <hyperlink r:id="rId128" ref="O57"/>
    <hyperlink r:id="rId129" ref="Q57"/>
    <hyperlink r:id="rId130" ref="C58"/>
    <hyperlink r:id="rId131" ref="J58"/>
    <hyperlink r:id="rId132" ref="M58"/>
    <hyperlink r:id="rId133" ref="O58"/>
    <hyperlink r:id="rId134" ref="C59"/>
    <hyperlink r:id="rId135" ref="J59"/>
    <hyperlink r:id="rId136" ref="M59"/>
    <hyperlink r:id="rId137" ref="C60"/>
    <hyperlink r:id="rId138" ref="J60"/>
    <hyperlink r:id="rId139" ref="M60"/>
    <hyperlink r:id="rId140" ref="C61"/>
    <hyperlink r:id="rId141" ref="J61"/>
    <hyperlink r:id="rId142" ref="M61"/>
    <hyperlink r:id="rId143" ref="C62"/>
    <hyperlink r:id="rId144" ref="J62"/>
    <hyperlink r:id="rId145" ref="M62"/>
    <hyperlink r:id="rId146" ref="C63"/>
    <hyperlink r:id="rId147" ref="J63"/>
    <hyperlink r:id="rId148" ref="M63"/>
    <hyperlink r:id="rId149" ref="C64"/>
    <hyperlink r:id="rId150" ref="J64"/>
    <hyperlink r:id="rId151" ref="M64"/>
    <hyperlink r:id="rId152" ref="C65"/>
    <hyperlink r:id="rId153" ref="J65"/>
    <hyperlink r:id="rId154" ref="M65"/>
    <hyperlink r:id="rId155" ref="C66"/>
    <hyperlink r:id="rId156" ref="J66"/>
    <hyperlink r:id="rId157" ref="M66"/>
    <hyperlink r:id="rId158" ref="C67"/>
    <hyperlink r:id="rId159" ref="J67"/>
    <hyperlink r:id="rId160" ref="M67"/>
    <hyperlink r:id="rId161" ref="C68"/>
    <hyperlink r:id="rId162" ref="J68"/>
    <hyperlink r:id="rId163" ref="M68"/>
    <hyperlink r:id="rId164" ref="C69"/>
    <hyperlink r:id="rId165" ref="J69"/>
    <hyperlink r:id="rId166" ref="M69"/>
    <hyperlink r:id="rId167" ref="C70"/>
    <hyperlink r:id="rId168" ref="J70"/>
    <hyperlink r:id="rId169" ref="M70"/>
    <hyperlink r:id="rId170" ref="C71"/>
    <hyperlink r:id="rId171" ref="J71"/>
    <hyperlink r:id="rId172" ref="M71"/>
    <hyperlink r:id="rId173" ref="C72"/>
    <hyperlink r:id="rId174" ref="J72"/>
    <hyperlink r:id="rId175" ref="M72"/>
    <hyperlink r:id="rId176" ref="C73"/>
    <hyperlink r:id="rId177" ref="J73"/>
    <hyperlink r:id="rId178" ref="M73"/>
    <hyperlink r:id="rId179" ref="C74"/>
    <hyperlink r:id="rId180" ref="J74"/>
    <hyperlink r:id="rId181" ref="M74"/>
    <hyperlink r:id="rId182" ref="C75"/>
    <hyperlink r:id="rId183" ref="J75"/>
    <hyperlink r:id="rId184" ref="M75"/>
    <hyperlink r:id="rId185" ref="C76"/>
    <hyperlink r:id="rId186" ref="J76"/>
    <hyperlink r:id="rId187" ref="M76"/>
    <hyperlink r:id="rId188" ref="O76"/>
    <hyperlink r:id="rId189" ref="C77"/>
    <hyperlink r:id="rId190" ref="J77"/>
    <hyperlink r:id="rId191" ref="M77"/>
    <hyperlink r:id="rId192" ref="C78"/>
    <hyperlink r:id="rId193" ref="J78"/>
    <hyperlink r:id="rId194" ref="M78"/>
    <hyperlink r:id="rId195" ref="C79"/>
    <hyperlink r:id="rId196" ref="J79"/>
    <hyperlink r:id="rId197" ref="M79"/>
    <hyperlink r:id="rId198" ref="C80"/>
    <hyperlink r:id="rId199" ref="J80"/>
    <hyperlink r:id="rId200" ref="M80"/>
    <hyperlink r:id="rId201" ref="C81"/>
    <hyperlink r:id="rId202" ref="J81"/>
    <hyperlink r:id="rId203" ref="M81"/>
    <hyperlink r:id="rId204" ref="C82"/>
    <hyperlink r:id="rId205" ref="J82"/>
    <hyperlink r:id="rId206" ref="M82"/>
    <hyperlink r:id="rId207" ref="C83"/>
    <hyperlink r:id="rId208" ref="J83"/>
    <hyperlink r:id="rId209" ref="M83"/>
    <hyperlink r:id="rId210" ref="C84"/>
    <hyperlink r:id="rId211" ref="J84"/>
    <hyperlink r:id="rId212" ref="M84"/>
    <hyperlink r:id="rId213" ref="C85"/>
    <hyperlink r:id="rId214" ref="J85"/>
    <hyperlink r:id="rId215" ref="M85"/>
    <hyperlink r:id="rId216" ref="C86"/>
    <hyperlink r:id="rId217" ref="J86"/>
    <hyperlink r:id="rId218" ref="M86"/>
  </hyperlinks>
  <drawing r:id="rId21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2" max="2" width="13.75"/>
    <col customWidth="1" min="3" max="3" width="17.0"/>
    <col customWidth="1" min="4" max="4" width="15.25"/>
    <col customWidth="1" min="8" max="8" width="16.0"/>
    <col customWidth="1" min="10" max="10" width="15.25"/>
    <col customWidth="1" min="12" max="12" width="13.88"/>
  </cols>
  <sheetData>
    <row r="1">
      <c r="A1" s="213" t="s">
        <v>455</v>
      </c>
      <c r="B1" s="214"/>
      <c r="C1" s="214"/>
      <c r="D1" s="215"/>
      <c r="E1" s="213" t="s">
        <v>328</v>
      </c>
      <c r="F1" s="214"/>
      <c r="G1" s="214"/>
      <c r="H1" s="216"/>
      <c r="J1" s="217" t="s">
        <v>456</v>
      </c>
      <c r="K1" s="214"/>
      <c r="L1" s="214"/>
      <c r="M1" s="216"/>
      <c r="Q1" s="12"/>
      <c r="R1" s="12"/>
      <c r="T1" s="565"/>
      <c r="U1" s="565"/>
      <c r="V1" s="565"/>
      <c r="W1" s="565"/>
    </row>
    <row r="2">
      <c r="A2" s="219" t="s">
        <v>457</v>
      </c>
      <c r="B2" s="220"/>
      <c r="C2" s="338" t="s">
        <v>455</v>
      </c>
      <c r="D2" s="215"/>
      <c r="E2" s="221" t="s">
        <v>327</v>
      </c>
      <c r="F2" s="214"/>
      <c r="G2" s="214"/>
      <c r="H2" s="216"/>
      <c r="J2" s="222" t="s">
        <v>458</v>
      </c>
      <c r="K2" s="214"/>
      <c r="L2" s="214"/>
      <c r="M2" s="216"/>
      <c r="Q2" s="12"/>
      <c r="R2" s="12"/>
      <c r="T2" s="565"/>
      <c r="U2" s="565"/>
      <c r="V2" s="565"/>
      <c r="W2" s="565"/>
    </row>
    <row r="3">
      <c r="A3" s="223">
        <v>1.0</v>
      </c>
      <c r="B3" s="224"/>
      <c r="C3" s="339">
        <v>1.0</v>
      </c>
      <c r="D3" s="215"/>
      <c r="E3" s="299">
        <f>Maindata!I9</f>
        <v>600000000</v>
      </c>
      <c r="F3" s="227"/>
      <c r="G3" s="227"/>
      <c r="H3" s="228"/>
      <c r="I3" s="286"/>
      <c r="J3" s="295" t="s">
        <v>459</v>
      </c>
      <c r="K3" s="216"/>
      <c r="L3" s="296" t="s">
        <v>460</v>
      </c>
      <c r="M3" s="216"/>
      <c r="Q3" s="12"/>
      <c r="R3" s="12"/>
      <c r="T3" s="565"/>
      <c r="U3" s="565"/>
      <c r="V3" s="565"/>
      <c r="W3" s="565"/>
    </row>
    <row r="4">
      <c r="A4" s="231"/>
      <c r="B4" s="220"/>
      <c r="C4" s="339">
        <v>2.0</v>
      </c>
      <c r="D4" s="215"/>
      <c r="E4" s="232"/>
      <c r="F4" s="233"/>
      <c r="G4" s="233"/>
      <c r="H4" s="234"/>
      <c r="I4" s="286"/>
      <c r="J4" s="298">
        <f>IFERROR(__xludf.DUMMYFUNCTION("IMPORTRANGE(""https://docs.google.com/spreadsheets/d/1XGHyffJQ7KjI292zt5QVK_1XTfEMh_HDpl_2BHAzd4c/edit?gid=1335890585#gid=1335890585"",""ISWHITE!H16"")"),2.0E7)</f>
        <v>20000000</v>
      </c>
      <c r="K4" s="228"/>
      <c r="L4" s="299">
        <f>IFERROR(__xludf.DUMMYFUNCTION("IMPORTRANGE(""https://docs.google.com/spreadsheets/d/1XGHyffJQ7KjI292zt5QVK_1XTfEMh_HDpl_2BHAzd4c/edit?gid=1335890585#gid=1335890585"",""ISWHITE!H21"")        "),2.0E7)</f>
        <v>20000000</v>
      </c>
      <c r="M4" s="228"/>
      <c r="Q4" s="12"/>
      <c r="R4" s="12"/>
      <c r="T4" s="565"/>
      <c r="U4" s="565"/>
      <c r="V4" s="565"/>
      <c r="W4" s="565"/>
    </row>
    <row r="5">
      <c r="A5" s="236">
        <v>2.0</v>
      </c>
      <c r="B5" s="224"/>
      <c r="C5" s="339">
        <v>1.0</v>
      </c>
      <c r="D5" s="215"/>
      <c r="E5" s="329" t="s">
        <v>461</v>
      </c>
      <c r="F5" s="214"/>
      <c r="G5" s="214"/>
      <c r="H5" s="216"/>
      <c r="I5" s="286"/>
      <c r="J5" s="232"/>
      <c r="K5" s="234"/>
      <c r="L5" s="232"/>
      <c r="M5" s="234"/>
      <c r="Q5" s="12"/>
      <c r="R5" s="12"/>
      <c r="T5" s="565"/>
      <c r="U5" s="565"/>
      <c r="V5" s="565"/>
      <c r="W5" s="565"/>
    </row>
    <row r="6">
      <c r="A6" s="231"/>
      <c r="B6" s="220"/>
      <c r="C6" s="339">
        <v>2.0</v>
      </c>
      <c r="D6" s="215"/>
      <c r="E6" s="299">
        <f>SUM(T16:W300)</f>
        <v>9890876</v>
      </c>
      <c r="F6" s="227"/>
      <c r="G6" s="227"/>
      <c r="H6" s="228"/>
      <c r="I6" s="286"/>
      <c r="J6" s="302" t="s">
        <v>462</v>
      </c>
      <c r="K6" s="214"/>
      <c r="L6" s="214"/>
      <c r="M6" s="216"/>
      <c r="Q6" s="12"/>
      <c r="R6" s="12"/>
      <c r="T6" s="565"/>
      <c r="U6" s="565"/>
      <c r="V6" s="565"/>
      <c r="W6" s="565"/>
    </row>
    <row r="7">
      <c r="A7" s="236">
        <v>3.0</v>
      </c>
      <c r="B7" s="224"/>
      <c r="C7" s="339">
        <v>1.0</v>
      </c>
      <c r="D7" s="215"/>
      <c r="E7" s="232"/>
      <c r="F7" s="233"/>
      <c r="G7" s="233"/>
      <c r="H7" s="234"/>
      <c r="I7" s="286"/>
      <c r="J7" s="298">
        <f>IFERROR(__xludf.DUMMYFUNCTION("IMPORTRANGE(""https://docs.google.com/spreadsheets/d/1XGHyffJQ7KjI292zt5QVK_1XTfEMh_HDpl_2BHAzd4c/edit?gid=1335890585#gid=1335890585"",""NAISDAY!H4"")"),1800000.0)</f>
        <v>1800000</v>
      </c>
      <c r="K7" s="228"/>
      <c r="L7" s="299">
        <f>IFERROR(__xludf.DUMMYFUNCTION("IMPORTRANGE(""https://docs.google.com/spreadsheets/d/1XGHyffJQ7KjI292zt5QVK_1XTfEMh_HDpl_2BHAzd4c/edit?gid=1335890585#gid=1335890585"",""NAISDAY!K4"")        "),3000000.0)</f>
        <v>3000000</v>
      </c>
      <c r="M7" s="228"/>
      <c r="Q7" s="12"/>
      <c r="R7" s="12"/>
      <c r="T7" s="565"/>
      <c r="U7" s="565"/>
      <c r="V7" s="565"/>
      <c r="W7" s="565"/>
    </row>
    <row r="8">
      <c r="A8" s="231"/>
      <c r="B8" s="220"/>
      <c r="C8" s="339">
        <v>2.0</v>
      </c>
      <c r="D8" s="215"/>
      <c r="E8" s="325" t="s">
        <v>329</v>
      </c>
      <c r="F8" s="214"/>
      <c r="G8" s="214"/>
      <c r="H8" s="216"/>
      <c r="I8" s="286"/>
      <c r="J8" s="232"/>
      <c r="K8" s="234"/>
      <c r="L8" s="232"/>
      <c r="M8" s="234"/>
      <c r="Q8" s="12"/>
      <c r="R8" s="12"/>
      <c r="T8" s="565"/>
      <c r="U8" s="565"/>
      <c r="V8" s="565"/>
      <c r="W8" s="565"/>
    </row>
    <row r="9">
      <c r="A9" s="236">
        <v>4.0</v>
      </c>
      <c r="B9" s="224"/>
      <c r="C9" s="339">
        <v>1.0</v>
      </c>
      <c r="D9" s="215"/>
      <c r="E9" s="330">
        <f>E6/E3</f>
        <v>0.01648479333</v>
      </c>
      <c r="F9" s="227"/>
      <c r="G9" s="227"/>
      <c r="H9" s="228"/>
      <c r="I9" s="286"/>
      <c r="J9" s="292" t="s">
        <v>463</v>
      </c>
      <c r="K9" s="214"/>
      <c r="L9" s="214"/>
      <c r="M9" s="216"/>
      <c r="Q9" s="12"/>
      <c r="R9" s="12"/>
      <c r="T9" s="565"/>
      <c r="U9" s="565"/>
      <c r="V9" s="565"/>
      <c r="W9" s="565"/>
    </row>
    <row r="10">
      <c r="A10" s="231"/>
      <c r="B10" s="220"/>
      <c r="C10" s="339">
        <v>2.0</v>
      </c>
      <c r="D10" s="215"/>
      <c r="E10" s="232"/>
      <c r="F10" s="233"/>
      <c r="G10" s="233"/>
      <c r="H10" s="234"/>
      <c r="I10" s="286"/>
      <c r="J10" s="298">
        <f>J4-J7</f>
        <v>18200000</v>
      </c>
      <c r="K10" s="228"/>
      <c r="L10" s="299">
        <f>L4-L7</f>
        <v>17000000</v>
      </c>
      <c r="M10" s="228"/>
      <c r="Q10" s="12"/>
      <c r="R10" s="12"/>
      <c r="T10" s="565"/>
      <c r="U10" s="565"/>
      <c r="V10" s="565"/>
      <c r="W10" s="565"/>
    </row>
    <row r="11">
      <c r="A11" s="236">
        <v>5.0</v>
      </c>
      <c r="B11" s="224"/>
      <c r="C11" s="339">
        <v>1.0</v>
      </c>
      <c r="D11" s="215"/>
      <c r="E11" s="285"/>
      <c r="F11" s="286"/>
      <c r="G11" s="286"/>
      <c r="H11" s="286"/>
      <c r="I11" s="286"/>
      <c r="J11" s="232"/>
      <c r="K11" s="234"/>
      <c r="L11" s="232"/>
      <c r="M11" s="234"/>
      <c r="Q11" s="12"/>
      <c r="R11" s="12"/>
      <c r="T11" s="565"/>
      <c r="U11" s="565"/>
      <c r="V11" s="565"/>
      <c r="W11" s="565"/>
    </row>
    <row r="12">
      <c r="A12" s="231"/>
      <c r="B12" s="220"/>
      <c r="C12" s="339">
        <v>2.0</v>
      </c>
      <c r="D12" s="215"/>
      <c r="E12" s="215"/>
      <c r="J12" s="3"/>
      <c r="K12" s="242"/>
      <c r="L12" s="215"/>
      <c r="M12" s="242"/>
      <c r="N12" s="243"/>
      <c r="O12" s="243"/>
      <c r="P12" s="243"/>
      <c r="Q12" s="243"/>
      <c r="R12" s="243"/>
      <c r="S12" s="243"/>
      <c r="T12" s="566"/>
      <c r="U12" s="566"/>
      <c r="V12" s="566"/>
      <c r="W12" s="566"/>
    </row>
    <row r="13">
      <c r="A13" s="245"/>
      <c r="B13" s="245"/>
      <c r="C13" s="12"/>
      <c r="J13" s="3"/>
      <c r="K13" s="12"/>
      <c r="L13" s="243"/>
      <c r="M13" s="243"/>
      <c r="N13" s="243"/>
      <c r="O13" s="243"/>
      <c r="P13" s="243"/>
      <c r="Q13" s="243"/>
      <c r="R13" s="243"/>
      <c r="S13" s="243"/>
      <c r="T13" s="566"/>
      <c r="U13" s="566"/>
      <c r="V13" s="566"/>
      <c r="W13" s="566"/>
    </row>
    <row r="14">
      <c r="A14" s="246"/>
      <c r="B14" s="246"/>
      <c r="C14" s="247"/>
      <c r="D14" s="246"/>
      <c r="E14" s="246"/>
      <c r="F14" s="246"/>
      <c r="G14" s="246"/>
      <c r="H14" s="246"/>
      <c r="I14" s="246"/>
      <c r="J14" s="331"/>
      <c r="K14" s="247"/>
      <c r="L14" s="331"/>
      <c r="M14" s="247"/>
      <c r="N14" s="246"/>
      <c r="O14" s="246"/>
      <c r="P14" s="246"/>
      <c r="Q14" s="247"/>
      <c r="R14" s="247"/>
      <c r="S14" s="246"/>
      <c r="T14" s="371" t="s">
        <v>464</v>
      </c>
      <c r="U14" s="114"/>
      <c r="V14" s="371" t="s">
        <v>465</v>
      </c>
      <c r="W14" s="114"/>
    </row>
    <row r="15">
      <c r="A15" s="250" t="s">
        <v>466</v>
      </c>
      <c r="B15" s="250" t="s">
        <v>467</v>
      </c>
      <c r="C15" s="251" t="s">
        <v>468</v>
      </c>
      <c r="D15" s="252" t="s">
        <v>469</v>
      </c>
      <c r="E15" s="253" t="s">
        <v>470</v>
      </c>
      <c r="F15" s="251" t="s">
        <v>471</v>
      </c>
      <c r="G15" s="332" t="s">
        <v>484</v>
      </c>
      <c r="H15" s="251" t="s">
        <v>457</v>
      </c>
      <c r="I15" s="254" t="s">
        <v>472</v>
      </c>
      <c r="J15" s="251" t="s">
        <v>455</v>
      </c>
      <c r="K15" s="251" t="s">
        <v>473</v>
      </c>
      <c r="L15" s="251" t="s">
        <v>455</v>
      </c>
      <c r="M15" s="251" t="s">
        <v>474</v>
      </c>
      <c r="N15" s="251" t="s">
        <v>455</v>
      </c>
      <c r="O15" s="251" t="s">
        <v>475</v>
      </c>
      <c r="P15" s="251" t="s">
        <v>455</v>
      </c>
      <c r="Q15" s="251" t="s">
        <v>476</v>
      </c>
      <c r="R15" s="332" t="s">
        <v>485</v>
      </c>
      <c r="S15" s="332" t="s">
        <v>486</v>
      </c>
      <c r="T15" s="248" t="s">
        <v>427</v>
      </c>
      <c r="U15" s="248" t="s">
        <v>477</v>
      </c>
      <c r="V15" s="248" t="s">
        <v>427</v>
      </c>
      <c r="W15" s="248" t="s">
        <v>477</v>
      </c>
    </row>
    <row r="16">
      <c r="A16" s="255" t="str">
        <f>IFERROR(__xludf.DUMMYFUNCTION("QUERY(IMPORTRANGE(""https://docs.google.com/spreadsheets/d/10wdjc5GKQIqHka9D7QGq1b4WkRuVqG0ylA8lw57ns-I/edit?usp=sharing"", ""NAISDAY!A3:AH300""), ""SELECT Col1, Col2, Col3, Col4, Col5, Col6, Col10, Col11, Col16, Col17, Col18, Col20, Col21, Col23, Col24, "&amp;"Col26, Col27, Col29, Col31, Col32, Col33, Col34 WHERE Col12 = 'Approved'"")"),"MICRO")</f>
        <v>MICRO</v>
      </c>
      <c r="B16" s="256" t="str">
        <f>IFERROR(__xludf.DUMMYFUNCTION("""COMPUTED_VALUE"""),"princessbackpacker_")</f>
        <v>princessbackpacker_</v>
      </c>
      <c r="C16" s="281" t="str">
        <f>IFERROR(__xludf.DUMMYFUNCTION("""COMPUTED_VALUE"""),"https://www.tiktok.com/@princessbackpacker_")</f>
        <v>https://www.tiktok.com/@princessbackpacker_</v>
      </c>
      <c r="D16" s="25" t="str">
        <f>IFERROR(__xludf.DUMMYFUNCTION("""COMPUTED_VALUE"""),"81809085689")</f>
        <v>81809085689</v>
      </c>
      <c r="E16" s="258" t="str">
        <f>IFERROR(__xludf.DUMMYFUNCTION("""COMPUTED_VALUE"""),"Rp200,000")</f>
        <v>Rp200,000</v>
      </c>
      <c r="F16" s="25" t="str">
        <f>IFERROR(__xludf.DUMMYFUNCTION("""COMPUTED_VALUE"""),"2")</f>
        <v>2</v>
      </c>
      <c r="G16" s="25" t="str">
        <f>IFERROR(__xludf.DUMMYFUNCTION("""COMPUTED_VALUE"""),"65.06m")</f>
        <v>65.06m</v>
      </c>
      <c r="H16" s="293" t="str">
        <f>IFERROR(__xludf.DUMMYFUNCTION("""COMPUTED_VALUE"""),"O.N.S")</f>
        <v>O.N.S</v>
      </c>
      <c r="I16" s="567" t="str">
        <f>IFERROR(__xludf.DUMMYFUNCTION("""COMPUTED_VALUE"""),"Sampai")</f>
        <v>Sampai</v>
      </c>
      <c r="J16" s="43" t="str">
        <f>IFERROR(__xludf.DUMMYFUNCTION("""COMPUTED_VALUE"""),"")</f>
        <v/>
      </c>
      <c r="K16" s="262" t="str">
        <f>IFERROR(__xludf.DUMMYFUNCTION("""COMPUTED_VALUE"""),"")</f>
        <v/>
      </c>
      <c r="L16" s="43" t="str">
        <f>IFERROR(__xludf.DUMMYFUNCTION("""COMPUTED_VALUE"""),"")</f>
        <v/>
      </c>
      <c r="M16" s="262" t="str">
        <f>IFERROR(__xludf.DUMMYFUNCTION("""COMPUTED_VALUE"""),"")</f>
        <v/>
      </c>
      <c r="N16" s="261" t="str">
        <f>IFERROR(__xludf.DUMMYFUNCTION("""COMPUTED_VALUE"""),"")</f>
        <v/>
      </c>
      <c r="O16" s="17" t="str">
        <f>IFERROR(__xludf.DUMMYFUNCTION("""COMPUTED_VALUE"""),"")</f>
        <v/>
      </c>
      <c r="P16" s="261" t="str">
        <f>IFERROR(__xludf.DUMMYFUNCTION("""COMPUTED_VALUE"""),"")</f>
        <v/>
      </c>
      <c r="Q16" s="262" t="str">
        <f>IFERROR(__xludf.DUMMYFUNCTION("""COMPUTED_VALUE"""),"")</f>
        <v/>
      </c>
      <c r="R16" s="262" t="str">
        <f>IFERROR(__xludf.DUMMYFUNCTION("""COMPUTED_VALUE"""),"")</f>
        <v/>
      </c>
      <c r="S16" s="17" t="str">
        <f>IFERROR(__xludf.DUMMYFUNCTION("""COMPUTED_VALUE"""),"")</f>
        <v/>
      </c>
      <c r="T16" s="77" t="str">
        <f>IFERROR(__xludf.DUMMYFUNCTION("""COMPUTED_VALUE"""),"")</f>
        <v/>
      </c>
      <c r="U16" s="77" t="str">
        <f>IFERROR(__xludf.DUMMYFUNCTION("""COMPUTED_VALUE"""),"")</f>
        <v/>
      </c>
      <c r="V16" s="568" t="str">
        <f>IFERROR(__xludf.DUMMYFUNCTION("""COMPUTED_VALUE"""),"")</f>
        <v/>
      </c>
      <c r="W16" s="77"/>
    </row>
    <row r="17">
      <c r="A17" s="255" t="str">
        <f>IFERROR(__xludf.DUMMYFUNCTION("""COMPUTED_VALUE"""),"MACRO")</f>
        <v>MACRO</v>
      </c>
      <c r="B17" s="256" t="str">
        <f>IFERROR(__xludf.DUMMYFUNCTION("""COMPUTED_VALUE"""),"putri.antris")</f>
        <v>putri.antris</v>
      </c>
      <c r="C17" s="281" t="str">
        <f>IFERROR(__xludf.DUMMYFUNCTION("""COMPUTED_VALUE"""),"https://www.tiktok.com/@putri.antris")</f>
        <v>https://www.tiktok.com/@putri.antris</v>
      </c>
      <c r="D17" s="25">
        <f>IFERROR(__xludf.DUMMYFUNCTION("""COMPUTED_VALUE"""),8.978216006E9)</f>
        <v>8978216006</v>
      </c>
      <c r="E17" s="258">
        <f>IFERROR(__xludf.DUMMYFUNCTION("""COMPUTED_VALUE"""),0.0)</f>
        <v>0</v>
      </c>
      <c r="F17" s="25">
        <f>IFERROR(__xludf.DUMMYFUNCTION("""COMPUTED_VALUE"""),2.0)</f>
        <v>2</v>
      </c>
      <c r="G17" s="25" t="str">
        <f>IFERROR(__xludf.DUMMYFUNCTION("""COMPUTED_VALUE"""),"185.96m")</f>
        <v>185.96m</v>
      </c>
      <c r="H17" s="293" t="str">
        <f>IFERROR(__xludf.DUMMYFUNCTION("""COMPUTED_VALUE"""),"O.N.S")</f>
        <v>O.N.S</v>
      </c>
      <c r="I17" s="567" t="str">
        <f>IFERROR(__xludf.DUMMYFUNCTION("""COMPUTED_VALUE"""),"Sampai")</f>
        <v>Sampai</v>
      </c>
      <c r="J17" s="43" t="str">
        <f>IFERROR(__xludf.DUMMYFUNCTION("""COMPUTED_VALUE""")," Concept 1")</f>
        <v> Concept 1</v>
      </c>
      <c r="K17" s="278" t="str">
        <f>IFERROR(__xludf.DUMMYFUNCTION("""COMPUTED_VALUE"""),"https://vt.tiktok.com/ZS9qCFJ5e/")</f>
        <v>https://vt.tiktok.com/ZS9qCFJ5e/</v>
      </c>
      <c r="L17" s="43" t="str">
        <f>IFERROR(__xludf.DUMMYFUNCTION("""COMPUTED_VALUE"""),"Concept 2")</f>
        <v>Concept 2</v>
      </c>
      <c r="M17" s="278" t="str">
        <f>IFERROR(__xludf.DUMMYFUNCTION("""COMPUTED_VALUE"""),"https://vt.tiktok.com/ZS9qCyR9D/")</f>
        <v>https://vt.tiktok.com/ZS9qCyR9D/</v>
      </c>
      <c r="N17" s="261" t="str">
        <f>IFERROR(__xludf.DUMMYFUNCTION("""COMPUTED_VALUE"""),"Concept 3")</f>
        <v>Concept 3</v>
      </c>
      <c r="O17" s="279" t="str">
        <f>IFERROR(__xludf.DUMMYFUNCTION("""COMPUTED_VALUE"""),"https://vt.tiktok.com/ZS9qCdmQh/")</f>
        <v>https://vt.tiktok.com/ZS9qCdmQh/</v>
      </c>
      <c r="P17" s="261"/>
      <c r="Q17" s="262"/>
      <c r="R17" s="262"/>
      <c r="S17" s="17"/>
      <c r="T17" s="569">
        <f>IFERROR(__xludf.DUMMYFUNCTION("""COMPUTED_VALUE"""),78565.0)</f>
        <v>78565</v>
      </c>
      <c r="U17" s="570"/>
      <c r="V17" s="335">
        <f>IFERROR(__xludf.DUMMYFUNCTION("""COMPUTED_VALUE"""),1236431.0)</f>
        <v>1236431</v>
      </c>
      <c r="W17" s="571"/>
    </row>
    <row r="18">
      <c r="A18" s="255" t="str">
        <f>IFERROR(__xludf.DUMMYFUNCTION("""COMPUTED_VALUE"""),"MICRO")</f>
        <v>MICRO</v>
      </c>
      <c r="B18" s="256" t="str">
        <f>IFERROR(__xludf.DUMMYFUNCTION("""COMPUTED_VALUE"""),"apriliakartiningsih")</f>
        <v>apriliakartiningsih</v>
      </c>
      <c r="C18" s="281" t="str">
        <f>IFERROR(__xludf.DUMMYFUNCTION("""COMPUTED_VALUE"""),"https://www.tiktok.com/@apriliakartiningsih")</f>
        <v>https://www.tiktok.com/@apriliakartiningsih</v>
      </c>
      <c r="D18" s="25">
        <f>IFERROR(__xludf.DUMMYFUNCTION("""COMPUTED_VALUE"""),8.9651779766E10)</f>
        <v>89651779766</v>
      </c>
      <c r="E18" s="258">
        <f>IFERROR(__xludf.DUMMYFUNCTION("""COMPUTED_VALUE"""),0.0)</f>
        <v>0</v>
      </c>
      <c r="F18" s="25">
        <f>IFERROR(__xludf.DUMMYFUNCTION("""COMPUTED_VALUE"""),6.0)</f>
        <v>6</v>
      </c>
      <c r="G18" s="25" t="str">
        <f>IFERROR(__xludf.DUMMYFUNCTION("""COMPUTED_VALUE"""),"30.70m")</f>
        <v>30.70m</v>
      </c>
      <c r="H18" s="293" t="str">
        <f>IFERROR(__xludf.DUMMYFUNCTION("""COMPUTED_VALUE"""),"3 PRODUK (O.N.S, TK, YB)")</f>
        <v>3 PRODUK (O.N.S, TK, YB)</v>
      </c>
      <c r="I18" s="567" t="str">
        <f>IFERROR(__xludf.DUMMYFUNCTION("""COMPUTED_VALUE"""),"Sampai")</f>
        <v>Sampai</v>
      </c>
      <c r="J18" s="43" t="str">
        <f>IFERROR(__xludf.DUMMYFUNCTION("""COMPUTED_VALUE"""),"Concept 2")</f>
        <v>Concept 2</v>
      </c>
      <c r="K18" s="280" t="str">
        <f>IFERROR(__xludf.DUMMYFUNCTION("""COMPUTED_VALUE"""),"https://vt.tiktok.com/ZSx2sG9ks/")</f>
        <v>https://vt.tiktok.com/ZSx2sG9ks/</v>
      </c>
      <c r="L18" s="43" t="str">
        <f>IFERROR(__xludf.DUMMYFUNCTION("""COMPUTED_VALUE""")," Concept 1")</f>
        <v> Concept 1</v>
      </c>
      <c r="M18" s="278" t="str">
        <f>IFERROR(__xludf.DUMMYFUNCTION("""COMPUTED_VALUE"""),"https://vt.tiktok.com/ZSxkRnbP3/")</f>
        <v>https://vt.tiktok.com/ZSxkRnbP3/</v>
      </c>
      <c r="N18" s="261" t="str">
        <f>IFERROR(__xludf.DUMMYFUNCTION("""COMPUTED_VALUE"""),"Concept 3")</f>
        <v>Concept 3</v>
      </c>
      <c r="O18" s="279" t="str">
        <f>IFERROR(__xludf.DUMMYFUNCTION("""COMPUTED_VALUE"""),"https://vt.tiktok.com/ZSxB1cSMY/")</f>
        <v>https://vt.tiktok.com/ZSxB1cSMY/</v>
      </c>
      <c r="P18" s="261" t="str">
        <f>IFERROR(__xludf.DUMMYFUNCTION("""COMPUTED_VALUE""")," Concept 1")</f>
        <v> Concept 1</v>
      </c>
      <c r="Q18" s="278" t="str">
        <f>IFERROR(__xludf.DUMMYFUNCTION("""COMPUTED_VALUE"""),"https://vt.tiktok.com/ZSxDJetqq/")</f>
        <v>https://vt.tiktok.com/ZSxDJetqq/</v>
      </c>
      <c r="R18" s="262"/>
      <c r="S18" s="17"/>
      <c r="T18" s="569">
        <f>IFERROR(__xludf.DUMMYFUNCTION("""COMPUTED_VALUE"""),128900.0)</f>
        <v>128900</v>
      </c>
      <c r="U18" s="570"/>
      <c r="V18" s="335">
        <f>IFERROR(__xludf.DUMMYFUNCTION("""COMPUTED_VALUE"""),187821.0)</f>
        <v>187821</v>
      </c>
      <c r="W18" s="571"/>
    </row>
    <row r="19">
      <c r="A19" s="255" t="str">
        <f>IFERROR(__xludf.DUMMYFUNCTION("""COMPUTED_VALUE"""),"MICRO")</f>
        <v>MICRO</v>
      </c>
      <c r="B19" s="256" t="str">
        <f>IFERROR(__xludf.DUMMYFUNCTION("""COMPUTED_VALUE"""),"storyandine")</f>
        <v>storyandine</v>
      </c>
      <c r="C19" s="281" t="str">
        <f>IFERROR(__xludf.DUMMYFUNCTION("""COMPUTED_VALUE"""),"https://www.tiktok.com/@storyandine")</f>
        <v>https://www.tiktok.com/@storyandine</v>
      </c>
      <c r="D19" s="25"/>
      <c r="E19" s="258">
        <f>IFERROR(__xludf.DUMMYFUNCTION("""COMPUTED_VALUE"""),0.0)</f>
        <v>0</v>
      </c>
      <c r="F19" s="25">
        <f>IFERROR(__xludf.DUMMYFUNCTION("""COMPUTED_VALUE"""),2.0)</f>
        <v>2</v>
      </c>
      <c r="G19" s="25" t="str">
        <f>IFERROR(__xludf.DUMMYFUNCTION("""COMPUTED_VALUE"""),"121.16m")</f>
        <v>121.16m</v>
      </c>
      <c r="H19" s="293" t="str">
        <f>IFERROR(__xludf.DUMMYFUNCTION("""COMPUTED_VALUE"""),"THOUSAND KISSES")</f>
        <v>THOUSAND KISSES</v>
      </c>
      <c r="I19" s="567" t="str">
        <f>IFERROR(__xludf.DUMMYFUNCTION("""COMPUTED_VALUE"""),"Done Req Sample")</f>
        <v>Done Req Sample</v>
      </c>
      <c r="J19" s="43"/>
      <c r="K19" s="262" t="str">
        <f>IFERROR(__xludf.DUMMYFUNCTION("""COMPUTED_VALUE"""),"sorry kak salah input")</f>
        <v>sorry kak salah input</v>
      </c>
      <c r="L19" s="43"/>
      <c r="M19" s="262"/>
      <c r="N19" s="261"/>
      <c r="O19" s="17"/>
      <c r="P19" s="261"/>
      <c r="Q19" s="262"/>
      <c r="R19" s="262"/>
      <c r="S19" s="17"/>
      <c r="T19" s="572"/>
      <c r="U19" s="570"/>
      <c r="V19" s="335"/>
      <c r="W19" s="571"/>
    </row>
    <row r="20">
      <c r="A20" s="255" t="str">
        <f>IFERROR(__xludf.DUMMYFUNCTION("""COMPUTED_VALUE"""),"MICRO")</f>
        <v>MICRO</v>
      </c>
      <c r="B20" s="256" t="str">
        <f>IFERROR(__xludf.DUMMYFUNCTION("""COMPUTED_VALUE"""),"liayulianti1278")</f>
        <v>liayulianti1278</v>
      </c>
      <c r="C20" s="281" t="str">
        <f>IFERROR(__xludf.DUMMYFUNCTION("""COMPUTED_VALUE"""),"https://www.tiktok.com/@liayulianti1278")</f>
        <v>https://www.tiktok.com/@liayulianti1278</v>
      </c>
      <c r="D20" s="25">
        <f>IFERROR(__xludf.DUMMYFUNCTION("""COMPUTED_VALUE"""),8.1220183515E10)</f>
        <v>81220183515</v>
      </c>
      <c r="E20" s="258">
        <f>IFERROR(__xludf.DUMMYFUNCTION("""COMPUTED_VALUE"""),0.0)</f>
        <v>0</v>
      </c>
      <c r="F20" s="25">
        <f>IFERROR(__xludf.DUMMYFUNCTION("""COMPUTED_VALUE"""),2.0)</f>
        <v>2</v>
      </c>
      <c r="G20" s="25" t="str">
        <f>IFERROR(__xludf.DUMMYFUNCTION("""COMPUTED_VALUE"""),"26.67m")</f>
        <v>26.67m</v>
      </c>
      <c r="H20" s="293" t="str">
        <f>IFERROR(__xludf.DUMMYFUNCTION("""COMPUTED_VALUE"""),"THOUSAND KISSES")</f>
        <v>THOUSAND KISSES</v>
      </c>
      <c r="I20" s="567" t="str">
        <f>IFERROR(__xludf.DUMMYFUNCTION("""COMPUTED_VALUE"""),"Sampai")</f>
        <v>Sampai</v>
      </c>
      <c r="J20" s="43" t="str">
        <f>IFERROR(__xludf.DUMMYFUNCTION("""COMPUTED_VALUE""")," Concept 1")</f>
        <v> Concept 1</v>
      </c>
      <c r="K20" s="278" t="str">
        <f>IFERROR(__xludf.DUMMYFUNCTION("""COMPUTED_VALUE"""),"https://vt.tiktok.com/ZS9fBb4kV/")</f>
        <v>https://vt.tiktok.com/ZS9fBb4kV/</v>
      </c>
      <c r="L20" s="43" t="str">
        <f>IFERROR(__xludf.DUMMYFUNCTION("""COMPUTED_VALUE"""),"Concept 2")</f>
        <v>Concept 2</v>
      </c>
      <c r="M20" s="278" t="str">
        <f>IFERROR(__xludf.DUMMYFUNCTION("""COMPUTED_VALUE"""),"https://vt.tiktok.com/ZS9fBkfNS/")</f>
        <v>https://vt.tiktok.com/ZS9fBkfNS/</v>
      </c>
      <c r="N20" s="261" t="str">
        <f>IFERROR(__xludf.DUMMYFUNCTION("""COMPUTED_VALUE"""),"Concept 3")</f>
        <v>Concept 3</v>
      </c>
      <c r="O20" s="279" t="str">
        <f>IFERROR(__xludf.DUMMYFUNCTION("""COMPUTED_VALUE"""),"https://vt.tiktok.com/ZS9fBQrbe/")</f>
        <v>https://vt.tiktok.com/ZS9fBQrbe/</v>
      </c>
      <c r="P20" s="261" t="str">
        <f>IFERROR(__xludf.DUMMYFUNCTION("""COMPUTED_VALUE"""),"Concept 2")</f>
        <v>Concept 2</v>
      </c>
      <c r="Q20" s="278" t="str">
        <f>IFERROR(__xludf.DUMMYFUNCTION("""COMPUTED_VALUE"""),"https://vt.tiktok.com/ZS9fBmQA5/")</f>
        <v>https://vt.tiktok.com/ZS9fBmQA5/</v>
      </c>
      <c r="R20" s="278" t="str">
        <f>IFERROR(__xludf.DUMMYFUNCTION("""COMPUTED_VALUE"""),"https://vt.tiktok.com/ZS9fBmQA5/")</f>
        <v>https://vt.tiktok.com/ZS9fBmQA5/</v>
      </c>
      <c r="S20" s="262"/>
      <c r="T20" s="573">
        <f>IFERROR(__xludf.DUMMYFUNCTION("""COMPUTED_VALUE"""),486949.0)</f>
        <v>486949</v>
      </c>
      <c r="U20" s="570"/>
      <c r="V20" s="335"/>
      <c r="W20" s="571"/>
    </row>
    <row r="21">
      <c r="A21" s="255" t="str">
        <f>IFERROR(__xludf.DUMMYFUNCTION("""COMPUTED_VALUE"""),"MICRO")</f>
        <v>MICRO</v>
      </c>
      <c r="B21" s="256" t="str">
        <f>IFERROR(__xludf.DUMMYFUNCTION("""COMPUTED_VALUE"""),"nris9")</f>
        <v>nris9</v>
      </c>
      <c r="C21" s="281" t="str">
        <f>IFERROR(__xludf.DUMMYFUNCTION("""COMPUTED_VALUE"""),"https://www.tiktok.com/@nris9")</f>
        <v>https://www.tiktok.com/@nris9</v>
      </c>
      <c r="D21" s="25">
        <f>IFERROR(__xludf.DUMMYFUNCTION("""COMPUTED_VALUE"""),8.7721316159E10)</f>
        <v>87721316159</v>
      </c>
      <c r="E21" s="258">
        <f>IFERROR(__xludf.DUMMYFUNCTION("""COMPUTED_VALUE"""),250000.0)</f>
        <v>250000</v>
      </c>
      <c r="F21" s="25">
        <f>IFERROR(__xludf.DUMMYFUNCTION("""COMPUTED_VALUE"""),2.0)</f>
        <v>2</v>
      </c>
      <c r="G21" s="25" t="str">
        <f>IFERROR(__xludf.DUMMYFUNCTION("""COMPUTED_VALUE"""),"168.37m")</f>
        <v>168.37m</v>
      </c>
      <c r="H21" s="293" t="str">
        <f>IFERROR(__xludf.DUMMYFUNCTION("""COMPUTED_VALUE"""),"3 PRODUK (O.N.S, TK, YB)")</f>
        <v>3 PRODUK (O.N.S, TK, YB)</v>
      </c>
      <c r="I21" s="567" t="str">
        <f>IFERROR(__xludf.DUMMYFUNCTION("""COMPUTED_VALUE"""),"Sampai")</f>
        <v>Sampai</v>
      </c>
      <c r="J21" s="43" t="str">
        <f>IFERROR(__xludf.DUMMYFUNCTION("""COMPUTED_VALUE""")," Concept 1")</f>
        <v> Concept 1</v>
      </c>
      <c r="K21" s="280" t="str">
        <f>IFERROR(__xludf.DUMMYFUNCTION("""COMPUTED_VALUE"""),"https://vt.tiktok.com/ZS9gVGRbN/")</f>
        <v>https://vt.tiktok.com/ZS9gVGRbN/</v>
      </c>
      <c r="L21" s="43" t="str">
        <f>IFERROR(__xludf.DUMMYFUNCTION("""COMPUTED_VALUE""")," Concept 1")</f>
        <v> Concept 1</v>
      </c>
      <c r="M21" s="278" t="str">
        <f>IFERROR(__xludf.DUMMYFUNCTION("""COMPUTED_VALUE"""),"https://vt.tiktok.com/ZSx27Gbuq/")</f>
        <v>https://vt.tiktok.com/ZSx27Gbuq/</v>
      </c>
      <c r="N21" s="261"/>
      <c r="O21" s="17"/>
      <c r="P21" s="261"/>
      <c r="Q21" s="262"/>
      <c r="R21" s="262"/>
      <c r="S21" s="17"/>
      <c r="T21" s="573">
        <f>IFERROR(__xludf.DUMMYFUNCTION("""COMPUTED_VALUE"""),665482.0)</f>
        <v>665482</v>
      </c>
      <c r="U21" s="568">
        <f>IFERROR(__xludf.DUMMYFUNCTION("""COMPUTED_VALUE"""),164532.0)</f>
        <v>164532</v>
      </c>
      <c r="V21" s="335">
        <f>IFERROR(__xludf.DUMMYFUNCTION("""COMPUTED_VALUE"""),371921.0)</f>
        <v>371921</v>
      </c>
      <c r="W21" s="571"/>
    </row>
    <row r="22">
      <c r="A22" s="255" t="str">
        <f>IFERROR(__xludf.DUMMYFUNCTION("""COMPUTED_VALUE"""),"MICRO")</f>
        <v>MICRO</v>
      </c>
      <c r="B22" s="256" t="str">
        <f>IFERROR(__xludf.DUMMYFUNCTION("""COMPUTED_VALUE"""),"nurnnyas")</f>
        <v>nurnnyas</v>
      </c>
      <c r="C22" s="281" t="str">
        <f>IFERROR(__xludf.DUMMYFUNCTION("""COMPUTED_VALUE"""),"https://www.tiktok.com/@nurnnyas")</f>
        <v>https://www.tiktok.com/@nurnnyas</v>
      </c>
      <c r="D22" s="25">
        <f>IFERROR(__xludf.DUMMYFUNCTION("""COMPUTED_VALUE"""),8.9690789074E10)</f>
        <v>89690789074</v>
      </c>
      <c r="E22" s="258">
        <f>IFERROR(__xludf.DUMMYFUNCTION("""COMPUTED_VALUE"""),200000.0)</f>
        <v>200000</v>
      </c>
      <c r="F22" s="25">
        <f>IFERROR(__xludf.DUMMYFUNCTION("""COMPUTED_VALUE"""),2.0)</f>
        <v>2</v>
      </c>
      <c r="G22" s="25" t="str">
        <f>IFERROR(__xludf.DUMMYFUNCTION("""COMPUTED_VALUE"""),"48.82m")</f>
        <v>48.82m</v>
      </c>
      <c r="H22" s="293" t="str">
        <f>IFERROR(__xludf.DUMMYFUNCTION("""COMPUTED_VALUE"""),"THOUSAND KISSES")</f>
        <v>THOUSAND KISSES</v>
      </c>
      <c r="I22" s="567" t="str">
        <f>IFERROR(__xludf.DUMMYFUNCTION("""COMPUTED_VALUE"""),"Sampai")</f>
        <v>Sampai</v>
      </c>
      <c r="J22" s="43" t="str">
        <f>IFERROR(__xludf.DUMMYFUNCTION("""COMPUTED_VALUE""")," Concept 1")</f>
        <v> Concept 1</v>
      </c>
      <c r="K22" s="278" t="str">
        <f>IFERROR(__xludf.DUMMYFUNCTION("""COMPUTED_VALUE"""),"https://vt.tiktok.com/ZSQeM4pdP/")</f>
        <v>https://vt.tiktok.com/ZSQeM4pdP/</v>
      </c>
      <c r="L22" s="43" t="str">
        <f>IFERROR(__xludf.DUMMYFUNCTION("""COMPUTED_VALUE"""),"Concept 2")</f>
        <v>Concept 2</v>
      </c>
      <c r="M22" s="278" t="str">
        <f>IFERROR(__xludf.DUMMYFUNCTION("""COMPUTED_VALUE"""),"https://vt.tiktok.com/ZSQMcoKcB/ ")</f>
        <v>https://vt.tiktok.com/ZSQMcoKcB/ </v>
      </c>
      <c r="N22" s="261"/>
      <c r="O22" s="17"/>
      <c r="P22" s="261"/>
      <c r="Q22" s="262"/>
      <c r="R22" s="262"/>
      <c r="S22" s="17"/>
      <c r="T22" s="572"/>
      <c r="U22" s="570"/>
      <c r="V22" s="574"/>
      <c r="W22" s="571"/>
    </row>
    <row r="23">
      <c r="A23" s="255" t="str">
        <f>IFERROR(__xludf.DUMMYFUNCTION("""COMPUTED_VALUE"""),"MICRO")</f>
        <v>MICRO</v>
      </c>
      <c r="B23" s="256" t="str">
        <f>IFERROR(__xludf.DUMMYFUNCTION("""COMPUTED_VALUE"""),"popynoviana_")</f>
        <v>popynoviana_</v>
      </c>
      <c r="C23" s="281" t="str">
        <f>IFERROR(__xludf.DUMMYFUNCTION("""COMPUTED_VALUE"""),"https://www.tiktok.com/@popynoviana_")</f>
        <v>https://www.tiktok.com/@popynoviana_</v>
      </c>
      <c r="D23" s="25">
        <f>IFERROR(__xludf.DUMMYFUNCTION("""COMPUTED_VALUE"""),8.2122355727E10)</f>
        <v>82122355727</v>
      </c>
      <c r="E23" s="258">
        <f>IFERROR(__xludf.DUMMYFUNCTION("""COMPUTED_VALUE"""),0.0)</f>
        <v>0</v>
      </c>
      <c r="F23" s="25">
        <f>IFERROR(__xludf.DUMMYFUNCTION("""COMPUTED_VALUE"""),2.0)</f>
        <v>2</v>
      </c>
      <c r="G23" s="25" t="str">
        <f>IFERROR(__xludf.DUMMYFUNCTION("""COMPUTED_VALUE"""),"20.65m")</f>
        <v>20.65m</v>
      </c>
      <c r="H23" s="293" t="str">
        <f>IFERROR(__xludf.DUMMYFUNCTION("""COMPUTED_VALUE"""),"3 PRODUK (O.N.S, TK, YB)")</f>
        <v>3 PRODUK (O.N.S, TK, YB)</v>
      </c>
      <c r="I23" s="567" t="str">
        <f>IFERROR(__xludf.DUMMYFUNCTION("""COMPUTED_VALUE"""),"Sampai")</f>
        <v>Sampai</v>
      </c>
      <c r="J23" s="43" t="str">
        <f>IFERROR(__xludf.DUMMYFUNCTION("""COMPUTED_VALUE""")," Concept 1")</f>
        <v> Concept 1</v>
      </c>
      <c r="K23" s="280" t="str">
        <f>IFERROR(__xludf.DUMMYFUNCTION("""COMPUTED_VALUE"""),"https://vt.tiktok.com/ZS945pAY6/")</f>
        <v>https://vt.tiktok.com/ZS945pAY6/</v>
      </c>
      <c r="L23" s="43"/>
      <c r="M23" s="262"/>
      <c r="N23" s="261"/>
      <c r="O23" s="17"/>
      <c r="P23" s="261"/>
      <c r="Q23" s="262"/>
      <c r="R23" s="262"/>
      <c r="S23" s="17"/>
      <c r="T23" s="572"/>
      <c r="U23" s="570"/>
      <c r="V23" s="335"/>
      <c r="W23" s="571"/>
    </row>
    <row r="24">
      <c r="A24" s="255" t="str">
        <f>IFERROR(__xludf.DUMMYFUNCTION("""COMPUTED_VALUE"""),"MICRO")</f>
        <v>MICRO</v>
      </c>
      <c r="B24" s="23" t="str">
        <f>IFERROR(__xludf.DUMMYFUNCTION("""COMPUTED_VALUE"""),"fitrianahisnainy")</f>
        <v>fitrianahisnainy</v>
      </c>
      <c r="C24" s="281" t="str">
        <f>IFERROR(__xludf.DUMMYFUNCTION("""COMPUTED_VALUE"""),"https://www.tiktok.com/@fitrianahisnainy")</f>
        <v>https://www.tiktok.com/@fitrianahisnainy</v>
      </c>
      <c r="D24" s="25">
        <f>IFERROR(__xludf.DUMMYFUNCTION("""COMPUTED_VALUE"""),8.5210191147E10)</f>
        <v>85210191147</v>
      </c>
      <c r="E24" s="258">
        <f>IFERROR(__xludf.DUMMYFUNCTION("""COMPUTED_VALUE"""),300000.0)</f>
        <v>300000</v>
      </c>
      <c r="F24" s="25">
        <f>IFERROR(__xludf.DUMMYFUNCTION("""COMPUTED_VALUE"""),2.0)</f>
        <v>2</v>
      </c>
      <c r="G24" s="25" t="str">
        <f>IFERROR(__xludf.DUMMYFUNCTION("""COMPUTED_VALUE"""),"181.86m")</f>
        <v>181.86m</v>
      </c>
      <c r="H24" s="293" t="str">
        <f>IFERROR(__xludf.DUMMYFUNCTION("""COMPUTED_VALUE"""),"THOUSAND KISSES")</f>
        <v>THOUSAND KISSES</v>
      </c>
      <c r="I24" s="567" t="str">
        <f>IFERROR(__xludf.DUMMYFUNCTION("""COMPUTED_VALUE"""),"Sampai")</f>
        <v>Sampai</v>
      </c>
      <c r="J24" s="43" t="str">
        <f>IFERROR(__xludf.DUMMYFUNCTION("""COMPUTED_VALUE"""),"Concept 2")</f>
        <v>Concept 2</v>
      </c>
      <c r="K24" s="280" t="str">
        <f>IFERROR(__xludf.DUMMYFUNCTION("""COMPUTED_VALUE"""),"https://vt.tiktok.com/ZS9KVLQuD/")</f>
        <v>https://vt.tiktok.com/ZS9KVLQuD/</v>
      </c>
      <c r="L24" s="43" t="str">
        <f>IFERROR(__xludf.DUMMYFUNCTION("""COMPUTED_VALUE"""),"Concept 2")</f>
        <v>Concept 2</v>
      </c>
      <c r="M24" s="278" t="str">
        <f>IFERROR(__xludf.DUMMYFUNCTION("""COMPUTED_VALUE"""),"https://vt.tiktok.com/ZSxABmas1/")</f>
        <v>https://vt.tiktok.com/ZSxABmas1/</v>
      </c>
      <c r="N24" s="261"/>
      <c r="O24" s="17"/>
      <c r="P24" s="261"/>
      <c r="Q24" s="262"/>
      <c r="R24" s="262"/>
      <c r="S24" s="17"/>
      <c r="T24" s="569">
        <f>IFERROR(__xludf.DUMMYFUNCTION("""COMPUTED_VALUE"""),140080.0)</f>
        <v>140080</v>
      </c>
      <c r="U24" s="570"/>
      <c r="V24" s="335">
        <f>IFERROR(__xludf.DUMMYFUNCTION("""COMPUTED_VALUE"""),912705.0)</f>
        <v>912705</v>
      </c>
      <c r="W24" s="571"/>
    </row>
    <row r="25">
      <c r="A25" s="255" t="str">
        <f>IFERROR(__xludf.DUMMYFUNCTION("""COMPUTED_VALUE"""),"NANO")</f>
        <v>NANO</v>
      </c>
      <c r="B25" s="23" t="str">
        <f>IFERROR(__xludf.DUMMYFUNCTION("""COMPUTED_VALUE"""),"dinifu1")</f>
        <v>dinifu1</v>
      </c>
      <c r="C25" s="281" t="str">
        <f>IFERROR(__xludf.DUMMYFUNCTION("""COMPUTED_VALUE"""),"https://www.tiktok.com/@dinifu1")</f>
        <v>https://www.tiktok.com/@dinifu1</v>
      </c>
      <c r="D25" s="25">
        <f>IFERROR(__xludf.DUMMYFUNCTION("""COMPUTED_VALUE"""),8.1312275695E10)</f>
        <v>81312275695</v>
      </c>
      <c r="E25" s="258">
        <f>IFERROR(__xludf.DUMMYFUNCTION("""COMPUTED_VALUE"""),0.0)</f>
        <v>0</v>
      </c>
      <c r="F25" s="25">
        <f>IFERROR(__xludf.DUMMYFUNCTION("""COMPUTED_VALUE"""),2.0)</f>
        <v>2</v>
      </c>
      <c r="G25" s="25" t="str">
        <f>IFERROR(__xludf.DUMMYFUNCTION("""COMPUTED_VALUE"""),"38.04m")</f>
        <v>38.04m</v>
      </c>
      <c r="H25" s="293" t="str">
        <f>IFERROR(__xludf.DUMMYFUNCTION("""COMPUTED_VALUE"""),"THOUSAND KISSES")</f>
        <v>THOUSAND KISSES</v>
      </c>
      <c r="I25" s="567" t="str">
        <f>IFERROR(__xludf.DUMMYFUNCTION("""COMPUTED_VALUE"""),"Sampai")</f>
        <v>Sampai</v>
      </c>
      <c r="J25" s="43"/>
      <c r="K25" s="262" t="str">
        <f>IFERROR(__xludf.DUMMYFUNCTION("""COMPUTED_VALUE"""),"per tgl 20 sudah fu")</f>
        <v>per tgl 20 sudah fu</v>
      </c>
      <c r="L25" s="43"/>
      <c r="M25" s="262"/>
      <c r="N25" s="261"/>
      <c r="O25" s="17"/>
      <c r="P25" s="261"/>
      <c r="Q25" s="262"/>
      <c r="R25" s="262"/>
      <c r="S25" s="17"/>
      <c r="T25" s="572"/>
      <c r="U25" s="570"/>
      <c r="V25" s="335"/>
      <c r="W25" s="571"/>
    </row>
    <row r="26">
      <c r="A26" s="255" t="str">
        <f>IFERROR(__xludf.DUMMYFUNCTION("""COMPUTED_VALUE"""),"MICRO")</f>
        <v>MICRO</v>
      </c>
      <c r="B26" s="23" t="str">
        <f>IFERROR(__xludf.DUMMYFUNCTION("""COMPUTED_VALUE"""),"angelmatondang14")</f>
        <v>angelmatondang14</v>
      </c>
      <c r="C26" s="281" t="str">
        <f>IFERROR(__xludf.DUMMYFUNCTION("""COMPUTED_VALUE"""),"https://www.tiktok.com/@angelmatondang14")</f>
        <v>https://www.tiktok.com/@angelmatondang14</v>
      </c>
      <c r="D26" s="25">
        <f>IFERROR(__xludf.DUMMYFUNCTION("""COMPUTED_VALUE"""),8.77510358E10)</f>
        <v>87751035800</v>
      </c>
      <c r="E26" s="258">
        <f>IFERROR(__xludf.DUMMYFUNCTION("""COMPUTED_VALUE"""),0.0)</f>
        <v>0</v>
      </c>
      <c r="F26" s="25">
        <f>IFERROR(__xludf.DUMMYFUNCTION("""COMPUTED_VALUE"""),2.0)</f>
        <v>2</v>
      </c>
      <c r="G26" s="25" t="str">
        <f>IFERROR(__xludf.DUMMYFUNCTION("""COMPUTED_VALUE"""),"66.69m")</f>
        <v>66.69m</v>
      </c>
      <c r="H26" s="293" t="str">
        <f>IFERROR(__xludf.DUMMYFUNCTION("""COMPUTED_VALUE"""),"O.N.S")</f>
        <v>O.N.S</v>
      </c>
      <c r="I26" s="567" t="str">
        <f>IFERROR(__xludf.DUMMYFUNCTION("""COMPUTED_VALUE"""),"Sampai")</f>
        <v>Sampai</v>
      </c>
      <c r="J26" s="43" t="str">
        <f>IFERROR(__xludf.DUMMYFUNCTION("""COMPUTED_VALUE""")," Concept 1")</f>
        <v> Concept 1</v>
      </c>
      <c r="K26" s="278" t="str">
        <f>IFERROR(__xludf.DUMMYFUNCTION("""COMPUTED_VALUE"""),"https://vt.tiktok.com/ZSxbm3hva/ ")</f>
        <v>https://vt.tiktok.com/ZSxbm3hva/ </v>
      </c>
      <c r="L26" s="43" t="str">
        <f>IFERROR(__xludf.DUMMYFUNCTION("""COMPUTED_VALUE"""),"Concept 2")</f>
        <v>Concept 2</v>
      </c>
      <c r="M26" s="278" t="str">
        <f>IFERROR(__xludf.DUMMYFUNCTION("""COMPUTED_VALUE"""),"https://vt.tiktok.com/ZSxGknCND/")</f>
        <v>https://vt.tiktok.com/ZSxGknCND/</v>
      </c>
      <c r="N26" s="261" t="str">
        <f>IFERROR(__xludf.DUMMYFUNCTION("""COMPUTED_VALUE""")," Concept 1")</f>
        <v> Concept 1</v>
      </c>
      <c r="O26" s="279" t="str">
        <f>IFERROR(__xludf.DUMMYFUNCTION("""COMPUTED_VALUE"""),"https://vt.tiktok.com/ZSQ2Asg7a/ ")</f>
        <v>https://vt.tiktok.com/ZSQ2Asg7a/ </v>
      </c>
      <c r="P26" s="261"/>
      <c r="Q26" s="262"/>
      <c r="R26" s="262"/>
      <c r="S26" s="17"/>
      <c r="T26" s="572"/>
      <c r="U26" s="570"/>
      <c r="V26" s="335"/>
      <c r="W26" s="571"/>
    </row>
    <row r="27">
      <c r="A27" s="255" t="str">
        <f>IFERROR(__xludf.DUMMYFUNCTION("""COMPUTED_VALUE"""),"NANO")</f>
        <v>NANO</v>
      </c>
      <c r="B27" s="23" t="str">
        <f>IFERROR(__xludf.DUMMYFUNCTION("""COMPUTED_VALUE"""),"marizarizka_")</f>
        <v>marizarizka_</v>
      </c>
      <c r="C27" s="281" t="str">
        <f>IFERROR(__xludf.DUMMYFUNCTION("""COMPUTED_VALUE"""),"https://www.tiktok.com/@marizarizka_")</f>
        <v>https://www.tiktok.com/@marizarizka_</v>
      </c>
      <c r="D27" s="25">
        <f>IFERROR(__xludf.DUMMYFUNCTION("""COMPUTED_VALUE"""),8.7769115748E10)</f>
        <v>87769115748</v>
      </c>
      <c r="E27" s="269">
        <f>IFERROR(__xludf.DUMMYFUNCTION("""COMPUTED_VALUE"""),0.0)</f>
        <v>0</v>
      </c>
      <c r="F27" s="25">
        <f>IFERROR(__xludf.DUMMYFUNCTION("""COMPUTED_VALUE"""),1.0)</f>
        <v>1</v>
      </c>
      <c r="G27" s="25" t="str">
        <f>IFERROR(__xludf.DUMMYFUNCTION("""COMPUTED_VALUE"""),"45.98m")</f>
        <v>45.98m</v>
      </c>
      <c r="H27" s="293" t="str">
        <f>IFERROR(__xludf.DUMMYFUNCTION("""COMPUTED_VALUE"""),"O.N.S")</f>
        <v>O.N.S</v>
      </c>
      <c r="I27" s="567" t="str">
        <f>IFERROR(__xludf.DUMMYFUNCTION("""COMPUTED_VALUE"""),"Sampai")</f>
        <v>Sampai</v>
      </c>
      <c r="J27" s="43" t="str">
        <f>IFERROR(__xludf.DUMMYFUNCTION("""COMPUTED_VALUE""")," Concept 1")</f>
        <v> Concept 1</v>
      </c>
      <c r="K27" s="278" t="str">
        <f>IFERROR(__xludf.DUMMYFUNCTION("""COMPUTED_VALUE"""),"https://vt.tiktok.com/ZSxt2Txe6/")</f>
        <v>https://vt.tiktok.com/ZSxt2Txe6/</v>
      </c>
      <c r="L27" s="43"/>
      <c r="M27" s="262"/>
      <c r="N27" s="261"/>
      <c r="O27" s="17"/>
      <c r="P27" s="261"/>
      <c r="Q27" s="262"/>
      <c r="R27" s="262"/>
      <c r="S27" s="17"/>
      <c r="T27" s="572"/>
      <c r="U27" s="570"/>
      <c r="V27" s="335"/>
      <c r="W27" s="571"/>
    </row>
    <row r="28">
      <c r="A28" s="255" t="str">
        <f>IFERROR(__xludf.DUMMYFUNCTION("""COMPUTED_VALUE"""),"MACRO")</f>
        <v>MACRO</v>
      </c>
      <c r="B28" s="23" t="str">
        <f>IFERROR(__xludf.DUMMYFUNCTION("""COMPUTED_VALUE"""),"bbydreamer93")</f>
        <v>bbydreamer93</v>
      </c>
      <c r="C28" s="281" t="str">
        <f>IFERROR(__xludf.DUMMYFUNCTION("""COMPUTED_VALUE"""),"https://www.tiktok.com/@bbydreamer93")</f>
        <v>https://www.tiktok.com/@bbydreamer93</v>
      </c>
      <c r="D28" s="25">
        <f>IFERROR(__xludf.DUMMYFUNCTION("""COMPUTED_VALUE"""),8.2129140535E10)</f>
        <v>82129140535</v>
      </c>
      <c r="E28" s="258">
        <f>IFERROR(__xludf.DUMMYFUNCTION("""COMPUTED_VALUE"""),0.0)</f>
        <v>0</v>
      </c>
      <c r="F28" s="25">
        <f>IFERROR(__xludf.DUMMYFUNCTION("""COMPUTED_VALUE"""),2.0)</f>
        <v>2</v>
      </c>
      <c r="G28" s="25" t="str">
        <f>IFERROR(__xludf.DUMMYFUNCTION("""COMPUTED_VALUE"""),"1.18b")</f>
        <v>1.18b</v>
      </c>
      <c r="H28" s="293"/>
      <c r="I28" s="567" t="str">
        <f>IFERROR(__xludf.DUMMYFUNCTION("""COMPUTED_VALUE"""),"Kendala [FU!]")</f>
        <v>Kendala [FU!]</v>
      </c>
      <c r="J28" s="43"/>
      <c r="K28" s="262"/>
      <c r="L28" s="43"/>
      <c r="M28" s="262"/>
      <c r="N28" s="261"/>
      <c r="O28" s="17"/>
      <c r="P28" s="261"/>
      <c r="Q28" s="262"/>
      <c r="R28" s="262"/>
      <c r="S28" s="17"/>
      <c r="T28" s="572"/>
      <c r="U28" s="570"/>
      <c r="V28" s="335"/>
      <c r="W28" s="571"/>
    </row>
    <row r="29">
      <c r="A29" s="255" t="str">
        <f>IFERROR(__xludf.DUMMYFUNCTION("""COMPUTED_VALUE"""),"MICRO")</f>
        <v>MICRO</v>
      </c>
      <c r="B29" s="23" t="str">
        <f>IFERROR(__xludf.DUMMYFUNCTION("""COMPUTED_VALUE"""),"tesazakia")</f>
        <v>tesazakia</v>
      </c>
      <c r="C29" s="281" t="str">
        <f>IFERROR(__xludf.DUMMYFUNCTION("""COMPUTED_VALUE"""),"https://www.tiktok.com/@tesazakia")</f>
        <v>https://www.tiktok.com/@tesazakia</v>
      </c>
      <c r="D29" s="25">
        <f>IFERROR(__xludf.DUMMYFUNCTION("""COMPUTED_VALUE"""),8.523051969E10)</f>
        <v>85230519690</v>
      </c>
      <c r="E29" s="258">
        <f>IFERROR(__xludf.DUMMYFUNCTION("""COMPUTED_VALUE"""),300000.0)</f>
        <v>300000</v>
      </c>
      <c r="F29" s="25">
        <f>IFERROR(__xludf.DUMMYFUNCTION("""COMPUTED_VALUE"""),2.0)</f>
        <v>2</v>
      </c>
      <c r="G29" s="25" t="str">
        <f>IFERROR(__xludf.DUMMYFUNCTION("""COMPUTED_VALUE"""),"170.86k")</f>
        <v>170.86k</v>
      </c>
      <c r="H29" s="293" t="str">
        <f>IFERROR(__xludf.DUMMYFUNCTION("""COMPUTED_VALUE"""),"O.N.S")</f>
        <v>O.N.S</v>
      </c>
      <c r="I29" s="567" t="str">
        <f>IFERROR(__xludf.DUMMYFUNCTION("""COMPUTED_VALUE"""),"Sampai")</f>
        <v>Sampai</v>
      </c>
      <c r="J29" s="43" t="str">
        <f>IFERROR(__xludf.DUMMYFUNCTION("""COMPUTED_VALUE"""),"Concept 2")</f>
        <v>Concept 2</v>
      </c>
      <c r="K29" s="278" t="str">
        <f>IFERROR(__xludf.DUMMYFUNCTION("""COMPUTED_VALUE"""),"https://vt.tiktok.com/ZSxAFduRm/")</f>
        <v>https://vt.tiktok.com/ZSxAFduRm/</v>
      </c>
      <c r="L29" s="43" t="str">
        <f>IFERROR(__xludf.DUMMYFUNCTION("""COMPUTED_VALUE""")," Concept 1")</f>
        <v> Concept 1</v>
      </c>
      <c r="M29" s="278" t="str">
        <f>IFERROR(__xludf.DUMMYFUNCTION("""COMPUTED_VALUE"""),"https://vt.tiktok.com/ZSQeHc4NF/ ")</f>
        <v>https://vt.tiktok.com/ZSQeHc4NF/ </v>
      </c>
      <c r="N29" s="261"/>
      <c r="O29" s="17"/>
      <c r="P29" s="261"/>
      <c r="Q29" s="262"/>
      <c r="R29" s="262"/>
      <c r="S29" s="17"/>
      <c r="T29" s="572"/>
      <c r="U29" s="570"/>
      <c r="V29" s="335"/>
      <c r="W29" s="571"/>
    </row>
    <row r="30">
      <c r="A30" s="255" t="str">
        <f>IFERROR(__xludf.DUMMYFUNCTION("""COMPUTED_VALUE"""),"MICRO")</f>
        <v>MICRO</v>
      </c>
      <c r="B30" s="256" t="str">
        <f>IFERROR(__xludf.DUMMYFUNCTION("""COMPUTED_VALUE"""),"ngasihtaukamu")</f>
        <v>ngasihtaukamu</v>
      </c>
      <c r="C30" s="281" t="str">
        <f>IFERROR(__xludf.DUMMYFUNCTION("""COMPUTED_VALUE"""),"https://www.tiktok.com/@ngasihtaukamu")</f>
        <v>https://www.tiktok.com/@ngasihtaukamu</v>
      </c>
      <c r="D30" s="25">
        <f>IFERROR(__xludf.DUMMYFUNCTION("""COMPUTED_VALUE"""),8.95706081277E11)</f>
        <v>895706081277</v>
      </c>
      <c r="E30" s="258">
        <f>IFERROR(__xludf.DUMMYFUNCTION("""COMPUTED_VALUE"""),0.0)</f>
        <v>0</v>
      </c>
      <c r="F30" s="25">
        <f>IFERROR(__xludf.DUMMYFUNCTION("""COMPUTED_VALUE"""),2.0)</f>
        <v>2</v>
      </c>
      <c r="G30" s="25" t="str">
        <f>IFERROR(__xludf.DUMMYFUNCTION("""COMPUTED_VALUE"""),"75.07m")</f>
        <v>75.07m</v>
      </c>
      <c r="H30" s="293"/>
      <c r="I30" s="567" t="str">
        <f>IFERROR(__xludf.DUMMYFUNCTION("""COMPUTED_VALUE"""),"Kendala [FU!]")</f>
        <v>Kendala [FU!]</v>
      </c>
      <c r="J30" s="43"/>
      <c r="K30" s="262"/>
      <c r="L30" s="43"/>
      <c r="M30" s="262"/>
      <c r="N30" s="261"/>
      <c r="O30" s="17"/>
      <c r="P30" s="261"/>
      <c r="Q30" s="262"/>
      <c r="R30" s="262"/>
      <c r="S30" s="17"/>
      <c r="T30" s="572"/>
      <c r="U30" s="570"/>
      <c r="V30" s="335"/>
      <c r="W30" s="571"/>
    </row>
    <row r="31">
      <c r="A31" s="255" t="str">
        <f>IFERROR(__xludf.DUMMYFUNCTION("""COMPUTED_VALUE"""),"MICRO")</f>
        <v>MICRO</v>
      </c>
      <c r="B31" s="23" t="str">
        <f>IFERROR(__xludf.DUMMYFUNCTION("""COMPUTED_VALUE"""),"mayang_skincare")</f>
        <v>mayang_skincare</v>
      </c>
      <c r="C31" s="281" t="str">
        <f>IFERROR(__xludf.DUMMYFUNCTION("""COMPUTED_VALUE"""),"https://www.tiktok.com/@mayang_skincare")</f>
        <v>https://www.tiktok.com/@mayang_skincare</v>
      </c>
      <c r="D31" s="25">
        <f>IFERROR(__xludf.DUMMYFUNCTION("""COMPUTED_VALUE"""),8.95635947123E11)</f>
        <v>895635947123</v>
      </c>
      <c r="E31" s="269">
        <f>IFERROR(__xludf.DUMMYFUNCTION("""COMPUTED_VALUE"""),0.0)</f>
        <v>0</v>
      </c>
      <c r="F31" s="25">
        <f>IFERROR(__xludf.DUMMYFUNCTION("""COMPUTED_VALUE"""),2.0)</f>
        <v>2</v>
      </c>
      <c r="G31" s="25" t="str">
        <f>IFERROR(__xludf.DUMMYFUNCTION("""COMPUTED_VALUE"""),"261.64m")</f>
        <v>261.64m</v>
      </c>
      <c r="H31" s="293" t="str">
        <f>IFERROR(__xludf.DUMMYFUNCTION("""COMPUTED_VALUE"""),"O.N.S &amp; TK")</f>
        <v>O.N.S &amp; TK</v>
      </c>
      <c r="I31" s="567" t="str">
        <f>IFERROR(__xludf.DUMMYFUNCTION("""COMPUTED_VALUE"""),"Sampai")</f>
        <v>Sampai</v>
      </c>
      <c r="J31" s="43" t="str">
        <f>IFERROR(__xludf.DUMMYFUNCTION("""COMPUTED_VALUE""")," Concept 1")</f>
        <v> Concept 1</v>
      </c>
      <c r="K31" s="278" t="str">
        <f>IFERROR(__xludf.DUMMYFUNCTION("""COMPUTED_VALUE"""),"https://vt.tiktok.com/ZSxV7F9ve/")</f>
        <v>https://vt.tiktok.com/ZSxV7F9ve/</v>
      </c>
      <c r="L31" s="43" t="str">
        <f>IFERROR(__xludf.DUMMYFUNCTION("""COMPUTED_VALUE"""),"Concept 2")</f>
        <v>Concept 2</v>
      </c>
      <c r="M31" s="278" t="str">
        <f>IFERROR(__xludf.DUMMYFUNCTION("""COMPUTED_VALUE"""),"https://vt.tiktok.com/ZSxV7NHVr/")</f>
        <v>https://vt.tiktok.com/ZSxV7NHVr/</v>
      </c>
      <c r="N31" s="261" t="str">
        <f>IFERROR(__xludf.DUMMYFUNCTION("""COMPUTED_VALUE"""),"Concept 3")</f>
        <v>Concept 3</v>
      </c>
      <c r="O31" s="279" t="str">
        <f>IFERROR(__xludf.DUMMYFUNCTION("""COMPUTED_VALUE"""),"https://vt.tiktok.com/ZSxV7A14k/")</f>
        <v>https://vt.tiktok.com/ZSxV7A14k/</v>
      </c>
      <c r="P31" s="261" t="str">
        <f>IFERROR(__xludf.DUMMYFUNCTION("""COMPUTED_VALUE"""),"Concept 3")</f>
        <v>Concept 3</v>
      </c>
      <c r="Q31" s="278" t="str">
        <f>IFERROR(__xludf.DUMMYFUNCTION("""COMPUTED_VALUE"""),"https://vt.tiktok.com/ZSxVv6mSY/")</f>
        <v>https://vt.tiktok.com/ZSxVv6mSY/</v>
      </c>
      <c r="R31" s="262"/>
      <c r="S31" s="17"/>
      <c r="T31" s="569">
        <f>IFERROR(__xludf.DUMMYFUNCTION("""COMPUTED_VALUE"""),501806.0)</f>
        <v>501806</v>
      </c>
      <c r="U31" s="570"/>
      <c r="V31" s="335"/>
      <c r="W31" s="571"/>
    </row>
    <row r="32">
      <c r="A32" s="255" t="str">
        <f>IFERROR(__xludf.DUMMYFUNCTION("""COMPUTED_VALUE"""),"MICRO")</f>
        <v>MICRO</v>
      </c>
      <c r="B32" s="23" t="str">
        <f>IFERROR(__xludf.DUMMYFUNCTION("""COMPUTED_VALUE"""),"veyoyo")</f>
        <v>veyoyo</v>
      </c>
      <c r="C32" s="281" t="str">
        <f>IFERROR(__xludf.DUMMYFUNCTION("""COMPUTED_VALUE"""),"https://www.tiktok.com/@veyoyo")</f>
        <v>https://www.tiktok.com/@veyoyo</v>
      </c>
      <c r="D32" s="25">
        <f>IFERROR(__xludf.DUMMYFUNCTION("""COMPUTED_VALUE"""),8.95611839027E11)</f>
        <v>895611839027</v>
      </c>
      <c r="E32" s="258">
        <f>IFERROR(__xludf.DUMMYFUNCTION("""COMPUTED_VALUE"""),0.0)</f>
        <v>0</v>
      </c>
      <c r="F32" s="25">
        <f>IFERROR(__xludf.DUMMYFUNCTION("""COMPUTED_VALUE"""),2.0)</f>
        <v>2</v>
      </c>
      <c r="G32" s="25" t="str">
        <f>IFERROR(__xludf.DUMMYFUNCTION("""COMPUTED_VALUE"""),"41.87m")</f>
        <v>41.87m</v>
      </c>
      <c r="H32" s="293"/>
      <c r="I32" s="567" t="str">
        <f>IFERROR(__xludf.DUMMYFUNCTION("""COMPUTED_VALUE"""),"Kendala [FU!]")</f>
        <v>Kendala [FU!]</v>
      </c>
      <c r="J32" s="43"/>
      <c r="K32" s="267"/>
      <c r="L32" s="43"/>
      <c r="M32" s="267"/>
      <c r="N32" s="261"/>
      <c r="O32" s="17"/>
      <c r="P32" s="261"/>
      <c r="Q32" s="262"/>
      <c r="R32" s="262"/>
      <c r="S32" s="17"/>
      <c r="T32" s="572"/>
      <c r="U32" s="570"/>
      <c r="V32" s="335"/>
      <c r="W32" s="571"/>
    </row>
    <row r="33">
      <c r="A33" s="255" t="str">
        <f>IFERROR(__xludf.DUMMYFUNCTION("""COMPUTED_VALUE"""),"MICRO")</f>
        <v>MICRO</v>
      </c>
      <c r="B33" s="23" t="str">
        <f>IFERROR(__xludf.DUMMYFUNCTION("""COMPUTED_VALUE"""),"nnden72")</f>
        <v>nnden72</v>
      </c>
      <c r="C33" s="281" t="str">
        <f>IFERROR(__xludf.DUMMYFUNCTION("""COMPUTED_VALUE"""),"https://www.tiktok.com/@nnden72")</f>
        <v>https://www.tiktok.com/@nnden72</v>
      </c>
      <c r="D33" s="25">
        <f>IFERROR(__xludf.DUMMYFUNCTION("""COMPUTED_VALUE"""),8.9535952563E11)</f>
        <v>895359525630</v>
      </c>
      <c r="E33" s="258">
        <f>IFERROR(__xludf.DUMMYFUNCTION("""COMPUTED_VALUE"""),0.0)</f>
        <v>0</v>
      </c>
      <c r="F33" s="25">
        <f>IFERROR(__xludf.DUMMYFUNCTION("""COMPUTED_VALUE"""),2.0)</f>
        <v>2</v>
      </c>
      <c r="G33" s="25" t="str">
        <f>IFERROR(__xludf.DUMMYFUNCTION("""COMPUTED_VALUE"""),"370.79m")</f>
        <v>370.79m</v>
      </c>
      <c r="H33" s="293"/>
      <c r="I33" s="567" t="str">
        <f>IFERROR(__xludf.DUMMYFUNCTION("""COMPUTED_VALUE"""),"Kendala [FU!]")</f>
        <v>Kendala [FU!]</v>
      </c>
      <c r="J33" s="43"/>
      <c r="K33" s="262"/>
      <c r="L33" s="43"/>
      <c r="M33" s="262"/>
      <c r="N33" s="261"/>
      <c r="O33" s="17"/>
      <c r="P33" s="261"/>
      <c r="Q33" s="262"/>
      <c r="R33" s="262"/>
      <c r="S33" s="17"/>
      <c r="T33" s="572"/>
      <c r="U33" s="570"/>
      <c r="V33" s="335"/>
      <c r="W33" s="571"/>
    </row>
    <row r="34">
      <c r="A34" s="255" t="str">
        <f>IFERROR(__xludf.DUMMYFUNCTION("""COMPUTED_VALUE"""),"MICRO")</f>
        <v>MICRO</v>
      </c>
      <c r="B34" s="23" t="str">
        <f>IFERROR(__xludf.DUMMYFUNCTION("""COMPUTED_VALUE"""),"anita_ramantaboutique")</f>
        <v>anita_ramantaboutique</v>
      </c>
      <c r="C34" s="281" t="str">
        <f>IFERROR(__xludf.DUMMYFUNCTION("""COMPUTED_VALUE"""),"https://www.tiktok.com/@anita_ramantaboutique")</f>
        <v>https://www.tiktok.com/@anita_ramantaboutique</v>
      </c>
      <c r="D34" s="270">
        <f>IFERROR(__xludf.DUMMYFUNCTION("""COMPUTED_VALUE"""),8.95338550745E11)</f>
        <v>895338550745</v>
      </c>
      <c r="E34" s="271">
        <f>IFERROR(__xludf.DUMMYFUNCTION("""COMPUTED_VALUE"""),0.0)</f>
        <v>0</v>
      </c>
      <c r="F34" s="270">
        <f>IFERROR(__xludf.DUMMYFUNCTION("""COMPUTED_VALUE"""),2.0)</f>
        <v>2</v>
      </c>
      <c r="G34" s="270" t="str">
        <f>IFERROR(__xludf.DUMMYFUNCTION("""COMPUTED_VALUE"""),"130.75m")</f>
        <v>130.75m</v>
      </c>
      <c r="H34" s="293"/>
      <c r="I34" s="567" t="str">
        <f>IFERROR(__xludf.DUMMYFUNCTION("""COMPUTED_VALUE"""),"Kendala [FU!]")</f>
        <v>Kendala [FU!]</v>
      </c>
      <c r="J34" s="43"/>
      <c r="K34" s="262"/>
      <c r="L34" s="43"/>
      <c r="M34" s="262"/>
      <c r="N34" s="261"/>
      <c r="O34" s="17"/>
      <c r="P34" s="261"/>
      <c r="Q34" s="262"/>
      <c r="R34" s="262"/>
      <c r="S34" s="17"/>
      <c r="T34" s="571"/>
      <c r="U34" s="571"/>
      <c r="V34" s="335"/>
      <c r="W34" s="571"/>
    </row>
    <row r="35">
      <c r="A35" s="255" t="str">
        <f>IFERROR(__xludf.DUMMYFUNCTION("""COMPUTED_VALUE"""),"MICRO")</f>
        <v>MICRO</v>
      </c>
      <c r="B35" s="23" t="str">
        <f>IFERROR(__xludf.DUMMYFUNCTION("""COMPUTED_VALUE"""),"indhsaa___")</f>
        <v>indhsaa___</v>
      </c>
      <c r="C35" s="281" t="str">
        <f>IFERROR(__xludf.DUMMYFUNCTION("""COMPUTED_VALUE"""),"https://www.tiktok.com/@indhsaa___")</f>
        <v>https://www.tiktok.com/@indhsaa___</v>
      </c>
      <c r="D35" s="270">
        <f>IFERROR(__xludf.DUMMYFUNCTION("""COMPUTED_VALUE"""),8.95322173629E11)</f>
        <v>895322173629</v>
      </c>
      <c r="E35" s="271">
        <f>IFERROR(__xludf.DUMMYFUNCTION("""COMPUTED_VALUE"""),0.0)</f>
        <v>0</v>
      </c>
      <c r="F35" s="270">
        <f>IFERROR(__xludf.DUMMYFUNCTION("""COMPUTED_VALUE"""),2.0)</f>
        <v>2</v>
      </c>
      <c r="G35" s="270" t="str">
        <f>IFERROR(__xludf.DUMMYFUNCTION("""COMPUTED_VALUE"""),"42.00m")</f>
        <v>42.00m</v>
      </c>
      <c r="H35" s="293"/>
      <c r="I35" s="567" t="str">
        <f>IFERROR(__xludf.DUMMYFUNCTION("""COMPUTED_VALUE"""),"Kendala [FU!]")</f>
        <v>Kendala [FU!]</v>
      </c>
      <c r="J35" s="43"/>
      <c r="K35" s="262"/>
      <c r="L35" s="43"/>
      <c r="M35" s="262"/>
      <c r="N35" s="261"/>
      <c r="O35" s="17"/>
      <c r="P35" s="261"/>
      <c r="Q35" s="262"/>
      <c r="R35" s="262"/>
      <c r="S35" s="17"/>
      <c r="T35" s="571"/>
      <c r="U35" s="571"/>
      <c r="V35" s="335"/>
      <c r="W35" s="571"/>
    </row>
    <row r="36">
      <c r="A36" s="255" t="str">
        <f>IFERROR(__xludf.DUMMYFUNCTION("""COMPUTED_VALUE"""),"MICRO")</f>
        <v>MICRO</v>
      </c>
      <c r="B36" s="23" t="str">
        <f>IFERROR(__xludf.DUMMYFUNCTION("""COMPUTED_VALUE"""),"ndaahq")</f>
        <v>ndaahq</v>
      </c>
      <c r="C36" s="281" t="str">
        <f>IFERROR(__xludf.DUMMYFUNCTION("""COMPUTED_VALUE"""),"https://www.tiktok.com/@ndaahq")</f>
        <v>https://www.tiktok.com/@ndaahq</v>
      </c>
      <c r="D36" s="270">
        <f>IFERROR(__xludf.DUMMYFUNCTION("""COMPUTED_VALUE"""),8.87435431731E11)</f>
        <v>887435431731</v>
      </c>
      <c r="E36" s="271">
        <f>IFERROR(__xludf.DUMMYFUNCTION("""COMPUTED_VALUE"""),0.0)</f>
        <v>0</v>
      </c>
      <c r="F36" s="270">
        <f>IFERROR(__xludf.DUMMYFUNCTION("""COMPUTED_VALUE"""),2.0)</f>
        <v>2</v>
      </c>
      <c r="G36" s="270" t="str">
        <f>IFERROR(__xludf.DUMMYFUNCTION("""COMPUTED_VALUE"""),"112.00m")</f>
        <v>112.00m</v>
      </c>
      <c r="H36" s="293" t="str">
        <f>IFERROR(__xludf.DUMMYFUNCTION("""COMPUTED_VALUE"""),"O.N.S")</f>
        <v>O.N.S</v>
      </c>
      <c r="I36" s="567" t="str">
        <f>IFERROR(__xludf.DUMMYFUNCTION("""COMPUTED_VALUE"""),"Sampai")</f>
        <v>Sampai</v>
      </c>
      <c r="J36" s="43" t="str">
        <f>IFERROR(__xludf.DUMMYFUNCTION("""COMPUTED_VALUE""")," Concept 1")</f>
        <v> Concept 1</v>
      </c>
      <c r="K36" s="278" t="str">
        <f>IFERROR(__xludf.DUMMYFUNCTION("""COMPUTED_VALUE"""),"https://vt.tiktok.com/ZSxUnGBTC/")</f>
        <v>https://vt.tiktok.com/ZSxUnGBTC/</v>
      </c>
      <c r="L36" s="43" t="str">
        <f>IFERROR(__xludf.DUMMYFUNCTION("""COMPUTED_VALUE"""),"Concept 2")</f>
        <v>Concept 2</v>
      </c>
      <c r="M36" s="278" t="str">
        <f>IFERROR(__xludf.DUMMYFUNCTION("""COMPUTED_VALUE"""),"https://vt.tiktok.com/ZSxVuWwqp/ ")</f>
        <v>https://vt.tiktok.com/ZSxVuWwqp/ </v>
      </c>
      <c r="N36" s="261"/>
      <c r="O36" s="17"/>
      <c r="P36" s="261"/>
      <c r="Q36" s="262"/>
      <c r="R36" s="262"/>
      <c r="S36" s="17"/>
      <c r="T36" s="571"/>
      <c r="U36" s="571"/>
      <c r="V36" s="335">
        <f>IFERROR(__xludf.DUMMYFUNCTION("""COMPUTED_VALUE"""),461225.0)</f>
        <v>461225</v>
      </c>
      <c r="W36" s="571"/>
    </row>
    <row r="37">
      <c r="A37" s="255" t="str">
        <f>IFERROR(__xludf.DUMMYFUNCTION("""COMPUTED_VALUE"""),"NANO")</f>
        <v>NANO</v>
      </c>
      <c r="B37" s="23" t="str">
        <f>IFERROR(__xludf.DUMMYFUNCTION("""COMPUTED_VALUE"""),"Racunversiaku")</f>
        <v>Racunversiaku</v>
      </c>
      <c r="C37" s="281" t="str">
        <f>IFERROR(__xludf.DUMMYFUNCTION("""COMPUTED_VALUE"""),"https://www.tiktok.com/@Racunversiaku")</f>
        <v>https://www.tiktok.com/@Racunversiaku</v>
      </c>
      <c r="D37" s="270">
        <f>IFERROR(__xludf.DUMMYFUNCTION("""COMPUTED_VALUE"""),8.1225533448E10)</f>
        <v>81225533448</v>
      </c>
      <c r="E37" s="271">
        <f>IFERROR(__xludf.DUMMYFUNCTION("""COMPUTED_VALUE"""),0.0)</f>
        <v>0</v>
      </c>
      <c r="F37" s="270">
        <f>IFERROR(__xludf.DUMMYFUNCTION("""COMPUTED_VALUE"""),2.0)</f>
        <v>2</v>
      </c>
      <c r="G37" s="270" t="str">
        <f>IFERROR(__xludf.DUMMYFUNCTION("""COMPUTED_VALUE"""),"50.93JT")</f>
        <v>50.93JT</v>
      </c>
      <c r="H37" s="293"/>
      <c r="I37" s="567" t="str">
        <f>IFERROR(__xludf.DUMMYFUNCTION("""COMPUTED_VALUE"""),"Kendala [FU!]")</f>
        <v>Kendala [FU!]</v>
      </c>
      <c r="J37" s="43"/>
      <c r="K37" s="262"/>
      <c r="L37" s="43"/>
      <c r="M37" s="262"/>
      <c r="N37" s="261"/>
      <c r="O37" s="17"/>
      <c r="P37" s="261"/>
      <c r="Q37" s="262"/>
      <c r="R37" s="262"/>
      <c r="S37" s="17"/>
      <c r="T37" s="571"/>
      <c r="U37" s="571"/>
      <c r="V37" s="335"/>
      <c r="W37" s="571"/>
    </row>
    <row r="38">
      <c r="A38" s="255" t="str">
        <f>IFERROR(__xludf.DUMMYFUNCTION("""COMPUTED_VALUE"""),"MICRO")</f>
        <v>MICRO</v>
      </c>
      <c r="B38" s="23" t="str">
        <f>IFERROR(__xludf.DUMMYFUNCTION("""COMPUTED_VALUE"""),"cococrunch13_")</f>
        <v>cococrunch13_</v>
      </c>
      <c r="C38" s="281" t="str">
        <f>IFERROR(__xludf.DUMMYFUNCTION("""COMPUTED_VALUE"""),"https://www.tiktok.com/@cococrunch13_")</f>
        <v>https://www.tiktok.com/@cococrunch13_</v>
      </c>
      <c r="D38" s="270">
        <f>IFERROR(__xludf.DUMMYFUNCTION("""COMPUTED_VALUE"""),8.3833866783E10)</f>
        <v>83833866783</v>
      </c>
      <c r="E38" s="271">
        <f>IFERROR(__xludf.DUMMYFUNCTION("""COMPUTED_VALUE"""),0.0)</f>
        <v>0</v>
      </c>
      <c r="F38" s="270">
        <f>IFERROR(__xludf.DUMMYFUNCTION("""COMPUTED_VALUE"""),6.0)</f>
        <v>6</v>
      </c>
      <c r="G38" s="270" t="str">
        <f>IFERROR(__xludf.DUMMYFUNCTION("""COMPUTED_VALUE"""),"20.01m")</f>
        <v>20.01m</v>
      </c>
      <c r="H38" s="293" t="str">
        <f>IFERROR(__xludf.DUMMYFUNCTION("""COMPUTED_VALUE"""),"3 PRODUK (O.N.S, TK, YB)")</f>
        <v>3 PRODUK (O.N.S, TK, YB)</v>
      </c>
      <c r="I38" s="567" t="str">
        <f>IFERROR(__xludf.DUMMYFUNCTION("""COMPUTED_VALUE"""),"Sampai")</f>
        <v>Sampai</v>
      </c>
      <c r="J38" s="43" t="str">
        <f>IFERROR(__xludf.DUMMYFUNCTION("""COMPUTED_VALUE""")," Concept 1")</f>
        <v> Concept 1</v>
      </c>
      <c r="K38" s="278" t="str">
        <f>IFERROR(__xludf.DUMMYFUNCTION("""COMPUTED_VALUE"""),"https://vt.tiktok.com/ZS9WYjjJG/")</f>
        <v>https://vt.tiktok.com/ZS9WYjjJG/</v>
      </c>
      <c r="L38" s="43" t="str">
        <f>IFERROR(__xludf.DUMMYFUNCTION("""COMPUTED_VALUE"""),"Concept 2")</f>
        <v>Concept 2</v>
      </c>
      <c r="M38" s="278" t="str">
        <f>IFERROR(__xludf.DUMMYFUNCTION("""COMPUTED_VALUE"""),"https://vt.tiktok.com/ZSxM9nUP3/")</f>
        <v>https://vt.tiktok.com/ZSxM9nUP3/</v>
      </c>
      <c r="N38" s="261"/>
      <c r="O38" s="17"/>
      <c r="P38" s="261"/>
      <c r="Q38" s="262"/>
      <c r="R38" s="262"/>
      <c r="S38" s="17"/>
      <c r="T38" s="571"/>
      <c r="U38" s="571"/>
      <c r="V38" s="335">
        <f>IFERROR(__xludf.DUMMYFUNCTION("""COMPUTED_VALUE"""),284389.0)</f>
        <v>284389</v>
      </c>
      <c r="W38" s="571"/>
    </row>
    <row r="39">
      <c r="A39" s="255" t="str">
        <f>IFERROR(__xludf.DUMMYFUNCTION("""COMPUTED_VALUE"""),"NANO")</f>
        <v>NANO</v>
      </c>
      <c r="B39" s="23" t="str">
        <f>IFERROR(__xludf.DUMMYFUNCTION("""COMPUTED_VALUE"""),"perawatan.diri")</f>
        <v>perawatan.diri</v>
      </c>
      <c r="C39" s="281" t="str">
        <f>IFERROR(__xludf.DUMMYFUNCTION("""COMPUTED_VALUE"""),"https://www.tiktok.com/@perawatan.diri")</f>
        <v>https://www.tiktok.com/@perawatan.diri</v>
      </c>
      <c r="D39" s="270">
        <f>IFERROR(__xludf.DUMMYFUNCTION("""COMPUTED_VALUE"""),8.1541387351E10)</f>
        <v>81541387351</v>
      </c>
      <c r="E39" s="271">
        <f>IFERROR(__xludf.DUMMYFUNCTION("""COMPUTED_VALUE"""),0.0)</f>
        <v>0</v>
      </c>
      <c r="F39" s="270">
        <f>IFERROR(__xludf.DUMMYFUNCTION("""COMPUTED_VALUE"""),10.0)</f>
        <v>10</v>
      </c>
      <c r="G39" s="270" t="str">
        <f>IFERROR(__xludf.DUMMYFUNCTION("""COMPUTED_VALUE"""),"70,9m")</f>
        <v>70,9m</v>
      </c>
      <c r="H39" s="293" t="str">
        <f>IFERROR(__xludf.DUMMYFUNCTION("""COMPUTED_VALUE"""),"O.N.S")</f>
        <v>O.N.S</v>
      </c>
      <c r="I39" s="567" t="str">
        <f>IFERROR(__xludf.DUMMYFUNCTION("""COMPUTED_VALUE"""),"Sampai")</f>
        <v>Sampai</v>
      </c>
      <c r="J39" s="43" t="str">
        <f>IFERROR(__xludf.DUMMYFUNCTION("""COMPUTED_VALUE"""),"Concept 3")</f>
        <v>Concept 3</v>
      </c>
      <c r="K39" s="278" t="str">
        <f>IFERROR(__xludf.DUMMYFUNCTION("""COMPUTED_VALUE"""),"https://www.tiktok.com/@perawatan.diri/video/7636604513268337940")</f>
        <v>https://www.tiktok.com/@perawatan.diri/video/7636604513268337940</v>
      </c>
      <c r="L39" s="43" t="str">
        <f>IFERROR(__xludf.DUMMYFUNCTION("""COMPUTED_VALUE""")," Concept 1")</f>
        <v> Concept 1</v>
      </c>
      <c r="M39" s="278" t="str">
        <f>IFERROR(__xludf.DUMMYFUNCTION("""COMPUTED_VALUE"""),"https://vt.tiktok.com/ZSxStocTR/")</f>
        <v>https://vt.tiktok.com/ZSxStocTR/</v>
      </c>
      <c r="N39" s="261" t="str">
        <f>IFERROR(__xludf.DUMMYFUNCTION("""COMPUTED_VALUE""")," Concept 1")</f>
        <v> Concept 1</v>
      </c>
      <c r="O39" s="279" t="str">
        <f>IFERROR(__xludf.DUMMYFUNCTION("""COMPUTED_VALUE"""),"https://vt.tiktok.com/ZSxqr5K6V/ ")</f>
        <v>https://vt.tiktok.com/ZSxqr5K6V/ </v>
      </c>
      <c r="P39" s="261" t="str">
        <f>IFERROR(__xludf.DUMMYFUNCTION("""COMPUTED_VALUE"""),"Concept 3")</f>
        <v>Concept 3</v>
      </c>
      <c r="Q39" s="278" t="str">
        <f>IFERROR(__xludf.DUMMYFUNCTION("""COMPUTED_VALUE"""),"https://vt.tiktok.com/ZSxqrfJU2/ ")</f>
        <v>https://vt.tiktok.com/ZSxqrfJU2/ </v>
      </c>
      <c r="R39" s="262"/>
      <c r="S39" s="17"/>
      <c r="T39" s="571"/>
      <c r="U39" s="571"/>
      <c r="V39" s="335"/>
      <c r="W39" s="571"/>
    </row>
    <row r="40">
      <c r="A40" s="255" t="str">
        <f>IFERROR(__xludf.DUMMYFUNCTION("""COMPUTED_VALUE"""),"MICRO")</f>
        <v>MICRO</v>
      </c>
      <c r="B40" s="23" t="str">
        <f>IFERROR(__xludf.DUMMYFUNCTION("""COMPUTED_VALUE"""),"friskajulia")</f>
        <v>friskajulia</v>
      </c>
      <c r="C40" s="281" t="str">
        <f>IFERROR(__xludf.DUMMYFUNCTION("""COMPUTED_VALUE"""),"https://www.tiktok.com/@friskajulia")</f>
        <v>https://www.tiktok.com/@friskajulia</v>
      </c>
      <c r="D40" s="270">
        <f>IFERROR(__xludf.DUMMYFUNCTION("""COMPUTED_VALUE"""),8.95414684312E11)</f>
        <v>895414684312</v>
      </c>
      <c r="E40" s="271">
        <f>IFERROR(__xludf.DUMMYFUNCTION("""COMPUTED_VALUE"""),0.0)</f>
        <v>0</v>
      </c>
      <c r="F40" s="270">
        <f>IFERROR(__xludf.DUMMYFUNCTION("""COMPUTED_VALUE"""),2.0)</f>
        <v>2</v>
      </c>
      <c r="G40" s="270" t="str">
        <f>IFERROR(__xludf.DUMMYFUNCTION("""COMPUTED_VALUE"""),"Rp788m")</f>
        <v>Rp788m</v>
      </c>
      <c r="H40" s="293" t="str">
        <f>IFERROR(__xludf.DUMMYFUNCTION("""COMPUTED_VALUE"""),"THOUSAND KISSES")</f>
        <v>THOUSAND KISSES</v>
      </c>
      <c r="I40" s="567" t="str">
        <f>IFERROR(__xludf.DUMMYFUNCTION("""COMPUTED_VALUE"""),"Sampai")</f>
        <v>Sampai</v>
      </c>
      <c r="J40" s="43" t="str">
        <f>IFERROR(__xludf.DUMMYFUNCTION("""COMPUTED_VALUE""")," Concept 1")</f>
        <v> Concept 1</v>
      </c>
      <c r="K40" s="278" t="str">
        <f>IFERROR(__xludf.DUMMYFUNCTION("""COMPUTED_VALUE"""),"https://vt.tiktok.com/ZS9vFyEwg/")</f>
        <v>https://vt.tiktok.com/ZS9vFyEwg/</v>
      </c>
      <c r="L40" s="43" t="str">
        <f>IFERROR(__xludf.DUMMYFUNCTION("""COMPUTED_VALUE"""),"Concept 2")</f>
        <v>Concept 2</v>
      </c>
      <c r="M40" s="278" t="str">
        <f>IFERROR(__xludf.DUMMYFUNCTION("""COMPUTED_VALUE"""),"https://vt.tiktok.com/ZSxXPaPtQ/")</f>
        <v>https://vt.tiktok.com/ZSxXPaPtQ/</v>
      </c>
      <c r="N40" s="261"/>
      <c r="O40" s="17"/>
      <c r="P40" s="261"/>
      <c r="Q40" s="262"/>
      <c r="R40" s="262"/>
      <c r="S40" s="17"/>
      <c r="T40" s="571"/>
      <c r="U40" s="571"/>
      <c r="V40" s="335">
        <f>IFERROR(__xludf.DUMMYFUNCTION("""COMPUTED_VALUE"""),615558.0)</f>
        <v>615558</v>
      </c>
      <c r="W40" s="571"/>
    </row>
    <row r="41">
      <c r="A41" s="255" t="str">
        <f>IFERROR(__xludf.DUMMYFUNCTION("""COMPUTED_VALUE"""),"NANO")</f>
        <v>NANO</v>
      </c>
      <c r="B41" s="257" t="str">
        <f>IFERROR(__xludf.DUMMYFUNCTION("""COMPUTED_VALUE"""),"ameccaa.id")</f>
        <v>ameccaa.id</v>
      </c>
      <c r="C41" s="281" t="str">
        <f>IFERROR(__xludf.DUMMYFUNCTION("""COMPUTED_VALUE"""),"https://www.tiktok.com/@ameccaa.id")</f>
        <v>https://www.tiktok.com/@ameccaa.id</v>
      </c>
      <c r="D41" s="270">
        <f>IFERROR(__xludf.DUMMYFUNCTION("""COMPUTED_VALUE"""),8.5796530526E10)</f>
        <v>85796530526</v>
      </c>
      <c r="E41" s="271">
        <f>IFERROR(__xludf.DUMMYFUNCTION("""COMPUTED_VALUE"""),0.0)</f>
        <v>0</v>
      </c>
      <c r="F41" s="270">
        <f>IFERROR(__xludf.DUMMYFUNCTION("""COMPUTED_VALUE"""),2.0)</f>
        <v>2</v>
      </c>
      <c r="G41" s="270" t="str">
        <f>IFERROR(__xludf.DUMMYFUNCTION("""COMPUTED_VALUE"""),"Rp381m")</f>
        <v>Rp381m</v>
      </c>
      <c r="H41" s="293" t="str">
        <f>IFERROR(__xludf.DUMMYFUNCTION("""COMPUTED_VALUE"""),"TK &amp; YB")</f>
        <v>TK &amp; YB</v>
      </c>
      <c r="I41" s="567"/>
      <c r="J41" s="43"/>
      <c r="K41" s="262"/>
      <c r="L41" s="43"/>
      <c r="M41" s="262"/>
      <c r="N41" s="261"/>
      <c r="O41" s="17"/>
      <c r="P41" s="261"/>
      <c r="Q41" s="262"/>
      <c r="R41" s="262"/>
      <c r="S41" s="17"/>
      <c r="T41" s="571"/>
      <c r="U41" s="571"/>
      <c r="V41" s="335"/>
      <c r="W41" s="571"/>
    </row>
    <row r="42">
      <c r="A42" s="255" t="str">
        <f>IFERROR(__xludf.DUMMYFUNCTION("""COMPUTED_VALUE"""),"MICRO")</f>
        <v>MICRO</v>
      </c>
      <c r="B42" s="23" t="str">
        <f>IFERROR(__xludf.DUMMYFUNCTION("""COMPUTED_VALUE"""),"junewita")</f>
        <v>junewita</v>
      </c>
      <c r="C42" s="281" t="str">
        <f>IFERROR(__xludf.DUMMYFUNCTION("""COMPUTED_VALUE"""),"https://www.tiktok.com/@junewita")</f>
        <v>https://www.tiktok.com/@junewita</v>
      </c>
      <c r="D42" s="270">
        <f>IFERROR(__xludf.DUMMYFUNCTION("""COMPUTED_VALUE"""),8.7818389495E10)</f>
        <v>87818389495</v>
      </c>
      <c r="E42" s="271">
        <f>IFERROR(__xludf.DUMMYFUNCTION("""COMPUTED_VALUE"""),0.0)</f>
        <v>0</v>
      </c>
      <c r="F42" s="270">
        <f>IFERROR(__xludf.DUMMYFUNCTION("""COMPUTED_VALUE"""),2.0)</f>
        <v>2</v>
      </c>
      <c r="G42" s="270" t="str">
        <f>IFERROR(__xludf.DUMMYFUNCTION("""COMPUTED_VALUE"""),"Rp495m")</f>
        <v>Rp495m</v>
      </c>
      <c r="H42" s="293" t="str">
        <f>IFERROR(__xludf.DUMMYFUNCTION("""COMPUTED_VALUE"""),"O.N.S &amp; TK")</f>
        <v>O.N.S &amp; TK</v>
      </c>
      <c r="I42" s="567"/>
      <c r="J42" s="43"/>
      <c r="K42" s="262"/>
      <c r="L42" s="43"/>
      <c r="M42" s="262"/>
      <c r="N42" s="261"/>
      <c r="O42" s="17"/>
      <c r="P42" s="261"/>
      <c r="Q42" s="262"/>
      <c r="R42" s="262"/>
      <c r="S42" s="17"/>
      <c r="T42" s="571"/>
      <c r="U42" s="571"/>
      <c r="V42" s="335"/>
      <c r="W42" s="571"/>
    </row>
    <row r="43">
      <c r="A43" s="255" t="str">
        <f>IFERROR(__xludf.DUMMYFUNCTION("""COMPUTED_VALUE"""),"NANO")</f>
        <v>NANO</v>
      </c>
      <c r="B43" s="23" t="str">
        <f>IFERROR(__xludf.DUMMYFUNCTION("""COMPUTED_VALUE"""),"nonazawaa2")</f>
        <v>nonazawaa2</v>
      </c>
      <c r="C43" s="281" t="str">
        <f>IFERROR(__xludf.DUMMYFUNCTION("""COMPUTED_VALUE"""),"https://www.tiktok.com/@nonazawaa2")</f>
        <v>https://www.tiktok.com/@nonazawaa2</v>
      </c>
      <c r="D43" s="270"/>
      <c r="E43" s="271">
        <f>IFERROR(__xludf.DUMMYFUNCTION("""COMPUTED_VALUE"""),400000.0)</f>
        <v>400000</v>
      </c>
      <c r="F43" s="270">
        <f>IFERROR(__xludf.DUMMYFUNCTION("""COMPUTED_VALUE"""),2.0)</f>
        <v>2</v>
      </c>
      <c r="G43" s="270" t="str">
        <f>IFERROR(__xludf.DUMMYFUNCTION("""COMPUTED_VALUE"""),"289.20JT")</f>
        <v>289.20JT</v>
      </c>
      <c r="H43" s="293"/>
      <c r="I43" s="567"/>
      <c r="J43" s="43"/>
      <c r="K43" s="262"/>
      <c r="L43" s="43"/>
      <c r="M43" s="262"/>
      <c r="N43" s="261"/>
      <c r="O43" s="17"/>
      <c r="P43" s="261"/>
      <c r="Q43" s="262"/>
      <c r="R43" s="262"/>
      <c r="S43" s="17"/>
      <c r="T43" s="571"/>
      <c r="U43" s="571"/>
      <c r="V43" s="335"/>
      <c r="W43" s="571"/>
    </row>
    <row r="44">
      <c r="A44" s="255" t="str">
        <f>IFERROR(__xludf.DUMMYFUNCTION("""COMPUTED_VALUE"""),"NANO")</f>
        <v>NANO</v>
      </c>
      <c r="B44" s="23" t="str">
        <f>IFERROR(__xludf.DUMMYFUNCTION("""COMPUTED_VALUE"""),"libranwww")</f>
        <v>libranwww</v>
      </c>
      <c r="C44" s="281" t="str">
        <f>IFERROR(__xludf.DUMMYFUNCTION("""COMPUTED_VALUE"""),"https://www.tiktok.com/@libranwww")</f>
        <v>https://www.tiktok.com/@libranwww</v>
      </c>
      <c r="D44" s="270">
        <f>IFERROR(__xludf.DUMMYFUNCTION("""COMPUTED_VALUE"""),8.5866837858E10)</f>
        <v>85866837858</v>
      </c>
      <c r="E44" s="271">
        <f>IFERROR(__xludf.DUMMYFUNCTION("""COMPUTED_VALUE"""),0.0)</f>
        <v>0</v>
      </c>
      <c r="F44" s="270">
        <f>IFERROR(__xludf.DUMMYFUNCTION("""COMPUTED_VALUE"""),4.0)</f>
        <v>4</v>
      </c>
      <c r="G44" s="270" t="str">
        <f>IFERROR(__xludf.DUMMYFUNCTION("""COMPUTED_VALUE"""),"368.70m")</f>
        <v>368.70m</v>
      </c>
      <c r="H44" s="293" t="str">
        <f>IFERROR(__xludf.DUMMYFUNCTION("""COMPUTED_VALUE"""),"O.N.S")</f>
        <v>O.N.S</v>
      </c>
      <c r="I44" s="567" t="str">
        <f>IFERROR(__xludf.DUMMYFUNCTION("""COMPUTED_VALUE"""),"Sampai")</f>
        <v>Sampai</v>
      </c>
      <c r="J44" s="43"/>
      <c r="K44" s="262"/>
      <c r="L44" s="43"/>
      <c r="M44" s="262"/>
      <c r="N44" s="261"/>
      <c r="O44" s="17"/>
      <c r="P44" s="261"/>
      <c r="Q44" s="262"/>
      <c r="R44" s="262"/>
      <c r="S44" s="17"/>
      <c r="T44" s="571"/>
      <c r="U44" s="571"/>
      <c r="V44" s="335"/>
      <c r="W44" s="571"/>
    </row>
    <row r="45">
      <c r="A45" s="255" t="str">
        <f>IFERROR(__xludf.DUMMYFUNCTION("""COMPUTED_VALUE"""),"MACRO")</f>
        <v>MACRO</v>
      </c>
      <c r="B45" s="23" t="str">
        <f>IFERROR(__xludf.DUMMYFUNCTION("""COMPUTED_VALUE"""),"hanisasarah18")</f>
        <v>hanisasarah18</v>
      </c>
      <c r="C45" s="281" t="str">
        <f>IFERROR(__xludf.DUMMYFUNCTION("""COMPUTED_VALUE"""),"https://www.tiktok.com/@hanisasarah18")</f>
        <v>https://www.tiktok.com/@hanisasarah18</v>
      </c>
      <c r="D45" s="270">
        <f>IFERROR(__xludf.DUMMYFUNCTION("""COMPUTED_VALUE"""),8.5270146037E10)</f>
        <v>85270146037</v>
      </c>
      <c r="E45" s="271">
        <f>IFERROR(__xludf.DUMMYFUNCTION("""COMPUTED_VALUE"""),300000.0)</f>
        <v>300000</v>
      </c>
      <c r="F45" s="270">
        <f>IFERROR(__xludf.DUMMYFUNCTION("""COMPUTED_VALUE"""),2.0)</f>
        <v>2</v>
      </c>
      <c r="G45" s="270" t="str">
        <f>IFERROR(__xludf.DUMMYFUNCTION("""COMPUTED_VALUE"""),"131.25m")</f>
        <v>131.25m</v>
      </c>
      <c r="H45" s="293"/>
      <c r="I45" s="567"/>
      <c r="J45" s="43"/>
      <c r="K45" s="262"/>
      <c r="L45" s="43"/>
      <c r="M45" s="262"/>
      <c r="N45" s="261"/>
      <c r="O45" s="17"/>
      <c r="P45" s="261"/>
      <c r="Q45" s="262"/>
      <c r="R45" s="262"/>
      <c r="S45" s="17"/>
      <c r="T45" s="571"/>
      <c r="U45" s="571"/>
      <c r="V45" s="335"/>
      <c r="W45" s="571"/>
    </row>
    <row r="46">
      <c r="A46" s="255" t="str">
        <f>IFERROR(__xludf.DUMMYFUNCTION("""COMPUTED_VALUE"""),"MICRO")</f>
        <v>MICRO</v>
      </c>
      <c r="B46" s="23" t="str">
        <f>IFERROR(__xludf.DUMMYFUNCTION("""COMPUTED_VALUE"""),"gadisaries97")</f>
        <v>gadisaries97</v>
      </c>
      <c r="C46" s="281" t="str">
        <f>IFERROR(__xludf.DUMMYFUNCTION("""COMPUTED_VALUE"""),"https://www.tiktok.com/@gadisaries97")</f>
        <v>https://www.tiktok.com/@gadisaries97</v>
      </c>
      <c r="D46" s="270">
        <f>IFERROR(__xludf.DUMMYFUNCTION("""COMPUTED_VALUE"""),8.3148641923E10)</f>
        <v>83148641923</v>
      </c>
      <c r="E46" s="271">
        <f>IFERROR(__xludf.DUMMYFUNCTION("""COMPUTED_VALUE"""),350000.0)</f>
        <v>350000</v>
      </c>
      <c r="F46" s="270">
        <f>IFERROR(__xludf.DUMMYFUNCTION("""COMPUTED_VALUE"""),2.0)</f>
        <v>2</v>
      </c>
      <c r="G46" s="270" t="str">
        <f>IFERROR(__xludf.DUMMYFUNCTION("""COMPUTED_VALUE"""),"87.73m")</f>
        <v>87.73m</v>
      </c>
      <c r="H46" s="293" t="str">
        <f>IFERROR(__xludf.DUMMYFUNCTION("""COMPUTED_VALUE"""),"O.N.S")</f>
        <v>O.N.S</v>
      </c>
      <c r="I46" s="567" t="str">
        <f>IFERROR(__xludf.DUMMYFUNCTION("""COMPUTED_VALUE"""),"Sampai")</f>
        <v>Sampai</v>
      </c>
      <c r="J46" s="43" t="str">
        <f>IFERROR(__xludf.DUMMYFUNCTION("""COMPUTED_VALUE""")," Concept 1")</f>
        <v> Concept 1</v>
      </c>
      <c r="K46" s="278" t="str">
        <f>IFERROR(__xludf.DUMMYFUNCTION("""COMPUTED_VALUE"""),"https://vt.tiktok.com/ZS9p8ksGC/")</f>
        <v>https://vt.tiktok.com/ZS9p8ksGC/</v>
      </c>
      <c r="L46" s="43" t="str">
        <f>IFERROR(__xludf.DUMMYFUNCTION("""COMPUTED_VALUE"""),"Concept 2")</f>
        <v>Concept 2</v>
      </c>
      <c r="M46" s="278" t="str">
        <f>IFERROR(__xludf.DUMMYFUNCTION("""COMPUTED_VALUE"""),"https://vt.tiktok.com/ZSxmhAvVo/")</f>
        <v>https://vt.tiktok.com/ZSxmhAvVo/</v>
      </c>
      <c r="N46" s="261"/>
      <c r="O46" s="17"/>
      <c r="P46" s="261"/>
      <c r="Q46" s="262"/>
      <c r="R46" s="262"/>
      <c r="S46" s="17"/>
      <c r="T46" s="571"/>
      <c r="U46" s="571"/>
      <c r="V46" s="335">
        <f>IFERROR(__xludf.DUMMYFUNCTION("""COMPUTED_VALUE"""),1239266.0)</f>
        <v>1239266</v>
      </c>
      <c r="W46" s="571"/>
    </row>
    <row r="47">
      <c r="A47" s="255" t="str">
        <f>IFERROR(__xludf.DUMMYFUNCTION("""COMPUTED_VALUE"""),"MICRO")</f>
        <v>MICRO</v>
      </c>
      <c r="B47" s="23" t="str">
        <f>IFERROR(__xludf.DUMMYFUNCTION("""COMPUTED_VALUE"""),"glowupwithfalih")</f>
        <v>glowupwithfalih</v>
      </c>
      <c r="C47" s="281" t="str">
        <f>IFERROR(__xludf.DUMMYFUNCTION("""COMPUTED_VALUE"""),"https://www.tiktok.com/@glowupwithfalih")</f>
        <v>https://www.tiktok.com/@glowupwithfalih</v>
      </c>
      <c r="D47" s="270">
        <f>IFERROR(__xludf.DUMMYFUNCTION("""COMPUTED_VALUE"""),8.979999264E9)</f>
        <v>8979999264</v>
      </c>
      <c r="E47" s="271">
        <f>IFERROR(__xludf.DUMMYFUNCTION("""COMPUTED_VALUE"""),400000.0)</f>
        <v>400000</v>
      </c>
      <c r="F47" s="270">
        <f>IFERROR(__xludf.DUMMYFUNCTION("""COMPUTED_VALUE"""),1.0)</f>
        <v>1</v>
      </c>
      <c r="G47" s="270" t="str">
        <f>IFERROR(__xludf.DUMMYFUNCTION("""COMPUTED_VALUE"""),"47.06m")</f>
        <v>47.06m</v>
      </c>
      <c r="H47" s="293" t="str">
        <f>IFERROR(__xludf.DUMMYFUNCTION("""COMPUTED_VALUE"""),"YOUNG BOSS")</f>
        <v>YOUNG BOSS</v>
      </c>
      <c r="I47" s="567" t="str">
        <f>IFERROR(__xludf.DUMMYFUNCTION("""COMPUTED_VALUE"""),"Sampai")</f>
        <v>Sampai</v>
      </c>
      <c r="J47" s="43" t="str">
        <f>IFERROR(__xludf.DUMMYFUNCTION("""COMPUTED_VALUE""")," Concept 1")</f>
        <v> Concept 1</v>
      </c>
      <c r="K47" s="278" t="str">
        <f>IFERROR(__xludf.DUMMYFUNCTION("""COMPUTED_VALUE"""),"https://vt.tiktok.com/ZSxXa2Lqf/")</f>
        <v>https://vt.tiktok.com/ZSxXa2Lqf/</v>
      </c>
      <c r="L47" s="43"/>
      <c r="M47" s="262"/>
      <c r="N47" s="261"/>
      <c r="O47" s="17"/>
      <c r="P47" s="261"/>
      <c r="Q47" s="262"/>
      <c r="R47" s="262"/>
      <c r="S47" s="17"/>
      <c r="T47" s="571"/>
      <c r="U47" s="571"/>
      <c r="V47" s="335"/>
      <c r="W47" s="571"/>
    </row>
    <row r="48">
      <c r="A48" s="255" t="str">
        <f>IFERROR(__xludf.DUMMYFUNCTION("""COMPUTED_VALUE"""),"MACRO")</f>
        <v>MACRO</v>
      </c>
      <c r="B48" s="23" t="str">
        <f>IFERROR(__xludf.DUMMYFUNCTION("""COMPUTED_VALUE"""),"patrickchristian_")</f>
        <v>patrickchristian_</v>
      </c>
      <c r="C48" s="281" t="str">
        <f>IFERROR(__xludf.DUMMYFUNCTION("""COMPUTED_VALUE"""),"https://www.tiktok.com/@patrickchristian_")</f>
        <v>https://www.tiktok.com/@patrickchristian_</v>
      </c>
      <c r="D48" s="270">
        <f>IFERROR(__xludf.DUMMYFUNCTION("""COMPUTED_VALUE"""),8.1217381118E10)</f>
        <v>81217381118</v>
      </c>
      <c r="E48" s="271">
        <f>IFERROR(__xludf.DUMMYFUNCTION("""COMPUTED_VALUE"""),1000000.0)</f>
        <v>1000000</v>
      </c>
      <c r="F48" s="270">
        <f>IFERROR(__xludf.DUMMYFUNCTION("""COMPUTED_VALUE"""),2.0)</f>
        <v>2</v>
      </c>
      <c r="G48" s="270" t="str">
        <f>IFERROR(__xludf.DUMMYFUNCTION("""COMPUTED_VALUE"""),"73.74m")</f>
        <v>73.74m</v>
      </c>
      <c r="H48" s="293" t="str">
        <f>IFERROR(__xludf.DUMMYFUNCTION("""COMPUTED_VALUE"""),"O.N.S &amp; TK")</f>
        <v>O.N.S &amp; TK</v>
      </c>
      <c r="I48" s="567" t="str">
        <f>IFERROR(__xludf.DUMMYFUNCTION("""COMPUTED_VALUE"""),"Sampai")</f>
        <v>Sampai</v>
      </c>
      <c r="J48" s="43" t="str">
        <f>IFERROR(__xludf.DUMMYFUNCTION("""COMPUTED_VALUE""")," Concept 1")</f>
        <v> Concept 1</v>
      </c>
      <c r="K48" s="278" t="str">
        <f>IFERROR(__xludf.DUMMYFUNCTION("""COMPUTED_VALUE"""),"https://vt.tiktok.com/ZSxyHYKuj/")</f>
        <v>https://vt.tiktok.com/ZSxyHYKuj/</v>
      </c>
      <c r="L48" s="43"/>
      <c r="M48" s="262"/>
      <c r="N48" s="261"/>
      <c r="O48" s="17"/>
      <c r="P48" s="261"/>
      <c r="Q48" s="262"/>
      <c r="R48" s="262"/>
      <c r="S48" s="17"/>
      <c r="T48" s="568">
        <f>IFERROR(__xludf.DUMMYFUNCTION("""COMPUTED_VALUE"""),73000.0)</f>
        <v>73000</v>
      </c>
      <c r="U48" s="571"/>
      <c r="V48" s="335"/>
      <c r="W48" s="571"/>
    </row>
    <row r="49">
      <c r="A49" s="255" t="str">
        <f>IFERROR(__xludf.DUMMYFUNCTION("""COMPUTED_VALUE"""),"MACRO")</f>
        <v>MACRO</v>
      </c>
      <c r="B49" s="23" t="str">
        <f>IFERROR(__xludf.DUMMYFUNCTION("""COMPUTED_VALUE"""),"aryaprdnn_")</f>
        <v>aryaprdnn_</v>
      </c>
      <c r="C49" s="281" t="str">
        <f>IFERROR(__xludf.DUMMYFUNCTION("""COMPUTED_VALUE"""),"https://www.tiktok.com/@aryaprdnn_")</f>
        <v>https://www.tiktok.com/@aryaprdnn_</v>
      </c>
      <c r="D49" s="270">
        <f>IFERROR(__xludf.DUMMYFUNCTION("""COMPUTED_VALUE"""),8.5183046794E10)</f>
        <v>85183046794</v>
      </c>
      <c r="E49" s="271">
        <f>IFERROR(__xludf.DUMMYFUNCTION("""COMPUTED_VALUE"""),600000.0)</f>
        <v>600000</v>
      </c>
      <c r="F49" s="270">
        <f>IFERROR(__xludf.DUMMYFUNCTION("""COMPUTED_VALUE"""),2.0)</f>
        <v>2</v>
      </c>
      <c r="G49" s="270" t="str">
        <f>IFERROR(__xludf.DUMMYFUNCTION("""COMPUTED_VALUE"""),"262.92m")</f>
        <v>262.92m</v>
      </c>
      <c r="H49" s="293" t="str">
        <f>IFERROR(__xludf.DUMMYFUNCTION("""COMPUTED_VALUE"""),"3 PRODUK (O.N.S, TK, YB)")</f>
        <v>3 PRODUK (O.N.S, TK, YB)</v>
      </c>
      <c r="I49" s="567" t="str">
        <f>IFERROR(__xludf.DUMMYFUNCTION("""COMPUTED_VALUE"""),"Sampai")</f>
        <v>Sampai</v>
      </c>
      <c r="J49" s="43"/>
      <c r="K49" s="262"/>
      <c r="L49" s="43"/>
      <c r="M49" s="262"/>
      <c r="N49" s="261"/>
      <c r="O49" s="17"/>
      <c r="P49" s="261"/>
      <c r="Q49" s="262"/>
      <c r="R49" s="262"/>
      <c r="S49" s="17"/>
      <c r="T49" s="571"/>
      <c r="U49" s="571"/>
      <c r="V49" s="335"/>
      <c r="W49" s="571"/>
    </row>
    <row r="50">
      <c r="A50" s="255" t="str">
        <f>IFERROR(__xludf.DUMMYFUNCTION("""COMPUTED_VALUE"""),"MICRO")</f>
        <v>MICRO</v>
      </c>
      <c r="B50" s="23" t="str">
        <f>IFERROR(__xludf.DUMMYFUNCTION("""COMPUTED_VALUE"""),"volgensius_wilson")</f>
        <v>volgensius_wilson</v>
      </c>
      <c r="C50" s="281" t="str">
        <f>IFERROR(__xludf.DUMMYFUNCTION("""COMPUTED_VALUE"""),"https://www.tiktok.com/@volgensius_wilson")</f>
        <v>https://www.tiktok.com/@volgensius_wilson</v>
      </c>
      <c r="D50" s="270">
        <f>IFERROR(__xludf.DUMMYFUNCTION("""COMPUTED_VALUE"""),8.2125371485E10)</f>
        <v>82125371485</v>
      </c>
      <c r="E50" s="271">
        <f>IFERROR(__xludf.DUMMYFUNCTION("""COMPUTED_VALUE"""),0.0)</f>
        <v>0</v>
      </c>
      <c r="F50" s="270">
        <f>IFERROR(__xludf.DUMMYFUNCTION("""COMPUTED_VALUE"""),2.0)</f>
        <v>2</v>
      </c>
      <c r="G50" s="270" t="str">
        <f>IFERROR(__xludf.DUMMYFUNCTION("""COMPUTED_VALUE"""),"24.26m")</f>
        <v>24.26m</v>
      </c>
      <c r="H50" s="293" t="str">
        <f>IFERROR(__xludf.DUMMYFUNCTION("""COMPUTED_VALUE"""),"O.N.S &amp; YB")</f>
        <v>O.N.S &amp; YB</v>
      </c>
      <c r="I50" s="567" t="str">
        <f>IFERROR(__xludf.DUMMYFUNCTION("""COMPUTED_VALUE"""),"Sampai")</f>
        <v>Sampai</v>
      </c>
      <c r="J50" s="43" t="str">
        <f>IFERROR(__xludf.DUMMYFUNCTION("""COMPUTED_VALUE"""),"Concept 2")</f>
        <v>Concept 2</v>
      </c>
      <c r="K50" s="278" t="str">
        <f>IFERROR(__xludf.DUMMYFUNCTION("""COMPUTED_VALUE"""),"https://vt.tiktok.com/ZSxAhukM6/")</f>
        <v>https://vt.tiktok.com/ZSxAhukM6/</v>
      </c>
      <c r="L50" s="43" t="str">
        <f>IFERROR(__xludf.DUMMYFUNCTION("""COMPUTED_VALUE""")," Concept 1")</f>
        <v> Concept 1</v>
      </c>
      <c r="M50" s="278" t="str">
        <f>IFERROR(__xludf.DUMMYFUNCTION("""COMPUTED_VALUE"""),"https://vt.tiktok.com/ZSxQ8EPEf/ ")</f>
        <v>https://vt.tiktok.com/ZSxQ8EPEf/ </v>
      </c>
      <c r="N50" s="261"/>
      <c r="O50" s="17"/>
      <c r="P50" s="261"/>
      <c r="Q50" s="262"/>
      <c r="R50" s="262"/>
      <c r="S50" s="17"/>
      <c r="T50" s="571"/>
      <c r="U50" s="571"/>
      <c r="V50" s="335">
        <f>IFERROR(__xludf.DUMMYFUNCTION("""COMPUTED_VALUE"""),544859.0)</f>
        <v>544859</v>
      </c>
      <c r="W50" s="571"/>
    </row>
    <row r="51">
      <c r="A51" s="255" t="str">
        <f>IFERROR(__xludf.DUMMYFUNCTION("""COMPUTED_VALUE"""),"MICRO")</f>
        <v>MICRO</v>
      </c>
      <c r="B51" s="23" t="str">
        <f>IFERROR(__xludf.DUMMYFUNCTION("""COMPUTED_VALUE"""),"heymim_")</f>
        <v>heymim_</v>
      </c>
      <c r="C51" s="281" t="str">
        <f>IFERROR(__xludf.DUMMYFUNCTION("""COMPUTED_VALUE"""),"https://www.tiktok.com/@heymim_")</f>
        <v>https://www.tiktok.com/@heymim_</v>
      </c>
      <c r="D51" s="270">
        <f>IFERROR(__xludf.DUMMYFUNCTION("""COMPUTED_VALUE"""),8.5759141195E10)</f>
        <v>85759141195</v>
      </c>
      <c r="E51" s="271">
        <f>IFERROR(__xludf.DUMMYFUNCTION("""COMPUTED_VALUE"""),400000.0)</f>
        <v>400000</v>
      </c>
      <c r="F51" s="270">
        <f>IFERROR(__xludf.DUMMYFUNCTION("""COMPUTED_VALUE"""),2.0)</f>
        <v>2</v>
      </c>
      <c r="G51" s="270" t="str">
        <f>IFERROR(__xludf.DUMMYFUNCTION("""COMPUTED_VALUE"""),"25.00m")</f>
        <v>25.00m</v>
      </c>
      <c r="H51" s="293"/>
      <c r="I51" s="567"/>
      <c r="J51" s="43"/>
      <c r="K51" s="262"/>
      <c r="L51" s="43"/>
      <c r="M51" s="262"/>
      <c r="N51" s="261"/>
      <c r="O51" s="17"/>
      <c r="P51" s="261"/>
      <c r="Q51" s="262"/>
      <c r="R51" s="262"/>
      <c r="S51" s="17"/>
      <c r="T51" s="571"/>
      <c r="U51" s="571"/>
      <c r="V51" s="335"/>
      <c r="W51" s="571"/>
    </row>
    <row r="52">
      <c r="A52" s="255" t="str">
        <f>IFERROR(__xludf.DUMMYFUNCTION("""COMPUTED_VALUE"""),"MEGA")</f>
        <v>MEGA</v>
      </c>
      <c r="B52" s="23" t="str">
        <f>IFERROR(__xludf.DUMMYFUNCTION("""COMPUTED_VALUE"""),"io_morhis")</f>
        <v>io_morhis</v>
      </c>
      <c r="C52" s="281" t="str">
        <f>IFERROR(__xludf.DUMMYFUNCTION("""COMPUTED_VALUE"""),"https://www.tiktok.com/@io_morhis")</f>
        <v>https://www.tiktok.com/@io_morhis</v>
      </c>
      <c r="D52" s="270">
        <f>IFERROR(__xludf.DUMMYFUNCTION("""COMPUTED_VALUE"""),8.1275440445E10)</f>
        <v>81275440445</v>
      </c>
      <c r="E52" s="271">
        <f>IFERROR(__xludf.DUMMYFUNCTION("""COMPUTED_VALUE"""),1200000.0)</f>
        <v>1200000</v>
      </c>
      <c r="F52" s="270">
        <f>IFERROR(__xludf.DUMMYFUNCTION("""COMPUTED_VALUE"""),1.0)</f>
        <v>1</v>
      </c>
      <c r="G52" s="270" t="str">
        <f>IFERROR(__xludf.DUMMYFUNCTION("""COMPUTED_VALUE"""),"103.07m")</f>
        <v>103.07m</v>
      </c>
      <c r="H52" s="293"/>
      <c r="I52" s="567"/>
      <c r="J52" s="43"/>
      <c r="K52" s="262"/>
      <c r="L52" s="43"/>
      <c r="M52" s="262"/>
      <c r="N52" s="261"/>
      <c r="O52" s="17"/>
      <c r="P52" s="261"/>
      <c r="Q52" s="262"/>
      <c r="R52" s="262"/>
      <c r="S52" s="17"/>
      <c r="T52" s="571"/>
      <c r="U52" s="571"/>
      <c r="V52" s="335"/>
      <c r="W52" s="571"/>
    </row>
    <row r="53">
      <c r="A53" s="255" t="str">
        <f>IFERROR(__xludf.DUMMYFUNCTION("""COMPUTED_VALUE"""),"MACRO")</f>
        <v>MACRO</v>
      </c>
      <c r="B53" s="23" t="str">
        <f>IFERROR(__xludf.DUMMYFUNCTION("""COMPUTED_VALUE"""),"saefulbahri_15")</f>
        <v>saefulbahri_15</v>
      </c>
      <c r="C53" s="281" t="str">
        <f>IFERROR(__xludf.DUMMYFUNCTION("""COMPUTED_VALUE"""),"https://www.tiktok.com/@saefulbahri_15")</f>
        <v>https://www.tiktok.com/@saefulbahri_15</v>
      </c>
      <c r="D53" s="270">
        <f>IFERROR(__xludf.DUMMYFUNCTION("""COMPUTED_VALUE"""),8.7778899346E10)</f>
        <v>87778899346</v>
      </c>
      <c r="E53" s="271">
        <f>IFERROR(__xludf.DUMMYFUNCTION("""COMPUTED_VALUE"""),750000.0)</f>
        <v>750000</v>
      </c>
      <c r="F53" s="270">
        <f>IFERROR(__xludf.DUMMYFUNCTION("""COMPUTED_VALUE"""),1.0)</f>
        <v>1</v>
      </c>
      <c r="G53" s="270" t="str">
        <f>IFERROR(__xludf.DUMMYFUNCTION("""COMPUTED_VALUE"""),"1.26b")</f>
        <v>1.26b</v>
      </c>
      <c r="H53" s="293" t="str">
        <f>IFERROR(__xludf.DUMMYFUNCTION("""COMPUTED_VALUE"""),"O.N.S")</f>
        <v>O.N.S</v>
      </c>
      <c r="I53" s="567" t="str">
        <f>IFERROR(__xludf.DUMMYFUNCTION("""COMPUTED_VALUE"""),"Sampai")</f>
        <v>Sampai</v>
      </c>
      <c r="J53" s="43" t="str">
        <f>IFERROR(__xludf.DUMMYFUNCTION("""COMPUTED_VALUE""")," Concept 1")</f>
        <v> Concept 1</v>
      </c>
      <c r="K53" s="278" t="str">
        <f>IFERROR(__xludf.DUMMYFUNCTION("""COMPUTED_VALUE"""),"https://vt.tiktok.com/ZSQMxxTux/")</f>
        <v>https://vt.tiktok.com/ZSQMxxTux/</v>
      </c>
      <c r="L53" s="43"/>
      <c r="M53" s="262"/>
      <c r="N53" s="261"/>
      <c r="O53" s="17"/>
      <c r="P53" s="261"/>
      <c r="Q53" s="262"/>
      <c r="R53" s="262"/>
      <c r="S53" s="17"/>
      <c r="T53" s="571"/>
      <c r="U53" s="571"/>
      <c r="V53" s="335"/>
      <c r="W53" s="571"/>
    </row>
    <row r="54">
      <c r="A54" s="255" t="str">
        <f>IFERROR(__xludf.DUMMYFUNCTION("""COMPUTED_VALUE"""),"NANO")</f>
        <v>NANO</v>
      </c>
      <c r="B54" s="23" t="str">
        <f>IFERROR(__xludf.DUMMYFUNCTION("""COMPUTED_VALUE"""),"njst0r3")</f>
        <v>njst0r3</v>
      </c>
      <c r="C54" s="281" t="str">
        <f>IFERROR(__xludf.DUMMYFUNCTION("""COMPUTED_VALUE"""),"https://www.tiktok.com/@njst0r3")</f>
        <v>https://www.tiktok.com/@njst0r3</v>
      </c>
      <c r="D54" s="270">
        <f>IFERROR(__xludf.DUMMYFUNCTION("""COMPUTED_VALUE"""),8.2275710553E10)</f>
        <v>82275710553</v>
      </c>
      <c r="E54" s="271"/>
      <c r="F54" s="270"/>
      <c r="G54" s="270" t="str">
        <f>IFERROR(__xludf.DUMMYFUNCTION("""COMPUTED_VALUE"""),"123.65m")</f>
        <v>123.65m</v>
      </c>
      <c r="H54" s="293"/>
      <c r="I54" s="567"/>
      <c r="J54" s="43"/>
      <c r="K54" s="262"/>
      <c r="L54" s="43"/>
      <c r="M54" s="262"/>
      <c r="N54" s="261"/>
      <c r="O54" s="17"/>
      <c r="P54" s="261"/>
      <c r="Q54" s="262"/>
      <c r="R54" s="262"/>
      <c r="S54" s="17"/>
      <c r="T54" s="571"/>
      <c r="U54" s="571"/>
      <c r="V54" s="335"/>
      <c r="W54" s="571"/>
    </row>
    <row r="55">
      <c r="A55" s="255" t="str">
        <f>IFERROR(__xludf.DUMMYFUNCTION("""COMPUTED_VALUE"""),"NANO")</f>
        <v>NANO</v>
      </c>
      <c r="B55" s="23" t="str">
        <f>IFERROR(__xludf.DUMMYFUNCTION("""COMPUTED_VALUE"""),"rezarama142")</f>
        <v>rezarama142</v>
      </c>
      <c r="C55" s="281" t="str">
        <f>IFERROR(__xludf.DUMMYFUNCTION("""COMPUTED_VALUE"""),"https://www.tiktok.com/@rezarama142")</f>
        <v>https://www.tiktok.com/@rezarama142</v>
      </c>
      <c r="D55" s="270">
        <f>IFERROR(__xludf.DUMMYFUNCTION("""COMPUTED_VALUE"""),8.1392322921E10)</f>
        <v>81392322921</v>
      </c>
      <c r="E55" s="271"/>
      <c r="F55" s="270"/>
      <c r="G55" s="270" t="str">
        <f>IFERROR(__xludf.DUMMYFUNCTION("""COMPUTED_VALUE"""),"92.19m")</f>
        <v>92.19m</v>
      </c>
      <c r="H55" s="293"/>
      <c r="I55" s="567"/>
      <c r="J55" s="43"/>
      <c r="K55" s="262"/>
      <c r="L55" s="43"/>
      <c r="M55" s="262"/>
      <c r="N55" s="261"/>
      <c r="O55" s="17"/>
      <c r="P55" s="261"/>
      <c r="Q55" s="262"/>
      <c r="R55" s="262"/>
      <c r="S55" s="17"/>
      <c r="T55" s="571"/>
      <c r="U55" s="571"/>
      <c r="V55" s="335"/>
      <c r="W55" s="571"/>
    </row>
    <row r="56">
      <c r="A56" s="255" t="str">
        <f>IFERROR(__xludf.DUMMYFUNCTION("""COMPUTED_VALUE"""),"NANO")</f>
        <v>NANO</v>
      </c>
      <c r="B56" s="23" t="str">
        <f>IFERROR(__xludf.DUMMYFUNCTION("""COMPUTED_VALUE"""),"berakal_sempurna")</f>
        <v>berakal_sempurna</v>
      </c>
      <c r="C56" s="281" t="str">
        <f>IFERROR(__xludf.DUMMYFUNCTION("""COMPUTED_VALUE"""),"https://www.tiktok.com/@berakal_sempurna")</f>
        <v>https://www.tiktok.com/@berakal_sempurna</v>
      </c>
      <c r="D56" s="270">
        <f>IFERROR(__xludf.DUMMYFUNCTION("""COMPUTED_VALUE"""),8.2312418054E10)</f>
        <v>82312418054</v>
      </c>
      <c r="E56" s="271"/>
      <c r="F56" s="270"/>
      <c r="G56" s="270" t="str">
        <f>IFERROR(__xludf.DUMMYFUNCTION("""COMPUTED_VALUE"""),"39.77m")</f>
        <v>39.77m</v>
      </c>
      <c r="H56" s="293"/>
      <c r="I56" s="567"/>
      <c r="J56" s="43"/>
      <c r="K56" s="262"/>
      <c r="L56" s="43"/>
      <c r="M56" s="262"/>
      <c r="N56" s="261"/>
      <c r="O56" s="17"/>
      <c r="P56" s="261"/>
      <c r="Q56" s="262"/>
      <c r="R56" s="262"/>
      <c r="S56" s="17"/>
      <c r="T56" s="571"/>
      <c r="U56" s="571"/>
      <c r="V56" s="335"/>
      <c r="W56" s="571"/>
    </row>
    <row r="57">
      <c r="A57" s="255" t="str">
        <f>IFERROR(__xludf.DUMMYFUNCTION("""COMPUTED_VALUE"""),"NANO")</f>
        <v>NANO</v>
      </c>
      <c r="B57" s="23" t="str">
        <f>IFERROR(__xludf.DUMMYFUNCTION("""COMPUTED_VALUE"""),"bangreview07")</f>
        <v>bangreview07</v>
      </c>
      <c r="C57" s="281" t="str">
        <f>IFERROR(__xludf.DUMMYFUNCTION("""COMPUTED_VALUE"""),"https://www.tiktok.com/@bangreview07")</f>
        <v>https://www.tiktok.com/@bangreview07</v>
      </c>
      <c r="D57" s="270">
        <f>IFERROR(__xludf.DUMMYFUNCTION("""COMPUTED_VALUE"""),8.5845241596E10)</f>
        <v>85845241596</v>
      </c>
      <c r="E57" s="271">
        <f>IFERROR(__xludf.DUMMYFUNCTION("""COMPUTED_VALUE"""),0.0)</f>
        <v>0</v>
      </c>
      <c r="F57" s="270">
        <f>IFERROR(__xludf.DUMMYFUNCTION("""COMPUTED_VALUE"""),10.0)</f>
        <v>10</v>
      </c>
      <c r="G57" s="270" t="str">
        <f>IFERROR(__xludf.DUMMYFUNCTION("""COMPUTED_VALUE"""),"163.22m")</f>
        <v>163.22m</v>
      </c>
      <c r="H57" s="293" t="str">
        <f>IFERROR(__xludf.DUMMYFUNCTION("""COMPUTED_VALUE"""),"O.N.S &amp; YB")</f>
        <v>O.N.S &amp; YB</v>
      </c>
      <c r="I57" s="567" t="str">
        <f>IFERROR(__xludf.DUMMYFUNCTION("""COMPUTED_VALUE"""),"Sampai")</f>
        <v>Sampai</v>
      </c>
      <c r="J57" s="43" t="str">
        <f>IFERROR(__xludf.DUMMYFUNCTION("""COMPUTED_VALUE"""),"Concept 2")</f>
        <v>Concept 2</v>
      </c>
      <c r="K57" s="278" t="str">
        <f>IFERROR(__xludf.DUMMYFUNCTION("""COMPUTED_VALUE"""),"https://vt.tiktok.com/ZS9bHomup/")</f>
        <v>https://vt.tiktok.com/ZS9bHomup/</v>
      </c>
      <c r="L57" s="43" t="str">
        <f>IFERROR(__xludf.DUMMYFUNCTION("""COMPUTED_VALUE""")," Concept 1")</f>
        <v> Concept 1</v>
      </c>
      <c r="M57" s="278" t="str">
        <f>IFERROR(__xludf.DUMMYFUNCTION("""COMPUTED_VALUE"""),"https://vt.tiktok.com/ZS9bgL74j/")</f>
        <v>https://vt.tiktok.com/ZS9bgL74j/</v>
      </c>
      <c r="N57" s="261" t="str">
        <f>IFERROR(__xludf.DUMMYFUNCTION("""COMPUTED_VALUE""")," Concept 1")</f>
        <v> Concept 1</v>
      </c>
      <c r="O57" s="279" t="str">
        <f>IFERROR(__xludf.DUMMYFUNCTION("""COMPUTED_VALUE"""),"https://vt.tiktok.com/ZSxkuAGMq/")</f>
        <v>https://vt.tiktok.com/ZSxkuAGMq/</v>
      </c>
      <c r="P57" s="261" t="str">
        <f>IFERROR(__xludf.DUMMYFUNCTION("""COMPUTED_VALUE"""),"Concept 2")</f>
        <v>Concept 2</v>
      </c>
      <c r="Q57" s="278" t="str">
        <f>IFERROR(__xludf.DUMMYFUNCTION("""COMPUTED_VALUE"""),"https://www.tiktok.com/@bangreview07/video/7644085770386541845?_r=")</f>
        <v>https://www.tiktok.com/@bangreview07/video/7644085770386541845?_r=</v>
      </c>
      <c r="R57" s="262"/>
      <c r="S57" s="17"/>
      <c r="T57" s="568">
        <f>IFERROR(__xludf.DUMMYFUNCTION("""COMPUTED_VALUE"""),469200.0)</f>
        <v>469200</v>
      </c>
      <c r="U57" s="571"/>
      <c r="V57" s="335">
        <f>IFERROR(__xludf.DUMMYFUNCTION("""COMPUTED_VALUE"""),806746.0)</f>
        <v>806746</v>
      </c>
      <c r="W57" s="571"/>
    </row>
    <row r="58">
      <c r="A58" s="255" t="str">
        <f>IFERROR(__xludf.DUMMYFUNCTION("""COMPUTED_VALUE"""),"NANO")</f>
        <v>NANO</v>
      </c>
      <c r="B58" s="23" t="str">
        <f>IFERROR(__xludf.DUMMYFUNCTION("""COMPUTED_VALUE"""),"rizkiju_")</f>
        <v>rizkiju_</v>
      </c>
      <c r="C58" s="281" t="str">
        <f>IFERROR(__xludf.DUMMYFUNCTION("""COMPUTED_VALUE"""),"https://www.tiktok.com/@rizkiju_")</f>
        <v>https://www.tiktok.com/@rizkiju_</v>
      </c>
      <c r="D58" s="270">
        <f>IFERROR(__xludf.DUMMYFUNCTION("""COMPUTED_VALUE"""),8.5555551368E10)</f>
        <v>85555551368</v>
      </c>
      <c r="E58" s="271"/>
      <c r="F58" s="270"/>
      <c r="G58" s="270" t="str">
        <f>IFERROR(__xludf.DUMMYFUNCTION("""COMPUTED_VALUE"""),"35.69m")</f>
        <v>35.69m</v>
      </c>
      <c r="H58" s="293"/>
      <c r="I58" s="567"/>
      <c r="J58" s="43"/>
      <c r="K58" s="262"/>
      <c r="L58" s="43"/>
      <c r="M58" s="262"/>
      <c r="N58" s="261"/>
      <c r="O58" s="17"/>
      <c r="P58" s="261"/>
      <c r="Q58" s="262"/>
      <c r="R58" s="262"/>
      <c r="S58" s="17"/>
      <c r="T58" s="571"/>
      <c r="U58" s="571"/>
      <c r="V58" s="335"/>
      <c r="W58" s="571"/>
    </row>
    <row r="59">
      <c r="A59" s="255" t="str">
        <f>IFERROR(__xludf.DUMMYFUNCTION("""COMPUTED_VALUE"""),"NANO")</f>
        <v>NANO</v>
      </c>
      <c r="B59" s="23" t="str">
        <f>IFERROR(__xludf.DUMMYFUNCTION("""COMPUTED_VALUE"""),"danz_muhammad")</f>
        <v>danz_muhammad</v>
      </c>
      <c r="C59" s="281" t="str">
        <f>IFERROR(__xludf.DUMMYFUNCTION("""COMPUTED_VALUE"""),"https://www.tiktok.com/@danz_muhammad")</f>
        <v>https://www.tiktok.com/@danz_muhammad</v>
      </c>
      <c r="D59" s="270">
        <f>IFERROR(__xludf.DUMMYFUNCTION("""COMPUTED_VALUE"""),8.2117567651E10)</f>
        <v>82117567651</v>
      </c>
      <c r="E59" s="271"/>
      <c r="F59" s="270"/>
      <c r="G59" s="270" t="str">
        <f>IFERROR(__xludf.DUMMYFUNCTION("""COMPUTED_VALUE"""),"132.50m")</f>
        <v>132.50m</v>
      </c>
      <c r="H59" s="293"/>
      <c r="I59" s="567"/>
      <c r="J59" s="43"/>
      <c r="K59" s="262"/>
      <c r="L59" s="43"/>
      <c r="M59" s="262"/>
      <c r="N59" s="261"/>
      <c r="O59" s="17"/>
      <c r="P59" s="261"/>
      <c r="Q59" s="262"/>
      <c r="R59" s="262"/>
      <c r="S59" s="17"/>
      <c r="T59" s="571"/>
      <c r="U59" s="571"/>
      <c r="V59" s="335"/>
      <c r="W59" s="571"/>
    </row>
    <row r="60">
      <c r="A60" s="255" t="str">
        <f>IFERROR(__xludf.DUMMYFUNCTION("""COMPUTED_VALUE"""),"MICRO")</f>
        <v>MICRO</v>
      </c>
      <c r="B60" s="23" t="str">
        <f>IFERROR(__xludf.DUMMYFUNCTION("""COMPUTED_VALUE"""),"rokhim13__")</f>
        <v>rokhim13__</v>
      </c>
      <c r="C60" s="281" t="str">
        <f>IFERROR(__xludf.DUMMYFUNCTION("""COMPUTED_VALUE"""),"https://www.tiktok.com/@rokhim13__")</f>
        <v>https://www.tiktok.com/@rokhim13__</v>
      </c>
      <c r="D60" s="270">
        <f>IFERROR(__xludf.DUMMYFUNCTION("""COMPUTED_VALUE"""),8.572683408E10)</f>
        <v>85726834080</v>
      </c>
      <c r="E60" s="271"/>
      <c r="F60" s="270"/>
      <c r="G60" s="270" t="str">
        <f>IFERROR(__xludf.DUMMYFUNCTION("""COMPUTED_VALUE"""),"104.99m")</f>
        <v>104.99m</v>
      </c>
      <c r="H60" s="293"/>
      <c r="I60" s="567"/>
      <c r="J60" s="43"/>
      <c r="K60" s="262"/>
      <c r="L60" s="43"/>
      <c r="M60" s="262"/>
      <c r="N60" s="261"/>
      <c r="O60" s="17"/>
      <c r="P60" s="261"/>
      <c r="Q60" s="262"/>
      <c r="R60" s="262"/>
      <c r="S60" s="17"/>
      <c r="T60" s="571"/>
      <c r="U60" s="571"/>
      <c r="V60" s="335"/>
      <c r="W60" s="571"/>
    </row>
    <row r="61">
      <c r="A61" s="255" t="str">
        <f>IFERROR(__xludf.DUMMYFUNCTION("""COMPUTED_VALUE"""),"NANO")</f>
        <v>NANO</v>
      </c>
      <c r="B61" s="23" t="str">
        <f>IFERROR(__xludf.DUMMYFUNCTION("""COMPUTED_VALUE"""),"brocus_")</f>
        <v>brocus_</v>
      </c>
      <c r="C61" s="281" t="str">
        <f>IFERROR(__xludf.DUMMYFUNCTION("""COMPUTED_VALUE"""),"https://www.tiktok.com/@brocus_")</f>
        <v>https://www.tiktok.com/@brocus_</v>
      </c>
      <c r="D61" s="270">
        <f>IFERROR(__xludf.DUMMYFUNCTION("""COMPUTED_VALUE"""),8.5777204595E10)</f>
        <v>85777204595</v>
      </c>
      <c r="E61" s="271">
        <f>IFERROR(__xludf.DUMMYFUNCTION("""COMPUTED_VALUE"""),100000.0)</f>
        <v>100000</v>
      </c>
      <c r="F61" s="270">
        <f>IFERROR(__xludf.DUMMYFUNCTION("""COMPUTED_VALUE"""),2.0)</f>
        <v>2</v>
      </c>
      <c r="G61" s="270" t="str">
        <f>IFERROR(__xludf.DUMMYFUNCTION("""COMPUTED_VALUE"""),"41.14m")</f>
        <v>41.14m</v>
      </c>
      <c r="H61" s="293" t="str">
        <f>IFERROR(__xludf.DUMMYFUNCTION("""COMPUTED_VALUE"""),"YOUNG BOSS")</f>
        <v>YOUNG BOSS</v>
      </c>
      <c r="I61" s="567" t="str">
        <f>IFERROR(__xludf.DUMMYFUNCTION("""COMPUTED_VALUE"""),"Sampai")</f>
        <v>Sampai</v>
      </c>
      <c r="J61" s="43" t="str">
        <f>IFERROR(__xludf.DUMMYFUNCTION("""COMPUTED_VALUE""")," Concept 1")</f>
        <v> Concept 1</v>
      </c>
      <c r="K61" s="278" t="str">
        <f>IFERROR(__xludf.DUMMYFUNCTION("""COMPUTED_VALUE"""),"https://vt.tiktok.com/ZSQrGFwwg/ ")</f>
        <v>https://vt.tiktok.com/ZSQrGFwwg/ </v>
      </c>
      <c r="L61" s="43"/>
      <c r="M61" s="262"/>
      <c r="N61" s="261"/>
      <c r="O61" s="17"/>
      <c r="P61" s="261"/>
      <c r="Q61" s="262"/>
      <c r="R61" s="262"/>
      <c r="S61" s="17"/>
      <c r="T61" s="571"/>
      <c r="U61" s="571"/>
      <c r="V61" s="335"/>
      <c r="W61" s="571"/>
    </row>
    <row r="62">
      <c r="A62" s="255" t="str">
        <f>IFERROR(__xludf.DUMMYFUNCTION("""COMPUTED_VALUE"""),"MICRO")</f>
        <v>MICRO</v>
      </c>
      <c r="B62" s="23" t="str">
        <f>IFERROR(__xludf.DUMMYFUNCTION("""COMPUTED_VALUE"""),"febrypramanda")</f>
        <v>febrypramanda</v>
      </c>
      <c r="C62" s="281" t="str">
        <f>IFERROR(__xludf.DUMMYFUNCTION("""COMPUTED_VALUE"""),"https://www.tiktok.com/@febrypramanda")</f>
        <v>https://www.tiktok.com/@febrypramanda</v>
      </c>
      <c r="D62" s="270">
        <f>IFERROR(__xludf.DUMMYFUNCTION("""COMPUTED_VALUE"""),8.1311231361E10)</f>
        <v>81311231361</v>
      </c>
      <c r="E62" s="271"/>
      <c r="F62" s="270"/>
      <c r="G62" s="270" t="str">
        <f>IFERROR(__xludf.DUMMYFUNCTION("""COMPUTED_VALUE"""),"28.45m")</f>
        <v>28.45m</v>
      </c>
      <c r="H62" s="293"/>
      <c r="I62" s="567"/>
      <c r="J62" s="43"/>
      <c r="K62" s="262"/>
      <c r="L62" s="43"/>
      <c r="M62" s="262"/>
      <c r="N62" s="261"/>
      <c r="O62" s="17"/>
      <c r="P62" s="261"/>
      <c r="Q62" s="262"/>
      <c r="R62" s="262"/>
      <c r="S62" s="17"/>
      <c r="T62" s="571"/>
      <c r="U62" s="571"/>
      <c r="V62" s="335"/>
      <c r="W62" s="571"/>
    </row>
    <row r="63">
      <c r="A63" s="255" t="str">
        <f>IFERROR(__xludf.DUMMYFUNCTION("""COMPUTED_VALUE"""),"MICRO")</f>
        <v>MICRO</v>
      </c>
      <c r="B63" s="23" t="str">
        <f>IFERROR(__xludf.DUMMYFUNCTION("""COMPUTED_VALUE"""),"mayanadiaa")</f>
        <v>mayanadiaa</v>
      </c>
      <c r="C63" s="281" t="str">
        <f>IFERROR(__xludf.DUMMYFUNCTION("""COMPUTED_VALUE"""),"https://www.tiktok.com/@mayanadiaa")</f>
        <v>https://www.tiktok.com/@mayanadiaa</v>
      </c>
      <c r="D63" s="270">
        <f>IFERROR(__xludf.DUMMYFUNCTION("""COMPUTED_VALUE"""),8.9514490397E10)</f>
        <v>89514490397</v>
      </c>
      <c r="E63" s="271">
        <f>IFERROR(__xludf.DUMMYFUNCTION("""COMPUTED_VALUE"""),0.0)</f>
        <v>0</v>
      </c>
      <c r="F63" s="270">
        <f>IFERROR(__xludf.DUMMYFUNCTION("""COMPUTED_VALUE"""),2.0)</f>
        <v>2</v>
      </c>
      <c r="G63" s="270" t="str">
        <f>IFERROR(__xludf.DUMMYFUNCTION("""COMPUTED_VALUE"""),"21.70m")</f>
        <v>21.70m</v>
      </c>
      <c r="H63" s="293" t="str">
        <f>IFERROR(__xludf.DUMMYFUNCTION("""COMPUTED_VALUE"""),"THOUSAND KISSES")</f>
        <v>THOUSAND KISSES</v>
      </c>
      <c r="I63" s="567" t="str">
        <f>IFERROR(__xludf.DUMMYFUNCTION("""COMPUTED_VALUE"""),"Sampai")</f>
        <v>Sampai</v>
      </c>
      <c r="J63" s="43" t="str">
        <f>IFERROR(__xludf.DUMMYFUNCTION("""COMPUTED_VALUE"""),"Concept 2")</f>
        <v>Concept 2</v>
      </c>
      <c r="K63" s="278" t="str">
        <f>IFERROR(__xludf.DUMMYFUNCTION("""COMPUTED_VALUE"""),"https://vt.tiktok.com/ZSxqvJfJb/")</f>
        <v>https://vt.tiktok.com/ZSxqvJfJb/</v>
      </c>
      <c r="L63" s="43" t="str">
        <f>IFERROR(__xludf.DUMMYFUNCTION("""COMPUTED_VALUE""")," Concept 1")</f>
        <v> Concept 1</v>
      </c>
      <c r="M63" s="278" t="str">
        <f>IFERROR(__xludf.DUMMYFUNCTION("""COMPUTED_VALUE"""),"https://vt.tiktok.com/ZSx3oCpR6/ ")</f>
        <v>https://vt.tiktok.com/ZSx3oCpR6/ </v>
      </c>
      <c r="N63" s="261"/>
      <c r="O63" s="17"/>
      <c r="P63" s="261"/>
      <c r="Q63" s="262"/>
      <c r="R63" s="262"/>
      <c r="S63" s="17"/>
      <c r="T63" s="571"/>
      <c r="U63" s="571"/>
      <c r="V63" s="335"/>
      <c r="W63" s="571"/>
    </row>
    <row r="64">
      <c r="A64" s="255" t="str">
        <f>IFERROR(__xludf.DUMMYFUNCTION("""COMPUTED_VALUE"""),"MICRO")</f>
        <v>MICRO</v>
      </c>
      <c r="B64" s="23" t="str">
        <f>IFERROR(__xludf.DUMMYFUNCTION("""COMPUTED_VALUE"""),"sellaaaalala")</f>
        <v>sellaaaalala</v>
      </c>
      <c r="C64" s="281" t="str">
        <f>IFERROR(__xludf.DUMMYFUNCTION("""COMPUTED_VALUE"""),"https://www.tiktok.com/@sellaaaalala")</f>
        <v>https://www.tiktok.com/@sellaaaalala</v>
      </c>
      <c r="D64" s="270">
        <f>IFERROR(__xludf.DUMMYFUNCTION("""COMPUTED_VALUE"""),8.3892543585E10)</f>
        <v>83892543585</v>
      </c>
      <c r="E64" s="271">
        <f>IFERROR(__xludf.DUMMYFUNCTION("""COMPUTED_VALUE"""),250000.0)</f>
        <v>250000</v>
      </c>
      <c r="F64" s="270">
        <f>IFERROR(__xludf.DUMMYFUNCTION("""COMPUTED_VALUE"""),2.0)</f>
        <v>2</v>
      </c>
      <c r="G64" s="270" t="str">
        <f>IFERROR(__xludf.DUMMYFUNCTION("""COMPUTED_VALUE"""),"323.56m")</f>
        <v>323.56m</v>
      </c>
      <c r="H64" s="293" t="str">
        <f>IFERROR(__xludf.DUMMYFUNCTION("""COMPUTED_VALUE"""),"O.N.S")</f>
        <v>O.N.S</v>
      </c>
      <c r="I64" s="567" t="str">
        <f>IFERROR(__xludf.DUMMYFUNCTION("""COMPUTED_VALUE"""),"Sampai")</f>
        <v>Sampai</v>
      </c>
      <c r="J64" s="43" t="str">
        <f>IFERROR(__xludf.DUMMYFUNCTION("""COMPUTED_VALUE"""),"Concept 2")</f>
        <v>Concept 2</v>
      </c>
      <c r="K64" s="278" t="str">
        <f>IFERROR(__xludf.DUMMYFUNCTION("""COMPUTED_VALUE"""),"https://vt.tiktok.com/ZSxxPWdUQ/ ")</f>
        <v>https://vt.tiktok.com/ZSxxPWdUQ/ </v>
      </c>
      <c r="L64" s="43"/>
      <c r="M64" s="262"/>
      <c r="N64" s="261"/>
      <c r="O64" s="17"/>
      <c r="P64" s="261"/>
      <c r="Q64" s="262"/>
      <c r="R64" s="262"/>
      <c r="S64" s="17"/>
      <c r="T64" s="568">
        <f>IFERROR(__xludf.DUMMYFUNCTION("""COMPUTED_VALUE"""),61435.0)</f>
        <v>61435</v>
      </c>
      <c r="U64" s="571"/>
      <c r="V64" s="335"/>
      <c r="W64" s="571"/>
    </row>
    <row r="65">
      <c r="A65" s="255" t="str">
        <f>IFERROR(__xludf.DUMMYFUNCTION("""COMPUTED_VALUE"""),"MICRO")</f>
        <v>MICRO</v>
      </c>
      <c r="B65" s="23" t="str">
        <f>IFERROR(__xludf.DUMMYFUNCTION("""COMPUTED_VALUE"""),"dindaaprd_")</f>
        <v>dindaaprd_</v>
      </c>
      <c r="C65" s="281" t="str">
        <f>IFERROR(__xludf.DUMMYFUNCTION("""COMPUTED_VALUE"""),"https://www.tiktok.com/@dindaaprd_")</f>
        <v>https://www.tiktok.com/@dindaaprd_</v>
      </c>
      <c r="D65" s="270">
        <f>IFERROR(__xludf.DUMMYFUNCTION("""COMPUTED_VALUE"""),8.5171082421E10)</f>
        <v>85171082421</v>
      </c>
      <c r="E65" s="271">
        <f>IFERROR(__xludf.DUMMYFUNCTION("""COMPUTED_VALUE"""),0.0)</f>
        <v>0</v>
      </c>
      <c r="F65" s="270">
        <f>IFERROR(__xludf.DUMMYFUNCTION("""COMPUTED_VALUE"""),1.0)</f>
        <v>1</v>
      </c>
      <c r="G65" s="270" t="str">
        <f>IFERROR(__xludf.DUMMYFUNCTION("""COMPUTED_VALUE"""),"225.7m")</f>
        <v>225.7m</v>
      </c>
      <c r="H65" s="293" t="str">
        <f>IFERROR(__xludf.DUMMYFUNCTION("""COMPUTED_VALUE"""),"O.N.S")</f>
        <v>O.N.S</v>
      </c>
      <c r="I65" s="567" t="str">
        <f>IFERROR(__xludf.DUMMYFUNCTION("""COMPUTED_VALUE"""),"Sampai")</f>
        <v>Sampai</v>
      </c>
      <c r="J65" s="43" t="str">
        <f>IFERROR(__xludf.DUMMYFUNCTION("""COMPUTED_VALUE""")," Concept 1")</f>
        <v> Concept 1</v>
      </c>
      <c r="K65" s="278" t="str">
        <f>IFERROR(__xludf.DUMMYFUNCTION("""COMPUTED_VALUE"""),"https://vt.tiktok.com/ZSxXkrqNF/")</f>
        <v>https://vt.tiktok.com/ZSxXkrqNF/</v>
      </c>
      <c r="L65" s="43"/>
      <c r="M65" s="262"/>
      <c r="N65" s="261"/>
      <c r="O65" s="17"/>
      <c r="P65" s="261"/>
      <c r="Q65" s="262"/>
      <c r="R65" s="262"/>
      <c r="S65" s="17"/>
      <c r="T65" s="568">
        <f>IFERROR(__xludf.DUMMYFUNCTION("""COMPUTED_VALUE"""),254768.0)</f>
        <v>254768</v>
      </c>
      <c r="U65" s="571"/>
      <c r="V65" s="335"/>
      <c r="W65" s="571"/>
    </row>
    <row r="66">
      <c r="A66" s="255" t="str">
        <f>IFERROR(__xludf.DUMMYFUNCTION("""COMPUTED_VALUE"""),"MICRO")</f>
        <v>MICRO</v>
      </c>
      <c r="B66" s="23" t="str">
        <f>IFERROR(__xludf.DUMMYFUNCTION("""COMPUTED_VALUE"""),"tika_dewi027")</f>
        <v>tika_dewi027</v>
      </c>
      <c r="C66" s="281" t="str">
        <f>IFERROR(__xludf.DUMMYFUNCTION("""COMPUTED_VALUE"""),"https://www.tiktok.com/@tika_dewi027")</f>
        <v>https://www.tiktok.com/@tika_dewi027</v>
      </c>
      <c r="D66" s="270">
        <f>IFERROR(__xludf.DUMMYFUNCTION("""COMPUTED_VALUE"""),8.3875767267E10)</f>
        <v>83875767267</v>
      </c>
      <c r="E66" s="271">
        <f>IFERROR(__xludf.DUMMYFUNCTION("""COMPUTED_VALUE"""),300000.0)</f>
        <v>300000</v>
      </c>
      <c r="F66" s="270">
        <f>IFERROR(__xludf.DUMMYFUNCTION("""COMPUTED_VALUE"""),2.0)</f>
        <v>2</v>
      </c>
      <c r="G66" s="270" t="str">
        <f>IFERROR(__xludf.DUMMYFUNCTION("""COMPUTED_VALUE"""),"43.30m")</f>
        <v>43.30m</v>
      </c>
      <c r="H66" s="293" t="str">
        <f>IFERROR(__xludf.DUMMYFUNCTION("""COMPUTED_VALUE"""),"O.N.S")</f>
        <v>O.N.S</v>
      </c>
      <c r="I66" s="567" t="str">
        <f>IFERROR(__xludf.DUMMYFUNCTION("""COMPUTED_VALUE"""),"Sampai")</f>
        <v>Sampai</v>
      </c>
      <c r="J66" s="43" t="str">
        <f>IFERROR(__xludf.DUMMYFUNCTION("""COMPUTED_VALUE"""),"Concept 2")</f>
        <v>Concept 2</v>
      </c>
      <c r="K66" s="278" t="str">
        <f>IFERROR(__xludf.DUMMYFUNCTION("""COMPUTED_VALUE"""),"https://vt.tiktok.com/ZSxGXJ9K6/")</f>
        <v>https://vt.tiktok.com/ZSxGXJ9K6/</v>
      </c>
      <c r="L66" s="43" t="str">
        <f>IFERROR(__xludf.DUMMYFUNCTION("""COMPUTED_VALUE""")," Concept 1")</f>
        <v> Concept 1</v>
      </c>
      <c r="M66" s="278" t="str">
        <f>IFERROR(__xludf.DUMMYFUNCTION("""COMPUTED_VALUE"""),"https://vt.tiktok.com/ZSQLtC62H/ ")</f>
        <v>https://vt.tiktok.com/ZSQLtC62H/ </v>
      </c>
      <c r="N66" s="261"/>
      <c r="O66" s="17"/>
      <c r="P66" s="261"/>
      <c r="Q66" s="262"/>
      <c r="R66" s="262"/>
      <c r="S66" s="17"/>
      <c r="T66" s="571">
        <f>IFERROR(__xludf.DUMMYFUNCTION("""COMPUTED_VALUE"""),106425.0)</f>
        <v>106425</v>
      </c>
      <c r="U66" s="571"/>
      <c r="V66" s="335"/>
      <c r="W66" s="571"/>
    </row>
    <row r="67">
      <c r="A67" s="255" t="str">
        <f>IFERROR(__xludf.DUMMYFUNCTION("""COMPUTED_VALUE"""),"MICRO")</f>
        <v>MICRO</v>
      </c>
      <c r="B67" s="23" t="str">
        <f>IFERROR(__xludf.DUMMYFUNCTION("""COMPUTED_VALUE"""),"salwanarulita")</f>
        <v>salwanarulita</v>
      </c>
      <c r="C67" s="281" t="str">
        <f>IFERROR(__xludf.DUMMYFUNCTION("""COMPUTED_VALUE"""),"https://www.tiktok.com/@salwanarulita")</f>
        <v>https://www.tiktok.com/@salwanarulita</v>
      </c>
      <c r="D67" s="270">
        <f>IFERROR(__xludf.DUMMYFUNCTION("""COMPUTED_VALUE"""),8.1546953308E10)</f>
        <v>81546953308</v>
      </c>
      <c r="E67" s="271">
        <f>IFERROR(__xludf.DUMMYFUNCTION("""COMPUTED_VALUE"""),50000.0)</f>
        <v>50000</v>
      </c>
      <c r="F67" s="270">
        <f>IFERROR(__xludf.DUMMYFUNCTION("""COMPUTED_VALUE"""),1.0)</f>
        <v>1</v>
      </c>
      <c r="G67" s="270" t="str">
        <f>IFERROR(__xludf.DUMMYFUNCTION("""COMPUTED_VALUE"""),"34.33m")</f>
        <v>34.33m</v>
      </c>
      <c r="H67" s="293" t="str">
        <f>IFERROR(__xludf.DUMMYFUNCTION("""COMPUTED_VALUE"""),"O.N.S")</f>
        <v>O.N.S</v>
      </c>
      <c r="I67" s="567" t="str">
        <f>IFERROR(__xludf.DUMMYFUNCTION("""COMPUTED_VALUE"""),"Sampai")</f>
        <v>Sampai</v>
      </c>
      <c r="J67" s="43" t="str">
        <f>IFERROR(__xludf.DUMMYFUNCTION("""COMPUTED_VALUE""")," Concept 1")</f>
        <v> Concept 1</v>
      </c>
      <c r="K67" s="278" t="str">
        <f>IFERROR(__xludf.DUMMYFUNCTION("""COMPUTED_VALUE"""),"https://vt.tiktok.com/ZSxpAj1A3/")</f>
        <v>https://vt.tiktok.com/ZSxpAj1A3/</v>
      </c>
      <c r="L67" s="43" t="str">
        <f>IFERROR(__xludf.DUMMYFUNCTION("""COMPUTED_VALUE"""),"Concept 2")</f>
        <v>Concept 2</v>
      </c>
      <c r="M67" s="278" t="str">
        <f>IFERROR(__xludf.DUMMYFUNCTION("""COMPUTED_VALUE"""),"https://vt.tiktok.com/ZSQNpvcvk/")</f>
        <v>https://vt.tiktok.com/ZSQNpvcvk/</v>
      </c>
      <c r="N67" s="261"/>
      <c r="O67" s="17"/>
      <c r="P67" s="261"/>
      <c r="Q67" s="262"/>
      <c r="R67" s="262"/>
      <c r="S67" s="17"/>
      <c r="T67" s="571"/>
      <c r="U67" s="571"/>
      <c r="V67" s="335"/>
      <c r="W67" s="571"/>
    </row>
    <row r="68">
      <c r="A68" s="255" t="str">
        <f>IFERROR(__xludf.DUMMYFUNCTION("""COMPUTED_VALUE"""),"MICRO")</f>
        <v>MICRO</v>
      </c>
      <c r="B68" s="23" t="str">
        <f>IFERROR(__xludf.DUMMYFUNCTION("""COMPUTED_VALUE"""),"stvncae")</f>
        <v>stvncae</v>
      </c>
      <c r="C68" s="281" t="str">
        <f>IFERROR(__xludf.DUMMYFUNCTION("""COMPUTED_VALUE"""),"https://www.tiktok.com/@stvncae")</f>
        <v>https://www.tiktok.com/@stvncae</v>
      </c>
      <c r="D68" s="270">
        <f>IFERROR(__xludf.DUMMYFUNCTION("""COMPUTED_VALUE"""),8.7885668872E10)</f>
        <v>87885668872</v>
      </c>
      <c r="E68" s="271">
        <f>IFERROR(__xludf.DUMMYFUNCTION("""COMPUTED_VALUE"""),0.0)</f>
        <v>0</v>
      </c>
      <c r="F68" s="270">
        <f>IFERROR(__xludf.DUMMYFUNCTION("""COMPUTED_VALUE"""),2.0)</f>
        <v>2</v>
      </c>
      <c r="G68" s="270" t="str">
        <f>IFERROR(__xludf.DUMMYFUNCTION("""COMPUTED_VALUE"""),"20,8m")</f>
        <v>20,8m</v>
      </c>
      <c r="H68" s="293" t="str">
        <f>IFERROR(__xludf.DUMMYFUNCTION("""COMPUTED_VALUE"""),"THOUSAND KISSES")</f>
        <v>THOUSAND KISSES</v>
      </c>
      <c r="I68" s="567" t="str">
        <f>IFERROR(__xludf.DUMMYFUNCTION("""COMPUTED_VALUE"""),"Sampai")</f>
        <v>Sampai</v>
      </c>
      <c r="J68" s="43" t="str">
        <f>IFERROR(__xludf.DUMMYFUNCTION("""COMPUTED_VALUE""")," Concept 1")</f>
        <v> Concept 1</v>
      </c>
      <c r="K68" s="278" t="str">
        <f>IFERROR(__xludf.DUMMYFUNCTION("""COMPUTED_VALUE"""),"https://vt.tiktok.com/ZSxakPyMp/")</f>
        <v>https://vt.tiktok.com/ZSxakPyMp/</v>
      </c>
      <c r="L68" s="43"/>
      <c r="M68" s="262"/>
      <c r="N68" s="261"/>
      <c r="O68" s="17"/>
      <c r="P68" s="261"/>
      <c r="Q68" s="262"/>
      <c r="R68" s="262"/>
      <c r="S68" s="17"/>
      <c r="T68" s="568">
        <f>IFERROR(__xludf.DUMMYFUNCTION("""COMPUTED_VALUE"""),98813.0)</f>
        <v>98813</v>
      </c>
      <c r="U68" s="571"/>
      <c r="V68" s="335"/>
      <c r="W68" s="571"/>
    </row>
    <row r="69">
      <c r="A69" s="255" t="str">
        <f>IFERROR(__xludf.DUMMYFUNCTION("""COMPUTED_VALUE"""),"MICRO")</f>
        <v>MICRO</v>
      </c>
      <c r="B69" s="23" t="str">
        <f>IFERROR(__xludf.DUMMYFUNCTION("""COMPUTED_VALUE"""),"byfloe_")</f>
        <v>byfloe_</v>
      </c>
      <c r="C69" s="281" t="str">
        <f>IFERROR(__xludf.DUMMYFUNCTION("""COMPUTED_VALUE"""),"https://www.tiktok.com/@byfloe_")</f>
        <v>https://www.tiktok.com/@byfloe_</v>
      </c>
      <c r="D69" s="270">
        <f>IFERROR(__xludf.DUMMYFUNCTION("""COMPUTED_VALUE"""),8.7872898956E10)</f>
        <v>87872898956</v>
      </c>
      <c r="E69" s="271">
        <f>IFERROR(__xludf.DUMMYFUNCTION("""COMPUTED_VALUE"""),300000.0)</f>
        <v>300000</v>
      </c>
      <c r="F69" s="270">
        <f>IFERROR(__xludf.DUMMYFUNCTION("""COMPUTED_VALUE"""),1.0)</f>
        <v>1</v>
      </c>
      <c r="G69" s="270" t="str">
        <f>IFERROR(__xludf.DUMMYFUNCTION("""COMPUTED_VALUE"""),"912.26m")</f>
        <v>912.26m</v>
      </c>
      <c r="H69" s="293" t="str">
        <f>IFERROR(__xludf.DUMMYFUNCTION("""COMPUTED_VALUE"""),"O.N.S")</f>
        <v>O.N.S</v>
      </c>
      <c r="I69" s="567"/>
      <c r="J69" s="43"/>
      <c r="K69" s="262"/>
      <c r="L69" s="43"/>
      <c r="M69" s="262"/>
      <c r="N69" s="261"/>
      <c r="O69" s="17"/>
      <c r="P69" s="261"/>
      <c r="Q69" s="262"/>
      <c r="R69" s="262"/>
      <c r="S69" s="17"/>
      <c r="T69" s="571"/>
      <c r="U69" s="571"/>
      <c r="V69" s="335"/>
      <c r="W69" s="571"/>
    </row>
    <row r="70">
      <c r="A70" s="255" t="str">
        <f>IFERROR(__xludf.DUMMYFUNCTION("""COMPUTED_VALUE"""),"MACRO")</f>
        <v>MACRO</v>
      </c>
      <c r="B70" s="23" t="str">
        <f>IFERROR(__xludf.DUMMYFUNCTION("""COMPUTED_VALUE"""),"_putriitidurr_")</f>
        <v>_putriitidurr_</v>
      </c>
      <c r="C70" s="281" t="str">
        <f>IFERROR(__xludf.DUMMYFUNCTION("""COMPUTED_VALUE"""),"https://www.tiktok.com/@_putriitidurr_")</f>
        <v>https://www.tiktok.com/@_putriitidurr_</v>
      </c>
      <c r="D70" s="270">
        <f>IFERROR(__xludf.DUMMYFUNCTION("""COMPUTED_VALUE"""),8.5791367505E10)</f>
        <v>85791367505</v>
      </c>
      <c r="E70" s="271"/>
      <c r="F70" s="270">
        <f>IFERROR(__xludf.DUMMYFUNCTION("""COMPUTED_VALUE"""),1.0)</f>
        <v>1</v>
      </c>
      <c r="G70" s="270" t="str">
        <f>IFERROR(__xludf.DUMMYFUNCTION("""COMPUTED_VALUE"""),"49.03m")</f>
        <v>49.03m</v>
      </c>
      <c r="H70" s="293"/>
      <c r="I70" s="567"/>
      <c r="J70" s="43"/>
      <c r="K70" s="262"/>
      <c r="L70" s="43"/>
      <c r="M70" s="262"/>
      <c r="N70" s="261"/>
      <c r="O70" s="17"/>
      <c r="P70" s="261"/>
      <c r="Q70" s="262"/>
      <c r="R70" s="262"/>
      <c r="S70" s="17"/>
      <c r="T70" s="571"/>
      <c r="U70" s="571"/>
      <c r="V70" s="335"/>
      <c r="W70" s="571"/>
    </row>
    <row r="71">
      <c r="A71" s="255" t="str">
        <f>IFERROR(__xludf.DUMMYFUNCTION("""COMPUTED_VALUE"""),"MICRO")</f>
        <v>MICRO</v>
      </c>
      <c r="B71" s="23" t="str">
        <f>IFERROR(__xludf.DUMMYFUNCTION("""COMPUTED_VALUE"""),"ditaanindhita12")</f>
        <v>ditaanindhita12</v>
      </c>
      <c r="C71" s="281" t="str">
        <f>IFERROR(__xludf.DUMMYFUNCTION("""COMPUTED_VALUE"""),"https://www.tiktok.com/@ditaanindhita12")</f>
        <v>https://www.tiktok.com/@ditaanindhita12</v>
      </c>
      <c r="D71" s="270">
        <f>IFERROR(__xludf.DUMMYFUNCTION("""COMPUTED_VALUE"""),8.1324009898E10)</f>
        <v>81324009898</v>
      </c>
      <c r="E71" s="271">
        <f>IFERROR(__xludf.DUMMYFUNCTION("""COMPUTED_VALUE"""),375000.0)</f>
        <v>375000</v>
      </c>
      <c r="F71" s="270">
        <f>IFERROR(__xludf.DUMMYFUNCTION("""COMPUTED_VALUE"""),1.0)</f>
        <v>1</v>
      </c>
      <c r="G71" s="270" t="str">
        <f>IFERROR(__xludf.DUMMYFUNCTION("""COMPUTED_VALUE"""),"34.55m")</f>
        <v>34.55m</v>
      </c>
      <c r="H71" s="293"/>
      <c r="I71" s="567"/>
      <c r="J71" s="43"/>
      <c r="K71" s="262"/>
      <c r="L71" s="43"/>
      <c r="M71" s="262"/>
      <c r="N71" s="261"/>
      <c r="O71" s="17"/>
      <c r="P71" s="261"/>
      <c r="Q71" s="262"/>
      <c r="R71" s="262"/>
      <c r="S71" s="17"/>
      <c r="T71" s="571"/>
      <c r="U71" s="571"/>
      <c r="V71" s="335"/>
      <c r="W71" s="571"/>
    </row>
    <row r="72">
      <c r="A72" s="255" t="str">
        <f>IFERROR(__xludf.DUMMYFUNCTION("""COMPUTED_VALUE"""),"NANO")</f>
        <v>NANO</v>
      </c>
      <c r="B72" s="23" t="str">
        <f>IFERROR(__xludf.DUMMYFUNCTION("""COMPUTED_VALUE"""),"alviradevikaa")</f>
        <v>alviradevikaa</v>
      </c>
      <c r="C72" s="281" t="str">
        <f>IFERROR(__xludf.DUMMYFUNCTION("""COMPUTED_VALUE"""),"https://www.tiktok.com/@alviradevikaa")</f>
        <v>https://www.tiktok.com/@alviradevikaa</v>
      </c>
      <c r="D72" s="270">
        <f>IFERROR(__xludf.DUMMYFUNCTION("""COMPUTED_VALUE"""),8.1247059401E10)</f>
        <v>81247059401</v>
      </c>
      <c r="E72" s="271">
        <f>IFERROR(__xludf.DUMMYFUNCTION("""COMPUTED_VALUE"""),0.0)</f>
        <v>0</v>
      </c>
      <c r="F72" s="270">
        <f>IFERROR(__xludf.DUMMYFUNCTION("""COMPUTED_VALUE"""),2.0)</f>
        <v>2</v>
      </c>
      <c r="G72" s="270" t="str">
        <f>IFERROR(__xludf.DUMMYFUNCTION("""COMPUTED_VALUE"""),"43.17m")</f>
        <v>43.17m</v>
      </c>
      <c r="H72" s="293" t="str">
        <f>IFERROR(__xludf.DUMMYFUNCTION("""COMPUTED_VALUE"""),"O.N.S")</f>
        <v>O.N.S</v>
      </c>
      <c r="I72" s="567"/>
      <c r="J72" s="43"/>
      <c r="K72" s="262"/>
      <c r="L72" s="43"/>
      <c r="M72" s="262"/>
      <c r="N72" s="261"/>
      <c r="O72" s="17"/>
      <c r="P72" s="261"/>
      <c r="Q72" s="262"/>
      <c r="R72" s="262"/>
      <c r="S72" s="17"/>
      <c r="T72" s="571"/>
      <c r="U72" s="571"/>
      <c r="V72" s="335"/>
      <c r="W72" s="571"/>
    </row>
    <row r="73">
      <c r="A73" s="255" t="str">
        <f>IFERROR(__xludf.DUMMYFUNCTION("""COMPUTED_VALUE"""),"NANO")</f>
        <v>NANO</v>
      </c>
      <c r="B73" s="23" t="str">
        <f>IFERROR(__xludf.DUMMYFUNCTION("""COMPUTED_VALUE"""),"unboxingtime___")</f>
        <v>unboxingtime___</v>
      </c>
      <c r="C73" s="281" t="str">
        <f>IFERROR(__xludf.DUMMYFUNCTION("""COMPUTED_VALUE"""),"https://www.tiktok.com/@unboxingtime___")</f>
        <v>https://www.tiktok.com/@unboxingtime___</v>
      </c>
      <c r="D73" s="270">
        <f>IFERROR(__xludf.DUMMYFUNCTION("""COMPUTED_VALUE"""),8.1220335521E10)</f>
        <v>81220335521</v>
      </c>
      <c r="E73" s="271">
        <f>IFERROR(__xludf.DUMMYFUNCTION("""COMPUTED_VALUE"""),0.0)</f>
        <v>0</v>
      </c>
      <c r="F73" s="270">
        <f>IFERROR(__xludf.DUMMYFUNCTION("""COMPUTED_VALUE"""),1.0)</f>
        <v>1</v>
      </c>
      <c r="G73" s="270" t="str">
        <f>IFERROR(__xludf.DUMMYFUNCTION("""COMPUTED_VALUE"""),"164.43m")</f>
        <v>164.43m</v>
      </c>
      <c r="H73" s="293"/>
      <c r="I73" s="567"/>
      <c r="J73" s="43"/>
      <c r="K73" s="262"/>
      <c r="L73" s="43"/>
      <c r="M73" s="262"/>
      <c r="N73" s="261"/>
      <c r="O73" s="17"/>
      <c r="P73" s="261"/>
      <c r="Q73" s="262"/>
      <c r="R73" s="262"/>
      <c r="S73" s="17"/>
      <c r="T73" s="571"/>
      <c r="U73" s="571"/>
      <c r="V73" s="335"/>
      <c r="W73" s="571"/>
    </row>
    <row r="74">
      <c r="A74" s="255" t="str">
        <f>IFERROR(__xludf.DUMMYFUNCTION("""COMPUTED_VALUE"""),"NANO")</f>
        <v>NANO</v>
      </c>
      <c r="B74" s="23" t="str">
        <f>IFERROR(__xludf.DUMMYFUNCTION("""COMPUTED_VALUE"""),"cipawwanisa")</f>
        <v>cipawwanisa</v>
      </c>
      <c r="C74" s="281" t="str">
        <f>IFERROR(__xludf.DUMMYFUNCTION("""COMPUTED_VALUE"""),"https://www.tiktok.com/@cipawwanisa")</f>
        <v>https://www.tiktok.com/@cipawwanisa</v>
      </c>
      <c r="D74" s="270"/>
      <c r="E74" s="271">
        <f>IFERROR(__xludf.DUMMYFUNCTION("""COMPUTED_VALUE"""),0.0)</f>
        <v>0</v>
      </c>
      <c r="F74" s="270">
        <f>IFERROR(__xludf.DUMMYFUNCTION("""COMPUTED_VALUE"""),2.0)</f>
        <v>2</v>
      </c>
      <c r="G74" s="270" t="str">
        <f>IFERROR(__xludf.DUMMYFUNCTION("""COMPUTED_VALUE"""),"78.4m")</f>
        <v>78.4m</v>
      </c>
      <c r="H74" s="293"/>
      <c r="I74" s="567" t="str">
        <f>IFERROR(__xludf.DUMMYFUNCTION("""COMPUTED_VALUE"""),"Sampai")</f>
        <v>Sampai</v>
      </c>
      <c r="J74" s="43" t="str">
        <f>IFERROR(__xludf.DUMMYFUNCTION("""COMPUTED_VALUE""")," Concept 1")</f>
        <v> Concept 1</v>
      </c>
      <c r="K74" s="278" t="str">
        <f>IFERROR(__xludf.DUMMYFUNCTION("""COMPUTED_VALUE"""),"https://vt.tiktok.com/ZSxrRcLG3/")</f>
        <v>https://vt.tiktok.com/ZSxrRcLG3/</v>
      </c>
      <c r="L74" s="43"/>
      <c r="M74" s="262"/>
      <c r="N74" s="261"/>
      <c r="O74" s="17"/>
      <c r="P74" s="261"/>
      <c r="Q74" s="262"/>
      <c r="R74" s="262"/>
      <c r="S74" s="17"/>
      <c r="T74" s="571"/>
      <c r="U74" s="571"/>
      <c r="V74" s="335"/>
      <c r="W74" s="571"/>
    </row>
    <row r="75">
      <c r="A75" s="255" t="str">
        <f>IFERROR(__xludf.DUMMYFUNCTION("""COMPUTED_VALUE"""),"MICRO")</f>
        <v>MICRO</v>
      </c>
      <c r="B75" s="23" t="str">
        <f>IFERROR(__xludf.DUMMYFUNCTION("""COMPUTED_VALUE"""),"eristaaa03")</f>
        <v>eristaaa03</v>
      </c>
      <c r="C75" s="281" t="str">
        <f>IFERROR(__xludf.DUMMYFUNCTION("""COMPUTED_VALUE"""),"https://www.tiktok.com/@eristaaa03")</f>
        <v>https://www.tiktok.com/@eristaaa03</v>
      </c>
      <c r="D75" s="270"/>
      <c r="E75" s="271">
        <f>IFERROR(__xludf.DUMMYFUNCTION("""COMPUTED_VALUE"""),0.0)</f>
        <v>0</v>
      </c>
      <c r="F75" s="270">
        <f>IFERROR(__xludf.DUMMYFUNCTION("""COMPUTED_VALUE"""),2.0)</f>
        <v>2</v>
      </c>
      <c r="G75" s="270" t="str">
        <f>IFERROR(__xludf.DUMMYFUNCTION("""COMPUTED_VALUE"""),"32.54m")</f>
        <v>32.54m</v>
      </c>
      <c r="H75" s="293"/>
      <c r="I75" s="567"/>
      <c r="J75" s="43"/>
      <c r="K75" s="262"/>
      <c r="L75" s="43"/>
      <c r="M75" s="262"/>
      <c r="N75" s="261"/>
      <c r="O75" s="17"/>
      <c r="P75" s="261"/>
      <c r="Q75" s="262"/>
      <c r="R75" s="262"/>
      <c r="S75" s="17"/>
      <c r="T75" s="571"/>
      <c r="U75" s="571"/>
      <c r="V75" s="335"/>
      <c r="W75" s="571"/>
    </row>
    <row r="76">
      <c r="A76" s="255" t="str">
        <f>IFERROR(__xludf.DUMMYFUNCTION("""COMPUTED_VALUE"""),"MEGA")</f>
        <v>MEGA</v>
      </c>
      <c r="B76" s="23" t="str">
        <f>IFERROR(__xludf.DUMMYFUNCTION("""COMPUTED_VALUE"""),"lehabottoh")</f>
        <v>lehabottoh</v>
      </c>
      <c r="C76" s="281" t="str">
        <f>IFERROR(__xludf.DUMMYFUNCTION("""COMPUTED_VALUE"""),"https://www.tiktok.com/@lehabottoh")</f>
        <v>https://www.tiktok.com/@lehabottoh</v>
      </c>
      <c r="D76" s="270">
        <f>IFERROR(__xludf.DUMMYFUNCTION("""COMPUTED_VALUE"""),8.7820442711E10)</f>
        <v>87820442711</v>
      </c>
      <c r="E76" s="271">
        <f>IFERROR(__xludf.DUMMYFUNCTION("""COMPUTED_VALUE"""),200000.0)</f>
        <v>200000</v>
      </c>
      <c r="F76" s="270">
        <f>IFERROR(__xludf.DUMMYFUNCTION("""COMPUTED_VALUE"""),2.0)</f>
        <v>2</v>
      </c>
      <c r="G76" s="270" t="str">
        <f>IFERROR(__xludf.DUMMYFUNCTION("""COMPUTED_VALUE"""),"21.87m")</f>
        <v>21.87m</v>
      </c>
      <c r="H76" s="293" t="str">
        <f>IFERROR(__xludf.DUMMYFUNCTION("""COMPUTED_VALUE"""),"O.N.S")</f>
        <v>O.N.S</v>
      </c>
      <c r="I76" s="567" t="str">
        <f>IFERROR(__xludf.DUMMYFUNCTION("""COMPUTED_VALUE"""),"Sampai")</f>
        <v>Sampai</v>
      </c>
      <c r="J76" s="43" t="str">
        <f>IFERROR(__xludf.DUMMYFUNCTION("""COMPUTED_VALUE""")," Concept 1")</f>
        <v> Concept 1</v>
      </c>
      <c r="K76" s="278" t="str">
        <f>IFERROR(__xludf.DUMMYFUNCTION("""COMPUTED_VALUE"""),"https://vt.tiktok.com/ZSxqCXECD/ ")</f>
        <v>https://vt.tiktok.com/ZSxqCXECD/ </v>
      </c>
      <c r="L76" s="43"/>
      <c r="M76" s="262"/>
      <c r="N76" s="261"/>
      <c r="O76" s="17"/>
      <c r="P76" s="261"/>
      <c r="Q76" s="262"/>
      <c r="R76" s="262"/>
      <c r="S76" s="17"/>
      <c r="T76" s="571"/>
      <c r="U76" s="571"/>
      <c r="V76" s="335"/>
      <c r="W76" s="571"/>
    </row>
    <row r="77">
      <c r="A77" s="255" t="str">
        <f>IFERROR(__xludf.DUMMYFUNCTION("""COMPUTED_VALUE"""),"NANO")</f>
        <v>NANO</v>
      </c>
      <c r="B77" s="23" t="str">
        <f>IFERROR(__xludf.DUMMYFUNCTION("""COMPUTED_VALUE"""),"yuliimawth")</f>
        <v>yuliimawth</v>
      </c>
      <c r="C77" s="281" t="str">
        <f>IFERROR(__xludf.DUMMYFUNCTION("""COMPUTED_VALUE"""),"https://www.tiktok.com/@yuliimawth")</f>
        <v>https://www.tiktok.com/@yuliimawth</v>
      </c>
      <c r="D77" s="270"/>
      <c r="E77" s="271">
        <f>IFERROR(__xludf.DUMMYFUNCTION("""COMPUTED_VALUE"""),0.0)</f>
        <v>0</v>
      </c>
      <c r="F77" s="270">
        <f>IFERROR(__xludf.DUMMYFUNCTION("""COMPUTED_VALUE"""),2.0)</f>
        <v>2</v>
      </c>
      <c r="G77" s="270" t="str">
        <f>IFERROR(__xludf.DUMMYFUNCTION("""COMPUTED_VALUE"""),"28.19m")</f>
        <v>28.19m</v>
      </c>
      <c r="H77" s="293"/>
      <c r="I77" s="567"/>
      <c r="J77" s="43"/>
      <c r="K77" s="262"/>
      <c r="L77" s="43"/>
      <c r="M77" s="262"/>
      <c r="N77" s="261"/>
      <c r="O77" s="17"/>
      <c r="P77" s="261"/>
      <c r="Q77" s="262"/>
      <c r="R77" s="262"/>
      <c r="S77" s="17"/>
      <c r="T77" s="571"/>
      <c r="U77" s="571"/>
      <c r="V77" s="335"/>
      <c r="W77" s="571"/>
    </row>
    <row r="78">
      <c r="A78" s="255" t="str">
        <f>IFERROR(__xludf.DUMMYFUNCTION("""COMPUTED_VALUE"""),"MICRO")</f>
        <v>MICRO</v>
      </c>
      <c r="B78" s="23" t="str">
        <f>IFERROR(__xludf.DUMMYFUNCTION("""COMPUTED_VALUE"""),"zihanokta")</f>
        <v>zihanokta</v>
      </c>
      <c r="C78" s="281" t="str">
        <f>IFERROR(__xludf.DUMMYFUNCTION("""COMPUTED_VALUE"""),"https://www.tiktok.com/@zihanokta")</f>
        <v>https://www.tiktok.com/@zihanokta</v>
      </c>
      <c r="D78" s="270">
        <f>IFERROR(__xludf.DUMMYFUNCTION("""COMPUTED_VALUE"""),8.5720022443E10)</f>
        <v>85720022443</v>
      </c>
      <c r="E78" s="271">
        <f>IFERROR(__xludf.DUMMYFUNCTION("""COMPUTED_VALUE"""),350000.0)</f>
        <v>350000</v>
      </c>
      <c r="F78" s="270">
        <f>IFERROR(__xludf.DUMMYFUNCTION("""COMPUTED_VALUE"""),1.0)</f>
        <v>1</v>
      </c>
      <c r="G78" s="270" t="str">
        <f>IFERROR(__xludf.DUMMYFUNCTION("""COMPUTED_VALUE"""),"64,5jt")</f>
        <v>64,5jt</v>
      </c>
      <c r="H78" s="293" t="str">
        <f>IFERROR(__xludf.DUMMYFUNCTION("""COMPUTED_VALUE"""),"O.N.S")</f>
        <v>O.N.S</v>
      </c>
      <c r="I78" s="567" t="str">
        <f>IFERROR(__xludf.DUMMYFUNCTION("""COMPUTED_VALUE"""),"Sampai")</f>
        <v>Sampai</v>
      </c>
      <c r="J78" s="43" t="str">
        <f>IFERROR(__xludf.DUMMYFUNCTION("""COMPUTED_VALUE""")," Concept 1")</f>
        <v> Concept 1</v>
      </c>
      <c r="K78" s="278" t="str">
        <f>IFERROR(__xludf.DUMMYFUNCTION("""COMPUTED_VALUE"""),"https://vt.tiktok.com/ZSQNgEPCf/ ")</f>
        <v>https://vt.tiktok.com/ZSQNgEPCf/ </v>
      </c>
      <c r="L78" s="43"/>
      <c r="M78" s="262"/>
      <c r="N78" s="261"/>
      <c r="O78" s="17"/>
      <c r="P78" s="261"/>
      <c r="Q78" s="262"/>
      <c r="R78" s="262"/>
      <c r="S78" s="17"/>
      <c r="T78" s="571"/>
      <c r="U78" s="571"/>
      <c r="V78" s="335"/>
      <c r="W78" s="571"/>
    </row>
    <row r="79">
      <c r="A79" s="255" t="str">
        <f>IFERROR(__xludf.DUMMYFUNCTION("""COMPUTED_VALUE"""),"MICRO")</f>
        <v>MICRO</v>
      </c>
      <c r="B79" s="23" t="str">
        <f>IFERROR(__xludf.DUMMYFUNCTION("""COMPUTED_VALUE"""),"ncaaaaaaa24_")</f>
        <v>ncaaaaaaa24_</v>
      </c>
      <c r="C79" s="281" t="str">
        <f>IFERROR(__xludf.DUMMYFUNCTION("""COMPUTED_VALUE"""),"https://www.tiktok.com/@ncaaaaaaa24_")</f>
        <v>https://www.tiktok.com/@ncaaaaaaa24_</v>
      </c>
      <c r="D79" s="270">
        <f>IFERROR(__xludf.DUMMYFUNCTION("""COMPUTED_VALUE"""),8.5194260559E10)</f>
        <v>85194260559</v>
      </c>
      <c r="E79" s="271">
        <f>IFERROR(__xludf.DUMMYFUNCTION("""COMPUTED_VALUE"""),400000.0)</f>
        <v>400000</v>
      </c>
      <c r="F79" s="270">
        <f>IFERROR(__xludf.DUMMYFUNCTION("""COMPUTED_VALUE"""),1.0)</f>
        <v>1</v>
      </c>
      <c r="G79" s="270" t="str">
        <f>IFERROR(__xludf.DUMMYFUNCTION("""COMPUTED_VALUE"""),"237.27m")</f>
        <v>237.27m</v>
      </c>
      <c r="H79" s="293"/>
      <c r="I79" s="567"/>
      <c r="J79" s="43"/>
      <c r="K79" s="262"/>
      <c r="L79" s="43"/>
      <c r="M79" s="262"/>
      <c r="N79" s="261"/>
      <c r="O79" s="17"/>
      <c r="P79" s="261"/>
      <c r="Q79" s="262"/>
      <c r="R79" s="262"/>
      <c r="S79" s="17"/>
      <c r="T79" s="571"/>
      <c r="U79" s="571"/>
      <c r="V79" s="335"/>
      <c r="W79" s="571"/>
    </row>
    <row r="80">
      <c r="A80" s="255" t="str">
        <f>IFERROR(__xludf.DUMMYFUNCTION("""COMPUTED_VALUE"""),"MICRO")</f>
        <v>MICRO</v>
      </c>
      <c r="B80" s="23" t="str">
        <f>IFERROR(__xludf.DUMMYFUNCTION("""COMPUTED_VALUE"""),"chaaaajalahyah")</f>
        <v>chaaaajalahyah</v>
      </c>
      <c r="C80" s="281" t="str">
        <f>IFERROR(__xludf.DUMMYFUNCTION("""COMPUTED_VALUE"""),"https://www.tiktok.com/@chaaaajalahyah")</f>
        <v>https://www.tiktok.com/@chaaaajalahyah</v>
      </c>
      <c r="D80" s="270">
        <f>IFERROR(__xludf.DUMMYFUNCTION("""COMPUTED_VALUE"""),8.573258986E10)</f>
        <v>85732589860</v>
      </c>
      <c r="E80" s="271">
        <f>IFERROR(__xludf.DUMMYFUNCTION("""COMPUTED_VALUE"""),0.0)</f>
        <v>0</v>
      </c>
      <c r="F80" s="270">
        <f>IFERROR(__xludf.DUMMYFUNCTION("""COMPUTED_VALUE"""),1.0)</f>
        <v>1</v>
      </c>
      <c r="G80" s="270" t="str">
        <f>IFERROR(__xludf.DUMMYFUNCTION("""COMPUTED_VALUE"""),"53.60m")</f>
        <v>53.60m</v>
      </c>
      <c r="H80" s="293"/>
      <c r="I80" s="567"/>
      <c r="J80" s="43"/>
      <c r="K80" s="262"/>
      <c r="L80" s="43"/>
      <c r="M80" s="262"/>
      <c r="N80" s="261"/>
      <c r="O80" s="17"/>
      <c r="P80" s="261"/>
      <c r="Q80" s="262"/>
      <c r="R80" s="262"/>
      <c r="S80" s="17"/>
      <c r="T80" s="571"/>
      <c r="U80" s="571"/>
      <c r="V80" s="335"/>
      <c r="W80" s="571"/>
    </row>
    <row r="81">
      <c r="A81" s="255" t="str">
        <f>IFERROR(__xludf.DUMMYFUNCTION("""COMPUTED_VALUE"""),"MICRO")</f>
        <v>MICRO</v>
      </c>
      <c r="B81" s="23" t="str">
        <f>IFERROR(__xludf.DUMMYFUNCTION("""COMPUTED_VALUE"""),"shavirapuspitacitra")</f>
        <v>shavirapuspitacitra</v>
      </c>
      <c r="C81" s="281" t="str">
        <f>IFERROR(__xludf.DUMMYFUNCTION("""COMPUTED_VALUE"""),"https://www.tiktok.com/@shavirapuspitacitra")</f>
        <v>https://www.tiktok.com/@shavirapuspitacitra</v>
      </c>
      <c r="D81" s="270">
        <f>IFERROR(__xludf.DUMMYFUNCTION("""COMPUTED_VALUE"""),8.7768647289E10)</f>
        <v>87768647289</v>
      </c>
      <c r="E81" s="271">
        <f>IFERROR(__xludf.DUMMYFUNCTION("""COMPUTED_VALUE"""),250000.0)</f>
        <v>250000</v>
      </c>
      <c r="F81" s="270">
        <f>IFERROR(__xludf.DUMMYFUNCTION("""COMPUTED_VALUE"""),1.0)</f>
        <v>1</v>
      </c>
      <c r="G81" s="270" t="str">
        <f>IFERROR(__xludf.DUMMYFUNCTION("""COMPUTED_VALUE"""),"37.05m")</f>
        <v>37.05m</v>
      </c>
      <c r="H81" s="293"/>
      <c r="I81" s="567"/>
      <c r="J81" s="43"/>
      <c r="K81" s="262"/>
      <c r="L81" s="43"/>
      <c r="M81" s="262"/>
      <c r="N81" s="261"/>
      <c r="O81" s="17"/>
      <c r="P81" s="261"/>
      <c r="Q81" s="262"/>
      <c r="R81" s="262"/>
      <c r="S81" s="17"/>
      <c r="T81" s="571"/>
      <c r="U81" s="571"/>
      <c r="V81" s="335"/>
      <c r="W81" s="571"/>
    </row>
    <row r="82">
      <c r="A82" s="255" t="str">
        <f>IFERROR(__xludf.DUMMYFUNCTION("""COMPUTED_VALUE"""),"NANO")</f>
        <v>NANO</v>
      </c>
      <c r="B82" s="23" t="str">
        <f>IFERROR(__xludf.DUMMYFUNCTION("""COMPUTED_VALUE"""),"liansseptiana")</f>
        <v>liansseptiana</v>
      </c>
      <c r="C82" s="281" t="str">
        <f>IFERROR(__xludf.DUMMYFUNCTION("""COMPUTED_VALUE"""),"https://www.tiktok.com/@liansseptiana")</f>
        <v>https://www.tiktok.com/@liansseptiana</v>
      </c>
      <c r="D82" s="270">
        <f>IFERROR(__xludf.DUMMYFUNCTION("""COMPUTED_VALUE"""),8.5776666279E10)</f>
        <v>85776666279</v>
      </c>
      <c r="E82" s="271">
        <f>IFERROR(__xludf.DUMMYFUNCTION("""COMPUTED_VALUE"""),0.0)</f>
        <v>0</v>
      </c>
      <c r="F82" s="270">
        <f>IFERROR(__xludf.DUMMYFUNCTION("""COMPUTED_VALUE"""),1.0)</f>
        <v>1</v>
      </c>
      <c r="G82" s="270" t="str">
        <f>IFERROR(__xludf.DUMMYFUNCTION("""COMPUTED_VALUE"""),"31.37m")</f>
        <v>31.37m</v>
      </c>
      <c r="H82" s="293"/>
      <c r="I82" s="567"/>
      <c r="J82" s="43"/>
      <c r="K82" s="262"/>
      <c r="L82" s="43"/>
      <c r="M82" s="262"/>
      <c r="N82" s="261"/>
      <c r="O82" s="17"/>
      <c r="P82" s="261"/>
      <c r="Q82" s="262"/>
      <c r="R82" s="262"/>
      <c r="S82" s="17"/>
      <c r="T82" s="571"/>
      <c r="U82" s="571"/>
      <c r="V82" s="571"/>
      <c r="W82" s="571"/>
    </row>
    <row r="83">
      <c r="A83" s="255" t="str">
        <f>IFERROR(__xludf.DUMMYFUNCTION("""COMPUTED_VALUE"""),"NANO")</f>
        <v>NANO</v>
      </c>
      <c r="B83" s="23" t="str">
        <f>IFERROR(__xludf.DUMMYFUNCTION("""COMPUTED_VALUE"""),"si.imel")</f>
        <v>si.imel</v>
      </c>
      <c r="C83" s="281" t="str">
        <f>IFERROR(__xludf.DUMMYFUNCTION("""COMPUTED_VALUE"""),"https://www.tiktok.com/@si.imel")</f>
        <v>https://www.tiktok.com/@si.imel</v>
      </c>
      <c r="D83" s="270">
        <f>IFERROR(__xludf.DUMMYFUNCTION("""COMPUTED_VALUE"""),8.991853251E9)</f>
        <v>8991853251</v>
      </c>
      <c r="E83" s="271">
        <f>IFERROR(__xludf.DUMMYFUNCTION("""COMPUTED_VALUE"""),250000.0)</f>
        <v>250000</v>
      </c>
      <c r="F83" s="270">
        <f>IFERROR(__xludf.DUMMYFUNCTION("""COMPUTED_VALUE"""),1.0)</f>
        <v>1</v>
      </c>
      <c r="G83" s="270" t="str">
        <f>IFERROR(__xludf.DUMMYFUNCTION("""COMPUTED_VALUE"""),"47.44m")</f>
        <v>47.44m</v>
      </c>
      <c r="H83" s="293"/>
      <c r="I83" s="567"/>
      <c r="J83" s="43"/>
      <c r="K83" s="262"/>
      <c r="L83" s="43"/>
      <c r="M83" s="262"/>
      <c r="N83" s="261"/>
      <c r="O83" s="17"/>
      <c r="P83" s="261"/>
      <c r="Q83" s="262"/>
      <c r="R83" s="262"/>
      <c r="S83" s="17"/>
      <c r="T83" s="571"/>
      <c r="U83" s="571"/>
      <c r="V83" s="571"/>
      <c r="W83" s="571"/>
    </row>
    <row r="84">
      <c r="A84" s="255" t="str">
        <f>IFERROR(__xludf.DUMMYFUNCTION("""COMPUTED_VALUE"""),"MICRO")</f>
        <v>MICRO</v>
      </c>
      <c r="B84" s="23" t="str">
        <f>IFERROR(__xludf.DUMMYFUNCTION("""COMPUTED_VALUE"""),"shand_id")</f>
        <v>shand_id</v>
      </c>
      <c r="C84" s="281" t="str">
        <f>IFERROR(__xludf.DUMMYFUNCTION("""COMPUTED_VALUE"""),"https://www.tiktok.com/@shand_id")</f>
        <v>https://www.tiktok.com/@shand_id</v>
      </c>
      <c r="D84" s="270">
        <f>IFERROR(__xludf.DUMMYFUNCTION("""COMPUTED_VALUE"""),8.1234052105E10)</f>
        <v>81234052105</v>
      </c>
      <c r="E84" s="271">
        <f>IFERROR(__xludf.DUMMYFUNCTION("""COMPUTED_VALUE"""),0.0)</f>
        <v>0</v>
      </c>
      <c r="F84" s="270">
        <f>IFERROR(__xludf.DUMMYFUNCTION("""COMPUTED_VALUE"""),2.0)</f>
        <v>2</v>
      </c>
      <c r="G84" s="270" t="str">
        <f>IFERROR(__xludf.DUMMYFUNCTION("""COMPUTED_VALUE"""),"602.64m")</f>
        <v>602.64m</v>
      </c>
      <c r="H84" s="293"/>
      <c r="I84" s="567"/>
      <c r="J84" s="43"/>
      <c r="K84" s="262"/>
      <c r="L84" s="43"/>
      <c r="M84" s="262"/>
      <c r="N84" s="261"/>
      <c r="O84" s="17"/>
      <c r="P84" s="261"/>
      <c r="Q84" s="262"/>
      <c r="R84" s="262"/>
      <c r="S84" s="17"/>
      <c r="T84" s="571"/>
      <c r="U84" s="571"/>
      <c r="V84" s="571"/>
      <c r="W84" s="571"/>
    </row>
    <row r="85">
      <c r="A85" s="255" t="str">
        <f>IFERROR(__xludf.DUMMYFUNCTION("""COMPUTED_VALUE"""),"MICRO")</f>
        <v>MICRO</v>
      </c>
      <c r="B85" s="23" t="str">
        <f>IFERROR(__xludf.DUMMYFUNCTION("""COMPUTED_VALUE"""),"vansswan")</f>
        <v>vansswan</v>
      </c>
      <c r="C85" s="281" t="str">
        <f>IFERROR(__xludf.DUMMYFUNCTION("""COMPUTED_VALUE"""),"https://www.tiktok.com/@vansswan")</f>
        <v>https://www.tiktok.com/@vansswan</v>
      </c>
      <c r="D85" s="270">
        <f>IFERROR(__xludf.DUMMYFUNCTION("""COMPUTED_VALUE"""),8.7891113534E10)</f>
        <v>87891113534</v>
      </c>
      <c r="E85" s="271">
        <f>IFERROR(__xludf.DUMMYFUNCTION("""COMPUTED_VALUE"""),0.0)</f>
        <v>0</v>
      </c>
      <c r="F85" s="270">
        <f>IFERROR(__xludf.DUMMYFUNCTION("""COMPUTED_VALUE"""),2.0)</f>
        <v>2</v>
      </c>
      <c r="G85" s="270" t="str">
        <f>IFERROR(__xludf.DUMMYFUNCTION("""COMPUTED_VALUE"""),"51.73m")</f>
        <v>51.73m</v>
      </c>
      <c r="H85" s="293"/>
      <c r="I85" s="567"/>
      <c r="J85" s="43"/>
      <c r="K85" s="262"/>
      <c r="L85" s="43"/>
      <c r="M85" s="262"/>
      <c r="N85" s="261"/>
      <c r="O85" s="17"/>
      <c r="P85" s="261"/>
      <c r="Q85" s="262"/>
      <c r="R85" s="262"/>
      <c r="S85" s="17"/>
      <c r="T85" s="571"/>
      <c r="U85" s="571"/>
      <c r="V85" s="571"/>
      <c r="W85" s="571"/>
    </row>
    <row r="86">
      <c r="A86" s="255" t="str">
        <f>IFERROR(__xludf.DUMMYFUNCTION("""COMPUTED_VALUE"""),"NANO")</f>
        <v>NANO</v>
      </c>
      <c r="B86" s="23" t="str">
        <f>IFERROR(__xludf.DUMMYFUNCTION("""COMPUTED_VALUE"""),"deni_febrianti2")</f>
        <v>deni_febrianti2</v>
      </c>
      <c r="C86" s="281" t="str">
        <f>IFERROR(__xludf.DUMMYFUNCTION("""COMPUTED_VALUE"""),"https://www.tiktok.com/@deni_febrianti2")</f>
        <v>https://www.tiktok.com/@deni_febrianti2</v>
      </c>
      <c r="D86" s="270">
        <f>IFERROR(__xludf.DUMMYFUNCTION("""COMPUTED_VALUE"""),8.579226915E10)</f>
        <v>85792269150</v>
      </c>
      <c r="E86" s="271">
        <f>IFERROR(__xludf.DUMMYFUNCTION("""COMPUTED_VALUE"""),175000.0)</f>
        <v>175000</v>
      </c>
      <c r="F86" s="270">
        <f>IFERROR(__xludf.DUMMYFUNCTION("""COMPUTED_VALUE"""),1.0)</f>
        <v>1</v>
      </c>
      <c r="G86" s="270" t="str">
        <f>IFERROR(__xludf.DUMMYFUNCTION("""COMPUTED_VALUE"""),"242jt")</f>
        <v>242jt</v>
      </c>
      <c r="H86" s="293"/>
      <c r="I86" s="567"/>
      <c r="J86" s="43"/>
      <c r="K86" s="262"/>
      <c r="L86" s="43"/>
      <c r="M86" s="262"/>
      <c r="N86" s="261"/>
      <c r="O86" s="17"/>
      <c r="P86" s="261"/>
      <c r="Q86" s="262"/>
      <c r="R86" s="262"/>
      <c r="S86" s="17"/>
      <c r="T86" s="571"/>
      <c r="U86" s="571"/>
      <c r="V86" s="571"/>
      <c r="W86" s="571"/>
    </row>
    <row r="87">
      <c r="A87" s="255" t="str">
        <f>IFERROR(__xludf.DUMMYFUNCTION("""COMPUTED_VALUE"""),"MICRO")</f>
        <v>MICRO</v>
      </c>
      <c r="B87" s="23" t="str">
        <f>IFERROR(__xludf.DUMMYFUNCTION("""COMPUTED_VALUE"""),"mia07024")</f>
        <v>mia07024</v>
      </c>
      <c r="C87" s="281" t="str">
        <f>IFERROR(__xludf.DUMMYFUNCTION("""COMPUTED_VALUE"""),"https://www.tiktok.com/@mia07024")</f>
        <v>https://www.tiktok.com/@mia07024</v>
      </c>
      <c r="D87" s="270">
        <f>IFERROR(__xludf.DUMMYFUNCTION("""COMPUTED_VALUE"""),8.975015E9)</f>
        <v>8975015000</v>
      </c>
      <c r="E87" s="271">
        <f>IFERROR(__xludf.DUMMYFUNCTION("""COMPUTED_VALUE"""),200000.0)</f>
        <v>200000</v>
      </c>
      <c r="F87" s="270">
        <f>IFERROR(__xludf.DUMMYFUNCTION("""COMPUTED_VALUE"""),1.0)</f>
        <v>1</v>
      </c>
      <c r="G87" s="270" t="str">
        <f>IFERROR(__xludf.DUMMYFUNCTION("""COMPUTED_VALUE"""),"190.38m")</f>
        <v>190.38m</v>
      </c>
      <c r="H87" s="293"/>
      <c r="I87" s="567"/>
      <c r="J87" s="43"/>
      <c r="K87" s="262"/>
      <c r="L87" s="43"/>
      <c r="M87" s="262"/>
      <c r="N87" s="261"/>
      <c r="O87" s="17"/>
      <c r="P87" s="261"/>
      <c r="Q87" s="262"/>
      <c r="R87" s="262"/>
      <c r="S87" s="17"/>
      <c r="T87" s="571"/>
      <c r="U87" s="571"/>
      <c r="V87" s="571"/>
      <c r="W87" s="571"/>
    </row>
    <row r="88">
      <c r="A88" s="255" t="str">
        <f>IFERROR(__xludf.DUMMYFUNCTION("""COMPUTED_VALUE"""),"MICRO")</f>
        <v>MICRO</v>
      </c>
      <c r="B88" s="23" t="str">
        <f>IFERROR(__xludf.DUMMYFUNCTION("""COMPUTED_VALUE"""),"ekbardiary")</f>
        <v>ekbardiary</v>
      </c>
      <c r="C88" s="281" t="str">
        <f>IFERROR(__xludf.DUMMYFUNCTION("""COMPUTED_VALUE"""),"https://www.tiktok.com/@ekbardiary")</f>
        <v>https://www.tiktok.com/@ekbardiary</v>
      </c>
      <c r="D88" s="270">
        <f>IFERROR(__xludf.DUMMYFUNCTION("""COMPUTED_VALUE"""),8.2118716575E10)</f>
        <v>82118716575</v>
      </c>
      <c r="E88" s="271">
        <f>IFERROR(__xludf.DUMMYFUNCTION("""COMPUTED_VALUE"""),300000.0)</f>
        <v>300000</v>
      </c>
      <c r="F88" s="270">
        <f>IFERROR(__xludf.DUMMYFUNCTION("""COMPUTED_VALUE"""),1.0)</f>
        <v>1</v>
      </c>
      <c r="G88" s="270" t="str">
        <f>IFERROR(__xludf.DUMMYFUNCTION("""COMPUTED_VALUE"""),"87.88JT")</f>
        <v>87.88JT</v>
      </c>
      <c r="H88" s="293"/>
      <c r="I88" s="567"/>
      <c r="J88" s="43"/>
      <c r="K88" s="262"/>
      <c r="L88" s="43"/>
      <c r="M88" s="262"/>
      <c r="N88" s="261"/>
      <c r="O88" s="17"/>
      <c r="P88" s="261"/>
      <c r="Q88" s="262"/>
      <c r="R88" s="262"/>
      <c r="S88" s="17"/>
      <c r="T88" s="571"/>
      <c r="U88" s="571"/>
      <c r="V88" s="571"/>
      <c r="W88" s="571"/>
    </row>
    <row r="89">
      <c r="A89" s="255" t="str">
        <f>IFERROR(__xludf.DUMMYFUNCTION("""COMPUTED_VALUE"""),"MICRO")</f>
        <v>MICRO</v>
      </c>
      <c r="B89" s="23" t="str">
        <f>IFERROR(__xludf.DUMMYFUNCTION("""COMPUTED_VALUE"""),"lilis_sfr")</f>
        <v>lilis_sfr</v>
      </c>
      <c r="C89" s="281" t="str">
        <f>IFERROR(__xludf.DUMMYFUNCTION("""COMPUTED_VALUE"""),"https://www.tiktok.com/@lilis_sfr")</f>
        <v>https://www.tiktok.com/@lilis_sfr</v>
      </c>
      <c r="D89" s="270">
        <f>IFERROR(__xludf.DUMMYFUNCTION("""COMPUTED_VALUE"""),8.81653364E9)</f>
        <v>8816533640</v>
      </c>
      <c r="E89" s="271">
        <f>IFERROR(__xludf.DUMMYFUNCTION("""COMPUTED_VALUE"""),0.0)</f>
        <v>0</v>
      </c>
      <c r="F89" s="270">
        <f>IFERROR(__xludf.DUMMYFUNCTION("""COMPUTED_VALUE"""),2.0)</f>
        <v>2</v>
      </c>
      <c r="G89" s="270" t="str">
        <f>IFERROR(__xludf.DUMMYFUNCTION("""COMPUTED_VALUE"""),"7,66jt")</f>
        <v>7,66jt</v>
      </c>
      <c r="H89" s="293"/>
      <c r="I89" s="567"/>
      <c r="J89" s="43"/>
      <c r="K89" s="262"/>
      <c r="L89" s="43"/>
      <c r="M89" s="262"/>
      <c r="N89" s="261"/>
      <c r="O89" s="17"/>
      <c r="P89" s="261"/>
      <c r="Q89" s="262"/>
      <c r="R89" s="262"/>
      <c r="S89" s="17"/>
      <c r="T89" s="571"/>
      <c r="U89" s="571"/>
      <c r="V89" s="571"/>
      <c r="W89" s="571"/>
    </row>
    <row r="90">
      <c r="A90" s="255" t="str">
        <f>IFERROR(__xludf.DUMMYFUNCTION("""COMPUTED_VALUE"""),"NANO")</f>
        <v>NANO</v>
      </c>
      <c r="B90" s="23" t="str">
        <f>IFERROR(__xludf.DUMMYFUNCTION("""COMPUTED_VALUE"""),"browwyyy8")</f>
        <v>browwyyy8</v>
      </c>
      <c r="C90" s="281" t="str">
        <f>IFERROR(__xludf.DUMMYFUNCTION("""COMPUTED_VALUE"""),"https://www.tiktok.com/@browwyyy8")</f>
        <v>https://www.tiktok.com/@browwyyy8</v>
      </c>
      <c r="D90" s="270">
        <f>IFERROR(__xludf.DUMMYFUNCTION("""COMPUTED_VALUE"""),8.5951556999E10)</f>
        <v>85951556999</v>
      </c>
      <c r="E90" s="271">
        <f>IFERROR(__xludf.DUMMYFUNCTION("""COMPUTED_VALUE"""),0.0)</f>
        <v>0</v>
      </c>
      <c r="F90" s="270">
        <f>IFERROR(__xludf.DUMMYFUNCTION("""COMPUTED_VALUE"""),3.0)</f>
        <v>3</v>
      </c>
      <c r="G90" s="270" t="str">
        <f>IFERROR(__xludf.DUMMYFUNCTION("""COMPUTED_VALUE"""),"30.21m")</f>
        <v>30.21m</v>
      </c>
      <c r="H90" s="293"/>
      <c r="I90" s="567"/>
      <c r="J90" s="43"/>
      <c r="K90" s="262"/>
      <c r="L90" s="43"/>
      <c r="M90" s="262"/>
      <c r="N90" s="261"/>
      <c r="O90" s="17"/>
      <c r="P90" s="261"/>
      <c r="Q90" s="262"/>
      <c r="R90" s="262"/>
      <c r="S90" s="17"/>
      <c r="T90" s="571"/>
      <c r="U90" s="571"/>
      <c r="V90" s="571"/>
      <c r="W90" s="571"/>
    </row>
    <row r="91">
      <c r="A91" s="255" t="str">
        <f>IFERROR(__xludf.DUMMYFUNCTION("""COMPUTED_VALUE"""),"MICRO")</f>
        <v>MICRO</v>
      </c>
      <c r="B91" s="23" t="str">
        <f>IFERROR(__xludf.DUMMYFUNCTION("""COMPUTED_VALUE"""),"pian.s7")</f>
        <v>pian.s7</v>
      </c>
      <c r="C91" s="281" t="str">
        <f>IFERROR(__xludf.DUMMYFUNCTION("""COMPUTED_VALUE"""),"https://www.tiktok.com/@pian.s7")</f>
        <v>https://www.tiktok.com/@pian.s7</v>
      </c>
      <c r="D91" s="270">
        <f>IFERROR(__xludf.DUMMYFUNCTION("""COMPUTED_VALUE"""),8.2236277633E10)</f>
        <v>82236277633</v>
      </c>
      <c r="E91" s="271">
        <f>IFERROR(__xludf.DUMMYFUNCTION("""COMPUTED_VALUE"""),0.0)</f>
        <v>0</v>
      </c>
      <c r="F91" s="270">
        <f>IFERROR(__xludf.DUMMYFUNCTION("""COMPUTED_VALUE"""),2.0)</f>
        <v>2</v>
      </c>
      <c r="G91" s="270" t="str">
        <f>IFERROR(__xludf.DUMMYFUNCTION("""COMPUTED_VALUE"""),"11.80m")</f>
        <v>11.80m</v>
      </c>
      <c r="H91" s="293"/>
      <c r="I91" s="567"/>
      <c r="J91" s="43"/>
      <c r="K91" s="262"/>
      <c r="L91" s="43"/>
      <c r="M91" s="262"/>
      <c r="N91" s="261"/>
      <c r="O91" s="17"/>
      <c r="P91" s="261"/>
      <c r="Q91" s="262"/>
      <c r="R91" s="262"/>
      <c r="S91" s="17"/>
      <c r="T91" s="571"/>
      <c r="U91" s="571"/>
      <c r="V91" s="571"/>
      <c r="W91" s="571"/>
    </row>
    <row r="92">
      <c r="A92" s="255" t="str">
        <f>IFERROR(__xludf.DUMMYFUNCTION("""COMPUTED_VALUE"""),"MICRO")</f>
        <v>MICRO</v>
      </c>
      <c r="B92" s="23" t="str">
        <f>IFERROR(__xludf.DUMMYFUNCTION("""COMPUTED_VALUE"""),"ncaaaaaaa24_")</f>
        <v>ncaaaaaaa24_</v>
      </c>
      <c r="C92" s="281" t="str">
        <f>IFERROR(__xludf.DUMMYFUNCTION("""COMPUTED_VALUE"""),"https://www.tiktok.com/@ncaaaaaaa24_")</f>
        <v>https://www.tiktok.com/@ncaaaaaaa24_</v>
      </c>
      <c r="D92" s="270">
        <f>IFERROR(__xludf.DUMMYFUNCTION("""COMPUTED_VALUE"""),8.5194260559E10)</f>
        <v>85194260559</v>
      </c>
      <c r="E92" s="271">
        <f>IFERROR(__xludf.DUMMYFUNCTION("""COMPUTED_VALUE"""),400000.0)</f>
        <v>400000</v>
      </c>
      <c r="F92" s="270">
        <f>IFERROR(__xludf.DUMMYFUNCTION("""COMPUTED_VALUE"""),2.0)</f>
        <v>2</v>
      </c>
      <c r="G92" s="270" t="str">
        <f>IFERROR(__xludf.DUMMYFUNCTION("""COMPUTED_VALUE"""),"396,7jt")</f>
        <v>396,7jt</v>
      </c>
      <c r="H92" s="293"/>
      <c r="I92" s="567"/>
      <c r="J92" s="43"/>
      <c r="K92" s="262"/>
      <c r="L92" s="43"/>
      <c r="M92" s="262"/>
      <c r="N92" s="261"/>
      <c r="O92" s="17"/>
      <c r="P92" s="261"/>
      <c r="Q92" s="262"/>
      <c r="R92" s="262"/>
      <c r="S92" s="17"/>
      <c r="T92" s="571"/>
      <c r="U92" s="571"/>
      <c r="V92" s="571"/>
      <c r="W92" s="571"/>
    </row>
    <row r="93">
      <c r="A93" s="255" t="str">
        <f>IFERROR(__xludf.DUMMYFUNCTION("""COMPUTED_VALUE"""),"MICRO")</f>
        <v>MICRO</v>
      </c>
      <c r="B93" s="23" t="str">
        <f>IFERROR(__xludf.DUMMYFUNCTION("""COMPUTED_VALUE"""),"choconad22")</f>
        <v>choconad22</v>
      </c>
      <c r="C93" s="281" t="str">
        <f>IFERROR(__xludf.DUMMYFUNCTION("""COMPUTED_VALUE"""),"https://www.tiktok.com/@choconad22")</f>
        <v>https://www.tiktok.com/@choconad22</v>
      </c>
      <c r="D93" s="270">
        <f>IFERROR(__xludf.DUMMYFUNCTION("""COMPUTED_VALUE"""),8.7744669141E10)</f>
        <v>87744669141</v>
      </c>
      <c r="E93" s="271"/>
      <c r="F93" s="270"/>
      <c r="G93" s="270" t="str">
        <f>IFERROR(__xludf.DUMMYFUNCTION("""COMPUTED_VALUE"""),"175,9jt")</f>
        <v>175,9jt</v>
      </c>
      <c r="H93" s="293"/>
      <c r="I93" s="567"/>
      <c r="J93" s="43"/>
      <c r="K93" s="262"/>
      <c r="L93" s="43"/>
      <c r="M93" s="262"/>
      <c r="N93" s="261"/>
      <c r="O93" s="17"/>
      <c r="P93" s="261"/>
      <c r="Q93" s="262"/>
      <c r="R93" s="262"/>
      <c r="S93" s="17"/>
      <c r="T93" s="571"/>
      <c r="U93" s="571"/>
      <c r="V93" s="571"/>
      <c r="W93" s="571"/>
    </row>
    <row r="94">
      <c r="A94" s="255" t="str">
        <f>IFERROR(__xludf.DUMMYFUNCTION("""COMPUTED_VALUE"""),"NANO")</f>
        <v>NANO</v>
      </c>
      <c r="B94" s="23" t="str">
        <f>IFERROR(__xludf.DUMMYFUNCTION("""COMPUTED_VALUE"""),"kakaklin_")</f>
        <v>kakaklin_</v>
      </c>
      <c r="C94" s="281" t="str">
        <f>IFERROR(__xludf.DUMMYFUNCTION("""COMPUTED_VALUE"""),"https://www.tiktok.com/@kakaklin_")</f>
        <v>https://www.tiktok.com/@kakaklin_</v>
      </c>
      <c r="D94" s="270">
        <f>IFERROR(__xludf.DUMMYFUNCTION("""COMPUTED_VALUE"""),8.2112568747E10)</f>
        <v>82112568747</v>
      </c>
      <c r="E94" s="271">
        <f>IFERROR(__xludf.DUMMYFUNCTION("""COMPUTED_VALUE"""),0.0)</f>
        <v>0</v>
      </c>
      <c r="F94" s="270">
        <f>IFERROR(__xludf.DUMMYFUNCTION("""COMPUTED_VALUE"""),2.0)</f>
        <v>2</v>
      </c>
      <c r="G94" s="270" t="str">
        <f>IFERROR(__xludf.DUMMYFUNCTION("""COMPUTED_VALUE"""),"30.77m")</f>
        <v>30.77m</v>
      </c>
      <c r="H94" s="293"/>
      <c r="I94" s="567"/>
      <c r="J94" s="43"/>
      <c r="K94" s="262"/>
      <c r="L94" s="43"/>
      <c r="M94" s="262"/>
      <c r="N94" s="261"/>
      <c r="O94" s="17"/>
      <c r="P94" s="261"/>
      <c r="Q94" s="262"/>
      <c r="R94" s="262"/>
      <c r="S94" s="17"/>
      <c r="T94" s="571"/>
      <c r="U94" s="571"/>
      <c r="V94" s="571"/>
      <c r="W94" s="571"/>
    </row>
    <row r="95">
      <c r="A95" s="255" t="str">
        <f>IFERROR(__xludf.DUMMYFUNCTION("""COMPUTED_VALUE"""),"NANO")</f>
        <v>NANO</v>
      </c>
      <c r="B95" s="23" t="str">
        <f>IFERROR(__xludf.DUMMYFUNCTION("""COMPUTED_VALUE"""),"beningtyasw")</f>
        <v>beningtyasw</v>
      </c>
      <c r="C95" s="281" t="str">
        <f>IFERROR(__xludf.DUMMYFUNCTION("""COMPUTED_VALUE"""),"https://www.tiktok.com/@beningtyasw")</f>
        <v>https://www.tiktok.com/@beningtyasw</v>
      </c>
      <c r="D95" s="270">
        <f>IFERROR(__xludf.DUMMYFUNCTION("""COMPUTED_VALUE"""),8.5338144627E10)</f>
        <v>85338144627</v>
      </c>
      <c r="E95" s="271"/>
      <c r="F95" s="270"/>
      <c r="G95" s="270" t="str">
        <f>IFERROR(__xludf.DUMMYFUNCTION("""COMPUTED_VALUE"""),"63.03m")</f>
        <v>63.03m</v>
      </c>
      <c r="H95" s="293"/>
      <c r="I95" s="567"/>
      <c r="J95" s="43"/>
      <c r="K95" s="262"/>
      <c r="L95" s="43"/>
      <c r="M95" s="262"/>
      <c r="N95" s="261"/>
      <c r="O95" s="17"/>
      <c r="P95" s="261"/>
      <c r="Q95" s="262"/>
      <c r="R95" s="262"/>
      <c r="S95" s="17"/>
      <c r="T95" s="571"/>
      <c r="U95" s="571"/>
      <c r="V95" s="571"/>
      <c r="W95" s="571"/>
    </row>
    <row r="96">
      <c r="A96" s="255" t="str">
        <f>IFERROR(__xludf.DUMMYFUNCTION("""COMPUTED_VALUE"""),"NANO")</f>
        <v>NANO</v>
      </c>
      <c r="B96" s="23" t="str">
        <f>IFERROR(__xludf.DUMMYFUNCTION("""COMPUTED_VALUE"""),"fhateeem")</f>
        <v>fhateeem</v>
      </c>
      <c r="C96" s="281" t="str">
        <f>IFERROR(__xludf.DUMMYFUNCTION("""COMPUTED_VALUE"""),"https://www.tiktok.com/@fhateeem")</f>
        <v>https://www.tiktok.com/@fhateeem</v>
      </c>
      <c r="D96" s="270">
        <f>IFERROR(__xludf.DUMMYFUNCTION("""COMPUTED_VALUE"""),8.7741755537E10)</f>
        <v>87741755537</v>
      </c>
      <c r="E96" s="271">
        <f>IFERROR(__xludf.DUMMYFUNCTION("""COMPUTED_VALUE"""),0.0)</f>
        <v>0</v>
      </c>
      <c r="F96" s="270">
        <f>IFERROR(__xludf.DUMMYFUNCTION("""COMPUTED_VALUE"""),2.0)</f>
        <v>2</v>
      </c>
      <c r="G96" s="270" t="str">
        <f>IFERROR(__xludf.DUMMYFUNCTION("""COMPUTED_VALUE"""),"18.48m")</f>
        <v>18.48m</v>
      </c>
      <c r="H96" s="293"/>
      <c r="I96" s="567"/>
      <c r="J96" s="43"/>
      <c r="K96" s="262"/>
      <c r="L96" s="43"/>
      <c r="M96" s="262"/>
      <c r="N96" s="261"/>
      <c r="O96" s="17"/>
      <c r="P96" s="261"/>
      <c r="Q96" s="262"/>
      <c r="R96" s="262"/>
      <c r="S96" s="17"/>
      <c r="T96" s="571"/>
      <c r="U96" s="571"/>
      <c r="V96" s="571"/>
      <c r="W96" s="571"/>
    </row>
    <row r="97">
      <c r="A97" s="255" t="str">
        <f>IFERROR(__xludf.DUMMYFUNCTION("""COMPUTED_VALUE"""),"NANO")</f>
        <v>NANO</v>
      </c>
      <c r="B97" s="23" t="str">
        <f>IFERROR(__xludf.DUMMYFUNCTION("""COMPUTED_VALUE"""),"hayndep")</f>
        <v>hayndep</v>
      </c>
      <c r="C97" s="281" t="str">
        <f>IFERROR(__xludf.DUMMYFUNCTION("""COMPUTED_VALUE"""),"https://www.tiktok.com/@hayndep")</f>
        <v>https://www.tiktok.com/@hayndep</v>
      </c>
      <c r="D97" s="270">
        <f>IFERROR(__xludf.DUMMYFUNCTION("""COMPUTED_VALUE"""),8.1281702413E10)</f>
        <v>81281702413</v>
      </c>
      <c r="E97" s="271">
        <f>IFERROR(__xludf.DUMMYFUNCTION("""COMPUTED_VALUE"""),100000.0)</f>
        <v>100000</v>
      </c>
      <c r="F97" s="270">
        <f>IFERROR(__xludf.DUMMYFUNCTION("""COMPUTED_VALUE"""),1.0)</f>
        <v>1</v>
      </c>
      <c r="G97" s="270" t="str">
        <f>IFERROR(__xludf.DUMMYFUNCTION("""COMPUTED_VALUE"""),"7.96m")</f>
        <v>7.96m</v>
      </c>
      <c r="H97" s="293"/>
      <c r="I97" s="567"/>
      <c r="J97" s="43"/>
      <c r="K97" s="262"/>
      <c r="L97" s="43"/>
      <c r="M97" s="262"/>
      <c r="N97" s="261"/>
      <c r="O97" s="17"/>
      <c r="P97" s="261"/>
      <c r="Q97" s="262"/>
      <c r="R97" s="262"/>
      <c r="S97" s="17"/>
      <c r="T97" s="571"/>
      <c r="U97" s="571"/>
      <c r="V97" s="571"/>
      <c r="W97" s="571"/>
    </row>
    <row r="98">
      <c r="A98" s="255" t="str">
        <f>IFERROR(__xludf.DUMMYFUNCTION("""COMPUTED_VALUE"""),"MACRO")</f>
        <v>MACRO</v>
      </c>
      <c r="B98" s="23" t="str">
        <f>IFERROR(__xludf.DUMMYFUNCTION("""COMPUTED_VALUE"""),"intnwulnn_")</f>
        <v>intnwulnn_</v>
      </c>
      <c r="C98" s="281" t="str">
        <f>IFERROR(__xludf.DUMMYFUNCTION("""COMPUTED_VALUE"""),"https://www.tiktok.com/@intnwulnn_")</f>
        <v>https://www.tiktok.com/@intnwulnn_</v>
      </c>
      <c r="D98" s="270">
        <f>IFERROR(__xludf.DUMMYFUNCTION("""COMPUTED_VALUE"""),8.992559368E9)</f>
        <v>8992559368</v>
      </c>
      <c r="E98" s="271">
        <f>IFERROR(__xludf.DUMMYFUNCTION("""COMPUTED_VALUE"""),0.0)</f>
        <v>0</v>
      </c>
      <c r="F98" s="270">
        <f>IFERROR(__xludf.DUMMYFUNCTION("""COMPUTED_VALUE"""),1.0)</f>
        <v>1</v>
      </c>
      <c r="G98" s="270" t="str">
        <f>IFERROR(__xludf.DUMMYFUNCTION("""COMPUTED_VALUE"""),"17jt")</f>
        <v>17jt</v>
      </c>
      <c r="H98" s="293"/>
      <c r="I98" s="567"/>
      <c r="J98" s="43"/>
      <c r="K98" s="262"/>
      <c r="L98" s="43"/>
      <c r="M98" s="262"/>
      <c r="N98" s="261"/>
      <c r="O98" s="17"/>
      <c r="P98" s="261"/>
      <c r="Q98" s="262"/>
      <c r="R98" s="262"/>
      <c r="S98" s="17"/>
      <c r="T98" s="571"/>
      <c r="U98" s="571"/>
      <c r="V98" s="571"/>
      <c r="W98" s="571"/>
    </row>
    <row r="99">
      <c r="A99" s="255" t="str">
        <f>IFERROR(__xludf.DUMMYFUNCTION("""COMPUTED_VALUE"""),"NANO")</f>
        <v>NANO</v>
      </c>
      <c r="B99" s="23" t="str">
        <f>IFERROR(__xludf.DUMMYFUNCTION("""COMPUTED_VALUE"""),"anotherbinaa_")</f>
        <v>anotherbinaa_</v>
      </c>
      <c r="C99" s="281" t="str">
        <f>IFERROR(__xludf.DUMMYFUNCTION("""COMPUTED_VALUE"""),"https://www.tiktok.com/@anotherbinaa_")</f>
        <v>https://www.tiktok.com/@anotherbinaa_</v>
      </c>
      <c r="D99" s="270">
        <f>IFERROR(__xludf.DUMMYFUNCTION("""COMPUTED_VALUE"""),8.3811857504E10)</f>
        <v>83811857504</v>
      </c>
      <c r="E99" s="271">
        <f>IFERROR(__xludf.DUMMYFUNCTION("""COMPUTED_VALUE"""),0.0)</f>
        <v>0</v>
      </c>
      <c r="F99" s="270">
        <f>IFERROR(__xludf.DUMMYFUNCTION("""COMPUTED_VALUE"""),2.0)</f>
        <v>2</v>
      </c>
      <c r="G99" s="270" t="str">
        <f>IFERROR(__xludf.DUMMYFUNCTION("""COMPUTED_VALUE"""),"13.83m")</f>
        <v>13.83m</v>
      </c>
      <c r="H99" s="293"/>
      <c r="I99" s="567"/>
      <c r="J99" s="43"/>
      <c r="K99" s="262"/>
      <c r="L99" s="43"/>
      <c r="M99" s="262"/>
      <c r="N99" s="261"/>
      <c r="O99" s="17"/>
      <c r="P99" s="261"/>
      <c r="Q99" s="262"/>
      <c r="R99" s="262"/>
      <c r="S99" s="17"/>
      <c r="T99" s="571"/>
      <c r="U99" s="571"/>
      <c r="V99" s="571"/>
      <c r="W99" s="571"/>
    </row>
    <row r="100">
      <c r="A100" s="255" t="str">
        <f>IFERROR(__xludf.DUMMYFUNCTION("""COMPUTED_VALUE"""),"NANO")</f>
        <v>NANO</v>
      </c>
      <c r="B100" s="23" t="str">
        <f>IFERROR(__xludf.DUMMYFUNCTION("""COMPUTED_VALUE"""),"nnfshah")</f>
        <v>nnfshah</v>
      </c>
      <c r="C100" s="281" t="str">
        <f>IFERROR(__xludf.DUMMYFUNCTION("""COMPUTED_VALUE"""),"https://www.tiktok.com/@nnfshah")</f>
        <v>https://www.tiktok.com/@nnfshah</v>
      </c>
      <c r="D100" s="270">
        <f>IFERROR(__xludf.DUMMYFUNCTION("""COMPUTED_VALUE"""),8.571873984E10)</f>
        <v>85718739840</v>
      </c>
      <c r="E100" s="271">
        <f>IFERROR(__xludf.DUMMYFUNCTION("""COMPUTED_VALUE"""),0.0)</f>
        <v>0</v>
      </c>
      <c r="F100" s="270">
        <f>IFERROR(__xludf.DUMMYFUNCTION("""COMPUTED_VALUE"""),2.0)</f>
        <v>2</v>
      </c>
      <c r="G100" s="270" t="str">
        <f>IFERROR(__xludf.DUMMYFUNCTION("""COMPUTED_VALUE"""),"6.36m")</f>
        <v>6.36m</v>
      </c>
      <c r="H100" s="293"/>
      <c r="I100" s="567"/>
      <c r="J100" s="43"/>
      <c r="K100" s="262"/>
      <c r="L100" s="43"/>
      <c r="M100" s="262"/>
      <c r="N100" s="261"/>
      <c r="O100" s="17"/>
      <c r="P100" s="261"/>
      <c r="Q100" s="262"/>
      <c r="R100" s="262"/>
      <c r="S100" s="17"/>
      <c r="T100" s="571"/>
      <c r="U100" s="571"/>
      <c r="V100" s="571"/>
      <c r="W100" s="571"/>
    </row>
    <row r="101">
      <c r="A101" s="255" t="str">
        <f>IFERROR(__xludf.DUMMYFUNCTION("""COMPUTED_VALUE"""),"MICRO")</f>
        <v>MICRO</v>
      </c>
      <c r="B101" s="23" t="str">
        <f>IFERROR(__xludf.DUMMYFUNCTION("""COMPUTED_VALUE"""),"muhannah.fitria")</f>
        <v>muhannah.fitria</v>
      </c>
      <c r="C101" s="281" t="str">
        <f>IFERROR(__xludf.DUMMYFUNCTION("""COMPUTED_VALUE"""),"https://www.tiktok.com/@muhannah.fitria")</f>
        <v>https://www.tiktok.com/@muhannah.fitria</v>
      </c>
      <c r="D101" s="270">
        <f>IFERROR(__xludf.DUMMYFUNCTION("""COMPUTED_VALUE"""),8.5815210795E10)</f>
        <v>85815210795</v>
      </c>
      <c r="E101" s="271">
        <f>IFERROR(__xludf.DUMMYFUNCTION("""COMPUTED_VALUE"""),200000.0)</f>
        <v>200000</v>
      </c>
      <c r="F101" s="270">
        <f>IFERROR(__xludf.DUMMYFUNCTION("""COMPUTED_VALUE"""),1.0)</f>
        <v>1</v>
      </c>
      <c r="G101" s="270" t="str">
        <f>IFERROR(__xludf.DUMMYFUNCTION("""COMPUTED_VALUE"""),"14.33m")</f>
        <v>14.33m</v>
      </c>
      <c r="H101" s="293"/>
      <c r="I101" s="567"/>
      <c r="J101" s="43"/>
      <c r="K101" s="262"/>
      <c r="L101" s="43"/>
      <c r="M101" s="262"/>
      <c r="N101" s="261"/>
      <c r="O101" s="17"/>
      <c r="P101" s="261"/>
      <c r="Q101" s="262"/>
      <c r="R101" s="262"/>
      <c r="S101" s="17"/>
      <c r="T101" s="571"/>
      <c r="U101" s="571"/>
      <c r="V101" s="571"/>
      <c r="W101" s="571"/>
    </row>
    <row r="102">
      <c r="A102" s="255" t="str">
        <f>IFERROR(__xludf.DUMMYFUNCTION("""COMPUTED_VALUE"""),"NANO")</f>
        <v>NANO</v>
      </c>
      <c r="B102" s="23" t="str">
        <f>IFERROR(__xludf.DUMMYFUNCTION("""COMPUTED_VALUE"""),"liansseptiana")</f>
        <v>liansseptiana</v>
      </c>
      <c r="C102" s="281" t="str">
        <f>IFERROR(__xludf.DUMMYFUNCTION("""COMPUTED_VALUE"""),"https://www.tiktok.com/@liansseptiana")</f>
        <v>https://www.tiktok.com/@liansseptiana</v>
      </c>
      <c r="D102" s="270">
        <f>IFERROR(__xludf.DUMMYFUNCTION("""COMPUTED_VALUE"""),8.5776666279E10)</f>
        <v>85776666279</v>
      </c>
      <c r="E102" s="271">
        <f>IFERROR(__xludf.DUMMYFUNCTION("""COMPUTED_VALUE"""),0.0)</f>
        <v>0</v>
      </c>
      <c r="F102" s="270">
        <f>IFERROR(__xludf.DUMMYFUNCTION("""COMPUTED_VALUE"""),2.0)</f>
        <v>2</v>
      </c>
      <c r="G102" s="270" t="str">
        <f>IFERROR(__xludf.DUMMYFUNCTION("""COMPUTED_VALUE"""),"30.28m")</f>
        <v>30.28m</v>
      </c>
      <c r="H102" s="293"/>
      <c r="I102" s="567"/>
      <c r="J102" s="43"/>
      <c r="K102" s="262"/>
      <c r="L102" s="43"/>
      <c r="M102" s="262"/>
      <c r="N102" s="261"/>
      <c r="O102" s="17"/>
      <c r="P102" s="261"/>
      <c r="Q102" s="262"/>
      <c r="R102" s="262"/>
      <c r="S102" s="17"/>
      <c r="T102" s="571"/>
      <c r="U102" s="571"/>
      <c r="V102" s="571"/>
      <c r="W102" s="571"/>
    </row>
    <row r="103">
      <c r="A103" s="255" t="str">
        <f>IFERROR(__xludf.DUMMYFUNCTION("""COMPUTED_VALUE"""),"NANO")</f>
        <v>NANO</v>
      </c>
      <c r="B103" s="23" t="str">
        <f>IFERROR(__xludf.DUMMYFUNCTION("""COMPUTED_VALUE"""),"nanadd0.7")</f>
        <v>nanadd0.7</v>
      </c>
      <c r="C103" s="281" t="str">
        <f>IFERROR(__xludf.DUMMYFUNCTION("""COMPUTED_VALUE"""),"https://www.tiktok.com/@nanadd0.7")</f>
        <v>https://www.tiktok.com/@nanadd0.7</v>
      </c>
      <c r="D103" s="270">
        <f>IFERROR(__xludf.DUMMYFUNCTION("""COMPUTED_VALUE"""),8.317583747E10)</f>
        <v>83175837470</v>
      </c>
      <c r="E103" s="271">
        <f>IFERROR(__xludf.DUMMYFUNCTION("""COMPUTED_VALUE"""),0.0)</f>
        <v>0</v>
      </c>
      <c r="F103" s="270">
        <f>IFERROR(__xludf.DUMMYFUNCTION("""COMPUTED_VALUE"""),2.0)</f>
        <v>2</v>
      </c>
      <c r="G103" s="270" t="str">
        <f>IFERROR(__xludf.DUMMYFUNCTION("""COMPUTED_VALUE"""),"34.96m")</f>
        <v>34.96m</v>
      </c>
      <c r="H103" s="293"/>
      <c r="I103" s="567"/>
      <c r="J103" s="43"/>
      <c r="K103" s="262"/>
      <c r="L103" s="43"/>
      <c r="M103" s="262"/>
      <c r="N103" s="261"/>
      <c r="O103" s="17"/>
      <c r="P103" s="261"/>
      <c r="Q103" s="262"/>
      <c r="R103" s="262"/>
      <c r="S103" s="17"/>
      <c r="T103" s="571"/>
      <c r="U103" s="571"/>
      <c r="V103" s="571"/>
      <c r="W103" s="571"/>
    </row>
    <row r="104">
      <c r="A104" s="255" t="str">
        <f>IFERROR(__xludf.DUMMYFUNCTION("""COMPUTED_VALUE"""),"NANO")</f>
        <v>NANO</v>
      </c>
      <c r="B104" s="23" t="str">
        <f>IFERROR(__xludf.DUMMYFUNCTION("""COMPUTED_VALUE"""),"papiipaw")</f>
        <v>papiipaw</v>
      </c>
      <c r="C104" s="281" t="str">
        <f>IFERROR(__xludf.DUMMYFUNCTION("""COMPUTED_VALUE"""),"https://www.tiktok.com/@papiipaw")</f>
        <v>https://www.tiktok.com/@papiipaw</v>
      </c>
      <c r="D104" s="270">
        <f>IFERROR(__xludf.DUMMYFUNCTION("""COMPUTED_VALUE"""),8.8200610958E11)</f>
        <v>882006109580</v>
      </c>
      <c r="E104" s="271">
        <f>IFERROR(__xludf.DUMMYFUNCTION("""COMPUTED_VALUE"""),0.0)</f>
        <v>0</v>
      </c>
      <c r="F104" s="270">
        <f>IFERROR(__xludf.DUMMYFUNCTION("""COMPUTED_VALUE"""),2.0)</f>
        <v>2</v>
      </c>
      <c r="G104" s="270" t="str">
        <f>IFERROR(__xludf.DUMMYFUNCTION("""COMPUTED_VALUE"""),"152,9jt")</f>
        <v>152,9jt</v>
      </c>
      <c r="H104" s="293"/>
      <c r="I104" s="567"/>
      <c r="J104" s="43"/>
      <c r="K104" s="262"/>
      <c r="L104" s="43"/>
      <c r="M104" s="262"/>
      <c r="N104" s="261"/>
      <c r="O104" s="17"/>
      <c r="P104" s="261"/>
      <c r="Q104" s="262"/>
      <c r="R104" s="262"/>
      <c r="S104" s="17"/>
      <c r="T104" s="571"/>
      <c r="U104" s="571"/>
      <c r="V104" s="571"/>
      <c r="W104" s="571"/>
    </row>
    <row r="105">
      <c r="A105" s="255" t="str">
        <f>IFERROR(__xludf.DUMMYFUNCTION("""COMPUTED_VALUE"""),"MICRO")</f>
        <v>MICRO</v>
      </c>
      <c r="B105" s="23" t="str">
        <f>IFERROR(__xludf.DUMMYFUNCTION("""COMPUTED_VALUE"""),"pptlktskm")</f>
        <v>pptlktskm</v>
      </c>
      <c r="C105" s="281" t="str">
        <f>IFERROR(__xludf.DUMMYFUNCTION("""COMPUTED_VALUE"""),"https://www.tiktok.com/@pptlktskm")</f>
        <v>https://www.tiktok.com/@pptlktskm</v>
      </c>
      <c r="D105" s="270">
        <f>IFERROR(__xludf.DUMMYFUNCTION("""COMPUTED_VALUE"""),8.5871602092E10)</f>
        <v>85871602092</v>
      </c>
      <c r="E105" s="271">
        <f>IFERROR(__xludf.DUMMYFUNCTION("""COMPUTED_VALUE"""),0.0)</f>
        <v>0</v>
      </c>
      <c r="F105" s="270">
        <f>IFERROR(__xludf.DUMMYFUNCTION("""COMPUTED_VALUE"""),2.0)</f>
        <v>2</v>
      </c>
      <c r="G105" s="270" t="str">
        <f>IFERROR(__xludf.DUMMYFUNCTION("""COMPUTED_VALUE"""),"16.32m")</f>
        <v>16.32m</v>
      </c>
      <c r="H105" s="293"/>
      <c r="I105" s="567"/>
      <c r="J105" s="43"/>
      <c r="K105" s="262"/>
      <c r="L105" s="43"/>
      <c r="M105" s="262"/>
      <c r="N105" s="261"/>
      <c r="O105" s="17"/>
      <c r="P105" s="261"/>
      <c r="Q105" s="262"/>
      <c r="R105" s="262"/>
      <c r="S105" s="17"/>
      <c r="T105" s="571"/>
      <c r="U105" s="571"/>
      <c r="V105" s="571"/>
      <c r="W105" s="571"/>
    </row>
    <row r="106">
      <c r="A106" s="255" t="str">
        <f>IFERROR(__xludf.DUMMYFUNCTION("""COMPUTED_VALUE"""),"MICRO")</f>
        <v>MICRO</v>
      </c>
      <c r="B106" s="23" t="str">
        <f>IFERROR(__xludf.DUMMYFUNCTION("""COMPUTED_VALUE"""),"anyagabrielles")</f>
        <v>anyagabrielles</v>
      </c>
      <c r="C106" s="281" t="str">
        <f>IFERROR(__xludf.DUMMYFUNCTION("""COMPUTED_VALUE"""),"https://www.tiktok.com/@anyagabrielles")</f>
        <v>https://www.tiktok.com/@anyagabrielles</v>
      </c>
      <c r="D106" s="270">
        <f>IFERROR(__xludf.DUMMYFUNCTION("""COMPUTED_VALUE"""),8.95803667121E11)</f>
        <v>895803667121</v>
      </c>
      <c r="E106" s="271">
        <f>IFERROR(__xludf.DUMMYFUNCTION("""COMPUTED_VALUE"""),0.0)</f>
        <v>0</v>
      </c>
      <c r="F106" s="270">
        <f>IFERROR(__xludf.DUMMYFUNCTION("""COMPUTED_VALUE"""),1.0)</f>
        <v>1</v>
      </c>
      <c r="G106" s="270" t="str">
        <f>IFERROR(__xludf.DUMMYFUNCTION("""COMPUTED_VALUE"""),"39,8JT")</f>
        <v>39,8JT</v>
      </c>
      <c r="H106" s="293"/>
      <c r="I106" s="567"/>
      <c r="J106" s="43"/>
      <c r="K106" s="262"/>
      <c r="L106" s="43"/>
      <c r="M106" s="262"/>
      <c r="N106" s="261"/>
      <c r="O106" s="17"/>
      <c r="P106" s="261"/>
      <c r="Q106" s="262"/>
      <c r="R106" s="262"/>
      <c r="S106" s="17"/>
      <c r="T106" s="571"/>
      <c r="U106" s="571"/>
      <c r="V106" s="571"/>
      <c r="W106" s="571"/>
    </row>
    <row r="107">
      <c r="A107" s="255" t="str">
        <f>IFERROR(__xludf.DUMMYFUNCTION("""COMPUTED_VALUE"""),"MICRO")</f>
        <v>MICRO</v>
      </c>
      <c r="B107" s="23" t="str">
        <f>IFERROR(__xludf.DUMMYFUNCTION("""COMPUTED_VALUE"""),"puspitajasmine26")</f>
        <v>puspitajasmine26</v>
      </c>
      <c r="C107" s="281" t="str">
        <f>IFERROR(__xludf.DUMMYFUNCTION("""COMPUTED_VALUE"""),"https://www.tiktok.com/@puspitajasmine26")</f>
        <v>https://www.tiktok.com/@puspitajasmine26</v>
      </c>
      <c r="D107" s="270">
        <f>IFERROR(__xludf.DUMMYFUNCTION("""COMPUTED_VALUE"""),8.782568825E10)</f>
        <v>87825688250</v>
      </c>
      <c r="E107" s="271">
        <f>IFERROR(__xludf.DUMMYFUNCTION("""COMPUTED_VALUE"""),0.0)</f>
        <v>0</v>
      </c>
      <c r="F107" s="270"/>
      <c r="G107" s="270" t="str">
        <f>IFERROR(__xludf.DUMMYFUNCTION("""COMPUTED_VALUE"""),"85.28m")</f>
        <v>85.28m</v>
      </c>
      <c r="H107" s="293"/>
      <c r="I107" s="567"/>
      <c r="J107" s="43"/>
      <c r="K107" s="262"/>
      <c r="L107" s="43"/>
      <c r="M107" s="262"/>
      <c r="N107" s="261"/>
      <c r="O107" s="17"/>
      <c r="P107" s="261"/>
      <c r="Q107" s="262"/>
      <c r="R107" s="262"/>
      <c r="S107" s="17"/>
      <c r="T107" s="571"/>
      <c r="U107" s="571"/>
      <c r="V107" s="571"/>
      <c r="W107" s="571"/>
    </row>
    <row r="108">
      <c r="A108" s="255" t="str">
        <f>IFERROR(__xludf.DUMMYFUNCTION("""COMPUTED_VALUE"""),"NANO")</f>
        <v>NANO</v>
      </c>
      <c r="B108" s="23" t="str">
        <f>IFERROR(__xludf.DUMMYFUNCTION("""COMPUTED_VALUE"""),"racuntiktokarrahmi")</f>
        <v>racuntiktokarrahmi</v>
      </c>
      <c r="C108" s="281" t="str">
        <f>IFERROR(__xludf.DUMMYFUNCTION("""COMPUTED_VALUE"""),"https://www.tiktok.com/@racuntiktokarrahmi")</f>
        <v>https://www.tiktok.com/@racuntiktokarrahmi</v>
      </c>
      <c r="D108" s="270">
        <f>IFERROR(__xludf.DUMMYFUNCTION("""COMPUTED_VALUE"""),8.1400791267E10)</f>
        <v>81400791267</v>
      </c>
      <c r="E108" s="271">
        <f>IFERROR(__xludf.DUMMYFUNCTION("""COMPUTED_VALUE"""),0.0)</f>
        <v>0</v>
      </c>
      <c r="F108" s="270"/>
      <c r="G108" s="270" t="str">
        <f>IFERROR(__xludf.DUMMYFUNCTION("""COMPUTED_VALUE"""),"34.66m")</f>
        <v>34.66m</v>
      </c>
      <c r="H108" s="293"/>
      <c r="I108" s="567"/>
      <c r="J108" s="43"/>
      <c r="K108" s="262"/>
      <c r="L108" s="43"/>
      <c r="M108" s="262"/>
      <c r="N108" s="261"/>
      <c r="O108" s="17"/>
      <c r="P108" s="261"/>
      <c r="Q108" s="262"/>
      <c r="R108" s="262"/>
      <c r="S108" s="17"/>
      <c r="T108" s="571"/>
      <c r="U108" s="571"/>
      <c r="V108" s="571"/>
      <c r="W108" s="571"/>
    </row>
    <row r="109">
      <c r="A109" s="255" t="str">
        <f>IFERROR(__xludf.DUMMYFUNCTION("""COMPUTED_VALUE"""),"MICRO")</f>
        <v>MICRO</v>
      </c>
      <c r="B109" s="23" t="str">
        <f>IFERROR(__xludf.DUMMYFUNCTION("""COMPUTED_VALUE"""),"tokomama08_")</f>
        <v>tokomama08_</v>
      </c>
      <c r="C109" s="281" t="str">
        <f>IFERROR(__xludf.DUMMYFUNCTION("""COMPUTED_VALUE"""),"https://www.tiktok.com/@tokomama08_")</f>
        <v>https://www.tiktok.com/@tokomama08_</v>
      </c>
      <c r="D109" s="270">
        <f>IFERROR(__xludf.DUMMYFUNCTION("""COMPUTED_VALUE"""),8.5881332507E10)</f>
        <v>85881332507</v>
      </c>
      <c r="E109" s="271">
        <f>IFERROR(__xludf.DUMMYFUNCTION("""COMPUTED_VALUE"""),0.0)</f>
        <v>0</v>
      </c>
      <c r="F109" s="270"/>
      <c r="G109" s="270" t="str">
        <f>IFERROR(__xludf.DUMMYFUNCTION("""COMPUTED_VALUE"""),"266.19m")</f>
        <v>266.19m</v>
      </c>
      <c r="H109" s="293"/>
      <c r="I109" s="567"/>
      <c r="J109" s="43"/>
      <c r="K109" s="262"/>
      <c r="L109" s="43"/>
      <c r="M109" s="262"/>
      <c r="N109" s="261"/>
      <c r="O109" s="17"/>
      <c r="P109" s="261"/>
      <c r="Q109" s="262"/>
      <c r="R109" s="262"/>
      <c r="S109" s="17"/>
      <c r="T109" s="571"/>
      <c r="U109" s="571"/>
      <c r="V109" s="571"/>
      <c r="W109" s="571"/>
    </row>
    <row r="110">
      <c r="A110" s="255" t="str">
        <f>IFERROR(__xludf.DUMMYFUNCTION("""COMPUTED_VALUE"""),"MICRO")</f>
        <v>MICRO</v>
      </c>
      <c r="B110" s="23" t="str">
        <f>IFERROR(__xludf.DUMMYFUNCTION("""COMPUTED_VALUE"""),"beautystore.officia")</f>
        <v>beautystore.officia</v>
      </c>
      <c r="C110" s="281" t="str">
        <f>IFERROR(__xludf.DUMMYFUNCTION("""COMPUTED_VALUE"""),"https://www.tiktok.com/@beautystore.officia")</f>
        <v>https://www.tiktok.com/@beautystore.officia</v>
      </c>
      <c r="D110" s="270">
        <f>IFERROR(__xludf.DUMMYFUNCTION("""COMPUTED_VALUE"""),8.5185774205E10)</f>
        <v>85185774205</v>
      </c>
      <c r="E110" s="271">
        <f>IFERROR(__xludf.DUMMYFUNCTION("""COMPUTED_VALUE"""),0.0)</f>
        <v>0</v>
      </c>
      <c r="F110" s="270"/>
      <c r="G110" s="270" t="str">
        <f>IFERROR(__xludf.DUMMYFUNCTION("""COMPUTED_VALUE"""),"80.33m")</f>
        <v>80.33m</v>
      </c>
      <c r="H110" s="293"/>
      <c r="I110" s="567"/>
      <c r="J110" s="43"/>
      <c r="K110" s="262"/>
      <c r="L110" s="43"/>
      <c r="M110" s="262"/>
      <c r="N110" s="261"/>
      <c r="O110" s="17"/>
      <c r="P110" s="261"/>
      <c r="Q110" s="262"/>
      <c r="R110" s="262"/>
      <c r="S110" s="17"/>
      <c r="T110" s="571"/>
      <c r="U110" s="571"/>
      <c r="V110" s="571"/>
      <c r="W110" s="571"/>
    </row>
    <row r="111">
      <c r="A111" s="255" t="str">
        <f>IFERROR(__xludf.DUMMYFUNCTION("""COMPUTED_VALUE"""),"MICRO")</f>
        <v>MICRO</v>
      </c>
      <c r="B111" s="23" t="str">
        <f>IFERROR(__xludf.DUMMYFUNCTION("""COMPUTED_VALUE"""),"jinggaradiksaa")</f>
        <v>jinggaradiksaa</v>
      </c>
      <c r="C111" s="281" t="str">
        <f>IFERROR(__xludf.DUMMYFUNCTION("""COMPUTED_VALUE"""),"https://www.tiktok.com/@jinggaradiksaa")</f>
        <v>https://www.tiktok.com/@jinggaradiksaa</v>
      </c>
      <c r="D111" s="270">
        <f>IFERROR(__xludf.DUMMYFUNCTION("""COMPUTED_VALUE"""),8.1343503851E10)</f>
        <v>81343503851</v>
      </c>
      <c r="E111" s="271">
        <f>IFERROR(__xludf.DUMMYFUNCTION("""COMPUTED_VALUE"""),0.0)</f>
        <v>0</v>
      </c>
      <c r="F111" s="270"/>
      <c r="G111" s="270" t="str">
        <f>IFERROR(__xludf.DUMMYFUNCTION("""COMPUTED_VALUE"""),"101.99m")</f>
        <v>101.99m</v>
      </c>
      <c r="H111" s="293"/>
      <c r="I111" s="567"/>
      <c r="J111" s="43"/>
      <c r="K111" s="262"/>
      <c r="L111" s="43"/>
      <c r="M111" s="262"/>
      <c r="N111" s="261"/>
      <c r="O111" s="17"/>
      <c r="P111" s="261"/>
      <c r="Q111" s="262"/>
      <c r="R111" s="262"/>
      <c r="S111" s="17"/>
      <c r="T111" s="571"/>
      <c r="U111" s="571"/>
      <c r="V111" s="571"/>
      <c r="W111" s="571"/>
    </row>
    <row r="112">
      <c r="A112" s="255" t="str">
        <f>IFERROR(__xludf.DUMMYFUNCTION("""COMPUTED_VALUE"""),"NANO")</f>
        <v>NANO</v>
      </c>
      <c r="B112" s="23" t="str">
        <f>IFERROR(__xludf.DUMMYFUNCTION("""COMPUTED_VALUE"""),"lala41376")</f>
        <v>lala41376</v>
      </c>
      <c r="C112" s="281" t="str">
        <f>IFERROR(__xludf.DUMMYFUNCTION("""COMPUTED_VALUE"""),"https://www.tiktok.com/@lala41376")</f>
        <v>https://www.tiktok.com/@lala41376</v>
      </c>
      <c r="D112" s="270">
        <f>IFERROR(__xludf.DUMMYFUNCTION("""COMPUTED_VALUE"""),8.3869580691E10)</f>
        <v>83869580691</v>
      </c>
      <c r="E112" s="271">
        <f>IFERROR(__xludf.DUMMYFUNCTION("""COMPUTED_VALUE"""),0.0)</f>
        <v>0</v>
      </c>
      <c r="F112" s="270"/>
      <c r="G112" s="270" t="str">
        <f>IFERROR(__xludf.DUMMYFUNCTION("""COMPUTED_VALUE"""),"96.93m")</f>
        <v>96.93m</v>
      </c>
      <c r="H112" s="293"/>
      <c r="I112" s="567"/>
      <c r="J112" s="43"/>
      <c r="K112" s="262"/>
      <c r="L112" s="43"/>
      <c r="M112" s="262"/>
      <c r="N112" s="261"/>
      <c r="O112" s="17"/>
      <c r="P112" s="261"/>
      <c r="Q112" s="262"/>
      <c r="R112" s="262"/>
      <c r="S112" s="17"/>
      <c r="T112" s="571"/>
      <c r="U112" s="571"/>
      <c r="V112" s="571"/>
      <c r="W112" s="571"/>
    </row>
    <row r="113">
      <c r="A113" s="255" t="str">
        <f>IFERROR(__xludf.DUMMYFUNCTION("""COMPUTED_VALUE"""),"MICRO")</f>
        <v>MICRO</v>
      </c>
      <c r="B113" s="23" t="str">
        <f>IFERROR(__xludf.DUMMYFUNCTION("""COMPUTED_VALUE"""),"racunnya_riska")</f>
        <v>racunnya_riska</v>
      </c>
      <c r="C113" s="281" t="str">
        <f>IFERROR(__xludf.DUMMYFUNCTION("""COMPUTED_VALUE"""),"https://www.tiktok.com/@racunnya_riska")</f>
        <v>https://www.tiktok.com/@racunnya_riska</v>
      </c>
      <c r="D113" s="270">
        <f>IFERROR(__xludf.DUMMYFUNCTION("""COMPUTED_VALUE"""),8.5799853468E10)</f>
        <v>85799853468</v>
      </c>
      <c r="E113" s="271">
        <f>IFERROR(__xludf.DUMMYFUNCTION("""COMPUTED_VALUE"""),0.0)</f>
        <v>0</v>
      </c>
      <c r="F113" s="270"/>
      <c r="G113" s="270" t="str">
        <f>IFERROR(__xludf.DUMMYFUNCTION("""COMPUTED_VALUE"""),"375.91m")</f>
        <v>375.91m</v>
      </c>
      <c r="H113" s="293"/>
      <c r="I113" s="567"/>
      <c r="J113" s="43"/>
      <c r="K113" s="262"/>
      <c r="L113" s="43"/>
      <c r="M113" s="262"/>
      <c r="N113" s="261"/>
      <c r="O113" s="17"/>
      <c r="P113" s="261"/>
      <c r="Q113" s="262"/>
      <c r="R113" s="262"/>
      <c r="S113" s="17"/>
      <c r="T113" s="571"/>
      <c r="U113" s="571"/>
      <c r="V113" s="571"/>
      <c r="W113" s="571"/>
    </row>
    <row r="114">
      <c r="A114" s="255" t="str">
        <f>IFERROR(__xludf.DUMMYFUNCTION("""COMPUTED_VALUE"""),"MICRO")</f>
        <v>MICRO</v>
      </c>
      <c r="B114" s="23" t="str">
        <f>IFERROR(__xludf.DUMMYFUNCTION("""COMPUTED_VALUE"""),"dian.wulan_sari")</f>
        <v>dian.wulan_sari</v>
      </c>
      <c r="C114" s="281" t="str">
        <f>IFERROR(__xludf.DUMMYFUNCTION("""COMPUTED_VALUE"""),"https://www.tiktok.com/@dian.wulan_sari")</f>
        <v>https://www.tiktok.com/@dian.wulan_sari</v>
      </c>
      <c r="D114" s="270">
        <f>IFERROR(__xludf.DUMMYFUNCTION("""COMPUTED_VALUE"""),8.5695691125E10)</f>
        <v>85695691125</v>
      </c>
      <c r="E114" s="271">
        <f>IFERROR(__xludf.DUMMYFUNCTION("""COMPUTED_VALUE"""),0.0)</f>
        <v>0</v>
      </c>
      <c r="F114" s="270"/>
      <c r="G114" s="270" t="str">
        <f>IFERROR(__xludf.DUMMYFUNCTION("""COMPUTED_VALUE"""),"92.69m")</f>
        <v>92.69m</v>
      </c>
      <c r="H114" s="293"/>
      <c r="I114" s="567"/>
      <c r="J114" s="43"/>
      <c r="K114" s="262"/>
      <c r="L114" s="43"/>
      <c r="M114" s="262"/>
      <c r="N114" s="261"/>
      <c r="O114" s="17"/>
      <c r="P114" s="261"/>
      <c r="Q114" s="262"/>
      <c r="R114" s="262"/>
      <c r="S114" s="17"/>
      <c r="T114" s="571"/>
      <c r="U114" s="571"/>
      <c r="V114" s="571"/>
      <c r="W114" s="571"/>
    </row>
    <row r="115">
      <c r="A115" s="255" t="str">
        <f>IFERROR(__xludf.DUMMYFUNCTION("""COMPUTED_VALUE"""),"MICRO")</f>
        <v>MICRO</v>
      </c>
      <c r="B115" s="23" t="str">
        <f>IFERROR(__xludf.DUMMYFUNCTION("""COMPUTED_VALUE"""),"naomiifarsya")</f>
        <v>naomiifarsya</v>
      </c>
      <c r="C115" s="281" t="str">
        <f>IFERROR(__xludf.DUMMYFUNCTION("""COMPUTED_VALUE"""),"https://www.tiktok.com/@naomiifarsya")</f>
        <v>https://www.tiktok.com/@naomiifarsya</v>
      </c>
      <c r="D115" s="270">
        <f>IFERROR(__xludf.DUMMYFUNCTION("""COMPUTED_VALUE"""),8.9539258699E11)</f>
        <v>895392586990</v>
      </c>
      <c r="E115" s="271">
        <f>IFERROR(__xludf.DUMMYFUNCTION("""COMPUTED_VALUE"""),0.0)</f>
        <v>0</v>
      </c>
      <c r="F115" s="270"/>
      <c r="G115" s="270" t="str">
        <f>IFERROR(__xludf.DUMMYFUNCTION("""COMPUTED_VALUE"""),"457.00m")</f>
        <v>457.00m</v>
      </c>
      <c r="H115" s="293"/>
      <c r="I115" s="567"/>
      <c r="J115" s="43"/>
      <c r="K115" s="262"/>
      <c r="L115" s="43"/>
      <c r="M115" s="262"/>
      <c r="N115" s="261"/>
      <c r="O115" s="17"/>
      <c r="P115" s="261"/>
      <c r="Q115" s="262"/>
      <c r="R115" s="262"/>
      <c r="S115" s="17"/>
      <c r="T115" s="571"/>
      <c r="U115" s="571"/>
      <c r="V115" s="571"/>
      <c r="W115" s="571"/>
    </row>
    <row r="116">
      <c r="A116" s="255" t="str">
        <f>IFERROR(__xludf.DUMMYFUNCTION("""COMPUTED_VALUE"""),"MACRO")</f>
        <v>MACRO</v>
      </c>
      <c r="B116" s="23" t="str">
        <f>IFERROR(__xludf.DUMMYFUNCTION("""COMPUTED_VALUE"""),"zzaaerr")</f>
        <v>zzaaerr</v>
      </c>
      <c r="C116" s="281" t="str">
        <f>IFERROR(__xludf.DUMMYFUNCTION("""COMPUTED_VALUE"""),"https://www.tiktok.com/@zzaaerr")</f>
        <v>https://www.tiktok.com/@zzaaerr</v>
      </c>
      <c r="D116" s="270">
        <f>IFERROR(__xludf.DUMMYFUNCTION("""COMPUTED_VALUE"""),8.82000058754E11)</f>
        <v>882000058754</v>
      </c>
      <c r="E116" s="271">
        <f>IFERROR(__xludf.DUMMYFUNCTION("""COMPUTED_VALUE"""),500000.0)</f>
        <v>500000</v>
      </c>
      <c r="F116" s="270"/>
      <c r="G116" s="270" t="str">
        <f>IFERROR(__xludf.DUMMYFUNCTION("""COMPUTED_VALUE"""),"854.06k")</f>
        <v>854.06k</v>
      </c>
      <c r="H116" s="293"/>
      <c r="I116" s="567"/>
      <c r="J116" s="43"/>
      <c r="K116" s="262"/>
      <c r="L116" s="43"/>
      <c r="M116" s="262"/>
      <c r="N116" s="261"/>
      <c r="O116" s="17"/>
      <c r="P116" s="261"/>
      <c r="Q116" s="262"/>
      <c r="R116" s="262"/>
      <c r="S116" s="17"/>
      <c r="T116" s="571"/>
      <c r="U116" s="571"/>
      <c r="V116" s="571"/>
      <c r="W116" s="571"/>
    </row>
    <row r="117">
      <c r="A117" s="255" t="str">
        <f>IFERROR(__xludf.DUMMYFUNCTION("""COMPUTED_VALUE"""),"MICRO")</f>
        <v>MICRO</v>
      </c>
      <c r="B117" s="23" t="str">
        <f>IFERROR(__xludf.DUMMYFUNCTION("""COMPUTED_VALUE"""),"jimmy.hen")</f>
        <v>jimmy.hen</v>
      </c>
      <c r="C117" s="281" t="str">
        <f>IFERROR(__xludf.DUMMYFUNCTION("""COMPUTED_VALUE"""),"https://www.tiktok.com/@jimmy.hen")</f>
        <v>https://www.tiktok.com/@jimmy.hen</v>
      </c>
      <c r="D117" s="270">
        <f>IFERROR(__xludf.DUMMYFUNCTION("""COMPUTED_VALUE"""),8.2299774888E10)</f>
        <v>82299774888</v>
      </c>
      <c r="E117" s="271"/>
      <c r="F117" s="270"/>
      <c r="G117" s="270" t="str">
        <f>IFERROR(__xludf.DUMMYFUNCTION("""COMPUTED_VALUE"""),"23.34m")</f>
        <v>23.34m</v>
      </c>
      <c r="H117" s="293"/>
      <c r="I117" s="567" t="str">
        <f>IFERROR(__xludf.DUMMYFUNCTION("""COMPUTED_VALUE"""),"Sampai")</f>
        <v>Sampai</v>
      </c>
      <c r="J117" s="43" t="str">
        <f>IFERROR(__xludf.DUMMYFUNCTION("""COMPUTED_VALUE""")," Concept 1")</f>
        <v> Concept 1</v>
      </c>
      <c r="K117" s="278" t="str">
        <f>IFERROR(__xludf.DUMMYFUNCTION("""COMPUTED_VALUE"""),"https://vt.tiktok.com/ZSQ2UQoxu/ ")</f>
        <v>https://vt.tiktok.com/ZSQ2UQoxu/ </v>
      </c>
      <c r="L117" s="43"/>
      <c r="M117" s="262"/>
      <c r="N117" s="261"/>
      <c r="O117" s="17"/>
      <c r="P117" s="261"/>
      <c r="Q117" s="262"/>
      <c r="R117" s="262"/>
      <c r="S117" s="17"/>
      <c r="T117" s="571"/>
      <c r="U117" s="571"/>
      <c r="V117" s="571"/>
      <c r="W117" s="571"/>
    </row>
    <row r="118">
      <c r="A118" s="255" t="str">
        <f>IFERROR(__xludf.DUMMYFUNCTION("""COMPUTED_VALUE"""),"MICRO")</f>
        <v>MICRO</v>
      </c>
      <c r="B118" s="23" t="str">
        <f>IFERROR(__xludf.DUMMYFUNCTION("""COMPUTED_VALUE"""),"ayub.indra")</f>
        <v>ayub.indra</v>
      </c>
      <c r="C118" s="281" t="str">
        <f>IFERROR(__xludf.DUMMYFUNCTION("""COMPUTED_VALUE"""),"https://www.tiktok.com/@ayub.indra")</f>
        <v>https://www.tiktok.com/@ayub.indra</v>
      </c>
      <c r="D118" s="270">
        <f>IFERROR(__xludf.DUMMYFUNCTION("""COMPUTED_VALUE"""),8.2113809869E10)</f>
        <v>82113809869</v>
      </c>
      <c r="E118" s="271"/>
      <c r="F118" s="270"/>
      <c r="G118" s="270" t="str">
        <f>IFERROR(__xludf.DUMMYFUNCTION("""COMPUTED_VALUE"""),"51.42m")</f>
        <v>51.42m</v>
      </c>
      <c r="H118" s="293"/>
      <c r="I118" s="567"/>
      <c r="J118" s="43"/>
      <c r="K118" s="262"/>
      <c r="L118" s="43"/>
      <c r="M118" s="262"/>
      <c r="N118" s="261"/>
      <c r="O118" s="17"/>
      <c r="P118" s="261"/>
      <c r="Q118" s="262"/>
      <c r="R118" s="262"/>
      <c r="S118" s="17"/>
      <c r="T118" s="571"/>
      <c r="U118" s="571"/>
      <c r="V118" s="571"/>
      <c r="W118" s="571"/>
    </row>
    <row r="119">
      <c r="A119" s="255" t="str">
        <f>IFERROR(__xludf.DUMMYFUNCTION("""COMPUTED_VALUE"""),"NANO")</f>
        <v>NANO</v>
      </c>
      <c r="B119" s="23" t="str">
        <f>IFERROR(__xludf.DUMMYFUNCTION("""COMPUTED_VALUE"""),"kalefried")</f>
        <v>kalefried</v>
      </c>
      <c r="C119" s="281" t="str">
        <f>IFERROR(__xludf.DUMMYFUNCTION("""COMPUTED_VALUE"""),"https://www.tiktok.com/@kalefried")</f>
        <v>https://www.tiktok.com/@kalefried</v>
      </c>
      <c r="D119" s="270">
        <f>IFERROR(__xludf.DUMMYFUNCTION("""COMPUTED_VALUE"""),8.9540077501E11)</f>
        <v>895400775010</v>
      </c>
      <c r="E119" s="271"/>
      <c r="F119" s="270"/>
      <c r="G119" s="270" t="str">
        <f>IFERROR(__xludf.DUMMYFUNCTION("""COMPUTED_VALUE"""),"5.55m")</f>
        <v>5.55m</v>
      </c>
      <c r="H119" s="293"/>
      <c r="I119" s="567"/>
      <c r="J119" s="43"/>
      <c r="K119" s="262"/>
      <c r="L119" s="43"/>
      <c r="M119" s="262"/>
      <c r="N119" s="261"/>
      <c r="O119" s="17"/>
      <c r="P119" s="261"/>
      <c r="Q119" s="262"/>
      <c r="R119" s="262"/>
      <c r="S119" s="17"/>
      <c r="T119" s="571"/>
      <c r="U119" s="571"/>
      <c r="V119" s="571"/>
      <c r="W119" s="571"/>
    </row>
    <row r="120">
      <c r="A120" s="255" t="str">
        <f>IFERROR(__xludf.DUMMYFUNCTION("""COMPUTED_VALUE"""),"MACRO")</f>
        <v>MACRO</v>
      </c>
      <c r="B120" s="23" t="str">
        <f>IFERROR(__xludf.DUMMYFUNCTION("""COMPUTED_VALUE"""),"panderismad")</f>
        <v>panderismad</v>
      </c>
      <c r="C120" s="281" t="str">
        <f>IFERROR(__xludf.DUMMYFUNCTION("""COMPUTED_VALUE"""),"https://www.tiktok.com/@panderismad")</f>
        <v>https://www.tiktok.com/@panderismad</v>
      </c>
      <c r="D120" s="270">
        <f>IFERROR(__xludf.DUMMYFUNCTION("""COMPUTED_VALUE"""),8.5791585816E10)</f>
        <v>85791585816</v>
      </c>
      <c r="E120" s="271">
        <f>IFERROR(__xludf.DUMMYFUNCTION("""COMPUTED_VALUE"""),500000.0)</f>
        <v>500000</v>
      </c>
      <c r="F120" s="270">
        <f>IFERROR(__xludf.DUMMYFUNCTION("""COMPUTED_VALUE"""),2.0)</f>
        <v>2</v>
      </c>
      <c r="G120" s="270" t="str">
        <f>IFERROR(__xludf.DUMMYFUNCTION("""COMPUTED_VALUE"""),"25.81m")</f>
        <v>25.81m</v>
      </c>
      <c r="H120" s="293"/>
      <c r="I120" s="567"/>
      <c r="J120" s="43"/>
      <c r="K120" s="262"/>
      <c r="L120" s="43"/>
      <c r="M120" s="262"/>
      <c r="N120" s="261"/>
      <c r="O120" s="17"/>
      <c r="P120" s="261"/>
      <c r="Q120" s="262"/>
      <c r="R120" s="262"/>
      <c r="S120" s="17"/>
      <c r="T120" s="571"/>
      <c r="U120" s="571"/>
      <c r="V120" s="571"/>
      <c r="W120" s="571"/>
    </row>
    <row r="121">
      <c r="A121" s="255" t="str">
        <f>IFERROR(__xludf.DUMMYFUNCTION("""COMPUTED_VALUE"""),"MICRO")</f>
        <v>MICRO</v>
      </c>
      <c r="B121" s="23" t="str">
        <f>IFERROR(__xludf.DUMMYFUNCTION("""COMPUTED_VALUE"""),"dsmanlase")</f>
        <v>dsmanlase</v>
      </c>
      <c r="C121" s="281" t="str">
        <f>IFERROR(__xludf.DUMMYFUNCTION("""COMPUTED_VALUE"""),"https://www.tiktok.com/@dsmanlase")</f>
        <v>https://www.tiktok.com/@dsmanlase</v>
      </c>
      <c r="D121" s="270">
        <f>IFERROR(__xludf.DUMMYFUNCTION("""COMPUTED_VALUE"""),8.2173014788E10)</f>
        <v>82173014788</v>
      </c>
      <c r="E121" s="271">
        <f>IFERROR(__xludf.DUMMYFUNCTION("""COMPUTED_VALUE"""),0.0)</f>
        <v>0</v>
      </c>
      <c r="F121" s="270">
        <f>IFERROR(__xludf.DUMMYFUNCTION("""COMPUTED_VALUE"""),4.0)</f>
        <v>4</v>
      </c>
      <c r="G121" s="270" t="str">
        <f>IFERROR(__xludf.DUMMYFUNCTION("""COMPUTED_VALUE"""),"60.08m")</f>
        <v>60.08m</v>
      </c>
      <c r="H121" s="293"/>
      <c r="I121" s="567"/>
      <c r="J121" s="43"/>
      <c r="K121" s="262"/>
      <c r="L121" s="43"/>
      <c r="M121" s="262"/>
      <c r="N121" s="261"/>
      <c r="O121" s="17"/>
      <c r="P121" s="261"/>
      <c r="Q121" s="262"/>
      <c r="R121" s="262"/>
      <c r="S121" s="17"/>
      <c r="T121" s="571"/>
      <c r="U121" s="571"/>
      <c r="V121" s="571"/>
      <c r="W121" s="571"/>
    </row>
    <row r="122">
      <c r="A122" s="255" t="str">
        <f>IFERROR(__xludf.DUMMYFUNCTION("""COMPUTED_VALUE"""),"NANO")</f>
        <v>NANO</v>
      </c>
      <c r="B122" s="23" t="str">
        <f>IFERROR(__xludf.DUMMYFUNCTION("""COMPUTED_VALUE"""),"otwhulk_")</f>
        <v>otwhulk_</v>
      </c>
      <c r="C122" s="281" t="str">
        <f>IFERROR(__xludf.DUMMYFUNCTION("""COMPUTED_VALUE"""),"https://www.tiktok.com/@otwhulk_")</f>
        <v>https://www.tiktok.com/@otwhulk_</v>
      </c>
      <c r="D122" s="270">
        <f>IFERROR(__xludf.DUMMYFUNCTION("""COMPUTED_VALUE"""),8.5172005966E10)</f>
        <v>85172005966</v>
      </c>
      <c r="E122" s="271">
        <f>IFERROR(__xludf.DUMMYFUNCTION("""COMPUTED_VALUE"""),175000.0)</f>
        <v>175000</v>
      </c>
      <c r="F122" s="270">
        <f>IFERROR(__xludf.DUMMYFUNCTION("""COMPUTED_VALUE"""),1.0)</f>
        <v>1</v>
      </c>
      <c r="G122" s="270" t="str">
        <f>IFERROR(__xludf.DUMMYFUNCTION("""COMPUTED_VALUE"""),"78.72m")</f>
        <v>78.72m</v>
      </c>
      <c r="H122" s="293"/>
      <c r="I122" s="567"/>
      <c r="J122" s="43"/>
      <c r="K122" s="262"/>
      <c r="L122" s="43"/>
      <c r="M122" s="262"/>
      <c r="N122" s="261"/>
      <c r="O122" s="17"/>
      <c r="P122" s="261"/>
      <c r="Q122" s="262"/>
      <c r="R122" s="262"/>
      <c r="S122" s="17"/>
      <c r="T122" s="571"/>
      <c r="U122" s="571"/>
      <c r="V122" s="571"/>
      <c r="W122" s="571"/>
    </row>
    <row r="123">
      <c r="A123" s="255" t="str">
        <f>IFERROR(__xludf.DUMMYFUNCTION("""COMPUTED_VALUE"""),"NANO")</f>
        <v>NANO</v>
      </c>
      <c r="B123" s="23" t="str">
        <f>IFERROR(__xludf.DUMMYFUNCTION("""COMPUTED_VALUE"""),"malikalter")</f>
        <v>malikalter</v>
      </c>
      <c r="C123" s="281" t="str">
        <f>IFERROR(__xludf.DUMMYFUNCTION("""COMPUTED_VALUE"""),"https://www.tiktok.com/@malikalter")</f>
        <v>https://www.tiktok.com/@malikalter</v>
      </c>
      <c r="D123" s="270">
        <f>IFERROR(__xludf.DUMMYFUNCTION("""COMPUTED_VALUE"""),8.5692409957E10)</f>
        <v>85692409957</v>
      </c>
      <c r="E123" s="271"/>
      <c r="F123" s="270"/>
      <c r="G123" s="270" t="str">
        <f>IFERROR(__xludf.DUMMYFUNCTION("""COMPUTED_VALUE"""),"50.59m")</f>
        <v>50.59m</v>
      </c>
      <c r="H123" s="293"/>
      <c r="I123" s="567"/>
      <c r="J123" s="43"/>
      <c r="K123" s="262"/>
      <c r="L123" s="43"/>
      <c r="M123" s="262"/>
      <c r="N123" s="261"/>
      <c r="O123" s="17"/>
      <c r="P123" s="261"/>
      <c r="Q123" s="262"/>
      <c r="R123" s="262"/>
      <c r="S123" s="17"/>
      <c r="T123" s="571"/>
      <c r="U123" s="571"/>
      <c r="V123" s="571"/>
      <c r="W123" s="571"/>
    </row>
    <row r="124">
      <c r="A124" s="255" t="str">
        <f>IFERROR(__xludf.DUMMYFUNCTION("""COMPUTED_VALUE"""),"MICRO")</f>
        <v>MICRO</v>
      </c>
      <c r="B124" s="23" t="str">
        <f>IFERROR(__xludf.DUMMYFUNCTION("""COMPUTED_VALUE"""),"cakmanofficialll")</f>
        <v>cakmanofficialll</v>
      </c>
      <c r="C124" s="281" t="str">
        <f>IFERROR(__xludf.DUMMYFUNCTION("""COMPUTED_VALUE"""),"https://www.tiktok.com/@cakmanofficialll")</f>
        <v>https://www.tiktok.com/@cakmanofficialll</v>
      </c>
      <c r="D124" s="270">
        <f>IFERROR(__xludf.DUMMYFUNCTION("""COMPUTED_VALUE"""),8.7867622889E10)</f>
        <v>87867622889</v>
      </c>
      <c r="E124" s="271">
        <f>IFERROR(__xludf.DUMMYFUNCTION("""COMPUTED_VALUE"""),0.0)</f>
        <v>0</v>
      </c>
      <c r="F124" s="270">
        <f>IFERROR(__xludf.DUMMYFUNCTION("""COMPUTED_VALUE"""),2.0)</f>
        <v>2</v>
      </c>
      <c r="G124" s="270" t="str">
        <f>IFERROR(__xludf.DUMMYFUNCTION("""COMPUTED_VALUE"""),"17.19m")</f>
        <v>17.19m</v>
      </c>
      <c r="H124" s="293"/>
      <c r="I124" s="567"/>
      <c r="J124" s="43"/>
      <c r="K124" s="262"/>
      <c r="L124" s="43"/>
      <c r="M124" s="262"/>
      <c r="N124" s="261"/>
      <c r="O124" s="17"/>
      <c r="P124" s="261"/>
      <c r="Q124" s="262"/>
      <c r="R124" s="262"/>
      <c r="S124" s="17"/>
      <c r="T124" s="571"/>
      <c r="U124" s="571"/>
      <c r="V124" s="571"/>
      <c r="W124" s="571"/>
    </row>
    <row r="125">
      <c r="A125" s="255" t="str">
        <f>IFERROR(__xludf.DUMMYFUNCTION("""COMPUTED_VALUE"""),"NANO")</f>
        <v>NANO</v>
      </c>
      <c r="B125" s="23" t="str">
        <f>IFERROR(__xludf.DUMMYFUNCTION("""COMPUTED_VALUE"""),"ryzexin2")</f>
        <v>ryzexin2</v>
      </c>
      <c r="C125" s="281" t="str">
        <f>IFERROR(__xludf.DUMMYFUNCTION("""COMPUTED_VALUE"""),"https://www.tiktok.com/@ryzexin2")</f>
        <v>https://www.tiktok.com/@ryzexin2</v>
      </c>
      <c r="D125" s="270">
        <f>IFERROR(__xludf.DUMMYFUNCTION("""COMPUTED_VALUE"""),8.5235190415E10)</f>
        <v>85235190415</v>
      </c>
      <c r="E125" s="271"/>
      <c r="F125" s="270">
        <f>IFERROR(__xludf.DUMMYFUNCTION("""COMPUTED_VALUE"""),3.0)</f>
        <v>3</v>
      </c>
      <c r="G125" s="270" t="str">
        <f>IFERROR(__xludf.DUMMYFUNCTION("""COMPUTED_VALUE"""),"18.98m")</f>
        <v>18.98m</v>
      </c>
      <c r="H125" s="293"/>
      <c r="I125" s="567"/>
      <c r="J125" s="43"/>
      <c r="K125" s="262"/>
      <c r="L125" s="43"/>
      <c r="M125" s="262"/>
      <c r="N125" s="261"/>
      <c r="O125" s="17"/>
      <c r="P125" s="261"/>
      <c r="Q125" s="262"/>
      <c r="R125" s="262"/>
      <c r="S125" s="17"/>
      <c r="T125" s="571"/>
      <c r="U125" s="571"/>
      <c r="V125" s="571"/>
      <c r="W125" s="571"/>
    </row>
    <row r="126">
      <c r="A126" s="255" t="str">
        <f>IFERROR(__xludf.DUMMYFUNCTION("""COMPUTED_VALUE"""),"NANO")</f>
        <v>NANO</v>
      </c>
      <c r="B126" s="23" t="str">
        <f>IFERROR(__xludf.DUMMYFUNCTION("""COMPUTED_VALUE"""),"jangudy")</f>
        <v>jangudy</v>
      </c>
      <c r="C126" s="281" t="str">
        <f>IFERROR(__xludf.DUMMYFUNCTION("""COMPUTED_VALUE"""),"https://www.tiktok.com/@jangudy")</f>
        <v>https://www.tiktok.com/@jangudy</v>
      </c>
      <c r="D126" s="270">
        <f>IFERROR(__xludf.DUMMYFUNCTION("""COMPUTED_VALUE"""),8.95329948192E11)</f>
        <v>895329948192</v>
      </c>
      <c r="E126" s="271"/>
      <c r="F126" s="270">
        <f>IFERROR(__xludf.DUMMYFUNCTION("""COMPUTED_VALUE"""),3.0)</f>
        <v>3</v>
      </c>
      <c r="G126" s="270" t="str">
        <f>IFERROR(__xludf.DUMMYFUNCTION("""COMPUTED_VALUE"""),"37.76m")</f>
        <v>37.76m</v>
      </c>
      <c r="H126" s="293"/>
      <c r="I126" s="567"/>
      <c r="J126" s="43"/>
      <c r="K126" s="262"/>
      <c r="L126" s="43"/>
      <c r="M126" s="262"/>
      <c r="N126" s="261"/>
      <c r="O126" s="17"/>
      <c r="P126" s="261"/>
      <c r="Q126" s="262"/>
      <c r="R126" s="262"/>
      <c r="S126" s="17"/>
      <c r="T126" s="571"/>
      <c r="U126" s="571"/>
      <c r="V126" s="571"/>
      <c r="W126" s="571"/>
    </row>
    <row r="127">
      <c r="A127" s="255" t="str">
        <f>IFERROR(__xludf.DUMMYFUNCTION("""COMPUTED_VALUE"""),"MICRO")</f>
        <v>MICRO</v>
      </c>
      <c r="B127" s="23" t="str">
        <f>IFERROR(__xludf.DUMMYFUNCTION("""COMPUTED_VALUE"""),"_daffanr")</f>
        <v>_daffanr</v>
      </c>
      <c r="C127" s="281" t="str">
        <f>IFERROR(__xludf.DUMMYFUNCTION("""COMPUTED_VALUE"""),"https://www.tiktok.com/@_daffanr")</f>
        <v>https://www.tiktok.com/@_daffanr</v>
      </c>
      <c r="D127" s="270">
        <f>IFERROR(__xludf.DUMMYFUNCTION("""COMPUTED_VALUE"""),8.775208873E10)</f>
        <v>87752088730</v>
      </c>
      <c r="E127" s="271"/>
      <c r="F127" s="270">
        <f>IFERROR(__xludf.DUMMYFUNCTION("""COMPUTED_VALUE"""),3.0)</f>
        <v>3</v>
      </c>
      <c r="G127" s="270" t="str">
        <f>IFERROR(__xludf.DUMMYFUNCTION("""COMPUTED_VALUE"""),"26.51m")</f>
        <v>26.51m</v>
      </c>
      <c r="H127" s="293"/>
      <c r="I127" s="567"/>
      <c r="J127" s="43"/>
      <c r="K127" s="262"/>
      <c r="L127" s="43"/>
      <c r="M127" s="262"/>
      <c r="N127" s="261"/>
      <c r="O127" s="17"/>
      <c r="P127" s="261"/>
      <c r="Q127" s="262"/>
      <c r="R127" s="262"/>
      <c r="S127" s="17"/>
      <c r="T127" s="571"/>
      <c r="U127" s="571"/>
      <c r="V127" s="571"/>
      <c r="W127" s="571"/>
    </row>
    <row r="128">
      <c r="A128" s="255" t="str">
        <f>IFERROR(__xludf.DUMMYFUNCTION("""COMPUTED_VALUE"""),"MICRO")</f>
        <v>MICRO</v>
      </c>
      <c r="B128" s="23" t="str">
        <f>IFERROR(__xludf.DUMMYFUNCTION("""COMPUTED_VALUE"""),"laksapro26")</f>
        <v>laksapro26</v>
      </c>
      <c r="C128" s="281" t="str">
        <f>IFERROR(__xludf.DUMMYFUNCTION("""COMPUTED_VALUE"""),"https://www.tiktok.com/@laksapro26")</f>
        <v>https://www.tiktok.com/@laksapro26</v>
      </c>
      <c r="D128" s="270">
        <f>IFERROR(__xludf.DUMMYFUNCTION("""COMPUTED_VALUE"""),8.21911808E10)</f>
        <v>82191180800</v>
      </c>
      <c r="E128" s="271"/>
      <c r="F128" s="270">
        <f>IFERROR(__xludf.DUMMYFUNCTION("""COMPUTED_VALUE"""),3.0)</f>
        <v>3</v>
      </c>
      <c r="G128" s="270" t="str">
        <f>IFERROR(__xludf.DUMMYFUNCTION("""COMPUTED_VALUE"""),"821.82m")</f>
        <v>821.82m</v>
      </c>
      <c r="H128" s="293"/>
      <c r="I128" s="567"/>
      <c r="J128" s="43"/>
      <c r="K128" s="262"/>
      <c r="L128" s="43"/>
      <c r="M128" s="262"/>
      <c r="N128" s="261"/>
      <c r="O128" s="17"/>
      <c r="P128" s="261"/>
      <c r="Q128" s="262"/>
      <c r="R128" s="262"/>
      <c r="S128" s="17"/>
      <c r="T128" s="571"/>
      <c r="U128" s="571"/>
      <c r="V128" s="571"/>
      <c r="W128" s="571"/>
    </row>
    <row r="129">
      <c r="A129" s="255" t="str">
        <f>IFERROR(__xludf.DUMMYFUNCTION("""COMPUTED_VALUE"""),"MICRO")</f>
        <v>MICRO</v>
      </c>
      <c r="B129" s="23" t="str">
        <f>IFERROR(__xludf.DUMMYFUNCTION("""COMPUTED_VALUE"""),"akunkentangku1")</f>
        <v>akunkentangku1</v>
      </c>
      <c r="C129" s="281" t="str">
        <f>IFERROR(__xludf.DUMMYFUNCTION("""COMPUTED_VALUE"""),"https://www.tiktok.com/@akunkentangku1")</f>
        <v>https://www.tiktok.com/@akunkentangku1</v>
      </c>
      <c r="D129" s="270">
        <f>IFERROR(__xludf.DUMMYFUNCTION("""COMPUTED_VALUE"""),8.1292394561E10)</f>
        <v>81292394561</v>
      </c>
      <c r="E129" s="271"/>
      <c r="F129" s="270">
        <f>IFERROR(__xludf.DUMMYFUNCTION("""COMPUTED_VALUE"""),3.0)</f>
        <v>3</v>
      </c>
      <c r="G129" s="270" t="str">
        <f>IFERROR(__xludf.DUMMYFUNCTION("""COMPUTED_VALUE"""),"101.86m")</f>
        <v>101.86m</v>
      </c>
      <c r="H129" s="293"/>
      <c r="I129" s="567"/>
      <c r="J129" s="43"/>
      <c r="K129" s="262"/>
      <c r="L129" s="43"/>
      <c r="M129" s="262"/>
      <c r="N129" s="261"/>
      <c r="O129" s="17"/>
      <c r="P129" s="261"/>
      <c r="Q129" s="262"/>
      <c r="R129" s="262"/>
      <c r="S129" s="17"/>
      <c r="T129" s="571"/>
      <c r="U129" s="571"/>
      <c r="V129" s="571"/>
      <c r="W129" s="571"/>
    </row>
    <row r="130">
      <c r="A130" s="255" t="str">
        <f>IFERROR(__xludf.DUMMYFUNCTION("""COMPUTED_VALUE"""),"NANO")</f>
        <v>NANO</v>
      </c>
      <c r="B130" s="23" t="str">
        <f>IFERROR(__xludf.DUMMYFUNCTION("""COMPUTED_VALUE"""),"bangglowmen")</f>
        <v>bangglowmen</v>
      </c>
      <c r="C130" s="281" t="str">
        <f>IFERROR(__xludf.DUMMYFUNCTION("""COMPUTED_VALUE"""),"https://www.tiktok.com/@bangglowmen")</f>
        <v>https://www.tiktok.com/@bangglowmen</v>
      </c>
      <c r="D130" s="270">
        <f>IFERROR(__xludf.DUMMYFUNCTION("""COMPUTED_VALUE"""),8.5720419607E10)</f>
        <v>85720419607</v>
      </c>
      <c r="E130" s="271"/>
      <c r="F130" s="270">
        <f>IFERROR(__xludf.DUMMYFUNCTION("""COMPUTED_VALUE"""),3.0)</f>
        <v>3</v>
      </c>
      <c r="G130" s="270" t="str">
        <f>IFERROR(__xludf.DUMMYFUNCTION("""COMPUTED_VALUE"""),"10.90m")</f>
        <v>10.90m</v>
      </c>
      <c r="H130" s="293"/>
      <c r="I130" s="567"/>
      <c r="J130" s="43"/>
      <c r="K130" s="262"/>
      <c r="L130" s="43"/>
      <c r="M130" s="262"/>
      <c r="N130" s="261"/>
      <c r="O130" s="17"/>
      <c r="P130" s="261"/>
      <c r="Q130" s="262"/>
      <c r="R130" s="262"/>
      <c r="S130" s="17"/>
      <c r="T130" s="571"/>
      <c r="U130" s="571"/>
      <c r="V130" s="571"/>
      <c r="W130" s="571"/>
    </row>
    <row r="131">
      <c r="A131" s="255" t="str">
        <f>IFERROR(__xludf.DUMMYFUNCTION("""COMPUTED_VALUE"""),"NANO")</f>
        <v>NANO</v>
      </c>
      <c r="B131" s="23" t="str">
        <f>IFERROR(__xludf.DUMMYFUNCTION("""COMPUTED_VALUE"""),"muzovi_610")</f>
        <v>muzovi_610</v>
      </c>
      <c r="C131" s="281" t="str">
        <f>IFERROR(__xludf.DUMMYFUNCTION("""COMPUTED_VALUE"""),"https://www.tiktok.com/@muzovi_610")</f>
        <v>https://www.tiktok.com/@muzovi_610</v>
      </c>
      <c r="D131" s="270">
        <f>IFERROR(__xludf.DUMMYFUNCTION("""COMPUTED_VALUE"""),8.13332505E10)</f>
        <v>81333250500</v>
      </c>
      <c r="E131" s="271"/>
      <c r="F131" s="270">
        <f>IFERROR(__xludf.DUMMYFUNCTION("""COMPUTED_VALUE"""),3.0)</f>
        <v>3</v>
      </c>
      <c r="G131" s="270" t="str">
        <f>IFERROR(__xludf.DUMMYFUNCTION("""COMPUTED_VALUE"""),"42.51m")</f>
        <v>42.51m</v>
      </c>
      <c r="H131" s="293"/>
      <c r="I131" s="567"/>
      <c r="J131" s="43"/>
      <c r="K131" s="262"/>
      <c r="L131" s="43"/>
      <c r="M131" s="262"/>
      <c r="N131" s="261"/>
      <c r="O131" s="17"/>
      <c r="P131" s="261"/>
      <c r="Q131" s="262"/>
      <c r="R131" s="262"/>
      <c r="S131" s="17"/>
      <c r="T131" s="571"/>
      <c r="U131" s="571"/>
      <c r="V131" s="571"/>
      <c r="W131" s="571"/>
    </row>
    <row r="132">
      <c r="A132" s="255" t="str">
        <f>IFERROR(__xludf.DUMMYFUNCTION("""COMPUTED_VALUE"""),"MICRO")</f>
        <v>MICRO</v>
      </c>
      <c r="B132" s="23" t="str">
        <f>IFERROR(__xludf.DUMMYFUNCTION("""COMPUTED_VALUE"""),"henry.ijo")</f>
        <v>henry.ijo</v>
      </c>
      <c r="C132" s="281" t="str">
        <f>IFERROR(__xludf.DUMMYFUNCTION("""COMPUTED_VALUE"""),"https://www.tiktok.com/@henry.ijo")</f>
        <v>https://www.tiktok.com/@henry.ijo</v>
      </c>
      <c r="D132" s="270">
        <f>IFERROR(__xludf.DUMMYFUNCTION("""COMPUTED_VALUE"""),8.1317736527E10)</f>
        <v>81317736527</v>
      </c>
      <c r="E132" s="271"/>
      <c r="F132" s="270">
        <f>IFERROR(__xludf.DUMMYFUNCTION("""COMPUTED_VALUE"""),3.0)</f>
        <v>3</v>
      </c>
      <c r="G132" s="270" t="str">
        <f>IFERROR(__xludf.DUMMYFUNCTION("""COMPUTED_VALUE"""),"87.86m")</f>
        <v>87.86m</v>
      </c>
      <c r="H132" s="293"/>
      <c r="I132" s="567"/>
      <c r="J132" s="43"/>
      <c r="K132" s="262"/>
      <c r="L132" s="43"/>
      <c r="M132" s="262"/>
      <c r="N132" s="261"/>
      <c r="O132" s="17"/>
      <c r="P132" s="261"/>
      <c r="Q132" s="262"/>
      <c r="R132" s="262"/>
      <c r="S132" s="17"/>
      <c r="T132" s="571"/>
      <c r="U132" s="571"/>
      <c r="V132" s="571"/>
      <c r="W132" s="571"/>
    </row>
    <row r="133">
      <c r="A133" s="255" t="str">
        <f>IFERROR(__xludf.DUMMYFUNCTION("""COMPUTED_VALUE"""),"MICRO")</f>
        <v>MICRO</v>
      </c>
      <c r="B133" s="23" t="str">
        <f>IFERROR(__xludf.DUMMYFUNCTION("""COMPUTED_VALUE"""),"itscendi")</f>
        <v>itscendi</v>
      </c>
      <c r="C133" s="281" t="str">
        <f>IFERROR(__xludf.DUMMYFUNCTION("""COMPUTED_VALUE"""),"https://www.tiktok.com/@itscendi")</f>
        <v>https://www.tiktok.com/@itscendi</v>
      </c>
      <c r="D133" s="270">
        <f>IFERROR(__xludf.DUMMYFUNCTION("""COMPUTED_VALUE"""),8.7746514165E10)</f>
        <v>87746514165</v>
      </c>
      <c r="E133" s="271"/>
      <c r="F133" s="270">
        <f>IFERROR(__xludf.DUMMYFUNCTION("""COMPUTED_VALUE"""),1.0)</f>
        <v>1</v>
      </c>
      <c r="G133" s="270" t="str">
        <f>IFERROR(__xludf.DUMMYFUNCTION("""COMPUTED_VALUE"""),"100.92m")</f>
        <v>100.92m</v>
      </c>
      <c r="H133" s="293"/>
      <c r="I133" s="567"/>
      <c r="J133" s="43"/>
      <c r="K133" s="262"/>
      <c r="L133" s="43"/>
      <c r="M133" s="262"/>
      <c r="N133" s="261"/>
      <c r="O133" s="17"/>
      <c r="P133" s="261"/>
      <c r="Q133" s="262"/>
      <c r="R133" s="262"/>
      <c r="S133" s="17"/>
      <c r="T133" s="571"/>
      <c r="U133" s="571"/>
      <c r="V133" s="571"/>
      <c r="W133" s="571"/>
    </row>
    <row r="134">
      <c r="A134" s="255" t="str">
        <f>IFERROR(__xludf.DUMMYFUNCTION("""COMPUTED_VALUE"""),"MICRO")</f>
        <v>MICRO</v>
      </c>
      <c r="B134" s="23" t="str">
        <f>IFERROR(__xludf.DUMMYFUNCTION("""COMPUTED_VALUE"""),"afira.sya")</f>
        <v>afira.sya</v>
      </c>
      <c r="C134" s="281" t="str">
        <f>IFERROR(__xludf.DUMMYFUNCTION("""COMPUTED_VALUE"""),"https://www.tiktok.com/@afira.sya")</f>
        <v>https://www.tiktok.com/@afira.sya</v>
      </c>
      <c r="D134" s="270">
        <f>IFERROR(__xludf.DUMMYFUNCTION("""COMPUTED_VALUE"""),8.1222412034E10)</f>
        <v>81222412034</v>
      </c>
      <c r="E134" s="271">
        <f>IFERROR(__xludf.DUMMYFUNCTION("""COMPUTED_VALUE"""),500000.0)</f>
        <v>500000</v>
      </c>
      <c r="F134" s="270">
        <f>IFERROR(__xludf.DUMMYFUNCTION("""COMPUTED_VALUE"""),1.0)</f>
        <v>1</v>
      </c>
      <c r="G134" s="270" t="str">
        <f>IFERROR(__xludf.DUMMYFUNCTION("""COMPUTED_VALUE"""),"74.98m")</f>
        <v>74.98m</v>
      </c>
      <c r="H134" s="293"/>
      <c r="I134" s="567"/>
      <c r="J134" s="43"/>
      <c r="K134" s="262"/>
      <c r="L134" s="43"/>
      <c r="M134" s="262"/>
      <c r="N134" s="261"/>
      <c r="O134" s="17"/>
      <c r="P134" s="261"/>
      <c r="Q134" s="262"/>
      <c r="R134" s="262"/>
      <c r="S134" s="17"/>
      <c r="T134" s="571"/>
      <c r="U134" s="571"/>
      <c r="V134" s="571"/>
      <c r="W134" s="571"/>
    </row>
    <row r="135">
      <c r="A135" s="255" t="str">
        <f>IFERROR(__xludf.DUMMYFUNCTION("""COMPUTED_VALUE"""),"MICRO")</f>
        <v>MICRO</v>
      </c>
      <c r="B135" s="23" t="str">
        <f>IFERROR(__xludf.DUMMYFUNCTION("""COMPUTED_VALUE"""),"anjelina5600")</f>
        <v>anjelina5600</v>
      </c>
      <c r="C135" s="281" t="str">
        <f>IFERROR(__xludf.DUMMYFUNCTION("""COMPUTED_VALUE"""),"https://www.tiktok.com/@anjelina5600")</f>
        <v>https://www.tiktok.com/@anjelina5600</v>
      </c>
      <c r="D135" s="270">
        <f>IFERROR(__xludf.DUMMYFUNCTION("""COMPUTED_VALUE"""),8.7797559661E10)</f>
        <v>87797559661</v>
      </c>
      <c r="E135" s="271">
        <f>IFERROR(__xludf.DUMMYFUNCTION("""COMPUTED_VALUE"""),800000.0)</f>
        <v>800000</v>
      </c>
      <c r="F135" s="270">
        <f>IFERROR(__xludf.DUMMYFUNCTION("""COMPUTED_VALUE"""),1.0)</f>
        <v>1</v>
      </c>
      <c r="G135" s="270" t="str">
        <f>IFERROR(__xludf.DUMMYFUNCTION("""COMPUTED_VALUE"""),"34.28m")</f>
        <v>34.28m</v>
      </c>
      <c r="H135" s="293"/>
      <c r="I135" s="567"/>
      <c r="J135" s="43"/>
      <c r="K135" s="262"/>
      <c r="L135" s="43"/>
      <c r="M135" s="262"/>
      <c r="N135" s="261"/>
      <c r="O135" s="17"/>
      <c r="P135" s="261"/>
      <c r="Q135" s="262"/>
      <c r="R135" s="262"/>
      <c r="S135" s="17"/>
      <c r="T135" s="571"/>
      <c r="U135" s="571"/>
      <c r="V135" s="571"/>
      <c r="W135" s="571"/>
    </row>
    <row r="136">
      <c r="A136" s="255" t="str">
        <f>IFERROR(__xludf.DUMMYFUNCTION("""COMPUTED_VALUE"""),"MICRO")</f>
        <v>MICRO</v>
      </c>
      <c r="B136" s="23" t="str">
        <f>IFERROR(__xludf.DUMMYFUNCTION("""COMPUTED_VALUE"""),"denis.park_")</f>
        <v>denis.park_</v>
      </c>
      <c r="C136" s="281" t="str">
        <f>IFERROR(__xludf.DUMMYFUNCTION("""COMPUTED_VALUE"""),"https://www.tiktok.com/@denis.park_")</f>
        <v>https://www.tiktok.com/@denis.park_</v>
      </c>
      <c r="D136" s="270">
        <f>IFERROR(__xludf.DUMMYFUNCTION("""COMPUTED_VALUE"""),8.5658392214E10)</f>
        <v>85658392214</v>
      </c>
      <c r="E136" s="271">
        <f>IFERROR(__xludf.DUMMYFUNCTION("""COMPUTED_VALUE"""),750000.0)</f>
        <v>750000</v>
      </c>
      <c r="F136" s="270">
        <f>IFERROR(__xludf.DUMMYFUNCTION("""COMPUTED_VALUE"""),1.0)</f>
        <v>1</v>
      </c>
      <c r="G136" s="270" t="str">
        <f>IFERROR(__xludf.DUMMYFUNCTION("""COMPUTED_VALUE"""),"106.69m")</f>
        <v>106.69m</v>
      </c>
      <c r="H136" s="293"/>
      <c r="I136" s="567"/>
      <c r="J136" s="43"/>
      <c r="K136" s="262"/>
      <c r="L136" s="43"/>
      <c r="M136" s="262"/>
      <c r="N136" s="261"/>
      <c r="O136" s="17"/>
      <c r="P136" s="261"/>
      <c r="Q136" s="262"/>
      <c r="R136" s="262"/>
      <c r="S136" s="17"/>
      <c r="T136" s="571"/>
      <c r="U136" s="571"/>
      <c r="V136" s="571"/>
      <c r="W136" s="571"/>
    </row>
    <row r="137">
      <c r="A137" s="255" t="str">
        <f>IFERROR(__xludf.DUMMYFUNCTION("""COMPUTED_VALUE"""),"MICRO")</f>
        <v>MICRO</v>
      </c>
      <c r="B137" s="23" t="str">
        <f>IFERROR(__xludf.DUMMYFUNCTION("""COMPUTED_VALUE"""),"tiarasabirin6")</f>
        <v>tiarasabirin6</v>
      </c>
      <c r="C137" s="281" t="str">
        <f>IFERROR(__xludf.DUMMYFUNCTION("""COMPUTED_VALUE"""),"https://www.tiktok.com/@tiarasabirin6")</f>
        <v>https://www.tiktok.com/@tiarasabirin6</v>
      </c>
      <c r="D137" s="270">
        <f>IFERROR(__xludf.DUMMYFUNCTION("""COMPUTED_VALUE"""),8.811411455E9)</f>
        <v>8811411455</v>
      </c>
      <c r="E137" s="271">
        <f>IFERROR(__xludf.DUMMYFUNCTION("""COMPUTED_VALUE"""),400000.0)</f>
        <v>400000</v>
      </c>
      <c r="F137" s="270">
        <f>IFERROR(__xludf.DUMMYFUNCTION("""COMPUTED_VALUE"""),1.0)</f>
        <v>1</v>
      </c>
      <c r="G137" s="270" t="str">
        <f>IFERROR(__xludf.DUMMYFUNCTION("""COMPUTED_VALUE"""),"75.80m")</f>
        <v>75.80m</v>
      </c>
      <c r="H137" s="293"/>
      <c r="I137" s="567"/>
      <c r="J137" s="43"/>
      <c r="K137" s="262"/>
      <c r="L137" s="43"/>
      <c r="M137" s="262"/>
      <c r="N137" s="261"/>
      <c r="O137" s="17"/>
      <c r="P137" s="261"/>
      <c r="Q137" s="262"/>
      <c r="R137" s="262"/>
      <c r="S137" s="17"/>
      <c r="T137" s="571"/>
      <c r="U137" s="571"/>
      <c r="V137" s="571"/>
      <c r="W137" s="571"/>
    </row>
    <row r="138">
      <c r="A138" s="255" t="str">
        <f>IFERROR(__xludf.DUMMYFUNCTION("""COMPUTED_VALUE"""),"MICRO")</f>
        <v>MICRO</v>
      </c>
      <c r="B138" s="23" t="str">
        <f>IFERROR(__xludf.DUMMYFUNCTION("""COMPUTED_VALUE"""),"yanti_nainggolan")</f>
        <v>yanti_nainggolan</v>
      </c>
      <c r="C138" s="281" t="str">
        <f>IFERROR(__xludf.DUMMYFUNCTION("""COMPUTED_VALUE"""),"https://www.tiktok.com/@yanti_nainggolan")</f>
        <v>https://www.tiktok.com/@yanti_nainggolan</v>
      </c>
      <c r="D138" s="270">
        <f>IFERROR(__xludf.DUMMYFUNCTION("""COMPUTED_VALUE"""),8.217057017E10)</f>
        <v>82170570170</v>
      </c>
      <c r="E138" s="271">
        <f>IFERROR(__xludf.DUMMYFUNCTION("""COMPUTED_VALUE"""),100000.0)</f>
        <v>100000</v>
      </c>
      <c r="F138" s="270">
        <f>IFERROR(__xludf.DUMMYFUNCTION("""COMPUTED_VALUE"""),2.0)</f>
        <v>2</v>
      </c>
      <c r="G138" s="270" t="str">
        <f>IFERROR(__xludf.DUMMYFUNCTION("""COMPUTED_VALUE"""),"27.80m")</f>
        <v>27.80m</v>
      </c>
      <c r="H138" s="293"/>
      <c r="I138" s="567"/>
      <c r="J138" s="43"/>
      <c r="K138" s="262"/>
      <c r="L138" s="43"/>
      <c r="M138" s="262"/>
      <c r="N138" s="261"/>
      <c r="O138" s="17"/>
      <c r="P138" s="261"/>
      <c r="Q138" s="262"/>
      <c r="R138" s="262"/>
      <c r="S138" s="17"/>
      <c r="T138" s="571"/>
      <c r="U138" s="571"/>
      <c r="V138" s="571"/>
      <c r="W138" s="571"/>
    </row>
    <row r="139">
      <c r="A139" s="255" t="str">
        <f>IFERROR(__xludf.DUMMYFUNCTION("""COMPUTED_VALUE"""),"MICRO")</f>
        <v>MICRO</v>
      </c>
      <c r="B139" s="23" t="str">
        <f>IFERROR(__xludf.DUMMYFUNCTION("""COMPUTED_VALUE"""),"azahrahf")</f>
        <v>azahrahf</v>
      </c>
      <c r="C139" s="281" t="str">
        <f>IFERROR(__xludf.DUMMYFUNCTION("""COMPUTED_VALUE"""),"https://www.tiktok.com/@azahrahf")</f>
        <v>https://www.tiktok.com/@azahrahf</v>
      </c>
      <c r="D139" s="270">
        <f>IFERROR(__xludf.DUMMYFUNCTION("""COMPUTED_VALUE"""),8.512122429E10)</f>
        <v>85121224290</v>
      </c>
      <c r="E139" s="271">
        <f>IFERROR(__xludf.DUMMYFUNCTION("""COMPUTED_VALUE"""),1102500.0)</f>
        <v>1102500</v>
      </c>
      <c r="F139" s="270">
        <f>IFERROR(__xludf.DUMMYFUNCTION("""COMPUTED_VALUE"""),1.0)</f>
        <v>1</v>
      </c>
      <c r="G139" s="270" t="str">
        <f>IFERROR(__xludf.DUMMYFUNCTION("""COMPUTED_VALUE"""),"58.23m")</f>
        <v>58.23m</v>
      </c>
      <c r="H139" s="293"/>
      <c r="I139" s="567"/>
      <c r="J139" s="43"/>
      <c r="K139" s="262"/>
      <c r="L139" s="43"/>
      <c r="M139" s="262"/>
      <c r="N139" s="261"/>
      <c r="O139" s="17"/>
      <c r="P139" s="261"/>
      <c r="Q139" s="262"/>
      <c r="R139" s="262"/>
      <c r="S139" s="17"/>
      <c r="T139" s="571"/>
      <c r="U139" s="571"/>
      <c r="V139" s="571"/>
      <c r="W139" s="571"/>
    </row>
    <row r="140">
      <c r="A140" s="255" t="str">
        <f>IFERROR(__xludf.DUMMYFUNCTION("""COMPUTED_VALUE"""),"NANO")</f>
        <v>NANO</v>
      </c>
      <c r="B140" s="23" t="str">
        <f>IFERROR(__xludf.DUMMYFUNCTION("""COMPUTED_VALUE"""),"melani.makeup17")</f>
        <v>melani.makeup17</v>
      </c>
      <c r="C140" s="281" t="str">
        <f>IFERROR(__xludf.DUMMYFUNCTION("""COMPUTED_VALUE"""),"https://www.tiktok.com/@melani.makeup17")</f>
        <v>https://www.tiktok.com/@melani.makeup17</v>
      </c>
      <c r="D140" s="270">
        <f>IFERROR(__xludf.DUMMYFUNCTION("""COMPUTED_VALUE"""),8.5728913779E10)</f>
        <v>85728913779</v>
      </c>
      <c r="E140" s="271">
        <f>IFERROR(__xludf.DUMMYFUNCTION("""COMPUTED_VALUE"""),0.0)</f>
        <v>0</v>
      </c>
      <c r="F140" s="270">
        <f>IFERROR(__xludf.DUMMYFUNCTION("""COMPUTED_VALUE"""),6.0)</f>
        <v>6</v>
      </c>
      <c r="G140" s="270" t="str">
        <f>IFERROR(__xludf.DUMMYFUNCTION("""COMPUTED_VALUE"""),"107.00m")</f>
        <v>107.00m</v>
      </c>
      <c r="H140" s="293"/>
      <c r="I140" s="567"/>
      <c r="J140" s="43"/>
      <c r="K140" s="262"/>
      <c r="L140" s="43"/>
      <c r="M140" s="262"/>
      <c r="N140" s="261"/>
      <c r="O140" s="17"/>
      <c r="P140" s="261"/>
      <c r="Q140" s="262"/>
      <c r="R140" s="262"/>
      <c r="S140" s="17"/>
      <c r="T140" s="571"/>
      <c r="U140" s="571"/>
      <c r="V140" s="571"/>
      <c r="W140" s="571"/>
    </row>
    <row r="141">
      <c r="A141" s="255" t="str">
        <f>IFERROR(__xludf.DUMMYFUNCTION("""COMPUTED_VALUE"""),"NANO")</f>
        <v>NANO</v>
      </c>
      <c r="B141" s="23" t="str">
        <f>IFERROR(__xludf.DUMMYFUNCTION("""COMPUTED_VALUE"""),"edugrooming")</f>
        <v>edugrooming</v>
      </c>
      <c r="C141" s="281" t="str">
        <f>IFERROR(__xludf.DUMMYFUNCTION("""COMPUTED_VALUE"""),"https://www.tiktok.com/@edugrooming")</f>
        <v>https://www.tiktok.com/@edugrooming</v>
      </c>
      <c r="D141" s="270">
        <f>IFERROR(__xludf.DUMMYFUNCTION("""COMPUTED_VALUE"""),8.9624425887E10)</f>
        <v>89624425887</v>
      </c>
      <c r="E141" s="271"/>
      <c r="F141" s="270">
        <f>IFERROR(__xludf.DUMMYFUNCTION("""COMPUTED_VALUE"""),3.0)</f>
        <v>3</v>
      </c>
      <c r="G141" s="270" t="str">
        <f>IFERROR(__xludf.DUMMYFUNCTION("""COMPUTED_VALUE"""),"175,4jt")</f>
        <v>175,4jt</v>
      </c>
      <c r="H141" s="293"/>
      <c r="I141" s="567"/>
      <c r="J141" s="43"/>
      <c r="K141" s="262"/>
      <c r="L141" s="43"/>
      <c r="M141" s="262"/>
      <c r="N141" s="261"/>
      <c r="O141" s="17"/>
      <c r="P141" s="261"/>
      <c r="Q141" s="262"/>
      <c r="R141" s="262"/>
      <c r="S141" s="17"/>
      <c r="T141" s="571"/>
      <c r="U141" s="571"/>
      <c r="V141" s="571"/>
      <c r="W141" s="571"/>
    </row>
    <row r="142">
      <c r="A142" s="255" t="str">
        <f>IFERROR(__xludf.DUMMYFUNCTION("""COMPUTED_VALUE"""),"NANO")</f>
        <v>NANO</v>
      </c>
      <c r="B142" s="23" t="str">
        <f>IFERROR(__xludf.DUMMYFUNCTION("""COMPUTED_VALUE"""),"workoutbulk")</f>
        <v>workoutbulk</v>
      </c>
      <c r="C142" s="281" t="str">
        <f>IFERROR(__xludf.DUMMYFUNCTION("""COMPUTED_VALUE"""),"https://www.tiktok.com/@workoutbulk")</f>
        <v>https://www.tiktok.com/@workoutbulk</v>
      </c>
      <c r="D142" s="270">
        <f>IFERROR(__xludf.DUMMYFUNCTION("""COMPUTED_VALUE"""),8.5693849947E10)</f>
        <v>85693849947</v>
      </c>
      <c r="E142" s="271"/>
      <c r="F142" s="270">
        <f>IFERROR(__xludf.DUMMYFUNCTION("""COMPUTED_VALUE"""),3.0)</f>
        <v>3</v>
      </c>
      <c r="G142" s="270" t="str">
        <f>IFERROR(__xludf.DUMMYFUNCTION("""COMPUTED_VALUE"""),"395jt")</f>
        <v>395jt</v>
      </c>
      <c r="H142" s="293"/>
      <c r="I142" s="567"/>
      <c r="J142" s="43"/>
      <c r="K142" s="262"/>
      <c r="L142" s="43"/>
      <c r="M142" s="262"/>
      <c r="N142" s="261"/>
      <c r="O142" s="17"/>
      <c r="P142" s="261"/>
      <c r="Q142" s="262"/>
      <c r="R142" s="262"/>
      <c r="S142" s="17"/>
      <c r="T142" s="571"/>
      <c r="U142" s="571"/>
      <c r="V142" s="571"/>
      <c r="W142" s="571"/>
    </row>
    <row r="143">
      <c r="A143" s="255" t="str">
        <f>IFERROR(__xludf.DUMMYFUNCTION("""COMPUTED_VALUE"""),"MICRO")</f>
        <v>MICRO</v>
      </c>
      <c r="B143" s="23" t="str">
        <f>IFERROR(__xludf.DUMMYFUNCTION("""COMPUTED_VALUE"""),"glowupwithacan")</f>
        <v>glowupwithacan</v>
      </c>
      <c r="C143" s="281" t="str">
        <f>IFERROR(__xludf.DUMMYFUNCTION("""COMPUTED_VALUE"""),"https://www.tiktok.com/@glowupwithacan")</f>
        <v>https://www.tiktok.com/@glowupwithacan</v>
      </c>
      <c r="D143" s="270">
        <f>IFERROR(__xludf.DUMMYFUNCTION("""COMPUTED_VALUE"""),8.81082379629E11)</f>
        <v>881082379629</v>
      </c>
      <c r="E143" s="271"/>
      <c r="F143" s="270">
        <f>IFERROR(__xludf.DUMMYFUNCTION("""COMPUTED_VALUE"""),1.0)</f>
        <v>1</v>
      </c>
      <c r="G143" s="270" t="str">
        <f>IFERROR(__xludf.DUMMYFUNCTION("""COMPUTED_VALUE"""),"157.94m")</f>
        <v>157.94m</v>
      </c>
      <c r="H143" s="293"/>
      <c r="I143" s="567"/>
      <c r="J143" s="43"/>
      <c r="K143" s="262"/>
      <c r="L143" s="43"/>
      <c r="M143" s="262"/>
      <c r="N143" s="261"/>
      <c r="O143" s="17"/>
      <c r="P143" s="261"/>
      <c r="Q143" s="262"/>
      <c r="R143" s="262"/>
      <c r="S143" s="17"/>
      <c r="T143" s="571"/>
      <c r="U143" s="571"/>
      <c r="V143" s="571"/>
      <c r="W143" s="571"/>
    </row>
    <row r="144">
      <c r="A144" s="255" t="str">
        <f>IFERROR(__xludf.DUMMYFUNCTION("""COMPUTED_VALUE"""),"MICRO")</f>
        <v>MICRO</v>
      </c>
      <c r="B144" s="23" t="str">
        <f>IFERROR(__xludf.DUMMYFUNCTION("""COMPUTED_VALUE"""),"isanrbr")</f>
        <v>isanrbr</v>
      </c>
      <c r="C144" s="281" t="str">
        <f>IFERROR(__xludf.DUMMYFUNCTION("""COMPUTED_VALUE"""),"https://www.tiktok.com/@isanrbr")</f>
        <v>https://www.tiktok.com/@isanrbr</v>
      </c>
      <c r="D144" s="270">
        <f>IFERROR(__xludf.DUMMYFUNCTION("""COMPUTED_VALUE"""),8.5169844421E10)</f>
        <v>85169844421</v>
      </c>
      <c r="E144" s="271"/>
      <c r="F144" s="270">
        <f>IFERROR(__xludf.DUMMYFUNCTION("""COMPUTED_VALUE"""),3.0)</f>
        <v>3</v>
      </c>
      <c r="G144" s="270" t="str">
        <f>IFERROR(__xludf.DUMMYFUNCTION("""COMPUTED_VALUE"""),"124,5jt")</f>
        <v>124,5jt</v>
      </c>
      <c r="H144" s="293"/>
      <c r="I144" s="567"/>
      <c r="J144" s="43"/>
      <c r="K144" s="262"/>
      <c r="L144" s="43"/>
      <c r="M144" s="262"/>
      <c r="N144" s="261"/>
      <c r="O144" s="17"/>
      <c r="P144" s="261"/>
      <c r="Q144" s="262"/>
      <c r="R144" s="262"/>
      <c r="S144" s="17"/>
      <c r="T144" s="571"/>
      <c r="U144" s="571"/>
      <c r="V144" s="571"/>
      <c r="W144" s="571"/>
    </row>
    <row r="145">
      <c r="A145" s="255" t="str">
        <f>IFERROR(__xludf.DUMMYFUNCTION("""COMPUTED_VALUE"""),"NANO")</f>
        <v>NANO</v>
      </c>
      <c r="B145" s="23" t="str">
        <f>IFERROR(__xludf.DUMMYFUNCTION("""COMPUTED_VALUE"""),"daznyy")</f>
        <v>daznyy</v>
      </c>
      <c r="C145" s="281" t="str">
        <f>IFERROR(__xludf.DUMMYFUNCTION("""COMPUTED_VALUE"""),"https://www.tiktok.com/@daznyy")</f>
        <v>https://www.tiktok.com/@daznyy</v>
      </c>
      <c r="D145" s="270">
        <f>IFERROR(__xludf.DUMMYFUNCTION("""COMPUTED_VALUE"""),8.174744774E9)</f>
        <v>8174744774</v>
      </c>
      <c r="E145" s="271"/>
      <c r="F145" s="270">
        <f>IFERROR(__xludf.DUMMYFUNCTION("""COMPUTED_VALUE"""),3.0)</f>
        <v>3</v>
      </c>
      <c r="G145" s="270" t="str">
        <f>IFERROR(__xludf.DUMMYFUNCTION("""COMPUTED_VALUE"""),"34.50m")</f>
        <v>34.50m</v>
      </c>
      <c r="H145" s="293"/>
      <c r="I145" s="567"/>
      <c r="J145" s="43"/>
      <c r="K145" s="262"/>
      <c r="L145" s="43"/>
      <c r="M145" s="262"/>
      <c r="N145" s="261"/>
      <c r="O145" s="17"/>
      <c r="P145" s="261"/>
      <c r="Q145" s="262"/>
      <c r="R145" s="262"/>
      <c r="S145" s="17"/>
      <c r="T145" s="571"/>
      <c r="U145" s="571"/>
      <c r="V145" s="571"/>
      <c r="W145" s="571"/>
    </row>
    <row r="146">
      <c r="A146" s="255" t="str">
        <f>IFERROR(__xludf.DUMMYFUNCTION("""COMPUTED_VALUE"""),"NANO")</f>
        <v>NANO</v>
      </c>
      <c r="B146" s="23" t="str">
        <f>IFERROR(__xludf.DUMMYFUNCTION("""COMPUTED_VALUE"""),".beniakbar")</f>
        <v>.beniakbar</v>
      </c>
      <c r="C146" s="281" t="str">
        <f>IFERROR(__xludf.DUMMYFUNCTION("""COMPUTED_VALUE"""),"https://www.tiktok.com/@.beniakbar")</f>
        <v>https://www.tiktok.com/@.beniakbar</v>
      </c>
      <c r="D146" s="270">
        <f>IFERROR(__xludf.DUMMYFUNCTION("""COMPUTED_VALUE"""),8.1298802807E10)</f>
        <v>81298802807</v>
      </c>
      <c r="E146" s="271"/>
      <c r="F146" s="270">
        <f>IFERROR(__xludf.DUMMYFUNCTION("""COMPUTED_VALUE"""),3.0)</f>
        <v>3</v>
      </c>
      <c r="G146" s="270" t="str">
        <f>IFERROR(__xludf.DUMMYFUNCTION("""COMPUTED_VALUE"""),"Rp83jt")</f>
        <v>Rp83jt</v>
      </c>
      <c r="H146" s="293"/>
      <c r="I146" s="567"/>
      <c r="J146" s="43"/>
      <c r="K146" s="262"/>
      <c r="L146" s="43"/>
      <c r="M146" s="262"/>
      <c r="N146" s="261"/>
      <c r="O146" s="17"/>
      <c r="P146" s="261"/>
      <c r="Q146" s="262"/>
      <c r="R146" s="262"/>
      <c r="S146" s="17"/>
      <c r="T146" s="571"/>
      <c r="U146" s="571"/>
      <c r="V146" s="571"/>
      <c r="W146" s="571"/>
    </row>
    <row r="147">
      <c r="A147" s="255" t="str">
        <f>IFERROR(__xludf.DUMMYFUNCTION("""COMPUTED_VALUE"""),"MICRO")</f>
        <v>MICRO</v>
      </c>
      <c r="B147" s="23" t="str">
        <f>IFERROR(__xludf.DUMMYFUNCTION("""COMPUTED_VALUE"""),"masmore2")</f>
        <v>masmore2</v>
      </c>
      <c r="C147" s="281" t="str">
        <f>IFERROR(__xludf.DUMMYFUNCTION("""COMPUTED_VALUE"""),"https://www.tiktok.com/@masmore2")</f>
        <v>https://www.tiktok.com/@masmore2</v>
      </c>
      <c r="D147" s="270">
        <f>IFERROR(__xludf.DUMMYFUNCTION("""COMPUTED_VALUE"""),8.9666020201E10)</f>
        <v>89666020201</v>
      </c>
      <c r="E147" s="271"/>
      <c r="F147" s="270">
        <f>IFERROR(__xludf.DUMMYFUNCTION("""COMPUTED_VALUE"""),3.0)</f>
        <v>3</v>
      </c>
      <c r="G147" s="270" t="str">
        <f>IFERROR(__xludf.DUMMYFUNCTION("""COMPUTED_VALUE"""),"Rp236,7jt")</f>
        <v>Rp236,7jt</v>
      </c>
      <c r="H147" s="293"/>
      <c r="I147" s="567"/>
      <c r="J147" s="43"/>
      <c r="K147" s="262"/>
      <c r="L147" s="43"/>
      <c r="M147" s="262"/>
      <c r="N147" s="261"/>
      <c r="O147" s="17"/>
      <c r="P147" s="261"/>
      <c r="Q147" s="262"/>
      <c r="R147" s="262"/>
      <c r="S147" s="17"/>
      <c r="T147" s="571"/>
      <c r="U147" s="571"/>
      <c r="V147" s="571"/>
      <c r="W147" s="571"/>
    </row>
    <row r="148">
      <c r="A148" s="255" t="str">
        <f>IFERROR(__xludf.DUMMYFUNCTION("""COMPUTED_VALUE"""),"MACRO")</f>
        <v>MACRO</v>
      </c>
      <c r="B148" s="23" t="str">
        <f>IFERROR(__xludf.DUMMYFUNCTION("""COMPUTED_VALUE"""),"rizky_dino")</f>
        <v>rizky_dino</v>
      </c>
      <c r="C148" s="281" t="str">
        <f>IFERROR(__xludf.DUMMYFUNCTION("""COMPUTED_VALUE"""),"https://www.tiktok.com/@rizky_dino")</f>
        <v>https://www.tiktok.com/@rizky_dino</v>
      </c>
      <c r="D148" s="270">
        <f>IFERROR(__xludf.DUMMYFUNCTION("""COMPUTED_VALUE"""),8.52800521918E11)</f>
        <v>852800521918</v>
      </c>
      <c r="E148" s="271">
        <f>IFERROR(__xludf.DUMMYFUNCTION("""COMPUTED_VALUE"""),333333.0)</f>
        <v>333333</v>
      </c>
      <c r="F148" s="270">
        <f>IFERROR(__xludf.DUMMYFUNCTION("""COMPUTED_VALUE"""),1.0)</f>
        <v>1</v>
      </c>
      <c r="G148" s="270" t="str">
        <f>IFERROR(__xludf.DUMMYFUNCTION("""COMPUTED_VALUE"""),"Rp131.34m")</f>
        <v>Rp131.34m</v>
      </c>
      <c r="H148" s="293"/>
      <c r="I148" s="567"/>
      <c r="J148" s="43"/>
      <c r="K148" s="262"/>
      <c r="L148" s="43"/>
      <c r="M148" s="262"/>
      <c r="N148" s="261"/>
      <c r="O148" s="17"/>
      <c r="P148" s="261"/>
      <c r="Q148" s="262"/>
      <c r="R148" s="262"/>
      <c r="S148" s="17"/>
      <c r="T148" s="571"/>
      <c r="U148" s="571"/>
      <c r="V148" s="571"/>
      <c r="W148" s="571"/>
    </row>
    <row r="149">
      <c r="A149" s="255" t="str">
        <f>IFERROR(__xludf.DUMMYFUNCTION("""COMPUTED_VALUE"""),"MICRO")</f>
        <v>MICRO</v>
      </c>
      <c r="B149" s="23" t="str">
        <f>IFERROR(__xludf.DUMMYFUNCTION("""COMPUTED_VALUE"""),"itral8")</f>
        <v>itral8</v>
      </c>
      <c r="C149" s="281" t="str">
        <f>IFERROR(__xludf.DUMMYFUNCTION("""COMPUTED_VALUE"""),"https://www.tiktok.com/@itral8")</f>
        <v>https://www.tiktok.com/@itral8</v>
      </c>
      <c r="D149" s="270">
        <f>IFERROR(__xludf.DUMMYFUNCTION("""COMPUTED_VALUE"""),6.282241480991E12)</f>
        <v>6282241480991</v>
      </c>
      <c r="E149" s="271">
        <f>IFERROR(__xludf.DUMMYFUNCTION("""COMPUTED_VALUE"""),233333.0)</f>
        <v>233333</v>
      </c>
      <c r="F149" s="270">
        <f>IFERROR(__xludf.DUMMYFUNCTION("""COMPUTED_VALUE"""),1.0)</f>
        <v>1</v>
      </c>
      <c r="G149" s="270" t="str">
        <f>IFERROR(__xludf.DUMMYFUNCTION("""COMPUTED_VALUE"""),"Rp65.44m")</f>
        <v>Rp65.44m</v>
      </c>
      <c r="H149" s="293"/>
      <c r="I149" s="567"/>
      <c r="J149" s="43"/>
      <c r="K149" s="262"/>
      <c r="L149" s="43"/>
      <c r="M149" s="262"/>
      <c r="N149" s="261"/>
      <c r="O149" s="17"/>
      <c r="P149" s="261"/>
      <c r="Q149" s="262"/>
      <c r="R149" s="262"/>
      <c r="S149" s="17"/>
      <c r="T149" s="571"/>
      <c r="U149" s="571"/>
      <c r="V149" s="571"/>
      <c r="W149" s="571"/>
    </row>
    <row r="150">
      <c r="A150" s="255" t="str">
        <f>IFERROR(__xludf.DUMMYFUNCTION("""COMPUTED_VALUE"""),"MICRO")</f>
        <v>MICRO</v>
      </c>
      <c r="B150" s="23" t="str">
        <f>IFERROR(__xludf.DUMMYFUNCTION("""COMPUTED_VALUE"""),"winduangga")</f>
        <v>winduangga</v>
      </c>
      <c r="C150" s="281" t="str">
        <f>IFERROR(__xludf.DUMMYFUNCTION("""COMPUTED_VALUE"""),"https://www.tiktok.com/@winduangga")</f>
        <v>https://www.tiktok.com/@winduangga</v>
      </c>
      <c r="D150" s="270">
        <f>IFERROR(__xludf.DUMMYFUNCTION("""COMPUTED_VALUE"""),8.9502870963E10)</f>
        <v>89502870963</v>
      </c>
      <c r="E150" s="271">
        <f>IFERROR(__xludf.DUMMYFUNCTION("""COMPUTED_VALUE"""),300000.0)</f>
        <v>300000</v>
      </c>
      <c r="F150" s="270">
        <f>IFERROR(__xludf.DUMMYFUNCTION("""COMPUTED_VALUE"""),1.0)</f>
        <v>1</v>
      </c>
      <c r="G150" s="270" t="str">
        <f>IFERROR(__xludf.DUMMYFUNCTION("""COMPUTED_VALUE"""),"Rp51.30m")</f>
        <v>Rp51.30m</v>
      </c>
      <c r="H150" s="293"/>
      <c r="I150" s="567"/>
      <c r="J150" s="43"/>
      <c r="K150" s="262"/>
      <c r="L150" s="43"/>
      <c r="M150" s="262"/>
      <c r="N150" s="261"/>
      <c r="O150" s="17"/>
      <c r="P150" s="261"/>
      <c r="Q150" s="262"/>
      <c r="R150" s="262"/>
      <c r="S150" s="17"/>
      <c r="T150" s="571"/>
      <c r="U150" s="571"/>
      <c r="V150" s="571"/>
      <c r="W150" s="571"/>
    </row>
    <row r="151">
      <c r="A151" s="255" t="str">
        <f>IFERROR(__xludf.DUMMYFUNCTION("""COMPUTED_VALUE"""),"MICRO")</f>
        <v>MICRO</v>
      </c>
      <c r="B151" s="23" t="str">
        <f>IFERROR(__xludf.DUMMYFUNCTION("""COMPUTED_VALUE"""),"gabolegalakya")</f>
        <v>gabolegalakya</v>
      </c>
      <c r="C151" s="281" t="str">
        <f>IFERROR(__xludf.DUMMYFUNCTION("""COMPUTED_VALUE"""),"https://www.tiktok.com/@gabolegalakya")</f>
        <v>https://www.tiktok.com/@gabolegalakya</v>
      </c>
      <c r="D151" s="270">
        <f>IFERROR(__xludf.DUMMYFUNCTION("""COMPUTED_VALUE"""),8.1375495494E10)</f>
        <v>81375495494</v>
      </c>
      <c r="E151" s="271">
        <f>IFERROR(__xludf.DUMMYFUNCTION("""COMPUTED_VALUE"""),0.0)</f>
        <v>0</v>
      </c>
      <c r="F151" s="270">
        <f>IFERROR(__xludf.DUMMYFUNCTION("""COMPUTED_VALUE"""),1.0)</f>
        <v>1</v>
      </c>
      <c r="G151" s="270" t="str">
        <f>IFERROR(__xludf.DUMMYFUNCTION("""COMPUTED_VALUE"""),"73.51m")</f>
        <v>73.51m</v>
      </c>
      <c r="H151" s="293"/>
      <c r="I151" s="567"/>
      <c r="J151" s="43"/>
      <c r="K151" s="262"/>
      <c r="L151" s="43"/>
      <c r="M151" s="262"/>
      <c r="N151" s="261"/>
      <c r="O151" s="17"/>
      <c r="P151" s="261"/>
      <c r="Q151" s="262"/>
      <c r="R151" s="262"/>
      <c r="S151" s="17"/>
      <c r="T151" s="571"/>
      <c r="U151" s="571"/>
      <c r="V151" s="571"/>
      <c r="W151" s="571"/>
    </row>
    <row r="152">
      <c r="A152" s="255" t="str">
        <f>IFERROR(__xludf.DUMMYFUNCTION("""COMPUTED_VALUE"""),"MICRO")</f>
        <v>MICRO</v>
      </c>
      <c r="B152" s="23" t="str">
        <f>IFERROR(__xludf.DUMMYFUNCTION("""COMPUTED_VALUE"""),"yoonab")</f>
        <v>yoonab</v>
      </c>
      <c r="C152" s="281" t="str">
        <f>IFERROR(__xludf.DUMMYFUNCTION("""COMPUTED_VALUE"""),"https://www.tiktok.com/@yoonab")</f>
        <v>https://www.tiktok.com/@yoonab</v>
      </c>
      <c r="D152" s="270">
        <f>IFERROR(__xludf.DUMMYFUNCTION("""COMPUTED_VALUE"""),8.9612543483E10)</f>
        <v>89612543483</v>
      </c>
      <c r="E152" s="271">
        <f>IFERROR(__xludf.DUMMYFUNCTION("""COMPUTED_VALUE"""),0.0)</f>
        <v>0</v>
      </c>
      <c r="F152" s="270">
        <f>IFERROR(__xludf.DUMMYFUNCTION("""COMPUTED_VALUE"""),2.0)</f>
        <v>2</v>
      </c>
      <c r="G152" s="270" t="str">
        <f>IFERROR(__xludf.DUMMYFUNCTION("""COMPUTED_VALUE"""),"61.17m")</f>
        <v>61.17m</v>
      </c>
      <c r="H152" s="293"/>
      <c r="I152" s="567"/>
      <c r="J152" s="43"/>
      <c r="K152" s="262"/>
      <c r="L152" s="43"/>
      <c r="M152" s="262"/>
      <c r="N152" s="261"/>
      <c r="O152" s="17"/>
      <c r="P152" s="261"/>
      <c r="Q152" s="262"/>
      <c r="R152" s="262"/>
      <c r="S152" s="17"/>
      <c r="T152" s="571"/>
      <c r="U152" s="571"/>
      <c r="V152" s="571"/>
      <c r="W152" s="571"/>
    </row>
    <row r="153">
      <c r="A153" s="255" t="str">
        <f>IFERROR(__xludf.DUMMYFUNCTION("""COMPUTED_VALUE"""),"MICRO")</f>
        <v>MICRO</v>
      </c>
      <c r="B153" s="23" t="str">
        <f>IFERROR(__xludf.DUMMYFUNCTION("""COMPUTED_VALUE"""),"snlaily")</f>
        <v>snlaily</v>
      </c>
      <c r="C153" s="281" t="str">
        <f>IFERROR(__xludf.DUMMYFUNCTION("""COMPUTED_VALUE"""),"https://www.tiktok.com/@snlaily")</f>
        <v>https://www.tiktok.com/@snlaily</v>
      </c>
      <c r="D153" s="270">
        <f>IFERROR(__xludf.DUMMYFUNCTION("""COMPUTED_VALUE"""),8.2264083489E10)</f>
        <v>82264083489</v>
      </c>
      <c r="E153" s="271"/>
      <c r="F153" s="270"/>
      <c r="G153" s="270"/>
      <c r="H153" s="293"/>
      <c r="I153" s="567"/>
      <c r="J153" s="43"/>
      <c r="K153" s="262"/>
      <c r="L153" s="43"/>
      <c r="M153" s="262"/>
      <c r="N153" s="261"/>
      <c r="O153" s="17"/>
      <c r="P153" s="261"/>
      <c r="Q153" s="262"/>
      <c r="R153" s="262"/>
      <c r="S153" s="17"/>
      <c r="T153" s="571"/>
      <c r="U153" s="571"/>
      <c r="V153" s="571"/>
      <c r="W153" s="571"/>
    </row>
    <row r="154">
      <c r="A154" s="255"/>
      <c r="B154" s="23"/>
      <c r="C154" s="281" t="str">
        <f>IFERROR(__xludf.DUMMYFUNCTION("""COMPUTED_VALUE"""),"https://www.tiktok.com/@")</f>
        <v>https://www.tiktok.com/@</v>
      </c>
      <c r="D154" s="270"/>
      <c r="E154" s="271"/>
      <c r="F154" s="270"/>
      <c r="G154" s="270"/>
      <c r="H154" s="293"/>
      <c r="I154" s="567"/>
      <c r="J154" s="43"/>
      <c r="K154" s="262"/>
      <c r="L154" s="43"/>
      <c r="M154" s="262"/>
      <c r="N154" s="261"/>
      <c r="O154" s="17"/>
      <c r="P154" s="261"/>
      <c r="Q154" s="262"/>
      <c r="R154" s="262"/>
      <c r="S154" s="17"/>
      <c r="T154" s="571"/>
      <c r="U154" s="571"/>
      <c r="V154" s="571"/>
      <c r="W154" s="571"/>
    </row>
    <row r="155">
      <c r="A155" s="255"/>
      <c r="B155" s="23"/>
      <c r="C155" s="281" t="str">
        <f>IFERROR(__xludf.DUMMYFUNCTION("""COMPUTED_VALUE"""),"https://www.tiktok.com/@")</f>
        <v>https://www.tiktok.com/@</v>
      </c>
      <c r="D155" s="270"/>
      <c r="E155" s="271"/>
      <c r="F155" s="270"/>
      <c r="G155" s="270"/>
      <c r="H155" s="293"/>
      <c r="I155" s="567"/>
      <c r="J155" s="43"/>
      <c r="K155" s="262"/>
      <c r="L155" s="43"/>
      <c r="M155" s="262"/>
      <c r="N155" s="261"/>
      <c r="O155" s="17"/>
      <c r="P155" s="261"/>
      <c r="Q155" s="262"/>
      <c r="R155" s="262"/>
      <c r="S155" s="17"/>
      <c r="T155" s="571"/>
      <c r="U155" s="571"/>
      <c r="V155" s="571"/>
      <c r="W155" s="571"/>
    </row>
    <row r="156">
      <c r="A156" s="255"/>
      <c r="B156" s="23"/>
      <c r="C156" s="281" t="str">
        <f>IFERROR(__xludf.DUMMYFUNCTION("""COMPUTED_VALUE"""),"https://www.tiktok.com/@")</f>
        <v>https://www.tiktok.com/@</v>
      </c>
      <c r="D156" s="270"/>
      <c r="E156" s="271"/>
      <c r="F156" s="270"/>
      <c r="G156" s="270"/>
      <c r="H156" s="293"/>
      <c r="I156" s="567"/>
      <c r="J156" s="43"/>
      <c r="K156" s="262"/>
      <c r="L156" s="43"/>
      <c r="M156" s="262"/>
      <c r="N156" s="261"/>
      <c r="O156" s="17"/>
      <c r="P156" s="261"/>
      <c r="Q156" s="262"/>
      <c r="R156" s="262"/>
      <c r="S156" s="17"/>
      <c r="T156" s="571"/>
      <c r="U156" s="571"/>
      <c r="V156" s="571"/>
      <c r="W156" s="571"/>
    </row>
    <row r="157">
      <c r="A157" s="255"/>
      <c r="B157" s="23"/>
      <c r="C157" s="281" t="str">
        <f>IFERROR(__xludf.DUMMYFUNCTION("""COMPUTED_VALUE"""),"https://www.tiktok.com/@")</f>
        <v>https://www.tiktok.com/@</v>
      </c>
      <c r="D157" s="270"/>
      <c r="E157" s="271"/>
      <c r="F157" s="270"/>
      <c r="G157" s="270"/>
      <c r="H157" s="293"/>
      <c r="I157" s="567"/>
      <c r="J157" s="43"/>
      <c r="K157" s="262"/>
      <c r="L157" s="43"/>
      <c r="M157" s="262"/>
      <c r="N157" s="261"/>
      <c r="O157" s="17"/>
      <c r="P157" s="261"/>
      <c r="Q157" s="262"/>
      <c r="R157" s="262"/>
      <c r="S157" s="17"/>
      <c r="T157" s="571"/>
      <c r="U157" s="571"/>
      <c r="V157" s="571"/>
      <c r="W157" s="571"/>
    </row>
    <row r="158">
      <c r="A158" s="255"/>
      <c r="B158" s="23"/>
      <c r="C158" s="281" t="str">
        <f>IFERROR(__xludf.DUMMYFUNCTION("""COMPUTED_VALUE"""),"https://www.tiktok.com/@")</f>
        <v>https://www.tiktok.com/@</v>
      </c>
      <c r="D158" s="270"/>
      <c r="E158" s="271"/>
      <c r="F158" s="270"/>
      <c r="G158" s="270"/>
      <c r="H158" s="293"/>
      <c r="I158" s="567"/>
      <c r="J158" s="43"/>
      <c r="K158" s="262"/>
      <c r="L158" s="43"/>
      <c r="M158" s="262"/>
      <c r="N158" s="261"/>
      <c r="O158" s="17"/>
      <c r="P158" s="261"/>
      <c r="Q158" s="262"/>
      <c r="R158" s="262"/>
      <c r="S158" s="17"/>
      <c r="T158" s="571"/>
      <c r="U158" s="571"/>
      <c r="V158" s="571"/>
      <c r="W158" s="571"/>
    </row>
    <row r="159">
      <c r="A159" s="255"/>
      <c r="B159" s="23"/>
      <c r="C159" s="281" t="str">
        <f>IFERROR(__xludf.DUMMYFUNCTION("""COMPUTED_VALUE"""),"https://www.tiktok.com/@")</f>
        <v>https://www.tiktok.com/@</v>
      </c>
      <c r="D159" s="270"/>
      <c r="E159" s="271"/>
      <c r="F159" s="270"/>
      <c r="G159" s="270"/>
      <c r="H159" s="293"/>
      <c r="I159" s="567"/>
      <c r="J159" s="43"/>
      <c r="K159" s="262"/>
      <c r="L159" s="43"/>
      <c r="M159" s="262"/>
      <c r="N159" s="261"/>
      <c r="O159" s="17"/>
      <c r="P159" s="261"/>
      <c r="Q159" s="262"/>
      <c r="R159" s="262"/>
      <c r="S159" s="17"/>
      <c r="T159" s="571"/>
      <c r="U159" s="571"/>
      <c r="V159" s="571"/>
      <c r="W159" s="571"/>
    </row>
    <row r="160">
      <c r="A160" s="255"/>
      <c r="B160" s="23"/>
      <c r="C160" s="281" t="str">
        <f>IFERROR(__xludf.DUMMYFUNCTION("""COMPUTED_VALUE"""),"https://www.tiktok.com/@")</f>
        <v>https://www.tiktok.com/@</v>
      </c>
      <c r="D160" s="270"/>
      <c r="E160" s="271"/>
      <c r="F160" s="270"/>
      <c r="G160" s="270"/>
      <c r="H160" s="293"/>
      <c r="I160" s="567"/>
      <c r="J160" s="43"/>
      <c r="K160" s="262"/>
      <c r="L160" s="43"/>
      <c r="M160" s="262"/>
      <c r="N160" s="261"/>
      <c r="O160" s="17"/>
      <c r="P160" s="261"/>
      <c r="Q160" s="262"/>
      <c r="R160" s="262"/>
      <c r="S160" s="17"/>
      <c r="T160" s="571"/>
      <c r="U160" s="571"/>
      <c r="V160" s="571"/>
      <c r="W160" s="571"/>
    </row>
    <row r="161">
      <c r="A161" s="255"/>
      <c r="B161" s="23"/>
      <c r="C161" s="281" t="str">
        <f>IFERROR(__xludf.DUMMYFUNCTION("""COMPUTED_VALUE"""),"https://www.tiktok.com/@")</f>
        <v>https://www.tiktok.com/@</v>
      </c>
      <c r="D161" s="270"/>
      <c r="E161" s="271"/>
      <c r="F161" s="270"/>
      <c r="G161" s="270"/>
      <c r="H161" s="293"/>
      <c r="I161" s="567"/>
      <c r="J161" s="43"/>
      <c r="K161" s="262"/>
      <c r="L161" s="43"/>
      <c r="M161" s="262"/>
      <c r="N161" s="17"/>
      <c r="O161" s="17"/>
      <c r="P161" s="17"/>
      <c r="Q161" s="262"/>
      <c r="R161" s="262"/>
      <c r="S161" s="17"/>
      <c r="T161" s="571"/>
      <c r="U161" s="571"/>
      <c r="V161" s="571"/>
      <c r="W161" s="571"/>
    </row>
    <row r="162">
      <c r="A162" s="255"/>
      <c r="B162" s="23"/>
      <c r="C162" s="281" t="str">
        <f>IFERROR(__xludf.DUMMYFUNCTION("""COMPUTED_VALUE"""),"https://www.tiktok.com/@")</f>
        <v>https://www.tiktok.com/@</v>
      </c>
      <c r="D162" s="270"/>
      <c r="E162" s="271"/>
      <c r="F162" s="270"/>
      <c r="G162" s="270"/>
      <c r="H162" s="293"/>
      <c r="I162" s="567"/>
      <c r="J162" s="43"/>
      <c r="K162" s="262"/>
      <c r="L162" s="43"/>
      <c r="M162" s="262"/>
      <c r="N162" s="17"/>
      <c r="O162" s="17"/>
      <c r="P162" s="17"/>
      <c r="Q162" s="262"/>
      <c r="R162" s="262"/>
      <c r="S162" s="17"/>
      <c r="T162" s="571"/>
      <c r="U162" s="571"/>
      <c r="V162" s="571"/>
      <c r="W162" s="571"/>
    </row>
    <row r="163">
      <c r="A163" s="255"/>
      <c r="B163" s="23"/>
      <c r="C163" s="281" t="str">
        <f>IFERROR(__xludf.DUMMYFUNCTION("""COMPUTED_VALUE"""),"https://www.tiktok.com/@")</f>
        <v>https://www.tiktok.com/@</v>
      </c>
      <c r="D163" s="270"/>
      <c r="E163" s="271"/>
      <c r="F163" s="270"/>
      <c r="G163" s="270"/>
      <c r="H163" s="293"/>
      <c r="I163" s="567"/>
      <c r="J163" s="43"/>
      <c r="K163" s="262"/>
      <c r="L163" s="43"/>
      <c r="M163" s="262"/>
      <c r="N163" s="17"/>
      <c r="O163" s="17"/>
      <c r="P163" s="17"/>
      <c r="Q163" s="262"/>
      <c r="R163" s="262"/>
      <c r="S163" s="17"/>
      <c r="T163" s="571"/>
      <c r="U163" s="571"/>
      <c r="V163" s="571"/>
      <c r="W163" s="571"/>
    </row>
    <row r="164">
      <c r="A164" s="255"/>
      <c r="B164" s="23"/>
      <c r="C164" s="281" t="str">
        <f>IFERROR(__xludf.DUMMYFUNCTION("""COMPUTED_VALUE"""),"https://www.tiktok.com/@")</f>
        <v>https://www.tiktok.com/@</v>
      </c>
      <c r="D164" s="270"/>
      <c r="E164" s="271"/>
      <c r="F164" s="270"/>
      <c r="G164" s="270"/>
      <c r="H164" s="293"/>
      <c r="I164" s="567"/>
      <c r="J164" s="43"/>
      <c r="K164" s="262"/>
      <c r="L164" s="43"/>
      <c r="M164" s="262"/>
      <c r="N164" s="17"/>
      <c r="O164" s="17"/>
      <c r="P164" s="17"/>
      <c r="Q164" s="262"/>
      <c r="R164" s="262"/>
      <c r="S164" s="17"/>
      <c r="T164" s="571"/>
      <c r="U164" s="571"/>
      <c r="V164" s="571"/>
      <c r="W164" s="571"/>
    </row>
    <row r="165">
      <c r="A165" s="255"/>
      <c r="B165" s="23"/>
      <c r="C165" s="281" t="str">
        <f>IFERROR(__xludf.DUMMYFUNCTION("""COMPUTED_VALUE"""),"https://www.tiktok.com/@")</f>
        <v>https://www.tiktok.com/@</v>
      </c>
      <c r="D165" s="270"/>
      <c r="E165" s="271"/>
      <c r="F165" s="270"/>
      <c r="G165" s="270"/>
      <c r="H165" s="293"/>
      <c r="I165" s="567"/>
      <c r="J165" s="43"/>
      <c r="K165" s="262"/>
      <c r="L165" s="43"/>
      <c r="M165" s="262"/>
      <c r="N165" s="17"/>
      <c r="O165" s="17"/>
      <c r="P165" s="17"/>
      <c r="Q165" s="262"/>
      <c r="R165" s="262"/>
      <c r="S165" s="17"/>
      <c r="T165" s="571"/>
      <c r="U165" s="571"/>
      <c r="V165" s="571"/>
      <c r="W165" s="571"/>
    </row>
    <row r="166">
      <c r="A166" s="255"/>
      <c r="B166" s="23"/>
      <c r="C166" s="281" t="str">
        <f>IFERROR(__xludf.DUMMYFUNCTION("""COMPUTED_VALUE"""),"https://www.tiktok.com/@")</f>
        <v>https://www.tiktok.com/@</v>
      </c>
      <c r="D166" s="270"/>
      <c r="E166" s="271"/>
      <c r="F166" s="270"/>
      <c r="G166" s="270"/>
      <c r="H166" s="293"/>
      <c r="I166" s="567"/>
      <c r="J166" s="43"/>
      <c r="K166" s="262"/>
      <c r="L166" s="43"/>
      <c r="M166" s="262"/>
      <c r="N166" s="17"/>
      <c r="O166" s="17"/>
      <c r="P166" s="17"/>
      <c r="Q166" s="262"/>
      <c r="R166" s="262"/>
      <c r="S166" s="17"/>
      <c r="T166" s="571"/>
      <c r="U166" s="571"/>
      <c r="V166" s="571"/>
      <c r="W166" s="571"/>
    </row>
    <row r="167">
      <c r="A167" s="255"/>
      <c r="B167" s="23"/>
      <c r="C167" s="268"/>
      <c r="D167" s="270"/>
      <c r="E167" s="271"/>
      <c r="F167" s="270"/>
      <c r="G167" s="270"/>
      <c r="H167" s="293"/>
      <c r="I167" s="567"/>
      <c r="J167" s="43"/>
      <c r="K167" s="262"/>
      <c r="L167" s="43"/>
      <c r="M167" s="262"/>
      <c r="N167" s="17"/>
      <c r="O167" s="17"/>
      <c r="P167" s="17"/>
      <c r="Q167" s="262"/>
      <c r="R167" s="262"/>
      <c r="S167" s="17"/>
      <c r="T167" s="571"/>
      <c r="U167" s="571"/>
      <c r="V167" s="571"/>
      <c r="W167" s="571"/>
    </row>
    <row r="168">
      <c r="A168" s="255"/>
      <c r="B168" s="23"/>
      <c r="C168" s="268"/>
      <c r="D168" s="270"/>
      <c r="E168" s="271"/>
      <c r="F168" s="270"/>
      <c r="G168" s="270"/>
      <c r="H168" s="293"/>
      <c r="I168" s="567"/>
      <c r="J168" s="43"/>
      <c r="K168" s="262"/>
      <c r="L168" s="43"/>
      <c r="M168" s="262"/>
      <c r="N168" s="17"/>
      <c r="O168" s="17"/>
      <c r="P168" s="17"/>
      <c r="Q168" s="262"/>
      <c r="R168" s="262"/>
      <c r="S168" s="17"/>
      <c r="T168" s="571"/>
      <c r="U168" s="571"/>
      <c r="V168" s="571"/>
      <c r="W168" s="571"/>
    </row>
    <row r="169">
      <c r="A169" s="255"/>
      <c r="B169" s="23"/>
      <c r="C169" s="268"/>
      <c r="D169" s="270"/>
      <c r="E169" s="271"/>
      <c r="F169" s="270"/>
      <c r="G169" s="270"/>
      <c r="H169" s="293"/>
      <c r="I169" s="567"/>
      <c r="J169" s="43"/>
      <c r="K169" s="262"/>
      <c r="L169" s="43"/>
      <c r="M169" s="262"/>
      <c r="N169" s="17"/>
      <c r="O169" s="17"/>
      <c r="P169" s="17"/>
      <c r="Q169" s="262"/>
      <c r="R169" s="262"/>
      <c r="S169" s="17"/>
      <c r="T169" s="571"/>
      <c r="U169" s="571"/>
      <c r="V169" s="571"/>
      <c r="W169" s="571"/>
    </row>
    <row r="170">
      <c r="A170" s="255"/>
      <c r="B170" s="23"/>
      <c r="C170" s="268"/>
      <c r="D170" s="270"/>
      <c r="E170" s="271"/>
      <c r="F170" s="270"/>
      <c r="G170" s="270"/>
      <c r="H170" s="293"/>
      <c r="I170" s="567"/>
      <c r="J170" s="43"/>
      <c r="K170" s="262"/>
      <c r="L170" s="43"/>
      <c r="M170" s="262"/>
      <c r="N170" s="17"/>
      <c r="O170" s="17"/>
      <c r="P170" s="17"/>
      <c r="Q170" s="262"/>
      <c r="R170" s="262"/>
      <c r="S170" s="17"/>
      <c r="T170" s="571"/>
      <c r="U170" s="571"/>
      <c r="V170" s="571"/>
      <c r="W170" s="571"/>
    </row>
    <row r="171">
      <c r="A171" s="255"/>
      <c r="B171" s="23"/>
      <c r="C171" s="268"/>
      <c r="D171" s="270"/>
      <c r="E171" s="271"/>
      <c r="F171" s="270"/>
      <c r="G171" s="270"/>
      <c r="H171" s="293"/>
      <c r="I171" s="567"/>
      <c r="J171" s="43"/>
      <c r="K171" s="262"/>
      <c r="L171" s="43"/>
      <c r="M171" s="262"/>
      <c r="N171" s="17"/>
      <c r="O171" s="17"/>
      <c r="P171" s="17"/>
      <c r="Q171" s="262"/>
      <c r="R171" s="262"/>
      <c r="S171" s="17"/>
      <c r="T171" s="571"/>
      <c r="U171" s="571"/>
      <c r="V171" s="571"/>
      <c r="W171" s="571"/>
    </row>
    <row r="172">
      <c r="A172" s="255"/>
      <c r="B172" s="23"/>
      <c r="C172" s="268"/>
      <c r="D172" s="270"/>
      <c r="E172" s="271"/>
      <c r="F172" s="270"/>
      <c r="G172" s="270"/>
      <c r="H172" s="293"/>
      <c r="I172" s="567"/>
      <c r="J172" s="43"/>
      <c r="K172" s="262"/>
      <c r="L172" s="43"/>
      <c r="M172" s="262"/>
      <c r="N172" s="17"/>
      <c r="O172" s="17"/>
      <c r="P172" s="17"/>
      <c r="Q172" s="262"/>
      <c r="R172" s="262"/>
      <c r="S172" s="17"/>
      <c r="T172" s="571"/>
      <c r="U172" s="571"/>
      <c r="V172" s="571"/>
      <c r="W172" s="571"/>
    </row>
    <row r="173">
      <c r="A173" s="255"/>
      <c r="B173" s="23"/>
      <c r="C173" s="268"/>
      <c r="D173" s="270"/>
      <c r="E173" s="271"/>
      <c r="F173" s="270"/>
      <c r="G173" s="270"/>
      <c r="H173" s="293"/>
      <c r="I173" s="567"/>
      <c r="J173" s="43"/>
      <c r="K173" s="262"/>
      <c r="L173" s="43"/>
      <c r="M173" s="262"/>
      <c r="N173" s="17"/>
      <c r="O173" s="17"/>
      <c r="P173" s="17"/>
      <c r="Q173" s="262"/>
      <c r="R173" s="262"/>
      <c r="S173" s="17"/>
      <c r="T173" s="571"/>
      <c r="U173" s="571"/>
      <c r="V173" s="571"/>
      <c r="W173" s="571"/>
    </row>
    <row r="174">
      <c r="A174" s="255"/>
      <c r="B174" s="23"/>
      <c r="C174" s="268"/>
      <c r="D174" s="270"/>
      <c r="E174" s="271"/>
      <c r="F174" s="270"/>
      <c r="G174" s="270"/>
      <c r="H174" s="293"/>
      <c r="I174" s="567"/>
      <c r="J174" s="43"/>
      <c r="K174" s="262"/>
      <c r="L174" s="43"/>
      <c r="M174" s="262"/>
      <c r="N174" s="17"/>
      <c r="O174" s="17"/>
      <c r="P174" s="17"/>
      <c r="Q174" s="262"/>
      <c r="R174" s="262"/>
      <c r="S174" s="17"/>
      <c r="T174" s="571"/>
      <c r="U174" s="571"/>
      <c r="V174" s="571"/>
      <c r="W174" s="571"/>
    </row>
    <row r="175">
      <c r="A175" s="255"/>
      <c r="B175" s="23"/>
      <c r="C175" s="268"/>
      <c r="D175" s="270"/>
      <c r="E175" s="271"/>
      <c r="F175" s="270"/>
      <c r="G175" s="270"/>
      <c r="H175" s="293"/>
      <c r="I175" s="567"/>
      <c r="J175" s="43"/>
      <c r="K175" s="262"/>
      <c r="L175" s="43"/>
      <c r="M175" s="262"/>
      <c r="N175" s="17"/>
      <c r="O175" s="17"/>
      <c r="P175" s="17"/>
      <c r="Q175" s="262"/>
      <c r="R175" s="262"/>
      <c r="S175" s="17"/>
      <c r="T175" s="571"/>
      <c r="U175" s="571"/>
      <c r="V175" s="571"/>
      <c r="W175" s="571"/>
    </row>
    <row r="176">
      <c r="A176" s="255"/>
      <c r="B176" s="23"/>
      <c r="C176" s="268"/>
      <c r="D176" s="270"/>
      <c r="E176" s="271"/>
      <c r="F176" s="270"/>
      <c r="G176" s="270"/>
      <c r="H176" s="293"/>
      <c r="I176" s="567"/>
      <c r="J176" s="43"/>
      <c r="K176" s="262"/>
      <c r="L176" s="43"/>
      <c r="M176" s="262"/>
      <c r="N176" s="17"/>
      <c r="O176" s="17"/>
      <c r="P176" s="17"/>
      <c r="Q176" s="262"/>
      <c r="R176" s="262"/>
      <c r="S176" s="17"/>
      <c r="T176" s="571"/>
      <c r="U176" s="571"/>
      <c r="V176" s="571"/>
      <c r="W176" s="571"/>
    </row>
    <row r="177">
      <c r="A177" s="255"/>
      <c r="B177" s="23"/>
      <c r="C177" s="268"/>
      <c r="D177" s="270"/>
      <c r="E177" s="271"/>
      <c r="F177" s="270"/>
      <c r="G177" s="270"/>
      <c r="H177" s="293"/>
      <c r="I177" s="567"/>
      <c r="J177" s="43"/>
      <c r="K177" s="262"/>
      <c r="L177" s="43"/>
      <c r="M177" s="262"/>
      <c r="N177" s="17"/>
      <c r="O177" s="17"/>
      <c r="P177" s="17"/>
      <c r="Q177" s="262"/>
      <c r="R177" s="262"/>
      <c r="S177" s="17"/>
      <c r="T177" s="571"/>
      <c r="U177" s="571"/>
      <c r="V177" s="571"/>
      <c r="W177" s="571"/>
    </row>
    <row r="178">
      <c r="A178" s="255"/>
      <c r="B178" s="23"/>
      <c r="C178" s="268"/>
      <c r="D178" s="270"/>
      <c r="E178" s="271"/>
      <c r="F178" s="270"/>
      <c r="G178" s="270"/>
      <c r="H178" s="293"/>
      <c r="I178" s="567"/>
      <c r="J178" s="43"/>
      <c r="K178" s="262"/>
      <c r="L178" s="43"/>
      <c r="M178" s="262"/>
      <c r="N178" s="17"/>
      <c r="O178" s="17"/>
      <c r="P178" s="17"/>
      <c r="Q178" s="262"/>
      <c r="R178" s="262"/>
      <c r="S178" s="17"/>
      <c r="T178" s="571"/>
      <c r="U178" s="571"/>
      <c r="V178" s="571"/>
      <c r="W178" s="571"/>
    </row>
    <row r="179">
      <c r="A179" s="255"/>
      <c r="B179" s="23"/>
      <c r="C179" s="268"/>
      <c r="D179" s="270"/>
      <c r="E179" s="271"/>
      <c r="F179" s="270"/>
      <c r="G179" s="270"/>
      <c r="H179" s="262"/>
      <c r="I179" s="17"/>
      <c r="J179" s="34"/>
      <c r="K179" s="262"/>
      <c r="L179" s="34"/>
      <c r="M179" s="262"/>
      <c r="N179" s="17"/>
      <c r="O179" s="17"/>
      <c r="P179" s="17"/>
      <c r="Q179" s="262"/>
      <c r="R179" s="262"/>
      <c r="S179" s="17"/>
      <c r="T179" s="571"/>
      <c r="U179" s="571"/>
      <c r="V179" s="571"/>
      <c r="W179" s="571"/>
    </row>
    <row r="180">
      <c r="A180" s="23"/>
      <c r="B180" s="23"/>
      <c r="C180" s="268"/>
      <c r="D180" s="270"/>
      <c r="E180" s="271"/>
      <c r="F180" s="270"/>
      <c r="G180" s="270"/>
      <c r="H180" s="262"/>
      <c r="I180" s="17"/>
      <c r="J180" s="34"/>
      <c r="K180" s="262"/>
      <c r="L180" s="34"/>
      <c r="M180" s="262"/>
      <c r="N180" s="17"/>
      <c r="O180" s="17"/>
      <c r="P180" s="17"/>
      <c r="Q180" s="262"/>
      <c r="R180" s="262"/>
      <c r="S180" s="17"/>
      <c r="T180" s="571"/>
      <c r="U180" s="571"/>
      <c r="V180" s="571"/>
      <c r="W180" s="571"/>
    </row>
    <row r="181">
      <c r="A181" s="23"/>
      <c r="B181" s="23"/>
      <c r="C181" s="268"/>
      <c r="D181" s="270"/>
      <c r="E181" s="271"/>
      <c r="F181" s="270"/>
      <c r="G181" s="270"/>
      <c r="H181" s="262"/>
      <c r="I181" s="17"/>
      <c r="J181" s="34"/>
      <c r="K181" s="262"/>
      <c r="L181" s="34"/>
      <c r="M181" s="262"/>
      <c r="N181" s="17"/>
      <c r="O181" s="17"/>
      <c r="P181" s="17"/>
      <c r="Q181" s="262"/>
      <c r="R181" s="262"/>
      <c r="S181" s="17"/>
      <c r="T181" s="571"/>
      <c r="U181" s="571"/>
      <c r="V181" s="571"/>
      <c r="W181" s="571"/>
    </row>
    <row r="182">
      <c r="A182" s="23"/>
      <c r="B182" s="23"/>
      <c r="C182" s="268"/>
      <c r="D182" s="270"/>
      <c r="E182" s="271"/>
      <c r="F182" s="270"/>
      <c r="G182" s="270"/>
      <c r="H182" s="262"/>
      <c r="I182" s="17"/>
      <c r="J182" s="34"/>
      <c r="K182" s="262"/>
      <c r="L182" s="34"/>
      <c r="M182" s="262"/>
      <c r="N182" s="17"/>
      <c r="O182" s="17"/>
      <c r="P182" s="17"/>
      <c r="Q182" s="262"/>
      <c r="R182" s="262"/>
      <c r="S182" s="17"/>
      <c r="T182" s="571"/>
      <c r="U182" s="571"/>
      <c r="V182" s="571"/>
      <c r="W182" s="571"/>
    </row>
    <row r="183">
      <c r="A183" s="23"/>
      <c r="B183" s="23"/>
      <c r="C183" s="268"/>
      <c r="D183" s="270"/>
      <c r="E183" s="271"/>
      <c r="F183" s="270"/>
      <c r="G183" s="270"/>
      <c r="H183" s="262"/>
      <c r="I183" s="17"/>
      <c r="J183" s="34"/>
      <c r="K183" s="262"/>
      <c r="L183" s="34"/>
      <c r="M183" s="262"/>
      <c r="N183" s="17"/>
      <c r="O183" s="17"/>
      <c r="P183" s="17"/>
      <c r="Q183" s="262"/>
      <c r="R183" s="262"/>
      <c r="S183" s="17"/>
      <c r="T183" s="571"/>
      <c r="U183" s="571"/>
      <c r="V183" s="571"/>
      <c r="W183" s="571"/>
    </row>
    <row r="184">
      <c r="A184" s="23"/>
      <c r="B184" s="23"/>
      <c r="C184" s="268"/>
      <c r="D184" s="270"/>
      <c r="E184" s="271"/>
      <c r="F184" s="270"/>
      <c r="G184" s="270"/>
      <c r="H184" s="262"/>
      <c r="I184" s="17"/>
      <c r="J184" s="34"/>
      <c r="K184" s="262"/>
      <c r="L184" s="34"/>
      <c r="M184" s="262"/>
      <c r="N184" s="17"/>
      <c r="O184" s="17"/>
      <c r="P184" s="17"/>
      <c r="Q184" s="262"/>
      <c r="R184" s="262"/>
      <c r="S184" s="17"/>
      <c r="T184" s="571"/>
      <c r="U184" s="571"/>
      <c r="V184" s="571"/>
      <c r="W184" s="571"/>
    </row>
    <row r="185">
      <c r="A185" s="23"/>
      <c r="B185" s="23"/>
      <c r="C185" s="268"/>
      <c r="D185" s="270"/>
      <c r="E185" s="271"/>
      <c r="F185" s="270"/>
      <c r="G185" s="270"/>
      <c r="H185" s="262"/>
      <c r="I185" s="17"/>
      <c r="J185" s="34"/>
      <c r="K185" s="262"/>
      <c r="L185" s="34"/>
      <c r="M185" s="262"/>
      <c r="N185" s="17"/>
      <c r="O185" s="17"/>
      <c r="P185" s="17"/>
      <c r="Q185" s="262"/>
      <c r="R185" s="262"/>
      <c r="S185" s="17"/>
      <c r="T185" s="571"/>
      <c r="U185" s="571"/>
      <c r="V185" s="571"/>
      <c r="W185" s="571"/>
    </row>
    <row r="186">
      <c r="A186" s="23"/>
      <c r="B186" s="23"/>
      <c r="C186" s="268"/>
      <c r="D186" s="270"/>
      <c r="E186" s="271"/>
      <c r="F186" s="270"/>
      <c r="G186" s="270"/>
      <c r="H186" s="262"/>
      <c r="I186" s="17"/>
      <c r="J186" s="34"/>
      <c r="K186" s="262"/>
      <c r="L186" s="34"/>
      <c r="M186" s="262"/>
      <c r="N186" s="17"/>
      <c r="O186" s="17"/>
      <c r="P186" s="17"/>
      <c r="Q186" s="262"/>
      <c r="R186" s="262"/>
      <c r="S186" s="17"/>
      <c r="T186" s="571"/>
      <c r="U186" s="571"/>
      <c r="V186" s="571"/>
      <c r="W186" s="571"/>
    </row>
    <row r="187">
      <c r="A187" s="23"/>
      <c r="B187" s="23"/>
      <c r="C187" s="268"/>
      <c r="D187" s="270"/>
      <c r="E187" s="271"/>
      <c r="F187" s="270"/>
      <c r="G187" s="270"/>
      <c r="H187" s="262"/>
      <c r="I187" s="17"/>
      <c r="J187" s="34"/>
      <c r="K187" s="262"/>
      <c r="L187" s="34"/>
      <c r="M187" s="262"/>
      <c r="N187" s="17"/>
      <c r="O187" s="17"/>
      <c r="P187" s="17"/>
      <c r="Q187" s="262"/>
      <c r="R187" s="262"/>
      <c r="S187" s="17"/>
      <c r="T187" s="571"/>
      <c r="U187" s="571"/>
      <c r="V187" s="571"/>
      <c r="W187" s="571"/>
    </row>
    <row r="188">
      <c r="A188" s="23"/>
      <c r="B188" s="23"/>
      <c r="C188" s="268"/>
      <c r="D188" s="270"/>
      <c r="E188" s="271"/>
      <c r="F188" s="270"/>
      <c r="G188" s="270"/>
      <c r="H188" s="262"/>
      <c r="I188" s="17"/>
      <c r="J188" s="34"/>
      <c r="K188" s="262"/>
      <c r="L188" s="34"/>
      <c r="M188" s="262"/>
      <c r="N188" s="17"/>
      <c r="O188" s="17"/>
      <c r="P188" s="17"/>
      <c r="Q188" s="262"/>
      <c r="R188" s="262"/>
      <c r="S188" s="17"/>
      <c r="T188" s="571"/>
      <c r="U188" s="571"/>
      <c r="V188" s="571"/>
      <c r="W188" s="571"/>
    </row>
    <row r="189">
      <c r="A189" s="23"/>
      <c r="B189" s="23"/>
      <c r="C189" s="268"/>
      <c r="D189" s="270"/>
      <c r="E189" s="271"/>
      <c r="F189" s="270"/>
      <c r="G189" s="270"/>
      <c r="H189" s="262"/>
      <c r="I189" s="17"/>
      <c r="J189" s="34"/>
      <c r="K189" s="262"/>
      <c r="L189" s="34"/>
      <c r="M189" s="262"/>
      <c r="N189" s="17"/>
      <c r="O189" s="17"/>
      <c r="P189" s="17"/>
      <c r="Q189" s="262"/>
      <c r="R189" s="262"/>
      <c r="S189" s="17"/>
      <c r="T189" s="571"/>
      <c r="U189" s="571"/>
      <c r="V189" s="571"/>
      <c r="W189" s="571"/>
    </row>
    <row r="190">
      <c r="A190" s="23"/>
      <c r="B190" s="23"/>
      <c r="C190" s="268"/>
      <c r="D190" s="270"/>
      <c r="E190" s="271"/>
      <c r="F190" s="270"/>
      <c r="G190" s="270"/>
      <c r="H190" s="262"/>
      <c r="I190" s="17"/>
      <c r="J190" s="34"/>
      <c r="K190" s="262"/>
      <c r="L190" s="34"/>
      <c r="M190" s="262"/>
      <c r="N190" s="17"/>
      <c r="O190" s="17"/>
      <c r="P190" s="17"/>
      <c r="Q190" s="262"/>
      <c r="R190" s="262"/>
      <c r="S190" s="17"/>
      <c r="T190" s="571"/>
      <c r="U190" s="571"/>
      <c r="V190" s="571"/>
      <c r="W190" s="571"/>
    </row>
    <row r="191">
      <c r="A191" s="23"/>
      <c r="B191" s="23"/>
      <c r="C191" s="268"/>
      <c r="D191" s="270"/>
      <c r="E191" s="271"/>
      <c r="F191" s="270"/>
      <c r="G191" s="270"/>
      <c r="H191" s="262"/>
      <c r="I191" s="17"/>
      <c r="J191" s="34"/>
      <c r="K191" s="262"/>
      <c r="L191" s="34"/>
      <c r="M191" s="262"/>
      <c r="N191" s="17"/>
      <c r="O191" s="17"/>
      <c r="P191" s="17"/>
      <c r="Q191" s="262"/>
      <c r="R191" s="262"/>
      <c r="S191" s="17"/>
      <c r="T191" s="571"/>
      <c r="U191" s="571"/>
      <c r="V191" s="571"/>
      <c r="W191" s="571"/>
    </row>
    <row r="192">
      <c r="A192" s="23"/>
      <c r="B192" s="23"/>
      <c r="C192" s="268"/>
      <c r="D192" s="270"/>
      <c r="E192" s="271"/>
      <c r="F192" s="270"/>
      <c r="G192" s="270"/>
      <c r="H192" s="262"/>
      <c r="I192" s="17"/>
      <c r="J192" s="34"/>
      <c r="K192" s="262"/>
      <c r="L192" s="34"/>
      <c r="M192" s="262"/>
      <c r="N192" s="17"/>
      <c r="O192" s="17"/>
      <c r="P192" s="17"/>
      <c r="Q192" s="262"/>
      <c r="R192" s="262"/>
      <c r="S192" s="17"/>
      <c r="T192" s="571"/>
      <c r="U192" s="571"/>
      <c r="V192" s="571"/>
      <c r="W192" s="571"/>
    </row>
    <row r="193">
      <c r="A193" s="23"/>
      <c r="B193" s="23"/>
      <c r="C193" s="268"/>
      <c r="D193" s="270"/>
      <c r="E193" s="271"/>
      <c r="F193" s="270"/>
      <c r="G193" s="270"/>
      <c r="H193" s="262"/>
      <c r="I193" s="17"/>
      <c r="J193" s="34"/>
      <c r="K193" s="262"/>
      <c r="L193" s="34"/>
      <c r="M193" s="262"/>
      <c r="N193" s="17"/>
      <c r="O193" s="17"/>
      <c r="P193" s="17"/>
      <c r="Q193" s="262"/>
      <c r="R193" s="262"/>
      <c r="S193" s="17"/>
      <c r="T193" s="571"/>
      <c r="U193" s="571"/>
      <c r="V193" s="571"/>
      <c r="W193" s="571"/>
    </row>
    <row r="194">
      <c r="A194" s="23"/>
      <c r="B194" s="23"/>
      <c r="C194" s="268"/>
      <c r="D194" s="270"/>
      <c r="E194" s="271"/>
      <c r="F194" s="270"/>
      <c r="G194" s="270"/>
      <c r="H194" s="262"/>
      <c r="I194" s="17"/>
      <c r="J194" s="34"/>
      <c r="K194" s="262"/>
      <c r="L194" s="34"/>
      <c r="M194" s="262"/>
      <c r="N194" s="17"/>
      <c r="O194" s="17"/>
      <c r="P194" s="17"/>
      <c r="Q194" s="262"/>
      <c r="R194" s="262"/>
      <c r="S194" s="17"/>
      <c r="T194" s="571"/>
      <c r="U194" s="571"/>
      <c r="V194" s="571"/>
      <c r="W194" s="571"/>
    </row>
    <row r="195">
      <c r="A195" s="23"/>
      <c r="B195" s="23"/>
      <c r="C195" s="268"/>
      <c r="D195" s="270"/>
      <c r="E195" s="271"/>
      <c r="F195" s="270"/>
      <c r="G195" s="270"/>
      <c r="H195" s="262"/>
      <c r="I195" s="17"/>
      <c r="J195" s="34"/>
      <c r="K195" s="262"/>
      <c r="L195" s="34"/>
      <c r="M195" s="262"/>
      <c r="N195" s="17"/>
      <c r="O195" s="17"/>
      <c r="P195" s="17"/>
      <c r="Q195" s="262"/>
      <c r="R195" s="262"/>
      <c r="S195" s="17"/>
      <c r="T195" s="571"/>
      <c r="U195" s="571"/>
      <c r="V195" s="571"/>
      <c r="W195" s="571"/>
    </row>
    <row r="196">
      <c r="A196" s="23"/>
      <c r="B196" s="23"/>
      <c r="C196" s="268"/>
      <c r="D196" s="270"/>
      <c r="E196" s="271"/>
      <c r="F196" s="270"/>
      <c r="G196" s="270"/>
      <c r="H196" s="262"/>
      <c r="I196" s="17"/>
      <c r="J196" s="34"/>
      <c r="K196" s="262"/>
      <c r="L196" s="34"/>
      <c r="M196" s="262"/>
      <c r="N196" s="17"/>
      <c r="O196" s="17"/>
      <c r="P196" s="17"/>
      <c r="Q196" s="262"/>
      <c r="R196" s="262"/>
      <c r="S196" s="17"/>
      <c r="T196" s="571"/>
      <c r="U196" s="571"/>
      <c r="V196" s="571"/>
      <c r="W196" s="571"/>
    </row>
    <row r="197">
      <c r="A197" s="23"/>
      <c r="B197" s="23"/>
      <c r="C197" s="268"/>
      <c r="D197" s="270"/>
      <c r="E197" s="271"/>
      <c r="F197" s="270"/>
      <c r="G197" s="270"/>
      <c r="H197" s="262"/>
      <c r="I197" s="17"/>
      <c r="J197" s="34"/>
      <c r="K197" s="262"/>
      <c r="L197" s="34"/>
      <c r="M197" s="262"/>
      <c r="N197" s="17"/>
      <c r="O197" s="17"/>
      <c r="P197" s="17"/>
      <c r="Q197" s="262"/>
      <c r="R197" s="262"/>
      <c r="S197" s="17"/>
      <c r="T197" s="571"/>
      <c r="U197" s="571"/>
      <c r="V197" s="571"/>
      <c r="W197" s="571"/>
    </row>
    <row r="198">
      <c r="A198" s="23"/>
      <c r="B198" s="23"/>
      <c r="C198" s="268"/>
      <c r="D198" s="270"/>
      <c r="E198" s="271"/>
      <c r="F198" s="270"/>
      <c r="G198" s="270"/>
      <c r="H198" s="262"/>
      <c r="I198" s="17"/>
      <c r="J198" s="34"/>
      <c r="K198" s="262"/>
      <c r="L198" s="34"/>
      <c r="M198" s="262"/>
      <c r="N198" s="17"/>
      <c r="O198" s="17"/>
      <c r="P198" s="17"/>
      <c r="Q198" s="262"/>
      <c r="R198" s="262"/>
      <c r="S198" s="17"/>
      <c r="T198" s="571"/>
      <c r="U198" s="571"/>
      <c r="V198" s="571"/>
      <c r="W198" s="571"/>
    </row>
    <row r="199">
      <c r="A199" s="23"/>
      <c r="B199" s="23"/>
      <c r="C199" s="268"/>
      <c r="D199" s="270"/>
      <c r="E199" s="271"/>
      <c r="F199" s="270"/>
      <c r="G199" s="270"/>
      <c r="H199" s="262"/>
      <c r="I199" s="17"/>
      <c r="J199" s="34"/>
      <c r="K199" s="262"/>
      <c r="L199" s="34"/>
      <c r="M199" s="262"/>
      <c r="N199" s="17"/>
      <c r="O199" s="17"/>
      <c r="P199" s="17"/>
      <c r="Q199" s="262"/>
      <c r="R199" s="262"/>
      <c r="S199" s="17"/>
      <c r="T199" s="571"/>
      <c r="U199" s="571"/>
      <c r="V199" s="571"/>
      <c r="W199" s="571"/>
    </row>
    <row r="200">
      <c r="A200" s="272"/>
      <c r="B200" s="272"/>
      <c r="C200" s="336"/>
      <c r="D200" s="273"/>
      <c r="E200" s="274"/>
      <c r="F200" s="273"/>
      <c r="G200" s="273"/>
      <c r="H200" s="12"/>
      <c r="J200" s="3"/>
      <c r="K200" s="12"/>
      <c r="L200" s="3"/>
      <c r="M200" s="12"/>
      <c r="Q200" s="12"/>
      <c r="R200" s="12"/>
      <c r="T200" s="565"/>
      <c r="U200" s="565"/>
      <c r="V200" s="565"/>
      <c r="W200" s="565"/>
    </row>
    <row r="201">
      <c r="A201" s="272"/>
      <c r="B201" s="272"/>
      <c r="C201" s="336"/>
      <c r="D201" s="273"/>
      <c r="E201" s="274"/>
      <c r="F201" s="273"/>
      <c r="G201" s="273"/>
      <c r="H201" s="12"/>
      <c r="J201" s="3"/>
      <c r="K201" s="12"/>
      <c r="L201" s="3"/>
      <c r="M201" s="12"/>
      <c r="Q201" s="12"/>
      <c r="R201" s="12"/>
      <c r="T201" s="565"/>
      <c r="U201" s="565"/>
      <c r="V201" s="565"/>
      <c r="W201" s="565"/>
    </row>
    <row r="202">
      <c r="A202" s="272"/>
      <c r="B202" s="272"/>
      <c r="C202" s="336"/>
      <c r="D202" s="273"/>
      <c r="E202" s="274"/>
      <c r="F202" s="273"/>
      <c r="G202" s="273"/>
      <c r="H202" s="12"/>
      <c r="J202" s="3"/>
      <c r="K202" s="12"/>
      <c r="L202" s="3"/>
      <c r="M202" s="12"/>
      <c r="Q202" s="12"/>
      <c r="R202" s="12"/>
      <c r="T202" s="565"/>
      <c r="U202" s="565"/>
      <c r="V202" s="565"/>
      <c r="W202" s="565"/>
    </row>
    <row r="203">
      <c r="A203" s="272"/>
      <c r="B203" s="272"/>
      <c r="C203" s="336"/>
      <c r="D203" s="273"/>
      <c r="E203" s="274"/>
      <c r="F203" s="273"/>
      <c r="G203" s="273"/>
      <c r="H203" s="12"/>
      <c r="J203" s="3"/>
      <c r="K203" s="12"/>
      <c r="L203" s="3"/>
      <c r="M203" s="12"/>
      <c r="Q203" s="12"/>
      <c r="R203" s="12"/>
      <c r="T203" s="565"/>
      <c r="U203" s="565"/>
      <c r="V203" s="565"/>
      <c r="W203" s="565"/>
    </row>
    <row r="204">
      <c r="A204" s="272"/>
      <c r="B204" s="272"/>
      <c r="C204" s="336"/>
      <c r="D204" s="273"/>
      <c r="E204" s="274"/>
      <c r="F204" s="273"/>
      <c r="G204" s="273"/>
      <c r="H204" s="12"/>
      <c r="J204" s="3"/>
      <c r="K204" s="12"/>
      <c r="L204" s="3"/>
      <c r="M204" s="12"/>
      <c r="Q204" s="12"/>
      <c r="R204" s="12"/>
      <c r="T204" s="565"/>
      <c r="U204" s="565"/>
      <c r="V204" s="565"/>
      <c r="W204" s="565"/>
    </row>
    <row r="205">
      <c r="A205" s="272"/>
      <c r="B205" s="272"/>
      <c r="C205" s="336"/>
      <c r="D205" s="273"/>
      <c r="E205" s="274"/>
      <c r="F205" s="273"/>
      <c r="G205" s="273"/>
      <c r="H205" s="12"/>
      <c r="J205" s="3"/>
      <c r="K205" s="12"/>
      <c r="L205" s="3"/>
      <c r="M205" s="12"/>
      <c r="Q205" s="12"/>
      <c r="R205" s="12"/>
      <c r="T205" s="565"/>
      <c r="U205" s="565"/>
      <c r="V205" s="565"/>
      <c r="W205" s="565"/>
    </row>
    <row r="206">
      <c r="A206" s="272"/>
      <c r="B206" s="272"/>
      <c r="C206" s="336"/>
      <c r="D206" s="273"/>
      <c r="E206" s="274"/>
      <c r="F206" s="273"/>
      <c r="G206" s="273"/>
      <c r="H206" s="12"/>
      <c r="J206" s="3"/>
      <c r="K206" s="12"/>
      <c r="L206" s="3"/>
      <c r="M206" s="12"/>
      <c r="Q206" s="12"/>
      <c r="R206" s="12"/>
      <c r="T206" s="565"/>
      <c r="U206" s="565"/>
      <c r="V206" s="565"/>
      <c r="W206" s="565"/>
    </row>
    <row r="207">
      <c r="A207" s="272"/>
      <c r="B207" s="272"/>
      <c r="C207" s="336"/>
      <c r="D207" s="273"/>
      <c r="E207" s="274"/>
      <c r="F207" s="273"/>
      <c r="G207" s="273"/>
      <c r="H207" s="12"/>
      <c r="J207" s="3"/>
      <c r="K207" s="12"/>
      <c r="L207" s="3"/>
      <c r="M207" s="12"/>
      <c r="Q207" s="12"/>
      <c r="R207" s="12"/>
      <c r="T207" s="565"/>
      <c r="U207" s="565"/>
      <c r="V207" s="565"/>
      <c r="W207" s="565"/>
    </row>
    <row r="208">
      <c r="A208" s="272"/>
      <c r="B208" s="272"/>
      <c r="C208" s="336"/>
      <c r="D208" s="273"/>
      <c r="E208" s="274"/>
      <c r="F208" s="273"/>
      <c r="G208" s="273"/>
      <c r="H208" s="12"/>
      <c r="J208" s="3"/>
      <c r="K208" s="12"/>
      <c r="L208" s="3"/>
      <c r="M208" s="12"/>
      <c r="Q208" s="12"/>
      <c r="R208" s="12"/>
      <c r="T208" s="565"/>
      <c r="U208" s="565"/>
      <c r="V208" s="565"/>
      <c r="W208" s="565"/>
    </row>
    <row r="209">
      <c r="A209" s="272"/>
      <c r="B209" s="272"/>
      <c r="C209" s="336"/>
      <c r="D209" s="273"/>
      <c r="E209" s="274"/>
      <c r="F209" s="273"/>
      <c r="G209" s="273"/>
      <c r="H209" s="12"/>
      <c r="J209" s="3"/>
      <c r="K209" s="12"/>
      <c r="L209" s="3"/>
      <c r="M209" s="12"/>
      <c r="Q209" s="12"/>
      <c r="R209" s="12"/>
      <c r="T209" s="565"/>
      <c r="U209" s="565"/>
      <c r="V209" s="565"/>
      <c r="W209" s="565"/>
    </row>
    <row r="210">
      <c r="A210" s="272"/>
      <c r="B210" s="272"/>
      <c r="C210" s="336"/>
      <c r="D210" s="273"/>
      <c r="E210" s="274"/>
      <c r="F210" s="273"/>
      <c r="G210" s="273"/>
      <c r="H210" s="12"/>
      <c r="J210" s="3"/>
      <c r="K210" s="12"/>
      <c r="L210" s="3"/>
      <c r="M210" s="12"/>
      <c r="Q210" s="12"/>
      <c r="R210" s="12"/>
      <c r="T210" s="565"/>
      <c r="U210" s="565"/>
      <c r="V210" s="565"/>
      <c r="W210" s="565"/>
    </row>
    <row r="211">
      <c r="A211" s="272"/>
      <c r="B211" s="272"/>
      <c r="C211" s="336"/>
      <c r="D211" s="273"/>
      <c r="E211" s="274"/>
      <c r="F211" s="273"/>
      <c r="G211" s="273"/>
      <c r="H211" s="12"/>
      <c r="J211" s="3"/>
      <c r="K211" s="12"/>
      <c r="L211" s="3"/>
      <c r="M211" s="12"/>
      <c r="Q211" s="12"/>
      <c r="R211" s="12"/>
      <c r="T211" s="565"/>
      <c r="U211" s="565"/>
      <c r="V211" s="565"/>
      <c r="W211" s="565"/>
    </row>
    <row r="212">
      <c r="A212" s="272"/>
      <c r="B212" s="272"/>
      <c r="C212" s="336"/>
      <c r="D212" s="273"/>
      <c r="E212" s="274"/>
      <c r="F212" s="273"/>
      <c r="G212" s="273"/>
      <c r="H212" s="12"/>
      <c r="J212" s="3"/>
      <c r="K212" s="12"/>
      <c r="L212" s="3"/>
      <c r="M212" s="12"/>
      <c r="Q212" s="12"/>
      <c r="R212" s="12"/>
      <c r="T212" s="565"/>
      <c r="U212" s="565"/>
      <c r="V212" s="565"/>
      <c r="W212" s="565"/>
    </row>
    <row r="213">
      <c r="A213" s="272"/>
      <c r="B213" s="272"/>
      <c r="C213" s="336"/>
      <c r="D213" s="273"/>
      <c r="E213" s="274"/>
      <c r="F213" s="273"/>
      <c r="G213" s="273"/>
      <c r="H213" s="12"/>
      <c r="J213" s="3"/>
      <c r="K213" s="12"/>
      <c r="L213" s="3"/>
      <c r="M213" s="12"/>
      <c r="Q213" s="12"/>
      <c r="R213" s="12"/>
      <c r="T213" s="565"/>
      <c r="U213" s="565"/>
      <c r="V213" s="565"/>
      <c r="W213" s="565"/>
    </row>
    <row r="214">
      <c r="A214" s="272"/>
      <c r="B214" s="272"/>
      <c r="C214" s="336"/>
      <c r="D214" s="273"/>
      <c r="E214" s="274"/>
      <c r="F214" s="273"/>
      <c r="G214" s="273"/>
      <c r="H214" s="12"/>
      <c r="J214" s="3"/>
      <c r="K214" s="12"/>
      <c r="L214" s="3"/>
      <c r="M214" s="12"/>
      <c r="Q214" s="12"/>
      <c r="R214" s="12"/>
      <c r="T214" s="565"/>
      <c r="U214" s="565"/>
      <c r="V214" s="565"/>
      <c r="W214" s="565"/>
    </row>
    <row r="215">
      <c r="A215" s="272"/>
      <c r="B215" s="272"/>
      <c r="C215" s="336"/>
      <c r="D215" s="273"/>
      <c r="E215" s="274"/>
      <c r="F215" s="273"/>
      <c r="G215" s="273"/>
      <c r="H215" s="12"/>
      <c r="J215" s="3"/>
      <c r="K215" s="12"/>
      <c r="L215" s="3"/>
      <c r="M215" s="12"/>
      <c r="Q215" s="12"/>
      <c r="R215" s="12"/>
      <c r="T215" s="565"/>
      <c r="U215" s="565"/>
      <c r="V215" s="565"/>
      <c r="W215" s="565"/>
    </row>
    <row r="216">
      <c r="A216" s="272"/>
      <c r="B216" s="272"/>
      <c r="C216" s="336"/>
      <c r="D216" s="273"/>
      <c r="E216" s="274"/>
      <c r="F216" s="273"/>
      <c r="G216" s="273"/>
      <c r="H216" s="12"/>
      <c r="J216" s="3"/>
      <c r="K216" s="12"/>
      <c r="L216" s="3"/>
      <c r="M216" s="12"/>
      <c r="Q216" s="12"/>
      <c r="R216" s="12"/>
      <c r="T216" s="565"/>
      <c r="U216" s="565"/>
      <c r="V216" s="565"/>
      <c r="W216" s="565"/>
    </row>
    <row r="217">
      <c r="A217" s="272"/>
      <c r="B217" s="272"/>
      <c r="C217" s="336"/>
      <c r="D217" s="273"/>
      <c r="E217" s="274"/>
      <c r="F217" s="273"/>
      <c r="G217" s="273"/>
      <c r="H217" s="12"/>
      <c r="J217" s="3"/>
      <c r="K217" s="12"/>
      <c r="L217" s="3"/>
      <c r="M217" s="12"/>
      <c r="Q217" s="12"/>
      <c r="R217" s="12"/>
      <c r="T217" s="565"/>
      <c r="U217" s="565"/>
      <c r="V217" s="565"/>
      <c r="W217" s="565"/>
    </row>
    <row r="218">
      <c r="A218" s="272"/>
      <c r="B218" s="272"/>
      <c r="C218" s="336"/>
      <c r="D218" s="273"/>
      <c r="E218" s="274"/>
      <c r="F218" s="273"/>
      <c r="G218" s="273"/>
      <c r="H218" s="12"/>
      <c r="J218" s="3"/>
      <c r="K218" s="12"/>
      <c r="L218" s="3"/>
      <c r="M218" s="12"/>
      <c r="Q218" s="12"/>
      <c r="R218" s="12"/>
      <c r="T218" s="565"/>
      <c r="U218" s="565"/>
      <c r="V218" s="565"/>
      <c r="W218" s="565"/>
    </row>
    <row r="219">
      <c r="A219" s="272"/>
      <c r="B219" s="272"/>
      <c r="C219" s="336"/>
      <c r="D219" s="273"/>
      <c r="E219" s="274"/>
      <c r="F219" s="273"/>
      <c r="G219" s="273"/>
      <c r="H219" s="12"/>
      <c r="J219" s="3"/>
      <c r="K219" s="12"/>
      <c r="L219" s="3"/>
      <c r="M219" s="12"/>
      <c r="Q219" s="12"/>
      <c r="R219" s="12"/>
      <c r="T219" s="565"/>
      <c r="U219" s="565"/>
      <c r="V219" s="565"/>
      <c r="W219" s="565"/>
    </row>
    <row r="220">
      <c r="A220" s="272"/>
      <c r="B220" s="272"/>
      <c r="C220" s="336"/>
      <c r="D220" s="273"/>
      <c r="E220" s="274"/>
      <c r="F220" s="273"/>
      <c r="G220" s="273"/>
      <c r="H220" s="12"/>
      <c r="J220" s="3"/>
      <c r="K220" s="12"/>
      <c r="L220" s="3"/>
      <c r="M220" s="12"/>
      <c r="Q220" s="12"/>
      <c r="R220" s="12"/>
      <c r="T220" s="565"/>
      <c r="U220" s="565"/>
      <c r="V220" s="565"/>
      <c r="W220" s="565"/>
    </row>
    <row r="221">
      <c r="A221" s="272"/>
      <c r="B221" s="272"/>
      <c r="C221" s="336"/>
      <c r="D221" s="273"/>
      <c r="E221" s="274"/>
      <c r="F221" s="273"/>
      <c r="G221" s="273"/>
      <c r="H221" s="12"/>
      <c r="J221" s="3"/>
      <c r="K221" s="12"/>
      <c r="L221" s="3"/>
      <c r="M221" s="12"/>
      <c r="Q221" s="12"/>
      <c r="R221" s="12"/>
      <c r="T221" s="565"/>
      <c r="U221" s="565"/>
      <c r="V221" s="565"/>
      <c r="W221" s="565"/>
    </row>
    <row r="222">
      <c r="A222" s="272"/>
      <c r="B222" s="272"/>
      <c r="C222" s="336"/>
      <c r="D222" s="273"/>
      <c r="E222" s="274"/>
      <c r="F222" s="273"/>
      <c r="G222" s="273"/>
      <c r="H222" s="12"/>
      <c r="J222" s="3"/>
      <c r="K222" s="12"/>
      <c r="L222" s="3"/>
      <c r="M222" s="12"/>
      <c r="Q222" s="12"/>
      <c r="R222" s="12"/>
      <c r="T222" s="565"/>
      <c r="U222" s="565"/>
      <c r="V222" s="565"/>
      <c r="W222" s="565"/>
    </row>
    <row r="223">
      <c r="A223" s="272"/>
      <c r="B223" s="272"/>
      <c r="C223" s="336"/>
      <c r="D223" s="273"/>
      <c r="E223" s="274"/>
      <c r="F223" s="273"/>
      <c r="G223" s="273"/>
      <c r="H223" s="12"/>
      <c r="J223" s="3"/>
      <c r="K223" s="12"/>
      <c r="L223" s="3"/>
      <c r="M223" s="12"/>
      <c r="Q223" s="12"/>
      <c r="R223" s="12"/>
      <c r="T223" s="565"/>
      <c r="U223" s="565"/>
      <c r="V223" s="565"/>
      <c r="W223" s="565"/>
    </row>
    <row r="224">
      <c r="A224" s="272"/>
      <c r="B224" s="272"/>
      <c r="C224" s="336"/>
      <c r="D224" s="273"/>
      <c r="E224" s="274"/>
      <c r="F224" s="273"/>
      <c r="G224" s="273"/>
      <c r="H224" s="12"/>
      <c r="J224" s="3"/>
      <c r="K224" s="12"/>
      <c r="L224" s="3"/>
      <c r="M224" s="12"/>
      <c r="Q224" s="12"/>
      <c r="R224" s="12"/>
      <c r="T224" s="565"/>
      <c r="U224" s="565"/>
      <c r="V224" s="565"/>
      <c r="W224" s="565"/>
    </row>
    <row r="225">
      <c r="A225" s="272"/>
      <c r="B225" s="272"/>
      <c r="C225" s="336"/>
      <c r="D225" s="273"/>
      <c r="E225" s="274"/>
      <c r="F225" s="273"/>
      <c r="G225" s="273"/>
      <c r="H225" s="12"/>
      <c r="J225" s="3"/>
      <c r="K225" s="12"/>
      <c r="L225" s="3"/>
      <c r="M225" s="12"/>
      <c r="Q225" s="12"/>
      <c r="R225" s="12"/>
      <c r="T225" s="565"/>
      <c r="U225" s="565"/>
      <c r="V225" s="565"/>
      <c r="W225" s="565"/>
    </row>
    <row r="226">
      <c r="A226" s="272"/>
      <c r="B226" s="272"/>
      <c r="C226" s="336"/>
      <c r="D226" s="273"/>
      <c r="E226" s="274"/>
      <c r="F226" s="273"/>
      <c r="G226" s="273"/>
      <c r="H226" s="12"/>
      <c r="J226" s="3"/>
      <c r="K226" s="12"/>
      <c r="L226" s="3"/>
      <c r="M226" s="12"/>
      <c r="Q226" s="12"/>
      <c r="R226" s="12"/>
      <c r="T226" s="565"/>
      <c r="U226" s="565"/>
      <c r="V226" s="565"/>
      <c r="W226" s="565"/>
    </row>
    <row r="227">
      <c r="A227" s="272"/>
      <c r="B227" s="272"/>
      <c r="C227" s="336"/>
      <c r="D227" s="273"/>
      <c r="E227" s="274"/>
      <c r="F227" s="273"/>
      <c r="G227" s="273"/>
      <c r="H227" s="12"/>
      <c r="J227" s="3"/>
      <c r="K227" s="12"/>
      <c r="L227" s="3"/>
      <c r="M227" s="12"/>
      <c r="Q227" s="12"/>
      <c r="R227" s="12"/>
      <c r="T227" s="565"/>
      <c r="U227" s="565"/>
      <c r="V227" s="565"/>
      <c r="W227" s="565"/>
    </row>
    <row r="228">
      <c r="A228" s="272"/>
      <c r="B228" s="272"/>
      <c r="C228" s="336"/>
      <c r="D228" s="273"/>
      <c r="E228" s="274"/>
      <c r="F228" s="273"/>
      <c r="G228" s="273"/>
      <c r="H228" s="12"/>
      <c r="J228" s="3"/>
      <c r="K228" s="12"/>
      <c r="L228" s="3"/>
      <c r="M228" s="12"/>
      <c r="Q228" s="12"/>
      <c r="R228" s="12"/>
      <c r="T228" s="565"/>
      <c r="U228" s="565"/>
      <c r="V228" s="565"/>
      <c r="W228" s="565"/>
    </row>
    <row r="229">
      <c r="A229" s="272"/>
      <c r="B229" s="272"/>
      <c r="C229" s="336"/>
      <c r="D229" s="273"/>
      <c r="E229" s="274"/>
      <c r="F229" s="273"/>
      <c r="G229" s="273"/>
      <c r="H229" s="12"/>
      <c r="J229" s="3"/>
      <c r="K229" s="12"/>
      <c r="L229" s="3"/>
      <c r="M229" s="12"/>
      <c r="Q229" s="12"/>
      <c r="R229" s="12"/>
      <c r="T229" s="565"/>
      <c r="U229" s="565"/>
      <c r="V229" s="565"/>
      <c r="W229" s="565"/>
    </row>
    <row r="230">
      <c r="A230" s="272"/>
      <c r="B230" s="272"/>
      <c r="C230" s="336"/>
      <c r="D230" s="273"/>
      <c r="E230" s="274"/>
      <c r="F230" s="273"/>
      <c r="G230" s="273"/>
      <c r="H230" s="12"/>
      <c r="J230" s="3"/>
      <c r="K230" s="12"/>
      <c r="L230" s="3"/>
      <c r="M230" s="12"/>
      <c r="Q230" s="12"/>
      <c r="R230" s="12"/>
      <c r="T230" s="565"/>
      <c r="U230" s="565"/>
      <c r="V230" s="565"/>
      <c r="W230" s="565"/>
    </row>
    <row r="231">
      <c r="A231" s="272"/>
      <c r="B231" s="272"/>
      <c r="C231" s="336"/>
      <c r="D231" s="273"/>
      <c r="E231" s="274"/>
      <c r="F231" s="273"/>
      <c r="G231" s="273"/>
      <c r="H231" s="12"/>
      <c r="J231" s="3"/>
      <c r="K231" s="12"/>
      <c r="L231" s="3"/>
      <c r="M231" s="12"/>
      <c r="Q231" s="12"/>
      <c r="R231" s="12"/>
      <c r="T231" s="565"/>
      <c r="U231" s="565"/>
      <c r="V231" s="565"/>
      <c r="W231" s="565"/>
    </row>
    <row r="232">
      <c r="A232" s="272"/>
      <c r="B232" s="272"/>
      <c r="C232" s="336"/>
      <c r="D232" s="273"/>
      <c r="E232" s="274"/>
      <c r="F232" s="273"/>
      <c r="G232" s="273"/>
      <c r="H232" s="12"/>
      <c r="J232" s="3"/>
      <c r="K232" s="12"/>
      <c r="L232" s="3"/>
      <c r="M232" s="12"/>
      <c r="Q232" s="12"/>
      <c r="R232" s="12"/>
      <c r="T232" s="565"/>
      <c r="U232" s="565"/>
      <c r="V232" s="565"/>
      <c r="W232" s="565"/>
    </row>
    <row r="233">
      <c r="A233" s="272"/>
      <c r="B233" s="272"/>
      <c r="C233" s="336"/>
      <c r="D233" s="273"/>
      <c r="E233" s="274"/>
      <c r="F233" s="273"/>
      <c r="G233" s="273"/>
      <c r="H233" s="12"/>
      <c r="J233" s="3"/>
      <c r="K233" s="12"/>
      <c r="L233" s="3"/>
      <c r="M233" s="12"/>
      <c r="Q233" s="12"/>
      <c r="R233" s="12"/>
      <c r="T233" s="565"/>
      <c r="U233" s="565"/>
      <c r="V233" s="565"/>
      <c r="W233" s="565"/>
    </row>
    <row r="234">
      <c r="A234" s="272"/>
      <c r="B234" s="272"/>
      <c r="C234" s="336"/>
      <c r="D234" s="273"/>
      <c r="E234" s="274"/>
      <c r="F234" s="273"/>
      <c r="G234" s="273"/>
      <c r="H234" s="12"/>
      <c r="J234" s="3"/>
      <c r="K234" s="12"/>
      <c r="L234" s="3"/>
      <c r="M234" s="12"/>
      <c r="Q234" s="12"/>
      <c r="R234" s="12"/>
      <c r="T234" s="565"/>
      <c r="U234" s="565"/>
      <c r="V234" s="565"/>
      <c r="W234" s="565"/>
    </row>
    <row r="235">
      <c r="A235" s="272"/>
      <c r="B235" s="272"/>
      <c r="C235" s="336"/>
      <c r="D235" s="273"/>
      <c r="E235" s="274"/>
      <c r="F235" s="273"/>
      <c r="G235" s="273"/>
      <c r="H235" s="12"/>
      <c r="J235" s="3"/>
      <c r="K235" s="12"/>
      <c r="L235" s="3"/>
      <c r="M235" s="12"/>
      <c r="Q235" s="12"/>
      <c r="R235" s="12"/>
      <c r="T235" s="565"/>
      <c r="U235" s="565"/>
      <c r="V235" s="565"/>
      <c r="W235" s="565"/>
    </row>
    <row r="236">
      <c r="A236" s="272"/>
      <c r="B236" s="272"/>
      <c r="C236" s="336"/>
      <c r="D236" s="273"/>
      <c r="E236" s="274"/>
      <c r="F236" s="273"/>
      <c r="G236" s="273"/>
      <c r="H236" s="12"/>
      <c r="J236" s="3"/>
      <c r="K236" s="12"/>
      <c r="L236" s="3"/>
      <c r="M236" s="12"/>
      <c r="Q236" s="12"/>
      <c r="R236" s="12"/>
      <c r="T236" s="565"/>
      <c r="U236" s="565"/>
      <c r="V236" s="565"/>
      <c r="W236" s="565"/>
    </row>
    <row r="237">
      <c r="A237" s="272"/>
      <c r="B237" s="272"/>
      <c r="C237" s="336"/>
      <c r="D237" s="273"/>
      <c r="E237" s="274"/>
      <c r="F237" s="273"/>
      <c r="G237" s="273"/>
      <c r="H237" s="12"/>
      <c r="J237" s="3"/>
      <c r="K237" s="12"/>
      <c r="L237" s="3"/>
      <c r="M237" s="12"/>
      <c r="Q237" s="12"/>
      <c r="R237" s="12"/>
      <c r="T237" s="565"/>
      <c r="U237" s="565"/>
      <c r="V237" s="565"/>
      <c r="W237" s="565"/>
    </row>
    <row r="238">
      <c r="A238" s="272"/>
      <c r="B238" s="272"/>
      <c r="C238" s="336"/>
      <c r="D238" s="273"/>
      <c r="E238" s="274"/>
      <c r="F238" s="273"/>
      <c r="G238" s="273"/>
      <c r="H238" s="12"/>
      <c r="J238" s="3"/>
      <c r="K238" s="12"/>
      <c r="L238" s="3"/>
      <c r="M238" s="12"/>
      <c r="Q238" s="12"/>
      <c r="R238" s="12"/>
      <c r="T238" s="565"/>
      <c r="U238" s="565"/>
      <c r="V238" s="565"/>
      <c r="W238" s="565"/>
    </row>
    <row r="239">
      <c r="A239" s="272"/>
      <c r="B239" s="272"/>
      <c r="C239" s="336"/>
      <c r="D239" s="273"/>
      <c r="E239" s="274"/>
      <c r="F239" s="273"/>
      <c r="G239" s="273"/>
      <c r="H239" s="12"/>
      <c r="J239" s="3"/>
      <c r="K239" s="12"/>
      <c r="L239" s="3"/>
      <c r="M239" s="12"/>
      <c r="Q239" s="12"/>
      <c r="R239" s="12"/>
      <c r="T239" s="565"/>
      <c r="U239" s="565"/>
      <c r="V239" s="565"/>
      <c r="W239" s="565"/>
    </row>
    <row r="240">
      <c r="A240" s="272"/>
      <c r="B240" s="272"/>
      <c r="C240" s="336"/>
      <c r="D240" s="273"/>
      <c r="E240" s="274"/>
      <c r="F240" s="273"/>
      <c r="G240" s="273"/>
      <c r="H240" s="12"/>
      <c r="J240" s="3"/>
      <c r="K240" s="12"/>
      <c r="L240" s="3"/>
      <c r="M240" s="12"/>
      <c r="Q240" s="12"/>
      <c r="R240" s="12"/>
      <c r="T240" s="565"/>
      <c r="U240" s="565"/>
      <c r="V240" s="565"/>
      <c r="W240" s="565"/>
    </row>
    <row r="241">
      <c r="A241" s="272"/>
      <c r="B241" s="272"/>
      <c r="C241" s="336"/>
      <c r="D241" s="273"/>
      <c r="E241" s="274"/>
      <c r="F241" s="273"/>
      <c r="G241" s="273"/>
      <c r="H241" s="12"/>
      <c r="J241" s="3"/>
      <c r="K241" s="12"/>
      <c r="L241" s="3"/>
      <c r="M241" s="12"/>
      <c r="Q241" s="12"/>
      <c r="R241" s="12"/>
      <c r="T241" s="565"/>
      <c r="U241" s="565"/>
      <c r="V241" s="565"/>
      <c r="W241" s="565"/>
    </row>
    <row r="242">
      <c r="A242" s="272"/>
      <c r="B242" s="272"/>
      <c r="C242" s="336"/>
      <c r="D242" s="273"/>
      <c r="E242" s="274"/>
      <c r="F242" s="273"/>
      <c r="G242" s="273"/>
      <c r="H242" s="12"/>
      <c r="J242" s="3"/>
      <c r="K242" s="12"/>
      <c r="L242" s="3"/>
      <c r="M242" s="12"/>
      <c r="Q242" s="12"/>
      <c r="R242" s="12"/>
      <c r="T242" s="565"/>
      <c r="U242" s="565"/>
      <c r="V242" s="565"/>
      <c r="W242" s="565"/>
    </row>
    <row r="243">
      <c r="A243" s="272"/>
      <c r="B243" s="272"/>
      <c r="C243" s="336"/>
      <c r="D243" s="273"/>
      <c r="E243" s="274"/>
      <c r="F243" s="273"/>
      <c r="G243" s="273"/>
      <c r="H243" s="12"/>
      <c r="J243" s="3"/>
      <c r="K243" s="12"/>
      <c r="L243" s="3"/>
      <c r="M243" s="12"/>
      <c r="Q243" s="12"/>
      <c r="R243" s="12"/>
      <c r="T243" s="565"/>
      <c r="U243" s="565"/>
      <c r="V243" s="565"/>
      <c r="W243" s="565"/>
    </row>
    <row r="244">
      <c r="A244" s="272"/>
      <c r="B244" s="272"/>
      <c r="C244" s="336"/>
      <c r="D244" s="273"/>
      <c r="E244" s="274"/>
      <c r="F244" s="273"/>
      <c r="G244" s="273"/>
      <c r="H244" s="12"/>
      <c r="J244" s="3"/>
      <c r="K244" s="12"/>
      <c r="L244" s="3"/>
      <c r="M244" s="12"/>
      <c r="Q244" s="12"/>
      <c r="R244" s="12"/>
      <c r="T244" s="565"/>
      <c r="U244" s="565"/>
      <c r="V244" s="565"/>
      <c r="W244" s="565"/>
    </row>
    <row r="245">
      <c r="A245" s="272"/>
      <c r="B245" s="272"/>
      <c r="C245" s="336"/>
      <c r="D245" s="273"/>
      <c r="E245" s="274"/>
      <c r="F245" s="273"/>
      <c r="G245" s="273"/>
      <c r="H245" s="12"/>
      <c r="J245" s="3"/>
      <c r="K245" s="12"/>
      <c r="L245" s="3"/>
      <c r="M245" s="12"/>
      <c r="Q245" s="12"/>
      <c r="R245" s="12"/>
      <c r="T245" s="565"/>
      <c r="U245" s="565"/>
      <c r="V245" s="565"/>
      <c r="W245" s="565"/>
    </row>
    <row r="246">
      <c r="A246" s="272"/>
      <c r="B246" s="272"/>
      <c r="C246" s="336"/>
      <c r="D246" s="273"/>
      <c r="E246" s="274"/>
      <c r="F246" s="273"/>
      <c r="G246" s="273"/>
      <c r="H246" s="12"/>
      <c r="J246" s="3"/>
      <c r="K246" s="12"/>
      <c r="L246" s="3"/>
      <c r="M246" s="12"/>
      <c r="Q246" s="12"/>
      <c r="R246" s="12"/>
      <c r="T246" s="565"/>
      <c r="U246" s="565"/>
      <c r="V246" s="565"/>
      <c r="W246" s="565"/>
    </row>
    <row r="247">
      <c r="A247" s="272"/>
      <c r="B247" s="272"/>
      <c r="C247" s="336"/>
      <c r="D247" s="273"/>
      <c r="E247" s="274"/>
      <c r="F247" s="273"/>
      <c r="G247" s="273"/>
      <c r="H247" s="12"/>
      <c r="J247" s="3"/>
      <c r="K247" s="12"/>
      <c r="L247" s="3"/>
      <c r="M247" s="12"/>
      <c r="Q247" s="12"/>
      <c r="R247" s="12"/>
      <c r="T247" s="565"/>
      <c r="U247" s="565"/>
      <c r="V247" s="565"/>
      <c r="W247" s="565"/>
    </row>
    <row r="248">
      <c r="A248" s="272"/>
      <c r="B248" s="272"/>
      <c r="C248" s="336"/>
      <c r="D248" s="273"/>
      <c r="E248" s="274"/>
      <c r="F248" s="273"/>
      <c r="G248" s="273"/>
      <c r="H248" s="12"/>
      <c r="J248" s="3"/>
      <c r="K248" s="12"/>
      <c r="L248" s="3"/>
      <c r="M248" s="12"/>
      <c r="Q248" s="12"/>
      <c r="R248" s="12"/>
      <c r="T248" s="565"/>
      <c r="U248" s="565"/>
      <c r="V248" s="565"/>
      <c r="W248" s="565"/>
    </row>
    <row r="249">
      <c r="A249" s="272"/>
      <c r="B249" s="272"/>
      <c r="C249" s="336"/>
      <c r="D249" s="273"/>
      <c r="E249" s="274"/>
      <c r="F249" s="273"/>
      <c r="G249" s="273"/>
      <c r="H249" s="12"/>
      <c r="J249" s="3"/>
      <c r="K249" s="12"/>
      <c r="L249" s="3"/>
      <c r="M249" s="12"/>
      <c r="Q249" s="12"/>
      <c r="R249" s="12"/>
      <c r="T249" s="565"/>
      <c r="U249" s="565"/>
      <c r="V249" s="565"/>
      <c r="W249" s="565"/>
    </row>
    <row r="250">
      <c r="A250" s="272"/>
      <c r="B250" s="272"/>
      <c r="C250" s="336"/>
      <c r="D250" s="273"/>
      <c r="E250" s="274"/>
      <c r="F250" s="273"/>
      <c r="G250" s="273"/>
      <c r="H250" s="12"/>
      <c r="J250" s="3"/>
      <c r="K250" s="12"/>
      <c r="L250" s="3"/>
      <c r="M250" s="12"/>
      <c r="Q250" s="12"/>
      <c r="R250" s="12"/>
      <c r="T250" s="565"/>
      <c r="U250" s="565"/>
      <c r="V250" s="565"/>
      <c r="W250" s="565"/>
    </row>
    <row r="251">
      <c r="A251" s="272"/>
      <c r="B251" s="272"/>
      <c r="C251" s="336"/>
      <c r="D251" s="273"/>
      <c r="E251" s="274"/>
      <c r="F251" s="273"/>
      <c r="G251" s="273"/>
      <c r="H251" s="12"/>
      <c r="J251" s="3"/>
      <c r="K251" s="12"/>
      <c r="L251" s="3"/>
      <c r="M251" s="12"/>
      <c r="Q251" s="12"/>
      <c r="R251" s="12"/>
      <c r="T251" s="565"/>
      <c r="U251" s="565"/>
      <c r="V251" s="565"/>
      <c r="W251" s="565"/>
    </row>
    <row r="252">
      <c r="A252" s="272"/>
      <c r="B252" s="272"/>
      <c r="C252" s="336"/>
      <c r="D252" s="273"/>
      <c r="E252" s="274"/>
      <c r="F252" s="273"/>
      <c r="G252" s="273"/>
      <c r="H252" s="12"/>
      <c r="J252" s="3"/>
      <c r="K252" s="12"/>
      <c r="L252" s="3"/>
      <c r="M252" s="12"/>
      <c r="Q252" s="12"/>
      <c r="R252" s="12"/>
      <c r="T252" s="565"/>
      <c r="U252" s="565"/>
      <c r="V252" s="565"/>
      <c r="W252" s="565"/>
    </row>
    <row r="253">
      <c r="A253" s="272"/>
      <c r="B253" s="272"/>
      <c r="C253" s="336"/>
      <c r="D253" s="273"/>
      <c r="E253" s="274"/>
      <c r="F253" s="273"/>
      <c r="G253" s="273"/>
      <c r="H253" s="12"/>
      <c r="J253" s="3"/>
      <c r="K253" s="12"/>
      <c r="L253" s="3"/>
      <c r="M253" s="12"/>
      <c r="Q253" s="12"/>
      <c r="R253" s="12"/>
      <c r="T253" s="565"/>
      <c r="U253" s="565"/>
      <c r="V253" s="565"/>
      <c r="W253" s="565"/>
    </row>
    <row r="254">
      <c r="A254" s="272"/>
      <c r="B254" s="272"/>
      <c r="C254" s="336"/>
      <c r="D254" s="273"/>
      <c r="E254" s="274"/>
      <c r="F254" s="273"/>
      <c r="G254" s="273"/>
      <c r="H254" s="12"/>
      <c r="J254" s="3"/>
      <c r="K254" s="12"/>
      <c r="L254" s="3"/>
      <c r="M254" s="12"/>
      <c r="Q254" s="12"/>
      <c r="R254" s="12"/>
      <c r="T254" s="565"/>
      <c r="U254" s="565"/>
      <c r="V254" s="565"/>
      <c r="W254" s="565"/>
    </row>
    <row r="255">
      <c r="A255" s="272"/>
      <c r="B255" s="272"/>
      <c r="C255" s="336"/>
      <c r="D255" s="273"/>
      <c r="E255" s="274"/>
      <c r="F255" s="273"/>
      <c r="G255" s="273"/>
      <c r="H255" s="12"/>
      <c r="J255" s="3"/>
      <c r="K255" s="12"/>
      <c r="L255" s="3"/>
      <c r="M255" s="12"/>
      <c r="Q255" s="12"/>
      <c r="R255" s="12"/>
      <c r="T255" s="565"/>
      <c r="U255" s="565"/>
      <c r="V255" s="565"/>
      <c r="W255" s="565"/>
    </row>
    <row r="256">
      <c r="A256" s="272"/>
      <c r="B256" s="272"/>
      <c r="C256" s="336"/>
      <c r="D256" s="273"/>
      <c r="E256" s="274"/>
      <c r="F256" s="273"/>
      <c r="G256" s="273"/>
      <c r="H256" s="12"/>
      <c r="J256" s="3"/>
      <c r="K256" s="12"/>
      <c r="L256" s="3"/>
      <c r="M256" s="12"/>
      <c r="Q256" s="12"/>
      <c r="R256" s="12"/>
      <c r="T256" s="565"/>
      <c r="U256" s="565"/>
      <c r="V256" s="565"/>
      <c r="W256" s="565"/>
    </row>
    <row r="257">
      <c r="A257" s="272"/>
      <c r="B257" s="272"/>
      <c r="C257" s="336"/>
      <c r="D257" s="273"/>
      <c r="E257" s="274"/>
      <c r="F257" s="273"/>
      <c r="G257" s="273"/>
      <c r="H257" s="12"/>
      <c r="J257" s="3"/>
      <c r="K257" s="12"/>
      <c r="L257" s="3"/>
      <c r="M257" s="12"/>
      <c r="Q257" s="12"/>
      <c r="R257" s="12"/>
      <c r="T257" s="565"/>
      <c r="U257" s="565"/>
      <c r="V257" s="565"/>
      <c r="W257" s="565"/>
    </row>
    <row r="258">
      <c r="A258" s="272"/>
      <c r="B258" s="272"/>
      <c r="C258" s="336"/>
      <c r="D258" s="273"/>
      <c r="E258" s="274"/>
      <c r="F258" s="273"/>
      <c r="G258" s="273"/>
      <c r="H258" s="12"/>
      <c r="J258" s="3"/>
      <c r="K258" s="12"/>
      <c r="L258" s="3"/>
      <c r="M258" s="12"/>
      <c r="Q258" s="12"/>
      <c r="R258" s="12"/>
      <c r="T258" s="565"/>
      <c r="U258" s="565"/>
      <c r="V258" s="565"/>
      <c r="W258" s="565"/>
    </row>
    <row r="259">
      <c r="A259" s="272"/>
      <c r="B259" s="272"/>
      <c r="C259" s="336"/>
      <c r="D259" s="273"/>
      <c r="E259" s="274"/>
      <c r="F259" s="273"/>
      <c r="G259" s="273"/>
      <c r="H259" s="12"/>
      <c r="J259" s="3"/>
      <c r="K259" s="12"/>
      <c r="L259" s="3"/>
      <c r="M259" s="12"/>
      <c r="Q259" s="12"/>
      <c r="R259" s="12"/>
      <c r="T259" s="565"/>
      <c r="U259" s="565"/>
      <c r="V259" s="565"/>
      <c r="W259" s="565"/>
    </row>
    <row r="260">
      <c r="A260" s="272"/>
      <c r="B260" s="272"/>
      <c r="C260" s="336"/>
      <c r="D260" s="273"/>
      <c r="E260" s="274"/>
      <c r="F260" s="273"/>
      <c r="G260" s="273"/>
      <c r="H260" s="12"/>
      <c r="J260" s="3"/>
      <c r="K260" s="12"/>
      <c r="L260" s="3"/>
      <c r="M260" s="12"/>
      <c r="Q260" s="12"/>
      <c r="R260" s="12"/>
      <c r="T260" s="565"/>
      <c r="U260" s="565"/>
      <c r="V260" s="565"/>
      <c r="W260" s="565"/>
    </row>
    <row r="261">
      <c r="A261" s="272"/>
      <c r="B261" s="272"/>
      <c r="C261" s="336"/>
      <c r="D261" s="273"/>
      <c r="E261" s="274"/>
      <c r="F261" s="273"/>
      <c r="G261" s="273"/>
      <c r="H261" s="12"/>
      <c r="J261" s="3"/>
      <c r="K261" s="12"/>
      <c r="L261" s="3"/>
      <c r="M261" s="12"/>
      <c r="Q261" s="12"/>
      <c r="R261" s="12"/>
      <c r="T261" s="565"/>
      <c r="U261" s="565"/>
      <c r="V261" s="565"/>
      <c r="W261" s="565"/>
    </row>
    <row r="262">
      <c r="A262" s="272"/>
      <c r="B262" s="272"/>
      <c r="C262" s="336"/>
      <c r="D262" s="273"/>
      <c r="E262" s="274"/>
      <c r="F262" s="273"/>
      <c r="G262" s="273"/>
      <c r="H262" s="12"/>
      <c r="J262" s="3"/>
      <c r="K262" s="12"/>
      <c r="L262" s="3"/>
      <c r="M262" s="12"/>
      <c r="Q262" s="12"/>
      <c r="R262" s="12"/>
      <c r="T262" s="565"/>
      <c r="U262" s="565"/>
      <c r="V262" s="565"/>
      <c r="W262" s="565"/>
    </row>
    <row r="263">
      <c r="A263" s="272"/>
      <c r="B263" s="272"/>
      <c r="C263" s="336"/>
      <c r="D263" s="273"/>
      <c r="E263" s="274"/>
      <c r="F263" s="273"/>
      <c r="G263" s="273"/>
      <c r="H263" s="12"/>
      <c r="J263" s="3"/>
      <c r="K263" s="12"/>
      <c r="L263" s="3"/>
      <c r="M263" s="12"/>
      <c r="Q263" s="12"/>
      <c r="R263" s="12"/>
      <c r="T263" s="565"/>
      <c r="U263" s="565"/>
      <c r="V263" s="565"/>
      <c r="W263" s="565"/>
    </row>
    <row r="264">
      <c r="A264" s="272"/>
      <c r="B264" s="272"/>
      <c r="C264" s="336"/>
      <c r="D264" s="273"/>
      <c r="E264" s="274"/>
      <c r="F264" s="273"/>
      <c r="G264" s="273"/>
      <c r="H264" s="12"/>
      <c r="J264" s="3"/>
      <c r="K264" s="12"/>
      <c r="L264" s="3"/>
      <c r="M264" s="12"/>
      <c r="Q264" s="12"/>
      <c r="R264" s="12"/>
      <c r="T264" s="565"/>
      <c r="U264" s="565"/>
      <c r="V264" s="565"/>
      <c r="W264" s="565"/>
    </row>
    <row r="265">
      <c r="A265" s="272"/>
      <c r="B265" s="272"/>
      <c r="C265" s="336"/>
      <c r="D265" s="273"/>
      <c r="E265" s="274"/>
      <c r="F265" s="273"/>
      <c r="G265" s="273"/>
      <c r="H265" s="12"/>
      <c r="J265" s="3"/>
      <c r="K265" s="12"/>
      <c r="L265" s="3"/>
      <c r="M265" s="12"/>
      <c r="Q265" s="12"/>
      <c r="R265" s="12"/>
      <c r="T265" s="565"/>
      <c r="U265" s="565"/>
      <c r="V265" s="565"/>
      <c r="W265" s="565"/>
    </row>
    <row r="266">
      <c r="A266" s="272"/>
      <c r="B266" s="272"/>
      <c r="C266" s="336"/>
      <c r="D266" s="273"/>
      <c r="E266" s="274"/>
      <c r="F266" s="273"/>
      <c r="G266" s="273"/>
      <c r="H266" s="12"/>
      <c r="J266" s="3"/>
      <c r="K266" s="12"/>
      <c r="L266" s="3"/>
      <c r="M266" s="12"/>
      <c r="Q266" s="12"/>
      <c r="R266" s="12"/>
      <c r="T266" s="565"/>
      <c r="U266" s="565"/>
      <c r="V266" s="565"/>
      <c r="W266" s="565"/>
    </row>
    <row r="267">
      <c r="A267" s="272"/>
      <c r="B267" s="272"/>
      <c r="C267" s="336"/>
      <c r="D267" s="273"/>
      <c r="E267" s="274"/>
      <c r="F267" s="273"/>
      <c r="G267" s="273"/>
      <c r="H267" s="12"/>
      <c r="J267" s="3"/>
      <c r="K267" s="12"/>
      <c r="L267" s="3"/>
      <c r="M267" s="12"/>
      <c r="Q267" s="12"/>
      <c r="R267" s="12"/>
      <c r="T267" s="565"/>
      <c r="U267" s="565"/>
      <c r="V267" s="565"/>
      <c r="W267" s="565"/>
    </row>
    <row r="268">
      <c r="A268" s="272"/>
      <c r="B268" s="272"/>
      <c r="C268" s="336"/>
      <c r="D268" s="273"/>
      <c r="E268" s="274"/>
      <c r="F268" s="273"/>
      <c r="G268" s="273"/>
      <c r="H268" s="12"/>
      <c r="J268" s="3"/>
      <c r="K268" s="12"/>
      <c r="L268" s="3"/>
      <c r="M268" s="12"/>
      <c r="Q268" s="12"/>
      <c r="R268" s="12"/>
      <c r="T268" s="565"/>
      <c r="U268" s="565"/>
      <c r="V268" s="565"/>
      <c r="W268" s="565"/>
    </row>
    <row r="269">
      <c r="A269" s="272"/>
      <c r="B269" s="272"/>
      <c r="C269" s="336"/>
      <c r="D269" s="273"/>
      <c r="E269" s="274"/>
      <c r="F269" s="273"/>
      <c r="G269" s="273"/>
      <c r="H269" s="12"/>
      <c r="J269" s="3"/>
      <c r="K269" s="12"/>
      <c r="L269" s="3"/>
      <c r="M269" s="12"/>
      <c r="Q269" s="12"/>
      <c r="R269" s="12"/>
      <c r="T269" s="565"/>
      <c r="U269" s="565"/>
      <c r="V269" s="565"/>
      <c r="W269" s="565"/>
    </row>
    <row r="270">
      <c r="A270" s="272"/>
      <c r="B270" s="272"/>
      <c r="C270" s="336"/>
      <c r="D270" s="273"/>
      <c r="E270" s="274"/>
      <c r="F270" s="273"/>
      <c r="G270" s="273"/>
      <c r="H270" s="12"/>
      <c r="J270" s="3"/>
      <c r="K270" s="12"/>
      <c r="L270" s="3"/>
      <c r="M270" s="12"/>
      <c r="Q270" s="12"/>
      <c r="R270" s="12"/>
      <c r="T270" s="565"/>
      <c r="U270" s="565"/>
      <c r="V270" s="565"/>
      <c r="W270" s="565"/>
    </row>
    <row r="271">
      <c r="A271" s="272"/>
      <c r="B271" s="272"/>
      <c r="C271" s="336"/>
      <c r="D271" s="273"/>
      <c r="E271" s="274"/>
      <c r="F271" s="273"/>
      <c r="G271" s="273"/>
      <c r="H271" s="12"/>
      <c r="J271" s="3"/>
      <c r="K271" s="12"/>
      <c r="L271" s="3"/>
      <c r="M271" s="12"/>
      <c r="Q271" s="12"/>
      <c r="R271" s="12"/>
      <c r="T271" s="565"/>
      <c r="U271" s="565"/>
      <c r="V271" s="565"/>
      <c r="W271" s="565"/>
    </row>
    <row r="272">
      <c r="A272" s="272"/>
      <c r="B272" s="272"/>
      <c r="C272" s="336"/>
      <c r="D272" s="273"/>
      <c r="E272" s="274"/>
      <c r="F272" s="273"/>
      <c r="G272" s="273"/>
      <c r="H272" s="12"/>
      <c r="J272" s="3"/>
      <c r="K272" s="12"/>
      <c r="L272" s="3"/>
      <c r="M272" s="12"/>
      <c r="Q272" s="12"/>
      <c r="R272" s="12"/>
      <c r="T272" s="565"/>
      <c r="U272" s="565"/>
      <c r="V272" s="565"/>
      <c r="W272" s="565"/>
    </row>
    <row r="273">
      <c r="A273" s="272"/>
      <c r="B273" s="272"/>
      <c r="C273" s="336"/>
      <c r="D273" s="273"/>
      <c r="E273" s="274"/>
      <c r="F273" s="273"/>
      <c r="G273" s="273"/>
      <c r="H273" s="12"/>
      <c r="J273" s="3"/>
      <c r="K273" s="12"/>
      <c r="L273" s="3"/>
      <c r="M273" s="12"/>
      <c r="Q273" s="12"/>
      <c r="R273" s="12"/>
      <c r="T273" s="565"/>
      <c r="U273" s="565"/>
      <c r="V273" s="565"/>
      <c r="W273" s="565"/>
    </row>
    <row r="274">
      <c r="A274" s="272"/>
      <c r="B274" s="272"/>
      <c r="C274" s="336"/>
      <c r="D274" s="273"/>
      <c r="E274" s="274"/>
      <c r="F274" s="273"/>
      <c r="G274" s="273"/>
      <c r="H274" s="12"/>
      <c r="J274" s="3"/>
      <c r="K274" s="12"/>
      <c r="L274" s="3"/>
      <c r="M274" s="12"/>
      <c r="Q274" s="12"/>
      <c r="R274" s="12"/>
      <c r="T274" s="565"/>
      <c r="U274" s="565"/>
      <c r="V274" s="565"/>
      <c r="W274" s="565"/>
    </row>
    <row r="275">
      <c r="A275" s="272"/>
      <c r="B275" s="272"/>
      <c r="C275" s="336"/>
      <c r="D275" s="273"/>
      <c r="E275" s="274"/>
      <c r="F275" s="273"/>
      <c r="G275" s="273"/>
      <c r="H275" s="12"/>
      <c r="J275" s="3"/>
      <c r="K275" s="12"/>
      <c r="L275" s="3"/>
      <c r="M275" s="12"/>
      <c r="Q275" s="12"/>
      <c r="R275" s="12"/>
      <c r="T275" s="565"/>
      <c r="U275" s="565"/>
      <c r="V275" s="565"/>
      <c r="W275" s="565"/>
    </row>
    <row r="276">
      <c r="A276" s="272"/>
      <c r="B276" s="272"/>
      <c r="C276" s="336"/>
      <c r="D276" s="273"/>
      <c r="E276" s="274"/>
      <c r="F276" s="273"/>
      <c r="G276" s="273"/>
      <c r="H276" s="12"/>
      <c r="J276" s="3"/>
      <c r="K276" s="12"/>
      <c r="L276" s="3"/>
      <c r="M276" s="12"/>
      <c r="Q276" s="12"/>
      <c r="R276" s="12"/>
      <c r="T276" s="565"/>
      <c r="U276" s="565"/>
      <c r="V276" s="565"/>
      <c r="W276" s="565"/>
    </row>
    <row r="277">
      <c r="A277" s="272"/>
      <c r="B277" s="272"/>
      <c r="C277" s="336"/>
      <c r="D277" s="273"/>
      <c r="E277" s="274"/>
      <c r="F277" s="273"/>
      <c r="G277" s="273"/>
      <c r="H277" s="12"/>
      <c r="J277" s="3"/>
      <c r="K277" s="12"/>
      <c r="L277" s="3"/>
      <c r="M277" s="12"/>
      <c r="Q277" s="12"/>
      <c r="R277" s="12"/>
      <c r="T277" s="565"/>
      <c r="U277" s="565"/>
      <c r="V277" s="565"/>
      <c r="W277" s="565"/>
    </row>
    <row r="278">
      <c r="A278" s="272"/>
      <c r="B278" s="272"/>
      <c r="C278" s="336"/>
      <c r="D278" s="273"/>
      <c r="E278" s="274"/>
      <c r="F278" s="273"/>
      <c r="G278" s="273"/>
      <c r="H278" s="12"/>
      <c r="J278" s="3"/>
      <c r="K278" s="12"/>
      <c r="L278" s="3"/>
      <c r="M278" s="12"/>
      <c r="Q278" s="12"/>
      <c r="R278" s="12"/>
      <c r="T278" s="565"/>
      <c r="U278" s="565"/>
      <c r="V278" s="565"/>
      <c r="W278" s="565"/>
    </row>
    <row r="279">
      <c r="A279" s="272"/>
      <c r="B279" s="272"/>
      <c r="C279" s="336"/>
      <c r="D279" s="273"/>
      <c r="E279" s="274"/>
      <c r="F279" s="273"/>
      <c r="G279" s="273"/>
      <c r="H279" s="12"/>
      <c r="J279" s="3"/>
      <c r="K279" s="12"/>
      <c r="L279" s="3"/>
      <c r="M279" s="12"/>
      <c r="Q279" s="12"/>
      <c r="R279" s="12"/>
      <c r="T279" s="565"/>
      <c r="U279" s="565"/>
      <c r="V279" s="565"/>
      <c r="W279" s="565"/>
    </row>
    <row r="280">
      <c r="A280" s="272"/>
      <c r="B280" s="272"/>
      <c r="C280" s="336"/>
      <c r="D280" s="273"/>
      <c r="E280" s="274"/>
      <c r="F280" s="273"/>
      <c r="G280" s="273"/>
      <c r="H280" s="12"/>
      <c r="J280" s="3"/>
      <c r="K280" s="12"/>
      <c r="L280" s="3"/>
      <c r="M280" s="12"/>
      <c r="Q280" s="12"/>
      <c r="R280" s="12"/>
      <c r="T280" s="565"/>
      <c r="U280" s="565"/>
      <c r="V280" s="565"/>
      <c r="W280" s="565"/>
    </row>
    <row r="281">
      <c r="A281" s="272"/>
      <c r="B281" s="272"/>
      <c r="C281" s="336"/>
      <c r="D281" s="273"/>
      <c r="E281" s="274"/>
      <c r="F281" s="273"/>
      <c r="G281" s="273"/>
      <c r="H281" s="12"/>
      <c r="J281" s="3"/>
      <c r="K281" s="12"/>
      <c r="L281" s="3"/>
      <c r="M281" s="12"/>
      <c r="Q281" s="12"/>
      <c r="R281" s="12"/>
      <c r="T281" s="565"/>
      <c r="U281" s="565"/>
      <c r="V281" s="565"/>
      <c r="W281" s="565"/>
    </row>
    <row r="282">
      <c r="A282" s="272"/>
      <c r="B282" s="272"/>
      <c r="C282" s="336"/>
      <c r="D282" s="273"/>
      <c r="E282" s="274"/>
      <c r="F282" s="273"/>
      <c r="G282" s="273"/>
      <c r="H282" s="12"/>
      <c r="J282" s="3"/>
      <c r="K282" s="12"/>
      <c r="L282" s="3"/>
      <c r="M282" s="12"/>
      <c r="Q282" s="12"/>
      <c r="R282" s="12"/>
      <c r="T282" s="565"/>
      <c r="U282" s="565"/>
      <c r="V282" s="565"/>
      <c r="W282" s="565"/>
    </row>
    <row r="283">
      <c r="A283" s="272"/>
      <c r="B283" s="272"/>
      <c r="C283" s="336"/>
      <c r="D283" s="273"/>
      <c r="E283" s="274"/>
      <c r="F283" s="273"/>
      <c r="G283" s="273"/>
      <c r="H283" s="12"/>
      <c r="J283" s="3"/>
      <c r="K283" s="12"/>
      <c r="L283" s="3"/>
      <c r="M283" s="12"/>
      <c r="Q283" s="12"/>
      <c r="R283" s="12"/>
      <c r="T283" s="565"/>
      <c r="U283" s="565"/>
      <c r="V283" s="565"/>
      <c r="W283" s="565"/>
    </row>
    <row r="284">
      <c r="A284" s="272"/>
      <c r="B284" s="272"/>
      <c r="C284" s="336"/>
      <c r="D284" s="273"/>
      <c r="E284" s="274"/>
      <c r="F284" s="273"/>
      <c r="G284" s="273"/>
      <c r="H284" s="12"/>
      <c r="J284" s="3"/>
      <c r="K284" s="12"/>
      <c r="L284" s="3"/>
      <c r="M284" s="12"/>
      <c r="Q284" s="12"/>
      <c r="R284" s="12"/>
      <c r="T284" s="565"/>
      <c r="U284" s="565"/>
      <c r="V284" s="565"/>
      <c r="W284" s="565"/>
    </row>
    <row r="285">
      <c r="C285" s="12"/>
      <c r="D285" s="3"/>
      <c r="E285" s="112"/>
      <c r="F285" s="3"/>
      <c r="G285" s="3"/>
      <c r="H285" s="12"/>
      <c r="J285" s="3"/>
      <c r="K285" s="12"/>
      <c r="L285" s="3"/>
      <c r="M285" s="12"/>
      <c r="Q285" s="12"/>
      <c r="R285" s="12"/>
      <c r="T285" s="565"/>
      <c r="U285" s="565"/>
      <c r="V285" s="565"/>
      <c r="W285" s="565"/>
    </row>
    <row r="286">
      <c r="C286" s="12"/>
      <c r="D286" s="3"/>
      <c r="E286" s="112"/>
      <c r="F286" s="3"/>
      <c r="G286" s="3"/>
      <c r="H286" s="12"/>
      <c r="J286" s="3"/>
      <c r="K286" s="12"/>
      <c r="L286" s="3"/>
      <c r="M286" s="12"/>
      <c r="Q286" s="12"/>
      <c r="R286" s="12"/>
      <c r="T286" s="565"/>
      <c r="U286" s="565"/>
      <c r="V286" s="565"/>
      <c r="W286" s="565"/>
    </row>
    <row r="287">
      <c r="C287" s="12"/>
      <c r="D287" s="3"/>
      <c r="E287" s="112"/>
      <c r="F287" s="3"/>
      <c r="G287" s="3"/>
      <c r="H287" s="12"/>
      <c r="J287" s="3"/>
      <c r="K287" s="12"/>
      <c r="L287" s="3"/>
      <c r="M287" s="12"/>
      <c r="Q287" s="12"/>
      <c r="R287" s="12"/>
      <c r="T287" s="565"/>
      <c r="U287" s="565"/>
      <c r="V287" s="565"/>
      <c r="W287" s="565"/>
    </row>
    <row r="288">
      <c r="C288" s="12"/>
      <c r="D288" s="3"/>
      <c r="E288" s="112"/>
      <c r="F288" s="3"/>
      <c r="G288" s="3"/>
      <c r="H288" s="12"/>
      <c r="J288" s="3"/>
      <c r="K288" s="12"/>
      <c r="L288" s="3"/>
      <c r="M288" s="12"/>
      <c r="Q288" s="12"/>
      <c r="R288" s="12"/>
      <c r="T288" s="565"/>
      <c r="U288" s="565"/>
      <c r="V288" s="565"/>
      <c r="W288" s="565"/>
    </row>
    <row r="289">
      <c r="C289" s="12"/>
      <c r="D289" s="3"/>
      <c r="E289" s="112"/>
      <c r="F289" s="3"/>
      <c r="G289" s="3"/>
      <c r="H289" s="12"/>
      <c r="J289" s="3"/>
      <c r="K289" s="12"/>
      <c r="L289" s="3"/>
      <c r="M289" s="12"/>
      <c r="Q289" s="12"/>
      <c r="R289" s="12"/>
      <c r="T289" s="565"/>
      <c r="U289" s="565"/>
      <c r="V289" s="565"/>
      <c r="W289" s="565"/>
    </row>
    <row r="290">
      <c r="C290" s="12"/>
      <c r="D290" s="3"/>
      <c r="E290" s="112"/>
      <c r="F290" s="3"/>
      <c r="G290" s="3"/>
      <c r="H290" s="12"/>
      <c r="J290" s="3"/>
      <c r="K290" s="12"/>
      <c r="L290" s="3"/>
      <c r="M290" s="12"/>
      <c r="Q290" s="12"/>
      <c r="R290" s="12"/>
      <c r="T290" s="565"/>
      <c r="U290" s="565"/>
      <c r="V290" s="565"/>
      <c r="W290" s="565"/>
    </row>
    <row r="291">
      <c r="C291" s="12"/>
      <c r="D291" s="3"/>
      <c r="E291" s="112"/>
      <c r="F291" s="3"/>
      <c r="G291" s="3"/>
      <c r="H291" s="12"/>
      <c r="J291" s="3"/>
      <c r="K291" s="12"/>
      <c r="L291" s="3"/>
      <c r="M291" s="12"/>
      <c r="Q291" s="12"/>
      <c r="R291" s="12"/>
      <c r="T291" s="565"/>
      <c r="U291" s="565"/>
      <c r="V291" s="565"/>
      <c r="W291" s="565"/>
    </row>
    <row r="292">
      <c r="C292" s="12"/>
      <c r="D292" s="3"/>
      <c r="E292" s="112"/>
      <c r="F292" s="3"/>
      <c r="G292" s="3"/>
      <c r="H292" s="12"/>
      <c r="J292" s="3"/>
      <c r="K292" s="12"/>
      <c r="L292" s="3"/>
      <c r="M292" s="12"/>
      <c r="Q292" s="12"/>
      <c r="R292" s="12"/>
      <c r="T292" s="565"/>
      <c r="U292" s="565"/>
      <c r="V292" s="565"/>
      <c r="W292" s="565"/>
    </row>
    <row r="293">
      <c r="C293" s="12"/>
      <c r="D293" s="3"/>
      <c r="E293" s="112"/>
      <c r="F293" s="3"/>
      <c r="G293" s="3"/>
      <c r="H293" s="12"/>
      <c r="J293" s="3"/>
      <c r="K293" s="12"/>
      <c r="L293" s="3"/>
      <c r="M293" s="12"/>
      <c r="Q293" s="12"/>
      <c r="R293" s="12"/>
      <c r="T293" s="565"/>
      <c r="U293" s="565"/>
      <c r="V293" s="565"/>
      <c r="W293" s="565"/>
    </row>
    <row r="294">
      <c r="C294" s="12"/>
      <c r="D294" s="3"/>
      <c r="E294" s="112"/>
      <c r="F294" s="3"/>
      <c r="G294" s="3"/>
      <c r="H294" s="12"/>
      <c r="J294" s="3"/>
      <c r="K294" s="12"/>
      <c r="L294" s="3"/>
      <c r="M294" s="12"/>
      <c r="Q294" s="12"/>
      <c r="R294" s="12"/>
      <c r="T294" s="565"/>
      <c r="U294" s="565"/>
      <c r="V294" s="565"/>
      <c r="W294" s="565"/>
    </row>
    <row r="295">
      <c r="C295" s="12"/>
      <c r="D295" s="3"/>
      <c r="E295" s="112"/>
      <c r="F295" s="3"/>
      <c r="G295" s="3"/>
      <c r="H295" s="12"/>
      <c r="J295" s="3"/>
      <c r="K295" s="12"/>
      <c r="L295" s="3"/>
      <c r="M295" s="12"/>
      <c r="Q295" s="12"/>
      <c r="R295" s="12"/>
      <c r="T295" s="565"/>
      <c r="U295" s="565"/>
      <c r="V295" s="565"/>
      <c r="W295" s="565"/>
    </row>
    <row r="296">
      <c r="C296" s="12"/>
      <c r="D296" s="3"/>
      <c r="E296" s="112"/>
      <c r="F296" s="3"/>
      <c r="G296" s="3"/>
      <c r="H296" s="12"/>
      <c r="J296" s="3"/>
      <c r="K296" s="12"/>
      <c r="L296" s="3"/>
      <c r="M296" s="12"/>
      <c r="Q296" s="12"/>
      <c r="R296" s="12"/>
      <c r="T296" s="565"/>
      <c r="U296" s="565"/>
      <c r="V296" s="565"/>
      <c r="W296" s="565"/>
    </row>
    <row r="297">
      <c r="C297" s="12"/>
      <c r="D297" s="3"/>
      <c r="E297" s="112"/>
      <c r="F297" s="3"/>
      <c r="G297" s="3"/>
      <c r="H297" s="12"/>
      <c r="J297" s="3"/>
      <c r="K297" s="12"/>
      <c r="L297" s="3"/>
      <c r="M297" s="12"/>
      <c r="Q297" s="12"/>
      <c r="R297" s="12"/>
      <c r="T297" s="565"/>
      <c r="U297" s="565"/>
      <c r="V297" s="565"/>
      <c r="W297" s="565"/>
    </row>
    <row r="298">
      <c r="C298" s="12"/>
      <c r="D298" s="3"/>
      <c r="E298" s="112"/>
      <c r="F298" s="3"/>
      <c r="G298" s="3"/>
      <c r="H298" s="12"/>
      <c r="J298" s="3"/>
      <c r="K298" s="12"/>
      <c r="L298" s="3"/>
      <c r="M298" s="12"/>
      <c r="Q298" s="12"/>
      <c r="R298" s="12"/>
      <c r="T298" s="565"/>
      <c r="U298" s="565"/>
      <c r="V298" s="565"/>
      <c r="W298" s="565"/>
    </row>
    <row r="299">
      <c r="C299" s="12"/>
      <c r="D299" s="3"/>
      <c r="E299" s="112"/>
      <c r="F299" s="3"/>
      <c r="G299" s="3"/>
      <c r="H299" s="12"/>
      <c r="J299" s="3"/>
      <c r="K299" s="12"/>
      <c r="L299" s="3"/>
      <c r="M299" s="12"/>
      <c r="Q299" s="12"/>
      <c r="R299" s="12"/>
      <c r="T299" s="565"/>
      <c r="U299" s="565"/>
      <c r="V299" s="565"/>
      <c r="W299" s="565"/>
    </row>
    <row r="300">
      <c r="C300" s="12"/>
      <c r="D300" s="3"/>
      <c r="E300" s="112"/>
      <c r="F300" s="3"/>
      <c r="G300" s="3"/>
      <c r="H300" s="12"/>
      <c r="J300" s="3"/>
      <c r="K300" s="12"/>
      <c r="L300" s="3"/>
      <c r="M300" s="12"/>
      <c r="Q300" s="12"/>
      <c r="R300" s="12"/>
      <c r="T300" s="565"/>
      <c r="U300" s="565"/>
      <c r="V300" s="565"/>
      <c r="W300" s="565"/>
    </row>
    <row r="301">
      <c r="C301" s="12"/>
      <c r="D301" s="3"/>
      <c r="E301" s="112"/>
      <c r="F301" s="3"/>
      <c r="G301" s="3"/>
      <c r="H301" s="12"/>
      <c r="J301" s="3"/>
      <c r="K301" s="12"/>
      <c r="L301" s="3"/>
      <c r="M301" s="12"/>
      <c r="Q301" s="12"/>
      <c r="R301" s="12"/>
      <c r="T301" s="565"/>
      <c r="U301" s="565"/>
      <c r="V301" s="565"/>
      <c r="W301" s="565"/>
    </row>
    <row r="302">
      <c r="C302" s="12"/>
      <c r="D302" s="3"/>
      <c r="E302" s="112"/>
      <c r="F302" s="3"/>
      <c r="G302" s="3"/>
      <c r="H302" s="12"/>
      <c r="J302" s="3"/>
      <c r="K302" s="12"/>
      <c r="L302" s="3"/>
      <c r="M302" s="12"/>
      <c r="Q302" s="12"/>
      <c r="R302" s="12"/>
      <c r="T302" s="565"/>
      <c r="U302" s="565"/>
      <c r="V302" s="565"/>
      <c r="W302" s="565"/>
    </row>
    <row r="303">
      <c r="C303" s="12"/>
      <c r="D303" s="3"/>
      <c r="E303" s="112"/>
      <c r="F303" s="3"/>
      <c r="G303" s="3"/>
      <c r="H303" s="12"/>
      <c r="J303" s="3"/>
      <c r="K303" s="12"/>
      <c r="L303" s="3"/>
      <c r="M303" s="12"/>
      <c r="Q303" s="12"/>
      <c r="R303" s="12"/>
      <c r="T303" s="565"/>
      <c r="U303" s="565"/>
      <c r="V303" s="565"/>
      <c r="W303" s="565"/>
    </row>
    <row r="304">
      <c r="C304" s="12"/>
      <c r="D304" s="3"/>
      <c r="E304" s="112"/>
      <c r="F304" s="3"/>
      <c r="G304" s="3"/>
      <c r="H304" s="12"/>
      <c r="J304" s="3"/>
      <c r="K304" s="12"/>
      <c r="L304" s="3"/>
      <c r="M304" s="12"/>
      <c r="Q304" s="12"/>
      <c r="R304" s="12"/>
      <c r="T304" s="565"/>
      <c r="U304" s="565"/>
      <c r="V304" s="565"/>
      <c r="W304" s="565"/>
    </row>
    <row r="305">
      <c r="C305" s="12"/>
      <c r="D305" s="3"/>
      <c r="E305" s="112"/>
      <c r="F305" s="3"/>
      <c r="G305" s="3"/>
      <c r="H305" s="12"/>
      <c r="J305" s="3"/>
      <c r="K305" s="12"/>
      <c r="L305" s="3"/>
      <c r="M305" s="12"/>
      <c r="Q305" s="12"/>
      <c r="R305" s="12"/>
      <c r="T305" s="565"/>
      <c r="U305" s="565"/>
      <c r="V305" s="565"/>
      <c r="W305" s="565"/>
    </row>
    <row r="306">
      <c r="C306" s="12"/>
      <c r="D306" s="3"/>
      <c r="E306" s="112"/>
      <c r="F306" s="3"/>
      <c r="G306" s="3"/>
      <c r="H306" s="12"/>
      <c r="J306" s="3"/>
      <c r="K306" s="12"/>
      <c r="L306" s="3"/>
      <c r="M306" s="12"/>
      <c r="Q306" s="12"/>
      <c r="R306" s="12"/>
      <c r="T306" s="565"/>
      <c r="U306" s="565"/>
      <c r="V306" s="565"/>
      <c r="W306" s="565"/>
    </row>
    <row r="307">
      <c r="C307" s="12"/>
      <c r="D307" s="3"/>
      <c r="E307" s="112"/>
      <c r="F307" s="3"/>
      <c r="G307" s="3"/>
      <c r="H307" s="12"/>
      <c r="J307" s="3"/>
      <c r="K307" s="12"/>
      <c r="L307" s="3"/>
      <c r="M307" s="12"/>
      <c r="Q307" s="12"/>
      <c r="R307" s="12"/>
      <c r="T307" s="565"/>
      <c r="U307" s="565"/>
      <c r="V307" s="565"/>
      <c r="W307" s="565"/>
    </row>
    <row r="308">
      <c r="C308" s="12"/>
      <c r="D308" s="3"/>
      <c r="E308" s="112"/>
      <c r="F308" s="3"/>
      <c r="G308" s="3"/>
      <c r="H308" s="12"/>
      <c r="J308" s="3"/>
      <c r="K308" s="12"/>
      <c r="L308" s="3"/>
      <c r="M308" s="12"/>
      <c r="Q308" s="12"/>
      <c r="R308" s="12"/>
      <c r="T308" s="565"/>
      <c r="U308" s="565"/>
      <c r="V308" s="565"/>
      <c r="W308" s="565"/>
    </row>
    <row r="309">
      <c r="C309" s="12"/>
      <c r="D309" s="3"/>
      <c r="E309" s="112"/>
      <c r="F309" s="3"/>
      <c r="G309" s="3"/>
      <c r="H309" s="12"/>
      <c r="J309" s="3"/>
      <c r="K309" s="12"/>
      <c r="L309" s="3"/>
      <c r="M309" s="12"/>
      <c r="Q309" s="12"/>
      <c r="R309" s="12"/>
      <c r="T309" s="565"/>
      <c r="U309" s="565"/>
      <c r="V309" s="565"/>
      <c r="W309" s="565"/>
    </row>
    <row r="310">
      <c r="C310" s="12"/>
      <c r="D310" s="3"/>
      <c r="E310" s="112"/>
      <c r="F310" s="3"/>
      <c r="G310" s="3"/>
      <c r="H310" s="12"/>
      <c r="J310" s="3"/>
      <c r="K310" s="12"/>
      <c r="L310" s="3"/>
      <c r="M310" s="12"/>
      <c r="Q310" s="12"/>
      <c r="R310" s="12"/>
      <c r="T310" s="565"/>
      <c r="U310" s="565"/>
      <c r="V310" s="565"/>
      <c r="W310" s="565"/>
    </row>
    <row r="311">
      <c r="C311" s="12"/>
      <c r="D311" s="3"/>
      <c r="E311" s="112"/>
      <c r="F311" s="3"/>
      <c r="G311" s="3"/>
      <c r="H311" s="12"/>
      <c r="J311" s="3"/>
      <c r="K311" s="12"/>
      <c r="L311" s="3"/>
      <c r="M311" s="12"/>
      <c r="Q311" s="12"/>
      <c r="R311" s="12"/>
      <c r="T311" s="565"/>
      <c r="U311" s="565"/>
      <c r="V311" s="565"/>
      <c r="W311" s="565"/>
    </row>
    <row r="312">
      <c r="C312" s="12"/>
      <c r="D312" s="3"/>
      <c r="E312" s="112"/>
      <c r="F312" s="3"/>
      <c r="G312" s="3"/>
      <c r="H312" s="12"/>
      <c r="J312" s="3"/>
      <c r="K312" s="12"/>
      <c r="L312" s="3"/>
      <c r="M312" s="12"/>
      <c r="Q312" s="12"/>
      <c r="R312" s="12"/>
      <c r="T312" s="565"/>
      <c r="U312" s="565"/>
      <c r="V312" s="565"/>
      <c r="W312" s="565"/>
    </row>
    <row r="313">
      <c r="C313" s="12"/>
      <c r="D313" s="3"/>
      <c r="E313" s="112"/>
      <c r="F313" s="3"/>
      <c r="G313" s="3"/>
      <c r="H313" s="12"/>
      <c r="J313" s="3"/>
      <c r="K313" s="12"/>
      <c r="L313" s="3"/>
      <c r="M313" s="12"/>
      <c r="Q313" s="12"/>
      <c r="R313" s="12"/>
      <c r="T313" s="565"/>
      <c r="U313" s="565"/>
      <c r="V313" s="565"/>
      <c r="W313" s="565"/>
    </row>
    <row r="314">
      <c r="C314" s="12"/>
      <c r="D314" s="3"/>
      <c r="E314" s="112"/>
      <c r="F314" s="3"/>
      <c r="G314" s="3"/>
      <c r="H314" s="12"/>
      <c r="J314" s="3"/>
      <c r="K314" s="12"/>
      <c r="L314" s="3"/>
      <c r="M314" s="12"/>
      <c r="Q314" s="12"/>
      <c r="R314" s="12"/>
      <c r="T314" s="565"/>
      <c r="U314" s="565"/>
      <c r="V314" s="565"/>
      <c r="W314" s="565"/>
    </row>
    <row r="315">
      <c r="C315" s="12"/>
      <c r="D315" s="3"/>
      <c r="E315" s="112"/>
      <c r="F315" s="3"/>
      <c r="G315" s="3"/>
      <c r="H315" s="12"/>
      <c r="J315" s="3"/>
      <c r="K315" s="12"/>
      <c r="L315" s="3"/>
      <c r="M315" s="12"/>
      <c r="Q315" s="12"/>
      <c r="R315" s="12"/>
      <c r="T315" s="565"/>
      <c r="U315" s="565"/>
      <c r="V315" s="565"/>
      <c r="W315" s="565"/>
    </row>
    <row r="316">
      <c r="C316" s="12"/>
      <c r="D316" s="3"/>
      <c r="E316" s="112"/>
      <c r="F316" s="3"/>
      <c r="G316" s="3"/>
      <c r="H316" s="12"/>
      <c r="J316" s="3"/>
      <c r="K316" s="12"/>
      <c r="L316" s="3"/>
      <c r="M316" s="12"/>
      <c r="Q316" s="12"/>
      <c r="R316" s="12"/>
      <c r="T316" s="565"/>
      <c r="U316" s="565"/>
      <c r="V316" s="565"/>
      <c r="W316" s="565"/>
    </row>
    <row r="317">
      <c r="C317" s="12"/>
      <c r="D317" s="3"/>
      <c r="E317" s="112"/>
      <c r="F317" s="3"/>
      <c r="G317" s="3"/>
      <c r="H317" s="12"/>
      <c r="J317" s="3"/>
      <c r="K317" s="12"/>
      <c r="L317" s="3"/>
      <c r="M317" s="12"/>
      <c r="Q317" s="12"/>
      <c r="R317" s="12"/>
      <c r="T317" s="565"/>
      <c r="U317" s="565"/>
      <c r="V317" s="565"/>
      <c r="W317" s="565"/>
    </row>
    <row r="318">
      <c r="C318" s="12"/>
      <c r="D318" s="3"/>
      <c r="E318" s="112"/>
      <c r="F318" s="3"/>
      <c r="G318" s="3"/>
      <c r="H318" s="12"/>
      <c r="J318" s="3"/>
      <c r="K318" s="12"/>
      <c r="L318" s="3"/>
      <c r="M318" s="12"/>
      <c r="Q318" s="12"/>
      <c r="R318" s="12"/>
      <c r="T318" s="565"/>
      <c r="U318" s="565"/>
      <c r="V318" s="565"/>
      <c r="W318" s="565"/>
    </row>
    <row r="319">
      <c r="C319" s="12"/>
      <c r="D319" s="3"/>
      <c r="E319" s="112"/>
      <c r="F319" s="3"/>
      <c r="G319" s="3"/>
      <c r="H319" s="12"/>
      <c r="J319" s="3"/>
      <c r="K319" s="12"/>
      <c r="L319" s="3"/>
      <c r="M319" s="12"/>
      <c r="Q319" s="12"/>
      <c r="R319" s="12"/>
      <c r="T319" s="565"/>
      <c r="U319" s="565"/>
      <c r="V319" s="565"/>
      <c r="W319" s="565"/>
    </row>
    <row r="320">
      <c r="C320" s="12"/>
      <c r="D320" s="3"/>
      <c r="E320" s="112"/>
      <c r="F320" s="3"/>
      <c r="G320" s="3"/>
      <c r="H320" s="12"/>
      <c r="J320" s="3"/>
      <c r="K320" s="12"/>
      <c r="L320" s="3"/>
      <c r="M320" s="12"/>
      <c r="Q320" s="12"/>
      <c r="R320" s="12"/>
      <c r="T320" s="565"/>
      <c r="U320" s="565"/>
      <c r="V320" s="565"/>
      <c r="W320" s="565"/>
    </row>
    <row r="321">
      <c r="C321" s="12"/>
      <c r="D321" s="3"/>
      <c r="E321" s="112"/>
      <c r="F321" s="3"/>
      <c r="G321" s="3"/>
      <c r="H321" s="12"/>
      <c r="J321" s="3"/>
      <c r="K321" s="12"/>
      <c r="L321" s="3"/>
      <c r="M321" s="12"/>
      <c r="Q321" s="12"/>
      <c r="R321" s="12"/>
      <c r="T321" s="565"/>
      <c r="U321" s="565"/>
      <c r="V321" s="565"/>
      <c r="W321" s="565"/>
    </row>
    <row r="322">
      <c r="C322" s="12"/>
      <c r="D322" s="3"/>
      <c r="E322" s="112"/>
      <c r="F322" s="3"/>
      <c r="G322" s="3"/>
      <c r="H322" s="12"/>
      <c r="J322" s="3"/>
      <c r="K322" s="12"/>
      <c r="L322" s="3"/>
      <c r="M322" s="12"/>
      <c r="Q322" s="12"/>
      <c r="R322" s="12"/>
      <c r="T322" s="565"/>
      <c r="U322" s="565"/>
      <c r="V322" s="565"/>
      <c r="W322" s="565"/>
    </row>
    <row r="323">
      <c r="C323" s="12"/>
      <c r="D323" s="3"/>
      <c r="E323" s="112"/>
      <c r="F323" s="3"/>
      <c r="G323" s="3"/>
      <c r="H323" s="12"/>
      <c r="J323" s="3"/>
      <c r="K323" s="12"/>
      <c r="L323" s="3"/>
      <c r="M323" s="12"/>
      <c r="Q323" s="12"/>
      <c r="R323" s="12"/>
      <c r="T323" s="565"/>
      <c r="U323" s="565"/>
      <c r="V323" s="565"/>
      <c r="W323" s="565"/>
    </row>
    <row r="324">
      <c r="C324" s="12"/>
      <c r="D324" s="3"/>
      <c r="E324" s="112"/>
      <c r="F324" s="3"/>
      <c r="G324" s="3"/>
      <c r="H324" s="12"/>
      <c r="J324" s="3"/>
      <c r="K324" s="12"/>
      <c r="L324" s="3"/>
      <c r="M324" s="12"/>
      <c r="Q324" s="12"/>
      <c r="R324" s="12"/>
      <c r="T324" s="565"/>
      <c r="U324" s="565"/>
      <c r="V324" s="565"/>
      <c r="W324" s="565"/>
    </row>
    <row r="325">
      <c r="C325" s="12"/>
      <c r="D325" s="3"/>
      <c r="E325" s="112"/>
      <c r="F325" s="3"/>
      <c r="G325" s="3"/>
      <c r="H325" s="12"/>
      <c r="J325" s="3"/>
      <c r="K325" s="12"/>
      <c r="L325" s="3"/>
      <c r="M325" s="12"/>
      <c r="Q325" s="12"/>
      <c r="R325" s="12"/>
      <c r="T325" s="565"/>
      <c r="U325" s="565"/>
      <c r="V325" s="565"/>
      <c r="W325" s="565"/>
    </row>
    <row r="326">
      <c r="C326" s="12"/>
      <c r="D326" s="3"/>
      <c r="E326" s="112"/>
      <c r="F326" s="3"/>
      <c r="G326" s="3"/>
      <c r="H326" s="12"/>
      <c r="J326" s="3"/>
      <c r="K326" s="12"/>
      <c r="L326" s="3"/>
      <c r="M326" s="12"/>
      <c r="Q326" s="12"/>
      <c r="R326" s="12"/>
      <c r="T326" s="565"/>
      <c r="U326" s="565"/>
      <c r="V326" s="565"/>
      <c r="W326" s="565"/>
    </row>
    <row r="327">
      <c r="C327" s="12"/>
      <c r="D327" s="3"/>
      <c r="E327" s="112"/>
      <c r="F327" s="3"/>
      <c r="G327" s="3"/>
      <c r="H327" s="12"/>
      <c r="J327" s="3"/>
      <c r="K327" s="12"/>
      <c r="L327" s="3"/>
      <c r="M327" s="12"/>
      <c r="Q327" s="12"/>
      <c r="R327" s="12"/>
      <c r="T327" s="565"/>
      <c r="U327" s="565"/>
      <c r="V327" s="565"/>
      <c r="W327" s="565"/>
    </row>
    <row r="328">
      <c r="C328" s="12"/>
      <c r="D328" s="3"/>
      <c r="E328" s="112"/>
      <c r="F328" s="3"/>
      <c r="G328" s="3"/>
      <c r="H328" s="12"/>
      <c r="J328" s="3"/>
      <c r="K328" s="12"/>
      <c r="L328" s="3"/>
      <c r="M328" s="12"/>
      <c r="Q328" s="12"/>
      <c r="R328" s="12"/>
      <c r="T328" s="565"/>
      <c r="U328" s="565"/>
      <c r="V328" s="565"/>
      <c r="W328" s="565"/>
    </row>
    <row r="329">
      <c r="C329" s="12"/>
      <c r="D329" s="3"/>
      <c r="E329" s="112"/>
      <c r="F329" s="3"/>
      <c r="G329" s="3"/>
      <c r="H329" s="12"/>
      <c r="J329" s="3"/>
      <c r="K329" s="12"/>
      <c r="L329" s="3"/>
      <c r="M329" s="12"/>
      <c r="Q329" s="12"/>
      <c r="R329" s="12"/>
      <c r="T329" s="565"/>
      <c r="U329" s="565"/>
      <c r="V329" s="565"/>
      <c r="W329" s="565"/>
    </row>
    <row r="330">
      <c r="C330" s="12"/>
      <c r="D330" s="3"/>
      <c r="E330" s="112"/>
      <c r="F330" s="3"/>
      <c r="G330" s="3"/>
      <c r="H330" s="12"/>
      <c r="J330" s="3"/>
      <c r="K330" s="12"/>
      <c r="L330" s="3"/>
      <c r="M330" s="12"/>
      <c r="Q330" s="12"/>
      <c r="R330" s="12"/>
      <c r="T330" s="565"/>
      <c r="U330" s="565"/>
      <c r="V330" s="565"/>
      <c r="W330" s="565"/>
    </row>
    <row r="331">
      <c r="C331" s="12"/>
      <c r="D331" s="3"/>
      <c r="E331" s="112"/>
      <c r="F331" s="3"/>
      <c r="G331" s="3"/>
      <c r="H331" s="12"/>
      <c r="J331" s="3"/>
      <c r="K331" s="12"/>
      <c r="L331" s="3"/>
      <c r="M331" s="12"/>
      <c r="Q331" s="12"/>
      <c r="R331" s="12"/>
      <c r="T331" s="565"/>
      <c r="U331" s="565"/>
      <c r="V331" s="565"/>
      <c r="W331" s="565"/>
    </row>
    <row r="332">
      <c r="C332" s="12"/>
      <c r="D332" s="3"/>
      <c r="E332" s="112"/>
      <c r="F332" s="3"/>
      <c r="G332" s="3"/>
      <c r="H332" s="12"/>
      <c r="J332" s="3"/>
      <c r="K332" s="12"/>
      <c r="L332" s="3"/>
      <c r="M332" s="12"/>
      <c r="Q332" s="12"/>
      <c r="R332" s="12"/>
      <c r="T332" s="565"/>
      <c r="U332" s="565"/>
      <c r="V332" s="565"/>
      <c r="W332" s="565"/>
    </row>
    <row r="333">
      <c r="C333" s="12"/>
      <c r="D333" s="3"/>
      <c r="E333" s="112"/>
      <c r="F333" s="3"/>
      <c r="G333" s="3"/>
      <c r="H333" s="12"/>
      <c r="J333" s="3"/>
      <c r="K333" s="12"/>
      <c r="L333" s="3"/>
      <c r="M333" s="12"/>
      <c r="Q333" s="12"/>
      <c r="R333" s="12"/>
      <c r="T333" s="565"/>
      <c r="U333" s="565"/>
      <c r="V333" s="565"/>
      <c r="W333" s="565"/>
    </row>
    <row r="334">
      <c r="C334" s="12"/>
      <c r="D334" s="3"/>
      <c r="E334" s="112"/>
      <c r="F334" s="3"/>
      <c r="G334" s="3"/>
      <c r="H334" s="12"/>
      <c r="J334" s="3"/>
      <c r="K334" s="12"/>
      <c r="L334" s="3"/>
      <c r="M334" s="12"/>
      <c r="Q334" s="12"/>
      <c r="R334" s="12"/>
      <c r="T334" s="565"/>
      <c r="U334" s="565"/>
      <c r="V334" s="565"/>
      <c r="W334" s="565"/>
    </row>
    <row r="335">
      <c r="C335" s="12"/>
      <c r="D335" s="3"/>
      <c r="E335" s="112"/>
      <c r="F335" s="3"/>
      <c r="G335" s="3"/>
      <c r="H335" s="12"/>
      <c r="J335" s="3"/>
      <c r="K335" s="12"/>
      <c r="L335" s="3"/>
      <c r="M335" s="12"/>
      <c r="Q335" s="12"/>
      <c r="R335" s="12"/>
      <c r="T335" s="565"/>
      <c r="U335" s="565"/>
      <c r="V335" s="565"/>
      <c r="W335" s="565"/>
    </row>
    <row r="336">
      <c r="C336" s="12"/>
      <c r="D336" s="3"/>
      <c r="E336" s="112"/>
      <c r="F336" s="3"/>
      <c r="G336" s="3"/>
      <c r="H336" s="12"/>
      <c r="J336" s="3"/>
      <c r="K336" s="12"/>
      <c r="L336" s="3"/>
      <c r="M336" s="12"/>
      <c r="Q336" s="12"/>
      <c r="R336" s="12"/>
      <c r="T336" s="565"/>
      <c r="U336" s="565"/>
      <c r="V336" s="565"/>
      <c r="W336" s="565"/>
    </row>
    <row r="337">
      <c r="C337" s="12"/>
      <c r="D337" s="3"/>
      <c r="E337" s="112"/>
      <c r="F337" s="3"/>
      <c r="G337" s="3"/>
      <c r="H337" s="12"/>
      <c r="J337" s="3"/>
      <c r="K337" s="12"/>
      <c r="L337" s="3"/>
      <c r="M337" s="12"/>
      <c r="Q337" s="12"/>
      <c r="R337" s="12"/>
      <c r="T337" s="565"/>
      <c r="U337" s="565"/>
      <c r="V337" s="565"/>
      <c r="W337" s="565"/>
    </row>
    <row r="338">
      <c r="C338" s="12"/>
      <c r="D338" s="3"/>
      <c r="E338" s="112"/>
      <c r="F338" s="3"/>
      <c r="G338" s="3"/>
      <c r="H338" s="12"/>
      <c r="J338" s="3"/>
      <c r="K338" s="12"/>
      <c r="L338" s="3"/>
      <c r="M338" s="12"/>
      <c r="Q338" s="12"/>
      <c r="R338" s="12"/>
      <c r="T338" s="565"/>
      <c r="U338" s="565"/>
      <c r="V338" s="565"/>
      <c r="W338" s="565"/>
    </row>
    <row r="339">
      <c r="C339" s="12"/>
      <c r="D339" s="3"/>
      <c r="E339" s="112"/>
      <c r="F339" s="3"/>
      <c r="G339" s="3"/>
      <c r="H339" s="12"/>
      <c r="J339" s="3"/>
      <c r="K339" s="12"/>
      <c r="L339" s="3"/>
      <c r="M339" s="12"/>
      <c r="Q339" s="12"/>
      <c r="R339" s="12"/>
      <c r="T339" s="565"/>
      <c r="U339" s="565"/>
      <c r="V339" s="565"/>
      <c r="W339" s="565"/>
    </row>
    <row r="340">
      <c r="C340" s="12"/>
      <c r="D340" s="3"/>
      <c r="E340" s="112"/>
      <c r="F340" s="3"/>
      <c r="G340" s="3"/>
      <c r="H340" s="12"/>
      <c r="J340" s="3"/>
      <c r="K340" s="12"/>
      <c r="L340" s="3"/>
      <c r="M340" s="12"/>
      <c r="Q340" s="12"/>
      <c r="R340" s="12"/>
      <c r="T340" s="565"/>
      <c r="U340" s="565"/>
      <c r="V340" s="565"/>
      <c r="W340" s="565"/>
    </row>
    <row r="341">
      <c r="C341" s="12"/>
      <c r="D341" s="3"/>
      <c r="E341" s="112"/>
      <c r="F341" s="3"/>
      <c r="G341" s="3"/>
      <c r="H341" s="12"/>
      <c r="J341" s="3"/>
      <c r="K341" s="12"/>
      <c r="L341" s="3"/>
      <c r="M341" s="12"/>
      <c r="Q341" s="12"/>
      <c r="R341" s="12"/>
      <c r="T341" s="565"/>
      <c r="U341" s="565"/>
      <c r="V341" s="565"/>
      <c r="W341" s="565"/>
    </row>
    <row r="342">
      <c r="C342" s="12"/>
      <c r="D342" s="3"/>
      <c r="E342" s="112"/>
      <c r="F342" s="3"/>
      <c r="G342" s="3"/>
      <c r="H342" s="12"/>
      <c r="J342" s="3"/>
      <c r="K342" s="12"/>
      <c r="L342" s="3"/>
      <c r="M342" s="12"/>
      <c r="Q342" s="12"/>
      <c r="R342" s="12"/>
      <c r="T342" s="565"/>
      <c r="U342" s="565"/>
      <c r="V342" s="565"/>
      <c r="W342" s="565"/>
    </row>
    <row r="343">
      <c r="C343" s="12"/>
      <c r="D343" s="3"/>
      <c r="E343" s="112"/>
      <c r="F343" s="3"/>
      <c r="G343" s="3"/>
      <c r="H343" s="12"/>
      <c r="J343" s="3"/>
      <c r="K343" s="12"/>
      <c r="L343" s="3"/>
      <c r="M343" s="12"/>
      <c r="Q343" s="12"/>
      <c r="R343" s="12"/>
      <c r="T343" s="565"/>
      <c r="U343" s="565"/>
      <c r="V343" s="565"/>
      <c r="W343" s="565"/>
    </row>
    <row r="344">
      <c r="C344" s="12"/>
      <c r="D344" s="3"/>
      <c r="E344" s="112"/>
      <c r="F344" s="3"/>
      <c r="G344" s="3"/>
      <c r="H344" s="12"/>
      <c r="J344" s="3"/>
      <c r="K344" s="12"/>
      <c r="L344" s="3"/>
      <c r="M344" s="12"/>
      <c r="Q344" s="12"/>
      <c r="R344" s="12"/>
      <c r="T344" s="565"/>
      <c r="U344" s="565"/>
      <c r="V344" s="565"/>
      <c r="W344" s="565"/>
    </row>
    <row r="345">
      <c r="C345" s="12"/>
      <c r="D345" s="3"/>
      <c r="E345" s="112"/>
      <c r="F345" s="3"/>
      <c r="G345" s="3"/>
      <c r="H345" s="12"/>
      <c r="J345" s="3"/>
      <c r="K345" s="12"/>
      <c r="L345" s="3"/>
      <c r="M345" s="12"/>
      <c r="Q345" s="12"/>
      <c r="R345" s="12"/>
      <c r="T345" s="565"/>
      <c r="U345" s="565"/>
      <c r="V345" s="565"/>
      <c r="W345" s="565"/>
    </row>
    <row r="346">
      <c r="C346" s="12"/>
      <c r="D346" s="3"/>
      <c r="E346" s="112"/>
      <c r="F346" s="3"/>
      <c r="G346" s="3"/>
      <c r="H346" s="12"/>
      <c r="J346" s="3"/>
      <c r="K346" s="12"/>
      <c r="L346" s="3"/>
      <c r="M346" s="12"/>
      <c r="Q346" s="12"/>
      <c r="R346" s="12"/>
      <c r="T346" s="565"/>
      <c r="U346" s="565"/>
      <c r="V346" s="565"/>
      <c r="W346" s="565"/>
    </row>
    <row r="347">
      <c r="C347" s="12"/>
      <c r="D347" s="3"/>
      <c r="E347" s="112"/>
      <c r="F347" s="3"/>
      <c r="G347" s="3"/>
      <c r="H347" s="12"/>
      <c r="J347" s="3"/>
      <c r="K347" s="12"/>
      <c r="L347" s="3"/>
      <c r="M347" s="12"/>
      <c r="Q347" s="12"/>
      <c r="R347" s="12"/>
      <c r="T347" s="565"/>
      <c r="U347" s="565"/>
      <c r="V347" s="565"/>
      <c r="W347" s="565"/>
    </row>
    <row r="348">
      <c r="C348" s="12"/>
      <c r="D348" s="3"/>
      <c r="E348" s="112"/>
      <c r="F348" s="3"/>
      <c r="G348" s="3"/>
      <c r="H348" s="12"/>
      <c r="J348" s="3"/>
      <c r="K348" s="12"/>
      <c r="L348" s="3"/>
      <c r="M348" s="12"/>
      <c r="Q348" s="12"/>
      <c r="R348" s="12"/>
      <c r="T348" s="565"/>
      <c r="U348" s="565"/>
      <c r="V348" s="565"/>
      <c r="W348" s="565"/>
    </row>
    <row r="349">
      <c r="C349" s="12"/>
      <c r="D349" s="3"/>
      <c r="E349" s="112"/>
      <c r="F349" s="3"/>
      <c r="G349" s="3"/>
      <c r="H349" s="12"/>
      <c r="J349" s="3"/>
      <c r="K349" s="12"/>
      <c r="L349" s="3"/>
      <c r="M349" s="12"/>
      <c r="Q349" s="12"/>
      <c r="R349" s="12"/>
      <c r="T349" s="565"/>
      <c r="U349" s="565"/>
      <c r="V349" s="565"/>
      <c r="W349" s="565"/>
    </row>
    <row r="350">
      <c r="C350" s="12"/>
      <c r="D350" s="3"/>
      <c r="E350" s="112"/>
      <c r="F350" s="3"/>
      <c r="G350" s="3"/>
      <c r="H350" s="12"/>
      <c r="J350" s="3"/>
      <c r="K350" s="12"/>
      <c r="L350" s="3"/>
      <c r="M350" s="12"/>
      <c r="Q350" s="12"/>
      <c r="R350" s="12"/>
      <c r="T350" s="565"/>
      <c r="U350" s="565"/>
      <c r="V350" s="565"/>
      <c r="W350" s="565"/>
    </row>
    <row r="351">
      <c r="C351" s="12"/>
      <c r="D351" s="3"/>
      <c r="E351" s="112"/>
      <c r="F351" s="3"/>
      <c r="G351" s="3"/>
      <c r="H351" s="12"/>
      <c r="J351" s="3"/>
      <c r="K351" s="12"/>
      <c r="L351" s="3"/>
      <c r="M351" s="12"/>
      <c r="Q351" s="12"/>
      <c r="R351" s="12"/>
      <c r="T351" s="565"/>
      <c r="U351" s="565"/>
      <c r="V351" s="565"/>
      <c r="W351" s="565"/>
    </row>
    <row r="352">
      <c r="C352" s="12"/>
      <c r="D352" s="3"/>
      <c r="E352" s="112"/>
      <c r="F352" s="3"/>
      <c r="G352" s="3"/>
      <c r="H352" s="12"/>
      <c r="J352" s="3"/>
      <c r="K352" s="12"/>
      <c r="L352" s="3"/>
      <c r="M352" s="12"/>
      <c r="Q352" s="12"/>
      <c r="R352" s="12"/>
      <c r="T352" s="565"/>
      <c r="U352" s="565"/>
      <c r="V352" s="565"/>
      <c r="W352" s="565"/>
    </row>
    <row r="353">
      <c r="C353" s="12"/>
      <c r="D353" s="3"/>
      <c r="E353" s="112"/>
      <c r="F353" s="3"/>
      <c r="G353" s="3"/>
      <c r="H353" s="12"/>
      <c r="J353" s="3"/>
      <c r="K353" s="12"/>
      <c r="L353" s="3"/>
      <c r="M353" s="12"/>
      <c r="Q353" s="12"/>
      <c r="R353" s="12"/>
      <c r="T353" s="565"/>
      <c r="U353" s="565"/>
      <c r="V353" s="565"/>
      <c r="W353" s="565"/>
    </row>
    <row r="354">
      <c r="C354" s="12"/>
      <c r="D354" s="3"/>
      <c r="E354" s="112"/>
      <c r="F354" s="3"/>
      <c r="G354" s="3"/>
      <c r="H354" s="12"/>
      <c r="J354" s="3"/>
      <c r="K354" s="12"/>
      <c r="L354" s="3"/>
      <c r="M354" s="12"/>
      <c r="Q354" s="12"/>
      <c r="R354" s="12"/>
      <c r="T354" s="565"/>
      <c r="U354" s="565"/>
      <c r="V354" s="565"/>
      <c r="W354" s="565"/>
    </row>
    <row r="355">
      <c r="C355" s="12"/>
      <c r="D355" s="3"/>
      <c r="E355" s="112"/>
      <c r="F355" s="3"/>
      <c r="G355" s="3"/>
      <c r="H355" s="12"/>
      <c r="J355" s="3"/>
      <c r="K355" s="12"/>
      <c r="L355" s="3"/>
      <c r="M355" s="12"/>
      <c r="Q355" s="12"/>
      <c r="R355" s="12"/>
      <c r="T355" s="565"/>
      <c r="U355" s="565"/>
      <c r="V355" s="565"/>
      <c r="W355" s="565"/>
    </row>
    <row r="356">
      <c r="C356" s="12"/>
      <c r="D356" s="3"/>
      <c r="E356" s="112"/>
      <c r="F356" s="3"/>
      <c r="G356" s="3"/>
      <c r="H356" s="12"/>
      <c r="J356" s="3"/>
      <c r="K356" s="12"/>
      <c r="L356" s="3"/>
      <c r="M356" s="12"/>
      <c r="Q356" s="12"/>
      <c r="R356" s="12"/>
      <c r="T356" s="565"/>
      <c r="U356" s="565"/>
      <c r="V356" s="565"/>
      <c r="W356" s="565"/>
    </row>
    <row r="357">
      <c r="C357" s="12"/>
      <c r="D357" s="3"/>
      <c r="E357" s="112"/>
      <c r="F357" s="3"/>
      <c r="G357" s="3"/>
      <c r="H357" s="12"/>
      <c r="J357" s="3"/>
      <c r="K357" s="12"/>
      <c r="L357" s="3"/>
      <c r="M357" s="12"/>
      <c r="Q357" s="12"/>
      <c r="R357" s="12"/>
      <c r="T357" s="565"/>
      <c r="U357" s="565"/>
      <c r="V357" s="565"/>
      <c r="W357" s="565"/>
    </row>
    <row r="358">
      <c r="C358" s="12"/>
      <c r="D358" s="3"/>
      <c r="E358" s="112"/>
      <c r="F358" s="3"/>
      <c r="G358" s="3"/>
      <c r="H358" s="12"/>
      <c r="J358" s="3"/>
      <c r="K358" s="12"/>
      <c r="L358" s="3"/>
      <c r="M358" s="12"/>
      <c r="Q358" s="12"/>
      <c r="R358" s="12"/>
      <c r="T358" s="565"/>
      <c r="U358" s="565"/>
      <c r="V358" s="565"/>
      <c r="W358" s="565"/>
    </row>
    <row r="359">
      <c r="C359" s="12"/>
      <c r="D359" s="3"/>
      <c r="E359" s="112"/>
      <c r="F359" s="3"/>
      <c r="G359" s="3"/>
      <c r="H359" s="12"/>
      <c r="J359" s="3"/>
      <c r="K359" s="12"/>
      <c r="L359" s="3"/>
      <c r="M359" s="12"/>
      <c r="Q359" s="12"/>
      <c r="R359" s="12"/>
      <c r="T359" s="565"/>
      <c r="U359" s="565"/>
      <c r="V359" s="565"/>
      <c r="W359" s="565"/>
    </row>
    <row r="360">
      <c r="C360" s="12"/>
      <c r="D360" s="3"/>
      <c r="E360" s="112"/>
      <c r="F360" s="3"/>
      <c r="G360" s="3"/>
      <c r="H360" s="12"/>
      <c r="J360" s="3"/>
      <c r="K360" s="12"/>
      <c r="L360" s="3"/>
      <c r="M360" s="12"/>
      <c r="Q360" s="12"/>
      <c r="R360" s="12"/>
      <c r="T360" s="565"/>
      <c r="U360" s="565"/>
      <c r="V360" s="565"/>
      <c r="W360" s="565"/>
    </row>
    <row r="361">
      <c r="C361" s="12"/>
      <c r="D361" s="3"/>
      <c r="E361" s="112"/>
      <c r="F361" s="3"/>
      <c r="G361" s="3"/>
      <c r="H361" s="12"/>
      <c r="J361" s="3"/>
      <c r="K361" s="12"/>
      <c r="L361" s="3"/>
      <c r="M361" s="12"/>
      <c r="Q361" s="12"/>
      <c r="R361" s="12"/>
      <c r="T361" s="565"/>
      <c r="U361" s="565"/>
      <c r="V361" s="565"/>
      <c r="W361" s="565"/>
    </row>
    <row r="362">
      <c r="C362" s="12"/>
      <c r="D362" s="3"/>
      <c r="E362" s="112"/>
      <c r="F362" s="3"/>
      <c r="G362" s="3"/>
      <c r="H362" s="12"/>
      <c r="J362" s="3"/>
      <c r="K362" s="12"/>
      <c r="L362" s="3"/>
      <c r="M362" s="12"/>
      <c r="Q362" s="12"/>
      <c r="R362" s="12"/>
      <c r="T362" s="565"/>
      <c r="U362" s="565"/>
      <c r="V362" s="565"/>
      <c r="W362" s="565"/>
    </row>
    <row r="363">
      <c r="C363" s="12"/>
      <c r="D363" s="3"/>
      <c r="E363" s="112"/>
      <c r="F363" s="3"/>
      <c r="G363" s="3"/>
      <c r="H363" s="12"/>
      <c r="J363" s="3"/>
      <c r="K363" s="12"/>
      <c r="L363" s="3"/>
      <c r="M363" s="12"/>
      <c r="Q363" s="12"/>
      <c r="R363" s="12"/>
      <c r="T363" s="565"/>
      <c r="U363" s="565"/>
      <c r="V363" s="565"/>
      <c r="W363" s="565"/>
    </row>
    <row r="364">
      <c r="C364" s="12"/>
      <c r="D364" s="3"/>
      <c r="E364" s="112"/>
      <c r="F364" s="3"/>
      <c r="G364" s="3"/>
      <c r="H364" s="12"/>
      <c r="J364" s="3"/>
      <c r="K364" s="12"/>
      <c r="L364" s="3"/>
      <c r="M364" s="12"/>
      <c r="Q364" s="12"/>
      <c r="R364" s="12"/>
      <c r="T364" s="565"/>
      <c r="U364" s="565"/>
      <c r="V364" s="565"/>
      <c r="W364" s="565"/>
    </row>
    <row r="365">
      <c r="C365" s="12"/>
      <c r="D365" s="3"/>
      <c r="E365" s="112"/>
      <c r="F365" s="3"/>
      <c r="G365" s="3"/>
      <c r="H365" s="12"/>
      <c r="J365" s="3"/>
      <c r="K365" s="12"/>
      <c r="L365" s="3"/>
      <c r="M365" s="12"/>
      <c r="Q365" s="12"/>
      <c r="R365" s="12"/>
      <c r="T365" s="565"/>
      <c r="U365" s="565"/>
      <c r="V365" s="565"/>
      <c r="W365" s="565"/>
    </row>
    <row r="366">
      <c r="C366" s="12"/>
      <c r="D366" s="3"/>
      <c r="E366" s="112"/>
      <c r="F366" s="3"/>
      <c r="G366" s="3"/>
      <c r="H366" s="12"/>
      <c r="J366" s="3"/>
      <c r="K366" s="12"/>
      <c r="L366" s="3"/>
      <c r="M366" s="12"/>
      <c r="Q366" s="12"/>
      <c r="R366" s="12"/>
      <c r="T366" s="565"/>
      <c r="U366" s="565"/>
      <c r="V366" s="565"/>
      <c r="W366" s="565"/>
    </row>
    <row r="367">
      <c r="C367" s="12"/>
      <c r="D367" s="3"/>
      <c r="E367" s="112"/>
      <c r="F367" s="3"/>
      <c r="G367" s="3"/>
      <c r="H367" s="12"/>
      <c r="J367" s="3"/>
      <c r="K367" s="12"/>
      <c r="L367" s="3"/>
      <c r="M367" s="12"/>
      <c r="Q367" s="12"/>
      <c r="R367" s="12"/>
      <c r="T367" s="565"/>
      <c r="U367" s="565"/>
      <c r="V367" s="565"/>
      <c r="W367" s="565"/>
    </row>
    <row r="368">
      <c r="C368" s="12"/>
      <c r="D368" s="3"/>
      <c r="E368" s="112"/>
      <c r="F368" s="3"/>
      <c r="G368" s="3"/>
      <c r="H368" s="12"/>
      <c r="J368" s="3"/>
      <c r="K368" s="12"/>
      <c r="L368" s="3"/>
      <c r="M368" s="12"/>
      <c r="Q368" s="12"/>
      <c r="R368" s="12"/>
      <c r="T368" s="565"/>
      <c r="U368" s="565"/>
      <c r="V368" s="565"/>
      <c r="W368" s="565"/>
    </row>
    <row r="369">
      <c r="C369" s="12"/>
      <c r="D369" s="3"/>
      <c r="E369" s="112"/>
      <c r="F369" s="3"/>
      <c r="G369" s="3"/>
      <c r="H369" s="12"/>
      <c r="J369" s="3"/>
      <c r="K369" s="12"/>
      <c r="L369" s="3"/>
      <c r="M369" s="12"/>
      <c r="Q369" s="12"/>
      <c r="R369" s="12"/>
      <c r="T369" s="565"/>
      <c r="U369" s="565"/>
      <c r="V369" s="565"/>
      <c r="W369" s="565"/>
    </row>
    <row r="370">
      <c r="C370" s="12"/>
      <c r="D370" s="3"/>
      <c r="E370" s="112"/>
      <c r="F370" s="3"/>
      <c r="G370" s="3"/>
      <c r="H370" s="12"/>
      <c r="J370" s="3"/>
      <c r="K370" s="12"/>
      <c r="L370" s="3"/>
      <c r="M370" s="12"/>
      <c r="Q370" s="12"/>
      <c r="R370" s="12"/>
      <c r="T370" s="565"/>
      <c r="U370" s="565"/>
      <c r="V370" s="565"/>
      <c r="W370" s="565"/>
    </row>
    <row r="371">
      <c r="C371" s="12"/>
      <c r="D371" s="3"/>
      <c r="E371" s="112"/>
      <c r="F371" s="3"/>
      <c r="G371" s="3"/>
      <c r="H371" s="12"/>
      <c r="J371" s="3"/>
      <c r="K371" s="12"/>
      <c r="L371" s="3"/>
      <c r="M371" s="12"/>
      <c r="Q371" s="12"/>
      <c r="R371" s="12"/>
      <c r="T371" s="565"/>
      <c r="U371" s="565"/>
      <c r="V371" s="565"/>
      <c r="W371" s="565"/>
    </row>
    <row r="372">
      <c r="C372" s="12"/>
      <c r="D372" s="3"/>
      <c r="E372" s="112"/>
      <c r="F372" s="3"/>
      <c r="G372" s="3"/>
      <c r="H372" s="12"/>
      <c r="J372" s="3"/>
      <c r="K372" s="12"/>
      <c r="L372" s="3"/>
      <c r="M372" s="12"/>
      <c r="Q372" s="12"/>
      <c r="R372" s="12"/>
      <c r="T372" s="565"/>
      <c r="U372" s="565"/>
      <c r="V372" s="565"/>
      <c r="W372" s="565"/>
    </row>
    <row r="373">
      <c r="C373" s="12"/>
      <c r="D373" s="3"/>
      <c r="E373" s="112"/>
      <c r="F373" s="3"/>
      <c r="G373" s="3"/>
      <c r="H373" s="12"/>
      <c r="J373" s="3"/>
      <c r="K373" s="12"/>
      <c r="L373" s="3"/>
      <c r="M373" s="12"/>
      <c r="Q373" s="12"/>
      <c r="R373" s="12"/>
      <c r="T373" s="565"/>
      <c r="U373" s="565"/>
      <c r="V373" s="565"/>
      <c r="W373" s="565"/>
    </row>
    <row r="374">
      <c r="C374" s="12"/>
      <c r="D374" s="3"/>
      <c r="E374" s="112"/>
      <c r="F374" s="3"/>
      <c r="G374" s="3"/>
      <c r="H374" s="12"/>
      <c r="J374" s="3"/>
      <c r="K374" s="12"/>
      <c r="L374" s="3"/>
      <c r="M374" s="12"/>
      <c r="Q374" s="12"/>
      <c r="R374" s="12"/>
      <c r="T374" s="565"/>
      <c r="U374" s="565"/>
      <c r="V374" s="565"/>
      <c r="W374" s="565"/>
    </row>
    <row r="375">
      <c r="C375" s="12"/>
      <c r="D375" s="3"/>
      <c r="E375" s="112"/>
      <c r="F375" s="3"/>
      <c r="G375" s="3"/>
      <c r="H375" s="12"/>
      <c r="J375" s="3"/>
      <c r="K375" s="12"/>
      <c r="L375" s="3"/>
      <c r="M375" s="12"/>
      <c r="Q375" s="12"/>
      <c r="R375" s="12"/>
      <c r="T375" s="565"/>
      <c r="U375" s="565"/>
      <c r="V375" s="565"/>
      <c r="W375" s="565"/>
    </row>
    <row r="376">
      <c r="C376" s="12"/>
      <c r="D376" s="3"/>
      <c r="E376" s="112"/>
      <c r="F376" s="3"/>
      <c r="G376" s="3"/>
      <c r="H376" s="12"/>
      <c r="J376" s="3"/>
      <c r="K376" s="12"/>
      <c r="L376" s="3"/>
      <c r="M376" s="12"/>
      <c r="Q376" s="12"/>
      <c r="R376" s="12"/>
      <c r="T376" s="565"/>
      <c r="U376" s="565"/>
      <c r="V376" s="565"/>
      <c r="W376" s="565"/>
    </row>
    <row r="377">
      <c r="C377" s="12"/>
      <c r="D377" s="3"/>
      <c r="E377" s="112"/>
      <c r="F377" s="3"/>
      <c r="G377" s="3"/>
      <c r="H377" s="12"/>
      <c r="J377" s="3"/>
      <c r="K377" s="12"/>
      <c r="L377" s="3"/>
      <c r="M377" s="12"/>
      <c r="Q377" s="12"/>
      <c r="R377" s="12"/>
      <c r="T377" s="565"/>
      <c r="U377" s="565"/>
      <c r="V377" s="565"/>
      <c r="W377" s="565"/>
    </row>
    <row r="378">
      <c r="C378" s="12"/>
      <c r="D378" s="3"/>
      <c r="E378" s="112"/>
      <c r="F378" s="3"/>
      <c r="G378" s="3"/>
      <c r="H378" s="12"/>
      <c r="J378" s="3"/>
      <c r="K378" s="12"/>
      <c r="L378" s="3"/>
      <c r="M378" s="12"/>
      <c r="Q378" s="12"/>
      <c r="R378" s="12"/>
      <c r="T378" s="565"/>
      <c r="U378" s="565"/>
      <c r="V378" s="565"/>
      <c r="W378" s="565"/>
    </row>
    <row r="379">
      <c r="C379" s="12"/>
      <c r="D379" s="3"/>
      <c r="E379" s="112"/>
      <c r="F379" s="3"/>
      <c r="G379" s="3"/>
      <c r="H379" s="12"/>
      <c r="J379" s="3"/>
      <c r="K379" s="12"/>
      <c r="L379" s="3"/>
      <c r="M379" s="12"/>
      <c r="Q379" s="12"/>
      <c r="R379" s="12"/>
      <c r="T379" s="565"/>
      <c r="U379" s="565"/>
      <c r="V379" s="565"/>
      <c r="W379" s="565"/>
    </row>
    <row r="380">
      <c r="C380" s="12"/>
      <c r="D380" s="3"/>
      <c r="E380" s="112"/>
      <c r="F380" s="3"/>
      <c r="G380" s="3"/>
      <c r="H380" s="12"/>
      <c r="J380" s="3"/>
      <c r="K380" s="12"/>
      <c r="L380" s="3"/>
      <c r="M380" s="12"/>
      <c r="Q380" s="12"/>
      <c r="R380" s="12"/>
      <c r="T380" s="565"/>
      <c r="U380" s="565"/>
      <c r="V380" s="565"/>
      <c r="W380" s="565"/>
    </row>
    <row r="381">
      <c r="C381" s="12"/>
      <c r="D381" s="3"/>
      <c r="E381" s="112"/>
      <c r="F381" s="3"/>
      <c r="G381" s="3"/>
      <c r="H381" s="12"/>
      <c r="J381" s="3"/>
      <c r="K381" s="12"/>
      <c r="L381" s="3"/>
      <c r="M381" s="12"/>
      <c r="Q381" s="12"/>
      <c r="R381" s="12"/>
      <c r="T381" s="565"/>
      <c r="U381" s="565"/>
      <c r="V381" s="565"/>
      <c r="W381" s="565"/>
    </row>
    <row r="382">
      <c r="C382" s="12"/>
      <c r="D382" s="3"/>
      <c r="E382" s="112"/>
      <c r="F382" s="3"/>
      <c r="G382" s="3"/>
      <c r="H382" s="12"/>
      <c r="J382" s="3"/>
      <c r="K382" s="12"/>
      <c r="L382" s="3"/>
      <c r="M382" s="12"/>
      <c r="Q382" s="12"/>
      <c r="R382" s="12"/>
      <c r="T382" s="565"/>
      <c r="U382" s="565"/>
      <c r="V382" s="565"/>
      <c r="W382" s="565"/>
    </row>
    <row r="383">
      <c r="C383" s="12"/>
      <c r="D383" s="3"/>
      <c r="E383" s="112"/>
      <c r="F383" s="3"/>
      <c r="G383" s="3"/>
      <c r="H383" s="12"/>
      <c r="J383" s="3"/>
      <c r="K383" s="12"/>
      <c r="L383" s="3"/>
      <c r="M383" s="12"/>
      <c r="Q383" s="12"/>
      <c r="R383" s="12"/>
      <c r="T383" s="565"/>
      <c r="U383" s="565"/>
      <c r="V383" s="565"/>
      <c r="W383" s="565"/>
    </row>
    <row r="384">
      <c r="C384" s="12"/>
      <c r="D384" s="3"/>
      <c r="E384" s="112"/>
      <c r="F384" s="3"/>
      <c r="G384" s="3"/>
      <c r="H384" s="12"/>
      <c r="J384" s="3"/>
      <c r="K384" s="12"/>
      <c r="L384" s="3"/>
      <c r="M384" s="12"/>
      <c r="Q384" s="12"/>
      <c r="R384" s="12"/>
      <c r="T384" s="565"/>
      <c r="U384" s="565"/>
      <c r="V384" s="565"/>
      <c r="W384" s="565"/>
    </row>
    <row r="385">
      <c r="C385" s="12"/>
      <c r="D385" s="3"/>
      <c r="E385" s="112"/>
      <c r="F385" s="3"/>
      <c r="G385" s="3"/>
      <c r="H385" s="12"/>
      <c r="J385" s="3"/>
      <c r="K385" s="12"/>
      <c r="L385" s="3"/>
      <c r="M385" s="12"/>
      <c r="Q385" s="12"/>
      <c r="R385" s="12"/>
      <c r="T385" s="565"/>
      <c r="U385" s="565"/>
      <c r="V385" s="565"/>
      <c r="W385" s="565"/>
    </row>
    <row r="386">
      <c r="C386" s="12"/>
      <c r="D386" s="3"/>
      <c r="E386" s="112"/>
      <c r="F386" s="3"/>
      <c r="G386" s="3"/>
      <c r="H386" s="12"/>
      <c r="J386" s="3"/>
      <c r="K386" s="12"/>
      <c r="L386" s="3"/>
      <c r="M386" s="12"/>
      <c r="Q386" s="12"/>
      <c r="R386" s="12"/>
      <c r="T386" s="565"/>
      <c r="U386" s="565"/>
      <c r="V386" s="565"/>
      <c r="W386" s="565"/>
    </row>
    <row r="387">
      <c r="C387" s="12"/>
      <c r="D387" s="3"/>
      <c r="E387" s="112"/>
      <c r="F387" s="3"/>
      <c r="G387" s="3"/>
      <c r="H387" s="12"/>
      <c r="J387" s="3"/>
      <c r="K387" s="12"/>
      <c r="L387" s="3"/>
      <c r="M387" s="12"/>
      <c r="Q387" s="12"/>
      <c r="R387" s="12"/>
      <c r="T387" s="565"/>
      <c r="U387" s="565"/>
      <c r="V387" s="565"/>
      <c r="W387" s="565"/>
    </row>
    <row r="388">
      <c r="C388" s="12"/>
      <c r="D388" s="3"/>
      <c r="E388" s="112"/>
      <c r="F388" s="3"/>
      <c r="G388" s="3"/>
      <c r="H388" s="12"/>
      <c r="J388" s="3"/>
      <c r="K388" s="12"/>
      <c r="L388" s="3"/>
      <c r="M388" s="12"/>
      <c r="Q388" s="12"/>
      <c r="R388" s="12"/>
      <c r="T388" s="565"/>
      <c r="U388" s="565"/>
      <c r="V388" s="565"/>
      <c r="W388" s="565"/>
    </row>
    <row r="389">
      <c r="C389" s="12"/>
      <c r="D389" s="3"/>
      <c r="E389" s="112"/>
      <c r="F389" s="3"/>
      <c r="G389" s="3"/>
      <c r="H389" s="12"/>
      <c r="J389" s="3"/>
      <c r="K389" s="12"/>
      <c r="L389" s="3"/>
      <c r="M389" s="12"/>
      <c r="Q389" s="12"/>
      <c r="R389" s="12"/>
      <c r="T389" s="565"/>
      <c r="U389" s="565"/>
      <c r="V389" s="565"/>
      <c r="W389" s="565"/>
    </row>
    <row r="390">
      <c r="C390" s="12"/>
      <c r="D390" s="3"/>
      <c r="E390" s="112"/>
      <c r="F390" s="3"/>
      <c r="G390" s="3"/>
      <c r="H390" s="12"/>
      <c r="J390" s="3"/>
      <c r="K390" s="12"/>
      <c r="L390" s="3"/>
      <c r="M390" s="12"/>
      <c r="Q390" s="12"/>
      <c r="R390" s="12"/>
      <c r="T390" s="565"/>
      <c r="U390" s="565"/>
      <c r="V390" s="565"/>
      <c r="W390" s="565"/>
    </row>
    <row r="391">
      <c r="C391" s="12"/>
      <c r="D391" s="3"/>
      <c r="E391" s="112"/>
      <c r="F391" s="3"/>
      <c r="G391" s="3"/>
      <c r="H391" s="12"/>
      <c r="J391" s="3"/>
      <c r="K391" s="12"/>
      <c r="L391" s="3"/>
      <c r="M391" s="12"/>
      <c r="Q391" s="12"/>
      <c r="R391" s="12"/>
      <c r="T391" s="565"/>
      <c r="U391" s="565"/>
      <c r="V391" s="565"/>
      <c r="W391" s="565"/>
    </row>
    <row r="392">
      <c r="C392" s="12"/>
      <c r="D392" s="3"/>
      <c r="E392" s="112"/>
      <c r="F392" s="3"/>
      <c r="G392" s="3"/>
      <c r="H392" s="12"/>
      <c r="J392" s="3"/>
      <c r="K392" s="12"/>
      <c r="L392" s="3"/>
      <c r="M392" s="12"/>
      <c r="Q392" s="12"/>
      <c r="R392" s="12"/>
      <c r="T392" s="565"/>
      <c r="U392" s="565"/>
      <c r="V392" s="565"/>
      <c r="W392" s="565"/>
    </row>
    <row r="393">
      <c r="C393" s="12"/>
      <c r="D393" s="3"/>
      <c r="E393" s="112"/>
      <c r="F393" s="3"/>
      <c r="G393" s="3"/>
      <c r="H393" s="12"/>
      <c r="J393" s="3"/>
      <c r="K393" s="12"/>
      <c r="L393" s="3"/>
      <c r="M393" s="12"/>
      <c r="Q393" s="12"/>
      <c r="R393" s="12"/>
      <c r="T393" s="565"/>
      <c r="U393" s="565"/>
      <c r="V393" s="565"/>
      <c r="W393" s="565"/>
    </row>
    <row r="394">
      <c r="C394" s="12"/>
      <c r="D394" s="3"/>
      <c r="E394" s="112"/>
      <c r="F394" s="3"/>
      <c r="G394" s="3"/>
      <c r="H394" s="12"/>
      <c r="J394" s="3"/>
      <c r="K394" s="12"/>
      <c r="L394" s="3"/>
      <c r="M394" s="12"/>
      <c r="Q394" s="12"/>
      <c r="R394" s="12"/>
      <c r="T394" s="565"/>
      <c r="U394" s="565"/>
      <c r="V394" s="565"/>
      <c r="W394" s="565"/>
    </row>
    <row r="395">
      <c r="C395" s="12"/>
      <c r="D395" s="3"/>
      <c r="E395" s="112"/>
      <c r="F395" s="3"/>
      <c r="G395" s="3"/>
      <c r="H395" s="12"/>
      <c r="J395" s="3"/>
      <c r="K395" s="12"/>
      <c r="L395" s="3"/>
      <c r="M395" s="12"/>
      <c r="Q395" s="12"/>
      <c r="R395" s="12"/>
      <c r="T395" s="565"/>
      <c r="U395" s="565"/>
      <c r="V395" s="565"/>
      <c r="W395" s="565"/>
    </row>
    <row r="396">
      <c r="C396" s="12"/>
      <c r="D396" s="3"/>
      <c r="E396" s="112"/>
      <c r="F396" s="3"/>
      <c r="G396" s="3"/>
      <c r="H396" s="12"/>
      <c r="J396" s="3"/>
      <c r="K396" s="12"/>
      <c r="L396" s="3"/>
      <c r="M396" s="12"/>
      <c r="Q396" s="12"/>
      <c r="R396" s="12"/>
      <c r="T396" s="565"/>
      <c r="U396" s="565"/>
      <c r="V396" s="565"/>
      <c r="W396" s="565"/>
    </row>
    <row r="397">
      <c r="C397" s="12"/>
      <c r="D397" s="3"/>
      <c r="E397" s="112"/>
      <c r="F397" s="3"/>
      <c r="G397" s="3"/>
      <c r="H397" s="12"/>
      <c r="J397" s="3"/>
      <c r="K397" s="12"/>
      <c r="L397" s="3"/>
      <c r="M397" s="12"/>
      <c r="Q397" s="12"/>
      <c r="R397" s="12"/>
      <c r="T397" s="565"/>
      <c r="U397" s="565"/>
      <c r="V397" s="565"/>
      <c r="W397" s="565"/>
    </row>
    <row r="398">
      <c r="C398" s="12"/>
      <c r="D398" s="3"/>
      <c r="E398" s="112"/>
      <c r="F398" s="3"/>
      <c r="G398" s="3"/>
      <c r="H398" s="12"/>
      <c r="J398" s="3"/>
      <c r="K398" s="12"/>
      <c r="L398" s="3"/>
      <c r="M398" s="12"/>
      <c r="Q398" s="12"/>
      <c r="R398" s="12"/>
      <c r="T398" s="565"/>
      <c r="U398" s="565"/>
      <c r="V398" s="565"/>
      <c r="W398" s="565"/>
    </row>
    <row r="399">
      <c r="C399" s="12"/>
      <c r="D399" s="3"/>
      <c r="E399" s="112"/>
      <c r="F399" s="3"/>
      <c r="G399" s="3"/>
      <c r="H399" s="12"/>
      <c r="J399" s="3"/>
      <c r="K399" s="12"/>
      <c r="L399" s="3"/>
      <c r="M399" s="12"/>
      <c r="Q399" s="12"/>
      <c r="R399" s="12"/>
      <c r="T399" s="565"/>
      <c r="U399" s="565"/>
      <c r="V399" s="565"/>
      <c r="W399" s="565"/>
    </row>
    <row r="400">
      <c r="C400" s="12"/>
      <c r="D400" s="3"/>
      <c r="E400" s="112"/>
      <c r="F400" s="3"/>
      <c r="G400" s="3"/>
      <c r="H400" s="12"/>
      <c r="J400" s="3"/>
      <c r="K400" s="12"/>
      <c r="L400" s="3"/>
      <c r="M400" s="12"/>
      <c r="Q400" s="12"/>
      <c r="R400" s="12"/>
      <c r="T400" s="565"/>
      <c r="U400" s="565"/>
      <c r="V400" s="565"/>
      <c r="W400" s="565"/>
    </row>
    <row r="401">
      <c r="C401" s="12"/>
      <c r="D401" s="3"/>
      <c r="E401" s="112"/>
      <c r="F401" s="3"/>
      <c r="G401" s="3"/>
      <c r="H401" s="12"/>
      <c r="J401" s="3"/>
      <c r="K401" s="12"/>
      <c r="L401" s="3"/>
      <c r="M401" s="12"/>
      <c r="Q401" s="12"/>
      <c r="R401" s="12"/>
      <c r="T401" s="565"/>
      <c r="U401" s="565"/>
      <c r="V401" s="565"/>
      <c r="W401" s="565"/>
    </row>
    <row r="402">
      <c r="C402" s="12"/>
      <c r="D402" s="3"/>
      <c r="E402" s="112"/>
      <c r="F402" s="3"/>
      <c r="G402" s="3"/>
      <c r="H402" s="12"/>
      <c r="J402" s="3"/>
      <c r="K402" s="12"/>
      <c r="L402" s="3"/>
      <c r="M402" s="12"/>
      <c r="Q402" s="12"/>
      <c r="R402" s="12"/>
      <c r="T402" s="565"/>
      <c r="U402" s="565"/>
      <c r="V402" s="565"/>
      <c r="W402" s="565"/>
    </row>
    <row r="403">
      <c r="C403" s="12"/>
      <c r="D403" s="3"/>
      <c r="E403" s="112"/>
      <c r="F403" s="3"/>
      <c r="G403" s="3"/>
      <c r="H403" s="12"/>
      <c r="J403" s="3"/>
      <c r="K403" s="12"/>
      <c r="L403" s="3"/>
      <c r="M403" s="12"/>
      <c r="Q403" s="12"/>
      <c r="R403" s="12"/>
      <c r="T403" s="565"/>
      <c r="U403" s="565"/>
      <c r="V403" s="565"/>
      <c r="W403" s="565"/>
    </row>
    <row r="404">
      <c r="C404" s="12"/>
      <c r="D404" s="3"/>
      <c r="E404" s="112"/>
      <c r="F404" s="3"/>
      <c r="G404" s="3"/>
      <c r="H404" s="12"/>
      <c r="J404" s="3"/>
      <c r="K404" s="12"/>
      <c r="L404" s="3"/>
      <c r="M404" s="12"/>
      <c r="Q404" s="12"/>
      <c r="R404" s="12"/>
      <c r="T404" s="565"/>
      <c r="U404" s="565"/>
      <c r="V404" s="565"/>
      <c r="W404" s="565"/>
    </row>
    <row r="405">
      <c r="C405" s="12"/>
      <c r="D405" s="3"/>
      <c r="E405" s="112"/>
      <c r="F405" s="3"/>
      <c r="G405" s="3"/>
      <c r="H405" s="12"/>
      <c r="J405" s="3"/>
      <c r="K405" s="12"/>
      <c r="L405" s="3"/>
      <c r="M405" s="12"/>
      <c r="Q405" s="12"/>
      <c r="R405" s="12"/>
      <c r="T405" s="565"/>
      <c r="U405" s="565"/>
      <c r="V405" s="565"/>
      <c r="W405" s="565"/>
    </row>
    <row r="406">
      <c r="C406" s="12"/>
      <c r="D406" s="3"/>
      <c r="E406" s="112"/>
      <c r="F406" s="3"/>
      <c r="G406" s="3"/>
      <c r="H406" s="12"/>
      <c r="J406" s="3"/>
      <c r="K406" s="12"/>
      <c r="L406" s="3"/>
      <c r="M406" s="12"/>
      <c r="Q406" s="12"/>
      <c r="R406" s="12"/>
      <c r="T406" s="565"/>
      <c r="U406" s="565"/>
      <c r="V406" s="565"/>
      <c r="W406" s="565"/>
    </row>
    <row r="407">
      <c r="C407" s="12"/>
      <c r="D407" s="3"/>
      <c r="E407" s="112"/>
      <c r="F407" s="3"/>
      <c r="G407" s="3"/>
      <c r="H407" s="12"/>
      <c r="J407" s="3"/>
      <c r="K407" s="12"/>
      <c r="L407" s="3"/>
      <c r="M407" s="12"/>
      <c r="Q407" s="12"/>
      <c r="R407" s="12"/>
      <c r="T407" s="565"/>
      <c r="U407" s="565"/>
      <c r="V407" s="565"/>
      <c r="W407" s="565"/>
    </row>
    <row r="408">
      <c r="C408" s="12"/>
      <c r="D408" s="3"/>
      <c r="E408" s="112"/>
      <c r="F408" s="3"/>
      <c r="G408" s="3"/>
      <c r="H408" s="12"/>
      <c r="J408" s="3"/>
      <c r="K408" s="12"/>
      <c r="L408" s="3"/>
      <c r="M408" s="12"/>
      <c r="Q408" s="12"/>
      <c r="R408" s="12"/>
      <c r="T408" s="565"/>
      <c r="U408" s="565"/>
      <c r="V408" s="565"/>
      <c r="W408" s="565"/>
    </row>
    <row r="409">
      <c r="C409" s="12"/>
      <c r="D409" s="3"/>
      <c r="E409" s="112"/>
      <c r="F409" s="3"/>
      <c r="G409" s="3"/>
      <c r="H409" s="12"/>
      <c r="J409" s="3"/>
      <c r="K409" s="12"/>
      <c r="L409" s="3"/>
      <c r="M409" s="12"/>
      <c r="Q409" s="12"/>
      <c r="R409" s="12"/>
      <c r="T409" s="565"/>
      <c r="U409" s="565"/>
      <c r="V409" s="565"/>
      <c r="W409" s="565"/>
    </row>
    <row r="410">
      <c r="C410" s="12"/>
      <c r="D410" s="3"/>
      <c r="E410" s="112"/>
      <c r="F410" s="3"/>
      <c r="G410" s="3"/>
      <c r="H410" s="12"/>
      <c r="J410" s="3"/>
      <c r="K410" s="12"/>
      <c r="L410" s="3"/>
      <c r="M410" s="12"/>
      <c r="Q410" s="12"/>
      <c r="R410" s="12"/>
      <c r="T410" s="565"/>
      <c r="U410" s="565"/>
      <c r="V410" s="565"/>
      <c r="W410" s="565"/>
    </row>
    <row r="411">
      <c r="C411" s="12"/>
      <c r="D411" s="3"/>
      <c r="E411" s="112"/>
      <c r="F411" s="3"/>
      <c r="G411" s="3"/>
      <c r="H411" s="12"/>
      <c r="J411" s="3"/>
      <c r="K411" s="12"/>
      <c r="L411" s="3"/>
      <c r="M411" s="12"/>
      <c r="Q411" s="12"/>
      <c r="R411" s="12"/>
      <c r="T411" s="565"/>
      <c r="U411" s="565"/>
      <c r="V411" s="565"/>
      <c r="W411" s="565"/>
    </row>
    <row r="412">
      <c r="C412" s="12"/>
      <c r="D412" s="3"/>
      <c r="E412" s="112"/>
      <c r="F412" s="3"/>
      <c r="G412" s="3"/>
      <c r="H412" s="12"/>
      <c r="J412" s="3"/>
      <c r="K412" s="12"/>
      <c r="L412" s="3"/>
      <c r="M412" s="12"/>
      <c r="Q412" s="12"/>
      <c r="R412" s="12"/>
      <c r="T412" s="565"/>
      <c r="U412" s="565"/>
      <c r="V412" s="565"/>
      <c r="W412" s="565"/>
    </row>
    <row r="413">
      <c r="C413" s="12"/>
      <c r="D413" s="3"/>
      <c r="E413" s="112"/>
      <c r="F413" s="3"/>
      <c r="G413" s="3"/>
      <c r="H413" s="12"/>
      <c r="J413" s="3"/>
      <c r="K413" s="12"/>
      <c r="L413" s="3"/>
      <c r="M413" s="12"/>
      <c r="Q413" s="12"/>
      <c r="R413" s="12"/>
      <c r="T413" s="565"/>
      <c r="U413" s="565"/>
      <c r="V413" s="565"/>
      <c r="W413" s="565"/>
    </row>
    <row r="414">
      <c r="C414" s="12"/>
      <c r="D414" s="3"/>
      <c r="E414" s="112"/>
      <c r="F414" s="3"/>
      <c r="G414" s="3"/>
      <c r="H414" s="12"/>
      <c r="J414" s="3"/>
      <c r="K414" s="12"/>
      <c r="L414" s="3"/>
      <c r="M414" s="12"/>
      <c r="Q414" s="12"/>
      <c r="R414" s="12"/>
      <c r="T414" s="565"/>
      <c r="U414" s="565"/>
      <c r="V414" s="565"/>
      <c r="W414" s="565"/>
    </row>
    <row r="415">
      <c r="C415" s="12"/>
      <c r="D415" s="3"/>
      <c r="E415" s="112"/>
      <c r="F415" s="3"/>
      <c r="G415" s="3"/>
      <c r="H415" s="12"/>
      <c r="J415" s="3"/>
      <c r="K415" s="12"/>
      <c r="L415" s="3"/>
      <c r="M415" s="12"/>
      <c r="Q415" s="12"/>
      <c r="R415" s="12"/>
      <c r="T415" s="565"/>
      <c r="U415" s="565"/>
      <c r="V415" s="565"/>
      <c r="W415" s="565"/>
    </row>
    <row r="416">
      <c r="C416" s="12"/>
      <c r="D416" s="3"/>
      <c r="E416" s="112"/>
      <c r="F416" s="3"/>
      <c r="G416" s="3"/>
      <c r="H416" s="12"/>
      <c r="J416" s="3"/>
      <c r="K416" s="12"/>
      <c r="L416" s="3"/>
      <c r="M416" s="12"/>
      <c r="Q416" s="12"/>
      <c r="R416" s="12"/>
      <c r="T416" s="565"/>
      <c r="U416" s="565"/>
      <c r="V416" s="565"/>
      <c r="W416" s="565"/>
    </row>
    <row r="417">
      <c r="C417" s="12"/>
      <c r="D417" s="3"/>
      <c r="E417" s="112"/>
      <c r="F417" s="3"/>
      <c r="G417" s="3"/>
      <c r="H417" s="12"/>
      <c r="J417" s="3"/>
      <c r="K417" s="12"/>
      <c r="L417" s="3"/>
      <c r="M417" s="12"/>
      <c r="Q417" s="12"/>
      <c r="R417" s="12"/>
      <c r="T417" s="565"/>
      <c r="U417" s="565"/>
      <c r="V417" s="565"/>
      <c r="W417" s="565"/>
    </row>
    <row r="418">
      <c r="C418" s="12"/>
      <c r="D418" s="3"/>
      <c r="E418" s="112"/>
      <c r="F418" s="3"/>
      <c r="G418" s="3"/>
      <c r="H418" s="12"/>
      <c r="J418" s="3"/>
      <c r="K418" s="12"/>
      <c r="L418" s="3"/>
      <c r="M418" s="12"/>
      <c r="Q418" s="12"/>
      <c r="R418" s="12"/>
      <c r="T418" s="565"/>
      <c r="U418" s="565"/>
      <c r="V418" s="565"/>
      <c r="W418" s="565"/>
    </row>
    <row r="419">
      <c r="C419" s="12"/>
      <c r="D419" s="3"/>
      <c r="E419" s="112"/>
      <c r="F419" s="3"/>
      <c r="G419" s="3"/>
      <c r="H419" s="12"/>
      <c r="J419" s="3"/>
      <c r="K419" s="12"/>
      <c r="L419" s="3"/>
      <c r="M419" s="12"/>
      <c r="Q419" s="12"/>
      <c r="R419" s="12"/>
      <c r="T419" s="565"/>
      <c r="U419" s="565"/>
      <c r="V419" s="565"/>
      <c r="W419" s="565"/>
    </row>
    <row r="420">
      <c r="C420" s="12"/>
      <c r="D420" s="3"/>
      <c r="E420" s="112"/>
      <c r="F420" s="3"/>
      <c r="G420" s="3"/>
      <c r="H420" s="12"/>
      <c r="J420" s="3"/>
      <c r="K420" s="12"/>
      <c r="L420" s="3"/>
      <c r="M420" s="12"/>
      <c r="Q420" s="12"/>
      <c r="R420" s="12"/>
      <c r="T420" s="565"/>
      <c r="U420" s="565"/>
      <c r="V420" s="565"/>
      <c r="W420" s="565"/>
    </row>
    <row r="421">
      <c r="C421" s="12"/>
      <c r="D421" s="3"/>
      <c r="E421" s="112"/>
      <c r="F421" s="3"/>
      <c r="G421" s="3"/>
      <c r="H421" s="12"/>
      <c r="J421" s="3"/>
      <c r="K421" s="12"/>
      <c r="L421" s="3"/>
      <c r="M421" s="12"/>
      <c r="Q421" s="12"/>
      <c r="R421" s="12"/>
      <c r="T421" s="565"/>
      <c r="U421" s="565"/>
      <c r="V421" s="565"/>
      <c r="W421" s="565"/>
    </row>
    <row r="422">
      <c r="C422" s="12"/>
      <c r="D422" s="3"/>
      <c r="E422" s="112"/>
      <c r="F422" s="3"/>
      <c r="G422" s="3"/>
      <c r="H422" s="12"/>
      <c r="J422" s="3"/>
      <c r="K422" s="12"/>
      <c r="L422" s="3"/>
      <c r="M422" s="12"/>
      <c r="Q422" s="12"/>
      <c r="R422" s="12"/>
      <c r="T422" s="565"/>
      <c r="U422" s="565"/>
      <c r="V422" s="565"/>
      <c r="W422" s="565"/>
    </row>
    <row r="423">
      <c r="C423" s="12"/>
      <c r="D423" s="3"/>
      <c r="E423" s="112"/>
      <c r="F423" s="3"/>
      <c r="G423" s="3"/>
      <c r="H423" s="12"/>
      <c r="J423" s="3"/>
      <c r="K423" s="12"/>
      <c r="L423" s="3"/>
      <c r="M423" s="12"/>
      <c r="Q423" s="12"/>
      <c r="R423" s="12"/>
      <c r="T423" s="565"/>
      <c r="U423" s="565"/>
      <c r="V423" s="565"/>
      <c r="W423" s="565"/>
    </row>
    <row r="424">
      <c r="C424" s="12"/>
      <c r="D424" s="3"/>
      <c r="E424" s="112"/>
      <c r="F424" s="3"/>
      <c r="G424" s="3"/>
      <c r="H424" s="12"/>
      <c r="J424" s="3"/>
      <c r="K424" s="12"/>
      <c r="L424" s="3"/>
      <c r="M424" s="12"/>
      <c r="Q424" s="12"/>
      <c r="R424" s="12"/>
      <c r="T424" s="565"/>
      <c r="U424" s="565"/>
      <c r="V424" s="565"/>
      <c r="W424" s="565"/>
    </row>
    <row r="425">
      <c r="C425" s="12"/>
      <c r="D425" s="3"/>
      <c r="E425" s="112"/>
      <c r="F425" s="3"/>
      <c r="G425" s="3"/>
      <c r="H425" s="12"/>
      <c r="J425" s="3"/>
      <c r="K425" s="12"/>
      <c r="L425" s="3"/>
      <c r="M425" s="12"/>
      <c r="Q425" s="12"/>
      <c r="R425" s="12"/>
      <c r="T425" s="565"/>
      <c r="U425" s="565"/>
      <c r="V425" s="565"/>
      <c r="W425" s="565"/>
    </row>
    <row r="426">
      <c r="C426" s="12"/>
      <c r="D426" s="3"/>
      <c r="E426" s="112"/>
      <c r="F426" s="3"/>
      <c r="G426" s="3"/>
      <c r="H426" s="12"/>
      <c r="J426" s="3"/>
      <c r="K426" s="12"/>
      <c r="L426" s="3"/>
      <c r="M426" s="12"/>
      <c r="Q426" s="12"/>
      <c r="R426" s="12"/>
      <c r="T426" s="565"/>
      <c r="U426" s="565"/>
      <c r="V426" s="565"/>
      <c r="W426" s="565"/>
    </row>
    <row r="427">
      <c r="C427" s="12"/>
      <c r="D427" s="3"/>
      <c r="E427" s="112"/>
      <c r="F427" s="3"/>
      <c r="G427" s="3"/>
      <c r="H427" s="12"/>
      <c r="J427" s="3"/>
      <c r="K427" s="12"/>
      <c r="L427" s="3"/>
      <c r="M427" s="12"/>
      <c r="Q427" s="12"/>
      <c r="R427" s="12"/>
      <c r="T427" s="565"/>
      <c r="U427" s="565"/>
      <c r="V427" s="565"/>
      <c r="W427" s="565"/>
    </row>
    <row r="428">
      <c r="C428" s="12"/>
      <c r="D428" s="3"/>
      <c r="E428" s="112"/>
      <c r="F428" s="3"/>
      <c r="G428" s="3"/>
      <c r="H428" s="12"/>
      <c r="J428" s="3"/>
      <c r="K428" s="12"/>
      <c r="L428" s="3"/>
      <c r="M428" s="12"/>
      <c r="Q428" s="12"/>
      <c r="R428" s="12"/>
      <c r="T428" s="565"/>
      <c r="U428" s="565"/>
      <c r="V428" s="565"/>
      <c r="W428" s="565"/>
    </row>
    <row r="429">
      <c r="C429" s="12"/>
      <c r="D429" s="3"/>
      <c r="E429" s="112"/>
      <c r="F429" s="3"/>
      <c r="G429" s="3"/>
      <c r="H429" s="12"/>
      <c r="J429" s="3"/>
      <c r="K429" s="12"/>
      <c r="L429" s="3"/>
      <c r="M429" s="12"/>
      <c r="Q429" s="12"/>
      <c r="R429" s="12"/>
      <c r="T429" s="565"/>
      <c r="U429" s="565"/>
      <c r="V429" s="565"/>
      <c r="W429" s="565"/>
    </row>
    <row r="430">
      <c r="C430" s="12"/>
      <c r="D430" s="3"/>
      <c r="E430" s="112"/>
      <c r="F430" s="3"/>
      <c r="G430" s="3"/>
      <c r="H430" s="12"/>
      <c r="J430" s="3"/>
      <c r="K430" s="12"/>
      <c r="L430" s="3"/>
      <c r="M430" s="12"/>
      <c r="Q430" s="12"/>
      <c r="R430" s="12"/>
      <c r="T430" s="565"/>
      <c r="U430" s="565"/>
      <c r="V430" s="565"/>
      <c r="W430" s="565"/>
    </row>
    <row r="431">
      <c r="C431" s="12"/>
      <c r="D431" s="3"/>
      <c r="E431" s="112"/>
      <c r="F431" s="3"/>
      <c r="G431" s="3"/>
      <c r="H431" s="12"/>
      <c r="J431" s="3"/>
      <c r="K431" s="12"/>
      <c r="L431" s="3"/>
      <c r="M431" s="12"/>
      <c r="Q431" s="12"/>
      <c r="R431" s="12"/>
      <c r="T431" s="565"/>
      <c r="U431" s="565"/>
      <c r="V431" s="565"/>
      <c r="W431" s="565"/>
    </row>
    <row r="432">
      <c r="C432" s="12"/>
      <c r="D432" s="3"/>
      <c r="E432" s="112"/>
      <c r="F432" s="3"/>
      <c r="G432" s="3"/>
      <c r="H432" s="12"/>
      <c r="J432" s="3"/>
      <c r="K432" s="12"/>
      <c r="L432" s="3"/>
      <c r="M432" s="12"/>
      <c r="Q432" s="12"/>
      <c r="R432" s="12"/>
      <c r="T432" s="565"/>
      <c r="U432" s="565"/>
      <c r="V432" s="565"/>
      <c r="W432" s="565"/>
    </row>
    <row r="433">
      <c r="C433" s="12"/>
      <c r="D433" s="3"/>
      <c r="E433" s="112"/>
      <c r="F433" s="3"/>
      <c r="G433" s="3"/>
      <c r="H433" s="12"/>
      <c r="J433" s="3"/>
      <c r="K433" s="12"/>
      <c r="L433" s="3"/>
      <c r="M433" s="12"/>
      <c r="Q433" s="12"/>
      <c r="R433" s="12"/>
      <c r="T433" s="565"/>
      <c r="U433" s="565"/>
      <c r="V433" s="565"/>
      <c r="W433" s="565"/>
    </row>
    <row r="434">
      <c r="C434" s="12"/>
      <c r="D434" s="3"/>
      <c r="E434" s="112"/>
      <c r="F434" s="3"/>
      <c r="G434" s="3"/>
      <c r="H434" s="12"/>
      <c r="J434" s="3"/>
      <c r="K434" s="12"/>
      <c r="L434" s="3"/>
      <c r="M434" s="12"/>
      <c r="Q434" s="12"/>
      <c r="R434" s="12"/>
      <c r="T434" s="565"/>
      <c r="U434" s="565"/>
      <c r="V434" s="565"/>
      <c r="W434" s="565"/>
    </row>
    <row r="435">
      <c r="C435" s="12"/>
      <c r="D435" s="3"/>
      <c r="E435" s="112"/>
      <c r="F435" s="3"/>
      <c r="G435" s="3"/>
      <c r="H435" s="12"/>
      <c r="J435" s="3"/>
      <c r="K435" s="12"/>
      <c r="L435" s="3"/>
      <c r="M435" s="12"/>
      <c r="Q435" s="12"/>
      <c r="R435" s="12"/>
      <c r="T435" s="565"/>
      <c r="U435" s="565"/>
      <c r="V435" s="565"/>
      <c r="W435" s="565"/>
    </row>
    <row r="436">
      <c r="C436" s="12"/>
      <c r="D436" s="3"/>
      <c r="E436" s="112"/>
      <c r="F436" s="3"/>
      <c r="G436" s="3"/>
      <c r="H436" s="12"/>
      <c r="J436" s="3"/>
      <c r="K436" s="12"/>
      <c r="L436" s="3"/>
      <c r="M436" s="12"/>
      <c r="Q436" s="12"/>
      <c r="R436" s="12"/>
      <c r="T436" s="565"/>
      <c r="U436" s="565"/>
      <c r="V436" s="565"/>
      <c r="W436" s="565"/>
    </row>
    <row r="437">
      <c r="C437" s="12"/>
      <c r="D437" s="3"/>
      <c r="E437" s="112"/>
      <c r="F437" s="3"/>
      <c r="G437" s="3"/>
      <c r="H437" s="12"/>
      <c r="J437" s="3"/>
      <c r="K437" s="12"/>
      <c r="L437" s="3"/>
      <c r="M437" s="12"/>
      <c r="Q437" s="12"/>
      <c r="R437" s="12"/>
      <c r="T437" s="565"/>
      <c r="U437" s="565"/>
      <c r="V437" s="565"/>
      <c r="W437" s="565"/>
    </row>
    <row r="438">
      <c r="C438" s="12"/>
      <c r="D438" s="3"/>
      <c r="E438" s="112"/>
      <c r="F438" s="3"/>
      <c r="G438" s="3"/>
      <c r="H438" s="12"/>
      <c r="J438" s="3"/>
      <c r="K438" s="12"/>
      <c r="L438" s="3"/>
      <c r="M438" s="12"/>
      <c r="Q438" s="12"/>
      <c r="R438" s="12"/>
      <c r="T438" s="565"/>
      <c r="U438" s="565"/>
      <c r="V438" s="565"/>
      <c r="W438" s="565"/>
    </row>
    <row r="439">
      <c r="C439" s="12"/>
      <c r="D439" s="3"/>
      <c r="E439" s="112"/>
      <c r="F439" s="3"/>
      <c r="G439" s="3"/>
      <c r="H439" s="12"/>
      <c r="J439" s="3"/>
      <c r="K439" s="12"/>
      <c r="L439" s="3"/>
      <c r="M439" s="12"/>
      <c r="Q439" s="12"/>
      <c r="R439" s="12"/>
      <c r="T439" s="565"/>
      <c r="U439" s="565"/>
      <c r="V439" s="565"/>
      <c r="W439" s="565"/>
    </row>
    <row r="440">
      <c r="C440" s="12"/>
      <c r="D440" s="3"/>
      <c r="E440" s="112"/>
      <c r="F440" s="3"/>
      <c r="G440" s="3"/>
      <c r="H440" s="12"/>
      <c r="J440" s="3"/>
      <c r="K440" s="12"/>
      <c r="L440" s="3"/>
      <c r="M440" s="12"/>
      <c r="Q440" s="12"/>
      <c r="R440" s="12"/>
      <c r="T440" s="565"/>
      <c r="U440" s="565"/>
      <c r="V440" s="565"/>
      <c r="W440" s="565"/>
    </row>
    <row r="441">
      <c r="C441" s="12"/>
      <c r="D441" s="3"/>
      <c r="E441" s="112"/>
      <c r="F441" s="3"/>
      <c r="G441" s="3"/>
      <c r="H441" s="12"/>
      <c r="J441" s="3"/>
      <c r="K441" s="12"/>
      <c r="L441" s="3"/>
      <c r="M441" s="12"/>
      <c r="Q441" s="12"/>
      <c r="R441" s="12"/>
      <c r="T441" s="565"/>
      <c r="U441" s="565"/>
      <c r="V441" s="565"/>
      <c r="W441" s="565"/>
    </row>
    <row r="442">
      <c r="C442" s="12"/>
      <c r="D442" s="3"/>
      <c r="E442" s="112"/>
      <c r="F442" s="3"/>
      <c r="G442" s="3"/>
      <c r="H442" s="12"/>
      <c r="J442" s="3"/>
      <c r="K442" s="12"/>
      <c r="L442" s="3"/>
      <c r="M442" s="12"/>
      <c r="Q442" s="12"/>
      <c r="R442" s="12"/>
      <c r="T442" s="565"/>
      <c r="U442" s="565"/>
      <c r="V442" s="565"/>
      <c r="W442" s="565"/>
    </row>
    <row r="443">
      <c r="C443" s="12"/>
      <c r="D443" s="3"/>
      <c r="E443" s="112"/>
      <c r="F443" s="3"/>
      <c r="G443" s="3"/>
      <c r="H443" s="12"/>
      <c r="J443" s="3"/>
      <c r="K443" s="12"/>
      <c r="L443" s="3"/>
      <c r="M443" s="12"/>
      <c r="Q443" s="12"/>
      <c r="R443" s="12"/>
      <c r="T443" s="565"/>
      <c r="U443" s="565"/>
      <c r="V443" s="565"/>
      <c r="W443" s="565"/>
    </row>
    <row r="444">
      <c r="C444" s="12"/>
      <c r="D444" s="3"/>
      <c r="E444" s="112"/>
      <c r="F444" s="3"/>
      <c r="G444" s="3"/>
      <c r="H444" s="12"/>
      <c r="J444" s="3"/>
      <c r="K444" s="12"/>
      <c r="L444" s="3"/>
      <c r="M444" s="12"/>
      <c r="Q444" s="12"/>
      <c r="R444" s="12"/>
      <c r="T444" s="565"/>
      <c r="U444" s="565"/>
      <c r="V444" s="565"/>
      <c r="W444" s="565"/>
    </row>
    <row r="445">
      <c r="C445" s="12"/>
      <c r="D445" s="3"/>
      <c r="E445" s="112"/>
      <c r="F445" s="3"/>
      <c r="G445" s="3"/>
      <c r="H445" s="12"/>
      <c r="J445" s="3"/>
      <c r="K445" s="12"/>
      <c r="L445" s="3"/>
      <c r="M445" s="12"/>
      <c r="Q445" s="12"/>
      <c r="R445" s="12"/>
      <c r="T445" s="565"/>
      <c r="U445" s="565"/>
      <c r="V445" s="565"/>
      <c r="W445" s="565"/>
    </row>
    <row r="446">
      <c r="C446" s="12"/>
      <c r="D446" s="3"/>
      <c r="E446" s="112"/>
      <c r="F446" s="3"/>
      <c r="G446" s="3"/>
      <c r="H446" s="12"/>
      <c r="J446" s="3"/>
      <c r="K446" s="12"/>
      <c r="L446" s="3"/>
      <c r="M446" s="12"/>
      <c r="Q446" s="12"/>
      <c r="R446" s="12"/>
      <c r="T446" s="565"/>
      <c r="U446" s="565"/>
      <c r="V446" s="565"/>
      <c r="W446" s="565"/>
    </row>
    <row r="447">
      <c r="C447" s="12"/>
      <c r="D447" s="3"/>
      <c r="E447" s="112"/>
      <c r="F447" s="3"/>
      <c r="G447" s="3"/>
      <c r="H447" s="12"/>
      <c r="J447" s="3"/>
      <c r="K447" s="12"/>
      <c r="L447" s="3"/>
      <c r="M447" s="12"/>
      <c r="Q447" s="12"/>
      <c r="R447" s="12"/>
      <c r="T447" s="565"/>
      <c r="U447" s="565"/>
      <c r="V447" s="565"/>
      <c r="W447" s="565"/>
    </row>
    <row r="448">
      <c r="C448" s="12"/>
      <c r="D448" s="3"/>
      <c r="E448" s="112"/>
      <c r="F448" s="3"/>
      <c r="G448" s="3"/>
      <c r="H448" s="12"/>
      <c r="J448" s="3"/>
      <c r="K448" s="12"/>
      <c r="L448" s="3"/>
      <c r="M448" s="12"/>
      <c r="Q448" s="12"/>
      <c r="R448" s="12"/>
      <c r="T448" s="565"/>
      <c r="U448" s="565"/>
      <c r="V448" s="565"/>
      <c r="W448" s="565"/>
    </row>
    <row r="449">
      <c r="C449" s="12"/>
      <c r="D449" s="3"/>
      <c r="E449" s="112"/>
      <c r="F449" s="3"/>
      <c r="G449" s="3"/>
      <c r="H449" s="12"/>
      <c r="J449" s="3"/>
      <c r="K449" s="12"/>
      <c r="L449" s="3"/>
      <c r="M449" s="12"/>
      <c r="Q449" s="12"/>
      <c r="R449" s="12"/>
      <c r="T449" s="565"/>
      <c r="U449" s="565"/>
      <c r="V449" s="565"/>
      <c r="W449" s="565"/>
    </row>
    <row r="450">
      <c r="C450" s="12"/>
      <c r="D450" s="3"/>
      <c r="E450" s="112"/>
      <c r="F450" s="3"/>
      <c r="G450" s="3"/>
      <c r="H450" s="12"/>
      <c r="J450" s="3"/>
      <c r="K450" s="12"/>
      <c r="L450" s="3"/>
      <c r="M450" s="12"/>
      <c r="Q450" s="12"/>
      <c r="R450" s="12"/>
      <c r="T450" s="565"/>
      <c r="U450" s="565"/>
      <c r="V450" s="565"/>
      <c r="W450" s="565"/>
    </row>
    <row r="451">
      <c r="C451" s="12"/>
      <c r="D451" s="3"/>
      <c r="E451" s="112"/>
      <c r="F451" s="3"/>
      <c r="G451" s="3"/>
      <c r="H451" s="12"/>
      <c r="J451" s="3"/>
      <c r="K451" s="12"/>
      <c r="L451" s="3"/>
      <c r="M451" s="12"/>
      <c r="Q451" s="12"/>
      <c r="R451" s="12"/>
      <c r="T451" s="565"/>
      <c r="U451" s="565"/>
      <c r="V451" s="565"/>
      <c r="W451" s="565"/>
    </row>
    <row r="452">
      <c r="C452" s="12"/>
      <c r="D452" s="3"/>
      <c r="E452" s="112"/>
      <c r="F452" s="3"/>
      <c r="G452" s="3"/>
      <c r="H452" s="12"/>
      <c r="J452" s="3"/>
      <c r="K452" s="12"/>
      <c r="L452" s="3"/>
      <c r="M452" s="12"/>
      <c r="Q452" s="12"/>
      <c r="R452" s="12"/>
      <c r="T452" s="565"/>
      <c r="U452" s="565"/>
      <c r="V452" s="565"/>
      <c r="W452" s="565"/>
    </row>
    <row r="453">
      <c r="C453" s="12"/>
      <c r="D453" s="3"/>
      <c r="E453" s="112"/>
      <c r="F453" s="3"/>
      <c r="G453" s="3"/>
      <c r="H453" s="12"/>
      <c r="J453" s="3"/>
      <c r="K453" s="12"/>
      <c r="L453" s="3"/>
      <c r="M453" s="12"/>
      <c r="Q453" s="12"/>
      <c r="R453" s="12"/>
      <c r="T453" s="565"/>
      <c r="U453" s="565"/>
      <c r="V453" s="565"/>
      <c r="W453" s="565"/>
    </row>
    <row r="454">
      <c r="C454" s="12"/>
      <c r="D454" s="3"/>
      <c r="E454" s="112"/>
      <c r="F454" s="3"/>
      <c r="G454" s="3"/>
      <c r="H454" s="12"/>
      <c r="J454" s="3"/>
      <c r="K454" s="12"/>
      <c r="L454" s="3"/>
      <c r="M454" s="12"/>
      <c r="Q454" s="12"/>
      <c r="R454" s="12"/>
      <c r="T454" s="565"/>
      <c r="U454" s="565"/>
      <c r="V454" s="565"/>
      <c r="W454" s="565"/>
    </row>
    <row r="455">
      <c r="C455" s="12"/>
      <c r="D455" s="3"/>
      <c r="E455" s="112"/>
      <c r="F455" s="3"/>
      <c r="G455" s="3"/>
      <c r="H455" s="12"/>
      <c r="J455" s="3"/>
      <c r="K455" s="12"/>
      <c r="L455" s="3"/>
      <c r="M455" s="12"/>
      <c r="Q455" s="12"/>
      <c r="R455" s="12"/>
      <c r="T455" s="565"/>
      <c r="U455" s="565"/>
      <c r="V455" s="565"/>
      <c r="W455" s="565"/>
    </row>
    <row r="456">
      <c r="C456" s="12"/>
      <c r="D456" s="3"/>
      <c r="E456" s="112"/>
      <c r="F456" s="3"/>
      <c r="G456" s="3"/>
      <c r="H456" s="12"/>
      <c r="J456" s="3"/>
      <c r="K456" s="12"/>
      <c r="L456" s="3"/>
      <c r="M456" s="12"/>
      <c r="Q456" s="12"/>
      <c r="R456" s="12"/>
      <c r="T456" s="565"/>
      <c r="U456" s="565"/>
      <c r="V456" s="565"/>
      <c r="W456" s="565"/>
    </row>
    <row r="457">
      <c r="C457" s="12"/>
      <c r="D457" s="3"/>
      <c r="E457" s="112"/>
      <c r="F457" s="3"/>
      <c r="G457" s="3"/>
      <c r="H457" s="12"/>
      <c r="J457" s="3"/>
      <c r="K457" s="12"/>
      <c r="L457" s="3"/>
      <c r="M457" s="12"/>
      <c r="Q457" s="12"/>
      <c r="R457" s="12"/>
      <c r="T457" s="565"/>
      <c r="U457" s="565"/>
      <c r="V457" s="565"/>
      <c r="W457" s="565"/>
    </row>
    <row r="458">
      <c r="C458" s="12"/>
      <c r="D458" s="3"/>
      <c r="E458" s="112"/>
      <c r="F458" s="3"/>
      <c r="G458" s="3"/>
      <c r="H458" s="12"/>
      <c r="J458" s="3"/>
      <c r="K458" s="12"/>
      <c r="L458" s="3"/>
      <c r="M458" s="12"/>
      <c r="Q458" s="12"/>
      <c r="R458" s="12"/>
      <c r="T458" s="565"/>
      <c r="U458" s="565"/>
      <c r="V458" s="565"/>
      <c r="W458" s="565"/>
    </row>
    <row r="459">
      <c r="C459" s="12"/>
      <c r="D459" s="3"/>
      <c r="E459" s="112"/>
      <c r="F459" s="3"/>
      <c r="G459" s="3"/>
      <c r="H459" s="12"/>
      <c r="J459" s="3"/>
      <c r="K459" s="12"/>
      <c r="L459" s="3"/>
      <c r="M459" s="12"/>
      <c r="Q459" s="12"/>
      <c r="R459" s="12"/>
      <c r="T459" s="565"/>
      <c r="U459" s="565"/>
      <c r="V459" s="565"/>
      <c r="W459" s="565"/>
    </row>
    <row r="460">
      <c r="C460" s="12"/>
      <c r="D460" s="3"/>
      <c r="E460" s="112"/>
      <c r="F460" s="3"/>
      <c r="G460" s="3"/>
      <c r="H460" s="12"/>
      <c r="J460" s="3"/>
      <c r="K460" s="12"/>
      <c r="L460" s="3"/>
      <c r="M460" s="12"/>
      <c r="Q460" s="12"/>
      <c r="R460" s="12"/>
      <c r="T460" s="565"/>
      <c r="U460" s="565"/>
      <c r="V460" s="565"/>
      <c r="W460" s="565"/>
    </row>
    <row r="461">
      <c r="C461" s="12"/>
      <c r="D461" s="3"/>
      <c r="E461" s="112"/>
      <c r="F461" s="3"/>
      <c r="G461" s="3"/>
      <c r="H461" s="12"/>
      <c r="J461" s="3"/>
      <c r="K461" s="12"/>
      <c r="L461" s="3"/>
      <c r="M461" s="12"/>
      <c r="Q461" s="12"/>
      <c r="R461" s="12"/>
      <c r="T461" s="565"/>
      <c r="U461" s="565"/>
      <c r="V461" s="565"/>
      <c r="W461" s="565"/>
    </row>
    <row r="462">
      <c r="C462" s="12"/>
      <c r="D462" s="3"/>
      <c r="E462" s="112"/>
      <c r="F462" s="3"/>
      <c r="G462" s="3"/>
      <c r="H462" s="12"/>
      <c r="J462" s="3"/>
      <c r="K462" s="12"/>
      <c r="L462" s="3"/>
      <c r="M462" s="12"/>
      <c r="Q462" s="12"/>
      <c r="R462" s="12"/>
      <c r="T462" s="565"/>
      <c r="U462" s="565"/>
      <c r="V462" s="565"/>
      <c r="W462" s="565"/>
    </row>
    <row r="463">
      <c r="C463" s="12"/>
      <c r="D463" s="3"/>
      <c r="E463" s="112"/>
      <c r="F463" s="3"/>
      <c r="G463" s="3"/>
      <c r="H463" s="12"/>
      <c r="J463" s="3"/>
      <c r="K463" s="12"/>
      <c r="L463" s="3"/>
      <c r="M463" s="12"/>
      <c r="Q463" s="12"/>
      <c r="R463" s="12"/>
      <c r="T463" s="565"/>
      <c r="U463" s="565"/>
      <c r="V463" s="565"/>
      <c r="W463" s="565"/>
    </row>
    <row r="464">
      <c r="C464" s="12"/>
      <c r="D464" s="3"/>
      <c r="E464" s="112"/>
      <c r="F464" s="3"/>
      <c r="G464" s="3"/>
      <c r="H464" s="12"/>
      <c r="J464" s="3"/>
      <c r="K464" s="12"/>
      <c r="L464" s="3"/>
      <c r="M464" s="12"/>
      <c r="Q464" s="12"/>
      <c r="R464" s="12"/>
      <c r="T464" s="565"/>
      <c r="U464" s="565"/>
      <c r="V464" s="565"/>
      <c r="W464" s="565"/>
    </row>
    <row r="465">
      <c r="C465" s="12"/>
      <c r="D465" s="3"/>
      <c r="E465" s="112"/>
      <c r="F465" s="3"/>
      <c r="G465" s="3"/>
      <c r="H465" s="12"/>
      <c r="J465" s="3"/>
      <c r="K465" s="12"/>
      <c r="L465" s="3"/>
      <c r="M465" s="12"/>
      <c r="Q465" s="12"/>
      <c r="R465" s="12"/>
      <c r="T465" s="565"/>
      <c r="U465" s="565"/>
      <c r="V465" s="565"/>
      <c r="W465" s="565"/>
    </row>
    <row r="466">
      <c r="C466" s="12"/>
      <c r="D466" s="3"/>
      <c r="E466" s="112"/>
      <c r="F466" s="3"/>
      <c r="G466" s="3"/>
      <c r="H466" s="12"/>
      <c r="J466" s="3"/>
      <c r="K466" s="12"/>
      <c r="L466" s="3"/>
      <c r="M466" s="12"/>
      <c r="Q466" s="12"/>
      <c r="R466" s="12"/>
      <c r="T466" s="565"/>
      <c r="U466" s="565"/>
      <c r="V466" s="565"/>
      <c r="W466" s="565"/>
    </row>
    <row r="467">
      <c r="C467" s="12"/>
      <c r="D467" s="3"/>
      <c r="E467" s="112"/>
      <c r="F467" s="3"/>
      <c r="G467" s="3"/>
      <c r="H467" s="12"/>
      <c r="J467" s="3"/>
      <c r="K467" s="12"/>
      <c r="L467" s="3"/>
      <c r="M467" s="12"/>
      <c r="Q467" s="12"/>
      <c r="R467" s="12"/>
      <c r="T467" s="565"/>
      <c r="U467" s="565"/>
      <c r="V467" s="565"/>
      <c r="W467" s="565"/>
    </row>
    <row r="468">
      <c r="C468" s="12"/>
      <c r="D468" s="3"/>
      <c r="E468" s="112"/>
      <c r="F468" s="3"/>
      <c r="G468" s="3"/>
      <c r="H468" s="12"/>
      <c r="J468" s="3"/>
      <c r="K468" s="12"/>
      <c r="L468" s="3"/>
      <c r="M468" s="12"/>
      <c r="Q468" s="12"/>
      <c r="R468" s="12"/>
      <c r="T468" s="565"/>
      <c r="U468" s="565"/>
      <c r="V468" s="565"/>
      <c r="W468" s="565"/>
    </row>
    <row r="469">
      <c r="C469" s="12"/>
      <c r="D469" s="3"/>
      <c r="E469" s="112"/>
      <c r="F469" s="3"/>
      <c r="G469" s="3"/>
      <c r="H469" s="12"/>
      <c r="J469" s="3"/>
      <c r="K469" s="12"/>
      <c r="L469" s="3"/>
      <c r="M469" s="12"/>
      <c r="Q469" s="12"/>
      <c r="R469" s="12"/>
      <c r="T469" s="565"/>
      <c r="U469" s="565"/>
      <c r="V469" s="565"/>
      <c r="W469" s="565"/>
    </row>
    <row r="470">
      <c r="C470" s="12"/>
      <c r="D470" s="3"/>
      <c r="E470" s="112"/>
      <c r="F470" s="3"/>
      <c r="G470" s="3"/>
      <c r="H470" s="12"/>
      <c r="J470" s="3"/>
      <c r="K470" s="12"/>
      <c r="L470" s="3"/>
      <c r="M470" s="12"/>
      <c r="Q470" s="12"/>
      <c r="R470" s="12"/>
      <c r="T470" s="565"/>
      <c r="U470" s="565"/>
      <c r="V470" s="565"/>
      <c r="W470" s="565"/>
    </row>
    <row r="471">
      <c r="C471" s="12"/>
      <c r="D471" s="3"/>
      <c r="E471" s="112"/>
      <c r="F471" s="3"/>
      <c r="G471" s="3"/>
      <c r="H471" s="12"/>
      <c r="J471" s="3"/>
      <c r="K471" s="12"/>
      <c r="L471" s="3"/>
      <c r="M471" s="12"/>
      <c r="Q471" s="12"/>
      <c r="R471" s="12"/>
      <c r="T471" s="565"/>
      <c r="U471" s="565"/>
      <c r="V471" s="565"/>
      <c r="W471" s="565"/>
    </row>
    <row r="472">
      <c r="C472" s="12"/>
      <c r="D472" s="3"/>
      <c r="E472" s="112"/>
      <c r="F472" s="3"/>
      <c r="G472" s="3"/>
      <c r="H472" s="12"/>
      <c r="J472" s="3"/>
      <c r="K472" s="12"/>
      <c r="L472" s="3"/>
      <c r="M472" s="12"/>
      <c r="Q472" s="12"/>
      <c r="R472" s="12"/>
      <c r="T472" s="565"/>
      <c r="U472" s="565"/>
      <c r="V472" s="565"/>
      <c r="W472" s="565"/>
    </row>
    <row r="473">
      <c r="C473" s="12"/>
      <c r="D473" s="3"/>
      <c r="E473" s="112"/>
      <c r="F473" s="3"/>
      <c r="G473" s="3"/>
      <c r="H473" s="12"/>
      <c r="J473" s="3"/>
      <c r="K473" s="12"/>
      <c r="L473" s="3"/>
      <c r="M473" s="12"/>
      <c r="Q473" s="12"/>
      <c r="R473" s="12"/>
      <c r="T473" s="565"/>
      <c r="U473" s="565"/>
      <c r="V473" s="565"/>
      <c r="W473" s="565"/>
    </row>
    <row r="474">
      <c r="C474" s="12"/>
      <c r="D474" s="3"/>
      <c r="E474" s="112"/>
      <c r="F474" s="3"/>
      <c r="G474" s="3"/>
      <c r="H474" s="12"/>
      <c r="J474" s="3"/>
      <c r="K474" s="12"/>
      <c r="L474" s="3"/>
      <c r="M474" s="12"/>
      <c r="Q474" s="12"/>
      <c r="R474" s="12"/>
      <c r="T474" s="565"/>
      <c r="U474" s="565"/>
      <c r="V474" s="565"/>
      <c r="W474" s="565"/>
    </row>
    <row r="475">
      <c r="C475" s="12"/>
      <c r="D475" s="3"/>
      <c r="E475" s="112"/>
      <c r="F475" s="3"/>
      <c r="G475" s="3"/>
      <c r="H475" s="12"/>
      <c r="J475" s="3"/>
      <c r="K475" s="12"/>
      <c r="L475" s="3"/>
      <c r="M475" s="12"/>
      <c r="Q475" s="12"/>
      <c r="R475" s="12"/>
      <c r="T475" s="565"/>
      <c r="U475" s="565"/>
      <c r="V475" s="565"/>
      <c r="W475" s="565"/>
    </row>
    <row r="476">
      <c r="C476" s="12"/>
      <c r="D476" s="3"/>
      <c r="E476" s="112"/>
      <c r="F476" s="3"/>
      <c r="G476" s="3"/>
      <c r="H476" s="12"/>
      <c r="J476" s="3"/>
      <c r="K476" s="12"/>
      <c r="L476" s="3"/>
      <c r="M476" s="12"/>
      <c r="Q476" s="12"/>
      <c r="R476" s="12"/>
      <c r="T476" s="565"/>
      <c r="U476" s="565"/>
      <c r="V476" s="565"/>
      <c r="W476" s="565"/>
    </row>
    <row r="477">
      <c r="C477" s="12"/>
      <c r="D477" s="3"/>
      <c r="E477" s="112"/>
      <c r="F477" s="3"/>
      <c r="G477" s="3"/>
      <c r="H477" s="12"/>
      <c r="J477" s="3"/>
      <c r="K477" s="12"/>
      <c r="L477" s="3"/>
      <c r="M477" s="12"/>
      <c r="Q477" s="12"/>
      <c r="R477" s="12"/>
      <c r="T477" s="565"/>
      <c r="U477" s="565"/>
      <c r="V477" s="565"/>
      <c r="W477" s="565"/>
    </row>
    <row r="478">
      <c r="C478" s="12"/>
      <c r="D478" s="3"/>
      <c r="E478" s="112"/>
      <c r="F478" s="3"/>
      <c r="G478" s="3"/>
      <c r="H478" s="12"/>
      <c r="J478" s="3"/>
      <c r="K478" s="12"/>
      <c r="L478" s="3"/>
      <c r="M478" s="12"/>
      <c r="Q478" s="12"/>
      <c r="R478" s="12"/>
      <c r="T478" s="565"/>
      <c r="U478" s="565"/>
      <c r="V478" s="565"/>
      <c r="W478" s="565"/>
    </row>
    <row r="479">
      <c r="C479" s="12"/>
      <c r="D479" s="3"/>
      <c r="E479" s="112"/>
      <c r="F479" s="3"/>
      <c r="G479" s="3"/>
      <c r="H479" s="12"/>
      <c r="J479" s="3"/>
      <c r="K479" s="12"/>
      <c r="L479" s="3"/>
      <c r="M479" s="12"/>
      <c r="Q479" s="12"/>
      <c r="R479" s="12"/>
      <c r="T479" s="565"/>
      <c r="U479" s="565"/>
      <c r="V479" s="565"/>
      <c r="W479" s="565"/>
    </row>
    <row r="480">
      <c r="C480" s="12"/>
      <c r="D480" s="3"/>
      <c r="E480" s="112"/>
      <c r="F480" s="3"/>
      <c r="G480" s="3"/>
      <c r="H480" s="12"/>
      <c r="J480" s="3"/>
      <c r="K480" s="12"/>
      <c r="L480" s="3"/>
      <c r="M480" s="12"/>
      <c r="Q480" s="12"/>
      <c r="R480" s="12"/>
      <c r="T480" s="565"/>
      <c r="U480" s="565"/>
      <c r="V480" s="565"/>
      <c r="W480" s="565"/>
    </row>
    <row r="481">
      <c r="C481" s="12"/>
      <c r="D481" s="3"/>
      <c r="E481" s="112"/>
      <c r="F481" s="3"/>
      <c r="G481" s="3"/>
      <c r="H481" s="12"/>
      <c r="J481" s="3"/>
      <c r="K481" s="12"/>
      <c r="L481" s="3"/>
      <c r="M481" s="12"/>
      <c r="Q481" s="12"/>
      <c r="R481" s="12"/>
      <c r="T481" s="565"/>
      <c r="U481" s="565"/>
      <c r="V481" s="565"/>
      <c r="W481" s="565"/>
    </row>
    <row r="482">
      <c r="C482" s="12"/>
      <c r="D482" s="3"/>
      <c r="E482" s="112"/>
      <c r="F482" s="3"/>
      <c r="G482" s="3"/>
      <c r="H482" s="12"/>
      <c r="J482" s="3"/>
      <c r="K482" s="12"/>
      <c r="L482" s="3"/>
      <c r="M482" s="12"/>
      <c r="Q482" s="12"/>
      <c r="R482" s="12"/>
      <c r="T482" s="565"/>
      <c r="U482" s="565"/>
      <c r="V482" s="565"/>
      <c r="W482" s="565"/>
    </row>
    <row r="483">
      <c r="C483" s="12"/>
      <c r="D483" s="3"/>
      <c r="E483" s="112"/>
      <c r="F483" s="3"/>
      <c r="G483" s="3"/>
      <c r="H483" s="12"/>
      <c r="J483" s="3"/>
      <c r="K483" s="12"/>
      <c r="L483" s="3"/>
      <c r="M483" s="12"/>
      <c r="Q483" s="12"/>
      <c r="R483" s="12"/>
      <c r="T483" s="565"/>
      <c r="U483" s="565"/>
      <c r="V483" s="565"/>
      <c r="W483" s="565"/>
    </row>
    <row r="484">
      <c r="C484" s="12"/>
      <c r="D484" s="3"/>
      <c r="E484" s="112"/>
      <c r="F484" s="3"/>
      <c r="G484" s="3"/>
      <c r="H484" s="12"/>
      <c r="J484" s="3"/>
      <c r="K484" s="12"/>
      <c r="L484" s="3"/>
      <c r="M484" s="12"/>
      <c r="Q484" s="12"/>
      <c r="R484" s="12"/>
      <c r="T484" s="565"/>
      <c r="U484" s="565"/>
      <c r="V484" s="565"/>
      <c r="W484" s="565"/>
    </row>
    <row r="485">
      <c r="C485" s="12"/>
      <c r="D485" s="3"/>
      <c r="E485" s="112"/>
      <c r="F485" s="3"/>
      <c r="G485" s="3"/>
      <c r="H485" s="12"/>
      <c r="J485" s="3"/>
      <c r="K485" s="12"/>
      <c r="L485" s="3"/>
      <c r="M485" s="12"/>
      <c r="Q485" s="12"/>
      <c r="R485" s="12"/>
      <c r="T485" s="565"/>
      <c r="U485" s="565"/>
      <c r="V485" s="565"/>
      <c r="W485" s="565"/>
    </row>
    <row r="486">
      <c r="C486" s="12"/>
      <c r="D486" s="3"/>
      <c r="E486" s="112"/>
      <c r="F486" s="3"/>
      <c r="G486" s="3"/>
      <c r="H486" s="12"/>
      <c r="J486" s="3"/>
      <c r="K486" s="12"/>
      <c r="L486" s="3"/>
      <c r="M486" s="12"/>
      <c r="Q486" s="12"/>
      <c r="R486" s="12"/>
      <c r="T486" s="565"/>
      <c r="U486" s="565"/>
      <c r="V486" s="565"/>
      <c r="W486" s="565"/>
    </row>
    <row r="487">
      <c r="C487" s="12"/>
      <c r="D487" s="3"/>
      <c r="E487" s="112"/>
      <c r="F487" s="3"/>
      <c r="G487" s="3"/>
      <c r="H487" s="12"/>
      <c r="J487" s="3"/>
      <c r="K487" s="12"/>
      <c r="L487" s="3"/>
      <c r="M487" s="12"/>
      <c r="Q487" s="12"/>
      <c r="R487" s="12"/>
      <c r="T487" s="565"/>
      <c r="U487" s="565"/>
      <c r="V487" s="565"/>
      <c r="W487" s="565"/>
    </row>
    <row r="488">
      <c r="C488" s="12"/>
      <c r="D488" s="3"/>
      <c r="E488" s="112"/>
      <c r="F488" s="3"/>
      <c r="G488" s="3"/>
      <c r="H488" s="12"/>
      <c r="J488" s="3"/>
      <c r="K488" s="12"/>
      <c r="L488" s="3"/>
      <c r="M488" s="12"/>
      <c r="Q488" s="12"/>
      <c r="R488" s="12"/>
      <c r="T488" s="565"/>
      <c r="U488" s="565"/>
      <c r="V488" s="565"/>
      <c r="W488" s="565"/>
    </row>
    <row r="489">
      <c r="C489" s="12"/>
      <c r="D489" s="3"/>
      <c r="E489" s="112"/>
      <c r="F489" s="3"/>
      <c r="G489" s="3"/>
      <c r="H489" s="12"/>
      <c r="J489" s="3"/>
      <c r="K489" s="12"/>
      <c r="L489" s="3"/>
      <c r="M489" s="12"/>
      <c r="Q489" s="12"/>
      <c r="R489" s="12"/>
      <c r="T489" s="565"/>
      <c r="U489" s="565"/>
      <c r="V489" s="565"/>
      <c r="W489" s="565"/>
    </row>
    <row r="490">
      <c r="C490" s="12"/>
      <c r="D490" s="3"/>
      <c r="E490" s="112"/>
      <c r="F490" s="3"/>
      <c r="G490" s="3"/>
      <c r="H490" s="12"/>
      <c r="J490" s="3"/>
      <c r="K490" s="12"/>
      <c r="L490" s="3"/>
      <c r="M490" s="12"/>
      <c r="Q490" s="12"/>
      <c r="R490" s="12"/>
      <c r="T490" s="565"/>
      <c r="U490" s="565"/>
      <c r="V490" s="565"/>
      <c r="W490" s="565"/>
    </row>
    <row r="491">
      <c r="C491" s="12"/>
      <c r="D491" s="3"/>
      <c r="E491" s="112"/>
      <c r="F491" s="3"/>
      <c r="G491" s="3"/>
      <c r="H491" s="12"/>
      <c r="J491" s="3"/>
      <c r="K491" s="12"/>
      <c r="L491" s="3"/>
      <c r="M491" s="12"/>
      <c r="Q491" s="12"/>
      <c r="R491" s="12"/>
      <c r="T491" s="565"/>
      <c r="U491" s="565"/>
      <c r="V491" s="565"/>
      <c r="W491" s="565"/>
    </row>
    <row r="492">
      <c r="C492" s="12"/>
      <c r="D492" s="3"/>
      <c r="E492" s="112"/>
      <c r="F492" s="3"/>
      <c r="G492" s="3"/>
      <c r="H492" s="12"/>
      <c r="J492" s="3"/>
      <c r="K492" s="12"/>
      <c r="L492" s="3"/>
      <c r="M492" s="12"/>
      <c r="Q492" s="12"/>
      <c r="R492" s="12"/>
      <c r="T492" s="565"/>
      <c r="U492" s="565"/>
      <c r="V492" s="565"/>
      <c r="W492" s="565"/>
    </row>
    <row r="493">
      <c r="C493" s="12"/>
      <c r="D493" s="3"/>
      <c r="E493" s="112"/>
      <c r="F493" s="3"/>
      <c r="G493" s="3"/>
      <c r="H493" s="12"/>
      <c r="J493" s="3"/>
      <c r="K493" s="12"/>
      <c r="L493" s="3"/>
      <c r="M493" s="12"/>
      <c r="Q493" s="12"/>
      <c r="R493" s="12"/>
      <c r="T493" s="565"/>
      <c r="U493" s="565"/>
      <c r="V493" s="565"/>
      <c r="W493" s="565"/>
    </row>
    <row r="494">
      <c r="C494" s="12"/>
      <c r="D494" s="3"/>
      <c r="E494" s="112"/>
      <c r="F494" s="3"/>
      <c r="G494" s="3"/>
      <c r="H494" s="12"/>
      <c r="J494" s="3"/>
      <c r="K494" s="12"/>
      <c r="L494" s="3"/>
      <c r="M494" s="12"/>
      <c r="Q494" s="12"/>
      <c r="R494" s="12"/>
      <c r="T494" s="565"/>
      <c r="U494" s="565"/>
      <c r="V494" s="565"/>
      <c r="W494" s="565"/>
    </row>
    <row r="495">
      <c r="C495" s="12"/>
      <c r="D495" s="3"/>
      <c r="E495" s="112"/>
      <c r="F495" s="3"/>
      <c r="G495" s="3"/>
      <c r="H495" s="12"/>
      <c r="J495" s="3"/>
      <c r="K495" s="12"/>
      <c r="L495" s="3"/>
      <c r="M495" s="12"/>
      <c r="Q495" s="12"/>
      <c r="R495" s="12"/>
      <c r="T495" s="565"/>
      <c r="U495" s="565"/>
      <c r="V495" s="565"/>
      <c r="W495" s="565"/>
    </row>
    <row r="496">
      <c r="C496" s="12"/>
      <c r="D496" s="3"/>
      <c r="E496" s="112"/>
      <c r="F496" s="3"/>
      <c r="G496" s="3"/>
      <c r="H496" s="12"/>
      <c r="J496" s="3"/>
      <c r="K496" s="12"/>
      <c r="L496" s="3"/>
      <c r="M496" s="12"/>
      <c r="Q496" s="12"/>
      <c r="R496" s="12"/>
      <c r="T496" s="565"/>
      <c r="U496" s="565"/>
      <c r="V496" s="565"/>
      <c r="W496" s="565"/>
    </row>
    <row r="497">
      <c r="C497" s="12"/>
      <c r="D497" s="3"/>
      <c r="E497" s="112"/>
      <c r="F497" s="3"/>
      <c r="G497" s="3"/>
      <c r="H497" s="12"/>
      <c r="J497" s="3"/>
      <c r="K497" s="12"/>
      <c r="L497" s="3"/>
      <c r="M497" s="12"/>
      <c r="Q497" s="12"/>
      <c r="R497" s="12"/>
      <c r="T497" s="565"/>
      <c r="U497" s="565"/>
      <c r="V497" s="565"/>
      <c r="W497" s="565"/>
    </row>
    <row r="498">
      <c r="C498" s="12"/>
      <c r="D498" s="3"/>
      <c r="E498" s="112"/>
      <c r="F498" s="3"/>
      <c r="G498" s="3"/>
      <c r="H498" s="12"/>
      <c r="J498" s="3"/>
      <c r="K498" s="12"/>
      <c r="L498" s="3"/>
      <c r="M498" s="12"/>
      <c r="Q498" s="12"/>
      <c r="R498" s="12"/>
      <c r="T498" s="565"/>
      <c r="U498" s="565"/>
      <c r="V498" s="565"/>
      <c r="W498" s="565"/>
    </row>
    <row r="499">
      <c r="C499" s="12"/>
      <c r="D499" s="3"/>
      <c r="E499" s="112"/>
      <c r="F499" s="3"/>
      <c r="G499" s="3"/>
      <c r="H499" s="12"/>
      <c r="J499" s="3"/>
      <c r="K499" s="12"/>
      <c r="L499" s="3"/>
      <c r="M499" s="12"/>
      <c r="Q499" s="12"/>
      <c r="R499" s="12"/>
      <c r="T499" s="565"/>
      <c r="U499" s="565"/>
      <c r="V499" s="565"/>
      <c r="W499" s="565"/>
    </row>
    <row r="500">
      <c r="C500" s="12"/>
      <c r="D500" s="3"/>
      <c r="E500" s="112"/>
      <c r="F500" s="3"/>
      <c r="G500" s="3"/>
      <c r="H500" s="12"/>
      <c r="J500" s="3"/>
      <c r="K500" s="12"/>
      <c r="L500" s="3"/>
      <c r="M500" s="12"/>
      <c r="Q500" s="12"/>
      <c r="R500" s="12"/>
      <c r="T500" s="565"/>
      <c r="U500" s="565"/>
      <c r="V500" s="565"/>
      <c r="W500" s="565"/>
    </row>
    <row r="501">
      <c r="C501" s="12"/>
      <c r="D501" s="3"/>
      <c r="E501" s="112"/>
      <c r="F501" s="3"/>
      <c r="G501" s="3"/>
      <c r="H501" s="12"/>
      <c r="J501" s="3"/>
      <c r="K501" s="12"/>
      <c r="L501" s="3"/>
      <c r="M501" s="12"/>
      <c r="Q501" s="12"/>
      <c r="R501" s="12"/>
      <c r="T501" s="565"/>
      <c r="U501" s="565"/>
      <c r="V501" s="565"/>
      <c r="W501" s="565"/>
    </row>
    <row r="502">
      <c r="C502" s="12"/>
      <c r="D502" s="3"/>
      <c r="E502" s="112"/>
      <c r="F502" s="3"/>
      <c r="G502" s="3"/>
      <c r="H502" s="12"/>
      <c r="J502" s="3"/>
      <c r="K502" s="12"/>
      <c r="L502" s="3"/>
      <c r="M502" s="12"/>
      <c r="Q502" s="12"/>
      <c r="R502" s="12"/>
      <c r="T502" s="565"/>
      <c r="U502" s="565"/>
      <c r="V502" s="565"/>
      <c r="W502" s="565"/>
    </row>
    <row r="503">
      <c r="C503" s="12"/>
      <c r="D503" s="3"/>
      <c r="E503" s="112"/>
      <c r="F503" s="3"/>
      <c r="G503" s="3"/>
      <c r="H503" s="12"/>
      <c r="J503" s="3"/>
      <c r="K503" s="12"/>
      <c r="L503" s="3"/>
      <c r="M503" s="12"/>
      <c r="Q503" s="12"/>
      <c r="R503" s="12"/>
      <c r="T503" s="565"/>
      <c r="U503" s="565"/>
      <c r="V503" s="565"/>
      <c r="W503" s="565"/>
    </row>
    <row r="504">
      <c r="C504" s="12"/>
      <c r="D504" s="3"/>
      <c r="E504" s="112"/>
      <c r="F504" s="3"/>
      <c r="G504" s="3"/>
      <c r="H504" s="12"/>
      <c r="J504" s="3"/>
      <c r="K504" s="12"/>
      <c r="L504" s="3"/>
      <c r="M504" s="12"/>
      <c r="Q504" s="12"/>
      <c r="R504" s="12"/>
      <c r="T504" s="565"/>
      <c r="U504" s="565"/>
      <c r="V504" s="565"/>
      <c r="W504" s="565"/>
    </row>
    <row r="505">
      <c r="C505" s="12"/>
      <c r="D505" s="3"/>
      <c r="E505" s="112"/>
      <c r="F505" s="3"/>
      <c r="G505" s="3"/>
      <c r="H505" s="12"/>
      <c r="J505" s="3"/>
      <c r="K505" s="12"/>
      <c r="L505" s="3"/>
      <c r="M505" s="12"/>
      <c r="Q505" s="12"/>
      <c r="R505" s="12"/>
      <c r="T505" s="565"/>
      <c r="U505" s="565"/>
      <c r="V505" s="565"/>
      <c r="W505" s="565"/>
    </row>
    <row r="506">
      <c r="C506" s="12"/>
      <c r="D506" s="3"/>
      <c r="E506" s="112"/>
      <c r="F506" s="3"/>
      <c r="G506" s="3"/>
      <c r="H506" s="12"/>
      <c r="J506" s="3"/>
      <c r="K506" s="12"/>
      <c r="L506" s="3"/>
      <c r="M506" s="12"/>
      <c r="Q506" s="12"/>
      <c r="R506" s="12"/>
      <c r="T506" s="565"/>
      <c r="U506" s="565"/>
      <c r="V506" s="565"/>
      <c r="W506" s="565"/>
    </row>
    <row r="507">
      <c r="C507" s="12"/>
      <c r="D507" s="3"/>
      <c r="E507" s="112"/>
      <c r="F507" s="3"/>
      <c r="G507" s="3"/>
      <c r="H507" s="12"/>
      <c r="J507" s="3"/>
      <c r="K507" s="12"/>
      <c r="L507" s="3"/>
      <c r="M507" s="12"/>
      <c r="Q507" s="12"/>
      <c r="R507" s="12"/>
      <c r="T507" s="565"/>
      <c r="U507" s="565"/>
      <c r="V507" s="565"/>
      <c r="W507" s="565"/>
    </row>
    <row r="508">
      <c r="C508" s="12"/>
      <c r="D508" s="3"/>
      <c r="E508" s="112"/>
      <c r="F508" s="3"/>
      <c r="G508" s="3"/>
      <c r="H508" s="12"/>
      <c r="J508" s="3"/>
      <c r="K508" s="12"/>
      <c r="L508" s="3"/>
      <c r="M508" s="12"/>
      <c r="Q508" s="12"/>
      <c r="R508" s="12"/>
      <c r="T508" s="565"/>
      <c r="U508" s="565"/>
      <c r="V508" s="565"/>
      <c r="W508" s="565"/>
    </row>
    <row r="509">
      <c r="C509" s="12"/>
      <c r="D509" s="3"/>
      <c r="E509" s="112"/>
      <c r="F509" s="3"/>
      <c r="G509" s="3"/>
      <c r="H509" s="12"/>
      <c r="J509" s="3"/>
      <c r="K509" s="12"/>
      <c r="L509" s="3"/>
      <c r="M509" s="12"/>
      <c r="Q509" s="12"/>
      <c r="R509" s="12"/>
      <c r="T509" s="565"/>
      <c r="U509" s="565"/>
      <c r="V509" s="565"/>
      <c r="W509" s="565"/>
    </row>
    <row r="510">
      <c r="C510" s="12"/>
      <c r="D510" s="3"/>
      <c r="E510" s="112"/>
      <c r="F510" s="3"/>
      <c r="G510" s="3"/>
      <c r="H510" s="12"/>
      <c r="J510" s="3"/>
      <c r="K510" s="12"/>
      <c r="L510" s="3"/>
      <c r="M510" s="12"/>
      <c r="Q510" s="12"/>
      <c r="R510" s="12"/>
      <c r="T510" s="565"/>
      <c r="U510" s="565"/>
      <c r="V510" s="565"/>
      <c r="W510" s="565"/>
    </row>
    <row r="511">
      <c r="C511" s="12"/>
      <c r="D511" s="3"/>
      <c r="E511" s="112"/>
      <c r="F511" s="3"/>
      <c r="G511" s="3"/>
      <c r="H511" s="12"/>
      <c r="J511" s="3"/>
      <c r="K511" s="12"/>
      <c r="L511" s="3"/>
      <c r="M511" s="12"/>
      <c r="Q511" s="12"/>
      <c r="R511" s="12"/>
      <c r="T511" s="565"/>
      <c r="U511" s="565"/>
      <c r="V511" s="565"/>
      <c r="W511" s="565"/>
    </row>
    <row r="512">
      <c r="C512" s="12"/>
      <c r="D512" s="3"/>
      <c r="E512" s="112"/>
      <c r="F512" s="3"/>
      <c r="G512" s="3"/>
      <c r="H512" s="12"/>
      <c r="J512" s="3"/>
      <c r="K512" s="12"/>
      <c r="L512" s="3"/>
      <c r="M512" s="12"/>
      <c r="Q512" s="12"/>
      <c r="R512" s="12"/>
      <c r="T512" s="565"/>
      <c r="U512" s="565"/>
      <c r="V512" s="565"/>
      <c r="W512" s="565"/>
    </row>
    <row r="513">
      <c r="C513" s="12"/>
      <c r="D513" s="3"/>
      <c r="E513" s="112"/>
      <c r="F513" s="3"/>
      <c r="G513" s="3"/>
      <c r="H513" s="12"/>
      <c r="J513" s="3"/>
      <c r="K513" s="12"/>
      <c r="L513" s="3"/>
      <c r="M513" s="12"/>
      <c r="Q513" s="12"/>
      <c r="R513" s="12"/>
      <c r="T513" s="565"/>
      <c r="U513" s="565"/>
      <c r="V513" s="565"/>
      <c r="W513" s="565"/>
    </row>
    <row r="514">
      <c r="C514" s="12"/>
      <c r="D514" s="3"/>
      <c r="E514" s="112"/>
      <c r="F514" s="3"/>
      <c r="G514" s="3"/>
      <c r="H514" s="12"/>
      <c r="J514" s="3"/>
      <c r="K514" s="12"/>
      <c r="L514" s="3"/>
      <c r="M514" s="12"/>
      <c r="Q514" s="12"/>
      <c r="R514" s="12"/>
      <c r="T514" s="565"/>
      <c r="U514" s="565"/>
      <c r="V514" s="565"/>
      <c r="W514" s="565"/>
    </row>
    <row r="515">
      <c r="C515" s="12"/>
      <c r="D515" s="3"/>
      <c r="E515" s="112"/>
      <c r="F515" s="3"/>
      <c r="G515" s="3"/>
      <c r="H515" s="12"/>
      <c r="J515" s="3"/>
      <c r="K515" s="12"/>
      <c r="L515" s="3"/>
      <c r="M515" s="12"/>
      <c r="Q515" s="12"/>
      <c r="R515" s="12"/>
      <c r="T515" s="565"/>
      <c r="U515" s="565"/>
      <c r="V515" s="565"/>
      <c r="W515" s="565"/>
    </row>
    <row r="516">
      <c r="C516" s="12"/>
      <c r="D516" s="3"/>
      <c r="E516" s="112"/>
      <c r="F516" s="3"/>
      <c r="G516" s="3"/>
      <c r="H516" s="12"/>
      <c r="J516" s="3"/>
      <c r="K516" s="12"/>
      <c r="L516" s="3"/>
      <c r="M516" s="12"/>
      <c r="Q516" s="12"/>
      <c r="R516" s="12"/>
      <c r="T516" s="565"/>
      <c r="U516" s="565"/>
      <c r="V516" s="565"/>
      <c r="W516" s="565"/>
    </row>
    <row r="517">
      <c r="C517" s="12"/>
      <c r="D517" s="3"/>
      <c r="E517" s="112"/>
      <c r="F517" s="3"/>
      <c r="G517" s="3"/>
      <c r="H517" s="12"/>
      <c r="J517" s="3"/>
      <c r="K517" s="12"/>
      <c r="L517" s="3"/>
      <c r="M517" s="12"/>
      <c r="Q517" s="12"/>
      <c r="R517" s="12"/>
      <c r="T517" s="565"/>
      <c r="U517" s="565"/>
      <c r="V517" s="565"/>
      <c r="W517" s="565"/>
    </row>
    <row r="518">
      <c r="C518" s="12"/>
      <c r="D518" s="3"/>
      <c r="E518" s="112"/>
      <c r="F518" s="3"/>
      <c r="G518" s="3"/>
      <c r="H518" s="12"/>
      <c r="J518" s="3"/>
      <c r="K518" s="12"/>
      <c r="L518" s="3"/>
      <c r="M518" s="12"/>
      <c r="Q518" s="12"/>
      <c r="R518" s="12"/>
      <c r="T518" s="565"/>
      <c r="U518" s="565"/>
      <c r="V518" s="565"/>
      <c r="W518" s="565"/>
    </row>
    <row r="519">
      <c r="C519" s="12"/>
      <c r="D519" s="3"/>
      <c r="E519" s="112"/>
      <c r="F519" s="3"/>
      <c r="G519" s="3"/>
      <c r="H519" s="12"/>
      <c r="J519" s="3"/>
      <c r="K519" s="12"/>
      <c r="L519" s="3"/>
      <c r="M519" s="12"/>
      <c r="Q519" s="12"/>
      <c r="R519" s="12"/>
      <c r="T519" s="565"/>
      <c r="U519" s="565"/>
      <c r="V519" s="565"/>
      <c r="W519" s="565"/>
    </row>
    <row r="520">
      <c r="C520" s="12"/>
      <c r="D520" s="3"/>
      <c r="E520" s="112"/>
      <c r="F520" s="3"/>
      <c r="G520" s="3"/>
      <c r="H520" s="12"/>
      <c r="J520" s="3"/>
      <c r="K520" s="12"/>
      <c r="L520" s="3"/>
      <c r="M520" s="12"/>
      <c r="Q520" s="12"/>
      <c r="R520" s="12"/>
      <c r="T520" s="565"/>
      <c r="U520" s="565"/>
      <c r="V520" s="565"/>
      <c r="W520" s="565"/>
    </row>
    <row r="521">
      <c r="C521" s="12"/>
      <c r="D521" s="3"/>
      <c r="E521" s="112"/>
      <c r="F521" s="3"/>
      <c r="G521" s="3"/>
      <c r="H521" s="12"/>
      <c r="J521" s="3"/>
      <c r="K521" s="12"/>
      <c r="L521" s="3"/>
      <c r="M521" s="12"/>
      <c r="Q521" s="12"/>
      <c r="R521" s="12"/>
      <c r="T521" s="565"/>
      <c r="U521" s="565"/>
      <c r="V521" s="565"/>
      <c r="W521" s="565"/>
    </row>
    <row r="522">
      <c r="C522" s="12"/>
      <c r="D522" s="3"/>
      <c r="E522" s="112"/>
      <c r="F522" s="3"/>
      <c r="G522" s="3"/>
      <c r="H522" s="12"/>
      <c r="J522" s="3"/>
      <c r="K522" s="12"/>
      <c r="L522" s="3"/>
      <c r="M522" s="12"/>
      <c r="Q522" s="12"/>
      <c r="R522" s="12"/>
      <c r="T522" s="565"/>
      <c r="U522" s="565"/>
      <c r="V522" s="565"/>
      <c r="W522" s="565"/>
    </row>
    <row r="523">
      <c r="C523" s="12"/>
      <c r="D523" s="3"/>
      <c r="E523" s="112"/>
      <c r="F523" s="3"/>
      <c r="G523" s="3"/>
      <c r="H523" s="12"/>
      <c r="J523" s="3"/>
      <c r="K523" s="12"/>
      <c r="L523" s="3"/>
      <c r="M523" s="12"/>
      <c r="Q523" s="12"/>
      <c r="R523" s="12"/>
      <c r="T523" s="565"/>
      <c r="U523" s="565"/>
      <c r="V523" s="565"/>
      <c r="W523" s="565"/>
    </row>
    <row r="524">
      <c r="C524" s="12"/>
      <c r="D524" s="3"/>
      <c r="E524" s="112"/>
      <c r="F524" s="3"/>
      <c r="G524" s="3"/>
      <c r="H524" s="12"/>
      <c r="J524" s="3"/>
      <c r="K524" s="12"/>
      <c r="L524" s="3"/>
      <c r="M524" s="12"/>
      <c r="Q524" s="12"/>
      <c r="R524" s="12"/>
      <c r="T524" s="565"/>
      <c r="U524" s="565"/>
      <c r="V524" s="565"/>
      <c r="W524" s="565"/>
    </row>
    <row r="525">
      <c r="C525" s="12"/>
      <c r="D525" s="3"/>
      <c r="E525" s="112"/>
      <c r="F525" s="3"/>
      <c r="G525" s="3"/>
      <c r="H525" s="12"/>
      <c r="J525" s="3"/>
      <c r="K525" s="12"/>
      <c r="L525" s="3"/>
      <c r="M525" s="12"/>
      <c r="Q525" s="12"/>
      <c r="R525" s="12"/>
      <c r="T525" s="565"/>
      <c r="U525" s="565"/>
      <c r="V525" s="565"/>
      <c r="W525" s="565"/>
    </row>
    <row r="526">
      <c r="C526" s="12"/>
      <c r="D526" s="3"/>
      <c r="E526" s="112"/>
      <c r="F526" s="3"/>
      <c r="G526" s="3"/>
      <c r="H526" s="12"/>
      <c r="J526" s="3"/>
      <c r="K526" s="12"/>
      <c r="L526" s="3"/>
      <c r="M526" s="12"/>
      <c r="Q526" s="12"/>
      <c r="R526" s="12"/>
      <c r="T526" s="565"/>
      <c r="U526" s="565"/>
      <c r="V526" s="565"/>
      <c r="W526" s="565"/>
    </row>
    <row r="527">
      <c r="C527" s="12"/>
      <c r="D527" s="3"/>
      <c r="E527" s="112"/>
      <c r="F527" s="3"/>
      <c r="G527" s="3"/>
      <c r="H527" s="12"/>
      <c r="J527" s="3"/>
      <c r="K527" s="12"/>
      <c r="L527" s="3"/>
      <c r="M527" s="12"/>
      <c r="Q527" s="12"/>
      <c r="R527" s="12"/>
      <c r="T527" s="565"/>
      <c r="U527" s="565"/>
      <c r="V527" s="565"/>
      <c r="W527" s="565"/>
    </row>
    <row r="528">
      <c r="C528" s="12"/>
      <c r="D528" s="3"/>
      <c r="E528" s="112"/>
      <c r="F528" s="3"/>
      <c r="G528" s="3"/>
      <c r="H528" s="12"/>
      <c r="J528" s="3"/>
      <c r="K528" s="12"/>
      <c r="L528" s="3"/>
      <c r="M528" s="12"/>
      <c r="Q528" s="12"/>
      <c r="R528" s="12"/>
      <c r="T528" s="565"/>
      <c r="U528" s="565"/>
      <c r="V528" s="565"/>
      <c r="W528" s="565"/>
    </row>
    <row r="529">
      <c r="C529" s="12"/>
      <c r="D529" s="3"/>
      <c r="E529" s="112"/>
      <c r="F529" s="3"/>
      <c r="G529" s="3"/>
      <c r="H529" s="12"/>
      <c r="J529" s="3"/>
      <c r="K529" s="12"/>
      <c r="L529" s="3"/>
      <c r="M529" s="12"/>
      <c r="Q529" s="12"/>
      <c r="R529" s="12"/>
      <c r="T529" s="565"/>
      <c r="U529" s="565"/>
      <c r="V529" s="565"/>
      <c r="W529" s="565"/>
    </row>
    <row r="530">
      <c r="C530" s="12"/>
      <c r="D530" s="3"/>
      <c r="E530" s="112"/>
      <c r="F530" s="3"/>
      <c r="G530" s="3"/>
      <c r="H530" s="12"/>
      <c r="J530" s="3"/>
      <c r="K530" s="12"/>
      <c r="L530" s="3"/>
      <c r="M530" s="12"/>
      <c r="Q530" s="12"/>
      <c r="R530" s="12"/>
      <c r="T530" s="565"/>
      <c r="U530" s="565"/>
      <c r="V530" s="565"/>
      <c r="W530" s="565"/>
    </row>
    <row r="531">
      <c r="C531" s="12"/>
      <c r="D531" s="3"/>
      <c r="E531" s="112"/>
      <c r="F531" s="3"/>
      <c r="G531" s="3"/>
      <c r="H531" s="12"/>
      <c r="J531" s="3"/>
      <c r="K531" s="12"/>
      <c r="L531" s="3"/>
      <c r="M531" s="12"/>
      <c r="Q531" s="12"/>
      <c r="R531" s="12"/>
      <c r="T531" s="565"/>
      <c r="U531" s="565"/>
      <c r="V531" s="565"/>
      <c r="W531" s="565"/>
    </row>
    <row r="532">
      <c r="C532" s="12"/>
      <c r="D532" s="3"/>
      <c r="E532" s="112"/>
      <c r="F532" s="3"/>
      <c r="G532" s="3"/>
      <c r="H532" s="12"/>
      <c r="J532" s="3"/>
      <c r="K532" s="12"/>
      <c r="L532" s="3"/>
      <c r="M532" s="12"/>
      <c r="Q532" s="12"/>
      <c r="R532" s="12"/>
      <c r="T532" s="565"/>
      <c r="U532" s="565"/>
      <c r="V532" s="565"/>
      <c r="W532" s="565"/>
    </row>
    <row r="533">
      <c r="C533" s="12"/>
      <c r="D533" s="3"/>
      <c r="E533" s="112"/>
      <c r="F533" s="3"/>
      <c r="G533" s="3"/>
      <c r="H533" s="12"/>
      <c r="J533" s="3"/>
      <c r="K533" s="12"/>
      <c r="L533" s="3"/>
      <c r="M533" s="12"/>
      <c r="Q533" s="12"/>
      <c r="R533" s="12"/>
      <c r="T533" s="565"/>
      <c r="U533" s="565"/>
      <c r="V533" s="565"/>
      <c r="W533" s="565"/>
    </row>
    <row r="534">
      <c r="C534" s="12"/>
      <c r="D534" s="3"/>
      <c r="E534" s="112"/>
      <c r="F534" s="3"/>
      <c r="G534" s="3"/>
      <c r="H534" s="12"/>
      <c r="J534" s="3"/>
      <c r="K534" s="12"/>
      <c r="L534" s="3"/>
      <c r="M534" s="12"/>
      <c r="Q534" s="12"/>
      <c r="R534" s="12"/>
      <c r="T534" s="565"/>
      <c r="U534" s="565"/>
      <c r="V534" s="565"/>
      <c r="W534" s="565"/>
    </row>
    <row r="535">
      <c r="C535" s="12"/>
      <c r="D535" s="3"/>
      <c r="E535" s="112"/>
      <c r="F535" s="3"/>
      <c r="G535" s="3"/>
      <c r="H535" s="12"/>
      <c r="J535" s="3"/>
      <c r="K535" s="12"/>
      <c r="L535" s="3"/>
      <c r="M535" s="12"/>
      <c r="Q535" s="12"/>
      <c r="R535" s="12"/>
      <c r="T535" s="565"/>
      <c r="U535" s="565"/>
      <c r="V535" s="565"/>
      <c r="W535" s="565"/>
    </row>
    <row r="536">
      <c r="C536" s="12"/>
      <c r="D536" s="3"/>
      <c r="E536" s="112"/>
      <c r="F536" s="3"/>
      <c r="G536" s="3"/>
      <c r="H536" s="12"/>
      <c r="J536" s="3"/>
      <c r="K536" s="12"/>
      <c r="L536" s="3"/>
      <c r="M536" s="12"/>
      <c r="Q536" s="12"/>
      <c r="R536" s="12"/>
      <c r="T536" s="565"/>
      <c r="U536" s="565"/>
      <c r="V536" s="565"/>
      <c r="W536" s="565"/>
    </row>
    <row r="537">
      <c r="C537" s="12"/>
      <c r="D537" s="3"/>
      <c r="E537" s="112"/>
      <c r="F537" s="3"/>
      <c r="G537" s="3"/>
      <c r="H537" s="12"/>
      <c r="J537" s="3"/>
      <c r="K537" s="12"/>
      <c r="L537" s="3"/>
      <c r="M537" s="12"/>
      <c r="Q537" s="12"/>
      <c r="R537" s="12"/>
      <c r="T537" s="565"/>
      <c r="U537" s="565"/>
      <c r="V537" s="565"/>
      <c r="W537" s="565"/>
    </row>
    <row r="538">
      <c r="C538" s="12"/>
      <c r="D538" s="3"/>
      <c r="E538" s="112"/>
      <c r="F538" s="3"/>
      <c r="G538" s="3"/>
      <c r="H538" s="12"/>
      <c r="J538" s="3"/>
      <c r="K538" s="12"/>
      <c r="L538" s="3"/>
      <c r="M538" s="12"/>
      <c r="Q538" s="12"/>
      <c r="R538" s="12"/>
      <c r="T538" s="565"/>
      <c r="U538" s="565"/>
      <c r="V538" s="565"/>
      <c r="W538" s="565"/>
    </row>
    <row r="539">
      <c r="C539" s="12"/>
      <c r="D539" s="3"/>
      <c r="E539" s="112"/>
      <c r="F539" s="3"/>
      <c r="G539" s="3"/>
      <c r="H539" s="12"/>
      <c r="J539" s="3"/>
      <c r="K539" s="12"/>
      <c r="L539" s="3"/>
      <c r="M539" s="12"/>
      <c r="Q539" s="12"/>
      <c r="R539" s="12"/>
      <c r="T539" s="565"/>
      <c r="U539" s="565"/>
      <c r="V539" s="565"/>
      <c r="W539" s="565"/>
    </row>
    <row r="540">
      <c r="C540" s="12"/>
      <c r="D540" s="3"/>
      <c r="E540" s="112"/>
      <c r="F540" s="3"/>
      <c r="G540" s="3"/>
      <c r="H540" s="12"/>
      <c r="J540" s="3"/>
      <c r="K540" s="12"/>
      <c r="L540" s="3"/>
      <c r="M540" s="12"/>
      <c r="Q540" s="12"/>
      <c r="R540" s="12"/>
      <c r="T540" s="565"/>
      <c r="U540" s="565"/>
      <c r="V540" s="565"/>
      <c r="W540" s="565"/>
    </row>
    <row r="541">
      <c r="C541" s="12"/>
      <c r="D541" s="3"/>
      <c r="E541" s="112"/>
      <c r="F541" s="3"/>
      <c r="G541" s="3"/>
      <c r="H541" s="12"/>
      <c r="J541" s="3"/>
      <c r="K541" s="12"/>
      <c r="L541" s="3"/>
      <c r="M541" s="12"/>
      <c r="Q541" s="12"/>
      <c r="R541" s="12"/>
      <c r="T541" s="565"/>
      <c r="U541" s="565"/>
      <c r="V541" s="565"/>
      <c r="W541" s="565"/>
    </row>
    <row r="542">
      <c r="C542" s="12"/>
      <c r="D542" s="3"/>
      <c r="E542" s="112"/>
      <c r="F542" s="3"/>
      <c r="G542" s="3"/>
      <c r="H542" s="12"/>
      <c r="J542" s="3"/>
      <c r="K542" s="12"/>
      <c r="L542" s="3"/>
      <c r="M542" s="12"/>
      <c r="Q542" s="12"/>
      <c r="R542" s="12"/>
      <c r="T542" s="565"/>
      <c r="U542" s="565"/>
      <c r="V542" s="565"/>
      <c r="W542" s="565"/>
    </row>
    <row r="543">
      <c r="C543" s="12"/>
      <c r="D543" s="3"/>
      <c r="E543" s="112"/>
      <c r="F543" s="3"/>
      <c r="G543" s="3"/>
      <c r="H543" s="12"/>
      <c r="J543" s="3"/>
      <c r="K543" s="12"/>
      <c r="L543" s="3"/>
      <c r="M543" s="12"/>
      <c r="Q543" s="12"/>
      <c r="R543" s="12"/>
      <c r="T543" s="565"/>
      <c r="U543" s="565"/>
      <c r="V543" s="565"/>
      <c r="W543" s="565"/>
    </row>
    <row r="544">
      <c r="C544" s="12"/>
      <c r="D544" s="3"/>
      <c r="E544" s="112"/>
      <c r="F544" s="3"/>
      <c r="G544" s="3"/>
      <c r="H544" s="12"/>
      <c r="J544" s="3"/>
      <c r="K544" s="12"/>
      <c r="L544" s="3"/>
      <c r="M544" s="12"/>
      <c r="Q544" s="12"/>
      <c r="R544" s="12"/>
      <c r="T544" s="565"/>
      <c r="U544" s="565"/>
      <c r="V544" s="565"/>
      <c r="W544" s="565"/>
    </row>
    <row r="545">
      <c r="C545" s="12"/>
      <c r="D545" s="3"/>
      <c r="E545" s="112"/>
      <c r="F545" s="3"/>
      <c r="G545" s="3"/>
      <c r="H545" s="12"/>
      <c r="J545" s="3"/>
      <c r="K545" s="12"/>
      <c r="L545" s="3"/>
      <c r="M545" s="12"/>
      <c r="Q545" s="12"/>
      <c r="R545" s="12"/>
      <c r="T545" s="565"/>
      <c r="U545" s="565"/>
      <c r="V545" s="565"/>
      <c r="W545" s="565"/>
    </row>
    <row r="546">
      <c r="C546" s="12"/>
      <c r="D546" s="3"/>
      <c r="E546" s="112"/>
      <c r="F546" s="3"/>
      <c r="G546" s="3"/>
      <c r="H546" s="12"/>
      <c r="J546" s="3"/>
      <c r="K546" s="12"/>
      <c r="L546" s="3"/>
      <c r="M546" s="12"/>
      <c r="Q546" s="12"/>
      <c r="R546" s="12"/>
      <c r="T546" s="565"/>
      <c r="U546" s="565"/>
      <c r="V546" s="565"/>
      <c r="W546" s="565"/>
    </row>
    <row r="547">
      <c r="C547" s="12"/>
      <c r="D547" s="3"/>
      <c r="E547" s="112"/>
      <c r="F547" s="3"/>
      <c r="G547" s="3"/>
      <c r="H547" s="12"/>
      <c r="J547" s="3"/>
      <c r="K547" s="12"/>
      <c r="L547" s="3"/>
      <c r="M547" s="12"/>
      <c r="Q547" s="12"/>
      <c r="R547" s="12"/>
      <c r="T547" s="565"/>
      <c r="U547" s="565"/>
      <c r="V547" s="565"/>
      <c r="W547" s="565"/>
    </row>
    <row r="548">
      <c r="C548" s="12"/>
      <c r="D548" s="3"/>
      <c r="E548" s="112"/>
      <c r="F548" s="3"/>
      <c r="G548" s="3"/>
      <c r="H548" s="12"/>
      <c r="J548" s="3"/>
      <c r="K548" s="12"/>
      <c r="L548" s="3"/>
      <c r="M548" s="12"/>
      <c r="Q548" s="12"/>
      <c r="R548" s="12"/>
      <c r="T548" s="565"/>
      <c r="U548" s="565"/>
      <c r="V548" s="565"/>
      <c r="W548" s="565"/>
    </row>
    <row r="549">
      <c r="C549" s="12"/>
      <c r="D549" s="3"/>
      <c r="E549" s="112"/>
      <c r="F549" s="3"/>
      <c r="G549" s="3"/>
      <c r="H549" s="12"/>
      <c r="J549" s="3"/>
      <c r="K549" s="12"/>
      <c r="L549" s="3"/>
      <c r="M549" s="12"/>
      <c r="Q549" s="12"/>
      <c r="R549" s="12"/>
      <c r="T549" s="565"/>
      <c r="U549" s="565"/>
      <c r="V549" s="565"/>
      <c r="W549" s="565"/>
    </row>
    <row r="550">
      <c r="C550" s="12"/>
      <c r="D550" s="3"/>
      <c r="E550" s="112"/>
      <c r="F550" s="3"/>
      <c r="G550" s="3"/>
      <c r="H550" s="12"/>
      <c r="J550" s="3"/>
      <c r="K550" s="12"/>
      <c r="L550" s="3"/>
      <c r="M550" s="12"/>
      <c r="Q550" s="12"/>
      <c r="R550" s="12"/>
      <c r="T550" s="565"/>
      <c r="U550" s="565"/>
      <c r="V550" s="565"/>
      <c r="W550" s="565"/>
    </row>
    <row r="551">
      <c r="C551" s="12"/>
      <c r="D551" s="3"/>
      <c r="E551" s="112"/>
      <c r="F551" s="3"/>
      <c r="G551" s="3"/>
      <c r="H551" s="12"/>
      <c r="J551" s="3"/>
      <c r="K551" s="12"/>
      <c r="L551" s="3"/>
      <c r="M551" s="12"/>
      <c r="Q551" s="12"/>
      <c r="R551" s="12"/>
      <c r="T551" s="565"/>
      <c r="U551" s="565"/>
      <c r="V551" s="565"/>
      <c r="W551" s="565"/>
    </row>
    <row r="552">
      <c r="C552" s="12"/>
      <c r="D552" s="3"/>
      <c r="E552" s="112"/>
      <c r="F552" s="3"/>
      <c r="G552" s="3"/>
      <c r="H552" s="12"/>
      <c r="J552" s="3"/>
      <c r="K552" s="12"/>
      <c r="L552" s="3"/>
      <c r="M552" s="12"/>
      <c r="Q552" s="12"/>
      <c r="R552" s="12"/>
      <c r="T552" s="565"/>
      <c r="U552" s="565"/>
      <c r="V552" s="565"/>
      <c r="W552" s="565"/>
    </row>
    <row r="553">
      <c r="C553" s="12"/>
      <c r="D553" s="3"/>
      <c r="E553" s="112"/>
      <c r="F553" s="3"/>
      <c r="G553" s="3"/>
      <c r="H553" s="12"/>
      <c r="J553" s="3"/>
      <c r="K553" s="12"/>
      <c r="L553" s="3"/>
      <c r="M553" s="12"/>
      <c r="Q553" s="12"/>
      <c r="R553" s="12"/>
      <c r="T553" s="565"/>
      <c r="U553" s="565"/>
      <c r="V553" s="565"/>
      <c r="W553" s="565"/>
    </row>
    <row r="554">
      <c r="C554" s="12"/>
      <c r="D554" s="3"/>
      <c r="E554" s="112"/>
      <c r="F554" s="3"/>
      <c r="G554" s="3"/>
      <c r="H554" s="12"/>
      <c r="J554" s="3"/>
      <c r="K554" s="12"/>
      <c r="L554" s="3"/>
      <c r="M554" s="12"/>
      <c r="Q554" s="12"/>
      <c r="R554" s="12"/>
      <c r="T554" s="565"/>
      <c r="U554" s="565"/>
      <c r="V554" s="565"/>
      <c r="W554" s="565"/>
    </row>
    <row r="555">
      <c r="C555" s="12"/>
      <c r="D555" s="3"/>
      <c r="E555" s="112"/>
      <c r="F555" s="3"/>
      <c r="G555" s="3"/>
      <c r="H555" s="12"/>
      <c r="J555" s="3"/>
      <c r="K555" s="12"/>
      <c r="L555" s="3"/>
      <c r="M555" s="12"/>
      <c r="Q555" s="12"/>
      <c r="R555" s="12"/>
      <c r="T555" s="565"/>
      <c r="U555" s="565"/>
      <c r="V555" s="565"/>
      <c r="W555" s="565"/>
    </row>
    <row r="556">
      <c r="C556" s="12"/>
      <c r="D556" s="3"/>
      <c r="E556" s="112"/>
      <c r="F556" s="3"/>
      <c r="G556" s="3"/>
      <c r="H556" s="12"/>
      <c r="J556" s="3"/>
      <c r="K556" s="12"/>
      <c r="L556" s="3"/>
      <c r="M556" s="12"/>
      <c r="Q556" s="12"/>
      <c r="R556" s="12"/>
      <c r="T556" s="565"/>
      <c r="U556" s="565"/>
      <c r="V556" s="565"/>
      <c r="W556" s="565"/>
    </row>
    <row r="557">
      <c r="C557" s="12"/>
      <c r="D557" s="3"/>
      <c r="E557" s="112"/>
      <c r="F557" s="3"/>
      <c r="G557" s="3"/>
      <c r="H557" s="12"/>
      <c r="J557" s="3"/>
      <c r="K557" s="12"/>
      <c r="L557" s="3"/>
      <c r="M557" s="12"/>
      <c r="Q557" s="12"/>
      <c r="R557" s="12"/>
      <c r="T557" s="565"/>
      <c r="U557" s="565"/>
      <c r="V557" s="565"/>
      <c r="W557" s="565"/>
    </row>
    <row r="558">
      <c r="C558" s="12"/>
      <c r="D558" s="3"/>
      <c r="E558" s="112"/>
      <c r="F558" s="3"/>
      <c r="G558" s="3"/>
      <c r="H558" s="12"/>
      <c r="J558" s="3"/>
      <c r="K558" s="12"/>
      <c r="L558" s="3"/>
      <c r="M558" s="12"/>
      <c r="Q558" s="12"/>
      <c r="R558" s="12"/>
      <c r="T558" s="565"/>
      <c r="U558" s="565"/>
      <c r="V558" s="565"/>
      <c r="W558" s="565"/>
    </row>
    <row r="559">
      <c r="C559" s="12"/>
      <c r="D559" s="3"/>
      <c r="E559" s="112"/>
      <c r="F559" s="3"/>
      <c r="G559" s="3"/>
      <c r="H559" s="12"/>
      <c r="J559" s="3"/>
      <c r="K559" s="12"/>
      <c r="L559" s="3"/>
      <c r="M559" s="12"/>
      <c r="Q559" s="12"/>
      <c r="R559" s="12"/>
      <c r="T559" s="565"/>
      <c r="U559" s="565"/>
      <c r="V559" s="565"/>
      <c r="W559" s="565"/>
    </row>
    <row r="560">
      <c r="C560" s="12"/>
      <c r="D560" s="3"/>
      <c r="E560" s="112"/>
      <c r="F560" s="3"/>
      <c r="G560" s="3"/>
      <c r="H560" s="12"/>
      <c r="J560" s="3"/>
      <c r="K560" s="12"/>
      <c r="L560" s="3"/>
      <c r="M560" s="12"/>
      <c r="Q560" s="12"/>
      <c r="R560" s="12"/>
      <c r="T560" s="565"/>
      <c r="U560" s="565"/>
      <c r="V560" s="565"/>
      <c r="W560" s="565"/>
    </row>
    <row r="561">
      <c r="C561" s="12"/>
      <c r="D561" s="3"/>
      <c r="E561" s="112"/>
      <c r="F561" s="3"/>
      <c r="G561" s="3"/>
      <c r="H561" s="12"/>
      <c r="J561" s="3"/>
      <c r="K561" s="12"/>
      <c r="L561" s="3"/>
      <c r="M561" s="12"/>
      <c r="Q561" s="12"/>
      <c r="R561" s="12"/>
      <c r="T561" s="565"/>
      <c r="U561" s="565"/>
      <c r="V561" s="565"/>
      <c r="W561" s="565"/>
    </row>
    <row r="562">
      <c r="C562" s="12"/>
      <c r="D562" s="3"/>
      <c r="E562" s="112"/>
      <c r="F562" s="3"/>
      <c r="G562" s="3"/>
      <c r="H562" s="12"/>
      <c r="J562" s="3"/>
      <c r="K562" s="12"/>
      <c r="L562" s="3"/>
      <c r="M562" s="12"/>
      <c r="Q562" s="12"/>
      <c r="R562" s="12"/>
      <c r="T562" s="565"/>
      <c r="U562" s="565"/>
      <c r="V562" s="565"/>
      <c r="W562" s="565"/>
    </row>
    <row r="563">
      <c r="C563" s="12"/>
      <c r="D563" s="3"/>
      <c r="E563" s="112"/>
      <c r="F563" s="3"/>
      <c r="G563" s="3"/>
      <c r="H563" s="12"/>
      <c r="J563" s="3"/>
      <c r="K563" s="12"/>
      <c r="L563" s="3"/>
      <c r="M563" s="12"/>
      <c r="Q563" s="12"/>
      <c r="R563" s="12"/>
      <c r="T563" s="565"/>
      <c r="U563" s="565"/>
      <c r="V563" s="565"/>
      <c r="W563" s="565"/>
    </row>
    <row r="564">
      <c r="C564" s="12"/>
      <c r="D564" s="3"/>
      <c r="E564" s="112"/>
      <c r="F564" s="3"/>
      <c r="G564" s="3"/>
      <c r="H564" s="12"/>
      <c r="J564" s="3"/>
      <c r="K564" s="12"/>
      <c r="L564" s="3"/>
      <c r="M564" s="12"/>
      <c r="Q564" s="12"/>
      <c r="R564" s="12"/>
      <c r="T564" s="565"/>
      <c r="U564" s="565"/>
      <c r="V564" s="565"/>
      <c r="W564" s="565"/>
    </row>
    <row r="565">
      <c r="C565" s="12"/>
      <c r="D565" s="3"/>
      <c r="E565" s="112"/>
      <c r="F565" s="3"/>
      <c r="G565" s="3"/>
      <c r="H565" s="12"/>
      <c r="J565" s="3"/>
      <c r="K565" s="12"/>
      <c r="L565" s="3"/>
      <c r="M565" s="12"/>
      <c r="Q565" s="12"/>
      <c r="R565" s="12"/>
      <c r="T565" s="565"/>
      <c r="U565" s="565"/>
      <c r="V565" s="565"/>
      <c r="W565" s="565"/>
    </row>
    <row r="566">
      <c r="C566" s="12"/>
      <c r="D566" s="3"/>
      <c r="E566" s="112"/>
      <c r="F566" s="3"/>
      <c r="G566" s="3"/>
      <c r="H566" s="12"/>
      <c r="J566" s="3"/>
      <c r="K566" s="12"/>
      <c r="L566" s="3"/>
      <c r="M566" s="12"/>
      <c r="Q566" s="12"/>
      <c r="R566" s="12"/>
      <c r="T566" s="565"/>
      <c r="U566" s="565"/>
      <c r="V566" s="565"/>
      <c r="W566" s="565"/>
    </row>
    <row r="567">
      <c r="C567" s="12"/>
      <c r="D567" s="3"/>
      <c r="E567" s="112"/>
      <c r="F567" s="3"/>
      <c r="G567" s="3"/>
      <c r="H567" s="12"/>
      <c r="J567" s="3"/>
      <c r="K567" s="12"/>
      <c r="L567" s="3"/>
      <c r="M567" s="12"/>
      <c r="Q567" s="12"/>
      <c r="R567" s="12"/>
      <c r="T567" s="565"/>
      <c r="U567" s="565"/>
      <c r="V567" s="565"/>
      <c r="W567" s="565"/>
    </row>
    <row r="568">
      <c r="C568" s="12"/>
      <c r="D568" s="3"/>
      <c r="E568" s="112"/>
      <c r="F568" s="3"/>
      <c r="G568" s="3"/>
      <c r="H568" s="12"/>
      <c r="J568" s="3"/>
      <c r="K568" s="12"/>
      <c r="L568" s="3"/>
      <c r="M568" s="12"/>
      <c r="Q568" s="12"/>
      <c r="R568" s="12"/>
      <c r="T568" s="565"/>
      <c r="U568" s="565"/>
      <c r="V568" s="565"/>
      <c r="W568" s="565"/>
    </row>
    <row r="569">
      <c r="C569" s="12"/>
      <c r="D569" s="3"/>
      <c r="E569" s="112"/>
      <c r="F569" s="3"/>
      <c r="G569" s="3"/>
      <c r="H569" s="12"/>
      <c r="J569" s="3"/>
      <c r="K569" s="12"/>
      <c r="L569" s="3"/>
      <c r="M569" s="12"/>
      <c r="Q569" s="12"/>
      <c r="R569" s="12"/>
      <c r="T569" s="565"/>
      <c r="U569" s="565"/>
      <c r="V569" s="565"/>
      <c r="W569" s="565"/>
    </row>
    <row r="570">
      <c r="C570" s="12"/>
      <c r="D570" s="3"/>
      <c r="E570" s="112"/>
      <c r="F570" s="3"/>
      <c r="G570" s="3"/>
      <c r="H570" s="12"/>
      <c r="J570" s="3"/>
      <c r="K570" s="12"/>
      <c r="L570" s="3"/>
      <c r="M570" s="12"/>
      <c r="Q570" s="12"/>
      <c r="R570" s="12"/>
      <c r="T570" s="565"/>
      <c r="U570" s="565"/>
      <c r="V570" s="565"/>
      <c r="W570" s="565"/>
    </row>
    <row r="571">
      <c r="C571" s="12"/>
      <c r="D571" s="3"/>
      <c r="E571" s="112"/>
      <c r="F571" s="3"/>
      <c r="G571" s="3"/>
      <c r="H571" s="12"/>
      <c r="J571" s="3"/>
      <c r="K571" s="12"/>
      <c r="L571" s="3"/>
      <c r="M571" s="12"/>
      <c r="Q571" s="12"/>
      <c r="R571" s="12"/>
      <c r="T571" s="565"/>
      <c r="U571" s="565"/>
      <c r="V571" s="565"/>
      <c r="W571" s="565"/>
    </row>
    <row r="572">
      <c r="C572" s="12"/>
      <c r="D572" s="3"/>
      <c r="E572" s="112"/>
      <c r="F572" s="3"/>
      <c r="G572" s="3"/>
      <c r="H572" s="12"/>
      <c r="J572" s="3"/>
      <c r="K572" s="12"/>
      <c r="L572" s="3"/>
      <c r="M572" s="12"/>
      <c r="Q572" s="12"/>
      <c r="R572" s="12"/>
      <c r="T572" s="565"/>
      <c r="U572" s="565"/>
      <c r="V572" s="565"/>
      <c r="W572" s="565"/>
    </row>
    <row r="573">
      <c r="C573" s="12"/>
      <c r="D573" s="3"/>
      <c r="E573" s="112"/>
      <c r="F573" s="3"/>
      <c r="G573" s="3"/>
      <c r="H573" s="12"/>
      <c r="J573" s="3"/>
      <c r="K573" s="12"/>
      <c r="L573" s="3"/>
      <c r="M573" s="12"/>
      <c r="Q573" s="12"/>
      <c r="R573" s="12"/>
      <c r="T573" s="565"/>
      <c r="U573" s="565"/>
      <c r="V573" s="565"/>
      <c r="W573" s="565"/>
    </row>
    <row r="574">
      <c r="C574" s="12"/>
      <c r="D574" s="3"/>
      <c r="E574" s="112"/>
      <c r="F574" s="3"/>
      <c r="G574" s="3"/>
      <c r="H574" s="12"/>
      <c r="J574" s="3"/>
      <c r="K574" s="12"/>
      <c r="L574" s="3"/>
      <c r="M574" s="12"/>
      <c r="Q574" s="12"/>
      <c r="R574" s="12"/>
      <c r="T574" s="565"/>
      <c r="U574" s="565"/>
      <c r="V574" s="565"/>
      <c r="W574" s="565"/>
    </row>
    <row r="575">
      <c r="C575" s="12"/>
      <c r="D575" s="3"/>
      <c r="E575" s="112"/>
      <c r="F575" s="3"/>
      <c r="G575" s="3"/>
      <c r="H575" s="12"/>
      <c r="J575" s="3"/>
      <c r="K575" s="12"/>
      <c r="L575" s="3"/>
      <c r="M575" s="12"/>
      <c r="Q575" s="12"/>
      <c r="R575" s="12"/>
      <c r="T575" s="565"/>
      <c r="U575" s="565"/>
      <c r="V575" s="565"/>
      <c r="W575" s="565"/>
    </row>
    <row r="576">
      <c r="C576" s="12"/>
      <c r="D576" s="3"/>
      <c r="E576" s="112"/>
      <c r="F576" s="3"/>
      <c r="G576" s="3"/>
      <c r="H576" s="12"/>
      <c r="J576" s="3"/>
      <c r="K576" s="12"/>
      <c r="L576" s="3"/>
      <c r="M576" s="12"/>
      <c r="Q576" s="12"/>
      <c r="R576" s="12"/>
      <c r="T576" s="565"/>
      <c r="U576" s="565"/>
      <c r="V576" s="565"/>
      <c r="W576" s="565"/>
    </row>
    <row r="577">
      <c r="C577" s="12"/>
      <c r="D577" s="3"/>
      <c r="E577" s="112"/>
      <c r="F577" s="3"/>
      <c r="G577" s="3"/>
      <c r="H577" s="12"/>
      <c r="J577" s="3"/>
      <c r="K577" s="12"/>
      <c r="L577" s="3"/>
      <c r="M577" s="12"/>
      <c r="Q577" s="12"/>
      <c r="R577" s="12"/>
      <c r="T577" s="565"/>
      <c r="U577" s="565"/>
      <c r="V577" s="565"/>
      <c r="W577" s="565"/>
    </row>
    <row r="578">
      <c r="C578" s="12"/>
      <c r="D578" s="3"/>
      <c r="E578" s="112"/>
      <c r="F578" s="3"/>
      <c r="G578" s="3"/>
      <c r="H578" s="12"/>
      <c r="J578" s="3"/>
      <c r="K578" s="12"/>
      <c r="L578" s="3"/>
      <c r="M578" s="12"/>
      <c r="Q578" s="12"/>
      <c r="R578" s="12"/>
      <c r="T578" s="565"/>
      <c r="U578" s="565"/>
      <c r="V578" s="565"/>
      <c r="W578" s="565"/>
    </row>
    <row r="579">
      <c r="C579" s="12"/>
      <c r="D579" s="3"/>
      <c r="E579" s="112"/>
      <c r="F579" s="3"/>
      <c r="G579" s="3"/>
      <c r="H579" s="12"/>
      <c r="J579" s="3"/>
      <c r="K579" s="12"/>
      <c r="L579" s="3"/>
      <c r="M579" s="12"/>
      <c r="Q579" s="12"/>
      <c r="R579" s="12"/>
      <c r="T579" s="565"/>
      <c r="U579" s="565"/>
      <c r="V579" s="565"/>
      <c r="W579" s="565"/>
    </row>
    <row r="580">
      <c r="C580" s="12"/>
      <c r="D580" s="3"/>
      <c r="E580" s="112"/>
      <c r="F580" s="3"/>
      <c r="G580" s="3"/>
      <c r="H580" s="12"/>
      <c r="J580" s="3"/>
      <c r="K580" s="12"/>
      <c r="L580" s="3"/>
      <c r="M580" s="12"/>
      <c r="Q580" s="12"/>
      <c r="R580" s="12"/>
      <c r="T580" s="565"/>
      <c r="U580" s="565"/>
      <c r="V580" s="565"/>
      <c r="W580" s="565"/>
    </row>
    <row r="581">
      <c r="C581" s="12"/>
      <c r="D581" s="3"/>
      <c r="E581" s="112"/>
      <c r="F581" s="3"/>
      <c r="G581" s="3"/>
      <c r="H581" s="12"/>
      <c r="J581" s="3"/>
      <c r="K581" s="12"/>
      <c r="L581" s="3"/>
      <c r="M581" s="12"/>
      <c r="Q581" s="12"/>
      <c r="R581" s="12"/>
      <c r="T581" s="565"/>
      <c r="U581" s="565"/>
      <c r="V581" s="565"/>
      <c r="W581" s="565"/>
    </row>
    <row r="582">
      <c r="C582" s="12"/>
      <c r="D582" s="3"/>
      <c r="E582" s="112"/>
      <c r="F582" s="3"/>
      <c r="G582" s="3"/>
      <c r="H582" s="12"/>
      <c r="J582" s="3"/>
      <c r="K582" s="12"/>
      <c r="L582" s="3"/>
      <c r="M582" s="12"/>
      <c r="Q582" s="12"/>
      <c r="R582" s="12"/>
      <c r="T582" s="565"/>
      <c r="U582" s="565"/>
      <c r="V582" s="565"/>
      <c r="W582" s="565"/>
    </row>
    <row r="583">
      <c r="C583" s="12"/>
      <c r="D583" s="3"/>
      <c r="E583" s="112"/>
      <c r="F583" s="3"/>
      <c r="G583" s="3"/>
      <c r="H583" s="12"/>
      <c r="J583" s="3"/>
      <c r="K583" s="12"/>
      <c r="L583" s="3"/>
      <c r="M583" s="12"/>
      <c r="Q583" s="12"/>
      <c r="R583" s="12"/>
      <c r="T583" s="565"/>
      <c r="U583" s="565"/>
      <c r="V583" s="565"/>
      <c r="W583" s="565"/>
    </row>
    <row r="584">
      <c r="C584" s="12"/>
      <c r="D584" s="3"/>
      <c r="E584" s="112"/>
      <c r="F584" s="3"/>
      <c r="G584" s="3"/>
      <c r="H584" s="12"/>
      <c r="J584" s="3"/>
      <c r="K584" s="12"/>
      <c r="L584" s="3"/>
      <c r="M584" s="12"/>
      <c r="Q584" s="12"/>
      <c r="R584" s="12"/>
      <c r="T584" s="565"/>
      <c r="U584" s="565"/>
      <c r="V584" s="565"/>
      <c r="W584" s="565"/>
    </row>
    <row r="585">
      <c r="C585" s="12"/>
      <c r="D585" s="3"/>
      <c r="E585" s="112"/>
      <c r="F585" s="3"/>
      <c r="G585" s="3"/>
      <c r="H585" s="12"/>
      <c r="J585" s="3"/>
      <c r="K585" s="12"/>
      <c r="L585" s="3"/>
      <c r="M585" s="12"/>
      <c r="Q585" s="12"/>
      <c r="R585" s="12"/>
      <c r="T585" s="565"/>
      <c r="U585" s="565"/>
      <c r="V585" s="565"/>
      <c r="W585" s="565"/>
    </row>
    <row r="586">
      <c r="C586" s="12"/>
      <c r="D586" s="3"/>
      <c r="E586" s="112"/>
      <c r="F586" s="3"/>
      <c r="G586" s="3"/>
      <c r="H586" s="12"/>
      <c r="J586" s="3"/>
      <c r="K586" s="12"/>
      <c r="L586" s="3"/>
      <c r="M586" s="12"/>
      <c r="Q586" s="12"/>
      <c r="R586" s="12"/>
      <c r="T586" s="565"/>
      <c r="U586" s="565"/>
      <c r="V586" s="565"/>
      <c r="W586" s="565"/>
    </row>
    <row r="587">
      <c r="C587" s="12"/>
      <c r="D587" s="3"/>
      <c r="E587" s="112"/>
      <c r="F587" s="3"/>
      <c r="G587" s="3"/>
      <c r="H587" s="12"/>
      <c r="J587" s="3"/>
      <c r="K587" s="12"/>
      <c r="L587" s="3"/>
      <c r="M587" s="12"/>
      <c r="Q587" s="12"/>
      <c r="R587" s="12"/>
      <c r="T587" s="565"/>
      <c r="U587" s="565"/>
      <c r="V587" s="565"/>
      <c r="W587" s="565"/>
    </row>
    <row r="588">
      <c r="C588" s="12"/>
      <c r="D588" s="3"/>
      <c r="E588" s="112"/>
      <c r="F588" s="3"/>
      <c r="G588" s="3"/>
      <c r="H588" s="12"/>
      <c r="J588" s="3"/>
      <c r="K588" s="12"/>
      <c r="L588" s="3"/>
      <c r="M588" s="12"/>
      <c r="Q588" s="12"/>
      <c r="R588" s="12"/>
      <c r="T588" s="565"/>
      <c r="U588" s="565"/>
      <c r="V588" s="565"/>
      <c r="W588" s="565"/>
    </row>
    <row r="589">
      <c r="C589" s="12"/>
      <c r="D589" s="3"/>
      <c r="E589" s="112"/>
      <c r="F589" s="3"/>
      <c r="G589" s="3"/>
      <c r="H589" s="12"/>
      <c r="J589" s="3"/>
      <c r="K589" s="12"/>
      <c r="L589" s="3"/>
      <c r="M589" s="12"/>
      <c r="Q589" s="12"/>
      <c r="R589" s="12"/>
      <c r="T589" s="565"/>
      <c r="U589" s="565"/>
      <c r="V589" s="565"/>
      <c r="W589" s="565"/>
    </row>
    <row r="590">
      <c r="C590" s="12"/>
      <c r="D590" s="3"/>
      <c r="E590" s="112"/>
      <c r="F590" s="3"/>
      <c r="G590" s="3"/>
      <c r="H590" s="12"/>
      <c r="J590" s="3"/>
      <c r="K590" s="12"/>
      <c r="L590" s="3"/>
      <c r="M590" s="12"/>
      <c r="Q590" s="12"/>
      <c r="R590" s="12"/>
      <c r="T590" s="565"/>
      <c r="U590" s="565"/>
      <c r="V590" s="565"/>
      <c r="W590" s="565"/>
    </row>
    <row r="591">
      <c r="C591" s="12"/>
      <c r="D591" s="3"/>
      <c r="E591" s="112"/>
      <c r="F591" s="3"/>
      <c r="G591" s="3"/>
      <c r="H591" s="12"/>
      <c r="J591" s="3"/>
      <c r="K591" s="12"/>
      <c r="L591" s="3"/>
      <c r="M591" s="12"/>
      <c r="Q591" s="12"/>
      <c r="R591" s="12"/>
      <c r="T591" s="565"/>
      <c r="U591" s="565"/>
      <c r="V591" s="565"/>
      <c r="W591" s="565"/>
    </row>
    <row r="592">
      <c r="C592" s="12"/>
      <c r="D592" s="3"/>
      <c r="E592" s="112"/>
      <c r="F592" s="3"/>
      <c r="G592" s="3"/>
      <c r="H592" s="12"/>
      <c r="J592" s="3"/>
      <c r="K592" s="12"/>
      <c r="L592" s="3"/>
      <c r="M592" s="12"/>
      <c r="Q592" s="12"/>
      <c r="R592" s="12"/>
      <c r="T592" s="565"/>
      <c r="U592" s="565"/>
      <c r="V592" s="565"/>
      <c r="W592" s="565"/>
    </row>
    <row r="593">
      <c r="C593" s="12"/>
      <c r="D593" s="3"/>
      <c r="E593" s="112"/>
      <c r="F593" s="3"/>
      <c r="G593" s="3"/>
      <c r="H593" s="12"/>
      <c r="J593" s="3"/>
      <c r="K593" s="12"/>
      <c r="L593" s="3"/>
      <c r="M593" s="12"/>
      <c r="Q593" s="12"/>
      <c r="R593" s="12"/>
      <c r="T593" s="565"/>
      <c r="U593" s="565"/>
      <c r="V593" s="565"/>
      <c r="W593" s="565"/>
    </row>
    <row r="594">
      <c r="C594" s="12"/>
      <c r="D594" s="3"/>
      <c r="E594" s="112"/>
      <c r="F594" s="3"/>
      <c r="G594" s="3"/>
      <c r="H594" s="12"/>
      <c r="J594" s="3"/>
      <c r="K594" s="12"/>
      <c r="L594" s="3"/>
      <c r="M594" s="12"/>
      <c r="Q594" s="12"/>
      <c r="R594" s="12"/>
      <c r="T594" s="565"/>
      <c r="U594" s="565"/>
      <c r="V594" s="565"/>
      <c r="W594" s="565"/>
    </row>
    <row r="595">
      <c r="C595" s="12"/>
      <c r="D595" s="3"/>
      <c r="E595" s="112"/>
      <c r="F595" s="3"/>
      <c r="G595" s="3"/>
      <c r="H595" s="12"/>
      <c r="J595" s="3"/>
      <c r="K595" s="12"/>
      <c r="L595" s="3"/>
      <c r="M595" s="12"/>
      <c r="Q595" s="12"/>
      <c r="R595" s="12"/>
      <c r="T595" s="565"/>
      <c r="U595" s="565"/>
      <c r="V595" s="565"/>
      <c r="W595" s="565"/>
    </row>
    <row r="596">
      <c r="C596" s="12"/>
      <c r="D596" s="3"/>
      <c r="E596" s="112"/>
      <c r="F596" s="3"/>
      <c r="G596" s="3"/>
      <c r="H596" s="12"/>
      <c r="J596" s="3"/>
      <c r="K596" s="12"/>
      <c r="L596" s="3"/>
      <c r="M596" s="12"/>
      <c r="Q596" s="12"/>
      <c r="R596" s="12"/>
      <c r="T596" s="565"/>
      <c r="U596" s="565"/>
      <c r="V596" s="565"/>
      <c r="W596" s="565"/>
    </row>
    <row r="597">
      <c r="C597" s="12"/>
      <c r="D597" s="3"/>
      <c r="E597" s="112"/>
      <c r="F597" s="3"/>
      <c r="G597" s="3"/>
      <c r="H597" s="12"/>
      <c r="J597" s="3"/>
      <c r="K597" s="12"/>
      <c r="L597" s="3"/>
      <c r="M597" s="12"/>
      <c r="Q597" s="12"/>
      <c r="R597" s="12"/>
      <c r="T597" s="565"/>
      <c r="U597" s="565"/>
      <c r="V597" s="565"/>
      <c r="W597" s="565"/>
    </row>
    <row r="598">
      <c r="C598" s="12"/>
      <c r="D598" s="3"/>
      <c r="E598" s="112"/>
      <c r="F598" s="3"/>
      <c r="G598" s="3"/>
      <c r="H598" s="12"/>
      <c r="J598" s="3"/>
      <c r="K598" s="12"/>
      <c r="L598" s="3"/>
      <c r="M598" s="12"/>
      <c r="Q598" s="12"/>
      <c r="R598" s="12"/>
      <c r="T598" s="565"/>
      <c r="U598" s="565"/>
      <c r="V598" s="565"/>
      <c r="W598" s="565"/>
    </row>
    <row r="599">
      <c r="C599" s="12"/>
      <c r="D599" s="3"/>
      <c r="E599" s="112"/>
      <c r="F599" s="3"/>
      <c r="G599" s="3"/>
      <c r="H599" s="12"/>
      <c r="J599" s="3"/>
      <c r="K599" s="12"/>
      <c r="L599" s="3"/>
      <c r="M599" s="12"/>
      <c r="Q599" s="12"/>
      <c r="R599" s="12"/>
      <c r="T599" s="565"/>
      <c r="U599" s="565"/>
      <c r="V599" s="565"/>
      <c r="W599" s="565"/>
    </row>
    <row r="600">
      <c r="C600" s="12"/>
      <c r="D600" s="3"/>
      <c r="E600" s="112"/>
      <c r="F600" s="3"/>
      <c r="G600" s="3"/>
      <c r="H600" s="12"/>
      <c r="J600" s="3"/>
      <c r="K600" s="12"/>
      <c r="L600" s="3"/>
      <c r="M600" s="12"/>
      <c r="Q600" s="12"/>
      <c r="R600" s="12"/>
      <c r="T600" s="565"/>
      <c r="U600" s="565"/>
      <c r="V600" s="565"/>
      <c r="W600" s="565"/>
    </row>
    <row r="601">
      <c r="C601" s="12"/>
      <c r="D601" s="3"/>
      <c r="E601" s="112"/>
      <c r="F601" s="3"/>
      <c r="G601" s="3"/>
      <c r="H601" s="12"/>
      <c r="J601" s="3"/>
      <c r="K601" s="12"/>
      <c r="L601" s="3"/>
      <c r="M601" s="12"/>
      <c r="Q601" s="12"/>
      <c r="R601" s="12"/>
      <c r="T601" s="565"/>
      <c r="U601" s="565"/>
      <c r="V601" s="565"/>
      <c r="W601" s="565"/>
    </row>
    <row r="602">
      <c r="C602" s="12"/>
      <c r="D602" s="3"/>
      <c r="E602" s="112"/>
      <c r="F602" s="3"/>
      <c r="G602" s="3"/>
      <c r="H602" s="12"/>
      <c r="J602" s="3"/>
      <c r="K602" s="12"/>
      <c r="L602" s="3"/>
      <c r="M602" s="12"/>
      <c r="Q602" s="12"/>
      <c r="R602" s="12"/>
      <c r="T602" s="565"/>
      <c r="U602" s="565"/>
      <c r="V602" s="565"/>
      <c r="W602" s="565"/>
    </row>
    <row r="603">
      <c r="C603" s="12"/>
      <c r="D603" s="3"/>
      <c r="E603" s="112"/>
      <c r="F603" s="3"/>
      <c r="G603" s="3"/>
      <c r="H603" s="12"/>
      <c r="J603" s="3"/>
      <c r="K603" s="12"/>
      <c r="L603" s="3"/>
      <c r="M603" s="12"/>
      <c r="Q603" s="12"/>
      <c r="R603" s="12"/>
      <c r="T603" s="565"/>
      <c r="U603" s="565"/>
      <c r="V603" s="565"/>
      <c r="W603" s="565"/>
    </row>
    <row r="604">
      <c r="C604" s="12"/>
      <c r="D604" s="3"/>
      <c r="E604" s="112"/>
      <c r="F604" s="3"/>
      <c r="G604" s="3"/>
      <c r="H604" s="12"/>
      <c r="J604" s="3"/>
      <c r="K604" s="12"/>
      <c r="L604" s="3"/>
      <c r="M604" s="12"/>
      <c r="Q604" s="12"/>
      <c r="R604" s="12"/>
      <c r="T604" s="565"/>
      <c r="U604" s="565"/>
      <c r="V604" s="565"/>
      <c r="W604" s="565"/>
    </row>
    <row r="605">
      <c r="C605" s="12"/>
      <c r="D605" s="3"/>
      <c r="E605" s="112"/>
      <c r="F605" s="3"/>
      <c r="G605" s="3"/>
      <c r="H605" s="12"/>
      <c r="J605" s="3"/>
      <c r="K605" s="12"/>
      <c r="L605" s="3"/>
      <c r="M605" s="12"/>
      <c r="Q605" s="12"/>
      <c r="R605" s="12"/>
      <c r="T605" s="565"/>
      <c r="U605" s="565"/>
      <c r="V605" s="565"/>
      <c r="W605" s="565"/>
    </row>
    <row r="606">
      <c r="C606" s="12"/>
      <c r="D606" s="3"/>
      <c r="E606" s="112"/>
      <c r="F606" s="3"/>
      <c r="G606" s="3"/>
      <c r="H606" s="12"/>
      <c r="J606" s="3"/>
      <c r="K606" s="12"/>
      <c r="L606" s="3"/>
      <c r="M606" s="12"/>
      <c r="Q606" s="12"/>
      <c r="R606" s="12"/>
      <c r="T606" s="565"/>
      <c r="U606" s="565"/>
      <c r="V606" s="565"/>
      <c r="W606" s="565"/>
    </row>
    <row r="607">
      <c r="C607" s="12"/>
      <c r="D607" s="3"/>
      <c r="E607" s="112"/>
      <c r="F607" s="3"/>
      <c r="G607" s="3"/>
      <c r="H607" s="12"/>
      <c r="J607" s="3"/>
      <c r="K607" s="12"/>
      <c r="L607" s="3"/>
      <c r="M607" s="12"/>
      <c r="Q607" s="12"/>
      <c r="R607" s="12"/>
      <c r="T607" s="565"/>
      <c r="U607" s="565"/>
      <c r="V607" s="565"/>
      <c r="W607" s="565"/>
    </row>
    <row r="608">
      <c r="C608" s="12"/>
      <c r="D608" s="3"/>
      <c r="E608" s="112"/>
      <c r="F608" s="3"/>
      <c r="G608" s="3"/>
      <c r="H608" s="12"/>
      <c r="J608" s="3"/>
      <c r="K608" s="12"/>
      <c r="L608" s="3"/>
      <c r="M608" s="12"/>
      <c r="Q608" s="12"/>
      <c r="R608" s="12"/>
      <c r="T608" s="565"/>
      <c r="U608" s="565"/>
      <c r="V608" s="565"/>
      <c r="W608" s="565"/>
    </row>
    <row r="609">
      <c r="C609" s="12"/>
      <c r="D609" s="3"/>
      <c r="E609" s="112"/>
      <c r="F609" s="3"/>
      <c r="G609" s="3"/>
      <c r="H609" s="12"/>
      <c r="J609" s="3"/>
      <c r="K609" s="12"/>
      <c r="L609" s="3"/>
      <c r="M609" s="12"/>
      <c r="Q609" s="12"/>
      <c r="R609" s="12"/>
      <c r="T609" s="565"/>
      <c r="U609" s="565"/>
      <c r="V609" s="565"/>
      <c r="W609" s="565"/>
    </row>
    <row r="610">
      <c r="C610" s="12"/>
      <c r="D610" s="3"/>
      <c r="E610" s="112"/>
      <c r="F610" s="3"/>
      <c r="G610" s="3"/>
      <c r="H610" s="12"/>
      <c r="J610" s="3"/>
      <c r="K610" s="12"/>
      <c r="L610" s="3"/>
      <c r="M610" s="12"/>
      <c r="Q610" s="12"/>
      <c r="R610" s="12"/>
      <c r="T610" s="565"/>
      <c r="U610" s="565"/>
      <c r="V610" s="565"/>
      <c r="W610" s="565"/>
    </row>
    <row r="611">
      <c r="C611" s="12"/>
      <c r="D611" s="3"/>
      <c r="E611" s="112"/>
      <c r="F611" s="3"/>
      <c r="G611" s="3"/>
      <c r="H611" s="12"/>
      <c r="J611" s="3"/>
      <c r="K611" s="12"/>
      <c r="L611" s="3"/>
      <c r="M611" s="12"/>
      <c r="Q611" s="12"/>
      <c r="R611" s="12"/>
      <c r="T611" s="565"/>
      <c r="U611" s="565"/>
      <c r="V611" s="565"/>
      <c r="W611" s="565"/>
    </row>
    <row r="612">
      <c r="C612" s="12"/>
      <c r="D612" s="3"/>
      <c r="E612" s="112"/>
      <c r="F612" s="3"/>
      <c r="G612" s="3"/>
      <c r="H612" s="12"/>
      <c r="J612" s="3"/>
      <c r="K612" s="12"/>
      <c r="L612" s="3"/>
      <c r="M612" s="12"/>
      <c r="Q612" s="12"/>
      <c r="R612" s="12"/>
      <c r="T612" s="565"/>
      <c r="U612" s="565"/>
      <c r="V612" s="565"/>
      <c r="W612" s="565"/>
    </row>
    <row r="613">
      <c r="C613" s="12"/>
      <c r="D613" s="3"/>
      <c r="E613" s="112"/>
      <c r="F613" s="3"/>
      <c r="G613" s="3"/>
      <c r="H613" s="12"/>
      <c r="J613" s="3"/>
      <c r="K613" s="12"/>
      <c r="L613" s="3"/>
      <c r="M613" s="12"/>
      <c r="Q613" s="12"/>
      <c r="R613" s="12"/>
      <c r="T613" s="565"/>
      <c r="U613" s="565"/>
      <c r="V613" s="565"/>
      <c r="W613" s="565"/>
    </row>
    <row r="614">
      <c r="C614" s="12"/>
      <c r="D614" s="3"/>
      <c r="E614" s="112"/>
      <c r="F614" s="3"/>
      <c r="G614" s="3"/>
      <c r="H614" s="12"/>
      <c r="J614" s="3"/>
      <c r="K614" s="12"/>
      <c r="L614" s="3"/>
      <c r="M614" s="12"/>
      <c r="Q614" s="12"/>
      <c r="R614" s="12"/>
      <c r="T614" s="565"/>
      <c r="U614" s="565"/>
      <c r="V614" s="565"/>
      <c r="W614" s="565"/>
    </row>
    <row r="615">
      <c r="C615" s="12"/>
      <c r="D615" s="3"/>
      <c r="E615" s="112"/>
      <c r="F615" s="3"/>
      <c r="G615" s="3"/>
      <c r="H615" s="12"/>
      <c r="J615" s="3"/>
      <c r="K615" s="12"/>
      <c r="L615" s="3"/>
      <c r="M615" s="12"/>
      <c r="Q615" s="12"/>
      <c r="R615" s="12"/>
      <c r="T615" s="565"/>
      <c r="U615" s="565"/>
      <c r="V615" s="565"/>
      <c r="W615" s="565"/>
    </row>
    <row r="616">
      <c r="C616" s="12"/>
      <c r="D616" s="3"/>
      <c r="E616" s="112"/>
      <c r="F616" s="3"/>
      <c r="G616" s="3"/>
      <c r="H616" s="12"/>
      <c r="J616" s="3"/>
      <c r="K616" s="12"/>
      <c r="L616" s="3"/>
      <c r="M616" s="12"/>
      <c r="Q616" s="12"/>
      <c r="R616" s="12"/>
      <c r="T616" s="565"/>
      <c r="U616" s="565"/>
      <c r="V616" s="565"/>
      <c r="W616" s="565"/>
    </row>
    <row r="617">
      <c r="C617" s="12"/>
      <c r="D617" s="3"/>
      <c r="E617" s="112"/>
      <c r="F617" s="3"/>
      <c r="G617" s="3"/>
      <c r="H617" s="12"/>
      <c r="J617" s="3"/>
      <c r="K617" s="12"/>
      <c r="L617" s="3"/>
      <c r="M617" s="12"/>
      <c r="Q617" s="12"/>
      <c r="R617" s="12"/>
      <c r="T617" s="565"/>
      <c r="U617" s="565"/>
      <c r="V617" s="565"/>
      <c r="W617" s="565"/>
    </row>
    <row r="618">
      <c r="C618" s="12"/>
      <c r="D618" s="3"/>
      <c r="E618" s="112"/>
      <c r="F618" s="3"/>
      <c r="G618" s="3"/>
      <c r="H618" s="12"/>
      <c r="J618" s="3"/>
      <c r="K618" s="12"/>
      <c r="L618" s="3"/>
      <c r="M618" s="12"/>
      <c r="Q618" s="12"/>
      <c r="R618" s="12"/>
      <c r="T618" s="565"/>
      <c r="U618" s="565"/>
      <c r="V618" s="565"/>
      <c r="W618" s="565"/>
    </row>
    <row r="619">
      <c r="C619" s="12"/>
      <c r="D619" s="3"/>
      <c r="E619" s="112"/>
      <c r="F619" s="3"/>
      <c r="G619" s="3"/>
      <c r="H619" s="12"/>
      <c r="J619" s="3"/>
      <c r="K619" s="12"/>
      <c r="L619" s="3"/>
      <c r="M619" s="12"/>
      <c r="Q619" s="12"/>
      <c r="R619" s="12"/>
      <c r="T619" s="565"/>
      <c r="U619" s="565"/>
      <c r="V619" s="565"/>
      <c r="W619" s="565"/>
    </row>
    <row r="620">
      <c r="C620" s="12"/>
      <c r="D620" s="3"/>
      <c r="E620" s="112"/>
      <c r="F620" s="3"/>
      <c r="G620" s="3"/>
      <c r="H620" s="12"/>
      <c r="J620" s="3"/>
      <c r="K620" s="12"/>
      <c r="L620" s="3"/>
      <c r="M620" s="12"/>
      <c r="Q620" s="12"/>
      <c r="R620" s="12"/>
      <c r="T620" s="565"/>
      <c r="U620" s="565"/>
      <c r="V620" s="565"/>
      <c r="W620" s="565"/>
    </row>
    <row r="621">
      <c r="C621" s="12"/>
      <c r="D621" s="3"/>
      <c r="E621" s="112"/>
      <c r="F621" s="3"/>
      <c r="G621" s="3"/>
      <c r="H621" s="12"/>
      <c r="J621" s="3"/>
      <c r="K621" s="12"/>
      <c r="L621" s="3"/>
      <c r="M621" s="12"/>
      <c r="Q621" s="12"/>
      <c r="R621" s="12"/>
      <c r="T621" s="565"/>
      <c r="U621" s="565"/>
      <c r="V621" s="565"/>
      <c r="W621" s="565"/>
    </row>
    <row r="622">
      <c r="C622" s="12"/>
      <c r="D622" s="3"/>
      <c r="E622" s="112"/>
      <c r="F622" s="3"/>
      <c r="G622" s="3"/>
      <c r="H622" s="12"/>
      <c r="J622" s="3"/>
      <c r="K622" s="12"/>
      <c r="L622" s="3"/>
      <c r="M622" s="12"/>
      <c r="Q622" s="12"/>
      <c r="R622" s="12"/>
      <c r="T622" s="565"/>
      <c r="U622" s="565"/>
      <c r="V622" s="565"/>
      <c r="W622" s="565"/>
    </row>
    <row r="623">
      <c r="C623" s="12"/>
      <c r="D623" s="3"/>
      <c r="E623" s="112"/>
      <c r="F623" s="3"/>
      <c r="G623" s="3"/>
      <c r="H623" s="12"/>
      <c r="J623" s="3"/>
      <c r="K623" s="12"/>
      <c r="L623" s="3"/>
      <c r="M623" s="12"/>
      <c r="Q623" s="12"/>
      <c r="R623" s="12"/>
      <c r="T623" s="565"/>
      <c r="U623" s="565"/>
      <c r="V623" s="565"/>
      <c r="W623" s="565"/>
    </row>
    <row r="624">
      <c r="C624" s="12"/>
      <c r="D624" s="3"/>
      <c r="E624" s="112"/>
      <c r="F624" s="3"/>
      <c r="G624" s="3"/>
      <c r="H624" s="12"/>
      <c r="J624" s="3"/>
      <c r="K624" s="12"/>
      <c r="L624" s="3"/>
      <c r="M624" s="12"/>
      <c r="Q624" s="12"/>
      <c r="R624" s="12"/>
      <c r="T624" s="565"/>
      <c r="U624" s="565"/>
      <c r="V624" s="565"/>
      <c r="W624" s="565"/>
    </row>
    <row r="625">
      <c r="C625" s="12"/>
      <c r="D625" s="3"/>
      <c r="E625" s="112"/>
      <c r="F625" s="3"/>
      <c r="G625" s="3"/>
      <c r="H625" s="12"/>
      <c r="J625" s="3"/>
      <c r="K625" s="12"/>
      <c r="L625" s="3"/>
      <c r="M625" s="12"/>
      <c r="Q625" s="12"/>
      <c r="R625" s="12"/>
      <c r="T625" s="565"/>
      <c r="U625" s="565"/>
      <c r="V625" s="565"/>
      <c r="W625" s="565"/>
    </row>
    <row r="626">
      <c r="C626" s="12"/>
      <c r="D626" s="3"/>
      <c r="E626" s="112"/>
      <c r="F626" s="3"/>
      <c r="G626" s="3"/>
      <c r="H626" s="12"/>
      <c r="J626" s="3"/>
      <c r="K626" s="12"/>
      <c r="L626" s="3"/>
      <c r="M626" s="12"/>
      <c r="Q626" s="12"/>
      <c r="R626" s="12"/>
      <c r="T626" s="565"/>
      <c r="U626" s="565"/>
      <c r="V626" s="565"/>
      <c r="W626" s="565"/>
    </row>
    <row r="627">
      <c r="C627" s="12"/>
      <c r="D627" s="3"/>
      <c r="E627" s="112"/>
      <c r="F627" s="3"/>
      <c r="G627" s="3"/>
      <c r="H627" s="12"/>
      <c r="J627" s="3"/>
      <c r="K627" s="12"/>
      <c r="L627" s="3"/>
      <c r="M627" s="12"/>
      <c r="Q627" s="12"/>
      <c r="R627" s="12"/>
      <c r="T627" s="565"/>
      <c r="U627" s="565"/>
      <c r="V627" s="565"/>
      <c r="W627" s="565"/>
    </row>
    <row r="628">
      <c r="C628" s="12"/>
      <c r="D628" s="3"/>
      <c r="E628" s="112"/>
      <c r="F628" s="3"/>
      <c r="G628" s="3"/>
      <c r="H628" s="12"/>
      <c r="J628" s="3"/>
      <c r="K628" s="12"/>
      <c r="L628" s="3"/>
      <c r="M628" s="12"/>
      <c r="Q628" s="12"/>
      <c r="R628" s="12"/>
      <c r="T628" s="565"/>
      <c r="U628" s="565"/>
      <c r="V628" s="565"/>
      <c r="W628" s="565"/>
    </row>
    <row r="629">
      <c r="C629" s="12"/>
      <c r="D629" s="3"/>
      <c r="E629" s="112"/>
      <c r="F629" s="3"/>
      <c r="G629" s="3"/>
      <c r="H629" s="12"/>
      <c r="J629" s="3"/>
      <c r="K629" s="12"/>
      <c r="L629" s="3"/>
      <c r="M629" s="12"/>
      <c r="Q629" s="12"/>
      <c r="R629" s="12"/>
      <c r="T629" s="565"/>
      <c r="U629" s="565"/>
      <c r="V629" s="565"/>
      <c r="W629" s="565"/>
    </row>
    <row r="630">
      <c r="C630" s="12"/>
      <c r="D630" s="3"/>
      <c r="E630" s="112"/>
      <c r="F630" s="3"/>
      <c r="G630" s="3"/>
      <c r="H630" s="12"/>
      <c r="J630" s="3"/>
      <c r="K630" s="12"/>
      <c r="L630" s="3"/>
      <c r="M630" s="12"/>
      <c r="Q630" s="12"/>
      <c r="R630" s="12"/>
      <c r="T630" s="565"/>
      <c r="U630" s="565"/>
      <c r="V630" s="565"/>
      <c r="W630" s="565"/>
    </row>
    <row r="631">
      <c r="C631" s="12"/>
      <c r="D631" s="3"/>
      <c r="E631" s="112"/>
      <c r="F631" s="3"/>
      <c r="G631" s="3"/>
      <c r="H631" s="12"/>
      <c r="J631" s="3"/>
      <c r="K631" s="12"/>
      <c r="L631" s="3"/>
      <c r="M631" s="12"/>
      <c r="Q631" s="12"/>
      <c r="R631" s="12"/>
      <c r="T631" s="565"/>
      <c r="U631" s="565"/>
      <c r="V631" s="565"/>
      <c r="W631" s="565"/>
    </row>
    <row r="632">
      <c r="C632" s="12"/>
      <c r="D632" s="3"/>
      <c r="E632" s="112"/>
      <c r="F632" s="3"/>
      <c r="G632" s="3"/>
      <c r="H632" s="12"/>
      <c r="J632" s="3"/>
      <c r="K632" s="12"/>
      <c r="L632" s="3"/>
      <c r="M632" s="12"/>
      <c r="Q632" s="12"/>
      <c r="R632" s="12"/>
      <c r="T632" s="565"/>
      <c r="U632" s="565"/>
      <c r="V632" s="565"/>
      <c r="W632" s="565"/>
    </row>
    <row r="633">
      <c r="C633" s="12"/>
      <c r="D633" s="3"/>
      <c r="E633" s="112"/>
      <c r="F633" s="3"/>
      <c r="G633" s="3"/>
      <c r="H633" s="12"/>
      <c r="J633" s="3"/>
      <c r="K633" s="12"/>
      <c r="L633" s="3"/>
      <c r="M633" s="12"/>
      <c r="Q633" s="12"/>
      <c r="R633" s="12"/>
      <c r="T633" s="565"/>
      <c r="U633" s="565"/>
      <c r="V633" s="565"/>
      <c r="W633" s="565"/>
    </row>
    <row r="634">
      <c r="C634" s="12"/>
      <c r="D634" s="3"/>
      <c r="E634" s="112"/>
      <c r="F634" s="3"/>
      <c r="G634" s="3"/>
      <c r="H634" s="12"/>
      <c r="J634" s="3"/>
      <c r="K634" s="12"/>
      <c r="L634" s="3"/>
      <c r="M634" s="12"/>
      <c r="Q634" s="12"/>
      <c r="R634" s="12"/>
      <c r="T634" s="565"/>
      <c r="U634" s="565"/>
      <c r="V634" s="565"/>
      <c r="W634" s="565"/>
    </row>
    <row r="635">
      <c r="C635" s="12"/>
      <c r="D635" s="3"/>
      <c r="E635" s="112"/>
      <c r="F635" s="3"/>
      <c r="G635" s="3"/>
      <c r="H635" s="12"/>
      <c r="J635" s="3"/>
      <c r="K635" s="12"/>
      <c r="L635" s="3"/>
      <c r="M635" s="12"/>
      <c r="Q635" s="12"/>
      <c r="R635" s="12"/>
      <c r="T635" s="565"/>
      <c r="U635" s="565"/>
      <c r="V635" s="565"/>
      <c r="W635" s="565"/>
    </row>
    <row r="636">
      <c r="C636" s="12"/>
      <c r="D636" s="3"/>
      <c r="E636" s="112"/>
      <c r="F636" s="3"/>
      <c r="G636" s="3"/>
      <c r="H636" s="12"/>
      <c r="J636" s="3"/>
      <c r="K636" s="12"/>
      <c r="L636" s="3"/>
      <c r="M636" s="12"/>
      <c r="Q636" s="12"/>
      <c r="R636" s="12"/>
      <c r="T636" s="565"/>
      <c r="U636" s="565"/>
      <c r="V636" s="565"/>
      <c r="W636" s="565"/>
    </row>
    <row r="637">
      <c r="C637" s="12"/>
      <c r="D637" s="3"/>
      <c r="E637" s="112"/>
      <c r="F637" s="3"/>
      <c r="G637" s="3"/>
      <c r="H637" s="12"/>
      <c r="J637" s="3"/>
      <c r="K637" s="12"/>
      <c r="L637" s="3"/>
      <c r="M637" s="12"/>
      <c r="Q637" s="12"/>
      <c r="R637" s="12"/>
      <c r="T637" s="565"/>
      <c r="U637" s="565"/>
      <c r="V637" s="565"/>
      <c r="W637" s="565"/>
    </row>
    <row r="638">
      <c r="C638" s="12"/>
      <c r="D638" s="3"/>
      <c r="E638" s="112"/>
      <c r="F638" s="3"/>
      <c r="G638" s="3"/>
      <c r="H638" s="12"/>
      <c r="J638" s="3"/>
      <c r="K638" s="12"/>
      <c r="L638" s="3"/>
      <c r="M638" s="12"/>
      <c r="Q638" s="12"/>
      <c r="R638" s="12"/>
      <c r="T638" s="565"/>
      <c r="U638" s="565"/>
      <c r="V638" s="565"/>
      <c r="W638" s="565"/>
    </row>
    <row r="639">
      <c r="C639" s="12"/>
      <c r="D639" s="3"/>
      <c r="E639" s="112"/>
      <c r="F639" s="3"/>
      <c r="G639" s="3"/>
      <c r="H639" s="12"/>
      <c r="J639" s="3"/>
      <c r="K639" s="12"/>
      <c r="L639" s="3"/>
      <c r="M639" s="12"/>
      <c r="Q639" s="12"/>
      <c r="R639" s="12"/>
      <c r="T639" s="565"/>
      <c r="U639" s="565"/>
      <c r="V639" s="565"/>
      <c r="W639" s="565"/>
    </row>
    <row r="640">
      <c r="C640" s="12"/>
      <c r="D640" s="3"/>
      <c r="E640" s="112"/>
      <c r="F640" s="3"/>
      <c r="G640" s="3"/>
      <c r="H640" s="12"/>
      <c r="J640" s="3"/>
      <c r="K640" s="12"/>
      <c r="L640" s="3"/>
      <c r="M640" s="12"/>
      <c r="Q640" s="12"/>
      <c r="R640" s="12"/>
      <c r="T640" s="565"/>
      <c r="U640" s="565"/>
      <c r="V640" s="565"/>
      <c r="W640" s="565"/>
    </row>
    <row r="641">
      <c r="C641" s="12"/>
      <c r="D641" s="3"/>
      <c r="E641" s="112"/>
      <c r="F641" s="3"/>
      <c r="G641" s="3"/>
      <c r="H641" s="12"/>
      <c r="J641" s="3"/>
      <c r="K641" s="12"/>
      <c r="L641" s="3"/>
      <c r="M641" s="12"/>
      <c r="Q641" s="12"/>
      <c r="R641" s="12"/>
      <c r="T641" s="565"/>
      <c r="U641" s="565"/>
      <c r="V641" s="565"/>
      <c r="W641" s="565"/>
    </row>
    <row r="642">
      <c r="C642" s="12"/>
      <c r="D642" s="3"/>
      <c r="E642" s="112"/>
      <c r="F642" s="3"/>
      <c r="G642" s="3"/>
      <c r="H642" s="12"/>
      <c r="J642" s="3"/>
      <c r="K642" s="12"/>
      <c r="L642" s="3"/>
      <c r="M642" s="12"/>
      <c r="Q642" s="12"/>
      <c r="R642" s="12"/>
      <c r="T642" s="565"/>
      <c r="U642" s="565"/>
      <c r="V642" s="565"/>
      <c r="W642" s="565"/>
    </row>
    <row r="643">
      <c r="C643" s="12"/>
      <c r="D643" s="3"/>
      <c r="E643" s="112"/>
      <c r="F643" s="3"/>
      <c r="G643" s="3"/>
      <c r="H643" s="12"/>
      <c r="J643" s="3"/>
      <c r="K643" s="12"/>
      <c r="L643" s="3"/>
      <c r="M643" s="12"/>
      <c r="Q643" s="12"/>
      <c r="R643" s="12"/>
      <c r="T643" s="565"/>
      <c r="U643" s="565"/>
      <c r="V643" s="565"/>
      <c r="W643" s="565"/>
    </row>
    <row r="644">
      <c r="C644" s="12"/>
      <c r="D644" s="3"/>
      <c r="E644" s="112"/>
      <c r="F644" s="3"/>
      <c r="G644" s="3"/>
      <c r="H644" s="12"/>
      <c r="J644" s="3"/>
      <c r="K644" s="12"/>
      <c r="L644" s="3"/>
      <c r="M644" s="12"/>
      <c r="Q644" s="12"/>
      <c r="R644" s="12"/>
      <c r="T644" s="565"/>
      <c r="U644" s="565"/>
      <c r="V644" s="565"/>
      <c r="W644" s="565"/>
    </row>
    <row r="645">
      <c r="C645" s="12"/>
      <c r="D645" s="3"/>
      <c r="E645" s="112"/>
      <c r="F645" s="3"/>
      <c r="G645" s="3"/>
      <c r="H645" s="12"/>
      <c r="J645" s="3"/>
      <c r="K645" s="12"/>
      <c r="L645" s="3"/>
      <c r="M645" s="12"/>
      <c r="Q645" s="12"/>
      <c r="R645" s="12"/>
      <c r="T645" s="565"/>
      <c r="U645" s="565"/>
      <c r="V645" s="565"/>
      <c r="W645" s="565"/>
    </row>
    <row r="646">
      <c r="C646" s="12"/>
      <c r="D646" s="3"/>
      <c r="E646" s="112"/>
      <c r="F646" s="3"/>
      <c r="G646" s="3"/>
      <c r="H646" s="12"/>
      <c r="J646" s="3"/>
      <c r="K646" s="12"/>
      <c r="L646" s="3"/>
      <c r="M646" s="12"/>
      <c r="Q646" s="12"/>
      <c r="R646" s="12"/>
      <c r="T646" s="565"/>
      <c r="U646" s="565"/>
      <c r="V646" s="565"/>
      <c r="W646" s="565"/>
    </row>
    <row r="647">
      <c r="C647" s="12"/>
      <c r="D647" s="3"/>
      <c r="E647" s="112"/>
      <c r="F647" s="3"/>
      <c r="G647" s="3"/>
      <c r="H647" s="12"/>
      <c r="J647" s="3"/>
      <c r="K647" s="12"/>
      <c r="L647" s="3"/>
      <c r="M647" s="12"/>
      <c r="Q647" s="12"/>
      <c r="R647" s="12"/>
      <c r="T647" s="565"/>
      <c r="U647" s="565"/>
      <c r="V647" s="565"/>
      <c r="W647" s="565"/>
    </row>
    <row r="648">
      <c r="C648" s="12"/>
      <c r="D648" s="3"/>
      <c r="E648" s="112"/>
      <c r="F648" s="3"/>
      <c r="G648" s="3"/>
      <c r="H648" s="12"/>
      <c r="J648" s="3"/>
      <c r="K648" s="12"/>
      <c r="L648" s="3"/>
      <c r="M648" s="12"/>
      <c r="Q648" s="12"/>
      <c r="R648" s="12"/>
      <c r="T648" s="565"/>
      <c r="U648" s="565"/>
      <c r="V648" s="565"/>
      <c r="W648" s="565"/>
    </row>
    <row r="649">
      <c r="C649" s="12"/>
      <c r="D649" s="3"/>
      <c r="E649" s="112"/>
      <c r="F649" s="3"/>
      <c r="G649" s="3"/>
      <c r="H649" s="12"/>
      <c r="J649" s="3"/>
      <c r="K649" s="12"/>
      <c r="L649" s="3"/>
      <c r="M649" s="12"/>
      <c r="Q649" s="12"/>
      <c r="R649" s="12"/>
      <c r="T649" s="565"/>
      <c r="U649" s="565"/>
      <c r="V649" s="565"/>
      <c r="W649" s="565"/>
    </row>
    <row r="650">
      <c r="C650" s="12"/>
      <c r="D650" s="3"/>
      <c r="E650" s="112"/>
      <c r="F650" s="3"/>
      <c r="G650" s="3"/>
      <c r="H650" s="12"/>
      <c r="J650" s="3"/>
      <c r="K650" s="12"/>
      <c r="L650" s="3"/>
      <c r="M650" s="12"/>
      <c r="Q650" s="12"/>
      <c r="R650" s="12"/>
      <c r="T650" s="565"/>
      <c r="U650" s="565"/>
      <c r="V650" s="565"/>
      <c r="W650" s="565"/>
    </row>
    <row r="651">
      <c r="C651" s="12"/>
      <c r="D651" s="3"/>
      <c r="E651" s="112"/>
      <c r="F651" s="3"/>
      <c r="G651" s="3"/>
      <c r="H651" s="12"/>
      <c r="J651" s="3"/>
      <c r="K651" s="12"/>
      <c r="L651" s="3"/>
      <c r="M651" s="12"/>
      <c r="Q651" s="12"/>
      <c r="R651" s="12"/>
      <c r="T651" s="565"/>
      <c r="U651" s="565"/>
      <c r="V651" s="565"/>
      <c r="W651" s="565"/>
    </row>
    <row r="652">
      <c r="C652" s="12"/>
      <c r="D652" s="3"/>
      <c r="E652" s="112"/>
      <c r="F652" s="3"/>
      <c r="G652" s="3"/>
      <c r="H652" s="12"/>
      <c r="J652" s="3"/>
      <c r="K652" s="12"/>
      <c r="L652" s="3"/>
      <c r="M652" s="12"/>
      <c r="Q652" s="12"/>
      <c r="R652" s="12"/>
      <c r="T652" s="565"/>
      <c r="U652" s="565"/>
      <c r="V652" s="565"/>
      <c r="W652" s="565"/>
    </row>
    <row r="653">
      <c r="C653" s="12"/>
      <c r="D653" s="3"/>
      <c r="E653" s="112"/>
      <c r="F653" s="3"/>
      <c r="G653" s="3"/>
      <c r="H653" s="12"/>
      <c r="J653" s="3"/>
      <c r="K653" s="12"/>
      <c r="L653" s="3"/>
      <c r="M653" s="12"/>
      <c r="Q653" s="12"/>
      <c r="R653" s="12"/>
      <c r="T653" s="565"/>
      <c r="U653" s="565"/>
      <c r="V653" s="565"/>
      <c r="W653" s="565"/>
    </row>
    <row r="654">
      <c r="C654" s="12"/>
      <c r="D654" s="3"/>
      <c r="E654" s="112"/>
      <c r="F654" s="3"/>
      <c r="G654" s="3"/>
      <c r="H654" s="12"/>
      <c r="J654" s="3"/>
      <c r="K654" s="12"/>
      <c r="L654" s="3"/>
      <c r="M654" s="12"/>
      <c r="Q654" s="12"/>
      <c r="R654" s="12"/>
      <c r="T654" s="565"/>
      <c r="U654" s="565"/>
      <c r="V654" s="565"/>
      <c r="W654" s="565"/>
    </row>
    <row r="655">
      <c r="C655" s="12"/>
      <c r="D655" s="3"/>
      <c r="E655" s="112"/>
      <c r="F655" s="3"/>
      <c r="G655" s="3"/>
      <c r="H655" s="12"/>
      <c r="J655" s="3"/>
      <c r="K655" s="12"/>
      <c r="L655" s="3"/>
      <c r="M655" s="12"/>
      <c r="Q655" s="12"/>
      <c r="R655" s="12"/>
      <c r="T655" s="565"/>
      <c r="U655" s="565"/>
      <c r="V655" s="565"/>
      <c r="W655" s="565"/>
    </row>
    <row r="656">
      <c r="C656" s="12"/>
      <c r="D656" s="3"/>
      <c r="E656" s="112"/>
      <c r="F656" s="3"/>
      <c r="G656" s="3"/>
      <c r="H656" s="12"/>
      <c r="J656" s="3"/>
      <c r="K656" s="12"/>
      <c r="L656" s="3"/>
      <c r="M656" s="12"/>
      <c r="Q656" s="12"/>
      <c r="R656" s="12"/>
      <c r="T656" s="565"/>
      <c r="U656" s="565"/>
      <c r="V656" s="565"/>
      <c r="W656" s="565"/>
    </row>
    <row r="657">
      <c r="C657" s="12"/>
      <c r="D657" s="3"/>
      <c r="E657" s="112"/>
      <c r="F657" s="3"/>
      <c r="G657" s="3"/>
      <c r="H657" s="12"/>
      <c r="J657" s="3"/>
      <c r="K657" s="12"/>
      <c r="L657" s="3"/>
      <c r="M657" s="12"/>
      <c r="Q657" s="12"/>
      <c r="R657" s="12"/>
      <c r="T657" s="565"/>
      <c r="U657" s="565"/>
      <c r="V657" s="565"/>
      <c r="W657" s="565"/>
    </row>
    <row r="658">
      <c r="C658" s="12"/>
      <c r="D658" s="3"/>
      <c r="E658" s="112"/>
      <c r="F658" s="3"/>
      <c r="G658" s="3"/>
      <c r="H658" s="12"/>
      <c r="J658" s="3"/>
      <c r="K658" s="12"/>
      <c r="L658" s="3"/>
      <c r="M658" s="12"/>
      <c r="Q658" s="12"/>
      <c r="R658" s="12"/>
      <c r="T658" s="565"/>
      <c r="U658" s="565"/>
      <c r="V658" s="565"/>
      <c r="W658" s="565"/>
    </row>
    <row r="659">
      <c r="C659" s="12"/>
      <c r="D659" s="3"/>
      <c r="E659" s="112"/>
      <c r="F659" s="3"/>
      <c r="G659" s="3"/>
      <c r="H659" s="12"/>
      <c r="J659" s="3"/>
      <c r="K659" s="12"/>
      <c r="L659" s="3"/>
      <c r="M659" s="12"/>
      <c r="Q659" s="12"/>
      <c r="R659" s="12"/>
      <c r="T659" s="565"/>
      <c r="U659" s="565"/>
      <c r="V659" s="565"/>
      <c r="W659" s="565"/>
    </row>
    <row r="660">
      <c r="C660" s="12"/>
      <c r="D660" s="3"/>
      <c r="E660" s="112"/>
      <c r="F660" s="3"/>
      <c r="G660" s="3"/>
      <c r="H660" s="12"/>
      <c r="J660" s="3"/>
      <c r="K660" s="12"/>
      <c r="L660" s="3"/>
      <c r="M660" s="12"/>
      <c r="Q660" s="12"/>
      <c r="R660" s="12"/>
      <c r="T660" s="565"/>
      <c r="U660" s="565"/>
      <c r="V660" s="565"/>
      <c r="W660" s="565"/>
    </row>
    <row r="661">
      <c r="C661" s="12"/>
      <c r="D661" s="3"/>
      <c r="E661" s="112"/>
      <c r="F661" s="3"/>
      <c r="G661" s="3"/>
      <c r="H661" s="12"/>
      <c r="J661" s="3"/>
      <c r="K661" s="12"/>
      <c r="L661" s="3"/>
      <c r="M661" s="12"/>
      <c r="Q661" s="12"/>
      <c r="R661" s="12"/>
      <c r="T661" s="565"/>
      <c r="U661" s="565"/>
      <c r="V661" s="565"/>
      <c r="W661" s="565"/>
    </row>
    <row r="662">
      <c r="C662" s="12"/>
      <c r="D662" s="3"/>
      <c r="E662" s="112"/>
      <c r="F662" s="3"/>
      <c r="G662" s="3"/>
      <c r="H662" s="12"/>
      <c r="J662" s="3"/>
      <c r="K662" s="12"/>
      <c r="L662" s="3"/>
      <c r="M662" s="12"/>
      <c r="Q662" s="12"/>
      <c r="R662" s="12"/>
      <c r="T662" s="565"/>
      <c r="U662" s="565"/>
      <c r="V662" s="565"/>
      <c r="W662" s="565"/>
    </row>
    <row r="663">
      <c r="C663" s="12"/>
      <c r="D663" s="3"/>
      <c r="E663" s="112"/>
      <c r="F663" s="3"/>
      <c r="G663" s="3"/>
      <c r="H663" s="12"/>
      <c r="J663" s="3"/>
      <c r="K663" s="12"/>
      <c r="L663" s="3"/>
      <c r="M663" s="12"/>
      <c r="Q663" s="12"/>
      <c r="R663" s="12"/>
      <c r="T663" s="565"/>
      <c r="U663" s="565"/>
      <c r="V663" s="565"/>
      <c r="W663" s="565"/>
    </row>
    <row r="664">
      <c r="C664" s="12"/>
      <c r="D664" s="3"/>
      <c r="E664" s="112"/>
      <c r="F664" s="3"/>
      <c r="G664" s="3"/>
      <c r="H664" s="12"/>
      <c r="J664" s="3"/>
      <c r="K664" s="12"/>
      <c r="L664" s="3"/>
      <c r="M664" s="12"/>
      <c r="Q664" s="12"/>
      <c r="R664" s="12"/>
      <c r="T664" s="565"/>
      <c r="U664" s="565"/>
      <c r="V664" s="565"/>
      <c r="W664" s="565"/>
    </row>
    <row r="665">
      <c r="C665" s="12"/>
      <c r="D665" s="3"/>
      <c r="E665" s="112"/>
      <c r="F665" s="3"/>
      <c r="G665" s="3"/>
      <c r="H665" s="12"/>
      <c r="J665" s="3"/>
      <c r="K665" s="12"/>
      <c r="L665" s="3"/>
      <c r="M665" s="12"/>
      <c r="Q665" s="12"/>
      <c r="R665" s="12"/>
      <c r="T665" s="565"/>
      <c r="U665" s="565"/>
      <c r="V665" s="565"/>
      <c r="W665" s="565"/>
    </row>
    <row r="666">
      <c r="C666" s="12"/>
      <c r="D666" s="3"/>
      <c r="E666" s="112"/>
      <c r="F666" s="3"/>
      <c r="G666" s="3"/>
      <c r="H666" s="12"/>
      <c r="J666" s="3"/>
      <c r="K666" s="12"/>
      <c r="L666" s="3"/>
      <c r="M666" s="12"/>
      <c r="Q666" s="12"/>
      <c r="R666" s="12"/>
      <c r="T666" s="565"/>
      <c r="U666" s="565"/>
      <c r="V666" s="565"/>
      <c r="W666" s="565"/>
    </row>
    <row r="667">
      <c r="C667" s="12"/>
      <c r="D667" s="3"/>
      <c r="E667" s="112"/>
      <c r="F667" s="3"/>
      <c r="G667" s="3"/>
      <c r="H667" s="12"/>
      <c r="J667" s="3"/>
      <c r="K667" s="12"/>
      <c r="L667" s="3"/>
      <c r="M667" s="12"/>
      <c r="Q667" s="12"/>
      <c r="R667" s="12"/>
      <c r="T667" s="565"/>
      <c r="U667" s="565"/>
      <c r="V667" s="565"/>
      <c r="W667" s="565"/>
    </row>
    <row r="668">
      <c r="C668" s="12"/>
      <c r="D668" s="3"/>
      <c r="E668" s="112"/>
      <c r="F668" s="3"/>
      <c r="G668" s="3"/>
      <c r="H668" s="12"/>
      <c r="J668" s="3"/>
      <c r="K668" s="12"/>
      <c r="L668" s="3"/>
      <c r="M668" s="12"/>
      <c r="Q668" s="12"/>
      <c r="R668" s="12"/>
      <c r="T668" s="565"/>
      <c r="U668" s="565"/>
      <c r="V668" s="565"/>
      <c r="W668" s="565"/>
    </row>
    <row r="669">
      <c r="C669" s="12"/>
      <c r="D669" s="3"/>
      <c r="E669" s="112"/>
      <c r="F669" s="3"/>
      <c r="G669" s="3"/>
      <c r="H669" s="12"/>
      <c r="J669" s="3"/>
      <c r="K669" s="12"/>
      <c r="L669" s="3"/>
      <c r="M669" s="12"/>
      <c r="Q669" s="12"/>
      <c r="R669" s="12"/>
      <c r="T669" s="565"/>
      <c r="U669" s="565"/>
      <c r="V669" s="565"/>
      <c r="W669" s="565"/>
    </row>
    <row r="670">
      <c r="C670" s="12"/>
      <c r="D670" s="3"/>
      <c r="E670" s="112"/>
      <c r="F670" s="3"/>
      <c r="G670" s="3"/>
      <c r="H670" s="12"/>
      <c r="J670" s="3"/>
      <c r="K670" s="12"/>
      <c r="L670" s="3"/>
      <c r="M670" s="12"/>
      <c r="Q670" s="12"/>
      <c r="R670" s="12"/>
      <c r="T670" s="565"/>
      <c r="U670" s="565"/>
      <c r="V670" s="565"/>
      <c r="W670" s="565"/>
    </row>
    <row r="671">
      <c r="C671" s="12"/>
      <c r="D671" s="3"/>
      <c r="E671" s="112"/>
      <c r="F671" s="3"/>
      <c r="G671" s="3"/>
      <c r="H671" s="12"/>
      <c r="J671" s="3"/>
      <c r="K671" s="12"/>
      <c r="L671" s="3"/>
      <c r="M671" s="12"/>
      <c r="Q671" s="12"/>
      <c r="R671" s="12"/>
      <c r="T671" s="565"/>
      <c r="U671" s="565"/>
      <c r="V671" s="565"/>
      <c r="W671" s="565"/>
    </row>
    <row r="672">
      <c r="C672" s="12"/>
      <c r="D672" s="3"/>
      <c r="E672" s="112"/>
      <c r="F672" s="3"/>
      <c r="G672" s="3"/>
      <c r="H672" s="12"/>
      <c r="J672" s="3"/>
      <c r="K672" s="12"/>
      <c r="L672" s="3"/>
      <c r="M672" s="12"/>
      <c r="Q672" s="12"/>
      <c r="R672" s="12"/>
      <c r="T672" s="565"/>
      <c r="U672" s="565"/>
      <c r="V672" s="565"/>
      <c r="W672" s="565"/>
    </row>
    <row r="673">
      <c r="C673" s="12"/>
      <c r="D673" s="3"/>
      <c r="E673" s="112"/>
      <c r="F673" s="3"/>
      <c r="G673" s="3"/>
      <c r="H673" s="12"/>
      <c r="J673" s="3"/>
      <c r="K673" s="12"/>
      <c r="L673" s="3"/>
      <c r="M673" s="12"/>
      <c r="Q673" s="12"/>
      <c r="R673" s="12"/>
      <c r="T673" s="565"/>
      <c r="U673" s="565"/>
      <c r="V673" s="565"/>
      <c r="W673" s="565"/>
    </row>
    <row r="674">
      <c r="C674" s="12"/>
      <c r="D674" s="3"/>
      <c r="E674" s="112"/>
      <c r="F674" s="3"/>
      <c r="G674" s="3"/>
      <c r="H674" s="12"/>
      <c r="J674" s="3"/>
      <c r="K674" s="12"/>
      <c r="L674" s="3"/>
      <c r="M674" s="12"/>
      <c r="Q674" s="12"/>
      <c r="R674" s="12"/>
      <c r="T674" s="565"/>
      <c r="U674" s="565"/>
      <c r="V674" s="565"/>
      <c r="W674" s="565"/>
    </row>
    <row r="675">
      <c r="C675" s="12"/>
      <c r="D675" s="3"/>
      <c r="E675" s="112"/>
      <c r="F675" s="3"/>
      <c r="G675" s="3"/>
      <c r="H675" s="12"/>
      <c r="J675" s="3"/>
      <c r="K675" s="12"/>
      <c r="L675" s="3"/>
      <c r="M675" s="12"/>
      <c r="Q675" s="12"/>
      <c r="R675" s="12"/>
      <c r="T675" s="565"/>
      <c r="U675" s="565"/>
      <c r="V675" s="565"/>
      <c r="W675" s="565"/>
    </row>
    <row r="676">
      <c r="C676" s="12"/>
      <c r="D676" s="3"/>
      <c r="E676" s="112"/>
      <c r="F676" s="3"/>
      <c r="G676" s="3"/>
      <c r="H676" s="12"/>
      <c r="J676" s="3"/>
      <c r="K676" s="12"/>
      <c r="L676" s="3"/>
      <c r="M676" s="12"/>
      <c r="Q676" s="12"/>
      <c r="R676" s="12"/>
      <c r="T676" s="565"/>
      <c r="U676" s="565"/>
      <c r="V676" s="565"/>
      <c r="W676" s="565"/>
    </row>
    <row r="677">
      <c r="C677" s="12"/>
      <c r="D677" s="3"/>
      <c r="E677" s="112"/>
      <c r="F677" s="3"/>
      <c r="G677" s="3"/>
      <c r="H677" s="12"/>
      <c r="J677" s="3"/>
      <c r="K677" s="12"/>
      <c r="L677" s="3"/>
      <c r="M677" s="12"/>
      <c r="Q677" s="12"/>
      <c r="R677" s="12"/>
      <c r="T677" s="565"/>
      <c r="U677" s="565"/>
      <c r="V677" s="565"/>
      <c r="W677" s="565"/>
    </row>
    <row r="678">
      <c r="C678" s="12"/>
      <c r="D678" s="3"/>
      <c r="E678" s="112"/>
      <c r="F678" s="3"/>
      <c r="G678" s="3"/>
      <c r="H678" s="12"/>
      <c r="J678" s="3"/>
      <c r="K678" s="12"/>
      <c r="L678" s="3"/>
      <c r="M678" s="12"/>
      <c r="Q678" s="12"/>
      <c r="R678" s="12"/>
      <c r="T678" s="565"/>
      <c r="U678" s="565"/>
      <c r="V678" s="565"/>
      <c r="W678" s="565"/>
    </row>
    <row r="679">
      <c r="C679" s="12"/>
      <c r="D679" s="3"/>
      <c r="E679" s="112"/>
      <c r="F679" s="3"/>
      <c r="G679" s="3"/>
      <c r="H679" s="12"/>
      <c r="J679" s="3"/>
      <c r="K679" s="12"/>
      <c r="L679" s="3"/>
      <c r="M679" s="12"/>
      <c r="Q679" s="12"/>
      <c r="R679" s="12"/>
      <c r="T679" s="565"/>
      <c r="U679" s="565"/>
      <c r="V679" s="565"/>
      <c r="W679" s="565"/>
    </row>
    <row r="680">
      <c r="C680" s="12"/>
      <c r="D680" s="3"/>
      <c r="E680" s="112"/>
      <c r="F680" s="3"/>
      <c r="G680" s="3"/>
      <c r="H680" s="12"/>
      <c r="J680" s="3"/>
      <c r="K680" s="12"/>
      <c r="L680" s="3"/>
      <c r="M680" s="12"/>
      <c r="Q680" s="12"/>
      <c r="R680" s="12"/>
      <c r="T680" s="565"/>
      <c r="U680" s="565"/>
      <c r="V680" s="565"/>
      <c r="W680" s="565"/>
    </row>
    <row r="681">
      <c r="C681" s="12"/>
      <c r="D681" s="3"/>
      <c r="E681" s="112"/>
      <c r="F681" s="3"/>
      <c r="G681" s="3"/>
      <c r="H681" s="12"/>
      <c r="J681" s="3"/>
      <c r="K681" s="12"/>
      <c r="L681" s="3"/>
      <c r="M681" s="12"/>
      <c r="Q681" s="12"/>
      <c r="R681" s="12"/>
      <c r="T681" s="565"/>
      <c r="U681" s="565"/>
      <c r="V681" s="565"/>
      <c r="W681" s="565"/>
    </row>
    <row r="682">
      <c r="C682" s="12"/>
      <c r="D682" s="3"/>
      <c r="E682" s="112"/>
      <c r="F682" s="3"/>
      <c r="G682" s="3"/>
      <c r="H682" s="12"/>
      <c r="J682" s="3"/>
      <c r="K682" s="12"/>
      <c r="L682" s="3"/>
      <c r="M682" s="12"/>
      <c r="Q682" s="12"/>
      <c r="R682" s="12"/>
      <c r="T682" s="565"/>
      <c r="U682" s="565"/>
      <c r="V682" s="565"/>
      <c r="W682" s="565"/>
    </row>
    <row r="683">
      <c r="C683" s="12"/>
      <c r="D683" s="3"/>
      <c r="E683" s="112"/>
      <c r="F683" s="3"/>
      <c r="G683" s="3"/>
      <c r="H683" s="12"/>
      <c r="J683" s="3"/>
      <c r="K683" s="12"/>
      <c r="L683" s="3"/>
      <c r="M683" s="12"/>
      <c r="Q683" s="12"/>
      <c r="R683" s="12"/>
      <c r="T683" s="565"/>
      <c r="U683" s="565"/>
      <c r="V683" s="565"/>
      <c r="W683" s="565"/>
    </row>
    <row r="684">
      <c r="C684" s="12"/>
      <c r="D684" s="3"/>
      <c r="E684" s="112"/>
      <c r="F684" s="3"/>
      <c r="G684" s="3"/>
      <c r="H684" s="12"/>
      <c r="J684" s="3"/>
      <c r="K684" s="12"/>
      <c r="L684" s="3"/>
      <c r="M684" s="12"/>
      <c r="Q684" s="12"/>
      <c r="R684" s="12"/>
      <c r="T684" s="565"/>
      <c r="U684" s="565"/>
      <c r="V684" s="565"/>
      <c r="W684" s="565"/>
    </row>
    <row r="685">
      <c r="C685" s="12"/>
      <c r="D685" s="3"/>
      <c r="E685" s="112"/>
      <c r="F685" s="3"/>
      <c r="G685" s="3"/>
      <c r="H685" s="12"/>
      <c r="J685" s="3"/>
      <c r="K685" s="12"/>
      <c r="L685" s="3"/>
      <c r="M685" s="12"/>
      <c r="Q685" s="12"/>
      <c r="R685" s="12"/>
      <c r="T685" s="565"/>
      <c r="U685" s="565"/>
      <c r="V685" s="565"/>
      <c r="W685" s="565"/>
    </row>
    <row r="686">
      <c r="C686" s="12"/>
      <c r="D686" s="3"/>
      <c r="E686" s="112"/>
      <c r="F686" s="3"/>
      <c r="G686" s="3"/>
      <c r="H686" s="12"/>
      <c r="J686" s="3"/>
      <c r="K686" s="12"/>
      <c r="L686" s="3"/>
      <c r="M686" s="12"/>
      <c r="Q686" s="12"/>
      <c r="R686" s="12"/>
      <c r="T686" s="565"/>
      <c r="U686" s="565"/>
      <c r="V686" s="565"/>
      <c r="W686" s="565"/>
    </row>
    <row r="687">
      <c r="C687" s="12"/>
      <c r="D687" s="3"/>
      <c r="E687" s="112"/>
      <c r="F687" s="3"/>
      <c r="G687" s="3"/>
      <c r="H687" s="12"/>
      <c r="J687" s="3"/>
      <c r="K687" s="12"/>
      <c r="L687" s="3"/>
      <c r="M687" s="12"/>
      <c r="Q687" s="12"/>
      <c r="R687" s="12"/>
      <c r="T687" s="565"/>
      <c r="U687" s="565"/>
      <c r="V687" s="565"/>
      <c r="W687" s="565"/>
    </row>
    <row r="688">
      <c r="C688" s="12"/>
      <c r="D688" s="3"/>
      <c r="E688" s="112"/>
      <c r="F688" s="3"/>
      <c r="G688" s="3"/>
      <c r="H688" s="12"/>
      <c r="J688" s="3"/>
      <c r="K688" s="12"/>
      <c r="L688" s="3"/>
      <c r="M688" s="12"/>
      <c r="Q688" s="12"/>
      <c r="R688" s="12"/>
      <c r="T688" s="565"/>
      <c r="U688" s="565"/>
      <c r="V688" s="565"/>
      <c r="W688" s="565"/>
    </row>
    <row r="689">
      <c r="C689" s="12"/>
      <c r="D689" s="3"/>
      <c r="E689" s="112"/>
      <c r="F689" s="3"/>
      <c r="G689" s="3"/>
      <c r="H689" s="12"/>
      <c r="J689" s="3"/>
      <c r="K689" s="12"/>
      <c r="L689" s="3"/>
      <c r="M689" s="12"/>
      <c r="Q689" s="12"/>
      <c r="R689" s="12"/>
      <c r="T689" s="565"/>
      <c r="U689" s="565"/>
      <c r="V689" s="565"/>
      <c r="W689" s="565"/>
    </row>
    <row r="690">
      <c r="C690" s="12"/>
      <c r="D690" s="3"/>
      <c r="E690" s="112"/>
      <c r="F690" s="3"/>
      <c r="G690" s="3"/>
      <c r="H690" s="12"/>
      <c r="J690" s="3"/>
      <c r="K690" s="12"/>
      <c r="L690" s="3"/>
      <c r="M690" s="12"/>
      <c r="Q690" s="12"/>
      <c r="R690" s="12"/>
      <c r="T690" s="565"/>
      <c r="U690" s="565"/>
      <c r="V690" s="565"/>
      <c r="W690" s="565"/>
    </row>
    <row r="691">
      <c r="C691" s="12"/>
      <c r="D691" s="3"/>
      <c r="E691" s="112"/>
      <c r="F691" s="3"/>
      <c r="G691" s="3"/>
      <c r="H691" s="12"/>
      <c r="J691" s="3"/>
      <c r="K691" s="12"/>
      <c r="L691" s="3"/>
      <c r="M691" s="12"/>
      <c r="Q691" s="12"/>
      <c r="R691" s="12"/>
      <c r="T691" s="565"/>
      <c r="U691" s="565"/>
      <c r="V691" s="565"/>
      <c r="W691" s="565"/>
    </row>
    <row r="692">
      <c r="C692" s="12"/>
      <c r="D692" s="3"/>
      <c r="E692" s="112"/>
      <c r="F692" s="3"/>
      <c r="G692" s="3"/>
      <c r="H692" s="12"/>
      <c r="J692" s="3"/>
      <c r="K692" s="12"/>
      <c r="L692" s="3"/>
      <c r="M692" s="12"/>
      <c r="Q692" s="12"/>
      <c r="R692" s="12"/>
      <c r="T692" s="565"/>
      <c r="U692" s="565"/>
      <c r="V692" s="565"/>
      <c r="W692" s="565"/>
    </row>
    <row r="693">
      <c r="C693" s="12"/>
      <c r="D693" s="3"/>
      <c r="E693" s="112"/>
      <c r="F693" s="3"/>
      <c r="G693" s="3"/>
      <c r="H693" s="12"/>
      <c r="J693" s="3"/>
      <c r="K693" s="12"/>
      <c r="L693" s="3"/>
      <c r="M693" s="12"/>
      <c r="Q693" s="12"/>
      <c r="R693" s="12"/>
      <c r="T693" s="565"/>
      <c r="U693" s="565"/>
      <c r="V693" s="565"/>
      <c r="W693" s="565"/>
    </row>
    <row r="694">
      <c r="C694" s="12"/>
      <c r="D694" s="3"/>
      <c r="E694" s="112"/>
      <c r="F694" s="3"/>
      <c r="G694" s="3"/>
      <c r="H694" s="12"/>
      <c r="J694" s="3"/>
      <c r="K694" s="12"/>
      <c r="L694" s="3"/>
      <c r="M694" s="12"/>
      <c r="Q694" s="12"/>
      <c r="R694" s="12"/>
      <c r="T694" s="565"/>
      <c r="U694" s="565"/>
      <c r="V694" s="565"/>
      <c r="W694" s="565"/>
    </row>
    <row r="695">
      <c r="C695" s="12"/>
      <c r="D695" s="3"/>
      <c r="E695" s="112"/>
      <c r="F695" s="3"/>
      <c r="G695" s="3"/>
      <c r="H695" s="12"/>
      <c r="J695" s="3"/>
      <c r="K695" s="12"/>
      <c r="L695" s="3"/>
      <c r="M695" s="12"/>
      <c r="Q695" s="12"/>
      <c r="R695" s="12"/>
      <c r="T695" s="565"/>
      <c r="U695" s="565"/>
      <c r="V695" s="565"/>
      <c r="W695" s="565"/>
    </row>
    <row r="696">
      <c r="C696" s="12"/>
      <c r="D696" s="3"/>
      <c r="E696" s="112"/>
      <c r="F696" s="3"/>
      <c r="G696" s="3"/>
      <c r="H696" s="12"/>
      <c r="J696" s="3"/>
      <c r="K696" s="12"/>
      <c r="L696" s="3"/>
      <c r="M696" s="12"/>
      <c r="Q696" s="12"/>
      <c r="R696" s="12"/>
      <c r="T696" s="565"/>
      <c r="U696" s="565"/>
      <c r="V696" s="565"/>
      <c r="W696" s="565"/>
    </row>
    <row r="697">
      <c r="C697" s="12"/>
      <c r="D697" s="3"/>
      <c r="E697" s="112"/>
      <c r="F697" s="3"/>
      <c r="G697" s="3"/>
      <c r="H697" s="12"/>
      <c r="J697" s="3"/>
      <c r="K697" s="12"/>
      <c r="L697" s="3"/>
      <c r="M697" s="12"/>
      <c r="Q697" s="12"/>
      <c r="R697" s="12"/>
      <c r="T697" s="565"/>
      <c r="U697" s="565"/>
      <c r="V697" s="565"/>
      <c r="W697" s="565"/>
    </row>
    <row r="698">
      <c r="C698" s="12"/>
      <c r="D698" s="3"/>
      <c r="E698" s="112"/>
      <c r="F698" s="3"/>
      <c r="G698" s="3"/>
      <c r="H698" s="12"/>
      <c r="J698" s="3"/>
      <c r="K698" s="12"/>
      <c r="L698" s="3"/>
      <c r="M698" s="12"/>
      <c r="Q698" s="12"/>
      <c r="R698" s="12"/>
      <c r="T698" s="565"/>
      <c r="U698" s="565"/>
      <c r="V698" s="565"/>
      <c r="W698" s="565"/>
    </row>
    <row r="699">
      <c r="C699" s="12"/>
      <c r="D699" s="3"/>
      <c r="E699" s="112"/>
      <c r="F699" s="3"/>
      <c r="G699" s="3"/>
      <c r="H699" s="12"/>
      <c r="J699" s="3"/>
      <c r="K699" s="12"/>
      <c r="L699" s="3"/>
      <c r="M699" s="12"/>
      <c r="Q699" s="12"/>
      <c r="R699" s="12"/>
      <c r="T699" s="565"/>
      <c r="U699" s="565"/>
      <c r="V699" s="565"/>
      <c r="W699" s="565"/>
    </row>
    <row r="700">
      <c r="C700" s="12"/>
      <c r="D700" s="3"/>
      <c r="E700" s="112"/>
      <c r="F700" s="3"/>
      <c r="G700" s="3"/>
      <c r="H700" s="12"/>
      <c r="J700" s="3"/>
      <c r="K700" s="12"/>
      <c r="L700" s="3"/>
      <c r="M700" s="12"/>
      <c r="Q700" s="12"/>
      <c r="R700" s="12"/>
      <c r="T700" s="565"/>
      <c r="U700" s="565"/>
      <c r="V700" s="565"/>
      <c r="W700" s="565"/>
    </row>
    <row r="701">
      <c r="C701" s="12"/>
      <c r="D701" s="3"/>
      <c r="E701" s="112"/>
      <c r="F701" s="3"/>
      <c r="G701" s="3"/>
      <c r="H701" s="12"/>
      <c r="J701" s="3"/>
      <c r="K701" s="12"/>
      <c r="L701" s="3"/>
      <c r="M701" s="12"/>
      <c r="Q701" s="12"/>
      <c r="R701" s="12"/>
      <c r="T701" s="565"/>
      <c r="U701" s="565"/>
      <c r="V701" s="565"/>
      <c r="W701" s="565"/>
    </row>
    <row r="702">
      <c r="C702" s="12"/>
      <c r="D702" s="3"/>
      <c r="E702" s="112"/>
      <c r="F702" s="3"/>
      <c r="G702" s="3"/>
      <c r="H702" s="12"/>
      <c r="J702" s="3"/>
      <c r="K702" s="12"/>
      <c r="L702" s="3"/>
      <c r="M702" s="12"/>
      <c r="Q702" s="12"/>
      <c r="R702" s="12"/>
      <c r="T702" s="565"/>
      <c r="U702" s="565"/>
      <c r="V702" s="565"/>
      <c r="W702" s="565"/>
    </row>
    <row r="703">
      <c r="C703" s="12"/>
      <c r="D703" s="3"/>
      <c r="E703" s="112"/>
      <c r="F703" s="3"/>
      <c r="G703" s="3"/>
      <c r="H703" s="12"/>
      <c r="J703" s="3"/>
      <c r="K703" s="12"/>
      <c r="L703" s="3"/>
      <c r="M703" s="12"/>
      <c r="Q703" s="12"/>
      <c r="R703" s="12"/>
      <c r="T703" s="565"/>
      <c r="U703" s="565"/>
      <c r="V703" s="565"/>
      <c r="W703" s="565"/>
    </row>
    <row r="704">
      <c r="C704" s="12"/>
      <c r="D704" s="3"/>
      <c r="E704" s="112"/>
      <c r="F704" s="3"/>
      <c r="G704" s="3"/>
      <c r="H704" s="12"/>
      <c r="J704" s="3"/>
      <c r="K704" s="12"/>
      <c r="L704" s="3"/>
      <c r="M704" s="12"/>
      <c r="Q704" s="12"/>
      <c r="R704" s="12"/>
      <c r="T704" s="565"/>
      <c r="U704" s="565"/>
      <c r="V704" s="565"/>
      <c r="W704" s="565"/>
    </row>
    <row r="705">
      <c r="C705" s="12"/>
      <c r="D705" s="3"/>
      <c r="E705" s="112"/>
      <c r="F705" s="3"/>
      <c r="G705" s="3"/>
      <c r="H705" s="12"/>
      <c r="J705" s="3"/>
      <c r="K705" s="12"/>
      <c r="L705" s="3"/>
      <c r="M705" s="12"/>
      <c r="Q705" s="12"/>
      <c r="R705" s="12"/>
      <c r="T705" s="565"/>
      <c r="U705" s="565"/>
      <c r="V705" s="565"/>
      <c r="W705" s="565"/>
    </row>
    <row r="706">
      <c r="C706" s="12"/>
      <c r="D706" s="3"/>
      <c r="E706" s="112"/>
      <c r="F706" s="3"/>
      <c r="G706" s="3"/>
      <c r="H706" s="12"/>
      <c r="J706" s="3"/>
      <c r="K706" s="12"/>
      <c r="L706" s="3"/>
      <c r="M706" s="12"/>
      <c r="Q706" s="12"/>
      <c r="R706" s="12"/>
      <c r="T706" s="565"/>
      <c r="U706" s="565"/>
      <c r="V706" s="565"/>
      <c r="W706" s="565"/>
    </row>
    <row r="707">
      <c r="C707" s="12"/>
      <c r="D707" s="3"/>
      <c r="E707" s="112"/>
      <c r="F707" s="3"/>
      <c r="G707" s="3"/>
      <c r="H707" s="12"/>
      <c r="J707" s="3"/>
      <c r="K707" s="12"/>
      <c r="L707" s="3"/>
      <c r="M707" s="12"/>
      <c r="Q707" s="12"/>
      <c r="R707" s="12"/>
      <c r="T707" s="565"/>
      <c r="U707" s="565"/>
      <c r="V707" s="565"/>
      <c r="W707" s="565"/>
    </row>
    <row r="708">
      <c r="C708" s="12"/>
      <c r="D708" s="3"/>
      <c r="E708" s="112"/>
      <c r="F708" s="3"/>
      <c r="G708" s="3"/>
      <c r="H708" s="12"/>
      <c r="J708" s="3"/>
      <c r="K708" s="12"/>
      <c r="L708" s="3"/>
      <c r="M708" s="12"/>
      <c r="Q708" s="12"/>
      <c r="R708" s="12"/>
      <c r="T708" s="565"/>
      <c r="U708" s="565"/>
      <c r="V708" s="565"/>
      <c r="W708" s="565"/>
    </row>
    <row r="709">
      <c r="C709" s="12"/>
      <c r="D709" s="3"/>
      <c r="E709" s="112"/>
      <c r="F709" s="3"/>
      <c r="G709" s="3"/>
      <c r="H709" s="12"/>
      <c r="J709" s="3"/>
      <c r="K709" s="12"/>
      <c r="L709" s="3"/>
      <c r="M709" s="12"/>
      <c r="Q709" s="12"/>
      <c r="R709" s="12"/>
      <c r="T709" s="565"/>
      <c r="U709" s="565"/>
      <c r="V709" s="565"/>
      <c r="W709" s="565"/>
    </row>
    <row r="710">
      <c r="C710" s="12"/>
      <c r="D710" s="3"/>
      <c r="E710" s="112"/>
      <c r="F710" s="3"/>
      <c r="G710" s="3"/>
      <c r="H710" s="12"/>
      <c r="J710" s="3"/>
      <c r="K710" s="12"/>
      <c r="L710" s="3"/>
      <c r="M710" s="12"/>
      <c r="Q710" s="12"/>
      <c r="R710" s="12"/>
      <c r="T710" s="565"/>
      <c r="U710" s="565"/>
      <c r="V710" s="565"/>
      <c r="W710" s="565"/>
    </row>
    <row r="711">
      <c r="C711" s="12"/>
      <c r="D711" s="3"/>
      <c r="E711" s="112"/>
      <c r="F711" s="3"/>
      <c r="G711" s="3"/>
      <c r="H711" s="12"/>
      <c r="J711" s="3"/>
      <c r="K711" s="12"/>
      <c r="L711" s="3"/>
      <c r="M711" s="12"/>
      <c r="Q711" s="12"/>
      <c r="R711" s="12"/>
      <c r="T711" s="565"/>
      <c r="U711" s="565"/>
      <c r="V711" s="565"/>
      <c r="W711" s="565"/>
    </row>
    <row r="712">
      <c r="C712" s="12"/>
      <c r="D712" s="3"/>
      <c r="E712" s="112"/>
      <c r="F712" s="3"/>
      <c r="G712" s="3"/>
      <c r="H712" s="12"/>
      <c r="J712" s="3"/>
      <c r="K712" s="12"/>
      <c r="L712" s="3"/>
      <c r="M712" s="12"/>
      <c r="Q712" s="12"/>
      <c r="R712" s="12"/>
      <c r="T712" s="565"/>
      <c r="U712" s="565"/>
      <c r="V712" s="565"/>
      <c r="W712" s="565"/>
    </row>
    <row r="713">
      <c r="C713" s="12"/>
      <c r="D713" s="3"/>
      <c r="E713" s="112"/>
      <c r="F713" s="3"/>
      <c r="G713" s="3"/>
      <c r="H713" s="12"/>
      <c r="J713" s="3"/>
      <c r="K713" s="12"/>
      <c r="L713" s="3"/>
      <c r="M713" s="12"/>
      <c r="Q713" s="12"/>
      <c r="R713" s="12"/>
      <c r="T713" s="565"/>
      <c r="U713" s="565"/>
      <c r="V713" s="565"/>
      <c r="W713" s="565"/>
    </row>
    <row r="714">
      <c r="C714" s="12"/>
      <c r="D714" s="3"/>
      <c r="E714" s="112"/>
      <c r="F714" s="3"/>
      <c r="G714" s="3"/>
      <c r="H714" s="12"/>
      <c r="J714" s="3"/>
      <c r="K714" s="12"/>
      <c r="L714" s="3"/>
      <c r="M714" s="12"/>
      <c r="Q714" s="12"/>
      <c r="R714" s="12"/>
      <c r="T714" s="565"/>
      <c r="U714" s="565"/>
      <c r="V714" s="565"/>
      <c r="W714" s="565"/>
    </row>
    <row r="715">
      <c r="C715" s="12"/>
      <c r="D715" s="3"/>
      <c r="E715" s="112"/>
      <c r="F715" s="3"/>
      <c r="G715" s="3"/>
      <c r="H715" s="12"/>
      <c r="J715" s="3"/>
      <c r="K715" s="12"/>
      <c r="L715" s="3"/>
      <c r="M715" s="12"/>
      <c r="Q715" s="12"/>
      <c r="R715" s="12"/>
      <c r="T715" s="565"/>
      <c r="U715" s="565"/>
      <c r="V715" s="565"/>
      <c r="W715" s="565"/>
    </row>
    <row r="716">
      <c r="C716" s="12"/>
      <c r="D716" s="3"/>
      <c r="E716" s="112"/>
      <c r="F716" s="3"/>
      <c r="G716" s="3"/>
      <c r="H716" s="12"/>
      <c r="J716" s="3"/>
      <c r="K716" s="12"/>
      <c r="L716" s="3"/>
      <c r="M716" s="12"/>
      <c r="Q716" s="12"/>
      <c r="R716" s="12"/>
      <c r="T716" s="565"/>
      <c r="U716" s="565"/>
      <c r="V716" s="565"/>
      <c r="W716" s="565"/>
    </row>
    <row r="717">
      <c r="C717" s="12"/>
      <c r="D717" s="3"/>
      <c r="E717" s="112"/>
      <c r="F717" s="3"/>
      <c r="G717" s="3"/>
      <c r="H717" s="12"/>
      <c r="J717" s="3"/>
      <c r="K717" s="12"/>
      <c r="L717" s="3"/>
      <c r="M717" s="12"/>
      <c r="Q717" s="12"/>
      <c r="R717" s="12"/>
      <c r="T717" s="565"/>
      <c r="U717" s="565"/>
      <c r="V717" s="565"/>
      <c r="W717" s="565"/>
    </row>
    <row r="718">
      <c r="C718" s="12"/>
      <c r="D718" s="3"/>
      <c r="E718" s="112"/>
      <c r="F718" s="3"/>
      <c r="G718" s="3"/>
      <c r="H718" s="12"/>
      <c r="J718" s="3"/>
      <c r="K718" s="12"/>
      <c r="L718" s="3"/>
      <c r="M718" s="12"/>
      <c r="Q718" s="12"/>
      <c r="R718" s="12"/>
      <c r="T718" s="565"/>
      <c r="U718" s="565"/>
      <c r="V718" s="565"/>
      <c r="W718" s="565"/>
    </row>
    <row r="719">
      <c r="C719" s="12"/>
      <c r="D719" s="3"/>
      <c r="E719" s="112"/>
      <c r="F719" s="3"/>
      <c r="G719" s="3"/>
      <c r="H719" s="12"/>
      <c r="J719" s="3"/>
      <c r="K719" s="12"/>
      <c r="L719" s="3"/>
      <c r="M719" s="12"/>
      <c r="Q719" s="12"/>
      <c r="R719" s="12"/>
      <c r="T719" s="565"/>
      <c r="U719" s="565"/>
      <c r="V719" s="565"/>
      <c r="W719" s="565"/>
    </row>
    <row r="720">
      <c r="C720" s="12"/>
      <c r="D720" s="3"/>
      <c r="E720" s="112"/>
      <c r="F720" s="3"/>
      <c r="G720" s="3"/>
      <c r="H720" s="12"/>
      <c r="J720" s="3"/>
      <c r="K720" s="12"/>
      <c r="L720" s="3"/>
      <c r="M720" s="12"/>
      <c r="Q720" s="12"/>
      <c r="R720" s="12"/>
      <c r="T720" s="565"/>
      <c r="U720" s="565"/>
      <c r="V720" s="565"/>
      <c r="W720" s="565"/>
    </row>
    <row r="721">
      <c r="C721" s="12"/>
      <c r="D721" s="3"/>
      <c r="E721" s="112"/>
      <c r="F721" s="3"/>
      <c r="G721" s="3"/>
      <c r="H721" s="12"/>
      <c r="J721" s="3"/>
      <c r="K721" s="12"/>
      <c r="L721" s="3"/>
      <c r="M721" s="12"/>
      <c r="Q721" s="12"/>
      <c r="R721" s="12"/>
      <c r="T721" s="565"/>
      <c r="U721" s="565"/>
      <c r="V721" s="565"/>
      <c r="W721" s="565"/>
    </row>
    <row r="722">
      <c r="C722" s="12"/>
      <c r="D722" s="3"/>
      <c r="E722" s="112"/>
      <c r="F722" s="3"/>
      <c r="G722" s="3"/>
      <c r="H722" s="12"/>
      <c r="J722" s="3"/>
      <c r="K722" s="12"/>
      <c r="L722" s="3"/>
      <c r="M722" s="12"/>
      <c r="Q722" s="12"/>
      <c r="R722" s="12"/>
      <c r="T722" s="565"/>
      <c r="U722" s="565"/>
      <c r="V722" s="565"/>
      <c r="W722" s="565"/>
    </row>
    <row r="723">
      <c r="C723" s="12"/>
      <c r="D723" s="3"/>
      <c r="E723" s="112"/>
      <c r="F723" s="3"/>
      <c r="G723" s="3"/>
      <c r="H723" s="12"/>
      <c r="J723" s="3"/>
      <c r="K723" s="12"/>
      <c r="L723" s="3"/>
      <c r="M723" s="12"/>
      <c r="Q723" s="12"/>
      <c r="R723" s="12"/>
      <c r="T723" s="565"/>
      <c r="U723" s="565"/>
      <c r="V723" s="565"/>
      <c r="W723" s="565"/>
    </row>
    <row r="724">
      <c r="C724" s="12"/>
      <c r="D724" s="3"/>
      <c r="E724" s="112"/>
      <c r="F724" s="3"/>
      <c r="G724" s="3"/>
      <c r="H724" s="12"/>
      <c r="J724" s="3"/>
      <c r="K724" s="12"/>
      <c r="L724" s="3"/>
      <c r="M724" s="12"/>
      <c r="Q724" s="12"/>
      <c r="R724" s="12"/>
      <c r="T724" s="565"/>
      <c r="U724" s="565"/>
      <c r="V724" s="565"/>
      <c r="W724" s="565"/>
    </row>
    <row r="725">
      <c r="C725" s="12"/>
      <c r="D725" s="3"/>
      <c r="E725" s="112"/>
      <c r="F725" s="3"/>
      <c r="G725" s="3"/>
      <c r="H725" s="12"/>
      <c r="J725" s="3"/>
      <c r="K725" s="12"/>
      <c r="L725" s="3"/>
      <c r="M725" s="12"/>
      <c r="Q725" s="12"/>
      <c r="R725" s="12"/>
      <c r="T725" s="565"/>
      <c r="U725" s="565"/>
      <c r="V725" s="565"/>
      <c r="W725" s="565"/>
    </row>
    <row r="726">
      <c r="C726" s="12"/>
      <c r="D726" s="3"/>
      <c r="E726" s="112"/>
      <c r="F726" s="3"/>
      <c r="G726" s="3"/>
      <c r="H726" s="12"/>
      <c r="J726" s="3"/>
      <c r="K726" s="12"/>
      <c r="L726" s="3"/>
      <c r="M726" s="12"/>
      <c r="Q726" s="12"/>
      <c r="R726" s="12"/>
      <c r="T726" s="565"/>
      <c r="U726" s="565"/>
      <c r="V726" s="565"/>
      <c r="W726" s="565"/>
    </row>
    <row r="727">
      <c r="C727" s="12"/>
      <c r="D727" s="3"/>
      <c r="E727" s="112"/>
      <c r="F727" s="3"/>
      <c r="G727" s="3"/>
      <c r="H727" s="12"/>
      <c r="J727" s="3"/>
      <c r="K727" s="12"/>
      <c r="L727" s="3"/>
      <c r="M727" s="12"/>
      <c r="Q727" s="12"/>
      <c r="R727" s="12"/>
      <c r="T727" s="565"/>
      <c r="U727" s="565"/>
      <c r="V727" s="565"/>
      <c r="W727" s="565"/>
    </row>
    <row r="728">
      <c r="C728" s="12"/>
      <c r="D728" s="3"/>
      <c r="E728" s="112"/>
      <c r="F728" s="3"/>
      <c r="G728" s="3"/>
      <c r="H728" s="12"/>
      <c r="J728" s="3"/>
      <c r="K728" s="12"/>
      <c r="L728" s="3"/>
      <c r="M728" s="12"/>
      <c r="Q728" s="12"/>
      <c r="R728" s="12"/>
      <c r="T728" s="565"/>
      <c r="U728" s="565"/>
      <c r="V728" s="565"/>
      <c r="W728" s="565"/>
    </row>
    <row r="729">
      <c r="C729" s="12"/>
      <c r="D729" s="3"/>
      <c r="E729" s="112"/>
      <c r="F729" s="3"/>
      <c r="G729" s="3"/>
      <c r="H729" s="12"/>
      <c r="J729" s="3"/>
      <c r="K729" s="12"/>
      <c r="L729" s="3"/>
      <c r="M729" s="12"/>
      <c r="Q729" s="12"/>
      <c r="R729" s="12"/>
      <c r="T729" s="565"/>
      <c r="U729" s="565"/>
      <c r="V729" s="565"/>
      <c r="W729" s="565"/>
    </row>
    <row r="730">
      <c r="C730" s="12"/>
      <c r="D730" s="3"/>
      <c r="E730" s="112"/>
      <c r="F730" s="3"/>
      <c r="G730" s="3"/>
      <c r="H730" s="12"/>
      <c r="J730" s="3"/>
      <c r="K730" s="12"/>
      <c r="L730" s="3"/>
      <c r="M730" s="12"/>
      <c r="Q730" s="12"/>
      <c r="R730" s="12"/>
      <c r="T730" s="565"/>
      <c r="U730" s="565"/>
      <c r="V730" s="565"/>
      <c r="W730" s="565"/>
    </row>
    <row r="731">
      <c r="C731" s="12"/>
      <c r="D731" s="3"/>
      <c r="E731" s="112"/>
      <c r="F731" s="3"/>
      <c r="G731" s="3"/>
      <c r="H731" s="12"/>
      <c r="J731" s="3"/>
      <c r="K731" s="12"/>
      <c r="L731" s="3"/>
      <c r="M731" s="12"/>
      <c r="Q731" s="12"/>
      <c r="R731" s="12"/>
      <c r="T731" s="565"/>
      <c r="U731" s="565"/>
      <c r="V731" s="565"/>
      <c r="W731" s="565"/>
    </row>
    <row r="732">
      <c r="C732" s="12"/>
      <c r="D732" s="3"/>
      <c r="E732" s="112"/>
      <c r="F732" s="3"/>
      <c r="G732" s="3"/>
      <c r="H732" s="12"/>
      <c r="J732" s="3"/>
      <c r="K732" s="12"/>
      <c r="L732" s="3"/>
      <c r="M732" s="12"/>
      <c r="Q732" s="12"/>
      <c r="R732" s="12"/>
      <c r="T732" s="565"/>
      <c r="U732" s="565"/>
      <c r="V732" s="565"/>
      <c r="W732" s="565"/>
    </row>
    <row r="733">
      <c r="C733" s="12"/>
      <c r="D733" s="3"/>
      <c r="E733" s="112"/>
      <c r="F733" s="3"/>
      <c r="G733" s="3"/>
      <c r="H733" s="12"/>
      <c r="J733" s="3"/>
      <c r="K733" s="12"/>
      <c r="L733" s="3"/>
      <c r="M733" s="12"/>
      <c r="Q733" s="12"/>
      <c r="R733" s="12"/>
      <c r="T733" s="565"/>
      <c r="U733" s="565"/>
      <c r="V733" s="565"/>
      <c r="W733" s="565"/>
    </row>
    <row r="734">
      <c r="C734" s="12"/>
      <c r="D734" s="3"/>
      <c r="E734" s="112"/>
      <c r="F734" s="3"/>
      <c r="G734" s="3"/>
      <c r="H734" s="12"/>
      <c r="J734" s="3"/>
      <c r="K734" s="12"/>
      <c r="L734" s="3"/>
      <c r="M734" s="12"/>
      <c r="Q734" s="12"/>
      <c r="R734" s="12"/>
      <c r="T734" s="565"/>
      <c r="U734" s="565"/>
      <c r="V734" s="565"/>
      <c r="W734" s="565"/>
    </row>
    <row r="735">
      <c r="C735" s="12"/>
      <c r="D735" s="3"/>
      <c r="E735" s="112"/>
      <c r="F735" s="3"/>
      <c r="G735" s="3"/>
      <c r="H735" s="12"/>
      <c r="J735" s="3"/>
      <c r="K735" s="12"/>
      <c r="L735" s="3"/>
      <c r="M735" s="12"/>
      <c r="Q735" s="12"/>
      <c r="R735" s="12"/>
      <c r="T735" s="565"/>
      <c r="U735" s="565"/>
      <c r="V735" s="565"/>
      <c r="W735" s="565"/>
    </row>
    <row r="736">
      <c r="C736" s="12"/>
      <c r="D736" s="3"/>
      <c r="E736" s="112"/>
      <c r="F736" s="3"/>
      <c r="G736" s="3"/>
      <c r="H736" s="12"/>
      <c r="J736" s="3"/>
      <c r="K736" s="12"/>
      <c r="L736" s="3"/>
      <c r="M736" s="12"/>
      <c r="Q736" s="12"/>
      <c r="R736" s="12"/>
      <c r="T736" s="565"/>
      <c r="U736" s="565"/>
      <c r="V736" s="565"/>
      <c r="W736" s="565"/>
    </row>
    <row r="737">
      <c r="C737" s="12"/>
      <c r="D737" s="3"/>
      <c r="E737" s="112"/>
      <c r="F737" s="3"/>
      <c r="G737" s="3"/>
      <c r="H737" s="12"/>
      <c r="J737" s="3"/>
      <c r="K737" s="12"/>
      <c r="L737" s="3"/>
      <c r="M737" s="12"/>
      <c r="Q737" s="12"/>
      <c r="R737" s="12"/>
      <c r="T737" s="565"/>
      <c r="U737" s="565"/>
      <c r="V737" s="565"/>
      <c r="W737" s="565"/>
    </row>
    <row r="738">
      <c r="C738" s="12"/>
      <c r="D738" s="3"/>
      <c r="E738" s="112"/>
      <c r="F738" s="3"/>
      <c r="G738" s="3"/>
      <c r="H738" s="12"/>
      <c r="J738" s="3"/>
      <c r="K738" s="12"/>
      <c r="L738" s="3"/>
      <c r="M738" s="12"/>
      <c r="Q738" s="12"/>
      <c r="R738" s="12"/>
      <c r="T738" s="565"/>
      <c r="U738" s="565"/>
      <c r="V738" s="565"/>
      <c r="W738" s="565"/>
    </row>
    <row r="739">
      <c r="C739" s="12"/>
      <c r="D739" s="3"/>
      <c r="E739" s="112"/>
      <c r="F739" s="3"/>
      <c r="G739" s="3"/>
      <c r="H739" s="12"/>
      <c r="J739" s="3"/>
      <c r="K739" s="12"/>
      <c r="L739" s="3"/>
      <c r="M739" s="12"/>
      <c r="Q739" s="12"/>
      <c r="R739" s="12"/>
      <c r="T739" s="565"/>
      <c r="U739" s="565"/>
      <c r="V739" s="565"/>
      <c r="W739" s="565"/>
    </row>
    <row r="740">
      <c r="C740" s="12"/>
      <c r="D740" s="3"/>
      <c r="E740" s="112"/>
      <c r="F740" s="3"/>
      <c r="G740" s="3"/>
      <c r="H740" s="12"/>
      <c r="J740" s="3"/>
      <c r="K740" s="12"/>
      <c r="L740" s="3"/>
      <c r="M740" s="12"/>
      <c r="Q740" s="12"/>
      <c r="R740" s="12"/>
      <c r="T740" s="565"/>
      <c r="U740" s="565"/>
      <c r="V740" s="565"/>
      <c r="W740" s="565"/>
    </row>
    <row r="741">
      <c r="C741" s="12"/>
      <c r="D741" s="3"/>
      <c r="E741" s="112"/>
      <c r="F741" s="3"/>
      <c r="G741" s="3"/>
      <c r="H741" s="12"/>
      <c r="J741" s="3"/>
      <c r="K741" s="12"/>
      <c r="L741" s="3"/>
      <c r="M741" s="12"/>
      <c r="Q741" s="12"/>
      <c r="R741" s="12"/>
      <c r="T741" s="565"/>
      <c r="U741" s="565"/>
      <c r="V741" s="565"/>
      <c r="W741" s="565"/>
    </row>
    <row r="742">
      <c r="C742" s="12"/>
      <c r="D742" s="3"/>
      <c r="E742" s="112"/>
      <c r="F742" s="3"/>
      <c r="G742" s="3"/>
      <c r="H742" s="12"/>
      <c r="J742" s="3"/>
      <c r="K742" s="12"/>
      <c r="L742" s="3"/>
      <c r="M742" s="12"/>
      <c r="Q742" s="12"/>
      <c r="R742" s="12"/>
      <c r="T742" s="565"/>
      <c r="U742" s="565"/>
      <c r="V742" s="565"/>
      <c r="W742" s="565"/>
    </row>
    <row r="743">
      <c r="C743" s="12"/>
      <c r="D743" s="3"/>
      <c r="E743" s="112"/>
      <c r="F743" s="3"/>
      <c r="G743" s="3"/>
      <c r="H743" s="12"/>
      <c r="J743" s="3"/>
      <c r="K743" s="12"/>
      <c r="L743" s="3"/>
      <c r="M743" s="12"/>
      <c r="Q743" s="12"/>
      <c r="R743" s="12"/>
      <c r="T743" s="565"/>
      <c r="U743" s="565"/>
      <c r="V743" s="565"/>
      <c r="W743" s="565"/>
    </row>
    <row r="744">
      <c r="C744" s="12"/>
      <c r="D744" s="3"/>
      <c r="E744" s="112"/>
      <c r="F744" s="3"/>
      <c r="G744" s="3"/>
      <c r="H744" s="12"/>
      <c r="J744" s="3"/>
      <c r="K744" s="12"/>
      <c r="L744" s="3"/>
      <c r="M744" s="12"/>
      <c r="Q744" s="12"/>
      <c r="R744" s="12"/>
      <c r="T744" s="565"/>
      <c r="U744" s="565"/>
      <c r="V744" s="565"/>
      <c r="W744" s="565"/>
    </row>
    <row r="745">
      <c r="C745" s="12"/>
      <c r="D745" s="3"/>
      <c r="E745" s="112"/>
      <c r="F745" s="3"/>
      <c r="G745" s="3"/>
      <c r="H745" s="12"/>
      <c r="J745" s="3"/>
      <c r="K745" s="12"/>
      <c r="L745" s="3"/>
      <c r="M745" s="12"/>
      <c r="Q745" s="12"/>
      <c r="R745" s="12"/>
      <c r="T745" s="565"/>
      <c r="U745" s="565"/>
      <c r="V745" s="565"/>
      <c r="W745" s="565"/>
    </row>
    <row r="746">
      <c r="C746" s="12"/>
      <c r="D746" s="3"/>
      <c r="E746" s="112"/>
      <c r="F746" s="3"/>
      <c r="G746" s="3"/>
      <c r="H746" s="12"/>
      <c r="J746" s="3"/>
      <c r="K746" s="12"/>
      <c r="L746" s="3"/>
      <c r="M746" s="12"/>
      <c r="Q746" s="12"/>
      <c r="R746" s="12"/>
      <c r="T746" s="565"/>
      <c r="U746" s="565"/>
      <c r="V746" s="565"/>
      <c r="W746" s="565"/>
    </row>
    <row r="747">
      <c r="C747" s="12"/>
      <c r="D747" s="3"/>
      <c r="E747" s="112"/>
      <c r="F747" s="3"/>
      <c r="G747" s="3"/>
      <c r="H747" s="12"/>
      <c r="J747" s="3"/>
      <c r="K747" s="12"/>
      <c r="L747" s="3"/>
      <c r="M747" s="12"/>
      <c r="Q747" s="12"/>
      <c r="R747" s="12"/>
      <c r="T747" s="565"/>
      <c r="U747" s="565"/>
      <c r="V747" s="565"/>
      <c r="W747" s="565"/>
    </row>
    <row r="748">
      <c r="C748" s="12"/>
      <c r="D748" s="3"/>
      <c r="E748" s="112"/>
      <c r="F748" s="3"/>
      <c r="G748" s="3"/>
      <c r="H748" s="12"/>
      <c r="J748" s="3"/>
      <c r="K748" s="12"/>
      <c r="L748" s="3"/>
      <c r="M748" s="12"/>
      <c r="Q748" s="12"/>
      <c r="R748" s="12"/>
      <c r="T748" s="565"/>
      <c r="U748" s="565"/>
      <c r="V748" s="565"/>
      <c r="W748" s="565"/>
    </row>
    <row r="749">
      <c r="C749" s="12"/>
      <c r="D749" s="3"/>
      <c r="E749" s="112"/>
      <c r="F749" s="3"/>
      <c r="G749" s="3"/>
      <c r="H749" s="12"/>
      <c r="J749" s="3"/>
      <c r="K749" s="12"/>
      <c r="L749" s="3"/>
      <c r="M749" s="12"/>
      <c r="Q749" s="12"/>
      <c r="R749" s="12"/>
      <c r="T749" s="565"/>
      <c r="U749" s="565"/>
      <c r="V749" s="565"/>
      <c r="W749" s="565"/>
    </row>
    <row r="750">
      <c r="C750" s="12"/>
      <c r="D750" s="3"/>
      <c r="E750" s="112"/>
      <c r="F750" s="3"/>
      <c r="G750" s="3"/>
      <c r="H750" s="12"/>
      <c r="J750" s="3"/>
      <c r="K750" s="12"/>
      <c r="L750" s="3"/>
      <c r="M750" s="12"/>
      <c r="Q750" s="12"/>
      <c r="R750" s="12"/>
      <c r="T750" s="565"/>
      <c r="U750" s="565"/>
      <c r="V750" s="565"/>
      <c r="W750" s="565"/>
    </row>
    <row r="751">
      <c r="C751" s="12"/>
      <c r="D751" s="3"/>
      <c r="E751" s="112"/>
      <c r="F751" s="3"/>
      <c r="G751" s="3"/>
      <c r="H751" s="12"/>
      <c r="J751" s="3"/>
      <c r="K751" s="12"/>
      <c r="L751" s="3"/>
      <c r="M751" s="12"/>
      <c r="Q751" s="12"/>
      <c r="R751" s="12"/>
      <c r="T751" s="565"/>
      <c r="U751" s="565"/>
      <c r="V751" s="565"/>
      <c r="W751" s="565"/>
    </row>
    <row r="752">
      <c r="C752" s="12"/>
      <c r="D752" s="3"/>
      <c r="E752" s="112"/>
      <c r="F752" s="3"/>
      <c r="G752" s="3"/>
      <c r="H752" s="12"/>
      <c r="J752" s="3"/>
      <c r="K752" s="12"/>
      <c r="L752" s="3"/>
      <c r="M752" s="12"/>
      <c r="Q752" s="12"/>
      <c r="R752" s="12"/>
      <c r="T752" s="565"/>
      <c r="U752" s="565"/>
      <c r="V752" s="565"/>
      <c r="W752" s="565"/>
    </row>
    <row r="753">
      <c r="C753" s="12"/>
      <c r="D753" s="3"/>
      <c r="E753" s="112"/>
      <c r="F753" s="3"/>
      <c r="G753" s="3"/>
      <c r="H753" s="12"/>
      <c r="J753" s="3"/>
      <c r="K753" s="12"/>
      <c r="L753" s="3"/>
      <c r="M753" s="12"/>
      <c r="Q753" s="12"/>
      <c r="R753" s="12"/>
      <c r="T753" s="565"/>
      <c r="U753" s="565"/>
      <c r="V753" s="565"/>
      <c r="W753" s="565"/>
    </row>
    <row r="754">
      <c r="C754" s="12"/>
      <c r="D754" s="3"/>
      <c r="E754" s="112"/>
      <c r="F754" s="3"/>
      <c r="G754" s="3"/>
      <c r="H754" s="12"/>
      <c r="J754" s="3"/>
      <c r="K754" s="12"/>
      <c r="L754" s="3"/>
      <c r="M754" s="12"/>
      <c r="Q754" s="12"/>
      <c r="R754" s="12"/>
      <c r="T754" s="565"/>
      <c r="U754" s="565"/>
      <c r="V754" s="565"/>
      <c r="W754" s="565"/>
    </row>
    <row r="755">
      <c r="C755" s="12"/>
      <c r="D755" s="3"/>
      <c r="E755" s="112"/>
      <c r="F755" s="3"/>
      <c r="G755" s="3"/>
      <c r="H755" s="12"/>
      <c r="J755" s="3"/>
      <c r="K755" s="12"/>
      <c r="L755" s="3"/>
      <c r="M755" s="12"/>
      <c r="Q755" s="12"/>
      <c r="R755" s="12"/>
      <c r="T755" s="565"/>
      <c r="U755" s="565"/>
      <c r="V755" s="565"/>
      <c r="W755" s="565"/>
    </row>
    <row r="756">
      <c r="C756" s="12"/>
      <c r="D756" s="3"/>
      <c r="E756" s="112"/>
      <c r="F756" s="3"/>
      <c r="G756" s="3"/>
      <c r="H756" s="12"/>
      <c r="J756" s="3"/>
      <c r="K756" s="12"/>
      <c r="L756" s="3"/>
      <c r="M756" s="12"/>
      <c r="Q756" s="12"/>
      <c r="R756" s="12"/>
      <c r="T756" s="565"/>
      <c r="U756" s="565"/>
      <c r="V756" s="565"/>
      <c r="W756" s="565"/>
    </row>
    <row r="757">
      <c r="C757" s="12"/>
      <c r="D757" s="3"/>
      <c r="E757" s="112"/>
      <c r="F757" s="3"/>
      <c r="G757" s="3"/>
      <c r="H757" s="12"/>
      <c r="J757" s="3"/>
      <c r="K757" s="12"/>
      <c r="L757" s="3"/>
      <c r="M757" s="12"/>
      <c r="Q757" s="12"/>
      <c r="R757" s="12"/>
      <c r="T757" s="565"/>
      <c r="U757" s="565"/>
      <c r="V757" s="565"/>
      <c r="W757" s="565"/>
    </row>
    <row r="758">
      <c r="C758" s="12"/>
      <c r="D758" s="3"/>
      <c r="E758" s="112"/>
      <c r="F758" s="3"/>
      <c r="G758" s="3"/>
      <c r="H758" s="12"/>
      <c r="J758" s="3"/>
      <c r="K758" s="12"/>
      <c r="L758" s="3"/>
      <c r="M758" s="12"/>
      <c r="Q758" s="12"/>
      <c r="R758" s="12"/>
      <c r="T758" s="565"/>
      <c r="U758" s="565"/>
      <c r="V758" s="565"/>
      <c r="W758" s="565"/>
    </row>
    <row r="759">
      <c r="C759" s="12"/>
      <c r="D759" s="3"/>
      <c r="E759" s="112"/>
      <c r="F759" s="3"/>
      <c r="G759" s="3"/>
      <c r="H759" s="12"/>
      <c r="J759" s="3"/>
      <c r="K759" s="12"/>
      <c r="L759" s="3"/>
      <c r="M759" s="12"/>
      <c r="Q759" s="12"/>
      <c r="R759" s="12"/>
      <c r="T759" s="565"/>
      <c r="U759" s="565"/>
      <c r="V759" s="565"/>
      <c r="W759" s="565"/>
    </row>
    <row r="760">
      <c r="C760" s="12"/>
      <c r="D760" s="3"/>
      <c r="E760" s="112"/>
      <c r="F760" s="3"/>
      <c r="G760" s="3"/>
      <c r="H760" s="12"/>
      <c r="J760" s="3"/>
      <c r="K760" s="12"/>
      <c r="L760" s="3"/>
      <c r="M760" s="12"/>
      <c r="Q760" s="12"/>
      <c r="R760" s="12"/>
      <c r="T760" s="565"/>
      <c r="U760" s="565"/>
      <c r="V760" s="565"/>
      <c r="W760" s="565"/>
    </row>
    <row r="761">
      <c r="C761" s="12"/>
      <c r="D761" s="3"/>
      <c r="E761" s="112"/>
      <c r="F761" s="3"/>
      <c r="G761" s="3"/>
      <c r="H761" s="12"/>
      <c r="J761" s="3"/>
      <c r="K761" s="12"/>
      <c r="L761" s="3"/>
      <c r="M761" s="12"/>
      <c r="Q761" s="12"/>
      <c r="R761" s="12"/>
      <c r="T761" s="565"/>
      <c r="U761" s="565"/>
      <c r="V761" s="565"/>
      <c r="W761" s="565"/>
    </row>
    <row r="762">
      <c r="C762" s="12"/>
      <c r="D762" s="3"/>
      <c r="E762" s="112"/>
      <c r="F762" s="3"/>
      <c r="G762" s="3"/>
      <c r="H762" s="12"/>
      <c r="J762" s="3"/>
      <c r="K762" s="12"/>
      <c r="L762" s="3"/>
      <c r="M762" s="12"/>
      <c r="Q762" s="12"/>
      <c r="R762" s="12"/>
      <c r="T762" s="565"/>
      <c r="U762" s="565"/>
      <c r="V762" s="565"/>
      <c r="W762" s="565"/>
    </row>
    <row r="763">
      <c r="C763" s="12"/>
      <c r="D763" s="3"/>
      <c r="E763" s="112"/>
      <c r="F763" s="3"/>
      <c r="G763" s="3"/>
      <c r="H763" s="12"/>
      <c r="J763" s="3"/>
      <c r="K763" s="12"/>
      <c r="L763" s="3"/>
      <c r="M763" s="12"/>
      <c r="Q763" s="12"/>
      <c r="R763" s="12"/>
      <c r="T763" s="565"/>
      <c r="U763" s="565"/>
      <c r="V763" s="565"/>
      <c r="W763" s="565"/>
    </row>
    <row r="764">
      <c r="C764" s="12"/>
      <c r="D764" s="3"/>
      <c r="E764" s="112"/>
      <c r="F764" s="3"/>
      <c r="G764" s="3"/>
      <c r="H764" s="12"/>
      <c r="J764" s="3"/>
      <c r="K764" s="12"/>
      <c r="L764" s="3"/>
      <c r="M764" s="12"/>
      <c r="Q764" s="12"/>
      <c r="R764" s="12"/>
      <c r="T764" s="565"/>
      <c r="U764" s="565"/>
      <c r="V764" s="565"/>
      <c r="W764" s="565"/>
    </row>
    <row r="765">
      <c r="C765" s="12"/>
      <c r="D765" s="3"/>
      <c r="E765" s="112"/>
      <c r="F765" s="3"/>
      <c r="G765" s="3"/>
      <c r="H765" s="12"/>
      <c r="J765" s="3"/>
      <c r="K765" s="12"/>
      <c r="L765" s="3"/>
      <c r="M765" s="12"/>
      <c r="Q765" s="12"/>
      <c r="R765" s="12"/>
      <c r="T765" s="565"/>
      <c r="U765" s="565"/>
      <c r="V765" s="565"/>
      <c r="W765" s="565"/>
    </row>
    <row r="766">
      <c r="C766" s="12"/>
      <c r="D766" s="3"/>
      <c r="E766" s="112"/>
      <c r="F766" s="3"/>
      <c r="G766" s="3"/>
      <c r="H766" s="12"/>
      <c r="J766" s="3"/>
      <c r="K766" s="12"/>
      <c r="L766" s="3"/>
      <c r="M766" s="12"/>
      <c r="Q766" s="12"/>
      <c r="R766" s="12"/>
      <c r="T766" s="565"/>
      <c r="U766" s="565"/>
      <c r="V766" s="565"/>
      <c r="W766" s="565"/>
    </row>
    <row r="767">
      <c r="C767" s="12"/>
      <c r="D767" s="3"/>
      <c r="E767" s="112"/>
      <c r="F767" s="3"/>
      <c r="G767" s="3"/>
      <c r="H767" s="12"/>
      <c r="J767" s="3"/>
      <c r="K767" s="12"/>
      <c r="L767" s="3"/>
      <c r="M767" s="12"/>
      <c r="Q767" s="12"/>
      <c r="R767" s="12"/>
      <c r="T767" s="565"/>
      <c r="U767" s="565"/>
      <c r="V767" s="565"/>
      <c r="W767" s="565"/>
    </row>
    <row r="768">
      <c r="C768" s="12"/>
      <c r="D768" s="3"/>
      <c r="E768" s="112"/>
      <c r="F768" s="3"/>
      <c r="G768" s="3"/>
      <c r="H768" s="12"/>
      <c r="J768" s="3"/>
      <c r="K768" s="12"/>
      <c r="L768" s="3"/>
      <c r="M768" s="12"/>
      <c r="Q768" s="12"/>
      <c r="R768" s="12"/>
      <c r="T768" s="565"/>
      <c r="U768" s="565"/>
      <c r="V768" s="565"/>
      <c r="W768" s="565"/>
    </row>
    <row r="769">
      <c r="C769" s="12"/>
      <c r="D769" s="3"/>
      <c r="E769" s="112"/>
      <c r="F769" s="3"/>
      <c r="G769" s="3"/>
      <c r="H769" s="12"/>
      <c r="J769" s="3"/>
      <c r="K769" s="12"/>
      <c r="L769" s="3"/>
      <c r="M769" s="12"/>
      <c r="Q769" s="12"/>
      <c r="R769" s="12"/>
      <c r="T769" s="565"/>
      <c r="U769" s="565"/>
      <c r="V769" s="565"/>
      <c r="W769" s="565"/>
    </row>
    <row r="770">
      <c r="C770" s="12"/>
      <c r="D770" s="3"/>
      <c r="E770" s="112"/>
      <c r="F770" s="3"/>
      <c r="G770" s="3"/>
      <c r="H770" s="12"/>
      <c r="J770" s="3"/>
      <c r="K770" s="12"/>
      <c r="L770" s="3"/>
      <c r="M770" s="12"/>
      <c r="Q770" s="12"/>
      <c r="R770" s="12"/>
      <c r="T770" s="565"/>
      <c r="U770" s="565"/>
      <c r="V770" s="565"/>
      <c r="W770" s="565"/>
    </row>
    <row r="771">
      <c r="C771" s="12"/>
      <c r="D771" s="3"/>
      <c r="E771" s="112"/>
      <c r="F771" s="3"/>
      <c r="G771" s="3"/>
      <c r="H771" s="12"/>
      <c r="J771" s="3"/>
      <c r="K771" s="12"/>
      <c r="L771" s="3"/>
      <c r="M771" s="12"/>
      <c r="Q771" s="12"/>
      <c r="R771" s="12"/>
      <c r="T771" s="565"/>
      <c r="U771" s="565"/>
      <c r="V771" s="565"/>
      <c r="W771" s="565"/>
    </row>
    <row r="772">
      <c r="C772" s="12"/>
      <c r="D772" s="3"/>
      <c r="E772" s="112"/>
      <c r="F772" s="3"/>
      <c r="G772" s="3"/>
      <c r="H772" s="12"/>
      <c r="J772" s="3"/>
      <c r="K772" s="12"/>
      <c r="L772" s="3"/>
      <c r="M772" s="12"/>
      <c r="Q772" s="12"/>
      <c r="R772" s="12"/>
      <c r="T772" s="565"/>
      <c r="U772" s="565"/>
      <c r="V772" s="565"/>
      <c r="W772" s="565"/>
    </row>
    <row r="773">
      <c r="C773" s="12"/>
      <c r="D773" s="3"/>
      <c r="E773" s="112"/>
      <c r="F773" s="3"/>
      <c r="G773" s="3"/>
      <c r="H773" s="12"/>
      <c r="J773" s="3"/>
      <c r="K773" s="12"/>
      <c r="L773" s="3"/>
      <c r="M773" s="12"/>
      <c r="Q773" s="12"/>
      <c r="R773" s="12"/>
      <c r="T773" s="565"/>
      <c r="U773" s="565"/>
      <c r="V773" s="565"/>
      <c r="W773" s="565"/>
    </row>
    <row r="774">
      <c r="C774" s="12"/>
      <c r="D774" s="3"/>
      <c r="E774" s="112"/>
      <c r="F774" s="3"/>
      <c r="G774" s="3"/>
      <c r="H774" s="12"/>
      <c r="J774" s="3"/>
      <c r="K774" s="12"/>
      <c r="L774" s="3"/>
      <c r="M774" s="12"/>
      <c r="Q774" s="12"/>
      <c r="R774" s="12"/>
      <c r="T774" s="565"/>
      <c r="U774" s="565"/>
      <c r="V774" s="565"/>
      <c r="W774" s="565"/>
    </row>
    <row r="775">
      <c r="C775" s="12"/>
      <c r="D775" s="3"/>
      <c r="E775" s="112"/>
      <c r="F775" s="3"/>
      <c r="G775" s="3"/>
      <c r="H775" s="12"/>
      <c r="J775" s="3"/>
      <c r="K775" s="12"/>
      <c r="L775" s="3"/>
      <c r="M775" s="12"/>
      <c r="Q775" s="12"/>
      <c r="R775" s="12"/>
      <c r="T775" s="565"/>
      <c r="U775" s="565"/>
      <c r="V775" s="565"/>
      <c r="W775" s="565"/>
    </row>
    <row r="776">
      <c r="C776" s="12"/>
      <c r="D776" s="3"/>
      <c r="E776" s="112"/>
      <c r="F776" s="3"/>
      <c r="G776" s="3"/>
      <c r="H776" s="12"/>
      <c r="J776" s="3"/>
      <c r="K776" s="12"/>
      <c r="L776" s="3"/>
      <c r="M776" s="12"/>
      <c r="Q776" s="12"/>
      <c r="R776" s="12"/>
      <c r="T776" s="565"/>
      <c r="U776" s="565"/>
      <c r="V776" s="565"/>
      <c r="W776" s="565"/>
    </row>
    <row r="777">
      <c r="C777" s="12"/>
      <c r="D777" s="3"/>
      <c r="E777" s="112"/>
      <c r="F777" s="3"/>
      <c r="G777" s="3"/>
      <c r="H777" s="12"/>
      <c r="J777" s="3"/>
      <c r="K777" s="12"/>
      <c r="L777" s="3"/>
      <c r="M777" s="12"/>
      <c r="Q777" s="12"/>
      <c r="R777" s="12"/>
      <c r="T777" s="565"/>
      <c r="U777" s="565"/>
      <c r="V777" s="565"/>
      <c r="W777" s="565"/>
    </row>
    <row r="778">
      <c r="C778" s="12"/>
      <c r="D778" s="3"/>
      <c r="E778" s="112"/>
      <c r="F778" s="3"/>
      <c r="G778" s="3"/>
      <c r="H778" s="12"/>
      <c r="J778" s="3"/>
      <c r="K778" s="12"/>
      <c r="L778" s="3"/>
      <c r="M778" s="12"/>
      <c r="Q778" s="12"/>
      <c r="R778" s="12"/>
      <c r="T778" s="565"/>
      <c r="U778" s="565"/>
      <c r="V778" s="565"/>
      <c r="W778" s="565"/>
    </row>
    <row r="779">
      <c r="C779" s="12"/>
      <c r="D779" s="3"/>
      <c r="E779" s="112"/>
      <c r="F779" s="3"/>
      <c r="G779" s="3"/>
      <c r="H779" s="12"/>
      <c r="J779" s="3"/>
      <c r="K779" s="12"/>
      <c r="L779" s="3"/>
      <c r="M779" s="12"/>
      <c r="Q779" s="12"/>
      <c r="R779" s="12"/>
      <c r="T779" s="565"/>
      <c r="U779" s="565"/>
      <c r="V779" s="565"/>
      <c r="W779" s="565"/>
    </row>
    <row r="780">
      <c r="C780" s="12"/>
      <c r="D780" s="3"/>
      <c r="E780" s="112"/>
      <c r="F780" s="3"/>
      <c r="G780" s="3"/>
      <c r="H780" s="12"/>
      <c r="J780" s="3"/>
      <c r="K780" s="12"/>
      <c r="L780" s="3"/>
      <c r="M780" s="12"/>
      <c r="Q780" s="12"/>
      <c r="R780" s="12"/>
      <c r="T780" s="565"/>
      <c r="U780" s="565"/>
      <c r="V780" s="565"/>
      <c r="W780" s="565"/>
    </row>
    <row r="781">
      <c r="C781" s="12"/>
      <c r="D781" s="3"/>
      <c r="E781" s="112"/>
      <c r="F781" s="3"/>
      <c r="G781" s="3"/>
      <c r="H781" s="12"/>
      <c r="J781" s="3"/>
      <c r="K781" s="12"/>
      <c r="L781" s="3"/>
      <c r="M781" s="12"/>
      <c r="Q781" s="12"/>
      <c r="R781" s="12"/>
      <c r="T781" s="565"/>
      <c r="U781" s="565"/>
      <c r="V781" s="565"/>
      <c r="W781" s="565"/>
    </row>
    <row r="782">
      <c r="C782" s="12"/>
      <c r="D782" s="3"/>
      <c r="E782" s="112"/>
      <c r="F782" s="3"/>
      <c r="G782" s="3"/>
      <c r="H782" s="12"/>
      <c r="J782" s="3"/>
      <c r="K782" s="12"/>
      <c r="L782" s="3"/>
      <c r="M782" s="12"/>
      <c r="Q782" s="12"/>
      <c r="R782" s="12"/>
      <c r="T782" s="565"/>
      <c r="U782" s="565"/>
      <c r="V782" s="565"/>
      <c r="W782" s="565"/>
    </row>
    <row r="783">
      <c r="C783" s="12"/>
      <c r="D783" s="3"/>
      <c r="E783" s="112"/>
      <c r="F783" s="3"/>
      <c r="G783" s="3"/>
      <c r="H783" s="12"/>
      <c r="J783" s="3"/>
      <c r="K783" s="12"/>
      <c r="L783" s="3"/>
      <c r="M783" s="12"/>
      <c r="Q783" s="12"/>
      <c r="R783" s="12"/>
      <c r="T783" s="565"/>
      <c r="U783" s="565"/>
      <c r="V783" s="565"/>
      <c r="W783" s="565"/>
    </row>
    <row r="784">
      <c r="C784" s="12"/>
      <c r="D784" s="3"/>
      <c r="E784" s="112"/>
      <c r="F784" s="3"/>
      <c r="G784" s="3"/>
      <c r="H784" s="12"/>
      <c r="J784" s="3"/>
      <c r="K784" s="12"/>
      <c r="L784" s="3"/>
      <c r="M784" s="12"/>
      <c r="Q784" s="12"/>
      <c r="R784" s="12"/>
      <c r="T784" s="565"/>
      <c r="U784" s="565"/>
      <c r="V784" s="565"/>
      <c r="W784" s="565"/>
    </row>
    <row r="785">
      <c r="C785" s="12"/>
      <c r="D785" s="3"/>
      <c r="E785" s="112"/>
      <c r="F785" s="3"/>
      <c r="G785" s="3"/>
      <c r="H785" s="12"/>
      <c r="J785" s="3"/>
      <c r="K785" s="12"/>
      <c r="L785" s="3"/>
      <c r="M785" s="12"/>
      <c r="Q785" s="12"/>
      <c r="R785" s="12"/>
      <c r="T785" s="565"/>
      <c r="U785" s="565"/>
      <c r="V785" s="565"/>
      <c r="W785" s="565"/>
    </row>
    <row r="786">
      <c r="C786" s="12"/>
      <c r="D786" s="3"/>
      <c r="E786" s="112"/>
      <c r="F786" s="3"/>
      <c r="G786" s="3"/>
      <c r="H786" s="12"/>
      <c r="J786" s="3"/>
      <c r="K786" s="12"/>
      <c r="L786" s="3"/>
      <c r="M786" s="12"/>
      <c r="Q786" s="12"/>
      <c r="R786" s="12"/>
      <c r="T786" s="565"/>
      <c r="U786" s="565"/>
      <c r="V786" s="565"/>
      <c r="W786" s="565"/>
    </row>
    <row r="787">
      <c r="C787" s="12"/>
      <c r="D787" s="3"/>
      <c r="E787" s="112"/>
      <c r="F787" s="3"/>
      <c r="G787" s="3"/>
      <c r="H787" s="12"/>
      <c r="J787" s="3"/>
      <c r="K787" s="12"/>
      <c r="L787" s="3"/>
      <c r="M787" s="12"/>
      <c r="Q787" s="12"/>
      <c r="R787" s="12"/>
      <c r="T787" s="565"/>
      <c r="U787" s="565"/>
      <c r="V787" s="565"/>
      <c r="W787" s="565"/>
    </row>
    <row r="788">
      <c r="C788" s="12"/>
      <c r="D788" s="3"/>
      <c r="E788" s="112"/>
      <c r="F788" s="3"/>
      <c r="G788" s="3"/>
      <c r="H788" s="12"/>
      <c r="J788" s="3"/>
      <c r="K788" s="12"/>
      <c r="L788" s="3"/>
      <c r="M788" s="12"/>
      <c r="Q788" s="12"/>
      <c r="R788" s="12"/>
      <c r="T788" s="565"/>
      <c r="U788" s="565"/>
      <c r="V788" s="565"/>
      <c r="W788" s="565"/>
    </row>
    <row r="789">
      <c r="C789" s="12"/>
      <c r="D789" s="3"/>
      <c r="E789" s="112"/>
      <c r="F789" s="3"/>
      <c r="G789" s="3"/>
      <c r="H789" s="12"/>
      <c r="J789" s="3"/>
      <c r="K789" s="12"/>
      <c r="L789" s="3"/>
      <c r="M789" s="12"/>
      <c r="Q789" s="12"/>
      <c r="R789" s="12"/>
      <c r="T789" s="565"/>
      <c r="U789" s="565"/>
      <c r="V789" s="565"/>
      <c r="W789" s="565"/>
    </row>
    <row r="790">
      <c r="C790" s="12"/>
      <c r="D790" s="3"/>
      <c r="E790" s="112"/>
      <c r="F790" s="3"/>
      <c r="G790" s="3"/>
      <c r="H790" s="12"/>
      <c r="J790" s="3"/>
      <c r="K790" s="12"/>
      <c r="L790" s="3"/>
      <c r="M790" s="12"/>
      <c r="Q790" s="12"/>
      <c r="R790" s="12"/>
      <c r="T790" s="565"/>
      <c r="U790" s="565"/>
      <c r="V790" s="565"/>
      <c r="W790" s="565"/>
    </row>
    <row r="791">
      <c r="C791" s="12"/>
      <c r="D791" s="3"/>
      <c r="E791" s="112"/>
      <c r="F791" s="3"/>
      <c r="G791" s="3"/>
      <c r="H791" s="12"/>
      <c r="J791" s="3"/>
      <c r="K791" s="12"/>
      <c r="L791" s="3"/>
      <c r="M791" s="12"/>
      <c r="Q791" s="12"/>
      <c r="R791" s="12"/>
      <c r="T791" s="565"/>
      <c r="U791" s="565"/>
      <c r="V791" s="565"/>
      <c r="W791" s="565"/>
    </row>
    <row r="792">
      <c r="C792" s="12"/>
      <c r="D792" s="3"/>
      <c r="E792" s="112"/>
      <c r="F792" s="3"/>
      <c r="G792" s="3"/>
      <c r="H792" s="12"/>
      <c r="J792" s="3"/>
      <c r="K792" s="12"/>
      <c r="L792" s="3"/>
      <c r="M792" s="12"/>
      <c r="Q792" s="12"/>
      <c r="R792" s="12"/>
      <c r="T792" s="565"/>
      <c r="U792" s="565"/>
      <c r="V792" s="565"/>
      <c r="W792" s="565"/>
    </row>
    <row r="793">
      <c r="C793" s="12"/>
      <c r="D793" s="3"/>
      <c r="E793" s="112"/>
      <c r="F793" s="3"/>
      <c r="G793" s="3"/>
      <c r="H793" s="12"/>
      <c r="J793" s="3"/>
      <c r="K793" s="12"/>
      <c r="L793" s="3"/>
      <c r="M793" s="12"/>
      <c r="Q793" s="12"/>
      <c r="R793" s="12"/>
      <c r="T793" s="565"/>
      <c r="U793" s="565"/>
      <c r="V793" s="565"/>
      <c r="W793" s="565"/>
    </row>
    <row r="794">
      <c r="C794" s="12"/>
      <c r="D794" s="3"/>
      <c r="E794" s="112"/>
      <c r="F794" s="3"/>
      <c r="G794" s="3"/>
      <c r="H794" s="12"/>
      <c r="J794" s="3"/>
      <c r="K794" s="12"/>
      <c r="L794" s="3"/>
      <c r="M794" s="12"/>
      <c r="Q794" s="12"/>
      <c r="R794" s="12"/>
      <c r="T794" s="565"/>
      <c r="U794" s="565"/>
      <c r="V794" s="565"/>
      <c r="W794" s="565"/>
    </row>
    <row r="795">
      <c r="C795" s="12"/>
      <c r="D795" s="3"/>
      <c r="E795" s="112"/>
      <c r="F795" s="3"/>
      <c r="G795" s="3"/>
      <c r="H795" s="12"/>
      <c r="J795" s="3"/>
      <c r="K795" s="12"/>
      <c r="L795" s="3"/>
      <c r="M795" s="12"/>
      <c r="Q795" s="12"/>
      <c r="R795" s="12"/>
      <c r="T795" s="565"/>
      <c r="U795" s="565"/>
      <c r="V795" s="565"/>
      <c r="W795" s="565"/>
    </row>
    <row r="796">
      <c r="C796" s="12"/>
      <c r="D796" s="3"/>
      <c r="E796" s="112"/>
      <c r="F796" s="3"/>
      <c r="G796" s="3"/>
      <c r="H796" s="12"/>
      <c r="J796" s="3"/>
      <c r="K796" s="12"/>
      <c r="L796" s="3"/>
      <c r="M796" s="12"/>
      <c r="Q796" s="12"/>
      <c r="R796" s="12"/>
      <c r="T796" s="565"/>
      <c r="U796" s="565"/>
      <c r="V796" s="565"/>
      <c r="W796" s="565"/>
    </row>
    <row r="797">
      <c r="C797" s="12"/>
      <c r="D797" s="3"/>
      <c r="E797" s="112"/>
      <c r="F797" s="3"/>
      <c r="G797" s="3"/>
      <c r="H797" s="12"/>
      <c r="J797" s="3"/>
      <c r="K797" s="12"/>
      <c r="L797" s="3"/>
      <c r="M797" s="12"/>
      <c r="Q797" s="12"/>
      <c r="R797" s="12"/>
      <c r="T797" s="565"/>
      <c r="U797" s="565"/>
      <c r="V797" s="565"/>
      <c r="W797" s="565"/>
    </row>
    <row r="798">
      <c r="C798" s="12"/>
      <c r="D798" s="3"/>
      <c r="E798" s="112"/>
      <c r="F798" s="3"/>
      <c r="G798" s="3"/>
      <c r="H798" s="12"/>
      <c r="J798" s="3"/>
      <c r="K798" s="12"/>
      <c r="L798" s="3"/>
      <c r="M798" s="12"/>
      <c r="Q798" s="12"/>
      <c r="R798" s="12"/>
      <c r="T798" s="565"/>
      <c r="U798" s="565"/>
      <c r="V798" s="565"/>
      <c r="W798" s="565"/>
    </row>
    <row r="799">
      <c r="C799" s="12"/>
      <c r="D799" s="3"/>
      <c r="E799" s="112"/>
      <c r="F799" s="3"/>
      <c r="G799" s="3"/>
      <c r="H799" s="12"/>
      <c r="J799" s="3"/>
      <c r="K799" s="12"/>
      <c r="L799" s="3"/>
      <c r="M799" s="12"/>
      <c r="Q799" s="12"/>
      <c r="R799" s="12"/>
      <c r="T799" s="565"/>
      <c r="U799" s="565"/>
      <c r="V799" s="565"/>
      <c r="W799" s="565"/>
    </row>
    <row r="800">
      <c r="C800" s="12"/>
      <c r="D800" s="3"/>
      <c r="E800" s="112"/>
      <c r="F800" s="3"/>
      <c r="G800" s="3"/>
      <c r="H800" s="12"/>
      <c r="J800" s="3"/>
      <c r="K800" s="12"/>
      <c r="L800" s="3"/>
      <c r="M800" s="12"/>
      <c r="Q800" s="12"/>
      <c r="R800" s="12"/>
      <c r="T800" s="565"/>
      <c r="U800" s="565"/>
      <c r="V800" s="565"/>
      <c r="W800" s="565"/>
    </row>
    <row r="801">
      <c r="C801" s="12"/>
      <c r="D801" s="3"/>
      <c r="E801" s="112"/>
      <c r="F801" s="3"/>
      <c r="G801" s="3"/>
      <c r="H801" s="12"/>
      <c r="J801" s="3"/>
      <c r="K801" s="12"/>
      <c r="L801" s="3"/>
      <c r="M801" s="12"/>
      <c r="Q801" s="12"/>
      <c r="R801" s="12"/>
      <c r="T801" s="565"/>
      <c r="U801" s="565"/>
      <c r="V801" s="565"/>
      <c r="W801" s="565"/>
    </row>
    <row r="802">
      <c r="C802" s="12"/>
      <c r="D802" s="3"/>
      <c r="E802" s="112"/>
      <c r="F802" s="3"/>
      <c r="G802" s="3"/>
      <c r="H802" s="12"/>
      <c r="J802" s="3"/>
      <c r="K802" s="12"/>
      <c r="L802" s="3"/>
      <c r="M802" s="12"/>
      <c r="Q802" s="12"/>
      <c r="R802" s="12"/>
      <c r="T802" s="565"/>
      <c r="U802" s="565"/>
      <c r="V802" s="565"/>
      <c r="W802" s="565"/>
    </row>
    <row r="803">
      <c r="C803" s="12"/>
      <c r="D803" s="3"/>
      <c r="E803" s="112"/>
      <c r="F803" s="3"/>
      <c r="G803" s="3"/>
      <c r="H803" s="12"/>
      <c r="J803" s="3"/>
      <c r="K803" s="12"/>
      <c r="L803" s="3"/>
      <c r="M803" s="12"/>
      <c r="Q803" s="12"/>
      <c r="R803" s="12"/>
      <c r="T803" s="565"/>
      <c r="U803" s="565"/>
      <c r="V803" s="565"/>
      <c r="W803" s="565"/>
    </row>
    <row r="804">
      <c r="C804" s="12"/>
      <c r="D804" s="3"/>
      <c r="E804" s="112"/>
      <c r="F804" s="3"/>
      <c r="G804" s="3"/>
      <c r="H804" s="12"/>
      <c r="J804" s="3"/>
      <c r="K804" s="12"/>
      <c r="L804" s="3"/>
      <c r="M804" s="12"/>
      <c r="Q804" s="12"/>
      <c r="R804" s="12"/>
      <c r="T804" s="565"/>
      <c r="U804" s="565"/>
      <c r="V804" s="565"/>
      <c r="W804" s="565"/>
    </row>
    <row r="805">
      <c r="C805" s="12"/>
      <c r="D805" s="3"/>
      <c r="E805" s="112"/>
      <c r="F805" s="3"/>
      <c r="G805" s="3"/>
      <c r="H805" s="12"/>
      <c r="J805" s="3"/>
      <c r="K805" s="12"/>
      <c r="L805" s="3"/>
      <c r="M805" s="12"/>
      <c r="Q805" s="12"/>
      <c r="R805" s="12"/>
      <c r="T805" s="565"/>
      <c r="U805" s="565"/>
      <c r="V805" s="565"/>
      <c r="W805" s="565"/>
    </row>
    <row r="806">
      <c r="C806" s="12"/>
      <c r="D806" s="3"/>
      <c r="E806" s="112"/>
      <c r="F806" s="3"/>
      <c r="G806" s="3"/>
      <c r="H806" s="12"/>
      <c r="J806" s="3"/>
      <c r="K806" s="12"/>
      <c r="L806" s="3"/>
      <c r="M806" s="12"/>
      <c r="Q806" s="12"/>
      <c r="R806" s="12"/>
      <c r="T806" s="565"/>
      <c r="U806" s="565"/>
      <c r="V806" s="565"/>
      <c r="W806" s="565"/>
    </row>
    <row r="807">
      <c r="C807" s="12"/>
      <c r="D807" s="3"/>
      <c r="E807" s="112"/>
      <c r="F807" s="3"/>
      <c r="G807" s="3"/>
      <c r="H807" s="12"/>
      <c r="J807" s="3"/>
      <c r="K807" s="12"/>
      <c r="L807" s="3"/>
      <c r="M807" s="12"/>
      <c r="Q807" s="12"/>
      <c r="R807" s="12"/>
      <c r="T807" s="565"/>
      <c r="U807" s="565"/>
      <c r="V807" s="565"/>
      <c r="W807" s="565"/>
    </row>
    <row r="808">
      <c r="C808" s="12"/>
      <c r="D808" s="3"/>
      <c r="E808" s="112"/>
      <c r="F808" s="3"/>
      <c r="G808" s="3"/>
      <c r="H808" s="12"/>
      <c r="J808" s="3"/>
      <c r="K808" s="12"/>
      <c r="L808" s="3"/>
      <c r="M808" s="12"/>
      <c r="Q808" s="12"/>
      <c r="R808" s="12"/>
      <c r="T808" s="565"/>
      <c r="U808" s="565"/>
      <c r="V808" s="565"/>
      <c r="W808" s="565"/>
    </row>
    <row r="809">
      <c r="C809" s="12"/>
      <c r="D809" s="3"/>
      <c r="E809" s="112"/>
      <c r="F809" s="3"/>
      <c r="G809" s="3"/>
      <c r="H809" s="12"/>
      <c r="J809" s="3"/>
      <c r="K809" s="12"/>
      <c r="L809" s="3"/>
      <c r="M809" s="12"/>
      <c r="Q809" s="12"/>
      <c r="R809" s="12"/>
      <c r="T809" s="565"/>
      <c r="U809" s="565"/>
      <c r="V809" s="565"/>
      <c r="W809" s="565"/>
    </row>
    <row r="810">
      <c r="C810" s="12"/>
      <c r="D810" s="3"/>
      <c r="E810" s="112"/>
      <c r="F810" s="3"/>
      <c r="G810" s="3"/>
      <c r="H810" s="12"/>
      <c r="J810" s="3"/>
      <c r="K810" s="12"/>
      <c r="L810" s="3"/>
      <c r="M810" s="12"/>
      <c r="Q810" s="12"/>
      <c r="R810" s="12"/>
      <c r="T810" s="565"/>
      <c r="U810" s="565"/>
      <c r="V810" s="565"/>
      <c r="W810" s="565"/>
    </row>
    <row r="811">
      <c r="C811" s="12"/>
      <c r="D811" s="3"/>
      <c r="E811" s="112"/>
      <c r="F811" s="3"/>
      <c r="G811" s="3"/>
      <c r="H811" s="12"/>
      <c r="J811" s="3"/>
      <c r="K811" s="12"/>
      <c r="L811" s="3"/>
      <c r="M811" s="12"/>
      <c r="Q811" s="12"/>
      <c r="R811" s="12"/>
      <c r="T811" s="565"/>
      <c r="U811" s="565"/>
      <c r="V811" s="565"/>
      <c r="W811" s="565"/>
    </row>
    <row r="812">
      <c r="C812" s="12"/>
      <c r="D812" s="3"/>
      <c r="E812" s="112"/>
      <c r="F812" s="3"/>
      <c r="G812" s="3"/>
      <c r="H812" s="12"/>
      <c r="J812" s="3"/>
      <c r="K812" s="12"/>
      <c r="L812" s="3"/>
      <c r="M812" s="12"/>
      <c r="Q812" s="12"/>
      <c r="R812" s="12"/>
      <c r="T812" s="565"/>
      <c r="U812" s="565"/>
      <c r="V812" s="565"/>
      <c r="W812" s="565"/>
    </row>
    <row r="813">
      <c r="C813" s="12"/>
      <c r="D813" s="3"/>
      <c r="E813" s="112"/>
      <c r="F813" s="3"/>
      <c r="G813" s="3"/>
      <c r="H813" s="12"/>
      <c r="J813" s="3"/>
      <c r="K813" s="12"/>
      <c r="L813" s="3"/>
      <c r="M813" s="12"/>
      <c r="Q813" s="12"/>
      <c r="R813" s="12"/>
      <c r="T813" s="565"/>
      <c r="U813" s="565"/>
      <c r="V813" s="565"/>
      <c r="W813" s="565"/>
    </row>
    <row r="814">
      <c r="C814" s="12"/>
      <c r="D814" s="3"/>
      <c r="E814" s="112"/>
      <c r="F814" s="3"/>
      <c r="G814" s="3"/>
      <c r="H814" s="12"/>
      <c r="J814" s="3"/>
      <c r="K814" s="12"/>
      <c r="L814" s="3"/>
      <c r="M814" s="12"/>
      <c r="Q814" s="12"/>
      <c r="R814" s="12"/>
      <c r="T814" s="565"/>
      <c r="U814" s="565"/>
      <c r="V814" s="565"/>
      <c r="W814" s="565"/>
    </row>
    <row r="815">
      <c r="C815" s="12"/>
      <c r="D815" s="3"/>
      <c r="E815" s="112"/>
      <c r="F815" s="3"/>
      <c r="G815" s="3"/>
      <c r="H815" s="12"/>
      <c r="J815" s="3"/>
      <c r="K815" s="12"/>
      <c r="L815" s="3"/>
      <c r="M815" s="12"/>
      <c r="Q815" s="12"/>
      <c r="R815" s="12"/>
      <c r="T815" s="565"/>
      <c r="U815" s="565"/>
      <c r="V815" s="565"/>
      <c r="W815" s="565"/>
    </row>
    <row r="816">
      <c r="C816" s="12"/>
      <c r="D816" s="3"/>
      <c r="E816" s="112"/>
      <c r="F816" s="3"/>
      <c r="G816" s="3"/>
      <c r="H816" s="12"/>
      <c r="J816" s="3"/>
      <c r="K816" s="12"/>
      <c r="L816" s="3"/>
      <c r="M816" s="12"/>
      <c r="Q816" s="12"/>
      <c r="R816" s="12"/>
      <c r="T816" s="565"/>
      <c r="U816" s="565"/>
      <c r="V816" s="565"/>
      <c r="W816" s="565"/>
    </row>
    <row r="817">
      <c r="C817" s="12"/>
      <c r="D817" s="3"/>
      <c r="E817" s="112"/>
      <c r="F817" s="3"/>
      <c r="G817" s="3"/>
      <c r="H817" s="12"/>
      <c r="J817" s="3"/>
      <c r="K817" s="12"/>
      <c r="L817" s="3"/>
      <c r="M817" s="12"/>
      <c r="Q817" s="12"/>
      <c r="R817" s="12"/>
      <c r="T817" s="565"/>
      <c r="U817" s="565"/>
      <c r="V817" s="565"/>
      <c r="W817" s="565"/>
    </row>
    <row r="818">
      <c r="C818" s="12"/>
      <c r="D818" s="3"/>
      <c r="E818" s="112"/>
      <c r="F818" s="3"/>
      <c r="G818" s="3"/>
      <c r="H818" s="12"/>
      <c r="J818" s="3"/>
      <c r="K818" s="12"/>
      <c r="L818" s="3"/>
      <c r="M818" s="12"/>
      <c r="Q818" s="12"/>
      <c r="R818" s="12"/>
      <c r="T818" s="565"/>
      <c r="U818" s="565"/>
      <c r="V818" s="565"/>
      <c r="W818" s="565"/>
    </row>
    <row r="819">
      <c r="C819" s="12"/>
      <c r="D819" s="3"/>
      <c r="E819" s="112"/>
      <c r="F819" s="3"/>
      <c r="G819" s="3"/>
      <c r="H819" s="12"/>
      <c r="J819" s="3"/>
      <c r="K819" s="12"/>
      <c r="L819" s="3"/>
      <c r="M819" s="12"/>
      <c r="Q819" s="12"/>
      <c r="R819" s="12"/>
      <c r="T819" s="565"/>
      <c r="U819" s="565"/>
      <c r="V819" s="565"/>
      <c r="W819" s="565"/>
    </row>
    <row r="820">
      <c r="C820" s="12"/>
      <c r="D820" s="3"/>
      <c r="E820" s="112"/>
      <c r="F820" s="3"/>
      <c r="G820" s="3"/>
      <c r="H820" s="12"/>
      <c r="J820" s="3"/>
      <c r="K820" s="12"/>
      <c r="L820" s="3"/>
      <c r="M820" s="12"/>
      <c r="Q820" s="12"/>
      <c r="R820" s="12"/>
      <c r="T820" s="565"/>
      <c r="U820" s="565"/>
      <c r="V820" s="565"/>
      <c r="W820" s="565"/>
    </row>
    <row r="821">
      <c r="C821" s="12"/>
      <c r="D821" s="3"/>
      <c r="E821" s="112"/>
      <c r="F821" s="3"/>
      <c r="G821" s="3"/>
      <c r="H821" s="12"/>
      <c r="J821" s="3"/>
      <c r="K821" s="12"/>
      <c r="L821" s="3"/>
      <c r="M821" s="12"/>
      <c r="Q821" s="12"/>
      <c r="R821" s="12"/>
      <c r="T821" s="565"/>
      <c r="U821" s="565"/>
      <c r="V821" s="565"/>
      <c r="W821" s="565"/>
    </row>
    <row r="822">
      <c r="C822" s="12"/>
      <c r="D822" s="3"/>
      <c r="E822" s="112"/>
      <c r="F822" s="3"/>
      <c r="G822" s="3"/>
      <c r="H822" s="12"/>
      <c r="J822" s="3"/>
      <c r="K822" s="12"/>
      <c r="L822" s="3"/>
      <c r="M822" s="12"/>
      <c r="Q822" s="12"/>
      <c r="R822" s="12"/>
      <c r="T822" s="565"/>
      <c r="U822" s="565"/>
      <c r="V822" s="565"/>
      <c r="W822" s="565"/>
    </row>
    <row r="823">
      <c r="C823" s="12"/>
      <c r="D823" s="3"/>
      <c r="E823" s="112"/>
      <c r="F823" s="3"/>
      <c r="G823" s="3"/>
      <c r="H823" s="12"/>
      <c r="J823" s="3"/>
      <c r="K823" s="12"/>
      <c r="L823" s="3"/>
      <c r="M823" s="12"/>
      <c r="Q823" s="12"/>
      <c r="R823" s="12"/>
      <c r="T823" s="565"/>
      <c r="U823" s="565"/>
      <c r="V823" s="565"/>
      <c r="W823" s="565"/>
    </row>
    <row r="824">
      <c r="C824" s="12"/>
      <c r="D824" s="3"/>
      <c r="E824" s="112"/>
      <c r="F824" s="3"/>
      <c r="G824" s="3"/>
      <c r="H824" s="12"/>
      <c r="J824" s="3"/>
      <c r="K824" s="12"/>
      <c r="L824" s="3"/>
      <c r="M824" s="12"/>
      <c r="Q824" s="12"/>
      <c r="R824" s="12"/>
      <c r="T824" s="565"/>
      <c r="U824" s="565"/>
      <c r="V824" s="565"/>
      <c r="W824" s="565"/>
    </row>
    <row r="825">
      <c r="C825" s="12"/>
      <c r="D825" s="3"/>
      <c r="E825" s="112"/>
      <c r="F825" s="3"/>
      <c r="G825" s="3"/>
      <c r="H825" s="12"/>
      <c r="J825" s="3"/>
      <c r="K825" s="12"/>
      <c r="L825" s="3"/>
      <c r="M825" s="12"/>
      <c r="Q825" s="12"/>
      <c r="R825" s="12"/>
      <c r="T825" s="565"/>
      <c r="U825" s="565"/>
      <c r="V825" s="565"/>
      <c r="W825" s="565"/>
    </row>
    <row r="826">
      <c r="C826" s="12"/>
      <c r="D826" s="3"/>
      <c r="E826" s="112"/>
      <c r="F826" s="3"/>
      <c r="G826" s="3"/>
      <c r="H826" s="12"/>
      <c r="J826" s="3"/>
      <c r="K826" s="12"/>
      <c r="L826" s="3"/>
      <c r="M826" s="12"/>
      <c r="Q826" s="12"/>
      <c r="R826" s="12"/>
      <c r="T826" s="565"/>
      <c r="U826" s="565"/>
      <c r="V826" s="565"/>
      <c r="W826" s="565"/>
    </row>
    <row r="827">
      <c r="C827" s="12"/>
      <c r="D827" s="3"/>
      <c r="E827" s="112"/>
      <c r="F827" s="3"/>
      <c r="G827" s="3"/>
      <c r="H827" s="12"/>
      <c r="J827" s="3"/>
      <c r="K827" s="12"/>
      <c r="L827" s="3"/>
      <c r="M827" s="12"/>
      <c r="Q827" s="12"/>
      <c r="R827" s="12"/>
      <c r="T827" s="565"/>
      <c r="U827" s="565"/>
      <c r="V827" s="565"/>
      <c r="W827" s="565"/>
    </row>
    <row r="828">
      <c r="C828" s="12"/>
      <c r="D828" s="3"/>
      <c r="E828" s="112"/>
      <c r="F828" s="3"/>
      <c r="G828" s="3"/>
      <c r="H828" s="12"/>
      <c r="J828" s="3"/>
      <c r="K828" s="12"/>
      <c r="L828" s="3"/>
      <c r="M828" s="12"/>
      <c r="Q828" s="12"/>
      <c r="R828" s="12"/>
      <c r="T828" s="565"/>
      <c r="U828" s="565"/>
      <c r="V828" s="565"/>
      <c r="W828" s="565"/>
    </row>
    <row r="829">
      <c r="C829" s="12"/>
      <c r="D829" s="3"/>
      <c r="E829" s="112"/>
      <c r="F829" s="3"/>
      <c r="G829" s="3"/>
      <c r="H829" s="12"/>
      <c r="J829" s="3"/>
      <c r="K829" s="12"/>
      <c r="L829" s="3"/>
      <c r="M829" s="12"/>
      <c r="Q829" s="12"/>
      <c r="R829" s="12"/>
      <c r="T829" s="565"/>
      <c r="U829" s="565"/>
      <c r="V829" s="565"/>
      <c r="W829" s="565"/>
    </row>
    <row r="830">
      <c r="C830" s="12"/>
      <c r="D830" s="3"/>
      <c r="E830" s="112"/>
      <c r="F830" s="3"/>
      <c r="G830" s="3"/>
      <c r="H830" s="12"/>
      <c r="J830" s="3"/>
      <c r="K830" s="12"/>
      <c r="L830" s="3"/>
      <c r="M830" s="12"/>
      <c r="Q830" s="12"/>
      <c r="R830" s="12"/>
      <c r="T830" s="565"/>
      <c r="U830" s="565"/>
      <c r="V830" s="565"/>
      <c r="W830" s="565"/>
    </row>
    <row r="831">
      <c r="C831" s="12"/>
      <c r="D831" s="3"/>
      <c r="E831" s="112"/>
      <c r="F831" s="3"/>
      <c r="G831" s="3"/>
      <c r="H831" s="12"/>
      <c r="J831" s="3"/>
      <c r="K831" s="12"/>
      <c r="L831" s="3"/>
      <c r="M831" s="12"/>
      <c r="Q831" s="12"/>
      <c r="R831" s="12"/>
      <c r="T831" s="565"/>
      <c r="U831" s="565"/>
      <c r="V831" s="565"/>
      <c r="W831" s="565"/>
    </row>
    <row r="832">
      <c r="C832" s="12"/>
      <c r="D832" s="3"/>
      <c r="E832" s="112"/>
      <c r="F832" s="3"/>
      <c r="G832" s="3"/>
      <c r="H832" s="12"/>
      <c r="J832" s="3"/>
      <c r="K832" s="12"/>
      <c r="L832" s="3"/>
      <c r="M832" s="12"/>
      <c r="Q832" s="12"/>
      <c r="R832" s="12"/>
      <c r="T832" s="565"/>
      <c r="U832" s="565"/>
      <c r="V832" s="565"/>
      <c r="W832" s="565"/>
    </row>
    <row r="833">
      <c r="C833" s="12"/>
      <c r="D833" s="3"/>
      <c r="E833" s="112"/>
      <c r="F833" s="3"/>
      <c r="G833" s="3"/>
      <c r="H833" s="12"/>
      <c r="J833" s="3"/>
      <c r="K833" s="12"/>
      <c r="L833" s="3"/>
      <c r="M833" s="12"/>
      <c r="Q833" s="12"/>
      <c r="R833" s="12"/>
      <c r="T833" s="565"/>
      <c r="U833" s="565"/>
      <c r="V833" s="565"/>
      <c r="W833" s="565"/>
    </row>
    <row r="834">
      <c r="C834" s="12"/>
      <c r="D834" s="3"/>
      <c r="E834" s="112"/>
      <c r="F834" s="3"/>
      <c r="G834" s="3"/>
      <c r="H834" s="12"/>
      <c r="J834" s="3"/>
      <c r="K834" s="12"/>
      <c r="L834" s="3"/>
      <c r="M834" s="12"/>
      <c r="Q834" s="12"/>
      <c r="R834" s="12"/>
      <c r="T834" s="565"/>
      <c r="U834" s="565"/>
      <c r="V834" s="565"/>
      <c r="W834" s="565"/>
    </row>
    <row r="835">
      <c r="C835" s="12"/>
      <c r="D835" s="3"/>
      <c r="E835" s="112"/>
      <c r="F835" s="3"/>
      <c r="G835" s="3"/>
      <c r="H835" s="12"/>
      <c r="J835" s="3"/>
      <c r="K835" s="12"/>
      <c r="L835" s="3"/>
      <c r="M835" s="12"/>
      <c r="Q835" s="12"/>
      <c r="R835" s="12"/>
      <c r="T835" s="565"/>
      <c r="U835" s="565"/>
      <c r="V835" s="565"/>
      <c r="W835" s="565"/>
    </row>
    <row r="836">
      <c r="C836" s="12"/>
      <c r="D836" s="3"/>
      <c r="E836" s="112"/>
      <c r="F836" s="3"/>
      <c r="G836" s="3"/>
      <c r="H836" s="12"/>
      <c r="J836" s="3"/>
      <c r="K836" s="12"/>
      <c r="L836" s="3"/>
      <c r="M836" s="12"/>
      <c r="Q836" s="12"/>
      <c r="R836" s="12"/>
      <c r="T836" s="565"/>
      <c r="U836" s="565"/>
      <c r="V836" s="565"/>
      <c r="W836" s="565"/>
    </row>
    <row r="837">
      <c r="C837" s="12"/>
      <c r="D837" s="3"/>
      <c r="E837" s="112"/>
      <c r="F837" s="3"/>
      <c r="G837" s="3"/>
      <c r="H837" s="12"/>
      <c r="J837" s="3"/>
      <c r="K837" s="12"/>
      <c r="L837" s="3"/>
      <c r="M837" s="12"/>
      <c r="Q837" s="12"/>
      <c r="R837" s="12"/>
      <c r="T837" s="565"/>
      <c r="U837" s="565"/>
      <c r="V837" s="565"/>
      <c r="W837" s="565"/>
    </row>
    <row r="838">
      <c r="C838" s="12"/>
      <c r="D838" s="3"/>
      <c r="E838" s="112"/>
      <c r="F838" s="3"/>
      <c r="G838" s="3"/>
      <c r="H838" s="12"/>
      <c r="J838" s="3"/>
      <c r="K838" s="12"/>
      <c r="L838" s="3"/>
      <c r="M838" s="12"/>
      <c r="Q838" s="12"/>
      <c r="R838" s="12"/>
      <c r="T838" s="565"/>
      <c r="U838" s="565"/>
      <c r="V838" s="565"/>
      <c r="W838" s="565"/>
    </row>
    <row r="839">
      <c r="C839" s="12"/>
      <c r="D839" s="3"/>
      <c r="E839" s="112"/>
      <c r="F839" s="3"/>
      <c r="G839" s="3"/>
      <c r="H839" s="12"/>
      <c r="J839" s="3"/>
      <c r="K839" s="12"/>
      <c r="L839" s="3"/>
      <c r="M839" s="12"/>
      <c r="Q839" s="12"/>
      <c r="R839" s="12"/>
      <c r="T839" s="565"/>
      <c r="U839" s="565"/>
      <c r="V839" s="565"/>
      <c r="W839" s="565"/>
    </row>
    <row r="840">
      <c r="C840" s="12"/>
      <c r="D840" s="3"/>
      <c r="E840" s="112"/>
      <c r="F840" s="3"/>
      <c r="G840" s="3"/>
      <c r="H840" s="12"/>
      <c r="J840" s="3"/>
      <c r="K840" s="12"/>
      <c r="L840" s="3"/>
      <c r="M840" s="12"/>
      <c r="Q840" s="12"/>
      <c r="R840" s="12"/>
      <c r="T840" s="565"/>
      <c r="U840" s="565"/>
      <c r="V840" s="565"/>
      <c r="W840" s="565"/>
    </row>
    <row r="841">
      <c r="C841" s="12"/>
      <c r="D841" s="3"/>
      <c r="E841" s="112"/>
      <c r="F841" s="3"/>
      <c r="G841" s="3"/>
      <c r="H841" s="12"/>
      <c r="J841" s="3"/>
      <c r="K841" s="12"/>
      <c r="L841" s="3"/>
      <c r="M841" s="12"/>
      <c r="Q841" s="12"/>
      <c r="R841" s="12"/>
      <c r="T841" s="565"/>
      <c r="U841" s="565"/>
      <c r="V841" s="565"/>
      <c r="W841" s="565"/>
    </row>
    <row r="842">
      <c r="C842" s="12"/>
      <c r="D842" s="3"/>
      <c r="E842" s="112"/>
      <c r="F842" s="3"/>
      <c r="G842" s="3"/>
      <c r="H842" s="12"/>
      <c r="J842" s="3"/>
      <c r="K842" s="12"/>
      <c r="L842" s="3"/>
      <c r="M842" s="12"/>
      <c r="Q842" s="12"/>
      <c r="R842" s="12"/>
      <c r="T842" s="565"/>
      <c r="U842" s="565"/>
      <c r="V842" s="565"/>
      <c r="W842" s="565"/>
    </row>
    <row r="843">
      <c r="C843" s="12"/>
      <c r="D843" s="3"/>
      <c r="E843" s="112"/>
      <c r="F843" s="3"/>
      <c r="G843" s="3"/>
      <c r="H843" s="12"/>
      <c r="J843" s="3"/>
      <c r="K843" s="12"/>
      <c r="L843" s="3"/>
      <c r="M843" s="12"/>
      <c r="Q843" s="12"/>
      <c r="R843" s="12"/>
      <c r="T843" s="565"/>
      <c r="U843" s="565"/>
      <c r="V843" s="565"/>
      <c r="W843" s="565"/>
    </row>
    <row r="844">
      <c r="C844" s="12"/>
      <c r="D844" s="3"/>
      <c r="E844" s="112"/>
      <c r="F844" s="3"/>
      <c r="G844" s="3"/>
      <c r="H844" s="12"/>
      <c r="J844" s="3"/>
      <c r="K844" s="12"/>
      <c r="L844" s="3"/>
      <c r="M844" s="12"/>
      <c r="Q844" s="12"/>
      <c r="R844" s="12"/>
      <c r="T844" s="565"/>
      <c r="U844" s="565"/>
      <c r="V844" s="565"/>
      <c r="W844" s="565"/>
    </row>
    <row r="845">
      <c r="C845" s="12"/>
      <c r="D845" s="3"/>
      <c r="E845" s="112"/>
      <c r="F845" s="3"/>
      <c r="G845" s="3"/>
      <c r="H845" s="12"/>
      <c r="J845" s="3"/>
      <c r="K845" s="12"/>
      <c r="L845" s="3"/>
      <c r="M845" s="12"/>
      <c r="Q845" s="12"/>
      <c r="R845" s="12"/>
      <c r="T845" s="565"/>
      <c r="U845" s="565"/>
      <c r="V845" s="565"/>
      <c r="W845" s="565"/>
    </row>
    <row r="846">
      <c r="C846" s="12"/>
      <c r="D846" s="3"/>
      <c r="E846" s="112"/>
      <c r="F846" s="3"/>
      <c r="G846" s="3"/>
      <c r="H846" s="12"/>
      <c r="J846" s="3"/>
      <c r="K846" s="12"/>
      <c r="L846" s="3"/>
      <c r="M846" s="12"/>
      <c r="Q846" s="12"/>
      <c r="R846" s="12"/>
      <c r="T846" s="565"/>
      <c r="U846" s="565"/>
      <c r="V846" s="565"/>
      <c r="W846" s="565"/>
    </row>
    <row r="847">
      <c r="C847" s="12"/>
      <c r="D847" s="3"/>
      <c r="E847" s="112"/>
      <c r="F847" s="3"/>
      <c r="G847" s="3"/>
      <c r="H847" s="12"/>
      <c r="J847" s="3"/>
      <c r="K847" s="12"/>
      <c r="L847" s="3"/>
      <c r="M847" s="12"/>
      <c r="Q847" s="12"/>
      <c r="R847" s="12"/>
      <c r="T847" s="565"/>
      <c r="U847" s="565"/>
      <c r="V847" s="565"/>
      <c r="W847" s="565"/>
    </row>
    <row r="848">
      <c r="C848" s="12"/>
      <c r="D848" s="3"/>
      <c r="E848" s="112"/>
      <c r="F848" s="3"/>
      <c r="G848" s="3"/>
      <c r="H848" s="12"/>
      <c r="J848" s="3"/>
      <c r="K848" s="12"/>
      <c r="L848" s="3"/>
      <c r="M848" s="12"/>
      <c r="Q848" s="12"/>
      <c r="R848" s="12"/>
      <c r="T848" s="565"/>
      <c r="U848" s="565"/>
      <c r="V848" s="565"/>
      <c r="W848" s="565"/>
    </row>
    <row r="849">
      <c r="C849" s="12"/>
      <c r="D849" s="3"/>
      <c r="E849" s="112"/>
      <c r="F849" s="3"/>
      <c r="G849" s="3"/>
      <c r="H849" s="12"/>
      <c r="J849" s="3"/>
      <c r="K849" s="12"/>
      <c r="L849" s="3"/>
      <c r="M849" s="12"/>
      <c r="Q849" s="12"/>
      <c r="R849" s="12"/>
      <c r="T849" s="565"/>
      <c r="U849" s="565"/>
      <c r="V849" s="565"/>
      <c r="W849" s="565"/>
    </row>
    <row r="850">
      <c r="C850" s="12"/>
      <c r="D850" s="3"/>
      <c r="E850" s="112"/>
      <c r="F850" s="3"/>
      <c r="G850" s="3"/>
      <c r="H850" s="12"/>
      <c r="J850" s="3"/>
      <c r="K850" s="12"/>
      <c r="L850" s="3"/>
      <c r="M850" s="12"/>
      <c r="Q850" s="12"/>
      <c r="R850" s="12"/>
      <c r="T850" s="565"/>
      <c r="U850" s="565"/>
      <c r="V850" s="565"/>
      <c r="W850" s="565"/>
    </row>
    <row r="851">
      <c r="C851" s="12"/>
      <c r="D851" s="3"/>
      <c r="E851" s="112"/>
      <c r="F851" s="3"/>
      <c r="G851" s="3"/>
      <c r="H851" s="12"/>
      <c r="J851" s="3"/>
      <c r="K851" s="12"/>
      <c r="L851" s="3"/>
      <c r="M851" s="12"/>
      <c r="Q851" s="12"/>
      <c r="R851" s="12"/>
      <c r="T851" s="565"/>
      <c r="U851" s="565"/>
      <c r="V851" s="565"/>
      <c r="W851" s="565"/>
    </row>
    <row r="852">
      <c r="C852" s="12"/>
      <c r="D852" s="3"/>
      <c r="E852" s="112"/>
      <c r="F852" s="3"/>
      <c r="G852" s="3"/>
      <c r="H852" s="12"/>
      <c r="J852" s="3"/>
      <c r="K852" s="12"/>
      <c r="L852" s="3"/>
      <c r="M852" s="12"/>
      <c r="Q852" s="12"/>
      <c r="R852" s="12"/>
      <c r="T852" s="565"/>
      <c r="U852" s="565"/>
      <c r="V852" s="565"/>
      <c r="W852" s="565"/>
    </row>
    <row r="853">
      <c r="C853" s="12"/>
      <c r="D853" s="3"/>
      <c r="E853" s="112"/>
      <c r="F853" s="3"/>
      <c r="G853" s="3"/>
      <c r="H853" s="12"/>
      <c r="J853" s="3"/>
      <c r="K853" s="12"/>
      <c r="L853" s="3"/>
      <c r="M853" s="12"/>
      <c r="Q853" s="12"/>
      <c r="R853" s="12"/>
      <c r="T853" s="565"/>
      <c r="U853" s="565"/>
      <c r="V853" s="565"/>
      <c r="W853" s="565"/>
    </row>
    <row r="854">
      <c r="C854" s="12"/>
      <c r="D854" s="3"/>
      <c r="E854" s="112"/>
      <c r="F854" s="3"/>
      <c r="G854" s="3"/>
      <c r="H854" s="12"/>
      <c r="J854" s="3"/>
      <c r="K854" s="12"/>
      <c r="L854" s="3"/>
      <c r="M854" s="12"/>
      <c r="Q854" s="12"/>
      <c r="R854" s="12"/>
      <c r="T854" s="565"/>
      <c r="U854" s="565"/>
      <c r="V854" s="565"/>
      <c r="W854" s="565"/>
    </row>
    <row r="855">
      <c r="C855" s="12"/>
      <c r="D855" s="3"/>
      <c r="E855" s="112"/>
      <c r="F855" s="3"/>
      <c r="G855" s="3"/>
      <c r="H855" s="12"/>
      <c r="J855" s="3"/>
      <c r="K855" s="12"/>
      <c r="L855" s="3"/>
      <c r="M855" s="12"/>
      <c r="Q855" s="12"/>
      <c r="R855" s="12"/>
      <c r="T855" s="565"/>
      <c r="U855" s="565"/>
      <c r="V855" s="565"/>
      <c r="W855" s="565"/>
    </row>
    <row r="856">
      <c r="C856" s="12"/>
      <c r="D856" s="3"/>
      <c r="E856" s="112"/>
      <c r="F856" s="3"/>
      <c r="G856" s="3"/>
      <c r="H856" s="12"/>
      <c r="J856" s="3"/>
      <c r="K856" s="12"/>
      <c r="L856" s="3"/>
      <c r="M856" s="12"/>
      <c r="Q856" s="12"/>
      <c r="R856" s="12"/>
      <c r="T856" s="565"/>
      <c r="U856" s="565"/>
      <c r="V856" s="565"/>
      <c r="W856" s="565"/>
    </row>
    <row r="857">
      <c r="C857" s="12"/>
      <c r="D857" s="3"/>
      <c r="E857" s="112"/>
      <c r="F857" s="3"/>
      <c r="G857" s="3"/>
      <c r="H857" s="12"/>
      <c r="J857" s="3"/>
      <c r="K857" s="12"/>
      <c r="L857" s="3"/>
      <c r="M857" s="12"/>
      <c r="Q857" s="12"/>
      <c r="R857" s="12"/>
      <c r="T857" s="565"/>
      <c r="U857" s="565"/>
      <c r="V857" s="565"/>
      <c r="W857" s="565"/>
    </row>
    <row r="858">
      <c r="C858" s="12"/>
      <c r="D858" s="3"/>
      <c r="E858" s="112"/>
      <c r="F858" s="3"/>
      <c r="G858" s="3"/>
      <c r="H858" s="12"/>
      <c r="J858" s="3"/>
      <c r="K858" s="12"/>
      <c r="L858" s="3"/>
      <c r="M858" s="12"/>
      <c r="Q858" s="12"/>
      <c r="R858" s="12"/>
      <c r="T858" s="565"/>
      <c r="U858" s="565"/>
      <c r="V858" s="565"/>
      <c r="W858" s="565"/>
    </row>
    <row r="859">
      <c r="C859" s="12"/>
      <c r="D859" s="3"/>
      <c r="E859" s="112"/>
      <c r="F859" s="3"/>
      <c r="G859" s="3"/>
      <c r="H859" s="12"/>
      <c r="J859" s="3"/>
      <c r="K859" s="12"/>
      <c r="L859" s="3"/>
      <c r="M859" s="12"/>
      <c r="Q859" s="12"/>
      <c r="R859" s="12"/>
      <c r="T859" s="565"/>
      <c r="U859" s="565"/>
      <c r="V859" s="565"/>
      <c r="W859" s="565"/>
    </row>
    <row r="860">
      <c r="C860" s="12"/>
      <c r="D860" s="3"/>
      <c r="E860" s="112"/>
      <c r="F860" s="3"/>
      <c r="G860" s="3"/>
      <c r="H860" s="12"/>
      <c r="J860" s="3"/>
      <c r="K860" s="12"/>
      <c r="L860" s="3"/>
      <c r="M860" s="12"/>
      <c r="Q860" s="12"/>
      <c r="R860" s="12"/>
      <c r="T860" s="565"/>
      <c r="U860" s="565"/>
      <c r="V860" s="565"/>
      <c r="W860" s="565"/>
    </row>
    <row r="861">
      <c r="C861" s="12"/>
      <c r="D861" s="3"/>
      <c r="E861" s="112"/>
      <c r="F861" s="3"/>
      <c r="G861" s="3"/>
      <c r="H861" s="12"/>
      <c r="J861" s="3"/>
      <c r="K861" s="12"/>
      <c r="L861" s="3"/>
      <c r="M861" s="12"/>
      <c r="Q861" s="12"/>
      <c r="R861" s="12"/>
      <c r="T861" s="565"/>
      <c r="U861" s="565"/>
      <c r="V861" s="565"/>
      <c r="W861" s="565"/>
    </row>
    <row r="862">
      <c r="C862" s="12"/>
      <c r="D862" s="3"/>
      <c r="E862" s="112"/>
      <c r="F862" s="3"/>
      <c r="G862" s="3"/>
      <c r="H862" s="12"/>
      <c r="J862" s="3"/>
      <c r="K862" s="12"/>
      <c r="L862" s="3"/>
      <c r="M862" s="12"/>
      <c r="Q862" s="12"/>
      <c r="R862" s="12"/>
      <c r="T862" s="565"/>
      <c r="U862" s="565"/>
      <c r="V862" s="565"/>
      <c r="W862" s="565"/>
    </row>
    <row r="863">
      <c r="C863" s="12"/>
      <c r="D863" s="3"/>
      <c r="E863" s="112"/>
      <c r="F863" s="3"/>
      <c r="G863" s="3"/>
      <c r="H863" s="12"/>
      <c r="J863" s="3"/>
      <c r="K863" s="12"/>
      <c r="L863" s="3"/>
      <c r="M863" s="12"/>
      <c r="Q863" s="12"/>
      <c r="R863" s="12"/>
      <c r="T863" s="565"/>
      <c r="U863" s="565"/>
      <c r="V863" s="565"/>
      <c r="W863" s="565"/>
    </row>
    <row r="864">
      <c r="C864" s="12"/>
      <c r="D864" s="3"/>
      <c r="E864" s="112"/>
      <c r="F864" s="3"/>
      <c r="G864" s="3"/>
      <c r="H864" s="12"/>
      <c r="J864" s="3"/>
      <c r="K864" s="12"/>
      <c r="L864" s="3"/>
      <c r="M864" s="12"/>
      <c r="Q864" s="12"/>
      <c r="R864" s="12"/>
      <c r="T864" s="565"/>
      <c r="U864" s="565"/>
      <c r="V864" s="565"/>
      <c r="W864" s="565"/>
    </row>
    <row r="865">
      <c r="C865" s="12"/>
      <c r="D865" s="3"/>
      <c r="E865" s="112"/>
      <c r="F865" s="3"/>
      <c r="G865" s="3"/>
      <c r="H865" s="12"/>
      <c r="J865" s="3"/>
      <c r="K865" s="12"/>
      <c r="L865" s="3"/>
      <c r="M865" s="12"/>
      <c r="Q865" s="12"/>
      <c r="R865" s="12"/>
      <c r="T865" s="565"/>
      <c r="U865" s="565"/>
      <c r="V865" s="565"/>
      <c r="W865" s="565"/>
    </row>
    <row r="866">
      <c r="C866" s="12"/>
      <c r="D866" s="3"/>
      <c r="E866" s="112"/>
      <c r="F866" s="3"/>
      <c r="G866" s="3"/>
      <c r="H866" s="12"/>
      <c r="J866" s="3"/>
      <c r="K866" s="12"/>
      <c r="L866" s="3"/>
      <c r="M866" s="12"/>
      <c r="Q866" s="12"/>
      <c r="R866" s="12"/>
      <c r="T866" s="565"/>
      <c r="U866" s="565"/>
      <c r="V866" s="565"/>
      <c r="W866" s="565"/>
    </row>
    <row r="867">
      <c r="C867" s="12"/>
      <c r="D867" s="3"/>
      <c r="E867" s="112"/>
      <c r="F867" s="3"/>
      <c r="G867" s="3"/>
      <c r="H867" s="12"/>
      <c r="J867" s="3"/>
      <c r="K867" s="12"/>
      <c r="L867" s="3"/>
      <c r="M867" s="12"/>
      <c r="Q867" s="12"/>
      <c r="R867" s="12"/>
      <c r="T867" s="565"/>
      <c r="U867" s="565"/>
      <c r="V867" s="565"/>
      <c r="W867" s="565"/>
    </row>
    <row r="868">
      <c r="C868" s="12"/>
      <c r="D868" s="3"/>
      <c r="E868" s="112"/>
      <c r="F868" s="3"/>
      <c r="G868" s="3"/>
      <c r="H868" s="12"/>
      <c r="J868" s="3"/>
      <c r="K868" s="12"/>
      <c r="L868" s="3"/>
      <c r="M868" s="12"/>
      <c r="Q868" s="12"/>
      <c r="R868" s="12"/>
      <c r="T868" s="565"/>
      <c r="U868" s="565"/>
      <c r="V868" s="565"/>
      <c r="W868" s="565"/>
    </row>
    <row r="869">
      <c r="C869" s="12"/>
      <c r="D869" s="3"/>
      <c r="E869" s="112"/>
      <c r="F869" s="3"/>
      <c r="G869" s="3"/>
      <c r="H869" s="12"/>
      <c r="J869" s="3"/>
      <c r="K869" s="12"/>
      <c r="L869" s="3"/>
      <c r="M869" s="12"/>
      <c r="Q869" s="12"/>
      <c r="R869" s="12"/>
      <c r="T869" s="565"/>
      <c r="U869" s="565"/>
      <c r="V869" s="565"/>
      <c r="W869" s="565"/>
    </row>
    <row r="870">
      <c r="C870" s="12"/>
      <c r="D870" s="3"/>
      <c r="E870" s="112"/>
      <c r="F870" s="3"/>
      <c r="G870" s="3"/>
      <c r="H870" s="12"/>
      <c r="J870" s="3"/>
      <c r="K870" s="12"/>
      <c r="L870" s="3"/>
      <c r="M870" s="12"/>
      <c r="Q870" s="12"/>
      <c r="R870" s="12"/>
      <c r="T870" s="565"/>
      <c r="U870" s="565"/>
      <c r="V870" s="565"/>
      <c r="W870" s="565"/>
    </row>
    <row r="871">
      <c r="C871" s="12"/>
      <c r="D871" s="3"/>
      <c r="E871" s="112"/>
      <c r="F871" s="3"/>
      <c r="G871" s="3"/>
      <c r="H871" s="12"/>
      <c r="J871" s="3"/>
      <c r="K871" s="12"/>
      <c r="L871" s="3"/>
      <c r="M871" s="12"/>
      <c r="Q871" s="12"/>
      <c r="R871" s="12"/>
      <c r="T871" s="565"/>
      <c r="U871" s="565"/>
      <c r="V871" s="565"/>
      <c r="W871" s="565"/>
    </row>
    <row r="872">
      <c r="C872" s="12"/>
      <c r="D872" s="3"/>
      <c r="E872" s="112"/>
      <c r="F872" s="3"/>
      <c r="G872" s="3"/>
      <c r="H872" s="12"/>
      <c r="J872" s="3"/>
      <c r="K872" s="12"/>
      <c r="L872" s="3"/>
      <c r="M872" s="12"/>
      <c r="Q872" s="12"/>
      <c r="R872" s="12"/>
      <c r="T872" s="565"/>
      <c r="U872" s="565"/>
      <c r="V872" s="565"/>
      <c r="W872" s="565"/>
    </row>
    <row r="873">
      <c r="C873" s="12"/>
      <c r="D873" s="3"/>
      <c r="E873" s="112"/>
      <c r="F873" s="3"/>
      <c r="G873" s="3"/>
      <c r="H873" s="12"/>
      <c r="J873" s="3"/>
      <c r="K873" s="12"/>
      <c r="L873" s="3"/>
      <c r="M873" s="12"/>
      <c r="Q873" s="12"/>
      <c r="R873" s="12"/>
      <c r="T873" s="565"/>
      <c r="U873" s="565"/>
      <c r="V873" s="565"/>
      <c r="W873" s="565"/>
    </row>
    <row r="874">
      <c r="C874" s="12"/>
      <c r="D874" s="3"/>
      <c r="E874" s="112"/>
      <c r="F874" s="3"/>
      <c r="G874" s="3"/>
      <c r="H874" s="12"/>
      <c r="J874" s="3"/>
      <c r="K874" s="12"/>
      <c r="L874" s="3"/>
      <c r="M874" s="12"/>
      <c r="Q874" s="12"/>
      <c r="R874" s="12"/>
      <c r="T874" s="565"/>
      <c r="U874" s="565"/>
      <c r="V874" s="565"/>
      <c r="W874" s="565"/>
    </row>
    <row r="875">
      <c r="C875" s="12"/>
      <c r="D875" s="3"/>
      <c r="E875" s="112"/>
      <c r="F875" s="3"/>
      <c r="G875" s="3"/>
      <c r="H875" s="12"/>
      <c r="J875" s="3"/>
      <c r="K875" s="12"/>
      <c r="L875" s="3"/>
      <c r="M875" s="12"/>
      <c r="Q875" s="12"/>
      <c r="R875" s="12"/>
      <c r="T875" s="565"/>
      <c r="U875" s="565"/>
      <c r="V875" s="565"/>
      <c r="W875" s="565"/>
    </row>
    <row r="876">
      <c r="C876" s="12"/>
      <c r="D876" s="3"/>
      <c r="E876" s="112"/>
      <c r="F876" s="3"/>
      <c r="G876" s="3"/>
      <c r="H876" s="12"/>
      <c r="J876" s="3"/>
      <c r="K876" s="12"/>
      <c r="L876" s="3"/>
      <c r="M876" s="12"/>
      <c r="Q876" s="12"/>
      <c r="R876" s="12"/>
      <c r="T876" s="565"/>
      <c r="U876" s="565"/>
      <c r="V876" s="565"/>
      <c r="W876" s="565"/>
    </row>
    <row r="877">
      <c r="C877" s="12"/>
      <c r="D877" s="3"/>
      <c r="E877" s="112"/>
      <c r="F877" s="3"/>
      <c r="G877" s="3"/>
      <c r="H877" s="12"/>
      <c r="J877" s="3"/>
      <c r="K877" s="12"/>
      <c r="L877" s="3"/>
      <c r="M877" s="12"/>
      <c r="Q877" s="12"/>
      <c r="R877" s="12"/>
      <c r="T877" s="565"/>
      <c r="U877" s="565"/>
      <c r="V877" s="565"/>
      <c r="W877" s="565"/>
    </row>
    <row r="878">
      <c r="C878" s="12"/>
      <c r="D878" s="3"/>
      <c r="E878" s="112"/>
      <c r="F878" s="3"/>
      <c r="G878" s="3"/>
      <c r="H878" s="12"/>
      <c r="J878" s="3"/>
      <c r="K878" s="12"/>
      <c r="L878" s="3"/>
      <c r="M878" s="12"/>
      <c r="Q878" s="12"/>
      <c r="R878" s="12"/>
      <c r="T878" s="565"/>
      <c r="U878" s="565"/>
      <c r="V878" s="565"/>
      <c r="W878" s="565"/>
    </row>
    <row r="879">
      <c r="C879" s="12"/>
      <c r="D879" s="3"/>
      <c r="E879" s="112"/>
      <c r="F879" s="3"/>
      <c r="G879" s="3"/>
      <c r="H879" s="12"/>
      <c r="J879" s="3"/>
      <c r="K879" s="12"/>
      <c r="L879" s="3"/>
      <c r="M879" s="12"/>
      <c r="Q879" s="12"/>
      <c r="R879" s="12"/>
      <c r="T879" s="565"/>
      <c r="U879" s="565"/>
      <c r="V879" s="565"/>
      <c r="W879" s="565"/>
    </row>
    <row r="880">
      <c r="C880" s="12"/>
      <c r="D880" s="3"/>
      <c r="E880" s="112"/>
      <c r="F880" s="3"/>
      <c r="G880" s="3"/>
      <c r="H880" s="12"/>
      <c r="J880" s="3"/>
      <c r="K880" s="12"/>
      <c r="L880" s="3"/>
      <c r="M880" s="12"/>
      <c r="Q880" s="12"/>
      <c r="R880" s="12"/>
      <c r="T880" s="565"/>
      <c r="U880" s="565"/>
      <c r="V880" s="565"/>
      <c r="W880" s="565"/>
    </row>
    <row r="881">
      <c r="C881" s="12"/>
      <c r="D881" s="3"/>
      <c r="E881" s="112"/>
      <c r="F881" s="3"/>
      <c r="G881" s="3"/>
      <c r="H881" s="12"/>
      <c r="J881" s="3"/>
      <c r="K881" s="12"/>
      <c r="L881" s="3"/>
      <c r="M881" s="12"/>
      <c r="Q881" s="12"/>
      <c r="R881" s="12"/>
      <c r="T881" s="565"/>
      <c r="U881" s="565"/>
      <c r="V881" s="565"/>
      <c r="W881" s="565"/>
    </row>
    <row r="882">
      <c r="C882" s="12"/>
      <c r="D882" s="3"/>
      <c r="E882" s="112"/>
      <c r="F882" s="3"/>
      <c r="G882" s="3"/>
      <c r="H882" s="12"/>
      <c r="J882" s="3"/>
      <c r="K882" s="12"/>
      <c r="L882" s="3"/>
      <c r="M882" s="12"/>
      <c r="Q882" s="12"/>
      <c r="R882" s="12"/>
      <c r="T882" s="565"/>
      <c r="U882" s="565"/>
      <c r="V882" s="565"/>
      <c r="W882" s="565"/>
    </row>
    <row r="883">
      <c r="C883" s="12"/>
      <c r="D883" s="3"/>
      <c r="E883" s="112"/>
      <c r="F883" s="3"/>
      <c r="G883" s="3"/>
      <c r="H883" s="12"/>
      <c r="J883" s="3"/>
      <c r="K883" s="12"/>
      <c r="L883" s="3"/>
      <c r="M883" s="12"/>
      <c r="Q883" s="12"/>
      <c r="R883" s="12"/>
      <c r="T883" s="565"/>
      <c r="U883" s="565"/>
      <c r="V883" s="565"/>
      <c r="W883" s="565"/>
    </row>
    <row r="884">
      <c r="C884" s="12"/>
      <c r="D884" s="3"/>
      <c r="E884" s="112"/>
      <c r="F884" s="3"/>
      <c r="G884" s="3"/>
      <c r="H884" s="12"/>
      <c r="J884" s="3"/>
      <c r="K884" s="12"/>
      <c r="L884" s="3"/>
      <c r="M884" s="12"/>
      <c r="Q884" s="12"/>
      <c r="R884" s="12"/>
      <c r="T884" s="565"/>
      <c r="U884" s="565"/>
      <c r="V884" s="565"/>
      <c r="W884" s="565"/>
    </row>
    <row r="885">
      <c r="C885" s="12"/>
      <c r="D885" s="3"/>
      <c r="E885" s="112"/>
      <c r="F885" s="3"/>
      <c r="G885" s="3"/>
      <c r="H885" s="12"/>
      <c r="J885" s="3"/>
      <c r="K885" s="12"/>
      <c r="L885" s="3"/>
      <c r="M885" s="12"/>
      <c r="Q885" s="12"/>
      <c r="R885" s="12"/>
      <c r="T885" s="565"/>
      <c r="U885" s="565"/>
      <c r="V885" s="565"/>
      <c r="W885" s="565"/>
    </row>
    <row r="886">
      <c r="C886" s="12"/>
      <c r="D886" s="3"/>
      <c r="E886" s="112"/>
      <c r="F886" s="3"/>
      <c r="G886" s="3"/>
      <c r="H886" s="12"/>
      <c r="J886" s="3"/>
      <c r="K886" s="12"/>
      <c r="L886" s="3"/>
      <c r="M886" s="12"/>
      <c r="Q886" s="12"/>
      <c r="R886" s="12"/>
      <c r="T886" s="565"/>
      <c r="U886" s="565"/>
      <c r="V886" s="565"/>
      <c r="W886" s="565"/>
    </row>
    <row r="887">
      <c r="C887" s="12"/>
      <c r="D887" s="3"/>
      <c r="E887" s="112"/>
      <c r="F887" s="3"/>
      <c r="G887" s="3"/>
      <c r="H887" s="12"/>
      <c r="J887" s="3"/>
      <c r="K887" s="12"/>
      <c r="L887" s="3"/>
      <c r="M887" s="12"/>
      <c r="Q887" s="12"/>
      <c r="R887" s="12"/>
      <c r="T887" s="565"/>
      <c r="U887" s="565"/>
      <c r="V887" s="565"/>
      <c r="W887" s="565"/>
    </row>
    <row r="888">
      <c r="C888" s="12"/>
      <c r="D888" s="3"/>
      <c r="E888" s="112"/>
      <c r="F888" s="3"/>
      <c r="G888" s="3"/>
      <c r="H888" s="12"/>
      <c r="J888" s="3"/>
      <c r="K888" s="12"/>
      <c r="L888" s="3"/>
      <c r="M888" s="12"/>
      <c r="Q888" s="12"/>
      <c r="R888" s="12"/>
      <c r="T888" s="565"/>
      <c r="U888" s="565"/>
      <c r="V888" s="565"/>
      <c r="W888" s="565"/>
    </row>
    <row r="889">
      <c r="C889" s="12"/>
      <c r="D889" s="3"/>
      <c r="E889" s="112"/>
      <c r="F889" s="3"/>
      <c r="G889" s="3"/>
      <c r="H889" s="12"/>
      <c r="J889" s="3"/>
      <c r="K889" s="12"/>
      <c r="L889" s="3"/>
      <c r="M889" s="12"/>
      <c r="Q889" s="12"/>
      <c r="R889" s="12"/>
      <c r="T889" s="565"/>
      <c r="U889" s="565"/>
      <c r="V889" s="565"/>
      <c r="W889" s="565"/>
    </row>
    <row r="890">
      <c r="C890" s="12"/>
      <c r="D890" s="3"/>
      <c r="E890" s="112"/>
      <c r="F890" s="3"/>
      <c r="G890" s="3"/>
      <c r="H890" s="12"/>
      <c r="J890" s="3"/>
      <c r="K890" s="12"/>
      <c r="L890" s="3"/>
      <c r="M890" s="12"/>
      <c r="Q890" s="12"/>
      <c r="R890" s="12"/>
      <c r="T890" s="565"/>
      <c r="U890" s="565"/>
      <c r="V890" s="565"/>
      <c r="W890" s="565"/>
    </row>
    <row r="891">
      <c r="C891" s="12"/>
      <c r="D891" s="3"/>
      <c r="E891" s="112"/>
      <c r="F891" s="3"/>
      <c r="G891" s="3"/>
      <c r="H891" s="12"/>
      <c r="J891" s="3"/>
      <c r="K891" s="12"/>
      <c r="L891" s="3"/>
      <c r="M891" s="12"/>
      <c r="Q891" s="12"/>
      <c r="R891" s="12"/>
      <c r="T891" s="565"/>
      <c r="U891" s="565"/>
      <c r="V891" s="565"/>
      <c r="W891" s="565"/>
    </row>
    <row r="892">
      <c r="C892" s="12"/>
      <c r="D892" s="3"/>
      <c r="E892" s="112"/>
      <c r="F892" s="3"/>
      <c r="G892" s="3"/>
      <c r="H892" s="12"/>
      <c r="J892" s="3"/>
      <c r="K892" s="12"/>
      <c r="L892" s="3"/>
      <c r="M892" s="12"/>
      <c r="Q892" s="12"/>
      <c r="R892" s="12"/>
      <c r="T892" s="565"/>
      <c r="U892" s="565"/>
      <c r="V892" s="565"/>
      <c r="W892" s="565"/>
    </row>
    <row r="893">
      <c r="C893" s="12"/>
      <c r="D893" s="3"/>
      <c r="E893" s="112"/>
      <c r="F893" s="3"/>
      <c r="G893" s="3"/>
      <c r="H893" s="12"/>
      <c r="J893" s="3"/>
      <c r="K893" s="12"/>
      <c r="L893" s="3"/>
      <c r="M893" s="12"/>
      <c r="Q893" s="12"/>
      <c r="R893" s="12"/>
      <c r="T893" s="565"/>
      <c r="U893" s="565"/>
      <c r="V893" s="565"/>
      <c r="W893" s="565"/>
    </row>
    <row r="894">
      <c r="C894" s="12"/>
      <c r="D894" s="3"/>
      <c r="E894" s="112"/>
      <c r="F894" s="3"/>
      <c r="G894" s="3"/>
      <c r="H894" s="12"/>
      <c r="J894" s="3"/>
      <c r="K894" s="12"/>
      <c r="L894" s="3"/>
      <c r="M894" s="12"/>
      <c r="Q894" s="12"/>
      <c r="R894" s="12"/>
      <c r="T894" s="565"/>
      <c r="U894" s="565"/>
      <c r="V894" s="565"/>
      <c r="W894" s="565"/>
    </row>
    <row r="895">
      <c r="C895" s="12"/>
      <c r="D895" s="3"/>
      <c r="E895" s="112"/>
      <c r="F895" s="3"/>
      <c r="G895" s="3"/>
      <c r="H895" s="12"/>
      <c r="J895" s="3"/>
      <c r="K895" s="12"/>
      <c r="L895" s="3"/>
      <c r="M895" s="12"/>
      <c r="Q895" s="12"/>
      <c r="R895" s="12"/>
      <c r="T895" s="565"/>
      <c r="U895" s="565"/>
      <c r="V895" s="565"/>
      <c r="W895" s="565"/>
    </row>
    <row r="896">
      <c r="C896" s="12"/>
      <c r="D896" s="3"/>
      <c r="E896" s="112"/>
      <c r="F896" s="3"/>
      <c r="G896" s="3"/>
      <c r="H896" s="12"/>
      <c r="J896" s="3"/>
      <c r="K896" s="12"/>
      <c r="L896" s="3"/>
      <c r="M896" s="12"/>
      <c r="Q896" s="12"/>
      <c r="R896" s="12"/>
      <c r="T896" s="565"/>
      <c r="U896" s="565"/>
      <c r="V896" s="565"/>
      <c r="W896" s="565"/>
    </row>
    <row r="897">
      <c r="C897" s="12"/>
      <c r="D897" s="3"/>
      <c r="E897" s="112"/>
      <c r="F897" s="3"/>
      <c r="G897" s="3"/>
      <c r="H897" s="12"/>
      <c r="J897" s="3"/>
      <c r="K897" s="12"/>
      <c r="L897" s="3"/>
      <c r="M897" s="12"/>
      <c r="Q897" s="12"/>
      <c r="R897" s="12"/>
      <c r="T897" s="565"/>
      <c r="U897" s="565"/>
      <c r="V897" s="565"/>
      <c r="W897" s="565"/>
    </row>
    <row r="898">
      <c r="C898" s="12"/>
      <c r="D898" s="3"/>
      <c r="E898" s="112"/>
      <c r="F898" s="3"/>
      <c r="G898" s="3"/>
      <c r="H898" s="12"/>
      <c r="J898" s="3"/>
      <c r="K898" s="12"/>
      <c r="L898" s="3"/>
      <c r="M898" s="12"/>
      <c r="Q898" s="12"/>
      <c r="R898" s="12"/>
      <c r="T898" s="565"/>
      <c r="U898" s="565"/>
      <c r="V898" s="565"/>
      <c r="W898" s="565"/>
    </row>
    <row r="899">
      <c r="C899" s="12"/>
      <c r="D899" s="3"/>
      <c r="E899" s="112"/>
      <c r="F899" s="3"/>
      <c r="G899" s="3"/>
      <c r="H899" s="12"/>
      <c r="J899" s="3"/>
      <c r="K899" s="12"/>
      <c r="L899" s="3"/>
      <c r="M899" s="12"/>
      <c r="Q899" s="12"/>
      <c r="R899" s="12"/>
      <c r="T899" s="565"/>
      <c r="U899" s="565"/>
      <c r="V899" s="565"/>
      <c r="W899" s="565"/>
    </row>
    <row r="900">
      <c r="C900" s="12"/>
      <c r="D900" s="3"/>
      <c r="E900" s="112"/>
      <c r="F900" s="3"/>
      <c r="G900" s="3"/>
      <c r="H900" s="12"/>
      <c r="J900" s="3"/>
      <c r="K900" s="12"/>
      <c r="L900" s="3"/>
      <c r="M900" s="12"/>
      <c r="Q900" s="12"/>
      <c r="R900" s="12"/>
      <c r="T900" s="565"/>
      <c r="U900" s="565"/>
      <c r="V900" s="565"/>
      <c r="W900" s="565"/>
    </row>
    <row r="901">
      <c r="C901" s="12"/>
      <c r="D901" s="3"/>
      <c r="E901" s="112"/>
      <c r="F901" s="3"/>
      <c r="G901" s="3"/>
      <c r="H901" s="12"/>
      <c r="J901" s="3"/>
      <c r="K901" s="12"/>
      <c r="L901" s="3"/>
      <c r="M901" s="12"/>
      <c r="Q901" s="12"/>
      <c r="R901" s="12"/>
      <c r="T901" s="565"/>
      <c r="U901" s="565"/>
      <c r="V901" s="565"/>
      <c r="W901" s="565"/>
    </row>
    <row r="902">
      <c r="C902" s="12"/>
      <c r="D902" s="3"/>
      <c r="E902" s="112"/>
      <c r="F902" s="3"/>
      <c r="G902" s="3"/>
      <c r="H902" s="12"/>
      <c r="J902" s="3"/>
      <c r="K902" s="12"/>
      <c r="L902" s="3"/>
      <c r="M902" s="12"/>
      <c r="Q902" s="12"/>
      <c r="R902" s="12"/>
      <c r="T902" s="565"/>
      <c r="U902" s="565"/>
      <c r="V902" s="565"/>
      <c r="W902" s="565"/>
    </row>
    <row r="903">
      <c r="C903" s="12"/>
      <c r="D903" s="3"/>
      <c r="E903" s="112"/>
      <c r="F903" s="3"/>
      <c r="G903" s="3"/>
      <c r="H903" s="12"/>
      <c r="J903" s="3"/>
      <c r="K903" s="12"/>
      <c r="L903" s="3"/>
      <c r="M903" s="12"/>
      <c r="Q903" s="12"/>
      <c r="R903" s="12"/>
      <c r="T903" s="565"/>
      <c r="U903" s="565"/>
      <c r="V903" s="565"/>
      <c r="W903" s="565"/>
    </row>
    <row r="904">
      <c r="C904" s="12"/>
      <c r="D904" s="3"/>
      <c r="E904" s="112"/>
      <c r="F904" s="3"/>
      <c r="G904" s="3"/>
      <c r="H904" s="12"/>
      <c r="J904" s="3"/>
      <c r="K904" s="12"/>
      <c r="L904" s="3"/>
      <c r="M904" s="12"/>
      <c r="Q904" s="12"/>
      <c r="R904" s="12"/>
      <c r="T904" s="565"/>
      <c r="U904" s="565"/>
      <c r="V904" s="565"/>
      <c r="W904" s="565"/>
    </row>
    <row r="905">
      <c r="C905" s="12"/>
      <c r="D905" s="3"/>
      <c r="E905" s="112"/>
      <c r="F905" s="3"/>
      <c r="G905" s="3"/>
      <c r="H905" s="12"/>
      <c r="J905" s="3"/>
      <c r="K905" s="12"/>
      <c r="L905" s="3"/>
      <c r="M905" s="12"/>
      <c r="Q905" s="12"/>
      <c r="R905" s="12"/>
      <c r="T905" s="565"/>
      <c r="U905" s="565"/>
      <c r="V905" s="565"/>
      <c r="W905" s="565"/>
    </row>
    <row r="906">
      <c r="C906" s="12"/>
      <c r="D906" s="3"/>
      <c r="E906" s="112"/>
      <c r="F906" s="3"/>
      <c r="G906" s="3"/>
      <c r="H906" s="12"/>
      <c r="J906" s="3"/>
      <c r="K906" s="12"/>
      <c r="L906" s="3"/>
      <c r="M906" s="12"/>
      <c r="Q906" s="12"/>
      <c r="R906" s="12"/>
      <c r="T906" s="565"/>
      <c r="U906" s="565"/>
      <c r="V906" s="565"/>
      <c r="W906" s="565"/>
    </row>
    <row r="907">
      <c r="C907" s="12"/>
      <c r="D907" s="3"/>
      <c r="E907" s="112"/>
      <c r="F907" s="3"/>
      <c r="G907" s="3"/>
      <c r="H907" s="12"/>
      <c r="J907" s="3"/>
      <c r="K907" s="12"/>
      <c r="L907" s="3"/>
      <c r="M907" s="12"/>
      <c r="Q907" s="12"/>
      <c r="R907" s="12"/>
      <c r="T907" s="565"/>
      <c r="U907" s="565"/>
      <c r="V907" s="565"/>
      <c r="W907" s="565"/>
    </row>
    <row r="908">
      <c r="C908" s="12"/>
      <c r="D908" s="3"/>
      <c r="E908" s="112"/>
      <c r="F908" s="3"/>
      <c r="G908" s="3"/>
      <c r="H908" s="12"/>
      <c r="J908" s="3"/>
      <c r="K908" s="12"/>
      <c r="L908" s="3"/>
      <c r="M908" s="12"/>
      <c r="Q908" s="12"/>
      <c r="R908" s="12"/>
      <c r="T908" s="565"/>
      <c r="U908" s="565"/>
      <c r="V908" s="565"/>
      <c r="W908" s="565"/>
    </row>
    <row r="909">
      <c r="C909" s="12"/>
      <c r="D909" s="3"/>
      <c r="E909" s="112"/>
      <c r="F909" s="3"/>
      <c r="G909" s="3"/>
      <c r="H909" s="12"/>
      <c r="J909" s="3"/>
      <c r="K909" s="12"/>
      <c r="L909" s="3"/>
      <c r="M909" s="12"/>
      <c r="Q909" s="12"/>
      <c r="R909" s="12"/>
      <c r="T909" s="565"/>
      <c r="U909" s="565"/>
      <c r="V909" s="565"/>
      <c r="W909" s="565"/>
    </row>
    <row r="910">
      <c r="C910" s="12"/>
      <c r="D910" s="3"/>
      <c r="E910" s="112"/>
      <c r="F910" s="3"/>
      <c r="G910" s="3"/>
      <c r="H910" s="12"/>
      <c r="J910" s="3"/>
      <c r="K910" s="12"/>
      <c r="L910" s="3"/>
      <c r="M910" s="12"/>
      <c r="Q910" s="12"/>
      <c r="R910" s="12"/>
      <c r="T910" s="565"/>
      <c r="U910" s="565"/>
      <c r="V910" s="565"/>
      <c r="W910" s="565"/>
    </row>
    <row r="911">
      <c r="C911" s="12"/>
      <c r="D911" s="3"/>
      <c r="E911" s="112"/>
      <c r="F911" s="3"/>
      <c r="G911" s="3"/>
      <c r="H911" s="12"/>
      <c r="J911" s="3"/>
      <c r="K911" s="12"/>
      <c r="L911" s="3"/>
      <c r="M911" s="12"/>
      <c r="Q911" s="12"/>
      <c r="R911" s="12"/>
      <c r="T911" s="565"/>
      <c r="U911" s="565"/>
      <c r="V911" s="565"/>
      <c r="W911" s="565"/>
    </row>
    <row r="912">
      <c r="C912" s="12"/>
      <c r="D912" s="3"/>
      <c r="E912" s="112"/>
      <c r="F912" s="3"/>
      <c r="G912" s="3"/>
      <c r="H912" s="12"/>
      <c r="J912" s="3"/>
      <c r="K912" s="12"/>
      <c r="L912" s="3"/>
      <c r="M912" s="12"/>
      <c r="Q912" s="12"/>
      <c r="R912" s="12"/>
      <c r="T912" s="565"/>
      <c r="U912" s="565"/>
      <c r="V912" s="565"/>
      <c r="W912" s="565"/>
    </row>
    <row r="913">
      <c r="C913" s="12"/>
      <c r="D913" s="3"/>
      <c r="E913" s="112"/>
      <c r="F913" s="3"/>
      <c r="G913" s="3"/>
      <c r="H913" s="12"/>
      <c r="J913" s="3"/>
      <c r="K913" s="12"/>
      <c r="L913" s="3"/>
      <c r="M913" s="12"/>
      <c r="Q913" s="12"/>
      <c r="R913" s="12"/>
      <c r="T913" s="565"/>
      <c r="U913" s="565"/>
      <c r="V913" s="565"/>
      <c r="W913" s="565"/>
    </row>
    <row r="914">
      <c r="C914" s="12"/>
      <c r="D914" s="3"/>
      <c r="E914" s="112"/>
      <c r="F914" s="3"/>
      <c r="G914" s="3"/>
      <c r="H914" s="12"/>
      <c r="J914" s="3"/>
      <c r="K914" s="12"/>
      <c r="L914" s="3"/>
      <c r="M914" s="12"/>
      <c r="Q914" s="12"/>
      <c r="R914" s="12"/>
      <c r="T914" s="565"/>
      <c r="U914" s="565"/>
      <c r="V914" s="565"/>
      <c r="W914" s="565"/>
    </row>
    <row r="915">
      <c r="C915" s="12"/>
      <c r="D915" s="3"/>
      <c r="E915" s="112"/>
      <c r="F915" s="3"/>
      <c r="G915" s="3"/>
      <c r="H915" s="12"/>
      <c r="J915" s="3"/>
      <c r="K915" s="12"/>
      <c r="L915" s="3"/>
      <c r="M915" s="12"/>
      <c r="Q915" s="12"/>
      <c r="R915" s="12"/>
      <c r="T915" s="565"/>
      <c r="U915" s="565"/>
      <c r="V915" s="565"/>
      <c r="W915" s="565"/>
    </row>
    <row r="916">
      <c r="C916" s="12"/>
      <c r="D916" s="3"/>
      <c r="E916" s="112"/>
      <c r="F916" s="3"/>
      <c r="G916" s="3"/>
      <c r="H916" s="12"/>
      <c r="J916" s="3"/>
      <c r="K916" s="12"/>
      <c r="L916" s="3"/>
      <c r="M916" s="12"/>
      <c r="Q916" s="12"/>
      <c r="R916" s="12"/>
      <c r="T916" s="565"/>
      <c r="U916" s="565"/>
      <c r="V916" s="565"/>
      <c r="W916" s="565"/>
    </row>
    <row r="917">
      <c r="C917" s="12"/>
      <c r="D917" s="3"/>
      <c r="E917" s="112"/>
      <c r="F917" s="3"/>
      <c r="G917" s="3"/>
      <c r="H917" s="12"/>
      <c r="J917" s="3"/>
      <c r="K917" s="12"/>
      <c r="L917" s="3"/>
      <c r="M917" s="12"/>
      <c r="Q917" s="12"/>
      <c r="R917" s="12"/>
      <c r="T917" s="565"/>
      <c r="U917" s="565"/>
      <c r="V917" s="565"/>
      <c r="W917" s="565"/>
    </row>
    <row r="918">
      <c r="C918" s="12"/>
      <c r="D918" s="3"/>
      <c r="E918" s="112"/>
      <c r="F918" s="3"/>
      <c r="G918" s="3"/>
      <c r="H918" s="12"/>
      <c r="J918" s="3"/>
      <c r="K918" s="12"/>
      <c r="L918" s="3"/>
      <c r="M918" s="12"/>
      <c r="Q918" s="12"/>
      <c r="R918" s="12"/>
      <c r="T918" s="565"/>
      <c r="U918" s="565"/>
      <c r="V918" s="565"/>
      <c r="W918" s="565"/>
    </row>
    <row r="919">
      <c r="C919" s="12"/>
      <c r="D919" s="3"/>
      <c r="E919" s="112"/>
      <c r="F919" s="3"/>
      <c r="G919" s="3"/>
      <c r="H919" s="12"/>
      <c r="J919" s="3"/>
      <c r="K919" s="12"/>
      <c r="L919" s="3"/>
      <c r="M919" s="12"/>
      <c r="Q919" s="12"/>
      <c r="R919" s="12"/>
      <c r="T919" s="565"/>
      <c r="U919" s="565"/>
      <c r="V919" s="565"/>
      <c r="W919" s="565"/>
    </row>
    <row r="920">
      <c r="C920" s="12"/>
      <c r="D920" s="3"/>
      <c r="E920" s="112"/>
      <c r="F920" s="3"/>
      <c r="G920" s="3"/>
      <c r="H920" s="12"/>
      <c r="J920" s="3"/>
      <c r="K920" s="12"/>
      <c r="L920" s="3"/>
      <c r="M920" s="12"/>
      <c r="Q920" s="12"/>
      <c r="R920" s="12"/>
      <c r="T920" s="565"/>
      <c r="U920" s="565"/>
      <c r="V920" s="565"/>
      <c r="W920" s="565"/>
    </row>
    <row r="921">
      <c r="C921" s="12"/>
      <c r="D921" s="3"/>
      <c r="E921" s="112"/>
      <c r="F921" s="3"/>
      <c r="G921" s="3"/>
      <c r="H921" s="12"/>
      <c r="J921" s="3"/>
      <c r="K921" s="12"/>
      <c r="L921" s="3"/>
      <c r="M921" s="12"/>
      <c r="Q921" s="12"/>
      <c r="R921" s="12"/>
      <c r="T921" s="565"/>
      <c r="U921" s="565"/>
      <c r="V921" s="565"/>
      <c r="W921" s="565"/>
    </row>
    <row r="922">
      <c r="C922" s="12"/>
      <c r="D922" s="3"/>
      <c r="E922" s="112"/>
      <c r="F922" s="3"/>
      <c r="G922" s="3"/>
      <c r="H922" s="12"/>
      <c r="J922" s="3"/>
      <c r="K922" s="12"/>
      <c r="L922" s="3"/>
      <c r="M922" s="12"/>
      <c r="Q922" s="12"/>
      <c r="R922" s="12"/>
      <c r="T922" s="565"/>
      <c r="U922" s="565"/>
      <c r="V922" s="565"/>
      <c r="W922" s="565"/>
    </row>
    <row r="923">
      <c r="C923" s="12"/>
      <c r="D923" s="3"/>
      <c r="E923" s="112"/>
      <c r="F923" s="3"/>
      <c r="G923" s="3"/>
      <c r="H923" s="12"/>
      <c r="J923" s="3"/>
      <c r="K923" s="12"/>
      <c r="L923" s="3"/>
      <c r="M923" s="12"/>
      <c r="Q923" s="12"/>
      <c r="R923" s="12"/>
      <c r="T923" s="565"/>
      <c r="U923" s="565"/>
      <c r="V923" s="565"/>
      <c r="W923" s="565"/>
    </row>
    <row r="924">
      <c r="C924" s="12"/>
      <c r="D924" s="3"/>
      <c r="E924" s="112"/>
      <c r="F924" s="3"/>
      <c r="G924" s="3"/>
      <c r="H924" s="12"/>
      <c r="J924" s="3"/>
      <c r="K924" s="12"/>
      <c r="L924" s="3"/>
      <c r="M924" s="12"/>
      <c r="Q924" s="12"/>
      <c r="R924" s="12"/>
      <c r="T924" s="565"/>
      <c r="U924" s="565"/>
      <c r="V924" s="565"/>
      <c r="W924" s="565"/>
    </row>
    <row r="925">
      <c r="C925" s="12"/>
      <c r="D925" s="3"/>
      <c r="E925" s="112"/>
      <c r="F925" s="3"/>
      <c r="G925" s="3"/>
      <c r="H925" s="12"/>
      <c r="J925" s="3"/>
      <c r="K925" s="12"/>
      <c r="L925" s="3"/>
      <c r="M925" s="12"/>
      <c r="Q925" s="12"/>
      <c r="R925" s="12"/>
      <c r="T925" s="565"/>
      <c r="U925" s="565"/>
      <c r="V925" s="565"/>
      <c r="W925" s="565"/>
    </row>
    <row r="926">
      <c r="C926" s="12"/>
      <c r="D926" s="3"/>
      <c r="E926" s="112"/>
      <c r="F926" s="3"/>
      <c r="G926" s="3"/>
      <c r="H926" s="12"/>
      <c r="J926" s="3"/>
      <c r="K926" s="12"/>
      <c r="L926" s="3"/>
      <c r="M926" s="12"/>
      <c r="Q926" s="12"/>
      <c r="R926" s="12"/>
      <c r="T926" s="565"/>
      <c r="U926" s="565"/>
      <c r="V926" s="565"/>
      <c r="W926" s="565"/>
    </row>
    <row r="927">
      <c r="C927" s="12"/>
      <c r="D927" s="3"/>
      <c r="E927" s="112"/>
      <c r="F927" s="3"/>
      <c r="G927" s="3"/>
      <c r="H927" s="12"/>
      <c r="J927" s="3"/>
      <c r="K927" s="12"/>
      <c r="L927" s="3"/>
      <c r="M927" s="12"/>
      <c r="Q927" s="12"/>
      <c r="R927" s="12"/>
      <c r="T927" s="565"/>
      <c r="U927" s="565"/>
      <c r="V927" s="565"/>
      <c r="W927" s="565"/>
    </row>
    <row r="928">
      <c r="C928" s="12"/>
      <c r="D928" s="3"/>
      <c r="E928" s="112"/>
      <c r="F928" s="3"/>
      <c r="G928" s="3"/>
      <c r="H928" s="12"/>
      <c r="J928" s="3"/>
      <c r="K928" s="12"/>
      <c r="L928" s="3"/>
      <c r="M928" s="12"/>
      <c r="Q928" s="12"/>
      <c r="R928" s="12"/>
      <c r="T928" s="565"/>
      <c r="U928" s="565"/>
      <c r="V928" s="565"/>
      <c r="W928" s="565"/>
    </row>
    <row r="929">
      <c r="C929" s="12"/>
      <c r="D929" s="3"/>
      <c r="E929" s="112"/>
      <c r="F929" s="3"/>
      <c r="G929" s="3"/>
      <c r="H929" s="12"/>
      <c r="J929" s="3"/>
      <c r="K929" s="12"/>
      <c r="L929" s="3"/>
      <c r="M929" s="12"/>
      <c r="Q929" s="12"/>
      <c r="R929" s="12"/>
      <c r="T929" s="565"/>
      <c r="U929" s="565"/>
      <c r="V929" s="565"/>
      <c r="W929" s="565"/>
    </row>
    <row r="930">
      <c r="C930" s="12"/>
      <c r="D930" s="3"/>
      <c r="E930" s="112"/>
      <c r="F930" s="3"/>
      <c r="G930" s="3"/>
      <c r="H930" s="12"/>
      <c r="J930" s="3"/>
      <c r="K930" s="12"/>
      <c r="L930" s="3"/>
      <c r="M930" s="12"/>
      <c r="Q930" s="12"/>
      <c r="R930" s="12"/>
      <c r="T930" s="565"/>
      <c r="U930" s="565"/>
      <c r="V930" s="565"/>
      <c r="W930" s="565"/>
    </row>
    <row r="931">
      <c r="C931" s="12"/>
      <c r="D931" s="3"/>
      <c r="E931" s="112"/>
      <c r="F931" s="3"/>
      <c r="G931" s="3"/>
      <c r="H931" s="12"/>
      <c r="J931" s="3"/>
      <c r="K931" s="12"/>
      <c r="L931" s="3"/>
      <c r="M931" s="12"/>
      <c r="Q931" s="12"/>
      <c r="R931" s="12"/>
      <c r="T931" s="565"/>
      <c r="U931" s="565"/>
      <c r="V931" s="565"/>
      <c r="W931" s="565"/>
    </row>
    <row r="932">
      <c r="C932" s="12"/>
      <c r="D932" s="3"/>
      <c r="E932" s="112"/>
      <c r="F932" s="3"/>
      <c r="G932" s="3"/>
      <c r="H932" s="12"/>
      <c r="J932" s="3"/>
      <c r="K932" s="12"/>
      <c r="L932" s="3"/>
      <c r="M932" s="12"/>
      <c r="Q932" s="12"/>
      <c r="R932" s="12"/>
      <c r="T932" s="565"/>
      <c r="U932" s="565"/>
      <c r="V932" s="565"/>
      <c r="W932" s="565"/>
    </row>
    <row r="933">
      <c r="C933" s="12"/>
      <c r="D933" s="3"/>
      <c r="E933" s="112"/>
      <c r="F933" s="3"/>
      <c r="G933" s="3"/>
      <c r="H933" s="12"/>
      <c r="J933" s="3"/>
      <c r="K933" s="12"/>
      <c r="L933" s="3"/>
      <c r="M933" s="12"/>
      <c r="Q933" s="12"/>
      <c r="R933" s="12"/>
      <c r="T933" s="565"/>
      <c r="U933" s="565"/>
      <c r="V933" s="565"/>
      <c r="W933" s="565"/>
    </row>
    <row r="934">
      <c r="C934" s="12"/>
      <c r="D934" s="3"/>
      <c r="E934" s="112"/>
      <c r="F934" s="3"/>
      <c r="G934" s="3"/>
      <c r="H934" s="12"/>
      <c r="J934" s="3"/>
      <c r="K934" s="12"/>
      <c r="L934" s="3"/>
      <c r="M934" s="12"/>
      <c r="Q934" s="12"/>
      <c r="R934" s="12"/>
      <c r="T934" s="565"/>
      <c r="U934" s="565"/>
      <c r="V934" s="565"/>
      <c r="W934" s="565"/>
    </row>
    <row r="935">
      <c r="C935" s="12"/>
      <c r="D935" s="3"/>
      <c r="E935" s="112"/>
      <c r="F935" s="3"/>
      <c r="G935" s="3"/>
      <c r="H935" s="12"/>
      <c r="J935" s="3"/>
      <c r="K935" s="12"/>
      <c r="L935" s="3"/>
      <c r="M935" s="12"/>
      <c r="Q935" s="12"/>
      <c r="R935" s="12"/>
      <c r="T935" s="565"/>
      <c r="U935" s="565"/>
      <c r="V935" s="565"/>
      <c r="W935" s="565"/>
    </row>
    <row r="936">
      <c r="C936" s="12"/>
      <c r="D936" s="3"/>
      <c r="E936" s="112"/>
      <c r="F936" s="3"/>
      <c r="G936" s="3"/>
      <c r="H936" s="12"/>
      <c r="J936" s="3"/>
      <c r="K936" s="12"/>
      <c r="L936" s="3"/>
      <c r="M936" s="12"/>
      <c r="Q936" s="12"/>
      <c r="R936" s="12"/>
      <c r="T936" s="565"/>
      <c r="U936" s="565"/>
      <c r="V936" s="565"/>
      <c r="W936" s="565"/>
    </row>
    <row r="937">
      <c r="C937" s="12"/>
      <c r="D937" s="3"/>
      <c r="E937" s="112"/>
      <c r="F937" s="3"/>
      <c r="G937" s="3"/>
      <c r="H937" s="12"/>
      <c r="J937" s="3"/>
      <c r="K937" s="12"/>
      <c r="L937" s="3"/>
      <c r="M937" s="12"/>
      <c r="Q937" s="12"/>
      <c r="R937" s="12"/>
      <c r="T937" s="565"/>
      <c r="U937" s="565"/>
      <c r="V937" s="565"/>
      <c r="W937" s="565"/>
    </row>
    <row r="938">
      <c r="C938" s="12"/>
      <c r="D938" s="3"/>
      <c r="E938" s="112"/>
      <c r="F938" s="3"/>
      <c r="G938" s="3"/>
      <c r="H938" s="12"/>
      <c r="J938" s="3"/>
      <c r="K938" s="12"/>
      <c r="L938" s="3"/>
      <c r="M938" s="12"/>
      <c r="Q938" s="12"/>
      <c r="R938" s="12"/>
      <c r="T938" s="565"/>
      <c r="U938" s="565"/>
      <c r="V938" s="565"/>
      <c r="W938" s="565"/>
    </row>
    <row r="939">
      <c r="C939" s="12"/>
      <c r="D939" s="3"/>
      <c r="E939" s="112"/>
      <c r="F939" s="3"/>
      <c r="G939" s="3"/>
      <c r="H939" s="12"/>
      <c r="J939" s="3"/>
      <c r="K939" s="12"/>
      <c r="L939" s="3"/>
      <c r="M939" s="12"/>
      <c r="Q939" s="12"/>
      <c r="R939" s="12"/>
      <c r="T939" s="565"/>
      <c r="U939" s="565"/>
      <c r="V939" s="565"/>
      <c r="W939" s="565"/>
    </row>
    <row r="940">
      <c r="C940" s="12"/>
      <c r="D940" s="3"/>
      <c r="E940" s="112"/>
      <c r="F940" s="3"/>
      <c r="G940" s="3"/>
      <c r="H940" s="12"/>
      <c r="J940" s="3"/>
      <c r="K940" s="12"/>
      <c r="L940" s="3"/>
      <c r="M940" s="12"/>
      <c r="Q940" s="12"/>
      <c r="R940" s="12"/>
      <c r="T940" s="565"/>
      <c r="U940" s="565"/>
      <c r="V940" s="565"/>
      <c r="W940" s="565"/>
    </row>
    <row r="941">
      <c r="C941" s="12"/>
      <c r="D941" s="3"/>
      <c r="E941" s="112"/>
      <c r="F941" s="3"/>
      <c r="G941" s="3"/>
      <c r="H941" s="12"/>
      <c r="J941" s="3"/>
      <c r="K941" s="12"/>
      <c r="L941" s="3"/>
      <c r="M941" s="12"/>
      <c r="Q941" s="12"/>
      <c r="R941" s="12"/>
      <c r="T941" s="565"/>
      <c r="U941" s="565"/>
      <c r="V941" s="565"/>
      <c r="W941" s="565"/>
    </row>
    <row r="942">
      <c r="C942" s="12"/>
      <c r="D942" s="3"/>
      <c r="E942" s="112"/>
      <c r="F942" s="3"/>
      <c r="G942" s="3"/>
      <c r="H942" s="12"/>
      <c r="J942" s="3"/>
      <c r="K942" s="12"/>
      <c r="L942" s="3"/>
      <c r="M942" s="12"/>
      <c r="Q942" s="12"/>
      <c r="R942" s="12"/>
      <c r="T942" s="565"/>
      <c r="U942" s="565"/>
      <c r="V942" s="565"/>
      <c r="W942" s="565"/>
    </row>
    <row r="943">
      <c r="C943" s="12"/>
      <c r="D943" s="3"/>
      <c r="E943" s="112"/>
      <c r="F943" s="3"/>
      <c r="G943" s="3"/>
      <c r="H943" s="12"/>
      <c r="J943" s="3"/>
      <c r="K943" s="12"/>
      <c r="L943" s="3"/>
      <c r="M943" s="12"/>
      <c r="Q943" s="12"/>
      <c r="R943" s="12"/>
      <c r="T943" s="565"/>
      <c r="U943" s="565"/>
      <c r="V943" s="565"/>
      <c r="W943" s="565"/>
    </row>
    <row r="944">
      <c r="C944" s="12"/>
      <c r="D944" s="3"/>
      <c r="E944" s="112"/>
      <c r="F944" s="3"/>
      <c r="G944" s="3"/>
      <c r="H944" s="12"/>
      <c r="J944" s="3"/>
      <c r="K944" s="12"/>
      <c r="L944" s="3"/>
      <c r="M944" s="12"/>
      <c r="Q944" s="12"/>
      <c r="R944" s="12"/>
      <c r="T944" s="565"/>
      <c r="U944" s="565"/>
      <c r="V944" s="565"/>
      <c r="W944" s="565"/>
    </row>
    <row r="945">
      <c r="C945" s="12"/>
      <c r="D945" s="3"/>
      <c r="E945" s="112"/>
      <c r="F945" s="3"/>
      <c r="G945" s="3"/>
      <c r="H945" s="12"/>
      <c r="J945" s="3"/>
      <c r="K945" s="12"/>
      <c r="L945" s="3"/>
      <c r="M945" s="12"/>
      <c r="Q945" s="12"/>
      <c r="R945" s="12"/>
      <c r="T945" s="565"/>
      <c r="U945" s="565"/>
      <c r="V945" s="565"/>
      <c r="W945" s="565"/>
    </row>
    <row r="946">
      <c r="C946" s="12"/>
      <c r="D946" s="3"/>
      <c r="E946" s="112"/>
      <c r="F946" s="3"/>
      <c r="G946" s="3"/>
      <c r="H946" s="12"/>
      <c r="J946" s="3"/>
      <c r="K946" s="12"/>
      <c r="L946" s="3"/>
      <c r="M946" s="12"/>
      <c r="Q946" s="12"/>
      <c r="R946" s="12"/>
      <c r="T946" s="565"/>
      <c r="U946" s="565"/>
      <c r="V946" s="565"/>
      <c r="W946" s="565"/>
    </row>
    <row r="947">
      <c r="C947" s="12"/>
      <c r="D947" s="3"/>
      <c r="E947" s="112"/>
      <c r="F947" s="3"/>
      <c r="G947" s="3"/>
      <c r="H947" s="12"/>
      <c r="J947" s="3"/>
      <c r="K947" s="12"/>
      <c r="L947" s="3"/>
      <c r="M947" s="12"/>
      <c r="Q947" s="12"/>
      <c r="R947" s="12"/>
      <c r="T947" s="565"/>
      <c r="U947" s="565"/>
      <c r="V947" s="565"/>
      <c r="W947" s="565"/>
    </row>
    <row r="948">
      <c r="C948" s="12"/>
      <c r="D948" s="3"/>
      <c r="E948" s="112"/>
      <c r="F948" s="3"/>
      <c r="G948" s="3"/>
      <c r="H948" s="12"/>
      <c r="J948" s="3"/>
      <c r="K948" s="12"/>
      <c r="L948" s="3"/>
      <c r="M948" s="12"/>
      <c r="Q948" s="12"/>
      <c r="R948" s="12"/>
      <c r="T948" s="565"/>
      <c r="U948" s="565"/>
      <c r="V948" s="565"/>
      <c r="W948" s="565"/>
    </row>
    <row r="949">
      <c r="C949" s="12"/>
      <c r="D949" s="3"/>
      <c r="E949" s="112"/>
      <c r="F949" s="3"/>
      <c r="G949" s="3"/>
      <c r="H949" s="12"/>
      <c r="J949" s="3"/>
      <c r="K949" s="12"/>
      <c r="L949" s="3"/>
      <c r="M949" s="12"/>
      <c r="Q949" s="12"/>
      <c r="R949" s="12"/>
      <c r="T949" s="565"/>
      <c r="U949" s="565"/>
      <c r="V949" s="565"/>
      <c r="W949" s="565"/>
    </row>
    <row r="950">
      <c r="C950" s="12"/>
      <c r="D950" s="3"/>
      <c r="E950" s="112"/>
      <c r="F950" s="3"/>
      <c r="G950" s="3"/>
      <c r="H950" s="12"/>
      <c r="J950" s="3"/>
      <c r="K950" s="12"/>
      <c r="L950" s="3"/>
      <c r="M950" s="12"/>
      <c r="Q950" s="12"/>
      <c r="R950" s="12"/>
      <c r="T950" s="565"/>
      <c r="U950" s="565"/>
      <c r="V950" s="565"/>
      <c r="W950" s="565"/>
    </row>
    <row r="951">
      <c r="C951" s="12"/>
      <c r="D951" s="3"/>
      <c r="E951" s="112"/>
      <c r="F951" s="3"/>
      <c r="G951" s="3"/>
      <c r="H951" s="12"/>
      <c r="J951" s="3"/>
      <c r="K951" s="12"/>
      <c r="L951" s="3"/>
      <c r="M951" s="12"/>
      <c r="Q951" s="12"/>
      <c r="R951" s="12"/>
      <c r="T951" s="565"/>
      <c r="U951" s="565"/>
      <c r="V951" s="565"/>
      <c r="W951" s="565"/>
    </row>
    <row r="952">
      <c r="C952" s="12"/>
      <c r="D952" s="3"/>
      <c r="E952" s="112"/>
      <c r="F952" s="3"/>
      <c r="G952" s="3"/>
      <c r="H952" s="12"/>
      <c r="J952" s="3"/>
      <c r="K952" s="12"/>
      <c r="L952" s="3"/>
      <c r="M952" s="12"/>
      <c r="Q952" s="12"/>
      <c r="R952" s="12"/>
      <c r="T952" s="565"/>
      <c r="U952" s="565"/>
      <c r="V952" s="565"/>
      <c r="W952" s="565"/>
    </row>
    <row r="953">
      <c r="C953" s="12"/>
      <c r="D953" s="3"/>
      <c r="E953" s="112"/>
      <c r="F953" s="3"/>
      <c r="G953" s="3"/>
      <c r="H953" s="12"/>
      <c r="J953" s="3"/>
      <c r="K953" s="12"/>
      <c r="L953" s="3"/>
      <c r="M953" s="12"/>
      <c r="Q953" s="12"/>
      <c r="R953" s="12"/>
      <c r="T953" s="565"/>
      <c r="U953" s="565"/>
      <c r="V953" s="565"/>
      <c r="W953" s="565"/>
    </row>
    <row r="954">
      <c r="C954" s="12"/>
      <c r="D954" s="3"/>
      <c r="E954" s="112"/>
      <c r="F954" s="3"/>
      <c r="G954" s="3"/>
      <c r="H954" s="12"/>
      <c r="J954" s="3"/>
      <c r="K954" s="12"/>
      <c r="L954" s="3"/>
      <c r="M954" s="12"/>
      <c r="Q954" s="12"/>
      <c r="R954" s="12"/>
      <c r="T954" s="565"/>
      <c r="U954" s="565"/>
      <c r="V954" s="565"/>
      <c r="W954" s="565"/>
    </row>
    <row r="955">
      <c r="C955" s="12"/>
      <c r="D955" s="3"/>
      <c r="E955" s="112"/>
      <c r="F955" s="3"/>
      <c r="G955" s="3"/>
      <c r="H955" s="12"/>
      <c r="J955" s="3"/>
      <c r="K955" s="12"/>
      <c r="L955" s="3"/>
      <c r="M955" s="12"/>
      <c r="Q955" s="12"/>
      <c r="R955" s="12"/>
      <c r="T955" s="565"/>
      <c r="U955" s="565"/>
      <c r="V955" s="565"/>
      <c r="W955" s="565"/>
    </row>
    <row r="956">
      <c r="C956" s="12"/>
      <c r="D956" s="3"/>
      <c r="E956" s="112"/>
      <c r="F956" s="3"/>
      <c r="G956" s="3"/>
      <c r="H956" s="12"/>
      <c r="J956" s="3"/>
      <c r="K956" s="12"/>
      <c r="L956" s="3"/>
      <c r="M956" s="12"/>
      <c r="Q956" s="12"/>
      <c r="R956" s="12"/>
      <c r="T956" s="565"/>
      <c r="U956" s="565"/>
      <c r="V956" s="565"/>
      <c r="W956" s="565"/>
    </row>
    <row r="957">
      <c r="C957" s="12"/>
      <c r="D957" s="3"/>
      <c r="E957" s="112"/>
      <c r="F957" s="3"/>
      <c r="G957" s="3"/>
      <c r="H957" s="12"/>
      <c r="J957" s="3"/>
      <c r="K957" s="12"/>
      <c r="L957" s="3"/>
      <c r="M957" s="12"/>
      <c r="Q957" s="12"/>
      <c r="R957" s="12"/>
      <c r="T957" s="565"/>
      <c r="U957" s="565"/>
      <c r="V957" s="565"/>
      <c r="W957" s="565"/>
    </row>
    <row r="958">
      <c r="C958" s="12"/>
      <c r="D958" s="3"/>
      <c r="E958" s="112"/>
      <c r="F958" s="3"/>
      <c r="G958" s="3"/>
      <c r="H958" s="12"/>
      <c r="J958" s="3"/>
      <c r="K958" s="12"/>
      <c r="L958" s="3"/>
      <c r="M958" s="12"/>
      <c r="Q958" s="12"/>
      <c r="R958" s="12"/>
      <c r="T958" s="565"/>
      <c r="U958" s="565"/>
      <c r="V958" s="565"/>
      <c r="W958" s="565"/>
    </row>
    <row r="959">
      <c r="C959" s="12"/>
      <c r="D959" s="3"/>
      <c r="E959" s="112"/>
      <c r="F959" s="3"/>
      <c r="G959" s="3"/>
      <c r="H959" s="12"/>
      <c r="J959" s="3"/>
      <c r="K959" s="12"/>
      <c r="L959" s="3"/>
      <c r="M959" s="12"/>
      <c r="Q959" s="12"/>
      <c r="R959" s="12"/>
      <c r="T959" s="565"/>
      <c r="U959" s="565"/>
      <c r="V959" s="565"/>
      <c r="W959" s="565"/>
    </row>
    <row r="960">
      <c r="C960" s="12"/>
      <c r="D960" s="3"/>
      <c r="E960" s="112"/>
      <c r="F960" s="3"/>
      <c r="G960" s="3"/>
      <c r="H960" s="12"/>
      <c r="J960" s="3"/>
      <c r="K960" s="12"/>
      <c r="L960" s="3"/>
      <c r="M960" s="12"/>
      <c r="Q960" s="12"/>
      <c r="R960" s="12"/>
      <c r="T960" s="565"/>
      <c r="U960" s="565"/>
      <c r="V960" s="565"/>
      <c r="W960" s="565"/>
    </row>
    <row r="961">
      <c r="C961" s="12"/>
      <c r="D961" s="3"/>
      <c r="E961" s="112"/>
      <c r="F961" s="3"/>
      <c r="G961" s="3"/>
      <c r="H961" s="12"/>
      <c r="J961" s="3"/>
      <c r="K961" s="12"/>
      <c r="L961" s="3"/>
      <c r="M961" s="12"/>
      <c r="Q961" s="12"/>
      <c r="R961" s="12"/>
      <c r="T961" s="565"/>
      <c r="U961" s="565"/>
      <c r="V961" s="565"/>
      <c r="W961" s="565"/>
    </row>
    <row r="962">
      <c r="C962" s="12"/>
      <c r="D962" s="3"/>
      <c r="E962" s="112"/>
      <c r="F962" s="3"/>
      <c r="G962" s="3"/>
      <c r="H962" s="12"/>
      <c r="J962" s="3"/>
      <c r="K962" s="12"/>
      <c r="L962" s="3"/>
      <c r="M962" s="12"/>
      <c r="Q962" s="12"/>
      <c r="R962" s="12"/>
      <c r="T962" s="565"/>
      <c r="U962" s="565"/>
      <c r="V962" s="565"/>
      <c r="W962" s="565"/>
    </row>
    <row r="963">
      <c r="C963" s="12"/>
      <c r="D963" s="3"/>
      <c r="E963" s="112"/>
      <c r="F963" s="3"/>
      <c r="G963" s="3"/>
      <c r="H963" s="12"/>
      <c r="J963" s="3"/>
      <c r="K963" s="12"/>
      <c r="L963" s="3"/>
      <c r="M963" s="12"/>
      <c r="Q963" s="12"/>
      <c r="R963" s="12"/>
      <c r="T963" s="565"/>
      <c r="U963" s="565"/>
      <c r="V963" s="565"/>
      <c r="W963" s="565"/>
    </row>
    <row r="964">
      <c r="C964" s="12"/>
      <c r="D964" s="3"/>
      <c r="E964" s="112"/>
      <c r="F964" s="3"/>
      <c r="G964" s="3"/>
      <c r="H964" s="12"/>
      <c r="J964" s="3"/>
      <c r="K964" s="12"/>
      <c r="L964" s="3"/>
      <c r="M964" s="12"/>
      <c r="Q964" s="12"/>
      <c r="R964" s="12"/>
      <c r="T964" s="565"/>
      <c r="U964" s="565"/>
      <c r="V964" s="565"/>
      <c r="W964" s="565"/>
    </row>
    <row r="965">
      <c r="C965" s="12"/>
      <c r="D965" s="3"/>
      <c r="E965" s="112"/>
      <c r="F965" s="3"/>
      <c r="G965" s="3"/>
      <c r="H965" s="12"/>
      <c r="J965" s="3"/>
      <c r="K965" s="12"/>
      <c r="L965" s="3"/>
      <c r="M965" s="12"/>
      <c r="Q965" s="12"/>
      <c r="R965" s="12"/>
      <c r="T965" s="565"/>
      <c r="U965" s="565"/>
      <c r="V965" s="565"/>
      <c r="W965" s="565"/>
    </row>
    <row r="966">
      <c r="C966" s="12"/>
      <c r="D966" s="3"/>
      <c r="E966" s="112"/>
      <c r="F966" s="3"/>
      <c r="G966" s="3"/>
      <c r="H966" s="12"/>
      <c r="J966" s="3"/>
      <c r="K966" s="12"/>
      <c r="L966" s="3"/>
      <c r="M966" s="12"/>
      <c r="Q966" s="12"/>
      <c r="R966" s="12"/>
      <c r="T966" s="565"/>
      <c r="U966" s="565"/>
      <c r="V966" s="565"/>
      <c r="W966" s="565"/>
    </row>
    <row r="967">
      <c r="C967" s="12"/>
      <c r="D967" s="3"/>
      <c r="E967" s="112"/>
      <c r="F967" s="3"/>
      <c r="G967" s="3"/>
      <c r="H967" s="12"/>
      <c r="J967" s="3"/>
      <c r="K967" s="12"/>
      <c r="L967" s="3"/>
      <c r="M967" s="12"/>
      <c r="Q967" s="12"/>
      <c r="R967" s="12"/>
      <c r="T967" s="565"/>
      <c r="U967" s="565"/>
      <c r="V967" s="565"/>
      <c r="W967" s="565"/>
    </row>
    <row r="968">
      <c r="C968" s="12"/>
      <c r="D968" s="3"/>
      <c r="E968" s="112"/>
      <c r="F968" s="3"/>
      <c r="G968" s="3"/>
      <c r="H968" s="12"/>
      <c r="J968" s="3"/>
      <c r="K968" s="12"/>
      <c r="L968" s="3"/>
      <c r="M968" s="12"/>
      <c r="Q968" s="12"/>
      <c r="R968" s="12"/>
      <c r="T968" s="565"/>
      <c r="U968" s="565"/>
      <c r="V968" s="565"/>
      <c r="W968" s="565"/>
    </row>
    <row r="969">
      <c r="C969" s="12"/>
      <c r="D969" s="3"/>
      <c r="E969" s="112"/>
      <c r="F969" s="3"/>
      <c r="G969" s="3"/>
      <c r="H969" s="12"/>
      <c r="J969" s="3"/>
      <c r="K969" s="12"/>
      <c r="L969" s="3"/>
      <c r="M969" s="12"/>
      <c r="Q969" s="12"/>
      <c r="R969" s="12"/>
      <c r="T969" s="565"/>
      <c r="U969" s="565"/>
      <c r="V969" s="565"/>
      <c r="W969" s="565"/>
    </row>
    <row r="970">
      <c r="C970" s="12"/>
      <c r="D970" s="3"/>
      <c r="E970" s="112"/>
      <c r="F970" s="3"/>
      <c r="G970" s="3"/>
      <c r="H970" s="12"/>
      <c r="J970" s="3"/>
      <c r="K970" s="12"/>
      <c r="L970" s="3"/>
      <c r="M970" s="12"/>
      <c r="Q970" s="12"/>
      <c r="R970" s="12"/>
      <c r="T970" s="565"/>
      <c r="U970" s="565"/>
      <c r="V970" s="565"/>
      <c r="W970" s="565"/>
    </row>
    <row r="971">
      <c r="C971" s="12"/>
      <c r="D971" s="3"/>
      <c r="E971" s="112"/>
      <c r="F971" s="3"/>
      <c r="G971" s="3"/>
      <c r="H971" s="12"/>
      <c r="J971" s="3"/>
      <c r="K971" s="12"/>
      <c r="L971" s="3"/>
      <c r="M971" s="12"/>
      <c r="Q971" s="12"/>
      <c r="R971" s="12"/>
      <c r="T971" s="565"/>
      <c r="U971" s="565"/>
      <c r="V971" s="565"/>
      <c r="W971" s="565"/>
    </row>
    <row r="972">
      <c r="C972" s="12"/>
      <c r="D972" s="3"/>
      <c r="E972" s="112"/>
      <c r="F972" s="3"/>
      <c r="G972" s="3"/>
      <c r="H972" s="12"/>
      <c r="J972" s="3"/>
      <c r="K972" s="12"/>
      <c r="L972" s="3"/>
      <c r="M972" s="12"/>
      <c r="Q972" s="12"/>
      <c r="R972" s="12"/>
      <c r="T972" s="565"/>
      <c r="U972" s="565"/>
      <c r="V972" s="565"/>
      <c r="W972" s="565"/>
    </row>
    <row r="973">
      <c r="C973" s="12"/>
      <c r="D973" s="3"/>
      <c r="E973" s="112"/>
      <c r="F973" s="3"/>
      <c r="G973" s="3"/>
      <c r="H973" s="12"/>
      <c r="J973" s="3"/>
      <c r="K973" s="12"/>
      <c r="L973" s="3"/>
      <c r="M973" s="12"/>
      <c r="Q973" s="12"/>
      <c r="R973" s="12"/>
      <c r="T973" s="565"/>
      <c r="U973" s="565"/>
      <c r="V973" s="565"/>
      <c r="W973" s="565"/>
    </row>
    <row r="974">
      <c r="C974" s="12"/>
      <c r="D974" s="3"/>
      <c r="E974" s="112"/>
      <c r="F974" s="3"/>
      <c r="G974" s="3"/>
      <c r="H974" s="12"/>
      <c r="J974" s="3"/>
      <c r="K974" s="12"/>
      <c r="L974" s="3"/>
      <c r="M974" s="12"/>
      <c r="Q974" s="12"/>
      <c r="R974" s="12"/>
      <c r="T974" s="565"/>
      <c r="U974" s="565"/>
      <c r="V974" s="565"/>
      <c r="W974" s="565"/>
    </row>
    <row r="975">
      <c r="C975" s="12"/>
      <c r="D975" s="3"/>
      <c r="E975" s="112"/>
      <c r="F975" s="3"/>
      <c r="G975" s="3"/>
      <c r="H975" s="12"/>
      <c r="J975" s="3"/>
      <c r="K975" s="12"/>
      <c r="L975" s="3"/>
      <c r="M975" s="12"/>
      <c r="Q975" s="12"/>
      <c r="R975" s="12"/>
      <c r="T975" s="565"/>
      <c r="U975" s="565"/>
      <c r="V975" s="565"/>
      <c r="W975" s="565"/>
    </row>
    <row r="976">
      <c r="C976" s="12"/>
      <c r="D976" s="3"/>
      <c r="E976" s="112"/>
      <c r="F976" s="3"/>
      <c r="G976" s="3"/>
      <c r="H976" s="12"/>
      <c r="J976" s="3"/>
      <c r="K976" s="12"/>
      <c r="L976" s="3"/>
      <c r="M976" s="12"/>
      <c r="Q976" s="12"/>
      <c r="R976" s="12"/>
      <c r="T976" s="565"/>
      <c r="U976" s="565"/>
      <c r="V976" s="565"/>
      <c r="W976" s="565"/>
    </row>
    <row r="977">
      <c r="C977" s="12"/>
      <c r="D977" s="3"/>
      <c r="E977" s="112"/>
      <c r="F977" s="3"/>
      <c r="G977" s="3"/>
      <c r="H977" s="12"/>
      <c r="J977" s="3"/>
      <c r="K977" s="12"/>
      <c r="L977" s="3"/>
      <c r="M977" s="12"/>
      <c r="Q977" s="12"/>
      <c r="R977" s="12"/>
      <c r="T977" s="565"/>
      <c r="U977" s="565"/>
      <c r="V977" s="565"/>
      <c r="W977" s="565"/>
    </row>
    <row r="978">
      <c r="C978" s="12"/>
      <c r="D978" s="3"/>
      <c r="E978" s="112"/>
      <c r="F978" s="3"/>
      <c r="G978" s="3"/>
      <c r="H978" s="12"/>
      <c r="J978" s="3"/>
      <c r="K978" s="12"/>
      <c r="L978" s="3"/>
      <c r="M978" s="12"/>
      <c r="Q978" s="12"/>
      <c r="R978" s="12"/>
      <c r="T978" s="565"/>
      <c r="U978" s="565"/>
      <c r="V978" s="565"/>
      <c r="W978" s="565"/>
    </row>
    <row r="979">
      <c r="C979" s="12"/>
      <c r="D979" s="3"/>
      <c r="E979" s="112"/>
      <c r="F979" s="3"/>
      <c r="G979" s="3"/>
      <c r="H979" s="12"/>
      <c r="J979" s="3"/>
      <c r="K979" s="12"/>
      <c r="L979" s="3"/>
      <c r="M979" s="12"/>
      <c r="Q979" s="12"/>
      <c r="R979" s="12"/>
      <c r="T979" s="565"/>
      <c r="U979" s="565"/>
      <c r="V979" s="565"/>
      <c r="W979" s="565"/>
    </row>
    <row r="980">
      <c r="C980" s="12"/>
      <c r="D980" s="3"/>
      <c r="E980" s="112"/>
      <c r="F980" s="3"/>
      <c r="G980" s="3"/>
      <c r="H980" s="12"/>
      <c r="J980" s="3"/>
      <c r="K980" s="12"/>
      <c r="L980" s="3"/>
      <c r="M980" s="12"/>
      <c r="Q980" s="12"/>
      <c r="R980" s="12"/>
      <c r="T980" s="565"/>
      <c r="U980" s="565"/>
      <c r="V980" s="565"/>
      <c r="W980" s="565"/>
    </row>
    <row r="981">
      <c r="C981" s="12"/>
      <c r="D981" s="3"/>
      <c r="E981" s="112"/>
      <c r="F981" s="3"/>
      <c r="G981" s="3"/>
      <c r="H981" s="12"/>
      <c r="J981" s="3"/>
      <c r="K981" s="12"/>
      <c r="L981" s="3"/>
      <c r="M981" s="12"/>
      <c r="Q981" s="12"/>
      <c r="R981" s="12"/>
      <c r="T981" s="565"/>
      <c r="U981" s="565"/>
      <c r="V981" s="565"/>
      <c r="W981" s="565"/>
    </row>
    <row r="982">
      <c r="C982" s="12"/>
      <c r="D982" s="3"/>
      <c r="E982" s="112"/>
      <c r="F982" s="3"/>
      <c r="G982" s="3"/>
      <c r="H982" s="12"/>
      <c r="J982" s="3"/>
      <c r="K982" s="12"/>
      <c r="L982" s="3"/>
      <c r="M982" s="12"/>
      <c r="Q982" s="12"/>
      <c r="R982" s="12"/>
      <c r="T982" s="565"/>
      <c r="U982" s="565"/>
      <c r="V982" s="565"/>
      <c r="W982" s="565"/>
    </row>
    <row r="983">
      <c r="C983" s="12"/>
      <c r="D983" s="3"/>
      <c r="E983" s="112"/>
      <c r="F983" s="3"/>
      <c r="G983" s="3"/>
      <c r="H983" s="12"/>
      <c r="J983" s="3"/>
      <c r="K983" s="12"/>
      <c r="L983" s="3"/>
      <c r="M983" s="12"/>
      <c r="Q983" s="12"/>
      <c r="R983" s="12"/>
      <c r="T983" s="565"/>
      <c r="U983" s="565"/>
      <c r="V983" s="565"/>
      <c r="W983" s="565"/>
    </row>
    <row r="984">
      <c r="C984" s="12"/>
      <c r="D984" s="3"/>
      <c r="E984" s="112"/>
      <c r="F984" s="3"/>
      <c r="G984" s="3"/>
      <c r="H984" s="12"/>
      <c r="J984" s="3"/>
      <c r="K984" s="12"/>
      <c r="L984" s="3"/>
      <c r="M984" s="12"/>
      <c r="Q984" s="12"/>
      <c r="R984" s="12"/>
      <c r="T984" s="565"/>
      <c r="U984" s="565"/>
      <c r="V984" s="565"/>
      <c r="W984" s="565"/>
    </row>
    <row r="985">
      <c r="C985" s="12"/>
      <c r="D985" s="3"/>
      <c r="E985" s="112"/>
      <c r="F985" s="3"/>
      <c r="G985" s="3"/>
      <c r="H985" s="12"/>
      <c r="J985" s="3"/>
      <c r="K985" s="12"/>
      <c r="L985" s="3"/>
      <c r="M985" s="12"/>
      <c r="Q985" s="12"/>
      <c r="R985" s="12"/>
      <c r="T985" s="565"/>
      <c r="U985" s="565"/>
      <c r="V985" s="565"/>
      <c r="W985" s="565"/>
    </row>
    <row r="986">
      <c r="C986" s="12"/>
      <c r="D986" s="3"/>
      <c r="E986" s="112"/>
      <c r="F986" s="3"/>
      <c r="G986" s="3"/>
      <c r="H986" s="12"/>
      <c r="J986" s="3"/>
      <c r="K986" s="12"/>
      <c r="L986" s="3"/>
      <c r="M986" s="12"/>
      <c r="Q986" s="12"/>
      <c r="R986" s="12"/>
      <c r="T986" s="565"/>
      <c r="U986" s="565"/>
      <c r="V986" s="565"/>
      <c r="W986" s="565"/>
    </row>
    <row r="987">
      <c r="C987" s="12"/>
      <c r="D987" s="3"/>
      <c r="E987" s="112"/>
      <c r="F987" s="3"/>
      <c r="G987" s="3"/>
      <c r="H987" s="12"/>
      <c r="J987" s="3"/>
      <c r="K987" s="12"/>
      <c r="L987" s="3"/>
      <c r="M987" s="12"/>
      <c r="Q987" s="12"/>
      <c r="R987" s="12"/>
      <c r="T987" s="565"/>
      <c r="U987" s="565"/>
      <c r="V987" s="565"/>
      <c r="W987" s="565"/>
    </row>
    <row r="988">
      <c r="C988" s="12"/>
      <c r="D988" s="3"/>
      <c r="E988" s="112"/>
      <c r="F988" s="3"/>
      <c r="G988" s="3"/>
      <c r="H988" s="12"/>
      <c r="J988" s="3"/>
      <c r="K988" s="12"/>
      <c r="L988" s="3"/>
      <c r="M988" s="12"/>
      <c r="Q988" s="12"/>
      <c r="R988" s="12"/>
      <c r="T988" s="565"/>
      <c r="U988" s="565"/>
      <c r="V988" s="565"/>
      <c r="W988" s="565"/>
    </row>
    <row r="989">
      <c r="C989" s="12"/>
      <c r="D989" s="3"/>
      <c r="E989" s="112"/>
      <c r="F989" s="3"/>
      <c r="G989" s="3"/>
      <c r="H989" s="12"/>
      <c r="J989" s="3"/>
      <c r="K989" s="12"/>
      <c r="L989" s="3"/>
      <c r="M989" s="12"/>
      <c r="Q989" s="12"/>
      <c r="R989" s="12"/>
      <c r="T989" s="565"/>
      <c r="U989" s="565"/>
      <c r="V989" s="565"/>
      <c r="W989" s="565"/>
    </row>
    <row r="990">
      <c r="C990" s="12"/>
      <c r="D990" s="3"/>
      <c r="E990" s="112"/>
      <c r="F990" s="3"/>
      <c r="G990" s="3"/>
      <c r="H990" s="12"/>
      <c r="J990" s="3"/>
      <c r="K990" s="12"/>
      <c r="L990" s="3"/>
      <c r="M990" s="12"/>
      <c r="Q990" s="12"/>
      <c r="R990" s="12"/>
      <c r="T990" s="565"/>
      <c r="U990" s="565"/>
      <c r="V990" s="565"/>
      <c r="W990" s="565"/>
    </row>
    <row r="991">
      <c r="C991" s="12"/>
      <c r="D991" s="3"/>
      <c r="E991" s="112"/>
      <c r="F991" s="3"/>
      <c r="G991" s="3"/>
      <c r="H991" s="12"/>
      <c r="J991" s="3"/>
      <c r="K991" s="12"/>
      <c r="L991" s="3"/>
      <c r="M991" s="12"/>
      <c r="Q991" s="12"/>
      <c r="R991" s="12"/>
      <c r="T991" s="565"/>
      <c r="U991" s="565"/>
      <c r="V991" s="565"/>
      <c r="W991" s="565"/>
    </row>
    <row r="992">
      <c r="C992" s="12"/>
      <c r="D992" s="3"/>
      <c r="E992" s="112"/>
      <c r="F992" s="3"/>
      <c r="G992" s="3"/>
      <c r="H992" s="12"/>
      <c r="J992" s="3"/>
      <c r="K992" s="12"/>
      <c r="L992" s="3"/>
      <c r="M992" s="12"/>
      <c r="Q992" s="12"/>
      <c r="R992" s="12"/>
      <c r="T992" s="565"/>
      <c r="U992" s="565"/>
      <c r="V992" s="565"/>
      <c r="W992" s="565"/>
    </row>
    <row r="993">
      <c r="C993" s="12"/>
      <c r="D993" s="3"/>
      <c r="E993" s="112"/>
      <c r="F993" s="3"/>
      <c r="G993" s="3"/>
      <c r="H993" s="12"/>
      <c r="J993" s="3"/>
      <c r="K993" s="12"/>
      <c r="L993" s="3"/>
      <c r="M993" s="12"/>
      <c r="Q993" s="12"/>
      <c r="R993" s="12"/>
      <c r="T993" s="565"/>
      <c r="U993" s="565"/>
      <c r="V993" s="565"/>
      <c r="W993" s="565"/>
    </row>
    <row r="994">
      <c r="C994" s="12"/>
      <c r="D994" s="3"/>
      <c r="E994" s="112"/>
      <c r="F994" s="3"/>
      <c r="G994" s="3"/>
      <c r="H994" s="12"/>
      <c r="J994" s="3"/>
      <c r="K994" s="12"/>
      <c r="L994" s="3"/>
      <c r="M994" s="12"/>
      <c r="Q994" s="12"/>
      <c r="R994" s="12"/>
      <c r="T994" s="565"/>
      <c r="U994" s="565"/>
      <c r="V994" s="565"/>
      <c r="W994" s="565"/>
    </row>
    <row r="995">
      <c r="C995" s="12"/>
      <c r="D995" s="3"/>
      <c r="E995" s="112"/>
      <c r="F995" s="3"/>
      <c r="G995" s="3"/>
      <c r="H995" s="12"/>
      <c r="J995" s="3"/>
      <c r="K995" s="12"/>
      <c r="L995" s="3"/>
      <c r="M995" s="12"/>
      <c r="Q995" s="12"/>
      <c r="R995" s="12"/>
      <c r="T995" s="565"/>
      <c r="U995" s="565"/>
      <c r="V995" s="565"/>
      <c r="W995" s="565"/>
    </row>
    <row r="996">
      <c r="C996" s="12"/>
      <c r="D996" s="3"/>
      <c r="E996" s="112"/>
      <c r="F996" s="3"/>
      <c r="G996" s="3"/>
      <c r="H996" s="12"/>
      <c r="J996" s="3"/>
      <c r="K996" s="12"/>
      <c r="L996" s="3"/>
      <c r="M996" s="12"/>
      <c r="Q996" s="12"/>
      <c r="R996" s="12"/>
      <c r="T996" s="565"/>
      <c r="U996" s="565"/>
      <c r="V996" s="565"/>
      <c r="W996" s="565"/>
    </row>
    <row r="997">
      <c r="C997" s="12"/>
      <c r="D997" s="3"/>
      <c r="E997" s="112"/>
      <c r="F997" s="3"/>
      <c r="G997" s="3"/>
      <c r="H997" s="12"/>
      <c r="J997" s="3"/>
      <c r="K997" s="12"/>
      <c r="L997" s="3"/>
      <c r="M997" s="12"/>
      <c r="Q997" s="12"/>
      <c r="R997" s="12"/>
      <c r="T997" s="565"/>
      <c r="U997" s="565"/>
      <c r="V997" s="565"/>
      <c r="W997" s="565"/>
    </row>
    <row r="998">
      <c r="C998" s="12"/>
      <c r="D998" s="3"/>
      <c r="E998" s="112"/>
      <c r="F998" s="3"/>
      <c r="G998" s="3"/>
      <c r="H998" s="12"/>
      <c r="J998" s="3"/>
      <c r="K998" s="12"/>
      <c r="L998" s="3"/>
      <c r="M998" s="12"/>
      <c r="Q998" s="12"/>
      <c r="R998" s="12"/>
      <c r="T998" s="565"/>
      <c r="U998" s="565"/>
      <c r="V998" s="565"/>
      <c r="W998" s="565"/>
    </row>
    <row r="999">
      <c r="C999" s="12"/>
      <c r="D999" s="3"/>
      <c r="E999" s="112"/>
      <c r="F999" s="3"/>
      <c r="G999" s="3"/>
      <c r="H999" s="12"/>
      <c r="J999" s="3"/>
      <c r="K999" s="12"/>
      <c r="L999" s="3"/>
      <c r="M999" s="12"/>
      <c r="Q999" s="12"/>
      <c r="R999" s="12"/>
      <c r="T999" s="565"/>
      <c r="U999" s="565"/>
      <c r="V999" s="565"/>
      <c r="W999" s="565"/>
    </row>
    <row r="1000">
      <c r="C1000" s="12"/>
      <c r="D1000" s="3"/>
      <c r="E1000" s="112"/>
      <c r="F1000" s="3"/>
      <c r="G1000" s="3"/>
      <c r="H1000" s="12"/>
      <c r="J1000" s="3"/>
      <c r="K1000" s="12"/>
      <c r="L1000" s="3"/>
      <c r="M1000" s="12"/>
      <c r="Q1000" s="12"/>
      <c r="R1000" s="12"/>
      <c r="T1000" s="565"/>
      <c r="U1000" s="565"/>
      <c r="V1000" s="565"/>
      <c r="W1000" s="565"/>
    </row>
    <row r="1001">
      <c r="C1001" s="12"/>
      <c r="D1001" s="3"/>
      <c r="E1001" s="112"/>
      <c r="F1001" s="3"/>
      <c r="G1001" s="3"/>
      <c r="H1001" s="12"/>
      <c r="J1001" s="3"/>
      <c r="K1001" s="12"/>
      <c r="L1001" s="3"/>
      <c r="M1001" s="12"/>
      <c r="Q1001" s="12"/>
      <c r="R1001" s="12"/>
      <c r="T1001" s="565"/>
      <c r="U1001" s="565"/>
      <c r="V1001" s="565"/>
      <c r="W1001" s="565"/>
    </row>
    <row r="1002">
      <c r="C1002" s="12"/>
      <c r="D1002" s="3"/>
      <c r="E1002" s="112"/>
      <c r="F1002" s="3"/>
      <c r="G1002" s="3"/>
      <c r="H1002" s="12"/>
      <c r="J1002" s="3"/>
      <c r="K1002" s="12"/>
      <c r="L1002" s="3"/>
      <c r="M1002" s="12"/>
      <c r="Q1002" s="12"/>
      <c r="R1002" s="12"/>
      <c r="T1002" s="565"/>
      <c r="U1002" s="565"/>
      <c r="V1002" s="565"/>
      <c r="W1002" s="565"/>
    </row>
    <row r="1003">
      <c r="C1003" s="12"/>
      <c r="D1003" s="3"/>
      <c r="E1003" s="112"/>
      <c r="F1003" s="3"/>
      <c r="G1003" s="3"/>
      <c r="H1003" s="12"/>
      <c r="J1003" s="3"/>
      <c r="K1003" s="12"/>
      <c r="L1003" s="3"/>
      <c r="M1003" s="12"/>
      <c r="Q1003" s="12"/>
      <c r="R1003" s="12"/>
      <c r="T1003" s="565"/>
      <c r="U1003" s="565"/>
      <c r="V1003" s="565"/>
      <c r="W1003" s="565"/>
    </row>
    <row r="1004">
      <c r="C1004" s="12"/>
      <c r="D1004" s="3"/>
      <c r="E1004" s="112"/>
      <c r="F1004" s="3"/>
      <c r="G1004" s="3"/>
      <c r="H1004" s="12"/>
      <c r="J1004" s="3"/>
      <c r="K1004" s="12"/>
      <c r="L1004" s="3"/>
      <c r="M1004" s="12"/>
      <c r="Q1004" s="12"/>
      <c r="R1004" s="12"/>
      <c r="T1004" s="565"/>
      <c r="U1004" s="565"/>
      <c r="V1004" s="565"/>
      <c r="W1004" s="565"/>
    </row>
    <row r="1005">
      <c r="C1005" s="12"/>
      <c r="D1005" s="3"/>
      <c r="E1005" s="112"/>
      <c r="F1005" s="3"/>
      <c r="G1005" s="3"/>
      <c r="H1005" s="12"/>
      <c r="J1005" s="3"/>
      <c r="K1005" s="12"/>
      <c r="L1005" s="3"/>
      <c r="M1005" s="12"/>
      <c r="Q1005" s="12"/>
      <c r="R1005" s="12"/>
      <c r="T1005" s="565"/>
      <c r="U1005" s="565"/>
      <c r="V1005" s="565"/>
      <c r="W1005" s="565"/>
    </row>
    <row r="1006">
      <c r="C1006" s="12"/>
      <c r="D1006" s="3"/>
      <c r="E1006" s="112"/>
      <c r="F1006" s="3"/>
      <c r="G1006" s="3"/>
      <c r="H1006" s="12"/>
      <c r="J1006" s="3"/>
      <c r="K1006" s="12"/>
      <c r="L1006" s="3"/>
      <c r="M1006" s="12"/>
      <c r="Q1006" s="12"/>
      <c r="R1006" s="12"/>
      <c r="T1006" s="565"/>
      <c r="U1006" s="565"/>
      <c r="V1006" s="565"/>
      <c r="W1006" s="565"/>
    </row>
    <row r="1007">
      <c r="C1007" s="12"/>
      <c r="D1007" s="3"/>
      <c r="E1007" s="112"/>
      <c r="F1007" s="3"/>
      <c r="G1007" s="3"/>
      <c r="H1007" s="12"/>
      <c r="J1007" s="3"/>
      <c r="K1007" s="12"/>
      <c r="L1007" s="3"/>
      <c r="M1007" s="12"/>
      <c r="Q1007" s="12"/>
      <c r="R1007" s="12"/>
      <c r="T1007" s="565"/>
      <c r="U1007" s="565"/>
      <c r="V1007" s="565"/>
      <c r="W1007" s="565"/>
    </row>
    <row r="1008">
      <c r="C1008" s="12"/>
      <c r="D1008" s="3"/>
      <c r="E1008" s="112"/>
      <c r="F1008" s="3"/>
      <c r="G1008" s="3"/>
      <c r="H1008" s="12"/>
      <c r="J1008" s="3"/>
      <c r="K1008" s="12"/>
      <c r="L1008" s="3"/>
      <c r="M1008" s="12"/>
      <c r="Q1008" s="12"/>
      <c r="R1008" s="12"/>
      <c r="T1008" s="565"/>
      <c r="U1008" s="565"/>
      <c r="V1008" s="565"/>
      <c r="W1008" s="565"/>
    </row>
    <row r="1009">
      <c r="C1009" s="12"/>
      <c r="D1009" s="3"/>
      <c r="E1009" s="112"/>
      <c r="F1009" s="3"/>
      <c r="G1009" s="3"/>
      <c r="H1009" s="12"/>
      <c r="J1009" s="3"/>
      <c r="K1009" s="12"/>
      <c r="L1009" s="3"/>
      <c r="M1009" s="12"/>
      <c r="Q1009" s="12"/>
      <c r="R1009" s="12"/>
      <c r="T1009" s="565"/>
      <c r="U1009" s="565"/>
      <c r="V1009" s="565"/>
      <c r="W1009" s="565"/>
    </row>
    <row r="1010">
      <c r="C1010" s="12"/>
      <c r="D1010" s="3"/>
      <c r="E1010" s="112"/>
      <c r="F1010" s="3"/>
      <c r="G1010" s="3"/>
      <c r="H1010" s="12"/>
      <c r="J1010" s="3"/>
      <c r="K1010" s="12"/>
      <c r="L1010" s="3"/>
      <c r="M1010" s="12"/>
      <c r="Q1010" s="12"/>
      <c r="R1010" s="12"/>
      <c r="T1010" s="565"/>
      <c r="U1010" s="565"/>
      <c r="V1010" s="565"/>
      <c r="W1010" s="565"/>
    </row>
    <row r="1011">
      <c r="C1011" s="12"/>
      <c r="D1011" s="3"/>
      <c r="E1011" s="112"/>
      <c r="F1011" s="3"/>
      <c r="G1011" s="3"/>
      <c r="H1011" s="12"/>
      <c r="J1011" s="3"/>
      <c r="K1011" s="12"/>
      <c r="L1011" s="3"/>
      <c r="M1011" s="12"/>
      <c r="Q1011" s="12"/>
      <c r="R1011" s="12"/>
      <c r="T1011" s="565"/>
      <c r="U1011" s="565"/>
      <c r="V1011" s="565"/>
      <c r="W1011" s="565"/>
    </row>
    <row r="1012">
      <c r="C1012" s="12"/>
      <c r="D1012" s="3"/>
      <c r="E1012" s="112"/>
      <c r="F1012" s="3"/>
      <c r="G1012" s="3"/>
      <c r="H1012" s="12"/>
      <c r="J1012" s="3"/>
      <c r="K1012" s="12"/>
      <c r="L1012" s="3"/>
      <c r="M1012" s="12"/>
      <c r="Q1012" s="12"/>
      <c r="R1012" s="12"/>
      <c r="T1012" s="565"/>
      <c r="U1012" s="565"/>
      <c r="V1012" s="565"/>
      <c r="W1012" s="565"/>
    </row>
  </sheetData>
  <mergeCells count="28">
    <mergeCell ref="E3:H4"/>
    <mergeCell ref="E5:H5"/>
    <mergeCell ref="E6:H7"/>
    <mergeCell ref="E8:H8"/>
    <mergeCell ref="E9:H10"/>
    <mergeCell ref="A5:B6"/>
    <mergeCell ref="A7:B8"/>
    <mergeCell ref="A9:B10"/>
    <mergeCell ref="A11:B12"/>
    <mergeCell ref="A1:C1"/>
    <mergeCell ref="E1:H1"/>
    <mergeCell ref="J1:M1"/>
    <mergeCell ref="A2:B2"/>
    <mergeCell ref="E2:H2"/>
    <mergeCell ref="A3:B4"/>
    <mergeCell ref="J6:M6"/>
    <mergeCell ref="J7:K8"/>
    <mergeCell ref="J10:K11"/>
    <mergeCell ref="T14:U14"/>
    <mergeCell ref="V14:W14"/>
    <mergeCell ref="J2:M2"/>
    <mergeCell ref="J3:K3"/>
    <mergeCell ref="L3:M3"/>
    <mergeCell ref="J4:K5"/>
    <mergeCell ref="L4:M5"/>
    <mergeCell ref="L7:M8"/>
    <mergeCell ref="J9:M9"/>
    <mergeCell ref="L10:M11"/>
  </mergeCells>
  <dataValidations>
    <dataValidation type="list" allowBlank="1" showErrorMessage="1" sqref="A16:A179">
      <formula1>"MEGA,MACRO,MICRO,NANO"</formula1>
    </dataValidation>
    <dataValidation type="list" allowBlank="1" showErrorMessage="1" sqref="N16:N160 P16:P160 J16:J178 L16:L178">
      <formula1>" Concept 1,Concept 2,Concept 3,Concept 4"</formula1>
    </dataValidation>
    <dataValidation type="list" allowBlank="1" showErrorMessage="1" sqref="I16:I178">
      <formula1>"Sampai,Sudah Proses Pengiriman,Kendala [FU!],Done Req Sample,Reject"</formula1>
    </dataValidation>
    <dataValidation type="list" allowBlank="1" showErrorMessage="1" sqref="H16:H178">
      <formula1>"O.N.S,THOUSAND KISSES,YOUNG BOSS,O.N.S &amp; TK,O.N.S &amp; YB,TK &amp; YB,3 PRODUK (O.N.S, TK, YB)"</formula1>
    </dataValidation>
  </dataValidations>
  <hyperlinks>
    <hyperlink r:id="rId1" ref="C16"/>
    <hyperlink r:id="rId2" ref="C17"/>
    <hyperlink r:id="rId3" ref="K17"/>
    <hyperlink r:id="rId4" ref="M17"/>
    <hyperlink r:id="rId5" ref="O17"/>
    <hyperlink r:id="rId6" ref="C18"/>
    <hyperlink r:id="rId7" ref="K18"/>
    <hyperlink r:id="rId8" ref="M18"/>
    <hyperlink r:id="rId9" ref="O18"/>
    <hyperlink r:id="rId10" ref="Q18"/>
    <hyperlink r:id="rId11" ref="C19"/>
    <hyperlink r:id="rId12" ref="C20"/>
    <hyperlink r:id="rId13" ref="K20"/>
    <hyperlink r:id="rId14" ref="M20"/>
    <hyperlink r:id="rId15" ref="O20"/>
    <hyperlink r:id="rId16" ref="Q20"/>
    <hyperlink r:id="rId17" ref="R20"/>
    <hyperlink r:id="rId18" ref="C21"/>
    <hyperlink r:id="rId19" ref="K21"/>
    <hyperlink r:id="rId20" ref="M21"/>
    <hyperlink r:id="rId21" ref="C22"/>
    <hyperlink r:id="rId22" ref="K22"/>
    <hyperlink r:id="rId23" ref="M22"/>
    <hyperlink r:id="rId24" ref="C23"/>
    <hyperlink r:id="rId25" ref="K23"/>
    <hyperlink r:id="rId26" ref="C24"/>
    <hyperlink r:id="rId27" ref="K24"/>
    <hyperlink r:id="rId28" ref="M24"/>
    <hyperlink r:id="rId29" ref="C25"/>
    <hyperlink r:id="rId30" ref="C26"/>
    <hyperlink r:id="rId31" ref="K26"/>
    <hyperlink r:id="rId32" ref="M26"/>
    <hyperlink r:id="rId33" ref="O26"/>
    <hyperlink r:id="rId34" ref="C27"/>
    <hyperlink r:id="rId35" ref="K27"/>
    <hyperlink r:id="rId36" ref="C28"/>
    <hyperlink r:id="rId37" ref="C29"/>
    <hyperlink r:id="rId38" ref="K29"/>
    <hyperlink r:id="rId39" ref="M29"/>
    <hyperlink r:id="rId40" ref="C30"/>
    <hyperlink r:id="rId41" ref="C31"/>
    <hyperlink r:id="rId42" ref="K31"/>
    <hyperlink r:id="rId43" ref="M31"/>
    <hyperlink r:id="rId44" ref="O31"/>
    <hyperlink r:id="rId45" ref="Q31"/>
    <hyperlink r:id="rId46" ref="C32"/>
    <hyperlink r:id="rId47" ref="C33"/>
    <hyperlink r:id="rId48" ref="C34"/>
    <hyperlink r:id="rId49" ref="C35"/>
    <hyperlink r:id="rId50" ref="C36"/>
    <hyperlink r:id="rId51" ref="K36"/>
    <hyperlink r:id="rId52" ref="M36"/>
    <hyperlink r:id="rId53" ref="C37"/>
    <hyperlink r:id="rId54" ref="C38"/>
    <hyperlink r:id="rId55" ref="K38"/>
    <hyperlink r:id="rId56" ref="M38"/>
    <hyperlink r:id="rId57" ref="C39"/>
    <hyperlink r:id="rId58" ref="K39"/>
    <hyperlink r:id="rId59" ref="M39"/>
    <hyperlink r:id="rId60" ref="O39"/>
    <hyperlink r:id="rId61" ref="Q39"/>
    <hyperlink r:id="rId62" ref="C40"/>
    <hyperlink r:id="rId63" ref="K40"/>
    <hyperlink r:id="rId64" ref="M40"/>
    <hyperlink r:id="rId65" ref="B41"/>
    <hyperlink r:id="rId66" ref="C41"/>
    <hyperlink r:id="rId67" ref="C42"/>
    <hyperlink r:id="rId68" ref="C43"/>
    <hyperlink r:id="rId69" ref="C44"/>
    <hyperlink r:id="rId70" ref="C45"/>
    <hyperlink r:id="rId71" ref="C46"/>
    <hyperlink r:id="rId72" ref="K46"/>
    <hyperlink r:id="rId73" ref="M46"/>
    <hyperlink r:id="rId74" ref="C47"/>
    <hyperlink r:id="rId75" ref="K47"/>
    <hyperlink r:id="rId76" ref="C48"/>
    <hyperlink r:id="rId77" ref="K48"/>
    <hyperlink r:id="rId78" ref="C49"/>
    <hyperlink r:id="rId79" ref="C50"/>
    <hyperlink r:id="rId80" ref="K50"/>
    <hyperlink r:id="rId81" ref="M50"/>
    <hyperlink r:id="rId82" ref="C51"/>
    <hyperlink r:id="rId83" ref="C52"/>
    <hyperlink r:id="rId84" ref="C53"/>
    <hyperlink r:id="rId85" ref="K53"/>
    <hyperlink r:id="rId86" ref="C54"/>
    <hyperlink r:id="rId87" ref="C55"/>
    <hyperlink r:id="rId88" ref="C56"/>
    <hyperlink r:id="rId89" ref="C57"/>
    <hyperlink r:id="rId90" ref="K57"/>
    <hyperlink r:id="rId91" ref="M57"/>
    <hyperlink r:id="rId92" ref="O57"/>
    <hyperlink r:id="rId93" ref="Q57"/>
    <hyperlink r:id="rId94" ref="C58"/>
    <hyperlink r:id="rId95" ref="C59"/>
    <hyperlink r:id="rId96" ref="C60"/>
    <hyperlink r:id="rId97" ref="C61"/>
    <hyperlink r:id="rId98" ref="K61"/>
    <hyperlink r:id="rId99" ref="C62"/>
    <hyperlink r:id="rId100" ref="C63"/>
    <hyperlink r:id="rId101" ref="K63"/>
    <hyperlink r:id="rId102" ref="M63"/>
    <hyperlink r:id="rId103" ref="C64"/>
    <hyperlink r:id="rId104" ref="K64"/>
    <hyperlink r:id="rId105" ref="C65"/>
    <hyperlink r:id="rId106" ref="K65"/>
    <hyperlink r:id="rId107" ref="C66"/>
    <hyperlink r:id="rId108" ref="K66"/>
    <hyperlink r:id="rId109" ref="M66"/>
    <hyperlink r:id="rId110" ref="C67"/>
    <hyperlink r:id="rId111" ref="K67"/>
    <hyperlink r:id="rId112" ref="M67"/>
    <hyperlink r:id="rId113" ref="C68"/>
    <hyperlink r:id="rId114" ref="K68"/>
    <hyperlink r:id="rId115" ref="C69"/>
    <hyperlink r:id="rId116" ref="C70"/>
    <hyperlink r:id="rId117" ref="C71"/>
    <hyperlink r:id="rId118" ref="C72"/>
    <hyperlink r:id="rId119" ref="C73"/>
    <hyperlink r:id="rId120" ref="C74"/>
    <hyperlink r:id="rId121" ref="K74"/>
    <hyperlink r:id="rId122" ref="C75"/>
    <hyperlink r:id="rId123" ref="C76"/>
    <hyperlink r:id="rId124" ref="K76"/>
    <hyperlink r:id="rId125" ref="C77"/>
    <hyperlink r:id="rId126" ref="C78"/>
    <hyperlink r:id="rId127" ref="K78"/>
    <hyperlink r:id="rId128" ref="C79"/>
    <hyperlink r:id="rId129" ref="C80"/>
    <hyperlink r:id="rId130" ref="C81"/>
    <hyperlink r:id="rId131" ref="C82"/>
    <hyperlink r:id="rId132" ref="C83"/>
    <hyperlink r:id="rId133" ref="C84"/>
    <hyperlink r:id="rId134" ref="C85"/>
    <hyperlink r:id="rId135" ref="C86"/>
    <hyperlink r:id="rId136" ref="C87"/>
    <hyperlink r:id="rId137" ref="C88"/>
    <hyperlink r:id="rId138" ref="C89"/>
    <hyperlink r:id="rId139" ref="C90"/>
    <hyperlink r:id="rId140" ref="C91"/>
    <hyperlink r:id="rId141" ref="C92"/>
    <hyperlink r:id="rId142" ref="C93"/>
    <hyperlink r:id="rId143" ref="C94"/>
    <hyperlink r:id="rId144" ref="C95"/>
    <hyperlink r:id="rId145" ref="C96"/>
    <hyperlink r:id="rId146" ref="C97"/>
    <hyperlink r:id="rId147" ref="C98"/>
    <hyperlink r:id="rId148" ref="C99"/>
    <hyperlink r:id="rId149" ref="C100"/>
    <hyperlink r:id="rId150" ref="C101"/>
    <hyperlink r:id="rId151" ref="C102"/>
    <hyperlink r:id="rId152" ref="C103"/>
    <hyperlink r:id="rId153" ref="C104"/>
    <hyperlink r:id="rId154" ref="C105"/>
    <hyperlink r:id="rId155" ref="C106"/>
    <hyperlink r:id="rId156" ref="C107"/>
    <hyperlink r:id="rId157" ref="C108"/>
    <hyperlink r:id="rId158" ref="C109"/>
    <hyperlink r:id="rId159" ref="C110"/>
    <hyperlink r:id="rId160" ref="C111"/>
    <hyperlink r:id="rId161" ref="C112"/>
    <hyperlink r:id="rId162" ref="C113"/>
    <hyperlink r:id="rId163" ref="C114"/>
    <hyperlink r:id="rId164" ref="C115"/>
    <hyperlink r:id="rId165" ref="C116"/>
    <hyperlink r:id="rId166" ref="C117"/>
    <hyperlink r:id="rId167" ref="K117"/>
    <hyperlink r:id="rId168" ref="C118"/>
    <hyperlink r:id="rId169" ref="C119"/>
    <hyperlink r:id="rId170" ref="C120"/>
    <hyperlink r:id="rId171" ref="C121"/>
    <hyperlink r:id="rId172" ref="C122"/>
    <hyperlink r:id="rId173" ref="C123"/>
    <hyperlink r:id="rId174" ref="C124"/>
    <hyperlink r:id="rId175" ref="C125"/>
    <hyperlink r:id="rId176" ref="C126"/>
    <hyperlink r:id="rId177" ref="C127"/>
    <hyperlink r:id="rId178" ref="C128"/>
    <hyperlink r:id="rId179" ref="C129"/>
    <hyperlink r:id="rId180" ref="C130"/>
    <hyperlink r:id="rId181" ref="C131"/>
    <hyperlink r:id="rId182" ref="C132"/>
    <hyperlink r:id="rId183" ref="C133"/>
    <hyperlink r:id="rId184" ref="C134"/>
    <hyperlink r:id="rId185" ref="C135"/>
    <hyperlink r:id="rId186" ref="C136"/>
    <hyperlink r:id="rId187" ref="C137"/>
    <hyperlink r:id="rId188" ref="C138"/>
    <hyperlink r:id="rId189" ref="C139"/>
    <hyperlink r:id="rId190" ref="C140"/>
    <hyperlink r:id="rId191" ref="C141"/>
    <hyperlink r:id="rId192" ref="C142"/>
    <hyperlink r:id="rId193" ref="C143"/>
    <hyperlink r:id="rId194" ref="C144"/>
    <hyperlink r:id="rId195" ref="C145"/>
    <hyperlink r:id="rId196" ref="C146"/>
    <hyperlink r:id="rId197" ref="C147"/>
    <hyperlink r:id="rId198" ref="C148"/>
    <hyperlink r:id="rId199" ref="C149"/>
    <hyperlink r:id="rId200" ref="C150"/>
    <hyperlink r:id="rId201" ref="C151"/>
    <hyperlink r:id="rId202" ref="C152"/>
    <hyperlink r:id="rId203" ref="C153"/>
    <hyperlink r:id="rId204" ref="C154"/>
    <hyperlink r:id="rId205" ref="C155"/>
    <hyperlink r:id="rId206" ref="C156"/>
    <hyperlink r:id="rId207" ref="C157"/>
    <hyperlink r:id="rId208" ref="C158"/>
    <hyperlink r:id="rId209" ref="C159"/>
    <hyperlink r:id="rId210" ref="C160"/>
    <hyperlink r:id="rId211" ref="C161"/>
    <hyperlink r:id="rId212" ref="C162"/>
    <hyperlink r:id="rId213" ref="C163"/>
    <hyperlink r:id="rId214" ref="C164"/>
    <hyperlink r:id="rId215" ref="C165"/>
    <hyperlink r:id="rId216" ref="C166"/>
  </hyperlinks>
  <drawing r:id="rId217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22.38"/>
    <col customWidth="1" min="4" max="4" width="7.38"/>
    <col customWidth="1" min="8" max="8" width="16.0"/>
    <col customWidth="1" min="10" max="10" width="19.38"/>
    <col customWidth="1" min="12" max="12" width="19.25"/>
  </cols>
  <sheetData>
    <row r="1">
      <c r="A1" s="213" t="s">
        <v>455</v>
      </c>
      <c r="B1" s="214"/>
      <c r="C1" s="214"/>
      <c r="D1" s="215"/>
      <c r="E1" s="213" t="s">
        <v>328</v>
      </c>
      <c r="F1" s="214"/>
      <c r="G1" s="214"/>
      <c r="H1" s="216"/>
      <c r="J1" s="217" t="s">
        <v>456</v>
      </c>
      <c r="K1" s="214"/>
      <c r="L1" s="214"/>
      <c r="M1" s="216"/>
      <c r="R1" s="218"/>
      <c r="S1" s="218"/>
      <c r="T1" s="218"/>
      <c r="U1" s="218"/>
    </row>
    <row r="2">
      <c r="A2" s="219" t="s">
        <v>457</v>
      </c>
      <c r="B2" s="220"/>
      <c r="C2" s="338" t="s">
        <v>455</v>
      </c>
      <c r="D2" s="215"/>
      <c r="E2" s="221" t="s">
        <v>327</v>
      </c>
      <c r="F2" s="214"/>
      <c r="G2" s="214"/>
      <c r="H2" s="216"/>
      <c r="J2" s="222" t="s">
        <v>458</v>
      </c>
      <c r="K2" s="214"/>
      <c r="L2" s="214"/>
      <c r="M2" s="216"/>
      <c r="R2" s="218"/>
      <c r="S2" s="218"/>
      <c r="T2" s="218"/>
      <c r="U2" s="218"/>
    </row>
    <row r="3">
      <c r="A3" s="223">
        <v>1.0</v>
      </c>
      <c r="B3" s="224"/>
      <c r="C3" s="339">
        <v>1.0</v>
      </c>
      <c r="D3" s="215"/>
      <c r="E3" s="226">
        <f>Maindata!I9</f>
        <v>600000000</v>
      </c>
      <c r="F3" s="227"/>
      <c r="G3" s="227"/>
      <c r="H3" s="228"/>
      <c r="J3" s="229" t="s">
        <v>459</v>
      </c>
      <c r="K3" s="216"/>
      <c r="L3" s="230" t="s">
        <v>460</v>
      </c>
      <c r="M3" s="216"/>
      <c r="R3" s="218"/>
      <c r="S3" s="218"/>
      <c r="T3" s="218"/>
      <c r="U3" s="218"/>
    </row>
    <row r="4">
      <c r="A4" s="231"/>
      <c r="B4" s="220"/>
      <c r="C4" s="339">
        <v>2.0</v>
      </c>
      <c r="D4" s="215"/>
      <c r="E4" s="232"/>
      <c r="F4" s="233"/>
      <c r="G4" s="233"/>
      <c r="H4" s="234"/>
      <c r="J4" s="235">
        <f>IFERROR(__xludf.DUMMYFUNCTION("IMPORTRANGE(""https://docs.google.com/spreadsheets/d/1XGHyffJQ7KjI292zt5QVK_1XTfEMh_HDpl_2BHAzd4c/edit?gid=1335890585#gid=1335890585"",""ISWHITE!H16"")"),2.0E7)</f>
        <v>20000000</v>
      </c>
      <c r="K4" s="228"/>
      <c r="L4" s="226">
        <f>IFERROR(__xludf.DUMMYFUNCTION("IMPORTRANGE(""https://docs.google.com/spreadsheets/d/1XGHyffJQ7KjI292zt5QVK_1XTfEMh_HDpl_2BHAzd4c/edit?gid=1335890585#gid=1335890585"",""ISWHITE!H21"")        "),2.0E7)</f>
        <v>20000000</v>
      </c>
      <c r="M4" s="228"/>
      <c r="R4" s="218"/>
      <c r="S4" s="218"/>
      <c r="T4" s="218"/>
      <c r="U4" s="218"/>
    </row>
    <row r="5">
      <c r="A5" s="236">
        <v>2.0</v>
      </c>
      <c r="B5" s="224"/>
      <c r="C5" s="339">
        <v>1.0</v>
      </c>
      <c r="D5" s="215"/>
      <c r="E5" s="237" t="s">
        <v>461</v>
      </c>
      <c r="F5" s="214"/>
      <c r="G5" s="214"/>
      <c r="H5" s="216"/>
      <c r="J5" s="232"/>
      <c r="K5" s="234"/>
      <c r="L5" s="232"/>
      <c r="M5" s="234"/>
      <c r="R5" s="218"/>
      <c r="S5" s="218"/>
      <c r="T5" s="218"/>
      <c r="U5" s="218"/>
    </row>
    <row r="6">
      <c r="A6" s="231"/>
      <c r="B6" s="220"/>
      <c r="C6" s="339">
        <v>2.0</v>
      </c>
      <c r="D6" s="215"/>
      <c r="E6" s="226">
        <f>SUM(R16:U249)</f>
        <v>6599755.17</v>
      </c>
      <c r="F6" s="227"/>
      <c r="G6" s="227"/>
      <c r="H6" s="228"/>
      <c r="J6" s="238" t="s">
        <v>462</v>
      </c>
      <c r="K6" s="214"/>
      <c r="L6" s="214"/>
      <c r="M6" s="216"/>
      <c r="R6" s="218"/>
      <c r="S6" s="218"/>
      <c r="T6" s="218"/>
      <c r="U6" s="218"/>
    </row>
    <row r="7">
      <c r="A7" s="236">
        <v>3.0</v>
      </c>
      <c r="B7" s="224"/>
      <c r="C7" s="339">
        <v>1.0</v>
      </c>
      <c r="D7" s="215"/>
      <c r="E7" s="232"/>
      <c r="F7" s="233"/>
      <c r="G7" s="233"/>
      <c r="H7" s="234"/>
      <c r="J7" s="235">
        <f>IFERROR(__xludf.DUMMYFUNCTION("IMPORTRANGE(""https://docs.google.com/spreadsheets/d/1XGHyffJQ7KjI292zt5QVK_1XTfEMh_HDpl_2BHAzd4c/edit?gid=1335890585#gid=1335890585"",""ISWHITE!H4"")"),9027500.0)</f>
        <v>9027500</v>
      </c>
      <c r="K7" s="228"/>
      <c r="L7" s="226">
        <f>IFERROR(__xludf.DUMMYFUNCTION("IMPORTRANGE(""https://docs.google.com/spreadsheets/d/1XGHyffJQ7KjI292zt5QVK_1XTfEMh_HDpl_2BHAzd4c/edit?gid=1335890585#gid=1335890585"",""ISWHITE!K4"")        "),7000000.0)</f>
        <v>7000000</v>
      </c>
      <c r="M7" s="228"/>
      <c r="R7" s="218"/>
      <c r="S7" s="218"/>
      <c r="T7" s="218"/>
      <c r="U7" s="218"/>
    </row>
    <row r="8">
      <c r="A8" s="231"/>
      <c r="B8" s="220"/>
      <c r="C8" s="339">
        <v>2.0</v>
      </c>
      <c r="D8" s="215"/>
      <c r="E8" s="239" t="s">
        <v>329</v>
      </c>
      <c r="F8" s="214"/>
      <c r="G8" s="214"/>
      <c r="H8" s="216"/>
      <c r="J8" s="232"/>
      <c r="K8" s="234"/>
      <c r="L8" s="232"/>
      <c r="M8" s="234"/>
      <c r="R8" s="218"/>
      <c r="S8" s="218"/>
      <c r="T8" s="218"/>
      <c r="U8" s="218"/>
    </row>
    <row r="9">
      <c r="A9" s="236">
        <v>4.0</v>
      </c>
      <c r="B9" s="224"/>
      <c r="C9" s="339">
        <v>1.0</v>
      </c>
      <c r="D9" s="215"/>
      <c r="E9" s="240">
        <f>E6/E3</f>
        <v>0.01099959195</v>
      </c>
      <c r="F9" s="227"/>
      <c r="G9" s="227"/>
      <c r="H9" s="228"/>
      <c r="J9" s="241" t="s">
        <v>463</v>
      </c>
      <c r="K9" s="214"/>
      <c r="L9" s="214"/>
      <c r="M9" s="216"/>
      <c r="R9" s="218"/>
      <c r="S9" s="218"/>
      <c r="T9" s="218"/>
      <c r="U9" s="218"/>
    </row>
    <row r="10">
      <c r="A10" s="231"/>
      <c r="B10" s="220"/>
      <c r="C10" s="339">
        <v>2.0</v>
      </c>
      <c r="D10" s="215"/>
      <c r="E10" s="232"/>
      <c r="F10" s="233"/>
      <c r="G10" s="233"/>
      <c r="H10" s="234"/>
      <c r="J10" s="235">
        <f>J4-J7</f>
        <v>10972500</v>
      </c>
      <c r="K10" s="228"/>
      <c r="L10" s="226">
        <f>L4-L7</f>
        <v>13000000</v>
      </c>
      <c r="M10" s="228"/>
      <c r="R10" s="218"/>
      <c r="S10" s="218"/>
      <c r="T10" s="218"/>
      <c r="U10" s="218"/>
    </row>
    <row r="11">
      <c r="A11" s="236">
        <v>5.0</v>
      </c>
      <c r="B11" s="224"/>
      <c r="C11" s="339">
        <v>1.0</v>
      </c>
      <c r="D11" s="215"/>
      <c r="E11" s="215"/>
      <c r="J11" s="232"/>
      <c r="K11" s="234"/>
      <c r="L11" s="232"/>
      <c r="M11" s="234"/>
      <c r="R11" s="218"/>
      <c r="S11" s="218"/>
      <c r="T11" s="218"/>
      <c r="U11" s="218"/>
    </row>
    <row r="12">
      <c r="A12" s="231"/>
      <c r="B12" s="220"/>
      <c r="C12" s="339">
        <v>2.0</v>
      </c>
      <c r="D12" s="215"/>
      <c r="E12" s="215"/>
      <c r="K12" s="242"/>
      <c r="L12" s="215"/>
      <c r="M12" s="242"/>
      <c r="N12" s="243"/>
      <c r="O12" s="243"/>
      <c r="P12" s="243"/>
      <c r="Q12" s="243"/>
      <c r="R12" s="244"/>
      <c r="S12" s="244"/>
      <c r="T12" s="244"/>
      <c r="U12" s="244"/>
    </row>
    <row r="13">
      <c r="A13" s="245"/>
      <c r="B13" s="245"/>
      <c r="C13" s="12"/>
      <c r="K13" s="12"/>
      <c r="L13" s="243"/>
      <c r="M13" s="243"/>
      <c r="N13" s="243"/>
      <c r="O13" s="243"/>
      <c r="P13" s="243"/>
      <c r="Q13" s="243"/>
      <c r="R13" s="244"/>
      <c r="S13" s="244"/>
      <c r="T13" s="244"/>
      <c r="U13" s="244"/>
    </row>
    <row r="14">
      <c r="A14" s="246"/>
      <c r="B14" s="246"/>
      <c r="C14" s="247"/>
      <c r="D14" s="246"/>
      <c r="E14" s="246"/>
      <c r="F14" s="246"/>
      <c r="G14" s="246"/>
      <c r="H14" s="246"/>
      <c r="I14" s="246"/>
      <c r="J14" s="246"/>
      <c r="K14" s="247"/>
      <c r="L14" s="246"/>
      <c r="M14" s="247"/>
      <c r="N14" s="246"/>
      <c r="O14" s="246"/>
      <c r="P14" s="246"/>
      <c r="Q14" s="246"/>
      <c r="R14" s="248" t="s">
        <v>464</v>
      </c>
      <c r="S14" s="249"/>
      <c r="T14" s="248" t="s">
        <v>465</v>
      </c>
      <c r="U14" s="249"/>
    </row>
    <row r="15">
      <c r="A15" s="250" t="s">
        <v>466</v>
      </c>
      <c r="B15" s="250" t="s">
        <v>467</v>
      </c>
      <c r="C15" s="251" t="s">
        <v>468</v>
      </c>
      <c r="D15" s="252" t="s">
        <v>469</v>
      </c>
      <c r="E15" s="253" t="s">
        <v>470</v>
      </c>
      <c r="F15" s="251" t="s">
        <v>471</v>
      </c>
      <c r="G15" s="332" t="s">
        <v>484</v>
      </c>
      <c r="H15" s="251" t="s">
        <v>457</v>
      </c>
      <c r="I15" s="254" t="s">
        <v>472</v>
      </c>
      <c r="J15" s="251" t="s">
        <v>455</v>
      </c>
      <c r="K15" s="251" t="s">
        <v>473</v>
      </c>
      <c r="L15" s="251" t="s">
        <v>455</v>
      </c>
      <c r="M15" s="251" t="s">
        <v>474</v>
      </c>
      <c r="N15" s="251" t="s">
        <v>455</v>
      </c>
      <c r="O15" s="251" t="s">
        <v>475</v>
      </c>
      <c r="P15" s="251" t="s">
        <v>455</v>
      </c>
      <c r="Q15" s="251" t="s">
        <v>476</v>
      </c>
      <c r="R15" s="248" t="s">
        <v>427</v>
      </c>
      <c r="S15" s="248" t="s">
        <v>477</v>
      </c>
      <c r="T15" s="248" t="s">
        <v>427</v>
      </c>
      <c r="U15" s="248" t="s">
        <v>477</v>
      </c>
    </row>
    <row r="16">
      <c r="A16" s="255" t="str">
        <f>IFERROR(__xludf.DUMMYFUNCTION("QUERY(IMPORTRANGE(""https://docs.google.com/spreadsheets/d/10wdjc5GKQIqHka9D7QGq1b4WkRuVqG0ylA8lw57ns-I/edit?usp=sharing"", ""ISWHITE!A3:AC""), ""SELECT Col1, Col2, Col3, Col4, Col5, Col6, Col10, Col11, Col16, Col17, Col18, Col19, Col20, Col21, Col22, Col"&amp;"23, Col24, Col25, Col26, Col27, Col28 WHERE Col29 = 'Approved'"")"),"NANO")</f>
        <v>NANO</v>
      </c>
      <c r="B16" s="575" t="str">
        <f>IFERROR(__xludf.DUMMYFUNCTION("""COMPUTED_VALUE"""),"dinif.sa")</f>
        <v>dinif.sa</v>
      </c>
      <c r="C16" s="281" t="str">
        <f>IFERROR(__xludf.DUMMYFUNCTION("""COMPUTED_VALUE"""),"https://www.tiktok.com/@dinif.sa")</f>
        <v>https://www.tiktok.com/@dinif.sa</v>
      </c>
      <c r="D16" s="25">
        <f>IFERROR(__xludf.DUMMYFUNCTION("""COMPUTED_VALUE"""),8.5212884452E10)</f>
        <v>85212884452</v>
      </c>
      <c r="E16" s="258">
        <f>IFERROR(__xludf.DUMMYFUNCTION("""COMPUTED_VALUE"""),0.0)</f>
        <v>0</v>
      </c>
      <c r="F16" s="25">
        <f>IFERROR(__xludf.DUMMYFUNCTION("""COMPUTED_VALUE"""),2.0)</f>
        <v>2</v>
      </c>
      <c r="G16" s="576">
        <f>IFERROR(__xludf.DUMMYFUNCTION("""COMPUTED_VALUE"""),3.607E8)</f>
        <v>360700000</v>
      </c>
      <c r="H16" s="259" t="str">
        <f>IFERROR(__xludf.DUMMYFUNCTION("""COMPUTED_VALUE"""),"Body Mask")</f>
        <v>Body Mask</v>
      </c>
      <c r="I16" s="260" t="str">
        <f>IFERROR(__xludf.DUMMYFUNCTION("""COMPUTED_VALUE"""),"Sampai")</f>
        <v>Sampai</v>
      </c>
      <c r="J16" s="261" t="str">
        <f>IFERROR(__xludf.DUMMYFUNCTION("""COMPUTED_VALUE"""),"Concept 3")</f>
        <v>Concept 3</v>
      </c>
      <c r="K16" s="278" t="str">
        <f>IFERROR(__xludf.DUMMYFUNCTION("""COMPUTED_VALUE"""),"https://vt.tiktok.com/ZS9UrhXM2/")</f>
        <v>https://vt.tiktok.com/ZS9UrhXM2/</v>
      </c>
      <c r="L16" s="261" t="str">
        <f>IFERROR(__xludf.DUMMYFUNCTION("""COMPUTED_VALUE"""),"Concept 3")</f>
        <v>Concept 3</v>
      </c>
      <c r="M16" s="278" t="str">
        <f>IFERROR(__xludf.DUMMYFUNCTION("""COMPUTED_VALUE"""),"https://vt.tiktok.com/ZS9UrNYHW/")</f>
        <v>https://vt.tiktok.com/ZS9UrNYHW/</v>
      </c>
      <c r="N16" s="261" t="str">
        <f>IFERROR(__xludf.DUMMYFUNCTION("""COMPUTED_VALUE"""),"Concept 3")</f>
        <v>Concept 3</v>
      </c>
      <c r="O16" s="279" t="str">
        <f>IFERROR(__xludf.DUMMYFUNCTION("""COMPUTED_VALUE"""),"https://vt.tiktok.com/ZS9Ur5eN8/")</f>
        <v>https://vt.tiktok.com/ZS9Ur5eN8/</v>
      </c>
      <c r="P16" s="261" t="str">
        <f>IFERROR(__xludf.DUMMYFUNCTION("""COMPUTED_VALUE"""),"Concept 3")</f>
        <v>Concept 3</v>
      </c>
      <c r="Q16" s="279" t="str">
        <f>IFERROR(__xludf.DUMMYFUNCTION("""COMPUTED_VALUE"""),"https://vt.tiktok.com/ZS9f4L7eA/")</f>
        <v>https://vt.tiktok.com/ZS9f4L7eA/</v>
      </c>
      <c r="R16" s="263">
        <f>IFERROR(__xludf.DUMMYFUNCTION("""COMPUTED_VALUE"""),0.0)</f>
        <v>0</v>
      </c>
      <c r="S16" s="263">
        <f>IFERROR(__xludf.DUMMYFUNCTION("""COMPUTED_VALUE"""),0.0)</f>
        <v>0</v>
      </c>
      <c r="T16" s="263">
        <f>IFERROR(__xludf.DUMMYFUNCTION("""COMPUTED_VALUE"""),0.0)</f>
        <v>0</v>
      </c>
      <c r="U16" s="263">
        <f>IFERROR(__xludf.DUMMYFUNCTION("""COMPUTED_VALUE"""),0.0)</f>
        <v>0</v>
      </c>
    </row>
    <row r="17">
      <c r="A17" s="255" t="str">
        <f>IFERROR(__xludf.DUMMYFUNCTION("""COMPUTED_VALUE"""),"NANO")</f>
        <v>NANO</v>
      </c>
      <c r="B17" s="256" t="str">
        <f>IFERROR(__xludf.DUMMYFUNCTION("""COMPUTED_VALUE"""),"indyglowing7")</f>
        <v>indyglowing7</v>
      </c>
      <c r="C17" s="281" t="str">
        <f>IFERROR(__xludf.DUMMYFUNCTION("""COMPUTED_VALUE"""),"https://www.tiktok.com/@indyglowing7")</f>
        <v>https://www.tiktok.com/@indyglowing7</v>
      </c>
      <c r="D17" s="25">
        <f>IFERROR(__xludf.DUMMYFUNCTION("""COMPUTED_VALUE"""),8.5591601928E10)</f>
        <v>85591601928</v>
      </c>
      <c r="E17" s="258">
        <f>IFERROR(__xludf.DUMMYFUNCTION("""COMPUTED_VALUE"""),100000.0)</f>
        <v>100000</v>
      </c>
      <c r="F17" s="25">
        <f>IFERROR(__xludf.DUMMYFUNCTION("""COMPUTED_VALUE"""),1.0)</f>
        <v>1</v>
      </c>
      <c r="G17" s="576">
        <f>IFERROR(__xludf.DUMMYFUNCTION("""COMPUTED_VALUE"""),2.56E8)</f>
        <v>256000000</v>
      </c>
      <c r="H17" s="259" t="str">
        <f>IFERROR(__xludf.DUMMYFUNCTION("""COMPUTED_VALUE"""),"Sleping Body Mask")</f>
        <v>Sleping Body Mask</v>
      </c>
      <c r="I17" s="260" t="str">
        <f>IFERROR(__xludf.DUMMYFUNCTION("""COMPUTED_VALUE"""),"Sampai")</f>
        <v>Sampai</v>
      </c>
      <c r="J17" s="261" t="str">
        <f>IFERROR(__xludf.DUMMYFUNCTION("""COMPUTED_VALUE"""),"Concept 3")</f>
        <v>Concept 3</v>
      </c>
      <c r="K17" s="278" t="str">
        <f>IFERROR(__xludf.DUMMYFUNCTION("""COMPUTED_VALUE"""),"https://www.tiktok.com/@indyglowing7/video/7642906481544662290?_r=1&amp;u_code=egk0jk8il41bie&amp;region=&amp;mid=7408068079124466437&amp;preview_pb=0&amp;sharer_language=&amp;_d=0&amp;ec_shared_reflux_dynamic_params=%7B%22placeholder_material_id%22%3A%227642906481544662290%22%2C%22"&amp;"placeholder_origin_cover%22%3A%22https%253A%252F%252Fp16-common-sign.tiktokcdn.com%252Ftos-alisg-p-0037%252Fo07RIo5xyXPEIhViEjvLQ7YDBAIaAi5O0BlAI~tplv-tiktokx-origin.jpeg%253Fdr%253D14572%2526refresh_token%253Df48bbb1d%2526x-expires%253D1811239200%2526x-s"&amp;"ignature%253DMCc%25252FvPt6Qc%25252B9f%25252Fxj7lIziGWCOuk%25253D%2526t%253D4d5b0474%2526ps%253D13740610%2526shp%253Dd05b14bd%2526shcp%253D34ff8df6%2526idc%253Dmy3%2526s%253DTIKTOK_AFFILIATE_VIRAL_VIDEO%22%2C%22placeholder_product_id%22%3A%221730862762781"&amp;"279870%22%2C%22placeholder_video_id%22%3A%227642906481544662290%22%7D&amp;ec_shared_reflux_scene=shop_tab_feed&amp;share_item_id=7642906481544662290&amp;source=h5_t")</f>
        <v>https://www.tiktok.com/@indyglowing7/video/7642906481544662290?_r=1&amp;u_code=egk0jk8il41bie&amp;region=&amp;mid=7408068079124466437&amp;preview_pb=0&amp;sharer_language=&amp;_d=0&amp;ec_shared_reflux_dynamic_params=%7B%22placeholder_material_id%22%3A%227642906481544662290%22%2C%22placeholder_origin_cover%22%3A%22https%253A%252F%252Fp16-common-sign.tiktokcdn.com%252Ftos-alisg-p-0037%252Fo07RIo5xyXPEIhViEjvLQ7YDBAIaAi5O0BlAI~tplv-tiktokx-origin.jpeg%253Fdr%253D14572%2526refresh_token%253Df48bbb1d%2526x-expires%253D1811239200%2526x-signature%253DMCc%25252FvPt6Qc%25252B9f%25252Fxj7lIziGWCOuk%25253D%2526t%253D4d5b0474%2526ps%253D13740610%2526shp%253Dd05b14bd%2526shcp%253D34ff8df6%2526idc%253Dmy3%2526s%253DTIKTOK_AFFILIATE_VIRAL_VIDEO%22%2C%22placeholder_product_id%22%3A%221730862762781279870%22%2C%22placeholder_video_id%22%3A%227642906481544662290%22%7D&amp;ec_shared_reflux_scene=shop_tab_feed&amp;share_item_id=7642906481544662290&amp;source=h5_t</v>
      </c>
      <c r="L17" s="261"/>
      <c r="M17" s="262"/>
      <c r="N17" s="261"/>
      <c r="O17" s="17"/>
      <c r="P17" s="261"/>
      <c r="Q17" s="17"/>
      <c r="R17" s="264">
        <f>IFERROR(__xludf.DUMMYFUNCTION("""COMPUTED_VALUE"""),0.0)</f>
        <v>0</v>
      </c>
      <c r="S17" s="265">
        <f>IFERROR(__xludf.DUMMYFUNCTION("""COMPUTED_VALUE"""),0.0)</f>
        <v>0</v>
      </c>
      <c r="T17" s="266">
        <f>IFERROR(__xludf.DUMMYFUNCTION("""COMPUTED_VALUE"""),0.0)</f>
        <v>0</v>
      </c>
      <c r="U17" s="266">
        <f>IFERROR(__xludf.DUMMYFUNCTION("""COMPUTED_VALUE"""),0.0)</f>
        <v>0</v>
      </c>
    </row>
    <row r="18">
      <c r="A18" s="255" t="str">
        <f>IFERROR(__xludf.DUMMYFUNCTION("""COMPUTED_VALUE"""),"NANO")</f>
        <v>NANO</v>
      </c>
      <c r="B18" s="256" t="str">
        <f>IFERROR(__xludf.DUMMYFUNCTION("""COMPUTED_VALUE"""),"esgeerte")</f>
        <v>esgeerte</v>
      </c>
      <c r="C18" s="281" t="str">
        <f>IFERROR(__xludf.DUMMYFUNCTION("""COMPUTED_VALUE"""),"https://www.tiktok.com/@esgeerte")</f>
        <v>https://www.tiktok.com/@esgeerte</v>
      </c>
      <c r="D18" s="25">
        <f>IFERROR(__xludf.DUMMYFUNCTION("""COMPUTED_VALUE"""),8.5797351446E10)</f>
        <v>85797351446</v>
      </c>
      <c r="E18" s="258">
        <f>IFERROR(__xludf.DUMMYFUNCTION("""COMPUTED_VALUE"""),0.0)</f>
        <v>0</v>
      </c>
      <c r="F18" s="25">
        <f>IFERROR(__xludf.DUMMYFUNCTION("""COMPUTED_VALUE"""),2.0)</f>
        <v>2</v>
      </c>
      <c r="G18" s="576">
        <f>IFERROR(__xludf.DUMMYFUNCTION("""COMPUTED_VALUE"""),5.0E7)</f>
        <v>50000000</v>
      </c>
      <c r="H18" s="259" t="str">
        <f>IFERROR(__xludf.DUMMYFUNCTION("""COMPUTED_VALUE"""),"Body Serum Retinol")</f>
        <v>Body Serum Retinol</v>
      </c>
      <c r="I18" s="260" t="str">
        <f>IFERROR(__xludf.DUMMYFUNCTION("""COMPUTED_VALUE"""),"Sampai")</f>
        <v>Sampai</v>
      </c>
      <c r="J18" s="261" t="str">
        <f>IFERROR(__xludf.DUMMYFUNCTION("""COMPUTED_VALUE"""),"Concept 3")</f>
        <v>Concept 3</v>
      </c>
      <c r="K18" s="280" t="str">
        <f>IFERROR(__xludf.DUMMYFUNCTION("""COMPUTED_VALUE"""),"https://vt.tiktok.com/ZS9hatacw/")</f>
        <v>https://vt.tiktok.com/ZS9hatacw/</v>
      </c>
      <c r="L18" s="261" t="str">
        <f>IFERROR(__xludf.DUMMYFUNCTION("""COMPUTED_VALUE"""),"Concept 2")</f>
        <v>Concept 2</v>
      </c>
      <c r="M18" s="278" t="str">
        <f>IFERROR(__xludf.DUMMYFUNCTION("""COMPUTED_VALUE"""),"https://vt.tiktok.com/ZS9fq6f6U/")</f>
        <v>https://vt.tiktok.com/ZS9fq6f6U/</v>
      </c>
      <c r="N18" s="261"/>
      <c r="O18" s="17"/>
      <c r="P18" s="261"/>
      <c r="Q18" s="17"/>
      <c r="R18" s="264">
        <f>IFERROR(__xludf.DUMMYFUNCTION("""COMPUTED_VALUE"""),0.0)</f>
        <v>0</v>
      </c>
      <c r="S18" s="265">
        <f>IFERROR(__xludf.DUMMYFUNCTION("""COMPUTED_VALUE"""),0.0)</f>
        <v>0</v>
      </c>
      <c r="T18" s="266">
        <f>IFERROR(__xludf.DUMMYFUNCTION("""COMPUTED_VALUE"""),984845.95)</f>
        <v>984845.95</v>
      </c>
      <c r="U18" s="266">
        <f>IFERROR(__xludf.DUMMYFUNCTION("""COMPUTED_VALUE"""),0.0)</f>
        <v>0</v>
      </c>
    </row>
    <row r="19">
      <c r="A19" s="255" t="str">
        <f>IFERROR(__xludf.DUMMYFUNCTION("""COMPUTED_VALUE"""),"MICRO")</f>
        <v>MICRO</v>
      </c>
      <c r="B19" s="256" t="str">
        <f>IFERROR(__xludf.DUMMYFUNCTION("""COMPUTED_VALUE"""),"gabolegalakya")</f>
        <v>gabolegalakya</v>
      </c>
      <c r="C19" s="281" t="str">
        <f>IFERROR(__xludf.DUMMYFUNCTION("""COMPUTED_VALUE"""),"https://www.tiktok.com/@gabolegalakya")</f>
        <v>https://www.tiktok.com/@gabolegalakya</v>
      </c>
      <c r="D19" s="25">
        <f>IFERROR(__xludf.DUMMYFUNCTION("""COMPUTED_VALUE"""),8.1375495494E10)</f>
        <v>81375495494</v>
      </c>
      <c r="E19" s="258">
        <f>IFERROR(__xludf.DUMMYFUNCTION("""COMPUTED_VALUE"""),100000.0)</f>
        <v>100000</v>
      </c>
      <c r="F19" s="25">
        <f>IFERROR(__xludf.DUMMYFUNCTION("""COMPUTED_VALUE"""),1.0)</f>
        <v>1</v>
      </c>
      <c r="G19" s="576">
        <f>IFERROR(__xludf.DUMMYFUNCTION("""COMPUTED_VALUE"""),1.09E7)</f>
        <v>10900000</v>
      </c>
      <c r="H19" s="259" t="str">
        <f>IFERROR(__xludf.DUMMYFUNCTION("""COMPUTED_VALUE"""),"Body Serum Retinol")</f>
        <v>Body Serum Retinol</v>
      </c>
      <c r="I19" s="260" t="str">
        <f>IFERROR(__xludf.DUMMYFUNCTION("""COMPUTED_VALUE"""),"Sampai")</f>
        <v>Sampai</v>
      </c>
      <c r="J19" s="261" t="str">
        <f>IFERROR(__xludf.DUMMYFUNCTION("""COMPUTED_VALUE""")," Concept 1")</f>
        <v> Concept 1</v>
      </c>
      <c r="K19" s="278" t="str">
        <f>IFERROR(__xludf.DUMMYFUNCTION("""COMPUTED_VALUE"""),"https://vt.tiktok.com/ZS9aY1Exb/")</f>
        <v>https://vt.tiktok.com/ZS9aY1Exb/</v>
      </c>
      <c r="L19" s="261"/>
      <c r="M19" s="262"/>
      <c r="N19" s="261"/>
      <c r="O19" s="17"/>
      <c r="P19" s="261"/>
      <c r="Q19" s="17"/>
      <c r="R19" s="264">
        <f>IFERROR(__xludf.DUMMYFUNCTION("""COMPUTED_VALUE"""),0.0)</f>
        <v>0</v>
      </c>
      <c r="S19" s="265">
        <f>IFERROR(__xludf.DUMMYFUNCTION("""COMPUTED_VALUE"""),0.0)</f>
        <v>0</v>
      </c>
      <c r="T19" s="266">
        <f>IFERROR(__xludf.DUMMYFUNCTION("""COMPUTED_VALUE"""),2338100.52)</f>
        <v>2338100.52</v>
      </c>
      <c r="U19" s="266">
        <f>IFERROR(__xludf.DUMMYFUNCTION("""COMPUTED_VALUE"""),0.0)</f>
        <v>0</v>
      </c>
    </row>
    <row r="20">
      <c r="A20" s="255" t="str">
        <f>IFERROR(__xludf.DUMMYFUNCTION("""COMPUTED_VALUE"""),"NANO")</f>
        <v>NANO</v>
      </c>
      <c r="B20" s="256" t="str">
        <f>IFERROR(__xludf.DUMMYFUNCTION("""COMPUTED_VALUE"""),"aradumpie.__")</f>
        <v>aradumpie.__</v>
      </c>
      <c r="C20" s="281" t="str">
        <f>IFERROR(__xludf.DUMMYFUNCTION("""COMPUTED_VALUE"""),"https://www.tiktok.com/@aradumpie.__")</f>
        <v>https://www.tiktok.com/@aradumpie.__</v>
      </c>
      <c r="D20" s="25">
        <f>IFERROR(__xludf.DUMMYFUNCTION("""COMPUTED_VALUE"""),8.9634663225E10)</f>
        <v>89634663225</v>
      </c>
      <c r="E20" s="258">
        <f>IFERROR(__xludf.DUMMYFUNCTION("""COMPUTED_VALUE"""),0.0)</f>
        <v>0</v>
      </c>
      <c r="F20" s="25">
        <f>IFERROR(__xludf.DUMMYFUNCTION("""COMPUTED_VALUE"""),2.0)</f>
        <v>2</v>
      </c>
      <c r="G20" s="576">
        <f>IFERROR(__xludf.DUMMYFUNCTION("""COMPUTED_VALUE"""),2.95E7)</f>
        <v>29500000</v>
      </c>
      <c r="H20" s="259" t="str">
        <f>IFERROR(__xludf.DUMMYFUNCTION("""COMPUTED_VALUE"""),"Body Mask")</f>
        <v>Body Mask</v>
      </c>
      <c r="I20" s="260" t="str">
        <f>IFERROR(__xludf.DUMMYFUNCTION("""COMPUTED_VALUE"""),"Sampai")</f>
        <v>Sampai</v>
      </c>
      <c r="J20" s="261" t="str">
        <f>IFERROR(__xludf.DUMMYFUNCTION("""COMPUTED_VALUE"""),"Concept 3")</f>
        <v>Concept 3</v>
      </c>
      <c r="K20" s="278" t="str">
        <f>IFERROR(__xludf.DUMMYFUNCTION("""COMPUTED_VALUE"""),"https://vt.tiktok.com/ZS94JhgdR/")</f>
        <v>https://vt.tiktok.com/ZS94JhgdR/</v>
      </c>
      <c r="L20" s="261" t="str">
        <f>IFERROR(__xludf.DUMMYFUNCTION("""COMPUTED_VALUE"""),"Concept 3")</f>
        <v>Concept 3</v>
      </c>
      <c r="M20" s="262" t="str">
        <f>IFERROR(__xludf.DUMMYFUNCTION("""COMPUTED_VALUE"""),"⁠https://vt.tiktok.com/ZS94JdVe1/")</f>
        <v>⁠https://vt.tiktok.com/ZS94JdVe1/</v>
      </c>
      <c r="N20" s="261"/>
      <c r="O20" s="17"/>
      <c r="P20" s="261"/>
      <c r="Q20" s="17"/>
      <c r="R20" s="264">
        <f>IFERROR(__xludf.DUMMYFUNCTION("""COMPUTED_VALUE"""),0.0)</f>
        <v>0</v>
      </c>
      <c r="S20" s="265">
        <f>IFERROR(__xludf.DUMMYFUNCTION("""COMPUTED_VALUE"""),0.0)</f>
        <v>0</v>
      </c>
      <c r="T20" s="266">
        <f>IFERROR(__xludf.DUMMYFUNCTION("""COMPUTED_VALUE"""),0.0)</f>
        <v>0</v>
      </c>
      <c r="U20" s="266">
        <f>IFERROR(__xludf.DUMMYFUNCTION("""COMPUTED_VALUE"""),0.0)</f>
        <v>0</v>
      </c>
    </row>
    <row r="21">
      <c r="A21" s="255" t="str">
        <f>IFERROR(__xludf.DUMMYFUNCTION("""COMPUTED_VALUE"""),"NANO")</f>
        <v>NANO</v>
      </c>
      <c r="B21" s="256" t="str">
        <f>IFERROR(__xludf.DUMMYFUNCTION("""COMPUTED_VALUE"""),"riskakhusnia")</f>
        <v>riskakhusnia</v>
      </c>
      <c r="C21" s="281" t="str">
        <f>IFERROR(__xludf.DUMMYFUNCTION("""COMPUTED_VALUE"""),"https://www.tiktok.com/@riskakhusnia")</f>
        <v>https://www.tiktok.com/@riskakhusnia</v>
      </c>
      <c r="D21" s="25">
        <f>IFERROR(__xludf.DUMMYFUNCTION("""COMPUTED_VALUE"""),8.5768075552E10)</f>
        <v>85768075552</v>
      </c>
      <c r="E21" s="258">
        <f>IFERROR(__xludf.DUMMYFUNCTION("""COMPUTED_VALUE"""),0.0)</f>
        <v>0</v>
      </c>
      <c r="F21" s="25">
        <f>IFERROR(__xludf.DUMMYFUNCTION("""COMPUTED_VALUE"""),2.0)</f>
        <v>2</v>
      </c>
      <c r="G21" s="576">
        <f>IFERROR(__xludf.DUMMYFUNCTION("""COMPUTED_VALUE"""),7.114E7)</f>
        <v>71140000</v>
      </c>
      <c r="H21" s="259" t="str">
        <f>IFERROR(__xludf.DUMMYFUNCTION("""COMPUTED_VALUE"""),"Body Sunscreen")</f>
        <v>Body Sunscreen</v>
      </c>
      <c r="I21" s="260" t="str">
        <f>IFERROR(__xludf.DUMMYFUNCTION("""COMPUTED_VALUE"""),"Sampai")</f>
        <v>Sampai</v>
      </c>
      <c r="J21" s="261" t="str">
        <f>IFERROR(__xludf.DUMMYFUNCTION("""COMPUTED_VALUE"""),"Concept 2")</f>
        <v>Concept 2</v>
      </c>
      <c r="K21" s="280" t="str">
        <f>IFERROR(__xludf.DUMMYFUNCTION("""COMPUTED_VALUE"""),"https://vt.tiktok.com/ZS9hbRe6W/")</f>
        <v>https://vt.tiktok.com/ZS9hbRe6W/</v>
      </c>
      <c r="L21" s="261"/>
      <c r="M21" s="262"/>
      <c r="N21" s="261"/>
      <c r="O21" s="17"/>
      <c r="P21" s="261"/>
      <c r="Q21" s="17"/>
      <c r="R21" s="264">
        <f>IFERROR(__xludf.DUMMYFUNCTION("""COMPUTED_VALUE"""),0.0)</f>
        <v>0</v>
      </c>
      <c r="S21" s="265">
        <f>IFERROR(__xludf.DUMMYFUNCTION("""COMPUTED_VALUE"""),0.0)</f>
        <v>0</v>
      </c>
      <c r="T21" s="266">
        <f>IFERROR(__xludf.DUMMYFUNCTION("""COMPUTED_VALUE"""),0.0)</f>
        <v>0</v>
      </c>
      <c r="U21" s="266">
        <f>IFERROR(__xludf.DUMMYFUNCTION("""COMPUTED_VALUE"""),0.0)</f>
        <v>0</v>
      </c>
    </row>
    <row r="22">
      <c r="A22" s="255" t="str">
        <f>IFERROR(__xludf.DUMMYFUNCTION("""COMPUTED_VALUE"""),"NANO")</f>
        <v>NANO</v>
      </c>
      <c r="B22" s="256" t="str">
        <f>IFERROR(__xludf.DUMMYFUNCTION("""COMPUTED_VALUE"""),"ptriimyaa")</f>
        <v>ptriimyaa</v>
      </c>
      <c r="C22" s="281" t="str">
        <f>IFERROR(__xludf.DUMMYFUNCTION("""COMPUTED_VALUE"""),"https://www.tiktok.com/@ptriimyaa")</f>
        <v>https://www.tiktok.com/@ptriimyaa</v>
      </c>
      <c r="D22" s="25">
        <f>IFERROR(__xludf.DUMMYFUNCTION("""COMPUTED_VALUE"""),8.2376155855E10)</f>
        <v>82376155855</v>
      </c>
      <c r="E22" s="258">
        <f>IFERROR(__xludf.DUMMYFUNCTION("""COMPUTED_VALUE"""),0.0)</f>
        <v>0</v>
      </c>
      <c r="F22" s="25">
        <f>IFERROR(__xludf.DUMMYFUNCTION("""COMPUTED_VALUE"""),3.0)</f>
        <v>3</v>
      </c>
      <c r="G22" s="576">
        <f>IFERROR(__xludf.DUMMYFUNCTION("""COMPUTED_VALUE"""),6.44E7)</f>
        <v>64400000</v>
      </c>
      <c r="H22" s="259" t="str">
        <f>IFERROR(__xludf.DUMMYFUNCTION("""COMPUTED_VALUE"""),"Sleping Body Mask")</f>
        <v>Sleping Body Mask</v>
      </c>
      <c r="I22" s="260" t="str">
        <f>IFERROR(__xludf.DUMMYFUNCTION("""COMPUTED_VALUE"""),"Sampai")</f>
        <v>Sampai</v>
      </c>
      <c r="J22" s="261" t="str">
        <f>IFERROR(__xludf.DUMMYFUNCTION("""COMPUTED_VALUE"""),"Concept 3")</f>
        <v>Concept 3</v>
      </c>
      <c r="K22" s="278" t="str">
        <f>IFERROR(__xludf.DUMMYFUNCTION("""COMPUTED_VALUE"""),"https://vt.tiktok.com/ZS9YDmLKA/")</f>
        <v>https://vt.tiktok.com/ZS9YDmLKA/</v>
      </c>
      <c r="L22" s="261" t="str">
        <f>IFERROR(__xludf.DUMMYFUNCTION("""COMPUTED_VALUE"""),"Concept 3")</f>
        <v>Concept 3</v>
      </c>
      <c r="M22" s="278" t="str">
        <f>IFERROR(__xludf.DUMMYFUNCTION("""COMPUTED_VALUE"""),"https://vt.tiktok.com/ZS9mQNy5C/")</f>
        <v>https://vt.tiktok.com/ZS9mQNy5C/</v>
      </c>
      <c r="N22" s="261" t="str">
        <f>IFERROR(__xludf.DUMMYFUNCTION("""COMPUTED_VALUE"""),"Concept 3")</f>
        <v>Concept 3</v>
      </c>
      <c r="O22" s="279" t="str">
        <f>IFERROR(__xludf.DUMMYFUNCTION("""COMPUTED_VALUE"""),"https://vt.tiktok.com/ZS9mQY4KJ/")</f>
        <v>https://vt.tiktok.com/ZS9mQY4KJ/</v>
      </c>
      <c r="P22" s="261" t="str">
        <f>IFERROR(__xludf.DUMMYFUNCTION("""COMPUTED_VALUE"""),"Concept 3")</f>
        <v>Concept 3</v>
      </c>
      <c r="Q22" s="279" t="str">
        <f>IFERROR(__xludf.DUMMYFUNCTION("""COMPUTED_VALUE"""),"https://vt.tiktok.com/ZS93a2M6K/")</f>
        <v>https://vt.tiktok.com/ZS93a2M6K/</v>
      </c>
      <c r="R22" s="264">
        <f>IFERROR(__xludf.DUMMYFUNCTION("""COMPUTED_VALUE"""),0.0)</f>
        <v>0</v>
      </c>
      <c r="S22" s="265">
        <f>IFERROR(__xludf.DUMMYFUNCTION("""COMPUTED_VALUE"""),0.0)</f>
        <v>0</v>
      </c>
      <c r="T22" s="266">
        <f>IFERROR(__xludf.DUMMYFUNCTION("""COMPUTED_VALUE"""),0.0)</f>
        <v>0</v>
      </c>
      <c r="U22" s="266">
        <f>IFERROR(__xludf.DUMMYFUNCTION("""COMPUTED_VALUE"""),0.0)</f>
        <v>0</v>
      </c>
    </row>
    <row r="23">
      <c r="A23" s="255" t="str">
        <f>IFERROR(__xludf.DUMMYFUNCTION("""COMPUTED_VALUE"""),"NANO")</f>
        <v>NANO</v>
      </c>
      <c r="B23" s="256" t="str">
        <f>IFERROR(__xludf.DUMMYFUNCTION("""COMPUTED_VALUE"""),"mim07_27")</f>
        <v>mim07_27</v>
      </c>
      <c r="C23" s="281" t="str">
        <f>IFERROR(__xludf.DUMMYFUNCTION("""COMPUTED_VALUE"""),"https://www.tiktok.com/@mim07_27")</f>
        <v>https://www.tiktok.com/@mim07_27</v>
      </c>
      <c r="D23" s="25">
        <f>IFERROR(__xludf.DUMMYFUNCTION("""COMPUTED_VALUE"""),8.781491385E10)</f>
        <v>87814913850</v>
      </c>
      <c r="E23" s="258">
        <f>IFERROR(__xludf.DUMMYFUNCTION("""COMPUTED_VALUE"""),0.0)</f>
        <v>0</v>
      </c>
      <c r="F23" s="25">
        <f>IFERROR(__xludf.DUMMYFUNCTION("""COMPUTED_VALUE"""),2.0)</f>
        <v>2</v>
      </c>
      <c r="G23" s="576">
        <f>IFERROR(__xludf.DUMMYFUNCTION("""COMPUTED_VALUE"""),2.232E8)</f>
        <v>223200000</v>
      </c>
      <c r="H23" s="259" t="str">
        <f>IFERROR(__xludf.DUMMYFUNCTION("""COMPUTED_VALUE"""),"Body Sunscreen")</f>
        <v>Body Sunscreen</v>
      </c>
      <c r="I23" s="260" t="str">
        <f>IFERROR(__xludf.DUMMYFUNCTION("""COMPUTED_VALUE"""),"Sampai")</f>
        <v>Sampai</v>
      </c>
      <c r="J23" s="261" t="str">
        <f>IFERROR(__xludf.DUMMYFUNCTION("""COMPUTED_VALUE"""),"Concept 2")</f>
        <v>Concept 2</v>
      </c>
      <c r="K23" s="280" t="str">
        <f>IFERROR(__xludf.DUMMYFUNCTION("""COMPUTED_VALUE"""),"https://vt.tiktok.com/ZS9QNmyyL/")</f>
        <v>https://vt.tiktok.com/ZS9QNmyyL/</v>
      </c>
      <c r="L23" s="261" t="str">
        <f>IFERROR(__xludf.DUMMYFUNCTION("""COMPUTED_VALUE"""),"Concept 2")</f>
        <v>Concept 2</v>
      </c>
      <c r="M23" s="278" t="str">
        <f>IFERROR(__xludf.DUMMYFUNCTION("""COMPUTED_VALUE"""),"https://vt.tiktok.com/ZS9QbLKqB/")</f>
        <v>https://vt.tiktok.com/ZS9QbLKqB/</v>
      </c>
      <c r="N23" s="261" t="str">
        <f>IFERROR(__xludf.DUMMYFUNCTION("""COMPUTED_VALUE"""),"Concept 2")</f>
        <v>Concept 2</v>
      </c>
      <c r="O23" s="279" t="str">
        <f>IFERROR(__xludf.DUMMYFUNCTION("""COMPUTED_VALUE"""),"https://www.tiktok.com/@mim07_27/video/7642273752746691861?_r=1&amp;u_code=ed1bfba1e0h9i9&amp;region=&amp;mid=7637936038535187218&amp;preview_pb=0&amp;sharer_language=&amp;_d=0&amp;ec_shared_reflux_dynamic_params=%7B%22placeholder_material_id%22%3A%227642273752746691861%22%2C%22plac"&amp;"eholder_origin_cover%22%3A%22https%253A%252F%252Fp19-common-sign.tiktokcdn.com%252Ftos-alisg-p-0037%252FoQXBYXaOA3mU4X0PA2iBWgaPIwB0z7BIEviEJ~tplv-tiktokx-origin.jpeg%253Fdr%253D14572%2526refresh_token%253D4f04b6ad%2526x-expires%253D1811239200%2526x-signa"&amp;"ture%253D6jupnY6kHEyHs8fnkNBRyyh8520%25253D%2526t%253D4d5b0474%2526ps%253D13740610%2526shp%253Dd05b14bd%2526shcp%253D34ff8df6%2526idc%253Dmy2%2526s%253DTIKTOK_AFFILIATE_VIRAL_VIDEO%22%2C%22placeholder_product_id%22%3A%221729579915792254590%22%2C%22placeho"&amp;"lder_video_id%22%3A%227642273752746691861%22%7D&amp;ec_shared_reflux_scene=shop_tab_feed&amp;share_item_id=7642273752746691861&amp;source=h5_t")</f>
        <v>https://www.tiktok.com/@mim07_27/video/7642273752746691861?_r=1&amp;u_code=ed1bfba1e0h9i9&amp;region=&amp;mid=7637936038535187218&amp;preview_pb=0&amp;sharer_language=&amp;_d=0&amp;ec_shared_reflux_dynamic_params=%7B%22placeholder_material_id%22%3A%227642273752746691861%22%2C%22placeholder_origin_cover%22%3A%22https%253A%252F%252Fp19-common-sign.tiktokcdn.com%252Ftos-alisg-p-0037%252FoQXBYXaOA3mU4X0PA2iBWgaPIwB0z7BIEviEJ~tplv-tiktokx-origin.jpeg%253Fdr%253D14572%2526refresh_token%253D4f04b6ad%2526x-expires%253D1811239200%2526x-signature%253D6jupnY6kHEyHs8fnkNBRyyh8520%25253D%2526t%253D4d5b0474%2526ps%253D13740610%2526shp%253Dd05b14bd%2526shcp%253D34ff8df6%2526idc%253Dmy2%2526s%253DTIKTOK_AFFILIATE_VIRAL_VIDEO%22%2C%22placeholder_product_id%22%3A%221729579915792254590%22%2C%22placeholder_video_id%22%3A%227642273752746691861%22%7D&amp;ec_shared_reflux_scene=shop_tab_feed&amp;share_item_id=7642273752746691861&amp;source=h5_t</v>
      </c>
      <c r="P23" s="261"/>
      <c r="Q23" s="17"/>
      <c r="R23" s="264">
        <f>IFERROR(__xludf.DUMMYFUNCTION("""COMPUTED_VALUE"""),384542.0)</f>
        <v>384542</v>
      </c>
      <c r="S23" s="265">
        <f>IFERROR(__xludf.DUMMYFUNCTION("""COMPUTED_VALUE"""),0.0)</f>
        <v>0</v>
      </c>
      <c r="T23" s="266">
        <f>IFERROR(__xludf.DUMMYFUNCTION("""COMPUTED_VALUE"""),0.0)</f>
        <v>0</v>
      </c>
      <c r="U23" s="266">
        <f>IFERROR(__xludf.DUMMYFUNCTION("""COMPUTED_VALUE"""),0.0)</f>
        <v>0</v>
      </c>
    </row>
    <row r="24">
      <c r="A24" s="255" t="str">
        <f>IFERROR(__xludf.DUMMYFUNCTION("""COMPUTED_VALUE"""),"MICRO")</f>
        <v>MICRO</v>
      </c>
      <c r="B24" s="23" t="str">
        <f>IFERROR(__xludf.DUMMYFUNCTION("""COMPUTED_VALUE"""),"hann01232")</f>
        <v>hann01232</v>
      </c>
      <c r="C24" s="281" t="str">
        <f>IFERROR(__xludf.DUMMYFUNCTION("""COMPUTED_VALUE"""),"https://www.tiktok.com/@hann01232")</f>
        <v>https://www.tiktok.com/@hann01232</v>
      </c>
      <c r="D24" s="25">
        <f>IFERROR(__xludf.DUMMYFUNCTION("""COMPUTED_VALUE"""),8.5231821361E10)</f>
        <v>85231821361</v>
      </c>
      <c r="E24" s="258"/>
      <c r="F24" s="25">
        <f>IFERROR(__xludf.DUMMYFUNCTION("""COMPUTED_VALUE"""),1.0)</f>
        <v>1</v>
      </c>
      <c r="G24" s="576">
        <f>IFERROR(__xludf.DUMMYFUNCTION("""COMPUTED_VALUE"""),3.0143E8)</f>
        <v>301430000</v>
      </c>
      <c r="H24" s="259" t="str">
        <f>IFERROR(__xludf.DUMMYFUNCTION("""COMPUTED_VALUE"""),"Body Sunscreen")</f>
        <v>Body Sunscreen</v>
      </c>
      <c r="I24" s="260" t="str">
        <f>IFERROR(__xludf.DUMMYFUNCTION("""COMPUTED_VALUE"""),"Kendala [FU!]")</f>
        <v>Kendala [FU!]</v>
      </c>
      <c r="J24" s="261"/>
      <c r="K24" s="267"/>
      <c r="L24" s="261"/>
      <c r="M24" s="262"/>
      <c r="N24" s="261"/>
      <c r="O24" s="17"/>
      <c r="P24" s="261"/>
      <c r="Q24" s="17"/>
      <c r="R24" s="264">
        <f>IFERROR(__xludf.DUMMYFUNCTION("""COMPUTED_VALUE"""),0.0)</f>
        <v>0</v>
      </c>
      <c r="S24" s="265">
        <f>IFERROR(__xludf.DUMMYFUNCTION("""COMPUTED_VALUE"""),0.0)</f>
        <v>0</v>
      </c>
      <c r="T24" s="266">
        <f>IFERROR(__xludf.DUMMYFUNCTION("""COMPUTED_VALUE"""),0.0)</f>
        <v>0</v>
      </c>
      <c r="U24" s="266">
        <f>IFERROR(__xludf.DUMMYFUNCTION("""COMPUTED_VALUE"""),0.0)</f>
        <v>0</v>
      </c>
    </row>
    <row r="25">
      <c r="A25" s="255" t="str">
        <f>IFERROR(__xludf.DUMMYFUNCTION("""COMPUTED_VALUE"""),"NANO")</f>
        <v>NANO</v>
      </c>
      <c r="B25" s="23" t="str">
        <f>IFERROR(__xludf.DUMMYFUNCTION("""COMPUTED_VALUE"""),"hi_jaenaa")</f>
        <v>hi_jaenaa</v>
      </c>
      <c r="C25" s="281" t="str">
        <f>IFERROR(__xludf.DUMMYFUNCTION("""COMPUTED_VALUE"""),"https://www.tiktok.com/@hi_jaenaa")</f>
        <v>https://www.tiktok.com/@hi_jaenaa</v>
      </c>
      <c r="D25" s="25">
        <f>IFERROR(__xludf.DUMMYFUNCTION("""COMPUTED_VALUE"""),8.82006643919E11)</f>
        <v>882006643919</v>
      </c>
      <c r="E25" s="258">
        <f>IFERROR(__xludf.DUMMYFUNCTION("""COMPUTED_VALUE"""),0.0)</f>
        <v>0</v>
      </c>
      <c r="F25" s="25">
        <f>IFERROR(__xludf.DUMMYFUNCTION("""COMPUTED_VALUE"""),2.0)</f>
        <v>2</v>
      </c>
      <c r="G25" s="576">
        <f>IFERROR(__xludf.DUMMYFUNCTION("""COMPUTED_VALUE"""),600000.0)</f>
        <v>600000</v>
      </c>
      <c r="H25" s="259" t="str">
        <f>IFERROR(__xludf.DUMMYFUNCTION("""COMPUTED_VALUE"""),"Body Mask")</f>
        <v>Body Mask</v>
      </c>
      <c r="I25" s="260" t="str">
        <f>IFERROR(__xludf.DUMMYFUNCTION("""COMPUTED_VALUE"""),"Sampai")</f>
        <v>Sampai</v>
      </c>
      <c r="J25" s="261" t="str">
        <f>IFERROR(__xludf.DUMMYFUNCTION("""COMPUTED_VALUE"""),"Concept 3")</f>
        <v>Concept 3</v>
      </c>
      <c r="K25" s="278" t="str">
        <f>IFERROR(__xludf.DUMMYFUNCTION("""COMPUTED_VALUE"""),"https://www.tiktok.com/@hi_jaenaa/video/7647606212384591122?is_from_webapp=1&amp;sender_device=pc")</f>
        <v>https://www.tiktok.com/@hi_jaenaa/video/7647606212384591122?is_from_webapp=1&amp;sender_device=pc</v>
      </c>
      <c r="L25" s="261"/>
      <c r="M25" s="262"/>
      <c r="N25" s="261"/>
      <c r="O25" s="17"/>
      <c r="P25" s="261"/>
      <c r="Q25" s="17"/>
      <c r="R25" s="264">
        <f>IFERROR(__xludf.DUMMYFUNCTION("""COMPUTED_VALUE"""),0.0)</f>
        <v>0</v>
      </c>
      <c r="S25" s="265">
        <f>IFERROR(__xludf.DUMMYFUNCTION("""COMPUTED_VALUE"""),0.0)</f>
        <v>0</v>
      </c>
      <c r="T25" s="266">
        <f>IFERROR(__xludf.DUMMYFUNCTION("""COMPUTED_VALUE"""),0.0)</f>
        <v>0</v>
      </c>
      <c r="U25" s="266">
        <f>IFERROR(__xludf.DUMMYFUNCTION("""COMPUTED_VALUE"""),0.0)</f>
        <v>0</v>
      </c>
    </row>
    <row r="26">
      <c r="A26" s="255" t="str">
        <f>IFERROR(__xludf.DUMMYFUNCTION("""COMPUTED_VALUE"""),"MICRO")</f>
        <v>MICRO</v>
      </c>
      <c r="B26" s="23" t="str">
        <f>IFERROR(__xludf.DUMMYFUNCTION("""COMPUTED_VALUE"""),"yoonab")</f>
        <v>yoonab</v>
      </c>
      <c r="C26" s="281" t="str">
        <f>IFERROR(__xludf.DUMMYFUNCTION("""COMPUTED_VALUE"""),"https://www.tiktok.com/@yoonab")</f>
        <v>https://www.tiktok.com/@yoonab</v>
      </c>
      <c r="D26" s="25">
        <f>IFERROR(__xludf.DUMMYFUNCTION("""COMPUTED_VALUE"""),8.9612543483E10)</f>
        <v>89612543483</v>
      </c>
      <c r="E26" s="258">
        <f>IFERROR(__xludf.DUMMYFUNCTION("""COMPUTED_VALUE"""),0.0)</f>
        <v>0</v>
      </c>
      <c r="F26" s="25">
        <f>IFERROR(__xludf.DUMMYFUNCTION("""COMPUTED_VALUE"""),2.0)</f>
        <v>2</v>
      </c>
      <c r="G26" s="576">
        <f>IFERROR(__xludf.DUMMYFUNCTION("""COMPUTED_VALUE"""),6.486E7)</f>
        <v>64860000</v>
      </c>
      <c r="H26" s="259" t="str">
        <f>IFERROR(__xludf.DUMMYFUNCTION("""COMPUTED_VALUE"""),"Body Serum Retinol")</f>
        <v>Body Serum Retinol</v>
      </c>
      <c r="I26" s="260" t="str">
        <f>IFERROR(__xludf.DUMMYFUNCTION("""COMPUTED_VALUE"""),"Sampai")</f>
        <v>Sampai</v>
      </c>
      <c r="J26" s="261" t="str">
        <f>IFERROR(__xludf.DUMMYFUNCTION("""COMPUTED_VALUE""")," Concept 1")</f>
        <v> Concept 1</v>
      </c>
      <c r="K26" s="278" t="str">
        <f>IFERROR(__xludf.DUMMYFUNCTION("""COMPUTED_VALUE"""),"https://vt.tiktok.com/ZS9UrtjsK/")</f>
        <v>https://vt.tiktok.com/ZS9UrtjsK/</v>
      </c>
      <c r="L26" s="261" t="str">
        <f>IFERROR(__xludf.DUMMYFUNCTION("""COMPUTED_VALUE""")," Concept 1")</f>
        <v> Concept 1</v>
      </c>
      <c r="M26" s="278" t="str">
        <f>IFERROR(__xludf.DUMMYFUNCTION("""COMPUTED_VALUE"""),"https://vt.tiktok.com/ZS9Ur7CFr/")</f>
        <v>https://vt.tiktok.com/ZS9Ur7CFr/</v>
      </c>
      <c r="N26" s="261" t="str">
        <f>IFERROR(__xludf.DUMMYFUNCTION("""COMPUTED_VALUE""")," Concept 1")</f>
        <v> Concept 1</v>
      </c>
      <c r="O26" s="279" t="str">
        <f>IFERROR(__xludf.DUMMYFUNCTION("""COMPUTED_VALUE"""),"https://vt.tiktok.com/ZS9fV8CCW/")</f>
        <v>https://vt.tiktok.com/ZS9fV8CCW/</v>
      </c>
      <c r="P26" s="261" t="str">
        <f>IFERROR(__xludf.DUMMYFUNCTION("""COMPUTED_VALUE""")," Concept 1")</f>
        <v> Concept 1</v>
      </c>
      <c r="Q26" s="279" t="str">
        <f>IFERROR(__xludf.DUMMYFUNCTION("""COMPUTED_VALUE"""),"https://www.tiktok.com/@yoonab/video/7637507607523020040?_r=1&amp;u_code=dabh7g7fgb02kl&amp;region=&amp;mid=7618434961690970881&amp;preview_pb=0&amp;sharer_language=&amp;_d=0&amp;ec_shared_reflux_dynamic_params=%7B%22placeholder_material_id%22%3A%227637507607523020040%22%2C%22placeh"&amp;"older_origin_cover%22%3A%22https%253A%252F%252Fp16-sign-sg.tiktokcdn.com%252Ftos-alisg-p-0037%252FoUFZGxG4eL8eE0oI9fsDwxLICfFLIRnLGIAALG~tplv-tiktokx-origin.jpeg%253Fdr%253D14572%2526refresh_token%253D8804794a%2526x-expires%253D1810008000%2526x-signature%"&amp;"253DIH%25252BxbHidTGyiuEX5LEDJ13n7uls%25253D%2526t%253D4d5b0474%2526ps%253D13740610%2526shp%253Dd05b14bd%2526shcp%253D34ff8df6%2526idc%253Dmy%2526s%253DTIKTOK_AFFILIATE_VIRAL_VIDEO%22%2C%22placeholder_product_id%22%3A%221733993897950938750%22%2C%22placeho"&amp;"lder_video_id%22%3A%227637507607523020040%22%7D&amp;ec_shared_reflux_scene=shop_tab_feed&amp;share_item_id=7637507607523020040&amp;source=h5_t")</f>
        <v>https://www.tiktok.com/@yoonab/video/7637507607523020040?_r=1&amp;u_code=dabh7g7fgb02kl&amp;region=&amp;mid=7618434961690970881&amp;preview_pb=0&amp;sharer_language=&amp;_d=0&amp;ec_shared_reflux_dynamic_params=%7B%22placeholder_material_id%22%3A%227637507607523020040%22%2C%22placeholder_origin_cover%22%3A%22https%253A%252F%252Fp16-sign-sg.tiktokcdn.com%252Ftos-alisg-p-0037%252FoUFZGxG4eL8eE0oI9fsDwxLICfFLIRnLGIAALG~tplv-tiktokx-origin.jpeg%253Fdr%253D14572%2526refresh_token%253D8804794a%2526x-expires%253D1810008000%2526x-signature%253DIH%25252BxbHidTGyiuEX5LEDJ13n7uls%25253D%2526t%253D4d5b0474%2526ps%253D13740610%2526shp%253Dd05b14bd%2526shcp%253D34ff8df6%2526idc%253Dmy%2526s%253DTIKTOK_AFFILIATE_VIRAL_VIDEO%22%2C%22placeholder_product_id%22%3A%221733993897950938750%22%2C%22placeholder_video_id%22%3A%227637507607523020040%22%7D&amp;ec_shared_reflux_scene=shop_tab_feed&amp;share_item_id=7637507607523020040&amp;source=h5_t</v>
      </c>
      <c r="R26" s="264">
        <f>IFERROR(__xludf.DUMMYFUNCTION("""COMPUTED_VALUE"""),0.0)</f>
        <v>0</v>
      </c>
      <c r="S26" s="265">
        <f>IFERROR(__xludf.DUMMYFUNCTION("""COMPUTED_VALUE"""),0.0)</f>
        <v>0</v>
      </c>
      <c r="T26" s="266">
        <f>IFERROR(__xludf.DUMMYFUNCTION("""COMPUTED_VALUE"""),0.0)</f>
        <v>0</v>
      </c>
      <c r="U26" s="266">
        <f>IFERROR(__xludf.DUMMYFUNCTION("""COMPUTED_VALUE"""),0.0)</f>
        <v>0</v>
      </c>
    </row>
    <row r="27">
      <c r="A27" s="255" t="str">
        <f>IFERROR(__xludf.DUMMYFUNCTION("""COMPUTED_VALUE"""),"NANO")</f>
        <v>NANO</v>
      </c>
      <c r="B27" s="23" t="str">
        <f>IFERROR(__xludf.DUMMYFUNCTION("""COMPUTED_VALUE"""),"sasaamuuuu")</f>
        <v>sasaamuuuu</v>
      </c>
      <c r="C27" s="281" t="str">
        <f>IFERROR(__xludf.DUMMYFUNCTION("""COMPUTED_VALUE"""),"https://www.tiktok.com/@sasaamuuuu")</f>
        <v>https://www.tiktok.com/@sasaamuuuu</v>
      </c>
      <c r="D27" s="25">
        <f>IFERROR(__xludf.DUMMYFUNCTION("""COMPUTED_VALUE"""),8.1939186948E10)</f>
        <v>81939186948</v>
      </c>
      <c r="E27" s="269">
        <f>IFERROR(__xludf.DUMMYFUNCTION("""COMPUTED_VALUE"""),0.0)</f>
        <v>0</v>
      </c>
      <c r="F27" s="25">
        <f>IFERROR(__xludf.DUMMYFUNCTION("""COMPUTED_VALUE"""),1.0)</f>
        <v>1</v>
      </c>
      <c r="G27" s="576">
        <f>IFERROR(__xludf.DUMMYFUNCTION("""COMPUTED_VALUE"""),5.091E8)</f>
        <v>509100000</v>
      </c>
      <c r="H27" s="259" t="str">
        <f>IFERROR(__xludf.DUMMYFUNCTION("""COMPUTED_VALUE"""),"Body Serum Retinol")</f>
        <v>Body Serum Retinol</v>
      </c>
      <c r="I27" s="260" t="str">
        <f>IFERROR(__xludf.DUMMYFUNCTION("""COMPUTED_VALUE"""),"Sampai")</f>
        <v>Sampai</v>
      </c>
      <c r="J27" s="261" t="str">
        <f>IFERROR(__xludf.DUMMYFUNCTION("""COMPUTED_VALUE""")," Concept 1")</f>
        <v> Concept 1</v>
      </c>
      <c r="K27" s="278" t="str">
        <f>IFERROR(__xludf.DUMMYFUNCTION("""COMPUTED_VALUE"""),"https://vt.tiktok.com/ZS9PJajWq/")</f>
        <v>https://vt.tiktok.com/ZS9PJajWq/</v>
      </c>
      <c r="L27" s="261" t="str">
        <f>IFERROR(__xludf.DUMMYFUNCTION("""COMPUTED_VALUE""")," Concept 1")</f>
        <v> Concept 1</v>
      </c>
      <c r="M27" s="278" t="str">
        <f>IFERROR(__xludf.DUMMYFUNCTION("""COMPUTED_VALUE"""),"https://vt.tiktok.com/ZSQJME7PY/")</f>
        <v>https://vt.tiktok.com/ZSQJME7PY/</v>
      </c>
      <c r="N27" s="261"/>
      <c r="O27" s="17"/>
      <c r="P27" s="261"/>
      <c r="Q27" s="17"/>
      <c r="R27" s="264">
        <f>IFERROR(__xludf.DUMMYFUNCTION("""COMPUTED_VALUE"""),0.0)</f>
        <v>0</v>
      </c>
      <c r="S27" s="265">
        <f>IFERROR(__xludf.DUMMYFUNCTION("""COMPUTED_VALUE"""),0.0)</f>
        <v>0</v>
      </c>
      <c r="T27" s="266">
        <f>IFERROR(__xludf.DUMMYFUNCTION("""COMPUTED_VALUE"""),0.0)</f>
        <v>0</v>
      </c>
      <c r="U27" s="266">
        <f>IFERROR(__xludf.DUMMYFUNCTION("""COMPUTED_VALUE"""),0.0)</f>
        <v>0</v>
      </c>
    </row>
    <row r="28">
      <c r="A28" s="255" t="str">
        <f>IFERROR(__xludf.DUMMYFUNCTION("""COMPUTED_VALUE"""),"MICRO")</f>
        <v>MICRO</v>
      </c>
      <c r="B28" s="23" t="str">
        <f>IFERROR(__xludf.DUMMYFUNCTION("""COMPUTED_VALUE"""),"thnlykai")</f>
        <v>thnlykai</v>
      </c>
      <c r="C28" s="281" t="str">
        <f>IFERROR(__xludf.DUMMYFUNCTION("""COMPUTED_VALUE"""),"https://www.tiktok.com/@thnlykai")</f>
        <v>https://www.tiktok.com/@thnlykai</v>
      </c>
      <c r="D28" s="25">
        <f>IFERROR(__xludf.DUMMYFUNCTION("""COMPUTED_VALUE"""),8.98613759E9)</f>
        <v>8986137590</v>
      </c>
      <c r="E28" s="258">
        <f>IFERROR(__xludf.DUMMYFUNCTION("""COMPUTED_VALUE"""),150000.0)</f>
        <v>150000</v>
      </c>
      <c r="F28" s="25">
        <f>IFERROR(__xludf.DUMMYFUNCTION("""COMPUTED_VALUE"""),2.0)</f>
        <v>2</v>
      </c>
      <c r="G28" s="576">
        <f>IFERROR(__xludf.DUMMYFUNCTION("""COMPUTED_VALUE"""),1300000.0)</f>
        <v>1300000</v>
      </c>
      <c r="H28" s="259" t="str">
        <f>IFERROR(__xludf.DUMMYFUNCTION("""COMPUTED_VALUE"""),"Body Mask")</f>
        <v>Body Mask</v>
      </c>
      <c r="I28" s="260" t="str">
        <f>IFERROR(__xludf.DUMMYFUNCTION("""COMPUTED_VALUE"""),"Sampai")</f>
        <v>Sampai</v>
      </c>
      <c r="J28" s="261" t="str">
        <f>IFERROR(__xludf.DUMMYFUNCTION("""COMPUTED_VALUE""")," Concept 1")</f>
        <v> Concept 1</v>
      </c>
      <c r="K28" s="278" t="str">
        <f>IFERROR(__xludf.DUMMYFUNCTION("""COMPUTED_VALUE"""),"https://vt.tiktok.com/ZSx1xdpyp/")</f>
        <v>https://vt.tiktok.com/ZSx1xdpyp/</v>
      </c>
      <c r="L28" s="261" t="str">
        <f>IFERROR(__xludf.DUMMYFUNCTION("""COMPUTED_VALUE""")," Concept 1")</f>
        <v> Concept 1</v>
      </c>
      <c r="M28" s="278" t="str">
        <f>IFERROR(__xludf.DUMMYFUNCTION("""COMPUTED_VALUE"""),"https://vt.tiktok.com/ZSxCFQmjr/")</f>
        <v>https://vt.tiktok.com/ZSxCFQmjr/</v>
      </c>
      <c r="N28" s="261"/>
      <c r="O28" s="17"/>
      <c r="P28" s="261"/>
      <c r="Q28" s="17"/>
      <c r="R28" s="264">
        <f>IFERROR(__xludf.DUMMYFUNCTION("""COMPUTED_VALUE"""),29000.0)</f>
        <v>29000</v>
      </c>
      <c r="S28" s="265">
        <f>IFERROR(__xludf.DUMMYFUNCTION("""COMPUTED_VALUE"""),0.0)</f>
        <v>0</v>
      </c>
      <c r="T28" s="266">
        <f>IFERROR(__xludf.DUMMYFUNCTION("""COMPUTED_VALUE"""),0.0)</f>
        <v>0</v>
      </c>
      <c r="U28" s="266">
        <f>IFERROR(__xludf.DUMMYFUNCTION("""COMPUTED_VALUE"""),0.0)</f>
        <v>0</v>
      </c>
    </row>
    <row r="29">
      <c r="A29" s="255" t="str">
        <f>IFERROR(__xludf.DUMMYFUNCTION("""COMPUTED_VALUE"""),"MICRO")</f>
        <v>MICRO</v>
      </c>
      <c r="B29" s="23" t="str">
        <f>IFERROR(__xludf.DUMMYFUNCTION("""COMPUTED_VALUE"""),"itscendi")</f>
        <v>itscendi</v>
      </c>
      <c r="C29" s="281" t="str">
        <f>IFERROR(__xludf.DUMMYFUNCTION("""COMPUTED_VALUE"""),"https://www.tiktok.com/@itscendi")</f>
        <v>https://www.tiktok.com/@itscendi</v>
      </c>
      <c r="D29" s="25">
        <f>IFERROR(__xludf.DUMMYFUNCTION("""COMPUTED_VALUE"""),8.7746514165E10)</f>
        <v>87746514165</v>
      </c>
      <c r="E29" s="258">
        <f>IFERROR(__xludf.DUMMYFUNCTION("""COMPUTED_VALUE"""),150000.0)</f>
        <v>150000</v>
      </c>
      <c r="F29" s="25">
        <f>IFERROR(__xludf.DUMMYFUNCTION("""COMPUTED_VALUE"""),1.0)</f>
        <v>1</v>
      </c>
      <c r="G29" s="576">
        <f>IFERROR(__xludf.DUMMYFUNCTION("""COMPUTED_VALUE"""),1.962E8)</f>
        <v>196200000</v>
      </c>
      <c r="H29" s="259" t="str">
        <f>IFERROR(__xludf.DUMMYFUNCTION("""COMPUTED_VALUE"""),"Body Serum Retinol")</f>
        <v>Body Serum Retinol</v>
      </c>
      <c r="I29" s="260" t="str">
        <f>IFERROR(__xludf.DUMMYFUNCTION("""COMPUTED_VALUE"""),"Sampai")</f>
        <v>Sampai</v>
      </c>
      <c r="J29" s="261" t="str">
        <f>IFERROR(__xludf.DUMMYFUNCTION("""COMPUTED_VALUE""")," Concept 1")</f>
        <v> Concept 1</v>
      </c>
      <c r="K29" s="278" t="str">
        <f>IFERROR(__xludf.DUMMYFUNCTION("""COMPUTED_VALUE"""),"https://www.tiktok.com/@itscendi/video/7639330499206401300?_r=1&amp;u_code=e239bdmi98lbec&amp;region=&amp;mid=7223826568140654594&amp;preview_pb=0&amp;sharer_language=&amp;_d=0&amp;ec_shared_reflux_dynamic_params=%7B%22placeholder_material_id%22%3A%227639330499206401300%22%2C%22plac"&amp;"eholder_origin_cover%22%3A%22https%253A%252F%252Fp16-common-sign.tiktokcdn.com%252Ftos-alisg-p-0037%252FoUgfDEFqqB8TWkBwADBCgSEBFBqQUQfRqE82E6~tplv-tiktokx-origin.jpeg%253Fdr%253D14572%2526refresh_token%253D923c4a3f%2526x-expires%253D1810717200%2526x-sign"&amp;"ature%253D%25252Fr%25252BTSf4kOl3UB%25252FY6QJ1FGn0DJsw%25253D%2526t%253D4d5b0474%2526ps%253D13740610%2526shp%253Dd05b14bd%2526shcp%253D34ff8df6%2526idc%253Dmy3%2526s%253DTIKTOK_AFFILIATE_VIRAL_VIDEO%22%2C%22placeholder_product_id%22%3A%221733994191119943"&amp;"294%22%2C%22placeholder_video_id%22%3A%227639330499206401300%22%7D&amp;ec_shared_reflux_scene=shop_tab_feed&amp;share_item_id=7639330499206401300&amp;source=h5_t")</f>
        <v>https://www.tiktok.com/@itscendi/video/7639330499206401300?_r=1&amp;u_code=e239bdmi98lbec&amp;region=&amp;mid=7223826568140654594&amp;preview_pb=0&amp;sharer_language=&amp;_d=0&amp;ec_shared_reflux_dynamic_params=%7B%22placeholder_material_id%22%3A%227639330499206401300%22%2C%22placeholder_origin_cover%22%3A%22https%253A%252F%252Fp16-common-sign.tiktokcdn.com%252Ftos-alisg-p-0037%252FoUgfDEFqqB8TWkBwADBCgSEBFBqQUQfRqE82E6~tplv-tiktokx-origin.jpeg%253Fdr%253D14572%2526refresh_token%253D923c4a3f%2526x-expires%253D1810717200%2526x-signature%253D%25252Fr%25252BTSf4kOl3UB%25252FY6QJ1FGn0DJsw%25253D%2526t%253D4d5b0474%2526ps%253D13740610%2526shp%253Dd05b14bd%2526shcp%253D34ff8df6%2526idc%253Dmy3%2526s%253DTIKTOK_AFFILIATE_VIRAL_VIDEO%22%2C%22placeholder_product_id%22%3A%221733994191119943294%22%2C%22placeholder_video_id%22%3A%227639330499206401300%22%7D&amp;ec_shared_reflux_scene=shop_tab_feed&amp;share_item_id=7639330499206401300&amp;source=h5_t</v>
      </c>
      <c r="L29" s="261"/>
      <c r="M29" s="262"/>
      <c r="N29" s="261"/>
      <c r="O29" s="17"/>
      <c r="P29" s="261"/>
      <c r="Q29" s="17"/>
      <c r="R29" s="264">
        <f>IFERROR(__xludf.DUMMYFUNCTION("""COMPUTED_VALUE"""),0.0)</f>
        <v>0</v>
      </c>
      <c r="S29" s="265">
        <f>IFERROR(__xludf.DUMMYFUNCTION("""COMPUTED_VALUE"""),0.0)</f>
        <v>0</v>
      </c>
      <c r="T29" s="266">
        <f>IFERROR(__xludf.DUMMYFUNCTION("""COMPUTED_VALUE"""),0.0)</f>
        <v>0</v>
      </c>
      <c r="U29" s="266">
        <f>IFERROR(__xludf.DUMMYFUNCTION("""COMPUTED_VALUE"""),0.0)</f>
        <v>0</v>
      </c>
    </row>
    <row r="30">
      <c r="A30" s="255" t="str">
        <f>IFERROR(__xludf.DUMMYFUNCTION("""COMPUTED_VALUE"""),"NANO")</f>
        <v>NANO</v>
      </c>
      <c r="B30" s="256" t="str">
        <f>IFERROR(__xludf.DUMMYFUNCTION("""COMPUTED_VALUE"""),"racuncantikmu31_")</f>
        <v>racuncantikmu31_</v>
      </c>
      <c r="C30" s="281" t="str">
        <f>IFERROR(__xludf.DUMMYFUNCTION("""COMPUTED_VALUE"""),"https://www.tiktok.com/@racuncantikmu31_")</f>
        <v>https://www.tiktok.com/@racuncantikmu31_</v>
      </c>
      <c r="D30" s="25">
        <f>IFERROR(__xludf.DUMMYFUNCTION("""COMPUTED_VALUE"""),8.5815511867E10)</f>
        <v>85815511867</v>
      </c>
      <c r="E30" s="258">
        <f>IFERROR(__xludf.DUMMYFUNCTION("""COMPUTED_VALUE"""),0.0)</f>
        <v>0</v>
      </c>
      <c r="F30" s="25">
        <f>IFERROR(__xludf.DUMMYFUNCTION("""COMPUTED_VALUE"""),2.0)</f>
        <v>2</v>
      </c>
      <c r="G30" s="576">
        <f>IFERROR(__xludf.DUMMYFUNCTION("""COMPUTED_VALUE"""),2.056E8)</f>
        <v>205600000</v>
      </c>
      <c r="H30" s="259" t="str">
        <f>IFERROR(__xludf.DUMMYFUNCTION("""COMPUTED_VALUE"""),"Body Mask")</f>
        <v>Body Mask</v>
      </c>
      <c r="I30" s="260" t="str">
        <f>IFERROR(__xludf.DUMMYFUNCTION("""COMPUTED_VALUE"""),"Sampai")</f>
        <v>Sampai</v>
      </c>
      <c r="J30" s="261" t="str">
        <f>IFERROR(__xludf.DUMMYFUNCTION("""COMPUTED_VALUE"""),"Concept 3")</f>
        <v>Concept 3</v>
      </c>
      <c r="K30" s="278" t="str">
        <f>IFERROR(__xludf.DUMMYFUNCTION("""COMPUTED_VALUE"""),"https://vt.tiktok.com/ZS9gjwPge/")</f>
        <v>https://vt.tiktok.com/ZS9gjwPge/</v>
      </c>
      <c r="L30" s="261" t="str">
        <f>IFERROR(__xludf.DUMMYFUNCTION("""COMPUTED_VALUE"""),"Concept 3")</f>
        <v>Concept 3</v>
      </c>
      <c r="M30" s="278" t="str">
        <f>IFERROR(__xludf.DUMMYFUNCTION("""COMPUTED_VALUE"""),"https://vt.tiktok.com/ZS9K39HUE/")</f>
        <v>https://vt.tiktok.com/ZS9K39HUE/</v>
      </c>
      <c r="N30" s="261"/>
      <c r="O30" s="17"/>
      <c r="P30" s="261"/>
      <c r="Q30" s="17"/>
      <c r="R30" s="264">
        <f>IFERROR(__xludf.DUMMYFUNCTION("""COMPUTED_VALUE"""),0.0)</f>
        <v>0</v>
      </c>
      <c r="S30" s="265">
        <f>IFERROR(__xludf.DUMMYFUNCTION("""COMPUTED_VALUE"""),0.0)</f>
        <v>0</v>
      </c>
      <c r="T30" s="266">
        <f>IFERROR(__xludf.DUMMYFUNCTION("""COMPUTED_VALUE"""),0.0)</f>
        <v>0</v>
      </c>
      <c r="U30" s="266">
        <f>IFERROR(__xludf.DUMMYFUNCTION("""COMPUTED_VALUE"""),0.0)</f>
        <v>0</v>
      </c>
    </row>
    <row r="31">
      <c r="A31" s="255" t="str">
        <f>IFERROR(__xludf.DUMMYFUNCTION("""COMPUTED_VALUE"""),"NANO")</f>
        <v>NANO</v>
      </c>
      <c r="B31" s="23" t="str">
        <f>IFERROR(__xludf.DUMMYFUNCTION("""COMPUTED_VALUE"""),"nadastylee")</f>
        <v>nadastylee</v>
      </c>
      <c r="C31" s="281" t="str">
        <f>IFERROR(__xludf.DUMMYFUNCTION("""COMPUTED_VALUE"""),"https://www.tiktok.com/@nadastylee")</f>
        <v>https://www.tiktok.com/@nadastylee</v>
      </c>
      <c r="D31" s="25">
        <f>IFERROR(__xludf.DUMMYFUNCTION("""COMPUTED_VALUE"""),8.3109464501E10)</f>
        <v>83109464501</v>
      </c>
      <c r="E31" s="269">
        <f>IFERROR(__xludf.DUMMYFUNCTION("""COMPUTED_VALUE"""),0.0)</f>
        <v>0</v>
      </c>
      <c r="F31" s="25">
        <f>IFERROR(__xludf.DUMMYFUNCTION("""COMPUTED_VALUE"""),2.0)</f>
        <v>2</v>
      </c>
      <c r="G31" s="576">
        <f>IFERROR(__xludf.DUMMYFUNCTION("""COMPUTED_VALUE"""),2.453E8)</f>
        <v>245300000</v>
      </c>
      <c r="H31" s="259" t="str">
        <f>IFERROR(__xludf.DUMMYFUNCTION("""COMPUTED_VALUE"""),"Body Serum Retinol")</f>
        <v>Body Serum Retinol</v>
      </c>
      <c r="I31" s="260" t="str">
        <f>IFERROR(__xludf.DUMMYFUNCTION("""COMPUTED_VALUE"""),"Sampai")</f>
        <v>Sampai</v>
      </c>
      <c r="J31" s="261" t="str">
        <f>IFERROR(__xludf.DUMMYFUNCTION("""COMPUTED_VALUE""")," Concept 1")</f>
        <v> Concept 1</v>
      </c>
      <c r="K31" s="278" t="str">
        <f>IFERROR(__xludf.DUMMYFUNCTION("""COMPUTED_VALUE"""),"https://vt.tiktok.com/ZS9BvTDtA/")</f>
        <v>https://vt.tiktok.com/ZS9BvTDtA/</v>
      </c>
      <c r="L31" s="261" t="str">
        <f>IFERROR(__xludf.DUMMYFUNCTION("""COMPUTED_VALUE""")," Concept 1")</f>
        <v> Concept 1</v>
      </c>
      <c r="M31" s="278" t="str">
        <f>IFERROR(__xludf.DUMMYFUNCTION("""COMPUTED_VALUE"""),"https://vt.tiktok.com/ZS9Bv4dmP/")</f>
        <v>https://vt.tiktok.com/ZS9Bv4dmP/</v>
      </c>
      <c r="N31" s="261" t="str">
        <f>IFERROR(__xludf.DUMMYFUNCTION("""COMPUTED_VALUE""")," Concept 1")</f>
        <v> Concept 1</v>
      </c>
      <c r="O31" s="279" t="str">
        <f>IFERROR(__xludf.DUMMYFUNCTION("""COMPUTED_VALUE"""),"https://vt.tiktok.com/ZS9BvGPrH/")</f>
        <v>https://vt.tiktok.com/ZS9BvGPrH/</v>
      </c>
      <c r="P31" s="261"/>
      <c r="Q31" s="17"/>
      <c r="R31" s="264">
        <f>IFERROR(__xludf.DUMMYFUNCTION("""COMPUTED_VALUE"""),0.0)</f>
        <v>0</v>
      </c>
      <c r="S31" s="265">
        <f>IFERROR(__xludf.DUMMYFUNCTION("""COMPUTED_VALUE"""),0.0)</f>
        <v>0</v>
      </c>
      <c r="T31" s="266">
        <f>IFERROR(__xludf.DUMMYFUNCTION("""COMPUTED_VALUE"""),0.0)</f>
        <v>0</v>
      </c>
      <c r="U31" s="266">
        <f>IFERROR(__xludf.DUMMYFUNCTION("""COMPUTED_VALUE"""),0.0)</f>
        <v>0</v>
      </c>
    </row>
    <row r="32">
      <c r="A32" s="255" t="str">
        <f>IFERROR(__xludf.DUMMYFUNCTION("""COMPUTED_VALUE"""),"NANO")</f>
        <v>NANO</v>
      </c>
      <c r="B32" s="23" t="str">
        <f>IFERROR(__xludf.DUMMYFUNCTION("""COMPUTED_VALUE"""),"lidiaas__")</f>
        <v>lidiaas__</v>
      </c>
      <c r="C32" s="281" t="str">
        <f>IFERROR(__xludf.DUMMYFUNCTION("""COMPUTED_VALUE"""),"https://www.tiktok.com/@lidiaas__")</f>
        <v>https://www.tiktok.com/@lidiaas__</v>
      </c>
      <c r="D32" s="25">
        <f>IFERROR(__xludf.DUMMYFUNCTION("""COMPUTED_VALUE"""),8.2124975272E10)</f>
        <v>82124975272</v>
      </c>
      <c r="E32" s="258">
        <f>IFERROR(__xludf.DUMMYFUNCTION("""COMPUTED_VALUE"""),0.0)</f>
        <v>0</v>
      </c>
      <c r="F32" s="25">
        <f>IFERROR(__xludf.DUMMYFUNCTION("""COMPUTED_VALUE"""),2.0)</f>
        <v>2</v>
      </c>
      <c r="G32" s="576">
        <f>IFERROR(__xludf.DUMMYFUNCTION("""COMPUTED_VALUE"""),1.71E8)</f>
        <v>171000000</v>
      </c>
      <c r="H32" s="259" t="str">
        <f>IFERROR(__xludf.DUMMYFUNCTION("""COMPUTED_VALUE"""),"Sleping Body Mask")</f>
        <v>Sleping Body Mask</v>
      </c>
      <c r="I32" s="260" t="str">
        <f>IFERROR(__xludf.DUMMYFUNCTION("""COMPUTED_VALUE"""),"Sampai")</f>
        <v>Sampai</v>
      </c>
      <c r="J32" s="261" t="str">
        <f>IFERROR(__xludf.DUMMYFUNCTION("""COMPUTED_VALUE"""),"Concept 3")</f>
        <v>Concept 3</v>
      </c>
      <c r="K32" s="280" t="str">
        <f>IFERROR(__xludf.DUMMYFUNCTION("""COMPUTED_VALUE"""),"https://www.tiktok.com/@lidiaas__/video/7643298866346855697?_r=1&amp;u_code=e4jfbhb9f0f22l&amp;region=&amp;mid=7485847719690242065&amp;preview_pb=0&amp;sharer_language=&amp;_d=0&amp;ec_shared_reflux_dynamic_params=%7B%22placeholder_material_id%22%3A%227643298866346855697%22%2C%22pla"&amp;"ceholder_origin_cover%22%3A%22https%253A%252F%252Fp16-common-sign.tiktokcdn.com%252Ftos-alisg-p-0037%252FoM0BDJi0IIEIvPEsGYaiBSBVAAizANhEkydAz~tplv-tiktokx-origin.jpeg%253Fdr%253D14572%2526refresh_token%253D2f259adf%2526x-expires%253D1811325600%2526x-sign"&amp;"ature%253DMilWptUIcLKctAdHg7jXxP4sHF0%25253D%2526t%253D4d5b0474%2526ps%253D13740610%2526shp%253Dd05b14bd%2526shcp%253D34ff8df6%2526idc%253Dmy2%2526s%253DTIKTOK_AFFILIATE_VIRAL_VIDEO%22%2C%22placeholder_product_id%22%3A%221730862762781279870%22%2C%22placeh"&amp;"older_video_id%22%3A%227643298866346855697%22%7D&amp;ec_shared_reflux_scene=shop_tab_feed&amp;share_item_id=7643298866346855697&amp;source=h5_t")</f>
        <v>https://www.tiktok.com/@lidiaas__/video/7643298866346855697?_r=1&amp;u_code=e4jfbhb9f0f22l&amp;region=&amp;mid=7485847719690242065&amp;preview_pb=0&amp;sharer_language=&amp;_d=0&amp;ec_shared_reflux_dynamic_params=%7B%22placeholder_material_id%22%3A%227643298866346855697%22%2C%22placeholder_origin_cover%22%3A%22https%253A%252F%252Fp16-common-sign.tiktokcdn.com%252Ftos-alisg-p-0037%252FoM0BDJi0IIEIvPEsGYaiBSBVAAizANhEkydAz~tplv-tiktokx-origin.jpeg%253Fdr%253D14572%2526refresh_token%253D2f259adf%2526x-expires%253D1811325600%2526x-signature%253DMilWptUIcLKctAdHg7jXxP4sHF0%25253D%2526t%253D4d5b0474%2526ps%253D13740610%2526shp%253Dd05b14bd%2526shcp%253D34ff8df6%2526idc%253Dmy2%2526s%253DTIKTOK_AFFILIATE_VIRAL_VIDEO%22%2C%22placeholder_product_id%22%3A%221730862762781279870%22%2C%22placeholder_video_id%22%3A%227643298866346855697%22%7D&amp;ec_shared_reflux_scene=shop_tab_feed&amp;share_item_id=7643298866346855697&amp;source=h5_t</v>
      </c>
      <c r="L32" s="261"/>
      <c r="M32" s="267"/>
      <c r="N32" s="261"/>
      <c r="O32" s="17"/>
      <c r="P32" s="261"/>
      <c r="Q32" s="17"/>
      <c r="R32" s="264">
        <f>IFERROR(__xludf.DUMMYFUNCTION("""COMPUTED_VALUE"""),0.0)</f>
        <v>0</v>
      </c>
      <c r="S32" s="265">
        <f>IFERROR(__xludf.DUMMYFUNCTION("""COMPUTED_VALUE"""),0.0)</f>
        <v>0</v>
      </c>
      <c r="T32" s="266">
        <f>IFERROR(__xludf.DUMMYFUNCTION("""COMPUTED_VALUE"""),0.0)</f>
        <v>0</v>
      </c>
      <c r="U32" s="266">
        <f>IFERROR(__xludf.DUMMYFUNCTION("""COMPUTED_VALUE"""),0.0)</f>
        <v>0</v>
      </c>
    </row>
    <row r="33">
      <c r="A33" s="255" t="str">
        <f>IFERROR(__xludf.DUMMYFUNCTION("""COMPUTED_VALUE"""),"MICRO")</f>
        <v>MICRO</v>
      </c>
      <c r="B33" s="23" t="str">
        <f>IFERROR(__xludf.DUMMYFUNCTION("""COMPUTED_VALUE"""),"ditapermata__")</f>
        <v>ditapermata__</v>
      </c>
      <c r="C33" s="281" t="str">
        <f>IFERROR(__xludf.DUMMYFUNCTION("""COMPUTED_VALUE"""),"https://www.tiktok.com/@ditapermata__")</f>
        <v>https://www.tiktok.com/@ditapermata__</v>
      </c>
      <c r="D33" s="25">
        <f>IFERROR(__xludf.DUMMYFUNCTION("""COMPUTED_VALUE"""),8.5159986962E10)</f>
        <v>85159986962</v>
      </c>
      <c r="E33" s="258">
        <f>IFERROR(__xludf.DUMMYFUNCTION("""COMPUTED_VALUE"""),0.0)</f>
        <v>0</v>
      </c>
      <c r="F33" s="25">
        <f>IFERROR(__xludf.DUMMYFUNCTION("""COMPUTED_VALUE"""),3.0)</f>
        <v>3</v>
      </c>
      <c r="G33" s="576">
        <f>IFERROR(__xludf.DUMMYFUNCTION("""COMPUTED_VALUE"""),7.13E7)</f>
        <v>71300000</v>
      </c>
      <c r="H33" s="259"/>
      <c r="I33" s="260" t="str">
        <f>IFERROR(__xludf.DUMMYFUNCTION("""COMPUTED_VALUE"""),"Kendala [FU!]")</f>
        <v>Kendala [FU!]</v>
      </c>
      <c r="J33" s="261"/>
      <c r="K33" s="262"/>
      <c r="L33" s="261"/>
      <c r="M33" s="262"/>
      <c r="N33" s="261"/>
      <c r="O33" s="17"/>
      <c r="P33" s="261"/>
      <c r="Q33" s="17"/>
      <c r="R33" s="264">
        <f>IFERROR(__xludf.DUMMYFUNCTION("""COMPUTED_VALUE"""),0.0)</f>
        <v>0</v>
      </c>
      <c r="S33" s="265">
        <f>IFERROR(__xludf.DUMMYFUNCTION("""COMPUTED_VALUE"""),0.0)</f>
        <v>0</v>
      </c>
      <c r="T33" s="266">
        <f>IFERROR(__xludf.DUMMYFUNCTION("""COMPUTED_VALUE"""),0.0)</f>
        <v>0</v>
      </c>
      <c r="U33" s="266">
        <f>IFERROR(__xludf.DUMMYFUNCTION("""COMPUTED_VALUE"""),0.0)</f>
        <v>0</v>
      </c>
    </row>
    <row r="34">
      <c r="A34" s="255" t="str">
        <f>IFERROR(__xludf.DUMMYFUNCTION("""COMPUTED_VALUE"""),"NANO")</f>
        <v>NANO</v>
      </c>
      <c r="B34" s="23" t="str">
        <f>IFERROR(__xludf.DUMMYFUNCTION("""COMPUTED_VALUE"""),"ifha_raisya")</f>
        <v>ifha_raisya</v>
      </c>
      <c r="C34" s="281" t="str">
        <f>IFERROR(__xludf.DUMMYFUNCTION("""COMPUTED_VALUE"""),"https://www.tiktok.com/@ifha_raisya")</f>
        <v>https://www.tiktok.com/@ifha_raisya</v>
      </c>
      <c r="D34" s="270">
        <f>IFERROR(__xludf.DUMMYFUNCTION("""COMPUTED_VALUE"""),8.2271053842E10)</f>
        <v>82271053842</v>
      </c>
      <c r="E34" s="271">
        <f>IFERROR(__xludf.DUMMYFUNCTION("""COMPUTED_VALUE"""),0.0)</f>
        <v>0</v>
      </c>
      <c r="F34" s="270">
        <f>IFERROR(__xludf.DUMMYFUNCTION("""COMPUTED_VALUE"""),3.0)</f>
        <v>3</v>
      </c>
      <c r="G34" s="577">
        <f>IFERROR(__xludf.DUMMYFUNCTION("""COMPUTED_VALUE"""),2.57E7)</f>
        <v>25700000</v>
      </c>
      <c r="H34" s="259" t="str">
        <f>IFERROR(__xludf.DUMMYFUNCTION("""COMPUTED_VALUE"""),"Body Mask")</f>
        <v>Body Mask</v>
      </c>
      <c r="I34" s="260" t="str">
        <f>IFERROR(__xludf.DUMMYFUNCTION("""COMPUTED_VALUE"""),"Done Req Sample")</f>
        <v>Done Req Sample</v>
      </c>
      <c r="J34" s="261"/>
      <c r="K34" s="262"/>
      <c r="L34" s="261"/>
      <c r="M34" s="262"/>
      <c r="N34" s="261"/>
      <c r="O34" s="17"/>
      <c r="P34" s="261"/>
      <c r="Q34" s="17"/>
      <c r="R34" s="266">
        <f>IFERROR(__xludf.DUMMYFUNCTION("""COMPUTED_VALUE"""),0.0)</f>
        <v>0</v>
      </c>
      <c r="S34" s="266">
        <f>IFERROR(__xludf.DUMMYFUNCTION("""COMPUTED_VALUE"""),0.0)</f>
        <v>0</v>
      </c>
      <c r="T34" s="266">
        <f>IFERROR(__xludf.DUMMYFUNCTION("""COMPUTED_VALUE"""),0.0)</f>
        <v>0</v>
      </c>
      <c r="U34" s="266">
        <f>IFERROR(__xludf.DUMMYFUNCTION("""COMPUTED_VALUE"""),0.0)</f>
        <v>0</v>
      </c>
    </row>
    <row r="35">
      <c r="A35" s="255" t="str">
        <f>IFERROR(__xludf.DUMMYFUNCTION("""COMPUTED_VALUE"""),"MICRO")</f>
        <v>MICRO</v>
      </c>
      <c r="B35" s="23" t="str">
        <f>IFERROR(__xludf.DUMMYFUNCTION("""COMPUTED_VALUE"""),"snlaily")</f>
        <v>snlaily</v>
      </c>
      <c r="C35" s="281" t="str">
        <f>IFERROR(__xludf.DUMMYFUNCTION("""COMPUTED_VALUE"""),"https://www.tiktok.com/@snlaily")</f>
        <v>https://www.tiktok.com/@snlaily</v>
      </c>
      <c r="D35" s="270">
        <f>IFERROR(__xludf.DUMMYFUNCTION("""COMPUTED_VALUE"""),8.2264083489E10)</f>
        <v>82264083489</v>
      </c>
      <c r="E35" s="271">
        <f>IFERROR(__xludf.DUMMYFUNCTION("""COMPUTED_VALUE"""),0.0)</f>
        <v>0</v>
      </c>
      <c r="F35" s="270">
        <f>IFERROR(__xludf.DUMMYFUNCTION("""COMPUTED_VALUE"""),3.0)</f>
        <v>3</v>
      </c>
      <c r="G35" s="577">
        <f>IFERROR(__xludf.DUMMYFUNCTION("""COMPUTED_VALUE"""),6.004E7)</f>
        <v>60040000</v>
      </c>
      <c r="H35" s="259" t="str">
        <f>IFERROR(__xludf.DUMMYFUNCTION("""COMPUTED_VALUE"""),"Body Serum Retinol")</f>
        <v>Body Serum Retinol</v>
      </c>
      <c r="I35" s="260" t="str">
        <f>IFERROR(__xludf.DUMMYFUNCTION("""COMPUTED_VALUE"""),"Sampai")</f>
        <v>Sampai</v>
      </c>
      <c r="J35" s="261" t="str">
        <f>IFERROR(__xludf.DUMMYFUNCTION("""COMPUTED_VALUE""")," Concept 1")</f>
        <v> Concept 1</v>
      </c>
      <c r="K35" s="278" t="str">
        <f>IFERROR(__xludf.DUMMYFUNCTION("""COMPUTED_VALUE"""),"https://vt.tiktok.com/ZS9Qr4BwM/")</f>
        <v>https://vt.tiktok.com/ZS9Qr4BwM/</v>
      </c>
      <c r="L35" s="261" t="str">
        <f>IFERROR(__xludf.DUMMYFUNCTION("""COMPUTED_VALUE""")," Concept 1")</f>
        <v> Concept 1</v>
      </c>
      <c r="M35" s="278" t="str">
        <f>IFERROR(__xludf.DUMMYFUNCTION("""COMPUTED_VALUE"""),"https://vt.tiktok.com/ZS9Qr7hW6/")</f>
        <v>https://vt.tiktok.com/ZS9Qr7hW6/</v>
      </c>
      <c r="N35" s="261" t="str">
        <f>IFERROR(__xludf.DUMMYFUNCTION("""COMPUTED_VALUE""")," Concept 1")</f>
        <v> Concept 1</v>
      </c>
      <c r="O35" s="279" t="str">
        <f>IFERROR(__xludf.DUMMYFUNCTION("""COMPUTED_VALUE"""),"https://vt.tiktok.com/ZS9QrqAGV/")</f>
        <v>https://vt.tiktok.com/ZS9QrqAGV/</v>
      </c>
      <c r="P35" s="261" t="str">
        <f>IFERROR(__xludf.DUMMYFUNCTION("""COMPUTED_VALUE""")," Concept 1")</f>
        <v> Concept 1</v>
      </c>
      <c r="Q35" s="279" t="str">
        <f>IFERROR(__xludf.DUMMYFUNCTION("""COMPUTED_VALUE"""),"https://www.tiktok.com/@snlaily/video/7635627155304516885?_r=1&amp;u_code=de5cg8iead66ac&amp;region=&amp;mid=7437416641845119761&amp;preview_pb=0&amp;sharer_language=&amp;_d=0&amp;ec_shared_reflux_dynamic_params=%7B%22placeholder_material_id%22%3A%227635627155304516885%22%2C%22place"&amp;"holder_origin_cover%22%3A%22https%253A%252F%252Fp16-common-sign.tiktokcdn.com%252Ftos-alisg-p-0037%252FoovjGIAeQFTD8qIPQCubN4Lwh7IpZDem8fADTV~tplv-tiktokx-origin.jpeg%253Fdr%253D14572%2526refresh_token%253Df2bdfeaa%2526x-expires%253D1809684000%2526x-signa"&amp;"ture%253DoICw9ySIfsMn7o%25252BFXJYi9uJbc%25252B4%25253D%2526t%253D4d5b0474%2526ps%253D13740610%2526shp%253Dd05b14bd%2526shcp%253D34ff8df6%2526idc%253Dmy%2526s%253DTIKTOK_AFFILIATE_VIRAL_VIDEO%22%2C%22placeholder_product_id%22%3A%221733993897950938750%22%2"&amp;"C%22placeholder_video_id%22%3A%227635627155304516885%22%7D&amp;ec_shared_reflux_scene=shop_tab_feed&amp;share_item_id=7635627155304516885&amp;source=h5_t")</f>
        <v>https://www.tiktok.com/@snlaily/video/7635627155304516885?_r=1&amp;u_code=de5cg8iead66ac&amp;region=&amp;mid=7437416641845119761&amp;preview_pb=0&amp;sharer_language=&amp;_d=0&amp;ec_shared_reflux_dynamic_params=%7B%22placeholder_material_id%22%3A%227635627155304516885%22%2C%22placeholder_origin_cover%22%3A%22https%253A%252F%252Fp16-common-sign.tiktokcdn.com%252Ftos-alisg-p-0037%252FoovjGIAeQFTD8qIPQCubN4Lwh7IpZDem8fADTV~tplv-tiktokx-origin.jpeg%253Fdr%253D14572%2526refresh_token%253Df2bdfeaa%2526x-expires%253D1809684000%2526x-signature%253DoICw9ySIfsMn7o%25252BFXJYi9uJbc%25252B4%25253D%2526t%253D4d5b0474%2526ps%253D13740610%2526shp%253Dd05b14bd%2526shcp%253D34ff8df6%2526idc%253Dmy%2526s%253DTIKTOK_AFFILIATE_VIRAL_VIDEO%22%2C%22placeholder_product_id%22%3A%221733993897950938750%22%2C%22placeholder_video_id%22%3A%227635627155304516885%22%7D&amp;ec_shared_reflux_scene=shop_tab_feed&amp;share_item_id=7635627155304516885&amp;source=h5_t</v>
      </c>
      <c r="R35" s="266">
        <f>IFERROR(__xludf.DUMMYFUNCTION("""COMPUTED_VALUE"""),0.0)</f>
        <v>0</v>
      </c>
      <c r="S35" s="266">
        <f>IFERROR(__xludf.DUMMYFUNCTION("""COMPUTED_VALUE"""),0.0)</f>
        <v>0</v>
      </c>
      <c r="T35" s="266">
        <f>IFERROR(__xludf.DUMMYFUNCTION("""COMPUTED_VALUE"""),0.0)</f>
        <v>0</v>
      </c>
      <c r="U35" s="266">
        <f>IFERROR(__xludf.DUMMYFUNCTION("""COMPUTED_VALUE"""),0.0)</f>
        <v>0</v>
      </c>
    </row>
    <row r="36">
      <c r="A36" s="255" t="str">
        <f>IFERROR(__xludf.DUMMYFUNCTION("""COMPUTED_VALUE"""),"MACRO")</f>
        <v>MACRO</v>
      </c>
      <c r="B36" s="23" t="str">
        <f>IFERROR(__xludf.DUMMYFUNCTION("""COMPUTED_VALUE"""),"putri.antris")</f>
        <v>putri.antris</v>
      </c>
      <c r="C36" s="281" t="str">
        <f>IFERROR(__xludf.DUMMYFUNCTION("""COMPUTED_VALUE"""),"https://www.tiktok.com/@putri.antris")</f>
        <v>https://www.tiktok.com/@putri.antris</v>
      </c>
      <c r="D36" s="270">
        <f>IFERROR(__xludf.DUMMYFUNCTION("""COMPUTED_VALUE"""),8.978216006E9)</f>
        <v>8978216006</v>
      </c>
      <c r="E36" s="271">
        <f>IFERROR(__xludf.DUMMYFUNCTION("""COMPUTED_VALUE"""),0.0)</f>
        <v>0</v>
      </c>
      <c r="F36" s="270">
        <f>IFERROR(__xludf.DUMMYFUNCTION("""COMPUTED_VALUE"""),2.0)</f>
        <v>2</v>
      </c>
      <c r="G36" s="577">
        <f>IFERROR(__xludf.DUMMYFUNCTION("""COMPUTED_VALUE"""),3.182E8)</f>
        <v>318200000</v>
      </c>
      <c r="H36" s="259" t="str">
        <f>IFERROR(__xludf.DUMMYFUNCTION("""COMPUTED_VALUE"""),"Body Mask")</f>
        <v>Body Mask</v>
      </c>
      <c r="I36" s="260" t="str">
        <f>IFERROR(__xludf.DUMMYFUNCTION("""COMPUTED_VALUE"""),"Sampai")</f>
        <v>Sampai</v>
      </c>
      <c r="J36" s="261" t="str">
        <f>IFERROR(__xludf.DUMMYFUNCTION("""COMPUTED_VALUE"""),"Concept 2")</f>
        <v>Concept 2</v>
      </c>
      <c r="K36" s="278" t="str">
        <f>IFERROR(__xludf.DUMMYFUNCTION("""COMPUTED_VALUE"""),"https://vt.tiktok.com/ZSxJnQX28/")</f>
        <v>https://vt.tiktok.com/ZSxJnQX28/</v>
      </c>
      <c r="L36" s="261" t="str">
        <f>IFERROR(__xludf.DUMMYFUNCTION("""COMPUTED_VALUE"""),"Concept 2")</f>
        <v>Concept 2</v>
      </c>
      <c r="M36" s="278" t="str">
        <f>IFERROR(__xludf.DUMMYFUNCTION("""COMPUTED_VALUE"""),"https://vt.tiktok.com/ZSxJWYv3n/")</f>
        <v>https://vt.tiktok.com/ZSxJWYv3n/</v>
      </c>
      <c r="N36" s="261" t="str">
        <f>IFERROR(__xludf.DUMMYFUNCTION("""COMPUTED_VALUE"""),"Concept 2")</f>
        <v>Concept 2</v>
      </c>
      <c r="O36" s="279" t="str">
        <f>IFERROR(__xludf.DUMMYFUNCTION("""COMPUTED_VALUE"""),"https://vt.tiktok.com/ZSxJW1m3v/")</f>
        <v>https://vt.tiktok.com/ZSxJW1m3v/</v>
      </c>
      <c r="P36" s="261"/>
      <c r="Q36" s="17"/>
      <c r="R36" s="266">
        <f>IFERROR(__xludf.DUMMYFUNCTION("""COMPUTED_VALUE"""),0.0)</f>
        <v>0</v>
      </c>
      <c r="S36" s="266">
        <f>IFERROR(__xludf.DUMMYFUNCTION("""COMPUTED_VALUE"""),0.0)</f>
        <v>0</v>
      </c>
      <c r="T36" s="266">
        <f>IFERROR(__xludf.DUMMYFUNCTION("""COMPUTED_VALUE"""),0.0)</f>
        <v>0</v>
      </c>
      <c r="U36" s="266">
        <f>IFERROR(__xludf.DUMMYFUNCTION("""COMPUTED_VALUE"""),0.0)</f>
        <v>0</v>
      </c>
    </row>
    <row r="37">
      <c r="A37" s="255" t="str">
        <f>IFERROR(__xludf.DUMMYFUNCTION("""COMPUTED_VALUE"""),"NANO")</f>
        <v>NANO</v>
      </c>
      <c r="B37" s="23" t="str">
        <f>IFERROR(__xludf.DUMMYFUNCTION("""COMPUTED_VALUE"""),"zoshiday")</f>
        <v>zoshiday</v>
      </c>
      <c r="C37" s="281" t="str">
        <f>IFERROR(__xludf.DUMMYFUNCTION("""COMPUTED_VALUE"""),"https://www.tiktok.com/@zoshiday")</f>
        <v>https://www.tiktok.com/@zoshiday</v>
      </c>
      <c r="D37" s="270">
        <f>IFERROR(__xludf.DUMMYFUNCTION("""COMPUTED_VALUE"""),8.9602742934E10)</f>
        <v>89602742934</v>
      </c>
      <c r="E37" s="271">
        <f>IFERROR(__xludf.DUMMYFUNCTION("""COMPUTED_VALUE"""),0.0)</f>
        <v>0</v>
      </c>
      <c r="F37" s="270">
        <f>IFERROR(__xludf.DUMMYFUNCTION("""COMPUTED_VALUE"""),1.0)</f>
        <v>1</v>
      </c>
      <c r="G37" s="577">
        <f>IFERROR(__xludf.DUMMYFUNCTION("""COMPUTED_VALUE"""),9200000.0)</f>
        <v>9200000</v>
      </c>
      <c r="H37" s="259" t="str">
        <f>IFERROR(__xludf.DUMMYFUNCTION("""COMPUTED_VALUE"""),"Body Sunscreen")</f>
        <v>Body Sunscreen</v>
      </c>
      <c r="I37" s="260" t="str">
        <f>IFERROR(__xludf.DUMMYFUNCTION("""COMPUTED_VALUE"""),"Sampai")</f>
        <v>Sampai</v>
      </c>
      <c r="J37" s="261" t="str">
        <f>IFERROR(__xludf.DUMMYFUNCTION("""COMPUTED_VALUE"""),"Concept 2")</f>
        <v>Concept 2</v>
      </c>
      <c r="K37" s="278" t="str">
        <f>IFERROR(__xludf.DUMMYFUNCTION("""COMPUTED_VALUE""")," https://vt.tiktok.com/ZS93dAsBJ/")</f>
        <v> https://vt.tiktok.com/ZS93dAsBJ/</v>
      </c>
      <c r="L37" s="261" t="str">
        <f>IFERROR(__xludf.DUMMYFUNCTION("""COMPUTED_VALUE"""),"Concept 2")</f>
        <v>Concept 2</v>
      </c>
      <c r="M37" s="262"/>
      <c r="N37" s="261"/>
      <c r="O37" s="17"/>
      <c r="P37" s="261"/>
      <c r="Q37" s="17"/>
      <c r="R37" s="266"/>
      <c r="S37" s="266"/>
      <c r="T37" s="266"/>
      <c r="U37" s="266"/>
    </row>
    <row r="38">
      <c r="A38" s="255" t="str">
        <f>IFERROR(__xludf.DUMMYFUNCTION("""COMPUTED_VALUE"""),"NANO")</f>
        <v>NANO</v>
      </c>
      <c r="B38" s="23" t="str">
        <f>IFERROR(__xludf.DUMMYFUNCTION("""COMPUTED_VALUE"""),"Serbaserbishp ")</f>
        <v>Serbaserbishp </v>
      </c>
      <c r="C38" s="281" t="str">
        <f>IFERROR(__xludf.DUMMYFUNCTION("""COMPUTED_VALUE"""),"https://www.tiktok.com/@Serbaserbishp ")</f>
        <v>https://www.tiktok.com/@Serbaserbishp </v>
      </c>
      <c r="D38" s="270">
        <f>IFERROR(__xludf.DUMMYFUNCTION("""COMPUTED_VALUE"""),8.1285447558E10)</f>
        <v>81285447558</v>
      </c>
      <c r="E38" s="271">
        <f>IFERROR(__xludf.DUMMYFUNCTION("""COMPUTED_VALUE"""),0.0)</f>
        <v>0</v>
      </c>
      <c r="F38" s="270">
        <f>IFERROR(__xludf.DUMMYFUNCTION("""COMPUTED_VALUE"""),2.0)</f>
        <v>2</v>
      </c>
      <c r="G38" s="577">
        <f>IFERROR(__xludf.DUMMYFUNCTION("""COMPUTED_VALUE"""),2.571E8)</f>
        <v>257100000</v>
      </c>
      <c r="H38" s="259" t="str">
        <f>IFERROR(__xludf.DUMMYFUNCTION("""COMPUTED_VALUE"""),"Body Serum Whitening")</f>
        <v>Body Serum Whitening</v>
      </c>
      <c r="I38" s="260" t="str">
        <f>IFERROR(__xludf.DUMMYFUNCTION("""COMPUTED_VALUE"""),"Sampai")</f>
        <v>Sampai</v>
      </c>
      <c r="J38" s="261" t="str">
        <f>IFERROR(__xludf.DUMMYFUNCTION("""COMPUTED_VALUE"""),"Concept 2")</f>
        <v>Concept 2</v>
      </c>
      <c r="K38" s="278" t="str">
        <f>IFERROR(__xludf.DUMMYFUNCTION("""COMPUTED_VALUE"""),"https://vt.tiktok.com/ZSxjeDs4M/")</f>
        <v>https://vt.tiktok.com/ZSxjeDs4M/</v>
      </c>
      <c r="L38" s="261" t="str">
        <f>IFERROR(__xludf.DUMMYFUNCTION("""COMPUTED_VALUE"""),"Concept 2")</f>
        <v>Concept 2</v>
      </c>
      <c r="M38" s="278" t="str">
        <f>IFERROR(__xludf.DUMMYFUNCTION("""COMPUTED_VALUE"""),"https://vt.tiktok.com/ZSxjeUdTg/")</f>
        <v>https://vt.tiktok.com/ZSxjeUdTg/</v>
      </c>
      <c r="N38" s="261" t="str">
        <f>IFERROR(__xludf.DUMMYFUNCTION("""COMPUTED_VALUE"""),"Concept 3")</f>
        <v>Concept 3</v>
      </c>
      <c r="O38" s="279" t="str">
        <f>IFERROR(__xludf.DUMMYFUNCTION("""COMPUTED_VALUE"""),"https://vt.tiktok.com/ZSxjeP7r4/")</f>
        <v>https://vt.tiktok.com/ZSxjeP7r4/</v>
      </c>
      <c r="P38" s="261" t="str">
        <f>IFERROR(__xludf.DUMMYFUNCTION("""COMPUTED_VALUE"""),"Concept 3")</f>
        <v>Concept 3</v>
      </c>
      <c r="Q38" s="279" t="str">
        <f>IFERROR(__xludf.DUMMYFUNCTION("""COMPUTED_VALUE"""),"https://vt.tiktok.com/ZSxjBfthH/")</f>
        <v>https://vt.tiktok.com/ZSxjBfthH/</v>
      </c>
      <c r="R38" s="266">
        <f>IFERROR(__xludf.DUMMYFUNCTION("""COMPUTED_VALUE"""),0.0)</f>
        <v>0</v>
      </c>
      <c r="S38" s="266">
        <f>IFERROR(__xludf.DUMMYFUNCTION("""COMPUTED_VALUE"""),0.0)</f>
        <v>0</v>
      </c>
      <c r="T38" s="266">
        <f>IFERROR(__xludf.DUMMYFUNCTION("""COMPUTED_VALUE"""),0.0)</f>
        <v>0</v>
      </c>
      <c r="U38" s="266">
        <f>IFERROR(__xludf.DUMMYFUNCTION("""COMPUTED_VALUE"""),0.0)</f>
        <v>0</v>
      </c>
    </row>
    <row r="39">
      <c r="A39" s="255" t="str">
        <f>IFERROR(__xludf.DUMMYFUNCTION("""COMPUTED_VALUE"""),"NANO")</f>
        <v>NANO</v>
      </c>
      <c r="B39" s="23" t="str">
        <f>IFERROR(__xludf.DUMMYFUNCTION("""COMPUTED_VALUE"""),"itsmetresna2")</f>
        <v>itsmetresna2</v>
      </c>
      <c r="C39" s="281" t="str">
        <f>IFERROR(__xludf.DUMMYFUNCTION("""COMPUTED_VALUE"""),"https://www.tiktok.com/@itsmetresna2")</f>
        <v>https://www.tiktok.com/@itsmetresna2</v>
      </c>
      <c r="D39" s="270">
        <f>IFERROR(__xludf.DUMMYFUNCTION("""COMPUTED_VALUE"""),8.211891181E10)</f>
        <v>82118911810</v>
      </c>
      <c r="E39" s="271">
        <f>IFERROR(__xludf.DUMMYFUNCTION("""COMPUTED_VALUE"""),0.0)</f>
        <v>0</v>
      </c>
      <c r="F39" s="270">
        <f>IFERROR(__xludf.DUMMYFUNCTION("""COMPUTED_VALUE"""),2.0)</f>
        <v>2</v>
      </c>
      <c r="G39" s="577">
        <f>IFERROR(__xludf.DUMMYFUNCTION("""COMPUTED_VALUE"""),3.8E7)</f>
        <v>38000000</v>
      </c>
      <c r="H39" s="259" t="str">
        <f>IFERROR(__xludf.DUMMYFUNCTION("""COMPUTED_VALUE"""),"Body Serum Vit C")</f>
        <v>Body Serum Vit C</v>
      </c>
      <c r="I39" s="260" t="str">
        <f>IFERROR(__xludf.DUMMYFUNCTION("""COMPUTED_VALUE"""),"Sampai")</f>
        <v>Sampai</v>
      </c>
      <c r="J39" s="261" t="str">
        <f>IFERROR(__xludf.DUMMYFUNCTION("""COMPUTED_VALUE"""),"Concept 2")</f>
        <v>Concept 2</v>
      </c>
      <c r="K39" s="278" t="str">
        <f>IFERROR(__xludf.DUMMYFUNCTION("""COMPUTED_VALUE"""),"https://vt.tiktok.com/ZS9GY2RXA/")</f>
        <v>https://vt.tiktok.com/ZS9GY2RXA/</v>
      </c>
      <c r="L39" s="261" t="str">
        <f>IFERROR(__xludf.DUMMYFUNCTION("""COMPUTED_VALUE"""),"Concept 2")</f>
        <v>Concept 2</v>
      </c>
      <c r="M39" s="278" t="str">
        <f>IFERROR(__xludf.DUMMYFUNCTION("""COMPUTED_VALUE"""),"https://vt.tiktok.com/ZSxjewAug/")</f>
        <v>https://vt.tiktok.com/ZSxjewAug/</v>
      </c>
      <c r="N39" s="261"/>
      <c r="O39" s="17"/>
      <c r="P39" s="261"/>
      <c r="Q39" s="17"/>
      <c r="R39" s="266">
        <f>IFERROR(__xludf.DUMMYFUNCTION("""COMPUTED_VALUE"""),0.0)</f>
        <v>0</v>
      </c>
      <c r="S39" s="266">
        <f>IFERROR(__xludf.DUMMYFUNCTION("""COMPUTED_VALUE"""),0.0)</f>
        <v>0</v>
      </c>
      <c r="T39" s="266">
        <f>IFERROR(__xludf.DUMMYFUNCTION("""COMPUTED_VALUE"""),0.0)</f>
        <v>0</v>
      </c>
      <c r="U39" s="266">
        <f>IFERROR(__xludf.DUMMYFUNCTION("""COMPUTED_VALUE"""),0.0)</f>
        <v>0</v>
      </c>
    </row>
    <row r="40">
      <c r="A40" s="255" t="str">
        <f>IFERROR(__xludf.DUMMYFUNCTION("""COMPUTED_VALUE"""),"NANO")</f>
        <v>NANO</v>
      </c>
      <c r="B40" s="23" t="str">
        <f>IFERROR(__xludf.DUMMYFUNCTION("""COMPUTED_VALUE"""),"pipittindah_")</f>
        <v>pipittindah_</v>
      </c>
      <c r="C40" s="281" t="str">
        <f>IFERROR(__xludf.DUMMYFUNCTION("""COMPUTED_VALUE"""),"https://www.tiktok.com/@pipittindah_")</f>
        <v>https://www.tiktok.com/@pipittindah_</v>
      </c>
      <c r="D40" s="270">
        <f>IFERROR(__xludf.DUMMYFUNCTION("""COMPUTED_VALUE"""),8.585255342E10)</f>
        <v>85852553420</v>
      </c>
      <c r="E40" s="271">
        <f>IFERROR(__xludf.DUMMYFUNCTION("""COMPUTED_VALUE"""),0.0)</f>
        <v>0</v>
      </c>
      <c r="F40" s="270">
        <f>IFERROR(__xludf.DUMMYFUNCTION("""COMPUTED_VALUE"""),1.0)</f>
        <v>1</v>
      </c>
      <c r="G40" s="577">
        <f>IFERROR(__xludf.DUMMYFUNCTION("""COMPUTED_VALUE"""),2.766E8)</f>
        <v>276600000</v>
      </c>
      <c r="H40" s="259" t="str">
        <f>IFERROR(__xludf.DUMMYFUNCTION("""COMPUTED_VALUE"""),"Body Serum Retinol")</f>
        <v>Body Serum Retinol</v>
      </c>
      <c r="I40" s="260" t="str">
        <f>IFERROR(__xludf.DUMMYFUNCTION("""COMPUTED_VALUE"""),"Sampai")</f>
        <v>Sampai</v>
      </c>
      <c r="J40" s="261" t="str">
        <f>IFERROR(__xludf.DUMMYFUNCTION("""COMPUTED_VALUE""")," Concept 1")</f>
        <v> Concept 1</v>
      </c>
      <c r="K40" s="278" t="str">
        <f>IFERROR(__xludf.DUMMYFUNCTION("""COMPUTED_VALUE"""),"https://vt.tiktok.com/ZS9pnxter/")</f>
        <v>https://vt.tiktok.com/ZS9pnxter/</v>
      </c>
      <c r="L40" s="261"/>
      <c r="M40" s="262"/>
      <c r="N40" s="261"/>
      <c r="O40" s="17"/>
      <c r="P40" s="261"/>
      <c r="Q40" s="17"/>
      <c r="R40" s="266">
        <f>IFERROR(__xludf.DUMMYFUNCTION("""COMPUTED_VALUE"""),137052.0)</f>
        <v>137052</v>
      </c>
      <c r="S40" s="266">
        <f>IFERROR(__xludf.DUMMYFUNCTION("""COMPUTED_VALUE"""),0.0)</f>
        <v>0</v>
      </c>
      <c r="T40" s="266">
        <f>IFERROR(__xludf.DUMMYFUNCTION("""COMPUTED_VALUE"""),1365310.29)</f>
        <v>1365310.29</v>
      </c>
      <c r="U40" s="266">
        <f>IFERROR(__xludf.DUMMYFUNCTION("""COMPUTED_VALUE"""),0.0)</f>
        <v>0</v>
      </c>
    </row>
    <row r="41">
      <c r="A41" s="255" t="str">
        <f>IFERROR(__xludf.DUMMYFUNCTION("""COMPUTED_VALUE"""),"MICRO")</f>
        <v>MICRO</v>
      </c>
      <c r="B41" s="23" t="str">
        <f>IFERROR(__xludf.DUMMYFUNCTION("""COMPUTED_VALUE"""),"euphoriatz")</f>
        <v>euphoriatz</v>
      </c>
      <c r="C41" s="281" t="str">
        <f>IFERROR(__xludf.DUMMYFUNCTION("""COMPUTED_VALUE"""),"https://www.tiktok.com/@euphoriatz")</f>
        <v>https://www.tiktok.com/@euphoriatz</v>
      </c>
      <c r="D41" s="270">
        <f>IFERROR(__xludf.DUMMYFUNCTION("""COMPUTED_VALUE"""),8.21730148E10)</f>
        <v>82173014800</v>
      </c>
      <c r="E41" s="271">
        <f>IFERROR(__xludf.DUMMYFUNCTION("""COMPUTED_VALUE"""),750000.0)</f>
        <v>750000</v>
      </c>
      <c r="F41" s="270">
        <f>IFERROR(__xludf.DUMMYFUNCTION("""COMPUTED_VALUE"""),1.0)</f>
        <v>1</v>
      </c>
      <c r="G41" s="577">
        <f>IFERROR(__xludf.DUMMYFUNCTION("""COMPUTED_VALUE"""),5.088E8)</f>
        <v>508800000</v>
      </c>
      <c r="H41" s="259" t="str">
        <f>IFERROR(__xludf.DUMMYFUNCTION("""COMPUTED_VALUE"""),"Body Serum Retinol")</f>
        <v>Body Serum Retinol</v>
      </c>
      <c r="I41" s="260" t="str">
        <f>IFERROR(__xludf.DUMMYFUNCTION("""COMPUTED_VALUE"""),"Sampai")</f>
        <v>Sampai</v>
      </c>
      <c r="J41" s="261" t="str">
        <f>IFERROR(__xludf.DUMMYFUNCTION("""COMPUTED_VALUE""")," Concept 1")</f>
        <v> Concept 1</v>
      </c>
      <c r="K41" s="278" t="str">
        <f>IFERROR(__xludf.DUMMYFUNCTION("""COMPUTED_VALUE"""),"https://vt.tiktok.com/ZS94dJUoc/")</f>
        <v>https://vt.tiktok.com/ZS94dJUoc/</v>
      </c>
      <c r="L41" s="261"/>
      <c r="M41" s="262"/>
      <c r="N41" s="261"/>
      <c r="O41" s="17"/>
      <c r="P41" s="261"/>
      <c r="Q41" s="17"/>
      <c r="R41" s="266">
        <f>IFERROR(__xludf.DUMMYFUNCTION("""COMPUTED_VALUE"""),0.0)</f>
        <v>0</v>
      </c>
      <c r="S41" s="266">
        <f>IFERROR(__xludf.DUMMYFUNCTION("""COMPUTED_VALUE"""),0.0)</f>
        <v>0</v>
      </c>
      <c r="T41" s="266">
        <f>IFERROR(__xludf.DUMMYFUNCTION("""COMPUTED_VALUE"""),820675.41)</f>
        <v>820675.41</v>
      </c>
      <c r="U41" s="266">
        <f>IFERROR(__xludf.DUMMYFUNCTION("""COMPUTED_VALUE"""),0.0)</f>
        <v>0</v>
      </c>
    </row>
    <row r="42">
      <c r="A42" s="255" t="str">
        <f>IFERROR(__xludf.DUMMYFUNCTION("""COMPUTED_VALUE"""),"NANO")</f>
        <v>NANO</v>
      </c>
      <c r="B42" s="23" t="str">
        <f>IFERROR(__xludf.DUMMYFUNCTION("""COMPUTED_VALUE"""),"wulanmaulida056 ")</f>
        <v>wulanmaulida056 </v>
      </c>
      <c r="C42" s="281" t="str">
        <f>IFERROR(__xludf.DUMMYFUNCTION("""COMPUTED_VALUE"""),"https://www.tiktok.com/@wulanmaulida056 ")</f>
        <v>https://www.tiktok.com/@wulanmaulida056 </v>
      </c>
      <c r="D42" s="270">
        <f>IFERROR(__xludf.DUMMYFUNCTION("""COMPUTED_VALUE"""),8.5640025088E10)</f>
        <v>85640025088</v>
      </c>
      <c r="E42" s="271">
        <f>IFERROR(__xludf.DUMMYFUNCTION("""COMPUTED_VALUE"""),0.0)</f>
        <v>0</v>
      </c>
      <c r="F42" s="270">
        <f>IFERROR(__xludf.DUMMYFUNCTION("""COMPUTED_VALUE"""),3.0)</f>
        <v>3</v>
      </c>
      <c r="G42" s="577">
        <f>IFERROR(__xludf.DUMMYFUNCTION("""COMPUTED_VALUE"""),4.38E7)</f>
        <v>43800000</v>
      </c>
      <c r="H42" s="259" t="str">
        <f>IFERROR(__xludf.DUMMYFUNCTION("""COMPUTED_VALUE"""),"Body Mask")</f>
        <v>Body Mask</v>
      </c>
      <c r="I42" s="260" t="str">
        <f>IFERROR(__xludf.DUMMYFUNCTION("""COMPUTED_VALUE"""),"Done Req Sample")</f>
        <v>Done Req Sample</v>
      </c>
      <c r="J42" s="261"/>
      <c r="K42" s="262"/>
      <c r="L42" s="261"/>
      <c r="M42" s="262"/>
      <c r="N42" s="261"/>
      <c r="O42" s="17"/>
      <c r="P42" s="261"/>
      <c r="Q42" s="17"/>
      <c r="R42" s="266">
        <f>IFERROR(__xludf.DUMMYFUNCTION("""COMPUTED_VALUE"""),0.0)</f>
        <v>0</v>
      </c>
      <c r="S42" s="266">
        <f>IFERROR(__xludf.DUMMYFUNCTION("""COMPUTED_VALUE"""),0.0)</f>
        <v>0</v>
      </c>
      <c r="T42" s="266">
        <f>IFERROR(__xludf.DUMMYFUNCTION("""COMPUTED_VALUE"""),0.0)</f>
        <v>0</v>
      </c>
      <c r="U42" s="266">
        <f>IFERROR(__xludf.DUMMYFUNCTION("""COMPUTED_VALUE"""),0.0)</f>
        <v>0</v>
      </c>
    </row>
    <row r="43">
      <c r="A43" s="255" t="str">
        <f>IFERROR(__xludf.DUMMYFUNCTION("""COMPUTED_VALUE"""),"NANO")</f>
        <v>NANO</v>
      </c>
      <c r="B43" s="23" t="str">
        <f>IFERROR(__xludf.DUMMYFUNCTION("""COMPUTED_VALUE"""),"itshaazz")</f>
        <v>itshaazz</v>
      </c>
      <c r="C43" s="281" t="str">
        <f>IFERROR(__xludf.DUMMYFUNCTION("""COMPUTED_VALUE"""),"https://www.tiktok.com/@itshaazz")</f>
        <v>https://www.tiktok.com/@itshaazz</v>
      </c>
      <c r="D43" s="270">
        <f>IFERROR(__xludf.DUMMYFUNCTION("""COMPUTED_VALUE"""),8.5765369421E10)</f>
        <v>85765369421</v>
      </c>
      <c r="E43" s="271">
        <f>IFERROR(__xludf.DUMMYFUNCTION("""COMPUTED_VALUE"""),0.0)</f>
        <v>0</v>
      </c>
      <c r="F43" s="270">
        <f>IFERROR(__xludf.DUMMYFUNCTION("""COMPUTED_VALUE"""),2.0)</f>
        <v>2</v>
      </c>
      <c r="G43" s="577">
        <f>IFERROR(__xludf.DUMMYFUNCTION("""COMPUTED_VALUE"""),4.65E7)</f>
        <v>46500000</v>
      </c>
      <c r="H43" s="259" t="str">
        <f>IFERROR(__xludf.DUMMYFUNCTION("""COMPUTED_VALUE"""),"Body Serum Retinol")</f>
        <v>Body Serum Retinol</v>
      </c>
      <c r="I43" s="260" t="str">
        <f>IFERROR(__xludf.DUMMYFUNCTION("""COMPUTED_VALUE"""),"Sampai")</f>
        <v>Sampai</v>
      </c>
      <c r="J43" s="261" t="str">
        <f>IFERROR(__xludf.DUMMYFUNCTION("""COMPUTED_VALUE"""),"Concept 2")</f>
        <v>Concept 2</v>
      </c>
      <c r="K43" s="278" t="str">
        <f>IFERROR(__xludf.DUMMYFUNCTION("""COMPUTED_VALUE"""),"https://vt.tiktok.com/ZSxEMEnH3/")</f>
        <v>https://vt.tiktok.com/ZSxEMEnH3/</v>
      </c>
      <c r="L43" s="261"/>
      <c r="M43" s="262"/>
      <c r="N43" s="261"/>
      <c r="O43" s="17"/>
      <c r="P43" s="261"/>
      <c r="Q43" s="17"/>
      <c r="R43" s="266"/>
      <c r="S43" s="266"/>
      <c r="T43" s="266"/>
      <c r="U43" s="266"/>
    </row>
    <row r="44">
      <c r="A44" s="255" t="str">
        <f>IFERROR(__xludf.DUMMYFUNCTION("""COMPUTED_VALUE"""),"MICRO")</f>
        <v>MICRO</v>
      </c>
      <c r="B44" s="23" t="str">
        <f>IFERROR(__xludf.DUMMYFUNCTION("""COMPUTED_VALUE"""),"ceyicherry")</f>
        <v>ceyicherry</v>
      </c>
      <c r="C44" s="281" t="str">
        <f>IFERROR(__xludf.DUMMYFUNCTION("""COMPUTED_VALUE"""),"https://www.tiktok.com/@ceyicherry")</f>
        <v>https://www.tiktok.com/@ceyicherry</v>
      </c>
      <c r="D44" s="270">
        <f>IFERROR(__xludf.DUMMYFUNCTION("""COMPUTED_VALUE"""),8.5648170539E10)</f>
        <v>85648170539</v>
      </c>
      <c r="E44" s="271">
        <f>IFERROR(__xludf.DUMMYFUNCTION("""COMPUTED_VALUE"""),0.0)</f>
        <v>0</v>
      </c>
      <c r="F44" s="270">
        <f>IFERROR(__xludf.DUMMYFUNCTION("""COMPUTED_VALUE"""),2.0)</f>
        <v>2</v>
      </c>
      <c r="G44" s="577">
        <f>IFERROR(__xludf.DUMMYFUNCTION("""COMPUTED_VALUE"""),6.375E7)</f>
        <v>63750000</v>
      </c>
      <c r="H44" s="259" t="str">
        <f>IFERROR(__xludf.DUMMYFUNCTION("""COMPUTED_VALUE"""),"Body Mask")</f>
        <v>Body Mask</v>
      </c>
      <c r="I44" s="260" t="str">
        <f>IFERROR(__xludf.DUMMYFUNCTION("""COMPUTED_VALUE"""),"Sampai")</f>
        <v>Sampai</v>
      </c>
      <c r="J44" s="261" t="str">
        <f>IFERROR(__xludf.DUMMYFUNCTION("""COMPUTED_VALUE""")," Concept 1")</f>
        <v> Concept 1</v>
      </c>
      <c r="K44" s="278" t="str">
        <f>IFERROR(__xludf.DUMMYFUNCTION("""COMPUTED_VALUE"""),"https://vt.tiktok.com/ZS95NNaun/")</f>
        <v>https://vt.tiktok.com/ZS95NNaun/</v>
      </c>
      <c r="L44" s="261" t="str">
        <f>IFERROR(__xludf.DUMMYFUNCTION("""COMPUTED_VALUE""")," Concept 1")</f>
        <v> Concept 1</v>
      </c>
      <c r="M44" s="278" t="str">
        <f>IFERROR(__xludf.DUMMYFUNCTION("""COMPUTED_VALUE"""),"https://vt.tiktok.com/ZS95NQP6R/")</f>
        <v>https://vt.tiktok.com/ZS95NQP6R/</v>
      </c>
      <c r="N44" s="261"/>
      <c r="O44" s="17"/>
      <c r="P44" s="261"/>
      <c r="Q44" s="17"/>
      <c r="R44" s="266">
        <f>IFERROR(__xludf.DUMMYFUNCTION("""COMPUTED_VALUE"""),0.0)</f>
        <v>0</v>
      </c>
      <c r="S44" s="266">
        <f>IFERROR(__xludf.DUMMYFUNCTION("""COMPUTED_VALUE"""),0.0)</f>
        <v>0</v>
      </c>
      <c r="T44" s="266">
        <f>IFERROR(__xludf.DUMMYFUNCTION("""COMPUTED_VALUE"""),0.0)</f>
        <v>0</v>
      </c>
      <c r="U44" s="266">
        <f>IFERROR(__xludf.DUMMYFUNCTION("""COMPUTED_VALUE"""),0.0)</f>
        <v>0</v>
      </c>
    </row>
    <row r="45">
      <c r="A45" s="255" t="str">
        <f>IFERROR(__xludf.DUMMYFUNCTION("""COMPUTED_VALUE"""),"NANO")</f>
        <v>NANO</v>
      </c>
      <c r="B45" s="23" t="str">
        <f>IFERROR(__xludf.DUMMYFUNCTION("""COMPUTED_VALUE"""),"rikaa.han")</f>
        <v>rikaa.han</v>
      </c>
      <c r="C45" s="281" t="str">
        <f>IFERROR(__xludf.DUMMYFUNCTION("""COMPUTED_VALUE"""),"https://www.tiktok.com/@rikaa.han")</f>
        <v>https://www.tiktok.com/@rikaa.han</v>
      </c>
      <c r="D45" s="270">
        <f>IFERROR(__xludf.DUMMYFUNCTION("""COMPUTED_VALUE"""),8.151559029E10)</f>
        <v>81515590290</v>
      </c>
      <c r="E45" s="271">
        <f>IFERROR(__xludf.DUMMYFUNCTION("""COMPUTED_VALUE"""),0.0)</f>
        <v>0</v>
      </c>
      <c r="F45" s="270">
        <f>IFERROR(__xludf.DUMMYFUNCTION("""COMPUTED_VALUE"""),1.0)</f>
        <v>1</v>
      </c>
      <c r="G45" s="577">
        <f>IFERROR(__xludf.DUMMYFUNCTION("""COMPUTED_VALUE"""),3.774E8)</f>
        <v>377400000</v>
      </c>
      <c r="H45" s="259" t="str">
        <f>IFERROR(__xludf.DUMMYFUNCTION("""COMPUTED_VALUE"""),"Body Serum Retinol")</f>
        <v>Body Serum Retinol</v>
      </c>
      <c r="I45" s="260" t="str">
        <f>IFERROR(__xludf.DUMMYFUNCTION("""COMPUTED_VALUE"""),"Sampai")</f>
        <v>Sampai</v>
      </c>
      <c r="J45" s="261" t="str">
        <f>IFERROR(__xludf.DUMMYFUNCTION("""COMPUTED_VALUE""")," Concept 1")</f>
        <v> Concept 1</v>
      </c>
      <c r="K45" s="278" t="str">
        <f>IFERROR(__xludf.DUMMYFUNCTION("""COMPUTED_VALUE"""),"https://www.tiktok.com/@rikaa.han/video/7638592992516885780?_r=1&amp;u_code=daf7gl1k8bd8md&amp;region=&amp;mid=7140825716413041435&amp;preview_pb=0&amp;sharer_language=&amp;_d=0&amp;ec_shared_reflux_dynamic_params=%7B%22placeholder_material_id%22%3A%227638592992516885780%22%2C%22pla"&amp;"ceholder_origin_cover%22%3A%22https%253A%252F%252Fp16-common-sign.tiktokcdn.com%252Ftos-alisg-p-0037%252FoIJdeBgeoYGWrByDFmWQAeMpRBAGjbHQQf8kQu~tplv-tiktokx-origin.jpeg%253Fdr%253D14572%2526refresh_token%253Db9e8c6e1%2526x-expires%253D1810112400%2526x-sig"&amp;"nature%253D3DXlnSI%25252FJtQUqZvkivedp%25252BG1pFw%25253D%2526t%253D4d5b0474%2526ps%253D13740610%2526shp%253Dd05b14bd%2526shcp%253D34ff8df6%2526idc%253Dmy%2526s%253DTIKTOK_AFFILIATE_VIRAL_VIDEO%22%2C%22placeholder_product_id%22%3A%221733994191119943294%22"&amp;"%2C%22placeholder_video_id%22%3A%227638592992516885780%22%7D&amp;ec_shared_reflux_scene=shop_tab_feed&amp;share_item_id=7638592992516885780&amp;source=h5_t")</f>
        <v>https://www.tiktok.com/@rikaa.han/video/7638592992516885780?_r=1&amp;u_code=daf7gl1k8bd8md&amp;region=&amp;mid=7140825716413041435&amp;preview_pb=0&amp;sharer_language=&amp;_d=0&amp;ec_shared_reflux_dynamic_params=%7B%22placeholder_material_id%22%3A%227638592992516885780%22%2C%22placeholder_origin_cover%22%3A%22https%253A%252F%252Fp16-common-sign.tiktokcdn.com%252Ftos-alisg-p-0037%252FoIJdeBgeoYGWrByDFmWQAeMpRBAGjbHQQf8kQu~tplv-tiktokx-origin.jpeg%253Fdr%253D14572%2526refresh_token%253Db9e8c6e1%2526x-expires%253D1810112400%2526x-signature%253D3DXlnSI%25252FJtQUqZvkivedp%25252BG1pFw%25253D%2526t%253D4d5b0474%2526ps%253D13740610%2526shp%253Dd05b14bd%2526shcp%253D34ff8df6%2526idc%253Dmy%2526s%253DTIKTOK_AFFILIATE_VIRAL_VIDEO%22%2C%22placeholder_product_id%22%3A%221733994191119943294%22%2C%22placeholder_video_id%22%3A%227638592992516885780%22%7D&amp;ec_shared_reflux_scene=shop_tab_feed&amp;share_item_id=7638592992516885780&amp;source=h5_t</v>
      </c>
      <c r="L45" s="261"/>
      <c r="M45" s="262"/>
      <c r="N45" s="261"/>
      <c r="O45" s="17"/>
      <c r="P45" s="261"/>
      <c r="Q45" s="17"/>
      <c r="R45" s="266">
        <f>IFERROR(__xludf.DUMMYFUNCTION("""COMPUTED_VALUE"""),0.0)</f>
        <v>0</v>
      </c>
      <c r="S45" s="266">
        <f>IFERROR(__xludf.DUMMYFUNCTION("""COMPUTED_VALUE"""),0.0)</f>
        <v>0</v>
      </c>
      <c r="T45" s="266">
        <f>IFERROR(__xludf.DUMMYFUNCTION("""COMPUTED_VALUE"""),0.0)</f>
        <v>0</v>
      </c>
      <c r="U45" s="266">
        <f>IFERROR(__xludf.DUMMYFUNCTION("""COMPUTED_VALUE"""),0.0)</f>
        <v>0</v>
      </c>
    </row>
    <row r="46">
      <c r="A46" s="255" t="str">
        <f>IFERROR(__xludf.DUMMYFUNCTION("""COMPUTED_VALUE"""),"MICRO")</f>
        <v>MICRO</v>
      </c>
      <c r="B46" s="23" t="str">
        <f>IFERROR(__xludf.DUMMYFUNCTION("""COMPUTED_VALUE"""),"chaaaajalahyah")</f>
        <v>chaaaajalahyah</v>
      </c>
      <c r="C46" s="281" t="str">
        <f>IFERROR(__xludf.DUMMYFUNCTION("""COMPUTED_VALUE"""),"https://www.tiktok.com/@chaaaajalahyah")</f>
        <v>https://www.tiktok.com/@chaaaajalahyah</v>
      </c>
      <c r="D46" s="270">
        <f>IFERROR(__xludf.DUMMYFUNCTION("""COMPUTED_VALUE"""),8.573258986E10)</f>
        <v>85732589860</v>
      </c>
      <c r="E46" s="271">
        <f>IFERROR(__xludf.DUMMYFUNCTION("""COMPUTED_VALUE"""),0.0)</f>
        <v>0</v>
      </c>
      <c r="F46" s="270">
        <f>IFERROR(__xludf.DUMMYFUNCTION("""COMPUTED_VALUE"""),1.0)</f>
        <v>1</v>
      </c>
      <c r="G46" s="577">
        <f>IFERROR(__xludf.DUMMYFUNCTION("""COMPUTED_VALUE"""),7.48E7)</f>
        <v>74800000</v>
      </c>
      <c r="H46" s="259" t="str">
        <f>IFERROR(__xludf.DUMMYFUNCTION("""COMPUTED_VALUE"""),"Body Mask")</f>
        <v>Body Mask</v>
      </c>
      <c r="I46" s="260" t="str">
        <f>IFERROR(__xludf.DUMMYFUNCTION("""COMPUTED_VALUE"""),"Sampai")</f>
        <v>Sampai</v>
      </c>
      <c r="J46" s="261" t="str">
        <f>IFERROR(__xludf.DUMMYFUNCTION("""COMPUTED_VALUE""")," Concept 1")</f>
        <v> Concept 1</v>
      </c>
      <c r="K46" s="278" t="str">
        <f>IFERROR(__xludf.DUMMYFUNCTION("""COMPUTED_VALUE"""),"https://vt.tiktok.com/ZS9gKnt8B/")</f>
        <v>https://vt.tiktok.com/ZS9gKnt8B/</v>
      </c>
      <c r="L46" s="261"/>
      <c r="M46" s="262"/>
      <c r="N46" s="261"/>
      <c r="O46" s="17"/>
      <c r="P46" s="261"/>
      <c r="Q46" s="17"/>
      <c r="R46" s="266">
        <f>IFERROR(__xludf.DUMMYFUNCTION("""COMPUTED_VALUE"""),0.0)</f>
        <v>0</v>
      </c>
      <c r="S46" s="266">
        <f>IFERROR(__xludf.DUMMYFUNCTION("""COMPUTED_VALUE"""),0.0)</f>
        <v>0</v>
      </c>
      <c r="T46" s="266">
        <f>IFERROR(__xludf.DUMMYFUNCTION("""COMPUTED_VALUE"""),0.0)</f>
        <v>0</v>
      </c>
      <c r="U46" s="266">
        <f>IFERROR(__xludf.DUMMYFUNCTION("""COMPUTED_VALUE"""),0.0)</f>
        <v>0</v>
      </c>
    </row>
    <row r="47">
      <c r="A47" s="255" t="str">
        <f>IFERROR(__xludf.DUMMYFUNCTION("""COMPUTED_VALUE"""),"MICRO")</f>
        <v>MICRO</v>
      </c>
      <c r="B47" s="23" t="str">
        <f>IFERROR(__xludf.DUMMYFUNCTION("""COMPUTED_VALUE"""),"whoshuna")</f>
        <v>whoshuna</v>
      </c>
      <c r="C47" s="281" t="str">
        <f>IFERROR(__xludf.DUMMYFUNCTION("""COMPUTED_VALUE"""),"https://www.tiktok.com/@whoshuna")</f>
        <v>https://www.tiktok.com/@whoshuna</v>
      </c>
      <c r="D47" s="270">
        <f>IFERROR(__xludf.DUMMYFUNCTION("""COMPUTED_VALUE"""),8.5124353913E10)</f>
        <v>85124353913</v>
      </c>
      <c r="E47" s="271">
        <f>IFERROR(__xludf.DUMMYFUNCTION("""COMPUTED_VALUE"""),300000.0)</f>
        <v>300000</v>
      </c>
      <c r="F47" s="270">
        <f>IFERROR(__xludf.DUMMYFUNCTION("""COMPUTED_VALUE"""),1.0)</f>
        <v>1</v>
      </c>
      <c r="G47" s="577">
        <f>IFERROR(__xludf.DUMMYFUNCTION("""COMPUTED_VALUE"""),2.914E8)</f>
        <v>291400000</v>
      </c>
      <c r="H47" s="259" t="str">
        <f>IFERROR(__xludf.DUMMYFUNCTION("""COMPUTED_VALUE"""),"Body Serum Retinol")</f>
        <v>Body Serum Retinol</v>
      </c>
      <c r="I47" s="260" t="str">
        <f>IFERROR(__xludf.DUMMYFUNCTION("""COMPUTED_VALUE"""),"Done Req Sample")</f>
        <v>Done Req Sample</v>
      </c>
      <c r="J47" s="261"/>
      <c r="K47" s="262"/>
      <c r="L47" s="261"/>
      <c r="M47" s="262"/>
      <c r="N47" s="261"/>
      <c r="O47" s="17"/>
      <c r="P47" s="261"/>
      <c r="Q47" s="17"/>
      <c r="R47" s="266">
        <f>IFERROR(__xludf.DUMMYFUNCTION("""COMPUTED_VALUE"""),0.0)</f>
        <v>0</v>
      </c>
      <c r="S47" s="266">
        <f>IFERROR(__xludf.DUMMYFUNCTION("""COMPUTED_VALUE"""),0.0)</f>
        <v>0</v>
      </c>
      <c r="T47" s="266">
        <f>IFERROR(__xludf.DUMMYFUNCTION("""COMPUTED_VALUE"""),0.0)</f>
        <v>0</v>
      </c>
      <c r="U47" s="266">
        <f>IFERROR(__xludf.DUMMYFUNCTION("""COMPUTED_VALUE"""),0.0)</f>
        <v>0</v>
      </c>
    </row>
    <row r="48">
      <c r="A48" s="255" t="str">
        <f>IFERROR(__xludf.DUMMYFUNCTION("""COMPUTED_VALUE"""),"MICRO")</f>
        <v>MICRO</v>
      </c>
      <c r="B48" s="23" t="str">
        <f>IFERROR(__xludf.DUMMYFUNCTION("""COMPUTED_VALUE"""),"witzzbeauty")</f>
        <v>witzzbeauty</v>
      </c>
      <c r="C48" s="281" t="str">
        <f>IFERROR(__xludf.DUMMYFUNCTION("""COMPUTED_VALUE"""),"https://www.tiktok.com/@witzzbeauty")</f>
        <v>https://www.tiktok.com/@witzzbeauty</v>
      </c>
      <c r="D48" s="270">
        <f>IFERROR(__xludf.DUMMYFUNCTION("""COMPUTED_VALUE"""),8.2130186354E10)</f>
        <v>82130186354</v>
      </c>
      <c r="E48" s="271">
        <f>IFERROR(__xludf.DUMMYFUNCTION("""COMPUTED_VALUE"""),0.0)</f>
        <v>0</v>
      </c>
      <c r="F48" s="270">
        <f>IFERROR(__xludf.DUMMYFUNCTION("""COMPUTED_VALUE"""),2.0)</f>
        <v>2</v>
      </c>
      <c r="G48" s="577">
        <f>IFERROR(__xludf.DUMMYFUNCTION("""COMPUTED_VALUE"""),9.67E7)</f>
        <v>96700000</v>
      </c>
      <c r="H48" s="259" t="str">
        <f>IFERROR(__xludf.DUMMYFUNCTION("""COMPUTED_VALUE"""),"Body Sunscreen")</f>
        <v>Body Sunscreen</v>
      </c>
      <c r="I48" s="260" t="str">
        <f>IFERROR(__xludf.DUMMYFUNCTION("""COMPUTED_VALUE"""),"Done Req Sample")</f>
        <v>Done Req Sample</v>
      </c>
      <c r="J48" s="261"/>
      <c r="K48" s="262"/>
      <c r="L48" s="261"/>
      <c r="M48" s="262"/>
      <c r="N48" s="261"/>
      <c r="O48" s="17"/>
      <c r="P48" s="261"/>
      <c r="Q48" s="17"/>
      <c r="R48" s="266">
        <f>IFERROR(__xludf.DUMMYFUNCTION("""COMPUTED_VALUE"""),0.0)</f>
        <v>0</v>
      </c>
      <c r="S48" s="266">
        <f>IFERROR(__xludf.DUMMYFUNCTION("""COMPUTED_VALUE"""),0.0)</f>
        <v>0</v>
      </c>
      <c r="T48" s="266">
        <f>IFERROR(__xludf.DUMMYFUNCTION("""COMPUTED_VALUE"""),0.0)</f>
        <v>0</v>
      </c>
      <c r="U48" s="266">
        <f>IFERROR(__xludf.DUMMYFUNCTION("""COMPUTED_VALUE"""),0.0)</f>
        <v>0</v>
      </c>
    </row>
    <row r="49">
      <c r="A49" s="255" t="str">
        <f>IFERROR(__xludf.DUMMYFUNCTION("""COMPUTED_VALUE"""),"NANO")</f>
        <v>NANO</v>
      </c>
      <c r="B49" s="23" t="str">
        <f>IFERROR(__xludf.DUMMYFUNCTION("""COMPUTED_VALUE"""),"moon_haloho")</f>
        <v>moon_haloho</v>
      </c>
      <c r="C49" s="281" t="str">
        <f>IFERROR(__xludf.DUMMYFUNCTION("""COMPUTED_VALUE"""),"https://www.tiktok.com/@moon_haloho")</f>
        <v>https://www.tiktok.com/@moon_haloho</v>
      </c>
      <c r="D49" s="270">
        <f>IFERROR(__xludf.DUMMYFUNCTION("""COMPUTED_VALUE"""),8.5719216803E10)</f>
        <v>85719216803</v>
      </c>
      <c r="E49" s="271">
        <f>IFERROR(__xludf.DUMMYFUNCTION("""COMPUTED_VALUE"""),0.0)</f>
        <v>0</v>
      </c>
      <c r="F49" s="270">
        <f>IFERROR(__xludf.DUMMYFUNCTION("""COMPUTED_VALUE"""),2.0)</f>
        <v>2</v>
      </c>
      <c r="G49" s="577">
        <f>IFERROR(__xludf.DUMMYFUNCTION("""COMPUTED_VALUE"""),6.05E7)</f>
        <v>60500000</v>
      </c>
      <c r="H49" s="259" t="str">
        <f>IFERROR(__xludf.DUMMYFUNCTION("""COMPUTED_VALUE"""),"Body Serum Retinol")</f>
        <v>Body Serum Retinol</v>
      </c>
      <c r="I49" s="260" t="str">
        <f>IFERROR(__xludf.DUMMYFUNCTION("""COMPUTED_VALUE"""),"Sampai")</f>
        <v>Sampai</v>
      </c>
      <c r="J49" s="261" t="str">
        <f>IFERROR(__xludf.DUMMYFUNCTION("""COMPUTED_VALUE"""),"Concept 2")</f>
        <v>Concept 2</v>
      </c>
      <c r="K49" s="278" t="str">
        <f>IFERROR(__xludf.DUMMYFUNCTION("""COMPUTED_VALUE"""),"https://vt.tiktok.com/ZSQeHNVXm/")</f>
        <v>https://vt.tiktok.com/ZSQeHNVXm/</v>
      </c>
      <c r="L49" s="261"/>
      <c r="M49" s="262"/>
      <c r="N49" s="261"/>
      <c r="O49" s="17"/>
      <c r="P49" s="261"/>
      <c r="Q49" s="17"/>
      <c r="R49" s="266">
        <f>IFERROR(__xludf.DUMMYFUNCTION("""COMPUTED_VALUE"""),0.0)</f>
        <v>0</v>
      </c>
      <c r="S49" s="266">
        <f>IFERROR(__xludf.DUMMYFUNCTION("""COMPUTED_VALUE"""),0.0)</f>
        <v>0</v>
      </c>
      <c r="T49" s="266">
        <f>IFERROR(__xludf.DUMMYFUNCTION("""COMPUTED_VALUE"""),0.0)</f>
        <v>0</v>
      </c>
      <c r="U49" s="266">
        <f>IFERROR(__xludf.DUMMYFUNCTION("""COMPUTED_VALUE"""),0.0)</f>
        <v>0</v>
      </c>
    </row>
    <row r="50">
      <c r="A50" s="255" t="str">
        <f>IFERROR(__xludf.DUMMYFUNCTION("""COMPUTED_VALUE"""),"MACRO")</f>
        <v>MACRO</v>
      </c>
      <c r="B50" s="23" t="str">
        <f>IFERROR(__xludf.DUMMYFUNCTION("""COMPUTED_VALUE"""),"septi.ikaa")</f>
        <v>septi.ikaa</v>
      </c>
      <c r="C50" s="281" t="str">
        <f>IFERROR(__xludf.DUMMYFUNCTION("""COMPUTED_VALUE"""),"https://www.tiktok.com/@septi.ikaa")</f>
        <v>https://www.tiktok.com/@septi.ikaa</v>
      </c>
      <c r="D50" s="270">
        <f>IFERROR(__xludf.DUMMYFUNCTION("""COMPUTED_VALUE"""),8.2155100529E10)</f>
        <v>82155100529</v>
      </c>
      <c r="E50" s="271">
        <f>IFERROR(__xludf.DUMMYFUNCTION("""COMPUTED_VALUE"""),0.0)</f>
        <v>0</v>
      </c>
      <c r="F50" s="270">
        <f>IFERROR(__xludf.DUMMYFUNCTION("""COMPUTED_VALUE"""),2.0)</f>
        <v>2</v>
      </c>
      <c r="G50" s="577"/>
      <c r="H50" s="259" t="str">
        <f>IFERROR(__xludf.DUMMYFUNCTION("""COMPUTED_VALUE"""),"Body Mask")</f>
        <v>Body Mask</v>
      </c>
      <c r="I50" s="260" t="str">
        <f>IFERROR(__xludf.DUMMYFUNCTION("""COMPUTED_VALUE"""),"Sampai")</f>
        <v>Sampai</v>
      </c>
      <c r="J50" s="261" t="str">
        <f>IFERROR(__xludf.DUMMYFUNCTION("""COMPUTED_VALUE""")," Concept 1")</f>
        <v> Concept 1</v>
      </c>
      <c r="K50" s="278" t="str">
        <f>IFERROR(__xludf.DUMMYFUNCTION("""COMPUTED_VALUE"""),"https://www.tiktok.com/@septiikaaa3/video/7642367401253981458?_r=1&amp;u_code=d7bl00j20kfjhg&amp;region=&amp;mid=7642367434728409863&amp;preview_pb=0&amp;sharer_language=&amp;_d=0&amp;ec_shared_reflux_dynamic_params=%7B%22placeholder_material_id%22%3A%227642367401253981458%22%2C%22p"&amp;"laceholder_origin_cover%22%3A%22https%253A%252F%252Fp16-common-sign.tiktokcdn.com%252Ftos-alisg-p-0037%252Focn1QIHbOAbxBISUwIiEBJqBQfWLuM5iACA4PI~tplv-tiktokx-origin.jpeg%253Fdr%253D14572%2526refresh_token%253Dcde81432%2526x-expires%253D1811239200%2526x-s"&amp;"ignature%253DjrsaCA93trRffZT2gS8mjoaqBbo%25253D%2526t%253D4d5b0474%2526ps%253D13740610%2526shp%253Dd05b14bd%2526shcp%253D34ff8df6%2526idc%253Dmy2%2526s%253DTIKTOK_AFFILIATE_VIRAL_VIDEO%22%2C%22placeholder_product_id%22%3A%221729430957134940798%22%2C%22pla"&amp;"ceholder_video_id%22%3A%227642367401253981458%22%7D&amp;ec_shared_reflux_scene=shop_tab_feed&amp;share_item_id=7642367401253981458&amp;source=h5_t")</f>
        <v>https://www.tiktok.com/@septiikaaa3/video/7642367401253981458?_r=1&amp;u_code=d7bl00j20kfjhg&amp;region=&amp;mid=7642367434728409863&amp;preview_pb=0&amp;sharer_language=&amp;_d=0&amp;ec_shared_reflux_dynamic_params=%7B%22placeholder_material_id%22%3A%227642367401253981458%22%2C%22placeholder_origin_cover%22%3A%22https%253A%252F%252Fp16-common-sign.tiktokcdn.com%252Ftos-alisg-p-0037%252Focn1QIHbOAbxBISUwIiEBJqBQfWLuM5iACA4PI~tplv-tiktokx-origin.jpeg%253Fdr%253D14572%2526refresh_token%253Dcde81432%2526x-expires%253D1811239200%2526x-signature%253DjrsaCA93trRffZT2gS8mjoaqBbo%25253D%2526t%253D4d5b0474%2526ps%253D13740610%2526shp%253Dd05b14bd%2526shcp%253D34ff8df6%2526idc%253Dmy2%2526s%253DTIKTOK_AFFILIATE_VIRAL_VIDEO%22%2C%22placeholder_product_id%22%3A%221729430957134940798%22%2C%22placeholder_video_id%22%3A%227642367401253981458%22%7D&amp;ec_shared_reflux_scene=shop_tab_feed&amp;share_item_id=7642367401253981458&amp;source=h5_t</v>
      </c>
      <c r="L50" s="261"/>
      <c r="M50" s="262"/>
      <c r="N50" s="261"/>
      <c r="O50" s="17"/>
      <c r="P50" s="261"/>
      <c r="Q50" s="17"/>
      <c r="R50" s="266">
        <f>IFERROR(__xludf.DUMMYFUNCTION("""COMPUTED_VALUE"""),0.0)</f>
        <v>0</v>
      </c>
      <c r="S50" s="266">
        <f>IFERROR(__xludf.DUMMYFUNCTION("""COMPUTED_VALUE"""),0.0)</f>
        <v>0</v>
      </c>
      <c r="T50" s="266">
        <f>IFERROR(__xludf.DUMMYFUNCTION("""COMPUTED_VALUE"""),0.0)</f>
        <v>0</v>
      </c>
      <c r="U50" s="266">
        <f>IFERROR(__xludf.DUMMYFUNCTION("""COMPUTED_VALUE"""),0.0)</f>
        <v>0</v>
      </c>
    </row>
    <row r="51">
      <c r="A51" s="255" t="str">
        <f>IFERROR(__xludf.DUMMYFUNCTION("""COMPUTED_VALUE"""),"MICRO")</f>
        <v>MICRO</v>
      </c>
      <c r="B51" s="23" t="str">
        <f>IFERROR(__xludf.DUMMYFUNCTION("""COMPUTED_VALUE"""),"ndaahq")</f>
        <v>ndaahq</v>
      </c>
      <c r="C51" s="281" t="str">
        <f>IFERROR(__xludf.DUMMYFUNCTION("""COMPUTED_VALUE"""),"https://www.tiktok.com/@ndaahq")</f>
        <v>https://www.tiktok.com/@ndaahq</v>
      </c>
      <c r="D51" s="270">
        <f>IFERROR(__xludf.DUMMYFUNCTION("""COMPUTED_VALUE"""),8.87435431731E11)</f>
        <v>887435431731</v>
      </c>
      <c r="E51" s="271">
        <f>IFERROR(__xludf.DUMMYFUNCTION("""COMPUTED_VALUE"""),250000.0)</f>
        <v>250000</v>
      </c>
      <c r="F51" s="270">
        <f>IFERROR(__xludf.DUMMYFUNCTION("""COMPUTED_VALUE"""),1.0)</f>
        <v>1</v>
      </c>
      <c r="G51" s="577">
        <f>IFERROR(__xludf.DUMMYFUNCTION("""COMPUTED_VALUE"""),1.2182E8)</f>
        <v>121820000</v>
      </c>
      <c r="H51" s="259" t="str">
        <f>IFERROR(__xludf.DUMMYFUNCTION("""COMPUTED_VALUE"""),"Body Serum Retinol")</f>
        <v>Body Serum Retinol</v>
      </c>
      <c r="I51" s="260" t="str">
        <f>IFERROR(__xludf.DUMMYFUNCTION("""COMPUTED_VALUE"""),"Sampai")</f>
        <v>Sampai</v>
      </c>
      <c r="J51" s="261" t="str">
        <f>IFERROR(__xludf.DUMMYFUNCTION("""COMPUTED_VALUE""")," Concept 1")</f>
        <v> Concept 1</v>
      </c>
      <c r="K51" s="278" t="str">
        <f>IFERROR(__xludf.DUMMYFUNCTION("""COMPUTED_VALUE"""),"https://vt.tiktok.com/ZSxGcahCa/")</f>
        <v>https://vt.tiktok.com/ZSxGcahCa/</v>
      </c>
      <c r="L51" s="261"/>
      <c r="M51" s="262"/>
      <c r="N51" s="261"/>
      <c r="O51" s="17"/>
      <c r="P51" s="261"/>
      <c r="Q51" s="17"/>
      <c r="R51" s="266">
        <f>IFERROR(__xludf.DUMMYFUNCTION("""COMPUTED_VALUE"""),0.0)</f>
        <v>0</v>
      </c>
      <c r="S51" s="266">
        <f>IFERROR(__xludf.DUMMYFUNCTION("""COMPUTED_VALUE"""),0.0)</f>
        <v>0</v>
      </c>
      <c r="T51" s="266">
        <f>IFERROR(__xludf.DUMMYFUNCTION("""COMPUTED_VALUE"""),0.0)</f>
        <v>0</v>
      </c>
      <c r="U51" s="266">
        <f>IFERROR(__xludf.DUMMYFUNCTION("""COMPUTED_VALUE"""),0.0)</f>
        <v>0</v>
      </c>
    </row>
    <row r="52">
      <c r="A52" s="255" t="str">
        <f>IFERROR(__xludf.DUMMYFUNCTION("""COMPUTED_VALUE"""),"NANO")</f>
        <v>NANO</v>
      </c>
      <c r="B52" s="23" t="str">
        <f>IFERROR(__xludf.DUMMYFUNCTION("""COMPUTED_VALUE"""),"naylaazhrni")</f>
        <v>naylaazhrni</v>
      </c>
      <c r="C52" s="281" t="str">
        <f>IFERROR(__xludf.DUMMYFUNCTION("""COMPUTED_VALUE"""),"https://www.tiktok.com/@naylaazhrni")</f>
        <v>https://www.tiktok.com/@naylaazhrni</v>
      </c>
      <c r="D52" s="270"/>
      <c r="E52" s="271">
        <f>IFERROR(__xludf.DUMMYFUNCTION("""COMPUTED_VALUE"""),0.0)</f>
        <v>0</v>
      </c>
      <c r="F52" s="270">
        <f>IFERROR(__xludf.DUMMYFUNCTION("""COMPUTED_VALUE"""),2.0)</f>
        <v>2</v>
      </c>
      <c r="G52" s="577">
        <f>IFERROR(__xludf.DUMMYFUNCTION("""COMPUTED_VALUE"""),7000000.0)</f>
        <v>7000000</v>
      </c>
      <c r="H52" s="259" t="str">
        <f>IFERROR(__xludf.DUMMYFUNCTION("""COMPUTED_VALUE"""),"Body Mask")</f>
        <v>Body Mask</v>
      </c>
      <c r="I52" s="260" t="str">
        <f>IFERROR(__xludf.DUMMYFUNCTION("""COMPUTED_VALUE"""),"Done Req Sample")</f>
        <v>Done Req Sample</v>
      </c>
      <c r="J52" s="261"/>
      <c r="K52" s="262"/>
      <c r="L52" s="261"/>
      <c r="M52" s="262"/>
      <c r="N52" s="261"/>
      <c r="O52" s="17"/>
      <c r="P52" s="261"/>
      <c r="Q52" s="17"/>
      <c r="R52" s="266">
        <f>IFERROR(__xludf.DUMMYFUNCTION("""COMPUTED_VALUE"""),0.0)</f>
        <v>0</v>
      </c>
      <c r="S52" s="266">
        <f>IFERROR(__xludf.DUMMYFUNCTION("""COMPUTED_VALUE"""),0.0)</f>
        <v>0</v>
      </c>
      <c r="T52" s="266">
        <f>IFERROR(__xludf.DUMMYFUNCTION("""COMPUTED_VALUE"""),0.0)</f>
        <v>0</v>
      </c>
      <c r="U52" s="266">
        <f>IFERROR(__xludf.DUMMYFUNCTION("""COMPUTED_VALUE"""),0.0)</f>
        <v>0</v>
      </c>
    </row>
    <row r="53">
      <c r="A53" s="255" t="str">
        <f>IFERROR(__xludf.DUMMYFUNCTION("""COMPUTED_VALUE"""),"NANO")</f>
        <v>NANO</v>
      </c>
      <c r="B53" s="23" t="str">
        <f>IFERROR(__xludf.DUMMYFUNCTION("""COMPUTED_VALUE"""),"anisarobiyanti")</f>
        <v>anisarobiyanti</v>
      </c>
      <c r="C53" s="281" t="str">
        <f>IFERROR(__xludf.DUMMYFUNCTION("""COMPUTED_VALUE"""),"https://www.tiktok.com/@anisarobiyanti")</f>
        <v>https://www.tiktok.com/@anisarobiyanti</v>
      </c>
      <c r="D53" s="270"/>
      <c r="E53" s="271">
        <f>IFERROR(__xludf.DUMMYFUNCTION("""COMPUTED_VALUE"""),0.0)</f>
        <v>0</v>
      </c>
      <c r="F53" s="270">
        <f>IFERROR(__xludf.DUMMYFUNCTION("""COMPUTED_VALUE"""),2.0)</f>
        <v>2</v>
      </c>
      <c r="G53" s="577">
        <f>IFERROR(__xludf.DUMMYFUNCTION("""COMPUTED_VALUE"""),4.6E7)</f>
        <v>46000000</v>
      </c>
      <c r="H53" s="259"/>
      <c r="I53" s="260" t="str">
        <f>IFERROR(__xludf.DUMMYFUNCTION("""COMPUTED_VALUE"""),"Kendala [FU!]")</f>
        <v>Kendala [FU!]</v>
      </c>
      <c r="J53" s="261"/>
      <c r="K53" s="262"/>
      <c r="L53" s="261"/>
      <c r="M53" s="262"/>
      <c r="N53" s="261"/>
      <c r="O53" s="17"/>
      <c r="P53" s="261"/>
      <c r="Q53" s="17"/>
      <c r="R53" s="266">
        <f>IFERROR(__xludf.DUMMYFUNCTION("""COMPUTED_VALUE"""),0.0)</f>
        <v>0</v>
      </c>
      <c r="S53" s="266">
        <f>IFERROR(__xludf.DUMMYFUNCTION("""COMPUTED_VALUE"""),0.0)</f>
        <v>0</v>
      </c>
      <c r="T53" s="266">
        <f>IFERROR(__xludf.DUMMYFUNCTION("""COMPUTED_VALUE"""),0.0)</f>
        <v>0</v>
      </c>
      <c r="U53" s="266">
        <f>IFERROR(__xludf.DUMMYFUNCTION("""COMPUTED_VALUE"""),0.0)</f>
        <v>0</v>
      </c>
    </row>
    <row r="54">
      <c r="A54" s="255" t="str">
        <f>IFERROR(__xludf.DUMMYFUNCTION("""COMPUTED_VALUE"""),"MICRO")</f>
        <v>MICRO</v>
      </c>
      <c r="B54" s="23" t="str">
        <f>IFERROR(__xludf.DUMMYFUNCTION("""COMPUTED_VALUE"""),"nandajeliss")</f>
        <v>nandajeliss</v>
      </c>
      <c r="C54" s="281" t="str">
        <f>IFERROR(__xludf.DUMMYFUNCTION("""COMPUTED_VALUE"""),"https://www.tiktok.com/@nandajeliss")</f>
        <v>https://www.tiktok.com/@nandajeliss</v>
      </c>
      <c r="D54" s="270">
        <f>IFERROR(__xludf.DUMMYFUNCTION("""COMPUTED_VALUE"""),8.1575544282E10)</f>
        <v>81575544282</v>
      </c>
      <c r="E54" s="271">
        <f>IFERROR(__xludf.DUMMYFUNCTION("""COMPUTED_VALUE"""),0.0)</f>
        <v>0</v>
      </c>
      <c r="F54" s="270">
        <f>IFERROR(__xludf.DUMMYFUNCTION("""COMPUTED_VALUE"""),2.0)</f>
        <v>2</v>
      </c>
      <c r="G54" s="577">
        <f>IFERROR(__xludf.DUMMYFUNCTION("""COMPUTED_VALUE"""),1.634E7)</f>
        <v>16340000</v>
      </c>
      <c r="H54" s="259" t="str">
        <f>IFERROR(__xludf.DUMMYFUNCTION("""COMPUTED_VALUE"""),"Body Serum Retinol")</f>
        <v>Body Serum Retinol</v>
      </c>
      <c r="I54" s="260" t="str">
        <f>IFERROR(__xludf.DUMMYFUNCTION("""COMPUTED_VALUE"""),"Sampai")</f>
        <v>Sampai</v>
      </c>
      <c r="J54" s="261" t="str">
        <f>IFERROR(__xludf.DUMMYFUNCTION("""COMPUTED_VALUE""")," Concept 1")</f>
        <v> Concept 1</v>
      </c>
      <c r="K54" s="278" t="str">
        <f>IFERROR(__xludf.DUMMYFUNCTION("""COMPUTED_VALUE"""),"https://www.tiktok.com/@nandajeliss/video/7638593172091981063?_r=1&amp;u_code=e764lld7374f0j&amp;region=&amp;mid=7633305049822251796&amp;preview_pb=0&amp;sharer_language=&amp;_d=0&amp;ec_shared_reflux_dynamic_params=%7B%22placeholder_material_id%22%3A%227638593172091981063%22%2C%22p"&amp;"laceholder_origin_cover%22%3A%22https%253A%252F%252Fp16-common-sign.tiktokcdn.com%252Ftos-alisg-p-0037%252FoQfhvbucABBFf9tIAIJZv3A7CAugAqplDERBEQ~tplv-tiktokx-origin.jpeg%253Fdr%253D14572%2526refresh_token%253D3ea06fb1%2526x-expires%253D1810112400%2526x-s"&amp;"ignature%253DvHoCBC8WA4cNnB5TSQI9dpjtRlg%25253D%2526t%253D4d5b0474%2526ps%253D13740610%2526shp%253Dd05b14bd%2526shcp%253D34ff8df6%2526idc%253Dmy%2526s%253DTIKTOK_AFFILIATE_VIRAL_VIDEO%22%2C%22placeholder_product_id%22%3A%221733994191119943294%22%2C%22plac"&amp;"eholder_video_id%22%3A%227638593172091981063%22%7D&amp;ec_shared_reflux_scene=shop_tab_feed&amp;share_item_id=7638593172091981063&amp;source=h5_t")</f>
        <v>https://www.tiktok.com/@nandajeliss/video/7638593172091981063?_r=1&amp;u_code=e764lld7374f0j&amp;region=&amp;mid=7633305049822251796&amp;preview_pb=0&amp;sharer_language=&amp;_d=0&amp;ec_shared_reflux_dynamic_params=%7B%22placeholder_material_id%22%3A%227638593172091981063%22%2C%22placeholder_origin_cover%22%3A%22https%253A%252F%252Fp16-common-sign.tiktokcdn.com%252Ftos-alisg-p-0037%252FoQfhvbucABBFf9tIAIJZv3A7CAugAqplDERBEQ~tplv-tiktokx-origin.jpeg%253Fdr%253D14572%2526refresh_token%253D3ea06fb1%2526x-expires%253D1810112400%2526x-signature%253DvHoCBC8WA4cNnB5TSQI9dpjtRlg%25253D%2526t%253D4d5b0474%2526ps%253D13740610%2526shp%253Dd05b14bd%2526shcp%253D34ff8df6%2526idc%253Dmy%2526s%253DTIKTOK_AFFILIATE_VIRAL_VIDEO%22%2C%22placeholder_product_id%22%3A%221733994191119943294%22%2C%22placeholder_video_id%22%3A%227638593172091981063%22%7D&amp;ec_shared_reflux_scene=shop_tab_feed&amp;share_item_id=7638593172091981063&amp;source=h5_t</v>
      </c>
      <c r="L54" s="261" t="str">
        <f>IFERROR(__xludf.DUMMYFUNCTION("""COMPUTED_VALUE""")," Concept 1")</f>
        <v> Concept 1</v>
      </c>
      <c r="M54" s="278" t="str">
        <f>IFERROR(__xludf.DUMMYFUNCTION("""COMPUTED_VALUE"""),"https://www.tiktok.com/@nandajeliss/video/7641254456025189639?_r=1&amp;u_code=e764lld7374f0j&amp;region=&amp;mid=7634083032534321938&amp;preview_pb=0&amp;sharer_language=&amp;_d=0&amp;ec_shared_reflux_dynamic_params=%7B%22placeholder_material_id%22%3A%227641254456025189639%22%2C%22p"&amp;"laceholder_origin_cover%22%3A%22https%253A%252F%252Fp16-common-sign.tiktokcdn.com%252Ftos-alisg-p-0037%252FooDLHmwIiEBABqiiZNAsM1Mg6DjAICBWIlHXfD~tplv-tiktokx-origin.jpeg%253Fdr%253D14572%2526refresh_token%253D27128554%2526x-expires%253D1810717200%2526x-s"&amp;"ignature%253Dmgbgk29WZAnxqsTST1a7Rtos3zc%25253D%2526t%253D4d5b0474%2526ps%253D13740610%2526shp%253Dd05b14bd%2526shcp%253D34ff8df6%2526idc%253Dmy3%2526s%253DTIKTOK_AFFILIATE_VIRAL_VIDEO%22%2C%22placeholder_product_id%22%3A%221733994191119943294%22%2C%22pla"&amp;"ceholder_video_id%22%3A%227641254456025189639%22%7D&amp;ec_shared_reflux_scene=shop_tab_feed&amp;share_item_id=7641254456025189639&amp;source=h5_t")</f>
        <v>https://www.tiktok.com/@nandajeliss/video/7641254456025189639?_r=1&amp;u_code=e764lld7374f0j&amp;region=&amp;mid=7634083032534321938&amp;preview_pb=0&amp;sharer_language=&amp;_d=0&amp;ec_shared_reflux_dynamic_params=%7B%22placeholder_material_id%22%3A%227641254456025189639%22%2C%22placeholder_origin_cover%22%3A%22https%253A%252F%252Fp16-common-sign.tiktokcdn.com%252Ftos-alisg-p-0037%252FooDLHmwIiEBABqiiZNAsM1Mg6DjAICBWIlHXfD~tplv-tiktokx-origin.jpeg%253Fdr%253D14572%2526refresh_token%253D27128554%2526x-expires%253D1810717200%2526x-signature%253Dmgbgk29WZAnxqsTST1a7Rtos3zc%25253D%2526t%253D4d5b0474%2526ps%253D13740610%2526shp%253Dd05b14bd%2526shcp%253D34ff8df6%2526idc%253Dmy3%2526s%253DTIKTOK_AFFILIATE_VIRAL_VIDEO%22%2C%22placeholder_product_id%22%3A%221733994191119943294%22%2C%22placeholder_video_id%22%3A%227641254456025189639%22%7D&amp;ec_shared_reflux_scene=shop_tab_feed&amp;share_item_id=7641254456025189639&amp;source=h5_t</v>
      </c>
      <c r="N54" s="261"/>
      <c r="O54" s="17"/>
      <c r="P54" s="261"/>
      <c r="Q54" s="17"/>
      <c r="R54" s="266">
        <f>IFERROR(__xludf.DUMMYFUNCTION("""COMPUTED_VALUE"""),0.0)</f>
        <v>0</v>
      </c>
      <c r="S54" s="266">
        <f>IFERROR(__xludf.DUMMYFUNCTION("""COMPUTED_VALUE"""),0.0)</f>
        <v>0</v>
      </c>
      <c r="T54" s="266">
        <f>IFERROR(__xludf.DUMMYFUNCTION("""COMPUTED_VALUE"""),0.0)</f>
        <v>0</v>
      </c>
      <c r="U54" s="266">
        <f>IFERROR(__xludf.DUMMYFUNCTION("""COMPUTED_VALUE"""),0.0)</f>
        <v>0</v>
      </c>
    </row>
    <row r="55">
      <c r="A55" s="255" t="str">
        <f>IFERROR(__xludf.DUMMYFUNCTION("""COMPUTED_VALUE"""),"MICRO")</f>
        <v>MICRO</v>
      </c>
      <c r="B55" s="23" t="str">
        <f>IFERROR(__xludf.DUMMYFUNCTION("""COMPUTED_VALUE"""),"sabinaaccura")</f>
        <v>sabinaaccura</v>
      </c>
      <c r="C55" s="281" t="str">
        <f>IFERROR(__xludf.DUMMYFUNCTION("""COMPUTED_VALUE"""),"https://www.tiktok.com/@sabinaaccura")</f>
        <v>https://www.tiktok.com/@sabinaaccura</v>
      </c>
      <c r="D55" s="270"/>
      <c r="E55" s="271">
        <f>IFERROR(__xludf.DUMMYFUNCTION("""COMPUTED_VALUE"""),250000.0)</f>
        <v>250000</v>
      </c>
      <c r="F55" s="270">
        <f>IFERROR(__xludf.DUMMYFUNCTION("""COMPUTED_VALUE"""),1.0)</f>
        <v>1</v>
      </c>
      <c r="G55" s="577">
        <f>IFERROR(__xludf.DUMMYFUNCTION("""COMPUTED_VALUE"""),2.4E7)</f>
        <v>24000000</v>
      </c>
      <c r="H55" s="259" t="str">
        <f>IFERROR(__xludf.DUMMYFUNCTION("""COMPUTED_VALUE"""),"Body Serum Retinol")</f>
        <v>Body Serum Retinol</v>
      </c>
      <c r="I55" s="260" t="str">
        <f>IFERROR(__xludf.DUMMYFUNCTION("""COMPUTED_VALUE"""),"Sampai")</f>
        <v>Sampai</v>
      </c>
      <c r="J55" s="261" t="str">
        <f>IFERROR(__xludf.DUMMYFUNCTION("""COMPUTED_VALUE""")," Concept 1")</f>
        <v> Concept 1</v>
      </c>
      <c r="K55" s="278" t="str">
        <f>IFERROR(__xludf.DUMMYFUNCTION("""COMPUTED_VALUE"""),"https://vt.tiktok.com/ZSxr5UwMa/")</f>
        <v>https://vt.tiktok.com/ZSxr5UwMa/</v>
      </c>
      <c r="L55" s="261"/>
      <c r="M55" s="262"/>
      <c r="N55" s="261"/>
      <c r="O55" s="17"/>
      <c r="P55" s="261"/>
      <c r="Q55" s="17"/>
      <c r="R55" s="266">
        <f>IFERROR(__xludf.DUMMYFUNCTION("""COMPUTED_VALUE"""),0.0)</f>
        <v>0</v>
      </c>
      <c r="S55" s="266">
        <f>IFERROR(__xludf.DUMMYFUNCTION("""COMPUTED_VALUE"""),0.0)</f>
        <v>0</v>
      </c>
      <c r="T55" s="266">
        <f>IFERROR(__xludf.DUMMYFUNCTION("""COMPUTED_VALUE"""),0.0)</f>
        <v>0</v>
      </c>
      <c r="U55" s="266">
        <f>IFERROR(__xludf.DUMMYFUNCTION("""COMPUTED_VALUE"""),0.0)</f>
        <v>0</v>
      </c>
    </row>
    <row r="56">
      <c r="A56" s="255" t="str">
        <f>IFERROR(__xludf.DUMMYFUNCTION("""COMPUTED_VALUE"""),"MACRO")</f>
        <v>MACRO</v>
      </c>
      <c r="B56" s="23" t="str">
        <f>IFERROR(__xludf.DUMMYFUNCTION("""COMPUTED_VALUE"""),"atikwindharti")</f>
        <v>atikwindharti</v>
      </c>
      <c r="C56" s="281" t="str">
        <f>IFERROR(__xludf.DUMMYFUNCTION("""COMPUTED_VALUE"""),"https://www.tiktok.com/@atikwindharti")</f>
        <v>https://www.tiktok.com/@atikwindharti</v>
      </c>
      <c r="D56" s="270">
        <f>IFERROR(__xludf.DUMMYFUNCTION("""COMPUTED_VALUE"""),8.5853794022E10)</f>
        <v>85853794022</v>
      </c>
      <c r="E56" s="271">
        <f>IFERROR(__xludf.DUMMYFUNCTION("""COMPUTED_VALUE"""),0.0)</f>
        <v>0</v>
      </c>
      <c r="F56" s="270">
        <f>IFERROR(__xludf.DUMMYFUNCTION("""COMPUTED_VALUE"""),3.0)</f>
        <v>3</v>
      </c>
      <c r="G56" s="577">
        <f>IFERROR(__xludf.DUMMYFUNCTION("""COMPUTED_VALUE"""),2.553E8)</f>
        <v>255300000</v>
      </c>
      <c r="H56" s="259" t="str">
        <f>IFERROR(__xludf.DUMMYFUNCTION("""COMPUTED_VALUE"""),"Body Mask")</f>
        <v>Body Mask</v>
      </c>
      <c r="I56" s="260" t="str">
        <f>IFERROR(__xludf.DUMMYFUNCTION("""COMPUTED_VALUE"""),"Sampai")</f>
        <v>Sampai</v>
      </c>
      <c r="J56" s="261" t="str">
        <f>IFERROR(__xludf.DUMMYFUNCTION("""COMPUTED_VALUE""")," Concept 1")</f>
        <v> Concept 1</v>
      </c>
      <c r="K56" s="278" t="str">
        <f>IFERROR(__xludf.DUMMYFUNCTION("""COMPUTED_VALUE"""),"https://www.tiktok.com/@atikwindharti/video/7646665424037367060?is_from_webapp=1&amp;sender_device=pc")</f>
        <v>https://www.tiktok.com/@atikwindharti/video/7646665424037367060?is_from_webapp=1&amp;sender_device=pc</v>
      </c>
      <c r="L56" s="261" t="str">
        <f>IFERROR(__xludf.DUMMYFUNCTION("""COMPUTED_VALUE""")," Concept 1")</f>
        <v> Concept 1</v>
      </c>
      <c r="M56" s="278" t="str">
        <f>IFERROR(__xludf.DUMMYFUNCTION("""COMPUTED_VALUE"""),"https://www.tiktok.com/@atikwindharti/video/7646665955401125140?is_from_webapp=1&amp;sender_device=pc")</f>
        <v>https://www.tiktok.com/@atikwindharti/video/7646665955401125140?is_from_webapp=1&amp;sender_device=pc</v>
      </c>
      <c r="N56" s="261" t="str">
        <f>IFERROR(__xludf.DUMMYFUNCTION("""COMPUTED_VALUE""")," Concept 1")</f>
        <v> Concept 1</v>
      </c>
      <c r="O56" s="279" t="str">
        <f>IFERROR(__xludf.DUMMYFUNCTION("""COMPUTED_VALUE"""),"https://www.tiktok.com/@atikwindharti/video/7646666379390668052?is_from_webapp=1&amp;sender_device=pc")</f>
        <v>https://www.tiktok.com/@atikwindharti/video/7646666379390668052?is_from_webapp=1&amp;sender_device=pc</v>
      </c>
      <c r="P56" s="261"/>
      <c r="Q56" s="17"/>
      <c r="R56" s="266">
        <f>IFERROR(__xludf.DUMMYFUNCTION("""COMPUTED_VALUE"""),0.0)</f>
        <v>0</v>
      </c>
      <c r="S56" s="266">
        <f>IFERROR(__xludf.DUMMYFUNCTION("""COMPUTED_VALUE"""),0.0)</f>
        <v>0</v>
      </c>
      <c r="T56" s="266">
        <f>IFERROR(__xludf.DUMMYFUNCTION("""COMPUTED_VALUE"""),0.0)</f>
        <v>0</v>
      </c>
      <c r="U56" s="266">
        <f>IFERROR(__xludf.DUMMYFUNCTION("""COMPUTED_VALUE"""),0.0)</f>
        <v>0</v>
      </c>
    </row>
    <row r="57">
      <c r="A57" s="255" t="str">
        <f>IFERROR(__xludf.DUMMYFUNCTION("""COMPUTED_VALUE"""),"NANO")</f>
        <v>NANO</v>
      </c>
      <c r="B57" s="23" t="str">
        <f>IFERROR(__xludf.DUMMYFUNCTION("""COMPUTED_VALUE"""),"revinawl")</f>
        <v>revinawl</v>
      </c>
      <c r="C57" s="281" t="str">
        <f>IFERROR(__xludf.DUMMYFUNCTION("""COMPUTED_VALUE"""),"https://www.tiktok.com/@revinawl")</f>
        <v>https://www.tiktok.com/@revinawl</v>
      </c>
      <c r="D57" s="270">
        <f>IFERROR(__xludf.DUMMYFUNCTION("""COMPUTED_VALUE"""),8.3820886672E10)</f>
        <v>83820886672</v>
      </c>
      <c r="E57" s="271">
        <f>IFERROR(__xludf.DUMMYFUNCTION("""COMPUTED_VALUE"""),0.0)</f>
        <v>0</v>
      </c>
      <c r="F57" s="270">
        <f>IFERROR(__xludf.DUMMYFUNCTION("""COMPUTED_VALUE"""),2.0)</f>
        <v>2</v>
      </c>
      <c r="G57" s="577"/>
      <c r="H57" s="259" t="str">
        <f>IFERROR(__xludf.DUMMYFUNCTION("""COMPUTED_VALUE"""),"Body Serum Retinol")</f>
        <v>Body Serum Retinol</v>
      </c>
      <c r="I57" s="260" t="str">
        <f>IFERROR(__xludf.DUMMYFUNCTION("""COMPUTED_VALUE"""),"Done Req Sample")</f>
        <v>Done Req Sample</v>
      </c>
      <c r="J57" s="261"/>
      <c r="K57" s="262"/>
      <c r="L57" s="261"/>
      <c r="M57" s="262"/>
      <c r="N57" s="261"/>
      <c r="O57" s="17"/>
      <c r="P57" s="261"/>
      <c r="Q57" s="17"/>
      <c r="R57" s="266"/>
      <c r="S57" s="266"/>
      <c r="T57" s="266"/>
      <c r="U57" s="266"/>
    </row>
    <row r="58">
      <c r="A58" s="255" t="str">
        <f>IFERROR(__xludf.DUMMYFUNCTION("""COMPUTED_VALUE"""),"NANO")</f>
        <v>NANO</v>
      </c>
      <c r="B58" s="23" t="str">
        <f>IFERROR(__xludf.DUMMYFUNCTION("""COMPUTED_VALUE"""),"pch992")</f>
        <v>pch992</v>
      </c>
      <c r="C58" s="281" t="str">
        <f>IFERROR(__xludf.DUMMYFUNCTION("""COMPUTED_VALUE"""),"https://www.tiktok.com/@pch992")</f>
        <v>https://www.tiktok.com/@pch992</v>
      </c>
      <c r="D58" s="270">
        <f>IFERROR(__xludf.DUMMYFUNCTION("""COMPUTED_VALUE"""),8.7709227979E10)</f>
        <v>87709227979</v>
      </c>
      <c r="E58" s="271">
        <f>IFERROR(__xludf.DUMMYFUNCTION("""COMPUTED_VALUE"""),125000.0)</f>
        <v>125000</v>
      </c>
      <c r="F58" s="270">
        <f>IFERROR(__xludf.DUMMYFUNCTION("""COMPUTED_VALUE"""),1.0)</f>
        <v>1</v>
      </c>
      <c r="G58" s="577">
        <f>IFERROR(__xludf.DUMMYFUNCTION("""COMPUTED_VALUE"""),1.916E7)</f>
        <v>19160000</v>
      </c>
      <c r="H58" s="259" t="str">
        <f>IFERROR(__xludf.DUMMYFUNCTION("""COMPUTED_VALUE"""),"Body Mask")</f>
        <v>Body Mask</v>
      </c>
      <c r="I58" s="260" t="str">
        <f>IFERROR(__xludf.DUMMYFUNCTION("""COMPUTED_VALUE"""),"Sampai")</f>
        <v>Sampai</v>
      </c>
      <c r="J58" s="261" t="str">
        <f>IFERROR(__xludf.DUMMYFUNCTION("""COMPUTED_VALUE"""),"Concept 3")</f>
        <v>Concept 3</v>
      </c>
      <c r="K58" s="278" t="str">
        <f>IFERROR(__xludf.DUMMYFUNCTION("""COMPUTED_VALUE"""),"https://vt.tiktok.com/ZSx5kVTXU/")</f>
        <v>https://vt.tiktok.com/ZSx5kVTXU/</v>
      </c>
      <c r="L58" s="261"/>
      <c r="M58" s="262"/>
      <c r="N58" s="261"/>
      <c r="O58" s="17"/>
      <c r="P58" s="261"/>
      <c r="Q58" s="17"/>
      <c r="R58" s="266">
        <f>IFERROR(__xludf.DUMMYFUNCTION("""COMPUTED_VALUE"""),0.0)</f>
        <v>0</v>
      </c>
      <c r="S58" s="266">
        <f>IFERROR(__xludf.DUMMYFUNCTION("""COMPUTED_VALUE"""),0.0)</f>
        <v>0</v>
      </c>
      <c r="T58" s="266">
        <f>IFERROR(__xludf.DUMMYFUNCTION("""COMPUTED_VALUE"""),0.0)</f>
        <v>0</v>
      </c>
      <c r="U58" s="266">
        <f>IFERROR(__xludf.DUMMYFUNCTION("""COMPUTED_VALUE"""),0.0)</f>
        <v>0</v>
      </c>
    </row>
    <row r="59">
      <c r="A59" s="255" t="str">
        <f>IFERROR(__xludf.DUMMYFUNCTION("""COMPUTED_VALUE"""),"MACRO")</f>
        <v>MACRO</v>
      </c>
      <c r="B59" s="23" t="str">
        <f>IFERROR(__xludf.DUMMYFUNCTION("""COMPUTED_VALUE"""),"thisisalulaa")</f>
        <v>thisisalulaa</v>
      </c>
      <c r="C59" s="281" t="str">
        <f>IFERROR(__xludf.DUMMYFUNCTION("""COMPUTED_VALUE"""),"https://www.tiktok.com/@thisisalulaa")</f>
        <v>https://www.tiktok.com/@thisisalulaa</v>
      </c>
      <c r="D59" s="270">
        <f>IFERROR(__xludf.DUMMYFUNCTION("""COMPUTED_VALUE"""),8.99957774E9)</f>
        <v>8999577740</v>
      </c>
      <c r="E59" s="271">
        <f>IFERROR(__xludf.DUMMYFUNCTION("""COMPUTED_VALUE"""),2100000.0)</f>
        <v>2100000</v>
      </c>
      <c r="F59" s="270">
        <f>IFERROR(__xludf.DUMMYFUNCTION("""COMPUTED_VALUE"""),1.0)</f>
        <v>1</v>
      </c>
      <c r="G59" s="577">
        <f>IFERROR(__xludf.DUMMYFUNCTION("""COMPUTED_VALUE"""),1.95E9)</f>
        <v>1950000000</v>
      </c>
      <c r="H59" s="259" t="str">
        <f>IFERROR(__xludf.DUMMYFUNCTION("""COMPUTED_VALUE"""),"Body Sunscreen")</f>
        <v>Body Sunscreen</v>
      </c>
      <c r="I59" s="260" t="str">
        <f>IFERROR(__xludf.DUMMYFUNCTION("""COMPUTED_VALUE"""),"Done Req Sample")</f>
        <v>Done Req Sample</v>
      </c>
      <c r="J59" s="261"/>
      <c r="K59" s="262"/>
      <c r="L59" s="261"/>
      <c r="M59" s="262"/>
      <c r="N59" s="261"/>
      <c r="O59" s="17"/>
      <c r="P59" s="261"/>
      <c r="Q59" s="17"/>
      <c r="R59" s="266">
        <f>IFERROR(__xludf.DUMMYFUNCTION("""COMPUTED_VALUE"""),0.0)</f>
        <v>0</v>
      </c>
      <c r="S59" s="266">
        <f>IFERROR(__xludf.DUMMYFUNCTION("""COMPUTED_VALUE"""),0.0)</f>
        <v>0</v>
      </c>
      <c r="T59" s="266">
        <f>IFERROR(__xludf.DUMMYFUNCTION("""COMPUTED_VALUE"""),0.0)</f>
        <v>0</v>
      </c>
      <c r="U59" s="266">
        <f>IFERROR(__xludf.DUMMYFUNCTION("""COMPUTED_VALUE"""),0.0)</f>
        <v>0</v>
      </c>
    </row>
    <row r="60">
      <c r="A60" s="255" t="str">
        <f>IFERROR(__xludf.DUMMYFUNCTION("""COMPUTED_VALUE"""),"MICRO")</f>
        <v>MICRO</v>
      </c>
      <c r="B60" s="23" t="str">
        <f>IFERROR(__xludf.DUMMYFUNCTION("""COMPUTED_VALUE"""),"lilyisnotflowerrr")</f>
        <v>lilyisnotflowerrr</v>
      </c>
      <c r="C60" s="281" t="str">
        <f>IFERROR(__xludf.DUMMYFUNCTION("""COMPUTED_VALUE"""),"https://www.tiktok.com/@lilyisnotflowerrr")</f>
        <v>https://www.tiktok.com/@lilyisnotflowerrr</v>
      </c>
      <c r="D60" s="270"/>
      <c r="E60" s="271">
        <f>IFERROR(__xludf.DUMMYFUNCTION("""COMPUTED_VALUE"""),600000.0)</f>
        <v>600000</v>
      </c>
      <c r="F60" s="270">
        <f>IFERROR(__xludf.DUMMYFUNCTION("""COMPUTED_VALUE"""),1.0)</f>
        <v>1</v>
      </c>
      <c r="G60" s="577">
        <f>IFERROR(__xludf.DUMMYFUNCTION("""COMPUTED_VALUE"""),1.1E9)</f>
        <v>1100000000</v>
      </c>
      <c r="H60" s="259" t="str">
        <f>IFERROR(__xludf.DUMMYFUNCTION("""COMPUTED_VALUE"""),"Body Serum Retinol")</f>
        <v>Body Serum Retinol</v>
      </c>
      <c r="I60" s="260" t="str">
        <f>IFERROR(__xludf.DUMMYFUNCTION("""COMPUTED_VALUE"""),"Done Req Sample")</f>
        <v>Done Req Sample</v>
      </c>
      <c r="J60" s="261"/>
      <c r="K60" s="262"/>
      <c r="L60" s="261"/>
      <c r="M60" s="262"/>
      <c r="N60" s="261"/>
      <c r="O60" s="17"/>
      <c r="P60" s="261"/>
      <c r="Q60" s="17"/>
      <c r="R60" s="266">
        <f>IFERROR(__xludf.DUMMYFUNCTION("""COMPUTED_VALUE"""),0.0)</f>
        <v>0</v>
      </c>
      <c r="S60" s="266">
        <f>IFERROR(__xludf.DUMMYFUNCTION("""COMPUTED_VALUE"""),0.0)</f>
        <v>0</v>
      </c>
      <c r="T60" s="266">
        <f>IFERROR(__xludf.DUMMYFUNCTION("""COMPUTED_VALUE"""),0.0)</f>
        <v>0</v>
      </c>
      <c r="U60" s="266">
        <f>IFERROR(__xludf.DUMMYFUNCTION("""COMPUTED_VALUE"""),0.0)</f>
        <v>0</v>
      </c>
    </row>
    <row r="61">
      <c r="A61" s="255" t="str">
        <f>IFERROR(__xludf.DUMMYFUNCTION("""COMPUTED_VALUE"""),"MICRO")</f>
        <v>MICRO</v>
      </c>
      <c r="B61" s="23" t="str">
        <f>IFERROR(__xludf.DUMMYFUNCTION("""COMPUTED_VALUE"""),"ekbardiary")</f>
        <v>ekbardiary</v>
      </c>
      <c r="C61" s="281" t="str">
        <f>IFERROR(__xludf.DUMMYFUNCTION("""COMPUTED_VALUE"""),"https://www.tiktok.com/@ekbardiary")</f>
        <v>https://www.tiktok.com/@ekbardiary</v>
      </c>
      <c r="D61" s="270">
        <f>IFERROR(__xludf.DUMMYFUNCTION("""COMPUTED_VALUE"""),8.2118716575E10)</f>
        <v>82118716575</v>
      </c>
      <c r="E61" s="271"/>
      <c r="F61" s="270">
        <f>IFERROR(__xludf.DUMMYFUNCTION("""COMPUTED_VALUE"""),1.0)</f>
        <v>1</v>
      </c>
      <c r="G61" s="577">
        <f>IFERROR(__xludf.DUMMYFUNCTION("""COMPUTED_VALUE"""),3.862E7)</f>
        <v>38620000</v>
      </c>
      <c r="H61" s="259"/>
      <c r="I61" s="260" t="str">
        <f>IFERROR(__xludf.DUMMYFUNCTION("""COMPUTED_VALUE"""),"Kendala [FU!]")</f>
        <v>Kendala [FU!]</v>
      </c>
      <c r="J61" s="261"/>
      <c r="K61" s="262"/>
      <c r="L61" s="261"/>
      <c r="M61" s="262"/>
      <c r="N61" s="261"/>
      <c r="O61" s="17"/>
      <c r="P61" s="261"/>
      <c r="Q61" s="17"/>
      <c r="R61" s="266">
        <f>IFERROR(__xludf.DUMMYFUNCTION("""COMPUTED_VALUE"""),0.0)</f>
        <v>0</v>
      </c>
      <c r="S61" s="266">
        <f>IFERROR(__xludf.DUMMYFUNCTION("""COMPUTED_VALUE"""),0.0)</f>
        <v>0</v>
      </c>
      <c r="T61" s="266">
        <f>IFERROR(__xludf.DUMMYFUNCTION("""COMPUTED_VALUE"""),0.0)</f>
        <v>0</v>
      </c>
      <c r="U61" s="266">
        <f>IFERROR(__xludf.DUMMYFUNCTION("""COMPUTED_VALUE"""),0.0)</f>
        <v>0</v>
      </c>
    </row>
    <row r="62">
      <c r="A62" s="255" t="str">
        <f>IFERROR(__xludf.DUMMYFUNCTION("""COMPUTED_VALUE"""),"MEGA")</f>
        <v>MEGA</v>
      </c>
      <c r="B62" s="23" t="str">
        <f>IFERROR(__xludf.DUMMYFUNCTION("""COMPUTED_VALUE"""),"kania_angelo")</f>
        <v>kania_angelo</v>
      </c>
      <c r="C62" s="281" t="str">
        <f>IFERROR(__xludf.DUMMYFUNCTION("""COMPUTED_VALUE"""),"https://www.tiktok.com/@kania_angelo")</f>
        <v>https://www.tiktok.com/@kania_angelo</v>
      </c>
      <c r="D62" s="270">
        <f>IFERROR(__xludf.DUMMYFUNCTION("""COMPUTED_VALUE"""),8.5738150299E10)</f>
        <v>85738150299</v>
      </c>
      <c r="E62" s="271">
        <f>IFERROR(__xludf.DUMMYFUNCTION("""COMPUTED_VALUE"""),1900000.0)</f>
        <v>1900000</v>
      </c>
      <c r="F62" s="270">
        <f>IFERROR(__xludf.DUMMYFUNCTION("""COMPUTED_VALUE"""),1.0)</f>
        <v>1</v>
      </c>
      <c r="G62" s="577">
        <f>IFERROR(__xludf.DUMMYFUNCTION("""COMPUTED_VALUE"""),8.003E7)</f>
        <v>80030000</v>
      </c>
      <c r="H62" s="259"/>
      <c r="I62" s="260" t="str">
        <f>IFERROR(__xludf.DUMMYFUNCTION("""COMPUTED_VALUE"""),"Kendala [FU!]")</f>
        <v>Kendala [FU!]</v>
      </c>
      <c r="J62" s="261"/>
      <c r="K62" s="262"/>
      <c r="L62" s="261"/>
      <c r="M62" s="262"/>
      <c r="N62" s="261"/>
      <c r="O62" s="17"/>
      <c r="P62" s="261"/>
      <c r="Q62" s="17"/>
      <c r="R62" s="266">
        <f>IFERROR(__xludf.DUMMYFUNCTION("""COMPUTED_VALUE"""),0.0)</f>
        <v>0</v>
      </c>
      <c r="S62" s="266">
        <f>IFERROR(__xludf.DUMMYFUNCTION("""COMPUTED_VALUE"""),0.0)</f>
        <v>0</v>
      </c>
      <c r="T62" s="266">
        <f>IFERROR(__xludf.DUMMYFUNCTION("""COMPUTED_VALUE"""),0.0)</f>
        <v>0</v>
      </c>
      <c r="U62" s="266">
        <f>IFERROR(__xludf.DUMMYFUNCTION("""COMPUTED_VALUE"""),0.0)</f>
        <v>0</v>
      </c>
    </row>
    <row r="63">
      <c r="A63" s="255" t="str">
        <f>IFERROR(__xludf.DUMMYFUNCTION("""COMPUTED_VALUE"""),"NANO")</f>
        <v>NANO</v>
      </c>
      <c r="B63" s="23" t="str">
        <f>IFERROR(__xludf.DUMMYFUNCTION("""COMPUTED_VALUE"""),"mrsrepiew")</f>
        <v>mrsrepiew</v>
      </c>
      <c r="C63" s="281" t="str">
        <f>IFERROR(__xludf.DUMMYFUNCTION("""COMPUTED_VALUE"""),"https://www.tiktok.com/@mrsrepiew")</f>
        <v>https://www.tiktok.com/@mrsrepiew</v>
      </c>
      <c r="D63" s="270">
        <f>IFERROR(__xludf.DUMMYFUNCTION("""COMPUTED_VALUE"""),8.5336219873E10)</f>
        <v>85336219873</v>
      </c>
      <c r="E63" s="271">
        <f>IFERROR(__xludf.DUMMYFUNCTION("""COMPUTED_VALUE"""),250000.0)</f>
        <v>250000</v>
      </c>
      <c r="F63" s="270">
        <f>IFERROR(__xludf.DUMMYFUNCTION("""COMPUTED_VALUE"""),1.0)</f>
        <v>1</v>
      </c>
      <c r="G63" s="577">
        <f>IFERROR(__xludf.DUMMYFUNCTION("""COMPUTED_VALUE"""),1.299E8)</f>
        <v>129900000</v>
      </c>
      <c r="H63" s="259" t="str">
        <f>IFERROR(__xludf.DUMMYFUNCTION("""COMPUTED_VALUE"""),"Body Serum Retinol")</f>
        <v>Body Serum Retinol</v>
      </c>
      <c r="I63" s="260" t="str">
        <f>IFERROR(__xludf.DUMMYFUNCTION("""COMPUTED_VALUE"""),"Sampai")</f>
        <v>Sampai</v>
      </c>
      <c r="J63" s="261" t="str">
        <f>IFERROR(__xludf.DUMMYFUNCTION("""COMPUTED_VALUE""")," Concept 1")</f>
        <v> Concept 1</v>
      </c>
      <c r="K63" s="278" t="str">
        <f>IFERROR(__xludf.DUMMYFUNCTION("""COMPUTED_VALUE"""),"https://vt.tiktok.com/ZSQ6x8sp6/")</f>
        <v>https://vt.tiktok.com/ZSQ6x8sp6/</v>
      </c>
      <c r="L63" s="261"/>
      <c r="M63" s="262"/>
      <c r="N63" s="261"/>
      <c r="O63" s="17"/>
      <c r="P63" s="261"/>
      <c r="Q63" s="17"/>
      <c r="R63" s="266">
        <f>IFERROR(__xludf.DUMMYFUNCTION("""COMPUTED_VALUE"""),0.0)</f>
        <v>0</v>
      </c>
      <c r="S63" s="266">
        <f>IFERROR(__xludf.DUMMYFUNCTION("""COMPUTED_VALUE"""),0.0)</f>
        <v>0</v>
      </c>
      <c r="T63" s="266">
        <f>IFERROR(__xludf.DUMMYFUNCTION("""COMPUTED_VALUE"""),0.0)</f>
        <v>0</v>
      </c>
      <c r="U63" s="266">
        <f>IFERROR(__xludf.DUMMYFUNCTION("""COMPUTED_VALUE"""),0.0)</f>
        <v>0</v>
      </c>
    </row>
    <row r="64">
      <c r="A64" s="255" t="str">
        <f>IFERROR(__xludf.DUMMYFUNCTION("""COMPUTED_VALUE"""),"MICRO")</f>
        <v>MICRO</v>
      </c>
      <c r="B64" s="23" t="str">
        <f>IFERROR(__xludf.DUMMYFUNCTION("""COMPUTED_VALUE"""),"zihanokta")</f>
        <v>zihanokta</v>
      </c>
      <c r="C64" s="281" t="str">
        <f>IFERROR(__xludf.DUMMYFUNCTION("""COMPUTED_VALUE"""),"https://www.tiktok.com/@zihanokta")</f>
        <v>https://www.tiktok.com/@zihanokta</v>
      </c>
      <c r="D64" s="270">
        <f>IFERROR(__xludf.DUMMYFUNCTION("""COMPUTED_VALUE"""),8.1510277537E10)</f>
        <v>81510277537</v>
      </c>
      <c r="E64" s="271">
        <f>IFERROR(__xludf.DUMMYFUNCTION("""COMPUTED_VALUE"""),700000.0)</f>
        <v>700000</v>
      </c>
      <c r="F64" s="270">
        <f>IFERROR(__xludf.DUMMYFUNCTION("""COMPUTED_VALUE"""),1.0)</f>
        <v>1</v>
      </c>
      <c r="G64" s="577">
        <f>IFERROR(__xludf.DUMMYFUNCTION("""COMPUTED_VALUE"""),1.122E8)</f>
        <v>112200000</v>
      </c>
      <c r="H64" s="259" t="str">
        <f>IFERROR(__xludf.DUMMYFUNCTION("""COMPUTED_VALUE"""),"Body Mask")</f>
        <v>Body Mask</v>
      </c>
      <c r="I64" s="260" t="str">
        <f>IFERROR(__xludf.DUMMYFUNCTION("""COMPUTED_VALUE"""),"Sampai")</f>
        <v>Sampai</v>
      </c>
      <c r="J64" s="261" t="str">
        <f>IFERROR(__xludf.DUMMYFUNCTION("""COMPUTED_VALUE"""),"Concept 3")</f>
        <v>Concept 3</v>
      </c>
      <c r="K64" s="278" t="str">
        <f>IFERROR(__xludf.DUMMYFUNCTION("""COMPUTED_VALUE"""),"https://vt.tiktok.com/ZSxQ8NT4a/")</f>
        <v>https://vt.tiktok.com/ZSxQ8NT4a/</v>
      </c>
      <c r="L64" s="261"/>
      <c r="M64" s="262"/>
      <c r="N64" s="261"/>
      <c r="O64" s="17"/>
      <c r="P64" s="261"/>
      <c r="Q64" s="17"/>
      <c r="R64" s="266">
        <f>IFERROR(__xludf.DUMMYFUNCTION("""COMPUTED_VALUE"""),77353.0)</f>
        <v>77353</v>
      </c>
      <c r="S64" s="266">
        <f>IFERROR(__xludf.DUMMYFUNCTION("""COMPUTED_VALUE"""),0.0)</f>
        <v>0</v>
      </c>
      <c r="T64" s="266">
        <f>IFERROR(__xludf.DUMMYFUNCTION("""COMPUTED_VALUE"""),0.0)</f>
        <v>0</v>
      </c>
      <c r="U64" s="266">
        <f>IFERROR(__xludf.DUMMYFUNCTION("""COMPUTED_VALUE"""),0.0)</f>
        <v>0</v>
      </c>
    </row>
    <row r="65">
      <c r="A65" s="255" t="str">
        <f>IFERROR(__xludf.DUMMYFUNCTION("""COMPUTED_VALUE"""),"MEGA")</f>
        <v>MEGA</v>
      </c>
      <c r="B65" s="23" t="str">
        <f>IFERROR(__xludf.DUMMYFUNCTION("""COMPUTED_VALUE"""),"andyraka")</f>
        <v>andyraka</v>
      </c>
      <c r="C65" s="281" t="str">
        <f>IFERROR(__xludf.DUMMYFUNCTION("""COMPUTED_VALUE"""),"https://www.tiktok.com/@andyraka")</f>
        <v>https://www.tiktok.com/@andyraka</v>
      </c>
      <c r="D65" s="270">
        <f>IFERROR(__xludf.DUMMYFUNCTION("""COMPUTED_VALUE"""),8.1210701401E10)</f>
        <v>81210701401</v>
      </c>
      <c r="E65" s="271">
        <f>IFERROR(__xludf.DUMMYFUNCTION("""COMPUTED_VALUE"""),5500000.0)</f>
        <v>5500000</v>
      </c>
      <c r="F65" s="270">
        <f>IFERROR(__xludf.DUMMYFUNCTION("""COMPUTED_VALUE"""),1.0)</f>
        <v>1</v>
      </c>
      <c r="G65" s="577">
        <f>IFERROR(__xludf.DUMMYFUNCTION("""COMPUTED_VALUE"""),2.1E9)</f>
        <v>2100000000</v>
      </c>
      <c r="H65" s="259" t="str">
        <f>IFERROR(__xludf.DUMMYFUNCTION("""COMPUTED_VALUE"""),"Body Mask")</f>
        <v>Body Mask</v>
      </c>
      <c r="I65" s="260" t="str">
        <f>IFERROR(__xludf.DUMMYFUNCTION("""COMPUTED_VALUE"""),"Sampai")</f>
        <v>Sampai</v>
      </c>
      <c r="J65" s="261" t="str">
        <f>IFERROR(__xludf.DUMMYFUNCTION("""COMPUTED_VALUE""")," Concept 1")</f>
        <v> Concept 1</v>
      </c>
      <c r="K65" s="278" t="str">
        <f>IFERROR(__xludf.DUMMYFUNCTION("""COMPUTED_VALUE"""),"https://vt.tiktok.com/ZSxGrfK1m/")</f>
        <v>https://vt.tiktok.com/ZSxGrfK1m/</v>
      </c>
      <c r="L65" s="261"/>
      <c r="M65" s="262"/>
      <c r="N65" s="261"/>
      <c r="O65" s="17"/>
      <c r="P65" s="261"/>
      <c r="Q65" s="17"/>
      <c r="R65" s="266">
        <f>IFERROR(__xludf.DUMMYFUNCTION("""COMPUTED_VALUE"""),248018.0)</f>
        <v>248018</v>
      </c>
      <c r="S65" s="266">
        <f>IFERROR(__xludf.DUMMYFUNCTION("""COMPUTED_VALUE"""),0.0)</f>
        <v>0</v>
      </c>
      <c r="T65" s="266">
        <f>IFERROR(__xludf.DUMMYFUNCTION("""COMPUTED_VALUE"""),0.0)</f>
        <v>0</v>
      </c>
      <c r="U65" s="266">
        <f>IFERROR(__xludf.DUMMYFUNCTION("""COMPUTED_VALUE"""),0.0)</f>
        <v>0</v>
      </c>
    </row>
    <row r="66">
      <c r="A66" s="255" t="str">
        <f>IFERROR(__xludf.DUMMYFUNCTION("""COMPUTED_VALUE"""),"NANO")</f>
        <v>NANO</v>
      </c>
      <c r="B66" s="23" t="str">
        <f>IFERROR(__xludf.DUMMYFUNCTION("""COMPUTED_VALUE"""),"jeezythingz")</f>
        <v>jeezythingz</v>
      </c>
      <c r="C66" s="281" t="str">
        <f>IFERROR(__xludf.DUMMYFUNCTION("""COMPUTED_VALUE"""),"https://www.tiktok.com/@jeezythingz")</f>
        <v>https://www.tiktok.com/@jeezythingz</v>
      </c>
      <c r="D66" s="270"/>
      <c r="E66" s="271">
        <f>IFERROR(__xludf.DUMMYFUNCTION("""COMPUTED_VALUE"""),150000.0)</f>
        <v>150000</v>
      </c>
      <c r="F66" s="270">
        <f>IFERROR(__xludf.DUMMYFUNCTION("""COMPUTED_VALUE"""),1.0)</f>
        <v>1</v>
      </c>
      <c r="G66" s="577">
        <f>IFERROR(__xludf.DUMMYFUNCTION("""COMPUTED_VALUE"""),1.182E8)</f>
        <v>118200000</v>
      </c>
      <c r="H66" s="259" t="str">
        <f>IFERROR(__xludf.DUMMYFUNCTION("""COMPUTED_VALUE"""),"Body Sunscreen")</f>
        <v>Body Sunscreen</v>
      </c>
      <c r="I66" s="260" t="str">
        <f>IFERROR(__xludf.DUMMYFUNCTION("""COMPUTED_VALUE"""),"Sampai")</f>
        <v>Sampai</v>
      </c>
      <c r="J66" s="261" t="str">
        <f>IFERROR(__xludf.DUMMYFUNCTION("""COMPUTED_VALUE""")," Concept 1")</f>
        <v> Concept 1</v>
      </c>
      <c r="K66" s="278" t="str">
        <f>IFERROR(__xludf.DUMMYFUNCTION("""COMPUTED_VALUE"""),"https://www.tiktok.com/@a.etikk/video/7645218444752735509?is_from_webapp=1&amp;sender_device=pc")</f>
        <v>https://www.tiktok.com/@a.etikk/video/7645218444752735509?is_from_webapp=1&amp;sender_device=pc</v>
      </c>
      <c r="L66" s="261"/>
      <c r="M66" s="262"/>
      <c r="N66" s="261"/>
      <c r="O66" s="17"/>
      <c r="P66" s="261"/>
      <c r="Q66" s="17"/>
      <c r="R66" s="266"/>
      <c r="S66" s="266"/>
      <c r="T66" s="266"/>
      <c r="U66" s="266"/>
    </row>
    <row r="67">
      <c r="A67" s="255" t="str">
        <f>IFERROR(__xludf.DUMMYFUNCTION("""COMPUTED_VALUE"""),"NANO")</f>
        <v>NANO</v>
      </c>
      <c r="B67" s="23" t="str">
        <f>IFERROR(__xludf.DUMMYFUNCTION("""COMPUTED_VALUE"""),"aiisaaaaaaaaaa")</f>
        <v>aiisaaaaaaaaaa</v>
      </c>
      <c r="C67" s="281" t="str">
        <f>IFERROR(__xludf.DUMMYFUNCTION("""COMPUTED_VALUE"""),"https://www.tiktok.com/@aiisaaaaaaaaaa")</f>
        <v>https://www.tiktok.com/@aiisaaaaaaaaaa</v>
      </c>
      <c r="D67" s="270"/>
      <c r="E67" s="271">
        <f>IFERROR(__xludf.DUMMYFUNCTION("""COMPUTED_VALUE"""),0.0)</f>
        <v>0</v>
      </c>
      <c r="F67" s="270">
        <f>IFERROR(__xludf.DUMMYFUNCTION("""COMPUTED_VALUE"""),2.0)</f>
        <v>2</v>
      </c>
      <c r="G67" s="577">
        <f>IFERROR(__xludf.DUMMYFUNCTION("""COMPUTED_VALUE"""),9.06E7)</f>
        <v>90600000</v>
      </c>
      <c r="H67" s="259" t="str">
        <f>IFERROR(__xludf.DUMMYFUNCTION("""COMPUTED_VALUE"""),"Body Serum Retinol")</f>
        <v>Body Serum Retinol</v>
      </c>
      <c r="I67" s="260" t="str">
        <f>IFERROR(__xludf.DUMMYFUNCTION("""COMPUTED_VALUE"""),"Done Req Sample")</f>
        <v>Done Req Sample</v>
      </c>
      <c r="J67" s="261"/>
      <c r="K67" s="262"/>
      <c r="L67" s="261"/>
      <c r="M67" s="262"/>
      <c r="N67" s="261"/>
      <c r="O67" s="17"/>
      <c r="P67" s="261"/>
      <c r="Q67" s="17"/>
      <c r="R67" s="266"/>
      <c r="S67" s="266"/>
      <c r="T67" s="266"/>
      <c r="U67" s="266"/>
    </row>
    <row r="68">
      <c r="A68" s="255" t="str">
        <f>IFERROR(__xludf.DUMMYFUNCTION("""COMPUTED_VALUE"""),"NANO")</f>
        <v>NANO</v>
      </c>
      <c r="B68" s="23" t="str">
        <f>IFERROR(__xludf.DUMMYFUNCTION("""COMPUTED_VALUE"""),"si.imel")</f>
        <v>si.imel</v>
      </c>
      <c r="C68" s="281" t="str">
        <f>IFERROR(__xludf.DUMMYFUNCTION("""COMPUTED_VALUE"""),"https://www.tiktok.com/@si.imel")</f>
        <v>https://www.tiktok.com/@si.imel</v>
      </c>
      <c r="D68" s="270">
        <f>IFERROR(__xludf.DUMMYFUNCTION("""COMPUTED_VALUE"""),8.991853251E9)</f>
        <v>8991853251</v>
      </c>
      <c r="E68" s="271">
        <f>IFERROR(__xludf.DUMMYFUNCTION("""COMPUTED_VALUE"""),250000.0)</f>
        <v>250000</v>
      </c>
      <c r="F68" s="270">
        <f>IFERROR(__xludf.DUMMYFUNCTION("""COMPUTED_VALUE"""),1.0)</f>
        <v>1</v>
      </c>
      <c r="G68" s="577">
        <f>IFERROR(__xludf.DUMMYFUNCTION("""COMPUTED_VALUE"""),7.81E7)</f>
        <v>78100000</v>
      </c>
      <c r="H68" s="259" t="str">
        <f>IFERROR(__xludf.DUMMYFUNCTION("""COMPUTED_VALUE"""),"Body Serum Retinol")</f>
        <v>Body Serum Retinol</v>
      </c>
      <c r="I68" s="260" t="str">
        <f>IFERROR(__xludf.DUMMYFUNCTION("""COMPUTED_VALUE"""),"Sampai")</f>
        <v>Sampai</v>
      </c>
      <c r="J68" s="261" t="str">
        <f>IFERROR(__xludf.DUMMYFUNCTION("""COMPUTED_VALUE""")," Concept 1")</f>
        <v> Concept 1</v>
      </c>
      <c r="K68" s="278" t="str">
        <f>IFERROR(__xludf.DUMMYFUNCTION("""COMPUTED_VALUE"""),"https://vt.tiktok.com/ZSxVWweGj/")</f>
        <v>https://vt.tiktok.com/ZSxVWweGj/</v>
      </c>
      <c r="L68" s="261"/>
      <c r="M68" s="262"/>
      <c r="N68" s="261"/>
      <c r="O68" s="17"/>
      <c r="P68" s="261"/>
      <c r="Q68" s="17"/>
      <c r="R68" s="266">
        <f>IFERROR(__xludf.DUMMYFUNCTION("""COMPUTED_VALUE"""),76000.0)</f>
        <v>76000</v>
      </c>
      <c r="S68" s="266">
        <f>IFERROR(__xludf.DUMMYFUNCTION("""COMPUTED_VALUE"""),0.0)</f>
        <v>0</v>
      </c>
      <c r="T68" s="266">
        <f>IFERROR(__xludf.DUMMYFUNCTION("""COMPUTED_VALUE"""),0.0)</f>
        <v>0</v>
      </c>
      <c r="U68" s="266">
        <f>IFERROR(__xludf.DUMMYFUNCTION("""COMPUTED_VALUE"""),0.0)</f>
        <v>0</v>
      </c>
    </row>
    <row r="69">
      <c r="A69" s="255" t="str">
        <f>IFERROR(__xludf.DUMMYFUNCTION("""COMPUTED_VALUE"""),"NANO")</f>
        <v>NANO</v>
      </c>
      <c r="B69" s="23" t="str">
        <f>IFERROR(__xludf.DUMMYFUNCTION("""COMPUTED_VALUE"""),"ayuulestariii31")</f>
        <v>ayuulestariii31</v>
      </c>
      <c r="C69" s="281" t="str">
        <f>IFERROR(__xludf.DUMMYFUNCTION("""COMPUTED_VALUE"""),"https://www.tiktok.com/@ayuulestariii31")</f>
        <v>https://www.tiktok.com/@ayuulestariii31</v>
      </c>
      <c r="D69" s="270">
        <f>IFERROR(__xludf.DUMMYFUNCTION("""COMPUTED_VALUE"""),8.511780311E10)</f>
        <v>85117803110</v>
      </c>
      <c r="E69" s="271">
        <f>IFERROR(__xludf.DUMMYFUNCTION("""COMPUTED_VALUE"""),500000.0)</f>
        <v>500000</v>
      </c>
      <c r="F69" s="270">
        <f>IFERROR(__xludf.DUMMYFUNCTION("""COMPUTED_VALUE"""),1.0)</f>
        <v>1</v>
      </c>
      <c r="G69" s="577">
        <f>IFERROR(__xludf.DUMMYFUNCTION("""COMPUTED_VALUE"""),8.252E7)</f>
        <v>82520000</v>
      </c>
      <c r="H69" s="259" t="str">
        <f>IFERROR(__xludf.DUMMYFUNCTION("""COMPUTED_VALUE"""),"Body Sunscreen")</f>
        <v>Body Sunscreen</v>
      </c>
      <c r="I69" s="260" t="str">
        <f>IFERROR(__xludf.DUMMYFUNCTION("""COMPUTED_VALUE"""),"Done Req Sample")</f>
        <v>Done Req Sample</v>
      </c>
      <c r="J69" s="261"/>
      <c r="K69" s="262"/>
      <c r="L69" s="261"/>
      <c r="M69" s="262"/>
      <c r="N69" s="261"/>
      <c r="O69" s="17"/>
      <c r="P69" s="261"/>
      <c r="Q69" s="17"/>
      <c r="R69" s="266"/>
      <c r="S69" s="266"/>
      <c r="T69" s="266"/>
      <c r="U69" s="266"/>
    </row>
    <row r="70">
      <c r="A70" s="255" t="str">
        <f>IFERROR(__xludf.DUMMYFUNCTION("""COMPUTED_VALUE"""),"MICRO")</f>
        <v>MICRO</v>
      </c>
      <c r="B70" s="23" t="str">
        <f>IFERROR(__xludf.DUMMYFUNCTION("""COMPUTED_VALUE"""),"ctnamiraa")</f>
        <v>ctnamiraa</v>
      </c>
      <c r="C70" s="281" t="str">
        <f>IFERROR(__xludf.DUMMYFUNCTION("""COMPUTED_VALUE"""),"https://www.tiktok.com/@ctnamiraa")</f>
        <v>https://www.tiktok.com/@ctnamiraa</v>
      </c>
      <c r="D70" s="270"/>
      <c r="E70" s="271">
        <f>IFERROR(__xludf.DUMMYFUNCTION("""COMPUTED_VALUE"""),0.0)</f>
        <v>0</v>
      </c>
      <c r="F70" s="270">
        <f>IFERROR(__xludf.DUMMYFUNCTION("""COMPUTED_VALUE"""),2.0)</f>
        <v>2</v>
      </c>
      <c r="G70" s="577">
        <f>IFERROR(__xludf.DUMMYFUNCTION("""COMPUTED_VALUE"""),1.0E7)</f>
        <v>10000000</v>
      </c>
      <c r="H70" s="259" t="str">
        <f>IFERROR(__xludf.DUMMYFUNCTION("""COMPUTED_VALUE"""),"Body Sunscreen")</f>
        <v>Body Sunscreen</v>
      </c>
      <c r="I70" s="260" t="str">
        <f>IFERROR(__xludf.DUMMYFUNCTION("""COMPUTED_VALUE"""),"Done Req Sample")</f>
        <v>Done Req Sample</v>
      </c>
      <c r="J70" s="261"/>
      <c r="K70" s="262"/>
      <c r="L70" s="261"/>
      <c r="M70" s="262"/>
      <c r="N70" s="261"/>
      <c r="O70" s="17"/>
      <c r="P70" s="261"/>
      <c r="Q70" s="17"/>
      <c r="R70" s="266"/>
      <c r="S70" s="266"/>
      <c r="T70" s="266"/>
      <c r="U70" s="266"/>
    </row>
    <row r="71">
      <c r="A71" s="255" t="str">
        <f>IFERROR(__xludf.DUMMYFUNCTION("""COMPUTED_VALUE"""),"MACRO")</f>
        <v>MACRO</v>
      </c>
      <c r="B71" s="23" t="str">
        <f>IFERROR(__xludf.DUMMYFUNCTION("""COMPUTED_VALUE"""),"nurnnyas")</f>
        <v>nurnnyas</v>
      </c>
      <c r="C71" s="281" t="str">
        <f>IFERROR(__xludf.DUMMYFUNCTION("""COMPUTED_VALUE"""),"https://www.tiktok.com/@nurnnyas")</f>
        <v>https://www.tiktok.com/@nurnnyas</v>
      </c>
      <c r="D71" s="270">
        <f>IFERROR(__xludf.DUMMYFUNCTION("""COMPUTED_VALUE"""),8.1352754346E10)</f>
        <v>81352754346</v>
      </c>
      <c r="E71" s="271">
        <f>IFERROR(__xludf.DUMMYFUNCTION("""COMPUTED_VALUE"""),0.0)</f>
        <v>0</v>
      </c>
      <c r="F71" s="270">
        <f>IFERROR(__xludf.DUMMYFUNCTION("""COMPUTED_VALUE"""),2.0)</f>
        <v>2</v>
      </c>
      <c r="G71" s="577">
        <f>IFERROR(__xludf.DUMMYFUNCTION("""COMPUTED_VALUE"""),3.53E7)</f>
        <v>35300000</v>
      </c>
      <c r="H71" s="259"/>
      <c r="I71" s="260"/>
      <c r="J71" s="261"/>
      <c r="K71" s="262"/>
      <c r="L71" s="261"/>
      <c r="M71" s="262"/>
      <c r="N71" s="261"/>
      <c r="O71" s="17"/>
      <c r="P71" s="261"/>
      <c r="Q71" s="17"/>
      <c r="R71" s="266"/>
      <c r="S71" s="266"/>
      <c r="T71" s="266"/>
      <c r="U71" s="266"/>
    </row>
    <row r="72">
      <c r="A72" s="255" t="str">
        <f>IFERROR(__xludf.DUMMYFUNCTION("""COMPUTED_VALUE"""),"MACRO")</f>
        <v>MACRO</v>
      </c>
      <c r="B72" s="23" t="str">
        <f>IFERROR(__xludf.DUMMYFUNCTION("""COMPUTED_VALUE"""),"stylesonnnn")</f>
        <v>stylesonnnn</v>
      </c>
      <c r="C72" s="281" t="str">
        <f>IFERROR(__xludf.DUMMYFUNCTION("""COMPUTED_VALUE"""),"https://www.tiktok.com/@stylesonnnn")</f>
        <v>https://www.tiktok.com/@stylesonnnn</v>
      </c>
      <c r="D72" s="270">
        <f>IFERROR(__xludf.DUMMYFUNCTION("""COMPUTED_VALUE"""),8.1389398948E10)</f>
        <v>81389398948</v>
      </c>
      <c r="E72" s="271">
        <f>IFERROR(__xludf.DUMMYFUNCTION("""COMPUTED_VALUE"""),0.0)</f>
        <v>0</v>
      </c>
      <c r="F72" s="270">
        <f>IFERROR(__xludf.DUMMYFUNCTION("""COMPUTED_VALUE"""),2.0)</f>
        <v>2</v>
      </c>
      <c r="G72" s="577">
        <f>IFERROR(__xludf.DUMMYFUNCTION("""COMPUTED_VALUE"""),4.5935E8)</f>
        <v>459350000</v>
      </c>
      <c r="H72" s="259" t="str">
        <f>IFERROR(__xludf.DUMMYFUNCTION("""COMPUTED_VALUE"""),"Body Serum Retinol")</f>
        <v>Body Serum Retinol</v>
      </c>
      <c r="I72" s="260" t="str">
        <f>IFERROR(__xludf.DUMMYFUNCTION("""COMPUTED_VALUE"""),"Done Req Sample")</f>
        <v>Done Req Sample</v>
      </c>
      <c r="J72" s="261"/>
      <c r="K72" s="262"/>
      <c r="L72" s="261"/>
      <c r="M72" s="262"/>
      <c r="N72" s="261"/>
      <c r="O72" s="17"/>
      <c r="P72" s="261"/>
      <c r="Q72" s="17"/>
      <c r="R72" s="266"/>
      <c r="S72" s="266"/>
      <c r="T72" s="266"/>
      <c r="U72" s="266"/>
    </row>
    <row r="73">
      <c r="A73" s="255" t="str">
        <f>IFERROR(__xludf.DUMMYFUNCTION("""COMPUTED_VALUE"""),"MICRO")</f>
        <v>MICRO</v>
      </c>
      <c r="B73" s="23" t="str">
        <f>IFERROR(__xludf.DUMMYFUNCTION("""COMPUTED_VALUE"""),"getmeplease_")</f>
        <v>getmeplease_</v>
      </c>
      <c r="C73" s="281" t="str">
        <f>IFERROR(__xludf.DUMMYFUNCTION("""COMPUTED_VALUE"""),"https://www.tiktok.com/@getmeplease_")</f>
        <v>https://www.tiktok.com/@getmeplease_</v>
      </c>
      <c r="D73" s="270">
        <f>IFERROR(__xludf.DUMMYFUNCTION("""COMPUTED_VALUE"""),8.5702390787E10)</f>
        <v>85702390787</v>
      </c>
      <c r="E73" s="271">
        <f>IFERROR(__xludf.DUMMYFUNCTION("""COMPUTED_VALUE"""),0.0)</f>
        <v>0</v>
      </c>
      <c r="F73" s="270">
        <f>IFERROR(__xludf.DUMMYFUNCTION("""COMPUTED_VALUE"""),2.0)</f>
        <v>2</v>
      </c>
      <c r="G73" s="577">
        <f>IFERROR(__xludf.DUMMYFUNCTION("""COMPUTED_VALUE"""),5.834E8)</f>
        <v>583400000</v>
      </c>
      <c r="H73" s="259"/>
      <c r="I73" s="260"/>
      <c r="J73" s="261"/>
      <c r="K73" s="262"/>
      <c r="L73" s="261"/>
      <c r="M73" s="262"/>
      <c r="N73" s="261"/>
      <c r="O73" s="17"/>
      <c r="P73" s="261"/>
      <c r="Q73" s="17"/>
      <c r="R73" s="266"/>
      <c r="S73" s="266"/>
      <c r="T73" s="266"/>
      <c r="U73" s="266"/>
    </row>
    <row r="74">
      <c r="A74" s="255" t="str">
        <f>IFERROR(__xludf.DUMMYFUNCTION("""COMPUTED_VALUE"""),"MICRO")</f>
        <v>MICRO</v>
      </c>
      <c r="B74" s="23" t="str">
        <f>IFERROR(__xludf.DUMMYFUNCTION("""COMPUTED_VALUE"""),"nris9")</f>
        <v>nris9</v>
      </c>
      <c r="C74" s="281" t="str">
        <f>IFERROR(__xludf.DUMMYFUNCTION("""COMPUTED_VALUE"""),"https://www.tiktok.com/@nris9")</f>
        <v>https://www.tiktok.com/@nris9</v>
      </c>
      <c r="D74" s="270">
        <f>IFERROR(__xludf.DUMMYFUNCTION("""COMPUTED_VALUE"""),8.7721316159E10)</f>
        <v>87721316159</v>
      </c>
      <c r="E74" s="271">
        <f>IFERROR(__xludf.DUMMYFUNCTION("""COMPUTED_VALUE"""),150000.0)</f>
        <v>150000</v>
      </c>
      <c r="F74" s="270">
        <f>IFERROR(__xludf.DUMMYFUNCTION("""COMPUTED_VALUE"""),1.0)</f>
        <v>1</v>
      </c>
      <c r="G74" s="577">
        <f>IFERROR(__xludf.DUMMYFUNCTION("""COMPUTED_VALUE"""),6.643E8)</f>
        <v>664300000</v>
      </c>
      <c r="H74" s="259" t="str">
        <f>IFERROR(__xludf.DUMMYFUNCTION("""COMPUTED_VALUE"""),"Body Serum Retinol")</f>
        <v>Body Serum Retinol</v>
      </c>
      <c r="I74" s="260" t="str">
        <f>IFERROR(__xludf.DUMMYFUNCTION("""COMPUTED_VALUE"""),"Sampai")</f>
        <v>Sampai</v>
      </c>
      <c r="J74" s="261" t="str">
        <f>IFERROR(__xludf.DUMMYFUNCTION("""COMPUTED_VALUE"""),"Concept 2")</f>
        <v>Concept 2</v>
      </c>
      <c r="K74" s="262"/>
      <c r="L74" s="261"/>
      <c r="M74" s="262"/>
      <c r="N74" s="261"/>
      <c r="O74" s="17"/>
      <c r="P74" s="261"/>
      <c r="Q74" s="17"/>
      <c r="R74" s="266"/>
      <c r="S74" s="266"/>
      <c r="T74" s="266"/>
      <c r="U74" s="266"/>
    </row>
    <row r="75">
      <c r="A75" s="255" t="str">
        <f>IFERROR(__xludf.DUMMYFUNCTION("""COMPUTED_VALUE"""),"MICRO")</f>
        <v>MICRO</v>
      </c>
      <c r="B75" s="23" t="str">
        <f>IFERROR(__xludf.DUMMYFUNCTION("""COMPUTED_VALUE"""),"fitrianahisnainy")</f>
        <v>fitrianahisnainy</v>
      </c>
      <c r="C75" s="281" t="str">
        <f>IFERROR(__xludf.DUMMYFUNCTION("""COMPUTED_VALUE"""),"https://www.tiktok.com/@fitrianahisnainy")</f>
        <v>https://www.tiktok.com/@fitrianahisnainy</v>
      </c>
      <c r="D75" s="270">
        <f>IFERROR(__xludf.DUMMYFUNCTION("""COMPUTED_VALUE"""),8.5210191147E10)</f>
        <v>85210191147</v>
      </c>
      <c r="E75" s="271">
        <f>IFERROR(__xludf.DUMMYFUNCTION("""COMPUTED_VALUE"""),150000.0)</f>
        <v>150000</v>
      </c>
      <c r="F75" s="270">
        <f>IFERROR(__xludf.DUMMYFUNCTION("""COMPUTED_VALUE"""),1.0)</f>
        <v>1</v>
      </c>
      <c r="G75" s="577">
        <f>IFERROR(__xludf.DUMMYFUNCTION("""COMPUTED_VALUE"""),1.375E8)</f>
        <v>137500000</v>
      </c>
      <c r="H75" s="259" t="str">
        <f>IFERROR(__xludf.DUMMYFUNCTION("""COMPUTED_VALUE"""),"Body Mask")</f>
        <v>Body Mask</v>
      </c>
      <c r="I75" s="260" t="str">
        <f>IFERROR(__xludf.DUMMYFUNCTION("""COMPUTED_VALUE"""),"Sampai")</f>
        <v>Sampai</v>
      </c>
      <c r="J75" s="261" t="str">
        <f>IFERROR(__xludf.DUMMYFUNCTION("""COMPUTED_VALUE"""),"Concept 3")</f>
        <v>Concept 3</v>
      </c>
      <c r="K75" s="278" t="str">
        <f>IFERROR(__xludf.DUMMYFUNCTION("""COMPUTED_VALUE"""),"https://www.tiktok.com/@fitrianahisnainy/video/7641445288334347541?_r=1&amp;u_code=cmkmk21l2603lh&amp;region=&amp;mid=7641445310983719697&amp;preview_pb=0&amp;sharer_language=&amp;_d=0&amp;ec_shared_reflux_dynamic_params=%7B%22placeholder_material_id%22%3A%227641445288334347541%22%2"&amp;"C%22placeholder_origin_cover%22%3A%22https%253A%252F%252Fp16-common-sign.tiktokcdn.com%252Ftos-alisg-p-0037%252FoEe2UiBYREBgPIjkvLiIg6BA3B0gg5UoCqfCv0~tplv-tiktokx-origin.jpeg%253Fdr%253D14572%2526refresh_token%253D112a461a%2526x-expires%253D1810717200%25"&amp;"26x-signature%253DHQ8HecDmiED5IWnNRmYremqX0RE%25253D%2526t%253D4d5b0474%2526ps%253D13740610%2526shp%253Dd05b14bd%2526shcp%253D34ff8df6%2526idc%253Dmy3%2526s%253DTIKTOK_AFFILIATE_VIRAL_VIDEO%22%2C%22placeholder_product_id%22%3A%221729688131472034430%22%2C%"&amp;"22placeholder_video_id%22%3A%227641445288334347541%22%7D&amp;ec_shared_reflux_scene=shop_tab_feed&amp;share_item_id=7641445288334347541&amp;source=h5_t")</f>
        <v>https://www.tiktok.com/@fitrianahisnainy/video/7641445288334347541?_r=1&amp;u_code=cmkmk21l2603lh&amp;region=&amp;mid=7641445310983719697&amp;preview_pb=0&amp;sharer_language=&amp;_d=0&amp;ec_shared_reflux_dynamic_params=%7B%22placeholder_material_id%22%3A%227641445288334347541%22%2C%22placeholder_origin_cover%22%3A%22https%253A%252F%252Fp16-common-sign.tiktokcdn.com%252Ftos-alisg-p-0037%252FoEe2UiBYREBgPIjkvLiIg6BA3B0gg5UoCqfCv0~tplv-tiktokx-origin.jpeg%253Fdr%253D14572%2526refresh_token%253D112a461a%2526x-expires%253D1810717200%2526x-signature%253DHQ8HecDmiED5IWnNRmYremqX0RE%25253D%2526t%253D4d5b0474%2526ps%253D13740610%2526shp%253Dd05b14bd%2526shcp%253D34ff8df6%2526idc%253Dmy3%2526s%253DTIKTOK_AFFILIATE_VIRAL_VIDEO%22%2C%22placeholder_product_id%22%3A%221729688131472034430%22%2C%22placeholder_video_id%22%3A%227641445288334347541%22%7D&amp;ec_shared_reflux_scene=shop_tab_feed&amp;share_item_id=7641445288334347541&amp;source=h5_t</v>
      </c>
      <c r="L75" s="261"/>
      <c r="M75" s="262"/>
      <c r="N75" s="261"/>
      <c r="O75" s="17"/>
      <c r="P75" s="261"/>
      <c r="Q75" s="17"/>
      <c r="R75" s="266"/>
      <c r="S75" s="266"/>
      <c r="T75" s="266"/>
      <c r="U75" s="266"/>
    </row>
    <row r="76">
      <c r="A76" s="255" t="str">
        <f>IFERROR(__xludf.DUMMYFUNCTION("""COMPUTED_VALUE"""),"MICRO")</f>
        <v>MICRO</v>
      </c>
      <c r="B76" s="23" t="str">
        <f>IFERROR(__xludf.DUMMYFUNCTION("""COMPUTED_VALUE"""),"fitriafitri3031")</f>
        <v>fitriafitri3031</v>
      </c>
      <c r="C76" s="281" t="str">
        <f>IFERROR(__xludf.DUMMYFUNCTION("""COMPUTED_VALUE"""),"https://www.tiktok.com/@fitriafitri3031")</f>
        <v>https://www.tiktok.com/@fitriafitri3031</v>
      </c>
      <c r="D76" s="270">
        <f>IFERROR(__xludf.DUMMYFUNCTION("""COMPUTED_VALUE"""),8.1263627145E10)</f>
        <v>81263627145</v>
      </c>
      <c r="E76" s="271">
        <f>IFERROR(__xludf.DUMMYFUNCTION("""COMPUTED_VALUE"""),0.0)</f>
        <v>0</v>
      </c>
      <c r="F76" s="270">
        <f>IFERROR(__xludf.DUMMYFUNCTION("""COMPUTED_VALUE"""),2.0)</f>
        <v>2</v>
      </c>
      <c r="G76" s="577">
        <f>IFERROR(__xludf.DUMMYFUNCTION("""COMPUTED_VALUE"""),4.504E8)</f>
        <v>450400000</v>
      </c>
      <c r="H76" s="259" t="str">
        <f>IFERROR(__xludf.DUMMYFUNCTION("""COMPUTED_VALUE"""),"Body Mask")</f>
        <v>Body Mask</v>
      </c>
      <c r="I76" s="260" t="str">
        <f>IFERROR(__xludf.DUMMYFUNCTION("""COMPUTED_VALUE"""),"Sampai")</f>
        <v>Sampai</v>
      </c>
      <c r="J76" s="261" t="str">
        <f>IFERROR(__xludf.DUMMYFUNCTION("""COMPUTED_VALUE""")," Concept 1")</f>
        <v> Concept 1</v>
      </c>
      <c r="K76" s="278" t="str">
        <f>IFERROR(__xludf.DUMMYFUNCTION("""COMPUTED_VALUE"""),"https://vt.tiktok.com/ZSQhWDfnu/")</f>
        <v>https://vt.tiktok.com/ZSQhWDfnu/</v>
      </c>
      <c r="L76" s="261"/>
      <c r="M76" s="262"/>
      <c r="N76" s="261"/>
      <c r="O76" s="17"/>
      <c r="P76" s="261"/>
      <c r="Q76" s="17"/>
      <c r="R76" s="266"/>
      <c r="S76" s="266"/>
      <c r="T76" s="266"/>
      <c r="U76" s="266"/>
    </row>
    <row r="77">
      <c r="A77" s="255" t="str">
        <f>IFERROR(__xludf.DUMMYFUNCTION("""COMPUTED_VALUE"""),"MICRO")</f>
        <v>MICRO</v>
      </c>
      <c r="B77" s="23" t="str">
        <f>IFERROR(__xludf.DUMMYFUNCTION("""COMPUTED_VALUE"""),"filza_aeris")</f>
        <v>filza_aeris</v>
      </c>
      <c r="C77" s="281" t="str">
        <f>IFERROR(__xludf.DUMMYFUNCTION("""COMPUTED_VALUE"""),"https://www.tiktok.com/@filza_aeris")</f>
        <v>https://www.tiktok.com/@filza_aeris</v>
      </c>
      <c r="D77" s="270"/>
      <c r="E77" s="271">
        <f>IFERROR(__xludf.DUMMYFUNCTION("""COMPUTED_VALUE"""),400000.0)</f>
        <v>400000</v>
      </c>
      <c r="F77" s="270">
        <f>IFERROR(__xludf.DUMMYFUNCTION("""COMPUTED_VALUE"""),1.0)</f>
        <v>1</v>
      </c>
      <c r="G77" s="577">
        <f>IFERROR(__xludf.DUMMYFUNCTION("""COMPUTED_VALUE"""),6.0E7)</f>
        <v>60000000</v>
      </c>
      <c r="H77" s="259" t="str">
        <f>IFERROR(__xludf.DUMMYFUNCTION("""COMPUTED_VALUE"""),"Body Mask")</f>
        <v>Body Mask</v>
      </c>
      <c r="I77" s="260" t="str">
        <f>IFERROR(__xludf.DUMMYFUNCTION("""COMPUTED_VALUE"""),"Sampai")</f>
        <v>Sampai</v>
      </c>
      <c r="J77" s="261" t="str">
        <f>IFERROR(__xludf.DUMMYFUNCTION("""COMPUTED_VALUE"""),"Concept 3")</f>
        <v>Concept 3</v>
      </c>
      <c r="K77" s="278" t="str">
        <f>IFERROR(__xludf.DUMMYFUNCTION("""COMPUTED_VALUE"""),"https://vt.tiktok.com/ZSx3cLV4P/")</f>
        <v>https://vt.tiktok.com/ZSx3cLV4P/</v>
      </c>
      <c r="L77" s="261"/>
      <c r="M77" s="262"/>
      <c r="N77" s="261"/>
      <c r="O77" s="17"/>
      <c r="P77" s="261"/>
      <c r="Q77" s="17"/>
      <c r="R77" s="266"/>
      <c r="S77" s="266"/>
      <c r="T77" s="266"/>
      <c r="U77" s="266"/>
    </row>
    <row r="78">
      <c r="A78" s="255" t="str">
        <f>IFERROR(__xludf.DUMMYFUNCTION("""COMPUTED_VALUE"""),"MICRO")</f>
        <v>MICRO</v>
      </c>
      <c r="B78" s="23" t="str">
        <f>IFERROR(__xludf.DUMMYFUNCTION("""COMPUTED_VALUE"""),"lilieesel")</f>
        <v>lilieesel</v>
      </c>
      <c r="C78" s="281" t="str">
        <f>IFERROR(__xludf.DUMMYFUNCTION("""COMPUTED_VALUE"""),"https://www.tiktok.com/@lilieesel")</f>
        <v>https://www.tiktok.com/@lilieesel</v>
      </c>
      <c r="D78" s="270">
        <f>IFERROR(__xludf.DUMMYFUNCTION("""COMPUTED_VALUE"""),8.1256534919E10)</f>
        <v>81256534919</v>
      </c>
      <c r="E78" s="271">
        <f>IFERROR(__xludf.DUMMYFUNCTION("""COMPUTED_VALUE"""),300000.0)</f>
        <v>300000</v>
      </c>
      <c r="F78" s="270">
        <f>IFERROR(__xludf.DUMMYFUNCTION("""COMPUTED_VALUE"""),1.0)</f>
        <v>1</v>
      </c>
      <c r="G78" s="577">
        <f>IFERROR(__xludf.DUMMYFUNCTION("""COMPUTED_VALUE"""),5.892E7)</f>
        <v>58920000</v>
      </c>
      <c r="H78" s="259" t="str">
        <f>IFERROR(__xludf.DUMMYFUNCTION("""COMPUTED_VALUE"""),"Body Serum Retinol")</f>
        <v>Body Serum Retinol</v>
      </c>
      <c r="I78" s="260" t="str">
        <f>IFERROR(__xludf.DUMMYFUNCTION("""COMPUTED_VALUE"""),"Done Req Sample")</f>
        <v>Done Req Sample</v>
      </c>
      <c r="J78" s="261"/>
      <c r="K78" s="262"/>
      <c r="L78" s="261"/>
      <c r="M78" s="262"/>
      <c r="N78" s="261"/>
      <c r="O78" s="17"/>
      <c r="P78" s="261"/>
      <c r="Q78" s="17"/>
      <c r="R78" s="266"/>
      <c r="S78" s="266"/>
      <c r="T78" s="266"/>
      <c r="U78" s="266"/>
    </row>
    <row r="79">
      <c r="A79" s="255" t="str">
        <f>IFERROR(__xludf.DUMMYFUNCTION("""COMPUTED_VALUE"""),"NANO")</f>
        <v>NANO</v>
      </c>
      <c r="B79" s="23" t="str">
        <f>IFERROR(__xludf.DUMMYFUNCTION("""COMPUTED_VALUE"""),"a.etikk")</f>
        <v>a.etikk</v>
      </c>
      <c r="C79" s="281" t="str">
        <f>IFERROR(__xludf.DUMMYFUNCTION("""COMPUTED_VALUE"""),"https://www.tiktok.com/@a.etikk")</f>
        <v>https://www.tiktok.com/@a.etikk</v>
      </c>
      <c r="D79" s="270">
        <f>IFERROR(__xludf.DUMMYFUNCTION("""COMPUTED_VALUE"""),8.2191873737E10)</f>
        <v>82191873737</v>
      </c>
      <c r="E79" s="271">
        <f>IFERROR(__xludf.DUMMYFUNCTION("""COMPUTED_VALUE"""),0.0)</f>
        <v>0</v>
      </c>
      <c r="F79" s="270">
        <f>IFERROR(__xludf.DUMMYFUNCTION("""COMPUTED_VALUE"""),2.0)</f>
        <v>2</v>
      </c>
      <c r="G79" s="577">
        <f>IFERROR(__xludf.DUMMYFUNCTION("""COMPUTED_VALUE"""),6.97E7)</f>
        <v>69700000</v>
      </c>
      <c r="H79" s="259" t="str">
        <f>IFERROR(__xludf.DUMMYFUNCTION("""COMPUTED_VALUE"""),"Body Sunscreen")</f>
        <v>Body Sunscreen</v>
      </c>
      <c r="I79" s="260" t="str">
        <f>IFERROR(__xludf.DUMMYFUNCTION("""COMPUTED_VALUE"""),"Sampai")</f>
        <v>Sampai</v>
      </c>
      <c r="J79" s="261" t="str">
        <f>IFERROR(__xludf.DUMMYFUNCTION("""COMPUTED_VALUE"""),"Concept 3")</f>
        <v>Concept 3</v>
      </c>
      <c r="K79" s="278" t="str">
        <f>IFERROR(__xludf.DUMMYFUNCTION("""COMPUTED_VALUE"""),"https://www.tiktok.com/@a.etikk/video/7645218444752735509?is_from_webapp=1&amp;sender_device=pc")</f>
        <v>https://www.tiktok.com/@a.etikk/video/7645218444752735509?is_from_webapp=1&amp;sender_device=pc</v>
      </c>
      <c r="L79" s="261" t="str">
        <f>IFERROR(__xludf.DUMMYFUNCTION("""COMPUTED_VALUE"""),"Concept 3")</f>
        <v>Concept 3</v>
      </c>
      <c r="M79" s="278" t="str">
        <f>IFERROR(__xludf.DUMMYFUNCTION("""COMPUTED_VALUE"""),"https://www.tiktok.com/@a.etikk/video/7645892422400101652?is_from_webapp=1&amp;sender_device=pc")</f>
        <v>https://www.tiktok.com/@a.etikk/video/7645892422400101652?is_from_webapp=1&amp;sender_device=pc</v>
      </c>
      <c r="N79" s="261" t="str">
        <f>IFERROR(__xludf.DUMMYFUNCTION("""COMPUTED_VALUE"""),"Concept 3")</f>
        <v>Concept 3</v>
      </c>
      <c r="O79" s="279" t="str">
        <f>IFERROR(__xludf.DUMMYFUNCTION("""COMPUTED_VALUE"""),"https://www.tiktok.com/@a.etikk/video/7646382329543413013?is_from_webapp=1&amp;sender_device=pc")</f>
        <v>https://www.tiktok.com/@a.etikk/video/7646382329543413013?is_from_webapp=1&amp;sender_device=pc</v>
      </c>
      <c r="P79" s="261"/>
      <c r="Q79" s="17"/>
      <c r="R79" s="266"/>
      <c r="S79" s="266"/>
      <c r="T79" s="266"/>
      <c r="U79" s="266"/>
    </row>
    <row r="80">
      <c r="A80" s="255" t="str">
        <f>IFERROR(__xludf.DUMMYFUNCTION("""COMPUTED_VALUE"""),"NANO")</f>
        <v>NANO</v>
      </c>
      <c r="B80" s="23" t="str">
        <f>IFERROR(__xludf.DUMMYFUNCTION("""COMPUTED_VALUE"""),"bbstore25")</f>
        <v>bbstore25</v>
      </c>
      <c r="C80" s="281" t="str">
        <f>IFERROR(__xludf.DUMMYFUNCTION("""COMPUTED_VALUE"""),"https://www.tiktok.com/@bbstore25")</f>
        <v>https://www.tiktok.com/@bbstore25</v>
      </c>
      <c r="D80" s="270">
        <f>IFERROR(__xludf.DUMMYFUNCTION("""COMPUTED_VALUE"""),8.2372301911E10)</f>
        <v>82372301911</v>
      </c>
      <c r="E80" s="271">
        <f>IFERROR(__xludf.DUMMYFUNCTION("""COMPUTED_VALUE"""),0.0)</f>
        <v>0</v>
      </c>
      <c r="F80" s="270">
        <f>IFERROR(__xludf.DUMMYFUNCTION("""COMPUTED_VALUE"""),2.0)</f>
        <v>2</v>
      </c>
      <c r="G80" s="577">
        <f>IFERROR(__xludf.DUMMYFUNCTION("""COMPUTED_VALUE"""),9.5E7)</f>
        <v>95000000</v>
      </c>
      <c r="H80" s="259" t="str">
        <f>IFERROR(__xludf.DUMMYFUNCTION("""COMPUTED_VALUE"""),"Body Serum Retinol")</f>
        <v>Body Serum Retinol</v>
      </c>
      <c r="I80" s="260"/>
      <c r="J80" s="261"/>
      <c r="K80" s="262"/>
      <c r="L80" s="261"/>
      <c r="M80" s="262"/>
      <c r="N80" s="261"/>
      <c r="O80" s="17"/>
      <c r="P80" s="261"/>
      <c r="Q80" s="17"/>
      <c r="R80" s="266"/>
      <c r="S80" s="266"/>
      <c r="T80" s="266"/>
      <c r="U80" s="266"/>
    </row>
    <row r="81">
      <c r="A81" s="255" t="str">
        <f>IFERROR(__xludf.DUMMYFUNCTION("""COMPUTED_VALUE"""),"NANO")</f>
        <v>NANO</v>
      </c>
      <c r="B81" s="23" t="str">
        <f>IFERROR(__xludf.DUMMYFUNCTION("""COMPUTED_VALUE"""),"infopromoaja")</f>
        <v>infopromoaja</v>
      </c>
      <c r="C81" s="281" t="str">
        <f>IFERROR(__xludf.DUMMYFUNCTION("""COMPUTED_VALUE"""),"https://www.tiktok.com/@infopromoaja")</f>
        <v>https://www.tiktok.com/@infopromoaja</v>
      </c>
      <c r="D81" s="270">
        <f>IFERROR(__xludf.DUMMYFUNCTION("""COMPUTED_VALUE"""),8.95418207454E11)</f>
        <v>895418207454</v>
      </c>
      <c r="E81" s="271">
        <f>IFERROR(__xludf.DUMMYFUNCTION("""COMPUTED_VALUE"""),0.0)</f>
        <v>0</v>
      </c>
      <c r="F81" s="270">
        <f>IFERROR(__xludf.DUMMYFUNCTION("""COMPUTED_VALUE"""),3.0)</f>
        <v>3</v>
      </c>
      <c r="G81" s="577">
        <f>IFERROR(__xludf.DUMMYFUNCTION("""COMPUTED_VALUE"""),7.81E7)</f>
        <v>78100000</v>
      </c>
      <c r="H81" s="259" t="str">
        <f>IFERROR(__xludf.DUMMYFUNCTION("""COMPUTED_VALUE"""),"Body Serum Retinol")</f>
        <v>Body Serum Retinol</v>
      </c>
      <c r="I81" s="260" t="str">
        <f>IFERROR(__xludf.DUMMYFUNCTION("""COMPUTED_VALUE"""),"Sampai")</f>
        <v>Sampai</v>
      </c>
      <c r="J81" s="261" t="str">
        <f>IFERROR(__xludf.DUMMYFUNCTION("""COMPUTED_VALUE""")," Concept 1")</f>
        <v> Concept 1</v>
      </c>
      <c r="K81" s="278" t="str">
        <f>IFERROR(__xludf.DUMMYFUNCTION("""COMPUTED_VALUE"""),"https://vt.tiktok.com/ZSxUEESuU/")</f>
        <v>https://vt.tiktok.com/ZSxUEESuU/</v>
      </c>
      <c r="L81" s="261" t="str">
        <f>IFERROR(__xludf.DUMMYFUNCTION("""COMPUTED_VALUE""")," Concept 1")</f>
        <v> Concept 1</v>
      </c>
      <c r="M81" s="278" t="str">
        <f>IFERROR(__xludf.DUMMYFUNCTION("""COMPUTED_VALUE"""),"https://vt.tiktok.com/ZSxUEphHS/")</f>
        <v>https://vt.tiktok.com/ZSxUEphHS/</v>
      </c>
      <c r="N81" s="261" t="str">
        <f>IFERROR(__xludf.DUMMYFUNCTION("""COMPUTED_VALUE""")," Concept 1")</f>
        <v> Concept 1</v>
      </c>
      <c r="O81" s="279" t="str">
        <f>IFERROR(__xludf.DUMMYFUNCTION("""COMPUTED_VALUE"""),"https://www.tiktok.com/@infopromoaja/video/7641459505376578817?is_from_webapp=1&amp;sender_device=pc")</f>
        <v>https://www.tiktok.com/@infopromoaja/video/7641459505376578817?is_from_webapp=1&amp;sender_device=pc</v>
      </c>
      <c r="P81" s="261"/>
      <c r="Q81" s="17"/>
      <c r="R81" s="266"/>
      <c r="S81" s="266"/>
      <c r="T81" s="266"/>
      <c r="U81" s="266"/>
    </row>
    <row r="82">
      <c r="A82" s="255" t="str">
        <f>IFERROR(__xludf.DUMMYFUNCTION("""COMPUTED_VALUE"""),"NANO")</f>
        <v>NANO</v>
      </c>
      <c r="B82" s="23" t="str">
        <f>IFERROR(__xludf.DUMMYFUNCTION("""COMPUTED_VALUE"""),"euis.nry")</f>
        <v>euis.nry</v>
      </c>
      <c r="C82" s="281" t="str">
        <f>IFERROR(__xludf.DUMMYFUNCTION("""COMPUTED_VALUE"""),"https://www.tiktok.com/@euis.nry")</f>
        <v>https://www.tiktok.com/@euis.nry</v>
      </c>
      <c r="D82" s="270">
        <f>IFERROR(__xludf.DUMMYFUNCTION("""COMPUTED_VALUE"""),8.2115150885E10)</f>
        <v>82115150885</v>
      </c>
      <c r="E82" s="271">
        <f>IFERROR(__xludf.DUMMYFUNCTION("""COMPUTED_VALUE"""),0.0)</f>
        <v>0</v>
      </c>
      <c r="F82" s="270">
        <f>IFERROR(__xludf.DUMMYFUNCTION("""COMPUTED_VALUE"""),2.0)</f>
        <v>2</v>
      </c>
      <c r="G82" s="577">
        <f>IFERROR(__xludf.DUMMYFUNCTION("""COMPUTED_VALUE"""),1.99E7)</f>
        <v>19900000</v>
      </c>
      <c r="H82" s="259" t="str">
        <f>IFERROR(__xludf.DUMMYFUNCTION("""COMPUTED_VALUE"""),"Body Serum Retinol")</f>
        <v>Body Serum Retinol</v>
      </c>
      <c r="I82" s="260" t="str">
        <f>IFERROR(__xludf.DUMMYFUNCTION("""COMPUTED_VALUE"""),"Done Req Sample")</f>
        <v>Done Req Sample</v>
      </c>
      <c r="J82" s="261"/>
      <c r="K82" s="262"/>
      <c r="L82" s="261"/>
      <c r="M82" s="262"/>
      <c r="N82" s="261"/>
      <c r="O82" s="17"/>
      <c r="P82" s="261"/>
      <c r="Q82" s="17"/>
      <c r="R82" s="266"/>
      <c r="S82" s="266"/>
      <c r="T82" s="266"/>
      <c r="U82" s="266"/>
    </row>
    <row r="83">
      <c r="A83" s="255" t="str">
        <f>IFERROR(__xludf.DUMMYFUNCTION("""COMPUTED_VALUE"""),"NANO")</f>
        <v>NANO</v>
      </c>
      <c r="B83" s="23" t="str">
        <f>IFERROR(__xludf.DUMMYFUNCTION("""COMPUTED_VALUE"""),"iniziraajuga")</f>
        <v>iniziraajuga</v>
      </c>
      <c r="C83" s="281" t="str">
        <f>IFERROR(__xludf.DUMMYFUNCTION("""COMPUTED_VALUE"""),"https://www.tiktok.com/@iniziraajuga")</f>
        <v>https://www.tiktok.com/@iniziraajuga</v>
      </c>
      <c r="D83" s="270">
        <f>IFERROR(__xludf.DUMMYFUNCTION("""COMPUTED_VALUE"""),8.3197631206E10)</f>
        <v>83197631206</v>
      </c>
      <c r="E83" s="271">
        <f>IFERROR(__xludf.DUMMYFUNCTION("""COMPUTED_VALUE"""),0.0)</f>
        <v>0</v>
      </c>
      <c r="F83" s="270">
        <f>IFERROR(__xludf.DUMMYFUNCTION("""COMPUTED_VALUE"""),2.0)</f>
        <v>2</v>
      </c>
      <c r="G83" s="577">
        <f>IFERROR(__xludf.DUMMYFUNCTION("""COMPUTED_VALUE"""),3.013E8)</f>
        <v>301300000</v>
      </c>
      <c r="H83" s="259"/>
      <c r="I83" s="260" t="str">
        <f>IFERROR(__xludf.DUMMYFUNCTION("""COMPUTED_VALUE"""),"Done Req Sample")</f>
        <v>Done Req Sample</v>
      </c>
      <c r="J83" s="261"/>
      <c r="K83" s="262"/>
      <c r="L83" s="261"/>
      <c r="M83" s="262"/>
      <c r="N83" s="261"/>
      <c r="O83" s="17"/>
      <c r="P83" s="261"/>
      <c r="Q83" s="17"/>
      <c r="R83" s="266"/>
      <c r="S83" s="266"/>
      <c r="T83" s="266"/>
      <c r="U83" s="266"/>
    </row>
    <row r="84">
      <c r="A84" s="255" t="str">
        <f>IFERROR(__xludf.DUMMYFUNCTION("""COMPUTED_VALUE"""),"NANO")</f>
        <v>NANO</v>
      </c>
      <c r="B84" s="23" t="str">
        <f>IFERROR(__xludf.DUMMYFUNCTION("""COMPUTED_VALUE"""),"rik.amlia")</f>
        <v>rik.amlia</v>
      </c>
      <c r="C84" s="281" t="str">
        <f>IFERROR(__xludf.DUMMYFUNCTION("""COMPUTED_VALUE"""),"https://www.tiktok.com/@rik.amlia")</f>
        <v>https://www.tiktok.com/@rik.amlia</v>
      </c>
      <c r="D84" s="270">
        <f>IFERROR(__xludf.DUMMYFUNCTION("""COMPUTED_VALUE"""),8.5770454311E10)</f>
        <v>85770454311</v>
      </c>
      <c r="E84" s="271">
        <f>IFERROR(__xludf.DUMMYFUNCTION("""COMPUTED_VALUE"""),0.0)</f>
        <v>0</v>
      </c>
      <c r="F84" s="270">
        <f>IFERROR(__xludf.DUMMYFUNCTION("""COMPUTED_VALUE"""),1.0)</f>
        <v>1</v>
      </c>
      <c r="G84" s="577">
        <f>IFERROR(__xludf.DUMMYFUNCTION("""COMPUTED_VALUE"""),6.3E7)</f>
        <v>63000000</v>
      </c>
      <c r="H84" s="259" t="str">
        <f>IFERROR(__xludf.DUMMYFUNCTION("""COMPUTED_VALUE"""),"Body Serum Retinol, Body Mask")</f>
        <v>Body Serum Retinol, Body Mask</v>
      </c>
      <c r="I84" s="260" t="str">
        <f>IFERROR(__xludf.DUMMYFUNCTION("""COMPUTED_VALUE"""),"Done Req Sample")</f>
        <v>Done Req Sample</v>
      </c>
      <c r="J84" s="261"/>
      <c r="K84" s="262"/>
      <c r="L84" s="261"/>
      <c r="M84" s="262"/>
      <c r="N84" s="261"/>
      <c r="O84" s="17"/>
      <c r="P84" s="261"/>
      <c r="Q84" s="17"/>
      <c r="R84" s="266"/>
      <c r="S84" s="266"/>
      <c r="T84" s="266"/>
      <c r="U84" s="266"/>
    </row>
    <row r="85">
      <c r="A85" s="255" t="str">
        <f>IFERROR(__xludf.DUMMYFUNCTION("""COMPUTED_VALUE"""),"NANO")</f>
        <v>NANO</v>
      </c>
      <c r="B85" s="23" t="str">
        <f>IFERROR(__xludf.DUMMYFUNCTION("""COMPUTED_VALUE"""),"allaboutspill")</f>
        <v>allaboutspill</v>
      </c>
      <c r="C85" s="281" t="str">
        <f>IFERROR(__xludf.DUMMYFUNCTION("""COMPUTED_VALUE"""),"https://www.tiktok.com/@allaboutspill")</f>
        <v>https://www.tiktok.com/@allaboutspill</v>
      </c>
      <c r="D85" s="270">
        <f>IFERROR(__xludf.DUMMYFUNCTION("""COMPUTED_VALUE"""),8.5871033807E10)</f>
        <v>85871033807</v>
      </c>
      <c r="E85" s="271">
        <f>IFERROR(__xludf.DUMMYFUNCTION("""COMPUTED_VALUE"""),0.0)</f>
        <v>0</v>
      </c>
      <c r="F85" s="270">
        <f>IFERROR(__xludf.DUMMYFUNCTION("""COMPUTED_VALUE"""),2.0)</f>
        <v>2</v>
      </c>
      <c r="G85" s="577">
        <f>IFERROR(__xludf.DUMMYFUNCTION("""COMPUTED_VALUE"""),3.6E7)</f>
        <v>36000000</v>
      </c>
      <c r="H85" s="259" t="str">
        <f>IFERROR(__xludf.DUMMYFUNCTION("""COMPUTED_VALUE"""),"Body Serum Retinol")</f>
        <v>Body Serum Retinol</v>
      </c>
      <c r="I85" s="260" t="str">
        <f>IFERROR(__xludf.DUMMYFUNCTION("""COMPUTED_VALUE"""),"Done Req Sample")</f>
        <v>Done Req Sample</v>
      </c>
      <c r="J85" s="261"/>
      <c r="K85" s="262"/>
      <c r="L85" s="261"/>
      <c r="M85" s="262"/>
      <c r="N85" s="261"/>
      <c r="O85" s="17"/>
      <c r="P85" s="261"/>
      <c r="Q85" s="17"/>
      <c r="R85" s="266"/>
      <c r="S85" s="266"/>
      <c r="T85" s="266"/>
      <c r="U85" s="266"/>
    </row>
    <row r="86">
      <c r="A86" s="255" t="str">
        <f>IFERROR(__xludf.DUMMYFUNCTION("""COMPUTED_VALUE"""),"MICRO")</f>
        <v>MICRO</v>
      </c>
      <c r="B86" s="23" t="str">
        <f>IFERROR(__xludf.DUMMYFUNCTION("""COMPUTED_VALUE"""),"tiarasalsabella23")</f>
        <v>tiarasalsabella23</v>
      </c>
      <c r="C86" s="281" t="str">
        <f>IFERROR(__xludf.DUMMYFUNCTION("""COMPUTED_VALUE"""),"https://www.tiktok.com/@tiarasalsabella23")</f>
        <v>https://www.tiktok.com/@tiarasalsabella23</v>
      </c>
      <c r="D86" s="270"/>
      <c r="E86" s="271">
        <f>IFERROR(__xludf.DUMMYFUNCTION("""COMPUTED_VALUE"""),0.0)</f>
        <v>0</v>
      </c>
      <c r="F86" s="270">
        <f>IFERROR(__xludf.DUMMYFUNCTION("""COMPUTED_VALUE"""),2.0)</f>
        <v>2</v>
      </c>
      <c r="G86" s="577">
        <f>IFERROR(__xludf.DUMMYFUNCTION("""COMPUTED_VALUE"""),3.022E8)</f>
        <v>302200000</v>
      </c>
      <c r="H86" s="259" t="str">
        <f>IFERROR(__xludf.DUMMYFUNCTION("""COMPUTED_VALUE"""),"Body Serum Retinol")</f>
        <v>Body Serum Retinol</v>
      </c>
      <c r="I86" s="260" t="str">
        <f>IFERROR(__xludf.DUMMYFUNCTION("""COMPUTED_VALUE"""),"Done Req Sample")</f>
        <v>Done Req Sample</v>
      </c>
      <c r="J86" s="261"/>
      <c r="K86" s="262"/>
      <c r="L86" s="261"/>
      <c r="M86" s="262"/>
      <c r="N86" s="261"/>
      <c r="O86" s="17"/>
      <c r="P86" s="261"/>
      <c r="Q86" s="17"/>
      <c r="R86" s="266">
        <f>IFERROR(__xludf.DUMMYFUNCTION("""COMPUTED_VALUE"""),138858.0)</f>
        <v>138858</v>
      </c>
      <c r="S86" s="266"/>
      <c r="T86" s="266"/>
      <c r="U86" s="266"/>
    </row>
    <row r="87">
      <c r="A87" s="255" t="str">
        <f>IFERROR(__xludf.DUMMYFUNCTION("""COMPUTED_VALUE"""),"NANO")</f>
        <v>NANO</v>
      </c>
      <c r="B87" s="23" t="str">
        <f>IFERROR(__xludf.DUMMYFUNCTION("""COMPUTED_VALUE"""),"septiatj_")</f>
        <v>septiatj_</v>
      </c>
      <c r="C87" s="281" t="str">
        <f>IFERROR(__xludf.DUMMYFUNCTION("""COMPUTED_VALUE"""),"https://www.tiktok.com/@septiatj_")</f>
        <v>https://www.tiktok.com/@septiatj_</v>
      </c>
      <c r="D87" s="270">
        <f>IFERROR(__xludf.DUMMYFUNCTION("""COMPUTED_VALUE"""),8.5216983281E10)</f>
        <v>85216983281</v>
      </c>
      <c r="E87" s="271">
        <f>IFERROR(__xludf.DUMMYFUNCTION("""COMPUTED_VALUE"""),0.0)</f>
        <v>0</v>
      </c>
      <c r="F87" s="270">
        <f>IFERROR(__xludf.DUMMYFUNCTION("""COMPUTED_VALUE"""),2.0)</f>
        <v>2</v>
      </c>
      <c r="G87" s="577">
        <f>IFERROR(__xludf.DUMMYFUNCTION("""COMPUTED_VALUE"""),1.56E7)</f>
        <v>15600000</v>
      </c>
      <c r="H87" s="259" t="str">
        <f>IFERROR(__xludf.DUMMYFUNCTION("""COMPUTED_VALUE"""),"Body Serum Retinol")</f>
        <v>Body Serum Retinol</v>
      </c>
      <c r="I87" s="260" t="str">
        <f>IFERROR(__xludf.DUMMYFUNCTION("""COMPUTED_VALUE"""),"Done Req Sample")</f>
        <v>Done Req Sample</v>
      </c>
      <c r="J87" s="261"/>
      <c r="K87" s="262"/>
      <c r="L87" s="261"/>
      <c r="M87" s="262"/>
      <c r="N87" s="261"/>
      <c r="O87" s="17"/>
      <c r="P87" s="261"/>
      <c r="Q87" s="17"/>
      <c r="R87" s="266"/>
      <c r="S87" s="266"/>
      <c r="T87" s="266"/>
      <c r="U87" s="266"/>
    </row>
    <row r="88">
      <c r="A88" s="255" t="str">
        <f>IFERROR(__xludf.DUMMYFUNCTION("""COMPUTED_VALUE"""),"MICRO")</f>
        <v>MICRO</v>
      </c>
      <c r="B88" s="23" t="str">
        <f>IFERROR(__xludf.DUMMYFUNCTION("""COMPUTED_VALUE"""),"rikayunitadamayanti")</f>
        <v>rikayunitadamayanti</v>
      </c>
      <c r="C88" s="281" t="str">
        <f>IFERROR(__xludf.DUMMYFUNCTION("""COMPUTED_VALUE"""),"https://www.tiktok.com/@rikayunitadamayanti")</f>
        <v>https://www.tiktok.com/@rikayunitadamayanti</v>
      </c>
      <c r="D88" s="270">
        <f>IFERROR(__xludf.DUMMYFUNCTION("""COMPUTED_VALUE"""),8.1256695487E10)</f>
        <v>81256695487</v>
      </c>
      <c r="E88" s="271">
        <f>IFERROR(__xludf.DUMMYFUNCTION("""COMPUTED_VALUE"""),0.0)</f>
        <v>0</v>
      </c>
      <c r="F88" s="270">
        <f>IFERROR(__xludf.DUMMYFUNCTION("""COMPUTED_VALUE"""),2.0)</f>
        <v>2</v>
      </c>
      <c r="G88" s="577">
        <f>IFERROR(__xludf.DUMMYFUNCTION("""COMPUTED_VALUE"""),2.0E7)</f>
        <v>20000000</v>
      </c>
      <c r="H88" s="259" t="str">
        <f>IFERROR(__xludf.DUMMYFUNCTION("""COMPUTED_VALUE"""),"Body Serum Retinol")</f>
        <v>Body Serum Retinol</v>
      </c>
      <c r="I88" s="260" t="str">
        <f>IFERROR(__xludf.DUMMYFUNCTION("""COMPUTED_VALUE"""),"Done Req Sample")</f>
        <v>Done Req Sample</v>
      </c>
      <c r="J88" s="261"/>
      <c r="K88" s="262"/>
      <c r="L88" s="261"/>
      <c r="M88" s="262"/>
      <c r="N88" s="261"/>
      <c r="O88" s="17"/>
      <c r="P88" s="261"/>
      <c r="Q88" s="17"/>
      <c r="R88" s="266"/>
      <c r="S88" s="266"/>
      <c r="T88" s="266"/>
      <c r="U88" s="266"/>
    </row>
    <row r="89">
      <c r="A89" s="255" t="str">
        <f>IFERROR(__xludf.DUMMYFUNCTION("""COMPUTED_VALUE"""),"NANO")</f>
        <v>NANO</v>
      </c>
      <c r="B89" s="23" t="str">
        <f>IFERROR(__xludf.DUMMYFUNCTION("""COMPUTED_VALUE"""),"sye.stuff")</f>
        <v>sye.stuff</v>
      </c>
      <c r="C89" s="281" t="str">
        <f>IFERROR(__xludf.DUMMYFUNCTION("""COMPUTED_VALUE"""),"https://www.tiktok.com/@sye.stuff")</f>
        <v>https://www.tiktok.com/@sye.stuff</v>
      </c>
      <c r="D89" s="270">
        <f>IFERROR(__xludf.DUMMYFUNCTION("""COMPUTED_VALUE"""),8.5727185659E10)</f>
        <v>85727185659</v>
      </c>
      <c r="E89" s="271">
        <f>IFERROR(__xludf.DUMMYFUNCTION("""COMPUTED_VALUE"""),0.0)</f>
        <v>0</v>
      </c>
      <c r="F89" s="270">
        <f>IFERROR(__xludf.DUMMYFUNCTION("""COMPUTED_VALUE"""),2.0)</f>
        <v>2</v>
      </c>
      <c r="G89" s="577">
        <f>IFERROR(__xludf.DUMMYFUNCTION("""COMPUTED_VALUE"""),3.94E7)</f>
        <v>39400000</v>
      </c>
      <c r="H89" s="259"/>
      <c r="I89" s="260"/>
      <c r="J89" s="261"/>
      <c r="K89" s="262"/>
      <c r="L89" s="261"/>
      <c r="M89" s="262"/>
      <c r="N89" s="261"/>
      <c r="O89" s="17"/>
      <c r="P89" s="261"/>
      <c r="Q89" s="17"/>
      <c r="R89" s="266"/>
      <c r="S89" s="266"/>
      <c r="T89" s="266"/>
      <c r="U89" s="266"/>
    </row>
    <row r="90">
      <c r="A90" s="255" t="str">
        <f>IFERROR(__xludf.DUMMYFUNCTION("""COMPUTED_VALUE"""),"NANO")</f>
        <v>NANO</v>
      </c>
      <c r="B90" s="23" t="str">
        <f>IFERROR(__xludf.DUMMYFUNCTION("""COMPUTED_VALUE"""),"auroraanzh")</f>
        <v>auroraanzh</v>
      </c>
      <c r="C90" s="281" t="str">
        <f>IFERROR(__xludf.DUMMYFUNCTION("""COMPUTED_VALUE"""),"https://www.tiktok.com/@auroraanzh")</f>
        <v>https://www.tiktok.com/@auroraanzh</v>
      </c>
      <c r="D90" s="270">
        <f>IFERROR(__xludf.DUMMYFUNCTION("""COMPUTED_VALUE"""),8.9535852963E11)</f>
        <v>895358529630</v>
      </c>
      <c r="E90" s="271">
        <f>IFERROR(__xludf.DUMMYFUNCTION("""COMPUTED_VALUE"""),0.0)</f>
        <v>0</v>
      </c>
      <c r="F90" s="270">
        <f>IFERROR(__xludf.DUMMYFUNCTION("""COMPUTED_VALUE"""),1.0)</f>
        <v>1</v>
      </c>
      <c r="G90" s="577">
        <f>IFERROR(__xludf.DUMMYFUNCTION("""COMPUTED_VALUE"""),1.04E7)</f>
        <v>10400000</v>
      </c>
      <c r="H90" s="259"/>
      <c r="I90" s="260" t="str">
        <f>IFERROR(__xludf.DUMMYFUNCTION("""COMPUTED_VALUE"""),"Done Req Sample")</f>
        <v>Done Req Sample</v>
      </c>
      <c r="J90" s="261"/>
      <c r="K90" s="262"/>
      <c r="L90" s="261"/>
      <c r="M90" s="262"/>
      <c r="N90" s="261"/>
      <c r="O90" s="17"/>
      <c r="P90" s="261"/>
      <c r="Q90" s="17"/>
      <c r="R90" s="266"/>
      <c r="S90" s="266"/>
      <c r="T90" s="266"/>
      <c r="U90" s="266"/>
    </row>
    <row r="91">
      <c r="A91" s="255" t="str">
        <f>IFERROR(__xludf.DUMMYFUNCTION("""COMPUTED_VALUE"""),"MICRO")</f>
        <v>MICRO</v>
      </c>
      <c r="B91" s="23" t="str">
        <f>IFERROR(__xludf.DUMMYFUNCTION("""COMPUTED_VALUE"""),"razani891")</f>
        <v>razani891</v>
      </c>
      <c r="C91" s="281" t="str">
        <f>IFERROR(__xludf.DUMMYFUNCTION("""COMPUTED_VALUE"""),"https://www.tiktok.com/@razani891")</f>
        <v>https://www.tiktok.com/@razani891</v>
      </c>
      <c r="D91" s="270">
        <f>IFERROR(__xludf.DUMMYFUNCTION("""COMPUTED_VALUE"""),8.1574641322E10)</f>
        <v>81574641322</v>
      </c>
      <c r="E91" s="271">
        <f>IFERROR(__xludf.DUMMYFUNCTION("""COMPUTED_VALUE"""),0.0)</f>
        <v>0</v>
      </c>
      <c r="F91" s="270">
        <f>IFERROR(__xludf.DUMMYFUNCTION("""COMPUTED_VALUE"""),2.0)</f>
        <v>2</v>
      </c>
      <c r="G91" s="577">
        <f>IFERROR(__xludf.DUMMYFUNCTION("""COMPUTED_VALUE"""),3.84E7)</f>
        <v>38400000</v>
      </c>
      <c r="H91" s="259"/>
      <c r="I91" s="260"/>
      <c r="J91" s="261"/>
      <c r="K91" s="262"/>
      <c r="L91" s="261"/>
      <c r="M91" s="262"/>
      <c r="N91" s="261"/>
      <c r="O91" s="17"/>
      <c r="P91" s="261"/>
      <c r="Q91" s="17"/>
      <c r="R91" s="266"/>
      <c r="S91" s="266"/>
      <c r="T91" s="266"/>
      <c r="U91" s="266"/>
    </row>
    <row r="92">
      <c r="A92" s="255" t="str">
        <f>IFERROR(__xludf.DUMMYFUNCTION("""COMPUTED_VALUE"""),"NANO")</f>
        <v>NANO</v>
      </c>
      <c r="B92" s="23" t="str">
        <f>IFERROR(__xludf.DUMMYFUNCTION("""COMPUTED_VALUE"""),"ika.setiana12")</f>
        <v>ika.setiana12</v>
      </c>
      <c r="C92" s="281" t="str">
        <f>IFERROR(__xludf.DUMMYFUNCTION("""COMPUTED_VALUE"""),"https://www.tiktok.com/@ika.setiana12")</f>
        <v>https://www.tiktok.com/@ika.setiana12</v>
      </c>
      <c r="D92" s="270">
        <f>IFERROR(__xludf.DUMMYFUNCTION("""COMPUTED_VALUE"""),8.2244689998E10)</f>
        <v>82244689998</v>
      </c>
      <c r="E92" s="271">
        <f>IFERROR(__xludf.DUMMYFUNCTION("""COMPUTED_VALUE"""),0.0)</f>
        <v>0</v>
      </c>
      <c r="F92" s="270">
        <f>IFERROR(__xludf.DUMMYFUNCTION("""COMPUTED_VALUE"""),2.0)</f>
        <v>2</v>
      </c>
      <c r="G92" s="577">
        <f>IFERROR(__xludf.DUMMYFUNCTION("""COMPUTED_VALUE"""),1.4E7)</f>
        <v>14000000</v>
      </c>
      <c r="H92" s="259"/>
      <c r="I92" s="260" t="str">
        <f>IFERROR(__xludf.DUMMYFUNCTION("""COMPUTED_VALUE"""),"Done Req Sample")</f>
        <v>Done Req Sample</v>
      </c>
      <c r="J92" s="261"/>
      <c r="K92" s="262"/>
      <c r="L92" s="261"/>
      <c r="M92" s="262"/>
      <c r="N92" s="261"/>
      <c r="O92" s="17"/>
      <c r="P92" s="261"/>
      <c r="Q92" s="17"/>
      <c r="R92" s="266"/>
      <c r="S92" s="266"/>
      <c r="T92" s="266"/>
      <c r="U92" s="266"/>
    </row>
    <row r="93">
      <c r="A93" s="255" t="str">
        <f>IFERROR(__xludf.DUMMYFUNCTION("""COMPUTED_VALUE"""),"NANO")</f>
        <v>NANO</v>
      </c>
      <c r="B93" s="23" t="str">
        <f>IFERROR(__xludf.DUMMYFUNCTION("""COMPUTED_VALUE"""),"mbakadeklaris17")</f>
        <v>mbakadeklaris17</v>
      </c>
      <c r="C93" s="281" t="str">
        <f>IFERROR(__xludf.DUMMYFUNCTION("""COMPUTED_VALUE"""),"https://www.tiktok.com/@mbakadeklaris17")</f>
        <v>https://www.tiktok.com/@mbakadeklaris17</v>
      </c>
      <c r="D93" s="270">
        <f>IFERROR(__xludf.DUMMYFUNCTION("""COMPUTED_VALUE"""),8.1219774777E10)</f>
        <v>81219774777</v>
      </c>
      <c r="E93" s="271">
        <f>IFERROR(__xludf.DUMMYFUNCTION("""COMPUTED_VALUE"""),0.0)</f>
        <v>0</v>
      </c>
      <c r="F93" s="270">
        <f>IFERROR(__xludf.DUMMYFUNCTION("""COMPUTED_VALUE"""),2.0)</f>
        <v>2</v>
      </c>
      <c r="G93" s="577">
        <f>IFERROR(__xludf.DUMMYFUNCTION("""COMPUTED_VALUE"""),4.64E7)</f>
        <v>46400000</v>
      </c>
      <c r="H93" s="259"/>
      <c r="I93" s="260"/>
      <c r="J93" s="261"/>
      <c r="K93" s="262"/>
      <c r="L93" s="261"/>
      <c r="M93" s="262"/>
      <c r="N93" s="261"/>
      <c r="O93" s="17"/>
      <c r="P93" s="261"/>
      <c r="Q93" s="17"/>
      <c r="R93" s="266"/>
      <c r="S93" s="266"/>
      <c r="T93" s="266"/>
      <c r="U93" s="266"/>
    </row>
    <row r="94">
      <c r="A94" s="255" t="str">
        <f>IFERROR(__xludf.DUMMYFUNCTION("""COMPUTED_VALUE"""),"NANO")</f>
        <v>NANO</v>
      </c>
      <c r="B94" s="23" t="str">
        <f>IFERROR(__xludf.DUMMYFUNCTION("""COMPUTED_VALUE"""),"micel211")</f>
        <v>micel211</v>
      </c>
      <c r="C94" s="281" t="str">
        <f>IFERROR(__xludf.DUMMYFUNCTION("""COMPUTED_VALUE"""),"https://www.tiktok.com/@micel211")</f>
        <v>https://www.tiktok.com/@micel211</v>
      </c>
      <c r="D94" s="270">
        <f>IFERROR(__xludf.DUMMYFUNCTION("""COMPUTED_VALUE"""),8.5591571044E10)</f>
        <v>85591571044</v>
      </c>
      <c r="E94" s="271">
        <f>IFERROR(__xludf.DUMMYFUNCTION("""COMPUTED_VALUE"""),0.0)</f>
        <v>0</v>
      </c>
      <c r="F94" s="270">
        <f>IFERROR(__xludf.DUMMYFUNCTION("""COMPUTED_VALUE"""),2.0)</f>
        <v>2</v>
      </c>
      <c r="G94" s="577">
        <f>IFERROR(__xludf.DUMMYFUNCTION("""COMPUTED_VALUE"""),3.27E7)</f>
        <v>32700000</v>
      </c>
      <c r="H94" s="259"/>
      <c r="I94" s="260" t="str">
        <f>IFERROR(__xludf.DUMMYFUNCTION("""COMPUTED_VALUE"""),"Done Req Sample")</f>
        <v>Done Req Sample</v>
      </c>
      <c r="J94" s="261"/>
      <c r="K94" s="262"/>
      <c r="L94" s="261"/>
      <c r="M94" s="262"/>
      <c r="N94" s="261"/>
      <c r="O94" s="17"/>
      <c r="P94" s="261"/>
      <c r="Q94" s="17"/>
      <c r="R94" s="266"/>
      <c r="S94" s="266"/>
      <c r="T94" s="266"/>
      <c r="U94" s="266"/>
    </row>
    <row r="95">
      <c r="A95" s="255" t="str">
        <f>IFERROR(__xludf.DUMMYFUNCTION("""COMPUTED_VALUE"""),"NANO")</f>
        <v>NANO</v>
      </c>
      <c r="B95" s="23" t="str">
        <f>IFERROR(__xludf.DUMMYFUNCTION("""COMPUTED_VALUE"""),"jeonjungkey")</f>
        <v>jeonjungkey</v>
      </c>
      <c r="C95" s="281" t="str">
        <f>IFERROR(__xludf.DUMMYFUNCTION("""COMPUTED_VALUE"""),"https://www.tiktok.com/@jeonjungkey")</f>
        <v>https://www.tiktok.com/@jeonjungkey</v>
      </c>
      <c r="D95" s="270">
        <f>IFERROR(__xludf.DUMMYFUNCTION("""COMPUTED_VALUE"""),8.2277797809E10)</f>
        <v>82277797809</v>
      </c>
      <c r="E95" s="271">
        <f>IFERROR(__xludf.DUMMYFUNCTION("""COMPUTED_VALUE"""),0.0)</f>
        <v>0</v>
      </c>
      <c r="F95" s="270">
        <f>IFERROR(__xludf.DUMMYFUNCTION("""COMPUTED_VALUE"""),1.0)</f>
        <v>1</v>
      </c>
      <c r="G95" s="577">
        <f>IFERROR(__xludf.DUMMYFUNCTION("""COMPUTED_VALUE"""),6.77E7)</f>
        <v>67700000</v>
      </c>
      <c r="H95" s="259"/>
      <c r="I95" s="260"/>
      <c r="J95" s="261"/>
      <c r="K95" s="262"/>
      <c r="L95" s="261"/>
      <c r="M95" s="262"/>
      <c r="N95" s="261"/>
      <c r="O95" s="17"/>
      <c r="P95" s="261"/>
      <c r="Q95" s="17"/>
      <c r="R95" s="266"/>
      <c r="S95" s="266"/>
      <c r="T95" s="266"/>
      <c r="U95" s="266"/>
    </row>
    <row r="96">
      <c r="A96" s="255" t="str">
        <f>IFERROR(__xludf.DUMMYFUNCTION("""COMPUTED_VALUE"""),"MICRO")</f>
        <v>MICRO</v>
      </c>
      <c r="B96" s="23" t="str">
        <f>IFERROR(__xludf.DUMMYFUNCTION("""COMPUTED_VALUE"""),"lolafeliciaa")</f>
        <v>lolafeliciaa</v>
      </c>
      <c r="C96" s="281" t="str">
        <f>IFERROR(__xludf.DUMMYFUNCTION("""COMPUTED_VALUE"""),"https://www.tiktok.com/@lolafeliciaa")</f>
        <v>https://www.tiktok.com/@lolafeliciaa</v>
      </c>
      <c r="D96" s="270">
        <f>IFERROR(__xludf.DUMMYFUNCTION("""COMPUTED_VALUE"""),8.7889206294E10)</f>
        <v>87889206294</v>
      </c>
      <c r="E96" s="271">
        <f>IFERROR(__xludf.DUMMYFUNCTION("""COMPUTED_VALUE"""),0.0)</f>
        <v>0</v>
      </c>
      <c r="F96" s="270"/>
      <c r="G96" s="577">
        <f>IFERROR(__xludf.DUMMYFUNCTION("""COMPUTED_VALUE"""),7.021E8)</f>
        <v>702100000</v>
      </c>
      <c r="H96" s="259"/>
      <c r="I96" s="260"/>
      <c r="J96" s="261"/>
      <c r="K96" s="262"/>
      <c r="L96" s="261"/>
      <c r="M96" s="262"/>
      <c r="N96" s="261"/>
      <c r="O96" s="17"/>
      <c r="P96" s="261"/>
      <c r="Q96" s="17"/>
      <c r="R96" s="266"/>
      <c r="S96" s="266"/>
      <c r="T96" s="266"/>
      <c r="U96" s="266"/>
    </row>
    <row r="97">
      <c r="A97" s="255" t="str">
        <f>IFERROR(__xludf.DUMMYFUNCTION("""COMPUTED_VALUE"""),"MICRO")</f>
        <v>MICRO</v>
      </c>
      <c r="B97" s="23" t="str">
        <f>IFERROR(__xludf.DUMMYFUNCTION("""COMPUTED_VALUE"""),"kikiromli89")</f>
        <v>kikiromli89</v>
      </c>
      <c r="C97" s="281" t="str">
        <f>IFERROR(__xludf.DUMMYFUNCTION("""COMPUTED_VALUE"""),"https://www.tiktok.com/@kikiromli89")</f>
        <v>https://www.tiktok.com/@kikiromli89</v>
      </c>
      <c r="D97" s="270">
        <f>IFERROR(__xludf.DUMMYFUNCTION("""COMPUTED_VALUE"""),8.2269863399E10)</f>
        <v>82269863399</v>
      </c>
      <c r="E97" s="271">
        <f>IFERROR(__xludf.DUMMYFUNCTION("""COMPUTED_VALUE"""),0.0)</f>
        <v>0</v>
      </c>
      <c r="F97" s="270">
        <f>IFERROR(__xludf.DUMMYFUNCTION("""COMPUTED_VALUE"""),2.0)</f>
        <v>2</v>
      </c>
      <c r="G97" s="577">
        <f>IFERROR(__xludf.DUMMYFUNCTION("""COMPUTED_VALUE"""),7.85E7)</f>
        <v>78500000</v>
      </c>
      <c r="H97" s="259"/>
      <c r="I97" s="260" t="str">
        <f>IFERROR(__xludf.DUMMYFUNCTION("""COMPUTED_VALUE"""),"Sampai")</f>
        <v>Sampai</v>
      </c>
      <c r="J97" s="261"/>
      <c r="K97" s="262"/>
      <c r="L97" s="261"/>
      <c r="M97" s="262"/>
      <c r="N97" s="261"/>
      <c r="O97" s="17"/>
      <c r="P97" s="261"/>
      <c r="Q97" s="17"/>
      <c r="R97" s="266"/>
      <c r="S97" s="266"/>
      <c r="T97" s="266"/>
      <c r="U97" s="266"/>
    </row>
    <row r="98">
      <c r="A98" s="255" t="str">
        <f>IFERROR(__xludf.DUMMYFUNCTION("""COMPUTED_VALUE"""),"NANO")</f>
        <v>NANO</v>
      </c>
      <c r="B98" s="23" t="str">
        <f>IFERROR(__xludf.DUMMYFUNCTION("""COMPUTED_VALUE"""),"khalisah_rizkillah")</f>
        <v>khalisah_rizkillah</v>
      </c>
      <c r="C98" s="281" t="str">
        <f>IFERROR(__xludf.DUMMYFUNCTION("""COMPUTED_VALUE"""),"https://www.tiktok.com/@khalisah_rizkillah")</f>
        <v>https://www.tiktok.com/@khalisah_rizkillah</v>
      </c>
      <c r="D98" s="270"/>
      <c r="E98" s="271">
        <f>IFERROR(__xludf.DUMMYFUNCTION("""COMPUTED_VALUE"""),0.0)</f>
        <v>0</v>
      </c>
      <c r="F98" s="270">
        <f>IFERROR(__xludf.DUMMYFUNCTION("""COMPUTED_VALUE"""),1.0)</f>
        <v>1</v>
      </c>
      <c r="G98" s="577">
        <f>IFERROR(__xludf.DUMMYFUNCTION("""COMPUTED_VALUE"""),3.84E7)</f>
        <v>38400000</v>
      </c>
      <c r="H98" s="259"/>
      <c r="I98" s="260"/>
      <c r="J98" s="261"/>
      <c r="K98" s="262"/>
      <c r="L98" s="261"/>
      <c r="M98" s="262"/>
      <c r="N98" s="261"/>
      <c r="O98" s="17"/>
      <c r="P98" s="261"/>
      <c r="Q98" s="17"/>
      <c r="R98" s="266"/>
      <c r="S98" s="266"/>
      <c r="T98" s="266"/>
      <c r="U98" s="266"/>
    </row>
    <row r="99">
      <c r="A99" s="255" t="str">
        <f>IFERROR(__xludf.DUMMYFUNCTION("""COMPUTED_VALUE"""),"NANO")</f>
        <v>NANO</v>
      </c>
      <c r="B99" s="23" t="str">
        <f>IFERROR(__xludf.DUMMYFUNCTION("""COMPUTED_VALUE"""),"skincarebynita")</f>
        <v>skincarebynita</v>
      </c>
      <c r="C99" s="281" t="str">
        <f>IFERROR(__xludf.DUMMYFUNCTION("""COMPUTED_VALUE"""),"https://www.tiktok.com/@skincarebynita")</f>
        <v>https://www.tiktok.com/@skincarebynita</v>
      </c>
      <c r="D99" s="270"/>
      <c r="E99" s="271">
        <f>IFERROR(__xludf.DUMMYFUNCTION("""COMPUTED_VALUE"""),0.0)</f>
        <v>0</v>
      </c>
      <c r="F99" s="270">
        <f>IFERROR(__xludf.DUMMYFUNCTION("""COMPUTED_VALUE"""),1.0)</f>
        <v>1</v>
      </c>
      <c r="G99" s="577">
        <f>IFERROR(__xludf.DUMMYFUNCTION("""COMPUTED_VALUE"""),1.79E7)</f>
        <v>17900000</v>
      </c>
      <c r="H99" s="259"/>
      <c r="I99" s="260"/>
      <c r="J99" s="261"/>
      <c r="K99" s="262"/>
      <c r="L99" s="261"/>
      <c r="M99" s="262"/>
      <c r="N99" s="261"/>
      <c r="O99" s="17"/>
      <c r="P99" s="261"/>
      <c r="Q99" s="17"/>
      <c r="R99" s="266"/>
      <c r="S99" s="266"/>
      <c r="T99" s="266"/>
      <c r="U99" s="266"/>
    </row>
    <row r="100">
      <c r="A100" s="255" t="str">
        <f>IFERROR(__xludf.DUMMYFUNCTION("""COMPUTED_VALUE"""),"NANO")</f>
        <v>NANO</v>
      </c>
      <c r="B100" s="23" t="str">
        <f>IFERROR(__xludf.DUMMYFUNCTION("""COMPUTED_VALUE"""),"Rina_audinaaaa")</f>
        <v>Rina_audinaaaa</v>
      </c>
      <c r="C100" s="281" t="str">
        <f>IFERROR(__xludf.DUMMYFUNCTION("""COMPUTED_VALUE"""),"https://www.tiktok.com/@Rina_audinaaaa")</f>
        <v>https://www.tiktok.com/@Rina_audinaaaa</v>
      </c>
      <c r="D100" s="270"/>
      <c r="E100" s="271">
        <f>IFERROR(__xludf.DUMMYFUNCTION("""COMPUTED_VALUE"""),0.0)</f>
        <v>0</v>
      </c>
      <c r="F100" s="270">
        <f>IFERROR(__xludf.DUMMYFUNCTION("""COMPUTED_VALUE"""),1.0)</f>
        <v>1</v>
      </c>
      <c r="G100" s="577">
        <f>IFERROR(__xludf.DUMMYFUNCTION("""COMPUTED_VALUE"""),1.33E8)</f>
        <v>133000000</v>
      </c>
      <c r="H100" s="259"/>
      <c r="I100" s="260"/>
      <c r="J100" s="261"/>
      <c r="K100" s="262"/>
      <c r="L100" s="261"/>
      <c r="M100" s="262"/>
      <c r="N100" s="261"/>
      <c r="O100" s="17"/>
      <c r="P100" s="261"/>
      <c r="Q100" s="17"/>
      <c r="R100" s="266"/>
      <c r="S100" s="266"/>
      <c r="T100" s="266"/>
      <c r="U100" s="266"/>
    </row>
    <row r="101">
      <c r="A101" s="255" t="str">
        <f>IFERROR(__xludf.DUMMYFUNCTION("""COMPUTED_VALUE"""),"NANO")</f>
        <v>NANO</v>
      </c>
      <c r="B101" s="23" t="str">
        <f>IFERROR(__xludf.DUMMYFUNCTION("""COMPUTED_VALUE"""),"kosmetiksagalamurah")</f>
        <v>kosmetiksagalamurah</v>
      </c>
      <c r="C101" s="281" t="str">
        <f>IFERROR(__xludf.DUMMYFUNCTION("""COMPUTED_VALUE"""),"https://www.tiktok.com/@kosmetiksagalamurah")</f>
        <v>https://www.tiktok.com/@kosmetiksagalamurah</v>
      </c>
      <c r="D101" s="270">
        <f>IFERROR(__xludf.DUMMYFUNCTION("""COMPUTED_VALUE"""),8.7721280121E10)</f>
        <v>87721280121</v>
      </c>
      <c r="E101" s="271">
        <f>IFERROR(__xludf.DUMMYFUNCTION("""COMPUTED_VALUE"""),0.0)</f>
        <v>0</v>
      </c>
      <c r="F101" s="270"/>
      <c r="G101" s="577">
        <f>IFERROR(__xludf.DUMMYFUNCTION("""COMPUTED_VALUE"""),1.41E7)</f>
        <v>14100000</v>
      </c>
      <c r="H101" s="259"/>
      <c r="I101" s="260"/>
      <c r="J101" s="261"/>
      <c r="K101" s="262"/>
      <c r="L101" s="261"/>
      <c r="M101" s="262"/>
      <c r="N101" s="261"/>
      <c r="O101" s="17"/>
      <c r="P101" s="261"/>
      <c r="Q101" s="17"/>
      <c r="R101" s="266"/>
      <c r="S101" s="266"/>
      <c r="T101" s="266"/>
      <c r="U101" s="266"/>
    </row>
    <row r="102">
      <c r="A102" s="255" t="str">
        <f>IFERROR(__xludf.DUMMYFUNCTION("""COMPUTED_VALUE"""),"NANO")</f>
        <v>NANO</v>
      </c>
      <c r="B102" s="23" t="str">
        <f>IFERROR(__xludf.DUMMYFUNCTION("""COMPUTED_VALUE"""),"gebby.valenzka.ama")</f>
        <v>gebby.valenzka.ama</v>
      </c>
      <c r="C102" s="281" t="str">
        <f>IFERROR(__xludf.DUMMYFUNCTION("""COMPUTED_VALUE"""),"https://www.tiktok.com/@gebby.valenzka.ama")</f>
        <v>https://www.tiktok.com/@gebby.valenzka.ama</v>
      </c>
      <c r="D102" s="270">
        <f>IFERROR(__xludf.DUMMYFUNCTION("""COMPUTED_VALUE"""),8.78152418E10)</f>
        <v>87815241800</v>
      </c>
      <c r="E102" s="271">
        <f>IFERROR(__xludf.DUMMYFUNCTION("""COMPUTED_VALUE"""),0.0)</f>
        <v>0</v>
      </c>
      <c r="F102" s="270"/>
      <c r="G102" s="577">
        <f>IFERROR(__xludf.DUMMYFUNCTION("""COMPUTED_VALUE"""),1.52E7)</f>
        <v>15200000</v>
      </c>
      <c r="H102" s="259"/>
      <c r="I102" s="260"/>
      <c r="J102" s="261"/>
      <c r="K102" s="262"/>
      <c r="L102" s="261"/>
      <c r="M102" s="262"/>
      <c r="N102" s="261"/>
      <c r="O102" s="17"/>
      <c r="P102" s="261"/>
      <c r="Q102" s="17"/>
      <c r="R102" s="266"/>
      <c r="S102" s="266"/>
      <c r="T102" s="266"/>
      <c r="U102" s="266"/>
    </row>
    <row r="103">
      <c r="A103" s="255" t="str">
        <f>IFERROR(__xludf.DUMMYFUNCTION("""COMPUTED_VALUE"""),"NANO")</f>
        <v>NANO</v>
      </c>
      <c r="B103" s="23" t="str">
        <f>IFERROR(__xludf.DUMMYFUNCTION("""COMPUTED_VALUE"""),"nafisahabbas")</f>
        <v>nafisahabbas</v>
      </c>
      <c r="C103" s="281" t="str">
        <f>IFERROR(__xludf.DUMMYFUNCTION("""COMPUTED_VALUE"""),"https://www.tiktok.com/@nafisahabbas")</f>
        <v>https://www.tiktok.com/@nafisahabbas</v>
      </c>
      <c r="D103" s="270">
        <f>IFERROR(__xludf.DUMMYFUNCTION("""COMPUTED_VALUE"""),8.3176009059E10)</f>
        <v>83176009059</v>
      </c>
      <c r="E103" s="271">
        <f>IFERROR(__xludf.DUMMYFUNCTION("""COMPUTED_VALUE"""),0.0)</f>
        <v>0</v>
      </c>
      <c r="F103" s="270"/>
      <c r="G103" s="577">
        <f>IFERROR(__xludf.DUMMYFUNCTION("""COMPUTED_VALUE"""),3.1E7)</f>
        <v>31000000</v>
      </c>
      <c r="H103" s="259"/>
      <c r="I103" s="260" t="str">
        <f>IFERROR(__xludf.DUMMYFUNCTION("""COMPUTED_VALUE"""),"Done Req Sample")</f>
        <v>Done Req Sample</v>
      </c>
      <c r="J103" s="261"/>
      <c r="K103" s="262"/>
      <c r="L103" s="261"/>
      <c r="M103" s="262"/>
      <c r="N103" s="261"/>
      <c r="O103" s="17"/>
      <c r="P103" s="261"/>
      <c r="Q103" s="17"/>
      <c r="R103" s="266"/>
      <c r="S103" s="266"/>
      <c r="T103" s="266"/>
      <c r="U103" s="266"/>
    </row>
    <row r="104">
      <c r="A104" s="255" t="str">
        <f>IFERROR(__xludf.DUMMYFUNCTION("""COMPUTED_VALUE"""),"NANO")</f>
        <v>NANO</v>
      </c>
      <c r="B104" s="23" t="str">
        <f>IFERROR(__xludf.DUMMYFUNCTION("""COMPUTED_VALUE"""),"mellan99")</f>
        <v>mellan99</v>
      </c>
      <c r="C104" s="281" t="str">
        <f>IFERROR(__xludf.DUMMYFUNCTION("""COMPUTED_VALUE"""),"https://www.tiktok.com/@mellan99")</f>
        <v>https://www.tiktok.com/@mellan99</v>
      </c>
      <c r="D104" s="270">
        <f>IFERROR(__xludf.DUMMYFUNCTION("""COMPUTED_VALUE"""),8.8224131036E10)</f>
        <v>88224131036</v>
      </c>
      <c r="E104" s="271">
        <f>IFERROR(__xludf.DUMMYFUNCTION("""COMPUTED_VALUE"""),0.0)</f>
        <v>0</v>
      </c>
      <c r="F104" s="270"/>
      <c r="G104" s="577">
        <f>IFERROR(__xludf.DUMMYFUNCTION("""COMPUTED_VALUE"""),2.01E7)</f>
        <v>20100000</v>
      </c>
      <c r="H104" s="259" t="str">
        <f>IFERROR(__xludf.DUMMYFUNCTION("""COMPUTED_VALUE"""),"Body Serum Retinol")</f>
        <v>Body Serum Retinol</v>
      </c>
      <c r="I104" s="260" t="str">
        <f>IFERROR(__xludf.DUMMYFUNCTION("""COMPUTED_VALUE"""),"Sampai")</f>
        <v>Sampai</v>
      </c>
      <c r="J104" s="261"/>
      <c r="K104" s="262"/>
      <c r="L104" s="261"/>
      <c r="M104" s="262"/>
      <c r="N104" s="261"/>
      <c r="O104" s="17"/>
      <c r="P104" s="261"/>
      <c r="Q104" s="17"/>
      <c r="R104" s="266"/>
      <c r="S104" s="266"/>
      <c r="T104" s="266"/>
      <c r="U104" s="266"/>
    </row>
    <row r="105">
      <c r="A105" s="255" t="str">
        <f>IFERROR(__xludf.DUMMYFUNCTION("""COMPUTED_VALUE"""),"NANO")</f>
        <v>NANO</v>
      </c>
      <c r="B105" s="23" t="str">
        <f>IFERROR(__xludf.DUMMYFUNCTION("""COMPUTED_VALUE"""),"inlovee.skin")</f>
        <v>inlovee.skin</v>
      </c>
      <c r="C105" s="281" t="str">
        <f>IFERROR(__xludf.DUMMYFUNCTION("""COMPUTED_VALUE"""),"https://www.tiktok.com/@inlovee.skin")</f>
        <v>https://www.tiktok.com/@inlovee.skin</v>
      </c>
      <c r="D105" s="270">
        <f>IFERROR(__xludf.DUMMYFUNCTION("""COMPUTED_VALUE"""),8.3808388353E10)</f>
        <v>83808388353</v>
      </c>
      <c r="E105" s="271">
        <f>IFERROR(__xludf.DUMMYFUNCTION("""COMPUTED_VALUE"""),0.0)</f>
        <v>0</v>
      </c>
      <c r="F105" s="270"/>
      <c r="G105" s="577">
        <f>IFERROR(__xludf.DUMMYFUNCTION("""COMPUTED_VALUE"""),5.936E7)</f>
        <v>59360000</v>
      </c>
      <c r="H105" s="259"/>
      <c r="I105" s="260"/>
      <c r="J105" s="261"/>
      <c r="K105" s="262"/>
      <c r="L105" s="261"/>
      <c r="M105" s="262"/>
      <c r="N105" s="261"/>
      <c r="O105" s="17"/>
      <c r="P105" s="261"/>
      <c r="Q105" s="17"/>
      <c r="R105" s="266"/>
      <c r="S105" s="266"/>
      <c r="T105" s="266"/>
      <c r="U105" s="266"/>
    </row>
    <row r="106">
      <c r="A106" s="255" t="str">
        <f>IFERROR(__xludf.DUMMYFUNCTION("""COMPUTED_VALUE"""),"NANO")</f>
        <v>NANO</v>
      </c>
      <c r="B106" s="23" t="str">
        <f>IFERROR(__xludf.DUMMYFUNCTION("""COMPUTED_VALUE"""),"Floraluxe.lmj")</f>
        <v>Floraluxe.lmj</v>
      </c>
      <c r="C106" s="281" t="str">
        <f>IFERROR(__xludf.DUMMYFUNCTION("""COMPUTED_VALUE"""),"https://www.tiktok.com/@Floraluxe.lmj")</f>
        <v>https://www.tiktok.com/@Floraluxe.lmj</v>
      </c>
      <c r="D106" s="270">
        <f>IFERROR(__xludf.DUMMYFUNCTION("""COMPUTED_VALUE"""),8.3140274488E10)</f>
        <v>83140274488</v>
      </c>
      <c r="E106" s="271">
        <f>IFERROR(__xludf.DUMMYFUNCTION("""COMPUTED_VALUE"""),0.0)</f>
        <v>0</v>
      </c>
      <c r="F106" s="270">
        <f>IFERROR(__xludf.DUMMYFUNCTION("""COMPUTED_VALUE"""),2.0)</f>
        <v>2</v>
      </c>
      <c r="G106" s="577">
        <f>IFERROR(__xludf.DUMMYFUNCTION("""COMPUTED_VALUE"""),4.97E7)</f>
        <v>49700000</v>
      </c>
      <c r="H106" s="259" t="str">
        <f>IFERROR(__xludf.DUMMYFUNCTION("""COMPUTED_VALUE"""),"Body Sunscreen")</f>
        <v>Body Sunscreen</v>
      </c>
      <c r="I106" s="260" t="str">
        <f>IFERROR(__xludf.DUMMYFUNCTION("""COMPUTED_VALUE"""),"Done Req Sample")</f>
        <v>Done Req Sample</v>
      </c>
      <c r="J106" s="261"/>
      <c r="K106" s="262"/>
      <c r="L106" s="261"/>
      <c r="M106" s="262"/>
      <c r="N106" s="261"/>
      <c r="O106" s="17"/>
      <c r="P106" s="261"/>
      <c r="Q106" s="17"/>
      <c r="R106" s="266"/>
      <c r="S106" s="266"/>
      <c r="T106" s="266"/>
      <c r="U106" s="266"/>
    </row>
    <row r="107">
      <c r="A107" s="255" t="str">
        <f>IFERROR(__xludf.DUMMYFUNCTION("""COMPUTED_VALUE"""),"NANO")</f>
        <v>NANO</v>
      </c>
      <c r="B107" s="23" t="str">
        <f>IFERROR(__xludf.DUMMYFUNCTION("""COMPUTED_VALUE"""),"Iniicaaaaa_19")</f>
        <v>Iniicaaaaa_19</v>
      </c>
      <c r="C107" s="281" t="str">
        <f>IFERROR(__xludf.DUMMYFUNCTION("""COMPUTED_VALUE"""),"https://www.tiktok.com/@Iniicaaaaa_19")</f>
        <v>https://www.tiktok.com/@Iniicaaaaa_19</v>
      </c>
      <c r="D107" s="270">
        <f>IFERROR(__xludf.DUMMYFUNCTION("""COMPUTED_VALUE"""),8.7733517156E10)</f>
        <v>87733517156</v>
      </c>
      <c r="E107" s="271">
        <f>IFERROR(__xludf.DUMMYFUNCTION("""COMPUTED_VALUE"""),0.0)</f>
        <v>0</v>
      </c>
      <c r="F107" s="270">
        <f>IFERROR(__xludf.DUMMYFUNCTION("""COMPUTED_VALUE"""),2.0)</f>
        <v>2</v>
      </c>
      <c r="G107" s="577">
        <f>IFERROR(__xludf.DUMMYFUNCTION("""COMPUTED_VALUE"""),3.67E7)</f>
        <v>36700000</v>
      </c>
      <c r="H107" s="259" t="str">
        <f>IFERROR(__xludf.DUMMYFUNCTION("""COMPUTED_VALUE"""),"Body Serum Retinol")</f>
        <v>Body Serum Retinol</v>
      </c>
      <c r="I107" s="260"/>
      <c r="J107" s="261"/>
      <c r="K107" s="262"/>
      <c r="L107" s="261"/>
      <c r="M107" s="262"/>
      <c r="N107" s="261"/>
      <c r="O107" s="17"/>
      <c r="P107" s="261"/>
      <c r="Q107" s="17"/>
      <c r="R107" s="266"/>
      <c r="S107" s="266"/>
      <c r="T107" s="266"/>
      <c r="U107" s="266"/>
    </row>
    <row r="108">
      <c r="A108" s="255" t="str">
        <f>IFERROR(__xludf.DUMMYFUNCTION("""COMPUTED_VALUE"""),"MICRO")</f>
        <v>MICRO</v>
      </c>
      <c r="B108" s="23" t="str">
        <f>IFERROR(__xludf.DUMMYFUNCTION("""COMPUTED_VALUE"""),"shakashop04")</f>
        <v>shakashop04</v>
      </c>
      <c r="C108" s="281" t="str">
        <f>IFERROR(__xludf.DUMMYFUNCTION("""COMPUTED_VALUE"""),"https://www.tiktok.com/@shakashop04")</f>
        <v>https://www.tiktok.com/@shakashop04</v>
      </c>
      <c r="D108" s="270">
        <f>IFERROR(__xludf.DUMMYFUNCTION("""COMPUTED_VALUE"""),8.2274052694E10)</f>
        <v>82274052694</v>
      </c>
      <c r="E108" s="271">
        <f>IFERROR(__xludf.DUMMYFUNCTION("""COMPUTED_VALUE"""),0.0)</f>
        <v>0</v>
      </c>
      <c r="F108" s="270"/>
      <c r="G108" s="577">
        <f>IFERROR(__xludf.DUMMYFUNCTION("""COMPUTED_VALUE"""),6.38E7)</f>
        <v>63800000</v>
      </c>
      <c r="H108" s="259"/>
      <c r="I108" s="260"/>
      <c r="J108" s="261"/>
      <c r="K108" s="262"/>
      <c r="L108" s="261"/>
      <c r="M108" s="262"/>
      <c r="N108" s="261"/>
      <c r="O108" s="17"/>
      <c r="P108" s="261"/>
      <c r="Q108" s="17"/>
      <c r="R108" s="266"/>
      <c r="S108" s="266"/>
      <c r="T108" s="266"/>
      <c r="U108" s="266"/>
    </row>
    <row r="109">
      <c r="A109" s="255" t="str">
        <f>IFERROR(__xludf.DUMMYFUNCTION("""COMPUTED_VALUE"""),"NANO")</f>
        <v>NANO</v>
      </c>
      <c r="B109" s="23" t="str">
        <f>IFERROR(__xludf.DUMMYFUNCTION("""COMPUTED_VALUE"""),"ariff.ratnaa")</f>
        <v>ariff.ratnaa</v>
      </c>
      <c r="C109" s="281" t="str">
        <f>IFERROR(__xludf.DUMMYFUNCTION("""COMPUTED_VALUE"""),"https://www.tiktok.com/@ariff.ratnaa")</f>
        <v>https://www.tiktok.com/@ariff.ratnaa</v>
      </c>
      <c r="D109" s="270">
        <f>IFERROR(__xludf.DUMMYFUNCTION("""COMPUTED_VALUE"""),8.9636619781E10)</f>
        <v>89636619781</v>
      </c>
      <c r="E109" s="271">
        <f>IFERROR(__xludf.DUMMYFUNCTION("""COMPUTED_VALUE"""),0.0)</f>
        <v>0</v>
      </c>
      <c r="F109" s="270">
        <f>IFERROR(__xludf.DUMMYFUNCTION("""COMPUTED_VALUE"""),2.0)</f>
        <v>2</v>
      </c>
      <c r="G109" s="577">
        <f>IFERROR(__xludf.DUMMYFUNCTION("""COMPUTED_VALUE"""),2.75E7)</f>
        <v>27500000</v>
      </c>
      <c r="H109" s="259" t="str">
        <f>IFERROR(__xludf.DUMMYFUNCTION("""COMPUTED_VALUE"""),"Body Sunscreen")</f>
        <v>Body Sunscreen</v>
      </c>
      <c r="I109" s="260"/>
      <c r="J109" s="261"/>
      <c r="K109" s="262"/>
      <c r="L109" s="261"/>
      <c r="M109" s="262"/>
      <c r="N109" s="261"/>
      <c r="O109" s="17"/>
      <c r="P109" s="261"/>
      <c r="Q109" s="17"/>
      <c r="R109" s="266"/>
      <c r="S109" s="266"/>
      <c r="T109" s="266"/>
      <c r="U109" s="266"/>
    </row>
    <row r="110">
      <c r="A110" s="255" t="str">
        <f>IFERROR(__xludf.DUMMYFUNCTION("""COMPUTED_VALUE"""),"MICRO")</f>
        <v>MICRO</v>
      </c>
      <c r="B110" s="23" t="str">
        <f>IFERROR(__xludf.DUMMYFUNCTION("""COMPUTED_VALUE"""),"Ayunitanf")</f>
        <v>Ayunitanf</v>
      </c>
      <c r="C110" s="281" t="str">
        <f>IFERROR(__xludf.DUMMYFUNCTION("""COMPUTED_VALUE"""),"https://www.tiktok.com/@Ayunitanf")</f>
        <v>https://www.tiktok.com/@Ayunitanf</v>
      </c>
      <c r="D110" s="270">
        <f>IFERROR(__xludf.DUMMYFUNCTION("""COMPUTED_VALUE"""),8.772071112E10)</f>
        <v>87720711120</v>
      </c>
      <c r="E110" s="271">
        <f>IFERROR(__xludf.DUMMYFUNCTION("""COMPUTED_VALUE"""),0.0)</f>
        <v>0</v>
      </c>
      <c r="F110" s="270">
        <f>IFERROR(__xludf.DUMMYFUNCTION("""COMPUTED_VALUE"""),2.0)</f>
        <v>2</v>
      </c>
      <c r="G110" s="577">
        <f>IFERROR(__xludf.DUMMYFUNCTION("""COMPUTED_VALUE"""),3.72E7)</f>
        <v>37200000</v>
      </c>
      <c r="H110" s="259" t="str">
        <f>IFERROR(__xludf.DUMMYFUNCTION("""COMPUTED_VALUE"""),"Body Serum Retinol")</f>
        <v>Body Serum Retinol</v>
      </c>
      <c r="I110" s="260"/>
      <c r="J110" s="261"/>
      <c r="K110" s="262"/>
      <c r="L110" s="261"/>
      <c r="M110" s="262"/>
      <c r="N110" s="261"/>
      <c r="O110" s="17"/>
      <c r="P110" s="261"/>
      <c r="Q110" s="17"/>
      <c r="R110" s="266"/>
      <c r="S110" s="266"/>
      <c r="T110" s="266"/>
      <c r="U110" s="266"/>
    </row>
    <row r="111">
      <c r="A111" s="255" t="str">
        <f>IFERROR(__xludf.DUMMYFUNCTION("""COMPUTED_VALUE"""),"NANO")</f>
        <v>NANO</v>
      </c>
      <c r="B111" s="257" t="str">
        <f>IFERROR(__xludf.DUMMYFUNCTION("""COMPUTED_VALUE"""),"ameccaa.id")</f>
        <v>ameccaa.id</v>
      </c>
      <c r="C111" s="281" t="str">
        <f>IFERROR(__xludf.DUMMYFUNCTION("""COMPUTED_VALUE"""),"https://www.tiktok.com/@ameccaa.id")</f>
        <v>https://www.tiktok.com/@ameccaa.id</v>
      </c>
      <c r="D111" s="270">
        <f>IFERROR(__xludf.DUMMYFUNCTION("""COMPUTED_VALUE"""),8.5796530526E10)</f>
        <v>85796530526</v>
      </c>
      <c r="E111" s="271">
        <f>IFERROR(__xludf.DUMMYFUNCTION("""COMPUTED_VALUE"""),0.0)</f>
        <v>0</v>
      </c>
      <c r="F111" s="270">
        <f>IFERROR(__xludf.DUMMYFUNCTION("""COMPUTED_VALUE"""),2.0)</f>
        <v>2</v>
      </c>
      <c r="G111" s="577">
        <f>IFERROR(__xludf.DUMMYFUNCTION("""COMPUTED_VALUE"""),2.384E8)</f>
        <v>238400000</v>
      </c>
      <c r="H111" s="259"/>
      <c r="I111" s="260"/>
      <c r="J111" s="261"/>
      <c r="K111" s="262"/>
      <c r="L111" s="261"/>
      <c r="M111" s="262"/>
      <c r="N111" s="261"/>
      <c r="O111" s="17"/>
      <c r="P111" s="261"/>
      <c r="Q111" s="17"/>
      <c r="R111" s="266"/>
      <c r="S111" s="266"/>
      <c r="T111" s="266"/>
      <c r="U111" s="266"/>
    </row>
    <row r="112">
      <c r="A112" s="255" t="str">
        <f>IFERROR(__xludf.DUMMYFUNCTION("""COMPUTED_VALUE"""),"NANO")</f>
        <v>NANO</v>
      </c>
      <c r="B112" s="23" t="str">
        <f>IFERROR(__xludf.DUMMYFUNCTION("""COMPUTED_VALUE"""),"kenylrnz")</f>
        <v>kenylrnz</v>
      </c>
      <c r="C112" s="281" t="str">
        <f>IFERROR(__xludf.DUMMYFUNCTION("""COMPUTED_VALUE"""),"https://www.tiktok.com/@kenylrnz")</f>
        <v>https://www.tiktok.com/@kenylrnz</v>
      </c>
      <c r="D112" s="270">
        <f>IFERROR(__xludf.DUMMYFUNCTION("""COMPUTED_VALUE"""),8.9523426074E10)</f>
        <v>89523426074</v>
      </c>
      <c r="E112" s="271">
        <f>IFERROR(__xludf.DUMMYFUNCTION("""COMPUTED_VALUE"""),0.0)</f>
        <v>0</v>
      </c>
      <c r="F112" s="270">
        <f>IFERROR(__xludf.DUMMYFUNCTION("""COMPUTED_VALUE"""),2.0)</f>
        <v>2</v>
      </c>
      <c r="G112" s="577">
        <f>IFERROR(__xludf.DUMMYFUNCTION("""COMPUTED_VALUE"""),2.49E7)</f>
        <v>24900000</v>
      </c>
      <c r="H112" s="259"/>
      <c r="I112" s="260"/>
      <c r="J112" s="261"/>
      <c r="K112" s="262"/>
      <c r="L112" s="261"/>
      <c r="M112" s="262"/>
      <c r="N112" s="261"/>
      <c r="O112" s="17"/>
      <c r="P112" s="261"/>
      <c r="Q112" s="17"/>
      <c r="R112" s="266"/>
      <c r="S112" s="266"/>
      <c r="T112" s="266"/>
      <c r="U112" s="266"/>
    </row>
    <row r="113">
      <c r="A113" s="255" t="str">
        <f>IFERROR(__xludf.DUMMYFUNCTION("""COMPUTED_VALUE"""),"NANO")</f>
        <v>NANO</v>
      </c>
      <c r="B113" s="23" t="str">
        <f>IFERROR(__xludf.DUMMYFUNCTION("""COMPUTED_VALUE"""),"melani.makeup17")</f>
        <v>melani.makeup17</v>
      </c>
      <c r="C113" s="281" t="str">
        <f>IFERROR(__xludf.DUMMYFUNCTION("""COMPUTED_VALUE"""),"https://www.tiktok.com/@melani.makeup17")</f>
        <v>https://www.tiktok.com/@melani.makeup17</v>
      </c>
      <c r="D113" s="270">
        <f>IFERROR(__xludf.DUMMYFUNCTION("""COMPUTED_VALUE"""),8.5728913779E10)</f>
        <v>85728913779</v>
      </c>
      <c r="E113" s="271">
        <f>IFERROR(__xludf.DUMMYFUNCTION("""COMPUTED_VALUE"""),0.0)</f>
        <v>0</v>
      </c>
      <c r="F113" s="270">
        <f>IFERROR(__xludf.DUMMYFUNCTION("""COMPUTED_VALUE"""),2.0)</f>
        <v>2</v>
      </c>
      <c r="G113" s="577">
        <f>IFERROR(__xludf.DUMMYFUNCTION("""COMPUTED_VALUE"""),6400000.0)</f>
        <v>6400000</v>
      </c>
      <c r="H113" s="259"/>
      <c r="I113" s="260" t="str">
        <f>IFERROR(__xludf.DUMMYFUNCTION("""COMPUTED_VALUE"""),"Done Req Sample")</f>
        <v>Done Req Sample</v>
      </c>
      <c r="J113" s="261"/>
      <c r="K113" s="262"/>
      <c r="L113" s="261"/>
      <c r="M113" s="262"/>
      <c r="N113" s="261"/>
      <c r="O113" s="17"/>
      <c r="P113" s="261"/>
      <c r="Q113" s="17"/>
      <c r="R113" s="266"/>
      <c r="S113" s="266"/>
      <c r="T113" s="266"/>
      <c r="U113" s="266"/>
    </row>
    <row r="114">
      <c r="A114" s="255" t="str">
        <f>IFERROR(__xludf.DUMMYFUNCTION("""COMPUTED_VALUE"""),"NANO")</f>
        <v>NANO</v>
      </c>
      <c r="B114" s="23" t="str">
        <f>IFERROR(__xludf.DUMMYFUNCTION("""COMPUTED_VALUE"""),"princesszelinee")</f>
        <v>princesszelinee</v>
      </c>
      <c r="C114" s="281" t="str">
        <f>IFERROR(__xludf.DUMMYFUNCTION("""COMPUTED_VALUE"""),"https://www.tiktok.com/@princesszelinee")</f>
        <v>https://www.tiktok.com/@princesszelinee</v>
      </c>
      <c r="D114" s="270">
        <f>IFERROR(__xludf.DUMMYFUNCTION("""COMPUTED_VALUE"""),8.1802130528E10)</f>
        <v>81802130528</v>
      </c>
      <c r="E114" s="271">
        <f>IFERROR(__xludf.DUMMYFUNCTION("""COMPUTED_VALUE"""),0.0)</f>
        <v>0</v>
      </c>
      <c r="F114" s="270">
        <f>IFERROR(__xludf.DUMMYFUNCTION("""COMPUTED_VALUE"""),2.0)</f>
        <v>2</v>
      </c>
      <c r="G114" s="577">
        <f>IFERROR(__xludf.DUMMYFUNCTION("""COMPUTED_VALUE"""),4.49E7)</f>
        <v>44900000</v>
      </c>
      <c r="H114" s="259"/>
      <c r="I114" s="260" t="str">
        <f>IFERROR(__xludf.DUMMYFUNCTION("""COMPUTED_VALUE"""),"Done Req Sample")</f>
        <v>Done Req Sample</v>
      </c>
      <c r="J114" s="261"/>
      <c r="K114" s="262"/>
      <c r="L114" s="261"/>
      <c r="M114" s="262"/>
      <c r="N114" s="261"/>
      <c r="O114" s="17"/>
      <c r="P114" s="261"/>
      <c r="Q114" s="17"/>
      <c r="R114" s="266"/>
      <c r="S114" s="266"/>
      <c r="T114" s="266"/>
      <c r="U114" s="266"/>
    </row>
    <row r="115">
      <c r="A115" s="255" t="str">
        <f>IFERROR(__xludf.DUMMYFUNCTION("""COMPUTED_VALUE"""),"NANO")</f>
        <v>NANO</v>
      </c>
      <c r="B115" s="23" t="str">
        <f>IFERROR(__xludf.DUMMYFUNCTION("""COMPUTED_VALUE"""),"meisyalsa")</f>
        <v>meisyalsa</v>
      </c>
      <c r="C115" s="281" t="str">
        <f>IFERROR(__xludf.DUMMYFUNCTION("""COMPUTED_VALUE"""),"https://www.tiktok.com/@meisyalsa")</f>
        <v>https://www.tiktok.com/@meisyalsa</v>
      </c>
      <c r="D115" s="270">
        <f>IFERROR(__xludf.DUMMYFUNCTION("""COMPUTED_VALUE"""),8.5812253824E10)</f>
        <v>85812253824</v>
      </c>
      <c r="E115" s="271">
        <f>IFERROR(__xludf.DUMMYFUNCTION("""COMPUTED_VALUE"""),0.0)</f>
        <v>0</v>
      </c>
      <c r="F115" s="270">
        <f>IFERROR(__xludf.DUMMYFUNCTION("""COMPUTED_VALUE"""),2.0)</f>
        <v>2</v>
      </c>
      <c r="G115" s="577">
        <f>IFERROR(__xludf.DUMMYFUNCTION("""COMPUTED_VALUE"""),8.55E7)</f>
        <v>85500000</v>
      </c>
      <c r="H115" s="259" t="str">
        <f>IFERROR(__xludf.DUMMYFUNCTION("""COMPUTED_VALUE"""),"Body Serum Retinol")</f>
        <v>Body Serum Retinol</v>
      </c>
      <c r="I115" s="260"/>
      <c r="J115" s="261"/>
      <c r="K115" s="262"/>
      <c r="L115" s="261"/>
      <c r="M115" s="262"/>
      <c r="N115" s="261"/>
      <c r="O115" s="17"/>
      <c r="P115" s="261"/>
      <c r="Q115" s="17"/>
      <c r="R115" s="266"/>
      <c r="S115" s="266"/>
      <c r="T115" s="266"/>
      <c r="U115" s="266"/>
    </row>
    <row r="116">
      <c r="A116" s="255" t="str">
        <f>IFERROR(__xludf.DUMMYFUNCTION("""COMPUTED_VALUE"""),"NANO")</f>
        <v>NANO</v>
      </c>
      <c r="B116" s="23" t="str">
        <f>IFERROR(__xludf.DUMMYFUNCTION("""COMPUTED_VALUE"""),"bang.ara62")</f>
        <v>bang.ara62</v>
      </c>
      <c r="C116" s="281" t="str">
        <f>IFERROR(__xludf.DUMMYFUNCTION("""COMPUTED_VALUE"""),"https://www.tiktok.com/@bang.ara62")</f>
        <v>https://www.tiktok.com/@bang.ara62</v>
      </c>
      <c r="D116" s="270">
        <f>IFERROR(__xludf.DUMMYFUNCTION("""COMPUTED_VALUE"""),8.1393230559E10)</f>
        <v>81393230559</v>
      </c>
      <c r="E116" s="271">
        <f>IFERROR(__xludf.DUMMYFUNCTION("""COMPUTED_VALUE"""),0.0)</f>
        <v>0</v>
      </c>
      <c r="F116" s="270">
        <f>IFERROR(__xludf.DUMMYFUNCTION("""COMPUTED_VALUE"""),2.0)</f>
        <v>2</v>
      </c>
      <c r="G116" s="577">
        <f>IFERROR(__xludf.DUMMYFUNCTION("""COMPUTED_VALUE"""),7.82E7)</f>
        <v>78200000</v>
      </c>
      <c r="H116" s="259" t="str">
        <f>IFERROR(__xludf.DUMMYFUNCTION("""COMPUTED_VALUE"""),"Body Mask")</f>
        <v>Body Mask</v>
      </c>
      <c r="I116" s="260"/>
      <c r="J116" s="261"/>
      <c r="K116" s="262"/>
      <c r="L116" s="261"/>
      <c r="M116" s="262"/>
      <c r="N116" s="261"/>
      <c r="O116" s="17"/>
      <c r="P116" s="261"/>
      <c r="Q116" s="17"/>
      <c r="R116" s="266"/>
      <c r="S116" s="266"/>
      <c r="T116" s="266"/>
      <c r="U116" s="266"/>
    </row>
    <row r="117">
      <c r="A117" s="255" t="str">
        <f>IFERROR(__xludf.DUMMYFUNCTION("""COMPUTED_VALUE"""),"NANO")</f>
        <v>NANO</v>
      </c>
      <c r="B117" s="23" t="str">
        <f>IFERROR(__xludf.DUMMYFUNCTION("""COMPUTED_VALUE"""),"sayaaul__")</f>
        <v>sayaaul__</v>
      </c>
      <c r="C117" s="281" t="str">
        <f>IFERROR(__xludf.DUMMYFUNCTION("""COMPUTED_VALUE"""),"https://www.tiktok.com/@sayaaul__")</f>
        <v>https://www.tiktok.com/@sayaaul__</v>
      </c>
      <c r="D117" s="270">
        <f>IFERROR(__xludf.DUMMYFUNCTION("""COMPUTED_VALUE"""),8.9506883668E10)</f>
        <v>89506883668</v>
      </c>
      <c r="E117" s="271">
        <f>IFERROR(__xludf.DUMMYFUNCTION("""COMPUTED_VALUE"""),0.0)</f>
        <v>0</v>
      </c>
      <c r="F117" s="270">
        <f>IFERROR(__xludf.DUMMYFUNCTION("""COMPUTED_VALUE"""),2.0)</f>
        <v>2</v>
      </c>
      <c r="G117" s="577">
        <f>IFERROR(__xludf.DUMMYFUNCTION("""COMPUTED_VALUE"""),2.27E7)</f>
        <v>22700000</v>
      </c>
      <c r="H117" s="259" t="str">
        <f>IFERROR(__xludf.DUMMYFUNCTION("""COMPUTED_VALUE"""),"Body Mask")</f>
        <v>Body Mask</v>
      </c>
      <c r="I117" s="260"/>
      <c r="J117" s="261"/>
      <c r="K117" s="262"/>
      <c r="L117" s="261"/>
      <c r="M117" s="262"/>
      <c r="N117" s="261"/>
      <c r="O117" s="17"/>
      <c r="P117" s="261"/>
      <c r="Q117" s="17"/>
      <c r="R117" s="266"/>
      <c r="S117" s="266"/>
      <c r="T117" s="266"/>
      <c r="U117" s="266"/>
    </row>
    <row r="118">
      <c r="A118" s="255" t="str">
        <f>IFERROR(__xludf.DUMMYFUNCTION("""COMPUTED_VALUE"""),"MICRO")</f>
        <v>MICRO</v>
      </c>
      <c r="B118" s="23" t="str">
        <f>IFERROR(__xludf.DUMMYFUNCTION("""COMPUTED_VALUE"""),"olinshop789")</f>
        <v>olinshop789</v>
      </c>
      <c r="C118" s="281" t="str">
        <f>IFERROR(__xludf.DUMMYFUNCTION("""COMPUTED_VALUE"""),"https://www.tiktok.com/@olinshop789")</f>
        <v>https://www.tiktok.com/@olinshop789</v>
      </c>
      <c r="D118" s="270">
        <f>IFERROR(__xludf.DUMMYFUNCTION("""COMPUTED_VALUE"""),8.5211520489E10)</f>
        <v>85211520489</v>
      </c>
      <c r="E118" s="271">
        <f>IFERROR(__xludf.DUMMYFUNCTION("""COMPUTED_VALUE"""),0.0)</f>
        <v>0</v>
      </c>
      <c r="F118" s="270">
        <f>IFERROR(__xludf.DUMMYFUNCTION("""COMPUTED_VALUE"""),2.0)</f>
        <v>2</v>
      </c>
      <c r="G118" s="577">
        <f>IFERROR(__xludf.DUMMYFUNCTION("""COMPUTED_VALUE"""),1.2E9)</f>
        <v>1200000000</v>
      </c>
      <c r="H118" s="259" t="str">
        <f>IFERROR(__xludf.DUMMYFUNCTION("""COMPUTED_VALUE"""),"Body Serum Retinol")</f>
        <v>Body Serum Retinol</v>
      </c>
      <c r="I118" s="260"/>
      <c r="J118" s="261"/>
      <c r="K118" s="262"/>
      <c r="L118" s="261"/>
      <c r="M118" s="262"/>
      <c r="N118" s="261"/>
      <c r="O118" s="17"/>
      <c r="P118" s="261"/>
      <c r="Q118" s="17"/>
      <c r="R118" s="266"/>
      <c r="S118" s="266"/>
      <c r="T118" s="266"/>
      <c r="U118" s="266"/>
    </row>
    <row r="119">
      <c r="A119" s="255" t="str">
        <f>IFERROR(__xludf.DUMMYFUNCTION("""COMPUTED_VALUE"""),"MICRO")</f>
        <v>MICRO</v>
      </c>
      <c r="B119" s="23" t="str">
        <f>IFERROR(__xludf.DUMMYFUNCTION("""COMPUTED_VALUE"""),"azizahmsi1234")</f>
        <v>azizahmsi1234</v>
      </c>
      <c r="C119" s="281" t="str">
        <f>IFERROR(__xludf.DUMMYFUNCTION("""COMPUTED_VALUE"""),"https://www.tiktok.com/@azizahmsi1234")</f>
        <v>https://www.tiktok.com/@azizahmsi1234</v>
      </c>
      <c r="D119" s="270">
        <f>IFERROR(__xludf.DUMMYFUNCTION("""COMPUTED_VALUE"""),8.9603519237E10)</f>
        <v>89603519237</v>
      </c>
      <c r="E119" s="271">
        <f>IFERROR(__xludf.DUMMYFUNCTION("""COMPUTED_VALUE"""),0.0)</f>
        <v>0</v>
      </c>
      <c r="F119" s="270">
        <f>IFERROR(__xludf.DUMMYFUNCTION("""COMPUTED_VALUE"""),2.0)</f>
        <v>2</v>
      </c>
      <c r="G119" s="577">
        <f>IFERROR(__xludf.DUMMYFUNCTION("""COMPUTED_VALUE"""),1.255E8)</f>
        <v>125500000</v>
      </c>
      <c r="H119" s="259" t="str">
        <f>IFERROR(__xludf.DUMMYFUNCTION("""COMPUTED_VALUE"""),"Body Mask")</f>
        <v>Body Mask</v>
      </c>
      <c r="I119" s="260"/>
      <c r="J119" s="261"/>
      <c r="K119" s="262"/>
      <c r="L119" s="261"/>
      <c r="M119" s="262"/>
      <c r="N119" s="261"/>
      <c r="O119" s="17"/>
      <c r="P119" s="261"/>
      <c r="Q119" s="17"/>
      <c r="R119" s="266"/>
      <c r="S119" s="266"/>
      <c r="T119" s="266"/>
      <c r="U119" s="266"/>
    </row>
    <row r="120">
      <c r="A120" s="255" t="str">
        <f>IFERROR(__xludf.DUMMYFUNCTION("""COMPUTED_VALUE"""),"NANO")</f>
        <v>NANO</v>
      </c>
      <c r="B120" s="23" t="str">
        <f>IFERROR(__xludf.DUMMYFUNCTION("""COMPUTED_VALUE"""),"mamashanea17")</f>
        <v>mamashanea17</v>
      </c>
      <c r="C120" s="281" t="str">
        <f>IFERROR(__xludf.DUMMYFUNCTION("""COMPUTED_VALUE"""),"https://www.tiktok.com/@mamashanea17")</f>
        <v>https://www.tiktok.com/@mamashanea17</v>
      </c>
      <c r="D120" s="270">
        <f>IFERROR(__xludf.DUMMYFUNCTION("""COMPUTED_VALUE"""),8.9699033113E10)</f>
        <v>89699033113</v>
      </c>
      <c r="E120" s="271">
        <f>IFERROR(__xludf.DUMMYFUNCTION("""COMPUTED_VALUE"""),0.0)</f>
        <v>0</v>
      </c>
      <c r="F120" s="270">
        <f>IFERROR(__xludf.DUMMYFUNCTION("""COMPUTED_VALUE"""),3.0)</f>
        <v>3</v>
      </c>
      <c r="G120" s="577">
        <f>IFERROR(__xludf.DUMMYFUNCTION("""COMPUTED_VALUE"""),8.38E7)</f>
        <v>83800000</v>
      </c>
      <c r="H120" s="259"/>
      <c r="I120" s="260"/>
      <c r="J120" s="261"/>
      <c r="K120" s="262"/>
      <c r="L120" s="261"/>
      <c r="M120" s="262"/>
      <c r="N120" s="261"/>
      <c r="O120" s="17"/>
      <c r="P120" s="261"/>
      <c r="Q120" s="17"/>
      <c r="R120" s="266"/>
      <c r="S120" s="266"/>
      <c r="T120" s="266"/>
      <c r="U120" s="266"/>
    </row>
    <row r="121">
      <c r="A121" s="255" t="str">
        <f>IFERROR(__xludf.DUMMYFUNCTION("""COMPUTED_VALUE"""),"NANO")</f>
        <v>NANO</v>
      </c>
      <c r="B121" s="23" t="str">
        <f>IFERROR(__xludf.DUMMYFUNCTION("""COMPUTED_VALUE"""),"lailiyabeuty")</f>
        <v>lailiyabeuty</v>
      </c>
      <c r="C121" s="281" t="str">
        <f>IFERROR(__xludf.DUMMYFUNCTION("""COMPUTED_VALUE"""),"https://www.tiktok.com/@lailiyabeuty")</f>
        <v>https://www.tiktok.com/@lailiyabeuty</v>
      </c>
      <c r="D121" s="270">
        <f>IFERROR(__xludf.DUMMYFUNCTION("""COMPUTED_VALUE"""),8.1217295331E10)</f>
        <v>81217295331</v>
      </c>
      <c r="E121" s="271">
        <f>IFERROR(__xludf.DUMMYFUNCTION("""COMPUTED_VALUE"""),0.0)</f>
        <v>0</v>
      </c>
      <c r="F121" s="270">
        <f>IFERROR(__xludf.DUMMYFUNCTION("""COMPUTED_VALUE"""),2.0)</f>
        <v>2</v>
      </c>
      <c r="G121" s="577">
        <f>IFERROR(__xludf.DUMMYFUNCTION("""COMPUTED_VALUE"""),8.21E7)</f>
        <v>82100000</v>
      </c>
      <c r="H121" s="259"/>
      <c r="I121" s="260"/>
      <c r="J121" s="261"/>
      <c r="K121" s="262"/>
      <c r="L121" s="261"/>
      <c r="M121" s="262"/>
      <c r="N121" s="261"/>
      <c r="O121" s="17"/>
      <c r="P121" s="261"/>
      <c r="Q121" s="17"/>
      <c r="R121" s="266"/>
      <c r="S121" s="266"/>
      <c r="T121" s="266"/>
      <c r="U121" s="266"/>
    </row>
    <row r="122">
      <c r="A122" s="255"/>
      <c r="B122" s="23"/>
      <c r="C122" s="268"/>
      <c r="D122" s="270"/>
      <c r="E122" s="271"/>
      <c r="F122" s="270"/>
      <c r="G122" s="270"/>
      <c r="H122" s="259"/>
      <c r="I122" s="260"/>
      <c r="J122" s="261"/>
      <c r="K122" s="262"/>
      <c r="L122" s="261"/>
      <c r="M122" s="262"/>
      <c r="N122" s="261"/>
      <c r="O122" s="17"/>
      <c r="P122" s="261"/>
      <c r="Q122" s="17"/>
      <c r="R122" s="266"/>
      <c r="S122" s="266"/>
      <c r="T122" s="266"/>
      <c r="U122" s="266"/>
    </row>
    <row r="123">
      <c r="A123" s="255"/>
      <c r="B123" s="23"/>
      <c r="C123" s="268"/>
      <c r="D123" s="270"/>
      <c r="E123" s="271"/>
      <c r="F123" s="270"/>
      <c r="G123" s="270"/>
      <c r="H123" s="259"/>
      <c r="I123" s="260"/>
      <c r="J123" s="261"/>
      <c r="K123" s="262"/>
      <c r="L123" s="261"/>
      <c r="M123" s="262"/>
      <c r="N123" s="261"/>
      <c r="O123" s="17"/>
      <c r="P123" s="261"/>
      <c r="Q123" s="17"/>
      <c r="R123" s="266"/>
      <c r="S123" s="266"/>
      <c r="T123" s="266"/>
      <c r="U123" s="266"/>
    </row>
    <row r="124">
      <c r="A124" s="255"/>
      <c r="B124" s="23"/>
      <c r="C124" s="268"/>
      <c r="D124" s="270"/>
      <c r="E124" s="271"/>
      <c r="F124" s="270"/>
      <c r="G124" s="270"/>
      <c r="H124" s="259"/>
      <c r="I124" s="260"/>
      <c r="J124" s="261"/>
      <c r="K124" s="262"/>
      <c r="L124" s="261"/>
      <c r="M124" s="262"/>
      <c r="N124" s="261"/>
      <c r="O124" s="17"/>
      <c r="P124" s="261"/>
      <c r="Q124" s="17"/>
      <c r="R124" s="266"/>
      <c r="S124" s="266"/>
      <c r="T124" s="266"/>
      <c r="U124" s="266"/>
    </row>
    <row r="125">
      <c r="A125" s="255"/>
      <c r="B125" s="23"/>
      <c r="C125" s="268"/>
      <c r="D125" s="270"/>
      <c r="E125" s="271"/>
      <c r="F125" s="270"/>
      <c r="G125" s="270"/>
      <c r="H125" s="259"/>
      <c r="I125" s="260"/>
      <c r="J125" s="261"/>
      <c r="K125" s="262"/>
      <c r="L125" s="261"/>
      <c r="M125" s="262"/>
      <c r="N125" s="261"/>
      <c r="O125" s="17"/>
      <c r="P125" s="261"/>
      <c r="Q125" s="17"/>
      <c r="R125" s="266"/>
      <c r="S125" s="266"/>
      <c r="T125" s="266"/>
      <c r="U125" s="266"/>
    </row>
    <row r="126">
      <c r="A126" s="255"/>
      <c r="B126" s="23"/>
      <c r="C126" s="268"/>
      <c r="D126" s="270"/>
      <c r="E126" s="271"/>
      <c r="F126" s="270"/>
      <c r="G126" s="270"/>
      <c r="H126" s="259"/>
      <c r="I126" s="260"/>
      <c r="J126" s="261"/>
      <c r="K126" s="262"/>
      <c r="L126" s="261"/>
      <c r="M126" s="262"/>
      <c r="N126" s="261"/>
      <c r="O126" s="17"/>
      <c r="P126" s="261"/>
      <c r="Q126" s="17"/>
      <c r="R126" s="266"/>
      <c r="S126" s="266"/>
      <c r="T126" s="266"/>
      <c r="U126" s="266"/>
    </row>
    <row r="127">
      <c r="A127" s="255"/>
      <c r="B127" s="23"/>
      <c r="C127" s="268"/>
      <c r="D127" s="270"/>
      <c r="E127" s="271"/>
      <c r="F127" s="270"/>
      <c r="G127" s="270"/>
      <c r="H127" s="259"/>
      <c r="I127" s="260"/>
      <c r="J127" s="261"/>
      <c r="K127" s="262"/>
      <c r="L127" s="261"/>
      <c r="M127" s="262"/>
      <c r="N127" s="261"/>
      <c r="O127" s="17"/>
      <c r="P127" s="261"/>
      <c r="Q127" s="17"/>
      <c r="R127" s="266"/>
      <c r="S127" s="266"/>
      <c r="T127" s="266"/>
      <c r="U127" s="266"/>
    </row>
    <row r="128">
      <c r="A128" s="255"/>
      <c r="B128" s="23"/>
      <c r="C128" s="268"/>
      <c r="D128" s="270"/>
      <c r="E128" s="271"/>
      <c r="F128" s="270"/>
      <c r="G128" s="270"/>
      <c r="H128" s="259"/>
      <c r="I128" s="260"/>
      <c r="J128" s="261"/>
      <c r="K128" s="262"/>
      <c r="L128" s="261"/>
      <c r="M128" s="262"/>
      <c r="N128" s="261"/>
      <c r="O128" s="17"/>
      <c r="P128" s="261"/>
      <c r="Q128" s="17"/>
      <c r="R128" s="266"/>
      <c r="S128" s="266"/>
      <c r="T128" s="266"/>
      <c r="U128" s="266"/>
    </row>
    <row r="129">
      <c r="A129" s="255"/>
      <c r="B129" s="23"/>
      <c r="C129" s="268"/>
      <c r="D129" s="270"/>
      <c r="E129" s="271"/>
      <c r="F129" s="270"/>
      <c r="G129" s="270"/>
      <c r="H129" s="259"/>
      <c r="I129" s="260"/>
      <c r="J129" s="261"/>
      <c r="K129" s="262"/>
      <c r="L129" s="261"/>
      <c r="M129" s="262"/>
      <c r="N129" s="261"/>
      <c r="O129" s="17"/>
      <c r="P129" s="261"/>
      <c r="Q129" s="17"/>
      <c r="R129" s="266"/>
      <c r="S129" s="266"/>
      <c r="T129" s="266"/>
      <c r="U129" s="266"/>
    </row>
    <row r="130">
      <c r="A130" s="255"/>
      <c r="B130" s="23"/>
      <c r="C130" s="268"/>
      <c r="D130" s="270"/>
      <c r="E130" s="271"/>
      <c r="F130" s="270"/>
      <c r="G130" s="270"/>
      <c r="H130" s="259"/>
      <c r="I130" s="260"/>
      <c r="J130" s="261"/>
      <c r="K130" s="262"/>
      <c r="L130" s="261"/>
      <c r="M130" s="262"/>
      <c r="N130" s="261"/>
      <c r="O130" s="17"/>
      <c r="P130" s="261"/>
      <c r="Q130" s="17"/>
      <c r="R130" s="266"/>
      <c r="S130" s="266"/>
      <c r="T130" s="266"/>
      <c r="U130" s="266"/>
    </row>
    <row r="131">
      <c r="A131" s="255"/>
      <c r="B131" s="23"/>
      <c r="C131" s="268"/>
      <c r="D131" s="270"/>
      <c r="E131" s="271"/>
      <c r="F131" s="270"/>
      <c r="G131" s="270"/>
      <c r="H131" s="259"/>
      <c r="I131" s="260"/>
      <c r="J131" s="261"/>
      <c r="K131" s="262"/>
      <c r="L131" s="261"/>
      <c r="M131" s="262"/>
      <c r="N131" s="261"/>
      <c r="O131" s="17"/>
      <c r="P131" s="261"/>
      <c r="Q131" s="17"/>
      <c r="R131" s="266"/>
      <c r="S131" s="266"/>
      <c r="T131" s="266"/>
      <c r="U131" s="266"/>
    </row>
    <row r="132">
      <c r="A132" s="255"/>
      <c r="B132" s="23"/>
      <c r="C132" s="268"/>
      <c r="D132" s="270"/>
      <c r="E132" s="271"/>
      <c r="F132" s="270"/>
      <c r="G132" s="270"/>
      <c r="H132" s="259"/>
      <c r="I132" s="260"/>
      <c r="J132" s="261"/>
      <c r="K132" s="262"/>
      <c r="L132" s="261"/>
      <c r="M132" s="262"/>
      <c r="N132" s="261"/>
      <c r="O132" s="17"/>
      <c r="P132" s="261"/>
      <c r="Q132" s="17"/>
      <c r="R132" s="266"/>
      <c r="S132" s="266"/>
      <c r="T132" s="266"/>
      <c r="U132" s="266"/>
    </row>
    <row r="133">
      <c r="A133" s="255"/>
      <c r="B133" s="23"/>
      <c r="C133" s="268"/>
      <c r="D133" s="270"/>
      <c r="E133" s="271"/>
      <c r="F133" s="270"/>
      <c r="G133" s="270"/>
      <c r="H133" s="259"/>
      <c r="I133" s="260"/>
      <c r="J133" s="261"/>
      <c r="K133" s="262"/>
      <c r="L133" s="261"/>
      <c r="M133" s="262"/>
      <c r="N133" s="261"/>
      <c r="O133" s="17"/>
      <c r="P133" s="261"/>
      <c r="Q133" s="17"/>
      <c r="R133" s="266"/>
      <c r="S133" s="266"/>
      <c r="T133" s="266"/>
      <c r="U133" s="266"/>
    </row>
    <row r="134">
      <c r="A134" s="255"/>
      <c r="B134" s="23"/>
      <c r="C134" s="268"/>
      <c r="D134" s="270"/>
      <c r="E134" s="271"/>
      <c r="F134" s="270"/>
      <c r="G134" s="270"/>
      <c r="H134" s="259"/>
      <c r="I134" s="260"/>
      <c r="J134" s="261"/>
      <c r="K134" s="262"/>
      <c r="L134" s="261"/>
      <c r="M134" s="262"/>
      <c r="N134" s="261"/>
      <c r="O134" s="17"/>
      <c r="P134" s="261"/>
      <c r="Q134" s="17"/>
      <c r="R134" s="266"/>
      <c r="S134" s="266"/>
      <c r="T134" s="266"/>
      <c r="U134" s="266"/>
    </row>
    <row r="135">
      <c r="A135" s="255"/>
      <c r="B135" s="23"/>
      <c r="C135" s="268"/>
      <c r="D135" s="270"/>
      <c r="E135" s="271"/>
      <c r="F135" s="270"/>
      <c r="G135" s="270"/>
      <c r="H135" s="259"/>
      <c r="I135" s="260"/>
      <c r="J135" s="261"/>
      <c r="K135" s="262"/>
      <c r="L135" s="261"/>
      <c r="M135" s="262"/>
      <c r="N135" s="261"/>
      <c r="O135" s="17"/>
      <c r="P135" s="261"/>
      <c r="Q135" s="17"/>
      <c r="R135" s="266"/>
      <c r="S135" s="266"/>
      <c r="T135" s="266"/>
      <c r="U135" s="266"/>
    </row>
    <row r="136">
      <c r="A136" s="255"/>
      <c r="B136" s="23"/>
      <c r="C136" s="268"/>
      <c r="D136" s="270"/>
      <c r="E136" s="271"/>
      <c r="F136" s="270"/>
      <c r="G136" s="270"/>
      <c r="H136" s="259"/>
      <c r="I136" s="260"/>
      <c r="J136" s="261"/>
      <c r="K136" s="262"/>
      <c r="L136" s="261"/>
      <c r="M136" s="262"/>
      <c r="N136" s="261"/>
      <c r="O136" s="17"/>
      <c r="P136" s="261"/>
      <c r="Q136" s="17"/>
      <c r="R136" s="266"/>
      <c r="S136" s="266"/>
      <c r="T136" s="266"/>
      <c r="U136" s="266"/>
    </row>
    <row r="137">
      <c r="A137" s="255"/>
      <c r="B137" s="23"/>
      <c r="C137" s="268"/>
      <c r="D137" s="270"/>
      <c r="E137" s="271"/>
      <c r="F137" s="270"/>
      <c r="G137" s="270"/>
      <c r="H137" s="259"/>
      <c r="I137" s="260"/>
      <c r="J137" s="261"/>
      <c r="K137" s="262"/>
      <c r="L137" s="261"/>
      <c r="M137" s="262"/>
      <c r="N137" s="261"/>
      <c r="O137" s="17"/>
      <c r="P137" s="261"/>
      <c r="Q137" s="17"/>
      <c r="R137" s="266"/>
      <c r="S137" s="266"/>
      <c r="T137" s="266"/>
      <c r="U137" s="266"/>
    </row>
    <row r="138">
      <c r="A138" s="255"/>
      <c r="B138" s="23"/>
      <c r="C138" s="268"/>
      <c r="D138" s="270"/>
      <c r="E138" s="271"/>
      <c r="F138" s="270"/>
      <c r="G138" s="270"/>
      <c r="H138" s="259"/>
      <c r="I138" s="260"/>
      <c r="J138" s="261"/>
      <c r="K138" s="262"/>
      <c r="L138" s="261"/>
      <c r="M138" s="262"/>
      <c r="N138" s="261"/>
      <c r="O138" s="17"/>
      <c r="P138" s="261"/>
      <c r="Q138" s="17"/>
      <c r="R138" s="266"/>
      <c r="S138" s="266"/>
      <c r="T138" s="266"/>
      <c r="U138" s="266"/>
    </row>
    <row r="139">
      <c r="A139" s="255"/>
      <c r="B139" s="23"/>
      <c r="C139" s="268"/>
      <c r="D139" s="270"/>
      <c r="E139" s="271"/>
      <c r="F139" s="270"/>
      <c r="G139" s="270"/>
      <c r="H139" s="259"/>
      <c r="I139" s="260"/>
      <c r="J139" s="261"/>
      <c r="K139" s="262"/>
      <c r="L139" s="261"/>
      <c r="M139" s="262"/>
      <c r="N139" s="261"/>
      <c r="O139" s="17"/>
      <c r="P139" s="261"/>
      <c r="Q139" s="17"/>
      <c r="R139" s="266"/>
      <c r="S139" s="266"/>
      <c r="T139" s="266"/>
      <c r="U139" s="266"/>
    </row>
    <row r="140">
      <c r="A140" s="255"/>
      <c r="B140" s="23"/>
      <c r="C140" s="268"/>
      <c r="D140" s="270"/>
      <c r="E140" s="271"/>
      <c r="F140" s="270"/>
      <c r="G140" s="270"/>
      <c r="H140" s="259"/>
      <c r="I140" s="260"/>
      <c r="J140" s="261"/>
      <c r="K140" s="262"/>
      <c r="L140" s="261"/>
      <c r="M140" s="262"/>
      <c r="N140" s="261"/>
      <c r="O140" s="17"/>
      <c r="P140" s="261"/>
      <c r="Q140" s="17"/>
      <c r="R140" s="266"/>
      <c r="S140" s="266"/>
      <c r="T140" s="266"/>
      <c r="U140" s="266"/>
    </row>
    <row r="141">
      <c r="A141" s="255"/>
      <c r="B141" s="23"/>
      <c r="C141" s="268"/>
      <c r="D141" s="270"/>
      <c r="E141" s="271"/>
      <c r="F141" s="270"/>
      <c r="G141" s="270"/>
      <c r="H141" s="259"/>
      <c r="I141" s="260"/>
      <c r="J141" s="261"/>
      <c r="K141" s="262"/>
      <c r="L141" s="261"/>
      <c r="M141" s="262"/>
      <c r="N141" s="261"/>
      <c r="O141" s="17"/>
      <c r="P141" s="261"/>
      <c r="Q141" s="17"/>
      <c r="R141" s="266"/>
      <c r="S141" s="266"/>
      <c r="T141" s="266"/>
      <c r="U141" s="266"/>
    </row>
    <row r="142">
      <c r="A142" s="255"/>
      <c r="B142" s="23"/>
      <c r="C142" s="268"/>
      <c r="D142" s="270"/>
      <c r="E142" s="271"/>
      <c r="F142" s="270"/>
      <c r="G142" s="270"/>
      <c r="H142" s="259"/>
      <c r="I142" s="260"/>
      <c r="J142" s="261"/>
      <c r="K142" s="262"/>
      <c r="L142" s="261"/>
      <c r="M142" s="262"/>
      <c r="N142" s="261"/>
      <c r="O142" s="17"/>
      <c r="P142" s="261"/>
      <c r="Q142" s="17"/>
      <c r="R142" s="266"/>
      <c r="S142" s="266"/>
      <c r="T142" s="266"/>
      <c r="U142" s="266"/>
    </row>
    <row r="143">
      <c r="A143" s="255"/>
      <c r="B143" s="23"/>
      <c r="C143" s="268"/>
      <c r="D143" s="270"/>
      <c r="E143" s="271"/>
      <c r="F143" s="270"/>
      <c r="G143" s="270"/>
      <c r="H143" s="259"/>
      <c r="I143" s="260"/>
      <c r="J143" s="261"/>
      <c r="K143" s="262"/>
      <c r="L143" s="261"/>
      <c r="M143" s="262"/>
      <c r="N143" s="261"/>
      <c r="O143" s="17"/>
      <c r="P143" s="261"/>
      <c r="Q143" s="17"/>
      <c r="R143" s="266"/>
      <c r="S143" s="266"/>
      <c r="T143" s="266"/>
      <c r="U143" s="266"/>
    </row>
    <row r="144">
      <c r="A144" s="255"/>
      <c r="B144" s="23"/>
      <c r="C144" s="268"/>
      <c r="D144" s="270"/>
      <c r="E144" s="271"/>
      <c r="F144" s="270"/>
      <c r="G144" s="270"/>
      <c r="H144" s="259"/>
      <c r="I144" s="260"/>
      <c r="J144" s="261"/>
      <c r="K144" s="262"/>
      <c r="L144" s="261"/>
      <c r="M144" s="262"/>
      <c r="N144" s="261"/>
      <c r="O144" s="17"/>
      <c r="P144" s="261"/>
      <c r="Q144" s="17"/>
      <c r="R144" s="266"/>
      <c r="S144" s="266"/>
      <c r="T144" s="266"/>
      <c r="U144" s="266"/>
    </row>
    <row r="145">
      <c r="A145" s="255"/>
      <c r="B145" s="23"/>
      <c r="C145" s="268"/>
      <c r="D145" s="270"/>
      <c r="E145" s="271"/>
      <c r="F145" s="270"/>
      <c r="G145" s="270"/>
      <c r="H145" s="259"/>
      <c r="I145" s="260"/>
      <c r="J145" s="261"/>
      <c r="K145" s="262"/>
      <c r="L145" s="261"/>
      <c r="M145" s="262"/>
      <c r="N145" s="261"/>
      <c r="O145" s="17"/>
      <c r="P145" s="261"/>
      <c r="Q145" s="17"/>
      <c r="R145" s="266"/>
      <c r="S145" s="266"/>
      <c r="T145" s="266"/>
      <c r="U145" s="266"/>
    </row>
    <row r="146">
      <c r="A146" s="255"/>
      <c r="B146" s="23"/>
      <c r="C146" s="268"/>
      <c r="D146" s="270"/>
      <c r="E146" s="271"/>
      <c r="F146" s="270"/>
      <c r="G146" s="270"/>
      <c r="H146" s="259"/>
      <c r="I146" s="260"/>
      <c r="J146" s="261"/>
      <c r="K146" s="262"/>
      <c r="L146" s="261"/>
      <c r="M146" s="262"/>
      <c r="N146" s="261"/>
      <c r="O146" s="17"/>
      <c r="P146" s="261"/>
      <c r="Q146" s="17"/>
      <c r="R146" s="266"/>
      <c r="S146" s="266"/>
      <c r="T146" s="266"/>
      <c r="U146" s="266"/>
    </row>
    <row r="147">
      <c r="A147" s="255"/>
      <c r="B147" s="23"/>
      <c r="C147" s="268"/>
      <c r="D147" s="270"/>
      <c r="E147" s="271"/>
      <c r="F147" s="270"/>
      <c r="G147" s="270"/>
      <c r="H147" s="259"/>
      <c r="I147" s="260"/>
      <c r="J147" s="261"/>
      <c r="K147" s="262"/>
      <c r="L147" s="261"/>
      <c r="M147" s="262"/>
      <c r="N147" s="261"/>
      <c r="O147" s="17"/>
      <c r="P147" s="261"/>
      <c r="Q147" s="17"/>
      <c r="R147" s="266"/>
      <c r="S147" s="266"/>
      <c r="T147" s="266"/>
      <c r="U147" s="266"/>
    </row>
    <row r="148">
      <c r="A148" s="255"/>
      <c r="B148" s="23"/>
      <c r="C148" s="268"/>
      <c r="D148" s="270"/>
      <c r="E148" s="271"/>
      <c r="F148" s="270"/>
      <c r="G148" s="270"/>
      <c r="H148" s="259"/>
      <c r="I148" s="260"/>
      <c r="J148" s="261"/>
      <c r="K148" s="262"/>
      <c r="L148" s="261"/>
      <c r="M148" s="262"/>
      <c r="N148" s="261"/>
      <c r="O148" s="17"/>
      <c r="P148" s="261"/>
      <c r="Q148" s="17"/>
      <c r="R148" s="266"/>
      <c r="S148" s="266"/>
      <c r="T148" s="266"/>
      <c r="U148" s="266"/>
    </row>
    <row r="149">
      <c r="A149" s="255"/>
      <c r="B149" s="23"/>
      <c r="C149" s="268"/>
      <c r="D149" s="270"/>
      <c r="E149" s="271"/>
      <c r="F149" s="270"/>
      <c r="G149" s="270"/>
      <c r="H149" s="259"/>
      <c r="I149" s="260"/>
      <c r="J149" s="261"/>
      <c r="K149" s="262"/>
      <c r="L149" s="261"/>
      <c r="M149" s="262"/>
      <c r="N149" s="261"/>
      <c r="O149" s="17"/>
      <c r="P149" s="261"/>
      <c r="Q149" s="17"/>
      <c r="R149" s="266"/>
      <c r="S149" s="266"/>
      <c r="T149" s="266"/>
      <c r="U149" s="266"/>
    </row>
    <row r="150">
      <c r="A150" s="255"/>
      <c r="B150" s="23"/>
      <c r="C150" s="268"/>
      <c r="D150" s="270"/>
      <c r="E150" s="271"/>
      <c r="F150" s="270"/>
      <c r="G150" s="270"/>
      <c r="H150" s="259"/>
      <c r="I150" s="260"/>
      <c r="J150" s="261"/>
      <c r="K150" s="262"/>
      <c r="L150" s="261"/>
      <c r="M150" s="262"/>
      <c r="N150" s="261"/>
      <c r="O150" s="17"/>
      <c r="P150" s="261"/>
      <c r="Q150" s="17"/>
      <c r="R150" s="266"/>
      <c r="S150" s="266"/>
      <c r="T150" s="266"/>
      <c r="U150" s="266"/>
    </row>
    <row r="151">
      <c r="A151" s="255"/>
      <c r="B151" s="23"/>
      <c r="C151" s="268"/>
      <c r="D151" s="270"/>
      <c r="E151" s="271"/>
      <c r="F151" s="270"/>
      <c r="G151" s="270"/>
      <c r="H151" s="259"/>
      <c r="I151" s="260"/>
      <c r="J151" s="261"/>
      <c r="K151" s="262"/>
      <c r="L151" s="261"/>
      <c r="M151" s="262"/>
      <c r="N151" s="261"/>
      <c r="O151" s="17"/>
      <c r="P151" s="261"/>
      <c r="Q151" s="17"/>
      <c r="R151" s="266"/>
      <c r="S151" s="266"/>
      <c r="T151" s="266"/>
      <c r="U151" s="266"/>
    </row>
    <row r="152">
      <c r="A152" s="255"/>
      <c r="B152" s="23"/>
      <c r="C152" s="268"/>
      <c r="D152" s="270"/>
      <c r="E152" s="271"/>
      <c r="F152" s="270"/>
      <c r="G152" s="270"/>
      <c r="H152" s="259"/>
      <c r="I152" s="260"/>
      <c r="J152" s="261"/>
      <c r="K152" s="262"/>
      <c r="L152" s="261"/>
      <c r="M152" s="262"/>
      <c r="N152" s="261"/>
      <c r="O152" s="17"/>
      <c r="P152" s="261"/>
      <c r="Q152" s="17"/>
      <c r="R152" s="266"/>
      <c r="S152" s="266"/>
      <c r="T152" s="266"/>
      <c r="U152" s="266"/>
    </row>
    <row r="153">
      <c r="A153" s="255"/>
      <c r="B153" s="23"/>
      <c r="C153" s="268"/>
      <c r="D153" s="270"/>
      <c r="E153" s="271"/>
      <c r="F153" s="270"/>
      <c r="G153" s="270"/>
      <c r="H153" s="259"/>
      <c r="I153" s="260"/>
      <c r="J153" s="261"/>
      <c r="K153" s="262"/>
      <c r="L153" s="261"/>
      <c r="M153" s="262"/>
      <c r="N153" s="261"/>
      <c r="O153" s="17"/>
      <c r="P153" s="261"/>
      <c r="Q153" s="17"/>
      <c r="R153" s="266"/>
      <c r="S153" s="266"/>
      <c r="T153" s="266"/>
      <c r="U153" s="266"/>
    </row>
    <row r="154">
      <c r="A154" s="255"/>
      <c r="B154" s="23"/>
      <c r="C154" s="268"/>
      <c r="D154" s="270"/>
      <c r="E154" s="271"/>
      <c r="F154" s="270"/>
      <c r="G154" s="270"/>
      <c r="H154" s="259"/>
      <c r="I154" s="260"/>
      <c r="J154" s="261"/>
      <c r="K154" s="262"/>
      <c r="L154" s="261"/>
      <c r="M154" s="262"/>
      <c r="N154" s="261"/>
      <c r="O154" s="17"/>
      <c r="P154" s="261"/>
      <c r="Q154" s="17"/>
      <c r="R154" s="266"/>
      <c r="S154" s="266"/>
      <c r="T154" s="266"/>
      <c r="U154" s="266"/>
    </row>
    <row r="155">
      <c r="A155" s="255"/>
      <c r="B155" s="23"/>
      <c r="C155" s="268"/>
      <c r="D155" s="270"/>
      <c r="E155" s="271"/>
      <c r="F155" s="270"/>
      <c r="G155" s="270"/>
      <c r="H155" s="259"/>
      <c r="I155" s="260"/>
      <c r="J155" s="261"/>
      <c r="K155" s="262"/>
      <c r="L155" s="261"/>
      <c r="M155" s="262"/>
      <c r="N155" s="261"/>
      <c r="O155" s="17"/>
      <c r="P155" s="261"/>
      <c r="Q155" s="17"/>
      <c r="R155" s="266"/>
      <c r="S155" s="266"/>
      <c r="T155" s="266"/>
      <c r="U155" s="266"/>
    </row>
    <row r="156">
      <c r="A156" s="255"/>
      <c r="B156" s="23"/>
      <c r="C156" s="268"/>
      <c r="D156" s="270"/>
      <c r="E156" s="271"/>
      <c r="F156" s="270"/>
      <c r="G156" s="270"/>
      <c r="H156" s="259"/>
      <c r="I156" s="260"/>
      <c r="J156" s="261"/>
      <c r="K156" s="262"/>
      <c r="L156" s="261"/>
      <c r="M156" s="262"/>
      <c r="N156" s="261"/>
      <c r="O156" s="17"/>
      <c r="P156" s="261"/>
      <c r="Q156" s="17"/>
      <c r="R156" s="266"/>
      <c r="S156" s="266"/>
      <c r="T156" s="266"/>
      <c r="U156" s="266"/>
    </row>
    <row r="157">
      <c r="A157" s="255"/>
      <c r="B157" s="23"/>
      <c r="C157" s="268"/>
      <c r="D157" s="270"/>
      <c r="E157" s="271"/>
      <c r="F157" s="270"/>
      <c r="G157" s="270"/>
      <c r="H157" s="259"/>
      <c r="I157" s="260"/>
      <c r="J157" s="261"/>
      <c r="K157" s="262"/>
      <c r="L157" s="261"/>
      <c r="M157" s="262"/>
      <c r="N157" s="261"/>
      <c r="O157" s="17"/>
      <c r="P157" s="261"/>
      <c r="Q157" s="17"/>
      <c r="R157" s="266"/>
      <c r="S157" s="266"/>
      <c r="T157" s="266"/>
      <c r="U157" s="266"/>
    </row>
    <row r="158">
      <c r="A158" s="255"/>
      <c r="B158" s="23"/>
      <c r="C158" s="268"/>
      <c r="D158" s="270"/>
      <c r="E158" s="271"/>
      <c r="F158" s="270"/>
      <c r="G158" s="270"/>
      <c r="H158" s="259"/>
      <c r="I158" s="260"/>
      <c r="J158" s="261"/>
      <c r="K158" s="262"/>
      <c r="L158" s="261"/>
      <c r="M158" s="262"/>
      <c r="N158" s="261"/>
      <c r="O158" s="17"/>
      <c r="P158" s="261"/>
      <c r="Q158" s="17"/>
      <c r="R158" s="266"/>
      <c r="S158" s="266"/>
      <c r="T158" s="266"/>
      <c r="U158" s="266"/>
    </row>
    <row r="159">
      <c r="A159" s="255"/>
      <c r="B159" s="23"/>
      <c r="C159" s="268"/>
      <c r="D159" s="270"/>
      <c r="E159" s="271"/>
      <c r="F159" s="270"/>
      <c r="G159" s="270"/>
      <c r="H159" s="259"/>
      <c r="I159" s="260"/>
      <c r="J159" s="261"/>
      <c r="K159" s="262"/>
      <c r="L159" s="261"/>
      <c r="M159" s="262"/>
      <c r="N159" s="261"/>
      <c r="O159" s="17"/>
      <c r="P159" s="261"/>
      <c r="Q159" s="17"/>
      <c r="R159" s="266"/>
      <c r="S159" s="266"/>
      <c r="T159" s="266"/>
      <c r="U159" s="266"/>
    </row>
    <row r="160">
      <c r="A160" s="255"/>
      <c r="B160" s="23"/>
      <c r="C160" s="268"/>
      <c r="D160" s="270"/>
      <c r="E160" s="271"/>
      <c r="F160" s="270"/>
      <c r="G160" s="270"/>
      <c r="H160" s="259"/>
      <c r="I160" s="260"/>
      <c r="J160" s="261"/>
      <c r="K160" s="262"/>
      <c r="L160" s="261"/>
      <c r="M160" s="262"/>
      <c r="N160" s="261"/>
      <c r="O160" s="17"/>
      <c r="P160" s="261"/>
      <c r="Q160" s="17"/>
      <c r="R160" s="266"/>
      <c r="S160" s="266"/>
      <c r="T160" s="266"/>
      <c r="U160" s="266"/>
    </row>
    <row r="161">
      <c r="A161" s="272"/>
      <c r="B161" s="272"/>
      <c r="C161" s="336"/>
      <c r="D161" s="273"/>
      <c r="E161" s="274"/>
      <c r="F161" s="273"/>
      <c r="G161" s="273"/>
      <c r="H161" s="12"/>
      <c r="K161" s="12"/>
      <c r="M161" s="12"/>
      <c r="R161" s="218"/>
      <c r="S161" s="218"/>
      <c r="T161" s="218"/>
      <c r="U161" s="218"/>
    </row>
    <row r="162">
      <c r="A162" s="272"/>
      <c r="B162" s="272"/>
      <c r="C162" s="336"/>
      <c r="D162" s="273"/>
      <c r="E162" s="274"/>
      <c r="F162" s="273"/>
      <c r="G162" s="273"/>
      <c r="H162" s="12"/>
      <c r="K162" s="12"/>
      <c r="M162" s="12"/>
      <c r="R162" s="218"/>
      <c r="S162" s="218"/>
      <c r="T162" s="218"/>
      <c r="U162" s="218"/>
    </row>
    <row r="163">
      <c r="A163" s="272"/>
      <c r="B163" s="272"/>
      <c r="C163" s="336"/>
      <c r="D163" s="273"/>
      <c r="E163" s="274"/>
      <c r="F163" s="273"/>
      <c r="G163" s="273"/>
      <c r="H163" s="12"/>
      <c r="K163" s="12"/>
      <c r="M163" s="12"/>
      <c r="R163" s="218"/>
      <c r="S163" s="218"/>
      <c r="T163" s="218"/>
      <c r="U163" s="218"/>
    </row>
    <row r="164">
      <c r="A164" s="272"/>
      <c r="B164" s="272"/>
      <c r="C164" s="336"/>
      <c r="D164" s="273"/>
      <c r="E164" s="274"/>
      <c r="F164" s="273"/>
      <c r="G164" s="273"/>
      <c r="H164" s="12"/>
      <c r="K164" s="12"/>
      <c r="M164" s="12"/>
      <c r="R164" s="218"/>
      <c r="S164" s="218"/>
      <c r="T164" s="218"/>
      <c r="U164" s="218"/>
    </row>
    <row r="165">
      <c r="A165" s="272"/>
      <c r="B165" s="272"/>
      <c r="C165" s="336"/>
      <c r="D165" s="273"/>
      <c r="E165" s="274"/>
      <c r="F165" s="273"/>
      <c r="G165" s="273"/>
      <c r="H165" s="12"/>
      <c r="K165" s="12"/>
      <c r="M165" s="12"/>
      <c r="R165" s="218"/>
      <c r="S165" s="218"/>
      <c r="T165" s="218"/>
      <c r="U165" s="218"/>
    </row>
    <row r="166">
      <c r="A166" s="272"/>
      <c r="B166" s="272"/>
      <c r="C166" s="336"/>
      <c r="D166" s="273"/>
      <c r="E166" s="274"/>
      <c r="F166" s="273"/>
      <c r="G166" s="273"/>
      <c r="H166" s="12"/>
      <c r="K166" s="12"/>
      <c r="M166" s="12"/>
      <c r="R166" s="218"/>
      <c r="S166" s="218"/>
      <c r="T166" s="218"/>
      <c r="U166" s="218"/>
    </row>
    <row r="167">
      <c r="A167" s="272"/>
      <c r="B167" s="272"/>
      <c r="C167" s="336"/>
      <c r="D167" s="273"/>
      <c r="E167" s="274"/>
      <c r="F167" s="273"/>
      <c r="G167" s="273"/>
      <c r="H167" s="12"/>
      <c r="K167" s="12"/>
      <c r="M167" s="12"/>
      <c r="R167" s="218"/>
      <c r="S167" s="218"/>
      <c r="T167" s="218"/>
      <c r="U167" s="218"/>
    </row>
    <row r="168">
      <c r="A168" s="272"/>
      <c r="B168" s="272"/>
      <c r="C168" s="336"/>
      <c r="D168" s="273"/>
      <c r="E168" s="274"/>
      <c r="F168" s="273"/>
      <c r="G168" s="273"/>
      <c r="H168" s="12"/>
      <c r="K168" s="12"/>
      <c r="M168" s="12"/>
      <c r="R168" s="218"/>
      <c r="S168" s="218"/>
      <c r="T168" s="218"/>
      <c r="U168" s="218"/>
    </row>
    <row r="169">
      <c r="A169" s="272"/>
      <c r="B169" s="272"/>
      <c r="C169" s="336"/>
      <c r="D169" s="273"/>
      <c r="E169" s="274"/>
      <c r="F169" s="273"/>
      <c r="G169" s="273"/>
      <c r="H169" s="12"/>
      <c r="K169" s="12"/>
      <c r="M169" s="12"/>
      <c r="R169" s="218"/>
      <c r="S169" s="218"/>
      <c r="T169" s="218"/>
      <c r="U169" s="218"/>
    </row>
    <row r="170">
      <c r="A170" s="272"/>
      <c r="B170" s="272"/>
      <c r="C170" s="336"/>
      <c r="D170" s="273"/>
      <c r="E170" s="274"/>
      <c r="F170" s="273"/>
      <c r="G170" s="273"/>
      <c r="H170" s="12"/>
      <c r="K170" s="12"/>
      <c r="M170" s="12"/>
      <c r="R170" s="218"/>
      <c r="S170" s="218"/>
      <c r="T170" s="218"/>
      <c r="U170" s="218"/>
    </row>
    <row r="171">
      <c r="A171" s="272"/>
      <c r="B171" s="272"/>
      <c r="C171" s="336"/>
      <c r="D171" s="273"/>
      <c r="E171" s="274"/>
      <c r="F171" s="273"/>
      <c r="G171" s="273"/>
      <c r="H171" s="12"/>
      <c r="K171" s="12"/>
      <c r="M171" s="12"/>
      <c r="R171" s="218"/>
      <c r="S171" s="218"/>
      <c r="T171" s="218"/>
      <c r="U171" s="218"/>
    </row>
    <row r="172">
      <c r="A172" s="272"/>
      <c r="B172" s="272"/>
      <c r="C172" s="336"/>
      <c r="D172" s="273"/>
      <c r="E172" s="274"/>
      <c r="F172" s="273"/>
      <c r="G172" s="273"/>
      <c r="H172" s="12"/>
      <c r="K172" s="12"/>
      <c r="M172" s="12"/>
      <c r="R172" s="218"/>
      <c r="S172" s="218"/>
      <c r="T172" s="218"/>
      <c r="U172" s="218"/>
    </row>
    <row r="173">
      <c r="A173" s="272"/>
      <c r="B173" s="272"/>
      <c r="C173" s="336"/>
      <c r="D173" s="273"/>
      <c r="E173" s="274"/>
      <c r="F173" s="273"/>
      <c r="G173" s="273"/>
      <c r="H173" s="12"/>
      <c r="K173" s="12"/>
      <c r="M173" s="12"/>
      <c r="R173" s="218"/>
      <c r="S173" s="218"/>
      <c r="T173" s="218"/>
      <c r="U173" s="218"/>
    </row>
    <row r="174">
      <c r="A174" s="272"/>
      <c r="B174" s="272"/>
      <c r="C174" s="336"/>
      <c r="D174" s="273"/>
      <c r="E174" s="274"/>
      <c r="F174" s="273"/>
      <c r="G174" s="273"/>
      <c r="H174" s="12"/>
      <c r="K174" s="12"/>
      <c r="M174" s="12"/>
      <c r="R174" s="218"/>
      <c r="S174" s="218"/>
      <c r="T174" s="218"/>
      <c r="U174" s="218"/>
    </row>
    <row r="175">
      <c r="A175" s="272"/>
      <c r="B175" s="272"/>
      <c r="C175" s="336"/>
      <c r="D175" s="273"/>
      <c r="E175" s="274"/>
      <c r="F175" s="273"/>
      <c r="G175" s="273"/>
      <c r="H175" s="12"/>
      <c r="K175" s="12"/>
      <c r="M175" s="12"/>
      <c r="R175" s="218"/>
      <c r="S175" s="218"/>
      <c r="T175" s="218"/>
      <c r="U175" s="218"/>
    </row>
    <row r="176">
      <c r="A176" s="272"/>
      <c r="B176" s="272"/>
      <c r="C176" s="336"/>
      <c r="D176" s="273"/>
      <c r="E176" s="274"/>
      <c r="F176" s="273"/>
      <c r="G176" s="273"/>
      <c r="H176" s="12"/>
      <c r="K176" s="12"/>
      <c r="M176" s="12"/>
      <c r="R176" s="218"/>
      <c r="S176" s="218"/>
      <c r="T176" s="218"/>
      <c r="U176" s="218"/>
    </row>
    <row r="177">
      <c r="A177" s="272"/>
      <c r="B177" s="272"/>
      <c r="C177" s="336"/>
      <c r="D177" s="273"/>
      <c r="E177" s="274"/>
      <c r="F177" s="273"/>
      <c r="G177" s="273"/>
      <c r="H177" s="12"/>
      <c r="K177" s="12"/>
      <c r="M177" s="12"/>
      <c r="R177" s="218"/>
      <c r="S177" s="218"/>
      <c r="T177" s="218"/>
      <c r="U177" s="218"/>
    </row>
    <row r="178">
      <c r="A178" s="272"/>
      <c r="B178" s="272"/>
      <c r="C178" s="336"/>
      <c r="D178" s="273"/>
      <c r="E178" s="274"/>
      <c r="F178" s="273"/>
      <c r="G178" s="273"/>
      <c r="H178" s="12"/>
      <c r="K178" s="12"/>
      <c r="M178" s="12"/>
      <c r="R178" s="218"/>
      <c r="S178" s="218"/>
      <c r="T178" s="218"/>
      <c r="U178" s="218"/>
    </row>
    <row r="179">
      <c r="A179" s="272"/>
      <c r="B179" s="272"/>
      <c r="C179" s="336"/>
      <c r="D179" s="273"/>
      <c r="E179" s="274"/>
      <c r="F179" s="273"/>
      <c r="G179" s="273"/>
      <c r="H179" s="12"/>
      <c r="K179" s="12"/>
      <c r="M179" s="12"/>
      <c r="R179" s="218"/>
      <c r="S179" s="218"/>
      <c r="T179" s="218"/>
      <c r="U179" s="218"/>
    </row>
    <row r="180">
      <c r="A180" s="272"/>
      <c r="B180" s="272"/>
      <c r="C180" s="336"/>
      <c r="D180" s="273"/>
      <c r="E180" s="274"/>
      <c r="F180" s="273"/>
      <c r="G180" s="273"/>
      <c r="H180" s="12"/>
      <c r="K180" s="12"/>
      <c r="M180" s="12"/>
      <c r="R180" s="218"/>
      <c r="S180" s="218"/>
      <c r="T180" s="218"/>
      <c r="U180" s="218"/>
    </row>
    <row r="181">
      <c r="A181" s="272"/>
      <c r="B181" s="272"/>
      <c r="C181" s="336"/>
      <c r="D181" s="273"/>
      <c r="E181" s="274"/>
      <c r="F181" s="273"/>
      <c r="G181" s="273"/>
      <c r="H181" s="12"/>
      <c r="K181" s="12"/>
      <c r="M181" s="12"/>
      <c r="R181" s="218"/>
      <c r="S181" s="218"/>
      <c r="T181" s="218"/>
      <c r="U181" s="218"/>
    </row>
    <row r="182">
      <c r="A182" s="272"/>
      <c r="B182" s="272"/>
      <c r="C182" s="336"/>
      <c r="D182" s="273"/>
      <c r="E182" s="274"/>
      <c r="F182" s="273"/>
      <c r="G182" s="273"/>
      <c r="H182" s="12"/>
      <c r="K182" s="12"/>
      <c r="M182" s="12"/>
      <c r="R182" s="218"/>
      <c r="S182" s="218"/>
      <c r="T182" s="218"/>
      <c r="U182" s="218"/>
    </row>
    <row r="183">
      <c r="A183" s="272"/>
      <c r="B183" s="272"/>
      <c r="C183" s="336"/>
      <c r="D183" s="273"/>
      <c r="E183" s="274"/>
      <c r="F183" s="273"/>
      <c r="G183" s="273"/>
      <c r="H183" s="12"/>
      <c r="K183" s="12"/>
      <c r="M183" s="12"/>
      <c r="R183" s="218"/>
      <c r="S183" s="218"/>
      <c r="T183" s="218"/>
      <c r="U183" s="218"/>
    </row>
    <row r="184">
      <c r="A184" s="272"/>
      <c r="B184" s="272"/>
      <c r="C184" s="336"/>
      <c r="D184" s="273"/>
      <c r="E184" s="274"/>
      <c r="F184" s="273"/>
      <c r="G184" s="273"/>
      <c r="H184" s="12"/>
      <c r="K184" s="12"/>
      <c r="M184" s="12"/>
      <c r="R184" s="218"/>
      <c r="S184" s="218"/>
      <c r="T184" s="218"/>
      <c r="U184" s="218"/>
    </row>
    <row r="185">
      <c r="A185" s="272"/>
      <c r="B185" s="272"/>
      <c r="C185" s="336"/>
      <c r="D185" s="273"/>
      <c r="E185" s="274"/>
      <c r="F185" s="273"/>
      <c r="G185" s="273"/>
      <c r="H185" s="12"/>
      <c r="K185" s="12"/>
      <c r="M185" s="12"/>
      <c r="R185" s="218"/>
      <c r="S185" s="218"/>
      <c r="T185" s="218"/>
      <c r="U185" s="218"/>
    </row>
    <row r="186">
      <c r="A186" s="272"/>
      <c r="B186" s="272"/>
      <c r="C186" s="336"/>
      <c r="D186" s="273"/>
      <c r="E186" s="274"/>
      <c r="F186" s="273"/>
      <c r="G186" s="273"/>
      <c r="H186" s="12"/>
      <c r="K186" s="12"/>
      <c r="M186" s="12"/>
      <c r="R186" s="218"/>
      <c r="S186" s="218"/>
      <c r="T186" s="218"/>
      <c r="U186" s="218"/>
    </row>
    <row r="187">
      <c r="A187" s="272"/>
      <c r="B187" s="272"/>
      <c r="C187" s="336"/>
      <c r="D187" s="273"/>
      <c r="E187" s="274"/>
      <c r="F187" s="273"/>
      <c r="G187" s="273"/>
      <c r="H187" s="12"/>
      <c r="K187" s="12"/>
      <c r="M187" s="12"/>
      <c r="R187" s="218"/>
      <c r="S187" s="218"/>
      <c r="T187" s="218"/>
      <c r="U187" s="218"/>
    </row>
    <row r="188">
      <c r="A188" s="272"/>
      <c r="B188" s="272"/>
      <c r="C188" s="336"/>
      <c r="D188" s="273"/>
      <c r="E188" s="274"/>
      <c r="F188" s="273"/>
      <c r="G188" s="273"/>
      <c r="H188" s="12"/>
      <c r="K188" s="12"/>
      <c r="M188" s="12"/>
      <c r="R188" s="218"/>
      <c r="S188" s="218"/>
      <c r="T188" s="218"/>
      <c r="U188" s="218"/>
    </row>
    <row r="189">
      <c r="A189" s="272"/>
      <c r="B189" s="272"/>
      <c r="C189" s="336"/>
      <c r="D189" s="273"/>
      <c r="E189" s="274"/>
      <c r="F189" s="273"/>
      <c r="G189" s="273"/>
      <c r="H189" s="12"/>
      <c r="K189" s="12"/>
      <c r="M189" s="12"/>
      <c r="R189" s="218"/>
      <c r="S189" s="218"/>
      <c r="T189" s="218"/>
      <c r="U189" s="218"/>
    </row>
    <row r="190">
      <c r="A190" s="272"/>
      <c r="B190" s="272"/>
      <c r="C190" s="336"/>
      <c r="D190" s="273"/>
      <c r="E190" s="274"/>
      <c r="F190" s="273"/>
      <c r="G190" s="273"/>
      <c r="H190" s="12"/>
      <c r="K190" s="12"/>
      <c r="M190" s="12"/>
      <c r="R190" s="218"/>
      <c r="S190" s="218"/>
      <c r="T190" s="218"/>
      <c r="U190" s="218"/>
    </row>
    <row r="191">
      <c r="A191" s="272"/>
      <c r="B191" s="272"/>
      <c r="C191" s="336"/>
      <c r="D191" s="273"/>
      <c r="E191" s="274"/>
      <c r="F191" s="273"/>
      <c r="G191" s="273"/>
      <c r="H191" s="12"/>
      <c r="K191" s="12"/>
      <c r="M191" s="12"/>
      <c r="R191" s="218"/>
      <c r="S191" s="218"/>
      <c r="T191" s="218"/>
      <c r="U191" s="218"/>
    </row>
    <row r="192">
      <c r="A192" s="272"/>
      <c r="B192" s="272"/>
      <c r="C192" s="336"/>
      <c r="D192" s="273"/>
      <c r="E192" s="274"/>
      <c r="F192" s="273"/>
      <c r="G192" s="273"/>
      <c r="H192" s="12"/>
      <c r="K192" s="12"/>
      <c r="M192" s="12"/>
      <c r="R192" s="218"/>
      <c r="S192" s="218"/>
      <c r="T192" s="218"/>
      <c r="U192" s="218"/>
    </row>
    <row r="193">
      <c r="A193" s="272"/>
      <c r="B193" s="272"/>
      <c r="C193" s="336"/>
      <c r="D193" s="273"/>
      <c r="E193" s="274"/>
      <c r="F193" s="273"/>
      <c r="G193" s="273"/>
      <c r="H193" s="12"/>
      <c r="K193" s="12"/>
      <c r="M193" s="12"/>
      <c r="R193" s="218"/>
      <c r="S193" s="218"/>
      <c r="T193" s="218"/>
      <c r="U193" s="218"/>
    </row>
    <row r="194">
      <c r="A194" s="272"/>
      <c r="B194" s="272"/>
      <c r="C194" s="336"/>
      <c r="D194" s="273"/>
      <c r="E194" s="274"/>
      <c r="F194" s="273"/>
      <c r="G194" s="273"/>
      <c r="H194" s="12"/>
      <c r="K194" s="12"/>
      <c r="M194" s="12"/>
      <c r="R194" s="218"/>
      <c r="S194" s="218"/>
      <c r="T194" s="218"/>
      <c r="U194" s="218"/>
    </row>
    <row r="195">
      <c r="A195" s="272"/>
      <c r="B195" s="272"/>
      <c r="C195" s="336"/>
      <c r="D195" s="273"/>
      <c r="E195" s="274"/>
      <c r="F195" s="273"/>
      <c r="G195" s="273"/>
      <c r="H195" s="12"/>
      <c r="K195" s="12"/>
      <c r="M195" s="12"/>
      <c r="R195" s="218"/>
      <c r="S195" s="218"/>
      <c r="T195" s="218"/>
      <c r="U195" s="218"/>
    </row>
    <row r="196">
      <c r="A196" s="272"/>
      <c r="B196" s="272"/>
      <c r="C196" s="336"/>
      <c r="D196" s="273"/>
      <c r="E196" s="274"/>
      <c r="F196" s="273"/>
      <c r="G196" s="273"/>
      <c r="H196" s="12"/>
      <c r="K196" s="12"/>
      <c r="M196" s="12"/>
      <c r="R196" s="218"/>
      <c r="S196" s="218"/>
      <c r="T196" s="218"/>
      <c r="U196" s="218"/>
    </row>
    <row r="197">
      <c r="A197" s="272"/>
      <c r="B197" s="272"/>
      <c r="C197" s="336"/>
      <c r="D197" s="273"/>
      <c r="E197" s="274"/>
      <c r="F197" s="273"/>
      <c r="G197" s="273"/>
      <c r="H197" s="12"/>
      <c r="K197" s="12"/>
      <c r="M197" s="12"/>
      <c r="R197" s="218"/>
      <c r="S197" s="218"/>
      <c r="T197" s="218"/>
      <c r="U197" s="218"/>
    </row>
    <row r="198">
      <c r="A198" s="272"/>
      <c r="B198" s="272"/>
      <c r="C198" s="336"/>
      <c r="D198" s="273"/>
      <c r="E198" s="274"/>
      <c r="F198" s="273"/>
      <c r="G198" s="273"/>
      <c r="H198" s="12"/>
      <c r="K198" s="12"/>
      <c r="M198" s="12"/>
      <c r="R198" s="218"/>
      <c r="S198" s="218"/>
      <c r="T198" s="218"/>
      <c r="U198" s="218"/>
    </row>
    <row r="199">
      <c r="A199" s="272"/>
      <c r="B199" s="272"/>
      <c r="C199" s="336"/>
      <c r="D199" s="273"/>
      <c r="E199" s="274"/>
      <c r="F199" s="273"/>
      <c r="G199" s="273"/>
      <c r="H199" s="12"/>
      <c r="K199" s="12"/>
      <c r="M199" s="12"/>
      <c r="R199" s="218"/>
      <c r="S199" s="218"/>
      <c r="T199" s="218"/>
      <c r="U199" s="218"/>
    </row>
    <row r="200">
      <c r="A200" s="272"/>
      <c r="B200" s="272"/>
      <c r="C200" s="336"/>
      <c r="D200" s="273"/>
      <c r="E200" s="274"/>
      <c r="F200" s="273"/>
      <c r="G200" s="273"/>
      <c r="H200" s="12"/>
      <c r="K200" s="12"/>
      <c r="M200" s="12"/>
      <c r="R200" s="218"/>
      <c r="S200" s="218"/>
      <c r="T200" s="218"/>
      <c r="U200" s="218"/>
    </row>
    <row r="201">
      <c r="A201" s="272"/>
      <c r="B201" s="272"/>
      <c r="C201" s="336"/>
      <c r="D201" s="273"/>
      <c r="E201" s="274"/>
      <c r="F201" s="273"/>
      <c r="G201" s="273"/>
      <c r="H201" s="12"/>
      <c r="K201" s="12"/>
      <c r="M201" s="12"/>
      <c r="R201" s="218"/>
      <c r="S201" s="218"/>
      <c r="T201" s="218"/>
      <c r="U201" s="218"/>
    </row>
    <row r="202">
      <c r="A202" s="272"/>
      <c r="B202" s="272"/>
      <c r="C202" s="336"/>
      <c r="D202" s="273"/>
      <c r="E202" s="274"/>
      <c r="F202" s="273"/>
      <c r="G202" s="273"/>
      <c r="H202" s="12"/>
      <c r="K202" s="12"/>
      <c r="M202" s="12"/>
      <c r="R202" s="218"/>
      <c r="S202" s="218"/>
      <c r="T202" s="218"/>
      <c r="U202" s="218"/>
    </row>
    <row r="203">
      <c r="A203" s="272"/>
      <c r="B203" s="272"/>
      <c r="C203" s="336"/>
      <c r="D203" s="273"/>
      <c r="E203" s="274"/>
      <c r="F203" s="273"/>
      <c r="G203" s="273"/>
      <c r="H203" s="12"/>
      <c r="K203" s="12"/>
      <c r="M203" s="12"/>
      <c r="R203" s="218"/>
      <c r="S203" s="218"/>
      <c r="T203" s="218"/>
      <c r="U203" s="218"/>
    </row>
    <row r="204">
      <c r="A204" s="272"/>
      <c r="B204" s="272"/>
      <c r="C204" s="336"/>
      <c r="D204" s="273"/>
      <c r="E204" s="274"/>
      <c r="F204" s="273"/>
      <c r="G204" s="273"/>
      <c r="H204" s="12"/>
      <c r="K204" s="12"/>
      <c r="M204" s="12"/>
      <c r="R204" s="218"/>
      <c r="S204" s="218"/>
      <c r="T204" s="218"/>
      <c r="U204" s="218"/>
    </row>
    <row r="205">
      <c r="A205" s="272"/>
      <c r="B205" s="272"/>
      <c r="C205" s="336"/>
      <c r="D205" s="273"/>
      <c r="E205" s="274"/>
      <c r="F205" s="273"/>
      <c r="G205" s="273"/>
      <c r="H205" s="12"/>
      <c r="K205" s="12"/>
      <c r="M205" s="12"/>
      <c r="R205" s="218"/>
      <c r="S205" s="218"/>
      <c r="T205" s="218"/>
      <c r="U205" s="218"/>
    </row>
    <row r="206">
      <c r="A206" s="272"/>
      <c r="B206" s="272"/>
      <c r="C206" s="336"/>
      <c r="D206" s="273"/>
      <c r="E206" s="274"/>
      <c r="F206" s="273"/>
      <c r="G206" s="273"/>
      <c r="H206" s="12"/>
      <c r="K206" s="12"/>
      <c r="M206" s="12"/>
      <c r="R206" s="218"/>
      <c r="S206" s="218"/>
      <c r="T206" s="218"/>
      <c r="U206" s="218"/>
    </row>
    <row r="207">
      <c r="A207" s="272"/>
      <c r="B207" s="272"/>
      <c r="C207" s="336"/>
      <c r="D207" s="273"/>
      <c r="E207" s="274"/>
      <c r="F207" s="273"/>
      <c r="G207" s="273"/>
      <c r="H207" s="12"/>
      <c r="K207" s="12"/>
      <c r="M207" s="12"/>
      <c r="R207" s="218"/>
      <c r="S207" s="218"/>
      <c r="T207" s="218"/>
      <c r="U207" s="218"/>
    </row>
    <row r="208">
      <c r="A208" s="272"/>
      <c r="B208" s="272"/>
      <c r="C208" s="336"/>
      <c r="D208" s="273"/>
      <c r="E208" s="274"/>
      <c r="F208" s="273"/>
      <c r="G208" s="273"/>
      <c r="H208" s="12"/>
      <c r="K208" s="12"/>
      <c r="M208" s="12"/>
      <c r="R208" s="218"/>
      <c r="S208" s="218"/>
      <c r="T208" s="218"/>
      <c r="U208" s="218"/>
    </row>
    <row r="209">
      <c r="A209" s="272"/>
      <c r="B209" s="272"/>
      <c r="C209" s="336"/>
      <c r="D209" s="273"/>
      <c r="E209" s="274"/>
      <c r="F209" s="273"/>
      <c r="G209" s="273"/>
      <c r="H209" s="12"/>
      <c r="K209" s="12"/>
      <c r="M209" s="12"/>
      <c r="R209" s="218"/>
      <c r="S209" s="218"/>
      <c r="T209" s="218"/>
      <c r="U209" s="218"/>
    </row>
    <row r="210">
      <c r="A210" s="272"/>
      <c r="B210" s="272"/>
      <c r="C210" s="336"/>
      <c r="D210" s="273"/>
      <c r="E210" s="274"/>
      <c r="F210" s="273"/>
      <c r="G210" s="273"/>
      <c r="H210" s="12"/>
      <c r="K210" s="12"/>
      <c r="M210" s="12"/>
      <c r="R210" s="218"/>
      <c r="S210" s="218"/>
      <c r="T210" s="218"/>
      <c r="U210" s="218"/>
    </row>
    <row r="211">
      <c r="A211" s="272"/>
      <c r="B211" s="272"/>
      <c r="C211" s="336"/>
      <c r="D211" s="273"/>
      <c r="E211" s="274"/>
      <c r="F211" s="273"/>
      <c r="G211" s="273"/>
      <c r="H211" s="12"/>
      <c r="K211" s="12"/>
      <c r="M211" s="12"/>
      <c r="R211" s="218"/>
      <c r="S211" s="218"/>
      <c r="T211" s="218"/>
      <c r="U211" s="218"/>
    </row>
    <row r="212">
      <c r="A212" s="272"/>
      <c r="B212" s="272"/>
      <c r="C212" s="336"/>
      <c r="D212" s="273"/>
      <c r="E212" s="274"/>
      <c r="F212" s="273"/>
      <c r="G212" s="273"/>
      <c r="H212" s="12"/>
      <c r="K212" s="12"/>
      <c r="M212" s="12"/>
      <c r="R212" s="218"/>
      <c r="S212" s="218"/>
      <c r="T212" s="218"/>
      <c r="U212" s="218"/>
    </row>
    <row r="213">
      <c r="A213" s="272"/>
      <c r="B213" s="272"/>
      <c r="C213" s="336"/>
      <c r="D213" s="273"/>
      <c r="E213" s="274"/>
      <c r="F213" s="273"/>
      <c r="G213" s="273"/>
      <c r="H213" s="12"/>
      <c r="K213" s="12"/>
      <c r="M213" s="12"/>
      <c r="R213" s="218"/>
      <c r="S213" s="218"/>
      <c r="T213" s="218"/>
      <c r="U213" s="218"/>
    </row>
    <row r="214">
      <c r="A214" s="272"/>
      <c r="B214" s="272"/>
      <c r="C214" s="336"/>
      <c r="D214" s="273"/>
      <c r="E214" s="274"/>
      <c r="F214" s="273"/>
      <c r="G214" s="273"/>
      <c r="H214" s="12"/>
      <c r="K214" s="12"/>
      <c r="M214" s="12"/>
      <c r="R214" s="218"/>
      <c r="S214" s="218"/>
      <c r="T214" s="218"/>
      <c r="U214" s="218"/>
    </row>
    <row r="215">
      <c r="A215" s="272"/>
      <c r="B215" s="272"/>
      <c r="C215" s="336"/>
      <c r="D215" s="273"/>
      <c r="E215" s="274"/>
      <c r="F215" s="273"/>
      <c r="G215" s="273"/>
      <c r="H215" s="12"/>
      <c r="K215" s="12"/>
      <c r="M215" s="12"/>
      <c r="R215" s="218"/>
      <c r="S215" s="218"/>
      <c r="T215" s="218"/>
      <c r="U215" s="218"/>
    </row>
    <row r="216">
      <c r="A216" s="272"/>
      <c r="B216" s="272"/>
      <c r="C216" s="336"/>
      <c r="D216" s="273"/>
      <c r="E216" s="274"/>
      <c r="F216" s="273"/>
      <c r="G216" s="273"/>
      <c r="H216" s="12"/>
      <c r="K216" s="12"/>
      <c r="M216" s="12"/>
      <c r="R216" s="218"/>
      <c r="S216" s="218"/>
      <c r="T216" s="218"/>
      <c r="U216" s="218"/>
    </row>
    <row r="217">
      <c r="A217" s="272"/>
      <c r="B217" s="272"/>
      <c r="C217" s="336"/>
      <c r="D217" s="273"/>
      <c r="E217" s="274"/>
      <c r="F217" s="273"/>
      <c r="G217" s="273"/>
      <c r="H217" s="12"/>
      <c r="K217" s="12"/>
      <c r="M217" s="12"/>
      <c r="R217" s="218"/>
      <c r="S217" s="218"/>
      <c r="T217" s="218"/>
      <c r="U217" s="218"/>
    </row>
    <row r="218">
      <c r="A218" s="272"/>
      <c r="B218" s="272"/>
      <c r="C218" s="336"/>
      <c r="D218" s="273"/>
      <c r="E218" s="274"/>
      <c r="F218" s="273"/>
      <c r="G218" s="273"/>
      <c r="H218" s="12"/>
      <c r="K218" s="12"/>
      <c r="M218" s="12"/>
      <c r="R218" s="218"/>
      <c r="S218" s="218"/>
      <c r="T218" s="218"/>
      <c r="U218" s="218"/>
    </row>
    <row r="219">
      <c r="A219" s="272"/>
      <c r="B219" s="272"/>
      <c r="C219" s="336"/>
      <c r="D219" s="273"/>
      <c r="E219" s="274"/>
      <c r="F219" s="273"/>
      <c r="G219" s="273"/>
      <c r="H219" s="12"/>
      <c r="K219" s="12"/>
      <c r="M219" s="12"/>
      <c r="R219" s="218"/>
      <c r="S219" s="218"/>
      <c r="T219" s="218"/>
      <c r="U219" s="218"/>
    </row>
    <row r="220">
      <c r="A220" s="272"/>
      <c r="B220" s="272"/>
      <c r="C220" s="336"/>
      <c r="D220" s="273"/>
      <c r="E220" s="274"/>
      <c r="F220" s="273"/>
      <c r="G220" s="273"/>
      <c r="H220" s="12"/>
      <c r="K220" s="12"/>
      <c r="M220" s="12"/>
      <c r="R220" s="218"/>
      <c r="S220" s="218"/>
      <c r="T220" s="218"/>
      <c r="U220" s="218"/>
    </row>
    <row r="221">
      <c r="A221" s="272"/>
      <c r="B221" s="272"/>
      <c r="C221" s="336"/>
      <c r="D221" s="273"/>
      <c r="E221" s="274"/>
      <c r="F221" s="273"/>
      <c r="G221" s="273"/>
      <c r="H221" s="12"/>
      <c r="K221" s="12"/>
      <c r="M221" s="12"/>
      <c r="R221" s="218"/>
      <c r="S221" s="218"/>
      <c r="T221" s="218"/>
      <c r="U221" s="218"/>
    </row>
    <row r="222">
      <c r="A222" s="272"/>
      <c r="B222" s="272"/>
      <c r="C222" s="336"/>
      <c r="D222" s="273"/>
      <c r="E222" s="274"/>
      <c r="F222" s="273"/>
      <c r="G222" s="273"/>
      <c r="H222" s="12"/>
      <c r="K222" s="12"/>
      <c r="M222" s="12"/>
      <c r="R222" s="218"/>
      <c r="S222" s="218"/>
      <c r="T222" s="218"/>
      <c r="U222" s="218"/>
    </row>
    <row r="223">
      <c r="A223" s="272"/>
      <c r="B223" s="272"/>
      <c r="C223" s="336"/>
      <c r="D223" s="273"/>
      <c r="E223" s="274"/>
      <c r="F223" s="273"/>
      <c r="G223" s="273"/>
      <c r="H223" s="12"/>
      <c r="K223" s="12"/>
      <c r="M223" s="12"/>
      <c r="R223" s="218"/>
      <c r="S223" s="218"/>
      <c r="T223" s="218"/>
      <c r="U223" s="218"/>
    </row>
    <row r="224">
      <c r="A224" s="272"/>
      <c r="B224" s="272"/>
      <c r="C224" s="336"/>
      <c r="D224" s="273"/>
      <c r="E224" s="274"/>
      <c r="F224" s="273"/>
      <c r="G224" s="273"/>
      <c r="H224" s="12"/>
      <c r="K224" s="12"/>
      <c r="M224" s="12"/>
      <c r="R224" s="218"/>
      <c r="S224" s="218"/>
      <c r="T224" s="218"/>
      <c r="U224" s="218"/>
    </row>
    <row r="225">
      <c r="A225" s="272"/>
      <c r="B225" s="272"/>
      <c r="C225" s="336"/>
      <c r="D225" s="273"/>
      <c r="E225" s="274"/>
      <c r="F225" s="273"/>
      <c r="G225" s="273"/>
      <c r="H225" s="12"/>
      <c r="K225" s="12"/>
      <c r="M225" s="12"/>
      <c r="R225" s="218"/>
      <c r="S225" s="218"/>
      <c r="T225" s="218"/>
      <c r="U225" s="218"/>
    </row>
    <row r="226">
      <c r="A226" s="272"/>
      <c r="B226" s="272"/>
      <c r="C226" s="336"/>
      <c r="D226" s="273"/>
      <c r="E226" s="274"/>
      <c r="F226" s="273"/>
      <c r="G226" s="273"/>
      <c r="H226" s="12"/>
      <c r="K226" s="12"/>
      <c r="M226" s="12"/>
      <c r="R226" s="218"/>
      <c r="S226" s="218"/>
      <c r="T226" s="218"/>
      <c r="U226" s="218"/>
    </row>
    <row r="227">
      <c r="A227" s="272"/>
      <c r="B227" s="272"/>
      <c r="C227" s="336"/>
      <c r="D227" s="273"/>
      <c r="E227" s="274"/>
      <c r="F227" s="273"/>
      <c r="G227" s="273"/>
      <c r="H227" s="12"/>
      <c r="K227" s="12"/>
      <c r="M227" s="12"/>
      <c r="R227" s="218"/>
      <c r="S227" s="218"/>
      <c r="T227" s="218"/>
      <c r="U227" s="218"/>
    </row>
    <row r="228">
      <c r="A228" s="272"/>
      <c r="B228" s="272"/>
      <c r="C228" s="336"/>
      <c r="D228" s="273"/>
      <c r="E228" s="274"/>
      <c r="F228" s="273"/>
      <c r="G228" s="273"/>
      <c r="H228" s="12"/>
      <c r="K228" s="12"/>
      <c r="M228" s="12"/>
      <c r="R228" s="218"/>
      <c r="S228" s="218"/>
      <c r="T228" s="218"/>
      <c r="U228" s="218"/>
    </row>
    <row r="229">
      <c r="A229" s="272"/>
      <c r="B229" s="272"/>
      <c r="C229" s="336"/>
      <c r="D229" s="273"/>
      <c r="E229" s="274"/>
      <c r="F229" s="273"/>
      <c r="G229" s="273"/>
      <c r="H229" s="12"/>
      <c r="K229" s="12"/>
      <c r="M229" s="12"/>
      <c r="R229" s="218"/>
      <c r="S229" s="218"/>
      <c r="T229" s="218"/>
      <c r="U229" s="218"/>
    </row>
    <row r="230">
      <c r="A230" s="272"/>
      <c r="B230" s="272"/>
      <c r="C230" s="336"/>
      <c r="D230" s="273"/>
      <c r="E230" s="274"/>
      <c r="F230" s="273"/>
      <c r="G230" s="273"/>
      <c r="H230" s="12"/>
      <c r="K230" s="12"/>
      <c r="M230" s="12"/>
      <c r="R230" s="218"/>
      <c r="S230" s="218"/>
      <c r="T230" s="218"/>
      <c r="U230" s="218"/>
    </row>
    <row r="231">
      <c r="A231" s="272"/>
      <c r="B231" s="272"/>
      <c r="C231" s="336"/>
      <c r="D231" s="273"/>
      <c r="E231" s="274"/>
      <c r="F231" s="273"/>
      <c r="G231" s="273"/>
      <c r="H231" s="12"/>
      <c r="K231" s="12"/>
      <c r="M231" s="12"/>
      <c r="R231" s="218"/>
      <c r="S231" s="218"/>
      <c r="T231" s="218"/>
      <c r="U231" s="218"/>
    </row>
    <row r="232">
      <c r="A232" s="272"/>
      <c r="B232" s="272"/>
      <c r="C232" s="336"/>
      <c r="D232" s="273"/>
      <c r="E232" s="274"/>
      <c r="F232" s="273"/>
      <c r="G232" s="273"/>
      <c r="H232" s="12"/>
      <c r="K232" s="12"/>
      <c r="M232" s="12"/>
      <c r="R232" s="218"/>
      <c r="S232" s="218"/>
      <c r="T232" s="218"/>
      <c r="U232" s="218"/>
    </row>
    <row r="233">
      <c r="A233" s="272"/>
      <c r="B233" s="272"/>
      <c r="C233" s="336"/>
      <c r="D233" s="273"/>
      <c r="E233" s="274"/>
      <c r="F233" s="273"/>
      <c r="G233" s="273"/>
      <c r="H233" s="12"/>
      <c r="K233" s="12"/>
      <c r="M233" s="12"/>
      <c r="R233" s="218"/>
      <c r="S233" s="218"/>
      <c r="T233" s="218"/>
      <c r="U233" s="218"/>
    </row>
    <row r="234">
      <c r="A234" s="272"/>
      <c r="B234" s="272"/>
      <c r="C234" s="336"/>
      <c r="D234" s="273"/>
      <c r="E234" s="274"/>
      <c r="F234" s="273"/>
      <c r="G234" s="273"/>
      <c r="H234" s="12"/>
      <c r="K234" s="12"/>
      <c r="M234" s="12"/>
      <c r="R234" s="218"/>
      <c r="S234" s="218"/>
      <c r="T234" s="218"/>
      <c r="U234" s="218"/>
    </row>
    <row r="235">
      <c r="A235" s="272"/>
      <c r="B235" s="272"/>
      <c r="C235" s="336"/>
      <c r="D235" s="273"/>
      <c r="E235" s="274"/>
      <c r="F235" s="273"/>
      <c r="G235" s="273"/>
      <c r="H235" s="12"/>
      <c r="K235" s="12"/>
      <c r="M235" s="12"/>
      <c r="R235" s="218"/>
      <c r="S235" s="218"/>
      <c r="T235" s="218"/>
      <c r="U235" s="218"/>
    </row>
    <row r="236">
      <c r="A236" s="272"/>
      <c r="B236" s="272"/>
      <c r="C236" s="336"/>
      <c r="D236" s="273"/>
      <c r="E236" s="274"/>
      <c r="F236" s="273"/>
      <c r="G236" s="273"/>
      <c r="H236" s="12"/>
      <c r="K236" s="12"/>
      <c r="M236" s="12"/>
      <c r="R236" s="218"/>
      <c r="S236" s="218"/>
      <c r="T236" s="218"/>
      <c r="U236" s="218"/>
    </row>
    <row r="237">
      <c r="A237" s="272"/>
      <c r="B237" s="272"/>
      <c r="C237" s="336"/>
      <c r="D237" s="273"/>
      <c r="E237" s="274"/>
      <c r="F237" s="273"/>
      <c r="G237" s="273"/>
      <c r="H237" s="12"/>
      <c r="K237" s="12"/>
      <c r="M237" s="12"/>
      <c r="R237" s="218"/>
      <c r="S237" s="218"/>
      <c r="T237" s="218"/>
      <c r="U237" s="218"/>
    </row>
    <row r="238">
      <c r="A238" s="272"/>
      <c r="B238" s="272"/>
      <c r="C238" s="336"/>
      <c r="D238" s="273"/>
      <c r="E238" s="274"/>
      <c r="F238" s="273"/>
      <c r="G238" s="273"/>
      <c r="H238" s="12"/>
      <c r="K238" s="12"/>
      <c r="M238" s="12"/>
      <c r="R238" s="218"/>
      <c r="S238" s="218"/>
      <c r="T238" s="218"/>
      <c r="U238" s="218"/>
    </row>
    <row r="239">
      <c r="A239" s="272"/>
      <c r="B239" s="272"/>
      <c r="C239" s="336"/>
      <c r="D239" s="273"/>
      <c r="E239" s="274"/>
      <c r="F239" s="273"/>
      <c r="G239" s="273"/>
      <c r="H239" s="12"/>
      <c r="K239" s="12"/>
      <c r="M239" s="12"/>
      <c r="R239" s="218"/>
      <c r="S239" s="218"/>
      <c r="T239" s="218"/>
      <c r="U239" s="218"/>
    </row>
    <row r="240">
      <c r="A240" s="272"/>
      <c r="B240" s="272"/>
      <c r="C240" s="336"/>
      <c r="D240" s="273"/>
      <c r="E240" s="274"/>
      <c r="F240" s="273"/>
      <c r="G240" s="273"/>
      <c r="H240" s="12"/>
      <c r="K240" s="12"/>
      <c r="M240" s="12"/>
      <c r="R240" s="218"/>
      <c r="S240" s="218"/>
      <c r="T240" s="218"/>
      <c r="U240" s="218"/>
    </row>
    <row r="241">
      <c r="A241" s="272"/>
      <c r="B241" s="272"/>
      <c r="C241" s="336"/>
      <c r="D241" s="273"/>
      <c r="E241" s="274"/>
      <c r="F241" s="273"/>
      <c r="G241" s="273"/>
      <c r="H241" s="12"/>
      <c r="K241" s="12"/>
      <c r="M241" s="12"/>
      <c r="R241" s="218"/>
      <c r="S241" s="218"/>
      <c r="T241" s="218"/>
      <c r="U241" s="218"/>
    </row>
    <row r="242">
      <c r="A242" s="272"/>
      <c r="B242" s="272"/>
      <c r="C242" s="336"/>
      <c r="D242" s="273"/>
      <c r="E242" s="274"/>
      <c r="F242" s="273"/>
      <c r="G242" s="273"/>
      <c r="H242" s="12"/>
      <c r="K242" s="12"/>
      <c r="M242" s="12"/>
      <c r="R242" s="218"/>
      <c r="S242" s="218"/>
      <c r="T242" s="218"/>
      <c r="U242" s="218"/>
    </row>
    <row r="243">
      <c r="A243" s="272"/>
      <c r="B243" s="272"/>
      <c r="C243" s="336"/>
      <c r="D243" s="273"/>
      <c r="E243" s="274"/>
      <c r="F243" s="273"/>
      <c r="G243" s="273"/>
      <c r="H243" s="12"/>
      <c r="K243" s="12"/>
      <c r="M243" s="12"/>
      <c r="R243" s="218"/>
      <c r="S243" s="218"/>
      <c r="T243" s="218"/>
      <c r="U243" s="218"/>
    </row>
    <row r="244">
      <c r="A244" s="272"/>
      <c r="B244" s="272"/>
      <c r="C244" s="336"/>
      <c r="D244" s="273"/>
      <c r="E244" s="274"/>
      <c r="F244" s="273"/>
      <c r="G244" s="273"/>
      <c r="H244" s="12"/>
      <c r="K244" s="12"/>
      <c r="M244" s="12"/>
      <c r="R244" s="218"/>
      <c r="S244" s="218"/>
      <c r="T244" s="218"/>
      <c r="U244" s="218"/>
    </row>
    <row r="245">
      <c r="A245" s="272"/>
      <c r="B245" s="272"/>
      <c r="C245" s="336"/>
      <c r="D245" s="273"/>
      <c r="E245" s="274"/>
      <c r="F245" s="273"/>
      <c r="G245" s="273"/>
      <c r="H245" s="12"/>
      <c r="K245" s="12"/>
      <c r="M245" s="12"/>
      <c r="R245" s="218"/>
      <c r="S245" s="218"/>
      <c r="T245" s="218"/>
      <c r="U245" s="218"/>
    </row>
    <row r="246">
      <c r="A246" s="272"/>
      <c r="B246" s="272"/>
      <c r="C246" s="336"/>
      <c r="D246" s="273"/>
      <c r="E246" s="274"/>
      <c r="F246" s="273"/>
      <c r="G246" s="273"/>
      <c r="H246" s="12"/>
      <c r="K246" s="12"/>
      <c r="M246" s="12"/>
      <c r="R246" s="218"/>
      <c r="S246" s="218"/>
      <c r="T246" s="218"/>
      <c r="U246" s="218"/>
    </row>
    <row r="247">
      <c r="A247" s="272"/>
      <c r="B247" s="272"/>
      <c r="C247" s="336"/>
      <c r="D247" s="273"/>
      <c r="E247" s="274"/>
      <c r="F247" s="273"/>
      <c r="G247" s="273"/>
      <c r="H247" s="12"/>
      <c r="K247" s="12"/>
      <c r="M247" s="12"/>
      <c r="R247" s="218"/>
      <c r="S247" s="218"/>
      <c r="T247" s="218"/>
      <c r="U247" s="218"/>
    </row>
    <row r="248">
      <c r="A248" s="272"/>
      <c r="B248" s="272"/>
      <c r="C248" s="336"/>
      <c r="D248" s="273"/>
      <c r="E248" s="274"/>
      <c r="F248" s="273"/>
      <c r="G248" s="273"/>
      <c r="H248" s="12"/>
      <c r="K248" s="12"/>
      <c r="M248" s="12"/>
      <c r="R248" s="218"/>
      <c r="S248" s="218"/>
      <c r="T248" s="218"/>
      <c r="U248" s="218"/>
    </row>
    <row r="249">
      <c r="A249" s="272"/>
      <c r="B249" s="272"/>
      <c r="C249" s="336"/>
      <c r="D249" s="273"/>
      <c r="E249" s="274"/>
      <c r="F249" s="273"/>
      <c r="G249" s="273"/>
      <c r="H249" s="12"/>
      <c r="K249" s="12"/>
      <c r="M249" s="12"/>
      <c r="R249" s="218"/>
      <c r="S249" s="218"/>
      <c r="T249" s="218"/>
      <c r="U249" s="218"/>
    </row>
    <row r="250">
      <c r="A250" s="272"/>
      <c r="B250" s="272"/>
      <c r="C250" s="336"/>
      <c r="D250" s="273"/>
      <c r="E250" s="274"/>
      <c r="F250" s="273"/>
      <c r="G250" s="273"/>
      <c r="H250" s="12"/>
      <c r="K250" s="12"/>
      <c r="M250" s="12"/>
      <c r="R250" s="218"/>
      <c r="S250" s="218"/>
      <c r="T250" s="218"/>
      <c r="U250" s="218"/>
    </row>
    <row r="251">
      <c r="A251" s="272"/>
      <c r="B251" s="272"/>
      <c r="C251" s="336"/>
      <c r="D251" s="273"/>
      <c r="E251" s="274"/>
      <c r="F251" s="273"/>
      <c r="G251" s="273"/>
      <c r="H251" s="12"/>
      <c r="K251" s="12"/>
      <c r="M251" s="12"/>
      <c r="R251" s="218"/>
      <c r="S251" s="218"/>
      <c r="T251" s="218"/>
      <c r="U251" s="218"/>
    </row>
    <row r="252">
      <c r="A252" s="272"/>
      <c r="B252" s="272"/>
      <c r="C252" s="336"/>
      <c r="D252" s="273"/>
      <c r="E252" s="274"/>
      <c r="F252" s="273"/>
      <c r="G252" s="273"/>
      <c r="H252" s="12"/>
      <c r="K252" s="12"/>
      <c r="M252" s="12"/>
      <c r="R252" s="218"/>
      <c r="S252" s="218"/>
      <c r="T252" s="218"/>
      <c r="U252" s="218"/>
    </row>
    <row r="253">
      <c r="A253" s="272"/>
      <c r="B253" s="272"/>
      <c r="C253" s="336"/>
      <c r="D253" s="273"/>
      <c r="E253" s="274"/>
      <c r="F253" s="273"/>
      <c r="G253" s="273"/>
      <c r="H253" s="12"/>
      <c r="K253" s="12"/>
      <c r="M253" s="12"/>
      <c r="R253" s="218"/>
      <c r="S253" s="218"/>
      <c r="T253" s="218"/>
      <c r="U253" s="218"/>
    </row>
    <row r="254">
      <c r="A254" s="272"/>
      <c r="B254" s="272"/>
      <c r="C254" s="336"/>
      <c r="D254" s="273"/>
      <c r="E254" s="274"/>
      <c r="F254" s="273"/>
      <c r="G254" s="273"/>
      <c r="H254" s="12"/>
      <c r="K254" s="12"/>
      <c r="M254" s="12"/>
      <c r="R254" s="218"/>
      <c r="S254" s="218"/>
      <c r="T254" s="218"/>
      <c r="U254" s="218"/>
    </row>
    <row r="255">
      <c r="A255" s="272"/>
      <c r="B255" s="272"/>
      <c r="C255" s="336"/>
      <c r="D255" s="273"/>
      <c r="E255" s="274"/>
      <c r="F255" s="273"/>
      <c r="G255" s="273"/>
      <c r="H255" s="12"/>
      <c r="K255" s="12"/>
      <c r="M255" s="12"/>
      <c r="R255" s="218"/>
      <c r="S255" s="218"/>
      <c r="T255" s="218"/>
      <c r="U255" s="218"/>
    </row>
    <row r="256">
      <c r="A256" s="272"/>
      <c r="B256" s="272"/>
      <c r="C256" s="336"/>
      <c r="D256" s="273"/>
      <c r="E256" s="274"/>
      <c r="F256" s="273"/>
      <c r="G256" s="273"/>
      <c r="H256" s="12"/>
      <c r="K256" s="12"/>
      <c r="M256" s="12"/>
      <c r="R256" s="218"/>
      <c r="S256" s="218"/>
      <c r="T256" s="218"/>
      <c r="U256" s="218"/>
    </row>
    <row r="257">
      <c r="A257" s="272"/>
      <c r="B257" s="272"/>
      <c r="C257" s="336"/>
      <c r="D257" s="273"/>
      <c r="E257" s="274"/>
      <c r="F257" s="273"/>
      <c r="G257" s="273"/>
      <c r="H257" s="12"/>
      <c r="K257" s="12"/>
      <c r="M257" s="12"/>
      <c r="R257" s="218"/>
      <c r="S257" s="218"/>
      <c r="T257" s="218"/>
      <c r="U257" s="218"/>
    </row>
    <row r="258">
      <c r="A258" s="272"/>
      <c r="B258" s="272"/>
      <c r="C258" s="336"/>
      <c r="D258" s="273"/>
      <c r="E258" s="274"/>
      <c r="F258" s="273"/>
      <c r="G258" s="273"/>
      <c r="H258" s="12"/>
      <c r="K258" s="12"/>
      <c r="M258" s="12"/>
      <c r="R258" s="218"/>
      <c r="S258" s="218"/>
      <c r="T258" s="218"/>
      <c r="U258" s="218"/>
    </row>
    <row r="259">
      <c r="A259" s="272"/>
      <c r="B259" s="272"/>
      <c r="C259" s="336"/>
      <c r="D259" s="273"/>
      <c r="E259" s="274"/>
      <c r="F259" s="273"/>
      <c r="G259" s="273"/>
      <c r="H259" s="12"/>
      <c r="K259" s="12"/>
      <c r="M259" s="12"/>
      <c r="R259" s="218"/>
      <c r="S259" s="218"/>
      <c r="T259" s="218"/>
      <c r="U259" s="218"/>
    </row>
    <row r="260">
      <c r="A260" s="272"/>
      <c r="B260" s="272"/>
      <c r="C260" s="336"/>
      <c r="D260" s="273"/>
      <c r="E260" s="274"/>
      <c r="F260" s="273"/>
      <c r="G260" s="273"/>
      <c r="H260" s="12"/>
      <c r="K260" s="12"/>
      <c r="M260" s="12"/>
      <c r="R260" s="218"/>
      <c r="S260" s="218"/>
      <c r="T260" s="218"/>
      <c r="U260" s="218"/>
    </row>
    <row r="261">
      <c r="A261" s="272"/>
      <c r="B261" s="272"/>
      <c r="C261" s="336"/>
      <c r="D261" s="273"/>
      <c r="E261" s="274"/>
      <c r="F261" s="273"/>
      <c r="G261" s="273"/>
      <c r="H261" s="12"/>
      <c r="K261" s="12"/>
      <c r="M261" s="12"/>
      <c r="R261" s="218"/>
      <c r="S261" s="218"/>
      <c r="T261" s="218"/>
      <c r="U261" s="218"/>
    </row>
    <row r="262">
      <c r="A262" s="272"/>
      <c r="B262" s="272"/>
      <c r="C262" s="336"/>
      <c r="D262" s="273"/>
      <c r="E262" s="274"/>
      <c r="F262" s="273"/>
      <c r="G262" s="273"/>
      <c r="H262" s="12"/>
      <c r="K262" s="12"/>
      <c r="M262" s="12"/>
      <c r="R262" s="218"/>
      <c r="S262" s="218"/>
      <c r="T262" s="218"/>
      <c r="U262" s="218"/>
    </row>
    <row r="263">
      <c r="A263" s="272"/>
      <c r="B263" s="272"/>
      <c r="C263" s="336"/>
      <c r="D263" s="273"/>
      <c r="E263" s="274"/>
      <c r="F263" s="273"/>
      <c r="G263" s="273"/>
      <c r="H263" s="12"/>
      <c r="K263" s="12"/>
      <c r="M263" s="12"/>
      <c r="R263" s="218"/>
      <c r="S263" s="218"/>
      <c r="T263" s="218"/>
      <c r="U263" s="218"/>
    </row>
    <row r="264">
      <c r="A264" s="272"/>
      <c r="B264" s="272"/>
      <c r="C264" s="336"/>
      <c r="D264" s="273"/>
      <c r="E264" s="274"/>
      <c r="F264" s="273"/>
      <c r="G264" s="273"/>
      <c r="H264" s="12"/>
      <c r="K264" s="12"/>
      <c r="M264" s="12"/>
      <c r="R264" s="218"/>
      <c r="S264" s="218"/>
      <c r="T264" s="218"/>
      <c r="U264" s="218"/>
    </row>
    <row r="265">
      <c r="A265" s="272"/>
      <c r="B265" s="272"/>
      <c r="C265" s="336"/>
      <c r="D265" s="273"/>
      <c r="E265" s="274"/>
      <c r="F265" s="273"/>
      <c r="G265" s="273"/>
      <c r="H265" s="12"/>
      <c r="K265" s="12"/>
      <c r="M265" s="12"/>
      <c r="R265" s="218"/>
      <c r="S265" s="218"/>
      <c r="T265" s="218"/>
      <c r="U265" s="218"/>
    </row>
    <row r="266">
      <c r="A266" s="272"/>
      <c r="B266" s="272"/>
      <c r="C266" s="336"/>
      <c r="D266" s="273"/>
      <c r="E266" s="274"/>
      <c r="F266" s="273"/>
      <c r="G266" s="273"/>
      <c r="H266" s="12"/>
      <c r="K266" s="12"/>
      <c r="M266" s="12"/>
      <c r="R266" s="218"/>
      <c r="S266" s="218"/>
      <c r="T266" s="218"/>
      <c r="U266" s="218"/>
    </row>
    <row r="267">
      <c r="A267" s="272"/>
      <c r="B267" s="272"/>
      <c r="C267" s="336"/>
      <c r="D267" s="273"/>
      <c r="E267" s="274"/>
      <c r="F267" s="273"/>
      <c r="G267" s="273"/>
      <c r="H267" s="12"/>
      <c r="K267" s="12"/>
      <c r="M267" s="12"/>
      <c r="R267" s="218"/>
      <c r="S267" s="218"/>
      <c r="T267" s="218"/>
      <c r="U267" s="218"/>
    </row>
    <row r="268">
      <c r="A268" s="272"/>
      <c r="B268" s="272"/>
      <c r="C268" s="336"/>
      <c r="D268" s="273"/>
      <c r="E268" s="274"/>
      <c r="F268" s="273"/>
      <c r="G268" s="273"/>
      <c r="H268" s="12"/>
      <c r="K268" s="12"/>
      <c r="M268" s="12"/>
      <c r="R268" s="218"/>
      <c r="S268" s="218"/>
      <c r="T268" s="218"/>
      <c r="U268" s="218"/>
    </row>
    <row r="269">
      <c r="A269" s="272"/>
      <c r="B269" s="272"/>
      <c r="C269" s="336"/>
      <c r="D269" s="273"/>
      <c r="E269" s="274"/>
      <c r="F269" s="273"/>
      <c r="G269" s="273"/>
      <c r="H269" s="12"/>
      <c r="K269" s="12"/>
      <c r="M269" s="12"/>
      <c r="R269" s="218"/>
      <c r="S269" s="218"/>
      <c r="T269" s="218"/>
      <c r="U269" s="218"/>
    </row>
    <row r="270">
      <c r="A270" s="272"/>
      <c r="B270" s="272"/>
      <c r="C270" s="336"/>
      <c r="D270" s="273"/>
      <c r="E270" s="274"/>
      <c r="F270" s="273"/>
      <c r="G270" s="273"/>
      <c r="H270" s="12"/>
      <c r="K270" s="12"/>
      <c r="M270" s="12"/>
      <c r="R270" s="218"/>
      <c r="S270" s="218"/>
      <c r="T270" s="218"/>
      <c r="U270" s="218"/>
    </row>
    <row r="271">
      <c r="A271" s="272"/>
      <c r="B271" s="272"/>
      <c r="C271" s="336"/>
      <c r="D271" s="273"/>
      <c r="E271" s="274"/>
      <c r="F271" s="273"/>
      <c r="G271" s="273"/>
      <c r="H271" s="12"/>
      <c r="K271" s="12"/>
      <c r="M271" s="12"/>
      <c r="R271" s="218"/>
      <c r="S271" s="218"/>
      <c r="T271" s="218"/>
      <c r="U271" s="218"/>
    </row>
    <row r="272">
      <c r="A272" s="272"/>
      <c r="B272" s="272"/>
      <c r="C272" s="336"/>
      <c r="D272" s="273"/>
      <c r="E272" s="274"/>
      <c r="F272" s="273"/>
      <c r="G272" s="273"/>
      <c r="H272" s="12"/>
      <c r="K272" s="12"/>
      <c r="M272" s="12"/>
      <c r="R272" s="218"/>
      <c r="S272" s="218"/>
      <c r="T272" s="218"/>
      <c r="U272" s="218"/>
    </row>
    <row r="273">
      <c r="A273" s="272"/>
      <c r="B273" s="272"/>
      <c r="C273" s="336"/>
      <c r="D273" s="273"/>
      <c r="E273" s="274"/>
      <c r="F273" s="273"/>
      <c r="G273" s="273"/>
      <c r="H273" s="12"/>
      <c r="K273" s="12"/>
      <c r="M273" s="12"/>
      <c r="R273" s="218"/>
      <c r="S273" s="218"/>
      <c r="T273" s="218"/>
      <c r="U273" s="218"/>
    </row>
    <row r="274">
      <c r="A274" s="272"/>
      <c r="B274" s="272"/>
      <c r="C274" s="336"/>
      <c r="D274" s="273"/>
      <c r="E274" s="274"/>
      <c r="F274" s="273"/>
      <c r="G274" s="273"/>
      <c r="H274" s="12"/>
      <c r="K274" s="12"/>
      <c r="M274" s="12"/>
      <c r="R274" s="218"/>
      <c r="S274" s="218"/>
      <c r="T274" s="218"/>
      <c r="U274" s="218"/>
    </row>
    <row r="275">
      <c r="A275" s="272"/>
      <c r="B275" s="272"/>
      <c r="C275" s="336"/>
      <c r="D275" s="273"/>
      <c r="E275" s="274"/>
      <c r="F275" s="273"/>
      <c r="G275" s="273"/>
      <c r="H275" s="12"/>
      <c r="K275" s="12"/>
      <c r="M275" s="12"/>
      <c r="R275" s="218"/>
      <c r="S275" s="218"/>
      <c r="T275" s="218"/>
      <c r="U275" s="218"/>
    </row>
    <row r="276">
      <c r="A276" s="272"/>
      <c r="B276" s="272"/>
      <c r="C276" s="336"/>
      <c r="D276" s="273"/>
      <c r="E276" s="274"/>
      <c r="F276" s="273"/>
      <c r="G276" s="273"/>
      <c r="H276" s="12"/>
      <c r="K276" s="12"/>
      <c r="M276" s="12"/>
      <c r="R276" s="218"/>
      <c r="S276" s="218"/>
      <c r="T276" s="218"/>
      <c r="U276" s="218"/>
    </row>
    <row r="277">
      <c r="A277" s="272"/>
      <c r="B277" s="272"/>
      <c r="C277" s="336"/>
      <c r="D277" s="273"/>
      <c r="E277" s="274"/>
      <c r="F277" s="273"/>
      <c r="G277" s="273"/>
      <c r="H277" s="12"/>
      <c r="K277" s="12"/>
      <c r="M277" s="12"/>
      <c r="R277" s="218"/>
      <c r="S277" s="218"/>
      <c r="T277" s="218"/>
      <c r="U277" s="218"/>
    </row>
    <row r="278">
      <c r="A278" s="272"/>
      <c r="B278" s="272"/>
      <c r="C278" s="336"/>
      <c r="D278" s="273"/>
      <c r="E278" s="274"/>
      <c r="F278" s="273"/>
      <c r="G278" s="273"/>
      <c r="H278" s="12"/>
      <c r="K278" s="12"/>
      <c r="M278" s="12"/>
      <c r="R278" s="218"/>
      <c r="S278" s="218"/>
      <c r="T278" s="218"/>
      <c r="U278" s="218"/>
    </row>
    <row r="279">
      <c r="A279" s="272"/>
      <c r="B279" s="272"/>
      <c r="C279" s="336"/>
      <c r="D279" s="273"/>
      <c r="E279" s="274"/>
      <c r="F279" s="273"/>
      <c r="G279" s="273"/>
      <c r="H279" s="12"/>
      <c r="K279" s="12"/>
      <c r="M279" s="12"/>
      <c r="R279" s="218"/>
      <c r="S279" s="218"/>
      <c r="T279" s="218"/>
      <c r="U279" s="218"/>
    </row>
    <row r="280">
      <c r="A280" s="272"/>
      <c r="B280" s="272"/>
      <c r="C280" s="336"/>
      <c r="D280" s="273"/>
      <c r="E280" s="274"/>
      <c r="F280" s="273"/>
      <c r="G280" s="273"/>
      <c r="H280" s="12"/>
      <c r="K280" s="12"/>
      <c r="M280" s="12"/>
      <c r="R280" s="218"/>
      <c r="S280" s="218"/>
      <c r="T280" s="218"/>
      <c r="U280" s="218"/>
    </row>
    <row r="281">
      <c r="A281" s="272"/>
      <c r="B281" s="272"/>
      <c r="C281" s="336"/>
      <c r="D281" s="273"/>
      <c r="E281" s="274"/>
      <c r="F281" s="273"/>
      <c r="G281" s="273"/>
      <c r="H281" s="12"/>
      <c r="K281" s="12"/>
      <c r="M281" s="12"/>
      <c r="R281" s="218"/>
      <c r="S281" s="218"/>
      <c r="T281" s="218"/>
      <c r="U281" s="218"/>
    </row>
    <row r="282">
      <c r="A282" s="272"/>
      <c r="B282" s="272"/>
      <c r="C282" s="336"/>
      <c r="D282" s="273"/>
      <c r="E282" s="274"/>
      <c r="F282" s="273"/>
      <c r="G282" s="273"/>
      <c r="H282" s="12"/>
      <c r="K282" s="12"/>
      <c r="M282" s="12"/>
      <c r="R282" s="218"/>
      <c r="S282" s="218"/>
      <c r="T282" s="218"/>
      <c r="U282" s="218"/>
    </row>
    <row r="283">
      <c r="A283" s="272"/>
      <c r="B283" s="272"/>
      <c r="C283" s="336"/>
      <c r="D283" s="273"/>
      <c r="E283" s="274"/>
      <c r="F283" s="273"/>
      <c r="G283" s="273"/>
      <c r="H283" s="12"/>
      <c r="K283" s="12"/>
      <c r="M283" s="12"/>
      <c r="R283" s="218"/>
      <c r="S283" s="218"/>
      <c r="T283" s="218"/>
      <c r="U283" s="218"/>
    </row>
    <row r="284">
      <c r="A284" s="272"/>
      <c r="B284" s="272"/>
      <c r="C284" s="336"/>
      <c r="D284" s="273"/>
      <c r="E284" s="274"/>
      <c r="F284" s="273"/>
      <c r="G284" s="273"/>
      <c r="H284" s="12"/>
      <c r="K284" s="12"/>
      <c r="M284" s="12"/>
      <c r="R284" s="218"/>
      <c r="S284" s="218"/>
      <c r="T284" s="218"/>
      <c r="U284" s="218"/>
    </row>
    <row r="285">
      <c r="C285" s="12"/>
      <c r="D285" s="3"/>
      <c r="E285" s="112"/>
      <c r="F285" s="3"/>
      <c r="G285" s="3"/>
      <c r="H285" s="12"/>
      <c r="K285" s="12"/>
      <c r="M285" s="12"/>
      <c r="R285" s="218"/>
      <c r="S285" s="218"/>
      <c r="T285" s="218"/>
      <c r="U285" s="218"/>
    </row>
    <row r="286">
      <c r="C286" s="12"/>
      <c r="D286" s="3"/>
      <c r="E286" s="112"/>
      <c r="F286" s="3"/>
      <c r="G286" s="3"/>
      <c r="H286" s="12"/>
      <c r="K286" s="12"/>
      <c r="M286" s="12"/>
      <c r="R286" s="218"/>
      <c r="S286" s="218"/>
      <c r="T286" s="218"/>
      <c r="U286" s="218"/>
    </row>
    <row r="287">
      <c r="C287" s="12"/>
      <c r="D287" s="3"/>
      <c r="E287" s="112"/>
      <c r="F287" s="3"/>
      <c r="G287" s="3"/>
      <c r="H287" s="12"/>
      <c r="K287" s="12"/>
      <c r="M287" s="12"/>
      <c r="R287" s="218"/>
      <c r="S287" s="218"/>
      <c r="T287" s="218"/>
      <c r="U287" s="218"/>
    </row>
    <row r="288">
      <c r="C288" s="12"/>
      <c r="D288" s="3"/>
      <c r="E288" s="112"/>
      <c r="F288" s="3"/>
      <c r="G288" s="3"/>
      <c r="H288" s="12"/>
      <c r="K288" s="12"/>
      <c r="M288" s="12"/>
      <c r="R288" s="218"/>
      <c r="S288" s="218"/>
      <c r="T288" s="218"/>
      <c r="U288" s="218"/>
    </row>
    <row r="289">
      <c r="C289" s="12"/>
      <c r="D289" s="3"/>
      <c r="E289" s="112"/>
      <c r="F289" s="3"/>
      <c r="G289" s="3"/>
      <c r="H289" s="12"/>
      <c r="K289" s="12"/>
      <c r="M289" s="12"/>
      <c r="R289" s="218"/>
      <c r="S289" s="218"/>
      <c r="T289" s="218"/>
      <c r="U289" s="218"/>
    </row>
    <row r="290">
      <c r="C290" s="12"/>
      <c r="D290" s="3"/>
      <c r="E290" s="112"/>
      <c r="F290" s="3"/>
      <c r="G290" s="3"/>
      <c r="H290" s="12"/>
      <c r="K290" s="12"/>
      <c r="M290" s="12"/>
      <c r="R290" s="218"/>
      <c r="S290" s="218"/>
      <c r="T290" s="218"/>
      <c r="U290" s="218"/>
    </row>
    <row r="291">
      <c r="C291" s="12"/>
      <c r="D291" s="3"/>
      <c r="E291" s="112"/>
      <c r="F291" s="3"/>
      <c r="G291" s="3"/>
      <c r="H291" s="12"/>
      <c r="K291" s="12"/>
      <c r="M291" s="12"/>
      <c r="R291" s="218"/>
      <c r="S291" s="218"/>
      <c r="T291" s="218"/>
      <c r="U291" s="218"/>
    </row>
    <row r="292">
      <c r="C292" s="12"/>
      <c r="D292" s="3"/>
      <c r="E292" s="112"/>
      <c r="F292" s="3"/>
      <c r="G292" s="3"/>
      <c r="H292" s="12"/>
      <c r="K292" s="12"/>
      <c r="M292" s="12"/>
      <c r="R292" s="218"/>
      <c r="S292" s="218"/>
      <c r="T292" s="218"/>
      <c r="U292" s="218"/>
    </row>
    <row r="293">
      <c r="C293" s="12"/>
      <c r="D293" s="3"/>
      <c r="E293" s="112"/>
      <c r="F293" s="3"/>
      <c r="G293" s="3"/>
      <c r="H293" s="12"/>
      <c r="K293" s="12"/>
      <c r="M293" s="12"/>
      <c r="R293" s="218"/>
      <c r="S293" s="218"/>
      <c r="T293" s="218"/>
      <c r="U293" s="218"/>
    </row>
    <row r="294">
      <c r="C294" s="12"/>
      <c r="D294" s="3"/>
      <c r="E294" s="112"/>
      <c r="F294" s="3"/>
      <c r="G294" s="3"/>
      <c r="H294" s="12"/>
      <c r="K294" s="12"/>
      <c r="M294" s="12"/>
      <c r="R294" s="218"/>
      <c r="S294" s="218"/>
      <c r="T294" s="218"/>
      <c r="U294" s="218"/>
    </row>
    <row r="295">
      <c r="C295" s="12"/>
      <c r="D295" s="3"/>
      <c r="E295" s="112"/>
      <c r="F295" s="3"/>
      <c r="G295" s="3"/>
      <c r="H295" s="12"/>
      <c r="K295" s="12"/>
      <c r="M295" s="12"/>
      <c r="R295" s="218"/>
      <c r="S295" s="218"/>
      <c r="T295" s="218"/>
      <c r="U295" s="218"/>
    </row>
    <row r="296">
      <c r="C296" s="12"/>
      <c r="D296" s="3"/>
      <c r="E296" s="112"/>
      <c r="F296" s="3"/>
      <c r="G296" s="3"/>
      <c r="H296" s="12"/>
      <c r="K296" s="12"/>
      <c r="M296" s="12"/>
      <c r="R296" s="218"/>
      <c r="S296" s="218"/>
      <c r="T296" s="218"/>
      <c r="U296" s="218"/>
    </row>
    <row r="297">
      <c r="C297" s="12"/>
      <c r="D297" s="3"/>
      <c r="E297" s="112"/>
      <c r="F297" s="3"/>
      <c r="G297" s="3"/>
      <c r="H297" s="12"/>
      <c r="K297" s="12"/>
      <c r="M297" s="12"/>
      <c r="R297" s="218"/>
      <c r="S297" s="218"/>
      <c r="T297" s="218"/>
      <c r="U297" s="218"/>
    </row>
    <row r="298">
      <c r="C298" s="12"/>
      <c r="D298" s="3"/>
      <c r="E298" s="112"/>
      <c r="F298" s="3"/>
      <c r="G298" s="3"/>
      <c r="H298" s="12"/>
      <c r="K298" s="12"/>
      <c r="M298" s="12"/>
      <c r="R298" s="218"/>
      <c r="S298" s="218"/>
      <c r="T298" s="218"/>
      <c r="U298" s="218"/>
    </row>
    <row r="299">
      <c r="C299" s="12"/>
      <c r="D299" s="3"/>
      <c r="E299" s="112"/>
      <c r="F299" s="3"/>
      <c r="G299" s="3"/>
      <c r="H299" s="12"/>
      <c r="K299" s="12"/>
      <c r="M299" s="12"/>
      <c r="R299" s="218"/>
      <c r="S299" s="218"/>
      <c r="T299" s="218"/>
      <c r="U299" s="218"/>
    </row>
    <row r="300">
      <c r="C300" s="12"/>
      <c r="D300" s="3"/>
      <c r="E300" s="112"/>
      <c r="F300" s="3"/>
      <c r="G300" s="3"/>
      <c r="H300" s="12"/>
      <c r="K300" s="12"/>
      <c r="M300" s="12"/>
      <c r="R300" s="218"/>
      <c r="S300" s="218"/>
      <c r="T300" s="218"/>
      <c r="U300" s="218"/>
    </row>
    <row r="301">
      <c r="C301" s="12"/>
      <c r="D301" s="3"/>
      <c r="E301" s="112"/>
      <c r="F301" s="3"/>
      <c r="G301" s="3"/>
      <c r="H301" s="12"/>
      <c r="K301" s="12"/>
      <c r="M301" s="12"/>
      <c r="R301" s="218"/>
      <c r="S301" s="218"/>
      <c r="T301" s="218"/>
      <c r="U301" s="218"/>
    </row>
    <row r="302">
      <c r="C302" s="12"/>
      <c r="D302" s="3"/>
      <c r="E302" s="112"/>
      <c r="F302" s="3"/>
      <c r="G302" s="3"/>
      <c r="H302" s="12"/>
      <c r="K302" s="12"/>
      <c r="M302" s="12"/>
      <c r="R302" s="218"/>
      <c r="S302" s="218"/>
      <c r="T302" s="218"/>
      <c r="U302" s="218"/>
    </row>
    <row r="303">
      <c r="C303" s="12"/>
      <c r="D303" s="3"/>
      <c r="E303" s="112"/>
      <c r="F303" s="3"/>
      <c r="G303" s="3"/>
      <c r="H303" s="12"/>
      <c r="K303" s="12"/>
      <c r="M303" s="12"/>
      <c r="R303" s="218"/>
      <c r="S303" s="218"/>
      <c r="T303" s="218"/>
      <c r="U303" s="218"/>
    </row>
    <row r="304">
      <c r="C304" s="12"/>
      <c r="D304" s="3"/>
      <c r="E304" s="112"/>
      <c r="F304" s="3"/>
      <c r="G304" s="3"/>
      <c r="H304" s="12"/>
      <c r="K304" s="12"/>
      <c r="M304" s="12"/>
      <c r="R304" s="218"/>
      <c r="S304" s="218"/>
      <c r="T304" s="218"/>
      <c r="U304" s="218"/>
    </row>
    <row r="305">
      <c r="C305" s="12"/>
      <c r="D305" s="3"/>
      <c r="E305" s="112"/>
      <c r="F305" s="3"/>
      <c r="G305" s="3"/>
      <c r="H305" s="12"/>
      <c r="K305" s="12"/>
      <c r="M305" s="12"/>
      <c r="R305" s="218"/>
      <c r="S305" s="218"/>
      <c r="T305" s="218"/>
      <c r="U305" s="218"/>
    </row>
    <row r="306">
      <c r="C306" s="12"/>
      <c r="D306" s="3"/>
      <c r="E306" s="112"/>
      <c r="F306" s="3"/>
      <c r="G306" s="3"/>
      <c r="H306" s="12"/>
      <c r="K306" s="12"/>
      <c r="M306" s="12"/>
      <c r="R306" s="218"/>
      <c r="S306" s="218"/>
      <c r="T306" s="218"/>
      <c r="U306" s="218"/>
    </row>
    <row r="307">
      <c r="C307" s="12"/>
      <c r="D307" s="3"/>
      <c r="E307" s="112"/>
      <c r="F307" s="3"/>
      <c r="G307" s="3"/>
      <c r="H307" s="12"/>
      <c r="K307" s="12"/>
      <c r="M307" s="12"/>
      <c r="R307" s="218"/>
      <c r="S307" s="218"/>
      <c r="T307" s="218"/>
      <c r="U307" s="218"/>
    </row>
    <row r="308">
      <c r="C308" s="12"/>
      <c r="D308" s="3"/>
      <c r="E308" s="112"/>
      <c r="F308" s="3"/>
      <c r="G308" s="3"/>
      <c r="H308" s="12"/>
      <c r="K308" s="12"/>
      <c r="M308" s="12"/>
      <c r="R308" s="218"/>
      <c r="S308" s="218"/>
      <c r="T308" s="218"/>
      <c r="U308" s="218"/>
    </row>
    <row r="309">
      <c r="C309" s="12"/>
      <c r="D309" s="3"/>
      <c r="E309" s="112"/>
      <c r="F309" s="3"/>
      <c r="G309" s="3"/>
      <c r="H309" s="12"/>
      <c r="K309" s="12"/>
      <c r="M309" s="12"/>
      <c r="R309" s="218"/>
      <c r="S309" s="218"/>
      <c r="T309" s="218"/>
      <c r="U309" s="218"/>
    </row>
    <row r="310">
      <c r="C310" s="12"/>
      <c r="D310" s="3"/>
      <c r="E310" s="112"/>
      <c r="F310" s="3"/>
      <c r="G310" s="3"/>
      <c r="H310" s="12"/>
      <c r="K310" s="12"/>
      <c r="M310" s="12"/>
      <c r="R310" s="218"/>
      <c r="S310" s="218"/>
      <c r="T310" s="218"/>
      <c r="U310" s="218"/>
    </row>
    <row r="311">
      <c r="C311" s="12"/>
      <c r="D311" s="3"/>
      <c r="E311" s="112"/>
      <c r="F311" s="3"/>
      <c r="G311" s="3"/>
      <c r="H311" s="12"/>
      <c r="K311" s="12"/>
      <c r="M311" s="12"/>
      <c r="R311" s="218"/>
      <c r="S311" s="218"/>
      <c r="T311" s="218"/>
      <c r="U311" s="218"/>
    </row>
    <row r="312">
      <c r="C312" s="12"/>
      <c r="D312" s="3"/>
      <c r="E312" s="112"/>
      <c r="F312" s="3"/>
      <c r="G312" s="3"/>
      <c r="H312" s="12"/>
      <c r="K312" s="12"/>
      <c r="M312" s="12"/>
      <c r="R312" s="218"/>
      <c r="S312" s="218"/>
      <c r="T312" s="218"/>
      <c r="U312" s="218"/>
    </row>
    <row r="313">
      <c r="C313" s="12"/>
      <c r="D313" s="3"/>
      <c r="E313" s="112"/>
      <c r="F313" s="3"/>
      <c r="G313" s="3"/>
      <c r="H313" s="12"/>
      <c r="K313" s="12"/>
      <c r="M313" s="12"/>
      <c r="R313" s="218"/>
      <c r="S313" s="218"/>
      <c r="T313" s="218"/>
      <c r="U313" s="218"/>
    </row>
    <row r="314">
      <c r="C314" s="12"/>
      <c r="D314" s="3"/>
      <c r="E314" s="112"/>
      <c r="F314" s="3"/>
      <c r="G314" s="3"/>
      <c r="H314" s="12"/>
      <c r="K314" s="12"/>
      <c r="M314" s="12"/>
      <c r="R314" s="218"/>
      <c r="S314" s="218"/>
      <c r="T314" s="218"/>
      <c r="U314" s="218"/>
    </row>
    <row r="315">
      <c r="C315" s="12"/>
      <c r="D315" s="3"/>
      <c r="E315" s="112"/>
      <c r="F315" s="3"/>
      <c r="G315" s="3"/>
      <c r="H315" s="12"/>
      <c r="K315" s="12"/>
      <c r="M315" s="12"/>
      <c r="R315" s="218"/>
      <c r="S315" s="218"/>
      <c r="T315" s="218"/>
      <c r="U315" s="218"/>
    </row>
    <row r="316">
      <c r="C316" s="12"/>
      <c r="D316" s="3"/>
      <c r="E316" s="112"/>
      <c r="F316" s="3"/>
      <c r="G316" s="3"/>
      <c r="H316" s="12"/>
      <c r="K316" s="12"/>
      <c r="M316" s="12"/>
      <c r="R316" s="218"/>
      <c r="S316" s="218"/>
      <c r="T316" s="218"/>
      <c r="U316" s="218"/>
    </row>
    <row r="317">
      <c r="C317" s="12"/>
      <c r="D317" s="3"/>
      <c r="E317" s="112"/>
      <c r="F317" s="3"/>
      <c r="G317" s="3"/>
      <c r="H317" s="12"/>
      <c r="K317" s="12"/>
      <c r="M317" s="12"/>
      <c r="R317" s="218"/>
      <c r="S317" s="218"/>
      <c r="T317" s="218"/>
      <c r="U317" s="218"/>
    </row>
    <row r="318">
      <c r="C318" s="12"/>
      <c r="D318" s="3"/>
      <c r="E318" s="112"/>
      <c r="F318" s="3"/>
      <c r="G318" s="3"/>
      <c r="H318" s="12"/>
      <c r="K318" s="12"/>
      <c r="M318" s="12"/>
      <c r="R318" s="218"/>
      <c r="S318" s="218"/>
      <c r="T318" s="218"/>
      <c r="U318" s="218"/>
    </row>
    <row r="319">
      <c r="C319" s="12"/>
      <c r="D319" s="3"/>
      <c r="E319" s="112"/>
      <c r="F319" s="3"/>
      <c r="G319" s="3"/>
      <c r="H319" s="12"/>
      <c r="K319" s="12"/>
      <c r="M319" s="12"/>
      <c r="R319" s="218"/>
      <c r="S319" s="218"/>
      <c r="T319" s="218"/>
      <c r="U319" s="218"/>
    </row>
    <row r="320">
      <c r="C320" s="12"/>
      <c r="D320" s="3"/>
      <c r="E320" s="112"/>
      <c r="F320" s="3"/>
      <c r="G320" s="3"/>
      <c r="H320" s="12"/>
      <c r="K320" s="12"/>
      <c r="M320" s="12"/>
      <c r="R320" s="218"/>
      <c r="S320" s="218"/>
      <c r="T320" s="218"/>
      <c r="U320" s="218"/>
    </row>
    <row r="321">
      <c r="C321" s="12"/>
      <c r="D321" s="3"/>
      <c r="E321" s="112"/>
      <c r="F321" s="3"/>
      <c r="G321" s="3"/>
      <c r="H321" s="12"/>
      <c r="K321" s="12"/>
      <c r="M321" s="12"/>
      <c r="R321" s="218"/>
      <c r="S321" s="218"/>
      <c r="T321" s="218"/>
      <c r="U321" s="218"/>
    </row>
    <row r="322">
      <c r="C322" s="12"/>
      <c r="D322" s="3"/>
      <c r="E322" s="112"/>
      <c r="F322" s="3"/>
      <c r="G322" s="3"/>
      <c r="H322" s="12"/>
      <c r="K322" s="12"/>
      <c r="M322" s="12"/>
      <c r="R322" s="218"/>
      <c r="S322" s="218"/>
      <c r="T322" s="218"/>
      <c r="U322" s="218"/>
    </row>
    <row r="323">
      <c r="C323" s="12"/>
      <c r="D323" s="3"/>
      <c r="E323" s="112"/>
      <c r="F323" s="3"/>
      <c r="G323" s="3"/>
      <c r="H323" s="12"/>
      <c r="K323" s="12"/>
      <c r="M323" s="12"/>
      <c r="R323" s="218"/>
      <c r="S323" s="218"/>
      <c r="T323" s="218"/>
      <c r="U323" s="218"/>
    </row>
    <row r="324">
      <c r="C324" s="12"/>
      <c r="D324" s="3"/>
      <c r="E324" s="112"/>
      <c r="F324" s="3"/>
      <c r="G324" s="3"/>
      <c r="H324" s="12"/>
      <c r="K324" s="12"/>
      <c r="M324" s="12"/>
      <c r="R324" s="218"/>
      <c r="S324" s="218"/>
      <c r="T324" s="218"/>
      <c r="U324" s="218"/>
    </row>
    <row r="325">
      <c r="C325" s="12"/>
      <c r="D325" s="3"/>
      <c r="E325" s="112"/>
      <c r="F325" s="3"/>
      <c r="G325" s="3"/>
      <c r="H325" s="12"/>
      <c r="K325" s="12"/>
      <c r="M325" s="12"/>
      <c r="R325" s="218"/>
      <c r="S325" s="218"/>
      <c r="T325" s="218"/>
      <c r="U325" s="218"/>
    </row>
    <row r="326">
      <c r="C326" s="12"/>
      <c r="D326" s="3"/>
      <c r="E326" s="112"/>
      <c r="F326" s="3"/>
      <c r="G326" s="3"/>
      <c r="H326" s="12"/>
      <c r="K326" s="12"/>
      <c r="M326" s="12"/>
      <c r="R326" s="218"/>
      <c r="S326" s="218"/>
      <c r="T326" s="218"/>
      <c r="U326" s="218"/>
    </row>
    <row r="327">
      <c r="C327" s="12"/>
      <c r="D327" s="3"/>
      <c r="E327" s="112"/>
      <c r="F327" s="3"/>
      <c r="G327" s="3"/>
      <c r="H327" s="12"/>
      <c r="K327" s="12"/>
      <c r="M327" s="12"/>
      <c r="R327" s="218"/>
      <c r="S327" s="218"/>
      <c r="T327" s="218"/>
      <c r="U327" s="218"/>
    </row>
    <row r="328">
      <c r="C328" s="12"/>
      <c r="D328" s="3"/>
      <c r="E328" s="112"/>
      <c r="F328" s="3"/>
      <c r="G328" s="3"/>
      <c r="H328" s="12"/>
      <c r="K328" s="12"/>
      <c r="M328" s="12"/>
      <c r="R328" s="218"/>
      <c r="S328" s="218"/>
      <c r="T328" s="218"/>
      <c r="U328" s="218"/>
    </row>
    <row r="329">
      <c r="C329" s="12"/>
      <c r="D329" s="3"/>
      <c r="E329" s="112"/>
      <c r="F329" s="3"/>
      <c r="G329" s="3"/>
      <c r="H329" s="12"/>
      <c r="K329" s="12"/>
      <c r="M329" s="12"/>
      <c r="R329" s="218"/>
      <c r="S329" s="218"/>
      <c r="T329" s="218"/>
      <c r="U329" s="218"/>
    </row>
    <row r="330">
      <c r="C330" s="12"/>
      <c r="D330" s="3"/>
      <c r="E330" s="112"/>
      <c r="F330" s="3"/>
      <c r="G330" s="3"/>
      <c r="H330" s="12"/>
      <c r="K330" s="12"/>
      <c r="M330" s="12"/>
      <c r="R330" s="218"/>
      <c r="S330" s="218"/>
      <c r="T330" s="218"/>
      <c r="U330" s="218"/>
    </row>
    <row r="331">
      <c r="C331" s="12"/>
      <c r="D331" s="3"/>
      <c r="E331" s="112"/>
      <c r="F331" s="3"/>
      <c r="G331" s="3"/>
      <c r="H331" s="12"/>
      <c r="K331" s="12"/>
      <c r="M331" s="12"/>
      <c r="R331" s="218"/>
      <c r="S331" s="218"/>
      <c r="T331" s="218"/>
      <c r="U331" s="218"/>
    </row>
    <row r="332">
      <c r="C332" s="12"/>
      <c r="D332" s="3"/>
      <c r="E332" s="112"/>
      <c r="F332" s="3"/>
      <c r="G332" s="3"/>
      <c r="H332" s="12"/>
      <c r="K332" s="12"/>
      <c r="M332" s="12"/>
      <c r="R332" s="218"/>
      <c r="S332" s="218"/>
      <c r="T332" s="218"/>
      <c r="U332" s="218"/>
    </row>
    <row r="333">
      <c r="C333" s="12"/>
      <c r="D333" s="3"/>
      <c r="E333" s="112"/>
      <c r="F333" s="3"/>
      <c r="G333" s="3"/>
      <c r="H333" s="12"/>
      <c r="K333" s="12"/>
      <c r="M333" s="12"/>
      <c r="R333" s="218"/>
      <c r="S333" s="218"/>
      <c r="T333" s="218"/>
      <c r="U333" s="218"/>
    </row>
    <row r="334">
      <c r="C334" s="12"/>
      <c r="D334" s="3"/>
      <c r="E334" s="112"/>
      <c r="F334" s="3"/>
      <c r="G334" s="3"/>
      <c r="H334" s="12"/>
      <c r="K334" s="12"/>
      <c r="M334" s="12"/>
      <c r="R334" s="218"/>
      <c r="S334" s="218"/>
      <c r="T334" s="218"/>
      <c r="U334" s="218"/>
    </row>
    <row r="335">
      <c r="C335" s="12"/>
      <c r="D335" s="3"/>
      <c r="E335" s="112"/>
      <c r="F335" s="3"/>
      <c r="G335" s="3"/>
      <c r="H335" s="12"/>
      <c r="K335" s="12"/>
      <c r="M335" s="12"/>
      <c r="R335" s="218"/>
      <c r="S335" s="218"/>
      <c r="T335" s="218"/>
      <c r="U335" s="218"/>
    </row>
    <row r="336">
      <c r="C336" s="12"/>
      <c r="D336" s="3"/>
      <c r="E336" s="112"/>
      <c r="F336" s="3"/>
      <c r="G336" s="3"/>
      <c r="H336" s="12"/>
      <c r="K336" s="12"/>
      <c r="M336" s="12"/>
      <c r="R336" s="218"/>
      <c r="S336" s="218"/>
      <c r="T336" s="218"/>
      <c r="U336" s="218"/>
    </row>
    <row r="337">
      <c r="C337" s="12"/>
      <c r="D337" s="3"/>
      <c r="E337" s="112"/>
      <c r="F337" s="3"/>
      <c r="G337" s="3"/>
      <c r="H337" s="12"/>
      <c r="K337" s="12"/>
      <c r="M337" s="12"/>
      <c r="R337" s="218"/>
      <c r="S337" s="218"/>
      <c r="T337" s="218"/>
      <c r="U337" s="218"/>
    </row>
    <row r="338">
      <c r="C338" s="12"/>
      <c r="D338" s="3"/>
      <c r="E338" s="112"/>
      <c r="F338" s="3"/>
      <c r="G338" s="3"/>
      <c r="H338" s="12"/>
      <c r="K338" s="12"/>
      <c r="M338" s="12"/>
      <c r="R338" s="218"/>
      <c r="S338" s="218"/>
      <c r="T338" s="218"/>
      <c r="U338" s="218"/>
    </row>
    <row r="339">
      <c r="C339" s="12"/>
      <c r="D339" s="3"/>
      <c r="E339" s="112"/>
      <c r="F339" s="3"/>
      <c r="G339" s="3"/>
      <c r="H339" s="12"/>
      <c r="K339" s="12"/>
      <c r="M339" s="12"/>
      <c r="R339" s="218"/>
      <c r="S339" s="218"/>
      <c r="T339" s="218"/>
      <c r="U339" s="218"/>
    </row>
    <row r="340">
      <c r="C340" s="12"/>
      <c r="D340" s="3"/>
      <c r="E340" s="112"/>
      <c r="F340" s="3"/>
      <c r="G340" s="3"/>
      <c r="H340" s="12"/>
      <c r="K340" s="12"/>
      <c r="M340" s="12"/>
      <c r="R340" s="218"/>
      <c r="S340" s="218"/>
      <c r="T340" s="218"/>
      <c r="U340" s="218"/>
    </row>
    <row r="341">
      <c r="C341" s="12"/>
      <c r="D341" s="3"/>
      <c r="E341" s="112"/>
      <c r="F341" s="3"/>
      <c r="G341" s="3"/>
      <c r="H341" s="12"/>
      <c r="K341" s="12"/>
      <c r="M341" s="12"/>
      <c r="R341" s="218"/>
      <c r="S341" s="218"/>
      <c r="T341" s="218"/>
      <c r="U341" s="218"/>
    </row>
    <row r="342">
      <c r="C342" s="12"/>
      <c r="D342" s="3"/>
      <c r="E342" s="112"/>
      <c r="F342" s="3"/>
      <c r="G342" s="3"/>
      <c r="H342" s="12"/>
      <c r="K342" s="12"/>
      <c r="M342" s="12"/>
      <c r="R342" s="218"/>
      <c r="S342" s="218"/>
      <c r="T342" s="218"/>
      <c r="U342" s="218"/>
    </row>
    <row r="343">
      <c r="C343" s="12"/>
      <c r="D343" s="3"/>
      <c r="E343" s="112"/>
      <c r="F343" s="3"/>
      <c r="G343" s="3"/>
      <c r="H343" s="12"/>
      <c r="K343" s="12"/>
      <c r="M343" s="12"/>
      <c r="R343" s="218"/>
      <c r="S343" s="218"/>
      <c r="T343" s="218"/>
      <c r="U343" s="218"/>
    </row>
    <row r="344">
      <c r="C344" s="12"/>
      <c r="D344" s="3"/>
      <c r="E344" s="112"/>
      <c r="F344" s="3"/>
      <c r="G344" s="3"/>
      <c r="H344" s="12"/>
      <c r="K344" s="12"/>
      <c r="M344" s="12"/>
      <c r="R344" s="218"/>
      <c r="S344" s="218"/>
      <c r="T344" s="218"/>
      <c r="U344" s="218"/>
    </row>
    <row r="345">
      <c r="C345" s="12"/>
      <c r="D345" s="3"/>
      <c r="E345" s="112"/>
      <c r="F345" s="3"/>
      <c r="G345" s="3"/>
      <c r="H345" s="12"/>
      <c r="K345" s="12"/>
      <c r="M345" s="12"/>
      <c r="R345" s="218"/>
      <c r="S345" s="218"/>
      <c r="T345" s="218"/>
      <c r="U345" s="218"/>
    </row>
    <row r="346">
      <c r="C346" s="12"/>
      <c r="D346" s="3"/>
      <c r="E346" s="112"/>
      <c r="F346" s="3"/>
      <c r="G346" s="3"/>
      <c r="H346" s="12"/>
      <c r="K346" s="12"/>
      <c r="M346" s="12"/>
      <c r="R346" s="218"/>
      <c r="S346" s="218"/>
      <c r="T346" s="218"/>
      <c r="U346" s="218"/>
    </row>
    <row r="347">
      <c r="C347" s="12"/>
      <c r="D347" s="3"/>
      <c r="E347" s="112"/>
      <c r="F347" s="3"/>
      <c r="G347" s="3"/>
      <c r="H347" s="12"/>
      <c r="K347" s="12"/>
      <c r="M347" s="12"/>
      <c r="R347" s="218"/>
      <c r="S347" s="218"/>
      <c r="T347" s="218"/>
      <c r="U347" s="218"/>
    </row>
    <row r="348">
      <c r="C348" s="12"/>
      <c r="D348" s="3"/>
      <c r="E348" s="112"/>
      <c r="F348" s="3"/>
      <c r="G348" s="3"/>
      <c r="H348" s="12"/>
      <c r="K348" s="12"/>
      <c r="M348" s="12"/>
      <c r="R348" s="218"/>
      <c r="S348" s="218"/>
      <c r="T348" s="218"/>
      <c r="U348" s="218"/>
    </row>
    <row r="349">
      <c r="C349" s="12"/>
      <c r="D349" s="3"/>
      <c r="E349" s="112"/>
      <c r="F349" s="3"/>
      <c r="G349" s="3"/>
      <c r="H349" s="12"/>
      <c r="K349" s="12"/>
      <c r="M349" s="12"/>
      <c r="R349" s="218"/>
      <c r="S349" s="218"/>
      <c r="T349" s="218"/>
      <c r="U349" s="218"/>
    </row>
    <row r="350">
      <c r="C350" s="12"/>
      <c r="D350" s="3"/>
      <c r="E350" s="112"/>
      <c r="F350" s="3"/>
      <c r="G350" s="3"/>
      <c r="H350" s="12"/>
      <c r="K350" s="12"/>
      <c r="M350" s="12"/>
      <c r="R350" s="218"/>
      <c r="S350" s="218"/>
      <c r="T350" s="218"/>
      <c r="U350" s="218"/>
    </row>
    <row r="351">
      <c r="C351" s="12"/>
      <c r="D351" s="3"/>
      <c r="E351" s="112"/>
      <c r="F351" s="3"/>
      <c r="G351" s="3"/>
      <c r="H351" s="12"/>
      <c r="K351" s="12"/>
      <c r="M351" s="12"/>
      <c r="R351" s="218"/>
      <c r="S351" s="218"/>
      <c r="T351" s="218"/>
      <c r="U351" s="218"/>
    </row>
    <row r="352">
      <c r="C352" s="12"/>
      <c r="D352" s="3"/>
      <c r="E352" s="112"/>
      <c r="F352" s="3"/>
      <c r="G352" s="3"/>
      <c r="H352" s="12"/>
      <c r="K352" s="12"/>
      <c r="M352" s="12"/>
      <c r="R352" s="218"/>
      <c r="S352" s="218"/>
      <c r="T352" s="218"/>
      <c r="U352" s="218"/>
    </row>
    <row r="353">
      <c r="C353" s="12"/>
      <c r="D353" s="3"/>
      <c r="E353" s="112"/>
      <c r="F353" s="3"/>
      <c r="G353" s="3"/>
      <c r="H353" s="12"/>
      <c r="K353" s="12"/>
      <c r="M353" s="12"/>
      <c r="R353" s="218"/>
      <c r="S353" s="218"/>
      <c r="T353" s="218"/>
      <c r="U353" s="218"/>
    </row>
    <row r="354">
      <c r="C354" s="12"/>
      <c r="D354" s="3"/>
      <c r="E354" s="112"/>
      <c r="F354" s="3"/>
      <c r="G354" s="3"/>
      <c r="H354" s="12"/>
      <c r="K354" s="12"/>
      <c r="M354" s="12"/>
      <c r="R354" s="218"/>
      <c r="S354" s="218"/>
      <c r="T354" s="218"/>
      <c r="U354" s="218"/>
    </row>
    <row r="355">
      <c r="C355" s="12"/>
      <c r="D355" s="3"/>
      <c r="E355" s="112"/>
      <c r="F355" s="3"/>
      <c r="G355" s="3"/>
      <c r="H355" s="12"/>
      <c r="K355" s="12"/>
      <c r="M355" s="12"/>
      <c r="R355" s="218"/>
      <c r="S355" s="218"/>
      <c r="T355" s="218"/>
      <c r="U355" s="218"/>
    </row>
    <row r="356">
      <c r="C356" s="12"/>
      <c r="D356" s="3"/>
      <c r="E356" s="112"/>
      <c r="F356" s="3"/>
      <c r="G356" s="3"/>
      <c r="H356" s="12"/>
      <c r="K356" s="12"/>
      <c r="M356" s="12"/>
      <c r="R356" s="218"/>
      <c r="S356" s="218"/>
      <c r="T356" s="218"/>
      <c r="U356" s="218"/>
    </row>
    <row r="357">
      <c r="C357" s="12"/>
      <c r="D357" s="3"/>
      <c r="E357" s="112"/>
      <c r="F357" s="3"/>
      <c r="G357" s="3"/>
      <c r="H357" s="12"/>
      <c r="K357" s="12"/>
      <c r="M357" s="12"/>
      <c r="R357" s="218"/>
      <c r="S357" s="218"/>
      <c r="T357" s="218"/>
      <c r="U357" s="218"/>
    </row>
    <row r="358">
      <c r="C358" s="12"/>
      <c r="D358" s="3"/>
      <c r="E358" s="112"/>
      <c r="F358" s="3"/>
      <c r="G358" s="3"/>
      <c r="H358" s="12"/>
      <c r="K358" s="12"/>
      <c r="M358" s="12"/>
      <c r="R358" s="218"/>
      <c r="S358" s="218"/>
      <c r="T358" s="218"/>
      <c r="U358" s="218"/>
    </row>
    <row r="359">
      <c r="C359" s="12"/>
      <c r="D359" s="3"/>
      <c r="E359" s="112"/>
      <c r="F359" s="3"/>
      <c r="G359" s="3"/>
      <c r="H359" s="12"/>
      <c r="K359" s="12"/>
      <c r="M359" s="12"/>
      <c r="R359" s="218"/>
      <c r="S359" s="218"/>
      <c r="T359" s="218"/>
      <c r="U359" s="218"/>
    </row>
    <row r="360">
      <c r="C360" s="12"/>
      <c r="D360" s="3"/>
      <c r="E360" s="112"/>
      <c r="F360" s="3"/>
      <c r="G360" s="3"/>
      <c r="H360" s="12"/>
      <c r="K360" s="12"/>
      <c r="M360" s="12"/>
      <c r="R360" s="218"/>
      <c r="S360" s="218"/>
      <c r="T360" s="218"/>
      <c r="U360" s="218"/>
    </row>
    <row r="361">
      <c r="C361" s="12"/>
      <c r="D361" s="3"/>
      <c r="E361" s="112"/>
      <c r="F361" s="3"/>
      <c r="G361" s="3"/>
      <c r="H361" s="12"/>
      <c r="K361" s="12"/>
      <c r="M361" s="12"/>
      <c r="R361" s="218"/>
      <c r="S361" s="218"/>
      <c r="T361" s="218"/>
      <c r="U361" s="218"/>
    </row>
    <row r="362">
      <c r="C362" s="12"/>
      <c r="D362" s="3"/>
      <c r="E362" s="112"/>
      <c r="F362" s="3"/>
      <c r="G362" s="3"/>
      <c r="H362" s="12"/>
      <c r="K362" s="12"/>
      <c r="M362" s="12"/>
      <c r="R362" s="218"/>
      <c r="S362" s="218"/>
      <c r="T362" s="218"/>
      <c r="U362" s="218"/>
    </row>
    <row r="363">
      <c r="C363" s="12"/>
      <c r="D363" s="3"/>
      <c r="E363" s="112"/>
      <c r="F363" s="3"/>
      <c r="G363" s="3"/>
      <c r="H363" s="12"/>
      <c r="K363" s="12"/>
      <c r="M363" s="12"/>
      <c r="R363" s="218"/>
      <c r="S363" s="218"/>
      <c r="T363" s="218"/>
      <c r="U363" s="218"/>
    </row>
    <row r="364">
      <c r="C364" s="12"/>
      <c r="D364" s="3"/>
      <c r="E364" s="112"/>
      <c r="F364" s="3"/>
      <c r="G364" s="3"/>
      <c r="H364" s="12"/>
      <c r="K364" s="12"/>
      <c r="M364" s="12"/>
      <c r="R364" s="218"/>
      <c r="S364" s="218"/>
      <c r="T364" s="218"/>
      <c r="U364" s="218"/>
    </row>
    <row r="365">
      <c r="C365" s="12"/>
      <c r="D365" s="3"/>
      <c r="E365" s="112"/>
      <c r="F365" s="3"/>
      <c r="G365" s="3"/>
      <c r="H365" s="12"/>
      <c r="K365" s="12"/>
      <c r="M365" s="12"/>
      <c r="R365" s="218"/>
      <c r="S365" s="218"/>
      <c r="T365" s="218"/>
      <c r="U365" s="218"/>
    </row>
    <row r="366">
      <c r="C366" s="12"/>
      <c r="D366" s="3"/>
      <c r="E366" s="112"/>
      <c r="F366" s="3"/>
      <c r="G366" s="3"/>
      <c r="H366" s="12"/>
      <c r="K366" s="12"/>
      <c r="M366" s="12"/>
      <c r="R366" s="218"/>
      <c r="S366" s="218"/>
      <c r="T366" s="218"/>
      <c r="U366" s="218"/>
    </row>
    <row r="367">
      <c r="C367" s="12"/>
      <c r="D367" s="3"/>
      <c r="E367" s="112"/>
      <c r="F367" s="3"/>
      <c r="G367" s="3"/>
      <c r="H367" s="12"/>
      <c r="K367" s="12"/>
      <c r="M367" s="12"/>
      <c r="R367" s="218"/>
      <c r="S367" s="218"/>
      <c r="T367" s="218"/>
      <c r="U367" s="218"/>
    </row>
    <row r="368">
      <c r="C368" s="12"/>
      <c r="D368" s="3"/>
      <c r="E368" s="112"/>
      <c r="F368" s="3"/>
      <c r="G368" s="3"/>
      <c r="H368" s="12"/>
      <c r="K368" s="12"/>
      <c r="M368" s="12"/>
      <c r="R368" s="218"/>
      <c r="S368" s="218"/>
      <c r="T368" s="218"/>
      <c r="U368" s="218"/>
    </row>
    <row r="369">
      <c r="C369" s="12"/>
      <c r="D369" s="3"/>
      <c r="E369" s="112"/>
      <c r="F369" s="3"/>
      <c r="G369" s="3"/>
      <c r="H369" s="12"/>
      <c r="K369" s="12"/>
      <c r="M369" s="12"/>
      <c r="R369" s="218"/>
      <c r="S369" s="218"/>
      <c r="T369" s="218"/>
      <c r="U369" s="218"/>
    </row>
    <row r="370">
      <c r="C370" s="12"/>
      <c r="D370" s="3"/>
      <c r="E370" s="112"/>
      <c r="F370" s="3"/>
      <c r="G370" s="3"/>
      <c r="H370" s="12"/>
      <c r="K370" s="12"/>
      <c r="M370" s="12"/>
      <c r="R370" s="218"/>
      <c r="S370" s="218"/>
      <c r="T370" s="218"/>
      <c r="U370" s="218"/>
    </row>
    <row r="371">
      <c r="C371" s="12"/>
      <c r="D371" s="3"/>
      <c r="E371" s="112"/>
      <c r="F371" s="3"/>
      <c r="G371" s="3"/>
      <c r="H371" s="12"/>
      <c r="K371" s="12"/>
      <c r="M371" s="12"/>
      <c r="R371" s="218"/>
      <c r="S371" s="218"/>
      <c r="T371" s="218"/>
      <c r="U371" s="218"/>
    </row>
    <row r="372">
      <c r="C372" s="12"/>
      <c r="D372" s="3"/>
      <c r="E372" s="112"/>
      <c r="F372" s="3"/>
      <c r="G372" s="3"/>
      <c r="H372" s="12"/>
      <c r="K372" s="12"/>
      <c r="M372" s="12"/>
      <c r="R372" s="218"/>
      <c r="S372" s="218"/>
      <c r="T372" s="218"/>
      <c r="U372" s="218"/>
    </row>
    <row r="373">
      <c r="C373" s="12"/>
      <c r="D373" s="3"/>
      <c r="E373" s="112"/>
      <c r="F373" s="3"/>
      <c r="G373" s="3"/>
      <c r="H373" s="12"/>
      <c r="K373" s="12"/>
      <c r="M373" s="12"/>
      <c r="R373" s="218"/>
      <c r="S373" s="218"/>
      <c r="T373" s="218"/>
      <c r="U373" s="218"/>
    </row>
    <row r="374">
      <c r="C374" s="12"/>
      <c r="D374" s="3"/>
      <c r="E374" s="112"/>
      <c r="F374" s="3"/>
      <c r="G374" s="3"/>
      <c r="H374" s="12"/>
      <c r="K374" s="12"/>
      <c r="M374" s="12"/>
      <c r="R374" s="218"/>
      <c r="S374" s="218"/>
      <c r="T374" s="218"/>
      <c r="U374" s="218"/>
    </row>
    <row r="375">
      <c r="C375" s="12"/>
      <c r="D375" s="3"/>
      <c r="E375" s="112"/>
      <c r="F375" s="3"/>
      <c r="G375" s="3"/>
      <c r="H375" s="12"/>
      <c r="K375" s="12"/>
      <c r="M375" s="12"/>
      <c r="R375" s="218"/>
      <c r="S375" s="218"/>
      <c r="T375" s="218"/>
      <c r="U375" s="218"/>
    </row>
    <row r="376">
      <c r="C376" s="12"/>
      <c r="D376" s="3"/>
      <c r="E376" s="112"/>
      <c r="F376" s="3"/>
      <c r="G376" s="3"/>
      <c r="H376" s="12"/>
      <c r="K376" s="12"/>
      <c r="M376" s="12"/>
      <c r="R376" s="218"/>
      <c r="S376" s="218"/>
      <c r="T376" s="218"/>
      <c r="U376" s="218"/>
    </row>
    <row r="377">
      <c r="C377" s="12"/>
      <c r="D377" s="3"/>
      <c r="E377" s="112"/>
      <c r="F377" s="3"/>
      <c r="G377" s="3"/>
      <c r="H377" s="12"/>
      <c r="K377" s="12"/>
      <c r="M377" s="12"/>
      <c r="R377" s="218"/>
      <c r="S377" s="218"/>
      <c r="T377" s="218"/>
      <c r="U377" s="218"/>
    </row>
    <row r="378">
      <c r="C378" s="12"/>
      <c r="D378" s="3"/>
      <c r="E378" s="112"/>
      <c r="F378" s="3"/>
      <c r="G378" s="3"/>
      <c r="H378" s="12"/>
      <c r="K378" s="12"/>
      <c r="M378" s="12"/>
      <c r="R378" s="218"/>
      <c r="S378" s="218"/>
      <c r="T378" s="218"/>
      <c r="U378" s="218"/>
    </row>
    <row r="379">
      <c r="C379" s="12"/>
      <c r="D379" s="3"/>
      <c r="E379" s="112"/>
      <c r="F379" s="3"/>
      <c r="G379" s="3"/>
      <c r="H379" s="12"/>
      <c r="K379" s="12"/>
      <c r="M379" s="12"/>
      <c r="R379" s="218"/>
      <c r="S379" s="218"/>
      <c r="T379" s="218"/>
      <c r="U379" s="218"/>
    </row>
    <row r="380">
      <c r="C380" s="12"/>
      <c r="D380" s="3"/>
      <c r="E380" s="112"/>
      <c r="F380" s="3"/>
      <c r="G380" s="3"/>
      <c r="H380" s="12"/>
      <c r="K380" s="12"/>
      <c r="M380" s="12"/>
      <c r="R380" s="218"/>
      <c r="S380" s="218"/>
      <c r="T380" s="218"/>
      <c r="U380" s="218"/>
    </row>
    <row r="381">
      <c r="C381" s="12"/>
      <c r="D381" s="3"/>
      <c r="E381" s="112"/>
      <c r="F381" s="3"/>
      <c r="G381" s="3"/>
      <c r="H381" s="12"/>
      <c r="K381" s="12"/>
      <c r="M381" s="12"/>
      <c r="R381" s="218"/>
      <c r="S381" s="218"/>
      <c r="T381" s="218"/>
      <c r="U381" s="218"/>
    </row>
    <row r="382">
      <c r="C382" s="12"/>
      <c r="D382" s="3"/>
      <c r="E382" s="112"/>
      <c r="F382" s="3"/>
      <c r="G382" s="3"/>
      <c r="H382" s="12"/>
      <c r="K382" s="12"/>
      <c r="M382" s="12"/>
      <c r="R382" s="218"/>
      <c r="S382" s="218"/>
      <c r="T382" s="218"/>
      <c r="U382" s="218"/>
    </row>
    <row r="383">
      <c r="C383" s="12"/>
      <c r="D383" s="3"/>
      <c r="E383" s="112"/>
      <c r="F383" s="3"/>
      <c r="G383" s="3"/>
      <c r="H383" s="12"/>
      <c r="K383" s="12"/>
      <c r="M383" s="12"/>
      <c r="R383" s="218"/>
      <c r="S383" s="218"/>
      <c r="T383" s="218"/>
      <c r="U383" s="218"/>
    </row>
    <row r="384">
      <c r="C384" s="12"/>
      <c r="D384" s="3"/>
      <c r="E384" s="112"/>
      <c r="F384" s="3"/>
      <c r="G384" s="3"/>
      <c r="H384" s="12"/>
      <c r="K384" s="12"/>
      <c r="M384" s="12"/>
      <c r="R384" s="218"/>
      <c r="S384" s="218"/>
      <c r="T384" s="218"/>
      <c r="U384" s="218"/>
    </row>
    <row r="385">
      <c r="C385" s="12"/>
      <c r="D385" s="3"/>
      <c r="E385" s="112"/>
      <c r="F385" s="3"/>
      <c r="G385" s="3"/>
      <c r="H385" s="12"/>
      <c r="K385" s="12"/>
      <c r="M385" s="12"/>
      <c r="R385" s="218"/>
      <c r="S385" s="218"/>
      <c r="T385" s="218"/>
      <c r="U385" s="218"/>
    </row>
    <row r="386">
      <c r="C386" s="12"/>
      <c r="D386" s="3"/>
      <c r="E386" s="112"/>
      <c r="F386" s="3"/>
      <c r="G386" s="3"/>
      <c r="H386" s="12"/>
      <c r="K386" s="12"/>
      <c r="M386" s="12"/>
      <c r="R386" s="218"/>
      <c r="S386" s="218"/>
      <c r="T386" s="218"/>
      <c r="U386" s="218"/>
    </row>
    <row r="387">
      <c r="C387" s="12"/>
      <c r="D387" s="3"/>
      <c r="E387" s="112"/>
      <c r="F387" s="3"/>
      <c r="G387" s="3"/>
      <c r="H387" s="12"/>
      <c r="K387" s="12"/>
      <c r="M387" s="12"/>
      <c r="R387" s="218"/>
      <c r="S387" s="218"/>
      <c r="T387" s="218"/>
      <c r="U387" s="218"/>
    </row>
    <row r="388">
      <c r="C388" s="12"/>
      <c r="D388" s="3"/>
      <c r="E388" s="112"/>
      <c r="F388" s="3"/>
      <c r="G388" s="3"/>
      <c r="H388" s="12"/>
      <c r="K388" s="12"/>
      <c r="M388" s="12"/>
      <c r="R388" s="218"/>
      <c r="S388" s="218"/>
      <c r="T388" s="218"/>
      <c r="U388" s="218"/>
    </row>
    <row r="389">
      <c r="C389" s="12"/>
      <c r="D389" s="3"/>
      <c r="E389" s="112"/>
      <c r="F389" s="3"/>
      <c r="G389" s="3"/>
      <c r="H389" s="12"/>
      <c r="K389" s="12"/>
      <c r="M389" s="12"/>
      <c r="R389" s="218"/>
      <c r="S389" s="218"/>
      <c r="T389" s="218"/>
      <c r="U389" s="218"/>
    </row>
    <row r="390">
      <c r="C390" s="12"/>
      <c r="D390" s="3"/>
      <c r="E390" s="112"/>
      <c r="F390" s="3"/>
      <c r="G390" s="3"/>
      <c r="H390" s="12"/>
      <c r="K390" s="12"/>
      <c r="M390" s="12"/>
      <c r="R390" s="218"/>
      <c r="S390" s="218"/>
      <c r="T390" s="218"/>
      <c r="U390" s="218"/>
    </row>
    <row r="391">
      <c r="C391" s="12"/>
      <c r="D391" s="3"/>
      <c r="E391" s="112"/>
      <c r="F391" s="3"/>
      <c r="G391" s="3"/>
      <c r="H391" s="12"/>
      <c r="K391" s="12"/>
      <c r="M391" s="12"/>
      <c r="R391" s="218"/>
      <c r="S391" s="218"/>
      <c r="T391" s="218"/>
      <c r="U391" s="218"/>
    </row>
    <row r="392">
      <c r="C392" s="12"/>
      <c r="D392" s="3"/>
      <c r="E392" s="112"/>
      <c r="F392" s="3"/>
      <c r="G392" s="3"/>
      <c r="H392" s="12"/>
      <c r="K392" s="12"/>
      <c r="M392" s="12"/>
      <c r="R392" s="218"/>
      <c r="S392" s="218"/>
      <c r="T392" s="218"/>
      <c r="U392" s="218"/>
    </row>
    <row r="393">
      <c r="C393" s="12"/>
      <c r="D393" s="3"/>
      <c r="E393" s="112"/>
      <c r="F393" s="3"/>
      <c r="G393" s="3"/>
      <c r="H393" s="12"/>
      <c r="K393" s="12"/>
      <c r="M393" s="12"/>
      <c r="R393" s="218"/>
      <c r="S393" s="218"/>
      <c r="T393" s="218"/>
      <c r="U393" s="218"/>
    </row>
    <row r="394">
      <c r="C394" s="12"/>
      <c r="D394" s="3"/>
      <c r="E394" s="112"/>
      <c r="F394" s="3"/>
      <c r="G394" s="3"/>
      <c r="H394" s="12"/>
      <c r="K394" s="12"/>
      <c r="M394" s="12"/>
      <c r="R394" s="218"/>
      <c r="S394" s="218"/>
      <c r="T394" s="218"/>
      <c r="U394" s="218"/>
    </row>
    <row r="395">
      <c r="C395" s="12"/>
      <c r="D395" s="3"/>
      <c r="E395" s="112"/>
      <c r="F395" s="3"/>
      <c r="G395" s="3"/>
      <c r="H395" s="12"/>
      <c r="K395" s="12"/>
      <c r="M395" s="12"/>
      <c r="R395" s="218"/>
      <c r="S395" s="218"/>
      <c r="T395" s="218"/>
      <c r="U395" s="218"/>
    </row>
    <row r="396">
      <c r="C396" s="12"/>
      <c r="D396" s="3"/>
      <c r="E396" s="112"/>
      <c r="F396" s="3"/>
      <c r="G396" s="3"/>
      <c r="H396" s="12"/>
      <c r="K396" s="12"/>
      <c r="M396" s="12"/>
      <c r="R396" s="218"/>
      <c r="S396" s="218"/>
      <c r="T396" s="218"/>
      <c r="U396" s="218"/>
    </row>
    <row r="397">
      <c r="C397" s="12"/>
      <c r="D397" s="3"/>
      <c r="E397" s="112"/>
      <c r="F397" s="3"/>
      <c r="G397" s="3"/>
      <c r="H397" s="12"/>
      <c r="K397" s="12"/>
      <c r="M397" s="12"/>
      <c r="R397" s="218"/>
      <c r="S397" s="218"/>
      <c r="T397" s="218"/>
      <c r="U397" s="218"/>
    </row>
    <row r="398">
      <c r="C398" s="12"/>
      <c r="D398" s="3"/>
      <c r="E398" s="112"/>
      <c r="F398" s="3"/>
      <c r="G398" s="3"/>
      <c r="H398" s="12"/>
      <c r="K398" s="12"/>
      <c r="M398" s="12"/>
      <c r="R398" s="218"/>
      <c r="S398" s="218"/>
      <c r="T398" s="218"/>
      <c r="U398" s="218"/>
    </row>
    <row r="399">
      <c r="C399" s="12"/>
      <c r="D399" s="3"/>
      <c r="E399" s="112"/>
      <c r="F399" s="3"/>
      <c r="G399" s="3"/>
      <c r="H399" s="12"/>
      <c r="K399" s="12"/>
      <c r="M399" s="12"/>
      <c r="R399" s="218"/>
      <c r="S399" s="218"/>
      <c r="T399" s="218"/>
      <c r="U399" s="218"/>
    </row>
    <row r="400">
      <c r="C400" s="12"/>
      <c r="D400" s="3"/>
      <c r="E400" s="112"/>
      <c r="F400" s="3"/>
      <c r="G400" s="3"/>
      <c r="H400" s="12"/>
      <c r="K400" s="12"/>
      <c r="M400" s="12"/>
      <c r="R400" s="218"/>
      <c r="S400" s="218"/>
      <c r="T400" s="218"/>
      <c r="U400" s="218"/>
    </row>
    <row r="401">
      <c r="C401" s="12"/>
      <c r="D401" s="3"/>
      <c r="E401" s="112"/>
      <c r="F401" s="3"/>
      <c r="G401" s="3"/>
      <c r="H401" s="12"/>
      <c r="K401" s="12"/>
      <c r="M401" s="12"/>
      <c r="R401" s="218"/>
      <c r="S401" s="218"/>
      <c r="T401" s="218"/>
      <c r="U401" s="218"/>
    </row>
    <row r="402">
      <c r="C402" s="12"/>
      <c r="D402" s="3"/>
      <c r="E402" s="112"/>
      <c r="F402" s="3"/>
      <c r="G402" s="3"/>
      <c r="H402" s="12"/>
      <c r="K402" s="12"/>
      <c r="M402" s="12"/>
      <c r="R402" s="218"/>
      <c r="S402" s="218"/>
      <c r="T402" s="218"/>
      <c r="U402" s="218"/>
    </row>
    <row r="403">
      <c r="C403" s="12"/>
      <c r="D403" s="3"/>
      <c r="E403" s="112"/>
      <c r="F403" s="3"/>
      <c r="G403" s="3"/>
      <c r="H403" s="12"/>
      <c r="K403" s="12"/>
      <c r="M403" s="12"/>
      <c r="R403" s="218"/>
      <c r="S403" s="218"/>
      <c r="T403" s="218"/>
      <c r="U403" s="218"/>
    </row>
    <row r="404">
      <c r="C404" s="12"/>
      <c r="D404" s="3"/>
      <c r="E404" s="112"/>
      <c r="F404" s="3"/>
      <c r="G404" s="3"/>
      <c r="H404" s="12"/>
      <c r="K404" s="12"/>
      <c r="M404" s="12"/>
      <c r="R404" s="218"/>
      <c r="S404" s="218"/>
      <c r="T404" s="218"/>
      <c r="U404" s="218"/>
    </row>
    <row r="405">
      <c r="C405" s="12"/>
      <c r="D405" s="3"/>
      <c r="E405" s="112"/>
      <c r="F405" s="3"/>
      <c r="G405" s="3"/>
      <c r="H405" s="12"/>
      <c r="K405" s="12"/>
      <c r="M405" s="12"/>
      <c r="R405" s="218"/>
      <c r="S405" s="218"/>
      <c r="T405" s="218"/>
      <c r="U405" s="218"/>
    </row>
    <row r="406">
      <c r="C406" s="12"/>
      <c r="D406" s="3"/>
      <c r="E406" s="112"/>
      <c r="F406" s="3"/>
      <c r="G406" s="3"/>
      <c r="H406" s="12"/>
      <c r="K406" s="12"/>
      <c r="M406" s="12"/>
      <c r="R406" s="218"/>
      <c r="S406" s="218"/>
      <c r="T406" s="218"/>
      <c r="U406" s="218"/>
    </row>
    <row r="407">
      <c r="C407" s="12"/>
      <c r="D407" s="3"/>
      <c r="E407" s="112"/>
      <c r="F407" s="3"/>
      <c r="G407" s="3"/>
      <c r="H407" s="12"/>
      <c r="K407" s="12"/>
      <c r="M407" s="12"/>
      <c r="R407" s="218"/>
      <c r="S407" s="218"/>
      <c r="T407" s="218"/>
      <c r="U407" s="218"/>
    </row>
    <row r="408">
      <c r="C408" s="12"/>
      <c r="D408" s="3"/>
      <c r="E408" s="112"/>
      <c r="F408" s="3"/>
      <c r="G408" s="3"/>
      <c r="H408" s="12"/>
      <c r="K408" s="12"/>
      <c r="M408" s="12"/>
      <c r="R408" s="218"/>
      <c r="S408" s="218"/>
      <c r="T408" s="218"/>
      <c r="U408" s="218"/>
    </row>
    <row r="409">
      <c r="C409" s="12"/>
      <c r="D409" s="3"/>
      <c r="E409" s="112"/>
      <c r="F409" s="3"/>
      <c r="G409" s="3"/>
      <c r="H409" s="12"/>
      <c r="K409" s="12"/>
      <c r="M409" s="12"/>
      <c r="R409" s="218"/>
      <c r="S409" s="218"/>
      <c r="T409" s="218"/>
      <c r="U409" s="218"/>
    </row>
    <row r="410">
      <c r="C410" s="12"/>
      <c r="D410" s="3"/>
      <c r="E410" s="112"/>
      <c r="F410" s="3"/>
      <c r="G410" s="3"/>
      <c r="H410" s="12"/>
      <c r="K410" s="12"/>
      <c r="M410" s="12"/>
      <c r="R410" s="218"/>
      <c r="S410" s="218"/>
      <c r="T410" s="218"/>
      <c r="U410" s="218"/>
    </row>
    <row r="411">
      <c r="C411" s="12"/>
      <c r="D411" s="3"/>
      <c r="E411" s="112"/>
      <c r="F411" s="3"/>
      <c r="G411" s="3"/>
      <c r="H411" s="12"/>
      <c r="K411" s="12"/>
      <c r="M411" s="12"/>
      <c r="R411" s="218"/>
      <c r="S411" s="218"/>
      <c r="T411" s="218"/>
      <c r="U411" s="218"/>
    </row>
    <row r="412">
      <c r="C412" s="12"/>
      <c r="D412" s="3"/>
      <c r="E412" s="112"/>
      <c r="F412" s="3"/>
      <c r="G412" s="3"/>
      <c r="H412" s="12"/>
      <c r="K412" s="12"/>
      <c r="M412" s="12"/>
      <c r="R412" s="218"/>
      <c r="S412" s="218"/>
      <c r="T412" s="218"/>
      <c r="U412" s="218"/>
    </row>
    <row r="413">
      <c r="C413" s="12"/>
      <c r="D413" s="3"/>
      <c r="E413" s="112"/>
      <c r="F413" s="3"/>
      <c r="G413" s="3"/>
      <c r="H413" s="12"/>
      <c r="K413" s="12"/>
      <c r="M413" s="12"/>
      <c r="R413" s="218"/>
      <c r="S413" s="218"/>
      <c r="T413" s="218"/>
      <c r="U413" s="218"/>
    </row>
    <row r="414">
      <c r="C414" s="12"/>
      <c r="D414" s="3"/>
      <c r="E414" s="112"/>
      <c r="F414" s="3"/>
      <c r="G414" s="3"/>
      <c r="H414" s="12"/>
      <c r="K414" s="12"/>
      <c r="M414" s="12"/>
      <c r="R414" s="218"/>
      <c r="S414" s="218"/>
      <c r="T414" s="218"/>
      <c r="U414" s="218"/>
    </row>
    <row r="415">
      <c r="C415" s="12"/>
      <c r="D415" s="3"/>
      <c r="E415" s="112"/>
      <c r="F415" s="3"/>
      <c r="G415" s="3"/>
      <c r="H415" s="12"/>
      <c r="K415" s="12"/>
      <c r="M415" s="12"/>
      <c r="R415" s="218"/>
      <c r="S415" s="218"/>
      <c r="T415" s="218"/>
      <c r="U415" s="218"/>
    </row>
    <row r="416">
      <c r="C416" s="12"/>
      <c r="D416" s="3"/>
      <c r="E416" s="112"/>
      <c r="F416" s="3"/>
      <c r="G416" s="3"/>
      <c r="H416" s="12"/>
      <c r="K416" s="12"/>
      <c r="M416" s="12"/>
      <c r="R416" s="218"/>
      <c r="S416" s="218"/>
      <c r="T416" s="218"/>
      <c r="U416" s="218"/>
    </row>
    <row r="417">
      <c r="C417" s="12"/>
      <c r="D417" s="3"/>
      <c r="E417" s="112"/>
      <c r="F417" s="3"/>
      <c r="G417" s="3"/>
      <c r="H417" s="12"/>
      <c r="K417" s="12"/>
      <c r="M417" s="12"/>
      <c r="R417" s="218"/>
      <c r="S417" s="218"/>
      <c r="T417" s="218"/>
      <c r="U417" s="218"/>
    </row>
    <row r="418">
      <c r="C418" s="12"/>
      <c r="D418" s="3"/>
      <c r="E418" s="112"/>
      <c r="F418" s="3"/>
      <c r="G418" s="3"/>
      <c r="H418" s="12"/>
      <c r="K418" s="12"/>
      <c r="M418" s="12"/>
      <c r="R418" s="218"/>
      <c r="S418" s="218"/>
      <c r="T418" s="218"/>
      <c r="U418" s="218"/>
    </row>
    <row r="419">
      <c r="C419" s="12"/>
      <c r="D419" s="3"/>
      <c r="E419" s="112"/>
      <c r="F419" s="3"/>
      <c r="G419" s="3"/>
      <c r="H419" s="12"/>
      <c r="K419" s="12"/>
      <c r="M419" s="12"/>
      <c r="R419" s="218"/>
      <c r="S419" s="218"/>
      <c r="T419" s="218"/>
      <c r="U419" s="218"/>
    </row>
    <row r="420">
      <c r="C420" s="12"/>
      <c r="D420" s="3"/>
      <c r="E420" s="112"/>
      <c r="F420" s="3"/>
      <c r="G420" s="3"/>
      <c r="H420" s="12"/>
      <c r="K420" s="12"/>
      <c r="M420" s="12"/>
      <c r="R420" s="218"/>
      <c r="S420" s="218"/>
      <c r="T420" s="218"/>
      <c r="U420" s="218"/>
    </row>
    <row r="421">
      <c r="C421" s="12"/>
      <c r="D421" s="3"/>
      <c r="E421" s="112"/>
      <c r="F421" s="3"/>
      <c r="G421" s="3"/>
      <c r="H421" s="12"/>
      <c r="K421" s="12"/>
      <c r="M421" s="12"/>
      <c r="R421" s="218"/>
      <c r="S421" s="218"/>
      <c r="T421" s="218"/>
      <c r="U421" s="218"/>
    </row>
    <row r="422">
      <c r="C422" s="12"/>
      <c r="D422" s="3"/>
      <c r="E422" s="112"/>
      <c r="F422" s="3"/>
      <c r="G422" s="3"/>
      <c r="H422" s="12"/>
      <c r="K422" s="12"/>
      <c r="M422" s="12"/>
      <c r="R422" s="218"/>
      <c r="S422" s="218"/>
      <c r="T422" s="218"/>
      <c r="U422" s="218"/>
    </row>
    <row r="423">
      <c r="C423" s="12"/>
      <c r="D423" s="3"/>
      <c r="E423" s="112"/>
      <c r="F423" s="3"/>
      <c r="G423" s="3"/>
      <c r="H423" s="12"/>
      <c r="K423" s="12"/>
      <c r="M423" s="12"/>
      <c r="R423" s="218"/>
      <c r="S423" s="218"/>
      <c r="T423" s="218"/>
      <c r="U423" s="218"/>
    </row>
    <row r="424">
      <c r="C424" s="12"/>
      <c r="D424" s="3"/>
      <c r="E424" s="112"/>
      <c r="F424" s="3"/>
      <c r="G424" s="3"/>
      <c r="H424" s="12"/>
      <c r="K424" s="12"/>
      <c r="M424" s="12"/>
      <c r="R424" s="218"/>
      <c r="S424" s="218"/>
      <c r="T424" s="218"/>
      <c r="U424" s="218"/>
    </row>
    <row r="425">
      <c r="C425" s="12"/>
      <c r="D425" s="3"/>
      <c r="E425" s="112"/>
      <c r="F425" s="3"/>
      <c r="G425" s="3"/>
      <c r="H425" s="12"/>
      <c r="K425" s="12"/>
      <c r="M425" s="12"/>
      <c r="R425" s="218"/>
      <c r="S425" s="218"/>
      <c r="T425" s="218"/>
      <c r="U425" s="218"/>
    </row>
    <row r="426">
      <c r="C426" s="12"/>
      <c r="D426" s="3"/>
      <c r="E426" s="112"/>
      <c r="F426" s="3"/>
      <c r="G426" s="3"/>
      <c r="H426" s="12"/>
      <c r="K426" s="12"/>
      <c r="M426" s="12"/>
      <c r="R426" s="218"/>
      <c r="S426" s="218"/>
      <c r="T426" s="218"/>
      <c r="U426" s="218"/>
    </row>
    <row r="427">
      <c r="C427" s="12"/>
      <c r="D427" s="3"/>
      <c r="E427" s="112"/>
      <c r="F427" s="3"/>
      <c r="G427" s="3"/>
      <c r="H427" s="12"/>
      <c r="K427" s="12"/>
      <c r="M427" s="12"/>
      <c r="R427" s="218"/>
      <c r="S427" s="218"/>
      <c r="T427" s="218"/>
      <c r="U427" s="218"/>
    </row>
    <row r="428">
      <c r="C428" s="12"/>
      <c r="D428" s="3"/>
      <c r="E428" s="112"/>
      <c r="F428" s="3"/>
      <c r="G428" s="3"/>
      <c r="H428" s="12"/>
      <c r="K428" s="12"/>
      <c r="M428" s="12"/>
      <c r="R428" s="218"/>
      <c r="S428" s="218"/>
      <c r="T428" s="218"/>
      <c r="U428" s="218"/>
    </row>
    <row r="429">
      <c r="C429" s="12"/>
      <c r="D429" s="3"/>
      <c r="E429" s="112"/>
      <c r="F429" s="3"/>
      <c r="G429" s="3"/>
      <c r="H429" s="12"/>
      <c r="K429" s="12"/>
      <c r="M429" s="12"/>
      <c r="R429" s="218"/>
      <c r="S429" s="218"/>
      <c r="T429" s="218"/>
      <c r="U429" s="218"/>
    </row>
    <row r="430">
      <c r="C430" s="12"/>
      <c r="D430" s="3"/>
      <c r="E430" s="112"/>
      <c r="F430" s="3"/>
      <c r="G430" s="3"/>
      <c r="H430" s="12"/>
      <c r="K430" s="12"/>
      <c r="M430" s="12"/>
      <c r="R430" s="218"/>
      <c r="S430" s="218"/>
      <c r="T430" s="218"/>
      <c r="U430" s="218"/>
    </row>
    <row r="431">
      <c r="C431" s="12"/>
      <c r="D431" s="3"/>
      <c r="E431" s="112"/>
      <c r="F431" s="3"/>
      <c r="G431" s="3"/>
      <c r="H431" s="12"/>
      <c r="K431" s="12"/>
      <c r="M431" s="12"/>
      <c r="R431" s="218"/>
      <c r="S431" s="218"/>
      <c r="T431" s="218"/>
      <c r="U431" s="218"/>
    </row>
    <row r="432">
      <c r="C432" s="12"/>
      <c r="D432" s="3"/>
      <c r="E432" s="112"/>
      <c r="F432" s="3"/>
      <c r="G432" s="3"/>
      <c r="H432" s="12"/>
      <c r="K432" s="12"/>
      <c r="M432" s="12"/>
      <c r="R432" s="218"/>
      <c r="S432" s="218"/>
      <c r="T432" s="218"/>
      <c r="U432" s="218"/>
    </row>
    <row r="433">
      <c r="C433" s="12"/>
      <c r="D433" s="3"/>
      <c r="E433" s="112"/>
      <c r="F433" s="3"/>
      <c r="G433" s="3"/>
      <c r="H433" s="12"/>
      <c r="K433" s="12"/>
      <c r="M433" s="12"/>
      <c r="R433" s="218"/>
      <c r="S433" s="218"/>
      <c r="T433" s="218"/>
      <c r="U433" s="218"/>
    </row>
    <row r="434">
      <c r="C434" s="12"/>
      <c r="D434" s="3"/>
      <c r="E434" s="112"/>
      <c r="F434" s="3"/>
      <c r="G434" s="3"/>
      <c r="H434" s="12"/>
      <c r="K434" s="12"/>
      <c r="M434" s="12"/>
      <c r="R434" s="218"/>
      <c r="S434" s="218"/>
      <c r="T434" s="218"/>
      <c r="U434" s="218"/>
    </row>
    <row r="435">
      <c r="C435" s="12"/>
      <c r="D435" s="3"/>
      <c r="E435" s="112"/>
      <c r="F435" s="3"/>
      <c r="G435" s="3"/>
      <c r="H435" s="12"/>
      <c r="K435" s="12"/>
      <c r="M435" s="12"/>
      <c r="R435" s="218"/>
      <c r="S435" s="218"/>
      <c r="T435" s="218"/>
      <c r="U435" s="218"/>
    </row>
    <row r="436">
      <c r="C436" s="12"/>
      <c r="D436" s="3"/>
      <c r="E436" s="112"/>
      <c r="F436" s="3"/>
      <c r="G436" s="3"/>
      <c r="H436" s="12"/>
      <c r="K436" s="12"/>
      <c r="M436" s="12"/>
      <c r="R436" s="218"/>
      <c r="S436" s="218"/>
      <c r="T436" s="218"/>
      <c r="U436" s="218"/>
    </row>
    <row r="437">
      <c r="C437" s="12"/>
      <c r="D437" s="3"/>
      <c r="E437" s="112"/>
      <c r="F437" s="3"/>
      <c r="G437" s="3"/>
      <c r="H437" s="12"/>
      <c r="K437" s="12"/>
      <c r="M437" s="12"/>
      <c r="R437" s="218"/>
      <c r="S437" s="218"/>
      <c r="T437" s="218"/>
      <c r="U437" s="218"/>
    </row>
    <row r="438">
      <c r="C438" s="12"/>
      <c r="D438" s="3"/>
      <c r="E438" s="112"/>
      <c r="F438" s="3"/>
      <c r="G438" s="3"/>
      <c r="H438" s="12"/>
      <c r="K438" s="12"/>
      <c r="M438" s="12"/>
      <c r="R438" s="218"/>
      <c r="S438" s="218"/>
      <c r="T438" s="218"/>
      <c r="U438" s="218"/>
    </row>
    <row r="439">
      <c r="C439" s="12"/>
      <c r="D439" s="3"/>
      <c r="E439" s="112"/>
      <c r="F439" s="3"/>
      <c r="G439" s="3"/>
      <c r="H439" s="12"/>
      <c r="K439" s="12"/>
      <c r="M439" s="12"/>
      <c r="R439" s="218"/>
      <c r="S439" s="218"/>
      <c r="T439" s="218"/>
      <c r="U439" s="218"/>
    </row>
    <row r="440">
      <c r="C440" s="12"/>
      <c r="D440" s="3"/>
      <c r="E440" s="112"/>
      <c r="F440" s="3"/>
      <c r="G440" s="3"/>
      <c r="H440" s="12"/>
      <c r="K440" s="12"/>
      <c r="M440" s="12"/>
      <c r="R440" s="218"/>
      <c r="S440" s="218"/>
      <c r="T440" s="218"/>
      <c r="U440" s="218"/>
    </row>
    <row r="441">
      <c r="C441" s="12"/>
      <c r="D441" s="3"/>
      <c r="E441" s="112"/>
      <c r="F441" s="3"/>
      <c r="G441" s="3"/>
      <c r="H441" s="12"/>
      <c r="K441" s="12"/>
      <c r="M441" s="12"/>
      <c r="R441" s="218"/>
      <c r="S441" s="218"/>
      <c r="T441" s="218"/>
      <c r="U441" s="218"/>
    </row>
    <row r="442">
      <c r="C442" s="12"/>
      <c r="D442" s="3"/>
      <c r="E442" s="112"/>
      <c r="F442" s="3"/>
      <c r="G442" s="3"/>
      <c r="H442" s="12"/>
      <c r="K442" s="12"/>
      <c r="M442" s="12"/>
      <c r="R442" s="218"/>
      <c r="S442" s="218"/>
      <c r="T442" s="218"/>
      <c r="U442" s="218"/>
    </row>
    <row r="443">
      <c r="C443" s="12"/>
      <c r="D443" s="3"/>
      <c r="E443" s="112"/>
      <c r="F443" s="3"/>
      <c r="G443" s="3"/>
      <c r="H443" s="12"/>
      <c r="K443" s="12"/>
      <c r="M443" s="12"/>
      <c r="R443" s="218"/>
      <c r="S443" s="218"/>
      <c r="T443" s="218"/>
      <c r="U443" s="218"/>
    </row>
    <row r="444">
      <c r="C444" s="12"/>
      <c r="D444" s="3"/>
      <c r="E444" s="112"/>
      <c r="F444" s="3"/>
      <c r="G444" s="3"/>
      <c r="H444" s="12"/>
      <c r="K444" s="12"/>
      <c r="M444" s="12"/>
      <c r="R444" s="218"/>
      <c r="S444" s="218"/>
      <c r="T444" s="218"/>
      <c r="U444" s="218"/>
    </row>
    <row r="445">
      <c r="C445" s="12"/>
      <c r="D445" s="3"/>
      <c r="E445" s="112"/>
      <c r="F445" s="3"/>
      <c r="G445" s="3"/>
      <c r="H445" s="12"/>
      <c r="K445" s="12"/>
      <c r="M445" s="12"/>
      <c r="R445" s="218"/>
      <c r="S445" s="218"/>
      <c r="T445" s="218"/>
      <c r="U445" s="218"/>
    </row>
    <row r="446">
      <c r="C446" s="12"/>
      <c r="D446" s="3"/>
      <c r="E446" s="112"/>
      <c r="F446" s="3"/>
      <c r="G446" s="3"/>
      <c r="H446" s="12"/>
      <c r="K446" s="12"/>
      <c r="M446" s="12"/>
      <c r="R446" s="218"/>
      <c r="S446" s="218"/>
      <c r="T446" s="218"/>
      <c r="U446" s="218"/>
    </row>
    <row r="447">
      <c r="C447" s="12"/>
      <c r="D447" s="3"/>
      <c r="E447" s="112"/>
      <c r="F447" s="3"/>
      <c r="G447" s="3"/>
      <c r="H447" s="12"/>
      <c r="K447" s="12"/>
      <c r="M447" s="12"/>
      <c r="R447" s="218"/>
      <c r="S447" s="218"/>
      <c r="T447" s="218"/>
      <c r="U447" s="218"/>
    </row>
    <row r="448">
      <c r="C448" s="12"/>
      <c r="D448" s="3"/>
      <c r="E448" s="112"/>
      <c r="F448" s="3"/>
      <c r="G448" s="3"/>
      <c r="H448" s="12"/>
      <c r="K448" s="12"/>
      <c r="M448" s="12"/>
      <c r="R448" s="218"/>
      <c r="S448" s="218"/>
      <c r="T448" s="218"/>
      <c r="U448" s="218"/>
    </row>
    <row r="449">
      <c r="C449" s="12"/>
      <c r="D449" s="3"/>
      <c r="E449" s="112"/>
      <c r="F449" s="3"/>
      <c r="G449" s="3"/>
      <c r="H449" s="12"/>
      <c r="K449" s="12"/>
      <c r="M449" s="12"/>
      <c r="R449" s="218"/>
      <c r="S449" s="218"/>
      <c r="T449" s="218"/>
      <c r="U449" s="218"/>
    </row>
    <row r="450">
      <c r="C450" s="12"/>
      <c r="D450" s="3"/>
      <c r="E450" s="112"/>
      <c r="F450" s="3"/>
      <c r="G450" s="3"/>
      <c r="H450" s="12"/>
      <c r="K450" s="12"/>
      <c r="M450" s="12"/>
      <c r="R450" s="218"/>
      <c r="S450" s="218"/>
      <c r="T450" s="218"/>
      <c r="U450" s="218"/>
    </row>
    <row r="451">
      <c r="C451" s="12"/>
      <c r="D451" s="3"/>
      <c r="E451" s="112"/>
      <c r="F451" s="3"/>
      <c r="G451" s="3"/>
      <c r="H451" s="12"/>
      <c r="K451" s="12"/>
      <c r="M451" s="12"/>
      <c r="R451" s="218"/>
      <c r="S451" s="218"/>
      <c r="T451" s="218"/>
      <c r="U451" s="218"/>
    </row>
    <row r="452">
      <c r="C452" s="12"/>
      <c r="D452" s="3"/>
      <c r="E452" s="112"/>
      <c r="F452" s="3"/>
      <c r="G452" s="3"/>
      <c r="H452" s="12"/>
      <c r="K452" s="12"/>
      <c r="M452" s="12"/>
      <c r="R452" s="218"/>
      <c r="S452" s="218"/>
      <c r="T452" s="218"/>
      <c r="U452" s="218"/>
    </row>
    <row r="453">
      <c r="C453" s="12"/>
      <c r="D453" s="3"/>
      <c r="E453" s="112"/>
      <c r="F453" s="3"/>
      <c r="G453" s="3"/>
      <c r="H453" s="12"/>
      <c r="K453" s="12"/>
      <c r="M453" s="12"/>
      <c r="R453" s="218"/>
      <c r="S453" s="218"/>
      <c r="T453" s="218"/>
      <c r="U453" s="218"/>
    </row>
    <row r="454">
      <c r="C454" s="12"/>
      <c r="D454" s="3"/>
      <c r="E454" s="112"/>
      <c r="F454" s="3"/>
      <c r="G454" s="3"/>
      <c r="H454" s="12"/>
      <c r="K454" s="12"/>
      <c r="M454" s="12"/>
      <c r="R454" s="218"/>
      <c r="S454" s="218"/>
      <c r="T454" s="218"/>
      <c r="U454" s="218"/>
    </row>
    <row r="455">
      <c r="C455" s="12"/>
      <c r="D455" s="3"/>
      <c r="E455" s="112"/>
      <c r="F455" s="3"/>
      <c r="G455" s="3"/>
      <c r="H455" s="12"/>
      <c r="K455" s="12"/>
      <c r="M455" s="12"/>
      <c r="R455" s="218"/>
      <c r="S455" s="218"/>
      <c r="T455" s="218"/>
      <c r="U455" s="218"/>
    </row>
    <row r="456">
      <c r="C456" s="12"/>
      <c r="D456" s="3"/>
      <c r="E456" s="112"/>
      <c r="F456" s="3"/>
      <c r="G456" s="3"/>
      <c r="H456" s="12"/>
      <c r="K456" s="12"/>
      <c r="M456" s="12"/>
      <c r="R456" s="218"/>
      <c r="S456" s="218"/>
      <c r="T456" s="218"/>
      <c r="U456" s="218"/>
    </row>
    <row r="457">
      <c r="C457" s="12"/>
      <c r="D457" s="3"/>
      <c r="E457" s="112"/>
      <c r="F457" s="3"/>
      <c r="G457" s="3"/>
      <c r="H457" s="12"/>
      <c r="K457" s="12"/>
      <c r="M457" s="12"/>
      <c r="R457" s="218"/>
      <c r="S457" s="218"/>
      <c r="T457" s="218"/>
      <c r="U457" s="218"/>
    </row>
    <row r="458">
      <c r="C458" s="12"/>
      <c r="D458" s="3"/>
      <c r="E458" s="112"/>
      <c r="F458" s="3"/>
      <c r="G458" s="3"/>
      <c r="H458" s="12"/>
      <c r="K458" s="12"/>
      <c r="M458" s="12"/>
      <c r="R458" s="218"/>
      <c r="S458" s="218"/>
      <c r="T458" s="218"/>
      <c r="U458" s="218"/>
    </row>
    <row r="459">
      <c r="C459" s="12"/>
      <c r="D459" s="3"/>
      <c r="E459" s="112"/>
      <c r="F459" s="3"/>
      <c r="G459" s="3"/>
      <c r="H459" s="12"/>
      <c r="K459" s="12"/>
      <c r="M459" s="12"/>
      <c r="R459" s="218"/>
      <c r="S459" s="218"/>
      <c r="T459" s="218"/>
      <c r="U459" s="218"/>
    </row>
    <row r="460">
      <c r="C460" s="12"/>
      <c r="D460" s="3"/>
      <c r="E460" s="112"/>
      <c r="F460" s="3"/>
      <c r="G460" s="3"/>
      <c r="H460" s="12"/>
      <c r="K460" s="12"/>
      <c r="M460" s="12"/>
      <c r="R460" s="218"/>
      <c r="S460" s="218"/>
      <c r="T460" s="218"/>
      <c r="U460" s="218"/>
    </row>
    <row r="461">
      <c r="C461" s="12"/>
      <c r="D461" s="3"/>
      <c r="E461" s="112"/>
      <c r="F461" s="3"/>
      <c r="G461" s="3"/>
      <c r="H461" s="12"/>
      <c r="K461" s="12"/>
      <c r="M461" s="12"/>
      <c r="R461" s="218"/>
      <c r="S461" s="218"/>
      <c r="T461" s="218"/>
      <c r="U461" s="218"/>
    </row>
    <row r="462">
      <c r="C462" s="12"/>
      <c r="D462" s="3"/>
      <c r="E462" s="112"/>
      <c r="F462" s="3"/>
      <c r="G462" s="3"/>
      <c r="H462" s="12"/>
      <c r="K462" s="12"/>
      <c r="M462" s="12"/>
      <c r="R462" s="218"/>
      <c r="S462" s="218"/>
      <c r="T462" s="218"/>
      <c r="U462" s="218"/>
    </row>
    <row r="463">
      <c r="C463" s="12"/>
      <c r="D463" s="3"/>
      <c r="E463" s="112"/>
      <c r="F463" s="3"/>
      <c r="G463" s="3"/>
      <c r="H463" s="12"/>
      <c r="K463" s="12"/>
      <c r="M463" s="12"/>
      <c r="R463" s="218"/>
      <c r="S463" s="218"/>
      <c r="T463" s="218"/>
      <c r="U463" s="218"/>
    </row>
    <row r="464">
      <c r="C464" s="12"/>
      <c r="D464" s="3"/>
      <c r="E464" s="112"/>
      <c r="F464" s="3"/>
      <c r="G464" s="3"/>
      <c r="H464" s="12"/>
      <c r="K464" s="12"/>
      <c r="M464" s="12"/>
      <c r="R464" s="218"/>
      <c r="S464" s="218"/>
      <c r="T464" s="218"/>
      <c r="U464" s="218"/>
    </row>
    <row r="465">
      <c r="C465" s="12"/>
      <c r="D465" s="3"/>
      <c r="E465" s="112"/>
      <c r="F465" s="3"/>
      <c r="G465" s="3"/>
      <c r="H465" s="12"/>
      <c r="K465" s="12"/>
      <c r="M465" s="12"/>
      <c r="R465" s="218"/>
      <c r="S465" s="218"/>
      <c r="T465" s="218"/>
      <c r="U465" s="218"/>
    </row>
    <row r="466">
      <c r="C466" s="12"/>
      <c r="D466" s="3"/>
      <c r="E466" s="112"/>
      <c r="F466" s="3"/>
      <c r="G466" s="3"/>
      <c r="H466" s="12"/>
      <c r="K466" s="12"/>
      <c r="M466" s="12"/>
      <c r="R466" s="218"/>
      <c r="S466" s="218"/>
      <c r="T466" s="218"/>
      <c r="U466" s="218"/>
    </row>
    <row r="467">
      <c r="C467" s="12"/>
      <c r="D467" s="3"/>
      <c r="E467" s="112"/>
      <c r="F467" s="3"/>
      <c r="G467" s="3"/>
      <c r="H467" s="12"/>
      <c r="K467" s="12"/>
      <c r="M467" s="12"/>
      <c r="R467" s="218"/>
      <c r="S467" s="218"/>
      <c r="T467" s="218"/>
      <c r="U467" s="218"/>
    </row>
    <row r="468">
      <c r="C468" s="12"/>
      <c r="D468" s="3"/>
      <c r="E468" s="112"/>
      <c r="F468" s="3"/>
      <c r="G468" s="3"/>
      <c r="H468" s="12"/>
      <c r="K468" s="12"/>
      <c r="M468" s="12"/>
      <c r="R468" s="218"/>
      <c r="S468" s="218"/>
      <c r="T468" s="218"/>
      <c r="U468" s="218"/>
    </row>
    <row r="469">
      <c r="C469" s="12"/>
      <c r="D469" s="3"/>
      <c r="E469" s="112"/>
      <c r="F469" s="3"/>
      <c r="G469" s="3"/>
      <c r="H469" s="12"/>
      <c r="K469" s="12"/>
      <c r="M469" s="12"/>
      <c r="R469" s="218"/>
      <c r="S469" s="218"/>
      <c r="T469" s="218"/>
      <c r="U469" s="218"/>
    </row>
    <row r="470">
      <c r="C470" s="12"/>
      <c r="D470" s="3"/>
      <c r="E470" s="112"/>
      <c r="F470" s="3"/>
      <c r="G470" s="3"/>
      <c r="H470" s="12"/>
      <c r="K470" s="12"/>
      <c r="M470" s="12"/>
      <c r="R470" s="218"/>
      <c r="S470" s="218"/>
      <c r="T470" s="218"/>
      <c r="U470" s="218"/>
    </row>
    <row r="471">
      <c r="C471" s="12"/>
      <c r="D471" s="3"/>
      <c r="E471" s="112"/>
      <c r="F471" s="3"/>
      <c r="G471" s="3"/>
      <c r="H471" s="12"/>
      <c r="K471" s="12"/>
      <c r="M471" s="12"/>
      <c r="R471" s="218"/>
      <c r="S471" s="218"/>
      <c r="T471" s="218"/>
      <c r="U471" s="218"/>
    </row>
    <row r="472">
      <c r="C472" s="12"/>
      <c r="D472" s="3"/>
      <c r="E472" s="112"/>
      <c r="F472" s="3"/>
      <c r="G472" s="3"/>
      <c r="H472" s="12"/>
      <c r="K472" s="12"/>
      <c r="M472" s="12"/>
      <c r="R472" s="218"/>
      <c r="S472" s="218"/>
      <c r="T472" s="218"/>
      <c r="U472" s="218"/>
    </row>
    <row r="473">
      <c r="C473" s="12"/>
      <c r="D473" s="3"/>
      <c r="E473" s="112"/>
      <c r="F473" s="3"/>
      <c r="G473" s="3"/>
      <c r="H473" s="12"/>
      <c r="K473" s="12"/>
      <c r="M473" s="12"/>
      <c r="R473" s="218"/>
      <c r="S473" s="218"/>
      <c r="T473" s="218"/>
      <c r="U473" s="218"/>
    </row>
    <row r="474">
      <c r="C474" s="12"/>
      <c r="D474" s="3"/>
      <c r="E474" s="112"/>
      <c r="F474" s="3"/>
      <c r="G474" s="3"/>
      <c r="H474" s="12"/>
      <c r="K474" s="12"/>
      <c r="M474" s="12"/>
      <c r="R474" s="218"/>
      <c r="S474" s="218"/>
      <c r="T474" s="218"/>
      <c r="U474" s="218"/>
    </row>
    <row r="475">
      <c r="C475" s="12"/>
      <c r="D475" s="3"/>
      <c r="E475" s="112"/>
      <c r="F475" s="3"/>
      <c r="G475" s="3"/>
      <c r="H475" s="12"/>
      <c r="K475" s="12"/>
      <c r="M475" s="12"/>
      <c r="R475" s="218"/>
      <c r="S475" s="218"/>
      <c r="T475" s="218"/>
      <c r="U475" s="218"/>
    </row>
    <row r="476">
      <c r="C476" s="12"/>
      <c r="D476" s="3"/>
      <c r="E476" s="112"/>
      <c r="F476" s="3"/>
      <c r="G476" s="3"/>
      <c r="H476" s="12"/>
      <c r="K476" s="12"/>
      <c r="M476" s="12"/>
      <c r="R476" s="218"/>
      <c r="S476" s="218"/>
      <c r="T476" s="218"/>
      <c r="U476" s="218"/>
    </row>
    <row r="477">
      <c r="C477" s="12"/>
      <c r="D477" s="3"/>
      <c r="E477" s="112"/>
      <c r="F477" s="3"/>
      <c r="G477" s="3"/>
      <c r="H477" s="12"/>
      <c r="K477" s="12"/>
      <c r="M477" s="12"/>
      <c r="R477" s="218"/>
      <c r="S477" s="218"/>
      <c r="T477" s="218"/>
      <c r="U477" s="218"/>
    </row>
    <row r="478">
      <c r="C478" s="12"/>
      <c r="D478" s="3"/>
      <c r="E478" s="112"/>
      <c r="F478" s="3"/>
      <c r="G478" s="3"/>
      <c r="H478" s="12"/>
      <c r="K478" s="12"/>
      <c r="M478" s="12"/>
      <c r="R478" s="218"/>
      <c r="S478" s="218"/>
      <c r="T478" s="218"/>
      <c r="U478" s="218"/>
    </row>
    <row r="479">
      <c r="C479" s="12"/>
      <c r="D479" s="3"/>
      <c r="E479" s="112"/>
      <c r="F479" s="3"/>
      <c r="G479" s="3"/>
      <c r="H479" s="12"/>
      <c r="K479" s="12"/>
      <c r="M479" s="12"/>
      <c r="R479" s="218"/>
      <c r="S479" s="218"/>
      <c r="T479" s="218"/>
      <c r="U479" s="218"/>
    </row>
    <row r="480">
      <c r="C480" s="12"/>
      <c r="D480" s="3"/>
      <c r="E480" s="112"/>
      <c r="F480" s="3"/>
      <c r="G480" s="3"/>
      <c r="H480" s="12"/>
      <c r="K480" s="12"/>
      <c r="M480" s="12"/>
      <c r="R480" s="218"/>
      <c r="S480" s="218"/>
      <c r="T480" s="218"/>
      <c r="U480" s="218"/>
    </row>
    <row r="481">
      <c r="C481" s="12"/>
      <c r="D481" s="3"/>
      <c r="E481" s="112"/>
      <c r="F481" s="3"/>
      <c r="G481" s="3"/>
      <c r="H481" s="12"/>
      <c r="K481" s="12"/>
      <c r="M481" s="12"/>
      <c r="R481" s="218"/>
      <c r="S481" s="218"/>
      <c r="T481" s="218"/>
      <c r="U481" s="218"/>
    </row>
    <row r="482">
      <c r="C482" s="12"/>
      <c r="D482" s="3"/>
      <c r="E482" s="112"/>
      <c r="F482" s="3"/>
      <c r="G482" s="3"/>
      <c r="H482" s="12"/>
      <c r="K482" s="12"/>
      <c r="M482" s="12"/>
      <c r="R482" s="218"/>
      <c r="S482" s="218"/>
      <c r="T482" s="218"/>
      <c r="U482" s="218"/>
    </row>
    <row r="483">
      <c r="C483" s="12"/>
      <c r="D483" s="3"/>
      <c r="E483" s="112"/>
      <c r="F483" s="3"/>
      <c r="G483" s="3"/>
      <c r="H483" s="12"/>
      <c r="K483" s="12"/>
      <c r="M483" s="12"/>
      <c r="R483" s="218"/>
      <c r="S483" s="218"/>
      <c r="T483" s="218"/>
      <c r="U483" s="218"/>
    </row>
    <row r="484">
      <c r="C484" s="12"/>
      <c r="D484" s="3"/>
      <c r="E484" s="112"/>
      <c r="F484" s="3"/>
      <c r="G484" s="3"/>
      <c r="H484" s="12"/>
      <c r="K484" s="12"/>
      <c r="M484" s="12"/>
      <c r="R484" s="218"/>
      <c r="S484" s="218"/>
      <c r="T484" s="218"/>
      <c r="U484" s="218"/>
    </row>
    <row r="485">
      <c r="C485" s="12"/>
      <c r="D485" s="3"/>
      <c r="E485" s="112"/>
      <c r="F485" s="3"/>
      <c r="G485" s="3"/>
      <c r="H485" s="12"/>
      <c r="K485" s="12"/>
      <c r="M485" s="12"/>
      <c r="R485" s="218"/>
      <c r="S485" s="218"/>
      <c r="T485" s="218"/>
      <c r="U485" s="218"/>
    </row>
    <row r="486">
      <c r="C486" s="12"/>
      <c r="D486" s="3"/>
      <c r="E486" s="112"/>
      <c r="F486" s="3"/>
      <c r="G486" s="3"/>
      <c r="H486" s="12"/>
      <c r="K486" s="12"/>
      <c r="M486" s="12"/>
      <c r="R486" s="218"/>
      <c r="S486" s="218"/>
      <c r="T486" s="218"/>
      <c r="U486" s="218"/>
    </row>
    <row r="487">
      <c r="C487" s="12"/>
      <c r="D487" s="3"/>
      <c r="E487" s="112"/>
      <c r="F487" s="3"/>
      <c r="G487" s="3"/>
      <c r="H487" s="12"/>
      <c r="K487" s="12"/>
      <c r="M487" s="12"/>
      <c r="R487" s="218"/>
      <c r="S487" s="218"/>
      <c r="T487" s="218"/>
      <c r="U487" s="218"/>
    </row>
    <row r="488">
      <c r="C488" s="12"/>
      <c r="D488" s="3"/>
      <c r="E488" s="112"/>
      <c r="F488" s="3"/>
      <c r="G488" s="3"/>
      <c r="H488" s="12"/>
      <c r="K488" s="12"/>
      <c r="M488" s="12"/>
      <c r="R488" s="218"/>
      <c r="S488" s="218"/>
      <c r="T488" s="218"/>
      <c r="U488" s="218"/>
    </row>
    <row r="489">
      <c r="C489" s="12"/>
      <c r="D489" s="3"/>
      <c r="E489" s="112"/>
      <c r="F489" s="3"/>
      <c r="G489" s="3"/>
      <c r="H489" s="12"/>
      <c r="K489" s="12"/>
      <c r="M489" s="12"/>
      <c r="R489" s="218"/>
      <c r="S489" s="218"/>
      <c r="T489" s="218"/>
      <c r="U489" s="218"/>
    </row>
    <row r="490">
      <c r="C490" s="12"/>
      <c r="D490" s="3"/>
      <c r="E490" s="112"/>
      <c r="F490" s="3"/>
      <c r="G490" s="3"/>
      <c r="H490" s="12"/>
      <c r="K490" s="12"/>
      <c r="M490" s="12"/>
      <c r="R490" s="218"/>
      <c r="S490" s="218"/>
      <c r="T490" s="218"/>
      <c r="U490" s="218"/>
    </row>
    <row r="491">
      <c r="C491" s="12"/>
      <c r="D491" s="3"/>
      <c r="E491" s="112"/>
      <c r="F491" s="3"/>
      <c r="G491" s="3"/>
      <c r="H491" s="12"/>
      <c r="K491" s="12"/>
      <c r="M491" s="12"/>
      <c r="R491" s="218"/>
      <c r="S491" s="218"/>
      <c r="T491" s="218"/>
      <c r="U491" s="218"/>
    </row>
    <row r="492">
      <c r="C492" s="12"/>
      <c r="D492" s="3"/>
      <c r="E492" s="112"/>
      <c r="F492" s="3"/>
      <c r="G492" s="3"/>
      <c r="H492" s="12"/>
      <c r="K492" s="12"/>
      <c r="M492" s="12"/>
      <c r="R492" s="218"/>
      <c r="S492" s="218"/>
      <c r="T492" s="218"/>
      <c r="U492" s="218"/>
    </row>
    <row r="493">
      <c r="C493" s="12"/>
      <c r="D493" s="3"/>
      <c r="E493" s="112"/>
      <c r="F493" s="3"/>
      <c r="G493" s="3"/>
      <c r="H493" s="12"/>
      <c r="K493" s="12"/>
      <c r="M493" s="12"/>
      <c r="R493" s="218"/>
      <c r="S493" s="218"/>
      <c r="T493" s="218"/>
      <c r="U493" s="218"/>
    </row>
    <row r="494">
      <c r="C494" s="12"/>
      <c r="D494" s="3"/>
      <c r="E494" s="112"/>
      <c r="F494" s="3"/>
      <c r="G494" s="3"/>
      <c r="H494" s="12"/>
      <c r="K494" s="12"/>
      <c r="M494" s="12"/>
      <c r="R494" s="218"/>
      <c r="S494" s="218"/>
      <c r="T494" s="218"/>
      <c r="U494" s="218"/>
    </row>
    <row r="495">
      <c r="C495" s="12"/>
      <c r="D495" s="3"/>
      <c r="E495" s="112"/>
      <c r="F495" s="3"/>
      <c r="G495" s="3"/>
      <c r="H495" s="12"/>
      <c r="K495" s="12"/>
      <c r="M495" s="12"/>
      <c r="R495" s="218"/>
      <c r="S495" s="218"/>
      <c r="T495" s="218"/>
      <c r="U495" s="218"/>
    </row>
    <row r="496">
      <c r="C496" s="12"/>
      <c r="D496" s="3"/>
      <c r="E496" s="112"/>
      <c r="F496" s="3"/>
      <c r="G496" s="3"/>
      <c r="H496" s="12"/>
      <c r="K496" s="12"/>
      <c r="M496" s="12"/>
      <c r="R496" s="218"/>
      <c r="S496" s="218"/>
      <c r="T496" s="218"/>
      <c r="U496" s="218"/>
    </row>
    <row r="497">
      <c r="C497" s="12"/>
      <c r="D497" s="3"/>
      <c r="E497" s="112"/>
      <c r="F497" s="3"/>
      <c r="G497" s="3"/>
      <c r="H497" s="12"/>
      <c r="K497" s="12"/>
      <c r="M497" s="12"/>
      <c r="R497" s="218"/>
      <c r="S497" s="218"/>
      <c r="T497" s="218"/>
      <c r="U497" s="218"/>
    </row>
    <row r="498">
      <c r="C498" s="12"/>
      <c r="D498" s="3"/>
      <c r="E498" s="112"/>
      <c r="F498" s="3"/>
      <c r="G498" s="3"/>
      <c r="H498" s="12"/>
      <c r="K498" s="12"/>
      <c r="M498" s="12"/>
      <c r="R498" s="218"/>
      <c r="S498" s="218"/>
      <c r="T498" s="218"/>
      <c r="U498" s="218"/>
    </row>
    <row r="499">
      <c r="C499" s="12"/>
      <c r="D499" s="3"/>
      <c r="E499" s="112"/>
      <c r="F499" s="3"/>
      <c r="G499" s="3"/>
      <c r="H499" s="12"/>
      <c r="K499" s="12"/>
      <c r="M499" s="12"/>
      <c r="R499" s="218"/>
      <c r="S499" s="218"/>
      <c r="T499" s="218"/>
      <c r="U499" s="218"/>
    </row>
    <row r="500">
      <c r="C500" s="12"/>
      <c r="D500" s="3"/>
      <c r="E500" s="112"/>
      <c r="F500" s="3"/>
      <c r="G500" s="3"/>
      <c r="H500" s="12"/>
      <c r="K500" s="12"/>
      <c r="M500" s="12"/>
      <c r="R500" s="218"/>
      <c r="S500" s="218"/>
      <c r="T500" s="218"/>
      <c r="U500" s="218"/>
    </row>
    <row r="501">
      <c r="C501" s="12"/>
      <c r="D501" s="3"/>
      <c r="E501" s="112"/>
      <c r="F501" s="3"/>
      <c r="G501" s="3"/>
      <c r="H501" s="12"/>
      <c r="K501" s="12"/>
      <c r="M501" s="12"/>
      <c r="R501" s="218"/>
      <c r="S501" s="218"/>
      <c r="T501" s="218"/>
      <c r="U501" s="218"/>
    </row>
    <row r="502">
      <c r="C502" s="12"/>
      <c r="D502" s="3"/>
      <c r="E502" s="112"/>
      <c r="F502" s="3"/>
      <c r="G502" s="3"/>
      <c r="H502" s="12"/>
      <c r="K502" s="12"/>
      <c r="M502" s="12"/>
      <c r="R502" s="218"/>
      <c r="S502" s="218"/>
      <c r="T502" s="218"/>
      <c r="U502" s="218"/>
    </row>
    <row r="503">
      <c r="C503" s="12"/>
      <c r="D503" s="3"/>
      <c r="E503" s="112"/>
      <c r="F503" s="3"/>
      <c r="G503" s="3"/>
      <c r="H503" s="12"/>
      <c r="K503" s="12"/>
      <c r="M503" s="12"/>
      <c r="R503" s="218"/>
      <c r="S503" s="218"/>
      <c r="T503" s="218"/>
      <c r="U503" s="218"/>
    </row>
    <row r="504">
      <c r="C504" s="12"/>
      <c r="D504" s="3"/>
      <c r="E504" s="112"/>
      <c r="F504" s="3"/>
      <c r="G504" s="3"/>
      <c r="H504" s="12"/>
      <c r="K504" s="12"/>
      <c r="M504" s="12"/>
      <c r="R504" s="218"/>
      <c r="S504" s="218"/>
      <c r="T504" s="218"/>
      <c r="U504" s="218"/>
    </row>
    <row r="505">
      <c r="C505" s="12"/>
      <c r="D505" s="3"/>
      <c r="E505" s="112"/>
      <c r="F505" s="3"/>
      <c r="G505" s="3"/>
      <c r="H505" s="12"/>
      <c r="K505" s="12"/>
      <c r="M505" s="12"/>
      <c r="R505" s="218"/>
      <c r="S505" s="218"/>
      <c r="T505" s="218"/>
      <c r="U505" s="218"/>
    </row>
    <row r="506">
      <c r="C506" s="12"/>
      <c r="D506" s="3"/>
      <c r="E506" s="112"/>
      <c r="F506" s="3"/>
      <c r="G506" s="3"/>
      <c r="H506" s="12"/>
      <c r="K506" s="12"/>
      <c r="M506" s="12"/>
      <c r="R506" s="218"/>
      <c r="S506" s="218"/>
      <c r="T506" s="218"/>
      <c r="U506" s="218"/>
    </row>
    <row r="507">
      <c r="C507" s="12"/>
      <c r="D507" s="3"/>
      <c r="E507" s="112"/>
      <c r="F507" s="3"/>
      <c r="G507" s="3"/>
      <c r="H507" s="12"/>
      <c r="K507" s="12"/>
      <c r="M507" s="12"/>
      <c r="R507" s="218"/>
      <c r="S507" s="218"/>
      <c r="T507" s="218"/>
      <c r="U507" s="218"/>
    </row>
    <row r="508">
      <c r="C508" s="12"/>
      <c r="D508" s="3"/>
      <c r="E508" s="112"/>
      <c r="F508" s="3"/>
      <c r="G508" s="3"/>
      <c r="H508" s="12"/>
      <c r="K508" s="12"/>
      <c r="M508" s="12"/>
      <c r="R508" s="218"/>
      <c r="S508" s="218"/>
      <c r="T508" s="218"/>
      <c r="U508" s="218"/>
    </row>
    <row r="509">
      <c r="C509" s="12"/>
      <c r="D509" s="3"/>
      <c r="E509" s="112"/>
      <c r="F509" s="3"/>
      <c r="G509" s="3"/>
      <c r="H509" s="12"/>
      <c r="K509" s="12"/>
      <c r="M509" s="12"/>
      <c r="R509" s="218"/>
      <c r="S509" s="218"/>
      <c r="T509" s="218"/>
      <c r="U509" s="218"/>
    </row>
    <row r="510">
      <c r="C510" s="12"/>
      <c r="D510" s="3"/>
      <c r="E510" s="112"/>
      <c r="F510" s="3"/>
      <c r="G510" s="3"/>
      <c r="H510" s="12"/>
      <c r="K510" s="12"/>
      <c r="M510" s="12"/>
      <c r="R510" s="218"/>
      <c r="S510" s="218"/>
      <c r="T510" s="218"/>
      <c r="U510" s="218"/>
    </row>
    <row r="511">
      <c r="C511" s="12"/>
      <c r="D511" s="3"/>
      <c r="E511" s="112"/>
      <c r="F511" s="3"/>
      <c r="G511" s="3"/>
      <c r="H511" s="12"/>
      <c r="K511" s="12"/>
      <c r="M511" s="12"/>
      <c r="R511" s="218"/>
      <c r="S511" s="218"/>
      <c r="T511" s="218"/>
      <c r="U511" s="218"/>
    </row>
    <row r="512">
      <c r="C512" s="12"/>
      <c r="D512" s="3"/>
      <c r="E512" s="112"/>
      <c r="F512" s="3"/>
      <c r="G512" s="3"/>
      <c r="H512" s="12"/>
      <c r="K512" s="12"/>
      <c r="M512" s="12"/>
      <c r="R512" s="218"/>
      <c r="S512" s="218"/>
      <c r="T512" s="218"/>
      <c r="U512" s="218"/>
    </row>
    <row r="513">
      <c r="C513" s="12"/>
      <c r="D513" s="3"/>
      <c r="E513" s="112"/>
      <c r="F513" s="3"/>
      <c r="G513" s="3"/>
      <c r="H513" s="12"/>
      <c r="K513" s="12"/>
      <c r="M513" s="12"/>
      <c r="R513" s="218"/>
      <c r="S513" s="218"/>
      <c r="T513" s="218"/>
      <c r="U513" s="218"/>
    </row>
    <row r="514">
      <c r="C514" s="12"/>
      <c r="D514" s="3"/>
      <c r="E514" s="112"/>
      <c r="F514" s="3"/>
      <c r="G514" s="3"/>
      <c r="H514" s="12"/>
      <c r="K514" s="12"/>
      <c r="M514" s="12"/>
      <c r="R514" s="218"/>
      <c r="S514" s="218"/>
      <c r="T514" s="218"/>
      <c r="U514" s="218"/>
    </row>
    <row r="515">
      <c r="C515" s="12"/>
      <c r="D515" s="3"/>
      <c r="E515" s="112"/>
      <c r="F515" s="3"/>
      <c r="G515" s="3"/>
      <c r="H515" s="12"/>
      <c r="K515" s="12"/>
      <c r="M515" s="12"/>
      <c r="R515" s="218"/>
      <c r="S515" s="218"/>
      <c r="T515" s="218"/>
      <c r="U515" s="218"/>
    </row>
    <row r="516">
      <c r="C516" s="12"/>
      <c r="D516" s="3"/>
      <c r="E516" s="112"/>
      <c r="F516" s="3"/>
      <c r="G516" s="3"/>
      <c r="H516" s="12"/>
      <c r="K516" s="12"/>
      <c r="M516" s="12"/>
      <c r="R516" s="218"/>
      <c r="S516" s="218"/>
      <c r="T516" s="218"/>
      <c r="U516" s="218"/>
    </row>
    <row r="517">
      <c r="C517" s="12"/>
      <c r="D517" s="3"/>
      <c r="E517" s="112"/>
      <c r="F517" s="3"/>
      <c r="G517" s="3"/>
      <c r="H517" s="12"/>
      <c r="K517" s="12"/>
      <c r="M517" s="12"/>
      <c r="R517" s="218"/>
      <c r="S517" s="218"/>
      <c r="T517" s="218"/>
      <c r="U517" s="218"/>
    </row>
    <row r="518">
      <c r="C518" s="12"/>
      <c r="D518" s="3"/>
      <c r="E518" s="112"/>
      <c r="F518" s="3"/>
      <c r="G518" s="3"/>
      <c r="H518" s="12"/>
      <c r="K518" s="12"/>
      <c r="M518" s="12"/>
      <c r="R518" s="218"/>
      <c r="S518" s="218"/>
      <c r="T518" s="218"/>
      <c r="U518" s="218"/>
    </row>
    <row r="519">
      <c r="C519" s="12"/>
      <c r="D519" s="3"/>
      <c r="E519" s="112"/>
      <c r="F519" s="3"/>
      <c r="G519" s="3"/>
      <c r="H519" s="12"/>
      <c r="K519" s="12"/>
      <c r="M519" s="12"/>
      <c r="R519" s="218"/>
      <c r="S519" s="218"/>
      <c r="T519" s="218"/>
      <c r="U519" s="218"/>
    </row>
    <row r="520">
      <c r="C520" s="12"/>
      <c r="D520" s="3"/>
      <c r="E520" s="112"/>
      <c r="F520" s="3"/>
      <c r="G520" s="3"/>
      <c r="H520" s="12"/>
      <c r="K520" s="12"/>
      <c r="M520" s="12"/>
      <c r="R520" s="218"/>
      <c r="S520" s="218"/>
      <c r="T520" s="218"/>
      <c r="U520" s="218"/>
    </row>
    <row r="521">
      <c r="C521" s="12"/>
      <c r="D521" s="3"/>
      <c r="E521" s="112"/>
      <c r="F521" s="3"/>
      <c r="G521" s="3"/>
      <c r="H521" s="12"/>
      <c r="K521" s="12"/>
      <c r="M521" s="12"/>
      <c r="R521" s="218"/>
      <c r="S521" s="218"/>
      <c r="T521" s="218"/>
      <c r="U521" s="218"/>
    </row>
    <row r="522">
      <c r="C522" s="12"/>
      <c r="D522" s="3"/>
      <c r="E522" s="112"/>
      <c r="F522" s="3"/>
      <c r="G522" s="3"/>
      <c r="H522" s="12"/>
      <c r="K522" s="12"/>
      <c r="M522" s="12"/>
      <c r="R522" s="218"/>
      <c r="S522" s="218"/>
      <c r="T522" s="218"/>
      <c r="U522" s="218"/>
    </row>
    <row r="523">
      <c r="C523" s="12"/>
      <c r="D523" s="3"/>
      <c r="E523" s="112"/>
      <c r="F523" s="3"/>
      <c r="G523" s="3"/>
      <c r="H523" s="12"/>
      <c r="K523" s="12"/>
      <c r="M523" s="12"/>
      <c r="R523" s="218"/>
      <c r="S523" s="218"/>
      <c r="T523" s="218"/>
      <c r="U523" s="218"/>
    </row>
    <row r="524">
      <c r="C524" s="12"/>
      <c r="D524" s="3"/>
      <c r="E524" s="112"/>
      <c r="F524" s="3"/>
      <c r="G524" s="3"/>
      <c r="H524" s="12"/>
      <c r="K524" s="12"/>
      <c r="M524" s="12"/>
      <c r="R524" s="218"/>
      <c r="S524" s="218"/>
      <c r="T524" s="218"/>
      <c r="U524" s="218"/>
    </row>
    <row r="525">
      <c r="C525" s="12"/>
      <c r="D525" s="3"/>
      <c r="E525" s="112"/>
      <c r="F525" s="3"/>
      <c r="G525" s="3"/>
      <c r="H525" s="12"/>
      <c r="K525" s="12"/>
      <c r="M525" s="12"/>
      <c r="R525" s="218"/>
      <c r="S525" s="218"/>
      <c r="T525" s="218"/>
      <c r="U525" s="218"/>
    </row>
    <row r="526">
      <c r="C526" s="12"/>
      <c r="D526" s="3"/>
      <c r="E526" s="112"/>
      <c r="F526" s="3"/>
      <c r="G526" s="3"/>
      <c r="H526" s="12"/>
      <c r="K526" s="12"/>
      <c r="M526" s="12"/>
      <c r="R526" s="218"/>
      <c r="S526" s="218"/>
      <c r="T526" s="218"/>
      <c r="U526" s="218"/>
    </row>
    <row r="527">
      <c r="C527" s="12"/>
      <c r="D527" s="3"/>
      <c r="E527" s="112"/>
      <c r="F527" s="3"/>
      <c r="G527" s="3"/>
      <c r="H527" s="12"/>
      <c r="K527" s="12"/>
      <c r="M527" s="12"/>
      <c r="R527" s="218"/>
      <c r="S527" s="218"/>
      <c r="T527" s="218"/>
      <c r="U527" s="218"/>
    </row>
    <row r="528">
      <c r="C528" s="12"/>
      <c r="D528" s="3"/>
      <c r="E528" s="112"/>
      <c r="F528" s="3"/>
      <c r="G528" s="3"/>
      <c r="H528" s="12"/>
      <c r="K528" s="12"/>
      <c r="M528" s="12"/>
      <c r="R528" s="218"/>
      <c r="S528" s="218"/>
      <c r="T528" s="218"/>
      <c r="U528" s="218"/>
    </row>
    <row r="529">
      <c r="C529" s="12"/>
      <c r="D529" s="3"/>
      <c r="E529" s="112"/>
      <c r="F529" s="3"/>
      <c r="G529" s="3"/>
      <c r="H529" s="12"/>
      <c r="K529" s="12"/>
      <c r="M529" s="12"/>
      <c r="R529" s="218"/>
      <c r="S529" s="218"/>
      <c r="T529" s="218"/>
      <c r="U529" s="218"/>
    </row>
    <row r="530">
      <c r="C530" s="12"/>
      <c r="D530" s="3"/>
      <c r="E530" s="112"/>
      <c r="F530" s="3"/>
      <c r="G530" s="3"/>
      <c r="H530" s="12"/>
      <c r="K530" s="12"/>
      <c r="M530" s="12"/>
      <c r="R530" s="218"/>
      <c r="S530" s="218"/>
      <c r="T530" s="218"/>
      <c r="U530" s="218"/>
    </row>
    <row r="531">
      <c r="C531" s="12"/>
      <c r="D531" s="3"/>
      <c r="E531" s="112"/>
      <c r="F531" s="3"/>
      <c r="G531" s="3"/>
      <c r="H531" s="12"/>
      <c r="K531" s="12"/>
      <c r="M531" s="12"/>
      <c r="R531" s="218"/>
      <c r="S531" s="218"/>
      <c r="T531" s="218"/>
      <c r="U531" s="218"/>
    </row>
    <row r="532">
      <c r="C532" s="12"/>
      <c r="D532" s="3"/>
      <c r="E532" s="112"/>
      <c r="F532" s="3"/>
      <c r="G532" s="3"/>
      <c r="H532" s="12"/>
      <c r="K532" s="12"/>
      <c r="M532" s="12"/>
      <c r="R532" s="218"/>
      <c r="S532" s="218"/>
      <c r="T532" s="218"/>
      <c r="U532" s="218"/>
    </row>
    <row r="533">
      <c r="C533" s="12"/>
      <c r="D533" s="3"/>
      <c r="E533" s="112"/>
      <c r="F533" s="3"/>
      <c r="G533" s="3"/>
      <c r="H533" s="12"/>
      <c r="K533" s="12"/>
      <c r="M533" s="12"/>
      <c r="R533" s="218"/>
      <c r="S533" s="218"/>
      <c r="T533" s="218"/>
      <c r="U533" s="218"/>
    </row>
    <row r="534">
      <c r="C534" s="12"/>
      <c r="D534" s="3"/>
      <c r="E534" s="112"/>
      <c r="F534" s="3"/>
      <c r="G534" s="3"/>
      <c r="H534" s="12"/>
      <c r="K534" s="12"/>
      <c r="M534" s="12"/>
      <c r="R534" s="218"/>
      <c r="S534" s="218"/>
      <c r="T534" s="218"/>
      <c r="U534" s="218"/>
    </row>
    <row r="535">
      <c r="C535" s="12"/>
      <c r="D535" s="3"/>
      <c r="E535" s="112"/>
      <c r="F535" s="3"/>
      <c r="G535" s="3"/>
      <c r="H535" s="12"/>
      <c r="K535" s="12"/>
      <c r="M535" s="12"/>
      <c r="R535" s="218"/>
      <c r="S535" s="218"/>
      <c r="T535" s="218"/>
      <c r="U535" s="218"/>
    </row>
    <row r="536">
      <c r="C536" s="12"/>
      <c r="D536" s="3"/>
      <c r="E536" s="112"/>
      <c r="F536" s="3"/>
      <c r="G536" s="3"/>
      <c r="H536" s="12"/>
      <c r="K536" s="12"/>
      <c r="M536" s="12"/>
      <c r="R536" s="218"/>
      <c r="S536" s="218"/>
      <c r="T536" s="218"/>
      <c r="U536" s="218"/>
    </row>
    <row r="537">
      <c r="C537" s="12"/>
      <c r="D537" s="3"/>
      <c r="E537" s="112"/>
      <c r="F537" s="3"/>
      <c r="G537" s="3"/>
      <c r="H537" s="12"/>
      <c r="K537" s="12"/>
      <c r="M537" s="12"/>
      <c r="R537" s="218"/>
      <c r="S537" s="218"/>
      <c r="T537" s="218"/>
      <c r="U537" s="218"/>
    </row>
    <row r="538">
      <c r="C538" s="12"/>
      <c r="D538" s="3"/>
      <c r="E538" s="112"/>
      <c r="F538" s="3"/>
      <c r="G538" s="3"/>
      <c r="H538" s="12"/>
      <c r="K538" s="12"/>
      <c r="M538" s="12"/>
      <c r="R538" s="218"/>
      <c r="S538" s="218"/>
      <c r="T538" s="218"/>
      <c r="U538" s="218"/>
    </row>
    <row r="539">
      <c r="C539" s="12"/>
      <c r="D539" s="3"/>
      <c r="E539" s="112"/>
      <c r="F539" s="3"/>
      <c r="G539" s="3"/>
      <c r="H539" s="12"/>
      <c r="K539" s="12"/>
      <c r="M539" s="12"/>
      <c r="R539" s="218"/>
      <c r="S539" s="218"/>
      <c r="T539" s="218"/>
      <c r="U539" s="218"/>
    </row>
    <row r="540">
      <c r="C540" s="12"/>
      <c r="D540" s="3"/>
      <c r="E540" s="112"/>
      <c r="F540" s="3"/>
      <c r="G540" s="3"/>
      <c r="H540" s="12"/>
      <c r="K540" s="12"/>
      <c r="M540" s="12"/>
      <c r="R540" s="218"/>
      <c r="S540" s="218"/>
      <c r="T540" s="218"/>
      <c r="U540" s="218"/>
    </row>
    <row r="541">
      <c r="C541" s="12"/>
      <c r="D541" s="3"/>
      <c r="E541" s="112"/>
      <c r="F541" s="3"/>
      <c r="G541" s="3"/>
      <c r="H541" s="12"/>
      <c r="K541" s="12"/>
      <c r="M541" s="12"/>
      <c r="R541" s="218"/>
      <c r="S541" s="218"/>
      <c r="T541" s="218"/>
      <c r="U541" s="218"/>
    </row>
    <row r="542">
      <c r="C542" s="12"/>
      <c r="D542" s="3"/>
      <c r="E542" s="112"/>
      <c r="F542" s="3"/>
      <c r="G542" s="3"/>
      <c r="H542" s="12"/>
      <c r="K542" s="12"/>
      <c r="M542" s="12"/>
      <c r="R542" s="218"/>
      <c r="S542" s="218"/>
      <c r="T542" s="218"/>
      <c r="U542" s="218"/>
    </row>
    <row r="543">
      <c r="C543" s="12"/>
      <c r="D543" s="3"/>
      <c r="E543" s="112"/>
      <c r="F543" s="3"/>
      <c r="G543" s="3"/>
      <c r="H543" s="12"/>
      <c r="K543" s="12"/>
      <c r="M543" s="12"/>
      <c r="R543" s="218"/>
      <c r="S543" s="218"/>
      <c r="T543" s="218"/>
      <c r="U543" s="218"/>
    </row>
    <row r="544">
      <c r="C544" s="12"/>
      <c r="D544" s="3"/>
      <c r="E544" s="112"/>
      <c r="F544" s="3"/>
      <c r="G544" s="3"/>
      <c r="H544" s="12"/>
      <c r="K544" s="12"/>
      <c r="M544" s="12"/>
      <c r="R544" s="218"/>
      <c r="S544" s="218"/>
      <c r="T544" s="218"/>
      <c r="U544" s="218"/>
    </row>
    <row r="545">
      <c r="C545" s="12"/>
      <c r="D545" s="3"/>
      <c r="E545" s="112"/>
      <c r="F545" s="3"/>
      <c r="G545" s="3"/>
      <c r="H545" s="12"/>
      <c r="K545" s="12"/>
      <c r="M545" s="12"/>
      <c r="R545" s="218"/>
      <c r="S545" s="218"/>
      <c r="T545" s="218"/>
      <c r="U545" s="218"/>
    </row>
    <row r="546">
      <c r="C546" s="12"/>
      <c r="D546" s="3"/>
      <c r="E546" s="112"/>
      <c r="F546" s="3"/>
      <c r="G546" s="3"/>
      <c r="H546" s="12"/>
      <c r="K546" s="12"/>
      <c r="M546" s="12"/>
      <c r="R546" s="218"/>
      <c r="S546" s="218"/>
      <c r="T546" s="218"/>
      <c r="U546" s="218"/>
    </row>
    <row r="547">
      <c r="C547" s="12"/>
      <c r="D547" s="3"/>
      <c r="E547" s="112"/>
      <c r="F547" s="3"/>
      <c r="G547" s="3"/>
      <c r="H547" s="12"/>
      <c r="K547" s="12"/>
      <c r="M547" s="12"/>
      <c r="R547" s="218"/>
      <c r="S547" s="218"/>
      <c r="T547" s="218"/>
      <c r="U547" s="218"/>
    </row>
    <row r="548">
      <c r="C548" s="12"/>
      <c r="D548" s="3"/>
      <c r="E548" s="112"/>
      <c r="F548" s="3"/>
      <c r="G548" s="3"/>
      <c r="H548" s="12"/>
      <c r="K548" s="12"/>
      <c r="M548" s="12"/>
      <c r="R548" s="218"/>
      <c r="S548" s="218"/>
      <c r="T548" s="218"/>
      <c r="U548" s="218"/>
    </row>
    <row r="549">
      <c r="C549" s="12"/>
      <c r="D549" s="3"/>
      <c r="E549" s="112"/>
      <c r="F549" s="3"/>
      <c r="G549" s="3"/>
      <c r="H549" s="12"/>
      <c r="K549" s="12"/>
      <c r="M549" s="12"/>
      <c r="R549" s="218"/>
      <c r="S549" s="218"/>
      <c r="T549" s="218"/>
      <c r="U549" s="218"/>
    </row>
    <row r="550">
      <c r="C550" s="12"/>
      <c r="D550" s="3"/>
      <c r="E550" s="112"/>
      <c r="F550" s="3"/>
      <c r="G550" s="3"/>
      <c r="H550" s="12"/>
      <c r="K550" s="12"/>
      <c r="M550" s="12"/>
      <c r="R550" s="218"/>
      <c r="S550" s="218"/>
      <c r="T550" s="218"/>
      <c r="U550" s="218"/>
    </row>
    <row r="551">
      <c r="C551" s="12"/>
      <c r="D551" s="3"/>
      <c r="E551" s="112"/>
      <c r="F551" s="3"/>
      <c r="G551" s="3"/>
      <c r="H551" s="12"/>
      <c r="K551" s="12"/>
      <c r="M551" s="12"/>
      <c r="R551" s="218"/>
      <c r="S551" s="218"/>
      <c r="T551" s="218"/>
      <c r="U551" s="218"/>
    </row>
    <row r="552">
      <c r="C552" s="12"/>
      <c r="D552" s="3"/>
      <c r="E552" s="112"/>
      <c r="F552" s="3"/>
      <c r="G552" s="3"/>
      <c r="H552" s="12"/>
      <c r="K552" s="12"/>
      <c r="M552" s="12"/>
      <c r="R552" s="218"/>
      <c r="S552" s="218"/>
      <c r="T552" s="218"/>
      <c r="U552" s="218"/>
    </row>
    <row r="553">
      <c r="C553" s="12"/>
      <c r="D553" s="3"/>
      <c r="E553" s="112"/>
      <c r="F553" s="3"/>
      <c r="G553" s="3"/>
      <c r="H553" s="12"/>
      <c r="K553" s="12"/>
      <c r="M553" s="12"/>
      <c r="R553" s="218"/>
      <c r="S553" s="218"/>
      <c r="T553" s="218"/>
      <c r="U553" s="218"/>
    </row>
    <row r="554">
      <c r="C554" s="12"/>
      <c r="D554" s="3"/>
      <c r="E554" s="112"/>
      <c r="F554" s="3"/>
      <c r="G554" s="3"/>
      <c r="H554" s="12"/>
      <c r="K554" s="12"/>
      <c r="M554" s="12"/>
      <c r="R554" s="218"/>
      <c r="S554" s="218"/>
      <c r="T554" s="218"/>
      <c r="U554" s="218"/>
    </row>
    <row r="555">
      <c r="C555" s="12"/>
      <c r="D555" s="3"/>
      <c r="E555" s="112"/>
      <c r="F555" s="3"/>
      <c r="G555" s="3"/>
      <c r="H555" s="12"/>
      <c r="K555" s="12"/>
      <c r="M555" s="12"/>
      <c r="R555" s="218"/>
      <c r="S555" s="218"/>
      <c r="T555" s="218"/>
      <c r="U555" s="218"/>
    </row>
    <row r="556">
      <c r="C556" s="12"/>
      <c r="D556" s="3"/>
      <c r="E556" s="112"/>
      <c r="F556" s="3"/>
      <c r="G556" s="3"/>
      <c r="H556" s="12"/>
      <c r="K556" s="12"/>
      <c r="M556" s="12"/>
      <c r="R556" s="218"/>
      <c r="S556" s="218"/>
      <c r="T556" s="218"/>
      <c r="U556" s="218"/>
    </row>
    <row r="557">
      <c r="C557" s="12"/>
      <c r="D557" s="3"/>
      <c r="E557" s="112"/>
      <c r="F557" s="3"/>
      <c r="G557" s="3"/>
      <c r="H557" s="12"/>
      <c r="K557" s="12"/>
      <c r="M557" s="12"/>
      <c r="R557" s="218"/>
      <c r="S557" s="218"/>
      <c r="T557" s="218"/>
      <c r="U557" s="218"/>
    </row>
    <row r="558">
      <c r="C558" s="12"/>
      <c r="D558" s="3"/>
      <c r="E558" s="112"/>
      <c r="F558" s="3"/>
      <c r="G558" s="3"/>
      <c r="H558" s="12"/>
      <c r="K558" s="12"/>
      <c r="M558" s="12"/>
      <c r="R558" s="218"/>
      <c r="S558" s="218"/>
      <c r="T558" s="218"/>
      <c r="U558" s="218"/>
    </row>
    <row r="559">
      <c r="C559" s="12"/>
      <c r="D559" s="3"/>
      <c r="E559" s="112"/>
      <c r="F559" s="3"/>
      <c r="G559" s="3"/>
      <c r="H559" s="12"/>
      <c r="K559" s="12"/>
      <c r="M559" s="12"/>
      <c r="R559" s="218"/>
      <c r="S559" s="218"/>
      <c r="T559" s="218"/>
      <c r="U559" s="218"/>
    </row>
    <row r="560">
      <c r="C560" s="12"/>
      <c r="D560" s="3"/>
      <c r="E560" s="112"/>
      <c r="F560" s="3"/>
      <c r="G560" s="3"/>
      <c r="H560" s="12"/>
      <c r="K560" s="12"/>
      <c r="M560" s="12"/>
      <c r="R560" s="218"/>
      <c r="S560" s="218"/>
      <c r="T560" s="218"/>
      <c r="U560" s="218"/>
    </row>
    <row r="561">
      <c r="C561" s="12"/>
      <c r="D561" s="3"/>
      <c r="E561" s="112"/>
      <c r="F561" s="3"/>
      <c r="G561" s="3"/>
      <c r="H561" s="12"/>
      <c r="K561" s="12"/>
      <c r="M561" s="12"/>
      <c r="R561" s="218"/>
      <c r="S561" s="218"/>
      <c r="T561" s="218"/>
      <c r="U561" s="218"/>
    </row>
    <row r="562">
      <c r="C562" s="12"/>
      <c r="D562" s="3"/>
      <c r="E562" s="112"/>
      <c r="F562" s="3"/>
      <c r="G562" s="3"/>
      <c r="H562" s="12"/>
      <c r="K562" s="12"/>
      <c r="M562" s="12"/>
      <c r="R562" s="218"/>
      <c r="S562" s="218"/>
      <c r="T562" s="218"/>
      <c r="U562" s="218"/>
    </row>
    <row r="563">
      <c r="C563" s="12"/>
      <c r="D563" s="3"/>
      <c r="E563" s="112"/>
      <c r="F563" s="3"/>
      <c r="G563" s="3"/>
      <c r="H563" s="12"/>
      <c r="K563" s="12"/>
      <c r="M563" s="12"/>
      <c r="R563" s="218"/>
      <c r="S563" s="218"/>
      <c r="T563" s="218"/>
      <c r="U563" s="218"/>
    </row>
    <row r="564">
      <c r="C564" s="12"/>
      <c r="D564" s="3"/>
      <c r="E564" s="112"/>
      <c r="F564" s="3"/>
      <c r="G564" s="3"/>
      <c r="H564" s="12"/>
      <c r="K564" s="12"/>
      <c r="M564" s="12"/>
      <c r="R564" s="218"/>
      <c r="S564" s="218"/>
      <c r="T564" s="218"/>
      <c r="U564" s="218"/>
    </row>
    <row r="565">
      <c r="C565" s="12"/>
      <c r="D565" s="3"/>
      <c r="E565" s="112"/>
      <c r="F565" s="3"/>
      <c r="G565" s="3"/>
      <c r="H565" s="12"/>
      <c r="K565" s="12"/>
      <c r="M565" s="12"/>
      <c r="R565" s="218"/>
      <c r="S565" s="218"/>
      <c r="T565" s="218"/>
      <c r="U565" s="218"/>
    </row>
    <row r="566">
      <c r="C566" s="12"/>
      <c r="D566" s="3"/>
      <c r="E566" s="112"/>
      <c r="F566" s="3"/>
      <c r="G566" s="3"/>
      <c r="H566" s="12"/>
      <c r="K566" s="12"/>
      <c r="M566" s="12"/>
      <c r="R566" s="218"/>
      <c r="S566" s="218"/>
      <c r="T566" s="218"/>
      <c r="U566" s="218"/>
    </row>
    <row r="567">
      <c r="C567" s="12"/>
      <c r="D567" s="3"/>
      <c r="E567" s="112"/>
      <c r="F567" s="3"/>
      <c r="G567" s="3"/>
      <c r="H567" s="12"/>
      <c r="K567" s="12"/>
      <c r="M567" s="12"/>
      <c r="R567" s="218"/>
      <c r="S567" s="218"/>
      <c r="T567" s="218"/>
      <c r="U567" s="218"/>
    </row>
    <row r="568">
      <c r="C568" s="12"/>
      <c r="D568" s="3"/>
      <c r="E568" s="112"/>
      <c r="F568" s="3"/>
      <c r="G568" s="3"/>
      <c r="H568" s="12"/>
      <c r="K568" s="12"/>
      <c r="M568" s="12"/>
      <c r="R568" s="218"/>
      <c r="S568" s="218"/>
      <c r="T568" s="218"/>
      <c r="U568" s="218"/>
    </row>
    <row r="569">
      <c r="C569" s="12"/>
      <c r="D569" s="3"/>
      <c r="E569" s="112"/>
      <c r="F569" s="3"/>
      <c r="G569" s="3"/>
      <c r="H569" s="12"/>
      <c r="K569" s="12"/>
      <c r="M569" s="12"/>
      <c r="R569" s="218"/>
      <c r="S569" s="218"/>
      <c r="T569" s="218"/>
      <c r="U569" s="218"/>
    </row>
    <row r="570">
      <c r="C570" s="12"/>
      <c r="D570" s="3"/>
      <c r="E570" s="112"/>
      <c r="F570" s="3"/>
      <c r="G570" s="3"/>
      <c r="H570" s="12"/>
      <c r="K570" s="12"/>
      <c r="M570" s="12"/>
      <c r="R570" s="218"/>
      <c r="S570" s="218"/>
      <c r="T570" s="218"/>
      <c r="U570" s="218"/>
    </row>
    <row r="571">
      <c r="C571" s="12"/>
      <c r="D571" s="3"/>
      <c r="E571" s="112"/>
      <c r="F571" s="3"/>
      <c r="G571" s="3"/>
      <c r="H571" s="12"/>
      <c r="K571" s="12"/>
      <c r="M571" s="12"/>
      <c r="R571" s="218"/>
      <c r="S571" s="218"/>
      <c r="T571" s="218"/>
      <c r="U571" s="218"/>
    </row>
    <row r="572">
      <c r="C572" s="12"/>
      <c r="D572" s="3"/>
      <c r="E572" s="112"/>
      <c r="F572" s="3"/>
      <c r="G572" s="3"/>
      <c r="H572" s="12"/>
      <c r="K572" s="12"/>
      <c r="M572" s="12"/>
      <c r="R572" s="218"/>
      <c r="S572" s="218"/>
      <c r="T572" s="218"/>
      <c r="U572" s="218"/>
    </row>
    <row r="573">
      <c r="C573" s="12"/>
      <c r="D573" s="3"/>
      <c r="E573" s="112"/>
      <c r="F573" s="3"/>
      <c r="G573" s="3"/>
      <c r="H573" s="12"/>
      <c r="K573" s="12"/>
      <c r="M573" s="12"/>
      <c r="R573" s="218"/>
      <c r="S573" s="218"/>
      <c r="T573" s="218"/>
      <c r="U573" s="218"/>
    </row>
    <row r="574">
      <c r="C574" s="12"/>
      <c r="D574" s="3"/>
      <c r="E574" s="112"/>
      <c r="F574" s="3"/>
      <c r="G574" s="3"/>
      <c r="H574" s="12"/>
      <c r="K574" s="12"/>
      <c r="M574" s="12"/>
      <c r="R574" s="218"/>
      <c r="S574" s="218"/>
      <c r="T574" s="218"/>
      <c r="U574" s="218"/>
    </row>
    <row r="575">
      <c r="C575" s="12"/>
      <c r="D575" s="3"/>
      <c r="E575" s="112"/>
      <c r="F575" s="3"/>
      <c r="G575" s="3"/>
      <c r="H575" s="12"/>
      <c r="K575" s="12"/>
      <c r="M575" s="12"/>
      <c r="R575" s="218"/>
      <c r="S575" s="218"/>
      <c r="T575" s="218"/>
      <c r="U575" s="218"/>
    </row>
    <row r="576">
      <c r="C576" s="12"/>
      <c r="D576" s="3"/>
      <c r="E576" s="112"/>
      <c r="F576" s="3"/>
      <c r="G576" s="3"/>
      <c r="H576" s="12"/>
      <c r="K576" s="12"/>
      <c r="M576" s="12"/>
      <c r="R576" s="218"/>
      <c r="S576" s="218"/>
      <c r="T576" s="218"/>
      <c r="U576" s="218"/>
    </row>
    <row r="577">
      <c r="C577" s="12"/>
      <c r="D577" s="3"/>
      <c r="E577" s="112"/>
      <c r="F577" s="3"/>
      <c r="G577" s="3"/>
      <c r="H577" s="12"/>
      <c r="K577" s="12"/>
      <c r="M577" s="12"/>
      <c r="R577" s="218"/>
      <c r="S577" s="218"/>
      <c r="T577" s="218"/>
      <c r="U577" s="218"/>
    </row>
    <row r="578">
      <c r="C578" s="12"/>
      <c r="D578" s="3"/>
      <c r="E578" s="112"/>
      <c r="F578" s="3"/>
      <c r="G578" s="3"/>
      <c r="H578" s="12"/>
      <c r="K578" s="12"/>
      <c r="M578" s="12"/>
      <c r="R578" s="218"/>
      <c r="S578" s="218"/>
      <c r="T578" s="218"/>
      <c r="U578" s="218"/>
    </row>
    <row r="579">
      <c r="C579" s="12"/>
      <c r="D579" s="3"/>
      <c r="E579" s="112"/>
      <c r="F579" s="3"/>
      <c r="G579" s="3"/>
      <c r="H579" s="12"/>
      <c r="K579" s="12"/>
      <c r="M579" s="12"/>
      <c r="R579" s="218"/>
      <c r="S579" s="218"/>
      <c r="T579" s="218"/>
      <c r="U579" s="218"/>
    </row>
    <row r="580">
      <c r="C580" s="12"/>
      <c r="D580" s="3"/>
      <c r="E580" s="112"/>
      <c r="F580" s="3"/>
      <c r="G580" s="3"/>
      <c r="H580" s="12"/>
      <c r="K580" s="12"/>
      <c r="M580" s="12"/>
      <c r="R580" s="218"/>
      <c r="S580" s="218"/>
      <c r="T580" s="218"/>
      <c r="U580" s="218"/>
    </row>
    <row r="581">
      <c r="C581" s="12"/>
      <c r="D581" s="3"/>
      <c r="E581" s="112"/>
      <c r="F581" s="3"/>
      <c r="G581" s="3"/>
      <c r="H581" s="12"/>
      <c r="K581" s="12"/>
      <c r="M581" s="12"/>
      <c r="R581" s="218"/>
      <c r="S581" s="218"/>
      <c r="T581" s="218"/>
      <c r="U581" s="218"/>
    </row>
    <row r="582">
      <c r="C582" s="12"/>
      <c r="D582" s="3"/>
      <c r="E582" s="112"/>
      <c r="F582" s="3"/>
      <c r="G582" s="3"/>
      <c r="H582" s="12"/>
      <c r="K582" s="12"/>
      <c r="M582" s="12"/>
      <c r="R582" s="218"/>
      <c r="S582" s="218"/>
      <c r="T582" s="218"/>
      <c r="U582" s="218"/>
    </row>
    <row r="583">
      <c r="C583" s="12"/>
      <c r="D583" s="3"/>
      <c r="E583" s="112"/>
      <c r="F583" s="3"/>
      <c r="G583" s="3"/>
      <c r="H583" s="12"/>
      <c r="K583" s="12"/>
      <c r="M583" s="12"/>
      <c r="R583" s="218"/>
      <c r="S583" s="218"/>
      <c r="T583" s="218"/>
      <c r="U583" s="218"/>
    </row>
    <row r="584">
      <c r="C584" s="12"/>
      <c r="D584" s="3"/>
      <c r="E584" s="112"/>
      <c r="F584" s="3"/>
      <c r="G584" s="3"/>
      <c r="H584" s="12"/>
      <c r="K584" s="12"/>
      <c r="M584" s="12"/>
      <c r="R584" s="218"/>
      <c r="S584" s="218"/>
      <c r="T584" s="218"/>
      <c r="U584" s="218"/>
    </row>
    <row r="585">
      <c r="C585" s="12"/>
      <c r="D585" s="3"/>
      <c r="E585" s="112"/>
      <c r="F585" s="3"/>
      <c r="G585" s="3"/>
      <c r="H585" s="12"/>
      <c r="K585" s="12"/>
      <c r="M585" s="12"/>
      <c r="R585" s="218"/>
      <c r="S585" s="218"/>
      <c r="T585" s="218"/>
      <c r="U585" s="218"/>
    </row>
    <row r="586">
      <c r="C586" s="12"/>
      <c r="D586" s="3"/>
      <c r="E586" s="112"/>
      <c r="F586" s="3"/>
      <c r="G586" s="3"/>
      <c r="H586" s="12"/>
      <c r="K586" s="12"/>
      <c r="M586" s="12"/>
      <c r="R586" s="218"/>
      <c r="S586" s="218"/>
      <c r="T586" s="218"/>
      <c r="U586" s="218"/>
    </row>
    <row r="587">
      <c r="C587" s="12"/>
      <c r="D587" s="3"/>
      <c r="E587" s="112"/>
      <c r="F587" s="3"/>
      <c r="G587" s="3"/>
      <c r="H587" s="12"/>
      <c r="K587" s="12"/>
      <c r="M587" s="12"/>
      <c r="R587" s="218"/>
      <c r="S587" s="218"/>
      <c r="T587" s="218"/>
      <c r="U587" s="218"/>
    </row>
    <row r="588">
      <c r="C588" s="12"/>
      <c r="D588" s="3"/>
      <c r="E588" s="112"/>
      <c r="F588" s="3"/>
      <c r="G588" s="3"/>
      <c r="H588" s="12"/>
      <c r="K588" s="12"/>
      <c r="M588" s="12"/>
      <c r="R588" s="218"/>
      <c r="S588" s="218"/>
      <c r="T588" s="218"/>
      <c r="U588" s="218"/>
    </row>
    <row r="589">
      <c r="C589" s="12"/>
      <c r="D589" s="3"/>
      <c r="E589" s="112"/>
      <c r="F589" s="3"/>
      <c r="G589" s="3"/>
      <c r="H589" s="12"/>
      <c r="K589" s="12"/>
      <c r="M589" s="12"/>
      <c r="R589" s="218"/>
      <c r="S589" s="218"/>
      <c r="T589" s="218"/>
      <c r="U589" s="218"/>
    </row>
    <row r="590">
      <c r="C590" s="12"/>
      <c r="D590" s="3"/>
      <c r="E590" s="112"/>
      <c r="F590" s="3"/>
      <c r="G590" s="3"/>
      <c r="H590" s="12"/>
      <c r="K590" s="12"/>
      <c r="M590" s="12"/>
      <c r="R590" s="218"/>
      <c r="S590" s="218"/>
      <c r="T590" s="218"/>
      <c r="U590" s="218"/>
    </row>
    <row r="591">
      <c r="C591" s="12"/>
      <c r="D591" s="3"/>
      <c r="E591" s="112"/>
      <c r="F591" s="3"/>
      <c r="G591" s="3"/>
      <c r="H591" s="12"/>
      <c r="K591" s="12"/>
      <c r="M591" s="12"/>
      <c r="R591" s="218"/>
      <c r="S591" s="218"/>
      <c r="T591" s="218"/>
      <c r="U591" s="218"/>
    </row>
    <row r="592">
      <c r="C592" s="12"/>
      <c r="D592" s="3"/>
      <c r="E592" s="112"/>
      <c r="F592" s="3"/>
      <c r="G592" s="3"/>
      <c r="H592" s="12"/>
      <c r="K592" s="12"/>
      <c r="M592" s="12"/>
      <c r="R592" s="218"/>
      <c r="S592" s="218"/>
      <c r="T592" s="218"/>
      <c r="U592" s="218"/>
    </row>
    <row r="593">
      <c r="C593" s="12"/>
      <c r="D593" s="3"/>
      <c r="E593" s="112"/>
      <c r="F593" s="3"/>
      <c r="G593" s="3"/>
      <c r="H593" s="12"/>
      <c r="K593" s="12"/>
      <c r="M593" s="12"/>
      <c r="R593" s="218"/>
      <c r="S593" s="218"/>
      <c r="T593" s="218"/>
      <c r="U593" s="218"/>
    </row>
    <row r="594">
      <c r="C594" s="12"/>
      <c r="D594" s="3"/>
      <c r="E594" s="112"/>
      <c r="F594" s="3"/>
      <c r="G594" s="3"/>
      <c r="H594" s="12"/>
      <c r="K594" s="12"/>
      <c r="M594" s="12"/>
      <c r="R594" s="218"/>
      <c r="S594" s="218"/>
      <c r="T594" s="218"/>
      <c r="U594" s="218"/>
    </row>
    <row r="595">
      <c r="C595" s="12"/>
      <c r="D595" s="3"/>
      <c r="E595" s="112"/>
      <c r="F595" s="3"/>
      <c r="G595" s="3"/>
      <c r="H595" s="12"/>
      <c r="K595" s="12"/>
      <c r="M595" s="12"/>
      <c r="R595" s="218"/>
      <c r="S595" s="218"/>
      <c r="T595" s="218"/>
      <c r="U595" s="218"/>
    </row>
    <row r="596">
      <c r="C596" s="12"/>
      <c r="D596" s="3"/>
      <c r="E596" s="112"/>
      <c r="F596" s="3"/>
      <c r="G596" s="3"/>
      <c r="H596" s="12"/>
      <c r="K596" s="12"/>
      <c r="M596" s="12"/>
      <c r="R596" s="218"/>
      <c r="S596" s="218"/>
      <c r="T596" s="218"/>
      <c r="U596" s="218"/>
    </row>
    <row r="597">
      <c r="C597" s="12"/>
      <c r="D597" s="3"/>
      <c r="E597" s="112"/>
      <c r="F597" s="3"/>
      <c r="G597" s="3"/>
      <c r="H597" s="12"/>
      <c r="K597" s="12"/>
      <c r="M597" s="12"/>
      <c r="R597" s="218"/>
      <c r="S597" s="218"/>
      <c r="T597" s="218"/>
      <c r="U597" s="218"/>
    </row>
    <row r="598">
      <c r="C598" s="12"/>
      <c r="D598" s="3"/>
      <c r="E598" s="112"/>
      <c r="F598" s="3"/>
      <c r="G598" s="3"/>
      <c r="H598" s="12"/>
      <c r="K598" s="12"/>
      <c r="M598" s="12"/>
      <c r="R598" s="218"/>
      <c r="S598" s="218"/>
      <c r="T598" s="218"/>
      <c r="U598" s="218"/>
    </row>
    <row r="599">
      <c r="C599" s="12"/>
      <c r="D599" s="3"/>
      <c r="E599" s="112"/>
      <c r="F599" s="3"/>
      <c r="G599" s="3"/>
      <c r="H599" s="12"/>
      <c r="K599" s="12"/>
      <c r="M599" s="12"/>
      <c r="R599" s="218"/>
      <c r="S599" s="218"/>
      <c r="T599" s="218"/>
      <c r="U599" s="218"/>
    </row>
    <row r="600">
      <c r="C600" s="12"/>
      <c r="D600" s="3"/>
      <c r="E600" s="112"/>
      <c r="F600" s="3"/>
      <c r="G600" s="3"/>
      <c r="H600" s="12"/>
      <c r="K600" s="12"/>
      <c r="M600" s="12"/>
      <c r="R600" s="218"/>
      <c r="S600" s="218"/>
      <c r="T600" s="218"/>
      <c r="U600" s="218"/>
    </row>
    <row r="601">
      <c r="C601" s="12"/>
      <c r="D601" s="3"/>
      <c r="E601" s="112"/>
      <c r="F601" s="3"/>
      <c r="G601" s="3"/>
      <c r="H601" s="12"/>
      <c r="K601" s="12"/>
      <c r="M601" s="12"/>
      <c r="R601" s="218"/>
      <c r="S601" s="218"/>
      <c r="T601" s="218"/>
      <c r="U601" s="218"/>
    </row>
    <row r="602">
      <c r="C602" s="12"/>
      <c r="D602" s="3"/>
      <c r="E602" s="112"/>
      <c r="F602" s="3"/>
      <c r="G602" s="3"/>
      <c r="H602" s="12"/>
      <c r="K602" s="12"/>
      <c r="M602" s="12"/>
      <c r="R602" s="218"/>
      <c r="S602" s="218"/>
      <c r="T602" s="218"/>
      <c r="U602" s="218"/>
    </row>
    <row r="603">
      <c r="C603" s="12"/>
      <c r="D603" s="3"/>
      <c r="E603" s="112"/>
      <c r="F603" s="3"/>
      <c r="G603" s="3"/>
      <c r="H603" s="12"/>
      <c r="K603" s="12"/>
      <c r="M603" s="12"/>
      <c r="R603" s="218"/>
      <c r="S603" s="218"/>
      <c r="T603" s="218"/>
      <c r="U603" s="218"/>
    </row>
    <row r="604">
      <c r="C604" s="12"/>
      <c r="D604" s="3"/>
      <c r="E604" s="112"/>
      <c r="F604" s="3"/>
      <c r="G604" s="3"/>
      <c r="H604" s="12"/>
      <c r="K604" s="12"/>
      <c r="M604" s="12"/>
      <c r="R604" s="218"/>
      <c r="S604" s="218"/>
      <c r="T604" s="218"/>
      <c r="U604" s="218"/>
    </row>
    <row r="605">
      <c r="C605" s="12"/>
      <c r="D605" s="3"/>
      <c r="E605" s="112"/>
      <c r="F605" s="3"/>
      <c r="G605" s="3"/>
      <c r="H605" s="12"/>
      <c r="K605" s="12"/>
      <c r="M605" s="12"/>
      <c r="R605" s="218"/>
      <c r="S605" s="218"/>
      <c r="T605" s="218"/>
      <c r="U605" s="218"/>
    </row>
    <row r="606">
      <c r="C606" s="12"/>
      <c r="D606" s="3"/>
      <c r="E606" s="112"/>
      <c r="F606" s="3"/>
      <c r="G606" s="3"/>
      <c r="H606" s="12"/>
      <c r="K606" s="12"/>
      <c r="M606" s="12"/>
      <c r="R606" s="218"/>
      <c r="S606" s="218"/>
      <c r="T606" s="218"/>
      <c r="U606" s="218"/>
    </row>
    <row r="607">
      <c r="C607" s="12"/>
      <c r="D607" s="3"/>
      <c r="E607" s="112"/>
      <c r="F607" s="3"/>
      <c r="G607" s="3"/>
      <c r="H607" s="12"/>
      <c r="K607" s="12"/>
      <c r="M607" s="12"/>
      <c r="R607" s="218"/>
      <c r="S607" s="218"/>
      <c r="T607" s="218"/>
      <c r="U607" s="218"/>
    </row>
    <row r="608">
      <c r="C608" s="12"/>
      <c r="D608" s="3"/>
      <c r="E608" s="112"/>
      <c r="F608" s="3"/>
      <c r="G608" s="3"/>
      <c r="H608" s="12"/>
      <c r="K608" s="12"/>
      <c r="M608" s="12"/>
      <c r="R608" s="218"/>
      <c r="S608" s="218"/>
      <c r="T608" s="218"/>
      <c r="U608" s="218"/>
    </row>
    <row r="609">
      <c r="C609" s="12"/>
      <c r="D609" s="3"/>
      <c r="E609" s="112"/>
      <c r="F609" s="3"/>
      <c r="G609" s="3"/>
      <c r="H609" s="12"/>
      <c r="K609" s="12"/>
      <c r="M609" s="12"/>
      <c r="R609" s="218"/>
      <c r="S609" s="218"/>
      <c r="T609" s="218"/>
      <c r="U609" s="218"/>
    </row>
    <row r="610">
      <c r="C610" s="12"/>
      <c r="D610" s="3"/>
      <c r="E610" s="112"/>
      <c r="F610" s="3"/>
      <c r="G610" s="3"/>
      <c r="H610" s="12"/>
      <c r="K610" s="12"/>
      <c r="M610" s="12"/>
      <c r="R610" s="218"/>
      <c r="S610" s="218"/>
      <c r="T610" s="218"/>
      <c r="U610" s="218"/>
    </row>
    <row r="611">
      <c r="C611" s="12"/>
      <c r="D611" s="3"/>
      <c r="E611" s="112"/>
      <c r="F611" s="3"/>
      <c r="G611" s="3"/>
      <c r="H611" s="12"/>
      <c r="K611" s="12"/>
      <c r="M611" s="12"/>
      <c r="R611" s="218"/>
      <c r="S611" s="218"/>
      <c r="T611" s="218"/>
      <c r="U611" s="218"/>
    </row>
    <row r="612">
      <c r="C612" s="12"/>
      <c r="D612" s="3"/>
      <c r="E612" s="112"/>
      <c r="F612" s="3"/>
      <c r="G612" s="3"/>
      <c r="H612" s="12"/>
      <c r="K612" s="12"/>
      <c r="M612" s="12"/>
      <c r="R612" s="218"/>
      <c r="S612" s="218"/>
      <c r="T612" s="218"/>
      <c r="U612" s="218"/>
    </row>
    <row r="613">
      <c r="C613" s="12"/>
      <c r="D613" s="3"/>
      <c r="E613" s="112"/>
      <c r="F613" s="3"/>
      <c r="G613" s="3"/>
      <c r="H613" s="12"/>
      <c r="K613" s="12"/>
      <c r="M613" s="12"/>
      <c r="R613" s="218"/>
      <c r="S613" s="218"/>
      <c r="T613" s="218"/>
      <c r="U613" s="218"/>
    </row>
    <row r="614">
      <c r="C614" s="12"/>
      <c r="D614" s="3"/>
      <c r="E614" s="112"/>
      <c r="F614" s="3"/>
      <c r="G614" s="3"/>
      <c r="H614" s="12"/>
      <c r="K614" s="12"/>
      <c r="M614" s="12"/>
      <c r="R614" s="218"/>
      <c r="S614" s="218"/>
      <c r="T614" s="218"/>
      <c r="U614" s="218"/>
    </row>
    <row r="615">
      <c r="C615" s="12"/>
      <c r="D615" s="3"/>
      <c r="E615" s="112"/>
      <c r="F615" s="3"/>
      <c r="G615" s="3"/>
      <c r="H615" s="12"/>
      <c r="K615" s="12"/>
      <c r="M615" s="12"/>
      <c r="R615" s="218"/>
      <c r="S615" s="218"/>
      <c r="T615" s="218"/>
      <c r="U615" s="218"/>
    </row>
    <row r="616">
      <c r="C616" s="12"/>
      <c r="D616" s="3"/>
      <c r="E616" s="112"/>
      <c r="F616" s="3"/>
      <c r="G616" s="3"/>
      <c r="H616" s="12"/>
      <c r="K616" s="12"/>
      <c r="M616" s="12"/>
      <c r="R616" s="218"/>
      <c r="S616" s="218"/>
      <c r="T616" s="218"/>
      <c r="U616" s="218"/>
    </row>
    <row r="617">
      <c r="C617" s="12"/>
      <c r="D617" s="3"/>
      <c r="E617" s="112"/>
      <c r="F617" s="3"/>
      <c r="G617" s="3"/>
      <c r="H617" s="12"/>
      <c r="K617" s="12"/>
      <c r="M617" s="12"/>
      <c r="R617" s="218"/>
      <c r="S617" s="218"/>
      <c r="T617" s="218"/>
      <c r="U617" s="218"/>
    </row>
    <row r="618">
      <c r="C618" s="12"/>
      <c r="D618" s="3"/>
      <c r="E618" s="112"/>
      <c r="F618" s="3"/>
      <c r="G618" s="3"/>
      <c r="H618" s="12"/>
      <c r="K618" s="12"/>
      <c r="M618" s="12"/>
      <c r="R618" s="218"/>
      <c r="S618" s="218"/>
      <c r="T618" s="218"/>
      <c r="U618" s="218"/>
    </row>
    <row r="619">
      <c r="C619" s="12"/>
      <c r="D619" s="3"/>
      <c r="E619" s="112"/>
      <c r="F619" s="3"/>
      <c r="G619" s="3"/>
      <c r="H619" s="12"/>
      <c r="K619" s="12"/>
      <c r="M619" s="12"/>
      <c r="R619" s="218"/>
      <c r="S619" s="218"/>
      <c r="T619" s="218"/>
      <c r="U619" s="218"/>
    </row>
    <row r="620">
      <c r="C620" s="12"/>
      <c r="D620" s="3"/>
      <c r="E620" s="112"/>
      <c r="F620" s="3"/>
      <c r="G620" s="3"/>
      <c r="H620" s="12"/>
      <c r="K620" s="12"/>
      <c r="M620" s="12"/>
      <c r="R620" s="218"/>
      <c r="S620" s="218"/>
      <c r="T620" s="218"/>
      <c r="U620" s="218"/>
    </row>
    <row r="621">
      <c r="C621" s="12"/>
      <c r="D621" s="3"/>
      <c r="E621" s="112"/>
      <c r="F621" s="3"/>
      <c r="G621" s="3"/>
      <c r="H621" s="12"/>
      <c r="K621" s="12"/>
      <c r="M621" s="12"/>
      <c r="R621" s="218"/>
      <c r="S621" s="218"/>
      <c r="T621" s="218"/>
      <c r="U621" s="218"/>
    </row>
    <row r="622">
      <c r="C622" s="12"/>
      <c r="D622" s="3"/>
      <c r="E622" s="112"/>
      <c r="F622" s="3"/>
      <c r="G622" s="3"/>
      <c r="H622" s="12"/>
      <c r="K622" s="12"/>
      <c r="M622" s="12"/>
      <c r="R622" s="218"/>
      <c r="S622" s="218"/>
      <c r="T622" s="218"/>
      <c r="U622" s="218"/>
    </row>
    <row r="623">
      <c r="C623" s="12"/>
      <c r="D623" s="3"/>
      <c r="E623" s="112"/>
      <c r="F623" s="3"/>
      <c r="G623" s="3"/>
      <c r="H623" s="12"/>
      <c r="K623" s="12"/>
      <c r="M623" s="12"/>
      <c r="R623" s="218"/>
      <c r="S623" s="218"/>
      <c r="T623" s="218"/>
      <c r="U623" s="218"/>
    </row>
    <row r="624">
      <c r="C624" s="12"/>
      <c r="D624" s="3"/>
      <c r="E624" s="112"/>
      <c r="F624" s="3"/>
      <c r="G624" s="3"/>
      <c r="H624" s="12"/>
      <c r="K624" s="12"/>
      <c r="M624" s="12"/>
      <c r="R624" s="218"/>
      <c r="S624" s="218"/>
      <c r="T624" s="218"/>
      <c r="U624" s="218"/>
    </row>
    <row r="625">
      <c r="C625" s="12"/>
      <c r="D625" s="3"/>
      <c r="E625" s="112"/>
      <c r="F625" s="3"/>
      <c r="G625" s="3"/>
      <c r="H625" s="12"/>
      <c r="K625" s="12"/>
      <c r="M625" s="12"/>
      <c r="R625" s="218"/>
      <c r="S625" s="218"/>
      <c r="T625" s="218"/>
      <c r="U625" s="218"/>
    </row>
    <row r="626">
      <c r="C626" s="12"/>
      <c r="D626" s="3"/>
      <c r="E626" s="112"/>
      <c r="F626" s="3"/>
      <c r="G626" s="3"/>
      <c r="H626" s="12"/>
      <c r="K626" s="12"/>
      <c r="M626" s="12"/>
      <c r="R626" s="218"/>
      <c r="S626" s="218"/>
      <c r="T626" s="218"/>
      <c r="U626" s="218"/>
    </row>
    <row r="627">
      <c r="C627" s="12"/>
      <c r="D627" s="3"/>
      <c r="E627" s="112"/>
      <c r="F627" s="3"/>
      <c r="G627" s="3"/>
      <c r="H627" s="12"/>
      <c r="K627" s="12"/>
      <c r="M627" s="12"/>
      <c r="R627" s="218"/>
      <c r="S627" s="218"/>
      <c r="T627" s="218"/>
      <c r="U627" s="218"/>
    </row>
    <row r="628">
      <c r="C628" s="12"/>
      <c r="D628" s="3"/>
      <c r="E628" s="112"/>
      <c r="F628" s="3"/>
      <c r="G628" s="3"/>
      <c r="H628" s="12"/>
      <c r="K628" s="12"/>
      <c r="M628" s="12"/>
      <c r="R628" s="218"/>
      <c r="S628" s="218"/>
      <c r="T628" s="218"/>
      <c r="U628" s="218"/>
    </row>
    <row r="629">
      <c r="C629" s="12"/>
      <c r="D629" s="3"/>
      <c r="E629" s="112"/>
      <c r="F629" s="3"/>
      <c r="G629" s="3"/>
      <c r="H629" s="12"/>
      <c r="K629" s="12"/>
      <c r="M629" s="12"/>
      <c r="R629" s="218"/>
      <c r="S629" s="218"/>
      <c r="T629" s="218"/>
      <c r="U629" s="218"/>
    </row>
    <row r="630">
      <c r="C630" s="12"/>
      <c r="D630" s="3"/>
      <c r="E630" s="112"/>
      <c r="F630" s="3"/>
      <c r="G630" s="3"/>
      <c r="H630" s="12"/>
      <c r="K630" s="12"/>
      <c r="M630" s="12"/>
      <c r="R630" s="218"/>
      <c r="S630" s="218"/>
      <c r="T630" s="218"/>
      <c r="U630" s="218"/>
    </row>
    <row r="631">
      <c r="C631" s="12"/>
      <c r="D631" s="3"/>
      <c r="E631" s="112"/>
      <c r="F631" s="3"/>
      <c r="G631" s="3"/>
      <c r="H631" s="12"/>
      <c r="K631" s="12"/>
      <c r="M631" s="12"/>
      <c r="R631" s="218"/>
      <c r="S631" s="218"/>
      <c r="T631" s="218"/>
      <c r="U631" s="218"/>
    </row>
    <row r="632">
      <c r="C632" s="12"/>
      <c r="D632" s="3"/>
      <c r="E632" s="112"/>
      <c r="F632" s="3"/>
      <c r="G632" s="3"/>
      <c r="H632" s="12"/>
      <c r="K632" s="12"/>
      <c r="M632" s="12"/>
      <c r="R632" s="218"/>
      <c r="S632" s="218"/>
      <c r="T632" s="218"/>
      <c r="U632" s="218"/>
    </row>
    <row r="633">
      <c r="C633" s="12"/>
      <c r="D633" s="3"/>
      <c r="E633" s="112"/>
      <c r="F633" s="3"/>
      <c r="G633" s="3"/>
      <c r="H633" s="12"/>
      <c r="K633" s="12"/>
      <c r="M633" s="12"/>
      <c r="R633" s="218"/>
      <c r="S633" s="218"/>
      <c r="T633" s="218"/>
      <c r="U633" s="218"/>
    </row>
    <row r="634">
      <c r="C634" s="12"/>
      <c r="D634" s="3"/>
      <c r="E634" s="112"/>
      <c r="F634" s="3"/>
      <c r="G634" s="3"/>
      <c r="H634" s="12"/>
      <c r="K634" s="12"/>
      <c r="M634" s="12"/>
      <c r="R634" s="218"/>
      <c r="S634" s="218"/>
      <c r="T634" s="218"/>
      <c r="U634" s="218"/>
    </row>
    <row r="635">
      <c r="C635" s="12"/>
      <c r="D635" s="3"/>
      <c r="E635" s="112"/>
      <c r="F635" s="3"/>
      <c r="G635" s="3"/>
      <c r="H635" s="12"/>
      <c r="K635" s="12"/>
      <c r="M635" s="12"/>
      <c r="R635" s="218"/>
      <c r="S635" s="218"/>
      <c r="T635" s="218"/>
      <c r="U635" s="218"/>
    </row>
    <row r="636">
      <c r="C636" s="12"/>
      <c r="D636" s="3"/>
      <c r="E636" s="112"/>
      <c r="F636" s="3"/>
      <c r="G636" s="3"/>
      <c r="H636" s="12"/>
      <c r="K636" s="12"/>
      <c r="M636" s="12"/>
      <c r="R636" s="218"/>
      <c r="S636" s="218"/>
      <c r="T636" s="218"/>
      <c r="U636" s="218"/>
    </row>
    <row r="637">
      <c r="C637" s="12"/>
      <c r="D637" s="3"/>
      <c r="E637" s="112"/>
      <c r="F637" s="3"/>
      <c r="G637" s="3"/>
      <c r="H637" s="12"/>
      <c r="K637" s="12"/>
      <c r="M637" s="12"/>
      <c r="R637" s="218"/>
      <c r="S637" s="218"/>
      <c r="T637" s="218"/>
      <c r="U637" s="218"/>
    </row>
    <row r="638">
      <c r="C638" s="12"/>
      <c r="D638" s="3"/>
      <c r="E638" s="112"/>
      <c r="F638" s="3"/>
      <c r="G638" s="3"/>
      <c r="H638" s="12"/>
      <c r="K638" s="12"/>
      <c r="M638" s="12"/>
      <c r="R638" s="218"/>
      <c r="S638" s="218"/>
      <c r="T638" s="218"/>
      <c r="U638" s="218"/>
    </row>
    <row r="639">
      <c r="C639" s="12"/>
      <c r="D639" s="3"/>
      <c r="E639" s="112"/>
      <c r="F639" s="3"/>
      <c r="G639" s="3"/>
      <c r="H639" s="12"/>
      <c r="K639" s="12"/>
      <c r="M639" s="12"/>
      <c r="R639" s="218"/>
      <c r="S639" s="218"/>
      <c r="T639" s="218"/>
      <c r="U639" s="218"/>
    </row>
    <row r="640">
      <c r="C640" s="12"/>
      <c r="D640" s="3"/>
      <c r="E640" s="112"/>
      <c r="F640" s="3"/>
      <c r="G640" s="3"/>
      <c r="H640" s="12"/>
      <c r="K640" s="12"/>
      <c r="M640" s="12"/>
      <c r="R640" s="218"/>
      <c r="S640" s="218"/>
      <c r="T640" s="218"/>
      <c r="U640" s="218"/>
    </row>
    <row r="641">
      <c r="C641" s="12"/>
      <c r="D641" s="3"/>
      <c r="E641" s="112"/>
      <c r="F641" s="3"/>
      <c r="G641" s="3"/>
      <c r="H641" s="12"/>
      <c r="K641" s="12"/>
      <c r="M641" s="12"/>
      <c r="R641" s="218"/>
      <c r="S641" s="218"/>
      <c r="T641" s="218"/>
      <c r="U641" s="218"/>
    </row>
    <row r="642">
      <c r="C642" s="12"/>
      <c r="D642" s="3"/>
      <c r="E642" s="112"/>
      <c r="F642" s="3"/>
      <c r="G642" s="3"/>
      <c r="H642" s="12"/>
      <c r="K642" s="12"/>
      <c r="M642" s="12"/>
      <c r="R642" s="218"/>
      <c r="S642" s="218"/>
      <c r="T642" s="218"/>
      <c r="U642" s="218"/>
    </row>
    <row r="643">
      <c r="C643" s="12"/>
      <c r="D643" s="3"/>
      <c r="E643" s="112"/>
      <c r="F643" s="3"/>
      <c r="G643" s="3"/>
      <c r="H643" s="12"/>
      <c r="K643" s="12"/>
      <c r="M643" s="12"/>
      <c r="R643" s="218"/>
      <c r="S643" s="218"/>
      <c r="T643" s="218"/>
      <c r="U643" s="218"/>
    </row>
    <row r="644">
      <c r="C644" s="12"/>
      <c r="D644" s="3"/>
      <c r="E644" s="112"/>
      <c r="F644" s="3"/>
      <c r="G644" s="3"/>
      <c r="H644" s="12"/>
      <c r="K644" s="12"/>
      <c r="M644" s="12"/>
      <c r="R644" s="218"/>
      <c r="S644" s="218"/>
      <c r="T644" s="218"/>
      <c r="U644" s="218"/>
    </row>
    <row r="645">
      <c r="C645" s="12"/>
      <c r="D645" s="3"/>
      <c r="E645" s="112"/>
      <c r="F645" s="3"/>
      <c r="G645" s="3"/>
      <c r="H645" s="12"/>
      <c r="K645" s="12"/>
      <c r="M645" s="12"/>
      <c r="R645" s="218"/>
      <c r="S645" s="218"/>
      <c r="T645" s="218"/>
      <c r="U645" s="218"/>
    </row>
    <row r="646">
      <c r="C646" s="12"/>
      <c r="D646" s="3"/>
      <c r="E646" s="112"/>
      <c r="F646" s="3"/>
      <c r="G646" s="3"/>
      <c r="H646" s="12"/>
      <c r="K646" s="12"/>
      <c r="M646" s="12"/>
      <c r="R646" s="218"/>
      <c r="S646" s="218"/>
      <c r="T646" s="218"/>
      <c r="U646" s="218"/>
    </row>
    <row r="647">
      <c r="C647" s="12"/>
      <c r="D647" s="3"/>
      <c r="E647" s="112"/>
      <c r="F647" s="3"/>
      <c r="G647" s="3"/>
      <c r="H647" s="12"/>
      <c r="K647" s="12"/>
      <c r="M647" s="12"/>
      <c r="R647" s="218"/>
      <c r="S647" s="218"/>
      <c r="T647" s="218"/>
      <c r="U647" s="218"/>
    </row>
    <row r="648">
      <c r="C648" s="12"/>
      <c r="D648" s="3"/>
      <c r="E648" s="112"/>
      <c r="F648" s="3"/>
      <c r="G648" s="3"/>
      <c r="H648" s="12"/>
      <c r="K648" s="12"/>
      <c r="M648" s="12"/>
      <c r="R648" s="218"/>
      <c r="S648" s="218"/>
      <c r="T648" s="218"/>
      <c r="U648" s="218"/>
    </row>
    <row r="649">
      <c r="C649" s="12"/>
      <c r="D649" s="3"/>
      <c r="E649" s="112"/>
      <c r="F649" s="3"/>
      <c r="G649" s="3"/>
      <c r="H649" s="12"/>
      <c r="K649" s="12"/>
      <c r="M649" s="12"/>
      <c r="R649" s="218"/>
      <c r="S649" s="218"/>
      <c r="T649" s="218"/>
      <c r="U649" s="218"/>
    </row>
    <row r="650">
      <c r="C650" s="12"/>
      <c r="D650" s="3"/>
      <c r="E650" s="112"/>
      <c r="F650" s="3"/>
      <c r="G650" s="3"/>
      <c r="H650" s="12"/>
      <c r="K650" s="12"/>
      <c r="M650" s="12"/>
      <c r="R650" s="218"/>
      <c r="S650" s="218"/>
      <c r="T650" s="218"/>
      <c r="U650" s="218"/>
    </row>
    <row r="651">
      <c r="C651" s="12"/>
      <c r="D651" s="3"/>
      <c r="E651" s="112"/>
      <c r="F651" s="3"/>
      <c r="G651" s="3"/>
      <c r="H651" s="12"/>
      <c r="K651" s="12"/>
      <c r="M651" s="12"/>
      <c r="R651" s="218"/>
      <c r="S651" s="218"/>
      <c r="T651" s="218"/>
      <c r="U651" s="218"/>
    </row>
    <row r="652">
      <c r="C652" s="12"/>
      <c r="D652" s="3"/>
      <c r="E652" s="112"/>
      <c r="F652" s="3"/>
      <c r="G652" s="3"/>
      <c r="H652" s="12"/>
      <c r="K652" s="12"/>
      <c r="M652" s="12"/>
      <c r="R652" s="218"/>
      <c r="S652" s="218"/>
      <c r="T652" s="218"/>
      <c r="U652" s="218"/>
    </row>
    <row r="653">
      <c r="C653" s="12"/>
      <c r="D653" s="3"/>
      <c r="E653" s="112"/>
      <c r="F653" s="3"/>
      <c r="G653" s="3"/>
      <c r="H653" s="12"/>
      <c r="K653" s="12"/>
      <c r="M653" s="12"/>
      <c r="R653" s="218"/>
      <c r="S653" s="218"/>
      <c r="T653" s="218"/>
      <c r="U653" s="218"/>
    </row>
    <row r="654">
      <c r="C654" s="12"/>
      <c r="D654" s="3"/>
      <c r="E654" s="112"/>
      <c r="F654" s="3"/>
      <c r="G654" s="3"/>
      <c r="H654" s="12"/>
      <c r="K654" s="12"/>
      <c r="M654" s="12"/>
      <c r="R654" s="218"/>
      <c r="S654" s="218"/>
      <c r="T654" s="218"/>
      <c r="U654" s="218"/>
    </row>
    <row r="655">
      <c r="C655" s="12"/>
      <c r="D655" s="3"/>
      <c r="E655" s="112"/>
      <c r="F655" s="3"/>
      <c r="G655" s="3"/>
      <c r="H655" s="12"/>
      <c r="K655" s="12"/>
      <c r="M655" s="12"/>
      <c r="R655" s="218"/>
      <c r="S655" s="218"/>
      <c r="T655" s="218"/>
      <c r="U655" s="218"/>
    </row>
    <row r="656">
      <c r="C656" s="12"/>
      <c r="D656" s="3"/>
      <c r="E656" s="112"/>
      <c r="F656" s="3"/>
      <c r="G656" s="3"/>
      <c r="H656" s="12"/>
      <c r="K656" s="12"/>
      <c r="M656" s="12"/>
      <c r="R656" s="218"/>
      <c r="S656" s="218"/>
      <c r="T656" s="218"/>
      <c r="U656" s="218"/>
    </row>
    <row r="657">
      <c r="C657" s="12"/>
      <c r="D657" s="3"/>
      <c r="E657" s="112"/>
      <c r="F657" s="3"/>
      <c r="G657" s="3"/>
      <c r="H657" s="12"/>
      <c r="K657" s="12"/>
      <c r="M657" s="12"/>
      <c r="R657" s="218"/>
      <c r="S657" s="218"/>
      <c r="T657" s="218"/>
      <c r="U657" s="218"/>
    </row>
    <row r="658">
      <c r="C658" s="12"/>
      <c r="D658" s="3"/>
      <c r="E658" s="112"/>
      <c r="F658" s="3"/>
      <c r="G658" s="3"/>
      <c r="H658" s="12"/>
      <c r="K658" s="12"/>
      <c r="M658" s="12"/>
      <c r="R658" s="218"/>
      <c r="S658" s="218"/>
      <c r="T658" s="218"/>
      <c r="U658" s="218"/>
    </row>
    <row r="659">
      <c r="C659" s="12"/>
      <c r="D659" s="3"/>
      <c r="E659" s="112"/>
      <c r="F659" s="3"/>
      <c r="G659" s="3"/>
      <c r="H659" s="12"/>
      <c r="K659" s="12"/>
      <c r="M659" s="12"/>
      <c r="R659" s="218"/>
      <c r="S659" s="218"/>
      <c r="T659" s="218"/>
      <c r="U659" s="218"/>
    </row>
    <row r="660">
      <c r="C660" s="12"/>
      <c r="D660" s="3"/>
      <c r="E660" s="112"/>
      <c r="F660" s="3"/>
      <c r="G660" s="3"/>
      <c r="H660" s="12"/>
      <c r="K660" s="12"/>
      <c r="M660" s="12"/>
      <c r="R660" s="218"/>
      <c r="S660" s="218"/>
      <c r="T660" s="218"/>
      <c r="U660" s="218"/>
    </row>
    <row r="661">
      <c r="C661" s="12"/>
      <c r="D661" s="3"/>
      <c r="E661" s="112"/>
      <c r="F661" s="3"/>
      <c r="G661" s="3"/>
      <c r="H661" s="12"/>
      <c r="K661" s="12"/>
      <c r="M661" s="12"/>
      <c r="R661" s="218"/>
      <c r="S661" s="218"/>
      <c r="T661" s="218"/>
      <c r="U661" s="218"/>
    </row>
    <row r="662">
      <c r="C662" s="12"/>
      <c r="D662" s="3"/>
      <c r="E662" s="112"/>
      <c r="F662" s="3"/>
      <c r="G662" s="3"/>
      <c r="H662" s="12"/>
      <c r="K662" s="12"/>
      <c r="M662" s="12"/>
      <c r="R662" s="218"/>
      <c r="S662" s="218"/>
      <c r="T662" s="218"/>
      <c r="U662" s="218"/>
    </row>
    <row r="663">
      <c r="C663" s="12"/>
      <c r="D663" s="3"/>
      <c r="E663" s="112"/>
      <c r="F663" s="3"/>
      <c r="G663" s="3"/>
      <c r="H663" s="12"/>
      <c r="K663" s="12"/>
      <c r="M663" s="12"/>
      <c r="R663" s="218"/>
      <c r="S663" s="218"/>
      <c r="T663" s="218"/>
      <c r="U663" s="218"/>
    </row>
    <row r="664">
      <c r="C664" s="12"/>
      <c r="D664" s="3"/>
      <c r="E664" s="112"/>
      <c r="F664" s="3"/>
      <c r="G664" s="3"/>
      <c r="H664" s="12"/>
      <c r="K664" s="12"/>
      <c r="M664" s="12"/>
      <c r="R664" s="218"/>
      <c r="S664" s="218"/>
      <c r="T664" s="218"/>
      <c r="U664" s="218"/>
    </row>
    <row r="665">
      <c r="C665" s="12"/>
      <c r="D665" s="3"/>
      <c r="E665" s="112"/>
      <c r="F665" s="3"/>
      <c r="G665" s="3"/>
      <c r="H665" s="12"/>
      <c r="K665" s="12"/>
      <c r="M665" s="12"/>
      <c r="R665" s="218"/>
      <c r="S665" s="218"/>
      <c r="T665" s="218"/>
      <c r="U665" s="218"/>
    </row>
    <row r="666">
      <c r="C666" s="12"/>
      <c r="D666" s="3"/>
      <c r="E666" s="112"/>
      <c r="F666" s="3"/>
      <c r="G666" s="3"/>
      <c r="H666" s="12"/>
      <c r="K666" s="12"/>
      <c r="M666" s="12"/>
      <c r="R666" s="218"/>
      <c r="S666" s="218"/>
      <c r="T666" s="218"/>
      <c r="U666" s="218"/>
    </row>
    <row r="667">
      <c r="C667" s="12"/>
      <c r="D667" s="3"/>
      <c r="E667" s="112"/>
      <c r="F667" s="3"/>
      <c r="G667" s="3"/>
      <c r="H667" s="12"/>
      <c r="K667" s="12"/>
      <c r="M667" s="12"/>
      <c r="R667" s="218"/>
      <c r="S667" s="218"/>
      <c r="T667" s="218"/>
      <c r="U667" s="218"/>
    </row>
    <row r="668">
      <c r="C668" s="12"/>
      <c r="D668" s="3"/>
      <c r="E668" s="112"/>
      <c r="F668" s="3"/>
      <c r="G668" s="3"/>
      <c r="H668" s="12"/>
      <c r="K668" s="12"/>
      <c r="M668" s="12"/>
      <c r="R668" s="218"/>
      <c r="S668" s="218"/>
      <c r="T668" s="218"/>
      <c r="U668" s="218"/>
    </row>
    <row r="669">
      <c r="C669" s="12"/>
      <c r="D669" s="3"/>
      <c r="E669" s="112"/>
      <c r="F669" s="3"/>
      <c r="G669" s="3"/>
      <c r="H669" s="12"/>
      <c r="K669" s="12"/>
      <c r="M669" s="12"/>
      <c r="R669" s="218"/>
      <c r="S669" s="218"/>
      <c r="T669" s="218"/>
      <c r="U669" s="218"/>
    </row>
    <row r="670">
      <c r="C670" s="12"/>
      <c r="D670" s="3"/>
      <c r="E670" s="112"/>
      <c r="F670" s="3"/>
      <c r="G670" s="3"/>
      <c r="H670" s="12"/>
      <c r="K670" s="12"/>
      <c r="M670" s="12"/>
      <c r="R670" s="218"/>
      <c r="S670" s="218"/>
      <c r="T670" s="218"/>
      <c r="U670" s="218"/>
    </row>
    <row r="671">
      <c r="C671" s="12"/>
      <c r="D671" s="3"/>
      <c r="E671" s="112"/>
      <c r="F671" s="3"/>
      <c r="G671" s="3"/>
      <c r="H671" s="12"/>
      <c r="K671" s="12"/>
      <c r="M671" s="12"/>
      <c r="R671" s="218"/>
      <c r="S671" s="218"/>
      <c r="T671" s="218"/>
      <c r="U671" s="218"/>
    </row>
    <row r="672">
      <c r="C672" s="12"/>
      <c r="D672" s="3"/>
      <c r="E672" s="112"/>
      <c r="F672" s="3"/>
      <c r="G672" s="3"/>
      <c r="H672" s="12"/>
      <c r="K672" s="12"/>
      <c r="M672" s="12"/>
      <c r="R672" s="218"/>
      <c r="S672" s="218"/>
      <c r="T672" s="218"/>
      <c r="U672" s="218"/>
    </row>
    <row r="673">
      <c r="C673" s="12"/>
      <c r="D673" s="3"/>
      <c r="E673" s="112"/>
      <c r="F673" s="3"/>
      <c r="G673" s="3"/>
      <c r="H673" s="12"/>
      <c r="K673" s="12"/>
      <c r="M673" s="12"/>
      <c r="R673" s="218"/>
      <c r="S673" s="218"/>
      <c r="T673" s="218"/>
      <c r="U673" s="218"/>
    </row>
    <row r="674">
      <c r="C674" s="12"/>
      <c r="D674" s="3"/>
      <c r="E674" s="112"/>
      <c r="F674" s="3"/>
      <c r="G674" s="3"/>
      <c r="H674" s="12"/>
      <c r="K674" s="12"/>
      <c r="M674" s="12"/>
      <c r="R674" s="218"/>
      <c r="S674" s="218"/>
      <c r="T674" s="218"/>
      <c r="U674" s="218"/>
    </row>
    <row r="675">
      <c r="C675" s="12"/>
      <c r="D675" s="3"/>
      <c r="E675" s="112"/>
      <c r="F675" s="3"/>
      <c r="G675" s="3"/>
      <c r="H675" s="12"/>
      <c r="K675" s="12"/>
      <c r="M675" s="12"/>
      <c r="R675" s="218"/>
      <c r="S675" s="218"/>
      <c r="T675" s="218"/>
      <c r="U675" s="218"/>
    </row>
    <row r="676">
      <c r="C676" s="12"/>
      <c r="D676" s="3"/>
      <c r="E676" s="112"/>
      <c r="F676" s="3"/>
      <c r="G676" s="3"/>
      <c r="H676" s="12"/>
      <c r="K676" s="12"/>
      <c r="M676" s="12"/>
      <c r="R676" s="218"/>
      <c r="S676" s="218"/>
      <c r="T676" s="218"/>
      <c r="U676" s="218"/>
    </row>
    <row r="677">
      <c r="C677" s="12"/>
      <c r="D677" s="3"/>
      <c r="E677" s="112"/>
      <c r="F677" s="3"/>
      <c r="G677" s="3"/>
      <c r="H677" s="12"/>
      <c r="K677" s="12"/>
      <c r="M677" s="12"/>
      <c r="R677" s="218"/>
      <c r="S677" s="218"/>
      <c r="T677" s="218"/>
      <c r="U677" s="218"/>
    </row>
    <row r="678">
      <c r="C678" s="12"/>
      <c r="D678" s="3"/>
      <c r="E678" s="112"/>
      <c r="F678" s="3"/>
      <c r="G678" s="3"/>
      <c r="H678" s="12"/>
      <c r="K678" s="12"/>
      <c r="M678" s="12"/>
      <c r="R678" s="218"/>
      <c r="S678" s="218"/>
      <c r="T678" s="218"/>
      <c r="U678" s="218"/>
    </row>
    <row r="679">
      <c r="C679" s="12"/>
      <c r="D679" s="3"/>
      <c r="E679" s="112"/>
      <c r="F679" s="3"/>
      <c r="G679" s="3"/>
      <c r="H679" s="12"/>
      <c r="K679" s="12"/>
      <c r="M679" s="12"/>
      <c r="R679" s="218"/>
      <c r="S679" s="218"/>
      <c r="T679" s="218"/>
      <c r="U679" s="218"/>
    </row>
    <row r="680">
      <c r="C680" s="12"/>
      <c r="D680" s="3"/>
      <c r="E680" s="112"/>
      <c r="F680" s="3"/>
      <c r="G680" s="3"/>
      <c r="H680" s="12"/>
      <c r="K680" s="12"/>
      <c r="M680" s="12"/>
      <c r="R680" s="218"/>
      <c r="S680" s="218"/>
      <c r="T680" s="218"/>
      <c r="U680" s="218"/>
    </row>
    <row r="681">
      <c r="C681" s="12"/>
      <c r="D681" s="3"/>
      <c r="E681" s="112"/>
      <c r="F681" s="3"/>
      <c r="G681" s="3"/>
      <c r="H681" s="12"/>
      <c r="K681" s="12"/>
      <c r="M681" s="12"/>
      <c r="R681" s="218"/>
      <c r="S681" s="218"/>
      <c r="T681" s="218"/>
      <c r="U681" s="218"/>
    </row>
    <row r="682">
      <c r="C682" s="12"/>
      <c r="D682" s="3"/>
      <c r="E682" s="112"/>
      <c r="F682" s="3"/>
      <c r="G682" s="3"/>
      <c r="H682" s="12"/>
      <c r="K682" s="12"/>
      <c r="M682" s="12"/>
      <c r="R682" s="218"/>
      <c r="S682" s="218"/>
      <c r="T682" s="218"/>
      <c r="U682" s="218"/>
    </row>
    <row r="683">
      <c r="C683" s="12"/>
      <c r="D683" s="3"/>
      <c r="E683" s="112"/>
      <c r="F683" s="3"/>
      <c r="G683" s="3"/>
      <c r="H683" s="12"/>
      <c r="K683" s="12"/>
      <c r="M683" s="12"/>
      <c r="R683" s="218"/>
      <c r="S683" s="218"/>
      <c r="T683" s="218"/>
      <c r="U683" s="218"/>
    </row>
    <row r="684">
      <c r="C684" s="12"/>
      <c r="D684" s="3"/>
      <c r="E684" s="112"/>
      <c r="F684" s="3"/>
      <c r="G684" s="3"/>
      <c r="H684" s="12"/>
      <c r="K684" s="12"/>
      <c r="M684" s="12"/>
      <c r="R684" s="218"/>
      <c r="S684" s="218"/>
      <c r="T684" s="218"/>
      <c r="U684" s="218"/>
    </row>
    <row r="685">
      <c r="C685" s="12"/>
      <c r="D685" s="3"/>
      <c r="E685" s="112"/>
      <c r="F685" s="3"/>
      <c r="G685" s="3"/>
      <c r="H685" s="12"/>
      <c r="K685" s="12"/>
      <c r="M685" s="12"/>
      <c r="R685" s="218"/>
      <c r="S685" s="218"/>
      <c r="T685" s="218"/>
      <c r="U685" s="218"/>
    </row>
    <row r="686">
      <c r="C686" s="12"/>
      <c r="D686" s="3"/>
      <c r="E686" s="112"/>
      <c r="F686" s="3"/>
      <c r="G686" s="3"/>
      <c r="H686" s="12"/>
      <c r="K686" s="12"/>
      <c r="M686" s="12"/>
      <c r="R686" s="218"/>
      <c r="S686" s="218"/>
      <c r="T686" s="218"/>
      <c r="U686" s="218"/>
    </row>
    <row r="687">
      <c r="C687" s="12"/>
      <c r="D687" s="3"/>
      <c r="E687" s="112"/>
      <c r="F687" s="3"/>
      <c r="G687" s="3"/>
      <c r="H687" s="12"/>
      <c r="K687" s="12"/>
      <c r="M687" s="12"/>
      <c r="R687" s="218"/>
      <c r="S687" s="218"/>
      <c r="T687" s="218"/>
      <c r="U687" s="218"/>
    </row>
    <row r="688">
      <c r="C688" s="12"/>
      <c r="D688" s="3"/>
      <c r="E688" s="112"/>
      <c r="F688" s="3"/>
      <c r="G688" s="3"/>
      <c r="H688" s="12"/>
      <c r="K688" s="12"/>
      <c r="M688" s="12"/>
      <c r="R688" s="218"/>
      <c r="S688" s="218"/>
      <c r="T688" s="218"/>
      <c r="U688" s="218"/>
    </row>
    <row r="689">
      <c r="C689" s="12"/>
      <c r="D689" s="3"/>
      <c r="E689" s="112"/>
      <c r="F689" s="3"/>
      <c r="G689" s="3"/>
      <c r="H689" s="12"/>
      <c r="K689" s="12"/>
      <c r="M689" s="12"/>
      <c r="R689" s="218"/>
      <c r="S689" s="218"/>
      <c r="T689" s="218"/>
      <c r="U689" s="218"/>
    </row>
    <row r="690">
      <c r="C690" s="12"/>
      <c r="D690" s="3"/>
      <c r="E690" s="112"/>
      <c r="F690" s="3"/>
      <c r="G690" s="3"/>
      <c r="H690" s="12"/>
      <c r="K690" s="12"/>
      <c r="M690" s="12"/>
      <c r="R690" s="218"/>
      <c r="S690" s="218"/>
      <c r="T690" s="218"/>
      <c r="U690" s="218"/>
    </row>
    <row r="691">
      <c r="C691" s="12"/>
      <c r="D691" s="3"/>
      <c r="E691" s="112"/>
      <c r="F691" s="3"/>
      <c r="G691" s="3"/>
      <c r="H691" s="12"/>
      <c r="K691" s="12"/>
      <c r="M691" s="12"/>
      <c r="R691" s="218"/>
      <c r="S691" s="218"/>
      <c r="T691" s="218"/>
      <c r="U691" s="218"/>
    </row>
    <row r="692">
      <c r="C692" s="12"/>
      <c r="D692" s="3"/>
      <c r="E692" s="112"/>
      <c r="F692" s="3"/>
      <c r="G692" s="3"/>
      <c r="H692" s="12"/>
      <c r="K692" s="12"/>
      <c r="M692" s="12"/>
      <c r="R692" s="218"/>
      <c r="S692" s="218"/>
      <c r="T692" s="218"/>
      <c r="U692" s="218"/>
    </row>
    <row r="693">
      <c r="C693" s="12"/>
      <c r="D693" s="3"/>
      <c r="E693" s="112"/>
      <c r="F693" s="3"/>
      <c r="G693" s="3"/>
      <c r="H693" s="12"/>
      <c r="K693" s="12"/>
      <c r="M693" s="12"/>
      <c r="R693" s="218"/>
      <c r="S693" s="218"/>
      <c r="T693" s="218"/>
      <c r="U693" s="218"/>
    </row>
    <row r="694">
      <c r="C694" s="12"/>
      <c r="D694" s="3"/>
      <c r="E694" s="112"/>
      <c r="F694" s="3"/>
      <c r="G694" s="3"/>
      <c r="H694" s="12"/>
      <c r="K694" s="12"/>
      <c r="M694" s="12"/>
      <c r="R694" s="218"/>
      <c r="S694" s="218"/>
      <c r="T694" s="218"/>
      <c r="U694" s="218"/>
    </row>
    <row r="695">
      <c r="C695" s="12"/>
      <c r="D695" s="3"/>
      <c r="E695" s="112"/>
      <c r="F695" s="3"/>
      <c r="G695" s="3"/>
      <c r="H695" s="12"/>
      <c r="K695" s="12"/>
      <c r="M695" s="12"/>
      <c r="R695" s="218"/>
      <c r="S695" s="218"/>
      <c r="T695" s="218"/>
      <c r="U695" s="218"/>
    </row>
    <row r="696">
      <c r="C696" s="12"/>
      <c r="D696" s="3"/>
      <c r="E696" s="112"/>
      <c r="F696" s="3"/>
      <c r="G696" s="3"/>
      <c r="H696" s="12"/>
      <c r="K696" s="12"/>
      <c r="M696" s="12"/>
      <c r="R696" s="218"/>
      <c r="S696" s="218"/>
      <c r="T696" s="218"/>
      <c r="U696" s="218"/>
    </row>
    <row r="697">
      <c r="C697" s="12"/>
      <c r="D697" s="3"/>
      <c r="E697" s="112"/>
      <c r="F697" s="3"/>
      <c r="G697" s="3"/>
      <c r="H697" s="12"/>
      <c r="K697" s="12"/>
      <c r="M697" s="12"/>
      <c r="R697" s="218"/>
      <c r="S697" s="218"/>
      <c r="T697" s="218"/>
      <c r="U697" s="218"/>
    </row>
    <row r="698">
      <c r="C698" s="12"/>
      <c r="D698" s="3"/>
      <c r="E698" s="112"/>
      <c r="F698" s="3"/>
      <c r="G698" s="3"/>
      <c r="H698" s="12"/>
      <c r="K698" s="12"/>
      <c r="M698" s="12"/>
      <c r="R698" s="218"/>
      <c r="S698" s="218"/>
      <c r="T698" s="218"/>
      <c r="U698" s="218"/>
    </row>
    <row r="699">
      <c r="C699" s="12"/>
      <c r="D699" s="3"/>
      <c r="E699" s="112"/>
      <c r="F699" s="3"/>
      <c r="G699" s="3"/>
      <c r="H699" s="12"/>
      <c r="K699" s="12"/>
      <c r="M699" s="12"/>
      <c r="R699" s="218"/>
      <c r="S699" s="218"/>
      <c r="T699" s="218"/>
      <c r="U699" s="218"/>
    </row>
    <row r="700">
      <c r="C700" s="12"/>
      <c r="D700" s="3"/>
      <c r="E700" s="112"/>
      <c r="F700" s="3"/>
      <c r="G700" s="3"/>
      <c r="H700" s="12"/>
      <c r="K700" s="12"/>
      <c r="M700" s="12"/>
      <c r="R700" s="218"/>
      <c r="S700" s="218"/>
      <c r="T700" s="218"/>
      <c r="U700" s="218"/>
    </row>
    <row r="701">
      <c r="C701" s="12"/>
      <c r="D701" s="3"/>
      <c r="E701" s="112"/>
      <c r="F701" s="3"/>
      <c r="G701" s="3"/>
      <c r="H701" s="12"/>
      <c r="K701" s="12"/>
      <c r="M701" s="12"/>
      <c r="R701" s="218"/>
      <c r="S701" s="218"/>
      <c r="T701" s="218"/>
      <c r="U701" s="218"/>
    </row>
    <row r="702">
      <c r="C702" s="12"/>
      <c r="D702" s="3"/>
      <c r="E702" s="112"/>
      <c r="F702" s="3"/>
      <c r="G702" s="3"/>
      <c r="H702" s="12"/>
      <c r="K702" s="12"/>
      <c r="M702" s="12"/>
      <c r="R702" s="218"/>
      <c r="S702" s="218"/>
      <c r="T702" s="218"/>
      <c r="U702" s="218"/>
    </row>
    <row r="703">
      <c r="C703" s="12"/>
      <c r="D703" s="3"/>
      <c r="E703" s="112"/>
      <c r="F703" s="3"/>
      <c r="G703" s="3"/>
      <c r="H703" s="12"/>
      <c r="K703" s="12"/>
      <c r="M703" s="12"/>
      <c r="R703" s="218"/>
      <c r="S703" s="218"/>
      <c r="T703" s="218"/>
      <c r="U703" s="218"/>
    </row>
    <row r="704">
      <c r="C704" s="12"/>
      <c r="D704" s="3"/>
      <c r="E704" s="112"/>
      <c r="F704" s="3"/>
      <c r="G704" s="3"/>
      <c r="H704" s="12"/>
      <c r="K704" s="12"/>
      <c r="M704" s="12"/>
      <c r="R704" s="218"/>
      <c r="S704" s="218"/>
      <c r="T704" s="218"/>
      <c r="U704" s="218"/>
    </row>
    <row r="705">
      <c r="C705" s="12"/>
      <c r="D705" s="3"/>
      <c r="E705" s="112"/>
      <c r="F705" s="3"/>
      <c r="G705" s="3"/>
      <c r="H705" s="12"/>
      <c r="K705" s="12"/>
      <c r="M705" s="12"/>
      <c r="R705" s="218"/>
      <c r="S705" s="218"/>
      <c r="T705" s="218"/>
      <c r="U705" s="218"/>
    </row>
    <row r="706">
      <c r="C706" s="12"/>
      <c r="D706" s="3"/>
      <c r="E706" s="112"/>
      <c r="F706" s="3"/>
      <c r="G706" s="3"/>
      <c r="H706" s="12"/>
      <c r="K706" s="12"/>
      <c r="M706" s="12"/>
      <c r="R706" s="218"/>
      <c r="S706" s="218"/>
      <c r="T706" s="218"/>
      <c r="U706" s="218"/>
    </row>
    <row r="707">
      <c r="C707" s="12"/>
      <c r="D707" s="3"/>
      <c r="E707" s="112"/>
      <c r="F707" s="3"/>
      <c r="G707" s="3"/>
      <c r="H707" s="12"/>
      <c r="K707" s="12"/>
      <c r="M707" s="12"/>
      <c r="R707" s="218"/>
      <c r="S707" s="218"/>
      <c r="T707" s="218"/>
      <c r="U707" s="218"/>
    </row>
    <row r="708">
      <c r="C708" s="12"/>
      <c r="D708" s="3"/>
      <c r="E708" s="112"/>
      <c r="F708" s="3"/>
      <c r="G708" s="3"/>
      <c r="H708" s="12"/>
      <c r="K708" s="12"/>
      <c r="M708" s="12"/>
      <c r="R708" s="218"/>
      <c r="S708" s="218"/>
      <c r="T708" s="218"/>
      <c r="U708" s="218"/>
    </row>
    <row r="709">
      <c r="C709" s="12"/>
      <c r="D709" s="3"/>
      <c r="E709" s="112"/>
      <c r="F709" s="3"/>
      <c r="G709" s="3"/>
      <c r="H709" s="12"/>
      <c r="K709" s="12"/>
      <c r="M709" s="12"/>
      <c r="R709" s="218"/>
      <c r="S709" s="218"/>
      <c r="T709" s="218"/>
      <c r="U709" s="218"/>
    </row>
    <row r="710">
      <c r="C710" s="12"/>
      <c r="D710" s="3"/>
      <c r="E710" s="112"/>
      <c r="F710" s="3"/>
      <c r="G710" s="3"/>
      <c r="H710" s="12"/>
      <c r="K710" s="12"/>
      <c r="M710" s="12"/>
      <c r="R710" s="218"/>
      <c r="S710" s="218"/>
      <c r="T710" s="218"/>
      <c r="U710" s="218"/>
    </row>
    <row r="711">
      <c r="C711" s="12"/>
      <c r="D711" s="3"/>
      <c r="E711" s="112"/>
      <c r="F711" s="3"/>
      <c r="G711" s="3"/>
      <c r="H711" s="12"/>
      <c r="K711" s="12"/>
      <c r="M711" s="12"/>
      <c r="R711" s="218"/>
      <c r="S711" s="218"/>
      <c r="T711" s="218"/>
      <c r="U711" s="218"/>
    </row>
    <row r="712">
      <c r="C712" s="12"/>
      <c r="D712" s="3"/>
      <c r="E712" s="112"/>
      <c r="F712" s="3"/>
      <c r="G712" s="3"/>
      <c r="H712" s="12"/>
      <c r="K712" s="12"/>
      <c r="M712" s="12"/>
      <c r="R712" s="218"/>
      <c r="S712" s="218"/>
      <c r="T712" s="218"/>
      <c r="U712" s="218"/>
    </row>
    <row r="713">
      <c r="C713" s="12"/>
      <c r="D713" s="3"/>
      <c r="E713" s="112"/>
      <c r="F713" s="3"/>
      <c r="G713" s="3"/>
      <c r="H713" s="12"/>
      <c r="K713" s="12"/>
      <c r="M713" s="12"/>
      <c r="R713" s="218"/>
      <c r="S713" s="218"/>
      <c r="T713" s="218"/>
      <c r="U713" s="218"/>
    </row>
    <row r="714">
      <c r="C714" s="12"/>
      <c r="D714" s="3"/>
      <c r="E714" s="112"/>
      <c r="F714" s="3"/>
      <c r="G714" s="3"/>
      <c r="H714" s="12"/>
      <c r="K714" s="12"/>
      <c r="M714" s="12"/>
      <c r="R714" s="218"/>
      <c r="S714" s="218"/>
      <c r="T714" s="218"/>
      <c r="U714" s="218"/>
    </row>
    <row r="715">
      <c r="C715" s="12"/>
      <c r="D715" s="3"/>
      <c r="E715" s="112"/>
      <c r="F715" s="3"/>
      <c r="G715" s="3"/>
      <c r="H715" s="12"/>
      <c r="K715" s="12"/>
      <c r="M715" s="12"/>
      <c r="R715" s="218"/>
      <c r="S715" s="218"/>
      <c r="T715" s="218"/>
      <c r="U715" s="218"/>
    </row>
    <row r="716">
      <c r="C716" s="12"/>
      <c r="D716" s="3"/>
      <c r="E716" s="112"/>
      <c r="F716" s="3"/>
      <c r="G716" s="3"/>
      <c r="H716" s="12"/>
      <c r="K716" s="12"/>
      <c r="M716" s="12"/>
      <c r="R716" s="218"/>
      <c r="S716" s="218"/>
      <c r="T716" s="218"/>
      <c r="U716" s="218"/>
    </row>
    <row r="717">
      <c r="C717" s="12"/>
      <c r="D717" s="3"/>
      <c r="E717" s="112"/>
      <c r="F717" s="3"/>
      <c r="G717" s="3"/>
      <c r="H717" s="12"/>
      <c r="K717" s="12"/>
      <c r="M717" s="12"/>
      <c r="R717" s="218"/>
      <c r="S717" s="218"/>
      <c r="T717" s="218"/>
      <c r="U717" s="218"/>
    </row>
    <row r="718">
      <c r="C718" s="12"/>
      <c r="D718" s="3"/>
      <c r="E718" s="112"/>
      <c r="F718" s="3"/>
      <c r="G718" s="3"/>
      <c r="H718" s="12"/>
      <c r="K718" s="12"/>
      <c r="M718" s="12"/>
      <c r="R718" s="218"/>
      <c r="S718" s="218"/>
      <c r="T718" s="218"/>
      <c r="U718" s="218"/>
    </row>
    <row r="719">
      <c r="C719" s="12"/>
      <c r="D719" s="3"/>
      <c r="E719" s="112"/>
      <c r="F719" s="3"/>
      <c r="G719" s="3"/>
      <c r="H719" s="12"/>
      <c r="K719" s="12"/>
      <c r="M719" s="12"/>
      <c r="R719" s="218"/>
      <c r="S719" s="218"/>
      <c r="T719" s="218"/>
      <c r="U719" s="218"/>
    </row>
    <row r="720">
      <c r="C720" s="12"/>
      <c r="D720" s="3"/>
      <c r="E720" s="112"/>
      <c r="F720" s="3"/>
      <c r="G720" s="3"/>
      <c r="H720" s="12"/>
      <c r="K720" s="12"/>
      <c r="M720" s="12"/>
      <c r="R720" s="218"/>
      <c r="S720" s="218"/>
      <c r="T720" s="218"/>
      <c r="U720" s="218"/>
    </row>
    <row r="721">
      <c r="C721" s="12"/>
      <c r="D721" s="3"/>
      <c r="E721" s="112"/>
      <c r="F721" s="3"/>
      <c r="G721" s="3"/>
      <c r="H721" s="12"/>
      <c r="K721" s="12"/>
      <c r="M721" s="12"/>
      <c r="R721" s="218"/>
      <c r="S721" s="218"/>
      <c r="T721" s="218"/>
      <c r="U721" s="218"/>
    </row>
    <row r="722">
      <c r="C722" s="12"/>
      <c r="D722" s="3"/>
      <c r="E722" s="112"/>
      <c r="F722" s="3"/>
      <c r="G722" s="3"/>
      <c r="H722" s="12"/>
      <c r="K722" s="12"/>
      <c r="M722" s="12"/>
      <c r="R722" s="218"/>
      <c r="S722" s="218"/>
      <c r="T722" s="218"/>
      <c r="U722" s="218"/>
    </row>
    <row r="723">
      <c r="C723" s="12"/>
      <c r="D723" s="3"/>
      <c r="E723" s="112"/>
      <c r="F723" s="3"/>
      <c r="G723" s="3"/>
      <c r="H723" s="12"/>
      <c r="K723" s="12"/>
      <c r="M723" s="12"/>
      <c r="R723" s="218"/>
      <c r="S723" s="218"/>
      <c r="T723" s="218"/>
      <c r="U723" s="218"/>
    </row>
    <row r="724">
      <c r="C724" s="12"/>
      <c r="D724" s="3"/>
      <c r="E724" s="112"/>
      <c r="F724" s="3"/>
      <c r="G724" s="3"/>
      <c r="H724" s="12"/>
      <c r="K724" s="12"/>
      <c r="M724" s="12"/>
      <c r="R724" s="218"/>
      <c r="S724" s="218"/>
      <c r="T724" s="218"/>
      <c r="U724" s="218"/>
    </row>
    <row r="725">
      <c r="C725" s="12"/>
      <c r="D725" s="3"/>
      <c r="E725" s="112"/>
      <c r="F725" s="3"/>
      <c r="G725" s="3"/>
      <c r="H725" s="12"/>
      <c r="K725" s="12"/>
      <c r="M725" s="12"/>
      <c r="R725" s="218"/>
      <c r="S725" s="218"/>
      <c r="T725" s="218"/>
      <c r="U725" s="218"/>
    </row>
    <row r="726">
      <c r="C726" s="12"/>
      <c r="D726" s="3"/>
      <c r="E726" s="112"/>
      <c r="F726" s="3"/>
      <c r="G726" s="3"/>
      <c r="H726" s="12"/>
      <c r="K726" s="12"/>
      <c r="M726" s="12"/>
      <c r="R726" s="218"/>
      <c r="S726" s="218"/>
      <c r="T726" s="218"/>
      <c r="U726" s="218"/>
    </row>
    <row r="727">
      <c r="C727" s="12"/>
      <c r="D727" s="3"/>
      <c r="E727" s="112"/>
      <c r="F727" s="3"/>
      <c r="G727" s="3"/>
      <c r="H727" s="12"/>
      <c r="K727" s="12"/>
      <c r="M727" s="12"/>
      <c r="R727" s="218"/>
      <c r="S727" s="218"/>
      <c r="T727" s="218"/>
      <c r="U727" s="218"/>
    </row>
    <row r="728">
      <c r="C728" s="12"/>
      <c r="D728" s="3"/>
      <c r="E728" s="112"/>
      <c r="F728" s="3"/>
      <c r="G728" s="3"/>
      <c r="H728" s="12"/>
      <c r="K728" s="12"/>
      <c r="M728" s="12"/>
      <c r="R728" s="218"/>
      <c r="S728" s="218"/>
      <c r="T728" s="218"/>
      <c r="U728" s="218"/>
    </row>
    <row r="729">
      <c r="C729" s="12"/>
      <c r="D729" s="3"/>
      <c r="E729" s="112"/>
      <c r="F729" s="3"/>
      <c r="G729" s="3"/>
      <c r="H729" s="12"/>
      <c r="K729" s="12"/>
      <c r="M729" s="12"/>
      <c r="R729" s="218"/>
      <c r="S729" s="218"/>
      <c r="T729" s="218"/>
      <c r="U729" s="218"/>
    </row>
    <row r="730">
      <c r="C730" s="12"/>
      <c r="D730" s="3"/>
      <c r="E730" s="112"/>
      <c r="F730" s="3"/>
      <c r="G730" s="3"/>
      <c r="H730" s="12"/>
      <c r="K730" s="12"/>
      <c r="M730" s="12"/>
      <c r="R730" s="218"/>
      <c r="S730" s="218"/>
      <c r="T730" s="218"/>
      <c r="U730" s="218"/>
    </row>
    <row r="731">
      <c r="C731" s="12"/>
      <c r="D731" s="3"/>
      <c r="E731" s="112"/>
      <c r="F731" s="3"/>
      <c r="G731" s="3"/>
      <c r="H731" s="12"/>
      <c r="K731" s="12"/>
      <c r="M731" s="12"/>
      <c r="R731" s="218"/>
      <c r="S731" s="218"/>
      <c r="T731" s="218"/>
      <c r="U731" s="218"/>
    </row>
    <row r="732">
      <c r="C732" s="12"/>
      <c r="D732" s="3"/>
      <c r="E732" s="112"/>
      <c r="F732" s="3"/>
      <c r="G732" s="3"/>
      <c r="H732" s="12"/>
      <c r="K732" s="12"/>
      <c r="M732" s="12"/>
      <c r="R732" s="218"/>
      <c r="S732" s="218"/>
      <c r="T732" s="218"/>
      <c r="U732" s="218"/>
    </row>
    <row r="733">
      <c r="C733" s="12"/>
      <c r="D733" s="3"/>
      <c r="E733" s="112"/>
      <c r="F733" s="3"/>
      <c r="G733" s="3"/>
      <c r="H733" s="12"/>
      <c r="K733" s="12"/>
      <c r="M733" s="12"/>
      <c r="R733" s="218"/>
      <c r="S733" s="218"/>
      <c r="T733" s="218"/>
      <c r="U733" s="218"/>
    </row>
    <row r="734">
      <c r="C734" s="12"/>
      <c r="D734" s="3"/>
      <c r="E734" s="112"/>
      <c r="F734" s="3"/>
      <c r="G734" s="3"/>
      <c r="H734" s="12"/>
      <c r="K734" s="12"/>
      <c r="M734" s="12"/>
      <c r="R734" s="218"/>
      <c r="S734" s="218"/>
      <c r="T734" s="218"/>
      <c r="U734" s="218"/>
    </row>
    <row r="735">
      <c r="C735" s="12"/>
      <c r="D735" s="3"/>
      <c r="E735" s="112"/>
      <c r="F735" s="3"/>
      <c r="G735" s="3"/>
      <c r="H735" s="12"/>
      <c r="K735" s="12"/>
      <c r="M735" s="12"/>
      <c r="R735" s="218"/>
      <c r="S735" s="218"/>
      <c r="T735" s="218"/>
      <c r="U735" s="218"/>
    </row>
    <row r="736">
      <c r="C736" s="12"/>
      <c r="D736" s="3"/>
      <c r="E736" s="112"/>
      <c r="F736" s="3"/>
      <c r="G736" s="3"/>
      <c r="H736" s="12"/>
      <c r="K736" s="12"/>
      <c r="M736" s="12"/>
      <c r="R736" s="218"/>
      <c r="S736" s="218"/>
      <c r="T736" s="218"/>
      <c r="U736" s="218"/>
    </row>
    <row r="737">
      <c r="C737" s="12"/>
      <c r="D737" s="3"/>
      <c r="E737" s="112"/>
      <c r="F737" s="3"/>
      <c r="G737" s="3"/>
      <c r="H737" s="12"/>
      <c r="K737" s="12"/>
      <c r="M737" s="12"/>
      <c r="R737" s="218"/>
      <c r="S737" s="218"/>
      <c r="T737" s="218"/>
      <c r="U737" s="218"/>
    </row>
    <row r="738">
      <c r="C738" s="12"/>
      <c r="D738" s="3"/>
      <c r="E738" s="112"/>
      <c r="F738" s="3"/>
      <c r="G738" s="3"/>
      <c r="H738" s="12"/>
      <c r="K738" s="12"/>
      <c r="M738" s="12"/>
      <c r="R738" s="218"/>
      <c r="S738" s="218"/>
      <c r="T738" s="218"/>
      <c r="U738" s="218"/>
    </row>
    <row r="739">
      <c r="C739" s="12"/>
      <c r="D739" s="3"/>
      <c r="E739" s="112"/>
      <c r="F739" s="3"/>
      <c r="G739" s="3"/>
      <c r="H739" s="12"/>
      <c r="K739" s="12"/>
      <c r="M739" s="12"/>
      <c r="R739" s="218"/>
      <c r="S739" s="218"/>
      <c r="T739" s="218"/>
      <c r="U739" s="218"/>
    </row>
    <row r="740">
      <c r="C740" s="12"/>
      <c r="D740" s="3"/>
      <c r="E740" s="112"/>
      <c r="F740" s="3"/>
      <c r="G740" s="3"/>
      <c r="H740" s="12"/>
      <c r="K740" s="12"/>
      <c r="M740" s="12"/>
      <c r="R740" s="218"/>
      <c r="S740" s="218"/>
      <c r="T740" s="218"/>
      <c r="U740" s="218"/>
    </row>
    <row r="741">
      <c r="C741" s="12"/>
      <c r="D741" s="3"/>
      <c r="E741" s="112"/>
      <c r="F741" s="3"/>
      <c r="G741" s="3"/>
      <c r="H741" s="12"/>
      <c r="K741" s="12"/>
      <c r="M741" s="12"/>
      <c r="R741" s="218"/>
      <c r="S741" s="218"/>
      <c r="T741" s="218"/>
      <c r="U741" s="218"/>
    </row>
    <row r="742">
      <c r="C742" s="12"/>
      <c r="D742" s="3"/>
      <c r="E742" s="112"/>
      <c r="F742" s="3"/>
      <c r="G742" s="3"/>
      <c r="H742" s="12"/>
      <c r="K742" s="12"/>
      <c r="M742" s="12"/>
      <c r="R742" s="218"/>
      <c r="S742" s="218"/>
      <c r="T742" s="218"/>
      <c r="U742" s="218"/>
    </row>
    <row r="743">
      <c r="C743" s="12"/>
      <c r="D743" s="3"/>
      <c r="E743" s="112"/>
      <c r="F743" s="3"/>
      <c r="G743" s="3"/>
      <c r="H743" s="12"/>
      <c r="K743" s="12"/>
      <c r="M743" s="12"/>
      <c r="R743" s="218"/>
      <c r="S743" s="218"/>
      <c r="T743" s="218"/>
      <c r="U743" s="218"/>
    </row>
    <row r="744">
      <c r="C744" s="12"/>
      <c r="D744" s="3"/>
      <c r="E744" s="112"/>
      <c r="F744" s="3"/>
      <c r="G744" s="3"/>
      <c r="H744" s="12"/>
      <c r="K744" s="12"/>
      <c r="M744" s="12"/>
      <c r="R744" s="218"/>
      <c r="S744" s="218"/>
      <c r="T744" s="218"/>
      <c r="U744" s="218"/>
    </row>
    <row r="745">
      <c r="C745" s="12"/>
      <c r="D745" s="3"/>
      <c r="E745" s="112"/>
      <c r="F745" s="3"/>
      <c r="G745" s="3"/>
      <c r="H745" s="12"/>
      <c r="K745" s="12"/>
      <c r="M745" s="12"/>
      <c r="R745" s="218"/>
      <c r="S745" s="218"/>
      <c r="T745" s="218"/>
      <c r="U745" s="218"/>
    </row>
    <row r="746">
      <c r="C746" s="12"/>
      <c r="D746" s="3"/>
      <c r="E746" s="112"/>
      <c r="F746" s="3"/>
      <c r="G746" s="3"/>
      <c r="H746" s="12"/>
      <c r="K746" s="12"/>
      <c r="M746" s="12"/>
      <c r="R746" s="218"/>
      <c r="S746" s="218"/>
      <c r="T746" s="218"/>
      <c r="U746" s="218"/>
    </row>
    <row r="747">
      <c r="C747" s="12"/>
      <c r="D747" s="3"/>
      <c r="E747" s="112"/>
      <c r="F747" s="3"/>
      <c r="G747" s="3"/>
      <c r="H747" s="12"/>
      <c r="K747" s="12"/>
      <c r="M747" s="12"/>
      <c r="R747" s="218"/>
      <c r="S747" s="218"/>
      <c r="T747" s="218"/>
      <c r="U747" s="218"/>
    </row>
    <row r="748">
      <c r="C748" s="12"/>
      <c r="D748" s="3"/>
      <c r="E748" s="112"/>
      <c r="F748" s="3"/>
      <c r="G748" s="3"/>
      <c r="H748" s="12"/>
      <c r="K748" s="12"/>
      <c r="M748" s="12"/>
      <c r="R748" s="218"/>
      <c r="S748" s="218"/>
      <c r="T748" s="218"/>
      <c r="U748" s="218"/>
    </row>
    <row r="749">
      <c r="C749" s="12"/>
      <c r="D749" s="3"/>
      <c r="E749" s="112"/>
      <c r="F749" s="3"/>
      <c r="G749" s="3"/>
      <c r="H749" s="12"/>
      <c r="K749" s="12"/>
      <c r="M749" s="12"/>
      <c r="R749" s="218"/>
      <c r="S749" s="218"/>
      <c r="T749" s="218"/>
      <c r="U749" s="218"/>
    </row>
    <row r="750">
      <c r="C750" s="12"/>
      <c r="D750" s="3"/>
      <c r="E750" s="112"/>
      <c r="F750" s="3"/>
      <c r="G750" s="3"/>
      <c r="H750" s="12"/>
      <c r="K750" s="12"/>
      <c r="M750" s="12"/>
      <c r="R750" s="218"/>
      <c r="S750" s="218"/>
      <c r="T750" s="218"/>
      <c r="U750" s="218"/>
    </row>
    <row r="751">
      <c r="C751" s="12"/>
      <c r="D751" s="3"/>
      <c r="E751" s="112"/>
      <c r="F751" s="3"/>
      <c r="G751" s="3"/>
      <c r="H751" s="12"/>
      <c r="K751" s="12"/>
      <c r="M751" s="12"/>
      <c r="R751" s="218"/>
      <c r="S751" s="218"/>
      <c r="T751" s="218"/>
      <c r="U751" s="218"/>
    </row>
    <row r="752">
      <c r="C752" s="12"/>
      <c r="D752" s="3"/>
      <c r="E752" s="112"/>
      <c r="F752" s="3"/>
      <c r="G752" s="3"/>
      <c r="H752" s="12"/>
      <c r="K752" s="12"/>
      <c r="M752" s="12"/>
      <c r="R752" s="218"/>
      <c r="S752" s="218"/>
      <c r="T752" s="218"/>
      <c r="U752" s="218"/>
    </row>
    <row r="753">
      <c r="C753" s="12"/>
      <c r="D753" s="3"/>
      <c r="E753" s="112"/>
      <c r="F753" s="3"/>
      <c r="G753" s="3"/>
      <c r="H753" s="12"/>
      <c r="K753" s="12"/>
      <c r="M753" s="12"/>
      <c r="R753" s="218"/>
      <c r="S753" s="218"/>
      <c r="T753" s="218"/>
      <c r="U753" s="218"/>
    </row>
    <row r="754">
      <c r="C754" s="12"/>
      <c r="D754" s="3"/>
      <c r="E754" s="112"/>
      <c r="F754" s="3"/>
      <c r="G754" s="3"/>
      <c r="H754" s="12"/>
      <c r="K754" s="12"/>
      <c r="M754" s="12"/>
      <c r="R754" s="218"/>
      <c r="S754" s="218"/>
      <c r="T754" s="218"/>
      <c r="U754" s="218"/>
    </row>
    <row r="755">
      <c r="C755" s="12"/>
      <c r="D755" s="3"/>
      <c r="E755" s="112"/>
      <c r="F755" s="3"/>
      <c r="G755" s="3"/>
      <c r="H755" s="12"/>
      <c r="K755" s="12"/>
      <c r="M755" s="12"/>
      <c r="R755" s="218"/>
      <c r="S755" s="218"/>
      <c r="T755" s="218"/>
      <c r="U755" s="218"/>
    </row>
    <row r="756">
      <c r="C756" s="12"/>
      <c r="D756" s="3"/>
      <c r="E756" s="112"/>
      <c r="F756" s="3"/>
      <c r="G756" s="3"/>
      <c r="H756" s="12"/>
      <c r="K756" s="12"/>
      <c r="M756" s="12"/>
      <c r="R756" s="218"/>
      <c r="S756" s="218"/>
      <c r="T756" s="218"/>
      <c r="U756" s="218"/>
    </row>
    <row r="757">
      <c r="C757" s="12"/>
      <c r="D757" s="3"/>
      <c r="E757" s="112"/>
      <c r="F757" s="3"/>
      <c r="G757" s="3"/>
      <c r="H757" s="12"/>
      <c r="K757" s="12"/>
      <c r="M757" s="12"/>
      <c r="R757" s="218"/>
      <c r="S757" s="218"/>
      <c r="T757" s="218"/>
      <c r="U757" s="218"/>
    </row>
    <row r="758">
      <c r="C758" s="12"/>
      <c r="D758" s="3"/>
      <c r="E758" s="112"/>
      <c r="F758" s="3"/>
      <c r="G758" s="3"/>
      <c r="H758" s="12"/>
      <c r="K758" s="12"/>
      <c r="M758" s="12"/>
      <c r="R758" s="218"/>
      <c r="S758" s="218"/>
      <c r="T758" s="218"/>
      <c r="U758" s="218"/>
    </row>
    <row r="759">
      <c r="C759" s="12"/>
      <c r="D759" s="3"/>
      <c r="E759" s="112"/>
      <c r="F759" s="3"/>
      <c r="G759" s="3"/>
      <c r="H759" s="12"/>
      <c r="K759" s="12"/>
      <c r="M759" s="12"/>
      <c r="R759" s="218"/>
      <c r="S759" s="218"/>
      <c r="T759" s="218"/>
      <c r="U759" s="218"/>
    </row>
    <row r="760">
      <c r="C760" s="12"/>
      <c r="D760" s="3"/>
      <c r="E760" s="112"/>
      <c r="F760" s="3"/>
      <c r="G760" s="3"/>
      <c r="H760" s="12"/>
      <c r="K760" s="12"/>
      <c r="M760" s="12"/>
      <c r="R760" s="218"/>
      <c r="S760" s="218"/>
      <c r="T760" s="218"/>
      <c r="U760" s="218"/>
    </row>
    <row r="761">
      <c r="C761" s="12"/>
      <c r="D761" s="3"/>
      <c r="E761" s="112"/>
      <c r="F761" s="3"/>
      <c r="G761" s="3"/>
      <c r="H761" s="12"/>
      <c r="K761" s="12"/>
      <c r="M761" s="12"/>
      <c r="R761" s="218"/>
      <c r="S761" s="218"/>
      <c r="T761" s="218"/>
      <c r="U761" s="218"/>
    </row>
    <row r="762">
      <c r="C762" s="12"/>
      <c r="D762" s="3"/>
      <c r="E762" s="112"/>
      <c r="F762" s="3"/>
      <c r="G762" s="3"/>
      <c r="H762" s="12"/>
      <c r="K762" s="12"/>
      <c r="M762" s="12"/>
      <c r="R762" s="218"/>
      <c r="S762" s="218"/>
      <c r="T762" s="218"/>
      <c r="U762" s="218"/>
    </row>
    <row r="763">
      <c r="C763" s="12"/>
      <c r="D763" s="3"/>
      <c r="E763" s="112"/>
      <c r="F763" s="3"/>
      <c r="G763" s="3"/>
      <c r="H763" s="12"/>
      <c r="K763" s="12"/>
      <c r="M763" s="12"/>
      <c r="R763" s="218"/>
      <c r="S763" s="218"/>
      <c r="T763" s="218"/>
      <c r="U763" s="218"/>
    </row>
    <row r="764">
      <c r="C764" s="12"/>
      <c r="D764" s="3"/>
      <c r="E764" s="112"/>
      <c r="F764" s="3"/>
      <c r="G764" s="3"/>
      <c r="H764" s="12"/>
      <c r="K764" s="12"/>
      <c r="M764" s="12"/>
      <c r="R764" s="218"/>
      <c r="S764" s="218"/>
      <c r="T764" s="218"/>
      <c r="U764" s="218"/>
    </row>
    <row r="765">
      <c r="C765" s="12"/>
      <c r="D765" s="3"/>
      <c r="E765" s="112"/>
      <c r="F765" s="3"/>
      <c r="G765" s="3"/>
      <c r="H765" s="12"/>
      <c r="K765" s="12"/>
      <c r="M765" s="12"/>
      <c r="R765" s="218"/>
      <c r="S765" s="218"/>
      <c r="T765" s="218"/>
      <c r="U765" s="218"/>
    </row>
    <row r="766">
      <c r="C766" s="12"/>
      <c r="D766" s="3"/>
      <c r="E766" s="112"/>
      <c r="F766" s="3"/>
      <c r="G766" s="3"/>
      <c r="H766" s="12"/>
      <c r="K766" s="12"/>
      <c r="M766" s="12"/>
      <c r="R766" s="218"/>
      <c r="S766" s="218"/>
      <c r="T766" s="218"/>
      <c r="U766" s="218"/>
    </row>
    <row r="767">
      <c r="C767" s="12"/>
      <c r="D767" s="3"/>
      <c r="E767" s="112"/>
      <c r="F767" s="3"/>
      <c r="G767" s="3"/>
      <c r="H767" s="12"/>
      <c r="K767" s="12"/>
      <c r="M767" s="12"/>
      <c r="R767" s="218"/>
      <c r="S767" s="218"/>
      <c r="T767" s="218"/>
      <c r="U767" s="218"/>
    </row>
    <row r="768">
      <c r="C768" s="12"/>
      <c r="D768" s="3"/>
      <c r="E768" s="112"/>
      <c r="F768" s="3"/>
      <c r="G768" s="3"/>
      <c r="H768" s="12"/>
      <c r="K768" s="12"/>
      <c r="M768" s="12"/>
      <c r="R768" s="218"/>
      <c r="S768" s="218"/>
      <c r="T768" s="218"/>
      <c r="U768" s="218"/>
    </row>
    <row r="769">
      <c r="C769" s="12"/>
      <c r="D769" s="3"/>
      <c r="E769" s="112"/>
      <c r="F769" s="3"/>
      <c r="G769" s="3"/>
      <c r="H769" s="12"/>
      <c r="K769" s="12"/>
      <c r="M769" s="12"/>
      <c r="R769" s="218"/>
      <c r="S769" s="218"/>
      <c r="T769" s="218"/>
      <c r="U769" s="218"/>
    </row>
    <row r="770">
      <c r="C770" s="12"/>
      <c r="D770" s="3"/>
      <c r="E770" s="112"/>
      <c r="F770" s="3"/>
      <c r="G770" s="3"/>
      <c r="H770" s="12"/>
      <c r="K770" s="12"/>
      <c r="M770" s="12"/>
      <c r="R770" s="218"/>
      <c r="S770" s="218"/>
      <c r="T770" s="218"/>
      <c r="U770" s="218"/>
    </row>
    <row r="771">
      <c r="C771" s="12"/>
      <c r="D771" s="3"/>
      <c r="E771" s="112"/>
      <c r="F771" s="3"/>
      <c r="G771" s="3"/>
      <c r="H771" s="12"/>
      <c r="K771" s="12"/>
      <c r="M771" s="12"/>
      <c r="R771" s="218"/>
      <c r="S771" s="218"/>
      <c r="T771" s="218"/>
      <c r="U771" s="218"/>
    </row>
    <row r="772">
      <c r="C772" s="12"/>
      <c r="D772" s="3"/>
      <c r="E772" s="112"/>
      <c r="F772" s="3"/>
      <c r="G772" s="3"/>
      <c r="H772" s="12"/>
      <c r="K772" s="12"/>
      <c r="M772" s="12"/>
      <c r="R772" s="218"/>
      <c r="S772" s="218"/>
      <c r="T772" s="218"/>
      <c r="U772" s="218"/>
    </row>
    <row r="773">
      <c r="C773" s="12"/>
      <c r="D773" s="3"/>
      <c r="E773" s="112"/>
      <c r="F773" s="3"/>
      <c r="G773" s="3"/>
      <c r="H773" s="12"/>
      <c r="K773" s="12"/>
      <c r="M773" s="12"/>
      <c r="R773" s="218"/>
      <c r="S773" s="218"/>
      <c r="T773" s="218"/>
      <c r="U773" s="218"/>
    </row>
    <row r="774">
      <c r="C774" s="12"/>
      <c r="D774" s="3"/>
      <c r="E774" s="112"/>
      <c r="F774" s="3"/>
      <c r="G774" s="3"/>
      <c r="H774" s="12"/>
      <c r="K774" s="12"/>
      <c r="M774" s="12"/>
      <c r="R774" s="218"/>
      <c r="S774" s="218"/>
      <c r="T774" s="218"/>
      <c r="U774" s="218"/>
    </row>
    <row r="775">
      <c r="C775" s="12"/>
      <c r="D775" s="3"/>
      <c r="E775" s="112"/>
      <c r="F775" s="3"/>
      <c r="G775" s="3"/>
      <c r="H775" s="12"/>
      <c r="K775" s="12"/>
      <c r="M775" s="12"/>
      <c r="R775" s="218"/>
      <c r="S775" s="218"/>
      <c r="T775" s="218"/>
      <c r="U775" s="218"/>
    </row>
    <row r="776">
      <c r="C776" s="12"/>
      <c r="D776" s="3"/>
      <c r="E776" s="112"/>
      <c r="F776" s="3"/>
      <c r="G776" s="3"/>
      <c r="H776" s="12"/>
      <c r="K776" s="12"/>
      <c r="M776" s="12"/>
      <c r="R776" s="218"/>
      <c r="S776" s="218"/>
      <c r="T776" s="218"/>
      <c r="U776" s="218"/>
    </row>
    <row r="777">
      <c r="C777" s="12"/>
      <c r="D777" s="3"/>
      <c r="E777" s="112"/>
      <c r="F777" s="3"/>
      <c r="G777" s="3"/>
      <c r="H777" s="12"/>
      <c r="K777" s="12"/>
      <c r="M777" s="12"/>
      <c r="R777" s="218"/>
      <c r="S777" s="218"/>
      <c r="T777" s="218"/>
      <c r="U777" s="218"/>
    </row>
    <row r="778">
      <c r="C778" s="12"/>
      <c r="D778" s="3"/>
      <c r="E778" s="112"/>
      <c r="F778" s="3"/>
      <c r="G778" s="3"/>
      <c r="H778" s="12"/>
      <c r="K778" s="12"/>
      <c r="M778" s="12"/>
      <c r="R778" s="218"/>
      <c r="S778" s="218"/>
      <c r="T778" s="218"/>
      <c r="U778" s="218"/>
    </row>
    <row r="779">
      <c r="C779" s="12"/>
      <c r="D779" s="3"/>
      <c r="E779" s="112"/>
      <c r="F779" s="3"/>
      <c r="G779" s="3"/>
      <c r="H779" s="12"/>
      <c r="K779" s="12"/>
      <c r="M779" s="12"/>
      <c r="R779" s="218"/>
      <c r="S779" s="218"/>
      <c r="T779" s="218"/>
      <c r="U779" s="218"/>
    </row>
    <row r="780">
      <c r="C780" s="12"/>
      <c r="D780" s="3"/>
      <c r="E780" s="112"/>
      <c r="F780" s="3"/>
      <c r="G780" s="3"/>
      <c r="H780" s="12"/>
      <c r="K780" s="12"/>
      <c r="M780" s="12"/>
      <c r="R780" s="218"/>
      <c r="S780" s="218"/>
      <c r="T780" s="218"/>
      <c r="U780" s="218"/>
    </row>
    <row r="781">
      <c r="C781" s="12"/>
      <c r="D781" s="3"/>
      <c r="E781" s="112"/>
      <c r="F781" s="3"/>
      <c r="G781" s="3"/>
      <c r="H781" s="12"/>
      <c r="K781" s="12"/>
      <c r="M781" s="12"/>
      <c r="R781" s="218"/>
      <c r="S781" s="218"/>
      <c r="T781" s="218"/>
      <c r="U781" s="218"/>
    </row>
    <row r="782">
      <c r="C782" s="12"/>
      <c r="D782" s="3"/>
      <c r="E782" s="112"/>
      <c r="F782" s="3"/>
      <c r="G782" s="3"/>
      <c r="H782" s="12"/>
      <c r="K782" s="12"/>
      <c r="M782" s="12"/>
      <c r="R782" s="218"/>
      <c r="S782" s="218"/>
      <c r="T782" s="218"/>
      <c r="U782" s="218"/>
    </row>
    <row r="783">
      <c r="C783" s="12"/>
      <c r="D783" s="3"/>
      <c r="E783" s="112"/>
      <c r="F783" s="3"/>
      <c r="G783" s="3"/>
      <c r="H783" s="12"/>
      <c r="K783" s="12"/>
      <c r="M783" s="12"/>
      <c r="R783" s="218"/>
      <c r="S783" s="218"/>
      <c r="T783" s="218"/>
      <c r="U783" s="218"/>
    </row>
    <row r="784">
      <c r="C784" s="12"/>
      <c r="D784" s="3"/>
      <c r="E784" s="112"/>
      <c r="F784" s="3"/>
      <c r="G784" s="3"/>
      <c r="H784" s="12"/>
      <c r="K784" s="12"/>
      <c r="M784" s="12"/>
      <c r="R784" s="218"/>
      <c r="S784" s="218"/>
      <c r="T784" s="218"/>
      <c r="U784" s="218"/>
    </row>
    <row r="785">
      <c r="C785" s="12"/>
      <c r="D785" s="3"/>
      <c r="E785" s="112"/>
      <c r="F785" s="3"/>
      <c r="G785" s="3"/>
      <c r="H785" s="12"/>
      <c r="K785" s="12"/>
      <c r="M785" s="12"/>
      <c r="R785" s="218"/>
      <c r="S785" s="218"/>
      <c r="T785" s="218"/>
      <c r="U785" s="218"/>
    </row>
    <row r="786">
      <c r="C786" s="12"/>
      <c r="D786" s="3"/>
      <c r="E786" s="112"/>
      <c r="F786" s="3"/>
      <c r="G786" s="3"/>
      <c r="H786" s="12"/>
      <c r="K786" s="12"/>
      <c r="M786" s="12"/>
      <c r="R786" s="218"/>
      <c r="S786" s="218"/>
      <c r="T786" s="218"/>
      <c r="U786" s="218"/>
    </row>
    <row r="787">
      <c r="C787" s="12"/>
      <c r="D787" s="3"/>
      <c r="E787" s="112"/>
      <c r="F787" s="3"/>
      <c r="G787" s="3"/>
      <c r="H787" s="12"/>
      <c r="K787" s="12"/>
      <c r="M787" s="12"/>
      <c r="R787" s="218"/>
      <c r="S787" s="218"/>
      <c r="T787" s="218"/>
      <c r="U787" s="218"/>
    </row>
    <row r="788">
      <c r="C788" s="12"/>
      <c r="D788" s="3"/>
      <c r="E788" s="112"/>
      <c r="F788" s="3"/>
      <c r="G788" s="3"/>
      <c r="H788" s="12"/>
      <c r="K788" s="12"/>
      <c r="M788" s="12"/>
      <c r="R788" s="218"/>
      <c r="S788" s="218"/>
      <c r="T788" s="218"/>
      <c r="U788" s="218"/>
    </row>
    <row r="789">
      <c r="C789" s="12"/>
      <c r="D789" s="3"/>
      <c r="E789" s="112"/>
      <c r="F789" s="3"/>
      <c r="G789" s="3"/>
      <c r="H789" s="12"/>
      <c r="K789" s="12"/>
      <c r="M789" s="12"/>
      <c r="R789" s="218"/>
      <c r="S789" s="218"/>
      <c r="T789" s="218"/>
      <c r="U789" s="218"/>
    </row>
    <row r="790">
      <c r="C790" s="12"/>
      <c r="D790" s="3"/>
      <c r="E790" s="112"/>
      <c r="F790" s="3"/>
      <c r="G790" s="3"/>
      <c r="H790" s="12"/>
      <c r="K790" s="12"/>
      <c r="M790" s="12"/>
      <c r="R790" s="218"/>
      <c r="S790" s="218"/>
      <c r="T790" s="218"/>
      <c r="U790" s="218"/>
    </row>
    <row r="791">
      <c r="C791" s="12"/>
      <c r="D791" s="3"/>
      <c r="E791" s="112"/>
      <c r="F791" s="3"/>
      <c r="G791" s="3"/>
      <c r="H791" s="12"/>
      <c r="K791" s="12"/>
      <c r="M791" s="12"/>
      <c r="R791" s="218"/>
      <c r="S791" s="218"/>
      <c r="T791" s="218"/>
      <c r="U791" s="218"/>
    </row>
    <row r="792">
      <c r="C792" s="12"/>
      <c r="D792" s="3"/>
      <c r="E792" s="112"/>
      <c r="F792" s="3"/>
      <c r="G792" s="3"/>
      <c r="H792" s="12"/>
      <c r="K792" s="12"/>
      <c r="M792" s="12"/>
      <c r="R792" s="218"/>
      <c r="S792" s="218"/>
      <c r="T792" s="218"/>
      <c r="U792" s="218"/>
    </row>
    <row r="793">
      <c r="C793" s="12"/>
      <c r="D793" s="3"/>
      <c r="E793" s="112"/>
      <c r="F793" s="3"/>
      <c r="G793" s="3"/>
      <c r="H793" s="12"/>
      <c r="K793" s="12"/>
      <c r="M793" s="12"/>
      <c r="R793" s="218"/>
      <c r="S793" s="218"/>
      <c r="T793" s="218"/>
      <c r="U793" s="218"/>
    </row>
    <row r="794">
      <c r="C794" s="12"/>
      <c r="D794" s="3"/>
      <c r="E794" s="112"/>
      <c r="F794" s="3"/>
      <c r="G794" s="3"/>
      <c r="H794" s="12"/>
      <c r="K794" s="12"/>
      <c r="M794" s="12"/>
      <c r="R794" s="218"/>
      <c r="S794" s="218"/>
      <c r="T794" s="218"/>
      <c r="U794" s="218"/>
    </row>
    <row r="795">
      <c r="C795" s="12"/>
      <c r="D795" s="3"/>
      <c r="E795" s="112"/>
      <c r="F795" s="3"/>
      <c r="G795" s="3"/>
      <c r="H795" s="12"/>
      <c r="K795" s="12"/>
      <c r="M795" s="12"/>
      <c r="R795" s="218"/>
      <c r="S795" s="218"/>
      <c r="T795" s="218"/>
      <c r="U795" s="218"/>
    </row>
    <row r="796">
      <c r="C796" s="12"/>
      <c r="D796" s="3"/>
      <c r="E796" s="112"/>
      <c r="F796" s="3"/>
      <c r="G796" s="3"/>
      <c r="H796" s="12"/>
      <c r="K796" s="12"/>
      <c r="M796" s="12"/>
      <c r="R796" s="218"/>
      <c r="S796" s="218"/>
      <c r="T796" s="218"/>
      <c r="U796" s="218"/>
    </row>
    <row r="797">
      <c r="C797" s="12"/>
      <c r="D797" s="3"/>
      <c r="E797" s="112"/>
      <c r="F797" s="3"/>
      <c r="G797" s="3"/>
      <c r="H797" s="12"/>
      <c r="K797" s="12"/>
      <c r="M797" s="12"/>
      <c r="R797" s="218"/>
      <c r="S797" s="218"/>
      <c r="T797" s="218"/>
      <c r="U797" s="218"/>
    </row>
    <row r="798">
      <c r="C798" s="12"/>
      <c r="D798" s="3"/>
      <c r="E798" s="112"/>
      <c r="F798" s="3"/>
      <c r="G798" s="3"/>
      <c r="H798" s="12"/>
      <c r="K798" s="12"/>
      <c r="M798" s="12"/>
      <c r="R798" s="218"/>
      <c r="S798" s="218"/>
      <c r="T798" s="218"/>
      <c r="U798" s="218"/>
    </row>
    <row r="799">
      <c r="C799" s="12"/>
      <c r="D799" s="3"/>
      <c r="E799" s="112"/>
      <c r="F799" s="3"/>
      <c r="G799" s="3"/>
      <c r="H799" s="12"/>
      <c r="K799" s="12"/>
      <c r="M799" s="12"/>
      <c r="R799" s="218"/>
      <c r="S799" s="218"/>
      <c r="T799" s="218"/>
      <c r="U799" s="218"/>
    </row>
    <row r="800">
      <c r="C800" s="12"/>
      <c r="D800" s="3"/>
      <c r="E800" s="112"/>
      <c r="F800" s="3"/>
      <c r="G800" s="3"/>
      <c r="H800" s="12"/>
      <c r="K800" s="12"/>
      <c r="M800" s="12"/>
      <c r="R800" s="218"/>
      <c r="S800" s="218"/>
      <c r="T800" s="218"/>
      <c r="U800" s="218"/>
    </row>
    <row r="801">
      <c r="C801" s="12"/>
      <c r="D801" s="3"/>
      <c r="E801" s="112"/>
      <c r="F801" s="3"/>
      <c r="G801" s="3"/>
      <c r="H801" s="12"/>
      <c r="K801" s="12"/>
      <c r="M801" s="12"/>
      <c r="R801" s="218"/>
      <c r="S801" s="218"/>
      <c r="T801" s="218"/>
      <c r="U801" s="218"/>
    </row>
    <row r="802">
      <c r="C802" s="12"/>
      <c r="D802" s="3"/>
      <c r="E802" s="112"/>
      <c r="F802" s="3"/>
      <c r="G802" s="3"/>
      <c r="H802" s="12"/>
      <c r="K802" s="12"/>
      <c r="M802" s="12"/>
      <c r="R802" s="218"/>
      <c r="S802" s="218"/>
      <c r="T802" s="218"/>
      <c r="U802" s="218"/>
    </row>
    <row r="803">
      <c r="C803" s="12"/>
      <c r="D803" s="3"/>
      <c r="E803" s="112"/>
      <c r="F803" s="3"/>
      <c r="G803" s="3"/>
      <c r="H803" s="12"/>
      <c r="K803" s="12"/>
      <c r="M803" s="12"/>
      <c r="R803" s="218"/>
      <c r="S803" s="218"/>
      <c r="T803" s="218"/>
      <c r="U803" s="218"/>
    </row>
    <row r="804">
      <c r="C804" s="12"/>
      <c r="D804" s="3"/>
      <c r="E804" s="112"/>
      <c r="F804" s="3"/>
      <c r="G804" s="3"/>
      <c r="H804" s="12"/>
      <c r="K804" s="12"/>
      <c r="M804" s="12"/>
      <c r="R804" s="218"/>
      <c r="S804" s="218"/>
      <c r="T804" s="218"/>
      <c r="U804" s="218"/>
    </row>
    <row r="805">
      <c r="C805" s="12"/>
      <c r="D805" s="3"/>
      <c r="E805" s="112"/>
      <c r="F805" s="3"/>
      <c r="G805" s="3"/>
      <c r="H805" s="12"/>
      <c r="K805" s="12"/>
      <c r="M805" s="12"/>
      <c r="R805" s="218"/>
      <c r="S805" s="218"/>
      <c r="T805" s="218"/>
      <c r="U805" s="218"/>
    </row>
    <row r="806">
      <c r="C806" s="12"/>
      <c r="D806" s="3"/>
      <c r="E806" s="112"/>
      <c r="F806" s="3"/>
      <c r="G806" s="3"/>
      <c r="H806" s="12"/>
      <c r="K806" s="12"/>
      <c r="M806" s="12"/>
      <c r="R806" s="218"/>
      <c r="S806" s="218"/>
      <c r="T806" s="218"/>
      <c r="U806" s="218"/>
    </row>
    <row r="807">
      <c r="C807" s="12"/>
      <c r="D807" s="3"/>
      <c r="E807" s="112"/>
      <c r="F807" s="3"/>
      <c r="G807" s="3"/>
      <c r="H807" s="12"/>
      <c r="K807" s="12"/>
      <c r="M807" s="12"/>
      <c r="R807" s="218"/>
      <c r="S807" s="218"/>
      <c r="T807" s="218"/>
      <c r="U807" s="218"/>
    </row>
    <row r="808">
      <c r="C808" s="12"/>
      <c r="D808" s="3"/>
      <c r="E808" s="112"/>
      <c r="F808" s="3"/>
      <c r="G808" s="3"/>
      <c r="H808" s="12"/>
      <c r="K808" s="12"/>
      <c r="M808" s="12"/>
      <c r="R808" s="218"/>
      <c r="S808" s="218"/>
      <c r="T808" s="218"/>
      <c r="U808" s="218"/>
    </row>
    <row r="809">
      <c r="C809" s="12"/>
      <c r="D809" s="3"/>
      <c r="E809" s="112"/>
      <c r="F809" s="3"/>
      <c r="G809" s="3"/>
      <c r="H809" s="12"/>
      <c r="K809" s="12"/>
      <c r="M809" s="12"/>
      <c r="R809" s="218"/>
      <c r="S809" s="218"/>
      <c r="T809" s="218"/>
      <c r="U809" s="218"/>
    </row>
    <row r="810">
      <c r="C810" s="12"/>
      <c r="D810" s="3"/>
      <c r="E810" s="112"/>
      <c r="F810" s="3"/>
      <c r="G810" s="3"/>
      <c r="H810" s="12"/>
      <c r="K810" s="12"/>
      <c r="M810" s="12"/>
      <c r="R810" s="218"/>
      <c r="S810" s="218"/>
      <c r="T810" s="218"/>
      <c r="U810" s="218"/>
    </row>
    <row r="811">
      <c r="C811" s="12"/>
      <c r="D811" s="3"/>
      <c r="E811" s="112"/>
      <c r="F811" s="3"/>
      <c r="G811" s="3"/>
      <c r="H811" s="12"/>
      <c r="K811" s="12"/>
      <c r="M811" s="12"/>
      <c r="R811" s="218"/>
      <c r="S811" s="218"/>
      <c r="T811" s="218"/>
      <c r="U811" s="218"/>
    </row>
    <row r="812">
      <c r="C812" s="12"/>
      <c r="D812" s="3"/>
      <c r="E812" s="112"/>
      <c r="F812" s="3"/>
      <c r="G812" s="3"/>
      <c r="H812" s="12"/>
      <c r="K812" s="12"/>
      <c r="M812" s="12"/>
      <c r="R812" s="218"/>
      <c r="S812" s="218"/>
      <c r="T812" s="218"/>
      <c r="U812" s="218"/>
    </row>
    <row r="813">
      <c r="C813" s="12"/>
      <c r="D813" s="3"/>
      <c r="E813" s="112"/>
      <c r="F813" s="3"/>
      <c r="G813" s="3"/>
      <c r="H813" s="12"/>
      <c r="K813" s="12"/>
      <c r="M813" s="12"/>
      <c r="R813" s="218"/>
      <c r="S813" s="218"/>
      <c r="T813" s="218"/>
      <c r="U813" s="218"/>
    </row>
    <row r="814">
      <c r="C814" s="12"/>
      <c r="D814" s="3"/>
      <c r="E814" s="112"/>
      <c r="F814" s="3"/>
      <c r="G814" s="3"/>
      <c r="H814" s="12"/>
      <c r="K814" s="12"/>
      <c r="M814" s="12"/>
      <c r="R814" s="218"/>
      <c r="S814" s="218"/>
      <c r="T814" s="218"/>
      <c r="U814" s="218"/>
    </row>
    <row r="815">
      <c r="C815" s="12"/>
      <c r="D815" s="3"/>
      <c r="E815" s="112"/>
      <c r="F815" s="3"/>
      <c r="G815" s="3"/>
      <c r="H815" s="12"/>
      <c r="K815" s="12"/>
      <c r="M815" s="12"/>
      <c r="R815" s="218"/>
      <c r="S815" s="218"/>
      <c r="T815" s="218"/>
      <c r="U815" s="218"/>
    </row>
    <row r="816">
      <c r="C816" s="12"/>
      <c r="D816" s="3"/>
      <c r="E816" s="112"/>
      <c r="F816" s="3"/>
      <c r="G816" s="3"/>
      <c r="H816" s="12"/>
      <c r="K816" s="12"/>
      <c r="M816" s="12"/>
      <c r="R816" s="218"/>
      <c r="S816" s="218"/>
      <c r="T816" s="218"/>
      <c r="U816" s="218"/>
    </row>
    <row r="817">
      <c r="C817" s="12"/>
      <c r="D817" s="3"/>
      <c r="E817" s="112"/>
      <c r="F817" s="3"/>
      <c r="G817" s="3"/>
      <c r="H817" s="12"/>
      <c r="K817" s="12"/>
      <c r="M817" s="12"/>
      <c r="R817" s="218"/>
      <c r="S817" s="218"/>
      <c r="T817" s="218"/>
      <c r="U817" s="218"/>
    </row>
    <row r="818">
      <c r="C818" s="12"/>
      <c r="D818" s="3"/>
      <c r="E818" s="112"/>
      <c r="F818" s="3"/>
      <c r="G818" s="3"/>
      <c r="H818" s="12"/>
      <c r="K818" s="12"/>
      <c r="M818" s="12"/>
      <c r="R818" s="218"/>
      <c r="S818" s="218"/>
      <c r="T818" s="218"/>
      <c r="U818" s="218"/>
    </row>
    <row r="819">
      <c r="C819" s="12"/>
      <c r="D819" s="3"/>
      <c r="E819" s="112"/>
      <c r="F819" s="3"/>
      <c r="G819" s="3"/>
      <c r="H819" s="12"/>
      <c r="K819" s="12"/>
      <c r="M819" s="12"/>
      <c r="R819" s="218"/>
      <c r="S819" s="218"/>
      <c r="T819" s="218"/>
      <c r="U819" s="218"/>
    </row>
    <row r="820">
      <c r="C820" s="12"/>
      <c r="D820" s="3"/>
      <c r="E820" s="112"/>
      <c r="F820" s="3"/>
      <c r="G820" s="3"/>
      <c r="H820" s="12"/>
      <c r="K820" s="12"/>
      <c r="M820" s="12"/>
      <c r="R820" s="218"/>
      <c r="S820" s="218"/>
      <c r="T820" s="218"/>
      <c r="U820" s="218"/>
    </row>
    <row r="821">
      <c r="C821" s="12"/>
      <c r="D821" s="3"/>
      <c r="E821" s="112"/>
      <c r="F821" s="3"/>
      <c r="G821" s="3"/>
      <c r="H821" s="12"/>
      <c r="K821" s="12"/>
      <c r="M821" s="12"/>
      <c r="R821" s="218"/>
      <c r="S821" s="218"/>
      <c r="T821" s="218"/>
      <c r="U821" s="218"/>
    </row>
    <row r="822">
      <c r="C822" s="12"/>
      <c r="D822" s="3"/>
      <c r="E822" s="112"/>
      <c r="F822" s="3"/>
      <c r="G822" s="3"/>
      <c r="H822" s="12"/>
      <c r="K822" s="12"/>
      <c r="M822" s="12"/>
      <c r="R822" s="218"/>
      <c r="S822" s="218"/>
      <c r="T822" s="218"/>
      <c r="U822" s="218"/>
    </row>
    <row r="823">
      <c r="C823" s="12"/>
      <c r="D823" s="3"/>
      <c r="E823" s="112"/>
      <c r="F823" s="3"/>
      <c r="G823" s="3"/>
      <c r="H823" s="12"/>
      <c r="K823" s="12"/>
      <c r="M823" s="12"/>
      <c r="R823" s="218"/>
      <c r="S823" s="218"/>
      <c r="T823" s="218"/>
      <c r="U823" s="218"/>
    </row>
    <row r="824">
      <c r="C824" s="12"/>
      <c r="D824" s="3"/>
      <c r="E824" s="112"/>
      <c r="F824" s="3"/>
      <c r="G824" s="3"/>
      <c r="H824" s="12"/>
      <c r="K824" s="12"/>
      <c r="M824" s="12"/>
      <c r="R824" s="218"/>
      <c r="S824" s="218"/>
      <c r="T824" s="218"/>
      <c r="U824" s="218"/>
    </row>
    <row r="825">
      <c r="C825" s="12"/>
      <c r="D825" s="3"/>
      <c r="E825" s="112"/>
      <c r="F825" s="3"/>
      <c r="G825" s="3"/>
      <c r="H825" s="12"/>
      <c r="K825" s="12"/>
      <c r="M825" s="12"/>
      <c r="R825" s="218"/>
      <c r="S825" s="218"/>
      <c r="T825" s="218"/>
      <c r="U825" s="218"/>
    </row>
    <row r="826">
      <c r="C826" s="12"/>
      <c r="D826" s="3"/>
      <c r="E826" s="112"/>
      <c r="F826" s="3"/>
      <c r="G826" s="3"/>
      <c r="H826" s="12"/>
      <c r="K826" s="12"/>
      <c r="M826" s="12"/>
      <c r="R826" s="218"/>
      <c r="S826" s="218"/>
      <c r="T826" s="218"/>
      <c r="U826" s="218"/>
    </row>
    <row r="827">
      <c r="C827" s="12"/>
      <c r="D827" s="3"/>
      <c r="E827" s="112"/>
      <c r="F827" s="3"/>
      <c r="G827" s="3"/>
      <c r="H827" s="12"/>
      <c r="K827" s="12"/>
      <c r="M827" s="12"/>
      <c r="R827" s="218"/>
      <c r="S827" s="218"/>
      <c r="T827" s="218"/>
      <c r="U827" s="218"/>
    </row>
    <row r="828">
      <c r="C828" s="12"/>
      <c r="D828" s="3"/>
      <c r="E828" s="112"/>
      <c r="F828" s="3"/>
      <c r="G828" s="3"/>
      <c r="H828" s="12"/>
      <c r="K828" s="12"/>
      <c r="M828" s="12"/>
      <c r="R828" s="218"/>
      <c r="S828" s="218"/>
      <c r="T828" s="218"/>
      <c r="U828" s="218"/>
    </row>
    <row r="829">
      <c r="C829" s="12"/>
      <c r="D829" s="3"/>
      <c r="E829" s="112"/>
      <c r="F829" s="3"/>
      <c r="G829" s="3"/>
      <c r="H829" s="12"/>
      <c r="K829" s="12"/>
      <c r="M829" s="12"/>
      <c r="R829" s="218"/>
      <c r="S829" s="218"/>
      <c r="T829" s="218"/>
      <c r="U829" s="218"/>
    </row>
    <row r="830">
      <c r="C830" s="12"/>
      <c r="D830" s="3"/>
      <c r="E830" s="112"/>
      <c r="F830" s="3"/>
      <c r="G830" s="3"/>
      <c r="H830" s="12"/>
      <c r="K830" s="12"/>
      <c r="M830" s="12"/>
      <c r="R830" s="218"/>
      <c r="S830" s="218"/>
      <c r="T830" s="218"/>
      <c r="U830" s="218"/>
    </row>
    <row r="831">
      <c r="C831" s="12"/>
      <c r="D831" s="3"/>
      <c r="E831" s="112"/>
      <c r="F831" s="3"/>
      <c r="G831" s="3"/>
      <c r="H831" s="12"/>
      <c r="K831" s="12"/>
      <c r="M831" s="12"/>
      <c r="R831" s="218"/>
      <c r="S831" s="218"/>
      <c r="T831" s="218"/>
      <c r="U831" s="218"/>
    </row>
    <row r="832">
      <c r="C832" s="12"/>
      <c r="D832" s="3"/>
      <c r="E832" s="112"/>
      <c r="F832" s="3"/>
      <c r="G832" s="3"/>
      <c r="H832" s="12"/>
      <c r="K832" s="12"/>
      <c r="M832" s="12"/>
      <c r="R832" s="218"/>
      <c r="S832" s="218"/>
      <c r="T832" s="218"/>
      <c r="U832" s="218"/>
    </row>
    <row r="833">
      <c r="C833" s="12"/>
      <c r="D833" s="3"/>
      <c r="E833" s="112"/>
      <c r="F833" s="3"/>
      <c r="G833" s="3"/>
      <c r="H833" s="12"/>
      <c r="K833" s="12"/>
      <c r="M833" s="12"/>
      <c r="R833" s="218"/>
      <c r="S833" s="218"/>
      <c r="T833" s="218"/>
      <c r="U833" s="218"/>
    </row>
    <row r="834">
      <c r="C834" s="12"/>
      <c r="D834" s="3"/>
      <c r="E834" s="112"/>
      <c r="F834" s="3"/>
      <c r="G834" s="3"/>
      <c r="H834" s="12"/>
      <c r="K834" s="12"/>
      <c r="M834" s="12"/>
      <c r="R834" s="218"/>
      <c r="S834" s="218"/>
      <c r="T834" s="218"/>
      <c r="U834" s="218"/>
    </row>
    <row r="835">
      <c r="C835" s="12"/>
      <c r="D835" s="3"/>
      <c r="E835" s="112"/>
      <c r="F835" s="3"/>
      <c r="G835" s="3"/>
      <c r="H835" s="12"/>
      <c r="K835" s="12"/>
      <c r="M835" s="12"/>
      <c r="R835" s="218"/>
      <c r="S835" s="218"/>
      <c r="T835" s="218"/>
      <c r="U835" s="218"/>
    </row>
    <row r="836">
      <c r="C836" s="12"/>
      <c r="D836" s="3"/>
      <c r="E836" s="112"/>
      <c r="F836" s="3"/>
      <c r="G836" s="3"/>
      <c r="H836" s="12"/>
      <c r="K836" s="12"/>
      <c r="M836" s="12"/>
      <c r="R836" s="218"/>
      <c r="S836" s="218"/>
      <c r="T836" s="218"/>
      <c r="U836" s="218"/>
    </row>
    <row r="837">
      <c r="C837" s="12"/>
      <c r="D837" s="3"/>
      <c r="E837" s="112"/>
      <c r="F837" s="3"/>
      <c r="G837" s="3"/>
      <c r="H837" s="12"/>
      <c r="K837" s="12"/>
      <c r="M837" s="12"/>
      <c r="R837" s="218"/>
      <c r="S837" s="218"/>
      <c r="T837" s="218"/>
      <c r="U837" s="218"/>
    </row>
    <row r="838">
      <c r="C838" s="12"/>
      <c r="D838" s="3"/>
      <c r="E838" s="112"/>
      <c r="F838" s="3"/>
      <c r="G838" s="3"/>
      <c r="H838" s="12"/>
      <c r="K838" s="12"/>
      <c r="M838" s="12"/>
      <c r="R838" s="218"/>
      <c r="S838" s="218"/>
      <c r="T838" s="218"/>
      <c r="U838" s="218"/>
    </row>
    <row r="839">
      <c r="C839" s="12"/>
      <c r="D839" s="3"/>
      <c r="E839" s="112"/>
      <c r="F839" s="3"/>
      <c r="G839" s="3"/>
      <c r="H839" s="12"/>
      <c r="K839" s="12"/>
      <c r="M839" s="12"/>
      <c r="R839" s="218"/>
      <c r="S839" s="218"/>
      <c r="T839" s="218"/>
      <c r="U839" s="218"/>
    </row>
    <row r="840">
      <c r="C840" s="12"/>
      <c r="D840" s="3"/>
      <c r="E840" s="112"/>
      <c r="F840" s="3"/>
      <c r="G840" s="3"/>
      <c r="H840" s="12"/>
      <c r="K840" s="12"/>
      <c r="M840" s="12"/>
      <c r="R840" s="218"/>
      <c r="S840" s="218"/>
      <c r="T840" s="218"/>
      <c r="U840" s="218"/>
    </row>
    <row r="841">
      <c r="C841" s="12"/>
      <c r="D841" s="3"/>
      <c r="E841" s="112"/>
      <c r="F841" s="3"/>
      <c r="G841" s="3"/>
      <c r="H841" s="12"/>
      <c r="K841" s="12"/>
      <c r="M841" s="12"/>
      <c r="R841" s="218"/>
      <c r="S841" s="218"/>
      <c r="T841" s="218"/>
      <c r="U841" s="218"/>
    </row>
    <row r="842">
      <c r="C842" s="12"/>
      <c r="D842" s="3"/>
      <c r="E842" s="112"/>
      <c r="F842" s="3"/>
      <c r="G842" s="3"/>
      <c r="H842" s="12"/>
      <c r="K842" s="12"/>
      <c r="M842" s="12"/>
      <c r="R842" s="218"/>
      <c r="S842" s="218"/>
      <c r="T842" s="218"/>
      <c r="U842" s="218"/>
    </row>
    <row r="843">
      <c r="C843" s="12"/>
      <c r="D843" s="3"/>
      <c r="E843" s="112"/>
      <c r="F843" s="3"/>
      <c r="G843" s="3"/>
      <c r="H843" s="12"/>
      <c r="K843" s="12"/>
      <c r="M843" s="12"/>
      <c r="R843" s="218"/>
      <c r="S843" s="218"/>
      <c r="T843" s="218"/>
      <c r="U843" s="218"/>
    </row>
    <row r="844">
      <c r="C844" s="12"/>
      <c r="D844" s="3"/>
      <c r="E844" s="112"/>
      <c r="F844" s="3"/>
      <c r="G844" s="3"/>
      <c r="H844" s="12"/>
      <c r="K844" s="12"/>
      <c r="M844" s="12"/>
      <c r="R844" s="218"/>
      <c r="S844" s="218"/>
      <c r="T844" s="218"/>
      <c r="U844" s="218"/>
    </row>
    <row r="845">
      <c r="C845" s="12"/>
      <c r="D845" s="3"/>
      <c r="E845" s="112"/>
      <c r="F845" s="3"/>
      <c r="G845" s="3"/>
      <c r="H845" s="12"/>
      <c r="K845" s="12"/>
      <c r="M845" s="12"/>
      <c r="R845" s="218"/>
      <c r="S845" s="218"/>
      <c r="T845" s="218"/>
      <c r="U845" s="218"/>
    </row>
    <row r="846">
      <c r="C846" s="12"/>
      <c r="D846" s="3"/>
      <c r="E846" s="112"/>
      <c r="F846" s="3"/>
      <c r="G846" s="3"/>
      <c r="H846" s="12"/>
      <c r="K846" s="12"/>
      <c r="M846" s="12"/>
      <c r="R846" s="218"/>
      <c r="S846" s="218"/>
      <c r="T846" s="218"/>
      <c r="U846" s="218"/>
    </row>
    <row r="847">
      <c r="C847" s="12"/>
      <c r="D847" s="3"/>
      <c r="E847" s="112"/>
      <c r="F847" s="3"/>
      <c r="G847" s="3"/>
      <c r="H847" s="12"/>
      <c r="K847" s="12"/>
      <c r="M847" s="12"/>
      <c r="R847" s="218"/>
      <c r="S847" s="218"/>
      <c r="T847" s="218"/>
      <c r="U847" s="218"/>
    </row>
    <row r="848">
      <c r="C848" s="12"/>
      <c r="D848" s="3"/>
      <c r="E848" s="112"/>
      <c r="F848" s="3"/>
      <c r="G848" s="3"/>
      <c r="H848" s="12"/>
      <c r="K848" s="12"/>
      <c r="M848" s="12"/>
      <c r="R848" s="218"/>
      <c r="S848" s="218"/>
      <c r="T848" s="218"/>
      <c r="U848" s="218"/>
    </row>
    <row r="849">
      <c r="C849" s="12"/>
      <c r="D849" s="3"/>
      <c r="E849" s="112"/>
      <c r="F849" s="3"/>
      <c r="G849" s="3"/>
      <c r="H849" s="12"/>
      <c r="K849" s="12"/>
      <c r="M849" s="12"/>
      <c r="R849" s="218"/>
      <c r="S849" s="218"/>
      <c r="T849" s="218"/>
      <c r="U849" s="218"/>
    </row>
    <row r="850">
      <c r="C850" s="12"/>
      <c r="D850" s="3"/>
      <c r="E850" s="112"/>
      <c r="F850" s="3"/>
      <c r="G850" s="3"/>
      <c r="H850" s="12"/>
      <c r="K850" s="12"/>
      <c r="M850" s="12"/>
      <c r="R850" s="218"/>
      <c r="S850" s="218"/>
      <c r="T850" s="218"/>
      <c r="U850" s="218"/>
    </row>
    <row r="851">
      <c r="C851" s="12"/>
      <c r="D851" s="3"/>
      <c r="E851" s="112"/>
      <c r="F851" s="3"/>
      <c r="G851" s="3"/>
      <c r="H851" s="12"/>
      <c r="K851" s="12"/>
      <c r="M851" s="12"/>
      <c r="R851" s="218"/>
      <c r="S851" s="218"/>
      <c r="T851" s="218"/>
      <c r="U851" s="218"/>
    </row>
    <row r="852">
      <c r="C852" s="12"/>
      <c r="D852" s="3"/>
      <c r="E852" s="112"/>
      <c r="F852" s="3"/>
      <c r="G852" s="3"/>
      <c r="H852" s="12"/>
      <c r="K852" s="12"/>
      <c r="M852" s="12"/>
      <c r="R852" s="218"/>
      <c r="S852" s="218"/>
      <c r="T852" s="218"/>
      <c r="U852" s="218"/>
    </row>
    <row r="853">
      <c r="C853" s="12"/>
      <c r="D853" s="3"/>
      <c r="E853" s="112"/>
      <c r="F853" s="3"/>
      <c r="G853" s="3"/>
      <c r="H853" s="12"/>
      <c r="K853" s="12"/>
      <c r="M853" s="12"/>
      <c r="R853" s="218"/>
      <c r="S853" s="218"/>
      <c r="T853" s="218"/>
      <c r="U853" s="218"/>
    </row>
    <row r="854">
      <c r="C854" s="12"/>
      <c r="D854" s="3"/>
      <c r="E854" s="112"/>
      <c r="F854" s="3"/>
      <c r="G854" s="3"/>
      <c r="H854" s="12"/>
      <c r="K854" s="12"/>
      <c r="M854" s="12"/>
      <c r="R854" s="218"/>
      <c r="S854" s="218"/>
      <c r="T854" s="218"/>
      <c r="U854" s="218"/>
    </row>
    <row r="855">
      <c r="C855" s="12"/>
      <c r="D855" s="3"/>
      <c r="E855" s="112"/>
      <c r="F855" s="3"/>
      <c r="G855" s="3"/>
      <c r="H855" s="12"/>
      <c r="K855" s="12"/>
      <c r="M855" s="12"/>
      <c r="R855" s="218"/>
      <c r="S855" s="218"/>
      <c r="T855" s="218"/>
      <c r="U855" s="218"/>
    </row>
    <row r="856">
      <c r="C856" s="12"/>
      <c r="D856" s="3"/>
      <c r="E856" s="112"/>
      <c r="F856" s="3"/>
      <c r="G856" s="3"/>
      <c r="H856" s="12"/>
      <c r="K856" s="12"/>
      <c r="M856" s="12"/>
      <c r="R856" s="218"/>
      <c r="S856" s="218"/>
      <c r="T856" s="218"/>
      <c r="U856" s="218"/>
    </row>
    <row r="857">
      <c r="C857" s="12"/>
      <c r="D857" s="3"/>
      <c r="E857" s="112"/>
      <c r="F857" s="3"/>
      <c r="G857" s="3"/>
      <c r="H857" s="12"/>
      <c r="K857" s="12"/>
      <c r="M857" s="12"/>
      <c r="R857" s="218"/>
      <c r="S857" s="218"/>
      <c r="T857" s="218"/>
      <c r="U857" s="218"/>
    </row>
    <row r="858">
      <c r="C858" s="12"/>
      <c r="D858" s="3"/>
      <c r="E858" s="112"/>
      <c r="F858" s="3"/>
      <c r="G858" s="3"/>
      <c r="H858" s="12"/>
      <c r="K858" s="12"/>
      <c r="M858" s="12"/>
      <c r="R858" s="218"/>
      <c r="S858" s="218"/>
      <c r="T858" s="218"/>
      <c r="U858" s="218"/>
    </row>
    <row r="859">
      <c r="C859" s="12"/>
      <c r="D859" s="3"/>
      <c r="E859" s="112"/>
      <c r="F859" s="3"/>
      <c r="G859" s="3"/>
      <c r="H859" s="12"/>
      <c r="K859" s="12"/>
      <c r="M859" s="12"/>
      <c r="R859" s="218"/>
      <c r="S859" s="218"/>
      <c r="T859" s="218"/>
      <c r="U859" s="218"/>
    </row>
    <row r="860">
      <c r="C860" s="12"/>
      <c r="D860" s="3"/>
      <c r="E860" s="112"/>
      <c r="F860" s="3"/>
      <c r="G860" s="3"/>
      <c r="H860" s="12"/>
      <c r="K860" s="12"/>
      <c r="M860" s="12"/>
      <c r="R860" s="218"/>
      <c r="S860" s="218"/>
      <c r="T860" s="218"/>
      <c r="U860" s="218"/>
    </row>
    <row r="861">
      <c r="C861" s="12"/>
      <c r="D861" s="3"/>
      <c r="E861" s="112"/>
      <c r="F861" s="3"/>
      <c r="G861" s="3"/>
      <c r="H861" s="12"/>
      <c r="K861" s="12"/>
      <c r="M861" s="12"/>
      <c r="R861" s="218"/>
      <c r="S861" s="218"/>
      <c r="T861" s="218"/>
      <c r="U861" s="218"/>
    </row>
    <row r="862">
      <c r="C862" s="12"/>
      <c r="D862" s="3"/>
      <c r="E862" s="112"/>
      <c r="F862" s="3"/>
      <c r="G862" s="3"/>
      <c r="H862" s="12"/>
      <c r="K862" s="12"/>
      <c r="M862" s="12"/>
      <c r="R862" s="218"/>
      <c r="S862" s="218"/>
      <c r="T862" s="218"/>
      <c r="U862" s="218"/>
    </row>
    <row r="863">
      <c r="C863" s="12"/>
      <c r="D863" s="3"/>
      <c r="E863" s="112"/>
      <c r="F863" s="3"/>
      <c r="G863" s="3"/>
      <c r="H863" s="12"/>
      <c r="K863" s="12"/>
      <c r="M863" s="12"/>
      <c r="R863" s="218"/>
      <c r="S863" s="218"/>
      <c r="T863" s="218"/>
      <c r="U863" s="218"/>
    </row>
    <row r="864">
      <c r="C864" s="12"/>
      <c r="D864" s="3"/>
      <c r="E864" s="112"/>
      <c r="F864" s="3"/>
      <c r="G864" s="3"/>
      <c r="H864" s="12"/>
      <c r="K864" s="12"/>
      <c r="M864" s="12"/>
      <c r="R864" s="218"/>
      <c r="S864" s="218"/>
      <c r="T864" s="218"/>
      <c r="U864" s="218"/>
    </row>
    <row r="865">
      <c r="C865" s="12"/>
      <c r="D865" s="3"/>
      <c r="E865" s="112"/>
      <c r="F865" s="3"/>
      <c r="G865" s="3"/>
      <c r="H865" s="12"/>
      <c r="K865" s="12"/>
      <c r="M865" s="12"/>
      <c r="R865" s="218"/>
      <c r="S865" s="218"/>
      <c r="T865" s="218"/>
      <c r="U865" s="218"/>
    </row>
    <row r="866">
      <c r="C866" s="12"/>
      <c r="D866" s="3"/>
      <c r="E866" s="112"/>
      <c r="F866" s="3"/>
      <c r="G866" s="3"/>
      <c r="H866" s="12"/>
      <c r="K866" s="12"/>
      <c r="M866" s="12"/>
      <c r="R866" s="218"/>
      <c r="S866" s="218"/>
      <c r="T866" s="218"/>
      <c r="U866" s="218"/>
    </row>
    <row r="867">
      <c r="C867" s="12"/>
      <c r="D867" s="3"/>
      <c r="E867" s="112"/>
      <c r="F867" s="3"/>
      <c r="G867" s="3"/>
      <c r="H867" s="12"/>
      <c r="K867" s="12"/>
      <c r="M867" s="12"/>
      <c r="R867" s="218"/>
      <c r="S867" s="218"/>
      <c r="T867" s="218"/>
      <c r="U867" s="218"/>
    </row>
    <row r="868">
      <c r="C868" s="12"/>
      <c r="D868" s="3"/>
      <c r="E868" s="112"/>
      <c r="F868" s="3"/>
      <c r="G868" s="3"/>
      <c r="H868" s="12"/>
      <c r="K868" s="12"/>
      <c r="M868" s="12"/>
      <c r="R868" s="218"/>
      <c r="S868" s="218"/>
      <c r="T868" s="218"/>
      <c r="U868" s="218"/>
    </row>
    <row r="869">
      <c r="C869" s="12"/>
      <c r="D869" s="3"/>
      <c r="E869" s="112"/>
      <c r="F869" s="3"/>
      <c r="G869" s="3"/>
      <c r="H869" s="12"/>
      <c r="K869" s="12"/>
      <c r="M869" s="12"/>
      <c r="R869" s="218"/>
      <c r="S869" s="218"/>
      <c r="T869" s="218"/>
      <c r="U869" s="218"/>
    </row>
    <row r="870">
      <c r="C870" s="12"/>
      <c r="D870" s="3"/>
      <c r="E870" s="112"/>
      <c r="F870" s="3"/>
      <c r="G870" s="3"/>
      <c r="H870" s="12"/>
      <c r="K870" s="12"/>
      <c r="M870" s="12"/>
      <c r="R870" s="218"/>
      <c r="S870" s="218"/>
      <c r="T870" s="218"/>
      <c r="U870" s="218"/>
    </row>
    <row r="871">
      <c r="C871" s="12"/>
      <c r="D871" s="3"/>
      <c r="E871" s="112"/>
      <c r="F871" s="3"/>
      <c r="G871" s="3"/>
      <c r="H871" s="12"/>
      <c r="K871" s="12"/>
      <c r="M871" s="12"/>
      <c r="R871" s="218"/>
      <c r="S871" s="218"/>
      <c r="T871" s="218"/>
      <c r="U871" s="218"/>
    </row>
    <row r="872">
      <c r="C872" s="12"/>
      <c r="D872" s="3"/>
      <c r="E872" s="112"/>
      <c r="F872" s="3"/>
      <c r="G872" s="3"/>
      <c r="H872" s="12"/>
      <c r="K872" s="12"/>
      <c r="M872" s="12"/>
      <c r="R872" s="218"/>
      <c r="S872" s="218"/>
      <c r="T872" s="218"/>
      <c r="U872" s="218"/>
    </row>
    <row r="873">
      <c r="C873" s="12"/>
      <c r="D873" s="3"/>
      <c r="E873" s="112"/>
      <c r="F873" s="3"/>
      <c r="G873" s="3"/>
      <c r="H873" s="12"/>
      <c r="K873" s="12"/>
      <c r="M873" s="12"/>
      <c r="R873" s="218"/>
      <c r="S873" s="218"/>
      <c r="T873" s="218"/>
      <c r="U873" s="218"/>
    </row>
    <row r="874">
      <c r="C874" s="12"/>
      <c r="D874" s="3"/>
      <c r="E874" s="112"/>
      <c r="F874" s="3"/>
      <c r="G874" s="3"/>
      <c r="H874" s="12"/>
      <c r="K874" s="12"/>
      <c r="M874" s="12"/>
      <c r="R874" s="218"/>
      <c r="S874" s="218"/>
      <c r="T874" s="218"/>
      <c r="U874" s="218"/>
    </row>
    <row r="875">
      <c r="C875" s="12"/>
      <c r="D875" s="3"/>
      <c r="E875" s="112"/>
      <c r="F875" s="3"/>
      <c r="G875" s="3"/>
      <c r="H875" s="12"/>
      <c r="K875" s="12"/>
      <c r="M875" s="12"/>
      <c r="R875" s="218"/>
      <c r="S875" s="218"/>
      <c r="T875" s="218"/>
      <c r="U875" s="218"/>
    </row>
    <row r="876">
      <c r="C876" s="12"/>
      <c r="D876" s="3"/>
      <c r="E876" s="112"/>
      <c r="F876" s="3"/>
      <c r="G876" s="3"/>
      <c r="H876" s="12"/>
      <c r="K876" s="12"/>
      <c r="M876" s="12"/>
      <c r="R876" s="218"/>
      <c r="S876" s="218"/>
      <c r="T876" s="218"/>
      <c r="U876" s="218"/>
    </row>
    <row r="877">
      <c r="C877" s="12"/>
      <c r="D877" s="3"/>
      <c r="E877" s="112"/>
      <c r="F877" s="3"/>
      <c r="G877" s="3"/>
      <c r="H877" s="12"/>
      <c r="K877" s="12"/>
      <c r="M877" s="12"/>
      <c r="R877" s="218"/>
      <c r="S877" s="218"/>
      <c r="T877" s="218"/>
      <c r="U877" s="218"/>
    </row>
    <row r="878">
      <c r="C878" s="12"/>
      <c r="D878" s="3"/>
      <c r="E878" s="112"/>
      <c r="F878" s="3"/>
      <c r="G878" s="3"/>
      <c r="H878" s="12"/>
      <c r="K878" s="12"/>
      <c r="M878" s="12"/>
      <c r="R878" s="218"/>
      <c r="S878" s="218"/>
      <c r="T878" s="218"/>
      <c r="U878" s="218"/>
    </row>
    <row r="879">
      <c r="C879" s="12"/>
      <c r="D879" s="3"/>
      <c r="E879" s="112"/>
      <c r="F879" s="3"/>
      <c r="G879" s="3"/>
      <c r="H879" s="12"/>
      <c r="K879" s="12"/>
      <c r="M879" s="12"/>
      <c r="R879" s="218"/>
      <c r="S879" s="218"/>
      <c r="T879" s="218"/>
      <c r="U879" s="218"/>
    </row>
    <row r="880">
      <c r="C880" s="12"/>
      <c r="D880" s="3"/>
      <c r="E880" s="112"/>
      <c r="F880" s="3"/>
      <c r="G880" s="3"/>
      <c r="H880" s="12"/>
      <c r="K880" s="12"/>
      <c r="M880" s="12"/>
      <c r="R880" s="218"/>
      <c r="S880" s="218"/>
      <c r="T880" s="218"/>
      <c r="U880" s="218"/>
    </row>
    <row r="881">
      <c r="C881" s="12"/>
      <c r="D881" s="3"/>
      <c r="E881" s="112"/>
      <c r="F881" s="3"/>
      <c r="G881" s="3"/>
      <c r="H881" s="12"/>
      <c r="K881" s="12"/>
      <c r="M881" s="12"/>
      <c r="R881" s="218"/>
      <c r="S881" s="218"/>
      <c r="T881" s="218"/>
      <c r="U881" s="218"/>
    </row>
    <row r="882">
      <c r="C882" s="12"/>
      <c r="D882" s="3"/>
      <c r="E882" s="112"/>
      <c r="F882" s="3"/>
      <c r="G882" s="3"/>
      <c r="H882" s="12"/>
      <c r="K882" s="12"/>
      <c r="M882" s="12"/>
      <c r="R882" s="218"/>
      <c r="S882" s="218"/>
      <c r="T882" s="218"/>
      <c r="U882" s="218"/>
    </row>
    <row r="883">
      <c r="C883" s="12"/>
      <c r="D883" s="3"/>
      <c r="E883" s="112"/>
      <c r="F883" s="3"/>
      <c r="G883" s="3"/>
      <c r="H883" s="12"/>
      <c r="K883" s="12"/>
      <c r="M883" s="12"/>
      <c r="R883" s="218"/>
      <c r="S883" s="218"/>
      <c r="T883" s="218"/>
      <c r="U883" s="218"/>
    </row>
    <row r="884">
      <c r="C884" s="12"/>
      <c r="D884" s="3"/>
      <c r="E884" s="112"/>
      <c r="F884" s="3"/>
      <c r="G884" s="3"/>
      <c r="H884" s="12"/>
      <c r="K884" s="12"/>
      <c r="M884" s="12"/>
      <c r="R884" s="218"/>
      <c r="S884" s="218"/>
      <c r="T884" s="218"/>
      <c r="U884" s="218"/>
    </row>
    <row r="885">
      <c r="C885" s="12"/>
      <c r="D885" s="3"/>
      <c r="E885" s="112"/>
      <c r="F885" s="3"/>
      <c r="G885" s="3"/>
      <c r="H885" s="12"/>
      <c r="K885" s="12"/>
      <c r="M885" s="12"/>
      <c r="R885" s="218"/>
      <c r="S885" s="218"/>
      <c r="T885" s="218"/>
      <c r="U885" s="218"/>
    </row>
    <row r="886">
      <c r="C886" s="12"/>
      <c r="D886" s="3"/>
      <c r="E886" s="112"/>
      <c r="F886" s="3"/>
      <c r="G886" s="3"/>
      <c r="H886" s="12"/>
      <c r="K886" s="12"/>
      <c r="M886" s="12"/>
      <c r="R886" s="218"/>
      <c r="S886" s="218"/>
      <c r="T886" s="218"/>
      <c r="U886" s="218"/>
    </row>
    <row r="887">
      <c r="C887" s="12"/>
      <c r="D887" s="3"/>
      <c r="E887" s="112"/>
      <c r="F887" s="3"/>
      <c r="G887" s="3"/>
      <c r="H887" s="12"/>
      <c r="K887" s="12"/>
      <c r="M887" s="12"/>
      <c r="R887" s="218"/>
      <c r="S887" s="218"/>
      <c r="T887" s="218"/>
      <c r="U887" s="218"/>
    </row>
    <row r="888">
      <c r="C888" s="12"/>
      <c r="D888" s="3"/>
      <c r="E888" s="112"/>
      <c r="F888" s="3"/>
      <c r="G888" s="3"/>
      <c r="H888" s="12"/>
      <c r="K888" s="12"/>
      <c r="M888" s="12"/>
      <c r="R888" s="218"/>
      <c r="S888" s="218"/>
      <c r="T888" s="218"/>
      <c r="U888" s="218"/>
    </row>
    <row r="889">
      <c r="C889" s="12"/>
      <c r="D889" s="3"/>
      <c r="E889" s="112"/>
      <c r="F889" s="3"/>
      <c r="G889" s="3"/>
      <c r="H889" s="12"/>
      <c r="K889" s="12"/>
      <c r="M889" s="12"/>
      <c r="R889" s="218"/>
      <c r="S889" s="218"/>
      <c r="T889" s="218"/>
      <c r="U889" s="218"/>
    </row>
    <row r="890">
      <c r="C890" s="12"/>
      <c r="D890" s="3"/>
      <c r="E890" s="112"/>
      <c r="F890" s="3"/>
      <c r="G890" s="3"/>
      <c r="H890" s="12"/>
      <c r="K890" s="12"/>
      <c r="M890" s="12"/>
      <c r="R890" s="218"/>
      <c r="S890" s="218"/>
      <c r="T890" s="218"/>
      <c r="U890" s="218"/>
    </row>
    <row r="891">
      <c r="C891" s="12"/>
      <c r="D891" s="3"/>
      <c r="E891" s="112"/>
      <c r="F891" s="3"/>
      <c r="G891" s="3"/>
      <c r="H891" s="12"/>
      <c r="K891" s="12"/>
      <c r="M891" s="12"/>
      <c r="R891" s="218"/>
      <c r="S891" s="218"/>
      <c r="T891" s="218"/>
      <c r="U891" s="218"/>
    </row>
    <row r="892">
      <c r="C892" s="12"/>
      <c r="D892" s="3"/>
      <c r="E892" s="112"/>
      <c r="F892" s="3"/>
      <c r="G892" s="3"/>
      <c r="H892" s="12"/>
      <c r="K892" s="12"/>
      <c r="M892" s="12"/>
      <c r="R892" s="218"/>
      <c r="S892" s="218"/>
      <c r="T892" s="218"/>
      <c r="U892" s="218"/>
    </row>
    <row r="893">
      <c r="C893" s="12"/>
      <c r="D893" s="3"/>
      <c r="E893" s="112"/>
      <c r="F893" s="3"/>
      <c r="G893" s="3"/>
      <c r="H893" s="12"/>
      <c r="K893" s="12"/>
      <c r="M893" s="12"/>
      <c r="R893" s="218"/>
      <c r="S893" s="218"/>
      <c r="T893" s="218"/>
      <c r="U893" s="218"/>
    </row>
    <row r="894">
      <c r="C894" s="12"/>
      <c r="D894" s="3"/>
      <c r="E894" s="112"/>
      <c r="F894" s="3"/>
      <c r="G894" s="3"/>
      <c r="H894" s="12"/>
      <c r="K894" s="12"/>
      <c r="M894" s="12"/>
      <c r="R894" s="218"/>
      <c r="S894" s="218"/>
      <c r="T894" s="218"/>
      <c r="U894" s="218"/>
    </row>
    <row r="895">
      <c r="C895" s="12"/>
      <c r="D895" s="3"/>
      <c r="E895" s="112"/>
      <c r="F895" s="3"/>
      <c r="G895" s="3"/>
      <c r="H895" s="12"/>
      <c r="K895" s="12"/>
      <c r="M895" s="12"/>
      <c r="R895" s="218"/>
      <c r="S895" s="218"/>
      <c r="T895" s="218"/>
      <c r="U895" s="218"/>
    </row>
    <row r="896">
      <c r="C896" s="12"/>
      <c r="D896" s="3"/>
      <c r="E896" s="112"/>
      <c r="F896" s="3"/>
      <c r="G896" s="3"/>
      <c r="H896" s="12"/>
      <c r="K896" s="12"/>
      <c r="M896" s="12"/>
      <c r="R896" s="218"/>
      <c r="S896" s="218"/>
      <c r="T896" s="218"/>
      <c r="U896" s="218"/>
    </row>
    <row r="897">
      <c r="C897" s="12"/>
      <c r="D897" s="3"/>
      <c r="E897" s="112"/>
      <c r="F897" s="3"/>
      <c r="G897" s="3"/>
      <c r="H897" s="12"/>
      <c r="K897" s="12"/>
      <c r="M897" s="12"/>
      <c r="R897" s="218"/>
      <c r="S897" s="218"/>
      <c r="T897" s="218"/>
      <c r="U897" s="218"/>
    </row>
    <row r="898">
      <c r="C898" s="12"/>
      <c r="D898" s="3"/>
      <c r="E898" s="112"/>
      <c r="F898" s="3"/>
      <c r="G898" s="3"/>
      <c r="H898" s="12"/>
      <c r="K898" s="12"/>
      <c r="M898" s="12"/>
      <c r="R898" s="218"/>
      <c r="S898" s="218"/>
      <c r="T898" s="218"/>
      <c r="U898" s="218"/>
    </row>
    <row r="899">
      <c r="C899" s="12"/>
      <c r="D899" s="3"/>
      <c r="E899" s="112"/>
      <c r="F899" s="3"/>
      <c r="G899" s="3"/>
      <c r="H899" s="12"/>
      <c r="K899" s="12"/>
      <c r="M899" s="12"/>
      <c r="R899" s="218"/>
      <c r="S899" s="218"/>
      <c r="T899" s="218"/>
      <c r="U899" s="218"/>
    </row>
    <row r="900">
      <c r="C900" s="12"/>
      <c r="D900" s="3"/>
      <c r="E900" s="112"/>
      <c r="F900" s="3"/>
      <c r="G900" s="3"/>
      <c r="H900" s="12"/>
      <c r="K900" s="12"/>
      <c r="M900" s="12"/>
      <c r="R900" s="218"/>
      <c r="S900" s="218"/>
      <c r="T900" s="218"/>
      <c r="U900" s="218"/>
    </row>
    <row r="901">
      <c r="C901" s="12"/>
      <c r="D901" s="3"/>
      <c r="E901" s="112"/>
      <c r="F901" s="3"/>
      <c r="G901" s="3"/>
      <c r="H901" s="12"/>
      <c r="K901" s="12"/>
      <c r="M901" s="12"/>
      <c r="R901" s="218"/>
      <c r="S901" s="218"/>
      <c r="T901" s="218"/>
      <c r="U901" s="218"/>
    </row>
    <row r="902">
      <c r="C902" s="12"/>
      <c r="D902" s="3"/>
      <c r="E902" s="112"/>
      <c r="F902" s="3"/>
      <c r="G902" s="3"/>
      <c r="H902" s="12"/>
      <c r="K902" s="12"/>
      <c r="M902" s="12"/>
      <c r="R902" s="218"/>
      <c r="S902" s="218"/>
      <c r="T902" s="218"/>
      <c r="U902" s="218"/>
    </row>
    <row r="903">
      <c r="C903" s="12"/>
      <c r="D903" s="3"/>
      <c r="E903" s="112"/>
      <c r="F903" s="3"/>
      <c r="G903" s="3"/>
      <c r="H903" s="12"/>
      <c r="K903" s="12"/>
      <c r="M903" s="12"/>
      <c r="R903" s="218"/>
      <c r="S903" s="218"/>
      <c r="T903" s="218"/>
      <c r="U903" s="218"/>
    </row>
    <row r="904">
      <c r="C904" s="12"/>
      <c r="D904" s="3"/>
      <c r="E904" s="112"/>
      <c r="F904" s="3"/>
      <c r="G904" s="3"/>
      <c r="H904" s="12"/>
      <c r="K904" s="12"/>
      <c r="M904" s="12"/>
      <c r="R904" s="218"/>
      <c r="S904" s="218"/>
      <c r="T904" s="218"/>
      <c r="U904" s="218"/>
    </row>
    <row r="905">
      <c r="C905" s="12"/>
      <c r="D905" s="3"/>
      <c r="E905" s="112"/>
      <c r="F905" s="3"/>
      <c r="G905" s="3"/>
      <c r="H905" s="12"/>
      <c r="K905" s="12"/>
      <c r="M905" s="12"/>
      <c r="R905" s="218"/>
      <c r="S905" s="218"/>
      <c r="T905" s="218"/>
      <c r="U905" s="218"/>
    </row>
    <row r="906">
      <c r="C906" s="12"/>
      <c r="D906" s="3"/>
      <c r="E906" s="112"/>
      <c r="F906" s="3"/>
      <c r="G906" s="3"/>
      <c r="H906" s="12"/>
      <c r="K906" s="12"/>
      <c r="M906" s="12"/>
      <c r="R906" s="218"/>
      <c r="S906" s="218"/>
      <c r="T906" s="218"/>
      <c r="U906" s="218"/>
    </row>
    <row r="907">
      <c r="C907" s="12"/>
      <c r="D907" s="3"/>
      <c r="E907" s="112"/>
      <c r="F907" s="3"/>
      <c r="G907" s="3"/>
      <c r="H907" s="12"/>
      <c r="K907" s="12"/>
      <c r="M907" s="12"/>
      <c r="R907" s="218"/>
      <c r="S907" s="218"/>
      <c r="T907" s="218"/>
      <c r="U907" s="218"/>
    </row>
    <row r="908">
      <c r="C908" s="12"/>
      <c r="D908" s="3"/>
      <c r="E908" s="112"/>
      <c r="F908" s="3"/>
      <c r="G908" s="3"/>
      <c r="H908" s="12"/>
      <c r="K908" s="12"/>
      <c r="M908" s="12"/>
      <c r="R908" s="218"/>
      <c r="S908" s="218"/>
      <c r="T908" s="218"/>
      <c r="U908" s="218"/>
    </row>
    <row r="909">
      <c r="C909" s="12"/>
      <c r="D909" s="3"/>
      <c r="E909" s="112"/>
      <c r="F909" s="3"/>
      <c r="G909" s="3"/>
      <c r="H909" s="12"/>
      <c r="K909" s="12"/>
      <c r="M909" s="12"/>
      <c r="R909" s="218"/>
      <c r="S909" s="218"/>
      <c r="T909" s="218"/>
      <c r="U909" s="218"/>
    </row>
    <row r="910">
      <c r="C910" s="12"/>
      <c r="D910" s="3"/>
      <c r="E910" s="112"/>
      <c r="F910" s="3"/>
      <c r="G910" s="3"/>
      <c r="H910" s="12"/>
      <c r="K910" s="12"/>
      <c r="M910" s="12"/>
      <c r="R910" s="218"/>
      <c r="S910" s="218"/>
      <c r="T910" s="218"/>
      <c r="U910" s="218"/>
    </row>
    <row r="911">
      <c r="C911" s="12"/>
      <c r="D911" s="3"/>
      <c r="E911" s="112"/>
      <c r="F911" s="3"/>
      <c r="G911" s="3"/>
      <c r="H911" s="12"/>
      <c r="K911" s="12"/>
      <c r="M911" s="12"/>
      <c r="R911" s="218"/>
      <c r="S911" s="218"/>
      <c r="T911" s="218"/>
      <c r="U911" s="218"/>
    </row>
    <row r="912">
      <c r="C912" s="12"/>
      <c r="D912" s="3"/>
      <c r="E912" s="112"/>
      <c r="F912" s="3"/>
      <c r="G912" s="3"/>
      <c r="H912" s="12"/>
      <c r="K912" s="12"/>
      <c r="M912" s="12"/>
      <c r="R912" s="218"/>
      <c r="S912" s="218"/>
      <c r="T912" s="218"/>
      <c r="U912" s="218"/>
    </row>
    <row r="913">
      <c r="C913" s="12"/>
      <c r="D913" s="3"/>
      <c r="E913" s="112"/>
      <c r="F913" s="3"/>
      <c r="G913" s="3"/>
      <c r="H913" s="12"/>
      <c r="K913" s="12"/>
      <c r="M913" s="12"/>
      <c r="R913" s="218"/>
      <c r="S913" s="218"/>
      <c r="T913" s="218"/>
      <c r="U913" s="218"/>
    </row>
    <row r="914">
      <c r="C914" s="12"/>
      <c r="D914" s="3"/>
      <c r="E914" s="112"/>
      <c r="F914" s="3"/>
      <c r="G914" s="3"/>
      <c r="H914" s="12"/>
      <c r="K914" s="12"/>
      <c r="M914" s="12"/>
      <c r="R914" s="218"/>
      <c r="S914" s="218"/>
      <c r="T914" s="218"/>
      <c r="U914" s="218"/>
    </row>
    <row r="915">
      <c r="C915" s="12"/>
      <c r="D915" s="3"/>
      <c r="E915" s="112"/>
      <c r="F915" s="3"/>
      <c r="G915" s="3"/>
      <c r="H915" s="12"/>
      <c r="K915" s="12"/>
      <c r="M915" s="12"/>
      <c r="R915" s="218"/>
      <c r="S915" s="218"/>
      <c r="T915" s="218"/>
      <c r="U915" s="218"/>
    </row>
    <row r="916">
      <c r="C916" s="12"/>
      <c r="D916" s="3"/>
      <c r="E916" s="112"/>
      <c r="F916" s="3"/>
      <c r="G916" s="3"/>
      <c r="H916" s="12"/>
      <c r="K916" s="12"/>
      <c r="M916" s="12"/>
      <c r="R916" s="218"/>
      <c r="S916" s="218"/>
      <c r="T916" s="218"/>
      <c r="U916" s="218"/>
    </row>
    <row r="917">
      <c r="C917" s="12"/>
      <c r="D917" s="3"/>
      <c r="E917" s="112"/>
      <c r="F917" s="3"/>
      <c r="G917" s="3"/>
      <c r="H917" s="12"/>
      <c r="K917" s="12"/>
      <c r="M917" s="12"/>
      <c r="R917" s="218"/>
      <c r="S917" s="218"/>
      <c r="T917" s="218"/>
      <c r="U917" s="218"/>
    </row>
    <row r="918">
      <c r="C918" s="12"/>
      <c r="D918" s="3"/>
      <c r="E918" s="112"/>
      <c r="F918" s="3"/>
      <c r="G918" s="3"/>
      <c r="H918" s="12"/>
      <c r="K918" s="12"/>
      <c r="M918" s="12"/>
      <c r="R918" s="218"/>
      <c r="S918" s="218"/>
      <c r="T918" s="218"/>
      <c r="U918" s="218"/>
    </row>
    <row r="919">
      <c r="C919" s="12"/>
      <c r="D919" s="3"/>
      <c r="E919" s="112"/>
      <c r="F919" s="3"/>
      <c r="G919" s="3"/>
      <c r="H919" s="12"/>
      <c r="K919" s="12"/>
      <c r="M919" s="12"/>
      <c r="R919" s="218"/>
      <c r="S919" s="218"/>
      <c r="T919" s="218"/>
      <c r="U919" s="218"/>
    </row>
    <row r="920">
      <c r="C920" s="12"/>
      <c r="D920" s="3"/>
      <c r="E920" s="112"/>
      <c r="F920" s="3"/>
      <c r="G920" s="3"/>
      <c r="H920" s="12"/>
      <c r="K920" s="12"/>
      <c r="M920" s="12"/>
      <c r="R920" s="218"/>
      <c r="S920" s="218"/>
      <c r="T920" s="218"/>
      <c r="U920" s="218"/>
    </row>
    <row r="921">
      <c r="C921" s="12"/>
      <c r="D921" s="3"/>
      <c r="E921" s="112"/>
      <c r="F921" s="3"/>
      <c r="G921" s="3"/>
      <c r="H921" s="12"/>
      <c r="K921" s="12"/>
      <c r="M921" s="12"/>
      <c r="R921" s="218"/>
      <c r="S921" s="218"/>
      <c r="T921" s="218"/>
      <c r="U921" s="218"/>
    </row>
    <row r="922">
      <c r="C922" s="12"/>
      <c r="D922" s="3"/>
      <c r="E922" s="112"/>
      <c r="F922" s="3"/>
      <c r="G922" s="3"/>
      <c r="H922" s="12"/>
      <c r="K922" s="12"/>
      <c r="M922" s="12"/>
      <c r="R922" s="218"/>
      <c r="S922" s="218"/>
      <c r="T922" s="218"/>
      <c r="U922" s="218"/>
    </row>
    <row r="923">
      <c r="C923" s="12"/>
      <c r="D923" s="3"/>
      <c r="E923" s="112"/>
      <c r="F923" s="3"/>
      <c r="G923" s="3"/>
      <c r="H923" s="12"/>
      <c r="K923" s="12"/>
      <c r="M923" s="12"/>
      <c r="R923" s="218"/>
      <c r="S923" s="218"/>
      <c r="T923" s="218"/>
      <c r="U923" s="218"/>
    </row>
    <row r="924">
      <c r="C924" s="12"/>
      <c r="D924" s="3"/>
      <c r="E924" s="112"/>
      <c r="F924" s="3"/>
      <c r="G924" s="3"/>
      <c r="H924" s="12"/>
      <c r="K924" s="12"/>
      <c r="M924" s="12"/>
      <c r="R924" s="218"/>
      <c r="S924" s="218"/>
      <c r="T924" s="218"/>
      <c r="U924" s="218"/>
    </row>
    <row r="925">
      <c r="C925" s="12"/>
      <c r="D925" s="3"/>
      <c r="E925" s="112"/>
      <c r="F925" s="3"/>
      <c r="G925" s="3"/>
      <c r="H925" s="12"/>
      <c r="K925" s="12"/>
      <c r="M925" s="12"/>
      <c r="R925" s="218"/>
      <c r="S925" s="218"/>
      <c r="T925" s="218"/>
      <c r="U925" s="218"/>
    </row>
    <row r="926">
      <c r="C926" s="12"/>
      <c r="D926" s="3"/>
      <c r="E926" s="112"/>
      <c r="F926" s="3"/>
      <c r="G926" s="3"/>
      <c r="H926" s="12"/>
      <c r="K926" s="12"/>
      <c r="M926" s="12"/>
      <c r="R926" s="218"/>
      <c r="S926" s="218"/>
      <c r="T926" s="218"/>
      <c r="U926" s="218"/>
    </row>
    <row r="927">
      <c r="C927" s="12"/>
      <c r="D927" s="3"/>
      <c r="E927" s="112"/>
      <c r="F927" s="3"/>
      <c r="G927" s="3"/>
      <c r="H927" s="12"/>
      <c r="K927" s="12"/>
      <c r="M927" s="12"/>
      <c r="R927" s="218"/>
      <c r="S927" s="218"/>
      <c r="T927" s="218"/>
      <c r="U927" s="218"/>
    </row>
    <row r="928">
      <c r="C928" s="12"/>
      <c r="D928" s="3"/>
      <c r="E928" s="112"/>
      <c r="F928" s="3"/>
      <c r="G928" s="3"/>
      <c r="H928" s="12"/>
      <c r="K928" s="12"/>
      <c r="M928" s="12"/>
      <c r="R928" s="218"/>
      <c r="S928" s="218"/>
      <c r="T928" s="218"/>
      <c r="U928" s="218"/>
    </row>
    <row r="929">
      <c r="C929" s="12"/>
      <c r="D929" s="3"/>
      <c r="E929" s="112"/>
      <c r="F929" s="3"/>
      <c r="G929" s="3"/>
      <c r="H929" s="12"/>
      <c r="K929" s="12"/>
      <c r="M929" s="12"/>
      <c r="R929" s="218"/>
      <c r="S929" s="218"/>
      <c r="T929" s="218"/>
      <c r="U929" s="218"/>
    </row>
    <row r="930">
      <c r="C930" s="12"/>
      <c r="D930" s="3"/>
      <c r="E930" s="112"/>
      <c r="F930" s="3"/>
      <c r="G930" s="3"/>
      <c r="H930" s="12"/>
      <c r="K930" s="12"/>
      <c r="M930" s="12"/>
      <c r="R930" s="218"/>
      <c r="S930" s="218"/>
      <c r="T930" s="218"/>
      <c r="U930" s="218"/>
    </row>
    <row r="931">
      <c r="C931" s="12"/>
      <c r="D931" s="3"/>
      <c r="E931" s="112"/>
      <c r="F931" s="3"/>
      <c r="G931" s="3"/>
      <c r="H931" s="12"/>
      <c r="K931" s="12"/>
      <c r="M931" s="12"/>
      <c r="R931" s="218"/>
      <c r="S931" s="218"/>
      <c r="T931" s="218"/>
      <c r="U931" s="218"/>
    </row>
    <row r="932">
      <c r="C932" s="12"/>
      <c r="D932" s="3"/>
      <c r="E932" s="112"/>
      <c r="F932" s="3"/>
      <c r="G932" s="3"/>
      <c r="H932" s="12"/>
      <c r="K932" s="12"/>
      <c r="M932" s="12"/>
      <c r="R932" s="218"/>
      <c r="S932" s="218"/>
      <c r="T932" s="218"/>
      <c r="U932" s="218"/>
    </row>
    <row r="933">
      <c r="C933" s="12"/>
      <c r="D933" s="3"/>
      <c r="E933" s="112"/>
      <c r="F933" s="3"/>
      <c r="G933" s="3"/>
      <c r="H933" s="12"/>
      <c r="K933" s="12"/>
      <c r="M933" s="12"/>
      <c r="R933" s="218"/>
      <c r="S933" s="218"/>
      <c r="T933" s="218"/>
      <c r="U933" s="218"/>
    </row>
    <row r="934">
      <c r="C934" s="12"/>
      <c r="D934" s="3"/>
      <c r="E934" s="112"/>
      <c r="F934" s="3"/>
      <c r="G934" s="3"/>
      <c r="H934" s="12"/>
      <c r="K934" s="12"/>
      <c r="M934" s="12"/>
      <c r="R934" s="218"/>
      <c r="S934" s="218"/>
      <c r="T934" s="218"/>
      <c r="U934" s="218"/>
    </row>
    <row r="935">
      <c r="C935" s="12"/>
      <c r="D935" s="3"/>
      <c r="E935" s="112"/>
      <c r="F935" s="3"/>
      <c r="G935" s="3"/>
      <c r="H935" s="12"/>
      <c r="K935" s="12"/>
      <c r="M935" s="12"/>
      <c r="R935" s="218"/>
      <c r="S935" s="218"/>
      <c r="T935" s="218"/>
      <c r="U935" s="218"/>
    </row>
    <row r="936">
      <c r="C936" s="12"/>
      <c r="D936" s="3"/>
      <c r="E936" s="112"/>
      <c r="F936" s="3"/>
      <c r="G936" s="3"/>
      <c r="H936" s="12"/>
      <c r="K936" s="12"/>
      <c r="M936" s="12"/>
      <c r="R936" s="218"/>
      <c r="S936" s="218"/>
      <c r="T936" s="218"/>
      <c r="U936" s="218"/>
    </row>
    <row r="937">
      <c r="C937" s="12"/>
      <c r="D937" s="3"/>
      <c r="E937" s="112"/>
      <c r="F937" s="3"/>
      <c r="G937" s="3"/>
      <c r="H937" s="12"/>
      <c r="K937" s="12"/>
      <c r="M937" s="12"/>
      <c r="R937" s="218"/>
      <c r="S937" s="218"/>
      <c r="T937" s="218"/>
      <c r="U937" s="218"/>
    </row>
    <row r="938">
      <c r="C938" s="12"/>
      <c r="D938" s="3"/>
      <c r="E938" s="112"/>
      <c r="F938" s="3"/>
      <c r="G938" s="3"/>
      <c r="H938" s="12"/>
      <c r="K938" s="12"/>
      <c r="M938" s="12"/>
      <c r="R938" s="218"/>
      <c r="S938" s="218"/>
      <c r="T938" s="218"/>
      <c r="U938" s="218"/>
    </row>
    <row r="939">
      <c r="C939" s="12"/>
      <c r="D939" s="3"/>
      <c r="E939" s="112"/>
      <c r="F939" s="3"/>
      <c r="G939" s="3"/>
      <c r="H939" s="12"/>
      <c r="K939" s="12"/>
      <c r="M939" s="12"/>
      <c r="R939" s="218"/>
      <c r="S939" s="218"/>
      <c r="T939" s="218"/>
      <c r="U939" s="218"/>
    </row>
    <row r="940">
      <c r="C940" s="12"/>
      <c r="D940" s="3"/>
      <c r="E940" s="112"/>
      <c r="F940" s="3"/>
      <c r="G940" s="3"/>
      <c r="H940" s="12"/>
      <c r="K940" s="12"/>
      <c r="M940" s="12"/>
      <c r="R940" s="218"/>
      <c r="S940" s="218"/>
      <c r="T940" s="218"/>
      <c r="U940" s="218"/>
    </row>
    <row r="941">
      <c r="C941" s="12"/>
      <c r="D941" s="3"/>
      <c r="E941" s="112"/>
      <c r="F941" s="3"/>
      <c r="G941" s="3"/>
      <c r="H941" s="12"/>
      <c r="K941" s="12"/>
      <c r="M941" s="12"/>
      <c r="R941" s="218"/>
      <c r="S941" s="218"/>
      <c r="T941" s="218"/>
      <c r="U941" s="218"/>
    </row>
    <row r="942">
      <c r="C942" s="12"/>
      <c r="D942" s="3"/>
      <c r="E942" s="112"/>
      <c r="F942" s="3"/>
      <c r="G942" s="3"/>
      <c r="H942" s="12"/>
      <c r="K942" s="12"/>
      <c r="M942" s="12"/>
      <c r="R942" s="218"/>
      <c r="S942" s="218"/>
      <c r="T942" s="218"/>
      <c r="U942" s="218"/>
    </row>
    <row r="943">
      <c r="C943" s="12"/>
      <c r="D943" s="3"/>
      <c r="E943" s="112"/>
      <c r="F943" s="3"/>
      <c r="G943" s="3"/>
      <c r="H943" s="12"/>
      <c r="K943" s="12"/>
      <c r="M943" s="12"/>
      <c r="R943" s="218"/>
      <c r="S943" s="218"/>
      <c r="T943" s="218"/>
      <c r="U943" s="218"/>
    </row>
    <row r="944">
      <c r="C944" s="12"/>
      <c r="D944" s="3"/>
      <c r="E944" s="112"/>
      <c r="F944" s="3"/>
      <c r="G944" s="3"/>
      <c r="H944" s="12"/>
      <c r="K944" s="12"/>
      <c r="M944" s="12"/>
      <c r="R944" s="218"/>
      <c r="S944" s="218"/>
      <c r="T944" s="218"/>
      <c r="U944" s="218"/>
    </row>
    <row r="945">
      <c r="C945" s="12"/>
      <c r="D945" s="3"/>
      <c r="E945" s="112"/>
      <c r="F945" s="3"/>
      <c r="G945" s="3"/>
      <c r="H945" s="12"/>
      <c r="K945" s="12"/>
      <c r="M945" s="12"/>
      <c r="R945" s="218"/>
      <c r="S945" s="218"/>
      <c r="T945" s="218"/>
      <c r="U945" s="218"/>
    </row>
    <row r="946">
      <c r="C946" s="12"/>
      <c r="D946" s="3"/>
      <c r="E946" s="112"/>
      <c r="F946" s="3"/>
      <c r="G946" s="3"/>
      <c r="H946" s="12"/>
      <c r="K946" s="12"/>
      <c r="M946" s="12"/>
      <c r="R946" s="218"/>
      <c r="S946" s="218"/>
      <c r="T946" s="218"/>
      <c r="U946" s="218"/>
    </row>
    <row r="947">
      <c r="C947" s="12"/>
      <c r="D947" s="3"/>
      <c r="E947" s="112"/>
      <c r="F947" s="3"/>
      <c r="G947" s="3"/>
      <c r="H947" s="12"/>
      <c r="K947" s="12"/>
      <c r="M947" s="12"/>
      <c r="R947" s="218"/>
      <c r="S947" s="218"/>
      <c r="T947" s="218"/>
      <c r="U947" s="218"/>
    </row>
    <row r="948">
      <c r="C948" s="12"/>
      <c r="D948" s="3"/>
      <c r="E948" s="112"/>
      <c r="F948" s="3"/>
      <c r="G948" s="3"/>
      <c r="H948" s="12"/>
      <c r="K948" s="12"/>
      <c r="M948" s="12"/>
      <c r="R948" s="218"/>
      <c r="S948" s="218"/>
      <c r="T948" s="218"/>
      <c r="U948" s="218"/>
    </row>
    <row r="949">
      <c r="C949" s="12"/>
      <c r="D949" s="3"/>
      <c r="E949" s="112"/>
      <c r="F949" s="3"/>
      <c r="G949" s="3"/>
      <c r="H949" s="12"/>
      <c r="K949" s="12"/>
      <c r="M949" s="12"/>
      <c r="R949" s="218"/>
      <c r="S949" s="218"/>
      <c r="T949" s="218"/>
      <c r="U949" s="218"/>
    </row>
    <row r="950">
      <c r="C950" s="12"/>
      <c r="D950" s="3"/>
      <c r="E950" s="112"/>
      <c r="F950" s="3"/>
      <c r="G950" s="3"/>
      <c r="H950" s="12"/>
      <c r="K950" s="12"/>
      <c r="M950" s="12"/>
      <c r="R950" s="218"/>
      <c r="S950" s="218"/>
      <c r="T950" s="218"/>
      <c r="U950" s="218"/>
    </row>
    <row r="951">
      <c r="C951" s="12"/>
      <c r="D951" s="3"/>
      <c r="E951" s="112"/>
      <c r="F951" s="3"/>
      <c r="G951" s="3"/>
      <c r="H951" s="12"/>
      <c r="K951" s="12"/>
      <c r="M951" s="12"/>
      <c r="R951" s="218"/>
      <c r="S951" s="218"/>
      <c r="T951" s="218"/>
      <c r="U951" s="218"/>
    </row>
    <row r="952">
      <c r="C952" s="12"/>
      <c r="D952" s="3"/>
      <c r="E952" s="112"/>
      <c r="F952" s="3"/>
      <c r="G952" s="3"/>
      <c r="H952" s="12"/>
      <c r="K952" s="12"/>
      <c r="M952" s="12"/>
      <c r="R952" s="218"/>
      <c r="S952" s="218"/>
      <c r="T952" s="218"/>
      <c r="U952" s="218"/>
    </row>
    <row r="953">
      <c r="C953" s="12"/>
      <c r="D953" s="3"/>
      <c r="E953" s="112"/>
      <c r="F953" s="3"/>
      <c r="G953" s="3"/>
      <c r="H953" s="12"/>
      <c r="K953" s="12"/>
      <c r="M953" s="12"/>
      <c r="R953" s="218"/>
      <c r="S953" s="218"/>
      <c r="T953" s="218"/>
      <c r="U953" s="218"/>
    </row>
    <row r="954">
      <c r="C954" s="12"/>
      <c r="D954" s="3"/>
      <c r="E954" s="112"/>
      <c r="F954" s="3"/>
      <c r="G954" s="3"/>
      <c r="H954" s="12"/>
      <c r="K954" s="12"/>
      <c r="M954" s="12"/>
      <c r="R954" s="218"/>
      <c r="S954" s="218"/>
      <c r="T954" s="218"/>
      <c r="U954" s="218"/>
    </row>
    <row r="955">
      <c r="C955" s="12"/>
      <c r="D955" s="3"/>
      <c r="E955" s="112"/>
      <c r="F955" s="3"/>
      <c r="G955" s="3"/>
      <c r="H955" s="12"/>
      <c r="K955" s="12"/>
      <c r="M955" s="12"/>
      <c r="R955" s="218"/>
      <c r="S955" s="218"/>
      <c r="T955" s="218"/>
      <c r="U955" s="218"/>
    </row>
    <row r="956">
      <c r="C956" s="12"/>
      <c r="D956" s="3"/>
      <c r="E956" s="112"/>
      <c r="F956" s="3"/>
      <c r="G956" s="3"/>
      <c r="H956" s="12"/>
      <c r="K956" s="12"/>
      <c r="M956" s="12"/>
      <c r="R956" s="218"/>
      <c r="S956" s="218"/>
      <c r="T956" s="218"/>
      <c r="U956" s="218"/>
    </row>
    <row r="957">
      <c r="C957" s="12"/>
      <c r="D957" s="3"/>
      <c r="E957" s="112"/>
      <c r="F957" s="3"/>
      <c r="G957" s="3"/>
      <c r="H957" s="12"/>
      <c r="K957" s="12"/>
      <c r="M957" s="12"/>
      <c r="R957" s="218"/>
      <c r="S957" s="218"/>
      <c r="T957" s="218"/>
      <c r="U957" s="218"/>
    </row>
    <row r="958">
      <c r="C958" s="12"/>
      <c r="D958" s="3"/>
      <c r="E958" s="112"/>
      <c r="F958" s="3"/>
      <c r="G958" s="3"/>
      <c r="H958" s="12"/>
      <c r="K958" s="12"/>
      <c r="M958" s="12"/>
      <c r="R958" s="218"/>
      <c r="S958" s="218"/>
      <c r="T958" s="218"/>
      <c r="U958" s="218"/>
    </row>
    <row r="959">
      <c r="C959" s="12"/>
      <c r="D959" s="3"/>
      <c r="E959" s="112"/>
      <c r="F959" s="3"/>
      <c r="G959" s="3"/>
      <c r="H959" s="12"/>
      <c r="K959" s="12"/>
      <c r="M959" s="12"/>
      <c r="R959" s="218"/>
      <c r="S959" s="218"/>
      <c r="T959" s="218"/>
      <c r="U959" s="218"/>
    </row>
    <row r="960">
      <c r="C960" s="12"/>
      <c r="D960" s="3"/>
      <c r="E960" s="112"/>
      <c r="F960" s="3"/>
      <c r="G960" s="3"/>
      <c r="H960" s="12"/>
      <c r="K960" s="12"/>
      <c r="M960" s="12"/>
      <c r="R960" s="218"/>
      <c r="S960" s="218"/>
      <c r="T960" s="218"/>
      <c r="U960" s="218"/>
    </row>
    <row r="961">
      <c r="C961" s="12"/>
      <c r="D961" s="3"/>
      <c r="E961" s="112"/>
      <c r="F961" s="3"/>
      <c r="G961" s="3"/>
      <c r="H961" s="12"/>
      <c r="K961" s="12"/>
      <c r="M961" s="12"/>
      <c r="R961" s="218"/>
      <c r="S961" s="218"/>
      <c r="T961" s="218"/>
      <c r="U961" s="218"/>
    </row>
    <row r="962">
      <c r="C962" s="12"/>
      <c r="D962" s="3"/>
      <c r="E962" s="112"/>
      <c r="F962" s="3"/>
      <c r="G962" s="3"/>
      <c r="H962" s="12"/>
      <c r="K962" s="12"/>
      <c r="M962" s="12"/>
      <c r="R962" s="218"/>
      <c r="S962" s="218"/>
      <c r="T962" s="218"/>
      <c r="U962" s="218"/>
    </row>
    <row r="963">
      <c r="C963" s="12"/>
      <c r="D963" s="3"/>
      <c r="E963" s="112"/>
      <c r="F963" s="3"/>
      <c r="G963" s="3"/>
      <c r="H963" s="12"/>
      <c r="K963" s="12"/>
      <c r="M963" s="12"/>
      <c r="R963" s="218"/>
      <c r="S963" s="218"/>
      <c r="T963" s="218"/>
      <c r="U963" s="218"/>
    </row>
    <row r="964">
      <c r="C964" s="12"/>
      <c r="D964" s="3"/>
      <c r="E964" s="112"/>
      <c r="F964" s="3"/>
      <c r="G964" s="3"/>
      <c r="H964" s="12"/>
      <c r="K964" s="12"/>
      <c r="M964" s="12"/>
      <c r="R964" s="218"/>
      <c r="S964" s="218"/>
      <c r="T964" s="218"/>
      <c r="U964" s="218"/>
    </row>
    <row r="965">
      <c r="C965" s="12"/>
      <c r="D965" s="3"/>
      <c r="E965" s="112"/>
      <c r="F965" s="3"/>
      <c r="G965" s="3"/>
      <c r="H965" s="12"/>
      <c r="K965" s="12"/>
      <c r="M965" s="12"/>
      <c r="R965" s="218"/>
      <c r="S965" s="218"/>
      <c r="T965" s="218"/>
      <c r="U965" s="218"/>
    </row>
    <row r="966">
      <c r="C966" s="12"/>
      <c r="D966" s="3"/>
      <c r="E966" s="112"/>
      <c r="F966" s="3"/>
      <c r="G966" s="3"/>
      <c r="H966" s="12"/>
      <c r="K966" s="12"/>
      <c r="M966" s="12"/>
      <c r="R966" s="218"/>
      <c r="S966" s="218"/>
      <c r="T966" s="218"/>
      <c r="U966" s="218"/>
    </row>
    <row r="967">
      <c r="C967" s="12"/>
      <c r="D967" s="3"/>
      <c r="E967" s="112"/>
      <c r="F967" s="3"/>
      <c r="G967" s="3"/>
      <c r="H967" s="12"/>
      <c r="K967" s="12"/>
      <c r="M967" s="12"/>
      <c r="R967" s="218"/>
      <c r="S967" s="218"/>
      <c r="T967" s="218"/>
      <c r="U967" s="218"/>
    </row>
    <row r="968">
      <c r="C968" s="12"/>
      <c r="D968" s="3"/>
      <c r="E968" s="112"/>
      <c r="F968" s="3"/>
      <c r="G968" s="3"/>
      <c r="H968" s="12"/>
      <c r="K968" s="12"/>
      <c r="M968" s="12"/>
      <c r="R968" s="218"/>
      <c r="S968" s="218"/>
      <c r="T968" s="218"/>
      <c r="U968" s="218"/>
    </row>
    <row r="969">
      <c r="C969" s="12"/>
      <c r="D969" s="3"/>
      <c r="E969" s="112"/>
      <c r="F969" s="3"/>
      <c r="G969" s="3"/>
      <c r="H969" s="12"/>
      <c r="K969" s="12"/>
      <c r="M969" s="12"/>
      <c r="R969" s="218"/>
      <c r="S969" s="218"/>
      <c r="T969" s="218"/>
      <c r="U969" s="218"/>
    </row>
    <row r="970">
      <c r="C970" s="12"/>
      <c r="D970" s="3"/>
      <c r="E970" s="112"/>
      <c r="F970" s="3"/>
      <c r="G970" s="3"/>
      <c r="H970" s="12"/>
      <c r="K970" s="12"/>
      <c r="M970" s="12"/>
      <c r="R970" s="218"/>
      <c r="S970" s="218"/>
      <c r="T970" s="218"/>
      <c r="U970" s="218"/>
    </row>
    <row r="971">
      <c r="C971" s="12"/>
      <c r="D971" s="3"/>
      <c r="E971" s="112"/>
      <c r="F971" s="3"/>
      <c r="G971" s="3"/>
      <c r="H971" s="12"/>
      <c r="K971" s="12"/>
      <c r="M971" s="12"/>
      <c r="R971" s="218"/>
      <c r="S971" s="218"/>
      <c r="T971" s="218"/>
      <c r="U971" s="218"/>
    </row>
    <row r="972">
      <c r="C972" s="12"/>
      <c r="D972" s="3"/>
      <c r="E972" s="112"/>
      <c r="F972" s="3"/>
      <c r="G972" s="3"/>
      <c r="H972" s="12"/>
      <c r="K972" s="12"/>
      <c r="M972" s="12"/>
      <c r="R972" s="218"/>
      <c r="S972" s="218"/>
      <c r="T972" s="218"/>
      <c r="U972" s="218"/>
    </row>
    <row r="973">
      <c r="C973" s="12"/>
      <c r="D973" s="3"/>
      <c r="E973" s="112"/>
      <c r="F973" s="3"/>
      <c r="G973" s="3"/>
      <c r="H973" s="12"/>
      <c r="K973" s="12"/>
      <c r="M973" s="12"/>
      <c r="R973" s="218"/>
      <c r="S973" s="218"/>
      <c r="T973" s="218"/>
      <c r="U973" s="218"/>
    </row>
    <row r="974">
      <c r="C974" s="12"/>
      <c r="D974" s="3"/>
      <c r="E974" s="112"/>
      <c r="F974" s="3"/>
      <c r="G974" s="3"/>
      <c r="H974" s="12"/>
      <c r="K974" s="12"/>
      <c r="M974" s="12"/>
      <c r="R974" s="218"/>
      <c r="S974" s="218"/>
      <c r="T974" s="218"/>
      <c r="U974" s="218"/>
    </row>
    <row r="975">
      <c r="C975" s="12"/>
      <c r="D975" s="3"/>
      <c r="E975" s="112"/>
      <c r="F975" s="3"/>
      <c r="G975" s="3"/>
      <c r="H975" s="12"/>
      <c r="K975" s="12"/>
      <c r="M975" s="12"/>
      <c r="R975" s="218"/>
      <c r="S975" s="218"/>
      <c r="T975" s="218"/>
      <c r="U975" s="218"/>
    </row>
    <row r="976">
      <c r="C976" s="12"/>
      <c r="D976" s="3"/>
      <c r="E976" s="112"/>
      <c r="F976" s="3"/>
      <c r="G976" s="3"/>
      <c r="H976" s="12"/>
      <c r="K976" s="12"/>
      <c r="M976" s="12"/>
      <c r="R976" s="218"/>
      <c r="S976" s="218"/>
      <c r="T976" s="218"/>
      <c r="U976" s="218"/>
    </row>
    <row r="977">
      <c r="C977" s="12"/>
      <c r="D977" s="3"/>
      <c r="E977" s="112"/>
      <c r="F977" s="3"/>
      <c r="G977" s="3"/>
      <c r="H977" s="12"/>
      <c r="K977" s="12"/>
      <c r="M977" s="12"/>
      <c r="R977" s="218"/>
      <c r="S977" s="218"/>
      <c r="T977" s="218"/>
      <c r="U977" s="218"/>
    </row>
    <row r="978">
      <c r="C978" s="12"/>
      <c r="D978" s="3"/>
      <c r="E978" s="112"/>
      <c r="F978" s="3"/>
      <c r="G978" s="3"/>
      <c r="H978" s="12"/>
      <c r="K978" s="12"/>
      <c r="M978" s="12"/>
      <c r="R978" s="218"/>
      <c r="S978" s="218"/>
      <c r="T978" s="218"/>
      <c r="U978" s="218"/>
    </row>
    <row r="979">
      <c r="C979" s="12"/>
      <c r="D979" s="3"/>
      <c r="E979" s="112"/>
      <c r="F979" s="3"/>
      <c r="G979" s="3"/>
      <c r="H979" s="12"/>
      <c r="K979" s="12"/>
      <c r="M979" s="12"/>
      <c r="R979" s="218"/>
      <c r="S979" s="218"/>
      <c r="T979" s="218"/>
      <c r="U979" s="218"/>
    </row>
    <row r="980">
      <c r="C980" s="12"/>
      <c r="D980" s="3"/>
      <c r="E980" s="112"/>
      <c r="F980" s="3"/>
      <c r="G980" s="3"/>
      <c r="H980" s="12"/>
      <c r="K980" s="12"/>
      <c r="M980" s="12"/>
      <c r="R980" s="218"/>
      <c r="S980" s="218"/>
      <c r="T980" s="218"/>
      <c r="U980" s="218"/>
    </row>
    <row r="981">
      <c r="C981" s="12"/>
      <c r="D981" s="3"/>
      <c r="E981" s="112"/>
      <c r="F981" s="3"/>
      <c r="G981" s="3"/>
      <c r="H981" s="12"/>
      <c r="K981" s="12"/>
      <c r="M981" s="12"/>
      <c r="R981" s="218"/>
      <c r="S981" s="218"/>
      <c r="T981" s="218"/>
      <c r="U981" s="218"/>
    </row>
    <row r="982">
      <c r="C982" s="12"/>
      <c r="D982" s="3"/>
      <c r="E982" s="112"/>
      <c r="F982" s="3"/>
      <c r="G982" s="3"/>
      <c r="H982" s="12"/>
      <c r="K982" s="12"/>
      <c r="M982" s="12"/>
      <c r="R982" s="218"/>
      <c r="S982" s="218"/>
      <c r="T982" s="218"/>
      <c r="U982" s="218"/>
    </row>
    <row r="983">
      <c r="C983" s="12"/>
      <c r="D983" s="3"/>
      <c r="E983" s="112"/>
      <c r="F983" s="3"/>
      <c r="G983" s="3"/>
      <c r="H983" s="12"/>
      <c r="K983" s="12"/>
      <c r="M983" s="12"/>
      <c r="R983" s="218"/>
      <c r="S983" s="218"/>
      <c r="T983" s="218"/>
      <c r="U983" s="218"/>
    </row>
    <row r="984">
      <c r="C984" s="12"/>
      <c r="D984" s="3"/>
      <c r="E984" s="112"/>
      <c r="F984" s="3"/>
      <c r="G984" s="3"/>
      <c r="H984" s="12"/>
      <c r="K984" s="12"/>
      <c r="M984" s="12"/>
      <c r="R984" s="218"/>
      <c r="S984" s="218"/>
      <c r="T984" s="218"/>
      <c r="U984" s="218"/>
    </row>
    <row r="985">
      <c r="C985" s="12"/>
      <c r="D985" s="3"/>
      <c r="E985" s="112"/>
      <c r="F985" s="3"/>
      <c r="G985" s="3"/>
      <c r="H985" s="12"/>
      <c r="K985" s="12"/>
      <c r="M985" s="12"/>
      <c r="R985" s="218"/>
      <c r="S985" s="218"/>
      <c r="T985" s="218"/>
      <c r="U985" s="218"/>
    </row>
    <row r="986">
      <c r="C986" s="12"/>
      <c r="D986" s="3"/>
      <c r="E986" s="112"/>
      <c r="F986" s="3"/>
      <c r="G986" s="3"/>
      <c r="H986" s="12"/>
      <c r="K986" s="12"/>
      <c r="M986" s="12"/>
      <c r="R986" s="218"/>
      <c r="S986" s="218"/>
      <c r="T986" s="218"/>
      <c r="U986" s="218"/>
    </row>
    <row r="987">
      <c r="C987" s="12"/>
      <c r="D987" s="3"/>
      <c r="E987" s="112"/>
      <c r="F987" s="3"/>
      <c r="G987" s="3"/>
      <c r="H987" s="12"/>
      <c r="K987" s="12"/>
      <c r="M987" s="12"/>
      <c r="R987" s="218"/>
      <c r="S987" s="218"/>
      <c r="T987" s="218"/>
      <c r="U987" s="218"/>
    </row>
    <row r="988">
      <c r="C988" s="12"/>
      <c r="D988" s="3"/>
      <c r="E988" s="112"/>
      <c r="F988" s="3"/>
      <c r="G988" s="3"/>
      <c r="H988" s="12"/>
      <c r="K988" s="12"/>
      <c r="M988" s="12"/>
      <c r="R988" s="218"/>
      <c r="S988" s="218"/>
      <c r="T988" s="218"/>
      <c r="U988" s="218"/>
    </row>
    <row r="989">
      <c r="C989" s="12"/>
      <c r="D989" s="3"/>
      <c r="E989" s="112"/>
      <c r="F989" s="3"/>
      <c r="G989" s="3"/>
      <c r="H989" s="12"/>
      <c r="K989" s="12"/>
      <c r="M989" s="12"/>
      <c r="R989" s="218"/>
      <c r="S989" s="218"/>
      <c r="T989" s="218"/>
      <c r="U989" s="218"/>
    </row>
    <row r="990">
      <c r="C990" s="12"/>
      <c r="D990" s="3"/>
      <c r="E990" s="112"/>
      <c r="F990" s="3"/>
      <c r="G990" s="3"/>
      <c r="H990" s="12"/>
      <c r="K990" s="12"/>
      <c r="M990" s="12"/>
      <c r="R990" s="218"/>
      <c r="S990" s="218"/>
      <c r="T990" s="218"/>
      <c r="U990" s="218"/>
    </row>
    <row r="991">
      <c r="C991" s="12"/>
      <c r="D991" s="3"/>
      <c r="E991" s="112"/>
      <c r="F991" s="3"/>
      <c r="G991" s="3"/>
      <c r="H991" s="12"/>
      <c r="K991" s="12"/>
      <c r="M991" s="12"/>
      <c r="R991" s="218"/>
      <c r="S991" s="218"/>
      <c r="T991" s="218"/>
      <c r="U991" s="218"/>
    </row>
    <row r="992">
      <c r="C992" s="12"/>
      <c r="D992" s="3"/>
      <c r="E992" s="112"/>
      <c r="F992" s="3"/>
      <c r="G992" s="3"/>
      <c r="H992" s="12"/>
      <c r="K992" s="12"/>
      <c r="M992" s="12"/>
      <c r="R992" s="218"/>
      <c r="S992" s="218"/>
      <c r="T992" s="218"/>
      <c r="U992" s="218"/>
    </row>
    <row r="993">
      <c r="C993" s="12"/>
      <c r="D993" s="3"/>
      <c r="E993" s="112"/>
      <c r="F993" s="3"/>
      <c r="G993" s="3"/>
      <c r="H993" s="12"/>
      <c r="K993" s="12"/>
      <c r="M993" s="12"/>
      <c r="R993" s="218"/>
      <c r="S993" s="218"/>
      <c r="T993" s="218"/>
      <c r="U993" s="218"/>
    </row>
    <row r="994">
      <c r="C994" s="12"/>
      <c r="D994" s="3"/>
      <c r="E994" s="112"/>
      <c r="F994" s="3"/>
      <c r="G994" s="3"/>
      <c r="H994" s="12"/>
      <c r="K994" s="12"/>
      <c r="M994" s="12"/>
      <c r="R994" s="218"/>
      <c r="S994" s="218"/>
      <c r="T994" s="218"/>
      <c r="U994" s="218"/>
    </row>
    <row r="995">
      <c r="C995" s="12"/>
      <c r="D995" s="3"/>
      <c r="E995" s="112"/>
      <c r="F995" s="3"/>
      <c r="G995" s="3"/>
      <c r="H995" s="12"/>
      <c r="K995" s="12"/>
      <c r="M995" s="12"/>
      <c r="R995" s="218"/>
      <c r="S995" s="218"/>
      <c r="T995" s="218"/>
      <c r="U995" s="218"/>
    </row>
    <row r="996">
      <c r="C996" s="12"/>
      <c r="D996" s="3"/>
      <c r="E996" s="112"/>
      <c r="F996" s="3"/>
      <c r="G996" s="3"/>
      <c r="H996" s="12"/>
      <c r="K996" s="12"/>
      <c r="M996" s="12"/>
      <c r="R996" s="218"/>
      <c r="S996" s="218"/>
      <c r="T996" s="218"/>
      <c r="U996" s="218"/>
    </row>
    <row r="997">
      <c r="C997" s="12"/>
      <c r="D997" s="3"/>
      <c r="E997" s="112"/>
      <c r="F997" s="3"/>
      <c r="G997" s="3"/>
      <c r="H997" s="12"/>
      <c r="K997" s="12"/>
      <c r="M997" s="12"/>
      <c r="R997" s="218"/>
      <c r="S997" s="218"/>
      <c r="T997" s="218"/>
      <c r="U997" s="218"/>
    </row>
    <row r="998">
      <c r="C998" s="12"/>
      <c r="D998" s="3"/>
      <c r="E998" s="112"/>
      <c r="F998" s="3"/>
      <c r="G998" s="3"/>
      <c r="H998" s="12"/>
      <c r="K998" s="12"/>
      <c r="M998" s="12"/>
      <c r="R998" s="218"/>
      <c r="S998" s="218"/>
      <c r="T998" s="218"/>
      <c r="U998" s="218"/>
    </row>
    <row r="999">
      <c r="C999" s="12"/>
      <c r="D999" s="3"/>
      <c r="E999" s="112"/>
      <c r="F999" s="3"/>
      <c r="G999" s="3"/>
      <c r="H999" s="12"/>
      <c r="K999" s="12"/>
      <c r="M999" s="12"/>
      <c r="R999" s="218"/>
      <c r="S999" s="218"/>
      <c r="T999" s="218"/>
      <c r="U999" s="218"/>
    </row>
    <row r="1000">
      <c r="C1000" s="12"/>
      <c r="D1000" s="3"/>
      <c r="E1000" s="112"/>
      <c r="F1000" s="3"/>
      <c r="G1000" s="3"/>
      <c r="H1000" s="12"/>
      <c r="K1000" s="12"/>
      <c r="M1000" s="12"/>
      <c r="R1000" s="218"/>
      <c r="S1000" s="218"/>
      <c r="T1000" s="218"/>
      <c r="U1000" s="218"/>
    </row>
    <row r="1001">
      <c r="C1001" s="12"/>
      <c r="D1001" s="3"/>
      <c r="E1001" s="112"/>
      <c r="F1001" s="3"/>
      <c r="G1001" s="3"/>
      <c r="H1001" s="12"/>
      <c r="K1001" s="12"/>
      <c r="M1001" s="12"/>
      <c r="R1001" s="218"/>
      <c r="S1001" s="218"/>
      <c r="T1001" s="218"/>
      <c r="U1001" s="218"/>
    </row>
    <row r="1002">
      <c r="C1002" s="12"/>
      <c r="D1002" s="3"/>
      <c r="E1002" s="112"/>
      <c r="F1002" s="3"/>
      <c r="G1002" s="3"/>
      <c r="H1002" s="12"/>
      <c r="K1002" s="12"/>
      <c r="M1002" s="12"/>
      <c r="R1002" s="218"/>
      <c r="S1002" s="218"/>
      <c r="T1002" s="218"/>
      <c r="U1002" s="218"/>
    </row>
    <row r="1003">
      <c r="C1003" s="12"/>
      <c r="D1003" s="3"/>
      <c r="E1003" s="112"/>
      <c r="F1003" s="3"/>
      <c r="G1003" s="3"/>
      <c r="H1003" s="12"/>
      <c r="K1003" s="12"/>
      <c r="M1003" s="12"/>
      <c r="R1003" s="218"/>
      <c r="S1003" s="218"/>
      <c r="T1003" s="218"/>
      <c r="U1003" s="218"/>
    </row>
    <row r="1004">
      <c r="C1004" s="12"/>
      <c r="D1004" s="3"/>
      <c r="E1004" s="112"/>
      <c r="F1004" s="3"/>
      <c r="G1004" s="3"/>
      <c r="H1004" s="12"/>
      <c r="K1004" s="12"/>
      <c r="M1004" s="12"/>
      <c r="R1004" s="218"/>
      <c r="S1004" s="218"/>
      <c r="T1004" s="218"/>
      <c r="U1004" s="218"/>
    </row>
    <row r="1005">
      <c r="C1005" s="12"/>
      <c r="D1005" s="3"/>
      <c r="E1005" s="112"/>
      <c r="F1005" s="3"/>
      <c r="G1005" s="3"/>
      <c r="H1005" s="12"/>
      <c r="K1005" s="12"/>
      <c r="M1005" s="12"/>
      <c r="R1005" s="218"/>
      <c r="S1005" s="218"/>
      <c r="T1005" s="218"/>
      <c r="U1005" s="218"/>
    </row>
    <row r="1006">
      <c r="C1006" s="12"/>
      <c r="D1006" s="3"/>
      <c r="E1006" s="112"/>
      <c r="F1006" s="3"/>
      <c r="G1006" s="3"/>
      <c r="H1006" s="12"/>
      <c r="K1006" s="12"/>
      <c r="M1006" s="12"/>
      <c r="R1006" s="218"/>
      <c r="S1006" s="218"/>
      <c r="T1006" s="218"/>
      <c r="U1006" s="218"/>
    </row>
    <row r="1007">
      <c r="C1007" s="12"/>
      <c r="D1007" s="3"/>
      <c r="E1007" s="112"/>
      <c r="F1007" s="3"/>
      <c r="G1007" s="3"/>
      <c r="H1007" s="12"/>
      <c r="K1007" s="12"/>
      <c r="M1007" s="12"/>
      <c r="R1007" s="218"/>
      <c r="S1007" s="218"/>
      <c r="T1007" s="218"/>
      <c r="U1007" s="218"/>
    </row>
    <row r="1008">
      <c r="C1008" s="12"/>
      <c r="D1008" s="3"/>
      <c r="E1008" s="112"/>
      <c r="F1008" s="3"/>
      <c r="G1008" s="3"/>
      <c r="H1008" s="12"/>
      <c r="K1008" s="12"/>
      <c r="M1008" s="12"/>
      <c r="R1008" s="218"/>
      <c r="S1008" s="218"/>
      <c r="T1008" s="218"/>
      <c r="U1008" s="218"/>
    </row>
    <row r="1009">
      <c r="C1009" s="12"/>
      <c r="D1009" s="3"/>
      <c r="E1009" s="112"/>
      <c r="F1009" s="3"/>
      <c r="G1009" s="3"/>
      <c r="H1009" s="12"/>
      <c r="K1009" s="12"/>
      <c r="M1009" s="12"/>
      <c r="R1009" s="218"/>
      <c r="S1009" s="218"/>
      <c r="T1009" s="218"/>
      <c r="U1009" s="218"/>
    </row>
    <row r="1010">
      <c r="C1010" s="12"/>
      <c r="D1010" s="3"/>
      <c r="E1010" s="112"/>
      <c r="F1010" s="3"/>
      <c r="G1010" s="3"/>
      <c r="H1010" s="12"/>
      <c r="K1010" s="12"/>
      <c r="M1010" s="12"/>
      <c r="R1010" s="218"/>
      <c r="S1010" s="218"/>
      <c r="T1010" s="218"/>
      <c r="U1010" s="218"/>
    </row>
    <row r="1011">
      <c r="C1011" s="12"/>
      <c r="D1011" s="3"/>
      <c r="E1011" s="112"/>
      <c r="F1011" s="3"/>
      <c r="G1011" s="3"/>
      <c r="H1011" s="12"/>
      <c r="K1011" s="12"/>
      <c r="M1011" s="12"/>
      <c r="R1011" s="218"/>
      <c r="S1011" s="218"/>
      <c r="T1011" s="218"/>
      <c r="U1011" s="218"/>
    </row>
    <row r="1012">
      <c r="C1012" s="12"/>
      <c r="D1012" s="3"/>
      <c r="E1012" s="112"/>
      <c r="F1012" s="3"/>
      <c r="G1012" s="3"/>
      <c r="H1012" s="12"/>
      <c r="K1012" s="12"/>
      <c r="M1012" s="12"/>
      <c r="R1012" s="218"/>
      <c r="S1012" s="218"/>
      <c r="T1012" s="218"/>
      <c r="U1012" s="218"/>
    </row>
  </sheetData>
  <mergeCells count="26">
    <mergeCell ref="E3:H4"/>
    <mergeCell ref="E5:H5"/>
    <mergeCell ref="E6:H7"/>
    <mergeCell ref="E8:H8"/>
    <mergeCell ref="E9:H10"/>
    <mergeCell ref="A5:B6"/>
    <mergeCell ref="A7:B8"/>
    <mergeCell ref="A9:B10"/>
    <mergeCell ref="A11:B12"/>
    <mergeCell ref="A1:C1"/>
    <mergeCell ref="E1:H1"/>
    <mergeCell ref="J1:M1"/>
    <mergeCell ref="A2:B2"/>
    <mergeCell ref="E2:H2"/>
    <mergeCell ref="A3:B4"/>
    <mergeCell ref="J6:M6"/>
    <mergeCell ref="J7:K8"/>
    <mergeCell ref="J10:K11"/>
    <mergeCell ref="J2:M2"/>
    <mergeCell ref="J3:K3"/>
    <mergeCell ref="L3:M3"/>
    <mergeCell ref="J4:K5"/>
    <mergeCell ref="L4:M5"/>
    <mergeCell ref="L7:M8"/>
    <mergeCell ref="J9:M9"/>
    <mergeCell ref="L10:M11"/>
  </mergeCells>
  <dataValidations>
    <dataValidation type="list" allowBlank="1" showErrorMessage="1" sqref="I16:I160">
      <formula1>"Sampai,Sudah Proses Pengiriman,Kendala [FU!],Done Req Sample"</formula1>
    </dataValidation>
    <dataValidation type="list" allowBlank="1" showErrorMessage="1" sqref="A16:A160">
      <formula1>"MEGA,MACRO,MICRO,NANO"</formula1>
    </dataValidation>
    <dataValidation type="list" allowBlank="1" showErrorMessage="1" sqref="J16:J160 L16:L160 N16:N160 P16:P160">
      <formula1>" Concept 1,Concept 2,Concept 3,Concept 4"</formula1>
    </dataValidation>
  </dataValidations>
  <hyperlinks>
    <hyperlink r:id="rId4" ref="B16"/>
    <hyperlink r:id="rId5" ref="C16"/>
    <hyperlink r:id="rId6" ref="K16"/>
    <hyperlink r:id="rId7" ref="M16"/>
    <hyperlink r:id="rId8" ref="O16"/>
    <hyperlink r:id="rId9" ref="Q16"/>
    <hyperlink r:id="rId10" ref="C17"/>
    <hyperlink r:id="rId11" ref="K17"/>
    <hyperlink r:id="rId12" ref="C18"/>
    <hyperlink r:id="rId13" ref="K18"/>
    <hyperlink r:id="rId14" ref="M18"/>
    <hyperlink r:id="rId15" ref="C19"/>
    <hyperlink r:id="rId16" ref="K19"/>
    <hyperlink r:id="rId17" ref="C20"/>
    <hyperlink r:id="rId18" ref="K20"/>
    <hyperlink r:id="rId19" ref="C21"/>
    <hyperlink r:id="rId20" ref="K21"/>
    <hyperlink r:id="rId21" ref="C22"/>
    <hyperlink r:id="rId22" ref="K22"/>
    <hyperlink r:id="rId23" ref="M22"/>
    <hyperlink r:id="rId24" ref="O22"/>
    <hyperlink r:id="rId25" ref="Q22"/>
    <hyperlink r:id="rId26" ref="C23"/>
    <hyperlink r:id="rId27" ref="K23"/>
    <hyperlink r:id="rId28" ref="M23"/>
    <hyperlink r:id="rId29" ref="O23"/>
    <hyperlink r:id="rId30" ref="C24"/>
    <hyperlink r:id="rId31" ref="C25"/>
    <hyperlink r:id="rId32" ref="K25"/>
    <hyperlink r:id="rId33" ref="C26"/>
    <hyperlink r:id="rId34" ref="K26"/>
    <hyperlink r:id="rId35" ref="M26"/>
    <hyperlink r:id="rId36" ref="O26"/>
    <hyperlink r:id="rId37" ref="Q26"/>
    <hyperlink r:id="rId38" ref="C27"/>
    <hyperlink r:id="rId39" ref="K27"/>
    <hyperlink r:id="rId40" ref="M27"/>
    <hyperlink r:id="rId41" ref="C28"/>
    <hyperlink r:id="rId42" ref="K28"/>
    <hyperlink r:id="rId43" ref="M28"/>
    <hyperlink r:id="rId44" ref="C29"/>
    <hyperlink r:id="rId45" ref="K29"/>
    <hyperlink r:id="rId46" ref="C30"/>
    <hyperlink r:id="rId47" ref="K30"/>
    <hyperlink r:id="rId48" ref="M30"/>
    <hyperlink r:id="rId49" ref="C31"/>
    <hyperlink r:id="rId50" ref="K31"/>
    <hyperlink r:id="rId51" ref="M31"/>
    <hyperlink r:id="rId52" ref="O31"/>
    <hyperlink r:id="rId53" ref="C32"/>
    <hyperlink r:id="rId54" ref="K32"/>
    <hyperlink r:id="rId55" ref="C33"/>
    <hyperlink r:id="rId56" ref="C34"/>
    <hyperlink r:id="rId57" ref="C35"/>
    <hyperlink r:id="rId58" ref="K35"/>
    <hyperlink r:id="rId59" ref="M35"/>
    <hyperlink r:id="rId60" ref="O35"/>
    <hyperlink r:id="rId61" ref="Q35"/>
    <hyperlink r:id="rId62" ref="C36"/>
    <hyperlink r:id="rId63" ref="K36"/>
    <hyperlink r:id="rId64" ref="M36"/>
    <hyperlink r:id="rId65" ref="O36"/>
    <hyperlink r:id="rId66" ref="C37"/>
    <hyperlink r:id="rId67" ref="K37"/>
    <hyperlink r:id="rId68" ref="C38"/>
    <hyperlink r:id="rId69" ref="K38"/>
    <hyperlink r:id="rId70" ref="M38"/>
    <hyperlink r:id="rId71" ref="O38"/>
    <hyperlink r:id="rId72" ref="Q38"/>
    <hyperlink r:id="rId73" ref="C39"/>
    <hyperlink r:id="rId74" ref="K39"/>
    <hyperlink r:id="rId75" ref="M39"/>
    <hyperlink r:id="rId76" ref="C40"/>
    <hyperlink r:id="rId77" ref="K40"/>
    <hyperlink r:id="rId78" ref="C41"/>
    <hyperlink r:id="rId79" ref="K41"/>
    <hyperlink r:id="rId80" ref="C42"/>
    <hyperlink r:id="rId81" ref="C43"/>
    <hyperlink r:id="rId82" ref="K43"/>
    <hyperlink r:id="rId83" ref="C44"/>
    <hyperlink r:id="rId84" ref="K44"/>
    <hyperlink r:id="rId85" ref="M44"/>
    <hyperlink r:id="rId86" ref="C45"/>
    <hyperlink r:id="rId87" ref="K45"/>
    <hyperlink r:id="rId88" ref="C46"/>
    <hyperlink r:id="rId89" ref="K46"/>
    <hyperlink r:id="rId90" ref="C47"/>
    <hyperlink r:id="rId91" ref="C48"/>
    <hyperlink r:id="rId92" ref="C49"/>
    <hyperlink r:id="rId93" ref="K49"/>
    <hyperlink r:id="rId94" ref="C50"/>
    <hyperlink r:id="rId95" ref="K50"/>
    <hyperlink r:id="rId96" ref="C51"/>
    <hyperlink r:id="rId97" ref="K51"/>
    <hyperlink r:id="rId98" ref="C52"/>
    <hyperlink r:id="rId99" ref="C53"/>
    <hyperlink r:id="rId100" ref="C54"/>
    <hyperlink r:id="rId101" ref="K54"/>
    <hyperlink r:id="rId102" ref="M54"/>
    <hyperlink r:id="rId103" ref="C55"/>
    <hyperlink r:id="rId104" ref="K55"/>
    <hyperlink r:id="rId105" ref="C56"/>
    <hyperlink r:id="rId106" ref="K56"/>
    <hyperlink r:id="rId107" ref="M56"/>
    <hyperlink r:id="rId108" ref="O56"/>
    <hyperlink r:id="rId109" ref="C57"/>
    <hyperlink r:id="rId110" ref="C58"/>
    <hyperlink r:id="rId111" ref="K58"/>
    <hyperlink r:id="rId112" ref="C59"/>
    <hyperlink r:id="rId113" ref="C60"/>
    <hyperlink r:id="rId114" ref="C61"/>
    <hyperlink r:id="rId115" ref="C62"/>
    <hyperlink r:id="rId116" ref="C63"/>
    <hyperlink r:id="rId117" ref="K63"/>
    <hyperlink r:id="rId118" ref="C64"/>
    <hyperlink r:id="rId119" ref="K64"/>
    <hyperlink r:id="rId120" ref="C65"/>
    <hyperlink r:id="rId121" ref="K65"/>
    <hyperlink r:id="rId122" ref="C66"/>
    <hyperlink r:id="rId123" ref="K66"/>
    <hyperlink r:id="rId124" ref="C67"/>
    <hyperlink r:id="rId125" ref="C68"/>
    <hyperlink r:id="rId126" ref="K68"/>
    <hyperlink r:id="rId127" ref="C69"/>
    <hyperlink r:id="rId128" ref="C70"/>
    <hyperlink r:id="rId129" ref="C71"/>
    <hyperlink r:id="rId130" ref="C72"/>
    <hyperlink r:id="rId131" ref="C73"/>
    <hyperlink r:id="rId132" ref="C74"/>
    <hyperlink r:id="rId133" ref="C75"/>
    <hyperlink r:id="rId134" ref="K75"/>
    <hyperlink r:id="rId135" ref="C76"/>
    <hyperlink r:id="rId136" ref="K76"/>
    <hyperlink r:id="rId137" ref="C77"/>
    <hyperlink r:id="rId138" ref="K77"/>
    <hyperlink r:id="rId139" ref="C78"/>
    <hyperlink r:id="rId140" ref="C79"/>
    <hyperlink r:id="rId141" ref="K79"/>
    <hyperlink r:id="rId142" ref="M79"/>
    <hyperlink r:id="rId143" ref="O79"/>
    <hyperlink r:id="rId144" ref="C80"/>
    <hyperlink r:id="rId145" ref="C81"/>
    <hyperlink r:id="rId146" ref="K81"/>
    <hyperlink r:id="rId147" ref="M81"/>
    <hyperlink r:id="rId148" ref="O81"/>
    <hyperlink r:id="rId149" ref="C82"/>
    <hyperlink r:id="rId150" ref="C83"/>
    <hyperlink r:id="rId151" ref="C84"/>
    <hyperlink r:id="rId152" ref="C85"/>
    <hyperlink r:id="rId153" ref="C86"/>
    <hyperlink r:id="rId154" ref="C87"/>
    <hyperlink r:id="rId155" ref="C88"/>
    <hyperlink r:id="rId156" ref="C89"/>
    <hyperlink r:id="rId157" ref="C90"/>
    <hyperlink r:id="rId158" ref="C91"/>
    <hyperlink r:id="rId159" ref="C92"/>
    <hyperlink r:id="rId160" ref="C93"/>
    <hyperlink r:id="rId161" ref="C94"/>
    <hyperlink r:id="rId162" ref="C95"/>
    <hyperlink r:id="rId163" ref="C96"/>
    <hyperlink r:id="rId164" ref="C97"/>
    <hyperlink r:id="rId165" ref="C98"/>
    <hyperlink r:id="rId166" ref="C99"/>
    <hyperlink r:id="rId167" ref="C100"/>
    <hyperlink r:id="rId168" ref="C101"/>
    <hyperlink r:id="rId169" ref="C102"/>
    <hyperlink r:id="rId170" ref="C103"/>
    <hyperlink r:id="rId171" ref="C104"/>
    <hyperlink r:id="rId172" ref="C105"/>
    <hyperlink r:id="rId173" ref="C106"/>
    <hyperlink r:id="rId174" ref="C107"/>
    <hyperlink r:id="rId175" ref="C108"/>
    <hyperlink r:id="rId176" ref="C109"/>
    <hyperlink r:id="rId177" ref="C110"/>
    <hyperlink r:id="rId178" ref="B111"/>
    <hyperlink r:id="rId179" ref="C111"/>
    <hyperlink r:id="rId180" ref="C112"/>
    <hyperlink r:id="rId181" ref="C113"/>
    <hyperlink r:id="rId182" ref="C114"/>
    <hyperlink r:id="rId183" ref="C115"/>
    <hyperlink r:id="rId184" ref="C116"/>
    <hyperlink r:id="rId185" ref="C117"/>
    <hyperlink r:id="rId186" ref="C118"/>
    <hyperlink r:id="rId187" ref="C119"/>
    <hyperlink r:id="rId188" ref="C120"/>
    <hyperlink r:id="rId189" ref="C121"/>
  </hyperlinks>
  <drawing r:id="rId190"/>
  <legacyDrawing r:id="rId19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22.38"/>
    <col customWidth="1" min="4" max="4" width="13.25"/>
    <col customWidth="1" min="8" max="8" width="16.0"/>
    <col customWidth="1" min="10" max="10" width="19.38"/>
    <col customWidth="1" min="12" max="12" width="19.25"/>
  </cols>
  <sheetData>
    <row r="1">
      <c r="A1" s="284" t="s">
        <v>455</v>
      </c>
      <c r="B1" s="214"/>
      <c r="C1" s="214"/>
      <c r="D1" s="285"/>
      <c r="E1" s="284" t="s">
        <v>328</v>
      </c>
      <c r="F1" s="214"/>
      <c r="G1" s="214"/>
      <c r="H1" s="216"/>
      <c r="I1" s="286"/>
      <c r="J1" s="287" t="s">
        <v>456</v>
      </c>
      <c r="K1" s="214"/>
      <c r="L1" s="214"/>
      <c r="M1" s="216"/>
      <c r="N1" s="286"/>
      <c r="O1" s="286"/>
      <c r="P1" s="286"/>
      <c r="Q1" s="286"/>
      <c r="R1" s="578"/>
      <c r="S1" s="578"/>
      <c r="T1" s="578"/>
      <c r="U1" s="578"/>
    </row>
    <row r="2">
      <c r="A2" s="288" t="s">
        <v>457</v>
      </c>
      <c r="B2" s="220"/>
      <c r="C2" s="579" t="s">
        <v>455</v>
      </c>
      <c r="D2" s="285"/>
      <c r="E2" s="325" t="s">
        <v>327</v>
      </c>
      <c r="F2" s="214"/>
      <c r="G2" s="214"/>
      <c r="H2" s="216"/>
      <c r="I2" s="286"/>
      <c r="J2" s="292" t="s">
        <v>458</v>
      </c>
      <c r="K2" s="214"/>
      <c r="L2" s="214"/>
      <c r="M2" s="216"/>
      <c r="N2" s="286"/>
      <c r="O2" s="286"/>
      <c r="P2" s="286"/>
      <c r="Q2" s="286"/>
      <c r="R2" s="578"/>
      <c r="S2" s="578"/>
      <c r="T2" s="578"/>
      <c r="U2" s="578"/>
    </row>
    <row r="3">
      <c r="A3" s="223">
        <v>1.0</v>
      </c>
      <c r="B3" s="224"/>
      <c r="C3" s="580">
        <v>1.0</v>
      </c>
      <c r="D3" s="285"/>
      <c r="E3" s="299">
        <f>Maindata!I12</f>
        <v>4000000000</v>
      </c>
      <c r="F3" s="227"/>
      <c r="G3" s="227"/>
      <c r="H3" s="228"/>
      <c r="I3" s="286"/>
      <c r="J3" s="295" t="s">
        <v>459</v>
      </c>
      <c r="K3" s="216"/>
      <c r="L3" s="296" t="s">
        <v>460</v>
      </c>
      <c r="M3" s="216"/>
      <c r="N3" s="286"/>
      <c r="O3" s="286"/>
      <c r="P3" s="286"/>
      <c r="Q3" s="286"/>
      <c r="R3" s="578"/>
      <c r="S3" s="578"/>
      <c r="T3" s="578"/>
      <c r="U3" s="578"/>
    </row>
    <row r="4">
      <c r="A4" s="231"/>
      <c r="B4" s="220"/>
      <c r="C4" s="580">
        <v>2.0</v>
      </c>
      <c r="D4" s="285"/>
      <c r="E4" s="232"/>
      <c r="F4" s="233"/>
      <c r="G4" s="233"/>
      <c r="H4" s="234"/>
      <c r="I4" s="286"/>
      <c r="J4" s="298">
        <f>IFERROR(__xludf.DUMMYFUNCTION("IMPORTRANGE(""https://docs.google.com/spreadsheets/d/1XGHyffJQ7KjI292zt5QVK_1XTfEMh_HDpl_2BHAzd4c/edit?gid=1335890585#gid=1335890585"",""MSGLOWBEAUTY!H16"")"),1.12E8)</f>
        <v>112000000</v>
      </c>
      <c r="K4" s="228"/>
      <c r="L4" s="299">
        <f>IFERROR(__xludf.DUMMYFUNCTION("IMPORTRANGE(""https://docs.google.com/spreadsheets/d/1XGHyffJQ7KjI292zt5QVK_1XTfEMh_HDpl_2BHAzd4c/edit?gid=1335890585#gid=1335890585"",""MSGLOWBEAUTY!H21"")        "),2.0E8)</f>
        <v>200000000</v>
      </c>
      <c r="M4" s="228"/>
      <c r="N4" s="286"/>
      <c r="O4" s="286"/>
      <c r="P4" s="286"/>
      <c r="Q4" s="286"/>
      <c r="R4" s="578"/>
      <c r="S4" s="578"/>
      <c r="T4" s="578"/>
      <c r="U4" s="578"/>
    </row>
    <row r="5">
      <c r="A5" s="236">
        <v>2.0</v>
      </c>
      <c r="B5" s="224"/>
      <c r="C5" s="580">
        <v>1.0</v>
      </c>
      <c r="D5" s="285"/>
      <c r="E5" s="329" t="s">
        <v>461</v>
      </c>
      <c r="F5" s="214"/>
      <c r="G5" s="214"/>
      <c r="H5" s="216"/>
      <c r="I5" s="286"/>
      <c r="J5" s="232"/>
      <c r="K5" s="234"/>
      <c r="L5" s="232"/>
      <c r="M5" s="234"/>
      <c r="N5" s="286"/>
      <c r="O5" s="286"/>
      <c r="P5" s="286"/>
      <c r="Q5" s="286"/>
      <c r="R5" s="578"/>
      <c r="S5" s="578"/>
      <c r="T5" s="578"/>
      <c r="U5" s="578"/>
    </row>
    <row r="6">
      <c r="A6" s="231"/>
      <c r="B6" s="220"/>
      <c r="C6" s="580">
        <v>2.0</v>
      </c>
      <c r="D6" s="285"/>
      <c r="E6" s="299">
        <f>SUM(R16:U249)</f>
        <v>0</v>
      </c>
      <c r="F6" s="227"/>
      <c r="G6" s="227"/>
      <c r="H6" s="228"/>
      <c r="I6" s="286"/>
      <c r="J6" s="302" t="s">
        <v>462</v>
      </c>
      <c r="K6" s="214"/>
      <c r="L6" s="214"/>
      <c r="M6" s="216"/>
      <c r="N6" s="286"/>
      <c r="O6" s="286"/>
      <c r="P6" s="286"/>
      <c r="Q6" s="286"/>
      <c r="R6" s="578"/>
      <c r="S6" s="578"/>
      <c r="T6" s="578"/>
      <c r="U6" s="578"/>
    </row>
    <row r="7">
      <c r="A7" s="236">
        <v>3.0</v>
      </c>
      <c r="B7" s="224"/>
      <c r="C7" s="580">
        <v>1.0</v>
      </c>
      <c r="D7" s="285"/>
      <c r="E7" s="232"/>
      <c r="F7" s="233"/>
      <c r="G7" s="233"/>
      <c r="H7" s="234"/>
      <c r="I7" s="286"/>
      <c r="J7" s="298">
        <f>IFERROR(__xludf.DUMMYFUNCTION("IMPORTRANGE(""https://docs.google.com/spreadsheets/d/1XGHyffJQ7KjI292zt5QVK_1XTfEMh_HDpl_2BHAzd4c/edit?gid=1335890585#gid=1335890585"",""MSGlowBeauty!H4"")"),0.0)</f>
        <v>0</v>
      </c>
      <c r="K7" s="228"/>
      <c r="L7" s="299">
        <f>IFERROR(__xludf.DUMMYFUNCTION("IMPORTRANGE(""https://docs.google.com/spreadsheets/d/1XGHyffJQ7KjI292zt5QVK_1XTfEMh_HDpl_2BHAzd4c/edit?gid=1335890585#gid=1335890585"",""MSGlowBeauty!K4"")        "),0.0)</f>
        <v>0</v>
      </c>
      <c r="M7" s="228"/>
      <c r="N7" s="286"/>
      <c r="O7" s="286"/>
      <c r="P7" s="286"/>
      <c r="Q7" s="286"/>
      <c r="R7" s="578"/>
      <c r="S7" s="578"/>
      <c r="T7" s="578"/>
      <c r="U7" s="578"/>
    </row>
    <row r="8">
      <c r="A8" s="231"/>
      <c r="B8" s="220"/>
      <c r="C8" s="580">
        <v>2.0</v>
      </c>
      <c r="D8" s="285"/>
      <c r="E8" s="325" t="s">
        <v>329</v>
      </c>
      <c r="F8" s="214"/>
      <c r="G8" s="214"/>
      <c r="H8" s="216"/>
      <c r="I8" s="286"/>
      <c r="J8" s="232"/>
      <c r="K8" s="234"/>
      <c r="L8" s="232"/>
      <c r="M8" s="234"/>
      <c r="N8" s="286"/>
      <c r="O8" s="286"/>
      <c r="P8" s="286"/>
      <c r="Q8" s="286"/>
      <c r="R8" s="578"/>
      <c r="S8" s="578"/>
      <c r="T8" s="578"/>
      <c r="U8" s="578"/>
    </row>
    <row r="9">
      <c r="A9" s="236">
        <v>4.0</v>
      </c>
      <c r="B9" s="224"/>
      <c r="C9" s="580">
        <v>1.0</v>
      </c>
      <c r="D9" s="285"/>
      <c r="E9" s="330">
        <f>E6/E3</f>
        <v>0</v>
      </c>
      <c r="F9" s="227"/>
      <c r="G9" s="227"/>
      <c r="H9" s="228"/>
      <c r="I9" s="286"/>
      <c r="J9" s="292" t="s">
        <v>463</v>
      </c>
      <c r="K9" s="214"/>
      <c r="L9" s="214"/>
      <c r="M9" s="216"/>
      <c r="N9" s="286"/>
      <c r="O9" s="286"/>
      <c r="P9" s="286"/>
      <c r="Q9" s="286"/>
      <c r="R9" s="578"/>
      <c r="S9" s="578"/>
      <c r="T9" s="578"/>
      <c r="U9" s="578"/>
    </row>
    <row r="10">
      <c r="A10" s="231"/>
      <c r="B10" s="220"/>
      <c r="C10" s="580">
        <v>2.0</v>
      </c>
      <c r="D10" s="285"/>
      <c r="E10" s="232"/>
      <c r="F10" s="233"/>
      <c r="G10" s="233"/>
      <c r="H10" s="234"/>
      <c r="I10" s="286"/>
      <c r="J10" s="298">
        <f>J4-J7</f>
        <v>112000000</v>
      </c>
      <c r="K10" s="228"/>
      <c r="L10" s="299">
        <f>L4-L7</f>
        <v>200000000</v>
      </c>
      <c r="M10" s="228"/>
      <c r="N10" s="286"/>
      <c r="O10" s="286"/>
      <c r="P10" s="286"/>
      <c r="Q10" s="286"/>
      <c r="R10" s="578"/>
      <c r="S10" s="578"/>
      <c r="T10" s="578"/>
      <c r="U10" s="578"/>
    </row>
    <row r="11">
      <c r="A11" s="236">
        <v>5.0</v>
      </c>
      <c r="B11" s="224"/>
      <c r="C11" s="580">
        <v>1.0</v>
      </c>
      <c r="D11" s="285"/>
      <c r="E11" s="285"/>
      <c r="F11" s="286"/>
      <c r="G11" s="286"/>
      <c r="H11" s="581"/>
      <c r="I11" s="286"/>
      <c r="J11" s="232"/>
      <c r="K11" s="234"/>
      <c r="L11" s="232"/>
      <c r="M11" s="234"/>
      <c r="N11" s="286"/>
      <c r="O11" s="286"/>
      <c r="P11" s="286"/>
      <c r="Q11" s="286"/>
      <c r="R11" s="578"/>
      <c r="S11" s="578"/>
      <c r="T11" s="578"/>
      <c r="U11" s="578"/>
    </row>
    <row r="12">
      <c r="A12" s="231"/>
      <c r="B12" s="220"/>
      <c r="C12" s="580">
        <v>2.0</v>
      </c>
      <c r="D12" s="285"/>
      <c r="E12" s="285"/>
      <c r="F12" s="286"/>
      <c r="G12" s="286"/>
      <c r="H12" s="581"/>
      <c r="I12" s="286"/>
      <c r="J12" s="286"/>
      <c r="K12" s="305"/>
      <c r="L12" s="285"/>
      <c r="M12" s="305"/>
      <c r="N12" s="243"/>
      <c r="O12" s="243"/>
      <c r="P12" s="243"/>
      <c r="Q12" s="243"/>
      <c r="R12" s="582"/>
      <c r="S12" s="582"/>
      <c r="T12" s="582"/>
      <c r="U12" s="582"/>
    </row>
    <row r="13">
      <c r="A13" s="245"/>
      <c r="B13" s="245"/>
      <c r="C13" s="529"/>
      <c r="D13" s="286"/>
      <c r="E13" s="286"/>
      <c r="F13" s="286"/>
      <c r="G13" s="286"/>
      <c r="H13" s="581"/>
      <c r="I13" s="286"/>
      <c r="J13" s="286"/>
      <c r="K13" s="529"/>
      <c r="L13" s="243"/>
      <c r="M13" s="243"/>
      <c r="N13" s="243"/>
      <c r="O13" s="243"/>
      <c r="P13" s="243"/>
      <c r="Q13" s="243"/>
      <c r="R13" s="582"/>
      <c r="S13" s="582"/>
      <c r="T13" s="582"/>
      <c r="U13" s="582"/>
    </row>
    <row r="14">
      <c r="A14" s="583"/>
      <c r="B14" s="583"/>
      <c r="C14" s="584"/>
      <c r="D14" s="583"/>
      <c r="E14" s="583"/>
      <c r="F14" s="583"/>
      <c r="G14" s="583"/>
      <c r="H14" s="585"/>
      <c r="I14" s="583"/>
      <c r="J14" s="583"/>
      <c r="K14" s="584"/>
      <c r="L14" s="583"/>
      <c r="M14" s="584"/>
      <c r="N14" s="583"/>
      <c r="O14" s="583"/>
      <c r="P14" s="583"/>
      <c r="Q14" s="583"/>
      <c r="R14" s="248" t="s">
        <v>464</v>
      </c>
      <c r="S14" s="249"/>
      <c r="T14" s="248" t="s">
        <v>465</v>
      </c>
      <c r="U14" s="249"/>
    </row>
    <row r="15">
      <c r="A15" s="250" t="s">
        <v>466</v>
      </c>
      <c r="B15" s="250" t="s">
        <v>467</v>
      </c>
      <c r="C15" s="251" t="s">
        <v>468</v>
      </c>
      <c r="D15" s="252" t="s">
        <v>469</v>
      </c>
      <c r="E15" s="253" t="s">
        <v>470</v>
      </c>
      <c r="F15" s="251" t="s">
        <v>471</v>
      </c>
      <c r="G15" s="332" t="s">
        <v>484</v>
      </c>
      <c r="H15" s="251" t="s">
        <v>457</v>
      </c>
      <c r="I15" s="254" t="s">
        <v>472</v>
      </c>
      <c r="J15" s="251" t="s">
        <v>455</v>
      </c>
      <c r="K15" s="251" t="s">
        <v>473</v>
      </c>
      <c r="L15" s="251" t="s">
        <v>455</v>
      </c>
      <c r="M15" s="251" t="s">
        <v>474</v>
      </c>
      <c r="N15" s="251" t="s">
        <v>455</v>
      </c>
      <c r="O15" s="251" t="s">
        <v>475</v>
      </c>
      <c r="P15" s="251" t="s">
        <v>455</v>
      </c>
      <c r="Q15" s="251" t="s">
        <v>476</v>
      </c>
      <c r="R15" s="248" t="s">
        <v>427</v>
      </c>
      <c r="S15" s="248" t="s">
        <v>477</v>
      </c>
      <c r="T15" s="248" t="s">
        <v>427</v>
      </c>
      <c r="U15" s="248" t="s">
        <v>477</v>
      </c>
    </row>
    <row r="16">
      <c r="A16" s="307" t="str">
        <f>IFERROR(__xludf.DUMMYFUNCTION("QUERY(IMPORTRANGE(""https://docs.google.com/spreadsheets/d/10wdjc5GKQIqHka9D7QGq1b4WkRuVqG0ylA8lw57ns-I/edit?usp=sharing"", ""MSGLOWBEAUTY!A3:AB1000""), ""SELECT Col1, Col2, Col3, Col4, Col5, Col6, Col10, Col11, Col16, Col17, Col18, Col19, Col20, Col21, C"&amp;"ol22, Col23, Col24, Col25, Col26, Col27, Col28 WHERE Col12 = 'Approved'"")"),"MICRO")</f>
        <v>MICRO</v>
      </c>
      <c r="B16" s="586" t="str">
        <f>IFERROR(__xludf.DUMMYFUNCTION("""COMPUTED_VALUE"""),"itscendi")</f>
        <v>itscendi</v>
      </c>
      <c r="C16" s="535" t="str">
        <f>IFERROR(__xludf.DUMMYFUNCTION("""COMPUTED_VALUE"""),"https://www.tiktok.com/@itscendi")</f>
        <v>https://www.tiktok.com/@itscendi</v>
      </c>
      <c r="D16" s="311">
        <f>IFERROR(__xludf.DUMMYFUNCTION("""COMPUTED_VALUE"""),8.7746514165E10)</f>
        <v>87746514165</v>
      </c>
      <c r="E16" s="537">
        <f>IFERROR(__xludf.DUMMYFUNCTION("""COMPUTED_VALUE"""),200000.0)</f>
        <v>200000</v>
      </c>
      <c r="F16" s="311">
        <f>IFERROR(__xludf.DUMMYFUNCTION("""COMPUTED_VALUE"""),1.0)</f>
        <v>1</v>
      </c>
      <c r="G16" s="311" t="str">
        <f>IFERROR(__xludf.DUMMYFUNCTION("""COMPUTED_VALUE"""),"100.92m")</f>
        <v>100.92m</v>
      </c>
      <c r="H16" s="587" t="str">
        <f>IFERROR(__xludf.DUMMYFUNCTION("""COMPUTED_VALUE"""),"1 SET (CUSHION, LIP BALM, BLUSH ON)")</f>
        <v>1 SET (CUSHION, LIP BALM, BLUSH ON)</v>
      </c>
      <c r="I16" s="463" t="str">
        <f>IFERROR(__xludf.DUMMYFUNCTION("""COMPUTED_VALUE"""),"Done Req Sample")</f>
        <v>Done Req Sample</v>
      </c>
      <c r="J16" s="588"/>
      <c r="K16" s="541"/>
      <c r="L16" s="588"/>
      <c r="M16" s="541"/>
      <c r="N16" s="588"/>
      <c r="O16" s="312"/>
      <c r="P16" s="588"/>
      <c r="Q16" s="312"/>
      <c r="R16" s="589"/>
      <c r="S16" s="589"/>
      <c r="T16" s="589"/>
      <c r="U16" s="589"/>
    </row>
    <row r="17">
      <c r="A17" s="307" t="str">
        <f>IFERROR(__xludf.DUMMYFUNCTION("""COMPUTED_VALUE"""),"MICRO")</f>
        <v>MICRO</v>
      </c>
      <c r="B17" s="586" t="str">
        <f>IFERROR(__xludf.DUMMYFUNCTION("""COMPUTED_VALUE"""),"gadisaries97")</f>
        <v>gadisaries97</v>
      </c>
      <c r="C17" s="535" t="str">
        <f>IFERROR(__xludf.DUMMYFUNCTION("""COMPUTED_VALUE"""),"https://www.tiktok.com/@gadisaries97")</f>
        <v>https://www.tiktok.com/@gadisaries97</v>
      </c>
      <c r="D17" s="311">
        <f>IFERROR(__xludf.DUMMYFUNCTION("""COMPUTED_VALUE"""),8.3148641923E10)</f>
        <v>83148641923</v>
      </c>
      <c r="E17" s="537">
        <f>IFERROR(__xludf.DUMMYFUNCTION("""COMPUTED_VALUE"""),400000.0)</f>
        <v>400000</v>
      </c>
      <c r="F17" s="311">
        <f>IFERROR(__xludf.DUMMYFUNCTION("""COMPUTED_VALUE"""),2.0)</f>
        <v>2</v>
      </c>
      <c r="G17" s="311" t="str">
        <f>IFERROR(__xludf.DUMMYFUNCTION("""COMPUTED_VALUE"""),"31.31m")</f>
        <v>31.31m</v>
      </c>
      <c r="H17" s="587" t="str">
        <f>IFERROR(__xludf.DUMMYFUNCTION("""COMPUTED_VALUE"""),"1 SET (CUSHION, LIP BALM, BLUSH ON)")</f>
        <v>1 SET (CUSHION, LIP BALM, BLUSH ON)</v>
      </c>
      <c r="I17" s="463" t="str">
        <f>IFERROR(__xludf.DUMMYFUNCTION("""COMPUTED_VALUE"""),"Done Req Sample")</f>
        <v>Done Req Sample</v>
      </c>
      <c r="J17" s="588"/>
      <c r="K17" s="541"/>
      <c r="L17" s="588"/>
      <c r="M17" s="541"/>
      <c r="N17" s="588"/>
      <c r="O17" s="312"/>
      <c r="P17" s="588"/>
      <c r="Q17" s="312"/>
      <c r="R17" s="590"/>
      <c r="S17" s="591"/>
      <c r="T17" s="592"/>
      <c r="U17" s="592"/>
    </row>
    <row r="18">
      <c r="A18" s="307" t="str">
        <f>IFERROR(__xludf.DUMMYFUNCTION("""COMPUTED_VALUE"""),"MICRO")</f>
        <v>MICRO</v>
      </c>
      <c r="B18" s="586" t="str">
        <f>IFERROR(__xludf.DUMMYFUNCTION("""COMPUTED_VALUE"""),"aputtii")</f>
        <v>aputtii</v>
      </c>
      <c r="C18" s="535" t="str">
        <f>IFERROR(__xludf.DUMMYFUNCTION("""COMPUTED_VALUE"""),"https://www.tiktok.com/@aputtii")</f>
        <v>https://www.tiktok.com/@aputtii</v>
      </c>
      <c r="D18" s="311">
        <f>IFERROR(__xludf.DUMMYFUNCTION("""COMPUTED_VALUE"""),8.1529590712E10)</f>
        <v>81529590712</v>
      </c>
      <c r="E18" s="537">
        <f>IFERROR(__xludf.DUMMYFUNCTION("""COMPUTED_VALUE"""),500000.0)</f>
        <v>500000</v>
      </c>
      <c r="F18" s="311">
        <f>IFERROR(__xludf.DUMMYFUNCTION("""COMPUTED_VALUE"""),2.0)</f>
        <v>2</v>
      </c>
      <c r="G18" s="311" t="str">
        <f>IFERROR(__xludf.DUMMYFUNCTION("""COMPUTED_VALUE"""),"159.80k")</f>
        <v>159.80k</v>
      </c>
      <c r="H18" s="587" t="str">
        <f>IFERROR(__xludf.DUMMYFUNCTION("""COMPUTED_VALUE"""),"1 SET (CUSHION, LIP BALM, BLUSH ON)")</f>
        <v>1 SET (CUSHION, LIP BALM, BLUSH ON)</v>
      </c>
      <c r="I18" s="463" t="str">
        <f>IFERROR(__xludf.DUMMYFUNCTION("""COMPUTED_VALUE"""),"Done Req Sample")</f>
        <v>Done Req Sample</v>
      </c>
      <c r="J18" s="588"/>
      <c r="K18" s="593"/>
      <c r="L18" s="588"/>
      <c r="M18" s="541"/>
      <c r="N18" s="588"/>
      <c r="O18" s="312"/>
      <c r="P18" s="588"/>
      <c r="Q18" s="312"/>
      <c r="R18" s="590"/>
      <c r="S18" s="591"/>
      <c r="T18" s="592"/>
      <c r="U18" s="592"/>
    </row>
    <row r="19">
      <c r="A19" s="307" t="str">
        <f>IFERROR(__xludf.DUMMYFUNCTION("""COMPUTED_VALUE"""),"MICRO")</f>
        <v>MICRO</v>
      </c>
      <c r="B19" s="586" t="str">
        <f>IFERROR(__xludf.DUMMYFUNCTION("""COMPUTED_VALUE"""),"seli.desi.liani")</f>
        <v>seli.desi.liani</v>
      </c>
      <c r="C19" s="535" t="str">
        <f>IFERROR(__xludf.DUMMYFUNCTION("""COMPUTED_VALUE"""),"https://www.tiktok.com/@seli.desi.liani")</f>
        <v>https://www.tiktok.com/@seli.desi.liani</v>
      </c>
      <c r="D19" s="311">
        <f>IFERROR(__xludf.DUMMYFUNCTION("""COMPUTED_VALUE"""),8.95361055479E11)</f>
        <v>895361055479</v>
      </c>
      <c r="E19" s="537">
        <f>IFERROR(__xludf.DUMMYFUNCTION("""COMPUTED_VALUE"""),0.0)</f>
        <v>0</v>
      </c>
      <c r="F19" s="311">
        <f>IFERROR(__xludf.DUMMYFUNCTION("""COMPUTED_VALUE"""),2.0)</f>
        <v>2</v>
      </c>
      <c r="G19" s="311" t="str">
        <f>IFERROR(__xludf.DUMMYFUNCTION("""COMPUTED_VALUE"""),"96.61k")</f>
        <v>96.61k</v>
      </c>
      <c r="H19" s="587" t="str">
        <f>IFERROR(__xludf.DUMMYFUNCTION("""COMPUTED_VALUE"""),"1 SET (CUSHION, LIP BALM, BLUSH ON)")</f>
        <v>1 SET (CUSHION, LIP BALM, BLUSH ON)</v>
      </c>
      <c r="I19" s="463" t="str">
        <f>IFERROR(__xludf.DUMMYFUNCTION("""COMPUTED_VALUE"""),"Done Req Sample")</f>
        <v>Done Req Sample</v>
      </c>
      <c r="J19" s="588"/>
      <c r="K19" s="541"/>
      <c r="L19" s="588"/>
      <c r="M19" s="541"/>
      <c r="N19" s="588"/>
      <c r="O19" s="312"/>
      <c r="P19" s="588"/>
      <c r="Q19" s="312"/>
      <c r="R19" s="590"/>
      <c r="S19" s="591"/>
      <c r="T19" s="592"/>
      <c r="U19" s="592"/>
    </row>
    <row r="20">
      <c r="A20" s="307" t="str">
        <f>IFERROR(__xludf.DUMMYFUNCTION("""COMPUTED_VALUE"""),"MICRO")</f>
        <v>MICRO</v>
      </c>
      <c r="B20" s="586" t="str">
        <f>IFERROR(__xludf.DUMMYFUNCTION("""COMPUTED_VALUE"""),"sillviaaagr")</f>
        <v>sillviaaagr</v>
      </c>
      <c r="C20" s="535" t="str">
        <f>IFERROR(__xludf.DUMMYFUNCTION("""COMPUTED_VALUE"""),"https://www.tiktok.com/@sillviaaagr")</f>
        <v>https://www.tiktok.com/@sillviaaagr</v>
      </c>
      <c r="D20" s="311">
        <f>IFERROR(__xludf.DUMMYFUNCTION("""COMPUTED_VALUE"""),8.7773913702E10)</f>
        <v>87773913702</v>
      </c>
      <c r="E20" s="537">
        <f>IFERROR(__xludf.DUMMYFUNCTION("""COMPUTED_VALUE"""),0.0)</f>
        <v>0</v>
      </c>
      <c r="F20" s="311">
        <f>IFERROR(__xludf.DUMMYFUNCTION("""COMPUTED_VALUE"""),1.0)</f>
        <v>1</v>
      </c>
      <c r="G20" s="311" t="str">
        <f>IFERROR(__xludf.DUMMYFUNCTION("""COMPUTED_VALUE"""),"163.03k")</f>
        <v>163.03k</v>
      </c>
      <c r="H20" s="587" t="str">
        <f>IFERROR(__xludf.DUMMYFUNCTION("""COMPUTED_VALUE"""),"1 SET (CUSHION, LIP BALM, BLUSH ON)")</f>
        <v>1 SET (CUSHION, LIP BALM, BLUSH ON)</v>
      </c>
      <c r="I20" s="463" t="str">
        <f>IFERROR(__xludf.DUMMYFUNCTION("""COMPUTED_VALUE"""),"Done Req Sample")</f>
        <v>Done Req Sample</v>
      </c>
      <c r="J20" s="588"/>
      <c r="K20" s="541"/>
      <c r="L20" s="588"/>
      <c r="M20" s="541"/>
      <c r="N20" s="588"/>
      <c r="O20" s="312"/>
      <c r="P20" s="588"/>
      <c r="Q20" s="312"/>
      <c r="R20" s="590"/>
      <c r="S20" s="591"/>
      <c r="T20" s="592"/>
      <c r="U20" s="592"/>
    </row>
    <row r="21">
      <c r="A21" s="307" t="str">
        <f>IFERROR(__xludf.DUMMYFUNCTION("""COMPUTED_VALUE"""),"MICRO")</f>
        <v>MICRO</v>
      </c>
      <c r="B21" s="586" t="str">
        <f>IFERROR(__xludf.DUMMYFUNCTION("""COMPUTED_VALUE"""),"ferenaceta")</f>
        <v>ferenaceta</v>
      </c>
      <c r="C21" s="535" t="str">
        <f>IFERROR(__xludf.DUMMYFUNCTION("""COMPUTED_VALUE"""),"https://www.tiktok.com/@ferenaceta")</f>
        <v>https://www.tiktok.com/@ferenaceta</v>
      </c>
      <c r="D21" s="311">
        <f>IFERROR(__xludf.DUMMYFUNCTION("""COMPUTED_VALUE"""),8.95705700911E11)</f>
        <v>895705700911</v>
      </c>
      <c r="E21" s="537">
        <f>IFERROR(__xludf.DUMMYFUNCTION("""COMPUTED_VALUE"""),200000.0)</f>
        <v>200000</v>
      </c>
      <c r="F21" s="311">
        <f>IFERROR(__xludf.DUMMYFUNCTION("""COMPUTED_VALUE"""),2.0)</f>
        <v>2</v>
      </c>
      <c r="G21" s="311" t="str">
        <f>IFERROR(__xludf.DUMMYFUNCTION("""COMPUTED_VALUE"""),"3,93jt")</f>
        <v>3,93jt</v>
      </c>
      <c r="H21" s="587" t="str">
        <f>IFERROR(__xludf.DUMMYFUNCTION("""COMPUTED_VALUE"""),"1 SET (CUSHION, LIP BALM, BLUSH ON)")</f>
        <v>1 SET (CUSHION, LIP BALM, BLUSH ON)</v>
      </c>
      <c r="I21" s="463" t="str">
        <f>IFERROR(__xludf.DUMMYFUNCTION("""COMPUTED_VALUE"""),"Done Req Sample")</f>
        <v>Done Req Sample</v>
      </c>
      <c r="J21" s="588"/>
      <c r="K21" s="593"/>
      <c r="L21" s="588"/>
      <c r="M21" s="541"/>
      <c r="N21" s="588"/>
      <c r="O21" s="312"/>
      <c r="P21" s="588"/>
      <c r="Q21" s="312"/>
      <c r="R21" s="590"/>
      <c r="S21" s="591"/>
      <c r="T21" s="592"/>
      <c r="U21" s="592"/>
    </row>
    <row r="22">
      <c r="A22" s="307" t="str">
        <f>IFERROR(__xludf.DUMMYFUNCTION("""COMPUTED_VALUE"""),"MICRO")</f>
        <v>MICRO</v>
      </c>
      <c r="B22" s="586" t="str">
        <f>IFERROR(__xludf.DUMMYFUNCTION("""COMPUTED_VALUE"""),"shavirapuspitacitra")</f>
        <v>shavirapuspitacitra</v>
      </c>
      <c r="C22" s="535" t="str">
        <f>IFERROR(__xludf.DUMMYFUNCTION("""COMPUTED_VALUE"""),"https://www.tiktok.com/@shavirapuspitacitra")</f>
        <v>https://www.tiktok.com/@shavirapuspitacitra</v>
      </c>
      <c r="D22" s="311">
        <f>IFERROR(__xludf.DUMMYFUNCTION("""COMPUTED_VALUE"""),8.7768647289E10)</f>
        <v>87768647289</v>
      </c>
      <c r="E22" s="537">
        <f>IFERROR(__xludf.DUMMYFUNCTION("""COMPUTED_VALUE"""),250000.0)</f>
        <v>250000</v>
      </c>
      <c r="F22" s="311">
        <f>IFERROR(__xludf.DUMMYFUNCTION("""COMPUTED_VALUE"""),1.0)</f>
        <v>1</v>
      </c>
      <c r="G22" s="311" t="str">
        <f>IFERROR(__xludf.DUMMYFUNCTION("""COMPUTED_VALUE"""),"16.11m")</f>
        <v>16.11m</v>
      </c>
      <c r="H22" s="587" t="str">
        <f>IFERROR(__xludf.DUMMYFUNCTION("""COMPUTED_VALUE"""),"MS GLOW BLUSH ON AUTHENTIC GLOW SHIMMERING")</f>
        <v>MS GLOW BLUSH ON AUTHENTIC GLOW SHIMMERING</v>
      </c>
      <c r="I22" s="463" t="str">
        <f>IFERROR(__xludf.DUMMYFUNCTION("""COMPUTED_VALUE"""),"Done Req Sample")</f>
        <v>Done Req Sample</v>
      </c>
      <c r="J22" s="588"/>
      <c r="K22" s="541"/>
      <c r="L22" s="588"/>
      <c r="M22" s="541"/>
      <c r="N22" s="588"/>
      <c r="O22" s="312"/>
      <c r="P22" s="588"/>
      <c r="Q22" s="312"/>
      <c r="R22" s="590"/>
      <c r="S22" s="591"/>
      <c r="T22" s="592"/>
      <c r="U22" s="592"/>
    </row>
    <row r="23">
      <c r="A23" s="307" t="str">
        <f>IFERROR(__xludf.DUMMYFUNCTION("""COMPUTED_VALUE"""),"NANO")</f>
        <v>NANO</v>
      </c>
      <c r="B23" s="586" t="str">
        <f>IFERROR(__xludf.DUMMYFUNCTION("""COMPUTED_VALUE"""),"sunny.beaute")</f>
        <v>sunny.beaute</v>
      </c>
      <c r="C23" s="535" t="str">
        <f>IFERROR(__xludf.DUMMYFUNCTION("""COMPUTED_VALUE"""),"https://www.tiktok.com/@sunny.beaute")</f>
        <v>https://www.tiktok.com/@sunny.beaute</v>
      </c>
      <c r="D23" s="311">
        <f>IFERROR(__xludf.DUMMYFUNCTION("""COMPUTED_VALUE"""),8.1359683514E10)</f>
        <v>81359683514</v>
      </c>
      <c r="E23" s="537">
        <f>IFERROR(__xludf.DUMMYFUNCTION("""COMPUTED_VALUE"""),0.0)</f>
        <v>0</v>
      </c>
      <c r="F23" s="311">
        <f>IFERROR(__xludf.DUMMYFUNCTION("""COMPUTED_VALUE"""),6.0)</f>
        <v>6</v>
      </c>
      <c r="G23" s="311" t="str">
        <f>IFERROR(__xludf.DUMMYFUNCTION("""COMPUTED_VALUE"""),"1.25m")</f>
        <v>1.25m</v>
      </c>
      <c r="H23" s="587" t="str">
        <f>IFERROR(__xludf.DUMMYFUNCTION("""COMPUTED_VALUE"""),"1 SET (CUSHION, LIP BALM, BLUSH ON)")</f>
        <v>1 SET (CUSHION, LIP BALM, BLUSH ON)</v>
      </c>
      <c r="I23" s="463" t="str">
        <f>IFERROR(__xludf.DUMMYFUNCTION("""COMPUTED_VALUE"""),"Done Req Sample")</f>
        <v>Done Req Sample</v>
      </c>
      <c r="J23" s="588"/>
      <c r="K23" s="593"/>
      <c r="L23" s="588"/>
      <c r="M23" s="541"/>
      <c r="N23" s="588"/>
      <c r="O23" s="312"/>
      <c r="P23" s="588"/>
      <c r="Q23" s="312"/>
      <c r="R23" s="590"/>
      <c r="S23" s="591"/>
      <c r="T23" s="592"/>
      <c r="U23" s="592"/>
    </row>
    <row r="24">
      <c r="A24" s="307" t="str">
        <f>IFERROR(__xludf.DUMMYFUNCTION("""COMPUTED_VALUE"""),"MICRO")</f>
        <v>MICRO</v>
      </c>
      <c r="B24" s="318" t="str">
        <f>IFERROR(__xludf.DUMMYFUNCTION("""COMPUTED_VALUE"""),"byfloe_")</f>
        <v>byfloe_</v>
      </c>
      <c r="C24" s="535" t="str">
        <f>IFERROR(__xludf.DUMMYFUNCTION("""COMPUTED_VALUE"""),"https://www.tiktok.com/@byfloe_")</f>
        <v>https://www.tiktok.com/@byfloe_</v>
      </c>
      <c r="D24" s="311">
        <f>IFERROR(__xludf.DUMMYFUNCTION("""COMPUTED_VALUE"""),8.7872898956E10)</f>
        <v>87872898956</v>
      </c>
      <c r="E24" s="537">
        <f>IFERROR(__xludf.DUMMYFUNCTION("""COMPUTED_VALUE"""),700000.0)</f>
        <v>700000</v>
      </c>
      <c r="F24" s="311">
        <f>IFERROR(__xludf.DUMMYFUNCTION("""COMPUTED_VALUE"""),1.0)</f>
        <v>1</v>
      </c>
      <c r="G24" s="311" t="str">
        <f>IFERROR(__xludf.DUMMYFUNCTION("""COMPUTED_VALUE"""),"803.99m")</f>
        <v>803.99m</v>
      </c>
      <c r="H24" s="587" t="str">
        <f>IFERROR(__xludf.DUMMYFUNCTION("""COMPUTED_VALUE"""),"1 SET (CUSHION, LIP BALM, BLUSH ON)")</f>
        <v>1 SET (CUSHION, LIP BALM, BLUSH ON)</v>
      </c>
      <c r="I24" s="463" t="str">
        <f>IFERROR(__xludf.DUMMYFUNCTION("""COMPUTED_VALUE"""),"Done Req Sample")</f>
        <v>Done Req Sample</v>
      </c>
      <c r="J24" s="588"/>
      <c r="K24" s="593"/>
      <c r="L24" s="588"/>
      <c r="M24" s="541"/>
      <c r="N24" s="588"/>
      <c r="O24" s="312"/>
      <c r="P24" s="588"/>
      <c r="Q24" s="312"/>
      <c r="R24" s="590"/>
      <c r="S24" s="591"/>
      <c r="T24" s="592"/>
      <c r="U24" s="592"/>
    </row>
    <row r="25">
      <c r="A25" s="307" t="str">
        <f>IFERROR(__xludf.DUMMYFUNCTION("""COMPUTED_VALUE"""),"NANO")</f>
        <v>NANO</v>
      </c>
      <c r="B25" s="318" t="str">
        <f>IFERROR(__xludf.DUMMYFUNCTION("""COMPUTED_VALUE"""),"urchocobite ")</f>
        <v>urchocobite </v>
      </c>
      <c r="C25" s="535" t="str">
        <f>IFERROR(__xludf.DUMMYFUNCTION("""COMPUTED_VALUE"""),"https://www.tiktok.com/@urchocobite ")</f>
        <v>https://www.tiktok.com/@urchocobite </v>
      </c>
      <c r="D25" s="311">
        <f>IFERROR(__xludf.DUMMYFUNCTION("""COMPUTED_VALUE"""),8.5691025371E10)</f>
        <v>85691025371</v>
      </c>
      <c r="E25" s="537">
        <f>IFERROR(__xludf.DUMMYFUNCTION("""COMPUTED_VALUE"""),0.0)</f>
        <v>0</v>
      </c>
      <c r="F25" s="311">
        <f>IFERROR(__xludf.DUMMYFUNCTION("""COMPUTED_VALUE"""),1.0)</f>
        <v>1</v>
      </c>
      <c r="G25" s="311" t="str">
        <f>IFERROR(__xludf.DUMMYFUNCTION("""COMPUTED_VALUE"""),"38.37m")</f>
        <v>38.37m</v>
      </c>
      <c r="H25" s="587" t="str">
        <f>IFERROR(__xludf.DUMMYFUNCTION("""COMPUTED_VALUE"""),"MS GLOW CUSHION AUTHENTIC SKIN CUSHION WITH WHITE CAVIAR ")</f>
        <v>MS GLOW CUSHION AUTHENTIC SKIN CUSHION WITH WHITE CAVIAR </v>
      </c>
      <c r="I25" s="463" t="str">
        <f>IFERROR(__xludf.DUMMYFUNCTION("""COMPUTED_VALUE"""),"Done Req Sample")</f>
        <v>Done Req Sample</v>
      </c>
      <c r="J25" s="588"/>
      <c r="K25" s="541"/>
      <c r="L25" s="588"/>
      <c r="M25" s="541"/>
      <c r="N25" s="588"/>
      <c r="O25" s="312"/>
      <c r="P25" s="588"/>
      <c r="Q25" s="312"/>
      <c r="R25" s="590"/>
      <c r="S25" s="591"/>
      <c r="T25" s="592"/>
      <c r="U25" s="592"/>
    </row>
    <row r="26">
      <c r="A26" s="307" t="str">
        <f>IFERROR(__xludf.DUMMYFUNCTION("""COMPUTED_VALUE"""),"MICRO")</f>
        <v>MICRO</v>
      </c>
      <c r="B26" s="318" t="str">
        <f>IFERROR(__xludf.DUMMYFUNCTION("""COMPUTED_VALUE"""),"mardi_yanti")</f>
        <v>mardi_yanti</v>
      </c>
      <c r="C26" s="535" t="str">
        <f>IFERROR(__xludf.DUMMYFUNCTION("""COMPUTED_VALUE"""),"https://www.tiktok.com/@mardi_yanti")</f>
        <v>https://www.tiktok.com/@mardi_yanti</v>
      </c>
      <c r="D26" s="311">
        <f>IFERROR(__xludf.DUMMYFUNCTION("""COMPUTED_VALUE"""),8.1375892721E10)</f>
        <v>81375892721</v>
      </c>
      <c r="E26" s="537">
        <f>IFERROR(__xludf.DUMMYFUNCTION("""COMPUTED_VALUE"""),0.0)</f>
        <v>0</v>
      </c>
      <c r="F26" s="311">
        <f>IFERROR(__xludf.DUMMYFUNCTION("""COMPUTED_VALUE"""),6.0)</f>
        <v>6</v>
      </c>
      <c r="G26" s="311" t="str">
        <f>IFERROR(__xludf.DUMMYFUNCTION("""COMPUTED_VALUE"""),"2.58m")</f>
        <v>2.58m</v>
      </c>
      <c r="H26" s="587" t="str">
        <f>IFERROR(__xludf.DUMMYFUNCTION("""COMPUTED_VALUE"""),"1 SET (CUSHION, LIP BALM, BLUSH ON)")</f>
        <v>1 SET (CUSHION, LIP BALM, BLUSH ON)</v>
      </c>
      <c r="I26" s="463" t="str">
        <f>IFERROR(__xludf.DUMMYFUNCTION("""COMPUTED_VALUE"""),"Done Req Sample")</f>
        <v>Done Req Sample</v>
      </c>
      <c r="J26" s="588"/>
      <c r="K26" s="541"/>
      <c r="L26" s="588"/>
      <c r="M26" s="541"/>
      <c r="N26" s="588"/>
      <c r="O26" s="312"/>
      <c r="P26" s="588"/>
      <c r="Q26" s="312"/>
      <c r="R26" s="590"/>
      <c r="S26" s="591"/>
      <c r="T26" s="592"/>
      <c r="U26" s="592"/>
    </row>
    <row r="27">
      <c r="A27" s="307" t="str">
        <f>IFERROR(__xludf.DUMMYFUNCTION("""COMPUTED_VALUE"""),"MICRO")</f>
        <v>MICRO</v>
      </c>
      <c r="B27" s="318" t="str">
        <f>IFERROR(__xludf.DUMMYFUNCTION("""COMPUTED_VALUE"""),"thya_pookie")</f>
        <v>thya_pookie</v>
      </c>
      <c r="C27" s="535" t="str">
        <f>IFERROR(__xludf.DUMMYFUNCTION("""COMPUTED_VALUE"""),"https://www.tiktok.com/@thya_pookie")</f>
        <v>https://www.tiktok.com/@thya_pookie</v>
      </c>
      <c r="D27" s="311">
        <f>IFERROR(__xludf.DUMMYFUNCTION("""COMPUTED_VALUE"""),8.5824486796E10)</f>
        <v>85824486796</v>
      </c>
      <c r="E27" s="594">
        <f>IFERROR(__xludf.DUMMYFUNCTION("""COMPUTED_VALUE"""),300000.0)</f>
        <v>300000</v>
      </c>
      <c r="F27" s="311">
        <f>IFERROR(__xludf.DUMMYFUNCTION("""COMPUTED_VALUE"""),2.0)</f>
        <v>2</v>
      </c>
      <c r="G27" s="311" t="str">
        <f>IFERROR(__xludf.DUMMYFUNCTION("""COMPUTED_VALUE"""),"4.36m")</f>
        <v>4.36m</v>
      </c>
      <c r="H27" s="587" t="str">
        <f>IFERROR(__xludf.DUMMYFUNCTION("""COMPUTED_VALUE"""),"1 SET (CUSHION, LIP BALM, BLUSH ON)")</f>
        <v>1 SET (CUSHION, LIP BALM, BLUSH ON)</v>
      </c>
      <c r="I27" s="463" t="str">
        <f>IFERROR(__xludf.DUMMYFUNCTION("""COMPUTED_VALUE"""),"Done Req Sample")</f>
        <v>Done Req Sample</v>
      </c>
      <c r="J27" s="588"/>
      <c r="K27" s="541"/>
      <c r="L27" s="588"/>
      <c r="M27" s="541"/>
      <c r="N27" s="588"/>
      <c r="O27" s="312"/>
      <c r="P27" s="588"/>
      <c r="Q27" s="312"/>
      <c r="R27" s="590"/>
      <c r="S27" s="591"/>
      <c r="T27" s="592"/>
      <c r="U27" s="592"/>
    </row>
    <row r="28">
      <c r="A28" s="307" t="str">
        <f>IFERROR(__xludf.DUMMYFUNCTION("""COMPUTED_VALUE"""),"NANO")</f>
        <v>NANO</v>
      </c>
      <c r="B28" s="318" t="str">
        <f>IFERROR(__xludf.DUMMYFUNCTION("""COMPUTED_VALUE"""),"sinanr18")</f>
        <v>sinanr18</v>
      </c>
      <c r="C28" s="535" t="str">
        <f>IFERROR(__xludf.DUMMYFUNCTION("""COMPUTED_VALUE"""),"https://www.tiktok.com/@sinanr18")</f>
        <v>https://www.tiktok.com/@sinanr18</v>
      </c>
      <c r="D28" s="311">
        <f>IFERROR(__xludf.DUMMYFUNCTION("""COMPUTED_VALUE"""),8.9670305045E10)</f>
        <v>89670305045</v>
      </c>
      <c r="E28" s="537">
        <f>IFERROR(__xludf.DUMMYFUNCTION("""COMPUTED_VALUE"""),0.0)</f>
        <v>0</v>
      </c>
      <c r="F28" s="311">
        <f>IFERROR(__xludf.DUMMYFUNCTION("""COMPUTED_VALUE"""),6.0)</f>
        <v>6</v>
      </c>
      <c r="G28" s="311" t="str">
        <f>IFERROR(__xludf.DUMMYFUNCTION("""COMPUTED_VALUE"""),"276.78k")</f>
        <v>276.78k</v>
      </c>
      <c r="H28" s="587" t="str">
        <f>IFERROR(__xludf.DUMMYFUNCTION("""COMPUTED_VALUE"""),"1 SET (CUSHION, LIP BALM, BLUSH ON)")</f>
        <v>1 SET (CUSHION, LIP BALM, BLUSH ON)</v>
      </c>
      <c r="I28" s="463" t="str">
        <f>IFERROR(__xludf.DUMMYFUNCTION("""COMPUTED_VALUE"""),"Done Req Sample")</f>
        <v>Done Req Sample</v>
      </c>
      <c r="J28" s="588"/>
      <c r="K28" s="541"/>
      <c r="L28" s="588"/>
      <c r="M28" s="541"/>
      <c r="N28" s="588"/>
      <c r="O28" s="312"/>
      <c r="P28" s="588"/>
      <c r="Q28" s="312"/>
      <c r="R28" s="590"/>
      <c r="S28" s="591"/>
      <c r="T28" s="592"/>
      <c r="U28" s="592"/>
    </row>
    <row r="29">
      <c r="A29" s="307" t="str">
        <f>IFERROR(__xludf.DUMMYFUNCTION("""COMPUTED_VALUE"""),"NANO")</f>
        <v>NANO</v>
      </c>
      <c r="B29" s="318" t="str">
        <f>IFERROR(__xludf.DUMMYFUNCTION("""COMPUTED_VALUE"""),"_ikaawdwnty")</f>
        <v>_ikaawdwnty</v>
      </c>
      <c r="C29" s="535" t="str">
        <f>IFERROR(__xludf.DUMMYFUNCTION("""COMPUTED_VALUE"""),"https://www.tiktok.com/@_ikaawdwnty")</f>
        <v>https://www.tiktok.com/@_ikaawdwnty</v>
      </c>
      <c r="D29" s="311">
        <f>IFERROR(__xludf.DUMMYFUNCTION("""COMPUTED_VALUE"""),8.5727795289E10)</f>
        <v>85727795289</v>
      </c>
      <c r="E29" s="537">
        <f>IFERROR(__xludf.DUMMYFUNCTION("""COMPUTED_VALUE"""),0.0)</f>
        <v>0</v>
      </c>
      <c r="F29" s="311">
        <f>IFERROR(__xludf.DUMMYFUNCTION("""COMPUTED_VALUE"""),4.0)</f>
        <v>4</v>
      </c>
      <c r="G29" s="311" t="str">
        <f>IFERROR(__xludf.DUMMYFUNCTION("""COMPUTED_VALUE"""),"280.79k")</f>
        <v>280.79k</v>
      </c>
      <c r="H29" s="587" t="str">
        <f>IFERROR(__xludf.DUMMYFUNCTION("""COMPUTED_VALUE"""),"1 SET (CUSHION, LIP BALM, BLUSH ON)")</f>
        <v>1 SET (CUSHION, LIP BALM, BLUSH ON)</v>
      </c>
      <c r="I29" s="463" t="str">
        <f>IFERROR(__xludf.DUMMYFUNCTION("""COMPUTED_VALUE"""),"Done Req Sample")</f>
        <v>Done Req Sample</v>
      </c>
      <c r="J29" s="588"/>
      <c r="K29" s="541"/>
      <c r="L29" s="588"/>
      <c r="M29" s="541"/>
      <c r="N29" s="588"/>
      <c r="O29" s="312"/>
      <c r="P29" s="588"/>
      <c r="Q29" s="312"/>
      <c r="R29" s="590"/>
      <c r="S29" s="591"/>
      <c r="T29" s="592"/>
      <c r="U29" s="592"/>
    </row>
    <row r="30">
      <c r="A30" s="307" t="str">
        <f>IFERROR(__xludf.DUMMYFUNCTION("""COMPUTED_VALUE"""),"MICRO")</f>
        <v>MICRO</v>
      </c>
      <c r="B30" s="586" t="str">
        <f>IFERROR(__xludf.DUMMYFUNCTION("""COMPUTED_VALUE"""),"fitrianahisnainy")</f>
        <v>fitrianahisnainy</v>
      </c>
      <c r="C30" s="535" t="str">
        <f>IFERROR(__xludf.DUMMYFUNCTION("""COMPUTED_VALUE"""),"https://www.tiktok.com/@fitrianahisnainy")</f>
        <v>https://www.tiktok.com/@fitrianahisnainy</v>
      </c>
      <c r="D30" s="311">
        <f>IFERROR(__xludf.DUMMYFUNCTION("""COMPUTED_VALUE"""),8.5210191147E10)</f>
        <v>85210191147</v>
      </c>
      <c r="E30" s="537">
        <f>IFERROR(__xludf.DUMMYFUNCTION("""COMPUTED_VALUE"""),300000.0)</f>
        <v>300000</v>
      </c>
      <c r="F30" s="311">
        <f>IFERROR(__xludf.DUMMYFUNCTION("""COMPUTED_VALUE"""),2.0)</f>
        <v>2</v>
      </c>
      <c r="G30" s="311" t="str">
        <f>IFERROR(__xludf.DUMMYFUNCTION("""COMPUTED_VALUE"""),"111.48m")</f>
        <v>111.48m</v>
      </c>
      <c r="H30" s="595" t="str">
        <f>IFERROR(__xludf.DUMMYFUNCTION("""COMPUTED_VALUE"""),"1 SET (CUSHION, LIP BALM, BLUSH ON)")</f>
        <v>1 SET (CUSHION, LIP BALM, BLUSH ON)</v>
      </c>
      <c r="I30" s="463" t="str">
        <f>IFERROR(__xludf.DUMMYFUNCTION("""COMPUTED_VALUE"""),"Done Req Sample")</f>
        <v>Done Req Sample</v>
      </c>
      <c r="J30" s="588"/>
      <c r="K30" s="541"/>
      <c r="L30" s="588"/>
      <c r="M30" s="541"/>
      <c r="N30" s="588"/>
      <c r="O30" s="312"/>
      <c r="P30" s="588"/>
      <c r="Q30" s="312"/>
      <c r="R30" s="590"/>
      <c r="S30" s="591"/>
      <c r="T30" s="592"/>
      <c r="U30" s="592"/>
    </row>
    <row r="31">
      <c r="A31" s="307" t="str">
        <f>IFERROR(__xludf.DUMMYFUNCTION("""COMPUTED_VALUE"""),"MICRO")</f>
        <v>MICRO</v>
      </c>
      <c r="B31" s="318" t="str">
        <f>IFERROR(__xludf.DUMMYFUNCTION("""COMPUTED_VALUE"""),"apriliakartiningsih")</f>
        <v>apriliakartiningsih</v>
      </c>
      <c r="C31" s="535" t="str">
        <f>IFERROR(__xludf.DUMMYFUNCTION("""COMPUTED_VALUE"""),"https://www.tiktok.com/@apriliakartiningsih")</f>
        <v>https://www.tiktok.com/@apriliakartiningsih</v>
      </c>
      <c r="D31" s="311">
        <f>IFERROR(__xludf.DUMMYFUNCTION("""COMPUTED_VALUE"""),8.9651779766E10)</f>
        <v>89651779766</v>
      </c>
      <c r="E31" s="594">
        <f>IFERROR(__xludf.DUMMYFUNCTION("""COMPUTED_VALUE"""),0.0)</f>
        <v>0</v>
      </c>
      <c r="F31" s="311">
        <f>IFERROR(__xludf.DUMMYFUNCTION("""COMPUTED_VALUE"""),5.0)</f>
        <v>5</v>
      </c>
      <c r="G31" s="311" t="str">
        <f>IFERROR(__xludf.DUMMYFUNCTION("""COMPUTED_VALUE"""),"69.89m")</f>
        <v>69.89m</v>
      </c>
      <c r="H31" s="595" t="str">
        <f>IFERROR(__xludf.DUMMYFUNCTION("""COMPUTED_VALUE"""),"1 SET (CUSHION, LIP BALM, BLUSH ON)")</f>
        <v>1 SET (CUSHION, LIP BALM, BLUSH ON)</v>
      </c>
      <c r="I31" s="463" t="str">
        <f>IFERROR(__xludf.DUMMYFUNCTION("""COMPUTED_VALUE"""),"Done Req Sample")</f>
        <v>Done Req Sample</v>
      </c>
      <c r="J31" s="588"/>
      <c r="K31" s="541"/>
      <c r="L31" s="588"/>
      <c r="M31" s="541"/>
      <c r="N31" s="588"/>
      <c r="O31" s="312"/>
      <c r="P31" s="588"/>
      <c r="Q31" s="312"/>
      <c r="R31" s="590"/>
      <c r="S31" s="591"/>
      <c r="T31" s="592"/>
      <c r="U31" s="592"/>
    </row>
    <row r="32">
      <c r="A32" s="307" t="str">
        <f>IFERROR(__xludf.DUMMYFUNCTION("""COMPUTED_VALUE"""),"MICRO")</f>
        <v>MICRO</v>
      </c>
      <c r="B32" s="318" t="str">
        <f>IFERROR(__xludf.DUMMYFUNCTION("""COMPUTED_VALUE"""),"thnlykai")</f>
        <v>thnlykai</v>
      </c>
      <c r="C32" s="535" t="str">
        <f>IFERROR(__xludf.DUMMYFUNCTION("""COMPUTED_VALUE"""),"https://www.tiktok.com/@thnlykai")</f>
        <v>https://www.tiktok.com/@thnlykai</v>
      </c>
      <c r="D32" s="311">
        <f>IFERROR(__xludf.DUMMYFUNCTION("""COMPUTED_VALUE"""),8.98613759E9)</f>
        <v>8986137590</v>
      </c>
      <c r="E32" s="537">
        <f>IFERROR(__xludf.DUMMYFUNCTION("""COMPUTED_VALUE"""),150000.0)</f>
        <v>150000</v>
      </c>
      <c r="F32" s="311">
        <f>IFERROR(__xludf.DUMMYFUNCTION("""COMPUTED_VALUE"""),2.0)</f>
        <v>2</v>
      </c>
      <c r="G32" s="311" t="str">
        <f>IFERROR(__xludf.DUMMYFUNCTION("""COMPUTED_VALUE"""),"335.46k")</f>
        <v>335.46k</v>
      </c>
      <c r="H32" s="595" t="str">
        <f>IFERROR(__xludf.DUMMYFUNCTION("""COMPUTED_VALUE"""),"1 SET (CUSHION, LIP BALM, BLUSH ON)")</f>
        <v>1 SET (CUSHION, LIP BALM, BLUSH ON)</v>
      </c>
      <c r="I32" s="463" t="str">
        <f>IFERROR(__xludf.DUMMYFUNCTION("""COMPUTED_VALUE"""),"Done Req Sample")</f>
        <v>Done Req Sample</v>
      </c>
      <c r="J32" s="588"/>
      <c r="K32" s="593"/>
      <c r="L32" s="588"/>
      <c r="M32" s="593"/>
      <c r="N32" s="588"/>
      <c r="O32" s="312"/>
      <c r="P32" s="588"/>
      <c r="Q32" s="312"/>
      <c r="R32" s="590"/>
      <c r="S32" s="591"/>
      <c r="T32" s="592"/>
      <c r="U32" s="592"/>
    </row>
    <row r="33">
      <c r="A33" s="307" t="str">
        <f>IFERROR(__xludf.DUMMYFUNCTION("""COMPUTED_VALUE"""),"MICRO")</f>
        <v>MICRO</v>
      </c>
      <c r="B33" s="318" t="str">
        <f>IFERROR(__xludf.DUMMYFUNCTION("""COMPUTED_VALUE"""),"gabolegalakya")</f>
        <v>gabolegalakya</v>
      </c>
      <c r="C33" s="535" t="str">
        <f>IFERROR(__xludf.DUMMYFUNCTION("""COMPUTED_VALUE"""),"https://www.tiktok.com/@gabolegalakya")</f>
        <v>https://www.tiktok.com/@gabolegalakya</v>
      </c>
      <c r="D33" s="311">
        <f>IFERROR(__xludf.DUMMYFUNCTION("""COMPUTED_VALUE"""),8.1375495494E10)</f>
        <v>81375495494</v>
      </c>
      <c r="E33" s="537">
        <f>IFERROR(__xludf.DUMMYFUNCTION("""COMPUTED_VALUE"""),200000.0)</f>
        <v>200000</v>
      </c>
      <c r="F33" s="311">
        <f>IFERROR(__xludf.DUMMYFUNCTION("""COMPUTED_VALUE"""),2.0)</f>
        <v>2</v>
      </c>
      <c r="G33" s="311" t="str">
        <f>IFERROR(__xludf.DUMMYFUNCTION("""COMPUTED_VALUE"""),"33.30m")</f>
        <v>33.30m</v>
      </c>
      <c r="H33" s="595" t="str">
        <f>IFERROR(__xludf.DUMMYFUNCTION("""COMPUTED_VALUE"""),"1 SET (CUSHION, LIP BALM, BLUSH ON)")</f>
        <v>1 SET (CUSHION, LIP BALM, BLUSH ON)</v>
      </c>
      <c r="I33" s="463" t="str">
        <f>IFERROR(__xludf.DUMMYFUNCTION("""COMPUTED_VALUE"""),"Done Req Sample")</f>
        <v>Done Req Sample</v>
      </c>
      <c r="J33" s="588"/>
      <c r="K33" s="541"/>
      <c r="L33" s="588"/>
      <c r="M33" s="541"/>
      <c r="N33" s="588"/>
      <c r="O33" s="312"/>
      <c r="P33" s="588"/>
      <c r="Q33" s="312"/>
      <c r="R33" s="590"/>
      <c r="S33" s="591"/>
      <c r="T33" s="592"/>
      <c r="U33" s="592"/>
    </row>
    <row r="34">
      <c r="A34" s="307" t="str">
        <f>IFERROR(__xludf.DUMMYFUNCTION("""COMPUTED_VALUE"""),"NANO")</f>
        <v>NANO</v>
      </c>
      <c r="B34" s="318" t="str">
        <f>IFERROR(__xludf.DUMMYFUNCTION("""COMPUTED_VALUE"""),"zrshafaaaa ")</f>
        <v>zrshafaaaa </v>
      </c>
      <c r="C34" s="535" t="str">
        <f>IFERROR(__xludf.DUMMYFUNCTION("""COMPUTED_VALUE"""),"https://www.tiktok.com/@zrshafaaaa ")</f>
        <v>https://www.tiktok.com/@zrshafaaaa </v>
      </c>
      <c r="D34" s="316">
        <f>IFERROR(__xludf.DUMMYFUNCTION("""COMPUTED_VALUE"""),8.513359946E10)</f>
        <v>85133599460</v>
      </c>
      <c r="E34" s="319">
        <f>IFERROR(__xludf.DUMMYFUNCTION("""COMPUTED_VALUE"""),0.0)</f>
        <v>0</v>
      </c>
      <c r="F34" s="316">
        <f>IFERROR(__xludf.DUMMYFUNCTION("""COMPUTED_VALUE"""),6.0)</f>
        <v>6</v>
      </c>
      <c r="G34" s="316" t="str">
        <f>IFERROR(__xludf.DUMMYFUNCTION("""COMPUTED_VALUE"""),"110.04k")</f>
        <v>110.04k</v>
      </c>
      <c r="H34" s="595" t="str">
        <f>IFERROR(__xludf.DUMMYFUNCTION("""COMPUTED_VALUE"""),"CUSHION &amp; BLUSH ON")</f>
        <v>CUSHION &amp; BLUSH ON</v>
      </c>
      <c r="I34" s="463" t="str">
        <f>IFERROR(__xludf.DUMMYFUNCTION("""COMPUTED_VALUE"""),"Done Req Sample")</f>
        <v>Done Req Sample</v>
      </c>
      <c r="J34" s="588"/>
      <c r="K34" s="541"/>
      <c r="L34" s="588"/>
      <c r="M34" s="541"/>
      <c r="N34" s="588"/>
      <c r="O34" s="312"/>
      <c r="P34" s="588"/>
      <c r="Q34" s="312"/>
      <c r="R34" s="592"/>
      <c r="S34" s="592"/>
      <c r="T34" s="592"/>
      <c r="U34" s="592"/>
    </row>
    <row r="35">
      <c r="A35" s="307" t="str">
        <f>IFERROR(__xludf.DUMMYFUNCTION("""COMPUTED_VALUE"""),"MICRO")</f>
        <v>MICRO</v>
      </c>
      <c r="B35" s="318" t="str">
        <f>IFERROR(__xludf.DUMMYFUNCTION("""COMPUTED_VALUE"""),"ekbardiary")</f>
        <v>ekbardiary</v>
      </c>
      <c r="C35" s="535" t="str">
        <f>IFERROR(__xludf.DUMMYFUNCTION("""COMPUTED_VALUE"""),"https://www.tiktok.com/@ekbardiary")</f>
        <v>https://www.tiktok.com/@ekbardiary</v>
      </c>
      <c r="D35" s="316">
        <f>IFERROR(__xludf.DUMMYFUNCTION("""COMPUTED_VALUE"""),8.2118716575E10)</f>
        <v>82118716575</v>
      </c>
      <c r="E35" s="319">
        <f>IFERROR(__xludf.DUMMYFUNCTION("""COMPUTED_VALUE"""),900000.0)</f>
        <v>900000</v>
      </c>
      <c r="F35" s="316">
        <f>IFERROR(__xludf.DUMMYFUNCTION("""COMPUTED_VALUE"""),1.0)</f>
        <v>1</v>
      </c>
      <c r="G35" s="316" t="str">
        <f>IFERROR(__xludf.DUMMYFUNCTION("""COMPUTED_VALUE"""),"51.70m")</f>
        <v>51.70m</v>
      </c>
      <c r="H35" s="595" t="str">
        <f>IFERROR(__xludf.DUMMYFUNCTION("""COMPUTED_VALUE"""),"1 SET (CUSHION, LIP BALM, BLUSH ON)")</f>
        <v>1 SET (CUSHION, LIP BALM, BLUSH ON)</v>
      </c>
      <c r="I35" s="463" t="str">
        <f>IFERROR(__xludf.DUMMYFUNCTION("""COMPUTED_VALUE"""),"Done Req Sample")</f>
        <v>Done Req Sample</v>
      </c>
      <c r="J35" s="588"/>
      <c r="K35" s="541"/>
      <c r="L35" s="588"/>
      <c r="M35" s="541"/>
      <c r="N35" s="588"/>
      <c r="O35" s="312"/>
      <c r="P35" s="588"/>
      <c r="Q35" s="312"/>
      <c r="R35" s="592"/>
      <c r="S35" s="592"/>
      <c r="T35" s="592"/>
      <c r="U35" s="592"/>
    </row>
    <row r="36">
      <c r="A36" s="307" t="str">
        <f>IFERROR(__xludf.DUMMYFUNCTION("""COMPUTED_VALUE"""),"MICRO")</f>
        <v>MICRO</v>
      </c>
      <c r="B36" s="318" t="str">
        <f>IFERROR(__xludf.DUMMYFUNCTION("""COMPUTED_VALUE"""),"nris9")</f>
        <v>nris9</v>
      </c>
      <c r="C36" s="535" t="str">
        <f>IFERROR(__xludf.DUMMYFUNCTION("""COMPUTED_VALUE"""),"https://www.tiktok.com/@nris9")</f>
        <v>https://www.tiktok.com/@nris9</v>
      </c>
      <c r="D36" s="316">
        <f>IFERROR(__xludf.DUMMYFUNCTION("""COMPUTED_VALUE"""),8.7721316159E10)</f>
        <v>87721316159</v>
      </c>
      <c r="E36" s="319">
        <f>IFERROR(__xludf.DUMMYFUNCTION("""COMPUTED_VALUE"""),650000.0)</f>
        <v>650000</v>
      </c>
      <c r="F36" s="316">
        <f>IFERROR(__xludf.DUMMYFUNCTION("""COMPUTED_VALUE"""),2.0)</f>
        <v>2</v>
      </c>
      <c r="G36" s="316" t="str">
        <f>IFERROR(__xludf.DUMMYFUNCTION("""COMPUTED_VALUE"""),"464.37m")</f>
        <v>464.37m</v>
      </c>
      <c r="H36" s="595" t="str">
        <f>IFERROR(__xludf.DUMMYFUNCTION("""COMPUTED_VALUE"""),"1 SET (CUSHION, LIP BALM, BLUSH ON)")</f>
        <v>1 SET (CUSHION, LIP BALM, BLUSH ON)</v>
      </c>
      <c r="I36" s="463" t="str">
        <f>IFERROR(__xludf.DUMMYFUNCTION("""COMPUTED_VALUE"""),"Done Req Sample")</f>
        <v>Done Req Sample</v>
      </c>
      <c r="J36" s="588"/>
      <c r="K36" s="541"/>
      <c r="L36" s="588"/>
      <c r="M36" s="541"/>
      <c r="N36" s="588"/>
      <c r="O36" s="312"/>
      <c r="P36" s="588"/>
      <c r="Q36" s="312"/>
      <c r="R36" s="592"/>
      <c r="S36" s="592"/>
      <c r="T36" s="592"/>
      <c r="U36" s="592"/>
    </row>
    <row r="37">
      <c r="A37" s="307" t="str">
        <f>IFERROR(__xludf.DUMMYFUNCTION("""COMPUTED_VALUE"""),"MICRO")</f>
        <v>MICRO</v>
      </c>
      <c r="B37" s="318" t="str">
        <f>IFERROR(__xludf.DUMMYFUNCTION("""COMPUTED_VALUE"""),"yanti_nainggolan")</f>
        <v>yanti_nainggolan</v>
      </c>
      <c r="C37" s="535" t="str">
        <f>IFERROR(__xludf.DUMMYFUNCTION("""COMPUTED_VALUE"""),"https://www.tiktok.com/@yanti_nainggolan")</f>
        <v>https://www.tiktok.com/@yanti_nainggolan</v>
      </c>
      <c r="D37" s="316">
        <f>IFERROR(__xludf.DUMMYFUNCTION("""COMPUTED_VALUE"""),8.217057017E10)</f>
        <v>82170570170</v>
      </c>
      <c r="E37" s="319">
        <f>IFERROR(__xludf.DUMMYFUNCTION("""COMPUTED_VALUE"""),100000.0)</f>
        <v>100000</v>
      </c>
      <c r="F37" s="316">
        <f>IFERROR(__xludf.DUMMYFUNCTION("""COMPUTED_VALUE"""),2.0)</f>
        <v>2</v>
      </c>
      <c r="G37" s="316" t="str">
        <f>IFERROR(__xludf.DUMMYFUNCTION("""COMPUTED_VALUE"""),"27.80m")</f>
        <v>27.80m</v>
      </c>
      <c r="H37" s="595" t="str">
        <f>IFERROR(__xludf.DUMMYFUNCTION("""COMPUTED_VALUE"""),"1 SET (CUSHION, LIP BALM, BLUSH ON)")</f>
        <v>1 SET (CUSHION, LIP BALM, BLUSH ON)</v>
      </c>
      <c r="I37" s="463" t="str">
        <f>IFERROR(__xludf.DUMMYFUNCTION("""COMPUTED_VALUE"""),"Done Req Sample")</f>
        <v>Done Req Sample</v>
      </c>
      <c r="J37" s="588"/>
      <c r="K37" s="541"/>
      <c r="L37" s="588"/>
      <c r="M37" s="541"/>
      <c r="N37" s="588"/>
      <c r="O37" s="312"/>
      <c r="P37" s="588"/>
      <c r="Q37" s="312"/>
      <c r="R37" s="592"/>
      <c r="S37" s="592"/>
      <c r="T37" s="592"/>
      <c r="U37" s="592"/>
    </row>
    <row r="38">
      <c r="A38" s="307" t="str">
        <f>IFERROR(__xludf.DUMMYFUNCTION("""COMPUTED_VALUE"""),"NANO")</f>
        <v>NANO</v>
      </c>
      <c r="B38" s="318" t="str">
        <f>IFERROR(__xludf.DUMMYFUNCTION("""COMPUTED_VALUE"""),"melani.makeup17")</f>
        <v>melani.makeup17</v>
      </c>
      <c r="C38" s="535" t="str">
        <f>IFERROR(__xludf.DUMMYFUNCTION("""COMPUTED_VALUE"""),"https://www.tiktok.com/@melani.makeup17")</f>
        <v>https://www.tiktok.com/@melani.makeup17</v>
      </c>
      <c r="D38" s="316">
        <f>IFERROR(__xludf.DUMMYFUNCTION("""COMPUTED_VALUE"""),8.5728913779E10)</f>
        <v>85728913779</v>
      </c>
      <c r="E38" s="319">
        <f>IFERROR(__xludf.DUMMYFUNCTION("""COMPUTED_VALUE"""),0.0)</f>
        <v>0</v>
      </c>
      <c r="F38" s="316">
        <f>IFERROR(__xludf.DUMMYFUNCTION("""COMPUTED_VALUE"""),6.0)</f>
        <v>6</v>
      </c>
      <c r="G38" s="316" t="str">
        <f>IFERROR(__xludf.DUMMYFUNCTION("""COMPUTED_VALUE"""),"107.00m")</f>
        <v>107.00m</v>
      </c>
      <c r="H38" s="595" t="str">
        <f>IFERROR(__xludf.DUMMYFUNCTION("""COMPUTED_VALUE"""),"1 SET (CUSHION, LIP BALM, BLUSH ON)")</f>
        <v>1 SET (CUSHION, LIP BALM, BLUSH ON)</v>
      </c>
      <c r="I38" s="463" t="str">
        <f>IFERROR(__xludf.DUMMYFUNCTION("""COMPUTED_VALUE"""),"Done Req Sample")</f>
        <v>Done Req Sample</v>
      </c>
      <c r="J38" s="588"/>
      <c r="K38" s="541"/>
      <c r="L38" s="588"/>
      <c r="M38" s="541"/>
      <c r="N38" s="588"/>
      <c r="O38" s="312"/>
      <c r="P38" s="588"/>
      <c r="Q38" s="312"/>
      <c r="R38" s="592"/>
      <c r="S38" s="592"/>
      <c r="T38" s="592"/>
      <c r="U38" s="592"/>
    </row>
    <row r="39">
      <c r="A39" s="307" t="str">
        <f>IFERROR(__xludf.DUMMYFUNCTION("""COMPUTED_VALUE"""),"MICRO")</f>
        <v>MICRO</v>
      </c>
      <c r="B39" s="318" t="str">
        <f>IFERROR(__xludf.DUMMYFUNCTION("""COMPUTED_VALUE"""),"ndaahq")</f>
        <v>ndaahq</v>
      </c>
      <c r="C39" s="535" t="str">
        <f>IFERROR(__xludf.DUMMYFUNCTION("""COMPUTED_VALUE"""),"https://www.tiktok.com/@ndaahq")</f>
        <v>https://www.tiktok.com/@ndaahq</v>
      </c>
      <c r="D39" s="316">
        <f>IFERROR(__xludf.DUMMYFUNCTION("""COMPUTED_VALUE"""),8.87435431731E11)</f>
        <v>887435431731</v>
      </c>
      <c r="E39" s="319">
        <f>IFERROR(__xludf.DUMMYFUNCTION("""COMPUTED_VALUE"""),900000.0)</f>
        <v>900000</v>
      </c>
      <c r="F39" s="316">
        <f>IFERROR(__xludf.DUMMYFUNCTION("""COMPUTED_VALUE"""),2.0)</f>
        <v>2</v>
      </c>
      <c r="G39" s="316" t="str">
        <f>IFERROR(__xludf.DUMMYFUNCTION("""COMPUTED_VALUE"""),"112.00m")</f>
        <v>112.00m</v>
      </c>
      <c r="H39" s="595" t="str">
        <f>IFERROR(__xludf.DUMMYFUNCTION("""COMPUTED_VALUE"""),"1 SET (CUSHION, LIP BALM, BLUSH ON)")</f>
        <v>1 SET (CUSHION, LIP BALM, BLUSH ON)</v>
      </c>
      <c r="I39" s="463" t="str">
        <f>IFERROR(__xludf.DUMMYFUNCTION("""COMPUTED_VALUE"""),"Done Req Sample")</f>
        <v>Done Req Sample</v>
      </c>
      <c r="J39" s="588"/>
      <c r="K39" s="541"/>
      <c r="L39" s="588"/>
      <c r="M39" s="541"/>
      <c r="N39" s="588"/>
      <c r="O39" s="312"/>
      <c r="P39" s="588"/>
      <c r="Q39" s="312"/>
      <c r="R39" s="592"/>
      <c r="S39" s="592"/>
      <c r="T39" s="592"/>
      <c r="U39" s="592"/>
    </row>
    <row r="40">
      <c r="A40" s="307" t="str">
        <f>IFERROR(__xludf.DUMMYFUNCTION("""COMPUTED_VALUE"""),"MACRO")</f>
        <v>MACRO</v>
      </c>
      <c r="B40" s="318" t="str">
        <f>IFERROR(__xludf.DUMMYFUNCTION("""COMPUTED_VALUE"""),"intnwulnn_")</f>
        <v>intnwulnn_</v>
      </c>
      <c r="C40" s="535" t="str">
        <f>IFERROR(__xludf.DUMMYFUNCTION("""COMPUTED_VALUE"""),"https://www.tiktok.com/@intnwulnn_")</f>
        <v>https://www.tiktok.com/@intnwulnn_</v>
      </c>
      <c r="D40" s="316">
        <f>IFERROR(__xludf.DUMMYFUNCTION("""COMPUTED_VALUE"""),8.992559368E9)</f>
        <v>8992559368</v>
      </c>
      <c r="E40" s="319">
        <f>IFERROR(__xludf.DUMMYFUNCTION("""COMPUTED_VALUE"""),1100000.0)</f>
        <v>1100000</v>
      </c>
      <c r="F40" s="316">
        <f>IFERROR(__xludf.DUMMYFUNCTION("""COMPUTED_VALUE"""),1.0)</f>
        <v>1</v>
      </c>
      <c r="G40" s="316" t="str">
        <f>IFERROR(__xludf.DUMMYFUNCTION("""COMPUTED_VALUE"""),"17jt")</f>
        <v>17jt</v>
      </c>
      <c r="H40" s="595" t="str">
        <f>IFERROR(__xludf.DUMMYFUNCTION("""COMPUTED_VALUE"""),"CUSHION &amp; BLUSH ON")</f>
        <v>CUSHION &amp; BLUSH ON</v>
      </c>
      <c r="I40" s="463" t="str">
        <f>IFERROR(__xludf.DUMMYFUNCTION("""COMPUTED_VALUE"""),"Done Req Sample")</f>
        <v>Done Req Sample</v>
      </c>
      <c r="J40" s="588"/>
      <c r="K40" s="541"/>
      <c r="L40" s="588"/>
      <c r="M40" s="541"/>
      <c r="N40" s="588"/>
      <c r="O40" s="312"/>
      <c r="P40" s="588"/>
      <c r="Q40" s="312"/>
      <c r="R40" s="592"/>
      <c r="S40" s="592"/>
      <c r="T40" s="592"/>
      <c r="U40" s="592"/>
    </row>
    <row r="41">
      <c r="A41" s="307" t="str">
        <f>IFERROR(__xludf.DUMMYFUNCTION("""COMPUTED_VALUE"""),"MICRO")</f>
        <v>MICRO</v>
      </c>
      <c r="B41" s="318" t="str">
        <f>IFERROR(__xludf.DUMMYFUNCTION("""COMPUTED_VALUE"""),"mayanadiaa")</f>
        <v>mayanadiaa</v>
      </c>
      <c r="C41" s="535" t="str">
        <f>IFERROR(__xludf.DUMMYFUNCTION("""COMPUTED_VALUE"""),"https://www.tiktok.com/@mayanadiaa")</f>
        <v>https://www.tiktok.com/@mayanadiaa</v>
      </c>
      <c r="D41" s="316">
        <f>IFERROR(__xludf.DUMMYFUNCTION("""COMPUTED_VALUE"""),8.9514490397E10)</f>
        <v>89514490397</v>
      </c>
      <c r="E41" s="319">
        <f>IFERROR(__xludf.DUMMYFUNCTION("""COMPUTED_VALUE"""),0.0)</f>
        <v>0</v>
      </c>
      <c r="F41" s="316">
        <f>IFERROR(__xludf.DUMMYFUNCTION("""COMPUTED_VALUE"""),6.0)</f>
        <v>6</v>
      </c>
      <c r="G41" s="316" t="str">
        <f>IFERROR(__xludf.DUMMYFUNCTION("""COMPUTED_VALUE"""),"21.70m")</f>
        <v>21.70m</v>
      </c>
      <c r="H41" s="595" t="str">
        <f>IFERROR(__xludf.DUMMYFUNCTION("""COMPUTED_VALUE"""),"1 SET (CUSHION, LIP BALM, BLUSH ON)")</f>
        <v>1 SET (CUSHION, LIP BALM, BLUSH ON)</v>
      </c>
      <c r="I41" s="463" t="str">
        <f>IFERROR(__xludf.DUMMYFUNCTION("""COMPUTED_VALUE"""),"Done Req Sample")</f>
        <v>Done Req Sample</v>
      </c>
      <c r="J41" s="588"/>
      <c r="K41" s="541"/>
      <c r="L41" s="588"/>
      <c r="M41" s="541"/>
      <c r="N41" s="588"/>
      <c r="O41" s="312"/>
      <c r="P41" s="588"/>
      <c r="Q41" s="312"/>
      <c r="R41" s="592"/>
      <c r="S41" s="592"/>
      <c r="T41" s="592"/>
      <c r="U41" s="592"/>
    </row>
    <row r="42">
      <c r="A42" s="307" t="str">
        <f>IFERROR(__xludf.DUMMYFUNCTION("""COMPUTED_VALUE"""),"MICRO")</f>
        <v>MICRO</v>
      </c>
      <c r="B42" s="318" t="str">
        <f>IFERROR(__xludf.DUMMYFUNCTION("""COMPUTED_VALUE"""),"liayulianti1278")</f>
        <v>liayulianti1278</v>
      </c>
      <c r="C42" s="535" t="str">
        <f>IFERROR(__xludf.DUMMYFUNCTION("""COMPUTED_VALUE"""),"https://www.tiktok.com/@liayulianti1278")</f>
        <v>https://www.tiktok.com/@liayulianti1278</v>
      </c>
      <c r="D42" s="316">
        <f>IFERROR(__xludf.DUMMYFUNCTION("""COMPUTED_VALUE"""),8.1220183515E10)</f>
        <v>81220183515</v>
      </c>
      <c r="E42" s="319">
        <f>IFERROR(__xludf.DUMMYFUNCTION("""COMPUTED_VALUE"""),0.0)</f>
        <v>0</v>
      </c>
      <c r="F42" s="316">
        <f>IFERROR(__xludf.DUMMYFUNCTION("""COMPUTED_VALUE"""),6.0)</f>
        <v>6</v>
      </c>
      <c r="G42" s="316" t="str">
        <f>IFERROR(__xludf.DUMMYFUNCTION("""COMPUTED_VALUE"""),"26.67m")</f>
        <v>26.67m</v>
      </c>
      <c r="H42" s="595" t="str">
        <f>IFERROR(__xludf.DUMMYFUNCTION("""COMPUTED_VALUE"""),"1 SET (CUSHION, LIP BALM, BLUSH ON)")</f>
        <v>1 SET (CUSHION, LIP BALM, BLUSH ON)</v>
      </c>
      <c r="I42" s="463" t="str">
        <f>IFERROR(__xludf.DUMMYFUNCTION("""COMPUTED_VALUE"""),"Done Req Sample")</f>
        <v>Done Req Sample</v>
      </c>
      <c r="J42" s="588"/>
      <c r="K42" s="541"/>
      <c r="L42" s="588"/>
      <c r="M42" s="541"/>
      <c r="N42" s="588"/>
      <c r="O42" s="312"/>
      <c r="P42" s="588"/>
      <c r="Q42" s="312"/>
      <c r="R42" s="592"/>
      <c r="S42" s="592"/>
      <c r="T42" s="592"/>
      <c r="U42" s="592"/>
    </row>
    <row r="43">
      <c r="A43" s="307" t="str">
        <f>IFERROR(__xludf.DUMMYFUNCTION("""COMPUTED_VALUE"""),"MICRO")</f>
        <v>MICRO</v>
      </c>
      <c r="B43" s="318" t="str">
        <f>IFERROR(__xludf.DUMMYFUNCTION("""COMPUTED_VALUE"""),"popynoviana_")</f>
        <v>popynoviana_</v>
      </c>
      <c r="C43" s="535" t="str">
        <f>IFERROR(__xludf.DUMMYFUNCTION("""COMPUTED_VALUE"""),"https://www.tiktok.com/@popynoviana_")</f>
        <v>https://www.tiktok.com/@popynoviana_</v>
      </c>
      <c r="D43" s="316">
        <f>IFERROR(__xludf.DUMMYFUNCTION("""COMPUTED_VALUE"""),8.2122355727E10)</f>
        <v>82122355727</v>
      </c>
      <c r="E43" s="319">
        <f>IFERROR(__xludf.DUMMYFUNCTION("""COMPUTED_VALUE"""),0.0)</f>
        <v>0</v>
      </c>
      <c r="F43" s="316">
        <f>IFERROR(__xludf.DUMMYFUNCTION("""COMPUTED_VALUE"""),6.0)</f>
        <v>6</v>
      </c>
      <c r="G43" s="316" t="str">
        <f>IFERROR(__xludf.DUMMYFUNCTION("""COMPUTED_VALUE"""),"20.65m")</f>
        <v>20.65m</v>
      </c>
      <c r="H43" s="596" t="str">
        <f>IFERROR(__xludf.DUMMYFUNCTION("""COMPUTED_VALUE"""),"1 SET (CUSHION, LIP BALM, BLUSH ON)")</f>
        <v>1 SET (CUSHION, LIP BALM, BLUSH ON)</v>
      </c>
      <c r="I43" s="463" t="str">
        <f>IFERROR(__xludf.DUMMYFUNCTION("""COMPUTED_VALUE"""),"Done Req Sample")</f>
        <v>Done Req Sample</v>
      </c>
      <c r="J43" s="588"/>
      <c r="K43" s="541"/>
      <c r="L43" s="588"/>
      <c r="M43" s="541"/>
      <c r="N43" s="588"/>
      <c r="O43" s="312"/>
      <c r="P43" s="588"/>
      <c r="Q43" s="312"/>
      <c r="R43" s="592"/>
      <c r="S43" s="592"/>
      <c r="T43" s="592"/>
      <c r="U43" s="592"/>
    </row>
    <row r="44">
      <c r="A44" s="307" t="str">
        <f>IFERROR(__xludf.DUMMYFUNCTION("""COMPUTED_VALUE"""),"MICRO")</f>
        <v>MICRO</v>
      </c>
      <c r="B44" s="318" t="str">
        <f>IFERROR(__xludf.DUMMYFUNCTION("""COMPUTED_VALUE"""),"melisadyp")</f>
        <v>melisadyp</v>
      </c>
      <c r="C44" s="535" t="str">
        <f>IFERROR(__xludf.DUMMYFUNCTION("""COMPUTED_VALUE"""),"https://www.tiktok.com/@melisadyp")</f>
        <v>https://www.tiktok.com/@melisadyp</v>
      </c>
      <c r="D44" s="316">
        <f>IFERROR(__xludf.DUMMYFUNCTION("""COMPUTED_VALUE"""),8.5174215253E10)</f>
        <v>85174215253</v>
      </c>
      <c r="E44" s="319">
        <f>IFERROR(__xludf.DUMMYFUNCTION("""COMPUTED_VALUE"""),0.0)</f>
        <v>0</v>
      </c>
      <c r="F44" s="316">
        <f>IFERROR(__xludf.DUMMYFUNCTION("""COMPUTED_VALUE"""),6.0)</f>
        <v>6</v>
      </c>
      <c r="G44" s="316" t="str">
        <f>IFERROR(__xludf.DUMMYFUNCTION("""COMPUTED_VALUE"""),"17.67m")</f>
        <v>17.67m</v>
      </c>
      <c r="H44" s="596" t="str">
        <f>IFERROR(__xludf.DUMMYFUNCTION("""COMPUTED_VALUE"""),"1 SET (CUSHION, LIP BALM, BLUSH ON)")</f>
        <v>1 SET (CUSHION, LIP BALM, BLUSH ON)</v>
      </c>
      <c r="I44" s="463" t="str">
        <f>IFERROR(__xludf.DUMMYFUNCTION("""COMPUTED_VALUE"""),"Done Req Sample")</f>
        <v>Done Req Sample</v>
      </c>
      <c r="J44" s="588"/>
      <c r="K44" s="541"/>
      <c r="L44" s="588"/>
      <c r="M44" s="541"/>
      <c r="N44" s="588"/>
      <c r="O44" s="312"/>
      <c r="P44" s="588"/>
      <c r="Q44" s="312"/>
      <c r="R44" s="592"/>
      <c r="S44" s="592"/>
      <c r="T44" s="592"/>
      <c r="U44" s="592"/>
    </row>
    <row r="45">
      <c r="A45" s="307" t="str">
        <f>IFERROR(__xludf.DUMMYFUNCTION("""COMPUTED_VALUE"""),"NANO")</f>
        <v>NANO</v>
      </c>
      <c r="B45" s="318" t="str">
        <f>IFERROR(__xludf.DUMMYFUNCTION("""COMPUTED_VALUE"""),"pipittindah_")</f>
        <v>pipittindah_</v>
      </c>
      <c r="C45" s="535" t="str">
        <f>IFERROR(__xludf.DUMMYFUNCTION("""COMPUTED_VALUE"""),"https://www.tiktok.com/@pipittindah_")</f>
        <v>https://www.tiktok.com/@pipittindah_</v>
      </c>
      <c r="D45" s="316">
        <f>IFERROR(__xludf.DUMMYFUNCTION("""COMPUTED_VALUE"""),8.585255342E10)</f>
        <v>85852553420</v>
      </c>
      <c r="E45" s="319">
        <f>IFERROR(__xludf.DUMMYFUNCTION("""COMPUTED_VALUE"""),0.0)</f>
        <v>0</v>
      </c>
      <c r="F45" s="316"/>
      <c r="G45" s="316" t="str">
        <f>IFERROR(__xludf.DUMMYFUNCTION("""COMPUTED_VALUE"""),"222.10m")</f>
        <v>222.10m</v>
      </c>
      <c r="H45" s="596" t="str">
        <f>IFERROR(__xludf.DUMMYFUNCTION("""COMPUTED_VALUE"""),"1 SET (CUSHION, LIP BALM, BLUSH ON)")</f>
        <v>1 SET (CUSHION, LIP BALM, BLUSH ON)</v>
      </c>
      <c r="I45" s="463"/>
      <c r="J45" s="588"/>
      <c r="K45" s="541"/>
      <c r="L45" s="588"/>
      <c r="M45" s="541"/>
      <c r="N45" s="588"/>
      <c r="O45" s="312"/>
      <c r="P45" s="588"/>
      <c r="Q45" s="312"/>
      <c r="R45" s="592"/>
      <c r="S45" s="592"/>
      <c r="T45" s="592"/>
      <c r="U45" s="592"/>
    </row>
    <row r="46">
      <c r="A46" s="307" t="str">
        <f>IFERROR(__xludf.DUMMYFUNCTION("""COMPUTED_VALUE"""),"NANO")</f>
        <v>NANO</v>
      </c>
      <c r="B46" s="318" t="str">
        <f>IFERROR(__xludf.DUMMYFUNCTION("""COMPUTED_VALUE"""),"rikaa.han")</f>
        <v>rikaa.han</v>
      </c>
      <c r="C46" s="535" t="str">
        <f>IFERROR(__xludf.DUMMYFUNCTION("""COMPUTED_VALUE"""),"https://www.tiktok.com/@rikaa.han")</f>
        <v>https://www.tiktok.com/@rikaa.han</v>
      </c>
      <c r="D46" s="316"/>
      <c r="E46" s="319"/>
      <c r="F46" s="316"/>
      <c r="G46" s="316"/>
      <c r="H46" s="596"/>
      <c r="I46" s="463"/>
      <c r="J46" s="588"/>
      <c r="K46" s="541"/>
      <c r="L46" s="588"/>
      <c r="M46" s="541"/>
      <c r="N46" s="588"/>
      <c r="O46" s="312"/>
      <c r="P46" s="588"/>
      <c r="Q46" s="312"/>
      <c r="R46" s="592"/>
      <c r="S46" s="592"/>
      <c r="T46" s="592"/>
      <c r="U46" s="592"/>
    </row>
    <row r="47">
      <c r="A47" s="307" t="str">
        <f>IFERROR(__xludf.DUMMYFUNCTION("""COMPUTED_VALUE"""),"NANO")</f>
        <v>NANO</v>
      </c>
      <c r="B47" s="318" t="str">
        <f>IFERROR(__xludf.DUMMYFUNCTION("""COMPUTED_VALUE"""),"itshaazz")</f>
        <v>itshaazz</v>
      </c>
      <c r="C47" s="535" t="str">
        <f>IFERROR(__xludf.DUMMYFUNCTION("""COMPUTED_VALUE"""),"https://www.tiktok.com/@itshaazz")</f>
        <v>https://www.tiktok.com/@itshaazz</v>
      </c>
      <c r="D47" s="316"/>
      <c r="E47" s="319"/>
      <c r="F47" s="316"/>
      <c r="G47" s="316"/>
      <c r="H47" s="596"/>
      <c r="I47" s="463"/>
      <c r="J47" s="588"/>
      <c r="K47" s="541"/>
      <c r="L47" s="588"/>
      <c r="M47" s="541"/>
      <c r="N47" s="588"/>
      <c r="O47" s="312"/>
      <c r="P47" s="588"/>
      <c r="Q47" s="312"/>
      <c r="R47" s="592"/>
      <c r="S47" s="592"/>
      <c r="T47" s="592"/>
      <c r="U47" s="592"/>
    </row>
    <row r="48">
      <c r="A48" s="307" t="str">
        <f>IFERROR(__xludf.DUMMYFUNCTION("""COMPUTED_VALUE"""),"MICRO")</f>
        <v>MICRO</v>
      </c>
      <c r="B48" s="318" t="str">
        <f>IFERROR(__xludf.DUMMYFUNCTION("""COMPUTED_VALUE"""),"innaahhiyan")</f>
        <v>innaahhiyan</v>
      </c>
      <c r="C48" s="535" t="str">
        <f>IFERROR(__xludf.DUMMYFUNCTION("""COMPUTED_VALUE"""),"https://www.tiktok.com/@innaahhiyan")</f>
        <v>https://www.tiktok.com/@innaahhiyan</v>
      </c>
      <c r="D48" s="316"/>
      <c r="E48" s="319"/>
      <c r="F48" s="316"/>
      <c r="G48" s="316"/>
      <c r="H48" s="596"/>
      <c r="I48" s="463"/>
      <c r="J48" s="588"/>
      <c r="K48" s="541"/>
      <c r="L48" s="588"/>
      <c r="M48" s="541"/>
      <c r="N48" s="588"/>
      <c r="O48" s="312"/>
      <c r="P48" s="588"/>
      <c r="Q48" s="312"/>
      <c r="R48" s="592"/>
      <c r="S48" s="592"/>
      <c r="T48" s="592"/>
      <c r="U48" s="592"/>
    </row>
    <row r="49">
      <c r="A49" s="307" t="str">
        <f>IFERROR(__xludf.DUMMYFUNCTION("""COMPUTED_VALUE"""),"MICRO")</f>
        <v>MICRO</v>
      </c>
      <c r="B49" s="318" t="str">
        <f>IFERROR(__xludf.DUMMYFUNCTION("""COMPUTED_VALUE"""),"dindaaprd_")</f>
        <v>dindaaprd_</v>
      </c>
      <c r="C49" s="535" t="str">
        <f>IFERROR(__xludf.DUMMYFUNCTION("""COMPUTED_VALUE"""),"https://www.tiktok.com/@dindaaprd_")</f>
        <v>https://www.tiktok.com/@dindaaprd_</v>
      </c>
      <c r="D49" s="316">
        <f>IFERROR(__xludf.DUMMYFUNCTION("""COMPUTED_VALUE"""),8.5171082421E10)</f>
        <v>85171082421</v>
      </c>
      <c r="E49" s="319">
        <f>IFERROR(__xludf.DUMMYFUNCTION("""COMPUTED_VALUE"""),800000.0)</f>
        <v>800000</v>
      </c>
      <c r="F49" s="316">
        <f>IFERROR(__xludf.DUMMYFUNCTION("""COMPUTED_VALUE"""),1.0)</f>
        <v>1</v>
      </c>
      <c r="G49" s="316" t="str">
        <f>IFERROR(__xludf.DUMMYFUNCTION("""COMPUTED_VALUE"""),"225.7m")</f>
        <v>225.7m</v>
      </c>
      <c r="H49" s="596" t="str">
        <f>IFERROR(__xludf.DUMMYFUNCTION("""COMPUTED_VALUE"""),"1 SET (CUSHION, LIP BALM, BLUSH ON)")</f>
        <v>1 SET (CUSHION, LIP BALM, BLUSH ON)</v>
      </c>
      <c r="I49" s="463"/>
      <c r="J49" s="588"/>
      <c r="K49" s="541"/>
      <c r="L49" s="588"/>
      <c r="M49" s="541"/>
      <c r="N49" s="588"/>
      <c r="O49" s="312"/>
      <c r="P49" s="588"/>
      <c r="Q49" s="312"/>
      <c r="R49" s="592"/>
      <c r="S49" s="592"/>
      <c r="T49" s="592"/>
      <c r="U49" s="592"/>
    </row>
    <row r="50">
      <c r="A50" s="307" t="str">
        <f>IFERROR(__xludf.DUMMYFUNCTION("""COMPUTED_VALUE"""),"MICRO")</f>
        <v>MICRO</v>
      </c>
      <c r="B50" s="318" t="str">
        <f>IFERROR(__xludf.DUMMYFUNCTION("""COMPUTED_VALUE"""),"akunkentangku1")</f>
        <v>akunkentangku1</v>
      </c>
      <c r="C50" s="535" t="str">
        <f>IFERROR(__xludf.DUMMYFUNCTION("""COMPUTED_VALUE"""),"https://www.tiktok.com/@akunkentangku1")</f>
        <v>https://www.tiktok.com/@akunkentangku1</v>
      </c>
      <c r="D50" s="316">
        <f>IFERROR(__xludf.DUMMYFUNCTION("""COMPUTED_VALUE"""),8.1292394561E10)</f>
        <v>81292394561</v>
      </c>
      <c r="E50" s="319"/>
      <c r="F50" s="316">
        <f>IFERROR(__xludf.DUMMYFUNCTION("""COMPUTED_VALUE"""),3.0)</f>
        <v>3</v>
      </c>
      <c r="G50" s="316" t="str">
        <f>IFERROR(__xludf.DUMMYFUNCTION("""COMPUTED_VALUE"""),"Rp1JT+ (3.44K)")</f>
        <v>Rp1JT+ (3.44K)</v>
      </c>
      <c r="H50" s="596"/>
      <c r="I50" s="463"/>
      <c r="J50" s="588"/>
      <c r="K50" s="541"/>
      <c r="L50" s="588"/>
      <c r="M50" s="541"/>
      <c r="N50" s="588"/>
      <c r="O50" s="312"/>
      <c r="P50" s="588"/>
      <c r="Q50" s="312"/>
      <c r="R50" s="592"/>
      <c r="S50" s="592"/>
      <c r="T50" s="592"/>
      <c r="U50" s="592"/>
    </row>
    <row r="51">
      <c r="A51" s="307" t="str">
        <f>IFERROR(__xludf.DUMMYFUNCTION("""COMPUTED_VALUE"""),"NANO")</f>
        <v>NANO</v>
      </c>
      <c r="B51" s="318" t="str">
        <f>IFERROR(__xludf.DUMMYFUNCTION("""COMPUTED_VALUE"""),"libranwww")</f>
        <v>libranwww</v>
      </c>
      <c r="C51" s="535" t="str">
        <f>IFERROR(__xludf.DUMMYFUNCTION("""COMPUTED_VALUE"""),"https://www.tiktok.com/@libranwww")</f>
        <v>https://www.tiktok.com/@libranwww</v>
      </c>
      <c r="D51" s="316">
        <f>IFERROR(__xludf.DUMMYFUNCTION("""COMPUTED_VALUE"""),8.5866837858E10)</f>
        <v>85866837858</v>
      </c>
      <c r="E51" s="319">
        <f>IFERROR(__xludf.DUMMYFUNCTION("""COMPUTED_VALUE"""),0.0)</f>
        <v>0</v>
      </c>
      <c r="F51" s="316">
        <f>IFERROR(__xludf.DUMMYFUNCTION("""COMPUTED_VALUE"""),4.0)</f>
        <v>4</v>
      </c>
      <c r="G51" s="316" t="str">
        <f>IFERROR(__xludf.DUMMYFUNCTION("""COMPUTED_VALUE"""),"368.70m")</f>
        <v>368.70m</v>
      </c>
      <c r="H51" s="596"/>
      <c r="I51" s="463"/>
      <c r="J51" s="588"/>
      <c r="K51" s="541"/>
      <c r="L51" s="588"/>
      <c r="M51" s="541"/>
      <c r="N51" s="588"/>
      <c r="O51" s="312"/>
      <c r="P51" s="588"/>
      <c r="Q51" s="312"/>
      <c r="R51" s="592"/>
      <c r="S51" s="592"/>
      <c r="T51" s="592"/>
      <c r="U51" s="592"/>
    </row>
    <row r="52">
      <c r="A52" s="307" t="str">
        <f>IFERROR(__xludf.DUMMYFUNCTION("""COMPUTED_VALUE"""),"MICRO")</f>
        <v>MICRO</v>
      </c>
      <c r="B52" s="318" t="str">
        <f>IFERROR(__xludf.DUMMYFUNCTION("""COMPUTED_VALUE"""),"zihanokta")</f>
        <v>zihanokta</v>
      </c>
      <c r="C52" s="535" t="str">
        <f>IFERROR(__xludf.DUMMYFUNCTION("""COMPUTED_VALUE"""),"https://www.tiktok.com/@zihanokta")</f>
        <v>https://www.tiktok.com/@zihanokta</v>
      </c>
      <c r="D52" s="316">
        <f>IFERROR(__xludf.DUMMYFUNCTION("""COMPUTED_VALUE"""),8.5720022443E10)</f>
        <v>85720022443</v>
      </c>
      <c r="E52" s="319">
        <f>IFERROR(__xludf.DUMMYFUNCTION("""COMPUTED_VALUE"""),1050000.0)</f>
        <v>1050000</v>
      </c>
      <c r="F52" s="316">
        <f>IFERROR(__xludf.DUMMYFUNCTION("""COMPUTED_VALUE"""),1.0)</f>
        <v>1</v>
      </c>
      <c r="G52" s="316" t="str">
        <f>IFERROR(__xludf.DUMMYFUNCTION("""COMPUTED_VALUE"""),"64,5jt")</f>
        <v>64,5jt</v>
      </c>
      <c r="H52" s="596" t="str">
        <f>IFERROR(__xludf.DUMMYFUNCTION("""COMPUTED_VALUE"""),"1 SET (CUSHION, LIP BALM, BLUSH ON)")</f>
        <v>1 SET (CUSHION, LIP BALM, BLUSH ON)</v>
      </c>
      <c r="I52" s="463"/>
      <c r="J52" s="588"/>
      <c r="K52" s="541"/>
      <c r="L52" s="588"/>
      <c r="M52" s="541"/>
      <c r="N52" s="588"/>
      <c r="O52" s="312"/>
      <c r="P52" s="588"/>
      <c r="Q52" s="312"/>
      <c r="R52" s="592"/>
      <c r="S52" s="592"/>
      <c r="T52" s="592"/>
      <c r="U52" s="592"/>
    </row>
    <row r="53">
      <c r="A53" s="307" t="str">
        <f>IFERROR(__xludf.DUMMYFUNCTION("""COMPUTED_VALUE"""),"MICRO")</f>
        <v>MICRO</v>
      </c>
      <c r="B53" s="318" t="str">
        <f>IFERROR(__xludf.DUMMYFUNCTION("""COMPUTED_VALUE"""),"tesazakia")</f>
        <v>tesazakia</v>
      </c>
      <c r="C53" s="535" t="str">
        <f>IFERROR(__xludf.DUMMYFUNCTION("""COMPUTED_VALUE"""),"https://www.tiktok.com/@tesazakia")</f>
        <v>https://www.tiktok.com/@tesazakia</v>
      </c>
      <c r="D53" s="316">
        <f>IFERROR(__xludf.DUMMYFUNCTION("""COMPUTED_VALUE"""),8.523051969E10)</f>
        <v>85230519690</v>
      </c>
      <c r="E53" s="319">
        <f>IFERROR(__xludf.DUMMYFUNCTION("""COMPUTED_VALUE"""),500000.0)</f>
        <v>500000</v>
      </c>
      <c r="F53" s="316">
        <f>IFERROR(__xludf.DUMMYFUNCTION("""COMPUTED_VALUE"""),2.0)</f>
        <v>2</v>
      </c>
      <c r="G53" s="316"/>
      <c r="H53" s="596" t="str">
        <f>IFERROR(__xludf.DUMMYFUNCTION("""COMPUTED_VALUE"""),"1 SET (CUSHION, LIP BALM, BLUSH ON)")</f>
        <v>1 SET (CUSHION, LIP BALM, BLUSH ON)</v>
      </c>
      <c r="I53" s="463"/>
      <c r="J53" s="588"/>
      <c r="K53" s="541"/>
      <c r="L53" s="588"/>
      <c r="M53" s="541"/>
      <c r="N53" s="588"/>
      <c r="O53" s="312"/>
      <c r="P53" s="588"/>
      <c r="Q53" s="312"/>
      <c r="R53" s="592"/>
      <c r="S53" s="592"/>
      <c r="T53" s="592"/>
      <c r="U53" s="592"/>
    </row>
    <row r="54">
      <c r="A54" s="307" t="str">
        <f>IFERROR(__xludf.DUMMYFUNCTION("""COMPUTED_VALUE"""),"NANO")</f>
        <v>NANO</v>
      </c>
      <c r="B54" s="318" t="str">
        <f>IFERROR(__xludf.DUMMYFUNCTION("""COMPUTED_VALUE"""),"spillbareng.april")</f>
        <v>spillbareng.april</v>
      </c>
      <c r="C54" s="535" t="str">
        <f>IFERROR(__xludf.DUMMYFUNCTION("""COMPUTED_VALUE"""),"https://www.tiktok.com/@spillbareng.april")</f>
        <v>https://www.tiktok.com/@spillbareng.april</v>
      </c>
      <c r="D54" s="316"/>
      <c r="E54" s="319"/>
      <c r="F54" s="316">
        <f>IFERROR(__xludf.DUMMYFUNCTION("""COMPUTED_VALUE"""),2.0)</f>
        <v>2</v>
      </c>
      <c r="G54" s="316"/>
      <c r="H54" s="596"/>
      <c r="I54" s="463"/>
      <c r="J54" s="588"/>
      <c r="K54" s="541"/>
      <c r="L54" s="588"/>
      <c r="M54" s="541"/>
      <c r="N54" s="588"/>
      <c r="O54" s="312"/>
      <c r="P54" s="588"/>
      <c r="Q54" s="312"/>
      <c r="R54" s="592"/>
      <c r="S54" s="592"/>
      <c r="T54" s="592"/>
      <c r="U54" s="592"/>
    </row>
    <row r="55">
      <c r="A55" s="307" t="str">
        <f>IFERROR(__xludf.DUMMYFUNCTION("""COMPUTED_VALUE"""),"NANO")</f>
        <v>NANO</v>
      </c>
      <c r="B55" s="318" t="str">
        <f>IFERROR(__xludf.DUMMYFUNCTION("""COMPUTED_VALUE"""),"tamiputriars")</f>
        <v>tamiputriars</v>
      </c>
      <c r="C55" s="535" t="str">
        <f>IFERROR(__xludf.DUMMYFUNCTION("""COMPUTED_VALUE"""),"https://www.tiktok.com/@tamiputriars")</f>
        <v>https://www.tiktok.com/@tamiputriars</v>
      </c>
      <c r="D55" s="316"/>
      <c r="E55" s="319">
        <f>IFERROR(__xludf.DUMMYFUNCTION("""COMPUTED_VALUE"""),0.0)</f>
        <v>0</v>
      </c>
      <c r="F55" s="316">
        <f>IFERROR(__xludf.DUMMYFUNCTION("""COMPUTED_VALUE"""),6.0)</f>
        <v>6</v>
      </c>
      <c r="G55" s="316" t="str">
        <f>IFERROR(__xludf.DUMMYFUNCTION("""COMPUTED_VALUE"""),"1.24m")</f>
        <v>1.24m</v>
      </c>
      <c r="H55" s="596" t="str">
        <f>IFERROR(__xludf.DUMMYFUNCTION("""COMPUTED_VALUE"""),"1 SET (CUSHION, LIP BALM, BLUSH ON)")</f>
        <v>1 SET (CUSHION, LIP BALM, BLUSH ON)</v>
      </c>
      <c r="I55" s="463"/>
      <c r="J55" s="588"/>
      <c r="K55" s="541"/>
      <c r="L55" s="588"/>
      <c r="M55" s="541"/>
      <c r="N55" s="588"/>
      <c r="O55" s="312"/>
      <c r="P55" s="588"/>
      <c r="Q55" s="312"/>
      <c r="R55" s="592"/>
      <c r="S55" s="592"/>
      <c r="T55" s="592"/>
      <c r="U55" s="592"/>
    </row>
    <row r="56">
      <c r="A56" s="307" t="str">
        <f>IFERROR(__xludf.DUMMYFUNCTION("""COMPUTED_VALUE"""),"NANO")</f>
        <v>NANO</v>
      </c>
      <c r="B56" s="318" t="str">
        <f>IFERROR(__xludf.DUMMYFUNCTION("""COMPUTED_VALUE"""),"hi_jaenaa")</f>
        <v>hi_jaenaa</v>
      </c>
      <c r="C56" s="535" t="str">
        <f>IFERROR(__xludf.DUMMYFUNCTION("""COMPUTED_VALUE"""),"https://www.tiktok.com/@hi_jaenaa")</f>
        <v>https://www.tiktok.com/@hi_jaenaa</v>
      </c>
      <c r="D56" s="316"/>
      <c r="E56" s="319">
        <f>IFERROR(__xludf.DUMMYFUNCTION("""COMPUTED_VALUE"""),0.0)</f>
        <v>0</v>
      </c>
      <c r="F56" s="316">
        <f>IFERROR(__xludf.DUMMYFUNCTION("""COMPUTED_VALUE"""),2.0)</f>
        <v>2</v>
      </c>
      <c r="G56" s="316" t="str">
        <f>IFERROR(__xludf.DUMMYFUNCTION("""COMPUTED_VALUE"""),"61.17m")</f>
        <v>61.17m</v>
      </c>
      <c r="H56" s="596" t="str">
        <f>IFERROR(__xludf.DUMMYFUNCTION("""COMPUTED_VALUE"""),"MS GLOW CUSHION AUTHENTIC SKIN CUSHION WITH WHITE CAVIAR ")</f>
        <v>MS GLOW CUSHION AUTHENTIC SKIN CUSHION WITH WHITE CAVIAR </v>
      </c>
      <c r="I56" s="463"/>
      <c r="J56" s="588"/>
      <c r="K56" s="541"/>
      <c r="L56" s="588"/>
      <c r="M56" s="541"/>
      <c r="N56" s="588"/>
      <c r="O56" s="312"/>
      <c r="P56" s="588"/>
      <c r="Q56" s="312"/>
      <c r="R56" s="592"/>
      <c r="S56" s="592"/>
      <c r="T56" s="592"/>
      <c r="U56" s="592"/>
    </row>
    <row r="57">
      <c r="A57" s="307"/>
      <c r="B57" s="318" t="str">
        <f>IFERROR(__xludf.DUMMYFUNCTION("""COMPUTED_VALUE"""),"bilqiesky")</f>
        <v>bilqiesky</v>
      </c>
      <c r="C57" s="535" t="str">
        <f>IFERROR(__xludf.DUMMYFUNCTION("""COMPUTED_VALUE"""),"https://www.tiktok.com/@bilqiesky")</f>
        <v>https://www.tiktok.com/@bilqiesky</v>
      </c>
      <c r="D57" s="316"/>
      <c r="E57" s="319"/>
      <c r="F57" s="316"/>
      <c r="G57" s="316"/>
      <c r="H57" s="596"/>
      <c r="I57" s="463"/>
      <c r="J57" s="588"/>
      <c r="K57" s="541"/>
      <c r="L57" s="588"/>
      <c r="M57" s="541"/>
      <c r="N57" s="588"/>
      <c r="O57" s="312"/>
      <c r="P57" s="588"/>
      <c r="Q57" s="312"/>
      <c r="R57" s="592"/>
      <c r="S57" s="592"/>
      <c r="T57" s="592"/>
      <c r="U57" s="592"/>
    </row>
    <row r="58">
      <c r="A58" s="307"/>
      <c r="B58" s="318" t="str">
        <f>IFERROR(__xludf.DUMMYFUNCTION("""COMPUTED_VALUE""")," jiararaa")</f>
        <v> jiararaa</v>
      </c>
      <c r="C58" s="563" t="str">
        <f>IFERROR(__xludf.DUMMYFUNCTION("""COMPUTED_VALUE"""),"https://www.tiktok.com/@ jiararaa")</f>
        <v>https://www.tiktok.com/@ jiararaa</v>
      </c>
      <c r="D58" s="316"/>
      <c r="E58" s="319"/>
      <c r="F58" s="316"/>
      <c r="G58" s="316"/>
      <c r="H58" s="596"/>
      <c r="I58" s="463"/>
      <c r="J58" s="588"/>
      <c r="K58" s="541"/>
      <c r="L58" s="588"/>
      <c r="M58" s="541"/>
      <c r="N58" s="588"/>
      <c r="O58" s="312"/>
      <c r="P58" s="588"/>
      <c r="Q58" s="312"/>
      <c r="R58" s="592"/>
      <c r="S58" s="592"/>
      <c r="T58" s="592"/>
      <c r="U58" s="592"/>
    </row>
    <row r="59">
      <c r="A59" s="307"/>
      <c r="B59" s="318"/>
      <c r="C59" s="535" t="str">
        <f>IFERROR(__xludf.DUMMYFUNCTION("""COMPUTED_VALUE"""),"https://www.tiktok.com/@")</f>
        <v>https://www.tiktok.com/@</v>
      </c>
      <c r="D59" s="316"/>
      <c r="E59" s="319"/>
      <c r="F59" s="316"/>
      <c r="G59" s="316"/>
      <c r="H59" s="596"/>
      <c r="I59" s="463"/>
      <c r="J59" s="588"/>
      <c r="K59" s="541"/>
      <c r="L59" s="588"/>
      <c r="M59" s="541"/>
      <c r="N59" s="588"/>
      <c r="O59" s="312"/>
      <c r="P59" s="588"/>
      <c r="Q59" s="312"/>
      <c r="R59" s="592"/>
      <c r="S59" s="592"/>
      <c r="T59" s="592"/>
      <c r="U59" s="592"/>
    </row>
    <row r="60">
      <c r="A60" s="307"/>
      <c r="B60" s="318"/>
      <c r="C60" s="535" t="str">
        <f>IFERROR(__xludf.DUMMYFUNCTION("""COMPUTED_VALUE"""),"https://www.tiktok.com/@")</f>
        <v>https://www.tiktok.com/@</v>
      </c>
      <c r="D60" s="316"/>
      <c r="E60" s="319"/>
      <c r="F60" s="316"/>
      <c r="G60" s="316"/>
      <c r="H60" s="596"/>
      <c r="I60" s="463"/>
      <c r="J60" s="588"/>
      <c r="K60" s="541"/>
      <c r="L60" s="588"/>
      <c r="M60" s="541"/>
      <c r="N60" s="588"/>
      <c r="O60" s="312"/>
      <c r="P60" s="588"/>
      <c r="Q60" s="312"/>
      <c r="R60" s="592"/>
      <c r="S60" s="592"/>
      <c r="T60" s="592"/>
      <c r="U60" s="592"/>
    </row>
    <row r="61">
      <c r="A61" s="307"/>
      <c r="B61" s="318"/>
      <c r="C61" s="535" t="str">
        <f>IFERROR(__xludf.DUMMYFUNCTION("""COMPUTED_VALUE"""),"https://www.tiktok.com/@")</f>
        <v>https://www.tiktok.com/@</v>
      </c>
      <c r="D61" s="316"/>
      <c r="E61" s="319"/>
      <c r="F61" s="316"/>
      <c r="G61" s="316"/>
      <c r="H61" s="596"/>
      <c r="I61" s="463"/>
      <c r="J61" s="588"/>
      <c r="K61" s="541"/>
      <c r="L61" s="588"/>
      <c r="M61" s="541"/>
      <c r="N61" s="588"/>
      <c r="O61" s="312"/>
      <c r="P61" s="588"/>
      <c r="Q61" s="312"/>
      <c r="R61" s="592"/>
      <c r="S61" s="592"/>
      <c r="T61" s="592"/>
      <c r="U61" s="592"/>
    </row>
    <row r="62">
      <c r="A62" s="307"/>
      <c r="B62" s="318"/>
      <c r="C62" s="535" t="str">
        <f>IFERROR(__xludf.DUMMYFUNCTION("""COMPUTED_VALUE"""),"https://www.tiktok.com/@")</f>
        <v>https://www.tiktok.com/@</v>
      </c>
      <c r="D62" s="316"/>
      <c r="E62" s="319"/>
      <c r="F62" s="316"/>
      <c r="G62" s="316"/>
      <c r="H62" s="596"/>
      <c r="I62" s="463"/>
      <c r="J62" s="588"/>
      <c r="K62" s="541"/>
      <c r="L62" s="588"/>
      <c r="M62" s="541"/>
      <c r="N62" s="588"/>
      <c r="O62" s="312"/>
      <c r="P62" s="588"/>
      <c r="Q62" s="312"/>
      <c r="R62" s="592"/>
      <c r="S62" s="592"/>
      <c r="T62" s="592"/>
      <c r="U62" s="592"/>
    </row>
    <row r="63">
      <c r="A63" s="307"/>
      <c r="B63" s="318"/>
      <c r="C63" s="535" t="str">
        <f>IFERROR(__xludf.DUMMYFUNCTION("""COMPUTED_VALUE"""),"https://www.tiktok.com/@")</f>
        <v>https://www.tiktok.com/@</v>
      </c>
      <c r="D63" s="316"/>
      <c r="E63" s="319"/>
      <c r="F63" s="316"/>
      <c r="G63" s="316"/>
      <c r="H63" s="596"/>
      <c r="I63" s="463"/>
      <c r="J63" s="588"/>
      <c r="K63" s="541"/>
      <c r="L63" s="588"/>
      <c r="M63" s="541"/>
      <c r="N63" s="588"/>
      <c r="O63" s="312"/>
      <c r="P63" s="588"/>
      <c r="Q63" s="312"/>
      <c r="R63" s="592"/>
      <c r="S63" s="592"/>
      <c r="T63" s="592"/>
      <c r="U63" s="592"/>
    </row>
    <row r="64">
      <c r="A64" s="307"/>
      <c r="B64" s="318"/>
      <c r="C64" s="535" t="str">
        <f>IFERROR(__xludf.DUMMYFUNCTION("""COMPUTED_VALUE"""),"https://www.tiktok.com/@")</f>
        <v>https://www.tiktok.com/@</v>
      </c>
      <c r="D64" s="316"/>
      <c r="E64" s="319"/>
      <c r="F64" s="316"/>
      <c r="G64" s="316"/>
      <c r="H64" s="596"/>
      <c r="I64" s="463"/>
      <c r="J64" s="588"/>
      <c r="K64" s="541"/>
      <c r="L64" s="588"/>
      <c r="M64" s="541"/>
      <c r="N64" s="588"/>
      <c r="O64" s="312"/>
      <c r="P64" s="588"/>
      <c r="Q64" s="312"/>
      <c r="R64" s="592"/>
      <c r="S64" s="592"/>
      <c r="T64" s="592"/>
      <c r="U64" s="592"/>
    </row>
    <row r="65">
      <c r="A65" s="307"/>
      <c r="B65" s="318"/>
      <c r="C65" s="535" t="str">
        <f>IFERROR(__xludf.DUMMYFUNCTION("""COMPUTED_VALUE"""),"https://www.tiktok.com/@")</f>
        <v>https://www.tiktok.com/@</v>
      </c>
      <c r="D65" s="316"/>
      <c r="E65" s="319"/>
      <c r="F65" s="316"/>
      <c r="G65" s="316"/>
      <c r="H65" s="596"/>
      <c r="I65" s="463"/>
      <c r="J65" s="588"/>
      <c r="K65" s="541"/>
      <c r="L65" s="588"/>
      <c r="M65" s="541"/>
      <c r="N65" s="588"/>
      <c r="O65" s="312"/>
      <c r="P65" s="588"/>
      <c r="Q65" s="312"/>
      <c r="R65" s="592"/>
      <c r="S65" s="592"/>
      <c r="T65" s="592"/>
      <c r="U65" s="592"/>
    </row>
    <row r="66">
      <c r="A66" s="307"/>
      <c r="B66" s="318"/>
      <c r="C66" s="535" t="str">
        <f>IFERROR(__xludf.DUMMYFUNCTION("""COMPUTED_VALUE"""),"https://www.tiktok.com/@")</f>
        <v>https://www.tiktok.com/@</v>
      </c>
      <c r="D66" s="316"/>
      <c r="E66" s="319"/>
      <c r="F66" s="316"/>
      <c r="G66" s="316"/>
      <c r="H66" s="596"/>
      <c r="I66" s="463"/>
      <c r="J66" s="588"/>
      <c r="K66" s="541"/>
      <c r="L66" s="588"/>
      <c r="M66" s="541"/>
      <c r="N66" s="588"/>
      <c r="O66" s="312"/>
      <c r="P66" s="588"/>
      <c r="Q66" s="312"/>
      <c r="R66" s="592"/>
      <c r="S66" s="592"/>
      <c r="T66" s="592"/>
      <c r="U66" s="592"/>
    </row>
    <row r="67">
      <c r="A67" s="307"/>
      <c r="B67" s="318"/>
      <c r="C67" s="535" t="str">
        <f>IFERROR(__xludf.DUMMYFUNCTION("""COMPUTED_VALUE"""),"https://www.tiktok.com/@")</f>
        <v>https://www.tiktok.com/@</v>
      </c>
      <c r="D67" s="316"/>
      <c r="E67" s="319"/>
      <c r="F67" s="316"/>
      <c r="G67" s="316"/>
      <c r="H67" s="596"/>
      <c r="I67" s="463"/>
      <c r="J67" s="588"/>
      <c r="K67" s="541"/>
      <c r="L67" s="588"/>
      <c r="M67" s="541"/>
      <c r="N67" s="588"/>
      <c r="O67" s="312"/>
      <c r="P67" s="588"/>
      <c r="Q67" s="312"/>
      <c r="R67" s="592"/>
      <c r="S67" s="592"/>
      <c r="T67" s="592"/>
      <c r="U67" s="592"/>
    </row>
    <row r="68">
      <c r="A68" s="307"/>
      <c r="B68" s="318"/>
      <c r="C68" s="535" t="str">
        <f>IFERROR(__xludf.DUMMYFUNCTION("""COMPUTED_VALUE"""),"https://www.tiktok.com/@")</f>
        <v>https://www.tiktok.com/@</v>
      </c>
      <c r="D68" s="316"/>
      <c r="E68" s="319"/>
      <c r="F68" s="316"/>
      <c r="G68" s="316"/>
      <c r="H68" s="596"/>
      <c r="I68" s="463"/>
      <c r="J68" s="588"/>
      <c r="K68" s="541"/>
      <c r="L68" s="588"/>
      <c r="M68" s="541"/>
      <c r="N68" s="588"/>
      <c r="O68" s="312"/>
      <c r="P68" s="588"/>
      <c r="Q68" s="312"/>
      <c r="R68" s="592"/>
      <c r="S68" s="592"/>
      <c r="T68" s="592"/>
      <c r="U68" s="592"/>
    </row>
    <row r="69">
      <c r="A69" s="307"/>
      <c r="B69" s="318"/>
      <c r="C69" s="535" t="str">
        <f>IFERROR(__xludf.DUMMYFUNCTION("""COMPUTED_VALUE"""),"https://www.tiktok.com/@")</f>
        <v>https://www.tiktok.com/@</v>
      </c>
      <c r="D69" s="316"/>
      <c r="E69" s="319"/>
      <c r="F69" s="316"/>
      <c r="G69" s="316"/>
      <c r="H69" s="596"/>
      <c r="I69" s="463"/>
      <c r="J69" s="588"/>
      <c r="K69" s="541"/>
      <c r="L69" s="588"/>
      <c r="M69" s="541"/>
      <c r="N69" s="588"/>
      <c r="O69" s="312"/>
      <c r="P69" s="588"/>
      <c r="Q69" s="312"/>
      <c r="R69" s="592"/>
      <c r="S69" s="592"/>
      <c r="T69" s="592"/>
      <c r="U69" s="592"/>
    </row>
    <row r="70">
      <c r="A70" s="307"/>
      <c r="B70" s="318"/>
      <c r="C70" s="535" t="str">
        <f>IFERROR(__xludf.DUMMYFUNCTION("""COMPUTED_VALUE"""),"https://www.tiktok.com/@")</f>
        <v>https://www.tiktok.com/@</v>
      </c>
      <c r="D70" s="316"/>
      <c r="E70" s="319"/>
      <c r="F70" s="316"/>
      <c r="G70" s="316"/>
      <c r="H70" s="596"/>
      <c r="I70" s="463"/>
      <c r="J70" s="588"/>
      <c r="K70" s="541"/>
      <c r="L70" s="588"/>
      <c r="M70" s="541"/>
      <c r="N70" s="588"/>
      <c r="O70" s="312"/>
      <c r="P70" s="588"/>
      <c r="Q70" s="312"/>
      <c r="R70" s="592"/>
      <c r="S70" s="592"/>
      <c r="T70" s="592"/>
      <c r="U70" s="592"/>
    </row>
    <row r="71">
      <c r="A71" s="307"/>
      <c r="B71" s="318"/>
      <c r="C71" s="535" t="str">
        <f>IFERROR(__xludf.DUMMYFUNCTION("""COMPUTED_VALUE"""),"https://www.tiktok.com/@")</f>
        <v>https://www.tiktok.com/@</v>
      </c>
      <c r="D71" s="316"/>
      <c r="E71" s="319"/>
      <c r="F71" s="316"/>
      <c r="G71" s="316"/>
      <c r="H71" s="596"/>
      <c r="I71" s="463"/>
      <c r="J71" s="588"/>
      <c r="K71" s="541"/>
      <c r="L71" s="588"/>
      <c r="M71" s="541"/>
      <c r="N71" s="588"/>
      <c r="O71" s="312"/>
      <c r="P71" s="588"/>
      <c r="Q71" s="312"/>
      <c r="R71" s="592"/>
      <c r="S71" s="592"/>
      <c r="T71" s="592"/>
      <c r="U71" s="592"/>
    </row>
    <row r="72">
      <c r="A72" s="307"/>
      <c r="B72" s="318"/>
      <c r="C72" s="535" t="str">
        <f>IFERROR(__xludf.DUMMYFUNCTION("""COMPUTED_VALUE"""),"https://www.tiktok.com/@")</f>
        <v>https://www.tiktok.com/@</v>
      </c>
      <c r="D72" s="316"/>
      <c r="E72" s="319"/>
      <c r="F72" s="316"/>
      <c r="G72" s="316"/>
      <c r="H72" s="596"/>
      <c r="I72" s="463"/>
      <c r="J72" s="588"/>
      <c r="K72" s="541"/>
      <c r="L72" s="588"/>
      <c r="M72" s="541"/>
      <c r="N72" s="588"/>
      <c r="O72" s="312"/>
      <c r="P72" s="588"/>
      <c r="Q72" s="312"/>
      <c r="R72" s="592"/>
      <c r="S72" s="592"/>
      <c r="T72" s="592"/>
      <c r="U72" s="592"/>
    </row>
    <row r="73">
      <c r="A73" s="307"/>
      <c r="B73" s="318"/>
      <c r="C73" s="535" t="str">
        <f>IFERROR(__xludf.DUMMYFUNCTION("""COMPUTED_VALUE"""),"https://www.tiktok.com/@")</f>
        <v>https://www.tiktok.com/@</v>
      </c>
      <c r="D73" s="316"/>
      <c r="E73" s="319"/>
      <c r="F73" s="316"/>
      <c r="G73" s="316"/>
      <c r="H73" s="596"/>
      <c r="I73" s="463"/>
      <c r="J73" s="588"/>
      <c r="K73" s="541"/>
      <c r="L73" s="588"/>
      <c r="M73" s="541"/>
      <c r="N73" s="588"/>
      <c r="O73" s="312"/>
      <c r="P73" s="588"/>
      <c r="Q73" s="312"/>
      <c r="R73" s="592"/>
      <c r="S73" s="592"/>
      <c r="T73" s="592"/>
      <c r="U73" s="592"/>
    </row>
    <row r="74">
      <c r="A74" s="307"/>
      <c r="B74" s="318"/>
      <c r="C74" s="535" t="str">
        <f>IFERROR(__xludf.DUMMYFUNCTION("""COMPUTED_VALUE"""),"https://www.tiktok.com/@")</f>
        <v>https://www.tiktok.com/@</v>
      </c>
      <c r="D74" s="316"/>
      <c r="E74" s="319"/>
      <c r="F74" s="316"/>
      <c r="G74" s="316"/>
      <c r="H74" s="596"/>
      <c r="I74" s="463"/>
      <c r="J74" s="588"/>
      <c r="K74" s="541"/>
      <c r="L74" s="588"/>
      <c r="M74" s="541"/>
      <c r="N74" s="588"/>
      <c r="O74" s="312"/>
      <c r="P74" s="588"/>
      <c r="Q74" s="312"/>
      <c r="R74" s="592"/>
      <c r="S74" s="592"/>
      <c r="T74" s="592"/>
      <c r="U74" s="592"/>
    </row>
    <row r="75">
      <c r="A75" s="307"/>
      <c r="B75" s="318"/>
      <c r="C75" s="535" t="str">
        <f>IFERROR(__xludf.DUMMYFUNCTION("""COMPUTED_VALUE"""),"https://www.tiktok.com/@")</f>
        <v>https://www.tiktok.com/@</v>
      </c>
      <c r="D75" s="316"/>
      <c r="E75" s="319"/>
      <c r="F75" s="316"/>
      <c r="G75" s="316"/>
      <c r="H75" s="596"/>
      <c r="I75" s="463"/>
      <c r="J75" s="588"/>
      <c r="K75" s="541"/>
      <c r="L75" s="588"/>
      <c r="M75" s="541"/>
      <c r="N75" s="588"/>
      <c r="O75" s="312"/>
      <c r="P75" s="588"/>
      <c r="Q75" s="312"/>
      <c r="R75" s="592"/>
      <c r="S75" s="592"/>
      <c r="T75" s="592"/>
      <c r="U75" s="592"/>
    </row>
    <row r="76">
      <c r="A76" s="307"/>
      <c r="B76" s="318"/>
      <c r="C76" s="535" t="str">
        <f>IFERROR(__xludf.DUMMYFUNCTION("""COMPUTED_VALUE"""),"https://www.tiktok.com/@")</f>
        <v>https://www.tiktok.com/@</v>
      </c>
      <c r="D76" s="316"/>
      <c r="E76" s="319"/>
      <c r="F76" s="316"/>
      <c r="G76" s="316"/>
      <c r="H76" s="596"/>
      <c r="I76" s="463"/>
      <c r="J76" s="588"/>
      <c r="K76" s="541"/>
      <c r="L76" s="588"/>
      <c r="M76" s="541"/>
      <c r="N76" s="588"/>
      <c r="O76" s="312"/>
      <c r="P76" s="588"/>
      <c r="Q76" s="312"/>
      <c r="R76" s="592"/>
      <c r="S76" s="592"/>
      <c r="T76" s="592"/>
      <c r="U76" s="592"/>
    </row>
    <row r="77">
      <c r="A77" s="307"/>
      <c r="B77" s="318"/>
      <c r="C77" s="563"/>
      <c r="D77" s="316"/>
      <c r="E77" s="319"/>
      <c r="F77" s="316"/>
      <c r="G77" s="316"/>
      <c r="H77" s="596"/>
      <c r="I77" s="463"/>
      <c r="J77" s="588"/>
      <c r="K77" s="541"/>
      <c r="L77" s="588"/>
      <c r="M77" s="541"/>
      <c r="N77" s="588"/>
      <c r="O77" s="312"/>
      <c r="P77" s="588"/>
      <c r="Q77" s="312"/>
      <c r="R77" s="592"/>
      <c r="S77" s="592"/>
      <c r="T77" s="592"/>
      <c r="U77" s="592"/>
    </row>
    <row r="78">
      <c r="A78" s="307"/>
      <c r="B78" s="318"/>
      <c r="C78" s="563"/>
      <c r="D78" s="316"/>
      <c r="E78" s="319"/>
      <c r="F78" s="316"/>
      <c r="G78" s="316"/>
      <c r="H78" s="596"/>
      <c r="I78" s="463"/>
      <c r="J78" s="588"/>
      <c r="K78" s="541"/>
      <c r="L78" s="588"/>
      <c r="M78" s="541"/>
      <c r="N78" s="588"/>
      <c r="O78" s="312"/>
      <c r="P78" s="588"/>
      <c r="Q78" s="312"/>
      <c r="R78" s="592"/>
      <c r="S78" s="592"/>
      <c r="T78" s="592"/>
      <c r="U78" s="592"/>
    </row>
    <row r="79">
      <c r="A79" s="307"/>
      <c r="B79" s="318"/>
      <c r="C79" s="563"/>
      <c r="D79" s="316"/>
      <c r="E79" s="319"/>
      <c r="F79" s="316"/>
      <c r="G79" s="316"/>
      <c r="H79" s="596"/>
      <c r="I79" s="463"/>
      <c r="J79" s="588"/>
      <c r="K79" s="541"/>
      <c r="L79" s="588"/>
      <c r="M79" s="541"/>
      <c r="N79" s="588"/>
      <c r="O79" s="312"/>
      <c r="P79" s="588"/>
      <c r="Q79" s="312"/>
      <c r="R79" s="592"/>
      <c r="S79" s="592"/>
      <c r="T79" s="592"/>
      <c r="U79" s="592"/>
    </row>
    <row r="80">
      <c r="A80" s="307"/>
      <c r="B80" s="318"/>
      <c r="C80" s="563"/>
      <c r="D80" s="316"/>
      <c r="E80" s="319"/>
      <c r="F80" s="316"/>
      <c r="G80" s="316"/>
      <c r="H80" s="596"/>
      <c r="I80" s="463"/>
      <c r="J80" s="588"/>
      <c r="K80" s="541"/>
      <c r="L80" s="588"/>
      <c r="M80" s="541"/>
      <c r="N80" s="588"/>
      <c r="O80" s="312"/>
      <c r="P80" s="588"/>
      <c r="Q80" s="312"/>
      <c r="R80" s="592"/>
      <c r="S80" s="592"/>
      <c r="T80" s="592"/>
      <c r="U80" s="592"/>
    </row>
    <row r="81">
      <c r="A81" s="307"/>
      <c r="B81" s="318"/>
      <c r="C81" s="563"/>
      <c r="D81" s="316"/>
      <c r="E81" s="319"/>
      <c r="F81" s="316"/>
      <c r="G81" s="316"/>
      <c r="H81" s="596"/>
      <c r="I81" s="463"/>
      <c r="J81" s="588"/>
      <c r="K81" s="541"/>
      <c r="L81" s="588"/>
      <c r="M81" s="541"/>
      <c r="N81" s="588"/>
      <c r="O81" s="312"/>
      <c r="P81" s="588"/>
      <c r="Q81" s="312"/>
      <c r="R81" s="592"/>
      <c r="S81" s="592"/>
      <c r="T81" s="592"/>
      <c r="U81" s="592"/>
    </row>
    <row r="82">
      <c r="A82" s="307"/>
      <c r="B82" s="318"/>
      <c r="C82" s="563"/>
      <c r="D82" s="316"/>
      <c r="E82" s="319"/>
      <c r="F82" s="316"/>
      <c r="G82" s="316"/>
      <c r="H82" s="596"/>
      <c r="I82" s="463"/>
      <c r="J82" s="588"/>
      <c r="K82" s="541"/>
      <c r="L82" s="588"/>
      <c r="M82" s="541"/>
      <c r="N82" s="588"/>
      <c r="O82" s="312"/>
      <c r="P82" s="588"/>
      <c r="Q82" s="312"/>
      <c r="R82" s="592"/>
      <c r="S82" s="592"/>
      <c r="T82" s="592"/>
      <c r="U82" s="592"/>
    </row>
    <row r="83">
      <c r="A83" s="307"/>
      <c r="B83" s="318"/>
      <c r="C83" s="563"/>
      <c r="D83" s="316"/>
      <c r="E83" s="319"/>
      <c r="F83" s="316"/>
      <c r="G83" s="316"/>
      <c r="H83" s="596"/>
      <c r="I83" s="463"/>
      <c r="J83" s="588"/>
      <c r="K83" s="541"/>
      <c r="L83" s="588"/>
      <c r="M83" s="541"/>
      <c r="N83" s="588"/>
      <c r="O83" s="312"/>
      <c r="P83" s="588"/>
      <c r="Q83" s="312"/>
      <c r="R83" s="592"/>
      <c r="S83" s="592"/>
      <c r="T83" s="592"/>
      <c r="U83" s="592"/>
    </row>
    <row r="84">
      <c r="A84" s="307"/>
      <c r="B84" s="318"/>
      <c r="C84" s="563"/>
      <c r="D84" s="316"/>
      <c r="E84" s="319"/>
      <c r="F84" s="316"/>
      <c r="G84" s="316"/>
      <c r="H84" s="596"/>
      <c r="I84" s="463"/>
      <c r="J84" s="588"/>
      <c r="K84" s="541"/>
      <c r="L84" s="588"/>
      <c r="M84" s="541"/>
      <c r="N84" s="588"/>
      <c r="O84" s="312"/>
      <c r="P84" s="588"/>
      <c r="Q84" s="312"/>
      <c r="R84" s="592"/>
      <c r="S84" s="592"/>
      <c r="T84" s="592"/>
      <c r="U84" s="592"/>
    </row>
    <row r="85">
      <c r="A85" s="307"/>
      <c r="B85" s="318"/>
      <c r="C85" s="563"/>
      <c r="D85" s="316"/>
      <c r="E85" s="319"/>
      <c r="F85" s="316"/>
      <c r="G85" s="316"/>
      <c r="H85" s="596"/>
      <c r="I85" s="463"/>
      <c r="J85" s="588"/>
      <c r="K85" s="541"/>
      <c r="L85" s="588"/>
      <c r="M85" s="541"/>
      <c r="N85" s="588"/>
      <c r="O85" s="312"/>
      <c r="P85" s="588"/>
      <c r="Q85" s="312"/>
      <c r="R85" s="592"/>
      <c r="S85" s="592"/>
      <c r="T85" s="592"/>
      <c r="U85" s="592"/>
    </row>
    <row r="86">
      <c r="A86" s="307"/>
      <c r="B86" s="318"/>
      <c r="C86" s="563"/>
      <c r="D86" s="316"/>
      <c r="E86" s="319"/>
      <c r="F86" s="316"/>
      <c r="G86" s="316"/>
      <c r="H86" s="596"/>
      <c r="I86" s="463"/>
      <c r="J86" s="588"/>
      <c r="K86" s="541"/>
      <c r="L86" s="588"/>
      <c r="M86" s="541"/>
      <c r="N86" s="588"/>
      <c r="O86" s="312"/>
      <c r="P86" s="588"/>
      <c r="Q86" s="312"/>
      <c r="R86" s="592"/>
      <c r="S86" s="592"/>
      <c r="T86" s="592"/>
      <c r="U86" s="592"/>
    </row>
    <row r="87">
      <c r="A87" s="307"/>
      <c r="B87" s="318"/>
      <c r="C87" s="563"/>
      <c r="D87" s="316"/>
      <c r="E87" s="319"/>
      <c r="F87" s="316"/>
      <c r="G87" s="316"/>
      <c r="H87" s="596"/>
      <c r="I87" s="463"/>
      <c r="J87" s="588"/>
      <c r="K87" s="541"/>
      <c r="L87" s="588"/>
      <c r="M87" s="541"/>
      <c r="N87" s="588"/>
      <c r="O87" s="312"/>
      <c r="P87" s="588"/>
      <c r="Q87" s="312"/>
      <c r="R87" s="592"/>
      <c r="S87" s="592"/>
      <c r="T87" s="592"/>
      <c r="U87" s="592"/>
    </row>
    <row r="88">
      <c r="A88" s="307"/>
      <c r="B88" s="318"/>
      <c r="C88" s="563"/>
      <c r="D88" s="316"/>
      <c r="E88" s="319"/>
      <c r="F88" s="316"/>
      <c r="G88" s="316"/>
      <c r="H88" s="596"/>
      <c r="I88" s="463"/>
      <c r="J88" s="588"/>
      <c r="K88" s="541"/>
      <c r="L88" s="588"/>
      <c r="M88" s="541"/>
      <c r="N88" s="588"/>
      <c r="O88" s="312"/>
      <c r="P88" s="588"/>
      <c r="Q88" s="312"/>
      <c r="R88" s="592"/>
      <c r="S88" s="592"/>
      <c r="T88" s="592"/>
      <c r="U88" s="592"/>
    </row>
    <row r="89">
      <c r="A89" s="307"/>
      <c r="B89" s="318"/>
      <c r="C89" s="563"/>
      <c r="D89" s="316"/>
      <c r="E89" s="319"/>
      <c r="F89" s="316"/>
      <c r="G89" s="316"/>
      <c r="H89" s="596"/>
      <c r="I89" s="463"/>
      <c r="J89" s="588"/>
      <c r="K89" s="541"/>
      <c r="L89" s="588"/>
      <c r="M89" s="541"/>
      <c r="N89" s="588"/>
      <c r="O89" s="312"/>
      <c r="P89" s="588"/>
      <c r="Q89" s="312"/>
      <c r="R89" s="592"/>
      <c r="S89" s="592"/>
      <c r="T89" s="592"/>
      <c r="U89" s="592"/>
    </row>
    <row r="90">
      <c r="A90" s="307"/>
      <c r="B90" s="318"/>
      <c r="C90" s="563"/>
      <c r="D90" s="316"/>
      <c r="E90" s="319"/>
      <c r="F90" s="316"/>
      <c r="G90" s="316"/>
      <c r="H90" s="596"/>
      <c r="I90" s="463"/>
      <c r="J90" s="588"/>
      <c r="K90" s="541"/>
      <c r="L90" s="588"/>
      <c r="M90" s="541"/>
      <c r="N90" s="588"/>
      <c r="O90" s="312"/>
      <c r="P90" s="588"/>
      <c r="Q90" s="312"/>
      <c r="R90" s="592"/>
      <c r="S90" s="592"/>
      <c r="T90" s="592"/>
      <c r="U90" s="592"/>
    </row>
    <row r="91">
      <c r="A91" s="307"/>
      <c r="B91" s="318"/>
      <c r="C91" s="563"/>
      <c r="D91" s="316"/>
      <c r="E91" s="319"/>
      <c r="F91" s="316"/>
      <c r="G91" s="316"/>
      <c r="H91" s="596"/>
      <c r="I91" s="463"/>
      <c r="J91" s="588"/>
      <c r="K91" s="541"/>
      <c r="L91" s="588"/>
      <c r="M91" s="541"/>
      <c r="N91" s="588"/>
      <c r="O91" s="312"/>
      <c r="P91" s="588"/>
      <c r="Q91" s="312"/>
      <c r="R91" s="592"/>
      <c r="S91" s="592"/>
      <c r="T91" s="592"/>
      <c r="U91" s="592"/>
    </row>
    <row r="92">
      <c r="A92" s="307"/>
      <c r="B92" s="318"/>
      <c r="C92" s="563"/>
      <c r="D92" s="316"/>
      <c r="E92" s="319"/>
      <c r="F92" s="316"/>
      <c r="G92" s="316"/>
      <c r="H92" s="596"/>
      <c r="I92" s="463"/>
      <c r="J92" s="588"/>
      <c r="K92" s="541"/>
      <c r="L92" s="588"/>
      <c r="M92" s="541"/>
      <c r="N92" s="588"/>
      <c r="O92" s="312"/>
      <c r="P92" s="588"/>
      <c r="Q92" s="312"/>
      <c r="R92" s="592"/>
      <c r="S92" s="592"/>
      <c r="T92" s="592"/>
      <c r="U92" s="592"/>
    </row>
    <row r="93">
      <c r="A93" s="307"/>
      <c r="B93" s="318"/>
      <c r="C93" s="563"/>
      <c r="D93" s="316"/>
      <c r="E93" s="319"/>
      <c r="F93" s="316"/>
      <c r="G93" s="316"/>
      <c r="H93" s="596"/>
      <c r="I93" s="463"/>
      <c r="J93" s="588"/>
      <c r="K93" s="541"/>
      <c r="L93" s="588"/>
      <c r="M93" s="541"/>
      <c r="N93" s="588"/>
      <c r="O93" s="312"/>
      <c r="P93" s="588"/>
      <c r="Q93" s="312"/>
      <c r="R93" s="592"/>
      <c r="S93" s="592"/>
      <c r="T93" s="592"/>
      <c r="U93" s="592"/>
    </row>
    <row r="94">
      <c r="A94" s="307"/>
      <c r="B94" s="318"/>
      <c r="C94" s="563"/>
      <c r="D94" s="316"/>
      <c r="E94" s="319"/>
      <c r="F94" s="316"/>
      <c r="G94" s="316"/>
      <c r="H94" s="596"/>
      <c r="I94" s="463"/>
      <c r="J94" s="588"/>
      <c r="K94" s="541"/>
      <c r="L94" s="588"/>
      <c r="M94" s="541"/>
      <c r="N94" s="588"/>
      <c r="O94" s="312"/>
      <c r="P94" s="588"/>
      <c r="Q94" s="312"/>
      <c r="R94" s="592"/>
      <c r="S94" s="592"/>
      <c r="T94" s="592"/>
      <c r="U94" s="592"/>
    </row>
    <row r="95">
      <c r="A95" s="307"/>
      <c r="B95" s="318"/>
      <c r="C95" s="563"/>
      <c r="D95" s="316"/>
      <c r="E95" s="319"/>
      <c r="F95" s="316"/>
      <c r="G95" s="316"/>
      <c r="H95" s="596"/>
      <c r="I95" s="463"/>
      <c r="J95" s="588"/>
      <c r="K95" s="541"/>
      <c r="L95" s="588"/>
      <c r="M95" s="541"/>
      <c r="N95" s="588"/>
      <c r="O95" s="312"/>
      <c r="P95" s="588"/>
      <c r="Q95" s="312"/>
      <c r="R95" s="592"/>
      <c r="S95" s="592"/>
      <c r="T95" s="592"/>
      <c r="U95" s="592"/>
    </row>
    <row r="96">
      <c r="A96" s="307"/>
      <c r="B96" s="318"/>
      <c r="C96" s="563"/>
      <c r="D96" s="316"/>
      <c r="E96" s="319"/>
      <c r="F96" s="316"/>
      <c r="G96" s="316"/>
      <c r="H96" s="596"/>
      <c r="I96" s="463"/>
      <c r="J96" s="588"/>
      <c r="K96" s="541"/>
      <c r="L96" s="588"/>
      <c r="M96" s="541"/>
      <c r="N96" s="588"/>
      <c r="O96" s="312"/>
      <c r="P96" s="588"/>
      <c r="Q96" s="312"/>
      <c r="R96" s="592"/>
      <c r="S96" s="592"/>
      <c r="T96" s="592"/>
      <c r="U96" s="592"/>
    </row>
    <row r="97">
      <c r="A97" s="307"/>
      <c r="B97" s="318"/>
      <c r="C97" s="563"/>
      <c r="D97" s="316"/>
      <c r="E97" s="319"/>
      <c r="F97" s="316"/>
      <c r="G97" s="316"/>
      <c r="H97" s="596"/>
      <c r="I97" s="463"/>
      <c r="J97" s="588"/>
      <c r="K97" s="541"/>
      <c r="L97" s="588"/>
      <c r="M97" s="541"/>
      <c r="N97" s="588"/>
      <c r="O97" s="312"/>
      <c r="P97" s="588"/>
      <c r="Q97" s="312"/>
      <c r="R97" s="592"/>
      <c r="S97" s="592"/>
      <c r="T97" s="592"/>
      <c r="U97" s="592"/>
    </row>
    <row r="98">
      <c r="A98" s="307"/>
      <c r="B98" s="318"/>
      <c r="C98" s="563"/>
      <c r="D98" s="316"/>
      <c r="E98" s="319"/>
      <c r="F98" s="316"/>
      <c r="G98" s="316"/>
      <c r="H98" s="596"/>
      <c r="I98" s="463"/>
      <c r="J98" s="588"/>
      <c r="K98" s="541"/>
      <c r="L98" s="588"/>
      <c r="M98" s="541"/>
      <c r="N98" s="588"/>
      <c r="O98" s="312"/>
      <c r="P98" s="588"/>
      <c r="Q98" s="312"/>
      <c r="R98" s="592"/>
      <c r="S98" s="592"/>
      <c r="T98" s="592"/>
      <c r="U98" s="592"/>
    </row>
    <row r="99">
      <c r="A99" s="307"/>
      <c r="B99" s="318"/>
      <c r="C99" s="563"/>
      <c r="D99" s="316"/>
      <c r="E99" s="319"/>
      <c r="F99" s="316"/>
      <c r="G99" s="316"/>
      <c r="H99" s="596"/>
      <c r="I99" s="463"/>
      <c r="J99" s="588"/>
      <c r="K99" s="541"/>
      <c r="L99" s="588"/>
      <c r="M99" s="541"/>
      <c r="N99" s="588"/>
      <c r="O99" s="312"/>
      <c r="P99" s="588"/>
      <c r="Q99" s="312"/>
      <c r="R99" s="592"/>
      <c r="S99" s="592"/>
      <c r="T99" s="592"/>
      <c r="U99" s="592"/>
    </row>
    <row r="100">
      <c r="A100" s="307"/>
      <c r="B100" s="318"/>
      <c r="C100" s="563"/>
      <c r="D100" s="316"/>
      <c r="E100" s="319"/>
      <c r="F100" s="316"/>
      <c r="G100" s="316"/>
      <c r="H100" s="596"/>
      <c r="I100" s="463"/>
      <c r="J100" s="588"/>
      <c r="K100" s="541"/>
      <c r="L100" s="588"/>
      <c r="M100" s="541"/>
      <c r="N100" s="588"/>
      <c r="O100" s="312"/>
      <c r="P100" s="588"/>
      <c r="Q100" s="312"/>
      <c r="R100" s="592"/>
      <c r="S100" s="592"/>
      <c r="T100" s="592"/>
      <c r="U100" s="592"/>
    </row>
    <row r="101">
      <c r="A101" s="307"/>
      <c r="B101" s="318"/>
      <c r="C101" s="563"/>
      <c r="D101" s="316"/>
      <c r="E101" s="319"/>
      <c r="F101" s="316"/>
      <c r="G101" s="316"/>
      <c r="H101" s="596"/>
      <c r="I101" s="463"/>
      <c r="J101" s="588"/>
      <c r="K101" s="541"/>
      <c r="L101" s="588"/>
      <c r="M101" s="541"/>
      <c r="N101" s="588"/>
      <c r="O101" s="312"/>
      <c r="P101" s="588"/>
      <c r="Q101" s="312"/>
      <c r="R101" s="592"/>
      <c r="S101" s="592"/>
      <c r="T101" s="592"/>
      <c r="U101" s="592"/>
    </row>
    <row r="102">
      <c r="A102" s="307"/>
      <c r="B102" s="318"/>
      <c r="C102" s="563"/>
      <c r="D102" s="316"/>
      <c r="E102" s="319"/>
      <c r="F102" s="316"/>
      <c r="G102" s="316"/>
      <c r="H102" s="596"/>
      <c r="I102" s="463"/>
      <c r="J102" s="588"/>
      <c r="K102" s="541"/>
      <c r="L102" s="588"/>
      <c r="M102" s="541"/>
      <c r="N102" s="588"/>
      <c r="O102" s="312"/>
      <c r="P102" s="588"/>
      <c r="Q102" s="312"/>
      <c r="R102" s="592"/>
      <c r="S102" s="592"/>
      <c r="T102" s="592"/>
      <c r="U102" s="592"/>
    </row>
    <row r="103">
      <c r="A103" s="307"/>
      <c r="B103" s="318"/>
      <c r="C103" s="563"/>
      <c r="D103" s="316"/>
      <c r="E103" s="319"/>
      <c r="F103" s="316"/>
      <c r="G103" s="316"/>
      <c r="H103" s="596"/>
      <c r="I103" s="463"/>
      <c r="J103" s="588"/>
      <c r="K103" s="541"/>
      <c r="L103" s="588"/>
      <c r="M103" s="541"/>
      <c r="N103" s="588"/>
      <c r="O103" s="312"/>
      <c r="P103" s="588"/>
      <c r="Q103" s="312"/>
      <c r="R103" s="592"/>
      <c r="S103" s="592"/>
      <c r="T103" s="592"/>
      <c r="U103" s="592"/>
    </row>
    <row r="104">
      <c r="A104" s="307"/>
      <c r="B104" s="318"/>
      <c r="C104" s="563"/>
      <c r="D104" s="316"/>
      <c r="E104" s="319"/>
      <c r="F104" s="316"/>
      <c r="G104" s="316"/>
      <c r="H104" s="596"/>
      <c r="I104" s="463"/>
      <c r="J104" s="588"/>
      <c r="K104" s="541"/>
      <c r="L104" s="588"/>
      <c r="M104" s="541"/>
      <c r="N104" s="588"/>
      <c r="O104" s="312"/>
      <c r="P104" s="588"/>
      <c r="Q104" s="312"/>
      <c r="R104" s="592"/>
      <c r="S104" s="592"/>
      <c r="T104" s="592"/>
      <c r="U104" s="592"/>
    </row>
    <row r="105">
      <c r="A105" s="307"/>
      <c r="B105" s="318"/>
      <c r="C105" s="563"/>
      <c r="D105" s="316"/>
      <c r="E105" s="319"/>
      <c r="F105" s="316"/>
      <c r="G105" s="316"/>
      <c r="H105" s="596"/>
      <c r="I105" s="463"/>
      <c r="J105" s="588"/>
      <c r="K105" s="541"/>
      <c r="L105" s="588"/>
      <c r="M105" s="541"/>
      <c r="N105" s="588"/>
      <c r="O105" s="312"/>
      <c r="P105" s="588"/>
      <c r="Q105" s="312"/>
      <c r="R105" s="592"/>
      <c r="S105" s="592"/>
      <c r="T105" s="592"/>
      <c r="U105" s="592"/>
    </row>
    <row r="106">
      <c r="A106" s="307"/>
      <c r="B106" s="318"/>
      <c r="C106" s="563"/>
      <c r="D106" s="316"/>
      <c r="E106" s="319"/>
      <c r="F106" s="316"/>
      <c r="G106" s="316"/>
      <c r="H106" s="596"/>
      <c r="I106" s="463"/>
      <c r="J106" s="588"/>
      <c r="K106" s="541"/>
      <c r="L106" s="588"/>
      <c r="M106" s="541"/>
      <c r="N106" s="588"/>
      <c r="O106" s="312"/>
      <c r="P106" s="588"/>
      <c r="Q106" s="312"/>
      <c r="R106" s="592"/>
      <c r="S106" s="592"/>
      <c r="T106" s="592"/>
      <c r="U106" s="592"/>
    </row>
    <row r="107">
      <c r="A107" s="307"/>
      <c r="B107" s="318"/>
      <c r="C107" s="563"/>
      <c r="D107" s="316"/>
      <c r="E107" s="319"/>
      <c r="F107" s="316"/>
      <c r="G107" s="316"/>
      <c r="H107" s="596"/>
      <c r="I107" s="463"/>
      <c r="J107" s="588"/>
      <c r="K107" s="541"/>
      <c r="L107" s="588"/>
      <c r="M107" s="541"/>
      <c r="N107" s="588"/>
      <c r="O107" s="312"/>
      <c r="P107" s="588"/>
      <c r="Q107" s="312"/>
      <c r="R107" s="592"/>
      <c r="S107" s="592"/>
      <c r="T107" s="592"/>
      <c r="U107" s="592"/>
    </row>
    <row r="108">
      <c r="A108" s="307"/>
      <c r="B108" s="318"/>
      <c r="C108" s="563"/>
      <c r="D108" s="316"/>
      <c r="E108" s="319"/>
      <c r="F108" s="316"/>
      <c r="G108" s="316"/>
      <c r="H108" s="596"/>
      <c r="I108" s="463"/>
      <c r="J108" s="588"/>
      <c r="K108" s="541"/>
      <c r="L108" s="588"/>
      <c r="M108" s="541"/>
      <c r="N108" s="588"/>
      <c r="O108" s="312"/>
      <c r="P108" s="588"/>
      <c r="Q108" s="312"/>
      <c r="R108" s="592"/>
      <c r="S108" s="592"/>
      <c r="T108" s="592"/>
      <c r="U108" s="592"/>
    </row>
    <row r="109">
      <c r="A109" s="307"/>
      <c r="B109" s="318"/>
      <c r="C109" s="563"/>
      <c r="D109" s="316"/>
      <c r="E109" s="319"/>
      <c r="F109" s="316"/>
      <c r="G109" s="316"/>
      <c r="H109" s="596"/>
      <c r="I109" s="463"/>
      <c r="J109" s="588"/>
      <c r="K109" s="541"/>
      <c r="L109" s="588"/>
      <c r="M109" s="541"/>
      <c r="N109" s="588"/>
      <c r="O109" s="312"/>
      <c r="P109" s="588"/>
      <c r="Q109" s="312"/>
      <c r="R109" s="592"/>
      <c r="S109" s="592"/>
      <c r="T109" s="592"/>
      <c r="U109" s="592"/>
    </row>
    <row r="110">
      <c r="A110" s="307"/>
      <c r="B110" s="318"/>
      <c r="C110" s="563"/>
      <c r="D110" s="316"/>
      <c r="E110" s="319"/>
      <c r="F110" s="316"/>
      <c r="G110" s="316"/>
      <c r="H110" s="596"/>
      <c r="I110" s="463"/>
      <c r="J110" s="588"/>
      <c r="K110" s="541"/>
      <c r="L110" s="588"/>
      <c r="M110" s="541"/>
      <c r="N110" s="588"/>
      <c r="O110" s="312"/>
      <c r="P110" s="588"/>
      <c r="Q110" s="312"/>
      <c r="R110" s="592"/>
      <c r="S110" s="592"/>
      <c r="T110" s="592"/>
      <c r="U110" s="592"/>
    </row>
    <row r="111">
      <c r="A111" s="307"/>
      <c r="B111" s="318"/>
      <c r="C111" s="563"/>
      <c r="D111" s="316"/>
      <c r="E111" s="319"/>
      <c r="F111" s="316"/>
      <c r="G111" s="316"/>
      <c r="H111" s="596"/>
      <c r="I111" s="463"/>
      <c r="J111" s="588"/>
      <c r="K111" s="541"/>
      <c r="L111" s="588"/>
      <c r="M111" s="541"/>
      <c r="N111" s="588"/>
      <c r="O111" s="312"/>
      <c r="P111" s="588"/>
      <c r="Q111" s="312"/>
      <c r="R111" s="592"/>
      <c r="S111" s="592"/>
      <c r="T111" s="592"/>
      <c r="U111" s="592"/>
    </row>
    <row r="112">
      <c r="A112" s="307"/>
      <c r="B112" s="318"/>
      <c r="C112" s="563"/>
      <c r="D112" s="316"/>
      <c r="E112" s="319"/>
      <c r="F112" s="316"/>
      <c r="G112" s="316"/>
      <c r="H112" s="596"/>
      <c r="I112" s="463"/>
      <c r="J112" s="588"/>
      <c r="K112" s="541"/>
      <c r="L112" s="588"/>
      <c r="M112" s="541"/>
      <c r="N112" s="588"/>
      <c r="O112" s="312"/>
      <c r="P112" s="588"/>
      <c r="Q112" s="312"/>
      <c r="R112" s="592"/>
      <c r="S112" s="592"/>
      <c r="T112" s="592"/>
      <c r="U112" s="592"/>
    </row>
    <row r="113">
      <c r="A113" s="307"/>
      <c r="B113" s="318"/>
      <c r="C113" s="563"/>
      <c r="D113" s="316"/>
      <c r="E113" s="319"/>
      <c r="F113" s="316"/>
      <c r="G113" s="316"/>
      <c r="H113" s="596"/>
      <c r="I113" s="463"/>
      <c r="J113" s="588"/>
      <c r="K113" s="541"/>
      <c r="L113" s="588"/>
      <c r="M113" s="541"/>
      <c r="N113" s="588"/>
      <c r="O113" s="312"/>
      <c r="P113" s="588"/>
      <c r="Q113" s="312"/>
      <c r="R113" s="592"/>
      <c r="S113" s="592"/>
      <c r="T113" s="592"/>
      <c r="U113" s="592"/>
    </row>
    <row r="114">
      <c r="A114" s="307"/>
      <c r="B114" s="318"/>
      <c r="C114" s="563"/>
      <c r="D114" s="316"/>
      <c r="E114" s="319"/>
      <c r="F114" s="316"/>
      <c r="G114" s="316"/>
      <c r="H114" s="596"/>
      <c r="I114" s="463"/>
      <c r="J114" s="588"/>
      <c r="K114" s="541"/>
      <c r="L114" s="588"/>
      <c r="M114" s="541"/>
      <c r="N114" s="588"/>
      <c r="O114" s="312"/>
      <c r="P114" s="588"/>
      <c r="Q114" s="312"/>
      <c r="R114" s="592"/>
      <c r="S114" s="592"/>
      <c r="T114" s="592"/>
      <c r="U114" s="592"/>
    </row>
    <row r="115">
      <c r="A115" s="307"/>
      <c r="B115" s="318"/>
      <c r="C115" s="563"/>
      <c r="D115" s="316"/>
      <c r="E115" s="319"/>
      <c r="F115" s="316"/>
      <c r="G115" s="316"/>
      <c r="H115" s="596"/>
      <c r="I115" s="463"/>
      <c r="J115" s="588"/>
      <c r="K115" s="541"/>
      <c r="L115" s="588"/>
      <c r="M115" s="541"/>
      <c r="N115" s="588"/>
      <c r="O115" s="312"/>
      <c r="P115" s="588"/>
      <c r="Q115" s="312"/>
      <c r="R115" s="592"/>
      <c r="S115" s="592"/>
      <c r="T115" s="592"/>
      <c r="U115" s="592"/>
    </row>
    <row r="116">
      <c r="A116" s="307"/>
      <c r="B116" s="318"/>
      <c r="C116" s="563"/>
      <c r="D116" s="316"/>
      <c r="E116" s="319"/>
      <c r="F116" s="316"/>
      <c r="G116" s="316"/>
      <c r="H116" s="596"/>
      <c r="I116" s="463"/>
      <c r="J116" s="588"/>
      <c r="K116" s="541"/>
      <c r="L116" s="588"/>
      <c r="M116" s="541"/>
      <c r="N116" s="588"/>
      <c r="O116" s="312"/>
      <c r="P116" s="588"/>
      <c r="Q116" s="312"/>
      <c r="R116" s="592"/>
      <c r="S116" s="592"/>
      <c r="T116" s="592"/>
      <c r="U116" s="592"/>
    </row>
    <row r="117">
      <c r="A117" s="307"/>
      <c r="B117" s="318"/>
      <c r="C117" s="563"/>
      <c r="D117" s="316"/>
      <c r="E117" s="319"/>
      <c r="F117" s="316"/>
      <c r="G117" s="316"/>
      <c r="H117" s="596"/>
      <c r="I117" s="463"/>
      <c r="J117" s="588"/>
      <c r="K117" s="541"/>
      <c r="L117" s="588"/>
      <c r="M117" s="541"/>
      <c r="N117" s="588"/>
      <c r="O117" s="312"/>
      <c r="P117" s="588"/>
      <c r="Q117" s="312"/>
      <c r="R117" s="592"/>
      <c r="S117" s="592"/>
      <c r="T117" s="592"/>
      <c r="U117" s="592"/>
    </row>
    <row r="118">
      <c r="A118" s="307"/>
      <c r="B118" s="318"/>
      <c r="C118" s="563"/>
      <c r="D118" s="316"/>
      <c r="E118" s="319"/>
      <c r="F118" s="316"/>
      <c r="G118" s="316"/>
      <c r="H118" s="596"/>
      <c r="I118" s="463"/>
      <c r="J118" s="588"/>
      <c r="K118" s="541"/>
      <c r="L118" s="588"/>
      <c r="M118" s="541"/>
      <c r="N118" s="588"/>
      <c r="O118" s="312"/>
      <c r="P118" s="588"/>
      <c r="Q118" s="312"/>
      <c r="R118" s="592"/>
      <c r="S118" s="592"/>
      <c r="T118" s="592"/>
      <c r="U118" s="592"/>
    </row>
    <row r="119">
      <c r="A119" s="307"/>
      <c r="B119" s="318"/>
      <c r="C119" s="563"/>
      <c r="D119" s="316"/>
      <c r="E119" s="319"/>
      <c r="F119" s="316"/>
      <c r="G119" s="316"/>
      <c r="H119" s="596"/>
      <c r="I119" s="463"/>
      <c r="J119" s="588"/>
      <c r="K119" s="541"/>
      <c r="L119" s="588"/>
      <c r="M119" s="541"/>
      <c r="N119" s="588"/>
      <c r="O119" s="312"/>
      <c r="P119" s="588"/>
      <c r="Q119" s="312"/>
      <c r="R119" s="592"/>
      <c r="S119" s="592"/>
      <c r="T119" s="592"/>
      <c r="U119" s="592"/>
    </row>
    <row r="120">
      <c r="A120" s="307"/>
      <c r="B120" s="318"/>
      <c r="C120" s="563"/>
      <c r="D120" s="316"/>
      <c r="E120" s="319"/>
      <c r="F120" s="316"/>
      <c r="G120" s="316"/>
      <c r="H120" s="596"/>
      <c r="I120" s="463"/>
      <c r="J120" s="588"/>
      <c r="K120" s="541"/>
      <c r="L120" s="588"/>
      <c r="M120" s="541"/>
      <c r="N120" s="588"/>
      <c r="O120" s="312"/>
      <c r="P120" s="588"/>
      <c r="Q120" s="312"/>
      <c r="R120" s="592"/>
      <c r="S120" s="592"/>
      <c r="T120" s="592"/>
      <c r="U120" s="592"/>
    </row>
    <row r="121">
      <c r="A121" s="307"/>
      <c r="B121" s="318"/>
      <c r="C121" s="563"/>
      <c r="D121" s="316"/>
      <c r="E121" s="319"/>
      <c r="F121" s="316"/>
      <c r="G121" s="316"/>
      <c r="H121" s="596"/>
      <c r="I121" s="463"/>
      <c r="J121" s="588"/>
      <c r="K121" s="541"/>
      <c r="L121" s="588"/>
      <c r="M121" s="541"/>
      <c r="N121" s="588"/>
      <c r="O121" s="312"/>
      <c r="P121" s="588"/>
      <c r="Q121" s="312"/>
      <c r="R121" s="592"/>
      <c r="S121" s="592"/>
      <c r="T121" s="592"/>
      <c r="U121" s="592"/>
    </row>
    <row r="122">
      <c r="A122" s="307"/>
      <c r="B122" s="318"/>
      <c r="C122" s="563"/>
      <c r="D122" s="316"/>
      <c r="E122" s="319"/>
      <c r="F122" s="316"/>
      <c r="G122" s="316"/>
      <c r="H122" s="596"/>
      <c r="I122" s="463"/>
      <c r="J122" s="588"/>
      <c r="K122" s="541"/>
      <c r="L122" s="588"/>
      <c r="M122" s="541"/>
      <c r="N122" s="588"/>
      <c r="O122" s="312"/>
      <c r="P122" s="588"/>
      <c r="Q122" s="312"/>
      <c r="R122" s="592"/>
      <c r="S122" s="592"/>
      <c r="T122" s="592"/>
      <c r="U122" s="592"/>
    </row>
    <row r="123">
      <c r="A123" s="307"/>
      <c r="B123" s="318"/>
      <c r="C123" s="563"/>
      <c r="D123" s="316"/>
      <c r="E123" s="319"/>
      <c r="F123" s="316"/>
      <c r="G123" s="316"/>
      <c r="H123" s="596"/>
      <c r="I123" s="463"/>
      <c r="J123" s="588"/>
      <c r="K123" s="541"/>
      <c r="L123" s="588"/>
      <c r="M123" s="541"/>
      <c r="N123" s="588"/>
      <c r="O123" s="312"/>
      <c r="P123" s="588"/>
      <c r="Q123" s="312"/>
      <c r="R123" s="592"/>
      <c r="S123" s="592"/>
      <c r="T123" s="592"/>
      <c r="U123" s="592"/>
    </row>
    <row r="124">
      <c r="A124" s="307"/>
      <c r="B124" s="318"/>
      <c r="C124" s="563"/>
      <c r="D124" s="316"/>
      <c r="E124" s="319"/>
      <c r="F124" s="316"/>
      <c r="G124" s="316"/>
      <c r="H124" s="596"/>
      <c r="I124" s="463"/>
      <c r="J124" s="588"/>
      <c r="K124" s="541"/>
      <c r="L124" s="588"/>
      <c r="M124" s="541"/>
      <c r="N124" s="588"/>
      <c r="O124" s="312"/>
      <c r="P124" s="588"/>
      <c r="Q124" s="312"/>
      <c r="R124" s="592"/>
      <c r="S124" s="592"/>
      <c r="T124" s="592"/>
      <c r="U124" s="592"/>
    </row>
    <row r="125">
      <c r="A125" s="307"/>
      <c r="B125" s="318"/>
      <c r="C125" s="563"/>
      <c r="D125" s="316"/>
      <c r="E125" s="319"/>
      <c r="F125" s="316"/>
      <c r="G125" s="316"/>
      <c r="H125" s="596"/>
      <c r="I125" s="463"/>
      <c r="J125" s="588"/>
      <c r="K125" s="541"/>
      <c r="L125" s="588"/>
      <c r="M125" s="541"/>
      <c r="N125" s="588"/>
      <c r="O125" s="312"/>
      <c r="P125" s="588"/>
      <c r="Q125" s="312"/>
      <c r="R125" s="592"/>
      <c r="S125" s="592"/>
      <c r="T125" s="592"/>
      <c r="U125" s="592"/>
    </row>
    <row r="126">
      <c r="A126" s="307"/>
      <c r="B126" s="318"/>
      <c r="C126" s="563"/>
      <c r="D126" s="316"/>
      <c r="E126" s="319"/>
      <c r="F126" s="316"/>
      <c r="G126" s="316"/>
      <c r="H126" s="596"/>
      <c r="I126" s="463"/>
      <c r="J126" s="588"/>
      <c r="K126" s="541"/>
      <c r="L126" s="588"/>
      <c r="M126" s="541"/>
      <c r="N126" s="588"/>
      <c r="O126" s="312"/>
      <c r="P126" s="588"/>
      <c r="Q126" s="312"/>
      <c r="R126" s="592"/>
      <c r="S126" s="592"/>
      <c r="T126" s="592"/>
      <c r="U126" s="592"/>
    </row>
    <row r="127">
      <c r="A127" s="307"/>
      <c r="B127" s="318"/>
      <c r="C127" s="563"/>
      <c r="D127" s="316"/>
      <c r="E127" s="319"/>
      <c r="F127" s="316"/>
      <c r="G127" s="316"/>
      <c r="H127" s="596"/>
      <c r="I127" s="463"/>
      <c r="J127" s="588"/>
      <c r="K127" s="541"/>
      <c r="L127" s="588"/>
      <c r="M127" s="541"/>
      <c r="N127" s="588"/>
      <c r="O127" s="312"/>
      <c r="P127" s="588"/>
      <c r="Q127" s="312"/>
      <c r="R127" s="592"/>
      <c r="S127" s="592"/>
      <c r="T127" s="592"/>
      <c r="U127" s="592"/>
    </row>
    <row r="128">
      <c r="A128" s="307"/>
      <c r="B128" s="318"/>
      <c r="C128" s="563"/>
      <c r="D128" s="316"/>
      <c r="E128" s="319"/>
      <c r="F128" s="316"/>
      <c r="G128" s="316"/>
      <c r="H128" s="596"/>
      <c r="I128" s="463"/>
      <c r="J128" s="588"/>
      <c r="K128" s="541"/>
      <c r="L128" s="588"/>
      <c r="M128" s="541"/>
      <c r="N128" s="588"/>
      <c r="O128" s="312"/>
      <c r="P128" s="588"/>
      <c r="Q128" s="312"/>
      <c r="R128" s="592"/>
      <c r="S128" s="592"/>
      <c r="T128" s="592"/>
      <c r="U128" s="592"/>
    </row>
    <row r="129">
      <c r="A129" s="307"/>
      <c r="B129" s="318"/>
      <c r="C129" s="563"/>
      <c r="D129" s="316"/>
      <c r="E129" s="319"/>
      <c r="F129" s="316"/>
      <c r="G129" s="316"/>
      <c r="H129" s="596"/>
      <c r="I129" s="463"/>
      <c r="J129" s="588"/>
      <c r="K129" s="541"/>
      <c r="L129" s="588"/>
      <c r="M129" s="541"/>
      <c r="N129" s="588"/>
      <c r="O129" s="312"/>
      <c r="P129" s="588"/>
      <c r="Q129" s="312"/>
      <c r="R129" s="592"/>
      <c r="S129" s="592"/>
      <c r="T129" s="592"/>
      <c r="U129" s="592"/>
    </row>
    <row r="130">
      <c r="A130" s="307"/>
      <c r="B130" s="318"/>
      <c r="C130" s="563"/>
      <c r="D130" s="316"/>
      <c r="E130" s="319"/>
      <c r="F130" s="316"/>
      <c r="G130" s="316"/>
      <c r="H130" s="596"/>
      <c r="I130" s="463"/>
      <c r="J130" s="588"/>
      <c r="K130" s="541"/>
      <c r="L130" s="588"/>
      <c r="M130" s="541"/>
      <c r="N130" s="588"/>
      <c r="O130" s="312"/>
      <c r="P130" s="588"/>
      <c r="Q130" s="312"/>
      <c r="R130" s="592"/>
      <c r="S130" s="592"/>
      <c r="T130" s="592"/>
      <c r="U130" s="592"/>
    </row>
    <row r="131">
      <c r="A131" s="307"/>
      <c r="B131" s="318"/>
      <c r="C131" s="563"/>
      <c r="D131" s="316"/>
      <c r="E131" s="319"/>
      <c r="F131" s="316"/>
      <c r="G131" s="316"/>
      <c r="H131" s="596"/>
      <c r="I131" s="463"/>
      <c r="J131" s="588"/>
      <c r="K131" s="541"/>
      <c r="L131" s="588"/>
      <c r="M131" s="541"/>
      <c r="N131" s="588"/>
      <c r="O131" s="312"/>
      <c r="P131" s="588"/>
      <c r="Q131" s="312"/>
      <c r="R131" s="592"/>
      <c r="S131" s="592"/>
      <c r="T131" s="592"/>
      <c r="U131" s="592"/>
    </row>
    <row r="132">
      <c r="A132" s="307"/>
      <c r="B132" s="318"/>
      <c r="C132" s="563"/>
      <c r="D132" s="316"/>
      <c r="E132" s="319"/>
      <c r="F132" s="316"/>
      <c r="G132" s="316"/>
      <c r="H132" s="596"/>
      <c r="I132" s="463"/>
      <c r="J132" s="588"/>
      <c r="K132" s="541"/>
      <c r="L132" s="588"/>
      <c r="M132" s="541"/>
      <c r="N132" s="588"/>
      <c r="O132" s="312"/>
      <c r="P132" s="588"/>
      <c r="Q132" s="312"/>
      <c r="R132" s="592"/>
      <c r="S132" s="592"/>
      <c r="T132" s="592"/>
      <c r="U132" s="592"/>
    </row>
    <row r="133">
      <c r="A133" s="307"/>
      <c r="B133" s="318"/>
      <c r="C133" s="563"/>
      <c r="D133" s="316"/>
      <c r="E133" s="319"/>
      <c r="F133" s="316"/>
      <c r="G133" s="316"/>
      <c r="H133" s="596"/>
      <c r="I133" s="463"/>
      <c r="J133" s="588"/>
      <c r="K133" s="541"/>
      <c r="L133" s="588"/>
      <c r="M133" s="541"/>
      <c r="N133" s="588"/>
      <c r="O133" s="312"/>
      <c r="P133" s="588"/>
      <c r="Q133" s="312"/>
      <c r="R133" s="592"/>
      <c r="S133" s="592"/>
      <c r="T133" s="592"/>
      <c r="U133" s="592"/>
    </row>
    <row r="134">
      <c r="A134" s="307"/>
      <c r="B134" s="318"/>
      <c r="C134" s="563"/>
      <c r="D134" s="316"/>
      <c r="E134" s="319"/>
      <c r="F134" s="316"/>
      <c r="G134" s="316"/>
      <c r="H134" s="596"/>
      <c r="I134" s="463"/>
      <c r="J134" s="588"/>
      <c r="K134" s="541"/>
      <c r="L134" s="588"/>
      <c r="M134" s="541"/>
      <c r="N134" s="588"/>
      <c r="O134" s="312"/>
      <c r="P134" s="588"/>
      <c r="Q134" s="312"/>
      <c r="R134" s="592"/>
      <c r="S134" s="592"/>
      <c r="T134" s="592"/>
      <c r="U134" s="592"/>
    </row>
    <row r="135">
      <c r="A135" s="307"/>
      <c r="B135" s="318"/>
      <c r="C135" s="563"/>
      <c r="D135" s="316"/>
      <c r="E135" s="319"/>
      <c r="F135" s="316"/>
      <c r="G135" s="316"/>
      <c r="H135" s="596"/>
      <c r="I135" s="463"/>
      <c r="J135" s="588"/>
      <c r="K135" s="541"/>
      <c r="L135" s="588"/>
      <c r="M135" s="541"/>
      <c r="N135" s="588"/>
      <c r="O135" s="312"/>
      <c r="P135" s="588"/>
      <c r="Q135" s="312"/>
      <c r="R135" s="592"/>
      <c r="S135" s="592"/>
      <c r="T135" s="592"/>
      <c r="U135" s="592"/>
    </row>
    <row r="136">
      <c r="A136" s="307"/>
      <c r="B136" s="318"/>
      <c r="C136" s="563"/>
      <c r="D136" s="316"/>
      <c r="E136" s="319"/>
      <c r="F136" s="316"/>
      <c r="G136" s="316"/>
      <c r="H136" s="596"/>
      <c r="I136" s="463"/>
      <c r="J136" s="588"/>
      <c r="K136" s="541"/>
      <c r="L136" s="588"/>
      <c r="M136" s="541"/>
      <c r="N136" s="588"/>
      <c r="O136" s="312"/>
      <c r="P136" s="588"/>
      <c r="Q136" s="312"/>
      <c r="R136" s="592"/>
      <c r="S136" s="592"/>
      <c r="T136" s="592"/>
      <c r="U136" s="592"/>
    </row>
    <row r="137">
      <c r="A137" s="307"/>
      <c r="B137" s="318"/>
      <c r="C137" s="563"/>
      <c r="D137" s="316"/>
      <c r="E137" s="319"/>
      <c r="F137" s="316"/>
      <c r="G137" s="316"/>
      <c r="H137" s="596"/>
      <c r="I137" s="463"/>
      <c r="J137" s="588"/>
      <c r="K137" s="541"/>
      <c r="L137" s="588"/>
      <c r="M137" s="541"/>
      <c r="N137" s="588"/>
      <c r="O137" s="312"/>
      <c r="P137" s="588"/>
      <c r="Q137" s="312"/>
      <c r="R137" s="592"/>
      <c r="S137" s="592"/>
      <c r="T137" s="592"/>
      <c r="U137" s="592"/>
    </row>
    <row r="138">
      <c r="A138" s="307"/>
      <c r="B138" s="318"/>
      <c r="C138" s="563"/>
      <c r="D138" s="316"/>
      <c r="E138" s="319"/>
      <c r="F138" s="316"/>
      <c r="G138" s="316"/>
      <c r="H138" s="596"/>
      <c r="I138" s="463"/>
      <c r="J138" s="588"/>
      <c r="K138" s="541"/>
      <c r="L138" s="588"/>
      <c r="M138" s="541"/>
      <c r="N138" s="588"/>
      <c r="O138" s="312"/>
      <c r="P138" s="588"/>
      <c r="Q138" s="312"/>
      <c r="R138" s="592"/>
      <c r="S138" s="592"/>
      <c r="T138" s="592"/>
      <c r="U138" s="592"/>
    </row>
    <row r="139">
      <c r="A139" s="307"/>
      <c r="B139" s="318"/>
      <c r="C139" s="563"/>
      <c r="D139" s="316"/>
      <c r="E139" s="319"/>
      <c r="F139" s="316"/>
      <c r="G139" s="316"/>
      <c r="H139" s="596"/>
      <c r="I139" s="463"/>
      <c r="J139" s="588"/>
      <c r="K139" s="541"/>
      <c r="L139" s="588"/>
      <c r="M139" s="541"/>
      <c r="N139" s="588"/>
      <c r="O139" s="312"/>
      <c r="P139" s="588"/>
      <c r="Q139" s="312"/>
      <c r="R139" s="592"/>
      <c r="S139" s="592"/>
      <c r="T139" s="592"/>
      <c r="U139" s="592"/>
    </row>
    <row r="140">
      <c r="A140" s="307"/>
      <c r="B140" s="318"/>
      <c r="C140" s="563"/>
      <c r="D140" s="316"/>
      <c r="E140" s="319"/>
      <c r="F140" s="316"/>
      <c r="G140" s="316"/>
      <c r="H140" s="596"/>
      <c r="I140" s="463"/>
      <c r="J140" s="588"/>
      <c r="K140" s="541"/>
      <c r="L140" s="588"/>
      <c r="M140" s="541"/>
      <c r="N140" s="588"/>
      <c r="O140" s="312"/>
      <c r="P140" s="588"/>
      <c r="Q140" s="312"/>
      <c r="R140" s="592"/>
      <c r="S140" s="592"/>
      <c r="T140" s="592"/>
      <c r="U140" s="592"/>
    </row>
    <row r="141">
      <c r="A141" s="307"/>
      <c r="B141" s="318"/>
      <c r="C141" s="563"/>
      <c r="D141" s="316"/>
      <c r="E141" s="319"/>
      <c r="F141" s="316"/>
      <c r="G141" s="316"/>
      <c r="H141" s="596"/>
      <c r="I141" s="463"/>
      <c r="J141" s="588"/>
      <c r="K141" s="541"/>
      <c r="L141" s="588"/>
      <c r="M141" s="541"/>
      <c r="N141" s="588"/>
      <c r="O141" s="312"/>
      <c r="P141" s="588"/>
      <c r="Q141" s="312"/>
      <c r="R141" s="592"/>
      <c r="S141" s="592"/>
      <c r="T141" s="592"/>
      <c r="U141" s="592"/>
    </row>
    <row r="142">
      <c r="A142" s="307"/>
      <c r="B142" s="318"/>
      <c r="C142" s="563"/>
      <c r="D142" s="316"/>
      <c r="E142" s="319"/>
      <c r="F142" s="316"/>
      <c r="G142" s="316"/>
      <c r="H142" s="596"/>
      <c r="I142" s="463"/>
      <c r="J142" s="588"/>
      <c r="K142" s="541"/>
      <c r="L142" s="588"/>
      <c r="M142" s="541"/>
      <c r="N142" s="588"/>
      <c r="O142" s="312"/>
      <c r="P142" s="588"/>
      <c r="Q142" s="312"/>
      <c r="R142" s="592"/>
      <c r="S142" s="592"/>
      <c r="T142" s="592"/>
      <c r="U142" s="592"/>
    </row>
    <row r="143">
      <c r="A143" s="307"/>
      <c r="B143" s="318"/>
      <c r="C143" s="563"/>
      <c r="D143" s="316"/>
      <c r="E143" s="319"/>
      <c r="F143" s="316"/>
      <c r="G143" s="316"/>
      <c r="H143" s="596"/>
      <c r="I143" s="463"/>
      <c r="J143" s="588"/>
      <c r="K143" s="541"/>
      <c r="L143" s="588"/>
      <c r="M143" s="541"/>
      <c r="N143" s="588"/>
      <c r="O143" s="312"/>
      <c r="P143" s="588"/>
      <c r="Q143" s="312"/>
      <c r="R143" s="592"/>
      <c r="S143" s="592"/>
      <c r="T143" s="592"/>
      <c r="U143" s="592"/>
    </row>
    <row r="144">
      <c r="A144" s="307"/>
      <c r="B144" s="318"/>
      <c r="C144" s="563"/>
      <c r="D144" s="316"/>
      <c r="E144" s="319"/>
      <c r="F144" s="316"/>
      <c r="G144" s="316"/>
      <c r="H144" s="596"/>
      <c r="I144" s="463"/>
      <c r="J144" s="588"/>
      <c r="K144" s="541"/>
      <c r="L144" s="588"/>
      <c r="M144" s="541"/>
      <c r="N144" s="588"/>
      <c r="O144" s="312"/>
      <c r="P144" s="588"/>
      <c r="Q144" s="312"/>
      <c r="R144" s="592"/>
      <c r="S144" s="592"/>
      <c r="T144" s="592"/>
      <c r="U144" s="592"/>
    </row>
    <row r="145">
      <c r="A145" s="307"/>
      <c r="B145" s="318"/>
      <c r="C145" s="563"/>
      <c r="D145" s="316"/>
      <c r="E145" s="319"/>
      <c r="F145" s="316"/>
      <c r="G145" s="316"/>
      <c r="H145" s="596"/>
      <c r="I145" s="463"/>
      <c r="J145" s="588"/>
      <c r="K145" s="541"/>
      <c r="L145" s="588"/>
      <c r="M145" s="541"/>
      <c r="N145" s="588"/>
      <c r="O145" s="312"/>
      <c r="P145" s="588"/>
      <c r="Q145" s="312"/>
      <c r="R145" s="592"/>
      <c r="S145" s="592"/>
      <c r="T145" s="592"/>
      <c r="U145" s="592"/>
    </row>
    <row r="146">
      <c r="A146" s="307"/>
      <c r="B146" s="318"/>
      <c r="C146" s="563"/>
      <c r="D146" s="316"/>
      <c r="E146" s="319"/>
      <c r="F146" s="316"/>
      <c r="G146" s="316"/>
      <c r="H146" s="596"/>
      <c r="I146" s="463"/>
      <c r="J146" s="588"/>
      <c r="K146" s="541"/>
      <c r="L146" s="588"/>
      <c r="M146" s="541"/>
      <c r="N146" s="588"/>
      <c r="O146" s="312"/>
      <c r="P146" s="588"/>
      <c r="Q146" s="312"/>
      <c r="R146" s="592"/>
      <c r="S146" s="592"/>
      <c r="T146" s="592"/>
      <c r="U146" s="592"/>
    </row>
    <row r="147">
      <c r="A147" s="307"/>
      <c r="B147" s="318"/>
      <c r="C147" s="563"/>
      <c r="D147" s="316"/>
      <c r="E147" s="319"/>
      <c r="F147" s="316"/>
      <c r="G147" s="316"/>
      <c r="H147" s="596"/>
      <c r="I147" s="463"/>
      <c r="J147" s="588"/>
      <c r="K147" s="541"/>
      <c r="L147" s="588"/>
      <c r="M147" s="541"/>
      <c r="N147" s="588"/>
      <c r="O147" s="312"/>
      <c r="P147" s="588"/>
      <c r="Q147" s="312"/>
      <c r="R147" s="592"/>
      <c r="S147" s="592"/>
      <c r="T147" s="592"/>
      <c r="U147" s="592"/>
    </row>
    <row r="148">
      <c r="A148" s="307"/>
      <c r="B148" s="318"/>
      <c r="C148" s="563"/>
      <c r="D148" s="316"/>
      <c r="E148" s="319"/>
      <c r="F148" s="316"/>
      <c r="G148" s="316"/>
      <c r="H148" s="596"/>
      <c r="I148" s="463"/>
      <c r="J148" s="588"/>
      <c r="K148" s="541"/>
      <c r="L148" s="588"/>
      <c r="M148" s="541"/>
      <c r="N148" s="588"/>
      <c r="O148" s="312"/>
      <c r="P148" s="588"/>
      <c r="Q148" s="312"/>
      <c r="R148" s="592"/>
      <c r="S148" s="592"/>
      <c r="T148" s="592"/>
      <c r="U148" s="592"/>
    </row>
    <row r="149">
      <c r="A149" s="307"/>
      <c r="B149" s="318"/>
      <c r="C149" s="563"/>
      <c r="D149" s="316"/>
      <c r="E149" s="319"/>
      <c r="F149" s="316"/>
      <c r="G149" s="316"/>
      <c r="H149" s="596"/>
      <c r="I149" s="463"/>
      <c r="J149" s="588"/>
      <c r="K149" s="541"/>
      <c r="L149" s="588"/>
      <c r="M149" s="541"/>
      <c r="N149" s="588"/>
      <c r="O149" s="312"/>
      <c r="P149" s="588"/>
      <c r="Q149" s="312"/>
      <c r="R149" s="592"/>
      <c r="S149" s="592"/>
      <c r="T149" s="592"/>
      <c r="U149" s="592"/>
    </row>
    <row r="150">
      <c r="A150" s="307"/>
      <c r="B150" s="318"/>
      <c r="C150" s="563"/>
      <c r="D150" s="316"/>
      <c r="E150" s="319"/>
      <c r="F150" s="316"/>
      <c r="G150" s="316"/>
      <c r="H150" s="596"/>
      <c r="I150" s="463"/>
      <c r="J150" s="588"/>
      <c r="K150" s="541"/>
      <c r="L150" s="588"/>
      <c r="M150" s="541"/>
      <c r="N150" s="588"/>
      <c r="O150" s="312"/>
      <c r="P150" s="588"/>
      <c r="Q150" s="312"/>
      <c r="R150" s="592"/>
      <c r="S150" s="592"/>
      <c r="T150" s="592"/>
      <c r="U150" s="592"/>
    </row>
    <row r="151">
      <c r="A151" s="307"/>
      <c r="B151" s="318"/>
      <c r="C151" s="563"/>
      <c r="D151" s="316"/>
      <c r="E151" s="319"/>
      <c r="F151" s="316"/>
      <c r="G151" s="316"/>
      <c r="H151" s="596"/>
      <c r="I151" s="463"/>
      <c r="J151" s="588"/>
      <c r="K151" s="541"/>
      <c r="L151" s="588"/>
      <c r="M151" s="541"/>
      <c r="N151" s="588"/>
      <c r="O151" s="312"/>
      <c r="P151" s="588"/>
      <c r="Q151" s="312"/>
      <c r="R151" s="592"/>
      <c r="S151" s="592"/>
      <c r="T151" s="592"/>
      <c r="U151" s="592"/>
    </row>
    <row r="152">
      <c r="A152" s="307"/>
      <c r="B152" s="318"/>
      <c r="C152" s="563"/>
      <c r="D152" s="316"/>
      <c r="E152" s="319"/>
      <c r="F152" s="316"/>
      <c r="G152" s="316"/>
      <c r="H152" s="596"/>
      <c r="I152" s="463"/>
      <c r="J152" s="588"/>
      <c r="K152" s="541"/>
      <c r="L152" s="588"/>
      <c r="M152" s="541"/>
      <c r="N152" s="588"/>
      <c r="O152" s="312"/>
      <c r="P152" s="588"/>
      <c r="Q152" s="312"/>
      <c r="R152" s="592"/>
      <c r="S152" s="592"/>
      <c r="T152" s="592"/>
      <c r="U152" s="592"/>
    </row>
    <row r="153">
      <c r="A153" s="307"/>
      <c r="B153" s="318"/>
      <c r="C153" s="563"/>
      <c r="D153" s="316"/>
      <c r="E153" s="319"/>
      <c r="F153" s="316"/>
      <c r="G153" s="316"/>
      <c r="H153" s="596"/>
      <c r="I153" s="463"/>
      <c r="J153" s="588"/>
      <c r="K153" s="541"/>
      <c r="L153" s="588"/>
      <c r="M153" s="541"/>
      <c r="N153" s="588"/>
      <c r="O153" s="312"/>
      <c r="P153" s="588"/>
      <c r="Q153" s="312"/>
      <c r="R153" s="592"/>
      <c r="S153" s="592"/>
      <c r="T153" s="592"/>
      <c r="U153" s="592"/>
    </row>
    <row r="154">
      <c r="A154" s="307"/>
      <c r="B154" s="318"/>
      <c r="C154" s="563"/>
      <c r="D154" s="316"/>
      <c r="E154" s="319"/>
      <c r="F154" s="316"/>
      <c r="G154" s="316"/>
      <c r="H154" s="596"/>
      <c r="I154" s="463"/>
      <c r="J154" s="588"/>
      <c r="K154" s="541"/>
      <c r="L154" s="588"/>
      <c r="M154" s="541"/>
      <c r="N154" s="588"/>
      <c r="O154" s="312"/>
      <c r="P154" s="588"/>
      <c r="Q154" s="312"/>
      <c r="R154" s="592"/>
      <c r="S154" s="592"/>
      <c r="T154" s="592"/>
      <c r="U154" s="592"/>
    </row>
    <row r="155">
      <c r="A155" s="307"/>
      <c r="B155" s="318"/>
      <c r="C155" s="563"/>
      <c r="D155" s="316"/>
      <c r="E155" s="319"/>
      <c r="F155" s="316"/>
      <c r="G155" s="316"/>
      <c r="H155" s="596"/>
      <c r="I155" s="463"/>
      <c r="J155" s="588"/>
      <c r="K155" s="541"/>
      <c r="L155" s="588"/>
      <c r="M155" s="541"/>
      <c r="N155" s="588"/>
      <c r="O155" s="312"/>
      <c r="P155" s="588"/>
      <c r="Q155" s="312"/>
      <c r="R155" s="592"/>
      <c r="S155" s="592"/>
      <c r="T155" s="592"/>
      <c r="U155" s="592"/>
    </row>
    <row r="156">
      <c r="A156" s="307"/>
      <c r="B156" s="318"/>
      <c r="C156" s="563"/>
      <c r="D156" s="316"/>
      <c r="E156" s="319"/>
      <c r="F156" s="316"/>
      <c r="G156" s="316"/>
      <c r="H156" s="596"/>
      <c r="I156" s="463"/>
      <c r="J156" s="588"/>
      <c r="K156" s="541"/>
      <c r="L156" s="588"/>
      <c r="M156" s="541"/>
      <c r="N156" s="588"/>
      <c r="O156" s="312"/>
      <c r="P156" s="588"/>
      <c r="Q156" s="312"/>
      <c r="R156" s="592"/>
      <c r="S156" s="592"/>
      <c r="T156" s="592"/>
      <c r="U156" s="592"/>
    </row>
    <row r="157">
      <c r="A157" s="307"/>
      <c r="B157" s="318"/>
      <c r="C157" s="563"/>
      <c r="D157" s="316"/>
      <c r="E157" s="319"/>
      <c r="F157" s="316"/>
      <c r="G157" s="316"/>
      <c r="H157" s="596"/>
      <c r="I157" s="463"/>
      <c r="J157" s="588"/>
      <c r="K157" s="541"/>
      <c r="L157" s="588"/>
      <c r="M157" s="541"/>
      <c r="N157" s="588"/>
      <c r="O157" s="312"/>
      <c r="P157" s="588"/>
      <c r="Q157" s="312"/>
      <c r="R157" s="592"/>
      <c r="S157" s="592"/>
      <c r="T157" s="592"/>
      <c r="U157" s="592"/>
    </row>
    <row r="158">
      <c r="A158" s="307"/>
      <c r="B158" s="318"/>
      <c r="C158" s="563"/>
      <c r="D158" s="316"/>
      <c r="E158" s="319"/>
      <c r="F158" s="316"/>
      <c r="G158" s="316"/>
      <c r="H158" s="596"/>
      <c r="I158" s="463"/>
      <c r="J158" s="588"/>
      <c r="K158" s="541"/>
      <c r="L158" s="588"/>
      <c r="M158" s="541"/>
      <c r="N158" s="588"/>
      <c r="O158" s="312"/>
      <c r="P158" s="588"/>
      <c r="Q158" s="312"/>
      <c r="R158" s="592"/>
      <c r="S158" s="592"/>
      <c r="T158" s="592"/>
      <c r="U158" s="592"/>
    </row>
    <row r="159">
      <c r="A159" s="307"/>
      <c r="B159" s="318"/>
      <c r="C159" s="563"/>
      <c r="D159" s="316"/>
      <c r="E159" s="319"/>
      <c r="F159" s="316"/>
      <c r="G159" s="316"/>
      <c r="H159" s="596"/>
      <c r="I159" s="463"/>
      <c r="J159" s="588"/>
      <c r="K159" s="541"/>
      <c r="L159" s="588"/>
      <c r="M159" s="541"/>
      <c r="N159" s="588"/>
      <c r="O159" s="312"/>
      <c r="P159" s="588"/>
      <c r="Q159" s="312"/>
      <c r="R159" s="592"/>
      <c r="S159" s="592"/>
      <c r="T159" s="592"/>
      <c r="U159" s="592"/>
    </row>
    <row r="160">
      <c r="A160" s="307"/>
      <c r="B160" s="318"/>
      <c r="C160" s="563"/>
      <c r="D160" s="316"/>
      <c r="E160" s="319"/>
      <c r="F160" s="316"/>
      <c r="G160" s="316"/>
      <c r="H160" s="596"/>
      <c r="I160" s="463"/>
      <c r="J160" s="588"/>
      <c r="K160" s="541"/>
      <c r="L160" s="588"/>
      <c r="M160" s="541"/>
      <c r="N160" s="588"/>
      <c r="O160" s="312"/>
      <c r="P160" s="588"/>
      <c r="Q160" s="312"/>
      <c r="R160" s="592"/>
      <c r="S160" s="592"/>
      <c r="T160" s="592"/>
      <c r="U160" s="592"/>
    </row>
    <row r="161">
      <c r="A161" s="321"/>
      <c r="B161" s="321"/>
      <c r="C161" s="564"/>
      <c r="D161" s="322"/>
      <c r="E161" s="597"/>
      <c r="F161" s="322"/>
      <c r="G161" s="322"/>
      <c r="H161" s="598"/>
      <c r="I161" s="286"/>
      <c r="J161" s="286"/>
      <c r="K161" s="529"/>
      <c r="L161" s="286"/>
      <c r="M161" s="529"/>
      <c r="N161" s="286"/>
      <c r="O161" s="286"/>
      <c r="P161" s="286"/>
      <c r="Q161" s="286"/>
      <c r="R161" s="578"/>
      <c r="S161" s="578"/>
      <c r="T161" s="578"/>
      <c r="U161" s="578"/>
    </row>
    <row r="162">
      <c r="A162" s="321"/>
      <c r="B162" s="321"/>
      <c r="C162" s="564"/>
      <c r="D162" s="322"/>
      <c r="E162" s="597"/>
      <c r="F162" s="322"/>
      <c r="G162" s="322"/>
      <c r="H162" s="598"/>
      <c r="I162" s="286"/>
      <c r="J162" s="286"/>
      <c r="K162" s="529"/>
      <c r="L162" s="286"/>
      <c r="M162" s="529"/>
      <c r="N162" s="286"/>
      <c r="O162" s="286"/>
      <c r="P162" s="286"/>
      <c r="Q162" s="286"/>
      <c r="R162" s="578"/>
      <c r="S162" s="578"/>
      <c r="T162" s="578"/>
      <c r="U162" s="578"/>
    </row>
    <row r="163">
      <c r="A163" s="321"/>
      <c r="B163" s="321"/>
      <c r="C163" s="564"/>
      <c r="D163" s="322"/>
      <c r="E163" s="597"/>
      <c r="F163" s="322"/>
      <c r="G163" s="322"/>
      <c r="H163" s="598"/>
      <c r="I163" s="286"/>
      <c r="J163" s="286"/>
      <c r="K163" s="529"/>
      <c r="L163" s="286"/>
      <c r="M163" s="529"/>
      <c r="N163" s="286"/>
      <c r="O163" s="286"/>
      <c r="P163" s="286"/>
      <c r="Q163" s="286"/>
      <c r="R163" s="578"/>
      <c r="S163" s="578"/>
      <c r="T163" s="578"/>
      <c r="U163" s="578"/>
    </row>
    <row r="164">
      <c r="A164" s="321"/>
      <c r="B164" s="321"/>
      <c r="C164" s="564"/>
      <c r="D164" s="322"/>
      <c r="E164" s="597"/>
      <c r="F164" s="322"/>
      <c r="G164" s="322"/>
      <c r="H164" s="598"/>
      <c r="I164" s="286"/>
      <c r="J164" s="286"/>
      <c r="K164" s="529"/>
      <c r="L164" s="286"/>
      <c r="M164" s="529"/>
      <c r="N164" s="286"/>
      <c r="O164" s="286"/>
      <c r="P164" s="286"/>
      <c r="Q164" s="286"/>
      <c r="R164" s="578"/>
      <c r="S164" s="578"/>
      <c r="T164" s="578"/>
      <c r="U164" s="578"/>
    </row>
    <row r="165">
      <c r="A165" s="321"/>
      <c r="B165" s="321"/>
      <c r="C165" s="564"/>
      <c r="D165" s="322"/>
      <c r="E165" s="597"/>
      <c r="F165" s="322"/>
      <c r="G165" s="322"/>
      <c r="H165" s="598"/>
      <c r="I165" s="286"/>
      <c r="J165" s="286"/>
      <c r="K165" s="529"/>
      <c r="L165" s="286"/>
      <c r="M165" s="529"/>
      <c r="N165" s="286"/>
      <c r="O165" s="286"/>
      <c r="P165" s="286"/>
      <c r="Q165" s="286"/>
      <c r="R165" s="578"/>
      <c r="S165" s="578"/>
      <c r="T165" s="578"/>
      <c r="U165" s="578"/>
    </row>
    <row r="166">
      <c r="A166" s="321"/>
      <c r="B166" s="321"/>
      <c r="C166" s="564"/>
      <c r="D166" s="322"/>
      <c r="E166" s="597"/>
      <c r="F166" s="322"/>
      <c r="G166" s="322"/>
      <c r="H166" s="598"/>
      <c r="I166" s="286"/>
      <c r="J166" s="286"/>
      <c r="K166" s="529"/>
      <c r="L166" s="286"/>
      <c r="M166" s="529"/>
      <c r="N166" s="286"/>
      <c r="O166" s="286"/>
      <c r="P166" s="286"/>
      <c r="Q166" s="286"/>
      <c r="R166" s="578"/>
      <c r="S166" s="578"/>
      <c r="T166" s="578"/>
      <c r="U166" s="578"/>
    </row>
    <row r="167">
      <c r="A167" s="321"/>
      <c r="B167" s="321"/>
      <c r="C167" s="564"/>
      <c r="D167" s="322"/>
      <c r="E167" s="597"/>
      <c r="F167" s="322"/>
      <c r="G167" s="322"/>
      <c r="H167" s="598"/>
      <c r="I167" s="286"/>
      <c r="J167" s="286"/>
      <c r="K167" s="529"/>
      <c r="L167" s="286"/>
      <c r="M167" s="529"/>
      <c r="N167" s="286"/>
      <c r="O167" s="286"/>
      <c r="P167" s="286"/>
      <c r="Q167" s="286"/>
      <c r="R167" s="578"/>
      <c r="S167" s="578"/>
      <c r="T167" s="578"/>
      <c r="U167" s="578"/>
    </row>
    <row r="168">
      <c r="A168" s="321"/>
      <c r="B168" s="321"/>
      <c r="C168" s="564"/>
      <c r="D168" s="322"/>
      <c r="E168" s="597"/>
      <c r="F168" s="322"/>
      <c r="G168" s="322"/>
      <c r="H168" s="598"/>
      <c r="I168" s="286"/>
      <c r="J168" s="286"/>
      <c r="K168" s="529"/>
      <c r="L168" s="286"/>
      <c r="M168" s="529"/>
      <c r="N168" s="286"/>
      <c r="O168" s="286"/>
      <c r="P168" s="286"/>
      <c r="Q168" s="286"/>
      <c r="R168" s="578"/>
      <c r="S168" s="578"/>
      <c r="T168" s="578"/>
      <c r="U168" s="578"/>
    </row>
    <row r="169">
      <c r="A169" s="321"/>
      <c r="B169" s="321"/>
      <c r="C169" s="564"/>
      <c r="D169" s="322"/>
      <c r="E169" s="597"/>
      <c r="F169" s="322"/>
      <c r="G169" s="322"/>
      <c r="H169" s="598"/>
      <c r="I169" s="286"/>
      <c r="J169" s="286"/>
      <c r="K169" s="529"/>
      <c r="L169" s="286"/>
      <c r="M169" s="529"/>
      <c r="N169" s="286"/>
      <c r="O169" s="286"/>
      <c r="P169" s="286"/>
      <c r="Q169" s="286"/>
      <c r="R169" s="578"/>
      <c r="S169" s="578"/>
      <c r="T169" s="578"/>
      <c r="U169" s="578"/>
    </row>
    <row r="170">
      <c r="A170" s="321"/>
      <c r="B170" s="321"/>
      <c r="C170" s="564"/>
      <c r="D170" s="322"/>
      <c r="E170" s="597"/>
      <c r="F170" s="322"/>
      <c r="G170" s="322"/>
      <c r="H170" s="598"/>
      <c r="I170" s="286"/>
      <c r="J170" s="286"/>
      <c r="K170" s="529"/>
      <c r="L170" s="286"/>
      <c r="M170" s="529"/>
      <c r="N170" s="286"/>
      <c r="O170" s="286"/>
      <c r="P170" s="286"/>
      <c r="Q170" s="286"/>
      <c r="R170" s="578"/>
      <c r="S170" s="578"/>
      <c r="T170" s="578"/>
      <c r="U170" s="578"/>
    </row>
    <row r="171">
      <c r="A171" s="321"/>
      <c r="B171" s="321"/>
      <c r="C171" s="564"/>
      <c r="D171" s="322"/>
      <c r="E171" s="597"/>
      <c r="F171" s="322"/>
      <c r="G171" s="322"/>
      <c r="H171" s="598"/>
      <c r="I171" s="286"/>
      <c r="J171" s="286"/>
      <c r="K171" s="529"/>
      <c r="L171" s="286"/>
      <c r="M171" s="529"/>
      <c r="N171" s="286"/>
      <c r="O171" s="286"/>
      <c r="P171" s="286"/>
      <c r="Q171" s="286"/>
      <c r="R171" s="578"/>
      <c r="S171" s="578"/>
      <c r="T171" s="578"/>
      <c r="U171" s="578"/>
    </row>
    <row r="172">
      <c r="A172" s="321"/>
      <c r="B172" s="321"/>
      <c r="C172" s="564"/>
      <c r="D172" s="322"/>
      <c r="E172" s="597"/>
      <c r="F172" s="322"/>
      <c r="G172" s="322"/>
      <c r="H172" s="598"/>
      <c r="I172" s="286"/>
      <c r="J172" s="286"/>
      <c r="K172" s="529"/>
      <c r="L172" s="286"/>
      <c r="M172" s="529"/>
      <c r="N172" s="286"/>
      <c r="O172" s="286"/>
      <c r="P172" s="286"/>
      <c r="Q172" s="286"/>
      <c r="R172" s="578"/>
      <c r="S172" s="578"/>
      <c r="T172" s="578"/>
      <c r="U172" s="578"/>
    </row>
    <row r="173">
      <c r="A173" s="321"/>
      <c r="B173" s="321"/>
      <c r="C173" s="564"/>
      <c r="D173" s="322"/>
      <c r="E173" s="597"/>
      <c r="F173" s="322"/>
      <c r="G173" s="322"/>
      <c r="H173" s="598"/>
      <c r="I173" s="286"/>
      <c r="J173" s="286"/>
      <c r="K173" s="529"/>
      <c r="L173" s="286"/>
      <c r="M173" s="529"/>
      <c r="N173" s="286"/>
      <c r="O173" s="286"/>
      <c r="P173" s="286"/>
      <c r="Q173" s="286"/>
      <c r="R173" s="578"/>
      <c r="S173" s="578"/>
      <c r="T173" s="578"/>
      <c r="U173" s="578"/>
    </row>
    <row r="174">
      <c r="A174" s="321"/>
      <c r="B174" s="321"/>
      <c r="C174" s="564"/>
      <c r="D174" s="322"/>
      <c r="E174" s="597"/>
      <c r="F174" s="322"/>
      <c r="G174" s="322"/>
      <c r="H174" s="598"/>
      <c r="I174" s="286"/>
      <c r="J174" s="286"/>
      <c r="K174" s="529"/>
      <c r="L174" s="286"/>
      <c r="M174" s="529"/>
      <c r="N174" s="286"/>
      <c r="O174" s="286"/>
      <c r="P174" s="286"/>
      <c r="Q174" s="286"/>
      <c r="R174" s="578"/>
      <c r="S174" s="578"/>
      <c r="T174" s="578"/>
      <c r="U174" s="578"/>
    </row>
    <row r="175">
      <c r="A175" s="321"/>
      <c r="B175" s="321"/>
      <c r="C175" s="564"/>
      <c r="D175" s="322"/>
      <c r="E175" s="597"/>
      <c r="F175" s="322"/>
      <c r="G175" s="322"/>
      <c r="H175" s="598"/>
      <c r="I175" s="286"/>
      <c r="J175" s="286"/>
      <c r="K175" s="529"/>
      <c r="L175" s="286"/>
      <c r="M175" s="529"/>
      <c r="N175" s="286"/>
      <c r="O175" s="286"/>
      <c r="P175" s="286"/>
      <c r="Q175" s="286"/>
      <c r="R175" s="578"/>
      <c r="S175" s="578"/>
      <c r="T175" s="578"/>
      <c r="U175" s="578"/>
    </row>
    <row r="176">
      <c r="A176" s="321"/>
      <c r="B176" s="321"/>
      <c r="C176" s="564"/>
      <c r="D176" s="322"/>
      <c r="E176" s="597"/>
      <c r="F176" s="322"/>
      <c r="G176" s="322"/>
      <c r="H176" s="598"/>
      <c r="I176" s="286"/>
      <c r="J176" s="286"/>
      <c r="K176" s="529"/>
      <c r="L176" s="286"/>
      <c r="M176" s="529"/>
      <c r="N176" s="286"/>
      <c r="O176" s="286"/>
      <c r="P176" s="286"/>
      <c r="Q176" s="286"/>
      <c r="R176" s="578"/>
      <c r="S176" s="578"/>
      <c r="T176" s="578"/>
      <c r="U176" s="578"/>
    </row>
    <row r="177">
      <c r="A177" s="321"/>
      <c r="B177" s="321"/>
      <c r="C177" s="564"/>
      <c r="D177" s="322"/>
      <c r="E177" s="597"/>
      <c r="F177" s="322"/>
      <c r="G177" s="322"/>
      <c r="H177" s="598"/>
      <c r="I177" s="286"/>
      <c r="J177" s="286"/>
      <c r="K177" s="529"/>
      <c r="L177" s="286"/>
      <c r="M177" s="529"/>
      <c r="N177" s="286"/>
      <c r="O177" s="286"/>
      <c r="P177" s="286"/>
      <c r="Q177" s="286"/>
      <c r="R177" s="578"/>
      <c r="S177" s="578"/>
      <c r="T177" s="578"/>
      <c r="U177" s="578"/>
    </row>
    <row r="178">
      <c r="A178" s="321"/>
      <c r="B178" s="321"/>
      <c r="C178" s="564"/>
      <c r="D178" s="322"/>
      <c r="E178" s="597"/>
      <c r="F178" s="322"/>
      <c r="G178" s="322"/>
      <c r="H178" s="598"/>
      <c r="I178" s="286"/>
      <c r="J178" s="286"/>
      <c r="K178" s="529"/>
      <c r="L178" s="286"/>
      <c r="M178" s="529"/>
      <c r="N178" s="286"/>
      <c r="O178" s="286"/>
      <c r="P178" s="286"/>
      <c r="Q178" s="286"/>
      <c r="R178" s="578"/>
      <c r="S178" s="578"/>
      <c r="T178" s="578"/>
      <c r="U178" s="578"/>
    </row>
    <row r="179">
      <c r="A179" s="321"/>
      <c r="B179" s="321"/>
      <c r="C179" s="564"/>
      <c r="D179" s="322"/>
      <c r="E179" s="597"/>
      <c r="F179" s="322"/>
      <c r="G179" s="322"/>
      <c r="H179" s="598"/>
      <c r="I179" s="286"/>
      <c r="J179" s="286"/>
      <c r="K179" s="529"/>
      <c r="L179" s="286"/>
      <c r="M179" s="529"/>
      <c r="N179" s="286"/>
      <c r="O179" s="286"/>
      <c r="P179" s="286"/>
      <c r="Q179" s="286"/>
      <c r="R179" s="578"/>
      <c r="S179" s="578"/>
      <c r="T179" s="578"/>
      <c r="U179" s="578"/>
    </row>
    <row r="180">
      <c r="A180" s="321"/>
      <c r="B180" s="321"/>
      <c r="C180" s="564"/>
      <c r="D180" s="322"/>
      <c r="E180" s="597"/>
      <c r="F180" s="322"/>
      <c r="G180" s="322"/>
      <c r="H180" s="598"/>
      <c r="I180" s="286"/>
      <c r="J180" s="286"/>
      <c r="K180" s="529"/>
      <c r="L180" s="286"/>
      <c r="M180" s="529"/>
      <c r="N180" s="286"/>
      <c r="O180" s="286"/>
      <c r="P180" s="286"/>
      <c r="Q180" s="286"/>
      <c r="R180" s="578"/>
      <c r="S180" s="578"/>
      <c r="T180" s="578"/>
      <c r="U180" s="578"/>
    </row>
    <row r="181">
      <c r="A181" s="321"/>
      <c r="B181" s="321"/>
      <c r="C181" s="564"/>
      <c r="D181" s="322"/>
      <c r="E181" s="597"/>
      <c r="F181" s="322"/>
      <c r="G181" s="322"/>
      <c r="H181" s="598"/>
      <c r="I181" s="286"/>
      <c r="J181" s="286"/>
      <c r="K181" s="529"/>
      <c r="L181" s="286"/>
      <c r="M181" s="529"/>
      <c r="N181" s="286"/>
      <c r="O181" s="286"/>
      <c r="P181" s="286"/>
      <c r="Q181" s="286"/>
      <c r="R181" s="578"/>
      <c r="S181" s="578"/>
      <c r="T181" s="578"/>
      <c r="U181" s="578"/>
    </row>
    <row r="182">
      <c r="A182" s="321"/>
      <c r="B182" s="321"/>
      <c r="C182" s="564"/>
      <c r="D182" s="322"/>
      <c r="E182" s="597"/>
      <c r="F182" s="322"/>
      <c r="G182" s="322"/>
      <c r="H182" s="598"/>
      <c r="I182" s="286"/>
      <c r="J182" s="286"/>
      <c r="K182" s="529"/>
      <c r="L182" s="286"/>
      <c r="M182" s="529"/>
      <c r="N182" s="286"/>
      <c r="O182" s="286"/>
      <c r="P182" s="286"/>
      <c r="Q182" s="286"/>
      <c r="R182" s="578"/>
      <c r="S182" s="578"/>
      <c r="T182" s="578"/>
      <c r="U182" s="578"/>
    </row>
    <row r="183">
      <c r="A183" s="321"/>
      <c r="B183" s="321"/>
      <c r="C183" s="564"/>
      <c r="D183" s="322"/>
      <c r="E183" s="597"/>
      <c r="F183" s="322"/>
      <c r="G183" s="322"/>
      <c r="H183" s="598"/>
      <c r="I183" s="286"/>
      <c r="J183" s="286"/>
      <c r="K183" s="529"/>
      <c r="L183" s="286"/>
      <c r="M183" s="529"/>
      <c r="N183" s="286"/>
      <c r="O183" s="286"/>
      <c r="P183" s="286"/>
      <c r="Q183" s="286"/>
      <c r="R183" s="578"/>
      <c r="S183" s="578"/>
      <c r="T183" s="578"/>
      <c r="U183" s="578"/>
    </row>
    <row r="184">
      <c r="A184" s="321"/>
      <c r="B184" s="321"/>
      <c r="C184" s="564"/>
      <c r="D184" s="322"/>
      <c r="E184" s="597"/>
      <c r="F184" s="322"/>
      <c r="G184" s="322"/>
      <c r="H184" s="598"/>
      <c r="I184" s="286"/>
      <c r="J184" s="286"/>
      <c r="K184" s="529"/>
      <c r="L184" s="286"/>
      <c r="M184" s="529"/>
      <c r="N184" s="286"/>
      <c r="O184" s="286"/>
      <c r="P184" s="286"/>
      <c r="Q184" s="286"/>
      <c r="R184" s="578"/>
      <c r="S184" s="578"/>
      <c r="T184" s="578"/>
      <c r="U184" s="578"/>
    </row>
    <row r="185">
      <c r="A185" s="321"/>
      <c r="B185" s="321"/>
      <c r="C185" s="564"/>
      <c r="D185" s="322"/>
      <c r="E185" s="597"/>
      <c r="F185" s="322"/>
      <c r="G185" s="322"/>
      <c r="H185" s="598"/>
      <c r="I185" s="286"/>
      <c r="J185" s="286"/>
      <c r="K185" s="529"/>
      <c r="L185" s="286"/>
      <c r="M185" s="529"/>
      <c r="N185" s="286"/>
      <c r="O185" s="286"/>
      <c r="P185" s="286"/>
      <c r="Q185" s="286"/>
      <c r="R185" s="578"/>
      <c r="S185" s="578"/>
      <c r="T185" s="578"/>
      <c r="U185" s="578"/>
    </row>
    <row r="186">
      <c r="A186" s="321"/>
      <c r="B186" s="321"/>
      <c r="C186" s="564"/>
      <c r="D186" s="322"/>
      <c r="E186" s="597"/>
      <c r="F186" s="322"/>
      <c r="G186" s="322"/>
      <c r="H186" s="598"/>
      <c r="I186" s="286"/>
      <c r="J186" s="286"/>
      <c r="K186" s="529"/>
      <c r="L186" s="286"/>
      <c r="M186" s="529"/>
      <c r="N186" s="286"/>
      <c r="O186" s="286"/>
      <c r="P186" s="286"/>
      <c r="Q186" s="286"/>
      <c r="R186" s="578"/>
      <c r="S186" s="578"/>
      <c r="T186" s="578"/>
      <c r="U186" s="578"/>
    </row>
    <row r="187">
      <c r="A187" s="321"/>
      <c r="B187" s="321"/>
      <c r="C187" s="564"/>
      <c r="D187" s="322"/>
      <c r="E187" s="597"/>
      <c r="F187" s="322"/>
      <c r="G187" s="322"/>
      <c r="H187" s="598"/>
      <c r="I187" s="286"/>
      <c r="J187" s="286"/>
      <c r="K187" s="529"/>
      <c r="L187" s="286"/>
      <c r="M187" s="529"/>
      <c r="N187" s="286"/>
      <c r="O187" s="286"/>
      <c r="P187" s="286"/>
      <c r="Q187" s="286"/>
      <c r="R187" s="578"/>
      <c r="S187" s="578"/>
      <c r="T187" s="578"/>
      <c r="U187" s="578"/>
    </row>
    <row r="188">
      <c r="A188" s="321"/>
      <c r="B188" s="321"/>
      <c r="C188" s="564"/>
      <c r="D188" s="322"/>
      <c r="E188" s="597"/>
      <c r="F188" s="322"/>
      <c r="G188" s="322"/>
      <c r="H188" s="598"/>
      <c r="I188" s="286"/>
      <c r="J188" s="286"/>
      <c r="K188" s="529"/>
      <c r="L188" s="286"/>
      <c r="M188" s="529"/>
      <c r="N188" s="286"/>
      <c r="O188" s="286"/>
      <c r="P188" s="286"/>
      <c r="Q188" s="286"/>
      <c r="R188" s="578"/>
      <c r="S188" s="578"/>
      <c r="T188" s="578"/>
      <c r="U188" s="578"/>
    </row>
    <row r="189">
      <c r="A189" s="321"/>
      <c r="B189" s="321"/>
      <c r="C189" s="564"/>
      <c r="D189" s="322"/>
      <c r="E189" s="597"/>
      <c r="F189" s="322"/>
      <c r="G189" s="322"/>
      <c r="H189" s="598"/>
      <c r="I189" s="286"/>
      <c r="J189" s="286"/>
      <c r="K189" s="529"/>
      <c r="L189" s="286"/>
      <c r="M189" s="529"/>
      <c r="N189" s="286"/>
      <c r="O189" s="286"/>
      <c r="P189" s="286"/>
      <c r="Q189" s="286"/>
      <c r="R189" s="578"/>
      <c r="S189" s="578"/>
      <c r="T189" s="578"/>
      <c r="U189" s="578"/>
    </row>
    <row r="190">
      <c r="A190" s="321"/>
      <c r="B190" s="321"/>
      <c r="C190" s="564"/>
      <c r="D190" s="322"/>
      <c r="E190" s="597"/>
      <c r="F190" s="322"/>
      <c r="G190" s="322"/>
      <c r="H190" s="598"/>
      <c r="I190" s="286"/>
      <c r="J190" s="286"/>
      <c r="K190" s="529"/>
      <c r="L190" s="286"/>
      <c r="M190" s="529"/>
      <c r="N190" s="286"/>
      <c r="O190" s="286"/>
      <c r="P190" s="286"/>
      <c r="Q190" s="286"/>
      <c r="R190" s="578"/>
      <c r="S190" s="578"/>
      <c r="T190" s="578"/>
      <c r="U190" s="578"/>
    </row>
    <row r="191">
      <c r="A191" s="321"/>
      <c r="B191" s="321"/>
      <c r="C191" s="564"/>
      <c r="D191" s="322"/>
      <c r="E191" s="597"/>
      <c r="F191" s="322"/>
      <c r="G191" s="322"/>
      <c r="H191" s="598"/>
      <c r="I191" s="286"/>
      <c r="J191" s="286"/>
      <c r="K191" s="529"/>
      <c r="L191" s="286"/>
      <c r="M191" s="529"/>
      <c r="N191" s="286"/>
      <c r="O191" s="286"/>
      <c r="P191" s="286"/>
      <c r="Q191" s="286"/>
      <c r="R191" s="578"/>
      <c r="S191" s="578"/>
      <c r="T191" s="578"/>
      <c r="U191" s="578"/>
    </row>
    <row r="192">
      <c r="A192" s="321"/>
      <c r="B192" s="321"/>
      <c r="C192" s="564"/>
      <c r="D192" s="322"/>
      <c r="E192" s="597"/>
      <c r="F192" s="322"/>
      <c r="G192" s="322"/>
      <c r="H192" s="598"/>
      <c r="I192" s="286"/>
      <c r="J192" s="286"/>
      <c r="K192" s="529"/>
      <c r="L192" s="286"/>
      <c r="M192" s="529"/>
      <c r="N192" s="286"/>
      <c r="O192" s="286"/>
      <c r="P192" s="286"/>
      <c r="Q192" s="286"/>
      <c r="R192" s="578"/>
      <c r="S192" s="578"/>
      <c r="T192" s="578"/>
      <c r="U192" s="578"/>
    </row>
    <row r="193">
      <c r="A193" s="321"/>
      <c r="B193" s="321"/>
      <c r="C193" s="564"/>
      <c r="D193" s="322"/>
      <c r="E193" s="597"/>
      <c r="F193" s="322"/>
      <c r="G193" s="322"/>
      <c r="H193" s="598"/>
      <c r="I193" s="286"/>
      <c r="J193" s="286"/>
      <c r="K193" s="529"/>
      <c r="L193" s="286"/>
      <c r="M193" s="529"/>
      <c r="N193" s="286"/>
      <c r="O193" s="286"/>
      <c r="P193" s="286"/>
      <c r="Q193" s="286"/>
      <c r="R193" s="578"/>
      <c r="S193" s="578"/>
      <c r="T193" s="578"/>
      <c r="U193" s="578"/>
    </row>
    <row r="194">
      <c r="A194" s="321"/>
      <c r="B194" s="321"/>
      <c r="C194" s="564"/>
      <c r="D194" s="322"/>
      <c r="E194" s="597"/>
      <c r="F194" s="322"/>
      <c r="G194" s="322"/>
      <c r="H194" s="598"/>
      <c r="I194" s="286"/>
      <c r="J194" s="286"/>
      <c r="K194" s="529"/>
      <c r="L194" s="286"/>
      <c r="M194" s="529"/>
      <c r="N194" s="286"/>
      <c r="O194" s="286"/>
      <c r="P194" s="286"/>
      <c r="Q194" s="286"/>
      <c r="R194" s="578"/>
      <c r="S194" s="578"/>
      <c r="T194" s="578"/>
      <c r="U194" s="578"/>
    </row>
    <row r="195">
      <c r="A195" s="321"/>
      <c r="B195" s="321"/>
      <c r="C195" s="564"/>
      <c r="D195" s="322"/>
      <c r="E195" s="597"/>
      <c r="F195" s="322"/>
      <c r="G195" s="322"/>
      <c r="H195" s="598"/>
      <c r="I195" s="286"/>
      <c r="J195" s="286"/>
      <c r="K195" s="529"/>
      <c r="L195" s="286"/>
      <c r="M195" s="529"/>
      <c r="N195" s="286"/>
      <c r="O195" s="286"/>
      <c r="P195" s="286"/>
      <c r="Q195" s="286"/>
      <c r="R195" s="578"/>
      <c r="S195" s="578"/>
      <c r="T195" s="578"/>
      <c r="U195" s="578"/>
    </row>
    <row r="196">
      <c r="A196" s="321"/>
      <c r="B196" s="321"/>
      <c r="C196" s="564"/>
      <c r="D196" s="322"/>
      <c r="E196" s="597"/>
      <c r="F196" s="322"/>
      <c r="G196" s="322"/>
      <c r="H196" s="598"/>
      <c r="I196" s="286"/>
      <c r="J196" s="286"/>
      <c r="K196" s="529"/>
      <c r="L196" s="286"/>
      <c r="M196" s="529"/>
      <c r="N196" s="286"/>
      <c r="O196" s="286"/>
      <c r="P196" s="286"/>
      <c r="Q196" s="286"/>
      <c r="R196" s="578"/>
      <c r="S196" s="578"/>
      <c r="T196" s="578"/>
      <c r="U196" s="578"/>
    </row>
    <row r="197">
      <c r="A197" s="321"/>
      <c r="B197" s="321"/>
      <c r="C197" s="564"/>
      <c r="D197" s="322"/>
      <c r="E197" s="597"/>
      <c r="F197" s="322"/>
      <c r="G197" s="322"/>
      <c r="H197" s="598"/>
      <c r="I197" s="286"/>
      <c r="J197" s="286"/>
      <c r="K197" s="529"/>
      <c r="L197" s="286"/>
      <c r="M197" s="529"/>
      <c r="N197" s="286"/>
      <c r="O197" s="286"/>
      <c r="P197" s="286"/>
      <c r="Q197" s="286"/>
      <c r="R197" s="578"/>
      <c r="S197" s="578"/>
      <c r="T197" s="578"/>
      <c r="U197" s="578"/>
    </row>
    <row r="198">
      <c r="A198" s="321"/>
      <c r="B198" s="321"/>
      <c r="C198" s="564"/>
      <c r="D198" s="322"/>
      <c r="E198" s="597"/>
      <c r="F198" s="322"/>
      <c r="G198" s="322"/>
      <c r="H198" s="598"/>
      <c r="I198" s="286"/>
      <c r="J198" s="286"/>
      <c r="K198" s="529"/>
      <c r="L198" s="286"/>
      <c r="M198" s="529"/>
      <c r="N198" s="286"/>
      <c r="O198" s="286"/>
      <c r="P198" s="286"/>
      <c r="Q198" s="286"/>
      <c r="R198" s="578"/>
      <c r="S198" s="578"/>
      <c r="T198" s="578"/>
      <c r="U198" s="578"/>
    </row>
    <row r="199">
      <c r="A199" s="321"/>
      <c r="B199" s="321"/>
      <c r="C199" s="564"/>
      <c r="D199" s="322"/>
      <c r="E199" s="597"/>
      <c r="F199" s="322"/>
      <c r="G199" s="322"/>
      <c r="H199" s="598"/>
      <c r="I199" s="286"/>
      <c r="J199" s="286"/>
      <c r="K199" s="529"/>
      <c r="L199" s="286"/>
      <c r="M199" s="529"/>
      <c r="N199" s="286"/>
      <c r="O199" s="286"/>
      <c r="P199" s="286"/>
      <c r="Q199" s="286"/>
      <c r="R199" s="578"/>
      <c r="S199" s="578"/>
      <c r="T199" s="578"/>
      <c r="U199" s="578"/>
    </row>
    <row r="200">
      <c r="A200" s="321"/>
      <c r="B200" s="321"/>
      <c r="C200" s="564"/>
      <c r="D200" s="322"/>
      <c r="E200" s="597"/>
      <c r="F200" s="322"/>
      <c r="G200" s="322"/>
      <c r="H200" s="598"/>
      <c r="I200" s="286"/>
      <c r="J200" s="286"/>
      <c r="K200" s="529"/>
      <c r="L200" s="286"/>
      <c r="M200" s="529"/>
      <c r="N200" s="286"/>
      <c r="O200" s="286"/>
      <c r="P200" s="286"/>
      <c r="Q200" s="286"/>
      <c r="R200" s="578"/>
      <c r="S200" s="578"/>
      <c r="T200" s="578"/>
      <c r="U200" s="578"/>
    </row>
    <row r="201">
      <c r="A201" s="321"/>
      <c r="B201" s="321"/>
      <c r="C201" s="564"/>
      <c r="D201" s="322"/>
      <c r="E201" s="597"/>
      <c r="F201" s="322"/>
      <c r="G201" s="322"/>
      <c r="H201" s="598"/>
      <c r="I201" s="286"/>
      <c r="J201" s="286"/>
      <c r="K201" s="529"/>
      <c r="L201" s="286"/>
      <c r="M201" s="529"/>
      <c r="N201" s="286"/>
      <c r="O201" s="286"/>
      <c r="P201" s="286"/>
      <c r="Q201" s="286"/>
      <c r="R201" s="578"/>
      <c r="S201" s="578"/>
      <c r="T201" s="578"/>
      <c r="U201" s="578"/>
    </row>
    <row r="202">
      <c r="A202" s="321"/>
      <c r="B202" s="321"/>
      <c r="C202" s="564"/>
      <c r="D202" s="322"/>
      <c r="E202" s="597"/>
      <c r="F202" s="322"/>
      <c r="G202" s="322"/>
      <c r="H202" s="598"/>
      <c r="I202" s="286"/>
      <c r="J202" s="286"/>
      <c r="K202" s="529"/>
      <c r="L202" s="286"/>
      <c r="M202" s="529"/>
      <c r="N202" s="286"/>
      <c r="O202" s="286"/>
      <c r="P202" s="286"/>
      <c r="Q202" s="286"/>
      <c r="R202" s="578"/>
      <c r="S202" s="578"/>
      <c r="T202" s="578"/>
      <c r="U202" s="578"/>
    </row>
    <row r="203">
      <c r="A203" s="321"/>
      <c r="B203" s="321"/>
      <c r="C203" s="564"/>
      <c r="D203" s="322"/>
      <c r="E203" s="597"/>
      <c r="F203" s="322"/>
      <c r="G203" s="322"/>
      <c r="H203" s="598"/>
      <c r="I203" s="286"/>
      <c r="J203" s="286"/>
      <c r="K203" s="529"/>
      <c r="L203" s="286"/>
      <c r="M203" s="529"/>
      <c r="N203" s="286"/>
      <c r="O203" s="286"/>
      <c r="P203" s="286"/>
      <c r="Q203" s="286"/>
      <c r="R203" s="578"/>
      <c r="S203" s="578"/>
      <c r="T203" s="578"/>
      <c r="U203" s="578"/>
    </row>
    <row r="204">
      <c r="A204" s="321"/>
      <c r="B204" s="321"/>
      <c r="C204" s="564"/>
      <c r="D204" s="322"/>
      <c r="E204" s="597"/>
      <c r="F204" s="322"/>
      <c r="G204" s="322"/>
      <c r="H204" s="598"/>
      <c r="I204" s="286"/>
      <c r="J204" s="286"/>
      <c r="K204" s="529"/>
      <c r="L204" s="286"/>
      <c r="M204" s="529"/>
      <c r="N204" s="286"/>
      <c r="O204" s="286"/>
      <c r="P204" s="286"/>
      <c r="Q204" s="286"/>
      <c r="R204" s="578"/>
      <c r="S204" s="578"/>
      <c r="T204" s="578"/>
      <c r="U204" s="578"/>
    </row>
    <row r="205">
      <c r="A205" s="321"/>
      <c r="B205" s="321"/>
      <c r="C205" s="564"/>
      <c r="D205" s="322"/>
      <c r="E205" s="597"/>
      <c r="F205" s="322"/>
      <c r="G205" s="322"/>
      <c r="H205" s="598"/>
      <c r="I205" s="286"/>
      <c r="J205" s="286"/>
      <c r="K205" s="529"/>
      <c r="L205" s="286"/>
      <c r="M205" s="529"/>
      <c r="N205" s="286"/>
      <c r="O205" s="286"/>
      <c r="P205" s="286"/>
      <c r="Q205" s="286"/>
      <c r="R205" s="578"/>
      <c r="S205" s="578"/>
      <c r="T205" s="578"/>
      <c r="U205" s="578"/>
    </row>
    <row r="206">
      <c r="A206" s="321"/>
      <c r="B206" s="321"/>
      <c r="C206" s="564"/>
      <c r="D206" s="322"/>
      <c r="E206" s="597"/>
      <c r="F206" s="322"/>
      <c r="G206" s="322"/>
      <c r="H206" s="598"/>
      <c r="I206" s="286"/>
      <c r="J206" s="286"/>
      <c r="K206" s="529"/>
      <c r="L206" s="286"/>
      <c r="M206" s="529"/>
      <c r="N206" s="286"/>
      <c r="O206" s="286"/>
      <c r="P206" s="286"/>
      <c r="Q206" s="286"/>
      <c r="R206" s="578"/>
      <c r="S206" s="578"/>
      <c r="T206" s="578"/>
      <c r="U206" s="578"/>
    </row>
    <row r="207">
      <c r="A207" s="321"/>
      <c r="B207" s="321"/>
      <c r="C207" s="564"/>
      <c r="D207" s="322"/>
      <c r="E207" s="597"/>
      <c r="F207" s="322"/>
      <c r="G207" s="322"/>
      <c r="H207" s="598"/>
      <c r="I207" s="286"/>
      <c r="J207" s="286"/>
      <c r="K207" s="529"/>
      <c r="L207" s="286"/>
      <c r="M207" s="529"/>
      <c r="N207" s="286"/>
      <c r="O207" s="286"/>
      <c r="P207" s="286"/>
      <c r="Q207" s="286"/>
      <c r="R207" s="578"/>
      <c r="S207" s="578"/>
      <c r="T207" s="578"/>
      <c r="U207" s="578"/>
    </row>
    <row r="208">
      <c r="A208" s="321"/>
      <c r="B208" s="321"/>
      <c r="C208" s="564"/>
      <c r="D208" s="322"/>
      <c r="E208" s="597"/>
      <c r="F208" s="322"/>
      <c r="G208" s="322"/>
      <c r="H208" s="598"/>
      <c r="I208" s="286"/>
      <c r="J208" s="286"/>
      <c r="K208" s="529"/>
      <c r="L208" s="286"/>
      <c r="M208" s="529"/>
      <c r="N208" s="286"/>
      <c r="O208" s="286"/>
      <c r="P208" s="286"/>
      <c r="Q208" s="286"/>
      <c r="R208" s="578"/>
      <c r="S208" s="578"/>
      <c r="T208" s="578"/>
      <c r="U208" s="578"/>
    </row>
    <row r="209">
      <c r="A209" s="321"/>
      <c r="B209" s="321"/>
      <c r="C209" s="564"/>
      <c r="D209" s="322"/>
      <c r="E209" s="597"/>
      <c r="F209" s="322"/>
      <c r="G209" s="322"/>
      <c r="H209" s="598"/>
      <c r="I209" s="286"/>
      <c r="J209" s="286"/>
      <c r="K209" s="529"/>
      <c r="L209" s="286"/>
      <c r="M209" s="529"/>
      <c r="N209" s="286"/>
      <c r="O209" s="286"/>
      <c r="P209" s="286"/>
      <c r="Q209" s="286"/>
      <c r="R209" s="578"/>
      <c r="S209" s="578"/>
      <c r="T209" s="578"/>
      <c r="U209" s="578"/>
    </row>
    <row r="210">
      <c r="A210" s="321"/>
      <c r="B210" s="321"/>
      <c r="C210" s="564"/>
      <c r="D210" s="322"/>
      <c r="E210" s="597"/>
      <c r="F210" s="322"/>
      <c r="G210" s="322"/>
      <c r="H210" s="598"/>
      <c r="I210" s="286"/>
      <c r="J210" s="286"/>
      <c r="K210" s="529"/>
      <c r="L210" s="286"/>
      <c r="M210" s="529"/>
      <c r="N210" s="286"/>
      <c r="O210" s="286"/>
      <c r="P210" s="286"/>
      <c r="Q210" s="286"/>
      <c r="R210" s="578"/>
      <c r="S210" s="578"/>
      <c r="T210" s="578"/>
      <c r="U210" s="578"/>
    </row>
    <row r="211">
      <c r="A211" s="321"/>
      <c r="B211" s="321"/>
      <c r="C211" s="564"/>
      <c r="D211" s="322"/>
      <c r="E211" s="597"/>
      <c r="F211" s="322"/>
      <c r="G211" s="322"/>
      <c r="H211" s="598"/>
      <c r="I211" s="286"/>
      <c r="J211" s="286"/>
      <c r="K211" s="529"/>
      <c r="L211" s="286"/>
      <c r="M211" s="529"/>
      <c r="N211" s="286"/>
      <c r="O211" s="286"/>
      <c r="P211" s="286"/>
      <c r="Q211" s="286"/>
      <c r="R211" s="578"/>
      <c r="S211" s="578"/>
      <c r="T211" s="578"/>
      <c r="U211" s="578"/>
    </row>
    <row r="212">
      <c r="A212" s="321"/>
      <c r="B212" s="321"/>
      <c r="C212" s="564"/>
      <c r="D212" s="322"/>
      <c r="E212" s="597"/>
      <c r="F212" s="322"/>
      <c r="G212" s="322"/>
      <c r="H212" s="598"/>
      <c r="I212" s="286"/>
      <c r="J212" s="286"/>
      <c r="K212" s="529"/>
      <c r="L212" s="286"/>
      <c r="M212" s="529"/>
      <c r="N212" s="286"/>
      <c r="O212" s="286"/>
      <c r="P212" s="286"/>
      <c r="Q212" s="286"/>
      <c r="R212" s="578"/>
      <c r="S212" s="578"/>
      <c r="T212" s="578"/>
      <c r="U212" s="578"/>
    </row>
    <row r="213">
      <c r="A213" s="321"/>
      <c r="B213" s="321"/>
      <c r="C213" s="564"/>
      <c r="D213" s="322"/>
      <c r="E213" s="597"/>
      <c r="F213" s="322"/>
      <c r="G213" s="322"/>
      <c r="H213" s="598"/>
      <c r="I213" s="286"/>
      <c r="J213" s="286"/>
      <c r="K213" s="529"/>
      <c r="L213" s="286"/>
      <c r="M213" s="529"/>
      <c r="N213" s="286"/>
      <c r="O213" s="286"/>
      <c r="P213" s="286"/>
      <c r="Q213" s="286"/>
      <c r="R213" s="578"/>
      <c r="S213" s="578"/>
      <c r="T213" s="578"/>
      <c r="U213" s="578"/>
    </row>
    <row r="214">
      <c r="A214" s="321"/>
      <c r="B214" s="321"/>
      <c r="C214" s="564"/>
      <c r="D214" s="322"/>
      <c r="E214" s="597"/>
      <c r="F214" s="322"/>
      <c r="G214" s="322"/>
      <c r="H214" s="598"/>
      <c r="I214" s="286"/>
      <c r="J214" s="286"/>
      <c r="K214" s="529"/>
      <c r="L214" s="286"/>
      <c r="M214" s="529"/>
      <c r="N214" s="286"/>
      <c r="O214" s="286"/>
      <c r="P214" s="286"/>
      <c r="Q214" s="286"/>
      <c r="R214" s="578"/>
      <c r="S214" s="578"/>
      <c r="T214" s="578"/>
      <c r="U214" s="578"/>
    </row>
    <row r="215">
      <c r="A215" s="321"/>
      <c r="B215" s="321"/>
      <c r="C215" s="564"/>
      <c r="D215" s="322"/>
      <c r="E215" s="597"/>
      <c r="F215" s="322"/>
      <c r="G215" s="322"/>
      <c r="H215" s="598"/>
      <c r="I215" s="286"/>
      <c r="J215" s="286"/>
      <c r="K215" s="529"/>
      <c r="L215" s="286"/>
      <c r="M215" s="529"/>
      <c r="N215" s="286"/>
      <c r="O215" s="286"/>
      <c r="P215" s="286"/>
      <c r="Q215" s="286"/>
      <c r="R215" s="578"/>
      <c r="S215" s="578"/>
      <c r="T215" s="578"/>
      <c r="U215" s="578"/>
    </row>
    <row r="216">
      <c r="A216" s="321"/>
      <c r="B216" s="321"/>
      <c r="C216" s="564"/>
      <c r="D216" s="322"/>
      <c r="E216" s="597"/>
      <c r="F216" s="322"/>
      <c r="G216" s="322"/>
      <c r="H216" s="598"/>
      <c r="I216" s="286"/>
      <c r="J216" s="286"/>
      <c r="K216" s="529"/>
      <c r="L216" s="286"/>
      <c r="M216" s="529"/>
      <c r="N216" s="286"/>
      <c r="O216" s="286"/>
      <c r="P216" s="286"/>
      <c r="Q216" s="286"/>
      <c r="R216" s="578"/>
      <c r="S216" s="578"/>
      <c r="T216" s="578"/>
      <c r="U216" s="578"/>
    </row>
    <row r="217">
      <c r="A217" s="321"/>
      <c r="B217" s="321"/>
      <c r="C217" s="564"/>
      <c r="D217" s="322"/>
      <c r="E217" s="597"/>
      <c r="F217" s="322"/>
      <c r="G217" s="322"/>
      <c r="H217" s="598"/>
      <c r="I217" s="286"/>
      <c r="J217" s="286"/>
      <c r="K217" s="529"/>
      <c r="L217" s="286"/>
      <c r="M217" s="529"/>
      <c r="N217" s="286"/>
      <c r="O217" s="286"/>
      <c r="P217" s="286"/>
      <c r="Q217" s="286"/>
      <c r="R217" s="578"/>
      <c r="S217" s="578"/>
      <c r="T217" s="578"/>
      <c r="U217" s="578"/>
    </row>
    <row r="218">
      <c r="A218" s="321"/>
      <c r="B218" s="321"/>
      <c r="C218" s="564"/>
      <c r="D218" s="322"/>
      <c r="E218" s="597"/>
      <c r="F218" s="322"/>
      <c r="G218" s="322"/>
      <c r="H218" s="598"/>
      <c r="I218" s="286"/>
      <c r="J218" s="286"/>
      <c r="K218" s="529"/>
      <c r="L218" s="286"/>
      <c r="M218" s="529"/>
      <c r="N218" s="286"/>
      <c r="O218" s="286"/>
      <c r="P218" s="286"/>
      <c r="Q218" s="286"/>
      <c r="R218" s="578"/>
      <c r="S218" s="578"/>
      <c r="T218" s="578"/>
      <c r="U218" s="578"/>
    </row>
    <row r="219">
      <c r="A219" s="321"/>
      <c r="B219" s="321"/>
      <c r="C219" s="564"/>
      <c r="D219" s="322"/>
      <c r="E219" s="597"/>
      <c r="F219" s="322"/>
      <c r="G219" s="322"/>
      <c r="H219" s="598"/>
      <c r="I219" s="286"/>
      <c r="J219" s="286"/>
      <c r="K219" s="529"/>
      <c r="L219" s="286"/>
      <c r="M219" s="529"/>
      <c r="N219" s="286"/>
      <c r="O219" s="286"/>
      <c r="P219" s="286"/>
      <c r="Q219" s="286"/>
      <c r="R219" s="578"/>
      <c r="S219" s="578"/>
      <c r="T219" s="578"/>
      <c r="U219" s="578"/>
    </row>
    <row r="220">
      <c r="A220" s="321"/>
      <c r="B220" s="321"/>
      <c r="C220" s="564"/>
      <c r="D220" s="322"/>
      <c r="E220" s="597"/>
      <c r="F220" s="322"/>
      <c r="G220" s="322"/>
      <c r="H220" s="598"/>
      <c r="I220" s="286"/>
      <c r="J220" s="286"/>
      <c r="K220" s="529"/>
      <c r="L220" s="286"/>
      <c r="M220" s="529"/>
      <c r="N220" s="286"/>
      <c r="O220" s="286"/>
      <c r="P220" s="286"/>
      <c r="Q220" s="286"/>
      <c r="R220" s="578"/>
      <c r="S220" s="578"/>
      <c r="T220" s="578"/>
      <c r="U220" s="578"/>
    </row>
    <row r="221">
      <c r="A221" s="321"/>
      <c r="B221" s="321"/>
      <c r="C221" s="564"/>
      <c r="D221" s="322"/>
      <c r="E221" s="597"/>
      <c r="F221" s="322"/>
      <c r="G221" s="322"/>
      <c r="H221" s="598"/>
      <c r="I221" s="286"/>
      <c r="J221" s="286"/>
      <c r="K221" s="529"/>
      <c r="L221" s="286"/>
      <c r="M221" s="529"/>
      <c r="N221" s="286"/>
      <c r="O221" s="286"/>
      <c r="P221" s="286"/>
      <c r="Q221" s="286"/>
      <c r="R221" s="578"/>
      <c r="S221" s="578"/>
      <c r="T221" s="578"/>
      <c r="U221" s="578"/>
    </row>
    <row r="222">
      <c r="A222" s="321"/>
      <c r="B222" s="321"/>
      <c r="C222" s="564"/>
      <c r="D222" s="322"/>
      <c r="E222" s="597"/>
      <c r="F222" s="322"/>
      <c r="G222" s="322"/>
      <c r="H222" s="598"/>
      <c r="I222" s="286"/>
      <c r="J222" s="286"/>
      <c r="K222" s="529"/>
      <c r="L222" s="286"/>
      <c r="M222" s="529"/>
      <c r="N222" s="286"/>
      <c r="O222" s="286"/>
      <c r="P222" s="286"/>
      <c r="Q222" s="286"/>
      <c r="R222" s="578"/>
      <c r="S222" s="578"/>
      <c r="T222" s="578"/>
      <c r="U222" s="578"/>
    </row>
    <row r="223">
      <c r="A223" s="321"/>
      <c r="B223" s="321"/>
      <c r="C223" s="564"/>
      <c r="D223" s="322"/>
      <c r="E223" s="597"/>
      <c r="F223" s="322"/>
      <c r="G223" s="322"/>
      <c r="H223" s="598"/>
      <c r="I223" s="286"/>
      <c r="J223" s="286"/>
      <c r="K223" s="529"/>
      <c r="L223" s="286"/>
      <c r="M223" s="529"/>
      <c r="N223" s="286"/>
      <c r="O223" s="286"/>
      <c r="P223" s="286"/>
      <c r="Q223" s="286"/>
      <c r="R223" s="578"/>
      <c r="S223" s="578"/>
      <c r="T223" s="578"/>
      <c r="U223" s="578"/>
    </row>
    <row r="224">
      <c r="A224" s="321"/>
      <c r="B224" s="321"/>
      <c r="C224" s="564"/>
      <c r="D224" s="322"/>
      <c r="E224" s="597"/>
      <c r="F224" s="322"/>
      <c r="G224" s="322"/>
      <c r="H224" s="598"/>
      <c r="I224" s="286"/>
      <c r="J224" s="286"/>
      <c r="K224" s="529"/>
      <c r="L224" s="286"/>
      <c r="M224" s="529"/>
      <c r="N224" s="286"/>
      <c r="O224" s="286"/>
      <c r="P224" s="286"/>
      <c r="Q224" s="286"/>
      <c r="R224" s="578"/>
      <c r="S224" s="578"/>
      <c r="T224" s="578"/>
      <c r="U224" s="578"/>
    </row>
    <row r="225">
      <c r="A225" s="321"/>
      <c r="B225" s="321"/>
      <c r="C225" s="564"/>
      <c r="D225" s="322"/>
      <c r="E225" s="597"/>
      <c r="F225" s="322"/>
      <c r="G225" s="322"/>
      <c r="H225" s="598"/>
      <c r="I225" s="286"/>
      <c r="J225" s="286"/>
      <c r="K225" s="529"/>
      <c r="L225" s="286"/>
      <c r="M225" s="529"/>
      <c r="N225" s="286"/>
      <c r="O225" s="286"/>
      <c r="P225" s="286"/>
      <c r="Q225" s="286"/>
      <c r="R225" s="578"/>
      <c r="S225" s="578"/>
      <c r="T225" s="578"/>
      <c r="U225" s="578"/>
    </row>
    <row r="226">
      <c r="A226" s="321"/>
      <c r="B226" s="321"/>
      <c r="C226" s="564"/>
      <c r="D226" s="322"/>
      <c r="E226" s="597"/>
      <c r="F226" s="322"/>
      <c r="G226" s="322"/>
      <c r="H226" s="598"/>
      <c r="I226" s="286"/>
      <c r="J226" s="286"/>
      <c r="K226" s="529"/>
      <c r="L226" s="286"/>
      <c r="M226" s="529"/>
      <c r="N226" s="286"/>
      <c r="O226" s="286"/>
      <c r="P226" s="286"/>
      <c r="Q226" s="286"/>
      <c r="R226" s="578"/>
      <c r="S226" s="578"/>
      <c r="T226" s="578"/>
      <c r="U226" s="578"/>
    </row>
    <row r="227">
      <c r="A227" s="321"/>
      <c r="B227" s="321"/>
      <c r="C227" s="564"/>
      <c r="D227" s="322"/>
      <c r="E227" s="597"/>
      <c r="F227" s="322"/>
      <c r="G227" s="322"/>
      <c r="H227" s="598"/>
      <c r="I227" s="286"/>
      <c r="J227" s="286"/>
      <c r="K227" s="529"/>
      <c r="L227" s="286"/>
      <c r="M227" s="529"/>
      <c r="N227" s="286"/>
      <c r="O227" s="286"/>
      <c r="P227" s="286"/>
      <c r="Q227" s="286"/>
      <c r="R227" s="578"/>
      <c r="S227" s="578"/>
      <c r="T227" s="578"/>
      <c r="U227" s="578"/>
    </row>
    <row r="228">
      <c r="A228" s="321"/>
      <c r="B228" s="321"/>
      <c r="C228" s="564"/>
      <c r="D228" s="322"/>
      <c r="E228" s="597"/>
      <c r="F228" s="322"/>
      <c r="G228" s="322"/>
      <c r="H228" s="598"/>
      <c r="I228" s="286"/>
      <c r="J228" s="286"/>
      <c r="K228" s="529"/>
      <c r="L228" s="286"/>
      <c r="M228" s="529"/>
      <c r="N228" s="286"/>
      <c r="O228" s="286"/>
      <c r="P228" s="286"/>
      <c r="Q228" s="286"/>
      <c r="R228" s="578"/>
      <c r="S228" s="578"/>
      <c r="T228" s="578"/>
      <c r="U228" s="578"/>
    </row>
    <row r="229">
      <c r="A229" s="321"/>
      <c r="B229" s="321"/>
      <c r="C229" s="564"/>
      <c r="D229" s="322"/>
      <c r="E229" s="597"/>
      <c r="F229" s="322"/>
      <c r="G229" s="322"/>
      <c r="H229" s="598"/>
      <c r="I229" s="286"/>
      <c r="J229" s="286"/>
      <c r="K229" s="529"/>
      <c r="L229" s="286"/>
      <c r="M229" s="529"/>
      <c r="N229" s="286"/>
      <c r="O229" s="286"/>
      <c r="P229" s="286"/>
      <c r="Q229" s="286"/>
      <c r="R229" s="578"/>
      <c r="S229" s="578"/>
      <c r="T229" s="578"/>
      <c r="U229" s="578"/>
    </row>
    <row r="230">
      <c r="A230" s="321"/>
      <c r="B230" s="321"/>
      <c r="C230" s="564"/>
      <c r="D230" s="322"/>
      <c r="E230" s="597"/>
      <c r="F230" s="322"/>
      <c r="G230" s="322"/>
      <c r="H230" s="598"/>
      <c r="I230" s="286"/>
      <c r="J230" s="286"/>
      <c r="K230" s="529"/>
      <c r="L230" s="286"/>
      <c r="M230" s="529"/>
      <c r="N230" s="286"/>
      <c r="O230" s="286"/>
      <c r="P230" s="286"/>
      <c r="Q230" s="286"/>
      <c r="R230" s="578"/>
      <c r="S230" s="578"/>
      <c r="T230" s="578"/>
      <c r="U230" s="578"/>
    </row>
    <row r="231">
      <c r="A231" s="321"/>
      <c r="B231" s="321"/>
      <c r="C231" s="564"/>
      <c r="D231" s="322"/>
      <c r="E231" s="597"/>
      <c r="F231" s="322"/>
      <c r="G231" s="322"/>
      <c r="H231" s="598"/>
      <c r="I231" s="286"/>
      <c r="J231" s="286"/>
      <c r="K231" s="529"/>
      <c r="L231" s="286"/>
      <c r="M231" s="529"/>
      <c r="N231" s="286"/>
      <c r="O231" s="286"/>
      <c r="P231" s="286"/>
      <c r="Q231" s="286"/>
      <c r="R231" s="578"/>
      <c r="S231" s="578"/>
      <c r="T231" s="578"/>
      <c r="U231" s="578"/>
    </row>
    <row r="232">
      <c r="A232" s="321"/>
      <c r="B232" s="321"/>
      <c r="C232" s="564"/>
      <c r="D232" s="322"/>
      <c r="E232" s="597"/>
      <c r="F232" s="322"/>
      <c r="G232" s="322"/>
      <c r="H232" s="598"/>
      <c r="I232" s="286"/>
      <c r="J232" s="286"/>
      <c r="K232" s="529"/>
      <c r="L232" s="286"/>
      <c r="M232" s="529"/>
      <c r="N232" s="286"/>
      <c r="O232" s="286"/>
      <c r="P232" s="286"/>
      <c r="Q232" s="286"/>
      <c r="R232" s="578"/>
      <c r="S232" s="578"/>
      <c r="T232" s="578"/>
      <c r="U232" s="578"/>
    </row>
    <row r="233">
      <c r="A233" s="321"/>
      <c r="B233" s="321"/>
      <c r="C233" s="564"/>
      <c r="D233" s="322"/>
      <c r="E233" s="597"/>
      <c r="F233" s="322"/>
      <c r="G233" s="322"/>
      <c r="H233" s="598"/>
      <c r="I233" s="286"/>
      <c r="J233" s="286"/>
      <c r="K233" s="529"/>
      <c r="L233" s="286"/>
      <c r="M233" s="529"/>
      <c r="N233" s="286"/>
      <c r="O233" s="286"/>
      <c r="P233" s="286"/>
      <c r="Q233" s="286"/>
      <c r="R233" s="578"/>
      <c r="S233" s="578"/>
      <c r="T233" s="578"/>
      <c r="U233" s="578"/>
    </row>
    <row r="234">
      <c r="A234" s="321"/>
      <c r="B234" s="321"/>
      <c r="C234" s="564"/>
      <c r="D234" s="322"/>
      <c r="E234" s="597"/>
      <c r="F234" s="322"/>
      <c r="G234" s="322"/>
      <c r="H234" s="598"/>
      <c r="I234" s="286"/>
      <c r="J234" s="286"/>
      <c r="K234" s="529"/>
      <c r="L234" s="286"/>
      <c r="M234" s="529"/>
      <c r="N234" s="286"/>
      <c r="O234" s="286"/>
      <c r="P234" s="286"/>
      <c r="Q234" s="286"/>
      <c r="R234" s="578"/>
      <c r="S234" s="578"/>
      <c r="T234" s="578"/>
      <c r="U234" s="578"/>
    </row>
    <row r="235">
      <c r="A235" s="321"/>
      <c r="B235" s="321"/>
      <c r="C235" s="564"/>
      <c r="D235" s="322"/>
      <c r="E235" s="597"/>
      <c r="F235" s="322"/>
      <c r="G235" s="322"/>
      <c r="H235" s="598"/>
      <c r="I235" s="286"/>
      <c r="J235" s="286"/>
      <c r="K235" s="529"/>
      <c r="L235" s="286"/>
      <c r="M235" s="529"/>
      <c r="N235" s="286"/>
      <c r="O235" s="286"/>
      <c r="P235" s="286"/>
      <c r="Q235" s="286"/>
      <c r="R235" s="578"/>
      <c r="S235" s="578"/>
      <c r="T235" s="578"/>
      <c r="U235" s="578"/>
    </row>
    <row r="236">
      <c r="A236" s="321"/>
      <c r="B236" s="321"/>
      <c r="C236" s="564"/>
      <c r="D236" s="322"/>
      <c r="E236" s="597"/>
      <c r="F236" s="322"/>
      <c r="G236" s="322"/>
      <c r="H236" s="598"/>
      <c r="I236" s="286"/>
      <c r="J236" s="286"/>
      <c r="K236" s="529"/>
      <c r="L236" s="286"/>
      <c r="M236" s="529"/>
      <c r="N236" s="286"/>
      <c r="O236" s="286"/>
      <c r="P236" s="286"/>
      <c r="Q236" s="286"/>
      <c r="R236" s="578"/>
      <c r="S236" s="578"/>
      <c r="T236" s="578"/>
      <c r="U236" s="578"/>
    </row>
    <row r="237">
      <c r="A237" s="321"/>
      <c r="B237" s="321"/>
      <c r="C237" s="564"/>
      <c r="D237" s="322"/>
      <c r="E237" s="597"/>
      <c r="F237" s="322"/>
      <c r="G237" s="322"/>
      <c r="H237" s="598"/>
      <c r="I237" s="286"/>
      <c r="J237" s="286"/>
      <c r="K237" s="529"/>
      <c r="L237" s="286"/>
      <c r="M237" s="529"/>
      <c r="N237" s="286"/>
      <c r="O237" s="286"/>
      <c r="P237" s="286"/>
      <c r="Q237" s="286"/>
      <c r="R237" s="578"/>
      <c r="S237" s="578"/>
      <c r="T237" s="578"/>
      <c r="U237" s="578"/>
    </row>
    <row r="238">
      <c r="A238" s="321"/>
      <c r="B238" s="321"/>
      <c r="C238" s="564"/>
      <c r="D238" s="322"/>
      <c r="E238" s="597"/>
      <c r="F238" s="322"/>
      <c r="G238" s="322"/>
      <c r="H238" s="598"/>
      <c r="I238" s="286"/>
      <c r="J238" s="286"/>
      <c r="K238" s="529"/>
      <c r="L238" s="286"/>
      <c r="M238" s="529"/>
      <c r="N238" s="286"/>
      <c r="O238" s="286"/>
      <c r="P238" s="286"/>
      <c r="Q238" s="286"/>
      <c r="R238" s="578"/>
      <c r="S238" s="578"/>
      <c r="T238" s="578"/>
      <c r="U238" s="578"/>
    </row>
    <row r="239">
      <c r="A239" s="321"/>
      <c r="B239" s="321"/>
      <c r="C239" s="564"/>
      <c r="D239" s="322"/>
      <c r="E239" s="597"/>
      <c r="F239" s="322"/>
      <c r="G239" s="322"/>
      <c r="H239" s="598"/>
      <c r="I239" s="286"/>
      <c r="J239" s="286"/>
      <c r="K239" s="529"/>
      <c r="L239" s="286"/>
      <c r="M239" s="529"/>
      <c r="N239" s="286"/>
      <c r="O239" s="286"/>
      <c r="P239" s="286"/>
      <c r="Q239" s="286"/>
      <c r="R239" s="578"/>
      <c r="S239" s="578"/>
      <c r="T239" s="578"/>
      <c r="U239" s="578"/>
    </row>
    <row r="240">
      <c r="A240" s="321"/>
      <c r="B240" s="321"/>
      <c r="C240" s="564"/>
      <c r="D240" s="322"/>
      <c r="E240" s="597"/>
      <c r="F240" s="322"/>
      <c r="G240" s="322"/>
      <c r="H240" s="598"/>
      <c r="I240" s="286"/>
      <c r="J240" s="286"/>
      <c r="K240" s="529"/>
      <c r="L240" s="286"/>
      <c r="M240" s="529"/>
      <c r="N240" s="286"/>
      <c r="O240" s="286"/>
      <c r="P240" s="286"/>
      <c r="Q240" s="286"/>
      <c r="R240" s="578"/>
      <c r="S240" s="578"/>
      <c r="T240" s="578"/>
      <c r="U240" s="578"/>
    </row>
    <row r="241">
      <c r="A241" s="321"/>
      <c r="B241" s="321"/>
      <c r="C241" s="564"/>
      <c r="D241" s="322"/>
      <c r="E241" s="597"/>
      <c r="F241" s="322"/>
      <c r="G241" s="322"/>
      <c r="H241" s="598"/>
      <c r="I241" s="286"/>
      <c r="J241" s="286"/>
      <c r="K241" s="529"/>
      <c r="L241" s="286"/>
      <c r="M241" s="529"/>
      <c r="N241" s="286"/>
      <c r="O241" s="286"/>
      <c r="P241" s="286"/>
      <c r="Q241" s="286"/>
      <c r="R241" s="578"/>
      <c r="S241" s="578"/>
      <c r="T241" s="578"/>
      <c r="U241" s="578"/>
    </row>
    <row r="242">
      <c r="A242" s="321"/>
      <c r="B242" s="321"/>
      <c r="C242" s="564"/>
      <c r="D242" s="322"/>
      <c r="E242" s="597"/>
      <c r="F242" s="322"/>
      <c r="G242" s="322"/>
      <c r="H242" s="598"/>
      <c r="I242" s="286"/>
      <c r="J242" s="286"/>
      <c r="K242" s="529"/>
      <c r="L242" s="286"/>
      <c r="M242" s="529"/>
      <c r="N242" s="286"/>
      <c r="O242" s="286"/>
      <c r="P242" s="286"/>
      <c r="Q242" s="286"/>
      <c r="R242" s="578"/>
      <c r="S242" s="578"/>
      <c r="T242" s="578"/>
      <c r="U242" s="578"/>
    </row>
    <row r="243">
      <c r="A243" s="321"/>
      <c r="B243" s="321"/>
      <c r="C243" s="564"/>
      <c r="D243" s="322"/>
      <c r="E243" s="597"/>
      <c r="F243" s="322"/>
      <c r="G243" s="322"/>
      <c r="H243" s="598"/>
      <c r="I243" s="286"/>
      <c r="J243" s="286"/>
      <c r="K243" s="529"/>
      <c r="L243" s="286"/>
      <c r="M243" s="529"/>
      <c r="N243" s="286"/>
      <c r="O243" s="286"/>
      <c r="P243" s="286"/>
      <c r="Q243" s="286"/>
      <c r="R243" s="578"/>
      <c r="S243" s="578"/>
      <c r="T243" s="578"/>
      <c r="U243" s="578"/>
    </row>
    <row r="244">
      <c r="A244" s="321"/>
      <c r="B244" s="321"/>
      <c r="C244" s="564"/>
      <c r="D244" s="322"/>
      <c r="E244" s="597"/>
      <c r="F244" s="322"/>
      <c r="G244" s="322"/>
      <c r="H244" s="598"/>
      <c r="I244" s="286"/>
      <c r="J244" s="286"/>
      <c r="K244" s="529"/>
      <c r="L244" s="286"/>
      <c r="M244" s="529"/>
      <c r="N244" s="286"/>
      <c r="O244" s="286"/>
      <c r="P244" s="286"/>
      <c r="Q244" s="286"/>
      <c r="R244" s="578"/>
      <c r="S244" s="578"/>
      <c r="T244" s="578"/>
      <c r="U244" s="578"/>
    </row>
    <row r="245">
      <c r="A245" s="321"/>
      <c r="B245" s="321"/>
      <c r="C245" s="564"/>
      <c r="D245" s="322"/>
      <c r="E245" s="597"/>
      <c r="F245" s="322"/>
      <c r="G245" s="322"/>
      <c r="H245" s="598"/>
      <c r="I245" s="286"/>
      <c r="J245" s="286"/>
      <c r="K245" s="529"/>
      <c r="L245" s="286"/>
      <c r="M245" s="529"/>
      <c r="N245" s="286"/>
      <c r="O245" s="286"/>
      <c r="P245" s="286"/>
      <c r="Q245" s="286"/>
      <c r="R245" s="578"/>
      <c r="S245" s="578"/>
      <c r="T245" s="578"/>
      <c r="U245" s="578"/>
    </row>
    <row r="246">
      <c r="A246" s="321"/>
      <c r="B246" s="321"/>
      <c r="C246" s="564"/>
      <c r="D246" s="322"/>
      <c r="E246" s="597"/>
      <c r="F246" s="322"/>
      <c r="G246" s="322"/>
      <c r="H246" s="598"/>
      <c r="I246" s="286"/>
      <c r="J246" s="286"/>
      <c r="K246" s="529"/>
      <c r="L246" s="286"/>
      <c r="M246" s="529"/>
      <c r="N246" s="286"/>
      <c r="O246" s="286"/>
      <c r="P246" s="286"/>
      <c r="Q246" s="286"/>
      <c r="R246" s="578"/>
      <c r="S246" s="578"/>
      <c r="T246" s="578"/>
      <c r="U246" s="578"/>
    </row>
    <row r="247">
      <c r="A247" s="321"/>
      <c r="B247" s="321"/>
      <c r="C247" s="564"/>
      <c r="D247" s="322"/>
      <c r="E247" s="597"/>
      <c r="F247" s="322"/>
      <c r="G247" s="322"/>
      <c r="H247" s="598"/>
      <c r="I247" s="286"/>
      <c r="J247" s="286"/>
      <c r="K247" s="529"/>
      <c r="L247" s="286"/>
      <c r="M247" s="529"/>
      <c r="N247" s="286"/>
      <c r="O247" s="286"/>
      <c r="P247" s="286"/>
      <c r="Q247" s="286"/>
      <c r="R247" s="578"/>
      <c r="S247" s="578"/>
      <c r="T247" s="578"/>
      <c r="U247" s="578"/>
    </row>
    <row r="248">
      <c r="A248" s="321"/>
      <c r="B248" s="321"/>
      <c r="C248" s="564"/>
      <c r="D248" s="322"/>
      <c r="E248" s="597"/>
      <c r="F248" s="322"/>
      <c r="G248" s="322"/>
      <c r="H248" s="598"/>
      <c r="I248" s="286"/>
      <c r="J248" s="286"/>
      <c r="K248" s="529"/>
      <c r="L248" s="286"/>
      <c r="M248" s="529"/>
      <c r="N248" s="286"/>
      <c r="O248" s="286"/>
      <c r="P248" s="286"/>
      <c r="Q248" s="286"/>
      <c r="R248" s="578"/>
      <c r="S248" s="578"/>
      <c r="T248" s="578"/>
      <c r="U248" s="578"/>
    </row>
    <row r="249">
      <c r="A249" s="321"/>
      <c r="B249" s="321"/>
      <c r="C249" s="564"/>
      <c r="D249" s="322"/>
      <c r="E249" s="597"/>
      <c r="F249" s="322"/>
      <c r="G249" s="322"/>
      <c r="H249" s="598"/>
      <c r="I249" s="286"/>
      <c r="J249" s="286"/>
      <c r="K249" s="529"/>
      <c r="L249" s="286"/>
      <c r="M249" s="529"/>
      <c r="N249" s="286"/>
      <c r="O249" s="286"/>
      <c r="P249" s="286"/>
      <c r="Q249" s="286"/>
      <c r="R249" s="578"/>
      <c r="S249" s="578"/>
      <c r="T249" s="578"/>
      <c r="U249" s="578"/>
    </row>
    <row r="250">
      <c r="A250" s="321"/>
      <c r="B250" s="321"/>
      <c r="C250" s="564"/>
      <c r="D250" s="322"/>
      <c r="E250" s="597"/>
      <c r="F250" s="322"/>
      <c r="G250" s="322"/>
      <c r="H250" s="598"/>
      <c r="I250" s="286"/>
      <c r="J250" s="286"/>
      <c r="K250" s="529"/>
      <c r="L250" s="286"/>
      <c r="M250" s="529"/>
      <c r="N250" s="286"/>
      <c r="O250" s="286"/>
      <c r="P250" s="286"/>
      <c r="Q250" s="286"/>
      <c r="R250" s="578"/>
      <c r="S250" s="578"/>
      <c r="T250" s="578"/>
      <c r="U250" s="578"/>
    </row>
    <row r="251">
      <c r="A251" s="321"/>
      <c r="B251" s="321"/>
      <c r="C251" s="564"/>
      <c r="D251" s="322"/>
      <c r="E251" s="597"/>
      <c r="F251" s="322"/>
      <c r="G251" s="322"/>
      <c r="H251" s="598"/>
      <c r="I251" s="286"/>
      <c r="J251" s="286"/>
      <c r="K251" s="529"/>
      <c r="L251" s="286"/>
      <c r="M251" s="529"/>
      <c r="N251" s="286"/>
      <c r="O251" s="286"/>
      <c r="P251" s="286"/>
      <c r="Q251" s="286"/>
      <c r="R251" s="578"/>
      <c r="S251" s="578"/>
      <c r="T251" s="578"/>
      <c r="U251" s="578"/>
    </row>
    <row r="252">
      <c r="A252" s="321"/>
      <c r="B252" s="321"/>
      <c r="C252" s="564"/>
      <c r="D252" s="322"/>
      <c r="E252" s="597"/>
      <c r="F252" s="322"/>
      <c r="G252" s="322"/>
      <c r="H252" s="598"/>
      <c r="I252" s="286"/>
      <c r="J252" s="286"/>
      <c r="K252" s="529"/>
      <c r="L252" s="286"/>
      <c r="M252" s="529"/>
      <c r="N252" s="286"/>
      <c r="O252" s="286"/>
      <c r="P252" s="286"/>
      <c r="Q252" s="286"/>
      <c r="R252" s="578"/>
      <c r="S252" s="578"/>
      <c r="T252" s="578"/>
      <c r="U252" s="578"/>
    </row>
    <row r="253">
      <c r="A253" s="321"/>
      <c r="B253" s="321"/>
      <c r="C253" s="564"/>
      <c r="D253" s="322"/>
      <c r="E253" s="597"/>
      <c r="F253" s="322"/>
      <c r="G253" s="322"/>
      <c r="H253" s="598"/>
      <c r="I253" s="286"/>
      <c r="J253" s="286"/>
      <c r="K253" s="529"/>
      <c r="L253" s="286"/>
      <c r="M253" s="529"/>
      <c r="N253" s="286"/>
      <c r="O253" s="286"/>
      <c r="P253" s="286"/>
      <c r="Q253" s="286"/>
      <c r="R253" s="578"/>
      <c r="S253" s="578"/>
      <c r="T253" s="578"/>
      <c r="U253" s="578"/>
    </row>
    <row r="254">
      <c r="A254" s="321"/>
      <c r="B254" s="321"/>
      <c r="C254" s="564"/>
      <c r="D254" s="322"/>
      <c r="E254" s="597"/>
      <c r="F254" s="322"/>
      <c r="G254" s="322"/>
      <c r="H254" s="598"/>
      <c r="I254" s="286"/>
      <c r="J254" s="286"/>
      <c r="K254" s="529"/>
      <c r="L254" s="286"/>
      <c r="M254" s="529"/>
      <c r="N254" s="286"/>
      <c r="O254" s="286"/>
      <c r="P254" s="286"/>
      <c r="Q254" s="286"/>
      <c r="R254" s="578"/>
      <c r="S254" s="578"/>
      <c r="T254" s="578"/>
      <c r="U254" s="578"/>
    </row>
    <row r="255">
      <c r="A255" s="321"/>
      <c r="B255" s="321"/>
      <c r="C255" s="564"/>
      <c r="D255" s="322"/>
      <c r="E255" s="597"/>
      <c r="F255" s="322"/>
      <c r="G255" s="322"/>
      <c r="H255" s="598"/>
      <c r="I255" s="286"/>
      <c r="J255" s="286"/>
      <c r="K255" s="529"/>
      <c r="L255" s="286"/>
      <c r="M255" s="529"/>
      <c r="N255" s="286"/>
      <c r="O255" s="286"/>
      <c r="P255" s="286"/>
      <c r="Q255" s="286"/>
      <c r="R255" s="578"/>
      <c r="S255" s="578"/>
      <c r="T255" s="578"/>
      <c r="U255" s="578"/>
    </row>
    <row r="256">
      <c r="A256" s="321"/>
      <c r="B256" s="321"/>
      <c r="C256" s="564"/>
      <c r="D256" s="322"/>
      <c r="E256" s="597"/>
      <c r="F256" s="322"/>
      <c r="G256" s="322"/>
      <c r="H256" s="598"/>
      <c r="I256" s="286"/>
      <c r="J256" s="286"/>
      <c r="K256" s="529"/>
      <c r="L256" s="286"/>
      <c r="M256" s="529"/>
      <c r="N256" s="286"/>
      <c r="O256" s="286"/>
      <c r="P256" s="286"/>
      <c r="Q256" s="286"/>
      <c r="R256" s="578"/>
      <c r="S256" s="578"/>
      <c r="T256" s="578"/>
      <c r="U256" s="578"/>
    </row>
    <row r="257">
      <c r="A257" s="321"/>
      <c r="B257" s="321"/>
      <c r="C257" s="564"/>
      <c r="D257" s="322"/>
      <c r="E257" s="597"/>
      <c r="F257" s="322"/>
      <c r="G257" s="322"/>
      <c r="H257" s="598"/>
      <c r="I257" s="286"/>
      <c r="J257" s="286"/>
      <c r="K257" s="529"/>
      <c r="L257" s="286"/>
      <c r="M257" s="529"/>
      <c r="N257" s="286"/>
      <c r="O257" s="286"/>
      <c r="P257" s="286"/>
      <c r="Q257" s="286"/>
      <c r="R257" s="578"/>
      <c r="S257" s="578"/>
      <c r="T257" s="578"/>
      <c r="U257" s="578"/>
    </row>
    <row r="258">
      <c r="A258" s="321"/>
      <c r="B258" s="321"/>
      <c r="C258" s="564"/>
      <c r="D258" s="322"/>
      <c r="E258" s="597"/>
      <c r="F258" s="322"/>
      <c r="G258" s="322"/>
      <c r="H258" s="598"/>
      <c r="I258" s="286"/>
      <c r="J258" s="286"/>
      <c r="K258" s="529"/>
      <c r="L258" s="286"/>
      <c r="M258" s="529"/>
      <c r="N258" s="286"/>
      <c r="O258" s="286"/>
      <c r="P258" s="286"/>
      <c r="Q258" s="286"/>
      <c r="R258" s="578"/>
      <c r="S258" s="578"/>
      <c r="T258" s="578"/>
      <c r="U258" s="578"/>
    </row>
    <row r="259">
      <c r="A259" s="321"/>
      <c r="B259" s="321"/>
      <c r="C259" s="564"/>
      <c r="D259" s="322"/>
      <c r="E259" s="597"/>
      <c r="F259" s="322"/>
      <c r="G259" s="322"/>
      <c r="H259" s="598"/>
      <c r="I259" s="286"/>
      <c r="J259" s="286"/>
      <c r="K259" s="529"/>
      <c r="L259" s="286"/>
      <c r="M259" s="529"/>
      <c r="N259" s="286"/>
      <c r="O259" s="286"/>
      <c r="P259" s="286"/>
      <c r="Q259" s="286"/>
      <c r="R259" s="578"/>
      <c r="S259" s="578"/>
      <c r="T259" s="578"/>
      <c r="U259" s="578"/>
    </row>
    <row r="260">
      <c r="A260" s="321"/>
      <c r="B260" s="321"/>
      <c r="C260" s="564"/>
      <c r="D260" s="322"/>
      <c r="E260" s="597"/>
      <c r="F260" s="322"/>
      <c r="G260" s="322"/>
      <c r="H260" s="598"/>
      <c r="I260" s="286"/>
      <c r="J260" s="286"/>
      <c r="K260" s="529"/>
      <c r="L260" s="286"/>
      <c r="M260" s="529"/>
      <c r="N260" s="286"/>
      <c r="O260" s="286"/>
      <c r="P260" s="286"/>
      <c r="Q260" s="286"/>
      <c r="R260" s="578"/>
      <c r="S260" s="578"/>
      <c r="T260" s="578"/>
      <c r="U260" s="578"/>
    </row>
    <row r="261">
      <c r="A261" s="321"/>
      <c r="B261" s="321"/>
      <c r="C261" s="564"/>
      <c r="D261" s="322"/>
      <c r="E261" s="597"/>
      <c r="F261" s="322"/>
      <c r="G261" s="322"/>
      <c r="H261" s="598"/>
      <c r="I261" s="286"/>
      <c r="J261" s="286"/>
      <c r="K261" s="529"/>
      <c r="L261" s="286"/>
      <c r="M261" s="529"/>
      <c r="N261" s="286"/>
      <c r="O261" s="286"/>
      <c r="P261" s="286"/>
      <c r="Q261" s="286"/>
      <c r="R261" s="578"/>
      <c r="S261" s="578"/>
      <c r="T261" s="578"/>
      <c r="U261" s="578"/>
    </row>
    <row r="262">
      <c r="A262" s="321"/>
      <c r="B262" s="321"/>
      <c r="C262" s="564"/>
      <c r="D262" s="322"/>
      <c r="E262" s="597"/>
      <c r="F262" s="322"/>
      <c r="G262" s="322"/>
      <c r="H262" s="598"/>
      <c r="I262" s="286"/>
      <c r="J262" s="286"/>
      <c r="K262" s="529"/>
      <c r="L262" s="286"/>
      <c r="M262" s="529"/>
      <c r="N262" s="286"/>
      <c r="O262" s="286"/>
      <c r="P262" s="286"/>
      <c r="Q262" s="286"/>
      <c r="R262" s="578"/>
      <c r="S262" s="578"/>
      <c r="T262" s="578"/>
      <c r="U262" s="578"/>
    </row>
    <row r="263">
      <c r="A263" s="321"/>
      <c r="B263" s="321"/>
      <c r="C263" s="564"/>
      <c r="D263" s="322"/>
      <c r="E263" s="597"/>
      <c r="F263" s="322"/>
      <c r="G263" s="322"/>
      <c r="H263" s="598"/>
      <c r="I263" s="286"/>
      <c r="J263" s="286"/>
      <c r="K263" s="529"/>
      <c r="L263" s="286"/>
      <c r="M263" s="529"/>
      <c r="N263" s="286"/>
      <c r="O263" s="286"/>
      <c r="P263" s="286"/>
      <c r="Q263" s="286"/>
      <c r="R263" s="578"/>
      <c r="S263" s="578"/>
      <c r="T263" s="578"/>
      <c r="U263" s="578"/>
    </row>
    <row r="264">
      <c r="A264" s="321"/>
      <c r="B264" s="321"/>
      <c r="C264" s="564"/>
      <c r="D264" s="322"/>
      <c r="E264" s="597"/>
      <c r="F264" s="322"/>
      <c r="G264" s="322"/>
      <c r="H264" s="598"/>
      <c r="I264" s="286"/>
      <c r="J264" s="286"/>
      <c r="K264" s="529"/>
      <c r="L264" s="286"/>
      <c r="M264" s="529"/>
      <c r="N264" s="286"/>
      <c r="O264" s="286"/>
      <c r="P264" s="286"/>
      <c r="Q264" s="286"/>
      <c r="R264" s="578"/>
      <c r="S264" s="578"/>
      <c r="T264" s="578"/>
      <c r="U264" s="578"/>
    </row>
    <row r="265">
      <c r="A265" s="321"/>
      <c r="B265" s="321"/>
      <c r="C265" s="564"/>
      <c r="D265" s="322"/>
      <c r="E265" s="597"/>
      <c r="F265" s="322"/>
      <c r="G265" s="322"/>
      <c r="H265" s="598"/>
      <c r="I265" s="286"/>
      <c r="J265" s="286"/>
      <c r="K265" s="529"/>
      <c r="L265" s="286"/>
      <c r="M265" s="529"/>
      <c r="N265" s="286"/>
      <c r="O265" s="286"/>
      <c r="P265" s="286"/>
      <c r="Q265" s="286"/>
      <c r="R265" s="578"/>
      <c r="S265" s="578"/>
      <c r="T265" s="578"/>
      <c r="U265" s="578"/>
    </row>
    <row r="266">
      <c r="A266" s="321"/>
      <c r="B266" s="321"/>
      <c r="C266" s="564"/>
      <c r="D266" s="322"/>
      <c r="E266" s="597"/>
      <c r="F266" s="322"/>
      <c r="G266" s="322"/>
      <c r="H266" s="598"/>
      <c r="I266" s="286"/>
      <c r="J266" s="286"/>
      <c r="K266" s="529"/>
      <c r="L266" s="286"/>
      <c r="M266" s="529"/>
      <c r="N266" s="286"/>
      <c r="O266" s="286"/>
      <c r="P266" s="286"/>
      <c r="Q266" s="286"/>
      <c r="R266" s="578"/>
      <c r="S266" s="578"/>
      <c r="T266" s="578"/>
      <c r="U266" s="578"/>
    </row>
    <row r="267">
      <c r="A267" s="321"/>
      <c r="B267" s="321"/>
      <c r="C267" s="564"/>
      <c r="D267" s="322"/>
      <c r="E267" s="597"/>
      <c r="F267" s="322"/>
      <c r="G267" s="322"/>
      <c r="H267" s="598"/>
      <c r="I267" s="286"/>
      <c r="J267" s="286"/>
      <c r="K267" s="529"/>
      <c r="L267" s="286"/>
      <c r="M267" s="529"/>
      <c r="N267" s="286"/>
      <c r="O267" s="286"/>
      <c r="P267" s="286"/>
      <c r="Q267" s="286"/>
      <c r="R267" s="578"/>
      <c r="S267" s="578"/>
      <c r="T267" s="578"/>
      <c r="U267" s="578"/>
    </row>
    <row r="268">
      <c r="A268" s="321"/>
      <c r="B268" s="321"/>
      <c r="C268" s="564"/>
      <c r="D268" s="322"/>
      <c r="E268" s="597"/>
      <c r="F268" s="322"/>
      <c r="G268" s="322"/>
      <c r="H268" s="598"/>
      <c r="I268" s="286"/>
      <c r="J268" s="286"/>
      <c r="K268" s="529"/>
      <c r="L268" s="286"/>
      <c r="M268" s="529"/>
      <c r="N268" s="286"/>
      <c r="O268" s="286"/>
      <c r="P268" s="286"/>
      <c r="Q268" s="286"/>
      <c r="R268" s="578"/>
      <c r="S268" s="578"/>
      <c r="T268" s="578"/>
      <c r="U268" s="578"/>
    </row>
    <row r="269">
      <c r="A269" s="321"/>
      <c r="B269" s="321"/>
      <c r="C269" s="564"/>
      <c r="D269" s="322"/>
      <c r="E269" s="597"/>
      <c r="F269" s="322"/>
      <c r="G269" s="322"/>
      <c r="H269" s="598"/>
      <c r="I269" s="286"/>
      <c r="J269" s="286"/>
      <c r="K269" s="529"/>
      <c r="L269" s="286"/>
      <c r="M269" s="529"/>
      <c r="N269" s="286"/>
      <c r="O269" s="286"/>
      <c r="P269" s="286"/>
      <c r="Q269" s="286"/>
      <c r="R269" s="578"/>
      <c r="S269" s="578"/>
      <c r="T269" s="578"/>
      <c r="U269" s="578"/>
    </row>
    <row r="270">
      <c r="A270" s="321"/>
      <c r="B270" s="321"/>
      <c r="C270" s="564"/>
      <c r="D270" s="322"/>
      <c r="E270" s="597"/>
      <c r="F270" s="322"/>
      <c r="G270" s="322"/>
      <c r="H270" s="598"/>
      <c r="I270" s="286"/>
      <c r="J270" s="286"/>
      <c r="K270" s="529"/>
      <c r="L270" s="286"/>
      <c r="M270" s="529"/>
      <c r="N270" s="286"/>
      <c r="O270" s="286"/>
      <c r="P270" s="286"/>
      <c r="Q270" s="286"/>
      <c r="R270" s="578"/>
      <c r="S270" s="578"/>
      <c r="T270" s="578"/>
      <c r="U270" s="578"/>
    </row>
    <row r="271">
      <c r="A271" s="321"/>
      <c r="B271" s="321"/>
      <c r="C271" s="564"/>
      <c r="D271" s="322"/>
      <c r="E271" s="597"/>
      <c r="F271" s="322"/>
      <c r="G271" s="322"/>
      <c r="H271" s="598"/>
      <c r="I271" s="286"/>
      <c r="J271" s="286"/>
      <c r="K271" s="529"/>
      <c r="L271" s="286"/>
      <c r="M271" s="529"/>
      <c r="N271" s="286"/>
      <c r="O271" s="286"/>
      <c r="P271" s="286"/>
      <c r="Q271" s="286"/>
      <c r="R271" s="578"/>
      <c r="S271" s="578"/>
      <c r="T271" s="578"/>
      <c r="U271" s="578"/>
    </row>
    <row r="272">
      <c r="A272" s="321"/>
      <c r="B272" s="321"/>
      <c r="C272" s="564"/>
      <c r="D272" s="322"/>
      <c r="E272" s="597"/>
      <c r="F272" s="322"/>
      <c r="G272" s="322"/>
      <c r="H272" s="598"/>
      <c r="I272" s="286"/>
      <c r="J272" s="286"/>
      <c r="K272" s="529"/>
      <c r="L272" s="286"/>
      <c r="M272" s="529"/>
      <c r="N272" s="286"/>
      <c r="O272" s="286"/>
      <c r="P272" s="286"/>
      <c r="Q272" s="286"/>
      <c r="R272" s="578"/>
      <c r="S272" s="578"/>
      <c r="T272" s="578"/>
      <c r="U272" s="578"/>
    </row>
    <row r="273">
      <c r="A273" s="321"/>
      <c r="B273" s="321"/>
      <c r="C273" s="564"/>
      <c r="D273" s="322"/>
      <c r="E273" s="597"/>
      <c r="F273" s="322"/>
      <c r="G273" s="322"/>
      <c r="H273" s="598"/>
      <c r="I273" s="286"/>
      <c r="J273" s="286"/>
      <c r="K273" s="529"/>
      <c r="L273" s="286"/>
      <c r="M273" s="529"/>
      <c r="N273" s="286"/>
      <c r="O273" s="286"/>
      <c r="P273" s="286"/>
      <c r="Q273" s="286"/>
      <c r="R273" s="578"/>
      <c r="S273" s="578"/>
      <c r="T273" s="578"/>
      <c r="U273" s="578"/>
    </row>
    <row r="274">
      <c r="A274" s="321"/>
      <c r="B274" s="321"/>
      <c r="C274" s="564"/>
      <c r="D274" s="322"/>
      <c r="E274" s="597"/>
      <c r="F274" s="322"/>
      <c r="G274" s="322"/>
      <c r="H274" s="598"/>
      <c r="I274" s="286"/>
      <c r="J274" s="286"/>
      <c r="K274" s="529"/>
      <c r="L274" s="286"/>
      <c r="M274" s="529"/>
      <c r="N274" s="286"/>
      <c r="O274" s="286"/>
      <c r="P274" s="286"/>
      <c r="Q274" s="286"/>
      <c r="R274" s="578"/>
      <c r="S274" s="578"/>
      <c r="T274" s="578"/>
      <c r="U274" s="578"/>
    </row>
    <row r="275">
      <c r="A275" s="321"/>
      <c r="B275" s="321"/>
      <c r="C275" s="564"/>
      <c r="D275" s="322"/>
      <c r="E275" s="597"/>
      <c r="F275" s="322"/>
      <c r="G275" s="322"/>
      <c r="H275" s="598"/>
      <c r="I275" s="286"/>
      <c r="J275" s="286"/>
      <c r="K275" s="529"/>
      <c r="L275" s="286"/>
      <c r="M275" s="529"/>
      <c r="N275" s="286"/>
      <c r="O275" s="286"/>
      <c r="P275" s="286"/>
      <c r="Q275" s="286"/>
      <c r="R275" s="578"/>
      <c r="S275" s="578"/>
      <c r="T275" s="578"/>
      <c r="U275" s="578"/>
    </row>
    <row r="276">
      <c r="A276" s="321"/>
      <c r="B276" s="321"/>
      <c r="C276" s="564"/>
      <c r="D276" s="322"/>
      <c r="E276" s="597"/>
      <c r="F276" s="322"/>
      <c r="G276" s="322"/>
      <c r="H276" s="598"/>
      <c r="I276" s="286"/>
      <c r="J276" s="286"/>
      <c r="K276" s="529"/>
      <c r="L276" s="286"/>
      <c r="M276" s="529"/>
      <c r="N276" s="286"/>
      <c r="O276" s="286"/>
      <c r="P276" s="286"/>
      <c r="Q276" s="286"/>
      <c r="R276" s="578"/>
      <c r="S276" s="578"/>
      <c r="T276" s="578"/>
      <c r="U276" s="578"/>
    </row>
    <row r="277">
      <c r="A277" s="321"/>
      <c r="B277" s="321"/>
      <c r="C277" s="564"/>
      <c r="D277" s="322"/>
      <c r="E277" s="597"/>
      <c r="F277" s="322"/>
      <c r="G277" s="322"/>
      <c r="H277" s="598"/>
      <c r="I277" s="286"/>
      <c r="J277" s="286"/>
      <c r="K277" s="529"/>
      <c r="L277" s="286"/>
      <c r="M277" s="529"/>
      <c r="N277" s="286"/>
      <c r="O277" s="286"/>
      <c r="P277" s="286"/>
      <c r="Q277" s="286"/>
      <c r="R277" s="578"/>
      <c r="S277" s="578"/>
      <c r="T277" s="578"/>
      <c r="U277" s="578"/>
    </row>
    <row r="278">
      <c r="A278" s="321"/>
      <c r="B278" s="321"/>
      <c r="C278" s="564"/>
      <c r="D278" s="322"/>
      <c r="E278" s="597"/>
      <c r="F278" s="322"/>
      <c r="G278" s="322"/>
      <c r="H278" s="598"/>
      <c r="I278" s="286"/>
      <c r="J278" s="286"/>
      <c r="K278" s="529"/>
      <c r="L278" s="286"/>
      <c r="M278" s="529"/>
      <c r="N278" s="286"/>
      <c r="O278" s="286"/>
      <c r="P278" s="286"/>
      <c r="Q278" s="286"/>
      <c r="R278" s="578"/>
      <c r="S278" s="578"/>
      <c r="T278" s="578"/>
      <c r="U278" s="578"/>
    </row>
    <row r="279">
      <c r="A279" s="321"/>
      <c r="B279" s="321"/>
      <c r="C279" s="564"/>
      <c r="D279" s="322"/>
      <c r="E279" s="597"/>
      <c r="F279" s="322"/>
      <c r="G279" s="322"/>
      <c r="H279" s="598"/>
      <c r="I279" s="286"/>
      <c r="J279" s="286"/>
      <c r="K279" s="529"/>
      <c r="L279" s="286"/>
      <c r="M279" s="529"/>
      <c r="N279" s="286"/>
      <c r="O279" s="286"/>
      <c r="P279" s="286"/>
      <c r="Q279" s="286"/>
      <c r="R279" s="578"/>
      <c r="S279" s="578"/>
      <c r="T279" s="578"/>
      <c r="U279" s="578"/>
    </row>
    <row r="280">
      <c r="A280" s="321"/>
      <c r="B280" s="321"/>
      <c r="C280" s="564"/>
      <c r="D280" s="322"/>
      <c r="E280" s="597"/>
      <c r="F280" s="322"/>
      <c r="G280" s="322"/>
      <c r="H280" s="598"/>
      <c r="I280" s="286"/>
      <c r="J280" s="286"/>
      <c r="K280" s="529"/>
      <c r="L280" s="286"/>
      <c r="M280" s="529"/>
      <c r="N280" s="286"/>
      <c r="O280" s="286"/>
      <c r="P280" s="286"/>
      <c r="Q280" s="286"/>
      <c r="R280" s="578"/>
      <c r="S280" s="578"/>
      <c r="T280" s="578"/>
      <c r="U280" s="578"/>
    </row>
    <row r="281">
      <c r="A281" s="321"/>
      <c r="B281" s="321"/>
      <c r="C281" s="564"/>
      <c r="D281" s="322"/>
      <c r="E281" s="597"/>
      <c r="F281" s="322"/>
      <c r="G281" s="322"/>
      <c r="H281" s="598"/>
      <c r="I281" s="286"/>
      <c r="J281" s="286"/>
      <c r="K281" s="529"/>
      <c r="L281" s="286"/>
      <c r="M281" s="529"/>
      <c r="N281" s="286"/>
      <c r="O281" s="286"/>
      <c r="P281" s="286"/>
      <c r="Q281" s="286"/>
      <c r="R281" s="578"/>
      <c r="S281" s="578"/>
      <c r="T281" s="578"/>
      <c r="U281" s="578"/>
    </row>
    <row r="282">
      <c r="A282" s="321"/>
      <c r="B282" s="321"/>
      <c r="C282" s="564"/>
      <c r="D282" s="322"/>
      <c r="E282" s="597"/>
      <c r="F282" s="322"/>
      <c r="G282" s="322"/>
      <c r="H282" s="598"/>
      <c r="I282" s="286"/>
      <c r="J282" s="286"/>
      <c r="K282" s="529"/>
      <c r="L282" s="286"/>
      <c r="M282" s="529"/>
      <c r="N282" s="286"/>
      <c r="O282" s="286"/>
      <c r="P282" s="286"/>
      <c r="Q282" s="286"/>
      <c r="R282" s="578"/>
      <c r="S282" s="578"/>
      <c r="T282" s="578"/>
      <c r="U282" s="578"/>
    </row>
    <row r="283">
      <c r="A283" s="321"/>
      <c r="B283" s="321"/>
      <c r="C283" s="564"/>
      <c r="D283" s="322"/>
      <c r="E283" s="597"/>
      <c r="F283" s="322"/>
      <c r="G283" s="322"/>
      <c r="H283" s="598"/>
      <c r="I283" s="286"/>
      <c r="J283" s="286"/>
      <c r="K283" s="529"/>
      <c r="L283" s="286"/>
      <c r="M283" s="529"/>
      <c r="N283" s="286"/>
      <c r="O283" s="286"/>
      <c r="P283" s="286"/>
      <c r="Q283" s="286"/>
      <c r="R283" s="578"/>
      <c r="S283" s="578"/>
      <c r="T283" s="578"/>
      <c r="U283" s="578"/>
    </row>
    <row r="284">
      <c r="A284" s="321"/>
      <c r="B284" s="321"/>
      <c r="C284" s="564"/>
      <c r="D284" s="322"/>
      <c r="E284" s="597"/>
      <c r="F284" s="322"/>
      <c r="G284" s="322"/>
      <c r="H284" s="598"/>
      <c r="I284" s="286"/>
      <c r="J284" s="286"/>
      <c r="K284" s="529"/>
      <c r="L284" s="286"/>
      <c r="M284" s="529"/>
      <c r="N284" s="286"/>
      <c r="O284" s="286"/>
      <c r="P284" s="286"/>
      <c r="Q284" s="286"/>
      <c r="R284" s="578"/>
      <c r="S284" s="578"/>
      <c r="T284" s="578"/>
      <c r="U284" s="578"/>
    </row>
    <row r="285">
      <c r="A285" s="286"/>
      <c r="B285" s="286"/>
      <c r="C285" s="529"/>
      <c r="D285" s="306"/>
      <c r="E285" s="599"/>
      <c r="F285" s="306"/>
      <c r="G285" s="306"/>
      <c r="H285" s="598"/>
      <c r="I285" s="286"/>
      <c r="J285" s="286"/>
      <c r="K285" s="529"/>
      <c r="L285" s="286"/>
      <c r="M285" s="529"/>
      <c r="N285" s="286"/>
      <c r="O285" s="286"/>
      <c r="P285" s="286"/>
      <c r="Q285" s="286"/>
      <c r="R285" s="578"/>
      <c r="S285" s="578"/>
      <c r="T285" s="578"/>
      <c r="U285" s="578"/>
    </row>
    <row r="286">
      <c r="A286" s="286"/>
      <c r="B286" s="286"/>
      <c r="C286" s="529"/>
      <c r="D286" s="306"/>
      <c r="E286" s="599"/>
      <c r="F286" s="306"/>
      <c r="G286" s="306"/>
      <c r="H286" s="598"/>
      <c r="I286" s="286"/>
      <c r="J286" s="286"/>
      <c r="K286" s="529"/>
      <c r="L286" s="286"/>
      <c r="M286" s="529"/>
      <c r="N286" s="286"/>
      <c r="O286" s="286"/>
      <c r="P286" s="286"/>
      <c r="Q286" s="286"/>
      <c r="R286" s="578"/>
      <c r="S286" s="578"/>
      <c r="T286" s="578"/>
      <c r="U286" s="578"/>
    </row>
    <row r="287">
      <c r="A287" s="286"/>
      <c r="B287" s="286"/>
      <c r="C287" s="529"/>
      <c r="D287" s="306"/>
      <c r="E287" s="599"/>
      <c r="F287" s="306"/>
      <c r="G287" s="306"/>
      <c r="H287" s="598"/>
      <c r="I287" s="286"/>
      <c r="J287" s="286"/>
      <c r="K287" s="529"/>
      <c r="L287" s="286"/>
      <c r="M287" s="529"/>
      <c r="N287" s="286"/>
      <c r="O287" s="286"/>
      <c r="P287" s="286"/>
      <c r="Q287" s="286"/>
      <c r="R287" s="578"/>
      <c r="S287" s="578"/>
      <c r="T287" s="578"/>
      <c r="U287" s="578"/>
    </row>
    <row r="288">
      <c r="A288" s="286"/>
      <c r="B288" s="286"/>
      <c r="C288" s="529"/>
      <c r="D288" s="306"/>
      <c r="E288" s="599"/>
      <c r="F288" s="306"/>
      <c r="G288" s="306"/>
      <c r="H288" s="598"/>
      <c r="I288" s="286"/>
      <c r="J288" s="286"/>
      <c r="K288" s="529"/>
      <c r="L288" s="286"/>
      <c r="M288" s="529"/>
      <c r="N288" s="286"/>
      <c r="O288" s="286"/>
      <c r="P288" s="286"/>
      <c r="Q288" s="286"/>
      <c r="R288" s="578"/>
      <c r="S288" s="578"/>
      <c r="T288" s="578"/>
      <c r="U288" s="578"/>
    </row>
    <row r="289">
      <c r="A289" s="286"/>
      <c r="B289" s="286"/>
      <c r="C289" s="529"/>
      <c r="D289" s="306"/>
      <c r="E289" s="599"/>
      <c r="F289" s="306"/>
      <c r="G289" s="306"/>
      <c r="H289" s="598"/>
      <c r="I289" s="286"/>
      <c r="J289" s="286"/>
      <c r="K289" s="529"/>
      <c r="L289" s="286"/>
      <c r="M289" s="529"/>
      <c r="N289" s="286"/>
      <c r="O289" s="286"/>
      <c r="P289" s="286"/>
      <c r="Q289" s="286"/>
      <c r="R289" s="578"/>
      <c r="S289" s="578"/>
      <c r="T289" s="578"/>
      <c r="U289" s="578"/>
    </row>
    <row r="290">
      <c r="A290" s="286"/>
      <c r="B290" s="286"/>
      <c r="C290" s="529"/>
      <c r="D290" s="306"/>
      <c r="E290" s="599"/>
      <c r="F290" s="306"/>
      <c r="G290" s="306"/>
      <c r="H290" s="598"/>
      <c r="I290" s="286"/>
      <c r="J290" s="286"/>
      <c r="K290" s="529"/>
      <c r="L290" s="286"/>
      <c r="M290" s="529"/>
      <c r="N290" s="286"/>
      <c r="O290" s="286"/>
      <c r="P290" s="286"/>
      <c r="Q290" s="286"/>
      <c r="R290" s="578"/>
      <c r="S290" s="578"/>
      <c r="T290" s="578"/>
      <c r="U290" s="578"/>
    </row>
    <row r="291">
      <c r="A291" s="286"/>
      <c r="B291" s="286"/>
      <c r="C291" s="529"/>
      <c r="D291" s="306"/>
      <c r="E291" s="599"/>
      <c r="F291" s="306"/>
      <c r="G291" s="306"/>
      <c r="H291" s="598"/>
      <c r="I291" s="286"/>
      <c r="J291" s="286"/>
      <c r="K291" s="529"/>
      <c r="L291" s="286"/>
      <c r="M291" s="529"/>
      <c r="N291" s="286"/>
      <c r="O291" s="286"/>
      <c r="P291" s="286"/>
      <c r="Q291" s="286"/>
      <c r="R291" s="578"/>
      <c r="S291" s="578"/>
      <c r="T291" s="578"/>
      <c r="U291" s="578"/>
    </row>
    <row r="292">
      <c r="A292" s="286"/>
      <c r="B292" s="286"/>
      <c r="C292" s="529"/>
      <c r="D292" s="306"/>
      <c r="E292" s="599"/>
      <c r="F292" s="306"/>
      <c r="G292" s="306"/>
      <c r="H292" s="598"/>
      <c r="I292" s="286"/>
      <c r="J292" s="286"/>
      <c r="K292" s="529"/>
      <c r="L292" s="286"/>
      <c r="M292" s="529"/>
      <c r="N292" s="286"/>
      <c r="O292" s="286"/>
      <c r="P292" s="286"/>
      <c r="Q292" s="286"/>
      <c r="R292" s="578"/>
      <c r="S292" s="578"/>
      <c r="T292" s="578"/>
      <c r="U292" s="578"/>
    </row>
    <row r="293">
      <c r="A293" s="286"/>
      <c r="B293" s="286"/>
      <c r="C293" s="529"/>
      <c r="D293" s="306"/>
      <c r="E293" s="599"/>
      <c r="F293" s="306"/>
      <c r="G293" s="306"/>
      <c r="H293" s="598"/>
      <c r="I293" s="286"/>
      <c r="J293" s="286"/>
      <c r="K293" s="529"/>
      <c r="L293" s="286"/>
      <c r="M293" s="529"/>
      <c r="N293" s="286"/>
      <c r="O293" s="286"/>
      <c r="P293" s="286"/>
      <c r="Q293" s="286"/>
      <c r="R293" s="578"/>
      <c r="S293" s="578"/>
      <c r="T293" s="578"/>
      <c r="U293" s="578"/>
    </row>
    <row r="294">
      <c r="A294" s="286"/>
      <c r="B294" s="286"/>
      <c r="C294" s="529"/>
      <c r="D294" s="306"/>
      <c r="E294" s="599"/>
      <c r="F294" s="306"/>
      <c r="G294" s="306"/>
      <c r="H294" s="598"/>
      <c r="I294" s="286"/>
      <c r="J294" s="286"/>
      <c r="K294" s="529"/>
      <c r="L294" s="286"/>
      <c r="M294" s="529"/>
      <c r="N294" s="286"/>
      <c r="O294" s="286"/>
      <c r="P294" s="286"/>
      <c r="Q294" s="286"/>
      <c r="R294" s="578"/>
      <c r="S294" s="578"/>
      <c r="T294" s="578"/>
      <c r="U294" s="578"/>
    </row>
    <row r="295">
      <c r="A295" s="286"/>
      <c r="B295" s="286"/>
      <c r="C295" s="529"/>
      <c r="D295" s="306"/>
      <c r="E295" s="599"/>
      <c r="F295" s="306"/>
      <c r="G295" s="306"/>
      <c r="H295" s="598"/>
      <c r="I295" s="286"/>
      <c r="J295" s="286"/>
      <c r="K295" s="529"/>
      <c r="L295" s="286"/>
      <c r="M295" s="529"/>
      <c r="N295" s="286"/>
      <c r="O295" s="286"/>
      <c r="P295" s="286"/>
      <c r="Q295" s="286"/>
      <c r="R295" s="578"/>
      <c r="S295" s="578"/>
      <c r="T295" s="578"/>
      <c r="U295" s="578"/>
    </row>
    <row r="296">
      <c r="A296" s="286"/>
      <c r="B296" s="286"/>
      <c r="C296" s="529"/>
      <c r="D296" s="306"/>
      <c r="E296" s="599"/>
      <c r="F296" s="306"/>
      <c r="G296" s="306"/>
      <c r="H296" s="598"/>
      <c r="I296" s="286"/>
      <c r="J296" s="286"/>
      <c r="K296" s="529"/>
      <c r="L296" s="286"/>
      <c r="M296" s="529"/>
      <c r="N296" s="286"/>
      <c r="O296" s="286"/>
      <c r="P296" s="286"/>
      <c r="Q296" s="286"/>
      <c r="R296" s="578"/>
      <c r="S296" s="578"/>
      <c r="T296" s="578"/>
      <c r="U296" s="578"/>
    </row>
    <row r="297">
      <c r="A297" s="286"/>
      <c r="B297" s="286"/>
      <c r="C297" s="529"/>
      <c r="D297" s="306"/>
      <c r="E297" s="599"/>
      <c r="F297" s="306"/>
      <c r="G297" s="306"/>
      <c r="H297" s="598"/>
      <c r="I297" s="286"/>
      <c r="J297" s="286"/>
      <c r="K297" s="529"/>
      <c r="L297" s="286"/>
      <c r="M297" s="529"/>
      <c r="N297" s="286"/>
      <c r="O297" s="286"/>
      <c r="P297" s="286"/>
      <c r="Q297" s="286"/>
      <c r="R297" s="578"/>
      <c r="S297" s="578"/>
      <c r="T297" s="578"/>
      <c r="U297" s="578"/>
    </row>
    <row r="298">
      <c r="A298" s="286"/>
      <c r="B298" s="286"/>
      <c r="C298" s="529"/>
      <c r="D298" s="306"/>
      <c r="E298" s="599"/>
      <c r="F298" s="306"/>
      <c r="G298" s="306"/>
      <c r="H298" s="598"/>
      <c r="I298" s="286"/>
      <c r="J298" s="286"/>
      <c r="K298" s="529"/>
      <c r="L298" s="286"/>
      <c r="M298" s="529"/>
      <c r="N298" s="286"/>
      <c r="O298" s="286"/>
      <c r="P298" s="286"/>
      <c r="Q298" s="286"/>
      <c r="R298" s="578"/>
      <c r="S298" s="578"/>
      <c r="T298" s="578"/>
      <c r="U298" s="578"/>
    </row>
    <row r="299">
      <c r="A299" s="286"/>
      <c r="B299" s="286"/>
      <c r="C299" s="529"/>
      <c r="D299" s="306"/>
      <c r="E299" s="599"/>
      <c r="F299" s="306"/>
      <c r="G299" s="306"/>
      <c r="H299" s="598"/>
      <c r="I299" s="286"/>
      <c r="J299" s="286"/>
      <c r="K299" s="529"/>
      <c r="L299" s="286"/>
      <c r="M299" s="529"/>
      <c r="N299" s="286"/>
      <c r="O299" s="286"/>
      <c r="P299" s="286"/>
      <c r="Q299" s="286"/>
      <c r="R299" s="578"/>
      <c r="S299" s="578"/>
      <c r="T299" s="578"/>
      <c r="U299" s="578"/>
    </row>
    <row r="300">
      <c r="A300" s="286"/>
      <c r="B300" s="286"/>
      <c r="C300" s="529"/>
      <c r="D300" s="306"/>
      <c r="E300" s="599"/>
      <c r="F300" s="306"/>
      <c r="G300" s="306"/>
      <c r="H300" s="598"/>
      <c r="I300" s="286"/>
      <c r="J300" s="286"/>
      <c r="K300" s="529"/>
      <c r="L300" s="286"/>
      <c r="M300" s="529"/>
      <c r="N300" s="286"/>
      <c r="O300" s="286"/>
      <c r="P300" s="286"/>
      <c r="Q300" s="286"/>
      <c r="R300" s="578"/>
      <c r="S300" s="578"/>
      <c r="T300" s="578"/>
      <c r="U300" s="578"/>
    </row>
    <row r="301">
      <c r="A301" s="286"/>
      <c r="B301" s="286"/>
      <c r="C301" s="529"/>
      <c r="D301" s="306"/>
      <c r="E301" s="599"/>
      <c r="F301" s="306"/>
      <c r="G301" s="306"/>
      <c r="H301" s="598"/>
      <c r="I301" s="286"/>
      <c r="J301" s="286"/>
      <c r="K301" s="529"/>
      <c r="L301" s="286"/>
      <c r="M301" s="529"/>
      <c r="N301" s="286"/>
      <c r="O301" s="286"/>
      <c r="P301" s="286"/>
      <c r="Q301" s="286"/>
      <c r="R301" s="578"/>
      <c r="S301" s="578"/>
      <c r="T301" s="578"/>
      <c r="U301" s="578"/>
    </row>
    <row r="302">
      <c r="A302" s="286"/>
      <c r="B302" s="286"/>
      <c r="C302" s="529"/>
      <c r="D302" s="306"/>
      <c r="E302" s="599"/>
      <c r="F302" s="306"/>
      <c r="G302" s="306"/>
      <c r="H302" s="598"/>
      <c r="I302" s="286"/>
      <c r="J302" s="286"/>
      <c r="K302" s="529"/>
      <c r="L302" s="286"/>
      <c r="M302" s="529"/>
      <c r="N302" s="286"/>
      <c r="O302" s="286"/>
      <c r="P302" s="286"/>
      <c r="Q302" s="286"/>
      <c r="R302" s="578"/>
      <c r="S302" s="578"/>
      <c r="T302" s="578"/>
      <c r="U302" s="578"/>
    </row>
    <row r="303">
      <c r="A303" s="286"/>
      <c r="B303" s="286"/>
      <c r="C303" s="529"/>
      <c r="D303" s="306"/>
      <c r="E303" s="599"/>
      <c r="F303" s="306"/>
      <c r="G303" s="306"/>
      <c r="H303" s="598"/>
      <c r="I303" s="286"/>
      <c r="J303" s="286"/>
      <c r="K303" s="529"/>
      <c r="L303" s="286"/>
      <c r="M303" s="529"/>
      <c r="N303" s="286"/>
      <c r="O303" s="286"/>
      <c r="P303" s="286"/>
      <c r="Q303" s="286"/>
      <c r="R303" s="578"/>
      <c r="S303" s="578"/>
      <c r="T303" s="578"/>
      <c r="U303" s="578"/>
    </row>
    <row r="304">
      <c r="A304" s="286"/>
      <c r="B304" s="286"/>
      <c r="C304" s="529"/>
      <c r="D304" s="306"/>
      <c r="E304" s="599"/>
      <c r="F304" s="306"/>
      <c r="G304" s="306"/>
      <c r="H304" s="598"/>
      <c r="I304" s="286"/>
      <c r="J304" s="286"/>
      <c r="K304" s="529"/>
      <c r="L304" s="286"/>
      <c r="M304" s="529"/>
      <c r="N304" s="286"/>
      <c r="O304" s="286"/>
      <c r="P304" s="286"/>
      <c r="Q304" s="286"/>
      <c r="R304" s="578"/>
      <c r="S304" s="578"/>
      <c r="T304" s="578"/>
      <c r="U304" s="578"/>
    </row>
    <row r="305">
      <c r="A305" s="286"/>
      <c r="B305" s="286"/>
      <c r="C305" s="529"/>
      <c r="D305" s="306"/>
      <c r="E305" s="599"/>
      <c r="F305" s="306"/>
      <c r="G305" s="306"/>
      <c r="H305" s="598"/>
      <c r="I305" s="286"/>
      <c r="J305" s="286"/>
      <c r="K305" s="529"/>
      <c r="L305" s="286"/>
      <c r="M305" s="529"/>
      <c r="N305" s="286"/>
      <c r="O305" s="286"/>
      <c r="P305" s="286"/>
      <c r="Q305" s="286"/>
      <c r="R305" s="578"/>
      <c r="S305" s="578"/>
      <c r="T305" s="578"/>
      <c r="U305" s="578"/>
    </row>
    <row r="306">
      <c r="A306" s="286"/>
      <c r="B306" s="286"/>
      <c r="C306" s="529"/>
      <c r="D306" s="306"/>
      <c r="E306" s="599"/>
      <c r="F306" s="306"/>
      <c r="G306" s="306"/>
      <c r="H306" s="598"/>
      <c r="I306" s="286"/>
      <c r="J306" s="286"/>
      <c r="K306" s="529"/>
      <c r="L306" s="286"/>
      <c r="M306" s="529"/>
      <c r="N306" s="286"/>
      <c r="O306" s="286"/>
      <c r="P306" s="286"/>
      <c r="Q306" s="286"/>
      <c r="R306" s="578"/>
      <c r="S306" s="578"/>
      <c r="T306" s="578"/>
      <c r="U306" s="578"/>
    </row>
    <row r="307">
      <c r="A307" s="286"/>
      <c r="B307" s="286"/>
      <c r="C307" s="529"/>
      <c r="D307" s="306"/>
      <c r="E307" s="599"/>
      <c r="F307" s="306"/>
      <c r="G307" s="306"/>
      <c r="H307" s="598"/>
      <c r="I307" s="286"/>
      <c r="J307" s="286"/>
      <c r="K307" s="529"/>
      <c r="L307" s="286"/>
      <c r="M307" s="529"/>
      <c r="N307" s="286"/>
      <c r="O307" s="286"/>
      <c r="P307" s="286"/>
      <c r="Q307" s="286"/>
      <c r="R307" s="578"/>
      <c r="S307" s="578"/>
      <c r="T307" s="578"/>
      <c r="U307" s="578"/>
    </row>
    <row r="308">
      <c r="A308" s="286"/>
      <c r="B308" s="286"/>
      <c r="C308" s="529"/>
      <c r="D308" s="306"/>
      <c r="E308" s="599"/>
      <c r="F308" s="306"/>
      <c r="G308" s="306"/>
      <c r="H308" s="598"/>
      <c r="I308" s="286"/>
      <c r="J308" s="286"/>
      <c r="K308" s="529"/>
      <c r="L308" s="286"/>
      <c r="M308" s="529"/>
      <c r="N308" s="286"/>
      <c r="O308" s="286"/>
      <c r="P308" s="286"/>
      <c r="Q308" s="286"/>
      <c r="R308" s="578"/>
      <c r="S308" s="578"/>
      <c r="T308" s="578"/>
      <c r="U308" s="578"/>
    </row>
    <row r="309">
      <c r="A309" s="286"/>
      <c r="B309" s="286"/>
      <c r="C309" s="529"/>
      <c r="D309" s="306"/>
      <c r="E309" s="599"/>
      <c r="F309" s="306"/>
      <c r="G309" s="306"/>
      <c r="H309" s="598"/>
      <c r="I309" s="286"/>
      <c r="J309" s="286"/>
      <c r="K309" s="529"/>
      <c r="L309" s="286"/>
      <c r="M309" s="529"/>
      <c r="N309" s="286"/>
      <c r="O309" s="286"/>
      <c r="P309" s="286"/>
      <c r="Q309" s="286"/>
      <c r="R309" s="578"/>
      <c r="S309" s="578"/>
      <c r="T309" s="578"/>
      <c r="U309" s="578"/>
    </row>
    <row r="310">
      <c r="A310" s="286"/>
      <c r="B310" s="286"/>
      <c r="C310" s="529"/>
      <c r="D310" s="306"/>
      <c r="E310" s="599"/>
      <c r="F310" s="306"/>
      <c r="G310" s="306"/>
      <c r="H310" s="598"/>
      <c r="I310" s="286"/>
      <c r="J310" s="286"/>
      <c r="K310" s="529"/>
      <c r="L310" s="286"/>
      <c r="M310" s="529"/>
      <c r="N310" s="286"/>
      <c r="O310" s="286"/>
      <c r="P310" s="286"/>
      <c r="Q310" s="286"/>
      <c r="R310" s="578"/>
      <c r="S310" s="578"/>
      <c r="T310" s="578"/>
      <c r="U310" s="578"/>
    </row>
    <row r="311">
      <c r="A311" s="286"/>
      <c r="B311" s="286"/>
      <c r="C311" s="529"/>
      <c r="D311" s="306"/>
      <c r="E311" s="599"/>
      <c r="F311" s="306"/>
      <c r="G311" s="306"/>
      <c r="H311" s="598"/>
      <c r="I311" s="286"/>
      <c r="J311" s="286"/>
      <c r="K311" s="529"/>
      <c r="L311" s="286"/>
      <c r="M311" s="529"/>
      <c r="N311" s="286"/>
      <c r="O311" s="286"/>
      <c r="P311" s="286"/>
      <c r="Q311" s="286"/>
      <c r="R311" s="578"/>
      <c r="S311" s="578"/>
      <c r="T311" s="578"/>
      <c r="U311" s="578"/>
    </row>
    <row r="312">
      <c r="A312" s="286"/>
      <c r="B312" s="286"/>
      <c r="C312" s="529"/>
      <c r="D312" s="306"/>
      <c r="E312" s="599"/>
      <c r="F312" s="306"/>
      <c r="G312" s="306"/>
      <c r="H312" s="598"/>
      <c r="I312" s="286"/>
      <c r="J312" s="286"/>
      <c r="K312" s="529"/>
      <c r="L312" s="286"/>
      <c r="M312" s="529"/>
      <c r="N312" s="286"/>
      <c r="O312" s="286"/>
      <c r="P312" s="286"/>
      <c r="Q312" s="286"/>
      <c r="R312" s="578"/>
      <c r="S312" s="578"/>
      <c r="T312" s="578"/>
      <c r="U312" s="578"/>
    </row>
    <row r="313">
      <c r="A313" s="286"/>
      <c r="B313" s="286"/>
      <c r="C313" s="529"/>
      <c r="D313" s="306"/>
      <c r="E313" s="599"/>
      <c r="F313" s="306"/>
      <c r="G313" s="306"/>
      <c r="H313" s="598"/>
      <c r="I313" s="286"/>
      <c r="J313" s="286"/>
      <c r="K313" s="529"/>
      <c r="L313" s="286"/>
      <c r="M313" s="529"/>
      <c r="N313" s="286"/>
      <c r="O313" s="286"/>
      <c r="P313" s="286"/>
      <c r="Q313" s="286"/>
      <c r="R313" s="578"/>
      <c r="S313" s="578"/>
      <c r="T313" s="578"/>
      <c r="U313" s="578"/>
    </row>
    <row r="314">
      <c r="A314" s="286"/>
      <c r="B314" s="286"/>
      <c r="C314" s="529"/>
      <c r="D314" s="306"/>
      <c r="E314" s="599"/>
      <c r="F314" s="306"/>
      <c r="G314" s="306"/>
      <c r="H314" s="598"/>
      <c r="I314" s="286"/>
      <c r="J314" s="286"/>
      <c r="K314" s="529"/>
      <c r="L314" s="286"/>
      <c r="M314" s="529"/>
      <c r="N314" s="286"/>
      <c r="O314" s="286"/>
      <c r="P314" s="286"/>
      <c r="Q314" s="286"/>
      <c r="R314" s="578"/>
      <c r="S314" s="578"/>
      <c r="T314" s="578"/>
      <c r="U314" s="578"/>
    </row>
    <row r="315">
      <c r="A315" s="286"/>
      <c r="B315" s="286"/>
      <c r="C315" s="529"/>
      <c r="D315" s="306"/>
      <c r="E315" s="599"/>
      <c r="F315" s="306"/>
      <c r="G315" s="306"/>
      <c r="H315" s="598"/>
      <c r="I315" s="286"/>
      <c r="J315" s="286"/>
      <c r="K315" s="529"/>
      <c r="L315" s="286"/>
      <c r="M315" s="529"/>
      <c r="N315" s="286"/>
      <c r="O315" s="286"/>
      <c r="P315" s="286"/>
      <c r="Q315" s="286"/>
      <c r="R315" s="578"/>
      <c r="S315" s="578"/>
      <c r="T315" s="578"/>
      <c r="U315" s="578"/>
    </row>
    <row r="316">
      <c r="A316" s="286"/>
      <c r="B316" s="286"/>
      <c r="C316" s="529"/>
      <c r="D316" s="306"/>
      <c r="E316" s="599"/>
      <c r="F316" s="306"/>
      <c r="G316" s="306"/>
      <c r="H316" s="598"/>
      <c r="I316" s="286"/>
      <c r="J316" s="286"/>
      <c r="K316" s="529"/>
      <c r="L316" s="286"/>
      <c r="M316" s="529"/>
      <c r="N316" s="286"/>
      <c r="O316" s="286"/>
      <c r="P316" s="286"/>
      <c r="Q316" s="286"/>
      <c r="R316" s="578"/>
      <c r="S316" s="578"/>
      <c r="T316" s="578"/>
      <c r="U316" s="578"/>
    </row>
    <row r="317">
      <c r="A317" s="286"/>
      <c r="B317" s="286"/>
      <c r="C317" s="529"/>
      <c r="D317" s="306"/>
      <c r="E317" s="599"/>
      <c r="F317" s="306"/>
      <c r="G317" s="306"/>
      <c r="H317" s="598"/>
      <c r="I317" s="286"/>
      <c r="J317" s="286"/>
      <c r="K317" s="529"/>
      <c r="L317" s="286"/>
      <c r="M317" s="529"/>
      <c r="N317" s="286"/>
      <c r="O317" s="286"/>
      <c r="P317" s="286"/>
      <c r="Q317" s="286"/>
      <c r="R317" s="578"/>
      <c r="S317" s="578"/>
      <c r="T317" s="578"/>
      <c r="U317" s="578"/>
    </row>
    <row r="318">
      <c r="A318" s="286"/>
      <c r="B318" s="286"/>
      <c r="C318" s="529"/>
      <c r="D318" s="306"/>
      <c r="E318" s="599"/>
      <c r="F318" s="306"/>
      <c r="G318" s="306"/>
      <c r="H318" s="598"/>
      <c r="I318" s="286"/>
      <c r="J318" s="286"/>
      <c r="K318" s="529"/>
      <c r="L318" s="286"/>
      <c r="M318" s="529"/>
      <c r="N318" s="286"/>
      <c r="O318" s="286"/>
      <c r="P318" s="286"/>
      <c r="Q318" s="286"/>
      <c r="R318" s="578"/>
      <c r="S318" s="578"/>
      <c r="T318" s="578"/>
      <c r="U318" s="578"/>
    </row>
    <row r="319">
      <c r="A319" s="286"/>
      <c r="B319" s="286"/>
      <c r="C319" s="529"/>
      <c r="D319" s="306"/>
      <c r="E319" s="599"/>
      <c r="F319" s="306"/>
      <c r="G319" s="306"/>
      <c r="H319" s="598"/>
      <c r="I319" s="286"/>
      <c r="J319" s="286"/>
      <c r="K319" s="529"/>
      <c r="L319" s="286"/>
      <c r="M319" s="529"/>
      <c r="N319" s="286"/>
      <c r="O319" s="286"/>
      <c r="P319" s="286"/>
      <c r="Q319" s="286"/>
      <c r="R319" s="578"/>
      <c r="S319" s="578"/>
      <c r="T319" s="578"/>
      <c r="U319" s="578"/>
    </row>
    <row r="320">
      <c r="A320" s="286"/>
      <c r="B320" s="286"/>
      <c r="C320" s="529"/>
      <c r="D320" s="306"/>
      <c r="E320" s="599"/>
      <c r="F320" s="306"/>
      <c r="G320" s="306"/>
      <c r="H320" s="598"/>
      <c r="I320" s="286"/>
      <c r="J320" s="286"/>
      <c r="K320" s="529"/>
      <c r="L320" s="286"/>
      <c r="M320" s="529"/>
      <c r="N320" s="286"/>
      <c r="O320" s="286"/>
      <c r="P320" s="286"/>
      <c r="Q320" s="286"/>
      <c r="R320" s="578"/>
      <c r="S320" s="578"/>
      <c r="T320" s="578"/>
      <c r="U320" s="578"/>
    </row>
    <row r="321">
      <c r="A321" s="286"/>
      <c r="B321" s="286"/>
      <c r="C321" s="529"/>
      <c r="D321" s="306"/>
      <c r="E321" s="599"/>
      <c r="F321" s="306"/>
      <c r="G321" s="306"/>
      <c r="H321" s="598"/>
      <c r="I321" s="286"/>
      <c r="J321" s="286"/>
      <c r="K321" s="529"/>
      <c r="L321" s="286"/>
      <c r="M321" s="529"/>
      <c r="N321" s="286"/>
      <c r="O321" s="286"/>
      <c r="P321" s="286"/>
      <c r="Q321" s="286"/>
      <c r="R321" s="578"/>
      <c r="S321" s="578"/>
      <c r="T321" s="578"/>
      <c r="U321" s="578"/>
    </row>
    <row r="322">
      <c r="A322" s="286"/>
      <c r="B322" s="286"/>
      <c r="C322" s="529"/>
      <c r="D322" s="306"/>
      <c r="E322" s="599"/>
      <c r="F322" s="306"/>
      <c r="G322" s="306"/>
      <c r="H322" s="598"/>
      <c r="I322" s="286"/>
      <c r="J322" s="286"/>
      <c r="K322" s="529"/>
      <c r="L322" s="286"/>
      <c r="M322" s="529"/>
      <c r="N322" s="286"/>
      <c r="O322" s="286"/>
      <c r="P322" s="286"/>
      <c r="Q322" s="286"/>
      <c r="R322" s="578"/>
      <c r="S322" s="578"/>
      <c r="T322" s="578"/>
      <c r="U322" s="578"/>
    </row>
    <row r="323">
      <c r="A323" s="286"/>
      <c r="B323" s="286"/>
      <c r="C323" s="529"/>
      <c r="D323" s="306"/>
      <c r="E323" s="599"/>
      <c r="F323" s="306"/>
      <c r="G323" s="306"/>
      <c r="H323" s="598"/>
      <c r="I323" s="286"/>
      <c r="J323" s="286"/>
      <c r="K323" s="529"/>
      <c r="L323" s="286"/>
      <c r="M323" s="529"/>
      <c r="N323" s="286"/>
      <c r="O323" s="286"/>
      <c r="P323" s="286"/>
      <c r="Q323" s="286"/>
      <c r="R323" s="578"/>
      <c r="S323" s="578"/>
      <c r="T323" s="578"/>
      <c r="U323" s="578"/>
    </row>
    <row r="324">
      <c r="A324" s="286"/>
      <c r="B324" s="286"/>
      <c r="C324" s="529"/>
      <c r="D324" s="306"/>
      <c r="E324" s="599"/>
      <c r="F324" s="306"/>
      <c r="G324" s="306"/>
      <c r="H324" s="598"/>
      <c r="I324" s="286"/>
      <c r="J324" s="286"/>
      <c r="K324" s="529"/>
      <c r="L324" s="286"/>
      <c r="M324" s="529"/>
      <c r="N324" s="286"/>
      <c r="O324" s="286"/>
      <c r="P324" s="286"/>
      <c r="Q324" s="286"/>
      <c r="R324" s="578"/>
      <c r="S324" s="578"/>
      <c r="T324" s="578"/>
      <c r="U324" s="578"/>
    </row>
    <row r="325">
      <c r="A325" s="286"/>
      <c r="B325" s="286"/>
      <c r="C325" s="529"/>
      <c r="D325" s="306"/>
      <c r="E325" s="599"/>
      <c r="F325" s="306"/>
      <c r="G325" s="306"/>
      <c r="H325" s="598"/>
      <c r="I325" s="286"/>
      <c r="J325" s="286"/>
      <c r="K325" s="529"/>
      <c r="L325" s="286"/>
      <c r="M325" s="529"/>
      <c r="N325" s="286"/>
      <c r="O325" s="286"/>
      <c r="P325" s="286"/>
      <c r="Q325" s="286"/>
      <c r="R325" s="578"/>
      <c r="S325" s="578"/>
      <c r="T325" s="578"/>
      <c r="U325" s="578"/>
    </row>
    <row r="326">
      <c r="A326" s="286"/>
      <c r="B326" s="286"/>
      <c r="C326" s="529"/>
      <c r="D326" s="306"/>
      <c r="E326" s="599"/>
      <c r="F326" s="306"/>
      <c r="G326" s="306"/>
      <c r="H326" s="598"/>
      <c r="I326" s="286"/>
      <c r="J326" s="286"/>
      <c r="K326" s="529"/>
      <c r="L326" s="286"/>
      <c r="M326" s="529"/>
      <c r="N326" s="286"/>
      <c r="O326" s="286"/>
      <c r="P326" s="286"/>
      <c r="Q326" s="286"/>
      <c r="R326" s="578"/>
      <c r="S326" s="578"/>
      <c r="T326" s="578"/>
      <c r="U326" s="578"/>
    </row>
    <row r="327">
      <c r="A327" s="286"/>
      <c r="B327" s="286"/>
      <c r="C327" s="529"/>
      <c r="D327" s="306"/>
      <c r="E327" s="599"/>
      <c r="F327" s="306"/>
      <c r="G327" s="306"/>
      <c r="H327" s="598"/>
      <c r="I327" s="286"/>
      <c r="J327" s="286"/>
      <c r="K327" s="529"/>
      <c r="L327" s="286"/>
      <c r="M327" s="529"/>
      <c r="N327" s="286"/>
      <c r="O327" s="286"/>
      <c r="P327" s="286"/>
      <c r="Q327" s="286"/>
      <c r="R327" s="578"/>
      <c r="S327" s="578"/>
      <c r="T327" s="578"/>
      <c r="U327" s="578"/>
    </row>
    <row r="328">
      <c r="A328" s="286"/>
      <c r="B328" s="286"/>
      <c r="C328" s="529"/>
      <c r="D328" s="306"/>
      <c r="E328" s="599"/>
      <c r="F328" s="306"/>
      <c r="G328" s="306"/>
      <c r="H328" s="598"/>
      <c r="I328" s="286"/>
      <c r="J328" s="286"/>
      <c r="K328" s="529"/>
      <c r="L328" s="286"/>
      <c r="M328" s="529"/>
      <c r="N328" s="286"/>
      <c r="O328" s="286"/>
      <c r="P328" s="286"/>
      <c r="Q328" s="286"/>
      <c r="R328" s="578"/>
      <c r="S328" s="578"/>
      <c r="T328" s="578"/>
      <c r="U328" s="578"/>
    </row>
    <row r="329">
      <c r="A329" s="286"/>
      <c r="B329" s="286"/>
      <c r="C329" s="529"/>
      <c r="D329" s="306"/>
      <c r="E329" s="599"/>
      <c r="F329" s="306"/>
      <c r="G329" s="306"/>
      <c r="H329" s="598"/>
      <c r="I329" s="286"/>
      <c r="J329" s="286"/>
      <c r="K329" s="529"/>
      <c r="L329" s="286"/>
      <c r="M329" s="529"/>
      <c r="N329" s="286"/>
      <c r="O329" s="286"/>
      <c r="P329" s="286"/>
      <c r="Q329" s="286"/>
      <c r="R329" s="578"/>
      <c r="S329" s="578"/>
      <c r="T329" s="578"/>
      <c r="U329" s="578"/>
    </row>
    <row r="330">
      <c r="A330" s="286"/>
      <c r="B330" s="286"/>
      <c r="C330" s="529"/>
      <c r="D330" s="306"/>
      <c r="E330" s="599"/>
      <c r="F330" s="306"/>
      <c r="G330" s="306"/>
      <c r="H330" s="598"/>
      <c r="I330" s="286"/>
      <c r="J330" s="286"/>
      <c r="K330" s="529"/>
      <c r="L330" s="286"/>
      <c r="M330" s="529"/>
      <c r="N330" s="286"/>
      <c r="O330" s="286"/>
      <c r="P330" s="286"/>
      <c r="Q330" s="286"/>
      <c r="R330" s="578"/>
      <c r="S330" s="578"/>
      <c r="T330" s="578"/>
      <c r="U330" s="578"/>
    </row>
    <row r="331">
      <c r="A331" s="286"/>
      <c r="B331" s="286"/>
      <c r="C331" s="529"/>
      <c r="D331" s="306"/>
      <c r="E331" s="599"/>
      <c r="F331" s="306"/>
      <c r="G331" s="306"/>
      <c r="H331" s="598"/>
      <c r="I331" s="286"/>
      <c r="J331" s="286"/>
      <c r="K331" s="529"/>
      <c r="L331" s="286"/>
      <c r="M331" s="529"/>
      <c r="N331" s="286"/>
      <c r="O331" s="286"/>
      <c r="P331" s="286"/>
      <c r="Q331" s="286"/>
      <c r="R331" s="578"/>
      <c r="S331" s="578"/>
      <c r="T331" s="578"/>
      <c r="U331" s="578"/>
    </row>
    <row r="332">
      <c r="A332" s="286"/>
      <c r="B332" s="286"/>
      <c r="C332" s="529"/>
      <c r="D332" s="306"/>
      <c r="E332" s="599"/>
      <c r="F332" s="306"/>
      <c r="G332" s="306"/>
      <c r="H332" s="598"/>
      <c r="I332" s="286"/>
      <c r="J332" s="286"/>
      <c r="K332" s="529"/>
      <c r="L332" s="286"/>
      <c r="M332" s="529"/>
      <c r="N332" s="286"/>
      <c r="O332" s="286"/>
      <c r="P332" s="286"/>
      <c r="Q332" s="286"/>
      <c r="R332" s="578"/>
      <c r="S332" s="578"/>
      <c r="T332" s="578"/>
      <c r="U332" s="578"/>
    </row>
    <row r="333">
      <c r="A333" s="286"/>
      <c r="B333" s="286"/>
      <c r="C333" s="529"/>
      <c r="D333" s="306"/>
      <c r="E333" s="599"/>
      <c r="F333" s="306"/>
      <c r="G333" s="306"/>
      <c r="H333" s="598"/>
      <c r="I333" s="286"/>
      <c r="J333" s="286"/>
      <c r="K333" s="529"/>
      <c r="L333" s="286"/>
      <c r="M333" s="529"/>
      <c r="N333" s="286"/>
      <c r="O333" s="286"/>
      <c r="P333" s="286"/>
      <c r="Q333" s="286"/>
      <c r="R333" s="578"/>
      <c r="S333" s="578"/>
      <c r="T333" s="578"/>
      <c r="U333" s="578"/>
    </row>
    <row r="334">
      <c r="A334" s="286"/>
      <c r="B334" s="286"/>
      <c r="C334" s="529"/>
      <c r="D334" s="306"/>
      <c r="E334" s="599"/>
      <c r="F334" s="306"/>
      <c r="G334" s="306"/>
      <c r="H334" s="598"/>
      <c r="I334" s="286"/>
      <c r="J334" s="286"/>
      <c r="K334" s="529"/>
      <c r="L334" s="286"/>
      <c r="M334" s="529"/>
      <c r="N334" s="286"/>
      <c r="O334" s="286"/>
      <c r="P334" s="286"/>
      <c r="Q334" s="286"/>
      <c r="R334" s="578"/>
      <c r="S334" s="578"/>
      <c r="T334" s="578"/>
      <c r="U334" s="578"/>
    </row>
    <row r="335">
      <c r="A335" s="286"/>
      <c r="B335" s="286"/>
      <c r="C335" s="529"/>
      <c r="D335" s="306"/>
      <c r="E335" s="599"/>
      <c r="F335" s="306"/>
      <c r="G335" s="306"/>
      <c r="H335" s="598"/>
      <c r="I335" s="286"/>
      <c r="J335" s="286"/>
      <c r="K335" s="529"/>
      <c r="L335" s="286"/>
      <c r="M335" s="529"/>
      <c r="N335" s="286"/>
      <c r="O335" s="286"/>
      <c r="P335" s="286"/>
      <c r="Q335" s="286"/>
      <c r="R335" s="578"/>
      <c r="S335" s="578"/>
      <c r="T335" s="578"/>
      <c r="U335" s="578"/>
    </row>
    <row r="336">
      <c r="A336" s="286"/>
      <c r="B336" s="286"/>
      <c r="C336" s="529"/>
      <c r="D336" s="306"/>
      <c r="E336" s="599"/>
      <c r="F336" s="306"/>
      <c r="G336" s="306"/>
      <c r="H336" s="598"/>
      <c r="I336" s="286"/>
      <c r="J336" s="286"/>
      <c r="K336" s="529"/>
      <c r="L336" s="286"/>
      <c r="M336" s="529"/>
      <c r="N336" s="286"/>
      <c r="O336" s="286"/>
      <c r="P336" s="286"/>
      <c r="Q336" s="286"/>
      <c r="R336" s="578"/>
      <c r="S336" s="578"/>
      <c r="T336" s="578"/>
      <c r="U336" s="578"/>
    </row>
    <row r="337">
      <c r="A337" s="286"/>
      <c r="B337" s="286"/>
      <c r="C337" s="529"/>
      <c r="D337" s="306"/>
      <c r="E337" s="599"/>
      <c r="F337" s="306"/>
      <c r="G337" s="306"/>
      <c r="H337" s="598"/>
      <c r="I337" s="286"/>
      <c r="J337" s="286"/>
      <c r="K337" s="529"/>
      <c r="L337" s="286"/>
      <c r="M337" s="529"/>
      <c r="N337" s="286"/>
      <c r="O337" s="286"/>
      <c r="P337" s="286"/>
      <c r="Q337" s="286"/>
      <c r="R337" s="578"/>
      <c r="S337" s="578"/>
      <c r="T337" s="578"/>
      <c r="U337" s="578"/>
    </row>
    <row r="338">
      <c r="A338" s="286"/>
      <c r="B338" s="286"/>
      <c r="C338" s="529"/>
      <c r="D338" s="306"/>
      <c r="E338" s="599"/>
      <c r="F338" s="306"/>
      <c r="G338" s="306"/>
      <c r="H338" s="598"/>
      <c r="I338" s="286"/>
      <c r="J338" s="286"/>
      <c r="K338" s="529"/>
      <c r="L338" s="286"/>
      <c r="M338" s="529"/>
      <c r="N338" s="286"/>
      <c r="O338" s="286"/>
      <c r="P338" s="286"/>
      <c r="Q338" s="286"/>
      <c r="R338" s="578"/>
      <c r="S338" s="578"/>
      <c r="T338" s="578"/>
      <c r="U338" s="578"/>
    </row>
    <row r="339">
      <c r="A339" s="286"/>
      <c r="B339" s="286"/>
      <c r="C339" s="529"/>
      <c r="D339" s="306"/>
      <c r="E339" s="599"/>
      <c r="F339" s="306"/>
      <c r="G339" s="306"/>
      <c r="H339" s="598"/>
      <c r="I339" s="286"/>
      <c r="J339" s="286"/>
      <c r="K339" s="529"/>
      <c r="L339" s="286"/>
      <c r="M339" s="529"/>
      <c r="N339" s="286"/>
      <c r="O339" s="286"/>
      <c r="P339" s="286"/>
      <c r="Q339" s="286"/>
      <c r="R339" s="578"/>
      <c r="S339" s="578"/>
      <c r="T339" s="578"/>
      <c r="U339" s="578"/>
    </row>
    <row r="340">
      <c r="A340" s="286"/>
      <c r="B340" s="286"/>
      <c r="C340" s="529"/>
      <c r="D340" s="306"/>
      <c r="E340" s="599"/>
      <c r="F340" s="306"/>
      <c r="G340" s="306"/>
      <c r="H340" s="598"/>
      <c r="I340" s="286"/>
      <c r="J340" s="286"/>
      <c r="K340" s="529"/>
      <c r="L340" s="286"/>
      <c r="M340" s="529"/>
      <c r="N340" s="286"/>
      <c r="O340" s="286"/>
      <c r="P340" s="286"/>
      <c r="Q340" s="286"/>
      <c r="R340" s="578"/>
      <c r="S340" s="578"/>
      <c r="T340" s="578"/>
      <c r="U340" s="578"/>
    </row>
    <row r="341">
      <c r="A341" s="286"/>
      <c r="B341" s="286"/>
      <c r="C341" s="529"/>
      <c r="D341" s="306"/>
      <c r="E341" s="599"/>
      <c r="F341" s="306"/>
      <c r="G341" s="306"/>
      <c r="H341" s="598"/>
      <c r="I341" s="286"/>
      <c r="J341" s="286"/>
      <c r="K341" s="529"/>
      <c r="L341" s="286"/>
      <c r="M341" s="529"/>
      <c r="N341" s="286"/>
      <c r="O341" s="286"/>
      <c r="P341" s="286"/>
      <c r="Q341" s="286"/>
      <c r="R341" s="578"/>
      <c r="S341" s="578"/>
      <c r="T341" s="578"/>
      <c r="U341" s="578"/>
    </row>
    <row r="342">
      <c r="A342" s="286"/>
      <c r="B342" s="286"/>
      <c r="C342" s="529"/>
      <c r="D342" s="306"/>
      <c r="E342" s="599"/>
      <c r="F342" s="306"/>
      <c r="G342" s="306"/>
      <c r="H342" s="598"/>
      <c r="I342" s="286"/>
      <c r="J342" s="286"/>
      <c r="K342" s="529"/>
      <c r="L342" s="286"/>
      <c r="M342" s="529"/>
      <c r="N342" s="286"/>
      <c r="O342" s="286"/>
      <c r="P342" s="286"/>
      <c r="Q342" s="286"/>
      <c r="R342" s="578"/>
      <c r="S342" s="578"/>
      <c r="T342" s="578"/>
      <c r="U342" s="578"/>
    </row>
    <row r="343">
      <c r="A343" s="286"/>
      <c r="B343" s="286"/>
      <c r="C343" s="529"/>
      <c r="D343" s="306"/>
      <c r="E343" s="599"/>
      <c r="F343" s="306"/>
      <c r="G343" s="306"/>
      <c r="H343" s="598"/>
      <c r="I343" s="286"/>
      <c r="J343" s="286"/>
      <c r="K343" s="529"/>
      <c r="L343" s="286"/>
      <c r="M343" s="529"/>
      <c r="N343" s="286"/>
      <c r="O343" s="286"/>
      <c r="P343" s="286"/>
      <c r="Q343" s="286"/>
      <c r="R343" s="578"/>
      <c r="S343" s="578"/>
      <c r="T343" s="578"/>
      <c r="U343" s="578"/>
    </row>
    <row r="344">
      <c r="A344" s="286"/>
      <c r="B344" s="286"/>
      <c r="C344" s="529"/>
      <c r="D344" s="306"/>
      <c r="E344" s="599"/>
      <c r="F344" s="306"/>
      <c r="G344" s="306"/>
      <c r="H344" s="598"/>
      <c r="I344" s="286"/>
      <c r="J344" s="286"/>
      <c r="K344" s="529"/>
      <c r="L344" s="286"/>
      <c r="M344" s="529"/>
      <c r="N344" s="286"/>
      <c r="O344" s="286"/>
      <c r="P344" s="286"/>
      <c r="Q344" s="286"/>
      <c r="R344" s="578"/>
      <c r="S344" s="578"/>
      <c r="T344" s="578"/>
      <c r="U344" s="578"/>
    </row>
    <row r="345">
      <c r="A345" s="286"/>
      <c r="B345" s="286"/>
      <c r="C345" s="529"/>
      <c r="D345" s="306"/>
      <c r="E345" s="599"/>
      <c r="F345" s="306"/>
      <c r="G345" s="306"/>
      <c r="H345" s="598"/>
      <c r="I345" s="286"/>
      <c r="J345" s="286"/>
      <c r="K345" s="529"/>
      <c r="L345" s="286"/>
      <c r="M345" s="529"/>
      <c r="N345" s="286"/>
      <c r="O345" s="286"/>
      <c r="P345" s="286"/>
      <c r="Q345" s="286"/>
      <c r="R345" s="578"/>
      <c r="S345" s="578"/>
      <c r="T345" s="578"/>
      <c r="U345" s="578"/>
    </row>
    <row r="346">
      <c r="A346" s="286"/>
      <c r="B346" s="286"/>
      <c r="C346" s="529"/>
      <c r="D346" s="306"/>
      <c r="E346" s="599"/>
      <c r="F346" s="306"/>
      <c r="G346" s="306"/>
      <c r="H346" s="598"/>
      <c r="I346" s="286"/>
      <c r="J346" s="286"/>
      <c r="K346" s="529"/>
      <c r="L346" s="286"/>
      <c r="M346" s="529"/>
      <c r="N346" s="286"/>
      <c r="O346" s="286"/>
      <c r="P346" s="286"/>
      <c r="Q346" s="286"/>
      <c r="R346" s="578"/>
      <c r="S346" s="578"/>
      <c r="T346" s="578"/>
      <c r="U346" s="578"/>
    </row>
    <row r="347">
      <c r="A347" s="286"/>
      <c r="B347" s="286"/>
      <c r="C347" s="529"/>
      <c r="D347" s="306"/>
      <c r="E347" s="599"/>
      <c r="F347" s="306"/>
      <c r="G347" s="306"/>
      <c r="H347" s="598"/>
      <c r="I347" s="286"/>
      <c r="J347" s="286"/>
      <c r="K347" s="529"/>
      <c r="L347" s="286"/>
      <c r="M347" s="529"/>
      <c r="N347" s="286"/>
      <c r="O347" s="286"/>
      <c r="P347" s="286"/>
      <c r="Q347" s="286"/>
      <c r="R347" s="578"/>
      <c r="S347" s="578"/>
      <c r="T347" s="578"/>
      <c r="U347" s="578"/>
    </row>
    <row r="348">
      <c r="A348" s="286"/>
      <c r="B348" s="286"/>
      <c r="C348" s="529"/>
      <c r="D348" s="306"/>
      <c r="E348" s="599"/>
      <c r="F348" s="306"/>
      <c r="G348" s="306"/>
      <c r="H348" s="598"/>
      <c r="I348" s="286"/>
      <c r="J348" s="286"/>
      <c r="K348" s="529"/>
      <c r="L348" s="286"/>
      <c r="M348" s="529"/>
      <c r="N348" s="286"/>
      <c r="O348" s="286"/>
      <c r="P348" s="286"/>
      <c r="Q348" s="286"/>
      <c r="R348" s="578"/>
      <c r="S348" s="578"/>
      <c r="T348" s="578"/>
      <c r="U348" s="578"/>
    </row>
    <row r="349">
      <c r="A349" s="286"/>
      <c r="B349" s="286"/>
      <c r="C349" s="529"/>
      <c r="D349" s="306"/>
      <c r="E349" s="599"/>
      <c r="F349" s="306"/>
      <c r="G349" s="306"/>
      <c r="H349" s="598"/>
      <c r="I349" s="286"/>
      <c r="J349" s="286"/>
      <c r="K349" s="529"/>
      <c r="L349" s="286"/>
      <c r="M349" s="529"/>
      <c r="N349" s="286"/>
      <c r="O349" s="286"/>
      <c r="P349" s="286"/>
      <c r="Q349" s="286"/>
      <c r="R349" s="578"/>
      <c r="S349" s="578"/>
      <c r="T349" s="578"/>
      <c r="U349" s="578"/>
    </row>
    <row r="350">
      <c r="A350" s="286"/>
      <c r="B350" s="286"/>
      <c r="C350" s="529"/>
      <c r="D350" s="306"/>
      <c r="E350" s="599"/>
      <c r="F350" s="306"/>
      <c r="G350" s="306"/>
      <c r="H350" s="598"/>
      <c r="I350" s="286"/>
      <c r="J350" s="286"/>
      <c r="K350" s="529"/>
      <c r="L350" s="286"/>
      <c r="M350" s="529"/>
      <c r="N350" s="286"/>
      <c r="O350" s="286"/>
      <c r="P350" s="286"/>
      <c r="Q350" s="286"/>
      <c r="R350" s="578"/>
      <c r="S350" s="578"/>
      <c r="T350" s="578"/>
      <c r="U350" s="578"/>
    </row>
    <row r="351">
      <c r="A351" s="286"/>
      <c r="B351" s="286"/>
      <c r="C351" s="529"/>
      <c r="D351" s="306"/>
      <c r="E351" s="599"/>
      <c r="F351" s="306"/>
      <c r="G351" s="306"/>
      <c r="H351" s="598"/>
      <c r="I351" s="286"/>
      <c r="J351" s="286"/>
      <c r="K351" s="529"/>
      <c r="L351" s="286"/>
      <c r="M351" s="529"/>
      <c r="N351" s="286"/>
      <c r="O351" s="286"/>
      <c r="P351" s="286"/>
      <c r="Q351" s="286"/>
      <c r="R351" s="578"/>
      <c r="S351" s="578"/>
      <c r="T351" s="578"/>
      <c r="U351" s="578"/>
    </row>
    <row r="352">
      <c r="A352" s="286"/>
      <c r="B352" s="286"/>
      <c r="C352" s="529"/>
      <c r="D352" s="306"/>
      <c r="E352" s="599"/>
      <c r="F352" s="306"/>
      <c r="G352" s="306"/>
      <c r="H352" s="598"/>
      <c r="I352" s="286"/>
      <c r="J352" s="286"/>
      <c r="K352" s="529"/>
      <c r="L352" s="286"/>
      <c r="M352" s="529"/>
      <c r="N352" s="286"/>
      <c r="O352" s="286"/>
      <c r="P352" s="286"/>
      <c r="Q352" s="286"/>
      <c r="R352" s="578"/>
      <c r="S352" s="578"/>
      <c r="T352" s="578"/>
      <c r="U352" s="578"/>
    </row>
    <row r="353">
      <c r="A353" s="286"/>
      <c r="B353" s="286"/>
      <c r="C353" s="529"/>
      <c r="D353" s="306"/>
      <c r="E353" s="599"/>
      <c r="F353" s="306"/>
      <c r="G353" s="306"/>
      <c r="H353" s="598"/>
      <c r="I353" s="286"/>
      <c r="J353" s="286"/>
      <c r="K353" s="529"/>
      <c r="L353" s="286"/>
      <c r="M353" s="529"/>
      <c r="N353" s="286"/>
      <c r="O353" s="286"/>
      <c r="P353" s="286"/>
      <c r="Q353" s="286"/>
      <c r="R353" s="578"/>
      <c r="S353" s="578"/>
      <c r="T353" s="578"/>
      <c r="U353" s="578"/>
    </row>
    <row r="354">
      <c r="A354" s="286"/>
      <c r="B354" s="286"/>
      <c r="C354" s="529"/>
      <c r="D354" s="306"/>
      <c r="E354" s="599"/>
      <c r="F354" s="306"/>
      <c r="G354" s="306"/>
      <c r="H354" s="598"/>
      <c r="I354" s="286"/>
      <c r="J354" s="286"/>
      <c r="K354" s="529"/>
      <c r="L354" s="286"/>
      <c r="M354" s="529"/>
      <c r="N354" s="286"/>
      <c r="O354" s="286"/>
      <c r="P354" s="286"/>
      <c r="Q354" s="286"/>
      <c r="R354" s="578"/>
      <c r="S354" s="578"/>
      <c r="T354" s="578"/>
      <c r="U354" s="578"/>
    </row>
    <row r="355">
      <c r="A355" s="286"/>
      <c r="B355" s="286"/>
      <c r="C355" s="529"/>
      <c r="D355" s="306"/>
      <c r="E355" s="599"/>
      <c r="F355" s="306"/>
      <c r="G355" s="306"/>
      <c r="H355" s="598"/>
      <c r="I355" s="286"/>
      <c r="J355" s="286"/>
      <c r="K355" s="529"/>
      <c r="L355" s="286"/>
      <c r="M355" s="529"/>
      <c r="N355" s="286"/>
      <c r="O355" s="286"/>
      <c r="P355" s="286"/>
      <c r="Q355" s="286"/>
      <c r="R355" s="578"/>
      <c r="S355" s="578"/>
      <c r="T355" s="578"/>
      <c r="U355" s="578"/>
    </row>
    <row r="356">
      <c r="A356" s="286"/>
      <c r="B356" s="286"/>
      <c r="C356" s="529"/>
      <c r="D356" s="306"/>
      <c r="E356" s="599"/>
      <c r="F356" s="306"/>
      <c r="G356" s="306"/>
      <c r="H356" s="598"/>
      <c r="I356" s="286"/>
      <c r="J356" s="286"/>
      <c r="K356" s="529"/>
      <c r="L356" s="286"/>
      <c r="M356" s="529"/>
      <c r="N356" s="286"/>
      <c r="O356" s="286"/>
      <c r="P356" s="286"/>
      <c r="Q356" s="286"/>
      <c r="R356" s="578"/>
      <c r="S356" s="578"/>
      <c r="T356" s="578"/>
      <c r="U356" s="578"/>
    </row>
    <row r="357">
      <c r="A357" s="286"/>
      <c r="B357" s="286"/>
      <c r="C357" s="529"/>
      <c r="D357" s="306"/>
      <c r="E357" s="599"/>
      <c r="F357" s="306"/>
      <c r="G357" s="306"/>
      <c r="H357" s="598"/>
      <c r="I357" s="286"/>
      <c r="J357" s="286"/>
      <c r="K357" s="529"/>
      <c r="L357" s="286"/>
      <c r="M357" s="529"/>
      <c r="N357" s="286"/>
      <c r="O357" s="286"/>
      <c r="P357" s="286"/>
      <c r="Q357" s="286"/>
      <c r="R357" s="578"/>
      <c r="S357" s="578"/>
      <c r="T357" s="578"/>
      <c r="U357" s="578"/>
    </row>
    <row r="358">
      <c r="A358" s="286"/>
      <c r="B358" s="286"/>
      <c r="C358" s="529"/>
      <c r="D358" s="306"/>
      <c r="E358" s="599"/>
      <c r="F358" s="306"/>
      <c r="G358" s="306"/>
      <c r="H358" s="598"/>
      <c r="I358" s="286"/>
      <c r="J358" s="286"/>
      <c r="K358" s="529"/>
      <c r="L358" s="286"/>
      <c r="M358" s="529"/>
      <c r="N358" s="286"/>
      <c r="O358" s="286"/>
      <c r="P358" s="286"/>
      <c r="Q358" s="286"/>
      <c r="R358" s="578"/>
      <c r="S358" s="578"/>
      <c r="T358" s="578"/>
      <c r="U358" s="578"/>
    </row>
    <row r="359">
      <c r="A359" s="286"/>
      <c r="B359" s="286"/>
      <c r="C359" s="529"/>
      <c r="D359" s="306"/>
      <c r="E359" s="599"/>
      <c r="F359" s="306"/>
      <c r="G359" s="306"/>
      <c r="H359" s="598"/>
      <c r="I359" s="286"/>
      <c r="J359" s="286"/>
      <c r="K359" s="529"/>
      <c r="L359" s="286"/>
      <c r="M359" s="529"/>
      <c r="N359" s="286"/>
      <c r="O359" s="286"/>
      <c r="P359" s="286"/>
      <c r="Q359" s="286"/>
      <c r="R359" s="578"/>
      <c r="S359" s="578"/>
      <c r="T359" s="578"/>
      <c r="U359" s="578"/>
    </row>
    <row r="360">
      <c r="A360" s="286"/>
      <c r="B360" s="286"/>
      <c r="C360" s="529"/>
      <c r="D360" s="306"/>
      <c r="E360" s="599"/>
      <c r="F360" s="306"/>
      <c r="G360" s="306"/>
      <c r="H360" s="598"/>
      <c r="I360" s="286"/>
      <c r="J360" s="286"/>
      <c r="K360" s="529"/>
      <c r="L360" s="286"/>
      <c r="M360" s="529"/>
      <c r="N360" s="286"/>
      <c r="O360" s="286"/>
      <c r="P360" s="286"/>
      <c r="Q360" s="286"/>
      <c r="R360" s="578"/>
      <c r="S360" s="578"/>
      <c r="T360" s="578"/>
      <c r="U360" s="578"/>
    </row>
    <row r="361">
      <c r="A361" s="286"/>
      <c r="B361" s="286"/>
      <c r="C361" s="529"/>
      <c r="D361" s="306"/>
      <c r="E361" s="599"/>
      <c r="F361" s="306"/>
      <c r="G361" s="306"/>
      <c r="H361" s="598"/>
      <c r="I361" s="286"/>
      <c r="J361" s="286"/>
      <c r="K361" s="529"/>
      <c r="L361" s="286"/>
      <c r="M361" s="529"/>
      <c r="N361" s="286"/>
      <c r="O361" s="286"/>
      <c r="P361" s="286"/>
      <c r="Q361" s="286"/>
      <c r="R361" s="578"/>
      <c r="S361" s="578"/>
      <c r="T361" s="578"/>
      <c r="U361" s="578"/>
    </row>
    <row r="362">
      <c r="A362" s="286"/>
      <c r="B362" s="286"/>
      <c r="C362" s="529"/>
      <c r="D362" s="306"/>
      <c r="E362" s="599"/>
      <c r="F362" s="306"/>
      <c r="G362" s="306"/>
      <c r="H362" s="598"/>
      <c r="I362" s="286"/>
      <c r="J362" s="286"/>
      <c r="K362" s="529"/>
      <c r="L362" s="286"/>
      <c r="M362" s="529"/>
      <c r="N362" s="286"/>
      <c r="O362" s="286"/>
      <c r="P362" s="286"/>
      <c r="Q362" s="286"/>
      <c r="R362" s="578"/>
      <c r="S362" s="578"/>
      <c r="T362" s="578"/>
      <c r="U362" s="578"/>
    </row>
    <row r="363">
      <c r="A363" s="286"/>
      <c r="B363" s="286"/>
      <c r="C363" s="529"/>
      <c r="D363" s="306"/>
      <c r="E363" s="599"/>
      <c r="F363" s="306"/>
      <c r="G363" s="306"/>
      <c r="H363" s="598"/>
      <c r="I363" s="286"/>
      <c r="J363" s="286"/>
      <c r="K363" s="529"/>
      <c r="L363" s="286"/>
      <c r="M363" s="529"/>
      <c r="N363" s="286"/>
      <c r="O363" s="286"/>
      <c r="P363" s="286"/>
      <c r="Q363" s="286"/>
      <c r="R363" s="578"/>
      <c r="S363" s="578"/>
      <c r="T363" s="578"/>
      <c r="U363" s="578"/>
    </row>
    <row r="364">
      <c r="A364" s="286"/>
      <c r="B364" s="286"/>
      <c r="C364" s="529"/>
      <c r="D364" s="306"/>
      <c r="E364" s="599"/>
      <c r="F364" s="306"/>
      <c r="G364" s="306"/>
      <c r="H364" s="598"/>
      <c r="I364" s="286"/>
      <c r="J364" s="286"/>
      <c r="K364" s="529"/>
      <c r="L364" s="286"/>
      <c r="M364" s="529"/>
      <c r="N364" s="286"/>
      <c r="O364" s="286"/>
      <c r="P364" s="286"/>
      <c r="Q364" s="286"/>
      <c r="R364" s="578"/>
      <c r="S364" s="578"/>
      <c r="T364" s="578"/>
      <c r="U364" s="578"/>
    </row>
    <row r="365">
      <c r="A365" s="286"/>
      <c r="B365" s="286"/>
      <c r="C365" s="529"/>
      <c r="D365" s="306"/>
      <c r="E365" s="599"/>
      <c r="F365" s="306"/>
      <c r="G365" s="306"/>
      <c r="H365" s="598"/>
      <c r="I365" s="286"/>
      <c r="J365" s="286"/>
      <c r="K365" s="529"/>
      <c r="L365" s="286"/>
      <c r="M365" s="529"/>
      <c r="N365" s="286"/>
      <c r="O365" s="286"/>
      <c r="P365" s="286"/>
      <c r="Q365" s="286"/>
      <c r="R365" s="578"/>
      <c r="S365" s="578"/>
      <c r="T365" s="578"/>
      <c r="U365" s="578"/>
    </row>
    <row r="366">
      <c r="A366" s="286"/>
      <c r="B366" s="286"/>
      <c r="C366" s="529"/>
      <c r="D366" s="306"/>
      <c r="E366" s="599"/>
      <c r="F366" s="306"/>
      <c r="G366" s="306"/>
      <c r="H366" s="598"/>
      <c r="I366" s="286"/>
      <c r="J366" s="286"/>
      <c r="K366" s="529"/>
      <c r="L366" s="286"/>
      <c r="M366" s="529"/>
      <c r="N366" s="286"/>
      <c r="O366" s="286"/>
      <c r="P366" s="286"/>
      <c r="Q366" s="286"/>
      <c r="R366" s="578"/>
      <c r="S366" s="578"/>
      <c r="T366" s="578"/>
      <c r="U366" s="578"/>
    </row>
    <row r="367">
      <c r="A367" s="286"/>
      <c r="B367" s="286"/>
      <c r="C367" s="529"/>
      <c r="D367" s="306"/>
      <c r="E367" s="599"/>
      <c r="F367" s="306"/>
      <c r="G367" s="306"/>
      <c r="H367" s="598"/>
      <c r="I367" s="286"/>
      <c r="J367" s="286"/>
      <c r="K367" s="529"/>
      <c r="L367" s="286"/>
      <c r="M367" s="529"/>
      <c r="N367" s="286"/>
      <c r="O367" s="286"/>
      <c r="P367" s="286"/>
      <c r="Q367" s="286"/>
      <c r="R367" s="578"/>
      <c r="S367" s="578"/>
      <c r="T367" s="578"/>
      <c r="U367" s="578"/>
    </row>
    <row r="368">
      <c r="A368" s="286"/>
      <c r="B368" s="286"/>
      <c r="C368" s="529"/>
      <c r="D368" s="306"/>
      <c r="E368" s="599"/>
      <c r="F368" s="306"/>
      <c r="G368" s="306"/>
      <c r="H368" s="598"/>
      <c r="I368" s="286"/>
      <c r="J368" s="286"/>
      <c r="K368" s="529"/>
      <c r="L368" s="286"/>
      <c r="M368" s="529"/>
      <c r="N368" s="286"/>
      <c r="O368" s="286"/>
      <c r="P368" s="286"/>
      <c r="Q368" s="286"/>
      <c r="R368" s="578"/>
      <c r="S368" s="578"/>
      <c r="T368" s="578"/>
      <c r="U368" s="578"/>
    </row>
    <row r="369">
      <c r="A369" s="286"/>
      <c r="B369" s="286"/>
      <c r="C369" s="529"/>
      <c r="D369" s="306"/>
      <c r="E369" s="599"/>
      <c r="F369" s="306"/>
      <c r="G369" s="306"/>
      <c r="H369" s="598"/>
      <c r="I369" s="286"/>
      <c r="J369" s="286"/>
      <c r="K369" s="529"/>
      <c r="L369" s="286"/>
      <c r="M369" s="529"/>
      <c r="N369" s="286"/>
      <c r="O369" s="286"/>
      <c r="P369" s="286"/>
      <c r="Q369" s="286"/>
      <c r="R369" s="578"/>
      <c r="S369" s="578"/>
      <c r="T369" s="578"/>
      <c r="U369" s="578"/>
    </row>
    <row r="370">
      <c r="A370" s="286"/>
      <c r="B370" s="286"/>
      <c r="C370" s="529"/>
      <c r="D370" s="306"/>
      <c r="E370" s="599"/>
      <c r="F370" s="306"/>
      <c r="G370" s="306"/>
      <c r="H370" s="598"/>
      <c r="I370" s="286"/>
      <c r="J370" s="286"/>
      <c r="K370" s="529"/>
      <c r="L370" s="286"/>
      <c r="M370" s="529"/>
      <c r="N370" s="286"/>
      <c r="O370" s="286"/>
      <c r="P370" s="286"/>
      <c r="Q370" s="286"/>
      <c r="R370" s="578"/>
      <c r="S370" s="578"/>
      <c r="T370" s="578"/>
      <c r="U370" s="578"/>
    </row>
    <row r="371">
      <c r="A371" s="286"/>
      <c r="B371" s="286"/>
      <c r="C371" s="529"/>
      <c r="D371" s="306"/>
      <c r="E371" s="599"/>
      <c r="F371" s="306"/>
      <c r="G371" s="306"/>
      <c r="H371" s="598"/>
      <c r="I371" s="286"/>
      <c r="J371" s="286"/>
      <c r="K371" s="529"/>
      <c r="L371" s="286"/>
      <c r="M371" s="529"/>
      <c r="N371" s="286"/>
      <c r="O371" s="286"/>
      <c r="P371" s="286"/>
      <c r="Q371" s="286"/>
      <c r="R371" s="578"/>
      <c r="S371" s="578"/>
      <c r="T371" s="578"/>
      <c r="U371" s="578"/>
    </row>
    <row r="372">
      <c r="A372" s="286"/>
      <c r="B372" s="286"/>
      <c r="C372" s="529"/>
      <c r="D372" s="306"/>
      <c r="E372" s="599"/>
      <c r="F372" s="306"/>
      <c r="G372" s="306"/>
      <c r="H372" s="598"/>
      <c r="I372" s="286"/>
      <c r="J372" s="286"/>
      <c r="K372" s="529"/>
      <c r="L372" s="286"/>
      <c r="M372" s="529"/>
      <c r="N372" s="286"/>
      <c r="O372" s="286"/>
      <c r="P372" s="286"/>
      <c r="Q372" s="286"/>
      <c r="R372" s="578"/>
      <c r="S372" s="578"/>
      <c r="T372" s="578"/>
      <c r="U372" s="578"/>
    </row>
    <row r="373">
      <c r="A373" s="286"/>
      <c r="B373" s="286"/>
      <c r="C373" s="529"/>
      <c r="D373" s="306"/>
      <c r="E373" s="599"/>
      <c r="F373" s="306"/>
      <c r="G373" s="306"/>
      <c r="H373" s="598"/>
      <c r="I373" s="286"/>
      <c r="J373" s="286"/>
      <c r="K373" s="529"/>
      <c r="L373" s="286"/>
      <c r="M373" s="529"/>
      <c r="N373" s="286"/>
      <c r="O373" s="286"/>
      <c r="P373" s="286"/>
      <c r="Q373" s="286"/>
      <c r="R373" s="578"/>
      <c r="S373" s="578"/>
      <c r="T373" s="578"/>
      <c r="U373" s="578"/>
    </row>
    <row r="374">
      <c r="A374" s="286"/>
      <c r="B374" s="286"/>
      <c r="C374" s="529"/>
      <c r="D374" s="306"/>
      <c r="E374" s="599"/>
      <c r="F374" s="306"/>
      <c r="G374" s="306"/>
      <c r="H374" s="598"/>
      <c r="I374" s="286"/>
      <c r="J374" s="286"/>
      <c r="K374" s="529"/>
      <c r="L374" s="286"/>
      <c r="M374" s="529"/>
      <c r="N374" s="286"/>
      <c r="O374" s="286"/>
      <c r="P374" s="286"/>
      <c r="Q374" s="286"/>
      <c r="R374" s="578"/>
      <c r="S374" s="578"/>
      <c r="T374" s="578"/>
      <c r="U374" s="578"/>
    </row>
    <row r="375">
      <c r="A375" s="286"/>
      <c r="B375" s="286"/>
      <c r="C375" s="529"/>
      <c r="D375" s="306"/>
      <c r="E375" s="599"/>
      <c r="F375" s="306"/>
      <c r="G375" s="306"/>
      <c r="H375" s="598"/>
      <c r="I375" s="286"/>
      <c r="J375" s="286"/>
      <c r="K375" s="529"/>
      <c r="L375" s="286"/>
      <c r="M375" s="529"/>
      <c r="N375" s="286"/>
      <c r="O375" s="286"/>
      <c r="P375" s="286"/>
      <c r="Q375" s="286"/>
      <c r="R375" s="578"/>
      <c r="S375" s="578"/>
      <c r="T375" s="578"/>
      <c r="U375" s="578"/>
    </row>
    <row r="376">
      <c r="A376" s="286"/>
      <c r="B376" s="286"/>
      <c r="C376" s="529"/>
      <c r="D376" s="306"/>
      <c r="E376" s="599"/>
      <c r="F376" s="306"/>
      <c r="G376" s="306"/>
      <c r="H376" s="598"/>
      <c r="I376" s="286"/>
      <c r="J376" s="286"/>
      <c r="K376" s="529"/>
      <c r="L376" s="286"/>
      <c r="M376" s="529"/>
      <c r="N376" s="286"/>
      <c r="O376" s="286"/>
      <c r="P376" s="286"/>
      <c r="Q376" s="286"/>
      <c r="R376" s="578"/>
      <c r="S376" s="578"/>
      <c r="T376" s="578"/>
      <c r="U376" s="578"/>
    </row>
    <row r="377">
      <c r="A377" s="286"/>
      <c r="B377" s="286"/>
      <c r="C377" s="529"/>
      <c r="D377" s="306"/>
      <c r="E377" s="599"/>
      <c r="F377" s="306"/>
      <c r="G377" s="306"/>
      <c r="H377" s="598"/>
      <c r="I377" s="286"/>
      <c r="J377" s="286"/>
      <c r="K377" s="529"/>
      <c r="L377" s="286"/>
      <c r="M377" s="529"/>
      <c r="N377" s="286"/>
      <c r="O377" s="286"/>
      <c r="P377" s="286"/>
      <c r="Q377" s="286"/>
      <c r="R377" s="578"/>
      <c r="S377" s="578"/>
      <c r="T377" s="578"/>
      <c r="U377" s="578"/>
    </row>
    <row r="378">
      <c r="A378" s="286"/>
      <c r="B378" s="286"/>
      <c r="C378" s="529"/>
      <c r="D378" s="306"/>
      <c r="E378" s="599"/>
      <c r="F378" s="306"/>
      <c r="G378" s="306"/>
      <c r="H378" s="598"/>
      <c r="I378" s="286"/>
      <c r="J378" s="286"/>
      <c r="K378" s="529"/>
      <c r="L378" s="286"/>
      <c r="M378" s="529"/>
      <c r="N378" s="286"/>
      <c r="O378" s="286"/>
      <c r="P378" s="286"/>
      <c r="Q378" s="286"/>
      <c r="R378" s="578"/>
      <c r="S378" s="578"/>
      <c r="T378" s="578"/>
      <c r="U378" s="578"/>
    </row>
    <row r="379">
      <c r="A379" s="286"/>
      <c r="B379" s="286"/>
      <c r="C379" s="529"/>
      <c r="D379" s="306"/>
      <c r="E379" s="599"/>
      <c r="F379" s="306"/>
      <c r="G379" s="306"/>
      <c r="H379" s="598"/>
      <c r="I379" s="286"/>
      <c r="J379" s="286"/>
      <c r="K379" s="529"/>
      <c r="L379" s="286"/>
      <c r="M379" s="529"/>
      <c r="N379" s="286"/>
      <c r="O379" s="286"/>
      <c r="P379" s="286"/>
      <c r="Q379" s="286"/>
      <c r="R379" s="578"/>
      <c r="S379" s="578"/>
      <c r="T379" s="578"/>
      <c r="U379" s="578"/>
    </row>
    <row r="380">
      <c r="A380" s="286"/>
      <c r="B380" s="286"/>
      <c r="C380" s="529"/>
      <c r="D380" s="306"/>
      <c r="E380" s="599"/>
      <c r="F380" s="306"/>
      <c r="G380" s="306"/>
      <c r="H380" s="598"/>
      <c r="I380" s="286"/>
      <c r="J380" s="286"/>
      <c r="K380" s="529"/>
      <c r="L380" s="286"/>
      <c r="M380" s="529"/>
      <c r="N380" s="286"/>
      <c r="O380" s="286"/>
      <c r="P380" s="286"/>
      <c r="Q380" s="286"/>
      <c r="R380" s="578"/>
      <c r="S380" s="578"/>
      <c r="T380" s="578"/>
      <c r="U380" s="578"/>
    </row>
    <row r="381">
      <c r="A381" s="286"/>
      <c r="B381" s="286"/>
      <c r="C381" s="529"/>
      <c r="D381" s="306"/>
      <c r="E381" s="599"/>
      <c r="F381" s="306"/>
      <c r="G381" s="306"/>
      <c r="H381" s="598"/>
      <c r="I381" s="286"/>
      <c r="J381" s="286"/>
      <c r="K381" s="529"/>
      <c r="L381" s="286"/>
      <c r="M381" s="529"/>
      <c r="N381" s="286"/>
      <c r="O381" s="286"/>
      <c r="P381" s="286"/>
      <c r="Q381" s="286"/>
      <c r="R381" s="578"/>
      <c r="S381" s="578"/>
      <c r="T381" s="578"/>
      <c r="U381" s="578"/>
    </row>
    <row r="382">
      <c r="A382" s="286"/>
      <c r="B382" s="286"/>
      <c r="C382" s="529"/>
      <c r="D382" s="306"/>
      <c r="E382" s="599"/>
      <c r="F382" s="306"/>
      <c r="G382" s="306"/>
      <c r="H382" s="598"/>
      <c r="I382" s="286"/>
      <c r="J382" s="286"/>
      <c r="K382" s="529"/>
      <c r="L382" s="286"/>
      <c r="M382" s="529"/>
      <c r="N382" s="286"/>
      <c r="O382" s="286"/>
      <c r="P382" s="286"/>
      <c r="Q382" s="286"/>
      <c r="R382" s="578"/>
      <c r="S382" s="578"/>
      <c r="T382" s="578"/>
      <c r="U382" s="578"/>
    </row>
    <row r="383">
      <c r="A383" s="286"/>
      <c r="B383" s="286"/>
      <c r="C383" s="529"/>
      <c r="D383" s="306"/>
      <c r="E383" s="599"/>
      <c r="F383" s="306"/>
      <c r="G383" s="306"/>
      <c r="H383" s="598"/>
      <c r="I383" s="286"/>
      <c r="J383" s="286"/>
      <c r="K383" s="529"/>
      <c r="L383" s="286"/>
      <c r="M383" s="529"/>
      <c r="N383" s="286"/>
      <c r="O383" s="286"/>
      <c r="P383" s="286"/>
      <c r="Q383" s="286"/>
      <c r="R383" s="578"/>
      <c r="S383" s="578"/>
      <c r="T383" s="578"/>
      <c r="U383" s="578"/>
    </row>
    <row r="384">
      <c r="A384" s="286"/>
      <c r="B384" s="286"/>
      <c r="C384" s="529"/>
      <c r="D384" s="306"/>
      <c r="E384" s="599"/>
      <c r="F384" s="306"/>
      <c r="G384" s="306"/>
      <c r="H384" s="598"/>
      <c r="I384" s="286"/>
      <c r="J384" s="286"/>
      <c r="K384" s="529"/>
      <c r="L384" s="286"/>
      <c r="M384" s="529"/>
      <c r="N384" s="286"/>
      <c r="O384" s="286"/>
      <c r="P384" s="286"/>
      <c r="Q384" s="286"/>
      <c r="R384" s="578"/>
      <c r="S384" s="578"/>
      <c r="T384" s="578"/>
      <c r="U384" s="578"/>
    </row>
    <row r="385">
      <c r="A385" s="286"/>
      <c r="B385" s="286"/>
      <c r="C385" s="529"/>
      <c r="D385" s="306"/>
      <c r="E385" s="599"/>
      <c r="F385" s="306"/>
      <c r="G385" s="306"/>
      <c r="H385" s="598"/>
      <c r="I385" s="286"/>
      <c r="J385" s="286"/>
      <c r="K385" s="529"/>
      <c r="L385" s="286"/>
      <c r="M385" s="529"/>
      <c r="N385" s="286"/>
      <c r="O385" s="286"/>
      <c r="P385" s="286"/>
      <c r="Q385" s="286"/>
      <c r="R385" s="578"/>
      <c r="S385" s="578"/>
      <c r="T385" s="578"/>
      <c r="U385" s="578"/>
    </row>
    <row r="386">
      <c r="A386" s="286"/>
      <c r="B386" s="286"/>
      <c r="C386" s="529"/>
      <c r="D386" s="306"/>
      <c r="E386" s="599"/>
      <c r="F386" s="306"/>
      <c r="G386" s="306"/>
      <c r="H386" s="598"/>
      <c r="I386" s="286"/>
      <c r="J386" s="286"/>
      <c r="K386" s="529"/>
      <c r="L386" s="286"/>
      <c r="M386" s="529"/>
      <c r="N386" s="286"/>
      <c r="O386" s="286"/>
      <c r="P386" s="286"/>
      <c r="Q386" s="286"/>
      <c r="R386" s="578"/>
      <c r="S386" s="578"/>
      <c r="T386" s="578"/>
      <c r="U386" s="578"/>
    </row>
    <row r="387">
      <c r="A387" s="286"/>
      <c r="B387" s="286"/>
      <c r="C387" s="529"/>
      <c r="D387" s="306"/>
      <c r="E387" s="599"/>
      <c r="F387" s="306"/>
      <c r="G387" s="306"/>
      <c r="H387" s="598"/>
      <c r="I387" s="286"/>
      <c r="J387" s="286"/>
      <c r="K387" s="529"/>
      <c r="L387" s="286"/>
      <c r="M387" s="529"/>
      <c r="N387" s="286"/>
      <c r="O387" s="286"/>
      <c r="P387" s="286"/>
      <c r="Q387" s="286"/>
      <c r="R387" s="578"/>
      <c r="S387" s="578"/>
      <c r="T387" s="578"/>
      <c r="U387" s="578"/>
    </row>
    <row r="388">
      <c r="A388" s="286"/>
      <c r="B388" s="286"/>
      <c r="C388" s="529"/>
      <c r="D388" s="306"/>
      <c r="E388" s="599"/>
      <c r="F388" s="306"/>
      <c r="G388" s="306"/>
      <c r="H388" s="598"/>
      <c r="I388" s="286"/>
      <c r="J388" s="286"/>
      <c r="K388" s="529"/>
      <c r="L388" s="286"/>
      <c r="M388" s="529"/>
      <c r="N388" s="286"/>
      <c r="O388" s="286"/>
      <c r="P388" s="286"/>
      <c r="Q388" s="286"/>
      <c r="R388" s="578"/>
      <c r="S388" s="578"/>
      <c r="T388" s="578"/>
      <c r="U388" s="578"/>
    </row>
    <row r="389">
      <c r="A389" s="286"/>
      <c r="B389" s="286"/>
      <c r="C389" s="529"/>
      <c r="D389" s="306"/>
      <c r="E389" s="599"/>
      <c r="F389" s="306"/>
      <c r="G389" s="306"/>
      <c r="H389" s="598"/>
      <c r="I389" s="286"/>
      <c r="J389" s="286"/>
      <c r="K389" s="529"/>
      <c r="L389" s="286"/>
      <c r="M389" s="529"/>
      <c r="N389" s="286"/>
      <c r="O389" s="286"/>
      <c r="P389" s="286"/>
      <c r="Q389" s="286"/>
      <c r="R389" s="578"/>
      <c r="S389" s="578"/>
      <c r="T389" s="578"/>
      <c r="U389" s="578"/>
    </row>
    <row r="390">
      <c r="A390" s="286"/>
      <c r="B390" s="286"/>
      <c r="C390" s="529"/>
      <c r="D390" s="306"/>
      <c r="E390" s="599"/>
      <c r="F390" s="306"/>
      <c r="G390" s="306"/>
      <c r="H390" s="598"/>
      <c r="I390" s="286"/>
      <c r="J390" s="286"/>
      <c r="K390" s="529"/>
      <c r="L390" s="286"/>
      <c r="M390" s="529"/>
      <c r="N390" s="286"/>
      <c r="O390" s="286"/>
      <c r="P390" s="286"/>
      <c r="Q390" s="286"/>
      <c r="R390" s="578"/>
      <c r="S390" s="578"/>
      <c r="T390" s="578"/>
      <c r="U390" s="578"/>
    </row>
    <row r="391">
      <c r="A391" s="286"/>
      <c r="B391" s="286"/>
      <c r="C391" s="529"/>
      <c r="D391" s="306"/>
      <c r="E391" s="599"/>
      <c r="F391" s="306"/>
      <c r="G391" s="306"/>
      <c r="H391" s="598"/>
      <c r="I391" s="286"/>
      <c r="J391" s="286"/>
      <c r="K391" s="529"/>
      <c r="L391" s="286"/>
      <c r="M391" s="529"/>
      <c r="N391" s="286"/>
      <c r="O391" s="286"/>
      <c r="P391" s="286"/>
      <c r="Q391" s="286"/>
      <c r="R391" s="578"/>
      <c r="S391" s="578"/>
      <c r="T391" s="578"/>
      <c r="U391" s="578"/>
    </row>
    <row r="392">
      <c r="A392" s="286"/>
      <c r="B392" s="286"/>
      <c r="C392" s="529"/>
      <c r="D392" s="306"/>
      <c r="E392" s="599"/>
      <c r="F392" s="306"/>
      <c r="G392" s="306"/>
      <c r="H392" s="598"/>
      <c r="I392" s="286"/>
      <c r="J392" s="286"/>
      <c r="K392" s="529"/>
      <c r="L392" s="286"/>
      <c r="M392" s="529"/>
      <c r="N392" s="286"/>
      <c r="O392" s="286"/>
      <c r="P392" s="286"/>
      <c r="Q392" s="286"/>
      <c r="R392" s="578"/>
      <c r="S392" s="578"/>
      <c r="T392" s="578"/>
      <c r="U392" s="578"/>
    </row>
    <row r="393">
      <c r="A393" s="286"/>
      <c r="B393" s="286"/>
      <c r="C393" s="529"/>
      <c r="D393" s="306"/>
      <c r="E393" s="599"/>
      <c r="F393" s="306"/>
      <c r="G393" s="306"/>
      <c r="H393" s="598"/>
      <c r="I393" s="286"/>
      <c r="J393" s="286"/>
      <c r="K393" s="529"/>
      <c r="L393" s="286"/>
      <c r="M393" s="529"/>
      <c r="N393" s="286"/>
      <c r="O393" s="286"/>
      <c r="P393" s="286"/>
      <c r="Q393" s="286"/>
      <c r="R393" s="578"/>
      <c r="S393" s="578"/>
      <c r="T393" s="578"/>
      <c r="U393" s="578"/>
    </row>
    <row r="394">
      <c r="A394" s="286"/>
      <c r="B394" s="286"/>
      <c r="C394" s="529"/>
      <c r="D394" s="306"/>
      <c r="E394" s="599"/>
      <c r="F394" s="306"/>
      <c r="G394" s="306"/>
      <c r="H394" s="598"/>
      <c r="I394" s="286"/>
      <c r="J394" s="286"/>
      <c r="K394" s="529"/>
      <c r="L394" s="286"/>
      <c r="M394" s="529"/>
      <c r="N394" s="286"/>
      <c r="O394" s="286"/>
      <c r="P394" s="286"/>
      <c r="Q394" s="286"/>
      <c r="R394" s="578"/>
      <c r="S394" s="578"/>
      <c r="T394" s="578"/>
      <c r="U394" s="578"/>
    </row>
    <row r="395">
      <c r="A395" s="286"/>
      <c r="B395" s="286"/>
      <c r="C395" s="529"/>
      <c r="D395" s="306"/>
      <c r="E395" s="599"/>
      <c r="F395" s="306"/>
      <c r="G395" s="306"/>
      <c r="H395" s="598"/>
      <c r="I395" s="286"/>
      <c r="J395" s="286"/>
      <c r="K395" s="529"/>
      <c r="L395" s="286"/>
      <c r="M395" s="529"/>
      <c r="N395" s="286"/>
      <c r="O395" s="286"/>
      <c r="P395" s="286"/>
      <c r="Q395" s="286"/>
      <c r="R395" s="578"/>
      <c r="S395" s="578"/>
      <c r="T395" s="578"/>
      <c r="U395" s="578"/>
    </row>
    <row r="396">
      <c r="A396" s="286"/>
      <c r="B396" s="286"/>
      <c r="C396" s="529"/>
      <c r="D396" s="306"/>
      <c r="E396" s="599"/>
      <c r="F396" s="306"/>
      <c r="G396" s="306"/>
      <c r="H396" s="598"/>
      <c r="I396" s="286"/>
      <c r="J396" s="286"/>
      <c r="K396" s="529"/>
      <c r="L396" s="286"/>
      <c r="M396" s="529"/>
      <c r="N396" s="286"/>
      <c r="O396" s="286"/>
      <c r="P396" s="286"/>
      <c r="Q396" s="286"/>
      <c r="R396" s="578"/>
      <c r="S396" s="578"/>
      <c r="T396" s="578"/>
      <c r="U396" s="578"/>
    </row>
    <row r="397">
      <c r="A397" s="286"/>
      <c r="B397" s="286"/>
      <c r="C397" s="529"/>
      <c r="D397" s="306"/>
      <c r="E397" s="599"/>
      <c r="F397" s="306"/>
      <c r="G397" s="306"/>
      <c r="H397" s="598"/>
      <c r="I397" s="286"/>
      <c r="J397" s="286"/>
      <c r="K397" s="529"/>
      <c r="L397" s="286"/>
      <c r="M397" s="529"/>
      <c r="N397" s="286"/>
      <c r="O397" s="286"/>
      <c r="P397" s="286"/>
      <c r="Q397" s="286"/>
      <c r="R397" s="578"/>
      <c r="S397" s="578"/>
      <c r="T397" s="578"/>
      <c r="U397" s="578"/>
    </row>
    <row r="398">
      <c r="A398" s="286"/>
      <c r="B398" s="286"/>
      <c r="C398" s="529"/>
      <c r="D398" s="306"/>
      <c r="E398" s="599"/>
      <c r="F398" s="306"/>
      <c r="G398" s="306"/>
      <c r="H398" s="598"/>
      <c r="I398" s="286"/>
      <c r="J398" s="286"/>
      <c r="K398" s="529"/>
      <c r="L398" s="286"/>
      <c r="M398" s="529"/>
      <c r="N398" s="286"/>
      <c r="O398" s="286"/>
      <c r="P398" s="286"/>
      <c r="Q398" s="286"/>
      <c r="R398" s="578"/>
      <c r="S398" s="578"/>
      <c r="T398" s="578"/>
      <c r="U398" s="578"/>
    </row>
    <row r="399">
      <c r="A399" s="286"/>
      <c r="B399" s="286"/>
      <c r="C399" s="529"/>
      <c r="D399" s="306"/>
      <c r="E399" s="599"/>
      <c r="F399" s="306"/>
      <c r="G399" s="306"/>
      <c r="H399" s="598"/>
      <c r="I399" s="286"/>
      <c r="J399" s="286"/>
      <c r="K399" s="529"/>
      <c r="L399" s="286"/>
      <c r="M399" s="529"/>
      <c r="N399" s="286"/>
      <c r="O399" s="286"/>
      <c r="P399" s="286"/>
      <c r="Q399" s="286"/>
      <c r="R399" s="578"/>
      <c r="S399" s="578"/>
      <c r="T399" s="578"/>
      <c r="U399" s="578"/>
    </row>
    <row r="400">
      <c r="A400" s="286"/>
      <c r="B400" s="286"/>
      <c r="C400" s="529"/>
      <c r="D400" s="306"/>
      <c r="E400" s="599"/>
      <c r="F400" s="306"/>
      <c r="G400" s="306"/>
      <c r="H400" s="598"/>
      <c r="I400" s="286"/>
      <c r="J400" s="286"/>
      <c r="K400" s="529"/>
      <c r="L400" s="286"/>
      <c r="M400" s="529"/>
      <c r="N400" s="286"/>
      <c r="O400" s="286"/>
      <c r="P400" s="286"/>
      <c r="Q400" s="286"/>
      <c r="R400" s="578"/>
      <c r="S400" s="578"/>
      <c r="T400" s="578"/>
      <c r="U400" s="578"/>
    </row>
    <row r="401">
      <c r="A401" s="286"/>
      <c r="B401" s="286"/>
      <c r="C401" s="529"/>
      <c r="D401" s="306"/>
      <c r="E401" s="599"/>
      <c r="F401" s="306"/>
      <c r="G401" s="306"/>
      <c r="H401" s="598"/>
      <c r="I401" s="286"/>
      <c r="J401" s="286"/>
      <c r="K401" s="529"/>
      <c r="L401" s="286"/>
      <c r="M401" s="529"/>
      <c r="N401" s="286"/>
      <c r="O401" s="286"/>
      <c r="P401" s="286"/>
      <c r="Q401" s="286"/>
      <c r="R401" s="578"/>
      <c r="S401" s="578"/>
      <c r="T401" s="578"/>
      <c r="U401" s="578"/>
    </row>
    <row r="402">
      <c r="A402" s="286"/>
      <c r="B402" s="286"/>
      <c r="C402" s="529"/>
      <c r="D402" s="306"/>
      <c r="E402" s="599"/>
      <c r="F402" s="306"/>
      <c r="G402" s="306"/>
      <c r="H402" s="598"/>
      <c r="I402" s="286"/>
      <c r="J402" s="286"/>
      <c r="K402" s="529"/>
      <c r="L402" s="286"/>
      <c r="M402" s="529"/>
      <c r="N402" s="286"/>
      <c r="O402" s="286"/>
      <c r="P402" s="286"/>
      <c r="Q402" s="286"/>
      <c r="R402" s="578"/>
      <c r="S402" s="578"/>
      <c r="T402" s="578"/>
      <c r="U402" s="578"/>
    </row>
    <row r="403">
      <c r="A403" s="286"/>
      <c r="B403" s="286"/>
      <c r="C403" s="529"/>
      <c r="D403" s="306"/>
      <c r="E403" s="599"/>
      <c r="F403" s="306"/>
      <c r="G403" s="306"/>
      <c r="H403" s="598"/>
      <c r="I403" s="286"/>
      <c r="J403" s="286"/>
      <c r="K403" s="529"/>
      <c r="L403" s="286"/>
      <c r="M403" s="529"/>
      <c r="N403" s="286"/>
      <c r="O403" s="286"/>
      <c r="P403" s="286"/>
      <c r="Q403" s="286"/>
      <c r="R403" s="578"/>
      <c r="S403" s="578"/>
      <c r="T403" s="578"/>
      <c r="U403" s="578"/>
    </row>
    <row r="404">
      <c r="A404" s="286"/>
      <c r="B404" s="286"/>
      <c r="C404" s="529"/>
      <c r="D404" s="306"/>
      <c r="E404" s="599"/>
      <c r="F404" s="306"/>
      <c r="G404" s="306"/>
      <c r="H404" s="598"/>
      <c r="I404" s="286"/>
      <c r="J404" s="286"/>
      <c r="K404" s="529"/>
      <c r="L404" s="286"/>
      <c r="M404" s="529"/>
      <c r="N404" s="286"/>
      <c r="O404" s="286"/>
      <c r="P404" s="286"/>
      <c r="Q404" s="286"/>
      <c r="R404" s="578"/>
      <c r="S404" s="578"/>
      <c r="T404" s="578"/>
      <c r="U404" s="578"/>
    </row>
    <row r="405">
      <c r="A405" s="286"/>
      <c r="B405" s="286"/>
      <c r="C405" s="529"/>
      <c r="D405" s="306"/>
      <c r="E405" s="599"/>
      <c r="F405" s="306"/>
      <c r="G405" s="306"/>
      <c r="H405" s="598"/>
      <c r="I405" s="286"/>
      <c r="J405" s="286"/>
      <c r="K405" s="529"/>
      <c r="L405" s="286"/>
      <c r="M405" s="529"/>
      <c r="N405" s="286"/>
      <c r="O405" s="286"/>
      <c r="P405" s="286"/>
      <c r="Q405" s="286"/>
      <c r="R405" s="578"/>
      <c r="S405" s="578"/>
      <c r="T405" s="578"/>
      <c r="U405" s="578"/>
    </row>
    <row r="406">
      <c r="A406" s="286"/>
      <c r="B406" s="286"/>
      <c r="C406" s="529"/>
      <c r="D406" s="306"/>
      <c r="E406" s="599"/>
      <c r="F406" s="306"/>
      <c r="G406" s="306"/>
      <c r="H406" s="598"/>
      <c r="I406" s="286"/>
      <c r="J406" s="286"/>
      <c r="K406" s="529"/>
      <c r="L406" s="286"/>
      <c r="M406" s="529"/>
      <c r="N406" s="286"/>
      <c r="O406" s="286"/>
      <c r="P406" s="286"/>
      <c r="Q406" s="286"/>
      <c r="R406" s="578"/>
      <c r="S406" s="578"/>
      <c r="T406" s="578"/>
      <c r="U406" s="578"/>
    </row>
    <row r="407">
      <c r="A407" s="286"/>
      <c r="B407" s="286"/>
      <c r="C407" s="529"/>
      <c r="D407" s="306"/>
      <c r="E407" s="599"/>
      <c r="F407" s="306"/>
      <c r="G407" s="306"/>
      <c r="H407" s="598"/>
      <c r="I407" s="286"/>
      <c r="J407" s="286"/>
      <c r="K407" s="529"/>
      <c r="L407" s="286"/>
      <c r="M407" s="529"/>
      <c r="N407" s="286"/>
      <c r="O407" s="286"/>
      <c r="P407" s="286"/>
      <c r="Q407" s="286"/>
      <c r="R407" s="578"/>
      <c r="S407" s="578"/>
      <c r="T407" s="578"/>
      <c r="U407" s="578"/>
    </row>
    <row r="408">
      <c r="A408" s="286"/>
      <c r="B408" s="286"/>
      <c r="C408" s="529"/>
      <c r="D408" s="306"/>
      <c r="E408" s="599"/>
      <c r="F408" s="306"/>
      <c r="G408" s="306"/>
      <c r="H408" s="598"/>
      <c r="I408" s="286"/>
      <c r="J408" s="286"/>
      <c r="K408" s="529"/>
      <c r="L408" s="286"/>
      <c r="M408" s="529"/>
      <c r="N408" s="286"/>
      <c r="O408" s="286"/>
      <c r="P408" s="286"/>
      <c r="Q408" s="286"/>
      <c r="R408" s="578"/>
      <c r="S408" s="578"/>
      <c r="T408" s="578"/>
      <c r="U408" s="578"/>
    </row>
    <row r="409">
      <c r="A409" s="286"/>
      <c r="B409" s="286"/>
      <c r="C409" s="529"/>
      <c r="D409" s="306"/>
      <c r="E409" s="599"/>
      <c r="F409" s="306"/>
      <c r="G409" s="306"/>
      <c r="H409" s="598"/>
      <c r="I409" s="286"/>
      <c r="J409" s="286"/>
      <c r="K409" s="529"/>
      <c r="L409" s="286"/>
      <c r="M409" s="529"/>
      <c r="N409" s="286"/>
      <c r="O409" s="286"/>
      <c r="P409" s="286"/>
      <c r="Q409" s="286"/>
      <c r="R409" s="578"/>
      <c r="S409" s="578"/>
      <c r="T409" s="578"/>
      <c r="U409" s="578"/>
    </row>
    <row r="410">
      <c r="A410" s="286"/>
      <c r="B410" s="286"/>
      <c r="C410" s="529"/>
      <c r="D410" s="306"/>
      <c r="E410" s="599"/>
      <c r="F410" s="306"/>
      <c r="G410" s="306"/>
      <c r="H410" s="598"/>
      <c r="I410" s="286"/>
      <c r="J410" s="286"/>
      <c r="K410" s="529"/>
      <c r="L410" s="286"/>
      <c r="M410" s="529"/>
      <c r="N410" s="286"/>
      <c r="O410" s="286"/>
      <c r="P410" s="286"/>
      <c r="Q410" s="286"/>
      <c r="R410" s="578"/>
      <c r="S410" s="578"/>
      <c r="T410" s="578"/>
      <c r="U410" s="578"/>
    </row>
    <row r="411">
      <c r="A411" s="286"/>
      <c r="B411" s="286"/>
      <c r="C411" s="529"/>
      <c r="D411" s="306"/>
      <c r="E411" s="599"/>
      <c r="F411" s="306"/>
      <c r="G411" s="306"/>
      <c r="H411" s="598"/>
      <c r="I411" s="286"/>
      <c r="J411" s="286"/>
      <c r="K411" s="529"/>
      <c r="L411" s="286"/>
      <c r="M411" s="529"/>
      <c r="N411" s="286"/>
      <c r="O411" s="286"/>
      <c r="P411" s="286"/>
      <c r="Q411" s="286"/>
      <c r="R411" s="578"/>
      <c r="S411" s="578"/>
      <c r="T411" s="578"/>
      <c r="U411" s="578"/>
    </row>
    <row r="412">
      <c r="A412" s="286"/>
      <c r="B412" s="286"/>
      <c r="C412" s="529"/>
      <c r="D412" s="306"/>
      <c r="E412" s="599"/>
      <c r="F412" s="306"/>
      <c r="G412" s="306"/>
      <c r="H412" s="598"/>
      <c r="I412" s="286"/>
      <c r="J412" s="286"/>
      <c r="K412" s="529"/>
      <c r="L412" s="286"/>
      <c r="M412" s="529"/>
      <c r="N412" s="286"/>
      <c r="O412" s="286"/>
      <c r="P412" s="286"/>
      <c r="Q412" s="286"/>
      <c r="R412" s="578"/>
      <c r="S412" s="578"/>
      <c r="T412" s="578"/>
      <c r="U412" s="578"/>
    </row>
    <row r="413">
      <c r="A413" s="286"/>
      <c r="B413" s="286"/>
      <c r="C413" s="529"/>
      <c r="D413" s="306"/>
      <c r="E413" s="599"/>
      <c r="F413" s="306"/>
      <c r="G413" s="306"/>
      <c r="H413" s="598"/>
      <c r="I413" s="286"/>
      <c r="J413" s="286"/>
      <c r="K413" s="529"/>
      <c r="L413" s="286"/>
      <c r="M413" s="529"/>
      <c r="N413" s="286"/>
      <c r="O413" s="286"/>
      <c r="P413" s="286"/>
      <c r="Q413" s="286"/>
      <c r="R413" s="578"/>
      <c r="S413" s="578"/>
      <c r="T413" s="578"/>
      <c r="U413" s="578"/>
    </row>
    <row r="414">
      <c r="A414" s="286"/>
      <c r="B414" s="286"/>
      <c r="C414" s="529"/>
      <c r="D414" s="306"/>
      <c r="E414" s="599"/>
      <c r="F414" s="306"/>
      <c r="G414" s="306"/>
      <c r="H414" s="598"/>
      <c r="I414" s="286"/>
      <c r="J414" s="286"/>
      <c r="K414" s="529"/>
      <c r="L414" s="286"/>
      <c r="M414" s="529"/>
      <c r="N414" s="286"/>
      <c r="O414" s="286"/>
      <c r="P414" s="286"/>
      <c r="Q414" s="286"/>
      <c r="R414" s="578"/>
      <c r="S414" s="578"/>
      <c r="T414" s="578"/>
      <c r="U414" s="578"/>
    </row>
    <row r="415">
      <c r="A415" s="286"/>
      <c r="B415" s="286"/>
      <c r="C415" s="529"/>
      <c r="D415" s="306"/>
      <c r="E415" s="599"/>
      <c r="F415" s="306"/>
      <c r="G415" s="306"/>
      <c r="H415" s="598"/>
      <c r="I415" s="286"/>
      <c r="J415" s="286"/>
      <c r="K415" s="529"/>
      <c r="L415" s="286"/>
      <c r="M415" s="529"/>
      <c r="N415" s="286"/>
      <c r="O415" s="286"/>
      <c r="P415" s="286"/>
      <c r="Q415" s="286"/>
      <c r="R415" s="578"/>
      <c r="S415" s="578"/>
      <c r="T415" s="578"/>
      <c r="U415" s="578"/>
    </row>
    <row r="416">
      <c r="A416" s="286"/>
      <c r="B416" s="286"/>
      <c r="C416" s="529"/>
      <c r="D416" s="306"/>
      <c r="E416" s="599"/>
      <c r="F416" s="306"/>
      <c r="G416" s="306"/>
      <c r="H416" s="598"/>
      <c r="I416" s="286"/>
      <c r="J416" s="286"/>
      <c r="K416" s="529"/>
      <c r="L416" s="286"/>
      <c r="M416" s="529"/>
      <c r="N416" s="286"/>
      <c r="O416" s="286"/>
      <c r="P416" s="286"/>
      <c r="Q416" s="286"/>
      <c r="R416" s="578"/>
      <c r="S416" s="578"/>
      <c r="T416" s="578"/>
      <c r="U416" s="578"/>
    </row>
    <row r="417">
      <c r="A417" s="286"/>
      <c r="B417" s="286"/>
      <c r="C417" s="529"/>
      <c r="D417" s="306"/>
      <c r="E417" s="599"/>
      <c r="F417" s="306"/>
      <c r="G417" s="306"/>
      <c r="H417" s="598"/>
      <c r="I417" s="286"/>
      <c r="J417" s="286"/>
      <c r="K417" s="529"/>
      <c r="L417" s="286"/>
      <c r="M417" s="529"/>
      <c r="N417" s="286"/>
      <c r="O417" s="286"/>
      <c r="P417" s="286"/>
      <c r="Q417" s="286"/>
      <c r="R417" s="578"/>
      <c r="S417" s="578"/>
      <c r="T417" s="578"/>
      <c r="U417" s="578"/>
    </row>
    <row r="418">
      <c r="A418" s="286"/>
      <c r="B418" s="286"/>
      <c r="C418" s="529"/>
      <c r="D418" s="306"/>
      <c r="E418" s="599"/>
      <c r="F418" s="306"/>
      <c r="G418" s="306"/>
      <c r="H418" s="598"/>
      <c r="I418" s="286"/>
      <c r="J418" s="286"/>
      <c r="K418" s="529"/>
      <c r="L418" s="286"/>
      <c r="M418" s="529"/>
      <c r="N418" s="286"/>
      <c r="O418" s="286"/>
      <c r="P418" s="286"/>
      <c r="Q418" s="286"/>
      <c r="R418" s="578"/>
      <c r="S418" s="578"/>
      <c r="T418" s="578"/>
      <c r="U418" s="578"/>
    </row>
    <row r="419">
      <c r="A419" s="286"/>
      <c r="B419" s="286"/>
      <c r="C419" s="529"/>
      <c r="D419" s="306"/>
      <c r="E419" s="599"/>
      <c r="F419" s="306"/>
      <c r="G419" s="306"/>
      <c r="H419" s="598"/>
      <c r="I419" s="286"/>
      <c r="J419" s="286"/>
      <c r="K419" s="529"/>
      <c r="L419" s="286"/>
      <c r="M419" s="529"/>
      <c r="N419" s="286"/>
      <c r="O419" s="286"/>
      <c r="P419" s="286"/>
      <c r="Q419" s="286"/>
      <c r="R419" s="578"/>
      <c r="S419" s="578"/>
      <c r="T419" s="578"/>
      <c r="U419" s="578"/>
    </row>
    <row r="420">
      <c r="A420" s="286"/>
      <c r="B420" s="286"/>
      <c r="C420" s="529"/>
      <c r="D420" s="306"/>
      <c r="E420" s="599"/>
      <c r="F420" s="306"/>
      <c r="G420" s="306"/>
      <c r="H420" s="598"/>
      <c r="I420" s="286"/>
      <c r="J420" s="286"/>
      <c r="K420" s="529"/>
      <c r="L420" s="286"/>
      <c r="M420" s="529"/>
      <c r="N420" s="286"/>
      <c r="O420" s="286"/>
      <c r="P420" s="286"/>
      <c r="Q420" s="286"/>
      <c r="R420" s="578"/>
      <c r="S420" s="578"/>
      <c r="T420" s="578"/>
      <c r="U420" s="578"/>
    </row>
    <row r="421">
      <c r="A421" s="286"/>
      <c r="B421" s="286"/>
      <c r="C421" s="529"/>
      <c r="D421" s="306"/>
      <c r="E421" s="599"/>
      <c r="F421" s="306"/>
      <c r="G421" s="306"/>
      <c r="H421" s="598"/>
      <c r="I421" s="286"/>
      <c r="J421" s="286"/>
      <c r="K421" s="529"/>
      <c r="L421" s="286"/>
      <c r="M421" s="529"/>
      <c r="N421" s="286"/>
      <c r="O421" s="286"/>
      <c r="P421" s="286"/>
      <c r="Q421" s="286"/>
      <c r="R421" s="578"/>
      <c r="S421" s="578"/>
      <c r="T421" s="578"/>
      <c r="U421" s="578"/>
    </row>
    <row r="422">
      <c r="A422" s="286"/>
      <c r="B422" s="286"/>
      <c r="C422" s="529"/>
      <c r="D422" s="306"/>
      <c r="E422" s="599"/>
      <c r="F422" s="306"/>
      <c r="G422" s="306"/>
      <c r="H422" s="598"/>
      <c r="I422" s="286"/>
      <c r="J422" s="286"/>
      <c r="K422" s="529"/>
      <c r="L422" s="286"/>
      <c r="M422" s="529"/>
      <c r="N422" s="286"/>
      <c r="O422" s="286"/>
      <c r="P422" s="286"/>
      <c r="Q422" s="286"/>
      <c r="R422" s="578"/>
      <c r="S422" s="578"/>
      <c r="T422" s="578"/>
      <c r="U422" s="578"/>
    </row>
    <row r="423">
      <c r="A423" s="286"/>
      <c r="B423" s="286"/>
      <c r="C423" s="529"/>
      <c r="D423" s="306"/>
      <c r="E423" s="599"/>
      <c r="F423" s="306"/>
      <c r="G423" s="306"/>
      <c r="H423" s="598"/>
      <c r="I423" s="286"/>
      <c r="J423" s="286"/>
      <c r="K423" s="529"/>
      <c r="L423" s="286"/>
      <c r="M423" s="529"/>
      <c r="N423" s="286"/>
      <c r="O423" s="286"/>
      <c r="P423" s="286"/>
      <c r="Q423" s="286"/>
      <c r="R423" s="578"/>
      <c r="S423" s="578"/>
      <c r="T423" s="578"/>
      <c r="U423" s="578"/>
    </row>
    <row r="424">
      <c r="A424" s="286"/>
      <c r="B424" s="286"/>
      <c r="C424" s="529"/>
      <c r="D424" s="306"/>
      <c r="E424" s="599"/>
      <c r="F424" s="306"/>
      <c r="G424" s="306"/>
      <c r="H424" s="598"/>
      <c r="I424" s="286"/>
      <c r="J424" s="286"/>
      <c r="K424" s="529"/>
      <c r="L424" s="286"/>
      <c r="M424" s="529"/>
      <c r="N424" s="286"/>
      <c r="O424" s="286"/>
      <c r="P424" s="286"/>
      <c r="Q424" s="286"/>
      <c r="R424" s="578"/>
      <c r="S424" s="578"/>
      <c r="T424" s="578"/>
      <c r="U424" s="578"/>
    </row>
    <row r="425">
      <c r="A425" s="286"/>
      <c r="B425" s="286"/>
      <c r="C425" s="529"/>
      <c r="D425" s="306"/>
      <c r="E425" s="599"/>
      <c r="F425" s="306"/>
      <c r="G425" s="306"/>
      <c r="H425" s="598"/>
      <c r="I425" s="286"/>
      <c r="J425" s="286"/>
      <c r="K425" s="529"/>
      <c r="L425" s="286"/>
      <c r="M425" s="529"/>
      <c r="N425" s="286"/>
      <c r="O425" s="286"/>
      <c r="P425" s="286"/>
      <c r="Q425" s="286"/>
      <c r="R425" s="578"/>
      <c r="S425" s="578"/>
      <c r="T425" s="578"/>
      <c r="U425" s="578"/>
    </row>
    <row r="426">
      <c r="A426" s="286"/>
      <c r="B426" s="286"/>
      <c r="C426" s="529"/>
      <c r="D426" s="306"/>
      <c r="E426" s="599"/>
      <c r="F426" s="306"/>
      <c r="G426" s="306"/>
      <c r="H426" s="598"/>
      <c r="I426" s="286"/>
      <c r="J426" s="286"/>
      <c r="K426" s="529"/>
      <c r="L426" s="286"/>
      <c r="M426" s="529"/>
      <c r="N426" s="286"/>
      <c r="O426" s="286"/>
      <c r="P426" s="286"/>
      <c r="Q426" s="286"/>
      <c r="R426" s="578"/>
      <c r="S426" s="578"/>
      <c r="T426" s="578"/>
      <c r="U426" s="578"/>
    </row>
    <row r="427">
      <c r="A427" s="286"/>
      <c r="B427" s="286"/>
      <c r="C427" s="529"/>
      <c r="D427" s="306"/>
      <c r="E427" s="599"/>
      <c r="F427" s="306"/>
      <c r="G427" s="306"/>
      <c r="H427" s="598"/>
      <c r="I427" s="286"/>
      <c r="J427" s="286"/>
      <c r="K427" s="529"/>
      <c r="L427" s="286"/>
      <c r="M427" s="529"/>
      <c r="N427" s="286"/>
      <c r="O427" s="286"/>
      <c r="P427" s="286"/>
      <c r="Q427" s="286"/>
      <c r="R427" s="578"/>
      <c r="S427" s="578"/>
      <c r="T427" s="578"/>
      <c r="U427" s="578"/>
    </row>
    <row r="428">
      <c r="A428" s="286"/>
      <c r="B428" s="286"/>
      <c r="C428" s="529"/>
      <c r="D428" s="306"/>
      <c r="E428" s="599"/>
      <c r="F428" s="306"/>
      <c r="G428" s="306"/>
      <c r="H428" s="598"/>
      <c r="I428" s="286"/>
      <c r="J428" s="286"/>
      <c r="K428" s="529"/>
      <c r="L428" s="286"/>
      <c r="M428" s="529"/>
      <c r="N428" s="286"/>
      <c r="O428" s="286"/>
      <c r="P428" s="286"/>
      <c r="Q428" s="286"/>
      <c r="R428" s="578"/>
      <c r="S428" s="578"/>
      <c r="T428" s="578"/>
      <c r="U428" s="578"/>
    </row>
    <row r="429">
      <c r="A429" s="286"/>
      <c r="B429" s="286"/>
      <c r="C429" s="529"/>
      <c r="D429" s="306"/>
      <c r="E429" s="599"/>
      <c r="F429" s="306"/>
      <c r="G429" s="306"/>
      <c r="H429" s="598"/>
      <c r="I429" s="286"/>
      <c r="J429" s="286"/>
      <c r="K429" s="529"/>
      <c r="L429" s="286"/>
      <c r="M429" s="529"/>
      <c r="N429" s="286"/>
      <c r="O429" s="286"/>
      <c r="P429" s="286"/>
      <c r="Q429" s="286"/>
      <c r="R429" s="578"/>
      <c r="S429" s="578"/>
      <c r="T429" s="578"/>
      <c r="U429" s="578"/>
    </row>
    <row r="430">
      <c r="A430" s="286"/>
      <c r="B430" s="286"/>
      <c r="C430" s="529"/>
      <c r="D430" s="306"/>
      <c r="E430" s="599"/>
      <c r="F430" s="306"/>
      <c r="G430" s="306"/>
      <c r="H430" s="598"/>
      <c r="I430" s="286"/>
      <c r="J430" s="286"/>
      <c r="K430" s="529"/>
      <c r="L430" s="286"/>
      <c r="M430" s="529"/>
      <c r="N430" s="286"/>
      <c r="O430" s="286"/>
      <c r="P430" s="286"/>
      <c r="Q430" s="286"/>
      <c r="R430" s="578"/>
      <c r="S430" s="578"/>
      <c r="T430" s="578"/>
      <c r="U430" s="578"/>
    </row>
    <row r="431">
      <c r="A431" s="286"/>
      <c r="B431" s="286"/>
      <c r="C431" s="529"/>
      <c r="D431" s="306"/>
      <c r="E431" s="599"/>
      <c r="F431" s="306"/>
      <c r="G431" s="306"/>
      <c r="H431" s="598"/>
      <c r="I431" s="286"/>
      <c r="J431" s="286"/>
      <c r="K431" s="529"/>
      <c r="L431" s="286"/>
      <c r="M431" s="529"/>
      <c r="N431" s="286"/>
      <c r="O431" s="286"/>
      <c r="P431" s="286"/>
      <c r="Q431" s="286"/>
      <c r="R431" s="578"/>
      <c r="S431" s="578"/>
      <c r="T431" s="578"/>
      <c r="U431" s="578"/>
    </row>
    <row r="432">
      <c r="A432" s="286"/>
      <c r="B432" s="286"/>
      <c r="C432" s="529"/>
      <c r="D432" s="306"/>
      <c r="E432" s="599"/>
      <c r="F432" s="306"/>
      <c r="G432" s="306"/>
      <c r="H432" s="598"/>
      <c r="I432" s="286"/>
      <c r="J432" s="286"/>
      <c r="K432" s="529"/>
      <c r="L432" s="286"/>
      <c r="M432" s="529"/>
      <c r="N432" s="286"/>
      <c r="O432" s="286"/>
      <c r="P432" s="286"/>
      <c r="Q432" s="286"/>
      <c r="R432" s="578"/>
      <c r="S432" s="578"/>
      <c r="T432" s="578"/>
      <c r="U432" s="578"/>
    </row>
    <row r="433">
      <c r="A433" s="286"/>
      <c r="B433" s="286"/>
      <c r="C433" s="529"/>
      <c r="D433" s="306"/>
      <c r="E433" s="599"/>
      <c r="F433" s="306"/>
      <c r="G433" s="306"/>
      <c r="H433" s="598"/>
      <c r="I433" s="286"/>
      <c r="J433" s="286"/>
      <c r="K433" s="529"/>
      <c r="L433" s="286"/>
      <c r="M433" s="529"/>
      <c r="N433" s="286"/>
      <c r="O433" s="286"/>
      <c r="P433" s="286"/>
      <c r="Q433" s="286"/>
      <c r="R433" s="578"/>
      <c r="S433" s="578"/>
      <c r="T433" s="578"/>
      <c r="U433" s="578"/>
    </row>
    <row r="434">
      <c r="A434" s="286"/>
      <c r="B434" s="286"/>
      <c r="C434" s="529"/>
      <c r="D434" s="306"/>
      <c r="E434" s="599"/>
      <c r="F434" s="306"/>
      <c r="G434" s="306"/>
      <c r="H434" s="598"/>
      <c r="I434" s="286"/>
      <c r="J434" s="286"/>
      <c r="K434" s="529"/>
      <c r="L434" s="286"/>
      <c r="M434" s="529"/>
      <c r="N434" s="286"/>
      <c r="O434" s="286"/>
      <c r="P434" s="286"/>
      <c r="Q434" s="286"/>
      <c r="R434" s="578"/>
      <c r="S434" s="578"/>
      <c r="T434" s="578"/>
      <c r="U434" s="578"/>
    </row>
    <row r="435">
      <c r="A435" s="286"/>
      <c r="B435" s="286"/>
      <c r="C435" s="529"/>
      <c r="D435" s="306"/>
      <c r="E435" s="599"/>
      <c r="F435" s="306"/>
      <c r="G435" s="306"/>
      <c r="H435" s="598"/>
      <c r="I435" s="286"/>
      <c r="J435" s="286"/>
      <c r="K435" s="529"/>
      <c r="L435" s="286"/>
      <c r="M435" s="529"/>
      <c r="N435" s="286"/>
      <c r="O435" s="286"/>
      <c r="P435" s="286"/>
      <c r="Q435" s="286"/>
      <c r="R435" s="578"/>
      <c r="S435" s="578"/>
      <c r="T435" s="578"/>
      <c r="U435" s="578"/>
    </row>
    <row r="436">
      <c r="A436" s="286"/>
      <c r="B436" s="286"/>
      <c r="C436" s="529"/>
      <c r="D436" s="306"/>
      <c r="E436" s="599"/>
      <c r="F436" s="306"/>
      <c r="G436" s="306"/>
      <c r="H436" s="598"/>
      <c r="I436" s="286"/>
      <c r="J436" s="286"/>
      <c r="K436" s="529"/>
      <c r="L436" s="286"/>
      <c r="M436" s="529"/>
      <c r="N436" s="286"/>
      <c r="O436" s="286"/>
      <c r="P436" s="286"/>
      <c r="Q436" s="286"/>
      <c r="R436" s="578"/>
      <c r="S436" s="578"/>
      <c r="T436" s="578"/>
      <c r="U436" s="578"/>
    </row>
    <row r="437">
      <c r="A437" s="286"/>
      <c r="B437" s="286"/>
      <c r="C437" s="529"/>
      <c r="D437" s="306"/>
      <c r="E437" s="599"/>
      <c r="F437" s="306"/>
      <c r="G437" s="306"/>
      <c r="H437" s="598"/>
      <c r="I437" s="286"/>
      <c r="J437" s="286"/>
      <c r="K437" s="529"/>
      <c r="L437" s="286"/>
      <c r="M437" s="529"/>
      <c r="N437" s="286"/>
      <c r="O437" s="286"/>
      <c r="P437" s="286"/>
      <c r="Q437" s="286"/>
      <c r="R437" s="578"/>
      <c r="S437" s="578"/>
      <c r="T437" s="578"/>
      <c r="U437" s="578"/>
    </row>
    <row r="438">
      <c r="A438" s="286"/>
      <c r="B438" s="286"/>
      <c r="C438" s="529"/>
      <c r="D438" s="306"/>
      <c r="E438" s="599"/>
      <c r="F438" s="306"/>
      <c r="G438" s="306"/>
      <c r="H438" s="598"/>
      <c r="I438" s="286"/>
      <c r="J438" s="286"/>
      <c r="K438" s="529"/>
      <c r="L438" s="286"/>
      <c r="M438" s="529"/>
      <c r="N438" s="286"/>
      <c r="O438" s="286"/>
      <c r="P438" s="286"/>
      <c r="Q438" s="286"/>
      <c r="R438" s="578"/>
      <c r="S438" s="578"/>
      <c r="T438" s="578"/>
      <c r="U438" s="578"/>
    </row>
    <row r="439">
      <c r="A439" s="286"/>
      <c r="B439" s="286"/>
      <c r="C439" s="529"/>
      <c r="D439" s="306"/>
      <c r="E439" s="599"/>
      <c r="F439" s="306"/>
      <c r="G439" s="306"/>
      <c r="H439" s="598"/>
      <c r="I439" s="286"/>
      <c r="J439" s="286"/>
      <c r="K439" s="529"/>
      <c r="L439" s="286"/>
      <c r="M439" s="529"/>
      <c r="N439" s="286"/>
      <c r="O439" s="286"/>
      <c r="P439" s="286"/>
      <c r="Q439" s="286"/>
      <c r="R439" s="578"/>
      <c r="S439" s="578"/>
      <c r="T439" s="578"/>
      <c r="U439" s="578"/>
    </row>
    <row r="440">
      <c r="A440" s="286"/>
      <c r="B440" s="286"/>
      <c r="C440" s="529"/>
      <c r="D440" s="306"/>
      <c r="E440" s="599"/>
      <c r="F440" s="306"/>
      <c r="G440" s="306"/>
      <c r="H440" s="598"/>
      <c r="I440" s="286"/>
      <c r="J440" s="286"/>
      <c r="K440" s="529"/>
      <c r="L440" s="286"/>
      <c r="M440" s="529"/>
      <c r="N440" s="286"/>
      <c r="O440" s="286"/>
      <c r="P440" s="286"/>
      <c r="Q440" s="286"/>
      <c r="R440" s="578"/>
      <c r="S440" s="578"/>
      <c r="T440" s="578"/>
      <c r="U440" s="578"/>
    </row>
    <row r="441">
      <c r="A441" s="286"/>
      <c r="B441" s="286"/>
      <c r="C441" s="529"/>
      <c r="D441" s="306"/>
      <c r="E441" s="599"/>
      <c r="F441" s="306"/>
      <c r="G441" s="306"/>
      <c r="H441" s="598"/>
      <c r="I441" s="286"/>
      <c r="J441" s="286"/>
      <c r="K441" s="529"/>
      <c r="L441" s="286"/>
      <c r="M441" s="529"/>
      <c r="N441" s="286"/>
      <c r="O441" s="286"/>
      <c r="P441" s="286"/>
      <c r="Q441" s="286"/>
      <c r="R441" s="578"/>
      <c r="S441" s="578"/>
      <c r="T441" s="578"/>
      <c r="U441" s="578"/>
    </row>
    <row r="442">
      <c r="A442" s="286"/>
      <c r="B442" s="286"/>
      <c r="C442" s="529"/>
      <c r="D442" s="306"/>
      <c r="E442" s="599"/>
      <c r="F442" s="306"/>
      <c r="G442" s="306"/>
      <c r="H442" s="598"/>
      <c r="I442" s="286"/>
      <c r="J442" s="286"/>
      <c r="K442" s="529"/>
      <c r="L442" s="286"/>
      <c r="M442" s="529"/>
      <c r="N442" s="286"/>
      <c r="O442" s="286"/>
      <c r="P442" s="286"/>
      <c r="Q442" s="286"/>
      <c r="R442" s="578"/>
      <c r="S442" s="578"/>
      <c r="T442" s="578"/>
      <c r="U442" s="578"/>
    </row>
    <row r="443">
      <c r="A443" s="286"/>
      <c r="B443" s="286"/>
      <c r="C443" s="529"/>
      <c r="D443" s="306"/>
      <c r="E443" s="599"/>
      <c r="F443" s="306"/>
      <c r="G443" s="306"/>
      <c r="H443" s="598"/>
      <c r="I443" s="286"/>
      <c r="J443" s="286"/>
      <c r="K443" s="529"/>
      <c r="L443" s="286"/>
      <c r="M443" s="529"/>
      <c r="N443" s="286"/>
      <c r="O443" s="286"/>
      <c r="P443" s="286"/>
      <c r="Q443" s="286"/>
      <c r="R443" s="578"/>
      <c r="S443" s="578"/>
      <c r="T443" s="578"/>
      <c r="U443" s="578"/>
    </row>
    <row r="444">
      <c r="A444" s="286"/>
      <c r="B444" s="286"/>
      <c r="C444" s="529"/>
      <c r="D444" s="306"/>
      <c r="E444" s="599"/>
      <c r="F444" s="306"/>
      <c r="G444" s="306"/>
      <c r="H444" s="598"/>
      <c r="I444" s="286"/>
      <c r="J444" s="286"/>
      <c r="K444" s="529"/>
      <c r="L444" s="286"/>
      <c r="M444" s="529"/>
      <c r="N444" s="286"/>
      <c r="O444" s="286"/>
      <c r="P444" s="286"/>
      <c r="Q444" s="286"/>
      <c r="R444" s="578"/>
      <c r="S444" s="578"/>
      <c r="T444" s="578"/>
      <c r="U444" s="578"/>
    </row>
    <row r="445">
      <c r="A445" s="286"/>
      <c r="B445" s="286"/>
      <c r="C445" s="529"/>
      <c r="D445" s="306"/>
      <c r="E445" s="599"/>
      <c r="F445" s="306"/>
      <c r="G445" s="306"/>
      <c r="H445" s="598"/>
      <c r="I445" s="286"/>
      <c r="J445" s="286"/>
      <c r="K445" s="529"/>
      <c r="L445" s="286"/>
      <c r="M445" s="529"/>
      <c r="N445" s="286"/>
      <c r="O445" s="286"/>
      <c r="P445" s="286"/>
      <c r="Q445" s="286"/>
      <c r="R445" s="578"/>
      <c r="S445" s="578"/>
      <c r="T445" s="578"/>
      <c r="U445" s="578"/>
    </row>
    <row r="446">
      <c r="A446" s="286"/>
      <c r="B446" s="286"/>
      <c r="C446" s="529"/>
      <c r="D446" s="306"/>
      <c r="E446" s="599"/>
      <c r="F446" s="306"/>
      <c r="G446" s="306"/>
      <c r="H446" s="598"/>
      <c r="I446" s="286"/>
      <c r="J446" s="286"/>
      <c r="K446" s="529"/>
      <c r="L446" s="286"/>
      <c r="M446" s="529"/>
      <c r="N446" s="286"/>
      <c r="O446" s="286"/>
      <c r="P446" s="286"/>
      <c r="Q446" s="286"/>
      <c r="R446" s="578"/>
      <c r="S446" s="578"/>
      <c r="T446" s="578"/>
      <c r="U446" s="578"/>
    </row>
    <row r="447">
      <c r="A447" s="286"/>
      <c r="B447" s="286"/>
      <c r="C447" s="529"/>
      <c r="D447" s="306"/>
      <c r="E447" s="599"/>
      <c r="F447" s="306"/>
      <c r="G447" s="306"/>
      <c r="H447" s="598"/>
      <c r="I447" s="286"/>
      <c r="J447" s="286"/>
      <c r="K447" s="529"/>
      <c r="L447" s="286"/>
      <c r="M447" s="529"/>
      <c r="N447" s="286"/>
      <c r="O447" s="286"/>
      <c r="P447" s="286"/>
      <c r="Q447" s="286"/>
      <c r="R447" s="578"/>
      <c r="S447" s="578"/>
      <c r="T447" s="578"/>
      <c r="U447" s="578"/>
    </row>
    <row r="448">
      <c r="A448" s="286"/>
      <c r="B448" s="286"/>
      <c r="C448" s="529"/>
      <c r="D448" s="306"/>
      <c r="E448" s="599"/>
      <c r="F448" s="306"/>
      <c r="G448" s="306"/>
      <c r="H448" s="598"/>
      <c r="I448" s="286"/>
      <c r="J448" s="286"/>
      <c r="K448" s="529"/>
      <c r="L448" s="286"/>
      <c r="M448" s="529"/>
      <c r="N448" s="286"/>
      <c r="O448" s="286"/>
      <c r="P448" s="286"/>
      <c r="Q448" s="286"/>
      <c r="R448" s="578"/>
      <c r="S448" s="578"/>
      <c r="T448" s="578"/>
      <c r="U448" s="578"/>
    </row>
    <row r="449">
      <c r="A449" s="286"/>
      <c r="B449" s="286"/>
      <c r="C449" s="529"/>
      <c r="D449" s="306"/>
      <c r="E449" s="599"/>
      <c r="F449" s="306"/>
      <c r="G449" s="306"/>
      <c r="H449" s="598"/>
      <c r="I449" s="286"/>
      <c r="J449" s="286"/>
      <c r="K449" s="529"/>
      <c r="L449" s="286"/>
      <c r="M449" s="529"/>
      <c r="N449" s="286"/>
      <c r="O449" s="286"/>
      <c r="P449" s="286"/>
      <c r="Q449" s="286"/>
      <c r="R449" s="578"/>
      <c r="S449" s="578"/>
      <c r="T449" s="578"/>
      <c r="U449" s="578"/>
    </row>
    <row r="450">
      <c r="A450" s="286"/>
      <c r="B450" s="286"/>
      <c r="C450" s="529"/>
      <c r="D450" s="306"/>
      <c r="E450" s="599"/>
      <c r="F450" s="306"/>
      <c r="G450" s="306"/>
      <c r="H450" s="598"/>
      <c r="I450" s="286"/>
      <c r="J450" s="286"/>
      <c r="K450" s="529"/>
      <c r="L450" s="286"/>
      <c r="M450" s="529"/>
      <c r="N450" s="286"/>
      <c r="O450" s="286"/>
      <c r="P450" s="286"/>
      <c r="Q450" s="286"/>
      <c r="R450" s="578"/>
      <c r="S450" s="578"/>
      <c r="T450" s="578"/>
      <c r="U450" s="578"/>
    </row>
    <row r="451">
      <c r="A451" s="286"/>
      <c r="B451" s="286"/>
      <c r="C451" s="529"/>
      <c r="D451" s="306"/>
      <c r="E451" s="599"/>
      <c r="F451" s="306"/>
      <c r="G451" s="306"/>
      <c r="H451" s="598"/>
      <c r="I451" s="286"/>
      <c r="J451" s="286"/>
      <c r="K451" s="529"/>
      <c r="L451" s="286"/>
      <c r="M451" s="529"/>
      <c r="N451" s="286"/>
      <c r="O451" s="286"/>
      <c r="P451" s="286"/>
      <c r="Q451" s="286"/>
      <c r="R451" s="578"/>
      <c r="S451" s="578"/>
      <c r="T451" s="578"/>
      <c r="U451" s="578"/>
    </row>
    <row r="452">
      <c r="A452" s="286"/>
      <c r="B452" s="286"/>
      <c r="C452" s="529"/>
      <c r="D452" s="306"/>
      <c r="E452" s="599"/>
      <c r="F452" s="306"/>
      <c r="G452" s="306"/>
      <c r="H452" s="598"/>
      <c r="I452" s="286"/>
      <c r="J452" s="286"/>
      <c r="K452" s="529"/>
      <c r="L452" s="286"/>
      <c r="M452" s="529"/>
      <c r="N452" s="286"/>
      <c r="O452" s="286"/>
      <c r="P452" s="286"/>
      <c r="Q452" s="286"/>
      <c r="R452" s="578"/>
      <c r="S452" s="578"/>
      <c r="T452" s="578"/>
      <c r="U452" s="578"/>
    </row>
    <row r="453">
      <c r="A453" s="286"/>
      <c r="B453" s="286"/>
      <c r="C453" s="529"/>
      <c r="D453" s="306"/>
      <c r="E453" s="599"/>
      <c r="F453" s="306"/>
      <c r="G453" s="306"/>
      <c r="H453" s="598"/>
      <c r="I453" s="286"/>
      <c r="J453" s="286"/>
      <c r="K453" s="529"/>
      <c r="L453" s="286"/>
      <c r="M453" s="529"/>
      <c r="N453" s="286"/>
      <c r="O453" s="286"/>
      <c r="P453" s="286"/>
      <c r="Q453" s="286"/>
      <c r="R453" s="578"/>
      <c r="S453" s="578"/>
      <c r="T453" s="578"/>
      <c r="U453" s="578"/>
    </row>
    <row r="454">
      <c r="A454" s="286"/>
      <c r="B454" s="286"/>
      <c r="C454" s="529"/>
      <c r="D454" s="306"/>
      <c r="E454" s="599"/>
      <c r="F454" s="306"/>
      <c r="G454" s="306"/>
      <c r="H454" s="598"/>
      <c r="I454" s="286"/>
      <c r="J454" s="286"/>
      <c r="K454" s="529"/>
      <c r="L454" s="286"/>
      <c r="M454" s="529"/>
      <c r="N454" s="286"/>
      <c r="O454" s="286"/>
      <c r="P454" s="286"/>
      <c r="Q454" s="286"/>
      <c r="R454" s="578"/>
      <c r="S454" s="578"/>
      <c r="T454" s="578"/>
      <c r="U454" s="578"/>
    </row>
    <row r="455">
      <c r="A455" s="286"/>
      <c r="B455" s="286"/>
      <c r="C455" s="529"/>
      <c r="D455" s="306"/>
      <c r="E455" s="599"/>
      <c r="F455" s="306"/>
      <c r="G455" s="306"/>
      <c r="H455" s="598"/>
      <c r="I455" s="286"/>
      <c r="J455" s="286"/>
      <c r="K455" s="529"/>
      <c r="L455" s="286"/>
      <c r="M455" s="529"/>
      <c r="N455" s="286"/>
      <c r="O455" s="286"/>
      <c r="P455" s="286"/>
      <c r="Q455" s="286"/>
      <c r="R455" s="578"/>
      <c r="S455" s="578"/>
      <c r="T455" s="578"/>
      <c r="U455" s="578"/>
    </row>
    <row r="456">
      <c r="A456" s="286"/>
      <c r="B456" s="286"/>
      <c r="C456" s="529"/>
      <c r="D456" s="306"/>
      <c r="E456" s="599"/>
      <c r="F456" s="306"/>
      <c r="G456" s="306"/>
      <c r="H456" s="598"/>
      <c r="I456" s="286"/>
      <c r="J456" s="286"/>
      <c r="K456" s="529"/>
      <c r="L456" s="286"/>
      <c r="M456" s="529"/>
      <c r="N456" s="286"/>
      <c r="O456" s="286"/>
      <c r="P456" s="286"/>
      <c r="Q456" s="286"/>
      <c r="R456" s="578"/>
      <c r="S456" s="578"/>
      <c r="T456" s="578"/>
      <c r="U456" s="578"/>
    </row>
    <row r="457">
      <c r="A457" s="286"/>
      <c r="B457" s="286"/>
      <c r="C457" s="529"/>
      <c r="D457" s="306"/>
      <c r="E457" s="599"/>
      <c r="F457" s="306"/>
      <c r="G457" s="306"/>
      <c r="H457" s="598"/>
      <c r="I457" s="286"/>
      <c r="J457" s="286"/>
      <c r="K457" s="529"/>
      <c r="L457" s="286"/>
      <c r="M457" s="529"/>
      <c r="N457" s="286"/>
      <c r="O457" s="286"/>
      <c r="P457" s="286"/>
      <c r="Q457" s="286"/>
      <c r="R457" s="578"/>
      <c r="S457" s="578"/>
      <c r="T457" s="578"/>
      <c r="U457" s="578"/>
    </row>
    <row r="458">
      <c r="A458" s="286"/>
      <c r="B458" s="286"/>
      <c r="C458" s="529"/>
      <c r="D458" s="306"/>
      <c r="E458" s="599"/>
      <c r="F458" s="306"/>
      <c r="G458" s="306"/>
      <c r="H458" s="598"/>
      <c r="I458" s="286"/>
      <c r="J458" s="286"/>
      <c r="K458" s="529"/>
      <c r="L458" s="286"/>
      <c r="M458" s="529"/>
      <c r="N458" s="286"/>
      <c r="O458" s="286"/>
      <c r="P458" s="286"/>
      <c r="Q458" s="286"/>
      <c r="R458" s="578"/>
      <c r="S458" s="578"/>
      <c r="T458" s="578"/>
      <c r="U458" s="578"/>
    </row>
    <row r="459">
      <c r="A459" s="286"/>
      <c r="B459" s="286"/>
      <c r="C459" s="529"/>
      <c r="D459" s="306"/>
      <c r="E459" s="599"/>
      <c r="F459" s="306"/>
      <c r="G459" s="306"/>
      <c r="H459" s="598"/>
      <c r="I459" s="286"/>
      <c r="J459" s="286"/>
      <c r="K459" s="529"/>
      <c r="L459" s="286"/>
      <c r="M459" s="529"/>
      <c r="N459" s="286"/>
      <c r="O459" s="286"/>
      <c r="P459" s="286"/>
      <c r="Q459" s="286"/>
      <c r="R459" s="578"/>
      <c r="S459" s="578"/>
      <c r="T459" s="578"/>
      <c r="U459" s="578"/>
    </row>
    <row r="460">
      <c r="A460" s="286"/>
      <c r="B460" s="286"/>
      <c r="C460" s="529"/>
      <c r="D460" s="306"/>
      <c r="E460" s="599"/>
      <c r="F460" s="306"/>
      <c r="G460" s="306"/>
      <c r="H460" s="598"/>
      <c r="I460" s="286"/>
      <c r="J460" s="286"/>
      <c r="K460" s="529"/>
      <c r="L460" s="286"/>
      <c r="M460" s="529"/>
      <c r="N460" s="286"/>
      <c r="O460" s="286"/>
      <c r="P460" s="286"/>
      <c r="Q460" s="286"/>
      <c r="R460" s="578"/>
      <c r="S460" s="578"/>
      <c r="T460" s="578"/>
      <c r="U460" s="578"/>
    </row>
    <row r="461">
      <c r="A461" s="286"/>
      <c r="B461" s="286"/>
      <c r="C461" s="529"/>
      <c r="D461" s="306"/>
      <c r="E461" s="599"/>
      <c r="F461" s="306"/>
      <c r="G461" s="306"/>
      <c r="H461" s="598"/>
      <c r="I461" s="286"/>
      <c r="J461" s="286"/>
      <c r="K461" s="529"/>
      <c r="L461" s="286"/>
      <c r="M461" s="529"/>
      <c r="N461" s="286"/>
      <c r="O461" s="286"/>
      <c r="P461" s="286"/>
      <c r="Q461" s="286"/>
      <c r="R461" s="578"/>
      <c r="S461" s="578"/>
      <c r="T461" s="578"/>
      <c r="U461" s="578"/>
    </row>
    <row r="462">
      <c r="A462" s="286"/>
      <c r="B462" s="286"/>
      <c r="C462" s="529"/>
      <c r="D462" s="306"/>
      <c r="E462" s="599"/>
      <c r="F462" s="306"/>
      <c r="G462" s="306"/>
      <c r="H462" s="598"/>
      <c r="I462" s="286"/>
      <c r="J462" s="286"/>
      <c r="K462" s="529"/>
      <c r="L462" s="286"/>
      <c r="M462" s="529"/>
      <c r="N462" s="286"/>
      <c r="O462" s="286"/>
      <c r="P462" s="286"/>
      <c r="Q462" s="286"/>
      <c r="R462" s="578"/>
      <c r="S462" s="578"/>
      <c r="T462" s="578"/>
      <c r="U462" s="578"/>
    </row>
    <row r="463">
      <c r="A463" s="286"/>
      <c r="B463" s="286"/>
      <c r="C463" s="529"/>
      <c r="D463" s="306"/>
      <c r="E463" s="599"/>
      <c r="F463" s="306"/>
      <c r="G463" s="306"/>
      <c r="H463" s="598"/>
      <c r="I463" s="286"/>
      <c r="J463" s="286"/>
      <c r="K463" s="529"/>
      <c r="L463" s="286"/>
      <c r="M463" s="529"/>
      <c r="N463" s="286"/>
      <c r="O463" s="286"/>
      <c r="P463" s="286"/>
      <c r="Q463" s="286"/>
      <c r="R463" s="578"/>
      <c r="S463" s="578"/>
      <c r="T463" s="578"/>
      <c r="U463" s="578"/>
    </row>
    <row r="464">
      <c r="A464" s="286"/>
      <c r="B464" s="286"/>
      <c r="C464" s="529"/>
      <c r="D464" s="306"/>
      <c r="E464" s="599"/>
      <c r="F464" s="306"/>
      <c r="G464" s="306"/>
      <c r="H464" s="598"/>
      <c r="I464" s="286"/>
      <c r="J464" s="286"/>
      <c r="K464" s="529"/>
      <c r="L464" s="286"/>
      <c r="M464" s="529"/>
      <c r="N464" s="286"/>
      <c r="O464" s="286"/>
      <c r="P464" s="286"/>
      <c r="Q464" s="286"/>
      <c r="R464" s="578"/>
      <c r="S464" s="578"/>
      <c r="T464" s="578"/>
      <c r="U464" s="578"/>
    </row>
    <row r="465">
      <c r="A465" s="286"/>
      <c r="B465" s="286"/>
      <c r="C465" s="529"/>
      <c r="D465" s="306"/>
      <c r="E465" s="599"/>
      <c r="F465" s="306"/>
      <c r="G465" s="306"/>
      <c r="H465" s="598"/>
      <c r="I465" s="286"/>
      <c r="J465" s="286"/>
      <c r="K465" s="529"/>
      <c r="L465" s="286"/>
      <c r="M465" s="529"/>
      <c r="N465" s="286"/>
      <c r="O465" s="286"/>
      <c r="P465" s="286"/>
      <c r="Q465" s="286"/>
      <c r="R465" s="578"/>
      <c r="S465" s="578"/>
      <c r="T465" s="578"/>
      <c r="U465" s="578"/>
    </row>
    <row r="466">
      <c r="A466" s="286"/>
      <c r="B466" s="286"/>
      <c r="C466" s="529"/>
      <c r="D466" s="306"/>
      <c r="E466" s="599"/>
      <c r="F466" s="306"/>
      <c r="G466" s="306"/>
      <c r="H466" s="598"/>
      <c r="I466" s="286"/>
      <c r="J466" s="286"/>
      <c r="K466" s="529"/>
      <c r="L466" s="286"/>
      <c r="M466" s="529"/>
      <c r="N466" s="286"/>
      <c r="O466" s="286"/>
      <c r="P466" s="286"/>
      <c r="Q466" s="286"/>
      <c r="R466" s="578"/>
      <c r="S466" s="578"/>
      <c r="T466" s="578"/>
      <c r="U466" s="578"/>
    </row>
    <row r="467">
      <c r="A467" s="286"/>
      <c r="B467" s="286"/>
      <c r="C467" s="529"/>
      <c r="D467" s="306"/>
      <c r="E467" s="599"/>
      <c r="F467" s="306"/>
      <c r="G467" s="306"/>
      <c r="H467" s="598"/>
      <c r="I467" s="286"/>
      <c r="J467" s="286"/>
      <c r="K467" s="529"/>
      <c r="L467" s="286"/>
      <c r="M467" s="529"/>
      <c r="N467" s="286"/>
      <c r="O467" s="286"/>
      <c r="P467" s="286"/>
      <c r="Q467" s="286"/>
      <c r="R467" s="578"/>
      <c r="S467" s="578"/>
      <c r="T467" s="578"/>
      <c r="U467" s="578"/>
    </row>
    <row r="468">
      <c r="A468" s="286"/>
      <c r="B468" s="286"/>
      <c r="C468" s="529"/>
      <c r="D468" s="306"/>
      <c r="E468" s="599"/>
      <c r="F468" s="306"/>
      <c r="G468" s="306"/>
      <c r="H468" s="598"/>
      <c r="I468" s="286"/>
      <c r="J468" s="286"/>
      <c r="K468" s="529"/>
      <c r="L468" s="286"/>
      <c r="M468" s="529"/>
      <c r="N468" s="286"/>
      <c r="O468" s="286"/>
      <c r="P468" s="286"/>
      <c r="Q468" s="286"/>
      <c r="R468" s="578"/>
      <c r="S468" s="578"/>
      <c r="T468" s="578"/>
      <c r="U468" s="578"/>
    </row>
    <row r="469">
      <c r="A469" s="286"/>
      <c r="B469" s="286"/>
      <c r="C469" s="529"/>
      <c r="D469" s="306"/>
      <c r="E469" s="599"/>
      <c r="F469" s="306"/>
      <c r="G469" s="306"/>
      <c r="H469" s="598"/>
      <c r="I469" s="286"/>
      <c r="J469" s="286"/>
      <c r="K469" s="529"/>
      <c r="L469" s="286"/>
      <c r="M469" s="529"/>
      <c r="N469" s="286"/>
      <c r="O469" s="286"/>
      <c r="P469" s="286"/>
      <c r="Q469" s="286"/>
      <c r="R469" s="578"/>
      <c r="S469" s="578"/>
      <c r="T469" s="578"/>
      <c r="U469" s="578"/>
    </row>
    <row r="470">
      <c r="A470" s="286"/>
      <c r="B470" s="286"/>
      <c r="C470" s="529"/>
      <c r="D470" s="306"/>
      <c r="E470" s="599"/>
      <c r="F470" s="306"/>
      <c r="G470" s="306"/>
      <c r="H470" s="598"/>
      <c r="I470" s="286"/>
      <c r="J470" s="286"/>
      <c r="K470" s="529"/>
      <c r="L470" s="286"/>
      <c r="M470" s="529"/>
      <c r="N470" s="286"/>
      <c r="O470" s="286"/>
      <c r="P470" s="286"/>
      <c r="Q470" s="286"/>
      <c r="R470" s="578"/>
      <c r="S470" s="578"/>
      <c r="T470" s="578"/>
      <c r="U470" s="578"/>
    </row>
    <row r="471">
      <c r="A471" s="286"/>
      <c r="B471" s="286"/>
      <c r="C471" s="529"/>
      <c r="D471" s="306"/>
      <c r="E471" s="599"/>
      <c r="F471" s="306"/>
      <c r="G471" s="306"/>
      <c r="H471" s="598"/>
      <c r="I471" s="286"/>
      <c r="J471" s="286"/>
      <c r="K471" s="529"/>
      <c r="L471" s="286"/>
      <c r="M471" s="529"/>
      <c r="N471" s="286"/>
      <c r="O471" s="286"/>
      <c r="P471" s="286"/>
      <c r="Q471" s="286"/>
      <c r="R471" s="578"/>
      <c r="S471" s="578"/>
      <c r="T471" s="578"/>
      <c r="U471" s="578"/>
    </row>
    <row r="472">
      <c r="A472" s="286"/>
      <c r="B472" s="286"/>
      <c r="C472" s="529"/>
      <c r="D472" s="306"/>
      <c r="E472" s="599"/>
      <c r="F472" s="306"/>
      <c r="G472" s="306"/>
      <c r="H472" s="598"/>
      <c r="I472" s="286"/>
      <c r="J472" s="286"/>
      <c r="K472" s="529"/>
      <c r="L472" s="286"/>
      <c r="M472" s="529"/>
      <c r="N472" s="286"/>
      <c r="O472" s="286"/>
      <c r="P472" s="286"/>
      <c r="Q472" s="286"/>
      <c r="R472" s="578"/>
      <c r="S472" s="578"/>
      <c r="T472" s="578"/>
      <c r="U472" s="578"/>
    </row>
    <row r="473">
      <c r="A473" s="286"/>
      <c r="B473" s="286"/>
      <c r="C473" s="529"/>
      <c r="D473" s="306"/>
      <c r="E473" s="599"/>
      <c r="F473" s="306"/>
      <c r="G473" s="306"/>
      <c r="H473" s="598"/>
      <c r="I473" s="286"/>
      <c r="J473" s="286"/>
      <c r="K473" s="529"/>
      <c r="L473" s="286"/>
      <c r="M473" s="529"/>
      <c r="N473" s="286"/>
      <c r="O473" s="286"/>
      <c r="P473" s="286"/>
      <c r="Q473" s="286"/>
      <c r="R473" s="578"/>
      <c r="S473" s="578"/>
      <c r="T473" s="578"/>
      <c r="U473" s="578"/>
    </row>
    <row r="474">
      <c r="A474" s="286"/>
      <c r="B474" s="286"/>
      <c r="C474" s="529"/>
      <c r="D474" s="306"/>
      <c r="E474" s="599"/>
      <c r="F474" s="306"/>
      <c r="G474" s="306"/>
      <c r="H474" s="598"/>
      <c r="I474" s="286"/>
      <c r="J474" s="286"/>
      <c r="K474" s="529"/>
      <c r="L474" s="286"/>
      <c r="M474" s="529"/>
      <c r="N474" s="286"/>
      <c r="O474" s="286"/>
      <c r="P474" s="286"/>
      <c r="Q474" s="286"/>
      <c r="R474" s="578"/>
      <c r="S474" s="578"/>
      <c r="T474" s="578"/>
      <c r="U474" s="578"/>
    </row>
    <row r="475">
      <c r="A475" s="286"/>
      <c r="B475" s="286"/>
      <c r="C475" s="529"/>
      <c r="D475" s="306"/>
      <c r="E475" s="599"/>
      <c r="F475" s="306"/>
      <c r="G475" s="306"/>
      <c r="H475" s="598"/>
      <c r="I475" s="286"/>
      <c r="J475" s="286"/>
      <c r="K475" s="529"/>
      <c r="L475" s="286"/>
      <c r="M475" s="529"/>
      <c r="N475" s="286"/>
      <c r="O475" s="286"/>
      <c r="P475" s="286"/>
      <c r="Q475" s="286"/>
      <c r="R475" s="578"/>
      <c r="S475" s="578"/>
      <c r="T475" s="578"/>
      <c r="U475" s="578"/>
    </row>
    <row r="476">
      <c r="A476" s="286"/>
      <c r="B476" s="286"/>
      <c r="C476" s="529"/>
      <c r="D476" s="306"/>
      <c r="E476" s="599"/>
      <c r="F476" s="306"/>
      <c r="G476" s="306"/>
      <c r="H476" s="598"/>
      <c r="I476" s="286"/>
      <c r="J476" s="286"/>
      <c r="K476" s="529"/>
      <c r="L476" s="286"/>
      <c r="M476" s="529"/>
      <c r="N476" s="286"/>
      <c r="O476" s="286"/>
      <c r="P476" s="286"/>
      <c r="Q476" s="286"/>
      <c r="R476" s="578"/>
      <c r="S476" s="578"/>
      <c r="T476" s="578"/>
      <c r="U476" s="578"/>
    </row>
    <row r="477">
      <c r="A477" s="286"/>
      <c r="B477" s="286"/>
      <c r="C477" s="529"/>
      <c r="D477" s="306"/>
      <c r="E477" s="599"/>
      <c r="F477" s="306"/>
      <c r="G477" s="306"/>
      <c r="H477" s="598"/>
      <c r="I477" s="286"/>
      <c r="J477" s="286"/>
      <c r="K477" s="529"/>
      <c r="L477" s="286"/>
      <c r="M477" s="529"/>
      <c r="N477" s="286"/>
      <c r="O477" s="286"/>
      <c r="P477" s="286"/>
      <c r="Q477" s="286"/>
      <c r="R477" s="578"/>
      <c r="S477" s="578"/>
      <c r="T477" s="578"/>
      <c r="U477" s="578"/>
    </row>
    <row r="478">
      <c r="A478" s="286"/>
      <c r="B478" s="286"/>
      <c r="C478" s="529"/>
      <c r="D478" s="306"/>
      <c r="E478" s="599"/>
      <c r="F478" s="306"/>
      <c r="G478" s="306"/>
      <c r="H478" s="598"/>
      <c r="I478" s="286"/>
      <c r="J478" s="286"/>
      <c r="K478" s="529"/>
      <c r="L478" s="286"/>
      <c r="M478" s="529"/>
      <c r="N478" s="286"/>
      <c r="O478" s="286"/>
      <c r="P478" s="286"/>
      <c r="Q478" s="286"/>
      <c r="R478" s="578"/>
      <c r="S478" s="578"/>
      <c r="T478" s="578"/>
      <c r="U478" s="578"/>
    </row>
    <row r="479">
      <c r="A479" s="286"/>
      <c r="B479" s="286"/>
      <c r="C479" s="529"/>
      <c r="D479" s="306"/>
      <c r="E479" s="599"/>
      <c r="F479" s="306"/>
      <c r="G479" s="306"/>
      <c r="H479" s="598"/>
      <c r="I479" s="286"/>
      <c r="J479" s="286"/>
      <c r="K479" s="529"/>
      <c r="L479" s="286"/>
      <c r="M479" s="529"/>
      <c r="N479" s="286"/>
      <c r="O479" s="286"/>
      <c r="P479" s="286"/>
      <c r="Q479" s="286"/>
      <c r="R479" s="578"/>
      <c r="S479" s="578"/>
      <c r="T479" s="578"/>
      <c r="U479" s="578"/>
    </row>
    <row r="480">
      <c r="A480" s="286"/>
      <c r="B480" s="286"/>
      <c r="C480" s="529"/>
      <c r="D480" s="306"/>
      <c r="E480" s="599"/>
      <c r="F480" s="306"/>
      <c r="G480" s="306"/>
      <c r="H480" s="598"/>
      <c r="I480" s="286"/>
      <c r="J480" s="286"/>
      <c r="K480" s="529"/>
      <c r="L480" s="286"/>
      <c r="M480" s="529"/>
      <c r="N480" s="286"/>
      <c r="O480" s="286"/>
      <c r="P480" s="286"/>
      <c r="Q480" s="286"/>
      <c r="R480" s="578"/>
      <c r="S480" s="578"/>
      <c r="T480" s="578"/>
      <c r="U480" s="578"/>
    </row>
    <row r="481">
      <c r="A481" s="286"/>
      <c r="B481" s="286"/>
      <c r="C481" s="529"/>
      <c r="D481" s="306"/>
      <c r="E481" s="599"/>
      <c r="F481" s="306"/>
      <c r="G481" s="306"/>
      <c r="H481" s="598"/>
      <c r="I481" s="286"/>
      <c r="J481" s="286"/>
      <c r="K481" s="529"/>
      <c r="L481" s="286"/>
      <c r="M481" s="529"/>
      <c r="N481" s="286"/>
      <c r="O481" s="286"/>
      <c r="P481" s="286"/>
      <c r="Q481" s="286"/>
      <c r="R481" s="578"/>
      <c r="S481" s="578"/>
      <c r="T481" s="578"/>
      <c r="U481" s="578"/>
    </row>
    <row r="482">
      <c r="A482" s="286"/>
      <c r="B482" s="286"/>
      <c r="C482" s="529"/>
      <c r="D482" s="306"/>
      <c r="E482" s="599"/>
      <c r="F482" s="306"/>
      <c r="G482" s="306"/>
      <c r="H482" s="598"/>
      <c r="I482" s="286"/>
      <c r="J482" s="286"/>
      <c r="K482" s="529"/>
      <c r="L482" s="286"/>
      <c r="M482" s="529"/>
      <c r="N482" s="286"/>
      <c r="O482" s="286"/>
      <c r="P482" s="286"/>
      <c r="Q482" s="286"/>
      <c r="R482" s="578"/>
      <c r="S482" s="578"/>
      <c r="T482" s="578"/>
      <c r="U482" s="578"/>
    </row>
    <row r="483">
      <c r="A483" s="286"/>
      <c r="B483" s="286"/>
      <c r="C483" s="529"/>
      <c r="D483" s="306"/>
      <c r="E483" s="599"/>
      <c r="F483" s="306"/>
      <c r="G483" s="306"/>
      <c r="H483" s="598"/>
      <c r="I483" s="286"/>
      <c r="J483" s="286"/>
      <c r="K483" s="529"/>
      <c r="L483" s="286"/>
      <c r="M483" s="529"/>
      <c r="N483" s="286"/>
      <c r="O483" s="286"/>
      <c r="P483" s="286"/>
      <c r="Q483" s="286"/>
      <c r="R483" s="578"/>
      <c r="S483" s="578"/>
      <c r="T483" s="578"/>
      <c r="U483" s="578"/>
    </row>
    <row r="484">
      <c r="A484" s="286"/>
      <c r="B484" s="286"/>
      <c r="C484" s="529"/>
      <c r="D484" s="306"/>
      <c r="E484" s="599"/>
      <c r="F484" s="306"/>
      <c r="G484" s="306"/>
      <c r="H484" s="598"/>
      <c r="I484" s="286"/>
      <c r="J484" s="286"/>
      <c r="K484" s="529"/>
      <c r="L484" s="286"/>
      <c r="M484" s="529"/>
      <c r="N484" s="286"/>
      <c r="O484" s="286"/>
      <c r="P484" s="286"/>
      <c r="Q484" s="286"/>
      <c r="R484" s="578"/>
      <c r="S484" s="578"/>
      <c r="T484" s="578"/>
      <c r="U484" s="578"/>
    </row>
    <row r="485">
      <c r="A485" s="286"/>
      <c r="B485" s="286"/>
      <c r="C485" s="529"/>
      <c r="D485" s="306"/>
      <c r="E485" s="599"/>
      <c r="F485" s="306"/>
      <c r="G485" s="306"/>
      <c r="H485" s="598"/>
      <c r="I485" s="286"/>
      <c r="J485" s="286"/>
      <c r="K485" s="529"/>
      <c r="L485" s="286"/>
      <c r="M485" s="529"/>
      <c r="N485" s="286"/>
      <c r="O485" s="286"/>
      <c r="P485" s="286"/>
      <c r="Q485" s="286"/>
      <c r="R485" s="578"/>
      <c r="S485" s="578"/>
      <c r="T485" s="578"/>
      <c r="U485" s="578"/>
    </row>
    <row r="486">
      <c r="A486" s="286"/>
      <c r="B486" s="286"/>
      <c r="C486" s="529"/>
      <c r="D486" s="306"/>
      <c r="E486" s="599"/>
      <c r="F486" s="306"/>
      <c r="G486" s="306"/>
      <c r="H486" s="598"/>
      <c r="I486" s="286"/>
      <c r="J486" s="286"/>
      <c r="K486" s="529"/>
      <c r="L486" s="286"/>
      <c r="M486" s="529"/>
      <c r="N486" s="286"/>
      <c r="O486" s="286"/>
      <c r="P486" s="286"/>
      <c r="Q486" s="286"/>
      <c r="R486" s="578"/>
      <c r="S486" s="578"/>
      <c r="T486" s="578"/>
      <c r="U486" s="578"/>
    </row>
    <row r="487">
      <c r="A487" s="286"/>
      <c r="B487" s="286"/>
      <c r="C487" s="529"/>
      <c r="D487" s="306"/>
      <c r="E487" s="599"/>
      <c r="F487" s="306"/>
      <c r="G487" s="306"/>
      <c r="H487" s="598"/>
      <c r="I487" s="286"/>
      <c r="J487" s="286"/>
      <c r="K487" s="529"/>
      <c r="L487" s="286"/>
      <c r="M487" s="529"/>
      <c r="N487" s="286"/>
      <c r="O487" s="286"/>
      <c r="P487" s="286"/>
      <c r="Q487" s="286"/>
      <c r="R487" s="578"/>
      <c r="S487" s="578"/>
      <c r="T487" s="578"/>
      <c r="U487" s="578"/>
    </row>
    <row r="488">
      <c r="A488" s="286"/>
      <c r="B488" s="286"/>
      <c r="C488" s="529"/>
      <c r="D488" s="306"/>
      <c r="E488" s="599"/>
      <c r="F488" s="306"/>
      <c r="G488" s="306"/>
      <c r="H488" s="598"/>
      <c r="I488" s="286"/>
      <c r="J488" s="286"/>
      <c r="K488" s="529"/>
      <c r="L488" s="286"/>
      <c r="M488" s="529"/>
      <c r="N488" s="286"/>
      <c r="O488" s="286"/>
      <c r="P488" s="286"/>
      <c r="Q488" s="286"/>
      <c r="R488" s="578"/>
      <c r="S488" s="578"/>
      <c r="T488" s="578"/>
      <c r="U488" s="578"/>
    </row>
    <row r="489">
      <c r="A489" s="286"/>
      <c r="B489" s="286"/>
      <c r="C489" s="529"/>
      <c r="D489" s="306"/>
      <c r="E489" s="599"/>
      <c r="F489" s="306"/>
      <c r="G489" s="306"/>
      <c r="H489" s="598"/>
      <c r="I489" s="286"/>
      <c r="J489" s="286"/>
      <c r="K489" s="529"/>
      <c r="L489" s="286"/>
      <c r="M489" s="529"/>
      <c r="N489" s="286"/>
      <c r="O489" s="286"/>
      <c r="P489" s="286"/>
      <c r="Q489" s="286"/>
      <c r="R489" s="578"/>
      <c r="S489" s="578"/>
      <c r="T489" s="578"/>
      <c r="U489" s="578"/>
    </row>
    <row r="490">
      <c r="A490" s="286"/>
      <c r="B490" s="286"/>
      <c r="C490" s="529"/>
      <c r="D490" s="306"/>
      <c r="E490" s="599"/>
      <c r="F490" s="306"/>
      <c r="G490" s="306"/>
      <c r="H490" s="598"/>
      <c r="I490" s="286"/>
      <c r="J490" s="286"/>
      <c r="K490" s="529"/>
      <c r="L490" s="286"/>
      <c r="M490" s="529"/>
      <c r="N490" s="286"/>
      <c r="O490" s="286"/>
      <c r="P490" s="286"/>
      <c r="Q490" s="286"/>
      <c r="R490" s="578"/>
      <c r="S490" s="578"/>
      <c r="T490" s="578"/>
      <c r="U490" s="578"/>
    </row>
    <row r="491">
      <c r="A491" s="286"/>
      <c r="B491" s="286"/>
      <c r="C491" s="529"/>
      <c r="D491" s="306"/>
      <c r="E491" s="599"/>
      <c r="F491" s="306"/>
      <c r="G491" s="306"/>
      <c r="H491" s="598"/>
      <c r="I491" s="286"/>
      <c r="J491" s="286"/>
      <c r="K491" s="529"/>
      <c r="L491" s="286"/>
      <c r="M491" s="529"/>
      <c r="N491" s="286"/>
      <c r="O491" s="286"/>
      <c r="P491" s="286"/>
      <c r="Q491" s="286"/>
      <c r="R491" s="578"/>
      <c r="S491" s="578"/>
      <c r="T491" s="578"/>
      <c r="U491" s="578"/>
    </row>
    <row r="492">
      <c r="A492" s="286"/>
      <c r="B492" s="286"/>
      <c r="C492" s="529"/>
      <c r="D492" s="306"/>
      <c r="E492" s="599"/>
      <c r="F492" s="306"/>
      <c r="G492" s="306"/>
      <c r="H492" s="598"/>
      <c r="I492" s="286"/>
      <c r="J492" s="286"/>
      <c r="K492" s="529"/>
      <c r="L492" s="286"/>
      <c r="M492" s="529"/>
      <c r="N492" s="286"/>
      <c r="O492" s="286"/>
      <c r="P492" s="286"/>
      <c r="Q492" s="286"/>
      <c r="R492" s="578"/>
      <c r="S492" s="578"/>
      <c r="T492" s="578"/>
      <c r="U492" s="578"/>
    </row>
    <row r="493">
      <c r="A493" s="286"/>
      <c r="B493" s="286"/>
      <c r="C493" s="529"/>
      <c r="D493" s="306"/>
      <c r="E493" s="599"/>
      <c r="F493" s="306"/>
      <c r="G493" s="306"/>
      <c r="H493" s="598"/>
      <c r="I493" s="286"/>
      <c r="J493" s="286"/>
      <c r="K493" s="529"/>
      <c r="L493" s="286"/>
      <c r="M493" s="529"/>
      <c r="N493" s="286"/>
      <c r="O493" s="286"/>
      <c r="P493" s="286"/>
      <c r="Q493" s="286"/>
      <c r="R493" s="578"/>
      <c r="S493" s="578"/>
      <c r="T493" s="578"/>
      <c r="U493" s="578"/>
    </row>
    <row r="494">
      <c r="A494" s="286"/>
      <c r="B494" s="286"/>
      <c r="C494" s="529"/>
      <c r="D494" s="306"/>
      <c r="E494" s="599"/>
      <c r="F494" s="306"/>
      <c r="G494" s="306"/>
      <c r="H494" s="598"/>
      <c r="I494" s="286"/>
      <c r="J494" s="286"/>
      <c r="K494" s="529"/>
      <c r="L494" s="286"/>
      <c r="M494" s="529"/>
      <c r="N494" s="286"/>
      <c r="O494" s="286"/>
      <c r="P494" s="286"/>
      <c r="Q494" s="286"/>
      <c r="R494" s="578"/>
      <c r="S494" s="578"/>
      <c r="T494" s="578"/>
      <c r="U494" s="578"/>
    </row>
    <row r="495">
      <c r="A495" s="286"/>
      <c r="B495" s="286"/>
      <c r="C495" s="529"/>
      <c r="D495" s="306"/>
      <c r="E495" s="599"/>
      <c r="F495" s="306"/>
      <c r="G495" s="306"/>
      <c r="H495" s="598"/>
      <c r="I495" s="286"/>
      <c r="J495" s="286"/>
      <c r="K495" s="529"/>
      <c r="L495" s="286"/>
      <c r="M495" s="529"/>
      <c r="N495" s="286"/>
      <c r="O495" s="286"/>
      <c r="P495" s="286"/>
      <c r="Q495" s="286"/>
      <c r="R495" s="578"/>
      <c r="S495" s="578"/>
      <c r="T495" s="578"/>
      <c r="U495" s="578"/>
    </row>
    <row r="496">
      <c r="A496" s="286"/>
      <c r="B496" s="286"/>
      <c r="C496" s="529"/>
      <c r="D496" s="306"/>
      <c r="E496" s="599"/>
      <c r="F496" s="306"/>
      <c r="G496" s="306"/>
      <c r="H496" s="598"/>
      <c r="I496" s="286"/>
      <c r="J496" s="286"/>
      <c r="K496" s="529"/>
      <c r="L496" s="286"/>
      <c r="M496" s="529"/>
      <c r="N496" s="286"/>
      <c r="O496" s="286"/>
      <c r="P496" s="286"/>
      <c r="Q496" s="286"/>
      <c r="R496" s="578"/>
      <c r="S496" s="578"/>
      <c r="T496" s="578"/>
      <c r="U496" s="578"/>
    </row>
    <row r="497">
      <c r="A497" s="286"/>
      <c r="B497" s="286"/>
      <c r="C497" s="529"/>
      <c r="D497" s="306"/>
      <c r="E497" s="599"/>
      <c r="F497" s="306"/>
      <c r="G497" s="306"/>
      <c r="H497" s="598"/>
      <c r="I497" s="286"/>
      <c r="J497" s="286"/>
      <c r="K497" s="529"/>
      <c r="L497" s="286"/>
      <c r="M497" s="529"/>
      <c r="N497" s="286"/>
      <c r="O497" s="286"/>
      <c r="P497" s="286"/>
      <c r="Q497" s="286"/>
      <c r="R497" s="578"/>
      <c r="S497" s="578"/>
      <c r="T497" s="578"/>
      <c r="U497" s="578"/>
    </row>
    <row r="498">
      <c r="A498" s="286"/>
      <c r="B498" s="286"/>
      <c r="C498" s="529"/>
      <c r="D498" s="306"/>
      <c r="E498" s="599"/>
      <c r="F498" s="306"/>
      <c r="G498" s="306"/>
      <c r="H498" s="598"/>
      <c r="I498" s="286"/>
      <c r="J498" s="286"/>
      <c r="K498" s="529"/>
      <c r="L498" s="286"/>
      <c r="M498" s="529"/>
      <c r="N498" s="286"/>
      <c r="O498" s="286"/>
      <c r="P498" s="286"/>
      <c r="Q498" s="286"/>
      <c r="R498" s="578"/>
      <c r="S498" s="578"/>
      <c r="T498" s="578"/>
      <c r="U498" s="578"/>
    </row>
    <row r="499">
      <c r="A499" s="286"/>
      <c r="B499" s="286"/>
      <c r="C499" s="529"/>
      <c r="D499" s="306"/>
      <c r="E499" s="599"/>
      <c r="F499" s="306"/>
      <c r="G499" s="306"/>
      <c r="H499" s="598"/>
      <c r="I499" s="286"/>
      <c r="J499" s="286"/>
      <c r="K499" s="529"/>
      <c r="L499" s="286"/>
      <c r="M499" s="529"/>
      <c r="N499" s="286"/>
      <c r="O499" s="286"/>
      <c r="P499" s="286"/>
      <c r="Q499" s="286"/>
      <c r="R499" s="578"/>
      <c r="S499" s="578"/>
      <c r="T499" s="578"/>
      <c r="U499" s="578"/>
    </row>
    <row r="500">
      <c r="A500" s="286"/>
      <c r="B500" s="286"/>
      <c r="C500" s="529"/>
      <c r="D500" s="306"/>
      <c r="E500" s="599"/>
      <c r="F500" s="306"/>
      <c r="G500" s="306"/>
      <c r="H500" s="598"/>
      <c r="I500" s="286"/>
      <c r="J500" s="286"/>
      <c r="K500" s="529"/>
      <c r="L500" s="286"/>
      <c r="M500" s="529"/>
      <c r="N500" s="286"/>
      <c r="O500" s="286"/>
      <c r="P500" s="286"/>
      <c r="Q500" s="286"/>
      <c r="R500" s="578"/>
      <c r="S500" s="578"/>
      <c r="T500" s="578"/>
      <c r="U500" s="578"/>
    </row>
    <row r="501">
      <c r="A501" s="286"/>
      <c r="B501" s="286"/>
      <c r="C501" s="529"/>
      <c r="D501" s="306"/>
      <c r="E501" s="599"/>
      <c r="F501" s="306"/>
      <c r="G501" s="306"/>
      <c r="H501" s="598"/>
      <c r="I501" s="286"/>
      <c r="J501" s="286"/>
      <c r="K501" s="529"/>
      <c r="L501" s="286"/>
      <c r="M501" s="529"/>
      <c r="N501" s="286"/>
      <c r="O501" s="286"/>
      <c r="P501" s="286"/>
      <c r="Q501" s="286"/>
      <c r="R501" s="578"/>
      <c r="S501" s="578"/>
      <c r="T501" s="578"/>
      <c r="U501" s="578"/>
    </row>
    <row r="502">
      <c r="A502" s="286"/>
      <c r="B502" s="286"/>
      <c r="C502" s="529"/>
      <c r="D502" s="306"/>
      <c r="E502" s="599"/>
      <c r="F502" s="306"/>
      <c r="G502" s="306"/>
      <c r="H502" s="598"/>
      <c r="I502" s="286"/>
      <c r="J502" s="286"/>
      <c r="K502" s="529"/>
      <c r="L502" s="286"/>
      <c r="M502" s="529"/>
      <c r="N502" s="286"/>
      <c r="O502" s="286"/>
      <c r="P502" s="286"/>
      <c r="Q502" s="286"/>
      <c r="R502" s="578"/>
      <c r="S502" s="578"/>
      <c r="T502" s="578"/>
      <c r="U502" s="578"/>
    </row>
    <row r="503">
      <c r="A503" s="286"/>
      <c r="B503" s="286"/>
      <c r="C503" s="529"/>
      <c r="D503" s="306"/>
      <c r="E503" s="599"/>
      <c r="F503" s="306"/>
      <c r="G503" s="306"/>
      <c r="H503" s="598"/>
      <c r="I503" s="286"/>
      <c r="J503" s="286"/>
      <c r="K503" s="529"/>
      <c r="L503" s="286"/>
      <c r="M503" s="529"/>
      <c r="N503" s="286"/>
      <c r="O503" s="286"/>
      <c r="P503" s="286"/>
      <c r="Q503" s="286"/>
      <c r="R503" s="578"/>
      <c r="S503" s="578"/>
      <c r="T503" s="578"/>
      <c r="U503" s="578"/>
    </row>
    <row r="504">
      <c r="A504" s="286"/>
      <c r="B504" s="286"/>
      <c r="C504" s="529"/>
      <c r="D504" s="306"/>
      <c r="E504" s="599"/>
      <c r="F504" s="306"/>
      <c r="G504" s="306"/>
      <c r="H504" s="598"/>
      <c r="I504" s="286"/>
      <c r="J504" s="286"/>
      <c r="K504" s="529"/>
      <c r="L504" s="286"/>
      <c r="M504" s="529"/>
      <c r="N504" s="286"/>
      <c r="O504" s="286"/>
      <c r="P504" s="286"/>
      <c r="Q504" s="286"/>
      <c r="R504" s="578"/>
      <c r="S504" s="578"/>
      <c r="T504" s="578"/>
      <c r="U504" s="578"/>
    </row>
    <row r="505">
      <c r="A505" s="286"/>
      <c r="B505" s="286"/>
      <c r="C505" s="529"/>
      <c r="D505" s="306"/>
      <c r="E505" s="599"/>
      <c r="F505" s="306"/>
      <c r="G505" s="306"/>
      <c r="H505" s="598"/>
      <c r="I505" s="286"/>
      <c r="J505" s="286"/>
      <c r="K505" s="529"/>
      <c r="L505" s="286"/>
      <c r="M505" s="529"/>
      <c r="N505" s="286"/>
      <c r="O505" s="286"/>
      <c r="P505" s="286"/>
      <c r="Q505" s="286"/>
      <c r="R505" s="578"/>
      <c r="S505" s="578"/>
      <c r="T505" s="578"/>
      <c r="U505" s="578"/>
    </row>
    <row r="506">
      <c r="A506" s="286"/>
      <c r="B506" s="286"/>
      <c r="C506" s="529"/>
      <c r="D506" s="306"/>
      <c r="E506" s="599"/>
      <c r="F506" s="306"/>
      <c r="G506" s="306"/>
      <c r="H506" s="598"/>
      <c r="I506" s="286"/>
      <c r="J506" s="286"/>
      <c r="K506" s="529"/>
      <c r="L506" s="286"/>
      <c r="M506" s="529"/>
      <c r="N506" s="286"/>
      <c r="O506" s="286"/>
      <c r="P506" s="286"/>
      <c r="Q506" s="286"/>
      <c r="R506" s="578"/>
      <c r="S506" s="578"/>
      <c r="T506" s="578"/>
      <c r="U506" s="578"/>
    </row>
    <row r="507">
      <c r="A507" s="286"/>
      <c r="B507" s="286"/>
      <c r="C507" s="529"/>
      <c r="D507" s="306"/>
      <c r="E507" s="599"/>
      <c r="F507" s="306"/>
      <c r="G507" s="306"/>
      <c r="H507" s="598"/>
      <c r="I507" s="286"/>
      <c r="J507" s="286"/>
      <c r="K507" s="529"/>
      <c r="L507" s="286"/>
      <c r="M507" s="529"/>
      <c r="N507" s="286"/>
      <c r="O507" s="286"/>
      <c r="P507" s="286"/>
      <c r="Q507" s="286"/>
      <c r="R507" s="578"/>
      <c r="S507" s="578"/>
      <c r="T507" s="578"/>
      <c r="U507" s="578"/>
    </row>
    <row r="508">
      <c r="A508" s="286"/>
      <c r="B508" s="286"/>
      <c r="C508" s="529"/>
      <c r="D508" s="306"/>
      <c r="E508" s="599"/>
      <c r="F508" s="306"/>
      <c r="G508" s="306"/>
      <c r="H508" s="598"/>
      <c r="I508" s="286"/>
      <c r="J508" s="286"/>
      <c r="K508" s="529"/>
      <c r="L508" s="286"/>
      <c r="M508" s="529"/>
      <c r="N508" s="286"/>
      <c r="O508" s="286"/>
      <c r="P508" s="286"/>
      <c r="Q508" s="286"/>
      <c r="R508" s="578"/>
      <c r="S508" s="578"/>
      <c r="T508" s="578"/>
      <c r="U508" s="578"/>
    </row>
    <row r="509">
      <c r="A509" s="286"/>
      <c r="B509" s="286"/>
      <c r="C509" s="529"/>
      <c r="D509" s="306"/>
      <c r="E509" s="599"/>
      <c r="F509" s="306"/>
      <c r="G509" s="306"/>
      <c r="H509" s="598"/>
      <c r="I509" s="286"/>
      <c r="J509" s="286"/>
      <c r="K509" s="529"/>
      <c r="L509" s="286"/>
      <c r="M509" s="529"/>
      <c r="N509" s="286"/>
      <c r="O509" s="286"/>
      <c r="P509" s="286"/>
      <c r="Q509" s="286"/>
      <c r="R509" s="578"/>
      <c r="S509" s="578"/>
      <c r="T509" s="578"/>
      <c r="U509" s="578"/>
    </row>
    <row r="510">
      <c r="A510" s="286"/>
      <c r="B510" s="286"/>
      <c r="C510" s="529"/>
      <c r="D510" s="306"/>
      <c r="E510" s="599"/>
      <c r="F510" s="306"/>
      <c r="G510" s="306"/>
      <c r="H510" s="598"/>
      <c r="I510" s="286"/>
      <c r="J510" s="286"/>
      <c r="K510" s="529"/>
      <c r="L510" s="286"/>
      <c r="M510" s="529"/>
      <c r="N510" s="286"/>
      <c r="O510" s="286"/>
      <c r="P510" s="286"/>
      <c r="Q510" s="286"/>
      <c r="R510" s="578"/>
      <c r="S510" s="578"/>
      <c r="T510" s="578"/>
      <c r="U510" s="578"/>
    </row>
    <row r="511">
      <c r="A511" s="286"/>
      <c r="B511" s="286"/>
      <c r="C511" s="529"/>
      <c r="D511" s="306"/>
      <c r="E511" s="599"/>
      <c r="F511" s="306"/>
      <c r="G511" s="306"/>
      <c r="H511" s="598"/>
      <c r="I511" s="286"/>
      <c r="J511" s="286"/>
      <c r="K511" s="529"/>
      <c r="L511" s="286"/>
      <c r="M511" s="529"/>
      <c r="N511" s="286"/>
      <c r="O511" s="286"/>
      <c r="P511" s="286"/>
      <c r="Q511" s="286"/>
      <c r="R511" s="578"/>
      <c r="S511" s="578"/>
      <c r="T511" s="578"/>
      <c r="U511" s="578"/>
    </row>
    <row r="512">
      <c r="A512" s="286"/>
      <c r="B512" s="286"/>
      <c r="C512" s="529"/>
      <c r="D512" s="306"/>
      <c r="E512" s="599"/>
      <c r="F512" s="306"/>
      <c r="G512" s="306"/>
      <c r="H512" s="598"/>
      <c r="I512" s="286"/>
      <c r="J512" s="286"/>
      <c r="K512" s="529"/>
      <c r="L512" s="286"/>
      <c r="M512" s="529"/>
      <c r="N512" s="286"/>
      <c r="O512" s="286"/>
      <c r="P512" s="286"/>
      <c r="Q512" s="286"/>
      <c r="R512" s="578"/>
      <c r="S512" s="578"/>
      <c r="T512" s="578"/>
      <c r="U512" s="578"/>
    </row>
    <row r="513">
      <c r="A513" s="286"/>
      <c r="B513" s="286"/>
      <c r="C513" s="529"/>
      <c r="D513" s="306"/>
      <c r="E513" s="599"/>
      <c r="F513" s="306"/>
      <c r="G513" s="306"/>
      <c r="H513" s="598"/>
      <c r="I513" s="286"/>
      <c r="J513" s="286"/>
      <c r="K513" s="529"/>
      <c r="L513" s="286"/>
      <c r="M513" s="529"/>
      <c r="N513" s="286"/>
      <c r="O513" s="286"/>
      <c r="P513" s="286"/>
      <c r="Q513" s="286"/>
      <c r="R513" s="578"/>
      <c r="S513" s="578"/>
      <c r="T513" s="578"/>
      <c r="U513" s="578"/>
    </row>
    <row r="514">
      <c r="A514" s="286"/>
      <c r="B514" s="286"/>
      <c r="C514" s="529"/>
      <c r="D514" s="306"/>
      <c r="E514" s="599"/>
      <c r="F514" s="306"/>
      <c r="G514" s="306"/>
      <c r="H514" s="598"/>
      <c r="I514" s="286"/>
      <c r="J514" s="286"/>
      <c r="K514" s="529"/>
      <c r="L514" s="286"/>
      <c r="M514" s="529"/>
      <c r="N514" s="286"/>
      <c r="O514" s="286"/>
      <c r="P514" s="286"/>
      <c r="Q514" s="286"/>
      <c r="R514" s="578"/>
      <c r="S514" s="578"/>
      <c r="T514" s="578"/>
      <c r="U514" s="578"/>
    </row>
    <row r="515">
      <c r="A515" s="286"/>
      <c r="B515" s="286"/>
      <c r="C515" s="529"/>
      <c r="D515" s="306"/>
      <c r="E515" s="599"/>
      <c r="F515" s="306"/>
      <c r="G515" s="306"/>
      <c r="H515" s="598"/>
      <c r="I515" s="286"/>
      <c r="J515" s="286"/>
      <c r="K515" s="529"/>
      <c r="L515" s="286"/>
      <c r="M515" s="529"/>
      <c r="N515" s="286"/>
      <c r="O515" s="286"/>
      <c r="P515" s="286"/>
      <c r="Q515" s="286"/>
      <c r="R515" s="578"/>
      <c r="S515" s="578"/>
      <c r="T515" s="578"/>
      <c r="U515" s="578"/>
    </row>
    <row r="516">
      <c r="A516" s="286"/>
      <c r="B516" s="286"/>
      <c r="C516" s="529"/>
      <c r="D516" s="306"/>
      <c r="E516" s="599"/>
      <c r="F516" s="306"/>
      <c r="G516" s="306"/>
      <c r="H516" s="598"/>
      <c r="I516" s="286"/>
      <c r="J516" s="286"/>
      <c r="K516" s="529"/>
      <c r="L516" s="286"/>
      <c r="M516" s="529"/>
      <c r="N516" s="286"/>
      <c r="O516" s="286"/>
      <c r="P516" s="286"/>
      <c r="Q516" s="286"/>
      <c r="R516" s="578"/>
      <c r="S516" s="578"/>
      <c r="T516" s="578"/>
      <c r="U516" s="578"/>
    </row>
    <row r="517">
      <c r="A517" s="286"/>
      <c r="B517" s="286"/>
      <c r="C517" s="529"/>
      <c r="D517" s="306"/>
      <c r="E517" s="599"/>
      <c r="F517" s="306"/>
      <c r="G517" s="306"/>
      <c r="H517" s="598"/>
      <c r="I517" s="286"/>
      <c r="J517" s="286"/>
      <c r="K517" s="529"/>
      <c r="L517" s="286"/>
      <c r="M517" s="529"/>
      <c r="N517" s="286"/>
      <c r="O517" s="286"/>
      <c r="P517" s="286"/>
      <c r="Q517" s="286"/>
      <c r="R517" s="578"/>
      <c r="S517" s="578"/>
      <c r="T517" s="578"/>
      <c r="U517" s="578"/>
    </row>
    <row r="518">
      <c r="A518" s="286"/>
      <c r="B518" s="286"/>
      <c r="C518" s="529"/>
      <c r="D518" s="306"/>
      <c r="E518" s="599"/>
      <c r="F518" s="306"/>
      <c r="G518" s="306"/>
      <c r="H518" s="598"/>
      <c r="I518" s="286"/>
      <c r="J518" s="286"/>
      <c r="K518" s="529"/>
      <c r="L518" s="286"/>
      <c r="M518" s="529"/>
      <c r="N518" s="286"/>
      <c r="O518" s="286"/>
      <c r="P518" s="286"/>
      <c r="Q518" s="286"/>
      <c r="R518" s="578"/>
      <c r="S518" s="578"/>
      <c r="T518" s="578"/>
      <c r="U518" s="578"/>
    </row>
    <row r="519">
      <c r="A519" s="286"/>
      <c r="B519" s="286"/>
      <c r="C519" s="529"/>
      <c r="D519" s="306"/>
      <c r="E519" s="599"/>
      <c r="F519" s="306"/>
      <c r="G519" s="306"/>
      <c r="H519" s="598"/>
      <c r="I519" s="286"/>
      <c r="J519" s="286"/>
      <c r="K519" s="529"/>
      <c r="L519" s="286"/>
      <c r="M519" s="529"/>
      <c r="N519" s="286"/>
      <c r="O519" s="286"/>
      <c r="P519" s="286"/>
      <c r="Q519" s="286"/>
      <c r="R519" s="578"/>
      <c r="S519" s="578"/>
      <c r="T519" s="578"/>
      <c r="U519" s="578"/>
    </row>
    <row r="520">
      <c r="A520" s="286"/>
      <c r="B520" s="286"/>
      <c r="C520" s="529"/>
      <c r="D520" s="306"/>
      <c r="E520" s="599"/>
      <c r="F520" s="306"/>
      <c r="G520" s="306"/>
      <c r="H520" s="598"/>
      <c r="I520" s="286"/>
      <c r="J520" s="286"/>
      <c r="K520" s="529"/>
      <c r="L520" s="286"/>
      <c r="M520" s="529"/>
      <c r="N520" s="286"/>
      <c r="O520" s="286"/>
      <c r="P520" s="286"/>
      <c r="Q520" s="286"/>
      <c r="R520" s="578"/>
      <c r="S520" s="578"/>
      <c r="T520" s="578"/>
      <c r="U520" s="578"/>
    </row>
    <row r="521">
      <c r="A521" s="286"/>
      <c r="B521" s="286"/>
      <c r="C521" s="529"/>
      <c r="D521" s="306"/>
      <c r="E521" s="599"/>
      <c r="F521" s="306"/>
      <c r="G521" s="306"/>
      <c r="H521" s="598"/>
      <c r="I521" s="286"/>
      <c r="J521" s="286"/>
      <c r="K521" s="529"/>
      <c r="L521" s="286"/>
      <c r="M521" s="529"/>
      <c r="N521" s="286"/>
      <c r="O521" s="286"/>
      <c r="P521" s="286"/>
      <c r="Q521" s="286"/>
      <c r="R521" s="578"/>
      <c r="S521" s="578"/>
      <c r="T521" s="578"/>
      <c r="U521" s="578"/>
    </row>
    <row r="522">
      <c r="A522" s="286"/>
      <c r="B522" s="286"/>
      <c r="C522" s="529"/>
      <c r="D522" s="306"/>
      <c r="E522" s="599"/>
      <c r="F522" s="306"/>
      <c r="G522" s="306"/>
      <c r="H522" s="598"/>
      <c r="I522" s="286"/>
      <c r="J522" s="286"/>
      <c r="K522" s="529"/>
      <c r="L522" s="286"/>
      <c r="M522" s="529"/>
      <c r="N522" s="286"/>
      <c r="O522" s="286"/>
      <c r="P522" s="286"/>
      <c r="Q522" s="286"/>
      <c r="R522" s="578"/>
      <c r="S522" s="578"/>
      <c r="T522" s="578"/>
      <c r="U522" s="578"/>
    </row>
    <row r="523">
      <c r="A523" s="286"/>
      <c r="B523" s="286"/>
      <c r="C523" s="529"/>
      <c r="D523" s="306"/>
      <c r="E523" s="599"/>
      <c r="F523" s="306"/>
      <c r="G523" s="306"/>
      <c r="H523" s="598"/>
      <c r="I523" s="286"/>
      <c r="J523" s="286"/>
      <c r="K523" s="529"/>
      <c r="L523" s="286"/>
      <c r="M523" s="529"/>
      <c r="N523" s="286"/>
      <c r="O523" s="286"/>
      <c r="P523" s="286"/>
      <c r="Q523" s="286"/>
      <c r="R523" s="578"/>
      <c r="S523" s="578"/>
      <c r="T523" s="578"/>
      <c r="U523" s="578"/>
    </row>
    <row r="524">
      <c r="A524" s="286"/>
      <c r="B524" s="286"/>
      <c r="C524" s="529"/>
      <c r="D524" s="306"/>
      <c r="E524" s="599"/>
      <c r="F524" s="306"/>
      <c r="G524" s="306"/>
      <c r="H524" s="598"/>
      <c r="I524" s="286"/>
      <c r="J524" s="286"/>
      <c r="K524" s="529"/>
      <c r="L524" s="286"/>
      <c r="M524" s="529"/>
      <c r="N524" s="286"/>
      <c r="O524" s="286"/>
      <c r="P524" s="286"/>
      <c r="Q524" s="286"/>
      <c r="R524" s="578"/>
      <c r="S524" s="578"/>
      <c r="T524" s="578"/>
      <c r="U524" s="578"/>
    </row>
    <row r="525">
      <c r="A525" s="286"/>
      <c r="B525" s="286"/>
      <c r="C525" s="529"/>
      <c r="D525" s="306"/>
      <c r="E525" s="599"/>
      <c r="F525" s="306"/>
      <c r="G525" s="306"/>
      <c r="H525" s="598"/>
      <c r="I525" s="286"/>
      <c r="J525" s="286"/>
      <c r="K525" s="529"/>
      <c r="L525" s="286"/>
      <c r="M525" s="529"/>
      <c r="N525" s="286"/>
      <c r="O525" s="286"/>
      <c r="P525" s="286"/>
      <c r="Q525" s="286"/>
      <c r="R525" s="578"/>
      <c r="S525" s="578"/>
      <c r="T525" s="578"/>
      <c r="U525" s="578"/>
    </row>
    <row r="526">
      <c r="A526" s="286"/>
      <c r="B526" s="286"/>
      <c r="C526" s="529"/>
      <c r="D526" s="306"/>
      <c r="E526" s="599"/>
      <c r="F526" s="306"/>
      <c r="G526" s="306"/>
      <c r="H526" s="598"/>
      <c r="I526" s="286"/>
      <c r="J526" s="286"/>
      <c r="K526" s="529"/>
      <c r="L526" s="286"/>
      <c r="M526" s="529"/>
      <c r="N526" s="286"/>
      <c r="O526" s="286"/>
      <c r="P526" s="286"/>
      <c r="Q526" s="286"/>
      <c r="R526" s="578"/>
      <c r="S526" s="578"/>
      <c r="T526" s="578"/>
      <c r="U526" s="578"/>
    </row>
    <row r="527">
      <c r="A527" s="286"/>
      <c r="B527" s="286"/>
      <c r="C527" s="529"/>
      <c r="D527" s="306"/>
      <c r="E527" s="599"/>
      <c r="F527" s="306"/>
      <c r="G527" s="306"/>
      <c r="H527" s="598"/>
      <c r="I527" s="286"/>
      <c r="J527" s="286"/>
      <c r="K527" s="529"/>
      <c r="L527" s="286"/>
      <c r="M527" s="529"/>
      <c r="N527" s="286"/>
      <c r="O527" s="286"/>
      <c r="P527" s="286"/>
      <c r="Q527" s="286"/>
      <c r="R527" s="578"/>
      <c r="S527" s="578"/>
      <c r="T527" s="578"/>
      <c r="U527" s="578"/>
    </row>
    <row r="528">
      <c r="A528" s="286"/>
      <c r="B528" s="286"/>
      <c r="C528" s="529"/>
      <c r="D528" s="306"/>
      <c r="E528" s="599"/>
      <c r="F528" s="306"/>
      <c r="G528" s="306"/>
      <c r="H528" s="598"/>
      <c r="I528" s="286"/>
      <c r="J528" s="286"/>
      <c r="K528" s="529"/>
      <c r="L528" s="286"/>
      <c r="M528" s="529"/>
      <c r="N528" s="286"/>
      <c r="O528" s="286"/>
      <c r="P528" s="286"/>
      <c r="Q528" s="286"/>
      <c r="R528" s="578"/>
      <c r="S528" s="578"/>
      <c r="T528" s="578"/>
      <c r="U528" s="578"/>
    </row>
    <row r="529">
      <c r="A529" s="286"/>
      <c r="B529" s="286"/>
      <c r="C529" s="529"/>
      <c r="D529" s="306"/>
      <c r="E529" s="599"/>
      <c r="F529" s="306"/>
      <c r="G529" s="306"/>
      <c r="H529" s="598"/>
      <c r="I529" s="286"/>
      <c r="J529" s="286"/>
      <c r="K529" s="529"/>
      <c r="L529" s="286"/>
      <c r="M529" s="529"/>
      <c r="N529" s="286"/>
      <c r="O529" s="286"/>
      <c r="P529" s="286"/>
      <c r="Q529" s="286"/>
      <c r="R529" s="578"/>
      <c r="S529" s="578"/>
      <c r="T529" s="578"/>
      <c r="U529" s="578"/>
    </row>
    <row r="530">
      <c r="A530" s="286"/>
      <c r="B530" s="286"/>
      <c r="C530" s="529"/>
      <c r="D530" s="306"/>
      <c r="E530" s="599"/>
      <c r="F530" s="306"/>
      <c r="G530" s="306"/>
      <c r="H530" s="598"/>
      <c r="I530" s="286"/>
      <c r="J530" s="286"/>
      <c r="K530" s="529"/>
      <c r="L530" s="286"/>
      <c r="M530" s="529"/>
      <c r="N530" s="286"/>
      <c r="O530" s="286"/>
      <c r="P530" s="286"/>
      <c r="Q530" s="286"/>
      <c r="R530" s="578"/>
      <c r="S530" s="578"/>
      <c r="T530" s="578"/>
      <c r="U530" s="578"/>
    </row>
    <row r="531">
      <c r="A531" s="286"/>
      <c r="B531" s="286"/>
      <c r="C531" s="529"/>
      <c r="D531" s="306"/>
      <c r="E531" s="599"/>
      <c r="F531" s="306"/>
      <c r="G531" s="306"/>
      <c r="H531" s="598"/>
      <c r="I531" s="286"/>
      <c r="J531" s="286"/>
      <c r="K531" s="529"/>
      <c r="L531" s="286"/>
      <c r="M531" s="529"/>
      <c r="N531" s="286"/>
      <c r="O531" s="286"/>
      <c r="P531" s="286"/>
      <c r="Q531" s="286"/>
      <c r="R531" s="578"/>
      <c r="S531" s="578"/>
      <c r="T531" s="578"/>
      <c r="U531" s="578"/>
    </row>
    <row r="532">
      <c r="A532" s="286"/>
      <c r="B532" s="286"/>
      <c r="C532" s="529"/>
      <c r="D532" s="306"/>
      <c r="E532" s="599"/>
      <c r="F532" s="306"/>
      <c r="G532" s="306"/>
      <c r="H532" s="598"/>
      <c r="I532" s="286"/>
      <c r="J532" s="286"/>
      <c r="K532" s="529"/>
      <c r="L532" s="286"/>
      <c r="M532" s="529"/>
      <c r="N532" s="286"/>
      <c r="O532" s="286"/>
      <c r="P532" s="286"/>
      <c r="Q532" s="286"/>
      <c r="R532" s="578"/>
      <c r="S532" s="578"/>
      <c r="T532" s="578"/>
      <c r="U532" s="578"/>
    </row>
    <row r="533">
      <c r="A533" s="286"/>
      <c r="B533" s="286"/>
      <c r="C533" s="529"/>
      <c r="D533" s="306"/>
      <c r="E533" s="599"/>
      <c r="F533" s="306"/>
      <c r="G533" s="306"/>
      <c r="H533" s="598"/>
      <c r="I533" s="286"/>
      <c r="J533" s="286"/>
      <c r="K533" s="529"/>
      <c r="L533" s="286"/>
      <c r="M533" s="529"/>
      <c r="N533" s="286"/>
      <c r="O533" s="286"/>
      <c r="P533" s="286"/>
      <c r="Q533" s="286"/>
      <c r="R533" s="578"/>
      <c r="S533" s="578"/>
      <c r="T533" s="578"/>
      <c r="U533" s="578"/>
    </row>
    <row r="534">
      <c r="A534" s="286"/>
      <c r="B534" s="286"/>
      <c r="C534" s="529"/>
      <c r="D534" s="306"/>
      <c r="E534" s="599"/>
      <c r="F534" s="306"/>
      <c r="G534" s="306"/>
      <c r="H534" s="598"/>
      <c r="I534" s="286"/>
      <c r="J534" s="286"/>
      <c r="K534" s="529"/>
      <c r="L534" s="286"/>
      <c r="M534" s="529"/>
      <c r="N534" s="286"/>
      <c r="O534" s="286"/>
      <c r="P534" s="286"/>
      <c r="Q534" s="286"/>
      <c r="R534" s="578"/>
      <c r="S534" s="578"/>
      <c r="T534" s="578"/>
      <c r="U534" s="578"/>
    </row>
    <row r="535">
      <c r="A535" s="286"/>
      <c r="B535" s="286"/>
      <c r="C535" s="529"/>
      <c r="D535" s="306"/>
      <c r="E535" s="599"/>
      <c r="F535" s="306"/>
      <c r="G535" s="306"/>
      <c r="H535" s="598"/>
      <c r="I535" s="286"/>
      <c r="J535" s="286"/>
      <c r="K535" s="529"/>
      <c r="L535" s="286"/>
      <c r="M535" s="529"/>
      <c r="N535" s="286"/>
      <c r="O535" s="286"/>
      <c r="P535" s="286"/>
      <c r="Q535" s="286"/>
      <c r="R535" s="578"/>
      <c r="S535" s="578"/>
      <c r="T535" s="578"/>
      <c r="U535" s="578"/>
    </row>
    <row r="536">
      <c r="A536" s="286"/>
      <c r="B536" s="286"/>
      <c r="C536" s="529"/>
      <c r="D536" s="306"/>
      <c r="E536" s="599"/>
      <c r="F536" s="306"/>
      <c r="G536" s="306"/>
      <c r="H536" s="598"/>
      <c r="I536" s="286"/>
      <c r="J536" s="286"/>
      <c r="K536" s="529"/>
      <c r="L536" s="286"/>
      <c r="M536" s="529"/>
      <c r="N536" s="286"/>
      <c r="O536" s="286"/>
      <c r="P536" s="286"/>
      <c r="Q536" s="286"/>
      <c r="R536" s="578"/>
      <c r="S536" s="578"/>
      <c r="T536" s="578"/>
      <c r="U536" s="578"/>
    </row>
    <row r="537">
      <c r="A537" s="286"/>
      <c r="B537" s="286"/>
      <c r="C537" s="529"/>
      <c r="D537" s="306"/>
      <c r="E537" s="599"/>
      <c r="F537" s="306"/>
      <c r="G537" s="306"/>
      <c r="H537" s="598"/>
      <c r="I537" s="286"/>
      <c r="J537" s="286"/>
      <c r="K537" s="529"/>
      <c r="L537" s="286"/>
      <c r="M537" s="529"/>
      <c r="N537" s="286"/>
      <c r="O537" s="286"/>
      <c r="P537" s="286"/>
      <c r="Q537" s="286"/>
      <c r="R537" s="578"/>
      <c r="S537" s="578"/>
      <c r="T537" s="578"/>
      <c r="U537" s="578"/>
    </row>
    <row r="538">
      <c r="A538" s="286"/>
      <c r="B538" s="286"/>
      <c r="C538" s="529"/>
      <c r="D538" s="306"/>
      <c r="E538" s="599"/>
      <c r="F538" s="306"/>
      <c r="G538" s="306"/>
      <c r="H538" s="598"/>
      <c r="I538" s="286"/>
      <c r="J538" s="286"/>
      <c r="K538" s="529"/>
      <c r="L538" s="286"/>
      <c r="M538" s="529"/>
      <c r="N538" s="286"/>
      <c r="O538" s="286"/>
      <c r="P538" s="286"/>
      <c r="Q538" s="286"/>
      <c r="R538" s="578"/>
      <c r="S538" s="578"/>
      <c r="T538" s="578"/>
      <c r="U538" s="578"/>
    </row>
    <row r="539">
      <c r="A539" s="286"/>
      <c r="B539" s="286"/>
      <c r="C539" s="529"/>
      <c r="D539" s="306"/>
      <c r="E539" s="599"/>
      <c r="F539" s="306"/>
      <c r="G539" s="306"/>
      <c r="H539" s="598"/>
      <c r="I539" s="286"/>
      <c r="J539" s="286"/>
      <c r="K539" s="529"/>
      <c r="L539" s="286"/>
      <c r="M539" s="529"/>
      <c r="N539" s="286"/>
      <c r="O539" s="286"/>
      <c r="P539" s="286"/>
      <c r="Q539" s="286"/>
      <c r="R539" s="578"/>
      <c r="S539" s="578"/>
      <c r="T539" s="578"/>
      <c r="U539" s="578"/>
    </row>
    <row r="540">
      <c r="A540" s="286"/>
      <c r="B540" s="286"/>
      <c r="C540" s="529"/>
      <c r="D540" s="306"/>
      <c r="E540" s="599"/>
      <c r="F540" s="306"/>
      <c r="G540" s="306"/>
      <c r="H540" s="598"/>
      <c r="I540" s="286"/>
      <c r="J540" s="286"/>
      <c r="K540" s="529"/>
      <c r="L540" s="286"/>
      <c r="M540" s="529"/>
      <c r="N540" s="286"/>
      <c r="O540" s="286"/>
      <c r="P540" s="286"/>
      <c r="Q540" s="286"/>
      <c r="R540" s="578"/>
      <c r="S540" s="578"/>
      <c r="T540" s="578"/>
      <c r="U540" s="578"/>
    </row>
    <row r="541">
      <c r="A541" s="286"/>
      <c r="B541" s="286"/>
      <c r="C541" s="529"/>
      <c r="D541" s="306"/>
      <c r="E541" s="599"/>
      <c r="F541" s="306"/>
      <c r="G541" s="306"/>
      <c r="H541" s="598"/>
      <c r="I541" s="286"/>
      <c r="J541" s="286"/>
      <c r="K541" s="529"/>
      <c r="L541" s="286"/>
      <c r="M541" s="529"/>
      <c r="N541" s="286"/>
      <c r="O541" s="286"/>
      <c r="P541" s="286"/>
      <c r="Q541" s="286"/>
      <c r="R541" s="578"/>
      <c r="S541" s="578"/>
      <c r="T541" s="578"/>
      <c r="U541" s="578"/>
    </row>
    <row r="542">
      <c r="A542" s="286"/>
      <c r="B542" s="286"/>
      <c r="C542" s="529"/>
      <c r="D542" s="306"/>
      <c r="E542" s="599"/>
      <c r="F542" s="306"/>
      <c r="G542" s="306"/>
      <c r="H542" s="598"/>
      <c r="I542" s="286"/>
      <c r="J542" s="286"/>
      <c r="K542" s="529"/>
      <c r="L542" s="286"/>
      <c r="M542" s="529"/>
      <c r="N542" s="286"/>
      <c r="O542" s="286"/>
      <c r="P542" s="286"/>
      <c r="Q542" s="286"/>
      <c r="R542" s="578"/>
      <c r="S542" s="578"/>
      <c r="T542" s="578"/>
      <c r="U542" s="578"/>
    </row>
    <row r="543">
      <c r="A543" s="286"/>
      <c r="B543" s="286"/>
      <c r="C543" s="529"/>
      <c r="D543" s="306"/>
      <c r="E543" s="599"/>
      <c r="F543" s="306"/>
      <c r="G543" s="306"/>
      <c r="H543" s="598"/>
      <c r="I543" s="286"/>
      <c r="J543" s="286"/>
      <c r="K543" s="529"/>
      <c r="L543" s="286"/>
      <c r="M543" s="529"/>
      <c r="N543" s="286"/>
      <c r="O543" s="286"/>
      <c r="P543" s="286"/>
      <c r="Q543" s="286"/>
      <c r="R543" s="578"/>
      <c r="S543" s="578"/>
      <c r="T543" s="578"/>
      <c r="U543" s="578"/>
    </row>
    <row r="544">
      <c r="A544" s="286"/>
      <c r="B544" s="286"/>
      <c r="C544" s="529"/>
      <c r="D544" s="306"/>
      <c r="E544" s="599"/>
      <c r="F544" s="306"/>
      <c r="G544" s="306"/>
      <c r="H544" s="598"/>
      <c r="I544" s="286"/>
      <c r="J544" s="286"/>
      <c r="K544" s="529"/>
      <c r="L544" s="286"/>
      <c r="M544" s="529"/>
      <c r="N544" s="286"/>
      <c r="O544" s="286"/>
      <c r="P544" s="286"/>
      <c r="Q544" s="286"/>
      <c r="R544" s="578"/>
      <c r="S544" s="578"/>
      <c r="T544" s="578"/>
      <c r="U544" s="578"/>
    </row>
    <row r="545">
      <c r="A545" s="286"/>
      <c r="B545" s="286"/>
      <c r="C545" s="529"/>
      <c r="D545" s="306"/>
      <c r="E545" s="599"/>
      <c r="F545" s="306"/>
      <c r="G545" s="306"/>
      <c r="H545" s="598"/>
      <c r="I545" s="286"/>
      <c r="J545" s="286"/>
      <c r="K545" s="529"/>
      <c r="L545" s="286"/>
      <c r="M545" s="529"/>
      <c r="N545" s="286"/>
      <c r="O545" s="286"/>
      <c r="P545" s="286"/>
      <c r="Q545" s="286"/>
      <c r="R545" s="578"/>
      <c r="S545" s="578"/>
      <c r="T545" s="578"/>
      <c r="U545" s="578"/>
    </row>
    <row r="546">
      <c r="A546" s="286"/>
      <c r="B546" s="286"/>
      <c r="C546" s="529"/>
      <c r="D546" s="306"/>
      <c r="E546" s="599"/>
      <c r="F546" s="306"/>
      <c r="G546" s="306"/>
      <c r="H546" s="598"/>
      <c r="I546" s="286"/>
      <c r="J546" s="286"/>
      <c r="K546" s="529"/>
      <c r="L546" s="286"/>
      <c r="M546" s="529"/>
      <c r="N546" s="286"/>
      <c r="O546" s="286"/>
      <c r="P546" s="286"/>
      <c r="Q546" s="286"/>
      <c r="R546" s="578"/>
      <c r="S546" s="578"/>
      <c r="T546" s="578"/>
      <c r="U546" s="578"/>
    </row>
    <row r="547">
      <c r="A547" s="286"/>
      <c r="B547" s="286"/>
      <c r="C547" s="529"/>
      <c r="D547" s="306"/>
      <c r="E547" s="599"/>
      <c r="F547" s="306"/>
      <c r="G547" s="306"/>
      <c r="H547" s="598"/>
      <c r="I547" s="286"/>
      <c r="J547" s="286"/>
      <c r="K547" s="529"/>
      <c r="L547" s="286"/>
      <c r="M547" s="529"/>
      <c r="N547" s="286"/>
      <c r="O547" s="286"/>
      <c r="P547" s="286"/>
      <c r="Q547" s="286"/>
      <c r="R547" s="578"/>
      <c r="S547" s="578"/>
      <c r="T547" s="578"/>
      <c r="U547" s="578"/>
    </row>
    <row r="548">
      <c r="A548" s="286"/>
      <c r="B548" s="286"/>
      <c r="C548" s="529"/>
      <c r="D548" s="306"/>
      <c r="E548" s="599"/>
      <c r="F548" s="306"/>
      <c r="G548" s="306"/>
      <c r="H548" s="598"/>
      <c r="I548" s="286"/>
      <c r="J548" s="286"/>
      <c r="K548" s="529"/>
      <c r="L548" s="286"/>
      <c r="M548" s="529"/>
      <c r="N548" s="286"/>
      <c r="O548" s="286"/>
      <c r="P548" s="286"/>
      <c r="Q548" s="286"/>
      <c r="R548" s="578"/>
      <c r="S548" s="578"/>
      <c r="T548" s="578"/>
      <c r="U548" s="578"/>
    </row>
    <row r="549">
      <c r="A549" s="286"/>
      <c r="B549" s="286"/>
      <c r="C549" s="529"/>
      <c r="D549" s="306"/>
      <c r="E549" s="599"/>
      <c r="F549" s="306"/>
      <c r="G549" s="306"/>
      <c r="H549" s="598"/>
      <c r="I549" s="286"/>
      <c r="J549" s="286"/>
      <c r="K549" s="529"/>
      <c r="L549" s="286"/>
      <c r="M549" s="529"/>
      <c r="N549" s="286"/>
      <c r="O549" s="286"/>
      <c r="P549" s="286"/>
      <c r="Q549" s="286"/>
      <c r="R549" s="578"/>
      <c r="S549" s="578"/>
      <c r="T549" s="578"/>
      <c r="U549" s="578"/>
    </row>
    <row r="550">
      <c r="A550" s="286"/>
      <c r="B550" s="286"/>
      <c r="C550" s="529"/>
      <c r="D550" s="306"/>
      <c r="E550" s="599"/>
      <c r="F550" s="306"/>
      <c r="G550" s="306"/>
      <c r="H550" s="598"/>
      <c r="I550" s="286"/>
      <c r="J550" s="286"/>
      <c r="K550" s="529"/>
      <c r="L550" s="286"/>
      <c r="M550" s="529"/>
      <c r="N550" s="286"/>
      <c r="O550" s="286"/>
      <c r="P550" s="286"/>
      <c r="Q550" s="286"/>
      <c r="R550" s="578"/>
      <c r="S550" s="578"/>
      <c r="T550" s="578"/>
      <c r="U550" s="578"/>
    </row>
    <row r="551">
      <c r="A551" s="286"/>
      <c r="B551" s="286"/>
      <c r="C551" s="529"/>
      <c r="D551" s="306"/>
      <c r="E551" s="599"/>
      <c r="F551" s="306"/>
      <c r="G551" s="306"/>
      <c r="H551" s="598"/>
      <c r="I551" s="286"/>
      <c r="J551" s="286"/>
      <c r="K551" s="529"/>
      <c r="L551" s="286"/>
      <c r="M551" s="529"/>
      <c r="N551" s="286"/>
      <c r="O551" s="286"/>
      <c r="P551" s="286"/>
      <c r="Q551" s="286"/>
      <c r="R551" s="578"/>
      <c r="S551" s="578"/>
      <c r="T551" s="578"/>
      <c r="U551" s="578"/>
    </row>
    <row r="552">
      <c r="A552" s="286"/>
      <c r="B552" s="286"/>
      <c r="C552" s="529"/>
      <c r="D552" s="306"/>
      <c r="E552" s="599"/>
      <c r="F552" s="306"/>
      <c r="G552" s="306"/>
      <c r="H552" s="598"/>
      <c r="I552" s="286"/>
      <c r="J552" s="286"/>
      <c r="K552" s="529"/>
      <c r="L552" s="286"/>
      <c r="M552" s="529"/>
      <c r="N552" s="286"/>
      <c r="O552" s="286"/>
      <c r="P552" s="286"/>
      <c r="Q552" s="286"/>
      <c r="R552" s="578"/>
      <c r="S552" s="578"/>
      <c r="T552" s="578"/>
      <c r="U552" s="578"/>
    </row>
    <row r="553">
      <c r="A553" s="286"/>
      <c r="B553" s="286"/>
      <c r="C553" s="529"/>
      <c r="D553" s="306"/>
      <c r="E553" s="599"/>
      <c r="F553" s="306"/>
      <c r="G553" s="306"/>
      <c r="H553" s="598"/>
      <c r="I553" s="286"/>
      <c r="J553" s="286"/>
      <c r="K553" s="529"/>
      <c r="L553" s="286"/>
      <c r="M553" s="529"/>
      <c r="N553" s="286"/>
      <c r="O553" s="286"/>
      <c r="P553" s="286"/>
      <c r="Q553" s="286"/>
      <c r="R553" s="578"/>
      <c r="S553" s="578"/>
      <c r="T553" s="578"/>
      <c r="U553" s="578"/>
    </row>
    <row r="554">
      <c r="A554" s="286"/>
      <c r="B554" s="286"/>
      <c r="C554" s="529"/>
      <c r="D554" s="306"/>
      <c r="E554" s="599"/>
      <c r="F554" s="306"/>
      <c r="G554" s="306"/>
      <c r="H554" s="598"/>
      <c r="I554" s="286"/>
      <c r="J554" s="286"/>
      <c r="K554" s="529"/>
      <c r="L554" s="286"/>
      <c r="M554" s="529"/>
      <c r="N554" s="286"/>
      <c r="O554" s="286"/>
      <c r="P554" s="286"/>
      <c r="Q554" s="286"/>
      <c r="R554" s="578"/>
      <c r="S554" s="578"/>
      <c r="T554" s="578"/>
      <c r="U554" s="578"/>
    </row>
    <row r="555">
      <c r="A555" s="286"/>
      <c r="B555" s="286"/>
      <c r="C555" s="529"/>
      <c r="D555" s="306"/>
      <c r="E555" s="599"/>
      <c r="F555" s="306"/>
      <c r="G555" s="306"/>
      <c r="H555" s="598"/>
      <c r="I555" s="286"/>
      <c r="J555" s="286"/>
      <c r="K555" s="529"/>
      <c r="L555" s="286"/>
      <c r="M555" s="529"/>
      <c r="N555" s="286"/>
      <c r="O555" s="286"/>
      <c r="P555" s="286"/>
      <c r="Q555" s="286"/>
      <c r="R555" s="578"/>
      <c r="S555" s="578"/>
      <c r="T555" s="578"/>
      <c r="U555" s="578"/>
    </row>
    <row r="556">
      <c r="A556" s="286"/>
      <c r="B556" s="286"/>
      <c r="C556" s="529"/>
      <c r="D556" s="306"/>
      <c r="E556" s="599"/>
      <c r="F556" s="306"/>
      <c r="G556" s="306"/>
      <c r="H556" s="598"/>
      <c r="I556" s="286"/>
      <c r="J556" s="286"/>
      <c r="K556" s="529"/>
      <c r="L556" s="286"/>
      <c r="M556" s="529"/>
      <c r="N556" s="286"/>
      <c r="O556" s="286"/>
      <c r="P556" s="286"/>
      <c r="Q556" s="286"/>
      <c r="R556" s="578"/>
      <c r="S556" s="578"/>
      <c r="T556" s="578"/>
      <c r="U556" s="578"/>
    </row>
    <row r="557">
      <c r="A557" s="286"/>
      <c r="B557" s="286"/>
      <c r="C557" s="529"/>
      <c r="D557" s="306"/>
      <c r="E557" s="599"/>
      <c r="F557" s="306"/>
      <c r="G557" s="306"/>
      <c r="H557" s="598"/>
      <c r="I557" s="286"/>
      <c r="J557" s="286"/>
      <c r="K557" s="529"/>
      <c r="L557" s="286"/>
      <c r="M557" s="529"/>
      <c r="N557" s="286"/>
      <c r="O557" s="286"/>
      <c r="P557" s="286"/>
      <c r="Q557" s="286"/>
      <c r="R557" s="578"/>
      <c r="S557" s="578"/>
      <c r="T557" s="578"/>
      <c r="U557" s="578"/>
    </row>
    <row r="558">
      <c r="A558" s="286"/>
      <c r="B558" s="286"/>
      <c r="C558" s="529"/>
      <c r="D558" s="306"/>
      <c r="E558" s="599"/>
      <c r="F558" s="306"/>
      <c r="G558" s="306"/>
      <c r="H558" s="598"/>
      <c r="I558" s="286"/>
      <c r="J558" s="286"/>
      <c r="K558" s="529"/>
      <c r="L558" s="286"/>
      <c r="M558" s="529"/>
      <c r="N558" s="286"/>
      <c r="O558" s="286"/>
      <c r="P558" s="286"/>
      <c r="Q558" s="286"/>
      <c r="R558" s="578"/>
      <c r="S558" s="578"/>
      <c r="T558" s="578"/>
      <c r="U558" s="578"/>
    </row>
    <row r="559">
      <c r="A559" s="286"/>
      <c r="B559" s="286"/>
      <c r="C559" s="529"/>
      <c r="D559" s="306"/>
      <c r="E559" s="599"/>
      <c r="F559" s="306"/>
      <c r="G559" s="306"/>
      <c r="H559" s="598"/>
      <c r="I559" s="286"/>
      <c r="J559" s="286"/>
      <c r="K559" s="529"/>
      <c r="L559" s="286"/>
      <c r="M559" s="529"/>
      <c r="N559" s="286"/>
      <c r="O559" s="286"/>
      <c r="P559" s="286"/>
      <c r="Q559" s="286"/>
      <c r="R559" s="578"/>
      <c r="S559" s="578"/>
      <c r="T559" s="578"/>
      <c r="U559" s="578"/>
    </row>
    <row r="560">
      <c r="A560" s="286"/>
      <c r="B560" s="286"/>
      <c r="C560" s="529"/>
      <c r="D560" s="306"/>
      <c r="E560" s="599"/>
      <c r="F560" s="306"/>
      <c r="G560" s="306"/>
      <c r="H560" s="598"/>
      <c r="I560" s="286"/>
      <c r="J560" s="286"/>
      <c r="K560" s="529"/>
      <c r="L560" s="286"/>
      <c r="M560" s="529"/>
      <c r="N560" s="286"/>
      <c r="O560" s="286"/>
      <c r="P560" s="286"/>
      <c r="Q560" s="286"/>
      <c r="R560" s="578"/>
      <c r="S560" s="578"/>
      <c r="T560" s="578"/>
      <c r="U560" s="578"/>
    </row>
    <row r="561">
      <c r="A561" s="286"/>
      <c r="B561" s="286"/>
      <c r="C561" s="529"/>
      <c r="D561" s="306"/>
      <c r="E561" s="599"/>
      <c r="F561" s="306"/>
      <c r="G561" s="306"/>
      <c r="H561" s="598"/>
      <c r="I561" s="286"/>
      <c r="J561" s="286"/>
      <c r="K561" s="529"/>
      <c r="L561" s="286"/>
      <c r="M561" s="529"/>
      <c r="N561" s="286"/>
      <c r="O561" s="286"/>
      <c r="P561" s="286"/>
      <c r="Q561" s="286"/>
      <c r="R561" s="578"/>
      <c r="S561" s="578"/>
      <c r="T561" s="578"/>
      <c r="U561" s="578"/>
    </row>
    <row r="562">
      <c r="A562" s="286"/>
      <c r="B562" s="286"/>
      <c r="C562" s="529"/>
      <c r="D562" s="306"/>
      <c r="E562" s="599"/>
      <c r="F562" s="306"/>
      <c r="G562" s="306"/>
      <c r="H562" s="598"/>
      <c r="I562" s="286"/>
      <c r="J562" s="286"/>
      <c r="K562" s="529"/>
      <c r="L562" s="286"/>
      <c r="M562" s="529"/>
      <c r="N562" s="286"/>
      <c r="O562" s="286"/>
      <c r="P562" s="286"/>
      <c r="Q562" s="286"/>
      <c r="R562" s="578"/>
      <c r="S562" s="578"/>
      <c r="T562" s="578"/>
      <c r="U562" s="578"/>
    </row>
    <row r="563">
      <c r="A563" s="286"/>
      <c r="B563" s="286"/>
      <c r="C563" s="529"/>
      <c r="D563" s="306"/>
      <c r="E563" s="599"/>
      <c r="F563" s="306"/>
      <c r="G563" s="306"/>
      <c r="H563" s="598"/>
      <c r="I563" s="286"/>
      <c r="J563" s="286"/>
      <c r="K563" s="529"/>
      <c r="L563" s="286"/>
      <c r="M563" s="529"/>
      <c r="N563" s="286"/>
      <c r="O563" s="286"/>
      <c r="P563" s="286"/>
      <c r="Q563" s="286"/>
      <c r="R563" s="578"/>
      <c r="S563" s="578"/>
      <c r="T563" s="578"/>
      <c r="U563" s="578"/>
    </row>
    <row r="564">
      <c r="A564" s="286"/>
      <c r="B564" s="286"/>
      <c r="C564" s="529"/>
      <c r="D564" s="306"/>
      <c r="E564" s="599"/>
      <c r="F564" s="306"/>
      <c r="G564" s="306"/>
      <c r="H564" s="598"/>
      <c r="I564" s="286"/>
      <c r="J564" s="286"/>
      <c r="K564" s="529"/>
      <c r="L564" s="286"/>
      <c r="M564" s="529"/>
      <c r="N564" s="286"/>
      <c r="O564" s="286"/>
      <c r="P564" s="286"/>
      <c r="Q564" s="286"/>
      <c r="R564" s="578"/>
      <c r="S564" s="578"/>
      <c r="T564" s="578"/>
      <c r="U564" s="578"/>
    </row>
    <row r="565">
      <c r="A565" s="286"/>
      <c r="B565" s="286"/>
      <c r="C565" s="529"/>
      <c r="D565" s="306"/>
      <c r="E565" s="599"/>
      <c r="F565" s="306"/>
      <c r="G565" s="306"/>
      <c r="H565" s="598"/>
      <c r="I565" s="286"/>
      <c r="J565" s="286"/>
      <c r="K565" s="529"/>
      <c r="L565" s="286"/>
      <c r="M565" s="529"/>
      <c r="N565" s="286"/>
      <c r="O565" s="286"/>
      <c r="P565" s="286"/>
      <c r="Q565" s="286"/>
      <c r="R565" s="578"/>
      <c r="S565" s="578"/>
      <c r="T565" s="578"/>
      <c r="U565" s="578"/>
    </row>
    <row r="566">
      <c r="A566" s="286"/>
      <c r="B566" s="286"/>
      <c r="C566" s="529"/>
      <c r="D566" s="306"/>
      <c r="E566" s="599"/>
      <c r="F566" s="306"/>
      <c r="G566" s="306"/>
      <c r="H566" s="598"/>
      <c r="I566" s="286"/>
      <c r="J566" s="286"/>
      <c r="K566" s="529"/>
      <c r="L566" s="286"/>
      <c r="M566" s="529"/>
      <c r="N566" s="286"/>
      <c r="O566" s="286"/>
      <c r="P566" s="286"/>
      <c r="Q566" s="286"/>
      <c r="R566" s="578"/>
      <c r="S566" s="578"/>
      <c r="T566" s="578"/>
      <c r="U566" s="578"/>
    </row>
    <row r="567">
      <c r="A567" s="286"/>
      <c r="B567" s="286"/>
      <c r="C567" s="529"/>
      <c r="D567" s="306"/>
      <c r="E567" s="599"/>
      <c r="F567" s="306"/>
      <c r="G567" s="306"/>
      <c r="H567" s="598"/>
      <c r="I567" s="286"/>
      <c r="J567" s="286"/>
      <c r="K567" s="529"/>
      <c r="L567" s="286"/>
      <c r="M567" s="529"/>
      <c r="N567" s="286"/>
      <c r="O567" s="286"/>
      <c r="P567" s="286"/>
      <c r="Q567" s="286"/>
      <c r="R567" s="578"/>
      <c r="S567" s="578"/>
      <c r="T567" s="578"/>
      <c r="U567" s="578"/>
    </row>
    <row r="568">
      <c r="A568" s="286"/>
      <c r="B568" s="286"/>
      <c r="C568" s="529"/>
      <c r="D568" s="306"/>
      <c r="E568" s="599"/>
      <c r="F568" s="306"/>
      <c r="G568" s="306"/>
      <c r="H568" s="598"/>
      <c r="I568" s="286"/>
      <c r="J568" s="286"/>
      <c r="K568" s="529"/>
      <c r="L568" s="286"/>
      <c r="M568" s="529"/>
      <c r="N568" s="286"/>
      <c r="O568" s="286"/>
      <c r="P568" s="286"/>
      <c r="Q568" s="286"/>
      <c r="R568" s="578"/>
      <c r="S568" s="578"/>
      <c r="T568" s="578"/>
      <c r="U568" s="578"/>
    </row>
    <row r="569">
      <c r="A569" s="286"/>
      <c r="B569" s="286"/>
      <c r="C569" s="529"/>
      <c r="D569" s="306"/>
      <c r="E569" s="599"/>
      <c r="F569" s="306"/>
      <c r="G569" s="306"/>
      <c r="H569" s="598"/>
      <c r="I569" s="286"/>
      <c r="J569" s="286"/>
      <c r="K569" s="529"/>
      <c r="L569" s="286"/>
      <c r="M569" s="529"/>
      <c r="N569" s="286"/>
      <c r="O569" s="286"/>
      <c r="P569" s="286"/>
      <c r="Q569" s="286"/>
      <c r="R569" s="578"/>
      <c r="S569" s="578"/>
      <c r="T569" s="578"/>
      <c r="U569" s="578"/>
    </row>
    <row r="570">
      <c r="A570" s="286"/>
      <c r="B570" s="286"/>
      <c r="C570" s="529"/>
      <c r="D570" s="306"/>
      <c r="E570" s="599"/>
      <c r="F570" s="306"/>
      <c r="G570" s="306"/>
      <c r="H570" s="598"/>
      <c r="I570" s="286"/>
      <c r="J570" s="286"/>
      <c r="K570" s="529"/>
      <c r="L570" s="286"/>
      <c r="M570" s="529"/>
      <c r="N570" s="286"/>
      <c r="O570" s="286"/>
      <c r="P570" s="286"/>
      <c r="Q570" s="286"/>
      <c r="R570" s="578"/>
      <c r="S570" s="578"/>
      <c r="T570" s="578"/>
      <c r="U570" s="578"/>
    </row>
    <row r="571">
      <c r="A571" s="286"/>
      <c r="B571" s="286"/>
      <c r="C571" s="529"/>
      <c r="D571" s="306"/>
      <c r="E571" s="599"/>
      <c r="F571" s="306"/>
      <c r="G571" s="306"/>
      <c r="H571" s="598"/>
      <c r="I571" s="286"/>
      <c r="J571" s="286"/>
      <c r="K571" s="529"/>
      <c r="L571" s="286"/>
      <c r="M571" s="529"/>
      <c r="N571" s="286"/>
      <c r="O571" s="286"/>
      <c r="P571" s="286"/>
      <c r="Q571" s="286"/>
      <c r="R571" s="578"/>
      <c r="S571" s="578"/>
      <c r="T571" s="578"/>
      <c r="U571" s="578"/>
    </row>
    <row r="572">
      <c r="A572" s="286"/>
      <c r="B572" s="286"/>
      <c r="C572" s="529"/>
      <c r="D572" s="306"/>
      <c r="E572" s="599"/>
      <c r="F572" s="306"/>
      <c r="G572" s="306"/>
      <c r="H572" s="598"/>
      <c r="I572" s="286"/>
      <c r="J572" s="286"/>
      <c r="K572" s="529"/>
      <c r="L572" s="286"/>
      <c r="M572" s="529"/>
      <c r="N572" s="286"/>
      <c r="O572" s="286"/>
      <c r="P572" s="286"/>
      <c r="Q572" s="286"/>
      <c r="R572" s="578"/>
      <c r="S572" s="578"/>
      <c r="T572" s="578"/>
      <c r="U572" s="578"/>
    </row>
    <row r="573">
      <c r="A573" s="286"/>
      <c r="B573" s="286"/>
      <c r="C573" s="529"/>
      <c r="D573" s="306"/>
      <c r="E573" s="599"/>
      <c r="F573" s="306"/>
      <c r="G573" s="306"/>
      <c r="H573" s="598"/>
      <c r="I573" s="286"/>
      <c r="J573" s="286"/>
      <c r="K573" s="529"/>
      <c r="L573" s="286"/>
      <c r="M573" s="529"/>
      <c r="N573" s="286"/>
      <c r="O573" s="286"/>
      <c r="P573" s="286"/>
      <c r="Q573" s="286"/>
      <c r="R573" s="578"/>
      <c r="S573" s="578"/>
      <c r="T573" s="578"/>
      <c r="U573" s="578"/>
    </row>
    <row r="574">
      <c r="A574" s="286"/>
      <c r="B574" s="286"/>
      <c r="C574" s="529"/>
      <c r="D574" s="306"/>
      <c r="E574" s="599"/>
      <c r="F574" s="306"/>
      <c r="G574" s="306"/>
      <c r="H574" s="598"/>
      <c r="I574" s="286"/>
      <c r="J574" s="286"/>
      <c r="K574" s="529"/>
      <c r="L574" s="286"/>
      <c r="M574" s="529"/>
      <c r="N574" s="286"/>
      <c r="O574" s="286"/>
      <c r="P574" s="286"/>
      <c r="Q574" s="286"/>
      <c r="R574" s="578"/>
      <c r="S574" s="578"/>
      <c r="T574" s="578"/>
      <c r="U574" s="578"/>
    </row>
    <row r="575">
      <c r="A575" s="286"/>
      <c r="B575" s="286"/>
      <c r="C575" s="529"/>
      <c r="D575" s="306"/>
      <c r="E575" s="599"/>
      <c r="F575" s="306"/>
      <c r="G575" s="306"/>
      <c r="H575" s="598"/>
      <c r="I575" s="286"/>
      <c r="J575" s="286"/>
      <c r="K575" s="529"/>
      <c r="L575" s="286"/>
      <c r="M575" s="529"/>
      <c r="N575" s="286"/>
      <c r="O575" s="286"/>
      <c r="P575" s="286"/>
      <c r="Q575" s="286"/>
      <c r="R575" s="578"/>
      <c r="S575" s="578"/>
      <c r="T575" s="578"/>
      <c r="U575" s="578"/>
    </row>
    <row r="576">
      <c r="A576" s="286"/>
      <c r="B576" s="286"/>
      <c r="C576" s="529"/>
      <c r="D576" s="306"/>
      <c r="E576" s="599"/>
      <c r="F576" s="306"/>
      <c r="G576" s="306"/>
      <c r="H576" s="598"/>
      <c r="I576" s="286"/>
      <c r="J576" s="286"/>
      <c r="K576" s="529"/>
      <c r="L576" s="286"/>
      <c r="M576" s="529"/>
      <c r="N576" s="286"/>
      <c r="O576" s="286"/>
      <c r="P576" s="286"/>
      <c r="Q576" s="286"/>
      <c r="R576" s="578"/>
      <c r="S576" s="578"/>
      <c r="T576" s="578"/>
      <c r="U576" s="578"/>
    </row>
    <row r="577">
      <c r="A577" s="286"/>
      <c r="B577" s="286"/>
      <c r="C577" s="529"/>
      <c r="D577" s="306"/>
      <c r="E577" s="599"/>
      <c r="F577" s="306"/>
      <c r="G577" s="306"/>
      <c r="H577" s="598"/>
      <c r="I577" s="286"/>
      <c r="J577" s="286"/>
      <c r="K577" s="529"/>
      <c r="L577" s="286"/>
      <c r="M577" s="529"/>
      <c r="N577" s="286"/>
      <c r="O577" s="286"/>
      <c r="P577" s="286"/>
      <c r="Q577" s="286"/>
      <c r="R577" s="578"/>
      <c r="S577" s="578"/>
      <c r="T577" s="578"/>
      <c r="U577" s="578"/>
    </row>
    <row r="578">
      <c r="A578" s="286"/>
      <c r="B578" s="286"/>
      <c r="C578" s="529"/>
      <c r="D578" s="306"/>
      <c r="E578" s="599"/>
      <c r="F578" s="306"/>
      <c r="G578" s="306"/>
      <c r="H578" s="598"/>
      <c r="I578" s="286"/>
      <c r="J578" s="286"/>
      <c r="K578" s="529"/>
      <c r="L578" s="286"/>
      <c r="M578" s="529"/>
      <c r="N578" s="286"/>
      <c r="O578" s="286"/>
      <c r="P578" s="286"/>
      <c r="Q578" s="286"/>
      <c r="R578" s="578"/>
      <c r="S578" s="578"/>
      <c r="T578" s="578"/>
      <c r="U578" s="578"/>
    </row>
    <row r="579">
      <c r="A579" s="286"/>
      <c r="B579" s="286"/>
      <c r="C579" s="529"/>
      <c r="D579" s="306"/>
      <c r="E579" s="599"/>
      <c r="F579" s="306"/>
      <c r="G579" s="306"/>
      <c r="H579" s="598"/>
      <c r="I579" s="286"/>
      <c r="J579" s="286"/>
      <c r="K579" s="529"/>
      <c r="L579" s="286"/>
      <c r="M579" s="529"/>
      <c r="N579" s="286"/>
      <c r="O579" s="286"/>
      <c r="P579" s="286"/>
      <c r="Q579" s="286"/>
      <c r="R579" s="578"/>
      <c r="S579" s="578"/>
      <c r="T579" s="578"/>
      <c r="U579" s="578"/>
    </row>
    <row r="580">
      <c r="A580" s="286"/>
      <c r="B580" s="286"/>
      <c r="C580" s="529"/>
      <c r="D580" s="306"/>
      <c r="E580" s="599"/>
      <c r="F580" s="306"/>
      <c r="G580" s="306"/>
      <c r="H580" s="598"/>
      <c r="I580" s="286"/>
      <c r="J580" s="286"/>
      <c r="K580" s="529"/>
      <c r="L580" s="286"/>
      <c r="M580" s="529"/>
      <c r="N580" s="286"/>
      <c r="O580" s="286"/>
      <c r="P580" s="286"/>
      <c r="Q580" s="286"/>
      <c r="R580" s="578"/>
      <c r="S580" s="578"/>
      <c r="T580" s="578"/>
      <c r="U580" s="578"/>
    </row>
    <row r="581">
      <c r="A581" s="286"/>
      <c r="B581" s="286"/>
      <c r="C581" s="529"/>
      <c r="D581" s="306"/>
      <c r="E581" s="599"/>
      <c r="F581" s="306"/>
      <c r="G581" s="306"/>
      <c r="H581" s="598"/>
      <c r="I581" s="286"/>
      <c r="J581" s="286"/>
      <c r="K581" s="529"/>
      <c r="L581" s="286"/>
      <c r="M581" s="529"/>
      <c r="N581" s="286"/>
      <c r="O581" s="286"/>
      <c r="P581" s="286"/>
      <c r="Q581" s="286"/>
      <c r="R581" s="578"/>
      <c r="S581" s="578"/>
      <c r="T581" s="578"/>
      <c r="U581" s="578"/>
    </row>
    <row r="582">
      <c r="A582" s="286"/>
      <c r="B582" s="286"/>
      <c r="C582" s="529"/>
      <c r="D582" s="306"/>
      <c r="E582" s="599"/>
      <c r="F582" s="306"/>
      <c r="G582" s="306"/>
      <c r="H582" s="598"/>
      <c r="I582" s="286"/>
      <c r="J582" s="286"/>
      <c r="K582" s="529"/>
      <c r="L582" s="286"/>
      <c r="M582" s="529"/>
      <c r="N582" s="286"/>
      <c r="O582" s="286"/>
      <c r="P582" s="286"/>
      <c r="Q582" s="286"/>
      <c r="R582" s="578"/>
      <c r="S582" s="578"/>
      <c r="T582" s="578"/>
      <c r="U582" s="578"/>
    </row>
    <row r="583">
      <c r="A583" s="286"/>
      <c r="B583" s="286"/>
      <c r="C583" s="529"/>
      <c r="D583" s="306"/>
      <c r="E583" s="599"/>
      <c r="F583" s="306"/>
      <c r="G583" s="306"/>
      <c r="H583" s="598"/>
      <c r="I583" s="286"/>
      <c r="J583" s="286"/>
      <c r="K583" s="529"/>
      <c r="L583" s="286"/>
      <c r="M583" s="529"/>
      <c r="N583" s="286"/>
      <c r="O583" s="286"/>
      <c r="P583" s="286"/>
      <c r="Q583" s="286"/>
      <c r="R583" s="578"/>
      <c r="S583" s="578"/>
      <c r="T583" s="578"/>
      <c r="U583" s="578"/>
    </row>
    <row r="584">
      <c r="A584" s="286"/>
      <c r="B584" s="286"/>
      <c r="C584" s="529"/>
      <c r="D584" s="306"/>
      <c r="E584" s="599"/>
      <c r="F584" s="306"/>
      <c r="G584" s="306"/>
      <c r="H584" s="598"/>
      <c r="I584" s="286"/>
      <c r="J584" s="286"/>
      <c r="K584" s="529"/>
      <c r="L584" s="286"/>
      <c r="M584" s="529"/>
      <c r="N584" s="286"/>
      <c r="O584" s="286"/>
      <c r="P584" s="286"/>
      <c r="Q584" s="286"/>
      <c r="R584" s="578"/>
      <c r="S584" s="578"/>
      <c r="T584" s="578"/>
      <c r="U584" s="578"/>
    </row>
    <row r="585">
      <c r="A585" s="286"/>
      <c r="B585" s="286"/>
      <c r="C585" s="529"/>
      <c r="D585" s="306"/>
      <c r="E585" s="599"/>
      <c r="F585" s="306"/>
      <c r="G585" s="306"/>
      <c r="H585" s="598"/>
      <c r="I585" s="286"/>
      <c r="J585" s="286"/>
      <c r="K585" s="529"/>
      <c r="L585" s="286"/>
      <c r="M585" s="529"/>
      <c r="N585" s="286"/>
      <c r="O585" s="286"/>
      <c r="P585" s="286"/>
      <c r="Q585" s="286"/>
      <c r="R585" s="578"/>
      <c r="S585" s="578"/>
      <c r="T585" s="578"/>
      <c r="U585" s="578"/>
    </row>
    <row r="586">
      <c r="A586" s="286"/>
      <c r="B586" s="286"/>
      <c r="C586" s="529"/>
      <c r="D586" s="306"/>
      <c r="E586" s="599"/>
      <c r="F586" s="306"/>
      <c r="G586" s="306"/>
      <c r="H586" s="598"/>
      <c r="I586" s="286"/>
      <c r="J586" s="286"/>
      <c r="K586" s="529"/>
      <c r="L586" s="286"/>
      <c r="M586" s="529"/>
      <c r="N586" s="286"/>
      <c r="O586" s="286"/>
      <c r="P586" s="286"/>
      <c r="Q586" s="286"/>
      <c r="R586" s="578"/>
      <c r="S586" s="578"/>
      <c r="T586" s="578"/>
      <c r="U586" s="578"/>
    </row>
    <row r="587">
      <c r="A587" s="286"/>
      <c r="B587" s="286"/>
      <c r="C587" s="529"/>
      <c r="D587" s="306"/>
      <c r="E587" s="599"/>
      <c r="F587" s="306"/>
      <c r="G587" s="306"/>
      <c r="H587" s="598"/>
      <c r="I587" s="286"/>
      <c r="J587" s="286"/>
      <c r="K587" s="529"/>
      <c r="L587" s="286"/>
      <c r="M587" s="529"/>
      <c r="N587" s="286"/>
      <c r="O587" s="286"/>
      <c r="P587" s="286"/>
      <c r="Q587" s="286"/>
      <c r="R587" s="578"/>
      <c r="S587" s="578"/>
      <c r="T587" s="578"/>
      <c r="U587" s="578"/>
    </row>
    <row r="588">
      <c r="A588" s="286"/>
      <c r="B588" s="286"/>
      <c r="C588" s="529"/>
      <c r="D588" s="306"/>
      <c r="E588" s="599"/>
      <c r="F588" s="306"/>
      <c r="G588" s="306"/>
      <c r="H588" s="598"/>
      <c r="I588" s="286"/>
      <c r="J588" s="286"/>
      <c r="K588" s="529"/>
      <c r="L588" s="286"/>
      <c r="M588" s="529"/>
      <c r="N588" s="286"/>
      <c r="O588" s="286"/>
      <c r="P588" s="286"/>
      <c r="Q588" s="286"/>
      <c r="R588" s="578"/>
      <c r="S588" s="578"/>
      <c r="T588" s="578"/>
      <c r="U588" s="578"/>
    </row>
    <row r="589">
      <c r="A589" s="286"/>
      <c r="B589" s="286"/>
      <c r="C589" s="529"/>
      <c r="D589" s="306"/>
      <c r="E589" s="599"/>
      <c r="F589" s="306"/>
      <c r="G589" s="306"/>
      <c r="H589" s="598"/>
      <c r="I589" s="286"/>
      <c r="J589" s="286"/>
      <c r="K589" s="529"/>
      <c r="L589" s="286"/>
      <c r="M589" s="529"/>
      <c r="N589" s="286"/>
      <c r="O589" s="286"/>
      <c r="P589" s="286"/>
      <c r="Q589" s="286"/>
      <c r="R589" s="578"/>
      <c r="S589" s="578"/>
      <c r="T589" s="578"/>
      <c r="U589" s="578"/>
    </row>
    <row r="590">
      <c r="A590" s="286"/>
      <c r="B590" s="286"/>
      <c r="C590" s="529"/>
      <c r="D590" s="306"/>
      <c r="E590" s="599"/>
      <c r="F590" s="306"/>
      <c r="G590" s="306"/>
      <c r="H590" s="598"/>
      <c r="I590" s="286"/>
      <c r="J590" s="286"/>
      <c r="K590" s="529"/>
      <c r="L590" s="286"/>
      <c r="M590" s="529"/>
      <c r="N590" s="286"/>
      <c r="O590" s="286"/>
      <c r="P590" s="286"/>
      <c r="Q590" s="286"/>
      <c r="R590" s="578"/>
      <c r="S590" s="578"/>
      <c r="T590" s="578"/>
      <c r="U590" s="578"/>
    </row>
    <row r="591">
      <c r="A591" s="286"/>
      <c r="B591" s="286"/>
      <c r="C591" s="529"/>
      <c r="D591" s="306"/>
      <c r="E591" s="599"/>
      <c r="F591" s="306"/>
      <c r="G591" s="306"/>
      <c r="H591" s="598"/>
      <c r="I591" s="286"/>
      <c r="J591" s="286"/>
      <c r="K591" s="529"/>
      <c r="L591" s="286"/>
      <c r="M591" s="529"/>
      <c r="N591" s="286"/>
      <c r="O591" s="286"/>
      <c r="P591" s="286"/>
      <c r="Q591" s="286"/>
      <c r="R591" s="578"/>
      <c r="S591" s="578"/>
      <c r="T591" s="578"/>
      <c r="U591" s="578"/>
    </row>
    <row r="592">
      <c r="A592" s="286"/>
      <c r="B592" s="286"/>
      <c r="C592" s="529"/>
      <c r="D592" s="306"/>
      <c r="E592" s="599"/>
      <c r="F592" s="306"/>
      <c r="G592" s="306"/>
      <c r="H592" s="598"/>
      <c r="I592" s="286"/>
      <c r="J592" s="286"/>
      <c r="K592" s="529"/>
      <c r="L592" s="286"/>
      <c r="M592" s="529"/>
      <c r="N592" s="286"/>
      <c r="O592" s="286"/>
      <c r="P592" s="286"/>
      <c r="Q592" s="286"/>
      <c r="R592" s="578"/>
      <c r="S592" s="578"/>
      <c r="T592" s="578"/>
      <c r="U592" s="578"/>
    </row>
    <row r="593">
      <c r="A593" s="286"/>
      <c r="B593" s="286"/>
      <c r="C593" s="529"/>
      <c r="D593" s="306"/>
      <c r="E593" s="599"/>
      <c r="F593" s="306"/>
      <c r="G593" s="306"/>
      <c r="H593" s="598"/>
      <c r="I593" s="286"/>
      <c r="J593" s="286"/>
      <c r="K593" s="529"/>
      <c r="L593" s="286"/>
      <c r="M593" s="529"/>
      <c r="N593" s="286"/>
      <c r="O593" s="286"/>
      <c r="P593" s="286"/>
      <c r="Q593" s="286"/>
      <c r="R593" s="578"/>
      <c r="S593" s="578"/>
      <c r="T593" s="578"/>
      <c r="U593" s="578"/>
    </row>
    <row r="594">
      <c r="A594" s="286"/>
      <c r="B594" s="286"/>
      <c r="C594" s="529"/>
      <c r="D594" s="306"/>
      <c r="E594" s="599"/>
      <c r="F594" s="306"/>
      <c r="G594" s="306"/>
      <c r="H594" s="598"/>
      <c r="I594" s="286"/>
      <c r="J594" s="286"/>
      <c r="K594" s="529"/>
      <c r="L594" s="286"/>
      <c r="M594" s="529"/>
      <c r="N594" s="286"/>
      <c r="O594" s="286"/>
      <c r="P594" s="286"/>
      <c r="Q594" s="286"/>
      <c r="R594" s="578"/>
      <c r="S594" s="578"/>
      <c r="T594" s="578"/>
      <c r="U594" s="578"/>
    </row>
    <row r="595">
      <c r="A595" s="286"/>
      <c r="B595" s="286"/>
      <c r="C595" s="529"/>
      <c r="D595" s="306"/>
      <c r="E595" s="599"/>
      <c r="F595" s="306"/>
      <c r="G595" s="306"/>
      <c r="H595" s="598"/>
      <c r="I595" s="286"/>
      <c r="J595" s="286"/>
      <c r="K595" s="529"/>
      <c r="L595" s="286"/>
      <c r="M595" s="529"/>
      <c r="N595" s="286"/>
      <c r="O595" s="286"/>
      <c r="P595" s="286"/>
      <c r="Q595" s="286"/>
      <c r="R595" s="578"/>
      <c r="S595" s="578"/>
      <c r="T595" s="578"/>
      <c r="U595" s="578"/>
    </row>
    <row r="596">
      <c r="A596" s="286"/>
      <c r="B596" s="286"/>
      <c r="C596" s="529"/>
      <c r="D596" s="306"/>
      <c r="E596" s="599"/>
      <c r="F596" s="306"/>
      <c r="G596" s="306"/>
      <c r="H596" s="598"/>
      <c r="I596" s="286"/>
      <c r="J596" s="286"/>
      <c r="K596" s="529"/>
      <c r="L596" s="286"/>
      <c r="M596" s="529"/>
      <c r="N596" s="286"/>
      <c r="O596" s="286"/>
      <c r="P596" s="286"/>
      <c r="Q596" s="286"/>
      <c r="R596" s="578"/>
      <c r="S596" s="578"/>
      <c r="T596" s="578"/>
      <c r="U596" s="578"/>
    </row>
    <row r="597">
      <c r="A597" s="286"/>
      <c r="B597" s="286"/>
      <c r="C597" s="529"/>
      <c r="D597" s="306"/>
      <c r="E597" s="599"/>
      <c r="F597" s="306"/>
      <c r="G597" s="306"/>
      <c r="H597" s="598"/>
      <c r="I597" s="286"/>
      <c r="J597" s="286"/>
      <c r="K597" s="529"/>
      <c r="L597" s="286"/>
      <c r="M597" s="529"/>
      <c r="N597" s="286"/>
      <c r="O597" s="286"/>
      <c r="P597" s="286"/>
      <c r="Q597" s="286"/>
      <c r="R597" s="578"/>
      <c r="S597" s="578"/>
      <c r="T597" s="578"/>
      <c r="U597" s="578"/>
    </row>
    <row r="598">
      <c r="A598" s="286"/>
      <c r="B598" s="286"/>
      <c r="C598" s="529"/>
      <c r="D598" s="306"/>
      <c r="E598" s="599"/>
      <c r="F598" s="306"/>
      <c r="G598" s="306"/>
      <c r="H598" s="598"/>
      <c r="I598" s="286"/>
      <c r="J598" s="286"/>
      <c r="K598" s="529"/>
      <c r="L598" s="286"/>
      <c r="M598" s="529"/>
      <c r="N598" s="286"/>
      <c r="O598" s="286"/>
      <c r="P598" s="286"/>
      <c r="Q598" s="286"/>
      <c r="R598" s="578"/>
      <c r="S598" s="578"/>
      <c r="T598" s="578"/>
      <c r="U598" s="578"/>
    </row>
    <row r="599">
      <c r="A599" s="286"/>
      <c r="B599" s="286"/>
      <c r="C599" s="529"/>
      <c r="D599" s="306"/>
      <c r="E599" s="599"/>
      <c r="F599" s="306"/>
      <c r="G599" s="306"/>
      <c r="H599" s="598"/>
      <c r="I599" s="286"/>
      <c r="J599" s="286"/>
      <c r="K599" s="529"/>
      <c r="L599" s="286"/>
      <c r="M599" s="529"/>
      <c r="N599" s="286"/>
      <c r="O599" s="286"/>
      <c r="P599" s="286"/>
      <c r="Q599" s="286"/>
      <c r="R599" s="578"/>
      <c r="S599" s="578"/>
      <c r="T599" s="578"/>
      <c r="U599" s="578"/>
    </row>
    <row r="600">
      <c r="A600" s="286"/>
      <c r="B600" s="286"/>
      <c r="C600" s="529"/>
      <c r="D600" s="306"/>
      <c r="E600" s="599"/>
      <c r="F600" s="306"/>
      <c r="G600" s="306"/>
      <c r="H600" s="598"/>
      <c r="I600" s="286"/>
      <c r="J600" s="286"/>
      <c r="K600" s="529"/>
      <c r="L600" s="286"/>
      <c r="M600" s="529"/>
      <c r="N600" s="286"/>
      <c r="O600" s="286"/>
      <c r="P600" s="286"/>
      <c r="Q600" s="286"/>
      <c r="R600" s="578"/>
      <c r="S600" s="578"/>
      <c r="T600" s="578"/>
      <c r="U600" s="578"/>
    </row>
    <row r="601">
      <c r="A601" s="286"/>
      <c r="B601" s="286"/>
      <c r="C601" s="529"/>
      <c r="D601" s="306"/>
      <c r="E601" s="599"/>
      <c r="F601" s="306"/>
      <c r="G601" s="306"/>
      <c r="H601" s="598"/>
      <c r="I601" s="286"/>
      <c r="J601" s="286"/>
      <c r="K601" s="529"/>
      <c r="L601" s="286"/>
      <c r="M601" s="529"/>
      <c r="N601" s="286"/>
      <c r="O601" s="286"/>
      <c r="P601" s="286"/>
      <c r="Q601" s="286"/>
      <c r="R601" s="578"/>
      <c r="S601" s="578"/>
      <c r="T601" s="578"/>
      <c r="U601" s="578"/>
    </row>
    <row r="602">
      <c r="A602" s="286"/>
      <c r="B602" s="286"/>
      <c r="C602" s="529"/>
      <c r="D602" s="306"/>
      <c r="E602" s="599"/>
      <c r="F602" s="306"/>
      <c r="G602" s="306"/>
      <c r="H602" s="598"/>
      <c r="I602" s="286"/>
      <c r="J602" s="286"/>
      <c r="K602" s="529"/>
      <c r="L602" s="286"/>
      <c r="M602" s="529"/>
      <c r="N602" s="286"/>
      <c r="O602" s="286"/>
      <c r="P602" s="286"/>
      <c r="Q602" s="286"/>
      <c r="R602" s="578"/>
      <c r="S602" s="578"/>
      <c r="T602" s="578"/>
      <c r="U602" s="578"/>
    </row>
    <row r="603">
      <c r="A603" s="286"/>
      <c r="B603" s="286"/>
      <c r="C603" s="529"/>
      <c r="D603" s="306"/>
      <c r="E603" s="599"/>
      <c r="F603" s="306"/>
      <c r="G603" s="306"/>
      <c r="H603" s="598"/>
      <c r="I603" s="286"/>
      <c r="J603" s="286"/>
      <c r="K603" s="529"/>
      <c r="L603" s="286"/>
      <c r="M603" s="529"/>
      <c r="N603" s="286"/>
      <c r="O603" s="286"/>
      <c r="P603" s="286"/>
      <c r="Q603" s="286"/>
      <c r="R603" s="578"/>
      <c r="S603" s="578"/>
      <c r="T603" s="578"/>
      <c r="U603" s="578"/>
    </row>
    <row r="604">
      <c r="A604" s="286"/>
      <c r="B604" s="286"/>
      <c r="C604" s="529"/>
      <c r="D604" s="306"/>
      <c r="E604" s="599"/>
      <c r="F604" s="306"/>
      <c r="G604" s="306"/>
      <c r="H604" s="598"/>
      <c r="I604" s="286"/>
      <c r="J604" s="286"/>
      <c r="K604" s="529"/>
      <c r="L604" s="286"/>
      <c r="M604" s="529"/>
      <c r="N604" s="286"/>
      <c r="O604" s="286"/>
      <c r="P604" s="286"/>
      <c r="Q604" s="286"/>
      <c r="R604" s="578"/>
      <c r="S604" s="578"/>
      <c r="T604" s="578"/>
      <c r="U604" s="578"/>
    </row>
    <row r="605">
      <c r="A605" s="286"/>
      <c r="B605" s="286"/>
      <c r="C605" s="529"/>
      <c r="D605" s="306"/>
      <c r="E605" s="599"/>
      <c r="F605" s="306"/>
      <c r="G605" s="306"/>
      <c r="H605" s="598"/>
      <c r="I605" s="286"/>
      <c r="J605" s="286"/>
      <c r="K605" s="529"/>
      <c r="L605" s="286"/>
      <c r="M605" s="529"/>
      <c r="N605" s="286"/>
      <c r="O605" s="286"/>
      <c r="P605" s="286"/>
      <c r="Q605" s="286"/>
      <c r="R605" s="578"/>
      <c r="S605" s="578"/>
      <c r="T605" s="578"/>
      <c r="U605" s="578"/>
    </row>
    <row r="606">
      <c r="A606" s="286"/>
      <c r="B606" s="286"/>
      <c r="C606" s="529"/>
      <c r="D606" s="306"/>
      <c r="E606" s="599"/>
      <c r="F606" s="306"/>
      <c r="G606" s="306"/>
      <c r="H606" s="598"/>
      <c r="I606" s="286"/>
      <c r="J606" s="286"/>
      <c r="K606" s="529"/>
      <c r="L606" s="286"/>
      <c r="M606" s="529"/>
      <c r="N606" s="286"/>
      <c r="O606" s="286"/>
      <c r="P606" s="286"/>
      <c r="Q606" s="286"/>
      <c r="R606" s="578"/>
      <c r="S606" s="578"/>
      <c r="T606" s="578"/>
      <c r="U606" s="578"/>
    </row>
    <row r="607">
      <c r="A607" s="286"/>
      <c r="B607" s="286"/>
      <c r="C607" s="529"/>
      <c r="D607" s="306"/>
      <c r="E607" s="599"/>
      <c r="F607" s="306"/>
      <c r="G607" s="306"/>
      <c r="H607" s="598"/>
      <c r="I607" s="286"/>
      <c r="J607" s="286"/>
      <c r="K607" s="529"/>
      <c r="L607" s="286"/>
      <c r="M607" s="529"/>
      <c r="N607" s="286"/>
      <c r="O607" s="286"/>
      <c r="P607" s="286"/>
      <c r="Q607" s="286"/>
      <c r="R607" s="578"/>
      <c r="S607" s="578"/>
      <c r="T607" s="578"/>
      <c r="U607" s="578"/>
    </row>
    <row r="608">
      <c r="A608" s="286"/>
      <c r="B608" s="286"/>
      <c r="C608" s="529"/>
      <c r="D608" s="306"/>
      <c r="E608" s="599"/>
      <c r="F608" s="306"/>
      <c r="G608" s="306"/>
      <c r="H608" s="598"/>
      <c r="I608" s="286"/>
      <c r="J608" s="286"/>
      <c r="K608" s="529"/>
      <c r="L608" s="286"/>
      <c r="M608" s="529"/>
      <c r="N608" s="286"/>
      <c r="O608" s="286"/>
      <c r="P608" s="286"/>
      <c r="Q608" s="286"/>
      <c r="R608" s="578"/>
      <c r="S608" s="578"/>
      <c r="T608" s="578"/>
      <c r="U608" s="578"/>
    </row>
    <row r="609">
      <c r="A609" s="286"/>
      <c r="B609" s="286"/>
      <c r="C609" s="529"/>
      <c r="D609" s="306"/>
      <c r="E609" s="599"/>
      <c r="F609" s="306"/>
      <c r="G609" s="306"/>
      <c r="H609" s="598"/>
      <c r="I609" s="286"/>
      <c r="J609" s="286"/>
      <c r="K609" s="529"/>
      <c r="L609" s="286"/>
      <c r="M609" s="529"/>
      <c r="N609" s="286"/>
      <c r="O609" s="286"/>
      <c r="P609" s="286"/>
      <c r="Q609" s="286"/>
      <c r="R609" s="578"/>
      <c r="S609" s="578"/>
      <c r="T609" s="578"/>
      <c r="U609" s="578"/>
    </row>
    <row r="610">
      <c r="A610" s="286"/>
      <c r="B610" s="286"/>
      <c r="C610" s="529"/>
      <c r="D610" s="306"/>
      <c r="E610" s="599"/>
      <c r="F610" s="306"/>
      <c r="G610" s="306"/>
      <c r="H610" s="598"/>
      <c r="I610" s="286"/>
      <c r="J610" s="286"/>
      <c r="K610" s="529"/>
      <c r="L610" s="286"/>
      <c r="M610" s="529"/>
      <c r="N610" s="286"/>
      <c r="O610" s="286"/>
      <c r="P610" s="286"/>
      <c r="Q610" s="286"/>
      <c r="R610" s="578"/>
      <c r="S610" s="578"/>
      <c r="T610" s="578"/>
      <c r="U610" s="578"/>
    </row>
    <row r="611">
      <c r="A611" s="286"/>
      <c r="B611" s="286"/>
      <c r="C611" s="529"/>
      <c r="D611" s="306"/>
      <c r="E611" s="599"/>
      <c r="F611" s="306"/>
      <c r="G611" s="306"/>
      <c r="H611" s="598"/>
      <c r="I611" s="286"/>
      <c r="J611" s="286"/>
      <c r="K611" s="529"/>
      <c r="L611" s="286"/>
      <c r="M611" s="529"/>
      <c r="N611" s="286"/>
      <c r="O611" s="286"/>
      <c r="P611" s="286"/>
      <c r="Q611" s="286"/>
      <c r="R611" s="578"/>
      <c r="S611" s="578"/>
      <c r="T611" s="578"/>
      <c r="U611" s="578"/>
    </row>
    <row r="612">
      <c r="A612" s="286"/>
      <c r="B612" s="286"/>
      <c r="C612" s="529"/>
      <c r="D612" s="306"/>
      <c r="E612" s="599"/>
      <c r="F612" s="306"/>
      <c r="G612" s="306"/>
      <c r="H612" s="598"/>
      <c r="I612" s="286"/>
      <c r="J612" s="286"/>
      <c r="K612" s="529"/>
      <c r="L612" s="286"/>
      <c r="M612" s="529"/>
      <c r="N612" s="286"/>
      <c r="O612" s="286"/>
      <c r="P612" s="286"/>
      <c r="Q612" s="286"/>
      <c r="R612" s="578"/>
      <c r="S612" s="578"/>
      <c r="T612" s="578"/>
      <c r="U612" s="578"/>
    </row>
    <row r="613">
      <c r="A613" s="286"/>
      <c r="B613" s="286"/>
      <c r="C613" s="529"/>
      <c r="D613" s="306"/>
      <c r="E613" s="599"/>
      <c r="F613" s="306"/>
      <c r="G613" s="306"/>
      <c r="H613" s="598"/>
      <c r="I613" s="286"/>
      <c r="J613" s="286"/>
      <c r="K613" s="529"/>
      <c r="L613" s="286"/>
      <c r="M613" s="529"/>
      <c r="N613" s="286"/>
      <c r="O613" s="286"/>
      <c r="P613" s="286"/>
      <c r="Q613" s="286"/>
      <c r="R613" s="578"/>
      <c r="S613" s="578"/>
      <c r="T613" s="578"/>
      <c r="U613" s="578"/>
    </row>
    <row r="614">
      <c r="A614" s="286"/>
      <c r="B614" s="286"/>
      <c r="C614" s="529"/>
      <c r="D614" s="306"/>
      <c r="E614" s="599"/>
      <c r="F614" s="306"/>
      <c r="G614" s="306"/>
      <c r="H614" s="598"/>
      <c r="I614" s="286"/>
      <c r="J614" s="286"/>
      <c r="K614" s="529"/>
      <c r="L614" s="286"/>
      <c r="M614" s="529"/>
      <c r="N614" s="286"/>
      <c r="O614" s="286"/>
      <c r="P614" s="286"/>
      <c r="Q614" s="286"/>
      <c r="R614" s="578"/>
      <c r="S614" s="578"/>
      <c r="T614" s="578"/>
      <c r="U614" s="578"/>
    </row>
    <row r="615">
      <c r="A615" s="286"/>
      <c r="B615" s="286"/>
      <c r="C615" s="529"/>
      <c r="D615" s="306"/>
      <c r="E615" s="599"/>
      <c r="F615" s="306"/>
      <c r="G615" s="306"/>
      <c r="H615" s="598"/>
      <c r="I615" s="286"/>
      <c r="J615" s="286"/>
      <c r="K615" s="529"/>
      <c r="L615" s="286"/>
      <c r="M615" s="529"/>
      <c r="N615" s="286"/>
      <c r="O615" s="286"/>
      <c r="P615" s="286"/>
      <c r="Q615" s="286"/>
      <c r="R615" s="578"/>
      <c r="S615" s="578"/>
      <c r="T615" s="578"/>
      <c r="U615" s="578"/>
    </row>
    <row r="616">
      <c r="A616" s="286"/>
      <c r="B616" s="286"/>
      <c r="C616" s="529"/>
      <c r="D616" s="306"/>
      <c r="E616" s="599"/>
      <c r="F616" s="306"/>
      <c r="G616" s="306"/>
      <c r="H616" s="598"/>
      <c r="I616" s="286"/>
      <c r="J616" s="286"/>
      <c r="K616" s="529"/>
      <c r="L616" s="286"/>
      <c r="M616" s="529"/>
      <c r="N616" s="286"/>
      <c r="O616" s="286"/>
      <c r="P616" s="286"/>
      <c r="Q616" s="286"/>
      <c r="R616" s="578"/>
      <c r="S616" s="578"/>
      <c r="T616" s="578"/>
      <c r="U616" s="578"/>
    </row>
    <row r="617">
      <c r="A617" s="286"/>
      <c r="B617" s="286"/>
      <c r="C617" s="529"/>
      <c r="D617" s="306"/>
      <c r="E617" s="599"/>
      <c r="F617" s="306"/>
      <c r="G617" s="306"/>
      <c r="H617" s="598"/>
      <c r="I617" s="286"/>
      <c r="J617" s="286"/>
      <c r="K617" s="529"/>
      <c r="L617" s="286"/>
      <c r="M617" s="529"/>
      <c r="N617" s="286"/>
      <c r="O617" s="286"/>
      <c r="P617" s="286"/>
      <c r="Q617" s="286"/>
      <c r="R617" s="578"/>
      <c r="S617" s="578"/>
      <c r="T617" s="578"/>
      <c r="U617" s="578"/>
    </row>
    <row r="618">
      <c r="A618" s="286"/>
      <c r="B618" s="286"/>
      <c r="C618" s="529"/>
      <c r="D618" s="306"/>
      <c r="E618" s="599"/>
      <c r="F618" s="306"/>
      <c r="G618" s="306"/>
      <c r="H618" s="598"/>
      <c r="I618" s="286"/>
      <c r="J618" s="286"/>
      <c r="K618" s="529"/>
      <c r="L618" s="286"/>
      <c r="M618" s="529"/>
      <c r="N618" s="286"/>
      <c r="O618" s="286"/>
      <c r="P618" s="286"/>
      <c r="Q618" s="286"/>
      <c r="R618" s="578"/>
      <c r="S618" s="578"/>
      <c r="T618" s="578"/>
      <c r="U618" s="578"/>
    </row>
    <row r="619">
      <c r="A619" s="286"/>
      <c r="B619" s="286"/>
      <c r="C619" s="529"/>
      <c r="D619" s="306"/>
      <c r="E619" s="599"/>
      <c r="F619" s="306"/>
      <c r="G619" s="306"/>
      <c r="H619" s="598"/>
      <c r="I619" s="286"/>
      <c r="J619" s="286"/>
      <c r="K619" s="529"/>
      <c r="L619" s="286"/>
      <c r="M619" s="529"/>
      <c r="N619" s="286"/>
      <c r="O619" s="286"/>
      <c r="P619" s="286"/>
      <c r="Q619" s="286"/>
      <c r="R619" s="578"/>
      <c r="S619" s="578"/>
      <c r="T619" s="578"/>
      <c r="U619" s="578"/>
    </row>
    <row r="620">
      <c r="A620" s="286"/>
      <c r="B620" s="286"/>
      <c r="C620" s="529"/>
      <c r="D620" s="306"/>
      <c r="E620" s="599"/>
      <c r="F620" s="306"/>
      <c r="G620" s="306"/>
      <c r="H620" s="598"/>
      <c r="I620" s="286"/>
      <c r="J620" s="286"/>
      <c r="K620" s="529"/>
      <c r="L620" s="286"/>
      <c r="M620" s="529"/>
      <c r="N620" s="286"/>
      <c r="O620" s="286"/>
      <c r="P620" s="286"/>
      <c r="Q620" s="286"/>
      <c r="R620" s="578"/>
      <c r="S620" s="578"/>
      <c r="T620" s="578"/>
      <c r="U620" s="578"/>
    </row>
    <row r="621">
      <c r="A621" s="286"/>
      <c r="B621" s="286"/>
      <c r="C621" s="529"/>
      <c r="D621" s="306"/>
      <c r="E621" s="599"/>
      <c r="F621" s="306"/>
      <c r="G621" s="306"/>
      <c r="H621" s="598"/>
      <c r="I621" s="286"/>
      <c r="J621" s="286"/>
      <c r="K621" s="529"/>
      <c r="L621" s="286"/>
      <c r="M621" s="529"/>
      <c r="N621" s="286"/>
      <c r="O621" s="286"/>
      <c r="P621" s="286"/>
      <c r="Q621" s="286"/>
      <c r="R621" s="578"/>
      <c r="S621" s="578"/>
      <c r="T621" s="578"/>
      <c r="U621" s="578"/>
    </row>
    <row r="622">
      <c r="A622" s="286"/>
      <c r="B622" s="286"/>
      <c r="C622" s="529"/>
      <c r="D622" s="306"/>
      <c r="E622" s="599"/>
      <c r="F622" s="306"/>
      <c r="G622" s="306"/>
      <c r="H622" s="598"/>
      <c r="I622" s="286"/>
      <c r="J622" s="286"/>
      <c r="K622" s="529"/>
      <c r="L622" s="286"/>
      <c r="M622" s="529"/>
      <c r="N622" s="286"/>
      <c r="O622" s="286"/>
      <c r="P622" s="286"/>
      <c r="Q622" s="286"/>
      <c r="R622" s="578"/>
      <c r="S622" s="578"/>
      <c r="T622" s="578"/>
      <c r="U622" s="578"/>
    </row>
    <row r="623">
      <c r="A623" s="286"/>
      <c r="B623" s="286"/>
      <c r="C623" s="529"/>
      <c r="D623" s="306"/>
      <c r="E623" s="599"/>
      <c r="F623" s="306"/>
      <c r="G623" s="306"/>
      <c r="H623" s="598"/>
      <c r="I623" s="286"/>
      <c r="J623" s="286"/>
      <c r="K623" s="529"/>
      <c r="L623" s="286"/>
      <c r="M623" s="529"/>
      <c r="N623" s="286"/>
      <c r="O623" s="286"/>
      <c r="P623" s="286"/>
      <c r="Q623" s="286"/>
      <c r="R623" s="578"/>
      <c r="S623" s="578"/>
      <c r="T623" s="578"/>
      <c r="U623" s="578"/>
    </row>
    <row r="624">
      <c r="A624" s="286"/>
      <c r="B624" s="286"/>
      <c r="C624" s="529"/>
      <c r="D624" s="306"/>
      <c r="E624" s="599"/>
      <c r="F624" s="306"/>
      <c r="G624" s="306"/>
      <c r="H624" s="598"/>
      <c r="I624" s="286"/>
      <c r="J624" s="286"/>
      <c r="K624" s="529"/>
      <c r="L624" s="286"/>
      <c r="M624" s="529"/>
      <c r="N624" s="286"/>
      <c r="O624" s="286"/>
      <c r="P624" s="286"/>
      <c r="Q624" s="286"/>
      <c r="R624" s="578"/>
      <c r="S624" s="578"/>
      <c r="T624" s="578"/>
      <c r="U624" s="578"/>
    </row>
    <row r="625">
      <c r="A625" s="286"/>
      <c r="B625" s="286"/>
      <c r="C625" s="529"/>
      <c r="D625" s="306"/>
      <c r="E625" s="599"/>
      <c r="F625" s="306"/>
      <c r="G625" s="306"/>
      <c r="H625" s="598"/>
      <c r="I625" s="286"/>
      <c r="J625" s="286"/>
      <c r="K625" s="529"/>
      <c r="L625" s="286"/>
      <c r="M625" s="529"/>
      <c r="N625" s="286"/>
      <c r="O625" s="286"/>
      <c r="P625" s="286"/>
      <c r="Q625" s="286"/>
      <c r="R625" s="578"/>
      <c r="S625" s="578"/>
      <c r="T625" s="578"/>
      <c r="U625" s="578"/>
    </row>
    <row r="626">
      <c r="A626" s="286"/>
      <c r="B626" s="286"/>
      <c r="C626" s="529"/>
      <c r="D626" s="306"/>
      <c r="E626" s="599"/>
      <c r="F626" s="306"/>
      <c r="G626" s="306"/>
      <c r="H626" s="598"/>
      <c r="I626" s="286"/>
      <c r="J626" s="286"/>
      <c r="K626" s="529"/>
      <c r="L626" s="286"/>
      <c r="M626" s="529"/>
      <c r="N626" s="286"/>
      <c r="O626" s="286"/>
      <c r="P626" s="286"/>
      <c r="Q626" s="286"/>
      <c r="R626" s="578"/>
      <c r="S626" s="578"/>
      <c r="T626" s="578"/>
      <c r="U626" s="578"/>
    </row>
    <row r="627">
      <c r="A627" s="286"/>
      <c r="B627" s="286"/>
      <c r="C627" s="529"/>
      <c r="D627" s="306"/>
      <c r="E627" s="599"/>
      <c r="F627" s="306"/>
      <c r="G627" s="306"/>
      <c r="H627" s="598"/>
      <c r="I627" s="286"/>
      <c r="J627" s="286"/>
      <c r="K627" s="529"/>
      <c r="L627" s="286"/>
      <c r="M627" s="529"/>
      <c r="N627" s="286"/>
      <c r="O627" s="286"/>
      <c r="P627" s="286"/>
      <c r="Q627" s="286"/>
      <c r="R627" s="578"/>
      <c r="S627" s="578"/>
      <c r="T627" s="578"/>
      <c r="U627" s="578"/>
    </row>
    <row r="628">
      <c r="A628" s="286"/>
      <c r="B628" s="286"/>
      <c r="C628" s="529"/>
      <c r="D628" s="306"/>
      <c r="E628" s="599"/>
      <c r="F628" s="306"/>
      <c r="G628" s="306"/>
      <c r="H628" s="598"/>
      <c r="I628" s="286"/>
      <c r="J628" s="286"/>
      <c r="K628" s="529"/>
      <c r="L628" s="286"/>
      <c r="M628" s="529"/>
      <c r="N628" s="286"/>
      <c r="O628" s="286"/>
      <c r="P628" s="286"/>
      <c r="Q628" s="286"/>
      <c r="R628" s="578"/>
      <c r="S628" s="578"/>
      <c r="T628" s="578"/>
      <c r="U628" s="578"/>
    </row>
    <row r="629">
      <c r="A629" s="286"/>
      <c r="B629" s="286"/>
      <c r="C629" s="529"/>
      <c r="D629" s="306"/>
      <c r="E629" s="599"/>
      <c r="F629" s="306"/>
      <c r="G629" s="306"/>
      <c r="H629" s="598"/>
      <c r="I629" s="286"/>
      <c r="J629" s="286"/>
      <c r="K629" s="529"/>
      <c r="L629" s="286"/>
      <c r="M629" s="529"/>
      <c r="N629" s="286"/>
      <c r="O629" s="286"/>
      <c r="P629" s="286"/>
      <c r="Q629" s="286"/>
      <c r="R629" s="578"/>
      <c r="S629" s="578"/>
      <c r="T629" s="578"/>
      <c r="U629" s="578"/>
    </row>
    <row r="630">
      <c r="A630" s="286"/>
      <c r="B630" s="286"/>
      <c r="C630" s="529"/>
      <c r="D630" s="306"/>
      <c r="E630" s="599"/>
      <c r="F630" s="306"/>
      <c r="G630" s="306"/>
      <c r="H630" s="598"/>
      <c r="I630" s="286"/>
      <c r="J630" s="286"/>
      <c r="K630" s="529"/>
      <c r="L630" s="286"/>
      <c r="M630" s="529"/>
      <c r="N630" s="286"/>
      <c r="O630" s="286"/>
      <c r="P630" s="286"/>
      <c r="Q630" s="286"/>
      <c r="R630" s="578"/>
      <c r="S630" s="578"/>
      <c r="T630" s="578"/>
      <c r="U630" s="578"/>
    </row>
    <row r="631">
      <c r="A631" s="286"/>
      <c r="B631" s="286"/>
      <c r="C631" s="529"/>
      <c r="D631" s="306"/>
      <c r="E631" s="599"/>
      <c r="F631" s="306"/>
      <c r="G631" s="306"/>
      <c r="H631" s="598"/>
      <c r="I631" s="286"/>
      <c r="J631" s="286"/>
      <c r="K631" s="529"/>
      <c r="L631" s="286"/>
      <c r="M631" s="529"/>
      <c r="N631" s="286"/>
      <c r="O631" s="286"/>
      <c r="P631" s="286"/>
      <c r="Q631" s="286"/>
      <c r="R631" s="578"/>
      <c r="S631" s="578"/>
      <c r="T631" s="578"/>
      <c r="U631" s="578"/>
    </row>
    <row r="632">
      <c r="A632" s="286"/>
      <c r="B632" s="286"/>
      <c r="C632" s="529"/>
      <c r="D632" s="306"/>
      <c r="E632" s="599"/>
      <c r="F632" s="306"/>
      <c r="G632" s="306"/>
      <c r="H632" s="598"/>
      <c r="I632" s="286"/>
      <c r="J632" s="286"/>
      <c r="K632" s="529"/>
      <c r="L632" s="286"/>
      <c r="M632" s="529"/>
      <c r="N632" s="286"/>
      <c r="O632" s="286"/>
      <c r="P632" s="286"/>
      <c r="Q632" s="286"/>
      <c r="R632" s="578"/>
      <c r="S632" s="578"/>
      <c r="T632" s="578"/>
      <c r="U632" s="578"/>
    </row>
    <row r="633">
      <c r="A633" s="286"/>
      <c r="B633" s="286"/>
      <c r="C633" s="529"/>
      <c r="D633" s="306"/>
      <c r="E633" s="599"/>
      <c r="F633" s="306"/>
      <c r="G633" s="306"/>
      <c r="H633" s="598"/>
      <c r="I633" s="286"/>
      <c r="J633" s="286"/>
      <c r="K633" s="529"/>
      <c r="L633" s="286"/>
      <c r="M633" s="529"/>
      <c r="N633" s="286"/>
      <c r="O633" s="286"/>
      <c r="P633" s="286"/>
      <c r="Q633" s="286"/>
      <c r="R633" s="578"/>
      <c r="S633" s="578"/>
      <c r="T633" s="578"/>
      <c r="U633" s="578"/>
    </row>
    <row r="634">
      <c r="A634" s="286"/>
      <c r="B634" s="286"/>
      <c r="C634" s="529"/>
      <c r="D634" s="306"/>
      <c r="E634" s="599"/>
      <c r="F634" s="306"/>
      <c r="G634" s="306"/>
      <c r="H634" s="598"/>
      <c r="I634" s="286"/>
      <c r="J634" s="286"/>
      <c r="K634" s="529"/>
      <c r="L634" s="286"/>
      <c r="M634" s="529"/>
      <c r="N634" s="286"/>
      <c r="O634" s="286"/>
      <c r="P634" s="286"/>
      <c r="Q634" s="286"/>
      <c r="R634" s="578"/>
      <c r="S634" s="578"/>
      <c r="T634" s="578"/>
      <c r="U634" s="578"/>
    </row>
    <row r="635">
      <c r="A635" s="286"/>
      <c r="B635" s="286"/>
      <c r="C635" s="529"/>
      <c r="D635" s="306"/>
      <c r="E635" s="599"/>
      <c r="F635" s="306"/>
      <c r="G635" s="306"/>
      <c r="H635" s="598"/>
      <c r="I635" s="286"/>
      <c r="J635" s="286"/>
      <c r="K635" s="529"/>
      <c r="L635" s="286"/>
      <c r="M635" s="529"/>
      <c r="N635" s="286"/>
      <c r="O635" s="286"/>
      <c r="P635" s="286"/>
      <c r="Q635" s="286"/>
      <c r="R635" s="578"/>
      <c r="S635" s="578"/>
      <c r="T635" s="578"/>
      <c r="U635" s="578"/>
    </row>
    <row r="636">
      <c r="A636" s="286"/>
      <c r="B636" s="286"/>
      <c r="C636" s="529"/>
      <c r="D636" s="306"/>
      <c r="E636" s="599"/>
      <c r="F636" s="306"/>
      <c r="G636" s="306"/>
      <c r="H636" s="598"/>
      <c r="I636" s="286"/>
      <c r="J636" s="286"/>
      <c r="K636" s="529"/>
      <c r="L636" s="286"/>
      <c r="M636" s="529"/>
      <c r="N636" s="286"/>
      <c r="O636" s="286"/>
      <c r="P636" s="286"/>
      <c r="Q636" s="286"/>
      <c r="R636" s="578"/>
      <c r="S636" s="578"/>
      <c r="T636" s="578"/>
      <c r="U636" s="578"/>
    </row>
    <row r="637">
      <c r="A637" s="286"/>
      <c r="B637" s="286"/>
      <c r="C637" s="529"/>
      <c r="D637" s="306"/>
      <c r="E637" s="599"/>
      <c r="F637" s="306"/>
      <c r="G637" s="306"/>
      <c r="H637" s="598"/>
      <c r="I637" s="286"/>
      <c r="J637" s="286"/>
      <c r="K637" s="529"/>
      <c r="L637" s="286"/>
      <c r="M637" s="529"/>
      <c r="N637" s="286"/>
      <c r="O637" s="286"/>
      <c r="P637" s="286"/>
      <c r="Q637" s="286"/>
      <c r="R637" s="578"/>
      <c r="S637" s="578"/>
      <c r="T637" s="578"/>
      <c r="U637" s="578"/>
    </row>
    <row r="638">
      <c r="A638" s="286"/>
      <c r="B638" s="286"/>
      <c r="C638" s="529"/>
      <c r="D638" s="306"/>
      <c r="E638" s="599"/>
      <c r="F638" s="306"/>
      <c r="G638" s="306"/>
      <c r="H638" s="598"/>
      <c r="I638" s="286"/>
      <c r="J638" s="286"/>
      <c r="K638" s="529"/>
      <c r="L638" s="286"/>
      <c r="M638" s="529"/>
      <c r="N638" s="286"/>
      <c r="O638" s="286"/>
      <c r="P638" s="286"/>
      <c r="Q638" s="286"/>
      <c r="R638" s="578"/>
      <c r="S638" s="578"/>
      <c r="T638" s="578"/>
      <c r="U638" s="578"/>
    </row>
    <row r="639">
      <c r="A639" s="286"/>
      <c r="B639" s="286"/>
      <c r="C639" s="529"/>
      <c r="D639" s="306"/>
      <c r="E639" s="599"/>
      <c r="F639" s="306"/>
      <c r="G639" s="306"/>
      <c r="H639" s="598"/>
      <c r="I639" s="286"/>
      <c r="J639" s="286"/>
      <c r="K639" s="529"/>
      <c r="L639" s="286"/>
      <c r="M639" s="529"/>
      <c r="N639" s="286"/>
      <c r="O639" s="286"/>
      <c r="P639" s="286"/>
      <c r="Q639" s="286"/>
      <c r="R639" s="578"/>
      <c r="S639" s="578"/>
      <c r="T639" s="578"/>
      <c r="U639" s="578"/>
    </row>
    <row r="640">
      <c r="A640" s="286"/>
      <c r="B640" s="286"/>
      <c r="C640" s="529"/>
      <c r="D640" s="306"/>
      <c r="E640" s="599"/>
      <c r="F640" s="306"/>
      <c r="G640" s="306"/>
      <c r="H640" s="598"/>
      <c r="I640" s="286"/>
      <c r="J640" s="286"/>
      <c r="K640" s="529"/>
      <c r="L640" s="286"/>
      <c r="M640" s="529"/>
      <c r="N640" s="286"/>
      <c r="O640" s="286"/>
      <c r="P640" s="286"/>
      <c r="Q640" s="286"/>
      <c r="R640" s="578"/>
      <c r="S640" s="578"/>
      <c r="T640" s="578"/>
      <c r="U640" s="578"/>
    </row>
    <row r="641">
      <c r="A641" s="286"/>
      <c r="B641" s="286"/>
      <c r="C641" s="529"/>
      <c r="D641" s="306"/>
      <c r="E641" s="599"/>
      <c r="F641" s="306"/>
      <c r="G641" s="306"/>
      <c r="H641" s="598"/>
      <c r="I641" s="286"/>
      <c r="J641" s="286"/>
      <c r="K641" s="529"/>
      <c r="L641" s="286"/>
      <c r="M641" s="529"/>
      <c r="N641" s="286"/>
      <c r="O641" s="286"/>
      <c r="P641" s="286"/>
      <c r="Q641" s="286"/>
      <c r="R641" s="578"/>
      <c r="S641" s="578"/>
      <c r="T641" s="578"/>
      <c r="U641" s="578"/>
    </row>
    <row r="642">
      <c r="A642" s="286"/>
      <c r="B642" s="286"/>
      <c r="C642" s="529"/>
      <c r="D642" s="306"/>
      <c r="E642" s="599"/>
      <c r="F642" s="306"/>
      <c r="G642" s="306"/>
      <c r="H642" s="598"/>
      <c r="I642" s="286"/>
      <c r="J642" s="286"/>
      <c r="K642" s="529"/>
      <c r="L642" s="286"/>
      <c r="M642" s="529"/>
      <c r="N642" s="286"/>
      <c r="O642" s="286"/>
      <c r="P642" s="286"/>
      <c r="Q642" s="286"/>
      <c r="R642" s="578"/>
      <c r="S642" s="578"/>
      <c r="T642" s="578"/>
      <c r="U642" s="578"/>
    </row>
    <row r="643">
      <c r="A643" s="286"/>
      <c r="B643" s="286"/>
      <c r="C643" s="529"/>
      <c r="D643" s="306"/>
      <c r="E643" s="599"/>
      <c r="F643" s="306"/>
      <c r="G643" s="306"/>
      <c r="H643" s="598"/>
      <c r="I643" s="286"/>
      <c r="J643" s="286"/>
      <c r="K643" s="529"/>
      <c r="L643" s="286"/>
      <c r="M643" s="529"/>
      <c r="N643" s="286"/>
      <c r="O643" s="286"/>
      <c r="P643" s="286"/>
      <c r="Q643" s="286"/>
      <c r="R643" s="578"/>
      <c r="S643" s="578"/>
      <c r="T643" s="578"/>
      <c r="U643" s="578"/>
    </row>
    <row r="644">
      <c r="A644" s="286"/>
      <c r="B644" s="286"/>
      <c r="C644" s="529"/>
      <c r="D644" s="306"/>
      <c r="E644" s="599"/>
      <c r="F644" s="306"/>
      <c r="G644" s="306"/>
      <c r="H644" s="598"/>
      <c r="I644" s="286"/>
      <c r="J644" s="286"/>
      <c r="K644" s="529"/>
      <c r="L644" s="286"/>
      <c r="M644" s="529"/>
      <c r="N644" s="286"/>
      <c r="O644" s="286"/>
      <c r="P644" s="286"/>
      <c r="Q644" s="286"/>
      <c r="R644" s="578"/>
      <c r="S644" s="578"/>
      <c r="T644" s="578"/>
      <c r="U644" s="578"/>
    </row>
    <row r="645">
      <c r="A645" s="286"/>
      <c r="B645" s="286"/>
      <c r="C645" s="529"/>
      <c r="D645" s="306"/>
      <c r="E645" s="599"/>
      <c r="F645" s="306"/>
      <c r="G645" s="306"/>
      <c r="H645" s="598"/>
      <c r="I645" s="286"/>
      <c r="J645" s="286"/>
      <c r="K645" s="529"/>
      <c r="L645" s="286"/>
      <c r="M645" s="529"/>
      <c r="N645" s="286"/>
      <c r="O645" s="286"/>
      <c r="P645" s="286"/>
      <c r="Q645" s="286"/>
      <c r="R645" s="578"/>
      <c r="S645" s="578"/>
      <c r="T645" s="578"/>
      <c r="U645" s="578"/>
    </row>
    <row r="646">
      <c r="A646" s="286"/>
      <c r="B646" s="286"/>
      <c r="C646" s="529"/>
      <c r="D646" s="306"/>
      <c r="E646" s="599"/>
      <c r="F646" s="306"/>
      <c r="G646" s="306"/>
      <c r="H646" s="598"/>
      <c r="I646" s="286"/>
      <c r="J646" s="286"/>
      <c r="K646" s="529"/>
      <c r="L646" s="286"/>
      <c r="M646" s="529"/>
      <c r="N646" s="286"/>
      <c r="O646" s="286"/>
      <c r="P646" s="286"/>
      <c r="Q646" s="286"/>
      <c r="R646" s="578"/>
      <c r="S646" s="578"/>
      <c r="T646" s="578"/>
      <c r="U646" s="578"/>
    </row>
    <row r="647">
      <c r="A647" s="286"/>
      <c r="B647" s="286"/>
      <c r="C647" s="529"/>
      <c r="D647" s="306"/>
      <c r="E647" s="599"/>
      <c r="F647" s="306"/>
      <c r="G647" s="306"/>
      <c r="H647" s="598"/>
      <c r="I647" s="286"/>
      <c r="J647" s="286"/>
      <c r="K647" s="529"/>
      <c r="L647" s="286"/>
      <c r="M647" s="529"/>
      <c r="N647" s="286"/>
      <c r="O647" s="286"/>
      <c r="P647" s="286"/>
      <c r="Q647" s="286"/>
      <c r="R647" s="578"/>
      <c r="S647" s="578"/>
      <c r="T647" s="578"/>
      <c r="U647" s="578"/>
    </row>
    <row r="648">
      <c r="A648" s="286"/>
      <c r="B648" s="286"/>
      <c r="C648" s="529"/>
      <c r="D648" s="306"/>
      <c r="E648" s="599"/>
      <c r="F648" s="306"/>
      <c r="G648" s="306"/>
      <c r="H648" s="598"/>
      <c r="I648" s="286"/>
      <c r="J648" s="286"/>
      <c r="K648" s="529"/>
      <c r="L648" s="286"/>
      <c r="M648" s="529"/>
      <c r="N648" s="286"/>
      <c r="O648" s="286"/>
      <c r="P648" s="286"/>
      <c r="Q648" s="286"/>
      <c r="R648" s="578"/>
      <c r="S648" s="578"/>
      <c r="T648" s="578"/>
      <c r="U648" s="578"/>
    </row>
    <row r="649">
      <c r="A649" s="286"/>
      <c r="B649" s="286"/>
      <c r="C649" s="529"/>
      <c r="D649" s="306"/>
      <c r="E649" s="599"/>
      <c r="F649" s="306"/>
      <c r="G649" s="306"/>
      <c r="H649" s="598"/>
      <c r="I649" s="286"/>
      <c r="J649" s="286"/>
      <c r="K649" s="529"/>
      <c r="L649" s="286"/>
      <c r="M649" s="529"/>
      <c r="N649" s="286"/>
      <c r="O649" s="286"/>
      <c r="P649" s="286"/>
      <c r="Q649" s="286"/>
      <c r="R649" s="578"/>
      <c r="S649" s="578"/>
      <c r="T649" s="578"/>
      <c r="U649" s="578"/>
    </row>
    <row r="650">
      <c r="A650" s="286"/>
      <c r="B650" s="286"/>
      <c r="C650" s="529"/>
      <c r="D650" s="306"/>
      <c r="E650" s="599"/>
      <c r="F650" s="306"/>
      <c r="G650" s="306"/>
      <c r="H650" s="598"/>
      <c r="I650" s="286"/>
      <c r="J650" s="286"/>
      <c r="K650" s="529"/>
      <c r="L650" s="286"/>
      <c r="M650" s="529"/>
      <c r="N650" s="286"/>
      <c r="O650" s="286"/>
      <c r="P650" s="286"/>
      <c r="Q650" s="286"/>
      <c r="R650" s="578"/>
      <c r="S650" s="578"/>
      <c r="T650" s="578"/>
      <c r="U650" s="578"/>
    </row>
    <row r="651">
      <c r="A651" s="286"/>
      <c r="B651" s="286"/>
      <c r="C651" s="529"/>
      <c r="D651" s="306"/>
      <c r="E651" s="599"/>
      <c r="F651" s="306"/>
      <c r="G651" s="306"/>
      <c r="H651" s="598"/>
      <c r="I651" s="286"/>
      <c r="J651" s="286"/>
      <c r="K651" s="529"/>
      <c r="L651" s="286"/>
      <c r="M651" s="529"/>
      <c r="N651" s="286"/>
      <c r="O651" s="286"/>
      <c r="P651" s="286"/>
      <c r="Q651" s="286"/>
      <c r="R651" s="578"/>
      <c r="S651" s="578"/>
      <c r="T651" s="578"/>
      <c r="U651" s="578"/>
    </row>
    <row r="652">
      <c r="A652" s="286"/>
      <c r="B652" s="286"/>
      <c r="C652" s="529"/>
      <c r="D652" s="306"/>
      <c r="E652" s="599"/>
      <c r="F652" s="306"/>
      <c r="G652" s="306"/>
      <c r="H652" s="598"/>
      <c r="I652" s="286"/>
      <c r="J652" s="286"/>
      <c r="K652" s="529"/>
      <c r="L652" s="286"/>
      <c r="M652" s="529"/>
      <c r="N652" s="286"/>
      <c r="O652" s="286"/>
      <c r="P652" s="286"/>
      <c r="Q652" s="286"/>
      <c r="R652" s="578"/>
      <c r="S652" s="578"/>
      <c r="T652" s="578"/>
      <c r="U652" s="578"/>
    </row>
    <row r="653">
      <c r="A653" s="286"/>
      <c r="B653" s="286"/>
      <c r="C653" s="529"/>
      <c r="D653" s="306"/>
      <c r="E653" s="599"/>
      <c r="F653" s="306"/>
      <c r="G653" s="306"/>
      <c r="H653" s="598"/>
      <c r="I653" s="286"/>
      <c r="J653" s="286"/>
      <c r="K653" s="529"/>
      <c r="L653" s="286"/>
      <c r="M653" s="529"/>
      <c r="N653" s="286"/>
      <c r="O653" s="286"/>
      <c r="P653" s="286"/>
      <c r="Q653" s="286"/>
      <c r="R653" s="578"/>
      <c r="S653" s="578"/>
      <c r="T653" s="578"/>
      <c r="U653" s="578"/>
    </row>
    <row r="654">
      <c r="A654" s="286"/>
      <c r="B654" s="286"/>
      <c r="C654" s="529"/>
      <c r="D654" s="306"/>
      <c r="E654" s="599"/>
      <c r="F654" s="306"/>
      <c r="G654" s="306"/>
      <c r="H654" s="598"/>
      <c r="I654" s="286"/>
      <c r="J654" s="286"/>
      <c r="K654" s="529"/>
      <c r="L654" s="286"/>
      <c r="M654" s="529"/>
      <c r="N654" s="286"/>
      <c r="O654" s="286"/>
      <c r="P654" s="286"/>
      <c r="Q654" s="286"/>
      <c r="R654" s="578"/>
      <c r="S654" s="578"/>
      <c r="T654" s="578"/>
      <c r="U654" s="578"/>
    </row>
    <row r="655">
      <c r="A655" s="286"/>
      <c r="B655" s="286"/>
      <c r="C655" s="529"/>
      <c r="D655" s="306"/>
      <c r="E655" s="599"/>
      <c r="F655" s="306"/>
      <c r="G655" s="306"/>
      <c r="H655" s="598"/>
      <c r="I655" s="286"/>
      <c r="J655" s="286"/>
      <c r="K655" s="529"/>
      <c r="L655" s="286"/>
      <c r="M655" s="529"/>
      <c r="N655" s="286"/>
      <c r="O655" s="286"/>
      <c r="P655" s="286"/>
      <c r="Q655" s="286"/>
      <c r="R655" s="578"/>
      <c r="S655" s="578"/>
      <c r="T655" s="578"/>
      <c r="U655" s="578"/>
    </row>
    <row r="656">
      <c r="A656" s="286"/>
      <c r="B656" s="286"/>
      <c r="C656" s="529"/>
      <c r="D656" s="306"/>
      <c r="E656" s="599"/>
      <c r="F656" s="306"/>
      <c r="G656" s="306"/>
      <c r="H656" s="598"/>
      <c r="I656" s="286"/>
      <c r="J656" s="286"/>
      <c r="K656" s="529"/>
      <c r="L656" s="286"/>
      <c r="M656" s="529"/>
      <c r="N656" s="286"/>
      <c r="O656" s="286"/>
      <c r="P656" s="286"/>
      <c r="Q656" s="286"/>
      <c r="R656" s="578"/>
      <c r="S656" s="578"/>
      <c r="T656" s="578"/>
      <c r="U656" s="578"/>
    </row>
    <row r="657">
      <c r="A657" s="286"/>
      <c r="B657" s="286"/>
      <c r="C657" s="529"/>
      <c r="D657" s="306"/>
      <c r="E657" s="599"/>
      <c r="F657" s="306"/>
      <c r="G657" s="306"/>
      <c r="H657" s="598"/>
      <c r="I657" s="286"/>
      <c r="J657" s="286"/>
      <c r="K657" s="529"/>
      <c r="L657" s="286"/>
      <c r="M657" s="529"/>
      <c r="N657" s="286"/>
      <c r="O657" s="286"/>
      <c r="P657" s="286"/>
      <c r="Q657" s="286"/>
      <c r="R657" s="578"/>
      <c r="S657" s="578"/>
      <c r="T657" s="578"/>
      <c r="U657" s="578"/>
    </row>
    <row r="658">
      <c r="A658" s="286"/>
      <c r="B658" s="286"/>
      <c r="C658" s="529"/>
      <c r="D658" s="306"/>
      <c r="E658" s="599"/>
      <c r="F658" s="306"/>
      <c r="G658" s="306"/>
      <c r="H658" s="598"/>
      <c r="I658" s="286"/>
      <c r="J658" s="286"/>
      <c r="K658" s="529"/>
      <c r="L658" s="286"/>
      <c r="M658" s="529"/>
      <c r="N658" s="286"/>
      <c r="O658" s="286"/>
      <c r="P658" s="286"/>
      <c r="Q658" s="286"/>
      <c r="R658" s="578"/>
      <c r="S658" s="578"/>
      <c r="T658" s="578"/>
      <c r="U658" s="578"/>
    </row>
    <row r="659">
      <c r="A659" s="286"/>
      <c r="B659" s="286"/>
      <c r="C659" s="529"/>
      <c r="D659" s="306"/>
      <c r="E659" s="599"/>
      <c r="F659" s="306"/>
      <c r="G659" s="306"/>
      <c r="H659" s="598"/>
      <c r="I659" s="286"/>
      <c r="J659" s="286"/>
      <c r="K659" s="529"/>
      <c r="L659" s="286"/>
      <c r="M659" s="529"/>
      <c r="N659" s="286"/>
      <c r="O659" s="286"/>
      <c r="P659" s="286"/>
      <c r="Q659" s="286"/>
      <c r="R659" s="578"/>
      <c r="S659" s="578"/>
      <c r="T659" s="578"/>
      <c r="U659" s="578"/>
    </row>
    <row r="660">
      <c r="A660" s="286"/>
      <c r="B660" s="286"/>
      <c r="C660" s="529"/>
      <c r="D660" s="306"/>
      <c r="E660" s="599"/>
      <c r="F660" s="306"/>
      <c r="G660" s="306"/>
      <c r="H660" s="598"/>
      <c r="I660" s="286"/>
      <c r="J660" s="286"/>
      <c r="K660" s="529"/>
      <c r="L660" s="286"/>
      <c r="M660" s="529"/>
      <c r="N660" s="286"/>
      <c r="O660" s="286"/>
      <c r="P660" s="286"/>
      <c r="Q660" s="286"/>
      <c r="R660" s="578"/>
      <c r="S660" s="578"/>
      <c r="T660" s="578"/>
      <c r="U660" s="578"/>
    </row>
    <row r="661">
      <c r="A661" s="286"/>
      <c r="B661" s="286"/>
      <c r="C661" s="529"/>
      <c r="D661" s="306"/>
      <c r="E661" s="599"/>
      <c r="F661" s="306"/>
      <c r="G661" s="306"/>
      <c r="H661" s="598"/>
      <c r="I661" s="286"/>
      <c r="J661" s="286"/>
      <c r="K661" s="529"/>
      <c r="L661" s="286"/>
      <c r="M661" s="529"/>
      <c r="N661" s="286"/>
      <c r="O661" s="286"/>
      <c r="P661" s="286"/>
      <c r="Q661" s="286"/>
      <c r="R661" s="578"/>
      <c r="S661" s="578"/>
      <c r="T661" s="578"/>
      <c r="U661" s="578"/>
    </row>
    <row r="662">
      <c r="A662" s="286"/>
      <c r="B662" s="286"/>
      <c r="C662" s="529"/>
      <c r="D662" s="306"/>
      <c r="E662" s="599"/>
      <c r="F662" s="306"/>
      <c r="G662" s="306"/>
      <c r="H662" s="598"/>
      <c r="I662" s="286"/>
      <c r="J662" s="286"/>
      <c r="K662" s="529"/>
      <c r="L662" s="286"/>
      <c r="M662" s="529"/>
      <c r="N662" s="286"/>
      <c r="O662" s="286"/>
      <c r="P662" s="286"/>
      <c r="Q662" s="286"/>
      <c r="R662" s="578"/>
      <c r="S662" s="578"/>
      <c r="T662" s="578"/>
      <c r="U662" s="578"/>
    </row>
    <row r="663">
      <c r="A663" s="286"/>
      <c r="B663" s="286"/>
      <c r="C663" s="529"/>
      <c r="D663" s="306"/>
      <c r="E663" s="599"/>
      <c r="F663" s="306"/>
      <c r="G663" s="306"/>
      <c r="H663" s="598"/>
      <c r="I663" s="286"/>
      <c r="J663" s="286"/>
      <c r="K663" s="529"/>
      <c r="L663" s="286"/>
      <c r="M663" s="529"/>
      <c r="N663" s="286"/>
      <c r="O663" s="286"/>
      <c r="P663" s="286"/>
      <c r="Q663" s="286"/>
      <c r="R663" s="578"/>
      <c r="S663" s="578"/>
      <c r="T663" s="578"/>
      <c r="U663" s="578"/>
    </row>
    <row r="664">
      <c r="A664" s="286"/>
      <c r="B664" s="286"/>
      <c r="C664" s="529"/>
      <c r="D664" s="306"/>
      <c r="E664" s="599"/>
      <c r="F664" s="306"/>
      <c r="G664" s="306"/>
      <c r="H664" s="598"/>
      <c r="I664" s="286"/>
      <c r="J664" s="286"/>
      <c r="K664" s="529"/>
      <c r="L664" s="286"/>
      <c r="M664" s="529"/>
      <c r="N664" s="286"/>
      <c r="O664" s="286"/>
      <c r="P664" s="286"/>
      <c r="Q664" s="286"/>
      <c r="R664" s="578"/>
      <c r="S664" s="578"/>
      <c r="T664" s="578"/>
      <c r="U664" s="578"/>
    </row>
    <row r="665">
      <c r="A665" s="286"/>
      <c r="B665" s="286"/>
      <c r="C665" s="529"/>
      <c r="D665" s="306"/>
      <c r="E665" s="599"/>
      <c r="F665" s="306"/>
      <c r="G665" s="306"/>
      <c r="H665" s="598"/>
      <c r="I665" s="286"/>
      <c r="J665" s="286"/>
      <c r="K665" s="529"/>
      <c r="L665" s="286"/>
      <c r="M665" s="529"/>
      <c r="N665" s="286"/>
      <c r="O665" s="286"/>
      <c r="P665" s="286"/>
      <c r="Q665" s="286"/>
      <c r="R665" s="578"/>
      <c r="S665" s="578"/>
      <c r="T665" s="578"/>
      <c r="U665" s="578"/>
    </row>
    <row r="666">
      <c r="A666" s="286"/>
      <c r="B666" s="286"/>
      <c r="C666" s="529"/>
      <c r="D666" s="306"/>
      <c r="E666" s="599"/>
      <c r="F666" s="306"/>
      <c r="G666" s="306"/>
      <c r="H666" s="598"/>
      <c r="I666" s="286"/>
      <c r="J666" s="286"/>
      <c r="K666" s="529"/>
      <c r="L666" s="286"/>
      <c r="M666" s="529"/>
      <c r="N666" s="286"/>
      <c r="O666" s="286"/>
      <c r="P666" s="286"/>
      <c r="Q666" s="286"/>
      <c r="R666" s="578"/>
      <c r="S666" s="578"/>
      <c r="T666" s="578"/>
      <c r="U666" s="578"/>
    </row>
    <row r="667">
      <c r="A667" s="286"/>
      <c r="B667" s="286"/>
      <c r="C667" s="529"/>
      <c r="D667" s="306"/>
      <c r="E667" s="599"/>
      <c r="F667" s="306"/>
      <c r="G667" s="306"/>
      <c r="H667" s="598"/>
      <c r="I667" s="286"/>
      <c r="J667" s="286"/>
      <c r="K667" s="529"/>
      <c r="L667" s="286"/>
      <c r="M667" s="529"/>
      <c r="N667" s="286"/>
      <c r="O667" s="286"/>
      <c r="P667" s="286"/>
      <c r="Q667" s="286"/>
      <c r="R667" s="578"/>
      <c r="S667" s="578"/>
      <c r="T667" s="578"/>
      <c r="U667" s="578"/>
    </row>
    <row r="668">
      <c r="A668" s="286"/>
      <c r="B668" s="286"/>
      <c r="C668" s="529"/>
      <c r="D668" s="306"/>
      <c r="E668" s="599"/>
      <c r="F668" s="306"/>
      <c r="G668" s="306"/>
      <c r="H668" s="598"/>
      <c r="I668" s="286"/>
      <c r="J668" s="286"/>
      <c r="K668" s="529"/>
      <c r="L668" s="286"/>
      <c r="M668" s="529"/>
      <c r="N668" s="286"/>
      <c r="O668" s="286"/>
      <c r="P668" s="286"/>
      <c r="Q668" s="286"/>
      <c r="R668" s="578"/>
      <c r="S668" s="578"/>
      <c r="T668" s="578"/>
      <c r="U668" s="578"/>
    </row>
    <row r="669">
      <c r="A669" s="286"/>
      <c r="B669" s="286"/>
      <c r="C669" s="529"/>
      <c r="D669" s="306"/>
      <c r="E669" s="599"/>
      <c r="F669" s="306"/>
      <c r="G669" s="306"/>
      <c r="H669" s="598"/>
      <c r="I669" s="286"/>
      <c r="J669" s="286"/>
      <c r="K669" s="529"/>
      <c r="L669" s="286"/>
      <c r="M669" s="529"/>
      <c r="N669" s="286"/>
      <c r="O669" s="286"/>
      <c r="P669" s="286"/>
      <c r="Q669" s="286"/>
      <c r="R669" s="578"/>
      <c r="S669" s="578"/>
      <c r="T669" s="578"/>
      <c r="U669" s="578"/>
    </row>
    <row r="670">
      <c r="A670" s="286"/>
      <c r="B670" s="286"/>
      <c r="C670" s="529"/>
      <c r="D670" s="306"/>
      <c r="E670" s="599"/>
      <c r="F670" s="306"/>
      <c r="G670" s="306"/>
      <c r="H670" s="598"/>
      <c r="I670" s="286"/>
      <c r="J670" s="286"/>
      <c r="K670" s="529"/>
      <c r="L670" s="286"/>
      <c r="M670" s="529"/>
      <c r="N670" s="286"/>
      <c r="O670" s="286"/>
      <c r="P670" s="286"/>
      <c r="Q670" s="286"/>
      <c r="R670" s="578"/>
      <c r="S670" s="578"/>
      <c r="T670" s="578"/>
      <c r="U670" s="578"/>
    </row>
    <row r="671">
      <c r="A671" s="286"/>
      <c r="B671" s="286"/>
      <c r="C671" s="529"/>
      <c r="D671" s="306"/>
      <c r="E671" s="599"/>
      <c r="F671" s="306"/>
      <c r="G671" s="306"/>
      <c r="H671" s="598"/>
      <c r="I671" s="286"/>
      <c r="J671" s="286"/>
      <c r="K671" s="529"/>
      <c r="L671" s="286"/>
      <c r="M671" s="529"/>
      <c r="N671" s="286"/>
      <c r="O671" s="286"/>
      <c r="P671" s="286"/>
      <c r="Q671" s="286"/>
      <c r="R671" s="578"/>
      <c r="S671" s="578"/>
      <c r="T671" s="578"/>
      <c r="U671" s="578"/>
    </row>
    <row r="672">
      <c r="A672" s="286"/>
      <c r="B672" s="286"/>
      <c r="C672" s="529"/>
      <c r="D672" s="306"/>
      <c r="E672" s="599"/>
      <c r="F672" s="306"/>
      <c r="G672" s="306"/>
      <c r="H672" s="598"/>
      <c r="I672" s="286"/>
      <c r="J672" s="286"/>
      <c r="K672" s="529"/>
      <c r="L672" s="286"/>
      <c r="M672" s="529"/>
      <c r="N672" s="286"/>
      <c r="O672" s="286"/>
      <c r="P672" s="286"/>
      <c r="Q672" s="286"/>
      <c r="R672" s="578"/>
      <c r="S672" s="578"/>
      <c r="T672" s="578"/>
      <c r="U672" s="578"/>
    </row>
    <row r="673">
      <c r="A673" s="286"/>
      <c r="B673" s="286"/>
      <c r="C673" s="529"/>
      <c r="D673" s="306"/>
      <c r="E673" s="599"/>
      <c r="F673" s="306"/>
      <c r="G673" s="306"/>
      <c r="H673" s="598"/>
      <c r="I673" s="286"/>
      <c r="J673" s="286"/>
      <c r="K673" s="529"/>
      <c r="L673" s="286"/>
      <c r="M673" s="529"/>
      <c r="N673" s="286"/>
      <c r="O673" s="286"/>
      <c r="P673" s="286"/>
      <c r="Q673" s="286"/>
      <c r="R673" s="578"/>
      <c r="S673" s="578"/>
      <c r="T673" s="578"/>
      <c r="U673" s="578"/>
    </row>
    <row r="674">
      <c r="A674" s="286"/>
      <c r="B674" s="286"/>
      <c r="C674" s="529"/>
      <c r="D674" s="306"/>
      <c r="E674" s="599"/>
      <c r="F674" s="306"/>
      <c r="G674" s="306"/>
      <c r="H674" s="598"/>
      <c r="I674" s="286"/>
      <c r="J674" s="286"/>
      <c r="K674" s="529"/>
      <c r="L674" s="286"/>
      <c r="M674" s="529"/>
      <c r="N674" s="286"/>
      <c r="O674" s="286"/>
      <c r="P674" s="286"/>
      <c r="Q674" s="286"/>
      <c r="R674" s="578"/>
      <c r="S674" s="578"/>
      <c r="T674" s="578"/>
      <c r="U674" s="578"/>
    </row>
    <row r="675">
      <c r="A675" s="286"/>
      <c r="B675" s="286"/>
      <c r="C675" s="529"/>
      <c r="D675" s="306"/>
      <c r="E675" s="599"/>
      <c r="F675" s="306"/>
      <c r="G675" s="306"/>
      <c r="H675" s="598"/>
      <c r="I675" s="286"/>
      <c r="J675" s="286"/>
      <c r="K675" s="529"/>
      <c r="L675" s="286"/>
      <c r="M675" s="529"/>
      <c r="N675" s="286"/>
      <c r="O675" s="286"/>
      <c r="P675" s="286"/>
      <c r="Q675" s="286"/>
      <c r="R675" s="578"/>
      <c r="S675" s="578"/>
      <c r="T675" s="578"/>
      <c r="U675" s="578"/>
    </row>
    <row r="676">
      <c r="A676" s="286"/>
      <c r="B676" s="286"/>
      <c r="C676" s="529"/>
      <c r="D676" s="306"/>
      <c r="E676" s="599"/>
      <c r="F676" s="306"/>
      <c r="G676" s="306"/>
      <c r="H676" s="598"/>
      <c r="I676" s="286"/>
      <c r="J676" s="286"/>
      <c r="K676" s="529"/>
      <c r="L676" s="286"/>
      <c r="M676" s="529"/>
      <c r="N676" s="286"/>
      <c r="O676" s="286"/>
      <c r="P676" s="286"/>
      <c r="Q676" s="286"/>
      <c r="R676" s="578"/>
      <c r="S676" s="578"/>
      <c r="T676" s="578"/>
      <c r="U676" s="578"/>
    </row>
    <row r="677">
      <c r="A677" s="286"/>
      <c r="B677" s="286"/>
      <c r="C677" s="529"/>
      <c r="D677" s="306"/>
      <c r="E677" s="599"/>
      <c r="F677" s="306"/>
      <c r="G677" s="306"/>
      <c r="H677" s="598"/>
      <c r="I677" s="286"/>
      <c r="J677" s="286"/>
      <c r="K677" s="529"/>
      <c r="L677" s="286"/>
      <c r="M677" s="529"/>
      <c r="N677" s="286"/>
      <c r="O677" s="286"/>
      <c r="P677" s="286"/>
      <c r="Q677" s="286"/>
      <c r="R677" s="578"/>
      <c r="S677" s="578"/>
      <c r="T677" s="578"/>
      <c r="U677" s="578"/>
    </row>
    <row r="678">
      <c r="A678" s="286"/>
      <c r="B678" s="286"/>
      <c r="C678" s="529"/>
      <c r="D678" s="306"/>
      <c r="E678" s="599"/>
      <c r="F678" s="306"/>
      <c r="G678" s="306"/>
      <c r="H678" s="598"/>
      <c r="I678" s="286"/>
      <c r="J678" s="286"/>
      <c r="K678" s="529"/>
      <c r="L678" s="286"/>
      <c r="M678" s="529"/>
      <c r="N678" s="286"/>
      <c r="O678" s="286"/>
      <c r="P678" s="286"/>
      <c r="Q678" s="286"/>
      <c r="R678" s="578"/>
      <c r="S678" s="578"/>
      <c r="T678" s="578"/>
      <c r="U678" s="578"/>
    </row>
    <row r="679">
      <c r="A679" s="286"/>
      <c r="B679" s="286"/>
      <c r="C679" s="529"/>
      <c r="D679" s="306"/>
      <c r="E679" s="599"/>
      <c r="F679" s="306"/>
      <c r="G679" s="306"/>
      <c r="H679" s="598"/>
      <c r="I679" s="286"/>
      <c r="J679" s="286"/>
      <c r="K679" s="529"/>
      <c r="L679" s="286"/>
      <c r="M679" s="529"/>
      <c r="N679" s="286"/>
      <c r="O679" s="286"/>
      <c r="P679" s="286"/>
      <c r="Q679" s="286"/>
      <c r="R679" s="578"/>
      <c r="S679" s="578"/>
      <c r="T679" s="578"/>
      <c r="U679" s="578"/>
    </row>
    <row r="680">
      <c r="A680" s="286"/>
      <c r="B680" s="286"/>
      <c r="C680" s="529"/>
      <c r="D680" s="306"/>
      <c r="E680" s="599"/>
      <c r="F680" s="306"/>
      <c r="G680" s="306"/>
      <c r="H680" s="598"/>
      <c r="I680" s="286"/>
      <c r="J680" s="286"/>
      <c r="K680" s="529"/>
      <c r="L680" s="286"/>
      <c r="M680" s="529"/>
      <c r="N680" s="286"/>
      <c r="O680" s="286"/>
      <c r="P680" s="286"/>
      <c r="Q680" s="286"/>
      <c r="R680" s="578"/>
      <c r="S680" s="578"/>
      <c r="T680" s="578"/>
      <c r="U680" s="578"/>
    </row>
    <row r="681">
      <c r="A681" s="286"/>
      <c r="B681" s="286"/>
      <c r="C681" s="529"/>
      <c r="D681" s="306"/>
      <c r="E681" s="599"/>
      <c r="F681" s="306"/>
      <c r="G681" s="306"/>
      <c r="H681" s="598"/>
      <c r="I681" s="286"/>
      <c r="J681" s="286"/>
      <c r="K681" s="529"/>
      <c r="L681" s="286"/>
      <c r="M681" s="529"/>
      <c r="N681" s="286"/>
      <c r="O681" s="286"/>
      <c r="P681" s="286"/>
      <c r="Q681" s="286"/>
      <c r="R681" s="578"/>
      <c r="S681" s="578"/>
      <c r="T681" s="578"/>
      <c r="U681" s="578"/>
    </row>
    <row r="682">
      <c r="A682" s="286"/>
      <c r="B682" s="286"/>
      <c r="C682" s="529"/>
      <c r="D682" s="306"/>
      <c r="E682" s="599"/>
      <c r="F682" s="306"/>
      <c r="G682" s="306"/>
      <c r="H682" s="598"/>
      <c r="I682" s="286"/>
      <c r="J682" s="286"/>
      <c r="K682" s="529"/>
      <c r="L682" s="286"/>
      <c r="M682" s="529"/>
      <c r="N682" s="286"/>
      <c r="O682" s="286"/>
      <c r="P682" s="286"/>
      <c r="Q682" s="286"/>
      <c r="R682" s="578"/>
      <c r="S682" s="578"/>
      <c r="T682" s="578"/>
      <c r="U682" s="578"/>
    </row>
    <row r="683">
      <c r="A683" s="286"/>
      <c r="B683" s="286"/>
      <c r="C683" s="529"/>
      <c r="D683" s="306"/>
      <c r="E683" s="599"/>
      <c r="F683" s="306"/>
      <c r="G683" s="306"/>
      <c r="H683" s="598"/>
      <c r="I683" s="286"/>
      <c r="J683" s="286"/>
      <c r="K683" s="529"/>
      <c r="L683" s="286"/>
      <c r="M683" s="529"/>
      <c r="N683" s="286"/>
      <c r="O683" s="286"/>
      <c r="P683" s="286"/>
      <c r="Q683" s="286"/>
      <c r="R683" s="578"/>
      <c r="S683" s="578"/>
      <c r="T683" s="578"/>
      <c r="U683" s="578"/>
    </row>
    <row r="684">
      <c r="A684" s="286"/>
      <c r="B684" s="286"/>
      <c r="C684" s="529"/>
      <c r="D684" s="306"/>
      <c r="E684" s="599"/>
      <c r="F684" s="306"/>
      <c r="G684" s="306"/>
      <c r="H684" s="598"/>
      <c r="I684" s="286"/>
      <c r="J684" s="286"/>
      <c r="K684" s="529"/>
      <c r="L684" s="286"/>
      <c r="M684" s="529"/>
      <c r="N684" s="286"/>
      <c r="O684" s="286"/>
      <c r="P684" s="286"/>
      <c r="Q684" s="286"/>
      <c r="R684" s="578"/>
      <c r="S684" s="578"/>
      <c r="T684" s="578"/>
      <c r="U684" s="578"/>
    </row>
    <row r="685">
      <c r="A685" s="286"/>
      <c r="B685" s="286"/>
      <c r="C685" s="529"/>
      <c r="D685" s="306"/>
      <c r="E685" s="599"/>
      <c r="F685" s="306"/>
      <c r="G685" s="306"/>
      <c r="H685" s="598"/>
      <c r="I685" s="286"/>
      <c r="J685" s="286"/>
      <c r="K685" s="529"/>
      <c r="L685" s="286"/>
      <c r="M685" s="529"/>
      <c r="N685" s="286"/>
      <c r="O685" s="286"/>
      <c r="P685" s="286"/>
      <c r="Q685" s="286"/>
      <c r="R685" s="578"/>
      <c r="S685" s="578"/>
      <c r="T685" s="578"/>
      <c r="U685" s="578"/>
    </row>
    <row r="686">
      <c r="A686" s="286"/>
      <c r="B686" s="286"/>
      <c r="C686" s="529"/>
      <c r="D686" s="306"/>
      <c r="E686" s="599"/>
      <c r="F686" s="306"/>
      <c r="G686" s="306"/>
      <c r="H686" s="598"/>
      <c r="I686" s="286"/>
      <c r="J686" s="286"/>
      <c r="K686" s="529"/>
      <c r="L686" s="286"/>
      <c r="M686" s="529"/>
      <c r="N686" s="286"/>
      <c r="O686" s="286"/>
      <c r="P686" s="286"/>
      <c r="Q686" s="286"/>
      <c r="R686" s="578"/>
      <c r="S686" s="578"/>
      <c r="T686" s="578"/>
      <c r="U686" s="578"/>
    </row>
    <row r="687">
      <c r="A687" s="286"/>
      <c r="B687" s="286"/>
      <c r="C687" s="529"/>
      <c r="D687" s="306"/>
      <c r="E687" s="599"/>
      <c r="F687" s="306"/>
      <c r="G687" s="306"/>
      <c r="H687" s="598"/>
      <c r="I687" s="286"/>
      <c r="J687" s="286"/>
      <c r="K687" s="529"/>
      <c r="L687" s="286"/>
      <c r="M687" s="529"/>
      <c r="N687" s="286"/>
      <c r="O687" s="286"/>
      <c r="P687" s="286"/>
      <c r="Q687" s="286"/>
      <c r="R687" s="578"/>
      <c r="S687" s="578"/>
      <c r="T687" s="578"/>
      <c r="U687" s="578"/>
    </row>
    <row r="688">
      <c r="A688" s="286"/>
      <c r="B688" s="286"/>
      <c r="C688" s="529"/>
      <c r="D688" s="306"/>
      <c r="E688" s="599"/>
      <c r="F688" s="306"/>
      <c r="G688" s="306"/>
      <c r="H688" s="598"/>
      <c r="I688" s="286"/>
      <c r="J688" s="286"/>
      <c r="K688" s="529"/>
      <c r="L688" s="286"/>
      <c r="M688" s="529"/>
      <c r="N688" s="286"/>
      <c r="O688" s="286"/>
      <c r="P688" s="286"/>
      <c r="Q688" s="286"/>
      <c r="R688" s="578"/>
      <c r="S688" s="578"/>
      <c r="T688" s="578"/>
      <c r="U688" s="578"/>
    </row>
    <row r="689">
      <c r="A689" s="286"/>
      <c r="B689" s="286"/>
      <c r="C689" s="529"/>
      <c r="D689" s="306"/>
      <c r="E689" s="599"/>
      <c r="F689" s="306"/>
      <c r="G689" s="306"/>
      <c r="H689" s="598"/>
      <c r="I689" s="286"/>
      <c r="J689" s="286"/>
      <c r="K689" s="529"/>
      <c r="L689" s="286"/>
      <c r="M689" s="529"/>
      <c r="N689" s="286"/>
      <c r="O689" s="286"/>
      <c r="P689" s="286"/>
      <c r="Q689" s="286"/>
      <c r="R689" s="578"/>
      <c r="S689" s="578"/>
      <c r="T689" s="578"/>
      <c r="U689" s="578"/>
    </row>
    <row r="690">
      <c r="A690" s="286"/>
      <c r="B690" s="286"/>
      <c r="C690" s="529"/>
      <c r="D690" s="306"/>
      <c r="E690" s="599"/>
      <c r="F690" s="306"/>
      <c r="G690" s="306"/>
      <c r="H690" s="598"/>
      <c r="I690" s="286"/>
      <c r="J690" s="286"/>
      <c r="K690" s="529"/>
      <c r="L690" s="286"/>
      <c r="M690" s="529"/>
      <c r="N690" s="286"/>
      <c r="O690" s="286"/>
      <c r="P690" s="286"/>
      <c r="Q690" s="286"/>
      <c r="R690" s="578"/>
      <c r="S690" s="578"/>
      <c r="T690" s="578"/>
      <c r="U690" s="578"/>
    </row>
    <row r="691">
      <c r="A691" s="286"/>
      <c r="B691" s="286"/>
      <c r="C691" s="529"/>
      <c r="D691" s="306"/>
      <c r="E691" s="599"/>
      <c r="F691" s="306"/>
      <c r="G691" s="306"/>
      <c r="H691" s="598"/>
      <c r="I691" s="286"/>
      <c r="J691" s="286"/>
      <c r="K691" s="529"/>
      <c r="L691" s="286"/>
      <c r="M691" s="529"/>
      <c r="N691" s="286"/>
      <c r="O691" s="286"/>
      <c r="P691" s="286"/>
      <c r="Q691" s="286"/>
      <c r="R691" s="578"/>
      <c r="S691" s="578"/>
      <c r="T691" s="578"/>
      <c r="U691" s="578"/>
    </row>
    <row r="692">
      <c r="A692" s="286"/>
      <c r="B692" s="286"/>
      <c r="C692" s="529"/>
      <c r="D692" s="306"/>
      <c r="E692" s="599"/>
      <c r="F692" s="306"/>
      <c r="G692" s="306"/>
      <c r="H692" s="598"/>
      <c r="I692" s="286"/>
      <c r="J692" s="286"/>
      <c r="K692" s="529"/>
      <c r="L692" s="286"/>
      <c r="M692" s="529"/>
      <c r="N692" s="286"/>
      <c r="O692" s="286"/>
      <c r="P692" s="286"/>
      <c r="Q692" s="286"/>
      <c r="R692" s="578"/>
      <c r="S692" s="578"/>
      <c r="T692" s="578"/>
      <c r="U692" s="578"/>
    </row>
    <row r="693">
      <c r="A693" s="286"/>
      <c r="B693" s="286"/>
      <c r="C693" s="529"/>
      <c r="D693" s="306"/>
      <c r="E693" s="599"/>
      <c r="F693" s="306"/>
      <c r="G693" s="306"/>
      <c r="H693" s="598"/>
      <c r="I693" s="286"/>
      <c r="J693" s="286"/>
      <c r="K693" s="529"/>
      <c r="L693" s="286"/>
      <c r="M693" s="529"/>
      <c r="N693" s="286"/>
      <c r="O693" s="286"/>
      <c r="P693" s="286"/>
      <c r="Q693" s="286"/>
      <c r="R693" s="578"/>
      <c r="S693" s="578"/>
      <c r="T693" s="578"/>
      <c r="U693" s="578"/>
    </row>
    <row r="694">
      <c r="A694" s="286"/>
      <c r="B694" s="286"/>
      <c r="C694" s="529"/>
      <c r="D694" s="306"/>
      <c r="E694" s="599"/>
      <c r="F694" s="306"/>
      <c r="G694" s="306"/>
      <c r="H694" s="598"/>
      <c r="I694" s="286"/>
      <c r="J694" s="286"/>
      <c r="K694" s="529"/>
      <c r="L694" s="286"/>
      <c r="M694" s="529"/>
      <c r="N694" s="286"/>
      <c r="O694" s="286"/>
      <c r="P694" s="286"/>
      <c r="Q694" s="286"/>
      <c r="R694" s="578"/>
      <c r="S694" s="578"/>
      <c r="T694" s="578"/>
      <c r="U694" s="578"/>
    </row>
    <row r="695">
      <c r="A695" s="286"/>
      <c r="B695" s="286"/>
      <c r="C695" s="529"/>
      <c r="D695" s="306"/>
      <c r="E695" s="599"/>
      <c r="F695" s="306"/>
      <c r="G695" s="306"/>
      <c r="H695" s="598"/>
      <c r="I695" s="286"/>
      <c r="J695" s="286"/>
      <c r="K695" s="529"/>
      <c r="L695" s="286"/>
      <c r="M695" s="529"/>
      <c r="N695" s="286"/>
      <c r="O695" s="286"/>
      <c r="P695" s="286"/>
      <c r="Q695" s="286"/>
      <c r="R695" s="578"/>
      <c r="S695" s="578"/>
      <c r="T695" s="578"/>
      <c r="U695" s="578"/>
    </row>
    <row r="696">
      <c r="A696" s="286"/>
      <c r="B696" s="286"/>
      <c r="C696" s="529"/>
      <c r="D696" s="306"/>
      <c r="E696" s="599"/>
      <c r="F696" s="306"/>
      <c r="G696" s="306"/>
      <c r="H696" s="598"/>
      <c r="I696" s="286"/>
      <c r="J696" s="286"/>
      <c r="K696" s="529"/>
      <c r="L696" s="286"/>
      <c r="M696" s="529"/>
      <c r="N696" s="286"/>
      <c r="O696" s="286"/>
      <c r="P696" s="286"/>
      <c r="Q696" s="286"/>
      <c r="R696" s="578"/>
      <c r="S696" s="578"/>
      <c r="T696" s="578"/>
      <c r="U696" s="578"/>
    </row>
    <row r="697">
      <c r="A697" s="286"/>
      <c r="B697" s="286"/>
      <c r="C697" s="529"/>
      <c r="D697" s="306"/>
      <c r="E697" s="599"/>
      <c r="F697" s="306"/>
      <c r="G697" s="306"/>
      <c r="H697" s="598"/>
      <c r="I697" s="286"/>
      <c r="J697" s="286"/>
      <c r="K697" s="529"/>
      <c r="L697" s="286"/>
      <c r="M697" s="529"/>
      <c r="N697" s="286"/>
      <c r="O697" s="286"/>
      <c r="P697" s="286"/>
      <c r="Q697" s="286"/>
      <c r="R697" s="578"/>
      <c r="S697" s="578"/>
      <c r="T697" s="578"/>
      <c r="U697" s="578"/>
    </row>
    <row r="698">
      <c r="A698" s="286"/>
      <c r="B698" s="286"/>
      <c r="C698" s="529"/>
      <c r="D698" s="306"/>
      <c r="E698" s="599"/>
      <c r="F698" s="306"/>
      <c r="G698" s="306"/>
      <c r="H698" s="598"/>
      <c r="I698" s="286"/>
      <c r="J698" s="286"/>
      <c r="K698" s="529"/>
      <c r="L698" s="286"/>
      <c r="M698" s="529"/>
      <c r="N698" s="286"/>
      <c r="O698" s="286"/>
      <c r="P698" s="286"/>
      <c r="Q698" s="286"/>
      <c r="R698" s="578"/>
      <c r="S698" s="578"/>
      <c r="T698" s="578"/>
      <c r="U698" s="578"/>
    </row>
    <row r="699">
      <c r="A699" s="286"/>
      <c r="B699" s="286"/>
      <c r="C699" s="529"/>
      <c r="D699" s="306"/>
      <c r="E699" s="599"/>
      <c r="F699" s="306"/>
      <c r="G699" s="306"/>
      <c r="H699" s="598"/>
      <c r="I699" s="286"/>
      <c r="J699" s="286"/>
      <c r="K699" s="529"/>
      <c r="L699" s="286"/>
      <c r="M699" s="529"/>
      <c r="N699" s="286"/>
      <c r="O699" s="286"/>
      <c r="P699" s="286"/>
      <c r="Q699" s="286"/>
      <c r="R699" s="578"/>
      <c r="S699" s="578"/>
      <c r="T699" s="578"/>
      <c r="U699" s="578"/>
    </row>
    <row r="700">
      <c r="A700" s="286"/>
      <c r="B700" s="286"/>
      <c r="C700" s="529"/>
      <c r="D700" s="306"/>
      <c r="E700" s="599"/>
      <c r="F700" s="306"/>
      <c r="G700" s="306"/>
      <c r="H700" s="598"/>
      <c r="I700" s="286"/>
      <c r="J700" s="286"/>
      <c r="K700" s="529"/>
      <c r="L700" s="286"/>
      <c r="M700" s="529"/>
      <c r="N700" s="286"/>
      <c r="O700" s="286"/>
      <c r="P700" s="286"/>
      <c r="Q700" s="286"/>
      <c r="R700" s="578"/>
      <c r="S700" s="578"/>
      <c r="T700" s="578"/>
      <c r="U700" s="578"/>
    </row>
    <row r="701">
      <c r="A701" s="286"/>
      <c r="B701" s="286"/>
      <c r="C701" s="529"/>
      <c r="D701" s="306"/>
      <c r="E701" s="599"/>
      <c r="F701" s="306"/>
      <c r="G701" s="306"/>
      <c r="H701" s="598"/>
      <c r="I701" s="286"/>
      <c r="J701" s="286"/>
      <c r="K701" s="529"/>
      <c r="L701" s="286"/>
      <c r="M701" s="529"/>
      <c r="N701" s="286"/>
      <c r="O701" s="286"/>
      <c r="P701" s="286"/>
      <c r="Q701" s="286"/>
      <c r="R701" s="578"/>
      <c r="S701" s="578"/>
      <c r="T701" s="578"/>
      <c r="U701" s="578"/>
    </row>
    <row r="702">
      <c r="A702" s="286"/>
      <c r="B702" s="286"/>
      <c r="C702" s="529"/>
      <c r="D702" s="306"/>
      <c r="E702" s="599"/>
      <c r="F702" s="306"/>
      <c r="G702" s="306"/>
      <c r="H702" s="598"/>
      <c r="I702" s="286"/>
      <c r="J702" s="286"/>
      <c r="K702" s="529"/>
      <c r="L702" s="286"/>
      <c r="M702" s="529"/>
      <c r="N702" s="286"/>
      <c r="O702" s="286"/>
      <c r="P702" s="286"/>
      <c r="Q702" s="286"/>
      <c r="R702" s="578"/>
      <c r="S702" s="578"/>
      <c r="T702" s="578"/>
      <c r="U702" s="578"/>
    </row>
    <row r="703">
      <c r="A703" s="286"/>
      <c r="B703" s="286"/>
      <c r="C703" s="529"/>
      <c r="D703" s="306"/>
      <c r="E703" s="599"/>
      <c r="F703" s="306"/>
      <c r="G703" s="306"/>
      <c r="H703" s="598"/>
      <c r="I703" s="286"/>
      <c r="J703" s="286"/>
      <c r="K703" s="529"/>
      <c r="L703" s="286"/>
      <c r="M703" s="529"/>
      <c r="N703" s="286"/>
      <c r="O703" s="286"/>
      <c r="P703" s="286"/>
      <c r="Q703" s="286"/>
      <c r="R703" s="578"/>
      <c r="S703" s="578"/>
      <c r="T703" s="578"/>
      <c r="U703" s="578"/>
    </row>
    <row r="704">
      <c r="A704" s="286"/>
      <c r="B704" s="286"/>
      <c r="C704" s="529"/>
      <c r="D704" s="306"/>
      <c r="E704" s="599"/>
      <c r="F704" s="306"/>
      <c r="G704" s="306"/>
      <c r="H704" s="598"/>
      <c r="I704" s="286"/>
      <c r="J704" s="286"/>
      <c r="K704" s="529"/>
      <c r="L704" s="286"/>
      <c r="M704" s="529"/>
      <c r="N704" s="286"/>
      <c r="O704" s="286"/>
      <c r="P704" s="286"/>
      <c r="Q704" s="286"/>
      <c r="R704" s="578"/>
      <c r="S704" s="578"/>
      <c r="T704" s="578"/>
      <c r="U704" s="578"/>
    </row>
    <row r="705">
      <c r="A705" s="286"/>
      <c r="B705" s="286"/>
      <c r="C705" s="529"/>
      <c r="D705" s="306"/>
      <c r="E705" s="599"/>
      <c r="F705" s="306"/>
      <c r="G705" s="306"/>
      <c r="H705" s="598"/>
      <c r="I705" s="286"/>
      <c r="J705" s="286"/>
      <c r="K705" s="529"/>
      <c r="L705" s="286"/>
      <c r="M705" s="529"/>
      <c r="N705" s="286"/>
      <c r="O705" s="286"/>
      <c r="P705" s="286"/>
      <c r="Q705" s="286"/>
      <c r="R705" s="578"/>
      <c r="S705" s="578"/>
      <c r="T705" s="578"/>
      <c r="U705" s="578"/>
    </row>
    <row r="706">
      <c r="A706" s="286"/>
      <c r="B706" s="286"/>
      <c r="C706" s="529"/>
      <c r="D706" s="306"/>
      <c r="E706" s="599"/>
      <c r="F706" s="306"/>
      <c r="G706" s="306"/>
      <c r="H706" s="598"/>
      <c r="I706" s="286"/>
      <c r="J706" s="286"/>
      <c r="K706" s="529"/>
      <c r="L706" s="286"/>
      <c r="M706" s="529"/>
      <c r="N706" s="286"/>
      <c r="O706" s="286"/>
      <c r="P706" s="286"/>
      <c r="Q706" s="286"/>
      <c r="R706" s="578"/>
      <c r="S706" s="578"/>
      <c r="T706" s="578"/>
      <c r="U706" s="578"/>
    </row>
    <row r="707">
      <c r="A707" s="286"/>
      <c r="B707" s="286"/>
      <c r="C707" s="529"/>
      <c r="D707" s="306"/>
      <c r="E707" s="599"/>
      <c r="F707" s="306"/>
      <c r="G707" s="306"/>
      <c r="H707" s="598"/>
      <c r="I707" s="286"/>
      <c r="J707" s="286"/>
      <c r="K707" s="529"/>
      <c r="L707" s="286"/>
      <c r="M707" s="529"/>
      <c r="N707" s="286"/>
      <c r="O707" s="286"/>
      <c r="P707" s="286"/>
      <c r="Q707" s="286"/>
      <c r="R707" s="578"/>
      <c r="S707" s="578"/>
      <c r="T707" s="578"/>
      <c r="U707" s="578"/>
    </row>
    <row r="708">
      <c r="A708" s="286"/>
      <c r="B708" s="286"/>
      <c r="C708" s="529"/>
      <c r="D708" s="306"/>
      <c r="E708" s="599"/>
      <c r="F708" s="306"/>
      <c r="G708" s="306"/>
      <c r="H708" s="598"/>
      <c r="I708" s="286"/>
      <c r="J708" s="286"/>
      <c r="K708" s="529"/>
      <c r="L708" s="286"/>
      <c r="M708" s="529"/>
      <c r="N708" s="286"/>
      <c r="O708" s="286"/>
      <c r="P708" s="286"/>
      <c r="Q708" s="286"/>
      <c r="R708" s="578"/>
      <c r="S708" s="578"/>
      <c r="T708" s="578"/>
      <c r="U708" s="578"/>
    </row>
    <row r="709">
      <c r="A709" s="286"/>
      <c r="B709" s="286"/>
      <c r="C709" s="529"/>
      <c r="D709" s="306"/>
      <c r="E709" s="599"/>
      <c r="F709" s="306"/>
      <c r="G709" s="306"/>
      <c r="H709" s="598"/>
      <c r="I709" s="286"/>
      <c r="J709" s="286"/>
      <c r="K709" s="529"/>
      <c r="L709" s="286"/>
      <c r="M709" s="529"/>
      <c r="N709" s="286"/>
      <c r="O709" s="286"/>
      <c r="P709" s="286"/>
      <c r="Q709" s="286"/>
      <c r="R709" s="578"/>
      <c r="S709" s="578"/>
      <c r="T709" s="578"/>
      <c r="U709" s="578"/>
    </row>
    <row r="710">
      <c r="A710" s="286"/>
      <c r="B710" s="286"/>
      <c r="C710" s="529"/>
      <c r="D710" s="306"/>
      <c r="E710" s="599"/>
      <c r="F710" s="306"/>
      <c r="G710" s="306"/>
      <c r="H710" s="598"/>
      <c r="I710" s="286"/>
      <c r="J710" s="286"/>
      <c r="K710" s="529"/>
      <c r="L710" s="286"/>
      <c r="M710" s="529"/>
      <c r="N710" s="286"/>
      <c r="O710" s="286"/>
      <c r="P710" s="286"/>
      <c r="Q710" s="286"/>
      <c r="R710" s="578"/>
      <c r="S710" s="578"/>
      <c r="T710" s="578"/>
      <c r="U710" s="578"/>
    </row>
    <row r="711">
      <c r="A711" s="286"/>
      <c r="B711" s="286"/>
      <c r="C711" s="529"/>
      <c r="D711" s="306"/>
      <c r="E711" s="599"/>
      <c r="F711" s="306"/>
      <c r="G711" s="306"/>
      <c r="H711" s="598"/>
      <c r="I711" s="286"/>
      <c r="J711" s="286"/>
      <c r="K711" s="529"/>
      <c r="L711" s="286"/>
      <c r="M711" s="529"/>
      <c r="N711" s="286"/>
      <c r="O711" s="286"/>
      <c r="P711" s="286"/>
      <c r="Q711" s="286"/>
      <c r="R711" s="578"/>
      <c r="S711" s="578"/>
      <c r="T711" s="578"/>
      <c r="U711" s="578"/>
    </row>
    <row r="712">
      <c r="A712" s="286"/>
      <c r="B712" s="286"/>
      <c r="C712" s="529"/>
      <c r="D712" s="306"/>
      <c r="E712" s="599"/>
      <c r="F712" s="306"/>
      <c r="G712" s="306"/>
      <c r="H712" s="598"/>
      <c r="I712" s="286"/>
      <c r="J712" s="286"/>
      <c r="K712" s="529"/>
      <c r="L712" s="286"/>
      <c r="M712" s="529"/>
      <c r="N712" s="286"/>
      <c r="O712" s="286"/>
      <c r="P712" s="286"/>
      <c r="Q712" s="286"/>
      <c r="R712" s="578"/>
      <c r="S712" s="578"/>
      <c r="T712" s="578"/>
      <c r="U712" s="578"/>
    </row>
    <row r="713">
      <c r="A713" s="286"/>
      <c r="B713" s="286"/>
      <c r="C713" s="529"/>
      <c r="D713" s="306"/>
      <c r="E713" s="599"/>
      <c r="F713" s="306"/>
      <c r="G713" s="306"/>
      <c r="H713" s="598"/>
      <c r="I713" s="286"/>
      <c r="J713" s="286"/>
      <c r="K713" s="529"/>
      <c r="L713" s="286"/>
      <c r="M713" s="529"/>
      <c r="N713" s="286"/>
      <c r="O713" s="286"/>
      <c r="P713" s="286"/>
      <c r="Q713" s="286"/>
      <c r="R713" s="578"/>
      <c r="S713" s="578"/>
      <c r="T713" s="578"/>
      <c r="U713" s="578"/>
    </row>
    <row r="714">
      <c r="A714" s="286"/>
      <c r="B714" s="286"/>
      <c r="C714" s="529"/>
      <c r="D714" s="306"/>
      <c r="E714" s="599"/>
      <c r="F714" s="306"/>
      <c r="G714" s="306"/>
      <c r="H714" s="598"/>
      <c r="I714" s="286"/>
      <c r="J714" s="286"/>
      <c r="K714" s="529"/>
      <c r="L714" s="286"/>
      <c r="M714" s="529"/>
      <c r="N714" s="286"/>
      <c r="O714" s="286"/>
      <c r="P714" s="286"/>
      <c r="Q714" s="286"/>
      <c r="R714" s="578"/>
      <c r="S714" s="578"/>
      <c r="T714" s="578"/>
      <c r="U714" s="578"/>
    </row>
    <row r="715">
      <c r="A715" s="286"/>
      <c r="B715" s="286"/>
      <c r="C715" s="529"/>
      <c r="D715" s="306"/>
      <c r="E715" s="599"/>
      <c r="F715" s="306"/>
      <c r="G715" s="306"/>
      <c r="H715" s="598"/>
      <c r="I715" s="286"/>
      <c r="J715" s="286"/>
      <c r="K715" s="529"/>
      <c r="L715" s="286"/>
      <c r="M715" s="529"/>
      <c r="N715" s="286"/>
      <c r="O715" s="286"/>
      <c r="P715" s="286"/>
      <c r="Q715" s="286"/>
      <c r="R715" s="578"/>
      <c r="S715" s="578"/>
      <c r="T715" s="578"/>
      <c r="U715" s="578"/>
    </row>
    <row r="716">
      <c r="A716" s="286"/>
      <c r="B716" s="286"/>
      <c r="C716" s="529"/>
      <c r="D716" s="306"/>
      <c r="E716" s="599"/>
      <c r="F716" s="306"/>
      <c r="G716" s="306"/>
      <c r="H716" s="598"/>
      <c r="I716" s="286"/>
      <c r="J716" s="286"/>
      <c r="K716" s="529"/>
      <c r="L716" s="286"/>
      <c r="M716" s="529"/>
      <c r="N716" s="286"/>
      <c r="O716" s="286"/>
      <c r="P716" s="286"/>
      <c r="Q716" s="286"/>
      <c r="R716" s="578"/>
      <c r="S716" s="578"/>
      <c r="T716" s="578"/>
      <c r="U716" s="578"/>
    </row>
    <row r="717">
      <c r="A717" s="286"/>
      <c r="B717" s="286"/>
      <c r="C717" s="529"/>
      <c r="D717" s="306"/>
      <c r="E717" s="599"/>
      <c r="F717" s="306"/>
      <c r="G717" s="306"/>
      <c r="H717" s="598"/>
      <c r="I717" s="286"/>
      <c r="J717" s="286"/>
      <c r="K717" s="529"/>
      <c r="L717" s="286"/>
      <c r="M717" s="529"/>
      <c r="N717" s="286"/>
      <c r="O717" s="286"/>
      <c r="P717" s="286"/>
      <c r="Q717" s="286"/>
      <c r="R717" s="578"/>
      <c r="S717" s="578"/>
      <c r="T717" s="578"/>
      <c r="U717" s="578"/>
    </row>
    <row r="718">
      <c r="A718" s="286"/>
      <c r="B718" s="286"/>
      <c r="C718" s="529"/>
      <c r="D718" s="306"/>
      <c r="E718" s="599"/>
      <c r="F718" s="306"/>
      <c r="G718" s="306"/>
      <c r="H718" s="598"/>
      <c r="I718" s="286"/>
      <c r="J718" s="286"/>
      <c r="K718" s="529"/>
      <c r="L718" s="286"/>
      <c r="M718" s="529"/>
      <c r="N718" s="286"/>
      <c r="O718" s="286"/>
      <c r="P718" s="286"/>
      <c r="Q718" s="286"/>
      <c r="R718" s="578"/>
      <c r="S718" s="578"/>
      <c r="T718" s="578"/>
      <c r="U718" s="578"/>
    </row>
    <row r="719">
      <c r="A719" s="286"/>
      <c r="B719" s="286"/>
      <c r="C719" s="529"/>
      <c r="D719" s="306"/>
      <c r="E719" s="599"/>
      <c r="F719" s="306"/>
      <c r="G719" s="306"/>
      <c r="H719" s="598"/>
      <c r="I719" s="286"/>
      <c r="J719" s="286"/>
      <c r="K719" s="529"/>
      <c r="L719" s="286"/>
      <c r="M719" s="529"/>
      <c r="N719" s="286"/>
      <c r="O719" s="286"/>
      <c r="P719" s="286"/>
      <c r="Q719" s="286"/>
      <c r="R719" s="578"/>
      <c r="S719" s="578"/>
      <c r="T719" s="578"/>
      <c r="U719" s="578"/>
    </row>
    <row r="720">
      <c r="A720" s="286"/>
      <c r="B720" s="286"/>
      <c r="C720" s="529"/>
      <c r="D720" s="306"/>
      <c r="E720" s="599"/>
      <c r="F720" s="306"/>
      <c r="G720" s="306"/>
      <c r="H720" s="598"/>
      <c r="I720" s="286"/>
      <c r="J720" s="286"/>
      <c r="K720" s="529"/>
      <c r="L720" s="286"/>
      <c r="M720" s="529"/>
      <c r="N720" s="286"/>
      <c r="O720" s="286"/>
      <c r="P720" s="286"/>
      <c r="Q720" s="286"/>
      <c r="R720" s="578"/>
      <c r="S720" s="578"/>
      <c r="T720" s="578"/>
      <c r="U720" s="578"/>
    </row>
    <row r="721">
      <c r="A721" s="286"/>
      <c r="B721" s="286"/>
      <c r="C721" s="529"/>
      <c r="D721" s="306"/>
      <c r="E721" s="599"/>
      <c r="F721" s="306"/>
      <c r="G721" s="306"/>
      <c r="H721" s="598"/>
      <c r="I721" s="286"/>
      <c r="J721" s="286"/>
      <c r="K721" s="529"/>
      <c r="L721" s="286"/>
      <c r="M721" s="529"/>
      <c r="N721" s="286"/>
      <c r="O721" s="286"/>
      <c r="P721" s="286"/>
      <c r="Q721" s="286"/>
      <c r="R721" s="578"/>
      <c r="S721" s="578"/>
      <c r="T721" s="578"/>
      <c r="U721" s="578"/>
    </row>
    <row r="722">
      <c r="A722" s="286"/>
      <c r="B722" s="286"/>
      <c r="C722" s="529"/>
      <c r="D722" s="306"/>
      <c r="E722" s="599"/>
      <c r="F722" s="306"/>
      <c r="G722" s="306"/>
      <c r="H722" s="598"/>
      <c r="I722" s="286"/>
      <c r="J722" s="286"/>
      <c r="K722" s="529"/>
      <c r="L722" s="286"/>
      <c r="M722" s="529"/>
      <c r="N722" s="286"/>
      <c r="O722" s="286"/>
      <c r="P722" s="286"/>
      <c r="Q722" s="286"/>
      <c r="R722" s="578"/>
      <c r="S722" s="578"/>
      <c r="T722" s="578"/>
      <c r="U722" s="578"/>
    </row>
    <row r="723">
      <c r="A723" s="286"/>
      <c r="B723" s="286"/>
      <c r="C723" s="529"/>
      <c r="D723" s="306"/>
      <c r="E723" s="599"/>
      <c r="F723" s="306"/>
      <c r="G723" s="306"/>
      <c r="H723" s="598"/>
      <c r="I723" s="286"/>
      <c r="J723" s="286"/>
      <c r="K723" s="529"/>
      <c r="L723" s="286"/>
      <c r="M723" s="529"/>
      <c r="N723" s="286"/>
      <c r="O723" s="286"/>
      <c r="P723" s="286"/>
      <c r="Q723" s="286"/>
      <c r="R723" s="578"/>
      <c r="S723" s="578"/>
      <c r="T723" s="578"/>
      <c r="U723" s="578"/>
    </row>
    <row r="724">
      <c r="A724" s="286"/>
      <c r="B724" s="286"/>
      <c r="C724" s="529"/>
      <c r="D724" s="306"/>
      <c r="E724" s="599"/>
      <c r="F724" s="306"/>
      <c r="G724" s="306"/>
      <c r="H724" s="598"/>
      <c r="I724" s="286"/>
      <c r="J724" s="286"/>
      <c r="K724" s="529"/>
      <c r="L724" s="286"/>
      <c r="M724" s="529"/>
      <c r="N724" s="286"/>
      <c r="O724" s="286"/>
      <c r="P724" s="286"/>
      <c r="Q724" s="286"/>
      <c r="R724" s="578"/>
      <c r="S724" s="578"/>
      <c r="T724" s="578"/>
      <c r="U724" s="578"/>
    </row>
    <row r="725">
      <c r="A725" s="286"/>
      <c r="B725" s="286"/>
      <c r="C725" s="529"/>
      <c r="D725" s="306"/>
      <c r="E725" s="599"/>
      <c r="F725" s="306"/>
      <c r="G725" s="306"/>
      <c r="H725" s="598"/>
      <c r="I725" s="286"/>
      <c r="J725" s="286"/>
      <c r="K725" s="529"/>
      <c r="L725" s="286"/>
      <c r="M725" s="529"/>
      <c r="N725" s="286"/>
      <c r="O725" s="286"/>
      <c r="P725" s="286"/>
      <c r="Q725" s="286"/>
      <c r="R725" s="578"/>
      <c r="S725" s="578"/>
      <c r="T725" s="578"/>
      <c r="U725" s="578"/>
    </row>
    <row r="726">
      <c r="A726" s="286"/>
      <c r="B726" s="286"/>
      <c r="C726" s="529"/>
      <c r="D726" s="306"/>
      <c r="E726" s="599"/>
      <c r="F726" s="306"/>
      <c r="G726" s="306"/>
      <c r="H726" s="598"/>
      <c r="I726" s="286"/>
      <c r="J726" s="286"/>
      <c r="K726" s="529"/>
      <c r="L726" s="286"/>
      <c r="M726" s="529"/>
      <c r="N726" s="286"/>
      <c r="O726" s="286"/>
      <c r="P726" s="286"/>
      <c r="Q726" s="286"/>
      <c r="R726" s="578"/>
      <c r="S726" s="578"/>
      <c r="T726" s="578"/>
      <c r="U726" s="578"/>
    </row>
    <row r="727">
      <c r="A727" s="286"/>
      <c r="B727" s="286"/>
      <c r="C727" s="529"/>
      <c r="D727" s="306"/>
      <c r="E727" s="599"/>
      <c r="F727" s="306"/>
      <c r="G727" s="306"/>
      <c r="H727" s="598"/>
      <c r="I727" s="286"/>
      <c r="J727" s="286"/>
      <c r="K727" s="529"/>
      <c r="L727" s="286"/>
      <c r="M727" s="529"/>
      <c r="N727" s="286"/>
      <c r="O727" s="286"/>
      <c r="P727" s="286"/>
      <c r="Q727" s="286"/>
      <c r="R727" s="578"/>
      <c r="S727" s="578"/>
      <c r="T727" s="578"/>
      <c r="U727" s="578"/>
    </row>
    <row r="728">
      <c r="A728" s="286"/>
      <c r="B728" s="286"/>
      <c r="C728" s="529"/>
      <c r="D728" s="306"/>
      <c r="E728" s="599"/>
      <c r="F728" s="306"/>
      <c r="G728" s="306"/>
      <c r="H728" s="598"/>
      <c r="I728" s="286"/>
      <c r="J728" s="286"/>
      <c r="K728" s="529"/>
      <c r="L728" s="286"/>
      <c r="M728" s="529"/>
      <c r="N728" s="286"/>
      <c r="O728" s="286"/>
      <c r="P728" s="286"/>
      <c r="Q728" s="286"/>
      <c r="R728" s="578"/>
      <c r="S728" s="578"/>
      <c r="T728" s="578"/>
      <c r="U728" s="578"/>
    </row>
    <row r="729">
      <c r="A729" s="286"/>
      <c r="B729" s="286"/>
      <c r="C729" s="529"/>
      <c r="D729" s="306"/>
      <c r="E729" s="599"/>
      <c r="F729" s="306"/>
      <c r="G729" s="306"/>
      <c r="H729" s="598"/>
      <c r="I729" s="286"/>
      <c r="J729" s="286"/>
      <c r="K729" s="529"/>
      <c r="L729" s="286"/>
      <c r="M729" s="529"/>
      <c r="N729" s="286"/>
      <c r="O729" s="286"/>
      <c r="P729" s="286"/>
      <c r="Q729" s="286"/>
      <c r="R729" s="578"/>
      <c r="S729" s="578"/>
      <c r="T729" s="578"/>
      <c r="U729" s="578"/>
    </row>
    <row r="730">
      <c r="A730" s="286"/>
      <c r="B730" s="286"/>
      <c r="C730" s="529"/>
      <c r="D730" s="306"/>
      <c r="E730" s="599"/>
      <c r="F730" s="306"/>
      <c r="G730" s="306"/>
      <c r="H730" s="598"/>
      <c r="I730" s="286"/>
      <c r="J730" s="286"/>
      <c r="K730" s="529"/>
      <c r="L730" s="286"/>
      <c r="M730" s="529"/>
      <c r="N730" s="286"/>
      <c r="O730" s="286"/>
      <c r="P730" s="286"/>
      <c r="Q730" s="286"/>
      <c r="R730" s="578"/>
      <c r="S730" s="578"/>
      <c r="T730" s="578"/>
      <c r="U730" s="578"/>
    </row>
    <row r="731">
      <c r="A731" s="286"/>
      <c r="B731" s="286"/>
      <c r="C731" s="529"/>
      <c r="D731" s="306"/>
      <c r="E731" s="599"/>
      <c r="F731" s="306"/>
      <c r="G731" s="306"/>
      <c r="H731" s="598"/>
      <c r="I731" s="286"/>
      <c r="J731" s="286"/>
      <c r="K731" s="529"/>
      <c r="L731" s="286"/>
      <c r="M731" s="529"/>
      <c r="N731" s="286"/>
      <c r="O731" s="286"/>
      <c r="P731" s="286"/>
      <c r="Q731" s="286"/>
      <c r="R731" s="578"/>
      <c r="S731" s="578"/>
      <c r="T731" s="578"/>
      <c r="U731" s="578"/>
    </row>
    <row r="732">
      <c r="A732" s="286"/>
      <c r="B732" s="286"/>
      <c r="C732" s="529"/>
      <c r="D732" s="306"/>
      <c r="E732" s="599"/>
      <c r="F732" s="306"/>
      <c r="G732" s="306"/>
      <c r="H732" s="598"/>
      <c r="I732" s="286"/>
      <c r="J732" s="286"/>
      <c r="K732" s="529"/>
      <c r="L732" s="286"/>
      <c r="M732" s="529"/>
      <c r="N732" s="286"/>
      <c r="O732" s="286"/>
      <c r="P732" s="286"/>
      <c r="Q732" s="286"/>
      <c r="R732" s="578"/>
      <c r="S732" s="578"/>
      <c r="T732" s="578"/>
      <c r="U732" s="578"/>
    </row>
    <row r="733">
      <c r="A733" s="286"/>
      <c r="B733" s="286"/>
      <c r="C733" s="529"/>
      <c r="D733" s="306"/>
      <c r="E733" s="599"/>
      <c r="F733" s="306"/>
      <c r="G733" s="306"/>
      <c r="H733" s="598"/>
      <c r="I733" s="286"/>
      <c r="J733" s="286"/>
      <c r="K733" s="529"/>
      <c r="L733" s="286"/>
      <c r="M733" s="529"/>
      <c r="N733" s="286"/>
      <c r="O733" s="286"/>
      <c r="P733" s="286"/>
      <c r="Q733" s="286"/>
      <c r="R733" s="578"/>
      <c r="S733" s="578"/>
      <c r="T733" s="578"/>
      <c r="U733" s="578"/>
    </row>
    <row r="734">
      <c r="A734" s="286"/>
      <c r="B734" s="286"/>
      <c r="C734" s="529"/>
      <c r="D734" s="306"/>
      <c r="E734" s="599"/>
      <c r="F734" s="306"/>
      <c r="G734" s="306"/>
      <c r="H734" s="598"/>
      <c r="I734" s="286"/>
      <c r="J734" s="286"/>
      <c r="K734" s="529"/>
      <c r="L734" s="286"/>
      <c r="M734" s="529"/>
      <c r="N734" s="286"/>
      <c r="O734" s="286"/>
      <c r="P734" s="286"/>
      <c r="Q734" s="286"/>
      <c r="R734" s="578"/>
      <c r="S734" s="578"/>
      <c r="T734" s="578"/>
      <c r="U734" s="578"/>
    </row>
    <row r="735">
      <c r="A735" s="286"/>
      <c r="B735" s="286"/>
      <c r="C735" s="529"/>
      <c r="D735" s="306"/>
      <c r="E735" s="599"/>
      <c r="F735" s="306"/>
      <c r="G735" s="306"/>
      <c r="H735" s="598"/>
      <c r="I735" s="286"/>
      <c r="J735" s="286"/>
      <c r="K735" s="529"/>
      <c r="L735" s="286"/>
      <c r="M735" s="529"/>
      <c r="N735" s="286"/>
      <c r="O735" s="286"/>
      <c r="P735" s="286"/>
      <c r="Q735" s="286"/>
      <c r="R735" s="578"/>
      <c r="S735" s="578"/>
      <c r="T735" s="578"/>
      <c r="U735" s="578"/>
    </row>
    <row r="736">
      <c r="A736" s="286"/>
      <c r="B736" s="286"/>
      <c r="C736" s="529"/>
      <c r="D736" s="306"/>
      <c r="E736" s="599"/>
      <c r="F736" s="306"/>
      <c r="G736" s="306"/>
      <c r="H736" s="598"/>
      <c r="I736" s="286"/>
      <c r="J736" s="286"/>
      <c r="K736" s="529"/>
      <c r="L736" s="286"/>
      <c r="M736" s="529"/>
      <c r="N736" s="286"/>
      <c r="O736" s="286"/>
      <c r="P736" s="286"/>
      <c r="Q736" s="286"/>
      <c r="R736" s="578"/>
      <c r="S736" s="578"/>
      <c r="T736" s="578"/>
      <c r="U736" s="578"/>
    </row>
    <row r="737">
      <c r="A737" s="286"/>
      <c r="B737" s="286"/>
      <c r="C737" s="529"/>
      <c r="D737" s="306"/>
      <c r="E737" s="599"/>
      <c r="F737" s="306"/>
      <c r="G737" s="306"/>
      <c r="H737" s="598"/>
      <c r="I737" s="286"/>
      <c r="J737" s="286"/>
      <c r="K737" s="529"/>
      <c r="L737" s="286"/>
      <c r="M737" s="529"/>
      <c r="N737" s="286"/>
      <c r="O737" s="286"/>
      <c r="P737" s="286"/>
      <c r="Q737" s="286"/>
      <c r="R737" s="578"/>
      <c r="S737" s="578"/>
      <c r="T737" s="578"/>
      <c r="U737" s="578"/>
    </row>
    <row r="738">
      <c r="A738" s="286"/>
      <c r="B738" s="286"/>
      <c r="C738" s="529"/>
      <c r="D738" s="306"/>
      <c r="E738" s="599"/>
      <c r="F738" s="306"/>
      <c r="G738" s="306"/>
      <c r="H738" s="598"/>
      <c r="I738" s="286"/>
      <c r="J738" s="286"/>
      <c r="K738" s="529"/>
      <c r="L738" s="286"/>
      <c r="M738" s="529"/>
      <c r="N738" s="286"/>
      <c r="O738" s="286"/>
      <c r="P738" s="286"/>
      <c r="Q738" s="286"/>
      <c r="R738" s="578"/>
      <c r="S738" s="578"/>
      <c r="T738" s="578"/>
      <c r="U738" s="578"/>
    </row>
    <row r="739">
      <c r="A739" s="286"/>
      <c r="B739" s="286"/>
      <c r="C739" s="529"/>
      <c r="D739" s="306"/>
      <c r="E739" s="599"/>
      <c r="F739" s="306"/>
      <c r="G739" s="306"/>
      <c r="H739" s="598"/>
      <c r="I739" s="286"/>
      <c r="J739" s="286"/>
      <c r="K739" s="529"/>
      <c r="L739" s="286"/>
      <c r="M739" s="529"/>
      <c r="N739" s="286"/>
      <c r="O739" s="286"/>
      <c r="P739" s="286"/>
      <c r="Q739" s="286"/>
      <c r="R739" s="578"/>
      <c r="S739" s="578"/>
      <c r="T739" s="578"/>
      <c r="U739" s="578"/>
    </row>
    <row r="740">
      <c r="A740" s="286"/>
      <c r="B740" s="286"/>
      <c r="C740" s="529"/>
      <c r="D740" s="306"/>
      <c r="E740" s="599"/>
      <c r="F740" s="306"/>
      <c r="G740" s="306"/>
      <c r="H740" s="598"/>
      <c r="I740" s="286"/>
      <c r="J740" s="286"/>
      <c r="K740" s="529"/>
      <c r="L740" s="286"/>
      <c r="M740" s="529"/>
      <c r="N740" s="286"/>
      <c r="O740" s="286"/>
      <c r="P740" s="286"/>
      <c r="Q740" s="286"/>
      <c r="R740" s="578"/>
      <c r="S740" s="578"/>
      <c r="T740" s="578"/>
      <c r="U740" s="578"/>
    </row>
    <row r="741">
      <c r="A741" s="286"/>
      <c r="B741" s="286"/>
      <c r="C741" s="529"/>
      <c r="D741" s="306"/>
      <c r="E741" s="599"/>
      <c r="F741" s="306"/>
      <c r="G741" s="306"/>
      <c r="H741" s="598"/>
      <c r="I741" s="286"/>
      <c r="J741" s="286"/>
      <c r="K741" s="529"/>
      <c r="L741" s="286"/>
      <c r="M741" s="529"/>
      <c r="N741" s="286"/>
      <c r="O741" s="286"/>
      <c r="P741" s="286"/>
      <c r="Q741" s="286"/>
      <c r="R741" s="578"/>
      <c r="S741" s="578"/>
      <c r="T741" s="578"/>
      <c r="U741" s="578"/>
    </row>
    <row r="742">
      <c r="A742" s="286"/>
      <c r="B742" s="286"/>
      <c r="C742" s="529"/>
      <c r="D742" s="306"/>
      <c r="E742" s="599"/>
      <c r="F742" s="306"/>
      <c r="G742" s="306"/>
      <c r="H742" s="598"/>
      <c r="I742" s="286"/>
      <c r="J742" s="286"/>
      <c r="K742" s="529"/>
      <c r="L742" s="286"/>
      <c r="M742" s="529"/>
      <c r="N742" s="286"/>
      <c r="O742" s="286"/>
      <c r="P742" s="286"/>
      <c r="Q742" s="286"/>
      <c r="R742" s="578"/>
      <c r="S742" s="578"/>
      <c r="T742" s="578"/>
      <c r="U742" s="578"/>
    </row>
    <row r="743">
      <c r="A743" s="286"/>
      <c r="B743" s="286"/>
      <c r="C743" s="529"/>
      <c r="D743" s="306"/>
      <c r="E743" s="599"/>
      <c r="F743" s="306"/>
      <c r="G743" s="306"/>
      <c r="H743" s="598"/>
      <c r="I743" s="286"/>
      <c r="J743" s="286"/>
      <c r="K743" s="529"/>
      <c r="L743" s="286"/>
      <c r="M743" s="529"/>
      <c r="N743" s="286"/>
      <c r="O743" s="286"/>
      <c r="P743" s="286"/>
      <c r="Q743" s="286"/>
      <c r="R743" s="578"/>
      <c r="S743" s="578"/>
      <c r="T743" s="578"/>
      <c r="U743" s="578"/>
    </row>
    <row r="744">
      <c r="A744" s="286"/>
      <c r="B744" s="286"/>
      <c r="C744" s="529"/>
      <c r="D744" s="306"/>
      <c r="E744" s="599"/>
      <c r="F744" s="306"/>
      <c r="G744" s="306"/>
      <c r="H744" s="598"/>
      <c r="I744" s="286"/>
      <c r="J744" s="286"/>
      <c r="K744" s="529"/>
      <c r="L744" s="286"/>
      <c r="M744" s="529"/>
      <c r="N744" s="286"/>
      <c r="O744" s="286"/>
      <c r="P744" s="286"/>
      <c r="Q744" s="286"/>
      <c r="R744" s="578"/>
      <c r="S744" s="578"/>
      <c r="T744" s="578"/>
      <c r="U744" s="578"/>
    </row>
    <row r="745">
      <c r="A745" s="286"/>
      <c r="B745" s="286"/>
      <c r="C745" s="529"/>
      <c r="D745" s="306"/>
      <c r="E745" s="599"/>
      <c r="F745" s="306"/>
      <c r="G745" s="306"/>
      <c r="H745" s="598"/>
      <c r="I745" s="286"/>
      <c r="J745" s="286"/>
      <c r="K745" s="529"/>
      <c r="L745" s="286"/>
      <c r="M745" s="529"/>
      <c r="N745" s="286"/>
      <c r="O745" s="286"/>
      <c r="P745" s="286"/>
      <c r="Q745" s="286"/>
      <c r="R745" s="578"/>
      <c r="S745" s="578"/>
      <c r="T745" s="578"/>
      <c r="U745" s="578"/>
    </row>
    <row r="746">
      <c r="A746" s="286"/>
      <c r="B746" s="286"/>
      <c r="C746" s="529"/>
      <c r="D746" s="306"/>
      <c r="E746" s="599"/>
      <c r="F746" s="306"/>
      <c r="G746" s="306"/>
      <c r="H746" s="598"/>
      <c r="I746" s="286"/>
      <c r="J746" s="286"/>
      <c r="K746" s="529"/>
      <c r="L746" s="286"/>
      <c r="M746" s="529"/>
      <c r="N746" s="286"/>
      <c r="O746" s="286"/>
      <c r="P746" s="286"/>
      <c r="Q746" s="286"/>
      <c r="R746" s="578"/>
      <c r="S746" s="578"/>
      <c r="T746" s="578"/>
      <c r="U746" s="578"/>
    </row>
    <row r="747">
      <c r="A747" s="286"/>
      <c r="B747" s="286"/>
      <c r="C747" s="529"/>
      <c r="D747" s="306"/>
      <c r="E747" s="599"/>
      <c r="F747" s="306"/>
      <c r="G747" s="306"/>
      <c r="H747" s="598"/>
      <c r="I747" s="286"/>
      <c r="J747" s="286"/>
      <c r="K747" s="529"/>
      <c r="L747" s="286"/>
      <c r="M747" s="529"/>
      <c r="N747" s="286"/>
      <c r="O747" s="286"/>
      <c r="P747" s="286"/>
      <c r="Q747" s="286"/>
      <c r="R747" s="578"/>
      <c r="S747" s="578"/>
      <c r="T747" s="578"/>
      <c r="U747" s="578"/>
    </row>
    <row r="748">
      <c r="A748" s="286"/>
      <c r="B748" s="286"/>
      <c r="C748" s="529"/>
      <c r="D748" s="306"/>
      <c r="E748" s="599"/>
      <c r="F748" s="306"/>
      <c r="G748" s="306"/>
      <c r="H748" s="598"/>
      <c r="I748" s="286"/>
      <c r="J748" s="286"/>
      <c r="K748" s="529"/>
      <c r="L748" s="286"/>
      <c r="M748" s="529"/>
      <c r="N748" s="286"/>
      <c r="O748" s="286"/>
      <c r="P748" s="286"/>
      <c r="Q748" s="286"/>
      <c r="R748" s="578"/>
      <c r="S748" s="578"/>
      <c r="T748" s="578"/>
      <c r="U748" s="578"/>
    </row>
    <row r="749">
      <c r="A749" s="286"/>
      <c r="B749" s="286"/>
      <c r="C749" s="529"/>
      <c r="D749" s="306"/>
      <c r="E749" s="599"/>
      <c r="F749" s="306"/>
      <c r="G749" s="306"/>
      <c r="H749" s="598"/>
      <c r="I749" s="286"/>
      <c r="J749" s="286"/>
      <c r="K749" s="529"/>
      <c r="L749" s="286"/>
      <c r="M749" s="529"/>
      <c r="N749" s="286"/>
      <c r="O749" s="286"/>
      <c r="P749" s="286"/>
      <c r="Q749" s="286"/>
      <c r="R749" s="578"/>
      <c r="S749" s="578"/>
      <c r="T749" s="578"/>
      <c r="U749" s="578"/>
    </row>
    <row r="750">
      <c r="A750" s="286"/>
      <c r="B750" s="286"/>
      <c r="C750" s="529"/>
      <c r="D750" s="306"/>
      <c r="E750" s="599"/>
      <c r="F750" s="306"/>
      <c r="G750" s="306"/>
      <c r="H750" s="598"/>
      <c r="I750" s="286"/>
      <c r="J750" s="286"/>
      <c r="K750" s="529"/>
      <c r="L750" s="286"/>
      <c r="M750" s="529"/>
      <c r="N750" s="286"/>
      <c r="O750" s="286"/>
      <c r="P750" s="286"/>
      <c r="Q750" s="286"/>
      <c r="R750" s="578"/>
      <c r="S750" s="578"/>
      <c r="T750" s="578"/>
      <c r="U750" s="578"/>
    </row>
    <row r="751">
      <c r="A751" s="286"/>
      <c r="B751" s="286"/>
      <c r="C751" s="529"/>
      <c r="D751" s="306"/>
      <c r="E751" s="599"/>
      <c r="F751" s="306"/>
      <c r="G751" s="306"/>
      <c r="H751" s="598"/>
      <c r="I751" s="286"/>
      <c r="J751" s="286"/>
      <c r="K751" s="529"/>
      <c r="L751" s="286"/>
      <c r="M751" s="529"/>
      <c r="N751" s="286"/>
      <c r="O751" s="286"/>
      <c r="P751" s="286"/>
      <c r="Q751" s="286"/>
      <c r="R751" s="578"/>
      <c r="S751" s="578"/>
      <c r="T751" s="578"/>
      <c r="U751" s="578"/>
    </row>
    <row r="752">
      <c r="A752" s="286"/>
      <c r="B752" s="286"/>
      <c r="C752" s="529"/>
      <c r="D752" s="306"/>
      <c r="E752" s="599"/>
      <c r="F752" s="306"/>
      <c r="G752" s="306"/>
      <c r="H752" s="598"/>
      <c r="I752" s="286"/>
      <c r="J752" s="286"/>
      <c r="K752" s="529"/>
      <c r="L752" s="286"/>
      <c r="M752" s="529"/>
      <c r="N752" s="286"/>
      <c r="O752" s="286"/>
      <c r="P752" s="286"/>
      <c r="Q752" s="286"/>
      <c r="R752" s="578"/>
      <c r="S752" s="578"/>
      <c r="T752" s="578"/>
      <c r="U752" s="578"/>
    </row>
    <row r="753">
      <c r="A753" s="286"/>
      <c r="B753" s="286"/>
      <c r="C753" s="529"/>
      <c r="D753" s="306"/>
      <c r="E753" s="599"/>
      <c r="F753" s="306"/>
      <c r="G753" s="306"/>
      <c r="H753" s="598"/>
      <c r="I753" s="286"/>
      <c r="J753" s="286"/>
      <c r="K753" s="529"/>
      <c r="L753" s="286"/>
      <c r="M753" s="529"/>
      <c r="N753" s="286"/>
      <c r="O753" s="286"/>
      <c r="P753" s="286"/>
      <c r="Q753" s="286"/>
      <c r="R753" s="578"/>
      <c r="S753" s="578"/>
      <c r="T753" s="578"/>
      <c r="U753" s="578"/>
    </row>
    <row r="754">
      <c r="A754" s="286"/>
      <c r="B754" s="286"/>
      <c r="C754" s="529"/>
      <c r="D754" s="306"/>
      <c r="E754" s="599"/>
      <c r="F754" s="306"/>
      <c r="G754" s="306"/>
      <c r="H754" s="598"/>
      <c r="I754" s="286"/>
      <c r="J754" s="286"/>
      <c r="K754" s="529"/>
      <c r="L754" s="286"/>
      <c r="M754" s="529"/>
      <c r="N754" s="286"/>
      <c r="O754" s="286"/>
      <c r="P754" s="286"/>
      <c r="Q754" s="286"/>
      <c r="R754" s="578"/>
      <c r="S754" s="578"/>
      <c r="T754" s="578"/>
      <c r="U754" s="578"/>
    </row>
    <row r="755">
      <c r="A755" s="286"/>
      <c r="B755" s="286"/>
      <c r="C755" s="529"/>
      <c r="D755" s="306"/>
      <c r="E755" s="599"/>
      <c r="F755" s="306"/>
      <c r="G755" s="306"/>
      <c r="H755" s="598"/>
      <c r="I755" s="286"/>
      <c r="J755" s="286"/>
      <c r="K755" s="529"/>
      <c r="L755" s="286"/>
      <c r="M755" s="529"/>
      <c r="N755" s="286"/>
      <c r="O755" s="286"/>
      <c r="P755" s="286"/>
      <c r="Q755" s="286"/>
      <c r="R755" s="578"/>
      <c r="S755" s="578"/>
      <c r="T755" s="578"/>
      <c r="U755" s="578"/>
    </row>
    <row r="756">
      <c r="A756" s="286"/>
      <c r="B756" s="286"/>
      <c r="C756" s="529"/>
      <c r="D756" s="306"/>
      <c r="E756" s="599"/>
      <c r="F756" s="306"/>
      <c r="G756" s="306"/>
      <c r="H756" s="598"/>
      <c r="I756" s="286"/>
      <c r="J756" s="286"/>
      <c r="K756" s="529"/>
      <c r="L756" s="286"/>
      <c r="M756" s="529"/>
      <c r="N756" s="286"/>
      <c r="O756" s="286"/>
      <c r="P756" s="286"/>
      <c r="Q756" s="286"/>
      <c r="R756" s="578"/>
      <c r="S756" s="578"/>
      <c r="T756" s="578"/>
      <c r="U756" s="578"/>
    </row>
    <row r="757">
      <c r="A757" s="286"/>
      <c r="B757" s="286"/>
      <c r="C757" s="529"/>
      <c r="D757" s="306"/>
      <c r="E757" s="599"/>
      <c r="F757" s="306"/>
      <c r="G757" s="306"/>
      <c r="H757" s="598"/>
      <c r="I757" s="286"/>
      <c r="J757" s="286"/>
      <c r="K757" s="529"/>
      <c r="L757" s="286"/>
      <c r="M757" s="529"/>
      <c r="N757" s="286"/>
      <c r="O757" s="286"/>
      <c r="P757" s="286"/>
      <c r="Q757" s="286"/>
      <c r="R757" s="578"/>
      <c r="S757" s="578"/>
      <c r="T757" s="578"/>
      <c r="U757" s="578"/>
    </row>
    <row r="758">
      <c r="A758" s="286"/>
      <c r="B758" s="286"/>
      <c r="C758" s="529"/>
      <c r="D758" s="306"/>
      <c r="E758" s="599"/>
      <c r="F758" s="306"/>
      <c r="G758" s="306"/>
      <c r="H758" s="598"/>
      <c r="I758" s="286"/>
      <c r="J758" s="286"/>
      <c r="K758" s="529"/>
      <c r="L758" s="286"/>
      <c r="M758" s="529"/>
      <c r="N758" s="286"/>
      <c r="O758" s="286"/>
      <c r="P758" s="286"/>
      <c r="Q758" s="286"/>
      <c r="R758" s="578"/>
      <c r="S758" s="578"/>
      <c r="T758" s="578"/>
      <c r="U758" s="578"/>
    </row>
    <row r="759">
      <c r="A759" s="286"/>
      <c r="B759" s="286"/>
      <c r="C759" s="529"/>
      <c r="D759" s="306"/>
      <c r="E759" s="599"/>
      <c r="F759" s="306"/>
      <c r="G759" s="306"/>
      <c r="H759" s="598"/>
      <c r="I759" s="286"/>
      <c r="J759" s="286"/>
      <c r="K759" s="529"/>
      <c r="L759" s="286"/>
      <c r="M759" s="529"/>
      <c r="N759" s="286"/>
      <c r="O759" s="286"/>
      <c r="P759" s="286"/>
      <c r="Q759" s="286"/>
      <c r="R759" s="578"/>
      <c r="S759" s="578"/>
      <c r="T759" s="578"/>
      <c r="U759" s="578"/>
    </row>
    <row r="760">
      <c r="A760" s="286"/>
      <c r="B760" s="286"/>
      <c r="C760" s="529"/>
      <c r="D760" s="306"/>
      <c r="E760" s="599"/>
      <c r="F760" s="306"/>
      <c r="G760" s="306"/>
      <c r="H760" s="598"/>
      <c r="I760" s="286"/>
      <c r="J760" s="286"/>
      <c r="K760" s="529"/>
      <c r="L760" s="286"/>
      <c r="M760" s="529"/>
      <c r="N760" s="286"/>
      <c r="O760" s="286"/>
      <c r="P760" s="286"/>
      <c r="Q760" s="286"/>
      <c r="R760" s="578"/>
      <c r="S760" s="578"/>
      <c r="T760" s="578"/>
      <c r="U760" s="578"/>
    </row>
    <row r="761">
      <c r="A761" s="286"/>
      <c r="B761" s="286"/>
      <c r="C761" s="529"/>
      <c r="D761" s="306"/>
      <c r="E761" s="599"/>
      <c r="F761" s="306"/>
      <c r="G761" s="306"/>
      <c r="H761" s="598"/>
      <c r="I761" s="286"/>
      <c r="J761" s="286"/>
      <c r="K761" s="529"/>
      <c r="L761" s="286"/>
      <c r="M761" s="529"/>
      <c r="N761" s="286"/>
      <c r="O761" s="286"/>
      <c r="P761" s="286"/>
      <c r="Q761" s="286"/>
      <c r="R761" s="578"/>
      <c r="S761" s="578"/>
      <c r="T761" s="578"/>
      <c r="U761" s="578"/>
    </row>
    <row r="762">
      <c r="A762" s="286"/>
      <c r="B762" s="286"/>
      <c r="C762" s="529"/>
      <c r="D762" s="306"/>
      <c r="E762" s="599"/>
      <c r="F762" s="306"/>
      <c r="G762" s="306"/>
      <c r="H762" s="598"/>
      <c r="I762" s="286"/>
      <c r="J762" s="286"/>
      <c r="K762" s="529"/>
      <c r="L762" s="286"/>
      <c r="M762" s="529"/>
      <c r="N762" s="286"/>
      <c r="O762" s="286"/>
      <c r="P762" s="286"/>
      <c r="Q762" s="286"/>
      <c r="R762" s="578"/>
      <c r="S762" s="578"/>
      <c r="T762" s="578"/>
      <c r="U762" s="578"/>
    </row>
    <row r="763">
      <c r="A763" s="286"/>
      <c r="B763" s="286"/>
      <c r="C763" s="529"/>
      <c r="D763" s="306"/>
      <c r="E763" s="599"/>
      <c r="F763" s="306"/>
      <c r="G763" s="306"/>
      <c r="H763" s="598"/>
      <c r="I763" s="286"/>
      <c r="J763" s="286"/>
      <c r="K763" s="529"/>
      <c r="L763" s="286"/>
      <c r="M763" s="529"/>
      <c r="N763" s="286"/>
      <c r="O763" s="286"/>
      <c r="P763" s="286"/>
      <c r="Q763" s="286"/>
      <c r="R763" s="578"/>
      <c r="S763" s="578"/>
      <c r="T763" s="578"/>
      <c r="U763" s="578"/>
    </row>
    <row r="764">
      <c r="A764" s="286"/>
      <c r="B764" s="286"/>
      <c r="C764" s="529"/>
      <c r="D764" s="306"/>
      <c r="E764" s="599"/>
      <c r="F764" s="306"/>
      <c r="G764" s="306"/>
      <c r="H764" s="598"/>
      <c r="I764" s="286"/>
      <c r="J764" s="286"/>
      <c r="K764" s="529"/>
      <c r="L764" s="286"/>
      <c r="M764" s="529"/>
      <c r="N764" s="286"/>
      <c r="O764" s="286"/>
      <c r="P764" s="286"/>
      <c r="Q764" s="286"/>
      <c r="R764" s="578"/>
      <c r="S764" s="578"/>
      <c r="T764" s="578"/>
      <c r="U764" s="578"/>
    </row>
    <row r="765">
      <c r="A765" s="286"/>
      <c r="B765" s="286"/>
      <c r="C765" s="529"/>
      <c r="D765" s="306"/>
      <c r="E765" s="599"/>
      <c r="F765" s="306"/>
      <c r="G765" s="306"/>
      <c r="H765" s="598"/>
      <c r="I765" s="286"/>
      <c r="J765" s="286"/>
      <c r="K765" s="529"/>
      <c r="L765" s="286"/>
      <c r="M765" s="529"/>
      <c r="N765" s="286"/>
      <c r="O765" s="286"/>
      <c r="P765" s="286"/>
      <c r="Q765" s="286"/>
      <c r="R765" s="578"/>
      <c r="S765" s="578"/>
      <c r="T765" s="578"/>
      <c r="U765" s="578"/>
    </row>
    <row r="766">
      <c r="A766" s="286"/>
      <c r="B766" s="286"/>
      <c r="C766" s="529"/>
      <c r="D766" s="306"/>
      <c r="E766" s="599"/>
      <c r="F766" s="306"/>
      <c r="G766" s="306"/>
      <c r="H766" s="598"/>
      <c r="I766" s="286"/>
      <c r="J766" s="286"/>
      <c r="K766" s="529"/>
      <c r="L766" s="286"/>
      <c r="M766" s="529"/>
      <c r="N766" s="286"/>
      <c r="O766" s="286"/>
      <c r="P766" s="286"/>
      <c r="Q766" s="286"/>
      <c r="R766" s="578"/>
      <c r="S766" s="578"/>
      <c r="T766" s="578"/>
      <c r="U766" s="578"/>
    </row>
    <row r="767">
      <c r="A767" s="286"/>
      <c r="B767" s="286"/>
      <c r="C767" s="529"/>
      <c r="D767" s="306"/>
      <c r="E767" s="599"/>
      <c r="F767" s="306"/>
      <c r="G767" s="306"/>
      <c r="H767" s="598"/>
      <c r="I767" s="286"/>
      <c r="J767" s="286"/>
      <c r="K767" s="529"/>
      <c r="L767" s="286"/>
      <c r="M767" s="529"/>
      <c r="N767" s="286"/>
      <c r="O767" s="286"/>
      <c r="P767" s="286"/>
      <c r="Q767" s="286"/>
      <c r="R767" s="578"/>
      <c r="S767" s="578"/>
      <c r="T767" s="578"/>
      <c r="U767" s="578"/>
    </row>
    <row r="768">
      <c r="A768" s="286"/>
      <c r="B768" s="286"/>
      <c r="C768" s="529"/>
      <c r="D768" s="306"/>
      <c r="E768" s="599"/>
      <c r="F768" s="306"/>
      <c r="G768" s="306"/>
      <c r="H768" s="598"/>
      <c r="I768" s="286"/>
      <c r="J768" s="286"/>
      <c r="K768" s="529"/>
      <c r="L768" s="286"/>
      <c r="M768" s="529"/>
      <c r="N768" s="286"/>
      <c r="O768" s="286"/>
      <c r="P768" s="286"/>
      <c r="Q768" s="286"/>
      <c r="R768" s="578"/>
      <c r="S768" s="578"/>
      <c r="T768" s="578"/>
      <c r="U768" s="578"/>
    </row>
    <row r="769">
      <c r="A769" s="286"/>
      <c r="B769" s="286"/>
      <c r="C769" s="529"/>
      <c r="D769" s="306"/>
      <c r="E769" s="599"/>
      <c r="F769" s="306"/>
      <c r="G769" s="306"/>
      <c r="H769" s="598"/>
      <c r="I769" s="286"/>
      <c r="J769" s="286"/>
      <c r="K769" s="529"/>
      <c r="L769" s="286"/>
      <c r="M769" s="529"/>
      <c r="N769" s="286"/>
      <c r="O769" s="286"/>
      <c r="P769" s="286"/>
      <c r="Q769" s="286"/>
      <c r="R769" s="578"/>
      <c r="S769" s="578"/>
      <c r="T769" s="578"/>
      <c r="U769" s="578"/>
    </row>
    <row r="770">
      <c r="A770" s="286"/>
      <c r="B770" s="286"/>
      <c r="C770" s="529"/>
      <c r="D770" s="306"/>
      <c r="E770" s="599"/>
      <c r="F770" s="306"/>
      <c r="G770" s="306"/>
      <c r="H770" s="598"/>
      <c r="I770" s="286"/>
      <c r="J770" s="286"/>
      <c r="K770" s="529"/>
      <c r="L770" s="286"/>
      <c r="M770" s="529"/>
      <c r="N770" s="286"/>
      <c r="O770" s="286"/>
      <c r="P770" s="286"/>
      <c r="Q770" s="286"/>
      <c r="R770" s="578"/>
      <c r="S770" s="578"/>
      <c r="T770" s="578"/>
      <c r="U770" s="578"/>
    </row>
    <row r="771">
      <c r="A771" s="286"/>
      <c r="B771" s="286"/>
      <c r="C771" s="529"/>
      <c r="D771" s="306"/>
      <c r="E771" s="599"/>
      <c r="F771" s="306"/>
      <c r="G771" s="306"/>
      <c r="H771" s="598"/>
      <c r="I771" s="286"/>
      <c r="J771" s="286"/>
      <c r="K771" s="529"/>
      <c r="L771" s="286"/>
      <c r="M771" s="529"/>
      <c r="N771" s="286"/>
      <c r="O771" s="286"/>
      <c r="P771" s="286"/>
      <c r="Q771" s="286"/>
      <c r="R771" s="578"/>
      <c r="S771" s="578"/>
      <c r="T771" s="578"/>
      <c r="U771" s="578"/>
    </row>
    <row r="772">
      <c r="A772" s="286"/>
      <c r="B772" s="286"/>
      <c r="C772" s="529"/>
      <c r="D772" s="306"/>
      <c r="E772" s="599"/>
      <c r="F772" s="306"/>
      <c r="G772" s="306"/>
      <c r="H772" s="598"/>
      <c r="I772" s="286"/>
      <c r="J772" s="286"/>
      <c r="K772" s="529"/>
      <c r="L772" s="286"/>
      <c r="M772" s="529"/>
      <c r="N772" s="286"/>
      <c r="O772" s="286"/>
      <c r="P772" s="286"/>
      <c r="Q772" s="286"/>
      <c r="R772" s="578"/>
      <c r="S772" s="578"/>
      <c r="T772" s="578"/>
      <c r="U772" s="578"/>
    </row>
    <row r="773">
      <c r="A773" s="286"/>
      <c r="B773" s="286"/>
      <c r="C773" s="529"/>
      <c r="D773" s="306"/>
      <c r="E773" s="599"/>
      <c r="F773" s="306"/>
      <c r="G773" s="306"/>
      <c r="H773" s="598"/>
      <c r="I773" s="286"/>
      <c r="J773" s="286"/>
      <c r="K773" s="529"/>
      <c r="L773" s="286"/>
      <c r="M773" s="529"/>
      <c r="N773" s="286"/>
      <c r="O773" s="286"/>
      <c r="P773" s="286"/>
      <c r="Q773" s="286"/>
      <c r="R773" s="578"/>
      <c r="S773" s="578"/>
      <c r="T773" s="578"/>
      <c r="U773" s="578"/>
    </row>
    <row r="774">
      <c r="A774" s="286"/>
      <c r="B774" s="286"/>
      <c r="C774" s="529"/>
      <c r="D774" s="306"/>
      <c r="E774" s="599"/>
      <c r="F774" s="306"/>
      <c r="G774" s="306"/>
      <c r="H774" s="598"/>
      <c r="I774" s="286"/>
      <c r="J774" s="286"/>
      <c r="K774" s="529"/>
      <c r="L774" s="286"/>
      <c r="M774" s="529"/>
      <c r="N774" s="286"/>
      <c r="O774" s="286"/>
      <c r="P774" s="286"/>
      <c r="Q774" s="286"/>
      <c r="R774" s="578"/>
      <c r="S774" s="578"/>
      <c r="T774" s="578"/>
      <c r="U774" s="578"/>
    </row>
    <row r="775">
      <c r="A775" s="286"/>
      <c r="B775" s="286"/>
      <c r="C775" s="529"/>
      <c r="D775" s="306"/>
      <c r="E775" s="599"/>
      <c r="F775" s="306"/>
      <c r="G775" s="306"/>
      <c r="H775" s="598"/>
      <c r="I775" s="286"/>
      <c r="J775" s="286"/>
      <c r="K775" s="529"/>
      <c r="L775" s="286"/>
      <c r="M775" s="529"/>
      <c r="N775" s="286"/>
      <c r="O775" s="286"/>
      <c r="P775" s="286"/>
      <c r="Q775" s="286"/>
      <c r="R775" s="578"/>
      <c r="S775" s="578"/>
      <c r="T775" s="578"/>
      <c r="U775" s="578"/>
    </row>
    <row r="776">
      <c r="A776" s="286"/>
      <c r="B776" s="286"/>
      <c r="C776" s="529"/>
      <c r="D776" s="306"/>
      <c r="E776" s="599"/>
      <c r="F776" s="306"/>
      <c r="G776" s="306"/>
      <c r="H776" s="598"/>
      <c r="I776" s="286"/>
      <c r="J776" s="286"/>
      <c r="K776" s="529"/>
      <c r="L776" s="286"/>
      <c r="M776" s="529"/>
      <c r="N776" s="286"/>
      <c r="O776" s="286"/>
      <c r="P776" s="286"/>
      <c r="Q776" s="286"/>
      <c r="R776" s="578"/>
      <c r="S776" s="578"/>
      <c r="T776" s="578"/>
      <c r="U776" s="578"/>
    </row>
    <row r="777">
      <c r="A777" s="286"/>
      <c r="B777" s="286"/>
      <c r="C777" s="529"/>
      <c r="D777" s="306"/>
      <c r="E777" s="599"/>
      <c r="F777" s="306"/>
      <c r="G777" s="306"/>
      <c r="H777" s="598"/>
      <c r="I777" s="286"/>
      <c r="J777" s="286"/>
      <c r="K777" s="529"/>
      <c r="L777" s="286"/>
      <c r="M777" s="529"/>
      <c r="N777" s="286"/>
      <c r="O777" s="286"/>
      <c r="P777" s="286"/>
      <c r="Q777" s="286"/>
      <c r="R777" s="578"/>
      <c r="S777" s="578"/>
      <c r="T777" s="578"/>
      <c r="U777" s="578"/>
    </row>
    <row r="778">
      <c r="A778" s="286"/>
      <c r="B778" s="286"/>
      <c r="C778" s="529"/>
      <c r="D778" s="306"/>
      <c r="E778" s="599"/>
      <c r="F778" s="306"/>
      <c r="G778" s="306"/>
      <c r="H778" s="598"/>
      <c r="I778" s="286"/>
      <c r="J778" s="286"/>
      <c r="K778" s="529"/>
      <c r="L778" s="286"/>
      <c r="M778" s="529"/>
      <c r="N778" s="286"/>
      <c r="O778" s="286"/>
      <c r="P778" s="286"/>
      <c r="Q778" s="286"/>
      <c r="R778" s="578"/>
      <c r="S778" s="578"/>
      <c r="T778" s="578"/>
      <c r="U778" s="578"/>
    </row>
    <row r="779">
      <c r="A779" s="286"/>
      <c r="B779" s="286"/>
      <c r="C779" s="529"/>
      <c r="D779" s="306"/>
      <c r="E779" s="599"/>
      <c r="F779" s="306"/>
      <c r="G779" s="306"/>
      <c r="H779" s="598"/>
      <c r="I779" s="286"/>
      <c r="J779" s="286"/>
      <c r="K779" s="529"/>
      <c r="L779" s="286"/>
      <c r="M779" s="529"/>
      <c r="N779" s="286"/>
      <c r="O779" s="286"/>
      <c r="P779" s="286"/>
      <c r="Q779" s="286"/>
      <c r="R779" s="578"/>
      <c r="S779" s="578"/>
      <c r="T779" s="578"/>
      <c r="U779" s="578"/>
    </row>
    <row r="780">
      <c r="A780" s="286"/>
      <c r="B780" s="286"/>
      <c r="C780" s="529"/>
      <c r="D780" s="306"/>
      <c r="E780" s="599"/>
      <c r="F780" s="306"/>
      <c r="G780" s="306"/>
      <c r="H780" s="598"/>
      <c r="I780" s="286"/>
      <c r="J780" s="286"/>
      <c r="K780" s="529"/>
      <c r="L780" s="286"/>
      <c r="M780" s="529"/>
      <c r="N780" s="286"/>
      <c r="O780" s="286"/>
      <c r="P780" s="286"/>
      <c r="Q780" s="286"/>
      <c r="R780" s="578"/>
      <c r="S780" s="578"/>
      <c r="T780" s="578"/>
      <c r="U780" s="578"/>
    </row>
    <row r="781">
      <c r="A781" s="286"/>
      <c r="B781" s="286"/>
      <c r="C781" s="529"/>
      <c r="D781" s="306"/>
      <c r="E781" s="599"/>
      <c r="F781" s="306"/>
      <c r="G781" s="306"/>
      <c r="H781" s="598"/>
      <c r="I781" s="286"/>
      <c r="J781" s="286"/>
      <c r="K781" s="529"/>
      <c r="L781" s="286"/>
      <c r="M781" s="529"/>
      <c r="N781" s="286"/>
      <c r="O781" s="286"/>
      <c r="P781" s="286"/>
      <c r="Q781" s="286"/>
      <c r="R781" s="578"/>
      <c r="S781" s="578"/>
      <c r="T781" s="578"/>
      <c r="U781" s="578"/>
    </row>
    <row r="782">
      <c r="A782" s="286"/>
      <c r="B782" s="286"/>
      <c r="C782" s="529"/>
      <c r="D782" s="306"/>
      <c r="E782" s="599"/>
      <c r="F782" s="306"/>
      <c r="G782" s="306"/>
      <c r="H782" s="598"/>
      <c r="I782" s="286"/>
      <c r="J782" s="286"/>
      <c r="K782" s="529"/>
      <c r="L782" s="286"/>
      <c r="M782" s="529"/>
      <c r="N782" s="286"/>
      <c r="O782" s="286"/>
      <c r="P782" s="286"/>
      <c r="Q782" s="286"/>
      <c r="R782" s="578"/>
      <c r="S782" s="578"/>
      <c r="T782" s="578"/>
      <c r="U782" s="578"/>
    </row>
    <row r="783">
      <c r="A783" s="286"/>
      <c r="B783" s="286"/>
      <c r="C783" s="529"/>
      <c r="D783" s="306"/>
      <c r="E783" s="599"/>
      <c r="F783" s="306"/>
      <c r="G783" s="306"/>
      <c r="H783" s="598"/>
      <c r="I783" s="286"/>
      <c r="J783" s="286"/>
      <c r="K783" s="529"/>
      <c r="L783" s="286"/>
      <c r="M783" s="529"/>
      <c r="N783" s="286"/>
      <c r="O783" s="286"/>
      <c r="P783" s="286"/>
      <c r="Q783" s="286"/>
      <c r="R783" s="578"/>
      <c r="S783" s="578"/>
      <c r="T783" s="578"/>
      <c r="U783" s="578"/>
    </row>
    <row r="784">
      <c r="A784" s="286"/>
      <c r="B784" s="286"/>
      <c r="C784" s="529"/>
      <c r="D784" s="306"/>
      <c r="E784" s="599"/>
      <c r="F784" s="306"/>
      <c r="G784" s="306"/>
      <c r="H784" s="598"/>
      <c r="I784" s="286"/>
      <c r="J784" s="286"/>
      <c r="K784" s="529"/>
      <c r="L784" s="286"/>
      <c r="M784" s="529"/>
      <c r="N784" s="286"/>
      <c r="O784" s="286"/>
      <c r="P784" s="286"/>
      <c r="Q784" s="286"/>
      <c r="R784" s="578"/>
      <c r="S784" s="578"/>
      <c r="T784" s="578"/>
      <c r="U784" s="578"/>
    </row>
    <row r="785">
      <c r="A785" s="286"/>
      <c r="B785" s="286"/>
      <c r="C785" s="529"/>
      <c r="D785" s="306"/>
      <c r="E785" s="599"/>
      <c r="F785" s="306"/>
      <c r="G785" s="306"/>
      <c r="H785" s="598"/>
      <c r="I785" s="286"/>
      <c r="J785" s="286"/>
      <c r="K785" s="529"/>
      <c r="L785" s="286"/>
      <c r="M785" s="529"/>
      <c r="N785" s="286"/>
      <c r="O785" s="286"/>
      <c r="P785" s="286"/>
      <c r="Q785" s="286"/>
      <c r="R785" s="578"/>
      <c r="S785" s="578"/>
      <c r="T785" s="578"/>
      <c r="U785" s="578"/>
    </row>
    <row r="786">
      <c r="A786" s="286"/>
      <c r="B786" s="286"/>
      <c r="C786" s="529"/>
      <c r="D786" s="306"/>
      <c r="E786" s="599"/>
      <c r="F786" s="306"/>
      <c r="G786" s="306"/>
      <c r="H786" s="598"/>
      <c r="I786" s="286"/>
      <c r="J786" s="286"/>
      <c r="K786" s="529"/>
      <c r="L786" s="286"/>
      <c r="M786" s="529"/>
      <c r="N786" s="286"/>
      <c r="O786" s="286"/>
      <c r="P786" s="286"/>
      <c r="Q786" s="286"/>
      <c r="R786" s="578"/>
      <c r="S786" s="578"/>
      <c r="T786" s="578"/>
      <c r="U786" s="578"/>
    </row>
    <row r="787">
      <c r="A787" s="286"/>
      <c r="B787" s="286"/>
      <c r="C787" s="529"/>
      <c r="D787" s="306"/>
      <c r="E787" s="599"/>
      <c r="F787" s="306"/>
      <c r="G787" s="306"/>
      <c r="H787" s="598"/>
      <c r="I787" s="286"/>
      <c r="J787" s="286"/>
      <c r="K787" s="529"/>
      <c r="L787" s="286"/>
      <c r="M787" s="529"/>
      <c r="N787" s="286"/>
      <c r="O787" s="286"/>
      <c r="P787" s="286"/>
      <c r="Q787" s="286"/>
      <c r="R787" s="578"/>
      <c r="S787" s="578"/>
      <c r="T787" s="578"/>
      <c r="U787" s="578"/>
    </row>
    <row r="788">
      <c r="A788" s="286"/>
      <c r="B788" s="286"/>
      <c r="C788" s="529"/>
      <c r="D788" s="306"/>
      <c r="E788" s="599"/>
      <c r="F788" s="306"/>
      <c r="G788" s="306"/>
      <c r="H788" s="598"/>
      <c r="I788" s="286"/>
      <c r="J788" s="286"/>
      <c r="K788" s="529"/>
      <c r="L788" s="286"/>
      <c r="M788" s="529"/>
      <c r="N788" s="286"/>
      <c r="O788" s="286"/>
      <c r="P788" s="286"/>
      <c r="Q788" s="286"/>
      <c r="R788" s="578"/>
      <c r="S788" s="578"/>
      <c r="T788" s="578"/>
      <c r="U788" s="578"/>
    </row>
    <row r="789">
      <c r="A789" s="286"/>
      <c r="B789" s="286"/>
      <c r="C789" s="529"/>
      <c r="D789" s="306"/>
      <c r="E789" s="599"/>
      <c r="F789" s="306"/>
      <c r="G789" s="306"/>
      <c r="H789" s="598"/>
      <c r="I789" s="286"/>
      <c r="J789" s="286"/>
      <c r="K789" s="529"/>
      <c r="L789" s="286"/>
      <c r="M789" s="529"/>
      <c r="N789" s="286"/>
      <c r="O789" s="286"/>
      <c r="P789" s="286"/>
      <c r="Q789" s="286"/>
      <c r="R789" s="578"/>
      <c r="S789" s="578"/>
      <c r="T789" s="578"/>
      <c r="U789" s="578"/>
    </row>
    <row r="790">
      <c r="A790" s="286"/>
      <c r="B790" s="286"/>
      <c r="C790" s="529"/>
      <c r="D790" s="306"/>
      <c r="E790" s="599"/>
      <c r="F790" s="306"/>
      <c r="G790" s="306"/>
      <c r="H790" s="598"/>
      <c r="I790" s="286"/>
      <c r="J790" s="286"/>
      <c r="K790" s="529"/>
      <c r="L790" s="286"/>
      <c r="M790" s="529"/>
      <c r="N790" s="286"/>
      <c r="O790" s="286"/>
      <c r="P790" s="286"/>
      <c r="Q790" s="286"/>
      <c r="R790" s="578"/>
      <c r="S790" s="578"/>
      <c r="T790" s="578"/>
      <c r="U790" s="578"/>
    </row>
    <row r="791">
      <c r="A791" s="286"/>
      <c r="B791" s="286"/>
      <c r="C791" s="529"/>
      <c r="D791" s="306"/>
      <c r="E791" s="599"/>
      <c r="F791" s="306"/>
      <c r="G791" s="306"/>
      <c r="H791" s="598"/>
      <c r="I791" s="286"/>
      <c r="J791" s="286"/>
      <c r="K791" s="529"/>
      <c r="L791" s="286"/>
      <c r="M791" s="529"/>
      <c r="N791" s="286"/>
      <c r="O791" s="286"/>
      <c r="P791" s="286"/>
      <c r="Q791" s="286"/>
      <c r="R791" s="578"/>
      <c r="S791" s="578"/>
      <c r="T791" s="578"/>
      <c r="U791" s="578"/>
    </row>
    <row r="792">
      <c r="A792" s="286"/>
      <c r="B792" s="286"/>
      <c r="C792" s="529"/>
      <c r="D792" s="306"/>
      <c r="E792" s="599"/>
      <c r="F792" s="306"/>
      <c r="G792" s="306"/>
      <c r="H792" s="598"/>
      <c r="I792" s="286"/>
      <c r="J792" s="286"/>
      <c r="K792" s="529"/>
      <c r="L792" s="286"/>
      <c r="M792" s="529"/>
      <c r="N792" s="286"/>
      <c r="O792" s="286"/>
      <c r="P792" s="286"/>
      <c r="Q792" s="286"/>
      <c r="R792" s="578"/>
      <c r="S792" s="578"/>
      <c r="T792" s="578"/>
      <c r="U792" s="578"/>
    </row>
    <row r="793">
      <c r="A793" s="286"/>
      <c r="B793" s="286"/>
      <c r="C793" s="529"/>
      <c r="D793" s="306"/>
      <c r="E793" s="599"/>
      <c r="F793" s="306"/>
      <c r="G793" s="306"/>
      <c r="H793" s="598"/>
      <c r="I793" s="286"/>
      <c r="J793" s="286"/>
      <c r="K793" s="529"/>
      <c r="L793" s="286"/>
      <c r="M793" s="529"/>
      <c r="N793" s="286"/>
      <c r="O793" s="286"/>
      <c r="P793" s="286"/>
      <c r="Q793" s="286"/>
      <c r="R793" s="578"/>
      <c r="S793" s="578"/>
      <c r="T793" s="578"/>
      <c r="U793" s="578"/>
    </row>
    <row r="794">
      <c r="A794" s="286"/>
      <c r="B794" s="286"/>
      <c r="C794" s="529"/>
      <c r="D794" s="306"/>
      <c r="E794" s="599"/>
      <c r="F794" s="306"/>
      <c r="G794" s="306"/>
      <c r="H794" s="598"/>
      <c r="I794" s="286"/>
      <c r="J794" s="286"/>
      <c r="K794" s="529"/>
      <c r="L794" s="286"/>
      <c r="M794" s="529"/>
      <c r="N794" s="286"/>
      <c r="O794" s="286"/>
      <c r="P794" s="286"/>
      <c r="Q794" s="286"/>
      <c r="R794" s="578"/>
      <c r="S794" s="578"/>
      <c r="T794" s="578"/>
      <c r="U794" s="578"/>
    </row>
    <row r="795">
      <c r="A795" s="286"/>
      <c r="B795" s="286"/>
      <c r="C795" s="529"/>
      <c r="D795" s="306"/>
      <c r="E795" s="599"/>
      <c r="F795" s="306"/>
      <c r="G795" s="306"/>
      <c r="H795" s="598"/>
      <c r="I795" s="286"/>
      <c r="J795" s="286"/>
      <c r="K795" s="529"/>
      <c r="L795" s="286"/>
      <c r="M795" s="529"/>
      <c r="N795" s="286"/>
      <c r="O795" s="286"/>
      <c r="P795" s="286"/>
      <c r="Q795" s="286"/>
      <c r="R795" s="578"/>
      <c r="S795" s="578"/>
      <c r="T795" s="578"/>
      <c r="U795" s="578"/>
    </row>
    <row r="796">
      <c r="A796" s="286"/>
      <c r="B796" s="286"/>
      <c r="C796" s="529"/>
      <c r="D796" s="306"/>
      <c r="E796" s="599"/>
      <c r="F796" s="306"/>
      <c r="G796" s="306"/>
      <c r="H796" s="598"/>
      <c r="I796" s="286"/>
      <c r="J796" s="286"/>
      <c r="K796" s="529"/>
      <c r="L796" s="286"/>
      <c r="M796" s="529"/>
      <c r="N796" s="286"/>
      <c r="O796" s="286"/>
      <c r="P796" s="286"/>
      <c r="Q796" s="286"/>
      <c r="R796" s="578"/>
      <c r="S796" s="578"/>
      <c r="T796" s="578"/>
      <c r="U796" s="578"/>
    </row>
    <row r="797">
      <c r="A797" s="286"/>
      <c r="B797" s="286"/>
      <c r="C797" s="529"/>
      <c r="D797" s="306"/>
      <c r="E797" s="599"/>
      <c r="F797" s="306"/>
      <c r="G797" s="306"/>
      <c r="H797" s="598"/>
      <c r="I797" s="286"/>
      <c r="J797" s="286"/>
      <c r="K797" s="529"/>
      <c r="L797" s="286"/>
      <c r="M797" s="529"/>
      <c r="N797" s="286"/>
      <c r="O797" s="286"/>
      <c r="P797" s="286"/>
      <c r="Q797" s="286"/>
      <c r="R797" s="578"/>
      <c r="S797" s="578"/>
      <c r="T797" s="578"/>
      <c r="U797" s="578"/>
    </row>
    <row r="798">
      <c r="A798" s="286"/>
      <c r="B798" s="286"/>
      <c r="C798" s="529"/>
      <c r="D798" s="306"/>
      <c r="E798" s="599"/>
      <c r="F798" s="306"/>
      <c r="G798" s="306"/>
      <c r="H798" s="598"/>
      <c r="I798" s="286"/>
      <c r="J798" s="286"/>
      <c r="K798" s="529"/>
      <c r="L798" s="286"/>
      <c r="M798" s="529"/>
      <c r="N798" s="286"/>
      <c r="O798" s="286"/>
      <c r="P798" s="286"/>
      <c r="Q798" s="286"/>
      <c r="R798" s="578"/>
      <c r="S798" s="578"/>
      <c r="T798" s="578"/>
      <c r="U798" s="578"/>
    </row>
    <row r="799">
      <c r="A799" s="286"/>
      <c r="B799" s="286"/>
      <c r="C799" s="529"/>
      <c r="D799" s="306"/>
      <c r="E799" s="599"/>
      <c r="F799" s="306"/>
      <c r="G799" s="306"/>
      <c r="H799" s="598"/>
      <c r="I799" s="286"/>
      <c r="J799" s="286"/>
      <c r="K799" s="529"/>
      <c r="L799" s="286"/>
      <c r="M799" s="529"/>
      <c r="N799" s="286"/>
      <c r="O799" s="286"/>
      <c r="P799" s="286"/>
      <c r="Q799" s="286"/>
      <c r="R799" s="578"/>
      <c r="S799" s="578"/>
      <c r="T799" s="578"/>
      <c r="U799" s="578"/>
    </row>
    <row r="800">
      <c r="A800" s="286"/>
      <c r="B800" s="286"/>
      <c r="C800" s="529"/>
      <c r="D800" s="306"/>
      <c r="E800" s="599"/>
      <c r="F800" s="306"/>
      <c r="G800" s="306"/>
      <c r="H800" s="598"/>
      <c r="I800" s="286"/>
      <c r="J800" s="286"/>
      <c r="K800" s="529"/>
      <c r="L800" s="286"/>
      <c r="M800" s="529"/>
      <c r="N800" s="286"/>
      <c r="O800" s="286"/>
      <c r="P800" s="286"/>
      <c r="Q800" s="286"/>
      <c r="R800" s="578"/>
      <c r="S800" s="578"/>
      <c r="T800" s="578"/>
      <c r="U800" s="578"/>
    </row>
    <row r="801">
      <c r="A801" s="286"/>
      <c r="B801" s="286"/>
      <c r="C801" s="529"/>
      <c r="D801" s="306"/>
      <c r="E801" s="599"/>
      <c r="F801" s="306"/>
      <c r="G801" s="306"/>
      <c r="H801" s="598"/>
      <c r="I801" s="286"/>
      <c r="J801" s="286"/>
      <c r="K801" s="529"/>
      <c r="L801" s="286"/>
      <c r="M801" s="529"/>
      <c r="N801" s="286"/>
      <c r="O801" s="286"/>
      <c r="P801" s="286"/>
      <c r="Q801" s="286"/>
      <c r="R801" s="578"/>
      <c r="S801" s="578"/>
      <c r="T801" s="578"/>
      <c r="U801" s="578"/>
    </row>
    <row r="802">
      <c r="A802" s="286"/>
      <c r="B802" s="286"/>
      <c r="C802" s="529"/>
      <c r="D802" s="306"/>
      <c r="E802" s="599"/>
      <c r="F802" s="306"/>
      <c r="G802" s="306"/>
      <c r="H802" s="598"/>
      <c r="I802" s="286"/>
      <c r="J802" s="286"/>
      <c r="K802" s="529"/>
      <c r="L802" s="286"/>
      <c r="M802" s="529"/>
      <c r="N802" s="286"/>
      <c r="O802" s="286"/>
      <c r="P802" s="286"/>
      <c r="Q802" s="286"/>
      <c r="R802" s="578"/>
      <c r="S802" s="578"/>
      <c r="T802" s="578"/>
      <c r="U802" s="578"/>
    </row>
    <row r="803">
      <c r="A803" s="286"/>
      <c r="B803" s="286"/>
      <c r="C803" s="529"/>
      <c r="D803" s="306"/>
      <c r="E803" s="599"/>
      <c r="F803" s="306"/>
      <c r="G803" s="306"/>
      <c r="H803" s="598"/>
      <c r="I803" s="286"/>
      <c r="J803" s="286"/>
      <c r="K803" s="529"/>
      <c r="L803" s="286"/>
      <c r="M803" s="529"/>
      <c r="N803" s="286"/>
      <c r="O803" s="286"/>
      <c r="P803" s="286"/>
      <c r="Q803" s="286"/>
      <c r="R803" s="578"/>
      <c r="S803" s="578"/>
      <c r="T803" s="578"/>
      <c r="U803" s="578"/>
    </row>
    <row r="804">
      <c r="A804" s="286"/>
      <c r="B804" s="286"/>
      <c r="C804" s="529"/>
      <c r="D804" s="306"/>
      <c r="E804" s="599"/>
      <c r="F804" s="306"/>
      <c r="G804" s="306"/>
      <c r="H804" s="598"/>
      <c r="I804" s="286"/>
      <c r="J804" s="286"/>
      <c r="K804" s="529"/>
      <c r="L804" s="286"/>
      <c r="M804" s="529"/>
      <c r="N804" s="286"/>
      <c r="O804" s="286"/>
      <c r="P804" s="286"/>
      <c r="Q804" s="286"/>
      <c r="R804" s="578"/>
      <c r="S804" s="578"/>
      <c r="T804" s="578"/>
      <c r="U804" s="578"/>
    </row>
    <row r="805">
      <c r="A805" s="286"/>
      <c r="B805" s="286"/>
      <c r="C805" s="529"/>
      <c r="D805" s="306"/>
      <c r="E805" s="599"/>
      <c r="F805" s="306"/>
      <c r="G805" s="306"/>
      <c r="H805" s="598"/>
      <c r="I805" s="286"/>
      <c r="J805" s="286"/>
      <c r="K805" s="529"/>
      <c r="L805" s="286"/>
      <c r="M805" s="529"/>
      <c r="N805" s="286"/>
      <c r="O805" s="286"/>
      <c r="P805" s="286"/>
      <c r="Q805" s="286"/>
      <c r="R805" s="578"/>
      <c r="S805" s="578"/>
      <c r="T805" s="578"/>
      <c r="U805" s="578"/>
    </row>
    <row r="806">
      <c r="A806" s="286"/>
      <c r="B806" s="286"/>
      <c r="C806" s="529"/>
      <c r="D806" s="306"/>
      <c r="E806" s="599"/>
      <c r="F806" s="306"/>
      <c r="G806" s="306"/>
      <c r="H806" s="598"/>
      <c r="I806" s="286"/>
      <c r="J806" s="286"/>
      <c r="K806" s="529"/>
      <c r="L806" s="286"/>
      <c r="M806" s="529"/>
      <c r="N806" s="286"/>
      <c r="O806" s="286"/>
      <c r="P806" s="286"/>
      <c r="Q806" s="286"/>
      <c r="R806" s="578"/>
      <c r="S806" s="578"/>
      <c r="T806" s="578"/>
      <c r="U806" s="578"/>
    </row>
    <row r="807">
      <c r="A807" s="286"/>
      <c r="B807" s="286"/>
      <c r="C807" s="529"/>
      <c r="D807" s="306"/>
      <c r="E807" s="599"/>
      <c r="F807" s="306"/>
      <c r="G807" s="306"/>
      <c r="H807" s="598"/>
      <c r="I807" s="286"/>
      <c r="J807" s="286"/>
      <c r="K807" s="529"/>
      <c r="L807" s="286"/>
      <c r="M807" s="529"/>
      <c r="N807" s="286"/>
      <c r="O807" s="286"/>
      <c r="P807" s="286"/>
      <c r="Q807" s="286"/>
      <c r="R807" s="578"/>
      <c r="S807" s="578"/>
      <c r="T807" s="578"/>
      <c r="U807" s="578"/>
    </row>
    <row r="808">
      <c r="A808" s="286"/>
      <c r="B808" s="286"/>
      <c r="C808" s="529"/>
      <c r="D808" s="306"/>
      <c r="E808" s="599"/>
      <c r="F808" s="306"/>
      <c r="G808" s="306"/>
      <c r="H808" s="598"/>
      <c r="I808" s="286"/>
      <c r="J808" s="286"/>
      <c r="K808" s="529"/>
      <c r="L808" s="286"/>
      <c r="M808" s="529"/>
      <c r="N808" s="286"/>
      <c r="O808" s="286"/>
      <c r="P808" s="286"/>
      <c r="Q808" s="286"/>
      <c r="R808" s="578"/>
      <c r="S808" s="578"/>
      <c r="T808" s="578"/>
      <c r="U808" s="578"/>
    </row>
    <row r="809">
      <c r="A809" s="286"/>
      <c r="B809" s="286"/>
      <c r="C809" s="529"/>
      <c r="D809" s="306"/>
      <c r="E809" s="599"/>
      <c r="F809" s="306"/>
      <c r="G809" s="306"/>
      <c r="H809" s="598"/>
      <c r="I809" s="286"/>
      <c r="J809" s="286"/>
      <c r="K809" s="529"/>
      <c r="L809" s="286"/>
      <c r="M809" s="529"/>
      <c r="N809" s="286"/>
      <c r="O809" s="286"/>
      <c r="P809" s="286"/>
      <c r="Q809" s="286"/>
      <c r="R809" s="578"/>
      <c r="S809" s="578"/>
      <c r="T809" s="578"/>
      <c r="U809" s="578"/>
    </row>
    <row r="810">
      <c r="A810" s="286"/>
      <c r="B810" s="286"/>
      <c r="C810" s="529"/>
      <c r="D810" s="306"/>
      <c r="E810" s="599"/>
      <c r="F810" s="306"/>
      <c r="G810" s="306"/>
      <c r="H810" s="598"/>
      <c r="I810" s="286"/>
      <c r="J810" s="286"/>
      <c r="K810" s="529"/>
      <c r="L810" s="286"/>
      <c r="M810" s="529"/>
      <c r="N810" s="286"/>
      <c r="O810" s="286"/>
      <c r="P810" s="286"/>
      <c r="Q810" s="286"/>
      <c r="R810" s="578"/>
      <c r="S810" s="578"/>
      <c r="T810" s="578"/>
      <c r="U810" s="578"/>
    </row>
    <row r="811">
      <c r="A811" s="286"/>
      <c r="B811" s="286"/>
      <c r="C811" s="529"/>
      <c r="D811" s="306"/>
      <c r="E811" s="599"/>
      <c r="F811" s="306"/>
      <c r="G811" s="306"/>
      <c r="H811" s="598"/>
      <c r="I811" s="286"/>
      <c r="J811" s="286"/>
      <c r="K811" s="529"/>
      <c r="L811" s="286"/>
      <c r="M811" s="529"/>
      <c r="N811" s="286"/>
      <c r="O811" s="286"/>
      <c r="P811" s="286"/>
      <c r="Q811" s="286"/>
      <c r="R811" s="578"/>
      <c r="S811" s="578"/>
      <c r="T811" s="578"/>
      <c r="U811" s="578"/>
    </row>
    <row r="812">
      <c r="A812" s="286"/>
      <c r="B812" s="286"/>
      <c r="C812" s="529"/>
      <c r="D812" s="306"/>
      <c r="E812" s="599"/>
      <c r="F812" s="306"/>
      <c r="G812" s="306"/>
      <c r="H812" s="598"/>
      <c r="I812" s="286"/>
      <c r="J812" s="286"/>
      <c r="K812" s="529"/>
      <c r="L812" s="286"/>
      <c r="M812" s="529"/>
      <c r="N812" s="286"/>
      <c r="O812" s="286"/>
      <c r="P812" s="286"/>
      <c r="Q812" s="286"/>
      <c r="R812" s="578"/>
      <c r="S812" s="578"/>
      <c r="T812" s="578"/>
      <c r="U812" s="578"/>
    </row>
    <row r="813">
      <c r="A813" s="286"/>
      <c r="B813" s="286"/>
      <c r="C813" s="529"/>
      <c r="D813" s="306"/>
      <c r="E813" s="599"/>
      <c r="F813" s="306"/>
      <c r="G813" s="306"/>
      <c r="H813" s="598"/>
      <c r="I813" s="286"/>
      <c r="J813" s="286"/>
      <c r="K813" s="529"/>
      <c r="L813" s="286"/>
      <c r="M813" s="529"/>
      <c r="N813" s="286"/>
      <c r="O813" s="286"/>
      <c r="P813" s="286"/>
      <c r="Q813" s="286"/>
      <c r="R813" s="578"/>
      <c r="S813" s="578"/>
      <c r="T813" s="578"/>
      <c r="U813" s="578"/>
    </row>
    <row r="814">
      <c r="A814" s="286"/>
      <c r="B814" s="286"/>
      <c r="C814" s="529"/>
      <c r="D814" s="306"/>
      <c r="E814" s="599"/>
      <c r="F814" s="306"/>
      <c r="G814" s="306"/>
      <c r="H814" s="598"/>
      <c r="I814" s="286"/>
      <c r="J814" s="286"/>
      <c r="K814" s="529"/>
      <c r="L814" s="286"/>
      <c r="M814" s="529"/>
      <c r="N814" s="286"/>
      <c r="O814" s="286"/>
      <c r="P814" s="286"/>
      <c r="Q814" s="286"/>
      <c r="R814" s="578"/>
      <c r="S814" s="578"/>
      <c r="T814" s="578"/>
      <c r="U814" s="578"/>
    </row>
    <row r="815">
      <c r="A815" s="286"/>
      <c r="B815" s="286"/>
      <c r="C815" s="529"/>
      <c r="D815" s="306"/>
      <c r="E815" s="599"/>
      <c r="F815" s="306"/>
      <c r="G815" s="306"/>
      <c r="H815" s="598"/>
      <c r="I815" s="286"/>
      <c r="J815" s="286"/>
      <c r="K815" s="529"/>
      <c r="L815" s="286"/>
      <c r="M815" s="529"/>
      <c r="N815" s="286"/>
      <c r="O815" s="286"/>
      <c r="P815" s="286"/>
      <c r="Q815" s="286"/>
      <c r="R815" s="578"/>
      <c r="S815" s="578"/>
      <c r="T815" s="578"/>
      <c r="U815" s="578"/>
    </row>
    <row r="816">
      <c r="A816" s="286"/>
      <c r="B816" s="286"/>
      <c r="C816" s="529"/>
      <c r="D816" s="306"/>
      <c r="E816" s="599"/>
      <c r="F816" s="306"/>
      <c r="G816" s="306"/>
      <c r="H816" s="598"/>
      <c r="I816" s="286"/>
      <c r="J816" s="286"/>
      <c r="K816" s="529"/>
      <c r="L816" s="286"/>
      <c r="M816" s="529"/>
      <c r="N816" s="286"/>
      <c r="O816" s="286"/>
      <c r="P816" s="286"/>
      <c r="Q816" s="286"/>
      <c r="R816" s="578"/>
      <c r="S816" s="578"/>
      <c r="T816" s="578"/>
      <c r="U816" s="578"/>
    </row>
    <row r="817">
      <c r="A817" s="286"/>
      <c r="B817" s="286"/>
      <c r="C817" s="529"/>
      <c r="D817" s="306"/>
      <c r="E817" s="599"/>
      <c r="F817" s="306"/>
      <c r="G817" s="306"/>
      <c r="H817" s="598"/>
      <c r="I817" s="286"/>
      <c r="J817" s="286"/>
      <c r="K817" s="529"/>
      <c r="L817" s="286"/>
      <c r="M817" s="529"/>
      <c r="N817" s="286"/>
      <c r="O817" s="286"/>
      <c r="P817" s="286"/>
      <c r="Q817" s="286"/>
      <c r="R817" s="578"/>
      <c r="S817" s="578"/>
      <c r="T817" s="578"/>
      <c r="U817" s="578"/>
    </row>
    <row r="818">
      <c r="A818" s="286"/>
      <c r="B818" s="286"/>
      <c r="C818" s="529"/>
      <c r="D818" s="306"/>
      <c r="E818" s="599"/>
      <c r="F818" s="306"/>
      <c r="G818" s="306"/>
      <c r="H818" s="598"/>
      <c r="I818" s="286"/>
      <c r="J818" s="286"/>
      <c r="K818" s="529"/>
      <c r="L818" s="286"/>
      <c r="M818" s="529"/>
      <c r="N818" s="286"/>
      <c r="O818" s="286"/>
      <c r="P818" s="286"/>
      <c r="Q818" s="286"/>
      <c r="R818" s="578"/>
      <c r="S818" s="578"/>
      <c r="T818" s="578"/>
      <c r="U818" s="578"/>
    </row>
    <row r="819">
      <c r="A819" s="286"/>
      <c r="B819" s="286"/>
      <c r="C819" s="529"/>
      <c r="D819" s="306"/>
      <c r="E819" s="599"/>
      <c r="F819" s="306"/>
      <c r="G819" s="306"/>
      <c r="H819" s="598"/>
      <c r="I819" s="286"/>
      <c r="J819" s="286"/>
      <c r="K819" s="529"/>
      <c r="L819" s="286"/>
      <c r="M819" s="529"/>
      <c r="N819" s="286"/>
      <c r="O819" s="286"/>
      <c r="P819" s="286"/>
      <c r="Q819" s="286"/>
      <c r="R819" s="578"/>
      <c r="S819" s="578"/>
      <c r="T819" s="578"/>
      <c r="U819" s="578"/>
    </row>
    <row r="820">
      <c r="A820" s="286"/>
      <c r="B820" s="286"/>
      <c r="C820" s="529"/>
      <c r="D820" s="306"/>
      <c r="E820" s="599"/>
      <c r="F820" s="306"/>
      <c r="G820" s="306"/>
      <c r="H820" s="598"/>
      <c r="I820" s="286"/>
      <c r="J820" s="286"/>
      <c r="K820" s="529"/>
      <c r="L820" s="286"/>
      <c r="M820" s="529"/>
      <c r="N820" s="286"/>
      <c r="O820" s="286"/>
      <c r="P820" s="286"/>
      <c r="Q820" s="286"/>
      <c r="R820" s="578"/>
      <c r="S820" s="578"/>
      <c r="T820" s="578"/>
      <c r="U820" s="578"/>
    </row>
    <row r="821">
      <c r="A821" s="286"/>
      <c r="B821" s="286"/>
      <c r="C821" s="529"/>
      <c r="D821" s="306"/>
      <c r="E821" s="599"/>
      <c r="F821" s="306"/>
      <c r="G821" s="306"/>
      <c r="H821" s="598"/>
      <c r="I821" s="286"/>
      <c r="J821" s="286"/>
      <c r="K821" s="529"/>
      <c r="L821" s="286"/>
      <c r="M821" s="529"/>
      <c r="N821" s="286"/>
      <c r="O821" s="286"/>
      <c r="P821" s="286"/>
      <c r="Q821" s="286"/>
      <c r="R821" s="578"/>
      <c r="S821" s="578"/>
      <c r="T821" s="578"/>
      <c r="U821" s="578"/>
    </row>
    <row r="822">
      <c r="A822" s="286"/>
      <c r="B822" s="286"/>
      <c r="C822" s="529"/>
      <c r="D822" s="306"/>
      <c r="E822" s="599"/>
      <c r="F822" s="306"/>
      <c r="G822" s="306"/>
      <c r="H822" s="598"/>
      <c r="I822" s="286"/>
      <c r="J822" s="286"/>
      <c r="K822" s="529"/>
      <c r="L822" s="286"/>
      <c r="M822" s="529"/>
      <c r="N822" s="286"/>
      <c r="O822" s="286"/>
      <c r="P822" s="286"/>
      <c r="Q822" s="286"/>
      <c r="R822" s="578"/>
      <c r="S822" s="578"/>
      <c r="T822" s="578"/>
      <c r="U822" s="578"/>
    </row>
    <row r="823">
      <c r="A823" s="286"/>
      <c r="B823" s="286"/>
      <c r="C823" s="529"/>
      <c r="D823" s="306"/>
      <c r="E823" s="599"/>
      <c r="F823" s="306"/>
      <c r="G823" s="306"/>
      <c r="H823" s="598"/>
      <c r="I823" s="286"/>
      <c r="J823" s="286"/>
      <c r="K823" s="529"/>
      <c r="L823" s="286"/>
      <c r="M823" s="529"/>
      <c r="N823" s="286"/>
      <c r="O823" s="286"/>
      <c r="P823" s="286"/>
      <c r="Q823" s="286"/>
      <c r="R823" s="578"/>
      <c r="S823" s="578"/>
      <c r="T823" s="578"/>
      <c r="U823" s="578"/>
    </row>
    <row r="824">
      <c r="A824" s="286"/>
      <c r="B824" s="286"/>
      <c r="C824" s="529"/>
      <c r="D824" s="306"/>
      <c r="E824" s="599"/>
      <c r="F824" s="306"/>
      <c r="G824" s="306"/>
      <c r="H824" s="598"/>
      <c r="I824" s="286"/>
      <c r="J824" s="286"/>
      <c r="K824" s="529"/>
      <c r="L824" s="286"/>
      <c r="M824" s="529"/>
      <c r="N824" s="286"/>
      <c r="O824" s="286"/>
      <c r="P824" s="286"/>
      <c r="Q824" s="286"/>
      <c r="R824" s="578"/>
      <c r="S824" s="578"/>
      <c r="T824" s="578"/>
      <c r="U824" s="578"/>
    </row>
    <row r="825">
      <c r="A825" s="286"/>
      <c r="B825" s="286"/>
      <c r="C825" s="529"/>
      <c r="D825" s="306"/>
      <c r="E825" s="599"/>
      <c r="F825" s="306"/>
      <c r="G825" s="306"/>
      <c r="H825" s="598"/>
      <c r="I825" s="286"/>
      <c r="J825" s="286"/>
      <c r="K825" s="529"/>
      <c r="L825" s="286"/>
      <c r="M825" s="529"/>
      <c r="N825" s="286"/>
      <c r="O825" s="286"/>
      <c r="P825" s="286"/>
      <c r="Q825" s="286"/>
      <c r="R825" s="578"/>
      <c r="S825" s="578"/>
      <c r="T825" s="578"/>
      <c r="U825" s="578"/>
    </row>
    <row r="826">
      <c r="A826" s="286"/>
      <c r="B826" s="286"/>
      <c r="C826" s="529"/>
      <c r="D826" s="306"/>
      <c r="E826" s="599"/>
      <c r="F826" s="306"/>
      <c r="G826" s="306"/>
      <c r="H826" s="598"/>
      <c r="I826" s="286"/>
      <c r="J826" s="286"/>
      <c r="K826" s="529"/>
      <c r="L826" s="286"/>
      <c r="M826" s="529"/>
      <c r="N826" s="286"/>
      <c r="O826" s="286"/>
      <c r="P826" s="286"/>
      <c r="Q826" s="286"/>
      <c r="R826" s="578"/>
      <c r="S826" s="578"/>
      <c r="T826" s="578"/>
      <c r="U826" s="578"/>
    </row>
    <row r="827">
      <c r="A827" s="286"/>
      <c r="B827" s="286"/>
      <c r="C827" s="529"/>
      <c r="D827" s="306"/>
      <c r="E827" s="599"/>
      <c r="F827" s="306"/>
      <c r="G827" s="306"/>
      <c r="H827" s="598"/>
      <c r="I827" s="286"/>
      <c r="J827" s="286"/>
      <c r="K827" s="529"/>
      <c r="L827" s="286"/>
      <c r="M827" s="529"/>
      <c r="N827" s="286"/>
      <c r="O827" s="286"/>
      <c r="P827" s="286"/>
      <c r="Q827" s="286"/>
      <c r="R827" s="578"/>
      <c r="S827" s="578"/>
      <c r="T827" s="578"/>
      <c r="U827" s="578"/>
    </row>
    <row r="828">
      <c r="A828" s="286"/>
      <c r="B828" s="286"/>
      <c r="C828" s="529"/>
      <c r="D828" s="306"/>
      <c r="E828" s="599"/>
      <c r="F828" s="306"/>
      <c r="G828" s="306"/>
      <c r="H828" s="598"/>
      <c r="I828" s="286"/>
      <c r="J828" s="286"/>
      <c r="K828" s="529"/>
      <c r="L828" s="286"/>
      <c r="M828" s="529"/>
      <c r="N828" s="286"/>
      <c r="O828" s="286"/>
      <c r="P828" s="286"/>
      <c r="Q828" s="286"/>
      <c r="R828" s="578"/>
      <c r="S828" s="578"/>
      <c r="T828" s="578"/>
      <c r="U828" s="578"/>
    </row>
    <row r="829">
      <c r="A829" s="286"/>
      <c r="B829" s="286"/>
      <c r="C829" s="529"/>
      <c r="D829" s="306"/>
      <c r="E829" s="599"/>
      <c r="F829" s="306"/>
      <c r="G829" s="306"/>
      <c r="H829" s="598"/>
      <c r="I829" s="286"/>
      <c r="J829" s="286"/>
      <c r="K829" s="529"/>
      <c r="L829" s="286"/>
      <c r="M829" s="529"/>
      <c r="N829" s="286"/>
      <c r="O829" s="286"/>
      <c r="P829" s="286"/>
      <c r="Q829" s="286"/>
      <c r="R829" s="578"/>
      <c r="S829" s="578"/>
      <c r="T829" s="578"/>
      <c r="U829" s="578"/>
    </row>
    <row r="830">
      <c r="A830" s="286"/>
      <c r="B830" s="286"/>
      <c r="C830" s="529"/>
      <c r="D830" s="306"/>
      <c r="E830" s="599"/>
      <c r="F830" s="306"/>
      <c r="G830" s="306"/>
      <c r="H830" s="598"/>
      <c r="I830" s="286"/>
      <c r="J830" s="286"/>
      <c r="K830" s="529"/>
      <c r="L830" s="286"/>
      <c r="M830" s="529"/>
      <c r="N830" s="286"/>
      <c r="O830" s="286"/>
      <c r="P830" s="286"/>
      <c r="Q830" s="286"/>
      <c r="R830" s="578"/>
      <c r="S830" s="578"/>
      <c r="T830" s="578"/>
      <c r="U830" s="578"/>
    </row>
    <row r="831">
      <c r="A831" s="286"/>
      <c r="B831" s="286"/>
      <c r="C831" s="529"/>
      <c r="D831" s="306"/>
      <c r="E831" s="599"/>
      <c r="F831" s="306"/>
      <c r="G831" s="306"/>
      <c r="H831" s="598"/>
      <c r="I831" s="286"/>
      <c r="J831" s="286"/>
      <c r="K831" s="529"/>
      <c r="L831" s="286"/>
      <c r="M831" s="529"/>
      <c r="N831" s="286"/>
      <c r="O831" s="286"/>
      <c r="P831" s="286"/>
      <c r="Q831" s="286"/>
      <c r="R831" s="578"/>
      <c r="S831" s="578"/>
      <c r="T831" s="578"/>
      <c r="U831" s="578"/>
    </row>
    <row r="832">
      <c r="A832" s="286"/>
      <c r="B832" s="286"/>
      <c r="C832" s="529"/>
      <c r="D832" s="306"/>
      <c r="E832" s="599"/>
      <c r="F832" s="306"/>
      <c r="G832" s="306"/>
      <c r="H832" s="598"/>
      <c r="I832" s="286"/>
      <c r="J832" s="286"/>
      <c r="K832" s="529"/>
      <c r="L832" s="286"/>
      <c r="M832" s="529"/>
      <c r="N832" s="286"/>
      <c r="O832" s="286"/>
      <c r="P832" s="286"/>
      <c r="Q832" s="286"/>
      <c r="R832" s="578"/>
      <c r="S832" s="578"/>
      <c r="T832" s="578"/>
      <c r="U832" s="578"/>
    </row>
    <row r="833">
      <c r="A833" s="286"/>
      <c r="B833" s="286"/>
      <c r="C833" s="529"/>
      <c r="D833" s="306"/>
      <c r="E833" s="599"/>
      <c r="F833" s="306"/>
      <c r="G833" s="306"/>
      <c r="H833" s="598"/>
      <c r="I833" s="286"/>
      <c r="J833" s="286"/>
      <c r="K833" s="529"/>
      <c r="L833" s="286"/>
      <c r="M833" s="529"/>
      <c r="N833" s="286"/>
      <c r="O833" s="286"/>
      <c r="P833" s="286"/>
      <c r="Q833" s="286"/>
      <c r="R833" s="578"/>
      <c r="S833" s="578"/>
      <c r="T833" s="578"/>
      <c r="U833" s="578"/>
    </row>
    <row r="834">
      <c r="A834" s="286"/>
      <c r="B834" s="286"/>
      <c r="C834" s="529"/>
      <c r="D834" s="306"/>
      <c r="E834" s="599"/>
      <c r="F834" s="306"/>
      <c r="G834" s="306"/>
      <c r="H834" s="598"/>
      <c r="I834" s="286"/>
      <c r="J834" s="286"/>
      <c r="K834" s="529"/>
      <c r="L834" s="286"/>
      <c r="M834" s="529"/>
      <c r="N834" s="286"/>
      <c r="O834" s="286"/>
      <c r="P834" s="286"/>
      <c r="Q834" s="286"/>
      <c r="R834" s="578"/>
      <c r="S834" s="578"/>
      <c r="T834" s="578"/>
      <c r="U834" s="578"/>
    </row>
    <row r="835">
      <c r="A835" s="286"/>
      <c r="B835" s="286"/>
      <c r="C835" s="529"/>
      <c r="D835" s="306"/>
      <c r="E835" s="599"/>
      <c r="F835" s="306"/>
      <c r="G835" s="306"/>
      <c r="H835" s="598"/>
      <c r="I835" s="286"/>
      <c r="J835" s="286"/>
      <c r="K835" s="529"/>
      <c r="L835" s="286"/>
      <c r="M835" s="529"/>
      <c r="N835" s="286"/>
      <c r="O835" s="286"/>
      <c r="P835" s="286"/>
      <c r="Q835" s="286"/>
      <c r="R835" s="578"/>
      <c r="S835" s="578"/>
      <c r="T835" s="578"/>
      <c r="U835" s="578"/>
    </row>
    <row r="836">
      <c r="A836" s="286"/>
      <c r="B836" s="286"/>
      <c r="C836" s="529"/>
      <c r="D836" s="306"/>
      <c r="E836" s="599"/>
      <c r="F836" s="306"/>
      <c r="G836" s="306"/>
      <c r="H836" s="598"/>
      <c r="I836" s="286"/>
      <c r="J836" s="286"/>
      <c r="K836" s="529"/>
      <c r="L836" s="286"/>
      <c r="M836" s="529"/>
      <c r="N836" s="286"/>
      <c r="O836" s="286"/>
      <c r="P836" s="286"/>
      <c r="Q836" s="286"/>
      <c r="R836" s="578"/>
      <c r="S836" s="578"/>
      <c r="T836" s="578"/>
      <c r="U836" s="578"/>
    </row>
    <row r="837">
      <c r="A837" s="286"/>
      <c r="B837" s="286"/>
      <c r="C837" s="529"/>
      <c r="D837" s="306"/>
      <c r="E837" s="599"/>
      <c r="F837" s="306"/>
      <c r="G837" s="306"/>
      <c r="H837" s="598"/>
      <c r="I837" s="286"/>
      <c r="J837" s="286"/>
      <c r="K837" s="529"/>
      <c r="L837" s="286"/>
      <c r="M837" s="529"/>
      <c r="N837" s="286"/>
      <c r="O837" s="286"/>
      <c r="P837" s="286"/>
      <c r="Q837" s="286"/>
      <c r="R837" s="578"/>
      <c r="S837" s="578"/>
      <c r="T837" s="578"/>
      <c r="U837" s="578"/>
    </row>
    <row r="838">
      <c r="A838" s="286"/>
      <c r="B838" s="286"/>
      <c r="C838" s="529"/>
      <c r="D838" s="306"/>
      <c r="E838" s="599"/>
      <c r="F838" s="306"/>
      <c r="G838" s="306"/>
      <c r="H838" s="598"/>
      <c r="I838" s="286"/>
      <c r="J838" s="286"/>
      <c r="K838" s="529"/>
      <c r="L838" s="286"/>
      <c r="M838" s="529"/>
      <c r="N838" s="286"/>
      <c r="O838" s="286"/>
      <c r="P838" s="286"/>
      <c r="Q838" s="286"/>
      <c r="R838" s="578"/>
      <c r="S838" s="578"/>
      <c r="T838" s="578"/>
      <c r="U838" s="578"/>
    </row>
    <row r="839">
      <c r="A839" s="286"/>
      <c r="B839" s="286"/>
      <c r="C839" s="529"/>
      <c r="D839" s="306"/>
      <c r="E839" s="599"/>
      <c r="F839" s="306"/>
      <c r="G839" s="306"/>
      <c r="H839" s="598"/>
      <c r="I839" s="286"/>
      <c r="J839" s="286"/>
      <c r="K839" s="529"/>
      <c r="L839" s="286"/>
      <c r="M839" s="529"/>
      <c r="N839" s="286"/>
      <c r="O839" s="286"/>
      <c r="P839" s="286"/>
      <c r="Q839" s="286"/>
      <c r="R839" s="578"/>
      <c r="S839" s="578"/>
      <c r="T839" s="578"/>
      <c r="U839" s="578"/>
    </row>
    <row r="840">
      <c r="A840" s="286"/>
      <c r="B840" s="286"/>
      <c r="C840" s="529"/>
      <c r="D840" s="306"/>
      <c r="E840" s="599"/>
      <c r="F840" s="306"/>
      <c r="G840" s="306"/>
      <c r="H840" s="598"/>
      <c r="I840" s="286"/>
      <c r="J840" s="286"/>
      <c r="K840" s="529"/>
      <c r="L840" s="286"/>
      <c r="M840" s="529"/>
      <c r="N840" s="286"/>
      <c r="O840" s="286"/>
      <c r="P840" s="286"/>
      <c r="Q840" s="286"/>
      <c r="R840" s="578"/>
      <c r="S840" s="578"/>
      <c r="T840" s="578"/>
      <c r="U840" s="578"/>
    </row>
    <row r="841">
      <c r="A841" s="286"/>
      <c r="B841" s="286"/>
      <c r="C841" s="529"/>
      <c r="D841" s="306"/>
      <c r="E841" s="599"/>
      <c r="F841" s="306"/>
      <c r="G841" s="306"/>
      <c r="H841" s="598"/>
      <c r="I841" s="286"/>
      <c r="J841" s="286"/>
      <c r="K841" s="529"/>
      <c r="L841" s="286"/>
      <c r="M841" s="529"/>
      <c r="N841" s="286"/>
      <c r="O841" s="286"/>
      <c r="P841" s="286"/>
      <c r="Q841" s="286"/>
      <c r="R841" s="578"/>
      <c r="S841" s="578"/>
      <c r="T841" s="578"/>
      <c r="U841" s="578"/>
    </row>
    <row r="842">
      <c r="A842" s="286"/>
      <c r="B842" s="286"/>
      <c r="C842" s="529"/>
      <c r="D842" s="306"/>
      <c r="E842" s="599"/>
      <c r="F842" s="306"/>
      <c r="G842" s="306"/>
      <c r="H842" s="598"/>
      <c r="I842" s="286"/>
      <c r="J842" s="286"/>
      <c r="K842" s="529"/>
      <c r="L842" s="286"/>
      <c r="M842" s="529"/>
      <c r="N842" s="286"/>
      <c r="O842" s="286"/>
      <c r="P842" s="286"/>
      <c r="Q842" s="286"/>
      <c r="R842" s="578"/>
      <c r="S842" s="578"/>
      <c r="T842" s="578"/>
      <c r="U842" s="578"/>
    </row>
    <row r="843">
      <c r="A843" s="286"/>
      <c r="B843" s="286"/>
      <c r="C843" s="529"/>
      <c r="D843" s="306"/>
      <c r="E843" s="599"/>
      <c r="F843" s="306"/>
      <c r="G843" s="306"/>
      <c r="H843" s="598"/>
      <c r="I843" s="286"/>
      <c r="J843" s="286"/>
      <c r="K843" s="529"/>
      <c r="L843" s="286"/>
      <c r="M843" s="529"/>
      <c r="N843" s="286"/>
      <c r="O843" s="286"/>
      <c r="P843" s="286"/>
      <c r="Q843" s="286"/>
      <c r="R843" s="578"/>
      <c r="S843" s="578"/>
      <c r="T843" s="578"/>
      <c r="U843" s="578"/>
    </row>
    <row r="844">
      <c r="A844" s="286"/>
      <c r="B844" s="286"/>
      <c r="C844" s="529"/>
      <c r="D844" s="306"/>
      <c r="E844" s="599"/>
      <c r="F844" s="306"/>
      <c r="G844" s="306"/>
      <c r="H844" s="598"/>
      <c r="I844" s="286"/>
      <c r="J844" s="286"/>
      <c r="K844" s="529"/>
      <c r="L844" s="286"/>
      <c r="M844" s="529"/>
      <c r="N844" s="286"/>
      <c r="O844" s="286"/>
      <c r="P844" s="286"/>
      <c r="Q844" s="286"/>
      <c r="R844" s="578"/>
      <c r="S844" s="578"/>
      <c r="T844" s="578"/>
      <c r="U844" s="578"/>
    </row>
    <row r="845">
      <c r="A845" s="286"/>
      <c r="B845" s="286"/>
      <c r="C845" s="529"/>
      <c r="D845" s="306"/>
      <c r="E845" s="599"/>
      <c r="F845" s="306"/>
      <c r="G845" s="306"/>
      <c r="H845" s="598"/>
      <c r="I845" s="286"/>
      <c r="J845" s="286"/>
      <c r="K845" s="529"/>
      <c r="L845" s="286"/>
      <c r="M845" s="529"/>
      <c r="N845" s="286"/>
      <c r="O845" s="286"/>
      <c r="P845" s="286"/>
      <c r="Q845" s="286"/>
      <c r="R845" s="578"/>
      <c r="S845" s="578"/>
      <c r="T845" s="578"/>
      <c r="U845" s="578"/>
    </row>
    <row r="846">
      <c r="A846" s="286"/>
      <c r="B846" s="286"/>
      <c r="C846" s="529"/>
      <c r="D846" s="306"/>
      <c r="E846" s="599"/>
      <c r="F846" s="306"/>
      <c r="G846" s="306"/>
      <c r="H846" s="598"/>
      <c r="I846" s="286"/>
      <c r="J846" s="286"/>
      <c r="K846" s="529"/>
      <c r="L846" s="286"/>
      <c r="M846" s="529"/>
      <c r="N846" s="286"/>
      <c r="O846" s="286"/>
      <c r="P846" s="286"/>
      <c r="Q846" s="286"/>
      <c r="R846" s="578"/>
      <c r="S846" s="578"/>
      <c r="T846" s="578"/>
      <c r="U846" s="578"/>
    </row>
    <row r="847">
      <c r="A847" s="286"/>
      <c r="B847" s="286"/>
      <c r="C847" s="529"/>
      <c r="D847" s="306"/>
      <c r="E847" s="599"/>
      <c r="F847" s="306"/>
      <c r="G847" s="306"/>
      <c r="H847" s="598"/>
      <c r="I847" s="286"/>
      <c r="J847" s="286"/>
      <c r="K847" s="529"/>
      <c r="L847" s="286"/>
      <c r="M847" s="529"/>
      <c r="N847" s="286"/>
      <c r="O847" s="286"/>
      <c r="P847" s="286"/>
      <c r="Q847" s="286"/>
      <c r="R847" s="578"/>
      <c r="S847" s="578"/>
      <c r="T847" s="578"/>
      <c r="U847" s="578"/>
    </row>
    <row r="848">
      <c r="A848" s="286"/>
      <c r="B848" s="286"/>
      <c r="C848" s="529"/>
      <c r="D848" s="306"/>
      <c r="E848" s="599"/>
      <c r="F848" s="306"/>
      <c r="G848" s="306"/>
      <c r="H848" s="598"/>
      <c r="I848" s="286"/>
      <c r="J848" s="286"/>
      <c r="K848" s="529"/>
      <c r="L848" s="286"/>
      <c r="M848" s="529"/>
      <c r="N848" s="286"/>
      <c r="O848" s="286"/>
      <c r="P848" s="286"/>
      <c r="Q848" s="286"/>
      <c r="R848" s="578"/>
      <c r="S848" s="578"/>
      <c r="T848" s="578"/>
      <c r="U848" s="578"/>
    </row>
    <row r="849">
      <c r="A849" s="286"/>
      <c r="B849" s="286"/>
      <c r="C849" s="529"/>
      <c r="D849" s="306"/>
      <c r="E849" s="599"/>
      <c r="F849" s="306"/>
      <c r="G849" s="306"/>
      <c r="H849" s="598"/>
      <c r="I849" s="286"/>
      <c r="J849" s="286"/>
      <c r="K849" s="529"/>
      <c r="L849" s="286"/>
      <c r="M849" s="529"/>
      <c r="N849" s="286"/>
      <c r="O849" s="286"/>
      <c r="P849" s="286"/>
      <c r="Q849" s="286"/>
      <c r="R849" s="578"/>
      <c r="S849" s="578"/>
      <c r="T849" s="578"/>
      <c r="U849" s="578"/>
    </row>
    <row r="850">
      <c r="A850" s="286"/>
      <c r="B850" s="286"/>
      <c r="C850" s="529"/>
      <c r="D850" s="306"/>
      <c r="E850" s="599"/>
      <c r="F850" s="306"/>
      <c r="G850" s="306"/>
      <c r="H850" s="598"/>
      <c r="I850" s="286"/>
      <c r="J850" s="286"/>
      <c r="K850" s="529"/>
      <c r="L850" s="286"/>
      <c r="M850" s="529"/>
      <c r="N850" s="286"/>
      <c r="O850" s="286"/>
      <c r="P850" s="286"/>
      <c r="Q850" s="286"/>
      <c r="R850" s="578"/>
      <c r="S850" s="578"/>
      <c r="T850" s="578"/>
      <c r="U850" s="578"/>
    </row>
    <row r="851">
      <c r="A851" s="286"/>
      <c r="B851" s="286"/>
      <c r="C851" s="529"/>
      <c r="D851" s="306"/>
      <c r="E851" s="599"/>
      <c r="F851" s="306"/>
      <c r="G851" s="306"/>
      <c r="H851" s="598"/>
      <c r="I851" s="286"/>
      <c r="J851" s="286"/>
      <c r="K851" s="529"/>
      <c r="L851" s="286"/>
      <c r="M851" s="529"/>
      <c r="N851" s="286"/>
      <c r="O851" s="286"/>
      <c r="P851" s="286"/>
      <c r="Q851" s="286"/>
      <c r="R851" s="578"/>
      <c r="S851" s="578"/>
      <c r="T851" s="578"/>
      <c r="U851" s="578"/>
    </row>
    <row r="852">
      <c r="A852" s="286"/>
      <c r="B852" s="286"/>
      <c r="C852" s="529"/>
      <c r="D852" s="306"/>
      <c r="E852" s="599"/>
      <c r="F852" s="306"/>
      <c r="G852" s="306"/>
      <c r="H852" s="598"/>
      <c r="I852" s="286"/>
      <c r="J852" s="286"/>
      <c r="K852" s="529"/>
      <c r="L852" s="286"/>
      <c r="M852" s="529"/>
      <c r="N852" s="286"/>
      <c r="O852" s="286"/>
      <c r="P852" s="286"/>
      <c r="Q852" s="286"/>
      <c r="R852" s="578"/>
      <c r="S852" s="578"/>
      <c r="T852" s="578"/>
      <c r="U852" s="578"/>
    </row>
    <row r="853">
      <c r="A853" s="286"/>
      <c r="B853" s="286"/>
      <c r="C853" s="529"/>
      <c r="D853" s="306"/>
      <c r="E853" s="599"/>
      <c r="F853" s="306"/>
      <c r="G853" s="306"/>
      <c r="H853" s="598"/>
      <c r="I853" s="286"/>
      <c r="J853" s="286"/>
      <c r="K853" s="529"/>
      <c r="L853" s="286"/>
      <c r="M853" s="529"/>
      <c r="N853" s="286"/>
      <c r="O853" s="286"/>
      <c r="P853" s="286"/>
      <c r="Q853" s="286"/>
      <c r="R853" s="578"/>
      <c r="S853" s="578"/>
      <c r="T853" s="578"/>
      <c r="U853" s="578"/>
    </row>
    <row r="854">
      <c r="A854" s="286"/>
      <c r="B854" s="286"/>
      <c r="C854" s="529"/>
      <c r="D854" s="306"/>
      <c r="E854" s="599"/>
      <c r="F854" s="306"/>
      <c r="G854" s="306"/>
      <c r="H854" s="598"/>
      <c r="I854" s="286"/>
      <c r="J854" s="286"/>
      <c r="K854" s="529"/>
      <c r="L854" s="286"/>
      <c r="M854" s="529"/>
      <c r="N854" s="286"/>
      <c r="O854" s="286"/>
      <c r="P854" s="286"/>
      <c r="Q854" s="286"/>
      <c r="R854" s="578"/>
      <c r="S854" s="578"/>
      <c r="T854" s="578"/>
      <c r="U854" s="578"/>
    </row>
    <row r="855">
      <c r="A855" s="286"/>
      <c r="B855" s="286"/>
      <c r="C855" s="529"/>
      <c r="D855" s="306"/>
      <c r="E855" s="599"/>
      <c r="F855" s="306"/>
      <c r="G855" s="306"/>
      <c r="H855" s="598"/>
      <c r="I855" s="286"/>
      <c r="J855" s="286"/>
      <c r="K855" s="529"/>
      <c r="L855" s="286"/>
      <c r="M855" s="529"/>
      <c r="N855" s="286"/>
      <c r="O855" s="286"/>
      <c r="P855" s="286"/>
      <c r="Q855" s="286"/>
      <c r="R855" s="578"/>
      <c r="S855" s="578"/>
      <c r="T855" s="578"/>
      <c r="U855" s="578"/>
    </row>
    <row r="856">
      <c r="A856" s="286"/>
      <c r="B856" s="286"/>
      <c r="C856" s="529"/>
      <c r="D856" s="306"/>
      <c r="E856" s="599"/>
      <c r="F856" s="306"/>
      <c r="G856" s="306"/>
      <c r="H856" s="598"/>
      <c r="I856" s="286"/>
      <c r="J856" s="286"/>
      <c r="K856" s="529"/>
      <c r="L856" s="286"/>
      <c r="M856" s="529"/>
      <c r="N856" s="286"/>
      <c r="O856" s="286"/>
      <c r="P856" s="286"/>
      <c r="Q856" s="286"/>
      <c r="R856" s="578"/>
      <c r="S856" s="578"/>
      <c r="T856" s="578"/>
      <c r="U856" s="578"/>
    </row>
    <row r="857">
      <c r="A857" s="286"/>
      <c r="B857" s="286"/>
      <c r="C857" s="529"/>
      <c r="D857" s="306"/>
      <c r="E857" s="599"/>
      <c r="F857" s="306"/>
      <c r="G857" s="306"/>
      <c r="H857" s="598"/>
      <c r="I857" s="286"/>
      <c r="J857" s="286"/>
      <c r="K857" s="529"/>
      <c r="L857" s="286"/>
      <c r="M857" s="529"/>
      <c r="N857" s="286"/>
      <c r="O857" s="286"/>
      <c r="P857" s="286"/>
      <c r="Q857" s="286"/>
      <c r="R857" s="578"/>
      <c r="S857" s="578"/>
      <c r="T857" s="578"/>
      <c r="U857" s="578"/>
    </row>
    <row r="858">
      <c r="A858" s="286"/>
      <c r="B858" s="286"/>
      <c r="C858" s="529"/>
      <c r="D858" s="306"/>
      <c r="E858" s="599"/>
      <c r="F858" s="306"/>
      <c r="G858" s="306"/>
      <c r="H858" s="598"/>
      <c r="I858" s="286"/>
      <c r="J858" s="286"/>
      <c r="K858" s="529"/>
      <c r="L858" s="286"/>
      <c r="M858" s="529"/>
      <c r="N858" s="286"/>
      <c r="O858" s="286"/>
      <c r="P858" s="286"/>
      <c r="Q858" s="286"/>
      <c r="R858" s="578"/>
      <c r="S858" s="578"/>
      <c r="T858" s="578"/>
      <c r="U858" s="578"/>
    </row>
    <row r="859">
      <c r="A859" s="286"/>
      <c r="B859" s="286"/>
      <c r="C859" s="529"/>
      <c r="D859" s="306"/>
      <c r="E859" s="599"/>
      <c r="F859" s="306"/>
      <c r="G859" s="306"/>
      <c r="H859" s="598"/>
      <c r="I859" s="286"/>
      <c r="J859" s="286"/>
      <c r="K859" s="529"/>
      <c r="L859" s="286"/>
      <c r="M859" s="529"/>
      <c r="N859" s="286"/>
      <c r="O859" s="286"/>
      <c r="P859" s="286"/>
      <c r="Q859" s="286"/>
      <c r="R859" s="578"/>
      <c r="S859" s="578"/>
      <c r="T859" s="578"/>
      <c r="U859" s="578"/>
    </row>
    <row r="860">
      <c r="A860" s="286"/>
      <c r="B860" s="286"/>
      <c r="C860" s="529"/>
      <c r="D860" s="306"/>
      <c r="E860" s="599"/>
      <c r="F860" s="306"/>
      <c r="G860" s="306"/>
      <c r="H860" s="598"/>
      <c r="I860" s="286"/>
      <c r="J860" s="286"/>
      <c r="K860" s="529"/>
      <c r="L860" s="286"/>
      <c r="M860" s="529"/>
      <c r="N860" s="286"/>
      <c r="O860" s="286"/>
      <c r="P860" s="286"/>
      <c r="Q860" s="286"/>
      <c r="R860" s="578"/>
      <c r="S860" s="578"/>
      <c r="T860" s="578"/>
      <c r="U860" s="578"/>
    </row>
    <row r="861">
      <c r="A861" s="286"/>
      <c r="B861" s="286"/>
      <c r="C861" s="529"/>
      <c r="D861" s="306"/>
      <c r="E861" s="599"/>
      <c r="F861" s="306"/>
      <c r="G861" s="306"/>
      <c r="H861" s="598"/>
      <c r="I861" s="286"/>
      <c r="J861" s="286"/>
      <c r="K861" s="529"/>
      <c r="L861" s="286"/>
      <c r="M861" s="529"/>
      <c r="N861" s="286"/>
      <c r="O861" s="286"/>
      <c r="P861" s="286"/>
      <c r="Q861" s="286"/>
      <c r="R861" s="578"/>
      <c r="S861" s="578"/>
      <c r="T861" s="578"/>
      <c r="U861" s="578"/>
    </row>
    <row r="862">
      <c r="A862" s="286"/>
      <c r="B862" s="286"/>
      <c r="C862" s="529"/>
      <c r="D862" s="306"/>
      <c r="E862" s="599"/>
      <c r="F862" s="306"/>
      <c r="G862" s="306"/>
      <c r="H862" s="598"/>
      <c r="I862" s="286"/>
      <c r="J862" s="286"/>
      <c r="K862" s="529"/>
      <c r="L862" s="286"/>
      <c r="M862" s="529"/>
      <c r="N862" s="286"/>
      <c r="O862" s="286"/>
      <c r="P862" s="286"/>
      <c r="Q862" s="286"/>
      <c r="R862" s="578"/>
      <c r="S862" s="578"/>
      <c r="T862" s="578"/>
      <c r="U862" s="578"/>
    </row>
    <row r="863">
      <c r="A863" s="286"/>
      <c r="B863" s="286"/>
      <c r="C863" s="529"/>
      <c r="D863" s="306"/>
      <c r="E863" s="599"/>
      <c r="F863" s="306"/>
      <c r="G863" s="306"/>
      <c r="H863" s="598"/>
      <c r="I863" s="286"/>
      <c r="J863" s="286"/>
      <c r="K863" s="529"/>
      <c r="L863" s="286"/>
      <c r="M863" s="529"/>
      <c r="N863" s="286"/>
      <c r="O863" s="286"/>
      <c r="P863" s="286"/>
      <c r="Q863" s="286"/>
      <c r="R863" s="578"/>
      <c r="S863" s="578"/>
      <c r="T863" s="578"/>
      <c r="U863" s="578"/>
    </row>
    <row r="864">
      <c r="A864" s="286"/>
      <c r="B864" s="286"/>
      <c r="C864" s="529"/>
      <c r="D864" s="306"/>
      <c r="E864" s="599"/>
      <c r="F864" s="306"/>
      <c r="G864" s="306"/>
      <c r="H864" s="598"/>
      <c r="I864" s="286"/>
      <c r="J864" s="286"/>
      <c r="K864" s="529"/>
      <c r="L864" s="286"/>
      <c r="M864" s="529"/>
      <c r="N864" s="286"/>
      <c r="O864" s="286"/>
      <c r="P864" s="286"/>
      <c r="Q864" s="286"/>
      <c r="R864" s="578"/>
      <c r="S864" s="578"/>
      <c r="T864" s="578"/>
      <c r="U864" s="578"/>
    </row>
    <row r="865">
      <c r="A865" s="286"/>
      <c r="B865" s="286"/>
      <c r="C865" s="529"/>
      <c r="D865" s="306"/>
      <c r="E865" s="599"/>
      <c r="F865" s="306"/>
      <c r="G865" s="306"/>
      <c r="H865" s="598"/>
      <c r="I865" s="286"/>
      <c r="J865" s="286"/>
      <c r="K865" s="529"/>
      <c r="L865" s="286"/>
      <c r="M865" s="529"/>
      <c r="N865" s="286"/>
      <c r="O865" s="286"/>
      <c r="P865" s="286"/>
      <c r="Q865" s="286"/>
      <c r="R865" s="578"/>
      <c r="S865" s="578"/>
      <c r="T865" s="578"/>
      <c r="U865" s="578"/>
    </row>
    <row r="866">
      <c r="A866" s="286"/>
      <c r="B866" s="286"/>
      <c r="C866" s="529"/>
      <c r="D866" s="306"/>
      <c r="E866" s="599"/>
      <c r="F866" s="306"/>
      <c r="G866" s="306"/>
      <c r="H866" s="598"/>
      <c r="I866" s="286"/>
      <c r="J866" s="286"/>
      <c r="K866" s="529"/>
      <c r="L866" s="286"/>
      <c r="M866" s="529"/>
      <c r="N866" s="286"/>
      <c r="O866" s="286"/>
      <c r="P866" s="286"/>
      <c r="Q866" s="286"/>
      <c r="R866" s="578"/>
      <c r="S866" s="578"/>
      <c r="T866" s="578"/>
      <c r="U866" s="578"/>
    </row>
    <row r="867">
      <c r="A867" s="286"/>
      <c r="B867" s="286"/>
      <c r="C867" s="529"/>
      <c r="D867" s="306"/>
      <c r="E867" s="599"/>
      <c r="F867" s="306"/>
      <c r="G867" s="306"/>
      <c r="H867" s="598"/>
      <c r="I867" s="286"/>
      <c r="J867" s="286"/>
      <c r="K867" s="529"/>
      <c r="L867" s="286"/>
      <c r="M867" s="529"/>
      <c r="N867" s="286"/>
      <c r="O867" s="286"/>
      <c r="P867" s="286"/>
      <c r="Q867" s="286"/>
      <c r="R867" s="578"/>
      <c r="S867" s="578"/>
      <c r="T867" s="578"/>
      <c r="U867" s="578"/>
    </row>
    <row r="868">
      <c r="A868" s="286"/>
      <c r="B868" s="286"/>
      <c r="C868" s="529"/>
      <c r="D868" s="306"/>
      <c r="E868" s="599"/>
      <c r="F868" s="306"/>
      <c r="G868" s="306"/>
      <c r="H868" s="598"/>
      <c r="I868" s="286"/>
      <c r="J868" s="286"/>
      <c r="K868" s="529"/>
      <c r="L868" s="286"/>
      <c r="M868" s="529"/>
      <c r="N868" s="286"/>
      <c r="O868" s="286"/>
      <c r="P868" s="286"/>
      <c r="Q868" s="286"/>
      <c r="R868" s="578"/>
      <c r="S868" s="578"/>
      <c r="T868" s="578"/>
      <c r="U868" s="578"/>
    </row>
    <row r="869">
      <c r="A869" s="286"/>
      <c r="B869" s="286"/>
      <c r="C869" s="529"/>
      <c r="D869" s="306"/>
      <c r="E869" s="599"/>
      <c r="F869" s="306"/>
      <c r="G869" s="306"/>
      <c r="H869" s="598"/>
      <c r="I869" s="286"/>
      <c r="J869" s="286"/>
      <c r="K869" s="529"/>
      <c r="L869" s="286"/>
      <c r="M869" s="529"/>
      <c r="N869" s="286"/>
      <c r="O869" s="286"/>
      <c r="P869" s="286"/>
      <c r="Q869" s="286"/>
      <c r="R869" s="578"/>
      <c r="S869" s="578"/>
      <c r="T869" s="578"/>
      <c r="U869" s="578"/>
    </row>
    <row r="870">
      <c r="A870" s="286"/>
      <c r="B870" s="286"/>
      <c r="C870" s="529"/>
      <c r="D870" s="306"/>
      <c r="E870" s="599"/>
      <c r="F870" s="306"/>
      <c r="G870" s="306"/>
      <c r="H870" s="598"/>
      <c r="I870" s="286"/>
      <c r="J870" s="286"/>
      <c r="K870" s="529"/>
      <c r="L870" s="286"/>
      <c r="M870" s="529"/>
      <c r="N870" s="286"/>
      <c r="O870" s="286"/>
      <c r="P870" s="286"/>
      <c r="Q870" s="286"/>
      <c r="R870" s="578"/>
      <c r="S870" s="578"/>
      <c r="T870" s="578"/>
      <c r="U870" s="578"/>
    </row>
    <row r="871">
      <c r="A871" s="286"/>
      <c r="B871" s="286"/>
      <c r="C871" s="529"/>
      <c r="D871" s="306"/>
      <c r="E871" s="599"/>
      <c r="F871" s="306"/>
      <c r="G871" s="306"/>
      <c r="H871" s="598"/>
      <c r="I871" s="286"/>
      <c r="J871" s="286"/>
      <c r="K871" s="529"/>
      <c r="L871" s="286"/>
      <c r="M871" s="529"/>
      <c r="N871" s="286"/>
      <c r="O871" s="286"/>
      <c r="P871" s="286"/>
      <c r="Q871" s="286"/>
      <c r="R871" s="578"/>
      <c r="S871" s="578"/>
      <c r="T871" s="578"/>
      <c r="U871" s="578"/>
    </row>
    <row r="872">
      <c r="A872" s="286"/>
      <c r="B872" s="286"/>
      <c r="C872" s="529"/>
      <c r="D872" s="306"/>
      <c r="E872" s="599"/>
      <c r="F872" s="306"/>
      <c r="G872" s="306"/>
      <c r="H872" s="598"/>
      <c r="I872" s="286"/>
      <c r="J872" s="286"/>
      <c r="K872" s="529"/>
      <c r="L872" s="286"/>
      <c r="M872" s="529"/>
      <c r="N872" s="286"/>
      <c r="O872" s="286"/>
      <c r="P872" s="286"/>
      <c r="Q872" s="286"/>
      <c r="R872" s="578"/>
      <c r="S872" s="578"/>
      <c r="T872" s="578"/>
      <c r="U872" s="578"/>
    </row>
    <row r="873">
      <c r="A873" s="286"/>
      <c r="B873" s="286"/>
      <c r="C873" s="529"/>
      <c r="D873" s="306"/>
      <c r="E873" s="599"/>
      <c r="F873" s="306"/>
      <c r="G873" s="306"/>
      <c r="H873" s="598"/>
      <c r="I873" s="286"/>
      <c r="J873" s="286"/>
      <c r="K873" s="529"/>
      <c r="L873" s="286"/>
      <c r="M873" s="529"/>
      <c r="N873" s="286"/>
      <c r="O873" s="286"/>
      <c r="P873" s="286"/>
      <c r="Q873" s="286"/>
      <c r="R873" s="578"/>
      <c r="S873" s="578"/>
      <c r="T873" s="578"/>
      <c r="U873" s="578"/>
    </row>
    <row r="874">
      <c r="A874" s="286"/>
      <c r="B874" s="286"/>
      <c r="C874" s="529"/>
      <c r="D874" s="306"/>
      <c r="E874" s="599"/>
      <c r="F874" s="306"/>
      <c r="G874" s="306"/>
      <c r="H874" s="598"/>
      <c r="I874" s="286"/>
      <c r="J874" s="286"/>
      <c r="K874" s="529"/>
      <c r="L874" s="286"/>
      <c r="M874" s="529"/>
      <c r="N874" s="286"/>
      <c r="O874" s="286"/>
      <c r="P874" s="286"/>
      <c r="Q874" s="286"/>
      <c r="R874" s="578"/>
      <c r="S874" s="578"/>
      <c r="T874" s="578"/>
      <c r="U874" s="578"/>
    </row>
    <row r="875">
      <c r="A875" s="286"/>
      <c r="B875" s="286"/>
      <c r="C875" s="529"/>
      <c r="D875" s="306"/>
      <c r="E875" s="599"/>
      <c r="F875" s="306"/>
      <c r="G875" s="306"/>
      <c r="H875" s="598"/>
      <c r="I875" s="286"/>
      <c r="J875" s="286"/>
      <c r="K875" s="529"/>
      <c r="L875" s="286"/>
      <c r="M875" s="529"/>
      <c r="N875" s="286"/>
      <c r="O875" s="286"/>
      <c r="P875" s="286"/>
      <c r="Q875" s="286"/>
      <c r="R875" s="578"/>
      <c r="S875" s="578"/>
      <c r="T875" s="578"/>
      <c r="U875" s="578"/>
    </row>
    <row r="876">
      <c r="A876" s="286"/>
      <c r="B876" s="286"/>
      <c r="C876" s="529"/>
      <c r="D876" s="306"/>
      <c r="E876" s="599"/>
      <c r="F876" s="306"/>
      <c r="G876" s="306"/>
      <c r="H876" s="598"/>
      <c r="I876" s="286"/>
      <c r="J876" s="286"/>
      <c r="K876" s="529"/>
      <c r="L876" s="286"/>
      <c r="M876" s="529"/>
      <c r="N876" s="286"/>
      <c r="O876" s="286"/>
      <c r="P876" s="286"/>
      <c r="Q876" s="286"/>
      <c r="R876" s="578"/>
      <c r="S876" s="578"/>
      <c r="T876" s="578"/>
      <c r="U876" s="578"/>
    </row>
    <row r="877">
      <c r="A877" s="286"/>
      <c r="B877" s="286"/>
      <c r="C877" s="529"/>
      <c r="D877" s="306"/>
      <c r="E877" s="599"/>
      <c r="F877" s="306"/>
      <c r="G877" s="306"/>
      <c r="H877" s="598"/>
      <c r="I877" s="286"/>
      <c r="J877" s="286"/>
      <c r="K877" s="529"/>
      <c r="L877" s="286"/>
      <c r="M877" s="529"/>
      <c r="N877" s="286"/>
      <c r="O877" s="286"/>
      <c r="P877" s="286"/>
      <c r="Q877" s="286"/>
      <c r="R877" s="578"/>
      <c r="S877" s="578"/>
      <c r="T877" s="578"/>
      <c r="U877" s="578"/>
    </row>
    <row r="878">
      <c r="A878" s="286"/>
      <c r="B878" s="286"/>
      <c r="C878" s="529"/>
      <c r="D878" s="306"/>
      <c r="E878" s="599"/>
      <c r="F878" s="306"/>
      <c r="G878" s="306"/>
      <c r="H878" s="598"/>
      <c r="I878" s="286"/>
      <c r="J878" s="286"/>
      <c r="K878" s="529"/>
      <c r="L878" s="286"/>
      <c r="M878" s="529"/>
      <c r="N878" s="286"/>
      <c r="O878" s="286"/>
      <c r="P878" s="286"/>
      <c r="Q878" s="286"/>
      <c r="R878" s="578"/>
      <c r="S878" s="578"/>
      <c r="T878" s="578"/>
      <c r="U878" s="578"/>
    </row>
    <row r="879">
      <c r="A879" s="286"/>
      <c r="B879" s="286"/>
      <c r="C879" s="529"/>
      <c r="D879" s="306"/>
      <c r="E879" s="599"/>
      <c r="F879" s="306"/>
      <c r="G879" s="306"/>
      <c r="H879" s="598"/>
      <c r="I879" s="286"/>
      <c r="J879" s="286"/>
      <c r="K879" s="529"/>
      <c r="L879" s="286"/>
      <c r="M879" s="529"/>
      <c r="N879" s="286"/>
      <c r="O879" s="286"/>
      <c r="P879" s="286"/>
      <c r="Q879" s="286"/>
      <c r="R879" s="578"/>
      <c r="S879" s="578"/>
      <c r="T879" s="578"/>
      <c r="U879" s="578"/>
    </row>
    <row r="880">
      <c r="A880" s="286"/>
      <c r="B880" s="286"/>
      <c r="C880" s="529"/>
      <c r="D880" s="306"/>
      <c r="E880" s="599"/>
      <c r="F880" s="306"/>
      <c r="G880" s="306"/>
      <c r="H880" s="598"/>
      <c r="I880" s="286"/>
      <c r="J880" s="286"/>
      <c r="K880" s="529"/>
      <c r="L880" s="286"/>
      <c r="M880" s="529"/>
      <c r="N880" s="286"/>
      <c r="O880" s="286"/>
      <c r="P880" s="286"/>
      <c r="Q880" s="286"/>
      <c r="R880" s="578"/>
      <c r="S880" s="578"/>
      <c r="T880" s="578"/>
      <c r="U880" s="578"/>
    </row>
    <row r="881">
      <c r="A881" s="286"/>
      <c r="B881" s="286"/>
      <c r="C881" s="529"/>
      <c r="D881" s="306"/>
      <c r="E881" s="599"/>
      <c r="F881" s="306"/>
      <c r="G881" s="306"/>
      <c r="H881" s="598"/>
      <c r="I881" s="286"/>
      <c r="J881" s="286"/>
      <c r="K881" s="529"/>
      <c r="L881" s="286"/>
      <c r="M881" s="529"/>
      <c r="N881" s="286"/>
      <c r="O881" s="286"/>
      <c r="P881" s="286"/>
      <c r="Q881" s="286"/>
      <c r="R881" s="578"/>
      <c r="S881" s="578"/>
      <c r="T881" s="578"/>
      <c r="U881" s="578"/>
    </row>
    <row r="882">
      <c r="A882" s="286"/>
      <c r="B882" s="286"/>
      <c r="C882" s="529"/>
      <c r="D882" s="306"/>
      <c r="E882" s="599"/>
      <c r="F882" s="306"/>
      <c r="G882" s="306"/>
      <c r="H882" s="598"/>
      <c r="I882" s="286"/>
      <c r="J882" s="286"/>
      <c r="K882" s="529"/>
      <c r="L882" s="286"/>
      <c r="M882" s="529"/>
      <c r="N882" s="286"/>
      <c r="O882" s="286"/>
      <c r="P882" s="286"/>
      <c r="Q882" s="286"/>
      <c r="R882" s="578"/>
      <c r="S882" s="578"/>
      <c r="T882" s="578"/>
      <c r="U882" s="578"/>
    </row>
    <row r="883">
      <c r="A883" s="286"/>
      <c r="B883" s="286"/>
      <c r="C883" s="529"/>
      <c r="D883" s="306"/>
      <c r="E883" s="599"/>
      <c r="F883" s="306"/>
      <c r="G883" s="306"/>
      <c r="H883" s="598"/>
      <c r="I883" s="286"/>
      <c r="J883" s="286"/>
      <c r="K883" s="529"/>
      <c r="L883" s="286"/>
      <c r="M883" s="529"/>
      <c r="N883" s="286"/>
      <c r="O883" s="286"/>
      <c r="P883" s="286"/>
      <c r="Q883" s="286"/>
      <c r="R883" s="578"/>
      <c r="S883" s="578"/>
      <c r="T883" s="578"/>
      <c r="U883" s="578"/>
    </row>
    <row r="884">
      <c r="A884" s="286"/>
      <c r="B884" s="286"/>
      <c r="C884" s="529"/>
      <c r="D884" s="306"/>
      <c r="E884" s="599"/>
      <c r="F884" s="306"/>
      <c r="G884" s="306"/>
      <c r="H884" s="598"/>
      <c r="I884" s="286"/>
      <c r="J884" s="286"/>
      <c r="K884" s="529"/>
      <c r="L884" s="286"/>
      <c r="M884" s="529"/>
      <c r="N884" s="286"/>
      <c r="O884" s="286"/>
      <c r="P884" s="286"/>
      <c r="Q884" s="286"/>
      <c r="R884" s="578"/>
      <c r="S884" s="578"/>
      <c r="T884" s="578"/>
      <c r="U884" s="578"/>
    </row>
    <row r="885">
      <c r="A885" s="286"/>
      <c r="B885" s="286"/>
      <c r="C885" s="529"/>
      <c r="D885" s="306"/>
      <c r="E885" s="599"/>
      <c r="F885" s="306"/>
      <c r="G885" s="306"/>
      <c r="H885" s="598"/>
      <c r="I885" s="286"/>
      <c r="J885" s="286"/>
      <c r="K885" s="529"/>
      <c r="L885" s="286"/>
      <c r="M885" s="529"/>
      <c r="N885" s="286"/>
      <c r="O885" s="286"/>
      <c r="P885" s="286"/>
      <c r="Q885" s="286"/>
      <c r="R885" s="578"/>
      <c r="S885" s="578"/>
      <c r="T885" s="578"/>
      <c r="U885" s="578"/>
    </row>
    <row r="886">
      <c r="A886" s="286"/>
      <c r="B886" s="286"/>
      <c r="C886" s="529"/>
      <c r="D886" s="306"/>
      <c r="E886" s="599"/>
      <c r="F886" s="306"/>
      <c r="G886" s="306"/>
      <c r="H886" s="598"/>
      <c r="I886" s="286"/>
      <c r="J886" s="286"/>
      <c r="K886" s="529"/>
      <c r="L886" s="286"/>
      <c r="M886" s="529"/>
      <c r="N886" s="286"/>
      <c r="O886" s="286"/>
      <c r="P886" s="286"/>
      <c r="Q886" s="286"/>
      <c r="R886" s="578"/>
      <c r="S886" s="578"/>
      <c r="T886" s="578"/>
      <c r="U886" s="578"/>
    </row>
    <row r="887">
      <c r="A887" s="286"/>
      <c r="B887" s="286"/>
      <c r="C887" s="529"/>
      <c r="D887" s="306"/>
      <c r="E887" s="599"/>
      <c r="F887" s="306"/>
      <c r="G887" s="306"/>
      <c r="H887" s="598"/>
      <c r="I887" s="286"/>
      <c r="J887" s="286"/>
      <c r="K887" s="529"/>
      <c r="L887" s="286"/>
      <c r="M887" s="529"/>
      <c r="N887" s="286"/>
      <c r="O887" s="286"/>
      <c r="P887" s="286"/>
      <c r="Q887" s="286"/>
      <c r="R887" s="578"/>
      <c r="S887" s="578"/>
      <c r="T887" s="578"/>
      <c r="U887" s="578"/>
    </row>
    <row r="888">
      <c r="A888" s="286"/>
      <c r="B888" s="286"/>
      <c r="C888" s="529"/>
      <c r="D888" s="306"/>
      <c r="E888" s="599"/>
      <c r="F888" s="306"/>
      <c r="G888" s="306"/>
      <c r="H888" s="598"/>
      <c r="I888" s="286"/>
      <c r="J888" s="286"/>
      <c r="K888" s="529"/>
      <c r="L888" s="286"/>
      <c r="M888" s="529"/>
      <c r="N888" s="286"/>
      <c r="O888" s="286"/>
      <c r="P888" s="286"/>
      <c r="Q888" s="286"/>
      <c r="R888" s="578"/>
      <c r="S888" s="578"/>
      <c r="T888" s="578"/>
      <c r="U888" s="578"/>
    </row>
    <row r="889">
      <c r="A889" s="286"/>
      <c r="B889" s="286"/>
      <c r="C889" s="529"/>
      <c r="D889" s="306"/>
      <c r="E889" s="599"/>
      <c r="F889" s="306"/>
      <c r="G889" s="306"/>
      <c r="H889" s="598"/>
      <c r="I889" s="286"/>
      <c r="J889" s="286"/>
      <c r="K889" s="529"/>
      <c r="L889" s="286"/>
      <c r="M889" s="529"/>
      <c r="N889" s="286"/>
      <c r="O889" s="286"/>
      <c r="P889" s="286"/>
      <c r="Q889" s="286"/>
      <c r="R889" s="578"/>
      <c r="S889" s="578"/>
      <c r="T889" s="578"/>
      <c r="U889" s="578"/>
    </row>
    <row r="890">
      <c r="A890" s="286"/>
      <c r="B890" s="286"/>
      <c r="C890" s="529"/>
      <c r="D890" s="306"/>
      <c r="E890" s="599"/>
      <c r="F890" s="306"/>
      <c r="G890" s="306"/>
      <c r="H890" s="598"/>
      <c r="I890" s="286"/>
      <c r="J890" s="286"/>
      <c r="K890" s="529"/>
      <c r="L890" s="286"/>
      <c r="M890" s="529"/>
      <c r="N890" s="286"/>
      <c r="O890" s="286"/>
      <c r="P890" s="286"/>
      <c r="Q890" s="286"/>
      <c r="R890" s="578"/>
      <c r="S890" s="578"/>
      <c r="T890" s="578"/>
      <c r="U890" s="578"/>
    </row>
    <row r="891">
      <c r="A891" s="286"/>
      <c r="B891" s="286"/>
      <c r="C891" s="529"/>
      <c r="D891" s="306"/>
      <c r="E891" s="599"/>
      <c r="F891" s="306"/>
      <c r="G891" s="306"/>
      <c r="H891" s="598"/>
      <c r="I891" s="286"/>
      <c r="J891" s="286"/>
      <c r="K891" s="529"/>
      <c r="L891" s="286"/>
      <c r="M891" s="529"/>
      <c r="N891" s="286"/>
      <c r="O891" s="286"/>
      <c r="P891" s="286"/>
      <c r="Q891" s="286"/>
      <c r="R891" s="578"/>
      <c r="S891" s="578"/>
      <c r="T891" s="578"/>
      <c r="U891" s="578"/>
    </row>
    <row r="892">
      <c r="A892" s="286"/>
      <c r="B892" s="286"/>
      <c r="C892" s="529"/>
      <c r="D892" s="306"/>
      <c r="E892" s="599"/>
      <c r="F892" s="306"/>
      <c r="G892" s="306"/>
      <c r="H892" s="598"/>
      <c r="I892" s="286"/>
      <c r="J892" s="286"/>
      <c r="K892" s="529"/>
      <c r="L892" s="286"/>
      <c r="M892" s="529"/>
      <c r="N892" s="286"/>
      <c r="O892" s="286"/>
      <c r="P892" s="286"/>
      <c r="Q892" s="286"/>
      <c r="R892" s="578"/>
      <c r="S892" s="578"/>
      <c r="T892" s="578"/>
      <c r="U892" s="578"/>
    </row>
    <row r="893">
      <c r="A893" s="286"/>
      <c r="B893" s="286"/>
      <c r="C893" s="529"/>
      <c r="D893" s="306"/>
      <c r="E893" s="599"/>
      <c r="F893" s="306"/>
      <c r="G893" s="306"/>
      <c r="H893" s="598"/>
      <c r="I893" s="286"/>
      <c r="J893" s="286"/>
      <c r="K893" s="529"/>
      <c r="L893" s="286"/>
      <c r="M893" s="529"/>
      <c r="N893" s="286"/>
      <c r="O893" s="286"/>
      <c r="P893" s="286"/>
      <c r="Q893" s="286"/>
      <c r="R893" s="578"/>
      <c r="S893" s="578"/>
      <c r="T893" s="578"/>
      <c r="U893" s="578"/>
    </row>
    <row r="894">
      <c r="A894" s="286"/>
      <c r="B894" s="286"/>
      <c r="C894" s="529"/>
      <c r="D894" s="306"/>
      <c r="E894" s="599"/>
      <c r="F894" s="306"/>
      <c r="G894" s="306"/>
      <c r="H894" s="598"/>
      <c r="I894" s="286"/>
      <c r="J894" s="286"/>
      <c r="K894" s="529"/>
      <c r="L894" s="286"/>
      <c r="M894" s="529"/>
      <c r="N894" s="286"/>
      <c r="O894" s="286"/>
      <c r="P894" s="286"/>
      <c r="Q894" s="286"/>
      <c r="R894" s="578"/>
      <c r="S894" s="578"/>
      <c r="T894" s="578"/>
      <c r="U894" s="578"/>
    </row>
    <row r="895">
      <c r="A895" s="286"/>
      <c r="B895" s="286"/>
      <c r="C895" s="529"/>
      <c r="D895" s="306"/>
      <c r="E895" s="599"/>
      <c r="F895" s="306"/>
      <c r="G895" s="306"/>
      <c r="H895" s="598"/>
      <c r="I895" s="286"/>
      <c r="J895" s="286"/>
      <c r="K895" s="529"/>
      <c r="L895" s="286"/>
      <c r="M895" s="529"/>
      <c r="N895" s="286"/>
      <c r="O895" s="286"/>
      <c r="P895" s="286"/>
      <c r="Q895" s="286"/>
      <c r="R895" s="578"/>
      <c r="S895" s="578"/>
      <c r="T895" s="578"/>
      <c r="U895" s="578"/>
    </row>
    <row r="896">
      <c r="A896" s="286"/>
      <c r="B896" s="286"/>
      <c r="C896" s="529"/>
      <c r="D896" s="306"/>
      <c r="E896" s="599"/>
      <c r="F896" s="306"/>
      <c r="G896" s="306"/>
      <c r="H896" s="598"/>
      <c r="I896" s="286"/>
      <c r="J896" s="286"/>
      <c r="K896" s="529"/>
      <c r="L896" s="286"/>
      <c r="M896" s="529"/>
      <c r="N896" s="286"/>
      <c r="O896" s="286"/>
      <c r="P896" s="286"/>
      <c r="Q896" s="286"/>
      <c r="R896" s="578"/>
      <c r="S896" s="578"/>
      <c r="T896" s="578"/>
      <c r="U896" s="578"/>
    </row>
    <row r="897">
      <c r="A897" s="286"/>
      <c r="B897" s="286"/>
      <c r="C897" s="529"/>
      <c r="D897" s="306"/>
      <c r="E897" s="599"/>
      <c r="F897" s="306"/>
      <c r="G897" s="306"/>
      <c r="H897" s="598"/>
      <c r="I897" s="286"/>
      <c r="J897" s="286"/>
      <c r="K897" s="529"/>
      <c r="L897" s="286"/>
      <c r="M897" s="529"/>
      <c r="N897" s="286"/>
      <c r="O897" s="286"/>
      <c r="P897" s="286"/>
      <c r="Q897" s="286"/>
      <c r="R897" s="578"/>
      <c r="S897" s="578"/>
      <c r="T897" s="578"/>
      <c r="U897" s="578"/>
    </row>
    <row r="898">
      <c r="A898" s="286"/>
      <c r="B898" s="286"/>
      <c r="C898" s="529"/>
      <c r="D898" s="306"/>
      <c r="E898" s="599"/>
      <c r="F898" s="306"/>
      <c r="G898" s="306"/>
      <c r="H898" s="598"/>
      <c r="I898" s="286"/>
      <c r="J898" s="286"/>
      <c r="K898" s="529"/>
      <c r="L898" s="286"/>
      <c r="M898" s="529"/>
      <c r="N898" s="286"/>
      <c r="O898" s="286"/>
      <c r="P898" s="286"/>
      <c r="Q898" s="286"/>
      <c r="R898" s="578"/>
      <c r="S898" s="578"/>
      <c r="T898" s="578"/>
      <c r="U898" s="578"/>
    </row>
    <row r="899">
      <c r="A899" s="286"/>
      <c r="B899" s="286"/>
      <c r="C899" s="529"/>
      <c r="D899" s="306"/>
      <c r="E899" s="599"/>
      <c r="F899" s="306"/>
      <c r="G899" s="306"/>
      <c r="H899" s="598"/>
      <c r="I899" s="286"/>
      <c r="J899" s="286"/>
      <c r="K899" s="529"/>
      <c r="L899" s="286"/>
      <c r="M899" s="529"/>
      <c r="N899" s="286"/>
      <c r="O899" s="286"/>
      <c r="P899" s="286"/>
      <c r="Q899" s="286"/>
      <c r="R899" s="578"/>
      <c r="S899" s="578"/>
      <c r="T899" s="578"/>
      <c r="U899" s="578"/>
    </row>
    <row r="900">
      <c r="A900" s="286"/>
      <c r="B900" s="286"/>
      <c r="C900" s="529"/>
      <c r="D900" s="306"/>
      <c r="E900" s="599"/>
      <c r="F900" s="306"/>
      <c r="G900" s="306"/>
      <c r="H900" s="598"/>
      <c r="I900" s="286"/>
      <c r="J900" s="286"/>
      <c r="K900" s="529"/>
      <c r="L900" s="286"/>
      <c r="M900" s="529"/>
      <c r="N900" s="286"/>
      <c r="O900" s="286"/>
      <c r="P900" s="286"/>
      <c r="Q900" s="286"/>
      <c r="R900" s="578"/>
      <c r="S900" s="578"/>
      <c r="T900" s="578"/>
      <c r="U900" s="578"/>
    </row>
    <row r="901">
      <c r="A901" s="286"/>
      <c r="B901" s="286"/>
      <c r="C901" s="529"/>
      <c r="D901" s="306"/>
      <c r="E901" s="599"/>
      <c r="F901" s="306"/>
      <c r="G901" s="306"/>
      <c r="H901" s="598"/>
      <c r="I901" s="286"/>
      <c r="J901" s="286"/>
      <c r="K901" s="529"/>
      <c r="L901" s="286"/>
      <c r="M901" s="529"/>
      <c r="N901" s="286"/>
      <c r="O901" s="286"/>
      <c r="P901" s="286"/>
      <c r="Q901" s="286"/>
      <c r="R901" s="578"/>
      <c r="S901" s="578"/>
      <c r="T901" s="578"/>
      <c r="U901" s="578"/>
    </row>
    <row r="902">
      <c r="A902" s="286"/>
      <c r="B902" s="286"/>
      <c r="C902" s="529"/>
      <c r="D902" s="306"/>
      <c r="E902" s="599"/>
      <c r="F902" s="306"/>
      <c r="G902" s="306"/>
      <c r="H902" s="598"/>
      <c r="I902" s="286"/>
      <c r="J902" s="286"/>
      <c r="K902" s="529"/>
      <c r="L902" s="286"/>
      <c r="M902" s="529"/>
      <c r="N902" s="286"/>
      <c r="O902" s="286"/>
      <c r="P902" s="286"/>
      <c r="Q902" s="286"/>
      <c r="R902" s="578"/>
      <c r="S902" s="578"/>
      <c r="T902" s="578"/>
      <c r="U902" s="578"/>
    </row>
    <row r="903">
      <c r="A903" s="286"/>
      <c r="B903" s="286"/>
      <c r="C903" s="529"/>
      <c r="D903" s="306"/>
      <c r="E903" s="599"/>
      <c r="F903" s="306"/>
      <c r="G903" s="306"/>
      <c r="H903" s="598"/>
      <c r="I903" s="286"/>
      <c r="J903" s="286"/>
      <c r="K903" s="529"/>
      <c r="L903" s="286"/>
      <c r="M903" s="529"/>
      <c r="N903" s="286"/>
      <c r="O903" s="286"/>
      <c r="P903" s="286"/>
      <c r="Q903" s="286"/>
      <c r="R903" s="578"/>
      <c r="S903" s="578"/>
      <c r="T903" s="578"/>
      <c r="U903" s="578"/>
    </row>
    <row r="904">
      <c r="A904" s="286"/>
      <c r="B904" s="286"/>
      <c r="C904" s="529"/>
      <c r="D904" s="306"/>
      <c r="E904" s="599"/>
      <c r="F904" s="306"/>
      <c r="G904" s="306"/>
      <c r="H904" s="598"/>
      <c r="I904" s="286"/>
      <c r="J904" s="286"/>
      <c r="K904" s="529"/>
      <c r="L904" s="286"/>
      <c r="M904" s="529"/>
      <c r="N904" s="286"/>
      <c r="O904" s="286"/>
      <c r="P904" s="286"/>
      <c r="Q904" s="286"/>
      <c r="R904" s="578"/>
      <c r="S904" s="578"/>
      <c r="T904" s="578"/>
      <c r="U904" s="578"/>
    </row>
    <row r="905">
      <c r="A905" s="286"/>
      <c r="B905" s="286"/>
      <c r="C905" s="529"/>
      <c r="D905" s="306"/>
      <c r="E905" s="599"/>
      <c r="F905" s="306"/>
      <c r="G905" s="306"/>
      <c r="H905" s="598"/>
      <c r="I905" s="286"/>
      <c r="J905" s="286"/>
      <c r="K905" s="529"/>
      <c r="L905" s="286"/>
      <c r="M905" s="529"/>
      <c r="N905" s="286"/>
      <c r="O905" s="286"/>
      <c r="P905" s="286"/>
      <c r="Q905" s="286"/>
      <c r="R905" s="578"/>
      <c r="S905" s="578"/>
      <c r="T905" s="578"/>
      <c r="U905" s="578"/>
    </row>
    <row r="906">
      <c r="A906" s="286"/>
      <c r="B906" s="286"/>
      <c r="C906" s="529"/>
      <c r="D906" s="306"/>
      <c r="E906" s="599"/>
      <c r="F906" s="306"/>
      <c r="G906" s="306"/>
      <c r="H906" s="598"/>
      <c r="I906" s="286"/>
      <c r="J906" s="286"/>
      <c r="K906" s="529"/>
      <c r="L906" s="286"/>
      <c r="M906" s="529"/>
      <c r="N906" s="286"/>
      <c r="O906" s="286"/>
      <c r="P906" s="286"/>
      <c r="Q906" s="286"/>
      <c r="R906" s="578"/>
      <c r="S906" s="578"/>
      <c r="T906" s="578"/>
      <c r="U906" s="578"/>
    </row>
    <row r="907">
      <c r="A907" s="286"/>
      <c r="B907" s="286"/>
      <c r="C907" s="529"/>
      <c r="D907" s="306"/>
      <c r="E907" s="599"/>
      <c r="F907" s="306"/>
      <c r="G907" s="306"/>
      <c r="H907" s="598"/>
      <c r="I907" s="286"/>
      <c r="J907" s="286"/>
      <c r="K907" s="529"/>
      <c r="L907" s="286"/>
      <c r="M907" s="529"/>
      <c r="N907" s="286"/>
      <c r="O907" s="286"/>
      <c r="P907" s="286"/>
      <c r="Q907" s="286"/>
      <c r="R907" s="578"/>
      <c r="S907" s="578"/>
      <c r="T907" s="578"/>
      <c r="U907" s="578"/>
    </row>
    <row r="908">
      <c r="A908" s="286"/>
      <c r="B908" s="286"/>
      <c r="C908" s="529"/>
      <c r="D908" s="306"/>
      <c r="E908" s="599"/>
      <c r="F908" s="306"/>
      <c r="G908" s="306"/>
      <c r="H908" s="598"/>
      <c r="I908" s="286"/>
      <c r="J908" s="286"/>
      <c r="K908" s="529"/>
      <c r="L908" s="286"/>
      <c r="M908" s="529"/>
      <c r="N908" s="286"/>
      <c r="O908" s="286"/>
      <c r="P908" s="286"/>
      <c r="Q908" s="286"/>
      <c r="R908" s="578"/>
      <c r="S908" s="578"/>
      <c r="T908" s="578"/>
      <c r="U908" s="578"/>
    </row>
    <row r="909">
      <c r="A909" s="286"/>
      <c r="B909" s="286"/>
      <c r="C909" s="529"/>
      <c r="D909" s="306"/>
      <c r="E909" s="599"/>
      <c r="F909" s="306"/>
      <c r="G909" s="306"/>
      <c r="H909" s="598"/>
      <c r="I909" s="286"/>
      <c r="J909" s="286"/>
      <c r="K909" s="529"/>
      <c r="L909" s="286"/>
      <c r="M909" s="529"/>
      <c r="N909" s="286"/>
      <c r="O909" s="286"/>
      <c r="P909" s="286"/>
      <c r="Q909" s="286"/>
      <c r="R909" s="578"/>
      <c r="S909" s="578"/>
      <c r="T909" s="578"/>
      <c r="U909" s="578"/>
    </row>
    <row r="910">
      <c r="A910" s="286"/>
      <c r="B910" s="286"/>
      <c r="C910" s="529"/>
      <c r="D910" s="306"/>
      <c r="E910" s="599"/>
      <c r="F910" s="306"/>
      <c r="G910" s="306"/>
      <c r="H910" s="598"/>
      <c r="I910" s="286"/>
      <c r="J910" s="286"/>
      <c r="K910" s="529"/>
      <c r="L910" s="286"/>
      <c r="M910" s="529"/>
      <c r="N910" s="286"/>
      <c r="O910" s="286"/>
      <c r="P910" s="286"/>
      <c r="Q910" s="286"/>
      <c r="R910" s="578"/>
      <c r="S910" s="578"/>
      <c r="T910" s="578"/>
      <c r="U910" s="578"/>
    </row>
    <row r="911">
      <c r="A911" s="286"/>
      <c r="B911" s="286"/>
      <c r="C911" s="529"/>
      <c r="D911" s="306"/>
      <c r="E911" s="599"/>
      <c r="F911" s="306"/>
      <c r="G911" s="306"/>
      <c r="H911" s="598"/>
      <c r="I911" s="286"/>
      <c r="J911" s="286"/>
      <c r="K911" s="529"/>
      <c r="L911" s="286"/>
      <c r="M911" s="529"/>
      <c r="N911" s="286"/>
      <c r="O911" s="286"/>
      <c r="P911" s="286"/>
      <c r="Q911" s="286"/>
      <c r="R911" s="578"/>
      <c r="S911" s="578"/>
      <c r="T911" s="578"/>
      <c r="U911" s="578"/>
    </row>
    <row r="912">
      <c r="A912" s="286"/>
      <c r="B912" s="286"/>
      <c r="C912" s="529"/>
      <c r="D912" s="306"/>
      <c r="E912" s="599"/>
      <c r="F912" s="306"/>
      <c r="G912" s="306"/>
      <c r="H912" s="598"/>
      <c r="I912" s="286"/>
      <c r="J912" s="286"/>
      <c r="K912" s="529"/>
      <c r="L912" s="286"/>
      <c r="M912" s="529"/>
      <c r="N912" s="286"/>
      <c r="O912" s="286"/>
      <c r="P912" s="286"/>
      <c r="Q912" s="286"/>
      <c r="R912" s="578"/>
      <c r="S912" s="578"/>
      <c r="T912" s="578"/>
      <c r="U912" s="578"/>
    </row>
    <row r="913">
      <c r="A913" s="286"/>
      <c r="B913" s="286"/>
      <c r="C913" s="529"/>
      <c r="D913" s="306"/>
      <c r="E913" s="599"/>
      <c r="F913" s="306"/>
      <c r="G913" s="306"/>
      <c r="H913" s="598"/>
      <c r="I913" s="286"/>
      <c r="J913" s="286"/>
      <c r="K913" s="529"/>
      <c r="L913" s="286"/>
      <c r="M913" s="529"/>
      <c r="N913" s="286"/>
      <c r="O913" s="286"/>
      <c r="P913" s="286"/>
      <c r="Q913" s="286"/>
      <c r="R913" s="578"/>
      <c r="S913" s="578"/>
      <c r="T913" s="578"/>
      <c r="U913" s="578"/>
    </row>
    <row r="914">
      <c r="A914" s="286"/>
      <c r="B914" s="286"/>
      <c r="C914" s="529"/>
      <c r="D914" s="306"/>
      <c r="E914" s="599"/>
      <c r="F914" s="306"/>
      <c r="G914" s="306"/>
      <c r="H914" s="598"/>
      <c r="I914" s="286"/>
      <c r="J914" s="286"/>
      <c r="K914" s="529"/>
      <c r="L914" s="286"/>
      <c r="M914" s="529"/>
      <c r="N914" s="286"/>
      <c r="O914" s="286"/>
      <c r="P914" s="286"/>
      <c r="Q914" s="286"/>
      <c r="R914" s="578"/>
      <c r="S914" s="578"/>
      <c r="T914" s="578"/>
      <c r="U914" s="578"/>
    </row>
    <row r="915">
      <c r="A915" s="286"/>
      <c r="B915" s="286"/>
      <c r="C915" s="529"/>
      <c r="D915" s="306"/>
      <c r="E915" s="599"/>
      <c r="F915" s="306"/>
      <c r="G915" s="306"/>
      <c r="H915" s="598"/>
      <c r="I915" s="286"/>
      <c r="J915" s="286"/>
      <c r="K915" s="529"/>
      <c r="L915" s="286"/>
      <c r="M915" s="529"/>
      <c r="N915" s="286"/>
      <c r="O915" s="286"/>
      <c r="P915" s="286"/>
      <c r="Q915" s="286"/>
      <c r="R915" s="578"/>
      <c r="S915" s="578"/>
      <c r="T915" s="578"/>
      <c r="U915" s="578"/>
    </row>
    <row r="916">
      <c r="A916" s="286"/>
      <c r="B916" s="286"/>
      <c r="C916" s="529"/>
      <c r="D916" s="306"/>
      <c r="E916" s="599"/>
      <c r="F916" s="306"/>
      <c r="G916" s="306"/>
      <c r="H916" s="598"/>
      <c r="I916" s="286"/>
      <c r="J916" s="286"/>
      <c r="K916" s="529"/>
      <c r="L916" s="286"/>
      <c r="M916" s="529"/>
      <c r="N916" s="286"/>
      <c r="O916" s="286"/>
      <c r="P916" s="286"/>
      <c r="Q916" s="286"/>
      <c r="R916" s="578"/>
      <c r="S916" s="578"/>
      <c r="T916" s="578"/>
      <c r="U916" s="578"/>
    </row>
    <row r="917">
      <c r="A917" s="286"/>
      <c r="B917" s="286"/>
      <c r="C917" s="529"/>
      <c r="D917" s="306"/>
      <c r="E917" s="599"/>
      <c r="F917" s="306"/>
      <c r="G917" s="306"/>
      <c r="H917" s="598"/>
      <c r="I917" s="286"/>
      <c r="J917" s="286"/>
      <c r="K917" s="529"/>
      <c r="L917" s="286"/>
      <c r="M917" s="529"/>
      <c r="N917" s="286"/>
      <c r="O917" s="286"/>
      <c r="P917" s="286"/>
      <c r="Q917" s="286"/>
      <c r="R917" s="578"/>
      <c r="S917" s="578"/>
      <c r="T917" s="578"/>
      <c r="U917" s="578"/>
    </row>
    <row r="918">
      <c r="A918" s="286"/>
      <c r="B918" s="286"/>
      <c r="C918" s="529"/>
      <c r="D918" s="306"/>
      <c r="E918" s="599"/>
      <c r="F918" s="306"/>
      <c r="G918" s="306"/>
      <c r="H918" s="598"/>
      <c r="I918" s="286"/>
      <c r="J918" s="286"/>
      <c r="K918" s="529"/>
      <c r="L918" s="286"/>
      <c r="M918" s="529"/>
      <c r="N918" s="286"/>
      <c r="O918" s="286"/>
      <c r="P918" s="286"/>
      <c r="Q918" s="286"/>
      <c r="R918" s="578"/>
      <c r="S918" s="578"/>
      <c r="T918" s="578"/>
      <c r="U918" s="578"/>
    </row>
    <row r="919">
      <c r="A919" s="286"/>
      <c r="B919" s="286"/>
      <c r="C919" s="529"/>
      <c r="D919" s="306"/>
      <c r="E919" s="599"/>
      <c r="F919" s="306"/>
      <c r="G919" s="306"/>
      <c r="H919" s="598"/>
      <c r="I919" s="286"/>
      <c r="J919" s="286"/>
      <c r="K919" s="529"/>
      <c r="L919" s="286"/>
      <c r="M919" s="529"/>
      <c r="N919" s="286"/>
      <c r="O919" s="286"/>
      <c r="P919" s="286"/>
      <c r="Q919" s="286"/>
      <c r="R919" s="578"/>
      <c r="S919" s="578"/>
      <c r="T919" s="578"/>
      <c r="U919" s="578"/>
    </row>
    <row r="920">
      <c r="A920" s="286"/>
      <c r="B920" s="286"/>
      <c r="C920" s="529"/>
      <c r="D920" s="306"/>
      <c r="E920" s="599"/>
      <c r="F920" s="306"/>
      <c r="G920" s="306"/>
      <c r="H920" s="598"/>
      <c r="I920" s="286"/>
      <c r="J920" s="286"/>
      <c r="K920" s="529"/>
      <c r="L920" s="286"/>
      <c r="M920" s="529"/>
      <c r="N920" s="286"/>
      <c r="O920" s="286"/>
      <c r="P920" s="286"/>
      <c r="Q920" s="286"/>
      <c r="R920" s="578"/>
      <c r="S920" s="578"/>
      <c r="T920" s="578"/>
      <c r="U920" s="578"/>
    </row>
    <row r="921">
      <c r="A921" s="286"/>
      <c r="B921" s="286"/>
      <c r="C921" s="529"/>
      <c r="D921" s="306"/>
      <c r="E921" s="599"/>
      <c r="F921" s="306"/>
      <c r="G921" s="306"/>
      <c r="H921" s="598"/>
      <c r="I921" s="286"/>
      <c r="J921" s="286"/>
      <c r="K921" s="529"/>
      <c r="L921" s="286"/>
      <c r="M921" s="529"/>
      <c r="N921" s="286"/>
      <c r="O921" s="286"/>
      <c r="P921" s="286"/>
      <c r="Q921" s="286"/>
      <c r="R921" s="578"/>
      <c r="S921" s="578"/>
      <c r="T921" s="578"/>
      <c r="U921" s="578"/>
    </row>
    <row r="922">
      <c r="A922" s="286"/>
      <c r="B922" s="286"/>
      <c r="C922" s="529"/>
      <c r="D922" s="306"/>
      <c r="E922" s="599"/>
      <c r="F922" s="306"/>
      <c r="G922" s="306"/>
      <c r="H922" s="598"/>
      <c r="I922" s="286"/>
      <c r="J922" s="286"/>
      <c r="K922" s="529"/>
      <c r="L922" s="286"/>
      <c r="M922" s="529"/>
      <c r="N922" s="286"/>
      <c r="O922" s="286"/>
      <c r="P922" s="286"/>
      <c r="Q922" s="286"/>
      <c r="R922" s="578"/>
      <c r="S922" s="578"/>
      <c r="T922" s="578"/>
      <c r="U922" s="578"/>
    </row>
    <row r="923">
      <c r="A923" s="286"/>
      <c r="B923" s="286"/>
      <c r="C923" s="529"/>
      <c r="D923" s="306"/>
      <c r="E923" s="599"/>
      <c r="F923" s="306"/>
      <c r="G923" s="306"/>
      <c r="H923" s="598"/>
      <c r="I923" s="286"/>
      <c r="J923" s="286"/>
      <c r="K923" s="529"/>
      <c r="L923" s="286"/>
      <c r="M923" s="529"/>
      <c r="N923" s="286"/>
      <c r="O923" s="286"/>
      <c r="P923" s="286"/>
      <c r="Q923" s="286"/>
      <c r="R923" s="578"/>
      <c r="S923" s="578"/>
      <c r="T923" s="578"/>
      <c r="U923" s="578"/>
    </row>
    <row r="924">
      <c r="A924" s="286"/>
      <c r="B924" s="286"/>
      <c r="C924" s="529"/>
      <c r="D924" s="306"/>
      <c r="E924" s="599"/>
      <c r="F924" s="306"/>
      <c r="G924" s="306"/>
      <c r="H924" s="598"/>
      <c r="I924" s="286"/>
      <c r="J924" s="286"/>
      <c r="K924" s="529"/>
      <c r="L924" s="286"/>
      <c r="M924" s="529"/>
      <c r="N924" s="286"/>
      <c r="O924" s="286"/>
      <c r="P924" s="286"/>
      <c r="Q924" s="286"/>
      <c r="R924" s="578"/>
      <c r="S924" s="578"/>
      <c r="T924" s="578"/>
      <c r="U924" s="578"/>
    </row>
    <row r="925">
      <c r="A925" s="286"/>
      <c r="B925" s="286"/>
      <c r="C925" s="529"/>
      <c r="D925" s="306"/>
      <c r="E925" s="599"/>
      <c r="F925" s="306"/>
      <c r="G925" s="306"/>
      <c r="H925" s="598"/>
      <c r="I925" s="286"/>
      <c r="J925" s="286"/>
      <c r="K925" s="529"/>
      <c r="L925" s="286"/>
      <c r="M925" s="529"/>
      <c r="N925" s="286"/>
      <c r="O925" s="286"/>
      <c r="P925" s="286"/>
      <c r="Q925" s="286"/>
      <c r="R925" s="578"/>
      <c r="S925" s="578"/>
      <c r="T925" s="578"/>
      <c r="U925" s="578"/>
    </row>
    <row r="926">
      <c r="A926" s="286"/>
      <c r="B926" s="286"/>
      <c r="C926" s="529"/>
      <c r="D926" s="306"/>
      <c r="E926" s="599"/>
      <c r="F926" s="306"/>
      <c r="G926" s="306"/>
      <c r="H926" s="598"/>
      <c r="I926" s="286"/>
      <c r="J926" s="286"/>
      <c r="K926" s="529"/>
      <c r="L926" s="286"/>
      <c r="M926" s="529"/>
      <c r="N926" s="286"/>
      <c r="O926" s="286"/>
      <c r="P926" s="286"/>
      <c r="Q926" s="286"/>
      <c r="R926" s="578"/>
      <c r="S926" s="578"/>
      <c r="T926" s="578"/>
      <c r="U926" s="578"/>
    </row>
    <row r="927">
      <c r="A927" s="286"/>
      <c r="B927" s="286"/>
      <c r="C927" s="529"/>
      <c r="D927" s="306"/>
      <c r="E927" s="599"/>
      <c r="F927" s="306"/>
      <c r="G927" s="306"/>
      <c r="H927" s="598"/>
      <c r="I927" s="286"/>
      <c r="J927" s="286"/>
      <c r="K927" s="529"/>
      <c r="L927" s="286"/>
      <c r="M927" s="529"/>
      <c r="N927" s="286"/>
      <c r="O927" s="286"/>
      <c r="P927" s="286"/>
      <c r="Q927" s="286"/>
      <c r="R927" s="578"/>
      <c r="S927" s="578"/>
      <c r="T927" s="578"/>
      <c r="U927" s="578"/>
    </row>
    <row r="928">
      <c r="A928" s="286"/>
      <c r="B928" s="286"/>
      <c r="C928" s="529"/>
      <c r="D928" s="306"/>
      <c r="E928" s="599"/>
      <c r="F928" s="306"/>
      <c r="G928" s="306"/>
      <c r="H928" s="598"/>
      <c r="I928" s="286"/>
      <c r="J928" s="286"/>
      <c r="K928" s="529"/>
      <c r="L928" s="286"/>
      <c r="M928" s="529"/>
      <c r="N928" s="286"/>
      <c r="O928" s="286"/>
      <c r="P928" s="286"/>
      <c r="Q928" s="286"/>
      <c r="R928" s="578"/>
      <c r="S928" s="578"/>
      <c r="T928" s="578"/>
      <c r="U928" s="578"/>
    </row>
    <row r="929">
      <c r="A929" s="286"/>
      <c r="B929" s="286"/>
      <c r="C929" s="529"/>
      <c r="D929" s="306"/>
      <c r="E929" s="599"/>
      <c r="F929" s="306"/>
      <c r="G929" s="306"/>
      <c r="H929" s="598"/>
      <c r="I929" s="286"/>
      <c r="J929" s="286"/>
      <c r="K929" s="529"/>
      <c r="L929" s="286"/>
      <c r="M929" s="529"/>
      <c r="N929" s="286"/>
      <c r="O929" s="286"/>
      <c r="P929" s="286"/>
      <c r="Q929" s="286"/>
      <c r="R929" s="578"/>
      <c r="S929" s="578"/>
      <c r="T929" s="578"/>
      <c r="U929" s="578"/>
    </row>
    <row r="930">
      <c r="A930" s="286"/>
      <c r="B930" s="286"/>
      <c r="C930" s="529"/>
      <c r="D930" s="306"/>
      <c r="E930" s="599"/>
      <c r="F930" s="306"/>
      <c r="G930" s="306"/>
      <c r="H930" s="598"/>
      <c r="I930" s="286"/>
      <c r="J930" s="286"/>
      <c r="K930" s="529"/>
      <c r="L930" s="286"/>
      <c r="M930" s="529"/>
      <c r="N930" s="286"/>
      <c r="O930" s="286"/>
      <c r="P930" s="286"/>
      <c r="Q930" s="286"/>
      <c r="R930" s="578"/>
      <c r="S930" s="578"/>
      <c r="T930" s="578"/>
      <c r="U930" s="578"/>
    </row>
    <row r="931">
      <c r="A931" s="286"/>
      <c r="B931" s="286"/>
      <c r="C931" s="529"/>
      <c r="D931" s="306"/>
      <c r="E931" s="599"/>
      <c r="F931" s="306"/>
      <c r="G931" s="306"/>
      <c r="H931" s="598"/>
      <c r="I931" s="286"/>
      <c r="J931" s="286"/>
      <c r="K931" s="529"/>
      <c r="L931" s="286"/>
      <c r="M931" s="529"/>
      <c r="N931" s="286"/>
      <c r="O931" s="286"/>
      <c r="P931" s="286"/>
      <c r="Q931" s="286"/>
      <c r="R931" s="578"/>
      <c r="S931" s="578"/>
      <c r="T931" s="578"/>
      <c r="U931" s="578"/>
    </row>
    <row r="932">
      <c r="A932" s="286"/>
      <c r="B932" s="286"/>
      <c r="C932" s="529"/>
      <c r="D932" s="306"/>
      <c r="E932" s="599"/>
      <c r="F932" s="306"/>
      <c r="G932" s="306"/>
      <c r="H932" s="598"/>
      <c r="I932" s="286"/>
      <c r="J932" s="286"/>
      <c r="K932" s="529"/>
      <c r="L932" s="286"/>
      <c r="M932" s="529"/>
      <c r="N932" s="286"/>
      <c r="O932" s="286"/>
      <c r="P932" s="286"/>
      <c r="Q932" s="286"/>
      <c r="R932" s="578"/>
      <c r="S932" s="578"/>
      <c r="T932" s="578"/>
      <c r="U932" s="578"/>
    </row>
    <row r="933">
      <c r="A933" s="286"/>
      <c r="B933" s="286"/>
      <c r="C933" s="529"/>
      <c r="D933" s="306"/>
      <c r="E933" s="599"/>
      <c r="F933" s="306"/>
      <c r="G933" s="306"/>
      <c r="H933" s="598"/>
      <c r="I933" s="286"/>
      <c r="J933" s="286"/>
      <c r="K933" s="529"/>
      <c r="L933" s="286"/>
      <c r="M933" s="529"/>
      <c r="N933" s="286"/>
      <c r="O933" s="286"/>
      <c r="P933" s="286"/>
      <c r="Q933" s="286"/>
      <c r="R933" s="578"/>
      <c r="S933" s="578"/>
      <c r="T933" s="578"/>
      <c r="U933" s="578"/>
    </row>
    <row r="934">
      <c r="A934" s="286"/>
      <c r="B934" s="286"/>
      <c r="C934" s="529"/>
      <c r="D934" s="306"/>
      <c r="E934" s="599"/>
      <c r="F934" s="306"/>
      <c r="G934" s="306"/>
      <c r="H934" s="598"/>
      <c r="I934" s="286"/>
      <c r="J934" s="286"/>
      <c r="K934" s="529"/>
      <c r="L934" s="286"/>
      <c r="M934" s="529"/>
      <c r="N934" s="286"/>
      <c r="O934" s="286"/>
      <c r="P934" s="286"/>
      <c r="Q934" s="286"/>
      <c r="R934" s="578"/>
      <c r="S934" s="578"/>
      <c r="T934" s="578"/>
      <c r="U934" s="578"/>
    </row>
    <row r="935">
      <c r="A935" s="286"/>
      <c r="B935" s="286"/>
      <c r="C935" s="529"/>
      <c r="D935" s="306"/>
      <c r="E935" s="599"/>
      <c r="F935" s="306"/>
      <c r="G935" s="306"/>
      <c r="H935" s="598"/>
      <c r="I935" s="286"/>
      <c r="J935" s="286"/>
      <c r="K935" s="529"/>
      <c r="L935" s="286"/>
      <c r="M935" s="529"/>
      <c r="N935" s="286"/>
      <c r="O935" s="286"/>
      <c r="P935" s="286"/>
      <c r="Q935" s="286"/>
      <c r="R935" s="578"/>
      <c r="S935" s="578"/>
      <c r="T935" s="578"/>
      <c r="U935" s="578"/>
    </row>
    <row r="936">
      <c r="A936" s="286"/>
      <c r="B936" s="286"/>
      <c r="C936" s="529"/>
      <c r="D936" s="306"/>
      <c r="E936" s="599"/>
      <c r="F936" s="306"/>
      <c r="G936" s="306"/>
      <c r="H936" s="598"/>
      <c r="I936" s="286"/>
      <c r="J936" s="286"/>
      <c r="K936" s="529"/>
      <c r="L936" s="286"/>
      <c r="M936" s="529"/>
      <c r="N936" s="286"/>
      <c r="O936" s="286"/>
      <c r="P936" s="286"/>
      <c r="Q936" s="286"/>
      <c r="R936" s="578"/>
      <c r="S936" s="578"/>
      <c r="T936" s="578"/>
      <c r="U936" s="578"/>
    </row>
    <row r="937">
      <c r="A937" s="286"/>
      <c r="B937" s="286"/>
      <c r="C937" s="529"/>
      <c r="D937" s="306"/>
      <c r="E937" s="599"/>
      <c r="F937" s="306"/>
      <c r="G937" s="306"/>
      <c r="H937" s="598"/>
      <c r="I937" s="286"/>
      <c r="J937" s="286"/>
      <c r="K937" s="529"/>
      <c r="L937" s="286"/>
      <c r="M937" s="529"/>
      <c r="N937" s="286"/>
      <c r="O937" s="286"/>
      <c r="P937" s="286"/>
      <c r="Q937" s="286"/>
      <c r="R937" s="578"/>
      <c r="S937" s="578"/>
      <c r="T937" s="578"/>
      <c r="U937" s="578"/>
    </row>
    <row r="938">
      <c r="A938" s="286"/>
      <c r="B938" s="286"/>
      <c r="C938" s="529"/>
      <c r="D938" s="306"/>
      <c r="E938" s="599"/>
      <c r="F938" s="306"/>
      <c r="G938" s="306"/>
      <c r="H938" s="598"/>
      <c r="I938" s="286"/>
      <c r="J938" s="286"/>
      <c r="K938" s="529"/>
      <c r="L938" s="286"/>
      <c r="M938" s="529"/>
      <c r="N938" s="286"/>
      <c r="O938" s="286"/>
      <c r="P938" s="286"/>
      <c r="Q938" s="286"/>
      <c r="R938" s="578"/>
      <c r="S938" s="578"/>
      <c r="T938" s="578"/>
      <c r="U938" s="578"/>
    </row>
    <row r="939">
      <c r="A939" s="286"/>
      <c r="B939" s="286"/>
      <c r="C939" s="529"/>
      <c r="D939" s="306"/>
      <c r="E939" s="599"/>
      <c r="F939" s="306"/>
      <c r="G939" s="306"/>
      <c r="H939" s="598"/>
      <c r="I939" s="286"/>
      <c r="J939" s="286"/>
      <c r="K939" s="529"/>
      <c r="L939" s="286"/>
      <c r="M939" s="529"/>
      <c r="N939" s="286"/>
      <c r="O939" s="286"/>
      <c r="P939" s="286"/>
      <c r="Q939" s="286"/>
      <c r="R939" s="578"/>
      <c r="S939" s="578"/>
      <c r="T939" s="578"/>
      <c r="U939" s="578"/>
    </row>
    <row r="940">
      <c r="A940" s="286"/>
      <c r="B940" s="286"/>
      <c r="C940" s="529"/>
      <c r="D940" s="306"/>
      <c r="E940" s="599"/>
      <c r="F940" s="306"/>
      <c r="G940" s="306"/>
      <c r="H940" s="598"/>
      <c r="I940" s="286"/>
      <c r="J940" s="286"/>
      <c r="K940" s="529"/>
      <c r="L940" s="286"/>
      <c r="M940" s="529"/>
      <c r="N940" s="286"/>
      <c r="O940" s="286"/>
      <c r="P940" s="286"/>
      <c r="Q940" s="286"/>
      <c r="R940" s="578"/>
      <c r="S940" s="578"/>
      <c r="T940" s="578"/>
      <c r="U940" s="578"/>
    </row>
    <row r="941">
      <c r="A941" s="286"/>
      <c r="B941" s="286"/>
      <c r="C941" s="529"/>
      <c r="D941" s="306"/>
      <c r="E941" s="599"/>
      <c r="F941" s="306"/>
      <c r="G941" s="306"/>
      <c r="H941" s="598"/>
      <c r="I941" s="286"/>
      <c r="J941" s="286"/>
      <c r="K941" s="529"/>
      <c r="L941" s="286"/>
      <c r="M941" s="529"/>
      <c r="N941" s="286"/>
      <c r="O941" s="286"/>
      <c r="P941" s="286"/>
      <c r="Q941" s="286"/>
      <c r="R941" s="578"/>
      <c r="S941" s="578"/>
      <c r="T941" s="578"/>
      <c r="U941" s="578"/>
    </row>
    <row r="942">
      <c r="A942" s="286"/>
      <c r="B942" s="286"/>
      <c r="C942" s="529"/>
      <c r="D942" s="306"/>
      <c r="E942" s="599"/>
      <c r="F942" s="306"/>
      <c r="G942" s="306"/>
      <c r="H942" s="598"/>
      <c r="I942" s="286"/>
      <c r="J942" s="286"/>
      <c r="K942" s="529"/>
      <c r="L942" s="286"/>
      <c r="M942" s="529"/>
      <c r="N942" s="286"/>
      <c r="O942" s="286"/>
      <c r="P942" s="286"/>
      <c r="Q942" s="286"/>
      <c r="R942" s="578"/>
      <c r="S942" s="578"/>
      <c r="T942" s="578"/>
      <c r="U942" s="578"/>
    </row>
    <row r="943">
      <c r="A943" s="286"/>
      <c r="B943" s="286"/>
      <c r="C943" s="529"/>
      <c r="D943" s="306"/>
      <c r="E943" s="599"/>
      <c r="F943" s="306"/>
      <c r="G943" s="306"/>
      <c r="H943" s="598"/>
      <c r="I943" s="286"/>
      <c r="J943" s="286"/>
      <c r="K943" s="529"/>
      <c r="L943" s="286"/>
      <c r="M943" s="529"/>
      <c r="N943" s="286"/>
      <c r="O943" s="286"/>
      <c r="P943" s="286"/>
      <c r="Q943" s="286"/>
      <c r="R943" s="578"/>
      <c r="S943" s="578"/>
      <c r="T943" s="578"/>
      <c r="U943" s="578"/>
    </row>
    <row r="944">
      <c r="A944" s="286"/>
      <c r="B944" s="286"/>
      <c r="C944" s="529"/>
      <c r="D944" s="306"/>
      <c r="E944" s="599"/>
      <c r="F944" s="306"/>
      <c r="G944" s="306"/>
      <c r="H944" s="598"/>
      <c r="I944" s="286"/>
      <c r="J944" s="286"/>
      <c r="K944" s="529"/>
      <c r="L944" s="286"/>
      <c r="M944" s="529"/>
      <c r="N944" s="286"/>
      <c r="O944" s="286"/>
      <c r="P944" s="286"/>
      <c r="Q944" s="286"/>
      <c r="R944" s="578"/>
      <c r="S944" s="578"/>
      <c r="T944" s="578"/>
      <c r="U944" s="578"/>
    </row>
    <row r="945">
      <c r="A945" s="286"/>
      <c r="B945" s="286"/>
      <c r="C945" s="529"/>
      <c r="D945" s="306"/>
      <c r="E945" s="599"/>
      <c r="F945" s="306"/>
      <c r="G945" s="306"/>
      <c r="H945" s="598"/>
      <c r="I945" s="286"/>
      <c r="J945" s="286"/>
      <c r="K945" s="529"/>
      <c r="L945" s="286"/>
      <c r="M945" s="529"/>
      <c r="N945" s="286"/>
      <c r="O945" s="286"/>
      <c r="P945" s="286"/>
      <c r="Q945" s="286"/>
      <c r="R945" s="578"/>
      <c r="S945" s="578"/>
      <c r="T945" s="578"/>
      <c r="U945" s="578"/>
    </row>
    <row r="946">
      <c r="A946" s="286"/>
      <c r="B946" s="286"/>
      <c r="C946" s="529"/>
      <c r="D946" s="306"/>
      <c r="E946" s="599"/>
      <c r="F946" s="306"/>
      <c r="G946" s="306"/>
      <c r="H946" s="598"/>
      <c r="I946" s="286"/>
      <c r="J946" s="286"/>
      <c r="K946" s="529"/>
      <c r="L946" s="286"/>
      <c r="M946" s="529"/>
      <c r="N946" s="286"/>
      <c r="O946" s="286"/>
      <c r="P946" s="286"/>
      <c r="Q946" s="286"/>
      <c r="R946" s="578"/>
      <c r="S946" s="578"/>
      <c r="T946" s="578"/>
      <c r="U946" s="578"/>
    </row>
    <row r="947">
      <c r="A947" s="286"/>
      <c r="B947" s="286"/>
      <c r="C947" s="529"/>
      <c r="D947" s="306"/>
      <c r="E947" s="599"/>
      <c r="F947" s="306"/>
      <c r="G947" s="306"/>
      <c r="H947" s="598"/>
      <c r="I947" s="286"/>
      <c r="J947" s="286"/>
      <c r="K947" s="529"/>
      <c r="L947" s="286"/>
      <c r="M947" s="529"/>
      <c r="N947" s="286"/>
      <c r="O947" s="286"/>
      <c r="P947" s="286"/>
      <c r="Q947" s="286"/>
      <c r="R947" s="578"/>
      <c r="S947" s="578"/>
      <c r="T947" s="578"/>
      <c r="U947" s="578"/>
    </row>
    <row r="948">
      <c r="A948" s="286"/>
      <c r="B948" s="286"/>
      <c r="C948" s="529"/>
      <c r="D948" s="306"/>
      <c r="E948" s="599"/>
      <c r="F948" s="306"/>
      <c r="G948" s="306"/>
      <c r="H948" s="598"/>
      <c r="I948" s="286"/>
      <c r="J948" s="286"/>
      <c r="K948" s="529"/>
      <c r="L948" s="286"/>
      <c r="M948" s="529"/>
      <c r="N948" s="286"/>
      <c r="O948" s="286"/>
      <c r="P948" s="286"/>
      <c r="Q948" s="286"/>
      <c r="R948" s="578"/>
      <c r="S948" s="578"/>
      <c r="T948" s="578"/>
      <c r="U948" s="578"/>
    </row>
    <row r="949">
      <c r="A949" s="286"/>
      <c r="B949" s="286"/>
      <c r="C949" s="529"/>
      <c r="D949" s="306"/>
      <c r="E949" s="599"/>
      <c r="F949" s="306"/>
      <c r="G949" s="306"/>
      <c r="H949" s="598"/>
      <c r="I949" s="286"/>
      <c r="J949" s="286"/>
      <c r="K949" s="529"/>
      <c r="L949" s="286"/>
      <c r="M949" s="529"/>
      <c r="N949" s="286"/>
      <c r="O949" s="286"/>
      <c r="P949" s="286"/>
      <c r="Q949" s="286"/>
      <c r="R949" s="578"/>
      <c r="S949" s="578"/>
      <c r="T949" s="578"/>
      <c r="U949" s="578"/>
    </row>
    <row r="950">
      <c r="A950" s="286"/>
      <c r="B950" s="286"/>
      <c r="C950" s="529"/>
      <c r="D950" s="306"/>
      <c r="E950" s="599"/>
      <c r="F950" s="306"/>
      <c r="G950" s="306"/>
      <c r="H950" s="598"/>
      <c r="I950" s="286"/>
      <c r="J950" s="286"/>
      <c r="K950" s="529"/>
      <c r="L950" s="286"/>
      <c r="M950" s="529"/>
      <c r="N950" s="286"/>
      <c r="O950" s="286"/>
      <c r="P950" s="286"/>
      <c r="Q950" s="286"/>
      <c r="R950" s="578"/>
      <c r="S950" s="578"/>
      <c r="T950" s="578"/>
      <c r="U950" s="578"/>
    </row>
    <row r="951">
      <c r="A951" s="286"/>
      <c r="B951" s="286"/>
      <c r="C951" s="529"/>
      <c r="D951" s="306"/>
      <c r="E951" s="599"/>
      <c r="F951" s="306"/>
      <c r="G951" s="306"/>
      <c r="H951" s="598"/>
      <c r="I951" s="286"/>
      <c r="J951" s="286"/>
      <c r="K951" s="529"/>
      <c r="L951" s="286"/>
      <c r="M951" s="529"/>
      <c r="N951" s="286"/>
      <c r="O951" s="286"/>
      <c r="P951" s="286"/>
      <c r="Q951" s="286"/>
      <c r="R951" s="578"/>
      <c r="S951" s="578"/>
      <c r="T951" s="578"/>
      <c r="U951" s="578"/>
    </row>
    <row r="952">
      <c r="A952" s="286"/>
      <c r="B952" s="286"/>
      <c r="C952" s="529"/>
      <c r="D952" s="306"/>
      <c r="E952" s="599"/>
      <c r="F952" s="306"/>
      <c r="G952" s="306"/>
      <c r="H952" s="598"/>
      <c r="I952" s="286"/>
      <c r="J952" s="286"/>
      <c r="K952" s="529"/>
      <c r="L952" s="286"/>
      <c r="M952" s="529"/>
      <c r="N952" s="286"/>
      <c r="O952" s="286"/>
      <c r="P952" s="286"/>
      <c r="Q952" s="286"/>
      <c r="R952" s="578"/>
      <c r="S952" s="578"/>
      <c r="T952" s="578"/>
      <c r="U952" s="578"/>
    </row>
    <row r="953">
      <c r="A953" s="286"/>
      <c r="B953" s="286"/>
      <c r="C953" s="529"/>
      <c r="D953" s="306"/>
      <c r="E953" s="599"/>
      <c r="F953" s="306"/>
      <c r="G953" s="306"/>
      <c r="H953" s="598"/>
      <c r="I953" s="286"/>
      <c r="J953" s="286"/>
      <c r="K953" s="529"/>
      <c r="L953" s="286"/>
      <c r="M953" s="529"/>
      <c r="N953" s="286"/>
      <c r="O953" s="286"/>
      <c r="P953" s="286"/>
      <c r="Q953" s="286"/>
      <c r="R953" s="578"/>
      <c r="S953" s="578"/>
      <c r="T953" s="578"/>
      <c r="U953" s="578"/>
    </row>
    <row r="954">
      <c r="A954" s="286"/>
      <c r="B954" s="286"/>
      <c r="C954" s="529"/>
      <c r="D954" s="306"/>
      <c r="E954" s="599"/>
      <c r="F954" s="306"/>
      <c r="G954" s="306"/>
      <c r="H954" s="598"/>
      <c r="I954" s="286"/>
      <c r="J954" s="286"/>
      <c r="K954" s="529"/>
      <c r="L954" s="286"/>
      <c r="M954" s="529"/>
      <c r="N954" s="286"/>
      <c r="O954" s="286"/>
      <c r="P954" s="286"/>
      <c r="Q954" s="286"/>
      <c r="R954" s="578"/>
      <c r="S954" s="578"/>
      <c r="T954" s="578"/>
      <c r="U954" s="578"/>
    </row>
    <row r="955">
      <c r="A955" s="286"/>
      <c r="B955" s="286"/>
      <c r="C955" s="529"/>
      <c r="D955" s="306"/>
      <c r="E955" s="599"/>
      <c r="F955" s="306"/>
      <c r="G955" s="306"/>
      <c r="H955" s="598"/>
      <c r="I955" s="286"/>
      <c r="J955" s="286"/>
      <c r="K955" s="529"/>
      <c r="L955" s="286"/>
      <c r="M955" s="529"/>
      <c r="N955" s="286"/>
      <c r="O955" s="286"/>
      <c r="P955" s="286"/>
      <c r="Q955" s="286"/>
      <c r="R955" s="578"/>
      <c r="S955" s="578"/>
      <c r="T955" s="578"/>
      <c r="U955" s="578"/>
    </row>
    <row r="956">
      <c r="A956" s="286"/>
      <c r="B956" s="286"/>
      <c r="C956" s="529"/>
      <c r="D956" s="306"/>
      <c r="E956" s="599"/>
      <c r="F956" s="306"/>
      <c r="G956" s="306"/>
      <c r="H956" s="598"/>
      <c r="I956" s="286"/>
      <c r="J956" s="286"/>
      <c r="K956" s="529"/>
      <c r="L956" s="286"/>
      <c r="M956" s="529"/>
      <c r="N956" s="286"/>
      <c r="O956" s="286"/>
      <c r="P956" s="286"/>
      <c r="Q956" s="286"/>
      <c r="R956" s="578"/>
      <c r="S956" s="578"/>
      <c r="T956" s="578"/>
      <c r="U956" s="578"/>
    </row>
    <row r="957">
      <c r="A957" s="286"/>
      <c r="B957" s="286"/>
      <c r="C957" s="529"/>
      <c r="D957" s="306"/>
      <c r="E957" s="599"/>
      <c r="F957" s="306"/>
      <c r="G957" s="306"/>
      <c r="H957" s="598"/>
      <c r="I957" s="286"/>
      <c r="J957" s="286"/>
      <c r="K957" s="529"/>
      <c r="L957" s="286"/>
      <c r="M957" s="529"/>
      <c r="N957" s="286"/>
      <c r="O957" s="286"/>
      <c r="P957" s="286"/>
      <c r="Q957" s="286"/>
      <c r="R957" s="578"/>
      <c r="S957" s="578"/>
      <c r="T957" s="578"/>
      <c r="U957" s="578"/>
    </row>
    <row r="958">
      <c r="A958" s="286"/>
      <c r="B958" s="286"/>
      <c r="C958" s="529"/>
      <c r="D958" s="306"/>
      <c r="E958" s="599"/>
      <c r="F958" s="306"/>
      <c r="G958" s="306"/>
      <c r="H958" s="598"/>
      <c r="I958" s="286"/>
      <c r="J958" s="286"/>
      <c r="K958" s="529"/>
      <c r="L958" s="286"/>
      <c r="M958" s="529"/>
      <c r="N958" s="286"/>
      <c r="O958" s="286"/>
      <c r="P958" s="286"/>
      <c r="Q958" s="286"/>
      <c r="R958" s="578"/>
      <c r="S958" s="578"/>
      <c r="T958" s="578"/>
      <c r="U958" s="578"/>
    </row>
    <row r="959">
      <c r="A959" s="286"/>
      <c r="B959" s="286"/>
      <c r="C959" s="529"/>
      <c r="D959" s="306"/>
      <c r="E959" s="599"/>
      <c r="F959" s="306"/>
      <c r="G959" s="306"/>
      <c r="H959" s="598"/>
      <c r="I959" s="286"/>
      <c r="J959" s="286"/>
      <c r="K959" s="529"/>
      <c r="L959" s="286"/>
      <c r="M959" s="529"/>
      <c r="N959" s="286"/>
      <c r="O959" s="286"/>
      <c r="P959" s="286"/>
      <c r="Q959" s="286"/>
      <c r="R959" s="578"/>
      <c r="S959" s="578"/>
      <c r="T959" s="578"/>
      <c r="U959" s="578"/>
    </row>
    <row r="960">
      <c r="A960" s="286"/>
      <c r="B960" s="286"/>
      <c r="C960" s="529"/>
      <c r="D960" s="306"/>
      <c r="E960" s="599"/>
      <c r="F960" s="306"/>
      <c r="G960" s="306"/>
      <c r="H960" s="598"/>
      <c r="I960" s="286"/>
      <c r="J960" s="286"/>
      <c r="K960" s="529"/>
      <c r="L960" s="286"/>
      <c r="M960" s="529"/>
      <c r="N960" s="286"/>
      <c r="O960" s="286"/>
      <c r="P960" s="286"/>
      <c r="Q960" s="286"/>
      <c r="R960" s="578"/>
      <c r="S960" s="578"/>
      <c r="T960" s="578"/>
      <c r="U960" s="578"/>
    </row>
    <row r="961">
      <c r="A961" s="286"/>
      <c r="B961" s="286"/>
      <c r="C961" s="529"/>
      <c r="D961" s="306"/>
      <c r="E961" s="599"/>
      <c r="F961" s="306"/>
      <c r="G961" s="306"/>
      <c r="H961" s="598"/>
      <c r="I961" s="286"/>
      <c r="J961" s="286"/>
      <c r="K961" s="529"/>
      <c r="L961" s="286"/>
      <c r="M961" s="529"/>
      <c r="N961" s="286"/>
      <c r="O961" s="286"/>
      <c r="P961" s="286"/>
      <c r="Q961" s="286"/>
      <c r="R961" s="578"/>
      <c r="S961" s="578"/>
      <c r="T961" s="578"/>
      <c r="U961" s="578"/>
    </row>
    <row r="962">
      <c r="A962" s="286"/>
      <c r="B962" s="286"/>
      <c r="C962" s="529"/>
      <c r="D962" s="306"/>
      <c r="E962" s="599"/>
      <c r="F962" s="306"/>
      <c r="G962" s="306"/>
      <c r="H962" s="598"/>
      <c r="I962" s="286"/>
      <c r="J962" s="286"/>
      <c r="K962" s="529"/>
      <c r="L962" s="286"/>
      <c r="M962" s="529"/>
      <c r="N962" s="286"/>
      <c r="O962" s="286"/>
      <c r="P962" s="286"/>
      <c r="Q962" s="286"/>
      <c r="R962" s="578"/>
      <c r="S962" s="578"/>
      <c r="T962" s="578"/>
      <c r="U962" s="578"/>
    </row>
    <row r="963">
      <c r="A963" s="286"/>
      <c r="B963" s="286"/>
      <c r="C963" s="529"/>
      <c r="D963" s="306"/>
      <c r="E963" s="599"/>
      <c r="F963" s="306"/>
      <c r="G963" s="306"/>
      <c r="H963" s="598"/>
      <c r="I963" s="286"/>
      <c r="J963" s="286"/>
      <c r="K963" s="529"/>
      <c r="L963" s="286"/>
      <c r="M963" s="529"/>
      <c r="N963" s="286"/>
      <c r="O963" s="286"/>
      <c r="P963" s="286"/>
      <c r="Q963" s="286"/>
      <c r="R963" s="578"/>
      <c r="S963" s="578"/>
      <c r="T963" s="578"/>
      <c r="U963" s="578"/>
    </row>
    <row r="964">
      <c r="A964" s="286"/>
      <c r="B964" s="286"/>
      <c r="C964" s="529"/>
      <c r="D964" s="306"/>
      <c r="E964" s="599"/>
      <c r="F964" s="306"/>
      <c r="G964" s="306"/>
      <c r="H964" s="598"/>
      <c r="I964" s="286"/>
      <c r="J964" s="286"/>
      <c r="K964" s="529"/>
      <c r="L964" s="286"/>
      <c r="M964" s="529"/>
      <c r="N964" s="286"/>
      <c r="O964" s="286"/>
      <c r="P964" s="286"/>
      <c r="Q964" s="286"/>
      <c r="R964" s="578"/>
      <c r="S964" s="578"/>
      <c r="T964" s="578"/>
      <c r="U964" s="578"/>
    </row>
    <row r="965">
      <c r="A965" s="286"/>
      <c r="B965" s="286"/>
      <c r="C965" s="529"/>
      <c r="D965" s="306"/>
      <c r="E965" s="599"/>
      <c r="F965" s="306"/>
      <c r="G965" s="306"/>
      <c r="H965" s="598"/>
      <c r="I965" s="286"/>
      <c r="J965" s="286"/>
      <c r="K965" s="529"/>
      <c r="L965" s="286"/>
      <c r="M965" s="529"/>
      <c r="N965" s="286"/>
      <c r="O965" s="286"/>
      <c r="P965" s="286"/>
      <c r="Q965" s="286"/>
      <c r="R965" s="578"/>
      <c r="S965" s="578"/>
      <c r="T965" s="578"/>
      <c r="U965" s="578"/>
    </row>
    <row r="966">
      <c r="A966" s="286"/>
      <c r="B966" s="286"/>
      <c r="C966" s="529"/>
      <c r="D966" s="306"/>
      <c r="E966" s="599"/>
      <c r="F966" s="306"/>
      <c r="G966" s="306"/>
      <c r="H966" s="598"/>
      <c r="I966" s="286"/>
      <c r="J966" s="286"/>
      <c r="K966" s="529"/>
      <c r="L966" s="286"/>
      <c r="M966" s="529"/>
      <c r="N966" s="286"/>
      <c r="O966" s="286"/>
      <c r="P966" s="286"/>
      <c r="Q966" s="286"/>
      <c r="R966" s="578"/>
      <c r="S966" s="578"/>
      <c r="T966" s="578"/>
      <c r="U966" s="578"/>
    </row>
    <row r="967">
      <c r="A967" s="286"/>
      <c r="B967" s="286"/>
      <c r="C967" s="529"/>
      <c r="D967" s="306"/>
      <c r="E967" s="599"/>
      <c r="F967" s="306"/>
      <c r="G967" s="306"/>
      <c r="H967" s="598"/>
      <c r="I967" s="286"/>
      <c r="J967" s="286"/>
      <c r="K967" s="529"/>
      <c r="L967" s="286"/>
      <c r="M967" s="529"/>
      <c r="N967" s="286"/>
      <c r="O967" s="286"/>
      <c r="P967" s="286"/>
      <c r="Q967" s="286"/>
      <c r="R967" s="578"/>
      <c r="S967" s="578"/>
      <c r="T967" s="578"/>
      <c r="U967" s="578"/>
    </row>
    <row r="968">
      <c r="A968" s="286"/>
      <c r="B968" s="286"/>
      <c r="C968" s="529"/>
      <c r="D968" s="306"/>
      <c r="E968" s="599"/>
      <c r="F968" s="306"/>
      <c r="G968" s="306"/>
      <c r="H968" s="598"/>
      <c r="I968" s="286"/>
      <c r="J968" s="286"/>
      <c r="K968" s="529"/>
      <c r="L968" s="286"/>
      <c r="M968" s="529"/>
      <c r="N968" s="286"/>
      <c r="O968" s="286"/>
      <c r="P968" s="286"/>
      <c r="Q968" s="286"/>
      <c r="R968" s="578"/>
      <c r="S968" s="578"/>
      <c r="T968" s="578"/>
      <c r="U968" s="578"/>
    </row>
    <row r="969">
      <c r="A969" s="286"/>
      <c r="B969" s="286"/>
      <c r="C969" s="529"/>
      <c r="D969" s="306"/>
      <c r="E969" s="599"/>
      <c r="F969" s="306"/>
      <c r="G969" s="306"/>
      <c r="H969" s="598"/>
      <c r="I969" s="286"/>
      <c r="J969" s="286"/>
      <c r="K969" s="529"/>
      <c r="L969" s="286"/>
      <c r="M969" s="529"/>
      <c r="N969" s="286"/>
      <c r="O969" s="286"/>
      <c r="P969" s="286"/>
      <c r="Q969" s="286"/>
      <c r="R969" s="578"/>
      <c r="S969" s="578"/>
      <c r="T969" s="578"/>
      <c r="U969" s="578"/>
    </row>
    <row r="970">
      <c r="A970" s="286"/>
      <c r="B970" s="286"/>
      <c r="C970" s="529"/>
      <c r="D970" s="306"/>
      <c r="E970" s="599"/>
      <c r="F970" s="306"/>
      <c r="G970" s="306"/>
      <c r="H970" s="598"/>
      <c r="I970" s="286"/>
      <c r="J970" s="286"/>
      <c r="K970" s="529"/>
      <c r="L970" s="286"/>
      <c r="M970" s="529"/>
      <c r="N970" s="286"/>
      <c r="O970" s="286"/>
      <c r="P970" s="286"/>
      <c r="Q970" s="286"/>
      <c r="R970" s="578"/>
      <c r="S970" s="578"/>
      <c r="T970" s="578"/>
      <c r="U970" s="578"/>
    </row>
    <row r="971">
      <c r="A971" s="286"/>
      <c r="B971" s="286"/>
      <c r="C971" s="529"/>
      <c r="D971" s="306"/>
      <c r="E971" s="599"/>
      <c r="F971" s="306"/>
      <c r="G971" s="306"/>
      <c r="H971" s="598"/>
      <c r="I971" s="286"/>
      <c r="J971" s="286"/>
      <c r="K971" s="529"/>
      <c r="L971" s="286"/>
      <c r="M971" s="529"/>
      <c r="N971" s="286"/>
      <c r="O971" s="286"/>
      <c r="P971" s="286"/>
      <c r="Q971" s="286"/>
      <c r="R971" s="578"/>
      <c r="S971" s="578"/>
      <c r="T971" s="578"/>
      <c r="U971" s="578"/>
    </row>
    <row r="972">
      <c r="A972" s="286"/>
      <c r="B972" s="286"/>
      <c r="C972" s="529"/>
      <c r="D972" s="306"/>
      <c r="E972" s="599"/>
      <c r="F972" s="306"/>
      <c r="G972" s="306"/>
      <c r="H972" s="598"/>
      <c r="I972" s="286"/>
      <c r="J972" s="286"/>
      <c r="K972" s="529"/>
      <c r="L972" s="286"/>
      <c r="M972" s="529"/>
      <c r="N972" s="286"/>
      <c r="O972" s="286"/>
      <c r="P972" s="286"/>
      <c r="Q972" s="286"/>
      <c r="R972" s="578"/>
      <c r="S972" s="578"/>
      <c r="T972" s="578"/>
      <c r="U972" s="578"/>
    </row>
    <row r="973">
      <c r="A973" s="286"/>
      <c r="B973" s="286"/>
      <c r="C973" s="529"/>
      <c r="D973" s="306"/>
      <c r="E973" s="599"/>
      <c r="F973" s="306"/>
      <c r="G973" s="306"/>
      <c r="H973" s="598"/>
      <c r="I973" s="286"/>
      <c r="J973" s="286"/>
      <c r="K973" s="529"/>
      <c r="L973" s="286"/>
      <c r="M973" s="529"/>
      <c r="N973" s="286"/>
      <c r="O973" s="286"/>
      <c r="P973" s="286"/>
      <c r="Q973" s="286"/>
      <c r="R973" s="578"/>
      <c r="S973" s="578"/>
      <c r="T973" s="578"/>
      <c r="U973" s="578"/>
    </row>
    <row r="974">
      <c r="A974" s="286"/>
      <c r="B974" s="286"/>
      <c r="C974" s="529"/>
      <c r="D974" s="306"/>
      <c r="E974" s="599"/>
      <c r="F974" s="306"/>
      <c r="G974" s="306"/>
      <c r="H974" s="598"/>
      <c r="I974" s="286"/>
      <c r="J974" s="286"/>
      <c r="K974" s="529"/>
      <c r="L974" s="286"/>
      <c r="M974" s="529"/>
      <c r="N974" s="286"/>
      <c r="O974" s="286"/>
      <c r="P974" s="286"/>
      <c r="Q974" s="286"/>
      <c r="R974" s="578"/>
      <c r="S974" s="578"/>
      <c r="T974" s="578"/>
      <c r="U974" s="578"/>
    </row>
    <row r="975">
      <c r="A975" s="286"/>
      <c r="B975" s="286"/>
      <c r="C975" s="529"/>
      <c r="D975" s="306"/>
      <c r="E975" s="599"/>
      <c r="F975" s="306"/>
      <c r="G975" s="306"/>
      <c r="H975" s="598"/>
      <c r="I975" s="286"/>
      <c r="J975" s="286"/>
      <c r="K975" s="529"/>
      <c r="L975" s="286"/>
      <c r="M975" s="529"/>
      <c r="N975" s="286"/>
      <c r="O975" s="286"/>
      <c r="P975" s="286"/>
      <c r="Q975" s="286"/>
      <c r="R975" s="578"/>
      <c r="S975" s="578"/>
      <c r="T975" s="578"/>
      <c r="U975" s="578"/>
    </row>
    <row r="976">
      <c r="A976" s="286"/>
      <c r="B976" s="286"/>
      <c r="C976" s="529"/>
      <c r="D976" s="306"/>
      <c r="E976" s="599"/>
      <c r="F976" s="306"/>
      <c r="G976" s="306"/>
      <c r="H976" s="598"/>
      <c r="I976" s="286"/>
      <c r="J976" s="286"/>
      <c r="K976" s="529"/>
      <c r="L976" s="286"/>
      <c r="M976" s="529"/>
      <c r="N976" s="286"/>
      <c r="O976" s="286"/>
      <c r="P976" s="286"/>
      <c r="Q976" s="286"/>
      <c r="R976" s="578"/>
      <c r="S976" s="578"/>
      <c r="T976" s="578"/>
      <c r="U976" s="578"/>
    </row>
    <row r="977">
      <c r="A977" s="286"/>
      <c r="B977" s="286"/>
      <c r="C977" s="529"/>
      <c r="D977" s="306"/>
      <c r="E977" s="599"/>
      <c r="F977" s="306"/>
      <c r="G977" s="306"/>
      <c r="H977" s="598"/>
      <c r="I977" s="286"/>
      <c r="J977" s="286"/>
      <c r="K977" s="529"/>
      <c r="L977" s="286"/>
      <c r="M977" s="529"/>
      <c r="N977" s="286"/>
      <c r="O977" s="286"/>
      <c r="P977" s="286"/>
      <c r="Q977" s="286"/>
      <c r="R977" s="578"/>
      <c r="S977" s="578"/>
      <c r="T977" s="578"/>
      <c r="U977" s="578"/>
    </row>
    <row r="978">
      <c r="A978" s="286"/>
      <c r="B978" s="286"/>
      <c r="C978" s="529"/>
      <c r="D978" s="306"/>
      <c r="E978" s="599"/>
      <c r="F978" s="306"/>
      <c r="G978" s="306"/>
      <c r="H978" s="598"/>
      <c r="I978" s="286"/>
      <c r="J978" s="286"/>
      <c r="K978" s="529"/>
      <c r="L978" s="286"/>
      <c r="M978" s="529"/>
      <c r="N978" s="286"/>
      <c r="O978" s="286"/>
      <c r="P978" s="286"/>
      <c r="Q978" s="286"/>
      <c r="R978" s="578"/>
      <c r="S978" s="578"/>
      <c r="T978" s="578"/>
      <c r="U978" s="578"/>
    </row>
    <row r="979">
      <c r="A979" s="286"/>
      <c r="B979" s="286"/>
      <c r="C979" s="529"/>
      <c r="D979" s="306"/>
      <c r="E979" s="599"/>
      <c r="F979" s="306"/>
      <c r="G979" s="306"/>
      <c r="H979" s="598"/>
      <c r="I979" s="286"/>
      <c r="J979" s="286"/>
      <c r="K979" s="529"/>
      <c r="L979" s="286"/>
      <c r="M979" s="529"/>
      <c r="N979" s="286"/>
      <c r="O979" s="286"/>
      <c r="P979" s="286"/>
      <c r="Q979" s="286"/>
      <c r="R979" s="578"/>
      <c r="S979" s="578"/>
      <c r="T979" s="578"/>
      <c r="U979" s="578"/>
    </row>
    <row r="980">
      <c r="A980" s="286"/>
      <c r="B980" s="286"/>
      <c r="C980" s="529"/>
      <c r="D980" s="306"/>
      <c r="E980" s="599"/>
      <c r="F980" s="306"/>
      <c r="G980" s="306"/>
      <c r="H980" s="598"/>
      <c r="I980" s="286"/>
      <c r="J980" s="286"/>
      <c r="K980" s="529"/>
      <c r="L980" s="286"/>
      <c r="M980" s="529"/>
      <c r="N980" s="286"/>
      <c r="O980" s="286"/>
      <c r="P980" s="286"/>
      <c r="Q980" s="286"/>
      <c r="R980" s="578"/>
      <c r="S980" s="578"/>
      <c r="T980" s="578"/>
      <c r="U980" s="578"/>
    </row>
    <row r="981">
      <c r="A981" s="286"/>
      <c r="B981" s="286"/>
      <c r="C981" s="529"/>
      <c r="D981" s="306"/>
      <c r="E981" s="599"/>
      <c r="F981" s="306"/>
      <c r="G981" s="306"/>
      <c r="H981" s="598"/>
      <c r="I981" s="286"/>
      <c r="J981" s="286"/>
      <c r="K981" s="529"/>
      <c r="L981" s="286"/>
      <c r="M981" s="529"/>
      <c r="N981" s="286"/>
      <c r="O981" s="286"/>
      <c r="P981" s="286"/>
      <c r="Q981" s="286"/>
      <c r="R981" s="578"/>
      <c r="S981" s="578"/>
      <c r="T981" s="578"/>
      <c r="U981" s="578"/>
    </row>
    <row r="982">
      <c r="A982" s="286"/>
      <c r="B982" s="286"/>
      <c r="C982" s="529"/>
      <c r="D982" s="306"/>
      <c r="E982" s="599"/>
      <c r="F982" s="306"/>
      <c r="G982" s="306"/>
      <c r="H982" s="598"/>
      <c r="I982" s="286"/>
      <c r="J982" s="286"/>
      <c r="K982" s="529"/>
      <c r="L982" s="286"/>
      <c r="M982" s="529"/>
      <c r="N982" s="286"/>
      <c r="O982" s="286"/>
      <c r="P982" s="286"/>
      <c r="Q982" s="286"/>
      <c r="R982" s="578"/>
      <c r="S982" s="578"/>
      <c r="T982" s="578"/>
      <c r="U982" s="578"/>
    </row>
    <row r="983">
      <c r="A983" s="286"/>
      <c r="B983" s="286"/>
      <c r="C983" s="529"/>
      <c r="D983" s="306"/>
      <c r="E983" s="599"/>
      <c r="F983" s="306"/>
      <c r="G983" s="306"/>
      <c r="H983" s="598"/>
      <c r="I983" s="286"/>
      <c r="J983" s="286"/>
      <c r="K983" s="529"/>
      <c r="L983" s="286"/>
      <c r="M983" s="529"/>
      <c r="N983" s="286"/>
      <c r="O983" s="286"/>
      <c r="P983" s="286"/>
      <c r="Q983" s="286"/>
      <c r="R983" s="578"/>
      <c r="S983" s="578"/>
      <c r="T983" s="578"/>
      <c r="U983" s="578"/>
    </row>
    <row r="984">
      <c r="A984" s="286"/>
      <c r="B984" s="286"/>
      <c r="C984" s="529"/>
      <c r="D984" s="306"/>
      <c r="E984" s="599"/>
      <c r="F984" s="306"/>
      <c r="G984" s="306"/>
      <c r="H984" s="598"/>
      <c r="I984" s="286"/>
      <c r="J984" s="286"/>
      <c r="K984" s="529"/>
      <c r="L984" s="286"/>
      <c r="M984" s="529"/>
      <c r="N984" s="286"/>
      <c r="O984" s="286"/>
      <c r="P984" s="286"/>
      <c r="Q984" s="286"/>
      <c r="R984" s="578"/>
      <c r="S984" s="578"/>
      <c r="T984" s="578"/>
      <c r="U984" s="578"/>
    </row>
    <row r="985">
      <c r="A985" s="286"/>
      <c r="B985" s="286"/>
      <c r="C985" s="529"/>
      <c r="D985" s="306"/>
      <c r="E985" s="599"/>
      <c r="F985" s="306"/>
      <c r="G985" s="306"/>
      <c r="H985" s="598"/>
      <c r="I985" s="286"/>
      <c r="J985" s="286"/>
      <c r="K985" s="529"/>
      <c r="L985" s="286"/>
      <c r="M985" s="529"/>
      <c r="N985" s="286"/>
      <c r="O985" s="286"/>
      <c r="P985" s="286"/>
      <c r="Q985" s="286"/>
      <c r="R985" s="578"/>
      <c r="S985" s="578"/>
      <c r="T985" s="578"/>
      <c r="U985" s="578"/>
    </row>
    <row r="986">
      <c r="A986" s="286"/>
      <c r="B986" s="286"/>
      <c r="C986" s="529"/>
      <c r="D986" s="306"/>
      <c r="E986" s="599"/>
      <c r="F986" s="306"/>
      <c r="G986" s="306"/>
      <c r="H986" s="598"/>
      <c r="I986" s="286"/>
      <c r="J986" s="286"/>
      <c r="K986" s="529"/>
      <c r="L986" s="286"/>
      <c r="M986" s="529"/>
      <c r="N986" s="286"/>
      <c r="O986" s="286"/>
      <c r="P986" s="286"/>
      <c r="Q986" s="286"/>
      <c r="R986" s="578"/>
      <c r="S986" s="578"/>
      <c r="T986" s="578"/>
      <c r="U986" s="578"/>
    </row>
    <row r="987">
      <c r="A987" s="286"/>
      <c r="B987" s="286"/>
      <c r="C987" s="529"/>
      <c r="D987" s="306"/>
      <c r="E987" s="599"/>
      <c r="F987" s="306"/>
      <c r="G987" s="306"/>
      <c r="H987" s="598"/>
      <c r="I987" s="286"/>
      <c r="J987" s="286"/>
      <c r="K987" s="529"/>
      <c r="L987" s="286"/>
      <c r="M987" s="529"/>
      <c r="N987" s="286"/>
      <c r="O987" s="286"/>
      <c r="P987" s="286"/>
      <c r="Q987" s="286"/>
      <c r="R987" s="578"/>
      <c r="S987" s="578"/>
      <c r="T987" s="578"/>
      <c r="U987" s="578"/>
    </row>
    <row r="988">
      <c r="A988" s="286"/>
      <c r="B988" s="286"/>
      <c r="C988" s="529"/>
      <c r="D988" s="306"/>
      <c r="E988" s="599"/>
      <c r="F988" s="306"/>
      <c r="G988" s="306"/>
      <c r="H988" s="598"/>
      <c r="I988" s="286"/>
      <c r="J988" s="286"/>
      <c r="K988" s="529"/>
      <c r="L988" s="286"/>
      <c r="M988" s="529"/>
      <c r="N988" s="286"/>
      <c r="O988" s="286"/>
      <c r="P988" s="286"/>
      <c r="Q988" s="286"/>
      <c r="R988" s="578"/>
      <c r="S988" s="578"/>
      <c r="T988" s="578"/>
      <c r="U988" s="578"/>
    </row>
    <row r="989">
      <c r="A989" s="286"/>
      <c r="B989" s="286"/>
      <c r="C989" s="529"/>
      <c r="D989" s="306"/>
      <c r="E989" s="599"/>
      <c r="F989" s="306"/>
      <c r="G989" s="306"/>
      <c r="H989" s="598"/>
      <c r="I989" s="286"/>
      <c r="J989" s="286"/>
      <c r="K989" s="529"/>
      <c r="L989" s="286"/>
      <c r="M989" s="529"/>
      <c r="N989" s="286"/>
      <c r="O989" s="286"/>
      <c r="P989" s="286"/>
      <c r="Q989" s="286"/>
      <c r="R989" s="578"/>
      <c r="S989" s="578"/>
      <c r="T989" s="578"/>
      <c r="U989" s="578"/>
    </row>
    <row r="990">
      <c r="A990" s="286"/>
      <c r="B990" s="286"/>
      <c r="C990" s="529"/>
      <c r="D990" s="306"/>
      <c r="E990" s="599"/>
      <c r="F990" s="306"/>
      <c r="G990" s="306"/>
      <c r="H990" s="598"/>
      <c r="I990" s="286"/>
      <c r="J990" s="286"/>
      <c r="K990" s="529"/>
      <c r="L990" s="286"/>
      <c r="M990" s="529"/>
      <c r="N990" s="286"/>
      <c r="O990" s="286"/>
      <c r="P990" s="286"/>
      <c r="Q990" s="286"/>
      <c r="R990" s="578"/>
      <c r="S990" s="578"/>
      <c r="T990" s="578"/>
      <c r="U990" s="578"/>
    </row>
    <row r="991">
      <c r="A991" s="286"/>
      <c r="B991" s="286"/>
      <c r="C991" s="529"/>
      <c r="D991" s="306"/>
      <c r="E991" s="599"/>
      <c r="F991" s="306"/>
      <c r="G991" s="306"/>
      <c r="H991" s="598"/>
      <c r="I991" s="286"/>
      <c r="J991" s="286"/>
      <c r="K991" s="529"/>
      <c r="L991" s="286"/>
      <c r="M991" s="529"/>
      <c r="N991" s="286"/>
      <c r="O991" s="286"/>
      <c r="P991" s="286"/>
      <c r="Q991" s="286"/>
      <c r="R991" s="578"/>
      <c r="S991" s="578"/>
      <c r="T991" s="578"/>
      <c r="U991" s="578"/>
    </row>
    <row r="992">
      <c r="A992" s="286"/>
      <c r="B992" s="286"/>
      <c r="C992" s="529"/>
      <c r="D992" s="306"/>
      <c r="E992" s="599"/>
      <c r="F992" s="306"/>
      <c r="G992" s="306"/>
      <c r="H992" s="598"/>
      <c r="I992" s="286"/>
      <c r="J992" s="286"/>
      <c r="K992" s="529"/>
      <c r="L992" s="286"/>
      <c r="M992" s="529"/>
      <c r="N992" s="286"/>
      <c r="O992" s="286"/>
      <c r="P992" s="286"/>
      <c r="Q992" s="286"/>
      <c r="R992" s="578"/>
      <c r="S992" s="578"/>
      <c r="T992" s="578"/>
      <c r="U992" s="578"/>
    </row>
    <row r="993">
      <c r="A993" s="286"/>
      <c r="B993" s="286"/>
      <c r="C993" s="529"/>
      <c r="D993" s="306"/>
      <c r="E993" s="599"/>
      <c r="F993" s="306"/>
      <c r="G993" s="306"/>
      <c r="H993" s="598"/>
      <c r="I993" s="286"/>
      <c r="J993" s="286"/>
      <c r="K993" s="529"/>
      <c r="L993" s="286"/>
      <c r="M993" s="529"/>
      <c r="N993" s="286"/>
      <c r="O993" s="286"/>
      <c r="P993" s="286"/>
      <c r="Q993" s="286"/>
      <c r="R993" s="578"/>
      <c r="S993" s="578"/>
      <c r="T993" s="578"/>
      <c r="U993" s="578"/>
    </row>
    <row r="994">
      <c r="A994" s="286"/>
      <c r="B994" s="286"/>
      <c r="C994" s="529"/>
      <c r="D994" s="306"/>
      <c r="E994" s="599"/>
      <c r="F994" s="306"/>
      <c r="G994" s="306"/>
      <c r="H994" s="598"/>
      <c r="I994" s="286"/>
      <c r="J994" s="286"/>
      <c r="K994" s="529"/>
      <c r="L994" s="286"/>
      <c r="M994" s="529"/>
      <c r="N994" s="286"/>
      <c r="O994" s="286"/>
      <c r="P994" s="286"/>
      <c r="Q994" s="286"/>
      <c r="R994" s="578"/>
      <c r="S994" s="578"/>
      <c r="T994" s="578"/>
      <c r="U994" s="578"/>
    </row>
    <row r="995">
      <c r="A995" s="286"/>
      <c r="B995" s="286"/>
      <c r="C995" s="529"/>
      <c r="D995" s="306"/>
      <c r="E995" s="599"/>
      <c r="F995" s="306"/>
      <c r="G995" s="306"/>
      <c r="H995" s="598"/>
      <c r="I995" s="286"/>
      <c r="J995" s="286"/>
      <c r="K995" s="529"/>
      <c r="L995" s="286"/>
      <c r="M995" s="529"/>
      <c r="N995" s="286"/>
      <c r="O995" s="286"/>
      <c r="P995" s="286"/>
      <c r="Q995" s="286"/>
      <c r="R995" s="578"/>
      <c r="S995" s="578"/>
      <c r="T995" s="578"/>
      <c r="U995" s="578"/>
    </row>
    <row r="996">
      <c r="A996" s="286"/>
      <c r="B996" s="286"/>
      <c r="C996" s="529"/>
      <c r="D996" s="306"/>
      <c r="E996" s="599"/>
      <c r="F996" s="306"/>
      <c r="G996" s="306"/>
      <c r="H996" s="598"/>
      <c r="I996" s="286"/>
      <c r="J996" s="286"/>
      <c r="K996" s="529"/>
      <c r="L996" s="286"/>
      <c r="M996" s="529"/>
      <c r="N996" s="286"/>
      <c r="O996" s="286"/>
      <c r="P996" s="286"/>
      <c r="Q996" s="286"/>
      <c r="R996" s="578"/>
      <c r="S996" s="578"/>
      <c r="T996" s="578"/>
      <c r="U996" s="578"/>
    </row>
    <row r="997">
      <c r="A997" s="286"/>
      <c r="B997" s="286"/>
      <c r="C997" s="529"/>
      <c r="D997" s="306"/>
      <c r="E997" s="599"/>
      <c r="F997" s="306"/>
      <c r="G997" s="306"/>
      <c r="H997" s="598"/>
      <c r="I997" s="286"/>
      <c r="J997" s="286"/>
      <c r="K997" s="529"/>
      <c r="L997" s="286"/>
      <c r="M997" s="529"/>
      <c r="N997" s="286"/>
      <c r="O997" s="286"/>
      <c r="P997" s="286"/>
      <c r="Q997" s="286"/>
      <c r="R997" s="578"/>
      <c r="S997" s="578"/>
      <c r="T997" s="578"/>
      <c r="U997" s="578"/>
    </row>
    <row r="998">
      <c r="A998" s="286"/>
      <c r="B998" s="286"/>
      <c r="C998" s="529"/>
      <c r="D998" s="306"/>
      <c r="E998" s="599"/>
      <c r="F998" s="306"/>
      <c r="G998" s="306"/>
      <c r="H998" s="598"/>
      <c r="I998" s="286"/>
      <c r="J998" s="286"/>
      <c r="K998" s="529"/>
      <c r="L998" s="286"/>
      <c r="M998" s="529"/>
      <c r="N998" s="286"/>
      <c r="O998" s="286"/>
      <c r="P998" s="286"/>
      <c r="Q998" s="286"/>
      <c r="R998" s="578"/>
      <c r="S998" s="578"/>
      <c r="T998" s="578"/>
      <c r="U998" s="578"/>
    </row>
    <row r="999">
      <c r="A999" s="286"/>
      <c r="B999" s="286"/>
      <c r="C999" s="529"/>
      <c r="D999" s="306"/>
      <c r="E999" s="599"/>
      <c r="F999" s="306"/>
      <c r="G999" s="306"/>
      <c r="H999" s="598"/>
      <c r="I999" s="286"/>
      <c r="J999" s="286"/>
      <c r="K999" s="529"/>
      <c r="L999" s="286"/>
      <c r="M999" s="529"/>
      <c r="N999" s="286"/>
      <c r="O999" s="286"/>
      <c r="P999" s="286"/>
      <c r="Q999" s="286"/>
      <c r="R999" s="578"/>
      <c r="S999" s="578"/>
      <c r="T999" s="578"/>
      <c r="U999" s="578"/>
    </row>
    <row r="1000">
      <c r="A1000" s="286"/>
      <c r="B1000" s="286"/>
      <c r="C1000" s="529"/>
      <c r="D1000" s="306"/>
      <c r="E1000" s="599"/>
      <c r="F1000" s="306"/>
      <c r="G1000" s="306"/>
      <c r="H1000" s="598"/>
      <c r="I1000" s="286"/>
      <c r="J1000" s="286"/>
      <c r="K1000" s="529"/>
      <c r="L1000" s="286"/>
      <c r="M1000" s="529"/>
      <c r="N1000" s="286"/>
      <c r="O1000" s="286"/>
      <c r="P1000" s="286"/>
      <c r="Q1000" s="286"/>
      <c r="R1000" s="578"/>
      <c r="S1000" s="578"/>
      <c r="T1000" s="578"/>
      <c r="U1000" s="578"/>
    </row>
    <row r="1001">
      <c r="A1001" s="286"/>
      <c r="B1001" s="286"/>
      <c r="C1001" s="529"/>
      <c r="D1001" s="306"/>
      <c r="E1001" s="599"/>
      <c r="F1001" s="306"/>
      <c r="G1001" s="306"/>
      <c r="H1001" s="598"/>
      <c r="I1001" s="286"/>
      <c r="J1001" s="286"/>
      <c r="K1001" s="529"/>
      <c r="L1001" s="286"/>
      <c r="M1001" s="529"/>
      <c r="N1001" s="286"/>
      <c r="O1001" s="286"/>
      <c r="P1001" s="286"/>
      <c r="Q1001" s="286"/>
      <c r="R1001" s="578"/>
      <c r="S1001" s="578"/>
      <c r="T1001" s="578"/>
      <c r="U1001" s="578"/>
    </row>
    <row r="1002">
      <c r="A1002" s="286"/>
      <c r="B1002" s="286"/>
      <c r="C1002" s="529"/>
      <c r="D1002" s="306"/>
      <c r="E1002" s="599"/>
      <c r="F1002" s="306"/>
      <c r="G1002" s="306"/>
      <c r="H1002" s="598"/>
      <c r="I1002" s="286"/>
      <c r="J1002" s="286"/>
      <c r="K1002" s="529"/>
      <c r="L1002" s="286"/>
      <c r="M1002" s="529"/>
      <c r="N1002" s="286"/>
      <c r="O1002" s="286"/>
      <c r="P1002" s="286"/>
      <c r="Q1002" s="286"/>
      <c r="R1002" s="578"/>
      <c r="S1002" s="578"/>
      <c r="T1002" s="578"/>
      <c r="U1002" s="578"/>
    </row>
    <row r="1003">
      <c r="A1003" s="286"/>
      <c r="B1003" s="286"/>
      <c r="C1003" s="529"/>
      <c r="D1003" s="306"/>
      <c r="E1003" s="599"/>
      <c r="F1003" s="306"/>
      <c r="G1003" s="306"/>
      <c r="H1003" s="598"/>
      <c r="I1003" s="286"/>
      <c r="J1003" s="286"/>
      <c r="K1003" s="529"/>
      <c r="L1003" s="286"/>
      <c r="M1003" s="529"/>
      <c r="N1003" s="286"/>
      <c r="O1003" s="286"/>
      <c r="P1003" s="286"/>
      <c r="Q1003" s="286"/>
      <c r="R1003" s="578"/>
      <c r="S1003" s="578"/>
      <c r="T1003" s="578"/>
      <c r="U1003" s="578"/>
    </row>
    <row r="1004">
      <c r="A1004" s="286"/>
      <c r="B1004" s="286"/>
      <c r="C1004" s="529"/>
      <c r="D1004" s="306"/>
      <c r="E1004" s="599"/>
      <c r="F1004" s="306"/>
      <c r="G1004" s="306"/>
      <c r="H1004" s="598"/>
      <c r="I1004" s="286"/>
      <c r="J1004" s="286"/>
      <c r="K1004" s="529"/>
      <c r="L1004" s="286"/>
      <c r="M1004" s="529"/>
      <c r="N1004" s="286"/>
      <c r="O1004" s="286"/>
      <c r="P1004" s="286"/>
      <c r="Q1004" s="286"/>
      <c r="R1004" s="578"/>
      <c r="S1004" s="578"/>
      <c r="T1004" s="578"/>
      <c r="U1004" s="578"/>
    </row>
    <row r="1005">
      <c r="A1005" s="286"/>
      <c r="B1005" s="286"/>
      <c r="C1005" s="529"/>
      <c r="D1005" s="306"/>
      <c r="E1005" s="599"/>
      <c r="F1005" s="306"/>
      <c r="G1005" s="306"/>
      <c r="H1005" s="598"/>
      <c r="I1005" s="286"/>
      <c r="J1005" s="286"/>
      <c r="K1005" s="529"/>
      <c r="L1005" s="286"/>
      <c r="M1005" s="529"/>
      <c r="N1005" s="286"/>
      <c r="O1005" s="286"/>
      <c r="P1005" s="286"/>
      <c r="Q1005" s="286"/>
      <c r="R1005" s="578"/>
      <c r="S1005" s="578"/>
      <c r="T1005" s="578"/>
      <c r="U1005" s="578"/>
    </row>
    <row r="1006">
      <c r="A1006" s="286"/>
      <c r="B1006" s="286"/>
      <c r="C1006" s="529"/>
      <c r="D1006" s="306"/>
      <c r="E1006" s="599"/>
      <c r="F1006" s="306"/>
      <c r="G1006" s="306"/>
      <c r="H1006" s="598"/>
      <c r="I1006" s="286"/>
      <c r="J1006" s="286"/>
      <c r="K1006" s="529"/>
      <c r="L1006" s="286"/>
      <c r="M1006" s="529"/>
      <c r="N1006" s="286"/>
      <c r="O1006" s="286"/>
      <c r="P1006" s="286"/>
      <c r="Q1006" s="286"/>
      <c r="R1006" s="578"/>
      <c r="S1006" s="578"/>
      <c r="T1006" s="578"/>
      <c r="U1006" s="578"/>
    </row>
    <row r="1007">
      <c r="A1007" s="286"/>
      <c r="B1007" s="286"/>
      <c r="C1007" s="529"/>
      <c r="D1007" s="306"/>
      <c r="E1007" s="599"/>
      <c r="F1007" s="306"/>
      <c r="G1007" s="306"/>
      <c r="H1007" s="598"/>
      <c r="I1007" s="286"/>
      <c r="J1007" s="286"/>
      <c r="K1007" s="529"/>
      <c r="L1007" s="286"/>
      <c r="M1007" s="529"/>
      <c r="N1007" s="286"/>
      <c r="O1007" s="286"/>
      <c r="P1007" s="286"/>
      <c r="Q1007" s="286"/>
      <c r="R1007" s="578"/>
      <c r="S1007" s="578"/>
      <c r="T1007" s="578"/>
      <c r="U1007" s="578"/>
    </row>
    <row r="1008">
      <c r="A1008" s="286"/>
      <c r="B1008" s="286"/>
      <c r="C1008" s="529"/>
      <c r="D1008" s="306"/>
      <c r="E1008" s="599"/>
      <c r="F1008" s="306"/>
      <c r="G1008" s="306"/>
      <c r="H1008" s="598"/>
      <c r="I1008" s="286"/>
      <c r="J1008" s="286"/>
      <c r="K1008" s="529"/>
      <c r="L1008" s="286"/>
      <c r="M1008" s="529"/>
      <c r="N1008" s="286"/>
      <c r="O1008" s="286"/>
      <c r="P1008" s="286"/>
      <c r="Q1008" s="286"/>
      <c r="R1008" s="578"/>
      <c r="S1008" s="578"/>
      <c r="T1008" s="578"/>
      <c r="U1008" s="578"/>
    </row>
    <row r="1009">
      <c r="A1009" s="286"/>
      <c r="B1009" s="286"/>
      <c r="C1009" s="529"/>
      <c r="D1009" s="306"/>
      <c r="E1009" s="599"/>
      <c r="F1009" s="306"/>
      <c r="G1009" s="306"/>
      <c r="H1009" s="598"/>
      <c r="I1009" s="286"/>
      <c r="J1009" s="286"/>
      <c r="K1009" s="529"/>
      <c r="L1009" s="286"/>
      <c r="M1009" s="529"/>
      <c r="N1009" s="286"/>
      <c r="O1009" s="286"/>
      <c r="P1009" s="286"/>
      <c r="Q1009" s="286"/>
      <c r="R1009" s="578"/>
      <c r="S1009" s="578"/>
      <c r="T1009" s="578"/>
      <c r="U1009" s="578"/>
    </row>
    <row r="1010">
      <c r="A1010" s="286"/>
      <c r="B1010" s="286"/>
      <c r="C1010" s="529"/>
      <c r="D1010" s="306"/>
      <c r="E1010" s="599"/>
      <c r="F1010" s="306"/>
      <c r="G1010" s="306"/>
      <c r="H1010" s="598"/>
      <c r="I1010" s="286"/>
      <c r="J1010" s="286"/>
      <c r="K1010" s="529"/>
      <c r="L1010" s="286"/>
      <c r="M1010" s="529"/>
      <c r="N1010" s="286"/>
      <c r="O1010" s="286"/>
      <c r="P1010" s="286"/>
      <c r="Q1010" s="286"/>
      <c r="R1010" s="578"/>
      <c r="S1010" s="578"/>
      <c r="T1010" s="578"/>
      <c r="U1010" s="578"/>
    </row>
    <row r="1011">
      <c r="A1011" s="286"/>
      <c r="B1011" s="286"/>
      <c r="C1011" s="529"/>
      <c r="D1011" s="306"/>
      <c r="E1011" s="599"/>
      <c r="F1011" s="306"/>
      <c r="G1011" s="306"/>
      <c r="H1011" s="598"/>
      <c r="I1011" s="286"/>
      <c r="J1011" s="286"/>
      <c r="K1011" s="529"/>
      <c r="L1011" s="286"/>
      <c r="M1011" s="529"/>
      <c r="N1011" s="286"/>
      <c r="O1011" s="286"/>
      <c r="P1011" s="286"/>
      <c r="Q1011" s="286"/>
      <c r="R1011" s="578"/>
      <c r="S1011" s="578"/>
      <c r="T1011" s="578"/>
      <c r="U1011" s="578"/>
    </row>
    <row r="1012">
      <c r="A1012" s="286"/>
      <c r="B1012" s="286"/>
      <c r="C1012" s="529"/>
      <c r="D1012" s="306"/>
      <c r="E1012" s="599"/>
      <c r="F1012" s="306"/>
      <c r="G1012" s="306"/>
      <c r="H1012" s="598"/>
      <c r="I1012" s="286"/>
      <c r="J1012" s="286"/>
      <c r="K1012" s="529"/>
      <c r="L1012" s="286"/>
      <c r="M1012" s="529"/>
      <c r="N1012" s="286"/>
      <c r="O1012" s="286"/>
      <c r="P1012" s="286"/>
      <c r="Q1012" s="286"/>
      <c r="R1012" s="578"/>
      <c r="S1012" s="578"/>
      <c r="T1012" s="578"/>
      <c r="U1012" s="578"/>
    </row>
  </sheetData>
  <mergeCells count="26">
    <mergeCell ref="E3:H4"/>
    <mergeCell ref="E5:H5"/>
    <mergeCell ref="E6:H7"/>
    <mergeCell ref="E8:H8"/>
    <mergeCell ref="E9:H10"/>
    <mergeCell ref="A5:B6"/>
    <mergeCell ref="A7:B8"/>
    <mergeCell ref="A9:B10"/>
    <mergeCell ref="A11:B12"/>
    <mergeCell ref="A1:C1"/>
    <mergeCell ref="E1:H1"/>
    <mergeCell ref="J1:M1"/>
    <mergeCell ref="A2:B2"/>
    <mergeCell ref="E2:H2"/>
    <mergeCell ref="A3:B4"/>
    <mergeCell ref="J6:M6"/>
    <mergeCell ref="J7:K8"/>
    <mergeCell ref="J10:K11"/>
    <mergeCell ref="J2:M2"/>
    <mergeCell ref="J3:K3"/>
    <mergeCell ref="L3:M3"/>
    <mergeCell ref="J4:K5"/>
    <mergeCell ref="L4:M5"/>
    <mergeCell ref="L7:M8"/>
    <mergeCell ref="J9:M9"/>
    <mergeCell ref="L10:M11"/>
  </mergeCells>
  <dataValidations>
    <dataValidation type="list" allowBlank="1" showErrorMessage="1" sqref="I16:I160">
      <formula1>"Sampai,Sudah Proses Pengiriman,Kendala [FU!],Done Req Sample"</formula1>
    </dataValidation>
    <dataValidation type="list" allowBlank="1" showErrorMessage="1" sqref="A16:A160">
      <formula1>"MEGA,MACRO,MICRO,NANO"</formula1>
    </dataValidation>
    <dataValidation type="list" allowBlank="1" showErrorMessage="1" sqref="J16:J160 L16:L160 N16:N160 P16:P160">
      <formula1>" Concept 1,Concept 2,Concept 3,Concept 4"</formula1>
    </dataValidation>
    <dataValidation type="list" allowBlank="1" showErrorMessage="1" sqref="H16:H42">
      <formula1>"MS GLOW CUSHION AUTHENTIC SKIN CUSHION WITH WHITE CAVIAR ,MS GLOW LIP BALM AUTHENTIC MELTING BALM,MS GLOW BLUSH ON AUTHENTIC GLOW SHIMMERING,1 SET (CUSHION, LIP BALM, BLUSH ON),CUSHION &amp; BLUSH ON"</formula1>
    </dataValidation>
  </dataValidations>
  <hyperlinks>
    <hyperlink r:id="rId1" ref="C16"/>
    <hyperlink r:id="rId2" ref="C17"/>
    <hyperlink r:id="rId3" ref="C18"/>
    <hyperlink r:id="rId4" ref="C19"/>
    <hyperlink r:id="rId5" ref="C20"/>
    <hyperlink r:id="rId6" ref="C21"/>
    <hyperlink r:id="rId7" ref="C22"/>
    <hyperlink r:id="rId8" ref="C23"/>
    <hyperlink r:id="rId9" ref="C24"/>
    <hyperlink r:id="rId10" ref="C25"/>
    <hyperlink r:id="rId11" ref="C26"/>
    <hyperlink r:id="rId12" ref="C27"/>
    <hyperlink r:id="rId13" ref="C28"/>
    <hyperlink r:id="rId14" ref="C29"/>
    <hyperlink r:id="rId15" ref="C30"/>
    <hyperlink r:id="rId16" ref="C31"/>
    <hyperlink r:id="rId17" ref="C32"/>
    <hyperlink r:id="rId18" ref="C33"/>
    <hyperlink r:id="rId19" ref="C34"/>
    <hyperlink r:id="rId20" ref="C35"/>
    <hyperlink r:id="rId21" ref="C36"/>
    <hyperlink r:id="rId22" ref="C37"/>
    <hyperlink r:id="rId23" ref="C38"/>
    <hyperlink r:id="rId24" ref="C39"/>
    <hyperlink r:id="rId25" ref="C40"/>
    <hyperlink r:id="rId26" ref="C41"/>
    <hyperlink r:id="rId27" ref="C42"/>
    <hyperlink r:id="rId28" ref="C43"/>
    <hyperlink r:id="rId29" ref="C44"/>
    <hyperlink r:id="rId30" ref="C45"/>
    <hyperlink r:id="rId31" ref="C46"/>
    <hyperlink r:id="rId32" ref="C47"/>
    <hyperlink r:id="rId33" ref="C48"/>
    <hyperlink r:id="rId34" ref="C49"/>
    <hyperlink r:id="rId35" ref="C50"/>
    <hyperlink r:id="rId36" ref="C51"/>
    <hyperlink r:id="rId37" ref="C52"/>
    <hyperlink r:id="rId38" ref="C53"/>
    <hyperlink r:id="rId39" ref="C54"/>
    <hyperlink r:id="rId40" ref="C55"/>
    <hyperlink r:id="rId41" ref="C56"/>
    <hyperlink r:id="rId42" ref="C57"/>
    <hyperlink r:id="rId43" ref="C59"/>
    <hyperlink r:id="rId44" ref="C60"/>
    <hyperlink r:id="rId45" ref="C61"/>
    <hyperlink r:id="rId46" ref="C62"/>
    <hyperlink r:id="rId47" ref="C63"/>
    <hyperlink r:id="rId48" ref="C64"/>
    <hyperlink r:id="rId49" ref="C65"/>
    <hyperlink r:id="rId50" ref="C66"/>
    <hyperlink r:id="rId51" ref="C67"/>
    <hyperlink r:id="rId52" ref="C68"/>
    <hyperlink r:id="rId53" ref="C69"/>
    <hyperlink r:id="rId54" ref="C70"/>
    <hyperlink r:id="rId55" ref="C71"/>
    <hyperlink r:id="rId56" ref="C72"/>
    <hyperlink r:id="rId57" ref="C73"/>
    <hyperlink r:id="rId58" ref="C74"/>
    <hyperlink r:id="rId59" ref="C75"/>
    <hyperlink r:id="rId60" ref="C76"/>
  </hyperlinks>
  <drawing r:id="rId61"/>
  <tableParts count="1">
    <tablePart r:id="rId6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22.38"/>
    <col customWidth="1" min="4" max="4" width="7.38"/>
    <col customWidth="1" min="8" max="8" width="16.0"/>
    <col customWidth="1" min="10" max="10" width="19.38"/>
    <col customWidth="1" min="12" max="12" width="19.25"/>
  </cols>
  <sheetData>
    <row r="1">
      <c r="A1" s="213" t="s">
        <v>455</v>
      </c>
      <c r="B1" s="214"/>
      <c r="C1" s="214"/>
      <c r="D1" s="215"/>
      <c r="E1" s="213" t="s">
        <v>328</v>
      </c>
      <c r="F1" s="214"/>
      <c r="G1" s="214"/>
      <c r="H1" s="216"/>
      <c r="J1" s="217" t="s">
        <v>456</v>
      </c>
      <c r="K1" s="214"/>
      <c r="L1" s="214"/>
      <c r="M1" s="216"/>
      <c r="R1" s="218"/>
      <c r="S1" s="218"/>
      <c r="T1" s="218"/>
      <c r="U1" s="218"/>
    </row>
    <row r="2">
      <c r="A2" s="219" t="s">
        <v>457</v>
      </c>
      <c r="B2" s="220"/>
      <c r="C2" s="338" t="s">
        <v>455</v>
      </c>
      <c r="D2" s="215"/>
      <c r="E2" s="221" t="s">
        <v>327</v>
      </c>
      <c r="F2" s="214"/>
      <c r="G2" s="214"/>
      <c r="H2" s="216"/>
      <c r="J2" s="222" t="s">
        <v>458</v>
      </c>
      <c r="K2" s="214"/>
      <c r="L2" s="214"/>
      <c r="M2" s="216"/>
      <c r="R2" s="218"/>
      <c r="S2" s="218"/>
      <c r="T2" s="218"/>
      <c r="U2" s="218"/>
    </row>
    <row r="3">
      <c r="A3" s="223">
        <v>1.0</v>
      </c>
      <c r="B3" s="224"/>
      <c r="C3" s="339">
        <v>1.0</v>
      </c>
      <c r="D3" s="215"/>
      <c r="E3" s="226">
        <f>Maindata!I13</f>
        <v>1200000000</v>
      </c>
      <c r="F3" s="227"/>
      <c r="G3" s="227"/>
      <c r="H3" s="228"/>
      <c r="J3" s="229" t="s">
        <v>459</v>
      </c>
      <c r="K3" s="216"/>
      <c r="L3" s="230" t="s">
        <v>460</v>
      </c>
      <c r="M3" s="216"/>
      <c r="R3" s="218"/>
      <c r="S3" s="218"/>
      <c r="T3" s="218"/>
      <c r="U3" s="218"/>
    </row>
    <row r="4">
      <c r="A4" s="231"/>
      <c r="B4" s="220"/>
      <c r="C4" s="339">
        <v>2.0</v>
      </c>
      <c r="D4" s="215"/>
      <c r="E4" s="232"/>
      <c r="F4" s="233"/>
      <c r="G4" s="233"/>
      <c r="H4" s="234"/>
      <c r="J4" s="235">
        <f>IFERROR(__xludf.DUMMYFUNCTION("IMPORTRANGE(""https://docs.google.com/spreadsheets/d/1XGHyffJQ7KjI292zt5QVK_1XTfEMh_HDpl_2BHAzd4c/edit?gid=1335890585#gid=1335890585"",""MSGLOWFORMEN!H16"")"),8.4E7)</f>
        <v>84000000</v>
      </c>
      <c r="K4" s="228"/>
      <c r="L4" s="226">
        <f>IFERROR(__xludf.DUMMYFUNCTION("IMPORTRANGE(""https://docs.google.com/spreadsheets/d/1XGHyffJQ7KjI292zt5QVK_1XTfEMh_HDpl_2BHAzd4c/edit?gid=1335890585#gid=1335890585"",""MSGLOWFORMEN!H21"")        "),1.0E8)</f>
        <v>100000000</v>
      </c>
      <c r="M4" s="228"/>
      <c r="R4" s="218"/>
      <c r="S4" s="218"/>
      <c r="T4" s="218"/>
      <c r="U4" s="218"/>
    </row>
    <row r="5">
      <c r="A5" s="236">
        <v>2.0</v>
      </c>
      <c r="B5" s="224"/>
      <c r="C5" s="339">
        <v>1.0</v>
      </c>
      <c r="D5" s="215"/>
      <c r="E5" s="237" t="s">
        <v>461</v>
      </c>
      <c r="F5" s="214"/>
      <c r="G5" s="214"/>
      <c r="H5" s="216"/>
      <c r="J5" s="232"/>
      <c r="K5" s="234"/>
      <c r="L5" s="232"/>
      <c r="M5" s="234"/>
      <c r="R5" s="218"/>
      <c r="S5" s="218"/>
      <c r="T5" s="218"/>
      <c r="U5" s="218"/>
    </row>
    <row r="6">
      <c r="A6" s="231"/>
      <c r="B6" s="220"/>
      <c r="C6" s="339">
        <v>2.0</v>
      </c>
      <c r="D6" s="215"/>
      <c r="E6" s="226">
        <f>SUM(R16:U249)</f>
        <v>0</v>
      </c>
      <c r="F6" s="227"/>
      <c r="G6" s="227"/>
      <c r="H6" s="228"/>
      <c r="J6" s="238" t="s">
        <v>462</v>
      </c>
      <c r="K6" s="214"/>
      <c r="L6" s="214"/>
      <c r="M6" s="216"/>
      <c r="R6" s="218"/>
      <c r="S6" s="218"/>
      <c r="T6" s="218"/>
      <c r="U6" s="218"/>
    </row>
    <row r="7">
      <c r="A7" s="236">
        <v>3.0</v>
      </c>
      <c r="B7" s="224"/>
      <c r="C7" s="339">
        <v>1.0</v>
      </c>
      <c r="D7" s="215"/>
      <c r="E7" s="232"/>
      <c r="F7" s="233"/>
      <c r="G7" s="233"/>
      <c r="H7" s="234"/>
      <c r="J7" s="235">
        <f>IFERROR(__xludf.DUMMYFUNCTION("IMPORTRANGE(""https://docs.google.com/spreadsheets/d/1XGHyffJQ7KjI292zt5QVK_1XTfEMh_HDpl_2BHAzd4c/edit?gid=1335890585#gid=1335890585"",""MSGlowforMen!H4"")"),0.0)</f>
        <v>0</v>
      </c>
      <c r="K7" s="228"/>
      <c r="L7" s="226">
        <f>IFERROR(__xludf.DUMMYFUNCTION("IMPORTRANGE(""https://docs.google.com/spreadsheets/d/1XGHyffJQ7KjI292zt5QVK_1XTfEMh_HDpl_2BHAzd4c/edit?gid=1335890585#gid=1335890585"",""MSGlowforMen!K4"")        "),0.0)</f>
        <v>0</v>
      </c>
      <c r="M7" s="228"/>
      <c r="R7" s="218"/>
      <c r="S7" s="218"/>
      <c r="T7" s="218"/>
      <c r="U7" s="218"/>
    </row>
    <row r="8">
      <c r="A8" s="231"/>
      <c r="B8" s="220"/>
      <c r="C8" s="339">
        <v>2.0</v>
      </c>
      <c r="D8" s="215"/>
      <c r="E8" s="239" t="s">
        <v>329</v>
      </c>
      <c r="F8" s="214"/>
      <c r="G8" s="214"/>
      <c r="H8" s="216"/>
      <c r="J8" s="232"/>
      <c r="K8" s="234"/>
      <c r="L8" s="232"/>
      <c r="M8" s="234"/>
      <c r="R8" s="218"/>
      <c r="S8" s="218"/>
      <c r="T8" s="218"/>
      <c r="U8" s="218"/>
    </row>
    <row r="9">
      <c r="A9" s="236">
        <v>4.0</v>
      </c>
      <c r="B9" s="224"/>
      <c r="C9" s="339">
        <v>1.0</v>
      </c>
      <c r="D9" s="215"/>
      <c r="E9" s="240">
        <f>E6/E3</f>
        <v>0</v>
      </c>
      <c r="F9" s="227"/>
      <c r="G9" s="227"/>
      <c r="H9" s="228"/>
      <c r="J9" s="241" t="s">
        <v>463</v>
      </c>
      <c r="K9" s="214"/>
      <c r="L9" s="214"/>
      <c r="M9" s="216"/>
      <c r="R9" s="218"/>
      <c r="S9" s="218"/>
      <c r="T9" s="218"/>
      <c r="U9" s="218"/>
    </row>
    <row r="10">
      <c r="A10" s="231"/>
      <c r="B10" s="220"/>
      <c r="C10" s="339">
        <v>2.0</v>
      </c>
      <c r="D10" s="215"/>
      <c r="E10" s="232"/>
      <c r="F10" s="233"/>
      <c r="G10" s="233"/>
      <c r="H10" s="234"/>
      <c r="J10" s="235">
        <f>J4-J7</f>
        <v>84000000</v>
      </c>
      <c r="K10" s="228"/>
      <c r="L10" s="226">
        <f>L4-L7</f>
        <v>100000000</v>
      </c>
      <c r="M10" s="228"/>
      <c r="R10" s="218"/>
      <c r="S10" s="218"/>
      <c r="T10" s="218"/>
      <c r="U10" s="218"/>
    </row>
    <row r="11">
      <c r="A11" s="236">
        <v>5.0</v>
      </c>
      <c r="B11" s="224"/>
      <c r="C11" s="339">
        <v>1.0</v>
      </c>
      <c r="D11" s="215"/>
      <c r="E11" s="215"/>
      <c r="J11" s="232"/>
      <c r="K11" s="234"/>
      <c r="L11" s="232"/>
      <c r="M11" s="234"/>
      <c r="R11" s="218"/>
      <c r="S11" s="218"/>
      <c r="T11" s="218"/>
      <c r="U11" s="218"/>
    </row>
    <row r="12">
      <c r="A12" s="231"/>
      <c r="B12" s="220"/>
      <c r="C12" s="339">
        <v>2.0</v>
      </c>
      <c r="D12" s="215"/>
      <c r="E12" s="215"/>
      <c r="K12" s="242"/>
      <c r="L12" s="215"/>
      <c r="M12" s="242"/>
      <c r="N12" s="243"/>
      <c r="O12" s="243"/>
      <c r="P12" s="243"/>
      <c r="Q12" s="243"/>
      <c r="R12" s="244"/>
      <c r="S12" s="244"/>
      <c r="T12" s="244"/>
      <c r="U12" s="244"/>
    </row>
    <row r="13">
      <c r="A13" s="245"/>
      <c r="B13" s="245"/>
      <c r="C13" s="12"/>
      <c r="K13" s="12"/>
      <c r="L13" s="243"/>
      <c r="M13" s="243"/>
      <c r="N13" s="243"/>
      <c r="O13" s="243"/>
      <c r="P13" s="243"/>
      <c r="Q13" s="243"/>
      <c r="R13" s="244"/>
      <c r="S13" s="244"/>
      <c r="T13" s="244"/>
      <c r="U13" s="244"/>
    </row>
    <row r="14">
      <c r="A14" s="246"/>
      <c r="B14" s="246"/>
      <c r="C14" s="247"/>
      <c r="D14" s="246"/>
      <c r="E14" s="246"/>
      <c r="F14" s="246"/>
      <c r="G14" s="246"/>
      <c r="H14" s="246"/>
      <c r="I14" s="246"/>
      <c r="J14" s="246"/>
      <c r="K14" s="247"/>
      <c r="L14" s="246"/>
      <c r="M14" s="247"/>
      <c r="N14" s="246"/>
      <c r="O14" s="246"/>
      <c r="P14" s="246"/>
      <c r="Q14" s="246"/>
      <c r="R14" s="248" t="s">
        <v>464</v>
      </c>
      <c r="S14" s="249"/>
      <c r="T14" s="248" t="s">
        <v>465</v>
      </c>
      <c r="U14" s="249"/>
    </row>
    <row r="15">
      <c r="A15" s="250" t="s">
        <v>466</v>
      </c>
      <c r="B15" s="250" t="s">
        <v>467</v>
      </c>
      <c r="C15" s="251" t="s">
        <v>468</v>
      </c>
      <c r="D15" s="252" t="s">
        <v>469</v>
      </c>
      <c r="E15" s="253" t="s">
        <v>470</v>
      </c>
      <c r="F15" s="251" t="s">
        <v>471</v>
      </c>
      <c r="G15" s="332" t="s">
        <v>484</v>
      </c>
      <c r="H15" s="251" t="s">
        <v>457</v>
      </c>
      <c r="I15" s="254" t="s">
        <v>472</v>
      </c>
      <c r="J15" s="251" t="s">
        <v>455</v>
      </c>
      <c r="K15" s="251" t="s">
        <v>473</v>
      </c>
      <c r="L15" s="251" t="s">
        <v>455</v>
      </c>
      <c r="M15" s="251" t="s">
        <v>474</v>
      </c>
      <c r="N15" s="251" t="s">
        <v>455</v>
      </c>
      <c r="O15" s="251" t="s">
        <v>475</v>
      </c>
      <c r="P15" s="251" t="s">
        <v>455</v>
      </c>
      <c r="Q15" s="251" t="s">
        <v>476</v>
      </c>
      <c r="R15" s="248" t="s">
        <v>427</v>
      </c>
      <c r="S15" s="248" t="s">
        <v>477</v>
      </c>
      <c r="T15" s="248" t="s">
        <v>427</v>
      </c>
      <c r="U15" s="248" t="s">
        <v>477</v>
      </c>
    </row>
    <row r="16">
      <c r="A16" s="255" t="str">
        <f>IFERROR(__xludf.DUMMYFUNCTION("QUERY(IMPORTRANGE(""https://docs.google.com/spreadsheets/d/10wdjc5GKQIqHka9D7QGq1b4WkRuVqG0ylA8lw57ns-I/edit?usp=sharing"", ""MSGLOWFORMEN!A3:AB""), ""SELECT Col1, Col2, Col3, Col4, Col5, Col6, Col10, Col11, Col16, Col17, Col18, Col19, Col20, Col21, Col22"&amp;", Col23, Col24, Col25, Col26, Col27, Col28 WHERE Col12 = 'Approved'"")"),"MICRO")</f>
        <v>MICRO</v>
      </c>
      <c r="B16" s="256" t="str">
        <f>IFERROR(__xludf.DUMMYFUNCTION("""COMPUTED_VALUE"""),"toekanktoeroe17")</f>
        <v>toekanktoeroe17</v>
      </c>
      <c r="C16" s="281" t="str">
        <f>IFERROR(__xludf.DUMMYFUNCTION("""COMPUTED_VALUE"""),"https://www.tiktok.com/@toekanktoeroe17")</f>
        <v>https://www.tiktok.com/@toekanktoeroe17</v>
      </c>
      <c r="D16" s="25">
        <f>IFERROR(__xludf.DUMMYFUNCTION("""COMPUTED_VALUE"""),8.3878624464E10)</f>
        <v>83878624464</v>
      </c>
      <c r="E16" s="258" t="str">
        <f>IFERROR(__xludf.DUMMYFUNCTION("""COMPUTED_VALUE"""),"Rp.0")</f>
        <v>Rp.0</v>
      </c>
      <c r="F16" s="25">
        <f>IFERROR(__xludf.DUMMYFUNCTION("""COMPUTED_VALUE"""),3.0)</f>
        <v>3</v>
      </c>
      <c r="G16" s="25" t="str">
        <f>IFERROR(__xludf.DUMMYFUNCTION("""COMPUTED_VALUE"""),"Rp55,9jt")</f>
        <v>Rp55,9jt</v>
      </c>
      <c r="H16" s="259" t="str">
        <f>IFERROR(__xludf.DUMMYFUNCTION("""COMPUTED_VALUE""")," Bright Facial Wash")</f>
        <v> Bright Facial Wash</v>
      </c>
      <c r="I16" s="260" t="str">
        <f>IFERROR(__xludf.DUMMYFUNCTION("""COMPUTED_VALUE"""),"Sampai")</f>
        <v>Sampai</v>
      </c>
      <c r="J16" s="261" t="str">
        <f>IFERROR(__xludf.DUMMYFUNCTION("""COMPUTED_VALUE""")," Concept 1 ")</f>
        <v> Concept 1 </v>
      </c>
      <c r="K16" s="262"/>
      <c r="L16" s="261"/>
      <c r="M16" s="262"/>
      <c r="N16" s="261"/>
      <c r="O16" s="17"/>
      <c r="P16" s="261"/>
      <c r="Q16" s="17"/>
      <c r="R16" s="263"/>
      <c r="S16" s="263"/>
      <c r="T16" s="263"/>
      <c r="U16" s="263"/>
    </row>
    <row r="17">
      <c r="A17" s="255" t="str">
        <f>IFERROR(__xludf.DUMMYFUNCTION("""COMPUTED_VALUE"""),"NANO")</f>
        <v>NANO</v>
      </c>
      <c r="B17" s="256" t="str">
        <f>IFERROR(__xludf.DUMMYFUNCTION("""COMPUTED_VALUE"""),"maksimalkeren_")</f>
        <v>maksimalkeren_</v>
      </c>
      <c r="C17" s="281" t="str">
        <f>IFERROR(__xludf.DUMMYFUNCTION("""COMPUTED_VALUE"""),"https://www.tiktok.com/@maksimalkeren_")</f>
        <v>https://www.tiktok.com/@maksimalkeren_</v>
      </c>
      <c r="D17" s="25">
        <f>IFERROR(__xludf.DUMMYFUNCTION("""COMPUTED_VALUE"""),8.95334834107E11)</f>
        <v>895334834107</v>
      </c>
      <c r="E17" s="258" t="str">
        <f>IFERROR(__xludf.DUMMYFUNCTION("""COMPUTED_VALUE"""),"Rp.0")</f>
        <v>Rp.0</v>
      </c>
      <c r="F17" s="25">
        <f>IFERROR(__xludf.DUMMYFUNCTION("""COMPUTED_VALUE"""),3.0)</f>
        <v>3</v>
      </c>
      <c r="G17" s="25" t="str">
        <f>IFERROR(__xludf.DUMMYFUNCTION("""COMPUTED_VALUE"""),"Rp1JT+ (316)")</f>
        <v>Rp1JT+ (316)</v>
      </c>
      <c r="H17" s="259" t="str">
        <f>IFERROR(__xludf.DUMMYFUNCTION("""COMPUTED_VALUE"""),"Dual Cream")</f>
        <v>Dual Cream</v>
      </c>
      <c r="I17" s="260" t="str">
        <f>IFERROR(__xludf.DUMMYFUNCTION("""COMPUTED_VALUE"""),"Sampai")</f>
        <v>Sampai</v>
      </c>
      <c r="J17" s="261" t="str">
        <f>IFERROR(__xludf.DUMMYFUNCTION("""COMPUTED_VALUE""")," Concept 1")</f>
        <v> Concept 1</v>
      </c>
      <c r="K17" s="262"/>
      <c r="L17" s="261" t="str">
        <f>IFERROR(__xludf.DUMMYFUNCTION("""COMPUTED_VALUE"""),"Concept 2")</f>
        <v>Concept 2</v>
      </c>
      <c r="M17" s="262"/>
      <c r="N17" s="261" t="str">
        <f>IFERROR(__xludf.DUMMYFUNCTION("""COMPUTED_VALUE"""),"Concept 2")</f>
        <v>Concept 2</v>
      </c>
      <c r="O17" s="17"/>
      <c r="P17" s="261"/>
      <c r="Q17" s="17"/>
      <c r="R17" s="264"/>
      <c r="S17" s="265"/>
      <c r="T17" s="266"/>
      <c r="U17" s="266"/>
    </row>
    <row r="18">
      <c r="A18" s="255" t="str">
        <f>IFERROR(__xludf.DUMMYFUNCTION("""COMPUTED_VALUE"""),"NANO")</f>
        <v>NANO</v>
      </c>
      <c r="B18" s="256" t="str">
        <f>IFERROR(__xludf.DUMMYFUNCTION("""COMPUTED_VALUE"""),"alisykrn_")</f>
        <v>alisykrn_</v>
      </c>
      <c r="C18" s="281" t="str">
        <f>IFERROR(__xludf.DUMMYFUNCTION("""COMPUTED_VALUE"""),"https://www.tiktok.com/@alisykrn_")</f>
        <v>https://www.tiktok.com/@alisykrn_</v>
      </c>
      <c r="D18" s="25">
        <f>IFERROR(__xludf.DUMMYFUNCTION("""COMPUTED_VALUE"""),8.5943123521E10)</f>
        <v>85943123521</v>
      </c>
      <c r="E18" s="258" t="str">
        <f>IFERROR(__xludf.DUMMYFUNCTION("""COMPUTED_VALUE"""),"Rp.0")</f>
        <v>Rp.0</v>
      </c>
      <c r="F18" s="25">
        <f>IFERROR(__xludf.DUMMYFUNCTION("""COMPUTED_VALUE"""),3.0)</f>
        <v>3</v>
      </c>
      <c r="G18" s="25" t="str">
        <f>IFERROR(__xludf.DUMMYFUNCTION("""COMPUTED_VALUE"""),"Rp5,9jt")</f>
        <v>Rp5,9jt</v>
      </c>
      <c r="H18" s="259" t="str">
        <f>IFERROR(__xludf.DUMMYFUNCTION("""COMPUTED_VALUE""")," Bright Facial Wash")</f>
        <v> Bright Facial Wash</v>
      </c>
      <c r="I18" s="260" t="str">
        <f>IFERROR(__xludf.DUMMYFUNCTION("""COMPUTED_VALUE"""),"Sampai")</f>
        <v>Sampai</v>
      </c>
      <c r="J18" s="261" t="str">
        <f>IFERROR(__xludf.DUMMYFUNCTION("""COMPUTED_VALUE"""),"Concept 3")</f>
        <v>Concept 3</v>
      </c>
      <c r="K18" s="280" t="str">
        <f>IFERROR(__xludf.DUMMYFUNCTION("""COMPUTED_VALUE"""),"https://vt.tiktok.com/ZSQ6bYf5p/")</f>
        <v>https://vt.tiktok.com/ZSQ6bYf5p/</v>
      </c>
      <c r="L18" s="261" t="str">
        <f>IFERROR(__xludf.DUMMYFUNCTION("""COMPUTED_VALUE"""),"Concept 3")</f>
        <v>Concept 3</v>
      </c>
      <c r="M18" s="278" t="str">
        <f>IFERROR(__xludf.DUMMYFUNCTION("""COMPUTED_VALUE"""),"https://vt.tiktok.com/ZSQ6tpbR1/")</f>
        <v>https://vt.tiktok.com/ZSQ6tpbR1/</v>
      </c>
      <c r="N18" s="261" t="str">
        <f>IFERROR(__xludf.DUMMYFUNCTION("""COMPUTED_VALUE"""),"Concept 3")</f>
        <v>Concept 3</v>
      </c>
      <c r="O18" s="279" t="str">
        <f>IFERROR(__xludf.DUMMYFUNCTION("""COMPUTED_VALUE"""),"https://vt.tiktok.com/ZSQ6ty62P/")</f>
        <v>https://vt.tiktok.com/ZSQ6ty62P/</v>
      </c>
      <c r="P18" s="261"/>
      <c r="Q18" s="17"/>
      <c r="R18" s="264"/>
      <c r="S18" s="265"/>
      <c r="T18" s="266"/>
      <c r="U18" s="266"/>
    </row>
    <row r="19">
      <c r="A19" s="255" t="str">
        <f>IFERROR(__xludf.DUMMYFUNCTION("""COMPUTED_VALUE"""),"NANO")</f>
        <v>NANO</v>
      </c>
      <c r="B19" s="256" t="str">
        <f>IFERROR(__xludf.DUMMYFUNCTION("""COMPUTED_VALUE"""),"malikalter")</f>
        <v>malikalter</v>
      </c>
      <c r="C19" s="281" t="str">
        <f>IFERROR(__xludf.DUMMYFUNCTION("""COMPUTED_VALUE"""),"https://www.tiktok.com/@malikalter")</f>
        <v>https://www.tiktok.com/@malikalter</v>
      </c>
      <c r="D19" s="25">
        <f>IFERROR(__xludf.DUMMYFUNCTION("""COMPUTED_VALUE"""),8.5692409957E10)</f>
        <v>85692409957</v>
      </c>
      <c r="E19" s="258" t="str">
        <f>IFERROR(__xludf.DUMMYFUNCTION("""COMPUTED_VALUE"""),"Rp.0")</f>
        <v>Rp.0</v>
      </c>
      <c r="F19" s="25">
        <f>IFERROR(__xludf.DUMMYFUNCTION("""COMPUTED_VALUE"""),3.0)</f>
        <v>3</v>
      </c>
      <c r="G19" s="25" t="str">
        <f>IFERROR(__xludf.DUMMYFUNCTION("""COMPUTED_VALUE"""),"Rp36jt")</f>
        <v>Rp36jt</v>
      </c>
      <c r="H19" s="259" t="str">
        <f>IFERROR(__xludf.DUMMYFUNCTION("""COMPUTED_VALUE""")," Bright Facial Wash")</f>
        <v> Bright Facial Wash</v>
      </c>
      <c r="I19" s="260" t="str">
        <f>IFERROR(__xludf.DUMMYFUNCTION("""COMPUTED_VALUE"""),"Sampai")</f>
        <v>Sampai</v>
      </c>
      <c r="J19" s="261"/>
      <c r="K19" s="262"/>
      <c r="L19" s="261"/>
      <c r="M19" s="262"/>
      <c r="N19" s="261"/>
      <c r="O19" s="17"/>
      <c r="P19" s="261"/>
      <c r="Q19" s="17"/>
      <c r="R19" s="264"/>
      <c r="S19" s="265"/>
      <c r="T19" s="266"/>
      <c r="U19" s="266"/>
    </row>
    <row r="20">
      <c r="A20" s="255" t="str">
        <f>IFERROR(__xludf.DUMMYFUNCTION("""COMPUTED_VALUE"""),"NANO")</f>
        <v>NANO</v>
      </c>
      <c r="B20" s="256" t="str">
        <f>IFERROR(__xludf.DUMMYFUNCTION("""COMPUTED_VALUE"""),"llaavieenbluu")</f>
        <v>llaavieenbluu</v>
      </c>
      <c r="C20" s="281" t="str">
        <f>IFERROR(__xludf.DUMMYFUNCTION("""COMPUTED_VALUE"""),"https://www.tiktok.com/@llaavieenbluu")</f>
        <v>https://www.tiktok.com/@llaavieenbluu</v>
      </c>
      <c r="D20" s="25">
        <f>IFERROR(__xludf.DUMMYFUNCTION("""COMPUTED_VALUE"""),8.1572861649E10)</f>
        <v>81572861649</v>
      </c>
      <c r="E20" s="258" t="str">
        <f>IFERROR(__xludf.DUMMYFUNCTION("""COMPUTED_VALUE"""),"Rp.0")</f>
        <v>Rp.0</v>
      </c>
      <c r="F20" s="25">
        <f>IFERROR(__xludf.DUMMYFUNCTION("""COMPUTED_VALUE"""),3.0)</f>
        <v>3</v>
      </c>
      <c r="G20" s="25" t="str">
        <f>IFERROR(__xludf.DUMMYFUNCTION("""COMPUTED_VALUE"""),"Rp40,4jt")</f>
        <v>Rp40,4jt</v>
      </c>
      <c r="H20" s="259" t="str">
        <f>IFERROR(__xludf.DUMMYFUNCTION("""COMPUTED_VALUE"""),"Dual Cream")</f>
        <v>Dual Cream</v>
      </c>
      <c r="I20" s="260" t="str">
        <f>IFERROR(__xludf.DUMMYFUNCTION("""COMPUTED_VALUE"""),"Sampai")</f>
        <v>Sampai</v>
      </c>
      <c r="J20" s="261"/>
      <c r="K20" s="262"/>
      <c r="L20" s="261"/>
      <c r="M20" s="262"/>
      <c r="N20" s="261"/>
      <c r="O20" s="17"/>
      <c r="P20" s="261"/>
      <c r="Q20" s="17"/>
      <c r="R20" s="264"/>
      <c r="S20" s="265"/>
      <c r="T20" s="266"/>
      <c r="U20" s="266"/>
    </row>
    <row r="21">
      <c r="A21" s="255" t="str">
        <f>IFERROR(__xludf.DUMMYFUNCTION("""COMPUTED_VALUE"""),"NANO")</f>
        <v>NANO</v>
      </c>
      <c r="B21" s="256" t="str">
        <f>IFERROR(__xludf.DUMMYFUNCTION("""COMPUTED_VALUE"""),"nkkyoo_17")</f>
        <v>nkkyoo_17</v>
      </c>
      <c r="C21" s="281" t="str">
        <f>IFERROR(__xludf.DUMMYFUNCTION("""COMPUTED_VALUE"""),"https://www.tiktok.com/@nkkyoo_17")</f>
        <v>https://www.tiktok.com/@nkkyoo_17</v>
      </c>
      <c r="D21" s="25">
        <f>IFERROR(__xludf.DUMMYFUNCTION("""COMPUTED_VALUE"""),8.5749434597E10)</f>
        <v>85749434597</v>
      </c>
      <c r="E21" s="258" t="str">
        <f>IFERROR(__xludf.DUMMYFUNCTION("""COMPUTED_VALUE"""),"Rp.0")</f>
        <v>Rp.0</v>
      </c>
      <c r="F21" s="25">
        <f>IFERROR(__xludf.DUMMYFUNCTION("""COMPUTED_VALUE"""),3.0)</f>
        <v>3</v>
      </c>
      <c r="G21" s="25" t="str">
        <f>IFERROR(__xludf.DUMMYFUNCTION("""COMPUTED_VALUE"""),"Rp150,9jt")</f>
        <v>Rp150,9jt</v>
      </c>
      <c r="H21" s="259" t="str">
        <f>IFERROR(__xludf.DUMMYFUNCTION("""COMPUTED_VALUE""")," Bright Facial Wash")</f>
        <v> Bright Facial Wash</v>
      </c>
      <c r="I21" s="260" t="str">
        <f>IFERROR(__xludf.DUMMYFUNCTION("""COMPUTED_VALUE"""),"Sampai")</f>
        <v>Sampai</v>
      </c>
      <c r="J21" s="261"/>
      <c r="K21" s="267"/>
      <c r="L21" s="261"/>
      <c r="M21" s="262"/>
      <c r="N21" s="261"/>
      <c r="O21" s="17"/>
      <c r="P21" s="261"/>
      <c r="Q21" s="17"/>
      <c r="R21" s="264"/>
      <c r="S21" s="265"/>
      <c r="T21" s="266"/>
      <c r="U21" s="266"/>
    </row>
    <row r="22">
      <c r="A22" s="255" t="str">
        <f>IFERROR(__xludf.DUMMYFUNCTION("""COMPUTED_VALUE"""),"MICRO")</f>
        <v>MICRO</v>
      </c>
      <c r="B22" s="256" t="str">
        <f>IFERROR(__xludf.DUMMYFUNCTION("""COMPUTED_VALUE"""),"cakmanofficialll")</f>
        <v>cakmanofficialll</v>
      </c>
      <c r="C22" s="281" t="str">
        <f>IFERROR(__xludf.DUMMYFUNCTION("""COMPUTED_VALUE"""),"https://www.tiktok.com/@cakmanofficialll")</f>
        <v>https://www.tiktok.com/@cakmanofficialll</v>
      </c>
      <c r="D22" s="25">
        <f>IFERROR(__xludf.DUMMYFUNCTION("""COMPUTED_VALUE"""),8.7867622889E10)</f>
        <v>87867622889</v>
      </c>
      <c r="E22" s="258" t="str">
        <f>IFERROR(__xludf.DUMMYFUNCTION("""COMPUTED_VALUE"""),"Rp.0")</f>
        <v>Rp.0</v>
      </c>
      <c r="F22" s="25">
        <f>IFERROR(__xludf.DUMMYFUNCTION("""COMPUTED_VALUE"""),3.0)</f>
        <v>3</v>
      </c>
      <c r="G22" s="25" t="str">
        <f>IFERROR(__xludf.DUMMYFUNCTION("""COMPUTED_VALUE"""),"Rp8,6jt")</f>
        <v>Rp8,6jt</v>
      </c>
      <c r="H22" s="259" t="str">
        <f>IFERROR(__xludf.DUMMYFUNCTION("""COMPUTED_VALUE"""),"Dual Cream")</f>
        <v>Dual Cream</v>
      </c>
      <c r="I22" s="260" t="str">
        <f>IFERROR(__xludf.DUMMYFUNCTION("""COMPUTED_VALUE"""),"Sampai")</f>
        <v>Sampai</v>
      </c>
      <c r="J22" s="261"/>
      <c r="K22" s="262"/>
      <c r="L22" s="261"/>
      <c r="M22" s="262"/>
      <c r="N22" s="261"/>
      <c r="O22" s="17"/>
      <c r="P22" s="261"/>
      <c r="Q22" s="17"/>
      <c r="R22" s="264"/>
      <c r="S22" s="265"/>
      <c r="T22" s="266"/>
      <c r="U22" s="266"/>
    </row>
    <row r="23">
      <c r="A23" s="255" t="str">
        <f>IFERROR(__xludf.DUMMYFUNCTION("""COMPUTED_VALUE"""),"NANO")</f>
        <v>NANO</v>
      </c>
      <c r="B23" s="256" t="str">
        <f>IFERROR(__xludf.DUMMYFUNCTION("""COMPUTED_VALUE"""),"masss.raden22")</f>
        <v>masss.raden22</v>
      </c>
      <c r="C23" s="281" t="str">
        <f>IFERROR(__xludf.DUMMYFUNCTION("""COMPUTED_VALUE"""),"https://www.tiktok.com/@masss.raden22")</f>
        <v>https://www.tiktok.com/@masss.raden22</v>
      </c>
      <c r="D23" s="25">
        <f>IFERROR(__xludf.DUMMYFUNCTION("""COMPUTED_VALUE"""),8.2131589334E10)</f>
        <v>82131589334</v>
      </c>
      <c r="E23" s="258" t="str">
        <f>IFERROR(__xludf.DUMMYFUNCTION("""COMPUTED_VALUE"""),"Rp.0")</f>
        <v>Rp.0</v>
      </c>
      <c r="F23" s="25">
        <f>IFERROR(__xludf.DUMMYFUNCTION("""COMPUTED_VALUE"""),3.0)</f>
        <v>3</v>
      </c>
      <c r="G23" s="25" t="str">
        <f>IFERROR(__xludf.DUMMYFUNCTION("""COMPUTED_VALUE"""),"Rp81,4jt")</f>
        <v>Rp81,4jt</v>
      </c>
      <c r="H23" s="259" t="str">
        <f>IFERROR(__xludf.DUMMYFUNCTION("""COMPUTED_VALUE"""),"Dual Cream")</f>
        <v>Dual Cream</v>
      </c>
      <c r="I23" s="260" t="str">
        <f>IFERROR(__xludf.DUMMYFUNCTION("""COMPUTED_VALUE"""),"Sampai")</f>
        <v>Sampai</v>
      </c>
      <c r="J23" s="261"/>
      <c r="K23" s="267"/>
      <c r="L23" s="261"/>
      <c r="M23" s="262"/>
      <c r="N23" s="261"/>
      <c r="O23" s="17"/>
      <c r="P23" s="261"/>
      <c r="Q23" s="17"/>
      <c r="R23" s="264"/>
      <c r="S23" s="265"/>
      <c r="T23" s="266"/>
      <c r="U23" s="266"/>
    </row>
    <row r="24">
      <c r="A24" s="255" t="str">
        <f>IFERROR(__xludf.DUMMYFUNCTION("""COMPUTED_VALUE"""),"NANO")</f>
        <v>NANO</v>
      </c>
      <c r="B24" s="23" t="str">
        <f>IFERROR(__xludf.DUMMYFUNCTION("""COMPUTED_VALUE"""),"ryzexin2")</f>
        <v>ryzexin2</v>
      </c>
      <c r="C24" s="281" t="str">
        <f>IFERROR(__xludf.DUMMYFUNCTION("""COMPUTED_VALUE"""),"https://www.tiktok.com/@ryzexin2")</f>
        <v>https://www.tiktok.com/@ryzexin2</v>
      </c>
      <c r="D24" s="25">
        <f>IFERROR(__xludf.DUMMYFUNCTION("""COMPUTED_VALUE"""),8.5235190415E10)</f>
        <v>85235190415</v>
      </c>
      <c r="E24" s="258" t="str">
        <f>IFERROR(__xludf.DUMMYFUNCTION("""COMPUTED_VALUE"""),"Rp.0")</f>
        <v>Rp.0</v>
      </c>
      <c r="F24" s="25">
        <f>IFERROR(__xludf.DUMMYFUNCTION("""COMPUTED_VALUE"""),3.0)</f>
        <v>3</v>
      </c>
      <c r="G24" s="25" t="str">
        <f>IFERROR(__xludf.DUMMYFUNCTION("""COMPUTED_VALUE"""),"Rp22,6jt")</f>
        <v>Rp22,6jt</v>
      </c>
      <c r="H24" s="259" t="str">
        <f>IFERROR(__xludf.DUMMYFUNCTION("""COMPUTED_VALUE""")," Bright Facial Wash")</f>
        <v> Bright Facial Wash</v>
      </c>
      <c r="I24" s="260" t="str">
        <f>IFERROR(__xludf.DUMMYFUNCTION("""COMPUTED_VALUE"""),"Sampai")</f>
        <v>Sampai</v>
      </c>
      <c r="J24" s="261" t="str">
        <f>IFERROR(__xludf.DUMMYFUNCTION("""COMPUTED_VALUE"""),"Concept 3")</f>
        <v>Concept 3</v>
      </c>
      <c r="K24" s="280" t="str">
        <f>IFERROR(__xludf.DUMMYFUNCTION("""COMPUTED_VALUE"""),"https://vt.tiktok.com/ZSQMeMn6e/")</f>
        <v>https://vt.tiktok.com/ZSQMeMn6e/</v>
      </c>
      <c r="L24" s="261" t="str">
        <f>IFERROR(__xludf.DUMMYFUNCTION("""COMPUTED_VALUE"""),"Concept 3")</f>
        <v>Concept 3</v>
      </c>
      <c r="M24" s="278" t="str">
        <f>IFERROR(__xludf.DUMMYFUNCTION("""COMPUTED_VALUE"""),"https://vt.tiktok.com/ZSQMeMn6e/")</f>
        <v>https://vt.tiktok.com/ZSQMeMn6e/</v>
      </c>
      <c r="N24" s="261"/>
      <c r="O24" s="17"/>
      <c r="P24" s="261"/>
      <c r="Q24" s="17"/>
      <c r="R24" s="264"/>
      <c r="S24" s="265"/>
      <c r="T24" s="266"/>
      <c r="U24" s="266"/>
    </row>
    <row r="25">
      <c r="A25" s="255" t="str">
        <f>IFERROR(__xludf.DUMMYFUNCTION("""COMPUTED_VALUE"""),"NANO")</f>
        <v>NANO</v>
      </c>
      <c r="B25" s="23" t="str">
        <f>IFERROR(__xludf.DUMMYFUNCTION("""COMPUTED_VALUE"""),"nanang1710_")</f>
        <v>nanang1710_</v>
      </c>
      <c r="C25" s="281" t="str">
        <f>IFERROR(__xludf.DUMMYFUNCTION("""COMPUTED_VALUE"""),"https://www.tiktok.com/@nanang1710_")</f>
        <v>https://www.tiktok.com/@nanang1710_</v>
      </c>
      <c r="D25" s="25">
        <f>IFERROR(__xludf.DUMMYFUNCTION("""COMPUTED_VALUE"""),8.5947362392E10)</f>
        <v>85947362392</v>
      </c>
      <c r="E25" s="258" t="str">
        <f>IFERROR(__xludf.DUMMYFUNCTION("""COMPUTED_VALUE"""),"Rp.0")</f>
        <v>Rp.0</v>
      </c>
      <c r="F25" s="25">
        <f>IFERROR(__xludf.DUMMYFUNCTION("""COMPUTED_VALUE"""),3.0)</f>
        <v>3</v>
      </c>
      <c r="G25" s="25" t="str">
        <f>IFERROR(__xludf.DUMMYFUNCTION("""COMPUTED_VALUE"""),"Rp104jt")</f>
        <v>Rp104jt</v>
      </c>
      <c r="H25" s="259" t="str">
        <f>IFERROR(__xludf.DUMMYFUNCTION("""COMPUTED_VALUE""")," Bright Facial Wash")</f>
        <v> Bright Facial Wash</v>
      </c>
      <c r="I25" s="260" t="str">
        <f>IFERROR(__xludf.DUMMYFUNCTION("""COMPUTED_VALUE"""),"Sampai")</f>
        <v>Sampai</v>
      </c>
      <c r="J25" s="261" t="str">
        <f>IFERROR(__xludf.DUMMYFUNCTION("""COMPUTED_VALUE"""),"Concept 3")</f>
        <v>Concept 3</v>
      </c>
      <c r="K25" s="278" t="str">
        <f>IFERROR(__xludf.DUMMYFUNCTION("""COMPUTED_VALUE"""),"https://vt.tiktok.com/ZSQ6QHJ6A/")</f>
        <v>https://vt.tiktok.com/ZSQ6QHJ6A/</v>
      </c>
      <c r="L25" s="261" t="str">
        <f>IFERROR(__xludf.DUMMYFUNCTION("""COMPUTED_VALUE"""),"Concept 3")</f>
        <v>Concept 3</v>
      </c>
      <c r="M25" s="278" t="str">
        <f>IFERROR(__xludf.DUMMYFUNCTION("""COMPUTED_VALUE"""),"https://vt.tiktok.com/ZSQ6t8kMT/")</f>
        <v>https://vt.tiktok.com/ZSQ6t8kMT/</v>
      </c>
      <c r="N25" s="261"/>
      <c r="O25" s="17"/>
      <c r="P25" s="261"/>
      <c r="Q25" s="17"/>
      <c r="R25" s="264"/>
      <c r="S25" s="265"/>
      <c r="T25" s="266"/>
      <c r="U25" s="266"/>
    </row>
    <row r="26">
      <c r="A26" s="255" t="str">
        <f>IFERROR(__xludf.DUMMYFUNCTION("""COMPUTED_VALUE"""),"MICRO")</f>
        <v>MICRO</v>
      </c>
      <c r="B26" s="23" t="str">
        <f>IFERROR(__xludf.DUMMYFUNCTION("""COMPUTED_VALUE"""),"irvan_adityaa")</f>
        <v>irvan_adityaa</v>
      </c>
      <c r="C26" s="281" t="str">
        <f>IFERROR(__xludf.DUMMYFUNCTION("""COMPUTED_VALUE"""),"https://www.tiktok.com/@irvan_adityaa")</f>
        <v>https://www.tiktok.com/@irvan_adityaa</v>
      </c>
      <c r="D26" s="25">
        <f>IFERROR(__xludf.DUMMYFUNCTION("""COMPUTED_VALUE"""),8.81036677666E11)</f>
        <v>881036677666</v>
      </c>
      <c r="E26" s="258" t="str">
        <f>IFERROR(__xludf.DUMMYFUNCTION("""COMPUTED_VALUE"""),"Rp.0")</f>
        <v>Rp.0</v>
      </c>
      <c r="F26" s="25">
        <f>IFERROR(__xludf.DUMMYFUNCTION("""COMPUTED_VALUE"""),3.0)</f>
        <v>3</v>
      </c>
      <c r="G26" s="25" t="str">
        <f>IFERROR(__xludf.DUMMYFUNCTION("""COMPUTED_VALUE"""),"Rp147,3jt")</f>
        <v>Rp147,3jt</v>
      </c>
      <c r="H26" s="259" t="str">
        <f>IFERROR(__xludf.DUMMYFUNCTION("""COMPUTED_VALUE"""),"Dual Cream")</f>
        <v>Dual Cream</v>
      </c>
      <c r="I26" s="260" t="str">
        <f>IFERROR(__xludf.DUMMYFUNCTION("""COMPUTED_VALUE"""),"Sampai")</f>
        <v>Sampai</v>
      </c>
      <c r="J26" s="261" t="str">
        <f>IFERROR(__xludf.DUMMYFUNCTION("""COMPUTED_VALUE""")," Concept 1")</f>
        <v> Concept 1</v>
      </c>
      <c r="K26" s="278" t="str">
        <f>IFERROR(__xludf.DUMMYFUNCTION("""COMPUTED_VALUE"""),"https://vt.tiktok.com/ZSQ6uuDRp/")</f>
        <v>https://vt.tiktok.com/ZSQ6uuDRp/</v>
      </c>
      <c r="L26" s="261" t="str">
        <f>IFERROR(__xludf.DUMMYFUNCTION("""COMPUTED_VALUE""")," Concept 1")</f>
        <v> Concept 1</v>
      </c>
      <c r="M26" s="278" t="str">
        <f>IFERROR(__xludf.DUMMYFUNCTION("""COMPUTED_VALUE"""),"https://vt.tiktok.com/ZSQ6ufQ4K/")</f>
        <v>https://vt.tiktok.com/ZSQ6ufQ4K/</v>
      </c>
      <c r="N26" s="261" t="str">
        <f>IFERROR(__xludf.DUMMYFUNCTION("""COMPUTED_VALUE""")," Concept 1")</f>
        <v> Concept 1</v>
      </c>
      <c r="O26" s="279" t="str">
        <f>IFERROR(__xludf.DUMMYFUNCTION("""COMPUTED_VALUE"""),"https://vt.tiktok.com/ZSQ6ukbCM/")</f>
        <v>https://vt.tiktok.com/ZSQ6ukbCM/</v>
      </c>
      <c r="P26" s="261" t="str">
        <f>IFERROR(__xludf.DUMMYFUNCTION("""COMPUTED_VALUE""")," Concept 1")</f>
        <v> Concept 1</v>
      </c>
      <c r="Q26" s="279" t="str">
        <f>IFERROR(__xludf.DUMMYFUNCTION("""COMPUTED_VALUE"""),"https://vt.tiktok.com/ZSQ6urd6M/")</f>
        <v>https://vt.tiktok.com/ZSQ6urd6M/</v>
      </c>
      <c r="R26" s="264"/>
      <c r="S26" s="265"/>
      <c r="T26" s="266"/>
      <c r="U26" s="266"/>
    </row>
    <row r="27">
      <c r="A27" s="255" t="str">
        <f>IFERROR(__xludf.DUMMYFUNCTION("""COMPUTED_VALUE"""),"MICRO")</f>
        <v>MICRO</v>
      </c>
      <c r="B27" s="23" t="str">
        <f>IFERROR(__xludf.DUMMYFUNCTION("""COMPUTED_VALUE"""),"alimustofa567")</f>
        <v>alimustofa567</v>
      </c>
      <c r="C27" s="281" t="str">
        <f>IFERROR(__xludf.DUMMYFUNCTION("""COMPUTED_VALUE"""),"https://www.tiktok.com/@alimustofa567")</f>
        <v>https://www.tiktok.com/@alimustofa567</v>
      </c>
      <c r="D27" s="25">
        <f>IFERROR(__xludf.DUMMYFUNCTION("""COMPUTED_VALUE"""),8.786248206E10)</f>
        <v>87862482060</v>
      </c>
      <c r="E27" s="269" t="str">
        <f>IFERROR(__xludf.DUMMYFUNCTION("""COMPUTED_VALUE"""),"Rp.0")</f>
        <v>Rp.0</v>
      </c>
      <c r="F27" s="25">
        <f>IFERROR(__xludf.DUMMYFUNCTION("""COMPUTED_VALUE"""),3.0)</f>
        <v>3</v>
      </c>
      <c r="G27" s="25" t="str">
        <f>IFERROR(__xludf.DUMMYFUNCTION("""COMPUTED_VALUE"""),"Rp184,8jt")</f>
        <v>Rp184,8jt</v>
      </c>
      <c r="H27" s="259" t="str">
        <f>IFERROR(__xludf.DUMMYFUNCTION("""COMPUTED_VALUE"""),"Dual Cream")</f>
        <v>Dual Cream</v>
      </c>
      <c r="I27" s="260" t="str">
        <f>IFERROR(__xludf.DUMMYFUNCTION("""COMPUTED_VALUE"""),"Sampai")</f>
        <v>Sampai</v>
      </c>
      <c r="J27" s="261" t="str">
        <f>IFERROR(__xludf.DUMMYFUNCTION("""COMPUTED_VALUE""")," Concept 1")</f>
        <v> Concept 1</v>
      </c>
      <c r="K27" s="278" t="str">
        <f>IFERROR(__xludf.DUMMYFUNCTION("""COMPUTED_VALUE"""),"https://vt.tiktok.com/ZSQYybMGF/")</f>
        <v>https://vt.tiktok.com/ZSQYybMGF/</v>
      </c>
      <c r="L27" s="261" t="str">
        <f>IFERROR(__xludf.DUMMYFUNCTION("""COMPUTED_VALUE""")," Concept 1")</f>
        <v> Concept 1</v>
      </c>
      <c r="M27" s="278" t="str">
        <f>IFERROR(__xludf.DUMMYFUNCTION("""COMPUTED_VALUE"""),"https://vt.tiktok.com/ZSQYfwKsY/")</f>
        <v>https://vt.tiktok.com/ZSQYfwKsY/</v>
      </c>
      <c r="N27" s="261" t="str">
        <f>IFERROR(__xludf.DUMMYFUNCTION("""COMPUTED_VALUE""")," Concept 1")</f>
        <v> Concept 1</v>
      </c>
      <c r="O27" s="279" t="str">
        <f>IFERROR(__xludf.DUMMYFUNCTION("""COMPUTED_VALUE"""),"https://vt.tiktok.com/ZSQ67VYRs/")</f>
        <v>https://vt.tiktok.com/ZSQ67VYRs/</v>
      </c>
      <c r="P27" s="261" t="str">
        <f>IFERROR(__xludf.DUMMYFUNCTION("""COMPUTED_VALUE""")," Concept 1")</f>
        <v> Concept 1</v>
      </c>
      <c r="Q27" s="279" t="str">
        <f>IFERROR(__xludf.DUMMYFUNCTION("""COMPUTED_VALUE"""),"https://vt.tiktok.com/ZSQh4Af2u/")</f>
        <v>https://vt.tiktok.com/ZSQh4Af2u/</v>
      </c>
      <c r="R27" s="264"/>
      <c r="S27" s="265"/>
      <c r="T27" s="266"/>
      <c r="U27" s="266"/>
    </row>
    <row r="28">
      <c r="A28" s="255" t="str">
        <f>IFERROR(__xludf.DUMMYFUNCTION("""COMPUTED_VALUE"""),"NANO")</f>
        <v>NANO</v>
      </c>
      <c r="B28" s="23" t="str">
        <f>IFERROR(__xludf.DUMMYFUNCTION("""COMPUTED_VALUE"""),"jujun2.7")</f>
        <v>jujun2.7</v>
      </c>
      <c r="C28" s="281" t="str">
        <f>IFERROR(__xludf.DUMMYFUNCTION("""COMPUTED_VALUE"""),"https://www.tiktok.com/@jujun2.7")</f>
        <v>https://www.tiktok.com/@jujun2.7</v>
      </c>
      <c r="D28" s="25">
        <f>IFERROR(__xludf.DUMMYFUNCTION("""COMPUTED_VALUE"""),8.5882045016E10)</f>
        <v>85882045016</v>
      </c>
      <c r="E28" s="258" t="str">
        <f>IFERROR(__xludf.DUMMYFUNCTION("""COMPUTED_VALUE"""),"Rp.0")</f>
        <v>Rp.0</v>
      </c>
      <c r="F28" s="25">
        <f>IFERROR(__xludf.DUMMYFUNCTION("""COMPUTED_VALUE"""),3.0)</f>
        <v>3</v>
      </c>
      <c r="G28" s="25" t="str">
        <f>IFERROR(__xludf.DUMMYFUNCTION("""COMPUTED_VALUE"""),"Rp41,6jt")</f>
        <v>Rp41,6jt</v>
      </c>
      <c r="H28" s="259" t="str">
        <f>IFERROR(__xludf.DUMMYFUNCTION("""COMPUTED_VALUE"""),"Dual Cream")</f>
        <v>Dual Cream</v>
      </c>
      <c r="I28" s="260" t="str">
        <f>IFERROR(__xludf.DUMMYFUNCTION("""COMPUTED_VALUE"""),"Sampai")</f>
        <v>Sampai</v>
      </c>
      <c r="J28" s="261" t="str">
        <f>IFERROR(__xludf.DUMMYFUNCTION("""COMPUTED_VALUE""")," Concept 1")</f>
        <v> Concept 1</v>
      </c>
      <c r="K28" s="278" t="str">
        <f>IFERROR(__xludf.DUMMYFUNCTION("""COMPUTED_VALUE"""),"https://vt.tiktok.com/ZSQ27rNEA/")</f>
        <v>https://vt.tiktok.com/ZSQ27rNEA/</v>
      </c>
      <c r="L28" s="261" t="str">
        <f>IFERROR(__xludf.DUMMYFUNCTION("""COMPUTED_VALUE""")," Concept 1")</f>
        <v> Concept 1</v>
      </c>
      <c r="M28" s="278" t="str">
        <f>IFERROR(__xludf.DUMMYFUNCTION("""COMPUTED_VALUE"""),"https://vt.tiktok.com/ZSQMKmChx/")</f>
        <v>https://vt.tiktok.com/ZSQMKmChx/</v>
      </c>
      <c r="N28" s="261"/>
      <c r="O28" s="17"/>
      <c r="P28" s="261"/>
      <c r="Q28" s="17"/>
      <c r="R28" s="264"/>
      <c r="S28" s="265"/>
      <c r="T28" s="266"/>
      <c r="U28" s="266"/>
    </row>
    <row r="29">
      <c r="A29" s="255" t="str">
        <f>IFERROR(__xludf.DUMMYFUNCTION("""COMPUTED_VALUE"""),"NANO")</f>
        <v>NANO</v>
      </c>
      <c r="B29" s="23" t="str">
        <f>IFERROR(__xludf.DUMMYFUNCTION("""COMPUTED_VALUE"""),"samjoe960")</f>
        <v>samjoe960</v>
      </c>
      <c r="C29" s="281" t="str">
        <f>IFERROR(__xludf.DUMMYFUNCTION("""COMPUTED_VALUE"""),"https://www.tiktok.com/@samjoe960")</f>
        <v>https://www.tiktok.com/@samjoe960</v>
      </c>
      <c r="D29" s="25">
        <f>IFERROR(__xludf.DUMMYFUNCTION("""COMPUTED_VALUE"""),8.1510182301E10)</f>
        <v>81510182301</v>
      </c>
      <c r="E29" s="258" t="str">
        <f>IFERROR(__xludf.DUMMYFUNCTION("""COMPUTED_VALUE"""),"Rp.0")</f>
        <v>Rp.0</v>
      </c>
      <c r="F29" s="25">
        <f>IFERROR(__xludf.DUMMYFUNCTION("""COMPUTED_VALUE"""),3.0)</f>
        <v>3</v>
      </c>
      <c r="G29" s="25" t="str">
        <f>IFERROR(__xludf.DUMMYFUNCTION("""COMPUTED_VALUE"""),"Rp4,6jt")</f>
        <v>Rp4,6jt</v>
      </c>
      <c r="H29" s="259" t="str">
        <f>IFERROR(__xludf.DUMMYFUNCTION("""COMPUTED_VALUE""")," Bright Facial Wash")</f>
        <v> Bright Facial Wash</v>
      </c>
      <c r="I29" s="260" t="str">
        <f>IFERROR(__xludf.DUMMYFUNCTION("""COMPUTED_VALUE"""),"Sampai")</f>
        <v>Sampai</v>
      </c>
      <c r="J29" s="261" t="str">
        <f>IFERROR(__xludf.DUMMYFUNCTION("""COMPUTED_VALUE"""),"Concept 3")</f>
        <v>Concept 3</v>
      </c>
      <c r="K29" s="262"/>
      <c r="L29" s="261"/>
      <c r="M29" s="262"/>
      <c r="N29" s="261"/>
      <c r="O29" s="17"/>
      <c r="P29" s="261"/>
      <c r="Q29" s="17"/>
      <c r="R29" s="264"/>
      <c r="S29" s="265"/>
      <c r="T29" s="266"/>
      <c r="U29" s="266"/>
    </row>
    <row r="30">
      <c r="A30" s="255" t="str">
        <f>IFERROR(__xludf.DUMMYFUNCTION("""COMPUTED_VALUE"""),"NANO")</f>
        <v>NANO</v>
      </c>
      <c r="B30" s="256" t="str">
        <f>IFERROR(__xludf.DUMMYFUNCTION("""COMPUTED_VALUE"""),"jangudy")</f>
        <v>jangudy</v>
      </c>
      <c r="C30" s="281" t="str">
        <f>IFERROR(__xludf.DUMMYFUNCTION("""COMPUTED_VALUE"""),"https://www.tiktok.com/@jangudy")</f>
        <v>https://www.tiktok.com/@jangudy</v>
      </c>
      <c r="D30" s="25">
        <f>IFERROR(__xludf.DUMMYFUNCTION("""COMPUTED_VALUE"""),8.95329948192E11)</f>
        <v>895329948192</v>
      </c>
      <c r="E30" s="258" t="str">
        <f>IFERROR(__xludf.DUMMYFUNCTION("""COMPUTED_VALUE"""),"Rp.0")</f>
        <v>Rp.0</v>
      </c>
      <c r="F30" s="25">
        <f>IFERROR(__xludf.DUMMYFUNCTION("""COMPUTED_VALUE"""),3.0)</f>
        <v>3</v>
      </c>
      <c r="G30" s="25" t="str">
        <f>IFERROR(__xludf.DUMMYFUNCTION("""COMPUTED_VALUE"""),"Rp38,9jt")</f>
        <v>Rp38,9jt</v>
      </c>
      <c r="H30" s="259" t="str">
        <f>IFERROR(__xludf.DUMMYFUNCTION("""COMPUTED_VALUE"""),"Dual Cream")</f>
        <v>Dual Cream</v>
      </c>
      <c r="I30" s="260" t="str">
        <f>IFERROR(__xludf.DUMMYFUNCTION("""COMPUTED_VALUE"""),"Sampai")</f>
        <v>Sampai</v>
      </c>
      <c r="J30" s="261" t="str">
        <f>IFERROR(__xludf.DUMMYFUNCTION("""COMPUTED_VALUE"""),"Concept 3")</f>
        <v>Concept 3</v>
      </c>
      <c r="K30" s="262"/>
      <c r="L30" s="261"/>
      <c r="M30" s="262"/>
      <c r="N30" s="261"/>
      <c r="O30" s="17"/>
      <c r="P30" s="261"/>
      <c r="Q30" s="17"/>
      <c r="R30" s="264"/>
      <c r="S30" s="265"/>
      <c r="T30" s="266"/>
      <c r="U30" s="266"/>
    </row>
    <row r="31">
      <c r="A31" s="255" t="str">
        <f>IFERROR(__xludf.DUMMYFUNCTION("""COMPUTED_VALUE"""),"NANO")</f>
        <v>NANO</v>
      </c>
      <c r="B31" s="257" t="str">
        <f>IFERROR(__xludf.DUMMYFUNCTION("""COMPUTED_VALUE"""),"mas.bozes.id")</f>
        <v>mas.bozes.id</v>
      </c>
      <c r="C31" s="281" t="str">
        <f>IFERROR(__xludf.DUMMYFUNCTION("""COMPUTED_VALUE"""),"https://www.tiktok.com/@mas.bozes.id")</f>
        <v>https://www.tiktok.com/@mas.bozes.id</v>
      </c>
      <c r="D31" s="25">
        <f>IFERROR(__xludf.DUMMYFUNCTION("""COMPUTED_VALUE"""),8.3839732115E10)</f>
        <v>83839732115</v>
      </c>
      <c r="E31" s="269" t="str">
        <f>IFERROR(__xludf.DUMMYFUNCTION("""COMPUTED_VALUE"""),"Rp.0")</f>
        <v>Rp.0</v>
      </c>
      <c r="F31" s="25">
        <f>IFERROR(__xludf.DUMMYFUNCTION("""COMPUTED_VALUE"""),3.0)</f>
        <v>3</v>
      </c>
      <c r="G31" s="25" t="str">
        <f>IFERROR(__xludf.DUMMYFUNCTION("""COMPUTED_VALUE"""),"Rp12,5jt")</f>
        <v>Rp12,5jt</v>
      </c>
      <c r="H31" s="259" t="str">
        <f>IFERROR(__xludf.DUMMYFUNCTION("""COMPUTED_VALUE"""),"Dual Cream")</f>
        <v>Dual Cream</v>
      </c>
      <c r="I31" s="260" t="str">
        <f>IFERROR(__xludf.DUMMYFUNCTION("""COMPUTED_VALUE"""),"Sampai")</f>
        <v>Sampai</v>
      </c>
      <c r="J31" s="261" t="str">
        <f>IFERROR(__xludf.DUMMYFUNCTION("""COMPUTED_VALUE""")," Concept 1")</f>
        <v> Concept 1</v>
      </c>
      <c r="K31" s="278" t="str">
        <f>IFERROR(__xludf.DUMMYFUNCTION("""COMPUTED_VALUE"""),"https://vt.tiktok.com/ZSQ69fEPN/")</f>
        <v>https://vt.tiktok.com/ZSQ69fEPN/</v>
      </c>
      <c r="L31" s="261" t="str">
        <f>IFERROR(__xludf.DUMMYFUNCTION("""COMPUTED_VALUE""")," Concept 1")</f>
        <v> Concept 1</v>
      </c>
      <c r="M31" s="278" t="str">
        <f>IFERROR(__xludf.DUMMYFUNCTION("""COMPUTED_VALUE"""),"https://vt.tiktok.com/ZSQ69CgHq/")</f>
        <v>https://vt.tiktok.com/ZSQ69CgHq/</v>
      </c>
      <c r="N31" s="261" t="str">
        <f>IFERROR(__xludf.DUMMYFUNCTION("""COMPUTED_VALUE""")," Concept 1")</f>
        <v> Concept 1</v>
      </c>
      <c r="O31" s="279" t="str">
        <f>IFERROR(__xludf.DUMMYFUNCTION("""COMPUTED_VALUE"""),"https://vt.tiktok.com/ZSQ69CKP8/")</f>
        <v>https://vt.tiktok.com/ZSQ69CKP8/</v>
      </c>
      <c r="P31" s="261"/>
      <c r="Q31" s="17"/>
      <c r="R31" s="264"/>
      <c r="S31" s="265"/>
      <c r="T31" s="266"/>
      <c r="U31" s="266"/>
    </row>
    <row r="32">
      <c r="A32" s="255" t="str">
        <f>IFERROR(__xludf.DUMMYFUNCTION("""COMPUTED_VALUE"""),"NANO")</f>
        <v>NANO</v>
      </c>
      <c r="B32" s="257" t="str">
        <f>IFERROR(__xludf.DUMMYFUNCTION("""COMPUTED_VALUE"""),"za.official.za")</f>
        <v>za.official.za</v>
      </c>
      <c r="C32" s="281" t="str">
        <f>IFERROR(__xludf.DUMMYFUNCTION("""COMPUTED_VALUE"""),"https://www.tiktok.com/@za.official.za")</f>
        <v>https://www.tiktok.com/@za.official.za</v>
      </c>
      <c r="D32" s="25">
        <f>IFERROR(__xludf.DUMMYFUNCTION("""COMPUTED_VALUE"""),8.5338983834E10)</f>
        <v>85338983834</v>
      </c>
      <c r="E32" s="258" t="str">
        <f>IFERROR(__xludf.DUMMYFUNCTION("""COMPUTED_VALUE"""),"Rp.0")</f>
        <v>Rp.0</v>
      </c>
      <c r="F32" s="25">
        <f>IFERROR(__xludf.DUMMYFUNCTION("""COMPUTED_VALUE"""),3.0)</f>
        <v>3</v>
      </c>
      <c r="G32" s="25" t="str">
        <f>IFERROR(__xludf.DUMMYFUNCTION("""COMPUTED_VALUE"""),"Rp12,6jt")</f>
        <v>Rp12,6jt</v>
      </c>
      <c r="H32" s="259" t="str">
        <f>IFERROR(__xludf.DUMMYFUNCTION("""COMPUTED_VALUE"""),"Dual Cream")</f>
        <v>Dual Cream</v>
      </c>
      <c r="I32" s="260" t="str">
        <f>IFERROR(__xludf.DUMMYFUNCTION("""COMPUTED_VALUE"""),"Sampai")</f>
        <v>Sampai</v>
      </c>
      <c r="J32" s="261" t="str">
        <f>IFERROR(__xludf.DUMMYFUNCTION("""COMPUTED_VALUE""")," Concept 1")</f>
        <v> Concept 1</v>
      </c>
      <c r="K32" s="280" t="str">
        <f>IFERROR(__xludf.DUMMYFUNCTION("""COMPUTED_VALUE"""),"https://vt.tiktok.com/ZSQMEJE8M/")</f>
        <v>https://vt.tiktok.com/ZSQMEJE8M/</v>
      </c>
      <c r="L32" s="261" t="str">
        <f>IFERROR(__xludf.DUMMYFUNCTION("""COMPUTED_VALUE""")," Concept 1")</f>
        <v> Concept 1</v>
      </c>
      <c r="M32" s="280" t="str">
        <f>IFERROR(__xludf.DUMMYFUNCTION("""COMPUTED_VALUE"""),"https://vt.tiktok.com/ZSQh9NMXg/")</f>
        <v>https://vt.tiktok.com/ZSQh9NMXg/</v>
      </c>
      <c r="N32" s="261" t="str">
        <f>IFERROR(__xludf.DUMMYFUNCTION("""COMPUTED_VALUE""")," Concept 1")</f>
        <v> Concept 1</v>
      </c>
      <c r="O32" s="279" t="str">
        <f>IFERROR(__xludf.DUMMYFUNCTION("""COMPUTED_VALUE"""),"https://vt.tiktok.com/ZSQkRkvA5/")</f>
        <v>https://vt.tiktok.com/ZSQkRkvA5/</v>
      </c>
      <c r="P32" s="261"/>
      <c r="Q32" s="17"/>
      <c r="R32" s="264"/>
      <c r="S32" s="265"/>
      <c r="T32" s="266"/>
      <c r="U32" s="266"/>
    </row>
    <row r="33">
      <c r="A33" s="255" t="str">
        <f>IFERROR(__xludf.DUMMYFUNCTION("""COMPUTED_VALUE"""),"NANO")</f>
        <v>NANO</v>
      </c>
      <c r="B33" s="23" t="str">
        <f>IFERROR(__xludf.DUMMYFUNCTION("""COMPUTED_VALUE"""),"wdnme_")</f>
        <v>wdnme_</v>
      </c>
      <c r="C33" s="281" t="str">
        <f>IFERROR(__xludf.DUMMYFUNCTION("""COMPUTED_VALUE"""),"https://www.tiktok.com/@wdnme_")</f>
        <v>https://www.tiktok.com/@wdnme_</v>
      </c>
      <c r="D33" s="25">
        <f>IFERROR(__xludf.DUMMYFUNCTION("""COMPUTED_VALUE"""),8.2333933602E10)</f>
        <v>82333933602</v>
      </c>
      <c r="E33" s="258" t="str">
        <f>IFERROR(__xludf.DUMMYFUNCTION("""COMPUTED_VALUE"""),"Rp.0")</f>
        <v>Rp.0</v>
      </c>
      <c r="F33" s="25">
        <f>IFERROR(__xludf.DUMMYFUNCTION("""COMPUTED_VALUE"""),3.0)</f>
        <v>3</v>
      </c>
      <c r="G33" s="25" t="str">
        <f>IFERROR(__xludf.DUMMYFUNCTION("""COMPUTED_VALUE"""),"Rp81,5jt")</f>
        <v>Rp81,5jt</v>
      </c>
      <c r="H33" s="259" t="str">
        <f>IFERROR(__xludf.DUMMYFUNCTION("""COMPUTED_VALUE""")," Bright Facial Wash")</f>
        <v> Bright Facial Wash</v>
      </c>
      <c r="I33" s="260" t="str">
        <f>IFERROR(__xludf.DUMMYFUNCTION("""COMPUTED_VALUE"""),"Sampai")</f>
        <v>Sampai</v>
      </c>
      <c r="J33" s="261" t="str">
        <f>IFERROR(__xludf.DUMMYFUNCTION("""COMPUTED_VALUE"""),"Concept 3")</f>
        <v>Concept 3</v>
      </c>
      <c r="K33" s="262"/>
      <c r="L33" s="261"/>
      <c r="M33" s="262"/>
      <c r="N33" s="261"/>
      <c r="O33" s="17"/>
      <c r="P33" s="261"/>
      <c r="Q33" s="17"/>
      <c r="R33" s="264"/>
      <c r="S33" s="265"/>
      <c r="T33" s="266"/>
      <c r="U33" s="266"/>
    </row>
    <row r="34">
      <c r="A34" s="255" t="str">
        <f>IFERROR(__xludf.DUMMYFUNCTION("""COMPUTED_VALUE"""),"MICRO")</f>
        <v>MICRO</v>
      </c>
      <c r="B34" s="23" t="str">
        <f>IFERROR(__xludf.DUMMYFUNCTION("""COMPUTED_VALUE"""),"_daffanr")</f>
        <v>_daffanr</v>
      </c>
      <c r="C34" s="281" t="str">
        <f>IFERROR(__xludf.DUMMYFUNCTION("""COMPUTED_VALUE"""),"https://www.tiktok.com/@_daffanr")</f>
        <v>https://www.tiktok.com/@_daffanr</v>
      </c>
      <c r="D34" s="270">
        <f>IFERROR(__xludf.DUMMYFUNCTION("""COMPUTED_VALUE"""),8.775208873E10)</f>
        <v>87752088730</v>
      </c>
      <c r="E34" s="271" t="str">
        <f>IFERROR(__xludf.DUMMYFUNCTION("""COMPUTED_VALUE"""),"Rp.0")</f>
        <v>Rp.0</v>
      </c>
      <c r="F34" s="270">
        <f>IFERROR(__xludf.DUMMYFUNCTION("""COMPUTED_VALUE"""),3.0)</f>
        <v>3</v>
      </c>
      <c r="G34" s="270" t="str">
        <f>IFERROR(__xludf.DUMMYFUNCTION("""COMPUTED_VALUE"""),"Rp13,7jt")</f>
        <v>Rp13,7jt</v>
      </c>
      <c r="H34" s="259" t="str">
        <f>IFERROR(__xludf.DUMMYFUNCTION("""COMPUTED_VALUE"""),"Dual Cream")</f>
        <v>Dual Cream</v>
      </c>
      <c r="I34" s="260" t="str">
        <f>IFERROR(__xludf.DUMMYFUNCTION("""COMPUTED_VALUE"""),"Sampai")</f>
        <v>Sampai</v>
      </c>
      <c r="J34" s="261" t="str">
        <f>IFERROR(__xludf.DUMMYFUNCTION("""COMPUTED_VALUE"""),"Concept 2")</f>
        <v>Concept 2</v>
      </c>
      <c r="K34" s="262"/>
      <c r="L34" s="261"/>
      <c r="M34" s="262"/>
      <c r="N34" s="261"/>
      <c r="O34" s="17"/>
      <c r="P34" s="261"/>
      <c r="Q34" s="17"/>
      <c r="R34" s="266"/>
      <c r="S34" s="266"/>
      <c r="T34" s="266"/>
      <c r="U34" s="266"/>
    </row>
    <row r="35">
      <c r="A35" s="255" t="str">
        <f>IFERROR(__xludf.DUMMYFUNCTION("""COMPUTED_VALUE"""),"NANO")</f>
        <v>NANO</v>
      </c>
      <c r="B35" s="23" t="str">
        <f>IFERROR(__xludf.DUMMYFUNCTION("""COMPUTED_VALUE"""),"okinskincarepria")</f>
        <v>okinskincarepria</v>
      </c>
      <c r="C35" s="281" t="str">
        <f>IFERROR(__xludf.DUMMYFUNCTION("""COMPUTED_VALUE"""),"https://www.tiktok.com/@okinskincarepria")</f>
        <v>https://www.tiktok.com/@okinskincarepria</v>
      </c>
      <c r="D35" s="270">
        <f>IFERROR(__xludf.DUMMYFUNCTION("""COMPUTED_VALUE"""),8.9506547139E10)</f>
        <v>89506547139</v>
      </c>
      <c r="E35" s="271" t="str">
        <f>IFERROR(__xludf.DUMMYFUNCTION("""COMPUTED_VALUE"""),"Rp.0")</f>
        <v>Rp.0</v>
      </c>
      <c r="F35" s="270">
        <f>IFERROR(__xludf.DUMMYFUNCTION("""COMPUTED_VALUE"""),3.0)</f>
        <v>3</v>
      </c>
      <c r="G35" s="270" t="str">
        <f>IFERROR(__xludf.DUMMYFUNCTION("""COMPUTED_VALUE"""),"Rp5,6jt")</f>
        <v>Rp5,6jt</v>
      </c>
      <c r="H35" s="259" t="str">
        <f>IFERROR(__xludf.DUMMYFUNCTION("""COMPUTED_VALUE""")," Bright Facial Wash")</f>
        <v> Bright Facial Wash</v>
      </c>
      <c r="I35" s="260" t="str">
        <f>IFERROR(__xludf.DUMMYFUNCTION("""COMPUTED_VALUE"""),"Sampai")</f>
        <v>Sampai</v>
      </c>
      <c r="J35" s="261" t="str">
        <f>IFERROR(__xludf.DUMMYFUNCTION("""COMPUTED_VALUE""")," Concept 1")</f>
        <v> Concept 1</v>
      </c>
      <c r="K35" s="278" t="str">
        <f>IFERROR(__xludf.DUMMYFUNCTION("""COMPUTED_VALUE"""),"https://vt.tiktok.com/ZSQN8Jpn7/")</f>
        <v>https://vt.tiktok.com/ZSQN8Jpn7/</v>
      </c>
      <c r="L35" s="261" t="str">
        <f>IFERROR(__xludf.DUMMYFUNCTION("""COMPUTED_VALUE"""),"Concept 3")</f>
        <v>Concept 3</v>
      </c>
      <c r="M35" s="278" t="str">
        <f>IFERROR(__xludf.DUMMYFUNCTION("""COMPUTED_VALUE"""),"https://vt.tiktok.com/ZSQrxnHf8/")</f>
        <v>https://vt.tiktok.com/ZSQrxnHf8/</v>
      </c>
      <c r="N35" s="261"/>
      <c r="O35" s="17"/>
      <c r="P35" s="261"/>
      <c r="Q35" s="17"/>
      <c r="R35" s="266"/>
      <c r="S35" s="266"/>
      <c r="T35" s="266"/>
      <c r="U35" s="266"/>
    </row>
    <row r="36">
      <c r="A36" s="255" t="str">
        <f>IFERROR(__xludf.DUMMYFUNCTION("""COMPUTED_VALUE"""),"NANO")</f>
        <v>NANO</v>
      </c>
      <c r="B36" s="23" t="str">
        <f>IFERROR(__xludf.DUMMYFUNCTION("""COMPUTED_VALUE"""),"bangglowmen")</f>
        <v>bangglowmen</v>
      </c>
      <c r="C36" s="281" t="str">
        <f>IFERROR(__xludf.DUMMYFUNCTION("""COMPUTED_VALUE"""),"https://www.tiktok.com/@bangglowmen")</f>
        <v>https://www.tiktok.com/@bangglowmen</v>
      </c>
      <c r="D36" s="270">
        <f>IFERROR(__xludf.DUMMYFUNCTION("""COMPUTED_VALUE"""),8.5720419607E10)</f>
        <v>85720419607</v>
      </c>
      <c r="E36" s="271" t="str">
        <f>IFERROR(__xludf.DUMMYFUNCTION("""COMPUTED_VALUE"""),"Rp.0")</f>
        <v>Rp.0</v>
      </c>
      <c r="F36" s="270">
        <f>IFERROR(__xludf.DUMMYFUNCTION("""COMPUTED_VALUE"""),3.0)</f>
        <v>3</v>
      </c>
      <c r="G36" s="270" t="str">
        <f>IFERROR(__xludf.DUMMYFUNCTION("""COMPUTED_VALUE"""),"Rp7,3jt")</f>
        <v>Rp7,3jt</v>
      </c>
      <c r="H36" s="259" t="str">
        <f>IFERROR(__xludf.DUMMYFUNCTION("""COMPUTED_VALUE"""),"Dual Cream")</f>
        <v>Dual Cream</v>
      </c>
      <c r="I36" s="260" t="str">
        <f>IFERROR(__xludf.DUMMYFUNCTION("""COMPUTED_VALUE"""),"Sampai")</f>
        <v>Sampai</v>
      </c>
      <c r="J36" s="261" t="str">
        <f>IFERROR(__xludf.DUMMYFUNCTION("""COMPUTED_VALUE"""),"Concept 2")</f>
        <v>Concept 2</v>
      </c>
      <c r="K36" s="262"/>
      <c r="L36" s="261"/>
      <c r="M36" s="262"/>
      <c r="N36" s="261"/>
      <c r="O36" s="17"/>
      <c r="P36" s="261"/>
      <c r="Q36" s="17"/>
      <c r="R36" s="266"/>
      <c r="S36" s="266"/>
      <c r="T36" s="266"/>
      <c r="U36" s="266"/>
    </row>
    <row r="37">
      <c r="A37" s="255" t="str">
        <f>IFERROR(__xludf.DUMMYFUNCTION("""COMPUTED_VALUE"""),"MICRO")</f>
        <v>MICRO</v>
      </c>
      <c r="B37" s="23" t="str">
        <f>IFERROR(__xludf.DUMMYFUNCTION("""COMPUTED_VALUE"""),"reviewbydavid_")</f>
        <v>reviewbydavid_</v>
      </c>
      <c r="C37" s="281" t="str">
        <f>IFERROR(__xludf.DUMMYFUNCTION("""COMPUTED_VALUE"""),"https://www.tiktok.com/@reviewbydavid_")</f>
        <v>https://www.tiktok.com/@reviewbydavid_</v>
      </c>
      <c r="D37" s="270">
        <f>IFERROR(__xludf.DUMMYFUNCTION("""COMPUTED_VALUE"""),8.2111182675E10)</f>
        <v>82111182675</v>
      </c>
      <c r="E37" s="271" t="str">
        <f>IFERROR(__xludf.DUMMYFUNCTION("""COMPUTED_VALUE"""),"Rp.0")</f>
        <v>Rp.0</v>
      </c>
      <c r="F37" s="270">
        <f>IFERROR(__xludf.DUMMYFUNCTION("""COMPUTED_VALUE"""),1.0)</f>
        <v>1</v>
      </c>
      <c r="G37" s="270" t="str">
        <f>IFERROR(__xludf.DUMMYFUNCTION("""COMPUTED_VALUE"""),"Rp1JT+")</f>
        <v>Rp1JT+</v>
      </c>
      <c r="H37" s="259" t="str">
        <f>IFERROR(__xludf.DUMMYFUNCTION("""COMPUTED_VALUE"""),"Dual Cream")</f>
        <v>Dual Cream</v>
      </c>
      <c r="I37" s="260" t="str">
        <f>IFERROR(__xludf.DUMMYFUNCTION("""COMPUTED_VALUE"""),"Sampai")</f>
        <v>Sampai</v>
      </c>
      <c r="J37" s="261" t="str">
        <f>IFERROR(__xludf.DUMMYFUNCTION("""COMPUTED_VALUE"""),"Concept 2")</f>
        <v>Concept 2</v>
      </c>
      <c r="K37" s="262"/>
      <c r="L37" s="261"/>
      <c r="M37" s="262"/>
      <c r="N37" s="261"/>
      <c r="O37" s="17"/>
      <c r="P37" s="261"/>
      <c r="Q37" s="17"/>
      <c r="R37" s="266"/>
      <c r="S37" s="266"/>
      <c r="T37" s="266"/>
      <c r="U37" s="266"/>
    </row>
    <row r="38">
      <c r="A38" s="255" t="str">
        <f>IFERROR(__xludf.DUMMYFUNCTION("""COMPUTED_VALUE"""),"NANO")</f>
        <v>NANO</v>
      </c>
      <c r="B38" s="23" t="str">
        <f>IFERROR(__xludf.DUMMYFUNCTION("""COMPUTED_VALUE"""),"luvveramide")</f>
        <v>luvveramide</v>
      </c>
      <c r="C38" s="281" t="str">
        <f>IFERROR(__xludf.DUMMYFUNCTION("""COMPUTED_VALUE"""),"https://www.tiktok.com/@luvveramide")</f>
        <v>https://www.tiktok.com/@luvveramide</v>
      </c>
      <c r="D38" s="270">
        <f>IFERROR(__xludf.DUMMYFUNCTION("""COMPUTED_VALUE"""),8.5691156002E10)</f>
        <v>85691156002</v>
      </c>
      <c r="E38" s="271" t="str">
        <f>IFERROR(__xludf.DUMMYFUNCTION("""COMPUTED_VALUE"""),"Rp.0")</f>
        <v>Rp.0</v>
      </c>
      <c r="F38" s="270">
        <f>IFERROR(__xludf.DUMMYFUNCTION("""COMPUTED_VALUE"""),3.0)</f>
        <v>3</v>
      </c>
      <c r="G38" s="270" t="str">
        <f>IFERROR(__xludf.DUMMYFUNCTION("""COMPUTED_VALUE"""),"Rp5,6jt")</f>
        <v>Rp5,6jt</v>
      </c>
      <c r="H38" s="259" t="str">
        <f>IFERROR(__xludf.DUMMYFUNCTION("""COMPUTED_VALUE""")," Bright Facial Wash")</f>
        <v> Bright Facial Wash</v>
      </c>
      <c r="I38" s="260" t="str">
        <f>IFERROR(__xludf.DUMMYFUNCTION("""COMPUTED_VALUE"""),"Sampai")</f>
        <v>Sampai</v>
      </c>
      <c r="J38" s="261" t="str">
        <f>IFERROR(__xludf.DUMMYFUNCTION("""COMPUTED_VALUE"""),"Concept 2")</f>
        <v>Concept 2</v>
      </c>
      <c r="K38" s="262"/>
      <c r="L38" s="261"/>
      <c r="M38" s="262"/>
      <c r="N38" s="261"/>
      <c r="O38" s="17"/>
      <c r="P38" s="261"/>
      <c r="Q38" s="17"/>
      <c r="R38" s="266"/>
      <c r="S38" s="266"/>
      <c r="T38" s="266"/>
      <c r="U38" s="266"/>
    </row>
    <row r="39">
      <c r="A39" s="255" t="str">
        <f>IFERROR(__xludf.DUMMYFUNCTION("""COMPUTED_VALUE"""),"NANO")</f>
        <v>NANO</v>
      </c>
      <c r="B39" s="23" t="str">
        <f>IFERROR(__xludf.DUMMYFUNCTION("""COMPUTED_VALUE"""),"dylanfrozenfood")</f>
        <v>dylanfrozenfood</v>
      </c>
      <c r="C39" s="281" t="str">
        <f>IFERROR(__xludf.DUMMYFUNCTION("""COMPUTED_VALUE"""),"https://www.tiktok.com/@dylanfrozenfood")</f>
        <v>https://www.tiktok.com/@dylanfrozenfood</v>
      </c>
      <c r="D39" s="270">
        <f>IFERROR(__xludf.DUMMYFUNCTION("""COMPUTED_VALUE"""),8.1383608173E10)</f>
        <v>81383608173</v>
      </c>
      <c r="E39" s="271" t="str">
        <f>IFERROR(__xludf.DUMMYFUNCTION("""COMPUTED_VALUE"""),"Rp.0")</f>
        <v>Rp.0</v>
      </c>
      <c r="F39" s="270">
        <f>IFERROR(__xludf.DUMMYFUNCTION("""COMPUTED_VALUE"""),3.0)</f>
        <v>3</v>
      </c>
      <c r="G39" s="270" t="str">
        <f>IFERROR(__xludf.DUMMYFUNCTION("""COMPUTED_VALUE"""),"Rp11,1jt")</f>
        <v>Rp11,1jt</v>
      </c>
      <c r="H39" s="259" t="str">
        <f>IFERROR(__xludf.DUMMYFUNCTION("""COMPUTED_VALUE"""),"Dual Cream")</f>
        <v>Dual Cream</v>
      </c>
      <c r="I39" s="260" t="str">
        <f>IFERROR(__xludf.DUMMYFUNCTION("""COMPUTED_VALUE"""),"Sampai")</f>
        <v>Sampai</v>
      </c>
      <c r="J39" s="261" t="str">
        <f>IFERROR(__xludf.DUMMYFUNCTION("""COMPUTED_VALUE"""),"Concept 2")</f>
        <v>Concept 2</v>
      </c>
      <c r="K39" s="262"/>
      <c r="L39" s="261"/>
      <c r="M39" s="262"/>
      <c r="N39" s="261"/>
      <c r="O39" s="17"/>
      <c r="P39" s="261"/>
      <c r="Q39" s="17"/>
      <c r="R39" s="266"/>
      <c r="S39" s="266"/>
      <c r="T39" s="266"/>
      <c r="U39" s="266"/>
    </row>
    <row r="40">
      <c r="A40" s="255" t="str">
        <f>IFERROR(__xludf.DUMMYFUNCTION("""COMPUTED_VALUE"""),"MICRO")</f>
        <v>MICRO</v>
      </c>
      <c r="B40" s="23" t="str">
        <f>IFERROR(__xludf.DUMMYFUNCTION("""COMPUTED_VALUE"""),"henry.ijo")</f>
        <v>henry.ijo</v>
      </c>
      <c r="C40" s="281" t="str">
        <f>IFERROR(__xludf.DUMMYFUNCTION("""COMPUTED_VALUE"""),"https://www.tiktok.com/@henry.ijo")</f>
        <v>https://www.tiktok.com/@henry.ijo</v>
      </c>
      <c r="D40" s="270">
        <f>IFERROR(__xludf.DUMMYFUNCTION("""COMPUTED_VALUE"""),8.1317736527E10)</f>
        <v>81317736527</v>
      </c>
      <c r="E40" s="271" t="str">
        <f>IFERROR(__xludf.DUMMYFUNCTION("""COMPUTED_VALUE"""),"Rp.0")</f>
        <v>Rp.0</v>
      </c>
      <c r="F40" s="270">
        <f>IFERROR(__xludf.DUMMYFUNCTION("""COMPUTED_VALUE"""),3.0)</f>
        <v>3</v>
      </c>
      <c r="G40" s="270" t="str">
        <f>IFERROR(__xludf.DUMMYFUNCTION("""COMPUTED_VALUE"""),"Rp1JT+ (2.93K)")</f>
        <v>Rp1JT+ (2.93K)</v>
      </c>
      <c r="H40" s="259" t="str">
        <f>IFERROR(__xludf.DUMMYFUNCTION("""COMPUTED_VALUE""")," Bright Facial Wash")</f>
        <v> Bright Facial Wash</v>
      </c>
      <c r="I40" s="260" t="str">
        <f>IFERROR(__xludf.DUMMYFUNCTION("""COMPUTED_VALUE"""),"Sampai")</f>
        <v>Sampai</v>
      </c>
      <c r="J40" s="261"/>
      <c r="K40" s="262"/>
      <c r="L40" s="261"/>
      <c r="M40" s="262"/>
      <c r="N40" s="261"/>
      <c r="O40" s="17"/>
      <c r="P40" s="261"/>
      <c r="Q40" s="17"/>
      <c r="R40" s="266"/>
      <c r="S40" s="266"/>
      <c r="T40" s="266"/>
      <c r="U40" s="266"/>
    </row>
    <row r="41">
      <c r="A41" s="255" t="str">
        <f>IFERROR(__xludf.DUMMYFUNCTION("""COMPUTED_VALUE"""),"NANO")</f>
        <v>NANO</v>
      </c>
      <c r="B41" s="23" t="str">
        <f>IFERROR(__xludf.DUMMYFUNCTION("""COMPUTED_VALUE"""),"fbrian.ism")</f>
        <v>fbrian.ism</v>
      </c>
      <c r="C41" s="281" t="str">
        <f>IFERROR(__xludf.DUMMYFUNCTION("""COMPUTED_VALUE"""),"https://www.tiktok.com/@fbrian.ism")</f>
        <v>https://www.tiktok.com/@fbrian.ism</v>
      </c>
      <c r="D41" s="270">
        <f>IFERROR(__xludf.DUMMYFUNCTION("""COMPUTED_VALUE"""),8.180842378E10)</f>
        <v>81808423780</v>
      </c>
      <c r="E41" s="271" t="str">
        <f>IFERROR(__xludf.DUMMYFUNCTION("""COMPUTED_VALUE"""),"Rp.0")</f>
        <v>Rp.0</v>
      </c>
      <c r="F41" s="270">
        <f>IFERROR(__xludf.DUMMYFUNCTION("""COMPUTED_VALUE"""),3.0)</f>
        <v>3</v>
      </c>
      <c r="G41" s="270" t="str">
        <f>IFERROR(__xludf.DUMMYFUNCTION("""COMPUTED_VALUE"""),"Rp8,1jt")</f>
        <v>Rp8,1jt</v>
      </c>
      <c r="H41" s="259" t="str">
        <f>IFERROR(__xludf.DUMMYFUNCTION("""COMPUTED_VALUE"""),"Dual Cream")</f>
        <v>Dual Cream</v>
      </c>
      <c r="I41" s="260" t="str">
        <f>IFERROR(__xludf.DUMMYFUNCTION("""COMPUTED_VALUE"""),"Done Req Sample")</f>
        <v>Done Req Sample</v>
      </c>
      <c r="J41" s="261"/>
      <c r="K41" s="262"/>
      <c r="L41" s="261"/>
      <c r="M41" s="262"/>
      <c r="N41" s="261"/>
      <c r="O41" s="17"/>
      <c r="P41" s="261"/>
      <c r="Q41" s="17"/>
      <c r="R41" s="266"/>
      <c r="S41" s="266"/>
      <c r="T41" s="266"/>
      <c r="U41" s="266"/>
    </row>
    <row r="42">
      <c r="A42" s="255" t="str">
        <f>IFERROR(__xludf.DUMMYFUNCTION("""COMPUTED_VALUE"""),"NANO")</f>
        <v>NANO</v>
      </c>
      <c r="B42" s="257" t="str">
        <f>IFERROR(__xludf.DUMMYFUNCTION("""COMPUTED_VALUE"""),"odette.co.id")</f>
        <v>odette.co.id</v>
      </c>
      <c r="C42" s="281" t="str">
        <f>IFERROR(__xludf.DUMMYFUNCTION("""COMPUTED_VALUE"""),"https://www.tiktok.com/@odette.co.id")</f>
        <v>https://www.tiktok.com/@odette.co.id</v>
      </c>
      <c r="D42" s="270">
        <f>IFERROR(__xludf.DUMMYFUNCTION("""COMPUTED_VALUE"""),8.1993117301E10)</f>
        <v>81993117301</v>
      </c>
      <c r="E42" s="271" t="str">
        <f>IFERROR(__xludf.DUMMYFUNCTION("""COMPUTED_VALUE"""),"Rp.0")</f>
        <v>Rp.0</v>
      </c>
      <c r="F42" s="270">
        <f>IFERROR(__xludf.DUMMYFUNCTION("""COMPUTED_VALUE"""),3.0)</f>
        <v>3</v>
      </c>
      <c r="G42" s="270" t="str">
        <f>IFERROR(__xludf.DUMMYFUNCTION("""COMPUTED_VALUE"""),"Rp1JT+")</f>
        <v>Rp1JT+</v>
      </c>
      <c r="H42" s="259" t="str">
        <f>IFERROR(__xludf.DUMMYFUNCTION("""COMPUTED_VALUE"""),"Dual Cream")</f>
        <v>Dual Cream</v>
      </c>
      <c r="I42" s="260" t="str">
        <f>IFERROR(__xludf.DUMMYFUNCTION("""COMPUTED_VALUE"""),"Done Req Sample")</f>
        <v>Done Req Sample</v>
      </c>
      <c r="J42" s="261"/>
      <c r="K42" s="262"/>
      <c r="L42" s="261"/>
      <c r="M42" s="262"/>
      <c r="N42" s="261"/>
      <c r="O42" s="17"/>
      <c r="P42" s="261"/>
      <c r="Q42" s="17"/>
      <c r="R42" s="266"/>
      <c r="S42" s="266"/>
      <c r="T42" s="266"/>
      <c r="U42" s="266"/>
    </row>
    <row r="43">
      <c r="A43" s="255" t="str">
        <f>IFERROR(__xludf.DUMMYFUNCTION("""COMPUTED_VALUE"""),"MICRO")</f>
        <v>MICRO</v>
      </c>
      <c r="B43" s="23" t="str">
        <f>IFERROR(__xludf.DUMMYFUNCTION("""COMPUTED_VALUE"""),"riqqo_")</f>
        <v>riqqo_</v>
      </c>
      <c r="C43" s="281" t="str">
        <f>IFERROR(__xludf.DUMMYFUNCTION("""COMPUTED_VALUE"""),"https://www.tiktok.com/@riqqo_")</f>
        <v>https://www.tiktok.com/@riqqo_</v>
      </c>
      <c r="D43" s="270">
        <f>IFERROR(__xludf.DUMMYFUNCTION("""COMPUTED_VALUE"""),8.1868834E8)</f>
        <v>818688340</v>
      </c>
      <c r="E43" s="271" t="str">
        <f>IFERROR(__xludf.DUMMYFUNCTION("""COMPUTED_VALUE"""),"Rp.0")</f>
        <v>Rp.0</v>
      </c>
      <c r="F43" s="270">
        <f>IFERROR(__xludf.DUMMYFUNCTION("""COMPUTED_VALUE"""),3.0)</f>
        <v>3</v>
      </c>
      <c r="G43" s="270" t="str">
        <f>IFERROR(__xludf.DUMMYFUNCTION("""COMPUTED_VALUE"""),"Rp268,3jt")</f>
        <v>Rp268,3jt</v>
      </c>
      <c r="H43" s="259" t="str">
        <f>IFERROR(__xludf.DUMMYFUNCTION("""COMPUTED_VALUE"""),"2 Product (Facial Wash + Dual Cream)")</f>
        <v>2 Product (Facial Wash + Dual Cream)</v>
      </c>
      <c r="I43" s="260" t="str">
        <f>IFERROR(__xludf.DUMMYFUNCTION("""COMPUTED_VALUE"""),"Sampai")</f>
        <v>Sampai</v>
      </c>
      <c r="J43" s="261"/>
      <c r="K43" s="262"/>
      <c r="L43" s="261"/>
      <c r="M43" s="262"/>
      <c r="N43" s="261"/>
      <c r="O43" s="17"/>
      <c r="P43" s="261"/>
      <c r="Q43" s="17"/>
      <c r="R43" s="266"/>
      <c r="S43" s="266"/>
      <c r="T43" s="266"/>
      <c r="U43" s="266"/>
    </row>
    <row r="44">
      <c r="A44" s="255" t="str">
        <f>IFERROR(__xludf.DUMMYFUNCTION("""COMPUTED_VALUE"""),"NANO")</f>
        <v>NANO</v>
      </c>
      <c r="B44" s="23" t="str">
        <f>IFERROR(__xludf.DUMMYFUNCTION("""COMPUTED_VALUE"""),"masickkk_")</f>
        <v>masickkk_</v>
      </c>
      <c r="C44" s="281" t="str">
        <f>IFERROR(__xludf.DUMMYFUNCTION("""COMPUTED_VALUE"""),"https://www.tiktok.com/@masickkk_")</f>
        <v>https://www.tiktok.com/@masickkk_</v>
      </c>
      <c r="D44" s="270">
        <f>IFERROR(__xludf.DUMMYFUNCTION("""COMPUTED_VALUE"""),8.1333021717E10)</f>
        <v>81333021717</v>
      </c>
      <c r="E44" s="271" t="str">
        <f>IFERROR(__xludf.DUMMYFUNCTION("""COMPUTED_VALUE"""),"Rp.0")</f>
        <v>Rp.0</v>
      </c>
      <c r="F44" s="270">
        <f>IFERROR(__xludf.DUMMYFUNCTION("""COMPUTED_VALUE"""),3.0)</f>
        <v>3</v>
      </c>
      <c r="G44" s="270" t="str">
        <f>IFERROR(__xludf.DUMMYFUNCTION("""COMPUTED_VALUE"""),"Rp1JT+")</f>
        <v>Rp1JT+</v>
      </c>
      <c r="H44" s="259" t="str">
        <f>IFERROR(__xludf.DUMMYFUNCTION("""COMPUTED_VALUE""")," Bright Facial Wash")</f>
        <v> Bright Facial Wash</v>
      </c>
      <c r="I44" s="260" t="str">
        <f>IFERROR(__xludf.DUMMYFUNCTION("""COMPUTED_VALUE"""),"Done Req Sample")</f>
        <v>Done Req Sample</v>
      </c>
      <c r="J44" s="261"/>
      <c r="K44" s="262"/>
      <c r="L44" s="261"/>
      <c r="M44" s="262"/>
      <c r="N44" s="261"/>
      <c r="O44" s="17"/>
      <c r="P44" s="261"/>
      <c r="Q44" s="17"/>
      <c r="R44" s="266"/>
      <c r="S44" s="266"/>
      <c r="T44" s="266"/>
      <c r="U44" s="266"/>
    </row>
    <row r="45">
      <c r="A45" s="255" t="str">
        <f>IFERROR(__xludf.DUMMYFUNCTION("""COMPUTED_VALUE"""),"NANO")</f>
        <v>NANO</v>
      </c>
      <c r="B45" s="23" t="str">
        <f>IFERROR(__xludf.DUMMYFUNCTION("""COMPUTED_VALUE"""),"kawanbrother.01")</f>
        <v>kawanbrother.01</v>
      </c>
      <c r="C45" s="281" t="str">
        <f>IFERROR(__xludf.DUMMYFUNCTION("""COMPUTED_VALUE"""),"https://www.tiktok.com/@kawanbrother.01")</f>
        <v>https://www.tiktok.com/@kawanbrother.01</v>
      </c>
      <c r="D45" s="270">
        <f>IFERROR(__xludf.DUMMYFUNCTION("""COMPUTED_VALUE"""),8.5749034628E10)</f>
        <v>85749034628</v>
      </c>
      <c r="E45" s="271" t="str">
        <f>IFERROR(__xludf.DUMMYFUNCTION("""COMPUTED_VALUE"""),"Rp.0")</f>
        <v>Rp.0</v>
      </c>
      <c r="F45" s="270">
        <f>IFERROR(__xludf.DUMMYFUNCTION("""COMPUTED_VALUE"""),3.0)</f>
        <v>3</v>
      </c>
      <c r="G45" s="270" t="str">
        <f>IFERROR(__xludf.DUMMYFUNCTION("""COMPUTED_VALUE"""),"Rp1JT+")</f>
        <v>Rp1JT+</v>
      </c>
      <c r="H45" s="259" t="str">
        <f>IFERROR(__xludf.DUMMYFUNCTION("""COMPUTED_VALUE""")," Bright Facial Wash")</f>
        <v> Bright Facial Wash</v>
      </c>
      <c r="I45" s="260" t="str">
        <f>IFERROR(__xludf.DUMMYFUNCTION("""COMPUTED_VALUE"""),"Done Req Sample")</f>
        <v>Done Req Sample</v>
      </c>
      <c r="J45" s="261"/>
      <c r="K45" s="262"/>
      <c r="L45" s="261"/>
      <c r="M45" s="262"/>
      <c r="N45" s="261"/>
      <c r="O45" s="17"/>
      <c r="P45" s="261"/>
      <c r="Q45" s="17"/>
      <c r="R45" s="266"/>
      <c r="S45" s="266"/>
      <c r="T45" s="266"/>
      <c r="U45" s="266"/>
    </row>
    <row r="46">
      <c r="A46" s="255" t="str">
        <f>IFERROR(__xludf.DUMMYFUNCTION("""COMPUTED_VALUE"""),"MICRO")</f>
        <v>MICRO</v>
      </c>
      <c r="B46" s="23" t="str">
        <f>IFERROR(__xludf.DUMMYFUNCTION("""COMPUTED_VALUE"""),"laksapro26")</f>
        <v>laksapro26</v>
      </c>
      <c r="C46" s="281" t="str">
        <f>IFERROR(__xludf.DUMMYFUNCTION("""COMPUTED_VALUE"""),"https://www.tiktok.com/@laksapro26")</f>
        <v>https://www.tiktok.com/@laksapro26</v>
      </c>
      <c r="D46" s="270">
        <f>IFERROR(__xludf.DUMMYFUNCTION("""COMPUTED_VALUE"""),8.21911808E10)</f>
        <v>82191180800</v>
      </c>
      <c r="E46" s="271" t="str">
        <f>IFERROR(__xludf.DUMMYFUNCTION("""COMPUTED_VALUE"""),"Rp.0")</f>
        <v>Rp.0</v>
      </c>
      <c r="F46" s="270">
        <f>IFERROR(__xludf.DUMMYFUNCTION("""COMPUTED_VALUE"""),3.0)</f>
        <v>3</v>
      </c>
      <c r="G46" s="270" t="str">
        <f>IFERROR(__xludf.DUMMYFUNCTION("""COMPUTED_VALUE"""),"Rp1,2M")</f>
        <v>Rp1,2M</v>
      </c>
      <c r="H46" s="259" t="str">
        <f>IFERROR(__xludf.DUMMYFUNCTION("""COMPUTED_VALUE""")," Bright Facial Wash")</f>
        <v> Bright Facial Wash</v>
      </c>
      <c r="I46" s="260" t="str">
        <f>IFERROR(__xludf.DUMMYFUNCTION("""COMPUTED_VALUE"""),"Sudah Proses Pengiriman")</f>
        <v>Sudah Proses Pengiriman</v>
      </c>
      <c r="J46" s="261"/>
      <c r="K46" s="262"/>
      <c r="L46" s="261"/>
      <c r="M46" s="262"/>
      <c r="N46" s="261"/>
      <c r="O46" s="17"/>
      <c r="P46" s="261"/>
      <c r="Q46" s="17"/>
      <c r="R46" s="266"/>
      <c r="S46" s="266"/>
      <c r="T46" s="266"/>
      <c r="U46" s="266"/>
    </row>
    <row r="47">
      <c r="A47" s="255" t="str">
        <f>IFERROR(__xludf.DUMMYFUNCTION("""COMPUTED_VALUE"""),"NANO")</f>
        <v>NANO</v>
      </c>
      <c r="B47" s="23" t="str">
        <f>IFERROR(__xludf.DUMMYFUNCTION("""COMPUTED_VALUE"""),"dodiafrizal13")</f>
        <v>dodiafrizal13</v>
      </c>
      <c r="C47" s="281" t="str">
        <f>IFERROR(__xludf.DUMMYFUNCTION("""COMPUTED_VALUE"""),"https://www.tiktok.com/@dodiafrizal13")</f>
        <v>https://www.tiktok.com/@dodiafrizal13</v>
      </c>
      <c r="D47" s="270">
        <f>IFERROR(__xludf.DUMMYFUNCTION("""COMPUTED_VALUE"""),8.3157633265E10)</f>
        <v>83157633265</v>
      </c>
      <c r="E47" s="271" t="str">
        <f>IFERROR(__xludf.DUMMYFUNCTION("""COMPUTED_VALUE"""),"Rp.0")</f>
        <v>Rp.0</v>
      </c>
      <c r="F47" s="270">
        <f>IFERROR(__xludf.DUMMYFUNCTION("""COMPUTED_VALUE"""),3.0)</f>
        <v>3</v>
      </c>
      <c r="G47" s="270" t="str">
        <f>IFERROR(__xludf.DUMMYFUNCTION("""COMPUTED_VALUE"""),"Rp18,9jt")</f>
        <v>Rp18,9jt</v>
      </c>
      <c r="H47" s="259" t="str">
        <f>IFERROR(__xludf.DUMMYFUNCTION("""COMPUTED_VALUE""")," Bright Facial Wash")</f>
        <v> Bright Facial Wash</v>
      </c>
      <c r="I47" s="260" t="str">
        <f>IFERROR(__xludf.DUMMYFUNCTION("""COMPUTED_VALUE"""),"Sampai")</f>
        <v>Sampai</v>
      </c>
      <c r="J47" s="261" t="str">
        <f>IFERROR(__xludf.DUMMYFUNCTION("""COMPUTED_VALUE"""),"Concept 3")</f>
        <v>Concept 3</v>
      </c>
      <c r="K47" s="278" t="str">
        <f>IFERROR(__xludf.DUMMYFUNCTION("""COMPUTED_VALUE"""),"https://vt.tiktok.com/ZSQ6QRDTN/")</f>
        <v>https://vt.tiktok.com/ZSQ6QRDTN/</v>
      </c>
      <c r="L47" s="261"/>
      <c r="M47" s="262"/>
      <c r="N47" s="261"/>
      <c r="O47" s="17"/>
      <c r="P47" s="261"/>
      <c r="Q47" s="17"/>
      <c r="R47" s="266"/>
      <c r="S47" s="266"/>
      <c r="T47" s="266"/>
      <c r="U47" s="266"/>
    </row>
    <row r="48">
      <c r="A48" s="255" t="str">
        <f>IFERROR(__xludf.DUMMYFUNCTION("""COMPUTED_VALUE"""),"MICRO")</f>
        <v>MICRO</v>
      </c>
      <c r="B48" s="23" t="str">
        <f>IFERROR(__xludf.DUMMYFUNCTION("""COMPUTED_VALUE"""),"justkyyy17")</f>
        <v>justkyyy17</v>
      </c>
      <c r="C48" s="281" t="str">
        <f>IFERROR(__xludf.DUMMYFUNCTION("""COMPUTED_VALUE"""),"https://www.tiktok.com/@justkyyy17")</f>
        <v>https://www.tiktok.com/@justkyyy17</v>
      </c>
      <c r="D48" s="270">
        <f>IFERROR(__xludf.DUMMYFUNCTION("""COMPUTED_VALUE"""),8.81080206096E11)</f>
        <v>881080206096</v>
      </c>
      <c r="E48" s="271" t="str">
        <f>IFERROR(__xludf.DUMMYFUNCTION("""COMPUTED_VALUE"""),"Rp.0")</f>
        <v>Rp.0</v>
      </c>
      <c r="F48" s="270">
        <f>IFERROR(__xludf.DUMMYFUNCTION("""COMPUTED_VALUE"""),3.0)</f>
        <v>3</v>
      </c>
      <c r="G48" s="270" t="str">
        <f>IFERROR(__xludf.DUMMYFUNCTION("""COMPUTED_VALUE"""),"Rp1JT+")</f>
        <v>Rp1JT+</v>
      </c>
      <c r="H48" s="259" t="str">
        <f>IFERROR(__xludf.DUMMYFUNCTION("""COMPUTED_VALUE"""),"Dual Cream")</f>
        <v>Dual Cream</v>
      </c>
      <c r="I48" s="260" t="str">
        <f>IFERROR(__xludf.DUMMYFUNCTION("""COMPUTED_VALUE"""),"Sudah Proses Pengiriman")</f>
        <v>Sudah Proses Pengiriman</v>
      </c>
      <c r="J48" s="261"/>
      <c r="K48" s="262"/>
      <c r="L48" s="261"/>
      <c r="M48" s="262"/>
      <c r="N48" s="261"/>
      <c r="O48" s="17"/>
      <c r="P48" s="261"/>
      <c r="Q48" s="17"/>
      <c r="R48" s="266"/>
      <c r="S48" s="266"/>
      <c r="T48" s="266"/>
      <c r="U48" s="266"/>
    </row>
    <row r="49">
      <c r="A49" s="255" t="str">
        <f>IFERROR(__xludf.DUMMYFUNCTION("""COMPUTED_VALUE"""),"MICRO")</f>
        <v>MICRO</v>
      </c>
      <c r="B49" s="23" t="str">
        <f>IFERROR(__xludf.DUMMYFUNCTION("""COMPUTED_VALUE"""),"bang.clv")</f>
        <v>bang.clv</v>
      </c>
      <c r="C49" s="281" t="str">
        <f>IFERROR(__xludf.DUMMYFUNCTION("""COMPUTED_VALUE"""),"https://www.tiktok.com/@bang.clv")</f>
        <v>https://www.tiktok.com/@bang.clv</v>
      </c>
      <c r="D49" s="270">
        <f>IFERROR(__xludf.DUMMYFUNCTION("""COMPUTED_VALUE"""),8.5697512523E10)</f>
        <v>85697512523</v>
      </c>
      <c r="E49" s="271" t="str">
        <f>IFERROR(__xludf.DUMMYFUNCTION("""COMPUTED_VALUE"""),"Rp.0")</f>
        <v>Rp.0</v>
      </c>
      <c r="F49" s="270">
        <f>IFERROR(__xludf.DUMMYFUNCTION("""COMPUTED_VALUE"""),3.0)</f>
        <v>3</v>
      </c>
      <c r="G49" s="270" t="str">
        <f>IFERROR(__xludf.DUMMYFUNCTION("""COMPUTED_VALUE"""),"Rp1JT+")</f>
        <v>Rp1JT+</v>
      </c>
      <c r="H49" s="259" t="str">
        <f>IFERROR(__xludf.DUMMYFUNCTION("""COMPUTED_VALUE""")," Bright Facial Wash")</f>
        <v> Bright Facial Wash</v>
      </c>
      <c r="I49" s="260" t="str">
        <f>IFERROR(__xludf.DUMMYFUNCTION("""COMPUTED_VALUE"""),"Sudah Proses Pengiriman")</f>
        <v>Sudah Proses Pengiriman</v>
      </c>
      <c r="J49" s="261"/>
      <c r="K49" s="262"/>
      <c r="L49" s="261"/>
      <c r="M49" s="262"/>
      <c r="N49" s="261"/>
      <c r="O49" s="17"/>
      <c r="P49" s="261"/>
      <c r="Q49" s="17"/>
      <c r="R49" s="266"/>
      <c r="S49" s="266"/>
      <c r="T49" s="266"/>
      <c r="U49" s="266"/>
    </row>
    <row r="50">
      <c r="A50" s="255" t="str">
        <f>IFERROR(__xludf.DUMMYFUNCTION("""COMPUTED_VALUE"""),"NANO")</f>
        <v>NANO</v>
      </c>
      <c r="B50" s="23" t="str">
        <f>IFERROR(__xludf.DUMMYFUNCTION("""COMPUTED_VALUE"""),"otwhulk_")</f>
        <v>otwhulk_</v>
      </c>
      <c r="C50" s="281" t="str">
        <f>IFERROR(__xludf.DUMMYFUNCTION("""COMPUTED_VALUE"""),"https://www.tiktok.com/@otwhulk_")</f>
        <v>https://www.tiktok.com/@otwhulk_</v>
      </c>
      <c r="D50" s="270">
        <f>IFERROR(__xludf.DUMMYFUNCTION("""COMPUTED_VALUE"""),8.5172005966E10)</f>
        <v>85172005966</v>
      </c>
      <c r="E50" s="271" t="str">
        <f>IFERROR(__xludf.DUMMYFUNCTION("""COMPUTED_VALUE"""),"Rp. 175.000")</f>
        <v>Rp. 175.000</v>
      </c>
      <c r="F50" s="270">
        <f>IFERROR(__xludf.DUMMYFUNCTION("""COMPUTED_VALUE"""),1.0)</f>
        <v>1</v>
      </c>
      <c r="G50" s="270" t="str">
        <f>IFERROR(__xludf.DUMMYFUNCTION("""COMPUTED_VALUE"""),"Rp49,5jt")</f>
        <v>Rp49,5jt</v>
      </c>
      <c r="H50" s="259" t="str">
        <f>IFERROR(__xludf.DUMMYFUNCTION("""COMPUTED_VALUE"""),"2 Product (Facial Wash + Dual Cream)")</f>
        <v>2 Product (Facial Wash + Dual Cream)</v>
      </c>
      <c r="I50" s="260" t="str">
        <f>IFERROR(__xludf.DUMMYFUNCTION("""COMPUTED_VALUE"""),"Sudah Proses Pengiriman")</f>
        <v>Sudah Proses Pengiriman</v>
      </c>
      <c r="J50" s="261"/>
      <c r="K50" s="262"/>
      <c r="L50" s="261"/>
      <c r="M50" s="262"/>
      <c r="N50" s="261"/>
      <c r="O50" s="17"/>
      <c r="P50" s="261"/>
      <c r="Q50" s="17"/>
      <c r="R50" s="266"/>
      <c r="S50" s="266"/>
      <c r="T50" s="266"/>
      <c r="U50" s="266"/>
    </row>
    <row r="51">
      <c r="A51" s="255" t="str">
        <f>IFERROR(__xludf.DUMMYFUNCTION("""COMPUTED_VALUE"""),"MACRO")</f>
        <v>MACRO</v>
      </c>
      <c r="B51" s="23" t="str">
        <f>IFERROR(__xludf.DUMMYFUNCTION("""COMPUTED_VALUE"""),"patrickchristian_")</f>
        <v>patrickchristian_</v>
      </c>
      <c r="C51" s="281" t="str">
        <f>IFERROR(__xludf.DUMMYFUNCTION("""COMPUTED_VALUE"""),"https://www.tiktok.com/@patrickchristian_")</f>
        <v>https://www.tiktok.com/@patrickchristian_</v>
      </c>
      <c r="D51" s="270">
        <f>IFERROR(__xludf.DUMMYFUNCTION("""COMPUTED_VALUE"""),8.1217381118E10)</f>
        <v>81217381118</v>
      </c>
      <c r="E51" s="271" t="str">
        <f>IFERROR(__xludf.DUMMYFUNCTION("""COMPUTED_VALUE"""),"Rp.1.000.000")</f>
        <v>Rp.1.000.000</v>
      </c>
      <c r="F51" s="270">
        <f>IFERROR(__xludf.DUMMYFUNCTION("""COMPUTED_VALUE"""),2.0)</f>
        <v>2</v>
      </c>
      <c r="G51" s="270" t="str">
        <f>IFERROR(__xludf.DUMMYFUNCTION("""COMPUTED_VALUE"""),"Rp1JT+")</f>
        <v>Rp1JT+</v>
      </c>
      <c r="H51" s="259" t="str">
        <f>IFERROR(__xludf.DUMMYFUNCTION("""COMPUTED_VALUE"""),"2 Product (Facial Wash + Dual Cream)")</f>
        <v>2 Product (Facial Wash + Dual Cream)</v>
      </c>
      <c r="I51" s="260" t="str">
        <f>IFERROR(__xludf.DUMMYFUNCTION("""COMPUTED_VALUE"""),"Sudah Proses Pengiriman")</f>
        <v>Sudah Proses Pengiriman</v>
      </c>
      <c r="J51" s="261"/>
      <c r="K51" s="262"/>
      <c r="L51" s="261"/>
      <c r="M51" s="262"/>
      <c r="N51" s="261"/>
      <c r="O51" s="17"/>
      <c r="P51" s="261"/>
      <c r="Q51" s="17"/>
      <c r="R51" s="266"/>
      <c r="S51" s="266"/>
      <c r="T51" s="266"/>
      <c r="U51" s="266"/>
    </row>
    <row r="52">
      <c r="A52" s="255" t="str">
        <f>IFERROR(__xludf.DUMMYFUNCTION("""COMPUTED_VALUE"""),"MICRO")</f>
        <v>MICRO</v>
      </c>
      <c r="B52" s="23" t="str">
        <f>IFERROR(__xludf.DUMMYFUNCTION("""COMPUTED_VALUE"""),"itral8")</f>
        <v>itral8</v>
      </c>
      <c r="C52" s="281" t="str">
        <f>IFERROR(__xludf.DUMMYFUNCTION("""COMPUTED_VALUE"""),"https://www.tiktok.com/@itral8")</f>
        <v>https://www.tiktok.com/@itral8</v>
      </c>
      <c r="D52" s="270">
        <f>IFERROR(__xludf.DUMMYFUNCTION("""COMPUTED_VALUE"""),6.282241480991E12)</f>
        <v>6282241480991</v>
      </c>
      <c r="E52" s="271" t="str">
        <f>IFERROR(__xludf.DUMMYFUNCTION("""COMPUTED_VALUE"""),"Rp.233.333")</f>
        <v>Rp.233.333</v>
      </c>
      <c r="F52" s="270">
        <f>IFERROR(__xludf.DUMMYFUNCTION("""COMPUTED_VALUE"""),1.0)</f>
        <v>1</v>
      </c>
      <c r="G52" s="270" t="str">
        <f>IFERROR(__xludf.DUMMYFUNCTION("""COMPUTED_VALUE"""),"Rp65.44m")</f>
        <v>Rp65.44m</v>
      </c>
      <c r="H52" s="259" t="str">
        <f>IFERROR(__xludf.DUMMYFUNCTION("""COMPUTED_VALUE"""),"2 Product (Facial Wash + Dual Cream)")</f>
        <v>2 Product (Facial Wash + Dual Cream)</v>
      </c>
      <c r="I52" s="260" t="str">
        <f>IFERROR(__xludf.DUMMYFUNCTION("""COMPUTED_VALUE"""),"Sudah Proses Pengiriman")</f>
        <v>Sudah Proses Pengiriman</v>
      </c>
      <c r="J52" s="261"/>
      <c r="K52" s="262"/>
      <c r="L52" s="261"/>
      <c r="M52" s="262"/>
      <c r="N52" s="261"/>
      <c r="O52" s="17"/>
      <c r="P52" s="261"/>
      <c r="Q52" s="17"/>
      <c r="R52" s="266"/>
      <c r="S52" s="266"/>
      <c r="T52" s="266"/>
      <c r="U52" s="266"/>
    </row>
    <row r="53">
      <c r="A53" s="255" t="str">
        <f>IFERROR(__xludf.DUMMYFUNCTION("""COMPUTED_VALUE"""),"MACRO")</f>
        <v>MACRO</v>
      </c>
      <c r="B53" s="23" t="str">
        <f>IFERROR(__xludf.DUMMYFUNCTION("""COMPUTED_VALUE"""),"aryaprdnn_")</f>
        <v>aryaprdnn_</v>
      </c>
      <c r="C53" s="281" t="str">
        <f>IFERROR(__xludf.DUMMYFUNCTION("""COMPUTED_VALUE"""),"https://www.tiktok.com/@aryaprdnn_")</f>
        <v>https://www.tiktok.com/@aryaprdnn_</v>
      </c>
      <c r="D53" s="270">
        <f>IFERROR(__xludf.DUMMYFUNCTION("""COMPUTED_VALUE"""),8.5183046794E10)</f>
        <v>85183046794</v>
      </c>
      <c r="E53" s="271" t="str">
        <f>IFERROR(__xludf.DUMMYFUNCTION("""COMPUTED_VALUE"""),"Rp.650.000")</f>
        <v>Rp.650.000</v>
      </c>
      <c r="F53" s="270">
        <f>IFERROR(__xludf.DUMMYFUNCTION("""COMPUTED_VALUE"""),1.0)</f>
        <v>1</v>
      </c>
      <c r="G53" s="270" t="str">
        <f>IFERROR(__xludf.DUMMYFUNCTION("""COMPUTED_VALUE"""),"Rp229.59m")</f>
        <v>Rp229.59m</v>
      </c>
      <c r="H53" s="259" t="str">
        <f>IFERROR(__xludf.DUMMYFUNCTION("""COMPUTED_VALUE""")," Bright Facial Wash")</f>
        <v> Bright Facial Wash</v>
      </c>
      <c r="I53" s="260" t="str">
        <f>IFERROR(__xludf.DUMMYFUNCTION("""COMPUTED_VALUE"""),"Sudah Proses Pengiriman")</f>
        <v>Sudah Proses Pengiriman</v>
      </c>
      <c r="J53" s="261"/>
      <c r="K53" s="262"/>
      <c r="L53" s="261"/>
      <c r="M53" s="262"/>
      <c r="N53" s="261"/>
      <c r="O53" s="17"/>
      <c r="P53" s="261"/>
      <c r="Q53" s="17"/>
      <c r="R53" s="266"/>
      <c r="S53" s="266"/>
      <c r="T53" s="266"/>
      <c r="U53" s="266"/>
    </row>
    <row r="54">
      <c r="A54" s="255" t="str">
        <f>IFERROR(__xludf.DUMMYFUNCTION("""COMPUTED_VALUE"""),"NANO")</f>
        <v>NANO</v>
      </c>
      <c r="B54" s="23" t="str">
        <f>IFERROR(__xludf.DUMMYFUNCTION("""COMPUTED_VALUE"""),"kayycekout")</f>
        <v>kayycekout</v>
      </c>
      <c r="C54" s="281" t="str">
        <f>IFERROR(__xludf.DUMMYFUNCTION("""COMPUTED_VALUE"""),"https://www.tiktok.com/@kayycekout")</f>
        <v>https://www.tiktok.com/@kayycekout</v>
      </c>
      <c r="D54" s="270">
        <f>IFERROR(__xludf.DUMMYFUNCTION("""COMPUTED_VALUE"""),6.288266085528E12)</f>
        <v>6288266085528</v>
      </c>
      <c r="E54" s="271" t="str">
        <f>IFERROR(__xludf.DUMMYFUNCTION("""COMPUTED_VALUE"""),"Rp.0")</f>
        <v>Rp.0</v>
      </c>
      <c r="F54" s="270">
        <f>IFERROR(__xludf.DUMMYFUNCTION("""COMPUTED_VALUE"""),3.0)</f>
        <v>3</v>
      </c>
      <c r="G54" s="270" t="str">
        <f>IFERROR(__xludf.DUMMYFUNCTION("""COMPUTED_VALUE"""),"Rp47,4jt")</f>
        <v>Rp47,4jt</v>
      </c>
      <c r="H54" s="259" t="str">
        <f>IFERROR(__xludf.DUMMYFUNCTION("""COMPUTED_VALUE"""),"2 Product (Facial Wash + Dual Cream)")</f>
        <v>2 Product (Facial Wash + Dual Cream)</v>
      </c>
      <c r="I54" s="260" t="str">
        <f>IFERROR(__xludf.DUMMYFUNCTION("""COMPUTED_VALUE"""),"Sudah Proses Pengiriman")</f>
        <v>Sudah Proses Pengiriman</v>
      </c>
      <c r="J54" s="261"/>
      <c r="K54" s="262"/>
      <c r="L54" s="261"/>
      <c r="M54" s="262"/>
      <c r="N54" s="261"/>
      <c r="O54" s="17"/>
      <c r="P54" s="261"/>
      <c r="Q54" s="17"/>
      <c r="R54" s="266"/>
      <c r="S54" s="266"/>
      <c r="T54" s="266"/>
      <c r="U54" s="266"/>
    </row>
    <row r="55">
      <c r="A55" s="255" t="str">
        <f>IFERROR(__xludf.DUMMYFUNCTION("""COMPUTED_VALUE"""),"NANO")</f>
        <v>NANO</v>
      </c>
      <c r="B55" s="23" t="str">
        <f>IFERROR(__xludf.DUMMYFUNCTION("""COMPUTED_VALUE"""),"rizkyrare	")</f>
        <v>rizkyrare	</v>
      </c>
      <c r="C55" s="281" t="str">
        <f>IFERROR(__xludf.DUMMYFUNCTION("""COMPUTED_VALUE"""),"https://www.tiktok.com/@rizkyrare	")</f>
        <v>https://www.tiktok.com/@rizkyrare	</v>
      </c>
      <c r="D55" s="270">
        <f>IFERROR(__xludf.DUMMYFUNCTION("""COMPUTED_VALUE"""),8.9666020201E10)</f>
        <v>89666020201</v>
      </c>
      <c r="E55" s="271" t="str">
        <f>IFERROR(__xludf.DUMMYFUNCTION("""COMPUTED_VALUE"""),"Rp.0")</f>
        <v>Rp.0</v>
      </c>
      <c r="F55" s="270">
        <f>IFERROR(__xludf.DUMMYFUNCTION("""COMPUTED_VALUE"""),3.0)</f>
        <v>3</v>
      </c>
      <c r="G55" s="270" t="str">
        <f>IFERROR(__xludf.DUMMYFUNCTION("""COMPUTED_VALUE"""),"Rp6.73m")</f>
        <v>Rp6.73m</v>
      </c>
      <c r="H55" s="259" t="str">
        <f>IFERROR(__xludf.DUMMYFUNCTION("""COMPUTED_VALUE"""),"Dual Cream")</f>
        <v>Dual Cream</v>
      </c>
      <c r="I55" s="260" t="str">
        <f>IFERROR(__xludf.DUMMYFUNCTION("""COMPUTED_VALUE"""),"Sudah Proses Pengiriman")</f>
        <v>Sudah Proses Pengiriman</v>
      </c>
      <c r="J55" s="261"/>
      <c r="K55" s="262"/>
      <c r="L55" s="261"/>
      <c r="M55" s="262"/>
      <c r="N55" s="261"/>
      <c r="O55" s="17"/>
      <c r="P55" s="261"/>
      <c r="Q55" s="17"/>
      <c r="R55" s="266"/>
      <c r="S55" s="266"/>
      <c r="T55" s="266"/>
      <c r="U55" s="266"/>
    </row>
    <row r="56">
      <c r="A56" s="255" t="str">
        <f>IFERROR(__xludf.DUMMYFUNCTION("""COMPUTED_VALUE"""),"MICRO")</f>
        <v>MICRO</v>
      </c>
      <c r="B56" s="23" t="str">
        <f>IFERROR(__xludf.DUMMYFUNCTION("""COMPUTED_VALUE"""),"winduangga")</f>
        <v>winduangga</v>
      </c>
      <c r="C56" s="281" t="str">
        <f>IFERROR(__xludf.DUMMYFUNCTION("""COMPUTED_VALUE"""),"https://www.tiktok.com/@winduangga")</f>
        <v>https://www.tiktok.com/@winduangga</v>
      </c>
      <c r="D56" s="270">
        <f>IFERROR(__xludf.DUMMYFUNCTION("""COMPUTED_VALUE"""),8.9502870963E10)</f>
        <v>89502870963</v>
      </c>
      <c r="E56" s="271" t="str">
        <f>IFERROR(__xludf.DUMMYFUNCTION("""COMPUTED_VALUE"""),"Rp.300.000")</f>
        <v>Rp.300.000</v>
      </c>
      <c r="F56" s="270">
        <f>IFERROR(__xludf.DUMMYFUNCTION("""COMPUTED_VALUE"""),1.0)</f>
        <v>1</v>
      </c>
      <c r="G56" s="270" t="str">
        <f>IFERROR(__xludf.DUMMYFUNCTION("""COMPUTED_VALUE"""),"Rp51.30m")</f>
        <v>Rp51.30m</v>
      </c>
      <c r="H56" s="259" t="str">
        <f>IFERROR(__xludf.DUMMYFUNCTION("""COMPUTED_VALUE"""),"2 Product (Facial Wash + Dual Cream)")</f>
        <v>2 Product (Facial Wash + Dual Cream)</v>
      </c>
      <c r="I56" s="260" t="str">
        <f>IFERROR(__xludf.DUMMYFUNCTION("""COMPUTED_VALUE"""),"Sudah Proses Pengiriman")</f>
        <v>Sudah Proses Pengiriman</v>
      </c>
      <c r="J56" s="261"/>
      <c r="K56" s="262"/>
      <c r="L56" s="261"/>
      <c r="M56" s="262"/>
      <c r="N56" s="261"/>
      <c r="O56" s="17"/>
      <c r="P56" s="261"/>
      <c r="Q56" s="17"/>
      <c r="R56" s="266"/>
      <c r="S56" s="266"/>
      <c r="T56" s="266"/>
      <c r="U56" s="266"/>
    </row>
    <row r="57">
      <c r="A57" s="255" t="str">
        <f>IFERROR(__xludf.DUMMYFUNCTION("""COMPUTED_VALUE"""),"NANO")</f>
        <v>NANO</v>
      </c>
      <c r="B57" s="23" t="str">
        <f>IFERROR(__xludf.DUMMYFUNCTION("""COMPUTED_VALUE"""),"krakalat	")</f>
        <v>krakalat	</v>
      </c>
      <c r="C57" s="281" t="str">
        <f>IFERROR(__xludf.DUMMYFUNCTION("""COMPUTED_VALUE"""),"https://www.tiktok.com/@krakalat	")</f>
        <v>https://www.tiktok.com/@krakalat	</v>
      </c>
      <c r="D57" s="270">
        <f>IFERROR(__xludf.DUMMYFUNCTION("""COMPUTED_VALUE"""),6.285755966386E12)</f>
        <v>6285755966386</v>
      </c>
      <c r="E57" s="271" t="str">
        <f>IFERROR(__xludf.DUMMYFUNCTION("""COMPUTED_VALUE"""),"Rp.0")</f>
        <v>Rp.0</v>
      </c>
      <c r="F57" s="270">
        <f>IFERROR(__xludf.DUMMYFUNCTION("""COMPUTED_VALUE"""),3.0)</f>
        <v>3</v>
      </c>
      <c r="G57" s="270" t="str">
        <f>IFERROR(__xludf.DUMMYFUNCTION("""COMPUTED_VALUE"""),"Rp5.13m")</f>
        <v>Rp5.13m</v>
      </c>
      <c r="H57" s="259" t="str">
        <f>IFERROR(__xludf.DUMMYFUNCTION("""COMPUTED_VALUE""")," Bright Facial Wash")</f>
        <v> Bright Facial Wash</v>
      </c>
      <c r="I57" s="260" t="str">
        <f>IFERROR(__xludf.DUMMYFUNCTION("""COMPUTED_VALUE"""),"Sudah Proses Pengiriman")</f>
        <v>Sudah Proses Pengiriman</v>
      </c>
      <c r="J57" s="261"/>
      <c r="K57" s="262"/>
      <c r="L57" s="261"/>
      <c r="M57" s="262"/>
      <c r="N57" s="261"/>
      <c r="O57" s="17"/>
      <c r="P57" s="261"/>
      <c r="Q57" s="17"/>
      <c r="R57" s="266"/>
      <c r="S57" s="266"/>
      <c r="T57" s="266"/>
      <c r="U57" s="266"/>
    </row>
    <row r="58">
      <c r="A58" s="255" t="str">
        <f>IFERROR(__xludf.DUMMYFUNCTION("""COMPUTED_VALUE"""),"MICRO")</f>
        <v>MICRO</v>
      </c>
      <c r="B58" s="23" t="str">
        <f>IFERROR(__xludf.DUMMYFUNCTION("""COMPUTED_VALUE"""),"mhmdfrns3")</f>
        <v>mhmdfrns3</v>
      </c>
      <c r="C58" s="281" t="str">
        <f>IFERROR(__xludf.DUMMYFUNCTION("""COMPUTED_VALUE"""),"https://www.tiktok.com/@mhmdfrns3")</f>
        <v>https://www.tiktok.com/@mhmdfrns3</v>
      </c>
      <c r="D58" s="270">
        <f>IFERROR(__xludf.DUMMYFUNCTION("""COMPUTED_VALUE"""),8.95806399456E11)</f>
        <v>895806399456</v>
      </c>
      <c r="E58" s="271" t="str">
        <f>IFERROR(__xludf.DUMMYFUNCTION("""COMPUTED_VALUE"""),"Rp.0")</f>
        <v>Rp.0</v>
      </c>
      <c r="F58" s="270">
        <f>IFERROR(__xludf.DUMMYFUNCTION("""COMPUTED_VALUE"""),3.0)</f>
        <v>3</v>
      </c>
      <c r="G58" s="270" t="str">
        <f>IFERROR(__xludf.DUMMYFUNCTION("""COMPUTED_VALUE"""),"Rp1JT+")</f>
        <v>Rp1JT+</v>
      </c>
      <c r="H58" s="259" t="str">
        <f>IFERROR(__xludf.DUMMYFUNCTION("""COMPUTED_VALUE"""),"Dual Cream")</f>
        <v>Dual Cream</v>
      </c>
      <c r="I58" s="260" t="str">
        <f>IFERROR(__xludf.DUMMYFUNCTION("""COMPUTED_VALUE"""),"Sudah Proses Pengiriman")</f>
        <v>Sudah Proses Pengiriman</v>
      </c>
      <c r="J58" s="261"/>
      <c r="K58" s="262"/>
      <c r="L58" s="261"/>
      <c r="M58" s="262"/>
      <c r="N58" s="261"/>
      <c r="O58" s="17"/>
      <c r="P58" s="261"/>
      <c r="Q58" s="17"/>
      <c r="R58" s="266"/>
      <c r="S58" s="266"/>
      <c r="T58" s="266"/>
      <c r="U58" s="266"/>
    </row>
    <row r="59">
      <c r="A59" s="255" t="str">
        <f>IFERROR(__xludf.DUMMYFUNCTION("""COMPUTED_VALUE"""),"NANO")</f>
        <v>NANO</v>
      </c>
      <c r="B59" s="23" t="str">
        <f>IFERROR(__xludf.DUMMYFUNCTION("""COMPUTED_VALUE"""),"ojan")</f>
        <v>ojan</v>
      </c>
      <c r="C59" s="281" t="str">
        <f>IFERROR(__xludf.DUMMYFUNCTION("""COMPUTED_VALUE"""),"https://www.tiktok.com/@ojan")</f>
        <v>https://www.tiktok.com/@ojan</v>
      </c>
      <c r="D59" s="270">
        <f>IFERROR(__xludf.DUMMYFUNCTION("""COMPUTED_VALUE"""),8.1267339574E10)</f>
        <v>81267339574</v>
      </c>
      <c r="E59" s="271" t="str">
        <f>IFERROR(__xludf.DUMMYFUNCTION("""COMPUTED_VALUE"""),"Rp.0 ")</f>
        <v>Rp.0 </v>
      </c>
      <c r="F59" s="270">
        <f>IFERROR(__xludf.DUMMYFUNCTION("""COMPUTED_VALUE"""),3.0)</f>
        <v>3</v>
      </c>
      <c r="G59" s="270"/>
      <c r="H59" s="259" t="str">
        <f>IFERROR(__xludf.DUMMYFUNCTION("""COMPUTED_VALUE"""),"2 Product (Facial Wash + Dual Cream)")</f>
        <v>2 Product (Facial Wash + Dual Cream)</v>
      </c>
      <c r="I59" s="260" t="str">
        <f>IFERROR(__xludf.DUMMYFUNCTION("""COMPUTED_VALUE"""),"Sudah Proses Pengiriman")</f>
        <v>Sudah Proses Pengiriman</v>
      </c>
      <c r="J59" s="261"/>
      <c r="K59" s="262"/>
      <c r="L59" s="261"/>
      <c r="M59" s="262"/>
      <c r="N59" s="261"/>
      <c r="O59" s="17"/>
      <c r="P59" s="261"/>
      <c r="Q59" s="17"/>
      <c r="R59" s="266"/>
      <c r="S59" s="266"/>
      <c r="T59" s="266"/>
      <c r="U59" s="266"/>
    </row>
    <row r="60">
      <c r="A60" s="255" t="str">
        <f>IFERROR(__xludf.DUMMYFUNCTION("""COMPUTED_VALUE"""),"NANO")</f>
        <v>NANO</v>
      </c>
      <c r="B60" s="257" t="str">
        <f>IFERROR(__xludf.DUMMYFUNCTION("""COMPUTED_VALUE"""),"trendipria.id")</f>
        <v>trendipria.id</v>
      </c>
      <c r="C60" s="281" t="str">
        <f>IFERROR(__xludf.DUMMYFUNCTION("""COMPUTED_VALUE"""),"https://www.tiktok.com/@trendipria.id")</f>
        <v>https://www.tiktok.com/@trendipria.id</v>
      </c>
      <c r="D60" s="270">
        <f>IFERROR(__xludf.DUMMYFUNCTION("""COMPUTED_VALUE"""),8.1933740336E10)</f>
        <v>81933740336</v>
      </c>
      <c r="E60" s="271" t="str">
        <f>IFERROR(__xludf.DUMMYFUNCTION("""COMPUTED_VALUE"""),"Rp.0 ")</f>
        <v>Rp.0 </v>
      </c>
      <c r="F60" s="270">
        <f>IFERROR(__xludf.DUMMYFUNCTION("""COMPUTED_VALUE"""),3.0)</f>
        <v>3</v>
      </c>
      <c r="G60" s="270" t="str">
        <f>IFERROR(__xludf.DUMMYFUNCTION("""COMPUTED_VALUE"""),"Rp5,4jt")</f>
        <v>Rp5,4jt</v>
      </c>
      <c r="H60" s="259" t="str">
        <f>IFERROR(__xludf.DUMMYFUNCTION("""COMPUTED_VALUE""")," Bright Facial Wash")</f>
        <v> Bright Facial Wash</v>
      </c>
      <c r="I60" s="260" t="str">
        <f>IFERROR(__xludf.DUMMYFUNCTION("""COMPUTED_VALUE"""),"Sudah Proses Pengiriman")</f>
        <v>Sudah Proses Pengiriman</v>
      </c>
      <c r="J60" s="261"/>
      <c r="K60" s="262"/>
      <c r="L60" s="261"/>
      <c r="M60" s="262"/>
      <c r="N60" s="261"/>
      <c r="O60" s="17"/>
      <c r="P60" s="261"/>
      <c r="Q60" s="17"/>
      <c r="R60" s="266"/>
      <c r="S60" s="266"/>
      <c r="T60" s="266"/>
      <c r="U60" s="266"/>
    </row>
    <row r="61">
      <c r="A61" s="255" t="str">
        <f>IFERROR(__xludf.DUMMYFUNCTION("""COMPUTED_VALUE"""),"NANO")</f>
        <v>NANO</v>
      </c>
      <c r="B61" s="23" t="str">
        <f>IFERROR(__xludf.DUMMYFUNCTION("""COMPUTED_VALUE"""),"samu3ll6")</f>
        <v>samu3ll6</v>
      </c>
      <c r="C61" s="281" t="str">
        <f>IFERROR(__xludf.DUMMYFUNCTION("""COMPUTED_VALUE"""),"https://www.tiktok.com/@samu3ll6")</f>
        <v>https://www.tiktok.com/@samu3ll6</v>
      </c>
      <c r="D61" s="270">
        <f>IFERROR(__xludf.DUMMYFUNCTION("""COMPUTED_VALUE"""),6.285713037481E12)</f>
        <v>6285713037481</v>
      </c>
      <c r="E61" s="271" t="str">
        <f>IFERROR(__xludf.DUMMYFUNCTION("""COMPUTED_VALUE"""),"Rp.0")</f>
        <v>Rp.0</v>
      </c>
      <c r="F61" s="270">
        <f>IFERROR(__xludf.DUMMYFUNCTION("""COMPUTED_VALUE"""),3.0)</f>
        <v>3</v>
      </c>
      <c r="G61" s="270" t="str">
        <f>IFERROR(__xludf.DUMMYFUNCTION("""COMPUTED_VALUE"""),"Rp1JT+")</f>
        <v>Rp1JT+</v>
      </c>
      <c r="H61" s="259" t="str">
        <f>IFERROR(__xludf.DUMMYFUNCTION("""COMPUTED_VALUE"""),"2 Product (Facial Wash + Dual Cream)")</f>
        <v>2 Product (Facial Wash + Dual Cream)</v>
      </c>
      <c r="I61" s="260" t="str">
        <f>IFERROR(__xludf.DUMMYFUNCTION("""COMPUTED_VALUE"""),"Sudah Proses Pengiriman")</f>
        <v>Sudah Proses Pengiriman</v>
      </c>
      <c r="J61" s="261"/>
      <c r="K61" s="262"/>
      <c r="L61" s="261"/>
      <c r="M61" s="262"/>
      <c r="N61" s="261"/>
      <c r="O61" s="17"/>
      <c r="P61" s="261"/>
      <c r="Q61" s="17"/>
      <c r="R61" s="266"/>
      <c r="S61" s="266"/>
      <c r="T61" s="266"/>
      <c r="U61" s="266"/>
    </row>
    <row r="62">
      <c r="A62" s="255" t="str">
        <f>IFERROR(__xludf.DUMMYFUNCTION("""COMPUTED_VALUE"""),"NANO")</f>
        <v>NANO</v>
      </c>
      <c r="B62" s="23" t="str">
        <f>IFERROR(__xludf.DUMMYFUNCTION("""COMPUTED_VALUE"""),"zfofficialstore_")</f>
        <v>zfofficialstore_</v>
      </c>
      <c r="C62" s="281" t="str">
        <f>IFERROR(__xludf.DUMMYFUNCTION("""COMPUTED_VALUE"""),"https://www.tiktok.com/@zfofficialstore_")</f>
        <v>https://www.tiktok.com/@zfofficialstore_</v>
      </c>
      <c r="D62" s="270">
        <f>IFERROR(__xludf.DUMMYFUNCTION("""COMPUTED_VALUE"""),8.2282821411E10)</f>
        <v>82282821411</v>
      </c>
      <c r="E62" s="271" t="str">
        <f>IFERROR(__xludf.DUMMYFUNCTION("""COMPUTED_VALUE"""),"Rp.0")</f>
        <v>Rp.0</v>
      </c>
      <c r="F62" s="270">
        <f>IFERROR(__xludf.DUMMYFUNCTION("""COMPUTED_VALUE"""),3.0)</f>
        <v>3</v>
      </c>
      <c r="G62" s="270" t="str">
        <f>IFERROR(__xludf.DUMMYFUNCTION("""COMPUTED_VALUE"""),"Rp21,8jt")</f>
        <v>Rp21,8jt</v>
      </c>
      <c r="H62" s="259" t="str">
        <f>IFERROR(__xludf.DUMMYFUNCTION("""COMPUTED_VALUE""")," Bright Facial Wash")</f>
        <v> Bright Facial Wash</v>
      </c>
      <c r="I62" s="260" t="str">
        <f>IFERROR(__xludf.DUMMYFUNCTION("""COMPUTED_VALUE"""),"Sudah Proses Pengiriman")</f>
        <v>Sudah Proses Pengiriman</v>
      </c>
      <c r="J62" s="261"/>
      <c r="K62" s="262"/>
      <c r="L62" s="261"/>
      <c r="M62" s="262"/>
      <c r="N62" s="261"/>
      <c r="O62" s="17"/>
      <c r="P62" s="261"/>
      <c r="Q62" s="17"/>
      <c r="R62" s="266"/>
      <c r="S62" s="266"/>
      <c r="T62" s="266"/>
      <c r="U62" s="266"/>
    </row>
    <row r="63">
      <c r="A63" s="255" t="str">
        <f>IFERROR(__xludf.DUMMYFUNCTION("""COMPUTED_VALUE"""),"MACRO")</f>
        <v>MACRO</v>
      </c>
      <c r="B63" s="23" t="str">
        <f>IFERROR(__xludf.DUMMYFUNCTION("""COMPUTED_VALUE"""),"adisaputra.real")</f>
        <v>adisaputra.real</v>
      </c>
      <c r="C63" s="281" t="str">
        <f>IFERROR(__xludf.DUMMYFUNCTION("""COMPUTED_VALUE"""),"https://www.tiktok.com/@adisaputra.real")</f>
        <v>https://www.tiktok.com/@adisaputra.real</v>
      </c>
      <c r="D63" s="270">
        <f>IFERROR(__xludf.DUMMYFUNCTION("""COMPUTED_VALUE"""),6.289505665684E12)</f>
        <v>6289505665684</v>
      </c>
      <c r="E63" s="271" t="str">
        <f>IFERROR(__xludf.DUMMYFUNCTION("""COMPUTED_VALUE"""),"Rp.150.000")</f>
        <v>Rp.150.000</v>
      </c>
      <c r="F63" s="270">
        <f>IFERROR(__xludf.DUMMYFUNCTION("""COMPUTED_VALUE"""),1.0)</f>
        <v>1</v>
      </c>
      <c r="G63" s="270" t="str">
        <f>IFERROR(__xludf.DUMMYFUNCTION("""COMPUTED_VALUE"""),"Rp80,7jt")</f>
        <v>Rp80,7jt</v>
      </c>
      <c r="H63" s="259" t="str">
        <f>IFERROR(__xludf.DUMMYFUNCTION("""COMPUTED_VALUE"""),"2 Product (Facial Wash + Dual Cream)")</f>
        <v>2 Product (Facial Wash + Dual Cream)</v>
      </c>
      <c r="I63" s="260" t="str">
        <f>IFERROR(__xludf.DUMMYFUNCTION("""COMPUTED_VALUE"""),"Sudah Proses Pengiriman")</f>
        <v>Sudah Proses Pengiriman</v>
      </c>
      <c r="J63" s="261"/>
      <c r="K63" s="262"/>
      <c r="L63" s="261"/>
      <c r="M63" s="262"/>
      <c r="N63" s="261"/>
      <c r="O63" s="17"/>
      <c r="P63" s="261"/>
      <c r="Q63" s="17"/>
      <c r="R63" s="266"/>
      <c r="S63" s="266"/>
      <c r="T63" s="266"/>
      <c r="U63" s="266"/>
    </row>
    <row r="64">
      <c r="A64" s="255" t="str">
        <f>IFERROR(__xludf.DUMMYFUNCTION("""COMPUTED_VALUE"""),"NANO")</f>
        <v>NANO</v>
      </c>
      <c r="B64" s="23" t="str">
        <f>IFERROR(__xludf.DUMMYFUNCTION("""COMPUTED_VALUE"""),"bang.ara62")</f>
        <v>bang.ara62</v>
      </c>
      <c r="C64" s="281" t="str">
        <f>IFERROR(__xludf.DUMMYFUNCTION("""COMPUTED_VALUE"""),"https://www.tiktok.com/@bang.ara62")</f>
        <v>https://www.tiktok.com/@bang.ara62</v>
      </c>
      <c r="D64" s="270">
        <f>IFERROR(__xludf.DUMMYFUNCTION("""COMPUTED_VALUE"""),8.1393230559E10)</f>
        <v>81393230559</v>
      </c>
      <c r="E64" s="271" t="str">
        <f>IFERROR(__xludf.DUMMYFUNCTION("""COMPUTED_VALUE"""),"Rp.0")</f>
        <v>Rp.0</v>
      </c>
      <c r="F64" s="270">
        <f>IFERROR(__xludf.DUMMYFUNCTION("""COMPUTED_VALUE"""),3.0)</f>
        <v>3</v>
      </c>
      <c r="G64" s="270" t="str">
        <f>IFERROR(__xludf.DUMMYFUNCTION("""COMPUTED_VALUE"""),"Rp78,1jt")</f>
        <v>Rp78,1jt</v>
      </c>
      <c r="H64" s="259" t="str">
        <f>IFERROR(__xludf.DUMMYFUNCTION("""COMPUTED_VALUE"""),"2 Product (Facial Wash + Dual Cream)")</f>
        <v>2 Product (Facial Wash + Dual Cream)</v>
      </c>
      <c r="I64" s="260" t="str">
        <f>IFERROR(__xludf.DUMMYFUNCTION("""COMPUTED_VALUE"""),"Sudah Proses Pengiriman")</f>
        <v>Sudah Proses Pengiriman</v>
      </c>
      <c r="J64" s="261"/>
      <c r="K64" s="262"/>
      <c r="L64" s="261"/>
      <c r="M64" s="262"/>
      <c r="N64" s="261"/>
      <c r="O64" s="17"/>
      <c r="P64" s="261"/>
      <c r="Q64" s="17"/>
      <c r="R64" s="266"/>
      <c r="S64" s="266"/>
      <c r="T64" s="266"/>
      <c r="U64" s="266"/>
    </row>
    <row r="65">
      <c r="A65" s="255" t="str">
        <f>IFERROR(__xludf.DUMMYFUNCTION("""COMPUTED_VALUE"""),"NANO")</f>
        <v>NANO</v>
      </c>
      <c r="B65" s="23" t="str">
        <f>IFERROR(__xludf.DUMMYFUNCTION("""COMPUTED_VALUE"""),"farasdanii")</f>
        <v>farasdanii</v>
      </c>
      <c r="C65" s="281" t="str">
        <f>IFERROR(__xludf.DUMMYFUNCTION("""COMPUTED_VALUE"""),"https://www.tiktok.com/@farasdanii")</f>
        <v>https://www.tiktok.com/@farasdanii</v>
      </c>
      <c r="D65" s="270">
        <f>IFERROR(__xludf.DUMMYFUNCTION("""COMPUTED_VALUE"""),8.5188104429E10)</f>
        <v>85188104429</v>
      </c>
      <c r="E65" s="271" t="str">
        <f>IFERROR(__xludf.DUMMYFUNCTION("""COMPUTED_VALUE"""),"Rp.0")</f>
        <v>Rp.0</v>
      </c>
      <c r="F65" s="270">
        <f>IFERROR(__xludf.DUMMYFUNCTION("""COMPUTED_VALUE"""),3.0)</f>
        <v>3</v>
      </c>
      <c r="G65" s="270" t="str">
        <f>IFERROR(__xludf.DUMMYFUNCTION("""COMPUTED_VALUE"""),"Rp1JT+")</f>
        <v>Rp1JT+</v>
      </c>
      <c r="H65" s="259" t="str">
        <f>IFERROR(__xludf.DUMMYFUNCTION("""COMPUTED_VALUE""")," Bright Facial Wash")</f>
        <v> Bright Facial Wash</v>
      </c>
      <c r="I65" s="260" t="str">
        <f>IFERROR(__xludf.DUMMYFUNCTION("""COMPUTED_VALUE"""),"Sudah Proses Pengiriman")</f>
        <v>Sudah Proses Pengiriman</v>
      </c>
      <c r="J65" s="261"/>
      <c r="K65" s="262"/>
      <c r="L65" s="261"/>
      <c r="M65" s="262"/>
      <c r="N65" s="261"/>
      <c r="O65" s="17"/>
      <c r="P65" s="261"/>
      <c r="Q65" s="17"/>
      <c r="R65" s="266"/>
      <c r="S65" s="266"/>
      <c r="T65" s="266"/>
      <c r="U65" s="266"/>
    </row>
    <row r="66">
      <c r="A66" s="255" t="str">
        <f>IFERROR(__xludf.DUMMYFUNCTION("""COMPUTED_VALUE"""),"NANO")</f>
        <v>NANO</v>
      </c>
      <c r="B66" s="23" t="str">
        <f>IFERROR(__xludf.DUMMYFUNCTION("""COMPUTED_VALUE"""),"agiaalamsyah")</f>
        <v>agiaalamsyah</v>
      </c>
      <c r="C66" s="281" t="str">
        <f>IFERROR(__xludf.DUMMYFUNCTION("""COMPUTED_VALUE"""),"https://www.tiktok.com/@agiaalamsyah")</f>
        <v>https://www.tiktok.com/@agiaalamsyah</v>
      </c>
      <c r="D66" s="270">
        <f>IFERROR(__xludf.DUMMYFUNCTION("""COMPUTED_VALUE"""),6.89647994378E11)</f>
        <v>689647994378</v>
      </c>
      <c r="E66" s="271" t="str">
        <f>IFERROR(__xludf.DUMMYFUNCTION("""COMPUTED_VALUE"""),"Rp.0 ")</f>
        <v>Rp.0 </v>
      </c>
      <c r="F66" s="270">
        <f>IFERROR(__xludf.DUMMYFUNCTION("""COMPUTED_VALUE"""),3.0)</f>
        <v>3</v>
      </c>
      <c r="G66" s="270"/>
      <c r="H66" s="259" t="str">
        <f>IFERROR(__xludf.DUMMYFUNCTION("""COMPUTED_VALUE""")," Bright Facial Wash")</f>
        <v> Bright Facial Wash</v>
      </c>
      <c r="I66" s="260" t="str">
        <f>IFERROR(__xludf.DUMMYFUNCTION("""COMPUTED_VALUE"""),"Sudah Proses Pengiriman")</f>
        <v>Sudah Proses Pengiriman</v>
      </c>
      <c r="J66" s="261"/>
      <c r="K66" s="262"/>
      <c r="L66" s="261"/>
      <c r="M66" s="262"/>
      <c r="N66" s="261"/>
      <c r="O66" s="17"/>
      <c r="P66" s="261"/>
      <c r="Q66" s="17"/>
      <c r="R66" s="266"/>
      <c r="S66" s="266"/>
      <c r="T66" s="266"/>
      <c r="U66" s="266"/>
    </row>
    <row r="67">
      <c r="A67" s="255" t="str">
        <f>IFERROR(__xludf.DUMMYFUNCTION("""COMPUTED_VALUE"""),"MICRO")</f>
        <v>MICRO</v>
      </c>
      <c r="B67" s="23" t="str">
        <f>IFERROR(__xludf.DUMMYFUNCTION("""COMPUTED_VALUE"""),"hndiii2        ")</f>
        <v>hndiii2        </v>
      </c>
      <c r="C67" s="281" t="str">
        <f>IFERROR(__xludf.DUMMYFUNCTION("""COMPUTED_VALUE"""),"https://www.tiktok.com/@hndiii2        ")</f>
        <v>https://www.tiktok.com/@hndiii2        </v>
      </c>
      <c r="D67" s="270">
        <f>IFERROR(__xludf.DUMMYFUNCTION("""COMPUTED_VALUE"""),8.3863580526E10)</f>
        <v>83863580526</v>
      </c>
      <c r="E67" s="271" t="str">
        <f>IFERROR(__xludf.DUMMYFUNCTION("""COMPUTED_VALUE"""),"Rp.100.000")</f>
        <v>Rp.100.000</v>
      </c>
      <c r="F67" s="270">
        <f>IFERROR(__xludf.DUMMYFUNCTION("""COMPUTED_VALUE"""),1.0)</f>
        <v>1</v>
      </c>
      <c r="G67" s="270" t="str">
        <f>IFERROR(__xludf.DUMMYFUNCTION("""COMPUTED_VALUE"""),"Rp31.84m")</f>
        <v>Rp31.84m</v>
      </c>
      <c r="H67" s="259" t="str">
        <f>IFERROR(__xludf.DUMMYFUNCTION("""COMPUTED_VALUE"""),"Dual Cream")</f>
        <v>Dual Cream</v>
      </c>
      <c r="I67" s="260" t="str">
        <f>IFERROR(__xludf.DUMMYFUNCTION("""COMPUTED_VALUE"""),"Sudah Proses Pengiriman")</f>
        <v>Sudah Proses Pengiriman</v>
      </c>
      <c r="J67" s="261"/>
      <c r="K67" s="262"/>
      <c r="L67" s="261"/>
      <c r="M67" s="262"/>
      <c r="N67" s="261"/>
      <c r="O67" s="17"/>
      <c r="P67" s="261"/>
      <c r="Q67" s="17"/>
      <c r="R67" s="266"/>
      <c r="S67" s="266"/>
      <c r="T67" s="266"/>
      <c r="U67" s="266"/>
    </row>
    <row r="68">
      <c r="A68" s="255" t="str">
        <f>IFERROR(__xludf.DUMMYFUNCTION("""COMPUTED_VALUE"""),"NANO")</f>
        <v>NANO</v>
      </c>
      <c r="B68" s="23" t="str">
        <f>IFERROR(__xludf.DUMMYFUNCTION("""COMPUTED_VALUE"""),"dibeli06")</f>
        <v>dibeli06</v>
      </c>
      <c r="C68" s="281" t="str">
        <f>IFERROR(__xludf.DUMMYFUNCTION("""COMPUTED_VALUE"""),"https://www.tiktok.com/@dibeli06")</f>
        <v>https://www.tiktok.com/@dibeli06</v>
      </c>
      <c r="D68" s="270">
        <f>IFERROR(__xludf.DUMMYFUNCTION("""COMPUTED_VALUE"""),8.1394995379E10)</f>
        <v>81394995379</v>
      </c>
      <c r="E68" s="271" t="str">
        <f>IFERROR(__xludf.DUMMYFUNCTION("""COMPUTED_VALUE"""),"Rp.0")</f>
        <v>Rp.0</v>
      </c>
      <c r="F68" s="270">
        <f>IFERROR(__xludf.DUMMYFUNCTION("""COMPUTED_VALUE"""),3.0)</f>
        <v>3</v>
      </c>
      <c r="G68" s="270" t="str">
        <f>IFERROR(__xludf.DUMMYFUNCTION("""COMPUTED_VALUE"""),"Rp10,5jt")</f>
        <v>Rp10,5jt</v>
      </c>
      <c r="H68" s="259" t="str">
        <f>IFERROR(__xludf.DUMMYFUNCTION("""COMPUTED_VALUE""")," Bright Facial Wash")</f>
        <v> Bright Facial Wash</v>
      </c>
      <c r="I68" s="260" t="str">
        <f>IFERROR(__xludf.DUMMYFUNCTION("""COMPUTED_VALUE"""),"Sudah Proses Pengiriman")</f>
        <v>Sudah Proses Pengiriman</v>
      </c>
      <c r="J68" s="261"/>
      <c r="K68" s="262"/>
      <c r="L68" s="261"/>
      <c r="M68" s="262"/>
      <c r="N68" s="261"/>
      <c r="O68" s="17"/>
      <c r="P68" s="261"/>
      <c r="Q68" s="17"/>
      <c r="R68" s="266"/>
      <c r="S68" s="266"/>
      <c r="T68" s="266"/>
      <c r="U68" s="266"/>
    </row>
    <row r="69">
      <c r="A69" s="255" t="str">
        <f>IFERROR(__xludf.DUMMYFUNCTION("""COMPUTED_VALUE"""),"MICRO")</f>
        <v>MICRO</v>
      </c>
      <c r="B69" s="23" t="str">
        <f>IFERROR(__xludf.DUMMYFUNCTION("""COMPUTED_VALUE"""),"glowupwithacan")</f>
        <v>glowupwithacan</v>
      </c>
      <c r="C69" s="281" t="str">
        <f>IFERROR(__xludf.DUMMYFUNCTION("""COMPUTED_VALUE"""),"https://www.tiktok.com/@glowupwithacan")</f>
        <v>https://www.tiktok.com/@glowupwithacan</v>
      </c>
      <c r="D69" s="270">
        <f>IFERROR(__xludf.DUMMYFUNCTION("""COMPUTED_VALUE"""),8.81082379629E11)</f>
        <v>881082379629</v>
      </c>
      <c r="E69" s="271" t="str">
        <f>IFERROR(__xludf.DUMMYFUNCTION("""COMPUTED_VALUE"""),"Rp. 550.000")</f>
        <v>Rp. 550.000</v>
      </c>
      <c r="F69" s="270">
        <f>IFERROR(__xludf.DUMMYFUNCTION("""COMPUTED_VALUE"""),1.0)</f>
        <v>1</v>
      </c>
      <c r="G69" s="270" t="str">
        <f>IFERROR(__xludf.DUMMYFUNCTION("""COMPUTED_VALUE"""),"Rp157.94m")</f>
        <v>Rp157.94m</v>
      </c>
      <c r="H69" s="259" t="str">
        <f>IFERROR(__xludf.DUMMYFUNCTION("""COMPUTED_VALUE"""),"2 Product (Facial Wash + Dual Cream)")</f>
        <v>2 Product (Facial Wash + Dual Cream)</v>
      </c>
      <c r="I69" s="260" t="str">
        <f>IFERROR(__xludf.DUMMYFUNCTION("""COMPUTED_VALUE"""),"Sudah Proses Pengiriman")</f>
        <v>Sudah Proses Pengiriman</v>
      </c>
      <c r="J69" s="261"/>
      <c r="K69" s="262"/>
      <c r="L69" s="261"/>
      <c r="M69" s="262"/>
      <c r="N69" s="261"/>
      <c r="O69" s="17"/>
      <c r="P69" s="261"/>
      <c r="Q69" s="17"/>
      <c r="R69" s="266"/>
      <c r="S69" s="266"/>
      <c r="T69" s="266"/>
      <c r="U69" s="266"/>
    </row>
    <row r="70">
      <c r="A70" s="255" t="str">
        <f>IFERROR(__xludf.DUMMYFUNCTION("""COMPUTED_VALUE"""),"NANO")</f>
        <v>NANO</v>
      </c>
      <c r="B70" s="23" t="str">
        <f>IFERROR(__xludf.DUMMYFUNCTION("""COMPUTED_VALUE"""),"edugrooming")</f>
        <v>edugrooming</v>
      </c>
      <c r="C70" s="281" t="str">
        <f>IFERROR(__xludf.DUMMYFUNCTION("""COMPUTED_VALUE"""),"https://www.tiktok.com/@edugrooming")</f>
        <v>https://www.tiktok.com/@edugrooming</v>
      </c>
      <c r="D70" s="270">
        <f>IFERROR(__xludf.DUMMYFUNCTION("""COMPUTED_VALUE"""),8.9624425887E10)</f>
        <v>89624425887</v>
      </c>
      <c r="E70" s="271" t="str">
        <f>IFERROR(__xludf.DUMMYFUNCTION("""COMPUTED_VALUE"""),"Rp.0")</f>
        <v>Rp.0</v>
      </c>
      <c r="F70" s="270">
        <f>IFERROR(__xludf.DUMMYFUNCTION("""COMPUTED_VALUE"""),3.0)</f>
        <v>3</v>
      </c>
      <c r="G70" s="270" t="str">
        <f>IFERROR(__xludf.DUMMYFUNCTION("""COMPUTED_VALUE"""),"Rp175,4jt")</f>
        <v>Rp175,4jt</v>
      </c>
      <c r="H70" s="259" t="str">
        <f>IFERROR(__xludf.DUMMYFUNCTION("""COMPUTED_VALUE"""),"2 Product (Facial Wash + Dual Cream)")</f>
        <v>2 Product (Facial Wash + Dual Cream)</v>
      </c>
      <c r="I70" s="260" t="str">
        <f>IFERROR(__xludf.DUMMYFUNCTION("""COMPUTED_VALUE"""),"Sudah Proses Pengiriman")</f>
        <v>Sudah Proses Pengiriman</v>
      </c>
      <c r="J70" s="261"/>
      <c r="K70" s="262"/>
      <c r="L70" s="261"/>
      <c r="M70" s="262"/>
      <c r="N70" s="261"/>
      <c r="O70" s="17"/>
      <c r="P70" s="261"/>
      <c r="Q70" s="17"/>
      <c r="R70" s="266"/>
      <c r="S70" s="266"/>
      <c r="T70" s="266"/>
      <c r="U70" s="266"/>
    </row>
    <row r="71">
      <c r="A71" s="255" t="str">
        <f>IFERROR(__xludf.DUMMYFUNCTION("""COMPUTED_VALUE"""),"MICRO")</f>
        <v>MICRO</v>
      </c>
      <c r="B71" s="23" t="str">
        <f>IFERROR(__xludf.DUMMYFUNCTION("""COMPUTED_VALUE"""),"rizkiju_")</f>
        <v>rizkiju_</v>
      </c>
      <c r="C71" s="281" t="str">
        <f>IFERROR(__xludf.DUMMYFUNCTION("""COMPUTED_VALUE"""),"https://www.tiktok.com/@rizkiju_")</f>
        <v>https://www.tiktok.com/@rizkiju_</v>
      </c>
      <c r="D71" s="270">
        <f>IFERROR(__xludf.DUMMYFUNCTION("""COMPUTED_VALUE"""),8.5555551368E10)</f>
        <v>85555551368</v>
      </c>
      <c r="E71" s="271" t="str">
        <f>IFERROR(__xludf.DUMMYFUNCTION("""COMPUTED_VALUE"""),"Rp.300.000")</f>
        <v>Rp.300.000</v>
      </c>
      <c r="F71" s="270">
        <f>IFERROR(__xludf.DUMMYFUNCTION("""COMPUTED_VALUE"""),1.0)</f>
        <v>1</v>
      </c>
      <c r="G71" s="270" t="str">
        <f>IFERROR(__xludf.DUMMYFUNCTION("""COMPUTED_VALUE"""),"Rp25.84m")</f>
        <v>Rp25.84m</v>
      </c>
      <c r="H71" s="259" t="str">
        <f>IFERROR(__xludf.DUMMYFUNCTION("""COMPUTED_VALUE"""),"2 Product (Facial Wash + Dual Cream)")</f>
        <v>2 Product (Facial Wash + Dual Cream)</v>
      </c>
      <c r="I71" s="260" t="str">
        <f>IFERROR(__xludf.DUMMYFUNCTION("""COMPUTED_VALUE"""),"Sudah Proses Pengiriman")</f>
        <v>Sudah Proses Pengiriman</v>
      </c>
      <c r="J71" s="261"/>
      <c r="K71" s="262"/>
      <c r="L71" s="261"/>
      <c r="M71" s="262"/>
      <c r="N71" s="261"/>
      <c r="O71" s="17"/>
      <c r="P71" s="261"/>
      <c r="Q71" s="17"/>
      <c r="R71" s="266"/>
      <c r="S71" s="266"/>
      <c r="T71" s="266"/>
      <c r="U71" s="266"/>
    </row>
    <row r="72">
      <c r="A72" s="255" t="str">
        <f>IFERROR(__xludf.DUMMYFUNCTION("""COMPUTED_VALUE"""),"MACRO")</f>
        <v>MACRO</v>
      </c>
      <c r="B72" s="23" t="str">
        <f>IFERROR(__xludf.DUMMYFUNCTION("""COMPUTED_VALUE"""),"rizky_dino")</f>
        <v>rizky_dino</v>
      </c>
      <c r="C72" s="281" t="str">
        <f>IFERROR(__xludf.DUMMYFUNCTION("""COMPUTED_VALUE"""),"https://www.tiktok.com/@rizky_dino")</f>
        <v>https://www.tiktok.com/@rizky_dino</v>
      </c>
      <c r="D72" s="270">
        <f>IFERROR(__xludf.DUMMYFUNCTION("""COMPUTED_VALUE"""),8.52800521918E11)</f>
        <v>852800521918</v>
      </c>
      <c r="E72" s="271" t="str">
        <f>IFERROR(__xludf.DUMMYFUNCTION("""COMPUTED_VALUE"""),"Rp.333.333")</f>
        <v>Rp.333.333</v>
      </c>
      <c r="F72" s="270">
        <f>IFERROR(__xludf.DUMMYFUNCTION("""COMPUTED_VALUE"""),1.0)</f>
        <v>1</v>
      </c>
      <c r="G72" s="270" t="str">
        <f>IFERROR(__xludf.DUMMYFUNCTION("""COMPUTED_VALUE"""),"Rp131.34m")</f>
        <v>Rp131.34m</v>
      </c>
      <c r="H72" s="259" t="str">
        <f>IFERROR(__xludf.DUMMYFUNCTION("""COMPUTED_VALUE"""),"2 Product (Facial Wash + Dual Cream)")</f>
        <v>2 Product (Facial Wash + Dual Cream)</v>
      </c>
      <c r="I72" s="260" t="str">
        <f>IFERROR(__xludf.DUMMYFUNCTION("""COMPUTED_VALUE"""),"Done Req Sample")</f>
        <v>Done Req Sample</v>
      </c>
      <c r="J72" s="261"/>
      <c r="K72" s="262"/>
      <c r="L72" s="261"/>
      <c r="M72" s="262"/>
      <c r="N72" s="261"/>
      <c r="O72" s="17"/>
      <c r="P72" s="261"/>
      <c r="Q72" s="17"/>
      <c r="R72" s="266"/>
      <c r="S72" s="266"/>
      <c r="T72" s="266"/>
      <c r="U72" s="266"/>
    </row>
    <row r="73">
      <c r="A73" s="255" t="str">
        <f>IFERROR(__xludf.DUMMYFUNCTION("""COMPUTED_VALUE"""),"MICRO")</f>
        <v>MICRO</v>
      </c>
      <c r="B73" s="23" t="str">
        <f>IFERROR(__xludf.DUMMYFUNCTION("""COMPUTED_VALUE"""),"plainjad")</f>
        <v>plainjad</v>
      </c>
      <c r="C73" s="281" t="str">
        <f>IFERROR(__xludf.DUMMYFUNCTION("""COMPUTED_VALUE"""),"https://www.tiktok.com/@plainjad")</f>
        <v>https://www.tiktok.com/@plainjad</v>
      </c>
      <c r="D73" s="270">
        <f>IFERROR(__xludf.DUMMYFUNCTION("""COMPUTED_VALUE"""),8.579559845E10)</f>
        <v>85795598450</v>
      </c>
      <c r="E73" s="271" t="str">
        <f>IFERROR(__xludf.DUMMYFUNCTION("""COMPUTED_VALUE"""),"Rp.300.000")</f>
        <v>Rp.300.000</v>
      </c>
      <c r="F73" s="270">
        <f>IFERROR(__xludf.DUMMYFUNCTION("""COMPUTED_VALUE"""),1.0)</f>
        <v>1</v>
      </c>
      <c r="G73" s="270" t="str">
        <f>IFERROR(__xludf.DUMMYFUNCTION("""COMPUTED_VALUE"""),"Rp97.04m")</f>
        <v>Rp97.04m</v>
      </c>
      <c r="H73" s="259" t="str">
        <f>IFERROR(__xludf.DUMMYFUNCTION("""COMPUTED_VALUE"""),"2 Product (Facial Wash + Dual Cream)")</f>
        <v>2 Product (Facial Wash + Dual Cream)</v>
      </c>
      <c r="I73" s="260" t="str">
        <f>IFERROR(__xludf.DUMMYFUNCTION("""COMPUTED_VALUE"""),"Done Req Sample")</f>
        <v>Done Req Sample</v>
      </c>
      <c r="J73" s="261"/>
      <c r="K73" s="262"/>
      <c r="L73" s="261"/>
      <c r="M73" s="262"/>
      <c r="N73" s="261"/>
      <c r="O73" s="17"/>
      <c r="P73" s="261"/>
      <c r="Q73" s="17"/>
      <c r="R73" s="266"/>
      <c r="S73" s="266"/>
      <c r="T73" s="266"/>
      <c r="U73" s="266"/>
    </row>
    <row r="74">
      <c r="A74" s="255" t="str">
        <f>IFERROR(__xludf.DUMMYFUNCTION("""COMPUTED_VALUE"""),"MICRO")</f>
        <v>MICRO</v>
      </c>
      <c r="B74" s="23" t="str">
        <f>IFERROR(__xludf.DUMMYFUNCTION("""COMPUTED_VALUE"""),"criesbabiess")</f>
        <v>criesbabiess</v>
      </c>
      <c r="C74" s="281" t="str">
        <f>IFERROR(__xludf.DUMMYFUNCTION("""COMPUTED_VALUE"""),"https://www.tiktok.com/@criesbabiess")</f>
        <v>https://www.tiktok.com/@criesbabiess</v>
      </c>
      <c r="D74" s="270">
        <f>IFERROR(__xludf.DUMMYFUNCTION("""COMPUTED_VALUE"""),8.5863168732E10)</f>
        <v>85863168732</v>
      </c>
      <c r="E74" s="271" t="str">
        <f>IFERROR(__xludf.DUMMYFUNCTION("""COMPUTED_VALUE"""),"Rp.0")</f>
        <v>Rp.0</v>
      </c>
      <c r="F74" s="270">
        <f>IFERROR(__xludf.DUMMYFUNCTION("""COMPUTED_VALUE"""),3.0)</f>
        <v>3</v>
      </c>
      <c r="G74" s="270" t="str">
        <f>IFERROR(__xludf.DUMMYFUNCTION("""COMPUTED_VALUE"""),"Rp1JT+")</f>
        <v>Rp1JT+</v>
      </c>
      <c r="H74" s="259" t="str">
        <f>IFERROR(__xludf.DUMMYFUNCTION("""COMPUTED_VALUE""")," Bright Facial Wash")</f>
        <v> Bright Facial Wash</v>
      </c>
      <c r="I74" s="260" t="str">
        <f>IFERROR(__xludf.DUMMYFUNCTION("""COMPUTED_VALUE"""),"Done Req Sample")</f>
        <v>Done Req Sample</v>
      </c>
      <c r="J74" s="261"/>
      <c r="K74" s="262"/>
      <c r="L74" s="261"/>
      <c r="M74" s="262"/>
      <c r="N74" s="261"/>
      <c r="O74" s="17"/>
      <c r="P74" s="261"/>
      <c r="Q74" s="17"/>
      <c r="R74" s="266"/>
      <c r="S74" s="266"/>
      <c r="T74" s="266"/>
      <c r="U74" s="266"/>
    </row>
    <row r="75">
      <c r="A75" s="255" t="str">
        <f>IFERROR(__xludf.DUMMYFUNCTION("""COMPUTED_VALUE"""),"MACRO")</f>
        <v>MACRO</v>
      </c>
      <c r="B75" s="23" t="str">
        <f>IFERROR(__xludf.DUMMYFUNCTION("""COMPUTED_VALUE"""),"saefulbahri_15")</f>
        <v>saefulbahri_15</v>
      </c>
      <c r="C75" s="281" t="str">
        <f>IFERROR(__xludf.DUMMYFUNCTION("""COMPUTED_VALUE"""),"https://www.tiktok.com/@saefulbahri_15")</f>
        <v>https://www.tiktok.com/@saefulbahri_15</v>
      </c>
      <c r="D75" s="270">
        <f>IFERROR(__xludf.DUMMYFUNCTION("""COMPUTED_VALUE"""),8.7778899346E10)</f>
        <v>87778899346</v>
      </c>
      <c r="E75" s="271" t="str">
        <f>IFERROR(__xludf.DUMMYFUNCTION("""COMPUTED_VALUE"""),"Rp.750.000")</f>
        <v>Rp.750.000</v>
      </c>
      <c r="F75" s="270">
        <f>IFERROR(__xludf.DUMMYFUNCTION("""COMPUTED_VALUE"""),1.0)</f>
        <v>1</v>
      </c>
      <c r="G75" s="270" t="str">
        <f>IFERROR(__xludf.DUMMYFUNCTION("""COMPUTED_VALUE"""),"Rp693,2jt")</f>
        <v>Rp693,2jt</v>
      </c>
      <c r="H75" s="259" t="str">
        <f>IFERROR(__xludf.DUMMYFUNCTION("""COMPUTED_VALUE"""),"2 Product (Facial Wash + Dual Cream)")</f>
        <v>2 Product (Facial Wash + Dual Cream)</v>
      </c>
      <c r="I75" s="260" t="str">
        <f>IFERROR(__xludf.DUMMYFUNCTION("""COMPUTED_VALUE"""),"Done Req Sample")</f>
        <v>Done Req Sample</v>
      </c>
      <c r="J75" s="261"/>
      <c r="K75" s="262"/>
      <c r="L75" s="261"/>
      <c r="M75" s="262"/>
      <c r="N75" s="261"/>
      <c r="O75" s="17"/>
      <c r="P75" s="261"/>
      <c r="Q75" s="17"/>
      <c r="R75" s="266"/>
      <c r="S75" s="266"/>
      <c r="T75" s="266"/>
      <c r="U75" s="266"/>
    </row>
    <row r="76">
      <c r="A76" s="255" t="str">
        <f>IFERROR(__xludf.DUMMYFUNCTION("""COMPUTED_VALUE"""),"NANO")</f>
        <v>NANO</v>
      </c>
      <c r="B76" s="23" t="str">
        <f>IFERROR(__xludf.DUMMYFUNCTION("""COMPUTED_VALUE"""),"workoutbulk")</f>
        <v>workoutbulk</v>
      </c>
      <c r="C76" s="281" t="str">
        <f>IFERROR(__xludf.DUMMYFUNCTION("""COMPUTED_VALUE"""),"https://www.tiktok.com/@workoutbulk")</f>
        <v>https://www.tiktok.com/@workoutbulk</v>
      </c>
      <c r="D76" s="270">
        <f>IFERROR(__xludf.DUMMYFUNCTION("""COMPUTED_VALUE"""),8.5693849947E10)</f>
        <v>85693849947</v>
      </c>
      <c r="E76" s="271" t="str">
        <f>IFERROR(__xludf.DUMMYFUNCTION("""COMPUTED_VALUE"""),"Rp.0")</f>
        <v>Rp.0</v>
      </c>
      <c r="F76" s="270">
        <f>IFERROR(__xludf.DUMMYFUNCTION("""COMPUTED_VALUE"""),3.0)</f>
        <v>3</v>
      </c>
      <c r="G76" s="270" t="str">
        <f>IFERROR(__xludf.DUMMYFUNCTION("""COMPUTED_VALUE"""),"Rp395jt")</f>
        <v>Rp395jt</v>
      </c>
      <c r="H76" s="259" t="str">
        <f>IFERROR(__xludf.DUMMYFUNCTION("""COMPUTED_VALUE"""),"2 Product (Facial Wash + Dual Cream)")</f>
        <v>2 Product (Facial Wash + Dual Cream)</v>
      </c>
      <c r="I76" s="260" t="str">
        <f>IFERROR(__xludf.DUMMYFUNCTION("""COMPUTED_VALUE"""),"Done Req Sample")</f>
        <v>Done Req Sample</v>
      </c>
      <c r="J76" s="261"/>
      <c r="K76" s="262"/>
      <c r="L76" s="261"/>
      <c r="M76" s="262"/>
      <c r="N76" s="261"/>
      <c r="O76" s="17"/>
      <c r="P76" s="261"/>
      <c r="Q76" s="17"/>
      <c r="R76" s="266"/>
      <c r="S76" s="266"/>
      <c r="T76" s="266"/>
      <c r="U76" s="266"/>
    </row>
    <row r="77">
      <c r="A77" s="255" t="str">
        <f>IFERROR(__xludf.DUMMYFUNCTION("""COMPUTED_VALUE"""),"NANO")</f>
        <v>NANO</v>
      </c>
      <c r="B77" s="23" t="str">
        <f>IFERROR(__xludf.DUMMYFUNCTION("""COMPUTED_VALUE"""),"ardy.gtg")</f>
        <v>ardy.gtg</v>
      </c>
      <c r="C77" s="281" t="str">
        <f>IFERROR(__xludf.DUMMYFUNCTION("""COMPUTED_VALUE"""),"https://www.tiktok.com/@ardy.gtg")</f>
        <v>https://www.tiktok.com/@ardy.gtg</v>
      </c>
      <c r="D77" s="270">
        <f>IFERROR(__xludf.DUMMYFUNCTION("""COMPUTED_VALUE"""),8.2284942916E10)</f>
        <v>82284942916</v>
      </c>
      <c r="E77" s="271" t="str">
        <f>IFERROR(__xludf.DUMMYFUNCTION("""COMPUTED_VALUE"""),"Rp.200.000")</f>
        <v>Rp.200.000</v>
      </c>
      <c r="F77" s="270">
        <f>IFERROR(__xludf.DUMMYFUNCTION("""COMPUTED_VALUE"""),2.0)</f>
        <v>2</v>
      </c>
      <c r="G77" s="270" t="str">
        <f>IFERROR(__xludf.DUMMYFUNCTION("""COMPUTED_VALUE"""),"Rp90.24m")</f>
        <v>Rp90.24m</v>
      </c>
      <c r="H77" s="259" t="str">
        <f>IFERROR(__xludf.DUMMYFUNCTION("""COMPUTED_VALUE"""),"2 Product (Facial Wash + Dual Cream)")</f>
        <v>2 Product (Facial Wash + Dual Cream)</v>
      </c>
      <c r="I77" s="260" t="str">
        <f>IFERROR(__xludf.DUMMYFUNCTION("""COMPUTED_VALUE"""),"Done Req Sample")</f>
        <v>Done Req Sample</v>
      </c>
      <c r="J77" s="261"/>
      <c r="K77" s="262"/>
      <c r="L77" s="261"/>
      <c r="M77" s="262"/>
      <c r="N77" s="261"/>
      <c r="O77" s="17"/>
      <c r="P77" s="261"/>
      <c r="Q77" s="17"/>
      <c r="R77" s="266"/>
      <c r="S77" s="266"/>
      <c r="T77" s="266"/>
      <c r="U77" s="266"/>
    </row>
    <row r="78">
      <c r="A78" s="255" t="str">
        <f>IFERROR(__xludf.DUMMYFUNCTION("""COMPUTED_VALUE"""),"MICRO")</f>
        <v>MICRO</v>
      </c>
      <c r="B78" s="23" t="str">
        <f>IFERROR(__xludf.DUMMYFUNCTION("""COMPUTED_VALUE"""),"isanrbr")</f>
        <v>isanrbr</v>
      </c>
      <c r="C78" s="281" t="str">
        <f>IFERROR(__xludf.DUMMYFUNCTION("""COMPUTED_VALUE"""),"https://www.tiktok.com/@isanrbr")</f>
        <v>https://www.tiktok.com/@isanrbr</v>
      </c>
      <c r="D78" s="270">
        <f>IFERROR(__xludf.DUMMYFUNCTION("""COMPUTED_VALUE"""),8.5169844421E10)</f>
        <v>85169844421</v>
      </c>
      <c r="E78" s="271" t="str">
        <f>IFERROR(__xludf.DUMMYFUNCTION("""COMPUTED_VALUE"""),"Rp.0")</f>
        <v>Rp.0</v>
      </c>
      <c r="F78" s="270">
        <f>IFERROR(__xludf.DUMMYFUNCTION("""COMPUTED_VALUE"""),3.0)</f>
        <v>3</v>
      </c>
      <c r="G78" s="270" t="str">
        <f>IFERROR(__xludf.DUMMYFUNCTION("""COMPUTED_VALUE"""),"Rp124,5jt")</f>
        <v>Rp124,5jt</v>
      </c>
      <c r="H78" s="259" t="str">
        <f>IFERROR(__xludf.DUMMYFUNCTION("""COMPUTED_VALUE"""),"2 Product (Facial Wash + Dual Cream)")</f>
        <v>2 Product (Facial Wash + Dual Cream)</v>
      </c>
      <c r="I78" s="260" t="str">
        <f>IFERROR(__xludf.DUMMYFUNCTION("""COMPUTED_VALUE"""),"Done Req Sample")</f>
        <v>Done Req Sample</v>
      </c>
      <c r="J78" s="261"/>
      <c r="K78" s="262"/>
      <c r="L78" s="261"/>
      <c r="M78" s="262"/>
      <c r="N78" s="261"/>
      <c r="O78" s="17"/>
      <c r="P78" s="261"/>
      <c r="Q78" s="17"/>
      <c r="R78" s="266"/>
      <c r="S78" s="266"/>
      <c r="T78" s="266"/>
      <c r="U78" s="266"/>
    </row>
    <row r="79">
      <c r="A79" s="255" t="str">
        <f>IFERROR(__xludf.DUMMYFUNCTION("""COMPUTED_VALUE"""),"MICRO")</f>
        <v>MICRO</v>
      </c>
      <c r="B79" s="23" t="str">
        <f>IFERROR(__xludf.DUMMYFUNCTION("""COMPUTED_VALUE"""),"dino_anyket")</f>
        <v>dino_anyket</v>
      </c>
      <c r="C79" s="281" t="str">
        <f>IFERROR(__xludf.DUMMYFUNCTION("""COMPUTED_VALUE"""),"https://www.tiktok.com/@dino_anyket")</f>
        <v>https://www.tiktok.com/@dino_anyket</v>
      </c>
      <c r="D79" s="270">
        <f>IFERROR(__xludf.DUMMYFUNCTION("""COMPUTED_VALUE"""),8.3187207251E10)</f>
        <v>83187207251</v>
      </c>
      <c r="E79" s="271" t="str">
        <f>IFERROR(__xludf.DUMMYFUNCTION("""COMPUTED_VALUE"""),"Rp.0")</f>
        <v>Rp.0</v>
      </c>
      <c r="F79" s="270">
        <f>IFERROR(__xludf.DUMMYFUNCTION("""COMPUTED_VALUE"""),3.0)</f>
        <v>3</v>
      </c>
      <c r="G79" s="270" t="str">
        <f>IFERROR(__xludf.DUMMYFUNCTION("""COMPUTED_VALUE"""),"Rp77.97m")</f>
        <v>Rp77.97m</v>
      </c>
      <c r="H79" s="259" t="str">
        <f>IFERROR(__xludf.DUMMYFUNCTION("""COMPUTED_VALUE"""),"2 Product (Facial Wash + Dual Cream)")</f>
        <v>2 Product (Facial Wash + Dual Cream)</v>
      </c>
      <c r="I79" s="260" t="str">
        <f>IFERROR(__xludf.DUMMYFUNCTION("""COMPUTED_VALUE"""),"Done Req Sample")</f>
        <v>Done Req Sample</v>
      </c>
      <c r="J79" s="261"/>
      <c r="K79" s="262"/>
      <c r="L79" s="261"/>
      <c r="M79" s="262"/>
      <c r="N79" s="261"/>
      <c r="O79" s="17"/>
      <c r="P79" s="261"/>
      <c r="Q79" s="17"/>
      <c r="R79" s="266"/>
      <c r="S79" s="266"/>
      <c r="T79" s="266"/>
      <c r="U79" s="266"/>
    </row>
    <row r="80">
      <c r="A80" s="255" t="str">
        <f>IFERROR(__xludf.DUMMYFUNCTION("""COMPUTED_VALUE"""),"NANO")</f>
        <v>NANO</v>
      </c>
      <c r="B80" s="23" t="str">
        <f>IFERROR(__xludf.DUMMYFUNCTION("""COMPUTED_VALUE"""),"alfian242")</f>
        <v>alfian242</v>
      </c>
      <c r="C80" s="281" t="str">
        <f>IFERROR(__xludf.DUMMYFUNCTION("""COMPUTED_VALUE"""),"https://www.tiktok.com/@alfian242")</f>
        <v>https://www.tiktok.com/@alfian242</v>
      </c>
      <c r="D80" s="270">
        <f>IFERROR(__xludf.DUMMYFUNCTION("""COMPUTED_VALUE"""),8.5231157624E10)</f>
        <v>85231157624</v>
      </c>
      <c r="E80" s="271" t="str">
        <f>IFERROR(__xludf.DUMMYFUNCTION("""COMPUTED_VALUE"""),"Rp.0")</f>
        <v>Rp.0</v>
      </c>
      <c r="F80" s="270">
        <f>IFERROR(__xludf.DUMMYFUNCTION("""COMPUTED_VALUE"""),3.0)</f>
        <v>3</v>
      </c>
      <c r="G80" s="270" t="str">
        <f>IFERROR(__xludf.DUMMYFUNCTION("""COMPUTED_VALUE"""),"Rp13.88m")</f>
        <v>Rp13.88m</v>
      </c>
      <c r="H80" s="259" t="str">
        <f>IFERROR(__xludf.DUMMYFUNCTION("""COMPUTED_VALUE"""),"Dual Cream")</f>
        <v>Dual Cream</v>
      </c>
      <c r="I80" s="260" t="str">
        <f>IFERROR(__xludf.DUMMYFUNCTION("""COMPUTED_VALUE"""),"Done Req Sample")</f>
        <v>Done Req Sample</v>
      </c>
      <c r="J80" s="261"/>
      <c r="K80" s="262"/>
      <c r="L80" s="261"/>
      <c r="M80" s="262"/>
      <c r="N80" s="261"/>
      <c r="O80" s="17"/>
      <c r="P80" s="261"/>
      <c r="Q80" s="17"/>
      <c r="R80" s="266"/>
      <c r="S80" s="266"/>
      <c r="T80" s="266"/>
      <c r="U80" s="266"/>
    </row>
    <row r="81">
      <c r="A81" s="255" t="str">
        <f>IFERROR(__xludf.DUMMYFUNCTION("""COMPUTED_VALUE"""),"NANO")</f>
        <v>NANO</v>
      </c>
      <c r="B81" s="23" t="str">
        <f>IFERROR(__xludf.DUMMYFUNCTION("""COMPUTED_VALUE"""),"jagatsusilo")</f>
        <v>jagatsusilo</v>
      </c>
      <c r="C81" s="281" t="str">
        <f>IFERROR(__xludf.DUMMYFUNCTION("""COMPUTED_VALUE"""),"https://www.tiktok.com/@jagatsusilo")</f>
        <v>https://www.tiktok.com/@jagatsusilo</v>
      </c>
      <c r="D81" s="270">
        <f>IFERROR(__xludf.DUMMYFUNCTION("""COMPUTED_VALUE"""),8.122923312E9)</f>
        <v>8122923312</v>
      </c>
      <c r="E81" s="271" t="str">
        <f>IFERROR(__xludf.DUMMYFUNCTION("""COMPUTED_VALUE"""),"Rp.0")</f>
        <v>Rp.0</v>
      </c>
      <c r="F81" s="270">
        <f>IFERROR(__xludf.DUMMYFUNCTION("""COMPUTED_VALUE"""),3.0)</f>
        <v>3</v>
      </c>
      <c r="G81" s="270" t="str">
        <f>IFERROR(__xludf.DUMMYFUNCTION("""COMPUTED_VALUE"""),"Rp6.65m")</f>
        <v>Rp6.65m</v>
      </c>
      <c r="H81" s="259" t="str">
        <f>IFERROR(__xludf.DUMMYFUNCTION("""COMPUTED_VALUE"""),"Dual Cream")</f>
        <v>Dual Cream</v>
      </c>
      <c r="I81" s="260" t="str">
        <f>IFERROR(__xludf.DUMMYFUNCTION("""COMPUTED_VALUE"""),"Done Req Sample")</f>
        <v>Done Req Sample</v>
      </c>
      <c r="J81" s="261"/>
      <c r="K81" s="262"/>
      <c r="L81" s="261"/>
      <c r="M81" s="262"/>
      <c r="N81" s="261"/>
      <c r="O81" s="17"/>
      <c r="P81" s="261"/>
      <c r="Q81" s="17"/>
      <c r="R81" s="266"/>
      <c r="S81" s="266"/>
      <c r="T81" s="266"/>
      <c r="U81" s="266"/>
    </row>
    <row r="82">
      <c r="A82" s="255" t="str">
        <f>IFERROR(__xludf.DUMMYFUNCTION("""COMPUTED_VALUE"""),"NANO")</f>
        <v>NANO</v>
      </c>
      <c r="B82" s="23" t="str">
        <f>IFERROR(__xludf.DUMMYFUNCTION("""COMPUTED_VALUE"""),"4beey")</f>
        <v>4beey</v>
      </c>
      <c r="C82" s="281" t="str">
        <f>IFERROR(__xludf.DUMMYFUNCTION("""COMPUTED_VALUE"""),"https://www.tiktok.com/@4beey")</f>
        <v>https://www.tiktok.com/@4beey</v>
      </c>
      <c r="D82" s="270">
        <f>IFERROR(__xludf.DUMMYFUNCTION("""COMPUTED_VALUE"""),8.9504389568E10)</f>
        <v>89504389568</v>
      </c>
      <c r="E82" s="271" t="str">
        <f>IFERROR(__xludf.DUMMYFUNCTION("""COMPUTED_VALUE"""),"Rp.0")</f>
        <v>Rp.0</v>
      </c>
      <c r="F82" s="270">
        <f>IFERROR(__xludf.DUMMYFUNCTION("""COMPUTED_VALUE"""),3.0)</f>
        <v>3</v>
      </c>
      <c r="G82" s="270" t="str">
        <f>IFERROR(__xludf.DUMMYFUNCTION("""COMPUTED_VALUE"""),"Rp15,2jt")</f>
        <v>Rp15,2jt</v>
      </c>
      <c r="H82" s="259" t="str">
        <f>IFERROR(__xludf.DUMMYFUNCTION("""COMPUTED_VALUE""")," Bright Facial Wash")</f>
        <v> Bright Facial Wash</v>
      </c>
      <c r="I82" s="260" t="str">
        <f>IFERROR(__xludf.DUMMYFUNCTION("""COMPUTED_VALUE"""),"Done Req Sample")</f>
        <v>Done Req Sample</v>
      </c>
      <c r="J82" s="261"/>
      <c r="K82" s="262"/>
      <c r="L82" s="261"/>
      <c r="M82" s="262"/>
      <c r="N82" s="261"/>
      <c r="O82" s="17"/>
      <c r="P82" s="261"/>
      <c r="Q82" s="17"/>
      <c r="R82" s="266"/>
      <c r="S82" s="266"/>
      <c r="T82" s="266"/>
      <c r="U82" s="266"/>
    </row>
    <row r="83">
      <c r="A83" s="255" t="str">
        <f>IFERROR(__xludf.DUMMYFUNCTION("""COMPUTED_VALUE"""),"MICRO")</f>
        <v>MICRO</v>
      </c>
      <c r="B83" s="23" t="str">
        <f>IFERROR(__xludf.DUMMYFUNCTION("""COMPUTED_VALUE"""),"glowupwithfalih")</f>
        <v>glowupwithfalih</v>
      </c>
      <c r="C83" s="281" t="str">
        <f>IFERROR(__xludf.DUMMYFUNCTION("""COMPUTED_VALUE"""),"https://www.tiktok.com/@glowupwithfalih")</f>
        <v>https://www.tiktok.com/@glowupwithfalih</v>
      </c>
      <c r="D83" s="270">
        <f>IFERROR(__xludf.DUMMYFUNCTION("""COMPUTED_VALUE"""),8.979999264E9)</f>
        <v>8979999264</v>
      </c>
      <c r="E83" s="271" t="str">
        <f>IFERROR(__xludf.DUMMYFUNCTION("""COMPUTED_VALUE"""),"Rp.400.000")</f>
        <v>Rp.400.000</v>
      </c>
      <c r="F83" s="270">
        <f>IFERROR(__xludf.DUMMYFUNCTION("""COMPUTED_VALUE"""),1.0)</f>
        <v>1</v>
      </c>
      <c r="G83" s="270" t="str">
        <f>IFERROR(__xludf.DUMMYFUNCTION("""COMPUTED_VALUE"""),"Rp51,9jt")</f>
        <v>Rp51,9jt</v>
      </c>
      <c r="H83" s="259" t="str">
        <f>IFERROR(__xludf.DUMMYFUNCTION("""COMPUTED_VALUE"""),"2 Product (Facial Wash + Dual Cream)")</f>
        <v>2 Product (Facial Wash + Dual Cream)</v>
      </c>
      <c r="I83" s="260" t="str">
        <f>IFERROR(__xludf.DUMMYFUNCTION("""COMPUTED_VALUE"""),"Done Req Sample")</f>
        <v>Done Req Sample</v>
      </c>
      <c r="J83" s="261"/>
      <c r="K83" s="262"/>
      <c r="L83" s="261"/>
      <c r="M83" s="262"/>
      <c r="N83" s="261"/>
      <c r="O83" s="17"/>
      <c r="P83" s="261"/>
      <c r="Q83" s="17"/>
      <c r="R83" s="266"/>
      <c r="S83" s="266"/>
      <c r="T83" s="266"/>
      <c r="U83" s="266"/>
    </row>
    <row r="84">
      <c r="A84" s="255" t="str">
        <f>IFERROR(__xludf.DUMMYFUNCTION("""COMPUTED_VALUE"""),"MICRO")</f>
        <v>MICRO</v>
      </c>
      <c r="B84" s="23" t="str">
        <f>IFERROR(__xludf.DUMMYFUNCTION("""COMPUTED_VALUE"""),"andhikawbw")</f>
        <v>andhikawbw</v>
      </c>
      <c r="C84" s="281" t="str">
        <f>IFERROR(__xludf.DUMMYFUNCTION("""COMPUTED_VALUE"""),"https://www.tiktok.com/@andhikawbw")</f>
        <v>https://www.tiktok.com/@andhikawbw</v>
      </c>
      <c r="D84" s="270">
        <f>IFERROR(__xludf.DUMMYFUNCTION("""COMPUTED_VALUE"""),8.1287269511E10)</f>
        <v>81287269511</v>
      </c>
      <c r="E84" s="271" t="str">
        <f>IFERROR(__xludf.DUMMYFUNCTION("""COMPUTED_VALUE"""),"Rp.0")</f>
        <v>Rp.0</v>
      </c>
      <c r="F84" s="270">
        <f>IFERROR(__xludf.DUMMYFUNCTION("""COMPUTED_VALUE"""),1.0)</f>
        <v>1</v>
      </c>
      <c r="G84" s="270" t="str">
        <f>IFERROR(__xludf.DUMMYFUNCTION("""COMPUTED_VALUE"""),"Rp48.73m")</f>
        <v>Rp48.73m</v>
      </c>
      <c r="H84" s="259" t="str">
        <f>IFERROR(__xludf.DUMMYFUNCTION("""COMPUTED_VALUE"""),"2 Product (Facial Wash + Dual Cream)")</f>
        <v>2 Product (Facial Wash + Dual Cream)</v>
      </c>
      <c r="I84" s="260" t="str">
        <f>IFERROR(__xludf.DUMMYFUNCTION("""COMPUTED_VALUE"""),"Done Req Sample")</f>
        <v>Done Req Sample</v>
      </c>
      <c r="J84" s="261"/>
      <c r="K84" s="262"/>
      <c r="L84" s="261"/>
      <c r="M84" s="262"/>
      <c r="N84" s="261"/>
      <c r="O84" s="17"/>
      <c r="P84" s="261"/>
      <c r="Q84" s="17"/>
      <c r="R84" s="266"/>
      <c r="S84" s="266"/>
      <c r="T84" s="266"/>
      <c r="U84" s="266"/>
    </row>
    <row r="85">
      <c r="A85" s="255" t="str">
        <f>IFERROR(__xludf.DUMMYFUNCTION("""COMPUTED_VALUE"""),"MICRO")</f>
        <v>MICRO</v>
      </c>
      <c r="B85" s="23" t="str">
        <f>IFERROR(__xludf.DUMMYFUNCTION("""COMPUTED_VALUE"""),"situkangoutdoor")</f>
        <v>situkangoutdoor</v>
      </c>
      <c r="C85" s="281" t="str">
        <f>IFERROR(__xludf.DUMMYFUNCTION("""COMPUTED_VALUE"""),"https://www.tiktok.com/@situkangoutdoor")</f>
        <v>https://www.tiktok.com/@situkangoutdoor</v>
      </c>
      <c r="D85" s="270">
        <f>IFERROR(__xludf.DUMMYFUNCTION("""COMPUTED_VALUE"""),8.9517710554E10)</f>
        <v>89517710554</v>
      </c>
      <c r="E85" s="271" t="str">
        <f>IFERROR(__xludf.DUMMYFUNCTION("""COMPUTED_VALUE"""),"Rp.150.000")</f>
        <v>Rp.150.000</v>
      </c>
      <c r="F85" s="270">
        <f>IFERROR(__xludf.DUMMYFUNCTION("""COMPUTED_VALUE"""),1.0)</f>
        <v>1</v>
      </c>
      <c r="G85" s="270" t="str">
        <f>IFERROR(__xludf.DUMMYFUNCTION("""COMPUTED_VALUE"""),"Rp377,1jt")</f>
        <v>Rp377,1jt</v>
      </c>
      <c r="H85" s="259" t="str">
        <f>IFERROR(__xludf.DUMMYFUNCTION("""COMPUTED_VALUE"""),"2 Product (Facial Wash + Dual Cream)")</f>
        <v>2 Product (Facial Wash + Dual Cream)</v>
      </c>
      <c r="I85" s="260" t="str">
        <f>IFERROR(__xludf.DUMMYFUNCTION("""COMPUTED_VALUE"""),"Done Req Sample")</f>
        <v>Done Req Sample</v>
      </c>
      <c r="J85" s="261"/>
      <c r="K85" s="262"/>
      <c r="L85" s="261"/>
      <c r="M85" s="262"/>
      <c r="N85" s="261"/>
      <c r="O85" s="17"/>
      <c r="P85" s="261"/>
      <c r="Q85" s="17"/>
      <c r="R85" s="266"/>
      <c r="S85" s="266"/>
      <c r="T85" s="266"/>
      <c r="U85" s="266"/>
    </row>
    <row r="86">
      <c r="A86" s="255" t="str">
        <f>IFERROR(__xludf.DUMMYFUNCTION("""COMPUTED_VALUE"""),"NANO")</f>
        <v>NANO</v>
      </c>
      <c r="B86" s="23" t="str">
        <f>IFERROR(__xludf.DUMMYFUNCTION("""COMPUTED_VALUE"""),"riyadus_sholichin")</f>
        <v>riyadus_sholichin</v>
      </c>
      <c r="C86" s="281" t="str">
        <f>IFERROR(__xludf.DUMMYFUNCTION("""COMPUTED_VALUE"""),"https://www.tiktok.com/@riyadus_sholichin")</f>
        <v>https://www.tiktok.com/@riyadus_sholichin</v>
      </c>
      <c r="D86" s="270">
        <f>IFERROR(__xludf.DUMMYFUNCTION("""COMPUTED_VALUE"""),8.5733760271E10)</f>
        <v>85733760271</v>
      </c>
      <c r="E86" s="271" t="str">
        <f>IFERROR(__xludf.DUMMYFUNCTION("""COMPUTED_VALUE"""),"Rp.0")</f>
        <v>Rp.0</v>
      </c>
      <c r="F86" s="270">
        <f>IFERROR(__xludf.DUMMYFUNCTION("""COMPUTED_VALUE"""),3.0)</f>
        <v>3</v>
      </c>
      <c r="G86" s="270" t="str">
        <f>IFERROR(__xludf.DUMMYFUNCTION("""COMPUTED_VALUE"""),"Rp134.35m")</f>
        <v>Rp134.35m</v>
      </c>
      <c r="H86" s="259" t="str">
        <f>IFERROR(__xludf.DUMMYFUNCTION("""COMPUTED_VALUE""")," Bright Facial Wash")</f>
        <v> Bright Facial Wash</v>
      </c>
      <c r="I86" s="260" t="str">
        <f>IFERROR(__xludf.DUMMYFUNCTION("""COMPUTED_VALUE"""),"Done Req Sample")</f>
        <v>Done Req Sample</v>
      </c>
      <c r="J86" s="261"/>
      <c r="K86" s="262"/>
      <c r="L86" s="261"/>
      <c r="M86" s="262"/>
      <c r="N86" s="261"/>
      <c r="O86" s="17"/>
      <c r="P86" s="261"/>
      <c r="Q86" s="17"/>
      <c r="R86" s="266"/>
      <c r="S86" s="266"/>
      <c r="T86" s="266"/>
      <c r="U86" s="266"/>
    </row>
    <row r="87">
      <c r="A87" s="255" t="str">
        <f>IFERROR(__xludf.DUMMYFUNCTION("""COMPUTED_VALUE"""),"NANO")</f>
        <v>NANO</v>
      </c>
      <c r="B87" s="23" t="str">
        <f>IFERROR(__xludf.DUMMYFUNCTION("""COMPUTED_VALUE"""),"dsmanlase")</f>
        <v>dsmanlase</v>
      </c>
      <c r="C87" s="281" t="str">
        <f>IFERROR(__xludf.DUMMYFUNCTION("""COMPUTED_VALUE"""),"https://www.tiktok.com/@dsmanlase")</f>
        <v>https://www.tiktok.com/@dsmanlase</v>
      </c>
      <c r="D87" s="270">
        <f>IFERROR(__xludf.DUMMYFUNCTION("""COMPUTED_VALUE"""),8.2173014788E10)</f>
        <v>82173014788</v>
      </c>
      <c r="E87" s="271" t="str">
        <f>IFERROR(__xludf.DUMMYFUNCTION("""COMPUTED_VALUE"""),"Rp.0")</f>
        <v>Rp.0</v>
      </c>
      <c r="F87" s="270">
        <f>IFERROR(__xludf.DUMMYFUNCTION("""COMPUTED_VALUE"""),5.0)</f>
        <v>5</v>
      </c>
      <c r="G87" s="270" t="str">
        <f>IFERROR(__xludf.DUMMYFUNCTION("""COMPUTED_VALUE"""),"Rp50.34m")</f>
        <v>Rp50.34m</v>
      </c>
      <c r="H87" s="259" t="str">
        <f>IFERROR(__xludf.DUMMYFUNCTION("""COMPUTED_VALUE""")," Bright Facial Wash")</f>
        <v> Bright Facial Wash</v>
      </c>
      <c r="I87" s="260" t="str">
        <f>IFERROR(__xludf.DUMMYFUNCTION("""COMPUTED_VALUE"""),"Done Req Sample")</f>
        <v>Done Req Sample</v>
      </c>
      <c r="J87" s="261"/>
      <c r="K87" s="262"/>
      <c r="L87" s="261"/>
      <c r="M87" s="262"/>
      <c r="N87" s="261"/>
      <c r="O87" s="17"/>
      <c r="P87" s="261"/>
      <c r="Q87" s="17"/>
      <c r="R87" s="266"/>
      <c r="S87" s="266"/>
      <c r="T87" s="266"/>
      <c r="U87" s="266"/>
    </row>
    <row r="88">
      <c r="A88" s="255" t="str">
        <f>IFERROR(__xludf.DUMMYFUNCTION("""COMPUTED_VALUE"""),"MICRO")</f>
        <v>MICRO</v>
      </c>
      <c r="B88" s="23" t="str">
        <f>IFERROR(__xludf.DUMMYFUNCTION("""COMPUTED_VALUE"""),"donisptr03_")</f>
        <v>donisptr03_</v>
      </c>
      <c r="C88" s="281" t="str">
        <f>IFERROR(__xludf.DUMMYFUNCTION("""COMPUTED_VALUE"""),"https://www.tiktok.com/@donisptr03_")</f>
        <v>https://www.tiktok.com/@donisptr03_</v>
      </c>
      <c r="D88" s="270">
        <f>IFERROR(__xludf.DUMMYFUNCTION("""COMPUTED_VALUE"""),8.1328377878E10)</f>
        <v>81328377878</v>
      </c>
      <c r="E88" s="271" t="str">
        <f>IFERROR(__xludf.DUMMYFUNCTION("""COMPUTED_VALUE"""),"Rp.0")</f>
        <v>Rp.0</v>
      </c>
      <c r="F88" s="270">
        <f>IFERROR(__xludf.DUMMYFUNCTION("""COMPUTED_VALUE"""),3.0)</f>
        <v>3</v>
      </c>
      <c r="G88" s="270" t="str">
        <f>IFERROR(__xludf.DUMMYFUNCTION("""COMPUTED_VALUE"""),"Rp106.62m")</f>
        <v>Rp106.62m</v>
      </c>
      <c r="H88" s="259" t="str">
        <f>IFERROR(__xludf.DUMMYFUNCTION("""COMPUTED_VALUE"""),"2 Product (Facial Wash + Dual Cream)")</f>
        <v>2 Product (Facial Wash + Dual Cream)</v>
      </c>
      <c r="I88" s="260" t="str">
        <f>IFERROR(__xludf.DUMMYFUNCTION("""COMPUTED_VALUE"""),"Done Req Sample")</f>
        <v>Done Req Sample</v>
      </c>
      <c r="J88" s="261"/>
      <c r="K88" s="262"/>
      <c r="L88" s="261"/>
      <c r="M88" s="262"/>
      <c r="N88" s="261"/>
      <c r="O88" s="17"/>
      <c r="P88" s="261"/>
      <c r="Q88" s="17"/>
      <c r="R88" s="266"/>
      <c r="S88" s="266"/>
      <c r="T88" s="266"/>
      <c r="U88" s="266"/>
    </row>
    <row r="89">
      <c r="A89" s="255" t="str">
        <f>IFERROR(__xludf.DUMMYFUNCTION("""COMPUTED_VALUE"""),"NANO")</f>
        <v>NANO</v>
      </c>
      <c r="B89" s="23" t="str">
        <f>IFERROR(__xludf.DUMMYFUNCTION("""COMPUTED_VALUE"""),"agus.mensgrooming")</f>
        <v>agus.mensgrooming</v>
      </c>
      <c r="C89" s="281" t="str">
        <f>IFERROR(__xludf.DUMMYFUNCTION("""COMPUTED_VALUE"""),"https://www.tiktok.com/@agus.mensgrooming")</f>
        <v>https://www.tiktok.com/@agus.mensgrooming</v>
      </c>
      <c r="D89" s="270">
        <f>IFERROR(__xludf.DUMMYFUNCTION("""COMPUTED_VALUE"""),8.1296648317E10)</f>
        <v>81296648317</v>
      </c>
      <c r="E89" s="271" t="str">
        <f>IFERROR(__xludf.DUMMYFUNCTION("""COMPUTED_VALUE"""),"Rp.0")</f>
        <v>Rp.0</v>
      </c>
      <c r="F89" s="270">
        <f>IFERROR(__xludf.DUMMYFUNCTION("""COMPUTED_VALUE"""),3.0)</f>
        <v>3</v>
      </c>
      <c r="G89" s="270" t="str">
        <f>IFERROR(__xludf.DUMMYFUNCTION("""COMPUTED_VALUE"""),"Rp25.50m")</f>
        <v>Rp25.50m</v>
      </c>
      <c r="H89" s="259" t="str">
        <f>IFERROR(__xludf.DUMMYFUNCTION("""COMPUTED_VALUE""")," Bright Facial Wash")</f>
        <v> Bright Facial Wash</v>
      </c>
      <c r="I89" s="260" t="str">
        <f>IFERROR(__xludf.DUMMYFUNCTION("""COMPUTED_VALUE"""),"Done Req Sample")</f>
        <v>Done Req Sample</v>
      </c>
      <c r="J89" s="261"/>
      <c r="K89" s="262"/>
      <c r="L89" s="261"/>
      <c r="M89" s="262"/>
      <c r="N89" s="261"/>
      <c r="O89" s="17"/>
      <c r="P89" s="261"/>
      <c r="Q89" s="17"/>
      <c r="R89" s="266"/>
      <c r="S89" s="266"/>
      <c r="T89" s="266"/>
      <c r="U89" s="266"/>
    </row>
    <row r="90">
      <c r="A90" s="255" t="str">
        <f>IFERROR(__xludf.DUMMYFUNCTION("""COMPUTED_VALUE"""),"MICRO")</f>
        <v>MICRO</v>
      </c>
      <c r="B90" s="23" t="str">
        <f>IFERROR(__xludf.DUMMYFUNCTION("""COMPUTED_VALUE"""),"plainjad")</f>
        <v>plainjad</v>
      </c>
      <c r="C90" s="281" t="str">
        <f>IFERROR(__xludf.DUMMYFUNCTION("""COMPUTED_VALUE"""),"https://www.tiktok.com/@plainjad")</f>
        <v>https://www.tiktok.com/@plainjad</v>
      </c>
      <c r="D90" s="270">
        <f>IFERROR(__xludf.DUMMYFUNCTION("""COMPUTED_VALUE"""),8.579559845E10)</f>
        <v>85795598450</v>
      </c>
      <c r="E90" s="271" t="str">
        <f>IFERROR(__xludf.DUMMYFUNCTION("""COMPUTED_VALUE"""),"Rp.800.000")</f>
        <v>Rp.800.000</v>
      </c>
      <c r="F90" s="270">
        <f>IFERROR(__xludf.DUMMYFUNCTION("""COMPUTED_VALUE"""),3.0)</f>
        <v>3</v>
      </c>
      <c r="G90" s="270" t="str">
        <f>IFERROR(__xludf.DUMMYFUNCTION("""COMPUTED_VALUE"""),"Rp103.08m")</f>
        <v>Rp103.08m</v>
      </c>
      <c r="H90" s="259" t="str">
        <f>IFERROR(__xludf.DUMMYFUNCTION("""COMPUTED_VALUE"""),"2 Product (Facial Wash + Dual Cream)")</f>
        <v>2 Product (Facial Wash + Dual Cream)</v>
      </c>
      <c r="I90" s="260" t="str">
        <f>IFERROR(__xludf.DUMMYFUNCTION("""COMPUTED_VALUE"""),"Done Req Sample")</f>
        <v>Done Req Sample</v>
      </c>
      <c r="J90" s="261"/>
      <c r="K90" s="262"/>
      <c r="L90" s="261"/>
      <c r="M90" s="262"/>
      <c r="N90" s="261"/>
      <c r="O90" s="17"/>
      <c r="P90" s="261"/>
      <c r="Q90" s="17"/>
      <c r="R90" s="266"/>
      <c r="S90" s="266"/>
      <c r="T90" s="266"/>
      <c r="U90" s="266"/>
    </row>
    <row r="91">
      <c r="A91" s="255" t="str">
        <f>IFERROR(__xludf.DUMMYFUNCTION("""COMPUTED_VALUE"""),"NANO")</f>
        <v>NANO</v>
      </c>
      <c r="B91" s="23" t="str">
        <f>IFERROR(__xludf.DUMMYFUNCTION("""COMPUTED_VALUE"""),"wansyah799")</f>
        <v>wansyah799</v>
      </c>
      <c r="C91" s="281" t="str">
        <f>IFERROR(__xludf.DUMMYFUNCTION("""COMPUTED_VALUE"""),"https://www.tiktok.com/@wansyah799")</f>
        <v>https://www.tiktok.com/@wansyah799</v>
      </c>
      <c r="D91" s="270">
        <f>IFERROR(__xludf.DUMMYFUNCTION("""COMPUTED_VALUE"""),8.3869014757E10)</f>
        <v>83869014757</v>
      </c>
      <c r="E91" s="271" t="str">
        <f>IFERROR(__xludf.DUMMYFUNCTION("""COMPUTED_VALUE"""),"Rp.0")</f>
        <v>Rp.0</v>
      </c>
      <c r="F91" s="270">
        <f>IFERROR(__xludf.DUMMYFUNCTION("""COMPUTED_VALUE"""),3.0)</f>
        <v>3</v>
      </c>
      <c r="G91" s="270" t="str">
        <f>IFERROR(__xludf.DUMMYFUNCTION("""COMPUTED_VALUE"""),"Rp9.46m")</f>
        <v>Rp9.46m</v>
      </c>
      <c r="H91" s="259" t="str">
        <f>IFERROR(__xludf.DUMMYFUNCTION("""COMPUTED_VALUE""")," Bright Facial Wash")</f>
        <v> Bright Facial Wash</v>
      </c>
      <c r="I91" s="260" t="str">
        <f>IFERROR(__xludf.DUMMYFUNCTION("""COMPUTED_VALUE"""),"Done Req Sample")</f>
        <v>Done Req Sample</v>
      </c>
      <c r="J91" s="261"/>
      <c r="K91" s="262"/>
      <c r="L91" s="261"/>
      <c r="M91" s="262"/>
      <c r="N91" s="261"/>
      <c r="O91" s="17"/>
      <c r="P91" s="261"/>
      <c r="Q91" s="17"/>
      <c r="R91" s="266"/>
      <c r="S91" s="266"/>
      <c r="T91" s="266"/>
      <c r="U91" s="266"/>
    </row>
    <row r="92">
      <c r="A92" s="255" t="str">
        <f>IFERROR(__xludf.DUMMYFUNCTION("""COMPUTED_VALUE"""),"MACRO")</f>
        <v>MACRO</v>
      </c>
      <c r="B92" s="23" t="str">
        <f>IFERROR(__xludf.DUMMYFUNCTION("""COMPUTED_VALUE"""),"panderismad")</f>
        <v>panderismad</v>
      </c>
      <c r="C92" s="281" t="str">
        <f>IFERROR(__xludf.DUMMYFUNCTION("""COMPUTED_VALUE"""),"https://www.tiktok.com/@panderismad")</f>
        <v>https://www.tiktok.com/@panderismad</v>
      </c>
      <c r="D92" s="270">
        <f>IFERROR(__xludf.DUMMYFUNCTION("""COMPUTED_VALUE"""),8.5791585816E10)</f>
        <v>85791585816</v>
      </c>
      <c r="E92" s="271" t="str">
        <f>IFERROR(__xludf.DUMMYFUNCTION("""COMPUTED_VALUE"""),"Rp.250.000")</f>
        <v>Rp.250.000</v>
      </c>
      <c r="F92" s="270">
        <f>IFERROR(__xludf.DUMMYFUNCTION("""COMPUTED_VALUE"""),1.0)</f>
        <v>1</v>
      </c>
      <c r="G92" s="270" t="str">
        <f>IFERROR(__xludf.DUMMYFUNCTION("""COMPUTED_VALUE"""),"Rp21.08m")</f>
        <v>Rp21.08m</v>
      </c>
      <c r="H92" s="259" t="str">
        <f>IFERROR(__xludf.DUMMYFUNCTION("""COMPUTED_VALUE"""),"2 Product (Facial Wash + Dual Cream)")</f>
        <v>2 Product (Facial Wash + Dual Cream)</v>
      </c>
      <c r="I92" s="260" t="str">
        <f>IFERROR(__xludf.DUMMYFUNCTION("""COMPUTED_VALUE"""),"Done Req Sample")</f>
        <v>Done Req Sample</v>
      </c>
      <c r="J92" s="261"/>
      <c r="K92" s="262"/>
      <c r="L92" s="261"/>
      <c r="M92" s="262"/>
      <c r="N92" s="261"/>
      <c r="O92" s="17"/>
      <c r="P92" s="261"/>
      <c r="Q92" s="17"/>
      <c r="R92" s="266"/>
      <c r="S92" s="266"/>
      <c r="T92" s="266"/>
      <c r="U92" s="266"/>
    </row>
    <row r="93">
      <c r="A93" s="255" t="str">
        <f>IFERROR(__xludf.DUMMYFUNCTION("""COMPUTED_VALUE"""),"NANO")</f>
        <v>NANO</v>
      </c>
      <c r="B93" s="23" t="str">
        <f>IFERROR(__xludf.DUMMYFUNCTION("""COMPUTED_VALUE"""),"brocus_")</f>
        <v>brocus_</v>
      </c>
      <c r="C93" s="281" t="str">
        <f>IFERROR(__xludf.DUMMYFUNCTION("""COMPUTED_VALUE"""),"https://www.tiktok.com/@brocus_")</f>
        <v>https://www.tiktok.com/@brocus_</v>
      </c>
      <c r="D93" s="270">
        <f>IFERROR(__xludf.DUMMYFUNCTION("""COMPUTED_VALUE"""),8.5777204595E10)</f>
        <v>85777204595</v>
      </c>
      <c r="E93" s="271" t="str">
        <f>IFERROR(__xludf.DUMMYFUNCTION("""COMPUTED_VALUE"""),"Rp.75.000")</f>
        <v>Rp.75.000</v>
      </c>
      <c r="F93" s="270">
        <f>IFERROR(__xludf.DUMMYFUNCTION("""COMPUTED_VALUE"""),1.0)</f>
        <v>1</v>
      </c>
      <c r="G93" s="270" t="str">
        <f>IFERROR(__xludf.DUMMYFUNCTION("""COMPUTED_VALUE"""),"Rp38.34m")</f>
        <v>Rp38.34m</v>
      </c>
      <c r="H93" s="259" t="str">
        <f>IFERROR(__xludf.DUMMYFUNCTION("""COMPUTED_VALUE"""),"2 Product (Facial Wash + Dual Cream)")</f>
        <v>2 Product (Facial Wash + Dual Cream)</v>
      </c>
      <c r="I93" s="260" t="str">
        <f>IFERROR(__xludf.DUMMYFUNCTION("""COMPUTED_VALUE"""),"Done Req Sample")</f>
        <v>Done Req Sample</v>
      </c>
      <c r="J93" s="261"/>
      <c r="K93" s="262"/>
      <c r="L93" s="261"/>
      <c r="M93" s="262"/>
      <c r="N93" s="261"/>
      <c r="O93" s="17"/>
      <c r="P93" s="261"/>
      <c r="Q93" s="17"/>
      <c r="R93" s="266"/>
      <c r="S93" s="266"/>
      <c r="T93" s="266"/>
      <c r="U93" s="266"/>
    </row>
    <row r="94">
      <c r="A94" s="255"/>
      <c r="B94" s="23"/>
      <c r="C94" s="268"/>
      <c r="D94" s="270"/>
      <c r="E94" s="271"/>
      <c r="F94" s="270"/>
      <c r="G94" s="270"/>
      <c r="H94" s="259"/>
      <c r="I94" s="260"/>
      <c r="J94" s="261"/>
      <c r="K94" s="262"/>
      <c r="L94" s="261"/>
      <c r="M94" s="262"/>
      <c r="N94" s="261"/>
      <c r="O94" s="17"/>
      <c r="P94" s="261"/>
      <c r="Q94" s="17"/>
      <c r="R94" s="266"/>
      <c r="S94" s="266"/>
      <c r="T94" s="266"/>
      <c r="U94" s="266"/>
    </row>
    <row r="95">
      <c r="A95" s="255"/>
      <c r="B95" s="23"/>
      <c r="C95" s="268"/>
      <c r="D95" s="270"/>
      <c r="E95" s="271"/>
      <c r="F95" s="270"/>
      <c r="G95" s="270"/>
      <c r="H95" s="259"/>
      <c r="I95" s="260"/>
      <c r="J95" s="261"/>
      <c r="K95" s="262"/>
      <c r="L95" s="261"/>
      <c r="M95" s="262"/>
      <c r="N95" s="261"/>
      <c r="O95" s="17"/>
      <c r="P95" s="261"/>
      <c r="Q95" s="17"/>
      <c r="R95" s="266"/>
      <c r="S95" s="266"/>
      <c r="T95" s="266"/>
      <c r="U95" s="266"/>
    </row>
    <row r="96">
      <c r="A96" s="255"/>
      <c r="B96" s="23"/>
      <c r="C96" s="268"/>
      <c r="D96" s="270"/>
      <c r="E96" s="271"/>
      <c r="F96" s="270"/>
      <c r="G96" s="270"/>
      <c r="H96" s="259"/>
      <c r="I96" s="260"/>
      <c r="J96" s="261"/>
      <c r="K96" s="262"/>
      <c r="L96" s="261"/>
      <c r="M96" s="262"/>
      <c r="N96" s="261"/>
      <c r="O96" s="17"/>
      <c r="P96" s="261"/>
      <c r="Q96" s="17"/>
      <c r="R96" s="266"/>
      <c r="S96" s="266"/>
      <c r="T96" s="266"/>
      <c r="U96" s="266"/>
    </row>
    <row r="97">
      <c r="A97" s="255"/>
      <c r="B97" s="23"/>
      <c r="C97" s="268"/>
      <c r="D97" s="270"/>
      <c r="E97" s="271"/>
      <c r="F97" s="270"/>
      <c r="G97" s="270"/>
      <c r="H97" s="259"/>
      <c r="I97" s="260"/>
      <c r="J97" s="261"/>
      <c r="K97" s="262"/>
      <c r="L97" s="261"/>
      <c r="M97" s="262"/>
      <c r="N97" s="261"/>
      <c r="O97" s="17"/>
      <c r="P97" s="261"/>
      <c r="Q97" s="17"/>
      <c r="R97" s="266"/>
      <c r="S97" s="266"/>
      <c r="T97" s="266"/>
      <c r="U97" s="266"/>
    </row>
    <row r="98">
      <c r="A98" s="255"/>
      <c r="B98" s="23"/>
      <c r="C98" s="268"/>
      <c r="D98" s="270"/>
      <c r="E98" s="271"/>
      <c r="F98" s="270"/>
      <c r="G98" s="270"/>
      <c r="H98" s="259"/>
      <c r="I98" s="260"/>
      <c r="J98" s="261"/>
      <c r="K98" s="262"/>
      <c r="L98" s="261"/>
      <c r="M98" s="262"/>
      <c r="N98" s="261"/>
      <c r="O98" s="17"/>
      <c r="P98" s="261"/>
      <c r="Q98" s="17"/>
      <c r="R98" s="266"/>
      <c r="S98" s="266"/>
      <c r="T98" s="266"/>
      <c r="U98" s="266"/>
    </row>
    <row r="99">
      <c r="A99" s="255"/>
      <c r="B99" s="23"/>
      <c r="C99" s="268"/>
      <c r="D99" s="270"/>
      <c r="E99" s="271"/>
      <c r="F99" s="270"/>
      <c r="G99" s="270"/>
      <c r="H99" s="259"/>
      <c r="I99" s="260"/>
      <c r="J99" s="261"/>
      <c r="K99" s="262"/>
      <c r="L99" s="261"/>
      <c r="M99" s="262"/>
      <c r="N99" s="261"/>
      <c r="O99" s="17"/>
      <c r="P99" s="261"/>
      <c r="Q99" s="17"/>
      <c r="R99" s="266"/>
      <c r="S99" s="266"/>
      <c r="T99" s="266"/>
      <c r="U99" s="266"/>
    </row>
    <row r="100">
      <c r="A100" s="255"/>
      <c r="B100" s="23"/>
      <c r="C100" s="268"/>
      <c r="D100" s="270"/>
      <c r="E100" s="271"/>
      <c r="F100" s="270"/>
      <c r="G100" s="270"/>
      <c r="H100" s="259"/>
      <c r="I100" s="260"/>
      <c r="J100" s="261"/>
      <c r="K100" s="262"/>
      <c r="L100" s="261"/>
      <c r="M100" s="262"/>
      <c r="N100" s="261"/>
      <c r="O100" s="17"/>
      <c r="P100" s="261"/>
      <c r="Q100" s="17"/>
      <c r="R100" s="266"/>
      <c r="S100" s="266"/>
      <c r="T100" s="266"/>
      <c r="U100" s="266"/>
    </row>
    <row r="101">
      <c r="A101" s="255"/>
      <c r="B101" s="23"/>
      <c r="C101" s="268"/>
      <c r="D101" s="270"/>
      <c r="E101" s="271"/>
      <c r="F101" s="270"/>
      <c r="G101" s="270"/>
      <c r="H101" s="259"/>
      <c r="I101" s="260"/>
      <c r="J101" s="261"/>
      <c r="K101" s="262"/>
      <c r="L101" s="261"/>
      <c r="M101" s="262"/>
      <c r="N101" s="261"/>
      <c r="O101" s="17"/>
      <c r="P101" s="261"/>
      <c r="Q101" s="17"/>
      <c r="R101" s="266"/>
      <c r="S101" s="266"/>
      <c r="T101" s="266"/>
      <c r="U101" s="266"/>
    </row>
    <row r="102">
      <c r="A102" s="255"/>
      <c r="B102" s="23"/>
      <c r="C102" s="268"/>
      <c r="D102" s="270"/>
      <c r="E102" s="271"/>
      <c r="F102" s="270"/>
      <c r="G102" s="270"/>
      <c r="H102" s="259"/>
      <c r="I102" s="260"/>
      <c r="J102" s="261"/>
      <c r="K102" s="262"/>
      <c r="L102" s="261"/>
      <c r="M102" s="262"/>
      <c r="N102" s="261"/>
      <c r="O102" s="17"/>
      <c r="P102" s="261"/>
      <c r="Q102" s="17"/>
      <c r="R102" s="266"/>
      <c r="S102" s="266"/>
      <c r="T102" s="266"/>
      <c r="U102" s="266"/>
    </row>
    <row r="103">
      <c r="A103" s="255"/>
      <c r="B103" s="23"/>
      <c r="C103" s="268"/>
      <c r="D103" s="270"/>
      <c r="E103" s="271"/>
      <c r="F103" s="270"/>
      <c r="G103" s="270"/>
      <c r="H103" s="259"/>
      <c r="I103" s="260"/>
      <c r="J103" s="261"/>
      <c r="K103" s="262"/>
      <c r="L103" s="261"/>
      <c r="M103" s="262"/>
      <c r="N103" s="261"/>
      <c r="O103" s="17"/>
      <c r="P103" s="261"/>
      <c r="Q103" s="17"/>
      <c r="R103" s="266"/>
      <c r="S103" s="266"/>
      <c r="T103" s="266"/>
      <c r="U103" s="266"/>
    </row>
    <row r="104">
      <c r="A104" s="255"/>
      <c r="B104" s="23"/>
      <c r="C104" s="268"/>
      <c r="D104" s="270"/>
      <c r="E104" s="271"/>
      <c r="F104" s="270"/>
      <c r="G104" s="270"/>
      <c r="H104" s="259"/>
      <c r="I104" s="260"/>
      <c r="J104" s="261"/>
      <c r="K104" s="262"/>
      <c r="L104" s="261"/>
      <c r="M104" s="262"/>
      <c r="N104" s="261"/>
      <c r="O104" s="17"/>
      <c r="P104" s="261"/>
      <c r="Q104" s="17"/>
      <c r="R104" s="266"/>
      <c r="S104" s="266"/>
      <c r="T104" s="266"/>
      <c r="U104" s="266"/>
    </row>
    <row r="105">
      <c r="A105" s="255"/>
      <c r="B105" s="23"/>
      <c r="C105" s="268"/>
      <c r="D105" s="270"/>
      <c r="E105" s="271"/>
      <c r="F105" s="270"/>
      <c r="G105" s="270"/>
      <c r="H105" s="259"/>
      <c r="I105" s="260"/>
      <c r="J105" s="261"/>
      <c r="K105" s="262"/>
      <c r="L105" s="261"/>
      <c r="M105" s="262"/>
      <c r="N105" s="261"/>
      <c r="O105" s="17"/>
      <c r="P105" s="261"/>
      <c r="Q105" s="17"/>
      <c r="R105" s="266"/>
      <c r="S105" s="266"/>
      <c r="T105" s="266"/>
      <c r="U105" s="266"/>
    </row>
    <row r="106">
      <c r="A106" s="255"/>
      <c r="B106" s="23"/>
      <c r="C106" s="268"/>
      <c r="D106" s="270"/>
      <c r="E106" s="271"/>
      <c r="F106" s="270"/>
      <c r="G106" s="270"/>
      <c r="H106" s="259"/>
      <c r="I106" s="260"/>
      <c r="J106" s="261"/>
      <c r="K106" s="262"/>
      <c r="L106" s="261"/>
      <c r="M106" s="262"/>
      <c r="N106" s="261"/>
      <c r="O106" s="17"/>
      <c r="P106" s="261"/>
      <c r="Q106" s="17"/>
      <c r="R106" s="266"/>
      <c r="S106" s="266"/>
      <c r="T106" s="266"/>
      <c r="U106" s="266"/>
    </row>
    <row r="107">
      <c r="A107" s="255"/>
      <c r="B107" s="23"/>
      <c r="C107" s="268"/>
      <c r="D107" s="270"/>
      <c r="E107" s="271"/>
      <c r="F107" s="270"/>
      <c r="G107" s="270"/>
      <c r="H107" s="259"/>
      <c r="I107" s="260"/>
      <c r="J107" s="261"/>
      <c r="K107" s="262"/>
      <c r="L107" s="261"/>
      <c r="M107" s="262"/>
      <c r="N107" s="261"/>
      <c r="O107" s="17"/>
      <c r="P107" s="261"/>
      <c r="Q107" s="17"/>
      <c r="R107" s="266"/>
      <c r="S107" s="266"/>
      <c r="T107" s="266"/>
      <c r="U107" s="266"/>
    </row>
    <row r="108">
      <c r="A108" s="255"/>
      <c r="B108" s="23"/>
      <c r="C108" s="268"/>
      <c r="D108" s="270"/>
      <c r="E108" s="271"/>
      <c r="F108" s="270"/>
      <c r="G108" s="270"/>
      <c r="H108" s="259"/>
      <c r="I108" s="260"/>
      <c r="J108" s="261"/>
      <c r="K108" s="262"/>
      <c r="L108" s="261"/>
      <c r="M108" s="262"/>
      <c r="N108" s="261"/>
      <c r="O108" s="17"/>
      <c r="P108" s="261"/>
      <c r="Q108" s="17"/>
      <c r="R108" s="266"/>
      <c r="S108" s="266"/>
      <c r="T108" s="266"/>
      <c r="U108" s="266"/>
    </row>
    <row r="109">
      <c r="A109" s="255"/>
      <c r="B109" s="23"/>
      <c r="C109" s="268"/>
      <c r="D109" s="270"/>
      <c r="E109" s="271"/>
      <c r="F109" s="270"/>
      <c r="G109" s="270"/>
      <c r="H109" s="259"/>
      <c r="I109" s="260"/>
      <c r="J109" s="261"/>
      <c r="K109" s="262"/>
      <c r="L109" s="261"/>
      <c r="M109" s="262"/>
      <c r="N109" s="261"/>
      <c r="O109" s="17"/>
      <c r="P109" s="261"/>
      <c r="Q109" s="17"/>
      <c r="R109" s="266"/>
      <c r="S109" s="266"/>
      <c r="T109" s="266"/>
      <c r="U109" s="266"/>
    </row>
    <row r="110">
      <c r="A110" s="255"/>
      <c r="B110" s="23"/>
      <c r="C110" s="268"/>
      <c r="D110" s="270"/>
      <c r="E110" s="271"/>
      <c r="F110" s="270"/>
      <c r="G110" s="270"/>
      <c r="H110" s="259"/>
      <c r="I110" s="260"/>
      <c r="J110" s="261"/>
      <c r="K110" s="262"/>
      <c r="L110" s="261"/>
      <c r="M110" s="262"/>
      <c r="N110" s="261"/>
      <c r="O110" s="17"/>
      <c r="P110" s="261"/>
      <c r="Q110" s="17"/>
      <c r="R110" s="266"/>
      <c r="S110" s="266"/>
      <c r="T110" s="266"/>
      <c r="U110" s="266"/>
    </row>
    <row r="111">
      <c r="A111" s="255"/>
      <c r="B111" s="23"/>
      <c r="C111" s="268"/>
      <c r="D111" s="270"/>
      <c r="E111" s="271"/>
      <c r="F111" s="270"/>
      <c r="G111" s="270"/>
      <c r="H111" s="259"/>
      <c r="I111" s="260"/>
      <c r="J111" s="261"/>
      <c r="K111" s="262"/>
      <c r="L111" s="261"/>
      <c r="M111" s="262"/>
      <c r="N111" s="261"/>
      <c r="O111" s="17"/>
      <c r="P111" s="261"/>
      <c r="Q111" s="17"/>
      <c r="R111" s="266"/>
      <c r="S111" s="266"/>
      <c r="T111" s="266"/>
      <c r="U111" s="266"/>
    </row>
    <row r="112">
      <c r="A112" s="255"/>
      <c r="B112" s="23"/>
      <c r="C112" s="268"/>
      <c r="D112" s="270"/>
      <c r="E112" s="271"/>
      <c r="F112" s="270"/>
      <c r="G112" s="270"/>
      <c r="H112" s="259"/>
      <c r="I112" s="260"/>
      <c r="J112" s="261"/>
      <c r="K112" s="262"/>
      <c r="L112" s="261"/>
      <c r="M112" s="262"/>
      <c r="N112" s="261"/>
      <c r="O112" s="17"/>
      <c r="P112" s="261"/>
      <c r="Q112" s="17"/>
      <c r="R112" s="266"/>
      <c r="S112" s="266"/>
      <c r="T112" s="266"/>
      <c r="U112" s="266"/>
    </row>
    <row r="113">
      <c r="A113" s="255"/>
      <c r="B113" s="23"/>
      <c r="C113" s="268"/>
      <c r="D113" s="270"/>
      <c r="E113" s="271"/>
      <c r="F113" s="270"/>
      <c r="G113" s="270"/>
      <c r="H113" s="259"/>
      <c r="I113" s="260"/>
      <c r="J113" s="261"/>
      <c r="K113" s="262"/>
      <c r="L113" s="261"/>
      <c r="M113" s="262"/>
      <c r="N113" s="261"/>
      <c r="O113" s="17"/>
      <c r="P113" s="261"/>
      <c r="Q113" s="17"/>
      <c r="R113" s="266"/>
      <c r="S113" s="266"/>
      <c r="T113" s="266"/>
      <c r="U113" s="266"/>
    </row>
    <row r="114">
      <c r="A114" s="255"/>
      <c r="B114" s="23"/>
      <c r="C114" s="268"/>
      <c r="D114" s="270"/>
      <c r="E114" s="271"/>
      <c r="F114" s="270"/>
      <c r="G114" s="270"/>
      <c r="H114" s="259"/>
      <c r="I114" s="260"/>
      <c r="J114" s="261"/>
      <c r="K114" s="262"/>
      <c r="L114" s="261"/>
      <c r="M114" s="262"/>
      <c r="N114" s="261"/>
      <c r="O114" s="17"/>
      <c r="P114" s="261"/>
      <c r="Q114" s="17"/>
      <c r="R114" s="266"/>
      <c r="S114" s="266"/>
      <c r="T114" s="266"/>
      <c r="U114" s="266"/>
    </row>
    <row r="115">
      <c r="A115" s="255"/>
      <c r="B115" s="23"/>
      <c r="C115" s="268"/>
      <c r="D115" s="270"/>
      <c r="E115" s="271"/>
      <c r="F115" s="270"/>
      <c r="G115" s="270"/>
      <c r="H115" s="259"/>
      <c r="I115" s="260"/>
      <c r="J115" s="261"/>
      <c r="K115" s="262"/>
      <c r="L115" s="261"/>
      <c r="M115" s="262"/>
      <c r="N115" s="261"/>
      <c r="O115" s="17"/>
      <c r="P115" s="261"/>
      <c r="Q115" s="17"/>
      <c r="R115" s="266"/>
      <c r="S115" s="266"/>
      <c r="T115" s="266"/>
      <c r="U115" s="266"/>
    </row>
    <row r="116">
      <c r="A116" s="255"/>
      <c r="B116" s="23"/>
      <c r="C116" s="268"/>
      <c r="D116" s="270"/>
      <c r="E116" s="271"/>
      <c r="F116" s="270"/>
      <c r="G116" s="270"/>
      <c r="H116" s="259"/>
      <c r="I116" s="260"/>
      <c r="J116" s="261"/>
      <c r="K116" s="262"/>
      <c r="L116" s="261"/>
      <c r="M116" s="262"/>
      <c r="N116" s="261"/>
      <c r="O116" s="17"/>
      <c r="P116" s="261"/>
      <c r="Q116" s="17"/>
      <c r="R116" s="266"/>
      <c r="S116" s="266"/>
      <c r="T116" s="266"/>
      <c r="U116" s="266"/>
    </row>
    <row r="117">
      <c r="A117" s="255"/>
      <c r="B117" s="23"/>
      <c r="C117" s="268"/>
      <c r="D117" s="270"/>
      <c r="E117" s="271"/>
      <c r="F117" s="270"/>
      <c r="G117" s="270"/>
      <c r="H117" s="259"/>
      <c r="I117" s="260"/>
      <c r="J117" s="261"/>
      <c r="K117" s="262"/>
      <c r="L117" s="261"/>
      <c r="M117" s="262"/>
      <c r="N117" s="261"/>
      <c r="O117" s="17"/>
      <c r="P117" s="261"/>
      <c r="Q117" s="17"/>
      <c r="R117" s="266"/>
      <c r="S117" s="266"/>
      <c r="T117" s="266"/>
      <c r="U117" s="266"/>
    </row>
    <row r="118">
      <c r="A118" s="255"/>
      <c r="B118" s="23"/>
      <c r="C118" s="268"/>
      <c r="D118" s="270"/>
      <c r="E118" s="271"/>
      <c r="F118" s="270"/>
      <c r="G118" s="270"/>
      <c r="H118" s="259"/>
      <c r="I118" s="260"/>
      <c r="J118" s="261"/>
      <c r="K118" s="262"/>
      <c r="L118" s="261"/>
      <c r="M118" s="262"/>
      <c r="N118" s="261"/>
      <c r="O118" s="17"/>
      <c r="P118" s="261"/>
      <c r="Q118" s="17"/>
      <c r="R118" s="266"/>
      <c r="S118" s="266"/>
      <c r="T118" s="266"/>
      <c r="U118" s="266"/>
    </row>
    <row r="119">
      <c r="A119" s="255"/>
      <c r="B119" s="23"/>
      <c r="C119" s="268"/>
      <c r="D119" s="270"/>
      <c r="E119" s="271"/>
      <c r="F119" s="270"/>
      <c r="G119" s="270"/>
      <c r="H119" s="259"/>
      <c r="I119" s="260"/>
      <c r="J119" s="261"/>
      <c r="K119" s="262"/>
      <c r="L119" s="261"/>
      <c r="M119" s="262"/>
      <c r="N119" s="261"/>
      <c r="O119" s="17"/>
      <c r="P119" s="261"/>
      <c r="Q119" s="17"/>
      <c r="R119" s="266"/>
      <c r="S119" s="266"/>
      <c r="T119" s="266"/>
      <c r="U119" s="266"/>
    </row>
    <row r="120">
      <c r="A120" s="255"/>
      <c r="B120" s="23"/>
      <c r="C120" s="268"/>
      <c r="D120" s="270"/>
      <c r="E120" s="271"/>
      <c r="F120" s="270"/>
      <c r="G120" s="270"/>
      <c r="H120" s="259"/>
      <c r="I120" s="260"/>
      <c r="J120" s="261"/>
      <c r="K120" s="262"/>
      <c r="L120" s="261"/>
      <c r="M120" s="262"/>
      <c r="N120" s="261"/>
      <c r="O120" s="17"/>
      <c r="P120" s="261"/>
      <c r="Q120" s="17"/>
      <c r="R120" s="266"/>
      <c r="S120" s="266"/>
      <c r="T120" s="266"/>
      <c r="U120" s="266"/>
    </row>
    <row r="121">
      <c r="A121" s="255"/>
      <c r="B121" s="23"/>
      <c r="C121" s="268"/>
      <c r="D121" s="270"/>
      <c r="E121" s="271"/>
      <c r="F121" s="270"/>
      <c r="G121" s="270"/>
      <c r="H121" s="259"/>
      <c r="I121" s="260"/>
      <c r="J121" s="261"/>
      <c r="K121" s="262"/>
      <c r="L121" s="261"/>
      <c r="M121" s="262"/>
      <c r="N121" s="261"/>
      <c r="O121" s="17"/>
      <c r="P121" s="261"/>
      <c r="Q121" s="17"/>
      <c r="R121" s="266"/>
      <c r="S121" s="266"/>
      <c r="T121" s="266"/>
      <c r="U121" s="266"/>
    </row>
    <row r="122">
      <c r="A122" s="255"/>
      <c r="B122" s="23"/>
      <c r="C122" s="268"/>
      <c r="D122" s="270"/>
      <c r="E122" s="271"/>
      <c r="F122" s="270"/>
      <c r="G122" s="270"/>
      <c r="H122" s="259"/>
      <c r="I122" s="260"/>
      <c r="J122" s="261"/>
      <c r="K122" s="262"/>
      <c r="L122" s="261"/>
      <c r="M122" s="262"/>
      <c r="N122" s="261"/>
      <c r="O122" s="17"/>
      <c r="P122" s="261"/>
      <c r="Q122" s="17"/>
      <c r="R122" s="266"/>
      <c r="S122" s="266"/>
      <c r="T122" s="266"/>
      <c r="U122" s="266"/>
    </row>
    <row r="123">
      <c r="A123" s="255"/>
      <c r="B123" s="23"/>
      <c r="C123" s="268"/>
      <c r="D123" s="270"/>
      <c r="E123" s="271"/>
      <c r="F123" s="270"/>
      <c r="G123" s="270"/>
      <c r="H123" s="259"/>
      <c r="I123" s="260"/>
      <c r="J123" s="261"/>
      <c r="K123" s="262"/>
      <c r="L123" s="261"/>
      <c r="M123" s="262"/>
      <c r="N123" s="261"/>
      <c r="O123" s="17"/>
      <c r="P123" s="261"/>
      <c r="Q123" s="17"/>
      <c r="R123" s="266"/>
      <c r="S123" s="266"/>
      <c r="T123" s="266"/>
      <c r="U123" s="266"/>
    </row>
    <row r="124">
      <c r="A124" s="255"/>
      <c r="B124" s="23"/>
      <c r="C124" s="268"/>
      <c r="D124" s="270"/>
      <c r="E124" s="271"/>
      <c r="F124" s="270"/>
      <c r="G124" s="270"/>
      <c r="H124" s="259"/>
      <c r="I124" s="260"/>
      <c r="J124" s="261"/>
      <c r="K124" s="262"/>
      <c r="L124" s="261"/>
      <c r="M124" s="262"/>
      <c r="N124" s="261"/>
      <c r="O124" s="17"/>
      <c r="P124" s="261"/>
      <c r="Q124" s="17"/>
      <c r="R124" s="266"/>
      <c r="S124" s="266"/>
      <c r="T124" s="266"/>
      <c r="U124" s="266"/>
    </row>
    <row r="125">
      <c r="A125" s="255"/>
      <c r="B125" s="23"/>
      <c r="C125" s="268"/>
      <c r="D125" s="270"/>
      <c r="E125" s="271"/>
      <c r="F125" s="270"/>
      <c r="G125" s="270"/>
      <c r="H125" s="259"/>
      <c r="I125" s="260"/>
      <c r="J125" s="261"/>
      <c r="K125" s="262"/>
      <c r="L125" s="261"/>
      <c r="M125" s="262"/>
      <c r="N125" s="261"/>
      <c r="O125" s="17"/>
      <c r="P125" s="261"/>
      <c r="Q125" s="17"/>
      <c r="R125" s="266"/>
      <c r="S125" s="266"/>
      <c r="T125" s="266"/>
      <c r="U125" s="266"/>
    </row>
    <row r="126">
      <c r="A126" s="255"/>
      <c r="B126" s="23"/>
      <c r="C126" s="268"/>
      <c r="D126" s="270"/>
      <c r="E126" s="271"/>
      <c r="F126" s="270"/>
      <c r="G126" s="270"/>
      <c r="H126" s="259"/>
      <c r="I126" s="260"/>
      <c r="J126" s="261"/>
      <c r="K126" s="262"/>
      <c r="L126" s="261"/>
      <c r="M126" s="262"/>
      <c r="N126" s="261"/>
      <c r="O126" s="17"/>
      <c r="P126" s="261"/>
      <c r="Q126" s="17"/>
      <c r="R126" s="266"/>
      <c r="S126" s="266"/>
      <c r="T126" s="266"/>
      <c r="U126" s="266"/>
    </row>
    <row r="127">
      <c r="A127" s="255"/>
      <c r="B127" s="23"/>
      <c r="C127" s="268"/>
      <c r="D127" s="270"/>
      <c r="E127" s="271"/>
      <c r="F127" s="270"/>
      <c r="G127" s="270"/>
      <c r="H127" s="259"/>
      <c r="I127" s="260"/>
      <c r="J127" s="261"/>
      <c r="K127" s="262"/>
      <c r="L127" s="261"/>
      <c r="M127" s="262"/>
      <c r="N127" s="261"/>
      <c r="O127" s="17"/>
      <c r="P127" s="261"/>
      <c r="Q127" s="17"/>
      <c r="R127" s="266"/>
      <c r="S127" s="266"/>
      <c r="T127" s="266"/>
      <c r="U127" s="266"/>
    </row>
    <row r="128">
      <c r="A128" s="255"/>
      <c r="B128" s="23"/>
      <c r="C128" s="268"/>
      <c r="D128" s="270"/>
      <c r="E128" s="271"/>
      <c r="F128" s="270"/>
      <c r="G128" s="270"/>
      <c r="H128" s="259"/>
      <c r="I128" s="260"/>
      <c r="J128" s="261"/>
      <c r="K128" s="262"/>
      <c r="L128" s="261"/>
      <c r="M128" s="262"/>
      <c r="N128" s="261"/>
      <c r="O128" s="17"/>
      <c r="P128" s="261"/>
      <c r="Q128" s="17"/>
      <c r="R128" s="266"/>
      <c r="S128" s="266"/>
      <c r="T128" s="266"/>
      <c r="U128" s="266"/>
    </row>
    <row r="129">
      <c r="A129" s="255"/>
      <c r="B129" s="23"/>
      <c r="C129" s="268"/>
      <c r="D129" s="270"/>
      <c r="E129" s="271"/>
      <c r="F129" s="270"/>
      <c r="G129" s="270"/>
      <c r="H129" s="259"/>
      <c r="I129" s="260"/>
      <c r="J129" s="261"/>
      <c r="K129" s="262"/>
      <c r="L129" s="261"/>
      <c r="M129" s="262"/>
      <c r="N129" s="261"/>
      <c r="O129" s="17"/>
      <c r="P129" s="261"/>
      <c r="Q129" s="17"/>
      <c r="R129" s="266"/>
      <c r="S129" s="266"/>
      <c r="T129" s="266"/>
      <c r="U129" s="266"/>
    </row>
    <row r="130">
      <c r="A130" s="255"/>
      <c r="B130" s="23"/>
      <c r="C130" s="268"/>
      <c r="D130" s="270"/>
      <c r="E130" s="271"/>
      <c r="F130" s="270"/>
      <c r="G130" s="270"/>
      <c r="H130" s="259"/>
      <c r="I130" s="260"/>
      <c r="J130" s="261"/>
      <c r="K130" s="262"/>
      <c r="L130" s="261"/>
      <c r="M130" s="262"/>
      <c r="N130" s="261"/>
      <c r="O130" s="17"/>
      <c r="P130" s="261"/>
      <c r="Q130" s="17"/>
      <c r="R130" s="266"/>
      <c r="S130" s="266"/>
      <c r="T130" s="266"/>
      <c r="U130" s="266"/>
    </row>
    <row r="131">
      <c r="A131" s="255"/>
      <c r="B131" s="23"/>
      <c r="C131" s="268"/>
      <c r="D131" s="270"/>
      <c r="E131" s="271"/>
      <c r="F131" s="270"/>
      <c r="G131" s="270"/>
      <c r="H131" s="259"/>
      <c r="I131" s="260"/>
      <c r="J131" s="261"/>
      <c r="K131" s="262"/>
      <c r="L131" s="261"/>
      <c r="M131" s="262"/>
      <c r="N131" s="261"/>
      <c r="O131" s="17"/>
      <c r="P131" s="261"/>
      <c r="Q131" s="17"/>
      <c r="R131" s="266"/>
      <c r="S131" s="266"/>
      <c r="T131" s="266"/>
      <c r="U131" s="266"/>
    </row>
    <row r="132">
      <c r="A132" s="255"/>
      <c r="B132" s="23"/>
      <c r="C132" s="268"/>
      <c r="D132" s="270"/>
      <c r="E132" s="271"/>
      <c r="F132" s="270"/>
      <c r="G132" s="270"/>
      <c r="H132" s="259"/>
      <c r="I132" s="260"/>
      <c r="J132" s="261"/>
      <c r="K132" s="262"/>
      <c r="L132" s="261"/>
      <c r="M132" s="262"/>
      <c r="N132" s="261"/>
      <c r="O132" s="17"/>
      <c r="P132" s="261"/>
      <c r="Q132" s="17"/>
      <c r="R132" s="266"/>
      <c r="S132" s="266"/>
      <c r="T132" s="266"/>
      <c r="U132" s="266"/>
    </row>
    <row r="133">
      <c r="A133" s="255"/>
      <c r="B133" s="23"/>
      <c r="C133" s="268"/>
      <c r="D133" s="270"/>
      <c r="E133" s="271"/>
      <c r="F133" s="270"/>
      <c r="G133" s="270"/>
      <c r="H133" s="259"/>
      <c r="I133" s="260"/>
      <c r="J133" s="261"/>
      <c r="K133" s="262"/>
      <c r="L133" s="261"/>
      <c r="M133" s="262"/>
      <c r="N133" s="261"/>
      <c r="O133" s="17"/>
      <c r="P133" s="261"/>
      <c r="Q133" s="17"/>
      <c r="R133" s="266"/>
      <c r="S133" s="266"/>
      <c r="T133" s="266"/>
      <c r="U133" s="266"/>
    </row>
    <row r="134">
      <c r="A134" s="255"/>
      <c r="B134" s="23"/>
      <c r="C134" s="268"/>
      <c r="D134" s="270"/>
      <c r="E134" s="271"/>
      <c r="F134" s="270"/>
      <c r="G134" s="270"/>
      <c r="H134" s="259"/>
      <c r="I134" s="260"/>
      <c r="J134" s="261"/>
      <c r="K134" s="262"/>
      <c r="L134" s="261"/>
      <c r="M134" s="262"/>
      <c r="N134" s="261"/>
      <c r="O134" s="17"/>
      <c r="P134" s="261"/>
      <c r="Q134" s="17"/>
      <c r="R134" s="266"/>
      <c r="S134" s="266"/>
      <c r="T134" s="266"/>
      <c r="U134" s="266"/>
    </row>
    <row r="135">
      <c r="A135" s="255"/>
      <c r="B135" s="23"/>
      <c r="C135" s="268"/>
      <c r="D135" s="270"/>
      <c r="E135" s="271"/>
      <c r="F135" s="270"/>
      <c r="G135" s="270"/>
      <c r="H135" s="259"/>
      <c r="I135" s="260"/>
      <c r="J135" s="261"/>
      <c r="K135" s="262"/>
      <c r="L135" s="261"/>
      <c r="M135" s="262"/>
      <c r="N135" s="261"/>
      <c r="O135" s="17"/>
      <c r="P135" s="261"/>
      <c r="Q135" s="17"/>
      <c r="R135" s="266"/>
      <c r="S135" s="266"/>
      <c r="T135" s="266"/>
      <c r="U135" s="266"/>
    </row>
    <row r="136">
      <c r="A136" s="255"/>
      <c r="B136" s="23"/>
      <c r="C136" s="268"/>
      <c r="D136" s="270"/>
      <c r="E136" s="271"/>
      <c r="F136" s="270"/>
      <c r="G136" s="270"/>
      <c r="H136" s="259"/>
      <c r="I136" s="260"/>
      <c r="J136" s="261"/>
      <c r="K136" s="262"/>
      <c r="L136" s="261"/>
      <c r="M136" s="262"/>
      <c r="N136" s="261"/>
      <c r="O136" s="17"/>
      <c r="P136" s="261"/>
      <c r="Q136" s="17"/>
      <c r="R136" s="266"/>
      <c r="S136" s="266"/>
      <c r="T136" s="266"/>
      <c r="U136" s="266"/>
    </row>
    <row r="137">
      <c r="A137" s="255"/>
      <c r="B137" s="23"/>
      <c r="C137" s="268"/>
      <c r="D137" s="270"/>
      <c r="E137" s="271"/>
      <c r="F137" s="270"/>
      <c r="G137" s="270"/>
      <c r="H137" s="259"/>
      <c r="I137" s="260"/>
      <c r="J137" s="261"/>
      <c r="K137" s="262"/>
      <c r="L137" s="261"/>
      <c r="M137" s="262"/>
      <c r="N137" s="261"/>
      <c r="O137" s="17"/>
      <c r="P137" s="261"/>
      <c r="Q137" s="17"/>
      <c r="R137" s="266"/>
      <c r="S137" s="266"/>
      <c r="T137" s="266"/>
      <c r="U137" s="266"/>
    </row>
    <row r="138">
      <c r="A138" s="255"/>
      <c r="B138" s="23"/>
      <c r="C138" s="268"/>
      <c r="D138" s="270"/>
      <c r="E138" s="271"/>
      <c r="F138" s="270"/>
      <c r="G138" s="270"/>
      <c r="H138" s="259"/>
      <c r="I138" s="260"/>
      <c r="J138" s="261"/>
      <c r="K138" s="262"/>
      <c r="L138" s="261"/>
      <c r="M138" s="262"/>
      <c r="N138" s="261"/>
      <c r="O138" s="17"/>
      <c r="P138" s="261"/>
      <c r="Q138" s="17"/>
      <c r="R138" s="266"/>
      <c r="S138" s="266"/>
      <c r="T138" s="266"/>
      <c r="U138" s="266"/>
    </row>
    <row r="139">
      <c r="A139" s="255"/>
      <c r="B139" s="23"/>
      <c r="C139" s="268"/>
      <c r="D139" s="270"/>
      <c r="E139" s="271"/>
      <c r="F139" s="270"/>
      <c r="G139" s="270"/>
      <c r="H139" s="259"/>
      <c r="I139" s="260"/>
      <c r="J139" s="261"/>
      <c r="K139" s="262"/>
      <c r="L139" s="261"/>
      <c r="M139" s="262"/>
      <c r="N139" s="261"/>
      <c r="O139" s="17"/>
      <c r="P139" s="261"/>
      <c r="Q139" s="17"/>
      <c r="R139" s="266"/>
      <c r="S139" s="266"/>
      <c r="T139" s="266"/>
      <c r="U139" s="266"/>
    </row>
    <row r="140">
      <c r="A140" s="255"/>
      <c r="B140" s="23"/>
      <c r="C140" s="268"/>
      <c r="D140" s="270"/>
      <c r="E140" s="271"/>
      <c r="F140" s="270"/>
      <c r="G140" s="270"/>
      <c r="H140" s="259"/>
      <c r="I140" s="260"/>
      <c r="J140" s="261"/>
      <c r="K140" s="262"/>
      <c r="L140" s="261"/>
      <c r="M140" s="262"/>
      <c r="N140" s="261"/>
      <c r="O140" s="17"/>
      <c r="P140" s="261"/>
      <c r="Q140" s="17"/>
      <c r="R140" s="266"/>
      <c r="S140" s="266"/>
      <c r="T140" s="266"/>
      <c r="U140" s="266"/>
    </row>
    <row r="141">
      <c r="A141" s="255"/>
      <c r="B141" s="23"/>
      <c r="C141" s="268"/>
      <c r="D141" s="270"/>
      <c r="E141" s="271"/>
      <c r="F141" s="270"/>
      <c r="G141" s="270"/>
      <c r="H141" s="259"/>
      <c r="I141" s="260"/>
      <c r="J141" s="261"/>
      <c r="K141" s="262"/>
      <c r="L141" s="261"/>
      <c r="M141" s="262"/>
      <c r="N141" s="261"/>
      <c r="O141" s="17"/>
      <c r="P141" s="261"/>
      <c r="Q141" s="17"/>
      <c r="R141" s="266"/>
      <c r="S141" s="266"/>
      <c r="T141" s="266"/>
      <c r="U141" s="266"/>
    </row>
    <row r="142">
      <c r="A142" s="255"/>
      <c r="B142" s="23"/>
      <c r="C142" s="268"/>
      <c r="D142" s="270"/>
      <c r="E142" s="271"/>
      <c r="F142" s="270"/>
      <c r="G142" s="270"/>
      <c r="H142" s="259"/>
      <c r="I142" s="260"/>
      <c r="J142" s="261"/>
      <c r="K142" s="262"/>
      <c r="L142" s="261"/>
      <c r="M142" s="262"/>
      <c r="N142" s="261"/>
      <c r="O142" s="17"/>
      <c r="P142" s="261"/>
      <c r="Q142" s="17"/>
      <c r="R142" s="266"/>
      <c r="S142" s="266"/>
      <c r="T142" s="266"/>
      <c r="U142" s="266"/>
    </row>
    <row r="143">
      <c r="A143" s="255"/>
      <c r="B143" s="23"/>
      <c r="C143" s="268"/>
      <c r="D143" s="270"/>
      <c r="E143" s="271"/>
      <c r="F143" s="270"/>
      <c r="G143" s="270"/>
      <c r="H143" s="259"/>
      <c r="I143" s="260"/>
      <c r="J143" s="261"/>
      <c r="K143" s="262"/>
      <c r="L143" s="261"/>
      <c r="M143" s="262"/>
      <c r="N143" s="261"/>
      <c r="O143" s="17"/>
      <c r="P143" s="261"/>
      <c r="Q143" s="17"/>
      <c r="R143" s="266"/>
      <c r="S143" s="266"/>
      <c r="T143" s="266"/>
      <c r="U143" s="266"/>
    </row>
    <row r="144">
      <c r="A144" s="255"/>
      <c r="B144" s="23"/>
      <c r="C144" s="268"/>
      <c r="D144" s="270"/>
      <c r="E144" s="271"/>
      <c r="F144" s="270"/>
      <c r="G144" s="270"/>
      <c r="H144" s="259"/>
      <c r="I144" s="260"/>
      <c r="J144" s="261"/>
      <c r="K144" s="262"/>
      <c r="L144" s="261"/>
      <c r="M144" s="262"/>
      <c r="N144" s="261"/>
      <c r="O144" s="17"/>
      <c r="P144" s="261"/>
      <c r="Q144" s="17"/>
      <c r="R144" s="266"/>
      <c r="S144" s="266"/>
      <c r="T144" s="266"/>
      <c r="U144" s="266"/>
    </row>
    <row r="145">
      <c r="A145" s="255"/>
      <c r="B145" s="23"/>
      <c r="C145" s="268"/>
      <c r="D145" s="270"/>
      <c r="E145" s="271"/>
      <c r="F145" s="270"/>
      <c r="G145" s="270"/>
      <c r="H145" s="259"/>
      <c r="I145" s="260"/>
      <c r="J145" s="261"/>
      <c r="K145" s="262"/>
      <c r="L145" s="261"/>
      <c r="M145" s="262"/>
      <c r="N145" s="261"/>
      <c r="O145" s="17"/>
      <c r="P145" s="261"/>
      <c r="Q145" s="17"/>
      <c r="R145" s="266"/>
      <c r="S145" s="266"/>
      <c r="T145" s="266"/>
      <c r="U145" s="266"/>
    </row>
    <row r="146">
      <c r="A146" s="255"/>
      <c r="B146" s="23"/>
      <c r="C146" s="268"/>
      <c r="D146" s="270"/>
      <c r="E146" s="271"/>
      <c r="F146" s="270"/>
      <c r="G146" s="270"/>
      <c r="H146" s="259"/>
      <c r="I146" s="260"/>
      <c r="J146" s="261"/>
      <c r="K146" s="262"/>
      <c r="L146" s="261"/>
      <c r="M146" s="262"/>
      <c r="N146" s="261"/>
      <c r="O146" s="17"/>
      <c r="P146" s="261"/>
      <c r="Q146" s="17"/>
      <c r="R146" s="266"/>
      <c r="S146" s="266"/>
      <c r="T146" s="266"/>
      <c r="U146" s="266"/>
    </row>
    <row r="147">
      <c r="A147" s="255"/>
      <c r="B147" s="23"/>
      <c r="C147" s="268"/>
      <c r="D147" s="270"/>
      <c r="E147" s="271"/>
      <c r="F147" s="270"/>
      <c r="G147" s="270"/>
      <c r="H147" s="259"/>
      <c r="I147" s="260"/>
      <c r="J147" s="261"/>
      <c r="K147" s="262"/>
      <c r="L147" s="261"/>
      <c r="M147" s="262"/>
      <c r="N147" s="261"/>
      <c r="O147" s="17"/>
      <c r="P147" s="261"/>
      <c r="Q147" s="17"/>
      <c r="R147" s="266"/>
      <c r="S147" s="266"/>
      <c r="T147" s="266"/>
      <c r="U147" s="266"/>
    </row>
    <row r="148">
      <c r="A148" s="255"/>
      <c r="B148" s="23"/>
      <c r="C148" s="268"/>
      <c r="D148" s="270"/>
      <c r="E148" s="271"/>
      <c r="F148" s="270"/>
      <c r="G148" s="270"/>
      <c r="H148" s="259"/>
      <c r="I148" s="260"/>
      <c r="J148" s="261"/>
      <c r="K148" s="262"/>
      <c r="L148" s="261"/>
      <c r="M148" s="262"/>
      <c r="N148" s="261"/>
      <c r="O148" s="17"/>
      <c r="P148" s="261"/>
      <c r="Q148" s="17"/>
      <c r="R148" s="266"/>
      <c r="S148" s="266"/>
      <c r="T148" s="266"/>
      <c r="U148" s="266"/>
    </row>
    <row r="149">
      <c r="A149" s="255"/>
      <c r="B149" s="23"/>
      <c r="C149" s="268"/>
      <c r="D149" s="270"/>
      <c r="E149" s="271"/>
      <c r="F149" s="270"/>
      <c r="G149" s="270"/>
      <c r="H149" s="259"/>
      <c r="I149" s="260"/>
      <c r="J149" s="261"/>
      <c r="K149" s="262"/>
      <c r="L149" s="261"/>
      <c r="M149" s="262"/>
      <c r="N149" s="261"/>
      <c r="O149" s="17"/>
      <c r="P149" s="261"/>
      <c r="Q149" s="17"/>
      <c r="R149" s="266"/>
      <c r="S149" s="266"/>
      <c r="T149" s="266"/>
      <c r="U149" s="266"/>
    </row>
    <row r="150">
      <c r="A150" s="255"/>
      <c r="B150" s="23"/>
      <c r="C150" s="268"/>
      <c r="D150" s="270"/>
      <c r="E150" s="271"/>
      <c r="F150" s="270"/>
      <c r="G150" s="270"/>
      <c r="H150" s="259"/>
      <c r="I150" s="260"/>
      <c r="J150" s="261"/>
      <c r="K150" s="262"/>
      <c r="L150" s="261"/>
      <c r="M150" s="262"/>
      <c r="N150" s="261"/>
      <c r="O150" s="17"/>
      <c r="P150" s="261"/>
      <c r="Q150" s="17"/>
      <c r="R150" s="266"/>
      <c r="S150" s="266"/>
      <c r="T150" s="266"/>
      <c r="U150" s="266"/>
    </row>
    <row r="151">
      <c r="A151" s="255"/>
      <c r="B151" s="23"/>
      <c r="C151" s="268"/>
      <c r="D151" s="270"/>
      <c r="E151" s="271"/>
      <c r="F151" s="270"/>
      <c r="G151" s="270"/>
      <c r="H151" s="259"/>
      <c r="I151" s="260"/>
      <c r="J151" s="261"/>
      <c r="K151" s="262"/>
      <c r="L151" s="261"/>
      <c r="M151" s="262"/>
      <c r="N151" s="261"/>
      <c r="O151" s="17"/>
      <c r="P151" s="261"/>
      <c r="Q151" s="17"/>
      <c r="R151" s="266"/>
      <c r="S151" s="266"/>
      <c r="T151" s="266"/>
      <c r="U151" s="266"/>
    </row>
    <row r="152">
      <c r="A152" s="255"/>
      <c r="B152" s="23"/>
      <c r="C152" s="268"/>
      <c r="D152" s="270"/>
      <c r="E152" s="271"/>
      <c r="F152" s="270"/>
      <c r="G152" s="270"/>
      <c r="H152" s="259"/>
      <c r="I152" s="260"/>
      <c r="J152" s="261"/>
      <c r="K152" s="262"/>
      <c r="L152" s="261"/>
      <c r="M152" s="262"/>
      <c r="N152" s="261"/>
      <c r="O152" s="17"/>
      <c r="P152" s="261"/>
      <c r="Q152" s="17"/>
      <c r="R152" s="266"/>
      <c r="S152" s="266"/>
      <c r="T152" s="266"/>
      <c r="U152" s="266"/>
    </row>
    <row r="153">
      <c r="A153" s="255"/>
      <c r="B153" s="23"/>
      <c r="C153" s="268"/>
      <c r="D153" s="270"/>
      <c r="E153" s="271"/>
      <c r="F153" s="270"/>
      <c r="G153" s="270"/>
      <c r="H153" s="259"/>
      <c r="I153" s="260"/>
      <c r="J153" s="261"/>
      <c r="K153" s="262"/>
      <c r="L153" s="261"/>
      <c r="M153" s="262"/>
      <c r="N153" s="261"/>
      <c r="O153" s="17"/>
      <c r="P153" s="261"/>
      <c r="Q153" s="17"/>
      <c r="R153" s="266"/>
      <c r="S153" s="266"/>
      <c r="T153" s="266"/>
      <c r="U153" s="266"/>
    </row>
    <row r="154">
      <c r="A154" s="255"/>
      <c r="B154" s="23"/>
      <c r="C154" s="268"/>
      <c r="D154" s="270"/>
      <c r="E154" s="271"/>
      <c r="F154" s="270"/>
      <c r="G154" s="270"/>
      <c r="H154" s="259"/>
      <c r="I154" s="260"/>
      <c r="J154" s="261"/>
      <c r="K154" s="262"/>
      <c r="L154" s="261"/>
      <c r="M154" s="262"/>
      <c r="N154" s="261"/>
      <c r="O154" s="17"/>
      <c r="P154" s="261"/>
      <c r="Q154" s="17"/>
      <c r="R154" s="266"/>
      <c r="S154" s="266"/>
      <c r="T154" s="266"/>
      <c r="U154" s="266"/>
    </row>
    <row r="155">
      <c r="A155" s="255"/>
      <c r="B155" s="23"/>
      <c r="C155" s="268"/>
      <c r="D155" s="270"/>
      <c r="E155" s="271"/>
      <c r="F155" s="270"/>
      <c r="G155" s="270"/>
      <c r="H155" s="259"/>
      <c r="I155" s="260"/>
      <c r="J155" s="261"/>
      <c r="K155" s="262"/>
      <c r="L155" s="261"/>
      <c r="M155" s="262"/>
      <c r="N155" s="261"/>
      <c r="O155" s="17"/>
      <c r="P155" s="261"/>
      <c r="Q155" s="17"/>
      <c r="R155" s="266"/>
      <c r="S155" s="266"/>
      <c r="T155" s="266"/>
      <c r="U155" s="266"/>
    </row>
    <row r="156">
      <c r="A156" s="255"/>
      <c r="B156" s="23"/>
      <c r="C156" s="268"/>
      <c r="D156" s="270"/>
      <c r="E156" s="271"/>
      <c r="F156" s="270"/>
      <c r="G156" s="270"/>
      <c r="H156" s="259"/>
      <c r="I156" s="260"/>
      <c r="J156" s="261"/>
      <c r="K156" s="262"/>
      <c r="L156" s="261"/>
      <c r="M156" s="262"/>
      <c r="N156" s="261"/>
      <c r="O156" s="17"/>
      <c r="P156" s="261"/>
      <c r="Q156" s="17"/>
      <c r="R156" s="266"/>
      <c r="S156" s="266"/>
      <c r="T156" s="266"/>
      <c r="U156" s="266"/>
    </row>
    <row r="157">
      <c r="A157" s="255"/>
      <c r="B157" s="23"/>
      <c r="C157" s="268"/>
      <c r="D157" s="270"/>
      <c r="E157" s="271"/>
      <c r="F157" s="270"/>
      <c r="G157" s="270"/>
      <c r="H157" s="259"/>
      <c r="I157" s="260"/>
      <c r="J157" s="261"/>
      <c r="K157" s="262"/>
      <c r="L157" s="261"/>
      <c r="M157" s="262"/>
      <c r="N157" s="261"/>
      <c r="O157" s="17"/>
      <c r="P157" s="261"/>
      <c r="Q157" s="17"/>
      <c r="R157" s="266"/>
      <c r="S157" s="266"/>
      <c r="T157" s="266"/>
      <c r="U157" s="266"/>
    </row>
    <row r="158">
      <c r="A158" s="255"/>
      <c r="B158" s="23"/>
      <c r="C158" s="268"/>
      <c r="D158" s="270"/>
      <c r="E158" s="271"/>
      <c r="F158" s="270"/>
      <c r="G158" s="270"/>
      <c r="H158" s="259"/>
      <c r="I158" s="260"/>
      <c r="J158" s="261"/>
      <c r="K158" s="262"/>
      <c r="L158" s="261"/>
      <c r="M158" s="262"/>
      <c r="N158" s="261"/>
      <c r="O158" s="17"/>
      <c r="P158" s="261"/>
      <c r="Q158" s="17"/>
      <c r="R158" s="266"/>
      <c r="S158" s="266"/>
      <c r="T158" s="266"/>
      <c r="U158" s="266"/>
    </row>
    <row r="159">
      <c r="A159" s="255"/>
      <c r="B159" s="23"/>
      <c r="C159" s="268"/>
      <c r="D159" s="270"/>
      <c r="E159" s="271"/>
      <c r="F159" s="270"/>
      <c r="G159" s="270"/>
      <c r="H159" s="259"/>
      <c r="I159" s="260"/>
      <c r="J159" s="261"/>
      <c r="K159" s="262"/>
      <c r="L159" s="261"/>
      <c r="M159" s="262"/>
      <c r="N159" s="261"/>
      <c r="O159" s="17"/>
      <c r="P159" s="261"/>
      <c r="Q159" s="17"/>
      <c r="R159" s="266"/>
      <c r="S159" s="266"/>
      <c r="T159" s="266"/>
      <c r="U159" s="266"/>
    </row>
    <row r="160">
      <c r="A160" s="255"/>
      <c r="B160" s="23"/>
      <c r="C160" s="268"/>
      <c r="D160" s="270"/>
      <c r="E160" s="271"/>
      <c r="F160" s="270"/>
      <c r="G160" s="270"/>
      <c r="H160" s="259"/>
      <c r="I160" s="260"/>
      <c r="J160" s="261"/>
      <c r="K160" s="262"/>
      <c r="L160" s="261"/>
      <c r="M160" s="262"/>
      <c r="N160" s="261"/>
      <c r="O160" s="17"/>
      <c r="P160" s="261"/>
      <c r="Q160" s="17"/>
      <c r="R160" s="266"/>
      <c r="S160" s="266"/>
      <c r="T160" s="266"/>
      <c r="U160" s="266"/>
    </row>
    <row r="161">
      <c r="A161" s="272"/>
      <c r="B161" s="272"/>
      <c r="C161" s="336"/>
      <c r="D161" s="273"/>
      <c r="E161" s="274"/>
      <c r="F161" s="273"/>
      <c r="G161" s="273"/>
      <c r="H161" s="12"/>
      <c r="K161" s="12"/>
      <c r="M161" s="12"/>
      <c r="R161" s="218"/>
      <c r="S161" s="218"/>
      <c r="T161" s="218"/>
      <c r="U161" s="218"/>
    </row>
    <row r="162">
      <c r="A162" s="272"/>
      <c r="B162" s="272"/>
      <c r="C162" s="336"/>
      <c r="D162" s="273"/>
      <c r="E162" s="274"/>
      <c r="F162" s="273"/>
      <c r="G162" s="273"/>
      <c r="H162" s="12"/>
      <c r="K162" s="12"/>
      <c r="M162" s="12"/>
      <c r="R162" s="218"/>
      <c r="S162" s="218"/>
      <c r="T162" s="218"/>
      <c r="U162" s="218"/>
    </row>
    <row r="163">
      <c r="A163" s="272"/>
      <c r="B163" s="272"/>
      <c r="C163" s="336"/>
      <c r="D163" s="273"/>
      <c r="E163" s="274"/>
      <c r="F163" s="273"/>
      <c r="G163" s="273"/>
      <c r="H163" s="12"/>
      <c r="K163" s="12"/>
      <c r="M163" s="12"/>
      <c r="R163" s="218"/>
      <c r="S163" s="218"/>
      <c r="T163" s="218"/>
      <c r="U163" s="218"/>
    </row>
    <row r="164">
      <c r="A164" s="272"/>
      <c r="B164" s="272"/>
      <c r="C164" s="336"/>
      <c r="D164" s="273"/>
      <c r="E164" s="274"/>
      <c r="F164" s="273"/>
      <c r="G164" s="273"/>
      <c r="H164" s="12"/>
      <c r="K164" s="12"/>
      <c r="M164" s="12"/>
      <c r="R164" s="218"/>
      <c r="S164" s="218"/>
      <c r="T164" s="218"/>
      <c r="U164" s="218"/>
    </row>
    <row r="165">
      <c r="A165" s="272"/>
      <c r="B165" s="272"/>
      <c r="C165" s="336"/>
      <c r="D165" s="273"/>
      <c r="E165" s="274"/>
      <c r="F165" s="273"/>
      <c r="G165" s="273"/>
      <c r="H165" s="12"/>
      <c r="K165" s="12"/>
      <c r="M165" s="12"/>
      <c r="R165" s="218"/>
      <c r="S165" s="218"/>
      <c r="T165" s="218"/>
      <c r="U165" s="218"/>
    </row>
    <row r="166">
      <c r="A166" s="272"/>
      <c r="B166" s="272"/>
      <c r="C166" s="336"/>
      <c r="D166" s="273"/>
      <c r="E166" s="274"/>
      <c r="F166" s="273"/>
      <c r="G166" s="273"/>
      <c r="H166" s="12"/>
      <c r="K166" s="12"/>
      <c r="M166" s="12"/>
      <c r="R166" s="218"/>
      <c r="S166" s="218"/>
      <c r="T166" s="218"/>
      <c r="U166" s="218"/>
    </row>
    <row r="167">
      <c r="A167" s="272"/>
      <c r="B167" s="272"/>
      <c r="C167" s="336"/>
      <c r="D167" s="273"/>
      <c r="E167" s="274"/>
      <c r="F167" s="273"/>
      <c r="G167" s="273"/>
      <c r="H167" s="12"/>
      <c r="K167" s="12"/>
      <c r="M167" s="12"/>
      <c r="R167" s="218"/>
      <c r="S167" s="218"/>
      <c r="T167" s="218"/>
      <c r="U167" s="218"/>
    </row>
    <row r="168">
      <c r="A168" s="272"/>
      <c r="B168" s="272"/>
      <c r="C168" s="336"/>
      <c r="D168" s="273"/>
      <c r="E168" s="274"/>
      <c r="F168" s="273"/>
      <c r="G168" s="273"/>
      <c r="H168" s="12"/>
      <c r="K168" s="12"/>
      <c r="M168" s="12"/>
      <c r="R168" s="218"/>
      <c r="S168" s="218"/>
      <c r="T168" s="218"/>
      <c r="U168" s="218"/>
    </row>
    <row r="169">
      <c r="A169" s="272"/>
      <c r="B169" s="272"/>
      <c r="C169" s="336"/>
      <c r="D169" s="273"/>
      <c r="E169" s="274"/>
      <c r="F169" s="273"/>
      <c r="G169" s="273"/>
      <c r="H169" s="12"/>
      <c r="K169" s="12"/>
      <c r="M169" s="12"/>
      <c r="R169" s="218"/>
      <c r="S169" s="218"/>
      <c r="T169" s="218"/>
      <c r="U169" s="218"/>
    </row>
    <row r="170">
      <c r="A170" s="272"/>
      <c r="B170" s="272"/>
      <c r="C170" s="336"/>
      <c r="D170" s="273"/>
      <c r="E170" s="274"/>
      <c r="F170" s="273"/>
      <c r="G170" s="273"/>
      <c r="H170" s="12"/>
      <c r="K170" s="12"/>
      <c r="M170" s="12"/>
      <c r="R170" s="218"/>
      <c r="S170" s="218"/>
      <c r="T170" s="218"/>
      <c r="U170" s="218"/>
    </row>
    <row r="171">
      <c r="A171" s="272"/>
      <c r="B171" s="272"/>
      <c r="C171" s="336"/>
      <c r="D171" s="273"/>
      <c r="E171" s="274"/>
      <c r="F171" s="273"/>
      <c r="G171" s="273"/>
      <c r="H171" s="12"/>
      <c r="K171" s="12"/>
      <c r="M171" s="12"/>
      <c r="R171" s="218"/>
      <c r="S171" s="218"/>
      <c r="T171" s="218"/>
      <c r="U171" s="218"/>
    </row>
    <row r="172">
      <c r="A172" s="272"/>
      <c r="B172" s="272"/>
      <c r="C172" s="336"/>
      <c r="D172" s="273"/>
      <c r="E172" s="274"/>
      <c r="F172" s="273"/>
      <c r="G172" s="273"/>
      <c r="H172" s="12"/>
      <c r="K172" s="12"/>
      <c r="M172" s="12"/>
      <c r="R172" s="218"/>
      <c r="S172" s="218"/>
      <c r="T172" s="218"/>
      <c r="U172" s="218"/>
    </row>
    <row r="173">
      <c r="A173" s="272"/>
      <c r="B173" s="272"/>
      <c r="C173" s="336"/>
      <c r="D173" s="273"/>
      <c r="E173" s="274"/>
      <c r="F173" s="273"/>
      <c r="G173" s="273"/>
      <c r="H173" s="12"/>
      <c r="K173" s="12"/>
      <c r="M173" s="12"/>
      <c r="R173" s="218"/>
      <c r="S173" s="218"/>
      <c r="T173" s="218"/>
      <c r="U173" s="218"/>
    </row>
    <row r="174">
      <c r="A174" s="272"/>
      <c r="B174" s="272"/>
      <c r="C174" s="336"/>
      <c r="D174" s="273"/>
      <c r="E174" s="274"/>
      <c r="F174" s="273"/>
      <c r="G174" s="273"/>
      <c r="H174" s="12"/>
      <c r="K174" s="12"/>
      <c r="M174" s="12"/>
      <c r="R174" s="218"/>
      <c r="S174" s="218"/>
      <c r="T174" s="218"/>
      <c r="U174" s="218"/>
    </row>
    <row r="175">
      <c r="A175" s="272"/>
      <c r="B175" s="272"/>
      <c r="C175" s="336"/>
      <c r="D175" s="273"/>
      <c r="E175" s="274"/>
      <c r="F175" s="273"/>
      <c r="G175" s="273"/>
      <c r="H175" s="12"/>
      <c r="K175" s="12"/>
      <c r="M175" s="12"/>
      <c r="R175" s="218"/>
      <c r="S175" s="218"/>
      <c r="T175" s="218"/>
      <c r="U175" s="218"/>
    </row>
    <row r="176">
      <c r="A176" s="272"/>
      <c r="B176" s="272"/>
      <c r="C176" s="336"/>
      <c r="D176" s="273"/>
      <c r="E176" s="274"/>
      <c r="F176" s="273"/>
      <c r="G176" s="273"/>
      <c r="H176" s="12"/>
      <c r="K176" s="12"/>
      <c r="M176" s="12"/>
      <c r="R176" s="218"/>
      <c r="S176" s="218"/>
      <c r="T176" s="218"/>
      <c r="U176" s="218"/>
    </row>
    <row r="177">
      <c r="A177" s="272"/>
      <c r="B177" s="272"/>
      <c r="C177" s="336"/>
      <c r="D177" s="273"/>
      <c r="E177" s="274"/>
      <c r="F177" s="273"/>
      <c r="G177" s="273"/>
      <c r="H177" s="12"/>
      <c r="K177" s="12"/>
      <c r="M177" s="12"/>
      <c r="R177" s="218"/>
      <c r="S177" s="218"/>
      <c r="T177" s="218"/>
      <c r="U177" s="218"/>
    </row>
    <row r="178">
      <c r="A178" s="272"/>
      <c r="B178" s="272"/>
      <c r="C178" s="336"/>
      <c r="D178" s="273"/>
      <c r="E178" s="274"/>
      <c r="F178" s="273"/>
      <c r="G178" s="273"/>
      <c r="H178" s="12"/>
      <c r="K178" s="12"/>
      <c r="M178" s="12"/>
      <c r="R178" s="218"/>
      <c r="S178" s="218"/>
      <c r="T178" s="218"/>
      <c r="U178" s="218"/>
    </row>
    <row r="179">
      <c r="A179" s="272"/>
      <c r="B179" s="272"/>
      <c r="C179" s="336"/>
      <c r="D179" s="273"/>
      <c r="E179" s="274"/>
      <c r="F179" s="273"/>
      <c r="G179" s="273"/>
      <c r="H179" s="12"/>
      <c r="K179" s="12"/>
      <c r="M179" s="12"/>
      <c r="R179" s="218"/>
      <c r="S179" s="218"/>
      <c r="T179" s="218"/>
      <c r="U179" s="218"/>
    </row>
    <row r="180">
      <c r="A180" s="272"/>
      <c r="B180" s="272"/>
      <c r="C180" s="336"/>
      <c r="D180" s="273"/>
      <c r="E180" s="274"/>
      <c r="F180" s="273"/>
      <c r="G180" s="273"/>
      <c r="H180" s="12"/>
      <c r="K180" s="12"/>
      <c r="M180" s="12"/>
      <c r="R180" s="218"/>
      <c r="S180" s="218"/>
      <c r="T180" s="218"/>
      <c r="U180" s="218"/>
    </row>
    <row r="181">
      <c r="A181" s="272"/>
      <c r="B181" s="272"/>
      <c r="C181" s="336"/>
      <c r="D181" s="273"/>
      <c r="E181" s="274"/>
      <c r="F181" s="273"/>
      <c r="G181" s="273"/>
      <c r="H181" s="12"/>
      <c r="K181" s="12"/>
      <c r="M181" s="12"/>
      <c r="R181" s="218"/>
      <c r="S181" s="218"/>
      <c r="T181" s="218"/>
      <c r="U181" s="218"/>
    </row>
    <row r="182">
      <c r="A182" s="272"/>
      <c r="B182" s="272"/>
      <c r="C182" s="336"/>
      <c r="D182" s="273"/>
      <c r="E182" s="274"/>
      <c r="F182" s="273"/>
      <c r="G182" s="273"/>
      <c r="H182" s="12"/>
      <c r="K182" s="12"/>
      <c r="M182" s="12"/>
      <c r="R182" s="218"/>
      <c r="S182" s="218"/>
      <c r="T182" s="218"/>
      <c r="U182" s="218"/>
    </row>
    <row r="183">
      <c r="A183" s="272"/>
      <c r="B183" s="272"/>
      <c r="C183" s="336"/>
      <c r="D183" s="273"/>
      <c r="E183" s="274"/>
      <c r="F183" s="273"/>
      <c r="G183" s="273"/>
      <c r="H183" s="12"/>
      <c r="K183" s="12"/>
      <c r="M183" s="12"/>
      <c r="R183" s="218"/>
      <c r="S183" s="218"/>
      <c r="T183" s="218"/>
      <c r="U183" s="218"/>
    </row>
    <row r="184">
      <c r="A184" s="272"/>
      <c r="B184" s="272"/>
      <c r="C184" s="336"/>
      <c r="D184" s="273"/>
      <c r="E184" s="274"/>
      <c r="F184" s="273"/>
      <c r="G184" s="273"/>
      <c r="H184" s="12"/>
      <c r="K184" s="12"/>
      <c r="M184" s="12"/>
      <c r="R184" s="218"/>
      <c r="S184" s="218"/>
      <c r="T184" s="218"/>
      <c r="U184" s="218"/>
    </row>
    <row r="185">
      <c r="A185" s="272"/>
      <c r="B185" s="272"/>
      <c r="C185" s="336"/>
      <c r="D185" s="273"/>
      <c r="E185" s="274"/>
      <c r="F185" s="273"/>
      <c r="G185" s="273"/>
      <c r="H185" s="12"/>
      <c r="K185" s="12"/>
      <c r="M185" s="12"/>
      <c r="R185" s="218"/>
      <c r="S185" s="218"/>
      <c r="T185" s="218"/>
      <c r="U185" s="218"/>
    </row>
    <row r="186">
      <c r="A186" s="272"/>
      <c r="B186" s="272"/>
      <c r="C186" s="336"/>
      <c r="D186" s="273"/>
      <c r="E186" s="274"/>
      <c r="F186" s="273"/>
      <c r="G186" s="273"/>
      <c r="H186" s="12"/>
      <c r="K186" s="12"/>
      <c r="M186" s="12"/>
      <c r="R186" s="218"/>
      <c r="S186" s="218"/>
      <c r="T186" s="218"/>
      <c r="U186" s="218"/>
    </row>
    <row r="187">
      <c r="A187" s="272"/>
      <c r="B187" s="272"/>
      <c r="C187" s="336"/>
      <c r="D187" s="273"/>
      <c r="E187" s="274"/>
      <c r="F187" s="273"/>
      <c r="G187" s="273"/>
      <c r="H187" s="12"/>
      <c r="K187" s="12"/>
      <c r="M187" s="12"/>
      <c r="R187" s="218"/>
      <c r="S187" s="218"/>
      <c r="T187" s="218"/>
      <c r="U187" s="218"/>
    </row>
    <row r="188">
      <c r="A188" s="272"/>
      <c r="B188" s="272"/>
      <c r="C188" s="336"/>
      <c r="D188" s="273"/>
      <c r="E188" s="274"/>
      <c r="F188" s="273"/>
      <c r="G188" s="273"/>
      <c r="H188" s="12"/>
      <c r="K188" s="12"/>
      <c r="M188" s="12"/>
      <c r="R188" s="218"/>
      <c r="S188" s="218"/>
      <c r="T188" s="218"/>
      <c r="U188" s="218"/>
    </row>
    <row r="189">
      <c r="A189" s="272"/>
      <c r="B189" s="272"/>
      <c r="C189" s="336"/>
      <c r="D189" s="273"/>
      <c r="E189" s="274"/>
      <c r="F189" s="273"/>
      <c r="G189" s="273"/>
      <c r="H189" s="12"/>
      <c r="K189" s="12"/>
      <c r="M189" s="12"/>
      <c r="R189" s="218"/>
      <c r="S189" s="218"/>
      <c r="T189" s="218"/>
      <c r="U189" s="218"/>
    </row>
    <row r="190">
      <c r="A190" s="272"/>
      <c r="B190" s="272"/>
      <c r="C190" s="336"/>
      <c r="D190" s="273"/>
      <c r="E190" s="274"/>
      <c r="F190" s="273"/>
      <c r="G190" s="273"/>
      <c r="H190" s="12"/>
      <c r="K190" s="12"/>
      <c r="M190" s="12"/>
      <c r="R190" s="218"/>
      <c r="S190" s="218"/>
      <c r="T190" s="218"/>
      <c r="U190" s="218"/>
    </row>
    <row r="191">
      <c r="A191" s="272"/>
      <c r="B191" s="272"/>
      <c r="C191" s="336"/>
      <c r="D191" s="273"/>
      <c r="E191" s="274"/>
      <c r="F191" s="273"/>
      <c r="G191" s="273"/>
      <c r="H191" s="12"/>
      <c r="K191" s="12"/>
      <c r="M191" s="12"/>
      <c r="R191" s="218"/>
      <c r="S191" s="218"/>
      <c r="T191" s="218"/>
      <c r="U191" s="218"/>
    </row>
    <row r="192">
      <c r="A192" s="272"/>
      <c r="B192" s="272"/>
      <c r="C192" s="336"/>
      <c r="D192" s="273"/>
      <c r="E192" s="274"/>
      <c r="F192" s="273"/>
      <c r="G192" s="273"/>
      <c r="H192" s="12"/>
      <c r="K192" s="12"/>
      <c r="M192" s="12"/>
      <c r="R192" s="218"/>
      <c r="S192" s="218"/>
      <c r="T192" s="218"/>
      <c r="U192" s="218"/>
    </row>
    <row r="193">
      <c r="A193" s="272"/>
      <c r="B193" s="272"/>
      <c r="C193" s="336"/>
      <c r="D193" s="273"/>
      <c r="E193" s="274"/>
      <c r="F193" s="273"/>
      <c r="G193" s="273"/>
      <c r="H193" s="12"/>
      <c r="K193" s="12"/>
      <c r="M193" s="12"/>
      <c r="R193" s="218"/>
      <c r="S193" s="218"/>
      <c r="T193" s="218"/>
      <c r="U193" s="218"/>
    </row>
    <row r="194">
      <c r="A194" s="272"/>
      <c r="B194" s="272"/>
      <c r="C194" s="336"/>
      <c r="D194" s="273"/>
      <c r="E194" s="274"/>
      <c r="F194" s="273"/>
      <c r="G194" s="273"/>
      <c r="H194" s="12"/>
      <c r="K194" s="12"/>
      <c r="M194" s="12"/>
      <c r="R194" s="218"/>
      <c r="S194" s="218"/>
      <c r="T194" s="218"/>
      <c r="U194" s="218"/>
    </row>
    <row r="195">
      <c r="A195" s="272"/>
      <c r="B195" s="272"/>
      <c r="C195" s="336"/>
      <c r="D195" s="273"/>
      <c r="E195" s="274"/>
      <c r="F195" s="273"/>
      <c r="G195" s="273"/>
      <c r="H195" s="12"/>
      <c r="K195" s="12"/>
      <c r="M195" s="12"/>
      <c r="R195" s="218"/>
      <c r="S195" s="218"/>
      <c r="T195" s="218"/>
      <c r="U195" s="218"/>
    </row>
    <row r="196">
      <c r="A196" s="272"/>
      <c r="B196" s="272"/>
      <c r="C196" s="336"/>
      <c r="D196" s="273"/>
      <c r="E196" s="274"/>
      <c r="F196" s="273"/>
      <c r="G196" s="273"/>
      <c r="H196" s="12"/>
      <c r="K196" s="12"/>
      <c r="M196" s="12"/>
      <c r="R196" s="218"/>
      <c r="S196" s="218"/>
      <c r="T196" s="218"/>
      <c r="U196" s="218"/>
    </row>
    <row r="197">
      <c r="A197" s="272"/>
      <c r="B197" s="272"/>
      <c r="C197" s="336"/>
      <c r="D197" s="273"/>
      <c r="E197" s="274"/>
      <c r="F197" s="273"/>
      <c r="G197" s="273"/>
      <c r="H197" s="12"/>
      <c r="K197" s="12"/>
      <c r="M197" s="12"/>
      <c r="R197" s="218"/>
      <c r="S197" s="218"/>
      <c r="T197" s="218"/>
      <c r="U197" s="218"/>
    </row>
    <row r="198">
      <c r="A198" s="272"/>
      <c r="B198" s="272"/>
      <c r="C198" s="336"/>
      <c r="D198" s="273"/>
      <c r="E198" s="274"/>
      <c r="F198" s="273"/>
      <c r="G198" s="273"/>
      <c r="H198" s="12"/>
      <c r="K198" s="12"/>
      <c r="M198" s="12"/>
      <c r="R198" s="218"/>
      <c r="S198" s="218"/>
      <c r="T198" s="218"/>
      <c r="U198" s="218"/>
    </row>
    <row r="199">
      <c r="A199" s="272"/>
      <c r="B199" s="272"/>
      <c r="C199" s="336"/>
      <c r="D199" s="273"/>
      <c r="E199" s="274"/>
      <c r="F199" s="273"/>
      <c r="G199" s="273"/>
      <c r="H199" s="12"/>
      <c r="K199" s="12"/>
      <c r="M199" s="12"/>
      <c r="R199" s="218"/>
      <c r="S199" s="218"/>
      <c r="T199" s="218"/>
      <c r="U199" s="218"/>
    </row>
    <row r="200">
      <c r="A200" s="272"/>
      <c r="B200" s="272"/>
      <c r="C200" s="336"/>
      <c r="D200" s="273"/>
      <c r="E200" s="274"/>
      <c r="F200" s="273"/>
      <c r="G200" s="273"/>
      <c r="H200" s="12"/>
      <c r="K200" s="12"/>
      <c r="M200" s="12"/>
      <c r="R200" s="218"/>
      <c r="S200" s="218"/>
      <c r="T200" s="218"/>
      <c r="U200" s="218"/>
    </row>
    <row r="201">
      <c r="A201" s="272"/>
      <c r="B201" s="272"/>
      <c r="C201" s="336"/>
      <c r="D201" s="273"/>
      <c r="E201" s="274"/>
      <c r="F201" s="273"/>
      <c r="G201" s="273"/>
      <c r="H201" s="12"/>
      <c r="K201" s="12"/>
      <c r="M201" s="12"/>
      <c r="R201" s="218"/>
      <c r="S201" s="218"/>
      <c r="T201" s="218"/>
      <c r="U201" s="218"/>
    </row>
    <row r="202">
      <c r="A202" s="272"/>
      <c r="B202" s="272"/>
      <c r="C202" s="336"/>
      <c r="D202" s="273"/>
      <c r="E202" s="274"/>
      <c r="F202" s="273"/>
      <c r="G202" s="273"/>
      <c r="H202" s="12"/>
      <c r="K202" s="12"/>
      <c r="M202" s="12"/>
      <c r="R202" s="218"/>
      <c r="S202" s="218"/>
      <c r="T202" s="218"/>
      <c r="U202" s="218"/>
    </row>
    <row r="203">
      <c r="A203" s="272"/>
      <c r="B203" s="272"/>
      <c r="C203" s="336"/>
      <c r="D203" s="273"/>
      <c r="E203" s="274"/>
      <c r="F203" s="273"/>
      <c r="G203" s="273"/>
      <c r="H203" s="12"/>
      <c r="K203" s="12"/>
      <c r="M203" s="12"/>
      <c r="R203" s="218"/>
      <c r="S203" s="218"/>
      <c r="T203" s="218"/>
      <c r="U203" s="218"/>
    </row>
    <row r="204">
      <c r="A204" s="272"/>
      <c r="B204" s="272"/>
      <c r="C204" s="336"/>
      <c r="D204" s="273"/>
      <c r="E204" s="274"/>
      <c r="F204" s="273"/>
      <c r="G204" s="273"/>
      <c r="H204" s="12"/>
      <c r="K204" s="12"/>
      <c r="M204" s="12"/>
      <c r="R204" s="218"/>
      <c r="S204" s="218"/>
      <c r="T204" s="218"/>
      <c r="U204" s="218"/>
    </row>
    <row r="205">
      <c r="A205" s="272"/>
      <c r="B205" s="272"/>
      <c r="C205" s="336"/>
      <c r="D205" s="273"/>
      <c r="E205" s="274"/>
      <c r="F205" s="273"/>
      <c r="G205" s="273"/>
      <c r="H205" s="12"/>
      <c r="K205" s="12"/>
      <c r="M205" s="12"/>
      <c r="R205" s="218"/>
      <c r="S205" s="218"/>
      <c r="T205" s="218"/>
      <c r="U205" s="218"/>
    </row>
    <row r="206">
      <c r="A206" s="272"/>
      <c r="B206" s="272"/>
      <c r="C206" s="336"/>
      <c r="D206" s="273"/>
      <c r="E206" s="274"/>
      <c r="F206" s="273"/>
      <c r="G206" s="273"/>
      <c r="H206" s="12"/>
      <c r="K206" s="12"/>
      <c r="M206" s="12"/>
      <c r="R206" s="218"/>
      <c r="S206" s="218"/>
      <c r="T206" s="218"/>
      <c r="U206" s="218"/>
    </row>
    <row r="207">
      <c r="A207" s="272"/>
      <c r="B207" s="272"/>
      <c r="C207" s="336"/>
      <c r="D207" s="273"/>
      <c r="E207" s="274"/>
      <c r="F207" s="273"/>
      <c r="G207" s="273"/>
      <c r="H207" s="12"/>
      <c r="K207" s="12"/>
      <c r="M207" s="12"/>
      <c r="R207" s="218"/>
      <c r="S207" s="218"/>
      <c r="T207" s="218"/>
      <c r="U207" s="218"/>
    </row>
    <row r="208">
      <c r="A208" s="272"/>
      <c r="B208" s="272"/>
      <c r="C208" s="336"/>
      <c r="D208" s="273"/>
      <c r="E208" s="274"/>
      <c r="F208" s="273"/>
      <c r="G208" s="273"/>
      <c r="H208" s="12"/>
      <c r="K208" s="12"/>
      <c r="M208" s="12"/>
      <c r="R208" s="218"/>
      <c r="S208" s="218"/>
      <c r="T208" s="218"/>
      <c r="U208" s="218"/>
    </row>
    <row r="209">
      <c r="A209" s="272"/>
      <c r="B209" s="272"/>
      <c r="C209" s="336"/>
      <c r="D209" s="273"/>
      <c r="E209" s="274"/>
      <c r="F209" s="273"/>
      <c r="G209" s="273"/>
      <c r="H209" s="12"/>
      <c r="K209" s="12"/>
      <c r="M209" s="12"/>
      <c r="R209" s="218"/>
      <c r="S209" s="218"/>
      <c r="T209" s="218"/>
      <c r="U209" s="218"/>
    </row>
    <row r="210">
      <c r="A210" s="272"/>
      <c r="B210" s="272"/>
      <c r="C210" s="336"/>
      <c r="D210" s="273"/>
      <c r="E210" s="274"/>
      <c r="F210" s="273"/>
      <c r="G210" s="273"/>
      <c r="H210" s="12"/>
      <c r="K210" s="12"/>
      <c r="M210" s="12"/>
      <c r="R210" s="218"/>
      <c r="S210" s="218"/>
      <c r="T210" s="218"/>
      <c r="U210" s="218"/>
    </row>
    <row r="211">
      <c r="A211" s="272"/>
      <c r="B211" s="272"/>
      <c r="C211" s="336"/>
      <c r="D211" s="273"/>
      <c r="E211" s="274"/>
      <c r="F211" s="273"/>
      <c r="G211" s="273"/>
      <c r="H211" s="12"/>
      <c r="K211" s="12"/>
      <c r="M211" s="12"/>
      <c r="R211" s="218"/>
      <c r="S211" s="218"/>
      <c r="T211" s="218"/>
      <c r="U211" s="218"/>
    </row>
    <row r="212">
      <c r="A212" s="272"/>
      <c r="B212" s="272"/>
      <c r="C212" s="336"/>
      <c r="D212" s="273"/>
      <c r="E212" s="274"/>
      <c r="F212" s="273"/>
      <c r="G212" s="273"/>
      <c r="H212" s="12"/>
      <c r="K212" s="12"/>
      <c r="M212" s="12"/>
      <c r="R212" s="218"/>
      <c r="S212" s="218"/>
      <c r="T212" s="218"/>
      <c r="U212" s="218"/>
    </row>
    <row r="213">
      <c r="A213" s="272"/>
      <c r="B213" s="272"/>
      <c r="C213" s="336"/>
      <c r="D213" s="273"/>
      <c r="E213" s="274"/>
      <c r="F213" s="273"/>
      <c r="G213" s="273"/>
      <c r="H213" s="12"/>
      <c r="K213" s="12"/>
      <c r="M213" s="12"/>
      <c r="R213" s="218"/>
      <c r="S213" s="218"/>
      <c r="T213" s="218"/>
      <c r="U213" s="218"/>
    </row>
    <row r="214">
      <c r="A214" s="272"/>
      <c r="B214" s="272"/>
      <c r="C214" s="336"/>
      <c r="D214" s="273"/>
      <c r="E214" s="274"/>
      <c r="F214" s="273"/>
      <c r="G214" s="273"/>
      <c r="H214" s="12"/>
      <c r="K214" s="12"/>
      <c r="M214" s="12"/>
      <c r="R214" s="218"/>
      <c r="S214" s="218"/>
      <c r="T214" s="218"/>
      <c r="U214" s="218"/>
    </row>
    <row r="215">
      <c r="A215" s="272"/>
      <c r="B215" s="272"/>
      <c r="C215" s="336"/>
      <c r="D215" s="273"/>
      <c r="E215" s="274"/>
      <c r="F215" s="273"/>
      <c r="G215" s="273"/>
      <c r="H215" s="12"/>
      <c r="K215" s="12"/>
      <c r="M215" s="12"/>
      <c r="R215" s="218"/>
      <c r="S215" s="218"/>
      <c r="T215" s="218"/>
      <c r="U215" s="218"/>
    </row>
    <row r="216">
      <c r="A216" s="272"/>
      <c r="B216" s="272"/>
      <c r="C216" s="336"/>
      <c r="D216" s="273"/>
      <c r="E216" s="274"/>
      <c r="F216" s="273"/>
      <c r="G216" s="273"/>
      <c r="H216" s="12"/>
      <c r="K216" s="12"/>
      <c r="M216" s="12"/>
      <c r="R216" s="218"/>
      <c r="S216" s="218"/>
      <c r="T216" s="218"/>
      <c r="U216" s="218"/>
    </row>
    <row r="217">
      <c r="A217" s="272"/>
      <c r="B217" s="272"/>
      <c r="C217" s="336"/>
      <c r="D217" s="273"/>
      <c r="E217" s="274"/>
      <c r="F217" s="273"/>
      <c r="G217" s="273"/>
      <c r="H217" s="12"/>
      <c r="K217" s="12"/>
      <c r="M217" s="12"/>
      <c r="R217" s="218"/>
      <c r="S217" s="218"/>
      <c r="T217" s="218"/>
      <c r="U217" s="218"/>
    </row>
    <row r="218">
      <c r="A218" s="272"/>
      <c r="B218" s="272"/>
      <c r="C218" s="336"/>
      <c r="D218" s="273"/>
      <c r="E218" s="274"/>
      <c r="F218" s="273"/>
      <c r="G218" s="273"/>
      <c r="H218" s="12"/>
      <c r="K218" s="12"/>
      <c r="M218" s="12"/>
      <c r="R218" s="218"/>
      <c r="S218" s="218"/>
      <c r="T218" s="218"/>
      <c r="U218" s="218"/>
    </row>
    <row r="219">
      <c r="A219" s="272"/>
      <c r="B219" s="272"/>
      <c r="C219" s="336"/>
      <c r="D219" s="273"/>
      <c r="E219" s="274"/>
      <c r="F219" s="273"/>
      <c r="G219" s="273"/>
      <c r="H219" s="12"/>
      <c r="K219" s="12"/>
      <c r="M219" s="12"/>
      <c r="R219" s="218"/>
      <c r="S219" s="218"/>
      <c r="T219" s="218"/>
      <c r="U219" s="218"/>
    </row>
    <row r="220">
      <c r="A220" s="272"/>
      <c r="B220" s="272"/>
      <c r="C220" s="336"/>
      <c r="D220" s="273"/>
      <c r="E220" s="274"/>
      <c r="F220" s="273"/>
      <c r="G220" s="273"/>
      <c r="H220" s="12"/>
      <c r="K220" s="12"/>
      <c r="M220" s="12"/>
      <c r="R220" s="218"/>
      <c r="S220" s="218"/>
      <c r="T220" s="218"/>
      <c r="U220" s="218"/>
    </row>
    <row r="221">
      <c r="A221" s="272"/>
      <c r="B221" s="272"/>
      <c r="C221" s="336"/>
      <c r="D221" s="273"/>
      <c r="E221" s="274"/>
      <c r="F221" s="273"/>
      <c r="G221" s="273"/>
      <c r="H221" s="12"/>
      <c r="K221" s="12"/>
      <c r="M221" s="12"/>
      <c r="R221" s="218"/>
      <c r="S221" s="218"/>
      <c r="T221" s="218"/>
      <c r="U221" s="218"/>
    </row>
    <row r="222">
      <c r="A222" s="272"/>
      <c r="B222" s="272"/>
      <c r="C222" s="336"/>
      <c r="D222" s="273"/>
      <c r="E222" s="274"/>
      <c r="F222" s="273"/>
      <c r="G222" s="273"/>
      <c r="H222" s="12"/>
      <c r="K222" s="12"/>
      <c r="M222" s="12"/>
      <c r="R222" s="218"/>
      <c r="S222" s="218"/>
      <c r="T222" s="218"/>
      <c r="U222" s="218"/>
    </row>
    <row r="223">
      <c r="A223" s="272"/>
      <c r="B223" s="272"/>
      <c r="C223" s="336"/>
      <c r="D223" s="273"/>
      <c r="E223" s="274"/>
      <c r="F223" s="273"/>
      <c r="G223" s="273"/>
      <c r="H223" s="12"/>
      <c r="K223" s="12"/>
      <c r="M223" s="12"/>
      <c r="R223" s="218"/>
      <c r="S223" s="218"/>
      <c r="T223" s="218"/>
      <c r="U223" s="218"/>
    </row>
    <row r="224">
      <c r="A224" s="272"/>
      <c r="B224" s="272"/>
      <c r="C224" s="336"/>
      <c r="D224" s="273"/>
      <c r="E224" s="274"/>
      <c r="F224" s="273"/>
      <c r="G224" s="273"/>
      <c r="H224" s="12"/>
      <c r="K224" s="12"/>
      <c r="M224" s="12"/>
      <c r="R224" s="218"/>
      <c r="S224" s="218"/>
      <c r="T224" s="218"/>
      <c r="U224" s="218"/>
    </row>
    <row r="225">
      <c r="A225" s="272"/>
      <c r="B225" s="272"/>
      <c r="C225" s="336"/>
      <c r="D225" s="273"/>
      <c r="E225" s="274"/>
      <c r="F225" s="273"/>
      <c r="G225" s="273"/>
      <c r="H225" s="12"/>
      <c r="K225" s="12"/>
      <c r="M225" s="12"/>
      <c r="R225" s="218"/>
      <c r="S225" s="218"/>
      <c r="T225" s="218"/>
      <c r="U225" s="218"/>
    </row>
    <row r="226">
      <c r="A226" s="272"/>
      <c r="B226" s="272"/>
      <c r="C226" s="336"/>
      <c r="D226" s="273"/>
      <c r="E226" s="274"/>
      <c r="F226" s="273"/>
      <c r="G226" s="273"/>
      <c r="H226" s="12"/>
      <c r="K226" s="12"/>
      <c r="M226" s="12"/>
      <c r="R226" s="218"/>
      <c r="S226" s="218"/>
      <c r="T226" s="218"/>
      <c r="U226" s="218"/>
    </row>
    <row r="227">
      <c r="A227" s="272"/>
      <c r="B227" s="272"/>
      <c r="C227" s="336"/>
      <c r="D227" s="273"/>
      <c r="E227" s="274"/>
      <c r="F227" s="273"/>
      <c r="G227" s="273"/>
      <c r="H227" s="12"/>
      <c r="K227" s="12"/>
      <c r="M227" s="12"/>
      <c r="R227" s="218"/>
      <c r="S227" s="218"/>
      <c r="T227" s="218"/>
      <c r="U227" s="218"/>
    </row>
    <row r="228">
      <c r="A228" s="272"/>
      <c r="B228" s="272"/>
      <c r="C228" s="336"/>
      <c r="D228" s="273"/>
      <c r="E228" s="274"/>
      <c r="F228" s="273"/>
      <c r="G228" s="273"/>
      <c r="H228" s="12"/>
      <c r="K228" s="12"/>
      <c r="M228" s="12"/>
      <c r="R228" s="218"/>
      <c r="S228" s="218"/>
      <c r="T228" s="218"/>
      <c r="U228" s="218"/>
    </row>
    <row r="229">
      <c r="A229" s="272"/>
      <c r="B229" s="272"/>
      <c r="C229" s="336"/>
      <c r="D229" s="273"/>
      <c r="E229" s="274"/>
      <c r="F229" s="273"/>
      <c r="G229" s="273"/>
      <c r="H229" s="12"/>
      <c r="K229" s="12"/>
      <c r="M229" s="12"/>
      <c r="R229" s="218"/>
      <c r="S229" s="218"/>
      <c r="T229" s="218"/>
      <c r="U229" s="218"/>
    </row>
    <row r="230">
      <c r="A230" s="272"/>
      <c r="B230" s="272"/>
      <c r="C230" s="336"/>
      <c r="D230" s="273"/>
      <c r="E230" s="274"/>
      <c r="F230" s="273"/>
      <c r="G230" s="273"/>
      <c r="H230" s="12"/>
      <c r="K230" s="12"/>
      <c r="M230" s="12"/>
      <c r="R230" s="218"/>
      <c r="S230" s="218"/>
      <c r="T230" s="218"/>
      <c r="U230" s="218"/>
    </row>
    <row r="231">
      <c r="A231" s="272"/>
      <c r="B231" s="272"/>
      <c r="C231" s="336"/>
      <c r="D231" s="273"/>
      <c r="E231" s="274"/>
      <c r="F231" s="273"/>
      <c r="G231" s="273"/>
      <c r="H231" s="12"/>
      <c r="K231" s="12"/>
      <c r="M231" s="12"/>
      <c r="R231" s="218"/>
      <c r="S231" s="218"/>
      <c r="T231" s="218"/>
      <c r="U231" s="218"/>
    </row>
    <row r="232">
      <c r="A232" s="272"/>
      <c r="B232" s="272"/>
      <c r="C232" s="336"/>
      <c r="D232" s="273"/>
      <c r="E232" s="274"/>
      <c r="F232" s="273"/>
      <c r="G232" s="273"/>
      <c r="H232" s="12"/>
      <c r="K232" s="12"/>
      <c r="M232" s="12"/>
      <c r="R232" s="218"/>
      <c r="S232" s="218"/>
      <c r="T232" s="218"/>
      <c r="U232" s="218"/>
    </row>
    <row r="233">
      <c r="A233" s="272"/>
      <c r="B233" s="272"/>
      <c r="C233" s="336"/>
      <c r="D233" s="273"/>
      <c r="E233" s="274"/>
      <c r="F233" s="273"/>
      <c r="G233" s="273"/>
      <c r="H233" s="12"/>
      <c r="K233" s="12"/>
      <c r="M233" s="12"/>
      <c r="R233" s="218"/>
      <c r="S233" s="218"/>
      <c r="T233" s="218"/>
      <c r="U233" s="218"/>
    </row>
    <row r="234">
      <c r="A234" s="272"/>
      <c r="B234" s="272"/>
      <c r="C234" s="336"/>
      <c r="D234" s="273"/>
      <c r="E234" s="274"/>
      <c r="F234" s="273"/>
      <c r="G234" s="273"/>
      <c r="H234" s="12"/>
      <c r="K234" s="12"/>
      <c r="M234" s="12"/>
      <c r="R234" s="218"/>
      <c r="S234" s="218"/>
      <c r="T234" s="218"/>
      <c r="U234" s="218"/>
    </row>
    <row r="235">
      <c r="A235" s="272"/>
      <c r="B235" s="272"/>
      <c r="C235" s="336"/>
      <c r="D235" s="273"/>
      <c r="E235" s="274"/>
      <c r="F235" s="273"/>
      <c r="G235" s="273"/>
      <c r="H235" s="12"/>
      <c r="K235" s="12"/>
      <c r="M235" s="12"/>
      <c r="R235" s="218"/>
      <c r="S235" s="218"/>
      <c r="T235" s="218"/>
      <c r="U235" s="218"/>
    </row>
    <row r="236">
      <c r="A236" s="272"/>
      <c r="B236" s="272"/>
      <c r="C236" s="336"/>
      <c r="D236" s="273"/>
      <c r="E236" s="274"/>
      <c r="F236" s="273"/>
      <c r="G236" s="273"/>
      <c r="H236" s="12"/>
      <c r="K236" s="12"/>
      <c r="M236" s="12"/>
      <c r="R236" s="218"/>
      <c r="S236" s="218"/>
      <c r="T236" s="218"/>
      <c r="U236" s="218"/>
    </row>
    <row r="237">
      <c r="A237" s="272"/>
      <c r="B237" s="272"/>
      <c r="C237" s="336"/>
      <c r="D237" s="273"/>
      <c r="E237" s="274"/>
      <c r="F237" s="273"/>
      <c r="G237" s="273"/>
      <c r="H237" s="12"/>
      <c r="K237" s="12"/>
      <c r="M237" s="12"/>
      <c r="R237" s="218"/>
      <c r="S237" s="218"/>
      <c r="T237" s="218"/>
      <c r="U237" s="218"/>
    </row>
    <row r="238">
      <c r="A238" s="272"/>
      <c r="B238" s="272"/>
      <c r="C238" s="336"/>
      <c r="D238" s="273"/>
      <c r="E238" s="274"/>
      <c r="F238" s="273"/>
      <c r="G238" s="273"/>
      <c r="H238" s="12"/>
      <c r="K238" s="12"/>
      <c r="M238" s="12"/>
      <c r="R238" s="218"/>
      <c r="S238" s="218"/>
      <c r="T238" s="218"/>
      <c r="U238" s="218"/>
    </row>
    <row r="239">
      <c r="A239" s="272"/>
      <c r="B239" s="272"/>
      <c r="C239" s="336"/>
      <c r="D239" s="273"/>
      <c r="E239" s="274"/>
      <c r="F239" s="273"/>
      <c r="G239" s="273"/>
      <c r="H239" s="12"/>
      <c r="K239" s="12"/>
      <c r="M239" s="12"/>
      <c r="R239" s="218"/>
      <c r="S239" s="218"/>
      <c r="T239" s="218"/>
      <c r="U239" s="218"/>
    </row>
    <row r="240">
      <c r="A240" s="272"/>
      <c r="B240" s="272"/>
      <c r="C240" s="336"/>
      <c r="D240" s="273"/>
      <c r="E240" s="274"/>
      <c r="F240" s="273"/>
      <c r="G240" s="273"/>
      <c r="H240" s="12"/>
      <c r="K240" s="12"/>
      <c r="M240" s="12"/>
      <c r="R240" s="218"/>
      <c r="S240" s="218"/>
      <c r="T240" s="218"/>
      <c r="U240" s="218"/>
    </row>
    <row r="241">
      <c r="A241" s="272"/>
      <c r="B241" s="272"/>
      <c r="C241" s="336"/>
      <c r="D241" s="273"/>
      <c r="E241" s="274"/>
      <c r="F241" s="273"/>
      <c r="G241" s="273"/>
      <c r="H241" s="12"/>
      <c r="K241" s="12"/>
      <c r="M241" s="12"/>
      <c r="R241" s="218"/>
      <c r="S241" s="218"/>
      <c r="T241" s="218"/>
      <c r="U241" s="218"/>
    </row>
    <row r="242">
      <c r="A242" s="272"/>
      <c r="B242" s="272"/>
      <c r="C242" s="336"/>
      <c r="D242" s="273"/>
      <c r="E242" s="274"/>
      <c r="F242" s="273"/>
      <c r="G242" s="273"/>
      <c r="H242" s="12"/>
      <c r="K242" s="12"/>
      <c r="M242" s="12"/>
      <c r="R242" s="218"/>
      <c r="S242" s="218"/>
      <c r="T242" s="218"/>
      <c r="U242" s="218"/>
    </row>
    <row r="243">
      <c r="A243" s="272"/>
      <c r="B243" s="272"/>
      <c r="C243" s="336"/>
      <c r="D243" s="273"/>
      <c r="E243" s="274"/>
      <c r="F243" s="273"/>
      <c r="G243" s="273"/>
      <c r="H243" s="12"/>
      <c r="K243" s="12"/>
      <c r="M243" s="12"/>
      <c r="R243" s="218"/>
      <c r="S243" s="218"/>
      <c r="T243" s="218"/>
      <c r="U243" s="218"/>
    </row>
    <row r="244">
      <c r="A244" s="272"/>
      <c r="B244" s="272"/>
      <c r="C244" s="336"/>
      <c r="D244" s="273"/>
      <c r="E244" s="274"/>
      <c r="F244" s="273"/>
      <c r="G244" s="273"/>
      <c r="H244" s="12"/>
      <c r="K244" s="12"/>
      <c r="M244" s="12"/>
      <c r="R244" s="218"/>
      <c r="S244" s="218"/>
      <c r="T244" s="218"/>
      <c r="U244" s="218"/>
    </row>
    <row r="245">
      <c r="A245" s="272"/>
      <c r="B245" s="272"/>
      <c r="C245" s="336"/>
      <c r="D245" s="273"/>
      <c r="E245" s="274"/>
      <c r="F245" s="273"/>
      <c r="G245" s="273"/>
      <c r="H245" s="12"/>
      <c r="K245" s="12"/>
      <c r="M245" s="12"/>
      <c r="R245" s="218"/>
      <c r="S245" s="218"/>
      <c r="T245" s="218"/>
      <c r="U245" s="218"/>
    </row>
    <row r="246">
      <c r="A246" s="272"/>
      <c r="B246" s="272"/>
      <c r="C246" s="336"/>
      <c r="D246" s="273"/>
      <c r="E246" s="274"/>
      <c r="F246" s="273"/>
      <c r="G246" s="273"/>
      <c r="H246" s="12"/>
      <c r="K246" s="12"/>
      <c r="M246" s="12"/>
      <c r="R246" s="218"/>
      <c r="S246" s="218"/>
      <c r="T246" s="218"/>
      <c r="U246" s="218"/>
    </row>
    <row r="247">
      <c r="A247" s="272"/>
      <c r="B247" s="272"/>
      <c r="C247" s="336"/>
      <c r="D247" s="273"/>
      <c r="E247" s="274"/>
      <c r="F247" s="273"/>
      <c r="G247" s="273"/>
      <c r="H247" s="12"/>
      <c r="K247" s="12"/>
      <c r="M247" s="12"/>
      <c r="R247" s="218"/>
      <c r="S247" s="218"/>
      <c r="T247" s="218"/>
      <c r="U247" s="218"/>
    </row>
    <row r="248">
      <c r="A248" s="272"/>
      <c r="B248" s="272"/>
      <c r="C248" s="336"/>
      <c r="D248" s="273"/>
      <c r="E248" s="274"/>
      <c r="F248" s="273"/>
      <c r="G248" s="273"/>
      <c r="H248" s="12"/>
      <c r="K248" s="12"/>
      <c r="M248" s="12"/>
      <c r="R248" s="218"/>
      <c r="S248" s="218"/>
      <c r="T248" s="218"/>
      <c r="U248" s="218"/>
    </row>
    <row r="249">
      <c r="A249" s="272"/>
      <c r="B249" s="272"/>
      <c r="C249" s="336"/>
      <c r="D249" s="273"/>
      <c r="E249" s="274"/>
      <c r="F249" s="273"/>
      <c r="G249" s="273"/>
      <c r="H249" s="12"/>
      <c r="K249" s="12"/>
      <c r="M249" s="12"/>
      <c r="R249" s="218"/>
      <c r="S249" s="218"/>
      <c r="T249" s="218"/>
      <c r="U249" s="218"/>
    </row>
    <row r="250">
      <c r="A250" s="272"/>
      <c r="B250" s="272"/>
      <c r="C250" s="336"/>
      <c r="D250" s="273"/>
      <c r="E250" s="274"/>
      <c r="F250" s="273"/>
      <c r="G250" s="273"/>
      <c r="H250" s="12"/>
      <c r="K250" s="12"/>
      <c r="M250" s="12"/>
      <c r="R250" s="218"/>
      <c r="S250" s="218"/>
      <c r="T250" s="218"/>
      <c r="U250" s="218"/>
    </row>
    <row r="251">
      <c r="A251" s="272"/>
      <c r="B251" s="272"/>
      <c r="C251" s="336"/>
      <c r="D251" s="273"/>
      <c r="E251" s="274"/>
      <c r="F251" s="273"/>
      <c r="G251" s="273"/>
      <c r="H251" s="12"/>
      <c r="K251" s="12"/>
      <c r="M251" s="12"/>
      <c r="R251" s="218"/>
      <c r="S251" s="218"/>
      <c r="T251" s="218"/>
      <c r="U251" s="218"/>
    </row>
    <row r="252">
      <c r="A252" s="272"/>
      <c r="B252" s="272"/>
      <c r="C252" s="336"/>
      <c r="D252" s="273"/>
      <c r="E252" s="274"/>
      <c r="F252" s="273"/>
      <c r="G252" s="273"/>
      <c r="H252" s="12"/>
      <c r="K252" s="12"/>
      <c r="M252" s="12"/>
      <c r="R252" s="218"/>
      <c r="S252" s="218"/>
      <c r="T252" s="218"/>
      <c r="U252" s="218"/>
    </row>
    <row r="253">
      <c r="A253" s="272"/>
      <c r="B253" s="272"/>
      <c r="C253" s="336"/>
      <c r="D253" s="273"/>
      <c r="E253" s="274"/>
      <c r="F253" s="273"/>
      <c r="G253" s="273"/>
      <c r="H253" s="12"/>
      <c r="K253" s="12"/>
      <c r="M253" s="12"/>
      <c r="R253" s="218"/>
      <c r="S253" s="218"/>
      <c r="T253" s="218"/>
      <c r="U253" s="218"/>
    </row>
    <row r="254">
      <c r="A254" s="272"/>
      <c r="B254" s="272"/>
      <c r="C254" s="336"/>
      <c r="D254" s="273"/>
      <c r="E254" s="274"/>
      <c r="F254" s="273"/>
      <c r="G254" s="273"/>
      <c r="H254" s="12"/>
      <c r="K254" s="12"/>
      <c r="M254" s="12"/>
      <c r="R254" s="218"/>
      <c r="S254" s="218"/>
      <c r="T254" s="218"/>
      <c r="U254" s="218"/>
    </row>
    <row r="255">
      <c r="A255" s="272"/>
      <c r="B255" s="272"/>
      <c r="C255" s="336"/>
      <c r="D255" s="273"/>
      <c r="E255" s="274"/>
      <c r="F255" s="273"/>
      <c r="G255" s="273"/>
      <c r="H255" s="12"/>
      <c r="K255" s="12"/>
      <c r="M255" s="12"/>
      <c r="R255" s="218"/>
      <c r="S255" s="218"/>
      <c r="T255" s="218"/>
      <c r="U255" s="218"/>
    </row>
    <row r="256">
      <c r="A256" s="272"/>
      <c r="B256" s="272"/>
      <c r="C256" s="336"/>
      <c r="D256" s="273"/>
      <c r="E256" s="274"/>
      <c r="F256" s="273"/>
      <c r="G256" s="273"/>
      <c r="H256" s="12"/>
      <c r="K256" s="12"/>
      <c r="M256" s="12"/>
      <c r="R256" s="218"/>
      <c r="S256" s="218"/>
      <c r="T256" s="218"/>
      <c r="U256" s="218"/>
    </row>
    <row r="257">
      <c r="A257" s="272"/>
      <c r="B257" s="272"/>
      <c r="C257" s="336"/>
      <c r="D257" s="273"/>
      <c r="E257" s="274"/>
      <c r="F257" s="273"/>
      <c r="G257" s="273"/>
      <c r="H257" s="12"/>
      <c r="K257" s="12"/>
      <c r="M257" s="12"/>
      <c r="R257" s="218"/>
      <c r="S257" s="218"/>
      <c r="T257" s="218"/>
      <c r="U257" s="218"/>
    </row>
    <row r="258">
      <c r="A258" s="272"/>
      <c r="B258" s="272"/>
      <c r="C258" s="336"/>
      <c r="D258" s="273"/>
      <c r="E258" s="274"/>
      <c r="F258" s="273"/>
      <c r="G258" s="273"/>
      <c r="H258" s="12"/>
      <c r="K258" s="12"/>
      <c r="M258" s="12"/>
      <c r="R258" s="218"/>
      <c r="S258" s="218"/>
      <c r="T258" s="218"/>
      <c r="U258" s="218"/>
    </row>
    <row r="259">
      <c r="A259" s="272"/>
      <c r="B259" s="272"/>
      <c r="C259" s="336"/>
      <c r="D259" s="273"/>
      <c r="E259" s="274"/>
      <c r="F259" s="273"/>
      <c r="G259" s="273"/>
      <c r="H259" s="12"/>
      <c r="K259" s="12"/>
      <c r="M259" s="12"/>
      <c r="R259" s="218"/>
      <c r="S259" s="218"/>
      <c r="T259" s="218"/>
      <c r="U259" s="218"/>
    </row>
    <row r="260">
      <c r="A260" s="272"/>
      <c r="B260" s="272"/>
      <c r="C260" s="336"/>
      <c r="D260" s="273"/>
      <c r="E260" s="274"/>
      <c r="F260" s="273"/>
      <c r="G260" s="273"/>
      <c r="H260" s="12"/>
      <c r="K260" s="12"/>
      <c r="M260" s="12"/>
      <c r="R260" s="218"/>
      <c r="S260" s="218"/>
      <c r="T260" s="218"/>
      <c r="U260" s="218"/>
    </row>
    <row r="261">
      <c r="A261" s="272"/>
      <c r="B261" s="272"/>
      <c r="C261" s="336"/>
      <c r="D261" s="273"/>
      <c r="E261" s="274"/>
      <c r="F261" s="273"/>
      <c r="G261" s="273"/>
      <c r="H261" s="12"/>
      <c r="K261" s="12"/>
      <c r="M261" s="12"/>
      <c r="R261" s="218"/>
      <c r="S261" s="218"/>
      <c r="T261" s="218"/>
      <c r="U261" s="218"/>
    </row>
    <row r="262">
      <c r="A262" s="272"/>
      <c r="B262" s="272"/>
      <c r="C262" s="336"/>
      <c r="D262" s="273"/>
      <c r="E262" s="274"/>
      <c r="F262" s="273"/>
      <c r="G262" s="273"/>
      <c r="H262" s="12"/>
      <c r="K262" s="12"/>
      <c r="M262" s="12"/>
      <c r="R262" s="218"/>
      <c r="S262" s="218"/>
      <c r="T262" s="218"/>
      <c r="U262" s="218"/>
    </row>
    <row r="263">
      <c r="A263" s="272"/>
      <c r="B263" s="272"/>
      <c r="C263" s="336"/>
      <c r="D263" s="273"/>
      <c r="E263" s="274"/>
      <c r="F263" s="273"/>
      <c r="G263" s="273"/>
      <c r="H263" s="12"/>
      <c r="K263" s="12"/>
      <c r="M263" s="12"/>
      <c r="R263" s="218"/>
      <c r="S263" s="218"/>
      <c r="T263" s="218"/>
      <c r="U263" s="218"/>
    </row>
    <row r="264">
      <c r="A264" s="272"/>
      <c r="B264" s="272"/>
      <c r="C264" s="336"/>
      <c r="D264" s="273"/>
      <c r="E264" s="274"/>
      <c r="F264" s="273"/>
      <c r="G264" s="273"/>
      <c r="H264" s="12"/>
      <c r="K264" s="12"/>
      <c r="M264" s="12"/>
      <c r="R264" s="218"/>
      <c r="S264" s="218"/>
      <c r="T264" s="218"/>
      <c r="U264" s="218"/>
    </row>
    <row r="265">
      <c r="A265" s="272"/>
      <c r="B265" s="272"/>
      <c r="C265" s="336"/>
      <c r="D265" s="273"/>
      <c r="E265" s="274"/>
      <c r="F265" s="273"/>
      <c r="G265" s="273"/>
      <c r="H265" s="12"/>
      <c r="K265" s="12"/>
      <c r="M265" s="12"/>
      <c r="R265" s="218"/>
      <c r="S265" s="218"/>
      <c r="T265" s="218"/>
      <c r="U265" s="218"/>
    </row>
    <row r="266">
      <c r="A266" s="272"/>
      <c r="B266" s="272"/>
      <c r="C266" s="336"/>
      <c r="D266" s="273"/>
      <c r="E266" s="274"/>
      <c r="F266" s="273"/>
      <c r="G266" s="273"/>
      <c r="H266" s="12"/>
      <c r="K266" s="12"/>
      <c r="M266" s="12"/>
      <c r="R266" s="218"/>
      <c r="S266" s="218"/>
      <c r="T266" s="218"/>
      <c r="U266" s="218"/>
    </row>
    <row r="267">
      <c r="A267" s="272"/>
      <c r="B267" s="272"/>
      <c r="C267" s="336"/>
      <c r="D267" s="273"/>
      <c r="E267" s="274"/>
      <c r="F267" s="273"/>
      <c r="G267" s="273"/>
      <c r="H267" s="12"/>
      <c r="K267" s="12"/>
      <c r="M267" s="12"/>
      <c r="R267" s="218"/>
      <c r="S267" s="218"/>
      <c r="T267" s="218"/>
      <c r="U267" s="218"/>
    </row>
    <row r="268">
      <c r="A268" s="272"/>
      <c r="B268" s="272"/>
      <c r="C268" s="336"/>
      <c r="D268" s="273"/>
      <c r="E268" s="274"/>
      <c r="F268" s="273"/>
      <c r="G268" s="273"/>
      <c r="H268" s="12"/>
      <c r="K268" s="12"/>
      <c r="M268" s="12"/>
      <c r="R268" s="218"/>
      <c r="S268" s="218"/>
      <c r="T268" s="218"/>
      <c r="U268" s="218"/>
    </row>
    <row r="269">
      <c r="A269" s="272"/>
      <c r="B269" s="272"/>
      <c r="C269" s="336"/>
      <c r="D269" s="273"/>
      <c r="E269" s="274"/>
      <c r="F269" s="273"/>
      <c r="G269" s="273"/>
      <c r="H269" s="12"/>
      <c r="K269" s="12"/>
      <c r="M269" s="12"/>
      <c r="R269" s="218"/>
      <c r="S269" s="218"/>
      <c r="T269" s="218"/>
      <c r="U269" s="218"/>
    </row>
    <row r="270">
      <c r="A270" s="272"/>
      <c r="B270" s="272"/>
      <c r="C270" s="336"/>
      <c r="D270" s="273"/>
      <c r="E270" s="274"/>
      <c r="F270" s="273"/>
      <c r="G270" s="273"/>
      <c r="H270" s="12"/>
      <c r="K270" s="12"/>
      <c r="M270" s="12"/>
      <c r="R270" s="218"/>
      <c r="S270" s="218"/>
      <c r="T270" s="218"/>
      <c r="U270" s="218"/>
    </row>
    <row r="271">
      <c r="A271" s="272"/>
      <c r="B271" s="272"/>
      <c r="C271" s="336"/>
      <c r="D271" s="273"/>
      <c r="E271" s="274"/>
      <c r="F271" s="273"/>
      <c r="G271" s="273"/>
      <c r="H271" s="12"/>
      <c r="K271" s="12"/>
      <c r="M271" s="12"/>
      <c r="R271" s="218"/>
      <c r="S271" s="218"/>
      <c r="T271" s="218"/>
      <c r="U271" s="218"/>
    </row>
    <row r="272">
      <c r="A272" s="272"/>
      <c r="B272" s="272"/>
      <c r="C272" s="336"/>
      <c r="D272" s="273"/>
      <c r="E272" s="274"/>
      <c r="F272" s="273"/>
      <c r="G272" s="273"/>
      <c r="H272" s="12"/>
      <c r="K272" s="12"/>
      <c r="M272" s="12"/>
      <c r="R272" s="218"/>
      <c r="S272" s="218"/>
      <c r="T272" s="218"/>
      <c r="U272" s="218"/>
    </row>
    <row r="273">
      <c r="A273" s="272"/>
      <c r="B273" s="272"/>
      <c r="C273" s="336"/>
      <c r="D273" s="273"/>
      <c r="E273" s="274"/>
      <c r="F273" s="273"/>
      <c r="G273" s="273"/>
      <c r="H273" s="12"/>
      <c r="K273" s="12"/>
      <c r="M273" s="12"/>
      <c r="R273" s="218"/>
      <c r="S273" s="218"/>
      <c r="T273" s="218"/>
      <c r="U273" s="218"/>
    </row>
    <row r="274">
      <c r="A274" s="272"/>
      <c r="B274" s="272"/>
      <c r="C274" s="336"/>
      <c r="D274" s="273"/>
      <c r="E274" s="274"/>
      <c r="F274" s="273"/>
      <c r="G274" s="273"/>
      <c r="H274" s="12"/>
      <c r="K274" s="12"/>
      <c r="M274" s="12"/>
      <c r="R274" s="218"/>
      <c r="S274" s="218"/>
      <c r="T274" s="218"/>
      <c r="U274" s="218"/>
    </row>
    <row r="275">
      <c r="A275" s="272"/>
      <c r="B275" s="272"/>
      <c r="C275" s="336"/>
      <c r="D275" s="273"/>
      <c r="E275" s="274"/>
      <c r="F275" s="273"/>
      <c r="G275" s="273"/>
      <c r="H275" s="12"/>
      <c r="K275" s="12"/>
      <c r="M275" s="12"/>
      <c r="R275" s="218"/>
      <c r="S275" s="218"/>
      <c r="T275" s="218"/>
      <c r="U275" s="218"/>
    </row>
    <row r="276">
      <c r="A276" s="272"/>
      <c r="B276" s="272"/>
      <c r="C276" s="336"/>
      <c r="D276" s="273"/>
      <c r="E276" s="274"/>
      <c r="F276" s="273"/>
      <c r="G276" s="273"/>
      <c r="H276" s="12"/>
      <c r="K276" s="12"/>
      <c r="M276" s="12"/>
      <c r="R276" s="218"/>
      <c r="S276" s="218"/>
      <c r="T276" s="218"/>
      <c r="U276" s="218"/>
    </row>
    <row r="277">
      <c r="A277" s="272"/>
      <c r="B277" s="272"/>
      <c r="C277" s="336"/>
      <c r="D277" s="273"/>
      <c r="E277" s="274"/>
      <c r="F277" s="273"/>
      <c r="G277" s="273"/>
      <c r="H277" s="12"/>
      <c r="K277" s="12"/>
      <c r="M277" s="12"/>
      <c r="R277" s="218"/>
      <c r="S277" s="218"/>
      <c r="T277" s="218"/>
      <c r="U277" s="218"/>
    </row>
    <row r="278">
      <c r="A278" s="272"/>
      <c r="B278" s="272"/>
      <c r="C278" s="336"/>
      <c r="D278" s="273"/>
      <c r="E278" s="274"/>
      <c r="F278" s="273"/>
      <c r="G278" s="273"/>
      <c r="H278" s="12"/>
      <c r="K278" s="12"/>
      <c r="M278" s="12"/>
      <c r="R278" s="218"/>
      <c r="S278" s="218"/>
      <c r="T278" s="218"/>
      <c r="U278" s="218"/>
    </row>
    <row r="279">
      <c r="A279" s="272"/>
      <c r="B279" s="272"/>
      <c r="C279" s="336"/>
      <c r="D279" s="273"/>
      <c r="E279" s="274"/>
      <c r="F279" s="273"/>
      <c r="G279" s="273"/>
      <c r="H279" s="12"/>
      <c r="K279" s="12"/>
      <c r="M279" s="12"/>
      <c r="R279" s="218"/>
      <c r="S279" s="218"/>
      <c r="T279" s="218"/>
      <c r="U279" s="218"/>
    </row>
    <row r="280">
      <c r="A280" s="272"/>
      <c r="B280" s="272"/>
      <c r="C280" s="336"/>
      <c r="D280" s="273"/>
      <c r="E280" s="274"/>
      <c r="F280" s="273"/>
      <c r="G280" s="273"/>
      <c r="H280" s="12"/>
      <c r="K280" s="12"/>
      <c r="M280" s="12"/>
      <c r="R280" s="218"/>
      <c r="S280" s="218"/>
      <c r="T280" s="218"/>
      <c r="U280" s="218"/>
    </row>
    <row r="281">
      <c r="A281" s="272"/>
      <c r="B281" s="272"/>
      <c r="C281" s="336"/>
      <c r="D281" s="273"/>
      <c r="E281" s="274"/>
      <c r="F281" s="273"/>
      <c r="G281" s="273"/>
      <c r="H281" s="12"/>
      <c r="K281" s="12"/>
      <c r="M281" s="12"/>
      <c r="R281" s="218"/>
      <c r="S281" s="218"/>
      <c r="T281" s="218"/>
      <c r="U281" s="218"/>
    </row>
    <row r="282">
      <c r="A282" s="272"/>
      <c r="B282" s="272"/>
      <c r="C282" s="336"/>
      <c r="D282" s="273"/>
      <c r="E282" s="274"/>
      <c r="F282" s="273"/>
      <c r="G282" s="273"/>
      <c r="H282" s="12"/>
      <c r="K282" s="12"/>
      <c r="M282" s="12"/>
      <c r="R282" s="218"/>
      <c r="S282" s="218"/>
      <c r="T282" s="218"/>
      <c r="U282" s="218"/>
    </row>
    <row r="283">
      <c r="A283" s="272"/>
      <c r="B283" s="272"/>
      <c r="C283" s="336"/>
      <c r="D283" s="273"/>
      <c r="E283" s="274"/>
      <c r="F283" s="273"/>
      <c r="G283" s="273"/>
      <c r="H283" s="12"/>
      <c r="K283" s="12"/>
      <c r="M283" s="12"/>
      <c r="R283" s="218"/>
      <c r="S283" s="218"/>
      <c r="T283" s="218"/>
      <c r="U283" s="218"/>
    </row>
    <row r="284">
      <c r="A284" s="272"/>
      <c r="B284" s="272"/>
      <c r="C284" s="336"/>
      <c r="D284" s="273"/>
      <c r="E284" s="274"/>
      <c r="F284" s="273"/>
      <c r="G284" s="273"/>
      <c r="H284" s="12"/>
      <c r="K284" s="12"/>
      <c r="M284" s="12"/>
      <c r="R284" s="218"/>
      <c r="S284" s="218"/>
      <c r="T284" s="218"/>
      <c r="U284" s="218"/>
    </row>
    <row r="285">
      <c r="C285" s="12"/>
      <c r="D285" s="3"/>
      <c r="E285" s="112"/>
      <c r="F285" s="3"/>
      <c r="G285" s="3"/>
      <c r="H285" s="12"/>
      <c r="K285" s="12"/>
      <c r="M285" s="12"/>
      <c r="R285" s="218"/>
      <c r="S285" s="218"/>
      <c r="T285" s="218"/>
      <c r="U285" s="218"/>
    </row>
    <row r="286">
      <c r="C286" s="12"/>
      <c r="D286" s="3"/>
      <c r="E286" s="112"/>
      <c r="F286" s="3"/>
      <c r="G286" s="3"/>
      <c r="H286" s="12"/>
      <c r="K286" s="12"/>
      <c r="M286" s="12"/>
      <c r="R286" s="218"/>
      <c r="S286" s="218"/>
      <c r="T286" s="218"/>
      <c r="U286" s="218"/>
    </row>
    <row r="287">
      <c r="C287" s="12"/>
      <c r="D287" s="3"/>
      <c r="E287" s="112"/>
      <c r="F287" s="3"/>
      <c r="G287" s="3"/>
      <c r="H287" s="12"/>
      <c r="K287" s="12"/>
      <c r="M287" s="12"/>
      <c r="R287" s="218"/>
      <c r="S287" s="218"/>
      <c r="T287" s="218"/>
      <c r="U287" s="218"/>
    </row>
    <row r="288">
      <c r="C288" s="12"/>
      <c r="D288" s="3"/>
      <c r="E288" s="112"/>
      <c r="F288" s="3"/>
      <c r="G288" s="3"/>
      <c r="H288" s="12"/>
      <c r="K288" s="12"/>
      <c r="M288" s="12"/>
      <c r="R288" s="218"/>
      <c r="S288" s="218"/>
      <c r="T288" s="218"/>
      <c r="U288" s="218"/>
    </row>
    <row r="289">
      <c r="C289" s="12"/>
      <c r="D289" s="3"/>
      <c r="E289" s="112"/>
      <c r="F289" s="3"/>
      <c r="G289" s="3"/>
      <c r="H289" s="12"/>
      <c r="K289" s="12"/>
      <c r="M289" s="12"/>
      <c r="R289" s="218"/>
      <c r="S289" s="218"/>
      <c r="T289" s="218"/>
      <c r="U289" s="218"/>
    </row>
    <row r="290">
      <c r="C290" s="12"/>
      <c r="D290" s="3"/>
      <c r="E290" s="112"/>
      <c r="F290" s="3"/>
      <c r="G290" s="3"/>
      <c r="H290" s="12"/>
      <c r="K290" s="12"/>
      <c r="M290" s="12"/>
      <c r="R290" s="218"/>
      <c r="S290" s="218"/>
      <c r="T290" s="218"/>
      <c r="U290" s="218"/>
    </row>
    <row r="291">
      <c r="C291" s="12"/>
      <c r="D291" s="3"/>
      <c r="E291" s="112"/>
      <c r="F291" s="3"/>
      <c r="G291" s="3"/>
      <c r="H291" s="12"/>
      <c r="K291" s="12"/>
      <c r="M291" s="12"/>
      <c r="R291" s="218"/>
      <c r="S291" s="218"/>
      <c r="T291" s="218"/>
      <c r="U291" s="218"/>
    </row>
    <row r="292">
      <c r="C292" s="12"/>
      <c r="D292" s="3"/>
      <c r="E292" s="112"/>
      <c r="F292" s="3"/>
      <c r="G292" s="3"/>
      <c r="H292" s="12"/>
      <c r="K292" s="12"/>
      <c r="M292" s="12"/>
      <c r="R292" s="218"/>
      <c r="S292" s="218"/>
      <c r="T292" s="218"/>
      <c r="U292" s="218"/>
    </row>
    <row r="293">
      <c r="C293" s="12"/>
      <c r="D293" s="3"/>
      <c r="E293" s="112"/>
      <c r="F293" s="3"/>
      <c r="G293" s="3"/>
      <c r="H293" s="12"/>
      <c r="K293" s="12"/>
      <c r="M293" s="12"/>
      <c r="R293" s="218"/>
      <c r="S293" s="218"/>
      <c r="T293" s="218"/>
      <c r="U293" s="218"/>
    </row>
    <row r="294">
      <c r="C294" s="12"/>
      <c r="D294" s="3"/>
      <c r="E294" s="112"/>
      <c r="F294" s="3"/>
      <c r="G294" s="3"/>
      <c r="H294" s="12"/>
      <c r="K294" s="12"/>
      <c r="M294" s="12"/>
      <c r="R294" s="218"/>
      <c r="S294" s="218"/>
      <c r="T294" s="218"/>
      <c r="U294" s="218"/>
    </row>
    <row r="295">
      <c r="C295" s="12"/>
      <c r="D295" s="3"/>
      <c r="E295" s="112"/>
      <c r="F295" s="3"/>
      <c r="G295" s="3"/>
      <c r="H295" s="12"/>
      <c r="K295" s="12"/>
      <c r="M295" s="12"/>
      <c r="R295" s="218"/>
      <c r="S295" s="218"/>
      <c r="T295" s="218"/>
      <c r="U295" s="218"/>
    </row>
    <row r="296">
      <c r="C296" s="12"/>
      <c r="D296" s="3"/>
      <c r="E296" s="112"/>
      <c r="F296" s="3"/>
      <c r="G296" s="3"/>
      <c r="H296" s="12"/>
      <c r="K296" s="12"/>
      <c r="M296" s="12"/>
      <c r="R296" s="218"/>
      <c r="S296" s="218"/>
      <c r="T296" s="218"/>
      <c r="U296" s="218"/>
    </row>
    <row r="297">
      <c r="C297" s="12"/>
      <c r="D297" s="3"/>
      <c r="E297" s="112"/>
      <c r="F297" s="3"/>
      <c r="G297" s="3"/>
      <c r="H297" s="12"/>
      <c r="K297" s="12"/>
      <c r="M297" s="12"/>
      <c r="R297" s="218"/>
      <c r="S297" s="218"/>
      <c r="T297" s="218"/>
      <c r="U297" s="218"/>
    </row>
    <row r="298">
      <c r="C298" s="12"/>
      <c r="D298" s="3"/>
      <c r="E298" s="112"/>
      <c r="F298" s="3"/>
      <c r="G298" s="3"/>
      <c r="H298" s="12"/>
      <c r="K298" s="12"/>
      <c r="M298" s="12"/>
      <c r="R298" s="218"/>
      <c r="S298" s="218"/>
      <c r="T298" s="218"/>
      <c r="U298" s="218"/>
    </row>
    <row r="299">
      <c r="C299" s="12"/>
      <c r="D299" s="3"/>
      <c r="E299" s="112"/>
      <c r="F299" s="3"/>
      <c r="G299" s="3"/>
      <c r="H299" s="12"/>
      <c r="K299" s="12"/>
      <c r="M299" s="12"/>
      <c r="R299" s="218"/>
      <c r="S299" s="218"/>
      <c r="T299" s="218"/>
      <c r="U299" s="218"/>
    </row>
    <row r="300">
      <c r="C300" s="12"/>
      <c r="D300" s="3"/>
      <c r="E300" s="112"/>
      <c r="F300" s="3"/>
      <c r="G300" s="3"/>
      <c r="H300" s="12"/>
      <c r="K300" s="12"/>
      <c r="M300" s="12"/>
      <c r="R300" s="218"/>
      <c r="S300" s="218"/>
      <c r="T300" s="218"/>
      <c r="U300" s="218"/>
    </row>
    <row r="301">
      <c r="C301" s="12"/>
      <c r="D301" s="3"/>
      <c r="E301" s="112"/>
      <c r="F301" s="3"/>
      <c r="G301" s="3"/>
      <c r="H301" s="12"/>
      <c r="K301" s="12"/>
      <c r="M301" s="12"/>
      <c r="R301" s="218"/>
      <c r="S301" s="218"/>
      <c r="T301" s="218"/>
      <c r="U301" s="218"/>
    </row>
    <row r="302">
      <c r="C302" s="12"/>
      <c r="D302" s="3"/>
      <c r="E302" s="112"/>
      <c r="F302" s="3"/>
      <c r="G302" s="3"/>
      <c r="H302" s="12"/>
      <c r="K302" s="12"/>
      <c r="M302" s="12"/>
      <c r="R302" s="218"/>
      <c r="S302" s="218"/>
      <c r="T302" s="218"/>
      <c r="U302" s="218"/>
    </row>
    <row r="303">
      <c r="C303" s="12"/>
      <c r="D303" s="3"/>
      <c r="E303" s="112"/>
      <c r="F303" s="3"/>
      <c r="G303" s="3"/>
      <c r="H303" s="12"/>
      <c r="K303" s="12"/>
      <c r="M303" s="12"/>
      <c r="R303" s="218"/>
      <c r="S303" s="218"/>
      <c r="T303" s="218"/>
      <c r="U303" s="218"/>
    </row>
    <row r="304">
      <c r="C304" s="12"/>
      <c r="D304" s="3"/>
      <c r="E304" s="112"/>
      <c r="F304" s="3"/>
      <c r="G304" s="3"/>
      <c r="H304" s="12"/>
      <c r="K304" s="12"/>
      <c r="M304" s="12"/>
      <c r="R304" s="218"/>
      <c r="S304" s="218"/>
      <c r="T304" s="218"/>
      <c r="U304" s="218"/>
    </row>
    <row r="305">
      <c r="C305" s="12"/>
      <c r="D305" s="3"/>
      <c r="E305" s="112"/>
      <c r="F305" s="3"/>
      <c r="G305" s="3"/>
      <c r="H305" s="12"/>
      <c r="K305" s="12"/>
      <c r="M305" s="12"/>
      <c r="R305" s="218"/>
      <c r="S305" s="218"/>
      <c r="T305" s="218"/>
      <c r="U305" s="218"/>
    </row>
    <row r="306">
      <c r="C306" s="12"/>
      <c r="D306" s="3"/>
      <c r="E306" s="112"/>
      <c r="F306" s="3"/>
      <c r="G306" s="3"/>
      <c r="H306" s="12"/>
      <c r="K306" s="12"/>
      <c r="M306" s="12"/>
      <c r="R306" s="218"/>
      <c r="S306" s="218"/>
      <c r="T306" s="218"/>
      <c r="U306" s="218"/>
    </row>
    <row r="307">
      <c r="C307" s="12"/>
      <c r="D307" s="3"/>
      <c r="E307" s="112"/>
      <c r="F307" s="3"/>
      <c r="G307" s="3"/>
      <c r="H307" s="12"/>
      <c r="K307" s="12"/>
      <c r="M307" s="12"/>
      <c r="R307" s="218"/>
      <c r="S307" s="218"/>
      <c r="T307" s="218"/>
      <c r="U307" s="218"/>
    </row>
    <row r="308">
      <c r="C308" s="12"/>
      <c r="D308" s="3"/>
      <c r="E308" s="112"/>
      <c r="F308" s="3"/>
      <c r="G308" s="3"/>
      <c r="H308" s="12"/>
      <c r="K308" s="12"/>
      <c r="M308" s="12"/>
      <c r="R308" s="218"/>
      <c r="S308" s="218"/>
      <c r="T308" s="218"/>
      <c r="U308" s="218"/>
    </row>
    <row r="309">
      <c r="C309" s="12"/>
      <c r="D309" s="3"/>
      <c r="E309" s="112"/>
      <c r="F309" s="3"/>
      <c r="G309" s="3"/>
      <c r="H309" s="12"/>
      <c r="K309" s="12"/>
      <c r="M309" s="12"/>
      <c r="R309" s="218"/>
      <c r="S309" s="218"/>
      <c r="T309" s="218"/>
      <c r="U309" s="218"/>
    </row>
    <row r="310">
      <c r="C310" s="12"/>
      <c r="D310" s="3"/>
      <c r="E310" s="112"/>
      <c r="F310" s="3"/>
      <c r="G310" s="3"/>
      <c r="H310" s="12"/>
      <c r="K310" s="12"/>
      <c r="M310" s="12"/>
      <c r="R310" s="218"/>
      <c r="S310" s="218"/>
      <c r="T310" s="218"/>
      <c r="U310" s="218"/>
    </row>
    <row r="311">
      <c r="C311" s="12"/>
      <c r="D311" s="3"/>
      <c r="E311" s="112"/>
      <c r="F311" s="3"/>
      <c r="G311" s="3"/>
      <c r="H311" s="12"/>
      <c r="K311" s="12"/>
      <c r="M311" s="12"/>
      <c r="R311" s="218"/>
      <c r="S311" s="218"/>
      <c r="T311" s="218"/>
      <c r="U311" s="218"/>
    </row>
    <row r="312">
      <c r="C312" s="12"/>
      <c r="D312" s="3"/>
      <c r="E312" s="112"/>
      <c r="F312" s="3"/>
      <c r="G312" s="3"/>
      <c r="H312" s="12"/>
      <c r="K312" s="12"/>
      <c r="M312" s="12"/>
      <c r="R312" s="218"/>
      <c r="S312" s="218"/>
      <c r="T312" s="218"/>
      <c r="U312" s="218"/>
    </row>
    <row r="313">
      <c r="C313" s="12"/>
      <c r="D313" s="3"/>
      <c r="E313" s="112"/>
      <c r="F313" s="3"/>
      <c r="G313" s="3"/>
      <c r="H313" s="12"/>
      <c r="K313" s="12"/>
      <c r="M313" s="12"/>
      <c r="R313" s="218"/>
      <c r="S313" s="218"/>
      <c r="T313" s="218"/>
      <c r="U313" s="218"/>
    </row>
    <row r="314">
      <c r="C314" s="12"/>
      <c r="D314" s="3"/>
      <c r="E314" s="112"/>
      <c r="F314" s="3"/>
      <c r="G314" s="3"/>
      <c r="H314" s="12"/>
      <c r="K314" s="12"/>
      <c r="M314" s="12"/>
      <c r="R314" s="218"/>
      <c r="S314" s="218"/>
      <c r="T314" s="218"/>
      <c r="U314" s="218"/>
    </row>
    <row r="315">
      <c r="C315" s="12"/>
      <c r="D315" s="3"/>
      <c r="E315" s="112"/>
      <c r="F315" s="3"/>
      <c r="G315" s="3"/>
      <c r="H315" s="12"/>
      <c r="K315" s="12"/>
      <c r="M315" s="12"/>
      <c r="R315" s="218"/>
      <c r="S315" s="218"/>
      <c r="T315" s="218"/>
      <c r="U315" s="218"/>
    </row>
    <row r="316">
      <c r="C316" s="12"/>
      <c r="D316" s="3"/>
      <c r="E316" s="112"/>
      <c r="F316" s="3"/>
      <c r="G316" s="3"/>
      <c r="H316" s="12"/>
      <c r="K316" s="12"/>
      <c r="M316" s="12"/>
      <c r="R316" s="218"/>
      <c r="S316" s="218"/>
      <c r="T316" s="218"/>
      <c r="U316" s="218"/>
    </row>
    <row r="317">
      <c r="C317" s="12"/>
      <c r="D317" s="3"/>
      <c r="E317" s="112"/>
      <c r="F317" s="3"/>
      <c r="G317" s="3"/>
      <c r="H317" s="12"/>
      <c r="K317" s="12"/>
      <c r="M317" s="12"/>
      <c r="R317" s="218"/>
      <c r="S317" s="218"/>
      <c r="T317" s="218"/>
      <c r="U317" s="218"/>
    </row>
    <row r="318">
      <c r="C318" s="12"/>
      <c r="D318" s="3"/>
      <c r="E318" s="112"/>
      <c r="F318" s="3"/>
      <c r="G318" s="3"/>
      <c r="H318" s="12"/>
      <c r="K318" s="12"/>
      <c r="M318" s="12"/>
      <c r="R318" s="218"/>
      <c r="S318" s="218"/>
      <c r="T318" s="218"/>
      <c r="U318" s="218"/>
    </row>
    <row r="319">
      <c r="C319" s="12"/>
      <c r="D319" s="3"/>
      <c r="E319" s="112"/>
      <c r="F319" s="3"/>
      <c r="G319" s="3"/>
      <c r="H319" s="12"/>
      <c r="K319" s="12"/>
      <c r="M319" s="12"/>
      <c r="R319" s="218"/>
      <c r="S319" s="218"/>
      <c r="T319" s="218"/>
      <c r="U319" s="218"/>
    </row>
    <row r="320">
      <c r="C320" s="12"/>
      <c r="D320" s="3"/>
      <c r="E320" s="112"/>
      <c r="F320" s="3"/>
      <c r="G320" s="3"/>
      <c r="H320" s="12"/>
      <c r="K320" s="12"/>
      <c r="M320" s="12"/>
      <c r="R320" s="218"/>
      <c r="S320" s="218"/>
      <c r="T320" s="218"/>
      <c r="U320" s="218"/>
    </row>
    <row r="321">
      <c r="C321" s="12"/>
      <c r="D321" s="3"/>
      <c r="E321" s="112"/>
      <c r="F321" s="3"/>
      <c r="G321" s="3"/>
      <c r="H321" s="12"/>
      <c r="K321" s="12"/>
      <c r="M321" s="12"/>
      <c r="R321" s="218"/>
      <c r="S321" s="218"/>
      <c r="T321" s="218"/>
      <c r="U321" s="218"/>
    </row>
    <row r="322">
      <c r="C322" s="12"/>
      <c r="D322" s="3"/>
      <c r="E322" s="112"/>
      <c r="F322" s="3"/>
      <c r="G322" s="3"/>
      <c r="H322" s="12"/>
      <c r="K322" s="12"/>
      <c r="M322" s="12"/>
      <c r="R322" s="218"/>
      <c r="S322" s="218"/>
      <c r="T322" s="218"/>
      <c r="U322" s="218"/>
    </row>
    <row r="323">
      <c r="C323" s="12"/>
      <c r="D323" s="3"/>
      <c r="E323" s="112"/>
      <c r="F323" s="3"/>
      <c r="G323" s="3"/>
      <c r="H323" s="12"/>
      <c r="K323" s="12"/>
      <c r="M323" s="12"/>
      <c r="R323" s="218"/>
      <c r="S323" s="218"/>
      <c r="T323" s="218"/>
      <c r="U323" s="218"/>
    </row>
    <row r="324">
      <c r="C324" s="12"/>
      <c r="D324" s="3"/>
      <c r="E324" s="112"/>
      <c r="F324" s="3"/>
      <c r="G324" s="3"/>
      <c r="H324" s="12"/>
      <c r="K324" s="12"/>
      <c r="M324" s="12"/>
      <c r="R324" s="218"/>
      <c r="S324" s="218"/>
      <c r="T324" s="218"/>
      <c r="U324" s="218"/>
    </row>
    <row r="325">
      <c r="C325" s="12"/>
      <c r="D325" s="3"/>
      <c r="E325" s="112"/>
      <c r="F325" s="3"/>
      <c r="G325" s="3"/>
      <c r="H325" s="12"/>
      <c r="K325" s="12"/>
      <c r="M325" s="12"/>
      <c r="R325" s="218"/>
      <c r="S325" s="218"/>
      <c r="T325" s="218"/>
      <c r="U325" s="218"/>
    </row>
    <row r="326">
      <c r="C326" s="12"/>
      <c r="D326" s="3"/>
      <c r="E326" s="112"/>
      <c r="F326" s="3"/>
      <c r="G326" s="3"/>
      <c r="H326" s="12"/>
      <c r="K326" s="12"/>
      <c r="M326" s="12"/>
      <c r="R326" s="218"/>
      <c r="S326" s="218"/>
      <c r="T326" s="218"/>
      <c r="U326" s="218"/>
    </row>
    <row r="327">
      <c r="C327" s="12"/>
      <c r="D327" s="3"/>
      <c r="E327" s="112"/>
      <c r="F327" s="3"/>
      <c r="G327" s="3"/>
      <c r="H327" s="12"/>
      <c r="K327" s="12"/>
      <c r="M327" s="12"/>
      <c r="R327" s="218"/>
      <c r="S327" s="218"/>
      <c r="T327" s="218"/>
      <c r="U327" s="218"/>
    </row>
    <row r="328">
      <c r="C328" s="12"/>
      <c r="D328" s="3"/>
      <c r="E328" s="112"/>
      <c r="F328" s="3"/>
      <c r="G328" s="3"/>
      <c r="H328" s="12"/>
      <c r="K328" s="12"/>
      <c r="M328" s="12"/>
      <c r="R328" s="218"/>
      <c r="S328" s="218"/>
      <c r="T328" s="218"/>
      <c r="U328" s="218"/>
    </row>
    <row r="329">
      <c r="C329" s="12"/>
      <c r="D329" s="3"/>
      <c r="E329" s="112"/>
      <c r="F329" s="3"/>
      <c r="G329" s="3"/>
      <c r="H329" s="12"/>
      <c r="K329" s="12"/>
      <c r="M329" s="12"/>
      <c r="R329" s="218"/>
      <c r="S329" s="218"/>
      <c r="T329" s="218"/>
      <c r="U329" s="218"/>
    </row>
    <row r="330">
      <c r="C330" s="12"/>
      <c r="D330" s="3"/>
      <c r="E330" s="112"/>
      <c r="F330" s="3"/>
      <c r="G330" s="3"/>
      <c r="H330" s="12"/>
      <c r="K330" s="12"/>
      <c r="M330" s="12"/>
      <c r="R330" s="218"/>
      <c r="S330" s="218"/>
      <c r="T330" s="218"/>
      <c r="U330" s="218"/>
    </row>
    <row r="331">
      <c r="C331" s="12"/>
      <c r="D331" s="3"/>
      <c r="E331" s="112"/>
      <c r="F331" s="3"/>
      <c r="G331" s="3"/>
      <c r="H331" s="12"/>
      <c r="K331" s="12"/>
      <c r="M331" s="12"/>
      <c r="R331" s="218"/>
      <c r="S331" s="218"/>
      <c r="T331" s="218"/>
      <c r="U331" s="218"/>
    </row>
    <row r="332">
      <c r="C332" s="12"/>
      <c r="D332" s="3"/>
      <c r="E332" s="112"/>
      <c r="F332" s="3"/>
      <c r="G332" s="3"/>
      <c r="H332" s="12"/>
      <c r="K332" s="12"/>
      <c r="M332" s="12"/>
      <c r="R332" s="218"/>
      <c r="S332" s="218"/>
      <c r="T332" s="218"/>
      <c r="U332" s="218"/>
    </row>
    <row r="333">
      <c r="C333" s="12"/>
      <c r="D333" s="3"/>
      <c r="E333" s="112"/>
      <c r="F333" s="3"/>
      <c r="G333" s="3"/>
      <c r="H333" s="12"/>
      <c r="K333" s="12"/>
      <c r="M333" s="12"/>
      <c r="R333" s="218"/>
      <c r="S333" s="218"/>
      <c r="T333" s="218"/>
      <c r="U333" s="218"/>
    </row>
    <row r="334">
      <c r="C334" s="12"/>
      <c r="D334" s="3"/>
      <c r="E334" s="112"/>
      <c r="F334" s="3"/>
      <c r="G334" s="3"/>
      <c r="H334" s="12"/>
      <c r="K334" s="12"/>
      <c r="M334" s="12"/>
      <c r="R334" s="218"/>
      <c r="S334" s="218"/>
      <c r="T334" s="218"/>
      <c r="U334" s="218"/>
    </row>
    <row r="335">
      <c r="C335" s="12"/>
      <c r="D335" s="3"/>
      <c r="E335" s="112"/>
      <c r="F335" s="3"/>
      <c r="G335" s="3"/>
      <c r="H335" s="12"/>
      <c r="K335" s="12"/>
      <c r="M335" s="12"/>
      <c r="R335" s="218"/>
      <c r="S335" s="218"/>
      <c r="T335" s="218"/>
      <c r="U335" s="218"/>
    </row>
    <row r="336">
      <c r="C336" s="12"/>
      <c r="D336" s="3"/>
      <c r="E336" s="112"/>
      <c r="F336" s="3"/>
      <c r="G336" s="3"/>
      <c r="H336" s="12"/>
      <c r="K336" s="12"/>
      <c r="M336" s="12"/>
      <c r="R336" s="218"/>
      <c r="S336" s="218"/>
      <c r="T336" s="218"/>
      <c r="U336" s="218"/>
    </row>
    <row r="337">
      <c r="C337" s="12"/>
      <c r="D337" s="3"/>
      <c r="E337" s="112"/>
      <c r="F337" s="3"/>
      <c r="G337" s="3"/>
      <c r="H337" s="12"/>
      <c r="K337" s="12"/>
      <c r="M337" s="12"/>
      <c r="R337" s="218"/>
      <c r="S337" s="218"/>
      <c r="T337" s="218"/>
      <c r="U337" s="218"/>
    </row>
    <row r="338">
      <c r="C338" s="12"/>
      <c r="D338" s="3"/>
      <c r="E338" s="112"/>
      <c r="F338" s="3"/>
      <c r="G338" s="3"/>
      <c r="H338" s="12"/>
      <c r="K338" s="12"/>
      <c r="M338" s="12"/>
      <c r="R338" s="218"/>
      <c r="S338" s="218"/>
      <c r="T338" s="218"/>
      <c r="U338" s="218"/>
    </row>
    <row r="339">
      <c r="C339" s="12"/>
      <c r="D339" s="3"/>
      <c r="E339" s="112"/>
      <c r="F339" s="3"/>
      <c r="G339" s="3"/>
      <c r="H339" s="12"/>
      <c r="K339" s="12"/>
      <c r="M339" s="12"/>
      <c r="R339" s="218"/>
      <c r="S339" s="218"/>
      <c r="T339" s="218"/>
      <c r="U339" s="218"/>
    </row>
    <row r="340">
      <c r="C340" s="12"/>
      <c r="D340" s="3"/>
      <c r="E340" s="112"/>
      <c r="F340" s="3"/>
      <c r="G340" s="3"/>
      <c r="H340" s="12"/>
      <c r="K340" s="12"/>
      <c r="M340" s="12"/>
      <c r="R340" s="218"/>
      <c r="S340" s="218"/>
      <c r="T340" s="218"/>
      <c r="U340" s="218"/>
    </row>
    <row r="341">
      <c r="C341" s="12"/>
      <c r="D341" s="3"/>
      <c r="E341" s="112"/>
      <c r="F341" s="3"/>
      <c r="G341" s="3"/>
      <c r="H341" s="12"/>
      <c r="K341" s="12"/>
      <c r="M341" s="12"/>
      <c r="R341" s="218"/>
      <c r="S341" s="218"/>
      <c r="T341" s="218"/>
      <c r="U341" s="218"/>
    </row>
    <row r="342">
      <c r="C342" s="12"/>
      <c r="D342" s="3"/>
      <c r="E342" s="112"/>
      <c r="F342" s="3"/>
      <c r="G342" s="3"/>
      <c r="H342" s="12"/>
      <c r="K342" s="12"/>
      <c r="M342" s="12"/>
      <c r="R342" s="218"/>
      <c r="S342" s="218"/>
      <c r="T342" s="218"/>
      <c r="U342" s="218"/>
    </row>
    <row r="343">
      <c r="C343" s="12"/>
      <c r="D343" s="3"/>
      <c r="E343" s="112"/>
      <c r="F343" s="3"/>
      <c r="G343" s="3"/>
      <c r="H343" s="12"/>
      <c r="K343" s="12"/>
      <c r="M343" s="12"/>
      <c r="R343" s="218"/>
      <c r="S343" s="218"/>
      <c r="T343" s="218"/>
      <c r="U343" s="218"/>
    </row>
    <row r="344">
      <c r="C344" s="12"/>
      <c r="D344" s="3"/>
      <c r="E344" s="112"/>
      <c r="F344" s="3"/>
      <c r="G344" s="3"/>
      <c r="H344" s="12"/>
      <c r="K344" s="12"/>
      <c r="M344" s="12"/>
      <c r="R344" s="218"/>
      <c r="S344" s="218"/>
      <c r="T344" s="218"/>
      <c r="U344" s="218"/>
    </row>
    <row r="345">
      <c r="C345" s="12"/>
      <c r="D345" s="3"/>
      <c r="E345" s="112"/>
      <c r="F345" s="3"/>
      <c r="G345" s="3"/>
      <c r="H345" s="12"/>
      <c r="K345" s="12"/>
      <c r="M345" s="12"/>
      <c r="R345" s="218"/>
      <c r="S345" s="218"/>
      <c r="T345" s="218"/>
      <c r="U345" s="218"/>
    </row>
    <row r="346">
      <c r="C346" s="12"/>
      <c r="D346" s="3"/>
      <c r="E346" s="112"/>
      <c r="F346" s="3"/>
      <c r="G346" s="3"/>
      <c r="H346" s="12"/>
      <c r="K346" s="12"/>
      <c r="M346" s="12"/>
      <c r="R346" s="218"/>
      <c r="S346" s="218"/>
      <c r="T346" s="218"/>
      <c r="U346" s="218"/>
    </row>
    <row r="347">
      <c r="C347" s="12"/>
      <c r="D347" s="3"/>
      <c r="E347" s="112"/>
      <c r="F347" s="3"/>
      <c r="G347" s="3"/>
      <c r="H347" s="12"/>
      <c r="K347" s="12"/>
      <c r="M347" s="12"/>
      <c r="R347" s="218"/>
      <c r="S347" s="218"/>
      <c r="T347" s="218"/>
      <c r="U347" s="218"/>
    </row>
    <row r="348">
      <c r="C348" s="12"/>
      <c r="D348" s="3"/>
      <c r="E348" s="112"/>
      <c r="F348" s="3"/>
      <c r="G348" s="3"/>
      <c r="H348" s="12"/>
      <c r="K348" s="12"/>
      <c r="M348" s="12"/>
      <c r="R348" s="218"/>
      <c r="S348" s="218"/>
      <c r="T348" s="218"/>
      <c r="U348" s="218"/>
    </row>
    <row r="349">
      <c r="C349" s="12"/>
      <c r="D349" s="3"/>
      <c r="E349" s="112"/>
      <c r="F349" s="3"/>
      <c r="G349" s="3"/>
      <c r="H349" s="12"/>
      <c r="K349" s="12"/>
      <c r="M349" s="12"/>
      <c r="R349" s="218"/>
      <c r="S349" s="218"/>
      <c r="T349" s="218"/>
      <c r="U349" s="218"/>
    </row>
    <row r="350">
      <c r="C350" s="12"/>
      <c r="D350" s="3"/>
      <c r="E350" s="112"/>
      <c r="F350" s="3"/>
      <c r="G350" s="3"/>
      <c r="H350" s="12"/>
      <c r="K350" s="12"/>
      <c r="M350" s="12"/>
      <c r="R350" s="218"/>
      <c r="S350" s="218"/>
      <c r="T350" s="218"/>
      <c r="U350" s="218"/>
    </row>
    <row r="351">
      <c r="C351" s="12"/>
      <c r="D351" s="3"/>
      <c r="E351" s="112"/>
      <c r="F351" s="3"/>
      <c r="G351" s="3"/>
      <c r="H351" s="12"/>
      <c r="K351" s="12"/>
      <c r="M351" s="12"/>
      <c r="R351" s="218"/>
      <c r="S351" s="218"/>
      <c r="T351" s="218"/>
      <c r="U351" s="218"/>
    </row>
    <row r="352">
      <c r="C352" s="12"/>
      <c r="D352" s="3"/>
      <c r="E352" s="112"/>
      <c r="F352" s="3"/>
      <c r="G352" s="3"/>
      <c r="H352" s="12"/>
      <c r="K352" s="12"/>
      <c r="M352" s="12"/>
      <c r="R352" s="218"/>
      <c r="S352" s="218"/>
      <c r="T352" s="218"/>
      <c r="U352" s="218"/>
    </row>
    <row r="353">
      <c r="C353" s="12"/>
      <c r="D353" s="3"/>
      <c r="E353" s="112"/>
      <c r="F353" s="3"/>
      <c r="G353" s="3"/>
      <c r="H353" s="12"/>
      <c r="K353" s="12"/>
      <c r="M353" s="12"/>
      <c r="R353" s="218"/>
      <c r="S353" s="218"/>
      <c r="T353" s="218"/>
      <c r="U353" s="218"/>
    </row>
    <row r="354">
      <c r="C354" s="12"/>
      <c r="D354" s="3"/>
      <c r="E354" s="112"/>
      <c r="F354" s="3"/>
      <c r="G354" s="3"/>
      <c r="H354" s="12"/>
      <c r="K354" s="12"/>
      <c r="M354" s="12"/>
      <c r="R354" s="218"/>
      <c r="S354" s="218"/>
      <c r="T354" s="218"/>
      <c r="U354" s="218"/>
    </row>
    <row r="355">
      <c r="C355" s="12"/>
      <c r="D355" s="3"/>
      <c r="E355" s="112"/>
      <c r="F355" s="3"/>
      <c r="G355" s="3"/>
      <c r="H355" s="12"/>
      <c r="K355" s="12"/>
      <c r="M355" s="12"/>
      <c r="R355" s="218"/>
      <c r="S355" s="218"/>
      <c r="T355" s="218"/>
      <c r="U355" s="218"/>
    </row>
    <row r="356">
      <c r="C356" s="12"/>
      <c r="D356" s="3"/>
      <c r="E356" s="112"/>
      <c r="F356" s="3"/>
      <c r="G356" s="3"/>
      <c r="H356" s="12"/>
      <c r="K356" s="12"/>
      <c r="M356" s="12"/>
      <c r="R356" s="218"/>
      <c r="S356" s="218"/>
      <c r="T356" s="218"/>
      <c r="U356" s="218"/>
    </row>
    <row r="357">
      <c r="C357" s="12"/>
      <c r="D357" s="3"/>
      <c r="E357" s="112"/>
      <c r="F357" s="3"/>
      <c r="G357" s="3"/>
      <c r="H357" s="12"/>
      <c r="K357" s="12"/>
      <c r="M357" s="12"/>
      <c r="R357" s="218"/>
      <c r="S357" s="218"/>
      <c r="T357" s="218"/>
      <c r="U357" s="218"/>
    </row>
    <row r="358">
      <c r="C358" s="12"/>
      <c r="D358" s="3"/>
      <c r="E358" s="112"/>
      <c r="F358" s="3"/>
      <c r="G358" s="3"/>
      <c r="H358" s="12"/>
      <c r="K358" s="12"/>
      <c r="M358" s="12"/>
      <c r="R358" s="218"/>
      <c r="S358" s="218"/>
      <c r="T358" s="218"/>
      <c r="U358" s="218"/>
    </row>
    <row r="359">
      <c r="C359" s="12"/>
      <c r="D359" s="3"/>
      <c r="E359" s="112"/>
      <c r="F359" s="3"/>
      <c r="G359" s="3"/>
      <c r="H359" s="12"/>
      <c r="K359" s="12"/>
      <c r="M359" s="12"/>
      <c r="R359" s="218"/>
      <c r="S359" s="218"/>
      <c r="T359" s="218"/>
      <c r="U359" s="218"/>
    </row>
    <row r="360">
      <c r="C360" s="12"/>
      <c r="D360" s="3"/>
      <c r="E360" s="112"/>
      <c r="F360" s="3"/>
      <c r="G360" s="3"/>
      <c r="H360" s="12"/>
      <c r="K360" s="12"/>
      <c r="M360" s="12"/>
      <c r="R360" s="218"/>
      <c r="S360" s="218"/>
      <c r="T360" s="218"/>
      <c r="U360" s="218"/>
    </row>
    <row r="361">
      <c r="C361" s="12"/>
      <c r="D361" s="3"/>
      <c r="E361" s="112"/>
      <c r="F361" s="3"/>
      <c r="G361" s="3"/>
      <c r="H361" s="12"/>
      <c r="K361" s="12"/>
      <c r="M361" s="12"/>
      <c r="R361" s="218"/>
      <c r="S361" s="218"/>
      <c r="T361" s="218"/>
      <c r="U361" s="218"/>
    </row>
    <row r="362">
      <c r="C362" s="12"/>
      <c r="D362" s="3"/>
      <c r="E362" s="112"/>
      <c r="F362" s="3"/>
      <c r="G362" s="3"/>
      <c r="H362" s="12"/>
      <c r="K362" s="12"/>
      <c r="M362" s="12"/>
      <c r="R362" s="218"/>
      <c r="S362" s="218"/>
      <c r="T362" s="218"/>
      <c r="U362" s="218"/>
    </row>
    <row r="363">
      <c r="C363" s="12"/>
      <c r="D363" s="3"/>
      <c r="E363" s="112"/>
      <c r="F363" s="3"/>
      <c r="G363" s="3"/>
      <c r="H363" s="12"/>
      <c r="K363" s="12"/>
      <c r="M363" s="12"/>
      <c r="R363" s="218"/>
      <c r="S363" s="218"/>
      <c r="T363" s="218"/>
      <c r="U363" s="218"/>
    </row>
    <row r="364">
      <c r="C364" s="12"/>
      <c r="D364" s="3"/>
      <c r="E364" s="112"/>
      <c r="F364" s="3"/>
      <c r="G364" s="3"/>
      <c r="H364" s="12"/>
      <c r="K364" s="12"/>
      <c r="M364" s="12"/>
      <c r="R364" s="218"/>
      <c r="S364" s="218"/>
      <c r="T364" s="218"/>
      <c r="U364" s="218"/>
    </row>
    <row r="365">
      <c r="C365" s="12"/>
      <c r="D365" s="3"/>
      <c r="E365" s="112"/>
      <c r="F365" s="3"/>
      <c r="G365" s="3"/>
      <c r="H365" s="12"/>
      <c r="K365" s="12"/>
      <c r="M365" s="12"/>
      <c r="R365" s="218"/>
      <c r="S365" s="218"/>
      <c r="T365" s="218"/>
      <c r="U365" s="218"/>
    </row>
    <row r="366">
      <c r="C366" s="12"/>
      <c r="D366" s="3"/>
      <c r="E366" s="112"/>
      <c r="F366" s="3"/>
      <c r="G366" s="3"/>
      <c r="H366" s="12"/>
      <c r="K366" s="12"/>
      <c r="M366" s="12"/>
      <c r="R366" s="218"/>
      <c r="S366" s="218"/>
      <c r="T366" s="218"/>
      <c r="U366" s="218"/>
    </row>
    <row r="367">
      <c r="C367" s="12"/>
      <c r="D367" s="3"/>
      <c r="E367" s="112"/>
      <c r="F367" s="3"/>
      <c r="G367" s="3"/>
      <c r="H367" s="12"/>
      <c r="K367" s="12"/>
      <c r="M367" s="12"/>
      <c r="R367" s="218"/>
      <c r="S367" s="218"/>
      <c r="T367" s="218"/>
      <c r="U367" s="218"/>
    </row>
    <row r="368">
      <c r="C368" s="12"/>
      <c r="D368" s="3"/>
      <c r="E368" s="112"/>
      <c r="F368" s="3"/>
      <c r="G368" s="3"/>
      <c r="H368" s="12"/>
      <c r="K368" s="12"/>
      <c r="M368" s="12"/>
      <c r="R368" s="218"/>
      <c r="S368" s="218"/>
      <c r="T368" s="218"/>
      <c r="U368" s="218"/>
    </row>
    <row r="369">
      <c r="C369" s="12"/>
      <c r="D369" s="3"/>
      <c r="E369" s="112"/>
      <c r="F369" s="3"/>
      <c r="G369" s="3"/>
      <c r="H369" s="12"/>
      <c r="K369" s="12"/>
      <c r="M369" s="12"/>
      <c r="R369" s="218"/>
      <c r="S369" s="218"/>
      <c r="T369" s="218"/>
      <c r="U369" s="218"/>
    </row>
    <row r="370">
      <c r="C370" s="12"/>
      <c r="D370" s="3"/>
      <c r="E370" s="112"/>
      <c r="F370" s="3"/>
      <c r="G370" s="3"/>
      <c r="H370" s="12"/>
      <c r="K370" s="12"/>
      <c r="M370" s="12"/>
      <c r="R370" s="218"/>
      <c r="S370" s="218"/>
      <c r="T370" s="218"/>
      <c r="U370" s="218"/>
    </row>
    <row r="371">
      <c r="C371" s="12"/>
      <c r="D371" s="3"/>
      <c r="E371" s="112"/>
      <c r="F371" s="3"/>
      <c r="G371" s="3"/>
      <c r="H371" s="12"/>
      <c r="K371" s="12"/>
      <c r="M371" s="12"/>
      <c r="R371" s="218"/>
      <c r="S371" s="218"/>
      <c r="T371" s="218"/>
      <c r="U371" s="218"/>
    </row>
    <row r="372">
      <c r="C372" s="12"/>
      <c r="D372" s="3"/>
      <c r="E372" s="112"/>
      <c r="F372" s="3"/>
      <c r="G372" s="3"/>
      <c r="H372" s="12"/>
      <c r="K372" s="12"/>
      <c r="M372" s="12"/>
      <c r="R372" s="218"/>
      <c r="S372" s="218"/>
      <c r="T372" s="218"/>
      <c r="U372" s="218"/>
    </row>
    <row r="373">
      <c r="C373" s="12"/>
      <c r="D373" s="3"/>
      <c r="E373" s="112"/>
      <c r="F373" s="3"/>
      <c r="G373" s="3"/>
      <c r="H373" s="12"/>
      <c r="K373" s="12"/>
      <c r="M373" s="12"/>
      <c r="R373" s="218"/>
      <c r="S373" s="218"/>
      <c r="T373" s="218"/>
      <c r="U373" s="218"/>
    </row>
    <row r="374">
      <c r="C374" s="12"/>
      <c r="D374" s="3"/>
      <c r="E374" s="112"/>
      <c r="F374" s="3"/>
      <c r="G374" s="3"/>
      <c r="H374" s="12"/>
      <c r="K374" s="12"/>
      <c r="M374" s="12"/>
      <c r="R374" s="218"/>
      <c r="S374" s="218"/>
      <c r="T374" s="218"/>
      <c r="U374" s="218"/>
    </row>
    <row r="375">
      <c r="C375" s="12"/>
      <c r="D375" s="3"/>
      <c r="E375" s="112"/>
      <c r="F375" s="3"/>
      <c r="G375" s="3"/>
      <c r="H375" s="12"/>
      <c r="K375" s="12"/>
      <c r="M375" s="12"/>
      <c r="R375" s="218"/>
      <c r="S375" s="218"/>
      <c r="T375" s="218"/>
      <c r="U375" s="218"/>
    </row>
    <row r="376">
      <c r="C376" s="12"/>
      <c r="D376" s="3"/>
      <c r="E376" s="112"/>
      <c r="F376" s="3"/>
      <c r="G376" s="3"/>
      <c r="H376" s="12"/>
      <c r="K376" s="12"/>
      <c r="M376" s="12"/>
      <c r="R376" s="218"/>
      <c r="S376" s="218"/>
      <c r="T376" s="218"/>
      <c r="U376" s="218"/>
    </row>
    <row r="377">
      <c r="C377" s="12"/>
      <c r="D377" s="3"/>
      <c r="E377" s="112"/>
      <c r="F377" s="3"/>
      <c r="G377" s="3"/>
      <c r="H377" s="12"/>
      <c r="K377" s="12"/>
      <c r="M377" s="12"/>
      <c r="R377" s="218"/>
      <c r="S377" s="218"/>
      <c r="T377" s="218"/>
      <c r="U377" s="218"/>
    </row>
    <row r="378">
      <c r="C378" s="12"/>
      <c r="D378" s="3"/>
      <c r="E378" s="112"/>
      <c r="F378" s="3"/>
      <c r="G378" s="3"/>
      <c r="H378" s="12"/>
      <c r="K378" s="12"/>
      <c r="M378" s="12"/>
      <c r="R378" s="218"/>
      <c r="S378" s="218"/>
      <c r="T378" s="218"/>
      <c r="U378" s="218"/>
    </row>
    <row r="379">
      <c r="C379" s="12"/>
      <c r="D379" s="3"/>
      <c r="E379" s="112"/>
      <c r="F379" s="3"/>
      <c r="G379" s="3"/>
      <c r="H379" s="12"/>
      <c r="K379" s="12"/>
      <c r="M379" s="12"/>
      <c r="R379" s="218"/>
      <c r="S379" s="218"/>
      <c r="T379" s="218"/>
      <c r="U379" s="218"/>
    </row>
    <row r="380">
      <c r="C380" s="12"/>
      <c r="D380" s="3"/>
      <c r="E380" s="112"/>
      <c r="F380" s="3"/>
      <c r="G380" s="3"/>
      <c r="H380" s="12"/>
      <c r="K380" s="12"/>
      <c r="M380" s="12"/>
      <c r="R380" s="218"/>
      <c r="S380" s="218"/>
      <c r="T380" s="218"/>
      <c r="U380" s="218"/>
    </row>
    <row r="381">
      <c r="C381" s="12"/>
      <c r="D381" s="3"/>
      <c r="E381" s="112"/>
      <c r="F381" s="3"/>
      <c r="G381" s="3"/>
      <c r="H381" s="12"/>
      <c r="K381" s="12"/>
      <c r="M381" s="12"/>
      <c r="R381" s="218"/>
      <c r="S381" s="218"/>
      <c r="T381" s="218"/>
      <c r="U381" s="218"/>
    </row>
    <row r="382">
      <c r="C382" s="12"/>
      <c r="D382" s="3"/>
      <c r="E382" s="112"/>
      <c r="F382" s="3"/>
      <c r="G382" s="3"/>
      <c r="H382" s="12"/>
      <c r="K382" s="12"/>
      <c r="M382" s="12"/>
      <c r="R382" s="218"/>
      <c r="S382" s="218"/>
      <c r="T382" s="218"/>
      <c r="U382" s="218"/>
    </row>
    <row r="383">
      <c r="C383" s="12"/>
      <c r="D383" s="3"/>
      <c r="E383" s="112"/>
      <c r="F383" s="3"/>
      <c r="G383" s="3"/>
      <c r="H383" s="12"/>
      <c r="K383" s="12"/>
      <c r="M383" s="12"/>
      <c r="R383" s="218"/>
      <c r="S383" s="218"/>
      <c r="T383" s="218"/>
      <c r="U383" s="218"/>
    </row>
    <row r="384">
      <c r="C384" s="12"/>
      <c r="D384" s="3"/>
      <c r="E384" s="112"/>
      <c r="F384" s="3"/>
      <c r="G384" s="3"/>
      <c r="H384" s="12"/>
      <c r="K384" s="12"/>
      <c r="M384" s="12"/>
      <c r="R384" s="218"/>
      <c r="S384" s="218"/>
      <c r="T384" s="218"/>
      <c r="U384" s="218"/>
    </row>
    <row r="385">
      <c r="C385" s="12"/>
      <c r="D385" s="3"/>
      <c r="E385" s="112"/>
      <c r="F385" s="3"/>
      <c r="G385" s="3"/>
      <c r="H385" s="12"/>
      <c r="K385" s="12"/>
      <c r="M385" s="12"/>
      <c r="R385" s="218"/>
      <c r="S385" s="218"/>
      <c r="T385" s="218"/>
      <c r="U385" s="218"/>
    </row>
    <row r="386">
      <c r="C386" s="12"/>
      <c r="D386" s="3"/>
      <c r="E386" s="112"/>
      <c r="F386" s="3"/>
      <c r="G386" s="3"/>
      <c r="H386" s="12"/>
      <c r="K386" s="12"/>
      <c r="M386" s="12"/>
      <c r="R386" s="218"/>
      <c r="S386" s="218"/>
      <c r="T386" s="218"/>
      <c r="U386" s="218"/>
    </row>
    <row r="387">
      <c r="C387" s="12"/>
      <c r="D387" s="3"/>
      <c r="E387" s="112"/>
      <c r="F387" s="3"/>
      <c r="G387" s="3"/>
      <c r="H387" s="12"/>
      <c r="K387" s="12"/>
      <c r="M387" s="12"/>
      <c r="R387" s="218"/>
      <c r="S387" s="218"/>
      <c r="T387" s="218"/>
      <c r="U387" s="218"/>
    </row>
    <row r="388">
      <c r="C388" s="12"/>
      <c r="D388" s="3"/>
      <c r="E388" s="112"/>
      <c r="F388" s="3"/>
      <c r="G388" s="3"/>
      <c r="H388" s="12"/>
      <c r="K388" s="12"/>
      <c r="M388" s="12"/>
      <c r="R388" s="218"/>
      <c r="S388" s="218"/>
      <c r="T388" s="218"/>
      <c r="U388" s="218"/>
    </row>
    <row r="389">
      <c r="C389" s="12"/>
      <c r="D389" s="3"/>
      <c r="E389" s="112"/>
      <c r="F389" s="3"/>
      <c r="G389" s="3"/>
      <c r="H389" s="12"/>
      <c r="K389" s="12"/>
      <c r="M389" s="12"/>
      <c r="R389" s="218"/>
      <c r="S389" s="218"/>
      <c r="T389" s="218"/>
      <c r="U389" s="218"/>
    </row>
    <row r="390">
      <c r="C390" s="12"/>
      <c r="D390" s="3"/>
      <c r="E390" s="112"/>
      <c r="F390" s="3"/>
      <c r="G390" s="3"/>
      <c r="H390" s="12"/>
      <c r="K390" s="12"/>
      <c r="M390" s="12"/>
      <c r="R390" s="218"/>
      <c r="S390" s="218"/>
      <c r="T390" s="218"/>
      <c r="U390" s="218"/>
    </row>
    <row r="391">
      <c r="C391" s="12"/>
      <c r="D391" s="3"/>
      <c r="E391" s="112"/>
      <c r="F391" s="3"/>
      <c r="G391" s="3"/>
      <c r="H391" s="12"/>
      <c r="K391" s="12"/>
      <c r="M391" s="12"/>
      <c r="R391" s="218"/>
      <c r="S391" s="218"/>
      <c r="T391" s="218"/>
      <c r="U391" s="218"/>
    </row>
    <row r="392">
      <c r="C392" s="12"/>
      <c r="D392" s="3"/>
      <c r="E392" s="112"/>
      <c r="F392" s="3"/>
      <c r="G392" s="3"/>
      <c r="H392" s="12"/>
      <c r="K392" s="12"/>
      <c r="M392" s="12"/>
      <c r="R392" s="218"/>
      <c r="S392" s="218"/>
      <c r="T392" s="218"/>
      <c r="U392" s="218"/>
    </row>
    <row r="393">
      <c r="C393" s="12"/>
      <c r="D393" s="3"/>
      <c r="E393" s="112"/>
      <c r="F393" s="3"/>
      <c r="G393" s="3"/>
      <c r="H393" s="12"/>
      <c r="K393" s="12"/>
      <c r="M393" s="12"/>
      <c r="R393" s="218"/>
      <c r="S393" s="218"/>
      <c r="T393" s="218"/>
      <c r="U393" s="218"/>
    </row>
    <row r="394">
      <c r="C394" s="12"/>
      <c r="D394" s="3"/>
      <c r="E394" s="112"/>
      <c r="F394" s="3"/>
      <c r="G394" s="3"/>
      <c r="H394" s="12"/>
      <c r="K394" s="12"/>
      <c r="M394" s="12"/>
      <c r="R394" s="218"/>
      <c r="S394" s="218"/>
      <c r="T394" s="218"/>
      <c r="U394" s="218"/>
    </row>
    <row r="395">
      <c r="C395" s="12"/>
      <c r="D395" s="3"/>
      <c r="E395" s="112"/>
      <c r="F395" s="3"/>
      <c r="G395" s="3"/>
      <c r="H395" s="12"/>
      <c r="K395" s="12"/>
      <c r="M395" s="12"/>
      <c r="R395" s="218"/>
      <c r="S395" s="218"/>
      <c r="T395" s="218"/>
      <c r="U395" s="218"/>
    </row>
    <row r="396">
      <c r="C396" s="12"/>
      <c r="D396" s="3"/>
      <c r="E396" s="112"/>
      <c r="F396" s="3"/>
      <c r="G396" s="3"/>
      <c r="H396" s="12"/>
      <c r="K396" s="12"/>
      <c r="M396" s="12"/>
      <c r="R396" s="218"/>
      <c r="S396" s="218"/>
      <c r="T396" s="218"/>
      <c r="U396" s="218"/>
    </row>
    <row r="397">
      <c r="C397" s="12"/>
      <c r="D397" s="3"/>
      <c r="E397" s="112"/>
      <c r="F397" s="3"/>
      <c r="G397" s="3"/>
      <c r="H397" s="12"/>
      <c r="K397" s="12"/>
      <c r="M397" s="12"/>
      <c r="R397" s="218"/>
      <c r="S397" s="218"/>
      <c r="T397" s="218"/>
      <c r="U397" s="218"/>
    </row>
    <row r="398">
      <c r="C398" s="12"/>
      <c r="D398" s="3"/>
      <c r="E398" s="112"/>
      <c r="F398" s="3"/>
      <c r="G398" s="3"/>
      <c r="H398" s="12"/>
      <c r="K398" s="12"/>
      <c r="M398" s="12"/>
      <c r="R398" s="218"/>
      <c r="S398" s="218"/>
      <c r="T398" s="218"/>
      <c r="U398" s="218"/>
    </row>
    <row r="399">
      <c r="C399" s="12"/>
      <c r="D399" s="3"/>
      <c r="E399" s="112"/>
      <c r="F399" s="3"/>
      <c r="G399" s="3"/>
      <c r="H399" s="12"/>
      <c r="K399" s="12"/>
      <c r="M399" s="12"/>
      <c r="R399" s="218"/>
      <c r="S399" s="218"/>
      <c r="T399" s="218"/>
      <c r="U399" s="218"/>
    </row>
    <row r="400">
      <c r="C400" s="12"/>
      <c r="D400" s="3"/>
      <c r="E400" s="112"/>
      <c r="F400" s="3"/>
      <c r="G400" s="3"/>
      <c r="H400" s="12"/>
      <c r="K400" s="12"/>
      <c r="M400" s="12"/>
      <c r="R400" s="218"/>
      <c r="S400" s="218"/>
      <c r="T400" s="218"/>
      <c r="U400" s="218"/>
    </row>
    <row r="401">
      <c r="C401" s="12"/>
      <c r="D401" s="3"/>
      <c r="E401" s="112"/>
      <c r="F401" s="3"/>
      <c r="G401" s="3"/>
      <c r="H401" s="12"/>
      <c r="K401" s="12"/>
      <c r="M401" s="12"/>
      <c r="R401" s="218"/>
      <c r="S401" s="218"/>
      <c r="T401" s="218"/>
      <c r="U401" s="218"/>
    </row>
    <row r="402">
      <c r="C402" s="12"/>
      <c r="D402" s="3"/>
      <c r="E402" s="112"/>
      <c r="F402" s="3"/>
      <c r="G402" s="3"/>
      <c r="H402" s="12"/>
      <c r="K402" s="12"/>
      <c r="M402" s="12"/>
      <c r="R402" s="218"/>
      <c r="S402" s="218"/>
      <c r="T402" s="218"/>
      <c r="U402" s="218"/>
    </row>
    <row r="403">
      <c r="C403" s="12"/>
      <c r="D403" s="3"/>
      <c r="E403" s="112"/>
      <c r="F403" s="3"/>
      <c r="G403" s="3"/>
      <c r="H403" s="12"/>
      <c r="K403" s="12"/>
      <c r="M403" s="12"/>
      <c r="R403" s="218"/>
      <c r="S403" s="218"/>
      <c r="T403" s="218"/>
      <c r="U403" s="218"/>
    </row>
    <row r="404">
      <c r="C404" s="12"/>
      <c r="D404" s="3"/>
      <c r="E404" s="112"/>
      <c r="F404" s="3"/>
      <c r="G404" s="3"/>
      <c r="H404" s="12"/>
      <c r="K404" s="12"/>
      <c r="M404" s="12"/>
      <c r="R404" s="218"/>
      <c r="S404" s="218"/>
      <c r="T404" s="218"/>
      <c r="U404" s="218"/>
    </row>
    <row r="405">
      <c r="C405" s="12"/>
      <c r="D405" s="3"/>
      <c r="E405" s="112"/>
      <c r="F405" s="3"/>
      <c r="G405" s="3"/>
      <c r="H405" s="12"/>
      <c r="K405" s="12"/>
      <c r="M405" s="12"/>
      <c r="R405" s="218"/>
      <c r="S405" s="218"/>
      <c r="T405" s="218"/>
      <c r="U405" s="218"/>
    </row>
    <row r="406">
      <c r="C406" s="12"/>
      <c r="D406" s="3"/>
      <c r="E406" s="112"/>
      <c r="F406" s="3"/>
      <c r="G406" s="3"/>
      <c r="H406" s="12"/>
      <c r="K406" s="12"/>
      <c r="M406" s="12"/>
      <c r="R406" s="218"/>
      <c r="S406" s="218"/>
      <c r="T406" s="218"/>
      <c r="U406" s="218"/>
    </row>
    <row r="407">
      <c r="C407" s="12"/>
      <c r="D407" s="3"/>
      <c r="E407" s="112"/>
      <c r="F407" s="3"/>
      <c r="G407" s="3"/>
      <c r="H407" s="12"/>
      <c r="K407" s="12"/>
      <c r="M407" s="12"/>
      <c r="R407" s="218"/>
      <c r="S407" s="218"/>
      <c r="T407" s="218"/>
      <c r="U407" s="218"/>
    </row>
    <row r="408">
      <c r="C408" s="12"/>
      <c r="D408" s="3"/>
      <c r="E408" s="112"/>
      <c r="F408" s="3"/>
      <c r="G408" s="3"/>
      <c r="H408" s="12"/>
      <c r="K408" s="12"/>
      <c r="M408" s="12"/>
      <c r="R408" s="218"/>
      <c r="S408" s="218"/>
      <c r="T408" s="218"/>
      <c r="U408" s="218"/>
    </row>
    <row r="409">
      <c r="C409" s="12"/>
      <c r="D409" s="3"/>
      <c r="E409" s="112"/>
      <c r="F409" s="3"/>
      <c r="G409" s="3"/>
      <c r="H409" s="12"/>
      <c r="K409" s="12"/>
      <c r="M409" s="12"/>
      <c r="R409" s="218"/>
      <c r="S409" s="218"/>
      <c r="T409" s="218"/>
      <c r="U409" s="218"/>
    </row>
    <row r="410">
      <c r="C410" s="12"/>
      <c r="D410" s="3"/>
      <c r="E410" s="112"/>
      <c r="F410" s="3"/>
      <c r="G410" s="3"/>
      <c r="H410" s="12"/>
      <c r="K410" s="12"/>
      <c r="M410" s="12"/>
      <c r="R410" s="218"/>
      <c r="S410" s="218"/>
      <c r="T410" s="218"/>
      <c r="U410" s="218"/>
    </row>
    <row r="411">
      <c r="C411" s="12"/>
      <c r="D411" s="3"/>
      <c r="E411" s="112"/>
      <c r="F411" s="3"/>
      <c r="G411" s="3"/>
      <c r="H411" s="12"/>
      <c r="K411" s="12"/>
      <c r="M411" s="12"/>
      <c r="R411" s="218"/>
      <c r="S411" s="218"/>
      <c r="T411" s="218"/>
      <c r="U411" s="218"/>
    </row>
    <row r="412">
      <c r="C412" s="12"/>
      <c r="D412" s="3"/>
      <c r="E412" s="112"/>
      <c r="F412" s="3"/>
      <c r="G412" s="3"/>
      <c r="H412" s="12"/>
      <c r="K412" s="12"/>
      <c r="M412" s="12"/>
      <c r="R412" s="218"/>
      <c r="S412" s="218"/>
      <c r="T412" s="218"/>
      <c r="U412" s="218"/>
    </row>
    <row r="413">
      <c r="C413" s="12"/>
      <c r="D413" s="3"/>
      <c r="E413" s="112"/>
      <c r="F413" s="3"/>
      <c r="G413" s="3"/>
      <c r="H413" s="12"/>
      <c r="K413" s="12"/>
      <c r="M413" s="12"/>
      <c r="R413" s="218"/>
      <c r="S413" s="218"/>
      <c r="T413" s="218"/>
      <c r="U413" s="218"/>
    </row>
    <row r="414">
      <c r="C414" s="12"/>
      <c r="D414" s="3"/>
      <c r="E414" s="112"/>
      <c r="F414" s="3"/>
      <c r="G414" s="3"/>
      <c r="H414" s="12"/>
      <c r="K414" s="12"/>
      <c r="M414" s="12"/>
      <c r="R414" s="218"/>
      <c r="S414" s="218"/>
      <c r="T414" s="218"/>
      <c r="U414" s="218"/>
    </row>
    <row r="415">
      <c r="C415" s="12"/>
      <c r="D415" s="3"/>
      <c r="E415" s="112"/>
      <c r="F415" s="3"/>
      <c r="G415" s="3"/>
      <c r="H415" s="12"/>
      <c r="K415" s="12"/>
      <c r="M415" s="12"/>
      <c r="R415" s="218"/>
      <c r="S415" s="218"/>
      <c r="T415" s="218"/>
      <c r="U415" s="218"/>
    </row>
    <row r="416">
      <c r="C416" s="12"/>
      <c r="D416" s="3"/>
      <c r="E416" s="112"/>
      <c r="F416" s="3"/>
      <c r="G416" s="3"/>
      <c r="H416" s="12"/>
      <c r="K416" s="12"/>
      <c r="M416" s="12"/>
      <c r="R416" s="218"/>
      <c r="S416" s="218"/>
      <c r="T416" s="218"/>
      <c r="U416" s="218"/>
    </row>
    <row r="417">
      <c r="C417" s="12"/>
      <c r="D417" s="3"/>
      <c r="E417" s="112"/>
      <c r="F417" s="3"/>
      <c r="G417" s="3"/>
      <c r="H417" s="12"/>
      <c r="K417" s="12"/>
      <c r="M417" s="12"/>
      <c r="R417" s="218"/>
      <c r="S417" s="218"/>
      <c r="T417" s="218"/>
      <c r="U417" s="218"/>
    </row>
    <row r="418">
      <c r="C418" s="12"/>
      <c r="D418" s="3"/>
      <c r="E418" s="112"/>
      <c r="F418" s="3"/>
      <c r="G418" s="3"/>
      <c r="H418" s="12"/>
      <c r="K418" s="12"/>
      <c r="M418" s="12"/>
      <c r="R418" s="218"/>
      <c r="S418" s="218"/>
      <c r="T418" s="218"/>
      <c r="U418" s="218"/>
    </row>
    <row r="419">
      <c r="C419" s="12"/>
      <c r="D419" s="3"/>
      <c r="E419" s="112"/>
      <c r="F419" s="3"/>
      <c r="G419" s="3"/>
      <c r="H419" s="12"/>
      <c r="K419" s="12"/>
      <c r="M419" s="12"/>
      <c r="R419" s="218"/>
      <c r="S419" s="218"/>
      <c r="T419" s="218"/>
      <c r="U419" s="218"/>
    </row>
    <row r="420">
      <c r="C420" s="12"/>
      <c r="D420" s="3"/>
      <c r="E420" s="112"/>
      <c r="F420" s="3"/>
      <c r="G420" s="3"/>
      <c r="H420" s="12"/>
      <c r="K420" s="12"/>
      <c r="M420" s="12"/>
      <c r="R420" s="218"/>
      <c r="S420" s="218"/>
      <c r="T420" s="218"/>
      <c r="U420" s="218"/>
    </row>
    <row r="421">
      <c r="C421" s="12"/>
      <c r="D421" s="3"/>
      <c r="E421" s="112"/>
      <c r="F421" s="3"/>
      <c r="G421" s="3"/>
      <c r="H421" s="12"/>
      <c r="K421" s="12"/>
      <c r="M421" s="12"/>
      <c r="R421" s="218"/>
      <c r="S421" s="218"/>
      <c r="T421" s="218"/>
      <c r="U421" s="218"/>
    </row>
    <row r="422">
      <c r="C422" s="12"/>
      <c r="D422" s="3"/>
      <c r="E422" s="112"/>
      <c r="F422" s="3"/>
      <c r="G422" s="3"/>
      <c r="H422" s="12"/>
      <c r="K422" s="12"/>
      <c r="M422" s="12"/>
      <c r="R422" s="218"/>
      <c r="S422" s="218"/>
      <c r="T422" s="218"/>
      <c r="U422" s="218"/>
    </row>
    <row r="423">
      <c r="C423" s="12"/>
      <c r="D423" s="3"/>
      <c r="E423" s="112"/>
      <c r="F423" s="3"/>
      <c r="G423" s="3"/>
      <c r="H423" s="12"/>
      <c r="K423" s="12"/>
      <c r="M423" s="12"/>
      <c r="R423" s="218"/>
      <c r="S423" s="218"/>
      <c r="T423" s="218"/>
      <c r="U423" s="218"/>
    </row>
    <row r="424">
      <c r="C424" s="12"/>
      <c r="D424" s="3"/>
      <c r="E424" s="112"/>
      <c r="F424" s="3"/>
      <c r="G424" s="3"/>
      <c r="H424" s="12"/>
      <c r="K424" s="12"/>
      <c r="M424" s="12"/>
      <c r="R424" s="218"/>
      <c r="S424" s="218"/>
      <c r="T424" s="218"/>
      <c r="U424" s="218"/>
    </row>
    <row r="425">
      <c r="C425" s="12"/>
      <c r="D425" s="3"/>
      <c r="E425" s="112"/>
      <c r="F425" s="3"/>
      <c r="G425" s="3"/>
      <c r="H425" s="12"/>
      <c r="K425" s="12"/>
      <c r="M425" s="12"/>
      <c r="R425" s="218"/>
      <c r="S425" s="218"/>
      <c r="T425" s="218"/>
      <c r="U425" s="218"/>
    </row>
    <row r="426">
      <c r="C426" s="12"/>
      <c r="D426" s="3"/>
      <c r="E426" s="112"/>
      <c r="F426" s="3"/>
      <c r="G426" s="3"/>
      <c r="H426" s="12"/>
      <c r="K426" s="12"/>
      <c r="M426" s="12"/>
      <c r="R426" s="218"/>
      <c r="S426" s="218"/>
      <c r="T426" s="218"/>
      <c r="U426" s="218"/>
    </row>
    <row r="427">
      <c r="C427" s="12"/>
      <c r="D427" s="3"/>
      <c r="E427" s="112"/>
      <c r="F427" s="3"/>
      <c r="G427" s="3"/>
      <c r="H427" s="12"/>
      <c r="K427" s="12"/>
      <c r="M427" s="12"/>
      <c r="R427" s="218"/>
      <c r="S427" s="218"/>
      <c r="T427" s="218"/>
      <c r="U427" s="218"/>
    </row>
    <row r="428">
      <c r="C428" s="12"/>
      <c r="D428" s="3"/>
      <c r="E428" s="112"/>
      <c r="F428" s="3"/>
      <c r="G428" s="3"/>
      <c r="H428" s="12"/>
      <c r="K428" s="12"/>
      <c r="M428" s="12"/>
      <c r="R428" s="218"/>
      <c r="S428" s="218"/>
      <c r="T428" s="218"/>
      <c r="U428" s="218"/>
    </row>
    <row r="429">
      <c r="C429" s="12"/>
      <c r="D429" s="3"/>
      <c r="E429" s="112"/>
      <c r="F429" s="3"/>
      <c r="G429" s="3"/>
      <c r="H429" s="12"/>
      <c r="K429" s="12"/>
      <c r="M429" s="12"/>
      <c r="R429" s="218"/>
      <c r="S429" s="218"/>
      <c r="T429" s="218"/>
      <c r="U429" s="218"/>
    </row>
    <row r="430">
      <c r="C430" s="12"/>
      <c r="D430" s="3"/>
      <c r="E430" s="112"/>
      <c r="F430" s="3"/>
      <c r="G430" s="3"/>
      <c r="H430" s="12"/>
      <c r="K430" s="12"/>
      <c r="M430" s="12"/>
      <c r="R430" s="218"/>
      <c r="S430" s="218"/>
      <c r="T430" s="218"/>
      <c r="U430" s="218"/>
    </row>
    <row r="431">
      <c r="C431" s="12"/>
      <c r="D431" s="3"/>
      <c r="E431" s="112"/>
      <c r="F431" s="3"/>
      <c r="G431" s="3"/>
      <c r="H431" s="12"/>
      <c r="K431" s="12"/>
      <c r="M431" s="12"/>
      <c r="R431" s="218"/>
      <c r="S431" s="218"/>
      <c r="T431" s="218"/>
      <c r="U431" s="218"/>
    </row>
    <row r="432">
      <c r="C432" s="12"/>
      <c r="D432" s="3"/>
      <c r="E432" s="112"/>
      <c r="F432" s="3"/>
      <c r="G432" s="3"/>
      <c r="H432" s="12"/>
      <c r="K432" s="12"/>
      <c r="M432" s="12"/>
      <c r="R432" s="218"/>
      <c r="S432" s="218"/>
      <c r="T432" s="218"/>
      <c r="U432" s="218"/>
    </row>
    <row r="433">
      <c r="C433" s="12"/>
      <c r="D433" s="3"/>
      <c r="E433" s="112"/>
      <c r="F433" s="3"/>
      <c r="G433" s="3"/>
      <c r="H433" s="12"/>
      <c r="K433" s="12"/>
      <c r="M433" s="12"/>
      <c r="R433" s="218"/>
      <c r="S433" s="218"/>
      <c r="T433" s="218"/>
      <c r="U433" s="218"/>
    </row>
    <row r="434">
      <c r="C434" s="12"/>
      <c r="D434" s="3"/>
      <c r="E434" s="112"/>
      <c r="F434" s="3"/>
      <c r="G434" s="3"/>
      <c r="H434" s="12"/>
      <c r="K434" s="12"/>
      <c r="M434" s="12"/>
      <c r="R434" s="218"/>
      <c r="S434" s="218"/>
      <c r="T434" s="218"/>
      <c r="U434" s="218"/>
    </row>
    <row r="435">
      <c r="C435" s="12"/>
      <c r="D435" s="3"/>
      <c r="E435" s="112"/>
      <c r="F435" s="3"/>
      <c r="G435" s="3"/>
      <c r="H435" s="12"/>
      <c r="K435" s="12"/>
      <c r="M435" s="12"/>
      <c r="R435" s="218"/>
      <c r="S435" s="218"/>
      <c r="T435" s="218"/>
      <c r="U435" s="218"/>
    </row>
    <row r="436">
      <c r="C436" s="12"/>
      <c r="D436" s="3"/>
      <c r="E436" s="112"/>
      <c r="F436" s="3"/>
      <c r="G436" s="3"/>
      <c r="H436" s="12"/>
      <c r="K436" s="12"/>
      <c r="M436" s="12"/>
      <c r="R436" s="218"/>
      <c r="S436" s="218"/>
      <c r="T436" s="218"/>
      <c r="U436" s="218"/>
    </row>
    <row r="437">
      <c r="C437" s="12"/>
      <c r="D437" s="3"/>
      <c r="E437" s="112"/>
      <c r="F437" s="3"/>
      <c r="G437" s="3"/>
      <c r="H437" s="12"/>
      <c r="K437" s="12"/>
      <c r="M437" s="12"/>
      <c r="R437" s="218"/>
      <c r="S437" s="218"/>
      <c r="T437" s="218"/>
      <c r="U437" s="218"/>
    </row>
    <row r="438">
      <c r="C438" s="12"/>
      <c r="D438" s="3"/>
      <c r="E438" s="112"/>
      <c r="F438" s="3"/>
      <c r="G438" s="3"/>
      <c r="H438" s="12"/>
      <c r="K438" s="12"/>
      <c r="M438" s="12"/>
      <c r="R438" s="218"/>
      <c r="S438" s="218"/>
      <c r="T438" s="218"/>
      <c r="U438" s="218"/>
    </row>
    <row r="439">
      <c r="C439" s="12"/>
      <c r="D439" s="3"/>
      <c r="E439" s="112"/>
      <c r="F439" s="3"/>
      <c r="G439" s="3"/>
      <c r="H439" s="12"/>
      <c r="K439" s="12"/>
      <c r="M439" s="12"/>
      <c r="R439" s="218"/>
      <c r="S439" s="218"/>
      <c r="T439" s="218"/>
      <c r="U439" s="218"/>
    </row>
    <row r="440">
      <c r="C440" s="12"/>
      <c r="D440" s="3"/>
      <c r="E440" s="112"/>
      <c r="F440" s="3"/>
      <c r="G440" s="3"/>
      <c r="H440" s="12"/>
      <c r="K440" s="12"/>
      <c r="M440" s="12"/>
      <c r="R440" s="218"/>
      <c r="S440" s="218"/>
      <c r="T440" s="218"/>
      <c r="U440" s="218"/>
    </row>
    <row r="441">
      <c r="C441" s="12"/>
      <c r="D441" s="3"/>
      <c r="E441" s="112"/>
      <c r="F441" s="3"/>
      <c r="G441" s="3"/>
      <c r="H441" s="12"/>
      <c r="K441" s="12"/>
      <c r="M441" s="12"/>
      <c r="R441" s="218"/>
      <c r="S441" s="218"/>
      <c r="T441" s="218"/>
      <c r="U441" s="218"/>
    </row>
    <row r="442">
      <c r="C442" s="12"/>
      <c r="D442" s="3"/>
      <c r="E442" s="112"/>
      <c r="F442" s="3"/>
      <c r="G442" s="3"/>
      <c r="H442" s="12"/>
      <c r="K442" s="12"/>
      <c r="M442" s="12"/>
      <c r="R442" s="218"/>
      <c r="S442" s="218"/>
      <c r="T442" s="218"/>
      <c r="U442" s="218"/>
    </row>
    <row r="443">
      <c r="C443" s="12"/>
      <c r="D443" s="3"/>
      <c r="E443" s="112"/>
      <c r="F443" s="3"/>
      <c r="G443" s="3"/>
      <c r="H443" s="12"/>
      <c r="K443" s="12"/>
      <c r="M443" s="12"/>
      <c r="R443" s="218"/>
      <c r="S443" s="218"/>
      <c r="T443" s="218"/>
      <c r="U443" s="218"/>
    </row>
    <row r="444">
      <c r="C444" s="12"/>
      <c r="D444" s="3"/>
      <c r="E444" s="112"/>
      <c r="F444" s="3"/>
      <c r="G444" s="3"/>
      <c r="H444" s="12"/>
      <c r="K444" s="12"/>
      <c r="M444" s="12"/>
      <c r="R444" s="218"/>
      <c r="S444" s="218"/>
      <c r="T444" s="218"/>
      <c r="U444" s="218"/>
    </row>
    <row r="445">
      <c r="C445" s="12"/>
      <c r="D445" s="3"/>
      <c r="E445" s="112"/>
      <c r="F445" s="3"/>
      <c r="G445" s="3"/>
      <c r="H445" s="12"/>
      <c r="K445" s="12"/>
      <c r="M445" s="12"/>
      <c r="R445" s="218"/>
      <c r="S445" s="218"/>
      <c r="T445" s="218"/>
      <c r="U445" s="218"/>
    </row>
    <row r="446">
      <c r="C446" s="12"/>
      <c r="D446" s="3"/>
      <c r="E446" s="112"/>
      <c r="F446" s="3"/>
      <c r="G446" s="3"/>
      <c r="H446" s="12"/>
      <c r="K446" s="12"/>
      <c r="M446" s="12"/>
      <c r="R446" s="218"/>
      <c r="S446" s="218"/>
      <c r="T446" s="218"/>
      <c r="U446" s="218"/>
    </row>
    <row r="447">
      <c r="C447" s="12"/>
      <c r="D447" s="3"/>
      <c r="E447" s="112"/>
      <c r="F447" s="3"/>
      <c r="G447" s="3"/>
      <c r="H447" s="12"/>
      <c r="K447" s="12"/>
      <c r="M447" s="12"/>
      <c r="R447" s="218"/>
      <c r="S447" s="218"/>
      <c r="T447" s="218"/>
      <c r="U447" s="218"/>
    </row>
    <row r="448">
      <c r="C448" s="12"/>
      <c r="D448" s="3"/>
      <c r="E448" s="112"/>
      <c r="F448" s="3"/>
      <c r="G448" s="3"/>
      <c r="H448" s="12"/>
      <c r="K448" s="12"/>
      <c r="M448" s="12"/>
      <c r="R448" s="218"/>
      <c r="S448" s="218"/>
      <c r="T448" s="218"/>
      <c r="U448" s="218"/>
    </row>
    <row r="449">
      <c r="C449" s="12"/>
      <c r="D449" s="3"/>
      <c r="E449" s="112"/>
      <c r="F449" s="3"/>
      <c r="G449" s="3"/>
      <c r="H449" s="12"/>
      <c r="K449" s="12"/>
      <c r="M449" s="12"/>
      <c r="R449" s="218"/>
      <c r="S449" s="218"/>
      <c r="T449" s="218"/>
      <c r="U449" s="218"/>
    </row>
    <row r="450">
      <c r="C450" s="12"/>
      <c r="D450" s="3"/>
      <c r="E450" s="112"/>
      <c r="F450" s="3"/>
      <c r="G450" s="3"/>
      <c r="H450" s="12"/>
      <c r="K450" s="12"/>
      <c r="M450" s="12"/>
      <c r="R450" s="218"/>
      <c r="S450" s="218"/>
      <c r="T450" s="218"/>
      <c r="U450" s="218"/>
    </row>
    <row r="451">
      <c r="C451" s="12"/>
      <c r="D451" s="3"/>
      <c r="E451" s="112"/>
      <c r="F451" s="3"/>
      <c r="G451" s="3"/>
      <c r="H451" s="12"/>
      <c r="K451" s="12"/>
      <c r="M451" s="12"/>
      <c r="R451" s="218"/>
      <c r="S451" s="218"/>
      <c r="T451" s="218"/>
      <c r="U451" s="218"/>
    </row>
    <row r="452">
      <c r="C452" s="12"/>
      <c r="D452" s="3"/>
      <c r="E452" s="112"/>
      <c r="F452" s="3"/>
      <c r="G452" s="3"/>
      <c r="H452" s="12"/>
      <c r="K452" s="12"/>
      <c r="M452" s="12"/>
      <c r="R452" s="218"/>
      <c r="S452" s="218"/>
      <c r="T452" s="218"/>
      <c r="U452" s="218"/>
    </row>
    <row r="453">
      <c r="C453" s="12"/>
      <c r="D453" s="3"/>
      <c r="E453" s="112"/>
      <c r="F453" s="3"/>
      <c r="G453" s="3"/>
      <c r="H453" s="12"/>
      <c r="K453" s="12"/>
      <c r="M453" s="12"/>
      <c r="R453" s="218"/>
      <c r="S453" s="218"/>
      <c r="T453" s="218"/>
      <c r="U453" s="218"/>
    </row>
    <row r="454">
      <c r="C454" s="12"/>
      <c r="D454" s="3"/>
      <c r="E454" s="112"/>
      <c r="F454" s="3"/>
      <c r="G454" s="3"/>
      <c r="H454" s="12"/>
      <c r="K454" s="12"/>
      <c r="M454" s="12"/>
      <c r="R454" s="218"/>
      <c r="S454" s="218"/>
      <c r="T454" s="218"/>
      <c r="U454" s="218"/>
    </row>
    <row r="455">
      <c r="C455" s="12"/>
      <c r="D455" s="3"/>
      <c r="E455" s="112"/>
      <c r="F455" s="3"/>
      <c r="G455" s="3"/>
      <c r="H455" s="12"/>
      <c r="K455" s="12"/>
      <c r="M455" s="12"/>
      <c r="R455" s="218"/>
      <c r="S455" s="218"/>
      <c r="T455" s="218"/>
      <c r="U455" s="218"/>
    </row>
    <row r="456">
      <c r="C456" s="12"/>
      <c r="D456" s="3"/>
      <c r="E456" s="112"/>
      <c r="F456" s="3"/>
      <c r="G456" s="3"/>
      <c r="H456" s="12"/>
      <c r="K456" s="12"/>
      <c r="M456" s="12"/>
      <c r="R456" s="218"/>
      <c r="S456" s="218"/>
      <c r="T456" s="218"/>
      <c r="U456" s="218"/>
    </row>
    <row r="457">
      <c r="C457" s="12"/>
      <c r="D457" s="3"/>
      <c r="E457" s="112"/>
      <c r="F457" s="3"/>
      <c r="G457" s="3"/>
      <c r="H457" s="12"/>
      <c r="K457" s="12"/>
      <c r="M457" s="12"/>
      <c r="R457" s="218"/>
      <c r="S457" s="218"/>
      <c r="T457" s="218"/>
      <c r="U457" s="218"/>
    </row>
    <row r="458">
      <c r="C458" s="12"/>
      <c r="D458" s="3"/>
      <c r="E458" s="112"/>
      <c r="F458" s="3"/>
      <c r="G458" s="3"/>
      <c r="H458" s="12"/>
      <c r="K458" s="12"/>
      <c r="M458" s="12"/>
      <c r="R458" s="218"/>
      <c r="S458" s="218"/>
      <c r="T458" s="218"/>
      <c r="U458" s="218"/>
    </row>
    <row r="459">
      <c r="C459" s="12"/>
      <c r="D459" s="3"/>
      <c r="E459" s="112"/>
      <c r="F459" s="3"/>
      <c r="G459" s="3"/>
      <c r="H459" s="12"/>
      <c r="K459" s="12"/>
      <c r="M459" s="12"/>
      <c r="R459" s="218"/>
      <c r="S459" s="218"/>
      <c r="T459" s="218"/>
      <c r="U459" s="218"/>
    </row>
    <row r="460">
      <c r="C460" s="12"/>
      <c r="D460" s="3"/>
      <c r="E460" s="112"/>
      <c r="F460" s="3"/>
      <c r="G460" s="3"/>
      <c r="H460" s="12"/>
      <c r="K460" s="12"/>
      <c r="M460" s="12"/>
      <c r="R460" s="218"/>
      <c r="S460" s="218"/>
      <c r="T460" s="218"/>
      <c r="U460" s="218"/>
    </row>
    <row r="461">
      <c r="C461" s="12"/>
      <c r="D461" s="3"/>
      <c r="E461" s="112"/>
      <c r="F461" s="3"/>
      <c r="G461" s="3"/>
      <c r="H461" s="12"/>
      <c r="K461" s="12"/>
      <c r="M461" s="12"/>
      <c r="R461" s="218"/>
      <c r="S461" s="218"/>
      <c r="T461" s="218"/>
      <c r="U461" s="218"/>
    </row>
    <row r="462">
      <c r="C462" s="12"/>
      <c r="D462" s="3"/>
      <c r="E462" s="112"/>
      <c r="F462" s="3"/>
      <c r="G462" s="3"/>
      <c r="H462" s="12"/>
      <c r="K462" s="12"/>
      <c r="M462" s="12"/>
      <c r="R462" s="218"/>
      <c r="S462" s="218"/>
      <c r="T462" s="218"/>
      <c r="U462" s="218"/>
    </row>
    <row r="463">
      <c r="C463" s="12"/>
      <c r="D463" s="3"/>
      <c r="E463" s="112"/>
      <c r="F463" s="3"/>
      <c r="G463" s="3"/>
      <c r="H463" s="12"/>
      <c r="K463" s="12"/>
      <c r="M463" s="12"/>
      <c r="R463" s="218"/>
      <c r="S463" s="218"/>
      <c r="T463" s="218"/>
      <c r="U463" s="218"/>
    </row>
    <row r="464">
      <c r="C464" s="12"/>
      <c r="D464" s="3"/>
      <c r="E464" s="112"/>
      <c r="F464" s="3"/>
      <c r="G464" s="3"/>
      <c r="H464" s="12"/>
      <c r="K464" s="12"/>
      <c r="M464" s="12"/>
      <c r="R464" s="218"/>
      <c r="S464" s="218"/>
      <c r="T464" s="218"/>
      <c r="U464" s="218"/>
    </row>
    <row r="465">
      <c r="C465" s="12"/>
      <c r="D465" s="3"/>
      <c r="E465" s="112"/>
      <c r="F465" s="3"/>
      <c r="G465" s="3"/>
      <c r="H465" s="12"/>
      <c r="K465" s="12"/>
      <c r="M465" s="12"/>
      <c r="R465" s="218"/>
      <c r="S465" s="218"/>
      <c r="T465" s="218"/>
      <c r="U465" s="218"/>
    </row>
    <row r="466">
      <c r="C466" s="12"/>
      <c r="D466" s="3"/>
      <c r="E466" s="112"/>
      <c r="F466" s="3"/>
      <c r="G466" s="3"/>
      <c r="H466" s="12"/>
      <c r="K466" s="12"/>
      <c r="M466" s="12"/>
      <c r="R466" s="218"/>
      <c r="S466" s="218"/>
      <c r="T466" s="218"/>
      <c r="U466" s="218"/>
    </row>
    <row r="467">
      <c r="C467" s="12"/>
      <c r="D467" s="3"/>
      <c r="E467" s="112"/>
      <c r="F467" s="3"/>
      <c r="G467" s="3"/>
      <c r="H467" s="12"/>
      <c r="K467" s="12"/>
      <c r="M467" s="12"/>
      <c r="R467" s="218"/>
      <c r="S467" s="218"/>
      <c r="T467" s="218"/>
      <c r="U467" s="218"/>
    </row>
    <row r="468">
      <c r="C468" s="12"/>
      <c r="D468" s="3"/>
      <c r="E468" s="112"/>
      <c r="F468" s="3"/>
      <c r="G468" s="3"/>
      <c r="H468" s="12"/>
      <c r="K468" s="12"/>
      <c r="M468" s="12"/>
      <c r="R468" s="218"/>
      <c r="S468" s="218"/>
      <c r="T468" s="218"/>
      <c r="U468" s="218"/>
    </row>
    <row r="469">
      <c r="C469" s="12"/>
      <c r="D469" s="3"/>
      <c r="E469" s="112"/>
      <c r="F469" s="3"/>
      <c r="G469" s="3"/>
      <c r="H469" s="12"/>
      <c r="K469" s="12"/>
      <c r="M469" s="12"/>
      <c r="R469" s="218"/>
      <c r="S469" s="218"/>
      <c r="T469" s="218"/>
      <c r="U469" s="218"/>
    </row>
    <row r="470">
      <c r="C470" s="12"/>
      <c r="D470" s="3"/>
      <c r="E470" s="112"/>
      <c r="F470" s="3"/>
      <c r="G470" s="3"/>
      <c r="H470" s="12"/>
      <c r="K470" s="12"/>
      <c r="M470" s="12"/>
      <c r="R470" s="218"/>
      <c r="S470" s="218"/>
      <c r="T470" s="218"/>
      <c r="U470" s="218"/>
    </row>
    <row r="471">
      <c r="C471" s="12"/>
      <c r="D471" s="3"/>
      <c r="E471" s="112"/>
      <c r="F471" s="3"/>
      <c r="G471" s="3"/>
      <c r="H471" s="12"/>
      <c r="K471" s="12"/>
      <c r="M471" s="12"/>
      <c r="R471" s="218"/>
      <c r="S471" s="218"/>
      <c r="T471" s="218"/>
      <c r="U471" s="218"/>
    </row>
    <row r="472">
      <c r="C472" s="12"/>
      <c r="D472" s="3"/>
      <c r="E472" s="112"/>
      <c r="F472" s="3"/>
      <c r="G472" s="3"/>
      <c r="H472" s="12"/>
      <c r="K472" s="12"/>
      <c r="M472" s="12"/>
      <c r="R472" s="218"/>
      <c r="S472" s="218"/>
      <c r="T472" s="218"/>
      <c r="U472" s="218"/>
    </row>
    <row r="473">
      <c r="C473" s="12"/>
      <c r="D473" s="3"/>
      <c r="E473" s="112"/>
      <c r="F473" s="3"/>
      <c r="G473" s="3"/>
      <c r="H473" s="12"/>
      <c r="K473" s="12"/>
      <c r="M473" s="12"/>
      <c r="R473" s="218"/>
      <c r="S473" s="218"/>
      <c r="T473" s="218"/>
      <c r="U473" s="218"/>
    </row>
    <row r="474">
      <c r="C474" s="12"/>
      <c r="D474" s="3"/>
      <c r="E474" s="112"/>
      <c r="F474" s="3"/>
      <c r="G474" s="3"/>
      <c r="H474" s="12"/>
      <c r="K474" s="12"/>
      <c r="M474" s="12"/>
      <c r="R474" s="218"/>
      <c r="S474" s="218"/>
      <c r="T474" s="218"/>
      <c r="U474" s="218"/>
    </row>
    <row r="475">
      <c r="C475" s="12"/>
      <c r="D475" s="3"/>
      <c r="E475" s="112"/>
      <c r="F475" s="3"/>
      <c r="G475" s="3"/>
      <c r="H475" s="12"/>
      <c r="K475" s="12"/>
      <c r="M475" s="12"/>
      <c r="R475" s="218"/>
      <c r="S475" s="218"/>
      <c r="T475" s="218"/>
      <c r="U475" s="218"/>
    </row>
    <row r="476">
      <c r="C476" s="12"/>
      <c r="D476" s="3"/>
      <c r="E476" s="112"/>
      <c r="F476" s="3"/>
      <c r="G476" s="3"/>
      <c r="H476" s="12"/>
      <c r="K476" s="12"/>
      <c r="M476" s="12"/>
      <c r="R476" s="218"/>
      <c r="S476" s="218"/>
      <c r="T476" s="218"/>
      <c r="U476" s="218"/>
    </row>
    <row r="477">
      <c r="C477" s="12"/>
      <c r="D477" s="3"/>
      <c r="E477" s="112"/>
      <c r="F477" s="3"/>
      <c r="G477" s="3"/>
      <c r="H477" s="12"/>
      <c r="K477" s="12"/>
      <c r="M477" s="12"/>
      <c r="R477" s="218"/>
      <c r="S477" s="218"/>
      <c r="T477" s="218"/>
      <c r="U477" s="218"/>
    </row>
    <row r="478">
      <c r="C478" s="12"/>
      <c r="D478" s="3"/>
      <c r="E478" s="112"/>
      <c r="F478" s="3"/>
      <c r="G478" s="3"/>
      <c r="H478" s="12"/>
      <c r="K478" s="12"/>
      <c r="M478" s="12"/>
      <c r="R478" s="218"/>
      <c r="S478" s="218"/>
      <c r="T478" s="218"/>
      <c r="U478" s="218"/>
    </row>
    <row r="479">
      <c r="C479" s="12"/>
      <c r="D479" s="3"/>
      <c r="E479" s="112"/>
      <c r="F479" s="3"/>
      <c r="G479" s="3"/>
      <c r="H479" s="12"/>
      <c r="K479" s="12"/>
      <c r="M479" s="12"/>
      <c r="R479" s="218"/>
      <c r="S479" s="218"/>
      <c r="T479" s="218"/>
      <c r="U479" s="218"/>
    </row>
    <row r="480">
      <c r="C480" s="12"/>
      <c r="D480" s="3"/>
      <c r="E480" s="112"/>
      <c r="F480" s="3"/>
      <c r="G480" s="3"/>
      <c r="H480" s="12"/>
      <c r="K480" s="12"/>
      <c r="M480" s="12"/>
      <c r="R480" s="218"/>
      <c r="S480" s="218"/>
      <c r="T480" s="218"/>
      <c r="U480" s="218"/>
    </row>
    <row r="481">
      <c r="C481" s="12"/>
      <c r="D481" s="3"/>
      <c r="E481" s="112"/>
      <c r="F481" s="3"/>
      <c r="G481" s="3"/>
      <c r="H481" s="12"/>
      <c r="K481" s="12"/>
      <c r="M481" s="12"/>
      <c r="R481" s="218"/>
      <c r="S481" s="218"/>
      <c r="T481" s="218"/>
      <c r="U481" s="218"/>
    </row>
    <row r="482">
      <c r="C482" s="12"/>
      <c r="D482" s="3"/>
      <c r="E482" s="112"/>
      <c r="F482" s="3"/>
      <c r="G482" s="3"/>
      <c r="H482" s="12"/>
      <c r="K482" s="12"/>
      <c r="M482" s="12"/>
      <c r="R482" s="218"/>
      <c r="S482" s="218"/>
      <c r="T482" s="218"/>
      <c r="U482" s="218"/>
    </row>
    <row r="483">
      <c r="C483" s="12"/>
      <c r="D483" s="3"/>
      <c r="E483" s="112"/>
      <c r="F483" s="3"/>
      <c r="G483" s="3"/>
      <c r="H483" s="12"/>
      <c r="K483" s="12"/>
      <c r="M483" s="12"/>
      <c r="R483" s="218"/>
      <c r="S483" s="218"/>
      <c r="T483" s="218"/>
      <c r="U483" s="218"/>
    </row>
    <row r="484">
      <c r="C484" s="12"/>
      <c r="D484" s="3"/>
      <c r="E484" s="112"/>
      <c r="F484" s="3"/>
      <c r="G484" s="3"/>
      <c r="H484" s="12"/>
      <c r="K484" s="12"/>
      <c r="M484" s="12"/>
      <c r="R484" s="218"/>
      <c r="S484" s="218"/>
      <c r="T484" s="218"/>
      <c r="U484" s="218"/>
    </row>
    <row r="485">
      <c r="C485" s="12"/>
      <c r="D485" s="3"/>
      <c r="E485" s="112"/>
      <c r="F485" s="3"/>
      <c r="G485" s="3"/>
      <c r="H485" s="12"/>
      <c r="K485" s="12"/>
      <c r="M485" s="12"/>
      <c r="R485" s="218"/>
      <c r="S485" s="218"/>
      <c r="T485" s="218"/>
      <c r="U485" s="218"/>
    </row>
    <row r="486">
      <c r="C486" s="12"/>
      <c r="D486" s="3"/>
      <c r="E486" s="112"/>
      <c r="F486" s="3"/>
      <c r="G486" s="3"/>
      <c r="H486" s="12"/>
      <c r="K486" s="12"/>
      <c r="M486" s="12"/>
      <c r="R486" s="218"/>
      <c r="S486" s="218"/>
      <c r="T486" s="218"/>
      <c r="U486" s="218"/>
    </row>
    <row r="487">
      <c r="C487" s="12"/>
      <c r="D487" s="3"/>
      <c r="E487" s="112"/>
      <c r="F487" s="3"/>
      <c r="G487" s="3"/>
      <c r="H487" s="12"/>
      <c r="K487" s="12"/>
      <c r="M487" s="12"/>
      <c r="R487" s="218"/>
      <c r="S487" s="218"/>
      <c r="T487" s="218"/>
      <c r="U487" s="218"/>
    </row>
    <row r="488">
      <c r="C488" s="12"/>
      <c r="D488" s="3"/>
      <c r="E488" s="112"/>
      <c r="F488" s="3"/>
      <c r="G488" s="3"/>
      <c r="H488" s="12"/>
      <c r="K488" s="12"/>
      <c r="M488" s="12"/>
      <c r="R488" s="218"/>
      <c r="S488" s="218"/>
      <c r="T488" s="218"/>
      <c r="U488" s="218"/>
    </row>
    <row r="489">
      <c r="C489" s="12"/>
      <c r="D489" s="3"/>
      <c r="E489" s="112"/>
      <c r="F489" s="3"/>
      <c r="G489" s="3"/>
      <c r="H489" s="12"/>
      <c r="K489" s="12"/>
      <c r="M489" s="12"/>
      <c r="R489" s="218"/>
      <c r="S489" s="218"/>
      <c r="T489" s="218"/>
      <c r="U489" s="218"/>
    </row>
    <row r="490">
      <c r="C490" s="12"/>
      <c r="D490" s="3"/>
      <c r="E490" s="112"/>
      <c r="F490" s="3"/>
      <c r="G490" s="3"/>
      <c r="H490" s="12"/>
      <c r="K490" s="12"/>
      <c r="M490" s="12"/>
      <c r="R490" s="218"/>
      <c r="S490" s="218"/>
      <c r="T490" s="218"/>
      <c r="U490" s="218"/>
    </row>
    <row r="491">
      <c r="C491" s="12"/>
      <c r="D491" s="3"/>
      <c r="E491" s="112"/>
      <c r="F491" s="3"/>
      <c r="G491" s="3"/>
      <c r="H491" s="12"/>
      <c r="K491" s="12"/>
      <c r="M491" s="12"/>
      <c r="R491" s="218"/>
      <c r="S491" s="218"/>
      <c r="T491" s="218"/>
      <c r="U491" s="218"/>
    </row>
    <row r="492">
      <c r="C492" s="12"/>
      <c r="D492" s="3"/>
      <c r="E492" s="112"/>
      <c r="F492" s="3"/>
      <c r="G492" s="3"/>
      <c r="H492" s="12"/>
      <c r="K492" s="12"/>
      <c r="M492" s="12"/>
      <c r="R492" s="218"/>
      <c r="S492" s="218"/>
      <c r="T492" s="218"/>
      <c r="U492" s="218"/>
    </row>
    <row r="493">
      <c r="C493" s="12"/>
      <c r="D493" s="3"/>
      <c r="E493" s="112"/>
      <c r="F493" s="3"/>
      <c r="G493" s="3"/>
      <c r="H493" s="12"/>
      <c r="K493" s="12"/>
      <c r="M493" s="12"/>
      <c r="R493" s="218"/>
      <c r="S493" s="218"/>
      <c r="T493" s="218"/>
      <c r="U493" s="218"/>
    </row>
    <row r="494">
      <c r="C494" s="12"/>
      <c r="D494" s="3"/>
      <c r="E494" s="112"/>
      <c r="F494" s="3"/>
      <c r="G494" s="3"/>
      <c r="H494" s="12"/>
      <c r="K494" s="12"/>
      <c r="M494" s="12"/>
      <c r="R494" s="218"/>
      <c r="S494" s="218"/>
      <c r="T494" s="218"/>
      <c r="U494" s="218"/>
    </row>
    <row r="495">
      <c r="C495" s="12"/>
      <c r="D495" s="3"/>
      <c r="E495" s="112"/>
      <c r="F495" s="3"/>
      <c r="G495" s="3"/>
      <c r="H495" s="12"/>
      <c r="K495" s="12"/>
      <c r="M495" s="12"/>
      <c r="R495" s="218"/>
      <c r="S495" s="218"/>
      <c r="T495" s="218"/>
      <c r="U495" s="218"/>
    </row>
    <row r="496">
      <c r="C496" s="12"/>
      <c r="D496" s="3"/>
      <c r="E496" s="112"/>
      <c r="F496" s="3"/>
      <c r="G496" s="3"/>
      <c r="H496" s="12"/>
      <c r="K496" s="12"/>
      <c r="M496" s="12"/>
      <c r="R496" s="218"/>
      <c r="S496" s="218"/>
      <c r="T496" s="218"/>
      <c r="U496" s="218"/>
    </row>
    <row r="497">
      <c r="C497" s="12"/>
      <c r="D497" s="3"/>
      <c r="E497" s="112"/>
      <c r="F497" s="3"/>
      <c r="G497" s="3"/>
      <c r="H497" s="12"/>
      <c r="K497" s="12"/>
      <c r="M497" s="12"/>
      <c r="R497" s="218"/>
      <c r="S497" s="218"/>
      <c r="T497" s="218"/>
      <c r="U497" s="218"/>
    </row>
    <row r="498">
      <c r="C498" s="12"/>
      <c r="D498" s="3"/>
      <c r="E498" s="112"/>
      <c r="F498" s="3"/>
      <c r="G498" s="3"/>
      <c r="H498" s="12"/>
      <c r="K498" s="12"/>
      <c r="M498" s="12"/>
      <c r="R498" s="218"/>
      <c r="S498" s="218"/>
      <c r="T498" s="218"/>
      <c r="U498" s="218"/>
    </row>
    <row r="499">
      <c r="C499" s="12"/>
      <c r="D499" s="3"/>
      <c r="E499" s="112"/>
      <c r="F499" s="3"/>
      <c r="G499" s="3"/>
      <c r="H499" s="12"/>
      <c r="K499" s="12"/>
      <c r="M499" s="12"/>
      <c r="R499" s="218"/>
      <c r="S499" s="218"/>
      <c r="T499" s="218"/>
      <c r="U499" s="218"/>
    </row>
    <row r="500">
      <c r="C500" s="12"/>
      <c r="D500" s="3"/>
      <c r="E500" s="112"/>
      <c r="F500" s="3"/>
      <c r="G500" s="3"/>
      <c r="H500" s="12"/>
      <c r="K500" s="12"/>
      <c r="M500" s="12"/>
      <c r="R500" s="218"/>
      <c r="S500" s="218"/>
      <c r="T500" s="218"/>
      <c r="U500" s="218"/>
    </row>
    <row r="501">
      <c r="C501" s="12"/>
      <c r="D501" s="3"/>
      <c r="E501" s="112"/>
      <c r="F501" s="3"/>
      <c r="G501" s="3"/>
      <c r="H501" s="12"/>
      <c r="K501" s="12"/>
      <c r="M501" s="12"/>
      <c r="R501" s="218"/>
      <c r="S501" s="218"/>
      <c r="T501" s="218"/>
      <c r="U501" s="218"/>
    </row>
    <row r="502">
      <c r="C502" s="12"/>
      <c r="D502" s="3"/>
      <c r="E502" s="112"/>
      <c r="F502" s="3"/>
      <c r="G502" s="3"/>
      <c r="H502" s="12"/>
      <c r="K502" s="12"/>
      <c r="M502" s="12"/>
      <c r="R502" s="218"/>
      <c r="S502" s="218"/>
      <c r="T502" s="218"/>
      <c r="U502" s="218"/>
    </row>
    <row r="503">
      <c r="C503" s="12"/>
      <c r="D503" s="3"/>
      <c r="E503" s="112"/>
      <c r="F503" s="3"/>
      <c r="G503" s="3"/>
      <c r="H503" s="12"/>
      <c r="K503" s="12"/>
      <c r="M503" s="12"/>
      <c r="R503" s="218"/>
      <c r="S503" s="218"/>
      <c r="T503" s="218"/>
      <c r="U503" s="218"/>
    </row>
    <row r="504">
      <c r="C504" s="12"/>
      <c r="D504" s="3"/>
      <c r="E504" s="112"/>
      <c r="F504" s="3"/>
      <c r="G504" s="3"/>
      <c r="H504" s="12"/>
      <c r="K504" s="12"/>
      <c r="M504" s="12"/>
      <c r="R504" s="218"/>
      <c r="S504" s="218"/>
      <c r="T504" s="218"/>
      <c r="U504" s="218"/>
    </row>
    <row r="505">
      <c r="C505" s="12"/>
      <c r="D505" s="3"/>
      <c r="E505" s="112"/>
      <c r="F505" s="3"/>
      <c r="G505" s="3"/>
      <c r="H505" s="12"/>
      <c r="K505" s="12"/>
      <c r="M505" s="12"/>
      <c r="R505" s="218"/>
      <c r="S505" s="218"/>
      <c r="T505" s="218"/>
      <c r="U505" s="218"/>
    </row>
    <row r="506">
      <c r="C506" s="12"/>
      <c r="D506" s="3"/>
      <c r="E506" s="112"/>
      <c r="F506" s="3"/>
      <c r="G506" s="3"/>
      <c r="H506" s="12"/>
      <c r="K506" s="12"/>
      <c r="M506" s="12"/>
      <c r="R506" s="218"/>
      <c r="S506" s="218"/>
      <c r="T506" s="218"/>
      <c r="U506" s="218"/>
    </row>
    <row r="507">
      <c r="C507" s="12"/>
      <c r="D507" s="3"/>
      <c r="E507" s="112"/>
      <c r="F507" s="3"/>
      <c r="G507" s="3"/>
      <c r="H507" s="12"/>
      <c r="K507" s="12"/>
      <c r="M507" s="12"/>
      <c r="R507" s="218"/>
      <c r="S507" s="218"/>
      <c r="T507" s="218"/>
      <c r="U507" s="218"/>
    </row>
    <row r="508">
      <c r="C508" s="12"/>
      <c r="D508" s="3"/>
      <c r="E508" s="112"/>
      <c r="F508" s="3"/>
      <c r="G508" s="3"/>
      <c r="H508" s="12"/>
      <c r="K508" s="12"/>
      <c r="M508" s="12"/>
      <c r="R508" s="218"/>
      <c r="S508" s="218"/>
      <c r="T508" s="218"/>
      <c r="U508" s="218"/>
    </row>
    <row r="509">
      <c r="C509" s="12"/>
      <c r="D509" s="3"/>
      <c r="E509" s="112"/>
      <c r="F509" s="3"/>
      <c r="G509" s="3"/>
      <c r="H509" s="12"/>
      <c r="K509" s="12"/>
      <c r="M509" s="12"/>
      <c r="R509" s="218"/>
      <c r="S509" s="218"/>
      <c r="T509" s="218"/>
      <c r="U509" s="218"/>
    </row>
    <row r="510">
      <c r="C510" s="12"/>
      <c r="D510" s="3"/>
      <c r="E510" s="112"/>
      <c r="F510" s="3"/>
      <c r="G510" s="3"/>
      <c r="H510" s="12"/>
      <c r="K510" s="12"/>
      <c r="M510" s="12"/>
      <c r="R510" s="218"/>
      <c r="S510" s="218"/>
      <c r="T510" s="218"/>
      <c r="U510" s="218"/>
    </row>
    <row r="511">
      <c r="C511" s="12"/>
      <c r="D511" s="3"/>
      <c r="E511" s="112"/>
      <c r="F511" s="3"/>
      <c r="G511" s="3"/>
      <c r="H511" s="12"/>
      <c r="K511" s="12"/>
      <c r="M511" s="12"/>
      <c r="R511" s="218"/>
      <c r="S511" s="218"/>
      <c r="T511" s="218"/>
      <c r="U511" s="218"/>
    </row>
    <row r="512">
      <c r="C512" s="12"/>
      <c r="D512" s="3"/>
      <c r="E512" s="112"/>
      <c r="F512" s="3"/>
      <c r="G512" s="3"/>
      <c r="H512" s="12"/>
      <c r="K512" s="12"/>
      <c r="M512" s="12"/>
      <c r="R512" s="218"/>
      <c r="S512" s="218"/>
      <c r="T512" s="218"/>
      <c r="U512" s="218"/>
    </row>
    <row r="513">
      <c r="C513" s="12"/>
      <c r="D513" s="3"/>
      <c r="E513" s="112"/>
      <c r="F513" s="3"/>
      <c r="G513" s="3"/>
      <c r="H513" s="12"/>
      <c r="K513" s="12"/>
      <c r="M513" s="12"/>
      <c r="R513" s="218"/>
      <c r="S513" s="218"/>
      <c r="T513" s="218"/>
      <c r="U513" s="218"/>
    </row>
    <row r="514">
      <c r="C514" s="12"/>
      <c r="D514" s="3"/>
      <c r="E514" s="112"/>
      <c r="F514" s="3"/>
      <c r="G514" s="3"/>
      <c r="H514" s="12"/>
      <c r="K514" s="12"/>
      <c r="M514" s="12"/>
      <c r="R514" s="218"/>
      <c r="S514" s="218"/>
      <c r="T514" s="218"/>
      <c r="U514" s="218"/>
    </row>
    <row r="515">
      <c r="C515" s="12"/>
      <c r="D515" s="3"/>
      <c r="E515" s="112"/>
      <c r="F515" s="3"/>
      <c r="G515" s="3"/>
      <c r="H515" s="12"/>
      <c r="K515" s="12"/>
      <c r="M515" s="12"/>
      <c r="R515" s="218"/>
      <c r="S515" s="218"/>
      <c r="T515" s="218"/>
      <c r="U515" s="218"/>
    </row>
    <row r="516">
      <c r="C516" s="12"/>
      <c r="D516" s="3"/>
      <c r="E516" s="112"/>
      <c r="F516" s="3"/>
      <c r="G516" s="3"/>
      <c r="H516" s="12"/>
      <c r="K516" s="12"/>
      <c r="M516" s="12"/>
      <c r="R516" s="218"/>
      <c r="S516" s="218"/>
      <c r="T516" s="218"/>
      <c r="U516" s="218"/>
    </row>
    <row r="517">
      <c r="C517" s="12"/>
      <c r="D517" s="3"/>
      <c r="E517" s="112"/>
      <c r="F517" s="3"/>
      <c r="G517" s="3"/>
      <c r="H517" s="12"/>
      <c r="K517" s="12"/>
      <c r="M517" s="12"/>
      <c r="R517" s="218"/>
      <c r="S517" s="218"/>
      <c r="T517" s="218"/>
      <c r="U517" s="218"/>
    </row>
    <row r="518">
      <c r="C518" s="12"/>
      <c r="D518" s="3"/>
      <c r="E518" s="112"/>
      <c r="F518" s="3"/>
      <c r="G518" s="3"/>
      <c r="H518" s="12"/>
      <c r="K518" s="12"/>
      <c r="M518" s="12"/>
      <c r="R518" s="218"/>
      <c r="S518" s="218"/>
      <c r="T518" s="218"/>
      <c r="U518" s="218"/>
    </row>
    <row r="519">
      <c r="C519" s="12"/>
      <c r="D519" s="3"/>
      <c r="E519" s="112"/>
      <c r="F519" s="3"/>
      <c r="G519" s="3"/>
      <c r="H519" s="12"/>
      <c r="K519" s="12"/>
      <c r="M519" s="12"/>
      <c r="R519" s="218"/>
      <c r="S519" s="218"/>
      <c r="T519" s="218"/>
      <c r="U519" s="218"/>
    </row>
    <row r="520">
      <c r="C520" s="12"/>
      <c r="D520" s="3"/>
      <c r="E520" s="112"/>
      <c r="F520" s="3"/>
      <c r="G520" s="3"/>
      <c r="H520" s="12"/>
      <c r="K520" s="12"/>
      <c r="M520" s="12"/>
      <c r="R520" s="218"/>
      <c r="S520" s="218"/>
      <c r="T520" s="218"/>
      <c r="U520" s="218"/>
    </row>
    <row r="521">
      <c r="C521" s="12"/>
      <c r="D521" s="3"/>
      <c r="E521" s="112"/>
      <c r="F521" s="3"/>
      <c r="G521" s="3"/>
      <c r="H521" s="12"/>
      <c r="K521" s="12"/>
      <c r="M521" s="12"/>
      <c r="R521" s="218"/>
      <c r="S521" s="218"/>
      <c r="T521" s="218"/>
      <c r="U521" s="218"/>
    </row>
    <row r="522">
      <c r="C522" s="12"/>
      <c r="D522" s="3"/>
      <c r="E522" s="112"/>
      <c r="F522" s="3"/>
      <c r="G522" s="3"/>
      <c r="H522" s="12"/>
      <c r="K522" s="12"/>
      <c r="M522" s="12"/>
      <c r="R522" s="218"/>
      <c r="S522" s="218"/>
      <c r="T522" s="218"/>
      <c r="U522" s="218"/>
    </row>
    <row r="523">
      <c r="C523" s="12"/>
      <c r="D523" s="3"/>
      <c r="E523" s="112"/>
      <c r="F523" s="3"/>
      <c r="G523" s="3"/>
      <c r="H523" s="12"/>
      <c r="K523" s="12"/>
      <c r="M523" s="12"/>
      <c r="R523" s="218"/>
      <c r="S523" s="218"/>
      <c r="T523" s="218"/>
      <c r="U523" s="218"/>
    </row>
    <row r="524">
      <c r="C524" s="12"/>
      <c r="D524" s="3"/>
      <c r="E524" s="112"/>
      <c r="F524" s="3"/>
      <c r="G524" s="3"/>
      <c r="H524" s="12"/>
      <c r="K524" s="12"/>
      <c r="M524" s="12"/>
      <c r="R524" s="218"/>
      <c r="S524" s="218"/>
      <c r="T524" s="218"/>
      <c r="U524" s="218"/>
    </row>
    <row r="525">
      <c r="C525" s="12"/>
      <c r="D525" s="3"/>
      <c r="E525" s="112"/>
      <c r="F525" s="3"/>
      <c r="G525" s="3"/>
      <c r="H525" s="12"/>
      <c r="K525" s="12"/>
      <c r="M525" s="12"/>
      <c r="R525" s="218"/>
      <c r="S525" s="218"/>
      <c r="T525" s="218"/>
      <c r="U525" s="218"/>
    </row>
    <row r="526">
      <c r="C526" s="12"/>
      <c r="D526" s="3"/>
      <c r="E526" s="112"/>
      <c r="F526" s="3"/>
      <c r="G526" s="3"/>
      <c r="H526" s="12"/>
      <c r="K526" s="12"/>
      <c r="M526" s="12"/>
      <c r="R526" s="218"/>
      <c r="S526" s="218"/>
      <c r="T526" s="218"/>
      <c r="U526" s="218"/>
    </row>
    <row r="527">
      <c r="C527" s="12"/>
      <c r="D527" s="3"/>
      <c r="E527" s="112"/>
      <c r="F527" s="3"/>
      <c r="G527" s="3"/>
      <c r="H527" s="12"/>
      <c r="K527" s="12"/>
      <c r="M527" s="12"/>
      <c r="R527" s="218"/>
      <c r="S527" s="218"/>
      <c r="T527" s="218"/>
      <c r="U527" s="218"/>
    </row>
    <row r="528">
      <c r="C528" s="12"/>
      <c r="D528" s="3"/>
      <c r="E528" s="112"/>
      <c r="F528" s="3"/>
      <c r="G528" s="3"/>
      <c r="H528" s="12"/>
      <c r="K528" s="12"/>
      <c r="M528" s="12"/>
      <c r="R528" s="218"/>
      <c r="S528" s="218"/>
      <c r="T528" s="218"/>
      <c r="U528" s="218"/>
    </row>
    <row r="529">
      <c r="C529" s="12"/>
      <c r="D529" s="3"/>
      <c r="E529" s="112"/>
      <c r="F529" s="3"/>
      <c r="G529" s="3"/>
      <c r="H529" s="12"/>
      <c r="K529" s="12"/>
      <c r="M529" s="12"/>
      <c r="R529" s="218"/>
      <c r="S529" s="218"/>
      <c r="T529" s="218"/>
      <c r="U529" s="218"/>
    </row>
    <row r="530">
      <c r="C530" s="12"/>
      <c r="D530" s="3"/>
      <c r="E530" s="112"/>
      <c r="F530" s="3"/>
      <c r="G530" s="3"/>
      <c r="H530" s="12"/>
      <c r="K530" s="12"/>
      <c r="M530" s="12"/>
      <c r="R530" s="218"/>
      <c r="S530" s="218"/>
      <c r="T530" s="218"/>
      <c r="U530" s="218"/>
    </row>
    <row r="531">
      <c r="C531" s="12"/>
      <c r="D531" s="3"/>
      <c r="E531" s="112"/>
      <c r="F531" s="3"/>
      <c r="G531" s="3"/>
      <c r="H531" s="12"/>
      <c r="K531" s="12"/>
      <c r="M531" s="12"/>
      <c r="R531" s="218"/>
      <c r="S531" s="218"/>
      <c r="T531" s="218"/>
      <c r="U531" s="218"/>
    </row>
    <row r="532">
      <c r="C532" s="12"/>
      <c r="D532" s="3"/>
      <c r="E532" s="112"/>
      <c r="F532" s="3"/>
      <c r="G532" s="3"/>
      <c r="H532" s="12"/>
      <c r="K532" s="12"/>
      <c r="M532" s="12"/>
      <c r="R532" s="218"/>
      <c r="S532" s="218"/>
      <c r="T532" s="218"/>
      <c r="U532" s="218"/>
    </row>
    <row r="533">
      <c r="C533" s="12"/>
      <c r="D533" s="3"/>
      <c r="E533" s="112"/>
      <c r="F533" s="3"/>
      <c r="G533" s="3"/>
      <c r="H533" s="12"/>
      <c r="K533" s="12"/>
      <c r="M533" s="12"/>
      <c r="R533" s="218"/>
      <c r="S533" s="218"/>
      <c r="T533" s="218"/>
      <c r="U533" s="218"/>
    </row>
    <row r="534">
      <c r="C534" s="12"/>
      <c r="D534" s="3"/>
      <c r="E534" s="112"/>
      <c r="F534" s="3"/>
      <c r="G534" s="3"/>
      <c r="H534" s="12"/>
      <c r="K534" s="12"/>
      <c r="M534" s="12"/>
      <c r="R534" s="218"/>
      <c r="S534" s="218"/>
      <c r="T534" s="218"/>
      <c r="U534" s="218"/>
    </row>
    <row r="535">
      <c r="C535" s="12"/>
      <c r="D535" s="3"/>
      <c r="E535" s="112"/>
      <c r="F535" s="3"/>
      <c r="G535" s="3"/>
      <c r="H535" s="12"/>
      <c r="K535" s="12"/>
      <c r="M535" s="12"/>
      <c r="R535" s="218"/>
      <c r="S535" s="218"/>
      <c r="T535" s="218"/>
      <c r="U535" s="218"/>
    </row>
    <row r="536">
      <c r="C536" s="12"/>
      <c r="D536" s="3"/>
      <c r="E536" s="112"/>
      <c r="F536" s="3"/>
      <c r="G536" s="3"/>
      <c r="H536" s="12"/>
      <c r="K536" s="12"/>
      <c r="M536" s="12"/>
      <c r="R536" s="218"/>
      <c r="S536" s="218"/>
      <c r="T536" s="218"/>
      <c r="U536" s="218"/>
    </row>
    <row r="537">
      <c r="C537" s="12"/>
      <c r="D537" s="3"/>
      <c r="E537" s="112"/>
      <c r="F537" s="3"/>
      <c r="G537" s="3"/>
      <c r="H537" s="12"/>
      <c r="K537" s="12"/>
      <c r="M537" s="12"/>
      <c r="R537" s="218"/>
      <c r="S537" s="218"/>
      <c r="T537" s="218"/>
      <c r="U537" s="218"/>
    </row>
    <row r="538">
      <c r="C538" s="12"/>
      <c r="D538" s="3"/>
      <c r="E538" s="112"/>
      <c r="F538" s="3"/>
      <c r="G538" s="3"/>
      <c r="H538" s="12"/>
      <c r="K538" s="12"/>
      <c r="M538" s="12"/>
      <c r="R538" s="218"/>
      <c r="S538" s="218"/>
      <c r="T538" s="218"/>
      <c r="U538" s="218"/>
    </row>
    <row r="539">
      <c r="C539" s="12"/>
      <c r="D539" s="3"/>
      <c r="E539" s="112"/>
      <c r="F539" s="3"/>
      <c r="G539" s="3"/>
      <c r="H539" s="12"/>
      <c r="K539" s="12"/>
      <c r="M539" s="12"/>
      <c r="R539" s="218"/>
      <c r="S539" s="218"/>
      <c r="T539" s="218"/>
      <c r="U539" s="218"/>
    </row>
    <row r="540">
      <c r="C540" s="12"/>
      <c r="D540" s="3"/>
      <c r="E540" s="112"/>
      <c r="F540" s="3"/>
      <c r="G540" s="3"/>
      <c r="H540" s="12"/>
      <c r="K540" s="12"/>
      <c r="M540" s="12"/>
      <c r="R540" s="218"/>
      <c r="S540" s="218"/>
      <c r="T540" s="218"/>
      <c r="U540" s="218"/>
    </row>
    <row r="541">
      <c r="C541" s="12"/>
      <c r="D541" s="3"/>
      <c r="E541" s="112"/>
      <c r="F541" s="3"/>
      <c r="G541" s="3"/>
      <c r="H541" s="12"/>
      <c r="K541" s="12"/>
      <c r="M541" s="12"/>
      <c r="R541" s="218"/>
      <c r="S541" s="218"/>
      <c r="T541" s="218"/>
      <c r="U541" s="218"/>
    </row>
    <row r="542">
      <c r="C542" s="12"/>
      <c r="D542" s="3"/>
      <c r="E542" s="112"/>
      <c r="F542" s="3"/>
      <c r="G542" s="3"/>
      <c r="H542" s="12"/>
      <c r="K542" s="12"/>
      <c r="M542" s="12"/>
      <c r="R542" s="218"/>
      <c r="S542" s="218"/>
      <c r="T542" s="218"/>
      <c r="U542" s="218"/>
    </row>
    <row r="543">
      <c r="C543" s="12"/>
      <c r="D543" s="3"/>
      <c r="E543" s="112"/>
      <c r="F543" s="3"/>
      <c r="G543" s="3"/>
      <c r="H543" s="12"/>
      <c r="K543" s="12"/>
      <c r="M543" s="12"/>
      <c r="R543" s="218"/>
      <c r="S543" s="218"/>
      <c r="T543" s="218"/>
      <c r="U543" s="218"/>
    </row>
    <row r="544">
      <c r="C544" s="12"/>
      <c r="D544" s="3"/>
      <c r="E544" s="112"/>
      <c r="F544" s="3"/>
      <c r="G544" s="3"/>
      <c r="H544" s="12"/>
      <c r="K544" s="12"/>
      <c r="M544" s="12"/>
      <c r="R544" s="218"/>
      <c r="S544" s="218"/>
      <c r="T544" s="218"/>
      <c r="U544" s="218"/>
    </row>
    <row r="545">
      <c r="C545" s="12"/>
      <c r="D545" s="3"/>
      <c r="E545" s="112"/>
      <c r="F545" s="3"/>
      <c r="G545" s="3"/>
      <c r="H545" s="12"/>
      <c r="K545" s="12"/>
      <c r="M545" s="12"/>
      <c r="R545" s="218"/>
      <c r="S545" s="218"/>
      <c r="T545" s="218"/>
      <c r="U545" s="218"/>
    </row>
    <row r="546">
      <c r="C546" s="12"/>
      <c r="D546" s="3"/>
      <c r="E546" s="112"/>
      <c r="F546" s="3"/>
      <c r="G546" s="3"/>
      <c r="H546" s="12"/>
      <c r="K546" s="12"/>
      <c r="M546" s="12"/>
      <c r="R546" s="218"/>
      <c r="S546" s="218"/>
      <c r="T546" s="218"/>
      <c r="U546" s="218"/>
    </row>
    <row r="547">
      <c r="C547" s="12"/>
      <c r="D547" s="3"/>
      <c r="E547" s="112"/>
      <c r="F547" s="3"/>
      <c r="G547" s="3"/>
      <c r="H547" s="12"/>
      <c r="K547" s="12"/>
      <c r="M547" s="12"/>
      <c r="R547" s="218"/>
      <c r="S547" s="218"/>
      <c r="T547" s="218"/>
      <c r="U547" s="218"/>
    </row>
    <row r="548">
      <c r="C548" s="12"/>
      <c r="D548" s="3"/>
      <c r="E548" s="112"/>
      <c r="F548" s="3"/>
      <c r="G548" s="3"/>
      <c r="H548" s="12"/>
      <c r="K548" s="12"/>
      <c r="M548" s="12"/>
      <c r="R548" s="218"/>
      <c r="S548" s="218"/>
      <c r="T548" s="218"/>
      <c r="U548" s="218"/>
    </row>
    <row r="549">
      <c r="C549" s="12"/>
      <c r="D549" s="3"/>
      <c r="E549" s="112"/>
      <c r="F549" s="3"/>
      <c r="G549" s="3"/>
      <c r="H549" s="12"/>
      <c r="K549" s="12"/>
      <c r="M549" s="12"/>
      <c r="R549" s="218"/>
      <c r="S549" s="218"/>
      <c r="T549" s="218"/>
      <c r="U549" s="218"/>
    </row>
    <row r="550">
      <c r="C550" s="12"/>
      <c r="D550" s="3"/>
      <c r="E550" s="112"/>
      <c r="F550" s="3"/>
      <c r="G550" s="3"/>
      <c r="H550" s="12"/>
      <c r="K550" s="12"/>
      <c r="M550" s="12"/>
      <c r="R550" s="218"/>
      <c r="S550" s="218"/>
      <c r="T550" s="218"/>
      <c r="U550" s="218"/>
    </row>
    <row r="551">
      <c r="C551" s="12"/>
      <c r="D551" s="3"/>
      <c r="E551" s="112"/>
      <c r="F551" s="3"/>
      <c r="G551" s="3"/>
      <c r="H551" s="12"/>
      <c r="K551" s="12"/>
      <c r="M551" s="12"/>
      <c r="R551" s="218"/>
      <c r="S551" s="218"/>
      <c r="T551" s="218"/>
      <c r="U551" s="218"/>
    </row>
    <row r="552">
      <c r="C552" s="12"/>
      <c r="D552" s="3"/>
      <c r="E552" s="112"/>
      <c r="F552" s="3"/>
      <c r="G552" s="3"/>
      <c r="H552" s="12"/>
      <c r="K552" s="12"/>
      <c r="M552" s="12"/>
      <c r="R552" s="218"/>
      <c r="S552" s="218"/>
      <c r="T552" s="218"/>
      <c r="U552" s="218"/>
    </row>
    <row r="553">
      <c r="C553" s="12"/>
      <c r="D553" s="3"/>
      <c r="E553" s="112"/>
      <c r="F553" s="3"/>
      <c r="G553" s="3"/>
      <c r="H553" s="12"/>
      <c r="K553" s="12"/>
      <c r="M553" s="12"/>
      <c r="R553" s="218"/>
      <c r="S553" s="218"/>
      <c r="T553" s="218"/>
      <c r="U553" s="218"/>
    </row>
    <row r="554">
      <c r="C554" s="12"/>
      <c r="D554" s="3"/>
      <c r="E554" s="112"/>
      <c r="F554" s="3"/>
      <c r="G554" s="3"/>
      <c r="H554" s="12"/>
      <c r="K554" s="12"/>
      <c r="M554" s="12"/>
      <c r="R554" s="218"/>
      <c r="S554" s="218"/>
      <c r="T554" s="218"/>
      <c r="U554" s="218"/>
    </row>
    <row r="555">
      <c r="C555" s="12"/>
      <c r="D555" s="3"/>
      <c r="E555" s="112"/>
      <c r="F555" s="3"/>
      <c r="G555" s="3"/>
      <c r="H555" s="12"/>
      <c r="K555" s="12"/>
      <c r="M555" s="12"/>
      <c r="R555" s="218"/>
      <c r="S555" s="218"/>
      <c r="T555" s="218"/>
      <c r="U555" s="218"/>
    </row>
    <row r="556">
      <c r="C556" s="12"/>
      <c r="D556" s="3"/>
      <c r="E556" s="112"/>
      <c r="F556" s="3"/>
      <c r="G556" s="3"/>
      <c r="H556" s="12"/>
      <c r="K556" s="12"/>
      <c r="M556" s="12"/>
      <c r="R556" s="218"/>
      <c r="S556" s="218"/>
      <c r="T556" s="218"/>
      <c r="U556" s="218"/>
    </row>
    <row r="557">
      <c r="C557" s="12"/>
      <c r="D557" s="3"/>
      <c r="E557" s="112"/>
      <c r="F557" s="3"/>
      <c r="G557" s="3"/>
      <c r="H557" s="12"/>
      <c r="K557" s="12"/>
      <c r="M557" s="12"/>
      <c r="R557" s="218"/>
      <c r="S557" s="218"/>
      <c r="T557" s="218"/>
      <c r="U557" s="218"/>
    </row>
    <row r="558">
      <c r="C558" s="12"/>
      <c r="D558" s="3"/>
      <c r="E558" s="112"/>
      <c r="F558" s="3"/>
      <c r="G558" s="3"/>
      <c r="H558" s="12"/>
      <c r="K558" s="12"/>
      <c r="M558" s="12"/>
      <c r="R558" s="218"/>
      <c r="S558" s="218"/>
      <c r="T558" s="218"/>
      <c r="U558" s="218"/>
    </row>
    <row r="559">
      <c r="C559" s="12"/>
      <c r="D559" s="3"/>
      <c r="E559" s="112"/>
      <c r="F559" s="3"/>
      <c r="G559" s="3"/>
      <c r="H559" s="12"/>
      <c r="K559" s="12"/>
      <c r="M559" s="12"/>
      <c r="R559" s="218"/>
      <c r="S559" s="218"/>
      <c r="T559" s="218"/>
      <c r="U559" s="218"/>
    </row>
    <row r="560">
      <c r="C560" s="12"/>
      <c r="D560" s="3"/>
      <c r="E560" s="112"/>
      <c r="F560" s="3"/>
      <c r="G560" s="3"/>
      <c r="H560" s="12"/>
      <c r="K560" s="12"/>
      <c r="M560" s="12"/>
      <c r="R560" s="218"/>
      <c r="S560" s="218"/>
      <c r="T560" s="218"/>
      <c r="U560" s="218"/>
    </row>
    <row r="561">
      <c r="C561" s="12"/>
      <c r="D561" s="3"/>
      <c r="E561" s="112"/>
      <c r="F561" s="3"/>
      <c r="G561" s="3"/>
      <c r="H561" s="12"/>
      <c r="K561" s="12"/>
      <c r="M561" s="12"/>
      <c r="R561" s="218"/>
      <c r="S561" s="218"/>
      <c r="T561" s="218"/>
      <c r="U561" s="218"/>
    </row>
    <row r="562">
      <c r="C562" s="12"/>
      <c r="D562" s="3"/>
      <c r="E562" s="112"/>
      <c r="F562" s="3"/>
      <c r="G562" s="3"/>
      <c r="H562" s="12"/>
      <c r="K562" s="12"/>
      <c r="M562" s="12"/>
      <c r="R562" s="218"/>
      <c r="S562" s="218"/>
      <c r="T562" s="218"/>
      <c r="U562" s="218"/>
    </row>
    <row r="563">
      <c r="C563" s="12"/>
      <c r="D563" s="3"/>
      <c r="E563" s="112"/>
      <c r="F563" s="3"/>
      <c r="G563" s="3"/>
      <c r="H563" s="12"/>
      <c r="K563" s="12"/>
      <c r="M563" s="12"/>
      <c r="R563" s="218"/>
      <c r="S563" s="218"/>
      <c r="T563" s="218"/>
      <c r="U563" s="218"/>
    </row>
    <row r="564">
      <c r="C564" s="12"/>
      <c r="D564" s="3"/>
      <c r="E564" s="112"/>
      <c r="F564" s="3"/>
      <c r="G564" s="3"/>
      <c r="H564" s="12"/>
      <c r="K564" s="12"/>
      <c r="M564" s="12"/>
      <c r="R564" s="218"/>
      <c r="S564" s="218"/>
      <c r="T564" s="218"/>
      <c r="U564" s="218"/>
    </row>
    <row r="565">
      <c r="C565" s="12"/>
      <c r="D565" s="3"/>
      <c r="E565" s="112"/>
      <c r="F565" s="3"/>
      <c r="G565" s="3"/>
      <c r="H565" s="12"/>
      <c r="K565" s="12"/>
      <c r="M565" s="12"/>
      <c r="R565" s="218"/>
      <c r="S565" s="218"/>
      <c r="T565" s="218"/>
      <c r="U565" s="218"/>
    </row>
    <row r="566">
      <c r="C566" s="12"/>
      <c r="D566" s="3"/>
      <c r="E566" s="112"/>
      <c r="F566" s="3"/>
      <c r="G566" s="3"/>
      <c r="H566" s="12"/>
      <c r="K566" s="12"/>
      <c r="M566" s="12"/>
      <c r="R566" s="218"/>
      <c r="S566" s="218"/>
      <c r="T566" s="218"/>
      <c r="U566" s="218"/>
    </row>
    <row r="567">
      <c r="C567" s="12"/>
      <c r="D567" s="3"/>
      <c r="E567" s="112"/>
      <c r="F567" s="3"/>
      <c r="G567" s="3"/>
      <c r="H567" s="12"/>
      <c r="K567" s="12"/>
      <c r="M567" s="12"/>
      <c r="R567" s="218"/>
      <c r="S567" s="218"/>
      <c r="T567" s="218"/>
      <c r="U567" s="218"/>
    </row>
    <row r="568">
      <c r="C568" s="12"/>
      <c r="D568" s="3"/>
      <c r="E568" s="112"/>
      <c r="F568" s="3"/>
      <c r="G568" s="3"/>
      <c r="H568" s="12"/>
      <c r="K568" s="12"/>
      <c r="M568" s="12"/>
      <c r="R568" s="218"/>
      <c r="S568" s="218"/>
      <c r="T568" s="218"/>
      <c r="U568" s="218"/>
    </row>
    <row r="569">
      <c r="C569" s="12"/>
      <c r="D569" s="3"/>
      <c r="E569" s="112"/>
      <c r="F569" s="3"/>
      <c r="G569" s="3"/>
      <c r="H569" s="12"/>
      <c r="K569" s="12"/>
      <c r="M569" s="12"/>
      <c r="R569" s="218"/>
      <c r="S569" s="218"/>
      <c r="T569" s="218"/>
      <c r="U569" s="218"/>
    </row>
    <row r="570">
      <c r="C570" s="12"/>
      <c r="D570" s="3"/>
      <c r="E570" s="112"/>
      <c r="F570" s="3"/>
      <c r="G570" s="3"/>
      <c r="H570" s="12"/>
      <c r="K570" s="12"/>
      <c r="M570" s="12"/>
      <c r="R570" s="218"/>
      <c r="S570" s="218"/>
      <c r="T570" s="218"/>
      <c r="U570" s="218"/>
    </row>
    <row r="571">
      <c r="C571" s="12"/>
      <c r="D571" s="3"/>
      <c r="E571" s="112"/>
      <c r="F571" s="3"/>
      <c r="G571" s="3"/>
      <c r="H571" s="12"/>
      <c r="K571" s="12"/>
      <c r="M571" s="12"/>
      <c r="R571" s="218"/>
      <c r="S571" s="218"/>
      <c r="T571" s="218"/>
      <c r="U571" s="218"/>
    </row>
    <row r="572">
      <c r="C572" s="12"/>
      <c r="D572" s="3"/>
      <c r="E572" s="112"/>
      <c r="F572" s="3"/>
      <c r="G572" s="3"/>
      <c r="H572" s="12"/>
      <c r="K572" s="12"/>
      <c r="M572" s="12"/>
      <c r="R572" s="218"/>
      <c r="S572" s="218"/>
      <c r="T572" s="218"/>
      <c r="U572" s="218"/>
    </row>
    <row r="573">
      <c r="C573" s="12"/>
      <c r="D573" s="3"/>
      <c r="E573" s="112"/>
      <c r="F573" s="3"/>
      <c r="G573" s="3"/>
      <c r="H573" s="12"/>
      <c r="K573" s="12"/>
      <c r="M573" s="12"/>
      <c r="R573" s="218"/>
      <c r="S573" s="218"/>
      <c r="T573" s="218"/>
      <c r="U573" s="218"/>
    </row>
    <row r="574">
      <c r="C574" s="12"/>
      <c r="D574" s="3"/>
      <c r="E574" s="112"/>
      <c r="F574" s="3"/>
      <c r="G574" s="3"/>
      <c r="H574" s="12"/>
      <c r="K574" s="12"/>
      <c r="M574" s="12"/>
      <c r="R574" s="218"/>
      <c r="S574" s="218"/>
      <c r="T574" s="218"/>
      <c r="U574" s="218"/>
    </row>
    <row r="575">
      <c r="C575" s="12"/>
      <c r="D575" s="3"/>
      <c r="E575" s="112"/>
      <c r="F575" s="3"/>
      <c r="G575" s="3"/>
      <c r="H575" s="12"/>
      <c r="K575" s="12"/>
      <c r="M575" s="12"/>
      <c r="R575" s="218"/>
      <c r="S575" s="218"/>
      <c r="T575" s="218"/>
      <c r="U575" s="218"/>
    </row>
    <row r="576">
      <c r="C576" s="12"/>
      <c r="D576" s="3"/>
      <c r="E576" s="112"/>
      <c r="F576" s="3"/>
      <c r="G576" s="3"/>
      <c r="H576" s="12"/>
      <c r="K576" s="12"/>
      <c r="M576" s="12"/>
      <c r="R576" s="218"/>
      <c r="S576" s="218"/>
      <c r="T576" s="218"/>
      <c r="U576" s="218"/>
    </row>
    <row r="577">
      <c r="C577" s="12"/>
      <c r="D577" s="3"/>
      <c r="E577" s="112"/>
      <c r="F577" s="3"/>
      <c r="G577" s="3"/>
      <c r="H577" s="12"/>
      <c r="K577" s="12"/>
      <c r="M577" s="12"/>
      <c r="R577" s="218"/>
      <c r="S577" s="218"/>
      <c r="T577" s="218"/>
      <c r="U577" s="218"/>
    </row>
    <row r="578">
      <c r="C578" s="12"/>
      <c r="D578" s="3"/>
      <c r="E578" s="112"/>
      <c r="F578" s="3"/>
      <c r="G578" s="3"/>
      <c r="H578" s="12"/>
      <c r="K578" s="12"/>
      <c r="M578" s="12"/>
      <c r="R578" s="218"/>
      <c r="S578" s="218"/>
      <c r="T578" s="218"/>
      <c r="U578" s="218"/>
    </row>
    <row r="579">
      <c r="C579" s="12"/>
      <c r="D579" s="3"/>
      <c r="E579" s="112"/>
      <c r="F579" s="3"/>
      <c r="G579" s="3"/>
      <c r="H579" s="12"/>
      <c r="K579" s="12"/>
      <c r="M579" s="12"/>
      <c r="R579" s="218"/>
      <c r="S579" s="218"/>
      <c r="T579" s="218"/>
      <c r="U579" s="218"/>
    </row>
    <row r="580">
      <c r="C580" s="12"/>
      <c r="D580" s="3"/>
      <c r="E580" s="112"/>
      <c r="F580" s="3"/>
      <c r="G580" s="3"/>
      <c r="H580" s="12"/>
      <c r="K580" s="12"/>
      <c r="M580" s="12"/>
      <c r="R580" s="218"/>
      <c r="S580" s="218"/>
      <c r="T580" s="218"/>
      <c r="U580" s="218"/>
    </row>
    <row r="581">
      <c r="C581" s="12"/>
      <c r="D581" s="3"/>
      <c r="E581" s="112"/>
      <c r="F581" s="3"/>
      <c r="G581" s="3"/>
      <c r="H581" s="12"/>
      <c r="K581" s="12"/>
      <c r="M581" s="12"/>
      <c r="R581" s="218"/>
      <c r="S581" s="218"/>
      <c r="T581" s="218"/>
      <c r="U581" s="218"/>
    </row>
    <row r="582">
      <c r="C582" s="12"/>
      <c r="D582" s="3"/>
      <c r="E582" s="112"/>
      <c r="F582" s="3"/>
      <c r="G582" s="3"/>
      <c r="H582" s="12"/>
      <c r="K582" s="12"/>
      <c r="M582" s="12"/>
      <c r="R582" s="218"/>
      <c r="S582" s="218"/>
      <c r="T582" s="218"/>
      <c r="U582" s="218"/>
    </row>
    <row r="583">
      <c r="C583" s="12"/>
      <c r="D583" s="3"/>
      <c r="E583" s="112"/>
      <c r="F583" s="3"/>
      <c r="G583" s="3"/>
      <c r="H583" s="12"/>
      <c r="K583" s="12"/>
      <c r="M583" s="12"/>
      <c r="R583" s="218"/>
      <c r="S583" s="218"/>
      <c r="T583" s="218"/>
      <c r="U583" s="218"/>
    </row>
    <row r="584">
      <c r="C584" s="12"/>
      <c r="D584" s="3"/>
      <c r="E584" s="112"/>
      <c r="F584" s="3"/>
      <c r="G584" s="3"/>
      <c r="H584" s="12"/>
      <c r="K584" s="12"/>
      <c r="M584" s="12"/>
      <c r="R584" s="218"/>
      <c r="S584" s="218"/>
      <c r="T584" s="218"/>
      <c r="U584" s="218"/>
    </row>
    <row r="585">
      <c r="C585" s="12"/>
      <c r="D585" s="3"/>
      <c r="E585" s="112"/>
      <c r="F585" s="3"/>
      <c r="G585" s="3"/>
      <c r="H585" s="12"/>
      <c r="K585" s="12"/>
      <c r="M585" s="12"/>
      <c r="R585" s="218"/>
      <c r="S585" s="218"/>
      <c r="T585" s="218"/>
      <c r="U585" s="218"/>
    </row>
    <row r="586">
      <c r="C586" s="12"/>
      <c r="D586" s="3"/>
      <c r="E586" s="112"/>
      <c r="F586" s="3"/>
      <c r="G586" s="3"/>
      <c r="H586" s="12"/>
      <c r="K586" s="12"/>
      <c r="M586" s="12"/>
      <c r="R586" s="218"/>
      <c r="S586" s="218"/>
      <c r="T586" s="218"/>
      <c r="U586" s="218"/>
    </row>
    <row r="587">
      <c r="C587" s="12"/>
      <c r="D587" s="3"/>
      <c r="E587" s="112"/>
      <c r="F587" s="3"/>
      <c r="G587" s="3"/>
      <c r="H587" s="12"/>
      <c r="K587" s="12"/>
      <c r="M587" s="12"/>
      <c r="R587" s="218"/>
      <c r="S587" s="218"/>
      <c r="T587" s="218"/>
      <c r="U587" s="218"/>
    </row>
    <row r="588">
      <c r="C588" s="12"/>
      <c r="D588" s="3"/>
      <c r="E588" s="112"/>
      <c r="F588" s="3"/>
      <c r="G588" s="3"/>
      <c r="H588" s="12"/>
      <c r="K588" s="12"/>
      <c r="M588" s="12"/>
      <c r="R588" s="218"/>
      <c r="S588" s="218"/>
      <c r="T588" s="218"/>
      <c r="U588" s="218"/>
    </row>
    <row r="589">
      <c r="C589" s="12"/>
      <c r="D589" s="3"/>
      <c r="E589" s="112"/>
      <c r="F589" s="3"/>
      <c r="G589" s="3"/>
      <c r="H589" s="12"/>
      <c r="K589" s="12"/>
      <c r="M589" s="12"/>
      <c r="R589" s="218"/>
      <c r="S589" s="218"/>
      <c r="T589" s="218"/>
      <c r="U589" s="218"/>
    </row>
    <row r="590">
      <c r="C590" s="12"/>
      <c r="D590" s="3"/>
      <c r="E590" s="112"/>
      <c r="F590" s="3"/>
      <c r="G590" s="3"/>
      <c r="H590" s="12"/>
      <c r="K590" s="12"/>
      <c r="M590" s="12"/>
      <c r="R590" s="218"/>
      <c r="S590" s="218"/>
      <c r="T590" s="218"/>
      <c r="U590" s="218"/>
    </row>
    <row r="591">
      <c r="C591" s="12"/>
      <c r="D591" s="3"/>
      <c r="E591" s="112"/>
      <c r="F591" s="3"/>
      <c r="G591" s="3"/>
      <c r="H591" s="12"/>
      <c r="K591" s="12"/>
      <c r="M591" s="12"/>
      <c r="R591" s="218"/>
      <c r="S591" s="218"/>
      <c r="T591" s="218"/>
      <c r="U591" s="218"/>
    </row>
    <row r="592">
      <c r="C592" s="12"/>
      <c r="D592" s="3"/>
      <c r="E592" s="112"/>
      <c r="F592" s="3"/>
      <c r="G592" s="3"/>
      <c r="H592" s="12"/>
      <c r="K592" s="12"/>
      <c r="M592" s="12"/>
      <c r="R592" s="218"/>
      <c r="S592" s="218"/>
      <c r="T592" s="218"/>
      <c r="U592" s="218"/>
    </row>
    <row r="593">
      <c r="C593" s="12"/>
      <c r="D593" s="3"/>
      <c r="E593" s="112"/>
      <c r="F593" s="3"/>
      <c r="G593" s="3"/>
      <c r="H593" s="12"/>
      <c r="K593" s="12"/>
      <c r="M593" s="12"/>
      <c r="R593" s="218"/>
      <c r="S593" s="218"/>
      <c r="T593" s="218"/>
      <c r="U593" s="218"/>
    </row>
    <row r="594">
      <c r="C594" s="12"/>
      <c r="D594" s="3"/>
      <c r="E594" s="112"/>
      <c r="F594" s="3"/>
      <c r="G594" s="3"/>
      <c r="H594" s="12"/>
      <c r="K594" s="12"/>
      <c r="M594" s="12"/>
      <c r="R594" s="218"/>
      <c r="S594" s="218"/>
      <c r="T594" s="218"/>
      <c r="U594" s="218"/>
    </row>
    <row r="595">
      <c r="C595" s="12"/>
      <c r="D595" s="3"/>
      <c r="E595" s="112"/>
      <c r="F595" s="3"/>
      <c r="G595" s="3"/>
      <c r="H595" s="12"/>
      <c r="K595" s="12"/>
      <c r="M595" s="12"/>
      <c r="R595" s="218"/>
      <c r="S595" s="218"/>
      <c r="T595" s="218"/>
      <c r="U595" s="218"/>
    </row>
    <row r="596">
      <c r="C596" s="12"/>
      <c r="D596" s="3"/>
      <c r="E596" s="112"/>
      <c r="F596" s="3"/>
      <c r="G596" s="3"/>
      <c r="H596" s="12"/>
      <c r="K596" s="12"/>
      <c r="M596" s="12"/>
      <c r="R596" s="218"/>
      <c r="S596" s="218"/>
      <c r="T596" s="218"/>
      <c r="U596" s="218"/>
    </row>
    <row r="597">
      <c r="C597" s="12"/>
      <c r="D597" s="3"/>
      <c r="E597" s="112"/>
      <c r="F597" s="3"/>
      <c r="G597" s="3"/>
      <c r="H597" s="12"/>
      <c r="K597" s="12"/>
      <c r="M597" s="12"/>
      <c r="R597" s="218"/>
      <c r="S597" s="218"/>
      <c r="T597" s="218"/>
      <c r="U597" s="218"/>
    </row>
    <row r="598">
      <c r="C598" s="12"/>
      <c r="D598" s="3"/>
      <c r="E598" s="112"/>
      <c r="F598" s="3"/>
      <c r="G598" s="3"/>
      <c r="H598" s="12"/>
      <c r="K598" s="12"/>
      <c r="M598" s="12"/>
      <c r="R598" s="218"/>
      <c r="S598" s="218"/>
      <c r="T598" s="218"/>
      <c r="U598" s="218"/>
    </row>
    <row r="599">
      <c r="C599" s="12"/>
      <c r="D599" s="3"/>
      <c r="E599" s="112"/>
      <c r="F599" s="3"/>
      <c r="G599" s="3"/>
      <c r="H599" s="12"/>
      <c r="K599" s="12"/>
      <c r="M599" s="12"/>
      <c r="R599" s="218"/>
      <c r="S599" s="218"/>
      <c r="T599" s="218"/>
      <c r="U599" s="218"/>
    </row>
    <row r="600">
      <c r="C600" s="12"/>
      <c r="D600" s="3"/>
      <c r="E600" s="112"/>
      <c r="F600" s="3"/>
      <c r="G600" s="3"/>
      <c r="H600" s="12"/>
      <c r="K600" s="12"/>
      <c r="M600" s="12"/>
      <c r="R600" s="218"/>
      <c r="S600" s="218"/>
      <c r="T600" s="218"/>
      <c r="U600" s="218"/>
    </row>
    <row r="601">
      <c r="C601" s="12"/>
      <c r="D601" s="3"/>
      <c r="E601" s="112"/>
      <c r="F601" s="3"/>
      <c r="G601" s="3"/>
      <c r="H601" s="12"/>
      <c r="K601" s="12"/>
      <c r="M601" s="12"/>
      <c r="R601" s="218"/>
      <c r="S601" s="218"/>
      <c r="T601" s="218"/>
      <c r="U601" s="218"/>
    </row>
    <row r="602">
      <c r="C602" s="12"/>
      <c r="D602" s="3"/>
      <c r="E602" s="112"/>
      <c r="F602" s="3"/>
      <c r="G602" s="3"/>
      <c r="H602" s="12"/>
      <c r="K602" s="12"/>
      <c r="M602" s="12"/>
      <c r="R602" s="218"/>
      <c r="S602" s="218"/>
      <c r="T602" s="218"/>
      <c r="U602" s="218"/>
    </row>
    <row r="603">
      <c r="C603" s="12"/>
      <c r="D603" s="3"/>
      <c r="E603" s="112"/>
      <c r="F603" s="3"/>
      <c r="G603" s="3"/>
      <c r="H603" s="12"/>
      <c r="K603" s="12"/>
      <c r="M603" s="12"/>
      <c r="R603" s="218"/>
      <c r="S603" s="218"/>
      <c r="T603" s="218"/>
      <c r="U603" s="218"/>
    </row>
    <row r="604">
      <c r="C604" s="12"/>
      <c r="D604" s="3"/>
      <c r="E604" s="112"/>
      <c r="F604" s="3"/>
      <c r="G604" s="3"/>
      <c r="H604" s="12"/>
      <c r="K604" s="12"/>
      <c r="M604" s="12"/>
      <c r="R604" s="218"/>
      <c r="S604" s="218"/>
      <c r="T604" s="218"/>
      <c r="U604" s="218"/>
    </row>
    <row r="605">
      <c r="C605" s="12"/>
      <c r="D605" s="3"/>
      <c r="E605" s="112"/>
      <c r="F605" s="3"/>
      <c r="G605" s="3"/>
      <c r="H605" s="12"/>
      <c r="K605" s="12"/>
      <c r="M605" s="12"/>
      <c r="R605" s="218"/>
      <c r="S605" s="218"/>
      <c r="T605" s="218"/>
      <c r="U605" s="218"/>
    </row>
    <row r="606">
      <c r="C606" s="12"/>
      <c r="D606" s="3"/>
      <c r="E606" s="112"/>
      <c r="F606" s="3"/>
      <c r="G606" s="3"/>
      <c r="H606" s="12"/>
      <c r="K606" s="12"/>
      <c r="M606" s="12"/>
      <c r="R606" s="218"/>
      <c r="S606" s="218"/>
      <c r="T606" s="218"/>
      <c r="U606" s="218"/>
    </row>
    <row r="607">
      <c r="C607" s="12"/>
      <c r="D607" s="3"/>
      <c r="E607" s="112"/>
      <c r="F607" s="3"/>
      <c r="G607" s="3"/>
      <c r="H607" s="12"/>
      <c r="K607" s="12"/>
      <c r="M607" s="12"/>
      <c r="R607" s="218"/>
      <c r="S607" s="218"/>
      <c r="T607" s="218"/>
      <c r="U607" s="218"/>
    </row>
    <row r="608">
      <c r="C608" s="12"/>
      <c r="D608" s="3"/>
      <c r="E608" s="112"/>
      <c r="F608" s="3"/>
      <c r="G608" s="3"/>
      <c r="H608" s="12"/>
      <c r="K608" s="12"/>
      <c r="M608" s="12"/>
      <c r="R608" s="218"/>
      <c r="S608" s="218"/>
      <c r="T608" s="218"/>
      <c r="U608" s="218"/>
    </row>
    <row r="609">
      <c r="C609" s="12"/>
      <c r="D609" s="3"/>
      <c r="E609" s="112"/>
      <c r="F609" s="3"/>
      <c r="G609" s="3"/>
      <c r="H609" s="12"/>
      <c r="K609" s="12"/>
      <c r="M609" s="12"/>
      <c r="R609" s="218"/>
      <c r="S609" s="218"/>
      <c r="T609" s="218"/>
      <c r="U609" s="218"/>
    </row>
    <row r="610">
      <c r="C610" s="12"/>
      <c r="D610" s="3"/>
      <c r="E610" s="112"/>
      <c r="F610" s="3"/>
      <c r="G610" s="3"/>
      <c r="H610" s="12"/>
      <c r="K610" s="12"/>
      <c r="M610" s="12"/>
      <c r="R610" s="218"/>
      <c r="S610" s="218"/>
      <c r="T610" s="218"/>
      <c r="U610" s="218"/>
    </row>
    <row r="611">
      <c r="C611" s="12"/>
      <c r="D611" s="3"/>
      <c r="E611" s="112"/>
      <c r="F611" s="3"/>
      <c r="G611" s="3"/>
      <c r="H611" s="12"/>
      <c r="K611" s="12"/>
      <c r="M611" s="12"/>
      <c r="R611" s="218"/>
      <c r="S611" s="218"/>
      <c r="T611" s="218"/>
      <c r="U611" s="218"/>
    </row>
    <row r="612">
      <c r="C612" s="12"/>
      <c r="D612" s="3"/>
      <c r="E612" s="112"/>
      <c r="F612" s="3"/>
      <c r="G612" s="3"/>
      <c r="H612" s="12"/>
      <c r="K612" s="12"/>
      <c r="M612" s="12"/>
      <c r="R612" s="218"/>
      <c r="S612" s="218"/>
      <c r="T612" s="218"/>
      <c r="U612" s="218"/>
    </row>
    <row r="613">
      <c r="C613" s="12"/>
      <c r="D613" s="3"/>
      <c r="E613" s="112"/>
      <c r="F613" s="3"/>
      <c r="G613" s="3"/>
      <c r="H613" s="12"/>
      <c r="K613" s="12"/>
      <c r="M613" s="12"/>
      <c r="R613" s="218"/>
      <c r="S613" s="218"/>
      <c r="T613" s="218"/>
      <c r="U613" s="218"/>
    </row>
    <row r="614">
      <c r="C614" s="12"/>
      <c r="D614" s="3"/>
      <c r="E614" s="112"/>
      <c r="F614" s="3"/>
      <c r="G614" s="3"/>
      <c r="H614" s="12"/>
      <c r="K614" s="12"/>
      <c r="M614" s="12"/>
      <c r="R614" s="218"/>
      <c r="S614" s="218"/>
      <c r="T614" s="218"/>
      <c r="U614" s="218"/>
    </row>
    <row r="615">
      <c r="C615" s="12"/>
      <c r="D615" s="3"/>
      <c r="E615" s="112"/>
      <c r="F615" s="3"/>
      <c r="G615" s="3"/>
      <c r="H615" s="12"/>
      <c r="K615" s="12"/>
      <c r="M615" s="12"/>
      <c r="R615" s="218"/>
      <c r="S615" s="218"/>
      <c r="T615" s="218"/>
      <c r="U615" s="218"/>
    </row>
    <row r="616">
      <c r="C616" s="12"/>
      <c r="D616" s="3"/>
      <c r="E616" s="112"/>
      <c r="F616" s="3"/>
      <c r="G616" s="3"/>
      <c r="H616" s="12"/>
      <c r="K616" s="12"/>
      <c r="M616" s="12"/>
      <c r="R616" s="218"/>
      <c r="S616" s="218"/>
      <c r="T616" s="218"/>
      <c r="U616" s="218"/>
    </row>
    <row r="617">
      <c r="C617" s="12"/>
      <c r="D617" s="3"/>
      <c r="E617" s="112"/>
      <c r="F617" s="3"/>
      <c r="G617" s="3"/>
      <c r="H617" s="12"/>
      <c r="K617" s="12"/>
      <c r="M617" s="12"/>
      <c r="R617" s="218"/>
      <c r="S617" s="218"/>
      <c r="T617" s="218"/>
      <c r="U617" s="218"/>
    </row>
    <row r="618">
      <c r="C618" s="12"/>
      <c r="D618" s="3"/>
      <c r="E618" s="112"/>
      <c r="F618" s="3"/>
      <c r="G618" s="3"/>
      <c r="H618" s="12"/>
      <c r="K618" s="12"/>
      <c r="M618" s="12"/>
      <c r="R618" s="218"/>
      <c r="S618" s="218"/>
      <c r="T618" s="218"/>
      <c r="U618" s="218"/>
    </row>
    <row r="619">
      <c r="C619" s="12"/>
      <c r="D619" s="3"/>
      <c r="E619" s="112"/>
      <c r="F619" s="3"/>
      <c r="G619" s="3"/>
      <c r="H619" s="12"/>
      <c r="K619" s="12"/>
      <c r="M619" s="12"/>
      <c r="R619" s="218"/>
      <c r="S619" s="218"/>
      <c r="T619" s="218"/>
      <c r="U619" s="218"/>
    </row>
    <row r="620">
      <c r="C620" s="12"/>
      <c r="D620" s="3"/>
      <c r="E620" s="112"/>
      <c r="F620" s="3"/>
      <c r="G620" s="3"/>
      <c r="H620" s="12"/>
      <c r="K620" s="12"/>
      <c r="M620" s="12"/>
      <c r="R620" s="218"/>
      <c r="S620" s="218"/>
      <c r="T620" s="218"/>
      <c r="U620" s="218"/>
    </row>
    <row r="621">
      <c r="C621" s="12"/>
      <c r="D621" s="3"/>
      <c r="E621" s="112"/>
      <c r="F621" s="3"/>
      <c r="G621" s="3"/>
      <c r="H621" s="12"/>
      <c r="K621" s="12"/>
      <c r="M621" s="12"/>
      <c r="R621" s="218"/>
      <c r="S621" s="218"/>
      <c r="T621" s="218"/>
      <c r="U621" s="218"/>
    </row>
    <row r="622">
      <c r="C622" s="12"/>
      <c r="D622" s="3"/>
      <c r="E622" s="112"/>
      <c r="F622" s="3"/>
      <c r="G622" s="3"/>
      <c r="H622" s="12"/>
      <c r="K622" s="12"/>
      <c r="M622" s="12"/>
      <c r="R622" s="218"/>
      <c r="S622" s="218"/>
      <c r="T622" s="218"/>
      <c r="U622" s="218"/>
    </row>
    <row r="623">
      <c r="C623" s="12"/>
      <c r="D623" s="3"/>
      <c r="E623" s="112"/>
      <c r="F623" s="3"/>
      <c r="G623" s="3"/>
      <c r="H623" s="12"/>
      <c r="K623" s="12"/>
      <c r="M623" s="12"/>
      <c r="R623" s="218"/>
      <c r="S623" s="218"/>
      <c r="T623" s="218"/>
      <c r="U623" s="218"/>
    </row>
    <row r="624">
      <c r="C624" s="12"/>
      <c r="D624" s="3"/>
      <c r="E624" s="112"/>
      <c r="F624" s="3"/>
      <c r="G624" s="3"/>
      <c r="H624" s="12"/>
      <c r="K624" s="12"/>
      <c r="M624" s="12"/>
      <c r="R624" s="218"/>
      <c r="S624" s="218"/>
      <c r="T624" s="218"/>
      <c r="U624" s="218"/>
    </row>
    <row r="625">
      <c r="C625" s="12"/>
      <c r="D625" s="3"/>
      <c r="E625" s="112"/>
      <c r="F625" s="3"/>
      <c r="G625" s="3"/>
      <c r="H625" s="12"/>
      <c r="K625" s="12"/>
      <c r="M625" s="12"/>
      <c r="R625" s="218"/>
      <c r="S625" s="218"/>
      <c r="T625" s="218"/>
      <c r="U625" s="218"/>
    </row>
    <row r="626">
      <c r="C626" s="12"/>
      <c r="D626" s="3"/>
      <c r="E626" s="112"/>
      <c r="F626" s="3"/>
      <c r="G626" s="3"/>
      <c r="H626" s="12"/>
      <c r="K626" s="12"/>
      <c r="M626" s="12"/>
      <c r="R626" s="218"/>
      <c r="S626" s="218"/>
      <c r="T626" s="218"/>
      <c r="U626" s="218"/>
    </row>
    <row r="627">
      <c r="C627" s="12"/>
      <c r="D627" s="3"/>
      <c r="E627" s="112"/>
      <c r="F627" s="3"/>
      <c r="G627" s="3"/>
      <c r="H627" s="12"/>
      <c r="K627" s="12"/>
      <c r="M627" s="12"/>
      <c r="R627" s="218"/>
      <c r="S627" s="218"/>
      <c r="T627" s="218"/>
      <c r="U627" s="218"/>
    </row>
    <row r="628">
      <c r="C628" s="12"/>
      <c r="D628" s="3"/>
      <c r="E628" s="112"/>
      <c r="F628" s="3"/>
      <c r="G628" s="3"/>
      <c r="H628" s="12"/>
      <c r="K628" s="12"/>
      <c r="M628" s="12"/>
      <c r="R628" s="218"/>
      <c r="S628" s="218"/>
      <c r="T628" s="218"/>
      <c r="U628" s="218"/>
    </row>
    <row r="629">
      <c r="C629" s="12"/>
      <c r="D629" s="3"/>
      <c r="E629" s="112"/>
      <c r="F629" s="3"/>
      <c r="G629" s="3"/>
      <c r="H629" s="12"/>
      <c r="K629" s="12"/>
      <c r="M629" s="12"/>
      <c r="R629" s="218"/>
      <c r="S629" s="218"/>
      <c r="T629" s="218"/>
      <c r="U629" s="218"/>
    </row>
    <row r="630">
      <c r="C630" s="12"/>
      <c r="D630" s="3"/>
      <c r="E630" s="112"/>
      <c r="F630" s="3"/>
      <c r="G630" s="3"/>
      <c r="H630" s="12"/>
      <c r="K630" s="12"/>
      <c r="M630" s="12"/>
      <c r="R630" s="218"/>
      <c r="S630" s="218"/>
      <c r="T630" s="218"/>
      <c r="U630" s="218"/>
    </row>
    <row r="631">
      <c r="C631" s="12"/>
      <c r="D631" s="3"/>
      <c r="E631" s="112"/>
      <c r="F631" s="3"/>
      <c r="G631" s="3"/>
      <c r="H631" s="12"/>
      <c r="K631" s="12"/>
      <c r="M631" s="12"/>
      <c r="R631" s="218"/>
      <c r="S631" s="218"/>
      <c r="T631" s="218"/>
      <c r="U631" s="218"/>
    </row>
    <row r="632">
      <c r="C632" s="12"/>
      <c r="D632" s="3"/>
      <c r="E632" s="112"/>
      <c r="F632" s="3"/>
      <c r="G632" s="3"/>
      <c r="H632" s="12"/>
      <c r="K632" s="12"/>
      <c r="M632" s="12"/>
      <c r="R632" s="218"/>
      <c r="S632" s="218"/>
      <c r="T632" s="218"/>
      <c r="U632" s="218"/>
    </row>
    <row r="633">
      <c r="C633" s="12"/>
      <c r="D633" s="3"/>
      <c r="E633" s="112"/>
      <c r="F633" s="3"/>
      <c r="G633" s="3"/>
      <c r="H633" s="12"/>
      <c r="K633" s="12"/>
      <c r="M633" s="12"/>
      <c r="R633" s="218"/>
      <c r="S633" s="218"/>
      <c r="T633" s="218"/>
      <c r="U633" s="218"/>
    </row>
    <row r="634">
      <c r="C634" s="12"/>
      <c r="D634" s="3"/>
      <c r="E634" s="112"/>
      <c r="F634" s="3"/>
      <c r="G634" s="3"/>
      <c r="H634" s="12"/>
      <c r="K634" s="12"/>
      <c r="M634" s="12"/>
      <c r="R634" s="218"/>
      <c r="S634" s="218"/>
      <c r="T634" s="218"/>
      <c r="U634" s="218"/>
    </row>
    <row r="635">
      <c r="C635" s="12"/>
      <c r="D635" s="3"/>
      <c r="E635" s="112"/>
      <c r="F635" s="3"/>
      <c r="G635" s="3"/>
      <c r="H635" s="12"/>
      <c r="K635" s="12"/>
      <c r="M635" s="12"/>
      <c r="R635" s="218"/>
      <c r="S635" s="218"/>
      <c r="T635" s="218"/>
      <c r="U635" s="218"/>
    </row>
    <row r="636">
      <c r="C636" s="12"/>
      <c r="D636" s="3"/>
      <c r="E636" s="112"/>
      <c r="F636" s="3"/>
      <c r="G636" s="3"/>
      <c r="H636" s="12"/>
      <c r="K636" s="12"/>
      <c r="M636" s="12"/>
      <c r="R636" s="218"/>
      <c r="S636" s="218"/>
      <c r="T636" s="218"/>
      <c r="U636" s="218"/>
    </row>
    <row r="637">
      <c r="C637" s="12"/>
      <c r="D637" s="3"/>
      <c r="E637" s="112"/>
      <c r="F637" s="3"/>
      <c r="G637" s="3"/>
      <c r="H637" s="12"/>
      <c r="K637" s="12"/>
      <c r="M637" s="12"/>
      <c r="R637" s="218"/>
      <c r="S637" s="218"/>
      <c r="T637" s="218"/>
      <c r="U637" s="218"/>
    </row>
    <row r="638">
      <c r="C638" s="12"/>
      <c r="D638" s="3"/>
      <c r="E638" s="112"/>
      <c r="F638" s="3"/>
      <c r="G638" s="3"/>
      <c r="H638" s="12"/>
      <c r="K638" s="12"/>
      <c r="M638" s="12"/>
      <c r="R638" s="218"/>
      <c r="S638" s="218"/>
      <c r="T638" s="218"/>
      <c r="U638" s="218"/>
    </row>
    <row r="639">
      <c r="C639" s="12"/>
      <c r="D639" s="3"/>
      <c r="E639" s="112"/>
      <c r="F639" s="3"/>
      <c r="G639" s="3"/>
      <c r="H639" s="12"/>
      <c r="K639" s="12"/>
      <c r="M639" s="12"/>
      <c r="R639" s="218"/>
      <c r="S639" s="218"/>
      <c r="T639" s="218"/>
      <c r="U639" s="218"/>
    </row>
    <row r="640">
      <c r="C640" s="12"/>
      <c r="D640" s="3"/>
      <c r="E640" s="112"/>
      <c r="F640" s="3"/>
      <c r="G640" s="3"/>
      <c r="H640" s="12"/>
      <c r="K640" s="12"/>
      <c r="M640" s="12"/>
      <c r="R640" s="218"/>
      <c r="S640" s="218"/>
      <c r="T640" s="218"/>
      <c r="U640" s="218"/>
    </row>
    <row r="641">
      <c r="C641" s="12"/>
      <c r="D641" s="3"/>
      <c r="E641" s="112"/>
      <c r="F641" s="3"/>
      <c r="G641" s="3"/>
      <c r="H641" s="12"/>
      <c r="K641" s="12"/>
      <c r="M641" s="12"/>
      <c r="R641" s="218"/>
      <c r="S641" s="218"/>
      <c r="T641" s="218"/>
      <c r="U641" s="218"/>
    </row>
    <row r="642">
      <c r="C642" s="12"/>
      <c r="D642" s="3"/>
      <c r="E642" s="112"/>
      <c r="F642" s="3"/>
      <c r="G642" s="3"/>
      <c r="H642" s="12"/>
      <c r="K642" s="12"/>
      <c r="M642" s="12"/>
      <c r="R642" s="218"/>
      <c r="S642" s="218"/>
      <c r="T642" s="218"/>
      <c r="U642" s="218"/>
    </row>
    <row r="643">
      <c r="C643" s="12"/>
      <c r="D643" s="3"/>
      <c r="E643" s="112"/>
      <c r="F643" s="3"/>
      <c r="G643" s="3"/>
      <c r="H643" s="12"/>
      <c r="K643" s="12"/>
      <c r="M643" s="12"/>
      <c r="R643" s="218"/>
      <c r="S643" s="218"/>
      <c r="T643" s="218"/>
      <c r="U643" s="218"/>
    </row>
    <row r="644">
      <c r="C644" s="12"/>
      <c r="D644" s="3"/>
      <c r="E644" s="112"/>
      <c r="F644" s="3"/>
      <c r="G644" s="3"/>
      <c r="H644" s="12"/>
      <c r="K644" s="12"/>
      <c r="M644" s="12"/>
      <c r="R644" s="218"/>
      <c r="S644" s="218"/>
      <c r="T644" s="218"/>
      <c r="U644" s="218"/>
    </row>
    <row r="645">
      <c r="C645" s="12"/>
      <c r="D645" s="3"/>
      <c r="E645" s="112"/>
      <c r="F645" s="3"/>
      <c r="G645" s="3"/>
      <c r="H645" s="12"/>
      <c r="K645" s="12"/>
      <c r="M645" s="12"/>
      <c r="R645" s="218"/>
      <c r="S645" s="218"/>
      <c r="T645" s="218"/>
      <c r="U645" s="218"/>
    </row>
    <row r="646">
      <c r="C646" s="12"/>
      <c r="D646" s="3"/>
      <c r="E646" s="112"/>
      <c r="F646" s="3"/>
      <c r="G646" s="3"/>
      <c r="H646" s="12"/>
      <c r="K646" s="12"/>
      <c r="M646" s="12"/>
      <c r="R646" s="218"/>
      <c r="S646" s="218"/>
      <c r="T646" s="218"/>
      <c r="U646" s="218"/>
    </row>
    <row r="647">
      <c r="C647" s="12"/>
      <c r="D647" s="3"/>
      <c r="E647" s="112"/>
      <c r="F647" s="3"/>
      <c r="G647" s="3"/>
      <c r="H647" s="12"/>
      <c r="K647" s="12"/>
      <c r="M647" s="12"/>
      <c r="R647" s="218"/>
      <c r="S647" s="218"/>
      <c r="T647" s="218"/>
      <c r="U647" s="218"/>
    </row>
    <row r="648">
      <c r="C648" s="12"/>
      <c r="D648" s="3"/>
      <c r="E648" s="112"/>
      <c r="F648" s="3"/>
      <c r="G648" s="3"/>
      <c r="H648" s="12"/>
      <c r="K648" s="12"/>
      <c r="M648" s="12"/>
      <c r="R648" s="218"/>
      <c r="S648" s="218"/>
      <c r="T648" s="218"/>
      <c r="U648" s="218"/>
    </row>
    <row r="649">
      <c r="C649" s="12"/>
      <c r="D649" s="3"/>
      <c r="E649" s="112"/>
      <c r="F649" s="3"/>
      <c r="G649" s="3"/>
      <c r="H649" s="12"/>
      <c r="K649" s="12"/>
      <c r="M649" s="12"/>
      <c r="R649" s="218"/>
      <c r="S649" s="218"/>
      <c r="T649" s="218"/>
      <c r="U649" s="218"/>
    </row>
    <row r="650">
      <c r="C650" s="12"/>
      <c r="D650" s="3"/>
      <c r="E650" s="112"/>
      <c r="F650" s="3"/>
      <c r="G650" s="3"/>
      <c r="H650" s="12"/>
      <c r="K650" s="12"/>
      <c r="M650" s="12"/>
      <c r="R650" s="218"/>
      <c r="S650" s="218"/>
      <c r="T650" s="218"/>
      <c r="U650" s="218"/>
    </row>
    <row r="651">
      <c r="C651" s="12"/>
      <c r="D651" s="3"/>
      <c r="E651" s="112"/>
      <c r="F651" s="3"/>
      <c r="G651" s="3"/>
      <c r="H651" s="12"/>
      <c r="K651" s="12"/>
      <c r="M651" s="12"/>
      <c r="R651" s="218"/>
      <c r="S651" s="218"/>
      <c r="T651" s="218"/>
      <c r="U651" s="218"/>
    </row>
    <row r="652">
      <c r="C652" s="12"/>
      <c r="D652" s="3"/>
      <c r="E652" s="112"/>
      <c r="F652" s="3"/>
      <c r="G652" s="3"/>
      <c r="H652" s="12"/>
      <c r="K652" s="12"/>
      <c r="M652" s="12"/>
      <c r="R652" s="218"/>
      <c r="S652" s="218"/>
      <c r="T652" s="218"/>
      <c r="U652" s="218"/>
    </row>
    <row r="653">
      <c r="C653" s="12"/>
      <c r="D653" s="3"/>
      <c r="E653" s="112"/>
      <c r="F653" s="3"/>
      <c r="G653" s="3"/>
      <c r="H653" s="12"/>
      <c r="K653" s="12"/>
      <c r="M653" s="12"/>
      <c r="R653" s="218"/>
      <c r="S653" s="218"/>
      <c r="T653" s="218"/>
      <c r="U653" s="218"/>
    </row>
    <row r="654">
      <c r="C654" s="12"/>
      <c r="D654" s="3"/>
      <c r="E654" s="112"/>
      <c r="F654" s="3"/>
      <c r="G654" s="3"/>
      <c r="H654" s="12"/>
      <c r="K654" s="12"/>
      <c r="M654" s="12"/>
      <c r="R654" s="218"/>
      <c r="S654" s="218"/>
      <c r="T654" s="218"/>
      <c r="U654" s="218"/>
    </row>
    <row r="655">
      <c r="C655" s="12"/>
      <c r="D655" s="3"/>
      <c r="E655" s="112"/>
      <c r="F655" s="3"/>
      <c r="G655" s="3"/>
      <c r="H655" s="12"/>
      <c r="K655" s="12"/>
      <c r="M655" s="12"/>
      <c r="R655" s="218"/>
      <c r="S655" s="218"/>
      <c r="T655" s="218"/>
      <c r="U655" s="218"/>
    </row>
    <row r="656">
      <c r="C656" s="12"/>
      <c r="D656" s="3"/>
      <c r="E656" s="112"/>
      <c r="F656" s="3"/>
      <c r="G656" s="3"/>
      <c r="H656" s="12"/>
      <c r="K656" s="12"/>
      <c r="M656" s="12"/>
      <c r="R656" s="218"/>
      <c r="S656" s="218"/>
      <c r="T656" s="218"/>
      <c r="U656" s="218"/>
    </row>
    <row r="657">
      <c r="C657" s="12"/>
      <c r="D657" s="3"/>
      <c r="E657" s="112"/>
      <c r="F657" s="3"/>
      <c r="G657" s="3"/>
      <c r="H657" s="12"/>
      <c r="K657" s="12"/>
      <c r="M657" s="12"/>
      <c r="R657" s="218"/>
      <c r="S657" s="218"/>
      <c r="T657" s="218"/>
      <c r="U657" s="218"/>
    </row>
    <row r="658">
      <c r="C658" s="12"/>
      <c r="D658" s="3"/>
      <c r="E658" s="112"/>
      <c r="F658" s="3"/>
      <c r="G658" s="3"/>
      <c r="H658" s="12"/>
      <c r="K658" s="12"/>
      <c r="M658" s="12"/>
      <c r="R658" s="218"/>
      <c r="S658" s="218"/>
      <c r="T658" s="218"/>
      <c r="U658" s="218"/>
    </row>
    <row r="659">
      <c r="C659" s="12"/>
      <c r="D659" s="3"/>
      <c r="E659" s="112"/>
      <c r="F659" s="3"/>
      <c r="G659" s="3"/>
      <c r="H659" s="12"/>
      <c r="K659" s="12"/>
      <c r="M659" s="12"/>
      <c r="R659" s="218"/>
      <c r="S659" s="218"/>
      <c r="T659" s="218"/>
      <c r="U659" s="218"/>
    </row>
    <row r="660">
      <c r="C660" s="12"/>
      <c r="D660" s="3"/>
      <c r="E660" s="112"/>
      <c r="F660" s="3"/>
      <c r="G660" s="3"/>
      <c r="H660" s="12"/>
      <c r="K660" s="12"/>
      <c r="M660" s="12"/>
      <c r="R660" s="218"/>
      <c r="S660" s="218"/>
      <c r="T660" s="218"/>
      <c r="U660" s="218"/>
    </row>
    <row r="661">
      <c r="C661" s="12"/>
      <c r="D661" s="3"/>
      <c r="E661" s="112"/>
      <c r="F661" s="3"/>
      <c r="G661" s="3"/>
      <c r="H661" s="12"/>
      <c r="K661" s="12"/>
      <c r="M661" s="12"/>
      <c r="R661" s="218"/>
      <c r="S661" s="218"/>
      <c r="T661" s="218"/>
      <c r="U661" s="218"/>
    </row>
    <row r="662">
      <c r="C662" s="12"/>
      <c r="D662" s="3"/>
      <c r="E662" s="112"/>
      <c r="F662" s="3"/>
      <c r="G662" s="3"/>
      <c r="H662" s="12"/>
      <c r="K662" s="12"/>
      <c r="M662" s="12"/>
      <c r="R662" s="218"/>
      <c r="S662" s="218"/>
      <c r="T662" s="218"/>
      <c r="U662" s="218"/>
    </row>
    <row r="663">
      <c r="C663" s="12"/>
      <c r="D663" s="3"/>
      <c r="E663" s="112"/>
      <c r="F663" s="3"/>
      <c r="G663" s="3"/>
      <c r="H663" s="12"/>
      <c r="K663" s="12"/>
      <c r="M663" s="12"/>
      <c r="R663" s="218"/>
      <c r="S663" s="218"/>
      <c r="T663" s="218"/>
      <c r="U663" s="218"/>
    </row>
    <row r="664">
      <c r="C664" s="12"/>
      <c r="D664" s="3"/>
      <c r="E664" s="112"/>
      <c r="F664" s="3"/>
      <c r="G664" s="3"/>
      <c r="H664" s="12"/>
      <c r="K664" s="12"/>
      <c r="M664" s="12"/>
      <c r="R664" s="218"/>
      <c r="S664" s="218"/>
      <c r="T664" s="218"/>
      <c r="U664" s="218"/>
    </row>
    <row r="665">
      <c r="C665" s="12"/>
      <c r="D665" s="3"/>
      <c r="E665" s="112"/>
      <c r="F665" s="3"/>
      <c r="G665" s="3"/>
      <c r="H665" s="12"/>
      <c r="K665" s="12"/>
      <c r="M665" s="12"/>
      <c r="R665" s="218"/>
      <c r="S665" s="218"/>
      <c r="T665" s="218"/>
      <c r="U665" s="218"/>
    </row>
    <row r="666">
      <c r="C666" s="12"/>
      <c r="D666" s="3"/>
      <c r="E666" s="112"/>
      <c r="F666" s="3"/>
      <c r="G666" s="3"/>
      <c r="H666" s="12"/>
      <c r="K666" s="12"/>
      <c r="M666" s="12"/>
      <c r="R666" s="218"/>
      <c r="S666" s="218"/>
      <c r="T666" s="218"/>
      <c r="U666" s="218"/>
    </row>
    <row r="667">
      <c r="C667" s="12"/>
      <c r="D667" s="3"/>
      <c r="E667" s="112"/>
      <c r="F667" s="3"/>
      <c r="G667" s="3"/>
      <c r="H667" s="12"/>
      <c r="K667" s="12"/>
      <c r="M667" s="12"/>
      <c r="R667" s="218"/>
      <c r="S667" s="218"/>
      <c r="T667" s="218"/>
      <c r="U667" s="218"/>
    </row>
    <row r="668">
      <c r="C668" s="12"/>
      <c r="D668" s="3"/>
      <c r="E668" s="112"/>
      <c r="F668" s="3"/>
      <c r="G668" s="3"/>
      <c r="H668" s="12"/>
      <c r="K668" s="12"/>
      <c r="M668" s="12"/>
      <c r="R668" s="218"/>
      <c r="S668" s="218"/>
      <c r="T668" s="218"/>
      <c r="U668" s="218"/>
    </row>
    <row r="669">
      <c r="C669" s="12"/>
      <c r="D669" s="3"/>
      <c r="E669" s="112"/>
      <c r="F669" s="3"/>
      <c r="G669" s="3"/>
      <c r="H669" s="12"/>
      <c r="K669" s="12"/>
      <c r="M669" s="12"/>
      <c r="R669" s="218"/>
      <c r="S669" s="218"/>
      <c r="T669" s="218"/>
      <c r="U669" s="218"/>
    </row>
    <row r="670">
      <c r="C670" s="12"/>
      <c r="D670" s="3"/>
      <c r="E670" s="112"/>
      <c r="F670" s="3"/>
      <c r="G670" s="3"/>
      <c r="H670" s="12"/>
      <c r="K670" s="12"/>
      <c r="M670" s="12"/>
      <c r="R670" s="218"/>
      <c r="S670" s="218"/>
      <c r="T670" s="218"/>
      <c r="U670" s="218"/>
    </row>
    <row r="671">
      <c r="C671" s="12"/>
      <c r="D671" s="3"/>
      <c r="E671" s="112"/>
      <c r="F671" s="3"/>
      <c r="G671" s="3"/>
      <c r="H671" s="12"/>
      <c r="K671" s="12"/>
      <c r="M671" s="12"/>
      <c r="R671" s="218"/>
      <c r="S671" s="218"/>
      <c r="T671" s="218"/>
      <c r="U671" s="218"/>
    </row>
    <row r="672">
      <c r="C672" s="12"/>
      <c r="D672" s="3"/>
      <c r="E672" s="112"/>
      <c r="F672" s="3"/>
      <c r="G672" s="3"/>
      <c r="H672" s="12"/>
      <c r="K672" s="12"/>
      <c r="M672" s="12"/>
      <c r="R672" s="218"/>
      <c r="S672" s="218"/>
      <c r="T672" s="218"/>
      <c r="U672" s="218"/>
    </row>
    <row r="673">
      <c r="C673" s="12"/>
      <c r="D673" s="3"/>
      <c r="E673" s="112"/>
      <c r="F673" s="3"/>
      <c r="G673" s="3"/>
      <c r="H673" s="12"/>
      <c r="K673" s="12"/>
      <c r="M673" s="12"/>
      <c r="R673" s="218"/>
      <c r="S673" s="218"/>
      <c r="T673" s="218"/>
      <c r="U673" s="218"/>
    </row>
    <row r="674">
      <c r="C674" s="12"/>
      <c r="D674" s="3"/>
      <c r="E674" s="112"/>
      <c r="F674" s="3"/>
      <c r="G674" s="3"/>
      <c r="H674" s="12"/>
      <c r="K674" s="12"/>
      <c r="M674" s="12"/>
      <c r="R674" s="218"/>
      <c r="S674" s="218"/>
      <c r="T674" s="218"/>
      <c r="U674" s="218"/>
    </row>
    <row r="675">
      <c r="C675" s="12"/>
      <c r="D675" s="3"/>
      <c r="E675" s="112"/>
      <c r="F675" s="3"/>
      <c r="G675" s="3"/>
      <c r="H675" s="12"/>
      <c r="K675" s="12"/>
      <c r="M675" s="12"/>
      <c r="R675" s="218"/>
      <c r="S675" s="218"/>
      <c r="T675" s="218"/>
      <c r="U675" s="218"/>
    </row>
    <row r="676">
      <c r="C676" s="12"/>
      <c r="D676" s="3"/>
      <c r="E676" s="112"/>
      <c r="F676" s="3"/>
      <c r="G676" s="3"/>
      <c r="H676" s="12"/>
      <c r="K676" s="12"/>
      <c r="M676" s="12"/>
      <c r="R676" s="218"/>
      <c r="S676" s="218"/>
      <c r="T676" s="218"/>
      <c r="U676" s="218"/>
    </row>
    <row r="677">
      <c r="C677" s="12"/>
      <c r="D677" s="3"/>
      <c r="E677" s="112"/>
      <c r="F677" s="3"/>
      <c r="G677" s="3"/>
      <c r="H677" s="12"/>
      <c r="K677" s="12"/>
      <c r="M677" s="12"/>
      <c r="R677" s="218"/>
      <c r="S677" s="218"/>
      <c r="T677" s="218"/>
      <c r="U677" s="218"/>
    </row>
    <row r="678">
      <c r="C678" s="12"/>
      <c r="D678" s="3"/>
      <c r="E678" s="112"/>
      <c r="F678" s="3"/>
      <c r="G678" s="3"/>
      <c r="H678" s="12"/>
      <c r="K678" s="12"/>
      <c r="M678" s="12"/>
      <c r="R678" s="218"/>
      <c r="S678" s="218"/>
      <c r="T678" s="218"/>
      <c r="U678" s="218"/>
    </row>
    <row r="679">
      <c r="C679" s="12"/>
      <c r="D679" s="3"/>
      <c r="E679" s="112"/>
      <c r="F679" s="3"/>
      <c r="G679" s="3"/>
      <c r="H679" s="12"/>
      <c r="K679" s="12"/>
      <c r="M679" s="12"/>
      <c r="R679" s="218"/>
      <c r="S679" s="218"/>
      <c r="T679" s="218"/>
      <c r="U679" s="218"/>
    </row>
    <row r="680">
      <c r="C680" s="12"/>
      <c r="D680" s="3"/>
      <c r="E680" s="112"/>
      <c r="F680" s="3"/>
      <c r="G680" s="3"/>
      <c r="H680" s="12"/>
      <c r="K680" s="12"/>
      <c r="M680" s="12"/>
      <c r="R680" s="218"/>
      <c r="S680" s="218"/>
      <c r="T680" s="218"/>
      <c r="U680" s="218"/>
    </row>
    <row r="681">
      <c r="C681" s="12"/>
      <c r="D681" s="3"/>
      <c r="E681" s="112"/>
      <c r="F681" s="3"/>
      <c r="G681" s="3"/>
      <c r="H681" s="12"/>
      <c r="K681" s="12"/>
      <c r="M681" s="12"/>
      <c r="R681" s="218"/>
      <c r="S681" s="218"/>
      <c r="T681" s="218"/>
      <c r="U681" s="218"/>
    </row>
    <row r="682">
      <c r="C682" s="12"/>
      <c r="D682" s="3"/>
      <c r="E682" s="112"/>
      <c r="F682" s="3"/>
      <c r="G682" s="3"/>
      <c r="H682" s="12"/>
      <c r="K682" s="12"/>
      <c r="M682" s="12"/>
      <c r="R682" s="218"/>
      <c r="S682" s="218"/>
      <c r="T682" s="218"/>
      <c r="U682" s="218"/>
    </row>
    <row r="683">
      <c r="C683" s="12"/>
      <c r="D683" s="3"/>
      <c r="E683" s="112"/>
      <c r="F683" s="3"/>
      <c r="G683" s="3"/>
      <c r="H683" s="12"/>
      <c r="K683" s="12"/>
      <c r="M683" s="12"/>
      <c r="R683" s="218"/>
      <c r="S683" s="218"/>
      <c r="T683" s="218"/>
      <c r="U683" s="218"/>
    </row>
    <row r="684">
      <c r="C684" s="12"/>
      <c r="D684" s="3"/>
      <c r="E684" s="112"/>
      <c r="F684" s="3"/>
      <c r="G684" s="3"/>
      <c r="H684" s="12"/>
      <c r="K684" s="12"/>
      <c r="M684" s="12"/>
      <c r="R684" s="218"/>
      <c r="S684" s="218"/>
      <c r="T684" s="218"/>
      <c r="U684" s="218"/>
    </row>
    <row r="685">
      <c r="C685" s="12"/>
      <c r="D685" s="3"/>
      <c r="E685" s="112"/>
      <c r="F685" s="3"/>
      <c r="G685" s="3"/>
      <c r="H685" s="12"/>
      <c r="K685" s="12"/>
      <c r="M685" s="12"/>
      <c r="R685" s="218"/>
      <c r="S685" s="218"/>
      <c r="T685" s="218"/>
      <c r="U685" s="218"/>
    </row>
    <row r="686">
      <c r="C686" s="12"/>
      <c r="D686" s="3"/>
      <c r="E686" s="112"/>
      <c r="F686" s="3"/>
      <c r="G686" s="3"/>
      <c r="H686" s="12"/>
      <c r="K686" s="12"/>
      <c r="M686" s="12"/>
      <c r="R686" s="218"/>
      <c r="S686" s="218"/>
      <c r="T686" s="218"/>
      <c r="U686" s="218"/>
    </row>
    <row r="687">
      <c r="C687" s="12"/>
      <c r="D687" s="3"/>
      <c r="E687" s="112"/>
      <c r="F687" s="3"/>
      <c r="G687" s="3"/>
      <c r="H687" s="12"/>
      <c r="K687" s="12"/>
      <c r="M687" s="12"/>
      <c r="R687" s="218"/>
      <c r="S687" s="218"/>
      <c r="T687" s="218"/>
      <c r="U687" s="218"/>
    </row>
    <row r="688">
      <c r="C688" s="12"/>
      <c r="D688" s="3"/>
      <c r="E688" s="112"/>
      <c r="F688" s="3"/>
      <c r="G688" s="3"/>
      <c r="H688" s="12"/>
      <c r="K688" s="12"/>
      <c r="M688" s="12"/>
      <c r="R688" s="218"/>
      <c r="S688" s="218"/>
      <c r="T688" s="218"/>
      <c r="U688" s="218"/>
    </row>
    <row r="689">
      <c r="C689" s="12"/>
      <c r="D689" s="3"/>
      <c r="E689" s="112"/>
      <c r="F689" s="3"/>
      <c r="G689" s="3"/>
      <c r="H689" s="12"/>
      <c r="K689" s="12"/>
      <c r="M689" s="12"/>
      <c r="R689" s="218"/>
      <c r="S689" s="218"/>
      <c r="T689" s="218"/>
      <c r="U689" s="218"/>
    </row>
    <row r="690">
      <c r="C690" s="12"/>
      <c r="D690" s="3"/>
      <c r="E690" s="112"/>
      <c r="F690" s="3"/>
      <c r="G690" s="3"/>
      <c r="H690" s="12"/>
      <c r="K690" s="12"/>
      <c r="M690" s="12"/>
      <c r="R690" s="218"/>
      <c r="S690" s="218"/>
      <c r="T690" s="218"/>
      <c r="U690" s="218"/>
    </row>
    <row r="691">
      <c r="C691" s="12"/>
      <c r="D691" s="3"/>
      <c r="E691" s="112"/>
      <c r="F691" s="3"/>
      <c r="G691" s="3"/>
      <c r="H691" s="12"/>
      <c r="K691" s="12"/>
      <c r="M691" s="12"/>
      <c r="R691" s="218"/>
      <c r="S691" s="218"/>
      <c r="T691" s="218"/>
      <c r="U691" s="218"/>
    </row>
    <row r="692">
      <c r="C692" s="12"/>
      <c r="D692" s="3"/>
      <c r="E692" s="112"/>
      <c r="F692" s="3"/>
      <c r="G692" s="3"/>
      <c r="H692" s="12"/>
      <c r="K692" s="12"/>
      <c r="M692" s="12"/>
      <c r="R692" s="218"/>
      <c r="S692" s="218"/>
      <c r="T692" s="218"/>
      <c r="U692" s="218"/>
    </row>
    <row r="693">
      <c r="C693" s="12"/>
      <c r="D693" s="3"/>
      <c r="E693" s="112"/>
      <c r="F693" s="3"/>
      <c r="G693" s="3"/>
      <c r="H693" s="12"/>
      <c r="K693" s="12"/>
      <c r="M693" s="12"/>
      <c r="R693" s="218"/>
      <c r="S693" s="218"/>
      <c r="T693" s="218"/>
      <c r="U693" s="218"/>
    </row>
    <row r="694">
      <c r="C694" s="12"/>
      <c r="D694" s="3"/>
      <c r="E694" s="112"/>
      <c r="F694" s="3"/>
      <c r="G694" s="3"/>
      <c r="H694" s="12"/>
      <c r="K694" s="12"/>
      <c r="M694" s="12"/>
      <c r="R694" s="218"/>
      <c r="S694" s="218"/>
      <c r="T694" s="218"/>
      <c r="U694" s="218"/>
    </row>
    <row r="695">
      <c r="C695" s="12"/>
      <c r="D695" s="3"/>
      <c r="E695" s="112"/>
      <c r="F695" s="3"/>
      <c r="G695" s="3"/>
      <c r="H695" s="12"/>
      <c r="K695" s="12"/>
      <c r="M695" s="12"/>
      <c r="R695" s="218"/>
      <c r="S695" s="218"/>
      <c r="T695" s="218"/>
      <c r="U695" s="218"/>
    </row>
    <row r="696">
      <c r="C696" s="12"/>
      <c r="D696" s="3"/>
      <c r="E696" s="112"/>
      <c r="F696" s="3"/>
      <c r="G696" s="3"/>
      <c r="H696" s="12"/>
      <c r="K696" s="12"/>
      <c r="M696" s="12"/>
      <c r="R696" s="218"/>
      <c r="S696" s="218"/>
      <c r="T696" s="218"/>
      <c r="U696" s="218"/>
    </row>
    <row r="697">
      <c r="C697" s="12"/>
      <c r="D697" s="3"/>
      <c r="E697" s="112"/>
      <c r="F697" s="3"/>
      <c r="G697" s="3"/>
      <c r="H697" s="12"/>
      <c r="K697" s="12"/>
      <c r="M697" s="12"/>
      <c r="R697" s="218"/>
      <c r="S697" s="218"/>
      <c r="T697" s="218"/>
      <c r="U697" s="218"/>
    </row>
    <row r="698">
      <c r="C698" s="12"/>
      <c r="D698" s="3"/>
      <c r="E698" s="112"/>
      <c r="F698" s="3"/>
      <c r="G698" s="3"/>
      <c r="H698" s="12"/>
      <c r="K698" s="12"/>
      <c r="M698" s="12"/>
      <c r="R698" s="218"/>
      <c r="S698" s="218"/>
      <c r="T698" s="218"/>
      <c r="U698" s="218"/>
    </row>
    <row r="699">
      <c r="C699" s="12"/>
      <c r="D699" s="3"/>
      <c r="E699" s="112"/>
      <c r="F699" s="3"/>
      <c r="G699" s="3"/>
      <c r="H699" s="12"/>
      <c r="K699" s="12"/>
      <c r="M699" s="12"/>
      <c r="R699" s="218"/>
      <c r="S699" s="218"/>
      <c r="T699" s="218"/>
      <c r="U699" s="218"/>
    </row>
    <row r="700">
      <c r="C700" s="12"/>
      <c r="D700" s="3"/>
      <c r="E700" s="112"/>
      <c r="F700" s="3"/>
      <c r="G700" s="3"/>
      <c r="H700" s="12"/>
      <c r="K700" s="12"/>
      <c r="M700" s="12"/>
      <c r="R700" s="218"/>
      <c r="S700" s="218"/>
      <c r="T700" s="218"/>
      <c r="U700" s="218"/>
    </row>
    <row r="701">
      <c r="C701" s="12"/>
      <c r="D701" s="3"/>
      <c r="E701" s="112"/>
      <c r="F701" s="3"/>
      <c r="G701" s="3"/>
      <c r="H701" s="12"/>
      <c r="K701" s="12"/>
      <c r="M701" s="12"/>
      <c r="R701" s="218"/>
      <c r="S701" s="218"/>
      <c r="T701" s="218"/>
      <c r="U701" s="218"/>
    </row>
    <row r="702">
      <c r="C702" s="12"/>
      <c r="D702" s="3"/>
      <c r="E702" s="112"/>
      <c r="F702" s="3"/>
      <c r="G702" s="3"/>
      <c r="H702" s="12"/>
      <c r="K702" s="12"/>
      <c r="M702" s="12"/>
      <c r="R702" s="218"/>
      <c r="S702" s="218"/>
      <c r="T702" s="218"/>
      <c r="U702" s="218"/>
    </row>
    <row r="703">
      <c r="C703" s="12"/>
      <c r="D703" s="3"/>
      <c r="E703" s="112"/>
      <c r="F703" s="3"/>
      <c r="G703" s="3"/>
      <c r="H703" s="12"/>
      <c r="K703" s="12"/>
      <c r="M703" s="12"/>
      <c r="R703" s="218"/>
      <c r="S703" s="218"/>
      <c r="T703" s="218"/>
      <c r="U703" s="218"/>
    </row>
    <row r="704">
      <c r="C704" s="12"/>
      <c r="D704" s="3"/>
      <c r="E704" s="112"/>
      <c r="F704" s="3"/>
      <c r="G704" s="3"/>
      <c r="H704" s="12"/>
      <c r="K704" s="12"/>
      <c r="M704" s="12"/>
      <c r="R704" s="218"/>
      <c r="S704" s="218"/>
      <c r="T704" s="218"/>
      <c r="U704" s="218"/>
    </row>
    <row r="705">
      <c r="C705" s="12"/>
      <c r="D705" s="3"/>
      <c r="E705" s="112"/>
      <c r="F705" s="3"/>
      <c r="G705" s="3"/>
      <c r="H705" s="12"/>
      <c r="K705" s="12"/>
      <c r="M705" s="12"/>
      <c r="R705" s="218"/>
      <c r="S705" s="218"/>
      <c r="T705" s="218"/>
      <c r="U705" s="218"/>
    </row>
    <row r="706">
      <c r="C706" s="12"/>
      <c r="D706" s="3"/>
      <c r="E706" s="112"/>
      <c r="F706" s="3"/>
      <c r="G706" s="3"/>
      <c r="H706" s="12"/>
      <c r="K706" s="12"/>
      <c r="M706" s="12"/>
      <c r="R706" s="218"/>
      <c r="S706" s="218"/>
      <c r="T706" s="218"/>
      <c r="U706" s="218"/>
    </row>
    <row r="707">
      <c r="C707" s="12"/>
      <c r="D707" s="3"/>
      <c r="E707" s="112"/>
      <c r="F707" s="3"/>
      <c r="G707" s="3"/>
      <c r="H707" s="12"/>
      <c r="K707" s="12"/>
      <c r="M707" s="12"/>
      <c r="R707" s="218"/>
      <c r="S707" s="218"/>
      <c r="T707" s="218"/>
      <c r="U707" s="218"/>
    </row>
    <row r="708">
      <c r="C708" s="12"/>
      <c r="D708" s="3"/>
      <c r="E708" s="112"/>
      <c r="F708" s="3"/>
      <c r="G708" s="3"/>
      <c r="H708" s="12"/>
      <c r="K708" s="12"/>
      <c r="M708" s="12"/>
      <c r="R708" s="218"/>
      <c r="S708" s="218"/>
      <c r="T708" s="218"/>
      <c r="U708" s="218"/>
    </row>
    <row r="709">
      <c r="C709" s="12"/>
      <c r="D709" s="3"/>
      <c r="E709" s="112"/>
      <c r="F709" s="3"/>
      <c r="G709" s="3"/>
      <c r="H709" s="12"/>
      <c r="K709" s="12"/>
      <c r="M709" s="12"/>
      <c r="R709" s="218"/>
      <c r="S709" s="218"/>
      <c r="T709" s="218"/>
      <c r="U709" s="218"/>
    </row>
    <row r="710">
      <c r="C710" s="12"/>
      <c r="D710" s="3"/>
      <c r="E710" s="112"/>
      <c r="F710" s="3"/>
      <c r="G710" s="3"/>
      <c r="H710" s="12"/>
      <c r="K710" s="12"/>
      <c r="M710" s="12"/>
      <c r="R710" s="218"/>
      <c r="S710" s="218"/>
      <c r="T710" s="218"/>
      <c r="U710" s="218"/>
    </row>
    <row r="711">
      <c r="C711" s="12"/>
      <c r="D711" s="3"/>
      <c r="E711" s="112"/>
      <c r="F711" s="3"/>
      <c r="G711" s="3"/>
      <c r="H711" s="12"/>
      <c r="K711" s="12"/>
      <c r="M711" s="12"/>
      <c r="R711" s="218"/>
      <c r="S711" s="218"/>
      <c r="T711" s="218"/>
      <c r="U711" s="218"/>
    </row>
    <row r="712">
      <c r="C712" s="12"/>
      <c r="D712" s="3"/>
      <c r="E712" s="112"/>
      <c r="F712" s="3"/>
      <c r="G712" s="3"/>
      <c r="H712" s="12"/>
      <c r="K712" s="12"/>
      <c r="M712" s="12"/>
      <c r="R712" s="218"/>
      <c r="S712" s="218"/>
      <c r="T712" s="218"/>
      <c r="U712" s="218"/>
    </row>
    <row r="713">
      <c r="C713" s="12"/>
      <c r="D713" s="3"/>
      <c r="E713" s="112"/>
      <c r="F713" s="3"/>
      <c r="G713" s="3"/>
      <c r="H713" s="12"/>
      <c r="K713" s="12"/>
      <c r="M713" s="12"/>
      <c r="R713" s="218"/>
      <c r="S713" s="218"/>
      <c r="T713" s="218"/>
      <c r="U713" s="218"/>
    </row>
    <row r="714">
      <c r="C714" s="12"/>
      <c r="D714" s="3"/>
      <c r="E714" s="112"/>
      <c r="F714" s="3"/>
      <c r="G714" s="3"/>
      <c r="H714" s="12"/>
      <c r="K714" s="12"/>
      <c r="M714" s="12"/>
      <c r="R714" s="218"/>
      <c r="S714" s="218"/>
      <c r="T714" s="218"/>
      <c r="U714" s="218"/>
    </row>
    <row r="715">
      <c r="C715" s="12"/>
      <c r="D715" s="3"/>
      <c r="E715" s="112"/>
      <c r="F715" s="3"/>
      <c r="G715" s="3"/>
      <c r="H715" s="12"/>
      <c r="K715" s="12"/>
      <c r="M715" s="12"/>
      <c r="R715" s="218"/>
      <c r="S715" s="218"/>
      <c r="T715" s="218"/>
      <c r="U715" s="218"/>
    </row>
    <row r="716">
      <c r="C716" s="12"/>
      <c r="D716" s="3"/>
      <c r="E716" s="112"/>
      <c r="F716" s="3"/>
      <c r="G716" s="3"/>
      <c r="H716" s="12"/>
      <c r="K716" s="12"/>
      <c r="M716" s="12"/>
      <c r="R716" s="218"/>
      <c r="S716" s="218"/>
      <c r="T716" s="218"/>
      <c r="U716" s="218"/>
    </row>
    <row r="717">
      <c r="C717" s="12"/>
      <c r="D717" s="3"/>
      <c r="E717" s="112"/>
      <c r="F717" s="3"/>
      <c r="G717" s="3"/>
      <c r="H717" s="12"/>
      <c r="K717" s="12"/>
      <c r="M717" s="12"/>
      <c r="R717" s="218"/>
      <c r="S717" s="218"/>
      <c r="T717" s="218"/>
      <c r="U717" s="218"/>
    </row>
    <row r="718">
      <c r="C718" s="12"/>
      <c r="D718" s="3"/>
      <c r="E718" s="112"/>
      <c r="F718" s="3"/>
      <c r="G718" s="3"/>
      <c r="H718" s="12"/>
      <c r="K718" s="12"/>
      <c r="M718" s="12"/>
      <c r="R718" s="218"/>
      <c r="S718" s="218"/>
      <c r="T718" s="218"/>
      <c r="U718" s="218"/>
    </row>
    <row r="719">
      <c r="C719" s="12"/>
      <c r="D719" s="3"/>
      <c r="E719" s="112"/>
      <c r="F719" s="3"/>
      <c r="G719" s="3"/>
      <c r="H719" s="12"/>
      <c r="K719" s="12"/>
      <c r="M719" s="12"/>
      <c r="R719" s="218"/>
      <c r="S719" s="218"/>
      <c r="T719" s="218"/>
      <c r="U719" s="218"/>
    </row>
    <row r="720">
      <c r="C720" s="12"/>
      <c r="D720" s="3"/>
      <c r="E720" s="112"/>
      <c r="F720" s="3"/>
      <c r="G720" s="3"/>
      <c r="H720" s="12"/>
      <c r="K720" s="12"/>
      <c r="M720" s="12"/>
      <c r="R720" s="218"/>
      <c r="S720" s="218"/>
      <c r="T720" s="218"/>
      <c r="U720" s="218"/>
    </row>
    <row r="721">
      <c r="C721" s="12"/>
      <c r="D721" s="3"/>
      <c r="E721" s="112"/>
      <c r="F721" s="3"/>
      <c r="G721" s="3"/>
      <c r="H721" s="12"/>
      <c r="K721" s="12"/>
      <c r="M721" s="12"/>
      <c r="R721" s="218"/>
      <c r="S721" s="218"/>
      <c r="T721" s="218"/>
      <c r="U721" s="218"/>
    </row>
    <row r="722">
      <c r="C722" s="12"/>
      <c r="D722" s="3"/>
      <c r="E722" s="112"/>
      <c r="F722" s="3"/>
      <c r="G722" s="3"/>
      <c r="H722" s="12"/>
      <c r="K722" s="12"/>
      <c r="M722" s="12"/>
      <c r="R722" s="218"/>
      <c r="S722" s="218"/>
      <c r="T722" s="218"/>
      <c r="U722" s="218"/>
    </row>
    <row r="723">
      <c r="C723" s="12"/>
      <c r="D723" s="3"/>
      <c r="E723" s="112"/>
      <c r="F723" s="3"/>
      <c r="G723" s="3"/>
      <c r="H723" s="12"/>
      <c r="K723" s="12"/>
      <c r="M723" s="12"/>
      <c r="R723" s="218"/>
      <c r="S723" s="218"/>
      <c r="T723" s="218"/>
      <c r="U723" s="218"/>
    </row>
    <row r="724">
      <c r="C724" s="12"/>
      <c r="D724" s="3"/>
      <c r="E724" s="112"/>
      <c r="F724" s="3"/>
      <c r="G724" s="3"/>
      <c r="H724" s="12"/>
      <c r="K724" s="12"/>
      <c r="M724" s="12"/>
      <c r="R724" s="218"/>
      <c r="S724" s="218"/>
      <c r="T724" s="218"/>
      <c r="U724" s="218"/>
    </row>
    <row r="725">
      <c r="C725" s="12"/>
      <c r="D725" s="3"/>
      <c r="E725" s="112"/>
      <c r="F725" s="3"/>
      <c r="G725" s="3"/>
      <c r="H725" s="12"/>
      <c r="K725" s="12"/>
      <c r="M725" s="12"/>
      <c r="R725" s="218"/>
      <c r="S725" s="218"/>
      <c r="T725" s="218"/>
      <c r="U725" s="218"/>
    </row>
    <row r="726">
      <c r="C726" s="12"/>
      <c r="D726" s="3"/>
      <c r="E726" s="112"/>
      <c r="F726" s="3"/>
      <c r="G726" s="3"/>
      <c r="H726" s="12"/>
      <c r="K726" s="12"/>
      <c r="M726" s="12"/>
      <c r="R726" s="218"/>
      <c r="S726" s="218"/>
      <c r="T726" s="218"/>
      <c r="U726" s="218"/>
    </row>
    <row r="727">
      <c r="C727" s="12"/>
      <c r="D727" s="3"/>
      <c r="E727" s="112"/>
      <c r="F727" s="3"/>
      <c r="G727" s="3"/>
      <c r="H727" s="12"/>
      <c r="K727" s="12"/>
      <c r="M727" s="12"/>
      <c r="R727" s="218"/>
      <c r="S727" s="218"/>
      <c r="T727" s="218"/>
      <c r="U727" s="218"/>
    </row>
    <row r="728">
      <c r="C728" s="12"/>
      <c r="D728" s="3"/>
      <c r="E728" s="112"/>
      <c r="F728" s="3"/>
      <c r="G728" s="3"/>
      <c r="H728" s="12"/>
      <c r="K728" s="12"/>
      <c r="M728" s="12"/>
      <c r="R728" s="218"/>
      <c r="S728" s="218"/>
      <c r="T728" s="218"/>
      <c r="U728" s="218"/>
    </row>
    <row r="729">
      <c r="C729" s="12"/>
      <c r="D729" s="3"/>
      <c r="E729" s="112"/>
      <c r="F729" s="3"/>
      <c r="G729" s="3"/>
      <c r="H729" s="12"/>
      <c r="K729" s="12"/>
      <c r="M729" s="12"/>
      <c r="R729" s="218"/>
      <c r="S729" s="218"/>
      <c r="T729" s="218"/>
      <c r="U729" s="218"/>
    </row>
    <row r="730">
      <c r="C730" s="12"/>
      <c r="D730" s="3"/>
      <c r="E730" s="112"/>
      <c r="F730" s="3"/>
      <c r="G730" s="3"/>
      <c r="H730" s="12"/>
      <c r="K730" s="12"/>
      <c r="M730" s="12"/>
      <c r="R730" s="218"/>
      <c r="S730" s="218"/>
      <c r="T730" s="218"/>
      <c r="U730" s="218"/>
    </row>
    <row r="731">
      <c r="C731" s="12"/>
      <c r="D731" s="3"/>
      <c r="E731" s="112"/>
      <c r="F731" s="3"/>
      <c r="G731" s="3"/>
      <c r="H731" s="12"/>
      <c r="K731" s="12"/>
      <c r="M731" s="12"/>
      <c r="R731" s="218"/>
      <c r="S731" s="218"/>
      <c r="T731" s="218"/>
      <c r="U731" s="218"/>
    </row>
    <row r="732">
      <c r="C732" s="12"/>
      <c r="D732" s="3"/>
      <c r="E732" s="112"/>
      <c r="F732" s="3"/>
      <c r="G732" s="3"/>
      <c r="H732" s="12"/>
      <c r="K732" s="12"/>
      <c r="M732" s="12"/>
      <c r="R732" s="218"/>
      <c r="S732" s="218"/>
      <c r="T732" s="218"/>
      <c r="U732" s="218"/>
    </row>
    <row r="733">
      <c r="C733" s="12"/>
      <c r="D733" s="3"/>
      <c r="E733" s="112"/>
      <c r="F733" s="3"/>
      <c r="G733" s="3"/>
      <c r="H733" s="12"/>
      <c r="K733" s="12"/>
      <c r="M733" s="12"/>
      <c r="R733" s="218"/>
      <c r="S733" s="218"/>
      <c r="T733" s="218"/>
      <c r="U733" s="218"/>
    </row>
    <row r="734">
      <c r="C734" s="12"/>
      <c r="D734" s="3"/>
      <c r="E734" s="112"/>
      <c r="F734" s="3"/>
      <c r="G734" s="3"/>
      <c r="H734" s="12"/>
      <c r="K734" s="12"/>
      <c r="M734" s="12"/>
      <c r="R734" s="218"/>
      <c r="S734" s="218"/>
      <c r="T734" s="218"/>
      <c r="U734" s="218"/>
    </row>
    <row r="735">
      <c r="C735" s="12"/>
      <c r="D735" s="3"/>
      <c r="E735" s="112"/>
      <c r="F735" s="3"/>
      <c r="G735" s="3"/>
      <c r="H735" s="12"/>
      <c r="K735" s="12"/>
      <c r="M735" s="12"/>
      <c r="R735" s="218"/>
      <c r="S735" s="218"/>
      <c r="T735" s="218"/>
      <c r="U735" s="218"/>
    </row>
    <row r="736">
      <c r="C736" s="12"/>
      <c r="D736" s="3"/>
      <c r="E736" s="112"/>
      <c r="F736" s="3"/>
      <c r="G736" s="3"/>
      <c r="H736" s="12"/>
      <c r="K736" s="12"/>
      <c r="M736" s="12"/>
      <c r="R736" s="218"/>
      <c r="S736" s="218"/>
      <c r="T736" s="218"/>
      <c r="U736" s="218"/>
    </row>
    <row r="737">
      <c r="C737" s="12"/>
      <c r="D737" s="3"/>
      <c r="E737" s="112"/>
      <c r="F737" s="3"/>
      <c r="G737" s="3"/>
      <c r="H737" s="12"/>
      <c r="K737" s="12"/>
      <c r="M737" s="12"/>
      <c r="R737" s="218"/>
      <c r="S737" s="218"/>
      <c r="T737" s="218"/>
      <c r="U737" s="218"/>
    </row>
    <row r="738">
      <c r="C738" s="12"/>
      <c r="D738" s="3"/>
      <c r="E738" s="112"/>
      <c r="F738" s="3"/>
      <c r="G738" s="3"/>
      <c r="H738" s="12"/>
      <c r="K738" s="12"/>
      <c r="M738" s="12"/>
      <c r="R738" s="218"/>
      <c r="S738" s="218"/>
      <c r="T738" s="218"/>
      <c r="U738" s="218"/>
    </row>
    <row r="739">
      <c r="C739" s="12"/>
      <c r="D739" s="3"/>
      <c r="E739" s="112"/>
      <c r="F739" s="3"/>
      <c r="G739" s="3"/>
      <c r="H739" s="12"/>
      <c r="K739" s="12"/>
      <c r="M739" s="12"/>
      <c r="R739" s="218"/>
      <c r="S739" s="218"/>
      <c r="T739" s="218"/>
      <c r="U739" s="218"/>
    </row>
    <row r="740">
      <c r="C740" s="12"/>
      <c r="D740" s="3"/>
      <c r="E740" s="112"/>
      <c r="F740" s="3"/>
      <c r="G740" s="3"/>
      <c r="H740" s="12"/>
      <c r="K740" s="12"/>
      <c r="M740" s="12"/>
      <c r="R740" s="218"/>
      <c r="S740" s="218"/>
      <c r="T740" s="218"/>
      <c r="U740" s="218"/>
    </row>
    <row r="741">
      <c r="C741" s="12"/>
      <c r="D741" s="3"/>
      <c r="E741" s="112"/>
      <c r="F741" s="3"/>
      <c r="G741" s="3"/>
      <c r="H741" s="12"/>
      <c r="K741" s="12"/>
      <c r="M741" s="12"/>
      <c r="R741" s="218"/>
      <c r="S741" s="218"/>
      <c r="T741" s="218"/>
      <c r="U741" s="218"/>
    </row>
    <row r="742">
      <c r="C742" s="12"/>
      <c r="D742" s="3"/>
      <c r="E742" s="112"/>
      <c r="F742" s="3"/>
      <c r="G742" s="3"/>
      <c r="H742" s="12"/>
      <c r="K742" s="12"/>
      <c r="M742" s="12"/>
      <c r="R742" s="218"/>
      <c r="S742" s="218"/>
      <c r="T742" s="218"/>
      <c r="U742" s="218"/>
    </row>
    <row r="743">
      <c r="C743" s="12"/>
      <c r="D743" s="3"/>
      <c r="E743" s="112"/>
      <c r="F743" s="3"/>
      <c r="G743" s="3"/>
      <c r="H743" s="12"/>
      <c r="K743" s="12"/>
      <c r="M743" s="12"/>
      <c r="R743" s="218"/>
      <c r="S743" s="218"/>
      <c r="T743" s="218"/>
      <c r="U743" s="218"/>
    </row>
    <row r="744">
      <c r="C744" s="12"/>
      <c r="D744" s="3"/>
      <c r="E744" s="112"/>
      <c r="F744" s="3"/>
      <c r="G744" s="3"/>
      <c r="H744" s="12"/>
      <c r="K744" s="12"/>
      <c r="M744" s="12"/>
      <c r="R744" s="218"/>
      <c r="S744" s="218"/>
      <c r="T744" s="218"/>
      <c r="U744" s="218"/>
    </row>
    <row r="745">
      <c r="C745" s="12"/>
      <c r="D745" s="3"/>
      <c r="E745" s="112"/>
      <c r="F745" s="3"/>
      <c r="G745" s="3"/>
      <c r="H745" s="12"/>
      <c r="K745" s="12"/>
      <c r="M745" s="12"/>
      <c r="R745" s="218"/>
      <c r="S745" s="218"/>
      <c r="T745" s="218"/>
      <c r="U745" s="218"/>
    </row>
    <row r="746">
      <c r="C746" s="12"/>
      <c r="D746" s="3"/>
      <c r="E746" s="112"/>
      <c r="F746" s="3"/>
      <c r="G746" s="3"/>
      <c r="H746" s="12"/>
      <c r="K746" s="12"/>
      <c r="M746" s="12"/>
      <c r="R746" s="218"/>
      <c r="S746" s="218"/>
      <c r="T746" s="218"/>
      <c r="U746" s="218"/>
    </row>
    <row r="747">
      <c r="C747" s="12"/>
      <c r="D747" s="3"/>
      <c r="E747" s="112"/>
      <c r="F747" s="3"/>
      <c r="G747" s="3"/>
      <c r="H747" s="12"/>
      <c r="K747" s="12"/>
      <c r="M747" s="12"/>
      <c r="R747" s="218"/>
      <c r="S747" s="218"/>
      <c r="T747" s="218"/>
      <c r="U747" s="218"/>
    </row>
    <row r="748">
      <c r="C748" s="12"/>
      <c r="D748" s="3"/>
      <c r="E748" s="112"/>
      <c r="F748" s="3"/>
      <c r="G748" s="3"/>
      <c r="H748" s="12"/>
      <c r="K748" s="12"/>
      <c r="M748" s="12"/>
      <c r="R748" s="218"/>
      <c r="S748" s="218"/>
      <c r="T748" s="218"/>
      <c r="U748" s="218"/>
    </row>
    <row r="749">
      <c r="C749" s="12"/>
      <c r="D749" s="3"/>
      <c r="E749" s="112"/>
      <c r="F749" s="3"/>
      <c r="G749" s="3"/>
      <c r="H749" s="12"/>
      <c r="K749" s="12"/>
      <c r="M749" s="12"/>
      <c r="R749" s="218"/>
      <c r="S749" s="218"/>
      <c r="T749" s="218"/>
      <c r="U749" s="218"/>
    </row>
    <row r="750">
      <c r="C750" s="12"/>
      <c r="D750" s="3"/>
      <c r="E750" s="112"/>
      <c r="F750" s="3"/>
      <c r="G750" s="3"/>
      <c r="H750" s="12"/>
      <c r="K750" s="12"/>
      <c r="M750" s="12"/>
      <c r="R750" s="218"/>
      <c r="S750" s="218"/>
      <c r="T750" s="218"/>
      <c r="U750" s="218"/>
    </row>
    <row r="751">
      <c r="C751" s="12"/>
      <c r="D751" s="3"/>
      <c r="E751" s="112"/>
      <c r="F751" s="3"/>
      <c r="G751" s="3"/>
      <c r="H751" s="12"/>
      <c r="K751" s="12"/>
      <c r="M751" s="12"/>
      <c r="R751" s="218"/>
      <c r="S751" s="218"/>
      <c r="T751" s="218"/>
      <c r="U751" s="218"/>
    </row>
    <row r="752">
      <c r="C752" s="12"/>
      <c r="D752" s="3"/>
      <c r="E752" s="112"/>
      <c r="F752" s="3"/>
      <c r="G752" s="3"/>
      <c r="H752" s="12"/>
      <c r="K752" s="12"/>
      <c r="M752" s="12"/>
      <c r="R752" s="218"/>
      <c r="S752" s="218"/>
      <c r="T752" s="218"/>
      <c r="U752" s="218"/>
    </row>
    <row r="753">
      <c r="C753" s="12"/>
      <c r="D753" s="3"/>
      <c r="E753" s="112"/>
      <c r="F753" s="3"/>
      <c r="G753" s="3"/>
      <c r="H753" s="12"/>
      <c r="K753" s="12"/>
      <c r="M753" s="12"/>
      <c r="R753" s="218"/>
      <c r="S753" s="218"/>
      <c r="T753" s="218"/>
      <c r="U753" s="218"/>
    </row>
    <row r="754">
      <c r="C754" s="12"/>
      <c r="D754" s="3"/>
      <c r="E754" s="112"/>
      <c r="F754" s="3"/>
      <c r="G754" s="3"/>
      <c r="H754" s="12"/>
      <c r="K754" s="12"/>
      <c r="M754" s="12"/>
      <c r="R754" s="218"/>
      <c r="S754" s="218"/>
      <c r="T754" s="218"/>
      <c r="U754" s="218"/>
    </row>
    <row r="755">
      <c r="C755" s="12"/>
      <c r="D755" s="3"/>
      <c r="E755" s="112"/>
      <c r="F755" s="3"/>
      <c r="G755" s="3"/>
      <c r="H755" s="12"/>
      <c r="K755" s="12"/>
      <c r="M755" s="12"/>
      <c r="R755" s="218"/>
      <c r="S755" s="218"/>
      <c r="T755" s="218"/>
      <c r="U755" s="218"/>
    </row>
    <row r="756">
      <c r="C756" s="12"/>
      <c r="D756" s="3"/>
      <c r="E756" s="112"/>
      <c r="F756" s="3"/>
      <c r="G756" s="3"/>
      <c r="H756" s="12"/>
      <c r="K756" s="12"/>
      <c r="M756" s="12"/>
      <c r="R756" s="218"/>
      <c r="S756" s="218"/>
      <c r="T756" s="218"/>
      <c r="U756" s="218"/>
    </row>
    <row r="757">
      <c r="C757" s="12"/>
      <c r="D757" s="3"/>
      <c r="E757" s="112"/>
      <c r="F757" s="3"/>
      <c r="G757" s="3"/>
      <c r="H757" s="12"/>
      <c r="K757" s="12"/>
      <c r="M757" s="12"/>
      <c r="R757" s="218"/>
      <c r="S757" s="218"/>
      <c r="T757" s="218"/>
      <c r="U757" s="218"/>
    </row>
    <row r="758">
      <c r="C758" s="12"/>
      <c r="D758" s="3"/>
      <c r="E758" s="112"/>
      <c r="F758" s="3"/>
      <c r="G758" s="3"/>
      <c r="H758" s="12"/>
      <c r="K758" s="12"/>
      <c r="M758" s="12"/>
      <c r="R758" s="218"/>
      <c r="S758" s="218"/>
      <c r="T758" s="218"/>
      <c r="U758" s="218"/>
    </row>
    <row r="759">
      <c r="C759" s="12"/>
      <c r="D759" s="3"/>
      <c r="E759" s="112"/>
      <c r="F759" s="3"/>
      <c r="G759" s="3"/>
      <c r="H759" s="12"/>
      <c r="K759" s="12"/>
      <c r="M759" s="12"/>
      <c r="R759" s="218"/>
      <c r="S759" s="218"/>
      <c r="T759" s="218"/>
      <c r="U759" s="218"/>
    </row>
    <row r="760">
      <c r="C760" s="12"/>
      <c r="D760" s="3"/>
      <c r="E760" s="112"/>
      <c r="F760" s="3"/>
      <c r="G760" s="3"/>
      <c r="H760" s="12"/>
      <c r="K760" s="12"/>
      <c r="M760" s="12"/>
      <c r="R760" s="218"/>
      <c r="S760" s="218"/>
      <c r="T760" s="218"/>
      <c r="U760" s="218"/>
    </row>
    <row r="761">
      <c r="C761" s="12"/>
      <c r="D761" s="3"/>
      <c r="E761" s="112"/>
      <c r="F761" s="3"/>
      <c r="G761" s="3"/>
      <c r="H761" s="12"/>
      <c r="K761" s="12"/>
      <c r="M761" s="12"/>
      <c r="R761" s="218"/>
      <c r="S761" s="218"/>
      <c r="T761" s="218"/>
      <c r="U761" s="218"/>
    </row>
    <row r="762">
      <c r="C762" s="12"/>
      <c r="D762" s="3"/>
      <c r="E762" s="112"/>
      <c r="F762" s="3"/>
      <c r="G762" s="3"/>
      <c r="H762" s="12"/>
      <c r="K762" s="12"/>
      <c r="M762" s="12"/>
      <c r="R762" s="218"/>
      <c r="S762" s="218"/>
      <c r="T762" s="218"/>
      <c r="U762" s="218"/>
    </row>
    <row r="763">
      <c r="C763" s="12"/>
      <c r="D763" s="3"/>
      <c r="E763" s="112"/>
      <c r="F763" s="3"/>
      <c r="G763" s="3"/>
      <c r="H763" s="12"/>
      <c r="K763" s="12"/>
      <c r="M763" s="12"/>
      <c r="R763" s="218"/>
      <c r="S763" s="218"/>
      <c r="T763" s="218"/>
      <c r="U763" s="218"/>
    </row>
    <row r="764">
      <c r="C764" s="12"/>
      <c r="D764" s="3"/>
      <c r="E764" s="112"/>
      <c r="F764" s="3"/>
      <c r="G764" s="3"/>
      <c r="H764" s="12"/>
      <c r="K764" s="12"/>
      <c r="M764" s="12"/>
      <c r="R764" s="218"/>
      <c r="S764" s="218"/>
      <c r="T764" s="218"/>
      <c r="U764" s="218"/>
    </row>
    <row r="765">
      <c r="C765" s="12"/>
      <c r="D765" s="3"/>
      <c r="E765" s="112"/>
      <c r="F765" s="3"/>
      <c r="G765" s="3"/>
      <c r="H765" s="12"/>
      <c r="K765" s="12"/>
      <c r="M765" s="12"/>
      <c r="R765" s="218"/>
      <c r="S765" s="218"/>
      <c r="T765" s="218"/>
      <c r="U765" s="218"/>
    </row>
    <row r="766">
      <c r="C766" s="12"/>
      <c r="D766" s="3"/>
      <c r="E766" s="112"/>
      <c r="F766" s="3"/>
      <c r="G766" s="3"/>
      <c r="H766" s="12"/>
      <c r="K766" s="12"/>
      <c r="M766" s="12"/>
      <c r="R766" s="218"/>
      <c r="S766" s="218"/>
      <c r="T766" s="218"/>
      <c r="U766" s="218"/>
    </row>
    <row r="767">
      <c r="C767" s="12"/>
      <c r="D767" s="3"/>
      <c r="E767" s="112"/>
      <c r="F767" s="3"/>
      <c r="G767" s="3"/>
      <c r="H767" s="12"/>
      <c r="K767" s="12"/>
      <c r="M767" s="12"/>
      <c r="R767" s="218"/>
      <c r="S767" s="218"/>
      <c r="T767" s="218"/>
      <c r="U767" s="218"/>
    </row>
    <row r="768">
      <c r="C768" s="12"/>
      <c r="D768" s="3"/>
      <c r="E768" s="112"/>
      <c r="F768" s="3"/>
      <c r="G768" s="3"/>
      <c r="H768" s="12"/>
      <c r="K768" s="12"/>
      <c r="M768" s="12"/>
      <c r="R768" s="218"/>
      <c r="S768" s="218"/>
      <c r="T768" s="218"/>
      <c r="U768" s="218"/>
    </row>
    <row r="769">
      <c r="C769" s="12"/>
      <c r="D769" s="3"/>
      <c r="E769" s="112"/>
      <c r="F769" s="3"/>
      <c r="G769" s="3"/>
      <c r="H769" s="12"/>
      <c r="K769" s="12"/>
      <c r="M769" s="12"/>
      <c r="R769" s="218"/>
      <c r="S769" s="218"/>
      <c r="T769" s="218"/>
      <c r="U769" s="218"/>
    </row>
    <row r="770">
      <c r="C770" s="12"/>
      <c r="D770" s="3"/>
      <c r="E770" s="112"/>
      <c r="F770" s="3"/>
      <c r="G770" s="3"/>
      <c r="H770" s="12"/>
      <c r="K770" s="12"/>
      <c r="M770" s="12"/>
      <c r="R770" s="218"/>
      <c r="S770" s="218"/>
      <c r="T770" s="218"/>
      <c r="U770" s="218"/>
    </row>
    <row r="771">
      <c r="C771" s="12"/>
      <c r="D771" s="3"/>
      <c r="E771" s="112"/>
      <c r="F771" s="3"/>
      <c r="G771" s="3"/>
      <c r="H771" s="12"/>
      <c r="K771" s="12"/>
      <c r="M771" s="12"/>
      <c r="R771" s="218"/>
      <c r="S771" s="218"/>
      <c r="T771" s="218"/>
      <c r="U771" s="218"/>
    </row>
    <row r="772">
      <c r="C772" s="12"/>
      <c r="D772" s="3"/>
      <c r="E772" s="112"/>
      <c r="F772" s="3"/>
      <c r="G772" s="3"/>
      <c r="H772" s="12"/>
      <c r="K772" s="12"/>
      <c r="M772" s="12"/>
      <c r="R772" s="218"/>
      <c r="S772" s="218"/>
      <c r="T772" s="218"/>
      <c r="U772" s="218"/>
    </row>
    <row r="773">
      <c r="C773" s="12"/>
      <c r="D773" s="3"/>
      <c r="E773" s="112"/>
      <c r="F773" s="3"/>
      <c r="G773" s="3"/>
      <c r="H773" s="12"/>
      <c r="K773" s="12"/>
      <c r="M773" s="12"/>
      <c r="R773" s="218"/>
      <c r="S773" s="218"/>
      <c r="T773" s="218"/>
      <c r="U773" s="218"/>
    </row>
    <row r="774">
      <c r="C774" s="12"/>
      <c r="D774" s="3"/>
      <c r="E774" s="112"/>
      <c r="F774" s="3"/>
      <c r="G774" s="3"/>
      <c r="H774" s="12"/>
      <c r="K774" s="12"/>
      <c r="M774" s="12"/>
      <c r="R774" s="218"/>
      <c r="S774" s="218"/>
      <c r="T774" s="218"/>
      <c r="U774" s="218"/>
    </row>
    <row r="775">
      <c r="C775" s="12"/>
      <c r="D775" s="3"/>
      <c r="E775" s="112"/>
      <c r="F775" s="3"/>
      <c r="G775" s="3"/>
      <c r="H775" s="12"/>
      <c r="K775" s="12"/>
      <c r="M775" s="12"/>
      <c r="R775" s="218"/>
      <c r="S775" s="218"/>
      <c r="T775" s="218"/>
      <c r="U775" s="218"/>
    </row>
    <row r="776">
      <c r="C776" s="12"/>
      <c r="D776" s="3"/>
      <c r="E776" s="112"/>
      <c r="F776" s="3"/>
      <c r="G776" s="3"/>
      <c r="H776" s="12"/>
      <c r="K776" s="12"/>
      <c r="M776" s="12"/>
      <c r="R776" s="218"/>
      <c r="S776" s="218"/>
      <c r="T776" s="218"/>
      <c r="U776" s="218"/>
    </row>
    <row r="777">
      <c r="C777" s="12"/>
      <c r="D777" s="3"/>
      <c r="E777" s="112"/>
      <c r="F777" s="3"/>
      <c r="G777" s="3"/>
      <c r="H777" s="12"/>
      <c r="K777" s="12"/>
      <c r="M777" s="12"/>
      <c r="R777" s="218"/>
      <c r="S777" s="218"/>
      <c r="T777" s="218"/>
      <c r="U777" s="218"/>
    </row>
    <row r="778">
      <c r="C778" s="12"/>
      <c r="D778" s="3"/>
      <c r="E778" s="112"/>
      <c r="F778" s="3"/>
      <c r="G778" s="3"/>
      <c r="H778" s="12"/>
      <c r="K778" s="12"/>
      <c r="M778" s="12"/>
      <c r="R778" s="218"/>
      <c r="S778" s="218"/>
      <c r="T778" s="218"/>
      <c r="U778" s="218"/>
    </row>
    <row r="779">
      <c r="C779" s="12"/>
      <c r="D779" s="3"/>
      <c r="E779" s="112"/>
      <c r="F779" s="3"/>
      <c r="G779" s="3"/>
      <c r="H779" s="12"/>
      <c r="K779" s="12"/>
      <c r="M779" s="12"/>
      <c r="R779" s="218"/>
      <c r="S779" s="218"/>
      <c r="T779" s="218"/>
      <c r="U779" s="218"/>
    </row>
    <row r="780">
      <c r="C780" s="12"/>
      <c r="D780" s="3"/>
      <c r="E780" s="112"/>
      <c r="F780" s="3"/>
      <c r="G780" s="3"/>
      <c r="H780" s="12"/>
      <c r="K780" s="12"/>
      <c r="M780" s="12"/>
      <c r="R780" s="218"/>
      <c r="S780" s="218"/>
      <c r="T780" s="218"/>
      <c r="U780" s="218"/>
    </row>
    <row r="781">
      <c r="C781" s="12"/>
      <c r="D781" s="3"/>
      <c r="E781" s="112"/>
      <c r="F781" s="3"/>
      <c r="G781" s="3"/>
      <c r="H781" s="12"/>
      <c r="K781" s="12"/>
      <c r="M781" s="12"/>
      <c r="R781" s="218"/>
      <c r="S781" s="218"/>
      <c r="T781" s="218"/>
      <c r="U781" s="218"/>
    </row>
    <row r="782">
      <c r="C782" s="12"/>
      <c r="D782" s="3"/>
      <c r="E782" s="112"/>
      <c r="F782" s="3"/>
      <c r="G782" s="3"/>
      <c r="H782" s="12"/>
      <c r="K782" s="12"/>
      <c r="M782" s="12"/>
      <c r="R782" s="218"/>
      <c r="S782" s="218"/>
      <c r="T782" s="218"/>
      <c r="U782" s="218"/>
    </row>
    <row r="783">
      <c r="C783" s="12"/>
      <c r="D783" s="3"/>
      <c r="E783" s="112"/>
      <c r="F783" s="3"/>
      <c r="G783" s="3"/>
      <c r="H783" s="12"/>
      <c r="K783" s="12"/>
      <c r="M783" s="12"/>
      <c r="R783" s="218"/>
      <c r="S783" s="218"/>
      <c r="T783" s="218"/>
      <c r="U783" s="218"/>
    </row>
    <row r="784">
      <c r="C784" s="12"/>
      <c r="D784" s="3"/>
      <c r="E784" s="112"/>
      <c r="F784" s="3"/>
      <c r="G784" s="3"/>
      <c r="H784" s="12"/>
      <c r="K784" s="12"/>
      <c r="M784" s="12"/>
      <c r="R784" s="218"/>
      <c r="S784" s="218"/>
      <c r="T784" s="218"/>
      <c r="U784" s="218"/>
    </row>
    <row r="785">
      <c r="C785" s="12"/>
      <c r="D785" s="3"/>
      <c r="E785" s="112"/>
      <c r="F785" s="3"/>
      <c r="G785" s="3"/>
      <c r="H785" s="12"/>
      <c r="K785" s="12"/>
      <c r="M785" s="12"/>
      <c r="R785" s="218"/>
      <c r="S785" s="218"/>
      <c r="T785" s="218"/>
      <c r="U785" s="218"/>
    </row>
    <row r="786">
      <c r="C786" s="12"/>
      <c r="D786" s="3"/>
      <c r="E786" s="112"/>
      <c r="F786" s="3"/>
      <c r="G786" s="3"/>
      <c r="H786" s="12"/>
      <c r="K786" s="12"/>
      <c r="M786" s="12"/>
      <c r="R786" s="218"/>
      <c r="S786" s="218"/>
      <c r="T786" s="218"/>
      <c r="U786" s="218"/>
    </row>
    <row r="787">
      <c r="C787" s="12"/>
      <c r="D787" s="3"/>
      <c r="E787" s="112"/>
      <c r="F787" s="3"/>
      <c r="G787" s="3"/>
      <c r="H787" s="12"/>
      <c r="K787" s="12"/>
      <c r="M787" s="12"/>
      <c r="R787" s="218"/>
      <c r="S787" s="218"/>
      <c r="T787" s="218"/>
      <c r="U787" s="218"/>
    </row>
    <row r="788">
      <c r="C788" s="12"/>
      <c r="D788" s="3"/>
      <c r="E788" s="112"/>
      <c r="F788" s="3"/>
      <c r="G788" s="3"/>
      <c r="H788" s="12"/>
      <c r="K788" s="12"/>
      <c r="M788" s="12"/>
      <c r="R788" s="218"/>
      <c r="S788" s="218"/>
      <c r="T788" s="218"/>
      <c r="U788" s="218"/>
    </row>
    <row r="789">
      <c r="C789" s="12"/>
      <c r="D789" s="3"/>
      <c r="E789" s="112"/>
      <c r="F789" s="3"/>
      <c r="G789" s="3"/>
      <c r="H789" s="12"/>
      <c r="K789" s="12"/>
      <c r="M789" s="12"/>
      <c r="R789" s="218"/>
      <c r="S789" s="218"/>
      <c r="T789" s="218"/>
      <c r="U789" s="218"/>
    </row>
    <row r="790">
      <c r="C790" s="12"/>
      <c r="D790" s="3"/>
      <c r="E790" s="112"/>
      <c r="F790" s="3"/>
      <c r="G790" s="3"/>
      <c r="H790" s="12"/>
      <c r="K790" s="12"/>
      <c r="M790" s="12"/>
      <c r="R790" s="218"/>
      <c r="S790" s="218"/>
      <c r="T790" s="218"/>
      <c r="U790" s="218"/>
    </row>
    <row r="791">
      <c r="C791" s="12"/>
      <c r="D791" s="3"/>
      <c r="E791" s="112"/>
      <c r="F791" s="3"/>
      <c r="G791" s="3"/>
      <c r="H791" s="12"/>
      <c r="K791" s="12"/>
      <c r="M791" s="12"/>
      <c r="R791" s="218"/>
      <c r="S791" s="218"/>
      <c r="T791" s="218"/>
      <c r="U791" s="218"/>
    </row>
    <row r="792">
      <c r="C792" s="12"/>
      <c r="D792" s="3"/>
      <c r="E792" s="112"/>
      <c r="F792" s="3"/>
      <c r="G792" s="3"/>
      <c r="H792" s="12"/>
      <c r="K792" s="12"/>
      <c r="M792" s="12"/>
      <c r="R792" s="218"/>
      <c r="S792" s="218"/>
      <c r="T792" s="218"/>
      <c r="U792" s="218"/>
    </row>
    <row r="793">
      <c r="C793" s="12"/>
      <c r="D793" s="3"/>
      <c r="E793" s="112"/>
      <c r="F793" s="3"/>
      <c r="G793" s="3"/>
      <c r="H793" s="12"/>
      <c r="K793" s="12"/>
      <c r="M793" s="12"/>
      <c r="R793" s="218"/>
      <c r="S793" s="218"/>
      <c r="T793" s="218"/>
      <c r="U793" s="218"/>
    </row>
    <row r="794">
      <c r="C794" s="12"/>
      <c r="D794" s="3"/>
      <c r="E794" s="112"/>
      <c r="F794" s="3"/>
      <c r="G794" s="3"/>
      <c r="H794" s="12"/>
      <c r="K794" s="12"/>
      <c r="M794" s="12"/>
      <c r="R794" s="218"/>
      <c r="S794" s="218"/>
      <c r="T794" s="218"/>
      <c r="U794" s="218"/>
    </row>
    <row r="795">
      <c r="C795" s="12"/>
      <c r="D795" s="3"/>
      <c r="E795" s="112"/>
      <c r="F795" s="3"/>
      <c r="G795" s="3"/>
      <c r="H795" s="12"/>
      <c r="K795" s="12"/>
      <c r="M795" s="12"/>
      <c r="R795" s="218"/>
      <c r="S795" s="218"/>
      <c r="T795" s="218"/>
      <c r="U795" s="218"/>
    </row>
    <row r="796">
      <c r="C796" s="12"/>
      <c r="D796" s="3"/>
      <c r="E796" s="112"/>
      <c r="F796" s="3"/>
      <c r="G796" s="3"/>
      <c r="H796" s="12"/>
      <c r="K796" s="12"/>
      <c r="M796" s="12"/>
      <c r="R796" s="218"/>
      <c r="S796" s="218"/>
      <c r="T796" s="218"/>
      <c r="U796" s="218"/>
    </row>
    <row r="797">
      <c r="C797" s="12"/>
      <c r="D797" s="3"/>
      <c r="E797" s="112"/>
      <c r="F797" s="3"/>
      <c r="G797" s="3"/>
      <c r="H797" s="12"/>
      <c r="K797" s="12"/>
      <c r="M797" s="12"/>
      <c r="R797" s="218"/>
      <c r="S797" s="218"/>
      <c r="T797" s="218"/>
      <c r="U797" s="218"/>
    </row>
    <row r="798">
      <c r="C798" s="12"/>
      <c r="D798" s="3"/>
      <c r="E798" s="112"/>
      <c r="F798" s="3"/>
      <c r="G798" s="3"/>
      <c r="H798" s="12"/>
      <c r="K798" s="12"/>
      <c r="M798" s="12"/>
      <c r="R798" s="218"/>
      <c r="S798" s="218"/>
      <c r="T798" s="218"/>
      <c r="U798" s="218"/>
    </row>
    <row r="799">
      <c r="C799" s="12"/>
      <c r="D799" s="3"/>
      <c r="E799" s="112"/>
      <c r="F799" s="3"/>
      <c r="G799" s="3"/>
      <c r="H799" s="12"/>
      <c r="K799" s="12"/>
      <c r="M799" s="12"/>
      <c r="R799" s="218"/>
      <c r="S799" s="218"/>
      <c r="T799" s="218"/>
      <c r="U799" s="218"/>
    </row>
    <row r="800">
      <c r="C800" s="12"/>
      <c r="D800" s="3"/>
      <c r="E800" s="112"/>
      <c r="F800" s="3"/>
      <c r="G800" s="3"/>
      <c r="H800" s="12"/>
      <c r="K800" s="12"/>
      <c r="M800" s="12"/>
      <c r="R800" s="218"/>
      <c r="S800" s="218"/>
      <c r="T800" s="218"/>
      <c r="U800" s="218"/>
    </row>
    <row r="801">
      <c r="C801" s="12"/>
      <c r="D801" s="3"/>
      <c r="E801" s="112"/>
      <c r="F801" s="3"/>
      <c r="G801" s="3"/>
      <c r="H801" s="12"/>
      <c r="K801" s="12"/>
      <c r="M801" s="12"/>
      <c r="R801" s="218"/>
      <c r="S801" s="218"/>
      <c r="T801" s="218"/>
      <c r="U801" s="218"/>
    </row>
    <row r="802">
      <c r="C802" s="12"/>
      <c r="D802" s="3"/>
      <c r="E802" s="112"/>
      <c r="F802" s="3"/>
      <c r="G802" s="3"/>
      <c r="H802" s="12"/>
      <c r="K802" s="12"/>
      <c r="M802" s="12"/>
      <c r="R802" s="218"/>
      <c r="S802" s="218"/>
      <c r="T802" s="218"/>
      <c r="U802" s="218"/>
    </row>
    <row r="803">
      <c r="C803" s="12"/>
      <c r="D803" s="3"/>
      <c r="E803" s="112"/>
      <c r="F803" s="3"/>
      <c r="G803" s="3"/>
      <c r="H803" s="12"/>
      <c r="K803" s="12"/>
      <c r="M803" s="12"/>
      <c r="R803" s="218"/>
      <c r="S803" s="218"/>
      <c r="T803" s="218"/>
      <c r="U803" s="218"/>
    </row>
    <row r="804">
      <c r="C804" s="12"/>
      <c r="D804" s="3"/>
      <c r="E804" s="112"/>
      <c r="F804" s="3"/>
      <c r="G804" s="3"/>
      <c r="H804" s="12"/>
      <c r="K804" s="12"/>
      <c r="M804" s="12"/>
      <c r="R804" s="218"/>
      <c r="S804" s="218"/>
      <c r="T804" s="218"/>
      <c r="U804" s="218"/>
    </row>
    <row r="805">
      <c r="C805" s="12"/>
      <c r="D805" s="3"/>
      <c r="E805" s="112"/>
      <c r="F805" s="3"/>
      <c r="G805" s="3"/>
      <c r="H805" s="12"/>
      <c r="K805" s="12"/>
      <c r="M805" s="12"/>
      <c r="R805" s="218"/>
      <c r="S805" s="218"/>
      <c r="T805" s="218"/>
      <c r="U805" s="218"/>
    </row>
    <row r="806">
      <c r="C806" s="12"/>
      <c r="D806" s="3"/>
      <c r="E806" s="112"/>
      <c r="F806" s="3"/>
      <c r="G806" s="3"/>
      <c r="H806" s="12"/>
      <c r="K806" s="12"/>
      <c r="M806" s="12"/>
      <c r="R806" s="218"/>
      <c r="S806" s="218"/>
      <c r="T806" s="218"/>
      <c r="U806" s="218"/>
    </row>
    <row r="807">
      <c r="C807" s="12"/>
      <c r="D807" s="3"/>
      <c r="E807" s="112"/>
      <c r="F807" s="3"/>
      <c r="G807" s="3"/>
      <c r="H807" s="12"/>
      <c r="K807" s="12"/>
      <c r="M807" s="12"/>
      <c r="R807" s="218"/>
      <c r="S807" s="218"/>
      <c r="T807" s="218"/>
      <c r="U807" s="218"/>
    </row>
    <row r="808">
      <c r="C808" s="12"/>
      <c r="D808" s="3"/>
      <c r="E808" s="112"/>
      <c r="F808" s="3"/>
      <c r="G808" s="3"/>
      <c r="H808" s="12"/>
      <c r="K808" s="12"/>
      <c r="M808" s="12"/>
      <c r="R808" s="218"/>
      <c r="S808" s="218"/>
      <c r="T808" s="218"/>
      <c r="U808" s="218"/>
    </row>
    <row r="809">
      <c r="C809" s="12"/>
      <c r="D809" s="3"/>
      <c r="E809" s="112"/>
      <c r="F809" s="3"/>
      <c r="G809" s="3"/>
      <c r="H809" s="12"/>
      <c r="K809" s="12"/>
      <c r="M809" s="12"/>
      <c r="R809" s="218"/>
      <c r="S809" s="218"/>
      <c r="T809" s="218"/>
      <c r="U809" s="218"/>
    </row>
    <row r="810">
      <c r="C810" s="12"/>
      <c r="D810" s="3"/>
      <c r="E810" s="112"/>
      <c r="F810" s="3"/>
      <c r="G810" s="3"/>
      <c r="H810" s="12"/>
      <c r="K810" s="12"/>
      <c r="M810" s="12"/>
      <c r="R810" s="218"/>
      <c r="S810" s="218"/>
      <c r="T810" s="218"/>
      <c r="U810" s="218"/>
    </row>
    <row r="811">
      <c r="C811" s="12"/>
      <c r="D811" s="3"/>
      <c r="E811" s="112"/>
      <c r="F811" s="3"/>
      <c r="G811" s="3"/>
      <c r="H811" s="12"/>
      <c r="K811" s="12"/>
      <c r="M811" s="12"/>
      <c r="R811" s="218"/>
      <c r="S811" s="218"/>
      <c r="T811" s="218"/>
      <c r="U811" s="218"/>
    </row>
    <row r="812">
      <c r="C812" s="12"/>
      <c r="D812" s="3"/>
      <c r="E812" s="112"/>
      <c r="F812" s="3"/>
      <c r="G812" s="3"/>
      <c r="H812" s="12"/>
      <c r="K812" s="12"/>
      <c r="M812" s="12"/>
      <c r="R812" s="218"/>
      <c r="S812" s="218"/>
      <c r="T812" s="218"/>
      <c r="U812" s="218"/>
    </row>
    <row r="813">
      <c r="C813" s="12"/>
      <c r="D813" s="3"/>
      <c r="E813" s="112"/>
      <c r="F813" s="3"/>
      <c r="G813" s="3"/>
      <c r="H813" s="12"/>
      <c r="K813" s="12"/>
      <c r="M813" s="12"/>
      <c r="R813" s="218"/>
      <c r="S813" s="218"/>
      <c r="T813" s="218"/>
      <c r="U813" s="218"/>
    </row>
    <row r="814">
      <c r="C814" s="12"/>
      <c r="D814" s="3"/>
      <c r="E814" s="112"/>
      <c r="F814" s="3"/>
      <c r="G814" s="3"/>
      <c r="H814" s="12"/>
      <c r="K814" s="12"/>
      <c r="M814" s="12"/>
      <c r="R814" s="218"/>
      <c r="S814" s="218"/>
      <c r="T814" s="218"/>
      <c r="U814" s="218"/>
    </row>
    <row r="815">
      <c r="C815" s="12"/>
      <c r="D815" s="3"/>
      <c r="E815" s="112"/>
      <c r="F815" s="3"/>
      <c r="G815" s="3"/>
      <c r="H815" s="12"/>
      <c r="K815" s="12"/>
      <c r="M815" s="12"/>
      <c r="R815" s="218"/>
      <c r="S815" s="218"/>
      <c r="T815" s="218"/>
      <c r="U815" s="218"/>
    </row>
    <row r="816">
      <c r="C816" s="12"/>
      <c r="D816" s="3"/>
      <c r="E816" s="112"/>
      <c r="F816" s="3"/>
      <c r="G816" s="3"/>
      <c r="H816" s="12"/>
      <c r="K816" s="12"/>
      <c r="M816" s="12"/>
      <c r="R816" s="218"/>
      <c r="S816" s="218"/>
      <c r="T816" s="218"/>
      <c r="U816" s="218"/>
    </row>
    <row r="817">
      <c r="C817" s="12"/>
      <c r="D817" s="3"/>
      <c r="E817" s="112"/>
      <c r="F817" s="3"/>
      <c r="G817" s="3"/>
      <c r="H817" s="12"/>
      <c r="K817" s="12"/>
      <c r="M817" s="12"/>
      <c r="R817" s="218"/>
      <c r="S817" s="218"/>
      <c r="T817" s="218"/>
      <c r="U817" s="218"/>
    </row>
    <row r="818">
      <c r="C818" s="12"/>
      <c r="D818" s="3"/>
      <c r="E818" s="112"/>
      <c r="F818" s="3"/>
      <c r="G818" s="3"/>
      <c r="H818" s="12"/>
      <c r="K818" s="12"/>
      <c r="M818" s="12"/>
      <c r="R818" s="218"/>
      <c r="S818" s="218"/>
      <c r="T818" s="218"/>
      <c r="U818" s="218"/>
    </row>
    <row r="819">
      <c r="C819" s="12"/>
      <c r="D819" s="3"/>
      <c r="E819" s="112"/>
      <c r="F819" s="3"/>
      <c r="G819" s="3"/>
      <c r="H819" s="12"/>
      <c r="K819" s="12"/>
      <c r="M819" s="12"/>
      <c r="R819" s="218"/>
      <c r="S819" s="218"/>
      <c r="T819" s="218"/>
      <c r="U819" s="218"/>
    </row>
    <row r="820">
      <c r="C820" s="12"/>
      <c r="D820" s="3"/>
      <c r="E820" s="112"/>
      <c r="F820" s="3"/>
      <c r="G820" s="3"/>
      <c r="H820" s="12"/>
      <c r="K820" s="12"/>
      <c r="M820" s="12"/>
      <c r="R820" s="218"/>
      <c r="S820" s="218"/>
      <c r="T820" s="218"/>
      <c r="U820" s="218"/>
    </row>
    <row r="821">
      <c r="C821" s="12"/>
      <c r="D821" s="3"/>
      <c r="E821" s="112"/>
      <c r="F821" s="3"/>
      <c r="G821" s="3"/>
      <c r="H821" s="12"/>
      <c r="K821" s="12"/>
      <c r="M821" s="12"/>
      <c r="R821" s="218"/>
      <c r="S821" s="218"/>
      <c r="T821" s="218"/>
      <c r="U821" s="218"/>
    </row>
    <row r="822">
      <c r="C822" s="12"/>
      <c r="D822" s="3"/>
      <c r="E822" s="112"/>
      <c r="F822" s="3"/>
      <c r="G822" s="3"/>
      <c r="H822" s="12"/>
      <c r="K822" s="12"/>
      <c r="M822" s="12"/>
      <c r="R822" s="218"/>
      <c r="S822" s="218"/>
      <c r="T822" s="218"/>
      <c r="U822" s="218"/>
    </row>
    <row r="823">
      <c r="C823" s="12"/>
      <c r="D823" s="3"/>
      <c r="E823" s="112"/>
      <c r="F823" s="3"/>
      <c r="G823" s="3"/>
      <c r="H823" s="12"/>
      <c r="K823" s="12"/>
      <c r="M823" s="12"/>
      <c r="R823" s="218"/>
      <c r="S823" s="218"/>
      <c r="T823" s="218"/>
      <c r="U823" s="218"/>
    </row>
    <row r="824">
      <c r="C824" s="12"/>
      <c r="D824" s="3"/>
      <c r="E824" s="112"/>
      <c r="F824" s="3"/>
      <c r="G824" s="3"/>
      <c r="H824" s="12"/>
      <c r="K824" s="12"/>
      <c r="M824" s="12"/>
      <c r="R824" s="218"/>
      <c r="S824" s="218"/>
      <c r="T824" s="218"/>
      <c r="U824" s="218"/>
    </row>
    <row r="825">
      <c r="C825" s="12"/>
      <c r="D825" s="3"/>
      <c r="E825" s="112"/>
      <c r="F825" s="3"/>
      <c r="G825" s="3"/>
      <c r="H825" s="12"/>
      <c r="K825" s="12"/>
      <c r="M825" s="12"/>
      <c r="R825" s="218"/>
      <c r="S825" s="218"/>
      <c r="T825" s="218"/>
      <c r="U825" s="218"/>
    </row>
    <row r="826">
      <c r="C826" s="12"/>
      <c r="D826" s="3"/>
      <c r="E826" s="112"/>
      <c r="F826" s="3"/>
      <c r="G826" s="3"/>
      <c r="H826" s="12"/>
      <c r="K826" s="12"/>
      <c r="M826" s="12"/>
      <c r="R826" s="218"/>
      <c r="S826" s="218"/>
      <c r="T826" s="218"/>
      <c r="U826" s="218"/>
    </row>
    <row r="827">
      <c r="C827" s="12"/>
      <c r="D827" s="3"/>
      <c r="E827" s="112"/>
      <c r="F827" s="3"/>
      <c r="G827" s="3"/>
      <c r="H827" s="12"/>
      <c r="K827" s="12"/>
      <c r="M827" s="12"/>
      <c r="R827" s="218"/>
      <c r="S827" s="218"/>
      <c r="T827" s="218"/>
      <c r="U827" s="218"/>
    </row>
    <row r="828">
      <c r="C828" s="12"/>
      <c r="D828" s="3"/>
      <c r="E828" s="112"/>
      <c r="F828" s="3"/>
      <c r="G828" s="3"/>
      <c r="H828" s="12"/>
      <c r="K828" s="12"/>
      <c r="M828" s="12"/>
      <c r="R828" s="218"/>
      <c r="S828" s="218"/>
      <c r="T828" s="218"/>
      <c r="U828" s="218"/>
    </row>
    <row r="829">
      <c r="C829" s="12"/>
      <c r="D829" s="3"/>
      <c r="E829" s="112"/>
      <c r="F829" s="3"/>
      <c r="G829" s="3"/>
      <c r="H829" s="12"/>
      <c r="K829" s="12"/>
      <c r="M829" s="12"/>
      <c r="R829" s="218"/>
      <c r="S829" s="218"/>
      <c r="T829" s="218"/>
      <c r="U829" s="218"/>
    </row>
    <row r="830">
      <c r="C830" s="12"/>
      <c r="D830" s="3"/>
      <c r="E830" s="112"/>
      <c r="F830" s="3"/>
      <c r="G830" s="3"/>
      <c r="H830" s="12"/>
      <c r="K830" s="12"/>
      <c r="M830" s="12"/>
      <c r="R830" s="218"/>
      <c r="S830" s="218"/>
      <c r="T830" s="218"/>
      <c r="U830" s="218"/>
    </row>
    <row r="831">
      <c r="C831" s="12"/>
      <c r="D831" s="3"/>
      <c r="E831" s="112"/>
      <c r="F831" s="3"/>
      <c r="G831" s="3"/>
      <c r="H831" s="12"/>
      <c r="K831" s="12"/>
      <c r="M831" s="12"/>
      <c r="R831" s="218"/>
      <c r="S831" s="218"/>
      <c r="T831" s="218"/>
      <c r="U831" s="218"/>
    </row>
    <row r="832">
      <c r="C832" s="12"/>
      <c r="D832" s="3"/>
      <c r="E832" s="112"/>
      <c r="F832" s="3"/>
      <c r="G832" s="3"/>
      <c r="H832" s="12"/>
      <c r="K832" s="12"/>
      <c r="M832" s="12"/>
      <c r="R832" s="218"/>
      <c r="S832" s="218"/>
      <c r="T832" s="218"/>
      <c r="U832" s="218"/>
    </row>
    <row r="833">
      <c r="C833" s="12"/>
      <c r="D833" s="3"/>
      <c r="E833" s="112"/>
      <c r="F833" s="3"/>
      <c r="G833" s="3"/>
      <c r="H833" s="12"/>
      <c r="K833" s="12"/>
      <c r="M833" s="12"/>
      <c r="R833" s="218"/>
      <c r="S833" s="218"/>
      <c r="T833" s="218"/>
      <c r="U833" s="218"/>
    </row>
    <row r="834">
      <c r="C834" s="12"/>
      <c r="D834" s="3"/>
      <c r="E834" s="112"/>
      <c r="F834" s="3"/>
      <c r="G834" s="3"/>
      <c r="H834" s="12"/>
      <c r="K834" s="12"/>
      <c r="M834" s="12"/>
      <c r="R834" s="218"/>
      <c r="S834" s="218"/>
      <c r="T834" s="218"/>
      <c r="U834" s="218"/>
    </row>
    <row r="835">
      <c r="C835" s="12"/>
      <c r="D835" s="3"/>
      <c r="E835" s="112"/>
      <c r="F835" s="3"/>
      <c r="G835" s="3"/>
      <c r="H835" s="12"/>
      <c r="K835" s="12"/>
      <c r="M835" s="12"/>
      <c r="R835" s="218"/>
      <c r="S835" s="218"/>
      <c r="T835" s="218"/>
      <c r="U835" s="218"/>
    </row>
    <row r="836">
      <c r="C836" s="12"/>
      <c r="D836" s="3"/>
      <c r="E836" s="112"/>
      <c r="F836" s="3"/>
      <c r="G836" s="3"/>
      <c r="H836" s="12"/>
      <c r="K836" s="12"/>
      <c r="M836" s="12"/>
      <c r="R836" s="218"/>
      <c r="S836" s="218"/>
      <c r="T836" s="218"/>
      <c r="U836" s="218"/>
    </row>
    <row r="837">
      <c r="C837" s="12"/>
      <c r="D837" s="3"/>
      <c r="E837" s="112"/>
      <c r="F837" s="3"/>
      <c r="G837" s="3"/>
      <c r="H837" s="12"/>
      <c r="K837" s="12"/>
      <c r="M837" s="12"/>
      <c r="R837" s="218"/>
      <c r="S837" s="218"/>
      <c r="T837" s="218"/>
      <c r="U837" s="218"/>
    </row>
    <row r="838">
      <c r="C838" s="12"/>
      <c r="D838" s="3"/>
      <c r="E838" s="112"/>
      <c r="F838" s="3"/>
      <c r="G838" s="3"/>
      <c r="H838" s="12"/>
      <c r="K838" s="12"/>
      <c r="M838" s="12"/>
      <c r="R838" s="218"/>
      <c r="S838" s="218"/>
      <c r="T838" s="218"/>
      <c r="U838" s="218"/>
    </row>
    <row r="839">
      <c r="C839" s="12"/>
      <c r="D839" s="3"/>
      <c r="E839" s="112"/>
      <c r="F839" s="3"/>
      <c r="G839" s="3"/>
      <c r="H839" s="12"/>
      <c r="K839" s="12"/>
      <c r="M839" s="12"/>
      <c r="R839" s="218"/>
      <c r="S839" s="218"/>
      <c r="T839" s="218"/>
      <c r="U839" s="218"/>
    </row>
    <row r="840">
      <c r="C840" s="12"/>
      <c r="D840" s="3"/>
      <c r="E840" s="112"/>
      <c r="F840" s="3"/>
      <c r="G840" s="3"/>
      <c r="H840" s="12"/>
      <c r="K840" s="12"/>
      <c r="M840" s="12"/>
      <c r="R840" s="218"/>
      <c r="S840" s="218"/>
      <c r="T840" s="218"/>
      <c r="U840" s="218"/>
    </row>
    <row r="841">
      <c r="C841" s="12"/>
      <c r="D841" s="3"/>
      <c r="E841" s="112"/>
      <c r="F841" s="3"/>
      <c r="G841" s="3"/>
      <c r="H841" s="12"/>
      <c r="K841" s="12"/>
      <c r="M841" s="12"/>
      <c r="R841" s="218"/>
      <c r="S841" s="218"/>
      <c r="T841" s="218"/>
      <c r="U841" s="218"/>
    </row>
    <row r="842">
      <c r="C842" s="12"/>
      <c r="D842" s="3"/>
      <c r="E842" s="112"/>
      <c r="F842" s="3"/>
      <c r="G842" s="3"/>
      <c r="H842" s="12"/>
      <c r="K842" s="12"/>
      <c r="M842" s="12"/>
      <c r="R842" s="218"/>
      <c r="S842" s="218"/>
      <c r="T842" s="218"/>
      <c r="U842" s="218"/>
    </row>
    <row r="843">
      <c r="C843" s="12"/>
      <c r="D843" s="3"/>
      <c r="E843" s="112"/>
      <c r="F843" s="3"/>
      <c r="G843" s="3"/>
      <c r="H843" s="12"/>
      <c r="K843" s="12"/>
      <c r="M843" s="12"/>
      <c r="R843" s="218"/>
      <c r="S843" s="218"/>
      <c r="T843" s="218"/>
      <c r="U843" s="218"/>
    </row>
    <row r="844">
      <c r="C844" s="12"/>
      <c r="D844" s="3"/>
      <c r="E844" s="112"/>
      <c r="F844" s="3"/>
      <c r="G844" s="3"/>
      <c r="H844" s="12"/>
      <c r="K844" s="12"/>
      <c r="M844" s="12"/>
      <c r="R844" s="218"/>
      <c r="S844" s="218"/>
      <c r="T844" s="218"/>
      <c r="U844" s="218"/>
    </row>
    <row r="845">
      <c r="C845" s="12"/>
      <c r="D845" s="3"/>
      <c r="E845" s="112"/>
      <c r="F845" s="3"/>
      <c r="G845" s="3"/>
      <c r="H845" s="12"/>
      <c r="K845" s="12"/>
      <c r="M845" s="12"/>
      <c r="R845" s="218"/>
      <c r="S845" s="218"/>
      <c r="T845" s="218"/>
      <c r="U845" s="218"/>
    </row>
    <row r="846">
      <c r="C846" s="12"/>
      <c r="D846" s="3"/>
      <c r="E846" s="112"/>
      <c r="F846" s="3"/>
      <c r="G846" s="3"/>
      <c r="H846" s="12"/>
      <c r="K846" s="12"/>
      <c r="M846" s="12"/>
      <c r="R846" s="218"/>
      <c r="S846" s="218"/>
      <c r="T846" s="218"/>
      <c r="U846" s="218"/>
    </row>
    <row r="847">
      <c r="C847" s="12"/>
      <c r="D847" s="3"/>
      <c r="E847" s="112"/>
      <c r="F847" s="3"/>
      <c r="G847" s="3"/>
      <c r="H847" s="12"/>
      <c r="K847" s="12"/>
      <c r="M847" s="12"/>
      <c r="R847" s="218"/>
      <c r="S847" s="218"/>
      <c r="T847" s="218"/>
      <c r="U847" s="218"/>
    </row>
    <row r="848">
      <c r="C848" s="12"/>
      <c r="D848" s="3"/>
      <c r="E848" s="112"/>
      <c r="F848" s="3"/>
      <c r="G848" s="3"/>
      <c r="H848" s="12"/>
      <c r="K848" s="12"/>
      <c r="M848" s="12"/>
      <c r="R848" s="218"/>
      <c r="S848" s="218"/>
      <c r="T848" s="218"/>
      <c r="U848" s="218"/>
    </row>
    <row r="849">
      <c r="C849" s="12"/>
      <c r="D849" s="3"/>
      <c r="E849" s="112"/>
      <c r="F849" s="3"/>
      <c r="G849" s="3"/>
      <c r="H849" s="12"/>
      <c r="K849" s="12"/>
      <c r="M849" s="12"/>
      <c r="R849" s="218"/>
      <c r="S849" s="218"/>
      <c r="T849" s="218"/>
      <c r="U849" s="218"/>
    </row>
    <row r="850">
      <c r="C850" s="12"/>
      <c r="D850" s="3"/>
      <c r="E850" s="112"/>
      <c r="F850" s="3"/>
      <c r="G850" s="3"/>
      <c r="H850" s="12"/>
      <c r="K850" s="12"/>
      <c r="M850" s="12"/>
      <c r="R850" s="218"/>
      <c r="S850" s="218"/>
      <c r="T850" s="218"/>
      <c r="U850" s="218"/>
    </row>
    <row r="851">
      <c r="C851" s="12"/>
      <c r="D851" s="3"/>
      <c r="E851" s="112"/>
      <c r="F851" s="3"/>
      <c r="G851" s="3"/>
      <c r="H851" s="12"/>
      <c r="K851" s="12"/>
      <c r="M851" s="12"/>
      <c r="R851" s="218"/>
      <c r="S851" s="218"/>
      <c r="T851" s="218"/>
      <c r="U851" s="218"/>
    </row>
    <row r="852">
      <c r="C852" s="12"/>
      <c r="D852" s="3"/>
      <c r="E852" s="112"/>
      <c r="F852" s="3"/>
      <c r="G852" s="3"/>
      <c r="H852" s="12"/>
      <c r="K852" s="12"/>
      <c r="M852" s="12"/>
      <c r="R852" s="218"/>
      <c r="S852" s="218"/>
      <c r="T852" s="218"/>
      <c r="U852" s="218"/>
    </row>
    <row r="853">
      <c r="C853" s="12"/>
      <c r="D853" s="3"/>
      <c r="E853" s="112"/>
      <c r="F853" s="3"/>
      <c r="G853" s="3"/>
      <c r="H853" s="12"/>
      <c r="K853" s="12"/>
      <c r="M853" s="12"/>
      <c r="R853" s="218"/>
      <c r="S853" s="218"/>
      <c r="T853" s="218"/>
      <c r="U853" s="218"/>
    </row>
    <row r="854">
      <c r="C854" s="12"/>
      <c r="D854" s="3"/>
      <c r="E854" s="112"/>
      <c r="F854" s="3"/>
      <c r="G854" s="3"/>
      <c r="H854" s="12"/>
      <c r="K854" s="12"/>
      <c r="M854" s="12"/>
      <c r="R854" s="218"/>
      <c r="S854" s="218"/>
      <c r="T854" s="218"/>
      <c r="U854" s="218"/>
    </row>
    <row r="855">
      <c r="C855" s="12"/>
      <c r="D855" s="3"/>
      <c r="E855" s="112"/>
      <c r="F855" s="3"/>
      <c r="G855" s="3"/>
      <c r="H855" s="12"/>
      <c r="K855" s="12"/>
      <c r="M855" s="12"/>
      <c r="R855" s="218"/>
      <c r="S855" s="218"/>
      <c r="T855" s="218"/>
      <c r="U855" s="218"/>
    </row>
    <row r="856">
      <c r="C856" s="12"/>
      <c r="D856" s="3"/>
      <c r="E856" s="112"/>
      <c r="F856" s="3"/>
      <c r="G856" s="3"/>
      <c r="H856" s="12"/>
      <c r="K856" s="12"/>
      <c r="M856" s="12"/>
      <c r="R856" s="218"/>
      <c r="S856" s="218"/>
      <c r="T856" s="218"/>
      <c r="U856" s="218"/>
    </row>
    <row r="857">
      <c r="C857" s="12"/>
      <c r="D857" s="3"/>
      <c r="E857" s="112"/>
      <c r="F857" s="3"/>
      <c r="G857" s="3"/>
      <c r="H857" s="12"/>
      <c r="K857" s="12"/>
      <c r="M857" s="12"/>
      <c r="R857" s="218"/>
      <c r="S857" s="218"/>
      <c r="T857" s="218"/>
      <c r="U857" s="218"/>
    </row>
    <row r="858">
      <c r="C858" s="12"/>
      <c r="D858" s="3"/>
      <c r="E858" s="112"/>
      <c r="F858" s="3"/>
      <c r="G858" s="3"/>
      <c r="H858" s="12"/>
      <c r="K858" s="12"/>
      <c r="M858" s="12"/>
      <c r="R858" s="218"/>
      <c r="S858" s="218"/>
      <c r="T858" s="218"/>
      <c r="U858" s="218"/>
    </row>
    <row r="859">
      <c r="C859" s="12"/>
      <c r="D859" s="3"/>
      <c r="E859" s="112"/>
      <c r="F859" s="3"/>
      <c r="G859" s="3"/>
      <c r="H859" s="12"/>
      <c r="K859" s="12"/>
      <c r="M859" s="12"/>
      <c r="R859" s="218"/>
      <c r="S859" s="218"/>
      <c r="T859" s="218"/>
      <c r="U859" s="218"/>
    </row>
    <row r="860">
      <c r="C860" s="12"/>
      <c r="D860" s="3"/>
      <c r="E860" s="112"/>
      <c r="F860" s="3"/>
      <c r="G860" s="3"/>
      <c r="H860" s="12"/>
      <c r="K860" s="12"/>
      <c r="M860" s="12"/>
      <c r="R860" s="218"/>
      <c r="S860" s="218"/>
      <c r="T860" s="218"/>
      <c r="U860" s="218"/>
    </row>
    <row r="861">
      <c r="C861" s="12"/>
      <c r="D861" s="3"/>
      <c r="E861" s="112"/>
      <c r="F861" s="3"/>
      <c r="G861" s="3"/>
      <c r="H861" s="12"/>
      <c r="K861" s="12"/>
      <c r="M861" s="12"/>
      <c r="R861" s="218"/>
      <c r="S861" s="218"/>
      <c r="T861" s="218"/>
      <c r="U861" s="218"/>
    </row>
    <row r="862">
      <c r="C862" s="12"/>
      <c r="D862" s="3"/>
      <c r="E862" s="112"/>
      <c r="F862" s="3"/>
      <c r="G862" s="3"/>
      <c r="H862" s="12"/>
      <c r="K862" s="12"/>
      <c r="M862" s="12"/>
      <c r="R862" s="218"/>
      <c r="S862" s="218"/>
      <c r="T862" s="218"/>
      <c r="U862" s="218"/>
    </row>
    <row r="863">
      <c r="C863" s="12"/>
      <c r="D863" s="3"/>
      <c r="E863" s="112"/>
      <c r="F863" s="3"/>
      <c r="G863" s="3"/>
      <c r="H863" s="12"/>
      <c r="K863" s="12"/>
      <c r="M863" s="12"/>
      <c r="R863" s="218"/>
      <c r="S863" s="218"/>
      <c r="T863" s="218"/>
      <c r="U863" s="218"/>
    </row>
    <row r="864">
      <c r="C864" s="12"/>
      <c r="D864" s="3"/>
      <c r="E864" s="112"/>
      <c r="F864" s="3"/>
      <c r="G864" s="3"/>
      <c r="H864" s="12"/>
      <c r="K864" s="12"/>
      <c r="M864" s="12"/>
      <c r="R864" s="218"/>
      <c r="S864" s="218"/>
      <c r="T864" s="218"/>
      <c r="U864" s="218"/>
    </row>
    <row r="865">
      <c r="C865" s="12"/>
      <c r="D865" s="3"/>
      <c r="E865" s="112"/>
      <c r="F865" s="3"/>
      <c r="G865" s="3"/>
      <c r="H865" s="12"/>
      <c r="K865" s="12"/>
      <c r="M865" s="12"/>
      <c r="R865" s="218"/>
      <c r="S865" s="218"/>
      <c r="T865" s="218"/>
      <c r="U865" s="218"/>
    </row>
    <row r="866">
      <c r="C866" s="12"/>
      <c r="D866" s="3"/>
      <c r="E866" s="112"/>
      <c r="F866" s="3"/>
      <c r="G866" s="3"/>
      <c r="H866" s="12"/>
      <c r="K866" s="12"/>
      <c r="M866" s="12"/>
      <c r="R866" s="218"/>
      <c r="S866" s="218"/>
      <c r="T866" s="218"/>
      <c r="U866" s="218"/>
    </row>
    <row r="867">
      <c r="C867" s="12"/>
      <c r="D867" s="3"/>
      <c r="E867" s="112"/>
      <c r="F867" s="3"/>
      <c r="G867" s="3"/>
      <c r="H867" s="12"/>
      <c r="K867" s="12"/>
      <c r="M867" s="12"/>
      <c r="R867" s="218"/>
      <c r="S867" s="218"/>
      <c r="T867" s="218"/>
      <c r="U867" s="218"/>
    </row>
    <row r="868">
      <c r="C868" s="12"/>
      <c r="D868" s="3"/>
      <c r="E868" s="112"/>
      <c r="F868" s="3"/>
      <c r="G868" s="3"/>
      <c r="H868" s="12"/>
      <c r="K868" s="12"/>
      <c r="M868" s="12"/>
      <c r="R868" s="218"/>
      <c r="S868" s="218"/>
      <c r="T868" s="218"/>
      <c r="U868" s="218"/>
    </row>
    <row r="869">
      <c r="C869" s="12"/>
      <c r="D869" s="3"/>
      <c r="E869" s="112"/>
      <c r="F869" s="3"/>
      <c r="G869" s="3"/>
      <c r="H869" s="12"/>
      <c r="K869" s="12"/>
      <c r="M869" s="12"/>
      <c r="R869" s="218"/>
      <c r="S869" s="218"/>
      <c r="T869" s="218"/>
      <c r="U869" s="218"/>
    </row>
    <row r="870">
      <c r="C870" s="12"/>
      <c r="D870" s="3"/>
      <c r="E870" s="112"/>
      <c r="F870" s="3"/>
      <c r="G870" s="3"/>
      <c r="H870" s="12"/>
      <c r="K870" s="12"/>
      <c r="M870" s="12"/>
      <c r="R870" s="218"/>
      <c r="S870" s="218"/>
      <c r="T870" s="218"/>
      <c r="U870" s="218"/>
    </row>
    <row r="871">
      <c r="C871" s="12"/>
      <c r="D871" s="3"/>
      <c r="E871" s="112"/>
      <c r="F871" s="3"/>
      <c r="G871" s="3"/>
      <c r="H871" s="12"/>
      <c r="K871" s="12"/>
      <c r="M871" s="12"/>
      <c r="R871" s="218"/>
      <c r="S871" s="218"/>
      <c r="T871" s="218"/>
      <c r="U871" s="218"/>
    </row>
    <row r="872">
      <c r="C872" s="12"/>
      <c r="D872" s="3"/>
      <c r="E872" s="112"/>
      <c r="F872" s="3"/>
      <c r="G872" s="3"/>
      <c r="H872" s="12"/>
      <c r="K872" s="12"/>
      <c r="M872" s="12"/>
      <c r="R872" s="218"/>
      <c r="S872" s="218"/>
      <c r="T872" s="218"/>
      <c r="U872" s="218"/>
    </row>
    <row r="873">
      <c r="C873" s="12"/>
      <c r="D873" s="3"/>
      <c r="E873" s="112"/>
      <c r="F873" s="3"/>
      <c r="G873" s="3"/>
      <c r="H873" s="12"/>
      <c r="K873" s="12"/>
      <c r="M873" s="12"/>
      <c r="R873" s="218"/>
      <c r="S873" s="218"/>
      <c r="T873" s="218"/>
      <c r="U873" s="218"/>
    </row>
    <row r="874">
      <c r="C874" s="12"/>
      <c r="D874" s="3"/>
      <c r="E874" s="112"/>
      <c r="F874" s="3"/>
      <c r="G874" s="3"/>
      <c r="H874" s="12"/>
      <c r="K874" s="12"/>
      <c r="M874" s="12"/>
      <c r="R874" s="218"/>
      <c r="S874" s="218"/>
      <c r="T874" s="218"/>
      <c r="U874" s="218"/>
    </row>
    <row r="875">
      <c r="C875" s="12"/>
      <c r="D875" s="3"/>
      <c r="E875" s="112"/>
      <c r="F875" s="3"/>
      <c r="G875" s="3"/>
      <c r="H875" s="12"/>
      <c r="K875" s="12"/>
      <c r="M875" s="12"/>
      <c r="R875" s="218"/>
      <c r="S875" s="218"/>
      <c r="T875" s="218"/>
      <c r="U875" s="218"/>
    </row>
    <row r="876">
      <c r="C876" s="12"/>
      <c r="D876" s="3"/>
      <c r="E876" s="112"/>
      <c r="F876" s="3"/>
      <c r="G876" s="3"/>
      <c r="H876" s="12"/>
      <c r="K876" s="12"/>
      <c r="M876" s="12"/>
      <c r="R876" s="218"/>
      <c r="S876" s="218"/>
      <c r="T876" s="218"/>
      <c r="U876" s="218"/>
    </row>
    <row r="877">
      <c r="C877" s="12"/>
      <c r="D877" s="3"/>
      <c r="E877" s="112"/>
      <c r="F877" s="3"/>
      <c r="G877" s="3"/>
      <c r="H877" s="12"/>
      <c r="K877" s="12"/>
      <c r="M877" s="12"/>
      <c r="R877" s="218"/>
      <c r="S877" s="218"/>
      <c r="T877" s="218"/>
      <c r="U877" s="218"/>
    </row>
    <row r="878">
      <c r="C878" s="12"/>
      <c r="D878" s="3"/>
      <c r="E878" s="112"/>
      <c r="F878" s="3"/>
      <c r="G878" s="3"/>
      <c r="H878" s="12"/>
      <c r="K878" s="12"/>
      <c r="M878" s="12"/>
      <c r="R878" s="218"/>
      <c r="S878" s="218"/>
      <c r="T878" s="218"/>
      <c r="U878" s="218"/>
    </row>
    <row r="879">
      <c r="C879" s="12"/>
      <c r="D879" s="3"/>
      <c r="E879" s="112"/>
      <c r="F879" s="3"/>
      <c r="G879" s="3"/>
      <c r="H879" s="12"/>
      <c r="K879" s="12"/>
      <c r="M879" s="12"/>
      <c r="R879" s="218"/>
      <c r="S879" s="218"/>
      <c r="T879" s="218"/>
      <c r="U879" s="218"/>
    </row>
    <row r="880">
      <c r="C880" s="12"/>
      <c r="D880" s="3"/>
      <c r="E880" s="112"/>
      <c r="F880" s="3"/>
      <c r="G880" s="3"/>
      <c r="H880" s="12"/>
      <c r="K880" s="12"/>
      <c r="M880" s="12"/>
      <c r="R880" s="218"/>
      <c r="S880" s="218"/>
      <c r="T880" s="218"/>
      <c r="U880" s="218"/>
    </row>
    <row r="881">
      <c r="C881" s="12"/>
      <c r="D881" s="3"/>
      <c r="E881" s="112"/>
      <c r="F881" s="3"/>
      <c r="G881" s="3"/>
      <c r="H881" s="12"/>
      <c r="K881" s="12"/>
      <c r="M881" s="12"/>
      <c r="R881" s="218"/>
      <c r="S881" s="218"/>
      <c r="T881" s="218"/>
      <c r="U881" s="218"/>
    </row>
    <row r="882">
      <c r="C882" s="12"/>
      <c r="D882" s="3"/>
      <c r="E882" s="112"/>
      <c r="F882" s="3"/>
      <c r="G882" s="3"/>
      <c r="H882" s="12"/>
      <c r="K882" s="12"/>
      <c r="M882" s="12"/>
      <c r="R882" s="218"/>
      <c r="S882" s="218"/>
      <c r="T882" s="218"/>
      <c r="U882" s="218"/>
    </row>
    <row r="883">
      <c r="C883" s="12"/>
      <c r="D883" s="3"/>
      <c r="E883" s="112"/>
      <c r="F883" s="3"/>
      <c r="G883" s="3"/>
      <c r="H883" s="12"/>
      <c r="K883" s="12"/>
      <c r="M883" s="12"/>
      <c r="R883" s="218"/>
      <c r="S883" s="218"/>
      <c r="T883" s="218"/>
      <c r="U883" s="218"/>
    </row>
    <row r="884">
      <c r="C884" s="12"/>
      <c r="D884" s="3"/>
      <c r="E884" s="112"/>
      <c r="F884" s="3"/>
      <c r="G884" s="3"/>
      <c r="H884" s="12"/>
      <c r="K884" s="12"/>
      <c r="M884" s="12"/>
      <c r="R884" s="218"/>
      <c r="S884" s="218"/>
      <c r="T884" s="218"/>
      <c r="U884" s="218"/>
    </row>
    <row r="885">
      <c r="C885" s="12"/>
      <c r="D885" s="3"/>
      <c r="E885" s="112"/>
      <c r="F885" s="3"/>
      <c r="G885" s="3"/>
      <c r="H885" s="12"/>
      <c r="K885" s="12"/>
      <c r="M885" s="12"/>
      <c r="R885" s="218"/>
      <c r="S885" s="218"/>
      <c r="T885" s="218"/>
      <c r="U885" s="218"/>
    </row>
    <row r="886">
      <c r="C886" s="12"/>
      <c r="D886" s="3"/>
      <c r="E886" s="112"/>
      <c r="F886" s="3"/>
      <c r="G886" s="3"/>
      <c r="H886" s="12"/>
      <c r="K886" s="12"/>
      <c r="M886" s="12"/>
      <c r="R886" s="218"/>
      <c r="S886" s="218"/>
      <c r="T886" s="218"/>
      <c r="U886" s="218"/>
    </row>
    <row r="887">
      <c r="C887" s="12"/>
      <c r="D887" s="3"/>
      <c r="E887" s="112"/>
      <c r="F887" s="3"/>
      <c r="G887" s="3"/>
      <c r="H887" s="12"/>
      <c r="K887" s="12"/>
      <c r="M887" s="12"/>
      <c r="R887" s="218"/>
      <c r="S887" s="218"/>
      <c r="T887" s="218"/>
      <c r="U887" s="218"/>
    </row>
    <row r="888">
      <c r="C888" s="12"/>
      <c r="D888" s="3"/>
      <c r="E888" s="112"/>
      <c r="F888" s="3"/>
      <c r="G888" s="3"/>
      <c r="H888" s="12"/>
      <c r="K888" s="12"/>
      <c r="M888" s="12"/>
      <c r="R888" s="218"/>
      <c r="S888" s="218"/>
      <c r="T888" s="218"/>
      <c r="U888" s="218"/>
    </row>
    <row r="889">
      <c r="C889" s="12"/>
      <c r="D889" s="3"/>
      <c r="E889" s="112"/>
      <c r="F889" s="3"/>
      <c r="G889" s="3"/>
      <c r="H889" s="12"/>
      <c r="K889" s="12"/>
      <c r="M889" s="12"/>
      <c r="R889" s="218"/>
      <c r="S889" s="218"/>
      <c r="T889" s="218"/>
      <c r="U889" s="218"/>
    </row>
    <row r="890">
      <c r="C890" s="12"/>
      <c r="D890" s="3"/>
      <c r="E890" s="112"/>
      <c r="F890" s="3"/>
      <c r="G890" s="3"/>
      <c r="H890" s="12"/>
      <c r="K890" s="12"/>
      <c r="M890" s="12"/>
      <c r="R890" s="218"/>
      <c r="S890" s="218"/>
      <c r="T890" s="218"/>
      <c r="U890" s="218"/>
    </row>
    <row r="891">
      <c r="C891" s="12"/>
      <c r="D891" s="3"/>
      <c r="E891" s="112"/>
      <c r="F891" s="3"/>
      <c r="G891" s="3"/>
      <c r="H891" s="12"/>
      <c r="K891" s="12"/>
      <c r="M891" s="12"/>
      <c r="R891" s="218"/>
      <c r="S891" s="218"/>
      <c r="T891" s="218"/>
      <c r="U891" s="218"/>
    </row>
    <row r="892">
      <c r="C892" s="12"/>
      <c r="D892" s="3"/>
      <c r="E892" s="112"/>
      <c r="F892" s="3"/>
      <c r="G892" s="3"/>
      <c r="H892" s="12"/>
      <c r="K892" s="12"/>
      <c r="M892" s="12"/>
      <c r="R892" s="218"/>
      <c r="S892" s="218"/>
      <c r="T892" s="218"/>
      <c r="U892" s="218"/>
    </row>
    <row r="893">
      <c r="C893" s="12"/>
      <c r="D893" s="3"/>
      <c r="E893" s="112"/>
      <c r="F893" s="3"/>
      <c r="G893" s="3"/>
      <c r="H893" s="12"/>
      <c r="K893" s="12"/>
      <c r="M893" s="12"/>
      <c r="R893" s="218"/>
      <c r="S893" s="218"/>
      <c r="T893" s="218"/>
      <c r="U893" s="218"/>
    </row>
    <row r="894">
      <c r="C894" s="12"/>
      <c r="D894" s="3"/>
      <c r="E894" s="112"/>
      <c r="F894" s="3"/>
      <c r="G894" s="3"/>
      <c r="H894" s="12"/>
      <c r="K894" s="12"/>
      <c r="M894" s="12"/>
      <c r="R894" s="218"/>
      <c r="S894" s="218"/>
      <c r="T894" s="218"/>
      <c r="U894" s="218"/>
    </row>
    <row r="895">
      <c r="C895" s="12"/>
      <c r="D895" s="3"/>
      <c r="E895" s="112"/>
      <c r="F895" s="3"/>
      <c r="G895" s="3"/>
      <c r="H895" s="12"/>
      <c r="K895" s="12"/>
      <c r="M895" s="12"/>
      <c r="R895" s="218"/>
      <c r="S895" s="218"/>
      <c r="T895" s="218"/>
      <c r="U895" s="218"/>
    </row>
    <row r="896">
      <c r="C896" s="12"/>
      <c r="D896" s="3"/>
      <c r="E896" s="112"/>
      <c r="F896" s="3"/>
      <c r="G896" s="3"/>
      <c r="H896" s="12"/>
      <c r="K896" s="12"/>
      <c r="M896" s="12"/>
      <c r="R896" s="218"/>
      <c r="S896" s="218"/>
      <c r="T896" s="218"/>
      <c r="U896" s="218"/>
    </row>
    <row r="897">
      <c r="C897" s="12"/>
      <c r="D897" s="3"/>
      <c r="E897" s="112"/>
      <c r="F897" s="3"/>
      <c r="G897" s="3"/>
      <c r="H897" s="12"/>
      <c r="K897" s="12"/>
      <c r="M897" s="12"/>
      <c r="R897" s="218"/>
      <c r="S897" s="218"/>
      <c r="T897" s="218"/>
      <c r="U897" s="218"/>
    </row>
    <row r="898">
      <c r="C898" s="12"/>
      <c r="D898" s="3"/>
      <c r="E898" s="112"/>
      <c r="F898" s="3"/>
      <c r="G898" s="3"/>
      <c r="H898" s="12"/>
      <c r="K898" s="12"/>
      <c r="M898" s="12"/>
      <c r="R898" s="218"/>
      <c r="S898" s="218"/>
      <c r="T898" s="218"/>
      <c r="U898" s="218"/>
    </row>
    <row r="899">
      <c r="C899" s="12"/>
      <c r="D899" s="3"/>
      <c r="E899" s="112"/>
      <c r="F899" s="3"/>
      <c r="G899" s="3"/>
      <c r="H899" s="12"/>
      <c r="K899" s="12"/>
      <c r="M899" s="12"/>
      <c r="R899" s="218"/>
      <c r="S899" s="218"/>
      <c r="T899" s="218"/>
      <c r="U899" s="218"/>
    </row>
    <row r="900">
      <c r="C900" s="12"/>
      <c r="D900" s="3"/>
      <c r="E900" s="112"/>
      <c r="F900" s="3"/>
      <c r="G900" s="3"/>
      <c r="H900" s="12"/>
      <c r="K900" s="12"/>
      <c r="M900" s="12"/>
      <c r="R900" s="218"/>
      <c r="S900" s="218"/>
      <c r="T900" s="218"/>
      <c r="U900" s="218"/>
    </row>
    <row r="901">
      <c r="C901" s="12"/>
      <c r="D901" s="3"/>
      <c r="E901" s="112"/>
      <c r="F901" s="3"/>
      <c r="G901" s="3"/>
      <c r="H901" s="12"/>
      <c r="K901" s="12"/>
      <c r="M901" s="12"/>
      <c r="R901" s="218"/>
      <c r="S901" s="218"/>
      <c r="T901" s="218"/>
      <c r="U901" s="218"/>
    </row>
    <row r="902">
      <c r="C902" s="12"/>
      <c r="D902" s="3"/>
      <c r="E902" s="112"/>
      <c r="F902" s="3"/>
      <c r="G902" s="3"/>
      <c r="H902" s="12"/>
      <c r="K902" s="12"/>
      <c r="M902" s="12"/>
      <c r="R902" s="218"/>
      <c r="S902" s="218"/>
      <c r="T902" s="218"/>
      <c r="U902" s="218"/>
    </row>
    <row r="903">
      <c r="C903" s="12"/>
      <c r="D903" s="3"/>
      <c r="E903" s="112"/>
      <c r="F903" s="3"/>
      <c r="G903" s="3"/>
      <c r="H903" s="12"/>
      <c r="K903" s="12"/>
      <c r="M903" s="12"/>
      <c r="R903" s="218"/>
      <c r="S903" s="218"/>
      <c r="T903" s="218"/>
      <c r="U903" s="218"/>
    </row>
    <row r="904">
      <c r="C904" s="12"/>
      <c r="D904" s="3"/>
      <c r="E904" s="112"/>
      <c r="F904" s="3"/>
      <c r="G904" s="3"/>
      <c r="H904" s="12"/>
      <c r="K904" s="12"/>
      <c r="M904" s="12"/>
      <c r="R904" s="218"/>
      <c r="S904" s="218"/>
      <c r="T904" s="218"/>
      <c r="U904" s="218"/>
    </row>
    <row r="905">
      <c r="C905" s="12"/>
      <c r="D905" s="3"/>
      <c r="E905" s="112"/>
      <c r="F905" s="3"/>
      <c r="G905" s="3"/>
      <c r="H905" s="12"/>
      <c r="K905" s="12"/>
      <c r="M905" s="12"/>
      <c r="R905" s="218"/>
      <c r="S905" s="218"/>
      <c r="T905" s="218"/>
      <c r="U905" s="218"/>
    </row>
    <row r="906">
      <c r="C906" s="12"/>
      <c r="D906" s="3"/>
      <c r="E906" s="112"/>
      <c r="F906" s="3"/>
      <c r="G906" s="3"/>
      <c r="H906" s="12"/>
      <c r="K906" s="12"/>
      <c r="M906" s="12"/>
      <c r="R906" s="218"/>
      <c r="S906" s="218"/>
      <c r="T906" s="218"/>
      <c r="U906" s="218"/>
    </row>
    <row r="907">
      <c r="C907" s="12"/>
      <c r="D907" s="3"/>
      <c r="E907" s="112"/>
      <c r="F907" s="3"/>
      <c r="G907" s="3"/>
      <c r="H907" s="12"/>
      <c r="K907" s="12"/>
      <c r="M907" s="12"/>
      <c r="R907" s="218"/>
      <c r="S907" s="218"/>
      <c r="T907" s="218"/>
      <c r="U907" s="218"/>
    </row>
    <row r="908">
      <c r="C908" s="12"/>
      <c r="D908" s="3"/>
      <c r="E908" s="112"/>
      <c r="F908" s="3"/>
      <c r="G908" s="3"/>
      <c r="H908" s="12"/>
      <c r="K908" s="12"/>
      <c r="M908" s="12"/>
      <c r="R908" s="218"/>
      <c r="S908" s="218"/>
      <c r="T908" s="218"/>
      <c r="U908" s="218"/>
    </row>
    <row r="909">
      <c r="C909" s="12"/>
      <c r="D909" s="3"/>
      <c r="E909" s="112"/>
      <c r="F909" s="3"/>
      <c r="G909" s="3"/>
      <c r="H909" s="12"/>
      <c r="K909" s="12"/>
      <c r="M909" s="12"/>
      <c r="R909" s="218"/>
      <c r="S909" s="218"/>
      <c r="T909" s="218"/>
      <c r="U909" s="218"/>
    </row>
    <row r="910">
      <c r="C910" s="12"/>
      <c r="D910" s="3"/>
      <c r="E910" s="112"/>
      <c r="F910" s="3"/>
      <c r="G910" s="3"/>
      <c r="H910" s="12"/>
      <c r="K910" s="12"/>
      <c r="M910" s="12"/>
      <c r="R910" s="218"/>
      <c r="S910" s="218"/>
      <c r="T910" s="218"/>
      <c r="U910" s="218"/>
    </row>
    <row r="911">
      <c r="C911" s="12"/>
      <c r="D911" s="3"/>
      <c r="E911" s="112"/>
      <c r="F911" s="3"/>
      <c r="G911" s="3"/>
      <c r="H911" s="12"/>
      <c r="K911" s="12"/>
      <c r="M911" s="12"/>
      <c r="R911" s="218"/>
      <c r="S911" s="218"/>
      <c r="T911" s="218"/>
      <c r="U911" s="218"/>
    </row>
    <row r="912">
      <c r="C912" s="12"/>
      <c r="D912" s="3"/>
      <c r="E912" s="112"/>
      <c r="F912" s="3"/>
      <c r="G912" s="3"/>
      <c r="H912" s="12"/>
      <c r="K912" s="12"/>
      <c r="M912" s="12"/>
      <c r="R912" s="218"/>
      <c r="S912" s="218"/>
      <c r="T912" s="218"/>
      <c r="U912" s="218"/>
    </row>
    <row r="913">
      <c r="C913" s="12"/>
      <c r="D913" s="3"/>
      <c r="E913" s="112"/>
      <c r="F913" s="3"/>
      <c r="G913" s="3"/>
      <c r="H913" s="12"/>
      <c r="K913" s="12"/>
      <c r="M913" s="12"/>
      <c r="R913" s="218"/>
      <c r="S913" s="218"/>
      <c r="T913" s="218"/>
      <c r="U913" s="218"/>
    </row>
    <row r="914">
      <c r="C914" s="12"/>
      <c r="D914" s="3"/>
      <c r="E914" s="112"/>
      <c r="F914" s="3"/>
      <c r="G914" s="3"/>
      <c r="H914" s="12"/>
      <c r="K914" s="12"/>
      <c r="M914" s="12"/>
      <c r="R914" s="218"/>
      <c r="S914" s="218"/>
      <c r="T914" s="218"/>
      <c r="U914" s="218"/>
    </row>
    <row r="915">
      <c r="C915" s="12"/>
      <c r="D915" s="3"/>
      <c r="E915" s="112"/>
      <c r="F915" s="3"/>
      <c r="G915" s="3"/>
      <c r="H915" s="12"/>
      <c r="K915" s="12"/>
      <c r="M915" s="12"/>
      <c r="R915" s="218"/>
      <c r="S915" s="218"/>
      <c r="T915" s="218"/>
      <c r="U915" s="218"/>
    </row>
    <row r="916">
      <c r="C916" s="12"/>
      <c r="D916" s="3"/>
      <c r="E916" s="112"/>
      <c r="F916" s="3"/>
      <c r="G916" s="3"/>
      <c r="H916" s="12"/>
      <c r="K916" s="12"/>
      <c r="M916" s="12"/>
      <c r="R916" s="218"/>
      <c r="S916" s="218"/>
      <c r="T916" s="218"/>
      <c r="U916" s="218"/>
    </row>
    <row r="917">
      <c r="C917" s="12"/>
      <c r="D917" s="3"/>
      <c r="E917" s="112"/>
      <c r="F917" s="3"/>
      <c r="G917" s="3"/>
      <c r="H917" s="12"/>
      <c r="K917" s="12"/>
      <c r="M917" s="12"/>
      <c r="R917" s="218"/>
      <c r="S917" s="218"/>
      <c r="T917" s="218"/>
      <c r="U917" s="218"/>
    </row>
    <row r="918">
      <c r="C918" s="12"/>
      <c r="D918" s="3"/>
      <c r="E918" s="112"/>
      <c r="F918" s="3"/>
      <c r="G918" s="3"/>
      <c r="H918" s="12"/>
      <c r="K918" s="12"/>
      <c r="M918" s="12"/>
      <c r="R918" s="218"/>
      <c r="S918" s="218"/>
      <c r="T918" s="218"/>
      <c r="U918" s="218"/>
    </row>
    <row r="919">
      <c r="C919" s="12"/>
      <c r="D919" s="3"/>
      <c r="E919" s="112"/>
      <c r="F919" s="3"/>
      <c r="G919" s="3"/>
      <c r="H919" s="12"/>
      <c r="K919" s="12"/>
      <c r="M919" s="12"/>
      <c r="R919" s="218"/>
      <c r="S919" s="218"/>
      <c r="T919" s="218"/>
      <c r="U919" s="218"/>
    </row>
    <row r="920">
      <c r="C920" s="12"/>
      <c r="D920" s="3"/>
      <c r="E920" s="112"/>
      <c r="F920" s="3"/>
      <c r="G920" s="3"/>
      <c r="H920" s="12"/>
      <c r="K920" s="12"/>
      <c r="M920" s="12"/>
      <c r="R920" s="218"/>
      <c r="S920" s="218"/>
      <c r="T920" s="218"/>
      <c r="U920" s="218"/>
    </row>
    <row r="921">
      <c r="C921" s="12"/>
      <c r="D921" s="3"/>
      <c r="E921" s="112"/>
      <c r="F921" s="3"/>
      <c r="G921" s="3"/>
      <c r="H921" s="12"/>
      <c r="K921" s="12"/>
      <c r="M921" s="12"/>
      <c r="R921" s="218"/>
      <c r="S921" s="218"/>
      <c r="T921" s="218"/>
      <c r="U921" s="218"/>
    </row>
    <row r="922">
      <c r="C922" s="12"/>
      <c r="D922" s="3"/>
      <c r="E922" s="112"/>
      <c r="F922" s="3"/>
      <c r="G922" s="3"/>
      <c r="H922" s="12"/>
      <c r="K922" s="12"/>
      <c r="M922" s="12"/>
      <c r="R922" s="218"/>
      <c r="S922" s="218"/>
      <c r="T922" s="218"/>
      <c r="U922" s="218"/>
    </row>
    <row r="923">
      <c r="C923" s="12"/>
      <c r="D923" s="3"/>
      <c r="E923" s="112"/>
      <c r="F923" s="3"/>
      <c r="G923" s="3"/>
      <c r="H923" s="12"/>
      <c r="K923" s="12"/>
      <c r="M923" s="12"/>
      <c r="R923" s="218"/>
      <c r="S923" s="218"/>
      <c r="T923" s="218"/>
      <c r="U923" s="218"/>
    </row>
    <row r="924">
      <c r="C924" s="12"/>
      <c r="D924" s="3"/>
      <c r="E924" s="112"/>
      <c r="F924" s="3"/>
      <c r="G924" s="3"/>
      <c r="H924" s="12"/>
      <c r="K924" s="12"/>
      <c r="M924" s="12"/>
      <c r="R924" s="218"/>
      <c r="S924" s="218"/>
      <c r="T924" s="218"/>
      <c r="U924" s="218"/>
    </row>
    <row r="925">
      <c r="C925" s="12"/>
      <c r="D925" s="3"/>
      <c r="E925" s="112"/>
      <c r="F925" s="3"/>
      <c r="G925" s="3"/>
      <c r="H925" s="12"/>
      <c r="K925" s="12"/>
      <c r="M925" s="12"/>
      <c r="R925" s="218"/>
      <c r="S925" s="218"/>
      <c r="T925" s="218"/>
      <c r="U925" s="218"/>
    </row>
    <row r="926">
      <c r="C926" s="12"/>
      <c r="D926" s="3"/>
      <c r="E926" s="112"/>
      <c r="F926" s="3"/>
      <c r="G926" s="3"/>
      <c r="H926" s="12"/>
      <c r="K926" s="12"/>
      <c r="M926" s="12"/>
      <c r="R926" s="218"/>
      <c r="S926" s="218"/>
      <c r="T926" s="218"/>
      <c r="U926" s="218"/>
    </row>
    <row r="927">
      <c r="C927" s="12"/>
      <c r="D927" s="3"/>
      <c r="E927" s="112"/>
      <c r="F927" s="3"/>
      <c r="G927" s="3"/>
      <c r="H927" s="12"/>
      <c r="K927" s="12"/>
      <c r="M927" s="12"/>
      <c r="R927" s="218"/>
      <c r="S927" s="218"/>
      <c r="T927" s="218"/>
      <c r="U927" s="218"/>
    </row>
    <row r="928">
      <c r="C928" s="12"/>
      <c r="D928" s="3"/>
      <c r="E928" s="112"/>
      <c r="F928" s="3"/>
      <c r="G928" s="3"/>
      <c r="H928" s="12"/>
      <c r="K928" s="12"/>
      <c r="M928" s="12"/>
      <c r="R928" s="218"/>
      <c r="S928" s="218"/>
      <c r="T928" s="218"/>
      <c r="U928" s="218"/>
    </row>
    <row r="929">
      <c r="C929" s="12"/>
      <c r="D929" s="3"/>
      <c r="E929" s="112"/>
      <c r="F929" s="3"/>
      <c r="G929" s="3"/>
      <c r="H929" s="12"/>
      <c r="K929" s="12"/>
      <c r="M929" s="12"/>
      <c r="R929" s="218"/>
      <c r="S929" s="218"/>
      <c r="T929" s="218"/>
      <c r="U929" s="218"/>
    </row>
    <row r="930">
      <c r="C930" s="12"/>
      <c r="D930" s="3"/>
      <c r="E930" s="112"/>
      <c r="F930" s="3"/>
      <c r="G930" s="3"/>
      <c r="H930" s="12"/>
      <c r="K930" s="12"/>
      <c r="M930" s="12"/>
      <c r="R930" s="218"/>
      <c r="S930" s="218"/>
      <c r="T930" s="218"/>
      <c r="U930" s="218"/>
    </row>
    <row r="931">
      <c r="C931" s="12"/>
      <c r="D931" s="3"/>
      <c r="E931" s="112"/>
      <c r="F931" s="3"/>
      <c r="G931" s="3"/>
      <c r="H931" s="12"/>
      <c r="K931" s="12"/>
      <c r="M931" s="12"/>
      <c r="R931" s="218"/>
      <c r="S931" s="218"/>
      <c r="T931" s="218"/>
      <c r="U931" s="218"/>
    </row>
    <row r="932">
      <c r="C932" s="12"/>
      <c r="D932" s="3"/>
      <c r="E932" s="112"/>
      <c r="F932" s="3"/>
      <c r="G932" s="3"/>
      <c r="H932" s="12"/>
      <c r="K932" s="12"/>
      <c r="M932" s="12"/>
      <c r="R932" s="218"/>
      <c r="S932" s="218"/>
      <c r="T932" s="218"/>
      <c r="U932" s="218"/>
    </row>
    <row r="933">
      <c r="C933" s="12"/>
      <c r="D933" s="3"/>
      <c r="E933" s="112"/>
      <c r="F933" s="3"/>
      <c r="G933" s="3"/>
      <c r="H933" s="12"/>
      <c r="K933" s="12"/>
      <c r="M933" s="12"/>
      <c r="R933" s="218"/>
      <c r="S933" s="218"/>
      <c r="T933" s="218"/>
      <c r="U933" s="218"/>
    </row>
    <row r="934">
      <c r="C934" s="12"/>
      <c r="D934" s="3"/>
      <c r="E934" s="112"/>
      <c r="F934" s="3"/>
      <c r="G934" s="3"/>
      <c r="H934" s="12"/>
      <c r="K934" s="12"/>
      <c r="M934" s="12"/>
      <c r="R934" s="218"/>
      <c r="S934" s="218"/>
      <c r="T934" s="218"/>
      <c r="U934" s="218"/>
    </row>
    <row r="935">
      <c r="C935" s="12"/>
      <c r="D935" s="3"/>
      <c r="E935" s="112"/>
      <c r="F935" s="3"/>
      <c r="G935" s="3"/>
      <c r="H935" s="12"/>
      <c r="K935" s="12"/>
      <c r="M935" s="12"/>
      <c r="R935" s="218"/>
      <c r="S935" s="218"/>
      <c r="T935" s="218"/>
      <c r="U935" s="218"/>
    </row>
    <row r="936">
      <c r="C936" s="12"/>
      <c r="D936" s="3"/>
      <c r="E936" s="112"/>
      <c r="F936" s="3"/>
      <c r="G936" s="3"/>
      <c r="H936" s="12"/>
      <c r="K936" s="12"/>
      <c r="M936" s="12"/>
      <c r="R936" s="218"/>
      <c r="S936" s="218"/>
      <c r="T936" s="218"/>
      <c r="U936" s="218"/>
    </row>
    <row r="937">
      <c r="C937" s="12"/>
      <c r="D937" s="3"/>
      <c r="E937" s="112"/>
      <c r="F937" s="3"/>
      <c r="G937" s="3"/>
      <c r="H937" s="12"/>
      <c r="K937" s="12"/>
      <c r="M937" s="12"/>
      <c r="R937" s="218"/>
      <c r="S937" s="218"/>
      <c r="T937" s="218"/>
      <c r="U937" s="218"/>
    </row>
    <row r="938">
      <c r="C938" s="12"/>
      <c r="D938" s="3"/>
      <c r="E938" s="112"/>
      <c r="F938" s="3"/>
      <c r="G938" s="3"/>
      <c r="H938" s="12"/>
      <c r="K938" s="12"/>
      <c r="M938" s="12"/>
      <c r="R938" s="218"/>
      <c r="S938" s="218"/>
      <c r="T938" s="218"/>
      <c r="U938" s="218"/>
    </row>
    <row r="939">
      <c r="C939" s="12"/>
      <c r="D939" s="3"/>
      <c r="E939" s="112"/>
      <c r="F939" s="3"/>
      <c r="G939" s="3"/>
      <c r="H939" s="12"/>
      <c r="K939" s="12"/>
      <c r="M939" s="12"/>
      <c r="R939" s="218"/>
      <c r="S939" s="218"/>
      <c r="T939" s="218"/>
      <c r="U939" s="218"/>
    </row>
    <row r="940">
      <c r="C940" s="12"/>
      <c r="D940" s="3"/>
      <c r="E940" s="112"/>
      <c r="F940" s="3"/>
      <c r="G940" s="3"/>
      <c r="H940" s="12"/>
      <c r="K940" s="12"/>
      <c r="M940" s="12"/>
      <c r="R940" s="218"/>
      <c r="S940" s="218"/>
      <c r="T940" s="218"/>
      <c r="U940" s="218"/>
    </row>
    <row r="941">
      <c r="C941" s="12"/>
      <c r="D941" s="3"/>
      <c r="E941" s="112"/>
      <c r="F941" s="3"/>
      <c r="G941" s="3"/>
      <c r="H941" s="12"/>
      <c r="K941" s="12"/>
      <c r="M941" s="12"/>
      <c r="R941" s="218"/>
      <c r="S941" s="218"/>
      <c r="T941" s="218"/>
      <c r="U941" s="218"/>
    </row>
    <row r="942">
      <c r="C942" s="12"/>
      <c r="D942" s="3"/>
      <c r="E942" s="112"/>
      <c r="F942" s="3"/>
      <c r="G942" s="3"/>
      <c r="H942" s="12"/>
      <c r="K942" s="12"/>
      <c r="M942" s="12"/>
      <c r="R942" s="218"/>
      <c r="S942" s="218"/>
      <c r="T942" s="218"/>
      <c r="U942" s="218"/>
    </row>
    <row r="943">
      <c r="C943" s="12"/>
      <c r="D943" s="3"/>
      <c r="E943" s="112"/>
      <c r="F943" s="3"/>
      <c r="G943" s="3"/>
      <c r="H943" s="12"/>
      <c r="K943" s="12"/>
      <c r="M943" s="12"/>
      <c r="R943" s="218"/>
      <c r="S943" s="218"/>
      <c r="T943" s="218"/>
      <c r="U943" s="218"/>
    </row>
    <row r="944">
      <c r="C944" s="12"/>
      <c r="D944" s="3"/>
      <c r="E944" s="112"/>
      <c r="F944" s="3"/>
      <c r="G944" s="3"/>
      <c r="H944" s="12"/>
      <c r="K944" s="12"/>
      <c r="M944" s="12"/>
      <c r="R944" s="218"/>
      <c r="S944" s="218"/>
      <c r="T944" s="218"/>
      <c r="U944" s="218"/>
    </row>
    <row r="945">
      <c r="C945" s="12"/>
      <c r="D945" s="3"/>
      <c r="E945" s="112"/>
      <c r="F945" s="3"/>
      <c r="G945" s="3"/>
      <c r="H945" s="12"/>
      <c r="K945" s="12"/>
      <c r="M945" s="12"/>
      <c r="R945" s="218"/>
      <c r="S945" s="218"/>
      <c r="T945" s="218"/>
      <c r="U945" s="218"/>
    </row>
    <row r="946">
      <c r="C946" s="12"/>
      <c r="D946" s="3"/>
      <c r="E946" s="112"/>
      <c r="F946" s="3"/>
      <c r="G946" s="3"/>
      <c r="H946" s="12"/>
      <c r="K946" s="12"/>
      <c r="M946" s="12"/>
      <c r="R946" s="218"/>
      <c r="S946" s="218"/>
      <c r="T946" s="218"/>
      <c r="U946" s="218"/>
    </row>
    <row r="947">
      <c r="C947" s="12"/>
      <c r="D947" s="3"/>
      <c r="E947" s="112"/>
      <c r="F947" s="3"/>
      <c r="G947" s="3"/>
      <c r="H947" s="12"/>
      <c r="K947" s="12"/>
      <c r="M947" s="12"/>
      <c r="R947" s="218"/>
      <c r="S947" s="218"/>
      <c r="T947" s="218"/>
      <c r="U947" s="218"/>
    </row>
    <row r="948">
      <c r="C948" s="12"/>
      <c r="D948" s="3"/>
      <c r="E948" s="112"/>
      <c r="F948" s="3"/>
      <c r="G948" s="3"/>
      <c r="H948" s="12"/>
      <c r="K948" s="12"/>
      <c r="M948" s="12"/>
      <c r="R948" s="218"/>
      <c r="S948" s="218"/>
      <c r="T948" s="218"/>
      <c r="U948" s="218"/>
    </row>
    <row r="949">
      <c r="C949" s="12"/>
      <c r="D949" s="3"/>
      <c r="E949" s="112"/>
      <c r="F949" s="3"/>
      <c r="G949" s="3"/>
      <c r="H949" s="12"/>
      <c r="K949" s="12"/>
      <c r="M949" s="12"/>
      <c r="R949" s="218"/>
      <c r="S949" s="218"/>
      <c r="T949" s="218"/>
      <c r="U949" s="218"/>
    </row>
    <row r="950">
      <c r="C950" s="12"/>
      <c r="D950" s="3"/>
      <c r="E950" s="112"/>
      <c r="F950" s="3"/>
      <c r="G950" s="3"/>
      <c r="H950" s="12"/>
      <c r="K950" s="12"/>
      <c r="M950" s="12"/>
      <c r="R950" s="218"/>
      <c r="S950" s="218"/>
      <c r="T950" s="218"/>
      <c r="U950" s="218"/>
    </row>
    <row r="951">
      <c r="C951" s="12"/>
      <c r="D951" s="3"/>
      <c r="E951" s="112"/>
      <c r="F951" s="3"/>
      <c r="G951" s="3"/>
      <c r="H951" s="12"/>
      <c r="K951" s="12"/>
      <c r="M951" s="12"/>
      <c r="R951" s="218"/>
      <c r="S951" s="218"/>
      <c r="T951" s="218"/>
      <c r="U951" s="218"/>
    </row>
    <row r="952">
      <c r="C952" s="12"/>
      <c r="D952" s="3"/>
      <c r="E952" s="112"/>
      <c r="F952" s="3"/>
      <c r="G952" s="3"/>
      <c r="H952" s="12"/>
      <c r="K952" s="12"/>
      <c r="M952" s="12"/>
      <c r="R952" s="218"/>
      <c r="S952" s="218"/>
      <c r="T952" s="218"/>
      <c r="U952" s="218"/>
    </row>
    <row r="953">
      <c r="C953" s="12"/>
      <c r="D953" s="3"/>
      <c r="E953" s="112"/>
      <c r="F953" s="3"/>
      <c r="G953" s="3"/>
      <c r="H953" s="12"/>
      <c r="K953" s="12"/>
      <c r="M953" s="12"/>
      <c r="R953" s="218"/>
      <c r="S953" s="218"/>
      <c r="T953" s="218"/>
      <c r="U953" s="218"/>
    </row>
    <row r="954">
      <c r="C954" s="12"/>
      <c r="D954" s="3"/>
      <c r="E954" s="112"/>
      <c r="F954" s="3"/>
      <c r="G954" s="3"/>
      <c r="H954" s="12"/>
      <c r="K954" s="12"/>
      <c r="M954" s="12"/>
      <c r="R954" s="218"/>
      <c r="S954" s="218"/>
      <c r="T954" s="218"/>
      <c r="U954" s="218"/>
    </row>
    <row r="955">
      <c r="C955" s="12"/>
      <c r="D955" s="3"/>
      <c r="E955" s="112"/>
      <c r="F955" s="3"/>
      <c r="G955" s="3"/>
      <c r="H955" s="12"/>
      <c r="K955" s="12"/>
      <c r="M955" s="12"/>
      <c r="R955" s="218"/>
      <c r="S955" s="218"/>
      <c r="T955" s="218"/>
      <c r="U955" s="218"/>
    </row>
    <row r="956">
      <c r="C956" s="12"/>
      <c r="D956" s="3"/>
      <c r="E956" s="112"/>
      <c r="F956" s="3"/>
      <c r="G956" s="3"/>
      <c r="H956" s="12"/>
      <c r="K956" s="12"/>
      <c r="M956" s="12"/>
      <c r="R956" s="218"/>
      <c r="S956" s="218"/>
      <c r="T956" s="218"/>
      <c r="U956" s="218"/>
    </row>
    <row r="957">
      <c r="C957" s="12"/>
      <c r="D957" s="3"/>
      <c r="E957" s="112"/>
      <c r="F957" s="3"/>
      <c r="G957" s="3"/>
      <c r="H957" s="12"/>
      <c r="K957" s="12"/>
      <c r="M957" s="12"/>
      <c r="R957" s="218"/>
      <c r="S957" s="218"/>
      <c r="T957" s="218"/>
      <c r="U957" s="218"/>
    </row>
    <row r="958">
      <c r="C958" s="12"/>
      <c r="D958" s="3"/>
      <c r="E958" s="112"/>
      <c r="F958" s="3"/>
      <c r="G958" s="3"/>
      <c r="H958" s="12"/>
      <c r="K958" s="12"/>
      <c r="M958" s="12"/>
      <c r="R958" s="218"/>
      <c r="S958" s="218"/>
      <c r="T958" s="218"/>
      <c r="U958" s="218"/>
    </row>
    <row r="959">
      <c r="C959" s="12"/>
      <c r="D959" s="3"/>
      <c r="E959" s="112"/>
      <c r="F959" s="3"/>
      <c r="G959" s="3"/>
      <c r="H959" s="12"/>
      <c r="K959" s="12"/>
      <c r="M959" s="12"/>
      <c r="R959" s="218"/>
      <c r="S959" s="218"/>
      <c r="T959" s="218"/>
      <c r="U959" s="218"/>
    </row>
    <row r="960">
      <c r="C960" s="12"/>
      <c r="D960" s="3"/>
      <c r="E960" s="112"/>
      <c r="F960" s="3"/>
      <c r="G960" s="3"/>
      <c r="H960" s="12"/>
      <c r="K960" s="12"/>
      <c r="M960" s="12"/>
      <c r="R960" s="218"/>
      <c r="S960" s="218"/>
      <c r="T960" s="218"/>
      <c r="U960" s="218"/>
    </row>
    <row r="961">
      <c r="C961" s="12"/>
      <c r="D961" s="3"/>
      <c r="E961" s="112"/>
      <c r="F961" s="3"/>
      <c r="G961" s="3"/>
      <c r="H961" s="12"/>
      <c r="K961" s="12"/>
      <c r="M961" s="12"/>
      <c r="R961" s="218"/>
      <c r="S961" s="218"/>
      <c r="T961" s="218"/>
      <c r="U961" s="218"/>
    </row>
    <row r="962">
      <c r="C962" s="12"/>
      <c r="D962" s="3"/>
      <c r="E962" s="112"/>
      <c r="F962" s="3"/>
      <c r="G962" s="3"/>
      <c r="H962" s="12"/>
      <c r="K962" s="12"/>
      <c r="M962" s="12"/>
      <c r="R962" s="218"/>
      <c r="S962" s="218"/>
      <c r="T962" s="218"/>
      <c r="U962" s="218"/>
    </row>
    <row r="963">
      <c r="C963" s="12"/>
      <c r="D963" s="3"/>
      <c r="E963" s="112"/>
      <c r="F963" s="3"/>
      <c r="G963" s="3"/>
      <c r="H963" s="12"/>
      <c r="K963" s="12"/>
      <c r="M963" s="12"/>
      <c r="R963" s="218"/>
      <c r="S963" s="218"/>
      <c r="T963" s="218"/>
      <c r="U963" s="218"/>
    </row>
    <row r="964">
      <c r="C964" s="12"/>
      <c r="D964" s="3"/>
      <c r="E964" s="112"/>
      <c r="F964" s="3"/>
      <c r="G964" s="3"/>
      <c r="H964" s="12"/>
      <c r="K964" s="12"/>
      <c r="M964" s="12"/>
      <c r="R964" s="218"/>
      <c r="S964" s="218"/>
      <c r="T964" s="218"/>
      <c r="U964" s="218"/>
    </row>
    <row r="965">
      <c r="C965" s="12"/>
      <c r="D965" s="3"/>
      <c r="E965" s="112"/>
      <c r="F965" s="3"/>
      <c r="G965" s="3"/>
      <c r="H965" s="12"/>
      <c r="K965" s="12"/>
      <c r="M965" s="12"/>
      <c r="R965" s="218"/>
      <c r="S965" s="218"/>
      <c r="T965" s="218"/>
      <c r="U965" s="218"/>
    </row>
    <row r="966">
      <c r="C966" s="12"/>
      <c r="D966" s="3"/>
      <c r="E966" s="112"/>
      <c r="F966" s="3"/>
      <c r="G966" s="3"/>
      <c r="H966" s="12"/>
      <c r="K966" s="12"/>
      <c r="M966" s="12"/>
      <c r="R966" s="218"/>
      <c r="S966" s="218"/>
      <c r="T966" s="218"/>
      <c r="U966" s="218"/>
    </row>
    <row r="967">
      <c r="C967" s="12"/>
      <c r="D967" s="3"/>
      <c r="E967" s="112"/>
      <c r="F967" s="3"/>
      <c r="G967" s="3"/>
      <c r="H967" s="12"/>
      <c r="K967" s="12"/>
      <c r="M967" s="12"/>
      <c r="R967" s="218"/>
      <c r="S967" s="218"/>
      <c r="T967" s="218"/>
      <c r="U967" s="218"/>
    </row>
    <row r="968">
      <c r="C968" s="12"/>
      <c r="D968" s="3"/>
      <c r="E968" s="112"/>
      <c r="F968" s="3"/>
      <c r="G968" s="3"/>
      <c r="H968" s="12"/>
      <c r="K968" s="12"/>
      <c r="M968" s="12"/>
      <c r="R968" s="218"/>
      <c r="S968" s="218"/>
      <c r="T968" s="218"/>
      <c r="U968" s="218"/>
    </row>
    <row r="969">
      <c r="C969" s="12"/>
      <c r="D969" s="3"/>
      <c r="E969" s="112"/>
      <c r="F969" s="3"/>
      <c r="G969" s="3"/>
      <c r="H969" s="12"/>
      <c r="K969" s="12"/>
      <c r="M969" s="12"/>
      <c r="R969" s="218"/>
      <c r="S969" s="218"/>
      <c r="T969" s="218"/>
      <c r="U969" s="218"/>
    </row>
    <row r="970">
      <c r="C970" s="12"/>
      <c r="D970" s="3"/>
      <c r="E970" s="112"/>
      <c r="F970" s="3"/>
      <c r="G970" s="3"/>
      <c r="H970" s="12"/>
      <c r="K970" s="12"/>
      <c r="M970" s="12"/>
      <c r="R970" s="218"/>
      <c r="S970" s="218"/>
      <c r="T970" s="218"/>
      <c r="U970" s="218"/>
    </row>
    <row r="971">
      <c r="C971" s="12"/>
      <c r="D971" s="3"/>
      <c r="E971" s="112"/>
      <c r="F971" s="3"/>
      <c r="G971" s="3"/>
      <c r="H971" s="12"/>
      <c r="K971" s="12"/>
      <c r="M971" s="12"/>
      <c r="R971" s="218"/>
      <c r="S971" s="218"/>
      <c r="T971" s="218"/>
      <c r="U971" s="218"/>
    </row>
    <row r="972">
      <c r="C972" s="12"/>
      <c r="D972" s="3"/>
      <c r="E972" s="112"/>
      <c r="F972" s="3"/>
      <c r="G972" s="3"/>
      <c r="H972" s="12"/>
      <c r="K972" s="12"/>
      <c r="M972" s="12"/>
      <c r="R972" s="218"/>
      <c r="S972" s="218"/>
      <c r="T972" s="218"/>
      <c r="U972" s="218"/>
    </row>
    <row r="973">
      <c r="C973" s="12"/>
      <c r="D973" s="3"/>
      <c r="E973" s="112"/>
      <c r="F973" s="3"/>
      <c r="G973" s="3"/>
      <c r="H973" s="12"/>
      <c r="K973" s="12"/>
      <c r="M973" s="12"/>
      <c r="R973" s="218"/>
      <c r="S973" s="218"/>
      <c r="T973" s="218"/>
      <c r="U973" s="218"/>
    </row>
    <row r="974">
      <c r="C974" s="12"/>
      <c r="D974" s="3"/>
      <c r="E974" s="112"/>
      <c r="F974" s="3"/>
      <c r="G974" s="3"/>
      <c r="H974" s="12"/>
      <c r="K974" s="12"/>
      <c r="M974" s="12"/>
      <c r="R974" s="218"/>
      <c r="S974" s="218"/>
      <c r="T974" s="218"/>
      <c r="U974" s="218"/>
    </row>
    <row r="975">
      <c r="C975" s="12"/>
      <c r="D975" s="3"/>
      <c r="E975" s="112"/>
      <c r="F975" s="3"/>
      <c r="G975" s="3"/>
      <c r="H975" s="12"/>
      <c r="K975" s="12"/>
      <c r="M975" s="12"/>
      <c r="R975" s="218"/>
      <c r="S975" s="218"/>
      <c r="T975" s="218"/>
      <c r="U975" s="218"/>
    </row>
    <row r="976">
      <c r="C976" s="12"/>
      <c r="D976" s="3"/>
      <c r="E976" s="112"/>
      <c r="F976" s="3"/>
      <c r="G976" s="3"/>
      <c r="H976" s="12"/>
      <c r="K976" s="12"/>
      <c r="M976" s="12"/>
      <c r="R976" s="218"/>
      <c r="S976" s="218"/>
      <c r="T976" s="218"/>
      <c r="U976" s="218"/>
    </row>
    <row r="977">
      <c r="C977" s="12"/>
      <c r="D977" s="3"/>
      <c r="E977" s="112"/>
      <c r="F977" s="3"/>
      <c r="G977" s="3"/>
      <c r="H977" s="12"/>
      <c r="K977" s="12"/>
      <c r="M977" s="12"/>
      <c r="R977" s="218"/>
      <c r="S977" s="218"/>
      <c r="T977" s="218"/>
      <c r="U977" s="218"/>
    </row>
    <row r="978">
      <c r="C978" s="12"/>
      <c r="D978" s="3"/>
      <c r="E978" s="112"/>
      <c r="F978" s="3"/>
      <c r="G978" s="3"/>
      <c r="H978" s="12"/>
      <c r="K978" s="12"/>
      <c r="M978" s="12"/>
      <c r="R978" s="218"/>
      <c r="S978" s="218"/>
      <c r="T978" s="218"/>
      <c r="U978" s="218"/>
    </row>
    <row r="979">
      <c r="C979" s="12"/>
      <c r="D979" s="3"/>
      <c r="E979" s="112"/>
      <c r="F979" s="3"/>
      <c r="G979" s="3"/>
      <c r="H979" s="12"/>
      <c r="K979" s="12"/>
      <c r="M979" s="12"/>
      <c r="R979" s="218"/>
      <c r="S979" s="218"/>
      <c r="T979" s="218"/>
      <c r="U979" s="218"/>
    </row>
    <row r="980">
      <c r="C980" s="12"/>
      <c r="D980" s="3"/>
      <c r="E980" s="112"/>
      <c r="F980" s="3"/>
      <c r="G980" s="3"/>
      <c r="H980" s="12"/>
      <c r="K980" s="12"/>
      <c r="M980" s="12"/>
      <c r="R980" s="218"/>
      <c r="S980" s="218"/>
      <c r="T980" s="218"/>
      <c r="U980" s="218"/>
    </row>
    <row r="981">
      <c r="C981" s="12"/>
      <c r="D981" s="3"/>
      <c r="E981" s="112"/>
      <c r="F981" s="3"/>
      <c r="G981" s="3"/>
      <c r="H981" s="12"/>
      <c r="K981" s="12"/>
      <c r="M981" s="12"/>
      <c r="R981" s="218"/>
      <c r="S981" s="218"/>
      <c r="T981" s="218"/>
      <c r="U981" s="218"/>
    </row>
    <row r="982">
      <c r="C982" s="12"/>
      <c r="D982" s="3"/>
      <c r="E982" s="112"/>
      <c r="F982" s="3"/>
      <c r="G982" s="3"/>
      <c r="H982" s="12"/>
      <c r="K982" s="12"/>
      <c r="M982" s="12"/>
      <c r="R982" s="218"/>
      <c r="S982" s="218"/>
      <c r="T982" s="218"/>
      <c r="U982" s="218"/>
    </row>
    <row r="983">
      <c r="C983" s="12"/>
      <c r="D983" s="3"/>
      <c r="E983" s="112"/>
      <c r="F983" s="3"/>
      <c r="G983" s="3"/>
      <c r="H983" s="12"/>
      <c r="K983" s="12"/>
      <c r="M983" s="12"/>
      <c r="R983" s="218"/>
      <c r="S983" s="218"/>
      <c r="T983" s="218"/>
      <c r="U983" s="218"/>
    </row>
    <row r="984">
      <c r="C984" s="12"/>
      <c r="D984" s="3"/>
      <c r="E984" s="112"/>
      <c r="F984" s="3"/>
      <c r="G984" s="3"/>
      <c r="H984" s="12"/>
      <c r="K984" s="12"/>
      <c r="M984" s="12"/>
      <c r="R984" s="218"/>
      <c r="S984" s="218"/>
      <c r="T984" s="218"/>
      <c r="U984" s="218"/>
    </row>
    <row r="985">
      <c r="C985" s="12"/>
      <c r="D985" s="3"/>
      <c r="E985" s="112"/>
      <c r="F985" s="3"/>
      <c r="G985" s="3"/>
      <c r="H985" s="12"/>
      <c r="K985" s="12"/>
      <c r="M985" s="12"/>
      <c r="R985" s="218"/>
      <c r="S985" s="218"/>
      <c r="T985" s="218"/>
      <c r="U985" s="218"/>
    </row>
    <row r="986">
      <c r="C986" s="12"/>
      <c r="D986" s="3"/>
      <c r="E986" s="112"/>
      <c r="F986" s="3"/>
      <c r="G986" s="3"/>
      <c r="H986" s="12"/>
      <c r="K986" s="12"/>
      <c r="M986" s="12"/>
      <c r="R986" s="218"/>
      <c r="S986" s="218"/>
      <c r="T986" s="218"/>
      <c r="U986" s="218"/>
    </row>
    <row r="987">
      <c r="C987" s="12"/>
      <c r="D987" s="3"/>
      <c r="E987" s="112"/>
      <c r="F987" s="3"/>
      <c r="G987" s="3"/>
      <c r="H987" s="12"/>
      <c r="K987" s="12"/>
      <c r="M987" s="12"/>
      <c r="R987" s="218"/>
      <c r="S987" s="218"/>
      <c r="T987" s="218"/>
      <c r="U987" s="218"/>
    </row>
    <row r="988">
      <c r="C988" s="12"/>
      <c r="D988" s="3"/>
      <c r="E988" s="112"/>
      <c r="F988" s="3"/>
      <c r="G988" s="3"/>
      <c r="H988" s="12"/>
      <c r="K988" s="12"/>
      <c r="M988" s="12"/>
      <c r="R988" s="218"/>
      <c r="S988" s="218"/>
      <c r="T988" s="218"/>
      <c r="U988" s="218"/>
    </row>
    <row r="989">
      <c r="C989" s="12"/>
      <c r="D989" s="3"/>
      <c r="E989" s="112"/>
      <c r="F989" s="3"/>
      <c r="G989" s="3"/>
      <c r="H989" s="12"/>
      <c r="K989" s="12"/>
      <c r="M989" s="12"/>
      <c r="R989" s="218"/>
      <c r="S989" s="218"/>
      <c r="T989" s="218"/>
      <c r="U989" s="218"/>
    </row>
    <row r="990">
      <c r="C990" s="12"/>
      <c r="D990" s="3"/>
      <c r="E990" s="112"/>
      <c r="F990" s="3"/>
      <c r="G990" s="3"/>
      <c r="H990" s="12"/>
      <c r="K990" s="12"/>
      <c r="M990" s="12"/>
      <c r="R990" s="218"/>
      <c r="S990" s="218"/>
      <c r="T990" s="218"/>
      <c r="U990" s="218"/>
    </row>
    <row r="991">
      <c r="C991" s="12"/>
      <c r="D991" s="3"/>
      <c r="E991" s="112"/>
      <c r="F991" s="3"/>
      <c r="G991" s="3"/>
      <c r="H991" s="12"/>
      <c r="K991" s="12"/>
      <c r="M991" s="12"/>
      <c r="R991" s="218"/>
      <c r="S991" s="218"/>
      <c r="T991" s="218"/>
      <c r="U991" s="218"/>
    </row>
    <row r="992">
      <c r="C992" s="12"/>
      <c r="D992" s="3"/>
      <c r="E992" s="112"/>
      <c r="F992" s="3"/>
      <c r="G992" s="3"/>
      <c r="H992" s="12"/>
      <c r="K992" s="12"/>
      <c r="M992" s="12"/>
      <c r="R992" s="218"/>
      <c r="S992" s="218"/>
      <c r="T992" s="218"/>
      <c r="U992" s="218"/>
    </row>
    <row r="993">
      <c r="C993" s="12"/>
      <c r="D993" s="3"/>
      <c r="E993" s="112"/>
      <c r="F993" s="3"/>
      <c r="G993" s="3"/>
      <c r="H993" s="12"/>
      <c r="K993" s="12"/>
      <c r="M993" s="12"/>
      <c r="R993" s="218"/>
      <c r="S993" s="218"/>
      <c r="T993" s="218"/>
      <c r="U993" s="218"/>
    </row>
    <row r="994">
      <c r="C994" s="12"/>
      <c r="D994" s="3"/>
      <c r="E994" s="112"/>
      <c r="F994" s="3"/>
      <c r="G994" s="3"/>
      <c r="H994" s="12"/>
      <c r="K994" s="12"/>
      <c r="M994" s="12"/>
      <c r="R994" s="218"/>
      <c r="S994" s="218"/>
      <c r="T994" s="218"/>
      <c r="U994" s="218"/>
    </row>
    <row r="995">
      <c r="C995" s="12"/>
      <c r="D995" s="3"/>
      <c r="E995" s="112"/>
      <c r="F995" s="3"/>
      <c r="G995" s="3"/>
      <c r="H995" s="12"/>
      <c r="K995" s="12"/>
      <c r="M995" s="12"/>
      <c r="R995" s="218"/>
      <c r="S995" s="218"/>
      <c r="T995" s="218"/>
      <c r="U995" s="218"/>
    </row>
    <row r="996">
      <c r="C996" s="12"/>
      <c r="D996" s="3"/>
      <c r="E996" s="112"/>
      <c r="F996" s="3"/>
      <c r="G996" s="3"/>
      <c r="H996" s="12"/>
      <c r="K996" s="12"/>
      <c r="M996" s="12"/>
      <c r="R996" s="218"/>
      <c r="S996" s="218"/>
      <c r="T996" s="218"/>
      <c r="U996" s="218"/>
    </row>
    <row r="997">
      <c r="C997" s="12"/>
      <c r="D997" s="3"/>
      <c r="E997" s="112"/>
      <c r="F997" s="3"/>
      <c r="G997" s="3"/>
      <c r="H997" s="12"/>
      <c r="K997" s="12"/>
      <c r="M997" s="12"/>
      <c r="R997" s="218"/>
      <c r="S997" s="218"/>
      <c r="T997" s="218"/>
      <c r="U997" s="218"/>
    </row>
    <row r="998">
      <c r="C998" s="12"/>
      <c r="D998" s="3"/>
      <c r="E998" s="112"/>
      <c r="F998" s="3"/>
      <c r="G998" s="3"/>
      <c r="H998" s="12"/>
      <c r="K998" s="12"/>
      <c r="M998" s="12"/>
      <c r="R998" s="218"/>
      <c r="S998" s="218"/>
      <c r="T998" s="218"/>
      <c r="U998" s="218"/>
    </row>
    <row r="999">
      <c r="C999" s="12"/>
      <c r="D999" s="3"/>
      <c r="E999" s="112"/>
      <c r="F999" s="3"/>
      <c r="G999" s="3"/>
      <c r="H999" s="12"/>
      <c r="K999" s="12"/>
      <c r="M999" s="12"/>
      <c r="R999" s="218"/>
      <c r="S999" s="218"/>
      <c r="T999" s="218"/>
      <c r="U999" s="218"/>
    </row>
    <row r="1000">
      <c r="C1000" s="12"/>
      <c r="D1000" s="3"/>
      <c r="E1000" s="112"/>
      <c r="F1000" s="3"/>
      <c r="G1000" s="3"/>
      <c r="H1000" s="12"/>
      <c r="K1000" s="12"/>
      <c r="M1000" s="12"/>
      <c r="R1000" s="218"/>
      <c r="S1000" s="218"/>
      <c r="T1000" s="218"/>
      <c r="U1000" s="218"/>
    </row>
    <row r="1001">
      <c r="C1001" s="12"/>
      <c r="D1001" s="3"/>
      <c r="E1001" s="112"/>
      <c r="F1001" s="3"/>
      <c r="G1001" s="3"/>
      <c r="H1001" s="12"/>
      <c r="K1001" s="12"/>
      <c r="M1001" s="12"/>
      <c r="R1001" s="218"/>
      <c r="S1001" s="218"/>
      <c r="T1001" s="218"/>
      <c r="U1001" s="218"/>
    </row>
    <row r="1002">
      <c r="C1002" s="12"/>
      <c r="D1002" s="3"/>
      <c r="E1002" s="112"/>
      <c r="F1002" s="3"/>
      <c r="G1002" s="3"/>
      <c r="H1002" s="12"/>
      <c r="K1002" s="12"/>
      <c r="M1002" s="12"/>
      <c r="R1002" s="218"/>
      <c r="S1002" s="218"/>
      <c r="T1002" s="218"/>
      <c r="U1002" s="218"/>
    </row>
    <row r="1003">
      <c r="C1003" s="12"/>
      <c r="D1003" s="3"/>
      <c r="E1003" s="112"/>
      <c r="F1003" s="3"/>
      <c r="G1003" s="3"/>
      <c r="H1003" s="12"/>
      <c r="K1003" s="12"/>
      <c r="M1003" s="12"/>
      <c r="R1003" s="218"/>
      <c r="S1003" s="218"/>
      <c r="T1003" s="218"/>
      <c r="U1003" s="218"/>
    </row>
    <row r="1004">
      <c r="C1004" s="12"/>
      <c r="D1004" s="3"/>
      <c r="E1004" s="112"/>
      <c r="F1004" s="3"/>
      <c r="G1004" s="3"/>
      <c r="H1004" s="12"/>
      <c r="K1004" s="12"/>
      <c r="M1004" s="12"/>
      <c r="R1004" s="218"/>
      <c r="S1004" s="218"/>
      <c r="T1004" s="218"/>
      <c r="U1004" s="218"/>
    </row>
    <row r="1005">
      <c r="C1005" s="12"/>
      <c r="D1005" s="3"/>
      <c r="E1005" s="112"/>
      <c r="F1005" s="3"/>
      <c r="G1005" s="3"/>
      <c r="H1005" s="12"/>
      <c r="K1005" s="12"/>
      <c r="M1005" s="12"/>
      <c r="R1005" s="218"/>
      <c r="S1005" s="218"/>
      <c r="T1005" s="218"/>
      <c r="U1005" s="218"/>
    </row>
    <row r="1006">
      <c r="C1006" s="12"/>
      <c r="D1006" s="3"/>
      <c r="E1006" s="112"/>
      <c r="F1006" s="3"/>
      <c r="G1006" s="3"/>
      <c r="H1006" s="12"/>
      <c r="K1006" s="12"/>
      <c r="M1006" s="12"/>
      <c r="R1006" s="218"/>
      <c r="S1006" s="218"/>
      <c r="T1006" s="218"/>
      <c r="U1006" s="218"/>
    </row>
    <row r="1007">
      <c r="C1007" s="12"/>
      <c r="D1007" s="3"/>
      <c r="E1007" s="112"/>
      <c r="F1007" s="3"/>
      <c r="G1007" s="3"/>
      <c r="H1007" s="12"/>
      <c r="K1007" s="12"/>
      <c r="M1007" s="12"/>
      <c r="R1007" s="218"/>
      <c r="S1007" s="218"/>
      <c r="T1007" s="218"/>
      <c r="U1007" s="218"/>
    </row>
    <row r="1008">
      <c r="C1008" s="12"/>
      <c r="D1008" s="3"/>
      <c r="E1008" s="112"/>
      <c r="F1008" s="3"/>
      <c r="G1008" s="3"/>
      <c r="H1008" s="12"/>
      <c r="K1008" s="12"/>
      <c r="M1008" s="12"/>
      <c r="R1008" s="218"/>
      <c r="S1008" s="218"/>
      <c r="T1008" s="218"/>
      <c r="U1008" s="218"/>
    </row>
    <row r="1009">
      <c r="C1009" s="12"/>
      <c r="D1009" s="3"/>
      <c r="E1009" s="112"/>
      <c r="F1009" s="3"/>
      <c r="G1009" s="3"/>
      <c r="H1009" s="12"/>
      <c r="K1009" s="12"/>
      <c r="M1009" s="12"/>
      <c r="R1009" s="218"/>
      <c r="S1009" s="218"/>
      <c r="T1009" s="218"/>
      <c r="U1009" s="218"/>
    </row>
    <row r="1010">
      <c r="C1010" s="12"/>
      <c r="D1010" s="3"/>
      <c r="E1010" s="112"/>
      <c r="F1010" s="3"/>
      <c r="G1010" s="3"/>
      <c r="H1010" s="12"/>
      <c r="K1010" s="12"/>
      <c r="M1010" s="12"/>
      <c r="R1010" s="218"/>
      <c r="S1010" s="218"/>
      <c r="T1010" s="218"/>
      <c r="U1010" s="218"/>
    </row>
    <row r="1011">
      <c r="C1011" s="12"/>
      <c r="D1011" s="3"/>
      <c r="E1011" s="112"/>
      <c r="F1011" s="3"/>
      <c r="G1011" s="3"/>
      <c r="H1011" s="12"/>
      <c r="K1011" s="12"/>
      <c r="M1011" s="12"/>
      <c r="R1011" s="218"/>
      <c r="S1011" s="218"/>
      <c r="T1011" s="218"/>
      <c r="U1011" s="218"/>
    </row>
    <row r="1012">
      <c r="C1012" s="12"/>
      <c r="D1012" s="3"/>
      <c r="E1012" s="112"/>
      <c r="F1012" s="3"/>
      <c r="G1012" s="3"/>
      <c r="H1012" s="12"/>
      <c r="K1012" s="12"/>
      <c r="M1012" s="12"/>
      <c r="R1012" s="218"/>
      <c r="S1012" s="218"/>
      <c r="T1012" s="218"/>
      <c r="U1012" s="218"/>
    </row>
  </sheetData>
  <mergeCells count="26">
    <mergeCell ref="E3:H4"/>
    <mergeCell ref="E5:H5"/>
    <mergeCell ref="E6:H7"/>
    <mergeCell ref="E8:H8"/>
    <mergeCell ref="E9:H10"/>
    <mergeCell ref="A5:B6"/>
    <mergeCell ref="A7:B8"/>
    <mergeCell ref="A9:B10"/>
    <mergeCell ref="A11:B12"/>
    <mergeCell ref="A1:C1"/>
    <mergeCell ref="E1:H1"/>
    <mergeCell ref="J1:M1"/>
    <mergeCell ref="A2:B2"/>
    <mergeCell ref="E2:H2"/>
    <mergeCell ref="A3:B4"/>
    <mergeCell ref="J6:M6"/>
    <mergeCell ref="J7:K8"/>
    <mergeCell ref="J10:K11"/>
    <mergeCell ref="J2:M2"/>
    <mergeCell ref="J3:K3"/>
    <mergeCell ref="L3:M3"/>
    <mergeCell ref="J4:K5"/>
    <mergeCell ref="L4:M5"/>
    <mergeCell ref="L7:M8"/>
    <mergeCell ref="J9:M9"/>
    <mergeCell ref="L10:M11"/>
  </mergeCells>
  <dataValidations>
    <dataValidation type="list" allowBlank="1" showErrorMessage="1" sqref="I16:I160">
      <formula1>"Sampai,Sudah Proses Pengiriman,Kendala [FU!],Done Req Sample"</formula1>
    </dataValidation>
    <dataValidation type="list" allowBlank="1" showErrorMessage="1" sqref="A16:A160">
      <formula1>"MEGA,MACRO,MICRO,NANO"</formula1>
    </dataValidation>
    <dataValidation type="list" allowBlank="1" showErrorMessage="1" sqref="J16:J160 L16:L160 N16:N160 P16:P160">
      <formula1>" Concept 1,Concept 2,Concept 3,Concept 4"</formula1>
    </dataValidation>
  </dataValidations>
  <hyperlinks>
    <hyperlink r:id="rId1" ref="C16"/>
    <hyperlink r:id="rId2" ref="C17"/>
    <hyperlink r:id="rId3" ref="C18"/>
    <hyperlink r:id="rId4" ref="K18"/>
    <hyperlink r:id="rId5" ref="M18"/>
    <hyperlink r:id="rId6" ref="O18"/>
    <hyperlink r:id="rId7" ref="C19"/>
    <hyperlink r:id="rId8" ref="C20"/>
    <hyperlink r:id="rId9" ref="C21"/>
    <hyperlink r:id="rId10" ref="C22"/>
    <hyperlink r:id="rId11" ref="C23"/>
    <hyperlink r:id="rId12" ref="C24"/>
    <hyperlink r:id="rId13" ref="K24"/>
    <hyperlink r:id="rId14" ref="M24"/>
    <hyperlink r:id="rId15" ref="C25"/>
    <hyperlink r:id="rId16" ref="K25"/>
    <hyperlink r:id="rId17" ref="M25"/>
    <hyperlink r:id="rId18" ref="C26"/>
    <hyperlink r:id="rId19" ref="K26"/>
    <hyperlink r:id="rId20" ref="M26"/>
    <hyperlink r:id="rId21" ref="O26"/>
    <hyperlink r:id="rId22" ref="Q26"/>
    <hyperlink r:id="rId23" ref="C27"/>
    <hyperlink r:id="rId24" ref="K27"/>
    <hyperlink r:id="rId25" ref="M27"/>
    <hyperlink r:id="rId26" ref="O27"/>
    <hyperlink r:id="rId27" ref="Q27"/>
    <hyperlink r:id="rId28" ref="C28"/>
    <hyperlink r:id="rId29" ref="K28"/>
    <hyperlink r:id="rId30" ref="M28"/>
    <hyperlink r:id="rId31" ref="C29"/>
    <hyperlink r:id="rId32" ref="C30"/>
    <hyperlink r:id="rId33" ref="B31"/>
    <hyperlink r:id="rId34" ref="C31"/>
    <hyperlink r:id="rId35" ref="K31"/>
    <hyperlink r:id="rId36" ref="M31"/>
    <hyperlink r:id="rId37" ref="O31"/>
    <hyperlink r:id="rId38" ref="B32"/>
    <hyperlink r:id="rId39" ref="C32"/>
    <hyperlink r:id="rId40" ref="K32"/>
    <hyperlink r:id="rId41" ref="M32"/>
    <hyperlink r:id="rId42" ref="O32"/>
    <hyperlink r:id="rId43" ref="C33"/>
    <hyperlink r:id="rId44" ref="C34"/>
    <hyperlink r:id="rId45" ref="C35"/>
    <hyperlink r:id="rId46" ref="K35"/>
    <hyperlink r:id="rId47" ref="M35"/>
    <hyperlink r:id="rId48" ref="C36"/>
    <hyperlink r:id="rId49" ref="C37"/>
    <hyperlink r:id="rId50" ref="C38"/>
    <hyperlink r:id="rId51" ref="C39"/>
    <hyperlink r:id="rId52" ref="C40"/>
    <hyperlink r:id="rId53" ref="C41"/>
    <hyperlink r:id="rId54" ref="B42"/>
    <hyperlink r:id="rId55" ref="C42"/>
    <hyperlink r:id="rId56" ref="C43"/>
    <hyperlink r:id="rId57" ref="C44"/>
    <hyperlink r:id="rId58" ref="C45"/>
    <hyperlink r:id="rId59" ref="C46"/>
    <hyperlink r:id="rId60" ref="C47"/>
    <hyperlink r:id="rId61" ref="K47"/>
    <hyperlink r:id="rId62" ref="C48"/>
    <hyperlink r:id="rId63" ref="C49"/>
    <hyperlink r:id="rId64" ref="C50"/>
    <hyperlink r:id="rId65" ref="C51"/>
    <hyperlink r:id="rId66" ref="C52"/>
    <hyperlink r:id="rId67" ref="C53"/>
    <hyperlink r:id="rId68" ref="C54"/>
    <hyperlink r:id="rId69" ref="C55"/>
    <hyperlink r:id="rId70" ref="C56"/>
    <hyperlink r:id="rId71" ref="C57"/>
    <hyperlink r:id="rId72" ref="C58"/>
    <hyperlink r:id="rId73" ref="C59"/>
    <hyperlink r:id="rId74" ref="B60"/>
    <hyperlink r:id="rId75" ref="C60"/>
    <hyperlink r:id="rId76" ref="C61"/>
    <hyperlink r:id="rId77" ref="C62"/>
    <hyperlink r:id="rId78" ref="C63"/>
    <hyperlink r:id="rId79" ref="C64"/>
    <hyperlink r:id="rId80" ref="C65"/>
    <hyperlink r:id="rId81" ref="C66"/>
    <hyperlink r:id="rId82" ref="C67"/>
    <hyperlink r:id="rId83" ref="C68"/>
    <hyperlink r:id="rId84" ref="C69"/>
    <hyperlink r:id="rId85" ref="C70"/>
    <hyperlink r:id="rId86" ref="C71"/>
    <hyperlink r:id="rId87" ref="C72"/>
    <hyperlink r:id="rId88" ref="C73"/>
    <hyperlink r:id="rId89" ref="C74"/>
    <hyperlink r:id="rId90" ref="C75"/>
    <hyperlink r:id="rId91" ref="C76"/>
    <hyperlink r:id="rId92" ref="C77"/>
    <hyperlink r:id="rId93" ref="C78"/>
    <hyperlink r:id="rId94" ref="C79"/>
    <hyperlink r:id="rId95" ref="C80"/>
    <hyperlink r:id="rId96" ref="C81"/>
    <hyperlink r:id="rId97" ref="C82"/>
    <hyperlink r:id="rId98" ref="C83"/>
    <hyperlink r:id="rId99" ref="C84"/>
    <hyperlink r:id="rId100" ref="C85"/>
    <hyperlink r:id="rId101" ref="C86"/>
    <hyperlink r:id="rId102" ref="C87"/>
    <hyperlink r:id="rId103" ref="C88"/>
    <hyperlink r:id="rId104" ref="C89"/>
    <hyperlink r:id="rId105" ref="C90"/>
    <hyperlink r:id="rId106" ref="C91"/>
    <hyperlink r:id="rId107" ref="C92"/>
    <hyperlink r:id="rId108" ref="C93"/>
  </hyperlinks>
  <drawing r:id="rId109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43D"/>
    <outlinePr summaryBelow="0" summaryRight="0"/>
  </sheetPr>
  <sheetViews>
    <sheetView workbookViewId="0"/>
  </sheetViews>
  <sheetFormatPr customHeight="1" defaultColWidth="12.63" defaultRowHeight="15.75"/>
  <cols>
    <col customWidth="1" min="6" max="6" width="19.0"/>
    <col customWidth="1" min="38" max="38" width="18.75"/>
  </cols>
  <sheetData>
    <row r="1">
      <c r="A1" s="600" t="s">
        <v>522</v>
      </c>
      <c r="B1" s="601" t="s">
        <v>523</v>
      </c>
      <c r="C1" s="602" t="s">
        <v>524</v>
      </c>
      <c r="D1" s="602" t="s">
        <v>525</v>
      </c>
      <c r="E1" s="603" t="s">
        <v>526</v>
      </c>
      <c r="F1" s="603" t="s">
        <v>527</v>
      </c>
      <c r="G1" s="602" t="s">
        <v>528</v>
      </c>
      <c r="H1" s="602" t="s">
        <v>3</v>
      </c>
      <c r="I1" s="602" t="s">
        <v>470</v>
      </c>
      <c r="J1" s="603" t="s">
        <v>529</v>
      </c>
      <c r="K1" s="603" t="s">
        <v>530</v>
      </c>
      <c r="L1" s="602" t="s">
        <v>531</v>
      </c>
      <c r="M1" s="602" t="s">
        <v>532</v>
      </c>
      <c r="N1" s="603" t="s">
        <v>533</v>
      </c>
      <c r="O1" s="602" t="s">
        <v>534</v>
      </c>
      <c r="P1" s="602" t="s">
        <v>535</v>
      </c>
      <c r="Q1" s="602" t="s">
        <v>536</v>
      </c>
      <c r="R1" s="602" t="s">
        <v>537</v>
      </c>
      <c r="S1" s="602" t="s">
        <v>538</v>
      </c>
      <c r="T1" s="602" t="s">
        <v>539</v>
      </c>
      <c r="U1" s="602" t="s">
        <v>540</v>
      </c>
      <c r="V1" s="603" t="s">
        <v>541</v>
      </c>
      <c r="W1" s="602" t="s">
        <v>542</v>
      </c>
      <c r="X1" s="602" t="s">
        <v>543</v>
      </c>
      <c r="Y1" s="602" t="s">
        <v>544</v>
      </c>
      <c r="Z1" s="602" t="s">
        <v>545</v>
      </c>
      <c r="AA1" s="602" t="s">
        <v>546</v>
      </c>
      <c r="AB1" s="602" t="s">
        <v>547</v>
      </c>
      <c r="AC1" s="602" t="s">
        <v>548</v>
      </c>
      <c r="AD1" s="602" t="s">
        <v>549</v>
      </c>
      <c r="AE1" s="602" t="s">
        <v>550</v>
      </c>
      <c r="AF1" s="602" t="s">
        <v>551</v>
      </c>
      <c r="AG1" s="602" t="s">
        <v>552</v>
      </c>
      <c r="AH1" s="602" t="s">
        <v>553</v>
      </c>
      <c r="AI1" s="602" t="s">
        <v>554</v>
      </c>
      <c r="AJ1" s="602" t="s">
        <v>555</v>
      </c>
      <c r="AK1" s="602" t="s">
        <v>556</v>
      </c>
      <c r="AL1" s="603" t="s">
        <v>557</v>
      </c>
      <c r="AM1" s="602" t="s">
        <v>558</v>
      </c>
      <c r="AN1" s="602" t="s">
        <v>559</v>
      </c>
      <c r="AO1" s="602" t="s">
        <v>560</v>
      </c>
      <c r="AP1" s="602" t="s">
        <v>561</v>
      </c>
      <c r="AQ1" s="602" t="s">
        <v>562</v>
      </c>
      <c r="AR1" s="602" t="s">
        <v>563</v>
      </c>
      <c r="AS1" s="602" t="s">
        <v>564</v>
      </c>
      <c r="AT1" s="602" t="s">
        <v>565</v>
      </c>
      <c r="AU1" s="604" t="s">
        <v>566</v>
      </c>
    </row>
    <row r="2">
      <c r="A2" s="605" t="str">
        <f t="shared" ref="A2:A19" si="1">DATE(MID(AL2, 7, 4), MID(AL2, 4, 2), LEFT(AL2, 2))</f>
        <v>#NUM!</v>
      </c>
      <c r="B2" s="606"/>
      <c r="C2" s="607"/>
      <c r="D2" s="607"/>
      <c r="E2" s="608"/>
      <c r="F2" s="608"/>
      <c r="G2" s="609"/>
      <c r="H2" s="607"/>
      <c r="I2" s="610"/>
      <c r="J2" s="608"/>
      <c r="K2" s="608"/>
      <c r="L2" s="609"/>
      <c r="M2" s="609"/>
      <c r="N2" s="608"/>
      <c r="O2" s="607"/>
      <c r="P2" s="610"/>
      <c r="Q2" s="610"/>
      <c r="R2" s="610"/>
      <c r="S2" s="610"/>
      <c r="T2" s="610"/>
      <c r="U2" s="610"/>
      <c r="V2" s="611"/>
      <c r="W2" s="610"/>
      <c r="X2" s="610"/>
      <c r="Y2" s="610"/>
      <c r="Z2" s="610"/>
      <c r="AA2" s="610"/>
      <c r="AB2" s="610"/>
      <c r="AC2" s="610"/>
      <c r="AD2" s="610"/>
      <c r="AE2" s="610"/>
      <c r="AF2" s="610"/>
      <c r="AG2" s="610"/>
      <c r="AH2" s="610"/>
      <c r="AI2" s="610"/>
      <c r="AJ2" s="610"/>
      <c r="AK2" s="610"/>
      <c r="AL2" s="612"/>
      <c r="AM2" s="609"/>
      <c r="AN2" s="609"/>
      <c r="AO2" s="609"/>
      <c r="AP2" s="609"/>
      <c r="AQ2" s="609"/>
      <c r="AR2" s="610"/>
      <c r="AS2" s="610"/>
      <c r="AT2" s="613"/>
      <c r="AU2" s="614"/>
    </row>
    <row r="3">
      <c r="A3" s="605" t="str">
        <f t="shared" si="1"/>
        <v>#NUM!</v>
      </c>
      <c r="B3" s="606"/>
      <c r="C3" s="607"/>
      <c r="D3" s="607"/>
      <c r="E3" s="608"/>
      <c r="F3" s="608"/>
      <c r="G3" s="609"/>
      <c r="H3" s="607"/>
      <c r="I3" s="610"/>
      <c r="J3" s="608"/>
      <c r="K3" s="608"/>
      <c r="L3" s="609"/>
      <c r="M3" s="609"/>
      <c r="N3" s="608"/>
      <c r="O3" s="607"/>
      <c r="P3" s="610"/>
      <c r="Q3" s="610"/>
      <c r="R3" s="610"/>
      <c r="S3" s="610"/>
      <c r="T3" s="610"/>
      <c r="U3" s="610"/>
      <c r="V3" s="611"/>
      <c r="W3" s="610"/>
      <c r="X3" s="610"/>
      <c r="Y3" s="610"/>
      <c r="Z3" s="610"/>
      <c r="AA3" s="610"/>
      <c r="AB3" s="610"/>
      <c r="AC3" s="610"/>
      <c r="AD3" s="610"/>
      <c r="AE3" s="610"/>
      <c r="AF3" s="610"/>
      <c r="AG3" s="610"/>
      <c r="AH3" s="610"/>
      <c r="AI3" s="610"/>
      <c r="AJ3" s="610"/>
      <c r="AK3" s="610"/>
      <c r="AL3" s="612"/>
      <c r="AM3" s="609"/>
      <c r="AN3" s="609"/>
      <c r="AO3" s="609"/>
      <c r="AP3" s="609"/>
      <c r="AQ3" s="609"/>
      <c r="AR3" s="610"/>
      <c r="AS3" s="610"/>
      <c r="AT3" s="613"/>
      <c r="AU3" s="614"/>
    </row>
    <row r="4">
      <c r="A4" s="605" t="str">
        <f t="shared" si="1"/>
        <v>#NUM!</v>
      </c>
      <c r="B4" s="606"/>
      <c r="C4" s="607"/>
      <c r="D4" s="607"/>
      <c r="E4" s="608"/>
      <c r="F4" s="608"/>
      <c r="G4" s="609"/>
      <c r="H4" s="607"/>
      <c r="I4" s="610"/>
      <c r="J4" s="608"/>
      <c r="K4" s="608"/>
      <c r="L4" s="609"/>
      <c r="M4" s="609"/>
      <c r="N4" s="608"/>
      <c r="O4" s="607"/>
      <c r="P4" s="610"/>
      <c r="Q4" s="610"/>
      <c r="R4" s="610"/>
      <c r="S4" s="610"/>
      <c r="T4" s="610"/>
      <c r="U4" s="610"/>
      <c r="V4" s="611"/>
      <c r="W4" s="610"/>
      <c r="X4" s="610"/>
      <c r="Y4" s="610"/>
      <c r="Z4" s="610"/>
      <c r="AA4" s="610"/>
      <c r="AB4" s="610"/>
      <c r="AC4" s="610"/>
      <c r="AD4" s="610"/>
      <c r="AE4" s="610"/>
      <c r="AF4" s="610"/>
      <c r="AG4" s="610"/>
      <c r="AH4" s="610"/>
      <c r="AI4" s="610"/>
      <c r="AJ4" s="610"/>
      <c r="AK4" s="610"/>
      <c r="AL4" s="612"/>
      <c r="AM4" s="609"/>
      <c r="AN4" s="609"/>
      <c r="AO4" s="609"/>
      <c r="AP4" s="609"/>
      <c r="AQ4" s="609"/>
      <c r="AR4" s="610"/>
      <c r="AS4" s="610"/>
      <c r="AT4" s="613"/>
      <c r="AU4" s="614"/>
    </row>
    <row r="5">
      <c r="A5" s="605" t="str">
        <f t="shared" si="1"/>
        <v>#NUM!</v>
      </c>
      <c r="B5" s="606"/>
      <c r="C5" s="607"/>
      <c r="D5" s="607"/>
      <c r="E5" s="608"/>
      <c r="F5" s="608"/>
      <c r="G5" s="609"/>
      <c r="H5" s="607"/>
      <c r="I5" s="610"/>
      <c r="J5" s="608"/>
      <c r="K5" s="608"/>
      <c r="L5" s="609"/>
      <c r="M5" s="609"/>
      <c r="N5" s="608"/>
      <c r="O5" s="607"/>
      <c r="P5" s="610"/>
      <c r="Q5" s="610"/>
      <c r="R5" s="610"/>
      <c r="S5" s="610"/>
      <c r="T5" s="610"/>
      <c r="U5" s="610"/>
      <c r="V5" s="611"/>
      <c r="W5" s="610"/>
      <c r="X5" s="610"/>
      <c r="Y5" s="610"/>
      <c r="Z5" s="610"/>
      <c r="AA5" s="610"/>
      <c r="AB5" s="610"/>
      <c r="AC5" s="610"/>
      <c r="AD5" s="610"/>
      <c r="AE5" s="610"/>
      <c r="AF5" s="610"/>
      <c r="AG5" s="610"/>
      <c r="AH5" s="610"/>
      <c r="AI5" s="610"/>
      <c r="AJ5" s="610"/>
      <c r="AK5" s="610"/>
      <c r="AL5" s="612"/>
      <c r="AM5" s="609"/>
      <c r="AN5" s="609"/>
      <c r="AO5" s="609"/>
      <c r="AP5" s="609"/>
      <c r="AQ5" s="609"/>
      <c r="AR5" s="610"/>
      <c r="AS5" s="610"/>
      <c r="AT5" s="613"/>
      <c r="AU5" s="614"/>
    </row>
    <row r="6">
      <c r="A6" s="605" t="str">
        <f t="shared" si="1"/>
        <v>#NUM!</v>
      </c>
      <c r="B6" s="606"/>
      <c r="C6" s="607"/>
      <c r="D6" s="607"/>
      <c r="E6" s="608"/>
      <c r="F6" s="608"/>
      <c r="G6" s="609"/>
      <c r="H6" s="607"/>
      <c r="I6" s="610"/>
      <c r="J6" s="608"/>
      <c r="K6" s="608"/>
      <c r="L6" s="609"/>
      <c r="M6" s="609"/>
      <c r="N6" s="608"/>
      <c r="O6" s="607"/>
      <c r="P6" s="610"/>
      <c r="Q6" s="610"/>
      <c r="R6" s="610"/>
      <c r="S6" s="610"/>
      <c r="T6" s="610"/>
      <c r="U6" s="610"/>
      <c r="V6" s="611"/>
      <c r="W6" s="610"/>
      <c r="X6" s="610"/>
      <c r="Y6" s="610"/>
      <c r="Z6" s="610"/>
      <c r="AA6" s="610"/>
      <c r="AB6" s="610"/>
      <c r="AC6" s="610"/>
      <c r="AD6" s="610"/>
      <c r="AE6" s="610"/>
      <c r="AF6" s="610"/>
      <c r="AG6" s="610"/>
      <c r="AH6" s="610"/>
      <c r="AI6" s="610"/>
      <c r="AJ6" s="610"/>
      <c r="AK6" s="610"/>
      <c r="AL6" s="612"/>
      <c r="AM6" s="609"/>
      <c r="AN6" s="609"/>
      <c r="AO6" s="609"/>
      <c r="AP6" s="609"/>
      <c r="AQ6" s="609"/>
      <c r="AR6" s="610"/>
      <c r="AS6" s="610"/>
      <c r="AT6" s="613"/>
      <c r="AU6" s="614"/>
    </row>
    <row r="7">
      <c r="A7" s="605" t="str">
        <f t="shared" si="1"/>
        <v>#NUM!</v>
      </c>
      <c r="B7" s="606"/>
      <c r="C7" s="607"/>
      <c r="D7" s="607"/>
      <c r="E7" s="608"/>
      <c r="F7" s="608"/>
      <c r="G7" s="609"/>
      <c r="H7" s="607"/>
      <c r="I7" s="610"/>
      <c r="J7" s="608"/>
      <c r="K7" s="608"/>
      <c r="L7" s="609"/>
      <c r="M7" s="609"/>
      <c r="N7" s="608"/>
      <c r="O7" s="607"/>
      <c r="P7" s="610"/>
      <c r="Q7" s="610"/>
      <c r="R7" s="610"/>
      <c r="S7" s="610"/>
      <c r="T7" s="610"/>
      <c r="U7" s="610"/>
      <c r="V7" s="611"/>
      <c r="W7" s="610"/>
      <c r="X7" s="610"/>
      <c r="Y7" s="610"/>
      <c r="Z7" s="610"/>
      <c r="AA7" s="610"/>
      <c r="AB7" s="610"/>
      <c r="AC7" s="610"/>
      <c r="AD7" s="610"/>
      <c r="AE7" s="610"/>
      <c r="AF7" s="610"/>
      <c r="AG7" s="610"/>
      <c r="AH7" s="610"/>
      <c r="AI7" s="610"/>
      <c r="AJ7" s="610"/>
      <c r="AK7" s="610"/>
      <c r="AL7" s="612"/>
      <c r="AM7" s="609"/>
      <c r="AN7" s="609"/>
      <c r="AO7" s="609"/>
      <c r="AP7" s="609"/>
      <c r="AQ7" s="609"/>
      <c r="AR7" s="610"/>
      <c r="AS7" s="610"/>
      <c r="AT7" s="613"/>
      <c r="AU7" s="614"/>
    </row>
    <row r="8">
      <c r="A8" s="605" t="str">
        <f t="shared" si="1"/>
        <v>#NUM!</v>
      </c>
      <c r="B8" s="606"/>
      <c r="C8" s="607"/>
      <c r="D8" s="607"/>
      <c r="E8" s="608"/>
      <c r="F8" s="608"/>
      <c r="G8" s="609"/>
      <c r="H8" s="607"/>
      <c r="I8" s="610"/>
      <c r="J8" s="608"/>
      <c r="K8" s="608"/>
      <c r="L8" s="609"/>
      <c r="M8" s="609"/>
      <c r="N8" s="608"/>
      <c r="O8" s="607"/>
      <c r="P8" s="610"/>
      <c r="Q8" s="610"/>
      <c r="R8" s="610"/>
      <c r="S8" s="610"/>
      <c r="T8" s="610"/>
      <c r="U8" s="610"/>
      <c r="V8" s="611"/>
      <c r="W8" s="610"/>
      <c r="X8" s="610"/>
      <c r="Y8" s="610"/>
      <c r="Z8" s="610"/>
      <c r="AA8" s="610"/>
      <c r="AB8" s="610"/>
      <c r="AC8" s="610"/>
      <c r="AD8" s="610"/>
      <c r="AE8" s="610"/>
      <c r="AF8" s="610"/>
      <c r="AG8" s="610"/>
      <c r="AH8" s="610"/>
      <c r="AI8" s="610"/>
      <c r="AJ8" s="610"/>
      <c r="AK8" s="610"/>
      <c r="AL8" s="612"/>
      <c r="AM8" s="609"/>
      <c r="AN8" s="609"/>
      <c r="AO8" s="609"/>
      <c r="AP8" s="609"/>
      <c r="AQ8" s="609"/>
      <c r="AR8" s="610"/>
      <c r="AS8" s="610"/>
      <c r="AT8" s="613"/>
      <c r="AU8" s="614"/>
    </row>
    <row r="9">
      <c r="A9" s="605" t="str">
        <f t="shared" si="1"/>
        <v>#NUM!</v>
      </c>
      <c r="B9" s="606"/>
      <c r="C9" s="607"/>
      <c r="D9" s="607"/>
      <c r="E9" s="608"/>
      <c r="F9" s="608"/>
      <c r="G9" s="609"/>
      <c r="H9" s="607"/>
      <c r="I9" s="610"/>
      <c r="J9" s="608"/>
      <c r="K9" s="608"/>
      <c r="L9" s="609"/>
      <c r="M9" s="609"/>
      <c r="N9" s="608"/>
      <c r="O9" s="607"/>
      <c r="P9" s="610"/>
      <c r="Q9" s="610"/>
      <c r="R9" s="610"/>
      <c r="S9" s="610"/>
      <c r="T9" s="610"/>
      <c r="U9" s="610"/>
      <c r="V9" s="611"/>
      <c r="W9" s="610"/>
      <c r="X9" s="610"/>
      <c r="Y9" s="610"/>
      <c r="Z9" s="610"/>
      <c r="AA9" s="610"/>
      <c r="AB9" s="610"/>
      <c r="AC9" s="610"/>
      <c r="AD9" s="610"/>
      <c r="AE9" s="610"/>
      <c r="AF9" s="610"/>
      <c r="AG9" s="610"/>
      <c r="AH9" s="610"/>
      <c r="AI9" s="610"/>
      <c r="AJ9" s="610"/>
      <c r="AK9" s="610"/>
      <c r="AL9" s="612"/>
      <c r="AM9" s="609"/>
      <c r="AN9" s="609"/>
      <c r="AO9" s="609"/>
      <c r="AP9" s="609"/>
      <c r="AQ9" s="609"/>
      <c r="AR9" s="610"/>
      <c r="AS9" s="610"/>
      <c r="AT9" s="613"/>
      <c r="AU9" s="614"/>
    </row>
    <row r="10">
      <c r="A10" s="605" t="str">
        <f t="shared" si="1"/>
        <v>#NUM!</v>
      </c>
      <c r="B10" s="606"/>
      <c r="C10" s="607"/>
      <c r="D10" s="607"/>
      <c r="E10" s="608"/>
      <c r="F10" s="608"/>
      <c r="G10" s="609"/>
      <c r="H10" s="607"/>
      <c r="I10" s="610"/>
      <c r="J10" s="608"/>
      <c r="K10" s="608"/>
      <c r="L10" s="609"/>
      <c r="M10" s="609"/>
      <c r="N10" s="608"/>
      <c r="O10" s="607"/>
      <c r="P10" s="610"/>
      <c r="Q10" s="610"/>
      <c r="R10" s="610"/>
      <c r="S10" s="610"/>
      <c r="T10" s="610"/>
      <c r="U10" s="610"/>
      <c r="V10" s="611"/>
      <c r="W10" s="610"/>
      <c r="X10" s="610"/>
      <c r="Y10" s="610"/>
      <c r="Z10" s="610"/>
      <c r="AA10" s="610"/>
      <c r="AB10" s="610"/>
      <c r="AC10" s="610"/>
      <c r="AD10" s="610"/>
      <c r="AE10" s="610"/>
      <c r="AF10" s="610"/>
      <c r="AG10" s="610"/>
      <c r="AH10" s="610"/>
      <c r="AI10" s="610"/>
      <c r="AJ10" s="610"/>
      <c r="AK10" s="610"/>
      <c r="AL10" s="612"/>
      <c r="AM10" s="609"/>
      <c r="AN10" s="609"/>
      <c r="AO10" s="609"/>
      <c r="AP10" s="609"/>
      <c r="AQ10" s="609"/>
      <c r="AR10" s="610"/>
      <c r="AS10" s="610"/>
      <c r="AT10" s="613"/>
      <c r="AU10" s="614"/>
    </row>
    <row r="11">
      <c r="A11" s="605" t="str">
        <f t="shared" si="1"/>
        <v>#NUM!</v>
      </c>
      <c r="B11" s="606"/>
      <c r="C11" s="607"/>
      <c r="D11" s="607"/>
      <c r="E11" s="608"/>
      <c r="F11" s="608"/>
      <c r="G11" s="609"/>
      <c r="H11" s="607"/>
      <c r="I11" s="610"/>
      <c r="J11" s="608"/>
      <c r="K11" s="608"/>
      <c r="L11" s="609"/>
      <c r="M11" s="609"/>
      <c r="N11" s="608"/>
      <c r="O11" s="607"/>
      <c r="P11" s="610"/>
      <c r="Q11" s="610"/>
      <c r="R11" s="610"/>
      <c r="S11" s="610"/>
      <c r="T11" s="610"/>
      <c r="U11" s="610"/>
      <c r="V11" s="611"/>
      <c r="W11" s="610"/>
      <c r="X11" s="610"/>
      <c r="Y11" s="610"/>
      <c r="Z11" s="610"/>
      <c r="AA11" s="610"/>
      <c r="AB11" s="610"/>
      <c r="AC11" s="610"/>
      <c r="AD11" s="610"/>
      <c r="AE11" s="610"/>
      <c r="AF11" s="610"/>
      <c r="AG11" s="610"/>
      <c r="AH11" s="610"/>
      <c r="AI11" s="610"/>
      <c r="AJ11" s="610"/>
      <c r="AK11" s="610"/>
      <c r="AL11" s="612"/>
      <c r="AM11" s="609"/>
      <c r="AN11" s="609"/>
      <c r="AO11" s="609"/>
      <c r="AP11" s="609"/>
      <c r="AQ11" s="609"/>
      <c r="AR11" s="610"/>
      <c r="AS11" s="610"/>
      <c r="AT11" s="613"/>
      <c r="AU11" s="614"/>
    </row>
    <row r="12">
      <c r="A12" s="605" t="str">
        <f t="shared" si="1"/>
        <v>#NUM!</v>
      </c>
      <c r="B12" s="606"/>
      <c r="C12" s="607"/>
      <c r="D12" s="607"/>
      <c r="E12" s="608"/>
      <c r="F12" s="608"/>
      <c r="G12" s="609"/>
      <c r="H12" s="607"/>
      <c r="I12" s="610"/>
      <c r="J12" s="608"/>
      <c r="K12" s="608"/>
      <c r="L12" s="609"/>
      <c r="M12" s="609"/>
      <c r="N12" s="608"/>
      <c r="O12" s="607"/>
      <c r="P12" s="610"/>
      <c r="Q12" s="610"/>
      <c r="R12" s="610"/>
      <c r="S12" s="610"/>
      <c r="T12" s="610"/>
      <c r="U12" s="610"/>
      <c r="V12" s="611"/>
      <c r="W12" s="610"/>
      <c r="X12" s="610"/>
      <c r="Y12" s="610"/>
      <c r="Z12" s="610"/>
      <c r="AA12" s="610"/>
      <c r="AB12" s="610"/>
      <c r="AC12" s="610"/>
      <c r="AD12" s="610"/>
      <c r="AE12" s="610"/>
      <c r="AF12" s="610"/>
      <c r="AG12" s="610"/>
      <c r="AH12" s="610"/>
      <c r="AI12" s="610"/>
      <c r="AJ12" s="610"/>
      <c r="AK12" s="610"/>
      <c r="AL12" s="612"/>
      <c r="AM12" s="609"/>
      <c r="AN12" s="609"/>
      <c r="AO12" s="609"/>
      <c r="AP12" s="609"/>
      <c r="AQ12" s="609"/>
      <c r="AR12" s="610"/>
      <c r="AS12" s="610"/>
      <c r="AT12" s="613"/>
      <c r="AU12" s="614"/>
    </row>
    <row r="13">
      <c r="A13" s="605" t="str">
        <f t="shared" si="1"/>
        <v>#NUM!</v>
      </c>
      <c r="B13" s="606"/>
      <c r="C13" s="607"/>
      <c r="D13" s="607"/>
      <c r="E13" s="608"/>
      <c r="F13" s="608"/>
      <c r="G13" s="609"/>
      <c r="H13" s="607"/>
      <c r="I13" s="610"/>
      <c r="J13" s="608"/>
      <c r="K13" s="608"/>
      <c r="L13" s="609"/>
      <c r="M13" s="609"/>
      <c r="N13" s="608"/>
      <c r="O13" s="607"/>
      <c r="P13" s="610"/>
      <c r="Q13" s="610"/>
      <c r="R13" s="610"/>
      <c r="S13" s="610"/>
      <c r="T13" s="610"/>
      <c r="U13" s="610"/>
      <c r="V13" s="611"/>
      <c r="W13" s="610"/>
      <c r="X13" s="610"/>
      <c r="Y13" s="610"/>
      <c r="Z13" s="610"/>
      <c r="AA13" s="610"/>
      <c r="AB13" s="610"/>
      <c r="AC13" s="610"/>
      <c r="AD13" s="610"/>
      <c r="AE13" s="610"/>
      <c r="AF13" s="610"/>
      <c r="AG13" s="610"/>
      <c r="AH13" s="610"/>
      <c r="AI13" s="610"/>
      <c r="AJ13" s="610"/>
      <c r="AK13" s="610"/>
      <c r="AL13" s="612"/>
      <c r="AM13" s="609"/>
      <c r="AN13" s="609"/>
      <c r="AO13" s="609"/>
      <c r="AP13" s="609"/>
      <c r="AQ13" s="609"/>
      <c r="AR13" s="610"/>
      <c r="AS13" s="610"/>
      <c r="AT13" s="613"/>
      <c r="AU13" s="614"/>
    </row>
    <row r="14">
      <c r="A14" s="605" t="str">
        <f t="shared" si="1"/>
        <v>#NUM!</v>
      </c>
      <c r="B14" s="606"/>
      <c r="C14" s="607"/>
      <c r="D14" s="607"/>
      <c r="E14" s="608"/>
      <c r="F14" s="608"/>
      <c r="G14" s="609"/>
      <c r="H14" s="607"/>
      <c r="I14" s="610"/>
      <c r="J14" s="608"/>
      <c r="K14" s="608"/>
      <c r="L14" s="609"/>
      <c r="M14" s="609"/>
      <c r="N14" s="608"/>
      <c r="O14" s="607"/>
      <c r="P14" s="610"/>
      <c r="Q14" s="610"/>
      <c r="R14" s="610"/>
      <c r="S14" s="610"/>
      <c r="T14" s="610"/>
      <c r="U14" s="610"/>
      <c r="V14" s="611"/>
      <c r="W14" s="610"/>
      <c r="X14" s="610"/>
      <c r="Y14" s="610"/>
      <c r="Z14" s="610"/>
      <c r="AA14" s="610"/>
      <c r="AB14" s="610"/>
      <c r="AC14" s="610"/>
      <c r="AD14" s="610"/>
      <c r="AE14" s="610"/>
      <c r="AF14" s="610"/>
      <c r="AG14" s="610"/>
      <c r="AH14" s="610"/>
      <c r="AI14" s="610"/>
      <c r="AJ14" s="610"/>
      <c r="AK14" s="610"/>
      <c r="AL14" s="612"/>
      <c r="AM14" s="609"/>
      <c r="AN14" s="609"/>
      <c r="AO14" s="609"/>
      <c r="AP14" s="609"/>
      <c r="AQ14" s="609"/>
      <c r="AR14" s="610"/>
      <c r="AS14" s="610"/>
      <c r="AT14" s="613"/>
      <c r="AU14" s="614"/>
    </row>
    <row r="15">
      <c r="A15" s="605" t="str">
        <f t="shared" si="1"/>
        <v>#NUM!</v>
      </c>
      <c r="B15" s="606"/>
      <c r="C15" s="607"/>
      <c r="D15" s="607"/>
      <c r="E15" s="608"/>
      <c r="F15" s="608"/>
      <c r="G15" s="609"/>
      <c r="H15" s="607"/>
      <c r="I15" s="610"/>
      <c r="J15" s="608"/>
      <c r="K15" s="608"/>
      <c r="L15" s="609"/>
      <c r="M15" s="609"/>
      <c r="N15" s="608"/>
      <c r="O15" s="607"/>
      <c r="P15" s="610"/>
      <c r="Q15" s="610"/>
      <c r="R15" s="610"/>
      <c r="S15" s="610"/>
      <c r="T15" s="610"/>
      <c r="U15" s="610"/>
      <c r="V15" s="611"/>
      <c r="W15" s="610"/>
      <c r="X15" s="610"/>
      <c r="Y15" s="610"/>
      <c r="Z15" s="610"/>
      <c r="AA15" s="610"/>
      <c r="AB15" s="610"/>
      <c r="AC15" s="610"/>
      <c r="AD15" s="610"/>
      <c r="AE15" s="610"/>
      <c r="AF15" s="610"/>
      <c r="AG15" s="610"/>
      <c r="AH15" s="610"/>
      <c r="AI15" s="610"/>
      <c r="AJ15" s="610"/>
      <c r="AK15" s="610"/>
      <c r="AL15" s="612"/>
      <c r="AM15" s="609"/>
      <c r="AN15" s="609"/>
      <c r="AO15" s="609"/>
      <c r="AP15" s="609"/>
      <c r="AQ15" s="609"/>
      <c r="AR15" s="610"/>
      <c r="AS15" s="610"/>
      <c r="AT15" s="613"/>
      <c r="AU15" s="614"/>
    </row>
    <row r="16">
      <c r="A16" s="605" t="str">
        <f t="shared" si="1"/>
        <v>#NUM!</v>
      </c>
      <c r="B16" s="606"/>
      <c r="C16" s="607"/>
      <c r="D16" s="607"/>
      <c r="E16" s="608"/>
      <c r="F16" s="608"/>
      <c r="G16" s="609"/>
      <c r="H16" s="607"/>
      <c r="I16" s="610"/>
      <c r="J16" s="608"/>
      <c r="K16" s="608"/>
      <c r="L16" s="609"/>
      <c r="M16" s="609"/>
      <c r="N16" s="608"/>
      <c r="O16" s="607"/>
      <c r="P16" s="610"/>
      <c r="Q16" s="610"/>
      <c r="R16" s="610"/>
      <c r="S16" s="610"/>
      <c r="T16" s="610"/>
      <c r="U16" s="610"/>
      <c r="V16" s="611"/>
      <c r="W16" s="610"/>
      <c r="X16" s="610"/>
      <c r="Y16" s="610"/>
      <c r="Z16" s="610"/>
      <c r="AA16" s="610"/>
      <c r="AB16" s="610"/>
      <c r="AC16" s="610"/>
      <c r="AD16" s="610"/>
      <c r="AE16" s="610"/>
      <c r="AF16" s="610"/>
      <c r="AG16" s="610"/>
      <c r="AH16" s="610"/>
      <c r="AI16" s="610"/>
      <c r="AJ16" s="610"/>
      <c r="AK16" s="610"/>
      <c r="AL16" s="612"/>
      <c r="AM16" s="609"/>
      <c r="AN16" s="609"/>
      <c r="AO16" s="609"/>
      <c r="AP16" s="609"/>
      <c r="AQ16" s="609"/>
      <c r="AR16" s="610"/>
      <c r="AS16" s="610"/>
      <c r="AT16" s="613"/>
      <c r="AU16" s="614"/>
    </row>
    <row r="17">
      <c r="A17" s="605" t="str">
        <f t="shared" si="1"/>
        <v>#NUM!</v>
      </c>
      <c r="B17" s="606"/>
      <c r="C17" s="607"/>
      <c r="D17" s="607"/>
      <c r="E17" s="608"/>
      <c r="F17" s="608"/>
      <c r="G17" s="609"/>
      <c r="H17" s="607"/>
      <c r="I17" s="610"/>
      <c r="J17" s="608"/>
      <c r="K17" s="608"/>
      <c r="L17" s="609"/>
      <c r="M17" s="609"/>
      <c r="N17" s="608"/>
      <c r="O17" s="607"/>
      <c r="P17" s="610"/>
      <c r="Q17" s="610"/>
      <c r="R17" s="610"/>
      <c r="S17" s="610"/>
      <c r="T17" s="610"/>
      <c r="U17" s="610"/>
      <c r="V17" s="611"/>
      <c r="W17" s="610"/>
      <c r="X17" s="610"/>
      <c r="Y17" s="610"/>
      <c r="Z17" s="610"/>
      <c r="AA17" s="610"/>
      <c r="AB17" s="610"/>
      <c r="AC17" s="610"/>
      <c r="AD17" s="610"/>
      <c r="AE17" s="610"/>
      <c r="AF17" s="610"/>
      <c r="AG17" s="610"/>
      <c r="AH17" s="610"/>
      <c r="AI17" s="610"/>
      <c r="AJ17" s="610"/>
      <c r="AK17" s="610"/>
      <c r="AL17" s="612"/>
      <c r="AM17" s="609"/>
      <c r="AN17" s="609"/>
      <c r="AO17" s="609"/>
      <c r="AP17" s="609"/>
      <c r="AQ17" s="609"/>
      <c r="AR17" s="610"/>
      <c r="AS17" s="610"/>
      <c r="AT17" s="613"/>
      <c r="AU17" s="614"/>
    </row>
    <row r="18">
      <c r="A18" s="605" t="str">
        <f t="shared" si="1"/>
        <v>#NUM!</v>
      </c>
      <c r="B18" s="606"/>
      <c r="C18" s="607"/>
      <c r="D18" s="607"/>
      <c r="E18" s="608"/>
      <c r="F18" s="608"/>
      <c r="G18" s="609"/>
      <c r="H18" s="607"/>
      <c r="I18" s="610"/>
      <c r="J18" s="608"/>
      <c r="K18" s="608"/>
      <c r="L18" s="609"/>
      <c r="M18" s="609"/>
      <c r="N18" s="608"/>
      <c r="O18" s="607"/>
      <c r="P18" s="610"/>
      <c r="Q18" s="610"/>
      <c r="R18" s="610"/>
      <c r="S18" s="610"/>
      <c r="T18" s="610"/>
      <c r="U18" s="610"/>
      <c r="V18" s="611"/>
      <c r="W18" s="610"/>
      <c r="X18" s="610"/>
      <c r="Y18" s="610"/>
      <c r="Z18" s="610"/>
      <c r="AA18" s="610"/>
      <c r="AB18" s="610"/>
      <c r="AC18" s="610"/>
      <c r="AD18" s="610"/>
      <c r="AE18" s="610"/>
      <c r="AF18" s="610"/>
      <c r="AG18" s="610"/>
      <c r="AH18" s="610"/>
      <c r="AI18" s="610"/>
      <c r="AJ18" s="610"/>
      <c r="AK18" s="610"/>
      <c r="AL18" s="612"/>
      <c r="AM18" s="609"/>
      <c r="AN18" s="609"/>
      <c r="AO18" s="609"/>
      <c r="AP18" s="609"/>
      <c r="AQ18" s="609"/>
      <c r="AR18" s="610"/>
      <c r="AS18" s="610"/>
      <c r="AT18" s="613"/>
      <c r="AU18" s="614"/>
    </row>
    <row r="19">
      <c r="A19" s="605" t="str">
        <f t="shared" si="1"/>
        <v>#NUM!</v>
      </c>
      <c r="B19" s="606"/>
      <c r="C19" s="607"/>
      <c r="D19" s="607"/>
      <c r="E19" s="608"/>
      <c r="F19" s="608"/>
      <c r="G19" s="609"/>
      <c r="H19" s="607"/>
      <c r="I19" s="610"/>
      <c r="J19" s="608"/>
      <c r="K19" s="608"/>
      <c r="L19" s="609"/>
      <c r="M19" s="609"/>
      <c r="N19" s="608"/>
      <c r="O19" s="607"/>
      <c r="P19" s="610"/>
      <c r="Q19" s="610"/>
      <c r="R19" s="610"/>
      <c r="S19" s="610"/>
      <c r="T19" s="610"/>
      <c r="U19" s="610"/>
      <c r="V19" s="611"/>
      <c r="W19" s="610"/>
      <c r="X19" s="610"/>
      <c r="Y19" s="610"/>
      <c r="Z19" s="610"/>
      <c r="AA19" s="610"/>
      <c r="AB19" s="610"/>
      <c r="AC19" s="610"/>
      <c r="AD19" s="610"/>
      <c r="AE19" s="610"/>
      <c r="AF19" s="610"/>
      <c r="AG19" s="610"/>
      <c r="AH19" s="610"/>
      <c r="AI19" s="610"/>
      <c r="AJ19" s="610"/>
      <c r="AK19" s="610"/>
      <c r="AL19" s="612"/>
      <c r="AM19" s="609"/>
      <c r="AN19" s="609"/>
      <c r="AO19" s="609"/>
      <c r="AP19" s="609"/>
      <c r="AQ19" s="609"/>
      <c r="AR19" s="610"/>
      <c r="AS19" s="610"/>
      <c r="AT19" s="613"/>
      <c r="AU19" s="614"/>
    </row>
    <row r="20">
      <c r="A20" s="615"/>
      <c r="E20" s="616"/>
      <c r="F20" s="616"/>
      <c r="J20" s="616"/>
      <c r="K20" s="616"/>
      <c r="N20" s="616"/>
      <c r="V20" s="616"/>
      <c r="AL20" s="616"/>
    </row>
    <row r="21">
      <c r="A21" s="615"/>
      <c r="E21" s="616"/>
      <c r="F21" s="616"/>
      <c r="J21" s="616"/>
      <c r="K21" s="616"/>
      <c r="N21" s="616"/>
      <c r="V21" s="616"/>
      <c r="AL21" s="616"/>
    </row>
    <row r="22">
      <c r="A22" s="615"/>
      <c r="E22" s="616"/>
      <c r="F22" s="616"/>
      <c r="J22" s="616"/>
      <c r="K22" s="616"/>
      <c r="N22" s="616"/>
      <c r="V22" s="616"/>
      <c r="AL22" s="616"/>
    </row>
    <row r="23">
      <c r="A23" s="615"/>
      <c r="E23" s="616"/>
      <c r="F23" s="616"/>
      <c r="J23" s="616"/>
      <c r="K23" s="616"/>
      <c r="N23" s="616"/>
      <c r="V23" s="616"/>
      <c r="AL23" s="616"/>
    </row>
    <row r="24">
      <c r="A24" s="615"/>
      <c r="E24" s="616"/>
      <c r="F24" s="616"/>
      <c r="J24" s="616"/>
      <c r="K24" s="616"/>
      <c r="N24" s="616"/>
      <c r="V24" s="616"/>
      <c r="AL24" s="616"/>
    </row>
    <row r="25">
      <c r="A25" s="615"/>
      <c r="E25" s="616"/>
      <c r="F25" s="616"/>
      <c r="J25" s="616"/>
      <c r="K25" s="616"/>
      <c r="N25" s="616"/>
      <c r="V25" s="616"/>
      <c r="AL25" s="616"/>
    </row>
    <row r="26">
      <c r="A26" s="615"/>
      <c r="E26" s="616"/>
      <c r="F26" s="616"/>
      <c r="J26" s="616"/>
      <c r="K26" s="616"/>
      <c r="N26" s="616"/>
      <c r="V26" s="616"/>
      <c r="AL26" s="616"/>
    </row>
    <row r="27">
      <c r="A27" s="615"/>
      <c r="E27" s="616"/>
      <c r="F27" s="616"/>
      <c r="J27" s="616"/>
      <c r="K27" s="616"/>
      <c r="N27" s="616"/>
      <c r="V27" s="616"/>
      <c r="AL27" s="616"/>
    </row>
    <row r="28">
      <c r="A28" s="615"/>
      <c r="E28" s="616"/>
      <c r="F28" s="616"/>
      <c r="J28" s="616"/>
      <c r="K28" s="616"/>
      <c r="N28" s="616"/>
      <c r="V28" s="616"/>
      <c r="AL28" s="616"/>
    </row>
    <row r="29">
      <c r="A29" s="615"/>
      <c r="E29" s="616"/>
      <c r="F29" s="616"/>
      <c r="J29" s="616"/>
      <c r="K29" s="616"/>
      <c r="N29" s="616"/>
      <c r="V29" s="616"/>
      <c r="AL29" s="616"/>
    </row>
    <row r="30">
      <c r="A30" s="615"/>
      <c r="E30" s="616"/>
      <c r="F30" s="616"/>
      <c r="J30" s="616"/>
      <c r="K30" s="616"/>
      <c r="N30" s="616"/>
      <c r="V30" s="616"/>
      <c r="AL30" s="616"/>
    </row>
    <row r="31">
      <c r="A31" s="615"/>
      <c r="E31" s="616"/>
      <c r="F31" s="616"/>
      <c r="J31" s="616"/>
      <c r="K31" s="616"/>
      <c r="N31" s="616"/>
      <c r="V31" s="616"/>
      <c r="AL31" s="616"/>
    </row>
    <row r="32">
      <c r="A32" s="615"/>
      <c r="E32" s="616"/>
      <c r="F32" s="616"/>
      <c r="J32" s="616"/>
      <c r="K32" s="616"/>
      <c r="N32" s="616"/>
      <c r="V32" s="616"/>
      <c r="AL32" s="616"/>
    </row>
    <row r="33">
      <c r="A33" s="615"/>
      <c r="E33" s="616"/>
      <c r="F33" s="616"/>
      <c r="J33" s="616"/>
      <c r="K33" s="616"/>
      <c r="N33" s="616"/>
      <c r="V33" s="616"/>
      <c r="AL33" s="616"/>
    </row>
    <row r="34">
      <c r="A34" s="615"/>
      <c r="E34" s="616"/>
      <c r="F34" s="616"/>
      <c r="J34" s="616"/>
      <c r="K34" s="616"/>
      <c r="N34" s="616"/>
      <c r="V34" s="616"/>
      <c r="AL34" s="616"/>
    </row>
    <row r="35">
      <c r="A35" s="615"/>
      <c r="E35" s="616"/>
      <c r="F35" s="616"/>
      <c r="J35" s="616"/>
      <c r="K35" s="616"/>
      <c r="N35" s="616"/>
      <c r="V35" s="616"/>
      <c r="AL35" s="616"/>
    </row>
    <row r="36">
      <c r="A36" s="615"/>
      <c r="E36" s="616"/>
      <c r="F36" s="616"/>
      <c r="J36" s="616"/>
      <c r="K36" s="616"/>
      <c r="N36" s="616"/>
      <c r="V36" s="616"/>
      <c r="AL36" s="616"/>
    </row>
    <row r="37">
      <c r="A37" s="615"/>
      <c r="E37" s="616"/>
      <c r="F37" s="616"/>
      <c r="J37" s="616"/>
      <c r="K37" s="616"/>
      <c r="N37" s="616"/>
      <c r="V37" s="616"/>
      <c r="AL37" s="616"/>
    </row>
    <row r="38">
      <c r="A38" s="615"/>
      <c r="E38" s="616"/>
      <c r="F38" s="616"/>
      <c r="J38" s="616"/>
      <c r="K38" s="616"/>
      <c r="N38" s="616"/>
      <c r="V38" s="616"/>
      <c r="AL38" s="616"/>
    </row>
    <row r="39">
      <c r="A39" s="615"/>
      <c r="E39" s="616"/>
      <c r="F39" s="616"/>
      <c r="J39" s="616"/>
      <c r="K39" s="616"/>
      <c r="N39" s="616"/>
      <c r="V39" s="616"/>
      <c r="AL39" s="616"/>
    </row>
    <row r="40">
      <c r="A40" s="615"/>
      <c r="E40" s="616"/>
      <c r="F40" s="616"/>
      <c r="J40" s="616"/>
      <c r="K40" s="616"/>
      <c r="N40" s="616"/>
      <c r="V40" s="616"/>
      <c r="AL40" s="616"/>
    </row>
    <row r="41">
      <c r="A41" s="615"/>
      <c r="E41" s="616"/>
      <c r="F41" s="616"/>
      <c r="J41" s="616"/>
      <c r="K41" s="616"/>
      <c r="N41" s="616"/>
      <c r="V41" s="616"/>
      <c r="AL41" s="616"/>
    </row>
    <row r="42">
      <c r="A42" s="615"/>
      <c r="E42" s="616"/>
      <c r="F42" s="616"/>
      <c r="J42" s="616"/>
      <c r="K42" s="616"/>
      <c r="N42" s="616"/>
      <c r="V42" s="616"/>
      <c r="AL42" s="616"/>
    </row>
    <row r="43">
      <c r="A43" s="615"/>
      <c r="E43" s="616"/>
      <c r="F43" s="616"/>
      <c r="J43" s="616"/>
      <c r="K43" s="616"/>
      <c r="N43" s="616"/>
      <c r="V43" s="616"/>
      <c r="AL43" s="616"/>
    </row>
    <row r="44">
      <c r="A44" s="615"/>
      <c r="E44" s="616"/>
      <c r="F44" s="616"/>
      <c r="J44" s="616"/>
      <c r="K44" s="616"/>
      <c r="N44" s="616"/>
      <c r="V44" s="616"/>
      <c r="AL44" s="616"/>
    </row>
    <row r="45">
      <c r="A45" s="615"/>
      <c r="E45" s="616"/>
      <c r="F45" s="616"/>
      <c r="J45" s="616"/>
      <c r="K45" s="616"/>
      <c r="N45" s="616"/>
      <c r="V45" s="616"/>
      <c r="AL45" s="616"/>
    </row>
    <row r="46">
      <c r="A46" s="615"/>
      <c r="E46" s="616"/>
      <c r="F46" s="616"/>
      <c r="J46" s="616"/>
      <c r="K46" s="616"/>
      <c r="N46" s="616"/>
      <c r="V46" s="616"/>
      <c r="AL46" s="616"/>
    </row>
    <row r="47">
      <c r="A47" s="615"/>
      <c r="E47" s="616"/>
      <c r="F47" s="616"/>
      <c r="J47" s="616"/>
      <c r="K47" s="616"/>
      <c r="N47" s="616"/>
      <c r="V47" s="616"/>
      <c r="AL47" s="616"/>
    </row>
    <row r="48">
      <c r="A48" s="615"/>
      <c r="E48" s="616"/>
      <c r="F48" s="616"/>
      <c r="J48" s="616"/>
      <c r="K48" s="616"/>
      <c r="N48" s="616"/>
      <c r="V48" s="616"/>
      <c r="AL48" s="616"/>
    </row>
    <row r="49">
      <c r="A49" s="615"/>
      <c r="E49" s="616"/>
      <c r="F49" s="616"/>
      <c r="J49" s="616"/>
      <c r="K49" s="616"/>
      <c r="N49" s="616"/>
      <c r="V49" s="616"/>
      <c r="AL49" s="616"/>
    </row>
    <row r="50">
      <c r="A50" s="615"/>
      <c r="E50" s="616"/>
      <c r="F50" s="616"/>
      <c r="J50" s="616"/>
      <c r="K50" s="616"/>
      <c r="N50" s="616"/>
      <c r="V50" s="616"/>
      <c r="AL50" s="616"/>
    </row>
    <row r="51">
      <c r="A51" s="615"/>
      <c r="E51" s="616"/>
      <c r="F51" s="616"/>
      <c r="J51" s="616"/>
      <c r="K51" s="616"/>
      <c r="N51" s="616"/>
      <c r="V51" s="616"/>
      <c r="AL51" s="616"/>
    </row>
    <row r="52">
      <c r="A52" s="615"/>
      <c r="E52" s="616"/>
      <c r="F52" s="616"/>
      <c r="J52" s="616"/>
      <c r="K52" s="616"/>
      <c r="N52" s="616"/>
      <c r="V52" s="616"/>
      <c r="AL52" s="616"/>
    </row>
    <row r="53">
      <c r="A53" s="615"/>
      <c r="E53" s="616"/>
      <c r="F53" s="616"/>
      <c r="J53" s="616"/>
      <c r="K53" s="616"/>
      <c r="N53" s="616"/>
      <c r="V53" s="616"/>
      <c r="AL53" s="616"/>
    </row>
    <row r="54">
      <c r="A54" s="615"/>
      <c r="E54" s="616"/>
      <c r="F54" s="616"/>
      <c r="J54" s="616"/>
      <c r="K54" s="616"/>
      <c r="N54" s="616"/>
      <c r="V54" s="616"/>
      <c r="AL54" s="616"/>
    </row>
    <row r="55">
      <c r="A55" s="615"/>
      <c r="E55" s="616"/>
      <c r="F55" s="616"/>
      <c r="J55" s="616"/>
      <c r="K55" s="616"/>
      <c r="N55" s="616"/>
      <c r="V55" s="616"/>
      <c r="AL55" s="616"/>
    </row>
    <row r="56">
      <c r="A56" s="615"/>
      <c r="E56" s="616"/>
      <c r="F56" s="616"/>
      <c r="J56" s="616"/>
      <c r="K56" s="616"/>
      <c r="N56" s="616"/>
      <c r="V56" s="616"/>
      <c r="AL56" s="616"/>
    </row>
    <row r="57">
      <c r="A57" s="615"/>
      <c r="E57" s="616"/>
      <c r="F57" s="616"/>
      <c r="J57" s="616"/>
      <c r="K57" s="616"/>
      <c r="N57" s="616"/>
      <c r="V57" s="616"/>
      <c r="AL57" s="616"/>
    </row>
    <row r="58">
      <c r="A58" s="615"/>
      <c r="E58" s="616"/>
      <c r="F58" s="616"/>
      <c r="J58" s="616"/>
      <c r="K58" s="616"/>
      <c r="N58" s="616"/>
      <c r="V58" s="616"/>
      <c r="AL58" s="616"/>
    </row>
    <row r="59">
      <c r="A59" s="615"/>
      <c r="E59" s="616"/>
      <c r="F59" s="616"/>
      <c r="J59" s="616"/>
      <c r="K59" s="616"/>
      <c r="N59" s="616"/>
      <c r="V59" s="616"/>
      <c r="AL59" s="616"/>
    </row>
    <row r="60">
      <c r="A60" s="615"/>
      <c r="E60" s="616"/>
      <c r="F60" s="616"/>
      <c r="J60" s="616"/>
      <c r="K60" s="616"/>
      <c r="N60" s="616"/>
      <c r="V60" s="616"/>
      <c r="AL60" s="616"/>
    </row>
    <row r="61">
      <c r="A61" s="615"/>
      <c r="E61" s="616"/>
      <c r="F61" s="616"/>
      <c r="J61" s="616"/>
      <c r="K61" s="616"/>
      <c r="N61" s="616"/>
      <c r="V61" s="616"/>
      <c r="AL61" s="616"/>
    </row>
    <row r="62">
      <c r="A62" s="615"/>
      <c r="E62" s="616"/>
      <c r="F62" s="616"/>
      <c r="J62" s="616"/>
      <c r="K62" s="616"/>
      <c r="N62" s="616"/>
      <c r="V62" s="616"/>
      <c r="AL62" s="616"/>
    </row>
    <row r="63">
      <c r="A63" s="615"/>
      <c r="E63" s="616"/>
      <c r="F63" s="616"/>
      <c r="J63" s="616"/>
      <c r="K63" s="616"/>
      <c r="N63" s="616"/>
      <c r="V63" s="616"/>
      <c r="AL63" s="616"/>
    </row>
    <row r="64">
      <c r="A64" s="615"/>
      <c r="E64" s="616"/>
      <c r="F64" s="616"/>
      <c r="J64" s="616"/>
      <c r="K64" s="616"/>
      <c r="N64" s="616"/>
      <c r="V64" s="616"/>
      <c r="AL64" s="616"/>
    </row>
    <row r="65">
      <c r="A65" s="615"/>
      <c r="E65" s="616"/>
      <c r="F65" s="616"/>
      <c r="J65" s="616"/>
      <c r="K65" s="616"/>
      <c r="N65" s="616"/>
      <c r="V65" s="616"/>
      <c r="AL65" s="616"/>
    </row>
    <row r="66">
      <c r="A66" s="615"/>
      <c r="E66" s="616"/>
      <c r="F66" s="616"/>
      <c r="J66" s="616"/>
      <c r="K66" s="616"/>
      <c r="N66" s="616"/>
      <c r="V66" s="616"/>
      <c r="AL66" s="616"/>
    </row>
    <row r="67">
      <c r="A67" s="615"/>
      <c r="E67" s="616"/>
      <c r="F67" s="616"/>
      <c r="J67" s="616"/>
      <c r="K67" s="616"/>
      <c r="N67" s="616"/>
      <c r="V67" s="616"/>
      <c r="AL67" s="616"/>
    </row>
    <row r="68">
      <c r="A68" s="615"/>
      <c r="E68" s="616"/>
      <c r="F68" s="616"/>
      <c r="J68" s="616"/>
      <c r="K68" s="616"/>
      <c r="N68" s="616"/>
      <c r="V68" s="616"/>
      <c r="AL68" s="616"/>
    </row>
    <row r="69">
      <c r="A69" s="615"/>
      <c r="E69" s="616"/>
      <c r="F69" s="616"/>
      <c r="J69" s="616"/>
      <c r="K69" s="616"/>
      <c r="N69" s="616"/>
      <c r="V69" s="616"/>
      <c r="AL69" s="616"/>
    </row>
    <row r="70">
      <c r="A70" s="615"/>
      <c r="E70" s="616"/>
      <c r="F70" s="616"/>
      <c r="J70" s="616"/>
      <c r="K70" s="616"/>
      <c r="N70" s="616"/>
      <c r="V70" s="616"/>
      <c r="AL70" s="616"/>
    </row>
    <row r="71">
      <c r="A71" s="615"/>
      <c r="E71" s="616"/>
      <c r="F71" s="616"/>
      <c r="J71" s="616"/>
      <c r="K71" s="616"/>
      <c r="N71" s="616"/>
      <c r="V71" s="616"/>
      <c r="AL71" s="616"/>
    </row>
    <row r="72">
      <c r="A72" s="615"/>
      <c r="E72" s="616"/>
      <c r="F72" s="616"/>
      <c r="J72" s="616"/>
      <c r="K72" s="616"/>
      <c r="N72" s="616"/>
      <c r="V72" s="616"/>
      <c r="AL72" s="616"/>
    </row>
    <row r="73">
      <c r="A73" s="615"/>
      <c r="E73" s="616"/>
      <c r="F73" s="616"/>
      <c r="J73" s="616"/>
      <c r="K73" s="616"/>
      <c r="N73" s="616"/>
      <c r="V73" s="616"/>
      <c r="AL73" s="616"/>
    </row>
    <row r="74">
      <c r="A74" s="615"/>
      <c r="E74" s="616"/>
      <c r="F74" s="616"/>
      <c r="J74" s="616"/>
      <c r="K74" s="616"/>
      <c r="N74" s="616"/>
      <c r="V74" s="616"/>
      <c r="AL74" s="616"/>
    </row>
    <row r="75">
      <c r="A75" s="615"/>
      <c r="E75" s="616"/>
      <c r="F75" s="616"/>
      <c r="J75" s="616"/>
      <c r="K75" s="616"/>
      <c r="N75" s="616"/>
      <c r="V75" s="616"/>
      <c r="AL75" s="616"/>
    </row>
    <row r="76">
      <c r="A76" s="615"/>
      <c r="E76" s="616"/>
      <c r="F76" s="616"/>
      <c r="J76" s="616"/>
      <c r="K76" s="616"/>
      <c r="N76" s="616"/>
      <c r="V76" s="616"/>
      <c r="AL76" s="616"/>
    </row>
    <row r="77">
      <c r="A77" s="615"/>
      <c r="E77" s="616"/>
      <c r="F77" s="616"/>
      <c r="J77" s="616"/>
      <c r="K77" s="616"/>
      <c r="N77" s="616"/>
      <c r="V77" s="616"/>
      <c r="AL77" s="616"/>
    </row>
    <row r="78">
      <c r="A78" s="615"/>
      <c r="E78" s="616"/>
      <c r="F78" s="616"/>
      <c r="J78" s="616"/>
      <c r="K78" s="616"/>
      <c r="N78" s="616"/>
      <c r="V78" s="616"/>
      <c r="AL78" s="616"/>
    </row>
    <row r="79">
      <c r="A79" s="615"/>
      <c r="E79" s="616"/>
      <c r="F79" s="616"/>
      <c r="J79" s="616"/>
      <c r="K79" s="616"/>
      <c r="N79" s="616"/>
      <c r="V79" s="616"/>
      <c r="AL79" s="616"/>
    </row>
    <row r="80">
      <c r="A80" s="615"/>
      <c r="E80" s="616"/>
      <c r="F80" s="616"/>
      <c r="J80" s="616"/>
      <c r="K80" s="616"/>
      <c r="N80" s="616"/>
      <c r="V80" s="616"/>
      <c r="AL80" s="616"/>
    </row>
    <row r="81">
      <c r="A81" s="615"/>
      <c r="E81" s="616"/>
      <c r="F81" s="616"/>
      <c r="J81" s="616"/>
      <c r="K81" s="616"/>
      <c r="N81" s="616"/>
      <c r="V81" s="616"/>
      <c r="AL81" s="616"/>
    </row>
    <row r="82">
      <c r="A82" s="615"/>
      <c r="E82" s="616"/>
      <c r="F82" s="616"/>
      <c r="J82" s="616"/>
      <c r="K82" s="616"/>
      <c r="N82" s="616"/>
      <c r="V82" s="616"/>
      <c r="AL82" s="616"/>
    </row>
    <row r="83">
      <c r="A83" s="615"/>
      <c r="E83" s="616"/>
      <c r="F83" s="616"/>
      <c r="J83" s="616"/>
      <c r="K83" s="616"/>
      <c r="N83" s="616"/>
      <c r="V83" s="616"/>
      <c r="AL83" s="616"/>
    </row>
    <row r="84">
      <c r="A84" s="615"/>
      <c r="E84" s="616"/>
      <c r="F84" s="616"/>
      <c r="J84" s="616"/>
      <c r="K84" s="616"/>
      <c r="N84" s="616"/>
      <c r="V84" s="616"/>
      <c r="AL84" s="616"/>
    </row>
    <row r="85">
      <c r="A85" s="615"/>
      <c r="E85" s="616"/>
      <c r="F85" s="616"/>
      <c r="J85" s="616"/>
      <c r="K85" s="616"/>
      <c r="N85" s="616"/>
      <c r="V85" s="616"/>
      <c r="AL85" s="616"/>
    </row>
    <row r="86">
      <c r="A86" s="615"/>
      <c r="E86" s="616"/>
      <c r="F86" s="616"/>
      <c r="J86" s="616"/>
      <c r="K86" s="616"/>
      <c r="N86" s="616"/>
      <c r="V86" s="616"/>
      <c r="AL86" s="616"/>
    </row>
    <row r="87">
      <c r="A87" s="615"/>
      <c r="E87" s="616"/>
      <c r="F87" s="616"/>
      <c r="J87" s="616"/>
      <c r="K87" s="616"/>
      <c r="N87" s="616"/>
      <c r="V87" s="616"/>
      <c r="AL87" s="616"/>
    </row>
    <row r="88">
      <c r="A88" s="615"/>
      <c r="E88" s="616"/>
      <c r="F88" s="616"/>
      <c r="J88" s="616"/>
      <c r="K88" s="616"/>
      <c r="N88" s="616"/>
      <c r="V88" s="616"/>
      <c r="AL88" s="616"/>
    </row>
    <row r="89">
      <c r="A89" s="615"/>
      <c r="E89" s="616"/>
      <c r="F89" s="616"/>
      <c r="J89" s="616"/>
      <c r="K89" s="616"/>
      <c r="N89" s="616"/>
      <c r="V89" s="616"/>
      <c r="AL89" s="616"/>
    </row>
    <row r="90">
      <c r="A90" s="615"/>
      <c r="E90" s="616"/>
      <c r="F90" s="616"/>
      <c r="J90" s="616"/>
      <c r="K90" s="616"/>
      <c r="N90" s="616"/>
      <c r="V90" s="616"/>
      <c r="AL90" s="616"/>
    </row>
    <row r="91">
      <c r="A91" s="615"/>
      <c r="E91" s="616"/>
      <c r="F91" s="616"/>
      <c r="J91" s="616"/>
      <c r="K91" s="616"/>
      <c r="N91" s="616"/>
      <c r="V91" s="616"/>
      <c r="AL91" s="616"/>
    </row>
    <row r="92">
      <c r="A92" s="615"/>
      <c r="E92" s="616"/>
      <c r="F92" s="616"/>
      <c r="J92" s="616"/>
      <c r="K92" s="616"/>
      <c r="N92" s="616"/>
      <c r="V92" s="616"/>
      <c r="AL92" s="616"/>
    </row>
    <row r="93">
      <c r="A93" s="615"/>
      <c r="E93" s="616"/>
      <c r="F93" s="616"/>
      <c r="J93" s="616"/>
      <c r="K93" s="616"/>
      <c r="N93" s="616"/>
      <c r="V93" s="616"/>
      <c r="AL93" s="616"/>
    </row>
    <row r="94">
      <c r="A94" s="615"/>
      <c r="E94" s="616"/>
      <c r="F94" s="616"/>
      <c r="J94" s="616"/>
      <c r="K94" s="616"/>
      <c r="N94" s="616"/>
      <c r="V94" s="616"/>
      <c r="AL94" s="616"/>
    </row>
    <row r="95">
      <c r="A95" s="615"/>
      <c r="E95" s="616"/>
      <c r="F95" s="616"/>
      <c r="J95" s="616"/>
      <c r="K95" s="616"/>
      <c r="N95" s="616"/>
      <c r="V95" s="616"/>
      <c r="AL95" s="616"/>
    </row>
    <row r="96">
      <c r="A96" s="615"/>
      <c r="E96" s="616"/>
      <c r="F96" s="616"/>
      <c r="J96" s="616"/>
      <c r="K96" s="616"/>
      <c r="N96" s="616"/>
      <c r="V96" s="616"/>
      <c r="AL96" s="616"/>
    </row>
    <row r="97">
      <c r="A97" s="615"/>
      <c r="E97" s="616"/>
      <c r="F97" s="616"/>
      <c r="J97" s="616"/>
      <c r="K97" s="616"/>
      <c r="N97" s="616"/>
      <c r="V97" s="616"/>
      <c r="AL97" s="616"/>
    </row>
    <row r="98">
      <c r="A98" s="615"/>
      <c r="E98" s="616"/>
      <c r="F98" s="616"/>
      <c r="J98" s="616"/>
      <c r="K98" s="616"/>
      <c r="N98" s="616"/>
      <c r="V98" s="616"/>
      <c r="AL98" s="616"/>
    </row>
    <row r="99">
      <c r="A99" s="615"/>
      <c r="E99" s="616"/>
      <c r="F99" s="616"/>
      <c r="J99" s="616"/>
      <c r="K99" s="616"/>
      <c r="N99" s="616"/>
      <c r="V99" s="616"/>
      <c r="AL99" s="616"/>
    </row>
    <row r="100">
      <c r="A100" s="615"/>
      <c r="E100" s="616"/>
      <c r="F100" s="616"/>
      <c r="J100" s="616"/>
      <c r="K100" s="616"/>
      <c r="N100" s="616"/>
      <c r="V100" s="616"/>
      <c r="AL100" s="616"/>
    </row>
    <row r="101">
      <c r="A101" s="615"/>
      <c r="E101" s="616"/>
      <c r="F101" s="616"/>
      <c r="J101" s="616"/>
      <c r="K101" s="616"/>
      <c r="N101" s="616"/>
      <c r="V101" s="616"/>
      <c r="AL101" s="616"/>
    </row>
    <row r="102">
      <c r="A102" s="615"/>
      <c r="E102" s="616"/>
      <c r="F102" s="616"/>
      <c r="J102" s="616"/>
      <c r="K102" s="616"/>
      <c r="N102" s="616"/>
      <c r="V102" s="616"/>
      <c r="AL102" s="616"/>
    </row>
    <row r="103">
      <c r="A103" s="615"/>
      <c r="E103" s="616"/>
      <c r="F103" s="616"/>
      <c r="J103" s="616"/>
      <c r="K103" s="616"/>
      <c r="N103" s="616"/>
      <c r="V103" s="616"/>
      <c r="AL103" s="616"/>
    </row>
    <row r="104">
      <c r="A104" s="615"/>
      <c r="E104" s="616"/>
      <c r="F104" s="616"/>
      <c r="J104" s="616"/>
      <c r="K104" s="616"/>
      <c r="N104" s="616"/>
      <c r="V104" s="616"/>
      <c r="AL104" s="616"/>
    </row>
    <row r="105">
      <c r="A105" s="615"/>
      <c r="E105" s="616"/>
      <c r="F105" s="616"/>
      <c r="J105" s="616"/>
      <c r="K105" s="616"/>
      <c r="N105" s="616"/>
      <c r="V105" s="616"/>
      <c r="AL105" s="616"/>
    </row>
    <row r="106">
      <c r="A106" s="615"/>
      <c r="E106" s="616"/>
      <c r="F106" s="616"/>
      <c r="J106" s="616"/>
      <c r="K106" s="616"/>
      <c r="N106" s="616"/>
      <c r="V106" s="616"/>
      <c r="AL106" s="616"/>
    </row>
    <row r="107">
      <c r="A107" s="615"/>
      <c r="E107" s="616"/>
      <c r="F107" s="616"/>
      <c r="J107" s="616"/>
      <c r="K107" s="616"/>
      <c r="N107" s="616"/>
      <c r="V107" s="616"/>
      <c r="AL107" s="616"/>
    </row>
    <row r="108">
      <c r="A108" s="615"/>
      <c r="E108" s="616"/>
      <c r="F108" s="616"/>
      <c r="J108" s="616"/>
      <c r="K108" s="616"/>
      <c r="N108" s="616"/>
      <c r="V108" s="616"/>
      <c r="AL108" s="616"/>
    </row>
    <row r="109">
      <c r="A109" s="615"/>
      <c r="E109" s="616"/>
      <c r="F109" s="616"/>
      <c r="J109" s="616"/>
      <c r="K109" s="616"/>
      <c r="N109" s="616"/>
      <c r="V109" s="616"/>
      <c r="AL109" s="616"/>
    </row>
    <row r="110">
      <c r="A110" s="615"/>
      <c r="E110" s="616"/>
      <c r="F110" s="616"/>
      <c r="J110" s="616"/>
      <c r="K110" s="616"/>
      <c r="N110" s="616"/>
      <c r="V110" s="616"/>
      <c r="AL110" s="616"/>
    </row>
    <row r="111">
      <c r="A111" s="615"/>
      <c r="E111" s="616"/>
      <c r="F111" s="616"/>
      <c r="J111" s="616"/>
      <c r="K111" s="616"/>
      <c r="N111" s="616"/>
      <c r="V111" s="616"/>
      <c r="AL111" s="616"/>
    </row>
    <row r="112">
      <c r="A112" s="615"/>
      <c r="E112" s="616"/>
      <c r="F112" s="616"/>
      <c r="J112" s="616"/>
      <c r="K112" s="616"/>
      <c r="N112" s="616"/>
      <c r="V112" s="616"/>
      <c r="AL112" s="616"/>
    </row>
    <row r="113">
      <c r="A113" s="615"/>
      <c r="E113" s="616"/>
      <c r="F113" s="616"/>
      <c r="J113" s="616"/>
      <c r="K113" s="616"/>
      <c r="N113" s="616"/>
      <c r="V113" s="616"/>
      <c r="AL113" s="616"/>
    </row>
    <row r="114">
      <c r="A114" s="615"/>
      <c r="E114" s="616"/>
      <c r="F114" s="616"/>
      <c r="J114" s="616"/>
      <c r="K114" s="616"/>
      <c r="N114" s="616"/>
      <c r="V114" s="616"/>
      <c r="AL114" s="616"/>
    </row>
    <row r="115">
      <c r="A115" s="615"/>
      <c r="E115" s="616"/>
      <c r="F115" s="616"/>
      <c r="J115" s="616"/>
      <c r="K115" s="616"/>
      <c r="N115" s="616"/>
      <c r="V115" s="616"/>
      <c r="AL115" s="616"/>
    </row>
    <row r="116">
      <c r="A116" s="615"/>
      <c r="E116" s="616"/>
      <c r="F116" s="616"/>
      <c r="J116" s="616"/>
      <c r="K116" s="616"/>
      <c r="N116" s="616"/>
      <c r="V116" s="616"/>
      <c r="AL116" s="616"/>
    </row>
    <row r="117">
      <c r="A117" s="615"/>
      <c r="E117" s="616"/>
      <c r="F117" s="616"/>
      <c r="J117" s="616"/>
      <c r="K117" s="616"/>
      <c r="N117" s="616"/>
      <c r="V117" s="616"/>
      <c r="AL117" s="616"/>
    </row>
    <row r="118">
      <c r="A118" s="615"/>
      <c r="E118" s="616"/>
      <c r="F118" s="616"/>
      <c r="J118" s="616"/>
      <c r="K118" s="616"/>
      <c r="N118" s="616"/>
      <c r="V118" s="616"/>
      <c r="AL118" s="616"/>
    </row>
    <row r="119">
      <c r="A119" s="615"/>
      <c r="E119" s="616"/>
      <c r="F119" s="616"/>
      <c r="J119" s="616"/>
      <c r="K119" s="616"/>
      <c r="N119" s="616"/>
      <c r="V119" s="616"/>
      <c r="AL119" s="616"/>
    </row>
    <row r="120">
      <c r="A120" s="615"/>
      <c r="E120" s="616"/>
      <c r="F120" s="616"/>
      <c r="J120" s="616"/>
      <c r="K120" s="616"/>
      <c r="N120" s="616"/>
      <c r="V120" s="616"/>
      <c r="AL120" s="616"/>
    </row>
    <row r="121">
      <c r="A121" s="615"/>
      <c r="E121" s="616"/>
      <c r="F121" s="616"/>
      <c r="J121" s="616"/>
      <c r="K121" s="616"/>
      <c r="N121" s="616"/>
      <c r="V121" s="616"/>
      <c r="AL121" s="616"/>
    </row>
    <row r="122">
      <c r="A122" s="615"/>
      <c r="E122" s="616"/>
      <c r="F122" s="616"/>
      <c r="J122" s="616"/>
      <c r="K122" s="616"/>
      <c r="N122" s="616"/>
      <c r="V122" s="616"/>
      <c r="AL122" s="616"/>
    </row>
    <row r="123">
      <c r="A123" s="615"/>
      <c r="E123" s="616"/>
      <c r="F123" s="616"/>
      <c r="J123" s="616"/>
      <c r="K123" s="616"/>
      <c r="N123" s="616"/>
      <c r="V123" s="616"/>
      <c r="AL123" s="616"/>
    </row>
    <row r="124">
      <c r="A124" s="615"/>
      <c r="E124" s="616"/>
      <c r="F124" s="616"/>
      <c r="J124" s="616"/>
      <c r="K124" s="616"/>
      <c r="N124" s="616"/>
      <c r="V124" s="616"/>
      <c r="AL124" s="616"/>
    </row>
    <row r="125">
      <c r="A125" s="615"/>
      <c r="E125" s="616"/>
      <c r="F125" s="616"/>
      <c r="J125" s="616"/>
      <c r="K125" s="616"/>
      <c r="N125" s="616"/>
      <c r="V125" s="616"/>
      <c r="AL125" s="616"/>
    </row>
    <row r="126">
      <c r="A126" s="615"/>
      <c r="E126" s="616"/>
      <c r="F126" s="616"/>
      <c r="J126" s="616"/>
      <c r="K126" s="616"/>
      <c r="N126" s="616"/>
      <c r="V126" s="616"/>
      <c r="AL126" s="616"/>
    </row>
    <row r="127">
      <c r="A127" s="615"/>
      <c r="E127" s="616"/>
      <c r="F127" s="616"/>
      <c r="J127" s="616"/>
      <c r="K127" s="616"/>
      <c r="N127" s="616"/>
      <c r="V127" s="616"/>
      <c r="AL127" s="616"/>
    </row>
    <row r="128">
      <c r="A128" s="615"/>
      <c r="E128" s="616"/>
      <c r="F128" s="616"/>
      <c r="J128" s="616"/>
      <c r="K128" s="616"/>
      <c r="N128" s="616"/>
      <c r="V128" s="616"/>
      <c r="AL128" s="616"/>
    </row>
    <row r="129">
      <c r="A129" s="615"/>
      <c r="E129" s="616"/>
      <c r="F129" s="616"/>
      <c r="J129" s="616"/>
      <c r="K129" s="616"/>
      <c r="N129" s="616"/>
      <c r="V129" s="616"/>
      <c r="AL129" s="616"/>
    </row>
    <row r="130">
      <c r="A130" s="615"/>
      <c r="E130" s="616"/>
      <c r="F130" s="616"/>
      <c r="J130" s="616"/>
      <c r="K130" s="616"/>
      <c r="N130" s="616"/>
      <c r="V130" s="616"/>
      <c r="AL130" s="616"/>
    </row>
    <row r="131">
      <c r="A131" s="615"/>
      <c r="E131" s="616"/>
      <c r="F131" s="616"/>
      <c r="J131" s="616"/>
      <c r="K131" s="616"/>
      <c r="N131" s="616"/>
      <c r="V131" s="616"/>
      <c r="AL131" s="616"/>
    </row>
    <row r="132">
      <c r="A132" s="615"/>
      <c r="E132" s="616"/>
      <c r="F132" s="616"/>
      <c r="J132" s="616"/>
      <c r="K132" s="616"/>
      <c r="N132" s="616"/>
      <c r="V132" s="616"/>
      <c r="AL132" s="616"/>
    </row>
    <row r="133">
      <c r="A133" s="615"/>
      <c r="E133" s="616"/>
      <c r="F133" s="616"/>
      <c r="J133" s="616"/>
      <c r="K133" s="616"/>
      <c r="N133" s="616"/>
      <c r="V133" s="616"/>
      <c r="AL133" s="616"/>
    </row>
    <row r="134">
      <c r="A134" s="615"/>
      <c r="E134" s="616"/>
      <c r="F134" s="616"/>
      <c r="J134" s="616"/>
      <c r="K134" s="616"/>
      <c r="N134" s="616"/>
      <c r="V134" s="616"/>
      <c r="AL134" s="616"/>
    </row>
    <row r="135">
      <c r="A135" s="615"/>
      <c r="E135" s="616"/>
      <c r="F135" s="616"/>
      <c r="J135" s="616"/>
      <c r="K135" s="616"/>
      <c r="N135" s="616"/>
      <c r="V135" s="616"/>
      <c r="AL135" s="616"/>
    </row>
    <row r="136">
      <c r="A136" s="615"/>
      <c r="E136" s="616"/>
      <c r="F136" s="616"/>
      <c r="J136" s="616"/>
      <c r="K136" s="616"/>
      <c r="N136" s="616"/>
      <c r="V136" s="616"/>
      <c r="AL136" s="616"/>
    </row>
    <row r="137">
      <c r="A137" s="615"/>
      <c r="E137" s="616"/>
      <c r="F137" s="616"/>
      <c r="J137" s="616"/>
      <c r="K137" s="616"/>
      <c r="N137" s="616"/>
      <c r="V137" s="616"/>
      <c r="AL137" s="616"/>
    </row>
    <row r="138">
      <c r="A138" s="615"/>
      <c r="E138" s="616"/>
      <c r="F138" s="616"/>
      <c r="J138" s="616"/>
      <c r="K138" s="616"/>
      <c r="N138" s="616"/>
      <c r="V138" s="616"/>
      <c r="AL138" s="616"/>
    </row>
    <row r="139">
      <c r="A139" s="615"/>
      <c r="E139" s="616"/>
      <c r="F139" s="616"/>
      <c r="J139" s="616"/>
      <c r="K139" s="616"/>
      <c r="N139" s="616"/>
      <c r="V139" s="616"/>
      <c r="AL139" s="616"/>
    </row>
    <row r="140">
      <c r="A140" s="615"/>
      <c r="E140" s="616"/>
      <c r="F140" s="616"/>
      <c r="J140" s="616"/>
      <c r="K140" s="616"/>
      <c r="N140" s="616"/>
      <c r="V140" s="616"/>
      <c r="AL140" s="616"/>
    </row>
    <row r="141">
      <c r="A141" s="615"/>
      <c r="E141" s="616"/>
      <c r="F141" s="616"/>
      <c r="J141" s="616"/>
      <c r="K141" s="616"/>
      <c r="N141" s="616"/>
      <c r="V141" s="616"/>
      <c r="AL141" s="616"/>
    </row>
    <row r="142">
      <c r="A142" s="615"/>
      <c r="E142" s="616"/>
      <c r="F142" s="616"/>
      <c r="J142" s="616"/>
      <c r="K142" s="616"/>
      <c r="N142" s="616"/>
      <c r="V142" s="616"/>
      <c r="AL142" s="616"/>
    </row>
    <row r="143">
      <c r="A143" s="615"/>
      <c r="E143" s="616"/>
      <c r="F143" s="616"/>
      <c r="J143" s="616"/>
      <c r="K143" s="616"/>
      <c r="N143" s="616"/>
      <c r="V143" s="616"/>
      <c r="AL143" s="616"/>
    </row>
    <row r="144">
      <c r="A144" s="615"/>
      <c r="E144" s="616"/>
      <c r="F144" s="616"/>
      <c r="J144" s="616"/>
      <c r="K144" s="616"/>
      <c r="N144" s="616"/>
      <c r="V144" s="616"/>
      <c r="AL144" s="616"/>
    </row>
    <row r="145">
      <c r="A145" s="615"/>
      <c r="E145" s="616"/>
      <c r="F145" s="616"/>
      <c r="J145" s="616"/>
      <c r="K145" s="616"/>
      <c r="N145" s="616"/>
      <c r="V145" s="616"/>
      <c r="AL145" s="616"/>
    </row>
    <row r="146">
      <c r="A146" s="615"/>
      <c r="E146" s="616"/>
      <c r="F146" s="616"/>
      <c r="J146" s="616"/>
      <c r="K146" s="616"/>
      <c r="N146" s="616"/>
      <c r="V146" s="616"/>
      <c r="AL146" s="616"/>
    </row>
    <row r="147">
      <c r="A147" s="615"/>
      <c r="E147" s="616"/>
      <c r="F147" s="616"/>
      <c r="J147" s="616"/>
      <c r="K147" s="616"/>
      <c r="N147" s="616"/>
      <c r="V147" s="616"/>
      <c r="AL147" s="616"/>
    </row>
    <row r="148">
      <c r="A148" s="615"/>
      <c r="E148" s="616"/>
      <c r="F148" s="616"/>
      <c r="J148" s="616"/>
      <c r="K148" s="616"/>
      <c r="N148" s="616"/>
      <c r="V148" s="616"/>
      <c r="AL148" s="616"/>
    </row>
    <row r="149">
      <c r="A149" s="615"/>
      <c r="E149" s="616"/>
      <c r="F149" s="616"/>
      <c r="J149" s="616"/>
      <c r="K149" s="616"/>
      <c r="N149" s="616"/>
      <c r="V149" s="616"/>
      <c r="AL149" s="616"/>
    </row>
    <row r="150">
      <c r="A150" s="615"/>
      <c r="E150" s="616"/>
      <c r="F150" s="616"/>
      <c r="J150" s="616"/>
      <c r="K150" s="616"/>
      <c r="N150" s="616"/>
      <c r="V150" s="616"/>
      <c r="AL150" s="616"/>
    </row>
    <row r="151">
      <c r="A151" s="615"/>
      <c r="E151" s="616"/>
      <c r="F151" s="616"/>
      <c r="J151" s="616"/>
      <c r="K151" s="616"/>
      <c r="N151" s="616"/>
      <c r="V151" s="616"/>
      <c r="AL151" s="616"/>
    </row>
    <row r="152">
      <c r="A152" s="615"/>
      <c r="E152" s="616"/>
      <c r="F152" s="616"/>
      <c r="J152" s="616"/>
      <c r="K152" s="616"/>
      <c r="N152" s="616"/>
      <c r="V152" s="616"/>
      <c r="AL152" s="616"/>
    </row>
    <row r="153">
      <c r="A153" s="615"/>
      <c r="E153" s="616"/>
      <c r="F153" s="616"/>
      <c r="J153" s="616"/>
      <c r="K153" s="616"/>
      <c r="N153" s="616"/>
      <c r="V153" s="616"/>
      <c r="AL153" s="616"/>
    </row>
    <row r="154">
      <c r="A154" s="615"/>
      <c r="E154" s="616"/>
      <c r="F154" s="616"/>
      <c r="J154" s="616"/>
      <c r="K154" s="616"/>
      <c r="N154" s="616"/>
      <c r="V154" s="616"/>
      <c r="AL154" s="616"/>
    </row>
    <row r="155">
      <c r="A155" s="615"/>
      <c r="E155" s="616"/>
      <c r="F155" s="616"/>
      <c r="J155" s="616"/>
      <c r="K155" s="616"/>
      <c r="N155" s="616"/>
      <c r="V155" s="616"/>
      <c r="AL155" s="616"/>
    </row>
    <row r="156">
      <c r="A156" s="615"/>
      <c r="E156" s="616"/>
      <c r="F156" s="616"/>
      <c r="J156" s="616"/>
      <c r="K156" s="616"/>
      <c r="N156" s="616"/>
      <c r="V156" s="616"/>
      <c r="AL156" s="616"/>
    </row>
    <row r="157">
      <c r="A157" s="615"/>
      <c r="E157" s="616"/>
      <c r="F157" s="616"/>
      <c r="J157" s="616"/>
      <c r="K157" s="616"/>
      <c r="N157" s="616"/>
      <c r="V157" s="616"/>
      <c r="AL157" s="616"/>
    </row>
    <row r="158">
      <c r="A158" s="615"/>
      <c r="E158" s="616"/>
      <c r="F158" s="616"/>
      <c r="J158" s="616"/>
      <c r="K158" s="616"/>
      <c r="N158" s="616"/>
      <c r="V158" s="616"/>
      <c r="AL158" s="616"/>
    </row>
    <row r="159">
      <c r="A159" s="615"/>
      <c r="E159" s="616"/>
      <c r="F159" s="616"/>
      <c r="J159" s="616"/>
      <c r="K159" s="616"/>
      <c r="N159" s="616"/>
      <c r="V159" s="616"/>
      <c r="AL159" s="616"/>
    </row>
    <row r="160">
      <c r="A160" s="615"/>
      <c r="E160" s="616"/>
      <c r="F160" s="616"/>
      <c r="J160" s="616"/>
      <c r="K160" s="616"/>
      <c r="N160" s="616"/>
      <c r="V160" s="616"/>
      <c r="AL160" s="616"/>
    </row>
    <row r="161">
      <c r="A161" s="615"/>
      <c r="E161" s="616"/>
      <c r="F161" s="616"/>
      <c r="J161" s="616"/>
      <c r="K161" s="616"/>
      <c r="N161" s="616"/>
      <c r="V161" s="616"/>
      <c r="AL161" s="616"/>
    </row>
    <row r="162">
      <c r="A162" s="615"/>
      <c r="E162" s="616"/>
      <c r="F162" s="616"/>
      <c r="J162" s="616"/>
      <c r="K162" s="616"/>
      <c r="N162" s="616"/>
      <c r="V162" s="616"/>
      <c r="AL162" s="616"/>
    </row>
    <row r="163">
      <c r="A163" s="615"/>
      <c r="E163" s="616"/>
      <c r="F163" s="616"/>
      <c r="J163" s="616"/>
      <c r="K163" s="616"/>
      <c r="N163" s="616"/>
      <c r="V163" s="616"/>
      <c r="AL163" s="616"/>
    </row>
    <row r="164">
      <c r="A164" s="615"/>
      <c r="E164" s="616"/>
      <c r="F164" s="616"/>
      <c r="J164" s="616"/>
      <c r="K164" s="616"/>
      <c r="N164" s="616"/>
      <c r="V164" s="616"/>
      <c r="AL164" s="616"/>
    </row>
    <row r="165">
      <c r="A165" s="615"/>
      <c r="E165" s="616"/>
      <c r="F165" s="616"/>
      <c r="J165" s="616"/>
      <c r="K165" s="616"/>
      <c r="N165" s="616"/>
      <c r="V165" s="616"/>
      <c r="AL165" s="616"/>
    </row>
    <row r="166">
      <c r="A166" s="615"/>
      <c r="E166" s="616"/>
      <c r="F166" s="616"/>
      <c r="J166" s="616"/>
      <c r="K166" s="616"/>
      <c r="N166" s="616"/>
      <c r="V166" s="616"/>
      <c r="AL166" s="616"/>
    </row>
    <row r="167">
      <c r="A167" s="615"/>
      <c r="E167" s="616"/>
      <c r="F167" s="616"/>
      <c r="J167" s="616"/>
      <c r="K167" s="616"/>
      <c r="N167" s="616"/>
      <c r="V167" s="616"/>
      <c r="AL167" s="616"/>
    </row>
    <row r="168">
      <c r="A168" s="615"/>
      <c r="E168" s="616"/>
      <c r="F168" s="616"/>
      <c r="J168" s="616"/>
      <c r="K168" s="616"/>
      <c r="N168" s="616"/>
      <c r="V168" s="616"/>
      <c r="AL168" s="616"/>
    </row>
    <row r="169">
      <c r="A169" s="615"/>
      <c r="E169" s="616"/>
      <c r="F169" s="616"/>
      <c r="J169" s="616"/>
      <c r="K169" s="616"/>
      <c r="N169" s="616"/>
      <c r="V169" s="616"/>
      <c r="AL169" s="616"/>
    </row>
    <row r="170">
      <c r="A170" s="615"/>
      <c r="E170" s="616"/>
      <c r="F170" s="616"/>
      <c r="J170" s="616"/>
      <c r="K170" s="616"/>
      <c r="N170" s="616"/>
      <c r="V170" s="616"/>
      <c r="AL170" s="616"/>
    </row>
    <row r="171">
      <c r="A171" s="615"/>
      <c r="E171" s="616"/>
      <c r="F171" s="616"/>
      <c r="J171" s="616"/>
      <c r="K171" s="616"/>
      <c r="N171" s="616"/>
      <c r="V171" s="616"/>
      <c r="AL171" s="616"/>
    </row>
    <row r="172">
      <c r="A172" s="615"/>
      <c r="E172" s="616"/>
      <c r="F172" s="616"/>
      <c r="J172" s="616"/>
      <c r="K172" s="616"/>
      <c r="N172" s="616"/>
      <c r="V172" s="616"/>
      <c r="AL172" s="616"/>
    </row>
    <row r="173">
      <c r="A173" s="615"/>
      <c r="E173" s="616"/>
      <c r="F173" s="616"/>
      <c r="J173" s="616"/>
      <c r="K173" s="616"/>
      <c r="N173" s="616"/>
      <c r="V173" s="616"/>
      <c r="AL173" s="616"/>
    </row>
    <row r="174">
      <c r="A174" s="615"/>
      <c r="E174" s="616"/>
      <c r="F174" s="616"/>
      <c r="J174" s="616"/>
      <c r="K174" s="616"/>
      <c r="N174" s="616"/>
      <c r="V174" s="616"/>
      <c r="AL174" s="616"/>
    </row>
    <row r="175">
      <c r="A175" s="615"/>
      <c r="E175" s="616"/>
      <c r="F175" s="616"/>
      <c r="J175" s="616"/>
      <c r="K175" s="616"/>
      <c r="N175" s="616"/>
      <c r="V175" s="616"/>
      <c r="AL175" s="616"/>
    </row>
    <row r="176">
      <c r="A176" s="615"/>
      <c r="E176" s="616"/>
      <c r="F176" s="616"/>
      <c r="J176" s="616"/>
      <c r="K176" s="616"/>
      <c r="N176" s="616"/>
      <c r="V176" s="616"/>
      <c r="AL176" s="616"/>
    </row>
    <row r="177">
      <c r="A177" s="615"/>
      <c r="E177" s="616"/>
      <c r="F177" s="616"/>
      <c r="J177" s="616"/>
      <c r="K177" s="616"/>
      <c r="N177" s="616"/>
      <c r="V177" s="616"/>
      <c r="AL177" s="616"/>
    </row>
    <row r="178">
      <c r="A178" s="615"/>
      <c r="E178" s="616"/>
      <c r="F178" s="616"/>
      <c r="J178" s="616"/>
      <c r="K178" s="616"/>
      <c r="N178" s="616"/>
      <c r="V178" s="616"/>
      <c r="AL178" s="616"/>
    </row>
    <row r="179">
      <c r="A179" s="615"/>
      <c r="E179" s="616"/>
      <c r="F179" s="616"/>
      <c r="J179" s="616"/>
      <c r="K179" s="616"/>
      <c r="N179" s="616"/>
      <c r="V179" s="616"/>
      <c r="AL179" s="616"/>
    </row>
    <row r="180">
      <c r="A180" s="615"/>
      <c r="E180" s="616"/>
      <c r="F180" s="616"/>
      <c r="J180" s="616"/>
      <c r="K180" s="616"/>
      <c r="N180" s="616"/>
      <c r="V180" s="616"/>
      <c r="AL180" s="616"/>
    </row>
    <row r="181">
      <c r="A181" s="615"/>
      <c r="E181" s="616"/>
      <c r="F181" s="616"/>
      <c r="J181" s="616"/>
      <c r="K181" s="616"/>
      <c r="N181" s="616"/>
      <c r="V181" s="616"/>
      <c r="AL181" s="616"/>
    </row>
    <row r="182">
      <c r="A182" s="615"/>
      <c r="E182" s="616"/>
      <c r="F182" s="616"/>
      <c r="J182" s="616"/>
      <c r="K182" s="616"/>
      <c r="N182" s="616"/>
      <c r="V182" s="616"/>
      <c r="AL182" s="616"/>
    </row>
    <row r="183">
      <c r="A183" s="615"/>
      <c r="E183" s="616"/>
      <c r="F183" s="616"/>
      <c r="J183" s="616"/>
      <c r="K183" s="616"/>
      <c r="N183" s="616"/>
      <c r="V183" s="616"/>
      <c r="AL183" s="616"/>
    </row>
    <row r="184">
      <c r="A184" s="615"/>
      <c r="E184" s="616"/>
      <c r="F184" s="616"/>
      <c r="J184" s="616"/>
      <c r="K184" s="616"/>
      <c r="N184" s="616"/>
      <c r="V184" s="616"/>
      <c r="AL184" s="616"/>
    </row>
    <row r="185">
      <c r="A185" s="615"/>
      <c r="E185" s="616"/>
      <c r="F185" s="616"/>
      <c r="J185" s="616"/>
      <c r="K185" s="616"/>
      <c r="N185" s="616"/>
      <c r="V185" s="616"/>
      <c r="AL185" s="616"/>
    </row>
    <row r="186">
      <c r="A186" s="615"/>
      <c r="E186" s="616"/>
      <c r="F186" s="616"/>
      <c r="J186" s="616"/>
      <c r="K186" s="616"/>
      <c r="N186" s="616"/>
      <c r="V186" s="616"/>
      <c r="AL186" s="616"/>
    </row>
    <row r="187">
      <c r="A187" s="615"/>
      <c r="E187" s="616"/>
      <c r="F187" s="616"/>
      <c r="J187" s="616"/>
      <c r="K187" s="616"/>
      <c r="N187" s="616"/>
      <c r="V187" s="616"/>
      <c r="AL187" s="616"/>
    </row>
    <row r="188">
      <c r="A188" s="615"/>
      <c r="E188" s="616"/>
      <c r="F188" s="616"/>
      <c r="J188" s="616"/>
      <c r="K188" s="616"/>
      <c r="N188" s="616"/>
      <c r="V188" s="616"/>
      <c r="AL188" s="616"/>
    </row>
    <row r="189">
      <c r="A189" s="615"/>
      <c r="E189" s="616"/>
      <c r="F189" s="616"/>
      <c r="J189" s="616"/>
      <c r="K189" s="616"/>
      <c r="N189" s="616"/>
      <c r="V189" s="616"/>
      <c r="AL189" s="616"/>
    </row>
    <row r="190">
      <c r="A190" s="615"/>
      <c r="E190" s="616"/>
      <c r="F190" s="616"/>
      <c r="J190" s="616"/>
      <c r="K190" s="616"/>
      <c r="N190" s="616"/>
      <c r="V190" s="616"/>
      <c r="AL190" s="616"/>
    </row>
    <row r="191">
      <c r="A191" s="615"/>
      <c r="E191" s="616"/>
      <c r="F191" s="616"/>
      <c r="J191" s="616"/>
      <c r="K191" s="616"/>
      <c r="N191" s="616"/>
      <c r="V191" s="616"/>
      <c r="AL191" s="616"/>
    </row>
    <row r="192">
      <c r="A192" s="615"/>
      <c r="E192" s="616"/>
      <c r="F192" s="616"/>
      <c r="J192" s="616"/>
      <c r="K192" s="616"/>
      <c r="N192" s="616"/>
      <c r="V192" s="616"/>
      <c r="AL192" s="616"/>
    </row>
    <row r="193">
      <c r="A193" s="615"/>
      <c r="E193" s="616"/>
      <c r="F193" s="616"/>
      <c r="J193" s="616"/>
      <c r="K193" s="616"/>
      <c r="N193" s="616"/>
      <c r="V193" s="616"/>
      <c r="AL193" s="616"/>
    </row>
    <row r="194">
      <c r="A194" s="615"/>
      <c r="E194" s="616"/>
      <c r="F194" s="616"/>
      <c r="J194" s="616"/>
      <c r="K194" s="616"/>
      <c r="N194" s="616"/>
      <c r="V194" s="616"/>
      <c r="AL194" s="616"/>
    </row>
    <row r="195">
      <c r="A195" s="615"/>
      <c r="E195" s="616"/>
      <c r="F195" s="616"/>
      <c r="J195" s="616"/>
      <c r="K195" s="616"/>
      <c r="N195" s="616"/>
      <c r="V195" s="616"/>
      <c r="AL195" s="616"/>
    </row>
    <row r="196">
      <c r="A196" s="615"/>
      <c r="E196" s="616"/>
      <c r="F196" s="616"/>
      <c r="J196" s="616"/>
      <c r="K196" s="616"/>
      <c r="N196" s="616"/>
      <c r="V196" s="616"/>
      <c r="AL196" s="616"/>
    </row>
    <row r="197">
      <c r="A197" s="615"/>
      <c r="E197" s="616"/>
      <c r="F197" s="616"/>
      <c r="J197" s="616"/>
      <c r="K197" s="616"/>
      <c r="N197" s="616"/>
      <c r="V197" s="616"/>
      <c r="AL197" s="616"/>
    </row>
    <row r="198">
      <c r="A198" s="615"/>
      <c r="E198" s="616"/>
      <c r="F198" s="616"/>
      <c r="J198" s="616"/>
      <c r="K198" s="616"/>
      <c r="N198" s="616"/>
      <c r="V198" s="616"/>
      <c r="AL198" s="616"/>
    </row>
    <row r="199">
      <c r="A199" s="615"/>
      <c r="E199" s="616"/>
      <c r="F199" s="616"/>
      <c r="J199" s="616"/>
      <c r="K199" s="616"/>
      <c r="N199" s="616"/>
      <c r="V199" s="616"/>
      <c r="AL199" s="616"/>
    </row>
    <row r="200">
      <c r="A200" s="615"/>
      <c r="E200" s="616"/>
      <c r="F200" s="616"/>
      <c r="J200" s="616"/>
      <c r="K200" s="616"/>
      <c r="N200" s="616"/>
      <c r="V200" s="616"/>
      <c r="AL200" s="616"/>
    </row>
    <row r="201">
      <c r="A201" s="615"/>
      <c r="E201" s="616"/>
      <c r="F201" s="616"/>
      <c r="J201" s="616"/>
      <c r="K201" s="616"/>
      <c r="N201" s="616"/>
      <c r="V201" s="616"/>
      <c r="AL201" s="616"/>
    </row>
    <row r="202">
      <c r="A202" s="615"/>
      <c r="E202" s="616"/>
      <c r="F202" s="616"/>
      <c r="J202" s="616"/>
      <c r="K202" s="616"/>
      <c r="N202" s="616"/>
      <c r="V202" s="616"/>
      <c r="AL202" s="616"/>
    </row>
    <row r="203">
      <c r="A203" s="615"/>
      <c r="E203" s="616"/>
      <c r="F203" s="616"/>
      <c r="J203" s="616"/>
      <c r="K203" s="616"/>
      <c r="N203" s="616"/>
      <c r="V203" s="616"/>
      <c r="AL203" s="616"/>
    </row>
    <row r="204">
      <c r="A204" s="615"/>
      <c r="E204" s="616"/>
      <c r="F204" s="616"/>
      <c r="J204" s="616"/>
      <c r="K204" s="616"/>
      <c r="N204" s="616"/>
      <c r="V204" s="616"/>
      <c r="AL204" s="616"/>
    </row>
    <row r="205">
      <c r="A205" s="615"/>
      <c r="E205" s="616"/>
      <c r="F205" s="616"/>
      <c r="J205" s="616"/>
      <c r="K205" s="616"/>
      <c r="N205" s="616"/>
      <c r="V205" s="616"/>
      <c r="AL205" s="616"/>
    </row>
    <row r="206">
      <c r="A206" s="615"/>
      <c r="E206" s="616"/>
      <c r="F206" s="616"/>
      <c r="J206" s="616"/>
      <c r="K206" s="616"/>
      <c r="N206" s="616"/>
      <c r="V206" s="616"/>
      <c r="AL206" s="616"/>
    </row>
    <row r="207">
      <c r="A207" s="615"/>
      <c r="E207" s="616"/>
      <c r="F207" s="616"/>
      <c r="J207" s="616"/>
      <c r="K207" s="616"/>
      <c r="N207" s="616"/>
      <c r="V207" s="616"/>
      <c r="AL207" s="616"/>
    </row>
    <row r="208">
      <c r="A208" s="615"/>
      <c r="E208" s="616"/>
      <c r="F208" s="616"/>
      <c r="J208" s="616"/>
      <c r="K208" s="616"/>
      <c r="N208" s="616"/>
      <c r="V208" s="616"/>
      <c r="AL208" s="616"/>
    </row>
    <row r="209">
      <c r="A209" s="615"/>
      <c r="E209" s="616"/>
      <c r="F209" s="616"/>
      <c r="J209" s="616"/>
      <c r="K209" s="616"/>
      <c r="N209" s="616"/>
      <c r="V209" s="616"/>
      <c r="AL209" s="616"/>
    </row>
    <row r="210">
      <c r="A210" s="615"/>
      <c r="E210" s="616"/>
      <c r="F210" s="616"/>
      <c r="J210" s="616"/>
      <c r="K210" s="616"/>
      <c r="N210" s="616"/>
      <c r="V210" s="616"/>
      <c r="AL210" s="616"/>
    </row>
    <row r="211">
      <c r="A211" s="615"/>
      <c r="E211" s="616"/>
      <c r="F211" s="616"/>
      <c r="J211" s="616"/>
      <c r="K211" s="616"/>
      <c r="N211" s="616"/>
      <c r="V211" s="616"/>
      <c r="AL211" s="616"/>
    </row>
    <row r="212">
      <c r="A212" s="615"/>
      <c r="E212" s="616"/>
      <c r="F212" s="616"/>
      <c r="J212" s="616"/>
      <c r="K212" s="616"/>
      <c r="N212" s="616"/>
      <c r="V212" s="616"/>
      <c r="AL212" s="616"/>
    </row>
    <row r="213">
      <c r="A213" s="615"/>
      <c r="E213" s="616"/>
      <c r="F213" s="616"/>
      <c r="J213" s="616"/>
      <c r="K213" s="616"/>
      <c r="N213" s="616"/>
      <c r="V213" s="616"/>
      <c r="AL213" s="616"/>
    </row>
    <row r="214">
      <c r="A214" s="615"/>
      <c r="E214" s="616"/>
      <c r="F214" s="616"/>
      <c r="J214" s="616"/>
      <c r="K214" s="616"/>
      <c r="N214" s="616"/>
      <c r="V214" s="616"/>
      <c r="AL214" s="616"/>
    </row>
    <row r="215">
      <c r="A215" s="615"/>
      <c r="E215" s="616"/>
      <c r="F215" s="616"/>
      <c r="J215" s="616"/>
      <c r="K215" s="616"/>
      <c r="N215" s="616"/>
      <c r="V215" s="616"/>
      <c r="AL215" s="616"/>
    </row>
    <row r="216">
      <c r="A216" s="615"/>
      <c r="E216" s="616"/>
      <c r="F216" s="616"/>
      <c r="J216" s="616"/>
      <c r="K216" s="616"/>
      <c r="N216" s="616"/>
      <c r="V216" s="616"/>
      <c r="AL216" s="616"/>
    </row>
    <row r="217">
      <c r="A217" s="615"/>
      <c r="E217" s="616"/>
      <c r="F217" s="616"/>
      <c r="J217" s="616"/>
      <c r="K217" s="616"/>
      <c r="N217" s="616"/>
      <c r="V217" s="616"/>
      <c r="AL217" s="616"/>
    </row>
    <row r="218">
      <c r="A218" s="615"/>
      <c r="E218" s="616"/>
      <c r="F218" s="616"/>
      <c r="J218" s="616"/>
      <c r="K218" s="616"/>
      <c r="N218" s="616"/>
      <c r="V218" s="616"/>
      <c r="AL218" s="616"/>
    </row>
    <row r="219">
      <c r="A219" s="615"/>
      <c r="E219" s="616"/>
      <c r="F219" s="616"/>
      <c r="J219" s="616"/>
      <c r="K219" s="616"/>
      <c r="N219" s="616"/>
      <c r="V219" s="616"/>
      <c r="AL219" s="616"/>
    </row>
    <row r="220">
      <c r="A220" s="615"/>
      <c r="E220" s="616"/>
      <c r="F220" s="616"/>
      <c r="J220" s="616"/>
      <c r="K220" s="616"/>
      <c r="N220" s="616"/>
      <c r="V220" s="616"/>
      <c r="AL220" s="616"/>
    </row>
    <row r="221">
      <c r="A221" s="615"/>
      <c r="E221" s="616"/>
      <c r="F221" s="616"/>
      <c r="J221" s="616"/>
      <c r="K221" s="616"/>
      <c r="N221" s="616"/>
      <c r="V221" s="616"/>
      <c r="AL221" s="616"/>
    </row>
    <row r="222">
      <c r="A222" s="615"/>
      <c r="E222" s="616"/>
      <c r="F222" s="616"/>
      <c r="J222" s="616"/>
      <c r="K222" s="616"/>
      <c r="N222" s="616"/>
      <c r="V222" s="616"/>
      <c r="AL222" s="616"/>
    </row>
    <row r="223">
      <c r="A223" s="615"/>
      <c r="E223" s="616"/>
      <c r="F223" s="616"/>
      <c r="J223" s="616"/>
      <c r="K223" s="616"/>
      <c r="N223" s="616"/>
      <c r="V223" s="616"/>
      <c r="AL223" s="616"/>
    </row>
    <row r="224">
      <c r="A224" s="615"/>
      <c r="E224" s="616"/>
      <c r="F224" s="616"/>
      <c r="J224" s="616"/>
      <c r="K224" s="616"/>
      <c r="N224" s="616"/>
      <c r="V224" s="616"/>
      <c r="AL224" s="616"/>
    </row>
    <row r="225">
      <c r="A225" s="615"/>
      <c r="E225" s="616"/>
      <c r="F225" s="616"/>
      <c r="J225" s="616"/>
      <c r="K225" s="616"/>
      <c r="N225" s="616"/>
      <c r="V225" s="616"/>
      <c r="AL225" s="616"/>
    </row>
    <row r="226">
      <c r="A226" s="615"/>
      <c r="E226" s="616"/>
      <c r="F226" s="616"/>
      <c r="J226" s="616"/>
      <c r="K226" s="616"/>
      <c r="N226" s="616"/>
      <c r="V226" s="616"/>
      <c r="AL226" s="616"/>
    </row>
    <row r="227">
      <c r="A227" s="615"/>
      <c r="E227" s="616"/>
      <c r="F227" s="616"/>
      <c r="J227" s="616"/>
      <c r="K227" s="616"/>
      <c r="N227" s="616"/>
      <c r="V227" s="616"/>
      <c r="AL227" s="616"/>
    </row>
    <row r="228">
      <c r="A228" s="615"/>
      <c r="E228" s="616"/>
      <c r="F228" s="616"/>
      <c r="J228" s="616"/>
      <c r="K228" s="616"/>
      <c r="N228" s="616"/>
      <c r="V228" s="616"/>
      <c r="AL228" s="616"/>
    </row>
    <row r="229">
      <c r="A229" s="615"/>
      <c r="E229" s="616"/>
      <c r="F229" s="616"/>
      <c r="J229" s="616"/>
      <c r="K229" s="616"/>
      <c r="N229" s="616"/>
      <c r="V229" s="616"/>
      <c r="AL229" s="616"/>
    </row>
    <row r="230">
      <c r="A230" s="615"/>
      <c r="E230" s="616"/>
      <c r="F230" s="616"/>
      <c r="J230" s="616"/>
      <c r="K230" s="616"/>
      <c r="N230" s="616"/>
      <c r="V230" s="616"/>
      <c r="AL230" s="616"/>
    </row>
    <row r="231">
      <c r="A231" s="615"/>
      <c r="E231" s="616"/>
      <c r="F231" s="616"/>
      <c r="J231" s="616"/>
      <c r="K231" s="616"/>
      <c r="N231" s="616"/>
      <c r="V231" s="616"/>
      <c r="AL231" s="616"/>
    </row>
    <row r="232">
      <c r="A232" s="615"/>
      <c r="E232" s="616"/>
      <c r="F232" s="616"/>
      <c r="J232" s="616"/>
      <c r="K232" s="616"/>
      <c r="N232" s="616"/>
      <c r="V232" s="616"/>
      <c r="AL232" s="616"/>
    </row>
    <row r="233">
      <c r="A233" s="615"/>
      <c r="E233" s="616"/>
      <c r="F233" s="616"/>
      <c r="J233" s="616"/>
      <c r="K233" s="616"/>
      <c r="N233" s="616"/>
      <c r="V233" s="616"/>
      <c r="AL233" s="616"/>
    </row>
    <row r="234">
      <c r="A234" s="615"/>
      <c r="E234" s="616"/>
      <c r="F234" s="616"/>
      <c r="J234" s="616"/>
      <c r="K234" s="616"/>
      <c r="N234" s="616"/>
      <c r="V234" s="616"/>
      <c r="AL234" s="616"/>
    </row>
    <row r="235">
      <c r="A235" s="615"/>
      <c r="E235" s="616"/>
      <c r="F235" s="616"/>
      <c r="J235" s="616"/>
      <c r="K235" s="616"/>
      <c r="N235" s="616"/>
      <c r="V235" s="616"/>
      <c r="AL235" s="616"/>
    </row>
    <row r="236">
      <c r="A236" s="615"/>
      <c r="E236" s="616"/>
      <c r="F236" s="616"/>
      <c r="J236" s="616"/>
      <c r="K236" s="616"/>
      <c r="N236" s="616"/>
      <c r="V236" s="616"/>
      <c r="AL236" s="616"/>
    </row>
    <row r="237">
      <c r="A237" s="615"/>
      <c r="E237" s="616"/>
      <c r="F237" s="616"/>
      <c r="J237" s="616"/>
      <c r="K237" s="616"/>
      <c r="N237" s="616"/>
      <c r="V237" s="616"/>
      <c r="AL237" s="616"/>
    </row>
    <row r="238">
      <c r="A238" s="615"/>
      <c r="E238" s="616"/>
      <c r="F238" s="616"/>
      <c r="J238" s="616"/>
      <c r="K238" s="616"/>
      <c r="N238" s="616"/>
      <c r="V238" s="616"/>
      <c r="AL238" s="616"/>
    </row>
    <row r="239">
      <c r="A239" s="615"/>
      <c r="E239" s="616"/>
      <c r="F239" s="616"/>
      <c r="J239" s="616"/>
      <c r="K239" s="616"/>
      <c r="N239" s="616"/>
      <c r="V239" s="616"/>
      <c r="AL239" s="616"/>
    </row>
    <row r="240">
      <c r="A240" s="615"/>
      <c r="E240" s="616"/>
      <c r="F240" s="616"/>
      <c r="J240" s="616"/>
      <c r="K240" s="616"/>
      <c r="N240" s="616"/>
      <c r="V240" s="616"/>
      <c r="AL240" s="616"/>
    </row>
    <row r="241">
      <c r="A241" s="615"/>
      <c r="E241" s="616"/>
      <c r="F241" s="616"/>
      <c r="J241" s="616"/>
      <c r="K241" s="616"/>
      <c r="N241" s="616"/>
      <c r="V241" s="616"/>
      <c r="AL241" s="616"/>
    </row>
    <row r="242">
      <c r="A242" s="615"/>
      <c r="E242" s="616"/>
      <c r="F242" s="616"/>
      <c r="J242" s="616"/>
      <c r="K242" s="616"/>
      <c r="N242" s="616"/>
      <c r="V242" s="616"/>
      <c r="AL242" s="616"/>
    </row>
    <row r="243">
      <c r="A243" s="615"/>
      <c r="E243" s="616"/>
      <c r="F243" s="616"/>
      <c r="J243" s="616"/>
      <c r="K243" s="616"/>
      <c r="N243" s="616"/>
      <c r="V243" s="616"/>
      <c r="AL243" s="616"/>
    </row>
    <row r="244">
      <c r="A244" s="615"/>
      <c r="E244" s="616"/>
      <c r="F244" s="616"/>
      <c r="J244" s="616"/>
      <c r="K244" s="616"/>
      <c r="N244" s="616"/>
      <c r="V244" s="616"/>
      <c r="AL244" s="616"/>
    </row>
    <row r="245">
      <c r="A245" s="615"/>
      <c r="E245" s="616"/>
      <c r="F245" s="616"/>
      <c r="J245" s="616"/>
      <c r="K245" s="616"/>
      <c r="N245" s="616"/>
      <c r="V245" s="616"/>
      <c r="AL245" s="616"/>
    </row>
    <row r="246">
      <c r="A246" s="615"/>
      <c r="E246" s="616"/>
      <c r="F246" s="616"/>
      <c r="J246" s="616"/>
      <c r="K246" s="616"/>
      <c r="N246" s="616"/>
      <c r="V246" s="616"/>
      <c r="AL246" s="616"/>
    </row>
    <row r="247">
      <c r="A247" s="615"/>
      <c r="E247" s="616"/>
      <c r="F247" s="616"/>
      <c r="J247" s="616"/>
      <c r="K247" s="616"/>
      <c r="N247" s="616"/>
      <c r="V247" s="616"/>
      <c r="AL247" s="616"/>
    </row>
    <row r="248">
      <c r="A248" s="615"/>
      <c r="E248" s="616"/>
      <c r="F248" s="616"/>
      <c r="J248" s="616"/>
      <c r="K248" s="616"/>
      <c r="N248" s="616"/>
      <c r="V248" s="616"/>
      <c r="AL248" s="616"/>
    </row>
    <row r="249">
      <c r="A249" s="615"/>
      <c r="E249" s="616"/>
      <c r="F249" s="616"/>
      <c r="J249" s="616"/>
      <c r="K249" s="616"/>
      <c r="N249" s="616"/>
      <c r="V249" s="616"/>
      <c r="AL249" s="616"/>
    </row>
    <row r="250">
      <c r="A250" s="615"/>
      <c r="E250" s="616"/>
      <c r="F250" s="616"/>
      <c r="J250" s="616"/>
      <c r="K250" s="616"/>
      <c r="N250" s="616"/>
      <c r="V250" s="616"/>
      <c r="AL250" s="616"/>
    </row>
    <row r="251">
      <c r="A251" s="615"/>
      <c r="E251" s="616"/>
      <c r="F251" s="616"/>
      <c r="J251" s="616"/>
      <c r="K251" s="616"/>
      <c r="N251" s="616"/>
      <c r="V251" s="616"/>
      <c r="AL251" s="616"/>
    </row>
    <row r="252">
      <c r="A252" s="615"/>
      <c r="E252" s="616"/>
      <c r="F252" s="616"/>
      <c r="J252" s="616"/>
      <c r="K252" s="616"/>
      <c r="N252" s="616"/>
      <c r="V252" s="616"/>
      <c r="AL252" s="616"/>
    </row>
    <row r="253">
      <c r="A253" s="615"/>
      <c r="E253" s="616"/>
      <c r="F253" s="616"/>
      <c r="J253" s="616"/>
      <c r="K253" s="616"/>
      <c r="N253" s="616"/>
      <c r="V253" s="616"/>
      <c r="AL253" s="616"/>
    </row>
    <row r="254">
      <c r="A254" s="615"/>
      <c r="E254" s="616"/>
      <c r="F254" s="616"/>
      <c r="J254" s="616"/>
      <c r="K254" s="616"/>
      <c r="N254" s="616"/>
      <c r="V254" s="616"/>
      <c r="AL254" s="616"/>
    </row>
    <row r="255">
      <c r="A255" s="615"/>
      <c r="E255" s="616"/>
      <c r="F255" s="616"/>
      <c r="J255" s="616"/>
      <c r="K255" s="616"/>
      <c r="N255" s="616"/>
      <c r="V255" s="616"/>
      <c r="AL255" s="616"/>
    </row>
    <row r="256">
      <c r="A256" s="615"/>
      <c r="E256" s="616"/>
      <c r="F256" s="616"/>
      <c r="J256" s="616"/>
      <c r="K256" s="616"/>
      <c r="N256" s="616"/>
      <c r="V256" s="616"/>
      <c r="AL256" s="616"/>
    </row>
    <row r="257">
      <c r="A257" s="615"/>
      <c r="E257" s="616"/>
      <c r="F257" s="616"/>
      <c r="J257" s="616"/>
      <c r="K257" s="616"/>
      <c r="N257" s="616"/>
      <c r="V257" s="616"/>
      <c r="AL257" s="616"/>
    </row>
    <row r="258">
      <c r="A258" s="615"/>
      <c r="E258" s="616"/>
      <c r="F258" s="616"/>
      <c r="J258" s="616"/>
      <c r="K258" s="616"/>
      <c r="N258" s="616"/>
      <c r="V258" s="616"/>
      <c r="AL258" s="616"/>
    </row>
    <row r="259">
      <c r="A259" s="615"/>
      <c r="E259" s="616"/>
      <c r="F259" s="616"/>
      <c r="J259" s="616"/>
      <c r="K259" s="616"/>
      <c r="N259" s="616"/>
      <c r="V259" s="616"/>
      <c r="AL259" s="616"/>
    </row>
    <row r="260">
      <c r="A260" s="615"/>
      <c r="E260" s="616"/>
      <c r="F260" s="616"/>
      <c r="J260" s="616"/>
      <c r="K260" s="616"/>
      <c r="N260" s="616"/>
      <c r="V260" s="616"/>
      <c r="AL260" s="616"/>
    </row>
    <row r="261">
      <c r="A261" s="615"/>
      <c r="E261" s="616"/>
      <c r="F261" s="616"/>
      <c r="J261" s="616"/>
      <c r="K261" s="616"/>
      <c r="N261" s="616"/>
      <c r="V261" s="616"/>
      <c r="AL261" s="616"/>
    </row>
    <row r="262">
      <c r="A262" s="615"/>
      <c r="E262" s="616"/>
      <c r="F262" s="616"/>
      <c r="J262" s="616"/>
      <c r="K262" s="616"/>
      <c r="N262" s="616"/>
      <c r="V262" s="616"/>
      <c r="AL262" s="616"/>
    </row>
    <row r="263">
      <c r="A263" s="615"/>
      <c r="E263" s="616"/>
      <c r="F263" s="616"/>
      <c r="J263" s="616"/>
      <c r="K263" s="616"/>
      <c r="N263" s="616"/>
      <c r="V263" s="616"/>
      <c r="AL263" s="616"/>
    </row>
    <row r="264">
      <c r="A264" s="615"/>
      <c r="E264" s="616"/>
      <c r="F264" s="616"/>
      <c r="J264" s="616"/>
      <c r="K264" s="616"/>
      <c r="N264" s="616"/>
      <c r="V264" s="616"/>
      <c r="AL264" s="616"/>
    </row>
    <row r="265">
      <c r="A265" s="615"/>
      <c r="E265" s="616"/>
      <c r="F265" s="616"/>
      <c r="J265" s="616"/>
      <c r="K265" s="616"/>
      <c r="N265" s="616"/>
      <c r="V265" s="616"/>
      <c r="AL265" s="616"/>
    </row>
    <row r="266">
      <c r="A266" s="615"/>
      <c r="E266" s="616"/>
      <c r="F266" s="616"/>
      <c r="J266" s="616"/>
      <c r="K266" s="616"/>
      <c r="N266" s="616"/>
      <c r="V266" s="616"/>
      <c r="AL266" s="616"/>
    </row>
    <row r="267">
      <c r="A267" s="615"/>
      <c r="E267" s="616"/>
      <c r="F267" s="616"/>
      <c r="J267" s="616"/>
      <c r="K267" s="616"/>
      <c r="N267" s="616"/>
      <c r="V267" s="616"/>
      <c r="AL267" s="616"/>
    </row>
    <row r="268">
      <c r="A268" s="615"/>
      <c r="E268" s="616"/>
      <c r="F268" s="616"/>
      <c r="J268" s="616"/>
      <c r="K268" s="616"/>
      <c r="N268" s="616"/>
      <c r="V268" s="616"/>
      <c r="AL268" s="616"/>
    </row>
    <row r="269">
      <c r="A269" s="615"/>
      <c r="E269" s="616"/>
      <c r="F269" s="616"/>
      <c r="J269" s="616"/>
      <c r="K269" s="616"/>
      <c r="N269" s="616"/>
      <c r="V269" s="616"/>
      <c r="AL269" s="616"/>
    </row>
    <row r="270">
      <c r="A270" s="615"/>
      <c r="E270" s="616"/>
      <c r="F270" s="616"/>
      <c r="J270" s="616"/>
      <c r="K270" s="616"/>
      <c r="N270" s="616"/>
      <c r="V270" s="616"/>
      <c r="AL270" s="616"/>
    </row>
    <row r="271">
      <c r="A271" s="615"/>
      <c r="E271" s="616"/>
      <c r="F271" s="616"/>
      <c r="J271" s="616"/>
      <c r="K271" s="616"/>
      <c r="N271" s="616"/>
      <c r="V271" s="616"/>
      <c r="AL271" s="616"/>
    </row>
    <row r="272">
      <c r="A272" s="615"/>
      <c r="E272" s="616"/>
      <c r="F272" s="616"/>
      <c r="J272" s="616"/>
      <c r="K272" s="616"/>
      <c r="N272" s="616"/>
      <c r="V272" s="616"/>
      <c r="AL272" s="616"/>
    </row>
    <row r="273">
      <c r="A273" s="615"/>
      <c r="E273" s="616"/>
      <c r="F273" s="616"/>
      <c r="J273" s="616"/>
      <c r="K273" s="616"/>
      <c r="N273" s="616"/>
      <c r="V273" s="616"/>
      <c r="AL273" s="616"/>
    </row>
    <row r="274">
      <c r="A274" s="615"/>
      <c r="E274" s="616"/>
      <c r="F274" s="616"/>
      <c r="J274" s="616"/>
      <c r="K274" s="616"/>
      <c r="N274" s="616"/>
      <c r="V274" s="616"/>
      <c r="AL274" s="616"/>
    </row>
    <row r="275">
      <c r="A275" s="615"/>
      <c r="E275" s="616"/>
      <c r="F275" s="616"/>
      <c r="J275" s="616"/>
      <c r="K275" s="616"/>
      <c r="N275" s="616"/>
      <c r="V275" s="616"/>
      <c r="AL275" s="616"/>
    </row>
    <row r="276">
      <c r="A276" s="615"/>
      <c r="E276" s="616"/>
      <c r="F276" s="616"/>
      <c r="J276" s="616"/>
      <c r="K276" s="616"/>
      <c r="N276" s="616"/>
      <c r="V276" s="616"/>
      <c r="AL276" s="616"/>
    </row>
    <row r="277">
      <c r="A277" s="615"/>
      <c r="E277" s="616"/>
      <c r="F277" s="616"/>
      <c r="J277" s="616"/>
      <c r="K277" s="616"/>
      <c r="N277" s="616"/>
      <c r="V277" s="616"/>
      <c r="AL277" s="616"/>
    </row>
    <row r="278">
      <c r="A278" s="615"/>
      <c r="E278" s="616"/>
      <c r="F278" s="616"/>
      <c r="J278" s="616"/>
      <c r="K278" s="616"/>
      <c r="N278" s="616"/>
      <c r="V278" s="616"/>
      <c r="AL278" s="616"/>
    </row>
    <row r="279">
      <c r="A279" s="615"/>
      <c r="E279" s="616"/>
      <c r="F279" s="616"/>
      <c r="J279" s="616"/>
      <c r="K279" s="616"/>
      <c r="N279" s="616"/>
      <c r="V279" s="616"/>
      <c r="AL279" s="616"/>
    </row>
    <row r="280">
      <c r="A280" s="615"/>
      <c r="E280" s="616"/>
      <c r="F280" s="616"/>
      <c r="J280" s="616"/>
      <c r="K280" s="616"/>
      <c r="N280" s="616"/>
      <c r="V280" s="616"/>
      <c r="AL280" s="616"/>
    </row>
    <row r="281">
      <c r="A281" s="615"/>
      <c r="E281" s="616"/>
      <c r="F281" s="616"/>
      <c r="J281" s="616"/>
      <c r="K281" s="616"/>
      <c r="N281" s="616"/>
      <c r="V281" s="616"/>
      <c r="AL281" s="616"/>
    </row>
    <row r="282">
      <c r="A282" s="615"/>
      <c r="E282" s="616"/>
      <c r="F282" s="616"/>
      <c r="J282" s="616"/>
      <c r="K282" s="616"/>
      <c r="N282" s="616"/>
      <c r="V282" s="616"/>
      <c r="AL282" s="616"/>
    </row>
    <row r="283">
      <c r="A283" s="615"/>
      <c r="E283" s="616"/>
      <c r="F283" s="616"/>
      <c r="J283" s="616"/>
      <c r="K283" s="616"/>
      <c r="N283" s="616"/>
      <c r="V283" s="616"/>
      <c r="AL283" s="616"/>
    </row>
    <row r="284">
      <c r="A284" s="615"/>
      <c r="E284" s="616"/>
      <c r="F284" s="616"/>
      <c r="J284" s="616"/>
      <c r="K284" s="616"/>
      <c r="N284" s="616"/>
      <c r="V284" s="616"/>
      <c r="AL284" s="616"/>
    </row>
    <row r="285">
      <c r="A285" s="615"/>
      <c r="E285" s="616"/>
      <c r="F285" s="616"/>
      <c r="J285" s="616"/>
      <c r="K285" s="616"/>
      <c r="N285" s="616"/>
      <c r="V285" s="616"/>
      <c r="AL285" s="616"/>
    </row>
    <row r="286">
      <c r="A286" s="615"/>
      <c r="E286" s="616"/>
      <c r="F286" s="616"/>
      <c r="J286" s="616"/>
      <c r="K286" s="616"/>
      <c r="N286" s="616"/>
      <c r="V286" s="616"/>
      <c r="AL286" s="616"/>
    </row>
    <row r="287">
      <c r="A287" s="615"/>
      <c r="E287" s="616"/>
      <c r="F287" s="616"/>
      <c r="J287" s="616"/>
      <c r="K287" s="616"/>
      <c r="N287" s="616"/>
      <c r="V287" s="616"/>
      <c r="AL287" s="616"/>
    </row>
    <row r="288">
      <c r="A288" s="615"/>
      <c r="E288" s="616"/>
      <c r="F288" s="616"/>
      <c r="J288" s="616"/>
      <c r="K288" s="616"/>
      <c r="N288" s="616"/>
      <c r="V288" s="616"/>
      <c r="AL288" s="616"/>
    </row>
    <row r="289">
      <c r="A289" s="615"/>
      <c r="E289" s="616"/>
      <c r="F289" s="616"/>
      <c r="J289" s="616"/>
      <c r="K289" s="616"/>
      <c r="N289" s="616"/>
      <c r="V289" s="616"/>
      <c r="AL289" s="616"/>
    </row>
    <row r="290">
      <c r="A290" s="615"/>
      <c r="E290" s="616"/>
      <c r="F290" s="616"/>
      <c r="J290" s="616"/>
      <c r="K290" s="616"/>
      <c r="N290" s="616"/>
      <c r="V290" s="616"/>
      <c r="AL290" s="616"/>
    </row>
    <row r="291">
      <c r="A291" s="615"/>
      <c r="E291" s="616"/>
      <c r="F291" s="616"/>
      <c r="J291" s="616"/>
      <c r="K291" s="616"/>
      <c r="N291" s="616"/>
      <c r="V291" s="616"/>
      <c r="AL291" s="616"/>
    </row>
    <row r="292">
      <c r="A292" s="615"/>
      <c r="E292" s="616"/>
      <c r="F292" s="616"/>
      <c r="J292" s="616"/>
      <c r="K292" s="616"/>
      <c r="N292" s="616"/>
      <c r="V292" s="616"/>
      <c r="AL292" s="616"/>
    </row>
    <row r="293">
      <c r="A293" s="615"/>
      <c r="E293" s="616"/>
      <c r="F293" s="616"/>
      <c r="J293" s="616"/>
      <c r="K293" s="616"/>
      <c r="N293" s="616"/>
      <c r="V293" s="616"/>
      <c r="AL293" s="616"/>
    </row>
    <row r="294">
      <c r="A294" s="615"/>
      <c r="E294" s="616"/>
      <c r="F294" s="616"/>
      <c r="J294" s="616"/>
      <c r="K294" s="616"/>
      <c r="N294" s="616"/>
      <c r="V294" s="616"/>
      <c r="AL294" s="616"/>
    </row>
    <row r="295">
      <c r="A295" s="615"/>
      <c r="E295" s="616"/>
      <c r="F295" s="616"/>
      <c r="J295" s="616"/>
      <c r="K295" s="616"/>
      <c r="N295" s="616"/>
      <c r="V295" s="616"/>
      <c r="AL295" s="616"/>
    </row>
    <row r="296">
      <c r="A296" s="615"/>
      <c r="E296" s="616"/>
      <c r="F296" s="616"/>
      <c r="J296" s="616"/>
      <c r="K296" s="616"/>
      <c r="N296" s="616"/>
      <c r="V296" s="616"/>
      <c r="AL296" s="616"/>
    </row>
    <row r="297">
      <c r="A297" s="615"/>
      <c r="E297" s="616"/>
      <c r="F297" s="616"/>
      <c r="J297" s="616"/>
      <c r="K297" s="616"/>
      <c r="N297" s="616"/>
      <c r="V297" s="616"/>
      <c r="AL297" s="616"/>
    </row>
    <row r="298">
      <c r="A298" s="615"/>
      <c r="E298" s="616"/>
      <c r="F298" s="616"/>
      <c r="J298" s="616"/>
      <c r="K298" s="616"/>
      <c r="N298" s="616"/>
      <c r="V298" s="616"/>
      <c r="AL298" s="616"/>
    </row>
    <row r="299">
      <c r="A299" s="615"/>
      <c r="E299" s="616"/>
      <c r="F299" s="616"/>
      <c r="J299" s="616"/>
      <c r="K299" s="616"/>
      <c r="N299" s="616"/>
      <c r="V299" s="616"/>
      <c r="AL299" s="616"/>
    </row>
    <row r="300">
      <c r="A300" s="615"/>
      <c r="E300" s="616"/>
      <c r="F300" s="616"/>
      <c r="J300" s="616"/>
      <c r="K300" s="616"/>
      <c r="N300" s="616"/>
      <c r="V300" s="616"/>
      <c r="AL300" s="616"/>
    </row>
    <row r="301">
      <c r="A301" s="615"/>
      <c r="E301" s="616"/>
      <c r="F301" s="616"/>
      <c r="J301" s="616"/>
      <c r="K301" s="616"/>
      <c r="N301" s="616"/>
      <c r="V301" s="616"/>
      <c r="AL301" s="616"/>
    </row>
    <row r="302">
      <c r="A302" s="615"/>
      <c r="E302" s="616"/>
      <c r="F302" s="616"/>
      <c r="J302" s="616"/>
      <c r="K302" s="616"/>
      <c r="N302" s="616"/>
      <c r="V302" s="616"/>
      <c r="AL302" s="616"/>
    </row>
    <row r="303">
      <c r="A303" s="615"/>
      <c r="E303" s="616"/>
      <c r="F303" s="616"/>
      <c r="J303" s="616"/>
      <c r="K303" s="616"/>
      <c r="N303" s="616"/>
      <c r="V303" s="616"/>
      <c r="AL303" s="616"/>
    </row>
    <row r="304">
      <c r="A304" s="615"/>
      <c r="E304" s="616"/>
      <c r="F304" s="616"/>
      <c r="J304" s="616"/>
      <c r="K304" s="616"/>
      <c r="N304" s="616"/>
      <c r="V304" s="616"/>
      <c r="AL304" s="616"/>
    </row>
    <row r="305">
      <c r="A305" s="615"/>
      <c r="E305" s="616"/>
      <c r="F305" s="616"/>
      <c r="J305" s="616"/>
      <c r="K305" s="616"/>
      <c r="N305" s="616"/>
      <c r="V305" s="616"/>
      <c r="AL305" s="616"/>
    </row>
    <row r="306">
      <c r="A306" s="615"/>
      <c r="E306" s="616"/>
      <c r="F306" s="616"/>
      <c r="J306" s="616"/>
      <c r="K306" s="616"/>
      <c r="N306" s="616"/>
      <c r="V306" s="616"/>
      <c r="AL306" s="616"/>
    </row>
    <row r="307">
      <c r="A307" s="615"/>
      <c r="E307" s="616"/>
      <c r="F307" s="616"/>
      <c r="J307" s="616"/>
      <c r="K307" s="616"/>
      <c r="N307" s="616"/>
      <c r="V307" s="616"/>
      <c r="AL307" s="616"/>
    </row>
    <row r="308">
      <c r="A308" s="615"/>
      <c r="E308" s="616"/>
      <c r="F308" s="616"/>
      <c r="J308" s="616"/>
      <c r="K308" s="616"/>
      <c r="N308" s="616"/>
      <c r="V308" s="616"/>
      <c r="AL308" s="616"/>
    </row>
    <row r="309">
      <c r="A309" s="615"/>
      <c r="E309" s="616"/>
      <c r="F309" s="616"/>
      <c r="J309" s="616"/>
      <c r="K309" s="616"/>
      <c r="N309" s="616"/>
      <c r="V309" s="616"/>
      <c r="AL309" s="616"/>
    </row>
    <row r="310">
      <c r="A310" s="615"/>
      <c r="E310" s="616"/>
      <c r="F310" s="616"/>
      <c r="J310" s="616"/>
      <c r="K310" s="616"/>
      <c r="N310" s="616"/>
      <c r="V310" s="616"/>
      <c r="AL310" s="616"/>
    </row>
    <row r="311">
      <c r="A311" s="615"/>
      <c r="E311" s="616"/>
      <c r="F311" s="616"/>
      <c r="J311" s="616"/>
      <c r="K311" s="616"/>
      <c r="N311" s="616"/>
      <c r="V311" s="616"/>
      <c r="AL311" s="616"/>
    </row>
    <row r="312">
      <c r="A312" s="615"/>
      <c r="E312" s="616"/>
      <c r="F312" s="616"/>
      <c r="J312" s="616"/>
      <c r="K312" s="616"/>
      <c r="N312" s="616"/>
      <c r="V312" s="616"/>
      <c r="AL312" s="616"/>
    </row>
    <row r="313">
      <c r="A313" s="615"/>
      <c r="E313" s="616"/>
      <c r="F313" s="616"/>
      <c r="J313" s="616"/>
      <c r="K313" s="616"/>
      <c r="N313" s="616"/>
      <c r="V313" s="616"/>
      <c r="AL313" s="616"/>
    </row>
    <row r="314">
      <c r="A314" s="615"/>
      <c r="E314" s="616"/>
      <c r="F314" s="616"/>
      <c r="J314" s="616"/>
      <c r="K314" s="616"/>
      <c r="N314" s="616"/>
      <c r="V314" s="616"/>
      <c r="AL314" s="616"/>
    </row>
    <row r="315">
      <c r="A315" s="615"/>
      <c r="E315" s="616"/>
      <c r="F315" s="616"/>
      <c r="J315" s="616"/>
      <c r="K315" s="616"/>
      <c r="N315" s="616"/>
      <c r="V315" s="616"/>
      <c r="AL315" s="616"/>
    </row>
    <row r="316">
      <c r="A316" s="615"/>
      <c r="E316" s="616"/>
      <c r="F316" s="616"/>
      <c r="J316" s="616"/>
      <c r="K316" s="616"/>
      <c r="N316" s="616"/>
      <c r="V316" s="616"/>
      <c r="AL316" s="616"/>
    </row>
    <row r="317">
      <c r="A317" s="615"/>
      <c r="E317" s="616"/>
      <c r="F317" s="616"/>
      <c r="J317" s="616"/>
      <c r="K317" s="616"/>
      <c r="N317" s="616"/>
      <c r="V317" s="616"/>
      <c r="AL317" s="616"/>
    </row>
    <row r="318">
      <c r="A318" s="615"/>
      <c r="E318" s="616"/>
      <c r="F318" s="616"/>
      <c r="J318" s="616"/>
      <c r="K318" s="616"/>
      <c r="N318" s="616"/>
      <c r="V318" s="616"/>
      <c r="AL318" s="616"/>
    </row>
    <row r="319">
      <c r="A319" s="615"/>
      <c r="E319" s="616"/>
      <c r="F319" s="616"/>
      <c r="J319" s="616"/>
      <c r="K319" s="616"/>
      <c r="N319" s="616"/>
      <c r="V319" s="616"/>
      <c r="AL319" s="616"/>
    </row>
    <row r="320">
      <c r="A320" s="615"/>
      <c r="E320" s="616"/>
      <c r="F320" s="616"/>
      <c r="J320" s="616"/>
      <c r="K320" s="616"/>
      <c r="N320" s="616"/>
      <c r="V320" s="616"/>
      <c r="AL320" s="616"/>
    </row>
    <row r="321">
      <c r="A321" s="615"/>
      <c r="E321" s="616"/>
      <c r="F321" s="616"/>
      <c r="J321" s="616"/>
      <c r="K321" s="616"/>
      <c r="N321" s="616"/>
      <c r="V321" s="616"/>
      <c r="AL321" s="616"/>
    </row>
    <row r="322">
      <c r="A322" s="615"/>
      <c r="E322" s="616"/>
      <c r="F322" s="616"/>
      <c r="J322" s="616"/>
      <c r="K322" s="616"/>
      <c r="N322" s="616"/>
      <c r="V322" s="616"/>
      <c r="AL322" s="616"/>
    </row>
    <row r="323">
      <c r="A323" s="615"/>
      <c r="E323" s="616"/>
      <c r="F323" s="616"/>
      <c r="J323" s="616"/>
      <c r="K323" s="616"/>
      <c r="N323" s="616"/>
      <c r="V323" s="616"/>
      <c r="AL323" s="616"/>
    </row>
    <row r="324">
      <c r="A324" s="615"/>
      <c r="E324" s="616"/>
      <c r="F324" s="616"/>
      <c r="J324" s="616"/>
      <c r="K324" s="616"/>
      <c r="N324" s="616"/>
      <c r="V324" s="616"/>
      <c r="AL324" s="616"/>
    </row>
    <row r="325">
      <c r="A325" s="615"/>
      <c r="E325" s="616"/>
      <c r="F325" s="616"/>
      <c r="J325" s="616"/>
      <c r="K325" s="616"/>
      <c r="N325" s="616"/>
      <c r="V325" s="616"/>
      <c r="AL325" s="616"/>
    </row>
    <row r="326">
      <c r="A326" s="615"/>
      <c r="E326" s="616"/>
      <c r="F326" s="616"/>
      <c r="J326" s="616"/>
      <c r="K326" s="616"/>
      <c r="N326" s="616"/>
      <c r="V326" s="616"/>
      <c r="AL326" s="616"/>
    </row>
    <row r="327">
      <c r="A327" s="615"/>
      <c r="E327" s="616"/>
      <c r="F327" s="616"/>
      <c r="J327" s="616"/>
      <c r="K327" s="616"/>
      <c r="N327" s="616"/>
      <c r="V327" s="616"/>
      <c r="AL327" s="616"/>
    </row>
    <row r="328">
      <c r="A328" s="615"/>
      <c r="E328" s="616"/>
      <c r="F328" s="616"/>
      <c r="J328" s="616"/>
      <c r="K328" s="616"/>
      <c r="N328" s="616"/>
      <c r="V328" s="616"/>
      <c r="AL328" s="616"/>
    </row>
    <row r="329">
      <c r="A329" s="615"/>
      <c r="E329" s="616"/>
      <c r="F329" s="616"/>
      <c r="J329" s="616"/>
      <c r="K329" s="616"/>
      <c r="N329" s="616"/>
      <c r="V329" s="616"/>
      <c r="AL329" s="616"/>
    </row>
    <row r="330">
      <c r="A330" s="615"/>
      <c r="E330" s="616"/>
      <c r="F330" s="616"/>
      <c r="J330" s="616"/>
      <c r="K330" s="616"/>
      <c r="N330" s="616"/>
      <c r="V330" s="616"/>
      <c r="AL330" s="616"/>
    </row>
    <row r="331">
      <c r="A331" s="615"/>
      <c r="E331" s="616"/>
      <c r="F331" s="616"/>
      <c r="J331" s="616"/>
      <c r="K331" s="616"/>
      <c r="N331" s="616"/>
      <c r="V331" s="616"/>
      <c r="AL331" s="616"/>
    </row>
    <row r="332">
      <c r="A332" s="615"/>
      <c r="E332" s="616"/>
      <c r="F332" s="616"/>
      <c r="J332" s="616"/>
      <c r="K332" s="616"/>
      <c r="N332" s="616"/>
      <c r="V332" s="616"/>
      <c r="AL332" s="616"/>
    </row>
    <row r="333">
      <c r="A333" s="615"/>
      <c r="E333" s="616"/>
      <c r="F333" s="616"/>
      <c r="J333" s="616"/>
      <c r="K333" s="616"/>
      <c r="N333" s="616"/>
      <c r="V333" s="616"/>
      <c r="AL333" s="616"/>
    </row>
    <row r="334">
      <c r="A334" s="615"/>
      <c r="E334" s="616"/>
      <c r="F334" s="616"/>
      <c r="J334" s="616"/>
      <c r="K334" s="616"/>
      <c r="N334" s="616"/>
      <c r="V334" s="616"/>
      <c r="AL334" s="616"/>
    </row>
    <row r="335">
      <c r="A335" s="615"/>
      <c r="E335" s="616"/>
      <c r="F335" s="616"/>
      <c r="J335" s="616"/>
      <c r="K335" s="616"/>
      <c r="N335" s="616"/>
      <c r="V335" s="616"/>
      <c r="AL335" s="616"/>
    </row>
    <row r="336">
      <c r="A336" s="615"/>
      <c r="E336" s="616"/>
      <c r="F336" s="616"/>
      <c r="J336" s="616"/>
      <c r="K336" s="616"/>
      <c r="N336" s="616"/>
      <c r="V336" s="616"/>
      <c r="AL336" s="616"/>
    </row>
    <row r="337">
      <c r="A337" s="615"/>
      <c r="E337" s="616"/>
      <c r="F337" s="616"/>
      <c r="J337" s="616"/>
      <c r="K337" s="616"/>
      <c r="N337" s="616"/>
      <c r="V337" s="616"/>
      <c r="AL337" s="616"/>
    </row>
    <row r="338">
      <c r="A338" s="615"/>
      <c r="E338" s="616"/>
      <c r="F338" s="616"/>
      <c r="J338" s="616"/>
      <c r="K338" s="616"/>
      <c r="N338" s="616"/>
      <c r="V338" s="616"/>
      <c r="AL338" s="616"/>
    </row>
    <row r="339">
      <c r="A339" s="615"/>
      <c r="E339" s="616"/>
      <c r="F339" s="616"/>
      <c r="J339" s="616"/>
      <c r="K339" s="616"/>
      <c r="N339" s="616"/>
      <c r="V339" s="616"/>
      <c r="AL339" s="616"/>
    </row>
    <row r="340">
      <c r="A340" s="615"/>
      <c r="E340" s="616"/>
      <c r="F340" s="616"/>
      <c r="J340" s="616"/>
      <c r="K340" s="616"/>
      <c r="N340" s="616"/>
      <c r="V340" s="616"/>
      <c r="AL340" s="616"/>
    </row>
    <row r="341">
      <c r="A341" s="615"/>
      <c r="E341" s="616"/>
      <c r="F341" s="616"/>
      <c r="J341" s="616"/>
      <c r="K341" s="616"/>
      <c r="N341" s="616"/>
      <c r="V341" s="616"/>
      <c r="AL341" s="616"/>
    </row>
    <row r="342">
      <c r="A342" s="615"/>
      <c r="E342" s="616"/>
      <c r="F342" s="616"/>
      <c r="J342" s="616"/>
      <c r="K342" s="616"/>
      <c r="N342" s="616"/>
      <c r="V342" s="616"/>
      <c r="AL342" s="616"/>
    </row>
    <row r="343">
      <c r="A343" s="615"/>
      <c r="E343" s="616"/>
      <c r="F343" s="616"/>
      <c r="J343" s="616"/>
      <c r="K343" s="616"/>
      <c r="N343" s="616"/>
      <c r="V343" s="616"/>
      <c r="AL343" s="616"/>
    </row>
    <row r="344">
      <c r="A344" s="615"/>
      <c r="E344" s="616"/>
      <c r="F344" s="616"/>
      <c r="J344" s="616"/>
      <c r="K344" s="616"/>
      <c r="N344" s="616"/>
      <c r="V344" s="616"/>
      <c r="AL344" s="616"/>
    </row>
    <row r="345">
      <c r="A345" s="615"/>
      <c r="E345" s="616"/>
      <c r="F345" s="616"/>
      <c r="J345" s="616"/>
      <c r="K345" s="616"/>
      <c r="N345" s="616"/>
      <c r="V345" s="616"/>
      <c r="AL345" s="616"/>
    </row>
    <row r="346">
      <c r="A346" s="615"/>
      <c r="E346" s="616"/>
      <c r="F346" s="616"/>
      <c r="J346" s="616"/>
      <c r="K346" s="616"/>
      <c r="N346" s="616"/>
      <c r="V346" s="616"/>
      <c r="AL346" s="616"/>
    </row>
    <row r="347">
      <c r="A347" s="615"/>
      <c r="E347" s="616"/>
      <c r="F347" s="616"/>
      <c r="J347" s="616"/>
      <c r="K347" s="616"/>
      <c r="N347" s="616"/>
      <c r="V347" s="616"/>
      <c r="AL347" s="616"/>
    </row>
    <row r="348">
      <c r="A348" s="615"/>
      <c r="E348" s="616"/>
      <c r="F348" s="616"/>
      <c r="J348" s="616"/>
      <c r="K348" s="616"/>
      <c r="N348" s="616"/>
      <c r="V348" s="616"/>
      <c r="AL348" s="616"/>
    </row>
    <row r="349">
      <c r="A349" s="615"/>
      <c r="E349" s="616"/>
      <c r="F349" s="616"/>
      <c r="J349" s="616"/>
      <c r="K349" s="616"/>
      <c r="N349" s="616"/>
      <c r="V349" s="616"/>
      <c r="AL349" s="616"/>
    </row>
    <row r="350">
      <c r="A350" s="615"/>
      <c r="E350" s="616"/>
      <c r="F350" s="616"/>
      <c r="J350" s="616"/>
      <c r="K350" s="616"/>
      <c r="N350" s="616"/>
      <c r="V350" s="616"/>
      <c r="AL350" s="616"/>
    </row>
    <row r="351">
      <c r="A351" s="615"/>
      <c r="E351" s="616"/>
      <c r="F351" s="616"/>
      <c r="J351" s="616"/>
      <c r="K351" s="616"/>
      <c r="N351" s="616"/>
      <c r="V351" s="616"/>
      <c r="AL351" s="616"/>
    </row>
    <row r="352">
      <c r="A352" s="615"/>
      <c r="E352" s="616"/>
      <c r="F352" s="616"/>
      <c r="J352" s="616"/>
      <c r="K352" s="616"/>
      <c r="N352" s="616"/>
      <c r="V352" s="616"/>
      <c r="AL352" s="616"/>
    </row>
    <row r="353">
      <c r="A353" s="615"/>
      <c r="E353" s="616"/>
      <c r="F353" s="616"/>
      <c r="J353" s="616"/>
      <c r="K353" s="616"/>
      <c r="N353" s="616"/>
      <c r="V353" s="616"/>
      <c r="AL353" s="616"/>
    </row>
    <row r="354">
      <c r="A354" s="615"/>
      <c r="E354" s="616"/>
      <c r="F354" s="616"/>
      <c r="J354" s="616"/>
      <c r="K354" s="616"/>
      <c r="N354" s="616"/>
      <c r="V354" s="616"/>
      <c r="AL354" s="616"/>
    </row>
    <row r="355">
      <c r="A355" s="615"/>
      <c r="E355" s="616"/>
      <c r="F355" s="616"/>
      <c r="J355" s="616"/>
      <c r="K355" s="616"/>
      <c r="N355" s="616"/>
      <c r="V355" s="616"/>
      <c r="AL355" s="616"/>
    </row>
    <row r="356">
      <c r="A356" s="615"/>
      <c r="E356" s="616"/>
      <c r="F356" s="616"/>
      <c r="J356" s="616"/>
      <c r="K356" s="616"/>
      <c r="N356" s="616"/>
      <c r="V356" s="616"/>
      <c r="AL356" s="616"/>
    </row>
    <row r="357">
      <c r="A357" s="615"/>
      <c r="E357" s="616"/>
      <c r="F357" s="616"/>
      <c r="J357" s="616"/>
      <c r="K357" s="616"/>
      <c r="N357" s="616"/>
      <c r="V357" s="616"/>
      <c r="AL357" s="616"/>
    </row>
    <row r="358">
      <c r="A358" s="615"/>
      <c r="E358" s="616"/>
      <c r="F358" s="616"/>
      <c r="J358" s="616"/>
      <c r="K358" s="616"/>
      <c r="N358" s="616"/>
      <c r="V358" s="616"/>
      <c r="AL358" s="616"/>
    </row>
    <row r="359">
      <c r="A359" s="615"/>
      <c r="E359" s="616"/>
      <c r="F359" s="616"/>
      <c r="J359" s="616"/>
      <c r="K359" s="616"/>
      <c r="N359" s="616"/>
      <c r="V359" s="616"/>
      <c r="AL359" s="616"/>
    </row>
    <row r="360">
      <c r="A360" s="615"/>
      <c r="E360" s="616"/>
      <c r="F360" s="616"/>
      <c r="J360" s="616"/>
      <c r="K360" s="616"/>
      <c r="N360" s="616"/>
      <c r="V360" s="616"/>
      <c r="AL360" s="616"/>
    </row>
    <row r="361">
      <c r="A361" s="615"/>
      <c r="E361" s="616"/>
      <c r="F361" s="616"/>
      <c r="J361" s="616"/>
      <c r="K361" s="616"/>
      <c r="N361" s="616"/>
      <c r="V361" s="616"/>
      <c r="AL361" s="616"/>
    </row>
    <row r="362">
      <c r="A362" s="615"/>
      <c r="E362" s="616"/>
      <c r="F362" s="616"/>
      <c r="J362" s="616"/>
      <c r="K362" s="616"/>
      <c r="N362" s="616"/>
      <c r="V362" s="616"/>
      <c r="AL362" s="616"/>
    </row>
    <row r="363">
      <c r="A363" s="615"/>
      <c r="E363" s="616"/>
      <c r="F363" s="616"/>
      <c r="J363" s="616"/>
      <c r="K363" s="616"/>
      <c r="N363" s="616"/>
      <c r="V363" s="616"/>
      <c r="AL363" s="616"/>
    </row>
    <row r="364">
      <c r="A364" s="615"/>
      <c r="E364" s="616"/>
      <c r="F364" s="616"/>
      <c r="J364" s="616"/>
      <c r="K364" s="616"/>
      <c r="N364" s="616"/>
      <c r="V364" s="616"/>
      <c r="AL364" s="616"/>
    </row>
    <row r="365">
      <c r="A365" s="615"/>
      <c r="E365" s="616"/>
      <c r="F365" s="616"/>
      <c r="J365" s="616"/>
      <c r="K365" s="616"/>
      <c r="N365" s="616"/>
      <c r="V365" s="616"/>
      <c r="AL365" s="616"/>
    </row>
    <row r="366">
      <c r="A366" s="615"/>
      <c r="E366" s="616"/>
      <c r="F366" s="616"/>
      <c r="J366" s="616"/>
      <c r="K366" s="616"/>
      <c r="N366" s="616"/>
      <c r="V366" s="616"/>
      <c r="AL366" s="616"/>
    </row>
    <row r="367">
      <c r="A367" s="615"/>
      <c r="E367" s="616"/>
      <c r="F367" s="616"/>
      <c r="J367" s="616"/>
      <c r="K367" s="616"/>
      <c r="N367" s="616"/>
      <c r="V367" s="616"/>
      <c r="AL367" s="616"/>
    </row>
    <row r="368">
      <c r="A368" s="615"/>
      <c r="E368" s="616"/>
      <c r="F368" s="616"/>
      <c r="J368" s="616"/>
      <c r="K368" s="616"/>
      <c r="N368" s="616"/>
      <c r="V368" s="616"/>
      <c r="AL368" s="616"/>
    </row>
    <row r="369">
      <c r="A369" s="615"/>
      <c r="E369" s="616"/>
      <c r="F369" s="616"/>
      <c r="J369" s="616"/>
      <c r="K369" s="616"/>
      <c r="N369" s="616"/>
      <c r="V369" s="616"/>
      <c r="AL369" s="616"/>
    </row>
    <row r="370">
      <c r="A370" s="615"/>
      <c r="E370" s="616"/>
      <c r="F370" s="616"/>
      <c r="J370" s="616"/>
      <c r="K370" s="616"/>
      <c r="N370" s="616"/>
      <c r="V370" s="616"/>
      <c r="AL370" s="616"/>
    </row>
    <row r="371">
      <c r="A371" s="615"/>
      <c r="E371" s="616"/>
      <c r="F371" s="616"/>
      <c r="J371" s="616"/>
      <c r="K371" s="616"/>
      <c r="N371" s="616"/>
      <c r="V371" s="616"/>
      <c r="AL371" s="616"/>
    </row>
    <row r="372">
      <c r="A372" s="615"/>
      <c r="E372" s="616"/>
      <c r="F372" s="616"/>
      <c r="J372" s="616"/>
      <c r="K372" s="616"/>
      <c r="N372" s="616"/>
      <c r="V372" s="616"/>
      <c r="AL372" s="616"/>
    </row>
    <row r="373">
      <c r="A373" s="615"/>
      <c r="E373" s="616"/>
      <c r="F373" s="616"/>
      <c r="J373" s="616"/>
      <c r="K373" s="616"/>
      <c r="N373" s="616"/>
      <c r="V373" s="616"/>
      <c r="AL373" s="616"/>
    </row>
    <row r="374">
      <c r="A374" s="615"/>
      <c r="E374" s="616"/>
      <c r="F374" s="616"/>
      <c r="J374" s="616"/>
      <c r="K374" s="616"/>
      <c r="N374" s="616"/>
      <c r="V374" s="616"/>
      <c r="AL374" s="616"/>
    </row>
    <row r="375">
      <c r="A375" s="615"/>
      <c r="E375" s="616"/>
      <c r="F375" s="616"/>
      <c r="J375" s="616"/>
      <c r="K375" s="616"/>
      <c r="N375" s="616"/>
      <c r="V375" s="616"/>
      <c r="AL375" s="616"/>
    </row>
    <row r="376">
      <c r="A376" s="615"/>
      <c r="E376" s="616"/>
      <c r="F376" s="616"/>
      <c r="J376" s="616"/>
      <c r="K376" s="616"/>
      <c r="N376" s="616"/>
      <c r="V376" s="616"/>
      <c r="AL376" s="616"/>
    </row>
    <row r="377">
      <c r="A377" s="615"/>
      <c r="E377" s="616"/>
      <c r="F377" s="616"/>
      <c r="J377" s="616"/>
      <c r="K377" s="616"/>
      <c r="N377" s="616"/>
      <c r="V377" s="616"/>
      <c r="AL377" s="616"/>
    </row>
    <row r="378">
      <c r="A378" s="615"/>
      <c r="E378" s="616"/>
      <c r="F378" s="616"/>
      <c r="J378" s="616"/>
      <c r="K378" s="616"/>
      <c r="N378" s="616"/>
      <c r="V378" s="616"/>
      <c r="AL378" s="616"/>
    </row>
    <row r="379">
      <c r="A379" s="615"/>
      <c r="E379" s="616"/>
      <c r="F379" s="616"/>
      <c r="J379" s="616"/>
      <c r="K379" s="616"/>
      <c r="N379" s="616"/>
      <c r="V379" s="616"/>
      <c r="AL379" s="616"/>
    </row>
    <row r="380">
      <c r="A380" s="615"/>
      <c r="E380" s="616"/>
      <c r="F380" s="616"/>
      <c r="J380" s="616"/>
      <c r="K380" s="616"/>
      <c r="N380" s="616"/>
      <c r="V380" s="616"/>
      <c r="AL380" s="616"/>
    </row>
    <row r="381">
      <c r="A381" s="615"/>
      <c r="E381" s="616"/>
      <c r="F381" s="616"/>
      <c r="J381" s="616"/>
      <c r="K381" s="616"/>
      <c r="N381" s="616"/>
      <c r="V381" s="616"/>
      <c r="AL381" s="616"/>
    </row>
    <row r="382">
      <c r="A382" s="615"/>
      <c r="E382" s="616"/>
      <c r="F382" s="616"/>
      <c r="J382" s="616"/>
      <c r="K382" s="616"/>
      <c r="N382" s="616"/>
      <c r="V382" s="616"/>
      <c r="AL382" s="616"/>
    </row>
    <row r="383">
      <c r="A383" s="615"/>
      <c r="E383" s="616"/>
      <c r="F383" s="616"/>
      <c r="J383" s="616"/>
      <c r="K383" s="616"/>
      <c r="N383" s="616"/>
      <c r="V383" s="616"/>
      <c r="AL383" s="616"/>
    </row>
    <row r="384">
      <c r="A384" s="615"/>
      <c r="E384" s="616"/>
      <c r="F384" s="616"/>
      <c r="J384" s="616"/>
      <c r="K384" s="616"/>
      <c r="N384" s="616"/>
      <c r="V384" s="616"/>
      <c r="AL384" s="616"/>
    </row>
    <row r="385">
      <c r="A385" s="615"/>
      <c r="E385" s="616"/>
      <c r="F385" s="616"/>
      <c r="J385" s="616"/>
      <c r="K385" s="616"/>
      <c r="N385" s="616"/>
      <c r="V385" s="616"/>
      <c r="AL385" s="616"/>
    </row>
    <row r="386">
      <c r="A386" s="615"/>
      <c r="E386" s="616"/>
      <c r="F386" s="616"/>
      <c r="J386" s="616"/>
      <c r="K386" s="616"/>
      <c r="N386" s="616"/>
      <c r="V386" s="616"/>
      <c r="AL386" s="616"/>
    </row>
    <row r="387">
      <c r="A387" s="615"/>
      <c r="E387" s="616"/>
      <c r="F387" s="616"/>
      <c r="J387" s="616"/>
      <c r="K387" s="616"/>
      <c r="N387" s="616"/>
      <c r="V387" s="616"/>
      <c r="AL387" s="616"/>
    </row>
    <row r="388">
      <c r="A388" s="615"/>
      <c r="E388" s="616"/>
      <c r="F388" s="616"/>
      <c r="J388" s="616"/>
      <c r="K388" s="616"/>
      <c r="N388" s="616"/>
      <c r="V388" s="616"/>
      <c r="AL388" s="616"/>
    </row>
    <row r="389">
      <c r="A389" s="615"/>
      <c r="E389" s="616"/>
      <c r="F389" s="616"/>
      <c r="J389" s="616"/>
      <c r="K389" s="616"/>
      <c r="N389" s="616"/>
      <c r="V389" s="616"/>
      <c r="AL389" s="616"/>
    </row>
    <row r="390">
      <c r="A390" s="615"/>
      <c r="E390" s="616"/>
      <c r="F390" s="616"/>
      <c r="J390" s="616"/>
      <c r="K390" s="616"/>
      <c r="N390" s="616"/>
      <c r="V390" s="616"/>
      <c r="AL390" s="616"/>
    </row>
    <row r="391">
      <c r="A391" s="615"/>
      <c r="E391" s="616"/>
      <c r="F391" s="616"/>
      <c r="J391" s="616"/>
      <c r="K391" s="616"/>
      <c r="N391" s="616"/>
      <c r="V391" s="616"/>
      <c r="AL391" s="616"/>
    </row>
    <row r="392">
      <c r="A392" s="615"/>
      <c r="E392" s="616"/>
      <c r="F392" s="616"/>
      <c r="J392" s="616"/>
      <c r="K392" s="616"/>
      <c r="N392" s="616"/>
      <c r="V392" s="616"/>
      <c r="AL392" s="616"/>
    </row>
    <row r="393">
      <c r="A393" s="615"/>
      <c r="E393" s="616"/>
      <c r="F393" s="616"/>
      <c r="J393" s="616"/>
      <c r="K393" s="616"/>
      <c r="N393" s="616"/>
      <c r="V393" s="616"/>
      <c r="AL393" s="616"/>
    </row>
    <row r="394">
      <c r="A394" s="615"/>
      <c r="E394" s="616"/>
      <c r="F394" s="616"/>
      <c r="J394" s="616"/>
      <c r="K394" s="616"/>
      <c r="N394" s="616"/>
      <c r="V394" s="616"/>
      <c r="AL394" s="616"/>
    </row>
    <row r="395">
      <c r="A395" s="615"/>
      <c r="E395" s="616"/>
      <c r="F395" s="616"/>
      <c r="J395" s="616"/>
      <c r="K395" s="616"/>
      <c r="N395" s="616"/>
      <c r="V395" s="616"/>
      <c r="AL395" s="616"/>
    </row>
    <row r="396">
      <c r="A396" s="615"/>
      <c r="E396" s="616"/>
      <c r="F396" s="616"/>
      <c r="J396" s="616"/>
      <c r="K396" s="616"/>
      <c r="N396" s="616"/>
      <c r="V396" s="616"/>
      <c r="AL396" s="616"/>
    </row>
    <row r="397">
      <c r="A397" s="615"/>
      <c r="E397" s="616"/>
      <c r="F397" s="616"/>
      <c r="J397" s="616"/>
      <c r="K397" s="616"/>
      <c r="N397" s="616"/>
      <c r="V397" s="616"/>
      <c r="AL397" s="616"/>
    </row>
    <row r="398">
      <c r="A398" s="615"/>
      <c r="E398" s="616"/>
      <c r="F398" s="616"/>
      <c r="J398" s="616"/>
      <c r="K398" s="616"/>
      <c r="N398" s="616"/>
      <c r="V398" s="616"/>
      <c r="AL398" s="616"/>
    </row>
    <row r="399">
      <c r="A399" s="615"/>
      <c r="E399" s="616"/>
      <c r="F399" s="616"/>
      <c r="J399" s="616"/>
      <c r="K399" s="616"/>
      <c r="N399" s="616"/>
      <c r="V399" s="616"/>
      <c r="AL399" s="616"/>
    </row>
    <row r="400">
      <c r="A400" s="615"/>
      <c r="E400" s="616"/>
      <c r="F400" s="616"/>
      <c r="J400" s="616"/>
      <c r="K400" s="616"/>
      <c r="N400" s="616"/>
      <c r="V400" s="616"/>
      <c r="AL400" s="616"/>
    </row>
    <row r="401">
      <c r="A401" s="615"/>
      <c r="E401" s="616"/>
      <c r="F401" s="616"/>
      <c r="J401" s="616"/>
      <c r="K401" s="616"/>
      <c r="N401" s="616"/>
      <c r="V401" s="616"/>
      <c r="AL401" s="616"/>
    </row>
    <row r="402">
      <c r="A402" s="615"/>
      <c r="E402" s="616"/>
      <c r="F402" s="616"/>
      <c r="J402" s="616"/>
      <c r="K402" s="616"/>
      <c r="N402" s="616"/>
      <c r="V402" s="616"/>
      <c r="AL402" s="616"/>
    </row>
    <row r="403">
      <c r="A403" s="615"/>
      <c r="E403" s="616"/>
      <c r="F403" s="616"/>
      <c r="J403" s="616"/>
      <c r="K403" s="616"/>
      <c r="N403" s="616"/>
      <c r="V403" s="616"/>
      <c r="AL403" s="616"/>
    </row>
    <row r="404">
      <c r="A404" s="615"/>
      <c r="E404" s="616"/>
      <c r="F404" s="616"/>
      <c r="J404" s="616"/>
      <c r="K404" s="616"/>
      <c r="N404" s="616"/>
      <c r="V404" s="616"/>
      <c r="AL404" s="616"/>
    </row>
    <row r="405">
      <c r="A405" s="615"/>
      <c r="E405" s="616"/>
      <c r="F405" s="616"/>
      <c r="J405" s="616"/>
      <c r="K405" s="616"/>
      <c r="N405" s="616"/>
      <c r="V405" s="616"/>
      <c r="AL405" s="616"/>
    </row>
    <row r="406">
      <c r="A406" s="615"/>
      <c r="E406" s="616"/>
      <c r="F406" s="616"/>
      <c r="J406" s="616"/>
      <c r="K406" s="616"/>
      <c r="N406" s="616"/>
      <c r="V406" s="616"/>
      <c r="AL406" s="616"/>
    </row>
    <row r="407">
      <c r="A407" s="615"/>
      <c r="E407" s="616"/>
      <c r="F407" s="616"/>
      <c r="J407" s="616"/>
      <c r="K407" s="616"/>
      <c r="N407" s="616"/>
      <c r="V407" s="616"/>
      <c r="AL407" s="616"/>
    </row>
    <row r="408">
      <c r="A408" s="615"/>
      <c r="E408" s="616"/>
      <c r="F408" s="616"/>
      <c r="J408" s="616"/>
      <c r="K408" s="616"/>
      <c r="N408" s="616"/>
      <c r="V408" s="616"/>
      <c r="AL408" s="616"/>
    </row>
    <row r="409">
      <c r="A409" s="615"/>
      <c r="E409" s="616"/>
      <c r="F409" s="616"/>
      <c r="J409" s="616"/>
      <c r="K409" s="616"/>
      <c r="N409" s="616"/>
      <c r="V409" s="616"/>
      <c r="AL409" s="616"/>
    </row>
    <row r="410">
      <c r="A410" s="615"/>
      <c r="E410" s="616"/>
      <c r="F410" s="616"/>
      <c r="J410" s="616"/>
      <c r="K410" s="616"/>
      <c r="N410" s="616"/>
      <c r="V410" s="616"/>
      <c r="AL410" s="616"/>
    </row>
    <row r="411">
      <c r="A411" s="615"/>
      <c r="E411" s="616"/>
      <c r="F411" s="616"/>
      <c r="J411" s="616"/>
      <c r="K411" s="616"/>
      <c r="N411" s="616"/>
      <c r="V411" s="616"/>
      <c r="AL411" s="616"/>
    </row>
    <row r="412">
      <c r="A412" s="615"/>
      <c r="E412" s="616"/>
      <c r="F412" s="616"/>
      <c r="J412" s="616"/>
      <c r="K412" s="616"/>
      <c r="N412" s="616"/>
      <c r="V412" s="616"/>
      <c r="AL412" s="616"/>
    </row>
    <row r="413">
      <c r="A413" s="615"/>
      <c r="E413" s="616"/>
      <c r="F413" s="616"/>
      <c r="J413" s="616"/>
      <c r="K413" s="616"/>
      <c r="N413" s="616"/>
      <c r="V413" s="616"/>
      <c r="AL413" s="616"/>
    </row>
    <row r="414">
      <c r="A414" s="615"/>
      <c r="E414" s="616"/>
      <c r="F414" s="616"/>
      <c r="J414" s="616"/>
      <c r="K414" s="616"/>
      <c r="N414" s="616"/>
      <c r="V414" s="616"/>
      <c r="AL414" s="616"/>
    </row>
    <row r="415">
      <c r="A415" s="615"/>
      <c r="E415" s="616"/>
      <c r="F415" s="616"/>
      <c r="J415" s="616"/>
      <c r="K415" s="616"/>
      <c r="N415" s="616"/>
      <c r="V415" s="616"/>
      <c r="AL415" s="616"/>
    </row>
    <row r="416">
      <c r="A416" s="615"/>
      <c r="E416" s="616"/>
      <c r="F416" s="616"/>
      <c r="J416" s="616"/>
      <c r="K416" s="616"/>
      <c r="N416" s="616"/>
      <c r="V416" s="616"/>
      <c r="AL416" s="616"/>
    </row>
    <row r="417">
      <c r="A417" s="615"/>
      <c r="E417" s="616"/>
      <c r="F417" s="616"/>
      <c r="J417" s="616"/>
      <c r="K417" s="616"/>
      <c r="N417" s="616"/>
      <c r="V417" s="616"/>
      <c r="AL417" s="616"/>
    </row>
    <row r="418">
      <c r="A418" s="615"/>
      <c r="E418" s="616"/>
      <c r="F418" s="616"/>
      <c r="J418" s="616"/>
      <c r="K418" s="616"/>
      <c r="N418" s="616"/>
      <c r="V418" s="616"/>
      <c r="AL418" s="616"/>
    </row>
    <row r="419">
      <c r="A419" s="615"/>
      <c r="E419" s="616"/>
      <c r="F419" s="616"/>
      <c r="J419" s="616"/>
      <c r="K419" s="616"/>
      <c r="N419" s="616"/>
      <c r="V419" s="616"/>
      <c r="AL419" s="616"/>
    </row>
    <row r="420">
      <c r="A420" s="615"/>
      <c r="E420" s="616"/>
      <c r="F420" s="616"/>
      <c r="J420" s="616"/>
      <c r="K420" s="616"/>
      <c r="N420" s="616"/>
      <c r="V420" s="616"/>
      <c r="AL420" s="616"/>
    </row>
    <row r="421">
      <c r="A421" s="615"/>
      <c r="E421" s="616"/>
      <c r="F421" s="616"/>
      <c r="J421" s="616"/>
      <c r="K421" s="616"/>
      <c r="N421" s="616"/>
      <c r="V421" s="616"/>
      <c r="AL421" s="616"/>
    </row>
    <row r="422">
      <c r="A422" s="615"/>
      <c r="E422" s="616"/>
      <c r="F422" s="616"/>
      <c r="J422" s="616"/>
      <c r="K422" s="616"/>
      <c r="N422" s="616"/>
      <c r="V422" s="616"/>
      <c r="AL422" s="616"/>
    </row>
    <row r="423">
      <c r="A423" s="615"/>
      <c r="E423" s="616"/>
      <c r="F423" s="616"/>
      <c r="J423" s="616"/>
      <c r="K423" s="616"/>
      <c r="N423" s="616"/>
      <c r="V423" s="616"/>
      <c r="AL423" s="616"/>
    </row>
    <row r="424">
      <c r="A424" s="615"/>
      <c r="E424" s="616"/>
      <c r="F424" s="616"/>
      <c r="J424" s="616"/>
      <c r="K424" s="616"/>
      <c r="N424" s="616"/>
      <c r="V424" s="616"/>
      <c r="AL424" s="616"/>
    </row>
    <row r="425">
      <c r="A425" s="615"/>
      <c r="E425" s="616"/>
      <c r="F425" s="616"/>
      <c r="J425" s="616"/>
      <c r="K425" s="616"/>
      <c r="N425" s="616"/>
      <c r="V425" s="616"/>
      <c r="AL425" s="616"/>
    </row>
    <row r="426">
      <c r="A426" s="615"/>
      <c r="E426" s="616"/>
      <c r="F426" s="616"/>
      <c r="J426" s="616"/>
      <c r="K426" s="616"/>
      <c r="N426" s="616"/>
      <c r="V426" s="616"/>
      <c r="AL426" s="616"/>
    </row>
    <row r="427">
      <c r="A427" s="615"/>
      <c r="E427" s="616"/>
      <c r="F427" s="616"/>
      <c r="J427" s="616"/>
      <c r="K427" s="616"/>
      <c r="N427" s="616"/>
      <c r="V427" s="616"/>
      <c r="AL427" s="616"/>
    </row>
    <row r="428">
      <c r="A428" s="615"/>
      <c r="E428" s="616"/>
      <c r="F428" s="616"/>
      <c r="J428" s="616"/>
      <c r="K428" s="616"/>
      <c r="N428" s="616"/>
      <c r="V428" s="616"/>
      <c r="AL428" s="616"/>
    </row>
    <row r="429">
      <c r="A429" s="615"/>
      <c r="E429" s="616"/>
      <c r="F429" s="616"/>
      <c r="J429" s="616"/>
      <c r="K429" s="616"/>
      <c r="N429" s="616"/>
      <c r="V429" s="616"/>
      <c r="AL429" s="616"/>
    </row>
    <row r="430">
      <c r="A430" s="615"/>
      <c r="E430" s="616"/>
      <c r="F430" s="616"/>
      <c r="J430" s="616"/>
      <c r="K430" s="616"/>
      <c r="N430" s="616"/>
      <c r="V430" s="616"/>
      <c r="AL430" s="616"/>
    </row>
    <row r="431">
      <c r="A431" s="615"/>
      <c r="E431" s="616"/>
      <c r="F431" s="616"/>
      <c r="J431" s="616"/>
      <c r="K431" s="616"/>
      <c r="N431" s="616"/>
      <c r="V431" s="616"/>
      <c r="AL431" s="616"/>
    </row>
    <row r="432">
      <c r="A432" s="615"/>
      <c r="E432" s="616"/>
      <c r="F432" s="616"/>
      <c r="J432" s="616"/>
      <c r="K432" s="616"/>
      <c r="N432" s="616"/>
      <c r="V432" s="616"/>
      <c r="AL432" s="616"/>
    </row>
    <row r="433">
      <c r="A433" s="615"/>
      <c r="E433" s="616"/>
      <c r="F433" s="616"/>
      <c r="J433" s="616"/>
      <c r="K433" s="616"/>
      <c r="N433" s="616"/>
      <c r="V433" s="616"/>
      <c r="AL433" s="616"/>
    </row>
    <row r="434">
      <c r="A434" s="615"/>
      <c r="E434" s="616"/>
      <c r="F434" s="616"/>
      <c r="J434" s="616"/>
      <c r="K434" s="616"/>
      <c r="N434" s="616"/>
      <c r="V434" s="616"/>
      <c r="AL434" s="616"/>
    </row>
    <row r="435">
      <c r="A435" s="615"/>
      <c r="E435" s="616"/>
      <c r="F435" s="616"/>
      <c r="J435" s="616"/>
      <c r="K435" s="616"/>
      <c r="N435" s="616"/>
      <c r="V435" s="616"/>
      <c r="AL435" s="616"/>
    </row>
    <row r="436">
      <c r="A436" s="615"/>
      <c r="E436" s="616"/>
      <c r="F436" s="616"/>
      <c r="J436" s="616"/>
      <c r="K436" s="616"/>
      <c r="N436" s="616"/>
      <c r="V436" s="616"/>
      <c r="AL436" s="616"/>
    </row>
    <row r="437">
      <c r="A437" s="615"/>
      <c r="E437" s="616"/>
      <c r="F437" s="616"/>
      <c r="J437" s="616"/>
      <c r="K437" s="616"/>
      <c r="N437" s="616"/>
      <c r="V437" s="616"/>
      <c r="AL437" s="616"/>
    </row>
    <row r="438">
      <c r="A438" s="615"/>
      <c r="E438" s="616"/>
      <c r="F438" s="616"/>
      <c r="J438" s="616"/>
      <c r="K438" s="616"/>
      <c r="N438" s="616"/>
      <c r="V438" s="616"/>
      <c r="AL438" s="616"/>
    </row>
    <row r="439">
      <c r="A439" s="615"/>
      <c r="E439" s="616"/>
      <c r="F439" s="616"/>
      <c r="J439" s="616"/>
      <c r="K439" s="616"/>
      <c r="N439" s="616"/>
      <c r="V439" s="616"/>
      <c r="AL439" s="616"/>
    </row>
    <row r="440">
      <c r="A440" s="615"/>
      <c r="E440" s="616"/>
      <c r="F440" s="616"/>
      <c r="J440" s="616"/>
      <c r="K440" s="616"/>
      <c r="N440" s="616"/>
      <c r="V440" s="616"/>
      <c r="AL440" s="616"/>
    </row>
    <row r="441">
      <c r="A441" s="615"/>
      <c r="E441" s="616"/>
      <c r="F441" s="616"/>
      <c r="J441" s="616"/>
      <c r="K441" s="616"/>
      <c r="N441" s="616"/>
      <c r="V441" s="616"/>
      <c r="AL441" s="616"/>
    </row>
    <row r="442">
      <c r="A442" s="615"/>
      <c r="E442" s="616"/>
      <c r="F442" s="616"/>
      <c r="J442" s="616"/>
      <c r="K442" s="616"/>
      <c r="N442" s="616"/>
      <c r="V442" s="616"/>
      <c r="AL442" s="616"/>
    </row>
    <row r="443">
      <c r="A443" s="615"/>
      <c r="E443" s="616"/>
      <c r="F443" s="616"/>
      <c r="J443" s="616"/>
      <c r="K443" s="616"/>
      <c r="N443" s="616"/>
      <c r="V443" s="616"/>
      <c r="AL443" s="616"/>
    </row>
    <row r="444">
      <c r="A444" s="615"/>
      <c r="E444" s="616"/>
      <c r="F444" s="616"/>
      <c r="J444" s="616"/>
      <c r="K444" s="616"/>
      <c r="N444" s="616"/>
      <c r="V444" s="616"/>
      <c r="AL444" s="616"/>
    </row>
    <row r="445">
      <c r="A445" s="615"/>
      <c r="E445" s="616"/>
      <c r="F445" s="616"/>
      <c r="J445" s="616"/>
      <c r="K445" s="616"/>
      <c r="N445" s="616"/>
      <c r="V445" s="616"/>
      <c r="AL445" s="616"/>
    </row>
    <row r="446">
      <c r="A446" s="615"/>
      <c r="E446" s="616"/>
      <c r="F446" s="616"/>
      <c r="J446" s="616"/>
      <c r="K446" s="616"/>
      <c r="N446" s="616"/>
      <c r="V446" s="616"/>
      <c r="AL446" s="616"/>
    </row>
    <row r="447">
      <c r="A447" s="615"/>
      <c r="E447" s="616"/>
      <c r="F447" s="616"/>
      <c r="J447" s="616"/>
      <c r="K447" s="616"/>
      <c r="N447" s="616"/>
      <c r="V447" s="616"/>
      <c r="AL447" s="616"/>
    </row>
    <row r="448">
      <c r="A448" s="615"/>
      <c r="E448" s="616"/>
      <c r="F448" s="616"/>
      <c r="J448" s="616"/>
      <c r="K448" s="616"/>
      <c r="N448" s="616"/>
      <c r="V448" s="616"/>
      <c r="AL448" s="616"/>
    </row>
    <row r="449">
      <c r="A449" s="615"/>
      <c r="E449" s="616"/>
      <c r="F449" s="616"/>
      <c r="J449" s="616"/>
      <c r="K449" s="616"/>
      <c r="N449" s="616"/>
      <c r="V449" s="616"/>
      <c r="AL449" s="616"/>
    </row>
    <row r="450">
      <c r="A450" s="615"/>
      <c r="E450" s="616"/>
      <c r="F450" s="616"/>
      <c r="J450" s="616"/>
      <c r="K450" s="616"/>
      <c r="N450" s="616"/>
      <c r="V450" s="616"/>
      <c r="AL450" s="616"/>
    </row>
    <row r="451">
      <c r="A451" s="615"/>
      <c r="E451" s="616"/>
      <c r="F451" s="616"/>
      <c r="J451" s="616"/>
      <c r="K451" s="616"/>
      <c r="N451" s="616"/>
      <c r="V451" s="616"/>
      <c r="AL451" s="616"/>
    </row>
    <row r="452">
      <c r="A452" s="615"/>
      <c r="E452" s="616"/>
      <c r="F452" s="616"/>
      <c r="J452" s="616"/>
      <c r="K452" s="616"/>
      <c r="N452" s="616"/>
      <c r="V452" s="616"/>
      <c r="AL452" s="616"/>
    </row>
    <row r="453">
      <c r="A453" s="615"/>
      <c r="E453" s="616"/>
      <c r="F453" s="616"/>
      <c r="J453" s="616"/>
      <c r="K453" s="616"/>
      <c r="N453" s="616"/>
      <c r="V453" s="616"/>
      <c r="AL453" s="616"/>
    </row>
    <row r="454">
      <c r="A454" s="615"/>
      <c r="E454" s="616"/>
      <c r="F454" s="616"/>
      <c r="J454" s="616"/>
      <c r="K454" s="616"/>
      <c r="N454" s="616"/>
      <c r="V454" s="616"/>
      <c r="AL454" s="616"/>
    </row>
    <row r="455">
      <c r="A455" s="615"/>
      <c r="E455" s="616"/>
      <c r="F455" s="616"/>
      <c r="J455" s="616"/>
      <c r="K455" s="616"/>
      <c r="N455" s="616"/>
      <c r="V455" s="616"/>
      <c r="AL455" s="616"/>
    </row>
    <row r="456">
      <c r="A456" s="615"/>
      <c r="E456" s="616"/>
      <c r="F456" s="616"/>
      <c r="J456" s="616"/>
      <c r="K456" s="616"/>
      <c r="N456" s="616"/>
      <c r="V456" s="616"/>
      <c r="AL456" s="616"/>
    </row>
    <row r="457">
      <c r="A457" s="615"/>
      <c r="E457" s="616"/>
      <c r="F457" s="616"/>
      <c r="J457" s="616"/>
      <c r="K457" s="616"/>
      <c r="N457" s="616"/>
      <c r="V457" s="616"/>
      <c r="AL457" s="616"/>
    </row>
    <row r="458">
      <c r="A458" s="615"/>
      <c r="E458" s="616"/>
      <c r="F458" s="616"/>
      <c r="J458" s="616"/>
      <c r="K458" s="616"/>
      <c r="N458" s="616"/>
      <c r="V458" s="616"/>
      <c r="AL458" s="616"/>
    </row>
    <row r="459">
      <c r="A459" s="615"/>
      <c r="E459" s="616"/>
      <c r="F459" s="616"/>
      <c r="J459" s="616"/>
      <c r="K459" s="616"/>
      <c r="N459" s="616"/>
      <c r="V459" s="616"/>
      <c r="AL459" s="616"/>
    </row>
    <row r="460">
      <c r="A460" s="615"/>
      <c r="E460" s="616"/>
      <c r="F460" s="616"/>
      <c r="J460" s="616"/>
      <c r="K460" s="616"/>
      <c r="N460" s="616"/>
      <c r="V460" s="616"/>
      <c r="AL460" s="616"/>
    </row>
    <row r="461">
      <c r="A461" s="615"/>
      <c r="E461" s="616"/>
      <c r="F461" s="616"/>
      <c r="J461" s="616"/>
      <c r="K461" s="616"/>
      <c r="N461" s="616"/>
      <c r="V461" s="616"/>
      <c r="AL461" s="616"/>
    </row>
    <row r="462">
      <c r="A462" s="615"/>
      <c r="E462" s="616"/>
      <c r="F462" s="616"/>
      <c r="J462" s="616"/>
      <c r="K462" s="616"/>
      <c r="N462" s="616"/>
      <c r="V462" s="616"/>
      <c r="AL462" s="616"/>
    </row>
    <row r="463">
      <c r="A463" s="615"/>
      <c r="E463" s="616"/>
      <c r="F463" s="616"/>
      <c r="J463" s="616"/>
      <c r="K463" s="616"/>
      <c r="N463" s="616"/>
      <c r="V463" s="616"/>
      <c r="AL463" s="616"/>
    </row>
    <row r="464">
      <c r="A464" s="615"/>
      <c r="E464" s="616"/>
      <c r="F464" s="616"/>
      <c r="J464" s="616"/>
      <c r="K464" s="616"/>
      <c r="N464" s="616"/>
      <c r="V464" s="616"/>
      <c r="AL464" s="616"/>
    </row>
    <row r="465">
      <c r="A465" s="615"/>
      <c r="E465" s="616"/>
      <c r="F465" s="616"/>
      <c r="J465" s="616"/>
      <c r="K465" s="616"/>
      <c r="N465" s="616"/>
      <c r="V465" s="616"/>
      <c r="AL465" s="616"/>
    </row>
    <row r="466">
      <c r="A466" s="615"/>
      <c r="E466" s="616"/>
      <c r="F466" s="616"/>
      <c r="J466" s="616"/>
      <c r="K466" s="616"/>
      <c r="N466" s="616"/>
      <c r="V466" s="616"/>
      <c r="AL466" s="616"/>
    </row>
    <row r="467">
      <c r="A467" s="615"/>
      <c r="E467" s="616"/>
      <c r="F467" s="616"/>
      <c r="J467" s="616"/>
      <c r="K467" s="616"/>
      <c r="N467" s="616"/>
      <c r="V467" s="616"/>
      <c r="AL467" s="616"/>
    </row>
    <row r="468">
      <c r="A468" s="615"/>
      <c r="E468" s="616"/>
      <c r="F468" s="616"/>
      <c r="J468" s="616"/>
      <c r="K468" s="616"/>
      <c r="N468" s="616"/>
      <c r="V468" s="616"/>
      <c r="AL468" s="616"/>
    </row>
    <row r="469">
      <c r="A469" s="615"/>
      <c r="E469" s="616"/>
      <c r="F469" s="616"/>
      <c r="J469" s="616"/>
      <c r="K469" s="616"/>
      <c r="N469" s="616"/>
      <c r="V469" s="616"/>
      <c r="AL469" s="616"/>
    </row>
    <row r="470">
      <c r="A470" s="615"/>
      <c r="E470" s="616"/>
      <c r="F470" s="616"/>
      <c r="J470" s="616"/>
      <c r="K470" s="616"/>
      <c r="N470" s="616"/>
      <c r="V470" s="616"/>
      <c r="AL470" s="616"/>
    </row>
    <row r="471">
      <c r="A471" s="615"/>
      <c r="E471" s="616"/>
      <c r="F471" s="616"/>
      <c r="J471" s="616"/>
      <c r="K471" s="616"/>
      <c r="N471" s="616"/>
      <c r="V471" s="616"/>
      <c r="AL471" s="616"/>
    </row>
    <row r="472">
      <c r="A472" s="615"/>
      <c r="E472" s="616"/>
      <c r="F472" s="616"/>
      <c r="J472" s="616"/>
      <c r="K472" s="616"/>
      <c r="N472" s="616"/>
      <c r="V472" s="616"/>
      <c r="AL472" s="616"/>
    </row>
    <row r="473">
      <c r="A473" s="615"/>
      <c r="E473" s="616"/>
      <c r="F473" s="616"/>
      <c r="J473" s="616"/>
      <c r="K473" s="616"/>
      <c r="N473" s="616"/>
      <c r="V473" s="616"/>
      <c r="AL473" s="616"/>
    </row>
    <row r="474">
      <c r="A474" s="615"/>
      <c r="E474" s="616"/>
      <c r="F474" s="616"/>
      <c r="J474" s="616"/>
      <c r="K474" s="616"/>
      <c r="N474" s="616"/>
      <c r="V474" s="616"/>
      <c r="AL474" s="616"/>
    </row>
    <row r="475">
      <c r="A475" s="615"/>
      <c r="E475" s="616"/>
      <c r="F475" s="616"/>
      <c r="J475" s="616"/>
      <c r="K475" s="616"/>
      <c r="N475" s="616"/>
      <c r="V475" s="616"/>
      <c r="AL475" s="616"/>
    </row>
    <row r="476">
      <c r="A476" s="615"/>
      <c r="E476" s="616"/>
      <c r="F476" s="616"/>
      <c r="J476" s="616"/>
      <c r="K476" s="616"/>
      <c r="N476" s="616"/>
      <c r="V476" s="616"/>
      <c r="AL476" s="616"/>
    </row>
    <row r="477">
      <c r="A477" s="615"/>
      <c r="E477" s="616"/>
      <c r="F477" s="616"/>
      <c r="J477" s="616"/>
      <c r="K477" s="616"/>
      <c r="N477" s="616"/>
      <c r="V477" s="616"/>
      <c r="AL477" s="616"/>
    </row>
    <row r="478">
      <c r="A478" s="615"/>
      <c r="E478" s="616"/>
      <c r="F478" s="616"/>
      <c r="J478" s="616"/>
      <c r="K478" s="616"/>
      <c r="N478" s="616"/>
      <c r="V478" s="616"/>
      <c r="AL478" s="616"/>
    </row>
    <row r="479">
      <c r="A479" s="615"/>
      <c r="E479" s="616"/>
      <c r="F479" s="616"/>
      <c r="J479" s="616"/>
      <c r="K479" s="616"/>
      <c r="N479" s="616"/>
      <c r="V479" s="616"/>
      <c r="AL479" s="616"/>
    </row>
    <row r="480">
      <c r="A480" s="615"/>
      <c r="E480" s="616"/>
      <c r="F480" s="616"/>
      <c r="J480" s="616"/>
      <c r="K480" s="616"/>
      <c r="N480" s="616"/>
      <c r="V480" s="616"/>
      <c r="AL480" s="616"/>
    </row>
    <row r="481">
      <c r="A481" s="615"/>
      <c r="E481" s="616"/>
      <c r="F481" s="616"/>
      <c r="J481" s="616"/>
      <c r="K481" s="616"/>
      <c r="N481" s="616"/>
      <c r="V481" s="616"/>
      <c r="AL481" s="616"/>
    </row>
    <row r="482">
      <c r="A482" s="615"/>
      <c r="E482" s="616"/>
      <c r="F482" s="616"/>
      <c r="J482" s="616"/>
      <c r="K482" s="616"/>
      <c r="N482" s="616"/>
      <c r="V482" s="616"/>
      <c r="AL482" s="616"/>
    </row>
    <row r="483">
      <c r="A483" s="615"/>
      <c r="E483" s="616"/>
      <c r="F483" s="616"/>
      <c r="J483" s="616"/>
      <c r="K483" s="616"/>
      <c r="N483" s="616"/>
      <c r="V483" s="616"/>
      <c r="AL483" s="616"/>
    </row>
    <row r="484">
      <c r="A484" s="615"/>
      <c r="E484" s="616"/>
      <c r="F484" s="616"/>
      <c r="J484" s="616"/>
      <c r="K484" s="616"/>
      <c r="N484" s="616"/>
      <c r="V484" s="616"/>
      <c r="AL484" s="616"/>
    </row>
    <row r="485">
      <c r="A485" s="615"/>
      <c r="E485" s="616"/>
      <c r="F485" s="616"/>
      <c r="J485" s="616"/>
      <c r="K485" s="616"/>
      <c r="N485" s="616"/>
      <c r="V485" s="616"/>
      <c r="AL485" s="616"/>
    </row>
    <row r="486">
      <c r="A486" s="615"/>
      <c r="E486" s="616"/>
      <c r="F486" s="616"/>
      <c r="J486" s="616"/>
      <c r="K486" s="616"/>
      <c r="N486" s="616"/>
      <c r="V486" s="616"/>
      <c r="AL486" s="616"/>
    </row>
    <row r="487">
      <c r="A487" s="615"/>
      <c r="E487" s="616"/>
      <c r="F487" s="616"/>
      <c r="J487" s="616"/>
      <c r="K487" s="616"/>
      <c r="N487" s="616"/>
      <c r="V487" s="616"/>
      <c r="AL487" s="616"/>
    </row>
    <row r="488">
      <c r="A488" s="615"/>
      <c r="E488" s="616"/>
      <c r="F488" s="616"/>
      <c r="J488" s="616"/>
      <c r="K488" s="616"/>
      <c r="N488" s="616"/>
      <c r="V488" s="616"/>
      <c r="AL488" s="616"/>
    </row>
    <row r="489">
      <c r="A489" s="615"/>
      <c r="E489" s="616"/>
      <c r="F489" s="616"/>
      <c r="J489" s="616"/>
      <c r="K489" s="616"/>
      <c r="N489" s="616"/>
      <c r="V489" s="616"/>
      <c r="AL489" s="616"/>
    </row>
    <row r="490">
      <c r="A490" s="615"/>
      <c r="E490" s="616"/>
      <c r="F490" s="616"/>
      <c r="J490" s="616"/>
      <c r="K490" s="616"/>
      <c r="N490" s="616"/>
      <c r="V490" s="616"/>
      <c r="AL490" s="616"/>
    </row>
    <row r="491">
      <c r="A491" s="615"/>
      <c r="E491" s="616"/>
      <c r="F491" s="616"/>
      <c r="J491" s="616"/>
      <c r="K491" s="616"/>
      <c r="N491" s="616"/>
      <c r="V491" s="616"/>
      <c r="AL491" s="616"/>
    </row>
    <row r="492">
      <c r="A492" s="615"/>
      <c r="E492" s="616"/>
      <c r="F492" s="616"/>
      <c r="J492" s="616"/>
      <c r="K492" s="616"/>
      <c r="N492" s="616"/>
      <c r="V492" s="616"/>
      <c r="AL492" s="616"/>
    </row>
    <row r="493">
      <c r="A493" s="615"/>
      <c r="E493" s="616"/>
      <c r="F493" s="616"/>
      <c r="J493" s="616"/>
      <c r="K493" s="616"/>
      <c r="N493" s="616"/>
      <c r="V493" s="616"/>
      <c r="AL493" s="616"/>
    </row>
    <row r="494">
      <c r="A494" s="615"/>
      <c r="E494" s="616"/>
      <c r="F494" s="616"/>
      <c r="J494" s="616"/>
      <c r="K494" s="616"/>
      <c r="N494" s="616"/>
      <c r="V494" s="616"/>
      <c r="AL494" s="616"/>
    </row>
    <row r="495">
      <c r="A495" s="615"/>
      <c r="E495" s="616"/>
      <c r="F495" s="616"/>
      <c r="J495" s="616"/>
      <c r="K495" s="616"/>
      <c r="N495" s="616"/>
      <c r="V495" s="616"/>
      <c r="AL495" s="616"/>
    </row>
    <row r="496">
      <c r="A496" s="615"/>
      <c r="E496" s="616"/>
      <c r="F496" s="616"/>
      <c r="J496" s="616"/>
      <c r="K496" s="616"/>
      <c r="N496" s="616"/>
      <c r="V496" s="616"/>
      <c r="AL496" s="616"/>
    </row>
    <row r="497">
      <c r="A497" s="615"/>
      <c r="E497" s="616"/>
      <c r="F497" s="616"/>
      <c r="J497" s="616"/>
      <c r="K497" s="616"/>
      <c r="N497" s="616"/>
      <c r="V497" s="616"/>
      <c r="AL497" s="616"/>
    </row>
    <row r="498">
      <c r="A498" s="615"/>
      <c r="E498" s="616"/>
      <c r="F498" s="616"/>
      <c r="J498" s="616"/>
      <c r="K498" s="616"/>
      <c r="N498" s="616"/>
      <c r="V498" s="616"/>
      <c r="AL498" s="616"/>
    </row>
    <row r="499">
      <c r="A499" s="615"/>
      <c r="E499" s="616"/>
      <c r="F499" s="616"/>
      <c r="J499" s="616"/>
      <c r="K499" s="616"/>
      <c r="N499" s="616"/>
      <c r="V499" s="616"/>
      <c r="AL499" s="616"/>
    </row>
    <row r="500">
      <c r="A500" s="615"/>
      <c r="E500" s="616"/>
      <c r="F500" s="616"/>
      <c r="J500" s="616"/>
      <c r="K500" s="616"/>
      <c r="N500" s="616"/>
      <c r="V500" s="616"/>
      <c r="AL500" s="616"/>
    </row>
    <row r="501">
      <c r="A501" s="615"/>
      <c r="E501" s="616"/>
      <c r="F501" s="616"/>
      <c r="J501" s="616"/>
      <c r="K501" s="616"/>
      <c r="N501" s="616"/>
      <c r="V501" s="616"/>
      <c r="AL501" s="616"/>
    </row>
    <row r="502">
      <c r="A502" s="615"/>
      <c r="E502" s="616"/>
      <c r="F502" s="616"/>
      <c r="J502" s="616"/>
      <c r="K502" s="616"/>
      <c r="N502" s="616"/>
      <c r="V502" s="616"/>
      <c r="AL502" s="616"/>
    </row>
    <row r="503">
      <c r="A503" s="615"/>
      <c r="E503" s="616"/>
      <c r="F503" s="616"/>
      <c r="J503" s="616"/>
      <c r="K503" s="616"/>
      <c r="N503" s="616"/>
      <c r="V503" s="616"/>
      <c r="AL503" s="616"/>
    </row>
    <row r="504">
      <c r="A504" s="615"/>
      <c r="E504" s="616"/>
      <c r="F504" s="616"/>
      <c r="J504" s="616"/>
      <c r="K504" s="616"/>
      <c r="N504" s="616"/>
      <c r="V504" s="616"/>
      <c r="AL504" s="616"/>
    </row>
    <row r="505">
      <c r="A505" s="615"/>
      <c r="E505" s="616"/>
      <c r="F505" s="616"/>
      <c r="J505" s="616"/>
      <c r="K505" s="616"/>
      <c r="N505" s="616"/>
      <c r="V505" s="616"/>
      <c r="AL505" s="616"/>
    </row>
    <row r="506">
      <c r="A506" s="615"/>
      <c r="E506" s="616"/>
      <c r="F506" s="616"/>
      <c r="J506" s="616"/>
      <c r="K506" s="616"/>
      <c r="N506" s="616"/>
      <c r="V506" s="616"/>
      <c r="AL506" s="616"/>
    </row>
    <row r="507">
      <c r="A507" s="615"/>
      <c r="E507" s="616"/>
      <c r="F507" s="616"/>
      <c r="J507" s="616"/>
      <c r="K507" s="616"/>
      <c r="N507" s="616"/>
      <c r="V507" s="616"/>
      <c r="AL507" s="616"/>
    </row>
    <row r="508">
      <c r="A508" s="615"/>
      <c r="E508" s="616"/>
      <c r="F508" s="616"/>
      <c r="J508" s="616"/>
      <c r="K508" s="616"/>
      <c r="N508" s="616"/>
      <c r="V508" s="616"/>
      <c r="AL508" s="616"/>
    </row>
    <row r="509">
      <c r="A509" s="615"/>
      <c r="E509" s="616"/>
      <c r="F509" s="616"/>
      <c r="J509" s="616"/>
      <c r="K509" s="616"/>
      <c r="N509" s="616"/>
      <c r="V509" s="616"/>
      <c r="AL509" s="616"/>
    </row>
    <row r="510">
      <c r="A510" s="615"/>
      <c r="E510" s="616"/>
      <c r="F510" s="616"/>
      <c r="J510" s="616"/>
      <c r="K510" s="616"/>
      <c r="N510" s="616"/>
      <c r="V510" s="616"/>
      <c r="AL510" s="616"/>
    </row>
    <row r="511">
      <c r="A511" s="615"/>
      <c r="E511" s="616"/>
      <c r="F511" s="616"/>
      <c r="J511" s="616"/>
      <c r="K511" s="616"/>
      <c r="N511" s="616"/>
      <c r="V511" s="616"/>
      <c r="AL511" s="616"/>
    </row>
    <row r="512">
      <c r="A512" s="615"/>
      <c r="E512" s="616"/>
      <c r="F512" s="616"/>
      <c r="J512" s="616"/>
      <c r="K512" s="616"/>
      <c r="N512" s="616"/>
      <c r="V512" s="616"/>
      <c r="AL512" s="616"/>
    </row>
    <row r="513">
      <c r="A513" s="615"/>
      <c r="E513" s="616"/>
      <c r="F513" s="616"/>
      <c r="J513" s="616"/>
      <c r="K513" s="616"/>
      <c r="N513" s="616"/>
      <c r="V513" s="616"/>
      <c r="AL513" s="616"/>
    </row>
    <row r="514">
      <c r="A514" s="615"/>
      <c r="E514" s="616"/>
      <c r="F514" s="616"/>
      <c r="J514" s="616"/>
      <c r="K514" s="616"/>
      <c r="N514" s="616"/>
      <c r="V514" s="616"/>
      <c r="AL514" s="616"/>
    </row>
    <row r="515">
      <c r="A515" s="615"/>
      <c r="E515" s="616"/>
      <c r="F515" s="616"/>
      <c r="J515" s="616"/>
      <c r="K515" s="616"/>
      <c r="N515" s="616"/>
      <c r="V515" s="616"/>
      <c r="AL515" s="616"/>
    </row>
    <row r="516">
      <c r="A516" s="615"/>
      <c r="E516" s="616"/>
      <c r="F516" s="616"/>
      <c r="J516" s="616"/>
      <c r="K516" s="616"/>
      <c r="N516" s="616"/>
      <c r="V516" s="616"/>
      <c r="AL516" s="616"/>
    </row>
    <row r="517">
      <c r="A517" s="615"/>
      <c r="E517" s="616"/>
      <c r="F517" s="616"/>
      <c r="J517" s="616"/>
      <c r="K517" s="616"/>
      <c r="N517" s="616"/>
      <c r="V517" s="616"/>
      <c r="AL517" s="616"/>
    </row>
    <row r="518">
      <c r="A518" s="615"/>
      <c r="E518" s="616"/>
      <c r="F518" s="616"/>
      <c r="J518" s="616"/>
      <c r="K518" s="616"/>
      <c r="N518" s="616"/>
      <c r="V518" s="616"/>
      <c r="AL518" s="616"/>
    </row>
    <row r="519">
      <c r="A519" s="615"/>
      <c r="E519" s="616"/>
      <c r="F519" s="616"/>
      <c r="J519" s="616"/>
      <c r="K519" s="616"/>
      <c r="N519" s="616"/>
      <c r="V519" s="616"/>
      <c r="AL519" s="616"/>
    </row>
    <row r="520">
      <c r="A520" s="615"/>
      <c r="E520" s="616"/>
      <c r="F520" s="616"/>
      <c r="J520" s="616"/>
      <c r="K520" s="616"/>
      <c r="N520" s="616"/>
      <c r="V520" s="616"/>
      <c r="AL520" s="616"/>
    </row>
    <row r="521">
      <c r="A521" s="615"/>
      <c r="E521" s="616"/>
      <c r="F521" s="616"/>
      <c r="J521" s="616"/>
      <c r="K521" s="616"/>
      <c r="N521" s="616"/>
      <c r="V521" s="616"/>
      <c r="AL521" s="616"/>
    </row>
    <row r="522">
      <c r="A522" s="615"/>
      <c r="E522" s="616"/>
      <c r="F522" s="616"/>
      <c r="J522" s="616"/>
      <c r="K522" s="616"/>
      <c r="N522" s="616"/>
      <c r="V522" s="616"/>
      <c r="AL522" s="616"/>
    </row>
    <row r="523">
      <c r="A523" s="615"/>
      <c r="E523" s="616"/>
      <c r="F523" s="616"/>
      <c r="J523" s="616"/>
      <c r="K523" s="616"/>
      <c r="N523" s="616"/>
      <c r="V523" s="616"/>
      <c r="AL523" s="616"/>
    </row>
    <row r="524">
      <c r="A524" s="615"/>
      <c r="E524" s="616"/>
      <c r="F524" s="616"/>
      <c r="J524" s="616"/>
      <c r="K524" s="616"/>
      <c r="N524" s="616"/>
      <c r="V524" s="616"/>
      <c r="AL524" s="616"/>
    </row>
    <row r="525">
      <c r="A525" s="615"/>
      <c r="E525" s="616"/>
      <c r="F525" s="616"/>
      <c r="J525" s="616"/>
      <c r="K525" s="616"/>
      <c r="N525" s="616"/>
      <c r="V525" s="616"/>
      <c r="AL525" s="616"/>
    </row>
    <row r="526">
      <c r="A526" s="615"/>
      <c r="E526" s="616"/>
      <c r="F526" s="616"/>
      <c r="J526" s="616"/>
      <c r="K526" s="616"/>
      <c r="N526" s="616"/>
      <c r="V526" s="616"/>
      <c r="AL526" s="616"/>
    </row>
    <row r="527">
      <c r="A527" s="615"/>
      <c r="E527" s="616"/>
      <c r="F527" s="616"/>
      <c r="J527" s="616"/>
      <c r="K527" s="616"/>
      <c r="N527" s="616"/>
      <c r="V527" s="616"/>
      <c r="AL527" s="616"/>
    </row>
    <row r="528">
      <c r="A528" s="615"/>
      <c r="E528" s="616"/>
      <c r="F528" s="616"/>
      <c r="J528" s="616"/>
      <c r="K528" s="616"/>
      <c r="N528" s="616"/>
      <c r="V528" s="616"/>
      <c r="AL528" s="616"/>
    </row>
    <row r="529">
      <c r="A529" s="615"/>
      <c r="E529" s="616"/>
      <c r="F529" s="616"/>
      <c r="J529" s="616"/>
      <c r="K529" s="616"/>
      <c r="N529" s="616"/>
      <c r="V529" s="616"/>
      <c r="AL529" s="616"/>
    </row>
    <row r="530">
      <c r="A530" s="615"/>
      <c r="E530" s="616"/>
      <c r="F530" s="616"/>
      <c r="J530" s="616"/>
      <c r="K530" s="616"/>
      <c r="N530" s="616"/>
      <c r="V530" s="616"/>
      <c r="AL530" s="616"/>
    </row>
    <row r="531">
      <c r="A531" s="615"/>
      <c r="E531" s="616"/>
      <c r="F531" s="616"/>
      <c r="J531" s="616"/>
      <c r="K531" s="616"/>
      <c r="N531" s="616"/>
      <c r="V531" s="616"/>
      <c r="AL531" s="616"/>
    </row>
    <row r="532">
      <c r="A532" s="615"/>
      <c r="E532" s="616"/>
      <c r="F532" s="616"/>
      <c r="J532" s="616"/>
      <c r="K532" s="616"/>
      <c r="N532" s="616"/>
      <c r="V532" s="616"/>
      <c r="AL532" s="616"/>
    </row>
    <row r="533">
      <c r="A533" s="615"/>
      <c r="E533" s="616"/>
      <c r="F533" s="616"/>
      <c r="J533" s="616"/>
      <c r="K533" s="616"/>
      <c r="N533" s="616"/>
      <c r="V533" s="616"/>
      <c r="AL533" s="616"/>
    </row>
    <row r="534">
      <c r="A534" s="615"/>
      <c r="E534" s="616"/>
      <c r="F534" s="616"/>
      <c r="J534" s="616"/>
      <c r="K534" s="616"/>
      <c r="N534" s="616"/>
      <c r="V534" s="616"/>
      <c r="AL534" s="616"/>
    </row>
    <row r="535">
      <c r="A535" s="615"/>
      <c r="E535" s="616"/>
      <c r="F535" s="616"/>
      <c r="J535" s="616"/>
      <c r="K535" s="616"/>
      <c r="N535" s="616"/>
      <c r="V535" s="616"/>
      <c r="AL535" s="616"/>
    </row>
    <row r="536">
      <c r="A536" s="615"/>
      <c r="E536" s="616"/>
      <c r="F536" s="616"/>
      <c r="J536" s="616"/>
      <c r="K536" s="616"/>
      <c r="N536" s="616"/>
      <c r="V536" s="616"/>
      <c r="AL536" s="616"/>
    </row>
    <row r="537">
      <c r="A537" s="615"/>
      <c r="E537" s="616"/>
      <c r="F537" s="616"/>
      <c r="J537" s="616"/>
      <c r="K537" s="616"/>
      <c r="N537" s="616"/>
      <c r="V537" s="616"/>
      <c r="AL537" s="616"/>
    </row>
    <row r="538">
      <c r="A538" s="615"/>
      <c r="E538" s="616"/>
      <c r="F538" s="616"/>
      <c r="J538" s="616"/>
      <c r="K538" s="616"/>
      <c r="N538" s="616"/>
      <c r="V538" s="616"/>
      <c r="AL538" s="616"/>
    </row>
    <row r="539">
      <c r="A539" s="615"/>
      <c r="E539" s="616"/>
      <c r="F539" s="616"/>
      <c r="J539" s="616"/>
      <c r="K539" s="616"/>
      <c r="N539" s="616"/>
      <c r="V539" s="616"/>
      <c r="AL539" s="616"/>
    </row>
    <row r="540">
      <c r="A540" s="615"/>
      <c r="E540" s="616"/>
      <c r="F540" s="616"/>
      <c r="J540" s="616"/>
      <c r="K540" s="616"/>
      <c r="N540" s="616"/>
      <c r="V540" s="616"/>
      <c r="AL540" s="616"/>
    </row>
    <row r="541">
      <c r="A541" s="615"/>
      <c r="E541" s="616"/>
      <c r="F541" s="616"/>
      <c r="J541" s="616"/>
      <c r="K541" s="616"/>
      <c r="N541" s="616"/>
      <c r="V541" s="616"/>
      <c r="AL541" s="616"/>
    </row>
    <row r="542">
      <c r="A542" s="615"/>
      <c r="E542" s="616"/>
      <c r="F542" s="616"/>
      <c r="J542" s="616"/>
      <c r="K542" s="616"/>
      <c r="N542" s="616"/>
      <c r="V542" s="616"/>
      <c r="AL542" s="616"/>
    </row>
    <row r="543">
      <c r="A543" s="615"/>
      <c r="E543" s="616"/>
      <c r="F543" s="616"/>
      <c r="J543" s="616"/>
      <c r="K543" s="616"/>
      <c r="N543" s="616"/>
      <c r="V543" s="616"/>
      <c r="AL543" s="616"/>
    </row>
    <row r="544">
      <c r="A544" s="615"/>
      <c r="E544" s="616"/>
      <c r="F544" s="616"/>
      <c r="J544" s="616"/>
      <c r="K544" s="616"/>
      <c r="N544" s="616"/>
      <c r="V544" s="616"/>
      <c r="AL544" s="616"/>
    </row>
    <row r="545">
      <c r="A545" s="615"/>
      <c r="E545" s="616"/>
      <c r="F545" s="616"/>
      <c r="J545" s="616"/>
      <c r="K545" s="616"/>
      <c r="N545" s="616"/>
      <c r="V545" s="616"/>
      <c r="AL545" s="616"/>
    </row>
    <row r="546">
      <c r="A546" s="615"/>
      <c r="E546" s="616"/>
      <c r="F546" s="616"/>
      <c r="J546" s="616"/>
      <c r="K546" s="616"/>
      <c r="N546" s="616"/>
      <c r="V546" s="616"/>
      <c r="AL546" s="616"/>
    </row>
    <row r="547">
      <c r="A547" s="615"/>
      <c r="E547" s="616"/>
      <c r="F547" s="616"/>
      <c r="J547" s="616"/>
      <c r="K547" s="616"/>
      <c r="N547" s="616"/>
      <c r="V547" s="616"/>
      <c r="AL547" s="616"/>
    </row>
    <row r="548">
      <c r="A548" s="615"/>
      <c r="E548" s="616"/>
      <c r="F548" s="616"/>
      <c r="J548" s="616"/>
      <c r="K548" s="616"/>
      <c r="N548" s="616"/>
      <c r="V548" s="616"/>
      <c r="AL548" s="616"/>
    </row>
    <row r="549">
      <c r="A549" s="615"/>
      <c r="E549" s="616"/>
      <c r="F549" s="616"/>
      <c r="J549" s="616"/>
      <c r="K549" s="616"/>
      <c r="N549" s="616"/>
      <c r="V549" s="616"/>
      <c r="AL549" s="616"/>
    </row>
    <row r="550">
      <c r="A550" s="615"/>
      <c r="E550" s="616"/>
      <c r="F550" s="616"/>
      <c r="J550" s="616"/>
      <c r="K550" s="616"/>
      <c r="N550" s="616"/>
      <c r="V550" s="616"/>
      <c r="AL550" s="616"/>
    </row>
    <row r="551">
      <c r="A551" s="615"/>
      <c r="E551" s="616"/>
      <c r="F551" s="616"/>
      <c r="J551" s="616"/>
      <c r="K551" s="616"/>
      <c r="N551" s="616"/>
      <c r="V551" s="616"/>
      <c r="AL551" s="616"/>
    </row>
    <row r="552">
      <c r="A552" s="615"/>
      <c r="E552" s="616"/>
      <c r="F552" s="616"/>
      <c r="J552" s="616"/>
      <c r="K552" s="616"/>
      <c r="N552" s="616"/>
      <c r="V552" s="616"/>
      <c r="AL552" s="616"/>
    </row>
    <row r="553">
      <c r="A553" s="615"/>
      <c r="E553" s="616"/>
      <c r="F553" s="616"/>
      <c r="J553" s="616"/>
      <c r="K553" s="616"/>
      <c r="N553" s="616"/>
      <c r="V553" s="616"/>
      <c r="AL553" s="616"/>
    </row>
    <row r="554">
      <c r="A554" s="615"/>
      <c r="E554" s="616"/>
      <c r="F554" s="616"/>
      <c r="J554" s="616"/>
      <c r="K554" s="616"/>
      <c r="N554" s="616"/>
      <c r="V554" s="616"/>
      <c r="AL554" s="616"/>
    </row>
    <row r="555">
      <c r="A555" s="615"/>
      <c r="E555" s="616"/>
      <c r="F555" s="616"/>
      <c r="J555" s="616"/>
      <c r="K555" s="616"/>
      <c r="N555" s="616"/>
      <c r="V555" s="616"/>
      <c r="AL555" s="616"/>
    </row>
    <row r="556">
      <c r="A556" s="615"/>
      <c r="E556" s="616"/>
      <c r="F556" s="616"/>
      <c r="J556" s="616"/>
      <c r="K556" s="616"/>
      <c r="N556" s="616"/>
      <c r="V556" s="616"/>
      <c r="AL556" s="616"/>
    </row>
    <row r="557">
      <c r="A557" s="615"/>
      <c r="E557" s="616"/>
      <c r="F557" s="616"/>
      <c r="J557" s="616"/>
      <c r="K557" s="616"/>
      <c r="N557" s="616"/>
      <c r="V557" s="616"/>
      <c r="AL557" s="616"/>
    </row>
    <row r="558">
      <c r="A558" s="615"/>
      <c r="E558" s="616"/>
      <c r="F558" s="616"/>
      <c r="J558" s="616"/>
      <c r="K558" s="616"/>
      <c r="N558" s="616"/>
      <c r="V558" s="616"/>
      <c r="AL558" s="616"/>
    </row>
    <row r="559">
      <c r="A559" s="615"/>
      <c r="E559" s="616"/>
      <c r="F559" s="616"/>
      <c r="J559" s="616"/>
      <c r="K559" s="616"/>
      <c r="N559" s="616"/>
      <c r="V559" s="616"/>
      <c r="AL559" s="616"/>
    </row>
    <row r="560">
      <c r="A560" s="615"/>
      <c r="E560" s="616"/>
      <c r="F560" s="616"/>
      <c r="J560" s="616"/>
      <c r="K560" s="616"/>
      <c r="N560" s="616"/>
      <c r="V560" s="616"/>
      <c r="AL560" s="616"/>
    </row>
    <row r="561">
      <c r="A561" s="615"/>
      <c r="E561" s="616"/>
      <c r="F561" s="616"/>
      <c r="J561" s="616"/>
      <c r="K561" s="616"/>
      <c r="N561" s="616"/>
      <c r="V561" s="616"/>
      <c r="AL561" s="616"/>
    </row>
    <row r="562">
      <c r="A562" s="615"/>
      <c r="E562" s="616"/>
      <c r="F562" s="616"/>
      <c r="J562" s="616"/>
      <c r="K562" s="616"/>
      <c r="N562" s="616"/>
      <c r="V562" s="616"/>
      <c r="AL562" s="616"/>
    </row>
    <row r="563">
      <c r="A563" s="615"/>
      <c r="E563" s="616"/>
      <c r="F563" s="616"/>
      <c r="J563" s="616"/>
      <c r="K563" s="616"/>
      <c r="N563" s="616"/>
      <c r="V563" s="616"/>
      <c r="AL563" s="616"/>
    </row>
    <row r="564">
      <c r="A564" s="615"/>
      <c r="E564" s="616"/>
      <c r="F564" s="616"/>
      <c r="J564" s="616"/>
      <c r="K564" s="616"/>
      <c r="N564" s="616"/>
      <c r="V564" s="616"/>
      <c r="AL564" s="616"/>
    </row>
    <row r="565">
      <c r="A565" s="615"/>
      <c r="E565" s="616"/>
      <c r="F565" s="616"/>
      <c r="J565" s="616"/>
      <c r="K565" s="616"/>
      <c r="N565" s="616"/>
      <c r="V565" s="616"/>
      <c r="AL565" s="616"/>
    </row>
    <row r="566">
      <c r="A566" s="615"/>
      <c r="E566" s="616"/>
      <c r="F566" s="616"/>
      <c r="J566" s="616"/>
      <c r="K566" s="616"/>
      <c r="N566" s="616"/>
      <c r="V566" s="616"/>
      <c r="AL566" s="616"/>
    </row>
    <row r="567">
      <c r="A567" s="615"/>
      <c r="E567" s="616"/>
      <c r="F567" s="616"/>
      <c r="J567" s="616"/>
      <c r="K567" s="616"/>
      <c r="N567" s="616"/>
      <c r="V567" s="616"/>
      <c r="AL567" s="616"/>
    </row>
    <row r="568">
      <c r="A568" s="615"/>
      <c r="E568" s="616"/>
      <c r="F568" s="616"/>
      <c r="J568" s="616"/>
      <c r="K568" s="616"/>
      <c r="N568" s="616"/>
      <c r="V568" s="616"/>
      <c r="AL568" s="616"/>
    </row>
    <row r="569">
      <c r="A569" s="615"/>
      <c r="E569" s="616"/>
      <c r="F569" s="616"/>
      <c r="J569" s="616"/>
      <c r="K569" s="616"/>
      <c r="N569" s="616"/>
      <c r="V569" s="616"/>
      <c r="AL569" s="616"/>
    </row>
    <row r="570">
      <c r="A570" s="615"/>
      <c r="E570" s="616"/>
      <c r="F570" s="616"/>
      <c r="J570" s="616"/>
      <c r="K570" s="616"/>
      <c r="N570" s="616"/>
      <c r="V570" s="616"/>
      <c r="AL570" s="616"/>
    </row>
    <row r="571">
      <c r="A571" s="615"/>
      <c r="E571" s="616"/>
      <c r="F571" s="616"/>
      <c r="J571" s="616"/>
      <c r="K571" s="616"/>
      <c r="N571" s="616"/>
      <c r="V571" s="616"/>
      <c r="AL571" s="616"/>
    </row>
    <row r="572">
      <c r="A572" s="615"/>
      <c r="E572" s="616"/>
      <c r="F572" s="616"/>
      <c r="J572" s="616"/>
      <c r="K572" s="616"/>
      <c r="N572" s="616"/>
      <c r="V572" s="616"/>
      <c r="AL572" s="616"/>
    </row>
    <row r="573">
      <c r="A573" s="615"/>
      <c r="E573" s="616"/>
      <c r="F573" s="616"/>
      <c r="J573" s="616"/>
      <c r="K573" s="616"/>
      <c r="N573" s="616"/>
      <c r="V573" s="616"/>
      <c r="AL573" s="616"/>
    </row>
    <row r="574">
      <c r="A574" s="615"/>
      <c r="E574" s="616"/>
      <c r="F574" s="616"/>
      <c r="J574" s="616"/>
      <c r="K574" s="616"/>
      <c r="N574" s="616"/>
      <c r="V574" s="616"/>
      <c r="AL574" s="616"/>
    </row>
    <row r="575">
      <c r="A575" s="615"/>
      <c r="E575" s="616"/>
      <c r="F575" s="616"/>
      <c r="J575" s="616"/>
      <c r="K575" s="616"/>
      <c r="N575" s="616"/>
      <c r="V575" s="616"/>
      <c r="AL575" s="616"/>
    </row>
    <row r="576">
      <c r="A576" s="615"/>
      <c r="E576" s="616"/>
      <c r="F576" s="616"/>
      <c r="J576" s="616"/>
      <c r="K576" s="616"/>
      <c r="N576" s="616"/>
      <c r="V576" s="616"/>
      <c r="AL576" s="616"/>
    </row>
    <row r="577">
      <c r="A577" s="615"/>
      <c r="E577" s="616"/>
      <c r="F577" s="616"/>
      <c r="J577" s="616"/>
      <c r="K577" s="616"/>
      <c r="N577" s="616"/>
      <c r="V577" s="616"/>
      <c r="AL577" s="616"/>
    </row>
    <row r="578">
      <c r="A578" s="615"/>
      <c r="E578" s="616"/>
      <c r="F578" s="616"/>
      <c r="J578" s="616"/>
      <c r="K578" s="616"/>
      <c r="N578" s="616"/>
      <c r="V578" s="616"/>
      <c r="AL578" s="616"/>
    </row>
    <row r="579">
      <c r="A579" s="615"/>
      <c r="E579" s="616"/>
      <c r="F579" s="616"/>
      <c r="J579" s="616"/>
      <c r="K579" s="616"/>
      <c r="N579" s="616"/>
      <c r="V579" s="616"/>
      <c r="AL579" s="616"/>
    </row>
    <row r="580">
      <c r="A580" s="615"/>
      <c r="E580" s="616"/>
      <c r="F580" s="616"/>
      <c r="J580" s="616"/>
      <c r="K580" s="616"/>
      <c r="N580" s="616"/>
      <c r="V580" s="616"/>
      <c r="AL580" s="616"/>
    </row>
    <row r="581">
      <c r="A581" s="615"/>
      <c r="E581" s="616"/>
      <c r="F581" s="616"/>
      <c r="J581" s="616"/>
      <c r="K581" s="616"/>
      <c r="N581" s="616"/>
      <c r="V581" s="616"/>
      <c r="AL581" s="616"/>
    </row>
    <row r="582">
      <c r="A582" s="615"/>
      <c r="E582" s="616"/>
      <c r="F582" s="616"/>
      <c r="J582" s="616"/>
      <c r="K582" s="616"/>
      <c r="N582" s="616"/>
      <c r="V582" s="616"/>
      <c r="AL582" s="616"/>
    </row>
    <row r="583">
      <c r="A583" s="615"/>
      <c r="E583" s="616"/>
      <c r="F583" s="616"/>
      <c r="J583" s="616"/>
      <c r="K583" s="616"/>
      <c r="N583" s="616"/>
      <c r="V583" s="616"/>
      <c r="AL583" s="616"/>
    </row>
    <row r="584">
      <c r="A584" s="615"/>
      <c r="E584" s="616"/>
      <c r="F584" s="616"/>
      <c r="J584" s="616"/>
      <c r="K584" s="616"/>
      <c r="N584" s="616"/>
      <c r="V584" s="616"/>
      <c r="AL584" s="616"/>
    </row>
    <row r="585">
      <c r="A585" s="615"/>
      <c r="E585" s="616"/>
      <c r="F585" s="616"/>
      <c r="J585" s="616"/>
      <c r="K585" s="616"/>
      <c r="N585" s="616"/>
      <c r="V585" s="616"/>
      <c r="AL585" s="616"/>
    </row>
    <row r="586">
      <c r="A586" s="615"/>
      <c r="E586" s="616"/>
      <c r="F586" s="616"/>
      <c r="J586" s="616"/>
      <c r="K586" s="616"/>
      <c r="N586" s="616"/>
      <c r="V586" s="616"/>
      <c r="AL586" s="616"/>
    </row>
    <row r="587">
      <c r="A587" s="615"/>
      <c r="E587" s="616"/>
      <c r="F587" s="616"/>
      <c r="J587" s="616"/>
      <c r="K587" s="616"/>
      <c r="N587" s="616"/>
      <c r="V587" s="616"/>
      <c r="AL587" s="616"/>
    </row>
    <row r="588">
      <c r="A588" s="615"/>
      <c r="E588" s="616"/>
      <c r="F588" s="616"/>
      <c r="J588" s="616"/>
      <c r="K588" s="616"/>
      <c r="N588" s="616"/>
      <c r="V588" s="616"/>
      <c r="AL588" s="616"/>
    </row>
    <row r="589">
      <c r="A589" s="615"/>
      <c r="E589" s="616"/>
      <c r="F589" s="616"/>
      <c r="J589" s="616"/>
      <c r="K589" s="616"/>
      <c r="N589" s="616"/>
      <c r="V589" s="616"/>
      <c r="AL589" s="616"/>
    </row>
    <row r="590">
      <c r="A590" s="615"/>
      <c r="E590" s="616"/>
      <c r="F590" s="616"/>
      <c r="J590" s="616"/>
      <c r="K590" s="616"/>
      <c r="N590" s="616"/>
      <c r="V590" s="616"/>
      <c r="AL590" s="616"/>
    </row>
    <row r="591">
      <c r="A591" s="615"/>
      <c r="E591" s="616"/>
      <c r="F591" s="616"/>
      <c r="J591" s="616"/>
      <c r="K591" s="616"/>
      <c r="N591" s="616"/>
      <c r="V591" s="616"/>
      <c r="AL591" s="616"/>
    </row>
    <row r="592">
      <c r="A592" s="615"/>
      <c r="E592" s="616"/>
      <c r="F592" s="616"/>
      <c r="J592" s="616"/>
      <c r="K592" s="616"/>
      <c r="N592" s="616"/>
      <c r="V592" s="616"/>
      <c r="AL592" s="616"/>
    </row>
    <row r="593">
      <c r="A593" s="615"/>
      <c r="E593" s="616"/>
      <c r="F593" s="616"/>
      <c r="J593" s="616"/>
      <c r="K593" s="616"/>
      <c r="N593" s="616"/>
      <c r="V593" s="616"/>
      <c r="AL593" s="616"/>
    </row>
    <row r="594">
      <c r="A594" s="615"/>
      <c r="E594" s="616"/>
      <c r="F594" s="616"/>
      <c r="J594" s="616"/>
      <c r="K594" s="616"/>
      <c r="N594" s="616"/>
      <c r="V594" s="616"/>
      <c r="AL594" s="616"/>
    </row>
    <row r="595">
      <c r="A595" s="615"/>
      <c r="E595" s="616"/>
      <c r="F595" s="616"/>
      <c r="J595" s="616"/>
      <c r="K595" s="616"/>
      <c r="N595" s="616"/>
      <c r="V595" s="616"/>
      <c r="AL595" s="616"/>
    </row>
    <row r="596">
      <c r="A596" s="615"/>
      <c r="E596" s="616"/>
      <c r="F596" s="616"/>
      <c r="J596" s="616"/>
      <c r="K596" s="616"/>
      <c r="N596" s="616"/>
      <c r="V596" s="616"/>
      <c r="AL596" s="616"/>
    </row>
    <row r="597">
      <c r="A597" s="615"/>
      <c r="E597" s="616"/>
      <c r="F597" s="616"/>
      <c r="J597" s="616"/>
      <c r="K597" s="616"/>
      <c r="N597" s="616"/>
      <c r="V597" s="616"/>
      <c r="AL597" s="616"/>
    </row>
    <row r="598">
      <c r="A598" s="615"/>
      <c r="E598" s="616"/>
      <c r="F598" s="616"/>
      <c r="J598" s="616"/>
      <c r="K598" s="616"/>
      <c r="N598" s="616"/>
      <c r="V598" s="616"/>
      <c r="AL598" s="616"/>
    </row>
    <row r="599">
      <c r="A599" s="615"/>
      <c r="E599" s="616"/>
      <c r="F599" s="616"/>
      <c r="J599" s="616"/>
      <c r="K599" s="616"/>
      <c r="N599" s="616"/>
      <c r="V599" s="616"/>
      <c r="AL599" s="616"/>
    </row>
    <row r="600">
      <c r="A600" s="615"/>
      <c r="E600" s="616"/>
      <c r="F600" s="616"/>
      <c r="J600" s="616"/>
      <c r="K600" s="616"/>
      <c r="N600" s="616"/>
      <c r="V600" s="616"/>
      <c r="AL600" s="616"/>
    </row>
    <row r="601">
      <c r="A601" s="615"/>
      <c r="E601" s="616"/>
      <c r="F601" s="616"/>
      <c r="J601" s="616"/>
      <c r="K601" s="616"/>
      <c r="N601" s="616"/>
      <c r="V601" s="616"/>
      <c r="AL601" s="616"/>
    </row>
    <row r="602">
      <c r="A602" s="615"/>
      <c r="E602" s="616"/>
      <c r="F602" s="616"/>
      <c r="J602" s="616"/>
      <c r="K602" s="616"/>
      <c r="N602" s="616"/>
      <c r="V602" s="616"/>
      <c r="AL602" s="616"/>
    </row>
    <row r="603">
      <c r="A603" s="615"/>
      <c r="E603" s="616"/>
      <c r="F603" s="616"/>
      <c r="J603" s="616"/>
      <c r="K603" s="616"/>
      <c r="N603" s="616"/>
      <c r="V603" s="616"/>
      <c r="AL603" s="616"/>
    </row>
    <row r="604">
      <c r="A604" s="615"/>
      <c r="E604" s="616"/>
      <c r="F604" s="616"/>
      <c r="J604" s="616"/>
      <c r="K604" s="616"/>
      <c r="N604" s="616"/>
      <c r="V604" s="616"/>
      <c r="AL604" s="616"/>
    </row>
    <row r="605">
      <c r="A605" s="615"/>
      <c r="E605" s="616"/>
      <c r="F605" s="616"/>
      <c r="J605" s="616"/>
      <c r="K605" s="616"/>
      <c r="N605" s="616"/>
      <c r="V605" s="616"/>
      <c r="AL605" s="616"/>
    </row>
    <row r="606">
      <c r="A606" s="615"/>
      <c r="E606" s="616"/>
      <c r="F606" s="616"/>
      <c r="J606" s="616"/>
      <c r="K606" s="616"/>
      <c r="N606" s="616"/>
      <c r="V606" s="616"/>
      <c r="AL606" s="616"/>
    </row>
    <row r="607">
      <c r="A607" s="615"/>
      <c r="E607" s="616"/>
      <c r="F607" s="616"/>
      <c r="J607" s="616"/>
      <c r="K607" s="616"/>
      <c r="N607" s="616"/>
      <c r="V607" s="616"/>
      <c r="AL607" s="616"/>
    </row>
    <row r="608">
      <c r="A608" s="615"/>
      <c r="E608" s="616"/>
      <c r="F608" s="616"/>
      <c r="J608" s="616"/>
      <c r="K608" s="616"/>
      <c r="N608" s="616"/>
      <c r="V608" s="616"/>
      <c r="AL608" s="616"/>
    </row>
    <row r="609">
      <c r="A609" s="615"/>
      <c r="E609" s="616"/>
      <c r="F609" s="616"/>
      <c r="J609" s="616"/>
      <c r="K609" s="616"/>
      <c r="N609" s="616"/>
      <c r="V609" s="616"/>
      <c r="AL609" s="616"/>
    </row>
    <row r="610">
      <c r="A610" s="615"/>
      <c r="E610" s="616"/>
      <c r="F610" s="616"/>
      <c r="J610" s="616"/>
      <c r="K610" s="616"/>
      <c r="N610" s="616"/>
      <c r="V610" s="616"/>
      <c r="AL610" s="616"/>
    </row>
    <row r="611">
      <c r="A611" s="615"/>
      <c r="E611" s="616"/>
      <c r="F611" s="616"/>
      <c r="J611" s="616"/>
      <c r="K611" s="616"/>
      <c r="N611" s="616"/>
      <c r="V611" s="616"/>
      <c r="AL611" s="616"/>
    </row>
    <row r="612">
      <c r="A612" s="615"/>
      <c r="E612" s="616"/>
      <c r="F612" s="616"/>
      <c r="J612" s="616"/>
      <c r="K612" s="616"/>
      <c r="N612" s="616"/>
      <c r="V612" s="616"/>
      <c r="AL612" s="616"/>
    </row>
    <row r="613">
      <c r="A613" s="615"/>
      <c r="E613" s="616"/>
      <c r="F613" s="616"/>
      <c r="J613" s="616"/>
      <c r="K613" s="616"/>
      <c r="N613" s="616"/>
      <c r="V613" s="616"/>
      <c r="AL613" s="616"/>
    </row>
    <row r="614">
      <c r="A614" s="615"/>
      <c r="E614" s="616"/>
      <c r="F614" s="616"/>
      <c r="J614" s="616"/>
      <c r="K614" s="616"/>
      <c r="N614" s="616"/>
      <c r="V614" s="616"/>
      <c r="AL614" s="616"/>
    </row>
    <row r="615">
      <c r="A615" s="615"/>
      <c r="E615" s="616"/>
      <c r="F615" s="616"/>
      <c r="J615" s="616"/>
      <c r="K615" s="616"/>
      <c r="N615" s="616"/>
      <c r="V615" s="616"/>
      <c r="AL615" s="616"/>
    </row>
    <row r="616">
      <c r="A616" s="615"/>
      <c r="E616" s="616"/>
      <c r="F616" s="616"/>
      <c r="J616" s="616"/>
      <c r="K616" s="616"/>
      <c r="N616" s="616"/>
      <c r="V616" s="616"/>
      <c r="AL616" s="616"/>
    </row>
    <row r="617">
      <c r="A617" s="615"/>
      <c r="E617" s="616"/>
      <c r="F617" s="616"/>
      <c r="J617" s="616"/>
      <c r="K617" s="616"/>
      <c r="N617" s="616"/>
      <c r="V617" s="616"/>
      <c r="AL617" s="616"/>
    </row>
    <row r="618">
      <c r="A618" s="615"/>
      <c r="E618" s="616"/>
      <c r="F618" s="616"/>
      <c r="J618" s="616"/>
      <c r="K618" s="616"/>
      <c r="N618" s="616"/>
      <c r="V618" s="616"/>
      <c r="AL618" s="616"/>
    </row>
    <row r="619">
      <c r="A619" s="615"/>
      <c r="E619" s="616"/>
      <c r="F619" s="616"/>
      <c r="J619" s="616"/>
      <c r="K619" s="616"/>
      <c r="N619" s="616"/>
      <c r="V619" s="616"/>
      <c r="AL619" s="616"/>
    </row>
    <row r="620">
      <c r="A620" s="615"/>
      <c r="E620" s="616"/>
      <c r="F620" s="616"/>
      <c r="J620" s="616"/>
      <c r="K620" s="616"/>
      <c r="N620" s="616"/>
      <c r="V620" s="616"/>
      <c r="AL620" s="616"/>
    </row>
    <row r="621">
      <c r="A621" s="615"/>
      <c r="E621" s="616"/>
      <c r="F621" s="616"/>
      <c r="J621" s="616"/>
      <c r="K621" s="616"/>
      <c r="N621" s="616"/>
      <c r="V621" s="616"/>
      <c r="AL621" s="616"/>
    </row>
    <row r="622">
      <c r="A622" s="615"/>
      <c r="E622" s="616"/>
      <c r="F622" s="616"/>
      <c r="J622" s="616"/>
      <c r="K622" s="616"/>
      <c r="N622" s="616"/>
      <c r="V622" s="616"/>
      <c r="AL622" s="616"/>
    </row>
    <row r="623">
      <c r="A623" s="615"/>
      <c r="E623" s="616"/>
      <c r="F623" s="616"/>
      <c r="J623" s="616"/>
      <c r="K623" s="616"/>
      <c r="N623" s="616"/>
      <c r="V623" s="616"/>
      <c r="AL623" s="616"/>
    </row>
    <row r="624">
      <c r="A624" s="615"/>
      <c r="E624" s="616"/>
      <c r="F624" s="616"/>
      <c r="J624" s="616"/>
      <c r="K624" s="616"/>
      <c r="N624" s="616"/>
      <c r="V624" s="616"/>
      <c r="AL624" s="616"/>
    </row>
    <row r="625">
      <c r="A625" s="615"/>
      <c r="E625" s="616"/>
      <c r="F625" s="616"/>
      <c r="J625" s="616"/>
      <c r="K625" s="616"/>
      <c r="N625" s="616"/>
      <c r="V625" s="616"/>
      <c r="AL625" s="616"/>
    </row>
    <row r="626">
      <c r="A626" s="615"/>
      <c r="E626" s="616"/>
      <c r="F626" s="616"/>
      <c r="J626" s="616"/>
      <c r="K626" s="616"/>
      <c r="N626" s="616"/>
      <c r="V626" s="616"/>
      <c r="AL626" s="616"/>
    </row>
    <row r="627">
      <c r="A627" s="615"/>
      <c r="E627" s="616"/>
      <c r="F627" s="616"/>
      <c r="J627" s="616"/>
      <c r="K627" s="616"/>
      <c r="N627" s="616"/>
      <c r="V627" s="616"/>
      <c r="AL627" s="616"/>
    </row>
    <row r="628">
      <c r="A628" s="615"/>
      <c r="E628" s="616"/>
      <c r="F628" s="616"/>
      <c r="J628" s="616"/>
      <c r="K628" s="616"/>
      <c r="N628" s="616"/>
      <c r="V628" s="616"/>
      <c r="AL628" s="616"/>
    </row>
    <row r="629">
      <c r="A629" s="615"/>
      <c r="E629" s="616"/>
      <c r="F629" s="616"/>
      <c r="J629" s="616"/>
      <c r="K629" s="616"/>
      <c r="N629" s="616"/>
      <c r="V629" s="616"/>
      <c r="AL629" s="616"/>
    </row>
    <row r="630">
      <c r="A630" s="615"/>
      <c r="E630" s="616"/>
      <c r="F630" s="616"/>
      <c r="J630" s="616"/>
      <c r="K630" s="616"/>
      <c r="N630" s="616"/>
      <c r="V630" s="616"/>
      <c r="AL630" s="616"/>
    </row>
    <row r="631">
      <c r="A631" s="615"/>
      <c r="E631" s="616"/>
      <c r="F631" s="616"/>
      <c r="J631" s="616"/>
      <c r="K631" s="616"/>
      <c r="N631" s="616"/>
      <c r="V631" s="616"/>
      <c r="AL631" s="616"/>
    </row>
    <row r="632">
      <c r="A632" s="615"/>
      <c r="E632" s="616"/>
      <c r="F632" s="616"/>
      <c r="J632" s="616"/>
      <c r="K632" s="616"/>
      <c r="N632" s="616"/>
      <c r="V632" s="616"/>
      <c r="AL632" s="616"/>
    </row>
    <row r="633">
      <c r="A633" s="615"/>
      <c r="E633" s="616"/>
      <c r="F633" s="616"/>
      <c r="J633" s="616"/>
      <c r="K633" s="616"/>
      <c r="N633" s="616"/>
      <c r="V633" s="616"/>
      <c r="AL633" s="616"/>
    </row>
    <row r="634">
      <c r="A634" s="615"/>
      <c r="E634" s="616"/>
      <c r="F634" s="616"/>
      <c r="J634" s="616"/>
      <c r="K634" s="616"/>
      <c r="N634" s="616"/>
      <c r="V634" s="616"/>
      <c r="AL634" s="616"/>
    </row>
    <row r="635">
      <c r="A635" s="615"/>
      <c r="E635" s="616"/>
      <c r="F635" s="616"/>
      <c r="J635" s="616"/>
      <c r="K635" s="616"/>
      <c r="N635" s="616"/>
      <c r="V635" s="616"/>
      <c r="AL635" s="616"/>
    </row>
    <row r="636">
      <c r="A636" s="615"/>
      <c r="E636" s="616"/>
      <c r="F636" s="616"/>
      <c r="J636" s="616"/>
      <c r="K636" s="616"/>
      <c r="N636" s="616"/>
      <c r="V636" s="616"/>
      <c r="AL636" s="616"/>
    </row>
    <row r="637">
      <c r="A637" s="615"/>
      <c r="E637" s="616"/>
      <c r="F637" s="616"/>
      <c r="J637" s="616"/>
      <c r="K637" s="616"/>
      <c r="N637" s="616"/>
      <c r="V637" s="616"/>
      <c r="AL637" s="616"/>
    </row>
    <row r="638">
      <c r="A638" s="615"/>
      <c r="E638" s="616"/>
      <c r="F638" s="616"/>
      <c r="J638" s="616"/>
      <c r="K638" s="616"/>
      <c r="N638" s="616"/>
      <c r="V638" s="616"/>
      <c r="AL638" s="616"/>
    </row>
    <row r="639">
      <c r="A639" s="615"/>
      <c r="E639" s="616"/>
      <c r="F639" s="616"/>
      <c r="J639" s="616"/>
      <c r="K639" s="616"/>
      <c r="N639" s="616"/>
      <c r="V639" s="616"/>
      <c r="AL639" s="616"/>
    </row>
    <row r="640">
      <c r="A640" s="615"/>
      <c r="E640" s="616"/>
      <c r="F640" s="616"/>
      <c r="J640" s="616"/>
      <c r="K640" s="616"/>
      <c r="N640" s="616"/>
      <c r="V640" s="616"/>
      <c r="AL640" s="616"/>
    </row>
    <row r="641">
      <c r="A641" s="615"/>
      <c r="E641" s="616"/>
      <c r="F641" s="616"/>
      <c r="J641" s="616"/>
      <c r="K641" s="616"/>
      <c r="N641" s="616"/>
      <c r="V641" s="616"/>
      <c r="AL641" s="616"/>
    </row>
    <row r="642">
      <c r="A642" s="615"/>
      <c r="E642" s="616"/>
      <c r="F642" s="616"/>
      <c r="J642" s="616"/>
      <c r="K642" s="616"/>
      <c r="N642" s="616"/>
      <c r="V642" s="616"/>
      <c r="AL642" s="616"/>
    </row>
    <row r="643">
      <c r="A643" s="615"/>
      <c r="E643" s="616"/>
      <c r="F643" s="616"/>
      <c r="J643" s="616"/>
      <c r="K643" s="616"/>
      <c r="N643" s="616"/>
      <c r="V643" s="616"/>
      <c r="AL643" s="616"/>
    </row>
    <row r="644">
      <c r="A644" s="615"/>
      <c r="E644" s="616"/>
      <c r="F644" s="616"/>
      <c r="J644" s="616"/>
      <c r="K644" s="616"/>
      <c r="N644" s="616"/>
      <c r="V644" s="616"/>
      <c r="AL644" s="616"/>
    </row>
    <row r="645">
      <c r="A645" s="615"/>
      <c r="E645" s="616"/>
      <c r="F645" s="616"/>
      <c r="J645" s="616"/>
      <c r="K645" s="616"/>
      <c r="N645" s="616"/>
      <c r="V645" s="616"/>
      <c r="AL645" s="616"/>
    </row>
    <row r="646">
      <c r="A646" s="615"/>
      <c r="E646" s="616"/>
      <c r="F646" s="616"/>
      <c r="J646" s="616"/>
      <c r="K646" s="616"/>
      <c r="N646" s="616"/>
      <c r="V646" s="616"/>
      <c r="AL646" s="616"/>
    </row>
    <row r="647">
      <c r="A647" s="615"/>
      <c r="E647" s="616"/>
      <c r="F647" s="616"/>
      <c r="J647" s="616"/>
      <c r="K647" s="616"/>
      <c r="N647" s="616"/>
      <c r="V647" s="616"/>
      <c r="AL647" s="616"/>
    </row>
    <row r="648">
      <c r="A648" s="615"/>
      <c r="E648" s="616"/>
      <c r="F648" s="616"/>
      <c r="J648" s="616"/>
      <c r="K648" s="616"/>
      <c r="N648" s="616"/>
      <c r="V648" s="616"/>
      <c r="AL648" s="616"/>
    </row>
    <row r="649">
      <c r="A649" s="615"/>
      <c r="E649" s="616"/>
      <c r="F649" s="616"/>
      <c r="J649" s="616"/>
      <c r="K649" s="616"/>
      <c r="N649" s="616"/>
      <c r="V649" s="616"/>
      <c r="AL649" s="616"/>
    </row>
    <row r="650">
      <c r="A650" s="615"/>
      <c r="E650" s="616"/>
      <c r="F650" s="616"/>
      <c r="J650" s="616"/>
      <c r="K650" s="616"/>
      <c r="N650" s="616"/>
      <c r="V650" s="616"/>
      <c r="AL650" s="616"/>
    </row>
    <row r="651">
      <c r="A651" s="615"/>
      <c r="E651" s="616"/>
      <c r="F651" s="616"/>
      <c r="J651" s="616"/>
      <c r="K651" s="616"/>
      <c r="N651" s="616"/>
      <c r="V651" s="616"/>
      <c r="AL651" s="616"/>
    </row>
    <row r="652">
      <c r="A652" s="615"/>
      <c r="E652" s="616"/>
      <c r="F652" s="616"/>
      <c r="J652" s="616"/>
      <c r="K652" s="616"/>
      <c r="N652" s="616"/>
      <c r="V652" s="616"/>
      <c r="AL652" s="616"/>
    </row>
    <row r="653">
      <c r="A653" s="615"/>
      <c r="E653" s="616"/>
      <c r="F653" s="616"/>
      <c r="J653" s="616"/>
      <c r="K653" s="616"/>
      <c r="N653" s="616"/>
      <c r="V653" s="616"/>
      <c r="AL653" s="616"/>
    </row>
    <row r="654">
      <c r="A654" s="615"/>
      <c r="E654" s="616"/>
      <c r="F654" s="616"/>
      <c r="J654" s="616"/>
      <c r="K654" s="616"/>
      <c r="N654" s="616"/>
      <c r="V654" s="616"/>
      <c r="AL654" s="616"/>
    </row>
    <row r="655">
      <c r="A655" s="615"/>
      <c r="E655" s="616"/>
      <c r="F655" s="616"/>
      <c r="J655" s="616"/>
      <c r="K655" s="616"/>
      <c r="N655" s="616"/>
      <c r="V655" s="616"/>
      <c r="AL655" s="616"/>
    </row>
    <row r="656">
      <c r="A656" s="615"/>
      <c r="E656" s="616"/>
      <c r="F656" s="616"/>
      <c r="J656" s="616"/>
      <c r="K656" s="616"/>
      <c r="N656" s="616"/>
      <c r="V656" s="616"/>
      <c r="AL656" s="616"/>
    </row>
    <row r="657">
      <c r="A657" s="615"/>
      <c r="E657" s="616"/>
      <c r="F657" s="616"/>
      <c r="J657" s="616"/>
      <c r="K657" s="616"/>
      <c r="N657" s="616"/>
      <c r="V657" s="616"/>
      <c r="AL657" s="616"/>
    </row>
    <row r="658">
      <c r="A658" s="615"/>
      <c r="E658" s="616"/>
      <c r="F658" s="616"/>
      <c r="J658" s="616"/>
      <c r="K658" s="616"/>
      <c r="N658" s="616"/>
      <c r="V658" s="616"/>
      <c r="AL658" s="616"/>
    </row>
    <row r="659">
      <c r="A659" s="615"/>
      <c r="E659" s="616"/>
      <c r="F659" s="616"/>
      <c r="J659" s="616"/>
      <c r="K659" s="616"/>
      <c r="N659" s="616"/>
      <c r="V659" s="616"/>
      <c r="AL659" s="616"/>
    </row>
    <row r="660">
      <c r="A660" s="615"/>
      <c r="E660" s="616"/>
      <c r="F660" s="616"/>
      <c r="J660" s="616"/>
      <c r="K660" s="616"/>
      <c r="N660" s="616"/>
      <c r="V660" s="616"/>
      <c r="AL660" s="616"/>
    </row>
    <row r="661">
      <c r="A661" s="615"/>
      <c r="E661" s="616"/>
      <c r="F661" s="616"/>
      <c r="J661" s="616"/>
      <c r="K661" s="616"/>
      <c r="N661" s="616"/>
      <c r="V661" s="616"/>
      <c r="AL661" s="616"/>
    </row>
    <row r="662">
      <c r="A662" s="615"/>
      <c r="E662" s="616"/>
      <c r="F662" s="616"/>
      <c r="J662" s="616"/>
      <c r="K662" s="616"/>
      <c r="N662" s="616"/>
      <c r="V662" s="616"/>
      <c r="AL662" s="616"/>
    </row>
    <row r="663">
      <c r="A663" s="615"/>
      <c r="E663" s="616"/>
      <c r="F663" s="616"/>
      <c r="J663" s="616"/>
      <c r="K663" s="616"/>
      <c r="N663" s="616"/>
      <c r="V663" s="616"/>
      <c r="AL663" s="616"/>
    </row>
    <row r="664">
      <c r="A664" s="615"/>
      <c r="E664" s="616"/>
      <c r="F664" s="616"/>
      <c r="J664" s="616"/>
      <c r="K664" s="616"/>
      <c r="N664" s="616"/>
      <c r="V664" s="616"/>
      <c r="AL664" s="616"/>
    </row>
    <row r="665">
      <c r="A665" s="615"/>
      <c r="E665" s="616"/>
      <c r="F665" s="616"/>
      <c r="J665" s="616"/>
      <c r="K665" s="616"/>
      <c r="N665" s="616"/>
      <c r="V665" s="616"/>
      <c r="AL665" s="616"/>
    </row>
    <row r="666">
      <c r="A666" s="615"/>
      <c r="E666" s="616"/>
      <c r="F666" s="616"/>
      <c r="J666" s="616"/>
      <c r="K666" s="616"/>
      <c r="N666" s="616"/>
      <c r="V666" s="616"/>
      <c r="AL666" s="616"/>
    </row>
    <row r="667">
      <c r="A667" s="615"/>
      <c r="E667" s="616"/>
      <c r="F667" s="616"/>
      <c r="J667" s="616"/>
      <c r="K667" s="616"/>
      <c r="N667" s="616"/>
      <c r="V667" s="616"/>
      <c r="AL667" s="616"/>
    </row>
    <row r="668">
      <c r="A668" s="615"/>
      <c r="E668" s="616"/>
      <c r="F668" s="616"/>
      <c r="J668" s="616"/>
      <c r="K668" s="616"/>
      <c r="N668" s="616"/>
      <c r="V668" s="616"/>
      <c r="AL668" s="616"/>
    </row>
    <row r="669">
      <c r="A669" s="615"/>
      <c r="E669" s="616"/>
      <c r="F669" s="616"/>
      <c r="J669" s="616"/>
      <c r="K669" s="616"/>
      <c r="N669" s="616"/>
      <c r="V669" s="616"/>
      <c r="AL669" s="616"/>
    </row>
    <row r="670">
      <c r="A670" s="615"/>
      <c r="E670" s="616"/>
      <c r="F670" s="616"/>
      <c r="J670" s="616"/>
      <c r="K670" s="616"/>
      <c r="N670" s="616"/>
      <c r="V670" s="616"/>
      <c r="AL670" s="616"/>
    </row>
    <row r="671">
      <c r="A671" s="615"/>
      <c r="E671" s="616"/>
      <c r="F671" s="616"/>
      <c r="J671" s="616"/>
      <c r="K671" s="616"/>
      <c r="N671" s="616"/>
      <c r="V671" s="616"/>
      <c r="AL671" s="616"/>
    </row>
    <row r="672">
      <c r="A672" s="615"/>
      <c r="E672" s="616"/>
      <c r="F672" s="616"/>
      <c r="J672" s="616"/>
      <c r="K672" s="616"/>
      <c r="N672" s="616"/>
      <c r="V672" s="616"/>
      <c r="AL672" s="616"/>
    </row>
    <row r="673">
      <c r="A673" s="615"/>
      <c r="E673" s="616"/>
      <c r="F673" s="616"/>
      <c r="J673" s="616"/>
      <c r="K673" s="616"/>
      <c r="N673" s="616"/>
      <c r="V673" s="616"/>
      <c r="AL673" s="616"/>
    </row>
    <row r="674">
      <c r="A674" s="615"/>
      <c r="E674" s="616"/>
      <c r="F674" s="616"/>
      <c r="J674" s="616"/>
      <c r="K674" s="616"/>
      <c r="N674" s="616"/>
      <c r="V674" s="616"/>
      <c r="AL674" s="616"/>
    </row>
    <row r="675">
      <c r="A675" s="615"/>
      <c r="E675" s="616"/>
      <c r="F675" s="616"/>
      <c r="J675" s="616"/>
      <c r="K675" s="616"/>
      <c r="N675" s="616"/>
      <c r="V675" s="616"/>
      <c r="AL675" s="616"/>
    </row>
    <row r="676">
      <c r="A676" s="615"/>
      <c r="E676" s="616"/>
      <c r="F676" s="616"/>
      <c r="J676" s="616"/>
      <c r="K676" s="616"/>
      <c r="N676" s="616"/>
      <c r="V676" s="616"/>
      <c r="AL676" s="616"/>
    </row>
    <row r="677">
      <c r="A677" s="615"/>
      <c r="E677" s="616"/>
      <c r="F677" s="616"/>
      <c r="J677" s="616"/>
      <c r="K677" s="616"/>
      <c r="N677" s="616"/>
      <c r="V677" s="616"/>
      <c r="AL677" s="616"/>
    </row>
    <row r="678">
      <c r="A678" s="615"/>
      <c r="E678" s="616"/>
      <c r="F678" s="616"/>
      <c r="J678" s="616"/>
      <c r="K678" s="616"/>
      <c r="N678" s="616"/>
      <c r="V678" s="616"/>
      <c r="AL678" s="616"/>
    </row>
    <row r="679">
      <c r="A679" s="615"/>
      <c r="E679" s="616"/>
      <c r="F679" s="616"/>
      <c r="J679" s="616"/>
      <c r="K679" s="616"/>
      <c r="N679" s="616"/>
      <c r="V679" s="616"/>
      <c r="AL679" s="616"/>
    </row>
    <row r="680">
      <c r="A680" s="615"/>
      <c r="E680" s="616"/>
      <c r="F680" s="616"/>
      <c r="J680" s="616"/>
      <c r="K680" s="616"/>
      <c r="N680" s="616"/>
      <c r="V680" s="616"/>
      <c r="AL680" s="616"/>
    </row>
    <row r="681">
      <c r="A681" s="615"/>
      <c r="E681" s="616"/>
      <c r="F681" s="616"/>
      <c r="J681" s="616"/>
      <c r="K681" s="616"/>
      <c r="N681" s="616"/>
      <c r="V681" s="616"/>
      <c r="AL681" s="616"/>
    </row>
    <row r="682">
      <c r="A682" s="615"/>
      <c r="E682" s="616"/>
      <c r="F682" s="616"/>
      <c r="J682" s="616"/>
      <c r="K682" s="616"/>
      <c r="N682" s="616"/>
      <c r="V682" s="616"/>
      <c r="AL682" s="616"/>
    </row>
    <row r="683">
      <c r="A683" s="615"/>
      <c r="E683" s="616"/>
      <c r="F683" s="616"/>
      <c r="J683" s="616"/>
      <c r="K683" s="616"/>
      <c r="N683" s="616"/>
      <c r="V683" s="616"/>
      <c r="AL683" s="616"/>
    </row>
    <row r="684">
      <c r="A684" s="615"/>
      <c r="E684" s="616"/>
      <c r="F684" s="616"/>
      <c r="J684" s="616"/>
      <c r="K684" s="616"/>
      <c r="N684" s="616"/>
      <c r="V684" s="616"/>
      <c r="AL684" s="616"/>
    </row>
    <row r="685">
      <c r="A685" s="615"/>
      <c r="E685" s="616"/>
      <c r="F685" s="616"/>
      <c r="J685" s="616"/>
      <c r="K685" s="616"/>
      <c r="N685" s="616"/>
      <c r="V685" s="616"/>
      <c r="AL685" s="616"/>
    </row>
    <row r="686">
      <c r="A686" s="615"/>
      <c r="E686" s="616"/>
      <c r="F686" s="616"/>
      <c r="J686" s="616"/>
      <c r="K686" s="616"/>
      <c r="N686" s="616"/>
      <c r="V686" s="616"/>
      <c r="AL686" s="616"/>
    </row>
    <row r="687">
      <c r="A687" s="615"/>
      <c r="E687" s="616"/>
      <c r="F687" s="616"/>
      <c r="J687" s="616"/>
      <c r="K687" s="616"/>
      <c r="N687" s="616"/>
      <c r="V687" s="616"/>
      <c r="AL687" s="616"/>
    </row>
    <row r="688">
      <c r="A688" s="615"/>
      <c r="E688" s="616"/>
      <c r="F688" s="616"/>
      <c r="J688" s="616"/>
      <c r="K688" s="616"/>
      <c r="N688" s="616"/>
      <c r="V688" s="616"/>
      <c r="AL688" s="616"/>
    </row>
    <row r="689">
      <c r="A689" s="615"/>
      <c r="E689" s="616"/>
      <c r="F689" s="616"/>
      <c r="J689" s="616"/>
      <c r="K689" s="616"/>
      <c r="N689" s="616"/>
      <c r="V689" s="616"/>
      <c r="AL689" s="616"/>
    </row>
    <row r="690">
      <c r="A690" s="615"/>
      <c r="E690" s="616"/>
      <c r="F690" s="616"/>
      <c r="J690" s="616"/>
      <c r="K690" s="616"/>
      <c r="N690" s="616"/>
      <c r="V690" s="616"/>
      <c r="AL690" s="616"/>
    </row>
    <row r="691">
      <c r="A691" s="615"/>
      <c r="E691" s="616"/>
      <c r="F691" s="616"/>
      <c r="J691" s="616"/>
      <c r="K691" s="616"/>
      <c r="N691" s="616"/>
      <c r="V691" s="616"/>
      <c r="AL691" s="616"/>
    </row>
    <row r="692">
      <c r="A692" s="615"/>
      <c r="E692" s="616"/>
      <c r="F692" s="616"/>
      <c r="J692" s="616"/>
      <c r="K692" s="616"/>
      <c r="N692" s="616"/>
      <c r="V692" s="616"/>
      <c r="AL692" s="616"/>
    </row>
    <row r="693">
      <c r="A693" s="615"/>
      <c r="E693" s="616"/>
      <c r="F693" s="616"/>
      <c r="J693" s="616"/>
      <c r="K693" s="616"/>
      <c r="N693" s="616"/>
      <c r="V693" s="616"/>
      <c r="AL693" s="616"/>
    </row>
    <row r="694">
      <c r="A694" s="615"/>
      <c r="E694" s="616"/>
      <c r="F694" s="616"/>
      <c r="J694" s="616"/>
      <c r="K694" s="616"/>
      <c r="N694" s="616"/>
      <c r="V694" s="616"/>
      <c r="AL694" s="616"/>
    </row>
    <row r="695">
      <c r="A695" s="615"/>
      <c r="E695" s="616"/>
      <c r="F695" s="616"/>
      <c r="J695" s="616"/>
      <c r="K695" s="616"/>
      <c r="N695" s="616"/>
      <c r="V695" s="616"/>
      <c r="AL695" s="616"/>
    </row>
    <row r="696">
      <c r="A696" s="615"/>
      <c r="E696" s="616"/>
      <c r="F696" s="616"/>
      <c r="J696" s="616"/>
      <c r="K696" s="616"/>
      <c r="N696" s="616"/>
      <c r="V696" s="616"/>
      <c r="AL696" s="616"/>
    </row>
    <row r="697">
      <c r="A697" s="615"/>
      <c r="E697" s="616"/>
      <c r="F697" s="616"/>
      <c r="J697" s="616"/>
      <c r="K697" s="616"/>
      <c r="N697" s="616"/>
      <c r="V697" s="616"/>
      <c r="AL697" s="616"/>
    </row>
    <row r="698">
      <c r="A698" s="615"/>
      <c r="E698" s="616"/>
      <c r="F698" s="616"/>
      <c r="J698" s="616"/>
      <c r="K698" s="616"/>
      <c r="N698" s="616"/>
      <c r="V698" s="616"/>
      <c r="AL698" s="616"/>
    </row>
    <row r="699">
      <c r="A699" s="615"/>
      <c r="E699" s="616"/>
      <c r="F699" s="616"/>
      <c r="J699" s="616"/>
      <c r="K699" s="616"/>
      <c r="N699" s="616"/>
      <c r="V699" s="616"/>
      <c r="AL699" s="616"/>
    </row>
    <row r="700">
      <c r="A700" s="615"/>
      <c r="E700" s="616"/>
      <c r="F700" s="616"/>
      <c r="J700" s="616"/>
      <c r="K700" s="616"/>
      <c r="N700" s="616"/>
      <c r="V700" s="616"/>
      <c r="AL700" s="616"/>
    </row>
    <row r="701">
      <c r="A701" s="615"/>
      <c r="E701" s="616"/>
      <c r="F701" s="616"/>
      <c r="J701" s="616"/>
      <c r="K701" s="616"/>
      <c r="N701" s="616"/>
      <c r="V701" s="616"/>
      <c r="AL701" s="616"/>
    </row>
    <row r="702">
      <c r="A702" s="615"/>
      <c r="E702" s="616"/>
      <c r="F702" s="616"/>
      <c r="J702" s="616"/>
      <c r="K702" s="616"/>
      <c r="N702" s="616"/>
      <c r="V702" s="616"/>
      <c r="AL702" s="616"/>
    </row>
    <row r="703">
      <c r="A703" s="615"/>
      <c r="E703" s="616"/>
      <c r="F703" s="616"/>
      <c r="J703" s="616"/>
      <c r="K703" s="616"/>
      <c r="N703" s="616"/>
      <c r="V703" s="616"/>
      <c r="AL703" s="616"/>
    </row>
    <row r="704">
      <c r="A704" s="615"/>
      <c r="E704" s="616"/>
      <c r="F704" s="616"/>
      <c r="J704" s="616"/>
      <c r="K704" s="616"/>
      <c r="N704" s="616"/>
      <c r="V704" s="616"/>
      <c r="AL704" s="616"/>
    </row>
    <row r="705">
      <c r="A705" s="615"/>
      <c r="E705" s="616"/>
      <c r="F705" s="616"/>
      <c r="J705" s="616"/>
      <c r="K705" s="616"/>
      <c r="N705" s="616"/>
      <c r="V705" s="616"/>
      <c r="AL705" s="616"/>
    </row>
    <row r="706">
      <c r="A706" s="615"/>
      <c r="E706" s="616"/>
      <c r="F706" s="616"/>
      <c r="J706" s="616"/>
      <c r="K706" s="616"/>
      <c r="N706" s="616"/>
      <c r="V706" s="616"/>
      <c r="AL706" s="616"/>
    </row>
    <row r="707">
      <c r="A707" s="615"/>
      <c r="E707" s="616"/>
      <c r="F707" s="616"/>
      <c r="J707" s="616"/>
      <c r="K707" s="616"/>
      <c r="N707" s="616"/>
      <c r="V707" s="616"/>
      <c r="AL707" s="616"/>
    </row>
    <row r="708">
      <c r="A708" s="615"/>
      <c r="E708" s="616"/>
      <c r="F708" s="616"/>
      <c r="J708" s="616"/>
      <c r="K708" s="616"/>
      <c r="N708" s="616"/>
      <c r="V708" s="616"/>
      <c r="AL708" s="616"/>
    </row>
    <row r="709">
      <c r="A709" s="615"/>
      <c r="E709" s="616"/>
      <c r="F709" s="616"/>
      <c r="J709" s="616"/>
      <c r="K709" s="616"/>
      <c r="N709" s="616"/>
      <c r="V709" s="616"/>
      <c r="AL709" s="616"/>
    </row>
    <row r="710">
      <c r="A710" s="615"/>
      <c r="E710" s="616"/>
      <c r="F710" s="616"/>
      <c r="J710" s="616"/>
      <c r="K710" s="616"/>
      <c r="N710" s="616"/>
      <c r="V710" s="616"/>
      <c r="AL710" s="616"/>
    </row>
    <row r="711">
      <c r="A711" s="615"/>
      <c r="E711" s="616"/>
      <c r="F711" s="616"/>
      <c r="J711" s="616"/>
      <c r="K711" s="616"/>
      <c r="N711" s="616"/>
      <c r="V711" s="616"/>
      <c r="AL711" s="616"/>
    </row>
    <row r="712">
      <c r="A712" s="615"/>
      <c r="E712" s="616"/>
      <c r="F712" s="616"/>
      <c r="J712" s="616"/>
      <c r="K712" s="616"/>
      <c r="N712" s="616"/>
      <c r="V712" s="616"/>
      <c r="AL712" s="616"/>
    </row>
    <row r="713">
      <c r="A713" s="615"/>
      <c r="E713" s="616"/>
      <c r="F713" s="616"/>
      <c r="J713" s="616"/>
      <c r="K713" s="616"/>
      <c r="N713" s="616"/>
      <c r="V713" s="616"/>
      <c r="AL713" s="616"/>
    </row>
    <row r="714">
      <c r="A714" s="615"/>
      <c r="E714" s="616"/>
      <c r="F714" s="616"/>
      <c r="J714" s="616"/>
      <c r="K714" s="616"/>
      <c r="N714" s="616"/>
      <c r="V714" s="616"/>
      <c r="AL714" s="616"/>
    </row>
    <row r="715">
      <c r="A715" s="615"/>
      <c r="E715" s="616"/>
      <c r="F715" s="616"/>
      <c r="J715" s="616"/>
      <c r="K715" s="616"/>
      <c r="N715" s="616"/>
      <c r="V715" s="616"/>
      <c r="AL715" s="616"/>
    </row>
    <row r="716">
      <c r="A716" s="615"/>
      <c r="E716" s="616"/>
      <c r="F716" s="616"/>
      <c r="J716" s="616"/>
      <c r="K716" s="616"/>
      <c r="N716" s="616"/>
      <c r="V716" s="616"/>
      <c r="AL716" s="616"/>
    </row>
    <row r="717">
      <c r="A717" s="615"/>
      <c r="E717" s="616"/>
      <c r="F717" s="616"/>
      <c r="J717" s="616"/>
      <c r="K717" s="616"/>
      <c r="N717" s="616"/>
      <c r="V717" s="616"/>
      <c r="AL717" s="616"/>
    </row>
    <row r="718">
      <c r="A718" s="615"/>
      <c r="E718" s="616"/>
      <c r="F718" s="616"/>
      <c r="J718" s="616"/>
      <c r="K718" s="616"/>
      <c r="N718" s="616"/>
      <c r="V718" s="616"/>
      <c r="AL718" s="616"/>
    </row>
    <row r="719">
      <c r="A719" s="615"/>
      <c r="E719" s="616"/>
      <c r="F719" s="616"/>
      <c r="J719" s="616"/>
      <c r="K719" s="616"/>
      <c r="N719" s="616"/>
      <c r="V719" s="616"/>
      <c r="AL719" s="616"/>
    </row>
    <row r="720">
      <c r="A720" s="615"/>
      <c r="E720" s="616"/>
      <c r="F720" s="616"/>
      <c r="J720" s="616"/>
      <c r="K720" s="616"/>
      <c r="N720" s="616"/>
      <c r="V720" s="616"/>
      <c r="AL720" s="616"/>
    </row>
    <row r="721">
      <c r="A721" s="615"/>
      <c r="E721" s="616"/>
      <c r="F721" s="616"/>
      <c r="J721" s="616"/>
      <c r="K721" s="616"/>
      <c r="N721" s="616"/>
      <c r="V721" s="616"/>
      <c r="AL721" s="616"/>
    </row>
    <row r="722">
      <c r="A722" s="615"/>
      <c r="E722" s="616"/>
      <c r="F722" s="616"/>
      <c r="J722" s="616"/>
      <c r="K722" s="616"/>
      <c r="N722" s="616"/>
      <c r="V722" s="616"/>
      <c r="AL722" s="616"/>
    </row>
    <row r="723">
      <c r="A723" s="615"/>
      <c r="E723" s="616"/>
      <c r="F723" s="616"/>
      <c r="J723" s="616"/>
      <c r="K723" s="616"/>
      <c r="N723" s="616"/>
      <c r="V723" s="616"/>
      <c r="AL723" s="616"/>
    </row>
    <row r="724">
      <c r="A724" s="615"/>
      <c r="E724" s="616"/>
      <c r="F724" s="616"/>
      <c r="J724" s="616"/>
      <c r="K724" s="616"/>
      <c r="N724" s="616"/>
      <c r="V724" s="616"/>
      <c r="AL724" s="616"/>
    </row>
    <row r="725">
      <c r="A725" s="615"/>
      <c r="E725" s="616"/>
      <c r="F725" s="616"/>
      <c r="J725" s="616"/>
      <c r="K725" s="616"/>
      <c r="N725" s="616"/>
      <c r="V725" s="616"/>
      <c r="AL725" s="616"/>
    </row>
    <row r="726">
      <c r="A726" s="615"/>
      <c r="E726" s="616"/>
      <c r="F726" s="616"/>
      <c r="J726" s="616"/>
      <c r="K726" s="616"/>
      <c r="N726" s="616"/>
      <c r="V726" s="616"/>
      <c r="AL726" s="616"/>
    </row>
    <row r="727">
      <c r="A727" s="615"/>
      <c r="E727" s="616"/>
      <c r="F727" s="616"/>
      <c r="J727" s="616"/>
      <c r="K727" s="616"/>
      <c r="N727" s="616"/>
      <c r="V727" s="616"/>
      <c r="AL727" s="616"/>
    </row>
    <row r="728">
      <c r="A728" s="615"/>
      <c r="E728" s="616"/>
      <c r="F728" s="616"/>
      <c r="J728" s="616"/>
      <c r="K728" s="616"/>
      <c r="N728" s="616"/>
      <c r="V728" s="616"/>
      <c r="AL728" s="616"/>
    </row>
    <row r="729">
      <c r="A729" s="615"/>
      <c r="E729" s="616"/>
      <c r="F729" s="616"/>
      <c r="J729" s="616"/>
      <c r="K729" s="616"/>
      <c r="N729" s="616"/>
      <c r="V729" s="616"/>
      <c r="AL729" s="616"/>
    </row>
    <row r="730">
      <c r="A730" s="615"/>
      <c r="E730" s="616"/>
      <c r="F730" s="616"/>
      <c r="J730" s="616"/>
      <c r="K730" s="616"/>
      <c r="N730" s="616"/>
      <c r="V730" s="616"/>
      <c r="AL730" s="616"/>
    </row>
    <row r="731">
      <c r="A731" s="615"/>
      <c r="E731" s="616"/>
      <c r="F731" s="616"/>
      <c r="J731" s="616"/>
      <c r="K731" s="616"/>
      <c r="N731" s="616"/>
      <c r="V731" s="616"/>
      <c r="AL731" s="616"/>
    </row>
    <row r="732">
      <c r="A732" s="615"/>
      <c r="E732" s="616"/>
      <c r="F732" s="616"/>
      <c r="J732" s="616"/>
      <c r="K732" s="616"/>
      <c r="N732" s="616"/>
      <c r="V732" s="616"/>
      <c r="AL732" s="616"/>
    </row>
    <row r="733">
      <c r="A733" s="615"/>
      <c r="E733" s="616"/>
      <c r="F733" s="616"/>
      <c r="J733" s="616"/>
      <c r="K733" s="616"/>
      <c r="N733" s="616"/>
      <c r="V733" s="616"/>
      <c r="AL733" s="616"/>
    </row>
    <row r="734">
      <c r="A734" s="615"/>
      <c r="E734" s="616"/>
      <c r="F734" s="616"/>
      <c r="J734" s="616"/>
      <c r="K734" s="616"/>
      <c r="N734" s="616"/>
      <c r="V734" s="616"/>
      <c r="AL734" s="616"/>
    </row>
    <row r="735">
      <c r="A735" s="615"/>
      <c r="E735" s="616"/>
      <c r="F735" s="616"/>
      <c r="J735" s="616"/>
      <c r="K735" s="616"/>
      <c r="N735" s="616"/>
      <c r="V735" s="616"/>
      <c r="AL735" s="616"/>
    </row>
    <row r="736">
      <c r="A736" s="615"/>
      <c r="E736" s="616"/>
      <c r="F736" s="616"/>
      <c r="J736" s="616"/>
      <c r="K736" s="616"/>
      <c r="N736" s="616"/>
      <c r="V736" s="616"/>
      <c r="AL736" s="616"/>
    </row>
    <row r="737">
      <c r="A737" s="615"/>
      <c r="E737" s="616"/>
      <c r="F737" s="616"/>
      <c r="J737" s="616"/>
      <c r="K737" s="616"/>
      <c r="N737" s="616"/>
      <c r="V737" s="616"/>
      <c r="AL737" s="616"/>
    </row>
    <row r="738">
      <c r="A738" s="615"/>
      <c r="E738" s="616"/>
      <c r="F738" s="616"/>
      <c r="J738" s="616"/>
      <c r="K738" s="616"/>
      <c r="N738" s="616"/>
      <c r="V738" s="616"/>
      <c r="AL738" s="616"/>
    </row>
    <row r="739">
      <c r="A739" s="615"/>
      <c r="E739" s="616"/>
      <c r="F739" s="616"/>
      <c r="J739" s="616"/>
      <c r="K739" s="616"/>
      <c r="N739" s="616"/>
      <c r="V739" s="616"/>
      <c r="AL739" s="616"/>
    </row>
    <row r="740">
      <c r="A740" s="615"/>
      <c r="E740" s="616"/>
      <c r="F740" s="616"/>
      <c r="J740" s="616"/>
      <c r="K740" s="616"/>
      <c r="N740" s="616"/>
      <c r="V740" s="616"/>
      <c r="AL740" s="616"/>
    </row>
    <row r="741">
      <c r="A741" s="615"/>
      <c r="E741" s="616"/>
      <c r="F741" s="616"/>
      <c r="J741" s="616"/>
      <c r="K741" s="616"/>
      <c r="N741" s="616"/>
      <c r="V741" s="616"/>
      <c r="AL741" s="616"/>
    </row>
    <row r="742">
      <c r="A742" s="615"/>
      <c r="E742" s="616"/>
      <c r="F742" s="616"/>
      <c r="J742" s="616"/>
      <c r="K742" s="616"/>
      <c r="N742" s="616"/>
      <c r="V742" s="616"/>
      <c r="AL742" s="616"/>
    </row>
    <row r="743">
      <c r="A743" s="615"/>
      <c r="E743" s="616"/>
      <c r="F743" s="616"/>
      <c r="J743" s="616"/>
      <c r="K743" s="616"/>
      <c r="N743" s="616"/>
      <c r="V743" s="616"/>
      <c r="AL743" s="616"/>
    </row>
    <row r="744">
      <c r="A744" s="615"/>
      <c r="E744" s="616"/>
      <c r="F744" s="616"/>
      <c r="J744" s="616"/>
      <c r="K744" s="616"/>
      <c r="N744" s="616"/>
      <c r="V744" s="616"/>
      <c r="AL744" s="616"/>
    </row>
    <row r="745">
      <c r="A745" s="615"/>
      <c r="E745" s="616"/>
      <c r="F745" s="616"/>
      <c r="J745" s="616"/>
      <c r="K745" s="616"/>
      <c r="N745" s="616"/>
      <c r="V745" s="616"/>
      <c r="AL745" s="616"/>
    </row>
    <row r="746">
      <c r="A746" s="615"/>
      <c r="E746" s="616"/>
      <c r="F746" s="616"/>
      <c r="J746" s="616"/>
      <c r="K746" s="616"/>
      <c r="N746" s="616"/>
      <c r="V746" s="616"/>
      <c r="AL746" s="616"/>
    </row>
    <row r="747">
      <c r="A747" s="615"/>
      <c r="E747" s="616"/>
      <c r="F747" s="616"/>
      <c r="J747" s="616"/>
      <c r="K747" s="616"/>
      <c r="N747" s="616"/>
      <c r="V747" s="616"/>
      <c r="AL747" s="616"/>
    </row>
    <row r="748">
      <c r="A748" s="615"/>
      <c r="E748" s="616"/>
      <c r="F748" s="616"/>
      <c r="J748" s="616"/>
      <c r="K748" s="616"/>
      <c r="N748" s="616"/>
      <c r="V748" s="616"/>
      <c r="AL748" s="616"/>
    </row>
    <row r="749">
      <c r="A749" s="615"/>
      <c r="E749" s="616"/>
      <c r="F749" s="616"/>
      <c r="J749" s="616"/>
      <c r="K749" s="616"/>
      <c r="N749" s="616"/>
      <c r="V749" s="616"/>
      <c r="AL749" s="616"/>
    </row>
    <row r="750">
      <c r="A750" s="615"/>
      <c r="E750" s="616"/>
      <c r="F750" s="616"/>
      <c r="J750" s="616"/>
      <c r="K750" s="616"/>
      <c r="N750" s="616"/>
      <c r="V750" s="616"/>
      <c r="AL750" s="616"/>
    </row>
    <row r="751">
      <c r="A751" s="615"/>
      <c r="E751" s="616"/>
      <c r="F751" s="616"/>
      <c r="J751" s="616"/>
      <c r="K751" s="616"/>
      <c r="N751" s="616"/>
      <c r="V751" s="616"/>
      <c r="AL751" s="616"/>
    </row>
    <row r="752">
      <c r="A752" s="615"/>
      <c r="E752" s="616"/>
      <c r="F752" s="616"/>
      <c r="J752" s="616"/>
      <c r="K752" s="616"/>
      <c r="N752" s="616"/>
      <c r="V752" s="616"/>
      <c r="AL752" s="616"/>
    </row>
    <row r="753">
      <c r="A753" s="615"/>
      <c r="E753" s="616"/>
      <c r="F753" s="616"/>
      <c r="J753" s="616"/>
      <c r="K753" s="616"/>
      <c r="N753" s="616"/>
      <c r="V753" s="616"/>
      <c r="AL753" s="616"/>
    </row>
    <row r="754">
      <c r="A754" s="615"/>
      <c r="E754" s="616"/>
      <c r="F754" s="616"/>
      <c r="J754" s="616"/>
      <c r="K754" s="616"/>
      <c r="N754" s="616"/>
      <c r="V754" s="616"/>
      <c r="AL754" s="616"/>
    </row>
    <row r="755">
      <c r="A755" s="615"/>
      <c r="E755" s="616"/>
      <c r="F755" s="616"/>
      <c r="J755" s="616"/>
      <c r="K755" s="616"/>
      <c r="N755" s="616"/>
      <c r="V755" s="616"/>
      <c r="AL755" s="616"/>
    </row>
    <row r="756">
      <c r="A756" s="615"/>
      <c r="E756" s="616"/>
      <c r="F756" s="616"/>
      <c r="J756" s="616"/>
      <c r="K756" s="616"/>
      <c r="N756" s="616"/>
      <c r="V756" s="616"/>
      <c r="AL756" s="616"/>
    </row>
    <row r="757">
      <c r="A757" s="615"/>
      <c r="E757" s="616"/>
      <c r="F757" s="616"/>
      <c r="J757" s="616"/>
      <c r="K757" s="616"/>
      <c r="N757" s="616"/>
      <c r="V757" s="616"/>
      <c r="AL757" s="616"/>
    </row>
    <row r="758">
      <c r="A758" s="615"/>
      <c r="E758" s="616"/>
      <c r="F758" s="616"/>
      <c r="J758" s="616"/>
      <c r="K758" s="616"/>
      <c r="N758" s="616"/>
      <c r="V758" s="616"/>
      <c r="AL758" s="616"/>
    </row>
    <row r="759">
      <c r="A759" s="615"/>
      <c r="E759" s="616"/>
      <c r="F759" s="616"/>
      <c r="J759" s="616"/>
      <c r="K759" s="616"/>
      <c r="N759" s="616"/>
      <c r="V759" s="616"/>
      <c r="AL759" s="616"/>
    </row>
    <row r="760">
      <c r="A760" s="615"/>
      <c r="E760" s="616"/>
      <c r="F760" s="616"/>
      <c r="J760" s="616"/>
      <c r="K760" s="616"/>
      <c r="N760" s="616"/>
      <c r="V760" s="616"/>
      <c r="AL760" s="616"/>
    </row>
    <row r="761">
      <c r="A761" s="615"/>
      <c r="E761" s="616"/>
      <c r="F761" s="616"/>
      <c r="J761" s="616"/>
      <c r="K761" s="616"/>
      <c r="N761" s="616"/>
      <c r="V761" s="616"/>
      <c r="AL761" s="616"/>
    </row>
    <row r="762">
      <c r="A762" s="615"/>
      <c r="E762" s="616"/>
      <c r="F762" s="616"/>
      <c r="J762" s="616"/>
      <c r="K762" s="616"/>
      <c r="N762" s="616"/>
      <c r="V762" s="616"/>
      <c r="AL762" s="616"/>
    </row>
    <row r="763">
      <c r="A763" s="615"/>
      <c r="E763" s="616"/>
      <c r="F763" s="616"/>
      <c r="J763" s="616"/>
      <c r="K763" s="616"/>
      <c r="N763" s="616"/>
      <c r="V763" s="616"/>
      <c r="AL763" s="616"/>
    </row>
    <row r="764">
      <c r="A764" s="615"/>
      <c r="E764" s="616"/>
      <c r="F764" s="616"/>
      <c r="J764" s="616"/>
      <c r="K764" s="616"/>
      <c r="N764" s="616"/>
      <c r="V764" s="616"/>
      <c r="AL764" s="616"/>
    </row>
    <row r="765">
      <c r="A765" s="615"/>
      <c r="E765" s="616"/>
      <c r="F765" s="616"/>
      <c r="J765" s="616"/>
      <c r="K765" s="616"/>
      <c r="N765" s="616"/>
      <c r="V765" s="616"/>
      <c r="AL765" s="616"/>
    </row>
    <row r="766">
      <c r="A766" s="615"/>
      <c r="E766" s="616"/>
      <c r="F766" s="616"/>
      <c r="J766" s="616"/>
      <c r="K766" s="616"/>
      <c r="N766" s="616"/>
      <c r="V766" s="616"/>
      <c r="AL766" s="616"/>
    </row>
    <row r="767">
      <c r="A767" s="615"/>
      <c r="E767" s="616"/>
      <c r="F767" s="616"/>
      <c r="J767" s="616"/>
      <c r="K767" s="616"/>
      <c r="N767" s="616"/>
      <c r="V767" s="616"/>
      <c r="AL767" s="616"/>
    </row>
    <row r="768">
      <c r="A768" s="615"/>
      <c r="E768" s="616"/>
      <c r="F768" s="616"/>
      <c r="J768" s="616"/>
      <c r="K768" s="616"/>
      <c r="N768" s="616"/>
      <c r="V768" s="616"/>
      <c r="AL768" s="616"/>
    </row>
    <row r="769">
      <c r="A769" s="615"/>
      <c r="E769" s="616"/>
      <c r="F769" s="616"/>
      <c r="J769" s="616"/>
      <c r="K769" s="616"/>
      <c r="N769" s="616"/>
      <c r="V769" s="616"/>
      <c r="AL769" s="616"/>
    </row>
    <row r="770">
      <c r="A770" s="615"/>
      <c r="E770" s="616"/>
      <c r="F770" s="616"/>
      <c r="J770" s="616"/>
      <c r="K770" s="616"/>
      <c r="N770" s="616"/>
      <c r="V770" s="616"/>
      <c r="AL770" s="616"/>
    </row>
    <row r="771">
      <c r="A771" s="615"/>
      <c r="E771" s="616"/>
      <c r="F771" s="616"/>
      <c r="J771" s="616"/>
      <c r="K771" s="616"/>
      <c r="N771" s="616"/>
      <c r="V771" s="616"/>
      <c r="AL771" s="616"/>
    </row>
    <row r="772">
      <c r="A772" s="615"/>
      <c r="E772" s="616"/>
      <c r="F772" s="616"/>
      <c r="J772" s="616"/>
      <c r="K772" s="616"/>
      <c r="N772" s="616"/>
      <c r="V772" s="616"/>
      <c r="AL772" s="616"/>
    </row>
    <row r="773">
      <c r="A773" s="615"/>
      <c r="E773" s="616"/>
      <c r="F773" s="616"/>
      <c r="J773" s="616"/>
      <c r="K773" s="616"/>
      <c r="N773" s="616"/>
      <c r="V773" s="616"/>
      <c r="AL773" s="616"/>
    </row>
    <row r="774">
      <c r="A774" s="615"/>
      <c r="E774" s="616"/>
      <c r="F774" s="616"/>
      <c r="J774" s="616"/>
      <c r="K774" s="616"/>
      <c r="N774" s="616"/>
      <c r="V774" s="616"/>
      <c r="AL774" s="616"/>
    </row>
    <row r="775">
      <c r="A775" s="615"/>
      <c r="E775" s="616"/>
      <c r="F775" s="616"/>
      <c r="J775" s="616"/>
      <c r="K775" s="616"/>
      <c r="N775" s="616"/>
      <c r="V775" s="616"/>
      <c r="AL775" s="616"/>
    </row>
    <row r="776">
      <c r="A776" s="615"/>
      <c r="E776" s="616"/>
      <c r="F776" s="616"/>
      <c r="J776" s="616"/>
      <c r="K776" s="616"/>
      <c r="N776" s="616"/>
      <c r="V776" s="616"/>
      <c r="AL776" s="616"/>
    </row>
    <row r="777">
      <c r="A777" s="615"/>
      <c r="E777" s="616"/>
      <c r="F777" s="616"/>
      <c r="J777" s="616"/>
      <c r="K777" s="616"/>
      <c r="N777" s="616"/>
      <c r="V777" s="616"/>
      <c r="AL777" s="616"/>
    </row>
    <row r="778">
      <c r="A778" s="615"/>
      <c r="E778" s="616"/>
      <c r="F778" s="616"/>
      <c r="J778" s="616"/>
      <c r="K778" s="616"/>
      <c r="N778" s="616"/>
      <c r="V778" s="616"/>
      <c r="AL778" s="616"/>
    </row>
    <row r="779">
      <c r="A779" s="615"/>
      <c r="E779" s="616"/>
      <c r="F779" s="616"/>
      <c r="J779" s="616"/>
      <c r="K779" s="616"/>
      <c r="N779" s="616"/>
      <c r="V779" s="616"/>
      <c r="AL779" s="616"/>
    </row>
    <row r="780">
      <c r="A780" s="615"/>
      <c r="E780" s="616"/>
      <c r="F780" s="616"/>
      <c r="J780" s="616"/>
      <c r="K780" s="616"/>
      <c r="N780" s="616"/>
      <c r="V780" s="616"/>
      <c r="AL780" s="616"/>
    </row>
    <row r="781">
      <c r="A781" s="615"/>
      <c r="E781" s="616"/>
      <c r="F781" s="616"/>
      <c r="J781" s="616"/>
      <c r="K781" s="616"/>
      <c r="N781" s="616"/>
      <c r="V781" s="616"/>
      <c r="AL781" s="616"/>
    </row>
    <row r="782">
      <c r="A782" s="615"/>
      <c r="E782" s="616"/>
      <c r="F782" s="616"/>
      <c r="J782" s="616"/>
      <c r="K782" s="616"/>
      <c r="N782" s="616"/>
      <c r="V782" s="616"/>
      <c r="AL782" s="616"/>
    </row>
    <row r="783">
      <c r="A783" s="615"/>
      <c r="E783" s="616"/>
      <c r="F783" s="616"/>
      <c r="J783" s="616"/>
      <c r="K783" s="616"/>
      <c r="N783" s="616"/>
      <c r="V783" s="616"/>
      <c r="AL783" s="616"/>
    </row>
    <row r="784">
      <c r="A784" s="615"/>
      <c r="E784" s="616"/>
      <c r="F784" s="616"/>
      <c r="J784" s="616"/>
      <c r="K784" s="616"/>
      <c r="N784" s="616"/>
      <c r="V784" s="616"/>
      <c r="AL784" s="616"/>
    </row>
    <row r="785">
      <c r="A785" s="615"/>
      <c r="E785" s="616"/>
      <c r="F785" s="616"/>
      <c r="J785" s="616"/>
      <c r="K785" s="616"/>
      <c r="N785" s="616"/>
      <c r="V785" s="616"/>
      <c r="AL785" s="616"/>
    </row>
    <row r="786">
      <c r="A786" s="615"/>
      <c r="E786" s="616"/>
      <c r="F786" s="616"/>
      <c r="J786" s="616"/>
      <c r="K786" s="616"/>
      <c r="N786" s="616"/>
      <c r="V786" s="616"/>
      <c r="AL786" s="616"/>
    </row>
    <row r="787">
      <c r="A787" s="615"/>
      <c r="E787" s="616"/>
      <c r="F787" s="616"/>
      <c r="J787" s="616"/>
      <c r="K787" s="616"/>
      <c r="N787" s="616"/>
      <c r="V787" s="616"/>
      <c r="AL787" s="616"/>
    </row>
    <row r="788">
      <c r="A788" s="615"/>
      <c r="E788" s="616"/>
      <c r="F788" s="616"/>
      <c r="J788" s="616"/>
      <c r="K788" s="616"/>
      <c r="N788" s="616"/>
      <c r="V788" s="616"/>
      <c r="AL788" s="616"/>
    </row>
    <row r="789">
      <c r="A789" s="615"/>
      <c r="E789" s="616"/>
      <c r="F789" s="616"/>
      <c r="J789" s="616"/>
      <c r="K789" s="616"/>
      <c r="N789" s="616"/>
      <c r="V789" s="616"/>
      <c r="AL789" s="616"/>
    </row>
    <row r="790">
      <c r="A790" s="615"/>
      <c r="E790" s="616"/>
      <c r="F790" s="616"/>
      <c r="J790" s="616"/>
      <c r="K790" s="616"/>
      <c r="N790" s="616"/>
      <c r="V790" s="616"/>
      <c r="AL790" s="616"/>
    </row>
    <row r="791">
      <c r="A791" s="615"/>
      <c r="E791" s="616"/>
      <c r="F791" s="616"/>
      <c r="J791" s="616"/>
      <c r="K791" s="616"/>
      <c r="N791" s="616"/>
      <c r="V791" s="616"/>
      <c r="AL791" s="616"/>
    </row>
    <row r="792">
      <c r="A792" s="615"/>
      <c r="E792" s="616"/>
      <c r="F792" s="616"/>
      <c r="J792" s="616"/>
      <c r="K792" s="616"/>
      <c r="N792" s="616"/>
      <c r="V792" s="616"/>
      <c r="AL792" s="616"/>
    </row>
    <row r="793">
      <c r="A793" s="615"/>
      <c r="E793" s="616"/>
      <c r="F793" s="616"/>
      <c r="J793" s="616"/>
      <c r="K793" s="616"/>
      <c r="N793" s="616"/>
      <c r="V793" s="616"/>
      <c r="AL793" s="616"/>
    </row>
    <row r="794">
      <c r="A794" s="615"/>
      <c r="E794" s="616"/>
      <c r="F794" s="616"/>
      <c r="J794" s="616"/>
      <c r="K794" s="616"/>
      <c r="N794" s="616"/>
      <c r="V794" s="616"/>
      <c r="AL794" s="616"/>
    </row>
    <row r="795">
      <c r="A795" s="615"/>
      <c r="E795" s="616"/>
      <c r="F795" s="616"/>
      <c r="J795" s="616"/>
      <c r="K795" s="616"/>
      <c r="N795" s="616"/>
      <c r="V795" s="616"/>
      <c r="AL795" s="616"/>
    </row>
    <row r="796">
      <c r="A796" s="615"/>
      <c r="E796" s="616"/>
      <c r="F796" s="616"/>
      <c r="J796" s="616"/>
      <c r="K796" s="616"/>
      <c r="N796" s="616"/>
      <c r="V796" s="616"/>
      <c r="AL796" s="616"/>
    </row>
    <row r="797">
      <c r="A797" s="615"/>
      <c r="E797" s="616"/>
      <c r="F797" s="616"/>
      <c r="J797" s="616"/>
      <c r="K797" s="616"/>
      <c r="N797" s="616"/>
      <c r="V797" s="616"/>
      <c r="AL797" s="616"/>
    </row>
    <row r="798">
      <c r="A798" s="615"/>
      <c r="E798" s="616"/>
      <c r="F798" s="616"/>
      <c r="J798" s="616"/>
      <c r="K798" s="616"/>
      <c r="N798" s="616"/>
      <c r="V798" s="616"/>
      <c r="AL798" s="616"/>
    </row>
    <row r="799">
      <c r="A799" s="615"/>
      <c r="E799" s="616"/>
      <c r="F799" s="616"/>
      <c r="J799" s="616"/>
      <c r="K799" s="616"/>
      <c r="N799" s="616"/>
      <c r="V799" s="616"/>
      <c r="AL799" s="616"/>
    </row>
    <row r="800">
      <c r="A800" s="615"/>
      <c r="E800" s="616"/>
      <c r="F800" s="616"/>
      <c r="J800" s="616"/>
      <c r="K800" s="616"/>
      <c r="N800" s="616"/>
      <c r="V800" s="616"/>
      <c r="AL800" s="616"/>
    </row>
    <row r="801">
      <c r="A801" s="615"/>
      <c r="E801" s="616"/>
      <c r="F801" s="616"/>
      <c r="J801" s="616"/>
      <c r="K801" s="616"/>
      <c r="N801" s="616"/>
      <c r="V801" s="616"/>
      <c r="AL801" s="616"/>
    </row>
    <row r="802">
      <c r="A802" s="615"/>
      <c r="E802" s="616"/>
      <c r="F802" s="616"/>
      <c r="J802" s="616"/>
      <c r="K802" s="616"/>
      <c r="N802" s="616"/>
      <c r="V802" s="616"/>
      <c r="AL802" s="616"/>
    </row>
    <row r="803">
      <c r="A803" s="615"/>
      <c r="E803" s="616"/>
      <c r="F803" s="616"/>
      <c r="J803" s="616"/>
      <c r="K803" s="616"/>
      <c r="N803" s="616"/>
      <c r="V803" s="616"/>
      <c r="AL803" s="616"/>
    </row>
    <row r="804">
      <c r="A804" s="615"/>
      <c r="E804" s="616"/>
      <c r="F804" s="616"/>
      <c r="J804" s="616"/>
      <c r="K804" s="616"/>
      <c r="N804" s="616"/>
      <c r="V804" s="616"/>
      <c r="AL804" s="616"/>
    </row>
    <row r="805">
      <c r="A805" s="615"/>
      <c r="E805" s="616"/>
      <c r="F805" s="616"/>
      <c r="J805" s="616"/>
      <c r="K805" s="616"/>
      <c r="N805" s="616"/>
      <c r="V805" s="616"/>
      <c r="AL805" s="616"/>
    </row>
    <row r="806">
      <c r="A806" s="615"/>
      <c r="E806" s="616"/>
      <c r="F806" s="616"/>
      <c r="J806" s="616"/>
      <c r="K806" s="616"/>
      <c r="N806" s="616"/>
      <c r="V806" s="616"/>
      <c r="AL806" s="616"/>
    </row>
    <row r="807">
      <c r="A807" s="615"/>
      <c r="E807" s="616"/>
      <c r="F807" s="616"/>
      <c r="J807" s="616"/>
      <c r="K807" s="616"/>
      <c r="N807" s="616"/>
      <c r="V807" s="616"/>
      <c r="AL807" s="616"/>
    </row>
    <row r="808">
      <c r="A808" s="615"/>
      <c r="E808" s="616"/>
      <c r="F808" s="616"/>
      <c r="J808" s="616"/>
      <c r="K808" s="616"/>
      <c r="N808" s="616"/>
      <c r="V808" s="616"/>
      <c r="AL808" s="616"/>
    </row>
    <row r="809">
      <c r="A809" s="615"/>
      <c r="E809" s="616"/>
      <c r="F809" s="616"/>
      <c r="J809" s="616"/>
      <c r="K809" s="616"/>
      <c r="N809" s="616"/>
      <c r="V809" s="616"/>
      <c r="AL809" s="616"/>
    </row>
    <row r="810">
      <c r="A810" s="615"/>
      <c r="E810" s="616"/>
      <c r="F810" s="616"/>
      <c r="J810" s="616"/>
      <c r="K810" s="616"/>
      <c r="N810" s="616"/>
      <c r="V810" s="616"/>
      <c r="AL810" s="616"/>
    </row>
    <row r="811">
      <c r="A811" s="615"/>
      <c r="E811" s="616"/>
      <c r="F811" s="616"/>
      <c r="J811" s="616"/>
      <c r="K811" s="616"/>
      <c r="N811" s="616"/>
      <c r="V811" s="616"/>
      <c r="AL811" s="616"/>
    </row>
    <row r="812">
      <c r="A812" s="615"/>
      <c r="E812" s="616"/>
      <c r="F812" s="616"/>
      <c r="J812" s="616"/>
      <c r="K812" s="616"/>
      <c r="N812" s="616"/>
      <c r="V812" s="616"/>
      <c r="AL812" s="616"/>
    </row>
    <row r="813">
      <c r="A813" s="615"/>
      <c r="E813" s="616"/>
      <c r="F813" s="616"/>
      <c r="J813" s="616"/>
      <c r="K813" s="616"/>
      <c r="N813" s="616"/>
      <c r="V813" s="616"/>
      <c r="AL813" s="616"/>
    </row>
    <row r="814">
      <c r="A814" s="615"/>
      <c r="E814" s="616"/>
      <c r="F814" s="616"/>
      <c r="J814" s="616"/>
      <c r="K814" s="616"/>
      <c r="N814" s="616"/>
      <c r="V814" s="616"/>
      <c r="AL814" s="616"/>
    </row>
    <row r="815">
      <c r="A815" s="615"/>
      <c r="E815" s="616"/>
      <c r="F815" s="616"/>
      <c r="J815" s="616"/>
      <c r="K815" s="616"/>
      <c r="N815" s="616"/>
      <c r="V815" s="616"/>
      <c r="AL815" s="616"/>
    </row>
    <row r="816">
      <c r="A816" s="615"/>
      <c r="E816" s="616"/>
      <c r="F816" s="616"/>
      <c r="J816" s="616"/>
      <c r="K816" s="616"/>
      <c r="N816" s="616"/>
      <c r="V816" s="616"/>
      <c r="AL816" s="616"/>
    </row>
    <row r="817">
      <c r="A817" s="615"/>
      <c r="E817" s="616"/>
      <c r="F817" s="616"/>
      <c r="J817" s="616"/>
      <c r="K817" s="616"/>
      <c r="N817" s="616"/>
      <c r="V817" s="616"/>
      <c r="AL817" s="616"/>
    </row>
    <row r="818">
      <c r="A818" s="615"/>
      <c r="E818" s="616"/>
      <c r="F818" s="616"/>
      <c r="J818" s="616"/>
      <c r="K818" s="616"/>
      <c r="N818" s="616"/>
      <c r="V818" s="616"/>
      <c r="AL818" s="616"/>
    </row>
    <row r="819">
      <c r="A819" s="615"/>
      <c r="E819" s="616"/>
      <c r="F819" s="616"/>
      <c r="J819" s="616"/>
      <c r="K819" s="616"/>
      <c r="N819" s="616"/>
      <c r="V819" s="616"/>
      <c r="AL819" s="616"/>
    </row>
    <row r="820">
      <c r="A820" s="615"/>
      <c r="E820" s="616"/>
      <c r="F820" s="616"/>
      <c r="J820" s="616"/>
      <c r="K820" s="616"/>
      <c r="N820" s="616"/>
      <c r="V820" s="616"/>
      <c r="AL820" s="616"/>
    </row>
    <row r="821">
      <c r="A821" s="615"/>
      <c r="E821" s="616"/>
      <c r="F821" s="616"/>
      <c r="J821" s="616"/>
      <c r="K821" s="616"/>
      <c r="N821" s="616"/>
      <c r="V821" s="616"/>
      <c r="AL821" s="616"/>
    </row>
    <row r="822">
      <c r="A822" s="615"/>
      <c r="E822" s="616"/>
      <c r="F822" s="616"/>
      <c r="J822" s="616"/>
      <c r="K822" s="616"/>
      <c r="N822" s="616"/>
      <c r="V822" s="616"/>
      <c r="AL822" s="616"/>
    </row>
    <row r="823">
      <c r="A823" s="615"/>
      <c r="E823" s="616"/>
      <c r="F823" s="616"/>
      <c r="J823" s="616"/>
      <c r="K823" s="616"/>
      <c r="N823" s="616"/>
      <c r="V823" s="616"/>
      <c r="AL823" s="616"/>
    </row>
    <row r="824">
      <c r="A824" s="615"/>
      <c r="E824" s="616"/>
      <c r="F824" s="616"/>
      <c r="J824" s="616"/>
      <c r="K824" s="616"/>
      <c r="N824" s="616"/>
      <c r="V824" s="616"/>
      <c r="AL824" s="616"/>
    </row>
    <row r="825">
      <c r="A825" s="615"/>
      <c r="E825" s="616"/>
      <c r="F825" s="616"/>
      <c r="J825" s="616"/>
      <c r="K825" s="616"/>
      <c r="N825" s="616"/>
      <c r="V825" s="616"/>
      <c r="AL825" s="616"/>
    </row>
    <row r="826">
      <c r="A826" s="615"/>
      <c r="E826" s="616"/>
      <c r="F826" s="616"/>
      <c r="J826" s="616"/>
      <c r="K826" s="616"/>
      <c r="N826" s="616"/>
      <c r="V826" s="616"/>
      <c r="AL826" s="616"/>
    </row>
    <row r="827">
      <c r="A827" s="615"/>
      <c r="E827" s="616"/>
      <c r="F827" s="616"/>
      <c r="J827" s="616"/>
      <c r="K827" s="616"/>
      <c r="N827" s="616"/>
      <c r="V827" s="616"/>
      <c r="AL827" s="616"/>
    </row>
    <row r="828">
      <c r="A828" s="615"/>
      <c r="E828" s="616"/>
      <c r="F828" s="616"/>
      <c r="J828" s="616"/>
      <c r="K828" s="616"/>
      <c r="N828" s="616"/>
      <c r="V828" s="616"/>
      <c r="AL828" s="616"/>
    </row>
    <row r="829">
      <c r="A829" s="615"/>
      <c r="E829" s="616"/>
      <c r="F829" s="616"/>
      <c r="J829" s="616"/>
      <c r="K829" s="616"/>
      <c r="N829" s="616"/>
      <c r="V829" s="616"/>
      <c r="AL829" s="616"/>
    </row>
    <row r="830">
      <c r="A830" s="615"/>
      <c r="E830" s="616"/>
      <c r="F830" s="616"/>
      <c r="J830" s="616"/>
      <c r="K830" s="616"/>
      <c r="N830" s="616"/>
      <c r="V830" s="616"/>
      <c r="AL830" s="616"/>
    </row>
    <row r="831">
      <c r="A831" s="615"/>
      <c r="E831" s="616"/>
      <c r="F831" s="616"/>
      <c r="J831" s="616"/>
      <c r="K831" s="616"/>
      <c r="N831" s="616"/>
      <c r="V831" s="616"/>
      <c r="AL831" s="616"/>
    </row>
    <row r="832">
      <c r="A832" s="615"/>
      <c r="E832" s="616"/>
      <c r="F832" s="616"/>
      <c r="J832" s="616"/>
      <c r="K832" s="616"/>
      <c r="N832" s="616"/>
      <c r="V832" s="616"/>
      <c r="AL832" s="616"/>
    </row>
    <row r="833">
      <c r="A833" s="615"/>
      <c r="E833" s="616"/>
      <c r="F833" s="616"/>
      <c r="J833" s="616"/>
      <c r="K833" s="616"/>
      <c r="N833" s="616"/>
      <c r="V833" s="616"/>
      <c r="AL833" s="616"/>
    </row>
    <row r="834">
      <c r="A834" s="615"/>
      <c r="E834" s="616"/>
      <c r="F834" s="616"/>
      <c r="J834" s="616"/>
      <c r="K834" s="616"/>
      <c r="N834" s="616"/>
      <c r="V834" s="616"/>
      <c r="AL834" s="616"/>
    </row>
    <row r="835">
      <c r="A835" s="615"/>
      <c r="E835" s="616"/>
      <c r="F835" s="616"/>
      <c r="J835" s="616"/>
      <c r="K835" s="616"/>
      <c r="N835" s="616"/>
      <c r="V835" s="616"/>
      <c r="AL835" s="616"/>
    </row>
    <row r="836">
      <c r="A836" s="615"/>
      <c r="E836" s="616"/>
      <c r="F836" s="616"/>
      <c r="J836" s="616"/>
      <c r="K836" s="616"/>
      <c r="N836" s="616"/>
      <c r="V836" s="616"/>
      <c r="AL836" s="616"/>
    </row>
    <row r="837">
      <c r="A837" s="615"/>
      <c r="E837" s="616"/>
      <c r="F837" s="616"/>
      <c r="J837" s="616"/>
      <c r="K837" s="616"/>
      <c r="N837" s="616"/>
      <c r="V837" s="616"/>
      <c r="AL837" s="616"/>
    </row>
    <row r="838">
      <c r="A838" s="615"/>
      <c r="E838" s="616"/>
      <c r="F838" s="616"/>
      <c r="J838" s="616"/>
      <c r="K838" s="616"/>
      <c r="N838" s="616"/>
      <c r="V838" s="616"/>
      <c r="AL838" s="616"/>
    </row>
    <row r="839">
      <c r="A839" s="615"/>
      <c r="E839" s="616"/>
      <c r="F839" s="616"/>
      <c r="J839" s="616"/>
      <c r="K839" s="616"/>
      <c r="N839" s="616"/>
      <c r="V839" s="616"/>
      <c r="AL839" s="616"/>
    </row>
    <row r="840">
      <c r="A840" s="615"/>
      <c r="E840" s="616"/>
      <c r="F840" s="616"/>
      <c r="J840" s="616"/>
      <c r="K840" s="616"/>
      <c r="N840" s="616"/>
      <c r="V840" s="616"/>
      <c r="AL840" s="616"/>
    </row>
    <row r="841">
      <c r="A841" s="615"/>
      <c r="E841" s="616"/>
      <c r="F841" s="616"/>
      <c r="J841" s="616"/>
      <c r="K841" s="616"/>
      <c r="N841" s="616"/>
      <c r="V841" s="616"/>
      <c r="AL841" s="616"/>
    </row>
    <row r="842">
      <c r="A842" s="615"/>
      <c r="E842" s="616"/>
      <c r="F842" s="616"/>
      <c r="J842" s="616"/>
      <c r="K842" s="616"/>
      <c r="N842" s="616"/>
      <c r="V842" s="616"/>
      <c r="AL842" s="616"/>
    </row>
    <row r="843">
      <c r="A843" s="615"/>
      <c r="E843" s="616"/>
      <c r="F843" s="616"/>
      <c r="J843" s="616"/>
      <c r="K843" s="616"/>
      <c r="N843" s="616"/>
      <c r="V843" s="616"/>
      <c r="AL843" s="616"/>
    </row>
    <row r="844">
      <c r="A844" s="615"/>
      <c r="E844" s="616"/>
      <c r="F844" s="616"/>
      <c r="J844" s="616"/>
      <c r="K844" s="616"/>
      <c r="N844" s="616"/>
      <c r="V844" s="616"/>
      <c r="AL844" s="616"/>
    </row>
    <row r="845">
      <c r="A845" s="615"/>
      <c r="E845" s="616"/>
      <c r="F845" s="616"/>
      <c r="J845" s="616"/>
      <c r="K845" s="616"/>
      <c r="N845" s="616"/>
      <c r="V845" s="616"/>
      <c r="AL845" s="616"/>
    </row>
    <row r="846">
      <c r="A846" s="615"/>
      <c r="E846" s="616"/>
      <c r="F846" s="616"/>
      <c r="J846" s="616"/>
      <c r="K846" s="616"/>
      <c r="N846" s="616"/>
      <c r="V846" s="616"/>
      <c r="AL846" s="616"/>
    </row>
    <row r="847">
      <c r="A847" s="615"/>
      <c r="E847" s="616"/>
      <c r="F847" s="616"/>
      <c r="J847" s="616"/>
      <c r="K847" s="616"/>
      <c r="N847" s="616"/>
      <c r="V847" s="616"/>
      <c r="AL847" s="616"/>
    </row>
    <row r="848">
      <c r="A848" s="615"/>
      <c r="E848" s="616"/>
      <c r="F848" s="616"/>
      <c r="J848" s="616"/>
      <c r="K848" s="616"/>
      <c r="N848" s="616"/>
      <c r="V848" s="616"/>
      <c r="AL848" s="616"/>
    </row>
    <row r="849">
      <c r="A849" s="615"/>
      <c r="E849" s="616"/>
      <c r="F849" s="616"/>
      <c r="J849" s="616"/>
      <c r="K849" s="616"/>
      <c r="N849" s="616"/>
      <c r="V849" s="616"/>
      <c r="AL849" s="616"/>
    </row>
    <row r="850">
      <c r="A850" s="615"/>
      <c r="E850" s="616"/>
      <c r="F850" s="616"/>
      <c r="J850" s="616"/>
      <c r="K850" s="616"/>
      <c r="N850" s="616"/>
      <c r="V850" s="616"/>
      <c r="AL850" s="616"/>
    </row>
    <row r="851">
      <c r="A851" s="615"/>
      <c r="E851" s="616"/>
      <c r="F851" s="616"/>
      <c r="J851" s="616"/>
      <c r="K851" s="616"/>
      <c r="N851" s="616"/>
      <c r="V851" s="616"/>
      <c r="AL851" s="616"/>
    </row>
    <row r="852">
      <c r="A852" s="615"/>
      <c r="E852" s="616"/>
      <c r="F852" s="616"/>
      <c r="J852" s="616"/>
      <c r="K852" s="616"/>
      <c r="N852" s="616"/>
      <c r="V852" s="616"/>
      <c r="AL852" s="616"/>
    </row>
    <row r="853">
      <c r="A853" s="615"/>
      <c r="E853" s="616"/>
      <c r="F853" s="616"/>
      <c r="J853" s="616"/>
      <c r="K853" s="616"/>
      <c r="N853" s="616"/>
      <c r="V853" s="616"/>
      <c r="AL853" s="616"/>
    </row>
    <row r="854">
      <c r="A854" s="615"/>
      <c r="E854" s="616"/>
      <c r="F854" s="616"/>
      <c r="J854" s="616"/>
      <c r="K854" s="616"/>
      <c r="N854" s="616"/>
      <c r="V854" s="616"/>
      <c r="AL854" s="616"/>
    </row>
    <row r="855">
      <c r="A855" s="615"/>
      <c r="E855" s="616"/>
      <c r="F855" s="616"/>
      <c r="J855" s="616"/>
      <c r="K855" s="616"/>
      <c r="N855" s="616"/>
      <c r="V855" s="616"/>
      <c r="AL855" s="616"/>
    </row>
    <row r="856">
      <c r="A856" s="615"/>
      <c r="E856" s="616"/>
      <c r="F856" s="616"/>
      <c r="J856" s="616"/>
      <c r="K856" s="616"/>
      <c r="N856" s="616"/>
      <c r="V856" s="616"/>
      <c r="AL856" s="616"/>
    </row>
    <row r="857">
      <c r="A857" s="615"/>
      <c r="E857" s="616"/>
      <c r="F857" s="616"/>
      <c r="J857" s="616"/>
      <c r="K857" s="616"/>
      <c r="N857" s="616"/>
      <c r="V857" s="616"/>
      <c r="AL857" s="616"/>
    </row>
    <row r="858">
      <c r="A858" s="615"/>
      <c r="E858" s="616"/>
      <c r="F858" s="616"/>
      <c r="J858" s="616"/>
      <c r="K858" s="616"/>
      <c r="N858" s="616"/>
      <c r="V858" s="616"/>
      <c r="AL858" s="616"/>
    </row>
    <row r="859">
      <c r="A859" s="615"/>
      <c r="E859" s="616"/>
      <c r="F859" s="616"/>
      <c r="J859" s="616"/>
      <c r="K859" s="616"/>
      <c r="N859" s="616"/>
      <c r="V859" s="616"/>
      <c r="AL859" s="616"/>
    </row>
    <row r="860">
      <c r="A860" s="615"/>
      <c r="E860" s="616"/>
      <c r="F860" s="616"/>
      <c r="J860" s="616"/>
      <c r="K860" s="616"/>
      <c r="N860" s="616"/>
      <c r="V860" s="616"/>
      <c r="AL860" s="616"/>
    </row>
    <row r="861">
      <c r="A861" s="615"/>
      <c r="E861" s="616"/>
      <c r="F861" s="616"/>
      <c r="J861" s="616"/>
      <c r="K861" s="616"/>
      <c r="N861" s="616"/>
      <c r="V861" s="616"/>
      <c r="AL861" s="616"/>
    </row>
    <row r="862">
      <c r="A862" s="615"/>
      <c r="E862" s="616"/>
      <c r="F862" s="616"/>
      <c r="J862" s="616"/>
      <c r="K862" s="616"/>
      <c r="N862" s="616"/>
      <c r="V862" s="616"/>
      <c r="AL862" s="616"/>
    </row>
    <row r="863">
      <c r="A863" s="615"/>
      <c r="E863" s="616"/>
      <c r="F863" s="616"/>
      <c r="J863" s="616"/>
      <c r="K863" s="616"/>
      <c r="N863" s="616"/>
      <c r="V863" s="616"/>
      <c r="AL863" s="616"/>
    </row>
    <row r="864">
      <c r="A864" s="615"/>
      <c r="E864" s="616"/>
      <c r="F864" s="616"/>
      <c r="J864" s="616"/>
      <c r="K864" s="616"/>
      <c r="N864" s="616"/>
      <c r="V864" s="616"/>
      <c r="AL864" s="616"/>
    </row>
    <row r="865">
      <c r="A865" s="615"/>
      <c r="E865" s="616"/>
      <c r="F865" s="616"/>
      <c r="J865" s="616"/>
      <c r="K865" s="616"/>
      <c r="N865" s="616"/>
      <c r="V865" s="616"/>
      <c r="AL865" s="616"/>
    </row>
    <row r="866">
      <c r="A866" s="615"/>
      <c r="E866" s="616"/>
      <c r="F866" s="616"/>
      <c r="J866" s="616"/>
      <c r="K866" s="616"/>
      <c r="N866" s="616"/>
      <c r="V866" s="616"/>
      <c r="AL866" s="616"/>
    </row>
    <row r="867">
      <c r="A867" s="615"/>
      <c r="E867" s="616"/>
      <c r="F867" s="616"/>
      <c r="J867" s="616"/>
      <c r="K867" s="616"/>
      <c r="N867" s="616"/>
      <c r="V867" s="616"/>
      <c r="AL867" s="616"/>
    </row>
    <row r="868">
      <c r="A868" s="615"/>
      <c r="E868" s="616"/>
      <c r="F868" s="616"/>
      <c r="J868" s="616"/>
      <c r="K868" s="616"/>
      <c r="N868" s="616"/>
      <c r="V868" s="616"/>
      <c r="AL868" s="616"/>
    </row>
    <row r="869">
      <c r="A869" s="615"/>
      <c r="E869" s="616"/>
      <c r="F869" s="616"/>
      <c r="J869" s="616"/>
      <c r="K869" s="616"/>
      <c r="N869" s="616"/>
      <c r="V869" s="616"/>
      <c r="AL869" s="616"/>
    </row>
    <row r="870">
      <c r="A870" s="615"/>
      <c r="E870" s="616"/>
      <c r="F870" s="616"/>
      <c r="J870" s="616"/>
      <c r="K870" s="616"/>
      <c r="N870" s="616"/>
      <c r="V870" s="616"/>
      <c r="AL870" s="616"/>
    </row>
    <row r="871">
      <c r="A871" s="615"/>
      <c r="E871" s="616"/>
      <c r="F871" s="616"/>
      <c r="J871" s="616"/>
      <c r="K871" s="616"/>
      <c r="N871" s="616"/>
      <c r="V871" s="616"/>
      <c r="AL871" s="616"/>
    </row>
    <row r="872">
      <c r="A872" s="615"/>
      <c r="E872" s="616"/>
      <c r="F872" s="616"/>
      <c r="J872" s="616"/>
      <c r="K872" s="616"/>
      <c r="N872" s="616"/>
      <c r="V872" s="616"/>
      <c r="AL872" s="616"/>
    </row>
    <row r="873">
      <c r="A873" s="615"/>
      <c r="E873" s="616"/>
      <c r="F873" s="616"/>
      <c r="J873" s="616"/>
      <c r="K873" s="616"/>
      <c r="N873" s="616"/>
      <c r="V873" s="616"/>
      <c r="AL873" s="616"/>
    </row>
    <row r="874">
      <c r="A874" s="615"/>
      <c r="E874" s="616"/>
      <c r="F874" s="616"/>
      <c r="J874" s="616"/>
      <c r="K874" s="616"/>
      <c r="N874" s="616"/>
      <c r="V874" s="616"/>
      <c r="AL874" s="616"/>
    </row>
    <row r="875">
      <c r="A875" s="615"/>
      <c r="E875" s="616"/>
      <c r="F875" s="616"/>
      <c r="J875" s="616"/>
      <c r="K875" s="616"/>
      <c r="N875" s="616"/>
      <c r="V875" s="616"/>
      <c r="AL875" s="616"/>
    </row>
    <row r="876">
      <c r="A876" s="615"/>
      <c r="E876" s="616"/>
      <c r="F876" s="616"/>
      <c r="J876" s="616"/>
      <c r="K876" s="616"/>
      <c r="N876" s="616"/>
      <c r="V876" s="616"/>
      <c r="AL876" s="616"/>
    </row>
    <row r="877">
      <c r="A877" s="615"/>
      <c r="E877" s="616"/>
      <c r="F877" s="616"/>
      <c r="J877" s="616"/>
      <c r="K877" s="616"/>
      <c r="N877" s="616"/>
      <c r="V877" s="616"/>
      <c r="AL877" s="616"/>
    </row>
    <row r="878">
      <c r="A878" s="615"/>
      <c r="E878" s="616"/>
      <c r="F878" s="616"/>
      <c r="J878" s="616"/>
      <c r="K878" s="616"/>
      <c r="N878" s="616"/>
      <c r="V878" s="616"/>
      <c r="AL878" s="616"/>
    </row>
    <row r="879">
      <c r="A879" s="615"/>
      <c r="E879" s="616"/>
      <c r="F879" s="616"/>
      <c r="J879" s="616"/>
      <c r="K879" s="616"/>
      <c r="N879" s="616"/>
      <c r="V879" s="616"/>
      <c r="AL879" s="616"/>
    </row>
    <row r="880">
      <c r="A880" s="615"/>
      <c r="E880" s="616"/>
      <c r="F880" s="616"/>
      <c r="J880" s="616"/>
      <c r="K880" s="616"/>
      <c r="N880" s="616"/>
      <c r="V880" s="616"/>
      <c r="AL880" s="616"/>
    </row>
    <row r="881">
      <c r="A881" s="615"/>
      <c r="E881" s="616"/>
      <c r="F881" s="616"/>
      <c r="J881" s="616"/>
      <c r="K881" s="616"/>
      <c r="N881" s="616"/>
      <c r="V881" s="616"/>
      <c r="AL881" s="616"/>
    </row>
    <row r="882">
      <c r="A882" s="615"/>
      <c r="E882" s="616"/>
      <c r="F882" s="616"/>
      <c r="J882" s="616"/>
      <c r="K882" s="616"/>
      <c r="N882" s="616"/>
      <c r="V882" s="616"/>
      <c r="AL882" s="616"/>
    </row>
    <row r="883">
      <c r="A883" s="615"/>
      <c r="E883" s="616"/>
      <c r="F883" s="616"/>
      <c r="J883" s="616"/>
      <c r="K883" s="616"/>
      <c r="N883" s="616"/>
      <c r="V883" s="616"/>
      <c r="AL883" s="616"/>
    </row>
    <row r="884">
      <c r="A884" s="615"/>
      <c r="E884" s="616"/>
      <c r="F884" s="616"/>
      <c r="J884" s="616"/>
      <c r="K884" s="616"/>
      <c r="N884" s="616"/>
      <c r="V884" s="616"/>
      <c r="AL884" s="616"/>
    </row>
    <row r="885">
      <c r="A885" s="615"/>
      <c r="E885" s="616"/>
      <c r="F885" s="616"/>
      <c r="J885" s="616"/>
      <c r="K885" s="616"/>
      <c r="N885" s="616"/>
      <c r="V885" s="616"/>
      <c r="AL885" s="616"/>
    </row>
    <row r="886">
      <c r="A886" s="615"/>
      <c r="E886" s="616"/>
      <c r="F886" s="616"/>
      <c r="J886" s="616"/>
      <c r="K886" s="616"/>
      <c r="N886" s="616"/>
      <c r="V886" s="616"/>
      <c r="AL886" s="616"/>
    </row>
    <row r="887">
      <c r="A887" s="615"/>
      <c r="E887" s="616"/>
      <c r="F887" s="616"/>
      <c r="J887" s="616"/>
      <c r="K887" s="616"/>
      <c r="N887" s="616"/>
      <c r="V887" s="616"/>
      <c r="AL887" s="616"/>
    </row>
    <row r="888">
      <c r="A888" s="615"/>
      <c r="E888" s="616"/>
      <c r="F888" s="616"/>
      <c r="J888" s="616"/>
      <c r="K888" s="616"/>
      <c r="N888" s="616"/>
      <c r="V888" s="616"/>
      <c r="AL888" s="616"/>
    </row>
    <row r="889">
      <c r="A889" s="615"/>
      <c r="E889" s="616"/>
      <c r="F889" s="616"/>
      <c r="J889" s="616"/>
      <c r="K889" s="616"/>
      <c r="N889" s="616"/>
      <c r="V889" s="616"/>
      <c r="AL889" s="616"/>
    </row>
    <row r="890">
      <c r="A890" s="615"/>
      <c r="E890" s="616"/>
      <c r="F890" s="616"/>
      <c r="J890" s="616"/>
      <c r="K890" s="616"/>
      <c r="N890" s="616"/>
      <c r="V890" s="616"/>
      <c r="AL890" s="616"/>
    </row>
    <row r="891">
      <c r="A891" s="615"/>
      <c r="E891" s="616"/>
      <c r="F891" s="616"/>
      <c r="J891" s="616"/>
      <c r="K891" s="616"/>
      <c r="N891" s="616"/>
      <c r="V891" s="616"/>
      <c r="AL891" s="616"/>
    </row>
    <row r="892">
      <c r="A892" s="615"/>
      <c r="E892" s="616"/>
      <c r="F892" s="616"/>
      <c r="J892" s="616"/>
      <c r="K892" s="616"/>
      <c r="N892" s="616"/>
      <c r="V892" s="616"/>
      <c r="AL892" s="616"/>
    </row>
    <row r="893">
      <c r="A893" s="615"/>
      <c r="E893" s="616"/>
      <c r="F893" s="616"/>
      <c r="J893" s="616"/>
      <c r="K893" s="616"/>
      <c r="N893" s="616"/>
      <c r="V893" s="616"/>
      <c r="AL893" s="616"/>
    </row>
    <row r="894">
      <c r="A894" s="615"/>
      <c r="E894" s="616"/>
      <c r="F894" s="616"/>
      <c r="J894" s="616"/>
      <c r="K894" s="616"/>
      <c r="N894" s="616"/>
      <c r="V894" s="616"/>
      <c r="AL894" s="616"/>
    </row>
    <row r="895">
      <c r="A895" s="615"/>
      <c r="E895" s="616"/>
      <c r="F895" s="616"/>
      <c r="J895" s="616"/>
      <c r="K895" s="616"/>
      <c r="N895" s="616"/>
      <c r="V895" s="616"/>
      <c r="AL895" s="616"/>
    </row>
    <row r="896">
      <c r="A896" s="615"/>
      <c r="E896" s="616"/>
      <c r="F896" s="616"/>
      <c r="J896" s="616"/>
      <c r="K896" s="616"/>
      <c r="N896" s="616"/>
      <c r="V896" s="616"/>
      <c r="AL896" s="616"/>
    </row>
    <row r="897">
      <c r="A897" s="615"/>
      <c r="E897" s="616"/>
      <c r="F897" s="616"/>
      <c r="J897" s="616"/>
      <c r="K897" s="616"/>
      <c r="N897" s="616"/>
      <c r="V897" s="616"/>
      <c r="AL897" s="616"/>
    </row>
    <row r="898">
      <c r="A898" s="615"/>
      <c r="E898" s="616"/>
      <c r="F898" s="616"/>
      <c r="J898" s="616"/>
      <c r="K898" s="616"/>
      <c r="N898" s="616"/>
      <c r="V898" s="616"/>
      <c r="AL898" s="616"/>
    </row>
    <row r="899">
      <c r="A899" s="615"/>
      <c r="E899" s="616"/>
      <c r="F899" s="616"/>
      <c r="J899" s="616"/>
      <c r="K899" s="616"/>
      <c r="N899" s="616"/>
      <c r="V899" s="616"/>
      <c r="AL899" s="616"/>
    </row>
    <row r="900">
      <c r="A900" s="615"/>
      <c r="E900" s="616"/>
      <c r="F900" s="616"/>
      <c r="J900" s="616"/>
      <c r="K900" s="616"/>
      <c r="N900" s="616"/>
      <c r="V900" s="616"/>
      <c r="AL900" s="616"/>
    </row>
    <row r="901">
      <c r="A901" s="615"/>
      <c r="E901" s="616"/>
      <c r="F901" s="616"/>
      <c r="J901" s="616"/>
      <c r="K901" s="616"/>
      <c r="N901" s="616"/>
      <c r="V901" s="616"/>
      <c r="AL901" s="616"/>
    </row>
    <row r="902">
      <c r="A902" s="615"/>
      <c r="E902" s="616"/>
      <c r="F902" s="616"/>
      <c r="J902" s="616"/>
      <c r="K902" s="616"/>
      <c r="N902" s="616"/>
      <c r="V902" s="616"/>
      <c r="AL902" s="616"/>
    </row>
    <row r="903">
      <c r="A903" s="615"/>
      <c r="E903" s="616"/>
      <c r="F903" s="616"/>
      <c r="J903" s="616"/>
      <c r="K903" s="616"/>
      <c r="N903" s="616"/>
      <c r="V903" s="616"/>
      <c r="AL903" s="616"/>
    </row>
    <row r="904">
      <c r="A904" s="615"/>
      <c r="E904" s="616"/>
      <c r="F904" s="616"/>
      <c r="J904" s="616"/>
      <c r="K904" s="616"/>
      <c r="N904" s="616"/>
      <c r="V904" s="616"/>
      <c r="AL904" s="616"/>
    </row>
    <row r="905">
      <c r="A905" s="615"/>
      <c r="E905" s="616"/>
      <c r="F905" s="616"/>
      <c r="J905" s="616"/>
      <c r="K905" s="616"/>
      <c r="N905" s="616"/>
      <c r="V905" s="616"/>
      <c r="AL905" s="616"/>
    </row>
    <row r="906">
      <c r="A906" s="615"/>
      <c r="E906" s="616"/>
      <c r="F906" s="616"/>
      <c r="J906" s="616"/>
      <c r="K906" s="616"/>
      <c r="N906" s="616"/>
      <c r="V906" s="616"/>
      <c r="AL906" s="616"/>
    </row>
    <row r="907">
      <c r="A907" s="615"/>
      <c r="E907" s="616"/>
      <c r="F907" s="616"/>
      <c r="J907" s="616"/>
      <c r="K907" s="616"/>
      <c r="N907" s="616"/>
      <c r="V907" s="616"/>
      <c r="AL907" s="616"/>
    </row>
    <row r="908">
      <c r="A908" s="615"/>
      <c r="E908" s="616"/>
      <c r="F908" s="616"/>
      <c r="J908" s="616"/>
      <c r="K908" s="616"/>
      <c r="N908" s="616"/>
      <c r="V908" s="616"/>
      <c r="AL908" s="616"/>
    </row>
    <row r="909">
      <c r="A909" s="615"/>
      <c r="E909" s="616"/>
      <c r="F909" s="616"/>
      <c r="J909" s="616"/>
      <c r="K909" s="616"/>
      <c r="N909" s="616"/>
      <c r="V909" s="616"/>
      <c r="AL909" s="616"/>
    </row>
    <row r="910">
      <c r="A910" s="615"/>
      <c r="E910" s="616"/>
      <c r="F910" s="616"/>
      <c r="J910" s="616"/>
      <c r="K910" s="616"/>
      <c r="N910" s="616"/>
      <c r="V910" s="616"/>
      <c r="AL910" s="616"/>
    </row>
    <row r="911">
      <c r="A911" s="615"/>
      <c r="E911" s="616"/>
      <c r="F911" s="616"/>
      <c r="J911" s="616"/>
      <c r="K911" s="616"/>
      <c r="N911" s="616"/>
      <c r="V911" s="616"/>
      <c r="AL911" s="616"/>
    </row>
    <row r="912">
      <c r="A912" s="615"/>
      <c r="E912" s="616"/>
      <c r="F912" s="616"/>
      <c r="J912" s="616"/>
      <c r="K912" s="616"/>
      <c r="N912" s="616"/>
      <c r="V912" s="616"/>
      <c r="AL912" s="616"/>
    </row>
    <row r="913">
      <c r="A913" s="615"/>
      <c r="E913" s="616"/>
      <c r="F913" s="616"/>
      <c r="J913" s="616"/>
      <c r="K913" s="616"/>
      <c r="N913" s="616"/>
      <c r="V913" s="616"/>
      <c r="AL913" s="616"/>
    </row>
    <row r="914">
      <c r="A914" s="615"/>
      <c r="E914" s="616"/>
      <c r="F914" s="616"/>
      <c r="J914" s="616"/>
      <c r="K914" s="616"/>
      <c r="N914" s="616"/>
      <c r="V914" s="616"/>
      <c r="AL914" s="616"/>
    </row>
    <row r="915">
      <c r="A915" s="615"/>
      <c r="E915" s="616"/>
      <c r="F915" s="616"/>
      <c r="J915" s="616"/>
      <c r="K915" s="616"/>
      <c r="N915" s="616"/>
      <c r="V915" s="616"/>
      <c r="AL915" s="616"/>
    </row>
    <row r="916">
      <c r="A916" s="615"/>
      <c r="E916" s="616"/>
      <c r="F916" s="616"/>
      <c r="J916" s="616"/>
      <c r="K916" s="616"/>
      <c r="N916" s="616"/>
      <c r="V916" s="616"/>
      <c r="AL916" s="616"/>
    </row>
    <row r="917">
      <c r="A917" s="615"/>
      <c r="E917" s="616"/>
      <c r="F917" s="616"/>
      <c r="J917" s="616"/>
      <c r="K917" s="616"/>
      <c r="N917" s="616"/>
      <c r="V917" s="616"/>
      <c r="AL917" s="616"/>
    </row>
    <row r="918">
      <c r="A918" s="615"/>
      <c r="E918" s="616"/>
      <c r="F918" s="616"/>
      <c r="J918" s="616"/>
      <c r="K918" s="616"/>
      <c r="N918" s="616"/>
      <c r="V918" s="616"/>
      <c r="AL918" s="616"/>
    </row>
    <row r="919">
      <c r="A919" s="615"/>
      <c r="E919" s="616"/>
      <c r="F919" s="616"/>
      <c r="J919" s="616"/>
      <c r="K919" s="616"/>
      <c r="N919" s="616"/>
      <c r="V919" s="616"/>
      <c r="AL919" s="616"/>
    </row>
    <row r="920">
      <c r="A920" s="615"/>
      <c r="E920" s="616"/>
      <c r="F920" s="616"/>
      <c r="J920" s="616"/>
      <c r="K920" s="616"/>
      <c r="N920" s="616"/>
      <c r="V920" s="616"/>
      <c r="AL920" s="616"/>
    </row>
    <row r="921">
      <c r="A921" s="615"/>
      <c r="E921" s="616"/>
      <c r="F921" s="616"/>
      <c r="J921" s="616"/>
      <c r="K921" s="616"/>
      <c r="N921" s="616"/>
      <c r="V921" s="616"/>
      <c r="AL921" s="616"/>
    </row>
    <row r="922">
      <c r="A922" s="615"/>
      <c r="E922" s="616"/>
      <c r="F922" s="616"/>
      <c r="J922" s="616"/>
      <c r="K922" s="616"/>
      <c r="N922" s="616"/>
      <c r="V922" s="616"/>
      <c r="AL922" s="616"/>
    </row>
    <row r="923">
      <c r="A923" s="615"/>
      <c r="E923" s="616"/>
      <c r="F923" s="616"/>
      <c r="J923" s="616"/>
      <c r="K923" s="616"/>
      <c r="N923" s="616"/>
      <c r="V923" s="616"/>
      <c r="AL923" s="616"/>
    </row>
    <row r="924">
      <c r="A924" s="615"/>
      <c r="E924" s="616"/>
      <c r="F924" s="616"/>
      <c r="J924" s="616"/>
      <c r="K924" s="616"/>
      <c r="N924" s="616"/>
      <c r="V924" s="616"/>
      <c r="AL924" s="616"/>
    </row>
    <row r="925">
      <c r="A925" s="615"/>
      <c r="E925" s="616"/>
      <c r="F925" s="616"/>
      <c r="J925" s="616"/>
      <c r="K925" s="616"/>
      <c r="N925" s="616"/>
      <c r="V925" s="616"/>
      <c r="AL925" s="616"/>
    </row>
    <row r="926">
      <c r="A926" s="615"/>
      <c r="E926" s="616"/>
      <c r="F926" s="616"/>
      <c r="J926" s="616"/>
      <c r="K926" s="616"/>
      <c r="N926" s="616"/>
      <c r="V926" s="616"/>
      <c r="AL926" s="616"/>
    </row>
    <row r="927">
      <c r="A927" s="615"/>
      <c r="E927" s="616"/>
      <c r="F927" s="616"/>
      <c r="J927" s="616"/>
      <c r="K927" s="616"/>
      <c r="N927" s="616"/>
      <c r="V927" s="616"/>
      <c r="AL927" s="616"/>
    </row>
    <row r="928">
      <c r="A928" s="615"/>
      <c r="E928" s="616"/>
      <c r="F928" s="616"/>
      <c r="J928" s="616"/>
      <c r="K928" s="616"/>
      <c r="N928" s="616"/>
      <c r="V928" s="616"/>
      <c r="AL928" s="616"/>
    </row>
    <row r="929">
      <c r="A929" s="615"/>
      <c r="E929" s="616"/>
      <c r="F929" s="616"/>
      <c r="J929" s="616"/>
      <c r="K929" s="616"/>
      <c r="N929" s="616"/>
      <c r="V929" s="616"/>
      <c r="AL929" s="616"/>
    </row>
    <row r="930">
      <c r="A930" s="615"/>
      <c r="E930" s="616"/>
      <c r="F930" s="616"/>
      <c r="J930" s="616"/>
      <c r="K930" s="616"/>
      <c r="N930" s="616"/>
      <c r="V930" s="616"/>
      <c r="AL930" s="616"/>
    </row>
    <row r="931">
      <c r="A931" s="615"/>
      <c r="E931" s="616"/>
      <c r="F931" s="616"/>
      <c r="J931" s="616"/>
      <c r="K931" s="616"/>
      <c r="N931" s="616"/>
      <c r="V931" s="616"/>
      <c r="AL931" s="616"/>
    </row>
    <row r="932">
      <c r="A932" s="615"/>
      <c r="E932" s="616"/>
      <c r="F932" s="616"/>
      <c r="J932" s="616"/>
      <c r="K932" s="616"/>
      <c r="N932" s="616"/>
      <c r="V932" s="616"/>
      <c r="AL932" s="616"/>
    </row>
    <row r="933">
      <c r="A933" s="615"/>
      <c r="E933" s="616"/>
      <c r="F933" s="616"/>
      <c r="J933" s="616"/>
      <c r="K933" s="616"/>
      <c r="N933" s="616"/>
      <c r="V933" s="616"/>
      <c r="AL933" s="616"/>
    </row>
    <row r="934">
      <c r="A934" s="615"/>
      <c r="E934" s="616"/>
      <c r="F934" s="616"/>
      <c r="J934" s="616"/>
      <c r="K934" s="616"/>
      <c r="N934" s="616"/>
      <c r="V934" s="616"/>
      <c r="AL934" s="616"/>
    </row>
    <row r="935">
      <c r="A935" s="615"/>
      <c r="E935" s="616"/>
      <c r="F935" s="616"/>
      <c r="J935" s="616"/>
      <c r="K935" s="616"/>
      <c r="N935" s="616"/>
      <c r="V935" s="616"/>
      <c r="AL935" s="616"/>
    </row>
    <row r="936">
      <c r="A936" s="615"/>
      <c r="E936" s="616"/>
      <c r="F936" s="616"/>
      <c r="J936" s="616"/>
      <c r="K936" s="616"/>
      <c r="N936" s="616"/>
      <c r="V936" s="616"/>
      <c r="AL936" s="616"/>
    </row>
    <row r="937">
      <c r="A937" s="615"/>
      <c r="E937" s="616"/>
      <c r="F937" s="616"/>
      <c r="J937" s="616"/>
      <c r="K937" s="616"/>
      <c r="N937" s="616"/>
      <c r="V937" s="616"/>
      <c r="AL937" s="616"/>
    </row>
    <row r="938">
      <c r="A938" s="615"/>
      <c r="E938" s="616"/>
      <c r="F938" s="616"/>
      <c r="J938" s="616"/>
      <c r="K938" s="616"/>
      <c r="N938" s="616"/>
      <c r="V938" s="616"/>
      <c r="AL938" s="616"/>
    </row>
    <row r="939">
      <c r="A939" s="615"/>
      <c r="E939" s="616"/>
      <c r="F939" s="616"/>
      <c r="J939" s="616"/>
      <c r="K939" s="616"/>
      <c r="N939" s="616"/>
      <c r="V939" s="616"/>
      <c r="AL939" s="616"/>
    </row>
    <row r="940">
      <c r="A940" s="615"/>
      <c r="E940" s="616"/>
      <c r="F940" s="616"/>
      <c r="J940" s="616"/>
      <c r="K940" s="616"/>
      <c r="N940" s="616"/>
      <c r="V940" s="616"/>
      <c r="AL940" s="616"/>
    </row>
    <row r="941">
      <c r="A941" s="615"/>
      <c r="E941" s="616"/>
      <c r="F941" s="616"/>
      <c r="J941" s="616"/>
      <c r="K941" s="616"/>
      <c r="N941" s="616"/>
      <c r="V941" s="616"/>
      <c r="AL941" s="616"/>
    </row>
    <row r="942">
      <c r="A942" s="615"/>
      <c r="E942" s="616"/>
      <c r="F942" s="616"/>
      <c r="J942" s="616"/>
      <c r="K942" s="616"/>
      <c r="N942" s="616"/>
      <c r="V942" s="616"/>
      <c r="AL942" s="616"/>
    </row>
    <row r="943">
      <c r="A943" s="615"/>
      <c r="E943" s="616"/>
      <c r="F943" s="616"/>
      <c r="J943" s="616"/>
      <c r="K943" s="616"/>
      <c r="N943" s="616"/>
      <c r="V943" s="616"/>
      <c r="AL943" s="616"/>
    </row>
    <row r="944">
      <c r="A944" s="615"/>
      <c r="E944" s="616"/>
      <c r="F944" s="616"/>
      <c r="J944" s="616"/>
      <c r="K944" s="616"/>
      <c r="N944" s="616"/>
      <c r="V944" s="616"/>
      <c r="AL944" s="616"/>
    </row>
    <row r="945">
      <c r="A945" s="615"/>
      <c r="E945" s="616"/>
      <c r="F945" s="616"/>
      <c r="J945" s="616"/>
      <c r="K945" s="616"/>
      <c r="N945" s="616"/>
      <c r="V945" s="616"/>
      <c r="AL945" s="616"/>
    </row>
    <row r="946">
      <c r="A946" s="615"/>
      <c r="E946" s="616"/>
      <c r="F946" s="616"/>
      <c r="J946" s="616"/>
      <c r="K946" s="616"/>
      <c r="N946" s="616"/>
      <c r="V946" s="616"/>
      <c r="AL946" s="616"/>
    </row>
    <row r="947">
      <c r="A947" s="615"/>
      <c r="E947" s="616"/>
      <c r="F947" s="616"/>
      <c r="J947" s="616"/>
      <c r="K947" s="616"/>
      <c r="N947" s="616"/>
      <c r="V947" s="616"/>
      <c r="AL947" s="616"/>
    </row>
    <row r="948">
      <c r="A948" s="615"/>
      <c r="E948" s="616"/>
      <c r="F948" s="616"/>
      <c r="J948" s="616"/>
      <c r="K948" s="616"/>
      <c r="N948" s="616"/>
      <c r="V948" s="616"/>
      <c r="AL948" s="616"/>
    </row>
    <row r="949">
      <c r="A949" s="615"/>
      <c r="E949" s="616"/>
      <c r="F949" s="616"/>
      <c r="J949" s="616"/>
      <c r="K949" s="616"/>
      <c r="N949" s="616"/>
      <c r="V949" s="616"/>
      <c r="AL949" s="616"/>
    </row>
    <row r="950">
      <c r="A950" s="615"/>
      <c r="E950" s="616"/>
      <c r="F950" s="616"/>
      <c r="J950" s="616"/>
      <c r="K950" s="616"/>
      <c r="N950" s="616"/>
      <c r="V950" s="616"/>
      <c r="AL950" s="616"/>
    </row>
    <row r="951">
      <c r="A951" s="615"/>
      <c r="E951" s="616"/>
      <c r="F951" s="616"/>
      <c r="J951" s="616"/>
      <c r="K951" s="616"/>
      <c r="N951" s="616"/>
      <c r="V951" s="616"/>
      <c r="AL951" s="616"/>
    </row>
    <row r="952">
      <c r="A952" s="615"/>
      <c r="E952" s="616"/>
      <c r="F952" s="616"/>
      <c r="J952" s="616"/>
      <c r="K952" s="616"/>
      <c r="N952" s="616"/>
      <c r="V952" s="616"/>
      <c r="AL952" s="616"/>
    </row>
    <row r="953">
      <c r="A953" s="615"/>
      <c r="E953" s="616"/>
      <c r="F953" s="616"/>
      <c r="J953" s="616"/>
      <c r="K953" s="616"/>
      <c r="N953" s="616"/>
      <c r="V953" s="616"/>
      <c r="AL953" s="616"/>
    </row>
    <row r="954">
      <c r="A954" s="615"/>
      <c r="E954" s="616"/>
      <c r="F954" s="616"/>
      <c r="J954" s="616"/>
      <c r="K954" s="616"/>
      <c r="N954" s="616"/>
      <c r="V954" s="616"/>
      <c r="AL954" s="616"/>
    </row>
    <row r="955">
      <c r="A955" s="615"/>
      <c r="E955" s="616"/>
      <c r="F955" s="616"/>
      <c r="J955" s="616"/>
      <c r="K955" s="616"/>
      <c r="N955" s="616"/>
      <c r="V955" s="616"/>
      <c r="AL955" s="616"/>
    </row>
    <row r="956">
      <c r="A956" s="615"/>
      <c r="E956" s="616"/>
      <c r="F956" s="616"/>
      <c r="J956" s="616"/>
      <c r="K956" s="616"/>
      <c r="N956" s="616"/>
      <c r="V956" s="616"/>
      <c r="AL956" s="616"/>
    </row>
    <row r="957">
      <c r="A957" s="615"/>
      <c r="E957" s="616"/>
      <c r="F957" s="616"/>
      <c r="J957" s="616"/>
      <c r="K957" s="616"/>
      <c r="N957" s="616"/>
      <c r="V957" s="616"/>
      <c r="AL957" s="616"/>
    </row>
    <row r="958">
      <c r="A958" s="615"/>
      <c r="E958" s="616"/>
      <c r="F958" s="616"/>
      <c r="J958" s="616"/>
      <c r="K958" s="616"/>
      <c r="N958" s="616"/>
      <c r="V958" s="616"/>
      <c r="AL958" s="616"/>
    </row>
    <row r="959">
      <c r="A959" s="615"/>
      <c r="E959" s="616"/>
      <c r="F959" s="616"/>
      <c r="J959" s="616"/>
      <c r="K959" s="616"/>
      <c r="N959" s="616"/>
      <c r="V959" s="616"/>
      <c r="AL959" s="616"/>
    </row>
    <row r="960">
      <c r="A960" s="615"/>
      <c r="E960" s="616"/>
      <c r="F960" s="616"/>
      <c r="J960" s="616"/>
      <c r="K960" s="616"/>
      <c r="N960" s="616"/>
      <c r="V960" s="616"/>
      <c r="AL960" s="616"/>
    </row>
    <row r="961">
      <c r="A961" s="615"/>
      <c r="E961" s="616"/>
      <c r="F961" s="616"/>
      <c r="J961" s="616"/>
      <c r="K961" s="616"/>
      <c r="N961" s="616"/>
      <c r="V961" s="616"/>
      <c r="AL961" s="616"/>
    </row>
    <row r="962">
      <c r="A962" s="615"/>
      <c r="E962" s="616"/>
      <c r="F962" s="616"/>
      <c r="J962" s="616"/>
      <c r="K962" s="616"/>
      <c r="N962" s="616"/>
      <c r="V962" s="616"/>
      <c r="AL962" s="616"/>
    </row>
    <row r="963">
      <c r="A963" s="615"/>
      <c r="E963" s="616"/>
      <c r="F963" s="616"/>
      <c r="J963" s="616"/>
      <c r="K963" s="616"/>
      <c r="N963" s="616"/>
      <c r="V963" s="616"/>
      <c r="AL963" s="616"/>
    </row>
    <row r="964">
      <c r="A964" s="615"/>
      <c r="E964" s="616"/>
      <c r="F964" s="616"/>
      <c r="J964" s="616"/>
      <c r="K964" s="616"/>
      <c r="N964" s="616"/>
      <c r="V964" s="616"/>
      <c r="AL964" s="616"/>
    </row>
    <row r="965">
      <c r="A965" s="615"/>
      <c r="E965" s="616"/>
      <c r="F965" s="616"/>
      <c r="J965" s="616"/>
      <c r="K965" s="616"/>
      <c r="N965" s="616"/>
      <c r="V965" s="616"/>
      <c r="AL965" s="616"/>
    </row>
    <row r="966">
      <c r="A966" s="615"/>
      <c r="E966" s="616"/>
      <c r="F966" s="616"/>
      <c r="J966" s="616"/>
      <c r="K966" s="616"/>
      <c r="N966" s="616"/>
      <c r="V966" s="616"/>
      <c r="AL966" s="616"/>
    </row>
    <row r="967">
      <c r="A967" s="615"/>
      <c r="E967" s="616"/>
      <c r="F967" s="616"/>
      <c r="J967" s="616"/>
      <c r="K967" s="616"/>
      <c r="N967" s="616"/>
      <c r="V967" s="616"/>
      <c r="AL967" s="616"/>
    </row>
    <row r="968">
      <c r="A968" s="615"/>
      <c r="E968" s="616"/>
      <c r="F968" s="616"/>
      <c r="J968" s="616"/>
      <c r="K968" s="616"/>
      <c r="N968" s="616"/>
      <c r="V968" s="616"/>
      <c r="AL968" s="616"/>
    </row>
    <row r="969">
      <c r="A969" s="615"/>
      <c r="E969" s="616"/>
      <c r="F969" s="616"/>
      <c r="J969" s="616"/>
      <c r="K969" s="616"/>
      <c r="N969" s="616"/>
      <c r="V969" s="616"/>
      <c r="AL969" s="616"/>
    </row>
    <row r="970">
      <c r="A970" s="615"/>
      <c r="E970" s="616"/>
      <c r="F970" s="616"/>
      <c r="J970" s="616"/>
      <c r="K970" s="616"/>
      <c r="N970" s="616"/>
      <c r="V970" s="616"/>
      <c r="AL970" s="616"/>
    </row>
    <row r="971">
      <c r="A971" s="615"/>
      <c r="E971" s="616"/>
      <c r="F971" s="616"/>
      <c r="J971" s="616"/>
      <c r="K971" s="616"/>
      <c r="N971" s="616"/>
      <c r="V971" s="616"/>
      <c r="AL971" s="616"/>
    </row>
    <row r="972">
      <c r="A972" s="615"/>
      <c r="E972" s="616"/>
      <c r="F972" s="616"/>
      <c r="J972" s="616"/>
      <c r="K972" s="616"/>
      <c r="N972" s="616"/>
      <c r="V972" s="616"/>
      <c r="AL972" s="616"/>
    </row>
    <row r="973">
      <c r="A973" s="615"/>
      <c r="E973" s="616"/>
      <c r="F973" s="616"/>
      <c r="J973" s="616"/>
      <c r="K973" s="616"/>
      <c r="N973" s="616"/>
      <c r="V973" s="616"/>
      <c r="AL973" s="616"/>
    </row>
    <row r="974">
      <c r="A974" s="615"/>
      <c r="E974" s="616"/>
      <c r="F974" s="616"/>
      <c r="J974" s="616"/>
      <c r="K974" s="616"/>
      <c r="N974" s="616"/>
      <c r="V974" s="616"/>
      <c r="AL974" s="616"/>
    </row>
    <row r="975">
      <c r="A975" s="615"/>
      <c r="E975" s="616"/>
      <c r="F975" s="616"/>
      <c r="J975" s="616"/>
      <c r="K975" s="616"/>
      <c r="N975" s="616"/>
      <c r="V975" s="616"/>
      <c r="AL975" s="616"/>
    </row>
    <row r="976">
      <c r="A976" s="615"/>
      <c r="E976" s="616"/>
      <c r="F976" s="616"/>
      <c r="J976" s="616"/>
      <c r="K976" s="616"/>
      <c r="N976" s="616"/>
      <c r="V976" s="616"/>
      <c r="AL976" s="616"/>
    </row>
    <row r="977">
      <c r="A977" s="615"/>
      <c r="E977" s="616"/>
      <c r="F977" s="616"/>
      <c r="J977" s="616"/>
      <c r="K977" s="616"/>
      <c r="N977" s="616"/>
      <c r="V977" s="616"/>
      <c r="AL977" s="616"/>
    </row>
    <row r="978">
      <c r="A978" s="615"/>
      <c r="E978" s="616"/>
      <c r="F978" s="616"/>
      <c r="J978" s="616"/>
      <c r="K978" s="616"/>
      <c r="N978" s="616"/>
      <c r="V978" s="616"/>
      <c r="AL978" s="616"/>
    </row>
    <row r="979">
      <c r="A979" s="615"/>
      <c r="E979" s="616"/>
      <c r="F979" s="616"/>
      <c r="J979" s="616"/>
      <c r="K979" s="616"/>
      <c r="N979" s="616"/>
      <c r="V979" s="616"/>
      <c r="AL979" s="616"/>
    </row>
    <row r="980">
      <c r="A980" s="615"/>
      <c r="E980" s="616"/>
      <c r="F980" s="616"/>
      <c r="J980" s="616"/>
      <c r="K980" s="616"/>
      <c r="N980" s="616"/>
      <c r="V980" s="616"/>
      <c r="AL980" s="616"/>
    </row>
    <row r="981">
      <c r="A981" s="615"/>
      <c r="E981" s="616"/>
      <c r="F981" s="616"/>
      <c r="J981" s="616"/>
      <c r="K981" s="616"/>
      <c r="N981" s="616"/>
      <c r="V981" s="616"/>
      <c r="AL981" s="616"/>
    </row>
    <row r="982">
      <c r="A982" s="615"/>
      <c r="E982" s="616"/>
      <c r="F982" s="616"/>
      <c r="J982" s="616"/>
      <c r="K982" s="616"/>
      <c r="N982" s="616"/>
      <c r="V982" s="616"/>
      <c r="AL982" s="616"/>
    </row>
    <row r="983">
      <c r="A983" s="615"/>
      <c r="E983" s="616"/>
      <c r="F983" s="616"/>
      <c r="J983" s="616"/>
      <c r="K983" s="616"/>
      <c r="N983" s="616"/>
      <c r="V983" s="616"/>
      <c r="AL983" s="616"/>
    </row>
    <row r="984">
      <c r="A984" s="615"/>
      <c r="E984" s="616"/>
      <c r="F984" s="616"/>
      <c r="J984" s="616"/>
      <c r="K984" s="616"/>
      <c r="N984" s="616"/>
      <c r="V984" s="616"/>
      <c r="AL984" s="616"/>
    </row>
    <row r="985">
      <c r="A985" s="615"/>
      <c r="E985" s="616"/>
      <c r="F985" s="616"/>
      <c r="J985" s="616"/>
      <c r="K985" s="616"/>
      <c r="N985" s="616"/>
      <c r="V985" s="616"/>
      <c r="AL985" s="616"/>
    </row>
    <row r="986">
      <c r="A986" s="615"/>
      <c r="E986" s="616"/>
      <c r="F986" s="616"/>
      <c r="J986" s="616"/>
      <c r="K986" s="616"/>
      <c r="N986" s="616"/>
      <c r="V986" s="616"/>
      <c r="AL986" s="616"/>
    </row>
    <row r="987">
      <c r="A987" s="615"/>
      <c r="E987" s="616"/>
      <c r="F987" s="616"/>
      <c r="J987" s="616"/>
      <c r="K987" s="616"/>
      <c r="N987" s="616"/>
      <c r="V987" s="616"/>
      <c r="AL987" s="616"/>
    </row>
    <row r="988">
      <c r="A988" s="615"/>
      <c r="E988" s="616"/>
      <c r="F988" s="616"/>
      <c r="J988" s="616"/>
      <c r="K988" s="616"/>
      <c r="N988" s="616"/>
      <c r="V988" s="616"/>
      <c r="AL988" s="616"/>
    </row>
    <row r="989">
      <c r="A989" s="615"/>
      <c r="E989" s="616"/>
      <c r="F989" s="616"/>
      <c r="J989" s="616"/>
      <c r="K989" s="616"/>
      <c r="N989" s="616"/>
      <c r="V989" s="616"/>
      <c r="AL989" s="616"/>
    </row>
    <row r="990">
      <c r="A990" s="615"/>
      <c r="E990" s="616"/>
      <c r="F990" s="616"/>
      <c r="J990" s="616"/>
      <c r="K990" s="616"/>
      <c r="N990" s="616"/>
      <c r="V990" s="616"/>
      <c r="AL990" s="616"/>
    </row>
    <row r="991">
      <c r="A991" s="615"/>
      <c r="E991" s="616"/>
      <c r="F991" s="616"/>
      <c r="J991" s="616"/>
      <c r="K991" s="616"/>
      <c r="N991" s="616"/>
      <c r="V991" s="616"/>
      <c r="AL991" s="616"/>
    </row>
    <row r="992">
      <c r="A992" s="615"/>
      <c r="E992" s="616"/>
      <c r="F992" s="616"/>
      <c r="J992" s="616"/>
      <c r="K992" s="616"/>
      <c r="N992" s="616"/>
      <c r="V992" s="616"/>
      <c r="AL992" s="616"/>
    </row>
    <row r="993">
      <c r="A993" s="615"/>
      <c r="E993" s="616"/>
      <c r="F993" s="616"/>
      <c r="J993" s="616"/>
      <c r="K993" s="616"/>
      <c r="N993" s="616"/>
      <c r="V993" s="616"/>
      <c r="AL993" s="616"/>
    </row>
    <row r="994">
      <c r="A994" s="615"/>
      <c r="E994" s="616"/>
      <c r="F994" s="616"/>
      <c r="J994" s="616"/>
      <c r="K994" s="616"/>
      <c r="N994" s="616"/>
      <c r="V994" s="616"/>
      <c r="AL994" s="616"/>
    </row>
    <row r="995">
      <c r="A995" s="615"/>
      <c r="E995" s="616"/>
      <c r="F995" s="616"/>
      <c r="J995" s="616"/>
      <c r="K995" s="616"/>
      <c r="N995" s="616"/>
      <c r="V995" s="616"/>
      <c r="AL995" s="616"/>
    </row>
    <row r="996">
      <c r="A996" s="615"/>
      <c r="E996" s="616"/>
      <c r="F996" s="616"/>
      <c r="J996" s="616"/>
      <c r="K996" s="616"/>
      <c r="N996" s="616"/>
      <c r="V996" s="616"/>
      <c r="AL996" s="616"/>
    </row>
    <row r="997">
      <c r="A997" s="615"/>
      <c r="E997" s="616"/>
      <c r="F997" s="616"/>
      <c r="J997" s="616"/>
      <c r="K997" s="616"/>
      <c r="N997" s="616"/>
      <c r="V997" s="616"/>
      <c r="AL997" s="616"/>
    </row>
    <row r="998">
      <c r="A998" s="615"/>
      <c r="E998" s="616"/>
      <c r="F998" s="616"/>
      <c r="J998" s="616"/>
      <c r="K998" s="616"/>
      <c r="N998" s="616"/>
      <c r="V998" s="616"/>
      <c r="AL998" s="616"/>
    </row>
    <row r="999">
      <c r="A999" s="615"/>
      <c r="E999" s="616"/>
      <c r="F999" s="616"/>
      <c r="J999" s="616"/>
      <c r="K999" s="616"/>
      <c r="N999" s="616"/>
      <c r="V999" s="616"/>
      <c r="AL999" s="616"/>
    </row>
    <row r="1000">
      <c r="A1000" s="615"/>
      <c r="E1000" s="616"/>
      <c r="F1000" s="616"/>
      <c r="J1000" s="616"/>
      <c r="K1000" s="616"/>
      <c r="N1000" s="616"/>
      <c r="V1000" s="616"/>
      <c r="AL1000" s="616"/>
    </row>
  </sheetData>
  <hyperlinks>
    <hyperlink r:id="rId1" ref="B1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43D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